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C:\Users\EricFaust\Desktop\PY Pension\2025\Website\"/>
    </mc:Choice>
  </mc:AlternateContent>
  <xr:revisionPtr revIDLastSave="0" documentId="13_ncr:1_{A9C8C3D5-35BE-43C7-A007-0EA82E746C75}" xr6:coauthVersionLast="47" xr6:coauthVersionMax="47" xr10:uidLastSave="{00000000-0000-0000-0000-000000000000}"/>
  <bookViews>
    <workbookView xWindow="28680" yWindow="-120" windowWidth="29040" windowHeight="15840" tabRatio="910" xr2:uid="{00000000-000D-0000-FFFF-FFFF00000000}"/>
  </bookViews>
  <sheets>
    <sheet name="Info" sheetId="12" r:id="rId1"/>
    <sheet name="Changes to Update Template " sheetId="24" state="hidden" r:id="rId2"/>
    <sheet name="JE Template" sheetId="18" r:id="rId3"/>
    <sheet name="2025 summary " sheetId="41" r:id="rId4"/>
    <sheet name="2024 summary " sheetId="38" r:id="rId5"/>
    <sheet name="2023 summary" sheetId="35" r:id="rId6"/>
    <sheet name="2022 summary" sheetId="34" r:id="rId7"/>
    <sheet name="2021 summary" sheetId="27" state="hidden" r:id="rId8"/>
    <sheet name="LGERS Contributions FY 2024" sheetId="42" r:id="rId9"/>
    <sheet name="LGERS Contributions FY 2023" sheetId="39" r:id="rId10"/>
    <sheet name="LGERS Contributions FY 2022" sheetId="36" r:id="rId11"/>
    <sheet name="2020 summary" sheetId="25" state="hidden" r:id="rId12"/>
    <sheet name="2019 summary" sheetId="16" state="hidden" r:id="rId13"/>
    <sheet name="2018 summary" sheetId="17" state="hidden" r:id="rId14"/>
    <sheet name="2017 summary" sheetId="21" state="hidden" r:id="rId15"/>
    <sheet name="LGERS Contributions FY 2021" sheetId="33" state="hidden" r:id="rId16"/>
    <sheet name="LGERS Contributions FY 2020" sheetId="28" state="hidden" r:id="rId17"/>
    <sheet name="LGERS Contributions FY 2019" sheetId="26" state="hidden" r:id="rId18"/>
    <sheet name="LGERS Contributions FY 2018" sheetId="19" state="hidden" r:id="rId19"/>
    <sheet name="LGERS Contributions FY 2017" sheetId="22" state="hidden" r:id="rId20"/>
    <sheet name="Deferred Amort MD 06-30-23" sheetId="40" r:id="rId21"/>
    <sheet name="Deferred Amort MD 06-30-22" sheetId="37" state="hidden" r:id="rId22"/>
    <sheet name="Deferred Amort MD 06-30-21" sheetId="31" state="hidden" r:id="rId23"/>
    <sheet name="Deferred Amort MD 6-30-20" sheetId="29" state="hidden" r:id="rId24"/>
    <sheet name="Deferred Amort MD 6-30-19" sheetId="20" state="hidden" r:id="rId25"/>
  </sheets>
  <definedNames>
    <definedName name="_xlnm._FilterDatabase" localSheetId="12" hidden="1">'2019 summary'!$A$7:$T$927</definedName>
    <definedName name="_xlnm._FilterDatabase" localSheetId="11" hidden="1">'2020 summary'!$A$7:$T$927</definedName>
    <definedName name="_xlnm._FilterDatabase" localSheetId="7" hidden="1">'2021 summary'!$A$7:$T$924</definedName>
    <definedName name="_xlnm._FilterDatabase" localSheetId="6" hidden="1">'2022 summary'!$A$7:$U$957</definedName>
    <definedName name="_xlnm._FilterDatabase" localSheetId="5" hidden="1">'2023 summary'!$A$7:$U$1839</definedName>
    <definedName name="_xlnm._FilterDatabase" localSheetId="4" hidden="1">'2024 summary '!$A$7:$V$915</definedName>
    <definedName name="_xlnm._FilterDatabase" localSheetId="23" hidden="1">'Deferred Amort MD 6-30-20'!$A$7:$CN$923</definedName>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gencyCode" localSheetId="14">#REF!</definedName>
    <definedName name="AgencyCode" localSheetId="13">#REF!</definedName>
    <definedName name="AgencyCode" localSheetId="4">#REF!</definedName>
    <definedName name="AgencyCode" localSheetId="20">#REF!</definedName>
    <definedName name="AgencyCode" localSheetId="24">#REF!</definedName>
    <definedName name="AgencyCode" localSheetId="23">#REF!</definedName>
    <definedName name="AgencyCode" localSheetId="0">#REF!</definedName>
    <definedName name="AgencyCode" localSheetId="2">#REF!</definedName>
    <definedName name="AgencyCode">#REF!</definedName>
    <definedName name="AgencyCode1" localSheetId="2">#REF!</definedName>
    <definedName name="AgencyCode1">#REF!</definedName>
    <definedName name="AnalystGASB">#REF!</definedName>
    <definedName name="Annuity" localSheetId="14">#REF!</definedName>
    <definedName name="Annuity" localSheetId="13">#REF!</definedName>
    <definedName name="Annuity" localSheetId="4">#REF!</definedName>
    <definedName name="Annuity" localSheetId="20">#REF!</definedName>
    <definedName name="Annuity" localSheetId="24">#REF!</definedName>
    <definedName name="Annuity" localSheetId="23">#REF!</definedName>
    <definedName name="Annuity" localSheetId="0">#REF!</definedName>
    <definedName name="Annuity" localSheetId="2">#REF!</definedName>
    <definedName name="Annuity">#REF!</definedName>
    <definedName name="Annuity1" localSheetId="2">#REF!</definedName>
    <definedName name="Annuity1">#REF!</definedName>
    <definedName name="AnnuityLY" localSheetId="14">#REF!</definedName>
    <definedName name="AnnuityLY" localSheetId="13">#REF!</definedName>
    <definedName name="AnnuityLY" localSheetId="4">#REF!</definedName>
    <definedName name="AnnuityLY" localSheetId="20">#REF!</definedName>
    <definedName name="AnnuityLY" localSheetId="24">#REF!</definedName>
    <definedName name="AnnuityLY" localSheetId="23">#REF!</definedName>
    <definedName name="AnnuityLY" localSheetId="2">#REF!</definedName>
    <definedName name="AnnuityLY">#REF!</definedName>
    <definedName name="ARC_ER_Rate" localSheetId="20">#REF!</definedName>
    <definedName name="ARC_ER_Rate">#REF!</definedName>
    <definedName name="ASTABPF">#REF!</definedName>
    <definedName name="ASTABPF1">#REF!</definedName>
    <definedName name="ASTEBPF">#REF!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nsultantNameGASB">#REF!</definedName>
    <definedName name="ConsultantTitleGASB">#REF!</definedName>
    <definedName name="Disc1DELTACENSUS">#REF!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EC" localSheetId="20">#REF!</definedName>
    <definedName name="EEC">#REF!</definedName>
    <definedName name="EmployerRates" localSheetId="14">#REF!</definedName>
    <definedName name="EmployerRates" localSheetId="13">#REF!</definedName>
    <definedName name="EmployerRates" localSheetId="4">#REF!</definedName>
    <definedName name="EmployerRates" localSheetId="20">#REF!</definedName>
    <definedName name="EmployerRates" localSheetId="24">#REF!</definedName>
    <definedName name="EmployerRates" localSheetId="23">#REF!</definedName>
    <definedName name="EmployerRates" localSheetId="0">#REF!</definedName>
    <definedName name="EmployerRates" localSheetId="2">#REF!</definedName>
    <definedName name="EmployerRates">#REF!</definedName>
    <definedName name="EmployerRates1" localSheetId="2">#REF!</definedName>
    <definedName name="EmployerRates1">#REF!</definedName>
    <definedName name="EmployerRatesLEO" localSheetId="14">#REF!</definedName>
    <definedName name="EmployerRatesLEO" localSheetId="13">#REF!</definedName>
    <definedName name="EmployerRatesLEO" localSheetId="4">#REF!</definedName>
    <definedName name="EmployerRatesLEO" localSheetId="20">#REF!</definedName>
    <definedName name="EmployerRatesLEO" localSheetId="24">#REF!</definedName>
    <definedName name="EmployerRatesLEO" localSheetId="23">#REF!</definedName>
    <definedName name="EmployerRatesLEO" localSheetId="0">#REF!</definedName>
    <definedName name="EmployerRatesLEO" localSheetId="2">#REF!</definedName>
    <definedName name="EmployerRatesLEO">#REF!</definedName>
    <definedName name="EmployerRatesLEO1" localSheetId="2">#REF!</definedName>
    <definedName name="EmployerRatesLEO1">#REF!</definedName>
    <definedName name="ERC" localSheetId="20">#REF!</definedName>
    <definedName name="ERC">#REF!</definedName>
    <definedName name="ERData">#REF!</definedName>
    <definedName name="ERID">#REF!</definedName>
    <definedName name="ERInfo">#REF!</definedName>
    <definedName name="ERNC" localSheetId="20">#REF!</definedName>
    <definedName name="ERNC">#REF!</definedName>
    <definedName name="Exp1INTADJBOM">#REF!</definedName>
    <definedName name="Exp1INTNDIV12">#REF!</definedName>
    <definedName name="FracYearProj">#REF!</definedName>
    <definedName name="FundOfficeContactGASB">#REF!</definedName>
    <definedName name="FYrsGASB">#REF!</definedName>
    <definedName name="GainLoss">#REF!</definedName>
    <definedName name="GASBDiscMinusOneINTADJBOM">#REF!</definedName>
    <definedName name="GASBDiscMinusOneINTNDIV12">#REF!</definedName>
    <definedName name="InflRate">#REF!</definedName>
    <definedName name="InflRate1">#REF!</definedName>
    <definedName name="int_pmt">#REF!</definedName>
    <definedName name="IntDisc">#REF!</definedName>
    <definedName name="IntDisc1">#REF!</definedName>
    <definedName name="IntDisc1S">#REF!</definedName>
    <definedName name="INTDiscMinusOne">#REF!</definedName>
    <definedName name="INTDiscPlusOne">#REF!</definedName>
    <definedName name="IntExp1">#REF!</definedName>
    <definedName name="LGERSData" localSheetId="20">#REF!</definedName>
    <definedName name="LGERSData">#REF!</definedName>
    <definedName name="LGERSDataLY" localSheetId="20">#REF!</definedName>
    <definedName name="LGERSDataLY">#REF!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OfficeAddr1GASB">#REF!</definedName>
    <definedName name="OfficeAddr2GASB">#REF!</definedName>
    <definedName name="Offices">#REF!</definedName>
    <definedName name="Pay_Grow" localSheetId="20">#REF!</definedName>
    <definedName name="Pay_Grow">#REF!</definedName>
    <definedName name="Pension" localSheetId="14">#REF!</definedName>
    <definedName name="Pension" localSheetId="13">#REF!</definedName>
    <definedName name="Pension" localSheetId="4">#REF!</definedName>
    <definedName name="Pension" localSheetId="20">#REF!</definedName>
    <definedName name="Pension" localSheetId="24">#REF!</definedName>
    <definedName name="Pension" localSheetId="23">#REF!</definedName>
    <definedName name="Pension" localSheetId="0">#REF!</definedName>
    <definedName name="Pension" localSheetId="2">#REF!</definedName>
    <definedName name="Pension">#REF!</definedName>
    <definedName name="Pension1" localSheetId="2">#REF!</definedName>
    <definedName name="Pension1">#REF!</definedName>
    <definedName name="PensionLY" localSheetId="14">#REF!</definedName>
    <definedName name="PensionLY" localSheetId="13">#REF!</definedName>
    <definedName name="PensionLY" localSheetId="4">#REF!</definedName>
    <definedName name="PensionLY" localSheetId="20">#REF!</definedName>
    <definedName name="PensionLY" localSheetId="24">#REF!</definedName>
    <definedName name="PensionLY" localSheetId="23">#REF!</definedName>
    <definedName name="PensionLY" localSheetId="2">#REF!</definedName>
    <definedName name="PensionLY">#REF!</definedName>
    <definedName name="PlanNameLongGASB">#REF!</definedName>
    <definedName name="PlanNameShortGASB">#REF!</definedName>
    <definedName name="_xlnm.Print_Area" localSheetId="4">'2024 summary '!$A$6:$U$917</definedName>
    <definedName name="_xlnm.Print_Area" localSheetId="24">'Deferred Amort MD 6-30-19'!$A$6:$AM$915</definedName>
    <definedName name="_xlnm.Print_Area" localSheetId="23">'Deferred Amort MD 6-30-20'!$A$6:$AM$915</definedName>
    <definedName name="_xlnm.Print_Area" localSheetId="2">'JE Template'!$A$30:$G$57</definedName>
    <definedName name="_xlnm.Print_Titles" localSheetId="14">'2017 summary'!$6:$7</definedName>
    <definedName name="_xlnm.Print_Titles" localSheetId="13">'2018 summary'!$6:$7</definedName>
    <definedName name="_xlnm.Print_Titles" localSheetId="4">'2024 summary '!$6:$7</definedName>
    <definedName name="_xlnm.Print_Titles" localSheetId="24">'Deferred Amort MD 6-30-19'!$A:$D,'Deferred Amort MD 6-30-19'!$6:$7</definedName>
    <definedName name="_xlnm.Print_Titles" localSheetId="23">'Deferred Amort MD 6-30-20'!$A:$D,'Deferred Amort MD 6-30-20'!$6:$7</definedName>
    <definedName name="Proj_Ben">#REF!</definedName>
    <definedName name="Proj_Sal">#REF!</definedName>
    <definedName name="ProjDisc?">#REF!</definedName>
    <definedName name="ProValResults" localSheetId="14">#REF!</definedName>
    <definedName name="ProValResults" localSheetId="13">#REF!</definedName>
    <definedName name="ProValResults" localSheetId="4">#REF!</definedName>
    <definedName name="ProValResults" localSheetId="20">#REF!</definedName>
    <definedName name="ProValResults" localSheetId="24">#REF!</definedName>
    <definedName name="ProValResults" localSheetId="23">#REF!</definedName>
    <definedName name="ProValResults" localSheetId="0">#REF!</definedName>
    <definedName name="ProValResults" localSheetId="2">#REF!</definedName>
    <definedName name="ProValResults">#REF!</definedName>
    <definedName name="ProValResults1" localSheetId="2">#REF!</definedName>
    <definedName name="ProValResults1">#REF!</definedName>
    <definedName name="PV" localSheetId="20">#REF!</definedName>
    <definedName name="PV">#REF!</definedName>
    <definedName name="ReportDate67">#REF!</definedName>
    <definedName name="ReportDate671">#REF!</definedName>
    <definedName name="ReportDate68">#REF!</definedName>
    <definedName name="ReportDate681">#REF!</definedName>
    <definedName name="ReviewerGASB">#REF!</definedName>
    <definedName name="Rnd_0">#REF!</definedName>
    <definedName name="RORRate681">#REF!</definedName>
    <definedName name="SalRate">#REF!</definedName>
    <definedName name="SalRate1">#REF!</definedName>
    <definedName name="SegalOfficeGASB">#REF!</definedName>
    <definedName name="ST_Rate" localSheetId="20">#REF!</definedName>
    <definedName name="ST_Rate">#REF!</definedName>
    <definedName name="TableData" localSheetId="14">#REF!</definedName>
    <definedName name="TableData" localSheetId="13">#REF!</definedName>
    <definedName name="TableData" localSheetId="4">#REF!</definedName>
    <definedName name="TableData" localSheetId="20">#REF!</definedName>
    <definedName name="TableData" localSheetId="24">#REF!</definedName>
    <definedName name="TableData" localSheetId="23">#REF!</definedName>
    <definedName name="TableData" localSheetId="0">#REF!</definedName>
    <definedName name="TableData" localSheetId="2">#REF!</definedName>
    <definedName name="TableData">#REF!</definedName>
    <definedName name="TableData1" localSheetId="2">#REF!</definedName>
    <definedName name="TableData1">#REF!</definedName>
    <definedName name="Total_Summary_Data" localSheetId="7">'2021 summary'!$A$9:$T$924</definedName>
    <definedName name="Total_Summary_Data" localSheetId="6">'2022 summary'!$A$9:$U$957</definedName>
    <definedName name="Total_Summary_Data" localSheetId="5">'2023 summary'!$A$9:$U$946</definedName>
    <definedName name="Total_Summary_Data">'2020 summary'!$A$8:$T$927</definedName>
    <definedName name="Type" localSheetId="14">#REF!</definedName>
    <definedName name="Type" localSheetId="13">#REF!</definedName>
    <definedName name="Type" localSheetId="4">#REF!</definedName>
    <definedName name="Type" localSheetId="20">#REF!</definedName>
    <definedName name="Type" localSheetId="24">#REF!</definedName>
    <definedName name="Type" localSheetId="23">#REF!</definedName>
    <definedName name="Type" localSheetId="2">#REF!</definedName>
    <definedName name="Type">#REF!</definedName>
    <definedName name="TypeAnnuity" localSheetId="14">#REF!</definedName>
    <definedName name="TypeAnnuity" localSheetId="13">#REF!</definedName>
    <definedName name="TypeAnnuity" localSheetId="4">#REF!</definedName>
    <definedName name="TypeAnnuity" localSheetId="20">#REF!</definedName>
    <definedName name="TypeAnnuity" localSheetId="24">#REF!</definedName>
    <definedName name="TypeAnnuity" localSheetId="23">#REF!</definedName>
    <definedName name="TypeAnnuity" localSheetId="0">#REF!</definedName>
    <definedName name="TypeAnnuity" localSheetId="2">#REF!</definedName>
    <definedName name="TypeAnnuity">#REF!</definedName>
    <definedName name="TypeAnnuity1" localSheetId="2">#REF!</definedName>
    <definedName name="TypeAnnuity1">#REF!</definedName>
    <definedName name="TypePension" localSheetId="14">#REF!</definedName>
    <definedName name="TypePension" localSheetId="13">#REF!</definedName>
    <definedName name="TypePension" localSheetId="4">#REF!</definedName>
    <definedName name="TypePension" localSheetId="20">#REF!</definedName>
    <definedName name="TypePension" localSheetId="24">#REF!</definedName>
    <definedName name="TypePension" localSheetId="23">#REF!</definedName>
    <definedName name="TypePension" localSheetId="0">#REF!</definedName>
    <definedName name="TypePension" localSheetId="2">#REF!</definedName>
    <definedName name="TypePension">#REF!</definedName>
    <definedName name="TypePension1" localSheetId="2">#REF!</definedName>
    <definedName name="TypePension1">#REF!</definedName>
    <definedName name="UnfundedData" localSheetId="14">#REF!</definedName>
    <definedName name="UnfundedData" localSheetId="13">#REF!</definedName>
    <definedName name="UnfundedData" localSheetId="4">#REF!</definedName>
    <definedName name="UnfundedData" localSheetId="20">#REF!</definedName>
    <definedName name="UnfundedData" localSheetId="24">#REF!</definedName>
    <definedName name="UnfundedData" localSheetId="23">#REF!</definedName>
    <definedName name="UnfundedData" localSheetId="0">#REF!</definedName>
    <definedName name="UnfundedData" localSheetId="2">#REF!</definedName>
    <definedName name="UnfundedData">#REF!</definedName>
    <definedName name="UnfundedData1" localSheetId="2">#REF!</definedName>
    <definedName name="UnfundedData1">#REF!</definedName>
    <definedName name="UnfundedLY" localSheetId="14">#REF!</definedName>
    <definedName name="UnfundedLY" localSheetId="13">#REF!</definedName>
    <definedName name="UnfundedLY" localSheetId="4">#REF!</definedName>
    <definedName name="UnfundedLY" localSheetId="20">#REF!</definedName>
    <definedName name="UnfundedLY" localSheetId="24">#REF!</definedName>
    <definedName name="UnfundedLY" localSheetId="23">#REF!</definedName>
    <definedName name="UnfundedLY" localSheetId="0">#REF!</definedName>
    <definedName name="UnfundedLY" localSheetId="2">#REF!</definedName>
    <definedName name="UnfundedLY">#REF!</definedName>
    <definedName name="UnfundedLY1" localSheetId="2">#REF!</definedName>
    <definedName name="UnfundedLY1">#REF!</definedName>
    <definedName name="UnfundedLYLEO1" localSheetId="2">#REF!</definedName>
    <definedName name="UnfundedLYLEO1">#REF!</definedName>
    <definedName name="UnfunedLYLEO" localSheetId="14">#REF!</definedName>
    <definedName name="UnfunedLYLEO" localSheetId="13">#REF!</definedName>
    <definedName name="UnfunedLYLEO" localSheetId="4">#REF!</definedName>
    <definedName name="UnfunedLYLEO" localSheetId="20">#REF!</definedName>
    <definedName name="UnfunedLYLEO" localSheetId="24">#REF!</definedName>
    <definedName name="UnfunedLYLEO" localSheetId="23">#REF!</definedName>
    <definedName name="UnfunedLYLEO" localSheetId="0">#REF!</definedName>
    <definedName name="UnfunedLYLEO" localSheetId="2">#REF!</definedName>
    <definedName name="UnfunedLYLEO">#REF!</definedName>
    <definedName name="Val_Int_Rate" localSheetId="20">#REF!</definedName>
    <definedName name="Val_Int_Rate">#REF!</definedName>
    <definedName name="VALUATION_DATE" localSheetId="20">#REF!</definedName>
    <definedName name="VALUATION_DATE">#REF!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12" l="1"/>
  <c r="C7" i="24"/>
  <c r="G59" i="18" l="1"/>
  <c r="E59" i="18"/>
  <c r="C24" i="12"/>
  <c r="C23" i="12"/>
  <c r="S915" i="41" l="1"/>
  <c r="S4" i="41" s="1"/>
  <c r="U915" i="41"/>
  <c r="U4" i="41" s="1"/>
  <c r="Q915" i="41"/>
  <c r="Q4" i="41" s="1"/>
  <c r="O915" i="41"/>
  <c r="O4" i="41" s="1"/>
  <c r="J915" i="41"/>
  <c r="J4" i="41" s="1"/>
  <c r="E915" i="41"/>
  <c r="C54" i="41" s="1"/>
  <c r="C30" i="41"/>
  <c r="C547" i="41"/>
  <c r="C763" i="41"/>
  <c r="D10" i="41"/>
  <c r="D11" i="41"/>
  <c r="D12" i="41"/>
  <c r="D13" i="41"/>
  <c r="D14" i="41"/>
  <c r="D15" i="41"/>
  <c r="D16" i="41"/>
  <c r="D17" i="41"/>
  <c r="D18" i="41"/>
  <c r="D19" i="41"/>
  <c r="D20" i="41"/>
  <c r="D21" i="41"/>
  <c r="D22" i="41"/>
  <c r="D23" i="41"/>
  <c r="D24" i="41"/>
  <c r="D25" i="41"/>
  <c r="D26" i="41"/>
  <c r="D27" i="41"/>
  <c r="D28" i="41"/>
  <c r="D29" i="41"/>
  <c r="D30" i="41"/>
  <c r="D31" i="41"/>
  <c r="D32" i="41"/>
  <c r="D33" i="41"/>
  <c r="D34" i="41"/>
  <c r="D35" i="41"/>
  <c r="D36" i="41"/>
  <c r="D37" i="41"/>
  <c r="D38" i="41"/>
  <c r="D39" i="41"/>
  <c r="D40" i="41"/>
  <c r="D41" i="41"/>
  <c r="D42" i="41"/>
  <c r="D43" i="41"/>
  <c r="D44" i="41"/>
  <c r="D45" i="41"/>
  <c r="D46" i="41"/>
  <c r="D47" i="41"/>
  <c r="D48" i="41"/>
  <c r="D49" i="41"/>
  <c r="D50" i="41"/>
  <c r="D51" i="41"/>
  <c r="D52" i="41"/>
  <c r="D53" i="41"/>
  <c r="D54" i="41"/>
  <c r="D55" i="41"/>
  <c r="D56" i="41"/>
  <c r="D57" i="41"/>
  <c r="D58" i="41"/>
  <c r="D59" i="41"/>
  <c r="D60" i="41"/>
  <c r="D61" i="41"/>
  <c r="D62" i="41"/>
  <c r="D63" i="41"/>
  <c r="D64" i="41"/>
  <c r="D65" i="41"/>
  <c r="D66" i="41"/>
  <c r="D67" i="41"/>
  <c r="D68" i="41"/>
  <c r="D69" i="41"/>
  <c r="D70" i="41"/>
  <c r="D71" i="41"/>
  <c r="D72" i="41"/>
  <c r="D73" i="41"/>
  <c r="D74" i="41"/>
  <c r="D75" i="41"/>
  <c r="D76" i="41"/>
  <c r="D77" i="41"/>
  <c r="D78" i="41"/>
  <c r="D79" i="41"/>
  <c r="D80" i="41"/>
  <c r="D81" i="41"/>
  <c r="D82" i="41"/>
  <c r="D83" i="41"/>
  <c r="D84" i="41"/>
  <c r="D85" i="41"/>
  <c r="D86" i="41"/>
  <c r="D87" i="41"/>
  <c r="D88" i="41"/>
  <c r="D89" i="41"/>
  <c r="D90" i="41"/>
  <c r="D91" i="41"/>
  <c r="D92" i="41"/>
  <c r="D93" i="41"/>
  <c r="D94" i="41"/>
  <c r="D95" i="41"/>
  <c r="D96" i="41"/>
  <c r="D97" i="41"/>
  <c r="D98" i="41"/>
  <c r="D99" i="41"/>
  <c r="D100" i="41"/>
  <c r="D101" i="41"/>
  <c r="D102" i="41"/>
  <c r="D103" i="41"/>
  <c r="D104" i="41"/>
  <c r="D105" i="41"/>
  <c r="D106" i="41"/>
  <c r="D107" i="41"/>
  <c r="D108" i="41"/>
  <c r="D109" i="41"/>
  <c r="D110" i="41"/>
  <c r="D111" i="41"/>
  <c r="D112" i="41"/>
  <c r="D113" i="41"/>
  <c r="D114" i="41"/>
  <c r="D115" i="41"/>
  <c r="D116" i="41"/>
  <c r="D117" i="41"/>
  <c r="D118" i="41"/>
  <c r="D119" i="41"/>
  <c r="D120" i="41"/>
  <c r="D121" i="41"/>
  <c r="D122" i="41"/>
  <c r="D123" i="41"/>
  <c r="D124" i="41"/>
  <c r="D125" i="41"/>
  <c r="D126" i="41"/>
  <c r="D127" i="41"/>
  <c r="D128" i="41"/>
  <c r="D129" i="41"/>
  <c r="D130" i="41"/>
  <c r="D131" i="41"/>
  <c r="D132" i="41"/>
  <c r="D133" i="41"/>
  <c r="D134" i="41"/>
  <c r="D135" i="41"/>
  <c r="D136" i="41"/>
  <c r="D137" i="41"/>
  <c r="D138" i="41"/>
  <c r="D139" i="41"/>
  <c r="D140" i="41"/>
  <c r="D141" i="41"/>
  <c r="D142" i="41"/>
  <c r="D143" i="41"/>
  <c r="D144" i="41"/>
  <c r="D145" i="41"/>
  <c r="D146" i="41"/>
  <c r="D147" i="41"/>
  <c r="D148" i="41"/>
  <c r="D149" i="41"/>
  <c r="D150" i="41"/>
  <c r="D151" i="41"/>
  <c r="D152" i="41"/>
  <c r="D153" i="41"/>
  <c r="D154" i="41"/>
  <c r="D155" i="41"/>
  <c r="D156" i="41"/>
  <c r="D157" i="41"/>
  <c r="D158" i="41"/>
  <c r="D159" i="41"/>
  <c r="D160" i="41"/>
  <c r="D161" i="41"/>
  <c r="D162" i="41"/>
  <c r="D163" i="41"/>
  <c r="D164" i="41"/>
  <c r="D165" i="41"/>
  <c r="D167" i="41"/>
  <c r="D168" i="41"/>
  <c r="D169" i="41"/>
  <c r="D170" i="41"/>
  <c r="D171" i="41"/>
  <c r="D172" i="41"/>
  <c r="D173" i="41"/>
  <c r="D174" i="41"/>
  <c r="D175" i="41"/>
  <c r="D176" i="41"/>
  <c r="D177" i="41"/>
  <c r="D178" i="41"/>
  <c r="D179" i="41"/>
  <c r="D180" i="41"/>
  <c r="D181" i="41"/>
  <c r="D182" i="41"/>
  <c r="D183" i="41"/>
  <c r="D184" i="41"/>
  <c r="D185" i="41"/>
  <c r="D186" i="41"/>
  <c r="D187" i="41"/>
  <c r="D188" i="41"/>
  <c r="D189" i="41"/>
  <c r="D190" i="41"/>
  <c r="D191" i="41"/>
  <c r="D192" i="41"/>
  <c r="D193" i="41"/>
  <c r="D194" i="41"/>
  <c r="D195" i="41"/>
  <c r="D196" i="41"/>
  <c r="D197" i="41"/>
  <c r="D198" i="41"/>
  <c r="D199" i="41"/>
  <c r="D200" i="41"/>
  <c r="D201" i="41"/>
  <c r="D202" i="41"/>
  <c r="D203" i="41"/>
  <c r="D204" i="41"/>
  <c r="D205" i="41"/>
  <c r="D206" i="41"/>
  <c r="D207" i="41"/>
  <c r="D208" i="41"/>
  <c r="D209" i="41"/>
  <c r="D210" i="41"/>
  <c r="D211" i="41"/>
  <c r="D212" i="41"/>
  <c r="D213" i="41"/>
  <c r="D214" i="41"/>
  <c r="D215" i="41"/>
  <c r="D216" i="41"/>
  <c r="D217" i="41"/>
  <c r="D218" i="41"/>
  <c r="D219" i="41"/>
  <c r="D220" i="41"/>
  <c r="D221" i="41"/>
  <c r="D222" i="41"/>
  <c r="D223" i="41"/>
  <c r="D224" i="41"/>
  <c r="D225" i="41"/>
  <c r="D226" i="41"/>
  <c r="D227" i="41"/>
  <c r="D228" i="41"/>
  <c r="D229" i="41"/>
  <c r="D230" i="41"/>
  <c r="D231" i="41"/>
  <c r="D232" i="41"/>
  <c r="D233" i="41"/>
  <c r="D234" i="41"/>
  <c r="D235" i="41"/>
  <c r="D236" i="41"/>
  <c r="D237" i="41"/>
  <c r="D238" i="41"/>
  <c r="D239" i="41"/>
  <c r="D240" i="41"/>
  <c r="D241" i="41"/>
  <c r="D242" i="41"/>
  <c r="D243" i="41"/>
  <c r="D244" i="41"/>
  <c r="D245" i="41"/>
  <c r="D246" i="41"/>
  <c r="D247" i="41"/>
  <c r="D248" i="41"/>
  <c r="D249" i="41"/>
  <c r="D250" i="41"/>
  <c r="D251" i="41"/>
  <c r="D252" i="41"/>
  <c r="D253" i="41"/>
  <c r="D254" i="41"/>
  <c r="D255" i="41"/>
  <c r="D256" i="41"/>
  <c r="D257" i="41"/>
  <c r="D258" i="41"/>
  <c r="D259" i="41"/>
  <c r="D260" i="41"/>
  <c r="D261" i="41"/>
  <c r="D262" i="41"/>
  <c r="D263" i="41"/>
  <c r="D264" i="41"/>
  <c r="D265" i="41"/>
  <c r="D266" i="41"/>
  <c r="D267" i="41"/>
  <c r="D268" i="41"/>
  <c r="D269" i="41"/>
  <c r="D270" i="41"/>
  <c r="D271" i="41"/>
  <c r="D272" i="41"/>
  <c r="D273" i="41"/>
  <c r="D274" i="41"/>
  <c r="D275" i="41"/>
  <c r="D276" i="41"/>
  <c r="D277" i="41"/>
  <c r="D278" i="41"/>
  <c r="D279" i="41"/>
  <c r="D280" i="41"/>
  <c r="D281" i="41"/>
  <c r="D282" i="41"/>
  <c r="D283" i="41"/>
  <c r="D284" i="41"/>
  <c r="D285" i="41"/>
  <c r="D286" i="41"/>
  <c r="D287" i="41"/>
  <c r="D288" i="41"/>
  <c r="D289" i="41"/>
  <c r="D290" i="41"/>
  <c r="D291" i="41"/>
  <c r="D292" i="41"/>
  <c r="D293" i="41"/>
  <c r="D294" i="41"/>
  <c r="D295" i="41"/>
  <c r="D296" i="41"/>
  <c r="D297" i="41"/>
  <c r="D298" i="41"/>
  <c r="D299" i="41"/>
  <c r="D300" i="41"/>
  <c r="D301" i="41"/>
  <c r="D302" i="41"/>
  <c r="D303" i="41"/>
  <c r="D304" i="41"/>
  <c r="D305" i="41"/>
  <c r="D306" i="41"/>
  <c r="D307" i="41"/>
  <c r="D308" i="41"/>
  <c r="D309" i="41"/>
  <c r="D310" i="41"/>
  <c r="D311" i="41"/>
  <c r="D312" i="41"/>
  <c r="D313" i="41"/>
  <c r="D314" i="41"/>
  <c r="D315" i="41"/>
  <c r="D316" i="41"/>
  <c r="D317" i="41"/>
  <c r="D318" i="41"/>
  <c r="D319" i="41"/>
  <c r="D320" i="41"/>
  <c r="D321" i="41"/>
  <c r="D322" i="41"/>
  <c r="D323" i="41"/>
  <c r="D324" i="41"/>
  <c r="D325" i="41"/>
  <c r="D326" i="41"/>
  <c r="D327" i="41"/>
  <c r="D328" i="41"/>
  <c r="D329" i="41"/>
  <c r="D330" i="41"/>
  <c r="D331" i="41"/>
  <c r="D332" i="41"/>
  <c r="D333" i="41"/>
  <c r="D334" i="41"/>
  <c r="D335" i="41"/>
  <c r="D336" i="41"/>
  <c r="D337" i="41"/>
  <c r="D338" i="41"/>
  <c r="D339" i="41"/>
  <c r="D340" i="41"/>
  <c r="D341" i="41"/>
  <c r="D342" i="41"/>
  <c r="D343" i="41"/>
  <c r="D344" i="41"/>
  <c r="D345" i="41"/>
  <c r="D346" i="41"/>
  <c r="D347" i="41"/>
  <c r="D348" i="41"/>
  <c r="D349" i="41"/>
  <c r="D350" i="41"/>
  <c r="D351" i="41"/>
  <c r="D352" i="41"/>
  <c r="D353" i="41"/>
  <c r="D354" i="41"/>
  <c r="D355" i="41"/>
  <c r="D356" i="41"/>
  <c r="D357" i="41"/>
  <c r="D358" i="41"/>
  <c r="D359" i="41"/>
  <c r="D360" i="41"/>
  <c r="D361" i="41"/>
  <c r="D362" i="41"/>
  <c r="D363" i="41"/>
  <c r="D364" i="41"/>
  <c r="D365" i="41"/>
  <c r="D366" i="41"/>
  <c r="D367" i="41"/>
  <c r="D368" i="41"/>
  <c r="D369" i="41"/>
  <c r="D370" i="41"/>
  <c r="D371" i="41"/>
  <c r="D372" i="41"/>
  <c r="D373" i="41"/>
  <c r="D374" i="41"/>
  <c r="D375" i="41"/>
  <c r="D376" i="41"/>
  <c r="D377" i="41"/>
  <c r="D378" i="41"/>
  <c r="D379" i="41"/>
  <c r="D380" i="41"/>
  <c r="D381" i="41"/>
  <c r="D382" i="41"/>
  <c r="D383" i="41"/>
  <c r="D384" i="41"/>
  <c r="D385" i="41"/>
  <c r="D386" i="41"/>
  <c r="D387" i="41"/>
  <c r="D388" i="41"/>
  <c r="D389" i="41"/>
  <c r="D390" i="41"/>
  <c r="D391" i="41"/>
  <c r="D392" i="41"/>
  <c r="D393" i="41"/>
  <c r="D394" i="41"/>
  <c r="D395" i="41"/>
  <c r="D396" i="41"/>
  <c r="D397" i="41"/>
  <c r="D398" i="41"/>
  <c r="D399" i="41"/>
  <c r="D400" i="41"/>
  <c r="D401" i="41"/>
  <c r="D402" i="41"/>
  <c r="D403" i="41"/>
  <c r="D404" i="41"/>
  <c r="D405" i="41"/>
  <c r="D406" i="41"/>
  <c r="D407" i="41"/>
  <c r="D408" i="41"/>
  <c r="D409" i="41"/>
  <c r="D410" i="41"/>
  <c r="D411" i="41"/>
  <c r="D412" i="41"/>
  <c r="D413" i="41"/>
  <c r="D414" i="41"/>
  <c r="D415" i="41"/>
  <c r="D416" i="41"/>
  <c r="D417" i="41"/>
  <c r="D418" i="41"/>
  <c r="D419" i="41"/>
  <c r="D420" i="41"/>
  <c r="D421" i="41"/>
  <c r="D422" i="41"/>
  <c r="D423" i="41"/>
  <c r="D424" i="41"/>
  <c r="D425" i="41"/>
  <c r="D426" i="41"/>
  <c r="D427" i="41"/>
  <c r="D428" i="41"/>
  <c r="D429" i="41"/>
  <c r="D430" i="41"/>
  <c r="D431" i="41"/>
  <c r="D432" i="41"/>
  <c r="D433" i="41"/>
  <c r="D434" i="41"/>
  <c r="D435" i="41"/>
  <c r="D436" i="41"/>
  <c r="D437" i="41"/>
  <c r="D438" i="41"/>
  <c r="D439" i="41"/>
  <c r="D440" i="41"/>
  <c r="D441" i="41"/>
  <c r="D442" i="41"/>
  <c r="D443" i="41"/>
  <c r="D444" i="41"/>
  <c r="D445" i="41"/>
  <c r="D446" i="41"/>
  <c r="D447" i="41"/>
  <c r="D448" i="41"/>
  <c r="D449" i="41"/>
  <c r="D450" i="41"/>
  <c r="D451" i="41"/>
  <c r="D452" i="41"/>
  <c r="D453" i="41"/>
  <c r="D454" i="41"/>
  <c r="D455" i="41"/>
  <c r="D456" i="41"/>
  <c r="D457" i="41"/>
  <c r="D458" i="41"/>
  <c r="D459" i="41"/>
  <c r="D460" i="41"/>
  <c r="D461" i="41"/>
  <c r="D462" i="41"/>
  <c r="D463" i="41"/>
  <c r="D464" i="41"/>
  <c r="D465" i="41"/>
  <c r="D466" i="41"/>
  <c r="D467" i="41"/>
  <c r="D468" i="41"/>
  <c r="D469" i="41"/>
  <c r="D470" i="41"/>
  <c r="D471" i="41"/>
  <c r="D472" i="41"/>
  <c r="D473" i="41"/>
  <c r="D474" i="41"/>
  <c r="D475" i="41"/>
  <c r="D476" i="41"/>
  <c r="D477" i="41"/>
  <c r="D478" i="41"/>
  <c r="D479" i="41"/>
  <c r="D480" i="41"/>
  <c r="D481" i="41"/>
  <c r="D482" i="41"/>
  <c r="D483" i="41"/>
  <c r="D484" i="41"/>
  <c r="D485" i="41"/>
  <c r="D486" i="41"/>
  <c r="D487" i="41"/>
  <c r="D488" i="41"/>
  <c r="D489" i="41"/>
  <c r="D490" i="41"/>
  <c r="D491" i="41"/>
  <c r="D492" i="41"/>
  <c r="D493" i="41"/>
  <c r="D494" i="41"/>
  <c r="D495" i="41"/>
  <c r="D496" i="41"/>
  <c r="D497" i="41"/>
  <c r="D498" i="41"/>
  <c r="D499" i="41"/>
  <c r="D500" i="41"/>
  <c r="D501" i="41"/>
  <c r="D502" i="41"/>
  <c r="D503" i="41"/>
  <c r="D504" i="41"/>
  <c r="D505" i="41"/>
  <c r="D506" i="41"/>
  <c r="D507" i="41"/>
  <c r="D508" i="41"/>
  <c r="D510" i="41"/>
  <c r="D511" i="41"/>
  <c r="D512" i="41"/>
  <c r="D513" i="41"/>
  <c r="D514" i="41"/>
  <c r="D515" i="41"/>
  <c r="D516" i="41"/>
  <c r="D517" i="41"/>
  <c r="D518" i="41"/>
  <c r="D519" i="41"/>
  <c r="D520" i="41"/>
  <c r="D521" i="41"/>
  <c r="D522" i="41"/>
  <c r="D523" i="41"/>
  <c r="D524" i="41"/>
  <c r="D525" i="41"/>
  <c r="D526" i="41"/>
  <c r="D527" i="41"/>
  <c r="D528" i="41"/>
  <c r="D529" i="41"/>
  <c r="D530" i="41"/>
  <c r="D531" i="41"/>
  <c r="D532" i="41"/>
  <c r="D533" i="41"/>
  <c r="D534" i="41"/>
  <c r="D535" i="41"/>
  <c r="D536" i="41"/>
  <c r="D537" i="41"/>
  <c r="D538" i="41"/>
  <c r="D539" i="41"/>
  <c r="D540" i="41"/>
  <c r="D541" i="41"/>
  <c r="D542" i="41"/>
  <c r="D543" i="41"/>
  <c r="D544" i="41"/>
  <c r="D545" i="41"/>
  <c r="D546" i="41"/>
  <c r="D547" i="41"/>
  <c r="D548" i="41"/>
  <c r="D549" i="41"/>
  <c r="D550" i="41"/>
  <c r="D551" i="41"/>
  <c r="D552" i="41"/>
  <c r="D553" i="41"/>
  <c r="D554" i="41"/>
  <c r="D555" i="41"/>
  <c r="D556" i="41"/>
  <c r="D557" i="41"/>
  <c r="D558" i="41"/>
  <c r="D559" i="41"/>
  <c r="D560" i="41"/>
  <c r="D561" i="41"/>
  <c r="D562" i="41"/>
  <c r="D563" i="41"/>
  <c r="D564" i="41"/>
  <c r="D565" i="41"/>
  <c r="D566" i="41"/>
  <c r="D567" i="41"/>
  <c r="D568" i="41"/>
  <c r="D569" i="41"/>
  <c r="D570" i="41"/>
  <c r="D571" i="41"/>
  <c r="D572" i="41"/>
  <c r="D573" i="41"/>
  <c r="D574" i="41"/>
  <c r="D575" i="41"/>
  <c r="D576" i="41"/>
  <c r="D577" i="41"/>
  <c r="D578" i="41"/>
  <c r="D579" i="41"/>
  <c r="D580" i="41"/>
  <c r="D581" i="41"/>
  <c r="D582" i="41"/>
  <c r="D583" i="41"/>
  <c r="D584" i="41"/>
  <c r="D585" i="41"/>
  <c r="D586" i="41"/>
  <c r="D587" i="41"/>
  <c r="D588" i="41"/>
  <c r="D589" i="41"/>
  <c r="D590" i="41"/>
  <c r="D591" i="41"/>
  <c r="D592" i="41"/>
  <c r="D593" i="41"/>
  <c r="D594" i="41"/>
  <c r="D595" i="41"/>
  <c r="D596" i="41"/>
  <c r="D597" i="41"/>
  <c r="D598" i="41"/>
  <c r="D599" i="41"/>
  <c r="D600" i="41"/>
  <c r="D601" i="41"/>
  <c r="D602" i="41"/>
  <c r="D603" i="41"/>
  <c r="D604" i="41"/>
  <c r="D605" i="41"/>
  <c r="D606" i="41"/>
  <c r="D607" i="41"/>
  <c r="D608" i="41"/>
  <c r="D609" i="41"/>
  <c r="D610" i="41"/>
  <c r="D611" i="41"/>
  <c r="D612" i="41"/>
  <c r="D613" i="41"/>
  <c r="D614" i="41"/>
  <c r="D615" i="41"/>
  <c r="D616" i="41"/>
  <c r="D617" i="41"/>
  <c r="D618" i="41"/>
  <c r="D619" i="41"/>
  <c r="D620" i="41"/>
  <c r="D621" i="41"/>
  <c r="D622" i="41"/>
  <c r="D623" i="41"/>
  <c r="D624" i="41"/>
  <c r="D625" i="41"/>
  <c r="D626" i="41"/>
  <c r="D627" i="41"/>
  <c r="D628" i="41"/>
  <c r="D629" i="41"/>
  <c r="D630" i="41"/>
  <c r="D631" i="41"/>
  <c r="D632" i="41"/>
  <c r="D633" i="41"/>
  <c r="D634" i="41"/>
  <c r="D635" i="41"/>
  <c r="D636" i="41"/>
  <c r="D637" i="41"/>
  <c r="D638" i="41"/>
  <c r="D639" i="41"/>
  <c r="D640" i="41"/>
  <c r="D641" i="41"/>
  <c r="D642" i="41"/>
  <c r="D643" i="41"/>
  <c r="D644" i="41"/>
  <c r="D645" i="41"/>
  <c r="D646" i="41"/>
  <c r="D647" i="41"/>
  <c r="D648" i="41"/>
  <c r="D649" i="41"/>
  <c r="D650" i="41"/>
  <c r="D651" i="41"/>
  <c r="D652" i="41"/>
  <c r="D653" i="41"/>
  <c r="D654" i="41"/>
  <c r="D655" i="41"/>
  <c r="D656" i="41"/>
  <c r="D657" i="41"/>
  <c r="D658" i="41"/>
  <c r="D659" i="41"/>
  <c r="D660" i="41"/>
  <c r="D661" i="41"/>
  <c r="D662" i="41"/>
  <c r="D663" i="41"/>
  <c r="D664" i="41"/>
  <c r="D665" i="41"/>
  <c r="D666" i="41"/>
  <c r="D667" i="41"/>
  <c r="D668" i="41"/>
  <c r="D669" i="41"/>
  <c r="D670" i="41"/>
  <c r="D671" i="41"/>
  <c r="D672" i="41"/>
  <c r="D673" i="41"/>
  <c r="D674" i="41"/>
  <c r="D675" i="41"/>
  <c r="D676" i="41"/>
  <c r="D677" i="41"/>
  <c r="D678" i="41"/>
  <c r="D679" i="41"/>
  <c r="D680" i="41"/>
  <c r="D681" i="41"/>
  <c r="D682" i="41"/>
  <c r="D683" i="41"/>
  <c r="D684" i="41"/>
  <c r="D685" i="41"/>
  <c r="D686" i="41"/>
  <c r="D687" i="41"/>
  <c r="D688" i="41"/>
  <c r="D689" i="41"/>
  <c r="D690" i="41"/>
  <c r="D691" i="41"/>
  <c r="D692" i="41"/>
  <c r="D693" i="41"/>
  <c r="D694" i="41"/>
  <c r="D695" i="41"/>
  <c r="D696" i="41"/>
  <c r="D697" i="41"/>
  <c r="D698" i="41"/>
  <c r="D699" i="41"/>
  <c r="D700" i="41"/>
  <c r="D701" i="41"/>
  <c r="D702" i="41"/>
  <c r="D703" i="41"/>
  <c r="D704" i="41"/>
  <c r="D706" i="41"/>
  <c r="D707" i="41"/>
  <c r="D708" i="41"/>
  <c r="D709" i="41"/>
  <c r="D710" i="41"/>
  <c r="D711" i="41"/>
  <c r="D712" i="41"/>
  <c r="D713" i="41"/>
  <c r="D714" i="41"/>
  <c r="D715" i="41"/>
  <c r="D716" i="41"/>
  <c r="D717" i="41"/>
  <c r="D718" i="41"/>
  <c r="D719" i="41"/>
  <c r="D720" i="41"/>
  <c r="D721" i="41"/>
  <c r="D722" i="41"/>
  <c r="D723" i="41"/>
  <c r="D724" i="41"/>
  <c r="D725" i="41"/>
  <c r="D726" i="41"/>
  <c r="D727" i="41"/>
  <c r="D728" i="41"/>
  <c r="D729" i="41"/>
  <c r="D730" i="41"/>
  <c r="D731" i="41"/>
  <c r="D732" i="41"/>
  <c r="D733" i="41"/>
  <c r="D734" i="41"/>
  <c r="D735" i="41"/>
  <c r="D736" i="41"/>
  <c r="D737" i="41"/>
  <c r="D738" i="41"/>
  <c r="D739" i="41"/>
  <c r="D740" i="41"/>
  <c r="D741" i="41"/>
  <c r="D742" i="41"/>
  <c r="D743" i="41"/>
  <c r="D744" i="41"/>
  <c r="D745" i="41"/>
  <c r="D746" i="41"/>
  <c r="D747" i="41"/>
  <c r="D748" i="41"/>
  <c r="D749" i="41"/>
  <c r="D750" i="41"/>
  <c r="D751" i="41"/>
  <c r="D752" i="41"/>
  <c r="D753" i="41"/>
  <c r="D754" i="41"/>
  <c r="D755" i="41"/>
  <c r="D756" i="41"/>
  <c r="D757" i="41"/>
  <c r="D758" i="41"/>
  <c r="D759" i="41"/>
  <c r="D760" i="41"/>
  <c r="D761" i="41"/>
  <c r="D762" i="41"/>
  <c r="D763" i="41"/>
  <c r="D764" i="41"/>
  <c r="D765" i="41"/>
  <c r="D766" i="41"/>
  <c r="D767" i="41"/>
  <c r="D768" i="41"/>
  <c r="D769" i="41"/>
  <c r="D770" i="41"/>
  <c r="D771" i="41"/>
  <c r="D772" i="41"/>
  <c r="D773" i="41"/>
  <c r="D774" i="41"/>
  <c r="D775" i="41"/>
  <c r="D776" i="41"/>
  <c r="D777" i="41"/>
  <c r="D778" i="41"/>
  <c r="D779" i="41"/>
  <c r="D780" i="41"/>
  <c r="D781" i="41"/>
  <c r="D782" i="41"/>
  <c r="D783" i="41"/>
  <c r="D784" i="41"/>
  <c r="D785" i="41"/>
  <c r="D786" i="41"/>
  <c r="D787" i="41"/>
  <c r="D788" i="41"/>
  <c r="D789" i="41"/>
  <c r="D790" i="41"/>
  <c r="D791" i="41"/>
  <c r="D792" i="41"/>
  <c r="D793" i="41"/>
  <c r="D794" i="41"/>
  <c r="D795" i="41"/>
  <c r="D796" i="41"/>
  <c r="D797" i="41"/>
  <c r="D798" i="41"/>
  <c r="D799" i="41"/>
  <c r="D800" i="41"/>
  <c r="D801" i="41"/>
  <c r="D802" i="41"/>
  <c r="D803" i="41"/>
  <c r="D804" i="41"/>
  <c r="D805" i="41"/>
  <c r="D806" i="41"/>
  <c r="D807" i="41"/>
  <c r="D808" i="41"/>
  <c r="D809" i="41"/>
  <c r="D810" i="41"/>
  <c r="D811" i="41"/>
  <c r="D812" i="41"/>
  <c r="D813" i="41"/>
  <c r="D814" i="41"/>
  <c r="D815" i="41"/>
  <c r="D816" i="41"/>
  <c r="D817" i="41"/>
  <c r="D818" i="41"/>
  <c r="D819" i="41"/>
  <c r="D820" i="41"/>
  <c r="D821" i="41"/>
  <c r="D822" i="41"/>
  <c r="D823" i="41"/>
  <c r="D824" i="41"/>
  <c r="D825" i="41"/>
  <c r="D826" i="41"/>
  <c r="D827" i="41"/>
  <c r="D828" i="41"/>
  <c r="D829" i="41"/>
  <c r="D830" i="41"/>
  <c r="D831" i="41"/>
  <c r="D832" i="41"/>
  <c r="D833" i="41"/>
  <c r="D834" i="41"/>
  <c r="D835" i="41"/>
  <c r="D836" i="41"/>
  <c r="D837" i="41"/>
  <c r="D838" i="41"/>
  <c r="D839" i="41"/>
  <c r="D840" i="41"/>
  <c r="D841" i="41"/>
  <c r="D842" i="41"/>
  <c r="D843" i="41"/>
  <c r="D844" i="41"/>
  <c r="D845" i="41"/>
  <c r="D846" i="41"/>
  <c r="D847" i="41"/>
  <c r="D848" i="41"/>
  <c r="D849" i="41"/>
  <c r="D850" i="41"/>
  <c r="D851" i="41"/>
  <c r="D852" i="41"/>
  <c r="D853" i="41"/>
  <c r="D854" i="41"/>
  <c r="D855" i="41"/>
  <c r="D856" i="41"/>
  <c r="D857" i="41"/>
  <c r="D858" i="41"/>
  <c r="D859" i="41"/>
  <c r="D860" i="41"/>
  <c r="D861" i="41"/>
  <c r="D862" i="41"/>
  <c r="D863" i="41"/>
  <c r="D864" i="41"/>
  <c r="D865" i="41"/>
  <c r="D866" i="41"/>
  <c r="D867" i="41"/>
  <c r="D868" i="41"/>
  <c r="D869" i="41"/>
  <c r="D870" i="41"/>
  <c r="D871" i="41"/>
  <c r="D872" i="41"/>
  <c r="D873" i="41"/>
  <c r="D874" i="41"/>
  <c r="D875" i="41"/>
  <c r="D876" i="41"/>
  <c r="D877" i="41"/>
  <c r="D878" i="41"/>
  <c r="D879" i="41"/>
  <c r="D880" i="41"/>
  <c r="D881" i="41"/>
  <c r="D882" i="41"/>
  <c r="D883" i="41"/>
  <c r="D884" i="41"/>
  <c r="D885" i="41"/>
  <c r="D886" i="41"/>
  <c r="D887" i="41"/>
  <c r="D888" i="41"/>
  <c r="D889" i="41"/>
  <c r="D890" i="41"/>
  <c r="D891" i="41"/>
  <c r="D892" i="41"/>
  <c r="D893" i="41"/>
  <c r="D894" i="41"/>
  <c r="D895" i="41"/>
  <c r="D896" i="41"/>
  <c r="D897" i="41"/>
  <c r="D898" i="41"/>
  <c r="D899" i="41"/>
  <c r="D900" i="41"/>
  <c r="D901" i="41"/>
  <c r="D902" i="41"/>
  <c r="D903" i="41"/>
  <c r="D904" i="41"/>
  <c r="D905" i="41"/>
  <c r="D906" i="41"/>
  <c r="D907" i="41"/>
  <c r="D908" i="41"/>
  <c r="D909" i="41"/>
  <c r="D910" i="41"/>
  <c r="D9" i="41"/>
  <c r="C270" i="41" l="1"/>
  <c r="C701" i="41"/>
  <c r="C199" i="41"/>
  <c r="C906" i="41"/>
  <c r="C691" i="41"/>
  <c r="C414" i="41"/>
  <c r="C198" i="41"/>
  <c r="C846" i="41"/>
  <c r="C631" i="41"/>
  <c r="C413" i="41"/>
  <c r="C187" i="41"/>
  <c r="C837" i="41"/>
  <c r="C630" i="41"/>
  <c r="C405" i="41"/>
  <c r="C150" i="41"/>
  <c r="C487" i="41"/>
  <c r="C702" i="41"/>
  <c r="C259" i="41"/>
  <c r="C835" i="41"/>
  <c r="C619" i="41"/>
  <c r="C403" i="41"/>
  <c r="C117" i="41"/>
  <c r="C726" i="41"/>
  <c r="C486" i="41"/>
  <c r="C438" i="41"/>
  <c r="C834" i="41"/>
  <c r="C582" i="41"/>
  <c r="C343" i="41"/>
  <c r="C115" i="41"/>
  <c r="C833" i="41"/>
  <c r="C558" i="41"/>
  <c r="C342" i="41"/>
  <c r="C114" i="41"/>
  <c r="C775" i="41"/>
  <c r="C557" i="41"/>
  <c r="C331" i="41"/>
  <c r="C105" i="41"/>
  <c r="C269" i="41"/>
  <c r="C907" i="41"/>
  <c r="C774" i="41"/>
  <c r="C549" i="41"/>
  <c r="C294" i="41"/>
  <c r="C31" i="41"/>
  <c r="C882" i="41"/>
  <c r="C693" i="41"/>
  <c r="C475" i="41"/>
  <c r="C261" i="41"/>
  <c r="C18" i="41"/>
  <c r="C845" i="41"/>
  <c r="C703" i="41"/>
  <c r="C559" i="41"/>
  <c r="C415" i="41"/>
  <c r="C271" i="41"/>
  <c r="C126" i="41"/>
  <c r="C10" i="41"/>
  <c r="C909" i="41"/>
  <c r="C797" i="41"/>
  <c r="C654" i="41"/>
  <c r="C510" i="41"/>
  <c r="C366" i="41"/>
  <c r="C222" i="41"/>
  <c r="C55" i="41"/>
  <c r="W915" i="41"/>
  <c r="W4" i="41" s="1"/>
  <c r="X915" i="41"/>
  <c r="X4" i="41" s="1"/>
  <c r="C905" i="41"/>
  <c r="C773" i="41"/>
  <c r="C629" i="41"/>
  <c r="C485" i="41"/>
  <c r="C341" i="41"/>
  <c r="C197" i="41"/>
  <c r="C21" i="41"/>
  <c r="C883" i="41"/>
  <c r="C765" i="41"/>
  <c r="C621" i="41"/>
  <c r="C477" i="41"/>
  <c r="C333" i="41"/>
  <c r="C189" i="41"/>
  <c r="C19" i="41"/>
  <c r="C811" i="41"/>
  <c r="C690" i="41"/>
  <c r="C546" i="41"/>
  <c r="C402" i="41"/>
  <c r="C258" i="41"/>
  <c r="C103" i="41"/>
  <c r="C810" i="41"/>
  <c r="C667" i="41"/>
  <c r="C523" i="41"/>
  <c r="C379" i="41"/>
  <c r="C235" i="41"/>
  <c r="C163" i="41"/>
  <c r="C870" i="41"/>
  <c r="C801" i="41"/>
  <c r="C737" i="41"/>
  <c r="C665" i="41"/>
  <c r="C593" i="41"/>
  <c r="C521" i="41"/>
  <c r="C449" i="41"/>
  <c r="C377" i="41"/>
  <c r="C305" i="41"/>
  <c r="C233" i="41"/>
  <c r="C161" i="41"/>
  <c r="C67" i="41"/>
  <c r="C869" i="41"/>
  <c r="C799" i="41"/>
  <c r="C729" i="41"/>
  <c r="C657" i="41"/>
  <c r="C585" i="41"/>
  <c r="C513" i="41"/>
  <c r="C441" i="41"/>
  <c r="C369" i="41"/>
  <c r="C297" i="41"/>
  <c r="C225" i="41"/>
  <c r="C153" i="41"/>
  <c r="C66" i="41"/>
  <c r="C881" i="41"/>
  <c r="C762" i="41"/>
  <c r="C618" i="41"/>
  <c r="C474" i="41"/>
  <c r="C330" i="41"/>
  <c r="C186" i="41"/>
  <c r="C873" i="41"/>
  <c r="C739" i="41"/>
  <c r="C595" i="41"/>
  <c r="C451" i="41"/>
  <c r="C307" i="41"/>
  <c r="C78" i="41"/>
  <c r="C847" i="41"/>
  <c r="C798" i="41"/>
  <c r="C727" i="41"/>
  <c r="C655" i="41"/>
  <c r="C583" i="41"/>
  <c r="C511" i="41"/>
  <c r="C439" i="41"/>
  <c r="C367" i="41"/>
  <c r="C295" i="41"/>
  <c r="C223" i="41"/>
  <c r="C151" i="41"/>
  <c r="C57" i="41"/>
  <c r="C871" i="41"/>
  <c r="C809" i="41"/>
  <c r="C738" i="41"/>
  <c r="C666" i="41"/>
  <c r="C594" i="41"/>
  <c r="C522" i="41"/>
  <c r="C450" i="41"/>
  <c r="C378" i="41"/>
  <c r="C306" i="41"/>
  <c r="C234" i="41"/>
  <c r="C162" i="41"/>
  <c r="C69" i="41"/>
  <c r="T915" i="41"/>
  <c r="T4" i="41" s="1"/>
  <c r="N915" i="41"/>
  <c r="N4" i="41" s="1"/>
  <c r="M915" i="41"/>
  <c r="M4" i="41" s="1"/>
  <c r="P915" i="41"/>
  <c r="P4" i="41" s="1"/>
  <c r="I915" i="41"/>
  <c r="I4" i="41" s="1"/>
  <c r="H915" i="41"/>
  <c r="H4" i="41" s="1"/>
  <c r="G915" i="41"/>
  <c r="G4" i="41" s="1"/>
  <c r="K915" i="41"/>
  <c r="K4" i="41" s="1"/>
  <c r="C859" i="41"/>
  <c r="C751" i="41"/>
  <c r="C643" i="41"/>
  <c r="C499" i="41"/>
  <c r="C391" i="41"/>
  <c r="C283" i="41"/>
  <c r="C139" i="41"/>
  <c r="C894" i="41"/>
  <c r="C858" i="41"/>
  <c r="C822" i="41"/>
  <c r="C786" i="41"/>
  <c r="C750" i="41"/>
  <c r="C714" i="41"/>
  <c r="C678" i="41"/>
  <c r="C642" i="41"/>
  <c r="C606" i="41"/>
  <c r="C570" i="41"/>
  <c r="C534" i="41"/>
  <c r="C498" i="41"/>
  <c r="C462" i="41"/>
  <c r="C426" i="41"/>
  <c r="C390" i="41"/>
  <c r="C354" i="41"/>
  <c r="C318" i="41"/>
  <c r="C282" i="41"/>
  <c r="C246" i="41"/>
  <c r="C210" i="41"/>
  <c r="C174" i="41"/>
  <c r="C138" i="41"/>
  <c r="C90" i="41"/>
  <c r="C42" i="41"/>
  <c r="C725" i="41"/>
  <c r="C617" i="41"/>
  <c r="C545" i="41"/>
  <c r="C473" i="41"/>
  <c r="C329" i="41"/>
  <c r="C185" i="41"/>
  <c r="C102" i="41"/>
  <c r="C897" i="41"/>
  <c r="C861" i="41"/>
  <c r="C825" i="41"/>
  <c r="C753" i="41"/>
  <c r="C717" i="41"/>
  <c r="C645" i="41"/>
  <c r="C609" i="41"/>
  <c r="C537" i="41"/>
  <c r="C501" i="41"/>
  <c r="C429" i="41"/>
  <c r="C357" i="41"/>
  <c r="C285" i="41"/>
  <c r="C213" i="41"/>
  <c r="C141" i="41"/>
  <c r="C45" i="41"/>
  <c r="C895" i="41"/>
  <c r="C787" i="41"/>
  <c r="C679" i="41"/>
  <c r="C607" i="41"/>
  <c r="C535" i="41"/>
  <c r="C427" i="41"/>
  <c r="C319" i="41"/>
  <c r="C211" i="41"/>
  <c r="C43" i="41"/>
  <c r="C893" i="41"/>
  <c r="C857" i="41"/>
  <c r="C821" i="41"/>
  <c r="C785" i="41"/>
  <c r="C749" i="41"/>
  <c r="C713" i="41"/>
  <c r="C677" i="41"/>
  <c r="C641" i="41"/>
  <c r="C605" i="41"/>
  <c r="C569" i="41"/>
  <c r="C533" i="41"/>
  <c r="C497" i="41"/>
  <c r="C461" i="41"/>
  <c r="C425" i="41"/>
  <c r="C389" i="41"/>
  <c r="C353" i="41"/>
  <c r="C317" i="41"/>
  <c r="C281" i="41"/>
  <c r="C245" i="41"/>
  <c r="C209" i="41"/>
  <c r="C173" i="41"/>
  <c r="C129" i="41"/>
  <c r="C81" i="41"/>
  <c r="C41" i="41"/>
  <c r="C761" i="41"/>
  <c r="C689" i="41"/>
  <c r="C653" i="41"/>
  <c r="C581" i="41"/>
  <c r="C509" i="41"/>
  <c r="C437" i="41"/>
  <c r="C401" i="41"/>
  <c r="C365" i="41"/>
  <c r="C293" i="41"/>
  <c r="C257" i="41"/>
  <c r="C221" i="41"/>
  <c r="C149" i="41"/>
  <c r="C789" i="41"/>
  <c r="C681" i="41"/>
  <c r="C573" i="41"/>
  <c r="C465" i="41"/>
  <c r="C393" i="41"/>
  <c r="C321" i="41"/>
  <c r="C249" i="41"/>
  <c r="C177" i="41"/>
  <c r="C93" i="41"/>
  <c r="C823" i="41"/>
  <c r="C715" i="41"/>
  <c r="C571" i="41"/>
  <c r="C463" i="41"/>
  <c r="C355" i="41"/>
  <c r="C247" i="41"/>
  <c r="C175" i="41"/>
  <c r="C91" i="41"/>
  <c r="C885" i="41"/>
  <c r="C849" i="41"/>
  <c r="C813" i="41"/>
  <c r="C777" i="41"/>
  <c r="C741" i="41"/>
  <c r="C705" i="41"/>
  <c r="C669" i="41"/>
  <c r="C633" i="41"/>
  <c r="C597" i="41"/>
  <c r="C561" i="41"/>
  <c r="C525" i="41"/>
  <c r="C489" i="41"/>
  <c r="C453" i="41"/>
  <c r="C417" i="41"/>
  <c r="C381" i="41"/>
  <c r="C345" i="41"/>
  <c r="C309" i="41"/>
  <c r="C273" i="41"/>
  <c r="C237" i="41"/>
  <c r="C201" i="41"/>
  <c r="C165" i="41"/>
  <c r="C127" i="41"/>
  <c r="C79" i="41"/>
  <c r="C33" i="41"/>
  <c r="E4" i="41"/>
  <c r="D915" i="41"/>
  <c r="C908" i="41"/>
  <c r="C896" i="41"/>
  <c r="C884" i="41"/>
  <c r="C872" i="41"/>
  <c r="C860" i="41"/>
  <c r="C848" i="41"/>
  <c r="C836" i="41"/>
  <c r="C824" i="41"/>
  <c r="C812" i="41"/>
  <c r="C800" i="41"/>
  <c r="C788" i="41"/>
  <c r="C776" i="41"/>
  <c r="C764" i="41"/>
  <c r="C752" i="41"/>
  <c r="C740" i="41"/>
  <c r="C728" i="41"/>
  <c r="C716" i="41"/>
  <c r="C704" i="41"/>
  <c r="C692" i="41"/>
  <c r="C680" i="41"/>
  <c r="C668" i="41"/>
  <c r="C656" i="41"/>
  <c r="C644" i="41"/>
  <c r="C632" i="41"/>
  <c r="C620" i="41"/>
  <c r="C608" i="41"/>
  <c r="C596" i="41"/>
  <c r="C584" i="41"/>
  <c r="C572" i="41"/>
  <c r="C560" i="41"/>
  <c r="C548" i="41"/>
  <c r="C536" i="41"/>
  <c r="C524" i="41"/>
  <c r="C512" i="41"/>
  <c r="C500" i="41"/>
  <c r="C488" i="41"/>
  <c r="C476" i="41"/>
  <c r="C464" i="41"/>
  <c r="C452" i="41"/>
  <c r="C440" i="41"/>
  <c r="C428" i="41"/>
  <c r="C416" i="41"/>
  <c r="C404" i="41"/>
  <c r="C392" i="41"/>
  <c r="C380" i="41"/>
  <c r="C368" i="41"/>
  <c r="C356" i="41"/>
  <c r="C344" i="41"/>
  <c r="C332" i="41"/>
  <c r="C320" i="41"/>
  <c r="C308" i="41"/>
  <c r="C296" i="41"/>
  <c r="C284" i="41"/>
  <c r="C272" i="41"/>
  <c r="C260" i="41"/>
  <c r="C248" i="41"/>
  <c r="C236" i="41"/>
  <c r="C224" i="41"/>
  <c r="C212" i="41"/>
  <c r="C200" i="41"/>
  <c r="C188" i="41"/>
  <c r="C176" i="41"/>
  <c r="C164" i="41"/>
  <c r="C152" i="41"/>
  <c r="C140" i="41"/>
  <c r="C128" i="41"/>
  <c r="C116" i="41"/>
  <c r="C104" i="41"/>
  <c r="C92" i="41"/>
  <c r="C80" i="41"/>
  <c r="C68" i="41"/>
  <c r="C56" i="41"/>
  <c r="C44" i="41"/>
  <c r="C32" i="41"/>
  <c r="C20" i="41"/>
  <c r="C17" i="41"/>
  <c r="C904" i="41"/>
  <c r="C892" i="41"/>
  <c r="C880" i="41"/>
  <c r="C868" i="41"/>
  <c r="C856" i="41"/>
  <c r="C844" i="41"/>
  <c r="C832" i="41"/>
  <c r="C820" i="41"/>
  <c r="C808" i="41"/>
  <c r="C796" i="41"/>
  <c r="C784" i="41"/>
  <c r="C772" i="41"/>
  <c r="C760" i="41"/>
  <c r="C748" i="41"/>
  <c r="C736" i="41"/>
  <c r="C724" i="41"/>
  <c r="C712" i="41"/>
  <c r="C700" i="41"/>
  <c r="C688" i="41"/>
  <c r="C676" i="41"/>
  <c r="C664" i="41"/>
  <c r="C652" i="41"/>
  <c r="C640" i="41"/>
  <c r="C628" i="41"/>
  <c r="C616" i="41"/>
  <c r="C604" i="41"/>
  <c r="C592" i="41"/>
  <c r="C580" i="41"/>
  <c r="C568" i="41"/>
  <c r="C556" i="41"/>
  <c r="C544" i="41"/>
  <c r="C532" i="41"/>
  <c r="C520" i="41"/>
  <c r="C508" i="41"/>
  <c r="C496" i="41"/>
  <c r="C484" i="41"/>
  <c r="C472" i="41"/>
  <c r="C460" i="41"/>
  <c r="C448" i="41"/>
  <c r="C436" i="41"/>
  <c r="C424" i="41"/>
  <c r="C412" i="41"/>
  <c r="C400" i="41"/>
  <c r="C388" i="41"/>
  <c r="C376" i="41"/>
  <c r="C364" i="41"/>
  <c r="C352" i="41"/>
  <c r="C340" i="41"/>
  <c r="C328" i="41"/>
  <c r="C316" i="41"/>
  <c r="C304" i="41"/>
  <c r="C292" i="41"/>
  <c r="C280" i="41"/>
  <c r="C268" i="41"/>
  <c r="C256" i="41"/>
  <c r="C244" i="41"/>
  <c r="C232" i="41"/>
  <c r="C220" i="41"/>
  <c r="C208" i="41"/>
  <c r="C196" i="41"/>
  <c r="C184" i="41"/>
  <c r="C172" i="41"/>
  <c r="C160" i="41"/>
  <c r="C148" i="41"/>
  <c r="C136" i="41"/>
  <c r="C124" i="41"/>
  <c r="C112" i="41"/>
  <c r="C100" i="41"/>
  <c r="C88" i="41"/>
  <c r="C76" i="41"/>
  <c r="C64" i="41"/>
  <c r="C52" i="41"/>
  <c r="C40" i="41"/>
  <c r="C28" i="41"/>
  <c r="C16" i="41"/>
  <c r="C903" i="41"/>
  <c r="C891" i="41"/>
  <c r="C879" i="41"/>
  <c r="C867" i="41"/>
  <c r="C855" i="41"/>
  <c r="C843" i="41"/>
  <c r="C831" i="41"/>
  <c r="C819" i="41"/>
  <c r="C807" i="41"/>
  <c r="C795" i="41"/>
  <c r="C783" i="41"/>
  <c r="C771" i="41"/>
  <c r="C759" i="41"/>
  <c r="C747" i="41"/>
  <c r="C735" i="41"/>
  <c r="C723" i="41"/>
  <c r="C711" i="41"/>
  <c r="C699" i="41"/>
  <c r="C687" i="41"/>
  <c r="C675" i="41"/>
  <c r="C663" i="41"/>
  <c r="C651" i="41"/>
  <c r="C639" i="41"/>
  <c r="C627" i="41"/>
  <c r="C615" i="41"/>
  <c r="C603" i="41"/>
  <c r="C591" i="41"/>
  <c r="C579" i="41"/>
  <c r="C567" i="41"/>
  <c r="C555" i="41"/>
  <c r="C543" i="41"/>
  <c r="C531" i="41"/>
  <c r="C519" i="41"/>
  <c r="C507" i="41"/>
  <c r="C495" i="41"/>
  <c r="C483" i="41"/>
  <c r="C471" i="41"/>
  <c r="C459" i="41"/>
  <c r="C447" i="41"/>
  <c r="C435" i="41"/>
  <c r="C423" i="41"/>
  <c r="C411" i="41"/>
  <c r="C399" i="41"/>
  <c r="C387" i="41"/>
  <c r="C375" i="41"/>
  <c r="C363" i="41"/>
  <c r="C351" i="41"/>
  <c r="C339" i="41"/>
  <c r="C327" i="41"/>
  <c r="C315" i="41"/>
  <c r="C303" i="41"/>
  <c r="C291" i="41"/>
  <c r="C279" i="41"/>
  <c r="C267" i="41"/>
  <c r="C255" i="41"/>
  <c r="C243" i="41"/>
  <c r="C231" i="41"/>
  <c r="C219" i="41"/>
  <c r="C207" i="41"/>
  <c r="C195" i="41"/>
  <c r="C183" i="41"/>
  <c r="C171" i="41"/>
  <c r="C159" i="41"/>
  <c r="C147" i="41"/>
  <c r="C135" i="41"/>
  <c r="C123" i="41"/>
  <c r="C111" i="41"/>
  <c r="C99" i="41"/>
  <c r="C87" i="41"/>
  <c r="C75" i="41"/>
  <c r="C63" i="41"/>
  <c r="C51" i="41"/>
  <c r="C39" i="41"/>
  <c r="C27" i="41"/>
  <c r="C15" i="41"/>
  <c r="C137" i="41"/>
  <c r="C125" i="41"/>
  <c r="C113" i="41"/>
  <c r="C101" i="41"/>
  <c r="C89" i="41"/>
  <c r="C77" i="41"/>
  <c r="C65" i="41"/>
  <c r="C53" i="41"/>
  <c r="C29" i="41"/>
  <c r="C9" i="41"/>
  <c r="C902" i="41"/>
  <c r="C890" i="41"/>
  <c r="C878" i="41"/>
  <c r="C866" i="41"/>
  <c r="C854" i="41"/>
  <c r="C842" i="41"/>
  <c r="C830" i="41"/>
  <c r="C818" i="41"/>
  <c r="C806" i="41"/>
  <c r="C794" i="41"/>
  <c r="C782" i="41"/>
  <c r="C770" i="41"/>
  <c r="C758" i="41"/>
  <c r="C746" i="41"/>
  <c r="C734" i="41"/>
  <c r="C722" i="41"/>
  <c r="C710" i="41"/>
  <c r="C698" i="41"/>
  <c r="C686" i="41"/>
  <c r="C674" i="41"/>
  <c r="C662" i="41"/>
  <c r="C650" i="41"/>
  <c r="C638" i="41"/>
  <c r="C626" i="41"/>
  <c r="C614" i="41"/>
  <c r="C602" i="41"/>
  <c r="C590" i="41"/>
  <c r="C578" i="41"/>
  <c r="C566" i="41"/>
  <c r="C554" i="41"/>
  <c r="C542" i="41"/>
  <c r="C530" i="41"/>
  <c r="C518" i="41"/>
  <c r="C506" i="41"/>
  <c r="C494" i="41"/>
  <c r="C482" i="41"/>
  <c r="C470" i="41"/>
  <c r="C458" i="41"/>
  <c r="C446" i="41"/>
  <c r="C434" i="41"/>
  <c r="C422" i="41"/>
  <c r="C410" i="41"/>
  <c r="C398" i="41"/>
  <c r="C386" i="41"/>
  <c r="C374" i="41"/>
  <c r="C362" i="41"/>
  <c r="C350" i="41"/>
  <c r="C338" i="41"/>
  <c r="C326" i="41"/>
  <c r="C314" i="41"/>
  <c r="C302" i="41"/>
  <c r="C290" i="41"/>
  <c r="C278" i="41"/>
  <c r="C266" i="41"/>
  <c r="C254" i="41"/>
  <c r="C242" i="41"/>
  <c r="C230" i="41"/>
  <c r="C218" i="41"/>
  <c r="C206" i="41"/>
  <c r="C194" i="41"/>
  <c r="C182" i="41"/>
  <c r="C170" i="41"/>
  <c r="C158" i="41"/>
  <c r="C146" i="41"/>
  <c r="C134" i="41"/>
  <c r="C122" i="41"/>
  <c r="C110" i="41"/>
  <c r="C98" i="41"/>
  <c r="C86" i="41"/>
  <c r="C74" i="41"/>
  <c r="C62" i="41"/>
  <c r="C50" i="41"/>
  <c r="C38" i="41"/>
  <c r="C26" i="41"/>
  <c r="C14" i="41"/>
  <c r="C913" i="41"/>
  <c r="C901" i="41"/>
  <c r="C889" i="41"/>
  <c r="C877" i="41"/>
  <c r="C865" i="41"/>
  <c r="C853" i="41"/>
  <c r="C841" i="41"/>
  <c r="C829" i="41"/>
  <c r="C817" i="41"/>
  <c r="C805" i="41"/>
  <c r="C793" i="41"/>
  <c r="C781" i="41"/>
  <c r="C769" i="41"/>
  <c r="C757" i="41"/>
  <c r="C745" i="41"/>
  <c r="C733" i="41"/>
  <c r="C721" i="41"/>
  <c r="C709" i="41"/>
  <c r="C697" i="41"/>
  <c r="C685" i="41"/>
  <c r="C673" i="41"/>
  <c r="C661" i="41"/>
  <c r="C649" i="41"/>
  <c r="C637" i="41"/>
  <c r="C625" i="41"/>
  <c r="C613" i="41"/>
  <c r="C601" i="41"/>
  <c r="C589" i="41"/>
  <c r="C577" i="41"/>
  <c r="C565" i="41"/>
  <c r="C553" i="41"/>
  <c r="C541" i="41"/>
  <c r="C529" i="41"/>
  <c r="C517" i="41"/>
  <c r="C505" i="41"/>
  <c r="C493" i="41"/>
  <c r="C481" i="41"/>
  <c r="C469" i="41"/>
  <c r="C457" i="41"/>
  <c r="C445" i="41"/>
  <c r="C433" i="41"/>
  <c r="C421" i="41"/>
  <c r="C409" i="41"/>
  <c r="C397" i="41"/>
  <c r="C385" i="41"/>
  <c r="C373" i="41"/>
  <c r="C361" i="41"/>
  <c r="C349" i="41"/>
  <c r="C337" i="41"/>
  <c r="C325" i="41"/>
  <c r="C313" i="41"/>
  <c r="C301" i="41"/>
  <c r="C289" i="41"/>
  <c r="C277" i="41"/>
  <c r="C265" i="41"/>
  <c r="C253" i="41"/>
  <c r="C241" i="41"/>
  <c r="C229" i="41"/>
  <c r="C217" i="41"/>
  <c r="C205" i="41"/>
  <c r="C193" i="41"/>
  <c r="C181" i="41"/>
  <c r="C169" i="41"/>
  <c r="C157" i="41"/>
  <c r="C145" i="41"/>
  <c r="C133" i="41"/>
  <c r="C121" i="41"/>
  <c r="C109" i="41"/>
  <c r="C97" i="41"/>
  <c r="C85" i="41"/>
  <c r="C73" i="41"/>
  <c r="C61" i="41"/>
  <c r="C49" i="41"/>
  <c r="C37" i="41"/>
  <c r="C25" i="41"/>
  <c r="C13" i="41"/>
  <c r="C912" i="41"/>
  <c r="C900" i="41"/>
  <c r="C888" i="41"/>
  <c r="C876" i="41"/>
  <c r="C864" i="41"/>
  <c r="C852" i="41"/>
  <c r="C840" i="41"/>
  <c r="C828" i="41"/>
  <c r="C816" i="41"/>
  <c r="C804" i="41"/>
  <c r="C792" i="41"/>
  <c r="C780" i="41"/>
  <c r="C768" i="41"/>
  <c r="C756" i="41"/>
  <c r="C744" i="41"/>
  <c r="C732" i="41"/>
  <c r="C720" i="41"/>
  <c r="C708" i="41"/>
  <c r="C696" i="41"/>
  <c r="C684" i="41"/>
  <c r="C672" i="41"/>
  <c r="C660" i="41"/>
  <c r="C648" i="41"/>
  <c r="C636" i="41"/>
  <c r="C624" i="41"/>
  <c r="C612" i="41"/>
  <c r="C600" i="41"/>
  <c r="C588" i="41"/>
  <c r="C576" i="41"/>
  <c r="C564" i="41"/>
  <c r="C552" i="41"/>
  <c r="C540" i="41"/>
  <c r="C528" i="41"/>
  <c r="C516" i="41"/>
  <c r="C504" i="41"/>
  <c r="C492" i="41"/>
  <c r="C480" i="41"/>
  <c r="C468" i="41"/>
  <c r="C456" i="41"/>
  <c r="C444" i="41"/>
  <c r="C432" i="41"/>
  <c r="C420" i="41"/>
  <c r="C408" i="41"/>
  <c r="C396" i="41"/>
  <c r="C384" i="41"/>
  <c r="C372" i="41"/>
  <c r="C360" i="41"/>
  <c r="C348" i="41"/>
  <c r="C336" i="41"/>
  <c r="C324" i="41"/>
  <c r="C312" i="41"/>
  <c r="C300" i="41"/>
  <c r="C288" i="41"/>
  <c r="C276" i="41"/>
  <c r="C264" i="41"/>
  <c r="C252" i="41"/>
  <c r="C240" i="41"/>
  <c r="C228" i="41"/>
  <c r="C216" i="41"/>
  <c r="C204" i="41"/>
  <c r="C192" i="41"/>
  <c r="C180" i="41"/>
  <c r="C168" i="41"/>
  <c r="C156" i="41"/>
  <c r="C144" i="41"/>
  <c r="C132" i="41"/>
  <c r="C120" i="41"/>
  <c r="C108" i="41"/>
  <c r="C96" i="41"/>
  <c r="C84" i="41"/>
  <c r="C72" i="41"/>
  <c r="C60" i="41"/>
  <c r="C48" i="41"/>
  <c r="C36" i="41"/>
  <c r="C24" i="41"/>
  <c r="C12" i="41"/>
  <c r="C911" i="41"/>
  <c r="C899" i="41"/>
  <c r="C887" i="41"/>
  <c r="C875" i="41"/>
  <c r="C863" i="41"/>
  <c r="C851" i="41"/>
  <c r="C839" i="41"/>
  <c r="C827" i="41"/>
  <c r="C815" i="41"/>
  <c r="C803" i="41"/>
  <c r="C791" i="41"/>
  <c r="C779" i="41"/>
  <c r="C767" i="41"/>
  <c r="C755" i="41"/>
  <c r="C743" i="41"/>
  <c r="C731" i="41"/>
  <c r="C719" i="41"/>
  <c r="C707" i="41"/>
  <c r="C695" i="41"/>
  <c r="C683" i="41"/>
  <c r="C671" i="41"/>
  <c r="C659" i="41"/>
  <c r="C647" i="41"/>
  <c r="C635" i="41"/>
  <c r="C623" i="41"/>
  <c r="C611" i="41"/>
  <c r="C599" i="41"/>
  <c r="C587" i="41"/>
  <c r="C575" i="41"/>
  <c r="C563" i="41"/>
  <c r="C551" i="41"/>
  <c r="C539" i="41"/>
  <c r="C527" i="41"/>
  <c r="C515" i="41"/>
  <c r="C503" i="41"/>
  <c r="C491" i="41"/>
  <c r="C479" i="41"/>
  <c r="C467" i="41"/>
  <c r="C455" i="41"/>
  <c r="C443" i="41"/>
  <c r="C431" i="41"/>
  <c r="C419" i="41"/>
  <c r="C407" i="41"/>
  <c r="C395" i="41"/>
  <c r="C383" i="41"/>
  <c r="C371" i="41"/>
  <c r="C359" i="41"/>
  <c r="C347" i="41"/>
  <c r="C335" i="41"/>
  <c r="C323" i="41"/>
  <c r="C311" i="41"/>
  <c r="C299" i="41"/>
  <c r="C287" i="41"/>
  <c r="C275" i="41"/>
  <c r="C263" i="41"/>
  <c r="C251" i="41"/>
  <c r="C239" i="41"/>
  <c r="C227" i="41"/>
  <c r="C215" i="41"/>
  <c r="C203" i="41"/>
  <c r="C191" i="41"/>
  <c r="C179" i="41"/>
  <c r="C167" i="41"/>
  <c r="C155" i="41"/>
  <c r="C143" i="41"/>
  <c r="C131" i="41"/>
  <c r="C119" i="41"/>
  <c r="C107" i="41"/>
  <c r="C95" i="41"/>
  <c r="C83" i="41"/>
  <c r="C71" i="41"/>
  <c r="C59" i="41"/>
  <c r="C47" i="41"/>
  <c r="C35" i="41"/>
  <c r="C23" i="41"/>
  <c r="C11" i="41"/>
  <c r="C910" i="41"/>
  <c r="C898" i="41"/>
  <c r="C886" i="41"/>
  <c r="C874" i="41"/>
  <c r="C862" i="41"/>
  <c r="C850" i="41"/>
  <c r="C838" i="41"/>
  <c r="C826" i="41"/>
  <c r="C814" i="41"/>
  <c r="C802" i="41"/>
  <c r="C790" i="41"/>
  <c r="C778" i="41"/>
  <c r="C766" i="41"/>
  <c r="C754" i="41"/>
  <c r="C742" i="41"/>
  <c r="C730" i="41"/>
  <c r="C718" i="41"/>
  <c r="C706" i="41"/>
  <c r="C694" i="41"/>
  <c r="C682" i="41"/>
  <c r="C670" i="41"/>
  <c r="C658" i="41"/>
  <c r="C646" i="41"/>
  <c r="C634" i="41"/>
  <c r="C622" i="41"/>
  <c r="C610" i="41"/>
  <c r="C598" i="41"/>
  <c r="C586" i="41"/>
  <c r="C574" i="41"/>
  <c r="C562" i="41"/>
  <c r="C550" i="41"/>
  <c r="C538" i="41"/>
  <c r="C526" i="41"/>
  <c r="C514" i="41"/>
  <c r="C502" i="41"/>
  <c r="C490" i="41"/>
  <c r="C478" i="41"/>
  <c r="C466" i="41"/>
  <c r="C454" i="41"/>
  <c r="C442" i="41"/>
  <c r="C430" i="41"/>
  <c r="C418" i="41"/>
  <c r="C406" i="41"/>
  <c r="C394" i="41"/>
  <c r="C382" i="41"/>
  <c r="C370" i="41"/>
  <c r="C358" i="41"/>
  <c r="C346" i="41"/>
  <c r="C334" i="41"/>
  <c r="C322" i="41"/>
  <c r="C310" i="41"/>
  <c r="C298" i="41"/>
  <c r="C286" i="41"/>
  <c r="C274" i="41"/>
  <c r="C262" i="41"/>
  <c r="C250" i="41"/>
  <c r="C238" i="41"/>
  <c r="C226" i="41"/>
  <c r="C214" i="41"/>
  <c r="C202" i="41"/>
  <c r="C190" i="41"/>
  <c r="C178" i="41"/>
  <c r="C166" i="41"/>
  <c r="C154" i="41"/>
  <c r="C142" i="41"/>
  <c r="C130" i="41"/>
  <c r="C118" i="41"/>
  <c r="C106" i="41"/>
  <c r="C94" i="41"/>
  <c r="C82" i="41"/>
  <c r="C70" i="41"/>
  <c r="C58" i="41"/>
  <c r="C46" i="41"/>
  <c r="C34" i="41"/>
  <c r="C22" i="41"/>
  <c r="V28" i="18"/>
  <c r="U28" i="18"/>
  <c r="T28" i="18"/>
  <c r="R28" i="18"/>
  <c r="Q28" i="18"/>
  <c r="P28" i="18"/>
  <c r="O28" i="18"/>
  <c r="M28" i="18"/>
  <c r="L28" i="18"/>
  <c r="K28" i="18"/>
  <c r="J28" i="18"/>
  <c r="H28" i="18"/>
  <c r="G28" i="18"/>
  <c r="V19" i="18"/>
  <c r="U19" i="18"/>
  <c r="T19" i="18"/>
  <c r="R19" i="18"/>
  <c r="Q19" i="18"/>
  <c r="P19" i="18"/>
  <c r="O19" i="18"/>
  <c r="M19" i="18"/>
  <c r="L19" i="18"/>
  <c r="K19" i="18"/>
  <c r="J19" i="18"/>
  <c r="H19" i="18"/>
  <c r="G19" i="18"/>
  <c r="F28" i="18"/>
  <c r="C915" i="41" l="1"/>
  <c r="F19" i="18"/>
  <c r="F900" i="39" l="1"/>
  <c r="F899" i="39"/>
  <c r="F898" i="39"/>
  <c r="F897" i="39"/>
  <c r="F896" i="39"/>
  <c r="F895" i="39"/>
  <c r="F894" i="39"/>
  <c r="F893" i="39"/>
  <c r="F892" i="39"/>
  <c r="F891" i="39"/>
  <c r="F890" i="39"/>
  <c r="F889" i="39"/>
  <c r="F888" i="39"/>
  <c r="F887" i="39"/>
  <c r="F886" i="39"/>
  <c r="F885" i="39"/>
  <c r="F884" i="39"/>
  <c r="F883" i="39"/>
  <c r="F882" i="39"/>
  <c r="F881" i="39"/>
  <c r="F880" i="39"/>
  <c r="F879" i="39"/>
  <c r="F878" i="39"/>
  <c r="F877" i="39"/>
  <c r="F876" i="39"/>
  <c r="F875" i="39"/>
  <c r="F874" i="39"/>
  <c r="F873" i="39"/>
  <c r="F872" i="39"/>
  <c r="F871" i="39"/>
  <c r="F870" i="39"/>
  <c r="F869" i="39"/>
  <c r="F868" i="39"/>
  <c r="F867" i="39"/>
  <c r="F866" i="39"/>
  <c r="F865" i="39"/>
  <c r="F864" i="39"/>
  <c r="F863" i="39"/>
  <c r="F862" i="39"/>
  <c r="F861" i="39"/>
  <c r="F860" i="39"/>
  <c r="F859" i="39"/>
  <c r="F858" i="39"/>
  <c r="F857" i="39"/>
  <c r="F856" i="39"/>
  <c r="F855" i="39"/>
  <c r="F854" i="39"/>
  <c r="F853" i="39"/>
  <c r="F852" i="39"/>
  <c r="F851" i="39"/>
  <c r="F850" i="39"/>
  <c r="F849" i="39"/>
  <c r="F848" i="39"/>
  <c r="F847" i="39"/>
  <c r="F846" i="39"/>
  <c r="F845" i="39"/>
  <c r="F844" i="39"/>
  <c r="F843" i="39"/>
  <c r="F842" i="39"/>
  <c r="F841" i="39"/>
  <c r="F840" i="39"/>
  <c r="F839" i="39"/>
  <c r="F838" i="39"/>
  <c r="F837" i="39"/>
  <c r="F836" i="39"/>
  <c r="F835" i="39"/>
  <c r="F834" i="39"/>
  <c r="F833" i="39"/>
  <c r="F832" i="39"/>
  <c r="F831" i="39"/>
  <c r="F830" i="39"/>
  <c r="F829" i="39"/>
  <c r="F828" i="39"/>
  <c r="F827" i="39"/>
  <c r="F826" i="39"/>
  <c r="F825" i="39"/>
  <c r="F824" i="39"/>
  <c r="F823" i="39"/>
  <c r="F822" i="39"/>
  <c r="F821" i="39"/>
  <c r="F820" i="39"/>
  <c r="F819" i="39"/>
  <c r="F818" i="39"/>
  <c r="F817" i="39"/>
  <c r="F816" i="39"/>
  <c r="F815" i="39"/>
  <c r="F814" i="39"/>
  <c r="F813" i="39"/>
  <c r="F812" i="39"/>
  <c r="F811" i="39"/>
  <c r="F810" i="39"/>
  <c r="F809" i="39"/>
  <c r="F808" i="39"/>
  <c r="F807" i="39"/>
  <c r="F806" i="39"/>
  <c r="F805" i="39"/>
  <c r="F804" i="39"/>
  <c r="F803" i="39"/>
  <c r="F802" i="39"/>
  <c r="F801" i="39"/>
  <c r="F800" i="39"/>
  <c r="F799" i="39"/>
  <c r="F798" i="39"/>
  <c r="F797" i="39"/>
  <c r="F796" i="39"/>
  <c r="F795" i="39"/>
  <c r="F794" i="39"/>
  <c r="F793" i="39"/>
  <c r="F792" i="39"/>
  <c r="F791" i="39"/>
  <c r="F790" i="39"/>
  <c r="F789" i="39"/>
  <c r="F788" i="39"/>
  <c r="F787" i="39"/>
  <c r="F786" i="39"/>
  <c r="F785" i="39"/>
  <c r="F784" i="39"/>
  <c r="F783" i="39"/>
  <c r="F782" i="39"/>
  <c r="F781" i="39"/>
  <c r="F780" i="39"/>
  <c r="F779" i="39"/>
  <c r="F778" i="39"/>
  <c r="F777" i="39"/>
  <c r="F776" i="39"/>
  <c r="F775" i="39"/>
  <c r="F774" i="39"/>
  <c r="F773" i="39"/>
  <c r="F772" i="39"/>
  <c r="F771" i="39"/>
  <c r="F770" i="39"/>
  <c r="F769" i="39"/>
  <c r="F768" i="39"/>
  <c r="F767" i="39"/>
  <c r="F766" i="39"/>
  <c r="F765" i="39"/>
  <c r="F764" i="39"/>
  <c r="F763" i="39"/>
  <c r="F762" i="39"/>
  <c r="F761" i="39"/>
  <c r="F760" i="39"/>
  <c r="F759" i="39"/>
  <c r="F758" i="39"/>
  <c r="F757" i="39"/>
  <c r="F756" i="39"/>
  <c r="F755" i="39"/>
  <c r="F754" i="39"/>
  <c r="F753" i="39"/>
  <c r="F752" i="39"/>
  <c r="F751" i="39"/>
  <c r="F750" i="39"/>
  <c r="F749" i="39"/>
  <c r="F748" i="39"/>
  <c r="F747" i="39"/>
  <c r="F746" i="39"/>
  <c r="F745" i="39"/>
  <c r="F744" i="39"/>
  <c r="F743" i="39"/>
  <c r="F742" i="39"/>
  <c r="F741" i="39"/>
  <c r="F740" i="39"/>
  <c r="F739" i="39"/>
  <c r="F738" i="39"/>
  <c r="F737" i="39"/>
  <c r="F736" i="39"/>
  <c r="F735" i="39"/>
  <c r="F734" i="39"/>
  <c r="F733" i="39"/>
  <c r="F732" i="39"/>
  <c r="F731" i="39"/>
  <c r="F730" i="39"/>
  <c r="F729" i="39"/>
  <c r="F728" i="39"/>
  <c r="F727" i="39"/>
  <c r="F726" i="39"/>
  <c r="F725" i="39"/>
  <c r="F724" i="39"/>
  <c r="F723" i="39"/>
  <c r="F722" i="39"/>
  <c r="F721" i="39"/>
  <c r="F720" i="39"/>
  <c r="F719" i="39"/>
  <c r="F718" i="39"/>
  <c r="F717" i="39"/>
  <c r="F716" i="39"/>
  <c r="F715" i="39"/>
  <c r="F714" i="39"/>
  <c r="F713" i="39"/>
  <c r="F712" i="39"/>
  <c r="F711" i="39"/>
  <c r="F710" i="39"/>
  <c r="F709" i="39"/>
  <c r="F708" i="39"/>
  <c r="F707" i="39"/>
  <c r="F706" i="39"/>
  <c r="F705" i="39"/>
  <c r="F704" i="39"/>
  <c r="F703" i="39"/>
  <c r="F702" i="39"/>
  <c r="F701" i="39"/>
  <c r="F700" i="39"/>
  <c r="F699" i="39"/>
  <c r="F698" i="39"/>
  <c r="F697" i="39"/>
  <c r="F696" i="39"/>
  <c r="F695" i="39"/>
  <c r="F694" i="39"/>
  <c r="F693" i="39"/>
  <c r="F692" i="39"/>
  <c r="F691" i="39"/>
  <c r="F690" i="39"/>
  <c r="F689" i="39"/>
  <c r="F688" i="39"/>
  <c r="F687" i="39"/>
  <c r="F686" i="39"/>
  <c r="F685" i="39"/>
  <c r="F684" i="39"/>
  <c r="F683" i="39"/>
  <c r="F682" i="39"/>
  <c r="F681" i="39"/>
  <c r="F680" i="39"/>
  <c r="F679" i="39"/>
  <c r="F678" i="39"/>
  <c r="F677" i="39"/>
  <c r="F676" i="39"/>
  <c r="F675" i="39"/>
  <c r="F674" i="39"/>
  <c r="F673" i="39"/>
  <c r="F672" i="39"/>
  <c r="F671" i="39"/>
  <c r="F670" i="39"/>
  <c r="F669" i="39"/>
  <c r="F668" i="39"/>
  <c r="F667" i="39"/>
  <c r="F666" i="39"/>
  <c r="F665" i="39"/>
  <c r="F664" i="39"/>
  <c r="F663" i="39"/>
  <c r="F662" i="39"/>
  <c r="F661" i="39"/>
  <c r="F660" i="39"/>
  <c r="F659" i="39"/>
  <c r="F658" i="39"/>
  <c r="F657" i="39"/>
  <c r="F656" i="39"/>
  <c r="F655" i="39"/>
  <c r="F654" i="39"/>
  <c r="F653" i="39"/>
  <c r="F652" i="39"/>
  <c r="F651" i="39"/>
  <c r="F650" i="39"/>
  <c r="F649" i="39"/>
  <c r="F648" i="39"/>
  <c r="F647" i="39"/>
  <c r="F646" i="39"/>
  <c r="F645" i="39"/>
  <c r="F644" i="39"/>
  <c r="F643" i="39"/>
  <c r="F642" i="39"/>
  <c r="F641" i="39"/>
  <c r="F640" i="39"/>
  <c r="F639" i="39"/>
  <c r="F638" i="39"/>
  <c r="F637" i="39"/>
  <c r="F636" i="39"/>
  <c r="F635" i="39"/>
  <c r="F634" i="39"/>
  <c r="F633" i="39"/>
  <c r="F632" i="39"/>
  <c r="F631" i="39"/>
  <c r="F630" i="39"/>
  <c r="F629" i="39"/>
  <c r="F628" i="39"/>
  <c r="F627" i="39"/>
  <c r="F626" i="39"/>
  <c r="F625" i="39"/>
  <c r="F624" i="39"/>
  <c r="F623" i="39"/>
  <c r="F622" i="39"/>
  <c r="F621" i="39"/>
  <c r="F620" i="39"/>
  <c r="F619" i="39"/>
  <c r="F618" i="39"/>
  <c r="F617" i="39"/>
  <c r="F616" i="39"/>
  <c r="F615" i="39"/>
  <c r="F614" i="39"/>
  <c r="F613" i="39"/>
  <c r="F612" i="39"/>
  <c r="F611" i="39"/>
  <c r="F610" i="39"/>
  <c r="F609" i="39"/>
  <c r="F608" i="39"/>
  <c r="F607" i="39"/>
  <c r="F606" i="39"/>
  <c r="F605" i="39"/>
  <c r="F604" i="39"/>
  <c r="F603" i="39"/>
  <c r="F602" i="39"/>
  <c r="F601" i="39"/>
  <c r="F600" i="39"/>
  <c r="F599" i="39"/>
  <c r="F598" i="39"/>
  <c r="F597" i="39"/>
  <c r="F596" i="39"/>
  <c r="F595" i="39"/>
  <c r="F594" i="39"/>
  <c r="F593" i="39"/>
  <c r="F592" i="39"/>
  <c r="F591" i="39"/>
  <c r="F590" i="39"/>
  <c r="F589" i="39"/>
  <c r="F588" i="39"/>
  <c r="F587" i="39"/>
  <c r="F586" i="39"/>
  <c r="F585" i="39"/>
  <c r="F584" i="39"/>
  <c r="F583" i="39"/>
  <c r="F582" i="39"/>
  <c r="F581" i="39"/>
  <c r="F580" i="39"/>
  <c r="F579" i="39"/>
  <c r="F578" i="39"/>
  <c r="F577" i="39"/>
  <c r="F576" i="39"/>
  <c r="F575" i="39"/>
  <c r="F574" i="39"/>
  <c r="F573" i="39"/>
  <c r="F572" i="39"/>
  <c r="F571" i="39"/>
  <c r="F570" i="39"/>
  <c r="F569" i="39"/>
  <c r="F568" i="39"/>
  <c r="F567" i="39"/>
  <c r="F566" i="39"/>
  <c r="F565" i="39"/>
  <c r="F564" i="39"/>
  <c r="F563" i="39"/>
  <c r="F562" i="39"/>
  <c r="F561" i="39"/>
  <c r="F560" i="39"/>
  <c r="F559" i="39"/>
  <c r="F558" i="39"/>
  <c r="F557" i="39"/>
  <c r="F556" i="39"/>
  <c r="F555" i="39"/>
  <c r="F554" i="39"/>
  <c r="F553" i="39"/>
  <c r="F552" i="39"/>
  <c r="F551" i="39"/>
  <c r="F550" i="39"/>
  <c r="F549" i="39"/>
  <c r="F548" i="39"/>
  <c r="F547" i="39"/>
  <c r="F546" i="39"/>
  <c r="F545" i="39"/>
  <c r="F544" i="39"/>
  <c r="F543" i="39"/>
  <c r="F542" i="39"/>
  <c r="F541" i="39"/>
  <c r="F540" i="39"/>
  <c r="F539" i="39"/>
  <c r="F538" i="39"/>
  <c r="F537" i="39"/>
  <c r="F536" i="39"/>
  <c r="F535" i="39"/>
  <c r="F534" i="39"/>
  <c r="F533" i="39"/>
  <c r="F532" i="39"/>
  <c r="F531" i="39"/>
  <c r="F530" i="39"/>
  <c r="F529" i="39"/>
  <c r="F528" i="39"/>
  <c r="F527" i="39"/>
  <c r="F526" i="39"/>
  <c r="F525" i="39"/>
  <c r="F524" i="39"/>
  <c r="F523" i="39"/>
  <c r="F522" i="39"/>
  <c r="F521" i="39"/>
  <c r="F520" i="39"/>
  <c r="F519" i="39"/>
  <c r="F518" i="39"/>
  <c r="F517" i="39"/>
  <c r="F516" i="39"/>
  <c r="F515" i="39"/>
  <c r="F514" i="39"/>
  <c r="F513" i="39"/>
  <c r="F512" i="39"/>
  <c r="F511" i="39"/>
  <c r="F510" i="39"/>
  <c r="F509" i="39"/>
  <c r="F508" i="39"/>
  <c r="F507" i="39"/>
  <c r="F506" i="39"/>
  <c r="F505" i="39"/>
  <c r="F504" i="39"/>
  <c r="F503" i="39"/>
  <c r="F502" i="39"/>
  <c r="F501" i="39"/>
  <c r="F500" i="39"/>
  <c r="F499" i="39"/>
  <c r="F498" i="39"/>
  <c r="F497" i="39"/>
  <c r="F496" i="39"/>
  <c r="F495" i="39"/>
  <c r="F494" i="39"/>
  <c r="F493" i="39"/>
  <c r="F492" i="39"/>
  <c r="F491" i="39"/>
  <c r="F490" i="39"/>
  <c r="F489" i="39"/>
  <c r="F488" i="39"/>
  <c r="F487" i="39"/>
  <c r="F486" i="39"/>
  <c r="F485" i="39"/>
  <c r="F484" i="39"/>
  <c r="F483" i="39"/>
  <c r="F482" i="39"/>
  <c r="F481" i="39"/>
  <c r="F480" i="39"/>
  <c r="F479" i="39"/>
  <c r="F478" i="39"/>
  <c r="F477" i="39"/>
  <c r="F476" i="39"/>
  <c r="F475" i="39"/>
  <c r="F474" i="39"/>
  <c r="F473" i="39"/>
  <c r="F472" i="39"/>
  <c r="F471" i="39"/>
  <c r="F470" i="39"/>
  <c r="F469" i="39"/>
  <c r="F468" i="39"/>
  <c r="F467" i="39"/>
  <c r="F466" i="39"/>
  <c r="F465" i="39"/>
  <c r="F464" i="39"/>
  <c r="F463" i="39"/>
  <c r="F462" i="39"/>
  <c r="F461" i="39"/>
  <c r="F460" i="39"/>
  <c r="F459" i="39"/>
  <c r="F458" i="39"/>
  <c r="F457" i="39"/>
  <c r="F456" i="39"/>
  <c r="F455" i="39"/>
  <c r="F454" i="39"/>
  <c r="F453" i="39"/>
  <c r="F452" i="39"/>
  <c r="F451" i="39"/>
  <c r="F450" i="39"/>
  <c r="F449" i="39"/>
  <c r="F448" i="39"/>
  <c r="F447" i="39"/>
  <c r="F446" i="39"/>
  <c r="F445" i="39"/>
  <c r="F444" i="39"/>
  <c r="F443" i="39"/>
  <c r="F442" i="39"/>
  <c r="F441" i="39"/>
  <c r="F440" i="39"/>
  <c r="F439" i="39"/>
  <c r="F438" i="39"/>
  <c r="F437" i="39"/>
  <c r="F436" i="39"/>
  <c r="F435" i="39"/>
  <c r="F434" i="39"/>
  <c r="F433" i="39"/>
  <c r="F432" i="39"/>
  <c r="F431" i="39"/>
  <c r="F430" i="39"/>
  <c r="F429" i="39"/>
  <c r="F428" i="39"/>
  <c r="F427" i="39"/>
  <c r="F426" i="39"/>
  <c r="F425" i="39"/>
  <c r="F424" i="39"/>
  <c r="F423" i="39"/>
  <c r="F422" i="39"/>
  <c r="F421" i="39"/>
  <c r="F420" i="39"/>
  <c r="F419" i="39"/>
  <c r="F418" i="39"/>
  <c r="F417" i="39"/>
  <c r="F416" i="39"/>
  <c r="F415" i="39"/>
  <c r="F414" i="39"/>
  <c r="F413" i="39"/>
  <c r="F412" i="39"/>
  <c r="F411" i="39"/>
  <c r="F410" i="39"/>
  <c r="F409" i="39"/>
  <c r="F408" i="39"/>
  <c r="F407" i="39"/>
  <c r="F406" i="39"/>
  <c r="F405" i="39"/>
  <c r="F404" i="39"/>
  <c r="F403" i="39"/>
  <c r="F402" i="39"/>
  <c r="F401" i="39"/>
  <c r="F400" i="39"/>
  <c r="F399" i="39"/>
  <c r="F398" i="39"/>
  <c r="F397" i="39"/>
  <c r="F396" i="39"/>
  <c r="F395" i="39"/>
  <c r="F394" i="39"/>
  <c r="F393" i="39"/>
  <c r="F392" i="39"/>
  <c r="F391" i="39"/>
  <c r="F390" i="39"/>
  <c r="F389" i="39"/>
  <c r="F388" i="39"/>
  <c r="F387" i="39"/>
  <c r="F386" i="39"/>
  <c r="F385" i="39"/>
  <c r="F384" i="39"/>
  <c r="F383" i="39"/>
  <c r="F382" i="39"/>
  <c r="F381" i="39"/>
  <c r="F380" i="39"/>
  <c r="F379" i="39"/>
  <c r="F378" i="39"/>
  <c r="F377" i="39"/>
  <c r="F376" i="39"/>
  <c r="F375" i="39"/>
  <c r="F374" i="39"/>
  <c r="F373" i="39"/>
  <c r="F372" i="39"/>
  <c r="F371" i="39"/>
  <c r="F370" i="39"/>
  <c r="F369" i="39"/>
  <c r="F368" i="39"/>
  <c r="F367" i="39"/>
  <c r="F366" i="39"/>
  <c r="F365" i="39"/>
  <c r="F364" i="39"/>
  <c r="F363" i="39"/>
  <c r="F362" i="39"/>
  <c r="F361" i="39"/>
  <c r="F360" i="39"/>
  <c r="F359" i="39"/>
  <c r="F358" i="39"/>
  <c r="F357" i="39"/>
  <c r="F356" i="39"/>
  <c r="F355" i="39"/>
  <c r="F354" i="39"/>
  <c r="F353" i="39"/>
  <c r="F352" i="39"/>
  <c r="F351" i="39"/>
  <c r="F350" i="39"/>
  <c r="F349" i="39"/>
  <c r="F348" i="39"/>
  <c r="F347" i="39"/>
  <c r="F346" i="39"/>
  <c r="F345" i="39"/>
  <c r="F344" i="39"/>
  <c r="F343" i="39"/>
  <c r="F342" i="39"/>
  <c r="F341" i="39"/>
  <c r="F340" i="39"/>
  <c r="F339" i="39"/>
  <c r="F338" i="39"/>
  <c r="F337" i="39"/>
  <c r="F336" i="39"/>
  <c r="F335" i="39"/>
  <c r="F334" i="39"/>
  <c r="F333" i="39"/>
  <c r="F332" i="39"/>
  <c r="F331" i="39"/>
  <c r="F330" i="39"/>
  <c r="F329" i="39"/>
  <c r="F328" i="39"/>
  <c r="F327" i="39"/>
  <c r="F326" i="39"/>
  <c r="F325" i="39"/>
  <c r="F324" i="39"/>
  <c r="F323" i="39"/>
  <c r="F322" i="39"/>
  <c r="F321" i="39"/>
  <c r="F320" i="39"/>
  <c r="F319" i="39"/>
  <c r="F318" i="39"/>
  <c r="F317" i="39"/>
  <c r="F316" i="39"/>
  <c r="F315" i="39"/>
  <c r="F314" i="39"/>
  <c r="F313" i="39"/>
  <c r="F312" i="39"/>
  <c r="F311" i="39"/>
  <c r="F310" i="39"/>
  <c r="F309" i="39"/>
  <c r="F308" i="39"/>
  <c r="F307" i="39"/>
  <c r="F306" i="39"/>
  <c r="F305" i="39"/>
  <c r="F304" i="39"/>
  <c r="F303" i="39"/>
  <c r="F302" i="39"/>
  <c r="F301" i="39"/>
  <c r="F300" i="39"/>
  <c r="F299" i="39"/>
  <c r="F298" i="39"/>
  <c r="F297" i="39"/>
  <c r="F296" i="39"/>
  <c r="F295" i="39"/>
  <c r="F294" i="39"/>
  <c r="F293" i="39"/>
  <c r="F292" i="39"/>
  <c r="F291" i="39"/>
  <c r="F290" i="39"/>
  <c r="F289" i="39"/>
  <c r="F288" i="39"/>
  <c r="F287" i="39"/>
  <c r="F286" i="39"/>
  <c r="F285" i="39"/>
  <c r="F284" i="39"/>
  <c r="F283" i="39"/>
  <c r="F282" i="39"/>
  <c r="F281" i="39"/>
  <c r="F280" i="39"/>
  <c r="F279" i="39"/>
  <c r="F278" i="39"/>
  <c r="F277" i="39"/>
  <c r="F276" i="39"/>
  <c r="F275" i="39"/>
  <c r="F274" i="39"/>
  <c r="F273" i="39"/>
  <c r="F272" i="39"/>
  <c r="F271" i="39"/>
  <c r="F270" i="39"/>
  <c r="F269" i="39"/>
  <c r="F268" i="39"/>
  <c r="F267" i="39"/>
  <c r="F266" i="39"/>
  <c r="F265" i="39"/>
  <c r="F264" i="39"/>
  <c r="F263" i="39"/>
  <c r="F262" i="39"/>
  <c r="F261" i="39"/>
  <c r="F260" i="39"/>
  <c r="F259" i="3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5" i="39"/>
  <c r="F234" i="39"/>
  <c r="F233" i="39"/>
  <c r="F232" i="39"/>
  <c r="F231"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8" i="39"/>
  <c r="F167" i="39"/>
  <c r="F166" i="39"/>
  <c r="F165" i="39"/>
  <c r="F164" i="39"/>
  <c r="F163" i="39"/>
  <c r="F162" i="39"/>
  <c r="F161" i="39"/>
  <c r="F160" i="39"/>
  <c r="F159" i="39"/>
  <c r="F158" i="39"/>
  <c r="F157" i="39"/>
  <c r="F156" i="39"/>
  <c r="F155" i="39"/>
  <c r="F154" i="39"/>
  <c r="F153" i="39"/>
  <c r="F152" i="39"/>
  <c r="F151" i="39"/>
  <c r="F150" i="39"/>
  <c r="F149" i="39"/>
  <c r="F148" i="39"/>
  <c r="F147" i="39"/>
  <c r="F146" i="39"/>
  <c r="F145" i="39"/>
  <c r="F144" i="39"/>
  <c r="F143" i="39"/>
  <c r="F142" i="39"/>
  <c r="F141" i="39"/>
  <c r="F140" i="39"/>
  <c r="F139" i="39"/>
  <c r="F138" i="39"/>
  <c r="F137" i="39"/>
  <c r="F136" i="39"/>
  <c r="F135" i="39"/>
  <c r="F134" i="39"/>
  <c r="F133" i="39"/>
  <c r="F132" i="39"/>
  <c r="F131" i="39"/>
  <c r="F130" i="39"/>
  <c r="F129" i="39"/>
  <c r="F128" i="39"/>
  <c r="F127" i="39"/>
  <c r="F126" i="39"/>
  <c r="F125" i="39"/>
  <c r="F124" i="39"/>
  <c r="F123" i="39"/>
  <c r="F122" i="39"/>
  <c r="F121" i="39"/>
  <c r="F120" i="39"/>
  <c r="F119" i="39"/>
  <c r="F118" i="39"/>
  <c r="F117" i="39"/>
  <c r="F116" i="39"/>
  <c r="F115" i="39"/>
  <c r="F114" i="39"/>
  <c r="F113" i="39"/>
  <c r="F112" i="39"/>
  <c r="F111" i="39"/>
  <c r="F110" i="39"/>
  <c r="F109" i="39"/>
  <c r="F108" i="39"/>
  <c r="F107" i="39"/>
  <c r="F106" i="39"/>
  <c r="F105" i="39"/>
  <c r="F104" i="39"/>
  <c r="F103" i="39"/>
  <c r="F102" i="39"/>
  <c r="F101" i="39"/>
  <c r="F100" i="39"/>
  <c r="F99" i="39"/>
  <c r="F98" i="39"/>
  <c r="F97" i="39"/>
  <c r="F96" i="39"/>
  <c r="F95" i="39"/>
  <c r="F94" i="39"/>
  <c r="F93" i="39"/>
  <c r="F92" i="39"/>
  <c r="F91" i="39"/>
  <c r="F90" i="39"/>
  <c r="F89" i="39"/>
  <c r="F88" i="39"/>
  <c r="F87" i="39"/>
  <c r="F86" i="39"/>
  <c r="F85" i="39"/>
  <c r="F84" i="39"/>
  <c r="F83" i="39"/>
  <c r="F82" i="39"/>
  <c r="F81" i="39"/>
  <c r="F80" i="39"/>
  <c r="F79" i="39"/>
  <c r="F78" i="39"/>
  <c r="F77" i="39"/>
  <c r="F76" i="39"/>
  <c r="F75" i="39"/>
  <c r="F74" i="39"/>
  <c r="F73" i="39"/>
  <c r="F72" i="39"/>
  <c r="F71" i="39"/>
  <c r="F70" i="39"/>
  <c r="F69" i="39"/>
  <c r="F68" i="39"/>
  <c r="F67" i="39"/>
  <c r="F66" i="39"/>
  <c r="F65" i="39"/>
  <c r="F64" i="39"/>
  <c r="F63" i="39"/>
  <c r="F62" i="39"/>
  <c r="F61" i="39"/>
  <c r="F60" i="39"/>
  <c r="F59" i="39"/>
  <c r="F58" i="39"/>
  <c r="F57" i="39"/>
  <c r="F56" i="39"/>
  <c r="F55" i="39"/>
  <c r="F54" i="39"/>
  <c r="F53" i="39"/>
  <c r="F52" i="39"/>
  <c r="F51" i="39"/>
  <c r="F50" i="39"/>
  <c r="F49" i="39"/>
  <c r="F48" i="39"/>
  <c r="F47" i="39"/>
  <c r="F46" i="39"/>
  <c r="F45" i="39"/>
  <c r="F44" i="39"/>
  <c r="F43" i="39"/>
  <c r="F42" i="39"/>
  <c r="F41"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F8" i="39"/>
  <c r="F7" i="39"/>
  <c r="F6" i="39"/>
  <c r="F5" i="39"/>
  <c r="F4" i="39"/>
  <c r="F3" i="39"/>
  <c r="F2" i="39"/>
  <c r="X3" i="38"/>
  <c r="W3" i="38"/>
  <c r="U3" i="38"/>
  <c r="T3" i="38"/>
  <c r="S3" i="38"/>
  <c r="Q3" i="38"/>
  <c r="P3" i="38"/>
  <c r="O3" i="38"/>
  <c r="N3" i="38"/>
  <c r="M3" i="38"/>
  <c r="K3" i="38"/>
  <c r="J3" i="38"/>
  <c r="I3" i="38"/>
  <c r="H3" i="38"/>
  <c r="G3" i="38"/>
  <c r="E3" i="38"/>
  <c r="D3" i="38"/>
  <c r="C3" i="38"/>
  <c r="C900" i="36" l="1"/>
  <c r="E920" i="37" l="1"/>
  <c r="AP920" i="37"/>
  <c r="AO920" i="37"/>
  <c r="AN920" i="37"/>
  <c r="AL920" i="37"/>
  <c r="AI920" i="37"/>
  <c r="AH920" i="37"/>
  <c r="AG920" i="37"/>
  <c r="AE920" i="37"/>
  <c r="AB920" i="37"/>
  <c r="AA920" i="37"/>
  <c r="Z920" i="37"/>
  <c r="X920" i="37"/>
  <c r="V920" i="37"/>
  <c r="U920" i="37"/>
  <c r="T920" i="37"/>
  <c r="S920" i="37"/>
  <c r="Q920" i="37"/>
  <c r="N920" i="37"/>
  <c r="M920" i="37"/>
  <c r="L920" i="37"/>
  <c r="J920" i="37"/>
  <c r="H920" i="37"/>
  <c r="G920" i="37"/>
  <c r="F920" i="37"/>
  <c r="AR2" i="37"/>
  <c r="AQ2" i="37"/>
  <c r="AP2" i="37"/>
  <c r="AO2" i="37"/>
  <c r="AN2" i="37"/>
  <c r="AM2" i="37"/>
  <c r="AL2" i="37"/>
  <c r="AK2" i="37"/>
  <c r="AJ2" i="37"/>
  <c r="AI2" i="37"/>
  <c r="AH2" i="37"/>
  <c r="AG2" i="37"/>
  <c r="AF2" i="37"/>
  <c r="AE2" i="37"/>
  <c r="AD2" i="37"/>
  <c r="AC2" i="37"/>
  <c r="AB2" i="37"/>
  <c r="AA2" i="37"/>
  <c r="Z2" i="37"/>
  <c r="Y2" i="37"/>
  <c r="X2" i="37"/>
  <c r="W2" i="37"/>
  <c r="V2" i="37"/>
  <c r="U2" i="37"/>
  <c r="T2" i="37"/>
  <c r="S2" i="37"/>
  <c r="R2" i="37"/>
  <c r="Q2" i="37"/>
  <c r="P2" i="37"/>
  <c r="O2" i="37"/>
  <c r="N2" i="37"/>
  <c r="M2" i="37"/>
  <c r="L2" i="37"/>
  <c r="K2" i="37"/>
  <c r="J2" i="37"/>
  <c r="I2" i="37"/>
  <c r="H2" i="37"/>
  <c r="G2" i="37"/>
  <c r="F2" i="37"/>
  <c r="E2" i="37" l="1"/>
  <c r="C920" i="37"/>
  <c r="C2" i="37"/>
  <c r="X3" i="34" l="1"/>
  <c r="W3" i="34"/>
  <c r="V3" i="34"/>
  <c r="U3" i="34"/>
  <c r="T3" i="34"/>
  <c r="S3" i="34"/>
  <c r="R3" i="34"/>
  <c r="Q3" i="34"/>
  <c r="P3" i="34"/>
  <c r="O3" i="34"/>
  <c r="N3" i="34"/>
  <c r="M3" i="34"/>
  <c r="L3" i="34"/>
  <c r="K3" i="34"/>
  <c r="J3" i="34"/>
  <c r="I3" i="34"/>
  <c r="H3" i="34"/>
  <c r="G3" i="34"/>
  <c r="E3" i="34"/>
  <c r="AR2" i="31" l="1"/>
  <c r="AQ2" i="31"/>
  <c r="AP2" i="31"/>
  <c r="AO2" i="31"/>
  <c r="AN2" i="31"/>
  <c r="E2" i="31"/>
  <c r="AM2" i="31"/>
  <c r="AL2" i="31"/>
  <c r="AK2" i="31"/>
  <c r="AJ2" i="31"/>
  <c r="AI2" i="31"/>
  <c r="AH2" i="31"/>
  <c r="AG2" i="31"/>
  <c r="AF2" i="31"/>
  <c r="AE2" i="31"/>
  <c r="AD2" i="31"/>
  <c r="AC2" i="31"/>
  <c r="AB2" i="31"/>
  <c r="AA2" i="31"/>
  <c r="Z2" i="31"/>
  <c r="Y2" i="31"/>
  <c r="X2" i="31"/>
  <c r="W2" i="31"/>
  <c r="V2" i="31"/>
  <c r="U2" i="31"/>
  <c r="T2" i="31"/>
  <c r="S2" i="31"/>
  <c r="R2" i="31"/>
  <c r="Q2" i="31"/>
  <c r="P2" i="31"/>
  <c r="O2" i="31"/>
  <c r="N2" i="31"/>
  <c r="M2" i="31"/>
  <c r="L2" i="31"/>
  <c r="K2" i="31"/>
  <c r="J2" i="31"/>
  <c r="I2" i="31"/>
  <c r="H2" i="31"/>
  <c r="G2" i="31"/>
  <c r="F2" i="31"/>
  <c r="C2" i="31"/>
  <c r="AP920" i="31"/>
  <c r="AO920" i="31"/>
  <c r="AN920" i="31"/>
  <c r="AL920" i="31"/>
  <c r="AI920" i="31"/>
  <c r="AH920" i="31"/>
  <c r="AG920" i="31"/>
  <c r="AE920" i="31"/>
  <c r="AB920" i="31"/>
  <c r="AA920" i="31"/>
  <c r="Z920" i="31"/>
  <c r="X920" i="31"/>
  <c r="V920" i="31"/>
  <c r="U920" i="31"/>
  <c r="T920" i="31"/>
  <c r="S920" i="31"/>
  <c r="Q920" i="31"/>
  <c r="N920" i="31"/>
  <c r="M920" i="31"/>
  <c r="L920" i="31"/>
  <c r="J920" i="31"/>
  <c r="H920" i="31"/>
  <c r="G920" i="31"/>
  <c r="F920" i="31"/>
  <c r="E920" i="31"/>
  <c r="C920" i="31"/>
  <c r="A13" i="18" l="1"/>
  <c r="A22" i="18"/>
  <c r="C3" i="27"/>
  <c r="E3" i="27"/>
  <c r="T3" i="27"/>
  <c r="S3" i="27"/>
  <c r="R3" i="27"/>
  <c r="P3" i="27"/>
  <c r="O3" i="27"/>
  <c r="N3" i="27"/>
  <c r="M3" i="27"/>
  <c r="K3" i="27"/>
  <c r="I3" i="27"/>
  <c r="H3" i="27"/>
  <c r="G3" i="27"/>
  <c r="J3" i="27"/>
  <c r="T22" i="18" l="1"/>
  <c r="L22" i="18"/>
  <c r="R22" i="18"/>
  <c r="K22" i="18"/>
  <c r="Q22" i="18"/>
  <c r="J22" i="18"/>
  <c r="H22" i="18"/>
  <c r="P22" i="18"/>
  <c r="V22" i="18"/>
  <c r="O22" i="18"/>
  <c r="G22" i="18"/>
  <c r="F22" i="18"/>
  <c r="C22" i="18"/>
  <c r="U22" i="18"/>
  <c r="M22" i="18"/>
  <c r="D22" i="18"/>
  <c r="V13" i="18"/>
  <c r="O13" i="18"/>
  <c r="G13" i="18"/>
  <c r="D13" i="18"/>
  <c r="M13" i="18"/>
  <c r="U13" i="18"/>
  <c r="R13" i="18"/>
  <c r="K13" i="18"/>
  <c r="T13" i="18"/>
  <c r="L13" i="18"/>
  <c r="J13" i="18"/>
  <c r="P13" i="18"/>
  <c r="Q13" i="18"/>
  <c r="H13" i="18"/>
  <c r="C13" i="18"/>
  <c r="F13" i="18"/>
  <c r="B22" i="18"/>
  <c r="B13" i="18"/>
  <c r="C3" i="25"/>
  <c r="D3" i="25"/>
  <c r="E3" i="25"/>
  <c r="G3" i="25"/>
  <c r="H3" i="25"/>
  <c r="I3" i="25"/>
  <c r="J3" i="25"/>
  <c r="K3" i="25"/>
  <c r="M3" i="25"/>
  <c r="N3" i="25"/>
  <c r="S3" i="25"/>
  <c r="T3" i="25"/>
  <c r="R3" i="25"/>
  <c r="O3" i="25"/>
  <c r="P3" i="25"/>
  <c r="B5" i="27"/>
  <c r="C1" i="29" l="1"/>
  <c r="C3" i="29" s="1"/>
  <c r="AM1" i="29" l="1"/>
  <c r="AD1" i="29"/>
  <c r="T1" i="29"/>
  <c r="K1" i="29"/>
  <c r="AI1" i="29"/>
  <c r="AG1" i="29"/>
  <c r="Y1" i="29"/>
  <c r="X1" i="29"/>
  <c r="O1" i="29"/>
  <c r="N1" i="29"/>
  <c r="F1" i="29"/>
  <c r="E1" i="29"/>
  <c r="AK1" i="29"/>
  <c r="AJ1" i="29"/>
  <c r="AF1" i="29"/>
  <c r="AE1" i="29"/>
  <c r="AA1" i="29"/>
  <c r="Z1" i="29"/>
  <c r="W1" i="29"/>
  <c r="U1" i="29"/>
  <c r="R1" i="29"/>
  <c r="Q1" i="29"/>
  <c r="M1" i="29"/>
  <c r="L1" i="29"/>
  <c r="G1" i="29"/>
  <c r="A2" i="29"/>
  <c r="AL1" i="29"/>
  <c r="AC1" i="29"/>
  <c r="S1" i="29"/>
  <c r="H1" i="29"/>
  <c r="C1" i="28" l="1"/>
  <c r="C5" i="27" l="1"/>
  <c r="D3" i="27" l="1"/>
  <c r="D5" i="27" s="1"/>
  <c r="C2" i="27"/>
  <c r="A1" i="27"/>
  <c r="K2" i="27" l="1"/>
  <c r="P2" i="27"/>
  <c r="D2" i="27"/>
  <c r="C919" i="20"/>
  <c r="C918" i="20"/>
  <c r="C917" i="20"/>
  <c r="C916" i="20"/>
  <c r="C915" i="20"/>
  <c r="C914" i="20"/>
  <c r="C913" i="20"/>
  <c r="C912" i="20"/>
  <c r="C911" i="20"/>
  <c r="C910" i="20"/>
  <c r="C909" i="20"/>
  <c r="C908" i="20"/>
  <c r="C907" i="20"/>
  <c r="C906" i="20"/>
  <c r="C905" i="20"/>
  <c r="C904" i="20"/>
  <c r="C903" i="20"/>
  <c r="C902" i="20"/>
  <c r="C901" i="20"/>
  <c r="C900" i="20"/>
  <c r="C899" i="20"/>
  <c r="C898" i="20"/>
  <c r="C897" i="20"/>
  <c r="C896" i="20"/>
  <c r="C895" i="20"/>
  <c r="C894" i="20"/>
  <c r="C893" i="20"/>
  <c r="C892" i="20"/>
  <c r="C891" i="20"/>
  <c r="C890" i="20"/>
  <c r="C889" i="20"/>
  <c r="C888" i="20"/>
  <c r="C887" i="20"/>
  <c r="C886" i="20"/>
  <c r="C885" i="20"/>
  <c r="C884" i="20"/>
  <c r="C883" i="20"/>
  <c r="C882" i="20"/>
  <c r="C881" i="20"/>
  <c r="C880" i="20"/>
  <c r="C879" i="20"/>
  <c r="C878" i="20"/>
  <c r="C877" i="20"/>
  <c r="C876" i="20"/>
  <c r="C875" i="20"/>
  <c r="C874" i="20"/>
  <c r="C873" i="20"/>
  <c r="C872" i="20"/>
  <c r="C871" i="20"/>
  <c r="C870" i="20"/>
  <c r="C869" i="20"/>
  <c r="C868" i="20"/>
  <c r="C867" i="20"/>
  <c r="C866" i="20"/>
  <c r="C865" i="20"/>
  <c r="C864" i="20"/>
  <c r="C863" i="20"/>
  <c r="C862" i="20"/>
  <c r="C861" i="20"/>
  <c r="C860" i="20"/>
  <c r="C859" i="20"/>
  <c r="C858" i="20"/>
  <c r="C857" i="20"/>
  <c r="C856" i="20"/>
  <c r="C855" i="20"/>
  <c r="C854" i="20"/>
  <c r="C853" i="20"/>
  <c r="C852" i="20"/>
  <c r="C851" i="20"/>
  <c r="C850" i="20"/>
  <c r="C849" i="20"/>
  <c r="C848" i="20"/>
  <c r="C847" i="20"/>
  <c r="C846" i="20"/>
  <c r="C845" i="20"/>
  <c r="C844" i="20"/>
  <c r="C843" i="20"/>
  <c r="C842" i="20"/>
  <c r="C841" i="20"/>
  <c r="C840" i="20"/>
  <c r="C839" i="20"/>
  <c r="C838" i="20"/>
  <c r="C837" i="20"/>
  <c r="C836" i="20"/>
  <c r="C835" i="20"/>
  <c r="C834" i="20"/>
  <c r="C833" i="20"/>
  <c r="C832" i="20"/>
  <c r="C831" i="20"/>
  <c r="C830" i="20"/>
  <c r="C829" i="20"/>
  <c r="C828" i="20"/>
  <c r="C827" i="20"/>
  <c r="C826" i="20"/>
  <c r="C825" i="20"/>
  <c r="C824" i="20"/>
  <c r="C823" i="20"/>
  <c r="C822" i="20"/>
  <c r="C821" i="20"/>
  <c r="C820" i="20"/>
  <c r="C819" i="20"/>
  <c r="C818" i="20"/>
  <c r="C817" i="20"/>
  <c r="C816" i="20"/>
  <c r="C815" i="20"/>
  <c r="C814" i="20"/>
  <c r="C813" i="20"/>
  <c r="C812" i="20"/>
  <c r="C811" i="20"/>
  <c r="C810" i="20"/>
  <c r="C809" i="20"/>
  <c r="C808" i="20"/>
  <c r="C807" i="20"/>
  <c r="C806" i="20"/>
  <c r="C805" i="20"/>
  <c r="C804" i="20"/>
  <c r="C803" i="20"/>
  <c r="C802" i="20"/>
  <c r="C801" i="20"/>
  <c r="C800" i="20"/>
  <c r="C799" i="20"/>
  <c r="C798" i="20"/>
  <c r="C797" i="20"/>
  <c r="C796" i="20"/>
  <c r="C795" i="20"/>
  <c r="C794" i="20"/>
  <c r="C793" i="20"/>
  <c r="C792" i="20"/>
  <c r="C791" i="20"/>
  <c r="C790" i="20"/>
  <c r="C789" i="20"/>
  <c r="C788" i="20"/>
  <c r="C787" i="20"/>
  <c r="C786" i="20"/>
  <c r="C785" i="20"/>
  <c r="C784" i="20"/>
  <c r="C783" i="20"/>
  <c r="C782" i="20"/>
  <c r="C781" i="20"/>
  <c r="C780" i="20"/>
  <c r="C779" i="20"/>
  <c r="C778" i="20"/>
  <c r="C777" i="20"/>
  <c r="C776" i="20"/>
  <c r="C775" i="20"/>
  <c r="C774" i="20"/>
  <c r="C773" i="20"/>
  <c r="C772" i="20"/>
  <c r="C771" i="20"/>
  <c r="C770" i="20"/>
  <c r="C769" i="20"/>
  <c r="C768" i="20"/>
  <c r="C767" i="20"/>
  <c r="C766" i="20"/>
  <c r="C765" i="20"/>
  <c r="C764" i="20"/>
  <c r="C763" i="20"/>
  <c r="C762" i="20"/>
  <c r="C761" i="20"/>
  <c r="C760" i="20"/>
  <c r="C759" i="20"/>
  <c r="C758" i="20"/>
  <c r="C757" i="20"/>
  <c r="C756" i="20"/>
  <c r="C755" i="20"/>
  <c r="C754" i="20"/>
  <c r="C753" i="20"/>
  <c r="C752" i="20"/>
  <c r="C751" i="20"/>
  <c r="C750" i="20"/>
  <c r="C749" i="20"/>
  <c r="C748" i="20"/>
  <c r="C747" i="20"/>
  <c r="C746" i="20"/>
  <c r="C745" i="20"/>
  <c r="C744" i="20"/>
  <c r="C743" i="20"/>
  <c r="C742" i="20"/>
  <c r="C741" i="20"/>
  <c r="C740" i="20"/>
  <c r="C739" i="20"/>
  <c r="C738" i="20"/>
  <c r="C737" i="20"/>
  <c r="C736" i="20"/>
  <c r="C735" i="20"/>
  <c r="C734" i="20"/>
  <c r="C733" i="20"/>
  <c r="C732" i="20"/>
  <c r="C731" i="20"/>
  <c r="C730" i="20"/>
  <c r="C729" i="20"/>
  <c r="C728" i="20"/>
  <c r="C727" i="20"/>
  <c r="C726" i="20"/>
  <c r="C725" i="20"/>
  <c r="C724" i="20"/>
  <c r="C723" i="20"/>
  <c r="C722" i="20"/>
  <c r="C721" i="20"/>
  <c r="C720" i="20"/>
  <c r="C719" i="20"/>
  <c r="C718" i="20"/>
  <c r="C717" i="20"/>
  <c r="C716" i="20"/>
  <c r="C715" i="20"/>
  <c r="C714" i="20"/>
  <c r="C713" i="20"/>
  <c r="C712" i="20"/>
  <c r="C711" i="20"/>
  <c r="C710" i="20"/>
  <c r="C709" i="20"/>
  <c r="C708" i="20"/>
  <c r="C707" i="20"/>
  <c r="C706" i="20"/>
  <c r="C705" i="20"/>
  <c r="C704" i="20"/>
  <c r="C703" i="20"/>
  <c r="C702" i="20"/>
  <c r="C701" i="20"/>
  <c r="C700" i="20"/>
  <c r="C699" i="20"/>
  <c r="C698" i="20"/>
  <c r="C697" i="20"/>
  <c r="C696" i="20"/>
  <c r="C695" i="20"/>
  <c r="C694" i="20"/>
  <c r="C693" i="20"/>
  <c r="C692" i="20"/>
  <c r="C691" i="20"/>
  <c r="C690" i="20"/>
  <c r="C689" i="20"/>
  <c r="C688" i="20"/>
  <c r="C687" i="20"/>
  <c r="C686" i="20"/>
  <c r="C685" i="20"/>
  <c r="C684" i="20"/>
  <c r="C683" i="20"/>
  <c r="C682" i="20"/>
  <c r="C681" i="20"/>
  <c r="C680" i="20"/>
  <c r="C679" i="20"/>
  <c r="C678" i="20"/>
  <c r="C677" i="20"/>
  <c r="C676" i="20"/>
  <c r="C675" i="20"/>
  <c r="C674" i="20"/>
  <c r="C673" i="20"/>
  <c r="C672" i="20"/>
  <c r="C671" i="20"/>
  <c r="C670" i="20"/>
  <c r="C669" i="20"/>
  <c r="C668" i="20"/>
  <c r="C667" i="20"/>
  <c r="C666" i="20"/>
  <c r="C665" i="20"/>
  <c r="C664" i="20"/>
  <c r="C663" i="20"/>
  <c r="C662" i="20"/>
  <c r="C661" i="20"/>
  <c r="C660" i="20"/>
  <c r="C659" i="20"/>
  <c r="C658" i="20"/>
  <c r="C657" i="20"/>
  <c r="C656" i="20"/>
  <c r="C655" i="20"/>
  <c r="C654" i="20"/>
  <c r="C653" i="20"/>
  <c r="C652" i="20"/>
  <c r="C651" i="20"/>
  <c r="C650" i="20"/>
  <c r="C649" i="20"/>
  <c r="C648" i="20"/>
  <c r="C647" i="20"/>
  <c r="C646" i="20"/>
  <c r="C645" i="20"/>
  <c r="C644" i="20"/>
  <c r="C643" i="20"/>
  <c r="C642" i="20"/>
  <c r="C641" i="20"/>
  <c r="C640" i="20"/>
  <c r="C639" i="20"/>
  <c r="C638" i="20"/>
  <c r="C637" i="20"/>
  <c r="C636" i="20"/>
  <c r="C635" i="20"/>
  <c r="C634" i="20"/>
  <c r="C633" i="20"/>
  <c r="C632" i="20"/>
  <c r="C631" i="20"/>
  <c r="C630" i="20"/>
  <c r="C629" i="20"/>
  <c r="C628" i="20"/>
  <c r="C627" i="20"/>
  <c r="C626" i="20"/>
  <c r="C625" i="20"/>
  <c r="C624" i="20"/>
  <c r="C623" i="20"/>
  <c r="C622" i="20"/>
  <c r="C621" i="20"/>
  <c r="C620" i="20"/>
  <c r="C619" i="20"/>
  <c r="C618" i="20"/>
  <c r="C617" i="20"/>
  <c r="C616" i="20"/>
  <c r="C615" i="20"/>
  <c r="C614" i="20"/>
  <c r="C613" i="20"/>
  <c r="C612" i="20"/>
  <c r="C611" i="20"/>
  <c r="C610" i="20"/>
  <c r="C609" i="20"/>
  <c r="C608" i="20"/>
  <c r="C607" i="20"/>
  <c r="C606" i="20"/>
  <c r="C605" i="20"/>
  <c r="C604" i="20"/>
  <c r="C603" i="20"/>
  <c r="C602" i="20"/>
  <c r="C601" i="20"/>
  <c r="C600" i="20"/>
  <c r="C599" i="20"/>
  <c r="C598" i="20"/>
  <c r="C597" i="20"/>
  <c r="C596" i="20"/>
  <c r="C595" i="20"/>
  <c r="C594" i="20"/>
  <c r="C593" i="20"/>
  <c r="C592" i="20"/>
  <c r="C591" i="20"/>
  <c r="C590" i="20"/>
  <c r="C589" i="20"/>
  <c r="C588" i="20"/>
  <c r="C587" i="20"/>
  <c r="C586" i="20"/>
  <c r="C585" i="20"/>
  <c r="C584" i="20"/>
  <c r="C583" i="20"/>
  <c r="C582" i="20"/>
  <c r="C581" i="20"/>
  <c r="C580" i="20"/>
  <c r="C579" i="20"/>
  <c r="C578" i="20"/>
  <c r="C577" i="20"/>
  <c r="C576" i="20"/>
  <c r="C575" i="20"/>
  <c r="C574" i="20"/>
  <c r="C573" i="20"/>
  <c r="C572" i="20"/>
  <c r="C571" i="20"/>
  <c r="C570" i="20"/>
  <c r="C569" i="20"/>
  <c r="C568" i="20"/>
  <c r="C567" i="20"/>
  <c r="C566" i="20"/>
  <c r="C565" i="20"/>
  <c r="C564" i="20"/>
  <c r="C563" i="20"/>
  <c r="C562" i="20"/>
  <c r="C561" i="20"/>
  <c r="C560" i="20"/>
  <c r="C559" i="20"/>
  <c r="C558" i="20"/>
  <c r="C557" i="20"/>
  <c r="C556" i="20"/>
  <c r="C555" i="20"/>
  <c r="C554" i="20"/>
  <c r="C553" i="20"/>
  <c r="C552" i="20"/>
  <c r="C551" i="20"/>
  <c r="C550" i="20"/>
  <c r="C549" i="20"/>
  <c r="C548" i="20"/>
  <c r="C547" i="20"/>
  <c r="C546" i="20"/>
  <c r="C545" i="20"/>
  <c r="C544" i="20"/>
  <c r="C543" i="20"/>
  <c r="C542" i="20"/>
  <c r="C541" i="20"/>
  <c r="C540" i="20"/>
  <c r="C539" i="20"/>
  <c r="C538" i="20"/>
  <c r="C537" i="20"/>
  <c r="C536" i="20"/>
  <c r="C535" i="20"/>
  <c r="C534" i="20"/>
  <c r="C533" i="20"/>
  <c r="C532" i="20"/>
  <c r="C531" i="20"/>
  <c r="C530" i="20"/>
  <c r="C529" i="20"/>
  <c r="C528" i="20"/>
  <c r="C527" i="20"/>
  <c r="C526" i="20"/>
  <c r="C525" i="20"/>
  <c r="C524" i="20"/>
  <c r="C523" i="20"/>
  <c r="C522" i="20"/>
  <c r="C521" i="20"/>
  <c r="C520" i="20"/>
  <c r="C519" i="20"/>
  <c r="C518" i="20"/>
  <c r="C517" i="20"/>
  <c r="C516" i="20"/>
  <c r="C515" i="20"/>
  <c r="C514" i="20"/>
  <c r="C513" i="20"/>
  <c r="C512" i="20"/>
  <c r="C511" i="20"/>
  <c r="C510" i="20"/>
  <c r="C509" i="20"/>
  <c r="C508" i="20"/>
  <c r="C507" i="20"/>
  <c r="C506" i="20"/>
  <c r="C505" i="20"/>
  <c r="C504" i="20"/>
  <c r="C503" i="20"/>
  <c r="C502" i="20"/>
  <c r="C501" i="20"/>
  <c r="C500" i="20"/>
  <c r="C499" i="20"/>
  <c r="C498" i="20"/>
  <c r="C497" i="20"/>
  <c r="C496" i="20"/>
  <c r="C495" i="20"/>
  <c r="C494" i="20"/>
  <c r="C493" i="20"/>
  <c r="C492" i="20"/>
  <c r="C491" i="20"/>
  <c r="C490" i="20"/>
  <c r="C489" i="20"/>
  <c r="C488" i="20"/>
  <c r="C487" i="20"/>
  <c r="C486" i="20"/>
  <c r="C485" i="20"/>
  <c r="C484" i="20"/>
  <c r="C483" i="20"/>
  <c r="C482" i="20"/>
  <c r="C481" i="20"/>
  <c r="C480" i="20"/>
  <c r="C479" i="20"/>
  <c r="C478" i="20"/>
  <c r="C477" i="20"/>
  <c r="C476" i="20"/>
  <c r="C475" i="20"/>
  <c r="C474" i="20"/>
  <c r="C473" i="20"/>
  <c r="C472" i="20"/>
  <c r="C471" i="20"/>
  <c r="C470" i="20"/>
  <c r="C469" i="20"/>
  <c r="C468" i="20"/>
  <c r="C467" i="20"/>
  <c r="C466" i="20"/>
  <c r="C465" i="20"/>
  <c r="C464" i="20"/>
  <c r="C463" i="20"/>
  <c r="C462" i="20"/>
  <c r="C461" i="20"/>
  <c r="C460" i="20"/>
  <c r="C459" i="20"/>
  <c r="C458" i="20"/>
  <c r="C457" i="20"/>
  <c r="C456" i="20"/>
  <c r="C455" i="20"/>
  <c r="C454" i="20"/>
  <c r="C453" i="20"/>
  <c r="C452" i="20"/>
  <c r="C451" i="20"/>
  <c r="C450" i="20"/>
  <c r="C449" i="20"/>
  <c r="C448" i="20"/>
  <c r="C447" i="20"/>
  <c r="C446" i="20"/>
  <c r="C445" i="20"/>
  <c r="C444" i="20"/>
  <c r="C443" i="20"/>
  <c r="C442" i="20"/>
  <c r="C441" i="20"/>
  <c r="C440" i="20"/>
  <c r="C439" i="20"/>
  <c r="C438" i="20"/>
  <c r="C437" i="20"/>
  <c r="C436" i="20"/>
  <c r="C435" i="20"/>
  <c r="C434" i="20"/>
  <c r="C433" i="20"/>
  <c r="C432" i="20"/>
  <c r="C431" i="20"/>
  <c r="C430" i="20"/>
  <c r="C429" i="20"/>
  <c r="C428" i="20"/>
  <c r="C427" i="20"/>
  <c r="C426" i="20"/>
  <c r="C425" i="20"/>
  <c r="C424" i="20"/>
  <c r="C423" i="20"/>
  <c r="C422" i="20"/>
  <c r="C421" i="20"/>
  <c r="C420" i="20"/>
  <c r="C419" i="20"/>
  <c r="C418" i="20"/>
  <c r="C417" i="20"/>
  <c r="C416" i="20"/>
  <c r="C415" i="20"/>
  <c r="C414" i="20"/>
  <c r="C413" i="20"/>
  <c r="C412" i="20"/>
  <c r="C411" i="20"/>
  <c r="C410" i="20"/>
  <c r="C409" i="20"/>
  <c r="C408" i="20"/>
  <c r="C407" i="20"/>
  <c r="C406" i="20"/>
  <c r="C405" i="20"/>
  <c r="C404" i="20"/>
  <c r="C403" i="20"/>
  <c r="C402" i="20"/>
  <c r="C401" i="20"/>
  <c r="C400" i="20"/>
  <c r="C399" i="20"/>
  <c r="C398" i="20"/>
  <c r="C397" i="20"/>
  <c r="C396" i="20"/>
  <c r="C395" i="20"/>
  <c r="C394" i="20"/>
  <c r="C393" i="20"/>
  <c r="C392" i="20"/>
  <c r="C391" i="20"/>
  <c r="C390" i="20"/>
  <c r="C389" i="20"/>
  <c r="C388" i="20"/>
  <c r="C387" i="20"/>
  <c r="C386" i="20"/>
  <c r="C385" i="20"/>
  <c r="C384" i="20"/>
  <c r="C383" i="20"/>
  <c r="C382" i="20"/>
  <c r="C381" i="20"/>
  <c r="C380" i="20"/>
  <c r="C379" i="20"/>
  <c r="C378" i="20"/>
  <c r="C377" i="20"/>
  <c r="C376" i="20"/>
  <c r="C375" i="20"/>
  <c r="C374" i="20"/>
  <c r="C373" i="20"/>
  <c r="C372" i="20"/>
  <c r="C371" i="20"/>
  <c r="C370" i="20"/>
  <c r="C369" i="20"/>
  <c r="C368" i="20"/>
  <c r="C367" i="20"/>
  <c r="C366" i="20"/>
  <c r="C365" i="20"/>
  <c r="C364" i="20"/>
  <c r="C363" i="20"/>
  <c r="C362" i="20"/>
  <c r="C361" i="20"/>
  <c r="C360" i="20"/>
  <c r="C359" i="20"/>
  <c r="C358" i="20"/>
  <c r="C357" i="20"/>
  <c r="C356" i="20"/>
  <c r="C355" i="20"/>
  <c r="C354" i="20"/>
  <c r="C353" i="20"/>
  <c r="C352" i="20"/>
  <c r="C351" i="20"/>
  <c r="C350" i="20"/>
  <c r="C349" i="20"/>
  <c r="C348" i="20"/>
  <c r="C347" i="20"/>
  <c r="C346" i="20"/>
  <c r="C345" i="20"/>
  <c r="C344" i="20"/>
  <c r="C343" i="20"/>
  <c r="C342" i="20"/>
  <c r="C341" i="20"/>
  <c r="C340" i="20"/>
  <c r="C339" i="20"/>
  <c r="C338" i="20"/>
  <c r="C337" i="20"/>
  <c r="C336" i="20"/>
  <c r="C335" i="20"/>
  <c r="C334" i="20"/>
  <c r="C333" i="20"/>
  <c r="C332" i="20"/>
  <c r="C331" i="20"/>
  <c r="C330" i="20"/>
  <c r="C329" i="20"/>
  <c r="C328" i="20"/>
  <c r="C327" i="20"/>
  <c r="C326" i="20"/>
  <c r="C325" i="20"/>
  <c r="C324" i="20"/>
  <c r="C323" i="20"/>
  <c r="C322" i="20"/>
  <c r="C321" i="20"/>
  <c r="C320" i="20"/>
  <c r="C319" i="20"/>
  <c r="C318" i="20"/>
  <c r="C317" i="20"/>
  <c r="C316" i="20"/>
  <c r="C315" i="20"/>
  <c r="C314" i="20"/>
  <c r="C313" i="20"/>
  <c r="C312" i="20"/>
  <c r="C311" i="20"/>
  <c r="C310" i="20"/>
  <c r="C309" i="20"/>
  <c r="C308" i="20"/>
  <c r="C307" i="20"/>
  <c r="C306" i="20"/>
  <c r="C305" i="20"/>
  <c r="C304" i="20"/>
  <c r="C303" i="20"/>
  <c r="C302" i="20"/>
  <c r="C301" i="20"/>
  <c r="C300" i="20"/>
  <c r="C299" i="20"/>
  <c r="C298" i="20"/>
  <c r="C297" i="20"/>
  <c r="C296" i="20"/>
  <c r="C295" i="20"/>
  <c r="C294" i="20"/>
  <c r="C293" i="20"/>
  <c r="C292" i="20"/>
  <c r="C291" i="20"/>
  <c r="C290" i="20"/>
  <c r="C289" i="20"/>
  <c r="C288" i="20"/>
  <c r="C287" i="20"/>
  <c r="C286" i="20"/>
  <c r="C285" i="20"/>
  <c r="C284" i="20"/>
  <c r="C283" i="20"/>
  <c r="C282" i="20"/>
  <c r="C281" i="20"/>
  <c r="C280" i="20"/>
  <c r="C279" i="20"/>
  <c r="C278" i="20"/>
  <c r="C277" i="20"/>
  <c r="C276" i="20"/>
  <c r="C275" i="20"/>
  <c r="C274" i="20"/>
  <c r="C273" i="20"/>
  <c r="C272" i="20"/>
  <c r="C271" i="20"/>
  <c r="C270" i="20"/>
  <c r="C269" i="20"/>
  <c r="C268" i="20"/>
  <c r="C267" i="20"/>
  <c r="C266" i="20"/>
  <c r="C265" i="20"/>
  <c r="C264" i="20"/>
  <c r="C263" i="20"/>
  <c r="C262" i="20"/>
  <c r="C261" i="20"/>
  <c r="C260" i="20"/>
  <c r="C259" i="20"/>
  <c r="C258" i="20"/>
  <c r="C257" i="20"/>
  <c r="C256" i="20"/>
  <c r="C255" i="20"/>
  <c r="C254" i="20"/>
  <c r="C253" i="20"/>
  <c r="C252" i="20"/>
  <c r="C251" i="20"/>
  <c r="C250" i="20"/>
  <c r="C249" i="20"/>
  <c r="C248" i="20"/>
  <c r="C247" i="20"/>
  <c r="C246" i="20"/>
  <c r="C245" i="20"/>
  <c r="C244" i="20"/>
  <c r="C243" i="20"/>
  <c r="C242" i="20"/>
  <c r="C241" i="20"/>
  <c r="C240" i="20"/>
  <c r="C239" i="20"/>
  <c r="C238" i="20"/>
  <c r="C237" i="20"/>
  <c r="C236" i="20"/>
  <c r="C235" i="20"/>
  <c r="C234" i="20"/>
  <c r="C233" i="20"/>
  <c r="C232" i="20"/>
  <c r="C231" i="20"/>
  <c r="C230" i="20"/>
  <c r="C229" i="20"/>
  <c r="C228" i="20"/>
  <c r="C227" i="20"/>
  <c r="C226" i="20"/>
  <c r="C225" i="20"/>
  <c r="C224" i="20"/>
  <c r="C223" i="20"/>
  <c r="C222" i="20"/>
  <c r="C221" i="20"/>
  <c r="C220" i="20"/>
  <c r="C219" i="20"/>
  <c r="C218" i="20"/>
  <c r="C217" i="20"/>
  <c r="C216" i="20"/>
  <c r="C215" i="20"/>
  <c r="C214" i="20"/>
  <c r="C213" i="20"/>
  <c r="C212" i="20"/>
  <c r="C211" i="20"/>
  <c r="C210" i="20"/>
  <c r="C209" i="20"/>
  <c r="C208" i="20"/>
  <c r="C207" i="20"/>
  <c r="C206" i="20"/>
  <c r="C205" i="20"/>
  <c r="C204" i="20"/>
  <c r="C203" i="20"/>
  <c r="C202" i="20"/>
  <c r="C201" i="20"/>
  <c r="C200" i="20"/>
  <c r="C199" i="20"/>
  <c r="C198" i="20"/>
  <c r="C197" i="20"/>
  <c r="C196" i="20"/>
  <c r="C195" i="20"/>
  <c r="C194" i="20"/>
  <c r="C193" i="20"/>
  <c r="C192" i="20"/>
  <c r="C191" i="20"/>
  <c r="C190" i="20"/>
  <c r="C189" i="20"/>
  <c r="C188" i="20"/>
  <c r="C187" i="20"/>
  <c r="C186" i="20"/>
  <c r="C185" i="20"/>
  <c r="C184" i="20"/>
  <c r="C183" i="20"/>
  <c r="C182" i="20"/>
  <c r="C181" i="20"/>
  <c r="C180" i="20"/>
  <c r="C179" i="20"/>
  <c r="C178" i="20"/>
  <c r="C177" i="20"/>
  <c r="C176" i="20"/>
  <c r="C175" i="20"/>
  <c r="C174" i="20"/>
  <c r="C173" i="20"/>
  <c r="C172" i="20"/>
  <c r="C171" i="20"/>
  <c r="C170" i="20"/>
  <c r="C169" i="20"/>
  <c r="C168" i="20"/>
  <c r="C167" i="20"/>
  <c r="C166" i="20"/>
  <c r="C165" i="20"/>
  <c r="C164" i="20"/>
  <c r="C163" i="20"/>
  <c r="C162" i="20"/>
  <c r="C161" i="20"/>
  <c r="C160" i="20"/>
  <c r="C159" i="20"/>
  <c r="C158" i="20"/>
  <c r="C157" i="20"/>
  <c r="C156" i="20"/>
  <c r="C155" i="20"/>
  <c r="C154" i="20"/>
  <c r="C153" i="20"/>
  <c r="C152" i="20"/>
  <c r="C151" i="20"/>
  <c r="C150" i="20"/>
  <c r="C149" i="20"/>
  <c r="C148" i="20"/>
  <c r="C147" i="20"/>
  <c r="C146" i="20"/>
  <c r="C145" i="20"/>
  <c r="C144" i="20"/>
  <c r="C143" i="20"/>
  <c r="C142" i="20"/>
  <c r="C141" i="20"/>
  <c r="C140" i="20"/>
  <c r="C139" i="20"/>
  <c r="C138" i="20"/>
  <c r="C137" i="20"/>
  <c r="C136" i="20"/>
  <c r="C135" i="20"/>
  <c r="C134" i="20"/>
  <c r="C133" i="20"/>
  <c r="C132" i="20"/>
  <c r="C131" i="20"/>
  <c r="C130" i="20"/>
  <c r="C129" i="20"/>
  <c r="C128" i="20"/>
  <c r="C127" i="20"/>
  <c r="C126" i="20"/>
  <c r="C125" i="20"/>
  <c r="C124" i="20"/>
  <c r="C123" i="20"/>
  <c r="C122" i="20"/>
  <c r="C121" i="20"/>
  <c r="C120" i="20"/>
  <c r="C119" i="20"/>
  <c r="C118" i="20"/>
  <c r="C117" i="20"/>
  <c r="C116" i="20"/>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83" i="20"/>
  <c r="C82" i="20"/>
  <c r="C81" i="20"/>
  <c r="C80" i="20"/>
  <c r="C79" i="20"/>
  <c r="C78" i="20"/>
  <c r="C77" i="20"/>
  <c r="C76" i="20"/>
  <c r="C75" i="20"/>
  <c r="C74" i="20"/>
  <c r="C73" i="20"/>
  <c r="C72" i="20"/>
  <c r="C71" i="20"/>
  <c r="C70" i="20"/>
  <c r="C69" i="20"/>
  <c r="C68" i="20"/>
  <c r="C67" i="20"/>
  <c r="C66" i="20"/>
  <c r="C65" i="20"/>
  <c r="C64" i="20"/>
  <c r="C63" i="20"/>
  <c r="C62" i="20"/>
  <c r="C61" i="20"/>
  <c r="C60" i="20"/>
  <c r="C59" i="20"/>
  <c r="C58" i="20"/>
  <c r="C57" i="20"/>
  <c r="C56" i="20"/>
  <c r="C55" i="20"/>
  <c r="C54" i="20"/>
  <c r="C53" i="20"/>
  <c r="C52" i="20"/>
  <c r="C51" i="20"/>
  <c r="C50" i="20"/>
  <c r="C49" i="20"/>
  <c r="C48" i="20"/>
  <c r="C47" i="20"/>
  <c r="C46" i="20"/>
  <c r="C45" i="20"/>
  <c r="C44" i="20"/>
  <c r="C43" i="20"/>
  <c r="C42" i="20"/>
  <c r="C41" i="20"/>
  <c r="C40" i="20"/>
  <c r="C39" i="20"/>
  <c r="C38" i="20"/>
  <c r="C37" i="20"/>
  <c r="C36" i="20"/>
  <c r="C35" i="20"/>
  <c r="C34" i="20"/>
  <c r="C33" i="20"/>
  <c r="C32" i="20"/>
  <c r="C31" i="20"/>
  <c r="C29" i="20"/>
  <c r="C27" i="20"/>
  <c r="C24" i="20"/>
  <c r="C8" i="20"/>
  <c r="C1" i="20" l="1"/>
  <c r="H2" i="27"/>
  <c r="J2" i="27"/>
  <c r="G2" i="27"/>
  <c r="O2" i="27"/>
  <c r="M2" i="27"/>
  <c r="R2" i="27"/>
  <c r="S2" i="27"/>
  <c r="T2" i="27"/>
  <c r="E2" i="27"/>
  <c r="I2" i="27"/>
  <c r="N2" i="27"/>
  <c r="C1" i="26" l="1"/>
  <c r="A2" i="20" l="1"/>
  <c r="A51" i="18" l="1"/>
  <c r="A52" i="18" s="1"/>
  <c r="A53" i="18" s="1"/>
  <c r="A54" i="18" s="1"/>
  <c r="C27" i="12"/>
  <c r="D31" i="12"/>
  <c r="D812" i="16" l="1"/>
  <c r="E812" i="16"/>
  <c r="G812" i="16"/>
  <c r="H812" i="16"/>
  <c r="I812" i="16"/>
  <c r="J812" i="16"/>
  <c r="M812" i="16"/>
  <c r="N812" i="16"/>
  <c r="O812" i="16"/>
  <c r="R812" i="16"/>
  <c r="S812" i="16"/>
  <c r="T812" i="16"/>
  <c r="C812" i="16"/>
  <c r="D796" i="16"/>
  <c r="E796" i="16"/>
  <c r="G796" i="16"/>
  <c r="H796" i="16"/>
  <c r="I796" i="16"/>
  <c r="J796" i="16"/>
  <c r="M796" i="16"/>
  <c r="N796" i="16"/>
  <c r="O796" i="16"/>
  <c r="R796" i="16"/>
  <c r="S796" i="16"/>
  <c r="T796" i="16"/>
  <c r="C796" i="16"/>
  <c r="C1" i="19" l="1"/>
  <c r="C665" i="19"/>
  <c r="D686" i="16"/>
  <c r="E686" i="16"/>
  <c r="G686" i="16"/>
  <c r="H686" i="16"/>
  <c r="I686" i="16"/>
  <c r="J686" i="16"/>
  <c r="M686" i="16"/>
  <c r="N686" i="16"/>
  <c r="O686" i="16"/>
  <c r="R686" i="16"/>
  <c r="S686" i="16"/>
  <c r="T686" i="16"/>
  <c r="C686" i="16"/>
  <c r="D675" i="17"/>
  <c r="E675" i="17"/>
  <c r="G675" i="17"/>
  <c r="H675" i="17"/>
  <c r="H3" i="17" s="1"/>
  <c r="I675" i="17"/>
  <c r="J675" i="17"/>
  <c r="M675" i="17"/>
  <c r="N675" i="17"/>
  <c r="N3" i="17" s="1"/>
  <c r="O675" i="17"/>
  <c r="R675" i="17"/>
  <c r="S675" i="17"/>
  <c r="T675" i="17"/>
  <c r="C675" i="17"/>
  <c r="M255" i="16"/>
  <c r="N255" i="16"/>
  <c r="O255" i="16"/>
  <c r="O3" i="16" s="1"/>
  <c r="R255" i="16"/>
  <c r="R3" i="16" s="1"/>
  <c r="S255" i="16"/>
  <c r="T255" i="16"/>
  <c r="D255" i="16"/>
  <c r="D3" i="16" s="1"/>
  <c r="E255" i="16"/>
  <c r="E3" i="16" s="1"/>
  <c r="G255" i="16"/>
  <c r="G3" i="16" s="1"/>
  <c r="H255" i="16"/>
  <c r="H3" i="16" s="1"/>
  <c r="I255" i="16"/>
  <c r="I3" i="16" s="1"/>
  <c r="J255" i="16"/>
  <c r="J3" i="16" s="1"/>
  <c r="C255" i="16"/>
  <c r="P911" i="17"/>
  <c r="K911" i="17"/>
  <c r="P910" i="17"/>
  <c r="K910" i="17"/>
  <c r="M3" i="16" l="1"/>
  <c r="C3" i="16"/>
  <c r="N3" i="16"/>
  <c r="T3" i="16"/>
  <c r="S3" i="16"/>
  <c r="C1" i="22"/>
  <c r="V3" i="21"/>
  <c r="U3" i="21"/>
  <c r="T3" i="21"/>
  <c r="Q3" i="21"/>
  <c r="P3" i="21"/>
  <c r="O3" i="21"/>
  <c r="N3" i="21"/>
  <c r="L3" i="21"/>
  <c r="K3" i="21"/>
  <c r="J3" i="21"/>
  <c r="I3" i="21"/>
  <c r="G3" i="21"/>
  <c r="F3" i="21"/>
  <c r="E3" i="21"/>
  <c r="D3" i="21"/>
  <c r="C3" i="21"/>
  <c r="R907" i="21"/>
  <c r="R906" i="21"/>
  <c r="R905" i="21"/>
  <c r="R904" i="21"/>
  <c r="R903" i="21"/>
  <c r="R902" i="21"/>
  <c r="R901" i="21"/>
  <c r="R900" i="21"/>
  <c r="R899" i="21"/>
  <c r="R898" i="21"/>
  <c r="R897" i="21"/>
  <c r="R896" i="21"/>
  <c r="R895" i="21"/>
  <c r="R894" i="21"/>
  <c r="R893" i="21"/>
  <c r="R892" i="21"/>
  <c r="R891" i="21"/>
  <c r="R890" i="21"/>
  <c r="R889" i="21"/>
  <c r="R888" i="21"/>
  <c r="R887" i="21"/>
  <c r="R886" i="21"/>
  <c r="R885" i="21"/>
  <c r="R884" i="21"/>
  <c r="R883" i="21"/>
  <c r="R882" i="21"/>
  <c r="R881" i="21"/>
  <c r="R880" i="21"/>
  <c r="R879" i="21"/>
  <c r="R878" i="21"/>
  <c r="R877" i="21"/>
  <c r="R876" i="21"/>
  <c r="R875" i="21"/>
  <c r="R874" i="21"/>
  <c r="R873" i="21"/>
  <c r="R872" i="21"/>
  <c r="R871" i="21"/>
  <c r="R870" i="21"/>
  <c r="R869" i="21"/>
  <c r="R868" i="21"/>
  <c r="R867" i="21"/>
  <c r="R866" i="21"/>
  <c r="R865" i="21"/>
  <c r="R864" i="21"/>
  <c r="R863" i="21"/>
  <c r="R862" i="21"/>
  <c r="R861" i="21"/>
  <c r="R860" i="21"/>
  <c r="R859" i="21"/>
  <c r="R858" i="21"/>
  <c r="R857" i="21"/>
  <c r="R856" i="21"/>
  <c r="R855" i="21"/>
  <c r="R854" i="21"/>
  <c r="R853" i="21"/>
  <c r="R852" i="21"/>
  <c r="R851" i="21"/>
  <c r="R850" i="21"/>
  <c r="R849" i="21"/>
  <c r="R848" i="21"/>
  <c r="R847" i="21"/>
  <c r="R846" i="21"/>
  <c r="R845" i="21"/>
  <c r="R844" i="21"/>
  <c r="R843" i="21"/>
  <c r="R842" i="21"/>
  <c r="R841" i="21"/>
  <c r="R840" i="21"/>
  <c r="R839" i="21"/>
  <c r="R838" i="21"/>
  <c r="R837" i="21"/>
  <c r="R836" i="21"/>
  <c r="R835" i="21"/>
  <c r="R834" i="21"/>
  <c r="R833" i="21"/>
  <c r="R832" i="21"/>
  <c r="R831" i="21"/>
  <c r="R830" i="21"/>
  <c r="R829" i="21"/>
  <c r="R828" i="21"/>
  <c r="R827" i="21"/>
  <c r="R826" i="21"/>
  <c r="R825" i="21"/>
  <c r="R824" i="21"/>
  <c r="R823" i="21"/>
  <c r="R822" i="21"/>
  <c r="R821" i="21"/>
  <c r="R820" i="21"/>
  <c r="R819" i="21"/>
  <c r="R818" i="21"/>
  <c r="R817" i="21"/>
  <c r="R816" i="21"/>
  <c r="R815" i="21"/>
  <c r="R814" i="21"/>
  <c r="R813" i="21"/>
  <c r="R812" i="21"/>
  <c r="R811" i="21"/>
  <c r="R810" i="21"/>
  <c r="R809" i="21"/>
  <c r="R808" i="21"/>
  <c r="R807" i="21"/>
  <c r="R806" i="21"/>
  <c r="R805" i="21"/>
  <c r="R804" i="21"/>
  <c r="R803" i="21"/>
  <c r="R802" i="21"/>
  <c r="R801" i="21"/>
  <c r="R800" i="21"/>
  <c r="R799" i="21"/>
  <c r="R798" i="21"/>
  <c r="R797" i="21"/>
  <c r="R796" i="21"/>
  <c r="R795" i="21"/>
  <c r="R794" i="21"/>
  <c r="R793" i="21"/>
  <c r="R792" i="21"/>
  <c r="R791" i="21"/>
  <c r="R790" i="21"/>
  <c r="R789" i="21"/>
  <c r="R788" i="21"/>
  <c r="R787" i="21"/>
  <c r="R786" i="21"/>
  <c r="R785" i="21"/>
  <c r="R784" i="21"/>
  <c r="R783" i="21"/>
  <c r="R782" i="21"/>
  <c r="R781" i="21"/>
  <c r="R780" i="21"/>
  <c r="R779" i="21"/>
  <c r="R778" i="21"/>
  <c r="R777" i="21"/>
  <c r="R776" i="21"/>
  <c r="R775" i="21"/>
  <c r="R774" i="21"/>
  <c r="R773" i="21"/>
  <c r="R772" i="21"/>
  <c r="R771" i="21"/>
  <c r="R770" i="21"/>
  <c r="R769" i="21"/>
  <c r="R768" i="21"/>
  <c r="R767" i="21"/>
  <c r="R766" i="21"/>
  <c r="R765" i="21"/>
  <c r="R764" i="21"/>
  <c r="R763" i="21"/>
  <c r="R762" i="21"/>
  <c r="R761" i="21"/>
  <c r="R760" i="21"/>
  <c r="R759" i="21"/>
  <c r="R758" i="21"/>
  <c r="R757" i="21"/>
  <c r="R756" i="21"/>
  <c r="R755" i="21"/>
  <c r="R754" i="21"/>
  <c r="R753" i="21"/>
  <c r="R752" i="21"/>
  <c r="R751" i="21"/>
  <c r="R750" i="21"/>
  <c r="R749" i="21"/>
  <c r="R748" i="21"/>
  <c r="R747" i="21"/>
  <c r="R746" i="21"/>
  <c r="R745" i="21"/>
  <c r="R744" i="21"/>
  <c r="R743" i="21"/>
  <c r="R742" i="21"/>
  <c r="R741" i="21"/>
  <c r="R740" i="21"/>
  <c r="R739" i="21"/>
  <c r="R738" i="21"/>
  <c r="R737" i="21"/>
  <c r="R736" i="21"/>
  <c r="R735" i="21"/>
  <c r="R734" i="21"/>
  <c r="R733" i="21"/>
  <c r="R732" i="21"/>
  <c r="R731" i="21"/>
  <c r="R730" i="21"/>
  <c r="R729" i="21"/>
  <c r="R728" i="21"/>
  <c r="R727" i="21"/>
  <c r="R726" i="21"/>
  <c r="R725" i="21"/>
  <c r="R724" i="21"/>
  <c r="R723" i="21"/>
  <c r="R722" i="21"/>
  <c r="R721" i="21"/>
  <c r="R720" i="21"/>
  <c r="R719" i="21"/>
  <c r="R718" i="21"/>
  <c r="R717" i="21"/>
  <c r="R716" i="21"/>
  <c r="R715" i="21"/>
  <c r="R714" i="21"/>
  <c r="R713" i="21"/>
  <c r="R712" i="21"/>
  <c r="R711" i="21"/>
  <c r="R710" i="21"/>
  <c r="R709" i="21"/>
  <c r="R708" i="21"/>
  <c r="R707" i="21"/>
  <c r="R706" i="21"/>
  <c r="R705" i="21"/>
  <c r="R704" i="21"/>
  <c r="R703" i="21"/>
  <c r="R702" i="21"/>
  <c r="R701" i="21"/>
  <c r="R700" i="21"/>
  <c r="R699" i="21"/>
  <c r="R698" i="21"/>
  <c r="R697" i="21"/>
  <c r="R696" i="21"/>
  <c r="R695" i="21"/>
  <c r="R694" i="21"/>
  <c r="R693" i="21"/>
  <c r="R692" i="21"/>
  <c r="R691" i="21"/>
  <c r="R690" i="21"/>
  <c r="R689" i="21"/>
  <c r="R688" i="21"/>
  <c r="R687" i="21"/>
  <c r="R686" i="21"/>
  <c r="R685" i="21"/>
  <c r="R684" i="21"/>
  <c r="R683" i="21"/>
  <c r="R682" i="21"/>
  <c r="R681" i="21"/>
  <c r="R680" i="21"/>
  <c r="R679" i="21"/>
  <c r="R678" i="21"/>
  <c r="R677" i="21"/>
  <c r="R676" i="21"/>
  <c r="R675" i="21"/>
  <c r="R674" i="21"/>
  <c r="R673" i="21"/>
  <c r="R672" i="21"/>
  <c r="R671" i="21"/>
  <c r="R670" i="21"/>
  <c r="R669" i="21"/>
  <c r="R668" i="21"/>
  <c r="R667" i="21"/>
  <c r="R666" i="21"/>
  <c r="R665" i="21"/>
  <c r="R664" i="21"/>
  <c r="R663" i="21"/>
  <c r="R662" i="21"/>
  <c r="R661" i="21"/>
  <c r="R660" i="21"/>
  <c r="R659" i="21"/>
  <c r="R658" i="21"/>
  <c r="R657" i="21"/>
  <c r="R656" i="21"/>
  <c r="R655" i="21"/>
  <c r="R654" i="21"/>
  <c r="R653" i="21"/>
  <c r="R652" i="21"/>
  <c r="R651" i="21"/>
  <c r="R650" i="21"/>
  <c r="R649" i="21"/>
  <c r="R648" i="21"/>
  <c r="R647" i="21"/>
  <c r="R646" i="21"/>
  <c r="R645" i="21"/>
  <c r="R644" i="21"/>
  <c r="R643" i="21"/>
  <c r="R642" i="21"/>
  <c r="R641" i="21"/>
  <c r="R640" i="21"/>
  <c r="R639" i="21"/>
  <c r="R638" i="21"/>
  <c r="R637" i="21"/>
  <c r="R636" i="21"/>
  <c r="R635" i="21"/>
  <c r="R634" i="21"/>
  <c r="R633" i="21"/>
  <c r="R632" i="21"/>
  <c r="R631" i="21"/>
  <c r="R630" i="21"/>
  <c r="R629" i="21"/>
  <c r="R628" i="21"/>
  <c r="R627" i="21"/>
  <c r="R626" i="21"/>
  <c r="R625" i="21"/>
  <c r="R624" i="21"/>
  <c r="R623" i="21"/>
  <c r="R622" i="21"/>
  <c r="R621" i="21"/>
  <c r="R620" i="21"/>
  <c r="R619" i="21"/>
  <c r="R618" i="21"/>
  <c r="R617" i="21"/>
  <c r="R616" i="21"/>
  <c r="R615" i="21"/>
  <c r="R614" i="21"/>
  <c r="R613" i="21"/>
  <c r="R612" i="21"/>
  <c r="R611" i="21"/>
  <c r="R610" i="21"/>
  <c r="R609" i="21"/>
  <c r="R608" i="21"/>
  <c r="R607" i="21"/>
  <c r="R606" i="21"/>
  <c r="R605" i="21"/>
  <c r="R604" i="21"/>
  <c r="R603" i="21"/>
  <c r="R602" i="21"/>
  <c r="R601" i="21"/>
  <c r="R600" i="21"/>
  <c r="R599" i="21"/>
  <c r="R598" i="21"/>
  <c r="R597" i="21"/>
  <c r="R596" i="21"/>
  <c r="R595" i="21"/>
  <c r="R594" i="21"/>
  <c r="R593" i="21"/>
  <c r="R592" i="21"/>
  <c r="R591" i="21"/>
  <c r="R590" i="21"/>
  <c r="R589" i="21"/>
  <c r="R588" i="21"/>
  <c r="R587" i="21"/>
  <c r="R586" i="21"/>
  <c r="R585" i="21"/>
  <c r="R584" i="21"/>
  <c r="R583" i="21"/>
  <c r="R582" i="21"/>
  <c r="R581" i="21"/>
  <c r="R580" i="21"/>
  <c r="R579" i="21"/>
  <c r="R578" i="21"/>
  <c r="R577" i="21"/>
  <c r="R576" i="21"/>
  <c r="R575" i="21"/>
  <c r="R574" i="21"/>
  <c r="R573" i="21"/>
  <c r="R572" i="21"/>
  <c r="R571" i="21"/>
  <c r="R570" i="21"/>
  <c r="R569" i="21"/>
  <c r="R568" i="21"/>
  <c r="R567" i="21"/>
  <c r="R566" i="21"/>
  <c r="R565" i="21"/>
  <c r="R564" i="21"/>
  <c r="R563" i="21"/>
  <c r="R562" i="21"/>
  <c r="R561" i="21"/>
  <c r="R560" i="21"/>
  <c r="R559" i="21"/>
  <c r="R558" i="21"/>
  <c r="R557" i="21"/>
  <c r="R556" i="21"/>
  <c r="R555" i="21"/>
  <c r="R554" i="21"/>
  <c r="R553" i="21"/>
  <c r="R552" i="21"/>
  <c r="R551" i="21"/>
  <c r="R550" i="21"/>
  <c r="R549" i="21"/>
  <c r="R548" i="21"/>
  <c r="R547" i="21"/>
  <c r="R546" i="21"/>
  <c r="R545" i="21"/>
  <c r="R544" i="21"/>
  <c r="R543" i="21"/>
  <c r="R542" i="21"/>
  <c r="R541" i="21"/>
  <c r="R540" i="21"/>
  <c r="R539" i="21"/>
  <c r="R538" i="21"/>
  <c r="R537" i="21"/>
  <c r="R536" i="21"/>
  <c r="R535" i="21"/>
  <c r="R534" i="21"/>
  <c r="R533" i="21"/>
  <c r="R532" i="21"/>
  <c r="R531" i="21"/>
  <c r="R530" i="21"/>
  <c r="R529" i="21"/>
  <c r="R528" i="21"/>
  <c r="R527" i="21"/>
  <c r="R526" i="21"/>
  <c r="R525" i="21"/>
  <c r="R524" i="21"/>
  <c r="R523" i="21"/>
  <c r="R522" i="21"/>
  <c r="R521" i="21"/>
  <c r="R520" i="21"/>
  <c r="R519" i="21"/>
  <c r="R518" i="21"/>
  <c r="R517" i="21"/>
  <c r="R516" i="21"/>
  <c r="R515" i="21"/>
  <c r="R514" i="21"/>
  <c r="R513" i="21"/>
  <c r="R512" i="21"/>
  <c r="R511" i="21"/>
  <c r="R510" i="21"/>
  <c r="R509" i="21"/>
  <c r="R508" i="21"/>
  <c r="R507" i="21"/>
  <c r="R506" i="21"/>
  <c r="R505" i="21"/>
  <c r="R504" i="21"/>
  <c r="R503" i="21"/>
  <c r="R502" i="21"/>
  <c r="R501" i="21"/>
  <c r="R500" i="21"/>
  <c r="R499" i="21"/>
  <c r="R498" i="21"/>
  <c r="R497" i="21"/>
  <c r="R496" i="21"/>
  <c r="R495" i="21"/>
  <c r="R494" i="21"/>
  <c r="R493" i="21"/>
  <c r="R492" i="21"/>
  <c r="R491" i="21"/>
  <c r="R490" i="21"/>
  <c r="R489" i="21"/>
  <c r="R488" i="21"/>
  <c r="R487" i="21"/>
  <c r="R486" i="21"/>
  <c r="R485" i="21"/>
  <c r="R484" i="21"/>
  <c r="R483" i="21"/>
  <c r="R482" i="21"/>
  <c r="R481" i="21"/>
  <c r="R480" i="21"/>
  <c r="R479" i="21"/>
  <c r="R478" i="21"/>
  <c r="R477" i="21"/>
  <c r="R476" i="21"/>
  <c r="R475" i="21"/>
  <c r="R474" i="21"/>
  <c r="R473" i="21"/>
  <c r="R472" i="21"/>
  <c r="R471" i="21"/>
  <c r="R470" i="21"/>
  <c r="R469" i="21"/>
  <c r="R468" i="21"/>
  <c r="R467" i="21"/>
  <c r="R466" i="21"/>
  <c r="R465" i="21"/>
  <c r="R464" i="21"/>
  <c r="R463" i="21"/>
  <c r="R462" i="21"/>
  <c r="R461" i="21"/>
  <c r="R460" i="21"/>
  <c r="R459" i="21"/>
  <c r="R458" i="21"/>
  <c r="R457" i="21"/>
  <c r="R456" i="21"/>
  <c r="R455" i="21"/>
  <c r="R454" i="21"/>
  <c r="R453" i="21"/>
  <c r="R452" i="21"/>
  <c r="R451" i="21"/>
  <c r="R450" i="21"/>
  <c r="R449" i="21"/>
  <c r="R448" i="21"/>
  <c r="R447" i="21"/>
  <c r="R446" i="21"/>
  <c r="R445" i="21"/>
  <c r="R444" i="21"/>
  <c r="R443" i="21"/>
  <c r="R442" i="21"/>
  <c r="R441" i="21"/>
  <c r="R440" i="21"/>
  <c r="R439" i="21"/>
  <c r="R438" i="21"/>
  <c r="R437" i="21"/>
  <c r="R436" i="21"/>
  <c r="R435" i="21"/>
  <c r="R434" i="21"/>
  <c r="R433" i="21"/>
  <c r="R432" i="21"/>
  <c r="R431" i="21"/>
  <c r="R430" i="21"/>
  <c r="R429" i="21"/>
  <c r="R428" i="21"/>
  <c r="R427" i="21"/>
  <c r="R426" i="21"/>
  <c r="R425" i="21"/>
  <c r="R424" i="21"/>
  <c r="R423" i="21"/>
  <c r="R422" i="21"/>
  <c r="R421" i="21"/>
  <c r="R420" i="21"/>
  <c r="R419" i="21"/>
  <c r="R418" i="21"/>
  <c r="R417" i="21"/>
  <c r="R416" i="21"/>
  <c r="R415" i="21"/>
  <c r="R414" i="21"/>
  <c r="R413" i="21"/>
  <c r="R412" i="21"/>
  <c r="R411" i="21"/>
  <c r="R410" i="21"/>
  <c r="R409" i="21"/>
  <c r="R408" i="21"/>
  <c r="R407" i="21"/>
  <c r="R406" i="21"/>
  <c r="R405" i="21"/>
  <c r="R404" i="21"/>
  <c r="R403" i="21"/>
  <c r="R402" i="21"/>
  <c r="R401" i="21"/>
  <c r="R400" i="21"/>
  <c r="R399" i="21"/>
  <c r="R398" i="21"/>
  <c r="R397" i="21"/>
  <c r="R396" i="21"/>
  <c r="R395" i="21"/>
  <c r="R394" i="21"/>
  <c r="R393" i="21"/>
  <c r="R392" i="21"/>
  <c r="R391" i="21"/>
  <c r="R390" i="21"/>
  <c r="R389" i="21"/>
  <c r="R388" i="21"/>
  <c r="R387" i="21"/>
  <c r="R386" i="21"/>
  <c r="R385" i="21"/>
  <c r="R384" i="21"/>
  <c r="R383" i="21"/>
  <c r="R382" i="21"/>
  <c r="R381" i="21"/>
  <c r="R380" i="21"/>
  <c r="R379" i="21"/>
  <c r="R378" i="21"/>
  <c r="R377" i="21"/>
  <c r="R376" i="21"/>
  <c r="R375" i="21"/>
  <c r="R374" i="21"/>
  <c r="R373" i="21"/>
  <c r="R372" i="21"/>
  <c r="R371" i="21"/>
  <c r="R370" i="21"/>
  <c r="R369" i="21"/>
  <c r="R368" i="21"/>
  <c r="R367" i="21"/>
  <c r="R366" i="21"/>
  <c r="R365" i="21"/>
  <c r="R364" i="21"/>
  <c r="R363" i="21"/>
  <c r="R362" i="21"/>
  <c r="R361" i="21"/>
  <c r="R360" i="21"/>
  <c r="R359" i="21"/>
  <c r="R358" i="21"/>
  <c r="R357" i="21"/>
  <c r="R356" i="21"/>
  <c r="R355" i="21"/>
  <c r="R354" i="21"/>
  <c r="R353" i="21"/>
  <c r="R352" i="21"/>
  <c r="R351" i="21"/>
  <c r="R350" i="21"/>
  <c r="R349" i="21"/>
  <c r="R348" i="21"/>
  <c r="R347" i="21"/>
  <c r="R346" i="21"/>
  <c r="R345" i="21"/>
  <c r="R344" i="21"/>
  <c r="R343" i="21"/>
  <c r="R342" i="21"/>
  <c r="R341" i="21"/>
  <c r="R340" i="21"/>
  <c r="R339" i="21"/>
  <c r="R338" i="21"/>
  <c r="R337" i="21"/>
  <c r="R336" i="21"/>
  <c r="R335" i="21"/>
  <c r="R334" i="21"/>
  <c r="R333" i="21"/>
  <c r="R332" i="21"/>
  <c r="R331" i="21"/>
  <c r="R330" i="21"/>
  <c r="R329" i="21"/>
  <c r="R328" i="21"/>
  <c r="R327" i="21"/>
  <c r="R326" i="21"/>
  <c r="R325" i="21"/>
  <c r="R324" i="21"/>
  <c r="R323" i="21"/>
  <c r="R322" i="21"/>
  <c r="R321" i="21"/>
  <c r="R320" i="21"/>
  <c r="R319" i="21"/>
  <c r="R318" i="21"/>
  <c r="R317" i="21"/>
  <c r="R316" i="21"/>
  <c r="R315" i="21"/>
  <c r="R314" i="21"/>
  <c r="R313" i="21"/>
  <c r="R312" i="21"/>
  <c r="R311" i="21"/>
  <c r="R310" i="21"/>
  <c r="R309" i="21"/>
  <c r="R308" i="21"/>
  <c r="R307" i="21"/>
  <c r="R306" i="21"/>
  <c r="R305" i="21"/>
  <c r="R304" i="21"/>
  <c r="R303" i="21"/>
  <c r="R302" i="21"/>
  <c r="R301" i="21"/>
  <c r="R300" i="21"/>
  <c r="R299" i="21"/>
  <c r="R298" i="21"/>
  <c r="R297" i="21"/>
  <c r="R296" i="21"/>
  <c r="R295" i="21"/>
  <c r="R294" i="21"/>
  <c r="R293" i="21"/>
  <c r="R292" i="21"/>
  <c r="R291" i="21"/>
  <c r="R290" i="21"/>
  <c r="R289" i="21"/>
  <c r="R288" i="21"/>
  <c r="R287" i="21"/>
  <c r="R286" i="21"/>
  <c r="R285" i="21"/>
  <c r="R284" i="21"/>
  <c r="R283" i="21"/>
  <c r="R282" i="21"/>
  <c r="R281" i="21"/>
  <c r="R280" i="21"/>
  <c r="R279" i="21"/>
  <c r="R278" i="21"/>
  <c r="R277" i="21"/>
  <c r="R276" i="21"/>
  <c r="R275" i="21"/>
  <c r="R274" i="21"/>
  <c r="R273" i="21"/>
  <c r="R272" i="21"/>
  <c r="R271" i="21"/>
  <c r="R270" i="21"/>
  <c r="R269" i="21"/>
  <c r="R268" i="21"/>
  <c r="R267" i="21"/>
  <c r="R266" i="21"/>
  <c r="R265" i="21"/>
  <c r="R264" i="21"/>
  <c r="R263" i="21"/>
  <c r="R262" i="21"/>
  <c r="R261" i="21"/>
  <c r="R260" i="21"/>
  <c r="R259" i="21"/>
  <c r="R258" i="21"/>
  <c r="R257" i="21"/>
  <c r="R256" i="21"/>
  <c r="R255" i="21"/>
  <c r="R254" i="21"/>
  <c r="R253" i="21"/>
  <c r="R252" i="21"/>
  <c r="R251" i="21"/>
  <c r="R250" i="21"/>
  <c r="R249" i="21"/>
  <c r="R248" i="21"/>
  <c r="R247" i="21"/>
  <c r="R246" i="21"/>
  <c r="R245" i="21"/>
  <c r="R244" i="21"/>
  <c r="R243" i="21"/>
  <c r="R242" i="21"/>
  <c r="R241" i="21"/>
  <c r="R240" i="21"/>
  <c r="R239" i="21"/>
  <c r="R238" i="21"/>
  <c r="R237" i="21"/>
  <c r="R236" i="21"/>
  <c r="R235" i="21"/>
  <c r="R234" i="21"/>
  <c r="R233" i="21"/>
  <c r="R232" i="21"/>
  <c r="R231" i="21"/>
  <c r="R230" i="21"/>
  <c r="R229" i="21"/>
  <c r="R228" i="21"/>
  <c r="R227" i="21"/>
  <c r="R226" i="21"/>
  <c r="R225" i="21"/>
  <c r="R224" i="21"/>
  <c r="R223" i="21"/>
  <c r="R222" i="21"/>
  <c r="R221" i="21"/>
  <c r="R220" i="21"/>
  <c r="R219" i="21"/>
  <c r="R218" i="21"/>
  <c r="R217" i="21"/>
  <c r="R216" i="21"/>
  <c r="R215" i="21"/>
  <c r="R214" i="21"/>
  <c r="R213" i="21"/>
  <c r="R212" i="21"/>
  <c r="R211" i="21"/>
  <c r="R210" i="21"/>
  <c r="R209" i="21"/>
  <c r="R208" i="21"/>
  <c r="R207" i="21"/>
  <c r="R206" i="21"/>
  <c r="R205" i="21"/>
  <c r="R204" i="21"/>
  <c r="R203" i="21"/>
  <c r="R202" i="21"/>
  <c r="R201" i="21"/>
  <c r="R200" i="21"/>
  <c r="R199" i="21"/>
  <c r="R198" i="21"/>
  <c r="R197" i="21"/>
  <c r="R196" i="21"/>
  <c r="R195" i="21"/>
  <c r="R194" i="21"/>
  <c r="R193" i="21"/>
  <c r="R192" i="21"/>
  <c r="R191" i="21"/>
  <c r="R190" i="21"/>
  <c r="R189" i="21"/>
  <c r="R188" i="21"/>
  <c r="R187" i="21"/>
  <c r="R186" i="21"/>
  <c r="R185" i="21"/>
  <c r="R184" i="21"/>
  <c r="R183" i="21"/>
  <c r="R182" i="21"/>
  <c r="R181" i="21"/>
  <c r="R180" i="21"/>
  <c r="R179" i="21"/>
  <c r="R178" i="21"/>
  <c r="R177" i="21"/>
  <c r="R176" i="21"/>
  <c r="R175" i="21"/>
  <c r="R174" i="21"/>
  <c r="R173" i="21"/>
  <c r="R172" i="21"/>
  <c r="R171" i="21"/>
  <c r="R170" i="21"/>
  <c r="R169" i="21"/>
  <c r="R168" i="21"/>
  <c r="R167" i="21"/>
  <c r="R166" i="21"/>
  <c r="R165" i="21"/>
  <c r="R164" i="21"/>
  <c r="R163" i="21"/>
  <c r="R162" i="21"/>
  <c r="R161" i="21"/>
  <c r="R160" i="21"/>
  <c r="R159" i="21"/>
  <c r="R158" i="21"/>
  <c r="R157" i="21"/>
  <c r="R156" i="21"/>
  <c r="R155" i="21"/>
  <c r="R154" i="21"/>
  <c r="R153" i="21"/>
  <c r="R152" i="21"/>
  <c r="R151" i="21"/>
  <c r="R150" i="21"/>
  <c r="R149" i="21"/>
  <c r="R148" i="21"/>
  <c r="R147" i="21"/>
  <c r="R146" i="21"/>
  <c r="R145" i="21"/>
  <c r="R144" i="21"/>
  <c r="R143" i="21"/>
  <c r="R142" i="21"/>
  <c r="R141" i="21"/>
  <c r="R140" i="21"/>
  <c r="R139" i="21"/>
  <c r="R138" i="21"/>
  <c r="R137" i="21"/>
  <c r="R136" i="21"/>
  <c r="R135" i="21"/>
  <c r="R134" i="21"/>
  <c r="R133" i="21"/>
  <c r="R132" i="21"/>
  <c r="R131" i="21"/>
  <c r="R130" i="21"/>
  <c r="R129" i="21"/>
  <c r="R128" i="21"/>
  <c r="R127" i="21"/>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AI1" i="20" l="1"/>
  <c r="AJ1" i="20"/>
  <c r="AK1" i="20"/>
  <c r="AL1" i="20"/>
  <c r="AM1" i="20"/>
  <c r="AD1" i="20"/>
  <c r="AE1" i="20"/>
  <c r="AF1" i="20"/>
  <c r="AG1" i="20"/>
  <c r="AC1" i="20"/>
  <c r="W1" i="20"/>
  <c r="X1" i="20"/>
  <c r="Y1" i="20"/>
  <c r="Z1" i="20"/>
  <c r="AA1" i="20"/>
  <c r="R1" i="20"/>
  <c r="S1" i="20"/>
  <c r="T1" i="20"/>
  <c r="U1" i="20"/>
  <c r="Q1" i="20"/>
  <c r="E1" i="20"/>
  <c r="F1" i="20"/>
  <c r="G1" i="20"/>
  <c r="H1" i="20"/>
  <c r="K1" i="20"/>
  <c r="L1" i="20"/>
  <c r="M1" i="20"/>
  <c r="N1" i="20"/>
  <c r="O1" i="20"/>
  <c r="P909" i="17" l="1"/>
  <c r="K909" i="17"/>
  <c r="P908" i="17"/>
  <c r="K908" i="17"/>
  <c r="T907" i="17"/>
  <c r="P907" i="17"/>
  <c r="K907" i="17"/>
  <c r="P906" i="17"/>
  <c r="K906" i="17"/>
  <c r="P905" i="17"/>
  <c r="K905" i="17"/>
  <c r="P904" i="17"/>
  <c r="K904" i="17"/>
  <c r="P903" i="17"/>
  <c r="K903" i="17"/>
  <c r="P902" i="17"/>
  <c r="K902" i="17"/>
  <c r="P901" i="17"/>
  <c r="K901" i="17"/>
  <c r="T900" i="17"/>
  <c r="P900" i="17"/>
  <c r="K900" i="17"/>
  <c r="P899" i="17"/>
  <c r="K899" i="17"/>
  <c r="P898" i="17"/>
  <c r="K898" i="17"/>
  <c r="P897" i="17"/>
  <c r="K897" i="17"/>
  <c r="T896" i="17"/>
  <c r="P896" i="17"/>
  <c r="K896" i="17"/>
  <c r="P895" i="17"/>
  <c r="K895" i="17"/>
  <c r="P894" i="17"/>
  <c r="K894" i="17"/>
  <c r="T893" i="17"/>
  <c r="P893" i="17"/>
  <c r="K893" i="17"/>
  <c r="P892" i="17"/>
  <c r="K892" i="17"/>
  <c r="P891" i="17"/>
  <c r="K891" i="17"/>
  <c r="P890" i="17"/>
  <c r="K890" i="17"/>
  <c r="P889" i="17"/>
  <c r="K889" i="17"/>
  <c r="P888" i="17"/>
  <c r="K888" i="17"/>
  <c r="T887" i="17"/>
  <c r="P887" i="17"/>
  <c r="K887" i="17"/>
  <c r="P886" i="17"/>
  <c r="K886" i="17"/>
  <c r="P885" i="17"/>
  <c r="K885" i="17"/>
  <c r="T884" i="17"/>
  <c r="P884" i="17"/>
  <c r="K884" i="17"/>
  <c r="T883" i="17"/>
  <c r="P883" i="17"/>
  <c r="K883" i="17"/>
  <c r="P882" i="17"/>
  <c r="K882" i="17"/>
  <c r="P881" i="17"/>
  <c r="K881" i="17"/>
  <c r="P880" i="17"/>
  <c r="K880" i="17"/>
  <c r="P879" i="17"/>
  <c r="K879" i="17"/>
  <c r="P878" i="17"/>
  <c r="K878" i="17"/>
  <c r="P877" i="17"/>
  <c r="K877" i="17"/>
  <c r="P876" i="17"/>
  <c r="K876" i="17"/>
  <c r="P875" i="17"/>
  <c r="K875" i="17"/>
  <c r="T874" i="17"/>
  <c r="P874" i="17"/>
  <c r="K874" i="17"/>
  <c r="P873" i="17"/>
  <c r="K873" i="17"/>
  <c r="P872" i="17"/>
  <c r="K872" i="17"/>
  <c r="P871" i="17"/>
  <c r="K871" i="17"/>
  <c r="P870" i="17"/>
  <c r="K870" i="17"/>
  <c r="P869" i="17"/>
  <c r="K869" i="17"/>
  <c r="P868" i="17"/>
  <c r="K868" i="17"/>
  <c r="P867" i="17"/>
  <c r="K867" i="17"/>
  <c r="T866" i="17"/>
  <c r="P866" i="17"/>
  <c r="K866" i="17"/>
  <c r="P865" i="17"/>
  <c r="K865" i="17"/>
  <c r="P864" i="17"/>
  <c r="K864" i="17"/>
  <c r="P863" i="17"/>
  <c r="K863" i="17"/>
  <c r="P862" i="17"/>
  <c r="K862" i="17"/>
  <c r="T861" i="17"/>
  <c r="P861" i="17"/>
  <c r="K861" i="17"/>
  <c r="P860" i="17"/>
  <c r="K860" i="17"/>
  <c r="P859" i="17"/>
  <c r="K859" i="17"/>
  <c r="P858" i="17"/>
  <c r="K858" i="17"/>
  <c r="P857" i="17"/>
  <c r="K857" i="17"/>
  <c r="T856" i="17"/>
  <c r="P856" i="17"/>
  <c r="K856" i="17"/>
  <c r="T855" i="17"/>
  <c r="P855" i="17"/>
  <c r="K855" i="17"/>
  <c r="P854" i="17"/>
  <c r="K854" i="17"/>
  <c r="P853" i="17"/>
  <c r="K853" i="17"/>
  <c r="P852" i="17"/>
  <c r="K852" i="17"/>
  <c r="P851" i="17"/>
  <c r="K851" i="17"/>
  <c r="P850" i="17"/>
  <c r="K850" i="17"/>
  <c r="P849" i="17"/>
  <c r="K849" i="17"/>
  <c r="T848" i="17"/>
  <c r="P848" i="17"/>
  <c r="K848" i="17"/>
  <c r="P847" i="17"/>
  <c r="K847" i="17"/>
  <c r="P846" i="17"/>
  <c r="K846" i="17"/>
  <c r="P845" i="17"/>
  <c r="K845" i="17"/>
  <c r="P844" i="17"/>
  <c r="K844" i="17"/>
  <c r="T843" i="17"/>
  <c r="P843" i="17"/>
  <c r="K843" i="17"/>
  <c r="P842" i="17"/>
  <c r="K842" i="17"/>
  <c r="T841" i="17"/>
  <c r="P841" i="17"/>
  <c r="K841" i="17"/>
  <c r="T840" i="17"/>
  <c r="P840" i="17"/>
  <c r="K840" i="17"/>
  <c r="P839" i="17"/>
  <c r="K839" i="17"/>
  <c r="P838" i="17"/>
  <c r="K838" i="17"/>
  <c r="T837" i="17"/>
  <c r="P837" i="17"/>
  <c r="K837" i="17"/>
  <c r="P836" i="17"/>
  <c r="K836" i="17"/>
  <c r="P835" i="17"/>
  <c r="K835" i="17"/>
  <c r="P834" i="17"/>
  <c r="K834" i="17"/>
  <c r="P833" i="17"/>
  <c r="K833" i="17"/>
  <c r="P832" i="17"/>
  <c r="K832" i="17"/>
  <c r="P831" i="17"/>
  <c r="K831" i="17"/>
  <c r="T830" i="17"/>
  <c r="P830" i="17"/>
  <c r="K830" i="17"/>
  <c r="T829" i="17"/>
  <c r="P829" i="17"/>
  <c r="K829" i="17"/>
  <c r="P828" i="17"/>
  <c r="K828" i="17"/>
  <c r="T827" i="17"/>
  <c r="P827" i="17"/>
  <c r="K827" i="17"/>
  <c r="T826" i="17"/>
  <c r="P826" i="17"/>
  <c r="K826" i="17"/>
  <c r="P825" i="17"/>
  <c r="K825" i="17"/>
  <c r="P824" i="17"/>
  <c r="K824" i="17"/>
  <c r="T823" i="17"/>
  <c r="P823" i="17"/>
  <c r="K823" i="17"/>
  <c r="T822" i="17"/>
  <c r="P822" i="17"/>
  <c r="K822" i="17"/>
  <c r="P821" i="17"/>
  <c r="K821" i="17"/>
  <c r="P820" i="17"/>
  <c r="K820" i="17"/>
  <c r="P819" i="17"/>
  <c r="K819" i="17"/>
  <c r="T818" i="17"/>
  <c r="P818" i="17"/>
  <c r="K818" i="17"/>
  <c r="P817" i="17"/>
  <c r="K817" i="17"/>
  <c r="P816" i="17"/>
  <c r="K816" i="17"/>
  <c r="T815" i="17"/>
  <c r="P815" i="17"/>
  <c r="K815" i="17"/>
  <c r="P814" i="17"/>
  <c r="K814" i="17"/>
  <c r="P813" i="17"/>
  <c r="K813" i="17"/>
  <c r="P812" i="17"/>
  <c r="K812" i="17"/>
  <c r="T811" i="17"/>
  <c r="P811" i="17"/>
  <c r="K811" i="17"/>
  <c r="P810" i="17"/>
  <c r="K810" i="17"/>
  <c r="P809" i="17"/>
  <c r="K809" i="17"/>
  <c r="T808" i="17"/>
  <c r="P808" i="17"/>
  <c r="K808" i="17"/>
  <c r="P807" i="17"/>
  <c r="K807" i="17"/>
  <c r="P806" i="17"/>
  <c r="K806" i="17"/>
  <c r="P805" i="17"/>
  <c r="K805" i="17"/>
  <c r="P804" i="17"/>
  <c r="K804" i="17"/>
  <c r="P803" i="17"/>
  <c r="K803" i="17"/>
  <c r="T802" i="17"/>
  <c r="P802" i="17"/>
  <c r="K802" i="17"/>
  <c r="P801" i="17"/>
  <c r="K801" i="17"/>
  <c r="P800" i="17"/>
  <c r="K800" i="17"/>
  <c r="T799" i="17"/>
  <c r="P799" i="17"/>
  <c r="K799" i="17"/>
  <c r="T798" i="17"/>
  <c r="P798" i="17"/>
  <c r="K798" i="17"/>
  <c r="P797" i="17"/>
  <c r="K797" i="17"/>
  <c r="P796" i="17"/>
  <c r="K796" i="17"/>
  <c r="T795" i="17"/>
  <c r="S795" i="17"/>
  <c r="O795" i="17"/>
  <c r="P795" i="17" s="1"/>
  <c r="J795" i="17"/>
  <c r="K795" i="17" s="1"/>
  <c r="P794" i="17"/>
  <c r="K794" i="17"/>
  <c r="P793" i="17"/>
  <c r="K793" i="17"/>
  <c r="P792" i="17"/>
  <c r="K792" i="17"/>
  <c r="T791" i="17"/>
  <c r="P791" i="17"/>
  <c r="K791" i="17"/>
  <c r="P790" i="17"/>
  <c r="K790" i="17"/>
  <c r="T789" i="17"/>
  <c r="P789" i="17"/>
  <c r="K789" i="17"/>
  <c r="P788" i="17"/>
  <c r="K788" i="17"/>
  <c r="P787" i="17"/>
  <c r="K787" i="17"/>
  <c r="T786" i="17"/>
  <c r="P786" i="17"/>
  <c r="K786" i="17"/>
  <c r="T785" i="17"/>
  <c r="P785" i="17"/>
  <c r="K785" i="17"/>
  <c r="P784" i="17"/>
  <c r="K784" i="17"/>
  <c r="P783" i="17"/>
  <c r="K783" i="17"/>
  <c r="T782" i="17"/>
  <c r="S782" i="17"/>
  <c r="R782" i="17"/>
  <c r="R3" i="17" s="1"/>
  <c r="O782" i="17"/>
  <c r="M782" i="17"/>
  <c r="M3" i="17" s="1"/>
  <c r="I782" i="17"/>
  <c r="G782" i="17"/>
  <c r="E782" i="17"/>
  <c r="E3" i="17" s="1"/>
  <c r="C782" i="17"/>
  <c r="P781" i="17"/>
  <c r="K781" i="17"/>
  <c r="T780" i="17"/>
  <c r="P780" i="17"/>
  <c r="K780" i="17"/>
  <c r="P779" i="17"/>
  <c r="K779" i="17"/>
  <c r="T778" i="17"/>
  <c r="P778" i="17"/>
  <c r="K778" i="17"/>
  <c r="P777" i="17"/>
  <c r="K777" i="17"/>
  <c r="P776" i="17"/>
  <c r="K776" i="17"/>
  <c r="T775" i="17"/>
  <c r="P775" i="17"/>
  <c r="K775" i="17"/>
  <c r="P774" i="17"/>
  <c r="K774" i="17"/>
  <c r="T773" i="17"/>
  <c r="P773" i="17"/>
  <c r="K773" i="17"/>
  <c r="P772" i="17"/>
  <c r="K772" i="17"/>
  <c r="T771" i="17"/>
  <c r="P771" i="17"/>
  <c r="K771" i="17"/>
  <c r="P770" i="17"/>
  <c r="K770" i="17"/>
  <c r="P769" i="17"/>
  <c r="K769" i="17"/>
  <c r="T768" i="17"/>
  <c r="P768" i="17"/>
  <c r="K768" i="17"/>
  <c r="P767" i="17"/>
  <c r="K767" i="17"/>
  <c r="P766" i="17"/>
  <c r="K766" i="17"/>
  <c r="P765" i="17"/>
  <c r="K765" i="17"/>
  <c r="P764" i="17"/>
  <c r="K764" i="17"/>
  <c r="P763" i="17"/>
  <c r="K763" i="17"/>
  <c r="T762" i="17"/>
  <c r="P762" i="17"/>
  <c r="K762" i="17"/>
  <c r="P761" i="17"/>
  <c r="K761" i="17"/>
  <c r="P760" i="17"/>
  <c r="K760" i="17"/>
  <c r="T759" i="17"/>
  <c r="P759" i="17"/>
  <c r="K759" i="17"/>
  <c r="P758" i="17"/>
  <c r="K758" i="17"/>
  <c r="P757" i="17"/>
  <c r="K757" i="17"/>
  <c r="T756" i="17"/>
  <c r="P756" i="17"/>
  <c r="K756" i="17"/>
  <c r="T755" i="17"/>
  <c r="P755" i="17"/>
  <c r="K755" i="17"/>
  <c r="P754" i="17"/>
  <c r="K754" i="17"/>
  <c r="P753" i="17"/>
  <c r="K753" i="17"/>
  <c r="P752" i="17"/>
  <c r="K752" i="17"/>
  <c r="P751" i="17"/>
  <c r="K751" i="17"/>
  <c r="P750" i="17"/>
  <c r="K750" i="17"/>
  <c r="T749" i="17"/>
  <c r="P749" i="17"/>
  <c r="K749" i="17"/>
  <c r="P748" i="17"/>
  <c r="K748" i="17"/>
  <c r="P747" i="17"/>
  <c r="K747" i="17"/>
  <c r="P746" i="17"/>
  <c r="K746" i="17"/>
  <c r="P745" i="17"/>
  <c r="K745" i="17"/>
  <c r="P744" i="17"/>
  <c r="K744" i="17"/>
  <c r="P743" i="17"/>
  <c r="K743" i="17"/>
  <c r="T742" i="17"/>
  <c r="P742" i="17"/>
  <c r="K742" i="17"/>
  <c r="P741" i="17"/>
  <c r="K741" i="17"/>
  <c r="P740" i="17"/>
  <c r="K740" i="17"/>
  <c r="T739" i="17"/>
  <c r="P739" i="17"/>
  <c r="K739" i="17"/>
  <c r="P738" i="17"/>
  <c r="K738" i="17"/>
  <c r="P737" i="17"/>
  <c r="K737" i="17"/>
  <c r="T736" i="17"/>
  <c r="P736" i="17"/>
  <c r="K736" i="17"/>
  <c r="P735" i="17"/>
  <c r="K735" i="17"/>
  <c r="P734" i="17"/>
  <c r="K734" i="17"/>
  <c r="P733" i="17"/>
  <c r="K733" i="17"/>
  <c r="T732" i="17"/>
  <c r="P732" i="17"/>
  <c r="K732" i="17"/>
  <c r="T731" i="17"/>
  <c r="P731" i="17"/>
  <c r="K731" i="17"/>
  <c r="P730" i="17"/>
  <c r="K730" i="17"/>
  <c r="P729" i="17"/>
  <c r="K729" i="17"/>
  <c r="P728" i="17"/>
  <c r="K728" i="17"/>
  <c r="P727" i="17"/>
  <c r="K727" i="17"/>
  <c r="P726" i="17"/>
  <c r="K726" i="17"/>
  <c r="T725" i="17"/>
  <c r="P725" i="17"/>
  <c r="K725" i="17"/>
  <c r="T724" i="17"/>
  <c r="P724" i="17"/>
  <c r="K724" i="17"/>
  <c r="P723" i="17"/>
  <c r="K723" i="17"/>
  <c r="P722" i="17"/>
  <c r="K722" i="17"/>
  <c r="T721" i="17"/>
  <c r="P721" i="17"/>
  <c r="K721" i="17"/>
  <c r="T720" i="17"/>
  <c r="P720" i="17"/>
  <c r="K720" i="17"/>
  <c r="T719" i="17"/>
  <c r="P719" i="17"/>
  <c r="K719" i="17"/>
  <c r="T718" i="17"/>
  <c r="P718" i="17"/>
  <c r="K718" i="17"/>
  <c r="P717" i="17"/>
  <c r="K717" i="17"/>
  <c r="P716" i="17"/>
  <c r="K716" i="17"/>
  <c r="P715" i="17"/>
  <c r="K715" i="17"/>
  <c r="P714" i="17"/>
  <c r="K714" i="17"/>
  <c r="P713" i="17"/>
  <c r="K713" i="17"/>
  <c r="P712" i="17"/>
  <c r="K712" i="17"/>
  <c r="P711" i="17"/>
  <c r="K711" i="17"/>
  <c r="T710" i="17"/>
  <c r="P710" i="17"/>
  <c r="K710" i="17"/>
  <c r="P709" i="17"/>
  <c r="K709" i="17"/>
  <c r="T708" i="17"/>
  <c r="P708" i="17"/>
  <c r="K708" i="17"/>
  <c r="P707" i="17"/>
  <c r="K707" i="17"/>
  <c r="P706" i="17"/>
  <c r="K706" i="17"/>
  <c r="P705" i="17"/>
  <c r="K705" i="17"/>
  <c r="P704" i="17"/>
  <c r="K704" i="17"/>
  <c r="P703" i="17"/>
  <c r="K703" i="17"/>
  <c r="P702" i="17"/>
  <c r="K702" i="17"/>
  <c r="P701" i="17"/>
  <c r="K701" i="17"/>
  <c r="P700" i="17"/>
  <c r="K700" i="17"/>
  <c r="T699" i="17"/>
  <c r="P699" i="17"/>
  <c r="K699" i="17"/>
  <c r="P698" i="17"/>
  <c r="K698" i="17"/>
  <c r="P697" i="17"/>
  <c r="K697" i="17"/>
  <c r="P696" i="17"/>
  <c r="K696" i="17"/>
  <c r="P695" i="17"/>
  <c r="K695" i="17"/>
  <c r="P694" i="17"/>
  <c r="K694" i="17"/>
  <c r="P693" i="17"/>
  <c r="K693" i="17"/>
  <c r="P692" i="17"/>
  <c r="K692" i="17"/>
  <c r="P691" i="17"/>
  <c r="K691" i="17"/>
  <c r="T690" i="17"/>
  <c r="P690" i="17"/>
  <c r="K690" i="17"/>
  <c r="P689" i="17"/>
  <c r="K689" i="17"/>
  <c r="P688" i="17"/>
  <c r="K688" i="17"/>
  <c r="P687" i="17"/>
  <c r="K687" i="17"/>
  <c r="T686" i="17"/>
  <c r="P686" i="17"/>
  <c r="K686" i="17"/>
  <c r="P685" i="17"/>
  <c r="K685" i="17"/>
  <c r="P684" i="17"/>
  <c r="K684" i="17"/>
  <c r="P683" i="17"/>
  <c r="K683" i="17"/>
  <c r="T682" i="17"/>
  <c r="P682" i="17"/>
  <c r="K682" i="17"/>
  <c r="P681" i="17"/>
  <c r="K681" i="17"/>
  <c r="P680" i="17"/>
  <c r="K680" i="17"/>
  <c r="P679" i="17"/>
  <c r="K679" i="17"/>
  <c r="P678" i="17"/>
  <c r="K678" i="17"/>
  <c r="P677" i="17"/>
  <c r="K677" i="17"/>
  <c r="P676" i="17"/>
  <c r="K676" i="17"/>
  <c r="P674" i="17"/>
  <c r="K674" i="17"/>
  <c r="P673" i="17"/>
  <c r="P675" i="17" s="1"/>
  <c r="K673" i="17"/>
  <c r="P672" i="17"/>
  <c r="K672" i="17"/>
  <c r="P671" i="17"/>
  <c r="K671" i="17"/>
  <c r="P670" i="17"/>
  <c r="K670" i="17"/>
  <c r="P669" i="17"/>
  <c r="K669" i="17"/>
  <c r="P668" i="17"/>
  <c r="K668" i="17"/>
  <c r="P667" i="17"/>
  <c r="K667" i="17"/>
  <c r="P666" i="17"/>
  <c r="K666" i="17"/>
  <c r="P665" i="17"/>
  <c r="K665" i="17"/>
  <c r="P664" i="17"/>
  <c r="K664" i="17"/>
  <c r="P663" i="17"/>
  <c r="K663" i="17"/>
  <c r="T662" i="17"/>
  <c r="P662" i="17"/>
  <c r="K662" i="17"/>
  <c r="T661" i="17"/>
  <c r="P661" i="17"/>
  <c r="K661" i="17"/>
  <c r="P660" i="17"/>
  <c r="K660" i="17"/>
  <c r="P659" i="17"/>
  <c r="K659" i="17"/>
  <c r="T658" i="17"/>
  <c r="P658" i="17"/>
  <c r="K658" i="17"/>
  <c r="P657" i="17"/>
  <c r="K657" i="17"/>
  <c r="P656" i="17"/>
  <c r="K656" i="17"/>
  <c r="P655" i="17"/>
  <c r="K655" i="17"/>
  <c r="P654" i="17"/>
  <c r="K654" i="17"/>
  <c r="P653" i="17"/>
  <c r="K653" i="17"/>
  <c r="T652" i="17"/>
  <c r="P652" i="17"/>
  <c r="K652" i="17"/>
  <c r="P651" i="17"/>
  <c r="K651" i="17"/>
  <c r="P650" i="17"/>
  <c r="K650" i="17"/>
  <c r="P649" i="17"/>
  <c r="K649" i="17"/>
  <c r="P648" i="17"/>
  <c r="K648" i="17"/>
  <c r="P647" i="17"/>
  <c r="K647" i="17"/>
  <c r="P646" i="17"/>
  <c r="K646" i="17"/>
  <c r="P645" i="17"/>
  <c r="K645" i="17"/>
  <c r="P644" i="17"/>
  <c r="K644" i="17"/>
  <c r="P643" i="17"/>
  <c r="K643" i="17"/>
  <c r="P642" i="17"/>
  <c r="K642" i="17"/>
  <c r="P641" i="17"/>
  <c r="K641" i="17"/>
  <c r="P640" i="17"/>
  <c r="K640" i="17"/>
  <c r="P639" i="17"/>
  <c r="K639" i="17"/>
  <c r="T638" i="17"/>
  <c r="P638" i="17"/>
  <c r="K638" i="17"/>
  <c r="T637" i="17"/>
  <c r="P637" i="17"/>
  <c r="K637" i="17"/>
  <c r="P636" i="17"/>
  <c r="K636" i="17"/>
  <c r="P635" i="17"/>
  <c r="K635" i="17"/>
  <c r="P634" i="17"/>
  <c r="K634" i="17"/>
  <c r="T633" i="17"/>
  <c r="P633" i="17"/>
  <c r="K633" i="17"/>
  <c r="P632" i="17"/>
  <c r="K632" i="17"/>
  <c r="P631" i="17"/>
  <c r="K631" i="17"/>
  <c r="P630" i="17"/>
  <c r="K630" i="17"/>
  <c r="P629" i="17"/>
  <c r="K629" i="17"/>
  <c r="P628" i="17"/>
  <c r="K628" i="17"/>
  <c r="P627" i="17"/>
  <c r="K627" i="17"/>
  <c r="P626" i="17"/>
  <c r="K626" i="17"/>
  <c r="P625" i="17"/>
  <c r="K625" i="17"/>
  <c r="P624" i="17"/>
  <c r="K624" i="17"/>
  <c r="P623" i="17"/>
  <c r="K623" i="17"/>
  <c r="P622" i="17"/>
  <c r="K622" i="17"/>
  <c r="P621" i="17"/>
  <c r="K621" i="17"/>
  <c r="P620" i="17"/>
  <c r="K620" i="17"/>
  <c r="P619" i="17"/>
  <c r="K619" i="17"/>
  <c r="P618" i="17"/>
  <c r="K618" i="17"/>
  <c r="T617" i="17"/>
  <c r="P617" i="17"/>
  <c r="K617" i="17"/>
  <c r="P616" i="17"/>
  <c r="K616" i="17"/>
  <c r="P615" i="17"/>
  <c r="K615" i="17"/>
  <c r="T614" i="17"/>
  <c r="P614" i="17"/>
  <c r="K614" i="17"/>
  <c r="T613" i="17"/>
  <c r="P613" i="17"/>
  <c r="K613" i="17"/>
  <c r="P612" i="17"/>
  <c r="K612" i="17"/>
  <c r="T611" i="17"/>
  <c r="P611" i="17"/>
  <c r="K611" i="17"/>
  <c r="P610" i="17"/>
  <c r="K610" i="17"/>
  <c r="T609" i="17"/>
  <c r="P609" i="17"/>
  <c r="K609" i="17"/>
  <c r="T608" i="17"/>
  <c r="P608" i="17"/>
  <c r="K608" i="17"/>
  <c r="P607" i="17"/>
  <c r="K607" i="17"/>
  <c r="P606" i="17"/>
  <c r="K606" i="17"/>
  <c r="T605" i="17"/>
  <c r="P605" i="17"/>
  <c r="K605" i="17"/>
  <c r="P604" i="17"/>
  <c r="K604" i="17"/>
  <c r="T603" i="17"/>
  <c r="P603" i="17"/>
  <c r="K603" i="17"/>
  <c r="P602" i="17"/>
  <c r="K602" i="17"/>
  <c r="P601" i="17"/>
  <c r="K601" i="17"/>
  <c r="P600" i="17"/>
  <c r="K600" i="17"/>
  <c r="P599" i="17"/>
  <c r="K599" i="17"/>
  <c r="T598" i="17"/>
  <c r="P598" i="17"/>
  <c r="K598" i="17"/>
  <c r="P597" i="17"/>
  <c r="K597" i="17"/>
  <c r="P596" i="17"/>
  <c r="K596" i="17"/>
  <c r="T595" i="17"/>
  <c r="P595" i="17"/>
  <c r="K595" i="17"/>
  <c r="T594" i="17"/>
  <c r="P594" i="17"/>
  <c r="K594" i="17"/>
  <c r="P593" i="17"/>
  <c r="K593" i="17"/>
  <c r="P592" i="17"/>
  <c r="K592" i="17"/>
  <c r="P591" i="17"/>
  <c r="K591" i="17"/>
  <c r="P590" i="17"/>
  <c r="K590" i="17"/>
  <c r="P589" i="17"/>
  <c r="K589" i="17"/>
  <c r="P588" i="17"/>
  <c r="K588" i="17"/>
  <c r="P587" i="17"/>
  <c r="K587" i="17"/>
  <c r="P586" i="17"/>
  <c r="K586" i="17"/>
  <c r="P585" i="17"/>
  <c r="K585" i="17"/>
  <c r="P584" i="17"/>
  <c r="K584" i="17"/>
  <c r="P583" i="17"/>
  <c r="K583" i="17"/>
  <c r="T582" i="17"/>
  <c r="P582" i="17"/>
  <c r="K582" i="17"/>
  <c r="P581" i="17"/>
  <c r="K581" i="17"/>
  <c r="P580" i="17"/>
  <c r="K580" i="17"/>
  <c r="P579" i="17"/>
  <c r="K579" i="17"/>
  <c r="P578" i="17"/>
  <c r="K578" i="17"/>
  <c r="P577" i="17"/>
  <c r="K577" i="17"/>
  <c r="P576" i="17"/>
  <c r="K576" i="17"/>
  <c r="P575" i="17"/>
  <c r="K575" i="17"/>
  <c r="P574" i="17"/>
  <c r="K574" i="17"/>
  <c r="P573" i="17"/>
  <c r="K573" i="17"/>
  <c r="P572" i="17"/>
  <c r="K572" i="17"/>
  <c r="P571" i="17"/>
  <c r="K571" i="17"/>
  <c r="P570" i="17"/>
  <c r="K570" i="17"/>
  <c r="P569" i="17"/>
  <c r="K569" i="17"/>
  <c r="T568" i="17"/>
  <c r="P568" i="17"/>
  <c r="K568" i="17"/>
  <c r="P567" i="17"/>
  <c r="K567" i="17"/>
  <c r="T566" i="17"/>
  <c r="P566" i="17"/>
  <c r="K566" i="17"/>
  <c r="P565" i="17"/>
  <c r="K565" i="17"/>
  <c r="T564" i="17"/>
  <c r="P564" i="17"/>
  <c r="K564" i="17"/>
  <c r="P563" i="17"/>
  <c r="K563" i="17"/>
  <c r="P562" i="17"/>
  <c r="K562" i="17"/>
  <c r="P561" i="17"/>
  <c r="K561" i="17"/>
  <c r="P560" i="17"/>
  <c r="K560" i="17"/>
  <c r="P559" i="17"/>
  <c r="K559" i="17"/>
  <c r="P558" i="17"/>
  <c r="K558" i="17"/>
  <c r="P557" i="17"/>
  <c r="K557" i="17"/>
  <c r="P556" i="17"/>
  <c r="K556" i="17"/>
  <c r="P555" i="17"/>
  <c r="K555" i="17"/>
  <c r="P554" i="17"/>
  <c r="K554" i="17"/>
  <c r="P553" i="17"/>
  <c r="K553" i="17"/>
  <c r="P552" i="17"/>
  <c r="K552" i="17"/>
  <c r="P551" i="17"/>
  <c r="K551" i="17"/>
  <c r="P550" i="17"/>
  <c r="K550" i="17"/>
  <c r="P549" i="17"/>
  <c r="K549" i="17"/>
  <c r="P548" i="17"/>
  <c r="K548" i="17"/>
  <c r="P547" i="17"/>
  <c r="K547" i="17"/>
  <c r="P546" i="17"/>
  <c r="K546" i="17"/>
  <c r="T545" i="17"/>
  <c r="P545" i="17"/>
  <c r="K545" i="17"/>
  <c r="P544" i="17"/>
  <c r="K544" i="17"/>
  <c r="P543" i="17"/>
  <c r="K543" i="17"/>
  <c r="P542" i="17"/>
  <c r="K542" i="17"/>
  <c r="P541" i="17"/>
  <c r="K541" i="17"/>
  <c r="P540" i="17"/>
  <c r="K540" i="17"/>
  <c r="P539" i="17"/>
  <c r="K539" i="17"/>
  <c r="P538" i="17"/>
  <c r="K538" i="17"/>
  <c r="T537" i="17"/>
  <c r="P537" i="17"/>
  <c r="K537" i="17"/>
  <c r="P536" i="17"/>
  <c r="K536" i="17"/>
  <c r="P535" i="17"/>
  <c r="K535" i="17"/>
  <c r="P534" i="17"/>
  <c r="K534" i="17"/>
  <c r="P533" i="17"/>
  <c r="K533" i="17"/>
  <c r="P532" i="17"/>
  <c r="K532" i="17"/>
  <c r="T531" i="17"/>
  <c r="P531" i="17"/>
  <c r="K531" i="17"/>
  <c r="T530" i="17"/>
  <c r="P530" i="17"/>
  <c r="K530" i="17"/>
  <c r="P529" i="17"/>
  <c r="K529" i="17"/>
  <c r="P528" i="17"/>
  <c r="K528" i="17"/>
  <c r="P527" i="17"/>
  <c r="K527" i="17"/>
  <c r="T526" i="17"/>
  <c r="P526" i="17"/>
  <c r="K526" i="17"/>
  <c r="P525" i="17"/>
  <c r="K525" i="17"/>
  <c r="P524" i="17"/>
  <c r="K524" i="17"/>
  <c r="T523" i="17"/>
  <c r="P523" i="17"/>
  <c r="K523" i="17"/>
  <c r="P522" i="17"/>
  <c r="K522" i="17"/>
  <c r="T521" i="17"/>
  <c r="P521" i="17"/>
  <c r="K521" i="17"/>
  <c r="P520" i="17"/>
  <c r="K520" i="17"/>
  <c r="P519" i="17"/>
  <c r="K519" i="17"/>
  <c r="P518" i="17"/>
  <c r="K518" i="17"/>
  <c r="P517" i="17"/>
  <c r="K517" i="17"/>
  <c r="T516" i="17"/>
  <c r="P516" i="17"/>
  <c r="K516" i="17"/>
  <c r="P515" i="17"/>
  <c r="K515" i="17"/>
  <c r="P514" i="17"/>
  <c r="K514" i="17"/>
  <c r="T513" i="17"/>
  <c r="P513" i="17"/>
  <c r="K513" i="17"/>
  <c r="P512" i="17"/>
  <c r="K512" i="17"/>
  <c r="P511" i="17"/>
  <c r="K511" i="17"/>
  <c r="P510" i="17"/>
  <c r="K510" i="17"/>
  <c r="T509" i="17"/>
  <c r="P509" i="17"/>
  <c r="K509" i="17"/>
  <c r="P508" i="17"/>
  <c r="K508" i="17"/>
  <c r="P507" i="17"/>
  <c r="K507" i="17"/>
  <c r="P506" i="17"/>
  <c r="K506" i="17"/>
  <c r="P505" i="17"/>
  <c r="K505" i="17"/>
  <c r="P504" i="17"/>
  <c r="K504" i="17"/>
  <c r="P503" i="17"/>
  <c r="K503" i="17"/>
  <c r="T502" i="17"/>
  <c r="P502" i="17"/>
  <c r="K502" i="17"/>
  <c r="P501" i="17"/>
  <c r="K501" i="17"/>
  <c r="P500" i="17"/>
  <c r="K500" i="17"/>
  <c r="P499" i="17"/>
  <c r="K499" i="17"/>
  <c r="P498" i="17"/>
  <c r="K498" i="17"/>
  <c r="P497" i="17"/>
  <c r="K497" i="17"/>
  <c r="P496" i="17"/>
  <c r="K496" i="17"/>
  <c r="P495" i="17"/>
  <c r="K495" i="17"/>
  <c r="P494" i="17"/>
  <c r="K494" i="17"/>
  <c r="P493" i="17"/>
  <c r="K493" i="17"/>
  <c r="P492" i="17"/>
  <c r="K492" i="17"/>
  <c r="P491" i="17"/>
  <c r="K491" i="17"/>
  <c r="P490" i="17"/>
  <c r="K490" i="17"/>
  <c r="P489" i="17"/>
  <c r="K489" i="17"/>
  <c r="P488" i="17"/>
  <c r="K488" i="17"/>
  <c r="P487" i="17"/>
  <c r="K487" i="17"/>
  <c r="P486" i="17"/>
  <c r="K486" i="17"/>
  <c r="P485" i="17"/>
  <c r="K485" i="17"/>
  <c r="P484" i="17"/>
  <c r="K484" i="17"/>
  <c r="P483" i="17"/>
  <c r="K483" i="17"/>
  <c r="P482" i="17"/>
  <c r="K482" i="17"/>
  <c r="P481" i="17"/>
  <c r="K481" i="17"/>
  <c r="P480" i="17"/>
  <c r="K480" i="17"/>
  <c r="P479" i="17"/>
  <c r="K479" i="17"/>
  <c r="P478" i="17"/>
  <c r="K478" i="17"/>
  <c r="P477" i="17"/>
  <c r="K477" i="17"/>
  <c r="P476" i="17"/>
  <c r="K476" i="17"/>
  <c r="P475" i="17"/>
  <c r="K475" i="17"/>
  <c r="P474" i="17"/>
  <c r="K474" i="17"/>
  <c r="P473" i="17"/>
  <c r="K473" i="17"/>
  <c r="P472" i="17"/>
  <c r="K472" i="17"/>
  <c r="P471" i="17"/>
  <c r="K471" i="17"/>
  <c r="P470" i="17"/>
  <c r="K470" i="17"/>
  <c r="P469" i="17"/>
  <c r="K469" i="17"/>
  <c r="P468" i="17"/>
  <c r="K468" i="17"/>
  <c r="P467" i="17"/>
  <c r="K467" i="17"/>
  <c r="P466" i="17"/>
  <c r="K466" i="17"/>
  <c r="P465" i="17"/>
  <c r="K465" i="17"/>
  <c r="P464" i="17"/>
  <c r="K464" i="17"/>
  <c r="P463" i="17"/>
  <c r="K463" i="17"/>
  <c r="P462" i="17"/>
  <c r="K462" i="17"/>
  <c r="P461" i="17"/>
  <c r="K461" i="17"/>
  <c r="P460" i="17"/>
  <c r="K460" i="17"/>
  <c r="P459" i="17"/>
  <c r="K459" i="17"/>
  <c r="P458" i="17"/>
  <c r="K458" i="17"/>
  <c r="P457" i="17"/>
  <c r="K457" i="17"/>
  <c r="P456" i="17"/>
  <c r="K456" i="17"/>
  <c r="P455" i="17"/>
  <c r="K455" i="17"/>
  <c r="P454" i="17"/>
  <c r="K454" i="17"/>
  <c r="P453" i="17"/>
  <c r="K453" i="17"/>
  <c r="P452" i="17"/>
  <c r="K452" i="17"/>
  <c r="P451" i="17"/>
  <c r="K451" i="17"/>
  <c r="P450" i="17"/>
  <c r="K450" i="17"/>
  <c r="P449" i="17"/>
  <c r="K449" i="17"/>
  <c r="P448" i="17"/>
  <c r="K448" i="17"/>
  <c r="P447" i="17"/>
  <c r="K447" i="17"/>
  <c r="P446" i="17"/>
  <c r="K446" i="17"/>
  <c r="P445" i="17"/>
  <c r="K445" i="17"/>
  <c r="P444" i="17"/>
  <c r="K444" i="17"/>
  <c r="P443" i="17"/>
  <c r="K443" i="17"/>
  <c r="P442" i="17"/>
  <c r="K442" i="17"/>
  <c r="P441" i="17"/>
  <c r="K441" i="17"/>
  <c r="P440" i="17"/>
  <c r="K440" i="17"/>
  <c r="P439" i="17"/>
  <c r="K439" i="17"/>
  <c r="P438" i="17"/>
  <c r="K438" i="17"/>
  <c r="P437" i="17"/>
  <c r="K437" i="17"/>
  <c r="P436" i="17"/>
  <c r="K436" i="17"/>
  <c r="P435" i="17"/>
  <c r="K435" i="17"/>
  <c r="P434" i="17"/>
  <c r="K434" i="17"/>
  <c r="P433" i="17"/>
  <c r="K433" i="17"/>
  <c r="P432" i="17"/>
  <c r="K432" i="17"/>
  <c r="P431" i="17"/>
  <c r="K431" i="17"/>
  <c r="P430" i="17"/>
  <c r="K430" i="17"/>
  <c r="P429" i="17"/>
  <c r="K429" i="17"/>
  <c r="P428" i="17"/>
  <c r="K428" i="17"/>
  <c r="P427" i="17"/>
  <c r="K427" i="17"/>
  <c r="P426" i="17"/>
  <c r="K426" i="17"/>
  <c r="P425" i="17"/>
  <c r="K425" i="17"/>
  <c r="P424" i="17"/>
  <c r="K424" i="17"/>
  <c r="P423" i="17"/>
  <c r="K423" i="17"/>
  <c r="P422" i="17"/>
  <c r="K422" i="17"/>
  <c r="P421" i="17"/>
  <c r="K421" i="17"/>
  <c r="P420" i="17"/>
  <c r="K420" i="17"/>
  <c r="P419" i="17"/>
  <c r="K419" i="17"/>
  <c r="P418" i="17"/>
  <c r="K418" i="17"/>
  <c r="P417" i="17"/>
  <c r="K417" i="17"/>
  <c r="P416" i="17"/>
  <c r="K416" i="17"/>
  <c r="P415" i="17"/>
  <c r="K415" i="17"/>
  <c r="P414" i="17"/>
  <c r="K414" i="17"/>
  <c r="P413" i="17"/>
  <c r="K413" i="17"/>
  <c r="P412" i="17"/>
  <c r="K412" i="17"/>
  <c r="P411" i="17"/>
  <c r="K411" i="17"/>
  <c r="P410" i="17"/>
  <c r="K410" i="17"/>
  <c r="P409" i="17"/>
  <c r="K409" i="17"/>
  <c r="P408" i="17"/>
  <c r="K408" i="17"/>
  <c r="P407" i="17"/>
  <c r="K407" i="17"/>
  <c r="P406" i="17"/>
  <c r="K406" i="17"/>
  <c r="P405" i="17"/>
  <c r="K405" i="17"/>
  <c r="P404" i="17"/>
  <c r="K404" i="17"/>
  <c r="P403" i="17"/>
  <c r="K403" i="17"/>
  <c r="P402" i="17"/>
  <c r="K402" i="17"/>
  <c r="P401" i="17"/>
  <c r="K401" i="17"/>
  <c r="P400" i="17"/>
  <c r="K400" i="17"/>
  <c r="P399" i="17"/>
  <c r="K399" i="17"/>
  <c r="P398" i="17"/>
  <c r="K398" i="17"/>
  <c r="P397" i="17"/>
  <c r="K397" i="17"/>
  <c r="P396" i="17"/>
  <c r="K396" i="17"/>
  <c r="P395" i="17"/>
  <c r="K395" i="17"/>
  <c r="P394" i="17"/>
  <c r="K394" i="17"/>
  <c r="P393" i="17"/>
  <c r="K393" i="17"/>
  <c r="P392" i="17"/>
  <c r="K392" i="17"/>
  <c r="P391" i="17"/>
  <c r="K391" i="17"/>
  <c r="P390" i="17"/>
  <c r="K390" i="17"/>
  <c r="P389" i="17"/>
  <c r="K389" i="17"/>
  <c r="P388" i="17"/>
  <c r="K388" i="17"/>
  <c r="P387" i="17"/>
  <c r="K387" i="17"/>
  <c r="P386" i="17"/>
  <c r="K386" i="17"/>
  <c r="P385" i="17"/>
  <c r="K385" i="17"/>
  <c r="P384" i="17"/>
  <c r="K384" i="17"/>
  <c r="P383" i="17"/>
  <c r="K383" i="17"/>
  <c r="P382" i="17"/>
  <c r="K382" i="17"/>
  <c r="P381" i="17"/>
  <c r="K381" i="17"/>
  <c r="P380" i="17"/>
  <c r="K380" i="17"/>
  <c r="P379" i="17"/>
  <c r="K379" i="17"/>
  <c r="P378" i="17"/>
  <c r="K378" i="17"/>
  <c r="P377" i="17"/>
  <c r="K377" i="17"/>
  <c r="P376" i="17"/>
  <c r="K376" i="17"/>
  <c r="P375" i="17"/>
  <c r="K375" i="17"/>
  <c r="T374" i="17"/>
  <c r="P374" i="17"/>
  <c r="K374" i="17"/>
  <c r="P373" i="17"/>
  <c r="K373" i="17"/>
  <c r="P372" i="17"/>
  <c r="K372" i="17"/>
  <c r="P371" i="17"/>
  <c r="K371" i="17"/>
  <c r="P370" i="17"/>
  <c r="K370" i="17"/>
  <c r="P369" i="17"/>
  <c r="K369" i="17"/>
  <c r="P368" i="17"/>
  <c r="K368" i="17"/>
  <c r="T367" i="17"/>
  <c r="P367" i="17"/>
  <c r="K367" i="17"/>
  <c r="P366" i="17"/>
  <c r="K366" i="17"/>
  <c r="P365" i="17"/>
  <c r="K365" i="17"/>
  <c r="P364" i="17"/>
  <c r="K364" i="17"/>
  <c r="T363" i="17"/>
  <c r="P363" i="17"/>
  <c r="K363" i="17"/>
  <c r="P362" i="17"/>
  <c r="K362" i="17"/>
  <c r="P361" i="17"/>
  <c r="K361" i="17"/>
  <c r="P360" i="17"/>
  <c r="K360" i="17"/>
  <c r="P359" i="17"/>
  <c r="K359" i="17"/>
  <c r="T358" i="17"/>
  <c r="P358" i="17"/>
  <c r="K358" i="17"/>
  <c r="P357" i="17"/>
  <c r="K357" i="17"/>
  <c r="P356" i="17"/>
  <c r="K356" i="17"/>
  <c r="P355" i="17"/>
  <c r="K355" i="17"/>
  <c r="T354" i="17"/>
  <c r="P354" i="17"/>
  <c r="K354" i="17"/>
  <c r="P353" i="17"/>
  <c r="K353" i="17"/>
  <c r="P352" i="17"/>
  <c r="K352" i="17"/>
  <c r="T351" i="17"/>
  <c r="P351" i="17"/>
  <c r="K351" i="17"/>
  <c r="T350" i="17"/>
  <c r="P350" i="17"/>
  <c r="K350" i="17"/>
  <c r="P349" i="17"/>
  <c r="K349" i="17"/>
  <c r="P348" i="17"/>
  <c r="K348" i="17"/>
  <c r="T347" i="17"/>
  <c r="P347" i="17"/>
  <c r="K347" i="17"/>
  <c r="T346" i="17"/>
  <c r="P346" i="17"/>
  <c r="K346" i="17"/>
  <c r="P345" i="17"/>
  <c r="K345" i="17"/>
  <c r="P344" i="17"/>
  <c r="K344" i="17"/>
  <c r="P343" i="17"/>
  <c r="K343" i="17"/>
  <c r="P342" i="17"/>
  <c r="K342" i="17"/>
  <c r="T341" i="17"/>
  <c r="P341" i="17"/>
  <c r="K341" i="17"/>
  <c r="T340" i="17"/>
  <c r="P340" i="17"/>
  <c r="K340" i="17"/>
  <c r="P339" i="17"/>
  <c r="K339" i="17"/>
  <c r="P338" i="17"/>
  <c r="K338" i="17"/>
  <c r="P337" i="17"/>
  <c r="K337" i="17"/>
  <c r="P336" i="17"/>
  <c r="K336" i="17"/>
  <c r="P335" i="17"/>
  <c r="K335" i="17"/>
  <c r="P334" i="17"/>
  <c r="K334" i="17"/>
  <c r="P333" i="17"/>
  <c r="K333" i="17"/>
  <c r="P332" i="17"/>
  <c r="K332" i="17"/>
  <c r="T331" i="17"/>
  <c r="P331" i="17"/>
  <c r="K331" i="17"/>
  <c r="T330" i="17"/>
  <c r="P330" i="17"/>
  <c r="K330" i="17"/>
  <c r="P329" i="17"/>
  <c r="K329" i="17"/>
  <c r="T328" i="17"/>
  <c r="P328" i="17"/>
  <c r="K328" i="17"/>
  <c r="P327" i="17"/>
  <c r="K327" i="17"/>
  <c r="P326" i="17"/>
  <c r="K326" i="17"/>
  <c r="P325" i="17"/>
  <c r="K325" i="17"/>
  <c r="P324" i="17"/>
  <c r="K324" i="17"/>
  <c r="T323" i="17"/>
  <c r="P323" i="17"/>
  <c r="K323" i="17"/>
  <c r="T322" i="17"/>
  <c r="P322" i="17"/>
  <c r="K322" i="17"/>
  <c r="P321" i="17"/>
  <c r="K321" i="17"/>
  <c r="P320" i="17"/>
  <c r="K320" i="17"/>
  <c r="P319" i="17"/>
  <c r="K319" i="17"/>
  <c r="P318" i="17"/>
  <c r="K318" i="17"/>
  <c r="T317" i="17"/>
  <c r="P317" i="17"/>
  <c r="K317" i="17"/>
  <c r="T316" i="17"/>
  <c r="P316" i="17"/>
  <c r="K316" i="17"/>
  <c r="P315" i="17"/>
  <c r="K315" i="17"/>
  <c r="P314" i="17"/>
  <c r="K314" i="17"/>
  <c r="P313" i="17"/>
  <c r="K313" i="17"/>
  <c r="P312" i="17"/>
  <c r="K312" i="17"/>
  <c r="P311" i="17"/>
  <c r="K311" i="17"/>
  <c r="T310" i="17"/>
  <c r="P310" i="17"/>
  <c r="K310" i="17"/>
  <c r="P309" i="17"/>
  <c r="K309" i="17"/>
  <c r="P308" i="17"/>
  <c r="K308" i="17"/>
  <c r="P307" i="17"/>
  <c r="K307" i="17"/>
  <c r="P306" i="17"/>
  <c r="K306" i="17"/>
  <c r="T305" i="17"/>
  <c r="P305" i="17"/>
  <c r="K305" i="17"/>
  <c r="T304" i="17"/>
  <c r="P304" i="17"/>
  <c r="K304" i="17"/>
  <c r="P303" i="17"/>
  <c r="K303" i="17"/>
  <c r="P302" i="17"/>
  <c r="K302" i="17"/>
  <c r="P301" i="17"/>
  <c r="K301" i="17"/>
  <c r="P300" i="17"/>
  <c r="K300" i="17"/>
  <c r="T299" i="17"/>
  <c r="P299" i="17"/>
  <c r="K299" i="17"/>
  <c r="T298" i="17"/>
  <c r="P298" i="17"/>
  <c r="K298" i="17"/>
  <c r="P297" i="17"/>
  <c r="K297" i="17"/>
  <c r="P296" i="17"/>
  <c r="K296" i="17"/>
  <c r="P295" i="17"/>
  <c r="K295" i="17"/>
  <c r="P294" i="17"/>
  <c r="K294" i="17"/>
  <c r="P293" i="17"/>
  <c r="K293" i="17"/>
  <c r="P292" i="17"/>
  <c r="K292" i="17"/>
  <c r="P291" i="17"/>
  <c r="K291" i="17"/>
  <c r="P290" i="17"/>
  <c r="K290" i="17"/>
  <c r="P289" i="17"/>
  <c r="K289" i="17"/>
  <c r="P288" i="17"/>
  <c r="K288" i="17"/>
  <c r="P287" i="17"/>
  <c r="K287" i="17"/>
  <c r="P286" i="17"/>
  <c r="K286" i="17"/>
  <c r="T285" i="17"/>
  <c r="P285" i="17"/>
  <c r="K285" i="17"/>
  <c r="P284" i="17"/>
  <c r="K284" i="17"/>
  <c r="P283" i="17"/>
  <c r="K283" i="17"/>
  <c r="P282" i="17"/>
  <c r="K282" i="17"/>
  <c r="T281" i="17"/>
  <c r="P281" i="17"/>
  <c r="K281" i="17"/>
  <c r="T280" i="17"/>
  <c r="P280" i="17"/>
  <c r="K280" i="17"/>
  <c r="P279" i="17"/>
  <c r="K279" i="17"/>
  <c r="P278" i="17"/>
  <c r="K278" i="17"/>
  <c r="T277" i="17"/>
  <c r="P277" i="17"/>
  <c r="K277" i="17"/>
  <c r="P276" i="17"/>
  <c r="K276" i="17"/>
  <c r="P275" i="17"/>
  <c r="K275" i="17"/>
  <c r="P274" i="17"/>
  <c r="K274" i="17"/>
  <c r="P273" i="17"/>
  <c r="K273" i="17"/>
  <c r="T272" i="17"/>
  <c r="P272" i="17"/>
  <c r="K272" i="17"/>
  <c r="T271" i="17"/>
  <c r="P271" i="17"/>
  <c r="K271" i="17"/>
  <c r="T270" i="17"/>
  <c r="P270" i="17"/>
  <c r="K270" i="17"/>
  <c r="P269" i="17"/>
  <c r="K269" i="17"/>
  <c r="T268" i="17"/>
  <c r="P268" i="17"/>
  <c r="K268" i="17"/>
  <c r="P267" i="17"/>
  <c r="K267" i="17"/>
  <c r="T266" i="17"/>
  <c r="P266" i="17"/>
  <c r="K266" i="17"/>
  <c r="P265" i="17"/>
  <c r="K265" i="17"/>
  <c r="P264" i="17"/>
  <c r="K264" i="17"/>
  <c r="P263" i="17"/>
  <c r="K263" i="17"/>
  <c r="P262" i="17"/>
  <c r="K262" i="17"/>
  <c r="P261" i="17"/>
  <c r="K261" i="17"/>
  <c r="P260" i="17"/>
  <c r="K260" i="17"/>
  <c r="P259" i="17"/>
  <c r="K259" i="17"/>
  <c r="T258" i="17"/>
  <c r="P258" i="17"/>
  <c r="K258" i="17"/>
  <c r="P257" i="17"/>
  <c r="K257" i="17"/>
  <c r="P256" i="17"/>
  <c r="K256" i="17"/>
  <c r="T255" i="17"/>
  <c r="P255" i="17"/>
  <c r="K255" i="17"/>
  <c r="P254" i="17"/>
  <c r="K254" i="17"/>
  <c r="T253" i="17"/>
  <c r="P253" i="17"/>
  <c r="K253" i="17"/>
  <c r="P252" i="17"/>
  <c r="K252" i="17"/>
  <c r="P251" i="17"/>
  <c r="K251" i="17"/>
  <c r="P250" i="17"/>
  <c r="K250" i="17"/>
  <c r="P249" i="17"/>
  <c r="K249" i="17"/>
  <c r="T248" i="17"/>
  <c r="S248" i="17"/>
  <c r="S3" i="17" s="1"/>
  <c r="O248" i="17"/>
  <c r="J248" i="17"/>
  <c r="T247" i="17"/>
  <c r="P247" i="17"/>
  <c r="K247" i="17"/>
  <c r="P246" i="17"/>
  <c r="K246" i="17"/>
  <c r="T245" i="17"/>
  <c r="P245" i="17"/>
  <c r="K245" i="17"/>
  <c r="P244" i="17"/>
  <c r="K244" i="17"/>
  <c r="P243" i="17"/>
  <c r="K243" i="17"/>
  <c r="P242" i="17"/>
  <c r="K242" i="17"/>
  <c r="P241" i="17"/>
  <c r="K241" i="17"/>
  <c r="P240" i="17"/>
  <c r="K240" i="17"/>
  <c r="T239" i="17"/>
  <c r="P239" i="17"/>
  <c r="K239" i="17"/>
  <c r="P238" i="17"/>
  <c r="K238" i="17"/>
  <c r="P237" i="17"/>
  <c r="K237" i="17"/>
  <c r="T236" i="17"/>
  <c r="P236" i="17"/>
  <c r="K236" i="17"/>
  <c r="P235" i="17"/>
  <c r="K235" i="17"/>
  <c r="P234" i="17"/>
  <c r="K234" i="17"/>
  <c r="P233" i="17"/>
  <c r="K233" i="17"/>
  <c r="P232" i="17"/>
  <c r="K232" i="17"/>
  <c r="P231" i="17"/>
  <c r="K231" i="17"/>
  <c r="P230" i="17"/>
  <c r="K230" i="17"/>
  <c r="T229" i="17"/>
  <c r="P229" i="17"/>
  <c r="K229" i="17"/>
  <c r="P228" i="17"/>
  <c r="K228" i="17"/>
  <c r="T227" i="17"/>
  <c r="P227" i="17"/>
  <c r="K227" i="17"/>
  <c r="T226" i="17"/>
  <c r="P226" i="17"/>
  <c r="K226" i="17"/>
  <c r="P225" i="17"/>
  <c r="K225" i="17"/>
  <c r="P224" i="17"/>
  <c r="K224" i="17"/>
  <c r="P223" i="17"/>
  <c r="K223" i="17"/>
  <c r="P222" i="17"/>
  <c r="K222" i="17"/>
  <c r="P221" i="17"/>
  <c r="K221" i="17"/>
  <c r="P220" i="17"/>
  <c r="K220" i="17"/>
  <c r="P219" i="17"/>
  <c r="K219" i="17"/>
  <c r="P218" i="17"/>
  <c r="K218" i="17"/>
  <c r="P217" i="17"/>
  <c r="K217" i="17"/>
  <c r="P216" i="17"/>
  <c r="K216" i="17"/>
  <c r="P215" i="17"/>
  <c r="K215" i="17"/>
  <c r="T214" i="17"/>
  <c r="P214" i="17"/>
  <c r="K214" i="17"/>
  <c r="P213" i="17"/>
  <c r="K213" i="17"/>
  <c r="T212" i="17"/>
  <c r="P212" i="17"/>
  <c r="K212" i="17"/>
  <c r="T211" i="17"/>
  <c r="P211" i="17"/>
  <c r="K211" i="17"/>
  <c r="P210" i="17"/>
  <c r="K210" i="17"/>
  <c r="T209" i="17"/>
  <c r="P209" i="17"/>
  <c r="K209" i="17"/>
  <c r="T208" i="17"/>
  <c r="P208" i="17"/>
  <c r="K208" i="17"/>
  <c r="P207" i="17"/>
  <c r="K207" i="17"/>
  <c r="P206" i="17"/>
  <c r="K206" i="17"/>
  <c r="P205" i="17"/>
  <c r="K205" i="17"/>
  <c r="P204" i="17"/>
  <c r="K204" i="17"/>
  <c r="P203" i="17"/>
  <c r="K203" i="17"/>
  <c r="P202" i="17"/>
  <c r="K202" i="17"/>
  <c r="P201" i="17"/>
  <c r="K201" i="17"/>
  <c r="P200" i="17"/>
  <c r="K200" i="17"/>
  <c r="P199" i="17"/>
  <c r="K199" i="17"/>
  <c r="T198" i="17"/>
  <c r="P198" i="17"/>
  <c r="K198" i="17"/>
  <c r="P197" i="17"/>
  <c r="K197" i="17"/>
  <c r="P196" i="17"/>
  <c r="K196" i="17"/>
  <c r="P195" i="17"/>
  <c r="K195" i="17"/>
  <c r="T194" i="17"/>
  <c r="P194" i="17"/>
  <c r="K194" i="17"/>
  <c r="P193" i="17"/>
  <c r="K193" i="17"/>
  <c r="T192" i="17"/>
  <c r="P192" i="17"/>
  <c r="K192" i="17"/>
  <c r="P191" i="17"/>
  <c r="K191" i="17"/>
  <c r="P190" i="17"/>
  <c r="K190" i="17"/>
  <c r="P189" i="17"/>
  <c r="K189" i="17"/>
  <c r="P188" i="17"/>
  <c r="K188" i="17"/>
  <c r="T187" i="17"/>
  <c r="P187" i="17"/>
  <c r="K187" i="17"/>
  <c r="P186" i="17"/>
  <c r="K186" i="17"/>
  <c r="P185" i="17"/>
  <c r="K185" i="17"/>
  <c r="P184" i="17"/>
  <c r="K184" i="17"/>
  <c r="P183" i="17"/>
  <c r="K183" i="17"/>
  <c r="T182" i="17"/>
  <c r="P182" i="17"/>
  <c r="K182" i="17"/>
  <c r="P181" i="17"/>
  <c r="K181" i="17"/>
  <c r="P180" i="17"/>
  <c r="K180" i="17"/>
  <c r="P179" i="17"/>
  <c r="K179" i="17"/>
  <c r="P178" i="17"/>
  <c r="K178" i="17"/>
  <c r="P177" i="17"/>
  <c r="K177" i="17"/>
  <c r="T176" i="17"/>
  <c r="P176" i="17"/>
  <c r="K176" i="17"/>
  <c r="P175" i="17"/>
  <c r="K175" i="17"/>
  <c r="P174" i="17"/>
  <c r="K174" i="17"/>
  <c r="T173" i="17"/>
  <c r="P173" i="17"/>
  <c r="K173" i="17"/>
  <c r="T172" i="17"/>
  <c r="P172" i="17"/>
  <c r="K172" i="17"/>
  <c r="P171" i="17"/>
  <c r="K171" i="17"/>
  <c r="P170" i="17"/>
  <c r="K170" i="17"/>
  <c r="P169" i="17"/>
  <c r="K169" i="17"/>
  <c r="P168" i="17"/>
  <c r="K168" i="17"/>
  <c r="T167" i="17"/>
  <c r="P167" i="17"/>
  <c r="K167" i="17"/>
  <c r="P166" i="17"/>
  <c r="K166" i="17"/>
  <c r="P165" i="17"/>
  <c r="K165" i="17"/>
  <c r="P164" i="17"/>
  <c r="K164" i="17"/>
  <c r="P163" i="17"/>
  <c r="K163" i="17"/>
  <c r="T162" i="17"/>
  <c r="P162" i="17"/>
  <c r="K162" i="17"/>
  <c r="P161" i="17"/>
  <c r="K161" i="17"/>
  <c r="P160" i="17"/>
  <c r="K160" i="17"/>
  <c r="P159" i="17"/>
  <c r="K159" i="17"/>
  <c r="P158" i="17"/>
  <c r="K158" i="17"/>
  <c r="T157" i="17"/>
  <c r="P157" i="17"/>
  <c r="K157" i="17"/>
  <c r="P156" i="17"/>
  <c r="K156" i="17"/>
  <c r="P155" i="17"/>
  <c r="K155" i="17"/>
  <c r="P154" i="17"/>
  <c r="K154" i="17"/>
  <c r="T153" i="17"/>
  <c r="P153" i="17"/>
  <c r="K153" i="17"/>
  <c r="P152" i="17"/>
  <c r="K152" i="17"/>
  <c r="T151" i="17"/>
  <c r="P151" i="17"/>
  <c r="K151" i="17"/>
  <c r="P150" i="17"/>
  <c r="K150" i="17"/>
  <c r="P149" i="17"/>
  <c r="K149" i="17"/>
  <c r="P148" i="17"/>
  <c r="K148" i="17"/>
  <c r="P147" i="17"/>
  <c r="K147" i="17"/>
  <c r="T146" i="17"/>
  <c r="P146" i="17"/>
  <c r="K146" i="17"/>
  <c r="P145" i="17"/>
  <c r="K145" i="17"/>
  <c r="T144" i="17"/>
  <c r="P144" i="17"/>
  <c r="K144" i="17"/>
  <c r="P143" i="17"/>
  <c r="K143" i="17"/>
  <c r="P142" i="17"/>
  <c r="K142" i="17"/>
  <c r="P141" i="17"/>
  <c r="K141" i="17"/>
  <c r="P140" i="17"/>
  <c r="K140" i="17"/>
  <c r="P139" i="17"/>
  <c r="K139" i="17"/>
  <c r="P138" i="17"/>
  <c r="K138" i="17"/>
  <c r="P137" i="17"/>
  <c r="K137" i="17"/>
  <c r="P136" i="17"/>
  <c r="K136" i="17"/>
  <c r="T135" i="17"/>
  <c r="P135" i="17"/>
  <c r="K135" i="17"/>
  <c r="P134" i="17"/>
  <c r="K134" i="17"/>
  <c r="P133" i="17"/>
  <c r="K133" i="17"/>
  <c r="T132" i="17"/>
  <c r="P132" i="17"/>
  <c r="K132" i="17"/>
  <c r="P131" i="17"/>
  <c r="K131" i="17"/>
  <c r="T130" i="17"/>
  <c r="P130" i="17"/>
  <c r="K130" i="17"/>
  <c r="T129" i="17"/>
  <c r="P129" i="17"/>
  <c r="K129" i="17"/>
  <c r="T128" i="17"/>
  <c r="P128" i="17"/>
  <c r="K128" i="17"/>
  <c r="P127" i="17"/>
  <c r="K127" i="17"/>
  <c r="P126" i="17"/>
  <c r="K126" i="17"/>
  <c r="P125" i="17"/>
  <c r="K125" i="17"/>
  <c r="P124" i="17"/>
  <c r="K124" i="17"/>
  <c r="T123" i="17"/>
  <c r="P123" i="17"/>
  <c r="K123" i="17"/>
  <c r="P122" i="17"/>
  <c r="K122" i="17"/>
  <c r="P121" i="17"/>
  <c r="K121" i="17"/>
  <c r="P120" i="17"/>
  <c r="K120" i="17"/>
  <c r="P119" i="17"/>
  <c r="K119" i="17"/>
  <c r="P118" i="17"/>
  <c r="K118" i="17"/>
  <c r="P117" i="17"/>
  <c r="K117" i="17"/>
  <c r="P116" i="17"/>
  <c r="K116" i="17"/>
  <c r="T115" i="17"/>
  <c r="P115" i="17"/>
  <c r="K115" i="17"/>
  <c r="P114" i="17"/>
  <c r="K114" i="17"/>
  <c r="T113" i="17"/>
  <c r="P113" i="17"/>
  <c r="K113" i="17"/>
  <c r="P112" i="17"/>
  <c r="K112" i="17"/>
  <c r="T111" i="17"/>
  <c r="P111" i="17"/>
  <c r="K111" i="17"/>
  <c r="P110" i="17"/>
  <c r="K110" i="17"/>
  <c r="P109" i="17"/>
  <c r="K109" i="17"/>
  <c r="P108" i="17"/>
  <c r="K108" i="17"/>
  <c r="P107" i="17"/>
  <c r="K107" i="17"/>
  <c r="T106" i="17"/>
  <c r="P106" i="17"/>
  <c r="K106" i="17"/>
  <c r="P105" i="17"/>
  <c r="K105" i="17"/>
  <c r="T104" i="17"/>
  <c r="P104" i="17"/>
  <c r="K104" i="17"/>
  <c r="P103" i="17"/>
  <c r="K103" i="17"/>
  <c r="P102" i="17"/>
  <c r="K102" i="17"/>
  <c r="T101" i="17"/>
  <c r="P101" i="17"/>
  <c r="K101" i="17"/>
  <c r="P100" i="17"/>
  <c r="K100" i="17"/>
  <c r="T99" i="17"/>
  <c r="P99" i="17"/>
  <c r="K99" i="17"/>
  <c r="P98" i="17"/>
  <c r="K98" i="17"/>
  <c r="P97" i="17"/>
  <c r="K97" i="17"/>
  <c r="P96" i="17"/>
  <c r="K96" i="17"/>
  <c r="T95" i="17"/>
  <c r="P95" i="17"/>
  <c r="K95" i="17"/>
  <c r="P94" i="17"/>
  <c r="K94" i="17"/>
  <c r="T93" i="17"/>
  <c r="P93" i="17"/>
  <c r="K93" i="17"/>
  <c r="P92" i="17"/>
  <c r="K92" i="17"/>
  <c r="P91" i="17"/>
  <c r="K91" i="17"/>
  <c r="P90" i="17"/>
  <c r="K90" i="17"/>
  <c r="P89" i="17"/>
  <c r="K89" i="17"/>
  <c r="P88" i="17"/>
  <c r="K88" i="17"/>
  <c r="P87" i="17"/>
  <c r="K87" i="17"/>
  <c r="P86" i="17"/>
  <c r="K86" i="17"/>
  <c r="P85" i="17"/>
  <c r="K85" i="17"/>
  <c r="P84" i="17"/>
  <c r="K84" i="17"/>
  <c r="P83" i="17"/>
  <c r="K83" i="17"/>
  <c r="T82" i="17"/>
  <c r="P82" i="17"/>
  <c r="K82" i="17"/>
  <c r="P81" i="17"/>
  <c r="K81" i="17"/>
  <c r="P80" i="17"/>
  <c r="K80" i="17"/>
  <c r="T79" i="17"/>
  <c r="P79" i="17"/>
  <c r="K79" i="17"/>
  <c r="P78" i="17"/>
  <c r="K78" i="17"/>
  <c r="P77" i="17"/>
  <c r="K77" i="17"/>
  <c r="P76" i="17"/>
  <c r="K76" i="17"/>
  <c r="P75" i="17"/>
  <c r="K75" i="17"/>
  <c r="T74" i="17"/>
  <c r="P74" i="17"/>
  <c r="K74" i="17"/>
  <c r="P73" i="17"/>
  <c r="K73" i="17"/>
  <c r="P72" i="17"/>
  <c r="K72" i="17"/>
  <c r="T71" i="17"/>
  <c r="P71" i="17"/>
  <c r="K71" i="17"/>
  <c r="P70" i="17"/>
  <c r="K70" i="17"/>
  <c r="P69" i="17"/>
  <c r="K69" i="17"/>
  <c r="P68" i="17"/>
  <c r="K68" i="17"/>
  <c r="P67" i="17"/>
  <c r="K67" i="17"/>
  <c r="P66" i="17"/>
  <c r="K66" i="17"/>
  <c r="P65" i="17"/>
  <c r="K65" i="17"/>
  <c r="T64" i="17"/>
  <c r="P64" i="17"/>
  <c r="K64" i="17"/>
  <c r="P63" i="17"/>
  <c r="K63" i="17"/>
  <c r="P62" i="17"/>
  <c r="K62" i="17"/>
  <c r="P61" i="17"/>
  <c r="K61" i="17"/>
  <c r="T60" i="17"/>
  <c r="P60" i="17"/>
  <c r="K60" i="17"/>
  <c r="P59" i="17"/>
  <c r="K59" i="17"/>
  <c r="T58" i="17"/>
  <c r="P58" i="17"/>
  <c r="K58" i="17"/>
  <c r="P57" i="17"/>
  <c r="K57" i="17"/>
  <c r="T56" i="17"/>
  <c r="P56" i="17"/>
  <c r="K56" i="17"/>
  <c r="P55" i="17"/>
  <c r="K55" i="17"/>
  <c r="P54" i="17"/>
  <c r="K54" i="17"/>
  <c r="P53" i="17"/>
  <c r="K53" i="17"/>
  <c r="T52" i="17"/>
  <c r="P52" i="17"/>
  <c r="K52" i="17"/>
  <c r="T51" i="17"/>
  <c r="P51" i="17"/>
  <c r="K51" i="17"/>
  <c r="P50" i="17"/>
  <c r="K50" i="17"/>
  <c r="P49" i="17"/>
  <c r="K49" i="17"/>
  <c r="T48" i="17"/>
  <c r="P48" i="17"/>
  <c r="K48" i="17"/>
  <c r="P47" i="17"/>
  <c r="K47" i="17"/>
  <c r="P46" i="17"/>
  <c r="K46" i="17"/>
  <c r="T45" i="17"/>
  <c r="P45" i="17"/>
  <c r="K45" i="17"/>
  <c r="T44" i="17"/>
  <c r="P44" i="17"/>
  <c r="K44" i="17"/>
  <c r="P43" i="17"/>
  <c r="K43" i="17"/>
  <c r="P42" i="17"/>
  <c r="K42" i="17"/>
  <c r="P41" i="17"/>
  <c r="K41" i="17"/>
  <c r="T40" i="17"/>
  <c r="P40" i="17"/>
  <c r="K40" i="17"/>
  <c r="P39" i="17"/>
  <c r="K39" i="17"/>
  <c r="P38" i="17"/>
  <c r="K38" i="17"/>
  <c r="P37" i="17"/>
  <c r="K37" i="17"/>
  <c r="P36" i="17"/>
  <c r="K36" i="17"/>
  <c r="P35" i="17"/>
  <c r="K35" i="17"/>
  <c r="P34" i="17"/>
  <c r="K34" i="17"/>
  <c r="P33" i="17"/>
  <c r="K33" i="17"/>
  <c r="P32" i="17"/>
  <c r="K32" i="17"/>
  <c r="P31" i="17"/>
  <c r="K31" i="17"/>
  <c r="P30" i="17"/>
  <c r="K30" i="17"/>
  <c r="P29" i="17"/>
  <c r="K29" i="17"/>
  <c r="P28" i="17"/>
  <c r="K28" i="17"/>
  <c r="P27" i="17"/>
  <c r="K27" i="17"/>
  <c r="P26" i="17"/>
  <c r="K26" i="17"/>
  <c r="P25" i="17"/>
  <c r="K25" i="17"/>
  <c r="P24" i="17"/>
  <c r="K24" i="17"/>
  <c r="T23" i="17"/>
  <c r="P23" i="17"/>
  <c r="K23" i="17"/>
  <c r="P22" i="17"/>
  <c r="K22" i="17"/>
  <c r="P21" i="17"/>
  <c r="K21" i="17"/>
  <c r="T20" i="17"/>
  <c r="P20" i="17"/>
  <c r="K20" i="17"/>
  <c r="P19" i="17"/>
  <c r="K19" i="17"/>
  <c r="P18" i="17"/>
  <c r="K18" i="17"/>
  <c r="P17" i="17"/>
  <c r="K17" i="17"/>
  <c r="T16" i="17"/>
  <c r="P16" i="17"/>
  <c r="K16" i="17"/>
  <c r="P15" i="17"/>
  <c r="K15" i="17"/>
  <c r="P14" i="17"/>
  <c r="K14" i="17"/>
  <c r="T13" i="17"/>
  <c r="P13" i="17"/>
  <c r="K13" i="17"/>
  <c r="P12" i="17"/>
  <c r="K12" i="17"/>
  <c r="P11" i="17"/>
  <c r="K11" i="17"/>
  <c r="P10" i="17"/>
  <c r="K10" i="17"/>
  <c r="P9" i="17"/>
  <c r="K9" i="17"/>
  <c r="O3" i="17" l="1"/>
  <c r="K675" i="17"/>
  <c r="T3" i="17"/>
  <c r="J3" i="17"/>
  <c r="I3" i="17"/>
  <c r="P3" i="17"/>
  <c r="K3" i="17"/>
  <c r="G3" i="17"/>
  <c r="P782" i="17"/>
  <c r="K782" i="17"/>
  <c r="K248" i="17"/>
  <c r="P248" i="17"/>
  <c r="P811" i="16" l="1"/>
  <c r="P803" i="16"/>
  <c r="K811" i="16"/>
  <c r="K803" i="16"/>
  <c r="P693" i="16"/>
  <c r="K693" i="16"/>
  <c r="P252" i="16"/>
  <c r="K252" i="16"/>
  <c r="P360" i="16"/>
  <c r="K360" i="16"/>
  <c r="P253" i="16"/>
  <c r="P221" i="16"/>
  <c r="K253" i="16"/>
  <c r="K221" i="16"/>
  <c r="P97" i="16"/>
  <c r="K97" i="16"/>
  <c r="F95" i="18" l="1"/>
  <c r="A29" i="12" l="1"/>
  <c r="E42" i="18" l="1"/>
  <c r="A31" i="12" l="1"/>
  <c r="F94" i="18" l="1"/>
  <c r="E94" i="18"/>
  <c r="P927" i="16" l="1"/>
  <c r="K927" i="16"/>
  <c r="P926" i="16"/>
  <c r="K926" i="16"/>
  <c r="P925" i="16"/>
  <c r="K925" i="16"/>
  <c r="P924" i="16"/>
  <c r="K924" i="16"/>
  <c r="P923" i="16"/>
  <c r="K923" i="16"/>
  <c r="P922" i="16"/>
  <c r="K922" i="16"/>
  <c r="P921" i="16"/>
  <c r="K921" i="16"/>
  <c r="P920" i="16"/>
  <c r="K920" i="16"/>
  <c r="P919" i="16"/>
  <c r="K919" i="16"/>
  <c r="P918" i="16"/>
  <c r="K918" i="16"/>
  <c r="P917" i="16"/>
  <c r="K917" i="16"/>
  <c r="P916" i="16"/>
  <c r="K916" i="16"/>
  <c r="P915" i="16"/>
  <c r="K915" i="16"/>
  <c r="P914" i="16"/>
  <c r="K914" i="16"/>
  <c r="P913" i="16"/>
  <c r="K913" i="16"/>
  <c r="P912" i="16"/>
  <c r="K912" i="16"/>
  <c r="P911" i="16"/>
  <c r="K911" i="16"/>
  <c r="P910" i="16"/>
  <c r="K910" i="16"/>
  <c r="P909" i="16"/>
  <c r="K909" i="16"/>
  <c r="P908" i="16"/>
  <c r="K908" i="16"/>
  <c r="P907" i="16"/>
  <c r="K907" i="16"/>
  <c r="P906" i="16"/>
  <c r="K906" i="16"/>
  <c r="P905" i="16"/>
  <c r="K905" i="16"/>
  <c r="P904" i="16"/>
  <c r="K904" i="16"/>
  <c r="P903" i="16"/>
  <c r="K903" i="16"/>
  <c r="P902" i="16"/>
  <c r="K902" i="16"/>
  <c r="P901" i="16"/>
  <c r="K901" i="16"/>
  <c r="P900" i="16"/>
  <c r="K900" i="16"/>
  <c r="P899" i="16"/>
  <c r="K899" i="16"/>
  <c r="P898" i="16"/>
  <c r="K898" i="16"/>
  <c r="P897" i="16"/>
  <c r="K897" i="16"/>
  <c r="P896" i="16"/>
  <c r="K896" i="16"/>
  <c r="P895" i="16"/>
  <c r="K895" i="16"/>
  <c r="P894" i="16"/>
  <c r="K894" i="16"/>
  <c r="P893" i="16"/>
  <c r="K893" i="16"/>
  <c r="P892" i="16"/>
  <c r="K892" i="16"/>
  <c r="P891" i="16"/>
  <c r="K891" i="16"/>
  <c r="P890" i="16"/>
  <c r="K890" i="16"/>
  <c r="P889" i="16"/>
  <c r="K889" i="16"/>
  <c r="P888" i="16"/>
  <c r="K888" i="16"/>
  <c r="P887" i="16"/>
  <c r="K887" i="16"/>
  <c r="P886" i="16"/>
  <c r="K886" i="16"/>
  <c r="P885" i="16"/>
  <c r="K885" i="16"/>
  <c r="P884" i="16"/>
  <c r="K884" i="16"/>
  <c r="P883" i="16"/>
  <c r="K883" i="16"/>
  <c r="P882" i="16"/>
  <c r="K882" i="16"/>
  <c r="P881" i="16"/>
  <c r="K881" i="16"/>
  <c r="P880" i="16"/>
  <c r="K880" i="16"/>
  <c r="P879" i="16"/>
  <c r="K879" i="16"/>
  <c r="P878" i="16"/>
  <c r="K878" i="16"/>
  <c r="P877" i="16"/>
  <c r="K877" i="16"/>
  <c r="P876" i="16"/>
  <c r="K876" i="16"/>
  <c r="P875" i="16"/>
  <c r="K875" i="16"/>
  <c r="P874" i="16"/>
  <c r="K874" i="16"/>
  <c r="P873" i="16"/>
  <c r="K873" i="16"/>
  <c r="P872" i="16"/>
  <c r="K872" i="16"/>
  <c r="P871" i="16"/>
  <c r="K871" i="16"/>
  <c r="P870" i="16"/>
  <c r="K870" i="16"/>
  <c r="P869" i="16"/>
  <c r="K869" i="16"/>
  <c r="P868" i="16"/>
  <c r="K868" i="16"/>
  <c r="P867" i="16"/>
  <c r="K867" i="16"/>
  <c r="P866" i="16"/>
  <c r="K866" i="16"/>
  <c r="P865" i="16"/>
  <c r="K865" i="16"/>
  <c r="P864" i="16"/>
  <c r="K864" i="16"/>
  <c r="P863" i="16"/>
  <c r="K863" i="16"/>
  <c r="P862" i="16"/>
  <c r="K862" i="16"/>
  <c r="P861" i="16"/>
  <c r="K861" i="16"/>
  <c r="P860" i="16"/>
  <c r="K860" i="16"/>
  <c r="P859" i="16"/>
  <c r="K859" i="16"/>
  <c r="P858" i="16"/>
  <c r="K858" i="16"/>
  <c r="P857" i="16"/>
  <c r="K857" i="16"/>
  <c r="P856" i="16"/>
  <c r="K856" i="16"/>
  <c r="P855" i="16"/>
  <c r="K855" i="16"/>
  <c r="P854" i="16"/>
  <c r="K854" i="16"/>
  <c r="P853" i="16"/>
  <c r="K853" i="16"/>
  <c r="P852" i="16"/>
  <c r="K852" i="16"/>
  <c r="P851" i="16"/>
  <c r="K851" i="16"/>
  <c r="P850" i="16"/>
  <c r="K850" i="16"/>
  <c r="P849" i="16"/>
  <c r="K849" i="16"/>
  <c r="P848" i="16"/>
  <c r="K848" i="16"/>
  <c r="P847" i="16"/>
  <c r="K847" i="16"/>
  <c r="P846" i="16"/>
  <c r="K846" i="16"/>
  <c r="P845" i="16"/>
  <c r="K845" i="16"/>
  <c r="P844" i="16"/>
  <c r="K844" i="16"/>
  <c r="P843" i="16"/>
  <c r="K843" i="16"/>
  <c r="P842" i="16"/>
  <c r="K842" i="16"/>
  <c r="P841" i="16"/>
  <c r="K841" i="16"/>
  <c r="P840" i="16"/>
  <c r="K840" i="16"/>
  <c r="P839" i="16"/>
  <c r="K839" i="16"/>
  <c r="P838" i="16"/>
  <c r="K838" i="16"/>
  <c r="P837" i="16"/>
  <c r="K837" i="16"/>
  <c r="P836" i="16"/>
  <c r="K836" i="16"/>
  <c r="P835" i="16"/>
  <c r="K835" i="16"/>
  <c r="P834" i="16"/>
  <c r="K834" i="16"/>
  <c r="P833" i="16"/>
  <c r="K833" i="16"/>
  <c r="P832" i="16"/>
  <c r="K832" i="16"/>
  <c r="P831" i="16"/>
  <c r="K831" i="16"/>
  <c r="P830" i="16"/>
  <c r="K830" i="16"/>
  <c r="P829" i="16"/>
  <c r="K829" i="16"/>
  <c r="P828" i="16"/>
  <c r="K828" i="16"/>
  <c r="P827" i="16"/>
  <c r="K827" i="16"/>
  <c r="P826" i="16"/>
  <c r="K826" i="16"/>
  <c r="P825" i="16"/>
  <c r="K825" i="16"/>
  <c r="P824" i="16"/>
  <c r="K824" i="16"/>
  <c r="P823" i="16"/>
  <c r="K823" i="16"/>
  <c r="P822" i="16"/>
  <c r="K822" i="16"/>
  <c r="P820" i="16"/>
  <c r="K820" i="16"/>
  <c r="P819" i="16"/>
  <c r="K819" i="16"/>
  <c r="P818" i="16"/>
  <c r="K818" i="16"/>
  <c r="P817" i="16"/>
  <c r="K817" i="16"/>
  <c r="P816" i="16"/>
  <c r="K816" i="16"/>
  <c r="P815" i="16"/>
  <c r="K815" i="16"/>
  <c r="P814" i="16"/>
  <c r="K814" i="16"/>
  <c r="P813" i="16"/>
  <c r="K813" i="16"/>
  <c r="P810" i="16"/>
  <c r="P812" i="16" s="1"/>
  <c r="K810" i="16"/>
  <c r="K812" i="16" s="1"/>
  <c r="P809" i="16"/>
  <c r="K809" i="16"/>
  <c r="P808" i="16"/>
  <c r="K808" i="16"/>
  <c r="P807" i="16"/>
  <c r="K807" i="16"/>
  <c r="P806" i="16"/>
  <c r="K806" i="16"/>
  <c r="P805" i="16"/>
  <c r="K805" i="16"/>
  <c r="P804" i="16"/>
  <c r="K804" i="16"/>
  <c r="P802" i="16"/>
  <c r="K802" i="16"/>
  <c r="P801" i="16"/>
  <c r="K801" i="16"/>
  <c r="P800" i="16"/>
  <c r="K800" i="16"/>
  <c r="P799" i="16"/>
  <c r="K799" i="16"/>
  <c r="P798" i="16"/>
  <c r="K798" i="16"/>
  <c r="P797" i="16"/>
  <c r="K797" i="16"/>
  <c r="F59" i="18"/>
  <c r="P793" i="16"/>
  <c r="K793" i="16"/>
  <c r="P792" i="16"/>
  <c r="K792" i="16"/>
  <c r="P791" i="16"/>
  <c r="K791" i="16"/>
  <c r="P790" i="16"/>
  <c r="K790" i="16"/>
  <c r="P789" i="16"/>
  <c r="K789" i="16"/>
  <c r="P788" i="16"/>
  <c r="K788" i="16"/>
  <c r="P787" i="16"/>
  <c r="K787" i="16"/>
  <c r="P786" i="16"/>
  <c r="K786" i="16"/>
  <c r="P785" i="16"/>
  <c r="K785" i="16"/>
  <c r="P784" i="16"/>
  <c r="K784" i="16"/>
  <c r="P783" i="16"/>
  <c r="K783" i="16"/>
  <c r="P782" i="16"/>
  <c r="K782" i="16"/>
  <c r="P781" i="16"/>
  <c r="K781" i="16"/>
  <c r="P780" i="16"/>
  <c r="K780" i="16"/>
  <c r="P779" i="16"/>
  <c r="K779" i="16"/>
  <c r="P778" i="16"/>
  <c r="K778" i="16"/>
  <c r="P777" i="16"/>
  <c r="K777" i="16"/>
  <c r="P776" i="16"/>
  <c r="K776" i="16"/>
  <c r="P775" i="16"/>
  <c r="K775" i="16"/>
  <c r="P774" i="16"/>
  <c r="K774" i="16"/>
  <c r="P773" i="16"/>
  <c r="K773" i="16"/>
  <c r="P772" i="16"/>
  <c r="K772" i="16"/>
  <c r="P771" i="16"/>
  <c r="K771" i="16"/>
  <c r="P770" i="16"/>
  <c r="K770" i="16"/>
  <c r="P769" i="16"/>
  <c r="K769" i="16"/>
  <c r="P768" i="16"/>
  <c r="K768" i="16"/>
  <c r="P767" i="16"/>
  <c r="K767" i="16"/>
  <c r="P766" i="16"/>
  <c r="K766" i="16"/>
  <c r="P765" i="16"/>
  <c r="K765" i="16"/>
  <c r="P764" i="16"/>
  <c r="K764" i="16"/>
  <c r="P763" i="16"/>
  <c r="K763" i="16"/>
  <c r="P762" i="16"/>
  <c r="K762" i="16"/>
  <c r="P761" i="16"/>
  <c r="K761" i="16"/>
  <c r="P760" i="16"/>
  <c r="K760" i="16"/>
  <c r="P759" i="16"/>
  <c r="K759" i="16"/>
  <c r="P758" i="16"/>
  <c r="K758" i="16"/>
  <c r="P757" i="16"/>
  <c r="K757" i="16"/>
  <c r="P756" i="16"/>
  <c r="K756" i="16"/>
  <c r="P755" i="16"/>
  <c r="K755" i="16"/>
  <c r="P754" i="16"/>
  <c r="K754" i="16"/>
  <c r="P753" i="16"/>
  <c r="K753" i="16"/>
  <c r="P752" i="16"/>
  <c r="K752" i="16"/>
  <c r="P751" i="16"/>
  <c r="K751" i="16"/>
  <c r="P750" i="16"/>
  <c r="K750" i="16"/>
  <c r="P749" i="16"/>
  <c r="K749" i="16"/>
  <c r="P748" i="16"/>
  <c r="K748" i="16"/>
  <c r="P747" i="16"/>
  <c r="K747" i="16"/>
  <c r="P746" i="16"/>
  <c r="K746" i="16"/>
  <c r="P745" i="16"/>
  <c r="K745" i="16"/>
  <c r="P744" i="16"/>
  <c r="K744" i="16"/>
  <c r="P743" i="16"/>
  <c r="K743" i="16"/>
  <c r="P742" i="16"/>
  <c r="K742" i="16"/>
  <c r="P741" i="16"/>
  <c r="K741" i="16"/>
  <c r="P740" i="16"/>
  <c r="K740" i="16"/>
  <c r="P739" i="16"/>
  <c r="K739" i="16"/>
  <c r="P738" i="16"/>
  <c r="K738" i="16"/>
  <c r="P737" i="16"/>
  <c r="K737" i="16"/>
  <c r="P736" i="16"/>
  <c r="K736" i="16"/>
  <c r="P735" i="16"/>
  <c r="K735" i="16"/>
  <c r="P734" i="16"/>
  <c r="K734" i="16"/>
  <c r="P733" i="16"/>
  <c r="K733" i="16"/>
  <c r="P732" i="16"/>
  <c r="K732" i="16"/>
  <c r="P731" i="16"/>
  <c r="K731" i="16"/>
  <c r="P730" i="16"/>
  <c r="K730" i="16"/>
  <c r="P729" i="16"/>
  <c r="K729" i="16"/>
  <c r="P728" i="16"/>
  <c r="K728" i="16"/>
  <c r="P727" i="16"/>
  <c r="K727" i="16"/>
  <c r="P726" i="16"/>
  <c r="K726" i="16"/>
  <c r="P725" i="16"/>
  <c r="K725" i="16"/>
  <c r="P724" i="16"/>
  <c r="K724" i="16"/>
  <c r="P723" i="16"/>
  <c r="K723" i="16"/>
  <c r="P722" i="16"/>
  <c r="K722" i="16"/>
  <c r="P721" i="16"/>
  <c r="K721" i="16"/>
  <c r="P720" i="16"/>
  <c r="K720" i="16"/>
  <c r="P719" i="16"/>
  <c r="K719" i="16"/>
  <c r="P718" i="16"/>
  <c r="K718" i="16"/>
  <c r="P717" i="16"/>
  <c r="K717" i="16"/>
  <c r="P716" i="16"/>
  <c r="K716" i="16"/>
  <c r="P715" i="16"/>
  <c r="K715" i="16"/>
  <c r="P714" i="16"/>
  <c r="K714" i="16"/>
  <c r="P713" i="16"/>
  <c r="K713" i="16"/>
  <c r="P712" i="16"/>
  <c r="K712" i="16"/>
  <c r="P711" i="16"/>
  <c r="K711" i="16"/>
  <c r="P710" i="16"/>
  <c r="K710" i="16"/>
  <c r="P709" i="16"/>
  <c r="K709" i="16"/>
  <c r="P708" i="16"/>
  <c r="K708" i="16"/>
  <c r="P707" i="16"/>
  <c r="K707" i="16"/>
  <c r="P706" i="16"/>
  <c r="K706" i="16"/>
  <c r="P705" i="16"/>
  <c r="K705" i="16"/>
  <c r="P704" i="16"/>
  <c r="K704" i="16"/>
  <c r="P703" i="16"/>
  <c r="K703" i="16"/>
  <c r="P702" i="16"/>
  <c r="K702" i="16"/>
  <c r="P701" i="16"/>
  <c r="K701" i="16"/>
  <c r="P700" i="16"/>
  <c r="K700" i="16"/>
  <c r="P699" i="16"/>
  <c r="K699" i="16"/>
  <c r="P698" i="16"/>
  <c r="K698" i="16"/>
  <c r="P697" i="16"/>
  <c r="K697" i="16"/>
  <c r="P696" i="16"/>
  <c r="K696" i="16"/>
  <c r="P695" i="16"/>
  <c r="K695" i="16"/>
  <c r="P694" i="16"/>
  <c r="K694" i="16"/>
  <c r="P692" i="16"/>
  <c r="K692" i="16"/>
  <c r="P691" i="16"/>
  <c r="K691" i="16"/>
  <c r="P690" i="16"/>
  <c r="K690" i="16"/>
  <c r="P689" i="16"/>
  <c r="K689" i="16"/>
  <c r="P688" i="16"/>
  <c r="K688" i="16"/>
  <c r="P687" i="16"/>
  <c r="K687" i="16"/>
  <c r="P685" i="16"/>
  <c r="K685" i="16"/>
  <c r="P684" i="16"/>
  <c r="K684" i="16"/>
  <c r="P683" i="16"/>
  <c r="K683" i="16"/>
  <c r="P682" i="16"/>
  <c r="K682" i="16"/>
  <c r="P681" i="16"/>
  <c r="K681" i="16"/>
  <c r="P680" i="16"/>
  <c r="K680"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P660" i="16"/>
  <c r="K660" i="16"/>
  <c r="P659" i="16"/>
  <c r="K659" i="16"/>
  <c r="P658" i="16"/>
  <c r="K658" i="16"/>
  <c r="P657" i="16"/>
  <c r="K657" i="16"/>
  <c r="P656" i="16"/>
  <c r="K656" i="16"/>
  <c r="P655" i="16"/>
  <c r="K655" i="16"/>
  <c r="P654" i="16"/>
  <c r="K654" i="16"/>
  <c r="P653" i="16"/>
  <c r="K653" i="16"/>
  <c r="P652" i="16"/>
  <c r="K652" i="16"/>
  <c r="P651" i="16"/>
  <c r="K651"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P636" i="16"/>
  <c r="K636" i="16"/>
  <c r="P635" i="16"/>
  <c r="K635" i="16"/>
  <c r="P634" i="16"/>
  <c r="K634" i="16"/>
  <c r="P633" i="16"/>
  <c r="K633" i="16"/>
  <c r="P632" i="16"/>
  <c r="K632"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P615" i="16"/>
  <c r="K615" i="16"/>
  <c r="P614" i="16"/>
  <c r="K614" i="16"/>
  <c r="P612" i="16"/>
  <c r="K612" i="16"/>
  <c r="P611" i="16"/>
  <c r="K611" i="16"/>
  <c r="P610" i="16"/>
  <c r="K610" i="16"/>
  <c r="P609" i="16"/>
  <c r="K609" i="16"/>
  <c r="P608" i="16"/>
  <c r="K608" i="16"/>
  <c r="P607" i="16"/>
  <c r="K607" i="16"/>
  <c r="P606" i="16"/>
  <c r="K606" i="16"/>
  <c r="P605" i="16"/>
  <c r="K605" i="16"/>
  <c r="P604" i="16"/>
  <c r="K604" i="16"/>
  <c r="P603" i="16"/>
  <c r="K603" i="16"/>
  <c r="P602" i="16"/>
  <c r="K602" i="16"/>
  <c r="P601" i="16"/>
  <c r="K601" i="16"/>
  <c r="P600" i="16"/>
  <c r="K600" i="16"/>
  <c r="P599" i="16"/>
  <c r="K599" i="16"/>
  <c r="P598" i="16"/>
  <c r="K598" i="16"/>
  <c r="P597" i="16"/>
  <c r="K597" i="16"/>
  <c r="P596" i="16"/>
  <c r="K596" i="16"/>
  <c r="P595" i="16"/>
  <c r="K595" i="16"/>
  <c r="P594" i="16"/>
  <c r="K594" i="16"/>
  <c r="P593" i="16"/>
  <c r="K593"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P566" i="16"/>
  <c r="K566" i="16"/>
  <c r="P565" i="16"/>
  <c r="K565" i="16"/>
  <c r="P564" i="16"/>
  <c r="K564" i="16"/>
  <c r="P563" i="16"/>
  <c r="K563"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P543" i="16"/>
  <c r="K543" i="16"/>
  <c r="P542" i="16"/>
  <c r="K542" i="16"/>
  <c r="P541" i="16"/>
  <c r="K541" i="16"/>
  <c r="P540" i="16"/>
  <c r="K540" i="16"/>
  <c r="P539" i="16"/>
  <c r="K539" i="16"/>
  <c r="P538" i="16"/>
  <c r="K538" i="16"/>
  <c r="P537" i="16"/>
  <c r="K537" i="16"/>
  <c r="P536" i="16"/>
  <c r="K536" i="16"/>
  <c r="P535" i="16"/>
  <c r="K535" i="16"/>
  <c r="P534" i="16"/>
  <c r="K534" i="16"/>
  <c r="P533" i="16"/>
  <c r="K533" i="16"/>
  <c r="P532" i="16"/>
  <c r="K532" i="16"/>
  <c r="P531" i="16"/>
  <c r="K531" i="16"/>
  <c r="P530" i="16"/>
  <c r="K530" i="16"/>
  <c r="P529" i="16"/>
  <c r="K529" i="16"/>
  <c r="P528" i="16"/>
  <c r="K528" i="16"/>
  <c r="P527" i="16"/>
  <c r="K527" i="16"/>
  <c r="P526" i="16"/>
  <c r="K526" i="16"/>
  <c r="P525" i="16"/>
  <c r="K525" i="16"/>
  <c r="P524" i="16"/>
  <c r="K524" i="16"/>
  <c r="P523" i="16"/>
  <c r="K523" i="16"/>
  <c r="P522" i="16"/>
  <c r="K522" i="16"/>
  <c r="P521" i="16"/>
  <c r="K521" i="16"/>
  <c r="P520" i="16"/>
  <c r="K520" i="16"/>
  <c r="P519" i="16"/>
  <c r="K519" i="16"/>
  <c r="P518" i="16"/>
  <c r="K518" i="16"/>
  <c r="P517" i="16"/>
  <c r="K517" i="16"/>
  <c r="P516" i="16"/>
  <c r="K516" i="16"/>
  <c r="P515" i="16"/>
  <c r="K515" i="16"/>
  <c r="P514" i="16"/>
  <c r="K514" i="16"/>
  <c r="P513" i="16"/>
  <c r="K513" i="16"/>
  <c r="P512" i="16"/>
  <c r="K512" i="16"/>
  <c r="P511" i="16"/>
  <c r="K511" i="16"/>
  <c r="P510" i="16"/>
  <c r="K510" i="16"/>
  <c r="P509" i="16"/>
  <c r="K509" i="16"/>
  <c r="P508" i="16"/>
  <c r="K508" i="16"/>
  <c r="P507" i="16"/>
  <c r="K507" i="16"/>
  <c r="P506" i="16"/>
  <c r="K506" i="16"/>
  <c r="P505" i="16"/>
  <c r="K505" i="16"/>
  <c r="P504" i="16"/>
  <c r="K504" i="16"/>
  <c r="P503" i="16"/>
  <c r="K503" i="16"/>
  <c r="P502" i="16"/>
  <c r="K502" i="16"/>
  <c r="P501" i="16"/>
  <c r="K501"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2" i="16"/>
  <c r="K482" i="16"/>
  <c r="P480" i="16"/>
  <c r="K480" i="16"/>
  <c r="P478" i="16"/>
  <c r="K478" i="16"/>
  <c r="P477" i="16"/>
  <c r="K477"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P372" i="16"/>
  <c r="K372" i="16"/>
  <c r="P371" i="16"/>
  <c r="K371" i="16"/>
  <c r="P370" i="16"/>
  <c r="K370" i="16"/>
  <c r="P369" i="16"/>
  <c r="K369" i="16"/>
  <c r="P368" i="16"/>
  <c r="K368" i="16"/>
  <c r="P367" i="16"/>
  <c r="K367" i="16"/>
  <c r="P366" i="16"/>
  <c r="K366" i="16"/>
  <c r="P365" i="16"/>
  <c r="K365" i="16"/>
  <c r="P364" i="16"/>
  <c r="K364" i="16"/>
  <c r="P363" i="16"/>
  <c r="K363" i="16"/>
  <c r="P362" i="16"/>
  <c r="K362" i="16"/>
  <c r="P361" i="16"/>
  <c r="K361" i="16"/>
  <c r="P359" i="16"/>
  <c r="K359" i="16"/>
  <c r="P358" i="16"/>
  <c r="K358" i="16"/>
  <c r="P357" i="16"/>
  <c r="K357" i="16"/>
  <c r="P356" i="16"/>
  <c r="K356" i="16"/>
  <c r="P355" i="16"/>
  <c r="K355" i="16"/>
  <c r="P354" i="16"/>
  <c r="K354" i="16"/>
  <c r="P353" i="16"/>
  <c r="K353" i="16"/>
  <c r="P352" i="16"/>
  <c r="K352" i="16"/>
  <c r="P351" i="16"/>
  <c r="K351" i="16"/>
  <c r="P350" i="16"/>
  <c r="K350" i="16"/>
  <c r="P349" i="16"/>
  <c r="K349" i="16"/>
  <c r="P348" i="16"/>
  <c r="K348" i="16"/>
  <c r="P347" i="16"/>
  <c r="K347" i="16"/>
  <c r="P346" i="16"/>
  <c r="K346" i="16"/>
  <c r="P345" i="16"/>
  <c r="K345" i="16"/>
  <c r="P344" i="16"/>
  <c r="K344" i="16"/>
  <c r="P343" i="16"/>
  <c r="K343" i="16"/>
  <c r="P342" i="16"/>
  <c r="K342" i="16"/>
  <c r="P341" i="16"/>
  <c r="K341" i="16"/>
  <c r="P340" i="16"/>
  <c r="K340" i="16"/>
  <c r="P339" i="16"/>
  <c r="K339" i="16"/>
  <c r="P338" i="16"/>
  <c r="K338" i="16"/>
  <c r="P337" i="16"/>
  <c r="K337" i="16"/>
  <c r="P336" i="16"/>
  <c r="K336" i="16"/>
  <c r="P335" i="16"/>
  <c r="K335" i="16"/>
  <c r="P334" i="16"/>
  <c r="K334" i="16"/>
  <c r="P333" i="16"/>
  <c r="K333" i="16"/>
  <c r="P332" i="16"/>
  <c r="K332" i="16"/>
  <c r="P331" i="16"/>
  <c r="K331" i="16"/>
  <c r="P330" i="16"/>
  <c r="K330" i="16"/>
  <c r="P329" i="16"/>
  <c r="K329" i="16"/>
  <c r="P328" i="16"/>
  <c r="K328" i="16"/>
  <c r="P327" i="16"/>
  <c r="K327" i="16"/>
  <c r="P326" i="16"/>
  <c r="K326" i="16"/>
  <c r="P325" i="16"/>
  <c r="K325" i="16"/>
  <c r="P324" i="16"/>
  <c r="K324" i="16"/>
  <c r="P323" i="16"/>
  <c r="K323" i="16"/>
  <c r="P322" i="16"/>
  <c r="K322" i="16"/>
  <c r="P321" i="16"/>
  <c r="K321" i="16"/>
  <c r="P320" i="16"/>
  <c r="K320" i="16"/>
  <c r="P319" i="16"/>
  <c r="K319" i="16"/>
  <c r="P318" i="16"/>
  <c r="K318" i="16"/>
  <c r="P317" i="16"/>
  <c r="K317" i="16"/>
  <c r="P316" i="16"/>
  <c r="K316" i="16"/>
  <c r="P315" i="16"/>
  <c r="K315" i="16"/>
  <c r="P314" i="16"/>
  <c r="K314" i="16"/>
  <c r="P313" i="16"/>
  <c r="K313" i="16"/>
  <c r="P312" i="16"/>
  <c r="K312" i="16"/>
  <c r="P311" i="16"/>
  <c r="K311" i="16"/>
  <c r="P310" i="16"/>
  <c r="K310" i="16"/>
  <c r="P309" i="16"/>
  <c r="K309" i="16"/>
  <c r="P308" i="16"/>
  <c r="K308" i="16"/>
  <c r="P307" i="16"/>
  <c r="K307" i="16"/>
  <c r="P306" i="16"/>
  <c r="K306" i="16"/>
  <c r="P305" i="16"/>
  <c r="K305" i="16"/>
  <c r="P304" i="16"/>
  <c r="K304" i="16"/>
  <c r="P303" i="16"/>
  <c r="K303" i="16"/>
  <c r="P302" i="16"/>
  <c r="K302" i="16"/>
  <c r="P301" i="16"/>
  <c r="K301" i="16"/>
  <c r="P300" i="16"/>
  <c r="K300" i="16"/>
  <c r="P299" i="16"/>
  <c r="K299" i="16"/>
  <c r="P298" i="16"/>
  <c r="K298" i="16"/>
  <c r="P297" i="16"/>
  <c r="K297"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P283" i="16"/>
  <c r="K283" i="16"/>
  <c r="P282" i="16"/>
  <c r="K282" i="16"/>
  <c r="P281" i="16"/>
  <c r="K281" i="16"/>
  <c r="P280" i="16"/>
  <c r="K280" i="16"/>
  <c r="P279" i="16"/>
  <c r="K279" i="16"/>
  <c r="P278" i="16"/>
  <c r="K278" i="16"/>
  <c r="P277" i="16"/>
  <c r="K277" i="16"/>
  <c r="P276" i="16"/>
  <c r="K276" i="16"/>
  <c r="P275" i="16"/>
  <c r="K275" i="16"/>
  <c r="P274" i="16"/>
  <c r="K274" i="16"/>
  <c r="P273" i="16"/>
  <c r="K273" i="16"/>
  <c r="P272" i="16"/>
  <c r="K272" i="16"/>
  <c r="P271" i="16"/>
  <c r="K271" i="16"/>
  <c r="P270" i="16"/>
  <c r="K270" i="16"/>
  <c r="P269" i="16"/>
  <c r="K269" i="16"/>
  <c r="P268" i="16"/>
  <c r="K268" i="16"/>
  <c r="P267" i="16"/>
  <c r="K267" i="16"/>
  <c r="P266" i="16"/>
  <c r="K266" i="16"/>
  <c r="P265" i="16"/>
  <c r="K265" i="16"/>
  <c r="P264" i="16"/>
  <c r="K264" i="16"/>
  <c r="P263" i="16"/>
  <c r="K263" i="16"/>
  <c r="P262" i="16"/>
  <c r="K262" i="16"/>
  <c r="P261" i="16"/>
  <c r="K261" i="16"/>
  <c r="P260" i="16"/>
  <c r="K260" i="16"/>
  <c r="P259" i="16"/>
  <c r="K259" i="16"/>
  <c r="P258" i="16"/>
  <c r="K258" i="16"/>
  <c r="P257" i="16"/>
  <c r="K257" i="16"/>
  <c r="P256" i="16"/>
  <c r="K256" i="16"/>
  <c r="P251" i="16"/>
  <c r="K251" i="16"/>
  <c r="P249" i="16"/>
  <c r="K249" i="16"/>
  <c r="P248" i="16"/>
  <c r="K248" i="16"/>
  <c r="P247" i="16"/>
  <c r="K247" i="16"/>
  <c r="P246" i="16"/>
  <c r="K246" i="16"/>
  <c r="P245" i="16"/>
  <c r="K245" i="16"/>
  <c r="P244" i="16"/>
  <c r="K244" i="16"/>
  <c r="P243" i="16"/>
  <c r="K243" i="16"/>
  <c r="P242" i="16"/>
  <c r="K242" i="16"/>
  <c r="P241" i="16"/>
  <c r="K241" i="16"/>
  <c r="P240" i="16"/>
  <c r="K240" i="16"/>
  <c r="P239" i="16"/>
  <c r="K239" i="16"/>
  <c r="P238" i="16"/>
  <c r="K238" i="16"/>
  <c r="P237" i="16"/>
  <c r="K237" i="16"/>
  <c r="P236" i="16"/>
  <c r="K236" i="16"/>
  <c r="P235" i="16"/>
  <c r="K235" i="16"/>
  <c r="P234" i="16"/>
  <c r="K234" i="16"/>
  <c r="P233" i="16"/>
  <c r="K233" i="16"/>
  <c r="P232" i="16"/>
  <c r="K232" i="16"/>
  <c r="P231" i="16"/>
  <c r="K231" i="16"/>
  <c r="P230" i="16"/>
  <c r="K230" i="16"/>
  <c r="P229" i="16"/>
  <c r="K229" i="16"/>
  <c r="P228" i="16"/>
  <c r="K228" i="16"/>
  <c r="P227" i="16"/>
  <c r="K227" i="16"/>
  <c r="P226" i="16"/>
  <c r="K226" i="16"/>
  <c r="P225" i="16"/>
  <c r="K225" i="16"/>
  <c r="P224" i="16"/>
  <c r="K224" i="16"/>
  <c r="P223" i="16"/>
  <c r="K223" i="16"/>
  <c r="P222" i="16"/>
  <c r="K222" i="16"/>
  <c r="P220" i="16"/>
  <c r="K220" i="16"/>
  <c r="P219" i="16"/>
  <c r="K219" i="16"/>
  <c r="P218" i="16"/>
  <c r="K218" i="16"/>
  <c r="P217" i="16"/>
  <c r="K217" i="16"/>
  <c r="P216" i="16"/>
  <c r="K216" i="16"/>
  <c r="P215" i="16"/>
  <c r="K215" i="16"/>
  <c r="P214" i="16"/>
  <c r="K214" i="16"/>
  <c r="P213" i="16"/>
  <c r="K213" i="16"/>
  <c r="P212" i="16"/>
  <c r="K212" i="16"/>
  <c r="P211" i="16"/>
  <c r="K211" i="16"/>
  <c r="P210" i="16"/>
  <c r="K210" i="16"/>
  <c r="P209" i="16"/>
  <c r="K209" i="16"/>
  <c r="P208" i="16"/>
  <c r="K208" i="16"/>
  <c r="P207" i="16"/>
  <c r="K207" i="16"/>
  <c r="P206" i="16"/>
  <c r="K206" i="16"/>
  <c r="P205" i="16"/>
  <c r="K205" i="16"/>
  <c r="P204" i="16"/>
  <c r="K204" i="16"/>
  <c r="P203" i="16"/>
  <c r="K203" i="16"/>
  <c r="P202" i="16"/>
  <c r="K202" i="16"/>
  <c r="P201" i="16"/>
  <c r="K201" i="16"/>
  <c r="P200" i="16"/>
  <c r="K200" i="16"/>
  <c r="P199" i="16"/>
  <c r="K199" i="16"/>
  <c r="P198" i="16"/>
  <c r="K198" i="16"/>
  <c r="P197" i="16"/>
  <c r="K197" i="16"/>
  <c r="P196" i="16"/>
  <c r="K196" i="16"/>
  <c r="P195" i="16"/>
  <c r="K195" i="16"/>
  <c r="P194" i="16"/>
  <c r="K194" i="16"/>
  <c r="P193" i="16"/>
  <c r="K193" i="16"/>
  <c r="P192" i="16"/>
  <c r="K192" i="16"/>
  <c r="P191" i="16"/>
  <c r="K191" i="16"/>
  <c r="P190" i="16"/>
  <c r="K190" i="16"/>
  <c r="P189" i="16"/>
  <c r="K189" i="16"/>
  <c r="P188" i="16"/>
  <c r="K188" i="16"/>
  <c r="P187" i="16"/>
  <c r="K187" i="16"/>
  <c r="P186" i="16"/>
  <c r="K186" i="16"/>
  <c r="P185" i="16"/>
  <c r="K185" i="16"/>
  <c r="P184" i="16"/>
  <c r="K184" i="16"/>
  <c r="P183" i="16"/>
  <c r="K183" i="16"/>
  <c r="P182" i="16"/>
  <c r="K182" i="16"/>
  <c r="P181" i="16"/>
  <c r="K181" i="16"/>
  <c r="P180" i="16"/>
  <c r="K180" i="16"/>
  <c r="P179" i="16"/>
  <c r="K179" i="16"/>
  <c r="P178" i="16"/>
  <c r="K178" i="16"/>
  <c r="P177" i="16"/>
  <c r="K177" i="16"/>
  <c r="P176" i="16"/>
  <c r="K176" i="16"/>
  <c r="P175" i="16"/>
  <c r="K175" i="16"/>
  <c r="P174" i="16"/>
  <c r="K174" i="16"/>
  <c r="P173" i="16"/>
  <c r="K173" i="16"/>
  <c r="P172" i="16"/>
  <c r="K172" i="16"/>
  <c r="P171" i="16"/>
  <c r="K171" i="16"/>
  <c r="P170" i="16"/>
  <c r="K170" i="16"/>
  <c r="P169" i="16"/>
  <c r="K169" i="16"/>
  <c r="P168" i="16"/>
  <c r="K168" i="16"/>
  <c r="P167" i="16"/>
  <c r="K167" i="16"/>
  <c r="P166" i="16"/>
  <c r="K166" i="16"/>
  <c r="P165" i="16"/>
  <c r="K165" i="16"/>
  <c r="P164" i="16"/>
  <c r="K164" i="16"/>
  <c r="P163" i="16"/>
  <c r="K163" i="16"/>
  <c r="P162" i="16"/>
  <c r="K162" i="16"/>
  <c r="P161" i="16"/>
  <c r="K161" i="16"/>
  <c r="P160" i="16"/>
  <c r="K160" i="16"/>
  <c r="P159" i="16"/>
  <c r="K159" i="16"/>
  <c r="P158" i="16"/>
  <c r="K158" i="16"/>
  <c r="P157" i="16"/>
  <c r="K157" i="16"/>
  <c r="P156" i="16"/>
  <c r="K156" i="16"/>
  <c r="P155" i="16"/>
  <c r="K155" i="16"/>
  <c r="P154" i="16"/>
  <c r="K154" i="16"/>
  <c r="P153" i="16"/>
  <c r="K153" i="16"/>
  <c r="P152" i="16"/>
  <c r="K152" i="16"/>
  <c r="P151" i="16"/>
  <c r="K151" i="16"/>
  <c r="P150" i="16"/>
  <c r="K150" i="16"/>
  <c r="P149" i="16"/>
  <c r="K149" i="16"/>
  <c r="P148" i="16"/>
  <c r="K148" i="16"/>
  <c r="P147" i="16"/>
  <c r="K147" i="16"/>
  <c r="P146" i="16"/>
  <c r="K146" i="16"/>
  <c r="P145" i="16"/>
  <c r="K145" i="16"/>
  <c r="P144" i="16"/>
  <c r="K144" i="16"/>
  <c r="P143" i="16"/>
  <c r="K143" i="16"/>
  <c r="P142" i="16"/>
  <c r="K142" i="16"/>
  <c r="P141" i="16"/>
  <c r="K141" i="16"/>
  <c r="P140" i="16"/>
  <c r="K140" i="16"/>
  <c r="P139" i="16"/>
  <c r="K139" i="16"/>
  <c r="P138" i="16"/>
  <c r="K138" i="16"/>
  <c r="P137" i="16"/>
  <c r="K137" i="16"/>
  <c r="P136" i="16"/>
  <c r="K136" i="16"/>
  <c r="P135" i="16"/>
  <c r="K135" i="16"/>
  <c r="P134" i="16"/>
  <c r="K134" i="16"/>
  <c r="P133" i="16"/>
  <c r="K133" i="16"/>
  <c r="P132" i="16"/>
  <c r="K132" i="16"/>
  <c r="P131" i="16"/>
  <c r="K131" i="16"/>
  <c r="P130" i="16"/>
  <c r="K130" i="16"/>
  <c r="P129" i="16"/>
  <c r="K129" i="16"/>
  <c r="P128" i="16"/>
  <c r="K128" i="16"/>
  <c r="P127" i="16"/>
  <c r="K127" i="16"/>
  <c r="P126" i="16"/>
  <c r="K126" i="16"/>
  <c r="P125" i="16"/>
  <c r="K125" i="16"/>
  <c r="P124" i="16"/>
  <c r="K124" i="16"/>
  <c r="P123" i="16"/>
  <c r="K123" i="16"/>
  <c r="P122" i="16"/>
  <c r="K122" i="16"/>
  <c r="P121" i="16"/>
  <c r="K121" i="16"/>
  <c r="P120" i="16"/>
  <c r="K120" i="16"/>
  <c r="P119" i="16"/>
  <c r="K119" i="16"/>
  <c r="P118" i="16"/>
  <c r="K118" i="16"/>
  <c r="P117" i="16"/>
  <c r="K117" i="16"/>
  <c r="P116" i="16"/>
  <c r="K116" i="16"/>
  <c r="P115" i="16"/>
  <c r="K115" i="16"/>
  <c r="P114" i="16"/>
  <c r="K114" i="16"/>
  <c r="P113" i="16"/>
  <c r="K113" i="16"/>
  <c r="P112" i="16"/>
  <c r="K112" i="16"/>
  <c r="P111" i="16"/>
  <c r="K111" i="16"/>
  <c r="P110" i="16"/>
  <c r="K110" i="16"/>
  <c r="P109" i="16"/>
  <c r="K109" i="16"/>
  <c r="P108" i="16"/>
  <c r="K108" i="16"/>
  <c r="P107" i="16"/>
  <c r="K107" i="16"/>
  <c r="P106" i="16"/>
  <c r="K106" i="16"/>
  <c r="P105" i="16"/>
  <c r="K105" i="16"/>
  <c r="P104" i="16"/>
  <c r="K104" i="16"/>
  <c r="P103" i="16"/>
  <c r="K103" i="16"/>
  <c r="P102" i="16"/>
  <c r="K102" i="16"/>
  <c r="P101" i="16"/>
  <c r="K101" i="16"/>
  <c r="P100" i="16"/>
  <c r="K100" i="16"/>
  <c r="P99" i="16"/>
  <c r="K99" i="16"/>
  <c r="P98" i="16"/>
  <c r="K98" i="16"/>
  <c r="P96" i="16"/>
  <c r="K96" i="16"/>
  <c r="P95" i="16"/>
  <c r="K95" i="16"/>
  <c r="P94" i="16"/>
  <c r="K94" i="16"/>
  <c r="P93" i="16"/>
  <c r="K93" i="16"/>
  <c r="P92" i="16"/>
  <c r="K92" i="16"/>
  <c r="P91" i="16"/>
  <c r="K91" i="16"/>
  <c r="P90" i="16"/>
  <c r="K90" i="16"/>
  <c r="P89" i="16"/>
  <c r="K89" i="16"/>
  <c r="P88" i="16"/>
  <c r="K88" i="16"/>
  <c r="P87" i="16"/>
  <c r="K87" i="16"/>
  <c r="P86" i="16"/>
  <c r="K86" i="16"/>
  <c r="P85" i="16"/>
  <c r="K85" i="16"/>
  <c r="P84" i="16"/>
  <c r="K84" i="16"/>
  <c r="P83" i="16"/>
  <c r="K83" i="16"/>
  <c r="P82" i="16"/>
  <c r="K82" i="16"/>
  <c r="P81" i="16"/>
  <c r="K81" i="16"/>
  <c r="P80" i="16"/>
  <c r="K80" i="16"/>
  <c r="P79" i="16"/>
  <c r="K79" i="16"/>
  <c r="P78" i="16"/>
  <c r="K78" i="16"/>
  <c r="P77" i="16"/>
  <c r="K77" i="16"/>
  <c r="P76" i="16"/>
  <c r="K76" i="16"/>
  <c r="P75" i="16"/>
  <c r="K75" i="16"/>
  <c r="P74" i="16"/>
  <c r="K74" i="16"/>
  <c r="P73" i="16"/>
  <c r="K73" i="16"/>
  <c r="P72" i="16"/>
  <c r="K72" i="16"/>
  <c r="P71" i="16"/>
  <c r="K71" i="16"/>
  <c r="P70" i="16"/>
  <c r="K70" i="16"/>
  <c r="P69" i="16"/>
  <c r="K69" i="16"/>
  <c r="P68" i="16"/>
  <c r="K68" i="16"/>
  <c r="P67" i="16"/>
  <c r="K67" i="16"/>
  <c r="P66" i="16"/>
  <c r="K66" i="16"/>
  <c r="P65" i="16"/>
  <c r="K65" i="16"/>
  <c r="P64" i="16"/>
  <c r="K64" i="16"/>
  <c r="P63" i="16"/>
  <c r="K63" i="16"/>
  <c r="P62" i="16"/>
  <c r="K62" i="16"/>
  <c r="P61" i="16"/>
  <c r="K61" i="16"/>
  <c r="P60" i="16"/>
  <c r="K60" i="16"/>
  <c r="P59" i="16"/>
  <c r="K59" i="16"/>
  <c r="P58" i="16"/>
  <c r="K58" i="16"/>
  <c r="P57" i="16"/>
  <c r="K57" i="16"/>
  <c r="P56" i="16"/>
  <c r="K56" i="16"/>
  <c r="P55" i="16"/>
  <c r="K55" i="16"/>
  <c r="P54" i="16"/>
  <c r="K54" i="16"/>
  <c r="P53" i="16"/>
  <c r="K53" i="16"/>
  <c r="P52" i="16"/>
  <c r="K52" i="16"/>
  <c r="P51" i="16"/>
  <c r="K51" i="16"/>
  <c r="P50" i="16"/>
  <c r="K50" i="16"/>
  <c r="P49" i="16"/>
  <c r="K49" i="16"/>
  <c r="P48" i="16"/>
  <c r="K48" i="16"/>
  <c r="P47" i="16"/>
  <c r="K47" i="16"/>
  <c r="P46" i="16"/>
  <c r="K46" i="16"/>
  <c r="P45" i="16"/>
  <c r="K45" i="16"/>
  <c r="P44" i="16"/>
  <c r="K44" i="16"/>
  <c r="P43" i="16"/>
  <c r="K43" i="16"/>
  <c r="P42" i="16"/>
  <c r="K42" i="16"/>
  <c r="P41" i="16"/>
  <c r="K41" i="16"/>
  <c r="P40" i="16"/>
  <c r="K40" i="16"/>
  <c r="P39" i="16"/>
  <c r="K39"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P21" i="16"/>
  <c r="K21" i="16"/>
  <c r="P20" i="16"/>
  <c r="K20" i="16"/>
  <c r="P19" i="16"/>
  <c r="K19" i="16"/>
  <c r="P18" i="16"/>
  <c r="K18" i="16"/>
  <c r="P17" i="16"/>
  <c r="K17" i="16"/>
  <c r="P16" i="16"/>
  <c r="K16" i="16"/>
  <c r="P15" i="16"/>
  <c r="K15" i="16"/>
  <c r="P14" i="16"/>
  <c r="K14" i="16"/>
  <c r="P13" i="16"/>
  <c r="K13" i="16"/>
  <c r="P12" i="16"/>
  <c r="K12" i="16"/>
  <c r="P11" i="16"/>
  <c r="K11" i="16"/>
  <c r="P9" i="16"/>
  <c r="K9" i="16"/>
  <c r="K686" i="16" l="1"/>
  <c r="P686" i="16"/>
  <c r="P794" i="16"/>
  <c r="P796" i="16" s="1"/>
  <c r="P254" i="16"/>
  <c r="P255" i="16" s="1"/>
  <c r="K254" i="16"/>
  <c r="K255" i="16" s="1"/>
  <c r="K794" i="16"/>
  <c r="K796" i="16" s="1"/>
  <c r="P3" i="16" l="1"/>
  <c r="K3" i="16"/>
  <c r="C3" i="18" l="1"/>
  <c r="A15" i="18" l="1"/>
  <c r="A24" i="18"/>
  <c r="C2" i="18"/>
  <c r="R24" i="18" l="1"/>
  <c r="M24" i="18"/>
  <c r="H24" i="18"/>
  <c r="V24" i="18"/>
  <c r="Q24" i="18"/>
  <c r="Q26" i="18" s="1"/>
  <c r="L24" i="18"/>
  <c r="G24" i="18"/>
  <c r="F24" i="18"/>
  <c r="U24" i="18"/>
  <c r="P24" i="18"/>
  <c r="K24" i="18"/>
  <c r="D24" i="18"/>
  <c r="C24" i="18"/>
  <c r="T24" i="18"/>
  <c r="O24" i="18"/>
  <c r="J24" i="18"/>
  <c r="V15" i="18"/>
  <c r="Q15" i="18"/>
  <c r="Q17" i="18" s="1"/>
  <c r="L15" i="18"/>
  <c r="G15" i="18"/>
  <c r="D15" i="18"/>
  <c r="U15" i="18"/>
  <c r="P15" i="18"/>
  <c r="P17" i="18" s="1"/>
  <c r="K15" i="18"/>
  <c r="C15" i="18"/>
  <c r="C17" i="18" s="1"/>
  <c r="T15" i="18"/>
  <c r="O15" i="18"/>
  <c r="J15" i="18"/>
  <c r="R15" i="18"/>
  <c r="M15" i="18"/>
  <c r="H15" i="18"/>
  <c r="F15" i="18"/>
  <c r="C26" i="18"/>
  <c r="B24" i="18"/>
  <c r="D52" i="18"/>
  <c r="D51" i="18"/>
  <c r="B15" i="18"/>
  <c r="D54" i="18"/>
  <c r="D53" i="18"/>
  <c r="D50" i="18"/>
  <c r="O26" i="18"/>
  <c r="F91" i="18" l="1"/>
  <c r="P26" i="18"/>
  <c r="D26" i="18"/>
  <c r="J17" i="18"/>
  <c r="E38" i="18" s="1"/>
  <c r="D17" i="18"/>
  <c r="R26" i="18"/>
  <c r="M26" i="18"/>
  <c r="K26" i="18"/>
  <c r="H26" i="18"/>
  <c r="G26" i="18"/>
  <c r="L26" i="18"/>
  <c r="F26" i="18"/>
  <c r="V26" i="18"/>
  <c r="J26" i="18"/>
  <c r="T26" i="18"/>
  <c r="U26" i="18"/>
  <c r="R17" i="18"/>
  <c r="G17" i="18"/>
  <c r="O17" i="18"/>
  <c r="F38" i="18" s="1"/>
  <c r="L17" i="18"/>
  <c r="V17" i="18"/>
  <c r="F96" i="18" s="1"/>
  <c r="U17" i="18"/>
  <c r="T17" i="18"/>
  <c r="M17" i="18"/>
  <c r="E41" i="18" s="1"/>
  <c r="E24" i="18"/>
  <c r="E15" i="18"/>
  <c r="E92" i="18" l="1"/>
  <c r="F92" i="18"/>
  <c r="F89" i="18"/>
  <c r="E13" i="18"/>
  <c r="E17" i="18" s="1"/>
  <c r="E86" i="18"/>
  <c r="H17" i="18"/>
  <c r="F99" i="18" s="1"/>
  <c r="F90" i="18"/>
  <c r="E93" i="18"/>
  <c r="E96" i="18"/>
  <c r="E87" i="18"/>
  <c r="F86" i="18"/>
  <c r="F39" i="18"/>
  <c r="E91" i="18"/>
  <c r="F93" i="18"/>
  <c r="E89" i="18"/>
  <c r="F87" i="18"/>
  <c r="E90" i="18"/>
  <c r="D56" i="18"/>
  <c r="F41" i="18"/>
  <c r="E39" i="18"/>
  <c r="E22" i="18"/>
  <c r="E26" i="18" s="1"/>
  <c r="K17" i="18"/>
  <c r="G61" i="18"/>
  <c r="F17" i="18"/>
  <c r="E88" i="18" l="1"/>
  <c r="E40" i="18"/>
  <c r="F40" i="18" s="1"/>
  <c r="F88" i="18"/>
  <c r="C31" i="18"/>
  <c r="E99" i="18"/>
  <c r="F61" i="18"/>
  <c r="E97" i="18"/>
  <c r="F97" i="18"/>
  <c r="C33" i="18"/>
  <c r="E61" i="18"/>
  <c r="E98" i="18" l="1"/>
  <c r="C34" i="18"/>
  <c r="D34" i="18" s="1"/>
  <c r="F98" i="18"/>
  <c r="C32" i="18" l="1"/>
  <c r="E100" i="18"/>
  <c r="F43" i="18"/>
  <c r="E43" i="18"/>
  <c r="F100" i="18" l="1"/>
  <c r="G10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tc={4A9296FC-B28F-4AE4-9106-5BA27BABABFA}</author>
    <author>tc={A4DF9D7B-0EF9-417A-A3D1-D864AEC683F6}</author>
    <author>tc={0DAE35F1-CFDC-4E9D-BF40-6FED616A6C92}</author>
    <author>tc={BCD6EF0B-AF25-4869-80DA-5A85E1CE8B37}</author>
  </authors>
  <commentList>
    <comment ref="B4"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00000000-0006-0000-0300-000002000000}">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E7" authorId="3" shapeId="0" xr:uid="{00000000-0006-0000-0300-000004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tc={DA29CE89-0254-40DA-8C5A-3D363D4CCC88}</author>
    <author>tc={A54EBF66-8521-48EC-9B4E-F6143D5706CD}</author>
    <author>tc={796B3168-B70D-4088-AA44-E66CE30D881F}</author>
    <author>tc={91547CDF-F917-489D-8001-94F250BD98D5}</author>
    <author>tc={FF883F4D-3E3A-4419-BF84-894DBA1C51EE}</author>
  </authors>
  <commentList>
    <comment ref="B4" authorId="0" shapeId="0" xr:uid="{00000000-0006-0000-04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00000000-0006-0000-0400-000002000000}">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00000000-0006-0000-0400-000003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00000000-0006-0000-0400-000004000000}">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00000000-0006-0000-0400-000005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tc={67B810F5-8127-4574-BA1F-C8609E87121B}</author>
    <author>tc={836613E1-F3C2-4EC8-80D2-8FF78D05DD24}</author>
    <author>tc={20A03AFD-60B4-48CB-BE69-82FE8981B168}</author>
    <author>tc={14A0C853-62CF-4651-B81B-43AEB6D38BEB}</author>
    <author>tc={F0F2B8F8-BEC0-48AD-8A20-AC785F4F9B02}</author>
  </authors>
  <commentList>
    <comment ref="B4" authorId="0" shapeId="0" xr:uid="{00000000-0006-0000-05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00000000-0006-0000-0500-000002000000}">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00000000-0006-0000-0500-000003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00000000-0006-0000-0500-000004000000}">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00000000-0006-0000-0500-000005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tc={7395AA7C-AAFB-4098-8276-18A30E02F89D}</author>
    <author>tc={DD829B44-77F1-4A05-A0BF-0F131EE4B043}</author>
    <author>tc={339A4D02-736C-4C2A-BAD2-822A5AE5D37D}</author>
    <author>tc={28AF635C-2109-40AE-B7C6-6E334C9B3DCB}</author>
  </authors>
  <commentList>
    <comment ref="B4" authorId="0" shapeId="0" xr:uid="{00000000-0006-0000-0700-000001000000}">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C7" authorId="1" shapeId="0" xr:uid="{00000000-0006-0000-0700-000002000000}">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2" shapeId="0" xr:uid="{00000000-0006-0000-0700-000003000000}">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3" shapeId="0" xr:uid="{00000000-0006-0000-0700-00000400000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A10" authorId="0" shapeId="0" xr:uid="{00000000-0006-0000-0A00-000001000000}">
      <text>
        <r>
          <rPr>
            <b/>
            <sz val="9"/>
            <color indexed="81"/>
            <rFont val="Tahoma"/>
            <family val="2"/>
          </rPr>
          <t>Preeta Nayak:</t>
        </r>
        <r>
          <rPr>
            <sz val="9"/>
            <color indexed="81"/>
            <rFont val="Tahoma"/>
            <family val="2"/>
          </rPr>
          <t xml:space="preserve">
CHANGED FROM 71786 BY LGC STAFF/PN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tc={6448F355-600E-4E29-B075-D21259E27CCD}</author>
    <author>tc={85AC0FA1-26E3-4313-8938-B769A43A0766}</author>
  </authors>
  <commentList>
    <comment ref="B2" authorId="0" shapeId="0" xr:uid="{00000000-0006-0000-0C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00000000-0006-0000-0C00-000002000000}">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tc={74FD9AF4-4B3B-41DD-9327-7112CFA4739F}</author>
    <author>tc={85737AA7-88DC-4526-A5B6-9AD463D3B7A4}</author>
  </authors>
  <commentList>
    <comment ref="B2" authorId="0" shapeId="0" xr:uid="{00000000-0006-0000-0D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00000000-0006-0000-0D00-000002000000}">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tc={BB9D73FA-157F-4F30-B723-18CABBDBA039}</author>
  </authors>
  <commentList>
    <comment ref="B7" authorId="0" shapeId="0" xr:uid="{00000000-0006-0000-12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tc={91536C80-5DC2-4018-BE1E-49A22537B2C1}</author>
  </authors>
  <commentList>
    <comment ref="B7" authorId="0" shapeId="0" xr:uid="{00000000-0006-0000-1300-000001000000}">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sharedStrings.xml><?xml version="1.0" encoding="utf-8"?>
<sst xmlns="http://schemas.openxmlformats.org/spreadsheetml/2006/main" count="32540" uniqueCount="3804">
  <si>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</si>
  <si>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</si>
  <si>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</si>
  <si>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</si>
  <si>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</si>
  <si>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</si>
  <si>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</si>
  <si>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</si>
  <si>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</si>
  <si>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</si>
  <si>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</si>
  <si>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</si>
  <si>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</si>
  <si>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</si>
  <si>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</si>
  <si>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</si>
  <si>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</si>
  <si>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</si>
  <si>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</si>
  <si>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</si>
  <si>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</si>
  <si>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</si>
  <si>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</si>
  <si>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</si>
  <si>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</si>
  <si>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Piedmont Triad Airport Authority</t>
  </si>
  <si>
    <t>Yancey County</t>
  </si>
  <si>
    <t>Alamance County</t>
  </si>
  <si>
    <t>Alexander County</t>
  </si>
  <si>
    <t>Alleghany County</t>
  </si>
  <si>
    <t>Northwestern Regional Library</t>
  </si>
  <si>
    <t>Anson County</t>
  </si>
  <si>
    <t>Wadesboro Housing Authority</t>
  </si>
  <si>
    <t>Ashe County</t>
  </si>
  <si>
    <t>WEST JEFFERSON ABC BOARD</t>
  </si>
  <si>
    <t>Avery County</t>
  </si>
  <si>
    <t>Beaufort County</t>
  </si>
  <si>
    <t>Bertie County</t>
  </si>
  <si>
    <t>Albemarle Regional Library</t>
  </si>
  <si>
    <t>Bertie-Martin Regional Jail Comm</t>
  </si>
  <si>
    <t>Bladen County</t>
  </si>
  <si>
    <t>Brunswick County</t>
  </si>
  <si>
    <t>Cape Fear Council Of Governments</t>
  </si>
  <si>
    <t>TOWN OF NAVASSA</t>
  </si>
  <si>
    <t>Buncombe County</t>
  </si>
  <si>
    <t>Land-Of-Sky Regional Council</t>
  </si>
  <si>
    <t>Woodfin ABC Commission</t>
  </si>
  <si>
    <t>Metro Sewerage Dist Of Buncombe County</t>
  </si>
  <si>
    <t>WESTERN HIGHLAND AREA AUTHORITY</t>
  </si>
  <si>
    <t>Asheville Regional Airport Authority</t>
  </si>
  <si>
    <t>Burke County</t>
  </si>
  <si>
    <t>Valdese Housing Authority</t>
  </si>
  <si>
    <t>Morganton Housing Authority</t>
  </si>
  <si>
    <t>Cabarrus County</t>
  </si>
  <si>
    <t>Caldwell County</t>
  </si>
  <si>
    <t>Lenoir Housing Authority</t>
  </si>
  <si>
    <t>Camden County</t>
  </si>
  <si>
    <t>Carteret County</t>
  </si>
  <si>
    <t>Caswell County</t>
  </si>
  <si>
    <t>Catawba County</t>
  </si>
  <si>
    <t>Western Piedmont Regional Transit Authority</t>
  </si>
  <si>
    <t>Chatham County</t>
  </si>
  <si>
    <t>Goldston-Gulf Sanitary District</t>
  </si>
  <si>
    <t>Cherokee County</t>
  </si>
  <si>
    <t>Nantahala Regional Library</t>
  </si>
  <si>
    <t>Chowan County</t>
  </si>
  <si>
    <t>Clay County</t>
  </si>
  <si>
    <t>Cleveland County</t>
  </si>
  <si>
    <t>Columbus County</t>
  </si>
  <si>
    <t>Whiteville Housing Authority</t>
  </si>
  <si>
    <t>TOWN OF BOLTON</t>
  </si>
  <si>
    <t>Craven County</t>
  </si>
  <si>
    <t>Craven-Pamlico-Carteret Regional Library</t>
  </si>
  <si>
    <t>Neuse River Council Of Governments</t>
  </si>
  <si>
    <t>Cumberland County</t>
  </si>
  <si>
    <t>Cumberland Memorial Auditorium Com</t>
  </si>
  <si>
    <t>Currituck County</t>
  </si>
  <si>
    <t>Dare County</t>
  </si>
  <si>
    <t>Dare County Tourism Board</t>
  </si>
  <si>
    <t>Davidson County</t>
  </si>
  <si>
    <t>Thomasville Housing Authority</t>
  </si>
  <si>
    <t>TOWN OF MIDWAY</t>
  </si>
  <si>
    <t>Davie County</t>
  </si>
  <si>
    <t>Duplin County</t>
  </si>
  <si>
    <t>Durham County</t>
  </si>
  <si>
    <t>Parkwood Fire Department</t>
  </si>
  <si>
    <t>Triangle J Council Of Governments</t>
  </si>
  <si>
    <t>Edgecombe County</t>
  </si>
  <si>
    <t>Tarboro Redevelopment Commission</t>
  </si>
  <si>
    <t>Rocky Mount-Wilson Airport Authority</t>
  </si>
  <si>
    <t>Forsyth County</t>
  </si>
  <si>
    <t>Airport Commission Of Forsyth County</t>
  </si>
  <si>
    <t>Piedmont Triad Regional Council</t>
  </si>
  <si>
    <t>Winston-Salem Housing Authority</t>
  </si>
  <si>
    <t>Clemmons Fire Department</t>
  </si>
  <si>
    <t>Franklin County</t>
  </si>
  <si>
    <t>Gaston County</t>
  </si>
  <si>
    <t>Belmont Housing Authority</t>
  </si>
  <si>
    <t>BESSEMER CITY A.B.C. BOARD</t>
  </si>
  <si>
    <t>Gates County</t>
  </si>
  <si>
    <t>Graham County</t>
  </si>
  <si>
    <t>Granville County</t>
  </si>
  <si>
    <t>Granville County Hospital</t>
  </si>
  <si>
    <t>Oxford Housing Authority</t>
  </si>
  <si>
    <t>Greene County</t>
  </si>
  <si>
    <t>Maury Sanitary Land District</t>
  </si>
  <si>
    <t>Guil-Rand Fire Department</t>
  </si>
  <si>
    <t>Colfax Volunteer Fire Department</t>
  </si>
  <si>
    <t>Summerfield Fire District</t>
  </si>
  <si>
    <t>Halifax County</t>
  </si>
  <si>
    <t>Halifax County Tourism Development Authority</t>
  </si>
  <si>
    <t>Roanoke Rapids Sanitary District</t>
  </si>
  <si>
    <t>Harnett County</t>
  </si>
  <si>
    <t>Dunn Housing Authority</t>
  </si>
  <si>
    <t>Haywood County</t>
  </si>
  <si>
    <t>Haywood Medical Center</t>
  </si>
  <si>
    <t>Junaluska Sanitary District</t>
  </si>
  <si>
    <t>Hendersonville Water Commission</t>
  </si>
  <si>
    <t>Blue Ridge Fire Department</t>
  </si>
  <si>
    <t>Hertford County</t>
  </si>
  <si>
    <t>Hertford County Public Health Authority</t>
  </si>
  <si>
    <t>Hoke County</t>
  </si>
  <si>
    <t>Hyde County</t>
  </si>
  <si>
    <t>Iredell County</t>
  </si>
  <si>
    <t>Mooresville Housing Authority</t>
  </si>
  <si>
    <t>Jackson County</t>
  </si>
  <si>
    <t>Fontana Regional Library</t>
  </si>
  <si>
    <t>Johnston County</t>
  </si>
  <si>
    <t>Benson Housing Authority</t>
  </si>
  <si>
    <t>Smithfield Housing Authority</t>
  </si>
  <si>
    <t>Selma Housing Authority</t>
  </si>
  <si>
    <t>Jones County</t>
  </si>
  <si>
    <t>Lee County</t>
  </si>
  <si>
    <t>Lenoir County</t>
  </si>
  <si>
    <t>Neuse Regional Library</t>
  </si>
  <si>
    <t>Global Transpark Development Comm</t>
  </si>
  <si>
    <t>Lincoln County</t>
  </si>
  <si>
    <t>Lincolnton Housing Authority</t>
  </si>
  <si>
    <t>Macon County</t>
  </si>
  <si>
    <t>Madison County</t>
  </si>
  <si>
    <t>Hot Springs Housing Authority</t>
  </si>
  <si>
    <t>Martin County</t>
  </si>
  <si>
    <t>Williamston Housing Authority</t>
  </si>
  <si>
    <t>Robersonville Housing Authority</t>
  </si>
  <si>
    <t>Mecklenburg County</t>
  </si>
  <si>
    <t>Centralina Council Of Governments</t>
  </si>
  <si>
    <t>Mitchell County</t>
  </si>
  <si>
    <t>Montgomery County</t>
  </si>
  <si>
    <t>Moore County</t>
  </si>
  <si>
    <t>Moore County Airport Authority</t>
  </si>
  <si>
    <t>Foxfire Village</t>
  </si>
  <si>
    <t>Nash County</t>
  </si>
  <si>
    <t>Braswell Memorial Library</t>
  </si>
  <si>
    <t>New Hanover County</t>
  </si>
  <si>
    <t>Wilmington Housing Authority</t>
  </si>
  <si>
    <t>Cape Fear Public Utility Authority</t>
  </si>
  <si>
    <t>Lower Cape Fear Water &amp; Sewer Auth</t>
  </si>
  <si>
    <t>Cape Fear Public Transportation Authority</t>
  </si>
  <si>
    <t>Northampton County</t>
  </si>
  <si>
    <t>Onslow County</t>
  </si>
  <si>
    <t>Holly Ridge Housing Authority</t>
  </si>
  <si>
    <t>Orange County</t>
  </si>
  <si>
    <t>Pamlico County</t>
  </si>
  <si>
    <t>Bay River Metro Sewerage District</t>
  </si>
  <si>
    <t>Pasquotank County</t>
  </si>
  <si>
    <t>Pasquotank-Camden Ambulance Service</t>
  </si>
  <si>
    <t>East Albemarle Regional Library</t>
  </si>
  <si>
    <t>Albemarle District Jail Commission</t>
  </si>
  <si>
    <t>Albemarle Hospital Authority</t>
  </si>
  <si>
    <t>Elizabeth City</t>
  </si>
  <si>
    <t>Pasquotank-Camden Library</t>
  </si>
  <si>
    <t>Pender County</t>
  </si>
  <si>
    <t>Surf City</t>
  </si>
  <si>
    <t>Perquimans County</t>
  </si>
  <si>
    <t>Person County</t>
  </si>
  <si>
    <t>Pitt County</t>
  </si>
  <si>
    <t>Sheppard Memorial Library</t>
  </si>
  <si>
    <t>Greenville Utilities Commission</t>
  </si>
  <si>
    <t>Greenville Housing Authority</t>
  </si>
  <si>
    <t>Farmville Housing Authority</t>
  </si>
  <si>
    <t>Ayden Housing Authority</t>
  </si>
  <si>
    <t>Polk County</t>
  </si>
  <si>
    <t>Randolph County</t>
  </si>
  <si>
    <t>Richmond County</t>
  </si>
  <si>
    <t>Sandhill Regional Library</t>
  </si>
  <si>
    <t>Rockingham Housing Authority</t>
  </si>
  <si>
    <t>Robeson County</t>
  </si>
  <si>
    <t>Lumber River Council Of Governments</t>
  </si>
  <si>
    <t>Robeson County Housing Authority</t>
  </si>
  <si>
    <t>Robeson County Public Library</t>
  </si>
  <si>
    <t>Fairmont Housing Authority</t>
  </si>
  <si>
    <t>Pembroke Housing Authority</t>
  </si>
  <si>
    <t>Rockingham County</t>
  </si>
  <si>
    <t>Madison-Mayodan Recreation Comm</t>
  </si>
  <si>
    <t>Rowan County</t>
  </si>
  <si>
    <t>East Spencer Housing Authority</t>
  </si>
  <si>
    <t>Rutherford County</t>
  </si>
  <si>
    <t>Broad River Water Authority</t>
  </si>
  <si>
    <t>Forest City</t>
  </si>
  <si>
    <t>Forest City Housing Authority</t>
  </si>
  <si>
    <t>Sampson County</t>
  </si>
  <si>
    <t>Scotland County</t>
  </si>
  <si>
    <t>Laurinburg-Maxton Airport Commission</t>
  </si>
  <si>
    <t>Stanly County</t>
  </si>
  <si>
    <t>Stokes County</t>
  </si>
  <si>
    <t>Surry County</t>
  </si>
  <si>
    <t>Yadkin Valley Sewer Authority</t>
  </si>
  <si>
    <t>Swain County</t>
  </si>
  <si>
    <t>Transylvania County</t>
  </si>
  <si>
    <t>Tyrrell County</t>
  </si>
  <si>
    <t>Union County</t>
  </si>
  <si>
    <t>TOWN OF MINERAL SPRINGS</t>
  </si>
  <si>
    <t>Vance County</t>
  </si>
  <si>
    <t>Wake County</t>
  </si>
  <si>
    <t>Wake County Housing Authority</t>
  </si>
  <si>
    <t>Bayleaf Fire Department</t>
  </si>
  <si>
    <t>Raleigh-Durham Airport Authority</t>
  </si>
  <si>
    <t>Warren County</t>
  </si>
  <si>
    <t>Washington County</t>
  </si>
  <si>
    <t>Pettigrew Regional Library</t>
  </si>
  <si>
    <t>Plymouth Housing Authority</t>
  </si>
  <si>
    <t>Watauga County</t>
  </si>
  <si>
    <t>Region D Council Of Governments</t>
  </si>
  <si>
    <t>Blowing Rock Tourism Development Authority</t>
  </si>
  <si>
    <t>Wayne County</t>
  </si>
  <si>
    <t>Southern Wayne Sanitary District</t>
  </si>
  <si>
    <t>Wilkes County</t>
  </si>
  <si>
    <t>Appalachian Regional Library</t>
  </si>
  <si>
    <t>Wilson County</t>
  </si>
  <si>
    <t>Yadkin County</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</si>
  <si>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</si>
  <si>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</si>
  <si>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</si>
  <si>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</si>
  <si>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</si>
  <si>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</si>
  <si>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</si>
  <si>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</si>
  <si>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</si>
  <si>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</si>
  <si>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</si>
  <si>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</si>
  <si>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</si>
  <si>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</si>
  <si>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</si>
  <si>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</si>
  <si>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</si>
  <si>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</si>
  <si>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</si>
  <si>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</si>
  <si>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</si>
  <si>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</si>
  <si>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</si>
  <si>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</si>
  <si>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</si>
  <si>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</si>
  <si>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</si>
  <si>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</si>
  <si>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</si>
  <si>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</si>
  <si>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</si>
  <si>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</si>
  <si>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</si>
  <si>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</si>
  <si>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</si>
  <si>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</si>
  <si>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</si>
  <si>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</si>
  <si>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</si>
  <si>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</si>
  <si>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</si>
  <si>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</si>
  <si>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</si>
  <si>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</si>
  <si>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</si>
  <si>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</si>
  <si>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</si>
  <si>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</si>
  <si>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</si>
  <si>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</si>
  <si>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</si>
  <si>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</si>
  <si>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</si>
  <si>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</si>
  <si>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</si>
  <si>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</si>
  <si>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</si>
  <si>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</si>
  <si>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</si>
  <si>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</si>
  <si>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</si>
  <si>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</si>
  <si>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</si>
  <si>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</si>
  <si>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</si>
  <si>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</si>
  <si>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</si>
  <si>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</si>
  <si>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</si>
  <si>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</si>
  <si>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</si>
  <si>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</si>
  <si>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</si>
  <si>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</si>
  <si>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</si>
  <si>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</si>
  <si>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</si>
  <si>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</si>
  <si>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</si>
  <si>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</si>
  <si>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</si>
  <si>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</si>
  <si>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</si>
  <si>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</si>
  <si>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</si>
  <si>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</si>
  <si>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</si>
  <si>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</si>
  <si>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</si>
  <si>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</si>
  <si>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</si>
  <si>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</si>
  <si>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</si>
  <si>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</si>
  <si>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</si>
  <si>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</si>
  <si>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</si>
  <si>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</si>
  <si>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</si>
  <si>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</si>
  <si>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</si>
  <si>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</si>
  <si>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</si>
  <si>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</si>
  <si>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</si>
  <si>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</si>
  <si>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</si>
  <si>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</si>
  <si>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</si>
  <si>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</si>
  <si>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</si>
  <si>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</si>
  <si>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</si>
  <si>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</si>
  <si>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</si>
  <si>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</si>
  <si>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</si>
  <si>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</si>
  <si>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</si>
  <si>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</si>
  <si>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</si>
  <si>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</si>
  <si>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</si>
  <si>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</si>
  <si>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</si>
  <si>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</si>
  <si>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</si>
  <si>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</si>
  <si>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</si>
  <si>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</si>
  <si>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</si>
  <si>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</si>
  <si>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</si>
  <si>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</si>
  <si>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</si>
  <si>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</si>
  <si>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</si>
  <si>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</si>
  <si>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</si>
  <si>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</si>
  <si>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</si>
  <si>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</si>
  <si>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</si>
  <si>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</si>
  <si>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</si>
  <si>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</si>
  <si>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</si>
  <si>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</si>
  <si>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</si>
  <si>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</si>
  <si>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</si>
  <si>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</si>
  <si>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</si>
  <si>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</si>
  <si>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</si>
  <si>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</si>
  <si>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</si>
  <si>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</si>
  <si>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</si>
  <si>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</si>
  <si>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</si>
  <si>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</si>
  <si>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</si>
  <si>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</si>
  <si>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</si>
  <si>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</si>
  <si>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</si>
  <si>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</si>
  <si>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</si>
  <si>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</si>
  <si>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</si>
  <si>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</si>
  <si>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</si>
  <si>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</si>
  <si>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</si>
  <si>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</si>
  <si>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</si>
  <si>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</si>
  <si>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</si>
  <si>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</si>
  <si>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</si>
  <si>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</si>
  <si>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</si>
  <si>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</si>
  <si>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</si>
  <si>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</si>
  <si>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</si>
  <si>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</si>
  <si>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</si>
  <si>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</si>
  <si>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</si>
  <si>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</si>
  <si>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</si>
  <si>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</si>
  <si>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</si>
  <si>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</si>
  <si>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</si>
  <si>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</si>
  <si>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</si>
  <si>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</si>
  <si>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</si>
  <si>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</si>
  <si>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</si>
  <si>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</si>
  <si>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</si>
  <si>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</si>
  <si>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</si>
  <si>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</si>
  <si>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</si>
  <si>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</si>
  <si>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</si>
  <si>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</si>
  <si>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</si>
  <si>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</si>
  <si>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</si>
  <si>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</si>
  <si>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</si>
  <si>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</si>
  <si>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</si>
  <si>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</si>
  <si>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</si>
  <si>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</si>
  <si>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</si>
  <si>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</si>
  <si>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</si>
  <si>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</si>
  <si>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</si>
  <si>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</si>
  <si>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</si>
  <si>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</si>
  <si>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</si>
  <si>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</si>
  <si>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</si>
  <si>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</si>
  <si>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</si>
  <si>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</si>
  <si>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</si>
  <si>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</si>
  <si>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</si>
  <si>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</si>
  <si>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</si>
  <si>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</si>
  <si>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</si>
  <si>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</si>
  <si>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</si>
  <si>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</si>
  <si>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</si>
  <si>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</si>
  <si>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</si>
  <si>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</si>
  <si>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</si>
  <si>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</si>
  <si>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</si>
  <si>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</si>
  <si>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</si>
  <si>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</si>
  <si>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</si>
  <si>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</si>
  <si>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</si>
  <si>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</si>
  <si>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</si>
  <si>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</si>
  <si>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</si>
  <si>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</si>
  <si>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</si>
  <si>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</si>
  <si>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</si>
  <si>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</si>
  <si>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</si>
  <si>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</si>
  <si>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</si>
  <si>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</si>
  <si>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</si>
  <si>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</si>
  <si>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</si>
  <si>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</si>
  <si>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</si>
  <si>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</si>
  <si>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</si>
  <si>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</si>
  <si>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</si>
  <si>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</si>
  <si>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</si>
  <si>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</si>
  <si>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</si>
  <si>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</si>
  <si>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</si>
  <si>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</si>
  <si>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</si>
  <si>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</si>
  <si>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</si>
  <si>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</si>
  <si>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</si>
  <si>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</si>
  <si>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</si>
  <si>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</si>
  <si>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</si>
  <si>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</si>
  <si>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</si>
  <si>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</si>
  <si>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</si>
  <si>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</si>
  <si>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</si>
  <si>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</si>
  <si>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</si>
  <si>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</si>
  <si>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</si>
  <si>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</si>
  <si>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</si>
  <si>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</si>
  <si>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</si>
  <si>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</si>
  <si>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</si>
  <si>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</si>
  <si>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</si>
  <si>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</si>
  <si>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</si>
  <si>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</si>
  <si>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</si>
  <si>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</si>
  <si>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</si>
  <si>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</si>
  <si>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</si>
  <si>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</si>
  <si>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</si>
  <si>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</si>
  <si>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</si>
  <si>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</si>
  <si>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</si>
  <si>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</si>
  <si>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</si>
  <si>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</si>
  <si>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</si>
  <si>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</si>
  <si>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</si>
  <si>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</si>
  <si>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</si>
  <si>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</si>
  <si>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</si>
  <si>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</si>
  <si>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</si>
  <si>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</si>
  <si>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</si>
  <si>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</si>
  <si>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</si>
  <si>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</si>
  <si>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</si>
  <si>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</si>
  <si>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</si>
  <si>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</si>
  <si>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</si>
  <si>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</si>
  <si>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</si>
  <si>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</si>
  <si>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</si>
  <si>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</si>
  <si>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</si>
  <si>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</si>
  <si>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</si>
  <si>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</si>
  <si>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</si>
  <si>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</si>
  <si>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</si>
  <si>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</si>
  <si>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</si>
  <si>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</si>
  <si>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</si>
  <si>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</si>
  <si>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</si>
  <si>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</si>
  <si>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</si>
  <si>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</si>
  <si>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</si>
  <si>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</si>
  <si>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</si>
  <si>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</si>
  <si>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</si>
  <si>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</si>
  <si>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</si>
  <si>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</si>
  <si>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</si>
  <si>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</si>
  <si>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</si>
  <si>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</si>
  <si>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</si>
  <si>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</si>
  <si>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</si>
  <si>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</si>
  <si>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</si>
  <si>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</si>
  <si>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</si>
  <si>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</si>
  <si>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</si>
  <si>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</si>
  <si>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</si>
  <si>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</si>
  <si>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</si>
  <si>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</si>
  <si>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</si>
  <si>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</si>
  <si>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</si>
  <si>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</si>
  <si>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</si>
  <si>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</si>
  <si>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</si>
  <si>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</si>
  <si>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</si>
  <si>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</si>
  <si>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</si>
  <si>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</si>
  <si>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</si>
  <si>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</si>
  <si>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</si>
  <si>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</si>
  <si>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</si>
  <si>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</si>
  <si>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</si>
  <si>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</si>
  <si>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</si>
  <si>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</si>
  <si>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</si>
  <si>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</si>
  <si>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</si>
  <si>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</si>
  <si>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</si>
  <si>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</si>
  <si>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</si>
  <si>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</si>
  <si>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</si>
  <si>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</si>
  <si>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</si>
  <si>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</si>
  <si>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</si>
  <si>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</si>
  <si>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</si>
  <si>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</si>
  <si>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</si>
  <si>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</si>
  <si>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</si>
  <si>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</si>
  <si>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</si>
  <si>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</si>
  <si>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</si>
  <si>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</si>
  <si>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</si>
  <si>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</si>
  <si>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</si>
  <si>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</si>
  <si>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</si>
  <si>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</si>
  <si>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</si>
  <si>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</si>
  <si>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</si>
  <si>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</si>
  <si>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</si>
  <si>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</si>
  <si>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</si>
  <si>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</si>
  <si>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</si>
  <si>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</si>
  <si>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</si>
  <si>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</si>
  <si>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</si>
  <si>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</si>
  <si>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</si>
  <si>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</si>
  <si>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</si>
  <si>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</si>
  <si>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</si>
  <si>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</si>
  <si>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</si>
  <si>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</si>
  <si>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</si>
  <si>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</si>
  <si>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</si>
  <si>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</si>
  <si>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</si>
  <si>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</si>
  <si>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</si>
  <si>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</si>
  <si>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</si>
  <si>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</si>
  <si>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</si>
  <si>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</si>
  <si>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</si>
  <si>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</si>
  <si>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</si>
  <si>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</si>
  <si>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</si>
  <si>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</si>
  <si>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</si>
  <si>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</si>
  <si>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</si>
  <si>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</si>
  <si>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</si>
  <si>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</si>
  <si>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</si>
  <si>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</si>
  <si>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</si>
  <si>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</si>
  <si>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</si>
  <si>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</si>
  <si>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</si>
  <si>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</si>
  <si>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</si>
  <si>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</si>
  <si>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</si>
  <si>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</si>
  <si>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</si>
  <si>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</si>
  <si>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</si>
  <si>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</si>
  <si>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</si>
  <si>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</si>
  <si>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</si>
  <si>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</si>
  <si>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</si>
  <si>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</si>
  <si>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</si>
  <si>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</si>
  <si>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</si>
  <si>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</si>
  <si>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</si>
  <si>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</si>
  <si>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</si>
  <si>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</si>
  <si>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</si>
  <si>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</si>
  <si>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</si>
  <si>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</si>
  <si>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</si>
  <si>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</si>
  <si>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</si>
  <si>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</si>
  <si>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</si>
  <si>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</si>
  <si>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</si>
  <si>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</si>
  <si>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</si>
  <si>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</si>
  <si>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</si>
  <si>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</si>
  <si>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</si>
  <si>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</si>
  <si>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</si>
  <si>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</si>
  <si>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</si>
  <si>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</si>
  <si>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</si>
  <si>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</si>
  <si>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</si>
  <si>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</si>
  <si>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</si>
  <si>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</si>
  <si>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</si>
  <si>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</si>
  <si>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</si>
  <si>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</si>
  <si>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</si>
  <si>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</si>
  <si>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</si>
  <si>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</si>
  <si>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</si>
  <si>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</si>
  <si>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</si>
  <si>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</si>
  <si>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</si>
  <si>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</si>
  <si>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</si>
  <si>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</si>
  <si>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</si>
  <si>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</si>
  <si>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</si>
  <si>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</si>
  <si>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</si>
  <si>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</si>
  <si>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</si>
  <si>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</si>
  <si>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</si>
  <si>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</si>
  <si>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</si>
  <si>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</si>
  <si>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</si>
  <si>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</si>
  <si>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</si>
  <si>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</si>
  <si>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</si>
  <si>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</si>
  <si>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</si>
  <si>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</si>
  <si>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</si>
  <si>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</si>
  <si>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</si>
  <si>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</si>
  <si>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</si>
  <si>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</si>
  <si>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</si>
  <si>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</si>
  <si>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</si>
  <si>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</si>
  <si>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</si>
  <si>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</si>
  <si>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</si>
  <si>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</si>
  <si>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</si>
  <si>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</si>
  <si>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</si>
  <si>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</si>
  <si>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</si>
  <si>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</si>
  <si>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</si>
  <si>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</si>
  <si>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</si>
  <si>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</si>
  <si>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</si>
  <si>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</si>
  <si>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</si>
  <si>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</si>
  <si>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</si>
  <si>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</si>
  <si>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</si>
  <si>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</si>
  <si>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</si>
  <si>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</si>
  <si>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</si>
  <si>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</si>
  <si>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</si>
  <si>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</si>
  <si>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</si>
  <si>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</si>
  <si>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</si>
  <si>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</si>
  <si>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</si>
  <si>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</si>
  <si>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</si>
  <si>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</si>
  <si>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</si>
  <si>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</si>
  <si>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</si>
  <si>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</si>
  <si>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</si>
  <si>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</si>
  <si>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</si>
  <si>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</si>
  <si>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</si>
  <si>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</si>
  <si>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</si>
  <si>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</si>
  <si>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</si>
  <si>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</si>
  <si>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</si>
  <si>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</si>
  <si>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</si>
  <si>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</si>
  <si>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</si>
  <si>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</si>
  <si>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</si>
  <si>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</si>
  <si>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</si>
  <si>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</si>
  <si>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</si>
  <si>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</si>
  <si>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</si>
  <si>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</si>
  <si>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</si>
  <si>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</si>
  <si>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</si>
  <si>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</si>
  <si>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</si>
  <si>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</si>
  <si>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</si>
  <si>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</si>
  <si>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</si>
  <si>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</si>
  <si>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</si>
  <si>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</si>
  <si>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</si>
  <si>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</si>
  <si>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</si>
  <si>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</si>
  <si>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</si>
  <si>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</si>
  <si>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</si>
  <si>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</si>
  <si>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</si>
  <si>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</si>
  <si>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</si>
  <si>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</si>
  <si>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</si>
  <si>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</si>
  <si>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</si>
  <si>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</si>
  <si>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</si>
  <si>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</si>
  <si>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</si>
  <si>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</si>
  <si>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</si>
  <si>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</si>
  <si>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</si>
  <si>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</si>
  <si>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</si>
  <si>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</si>
  <si>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</si>
  <si>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</si>
  <si>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</si>
  <si>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</si>
  <si>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</si>
  <si>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</si>
  <si>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</si>
  <si>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</si>
  <si>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</si>
  <si>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</si>
  <si>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</si>
  <si>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</si>
  <si>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</si>
  <si>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</si>
  <si>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</si>
  <si>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</si>
  <si>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</si>
  <si>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</si>
  <si>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</si>
  <si>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</si>
  <si>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</si>
  <si>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</si>
  <si>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</si>
  <si>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</si>
  <si>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</si>
  <si>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</si>
  <si>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</si>
  <si>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</si>
  <si>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</si>
  <si>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</si>
  <si>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</si>
  <si>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</si>
  <si>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</si>
  <si>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</si>
  <si>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</si>
  <si>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</si>
  <si>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</si>
  <si>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</si>
  <si>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</si>
  <si>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</si>
  <si>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</si>
  <si>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</si>
  <si>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</si>
  <si>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</si>
  <si>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</si>
  <si>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</si>
  <si>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</si>
  <si>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</si>
  <si>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</si>
  <si>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</si>
  <si>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</si>
  <si>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</si>
  <si>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</si>
  <si>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</si>
  <si>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</si>
  <si>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</si>
  <si>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</si>
  <si>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</si>
  <si>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</si>
  <si>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</si>
  <si>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</si>
  <si>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</si>
  <si>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</si>
  <si>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</si>
  <si>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</si>
  <si>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</si>
  <si>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</si>
  <si>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</si>
  <si>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</si>
  <si>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</si>
  <si>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</si>
  <si>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</si>
  <si>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</si>
  <si>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</si>
  <si>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</si>
  <si>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</si>
  <si>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</si>
  <si>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</si>
  <si>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</si>
  <si>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</si>
  <si>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</si>
  <si>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</si>
  <si>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</si>
  <si>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</si>
  <si>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</si>
  <si>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</si>
  <si>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</si>
  <si>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</si>
  <si>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</si>
  <si>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</si>
  <si>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</si>
  <si>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</si>
  <si>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</si>
  <si>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</si>
  <si>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</si>
  <si>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</si>
  <si>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</si>
  <si>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</si>
  <si>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</si>
  <si>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</si>
  <si>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</si>
  <si>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</si>
  <si>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</si>
  <si>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</si>
  <si>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</si>
  <si>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</si>
  <si>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</si>
  <si>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</si>
  <si>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</si>
  <si>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</si>
  <si>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</si>
  <si>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</si>
  <si>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</si>
  <si>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</si>
  <si>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</si>
  <si>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</si>
  <si>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</si>
  <si>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</si>
  <si>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</si>
  <si>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</si>
  <si>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</si>
  <si>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</si>
  <si>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</si>
  <si>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</si>
  <si>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</si>
  <si>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</si>
  <si>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</si>
  <si>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</si>
  <si>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</si>
  <si>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</si>
  <si>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</si>
  <si>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</si>
  <si>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</si>
  <si>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</si>
  <si>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</si>
  <si>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</si>
  <si>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</si>
  <si>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</si>
  <si>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</si>
  <si>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</si>
  <si>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</si>
  <si>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</si>
  <si>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</si>
  <si>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</si>
  <si>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</si>
  <si>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</si>
  <si>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</si>
  <si>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</si>
  <si>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</si>
  <si>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</si>
  <si>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</si>
  <si>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</si>
  <si>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</si>
  <si>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</si>
  <si>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</si>
  <si>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</si>
  <si>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</si>
  <si>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</si>
  <si>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</si>
  <si>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</si>
  <si>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</si>
  <si>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</si>
  <si>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</si>
  <si>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</si>
  <si>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</si>
  <si>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</si>
  <si>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</si>
  <si>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</si>
  <si>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</si>
  <si>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</si>
  <si>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</si>
  <si>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</si>
  <si>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</si>
  <si>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</si>
  <si>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</si>
  <si>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</si>
  <si>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</si>
  <si>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</si>
  <si>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</si>
  <si>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</si>
  <si>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</si>
  <si>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</si>
  <si>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</si>
  <si>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</si>
  <si>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</si>
  <si>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</si>
  <si>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</si>
  <si>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</si>
  <si>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</si>
  <si>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</si>
  <si>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</si>
  <si>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</si>
  <si>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</si>
  <si>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</si>
  <si>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</si>
  <si>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</si>
  <si>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</si>
  <si>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</si>
  <si>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</si>
  <si>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</si>
  <si>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</si>
  <si>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</si>
  <si>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</si>
  <si>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</si>
  <si>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</si>
  <si>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</si>
  <si>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</si>
  <si>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</si>
  <si>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</si>
  <si>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</si>
  <si>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</si>
  <si>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</si>
  <si>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</si>
  <si>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</si>
  <si>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</si>
  <si>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</si>
  <si>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</si>
  <si>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</si>
  <si>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</si>
  <si>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</si>
  <si>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</si>
  <si>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</si>
  <si>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</si>
  <si>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</si>
  <si>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</si>
  <si>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</si>
  <si>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</si>
  <si>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</si>
  <si>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</si>
  <si>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</si>
  <si>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</si>
  <si>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</si>
  <si>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</si>
  <si>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</si>
  <si>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</si>
  <si>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</si>
  <si>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</si>
  <si>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</si>
  <si>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</si>
  <si>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</si>
  <si>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</si>
  <si>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</si>
  <si>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</si>
  <si>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</si>
  <si>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</si>
  <si>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</si>
  <si>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</si>
  <si>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</si>
  <si>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</si>
  <si>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</si>
  <si>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</si>
  <si>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</si>
  <si>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</si>
  <si>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</si>
  <si>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</si>
  <si>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</si>
  <si>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</si>
  <si>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</si>
  <si>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</si>
  <si>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</si>
  <si>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</si>
  <si>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</si>
  <si>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</si>
  <si>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</si>
  <si>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</si>
  <si>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</si>
  <si>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</si>
  <si>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</si>
  <si>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</si>
  <si>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</si>
  <si>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</si>
  <si>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</si>
  <si>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</si>
  <si>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</si>
  <si>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</si>
  <si>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</si>
  <si>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</si>
  <si>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</si>
  <si>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</si>
  <si>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</si>
  <si>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</si>
  <si>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</si>
  <si>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</si>
  <si>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</si>
  <si>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</si>
  <si>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</si>
  <si>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</si>
  <si>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</si>
  <si>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</si>
  <si>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</si>
  <si>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</si>
  <si>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</si>
  <si>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</si>
  <si>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</si>
  <si>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</si>
  <si>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</si>
  <si>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</si>
  <si>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</si>
  <si>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</si>
  <si>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</si>
  <si>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</si>
  <si>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</si>
  <si>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</si>
  <si>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</si>
  <si>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</si>
  <si>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</si>
  <si>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</si>
  <si>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</si>
  <si>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</si>
  <si>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</si>
  <si>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</si>
  <si>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</si>
  <si>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</si>
  <si>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</si>
  <si>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</si>
  <si>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</si>
  <si>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</si>
  <si>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</si>
  <si>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</si>
  <si>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</si>
  <si>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</si>
  <si>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</si>
  <si>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</si>
  <si>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</si>
  <si>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</si>
  <si>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</si>
  <si>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</si>
  <si>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</si>
  <si>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</si>
  <si>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</si>
  <si>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</si>
  <si>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</si>
  <si>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</si>
  <si>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</si>
  <si>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</si>
  <si>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</si>
  <si>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</si>
  <si>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</si>
  <si>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</si>
  <si>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</si>
  <si>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</si>
  <si>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</si>
  <si>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</si>
  <si>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</si>
  <si>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</si>
  <si>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</si>
  <si>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</si>
  <si>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</si>
  <si>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</si>
  <si>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</si>
  <si>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</si>
  <si>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</si>
  <si>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</si>
  <si>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</si>
  <si>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</si>
  <si>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</si>
  <si>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</si>
  <si>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</si>
  <si>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</si>
  <si>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</si>
  <si>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</si>
  <si>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</si>
  <si>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</si>
  <si>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</si>
  <si>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</si>
  <si>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</si>
  <si>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</si>
  <si>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</si>
  <si>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</si>
  <si>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</si>
  <si>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</si>
  <si>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</si>
  <si>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</si>
  <si>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</si>
  <si>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</si>
  <si>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</si>
  <si>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</si>
  <si>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</si>
  <si>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</si>
  <si>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</si>
  <si>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</si>
  <si>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</si>
  <si>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</si>
  <si>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</si>
  <si>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</si>
  <si>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</si>
  <si>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</si>
  <si>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</si>
  <si>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</si>
  <si>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</si>
  <si>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</si>
  <si>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</si>
  <si>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</si>
  <si>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</si>
  <si>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</si>
  <si>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</si>
  <si>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</si>
  <si>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</si>
  <si>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</si>
  <si>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</si>
  <si>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</si>
  <si>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</si>
  <si>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</si>
  <si>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</si>
  <si>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</si>
  <si>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</si>
  <si>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</si>
  <si>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</si>
  <si>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</si>
  <si>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</si>
  <si>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</si>
  <si>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</si>
  <si>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</si>
  <si>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</si>
  <si>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</si>
  <si>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</si>
  <si>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</si>
  <si>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</si>
  <si>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</si>
  <si>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</si>
  <si>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</si>
  <si>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</si>
  <si>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</si>
  <si>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</si>
  <si>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</si>
  <si>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</si>
  <si>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</si>
  <si>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</si>
  <si>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</si>
  <si>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</si>
  <si>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</si>
  <si>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</si>
  <si>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</si>
  <si>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</si>
  <si>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</si>
  <si>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</si>
  <si>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</si>
  <si>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</si>
  <si>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</si>
  <si>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</si>
  <si>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</si>
  <si>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</si>
  <si>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</si>
  <si>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</si>
  <si>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</si>
  <si>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</si>
  <si>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</si>
  <si>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</si>
  <si>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</si>
  <si>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</si>
  <si>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</si>
  <si>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</si>
  <si>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</si>
  <si>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</si>
  <si>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</si>
  <si>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</si>
  <si>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</si>
  <si>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</si>
  <si>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</si>
  <si>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</si>
  <si>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</si>
  <si>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</si>
  <si>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</si>
  <si>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</si>
  <si>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</si>
  <si>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</si>
  <si>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</si>
  <si>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</si>
  <si>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</si>
  <si>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</si>
  <si>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</si>
  <si>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</si>
  <si>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</si>
  <si>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</si>
  <si>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</si>
  <si>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</si>
  <si>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</si>
  <si>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</si>
  <si>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</si>
  <si>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</si>
  <si>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</si>
  <si>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</si>
  <si>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</si>
  <si>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</si>
  <si>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</si>
  <si>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</si>
  <si>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</si>
  <si>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</si>
  <si>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</si>
  <si>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</si>
  <si>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</si>
  <si>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</si>
  <si>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</si>
  <si>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</si>
  <si>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</si>
  <si>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</si>
  <si>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</si>
  <si>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</si>
  <si>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</si>
  <si>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</si>
  <si>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</si>
  <si>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</si>
  <si>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</si>
  <si>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</si>
  <si>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</si>
  <si>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</si>
  <si>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</si>
  <si>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</si>
  <si>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</si>
  <si>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</si>
  <si>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</si>
  <si>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</si>
  <si>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</si>
  <si>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</si>
  <si>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</si>
  <si>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</si>
  <si>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</si>
  <si>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</si>
  <si>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</si>
  <si>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</si>
  <si>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</si>
  <si>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</si>
  <si>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</si>
  <si>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</si>
  <si>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</si>
  <si>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</si>
  <si>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</si>
  <si>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</si>
  <si>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</si>
  <si>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</si>
  <si>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</si>
  <si>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</si>
  <si>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</si>
  <si>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</si>
  <si>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</si>
  <si>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</si>
  <si>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</si>
  <si>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</si>
  <si>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</si>
  <si>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</si>
  <si>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</si>
  <si>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</si>
  <si>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</si>
  <si>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</si>
  <si>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</si>
  <si>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</si>
  <si>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</si>
  <si>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</si>
  <si>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</si>
  <si>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</si>
  <si>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</si>
  <si>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</si>
  <si>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</si>
  <si>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</si>
  <si>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</si>
  <si>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</si>
  <si>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</si>
  <si>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</si>
  <si>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</si>
  <si>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</si>
  <si>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</si>
  <si>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</si>
  <si>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</si>
  <si>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</si>
  <si>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</si>
  <si>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</si>
  <si>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</si>
  <si>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</si>
  <si>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</si>
  <si>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</si>
  <si>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</si>
  <si>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</si>
  <si>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</si>
  <si>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</si>
  <si>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</si>
  <si>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</si>
  <si>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</si>
  <si>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</si>
  <si>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</si>
  <si>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</si>
  <si>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</si>
  <si>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</si>
  <si>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</si>
  <si>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</si>
  <si>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</si>
  <si>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</si>
  <si>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</si>
  <si>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</si>
  <si>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</si>
  <si>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</si>
  <si>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</si>
  <si>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</si>
  <si>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</si>
  <si>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</si>
  <si>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</si>
  <si>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</si>
  <si>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</si>
  <si>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</si>
  <si>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</si>
  <si>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</si>
  <si>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</si>
  <si>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</si>
  <si>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</si>
  <si>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</si>
  <si>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</si>
  <si>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</si>
  <si>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</si>
  <si>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</si>
  <si>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</si>
  <si>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</si>
  <si>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</si>
  <si>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</si>
  <si>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</si>
  <si>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</si>
  <si>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</si>
  <si>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</si>
  <si>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</si>
  <si>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</si>
  <si>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</si>
  <si>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</si>
  <si>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</si>
  <si>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</si>
  <si>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</si>
  <si>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</si>
  <si>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</si>
  <si>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</si>
  <si>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</si>
  <si>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</si>
  <si>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</si>
  <si>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</si>
  <si>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</si>
  <si>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</si>
  <si>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</si>
  <si>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</si>
  <si>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</si>
  <si>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</si>
  <si>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</si>
  <si>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</si>
  <si>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</si>
  <si>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</si>
  <si>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</si>
  <si>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</si>
  <si>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</si>
  <si>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</si>
  <si>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</si>
  <si>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</si>
  <si>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</si>
  <si>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</si>
  <si>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</si>
  <si>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</si>
  <si>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</si>
  <si>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</si>
  <si>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</si>
  <si>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</si>
  <si>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</si>
  <si>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</si>
  <si>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</si>
  <si>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</si>
  <si>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</si>
  <si>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</si>
  <si>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</si>
  <si>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</si>
  <si>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</si>
  <si>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</si>
  <si>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</si>
  <si>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</si>
  <si>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</si>
  <si>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</si>
  <si>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</si>
  <si>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</si>
  <si>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</si>
  <si>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</si>
  <si>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</si>
  <si>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</si>
  <si>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</si>
  <si>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</si>
  <si>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</si>
  <si>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</si>
  <si>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</si>
  <si>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</si>
  <si>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</si>
  <si>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</si>
  <si>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EAST CAROLINA BEHAVORIAL HEALTHCARE</t>
  </si>
  <si>
    <t>COASTALCARE</t>
  </si>
  <si>
    <t>ELKIN ABC BOARD</t>
  </si>
  <si>
    <t>Alamance Municipal ABC Board</t>
  </si>
  <si>
    <t>Albemarle Regional Health Services</t>
  </si>
  <si>
    <t>Centerpoint Human Services</t>
  </si>
  <si>
    <t>Charlotte Regional Visitors Authority</t>
  </si>
  <si>
    <t>Eastpointe Human Services</t>
  </si>
  <si>
    <t>Indian Trail ABC Board</t>
  </si>
  <si>
    <t>Jackson County ABC Board</t>
  </si>
  <si>
    <t>Johnston Health Center</t>
  </si>
  <si>
    <t>Mideast Commission</t>
  </si>
  <si>
    <t>Partners Behavioral Health Management</t>
  </si>
  <si>
    <t>Sandhills Center</t>
  </si>
  <si>
    <t>Southeast Brunswick Sanitary District</t>
  </si>
  <si>
    <t>Triad Municipal ABC Board</t>
  </si>
  <si>
    <t>Trillium Health Resources</t>
  </si>
  <si>
    <t>West Columbus ABC Board</t>
  </si>
  <si>
    <t>Yadkin Valley ABC Board</t>
  </si>
  <si>
    <t>Agency Num</t>
  </si>
  <si>
    <t>Agency Name</t>
  </si>
  <si>
    <t>(Normal Contributions, Plus Liability Contributions, net of Court Costs Offsets)</t>
  </si>
  <si>
    <t>CAPE FEAR REGIONAL JETPORT</t>
  </si>
  <si>
    <t>COLUMBUS ABC BOARD</t>
  </si>
  <si>
    <t>TOWN OF NEW LONDON</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</si>
  <si>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</si>
  <si>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</si>
  <si>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</si>
  <si>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</si>
  <si>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</si>
  <si>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</si>
  <si>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</si>
  <si>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</si>
  <si>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</si>
  <si>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</si>
  <si>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</si>
  <si>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</si>
  <si>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</si>
  <si>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</si>
  <si>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</si>
  <si>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</si>
  <si>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</si>
  <si>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</si>
  <si>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</si>
  <si>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</si>
  <si>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</si>
  <si>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</si>
  <si>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</si>
  <si>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</si>
  <si>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</si>
  <si>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</si>
  <si>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</si>
  <si>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</si>
  <si>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</si>
  <si>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</si>
  <si>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</si>
  <si>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</si>
  <si>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</si>
  <si>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</si>
  <si>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</si>
  <si>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</si>
  <si>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</si>
  <si>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</si>
  <si>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</si>
  <si>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</si>
  <si>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</si>
  <si>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</si>
  <si>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</si>
  <si>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</si>
  <si>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</si>
  <si>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</si>
  <si>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</si>
  <si>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</si>
  <si>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</si>
  <si>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</si>
  <si>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</si>
  <si>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</si>
  <si>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</si>
  <si>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</si>
  <si>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</si>
  <si>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</si>
  <si>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</si>
  <si>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</si>
  <si>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</si>
  <si>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</si>
  <si>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</si>
  <si>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</si>
  <si>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</si>
  <si>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</si>
  <si>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</si>
  <si>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</si>
  <si>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</si>
  <si>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</si>
  <si>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</si>
  <si>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</si>
  <si>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</si>
  <si>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</si>
  <si>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</si>
  <si>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</si>
  <si>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</si>
  <si>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</si>
  <si>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</si>
  <si>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</si>
  <si>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</si>
  <si>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</si>
  <si>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</si>
  <si>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</si>
  <si>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</si>
  <si>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</si>
  <si>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</si>
  <si>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</si>
  <si>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</si>
  <si>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</si>
  <si>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</si>
  <si>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</si>
  <si>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</si>
  <si>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</si>
  <si>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</si>
  <si>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</si>
  <si>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</si>
  <si>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</si>
  <si>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</si>
  <si>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</si>
  <si>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</si>
  <si>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</si>
  <si>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</si>
  <si>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</si>
  <si>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</si>
  <si>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</si>
  <si>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</si>
  <si>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</si>
  <si>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</si>
  <si>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</si>
  <si>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</si>
  <si>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</si>
  <si>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</si>
  <si>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</si>
  <si>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</si>
  <si>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</si>
  <si>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</si>
  <si>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</si>
  <si>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</si>
  <si>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</si>
  <si>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</si>
  <si>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</si>
  <si>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</si>
  <si>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</si>
  <si>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</si>
  <si>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</si>
  <si>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</si>
  <si>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</si>
  <si>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</si>
  <si>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</si>
  <si>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</si>
  <si>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</si>
  <si>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</si>
  <si>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</si>
  <si>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</si>
  <si>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</si>
  <si>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</si>
  <si>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</si>
  <si>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</si>
  <si>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</si>
  <si>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</si>
  <si>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</si>
  <si>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</si>
  <si>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</si>
  <si>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</si>
  <si>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</si>
  <si>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</si>
  <si>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</si>
  <si>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</si>
  <si>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</si>
  <si>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</si>
  <si>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</si>
  <si>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</si>
  <si>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</si>
  <si>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</si>
  <si>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</si>
  <si>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</si>
  <si>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</si>
  <si>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</si>
  <si>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</si>
  <si>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</si>
  <si>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</si>
  <si>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</si>
  <si>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</si>
  <si>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</si>
  <si>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</si>
  <si>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</si>
  <si>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</si>
  <si>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</si>
  <si>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</si>
  <si>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</si>
  <si>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</si>
  <si>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</si>
  <si>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</si>
  <si>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</si>
  <si>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</si>
  <si>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</si>
  <si>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</si>
  <si>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</si>
  <si>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</si>
  <si>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</si>
  <si>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</si>
  <si>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</si>
  <si>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</si>
  <si>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</si>
  <si>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</si>
  <si>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</si>
  <si>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</si>
  <si>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</si>
  <si>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</si>
  <si>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</si>
  <si>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</si>
  <si>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</si>
  <si>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</si>
  <si>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</si>
  <si>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</si>
  <si>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</si>
  <si>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</si>
  <si>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</si>
  <si>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</si>
  <si>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</si>
  <si>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</si>
  <si>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</si>
  <si>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</si>
  <si>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</si>
  <si>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</si>
  <si>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</si>
  <si>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</si>
  <si>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</si>
  <si>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</si>
  <si>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</si>
  <si>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</si>
  <si>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</si>
  <si>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</si>
  <si>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</si>
  <si>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</si>
  <si>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</si>
  <si>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</si>
  <si>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</si>
  <si>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</si>
  <si>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</si>
  <si>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</si>
  <si>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</si>
  <si>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</si>
  <si>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</si>
  <si>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</si>
  <si>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</si>
  <si>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</si>
  <si>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</si>
  <si>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</si>
  <si>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</si>
  <si>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</si>
  <si>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</si>
  <si>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</si>
  <si>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</si>
  <si>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</si>
  <si>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</si>
  <si>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</si>
  <si>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</si>
  <si>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</si>
  <si>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</si>
  <si>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</si>
  <si>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</si>
  <si>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</si>
  <si>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</si>
  <si>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</si>
  <si>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</si>
  <si>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</si>
  <si>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</si>
  <si>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</si>
  <si>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</si>
  <si>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</si>
  <si>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</si>
  <si>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</si>
  <si>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</si>
  <si>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</si>
  <si>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</si>
  <si>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</si>
  <si>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</si>
  <si>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</si>
  <si>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</si>
  <si>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</si>
  <si>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</si>
  <si>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</si>
  <si>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</si>
  <si>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</si>
  <si>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</si>
  <si>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</si>
  <si>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</si>
  <si>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</si>
  <si>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</si>
  <si>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</si>
  <si>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</si>
  <si>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</si>
  <si>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</si>
  <si>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</si>
  <si>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</si>
  <si>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 xml:space="preserve">&lt;&lt;If you are reporting for only one agency, this should be N/A.  </t>
  </si>
  <si>
    <t>JE description</t>
  </si>
  <si>
    <t>Step 3 - Click on cell C26 within this tab.  Select your reporting fiscal year-end from the drop-down menu.</t>
  </si>
  <si>
    <t>Measurement date 6/30/2017</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</si>
  <si>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</si>
  <si>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</si>
  <si>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Recognition period - 5.00 years</t>
  </si>
  <si>
    <t>Step 5 - Go to the JE Template tab within this workbook.  Review the resulting entries within the workbook for reasonableness.  Should you have any questions regarding</t>
  </si>
  <si>
    <t>Measurement date 6/30/2018</t>
  </si>
  <si>
    <t xml:space="preserve">   </t>
  </si>
  <si>
    <t xml:space="preserve"> </t>
  </si>
  <si>
    <t>CLAY COUNTY ABC BOARD</t>
  </si>
  <si>
    <t>CRAMERTON ABC BOARD</t>
  </si>
  <si>
    <t>TOWN OF TROUTMAN ABC BOARD</t>
  </si>
  <si>
    <t>VALDESE ABC BOARD</t>
  </si>
  <si>
    <t>FY 2018 Total Contributions</t>
  </si>
  <si>
    <t>VILLAGE OF SUGAR MOUNTAIN</t>
  </si>
  <si>
    <t>COUNTY OF BEAUFORT</t>
  </si>
  <si>
    <t>WESTERN AIR POLLUTION CTL</t>
  </si>
  <si>
    <t>WATER &amp; SEWER AUTH CABARRUS CNTY</t>
  </si>
  <si>
    <t>CLEVELAND CO SANITARY DIST</t>
  </si>
  <si>
    <t>COUNTY OF GATES</t>
  </si>
  <si>
    <t>GRANVILLE-VANCE HEALTH DIST</t>
  </si>
  <si>
    <t>HAYWOOD CO</t>
  </si>
  <si>
    <t>SMOKY MOUNTAIN M H C</t>
  </si>
  <si>
    <t>HOUSING AUTH OF THE CITY OF WILMINGTON</t>
  </si>
  <si>
    <t>COUNTY OF ROBESON</t>
  </si>
  <si>
    <t>HOUSING AUTHORITY OF THE COUNTY OF WAKE</t>
  </si>
  <si>
    <t>ALBEMARLE</t>
  </si>
  <si>
    <t>ARCHDALE</t>
  </si>
  <si>
    <t>ASHEBORO</t>
  </si>
  <si>
    <t>ASHEVILLE</t>
  </si>
  <si>
    <t>BELMONT</t>
  </si>
  <si>
    <t>BOILING SPRING LAKES</t>
  </si>
  <si>
    <t>BREVARD</t>
  </si>
  <si>
    <t>BURLINGTON</t>
  </si>
  <si>
    <t>CHARLOTTE</t>
  </si>
  <si>
    <t>CHERRYVILLE</t>
  </si>
  <si>
    <t>CLAREMONT</t>
  </si>
  <si>
    <t>CLINTON</t>
  </si>
  <si>
    <t>CONCORD</t>
  </si>
  <si>
    <t>CREEDMOOR</t>
  </si>
  <si>
    <t>DUNN</t>
  </si>
  <si>
    <t>DURHAM</t>
  </si>
  <si>
    <t>EDEN</t>
  </si>
  <si>
    <t>FAYETTEVILLE</t>
  </si>
  <si>
    <t>GASTONIA</t>
  </si>
  <si>
    <t>GOLDSBORO</t>
  </si>
  <si>
    <t>GREENSBORO</t>
  </si>
  <si>
    <t>GRAHAM</t>
  </si>
  <si>
    <t>GREENVILLE</t>
  </si>
  <si>
    <t>HAMLET</t>
  </si>
  <si>
    <t>HAVELOCK</t>
  </si>
  <si>
    <t>HENDERSON</t>
  </si>
  <si>
    <t>HENDERSONVILLE</t>
  </si>
  <si>
    <t>HICKORY</t>
  </si>
  <si>
    <t>HIGH POINT</t>
  </si>
  <si>
    <t>JACKSONVILLE</t>
  </si>
  <si>
    <t>KANNAPOLIS</t>
  </si>
  <si>
    <t>KINGS MOUNTAIN</t>
  </si>
  <si>
    <t>KINSTON</t>
  </si>
  <si>
    <t>LAURINBURG</t>
  </si>
  <si>
    <t>LENOIR</t>
  </si>
  <si>
    <t>LEXINGTON</t>
  </si>
  <si>
    <t>LINCOLNTON</t>
  </si>
  <si>
    <t>LOCUST</t>
  </si>
  <si>
    <t>LOWELL</t>
  </si>
  <si>
    <t>LUMBERTON</t>
  </si>
  <si>
    <t>MEBANE</t>
  </si>
  <si>
    <t>MONROE</t>
  </si>
  <si>
    <t>MONROE HOUSING AUTHORITY</t>
  </si>
  <si>
    <t>MOORESVILLE</t>
  </si>
  <si>
    <t>MORGANTON</t>
  </si>
  <si>
    <t>MOUNT AIRY</t>
  </si>
  <si>
    <t>MOUNT HOLLY</t>
  </si>
  <si>
    <t>NEW BERN</t>
  </si>
  <si>
    <t>NEWTON</t>
  </si>
  <si>
    <t>NORTHWEST</t>
  </si>
  <si>
    <t>OXFORD</t>
  </si>
  <si>
    <t>RALEIGH</t>
  </si>
  <si>
    <t>RALEIGH HOUSING AUTHORITY</t>
  </si>
  <si>
    <t>RANDLEMAN</t>
  </si>
  <si>
    <t>RANDLEMAN ABC BOARD</t>
  </si>
  <si>
    <t>RANDLEMAN HOUSING AUTHORITY</t>
  </si>
  <si>
    <t>REIDSVILLE</t>
  </si>
  <si>
    <t>ROANOKE RAPIDS</t>
  </si>
  <si>
    <t>ROCKINGHAM</t>
  </si>
  <si>
    <t>ROCKINGHAM ABC BOARD</t>
  </si>
  <si>
    <t>ROCKY MOUNT</t>
  </si>
  <si>
    <t>ROXBORO</t>
  </si>
  <si>
    <t>SALISBURY</t>
  </si>
  <si>
    <t>SALUDA</t>
  </si>
  <si>
    <t>SANFORD</t>
  </si>
  <si>
    <t>SHELBY</t>
  </si>
  <si>
    <t>SOUTHPORT</t>
  </si>
  <si>
    <t>SOUTHPORT ABC BOARD</t>
  </si>
  <si>
    <t>STATESVILLE</t>
  </si>
  <si>
    <t>THOMASVILLE</t>
  </si>
  <si>
    <t>TRINITY</t>
  </si>
  <si>
    <t>WASHINGTON</t>
  </si>
  <si>
    <t>WHITEVILLE</t>
  </si>
  <si>
    <t>WILMINGTON</t>
  </si>
  <si>
    <t>WILSON</t>
  </si>
  <si>
    <t>WILSON CEMETERY COMMISSION</t>
  </si>
  <si>
    <t>WINSTON-SALEM</t>
  </si>
  <si>
    <t>HENDERSON COUNTY</t>
  </si>
  <si>
    <t>EASTERN BAND OF CHEROKEE INDIANS</t>
  </si>
  <si>
    <t>ABERDEEN</t>
  </si>
  <si>
    <t>AHOSKIE</t>
  </si>
  <si>
    <t>ANDREWS</t>
  </si>
  <si>
    <t>ANGIER</t>
  </si>
  <si>
    <t>ANGIER ABC BOARD</t>
  </si>
  <si>
    <t>ANSONVILLE</t>
  </si>
  <si>
    <t>APEX</t>
  </si>
  <si>
    <t>ARCHER LODGE</t>
  </si>
  <si>
    <t>ATLANTIC BEACH</t>
  </si>
  <si>
    <t>AULANDER</t>
  </si>
  <si>
    <t>AUTRYVILLE</t>
  </si>
  <si>
    <t>AURORA</t>
  </si>
  <si>
    <t>AYDEN</t>
  </si>
  <si>
    <t>BADIN</t>
  </si>
  <si>
    <t>BAILEY</t>
  </si>
  <si>
    <t>BAKERSVILLE</t>
  </si>
  <si>
    <t>BANNER ELK</t>
  </si>
  <si>
    <t>BAYBORO</t>
  </si>
  <si>
    <t>BEAUFORT</t>
  </si>
  <si>
    <t>BEECH MOUNTAIN</t>
  </si>
  <si>
    <t>BELHAVEN</t>
  </si>
  <si>
    <t>BELVILLE</t>
  </si>
  <si>
    <t>BENSON</t>
  </si>
  <si>
    <t>BERMUDA RUN</t>
  </si>
  <si>
    <t>BETHEL</t>
  </si>
  <si>
    <t>BEULAVILLE</t>
  </si>
  <si>
    <t>BILTMORE FOREST</t>
  </si>
  <si>
    <t>BISCOE</t>
  </si>
  <si>
    <t>BLACK CREEK</t>
  </si>
  <si>
    <t>BLACK MOUNTAIN</t>
  </si>
  <si>
    <t>BLADENBORO</t>
  </si>
  <si>
    <t>BLOWING ROCK</t>
  </si>
  <si>
    <t>BOILING SPRINGS</t>
  </si>
  <si>
    <t>BOLTON</t>
  </si>
  <si>
    <t>BOONE</t>
  </si>
  <si>
    <t>BOONVILLE</t>
  </si>
  <si>
    <t>BRIDGETON</t>
  </si>
  <si>
    <t>BROADWAY</t>
  </si>
  <si>
    <t>BROOKFORD</t>
  </si>
  <si>
    <t>BRUNSWICK</t>
  </si>
  <si>
    <t>BRYSON CITY</t>
  </si>
  <si>
    <t>BUNN</t>
  </si>
  <si>
    <t>BURGAW</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</si>
  <si>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</si>
  <si>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</si>
  <si>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</si>
  <si>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</si>
  <si>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</si>
  <si>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</si>
  <si>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</si>
  <si>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</si>
  <si>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</si>
  <si>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</si>
  <si>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</si>
  <si>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</si>
  <si>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</si>
  <si>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</si>
  <si>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</si>
  <si>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</si>
  <si>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</si>
  <si>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</si>
  <si>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</si>
  <si>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CHINA GROVE</t>
  </si>
  <si>
    <t>CHOCOWINITY</t>
  </si>
  <si>
    <t>CLARKTON</t>
  </si>
  <si>
    <t>CLAYTON</t>
  </si>
  <si>
    <t>CLEVELAND</t>
  </si>
  <si>
    <t>COATS</t>
  </si>
  <si>
    <t>COFIELD</t>
  </si>
  <si>
    <t>COLERAIN</t>
  </si>
  <si>
    <t>COLUMBIA</t>
  </si>
  <si>
    <t>COLUMBUS</t>
  </si>
  <si>
    <t>CONNELLY SPRINGS</t>
  </si>
  <si>
    <t>CONOVER</t>
  </si>
  <si>
    <t>CONWAY</t>
  </si>
  <si>
    <t>COOLEEMEE</t>
  </si>
  <si>
    <t>CORNELIUS</t>
  </si>
  <si>
    <t>COVE CITY</t>
  </si>
  <si>
    <t>CRAMERTON</t>
  </si>
  <si>
    <t>CRESWELL</t>
  </si>
  <si>
    <t>DALLAS</t>
  </si>
  <si>
    <t>DAVIDSON</t>
  </si>
  <si>
    <t>DENTON</t>
  </si>
  <si>
    <t>DOBSON</t>
  </si>
  <si>
    <t>DREXEL</t>
  </si>
  <si>
    <t>DUCK</t>
  </si>
  <si>
    <t>EAST BEND</t>
  </si>
  <si>
    <t>EAST SPENCER</t>
  </si>
  <si>
    <t>EASTOVER</t>
  </si>
  <si>
    <t>EDENTON</t>
  </si>
  <si>
    <t>ELIZABETHTOWN</t>
  </si>
  <si>
    <t>ELK PARK</t>
  </si>
  <si>
    <t>ELKIN</t>
  </si>
  <si>
    <t>ELLENBORO</t>
  </si>
  <si>
    <t>ELLERBE</t>
  </si>
  <si>
    <t>ELM CITY</t>
  </si>
  <si>
    <t>ELON</t>
  </si>
  <si>
    <t>EMERALD ISLE</t>
  </si>
  <si>
    <t>ENFIELD</t>
  </si>
  <si>
    <t>ERWIN</t>
  </si>
  <si>
    <t>FAIR BLUFF</t>
  </si>
  <si>
    <t>FAIRMONT</t>
  </si>
  <si>
    <t>FAISON</t>
  </si>
  <si>
    <t>FAITH</t>
  </si>
  <si>
    <t>FALCON</t>
  </si>
  <si>
    <t>FARMVILLE</t>
  </si>
  <si>
    <t xml:space="preserve"> SEAGROVE</t>
  </si>
  <si>
    <t xml:space="preserve"> SPARTA</t>
  </si>
  <si>
    <t xml:space="preserve"> BURNSVILLE</t>
  </si>
  <si>
    <t xml:space="preserve"> ELON</t>
  </si>
  <si>
    <t xml:space="preserve"> HAW RIVER</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</si>
  <si>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</si>
  <si>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</si>
  <si>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</si>
  <si>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</si>
  <si>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</si>
  <si>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</si>
  <si>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</si>
  <si>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</si>
  <si>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</si>
  <si>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</si>
  <si>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</si>
  <si>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</si>
  <si>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</si>
  <si>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</si>
  <si>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</si>
  <si>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</si>
  <si>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</si>
  <si>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</si>
  <si>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</si>
  <si>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</si>
  <si>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</si>
  <si>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</si>
  <si>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</si>
  <si>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</si>
  <si>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</si>
  <si>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</si>
  <si>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</si>
  <si>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</si>
  <si>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</si>
  <si>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</si>
  <si>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</si>
  <si>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</si>
  <si>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</si>
  <si>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</si>
  <si>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</si>
  <si>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</si>
  <si>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</si>
  <si>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</si>
  <si>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</si>
  <si>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</si>
  <si>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</si>
  <si>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</si>
  <si>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</si>
  <si>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</si>
  <si>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</si>
  <si>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</si>
  <si>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</si>
  <si>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</si>
  <si>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</si>
  <si>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</si>
  <si>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</si>
  <si>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</si>
  <si>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</si>
  <si>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</si>
  <si>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</si>
  <si>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</si>
  <si>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</si>
  <si>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</si>
  <si>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</si>
  <si>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</si>
  <si>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</si>
  <si>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</si>
  <si>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</si>
  <si>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</si>
  <si>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</si>
  <si>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</si>
  <si>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</si>
  <si>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</si>
  <si>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</si>
  <si>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 xml:space="preserve"> MAIDEN</t>
  </si>
  <si>
    <t>THE  LONGVIEW</t>
  </si>
  <si>
    <t xml:space="preserve"> CONOVER</t>
  </si>
  <si>
    <t xml:space="preserve"> BROOKFORD</t>
  </si>
  <si>
    <t xml:space="preserve"> CATAWBA</t>
  </si>
  <si>
    <t xml:space="preserve"> SILER CITY</t>
  </si>
  <si>
    <t xml:space="preserve"> PITTSBORO</t>
  </si>
  <si>
    <t xml:space="preserve"> MURPHY</t>
  </si>
  <si>
    <t xml:space="preserve"> ANDREWS</t>
  </si>
  <si>
    <t xml:space="preserve"> EDENTON</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</si>
  <si>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</si>
  <si>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</si>
  <si>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</si>
  <si>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</si>
  <si>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</si>
  <si>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</si>
  <si>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</si>
  <si>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</si>
  <si>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</si>
  <si>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 xml:space="preserve"> TRENT WOODS</t>
  </si>
  <si>
    <t xml:space="preserve"> RIVER BEND</t>
  </si>
  <si>
    <t xml:space="preserve"> VANCEBORO</t>
  </si>
  <si>
    <t xml:space="preserve"> BRIDGETON</t>
  </si>
  <si>
    <t xml:space="preserve"> COVE CITY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</si>
  <si>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</si>
  <si>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</si>
  <si>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</si>
  <si>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</si>
  <si>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</si>
  <si>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</si>
  <si>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</si>
  <si>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</si>
  <si>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</si>
  <si>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</si>
  <si>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</si>
  <si>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</si>
  <si>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</si>
  <si>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</si>
  <si>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</si>
  <si>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</si>
  <si>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</si>
  <si>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</si>
  <si>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</si>
  <si>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</si>
  <si>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</si>
  <si>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</si>
  <si>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</si>
  <si>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</si>
  <si>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</si>
  <si>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</si>
  <si>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</si>
  <si>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</si>
  <si>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</si>
  <si>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</si>
  <si>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</si>
  <si>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</si>
  <si>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</si>
  <si>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LEWISVILLE</t>
  </si>
  <si>
    <t xml:space="preserve"> FRANKLINTON</t>
  </si>
  <si>
    <t xml:space="preserve"> LOUISBURG</t>
  </si>
  <si>
    <t>ABC BOARD -  BUNN</t>
  </si>
  <si>
    <t xml:space="preserve"> YOUNGSVILLE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</si>
  <si>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</si>
  <si>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</si>
  <si>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</si>
  <si>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</si>
  <si>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</si>
  <si>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</si>
  <si>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</si>
  <si>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</si>
  <si>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</si>
  <si>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</si>
  <si>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</si>
  <si>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</si>
  <si>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</si>
  <si>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</si>
  <si>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</si>
  <si>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</si>
  <si>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</si>
  <si>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</si>
  <si>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</si>
  <si>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</si>
  <si>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</si>
  <si>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</si>
  <si>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</si>
  <si>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</si>
  <si>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</si>
  <si>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</si>
  <si>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</si>
  <si>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</si>
  <si>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</si>
  <si>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</si>
  <si>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</si>
  <si>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</si>
  <si>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</si>
  <si>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</si>
  <si>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</si>
  <si>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</si>
  <si>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</si>
  <si>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</si>
  <si>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</si>
  <si>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</si>
  <si>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</si>
  <si>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</si>
  <si>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</si>
  <si>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</si>
  <si>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</si>
  <si>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</si>
  <si>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</si>
  <si>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</si>
  <si>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</si>
  <si>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</si>
  <si>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</si>
  <si>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 xml:space="preserve"> PINK HILL</t>
  </si>
  <si>
    <t xml:space="preserve"> LAGRANGE</t>
  </si>
  <si>
    <t xml:space="preserve"> LINCOLNTON ABC BOARD</t>
  </si>
  <si>
    <t xml:space="preserve"> FRANKLIN</t>
  </si>
  <si>
    <t xml:space="preserve"> HIGHLANDS</t>
  </si>
  <si>
    <t xml:space="preserve"> MARS HILL</t>
  </si>
  <si>
    <t xml:space="preserve"> MARSHALL</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</si>
  <si>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</si>
  <si>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</si>
  <si>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</si>
  <si>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</si>
  <si>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</si>
  <si>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</si>
  <si>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</si>
  <si>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</si>
  <si>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</si>
  <si>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</si>
  <si>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</si>
  <si>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</si>
  <si>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</si>
  <si>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</si>
  <si>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</si>
  <si>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</si>
  <si>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</si>
  <si>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</si>
  <si>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</si>
  <si>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</si>
  <si>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</si>
  <si>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</si>
  <si>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</si>
  <si>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</si>
  <si>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</si>
  <si>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</si>
  <si>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</si>
  <si>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PINEBLUFF</t>
  </si>
  <si>
    <t xml:space="preserve"> CARTHAGE</t>
  </si>
  <si>
    <t xml:space="preserve"> SPRING HOPE</t>
  </si>
  <si>
    <t xml:space="preserve"> NASHVILLE</t>
  </si>
  <si>
    <t xml:space="preserve"> MIDDLESEX</t>
  </si>
  <si>
    <t xml:space="preserve"> WHITAKERS</t>
  </si>
  <si>
    <t xml:space="preserve"> BAILEY</t>
  </si>
  <si>
    <t xml:space="preserve"> SHARPSBURG</t>
  </si>
  <si>
    <t xml:space="preserve"> WRIGHTSVILLE BEACH</t>
  </si>
  <si>
    <t xml:space="preserve"> CAROLINA BEACH</t>
  </si>
  <si>
    <t xml:space="preserve"> KURE BEACH</t>
  </si>
  <si>
    <t xml:space="preserve"> RICH SQUARE</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</si>
  <si>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</si>
  <si>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</si>
  <si>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</si>
  <si>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</si>
  <si>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</si>
  <si>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</si>
  <si>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</si>
  <si>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</si>
  <si>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</si>
  <si>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</si>
  <si>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</si>
  <si>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</si>
  <si>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</si>
  <si>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</si>
  <si>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</si>
  <si>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</si>
  <si>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 xml:space="preserve"> BURGAW</t>
  </si>
  <si>
    <t xml:space="preserve"> TOPSAIL BEACH</t>
  </si>
  <si>
    <t xml:space="preserve"> SURF CITY</t>
  </si>
  <si>
    <t xml:space="preserve"> HERTFORD</t>
  </si>
  <si>
    <t xml:space="preserve"> HERTFORD ABC BOARD</t>
  </si>
  <si>
    <t xml:space="preserve"> WINFALL</t>
  </si>
  <si>
    <t xml:space="preserve"> FARMVILLE</t>
  </si>
  <si>
    <t xml:space="preserve"> GRIFTON</t>
  </si>
  <si>
    <t xml:space="preserve"> BETHEL</t>
  </si>
  <si>
    <t xml:space="preserve"> WINTERVILLE</t>
  </si>
  <si>
    <t xml:space="preserve"> AYDEN</t>
  </si>
  <si>
    <t xml:space="preserve"> GRIMESLAND</t>
  </si>
  <si>
    <t xml:space="preserve">FOUNTAIN, </t>
  </si>
  <si>
    <t xml:space="preserve"> TRYON</t>
  </si>
  <si>
    <t xml:space="preserve"> COLUMBUS</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</si>
  <si>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</si>
  <si>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</si>
  <si>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</si>
  <si>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</si>
  <si>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</si>
  <si>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</si>
  <si>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</si>
  <si>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</si>
  <si>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</si>
  <si>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</si>
  <si>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 xml:space="preserve"> MAYODAN</t>
  </si>
  <si>
    <t xml:space="preserve"> STONEVILLE</t>
  </si>
  <si>
    <t xml:space="preserve"> MADISON</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</si>
  <si>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</si>
  <si>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</si>
  <si>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</si>
  <si>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</si>
  <si>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</si>
  <si>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</si>
  <si>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</si>
  <si>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</si>
  <si>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</si>
  <si>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</si>
  <si>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</si>
  <si>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</si>
  <si>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</si>
  <si>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</si>
  <si>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</si>
  <si>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</si>
  <si>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</si>
  <si>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</si>
  <si>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</si>
  <si>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</si>
  <si>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</si>
  <si>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</si>
  <si>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 xml:space="preserve"> NORWOOD</t>
  </si>
  <si>
    <t xml:space="preserve"> OAKBORO</t>
  </si>
  <si>
    <t xml:space="preserve"> BADIN</t>
  </si>
  <si>
    <t xml:space="preserve"> NEW LONDON</t>
  </si>
  <si>
    <t xml:space="preserve"> STANFIELD</t>
  </si>
  <si>
    <t xml:space="preserve"> WALNUT COVE</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</si>
  <si>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</si>
  <si>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</si>
  <si>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</si>
  <si>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</si>
  <si>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</si>
  <si>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</si>
  <si>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</si>
  <si>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</si>
  <si>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</si>
  <si>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</si>
  <si>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</si>
  <si>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</si>
  <si>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</si>
  <si>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</si>
  <si>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</si>
  <si>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</si>
  <si>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</si>
  <si>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</si>
  <si>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</si>
  <si>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</si>
  <si>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</si>
  <si>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</si>
  <si>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</si>
  <si>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</si>
  <si>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</si>
  <si>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</si>
  <si>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</si>
  <si>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</si>
  <si>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</si>
  <si>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</si>
  <si>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</si>
  <si>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 xml:space="preserve"> MOUNT OLIVE</t>
  </si>
  <si>
    <t xml:space="preserve"> FREMONT</t>
  </si>
  <si>
    <t xml:space="preserve"> PIKEVILLE</t>
  </si>
  <si>
    <t xml:space="preserve"> N WILKESBORO</t>
  </si>
  <si>
    <t xml:space="preserve"> N WILKESBORO ABC BOARD</t>
  </si>
  <si>
    <t xml:space="preserve"> WILKESBORO</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</si>
  <si>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</si>
  <si>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</si>
  <si>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</si>
  <si>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</si>
  <si>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</si>
  <si>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</si>
  <si>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</si>
  <si>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</si>
  <si>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 xml:space="preserve"> MISENHEIMER</t>
  </si>
  <si>
    <t xml:space="preserve"> ALAMANCE</t>
  </si>
  <si>
    <t xml:space="preserve"> BALD HEAD ISLAND</t>
  </si>
  <si>
    <t xml:space="preserve"> CLEMMONS</t>
  </si>
  <si>
    <t>THE  FLAT ROCK</t>
  </si>
  <si>
    <t xml:space="preserve"> PINEHURST</t>
  </si>
  <si>
    <t xml:space="preserve"> WHISPERING PINES</t>
  </si>
  <si>
    <t xml:space="preserve"> SIMPSON</t>
  </si>
  <si>
    <t xml:space="preserve"> MARVIN</t>
  </si>
  <si>
    <t xml:space="preserve"> WESLEY CHAPEL</t>
  </si>
  <si>
    <t xml:space="preserve"> WALNUT CREEK</t>
  </si>
  <si>
    <t>YOUNGSVILLE</t>
  </si>
  <si>
    <t>ZEBULON</t>
  </si>
  <si>
    <t>YANCEYVILLE</t>
  </si>
  <si>
    <t>YADKINVILLE</t>
  </si>
  <si>
    <t>WRIGHTSVILLE BEACH</t>
  </si>
  <si>
    <t>ALAMANCE</t>
  </si>
  <si>
    <t>BALD HEAD ISLAND</t>
  </si>
  <si>
    <t>CLEMMONS</t>
  </si>
  <si>
    <t>FLAT ROCK</t>
  </si>
  <si>
    <t>FLETCHER</t>
  </si>
  <si>
    <t>FOREST CITY</t>
  </si>
  <si>
    <t>FOUR OAKS</t>
  </si>
  <si>
    <t>FRANKLIN</t>
  </si>
  <si>
    <t>FRANKLINTON</t>
  </si>
  <si>
    <t>FREMONT</t>
  </si>
  <si>
    <t>FUQUAY-VARINA</t>
  </si>
  <si>
    <t>GARLAND</t>
  </si>
  <si>
    <t>GARNER</t>
  </si>
  <si>
    <t>GARYSBURG</t>
  </si>
  <si>
    <t>GASTON</t>
  </si>
  <si>
    <t>GIBSON</t>
  </si>
  <si>
    <t>GIBSONVILLE</t>
  </si>
  <si>
    <t>GLEN ALPINE</t>
  </si>
  <si>
    <t>GRANITE FALLS</t>
  </si>
  <si>
    <t>GRANITE QUARRY</t>
  </si>
  <si>
    <t>GREEN LEVEL</t>
  </si>
  <si>
    <t>GRIFTON</t>
  </si>
  <si>
    <t>GRIMESLAND</t>
  </si>
  <si>
    <t>GROVER</t>
  </si>
  <si>
    <t>HAMILTON</t>
  </si>
  <si>
    <t>HARRISBURG</t>
  </si>
  <si>
    <t>HAW RIVER</t>
  </si>
  <si>
    <t>HERTFORD</t>
  </si>
  <si>
    <t>HERTFORD ABC BOARD</t>
  </si>
  <si>
    <t>HIGHLANDS</t>
  </si>
  <si>
    <t>HILDEBRAN</t>
  </si>
  <si>
    <t>HILLSBOROUGH</t>
  </si>
  <si>
    <t>HOBGOOD</t>
  </si>
  <si>
    <t>HOLDEN BEACH</t>
  </si>
  <si>
    <t>HOLLY RIDGE</t>
  </si>
  <si>
    <t>HOLLY SPRINGS</t>
  </si>
  <si>
    <t>HOOKERTON</t>
  </si>
  <si>
    <t>HOPE MILLS</t>
  </si>
  <si>
    <t>HUDSON</t>
  </si>
  <si>
    <t>HUNTERSVILLE</t>
  </si>
  <si>
    <t>INDIAN BEACH</t>
  </si>
  <si>
    <t>INDIAN TRAIL</t>
  </si>
  <si>
    <t>JACKSON</t>
  </si>
  <si>
    <t>JAMESTOWN</t>
  </si>
  <si>
    <t>JAMESVILLE</t>
  </si>
  <si>
    <t>JEFFERSON</t>
  </si>
  <si>
    <t>JONESVILLE</t>
  </si>
  <si>
    <t>KENANSVILLE</t>
  </si>
  <si>
    <t>KENLY</t>
  </si>
  <si>
    <t>KERNERSVILLE</t>
  </si>
  <si>
    <t>KILL DEVIL HILLS</t>
  </si>
  <si>
    <t>KING</t>
  </si>
  <si>
    <t>KITTY HAWK</t>
  </si>
  <si>
    <t>KNIGHTDALE</t>
  </si>
  <si>
    <t>KURE BEACH</t>
  </si>
  <si>
    <t>LAGRANGE</t>
  </si>
  <si>
    <t>LAKE LURE</t>
  </si>
  <si>
    <t>LAKE WACCAMAW</t>
  </si>
  <si>
    <t>LANDIS</t>
  </si>
  <si>
    <t>LAUREL PARK</t>
  </si>
  <si>
    <t>LAWNDALE</t>
  </si>
  <si>
    <t>LELAND</t>
  </si>
  <si>
    <t>LEWISTON WOODVILLE</t>
  </si>
  <si>
    <t>LEWISVILLE</t>
  </si>
  <si>
    <t>LIBERTY</t>
  </si>
  <si>
    <t>LILESVILLE</t>
  </si>
  <si>
    <t>LILLINGTON</t>
  </si>
  <si>
    <t>LINCOLNTON ABC BOARD</t>
  </si>
  <si>
    <t>LINDEN</t>
  </si>
  <si>
    <t>LITTLETON</t>
  </si>
  <si>
    <t>LONGVIEW</t>
  </si>
  <si>
    <t>LOUISBURG</t>
  </si>
  <si>
    <t>LUCAMA</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</si>
  <si>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</si>
  <si>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</si>
  <si>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</si>
  <si>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</si>
  <si>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</si>
  <si>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</si>
  <si>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</si>
  <si>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</si>
  <si>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</si>
  <si>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</si>
  <si>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</si>
  <si>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</si>
  <si>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</si>
  <si>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</si>
  <si>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</si>
  <si>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</si>
  <si>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</si>
  <si>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</si>
  <si>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</si>
  <si>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</si>
  <si>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</si>
  <si>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</si>
  <si>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</si>
  <si>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</si>
  <si>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</si>
  <si>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MONTREAT</t>
  </si>
  <si>
    <t>MOREHEAD CITY</t>
  </si>
  <si>
    <t>MORRISVILLE</t>
  </si>
  <si>
    <t>MORVEN</t>
  </si>
  <si>
    <t>MOUNT GILEAD</t>
  </si>
  <si>
    <t>MOUNT OLIVE</t>
  </si>
  <si>
    <t>MOUNT PLEASANT</t>
  </si>
  <si>
    <t>MURFREESBORO</t>
  </si>
  <si>
    <t>MURPHY</t>
  </si>
  <si>
    <t>NORTH TOPSAIL BEACH</t>
  </si>
  <si>
    <t>NORTH WILKESBORO</t>
  </si>
  <si>
    <t>NORTH WILKESBORO ABC BOARD</t>
  </si>
  <si>
    <t>NAGS HEAD</t>
  </si>
  <si>
    <t>NASHVILLE</t>
  </si>
  <si>
    <t>NAVASSA</t>
  </si>
  <si>
    <t>NEW LONDON</t>
  </si>
  <si>
    <t>NEWLAND</t>
  </si>
  <si>
    <t>NEWPORT</t>
  </si>
  <si>
    <t>NEWTON GROVE</t>
  </si>
  <si>
    <t>NORLINA</t>
  </si>
  <si>
    <t>NORWOOD</t>
  </si>
  <si>
    <t>OAK CITY</t>
  </si>
  <si>
    <t>OAK ISLAND</t>
  </si>
  <si>
    <t>OAK RIDGE</t>
  </si>
  <si>
    <t>OAKBORO</t>
  </si>
  <si>
    <t>OCEAN ISLE BEACH</t>
  </si>
  <si>
    <t>OLD FORT</t>
  </si>
  <si>
    <t>ORIENTAL</t>
  </si>
  <si>
    <t>PARKTON</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</si>
  <si>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</si>
  <si>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</si>
  <si>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</si>
  <si>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</si>
  <si>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</si>
  <si>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</si>
  <si>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</si>
  <si>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</si>
  <si>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</si>
  <si>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</si>
  <si>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</si>
  <si>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</si>
  <si>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</si>
  <si>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</si>
  <si>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</si>
  <si>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</si>
  <si>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</si>
  <si>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</si>
  <si>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RAMSEUR</t>
  </si>
  <si>
    <t>RANLO</t>
  </si>
  <si>
    <t>RED SPRINGS</t>
  </si>
  <si>
    <t>RICH SQUARE</t>
  </si>
  <si>
    <t>RICHLANDS</t>
  </si>
  <si>
    <t>RIVER BEND</t>
  </si>
  <si>
    <t>ROBBINS</t>
  </si>
  <si>
    <t>ROBBINSVILLE</t>
  </si>
  <si>
    <t>ROBERSONVILLE</t>
  </si>
  <si>
    <t>ROCKWELL</t>
  </si>
  <si>
    <t>ROLESVILLE</t>
  </si>
  <si>
    <t>ROPER</t>
  </si>
  <si>
    <t>ROSE HILL</t>
  </si>
  <si>
    <t>ROSEBORO</t>
  </si>
  <si>
    <t>ROWLAND</t>
  </si>
  <si>
    <t>RURAL HALL</t>
  </si>
  <si>
    <t>RUTHERFORD COLLEGE</t>
  </si>
  <si>
    <t>RUTHERFORDTON</t>
  </si>
  <si>
    <t>SALEMBURG</t>
  </si>
  <si>
    <t>SAWMILLS</t>
  </si>
  <si>
    <t>SCOTLAND NECK</t>
  </si>
  <si>
    <t>SEABOARD</t>
  </si>
  <si>
    <t>SEAGROVE</t>
  </si>
  <si>
    <t>SELMA</t>
  </si>
  <si>
    <t>SEVEN DEVILS</t>
  </si>
  <si>
    <t>SEVERN</t>
  </si>
  <si>
    <t>SHALLOTTE</t>
  </si>
  <si>
    <t>SHARPSBURG</t>
  </si>
  <si>
    <t>SILER CITY</t>
  </si>
  <si>
    <t>SIMPSON</t>
  </si>
  <si>
    <t>SMITHFIELD</t>
  </si>
  <si>
    <t>SNOW HILL</t>
  </si>
  <si>
    <t>SOUTHERN PINES</t>
  </si>
  <si>
    <t>SOUTHERN SHORES</t>
  </si>
  <si>
    <t>SPARTA</t>
  </si>
  <si>
    <t>SPARTA ABC BOARD</t>
  </si>
  <si>
    <t>SPENCER</t>
  </si>
  <si>
    <t>SPINDALE</t>
  </si>
  <si>
    <t>SPRING HOPE</t>
  </si>
  <si>
    <t>SPRING LAKE</t>
  </si>
  <si>
    <t>SPRUCE PINE</t>
  </si>
  <si>
    <t>SAINT JAMES</t>
  </si>
  <si>
    <t>SAINT PAULS</t>
  </si>
  <si>
    <t>STALLINGS</t>
  </si>
  <si>
    <t>STANFIELD</t>
  </si>
  <si>
    <t>STANLEY</t>
  </si>
  <si>
    <t>STANTONSBURG</t>
  </si>
  <si>
    <t>STAR</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</si>
  <si>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</si>
  <si>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</si>
  <si>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</si>
  <si>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</si>
  <si>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</si>
  <si>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</si>
  <si>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</si>
  <si>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</si>
  <si>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</si>
  <si>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</si>
  <si>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</si>
  <si>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</si>
  <si>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</si>
  <si>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</si>
  <si>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</si>
  <si>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TOBACCOVILLE</t>
  </si>
  <si>
    <t>TOPSAIL BEACH</t>
  </si>
  <si>
    <t>TRENT WOODS</t>
  </si>
  <si>
    <t>TROUTMAN</t>
  </si>
  <si>
    <t>TROUTMAN ABC BOARD</t>
  </si>
  <si>
    <t>TROY</t>
  </si>
  <si>
    <t>TRYON</t>
  </si>
  <si>
    <t>TURKEY</t>
  </si>
  <si>
    <t>VALDESE</t>
  </si>
  <si>
    <t>VANCEBORO</t>
  </si>
  <si>
    <t>VASS</t>
  </si>
  <si>
    <t>WADE</t>
  </si>
  <si>
    <t>WADESBORO</t>
  </si>
  <si>
    <t>WAGRAM</t>
  </si>
  <si>
    <t>WAKE FOREST</t>
  </si>
  <si>
    <t>WALKERTOWN</t>
  </si>
  <si>
    <t>WALLACE</t>
  </si>
  <si>
    <t>WALNUT COVE</t>
  </si>
  <si>
    <t>WALNUT CREEK</t>
  </si>
  <si>
    <t>WALSTONBURG</t>
  </si>
  <si>
    <t>WARRENTON</t>
  </si>
  <si>
    <t>WARSAW</t>
  </si>
  <si>
    <t>WASHINGTON PARK</t>
  </si>
  <si>
    <t>WAXHAW</t>
  </si>
  <si>
    <t>WAYNESVILLE</t>
  </si>
  <si>
    <t>WEAVERVILLE</t>
  </si>
  <si>
    <t>WEDDINGTON</t>
  </si>
  <si>
    <t>WELDON</t>
  </si>
  <si>
    <t>WENDELL</t>
  </si>
  <si>
    <t>WESLEY CHAPEL</t>
  </si>
  <si>
    <t>WEST JEFFERSON</t>
  </si>
  <si>
    <t>WHISPERING PINES</t>
  </si>
  <si>
    <t>WHITAKERS</t>
  </si>
  <si>
    <t>WHITE LAKE</t>
  </si>
  <si>
    <t>WILKESBORO</t>
  </si>
  <si>
    <t>WILLIAMSTON</t>
  </si>
  <si>
    <t>WILSON'S MILLS</t>
  </si>
  <si>
    <t>WINDSOR</t>
  </si>
  <si>
    <t>WINFALL</t>
  </si>
  <si>
    <t>WINGATE</t>
  </si>
  <si>
    <t>WINTERVILLE</t>
  </si>
  <si>
    <t>WINTON</t>
  </si>
  <si>
    <t>WOODFIN</t>
  </si>
  <si>
    <t>WOODLAND</t>
  </si>
  <si>
    <t>BUNN ABC BOARD</t>
  </si>
  <si>
    <t>UNIONVILLE</t>
  </si>
  <si>
    <t>ASHEBORO HOUSING AUTHORITY</t>
  </si>
  <si>
    <t>WATER &amp; SEWER AUTHORITY OF CABARRUS CNTY</t>
  </si>
  <si>
    <t>CABARRUS CO PUBLIC HEALTH AUTHORITY</t>
  </si>
  <si>
    <t>BEAUFORT HOUSING AUTHORITY</t>
  </si>
  <si>
    <t>HICKORY CONOVER TOURISM DEV AUTHORITY</t>
  </si>
  <si>
    <t>CHATHAM CO HOUSING AUTHORITY</t>
  </si>
  <si>
    <t>THE NEW EDENTON HOUSING AUTHORITY</t>
  </si>
  <si>
    <t>COASTAL REGIONAL SOLID WASTE MNGT AUTHORITY</t>
  </si>
  <si>
    <t>FAYETTEVILLE METROPOLITAN HOUSING AUTHORITY</t>
  </si>
  <si>
    <t>PIEDMONT TRIAD REG WATER AUTHORITY</t>
  </si>
  <si>
    <t>HOUSING AUTHORITY FOR THE CTY OF KINSTON</t>
  </si>
  <si>
    <t>MARTIN CO TRAVEL &amp; TOURISM AUTHORITY</t>
  </si>
  <si>
    <t>NEW HANOVER AIRPORT AUTHORITY</t>
  </si>
  <si>
    <t>LOWER CAPE FEAR WATER &amp; SEWER AUTHORITY</t>
  </si>
  <si>
    <t>CHOANOKE PUBLIC TRANSPORTATION AUTHORITY</t>
  </si>
  <si>
    <t>ELIZABETH CITY-PASQUOTANK CO AIRPORT AUTHORITY</t>
  </si>
  <si>
    <t>HERTFORD HOUSING AUTHORITY</t>
  </si>
  <si>
    <t>THE NEW REIDSVILLE HOUSING AUTHORITY</t>
  </si>
  <si>
    <t>HOUSING AUTHORITY OF THE CTY OF SALISBURY</t>
  </si>
  <si>
    <t>EASTERN CAROLINA REG'L HOUSING AUTHORITY</t>
  </si>
  <si>
    <t>WILSON COUNTY TOURISM DEVELOPMENT AUTHORITY</t>
  </si>
  <si>
    <t>NEW EDENTON HOUSING AUTHORITY</t>
  </si>
  <si>
    <t>NEW REIDSVILLE HOUSING AUTHORITY</t>
  </si>
  <si>
    <t>BESSEMER CITY ABC BOARD</t>
  </si>
  <si>
    <t>BRUNSWICK COUNTY DEPT OF SOCIAL SERVICES</t>
  </si>
  <si>
    <t>BRUNSWICK COUNTY HEALTH DEPT</t>
  </si>
  <si>
    <t>BURKE COUNTY DEPT OF SOCIAL SERVICES</t>
  </si>
  <si>
    <t>BURKE COUNTY HEALTH DEPT</t>
  </si>
  <si>
    <t>CABARRUS COUNTY PUBLIC HEALTH AUTHORITY</t>
  </si>
  <si>
    <t>CASWELL COUNTY DEPT OF SOCIAL SERVICES</t>
  </si>
  <si>
    <t>CHATHAM COUNTY HOUSING AUTHORITY</t>
  </si>
  <si>
    <t>YANCEY SOIL &amp; WATER CONSERVATION DISTRICT</t>
  </si>
  <si>
    <t>WOODFIN SANITARY WATER AND SEWER DISTRICT</t>
  </si>
  <si>
    <t>WESTERN PIEDMONT COUNCIL OF GOVERNMENTS</t>
  </si>
  <si>
    <t>WATER &amp; SEWER AUTHORITY OF CABARRUS COUNTY</t>
  </si>
  <si>
    <t>VANCE COUNTY ABC BOARD</t>
  </si>
  <si>
    <t>TYRRELL COUNTY ABC BOARD</t>
  </si>
  <si>
    <t>SAINT PAUL'S BOARD OF ALCOHOLIC CONTROL</t>
  </si>
  <si>
    <t>RUTHERFORDTON ABC BOARD</t>
  </si>
  <si>
    <t>RUTHERFORD POLK MCDOWELL DIST BOARD OF HEALTH</t>
  </si>
  <si>
    <t>ROWAN CO SOIL &amp; WATER CONV DISTRICT</t>
  </si>
  <si>
    <t>FAYETTEVILLE PUBLIC WORKS COMMISSION</t>
  </si>
  <si>
    <t>PITT-GREENVILLE CONVENTION &amp; VISTORS BUREAU</t>
  </si>
  <si>
    <t>PERSON CO ABC BOARD</t>
  </si>
  <si>
    <t>OCRACOKE SANITARY DISTRICT</t>
  </si>
  <si>
    <t>OAK ISLAND ABC BOARD</t>
  </si>
  <si>
    <t>NORWOOD ABC BOARD</t>
  </si>
  <si>
    <t>MITCHELL SOIL &amp; WATER CONSERVATION DISTRICT</t>
  </si>
  <si>
    <t>MECKLENBURG EMERGENCY MEDICAL SVCS AGCY</t>
  </si>
  <si>
    <t>MARTIN-TYRRELL-WASHINGTON DISTRICT HEALTH DEPT</t>
  </si>
  <si>
    <t>MAGGIE VALLEY SANITARY DISTRICT</t>
  </si>
  <si>
    <t>LUMBERTON AIRPORT COMMISSION</t>
  </si>
  <si>
    <t>LENOIR ABC BOARD</t>
  </si>
  <si>
    <t>KINSTON-LENOIR CO PUBLIC LIBRARY</t>
  </si>
  <si>
    <t>KERR-TAR REGIONAL COUNCIL OF GOVERNMENTS</t>
  </si>
  <si>
    <t>J C HOLIDAY MEMORIAL LIBRARY</t>
  </si>
  <si>
    <t xml:space="preserve">SALISBURY HOUSING AUTHORITY </t>
  </si>
  <si>
    <t xml:space="preserve">GOLDSBORO HOUSING AUTHORITY </t>
  </si>
  <si>
    <t xml:space="preserve">KINSTON HOUSING AUTHORITY </t>
  </si>
  <si>
    <t>HIGH POINT ABC BOARD</t>
  </si>
  <si>
    <t>HENDERSONVILLE ABC BOARD</t>
  </si>
  <si>
    <t>GREENSBORO ABC BOARD</t>
  </si>
  <si>
    <t>GRANVILLE CO ABC BOARD</t>
  </si>
  <si>
    <t>Measurement date 6/30/2016</t>
  </si>
  <si>
    <t>Recognition period - 4.86 years</t>
  </si>
  <si>
    <t>source : LGERS GASB 68 FYE2017 - Client</t>
  </si>
  <si>
    <t>`</t>
  </si>
  <si>
    <t>Contributions - July 1, 2015 through June 30, 2016</t>
  </si>
  <si>
    <t>Net Pension Liability - Beginning of the Year</t>
  </si>
  <si>
    <t>Net Pension Liability - End of Year</t>
  </si>
  <si>
    <r>
      <t xml:space="preserve">Net DO/DI for Difference Between Projected and Actual Investment Earnings on Plan Investements </t>
    </r>
    <r>
      <rPr>
        <b/>
        <sz val="11"/>
        <color rgb="FFFF0000"/>
        <rFont val="Calibri"/>
        <family val="2"/>
        <scheme val="minor"/>
      </rPr>
      <t>(added by LGC)</t>
    </r>
  </si>
  <si>
    <t>TOTAL</t>
  </si>
  <si>
    <t>Aberdeen, Town Of</t>
  </si>
  <si>
    <t>Ahoskie, Town Of</t>
  </si>
  <si>
    <t>Alamance Community Fire Dist.,Inc</t>
  </si>
  <si>
    <t>Alamance, Village Of</t>
  </si>
  <si>
    <t>Albemarle A.B.C. Board</t>
  </si>
  <si>
    <t>Albemarle Regional Plan. &amp; Develop. Com</t>
  </si>
  <si>
    <t>Albemarle, City Of</t>
  </si>
  <si>
    <t>Alexander County Health Department</t>
  </si>
  <si>
    <t>Alexander County Library</t>
  </si>
  <si>
    <t>Alexander County Welfare Department</t>
  </si>
  <si>
    <t>Alliance Behavioral Healthcare</t>
  </si>
  <si>
    <t>Andrews, Town Of</t>
  </si>
  <si>
    <t>Angier A.B.C. Board</t>
  </si>
  <si>
    <t>Angier, Town Of</t>
  </si>
  <si>
    <t>Ansonville, Town Of</t>
  </si>
  <si>
    <t>Apex, Town Of</t>
  </si>
  <si>
    <t>Appalachian District Health Department</t>
  </si>
  <si>
    <t>Archdale, City Of</t>
  </si>
  <si>
    <t>Archer Lodge, Town Of</t>
  </si>
  <si>
    <t>Asheboro A.B.C. Board</t>
  </si>
  <si>
    <t>Asheboro Housing Authority</t>
  </si>
  <si>
    <t>Asheboro, City Of</t>
  </si>
  <si>
    <t>Asheville A.B.C. Board</t>
  </si>
  <si>
    <t>Asheville, City Of</t>
  </si>
  <si>
    <t>Atlantic Beach, Town Of</t>
  </si>
  <si>
    <t>Aulander, Town Of</t>
  </si>
  <si>
    <t>Aurora, Town Of</t>
  </si>
  <si>
    <t>Autryville, Town Of</t>
  </si>
  <si>
    <t>Avery-Mitchell-Yancey Dist. Library</t>
  </si>
  <si>
    <t>Ayden, Town Of</t>
  </si>
  <si>
    <t>B.H.M. Regional Library</t>
  </si>
  <si>
    <t>Badin, Town Of</t>
  </si>
  <si>
    <t>Bailey, Town Of</t>
  </si>
  <si>
    <t>Bakersville, Town Of</t>
  </si>
  <si>
    <t>Bald Head Island, Village Of</t>
  </si>
  <si>
    <t>Banner Elk, Town Of</t>
  </si>
  <si>
    <t>Bayboro, Town Of</t>
  </si>
  <si>
    <t>Beaufort County A.B.C. Board</t>
  </si>
  <si>
    <t>Beaufort Housing Authority</t>
  </si>
  <si>
    <t>Beaufort, Town Of</t>
  </si>
  <si>
    <t>Beech Mountain, Town Of</t>
  </si>
  <si>
    <t>Belhaven, Town Of</t>
  </si>
  <si>
    <t>Belmont, City Of</t>
  </si>
  <si>
    <t>Belville, Town Of</t>
  </si>
  <si>
    <t>Benson, Town Of</t>
  </si>
  <si>
    <t>Bermuda Run, Town Of</t>
  </si>
  <si>
    <t>Bertie County A.B.C. Board</t>
  </si>
  <si>
    <t>Bessemer City, City Of</t>
  </si>
  <si>
    <t>Bethel, Town Of</t>
  </si>
  <si>
    <t>Beulaville, Town Of</t>
  </si>
  <si>
    <t>Biltmore Forest, Town Of</t>
  </si>
  <si>
    <t>Biscoe, Town Of</t>
  </si>
  <si>
    <t>Black Creek, Town Of</t>
  </si>
  <si>
    <t>Black Mountain A.B.C. Board</t>
  </si>
  <si>
    <t>Black Mountain, Town Of</t>
  </si>
  <si>
    <t>Bladenboro, Town Of</t>
  </si>
  <si>
    <t>Blowing Rock A.B.C. Board</t>
  </si>
  <si>
    <t>Blowing Rock, Town Of</t>
  </si>
  <si>
    <t>Boiling Spring Lakes A.B.C. Board</t>
  </si>
  <si>
    <t>Boiling Spring Lakes, City Of</t>
  </si>
  <si>
    <t>Boiling Springs, Town Of</t>
  </si>
  <si>
    <t>Boone, Town Of</t>
  </si>
  <si>
    <t>Boonville, Town Of</t>
  </si>
  <si>
    <t>Brevard A.B.C. Board</t>
  </si>
  <si>
    <t>Brevard, City Of</t>
  </si>
  <si>
    <t>Bridgeton, Town Of</t>
  </si>
  <si>
    <t>Broadway, Town Of</t>
  </si>
  <si>
    <t>Brookford, Town Of</t>
  </si>
  <si>
    <t>Brunswick County A.B.C. Board</t>
  </si>
  <si>
    <t>Brunswick County Dept of Social Services</t>
  </si>
  <si>
    <t>Brunswick County Health Department</t>
  </si>
  <si>
    <t>Brunswick County Tourism Develop. Authority</t>
  </si>
  <si>
    <t>Brunswick Regional Water and Sewer H2GO</t>
  </si>
  <si>
    <t>Brunswick, Town Of</t>
  </si>
  <si>
    <t>Bryson City A.B.C. Board</t>
  </si>
  <si>
    <t>Bryson City, Town Of</t>
  </si>
  <si>
    <t>Bunn A.B.C. Board</t>
  </si>
  <si>
    <t>Bunn, Town Of</t>
  </si>
  <si>
    <t>Burgaw, Town Of</t>
  </si>
  <si>
    <t>Burke County Dept of Social Services</t>
  </si>
  <si>
    <t>Burke County Health Department</t>
  </si>
  <si>
    <t xml:space="preserve">Burke County Tourism Development Authority </t>
  </si>
  <si>
    <t>Burke-Catawba Dist. Confinement Fa</t>
  </si>
  <si>
    <t>Burlington, City Of</t>
  </si>
  <si>
    <t>Burnsville, Town Of</t>
  </si>
  <si>
    <t>Butner, Town Of</t>
  </si>
  <si>
    <t>Cabarrus Co. Public Health Auth</t>
  </si>
  <si>
    <t>Cabarrus Co. Tourism Auth</t>
  </si>
  <si>
    <t>Cajah's Mountain, Town Of</t>
  </si>
  <si>
    <t>Calabash A.B.C. Board</t>
  </si>
  <si>
    <t>Calabash, Town Of</t>
  </si>
  <si>
    <t>Calypso, Town Of</t>
  </si>
  <si>
    <t>Camden County A.B.C. Board</t>
  </si>
  <si>
    <t>Cameron, Town Of</t>
  </si>
  <si>
    <t>Candor, Town Of</t>
  </si>
  <si>
    <t>Canton A.B.C. Board</t>
  </si>
  <si>
    <t>Canton, Town Of</t>
  </si>
  <si>
    <t>Cape Carteret, Town Of</t>
  </si>
  <si>
    <t>Carolina Beach, Town Of</t>
  </si>
  <si>
    <t>Carolina Shores, Town of</t>
  </si>
  <si>
    <t>Carrboro, Town Of</t>
  </si>
  <si>
    <t>Carteret County A.B.C. Board</t>
  </si>
  <si>
    <t>Carthage, Town Of</t>
  </si>
  <si>
    <t>Cary, Town Of</t>
  </si>
  <si>
    <t>Caswell Beach, Town Of</t>
  </si>
  <si>
    <t>Caswell County A.B.C. Board</t>
  </si>
  <si>
    <t>Caswell County Dept of Social Services</t>
  </si>
  <si>
    <t>Catawba County A.B.C. Board</t>
  </si>
  <si>
    <t>Catawba, Town Of</t>
  </si>
  <si>
    <t>Cedar Point, Town Of</t>
  </si>
  <si>
    <t>Centennial Authority, The</t>
  </si>
  <si>
    <t>Chadbourn, Town Of</t>
  </si>
  <si>
    <t>Chapel Hill, Town Of</t>
  </si>
  <si>
    <t>Charlott Housing Authority</t>
  </si>
  <si>
    <t>Charlotte Fire Ret Sys Board of Trust</t>
  </si>
  <si>
    <t>Charlotte, City Of</t>
  </si>
  <si>
    <t>Charlotte-Mecklenburg Public Libra</t>
  </si>
  <si>
    <t>Chatham County A.B.C. Board</t>
  </si>
  <si>
    <t>Chatham County Housing Authority</t>
  </si>
  <si>
    <t>Cherryville A.B.C. Board</t>
  </si>
  <si>
    <t>Cherryville, City Of</t>
  </si>
  <si>
    <t>China Grove, Town Of</t>
  </si>
  <si>
    <t>Choanoke Public Transportation Authority</t>
  </si>
  <si>
    <t>Chocowinity, Town Of</t>
  </si>
  <si>
    <t>Chowan County A.B.C. Board</t>
  </si>
  <si>
    <t>City of Wilson Cemetery Commission</t>
  </si>
  <si>
    <t>Claremont, Town Of</t>
  </si>
  <si>
    <t>Clarkton, Town Of</t>
  </si>
  <si>
    <t>Clayton, Town Of</t>
  </si>
  <si>
    <t>Clemmons,  Village Of</t>
  </si>
  <si>
    <t>Cleveland County Sanitary District</t>
  </si>
  <si>
    <t>Cleveland, Town Of</t>
  </si>
  <si>
    <t>Clinton A.B.C. Board</t>
  </si>
  <si>
    <t>Clinton, City Of</t>
  </si>
  <si>
    <t>Coastal Care</t>
  </si>
  <si>
    <t>Coastal Regional Waste Management Authority</t>
  </si>
  <si>
    <t>Coats, Town Of</t>
  </si>
  <si>
    <t>Cofield, Town Of</t>
  </si>
  <si>
    <t>Colerain, Town Of</t>
  </si>
  <si>
    <t>Columbia, Town Of</t>
  </si>
  <si>
    <t>Columbus, Town Of</t>
  </si>
  <si>
    <t>Concord A.B.C. Board</t>
  </si>
  <si>
    <t>Concord, City Of</t>
  </si>
  <si>
    <t>Connelly Springs, Town Of</t>
  </si>
  <si>
    <t>Conover, Town Of</t>
  </si>
  <si>
    <t>Contennea Metro Sewer District</t>
  </si>
  <si>
    <t>Conway, Town Of</t>
  </si>
  <si>
    <t>Cooleemee A.B.C. Board</t>
  </si>
  <si>
    <t>Cooleemee, Town Of</t>
  </si>
  <si>
    <t>Cornelius, Town Of</t>
  </si>
  <si>
    <t>Cove City, Town Of</t>
  </si>
  <si>
    <t>Cramerton, Town Of</t>
  </si>
  <si>
    <t>Craven County A.B.C. Board</t>
  </si>
  <si>
    <t>Craven County Airport Authority</t>
  </si>
  <si>
    <t>Creedmoor, City Of</t>
  </si>
  <si>
    <t>Creswell, Town Of</t>
  </si>
  <si>
    <t>Cumberland County A.B.C. Board</t>
  </si>
  <si>
    <t>Currituck County A.B.C. Board</t>
  </si>
  <si>
    <t>Dallas, Town Of</t>
  </si>
  <si>
    <t>Dare County A.B.C. Board</t>
  </si>
  <si>
    <t>Davidson, Town Of</t>
  </si>
  <si>
    <t>Davie Soil &amp; Water Conservation District</t>
  </si>
  <si>
    <t>Denton, Town Of</t>
  </si>
  <si>
    <t>Dobson A.B.C. Board</t>
  </si>
  <si>
    <t>Dobson, Town Of</t>
  </si>
  <si>
    <t>Drexel, Town Of</t>
  </si>
  <si>
    <t>Duck, Town Of</t>
  </si>
  <si>
    <t>Dunn A.B.C. Board</t>
  </si>
  <si>
    <t>Dunn, Town Of</t>
  </si>
  <si>
    <t>Durham Convention and Visitors Bureau</t>
  </si>
  <si>
    <t>Durham County A.B.C. Board</t>
  </si>
  <si>
    <t>Durham Highway Fire Protection Age</t>
  </si>
  <si>
    <t>Durham, City Of</t>
  </si>
  <si>
    <t>East Bend, Town Of</t>
  </si>
  <si>
    <t>East Carolina Behavorial Healthcare</t>
  </si>
  <si>
    <t>East Spencer, Town Of</t>
  </si>
  <si>
    <t>Eastern Carolina Reg. Housing Auth</t>
  </si>
  <si>
    <t>Eastern Wayne Sanitary District</t>
  </si>
  <si>
    <t>Eastover, Town Of</t>
  </si>
  <si>
    <t>Eden A.B.C. Board</t>
  </si>
  <si>
    <t>Eden, City Of</t>
  </si>
  <si>
    <t>Edenton, Town Of</t>
  </si>
  <si>
    <t>Edgecombe County A.B.C. Board</t>
  </si>
  <si>
    <t>Edgecombe-Nash Memorial Library</t>
  </si>
  <si>
    <t>Electricities Of N.C., Inc</t>
  </si>
  <si>
    <t>Elizabeth City - Pasquotank Co. Tourism Dev. Auth.</t>
  </si>
  <si>
    <t>Elizabeth-Pasquotank Co Airport Au</t>
  </si>
  <si>
    <t>Elizabeth-Pasquotank Co Ind Dev Co</t>
  </si>
  <si>
    <t>Elizabethtown A.B.C. Board</t>
  </si>
  <si>
    <t>Elizabethtown, Town Of</t>
  </si>
  <si>
    <t>Elk Park, Town Of</t>
  </si>
  <si>
    <t>Elkin A.B.C. Board</t>
  </si>
  <si>
    <t>Elkin, Town Of</t>
  </si>
  <si>
    <t>Ellenboro, Town Of</t>
  </si>
  <si>
    <t>Ellerbe, Town Of</t>
  </si>
  <si>
    <t>Elm City, Town Of</t>
  </si>
  <si>
    <t>Elon College, Town Of</t>
  </si>
  <si>
    <t>Emerald Isle, Town Of</t>
  </si>
  <si>
    <t>Enfield, Town Of</t>
  </si>
  <si>
    <t>Erwin, Town Of</t>
  </si>
  <si>
    <t>Fair Bluff, Town Of</t>
  </si>
  <si>
    <t>Fairmont, Town Of</t>
  </si>
  <si>
    <t>Faison, Town Of</t>
  </si>
  <si>
    <t>Faith, Town Of</t>
  </si>
  <si>
    <t>Falcon, Town Of</t>
  </si>
  <si>
    <t>Farmville, City Of</t>
  </si>
  <si>
    <t>Fayetteville Metro. Housing Authority</t>
  </si>
  <si>
    <t>Fayetteville Public Works Commission</t>
  </si>
  <si>
    <t>Fayetteville, City Of</t>
  </si>
  <si>
    <t>First Craven Sanitary District</t>
  </si>
  <si>
    <t>Flat Rock, Village Of</t>
  </si>
  <si>
    <t>Fletcher A.B.C. Board</t>
  </si>
  <si>
    <t>Fletcher, Town Of</t>
  </si>
  <si>
    <t>Forest City A.B.C. Board</t>
  </si>
  <si>
    <t>Fork Township Sanitary District</t>
  </si>
  <si>
    <t>Fountain, Town of</t>
  </si>
  <si>
    <t>Four Oaks, Town Of</t>
  </si>
  <si>
    <t>Franklin, Town Of</t>
  </si>
  <si>
    <t>Franklinton A.B.C. Board</t>
  </si>
  <si>
    <t>Franklinton, Town Of</t>
  </si>
  <si>
    <t>Fremont, Town Of</t>
  </si>
  <si>
    <t>Fuquay-Varina, Town Of</t>
  </si>
  <si>
    <t>Garland, Town Of</t>
  </si>
  <si>
    <t>Garner Fire Department</t>
  </si>
  <si>
    <t>Garner, Town Of</t>
  </si>
  <si>
    <t>Garysburg, Town Of</t>
  </si>
  <si>
    <t>Gaston Co. Economic Dev. Commission</t>
  </si>
  <si>
    <t>Gaston, Town Of</t>
  </si>
  <si>
    <t>Gastonia A.B.C. Board</t>
  </si>
  <si>
    <t>Gastonia, City Of</t>
  </si>
  <si>
    <t>Gates County A.B.C. Board</t>
  </si>
  <si>
    <t>Gibson, Town Of</t>
  </si>
  <si>
    <t>Gibsonville A.B.C. Board</t>
  </si>
  <si>
    <t>Gibsonville, Town Of</t>
  </si>
  <si>
    <t>Glen Alpine, Town Of</t>
  </si>
  <si>
    <t>Goldsboro Housing Authority</t>
  </si>
  <si>
    <t>Goldsboro, City Of</t>
  </si>
  <si>
    <t>Graham County Dept of Social Services</t>
  </si>
  <si>
    <t>Graham County Health Department</t>
  </si>
  <si>
    <t>Graham, City Of</t>
  </si>
  <si>
    <t>Granite Falls A.B.C. Board</t>
  </si>
  <si>
    <t>Granite Falls, Town Of</t>
  </si>
  <si>
    <t>Granite Quarry, Town Of</t>
  </si>
  <si>
    <t>Granville County A.B.C. Board</t>
  </si>
  <si>
    <t>Granville-Vance Health District</t>
  </si>
  <si>
    <t>Greater Statesville Development Co</t>
  </si>
  <si>
    <t>Green Level, Town Of</t>
  </si>
  <si>
    <t>Greene County A.B.C. Board</t>
  </si>
  <si>
    <t>Greensboro A.B.C. Board</t>
  </si>
  <si>
    <t>Greensboro, City Of</t>
  </si>
  <si>
    <t>Greenville, City Of</t>
  </si>
  <si>
    <t>Grifton, Town Of</t>
  </si>
  <si>
    <t>Grimesland, Town Of</t>
  </si>
  <si>
    <t>Grover, Town Of</t>
  </si>
  <si>
    <t>Guilford Fire District</t>
  </si>
  <si>
    <t>Guilford, County Of</t>
  </si>
  <si>
    <t>Halifax County A.B.C. Board</t>
  </si>
  <si>
    <t>Hamilton, Town Of</t>
  </si>
  <si>
    <t>Hamlet A.B.C. Board</t>
  </si>
  <si>
    <t>Hamlet, City Of</t>
  </si>
  <si>
    <t>Harrisburg, Town Of</t>
  </si>
  <si>
    <t>Havelock, City Of</t>
  </si>
  <si>
    <t>Haw River, Town Of</t>
  </si>
  <si>
    <t>Henderson County</t>
  </si>
  <si>
    <t>Henderson, City Of</t>
  </si>
  <si>
    <t>Hendersonville A.B.C. Board</t>
  </si>
  <si>
    <t>Hendersonville, City Of</t>
  </si>
  <si>
    <t>Hertford A.B.C. Board</t>
  </si>
  <si>
    <t>Hertford County A.B.C. Board</t>
  </si>
  <si>
    <t>Hertford Housing Authority</t>
  </si>
  <si>
    <t>Hertford, Town Of</t>
  </si>
  <si>
    <t>Hickory Housing Authority</t>
  </si>
  <si>
    <t>Hickory, City Of</t>
  </si>
  <si>
    <t>Hickory/Conover Tourism Dev. Authority</t>
  </si>
  <si>
    <t>High Country Municipal A.B.C. Board</t>
  </si>
  <si>
    <t>High Point A.B.C. Board</t>
  </si>
  <si>
    <t>High Point, City Of</t>
  </si>
  <si>
    <t>Highlands A.B.C. Board</t>
  </si>
  <si>
    <t>Highlands, Town Of</t>
  </si>
  <si>
    <t>Hildebrand, Town Of</t>
  </si>
  <si>
    <t>Hillsborough, Town Of</t>
  </si>
  <si>
    <t>Hobgood, Town Of</t>
  </si>
  <si>
    <t>Hoke County A.B.C. Board</t>
  </si>
  <si>
    <t>Holden Beach, Town Of</t>
  </si>
  <si>
    <t>Holly Ridge, Town Of</t>
  </si>
  <si>
    <t>Holly Springs, Town Of</t>
  </si>
  <si>
    <t>Hookerton, Town Of</t>
  </si>
  <si>
    <t>Hope Mills, Town Of</t>
  </si>
  <si>
    <t>Hudson, Town Of</t>
  </si>
  <si>
    <t>Huntersville, Town Of</t>
  </si>
  <si>
    <t>Hyde County A.B.C. Board</t>
  </si>
  <si>
    <t>Indian Beach, Town Of</t>
  </si>
  <si>
    <t>Indian Trail, Town Of</t>
  </si>
  <si>
    <t>Isothermal Planning &amp; Develop Comm</t>
  </si>
  <si>
    <t>J.C. Holliday Memorial Library</t>
  </si>
  <si>
    <t>Jackson, Town Of</t>
  </si>
  <si>
    <t>Jacksonville, City Of</t>
  </si>
  <si>
    <t>Jamestown, Town Of</t>
  </si>
  <si>
    <t>Jamesville, Town Of</t>
  </si>
  <si>
    <t>Jefferson, Town Of</t>
  </si>
  <si>
    <t>Johnston County A.B.C. Board</t>
  </si>
  <si>
    <t>Johnston County Public Library</t>
  </si>
  <si>
    <t>Jones County A.B.C. Board</t>
  </si>
  <si>
    <t>Jonesville, Town Of</t>
  </si>
  <si>
    <t>Kannapolis, Town Of</t>
  </si>
  <si>
    <t>Kenansville A.B.C. Board</t>
  </si>
  <si>
    <t>Kenansville, Town Of</t>
  </si>
  <si>
    <t>Kenly, Town Of</t>
  </si>
  <si>
    <t>Kernersville, Town Of</t>
  </si>
  <si>
    <t>Kerr-Area Transportation Authority</t>
  </si>
  <si>
    <t>Kerr-Tar Regional Council Of Governments</t>
  </si>
  <si>
    <t>Kill Devil Hills, Town Of</t>
  </si>
  <si>
    <t>King, Town Of</t>
  </si>
  <si>
    <t>Kings Mountain A.B.C. Board</t>
  </si>
  <si>
    <t>Kings Mountain, City Of</t>
  </si>
  <si>
    <t>Kinston Housing Authority</t>
  </si>
  <si>
    <t>Kinston, City Of</t>
  </si>
  <si>
    <t>Kinston-Lenoir County Library</t>
  </si>
  <si>
    <t>Kitty Hawk, Town Of</t>
  </si>
  <si>
    <t>Knightdale, Town Of</t>
  </si>
  <si>
    <t>Kure Beach, Town Of</t>
  </si>
  <si>
    <t>Lagrange, Town Of</t>
  </si>
  <si>
    <t>Lake Lure, Town Of</t>
  </si>
  <si>
    <t>Lake Waccamaw A.B.C. Board</t>
  </si>
  <si>
    <t>Lake Woccamaw, Town Of</t>
  </si>
  <si>
    <t>Landis, Town Of</t>
  </si>
  <si>
    <t>Laurel Park A.B.C. Board</t>
  </si>
  <si>
    <t>Laurel Park, Town Of</t>
  </si>
  <si>
    <t>Laurenburg Housing Authority</t>
  </si>
  <si>
    <t>Laurinburg, City Of</t>
  </si>
  <si>
    <t>Lawndale, Town Of</t>
  </si>
  <si>
    <t>Leland, Town Of</t>
  </si>
  <si>
    <t>Lenoir A.B.C. Board</t>
  </si>
  <si>
    <t>Lenoir County A.B.C. Board</t>
  </si>
  <si>
    <t>Lenoir, City Of</t>
  </si>
  <si>
    <t>Lewiston-Woodville, Town Of</t>
  </si>
  <si>
    <t>Lewisville, Town Of</t>
  </si>
  <si>
    <t>Lexington A.B.C. Board</t>
  </si>
  <si>
    <t>Lexington, City Of</t>
  </si>
  <si>
    <t>Liberty A.B.C. Board</t>
  </si>
  <si>
    <t>Liberty, Town Of</t>
  </si>
  <si>
    <t>Lilesville, Town Of</t>
  </si>
  <si>
    <t>Lillington, Town Of</t>
  </si>
  <si>
    <t>Lincoln County A.B.C. Board</t>
  </si>
  <si>
    <t>Lincolnton A.B.C. Board</t>
  </si>
  <si>
    <t>Lincolnton, City Of</t>
  </si>
  <si>
    <t>Linden, Town Of</t>
  </si>
  <si>
    <t>Littleton, Town Of</t>
  </si>
  <si>
    <t>Locust, City Of</t>
  </si>
  <si>
    <t>Long View, Town Of</t>
  </si>
  <si>
    <t>Louisburg A.B.C. Board</t>
  </si>
  <si>
    <t>Louisburg, Town Of</t>
  </si>
  <si>
    <t>Lowell, Town Of</t>
  </si>
  <si>
    <t>Lucama, Town Of</t>
  </si>
  <si>
    <t>Lumberton A.B.C. Board</t>
  </si>
  <si>
    <t>Lumberton Airport Commission</t>
  </si>
  <si>
    <t>Lumberton, City Of</t>
  </si>
  <si>
    <t>Macclesfield, Town Of</t>
  </si>
  <si>
    <t>Madison A.B.C. Board</t>
  </si>
  <si>
    <t>Madison, Town Of</t>
  </si>
  <si>
    <t>Maggie Valley A.B.C. Board</t>
  </si>
  <si>
    <t>Maggie Valley Sanitary District</t>
  </si>
  <si>
    <t>Maggie Valley, Town Of</t>
  </si>
  <si>
    <t>Magnolia, Town Of</t>
  </si>
  <si>
    <t>Maiden, Town Of</t>
  </si>
  <si>
    <t>Manteo, Town Of</t>
  </si>
  <si>
    <t>Marion A.B.C. Board</t>
  </si>
  <si>
    <t>Marion, Town Of</t>
  </si>
  <si>
    <t>Mars Hill, Town Of</t>
  </si>
  <si>
    <t>Marshall, Town Of</t>
  </si>
  <si>
    <t>Marshville, Town Of</t>
  </si>
  <si>
    <t>Martin County A B C Board</t>
  </si>
  <si>
    <t>Martin County Travel &amp; Tourism Authority</t>
  </si>
  <si>
    <t>Martin-Tyrell-Washington D.H.D</t>
  </si>
  <si>
    <t>Marvin, Village Of</t>
  </si>
  <si>
    <t>Matthews, Town Of</t>
  </si>
  <si>
    <t>Maxton A.B.C. Board</t>
  </si>
  <si>
    <t>Maxton, Town Of</t>
  </si>
  <si>
    <t>Mayodan, Town Of</t>
  </si>
  <si>
    <t>Maysville, Town Of</t>
  </si>
  <si>
    <t>Mcadenville, Town Of</t>
  </si>
  <si>
    <t>McDowell County</t>
  </si>
  <si>
    <t>Mebane, Town Of</t>
  </si>
  <si>
    <t>Mecklenburg County A.B.C. Board</t>
  </si>
  <si>
    <t>Mecklenburg County Ems Agency</t>
  </si>
  <si>
    <t>MI Connection Communications System</t>
  </si>
  <si>
    <t>Micro, Town of</t>
  </si>
  <si>
    <t>Mid-Carolina Council of Governments</t>
  </si>
  <si>
    <t>Middlesex, Town Of</t>
  </si>
  <si>
    <t>Midland, Town of</t>
  </si>
  <si>
    <t>Mills River, Town Of</t>
  </si>
  <si>
    <t>Mineral Springs, Town of</t>
  </si>
  <si>
    <t>Mint Hill, Town Of</t>
  </si>
  <si>
    <t>Misenheimer, Village Of</t>
  </si>
  <si>
    <t>Mitchell Soil &amp; Water Conserv. District</t>
  </si>
  <si>
    <t>Mocksville, Town Of</t>
  </si>
  <si>
    <t>Monroe A.B.C. Board</t>
  </si>
  <si>
    <t>Monroe Housing Authority</t>
  </si>
  <si>
    <t>Monroe, City Of</t>
  </si>
  <si>
    <t>Montgomery-Municipal A.B.C. Board</t>
  </si>
  <si>
    <t>Montreat, Town Of</t>
  </si>
  <si>
    <t>Moore County A.B.C. Board</t>
  </si>
  <si>
    <t>Moore County Tourism Develop. Auth.</t>
  </si>
  <si>
    <t>Mooresville A.B.C. Board</t>
  </si>
  <si>
    <t>Mooresville, City Of</t>
  </si>
  <si>
    <t>Morehead City, Town Of</t>
  </si>
  <si>
    <t>Morganton A.B.C. Board</t>
  </si>
  <si>
    <t>Morganton, City Of</t>
  </si>
  <si>
    <t>Morrisville, Town Of</t>
  </si>
  <si>
    <t>Morven, Town Of</t>
  </si>
  <si>
    <t>Mount Airy, Town Of</t>
  </si>
  <si>
    <t>Mount Gilead, Town Of</t>
  </si>
  <si>
    <t>Mount Olive Housing Authority</t>
  </si>
  <si>
    <t>Mount Olive, Town Of</t>
  </si>
  <si>
    <t>Mount Pleasant, Town Of</t>
  </si>
  <si>
    <t>Mt. Airy Alcoholic Board Of Control</t>
  </si>
  <si>
    <t>Mt. Holly, City Of</t>
  </si>
  <si>
    <t>Mt. Pleasant A.B.C. Board</t>
  </si>
  <si>
    <t>Murfreesboro, Town Of</t>
  </si>
  <si>
    <t>Murphy A.B.C. Board</t>
  </si>
  <si>
    <t>Murphy, Town Of</t>
  </si>
  <si>
    <t>N.C. Association Of County Comm</t>
  </si>
  <si>
    <t>N.C. League Of Municipalities</t>
  </si>
  <si>
    <t>Nags Head, Town Of</t>
  </si>
  <si>
    <t>Nash County A.B.C. Board</t>
  </si>
  <si>
    <t>Nashville, Town Of</t>
  </si>
  <si>
    <t>Neuse Regional Library - Greene County</t>
  </si>
  <si>
    <t>Neuse Regional Library - Jones County</t>
  </si>
  <si>
    <t>New Bern, City Of</t>
  </si>
  <si>
    <t>New Hanover Airport Authority</t>
  </si>
  <si>
    <t>New Hanover County A.B.C. Board</t>
  </si>
  <si>
    <t>New Reidsville Housing Authority</t>
  </si>
  <si>
    <t>Newland, Town Of</t>
  </si>
  <si>
    <t>Newport, Town Of</t>
  </si>
  <si>
    <t>Newton Grove, Town Of</t>
  </si>
  <si>
    <t>Newton, Town Of</t>
  </si>
  <si>
    <t>Norlina, Town Of</t>
  </si>
  <si>
    <t>North Topsail Beach, Town Of</t>
  </si>
  <si>
    <t>North Wilkesboro A.B.C. Board</t>
  </si>
  <si>
    <t>North Wilkesboro, Town Of</t>
  </si>
  <si>
    <t>Northampton County A.B.C. Board</t>
  </si>
  <si>
    <t>Northwest, City Of</t>
  </si>
  <si>
    <t>Norwood A.B.C. Board</t>
  </si>
  <si>
    <t>Norwood, Town Of</t>
  </si>
  <si>
    <t>Oak City, Town Of</t>
  </si>
  <si>
    <t>Oak Island A.B.C. Board</t>
  </si>
  <si>
    <t>Oak Island, Town Of</t>
  </si>
  <si>
    <t>Oak Ridge, Town Of</t>
  </si>
  <si>
    <t>Oakboro, Town Of</t>
  </si>
  <si>
    <t>Ocean Isle A.B.C. Board</t>
  </si>
  <si>
    <t>Ocean Isle Beach, Town Of</t>
  </si>
  <si>
    <t>Ocracoke Sanitary District</t>
  </si>
  <si>
    <t>Old Fort, Town Of</t>
  </si>
  <si>
    <t>Onslow County A.B.C. Board</t>
  </si>
  <si>
    <t>Onslow Water &amp; Sewage Authority</t>
  </si>
  <si>
    <t>Orange County A.B.C. Board</t>
  </si>
  <si>
    <t>Orange Water &amp; Sewer Authority</t>
  </si>
  <si>
    <t>Oriental, Town Of</t>
  </si>
  <si>
    <t>Oxford, City Of</t>
  </si>
  <si>
    <t>Parkton, Town of</t>
  </si>
  <si>
    <t>Pasquotank County A.B.C Board</t>
  </si>
  <si>
    <t>Peachland, Town Of</t>
  </si>
  <si>
    <t>Pembroke, Town Of</t>
  </si>
  <si>
    <t>Pender County A.B.C. Board</t>
  </si>
  <si>
    <t>Person County A.B.C. Board</t>
  </si>
  <si>
    <t>Piedmont Triad Regional Water Authority</t>
  </si>
  <si>
    <t>Pikeville, Town Of</t>
  </si>
  <si>
    <t>Pilot Mountain A.B.C. Board</t>
  </si>
  <si>
    <t>Pilot Mountain, Town Of</t>
  </si>
  <si>
    <t>Pine Knoll Shores, Town Of</t>
  </si>
  <si>
    <t>Pine Level, Town Of</t>
  </si>
  <si>
    <t>Pinebluff, Town Of</t>
  </si>
  <si>
    <t>Pinecroft-Sedgefield Fire District</t>
  </si>
  <si>
    <t>Pinehurst, Village Of</t>
  </si>
  <si>
    <t>Pinetops, Town Of</t>
  </si>
  <si>
    <t>Pineville, Town Of</t>
  </si>
  <si>
    <t>Pink Hill, Town Of</t>
  </si>
  <si>
    <t>Pitt County A.B.C. Board</t>
  </si>
  <si>
    <t>Pitt-Greenville Convention &amp; Visitors Authority</t>
  </si>
  <si>
    <t>Pittsboro, Town Of</t>
  </si>
  <si>
    <t>Pleasant Garden Fire Department</t>
  </si>
  <si>
    <t>Plymouth, Town Of</t>
  </si>
  <si>
    <t>Polkton, Town Of</t>
  </si>
  <si>
    <t>Pollocksville, Town Of</t>
  </si>
  <si>
    <t>Princeton, Town Of</t>
  </si>
  <si>
    <t>Princeville, Town Of</t>
  </si>
  <si>
    <t>Raeford, Town Of</t>
  </si>
  <si>
    <t>Raleigh Housing Authority</t>
  </si>
  <si>
    <t>Raleigh, City Of</t>
  </si>
  <si>
    <t>Ramseur, Town Of</t>
  </si>
  <si>
    <t>Randleman A.B.C. Board</t>
  </si>
  <si>
    <t>Randleman Housing Authority</t>
  </si>
  <si>
    <t>Randleman, City Of</t>
  </si>
  <si>
    <t>Ranlo, Town Of</t>
  </si>
  <si>
    <t>Red Springs A.B.C. Board</t>
  </si>
  <si>
    <t>Red Springs, Town of</t>
  </si>
  <si>
    <t>Reidsville A.B.C. Board</t>
  </si>
  <si>
    <t>Reidsville, Town Of</t>
  </si>
  <si>
    <t>Rich Square, Town Of</t>
  </si>
  <si>
    <t>Richlands, Town Of</t>
  </si>
  <si>
    <t>River Bend, Town Of</t>
  </si>
  <si>
    <t>Roanoke Rapids, City Of</t>
  </si>
  <si>
    <t>Robbins, Town Of</t>
  </si>
  <si>
    <t>Robbinsville, Town of</t>
  </si>
  <si>
    <t>Robersonville, Town Of</t>
  </si>
  <si>
    <t>Rockingham A.B.C. Board</t>
  </si>
  <si>
    <t>Rockingham, City Of</t>
  </si>
  <si>
    <t>Rockwell, Town Of</t>
  </si>
  <si>
    <t>Rocky Mount Housing Authority</t>
  </si>
  <si>
    <t>Rocky Mount, City Of</t>
  </si>
  <si>
    <t>Rolesville, Town Of</t>
  </si>
  <si>
    <t>Roper, Town Of</t>
  </si>
  <si>
    <t>Rose Hill, Town Of</t>
  </si>
  <si>
    <t>Roseboro A.B.C. Board</t>
  </si>
  <si>
    <t>Roseboro, Town Of</t>
  </si>
  <si>
    <t>Rowan Convention and Visitors Bureau</t>
  </si>
  <si>
    <t>Rowan County A.B.C. Board</t>
  </si>
  <si>
    <t>Rowan County Housing Authority</t>
  </si>
  <si>
    <t>Rowan Soil and Water Conservation. Dist</t>
  </si>
  <si>
    <t>Rowland, Town Of</t>
  </si>
  <si>
    <t>Roxboro, City Of</t>
  </si>
  <si>
    <t>Rural Hall, Town Of</t>
  </si>
  <si>
    <t>Rutherford College, Town of</t>
  </si>
  <si>
    <t>Rutherford-Polk-Mc Dowell D.H.D</t>
  </si>
  <si>
    <t>Rutherfordton A.B.C. Board</t>
  </si>
  <si>
    <t>Rutherfordton, Town Of</t>
  </si>
  <si>
    <t>Saint Paul's A.B.C. Board</t>
  </si>
  <si>
    <t>Salemburg, Town Of</t>
  </si>
  <si>
    <t>Salisbury Housing Authority</t>
  </si>
  <si>
    <t>Salisbury, City Of</t>
  </si>
  <si>
    <t>Saluda, Town Of</t>
  </si>
  <si>
    <t>Sanford A.B.C. Board</t>
  </si>
  <si>
    <t>Sanford, City Of</t>
  </si>
  <si>
    <t>Sawmills, Town Of</t>
  </si>
  <si>
    <t>Scotland County A.B.C. Board</t>
  </si>
  <si>
    <t>Scotland Neck, Town Of</t>
  </si>
  <si>
    <t>Seaboard, Town Of</t>
  </si>
  <si>
    <t>Selma, Town Of</t>
  </si>
  <si>
    <t>Seven Devils, Town Of</t>
  </si>
  <si>
    <t>Severn, Town Of</t>
  </si>
  <si>
    <t>Shallotte A.B.C. Board</t>
  </si>
  <si>
    <t>Shallotte, Town Of</t>
  </si>
  <si>
    <t>Sharpsburg, Town of</t>
  </si>
  <si>
    <t>Shelby A.B.C. Board</t>
  </si>
  <si>
    <t>Shelby, City Of</t>
  </si>
  <si>
    <t>Siler City A.B.C. Board</t>
  </si>
  <si>
    <t>Siler City, Town Of</t>
  </si>
  <si>
    <t>Simpson, Village Of</t>
  </si>
  <si>
    <t>Skyland Volunteer Fire Department</t>
  </si>
  <si>
    <t>Smithfield, Town Of</t>
  </si>
  <si>
    <t>Smoky Mountain Mental Health Center</t>
  </si>
  <si>
    <t>Snow Hill, Town Of</t>
  </si>
  <si>
    <t>South Granville Water and Sewer Authority</t>
  </si>
  <si>
    <t>Southeastern Economic Develop. Com</t>
  </si>
  <si>
    <t>Southern Pines, Town Of</t>
  </si>
  <si>
    <t>Southern Shores, Town Of</t>
  </si>
  <si>
    <t>Southport A.B.C. Board</t>
  </si>
  <si>
    <t>Southport, City Of</t>
  </si>
  <si>
    <t>Southwestern Plan. &amp; Econ. Dev. Co</t>
  </si>
  <si>
    <t>Sparta A.B.C. Board</t>
  </si>
  <si>
    <t>Sparta, Town Of</t>
  </si>
  <si>
    <t>Spencer, Town Of</t>
  </si>
  <si>
    <t>Spindale, Town Of</t>
  </si>
  <si>
    <t>Spring Hope, Town Of</t>
  </si>
  <si>
    <t>Spring Lake, Town Of</t>
  </si>
  <si>
    <t>Spruce Pine, Town Of</t>
  </si>
  <si>
    <t>St. James, Town Of</t>
  </si>
  <si>
    <t>St. Pauls, Town Of</t>
  </si>
  <si>
    <t>Stallings, Town Of</t>
  </si>
  <si>
    <t>Stanfield, Town Of</t>
  </si>
  <si>
    <t>Stanley, Town Of</t>
  </si>
  <si>
    <t>Stantonsburg, Town Of</t>
  </si>
  <si>
    <t>Star, Town Of</t>
  </si>
  <si>
    <t>Statesville A.B.C. Board</t>
  </si>
  <si>
    <t>Statesville, City Of</t>
  </si>
  <si>
    <t>Stedman, Town Of</t>
  </si>
  <si>
    <t>Stoneville, Town Of</t>
  </si>
  <si>
    <t>Stovall, Town Of</t>
  </si>
  <si>
    <t>Sugar Mountain, Town Of</t>
  </si>
  <si>
    <t>Summerfield, Town Of</t>
  </si>
  <si>
    <t>Sunset Beach A.B.C. Board</t>
  </si>
  <si>
    <t>Sunset Beach, Town Of</t>
  </si>
  <si>
    <t>Swansboro, Town Of</t>
  </si>
  <si>
    <t>Sylva, Town Of</t>
  </si>
  <si>
    <t>Tabor City, Town Of</t>
  </si>
  <si>
    <t>Tarboro, Town Of</t>
  </si>
  <si>
    <t>Taylorsville, Town Of</t>
  </si>
  <si>
    <t>Taylortown, Town Of</t>
  </si>
  <si>
    <t>Teachey, Town Of</t>
  </si>
  <si>
    <t>The New Edenton Housing Authority</t>
  </si>
  <si>
    <t>Thomasville, City Of</t>
  </si>
  <si>
    <t>Tobaccoville,  Village Of</t>
  </si>
  <si>
    <t xml:space="preserve">Toe River District Health Department </t>
  </si>
  <si>
    <t>Topsail Beach, Town Of</t>
  </si>
  <si>
    <t>Trent Woods, Town Of</t>
  </si>
  <si>
    <t>Trinity, City Of</t>
  </si>
  <si>
    <t>Troutman, Town Of</t>
  </si>
  <si>
    <t>Troy, Town Of</t>
  </si>
  <si>
    <t>Tryon, Town Of</t>
  </si>
  <si>
    <t>Tuckaseigee Water And Sewer Auth</t>
  </si>
  <si>
    <t>Turkey, Town Of</t>
  </si>
  <si>
    <t>Tyrrell County A.B.C. Board</t>
  </si>
  <si>
    <t>Unionville, Town of</t>
  </si>
  <si>
    <t>Upper Coastal Plain Council of Governments</t>
  </si>
  <si>
    <t>Valdese, Town Of</t>
  </si>
  <si>
    <t>Vance County A.B.C. Board</t>
  </si>
  <si>
    <t>Vanceboro, Town Of</t>
  </si>
  <si>
    <t>Vass, Town Of</t>
  </si>
  <si>
    <t>Wade, Town Of</t>
  </si>
  <si>
    <t>Wadesboro A.B.C. Board</t>
  </si>
  <si>
    <t>Wadesboro, Town Of</t>
  </si>
  <si>
    <t>Wagram, Town Of</t>
  </si>
  <si>
    <t>Wake County A.B.C. Board</t>
  </si>
  <si>
    <t>Wake Forest, Town Of</t>
  </si>
  <si>
    <t>Walkertown, Town Of</t>
  </si>
  <si>
    <t>Wallace A.B.C. Board</t>
  </si>
  <si>
    <t>Wallace, Town Of</t>
  </si>
  <si>
    <t>Walnut Cove A.B.C. Board</t>
  </si>
  <si>
    <t>Walnut Cove, Town Of</t>
  </si>
  <si>
    <t>Walnut Creek, Village Of</t>
  </si>
  <si>
    <t>Walstonburg, Town Of</t>
  </si>
  <si>
    <t>Warren County A.B.C. Board</t>
  </si>
  <si>
    <t>Warrenton, Town Of</t>
  </si>
  <si>
    <t>Warsaw A.B.C. Board</t>
  </si>
  <si>
    <t>Warsaw, Town Of</t>
  </si>
  <si>
    <t>Washington County A.B.C. Board</t>
  </si>
  <si>
    <t>Washington Park, Town Of</t>
  </si>
  <si>
    <t>Washington, City Of</t>
  </si>
  <si>
    <t>Watauga County Tourism Develop. Auth.</t>
  </si>
  <si>
    <t>Water &amp; Sewer Authority Of Cabarrus County</t>
  </si>
  <si>
    <t>Waxhaw A.B.C. Board</t>
  </si>
  <si>
    <t>Waxhaw, Town Of</t>
  </si>
  <si>
    <t>Wayne County A.B.C. Board</t>
  </si>
  <si>
    <t>Waynesville A.B.C. Board</t>
  </si>
  <si>
    <t>Waynesville, Town Of</t>
  </si>
  <si>
    <t>Weaverville A.B.C. Board</t>
  </si>
  <si>
    <t>Weaverville, Town Of</t>
  </si>
  <si>
    <t>Weddington, Town Of</t>
  </si>
  <si>
    <t>Weldon, Town Of</t>
  </si>
  <si>
    <t>Wendell, Town Of</t>
  </si>
  <si>
    <t>Wesley Chapel, Village Of</t>
  </si>
  <si>
    <t>West Buncombe Fire Department</t>
  </si>
  <si>
    <t>West Jefferson, Town Of</t>
  </si>
  <si>
    <t>Westarea Volunteer Fire Department</t>
  </si>
  <si>
    <t>Western Cartert Interlocal Agency</t>
  </si>
  <si>
    <t>Western NC Regional Air Pollution Control</t>
  </si>
  <si>
    <t>Western Piedmont Council of Governments</t>
  </si>
  <si>
    <t>Whispering Pines, Village Of</t>
  </si>
  <si>
    <t>Whitakers, Town Of</t>
  </si>
  <si>
    <t>White Lake, Town Of</t>
  </si>
  <si>
    <t>Whiteville A.B.C. Board</t>
  </si>
  <si>
    <t>Whiteville, City Of</t>
  </si>
  <si>
    <t>Wilkesboro A.B.C. Board</t>
  </si>
  <si>
    <t>Wilkesboro, Town Of</t>
  </si>
  <si>
    <t>Williamston, City Of</t>
  </si>
  <si>
    <t>Wilmington, City Of</t>
  </si>
  <si>
    <t>Wilson County A.B.C. Board</t>
  </si>
  <si>
    <t>Wilson County Tourism Develop. Authority</t>
  </si>
  <si>
    <t>Wilson Economic Development Council</t>
  </si>
  <si>
    <t>Wilson, City Of</t>
  </si>
  <si>
    <t>Wilson's Mills, Town Of</t>
  </si>
  <si>
    <t>Windsor, Town Of</t>
  </si>
  <si>
    <t>Winfall, Town Of</t>
  </si>
  <si>
    <t>Wingate, Town Of</t>
  </si>
  <si>
    <t>Winston-Salem, City Of</t>
  </si>
  <si>
    <t>Winterville, Town Of</t>
  </si>
  <si>
    <t>Winton, Town Of</t>
  </si>
  <si>
    <t>Woodfin Sanitary Water &amp; Sewer District</t>
  </si>
  <si>
    <t>Woodfin, Town Of</t>
  </si>
  <si>
    <t>Woodland, Town Of</t>
  </si>
  <si>
    <t>Wrightsville Beach, Town Of</t>
  </si>
  <si>
    <t>Yadkinville, Town Of</t>
  </si>
  <si>
    <t>Yancey Soil &amp; Water Conservation District</t>
  </si>
  <si>
    <t>Yanceyville, Town Of</t>
  </si>
  <si>
    <t>Youngsville, Town Of</t>
  </si>
  <si>
    <t>Zebulon, Town Of</t>
  </si>
  <si>
    <t>FY 2017 Total Contributions</t>
  </si>
  <si>
    <t>Totals:</t>
  </si>
  <si>
    <r>
      <t xml:space="preserve">Step 4 - In cells C29, C33, and, if applicable, C31, enter your employer contributions to LGERS made for the period indicated. </t>
    </r>
    <r>
      <rPr>
        <b/>
        <sz val="10"/>
        <color rgb="FFFF0000"/>
        <rFont val="Arial"/>
        <family val="2"/>
      </rPr>
      <t xml:space="preserve"> PLEASE NOTE - only enter your normal and accrued liability LGERS contributions related to the LGERS plan.  Do not include contributions for health plan, death plan, etc.</t>
    </r>
  </si>
  <si>
    <t>MOUNT OLIVE HOUSING AUTHORITY</t>
  </si>
  <si>
    <t>MOUNT PLEASANT ABC BOARD</t>
  </si>
  <si>
    <t>FOUNTAIN</t>
  </si>
  <si>
    <t xml:space="preserve">Following participants have been added for consistency - </t>
  </si>
  <si>
    <t xml:space="preserve">Following participants have been added by LGC for consistency - </t>
  </si>
  <si>
    <t>96519M</t>
  </si>
  <si>
    <t>92509M</t>
  </si>
  <si>
    <t>92513M</t>
  </si>
  <si>
    <t>TRILLIUM HEALTH RESOURCES (INCLUDES EAST CAROLINA BEHAVIORAL HEALTHCARE AND COASTALCARE)</t>
  </si>
  <si>
    <t>97461M</t>
  </si>
  <si>
    <t>97463M</t>
  </si>
  <si>
    <t>98414M</t>
  </si>
  <si>
    <t>71786M</t>
  </si>
  <si>
    <t>98604M</t>
  </si>
  <si>
    <t>98647M</t>
  </si>
  <si>
    <t>Check total</t>
  </si>
  <si>
    <t>ELKIN ABC BOARD (merged with Yadkin Valley ABC Board)</t>
  </si>
  <si>
    <t>YADKIN VALLEY ABC BOARD (includes Elkin ABC Board)</t>
  </si>
  <si>
    <t>TOTALS</t>
  </si>
  <si>
    <t>Tab</t>
  </si>
  <si>
    <t>Info</t>
  </si>
  <si>
    <t>A3</t>
  </si>
  <si>
    <t>C15</t>
  </si>
  <si>
    <t>D31</t>
  </si>
  <si>
    <t>HIDE CELLS IN YELLOW</t>
  </si>
  <si>
    <t>A50</t>
  </si>
  <si>
    <t>A51</t>
  </si>
  <si>
    <t>A52</t>
  </si>
  <si>
    <t>A53</t>
  </si>
  <si>
    <t>B50</t>
  </si>
  <si>
    <t>B51</t>
  </si>
  <si>
    <t>B52</t>
  </si>
  <si>
    <t>B53</t>
  </si>
  <si>
    <t>I52</t>
  </si>
  <si>
    <t>I49</t>
  </si>
  <si>
    <t>I50</t>
  </si>
  <si>
    <t>I51</t>
  </si>
  <si>
    <t>J49</t>
  </si>
  <si>
    <t>J50</t>
  </si>
  <si>
    <t>J51</t>
  </si>
  <si>
    <t>J52</t>
  </si>
  <si>
    <t>A58</t>
  </si>
  <si>
    <t>A59</t>
  </si>
  <si>
    <t>A60</t>
  </si>
  <si>
    <t>A61</t>
  </si>
  <si>
    <t>JE Template</t>
  </si>
  <si>
    <t>Tab Name</t>
  </si>
  <si>
    <t>update for current year</t>
  </si>
  <si>
    <t>B6</t>
  </si>
  <si>
    <t>B19</t>
  </si>
  <si>
    <t>B28</t>
  </si>
  <si>
    <t>F11 through F21</t>
  </si>
  <si>
    <t>F22 through F28</t>
  </si>
  <si>
    <t>Find FY 2019 and replace with FY__</t>
  </si>
  <si>
    <t>Find FY 2018 and replace with FY__</t>
  </si>
  <si>
    <t>Find 2019 and replace with 20__</t>
  </si>
  <si>
    <t>Find 2018 and replace with 20__</t>
  </si>
  <si>
    <t>G11 through G21</t>
  </si>
  <si>
    <t>G22 through G28</t>
  </si>
  <si>
    <t>H11 through V21</t>
  </si>
  <si>
    <t>Find 2017 and replace with 20__</t>
  </si>
  <si>
    <t>A33</t>
  </si>
  <si>
    <t>This should be the CY</t>
  </si>
  <si>
    <t>This should by CY</t>
  </si>
  <si>
    <t>This should be CY-1</t>
  </si>
  <si>
    <t>CYE</t>
  </si>
  <si>
    <t>CYE-3mo</t>
  </si>
  <si>
    <t>CYE- 6mo</t>
  </si>
  <si>
    <t>CYE-9mo</t>
  </si>
  <si>
    <t>PYE</t>
  </si>
  <si>
    <t>PYE-9mo</t>
  </si>
  <si>
    <t>PYE- 6mo</t>
  </si>
  <si>
    <t>PYE-3mo</t>
  </si>
  <si>
    <t>PY</t>
  </si>
  <si>
    <t>CY</t>
  </si>
  <si>
    <t>Add CY tab for Summary, PY tab for LGERS Contributions and replace Deferred Amort MD with PY info</t>
  </si>
  <si>
    <t>E58</t>
  </si>
  <si>
    <t>F58</t>
  </si>
  <si>
    <t>G58</t>
  </si>
  <si>
    <t>E59</t>
  </si>
  <si>
    <t>G59</t>
  </si>
  <si>
    <t>Current discount rate from the Actuary</t>
  </si>
  <si>
    <t>Current discount rate from the Actuary -1%</t>
  </si>
  <si>
    <t>Current discount rate from the Actuary+ 1%</t>
  </si>
  <si>
    <t>A1</t>
  </si>
  <si>
    <t>Measurement date 6/30/2019</t>
  </si>
  <si>
    <t>C2</t>
  </si>
  <si>
    <t>FY 2019 Total Contributions</t>
  </si>
  <si>
    <t>A2</t>
  </si>
  <si>
    <t>LGERS Contributions FY 2019</t>
  </si>
  <si>
    <t>This should be the PY</t>
  </si>
  <si>
    <t>This should by FY CY …ending June 30, PY</t>
  </si>
  <si>
    <t>Location</t>
  </si>
  <si>
    <t>NOTES</t>
  </si>
  <si>
    <t>Update/Task</t>
  </si>
  <si>
    <t>update name for prior year</t>
  </si>
  <si>
    <t>LGERS Contributions</t>
  </si>
  <si>
    <t>Copy the most recent sheet and name it the next year</t>
  </si>
  <si>
    <t>SUMMARY</t>
  </si>
  <si>
    <t>CY Summary</t>
  </si>
  <si>
    <r>
      <t>+VLOOKUP(A8,'</t>
    </r>
    <r>
      <rPr>
        <sz val="11"/>
        <color rgb="FFFF0000"/>
        <rFont val="Calibri"/>
        <family val="2"/>
        <scheme val="minor"/>
      </rPr>
      <t>20PY</t>
    </r>
    <r>
      <rPr>
        <sz val="11"/>
        <color theme="1"/>
        <rFont val="Calibri"/>
        <family val="2"/>
        <scheme val="minor"/>
      </rPr>
      <t xml:space="preserve"> summary'!$A$8:$T$927,4,FALSE)</t>
    </r>
  </si>
  <si>
    <t>D50-D53</t>
  </si>
  <si>
    <t>Change tab name to 20CY</t>
  </si>
  <si>
    <t>Unhide rows and columns</t>
  </si>
  <si>
    <t>manually key correct dates</t>
  </si>
  <si>
    <t>any cell formatted a shade of</t>
  </si>
  <si>
    <t>then the formula should refer to the current year</t>
  </si>
  <si>
    <t>then the formula should refer to the prior year</t>
  </si>
  <si>
    <t>then the formula should refer to the prior year 2 back</t>
  </si>
  <si>
    <t>then the formula should refer to the prior year 3 back</t>
  </si>
  <si>
    <t>TOWN OF RHODHISS</t>
  </si>
  <si>
    <t>MOCKSVILLE-COOLEEMEE ABC BOARD</t>
  </si>
  <si>
    <t>IREDELL ECONOMIC DEVELOPMENT</t>
  </si>
  <si>
    <t>ROXBORO HOUSING AUTHORITY</t>
  </si>
  <si>
    <t>name from FOD different</t>
  </si>
  <si>
    <t>on 2018 list but NOT on 2019 from FOD</t>
  </si>
  <si>
    <t>NOT on 2018 list but on 2019 from FOD</t>
  </si>
  <si>
    <t>Name different on FOD</t>
  </si>
  <si>
    <t>Data validation: C26, C28</t>
  </si>
  <si>
    <t>Data Validation for Info tab Chose Your Agency, Additional Agency, Agency Number: C20, C21,C23,C24</t>
  </si>
  <si>
    <t>C20</t>
  </si>
  <si>
    <t>ref s/b to CY Summary tab</t>
  </si>
  <si>
    <t>C21</t>
  </si>
  <si>
    <t>C23</t>
  </si>
  <si>
    <t>C24</t>
  </si>
  <si>
    <t>Data Validation for Info tab Chose Your Agency</t>
  </si>
  <si>
    <t>Data Validation for Info tab Additional Agency</t>
  </si>
  <si>
    <t>Data Validation for Info tab  Agency Number</t>
  </si>
  <si>
    <t>Data Validation for Info tab  Additional Agency Number</t>
  </si>
  <si>
    <t>refers to measurement date</t>
  </si>
  <si>
    <t>This should be the CY or CY+1?????</t>
  </si>
  <si>
    <t>May only be Data Validation for ROD Template</t>
  </si>
  <si>
    <t>Copy most recent sheet and rename it the CY, drop in numbers from OA when report available</t>
  </si>
  <si>
    <t>Comes from Section 8 of  actuarial valuation</t>
  </si>
  <si>
    <t>Comes from OSA</t>
  </si>
  <si>
    <t>YANCEY SOIL AND WATER CONSERVATION</t>
  </si>
  <si>
    <t>APPALACHIAN DISTRICT HEALTH DEPARTMENT</t>
  </si>
  <si>
    <t>ALEXANDER COUNTY HEALTH DEPARTMENT</t>
  </si>
  <si>
    <t>ALEXANDER COUNTY DEPT OF SOCIAL SERVICES</t>
  </si>
  <si>
    <t>AVERY-MITCHELL-YANCEY REGIONAL LIBRARY</t>
  </si>
  <si>
    <t>BERTIE-MARTIN REGIONAL JAIL COMMISSION</t>
  </si>
  <si>
    <t>SOUTH EASTERN ECONOMIC DEVELOPMENT COMMISSION</t>
  </si>
  <si>
    <t>BRUNSWICK COUNTY HEALTH DEPARTMENT</t>
  </si>
  <si>
    <t>BRUNSWICK COUNTY DEPARTMENT OF SOCIAL SERVICES</t>
  </si>
  <si>
    <t>CITY OF BOILING SPRING LAKES</t>
  </si>
  <si>
    <t>WESTERN NORTH CAROLINA REGIONAL AIR QUALITY</t>
  </si>
  <si>
    <t>METRO SEWERAGE DISTRICT OF BUNCOMBE COUNTY</t>
  </si>
  <si>
    <t xml:space="preserve">WEST BUNCOMBE FIRE DEPARTMENT </t>
  </si>
  <si>
    <t>SKYLAND VOLUNTEER FIRE DEPARTMENT</t>
  </si>
  <si>
    <t>BLACK MOUNTAIN ABC BOARD</t>
  </si>
  <si>
    <t>BURKE-CATAWBA DISTRICT CONFINEMENT</t>
  </si>
  <si>
    <t>BURKE COUNTY HEALTH DEPARTMENT</t>
  </si>
  <si>
    <t>BURKE COUNTY DEPTARTMENT OF SOCIAL SERVICES</t>
  </si>
  <si>
    <t>BURKE COUNTY TOURISM DEVELOPMENT AUTHORITY</t>
  </si>
  <si>
    <t>WATER AND SEWER AUTH OF CABARRUS COUNTY</t>
  </si>
  <si>
    <t>CITY OF LENOIR ABC BOARD</t>
  </si>
  <si>
    <t>CASWELL COUNTY DEPTARTMENT OF SOCIAL SERVICES</t>
  </si>
  <si>
    <t>HICKORY CONOVER TOURISM DEVELOPMENT AUTHORITY</t>
  </si>
  <si>
    <t>ALBEMARLE REGIONAL PLANNING AND DEV COMMISSION</t>
  </si>
  <si>
    <t>FIRST CRAVEN SANITARY DISTRICT</t>
  </si>
  <si>
    <t>CRAVEN COUNTY ABC BOARD</t>
  </si>
  <si>
    <t>COASTAL REGIONAL SOLID WASTE MANAGEMENT AUTH</t>
  </si>
  <si>
    <t>WESTAREA VOLUNTEER FIRE DEPARTMENT</t>
  </si>
  <si>
    <t>CUMBERLAND COUNTY ABC BOARD</t>
  </si>
  <si>
    <t>PUBLIC WORKS COMMISSION CITY OF FAYETTEVILLE</t>
  </si>
  <si>
    <t>CURRITUCK COUNTY ABC BOARD</t>
  </si>
  <si>
    <t>DAVIE SOIL AND WATER CONSERVATION DISTRICT</t>
  </si>
  <si>
    <t>WALLACE ABC BOARD</t>
  </si>
  <si>
    <t>DURHAM CONVENTION AND VISITORS BUREAU</t>
  </si>
  <si>
    <t>ROCKY MOUNT HOUSING AUTHORITY</t>
  </si>
  <si>
    <t>GASTON COUNTY ECONOMIC DEVELOPMENT COMMISSION</t>
  </si>
  <si>
    <t>GRAHAM COUNTY HEALTH DEPARTMENT</t>
  </si>
  <si>
    <t>GRAHAM COUNTY DEPARTMENT OF SOCIAL SERVICES</t>
  </si>
  <si>
    <t>GRANVILLE COUNTY ABC BOARD</t>
  </si>
  <si>
    <t>PINECROFT-SEDGEFIELD FIRE DISTRICT INC</t>
  </si>
  <si>
    <t>ALAMANCE COMMUNITY FIRE DISTRICT</t>
  </si>
  <si>
    <t>PIEDMONT TRIAD REGIONAL WATER AUTHORITY</t>
  </si>
  <si>
    <t>GREATER STATESVILLE DEVELOPMENT CORPORATION</t>
  </si>
  <si>
    <t>SOUTHWESTERN NC PLANNING &amp; ECONOMIC DEV COMM</t>
  </si>
  <si>
    <t>PUBLIC LIBRARY OF JOHNSTON COUNTY AND SMITHFIELD</t>
  </si>
  <si>
    <t>HOUSING AUTHORITY FOR THE CITY OF KINSTON</t>
  </si>
  <si>
    <t>KINSTON-LENOIR COUNTY PUBLIC LIBRARY</t>
  </si>
  <si>
    <t>MARTIN COUNTY TRAVEL AND TOURISM AUTHORITY</t>
  </si>
  <si>
    <t>PLEASANT GARDEN FIRE DEPARTMENT</t>
  </si>
  <si>
    <t>MECKLENBURG EMERGENCY MEDICAL SERVICES AGENCY</t>
  </si>
  <si>
    <t>CHARLOTTE FIREMEN'S RETIREMENT SYSTEM</t>
  </si>
  <si>
    <t>LOWER CAPE FEAR WATER AND SEWER AUTHORITY</t>
  </si>
  <si>
    <t>TOWN OF NORTH TOPSAIL BEACH</t>
  </si>
  <si>
    <t>PASQUOTANK COUNTY ABC BOARD</t>
  </si>
  <si>
    <t>ELIZABETH CITY-PASQUOTANK COUNTY AIRPORT AUTH</t>
  </si>
  <si>
    <t>ELIZABETH CITY-PASQUOTANK COUNTY IND DEV COMM</t>
  </si>
  <si>
    <t>PERSON COUNTY ABC BOARD</t>
  </si>
  <si>
    <t>PITT-GREENVILLE CONVENTION AND VISTORS</t>
  </si>
  <si>
    <t>CONTENNEA METROPOLITAN SEWERAGE DISTRICT</t>
  </si>
  <si>
    <t>ST PAUL'S BOARD OF ALCOHOLIC CONTROL</t>
  </si>
  <si>
    <t>MADISON-MAYODAN RECREATION COMMISSION</t>
  </si>
  <si>
    <t>ROWAN COUNTY HOUSING AUTHORITY</t>
  </si>
  <si>
    <t>ROWAN COUNTY SOIL &amp; WATER CONSERVATION DISTRICT</t>
  </si>
  <si>
    <t>HOUSING AUTHORITY OF THE CITY OF SALISBURY</t>
  </si>
  <si>
    <t>ISOTHERMAL PLANNING AND DEV COMMISSION</t>
  </si>
  <si>
    <t>DOBSON ABC BOARD</t>
  </si>
  <si>
    <t>ELECTRICITIES OF NORTH CAROLINA</t>
  </si>
  <si>
    <t>DURHAM HIGHWAY FIRE PROTECTION ASSOCIATION</t>
  </si>
  <si>
    <t>GARNER FIRE DEPARTMENT</t>
  </si>
  <si>
    <t>WATAUGA COUNTY DISTRICT U TOURISM DEV AUTH</t>
  </si>
  <si>
    <t>BLOWING ROCK ABC BOARD</t>
  </si>
  <si>
    <t>FORK TOWNSHIP SANITARY DISTRICT</t>
  </si>
  <si>
    <t>EASTERN CAROLINA REGIONAL HOUSING AUTHORITY</t>
  </si>
  <si>
    <t>EASTERN WAYNE SANITARY DISTRICT</t>
  </si>
  <si>
    <t>TOWN OF NORTH WILKESBORO</t>
  </si>
  <si>
    <t>TOWN OF NORTH WILKESBORO ABC BOARD</t>
  </si>
  <si>
    <t>WILSON ECONOMIC DEVELOPMENT COUNCIL</t>
  </si>
  <si>
    <t>NORTH CAROLINA ASSOC OF COUNTY COMMISSIONERS</t>
  </si>
  <si>
    <t>NORTH CAROLINA LEAGUE OF MUNICIPALITIES</t>
  </si>
  <si>
    <t>CUMBERLAND MEMORIAL AUDITORIUM COMMISSION</t>
  </si>
  <si>
    <t>GLOBAL TRANSPARK DEVELOPMENT COMMISSION</t>
  </si>
  <si>
    <t>TOWN OF FOUNTAIN</t>
  </si>
  <si>
    <t>VLOOKUP($A3,'[201-301 LGERS GASB 68 Tables for RSD_ORIGINAL FROM CMC.xlsx]App C Total'!$A$4:$I$97,5,FALSE)</t>
  </si>
  <si>
    <t>Def Amort</t>
  </si>
  <si>
    <t>zeros</t>
  </si>
  <si>
    <t>merged with another unit?</t>
  </si>
  <si>
    <t>JACKSON COUNTY TOURISM DEVELOPMENT AUTHORITY</t>
  </si>
  <si>
    <t>Measurement date 6/30/2021</t>
  </si>
  <si>
    <t>2021 Summary - CY</t>
  </si>
  <si>
    <t>ALLIANCE HEALTH</t>
  </si>
  <si>
    <t>INLIVIAN HOUSING</t>
  </si>
  <si>
    <t>CHARLOTTE REGIONAL VISITORS AUTH.</t>
  </si>
  <si>
    <t>FOOTHILLS HEALTH DISTRICT</t>
  </si>
  <si>
    <t>WAKE COUNTY GOVERMENT</t>
  </si>
  <si>
    <t>Deferred Amort MD 6-30-20</t>
  </si>
  <si>
    <t>Find 6-30-19 and replace with 6-30-20</t>
  </si>
  <si>
    <t>FY 2020 Total Contributions</t>
  </si>
  <si>
    <t>merged with another unit</t>
  </si>
  <si>
    <t>Note - If you are unable to see the 8 different tabs in this workbook :</t>
  </si>
  <si>
    <t>RHODHISS</t>
  </si>
  <si>
    <t>TRYON ABC BOARD</t>
  </si>
  <si>
    <t>Net Difference Between Projected And Actual Investment Earnings On a Plan Investments</t>
  </si>
  <si>
    <t>Employer Number</t>
  </si>
  <si>
    <t>Employer Name</t>
  </si>
  <si>
    <t>Total Contributions (Liability/Pension/Court Costs)</t>
  </si>
  <si>
    <t>WAKE COUNTY GOVERNMENT</t>
  </si>
  <si>
    <t>1% Decrease (5.50%)</t>
  </si>
  <si>
    <t>1% Increase    (7.50%)</t>
  </si>
  <si>
    <t>Current Discount Rate (6.50%)</t>
  </si>
  <si>
    <t>NO AGENCY SELECTED</t>
  </si>
  <si>
    <t>FY 06/30/22</t>
  </si>
  <si>
    <t>NPL 5.5% Sensitivity</t>
  </si>
  <si>
    <t>NPL 7.5% Sensitivity</t>
  </si>
  <si>
    <t xml:space="preserve">Agency </t>
  </si>
  <si>
    <t>Current Proportionate Share</t>
  </si>
  <si>
    <t>Differences Between Expected and Actual Experience</t>
  </si>
  <si>
    <t>Paragraph 54 and 55  Outflows</t>
  </si>
  <si>
    <t>Paragraph 54 and 55  Inflows</t>
  </si>
  <si>
    <t>Measurement Date 6/30/21</t>
  </si>
  <si>
    <t>HENDERSON WATER COMMISSION</t>
  </si>
  <si>
    <t>EAST CAROLINA BEHAVIORAL HEALTHCARE</t>
  </si>
  <si>
    <t>CUMBERLAND MEMORIAL AUDITORIUM COMMISION</t>
  </si>
  <si>
    <t>NO AGENCY CHOSEN</t>
  </si>
  <si>
    <t>ASHEVILLE-BUNCOMBE AIR QUALITY AGENCY</t>
  </si>
  <si>
    <t>TOWN OF SWEPSONVILLE</t>
  </si>
  <si>
    <t>LINCOLNTON-LINCOLN COUNTY AIRPORT AUTHORITY</t>
  </si>
  <si>
    <t>WASHINGTON HOUSING AUTHORITY</t>
  </si>
  <si>
    <t>No Agency</t>
  </si>
  <si>
    <r>
      <t>Fiscal Year Ended June 30, 20</t>
    </r>
    <r>
      <rPr>
        <sz val="10"/>
        <color rgb="FFFF0000"/>
        <rFont val="Arial"/>
        <family val="2"/>
      </rPr>
      <t>23</t>
    </r>
  </si>
  <si>
    <t>Measurement date 6/30/2022</t>
  </si>
  <si>
    <t>FY 2022 Total Contributions</t>
  </si>
  <si>
    <t>FY 06/30/23</t>
  </si>
  <si>
    <t>Measurement Date 6/30/22</t>
  </si>
  <si>
    <t>No Additional Agency Chosen</t>
  </si>
  <si>
    <t>FY202X refers to the fiscal year ending June 30, 202X</t>
  </si>
  <si>
    <t xml:space="preserve">         Advanced, Display Options for this Workbook, and ensure that Show Sheet Tabs is checked.  Consult your IT specialist as needed. Each tab is password protected. The password is gasb34</t>
  </si>
  <si>
    <t>Measurement Date 6/30/23</t>
  </si>
  <si>
    <t>FOOTHILLS REGIONAL AIRPORT AUTHORITY</t>
  </si>
  <si>
    <t>MONROE-UNION COUNTY ECONOMIC DEVELOPMENT COMMISSION</t>
  </si>
  <si>
    <t>TOWN OF STOKESDALE</t>
  </si>
  <si>
    <t>MONROE-UNION COUNTY ECONOMIC DEVELOPMENT COMMISSIO</t>
  </si>
  <si>
    <t>Step 1 - Click on cell C20 within this tab.  Select your agency from the drop-down menu.  Agencies are listed in alphabetical order.</t>
  </si>
  <si>
    <t>Step 2 - If you have an additional agency number to include in your financial statement (not common), click on cell C21 and choose that agency from the drop-down menu.</t>
  </si>
  <si>
    <t xml:space="preserve">            If you do not have an additional agency to include in your financial statement, verify that cell C21 shows "No additional agency chosen" and go to Step 3.</t>
  </si>
  <si>
    <t>10/1/2022 through 6/30/2023</t>
  </si>
  <si>
    <t>1/1/2023 through 6/30/2023</t>
  </si>
  <si>
    <t>4/1/2023 through 6/30/2023</t>
  </si>
  <si>
    <r>
      <t xml:space="preserve">This template automatically generates the GASB 68 journal entries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</si>
  <si>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 xml:space="preserve"> &lt;&lt; Enter your fiscal year-end (i.e 9/30/2023, 12/31/2023, 3/31/2024, 6/30/2024). STEP 3</t>
  </si>
  <si>
    <t>CARTERET COUNTY TOURISM DEVELOPMENT AUTHORITY</t>
  </si>
  <si>
    <t>KINSTON-LENOIR COUNTY TOURISM DEVELOPMENT AUTHORIT</t>
  </si>
  <si>
    <t>AYDEN HOUSING AUTHORITY 2023</t>
  </si>
  <si>
    <t>HOUSING AUTHORITY OF THE CITY OF LUMBERTON</t>
  </si>
  <si>
    <t xml:space="preserve">KINSTON-LENOIR CO TOURISM DEVELOPMENT AUTHORITY </t>
  </si>
  <si>
    <t xml:space="preserve">CARTERET COUNTY TOURISM DEVELOPMENT AUTHORITY </t>
  </si>
  <si>
    <t>Info, JE Template, 2025 summary, 2024 summary, 2023 summary, 2022 summary,LGERS Contributions FY 2024, LGERS Contributions FY 2023, LGERS Contributions FY 2022, and Deferred Amort MD 6-30-23 then go to File, Options,</t>
  </si>
  <si>
    <r>
      <t>Info, JE Template, 205 summary, 2024 summary, 2023 summary, 20</t>
    </r>
    <r>
      <rPr>
        <sz val="10"/>
        <color rgb="FFFF0000"/>
        <rFont val="Arial"/>
        <family val="2"/>
      </rPr>
      <t xml:space="preserve">22 </t>
    </r>
    <r>
      <rPr>
        <sz val="10"/>
        <rFont val="Arial"/>
        <family val="2"/>
      </rPr>
      <t>summary, 2021 summary, LGERS Contributions FY 2022, LGERS Contributions FY 20</t>
    </r>
    <r>
      <rPr>
        <sz val="10"/>
        <color rgb="FFFF0000"/>
        <rFont val="Arial"/>
        <family val="2"/>
      </rPr>
      <t>21</t>
    </r>
    <r>
      <rPr>
        <sz val="10"/>
        <rFont val="Arial"/>
        <family val="2"/>
      </rPr>
      <t>, and Deferred Amort MD 6-30-</t>
    </r>
    <r>
      <rPr>
        <sz val="10"/>
        <color rgb="FFFF0000"/>
        <rFont val="Arial"/>
        <family val="2"/>
      </rPr>
      <t>22</t>
    </r>
    <r>
      <rPr>
        <sz val="10"/>
        <rFont val="Arial"/>
        <family val="2"/>
      </rPr>
      <t xml:space="preserve"> then go to File, Options,</t>
    </r>
  </si>
  <si>
    <r>
      <t>&lt;&lt; This will be blank if you have a 6/30/20</t>
    </r>
    <r>
      <rPr>
        <sz val="10"/>
        <color rgb="FFFF0000"/>
        <rFont val="Arial"/>
        <family val="2"/>
      </rPr>
      <t>24</t>
    </r>
    <r>
      <rPr>
        <sz val="10"/>
        <rFont val="Arial"/>
        <family val="2"/>
      </rPr>
      <t xml:space="preserve"> fiscal year end.   STEP 4</t>
    </r>
  </si>
  <si>
    <t>9/30/20223</t>
  </si>
  <si>
    <t>Measurement date 6/30/2024</t>
  </si>
  <si>
    <t>Plan Total for 6/30/2024 Measurement Date</t>
  </si>
  <si>
    <t>Plan total for 6/30/2023 Measurement Date</t>
  </si>
  <si>
    <t>Plan measurement period used for FY25 is the twelve months ending June 30, 2024.</t>
  </si>
  <si>
    <t>7/1/2023 through 9/30/2023</t>
  </si>
  <si>
    <t>7/1/2023 through 12/31/2023</t>
  </si>
  <si>
    <t>7/1/2023 through 3/31/2024</t>
  </si>
  <si>
    <t>7/1/2023 through 6/30/2024</t>
  </si>
  <si>
    <t>10/1/2023 through 6/30/2024</t>
  </si>
  <si>
    <t>1/1/2024 through 6/30/2024</t>
  </si>
  <si>
    <t>4/1/2024 through 6/30/2024</t>
  </si>
  <si>
    <t>Fiscal Year Ended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</si>
</sst>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0000%"/>
    <numFmt numFmtId="170" formatCode="0.0000000%"/>
    <numFmt numFmtId="171" formatCode="0.0000%"/>
    <numFmt numFmtId="172" formatCode="0.00%;[Red]\(0.00%\);\ "/>
  </numFmts>
  <fonts count="6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color theme="1"/>
      <name val="Arial"/>
      <family val="2"/>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4"/>
      <color indexed="12"/>
      <name val="Arial"/>
      <family val="2"/>
    </font>
    <font>
      <sz val="12"/>
      <color indexed="18"/>
      <name val="Arial"/>
      <family val="2"/>
    </font>
    <font>
      <b/>
      <sz val="18"/>
      <color theme="1"/>
      <name val="Calibri"/>
      <family val="2"/>
      <scheme val="minor"/>
    </font>
    <font>
      <sz val="18"/>
      <color theme="1"/>
      <name val="Calibri"/>
      <family val="2"/>
      <scheme val="minor"/>
    </font>
    <font>
      <b/>
      <sz val="11"/>
      <name val="Calibri"/>
      <family val="2"/>
    </font>
    <font>
      <sz val="11"/>
      <name val="Calibri"/>
      <family val="2"/>
    </font>
    <font>
      <b/>
      <sz val="16"/>
      <color theme="1"/>
      <name val="Calibri"/>
      <family val="2"/>
      <scheme val="minor"/>
    </font>
    <font>
      <sz val="16"/>
      <color theme="1"/>
      <name val="Calibri"/>
      <family val="2"/>
      <scheme val="minor"/>
    </font>
    <font>
      <sz val="11"/>
      <name val="Arial"/>
      <family val="2"/>
    </font>
    <font>
      <b/>
      <sz val="11"/>
      <name val="Arial"/>
      <family val="2"/>
    </font>
  </fonts>
  <fills count="45">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bgColor indexed="64"/>
      </patternFill>
    </fill>
    <fill>
      <patternFill patternType="solid">
        <fgColor rgb="FFFF0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bgColor indexed="64"/>
      </patternFill>
    </fill>
    <fill>
      <patternFill patternType="solid">
        <fgColor theme="6" tint="-0.499984740745262"/>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39997558519241921"/>
        <bgColor indexed="64"/>
      </patternFill>
    </fill>
  </fills>
  <borders count="3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64"/>
      </bottom>
      <diagonal/>
    </border>
    <border>
      <left/>
      <right/>
      <top style="double">
        <color indexed="64"/>
      </top>
      <bottom style="medium">
        <color indexed="64"/>
      </bottom>
      <diagonal/>
    </border>
    <border>
      <left/>
      <right/>
      <top style="double">
        <color indexed="64"/>
      </top>
      <bottom/>
      <diagonal/>
    </border>
    <border>
      <left style="medium">
        <color indexed="9"/>
      </left>
      <right style="medium">
        <color indexed="9"/>
      </right>
      <top/>
      <bottom/>
      <diagonal/>
    </border>
    <border>
      <left/>
      <right/>
      <top style="double">
        <color indexed="64"/>
      </top>
      <bottom style="double">
        <color indexed="64"/>
      </bottom>
      <diagonal/>
    </border>
    <border>
      <left/>
      <right/>
      <top style="thin">
        <color auto="1"/>
      </top>
      <bottom/>
      <diagonal/>
    </border>
  </borders>
  <cellStyleXfs count="114">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43" fontId="1"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 fillId="0" borderId="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1" borderId="0" applyNumberFormat="0" applyBorder="0" applyAlignment="0" applyProtection="0"/>
    <xf numFmtId="0" fontId="29" fillId="24" borderId="0" applyNumberFormat="0" applyBorder="0" applyAlignment="0" applyProtection="0"/>
    <xf numFmtId="0" fontId="29" fillId="23" borderId="0" applyNumberFormat="0" applyBorder="0" applyAlignment="0" applyProtection="0"/>
    <xf numFmtId="0" fontId="29" fillId="25"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5"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2" fillId="34" borderId="22" applyNumberFormat="0" applyAlignment="0" applyProtection="0"/>
    <xf numFmtId="0" fontId="33" fillId="35" borderId="2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xf numFmtId="0" fontId="35" fillId="36"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26" borderId="22" applyNumberFormat="0" applyAlignment="0" applyProtection="0"/>
    <xf numFmtId="0" fontId="40" fillId="0" borderId="27" applyNumberFormat="0" applyFill="0" applyAlignment="0" applyProtection="0"/>
    <xf numFmtId="0" fontId="41" fillId="26" borderId="0" applyNumberFormat="0" applyBorder="0" applyAlignment="0" applyProtection="0"/>
    <xf numFmtId="0" fontId="5" fillId="0" borderId="0"/>
    <xf numFmtId="0" fontId="6" fillId="0" borderId="0"/>
    <xf numFmtId="0" fontId="6" fillId="23" borderId="28" applyNumberFormat="0" applyFont="0" applyAlignment="0" applyProtection="0"/>
    <xf numFmtId="0" fontId="42" fillId="34" borderId="29"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0" borderId="0"/>
    <xf numFmtId="0" fontId="47" fillId="0" borderId="0"/>
    <xf numFmtId="37" fontId="7" fillId="0" borderId="0"/>
    <xf numFmtId="37" fontId="7" fillId="0" borderId="0"/>
    <xf numFmtId="9" fontId="5"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39"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39" fontId="6" fillId="0" borderId="0"/>
    <xf numFmtId="43" fontId="47" fillId="0" borderId="0" applyFont="0" applyFill="0" applyBorder="0" applyAlignment="0" applyProtection="0"/>
    <xf numFmtId="0" fontId="48" fillId="0" borderId="0" applyFill="0" applyBorder="0" applyAlignment="0" applyProtection="0">
      <alignment horizontal="left"/>
    </xf>
    <xf numFmtId="0" fontId="49" fillId="38" borderId="0" applyNumberFormat="0" applyBorder="0">
      <alignment horizontal="centerContinuous"/>
    </xf>
    <xf numFmtId="0" fontId="50" fillId="38" borderId="32" applyNumberFormat="0" applyFont="0" applyBorder="0" applyAlignment="0" applyProtection="0">
      <alignment horizontal="center"/>
    </xf>
    <xf numFmtId="0" fontId="51" fillId="38" borderId="33" applyNumberFormat="0" applyBorder="0">
      <alignment horizontal="center"/>
    </xf>
    <xf numFmtId="38" fontId="52" fillId="0" borderId="0" applyBorder="0">
      <alignment horizontal="right"/>
    </xf>
    <xf numFmtId="10" fontId="52" fillId="0" borderId="0" applyBorder="0">
      <alignment horizontal="right"/>
    </xf>
    <xf numFmtId="171" fontId="53" fillId="0" borderId="0" applyBorder="0">
      <alignment horizontal="right"/>
    </xf>
    <xf numFmtId="38" fontId="54" fillId="37" borderId="34" applyBorder="0" applyAlignment="0">
      <protection locked="0"/>
    </xf>
    <xf numFmtId="172" fontId="54" fillId="37" borderId="0" applyBorder="0" applyAlignment="0">
      <protection locked="0"/>
    </xf>
    <xf numFmtId="0" fontId="48" fillId="39" borderId="0" applyBorder="0"/>
    <xf numFmtId="0" fontId="48" fillId="40" borderId="35" applyNumberFormat="0" applyFont="0" applyBorder="0" applyAlignment="0" applyProtection="0">
      <alignment horizontal="centerContinuous"/>
    </xf>
    <xf numFmtId="39" fontId="6" fillId="0" borderId="0"/>
    <xf numFmtId="43" fontId="47" fillId="0" borderId="0" applyFont="0" applyFill="0" applyBorder="0" applyAlignment="0" applyProtection="0"/>
    <xf numFmtId="0" fontId="47" fillId="0" borderId="0"/>
    <xf numFmtId="9" fontId="47" fillId="0" borderId="0" applyFont="0" applyFill="0" applyBorder="0" applyAlignment="0" applyProtection="0"/>
    <xf numFmtId="39" fontId="6" fillId="0" borderId="0"/>
  </cellStyleXfs>
  <cellXfs count="565">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0" fillId="0" borderId="0" xfId="0" applyFill="1" applyBorder="1"/>
    <xf numFmtId="0" fontId="15" fillId="5" borderId="0" xfId="0" applyFont="1" applyFill="1" applyAlignment="1" applyProtection="1">
      <alignment horizontal="center"/>
    </xf>
    <xf numFmtId="168" fontId="15" fillId="5" borderId="0" xfId="0" applyNumberFormat="1" applyFont="1" applyFill="1" applyProtection="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NumberFormat="1" applyFont="1" applyFill="1" applyAlignment="1" applyProtection="1">
      <alignment horizontal="left" vertical="top"/>
    </xf>
    <xf numFmtId="0" fontId="15" fillId="5" borderId="0" xfId="0" applyFont="1" applyFill="1" applyAlignment="1">
      <alignment vertical="top"/>
    </xf>
    <xf numFmtId="49" fontId="15" fillId="5" borderId="0" xfId="0" quotePrefix="1" applyNumberFormat="1" applyFont="1" applyFill="1" applyAlignment="1" applyProtection="1">
      <alignment horizontal="center" vertical="top"/>
    </xf>
    <xf numFmtId="49" fontId="15" fillId="5" borderId="0" xfId="0" quotePrefix="1" applyNumberFormat="1" applyFont="1" applyFill="1" applyAlignment="1">
      <alignment horizontal="center" vertical="top"/>
    </xf>
    <xf numFmtId="0" fontId="6" fillId="0" borderId="0" xfId="4"/>
    <xf numFmtId="0" fontId="2"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0" fontId="9" fillId="0" borderId="0" xfId="0" applyFont="1" applyFill="1" applyAlignment="1">
      <alignment horizontal="center"/>
    </xf>
    <xf numFmtId="167" fontId="0" fillId="0" borderId="0" xfId="9" applyNumberFormat="1" applyFont="1" applyFill="1"/>
    <xf numFmtId="164" fontId="0" fillId="0" borderId="0" xfId="0" applyNumberFormat="1" applyFill="1"/>
    <xf numFmtId="0" fontId="17" fillId="0" borderId="0" xfId="0" applyFont="1" applyFill="1" applyBorder="1" applyAlignment="1">
      <alignment horizontal="left"/>
    </xf>
    <xf numFmtId="0" fontId="0" fillId="3" borderId="7" xfId="0" applyFill="1" applyBorder="1"/>
    <xf numFmtId="0" fontId="0" fillId="3" borderId="1" xfId="0" applyFill="1" applyBorder="1"/>
    <xf numFmtId="0" fontId="0" fillId="3" borderId="0" xfId="0" quotePrefix="1" applyFill="1" applyBorder="1" applyAlignment="1">
      <alignment wrapText="1"/>
    </xf>
    <xf numFmtId="0" fontId="0" fillId="0" borderId="0" xfId="0" applyFill="1" applyAlignment="1">
      <alignment horizontal="right" wrapText="1"/>
    </xf>
    <xf numFmtId="0" fontId="6" fillId="0" borderId="0" xfId="4"/>
    <xf numFmtId="0" fontId="4" fillId="0" borderId="0" xfId="0" applyFont="1" applyFill="1" applyBorder="1" applyAlignment="1">
      <alignment horizontal="left" wrapText="1"/>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0" fontId="18" fillId="0" borderId="0" xfId="4" applyFont="1"/>
    <xf numFmtId="0" fontId="6" fillId="0" borderId="0" xfId="4"/>
    <xf numFmtId="0" fontId="20" fillId="0" borderId="0" xfId="4" applyFont="1"/>
    <xf numFmtId="43" fontId="0" fillId="0" borderId="0" xfId="0" applyNumberFormat="1"/>
    <xf numFmtId="166" fontId="0" fillId="0" borderId="0" xfId="0" applyNumberFormat="1"/>
    <xf numFmtId="0" fontId="8" fillId="0" borderId="0" xfId="0" applyFont="1"/>
    <xf numFmtId="0" fontId="6" fillId="0" borderId="0" xfId="4"/>
    <xf numFmtId="166" fontId="6" fillId="0" borderId="0" xfId="8" applyNumberFormat="1" applyFont="1" applyFill="1" applyBorder="1"/>
    <xf numFmtId="0" fontId="0" fillId="0" borderId="0" xfId="0" applyFill="1" applyAlignment="1">
      <alignment horizontal="left"/>
    </xf>
    <xf numFmtId="166" fontId="0" fillId="0" borderId="0" xfId="8" applyNumberFormat="1" applyFont="1" applyFill="1"/>
    <xf numFmtId="0" fontId="0" fillId="0" borderId="0" xfId="0" applyFill="1" applyAlignment="1">
      <alignment vertical="top"/>
    </xf>
    <xf numFmtId="0" fontId="0" fillId="0" borderId="0" xfId="0" applyFill="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5" borderId="0" xfId="0" applyFill="1" applyAlignment="1">
      <alignment vertical="center"/>
    </xf>
    <xf numFmtId="0" fontId="9" fillId="0" borderId="0" xfId="0" applyFont="1" applyFill="1"/>
    <xf numFmtId="0" fontId="17" fillId="0" borderId="1" xfId="0" applyFont="1" applyFill="1" applyBorder="1" applyAlignment="1">
      <alignment horizontal="centerContinuous"/>
    </xf>
    <xf numFmtId="0" fontId="17" fillId="2" borderId="1" xfId="0" applyFont="1" applyFill="1" applyBorder="1" applyAlignment="1">
      <alignment horizontal="centerContinuous"/>
    </xf>
    <xf numFmtId="0" fontId="17" fillId="0" borderId="0" xfId="0" applyFont="1" applyFill="1" applyBorder="1" applyAlignment="1">
      <alignment horizontal="center" wrapText="1"/>
    </xf>
    <xf numFmtId="0" fontId="17" fillId="2" borderId="0" xfId="0" applyFont="1" applyFill="1" applyBorder="1" applyAlignment="1">
      <alignment horizontal="center" wrapText="1"/>
    </xf>
    <xf numFmtId="167" fontId="9" fillId="0" borderId="0" xfId="9" applyNumberFormat="1" applyFont="1" applyFill="1"/>
    <xf numFmtId="165" fontId="9" fillId="2" borderId="0" xfId="0" applyNumberFormat="1" applyFont="1" applyFill="1"/>
    <xf numFmtId="0" fontId="9" fillId="2" borderId="0" xfId="0" applyFont="1" applyFill="1"/>
    <xf numFmtId="0" fontId="17" fillId="0" borderId="0" xfId="0" applyFont="1" applyFill="1" applyBorder="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applyFill="1"/>
    <xf numFmtId="165" fontId="17" fillId="2" borderId="0" xfId="0" applyNumberFormat="1" applyFont="1" applyFill="1"/>
    <xf numFmtId="0" fontId="17" fillId="0" borderId="0" xfId="0" applyFont="1" applyFill="1"/>
    <xf numFmtId="0" fontId="2" fillId="0" borderId="0" xfId="0" applyFont="1" applyFill="1" applyAlignment="1">
      <alignment horizontal="center"/>
    </xf>
    <xf numFmtId="0" fontId="21" fillId="0" borderId="10" xfId="0" applyFont="1" applyFill="1" applyBorder="1"/>
    <xf numFmtId="43" fontId="21" fillId="0" borderId="10" xfId="1" applyFont="1" applyFill="1" applyBorder="1"/>
    <xf numFmtId="0" fontId="22" fillId="0" borderId="0" xfId="0" applyFont="1" applyFill="1" applyBorder="1"/>
    <xf numFmtId="43" fontId="22" fillId="0" borderId="0" xfId="1" applyFont="1" applyFill="1" applyBorder="1"/>
    <xf numFmtId="0" fontId="21" fillId="0" borderId="0" xfId="0" applyFont="1" applyFill="1" applyBorder="1"/>
    <xf numFmtId="43" fontId="21" fillId="0" borderId="0" xfId="1" applyFont="1" applyFill="1" applyBorder="1"/>
    <xf numFmtId="0" fontId="23" fillId="0" borderId="0" xfId="0" applyFont="1" applyFill="1" applyBorder="1"/>
    <xf numFmtId="0" fontId="23" fillId="0" borderId="0" xfId="0" applyFont="1" applyFill="1" applyBorder="1" applyAlignment="1">
      <alignment horizontal="right"/>
    </xf>
    <xf numFmtId="166" fontId="0" fillId="0" borderId="0" xfId="0" applyNumberFormat="1" applyFill="1"/>
    <xf numFmtId="169" fontId="0" fillId="0" borderId="0" xfId="9" applyNumberFormat="1" applyFont="1"/>
    <xf numFmtId="0" fontId="0" fillId="0" borderId="0" xfId="0" applyFont="1" applyFill="1" applyAlignment="1">
      <alignment horizontal="right"/>
    </xf>
    <xf numFmtId="0" fontId="0" fillId="0" borderId="0"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2" fillId="0" borderId="0" xfId="1" applyFont="1" applyFill="1" applyBorder="1" applyAlignment="1">
      <alignment horizontal="center" wrapText="1"/>
    </xf>
    <xf numFmtId="0" fontId="0" fillId="0" borderId="0" xfId="0" applyFill="1" applyBorder="1" applyAlignment="1"/>
    <xf numFmtId="164" fontId="0" fillId="0" borderId="0" xfId="1" applyNumberFormat="1" applyFont="1" applyFill="1" applyBorder="1"/>
    <xf numFmtId="0" fontId="10" fillId="0" borderId="0" xfId="4" applyFont="1" applyFill="1" applyAlignment="1">
      <alignment horizontal="left"/>
    </xf>
    <xf numFmtId="0" fontId="6" fillId="0" borderId="10" xfId="4" applyFont="1" applyFill="1" applyBorder="1" applyAlignment="1" applyProtection="1">
      <alignment horizontal="center"/>
      <protection locked="0"/>
    </xf>
    <xf numFmtId="0" fontId="6" fillId="0" borderId="0" xfId="4" applyFill="1"/>
    <xf numFmtId="0" fontId="6" fillId="0" borderId="0" xfId="4" applyFill="1" applyBorder="1"/>
    <xf numFmtId="0" fontId="6" fillId="0" borderId="0" xfId="4" applyFill="1" applyAlignment="1">
      <alignment vertical="center"/>
    </xf>
    <xf numFmtId="14" fontId="6" fillId="0" borderId="0" xfId="4" applyNumberFormat="1" applyFill="1" applyBorder="1"/>
    <xf numFmtId="0" fontId="6" fillId="0" borderId="0" xfId="4" applyFill="1" applyAlignment="1">
      <alignment vertical="center" wrapText="1"/>
    </xf>
    <xf numFmtId="14" fontId="6" fillId="0" borderId="0" xfId="4" applyNumberFormat="1" applyFill="1" applyAlignment="1">
      <alignment horizontal="left" vertical="center"/>
    </xf>
    <xf numFmtId="166" fontId="6" fillId="0" borderId="10" xfId="8" applyNumberFormat="1" applyFont="1" applyFill="1" applyBorder="1" applyAlignment="1">
      <alignment vertical="center"/>
    </xf>
    <xf numFmtId="0" fontId="6" fillId="0" borderId="0" xfId="4" applyFill="1" applyAlignment="1">
      <alignment wrapText="1"/>
    </xf>
    <xf numFmtId="14" fontId="6" fillId="0" borderId="0" xfId="4" applyNumberFormat="1" applyFill="1" applyAlignment="1">
      <alignment horizontal="left"/>
    </xf>
    <xf numFmtId="14" fontId="6" fillId="0" borderId="0" xfId="4" applyNumberFormat="1" applyFill="1" applyAlignment="1">
      <alignment wrapText="1"/>
    </xf>
    <xf numFmtId="14" fontId="6" fillId="0" borderId="0" xfId="4" applyNumberFormat="1" applyFill="1" applyBorder="1" applyAlignment="1">
      <alignment horizontal="left"/>
    </xf>
    <xf numFmtId="166" fontId="6" fillId="0" borderId="10" xfId="8" applyNumberFormat="1" applyFont="1" applyFill="1" applyBorder="1"/>
    <xf numFmtId="0" fontId="6" fillId="0" borderId="0" xfId="4" applyFont="1" applyFill="1"/>
    <xf numFmtId="0" fontId="20" fillId="0" borderId="0" xfId="4" applyFont="1" applyFill="1"/>
    <xf numFmtId="0" fontId="18" fillId="0" borderId="0" xfId="4" applyFont="1" applyFill="1"/>
    <xf numFmtId="49" fontId="9" fillId="0" borderId="0" xfId="0" applyNumberFormat="1" applyFont="1" applyFill="1" applyBorder="1" applyAlignment="1">
      <alignment horizontal="left"/>
    </xf>
    <xf numFmtId="0" fontId="6" fillId="0" borderId="1" xfId="4" applyFill="1" applyBorder="1" applyAlignment="1">
      <alignment horizontal="right"/>
    </xf>
    <xf numFmtId="0" fontId="12" fillId="0" borderId="0" xfId="4" applyFont="1" applyFill="1" applyAlignment="1" applyProtection="1">
      <alignment horizontal="left" indent="2"/>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applyBorder="1"/>
    <xf numFmtId="0" fontId="0" fillId="3" borderId="5" xfId="0" applyFill="1" applyBorder="1" applyAlignment="1">
      <alignment horizontal="left"/>
    </xf>
    <xf numFmtId="0" fontId="0" fillId="3" borderId="0" xfId="0" applyFill="1" applyBorder="1" applyAlignment="1">
      <alignment horizontal="left"/>
    </xf>
    <xf numFmtId="166"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0" fillId="3" borderId="0" xfId="0" applyFont="1" applyFill="1" applyBorder="1"/>
    <xf numFmtId="0" fontId="2" fillId="3" borderId="1" xfId="0" applyFont="1" applyFill="1" applyBorder="1"/>
    <xf numFmtId="0" fontId="0" fillId="3" borderId="5" xfId="0" applyFill="1" applyBorder="1" applyAlignment="1"/>
    <xf numFmtId="0" fontId="0" fillId="3" borderId="7" xfId="0" applyFill="1" applyBorder="1" applyAlignment="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167" fontId="9" fillId="0" borderId="0" xfId="9" applyNumberFormat="1" applyFont="1" applyFill="1" applyBorder="1" applyAlignment="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9" applyNumberFormat="1" applyFont="1" applyFill="1" applyBorder="1" applyAlignment="1">
      <alignment horizontal="center"/>
    </xf>
    <xf numFmtId="165" fontId="9" fillId="2" borderId="0" xfId="0" applyNumberFormat="1" applyFont="1" applyFill="1"/>
    <xf numFmtId="164" fontId="9" fillId="0" borderId="0" xfId="1" applyNumberFormat="1" applyFont="1" applyFill="1"/>
    <xf numFmtId="0" fontId="9" fillId="0" borderId="0" xfId="0" applyFont="1" applyFill="1"/>
    <xf numFmtId="0" fontId="9" fillId="0" borderId="0" xfId="0" applyFont="1" applyFill="1" applyBorder="1" applyAlignment="1">
      <alignment horizontal="center"/>
    </xf>
    <xf numFmtId="0" fontId="22" fillId="0" borderId="0" xfId="0" applyFont="1" applyFill="1" applyBorder="1"/>
    <xf numFmtId="0" fontId="9"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5" fontId="9" fillId="0" borderId="0" xfId="0" applyNumberFormat="1" applyFont="1" applyFill="1"/>
    <xf numFmtId="164" fontId="9" fillId="0" borderId="0" xfId="0" applyNumberFormat="1" applyFont="1" applyFill="1"/>
    <xf numFmtId="167" fontId="9" fillId="0" borderId="0" xfId="9" applyNumberFormat="1" applyFont="1" applyFill="1" applyBorder="1" applyAlignment="1"/>
    <xf numFmtId="0" fontId="0" fillId="0" borderId="0" xfId="0" applyFill="1" applyAlignment="1">
      <alignment horizontal="center"/>
    </xf>
    <xf numFmtId="164" fontId="9" fillId="2" borderId="0" xfId="1" applyNumberFormat="1" applyFont="1" applyFill="1"/>
    <xf numFmtId="164" fontId="17" fillId="2" borderId="0" xfId="1" applyNumberFormat="1" applyFont="1" applyFill="1"/>
    <xf numFmtId="170" fontId="9" fillId="0" borderId="0" xfId="9" applyNumberFormat="1" applyFont="1" applyFill="1"/>
    <xf numFmtId="43" fontId="22" fillId="0" borderId="9" xfId="1" applyFont="1" applyFill="1" applyBorder="1"/>
    <xf numFmtId="43" fontId="23" fillId="0" borderId="0" xfId="1" applyFont="1" applyFill="1" applyBorder="1"/>
    <xf numFmtId="167" fontId="1" fillId="0" borderId="0" xfId="9" applyNumberFormat="1" applyFont="1" applyFill="1"/>
    <xf numFmtId="0" fontId="0" fillId="0" borderId="0" xfId="0" applyFont="1" applyFill="1"/>
    <xf numFmtId="165" fontId="0" fillId="0" borderId="0" xfId="0" applyNumberFormat="1" applyFill="1"/>
    <xf numFmtId="165" fontId="0" fillId="0" borderId="0" xfId="0" applyNumberFormat="1" applyFont="1" applyFill="1"/>
    <xf numFmtId="167" fontId="2" fillId="0" borderId="0" xfId="0" applyNumberFormat="1" applyFont="1" applyFill="1"/>
    <xf numFmtId="164" fontId="2" fillId="0" borderId="0" xfId="1" applyNumberFormat="1" applyFont="1" applyFill="1"/>
    <xf numFmtId="165" fontId="2" fillId="0" borderId="0" xfId="1" applyNumberFormat="1" applyFont="1" applyFill="1"/>
    <xf numFmtId="165" fontId="2" fillId="0" borderId="0" xfId="0" applyNumberFormat="1" applyFont="1" applyFill="1"/>
    <xf numFmtId="167" fontId="17" fillId="0" borderId="0" xfId="9" applyNumberFormat="1" applyFont="1" applyFill="1" applyBorder="1" applyAlignment="1"/>
    <xf numFmtId="164" fontId="17" fillId="0" borderId="0" xfId="1" applyNumberFormat="1" applyFont="1" applyFill="1" applyBorder="1" applyAlignment="1"/>
    <xf numFmtId="49" fontId="0" fillId="0" borderId="0" xfId="0" applyNumberFormat="1" applyFill="1"/>
    <xf numFmtId="49" fontId="9" fillId="0" borderId="0" xfId="0" applyNumberFormat="1" applyFont="1" applyFill="1"/>
    <xf numFmtId="167" fontId="17" fillId="0" borderId="0" xfId="9" applyNumberFormat="1" applyFont="1" applyFill="1" applyBorder="1" applyAlignment="1">
      <alignment horizontal="center"/>
    </xf>
    <xf numFmtId="49" fontId="22" fillId="0" borderId="0" xfId="0" applyNumberFormat="1" applyFont="1" applyFill="1" applyBorder="1" applyAlignment="1">
      <alignment horizontal="left"/>
    </xf>
    <xf numFmtId="49" fontId="0" fillId="0" borderId="0" xfId="0" applyNumberFormat="1" applyFill="1" applyAlignment="1">
      <alignment horizontal="left"/>
    </xf>
    <xf numFmtId="0" fontId="2" fillId="0" borderId="1" xfId="0" applyFont="1" applyFill="1" applyBorder="1" applyAlignment="1">
      <alignment horizontal="centerContinuous"/>
    </xf>
    <xf numFmtId="41" fontId="3" fillId="0" borderId="0" xfId="0" applyNumberFormat="1" applyFont="1" applyFill="1" applyBorder="1" applyAlignment="1">
      <alignment horizontal="center" wrapText="1"/>
    </xf>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Fill="1" applyAlignment="1">
      <alignment horizontal="right"/>
    </xf>
    <xf numFmtId="43" fontId="21" fillId="0" borderId="9" xfId="1" applyFont="1" applyFill="1" applyBorder="1"/>
    <xf numFmtId="0" fontId="9" fillId="6" borderId="0" xfId="0" applyFont="1" applyFill="1" applyBorder="1" applyAlignment="1">
      <alignment horizontal="center"/>
    </xf>
    <xf numFmtId="0" fontId="9" fillId="6" borderId="0" xfId="0" applyFont="1" applyFill="1" applyBorder="1" applyAlignment="1">
      <alignment horizontal="left"/>
    </xf>
    <xf numFmtId="167" fontId="9" fillId="6" borderId="0" xfId="9" applyNumberFormat="1" applyFont="1" applyFill="1"/>
    <xf numFmtId="164" fontId="9" fillId="6" borderId="0" xfId="1" applyNumberFormat="1" applyFont="1" applyFill="1"/>
    <xf numFmtId="165" fontId="9" fillId="6" borderId="0" xfId="0" applyNumberFormat="1" applyFont="1" applyFill="1"/>
    <xf numFmtId="164" fontId="9" fillId="6" borderId="0" xfId="0" applyNumberFormat="1" applyFont="1" applyFill="1"/>
    <xf numFmtId="0" fontId="9" fillId="6" borderId="0" xfId="0" applyFont="1" applyFill="1"/>
    <xf numFmtId="0" fontId="6" fillId="0" borderId="0" xfId="4" applyFill="1"/>
    <xf numFmtId="0" fontId="10" fillId="0" borderId="0" xfId="4" applyFont="1" applyFill="1"/>
    <xf numFmtId="164" fontId="0" fillId="3" borderId="0" xfId="1" applyNumberFormat="1" applyFont="1" applyFill="1" applyBorder="1" applyAlignment="1">
      <alignment vertical="center"/>
    </xf>
    <xf numFmtId="164" fontId="0" fillId="3" borderId="0" xfId="0" applyNumberFormat="1" applyFont="1" applyFill="1" applyBorder="1" applyAlignment="1">
      <alignment vertical="center" wrapText="1"/>
    </xf>
    <xf numFmtId="0" fontId="2" fillId="3" borderId="0" xfId="0" applyFont="1" applyFill="1" applyBorder="1" applyAlignment="1">
      <alignment vertical="center" wrapText="1"/>
    </xf>
    <xf numFmtId="0" fontId="2" fillId="3" borderId="6" xfId="0" applyFont="1" applyFill="1" applyBorder="1" applyAlignment="1">
      <alignment vertical="center" wrapText="1"/>
    </xf>
    <xf numFmtId="164" fontId="2" fillId="3" borderId="1" xfId="0" applyNumberFormat="1" applyFont="1" applyFill="1" applyBorder="1" applyAlignment="1">
      <alignment vertical="center"/>
    </xf>
    <xf numFmtId="164" fontId="2" fillId="3" borderId="8" xfId="0" applyNumberFormat="1" applyFont="1" applyFill="1" applyBorder="1" applyAlignment="1">
      <alignment vertical="center"/>
    </xf>
    <xf numFmtId="0" fontId="6" fillId="0" borderId="0" xfId="4" applyFill="1"/>
    <xf numFmtId="0" fontId="22" fillId="6" borderId="0" xfId="0" applyFont="1" applyFill="1" applyBorder="1" applyAlignment="1">
      <alignment horizontal="right"/>
    </xf>
    <xf numFmtId="0" fontId="22" fillId="6" borderId="0" xfId="0" applyFont="1" applyFill="1" applyBorder="1"/>
    <xf numFmtId="43" fontId="22" fillId="6" borderId="0" xfId="1" applyFont="1" applyFill="1" applyBorder="1"/>
    <xf numFmtId="43" fontId="22" fillId="6" borderId="9" xfId="1" applyFont="1" applyFill="1" applyBorder="1"/>
    <xf numFmtId="0" fontId="6" fillId="6" borderId="0" xfId="4" applyFill="1"/>
    <xf numFmtId="0" fontId="6" fillId="6" borderId="0" xfId="4" applyFont="1" applyFill="1"/>
    <xf numFmtId="0" fontId="20" fillId="6" borderId="0" xfId="4" applyFont="1" applyFill="1"/>
    <xf numFmtId="0" fontId="18" fillId="6" borderId="0" xfId="4" applyFont="1" applyFill="1"/>
    <xf numFmtId="14" fontId="6" fillId="6" borderId="0" xfId="4" applyNumberFormat="1" applyFont="1" applyFill="1"/>
    <xf numFmtId="14" fontId="6" fillId="6" borderId="0" xfId="4" applyNumberFormat="1" applyFill="1"/>
    <xf numFmtId="14" fontId="6" fillId="6" borderId="0" xfId="4" quotePrefix="1" applyNumberFormat="1" applyFill="1"/>
    <xf numFmtId="0" fontId="6" fillId="6" borderId="0" xfId="4" applyFont="1" applyFill="1" applyAlignment="1">
      <alignment horizontal="center"/>
    </xf>
    <xf numFmtId="0" fontId="6" fillId="6" borderId="0" xfId="4" applyFill="1" applyAlignment="1">
      <alignment horizontal="right"/>
    </xf>
    <xf numFmtId="0" fontId="0" fillId="0" borderId="0" xfId="0" applyFont="1"/>
    <xf numFmtId="0" fontId="2" fillId="0" borderId="0" xfId="0" applyFont="1"/>
    <xf numFmtId="0" fontId="9" fillId="0" borderId="0" xfId="0" applyFont="1" applyFill="1" applyAlignment="1">
      <alignment horizontal="left"/>
    </xf>
    <xf numFmtId="14" fontId="9" fillId="0" borderId="0" xfId="0" applyNumberFormat="1" applyFont="1" applyFill="1" applyAlignment="1">
      <alignment horizontal="left"/>
    </xf>
    <xf numFmtId="43" fontId="9" fillId="0" borderId="0" xfId="1" applyFont="1" applyFill="1" applyAlignment="1">
      <alignment horizontal="left"/>
    </xf>
    <xf numFmtId="14" fontId="6" fillId="0" borderId="10" xfId="4" applyNumberFormat="1" applyFont="1" applyFill="1" applyBorder="1"/>
    <xf numFmtId="0" fontId="6" fillId="0" borderId="0" xfId="4" applyFont="1" applyFill="1" applyAlignment="1" applyProtection="1">
      <alignment horizontal="left" indent="1"/>
    </xf>
    <xf numFmtId="0" fontId="2" fillId="7" borderId="0" xfId="0" applyFont="1" applyFill="1"/>
    <xf numFmtId="0" fontId="9" fillId="0" borderId="0" xfId="0" applyFont="1"/>
    <xf numFmtId="0" fontId="0" fillId="0" borderId="0" xfId="0" quotePrefix="1" applyFill="1"/>
    <xf numFmtId="164" fontId="16" fillId="0" borderId="0" xfId="1" applyNumberFormat="1" applyFont="1" applyFill="1" applyBorder="1" applyAlignment="1"/>
    <xf numFmtId="167" fontId="0" fillId="6" borderId="0" xfId="9" applyNumberFormat="1" applyFont="1" applyFill="1"/>
    <xf numFmtId="0" fontId="0" fillId="6" borderId="0" xfId="0" applyFill="1"/>
    <xf numFmtId="0" fontId="0" fillId="9" borderId="0" xfId="0" applyFill="1"/>
    <xf numFmtId="0" fontId="0" fillId="10" borderId="0" xfId="0" applyFill="1"/>
    <xf numFmtId="0" fontId="0" fillId="11" borderId="0" xfId="0" applyFill="1"/>
    <xf numFmtId="0" fontId="0" fillId="13" borderId="0" xfId="0" applyFill="1"/>
    <xf numFmtId="0" fontId="0" fillId="14" borderId="0" xfId="0" applyFill="1"/>
    <xf numFmtId="0" fontId="0" fillId="15" borderId="0" xfId="0" applyFill="1"/>
    <xf numFmtId="0" fontId="0" fillId="0" borderId="0" xfId="0" applyAlignment="1">
      <alignment horizontal="left"/>
    </xf>
    <xf numFmtId="0" fontId="2" fillId="0" borderId="1" xfId="0" applyFont="1" applyBorder="1"/>
    <xf numFmtId="43" fontId="2" fillId="0" borderId="1" xfId="1" applyFont="1" applyBorder="1"/>
    <xf numFmtId="43" fontId="0" fillId="0" borderId="1" xfId="1" applyFont="1" applyBorder="1"/>
    <xf numFmtId="43" fontId="0" fillId="9" borderId="0" xfId="1" applyFont="1" applyFill="1"/>
    <xf numFmtId="0" fontId="22" fillId="9" borderId="0" xfId="0" applyFont="1" applyFill="1" applyBorder="1"/>
    <xf numFmtId="43" fontId="22" fillId="9" borderId="0" xfId="1" applyFont="1" applyFill="1" applyBorder="1"/>
    <xf numFmtId="0" fontId="22" fillId="13" borderId="0" xfId="0" applyFont="1" applyFill="1" applyBorder="1"/>
    <xf numFmtId="43" fontId="22" fillId="13" borderId="0" xfId="1" applyFont="1" applyFill="1" applyBorder="1"/>
    <xf numFmtId="43" fontId="0" fillId="6" borderId="0" xfId="1" applyFont="1" applyFill="1"/>
    <xf numFmtId="43" fontId="22" fillId="16" borderId="9" xfId="1" applyFont="1" applyFill="1" applyBorder="1"/>
    <xf numFmtId="0" fontId="22" fillId="16" borderId="0" xfId="0" applyFont="1" applyFill="1" applyBorder="1" applyAlignment="1">
      <alignment horizontal="right"/>
    </xf>
    <xf numFmtId="0" fontId="22" fillId="16" borderId="0" xfId="0" applyFont="1" applyFill="1" applyBorder="1"/>
    <xf numFmtId="43" fontId="22" fillId="16" borderId="0" xfId="1" applyFont="1" applyFill="1" applyBorder="1"/>
    <xf numFmtId="43" fontId="2" fillId="0" borderId="0" xfId="1" applyFont="1"/>
    <xf numFmtId="0" fontId="8" fillId="0" borderId="0" xfId="0" applyFont="1" applyFill="1"/>
    <xf numFmtId="0" fontId="6" fillId="16" borderId="0" xfId="4" applyNumberFormat="1" applyFill="1" applyBorder="1"/>
    <xf numFmtId="0" fontId="10" fillId="6" borderId="0" xfId="4" applyFont="1" applyFill="1" applyAlignment="1">
      <alignment horizontal="right"/>
    </xf>
    <xf numFmtId="0" fontId="6" fillId="2" borderId="14" xfId="4" applyFont="1" applyFill="1" applyBorder="1"/>
    <xf numFmtId="0" fontId="6" fillId="2" borderId="15" xfId="4" applyFont="1" applyFill="1" applyBorder="1"/>
    <xf numFmtId="0" fontId="18" fillId="2" borderId="15" xfId="4" applyFont="1" applyFill="1" applyBorder="1"/>
    <xf numFmtId="0" fontId="18" fillId="2" borderId="16" xfId="4" applyFont="1" applyFill="1" applyBorder="1"/>
    <xf numFmtId="0" fontId="6" fillId="2" borderId="17" xfId="4" applyFill="1" applyBorder="1"/>
    <xf numFmtId="0" fontId="6" fillId="2" borderId="0" xfId="4" applyFill="1" applyBorder="1"/>
    <xf numFmtId="0" fontId="18" fillId="2" borderId="18" xfId="4" applyFont="1" applyFill="1" applyBorder="1"/>
    <xf numFmtId="14" fontId="6" fillId="2" borderId="19" xfId="4" applyNumberFormat="1" applyFont="1" applyFill="1" applyBorder="1"/>
    <xf numFmtId="0" fontId="6" fillId="2" borderId="20" xfId="4" applyFont="1" applyFill="1" applyBorder="1"/>
    <xf numFmtId="0" fontId="18" fillId="2" borderId="20" xfId="4" applyFont="1" applyFill="1" applyBorder="1"/>
    <xf numFmtId="0" fontId="18" fillId="2" borderId="21" xfId="4" applyFont="1" applyFill="1" applyBorder="1"/>
    <xf numFmtId="0" fontId="0" fillId="0" borderId="0" xfId="0" applyFill="1" applyAlignment="1">
      <alignment horizontal="center"/>
    </xf>
    <xf numFmtId="167" fontId="0" fillId="0" borderId="0" xfId="0" applyNumberFormat="1"/>
    <xf numFmtId="164" fontId="23" fillId="0" borderId="0" xfId="1" applyNumberFormat="1" applyFont="1" applyFill="1" applyAlignment="1">
      <alignment horizontal="left" vertical="center" wrapText="1"/>
    </xf>
    <xf numFmtId="164" fontId="23" fillId="0" borderId="0" xfId="1" applyNumberFormat="1" applyFont="1" applyFill="1" applyAlignment="1">
      <alignment horizontal="right" vertical="center" wrapText="1"/>
    </xf>
    <xf numFmtId="0" fontId="6" fillId="18" borderId="0" xfId="0" applyFont="1" applyFill="1" applyAlignment="1">
      <alignment horizontal="center"/>
    </xf>
    <xf numFmtId="164" fontId="23" fillId="18" borderId="0" xfId="1" applyNumberFormat="1" applyFont="1" applyFill="1" applyAlignment="1">
      <alignment horizontal="left" vertical="center" wrapText="1"/>
    </xf>
    <xf numFmtId="167" fontId="9" fillId="18" borderId="0" xfId="9" applyNumberFormat="1" applyFont="1" applyFill="1" applyBorder="1" applyAlignment="1"/>
    <xf numFmtId="164" fontId="9" fillId="18" borderId="0" xfId="1" applyNumberFormat="1" applyFont="1" applyFill="1"/>
    <xf numFmtId="0" fontId="9" fillId="18" borderId="0" xfId="0" applyFont="1" applyFill="1"/>
    <xf numFmtId="0" fontId="24" fillId="0" borderId="0" xfId="0" applyFont="1" applyFill="1" applyAlignment="1">
      <alignment horizontal="center"/>
    </xf>
    <xf numFmtId="0" fontId="9" fillId="18" borderId="0" xfId="0" applyFont="1" applyFill="1" applyBorder="1" applyAlignment="1">
      <alignment horizontal="center"/>
    </xf>
    <xf numFmtId="0" fontId="9" fillId="18" borderId="0" xfId="0" applyFont="1" applyFill="1" applyBorder="1" applyAlignment="1">
      <alignment horizontal="left"/>
    </xf>
    <xf numFmtId="165" fontId="9" fillId="18" borderId="0" xfId="0" applyNumberFormat="1" applyFont="1" applyFill="1"/>
    <xf numFmtId="164" fontId="9" fillId="18" borderId="0" xfId="0" applyNumberFormat="1" applyFont="1" applyFill="1"/>
    <xf numFmtId="164" fontId="23" fillId="8" borderId="0" xfId="1" applyNumberFormat="1" applyFont="1" applyFill="1" applyAlignment="1">
      <alignment horizontal="left" vertical="center" wrapText="1"/>
    </xf>
    <xf numFmtId="0" fontId="9" fillId="8" borderId="0" xfId="0" applyFont="1" applyFill="1"/>
    <xf numFmtId="0" fontId="24" fillId="17" borderId="0" xfId="0" applyFont="1" applyFill="1" applyAlignment="1">
      <alignment horizontal="center"/>
    </xf>
    <xf numFmtId="164" fontId="23" fillId="17" borderId="0" xfId="1" applyNumberFormat="1" applyFont="1" applyFill="1" applyAlignment="1">
      <alignment horizontal="left" vertical="center" wrapText="1"/>
    </xf>
    <xf numFmtId="167" fontId="9" fillId="17" borderId="0" xfId="9" applyNumberFormat="1" applyFont="1" applyFill="1" applyBorder="1" applyAlignment="1"/>
    <xf numFmtId="0" fontId="9" fillId="17" borderId="0" xfId="0" applyFont="1" applyFill="1"/>
    <xf numFmtId="0" fontId="6" fillId="19" borderId="0" xfId="0" applyFont="1" applyFill="1" applyAlignment="1">
      <alignment horizontal="center"/>
    </xf>
    <xf numFmtId="164" fontId="23" fillId="19" borderId="0" xfId="1" applyNumberFormat="1" applyFont="1" applyFill="1" applyAlignment="1">
      <alignment horizontal="left" vertical="center" wrapText="1"/>
    </xf>
    <xf numFmtId="0" fontId="9" fillId="19" borderId="0" xfId="0" applyFont="1" applyFill="1"/>
    <xf numFmtId="164" fontId="0" fillId="0" borderId="0" xfId="0" quotePrefix="1" applyNumberFormat="1"/>
    <xf numFmtId="0" fontId="2" fillId="0" borderId="0" xfId="0" applyFont="1" applyAlignment="1">
      <alignment horizontal="center" wrapText="1"/>
    </xf>
    <xf numFmtId="164" fontId="0" fillId="0" borderId="0" xfId="0" quotePrefix="1" applyNumberFormat="1" applyAlignment="1">
      <alignment wrapText="1"/>
    </xf>
    <xf numFmtId="167" fontId="9" fillId="0" borderId="0" xfId="0" applyNumberFormat="1" applyFont="1" applyFill="1"/>
    <xf numFmtId="0" fontId="6" fillId="6" borderId="0" xfId="0" applyFont="1" applyFill="1" applyAlignment="1">
      <alignment horizontal="center"/>
    </xf>
    <xf numFmtId="0" fontId="24" fillId="6" borderId="0" xfId="0" applyFont="1" applyFill="1" applyAlignment="1">
      <alignment horizontal="center"/>
    </xf>
    <xf numFmtId="167" fontId="9" fillId="20" borderId="0" xfId="9" applyNumberFormat="1" applyFont="1" applyFill="1" applyBorder="1" applyAlignment="1"/>
    <xf numFmtId="0" fontId="28" fillId="20" borderId="0" xfId="0" applyFont="1" applyFill="1"/>
    <xf numFmtId="167" fontId="9" fillId="6" borderId="0" xfId="9" applyNumberFormat="1" applyFont="1" applyFill="1" applyBorder="1" applyAlignment="1">
      <alignment wrapText="1"/>
    </xf>
    <xf numFmtId="0" fontId="8" fillId="6" borderId="0" xfId="0" applyFont="1" applyFill="1"/>
    <xf numFmtId="0" fontId="12" fillId="0" borderId="0" xfId="4" applyFont="1" applyFill="1" applyAlignment="1" applyProtection="1">
      <alignment horizontal="left" indent="1"/>
    </xf>
    <xf numFmtId="0" fontId="0" fillId="0" borderId="0" xfId="0" applyFill="1" applyAlignment="1">
      <alignment horizontal="center"/>
    </xf>
    <xf numFmtId="0" fontId="2" fillId="0" borderId="0" xfId="0" applyFont="1" applyAlignment="1">
      <alignment horizontal="center"/>
    </xf>
    <xf numFmtId="167" fontId="0" fillId="0" borderId="0" xfId="0" applyNumberFormat="1" applyFill="1"/>
    <xf numFmtId="0" fontId="0" fillId="0" borderId="0" xfId="0" applyAlignment="1">
      <alignment horizontal="center"/>
    </xf>
    <xf numFmtId="167" fontId="0" fillId="0" borderId="0" xfId="9" applyNumberFormat="1" applyFont="1"/>
    <xf numFmtId="0" fontId="0" fillId="6" borderId="0" xfId="0" applyFill="1" applyAlignment="1">
      <alignment horizontal="center"/>
    </xf>
    <xf numFmtId="0" fontId="0" fillId="0" borderId="0" xfId="0" applyFill="1" applyAlignment="1">
      <alignment vertical="top" wrapText="1"/>
    </xf>
    <xf numFmtId="0" fontId="2" fillId="0" borderId="0" xfId="0" applyFont="1" applyFill="1" applyAlignment="1">
      <alignment horizontal="right"/>
    </xf>
    <xf numFmtId="167" fontId="9" fillId="12" borderId="0" xfId="9" applyNumberFormat="1" applyFont="1" applyFill="1" applyBorder="1" applyAlignment="1">
      <alignment wrapText="1"/>
    </xf>
    <xf numFmtId="164" fontId="6" fillId="0" borderId="1" xfId="1" applyNumberFormat="1" applyFont="1" applyFill="1" applyBorder="1" applyAlignment="1">
      <alignment horizontal="right"/>
    </xf>
    <xf numFmtId="165" fontId="17" fillId="0" borderId="0" xfId="0" applyNumberFormat="1" applyFont="1"/>
    <xf numFmtId="164" fontId="2" fillId="0" borderId="0" xfId="1" applyNumberFormat="1" applyFont="1" applyFill="1"/>
    <xf numFmtId="164" fontId="10" fillId="0" borderId="31" xfId="1" applyNumberFormat="1" applyFont="1" applyFill="1" applyBorder="1" applyAlignment="1">
      <alignment horizontal="center"/>
    </xf>
    <xf numFmtId="164" fontId="6" fillId="0" borderId="0" xfId="1" applyNumberFormat="1" applyFont="1" applyFill="1" applyAlignment="1">
      <alignment horizontal="right"/>
    </xf>
    <xf numFmtId="164" fontId="6" fillId="0" borderId="0" xfId="1" applyNumberFormat="1" applyFont="1" applyFill="1" applyBorder="1" applyAlignment="1">
      <alignment horizontal="right"/>
    </xf>
    <xf numFmtId="164" fontId="46" fillId="0" borderId="31" xfId="1" applyNumberFormat="1" applyFont="1" applyFill="1" applyBorder="1" applyAlignment="1">
      <alignment horizontal="right"/>
    </xf>
    <xf numFmtId="0" fontId="9" fillId="0" borderId="0" xfId="0" applyFont="1" applyAlignment="1">
      <alignment horizontal="center"/>
    </xf>
    <xf numFmtId="0" fontId="9" fillId="0" borderId="0" xfId="0" applyFont="1" applyAlignment="1">
      <alignment horizontal="left"/>
    </xf>
    <xf numFmtId="165" fontId="9" fillId="0" borderId="0" xfId="0" applyNumberFormat="1" applyFont="1"/>
    <xf numFmtId="0" fontId="24" fillId="0" borderId="0" xfId="0" applyFont="1" applyAlignment="1">
      <alignment horizontal="center"/>
    </xf>
    <xf numFmtId="0" fontId="24" fillId="0" borderId="0" xfId="0" applyFont="1"/>
    <xf numFmtId="0" fontId="22" fillId="0" borderId="0" xfId="0" applyFont="1"/>
    <xf numFmtId="164" fontId="9" fillId="0" borderId="0" xfId="0" applyNumberFormat="1" applyFont="1"/>
    <xf numFmtId="167" fontId="9" fillId="0" borderId="0" xfId="0" applyNumberFormat="1" applyFont="1"/>
    <xf numFmtId="0" fontId="17" fillId="0" borderId="0" xfId="0" applyFont="1" applyAlignment="1">
      <alignment horizontal="center"/>
    </xf>
    <xf numFmtId="0" fontId="17" fillId="0" borderId="0" xfId="0" applyFont="1" applyAlignment="1">
      <alignment horizontal="left"/>
    </xf>
    <xf numFmtId="0" fontId="17" fillId="0" borderId="0" xfId="0" applyFont="1"/>
    <xf numFmtId="0" fontId="17" fillId="0" borderId="1" xfId="0" applyFont="1" applyBorder="1" applyAlignment="1">
      <alignment horizontal="centerContinuous"/>
    </xf>
    <xf numFmtId="0" fontId="17"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horizontal="left" wrapText="1"/>
    </xf>
    <xf numFmtId="49" fontId="9" fillId="0" borderId="0" xfId="0" applyNumberFormat="1" applyFont="1" applyAlignment="1">
      <alignment horizontal="left"/>
    </xf>
    <xf numFmtId="49" fontId="0" fillId="0" borderId="0" xfId="0" applyNumberFormat="1"/>
    <xf numFmtId="49" fontId="22" fillId="0" borderId="0" xfId="0" applyNumberFormat="1" applyFont="1" applyAlignment="1">
      <alignment horizontal="left"/>
    </xf>
    <xf numFmtId="49" fontId="0" fillId="0" borderId="0" xfId="0" applyNumberFormat="1" applyAlignment="1">
      <alignment horizontal="left"/>
    </xf>
    <xf numFmtId="49" fontId="9" fillId="0" borderId="0" xfId="0" applyNumberFormat="1" applyFont="1"/>
    <xf numFmtId="0" fontId="55" fillId="0" borderId="1" xfId="0" applyFont="1" applyBorder="1" applyAlignment="1">
      <alignment horizontal="center" wrapText="1"/>
    </xf>
    <xf numFmtId="0" fontId="55" fillId="0" borderId="1" xfId="0" applyFont="1" applyBorder="1"/>
    <xf numFmtId="0" fontId="56" fillId="0" borderId="0" xfId="0" applyFont="1"/>
    <xf numFmtId="4" fontId="56" fillId="0" borderId="0" xfId="0" applyNumberFormat="1" applyFont="1"/>
    <xf numFmtId="0" fontId="56" fillId="0" borderId="0" xfId="0" applyFont="1" applyBorder="1"/>
    <xf numFmtId="4" fontId="56" fillId="0" borderId="0" xfId="0" applyNumberFormat="1" applyFont="1" applyBorder="1"/>
    <xf numFmtId="0" fontId="17" fillId="41" borderId="0" xfId="0" applyFont="1" applyFill="1" applyAlignment="1">
      <alignment horizontal="center" wrapText="1"/>
    </xf>
    <xf numFmtId="41" fontId="0" fillId="0" borderId="0" xfId="0" applyNumberFormat="1"/>
    <xf numFmtId="41" fontId="0" fillId="9" borderId="0" xfId="0" applyNumberFormat="1" applyFill="1"/>
    <xf numFmtId="171" fontId="0" fillId="0" borderId="0" xfId="9" applyNumberFormat="1" applyFont="1"/>
    <xf numFmtId="167" fontId="2" fillId="0" borderId="0" xfId="0" applyNumberFormat="1" applyFont="1"/>
    <xf numFmtId="44" fontId="2" fillId="0" borderId="0" xfId="8" applyFont="1"/>
    <xf numFmtId="164" fontId="57" fillId="0" borderId="0" xfId="1" applyNumberFormat="1" applyFont="1" applyFill="1"/>
    <xf numFmtId="0" fontId="58" fillId="0" borderId="0" xfId="0" applyFont="1" applyAlignment="1">
      <alignment horizontal="left"/>
    </xf>
    <xf numFmtId="0" fontId="58" fillId="0" borderId="0" xfId="0" applyFont="1" applyAlignment="1">
      <alignment horizontal="center"/>
    </xf>
    <xf numFmtId="0" fontId="58" fillId="0" borderId="1" xfId="0" applyFont="1" applyBorder="1" applyAlignment="1">
      <alignment horizontal="center"/>
    </xf>
    <xf numFmtId="0" fontId="58" fillId="0" borderId="1" xfId="0" applyFont="1" applyBorder="1" applyAlignment="1">
      <alignment horizontal="left"/>
    </xf>
    <xf numFmtId="0" fontId="58" fillId="0" borderId="0" xfId="0" applyFont="1" applyBorder="1" applyAlignment="1">
      <alignment horizontal="left"/>
    </xf>
    <xf numFmtId="0" fontId="58" fillId="0" borderId="0" xfId="0" applyFont="1" applyBorder="1" applyAlignment="1">
      <alignment horizontal="center"/>
    </xf>
    <xf numFmtId="0" fontId="17" fillId="42" borderId="0" xfId="0" applyFont="1" applyFill="1" applyAlignment="1">
      <alignment horizontal="center" wrapText="1"/>
    </xf>
    <xf numFmtId="0" fontId="59" fillId="0" borderId="1" xfId="0" applyFont="1" applyBorder="1" applyAlignment="1">
      <alignment horizontal="center" wrapText="1"/>
    </xf>
    <xf numFmtId="0" fontId="59" fillId="0" borderId="1" xfId="0" applyFont="1" applyBorder="1"/>
    <xf numFmtId="0" fontId="60" fillId="0" borderId="0" xfId="0" applyFont="1"/>
    <xf numFmtId="4" fontId="60" fillId="0" borderId="0" xfId="0" applyNumberFormat="1" applyFont="1"/>
    <xf numFmtId="0" fontId="59" fillId="0" borderId="0" xfId="0" applyFont="1" applyAlignment="1">
      <alignment horizontal="right"/>
    </xf>
    <xf numFmtId="4" fontId="59" fillId="0" borderId="36" xfId="0" applyNumberFormat="1" applyFont="1" applyBorder="1"/>
    <xf numFmtId="0" fontId="23" fillId="0" borderId="0" xfId="0" applyFont="1" applyAlignment="1">
      <alignment horizontal="left"/>
    </xf>
    <xf numFmtId="167" fontId="22" fillId="0" borderId="0" xfId="9" applyNumberFormat="1" applyFont="1" applyFill="1" applyBorder="1"/>
    <xf numFmtId="166" fontId="22" fillId="0" borderId="0" xfId="8" applyNumberFormat="1" applyFont="1" applyFill="1" applyBorder="1"/>
    <xf numFmtId="0" fontId="23" fillId="0" borderId="0" xfId="0" applyFont="1" applyBorder="1" applyAlignment="1">
      <alignment horizontal="center"/>
    </xf>
    <xf numFmtId="0" fontId="23" fillId="0" borderId="0" xfId="0" applyFont="1" applyBorder="1" applyAlignment="1">
      <alignment horizontal="left"/>
    </xf>
    <xf numFmtId="0" fontId="22" fillId="0" borderId="0" xfId="0" applyFont="1" applyBorder="1"/>
    <xf numFmtId="164" fontId="22" fillId="0" borderId="0" xfId="0" applyNumberFormat="1" applyFont="1" applyBorder="1"/>
    <xf numFmtId="167" fontId="0" fillId="0" borderId="0" xfId="9" applyNumberFormat="1" applyFont="1" applyBorder="1"/>
    <xf numFmtId="166" fontId="0" fillId="0" borderId="0" xfId="0" applyNumberFormat="1" applyBorder="1"/>
    <xf numFmtId="164" fontId="22" fillId="0" borderId="0" xfId="0" applyNumberFormat="1" applyFont="1" applyFill="1" applyBorder="1"/>
    <xf numFmtId="167" fontId="0" fillId="0" borderId="0" xfId="9" applyNumberFormat="1" applyFont="1" applyFill="1" applyBorder="1"/>
    <xf numFmtId="166" fontId="0" fillId="0" borderId="0" xfId="0" applyNumberFormat="1" applyFill="1" applyBorder="1"/>
    <xf numFmtId="41" fontId="0" fillId="0" borderId="0" xfId="0" applyNumberFormat="1" applyBorder="1"/>
    <xf numFmtId="0" fontId="0" fillId="0" borderId="0" xfId="0" applyBorder="1" applyAlignment="1">
      <alignment horizontal="center"/>
    </xf>
    <xf numFmtId="4" fontId="60" fillId="0" borderId="0" xfId="0" applyNumberFormat="1" applyFont="1" applyBorder="1"/>
    <xf numFmtId="0" fontId="60" fillId="0" borderId="0" xfId="0" applyFont="1" applyAlignment="1"/>
    <xf numFmtId="0" fontId="61" fillId="0" borderId="0" xfId="0" applyFont="1"/>
    <xf numFmtId="167" fontId="61" fillId="0" borderId="0" xfId="0" applyNumberFormat="1" applyFont="1"/>
    <xf numFmtId="164" fontId="61" fillId="0" borderId="0" xfId="1" applyNumberFormat="1" applyFont="1" applyFill="1"/>
    <xf numFmtId="167" fontId="62" fillId="0" borderId="0" xfId="9" applyNumberFormat="1" applyFont="1" applyFill="1"/>
    <xf numFmtId="164" fontId="62" fillId="0" borderId="0" xfId="1" applyNumberFormat="1" applyFont="1" applyFill="1"/>
    <xf numFmtId="0" fontId="62" fillId="0" borderId="0" xfId="0" applyFont="1" applyAlignment="1">
      <alignment horizontal="center" wrapText="1"/>
    </xf>
    <xf numFmtId="0" fontId="61" fillId="0" borderId="0" xfId="0" applyFont="1" applyAlignment="1">
      <alignment horizontal="center"/>
    </xf>
    <xf numFmtId="0" fontId="61" fillId="0" borderId="0" xfId="0" applyFont="1" applyAlignment="1">
      <alignment horizontal="left"/>
    </xf>
    <xf numFmtId="167" fontId="61" fillId="0" borderId="0" xfId="9" applyNumberFormat="1" applyFont="1" applyFill="1"/>
    <xf numFmtId="165" fontId="61" fillId="0" borderId="0" xfId="0" applyNumberFormat="1" applyFont="1"/>
    <xf numFmtId="164" fontId="61" fillId="0" borderId="0" xfId="0" applyNumberFormat="1" applyFont="1"/>
    <xf numFmtId="167" fontId="61" fillId="0" borderId="0" xfId="9" applyNumberFormat="1" applyFont="1" applyFill="1" applyBorder="1"/>
    <xf numFmtId="164" fontId="61" fillId="0" borderId="0" xfId="1" applyNumberFormat="1" applyFont="1" applyFill="1" applyBorder="1"/>
    <xf numFmtId="0" fontId="61" fillId="43" borderId="0" xfId="0" applyFont="1" applyFill="1" applyAlignment="1">
      <alignment horizontal="center"/>
    </xf>
    <xf numFmtId="0" fontId="58" fillId="43" borderId="0" xfId="0" applyFont="1" applyFill="1" applyAlignment="1">
      <alignment horizontal="left"/>
    </xf>
    <xf numFmtId="167" fontId="61" fillId="43" borderId="0" xfId="9" applyNumberFormat="1" applyFont="1" applyFill="1" applyBorder="1"/>
    <xf numFmtId="164" fontId="61" fillId="43" borderId="0" xfId="1" applyNumberFormat="1" applyFont="1" applyFill="1" applyBorder="1"/>
    <xf numFmtId="165" fontId="61" fillId="43" borderId="0" xfId="0" applyNumberFormat="1" applyFont="1" applyFill="1"/>
    <xf numFmtId="164" fontId="61" fillId="43" borderId="0" xfId="0" applyNumberFormat="1" applyFont="1" applyFill="1"/>
    <xf numFmtId="0" fontId="61" fillId="43" borderId="0" xfId="0" applyFont="1" applyFill="1"/>
    <xf numFmtId="0" fontId="61" fillId="6" borderId="0" xfId="0" applyFont="1" applyFill="1" applyAlignment="1">
      <alignment horizontal="center"/>
    </xf>
    <xf numFmtId="0" fontId="61" fillId="6" borderId="0" xfId="0" applyFont="1" applyFill="1"/>
    <xf numFmtId="0" fontId="61" fillId="6" borderId="0" xfId="0" applyFont="1" applyFill="1" applyAlignment="1">
      <alignment horizontal="left"/>
    </xf>
    <xf numFmtId="167" fontId="61" fillId="6" borderId="0" xfId="9" applyNumberFormat="1" applyFont="1" applyFill="1" applyBorder="1"/>
    <xf numFmtId="164" fontId="61" fillId="6" borderId="0" xfId="1" applyNumberFormat="1" applyFont="1" applyFill="1" applyBorder="1"/>
    <xf numFmtId="165" fontId="61" fillId="6" borderId="0" xfId="0" applyNumberFormat="1" applyFont="1" applyFill="1"/>
    <xf numFmtId="164" fontId="61" fillId="6" borderId="0" xfId="0" applyNumberFormat="1" applyFont="1" applyFill="1"/>
    <xf numFmtId="0" fontId="61" fillId="43" borderId="0" xfId="0" applyFont="1" applyFill="1" applyAlignment="1">
      <alignment horizontal="left"/>
    </xf>
    <xf numFmtId="0" fontId="62" fillId="0" borderId="0" xfId="0" applyFont="1"/>
    <xf numFmtId="0" fontId="61" fillId="0" borderId="1" xfId="0" applyFont="1" applyBorder="1" applyAlignment="1">
      <alignment horizontal="center"/>
    </xf>
    <xf numFmtId="0" fontId="61" fillId="0" borderId="1" xfId="0" applyFont="1" applyBorder="1" applyAlignment="1">
      <alignment horizontal="left"/>
    </xf>
    <xf numFmtId="167" fontId="61" fillId="0" borderId="1" xfId="9" applyNumberFormat="1" applyFont="1" applyFill="1" applyBorder="1"/>
    <xf numFmtId="164" fontId="61" fillId="0" borderId="1" xfId="1" applyNumberFormat="1" applyFont="1" applyFill="1" applyBorder="1"/>
    <xf numFmtId="165" fontId="61" fillId="0" borderId="1" xfId="0" applyNumberFormat="1" applyFont="1" applyBorder="1"/>
    <xf numFmtId="164" fontId="61" fillId="0" borderId="1" xfId="0" applyNumberFormat="1" applyFont="1" applyBorder="1"/>
    <xf numFmtId="0" fontId="61" fillId="0" borderId="1" xfId="0" applyFont="1" applyBorder="1"/>
    <xf numFmtId="0" fontId="6" fillId="0" borderId="0" xfId="0" applyFont="1" applyAlignment="1">
      <alignment horizontal="center"/>
    </xf>
    <xf numFmtId="0" fontId="62" fillId="0" borderId="0" xfId="0" applyFont="1" applyAlignment="1">
      <alignment horizontal="left"/>
    </xf>
    <xf numFmtId="0" fontId="59" fillId="0" borderId="0" xfId="0" applyFont="1" applyAlignment="1">
      <alignment horizontal="left" vertical="center" wrapText="1"/>
    </xf>
    <xf numFmtId="0" fontId="60" fillId="42" borderId="0" xfId="0" applyFont="1" applyFill="1"/>
    <xf numFmtId="4" fontId="60" fillId="42" borderId="0" xfId="0" applyNumberFormat="1" applyFont="1" applyFill="1"/>
    <xf numFmtId="0" fontId="60" fillId="6" borderId="0" xfId="0" applyFont="1" applyFill="1"/>
    <xf numFmtId="4" fontId="60" fillId="6" borderId="0" xfId="0" applyNumberFormat="1" applyFont="1" applyFill="1"/>
    <xf numFmtId="164" fontId="0" fillId="0" borderId="0" xfId="1" applyNumberFormat="1" applyFont="1"/>
    <xf numFmtId="167" fontId="46" fillId="0" borderId="0" xfId="9" applyNumberFormat="1" applyFont="1" applyFill="1"/>
    <xf numFmtId="0" fontId="46" fillId="0" borderId="0" xfId="0" applyFont="1"/>
    <xf numFmtId="164" fontId="46" fillId="0" borderId="0" xfId="1" applyNumberFormat="1" applyFont="1" applyFill="1"/>
    <xf numFmtId="0" fontId="24" fillId="0" borderId="0" xfId="0" applyFont="1" applyAlignment="1">
      <alignment horizontal="left"/>
    </xf>
    <xf numFmtId="0" fontId="24" fillId="0" borderId="1" xfId="0" applyFont="1" applyBorder="1" applyAlignment="1">
      <alignment horizontal="center"/>
    </xf>
    <xf numFmtId="0" fontId="24" fillId="0" borderId="1" xfId="0" applyFont="1" applyBorder="1" applyAlignment="1">
      <alignment horizontal="left"/>
    </xf>
    <xf numFmtId="0" fontId="61" fillId="0" borderId="0" xfId="0" applyFont="1" applyBorder="1" applyAlignment="1">
      <alignment horizontal="center"/>
    </xf>
    <xf numFmtId="0" fontId="61" fillId="0" borderId="0" xfId="0" applyFont="1" applyAlignment="1">
      <alignment horizontal="left" wrapText="1"/>
    </xf>
    <xf numFmtId="0" fontId="61" fillId="0" borderId="0" xfId="0" applyFont="1" applyAlignment="1">
      <alignment horizontal="center" wrapText="1"/>
    </xf>
    <xf numFmtId="44" fontId="61" fillId="0" borderId="0" xfId="8" applyFont="1" applyFill="1"/>
    <xf numFmtId="0" fontId="61" fillId="44" borderId="0" xfId="0" applyFont="1" applyFill="1" applyAlignment="1">
      <alignment horizontal="center"/>
    </xf>
    <xf numFmtId="0" fontId="61" fillId="44" borderId="0" xfId="0" applyFont="1" applyFill="1" applyAlignment="1">
      <alignment horizontal="left"/>
    </xf>
    <xf numFmtId="167" fontId="61" fillId="44" borderId="0" xfId="9" applyNumberFormat="1" applyFont="1" applyFill="1"/>
    <xf numFmtId="44" fontId="61" fillId="44" borderId="0" xfId="8" applyFont="1" applyFill="1"/>
    <xf numFmtId="0" fontId="61" fillId="44" borderId="0" xfId="0" applyFont="1" applyFill="1"/>
    <xf numFmtId="164" fontId="61" fillId="44" borderId="0" xfId="1" applyNumberFormat="1" applyFont="1" applyFill="1" applyBorder="1"/>
    <xf numFmtId="0" fontId="58" fillId="44" borderId="0" xfId="0" applyFont="1" applyFill="1" applyAlignment="1">
      <alignment horizontal="left"/>
    </xf>
    <xf numFmtId="44" fontId="62" fillId="0" borderId="0" xfId="8" applyFont="1" applyFill="1"/>
    <xf numFmtId="167" fontId="9" fillId="0" borderId="0" xfId="9" applyNumberFormat="1" applyFont="1" applyBorder="1"/>
    <xf numFmtId="0" fontId="61" fillId="0" borderId="0" xfId="0" applyFont="1" applyFill="1" applyAlignment="1">
      <alignment horizontal="center"/>
    </xf>
    <xf numFmtId="0" fontId="61" fillId="0" borderId="0" xfId="0" applyFont="1" applyFill="1" applyAlignment="1">
      <alignment horizontal="left"/>
    </xf>
    <xf numFmtId="0" fontId="61" fillId="0" borderId="0" xfId="0" applyFont="1" applyFill="1"/>
    <xf numFmtId="0" fontId="61" fillId="0" borderId="0" xfId="0" applyFont="1" applyAlignment="1">
      <alignment horizontal="left"/>
    </xf>
    <xf numFmtId="0" fontId="62" fillId="0" borderId="0" xfId="0" applyFont="1" applyAlignment="1">
      <alignment horizontal="center" wrapText="1"/>
    </xf>
    <xf numFmtId="0" fontId="60" fillId="18" borderId="0" xfId="0" applyFont="1" applyFill="1"/>
    <xf numFmtId="4" fontId="60" fillId="18" borderId="0" xfId="0" applyNumberFormat="1" applyFont="1" applyFill="1"/>
    <xf numFmtId="0" fontId="60" fillId="0" borderId="0" xfId="0" applyFont="1" applyFill="1"/>
    <xf numFmtId="4" fontId="60" fillId="0" borderId="0" xfId="0" applyNumberFormat="1" applyFont="1" applyFill="1"/>
    <xf numFmtId="164" fontId="17" fillId="0" borderId="0" xfId="1" applyNumberFormat="1" applyFont="1"/>
    <xf numFmtId="0" fontId="9" fillId="6" borderId="0" xfId="0" applyFont="1" applyFill="1" applyAlignment="1">
      <alignment horizontal="center"/>
    </xf>
    <xf numFmtId="171" fontId="62" fillId="0" borderId="0" xfId="9" applyNumberFormat="1" applyFont="1" applyFill="1"/>
    <xf numFmtId="164" fontId="9" fillId="6" borderId="0" xfId="1" applyNumberFormat="1" applyFont="1" applyFill="1" applyBorder="1"/>
    <xf numFmtId="164" fontId="61" fillId="6" borderId="0" xfId="1" applyNumberFormat="1" applyFont="1" applyFill="1"/>
    <xf numFmtId="0" fontId="61" fillId="0" borderId="0" xfId="0" applyFont="1" applyAlignment="1">
      <alignment horizontal="left"/>
    </xf>
    <xf numFmtId="0" fontId="9" fillId="41" borderId="0" xfId="0" applyFont="1" applyFill="1" applyAlignment="1">
      <alignment horizontal="center"/>
    </xf>
    <xf numFmtId="0" fontId="9" fillId="41" borderId="0" xfId="0" applyFont="1" applyFill="1"/>
    <xf numFmtId="0" fontId="61" fillId="41" borderId="0" xfId="0" applyFont="1" applyFill="1" applyAlignment="1">
      <alignment horizontal="center"/>
    </xf>
    <xf numFmtId="0" fontId="61" fillId="41" borderId="0" xfId="0" applyFont="1" applyFill="1" applyAlignment="1">
      <alignment horizontal="left"/>
    </xf>
    <xf numFmtId="0" fontId="6" fillId="6"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Border="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16" fillId="0" borderId="0" xfId="0" applyFont="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4" fillId="5" borderId="0" xfId="0" applyNumberFormat="1" applyFont="1" applyFill="1" applyAlignment="1" applyProtection="1">
      <alignment horizontal="left" vertical="center"/>
    </xf>
    <xf numFmtId="0" fontId="0" fillId="5" borderId="0" xfId="0" applyFill="1" applyAlignment="1">
      <alignment vertical="center"/>
    </xf>
    <xf numFmtId="0" fontId="61" fillId="0" borderId="0" xfId="0" applyFont="1" applyAlignment="1">
      <alignment horizontal="left"/>
    </xf>
    <xf numFmtId="0" fontId="62" fillId="0" borderId="0" xfId="0" applyFont="1" applyAlignment="1">
      <alignment horizontal="center" wrapText="1"/>
    </xf>
    <xf numFmtId="0" fontId="62" fillId="0" borderId="20" xfId="0" applyFont="1" applyBorder="1" applyAlignment="1">
      <alignment horizontal="center"/>
    </xf>
    <xf numFmtId="0" fontId="0" fillId="0" borderId="0" xfId="0" applyAlignment="1">
      <alignment horizontal="left"/>
    </xf>
  </cellXfs>
  <cellStyles count="114">
    <cellStyle name="20% - Accent1 2" xfId="20" xr:uid="{00000000-0005-0000-0000-000000000000}"/>
    <cellStyle name="20% - Accent2 2" xfId="21" xr:uid="{00000000-0005-0000-0000-000001000000}"/>
    <cellStyle name="20% - Accent3 2" xfId="22" xr:uid="{00000000-0005-0000-0000-000002000000}"/>
    <cellStyle name="20% - Accent4 2" xfId="23" xr:uid="{00000000-0005-0000-0000-000003000000}"/>
    <cellStyle name="20% - Accent5 2" xfId="24" xr:uid="{00000000-0005-0000-0000-000004000000}"/>
    <cellStyle name="20% - Accent6 2" xfId="25" xr:uid="{00000000-0005-0000-0000-000005000000}"/>
    <cellStyle name="40% - Accent1 2" xfId="26" xr:uid="{00000000-0005-0000-0000-000006000000}"/>
    <cellStyle name="40% - Accent2 2" xfId="27" xr:uid="{00000000-0005-0000-0000-000007000000}"/>
    <cellStyle name="40% - Accent3 2" xfId="28" xr:uid="{00000000-0005-0000-0000-000008000000}"/>
    <cellStyle name="40% - Accent4 2" xfId="29" xr:uid="{00000000-0005-0000-0000-000009000000}"/>
    <cellStyle name="40% - Accent5 2" xfId="30" xr:uid="{00000000-0005-0000-0000-00000A000000}"/>
    <cellStyle name="40% - Accent6 2" xfId="31" xr:uid="{00000000-0005-0000-0000-00000B000000}"/>
    <cellStyle name="60% - Accent1 2" xfId="32" xr:uid="{00000000-0005-0000-0000-00000C000000}"/>
    <cellStyle name="60% - Accent2 2" xfId="33" xr:uid="{00000000-0005-0000-0000-00000D000000}"/>
    <cellStyle name="60% - Accent3 2" xfId="34" xr:uid="{00000000-0005-0000-0000-00000E000000}"/>
    <cellStyle name="60% - Accent4 2" xfId="35" xr:uid="{00000000-0005-0000-0000-00000F000000}"/>
    <cellStyle name="60% - Accent5 2" xfId="36" xr:uid="{00000000-0005-0000-0000-000010000000}"/>
    <cellStyle name="60% - Accent6 2" xfId="37" xr:uid="{00000000-0005-0000-0000-000011000000}"/>
    <cellStyle name="Accent1 2" xfId="38" xr:uid="{00000000-0005-0000-0000-000012000000}"/>
    <cellStyle name="Accent2 2" xfId="39" xr:uid="{00000000-0005-0000-0000-000013000000}"/>
    <cellStyle name="Accent3 2" xfId="40" xr:uid="{00000000-0005-0000-0000-000014000000}"/>
    <cellStyle name="Accent4 2" xfId="41" xr:uid="{00000000-0005-0000-0000-000015000000}"/>
    <cellStyle name="Accent5 2" xfId="42" xr:uid="{00000000-0005-0000-0000-000016000000}"/>
    <cellStyle name="Accent6 2" xfId="43" xr:uid="{00000000-0005-0000-0000-000017000000}"/>
    <cellStyle name="Bad 2" xfId="44" xr:uid="{00000000-0005-0000-0000-000018000000}"/>
    <cellStyle name="BigBorder" xfId="107" xr:uid="{00000000-0005-0000-0000-000019000000}"/>
    <cellStyle name="BigTitle" xfId="99" xr:uid="{00000000-0005-0000-0000-00001A000000}"/>
    <cellStyle name="Blue%2" xfId="103" xr:uid="{00000000-0005-0000-0000-00001B000000}"/>
    <cellStyle name="Blue%4" xfId="104" xr:uid="{00000000-0005-0000-0000-00001C000000}"/>
    <cellStyle name="BlueInt" xfId="102" xr:uid="{00000000-0005-0000-0000-00001D000000}"/>
    <cellStyle name="Calculation 2" xfId="45" xr:uid="{00000000-0005-0000-0000-00001E000000}"/>
    <cellStyle name="Check Cell 2" xfId="46" xr:uid="{00000000-0005-0000-0000-00001F000000}"/>
    <cellStyle name="columnheader1" xfId="101" xr:uid="{00000000-0005-0000-0000-000020000000}"/>
    <cellStyle name="Comma" xfId="1" builtinId="3"/>
    <cellStyle name="Comma 2" xfId="2" xr:uid="{00000000-0005-0000-0000-000022000000}"/>
    <cellStyle name="Comma 2 2" xfId="47" xr:uid="{00000000-0005-0000-0000-000023000000}"/>
    <cellStyle name="Comma 2 2 2" xfId="79" xr:uid="{00000000-0005-0000-0000-000024000000}"/>
    <cellStyle name="Comma 2 3" xfId="110" xr:uid="{00000000-0005-0000-0000-000025000000}"/>
    <cellStyle name="Comma 3" xfId="12" xr:uid="{00000000-0005-0000-0000-000026000000}"/>
    <cellStyle name="Comma 3 2" xfId="48" xr:uid="{00000000-0005-0000-0000-000027000000}"/>
    <cellStyle name="Comma 4" xfId="49" xr:uid="{00000000-0005-0000-0000-000028000000}"/>
    <cellStyle name="Comma 4 2" xfId="80" xr:uid="{00000000-0005-0000-0000-000029000000}"/>
    <cellStyle name="Comma 5" xfId="50" xr:uid="{00000000-0005-0000-0000-00002A000000}"/>
    <cellStyle name="Comma 5 2" xfId="51" xr:uid="{00000000-0005-0000-0000-00002B000000}"/>
    <cellStyle name="Comma 5 3" xfId="92" xr:uid="{00000000-0005-0000-0000-00002C000000}"/>
    <cellStyle name="Comma 6" xfId="97" xr:uid="{00000000-0005-0000-0000-00002D000000}"/>
    <cellStyle name="Currency" xfId="8" builtinId="4"/>
    <cellStyle name="Currency 2" xfId="14" xr:uid="{00000000-0005-0000-0000-00002F000000}"/>
    <cellStyle name="Currency 2 2" xfId="52" xr:uid="{00000000-0005-0000-0000-000030000000}"/>
    <cellStyle name="Currency 2 3" xfId="81" xr:uid="{00000000-0005-0000-0000-000031000000}"/>
    <cellStyle name="Currency 3" xfId="53" xr:uid="{00000000-0005-0000-0000-000032000000}"/>
    <cellStyle name="Currency 4" xfId="54" xr:uid="{00000000-0005-0000-0000-000033000000}"/>
    <cellStyle name="Currency 5" xfId="55" xr:uid="{00000000-0005-0000-0000-000034000000}"/>
    <cellStyle name="Currency 5 2" xfId="56" xr:uid="{00000000-0005-0000-0000-000035000000}"/>
    <cellStyle name="Currency 5 3" xfId="93" xr:uid="{00000000-0005-0000-0000-000036000000}"/>
    <cellStyle name="Currency 6" xfId="57" xr:uid="{00000000-0005-0000-0000-000037000000}"/>
    <cellStyle name="Explanatory Text 2" xfId="58" xr:uid="{00000000-0005-0000-0000-000038000000}"/>
    <cellStyle name="Good 2" xfId="59" xr:uid="{00000000-0005-0000-0000-000039000000}"/>
    <cellStyle name="Heading 1 2" xfId="60" xr:uid="{00000000-0005-0000-0000-00003A000000}"/>
    <cellStyle name="Heading 2 2" xfId="61" xr:uid="{00000000-0005-0000-0000-00003B000000}"/>
    <cellStyle name="Heading 3 2" xfId="62" xr:uid="{00000000-0005-0000-0000-00003C000000}"/>
    <cellStyle name="Heading 4 2" xfId="63" xr:uid="{00000000-0005-0000-0000-00003D000000}"/>
    <cellStyle name="Input 2" xfId="64" xr:uid="{00000000-0005-0000-0000-00003E000000}"/>
    <cellStyle name="Input%2" xfId="106" xr:uid="{00000000-0005-0000-0000-00003F000000}"/>
    <cellStyle name="InputInt" xfId="105" xr:uid="{00000000-0005-0000-0000-000040000000}"/>
    <cellStyle name="Linked Cell 2" xfId="65" xr:uid="{00000000-0005-0000-0000-000041000000}"/>
    <cellStyle name="Neutral 2" xfId="66" xr:uid="{00000000-0005-0000-0000-000042000000}"/>
    <cellStyle name="Normal" xfId="0" builtinId="0"/>
    <cellStyle name="Normal 2" xfId="3" xr:uid="{00000000-0005-0000-0000-000044000000}"/>
    <cellStyle name="Normal 2 2" xfId="15" xr:uid="{00000000-0005-0000-0000-000045000000}"/>
    <cellStyle name="Normal 2 2 2" xfId="82" xr:uid="{00000000-0005-0000-0000-000046000000}"/>
    <cellStyle name="Normal 2 2 3" xfId="83" xr:uid="{00000000-0005-0000-0000-000047000000}"/>
    <cellStyle name="Normal 2 3" xfId="67" xr:uid="{00000000-0005-0000-0000-000048000000}"/>
    <cellStyle name="Normal 2 4" xfId="98" xr:uid="{00000000-0005-0000-0000-000049000000}"/>
    <cellStyle name="Normal 3" xfId="4" xr:uid="{00000000-0005-0000-0000-00004A000000}"/>
    <cellStyle name="Normal 3 2" xfId="5" xr:uid="{00000000-0005-0000-0000-00004B000000}"/>
    <cellStyle name="Normal 3 3" xfId="16" xr:uid="{00000000-0005-0000-0000-00004C000000}"/>
    <cellStyle name="Normal 3 4" xfId="11" xr:uid="{00000000-0005-0000-0000-00004D000000}"/>
    <cellStyle name="Normal 3 4 2" xfId="68" xr:uid="{00000000-0005-0000-0000-00004E000000}"/>
    <cellStyle name="Normal 3 4 3" xfId="91" xr:uid="{00000000-0005-0000-0000-00004F000000}"/>
    <cellStyle name="Normal 3 5" xfId="111" xr:uid="{00000000-0005-0000-0000-000050000000}"/>
    <cellStyle name="Normal 4" xfId="6" xr:uid="{00000000-0005-0000-0000-000051000000}"/>
    <cellStyle name="Normal 4 2" xfId="17" xr:uid="{00000000-0005-0000-0000-000052000000}"/>
    <cellStyle name="Normal 4 3" xfId="18" xr:uid="{00000000-0005-0000-0000-000053000000}"/>
    <cellStyle name="Normal 4 3 2" xfId="84" xr:uid="{00000000-0005-0000-0000-000054000000}"/>
    <cellStyle name="Normal 4 3 3" xfId="95" xr:uid="{00000000-0005-0000-0000-000055000000}"/>
    <cellStyle name="Normal 4 4" xfId="85" xr:uid="{00000000-0005-0000-0000-000056000000}"/>
    <cellStyle name="Normal 5" xfId="10" xr:uid="{00000000-0005-0000-0000-000057000000}"/>
    <cellStyle name="Normal 5 2" xfId="19" xr:uid="{00000000-0005-0000-0000-000058000000}"/>
    <cellStyle name="Normal 5 3" xfId="90" xr:uid="{00000000-0005-0000-0000-000059000000}"/>
    <cellStyle name="Normal 5 3 2" xfId="113" xr:uid="{00000000-0005-0000-0000-00005A000000}"/>
    <cellStyle name="Normal 5 4" xfId="89" xr:uid="{00000000-0005-0000-0000-00005B000000}"/>
    <cellStyle name="Normal 5 4 2" xfId="109" xr:uid="{00000000-0005-0000-0000-00005C000000}"/>
    <cellStyle name="Normal 5 5" xfId="88" xr:uid="{00000000-0005-0000-0000-00005D000000}"/>
    <cellStyle name="Normal 5 6" xfId="96" xr:uid="{00000000-0005-0000-0000-00005E000000}"/>
    <cellStyle name="Note 2" xfId="69" xr:uid="{00000000-0005-0000-0000-00005F000000}"/>
    <cellStyle name="Output 2" xfId="70" xr:uid="{00000000-0005-0000-0000-000060000000}"/>
    <cellStyle name="pageheader" xfId="108" xr:uid="{00000000-0005-0000-0000-000061000000}"/>
    <cellStyle name="Percent" xfId="9" builtinId="5"/>
    <cellStyle name="Percent 2" xfId="7" xr:uid="{00000000-0005-0000-0000-000063000000}"/>
    <cellStyle name="Percent 2 2" xfId="71" xr:uid="{00000000-0005-0000-0000-000064000000}"/>
    <cellStyle name="Percent 2 2 2" xfId="86" xr:uid="{00000000-0005-0000-0000-000065000000}"/>
    <cellStyle name="Percent 2 3" xfId="112" xr:uid="{00000000-0005-0000-0000-000066000000}"/>
    <cellStyle name="Percent 3" xfId="13" xr:uid="{00000000-0005-0000-0000-000067000000}"/>
    <cellStyle name="Percent 4" xfId="72" xr:uid="{00000000-0005-0000-0000-000068000000}"/>
    <cellStyle name="Percent 4 2" xfId="87" xr:uid="{00000000-0005-0000-0000-000069000000}"/>
    <cellStyle name="Percent 5" xfId="73" xr:uid="{00000000-0005-0000-0000-00006A000000}"/>
    <cellStyle name="Percent 5 2" xfId="74" xr:uid="{00000000-0005-0000-0000-00006B000000}"/>
    <cellStyle name="Percent 5 3" xfId="94" xr:uid="{00000000-0005-0000-0000-00006C000000}"/>
    <cellStyle name="Percent 6" xfId="75" xr:uid="{00000000-0005-0000-0000-00006D000000}"/>
    <cellStyle name="sectionhead" xfId="100" xr:uid="{00000000-0005-0000-0000-00006E000000}"/>
    <cellStyle name="Title 2" xfId="76" xr:uid="{00000000-0005-0000-0000-00006F000000}"/>
    <cellStyle name="Total 2" xfId="77" xr:uid="{00000000-0005-0000-0000-000070000000}"/>
    <cellStyle name="Warning Text 2" xfId="78" xr:uid="{00000000-0005-0000-0000-00007100000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28577</xdr:colOff>
      <xdr:row>39</xdr:row>
      <xdr:rowOff>209550</xdr:rowOff>
    </xdr:from>
    <xdr:to>
      <xdr:col>6</xdr:col>
      <xdr:colOff>1714500</xdr:colOff>
      <xdr:row>39</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1449052" y="9591675"/>
          <a:ext cx="1685923" cy="762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Kendra Boyle" id="{4689EE39-4D50-4DDB-A6A9-D3B21C1FA47D}" userId="S::LGC0084@nctreasurer.com::e6da70e9-72c2-409b-9978-192edee7820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0-04-06T13:38:06.21" personId="{4689EE39-4D50-4DDB-A6A9-D3B21C1FA47D}" id="{4A9296FC-B28F-4AE4-9106-5BA27BABABFA}">
    <text>Appropriate schedules in the Office of State Auditor Report</text>
  </threadedComment>
  <threadedComment ref="B7" dT="2020-04-06T13:40:03.06" personId="{4689EE39-4D50-4DDB-A6A9-D3B21C1FA47D}" id="{A4DF9D7B-0EF9-417A-A3D1-D864AEC683F6}">
    <text>Make sure this list matches the CY Office of State Auditor list and list from FOD</text>
  </threadedComment>
  <threadedComment ref="B7" dT="2020-04-06T13:42:05.82" personId="{4689EE39-4D50-4DDB-A6A9-D3B21C1FA47D}" id="{F1306920-60A2-4C38-8AFB-58AE77E233E7}" parentId="{A4DF9D7B-0EF9-417A-A3D1-D864AEC683F6}">
    <text/>
  </threadedComment>
  <threadedComment ref="C7" dT="2020-04-06T12:50:19.78" personId="{4689EE39-4D50-4DDB-A6A9-D3B21C1FA47D}" id="{0DAE35F1-CFDC-4E9D-BF40-6FED616A6C92}">
    <text>LGERS Schedule 1 in State Auditors Report</text>
  </threadedComment>
  <threadedComment ref="E7" dT="2020-04-06T13:43:01.61" personId="{4689EE39-4D50-4DDB-A6A9-D3B21C1FA47D}" id="{BCD6EF0B-AF25-4869-80DA-5A85E1CE8B37}">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B4" dT="2020-04-06T13:38:06.21" personId="{4689EE39-4D50-4DDB-A6A9-D3B21C1FA47D}" id="{DA29CE89-0254-40DA-8C5A-3D363D4CCC88}">
    <text>Appropriate schedules in the Office of State Auditor Report</text>
  </threadedComment>
  <threadedComment ref="B7" dT="2020-04-06T13:40:03.06" personId="{4689EE39-4D50-4DDB-A6A9-D3B21C1FA47D}" id="{A54EBF66-8521-48EC-9B4E-F6143D5706CD}">
    <text>Make sure this list matches the CY Office of State Auditor list and list from FOD</text>
  </threadedComment>
  <threadedComment ref="B7" dT="2020-04-06T13:42:05.82" personId="{4689EE39-4D50-4DDB-A6A9-D3B21C1FA47D}" id="{B914AB3D-9719-4BE9-A676-C78692A7255E}" parentId="{A54EBF66-8521-48EC-9B4E-F6143D5706CD}">
    <text/>
  </threadedComment>
  <threadedComment ref="C7" dT="2020-04-06T12:50:19.78" personId="{4689EE39-4D50-4DDB-A6A9-D3B21C1FA47D}" id="{796B3168-B70D-4088-AA44-E66CE30D881F}">
    <text>LGERS Schedule 1 in State Auditors Report</text>
  </threadedComment>
  <threadedComment ref="D7" dT="2020-04-06T13:39:02.88" personId="{4689EE39-4D50-4DDB-A6A9-D3B21C1FA47D}" id="{91547CDF-F917-489D-8001-94F250BD98D5}">
    <text>use vlookup to pull # from PY summary</text>
  </threadedComment>
  <threadedComment ref="D7" dT="2020-04-06T13:45:49.26" personId="{4689EE39-4D50-4DDB-A6A9-D3B21C1FA47D}" id="{87319072-FD1A-4E32-856E-1DE3D3C62541}" parentId="{91547CDF-F917-489D-8001-94F250BD98D5}">
    <text>Clean up any N/A that result from Vlookup and the copy and paste values in this column over the vlookup formula</text>
  </threadedComment>
  <threadedComment ref="E7" dT="2020-04-06T13:43:01.61" personId="{4689EE39-4D50-4DDB-A6A9-D3B21C1FA47D}" id="{FF883F4D-3E3A-4419-BF84-894DBA1C51EE}">
    <text>All # come from Office of State Auditor Report Schedule 2</text>
  </threadedComment>
</ThreadedComments>
</file>

<file path=xl/threadedComments/threadedComment3.xml><?xml version="1.0" encoding="utf-8"?>
<ThreadedComments xmlns="http://schemas.microsoft.com/office/spreadsheetml/2018/threadedcomments" xmlns:x="http://schemas.openxmlformats.org/spreadsheetml/2006/main">
  <threadedComment ref="B4" dT="2020-04-06T13:38:06.21" personId="{4689EE39-4D50-4DDB-A6A9-D3B21C1FA47D}" id="{67B810F5-8127-4574-BA1F-C8609E87121B}">
    <text>Appropriate schedules in the Office of State Auditor Report</text>
  </threadedComment>
  <threadedComment ref="B7" dT="2020-04-06T13:40:03.06" personId="{4689EE39-4D50-4DDB-A6A9-D3B21C1FA47D}" id="{836613E1-F3C2-4EC8-80D2-8FF78D05DD24}">
    <text>Make sure this list matches the CY Office of State Auditor list and list from FOD</text>
  </threadedComment>
  <threadedComment ref="B7" dT="2020-04-06T13:42:05.82" personId="{4689EE39-4D50-4DDB-A6A9-D3B21C1FA47D}" id="{4159B1CC-5CA1-468D-869C-6004AD2DEEA5}" parentId="{836613E1-F3C2-4EC8-80D2-8FF78D05DD24}">
    <text/>
  </threadedComment>
  <threadedComment ref="C7" dT="2020-04-06T12:50:19.78" personId="{4689EE39-4D50-4DDB-A6A9-D3B21C1FA47D}" id="{20A03AFD-60B4-48CB-BE69-82FE8981B168}">
    <text>LGERS Schedule 1 in State Auditors Report</text>
  </threadedComment>
  <threadedComment ref="D7" dT="2020-04-06T13:39:02.88" personId="{4689EE39-4D50-4DDB-A6A9-D3B21C1FA47D}" id="{14A0C853-62CF-4651-B81B-43AEB6D38BEB}">
    <text>use vlookup to pull # from PY summary</text>
  </threadedComment>
  <threadedComment ref="D7" dT="2020-04-06T13:45:49.26" personId="{4689EE39-4D50-4DDB-A6A9-D3B21C1FA47D}" id="{63803BFB-5D4A-45B6-8387-97AA0798EC4E}" parentId="{14A0C853-62CF-4651-B81B-43AEB6D38BEB}">
    <text>Clean up any N/A that result from Vlookup and the copy and paste values in this column over the vlookup formula</text>
  </threadedComment>
  <threadedComment ref="E7" dT="2020-04-06T13:43:01.61" personId="{4689EE39-4D50-4DDB-A6A9-D3B21C1FA47D}" id="{F0F2B8F8-BEC0-48AD-8A20-AC785F4F9B02}">
    <text>All # come from Office of State Auditor Report Schedule 2</text>
  </threadedComment>
</ThreadedComments>
</file>

<file path=xl/threadedComments/threadedComment4.xml><?xml version="1.0" encoding="utf-8"?>
<ThreadedComments xmlns="http://schemas.microsoft.com/office/spreadsheetml/2018/threadedcomments" xmlns:x="http://schemas.openxmlformats.org/spreadsheetml/2006/main">
  <threadedComment ref="B4" dT="2020-04-06T13:38:06.21" personId="{4689EE39-4D50-4DDB-A6A9-D3B21C1FA47D}" id="{7395AA7C-AAFB-4098-8276-18A30E02F89D}">
    <text>Appropriate schedules in the Office of State Auditor Report</text>
  </threadedComment>
  <threadedComment ref="C7" dT="2020-04-06T12:50:19.78" personId="{4689EE39-4D50-4DDB-A6A9-D3B21C1FA47D}" id="{DD829B44-77F1-4A05-A0BF-0F131EE4B043}">
    <text>LGERS Schedule 1 in State Auditors Report</text>
  </threadedComment>
  <threadedComment ref="D7" dT="2020-04-06T13:39:02.88" personId="{4689EE39-4D50-4DDB-A6A9-D3B21C1FA47D}" id="{339A4D02-736C-4C2A-BAD2-822A5AE5D37D}">
    <text>use vlookup to pull # from PY summary</text>
  </threadedComment>
  <threadedComment ref="D7" dT="2020-04-06T13:45:49.26" personId="{4689EE39-4D50-4DDB-A6A9-D3B21C1FA47D}" id="{3E7DC725-339D-4CD5-8FC7-E6BA7ABA3DA3}" parentId="{339A4D02-736C-4C2A-BAD2-822A5AE5D37D}">
    <text>Clean up any N/A that result from Vlookup and the copy and paste values in this column over the vlookup formula</text>
  </threadedComment>
  <threadedComment ref="E7" dT="2020-04-06T13:43:01.61" personId="{4689EE39-4D50-4DDB-A6A9-D3B21C1FA47D}" id="{28AF635C-2109-40AE-B7C6-6E334C9B3DCB}">
    <text>All # come from Office of State Auditor Report Schedule 2</text>
  </threadedComment>
</ThreadedComments>
</file>

<file path=xl/threadedComments/threadedComment5.xml><?xml version="1.0" encoding="utf-8"?>
<ThreadedComments xmlns="http://schemas.microsoft.com/office/spreadsheetml/2018/threadedcomments" xmlns:x="http://schemas.openxmlformats.org/spreadsheetml/2006/main">
  <threadedComment ref="B2" dT="2020-04-06T13:46:20.76" personId="{4689EE39-4D50-4DDB-A6A9-D3B21C1FA47D}" id="{6448F355-600E-4E29-B075-D21259E27CCD}">
    <text>Make sure this list matches the CY Office of State Auditor list and list from FOD</text>
  </threadedComment>
  <threadedComment ref="C2" dT="2020-04-06T13:44:20.55" personId="{4689EE39-4D50-4DDB-A6A9-D3B21C1FA47D}" id="{85AC0FA1-26E3-4313-8938-B769A43A0766}">
    <text># come from NCST FOD</text>
  </threadedComment>
</ThreadedComments>
</file>

<file path=xl/threadedComments/threadedComment6.xml><?xml version="1.0" encoding="utf-8"?>
<ThreadedComments xmlns="http://schemas.microsoft.com/office/spreadsheetml/2018/threadedcomments" xmlns:x="http://schemas.openxmlformats.org/spreadsheetml/2006/main">
  <threadedComment ref="B2" dT="2020-04-06T13:46:20.76" personId="{4689EE39-4D50-4DDB-A6A9-D3B21C1FA47D}" id="{74FD9AF4-4B3B-41DD-9327-7112CFA4739F}">
    <text>Make sure this list matches the CY Office of State Auditor list and list from FOD</text>
  </threadedComment>
  <threadedComment ref="C2" dT="2020-04-06T13:44:20.55" personId="{4689EE39-4D50-4DDB-A6A9-D3B21C1FA47D}" id="{85737AA7-88DC-4526-A5B6-9AD463D3B7A4}">
    <text># come from NCST FOD</text>
  </threadedComment>
</ThreadedComments>
</file>

<file path=xl/threadedComments/threadedComment7.xml><?xml version="1.0" encoding="utf-8"?>
<ThreadedComments xmlns="http://schemas.microsoft.com/office/spreadsheetml/2018/threadedcomments" xmlns:x="http://schemas.openxmlformats.org/spreadsheetml/2006/main">
  <threadedComment ref="B7" dT="2020-04-06T13:46:35.67" personId="{4689EE39-4D50-4DDB-A6A9-D3B21C1FA47D}" id="{BB9D73FA-157F-4F30-B723-18CABBDBA039}">
    <text>Make sure this list matches the CY Office of State Auditor list and list from FOD</text>
  </threadedComment>
</ThreadedComments>
</file>

<file path=xl/threadedComments/threadedComment8.xml><?xml version="1.0" encoding="utf-8"?>
<ThreadedComments xmlns="http://schemas.microsoft.com/office/spreadsheetml/2018/threadedcomments" xmlns:x="http://schemas.openxmlformats.org/spreadsheetml/2006/main">
  <threadedComment ref="B7" dT="2020-04-06T13:46:35.67" personId="{4689EE39-4D50-4DDB-A6A9-D3B21C1FA47D}" id="{91536C80-5DC2-4018-BE1E-49A22537B2C1}">
    <text>Make sure this list matches the CY Office of State Auditor list and list from FOD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 Id="rId4" Type="http://schemas.microsoft.com/office/2017/10/relationships/threadedComment" Target="../threadedComments/threadedComment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6.bin"/><Relationship Id="rId4" Type="http://schemas.microsoft.com/office/2017/10/relationships/threadedComment" Target="../threadedComments/threadedComment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7.bin"/><Relationship Id="rId4" Type="http://schemas.microsoft.com/office/2017/10/relationships/threadedComment" Target="../threadedComments/threadedComment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20.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21.bin"/><Relationship Id="rId5" Type="http://schemas.microsoft.com/office/2017/10/relationships/threadedComment" Target="../threadedComments/threadedComment8.xml"/><Relationship Id="rId4" Type="http://schemas.openxmlformats.org/officeDocument/2006/relationships/comments" Target="../comments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tabSelected="1" zoomScaleNormal="100" workbookViewId="0"/>
  </sheetViews>
  <sheetFormatPr defaultColWidth="9.140625" defaultRowHeight="12.75"/>
  <cols>
    <col min="1" max="1" width="54.28515625" style="46" customWidth="1"/>
    <col min="2" max="2" width="11.140625" style="46" customWidth="1"/>
    <col min="3" max="3" width="53.7109375" style="46" customWidth="1"/>
    <col min="4" max="4" width="45.42578125" style="46" bestFit="1" customWidth="1"/>
    <col min="5" max="8" width="9.140625" style="46"/>
    <col min="9" max="9" width="10.140625" style="29" bestFit="1" customWidth="1"/>
    <col min="10" max="11" width="9.140625" style="29"/>
    <col min="12" max="16384" width="9.140625" style="46"/>
  </cols>
  <sheetData>
    <row r="1" spans="1:11">
      <c r="A1" s="27" t="s">
        <v>231</v>
      </c>
      <c r="B1" s="27"/>
      <c r="C1" s="28"/>
      <c r="D1" s="28"/>
      <c r="E1" s="29"/>
    </row>
    <row r="2" spans="1:11">
      <c r="A2" s="27" t="s">
        <v>232</v>
      </c>
      <c r="B2" s="27"/>
      <c r="C2" s="28"/>
    </row>
    <row r="3" spans="1:11">
      <c r="A3" s="30" t="s">
        <v>3803</v>
      </c>
      <c r="B3" s="30"/>
      <c r="C3" s="28"/>
      <c r="D3" s="28"/>
    </row>
    <row r="4" spans="1:11" s="59" customFormat="1">
      <c r="A4" s="30"/>
      <c r="B4" s="30"/>
      <c r="C4" s="28"/>
      <c r="D4" s="28"/>
      <c r="I4" s="29"/>
      <c r="J4" s="29"/>
      <c r="K4" s="29"/>
    </row>
    <row r="5" spans="1:11" s="59" customFormat="1">
      <c r="A5" s="30"/>
      <c r="B5" s="30"/>
      <c r="C5" s="28"/>
      <c r="D5" s="28"/>
      <c r="I5" s="29"/>
      <c r="J5" s="29"/>
      <c r="K5" s="29"/>
    </row>
    <row r="6" spans="1:11" s="59" customFormat="1">
      <c r="A6" s="30" t="s">
        <v>692</v>
      </c>
      <c r="B6" s="30"/>
      <c r="C6" s="28"/>
      <c r="D6" s="28"/>
      <c r="I6" s="29"/>
      <c r="J6" s="29"/>
      <c r="K6" s="29"/>
    </row>
    <row r="7" spans="1:11" s="59" customFormat="1">
      <c r="A7" s="30"/>
      <c r="B7" s="30"/>
      <c r="C7" s="28"/>
      <c r="D7" s="28"/>
      <c r="I7" s="29"/>
      <c r="J7" s="29"/>
      <c r="K7" s="29"/>
    </row>
    <row r="8" spans="1:11" s="59" customFormat="1">
      <c r="A8" s="62" t="s">
        <v>3774</v>
      </c>
      <c r="B8" s="30"/>
      <c r="C8" s="28"/>
      <c r="D8" s="28"/>
      <c r="I8" s="29"/>
      <c r="J8" s="29"/>
      <c r="K8" s="29"/>
    </row>
    <row r="9" spans="1:11" s="59" customFormat="1" ht="12.75" customHeight="1">
      <c r="A9" s="62" t="s">
        <v>3775</v>
      </c>
      <c r="B9" s="30"/>
      <c r="C9" s="28"/>
      <c r="D9" s="28"/>
      <c r="I9" s="29"/>
      <c r="J9" s="29"/>
      <c r="K9" s="29"/>
    </row>
    <row r="10" spans="1:11" s="59" customFormat="1">
      <c r="A10" s="63" t="s">
        <v>3776</v>
      </c>
      <c r="B10" s="30"/>
      <c r="C10" s="28"/>
      <c r="D10" s="28"/>
      <c r="I10" s="29"/>
      <c r="J10" s="29"/>
      <c r="K10" s="29"/>
    </row>
    <row r="11" spans="1:11" s="59" customFormat="1">
      <c r="A11" s="62" t="s">
        <v>1916</v>
      </c>
      <c r="B11" s="30"/>
      <c r="C11" s="28"/>
      <c r="D11" s="28"/>
      <c r="I11" s="29"/>
      <c r="J11" s="29"/>
      <c r="K11" s="29"/>
    </row>
    <row r="12" spans="1:11" s="270" customFormat="1">
      <c r="A12" s="128" t="s">
        <v>3497</v>
      </c>
      <c r="B12" s="271"/>
      <c r="I12" s="128"/>
      <c r="J12" s="128"/>
      <c r="K12" s="128"/>
    </row>
    <row r="13" spans="1:11" s="59" customFormat="1">
      <c r="A13" s="62" t="s">
        <v>1921</v>
      </c>
      <c r="B13" s="30"/>
      <c r="C13" s="28"/>
      <c r="D13" s="28"/>
      <c r="I13" s="29"/>
      <c r="J13" s="29"/>
      <c r="K13" s="29"/>
    </row>
    <row r="14" spans="1:11" s="59" customFormat="1">
      <c r="A14" s="63" t="s">
        <v>693</v>
      </c>
      <c r="B14" s="30"/>
      <c r="C14" s="28"/>
      <c r="D14" s="28"/>
      <c r="I14" s="29"/>
      <c r="J14" s="29"/>
      <c r="K14" s="29"/>
    </row>
    <row r="15" spans="1:11" s="270" customFormat="1">
      <c r="A15" s="128" t="s">
        <v>3731</v>
      </c>
      <c r="B15" s="271"/>
      <c r="C15" s="278" t="s">
        <v>3788</v>
      </c>
      <c r="I15" s="128"/>
      <c r="J15" s="128"/>
      <c r="K15" s="128"/>
    </row>
    <row r="16" spans="1:11" s="59" customFormat="1">
      <c r="A16" s="62" t="s">
        <v>3768</v>
      </c>
      <c r="B16" s="30"/>
      <c r="C16" s="28"/>
      <c r="D16" s="28"/>
      <c r="I16" s="29"/>
      <c r="J16" s="29"/>
      <c r="K16" s="29"/>
    </row>
    <row r="17" spans="1:11" s="59" customFormat="1">
      <c r="B17" s="30"/>
      <c r="C17" s="28"/>
      <c r="D17" s="28"/>
      <c r="I17" s="29"/>
      <c r="J17" s="29"/>
      <c r="K17" s="29"/>
    </row>
    <row r="18" spans="1:11" ht="18">
      <c r="A18" s="30"/>
      <c r="B18" s="30"/>
      <c r="C18" s="28"/>
      <c r="D18" s="31"/>
    </row>
    <row r="19" spans="1:11">
      <c r="A19" s="28"/>
      <c r="B19" s="28"/>
      <c r="C19" s="28"/>
      <c r="D19" s="28"/>
    </row>
    <row r="20" spans="1:11">
      <c r="A20" s="114" t="s">
        <v>233</v>
      </c>
      <c r="B20" s="114"/>
      <c r="C20" s="115" t="s">
        <v>3755</v>
      </c>
      <c r="D20" s="32" t="s">
        <v>694</v>
      </c>
    </row>
    <row r="21" spans="1:11" s="59" customFormat="1">
      <c r="A21" s="114" t="s">
        <v>688</v>
      </c>
      <c r="B21" s="114"/>
      <c r="C21" s="115" t="s">
        <v>3755</v>
      </c>
      <c r="D21" s="32" t="s">
        <v>696</v>
      </c>
      <c r="I21" s="29"/>
      <c r="J21" s="29"/>
      <c r="K21" s="29"/>
    </row>
    <row r="22" spans="1:11" ht="12.75" customHeight="1">
      <c r="A22" s="116"/>
      <c r="B22" s="116"/>
      <c r="C22" s="117"/>
      <c r="D22" s="34"/>
    </row>
    <row r="23" spans="1:11">
      <c r="A23" s="116" t="s">
        <v>234</v>
      </c>
      <c r="B23" s="116"/>
      <c r="C23" s="132" t="str">
        <f>VLOOKUP(C20,'2025 summary '!B927:C1839,2,FALSE)</f>
        <v>N/A</v>
      </c>
      <c r="D23" s="35"/>
    </row>
    <row r="24" spans="1:11" s="59" customFormat="1">
      <c r="A24" s="116" t="s">
        <v>687</v>
      </c>
      <c r="B24" s="116"/>
      <c r="C24" s="132" t="str">
        <f>VLOOKUP(C21,'2025 summary '!B928:C1840,2,FALSE)</f>
        <v>N/A</v>
      </c>
      <c r="D24" s="133" t="s">
        <v>1914</v>
      </c>
      <c r="I24" s="29"/>
      <c r="J24" s="29"/>
      <c r="K24" s="29"/>
    </row>
    <row r="25" spans="1:11">
      <c r="A25" s="116"/>
      <c r="B25" s="116"/>
      <c r="C25" s="117"/>
      <c r="D25" s="35"/>
    </row>
    <row r="26" spans="1:11">
      <c r="A26" s="116" t="s">
        <v>275</v>
      </c>
      <c r="B26" s="116"/>
      <c r="C26" s="297">
        <v>45838</v>
      </c>
      <c r="D26" s="373" t="s">
        <v>3781</v>
      </c>
    </row>
    <row r="27" spans="1:11" s="67" customFormat="1" hidden="1">
      <c r="A27" s="116"/>
      <c r="B27" s="116"/>
      <c r="C27" s="327" t="e">
        <f>VLOOKUP(C26,I46:M49,5,FALSE)</f>
        <v>#N/A</v>
      </c>
      <c r="D27" s="32"/>
      <c r="I27" s="29"/>
      <c r="J27" s="29"/>
      <c r="K27" s="29"/>
    </row>
    <row r="28" spans="1:11" s="64" customFormat="1" ht="22.5" customHeight="1">
      <c r="A28" s="118" t="s">
        <v>697</v>
      </c>
      <c r="B28" s="116"/>
      <c r="C28" s="119"/>
      <c r="D28" s="32"/>
      <c r="I28" s="29"/>
      <c r="J28" s="29"/>
      <c r="K28" s="29"/>
    </row>
    <row r="29" spans="1:11" s="64" customFormat="1" ht="27" customHeight="1">
      <c r="A29" s="120" t="str">
        <f>VLOOKUP(C26,I49:M52,2,FALSE)</f>
        <v>7/1/2023 through 6/30/2024</v>
      </c>
      <c r="B29" s="121"/>
      <c r="C29" s="122"/>
      <c r="D29" s="32" t="s">
        <v>695</v>
      </c>
      <c r="I29" s="29"/>
      <c r="J29" s="29"/>
      <c r="K29" s="29"/>
    </row>
    <row r="30" spans="1:11" s="72" customFormat="1" ht="10.5" customHeight="1">
      <c r="A30" s="123"/>
      <c r="B30" s="124"/>
      <c r="C30" s="73"/>
      <c r="D30" s="32"/>
      <c r="I30" s="29"/>
      <c r="J30" s="29"/>
      <c r="K30" s="29"/>
    </row>
    <row r="31" spans="1:11" s="72" customFormat="1" ht="18" customHeight="1">
      <c r="A31" s="125" t="str">
        <f>(VLOOKUP(C26,A50:B53,2,FALSE))</f>
        <v>N/A</v>
      </c>
      <c r="B31" s="124"/>
      <c r="C31" s="127"/>
      <c r="D31" s="32" t="str">
        <f>+'Changes to Update Template '!C6</f>
        <v>&lt;&lt; This will be blank if you have a 6/30/2024 fiscal year end.   STEP 4</v>
      </c>
      <c r="I31" s="29"/>
      <c r="J31" s="29"/>
      <c r="K31" s="29"/>
    </row>
    <row r="32" spans="1:11" s="64" customFormat="1">
      <c r="A32" s="116"/>
      <c r="B32" s="116"/>
      <c r="C32" s="119"/>
      <c r="D32" s="32"/>
      <c r="I32" s="29"/>
      <c r="J32" s="29"/>
      <c r="K32" s="29"/>
    </row>
    <row r="33" spans="1:16">
      <c r="A33" s="116" t="str">
        <f>CONCATENATE("Your employer contributions from 7/1/2024 through ",(TEXT(C26,"MM/DD/YYYY")))</f>
        <v>Your employer contributions from 7/1/2024 through 06/30/2025</v>
      </c>
      <c r="B33" s="126"/>
      <c r="C33" s="127"/>
      <c r="D33" s="32" t="s">
        <v>695</v>
      </c>
    </row>
    <row r="34" spans="1:16">
      <c r="A34" s="116"/>
      <c r="B34" s="126"/>
      <c r="C34" s="117"/>
      <c r="D34" s="32"/>
    </row>
    <row r="35" spans="1:16">
      <c r="A35" s="28"/>
      <c r="B35" s="28"/>
      <c r="C35" s="33"/>
      <c r="D35" s="35"/>
    </row>
    <row r="36" spans="1:16" ht="30.75" customHeight="1">
      <c r="A36" s="535" t="s">
        <v>3780</v>
      </c>
      <c r="B36" s="536"/>
      <c r="C36" s="537"/>
      <c r="D36" s="28"/>
    </row>
    <row r="37" spans="1:16" ht="21.75" customHeight="1">
      <c r="A37" s="538" t="s">
        <v>1918</v>
      </c>
      <c r="B37" s="539"/>
      <c r="C37" s="540"/>
      <c r="D37" s="28"/>
    </row>
    <row r="38" spans="1:16" ht="30" customHeight="1">
      <c r="A38" s="541" t="s">
        <v>1919</v>
      </c>
      <c r="B38" s="542"/>
      <c r="C38" s="543"/>
      <c r="D38" s="28"/>
    </row>
    <row r="39" spans="1:16">
      <c r="A39" s="173"/>
      <c r="B39" s="174"/>
      <c r="C39" s="175"/>
      <c r="D39" s="28"/>
    </row>
    <row r="40" spans="1:16">
      <c r="A40" s="28"/>
      <c r="B40" s="28"/>
      <c r="C40" s="28"/>
      <c r="D40" s="62"/>
      <c r="E40" s="29"/>
      <c r="F40" s="29"/>
      <c r="G40" s="29"/>
      <c r="H40" s="29"/>
      <c r="L40" s="29"/>
      <c r="M40" s="29"/>
      <c r="N40" s="29"/>
      <c r="O40" s="29"/>
      <c r="P40" s="29"/>
    </row>
    <row r="41" spans="1:16">
      <c r="A41" s="28"/>
      <c r="B41" s="28"/>
      <c r="C41" s="28"/>
      <c r="D41" s="62"/>
      <c r="E41" s="29"/>
      <c r="F41" s="68"/>
      <c r="G41" s="68"/>
      <c r="H41" s="68"/>
      <c r="L41" s="68"/>
      <c r="M41" s="68"/>
      <c r="N41" s="29"/>
      <c r="O41" s="29"/>
      <c r="P41" s="29"/>
    </row>
    <row r="42" spans="1:16" ht="44.45" customHeight="1">
      <c r="A42" s="28"/>
      <c r="B42" s="28"/>
      <c r="C42" s="28"/>
      <c r="D42" s="62"/>
      <c r="E42" s="29"/>
      <c r="F42" s="68"/>
      <c r="G42" s="68"/>
      <c r="H42" s="68"/>
      <c r="L42" s="68"/>
      <c r="M42" s="68"/>
      <c r="N42" s="29"/>
      <c r="O42" s="29"/>
      <c r="P42" s="29"/>
    </row>
    <row r="43" spans="1:16">
      <c r="A43" s="28"/>
      <c r="B43" s="28"/>
      <c r="C43" s="28"/>
      <c r="D43" s="62"/>
      <c r="E43" s="29"/>
      <c r="F43" s="68"/>
      <c r="G43" s="66"/>
      <c r="H43" s="66"/>
      <c r="L43" s="66"/>
      <c r="M43" s="66"/>
      <c r="N43" s="66"/>
      <c r="O43" s="29"/>
      <c r="P43" s="29"/>
    </row>
    <row r="44" spans="1:16" ht="41.45" customHeight="1" thickBot="1">
      <c r="A44" s="28"/>
      <c r="B44" s="28"/>
      <c r="C44" s="28"/>
      <c r="D44" s="62"/>
      <c r="E44" s="29"/>
      <c r="F44" s="68"/>
      <c r="G44" s="66"/>
      <c r="H44" s="66"/>
      <c r="L44" s="66"/>
      <c r="M44" s="66"/>
      <c r="N44" s="66"/>
      <c r="O44" s="29"/>
      <c r="P44" s="29"/>
    </row>
    <row r="45" spans="1:16">
      <c r="A45" s="28"/>
      <c r="B45" s="28"/>
      <c r="C45" s="28"/>
      <c r="D45" s="62"/>
      <c r="E45" s="29"/>
      <c r="F45" s="68"/>
      <c r="G45" s="66"/>
      <c r="H45" s="66"/>
      <c r="I45" s="329"/>
      <c r="J45" s="330"/>
      <c r="K45" s="330"/>
      <c r="L45" s="331"/>
      <c r="M45" s="332"/>
      <c r="N45" s="66"/>
      <c r="O45" s="29"/>
      <c r="P45" s="29"/>
    </row>
    <row r="46" spans="1:16">
      <c r="A46" s="28"/>
      <c r="B46" s="28"/>
      <c r="C46" s="28"/>
      <c r="D46" s="62"/>
      <c r="E46" s="29"/>
      <c r="F46" s="68"/>
      <c r="G46" s="66"/>
      <c r="H46" s="66"/>
      <c r="I46" s="333"/>
      <c r="J46" s="334"/>
      <c r="K46" s="334"/>
      <c r="L46" s="334"/>
      <c r="M46" s="335">
        <v>0</v>
      </c>
      <c r="N46" s="66"/>
      <c r="O46" s="29"/>
      <c r="P46" s="29"/>
    </row>
    <row r="47" spans="1:16" ht="15.75" customHeight="1">
      <c r="A47" s="28"/>
      <c r="B47" s="28"/>
      <c r="C47" s="28"/>
      <c r="D47" s="62"/>
      <c r="E47" s="29"/>
      <c r="F47" s="68"/>
      <c r="G47" s="66"/>
      <c r="H47" s="66"/>
      <c r="I47" s="333"/>
      <c r="J47" s="334"/>
      <c r="K47" s="334"/>
      <c r="L47" s="334"/>
      <c r="M47" s="335">
        <v>0</v>
      </c>
      <c r="N47" s="66"/>
      <c r="O47" s="29"/>
      <c r="P47" s="29"/>
    </row>
    <row r="48" spans="1:16" hidden="1">
      <c r="A48" s="28"/>
      <c r="B48" s="28"/>
      <c r="C48" s="28"/>
      <c r="D48" s="62"/>
      <c r="E48" s="29"/>
      <c r="F48" s="68"/>
      <c r="G48" s="66"/>
      <c r="H48" s="66"/>
      <c r="I48" s="333"/>
      <c r="J48" s="334"/>
      <c r="K48" s="334"/>
      <c r="L48" s="334"/>
      <c r="M48" s="335">
        <v>0</v>
      </c>
      <c r="N48" s="66"/>
      <c r="O48" s="29"/>
      <c r="P48" s="29"/>
    </row>
    <row r="49" spans="1:16" s="116" customFormat="1" ht="15" hidden="1" customHeight="1" thickBot="1">
      <c r="A49" s="283"/>
      <c r="B49" s="283"/>
      <c r="C49" s="283"/>
      <c r="D49" s="284"/>
      <c r="E49" s="284"/>
      <c r="F49" s="285"/>
      <c r="G49" s="286"/>
      <c r="H49" s="286"/>
      <c r="I49" s="336">
        <v>45565</v>
      </c>
      <c r="J49" s="337" t="s">
        <v>3796</v>
      </c>
      <c r="K49" s="337"/>
      <c r="L49" s="338"/>
      <c r="M49" s="339">
        <v>1</v>
      </c>
      <c r="N49" s="130"/>
      <c r="O49" s="128"/>
      <c r="P49" s="128"/>
    </row>
    <row r="50" spans="1:16" s="116" customFormat="1" ht="15" hidden="1" customHeight="1">
      <c r="A50" s="288">
        <v>45838</v>
      </c>
      <c r="B50" s="289" t="s">
        <v>691</v>
      </c>
      <c r="C50" s="283"/>
      <c r="D50" s="284" t="s">
        <v>3522</v>
      </c>
      <c r="E50" s="284"/>
      <c r="F50" s="285"/>
      <c r="G50" s="286"/>
      <c r="H50" s="286"/>
      <c r="I50" s="287">
        <v>45657</v>
      </c>
      <c r="J50" s="284" t="s">
        <v>3797</v>
      </c>
      <c r="K50" s="284"/>
      <c r="L50" s="286"/>
      <c r="M50" s="130"/>
      <c r="N50" s="130"/>
      <c r="O50" s="128"/>
      <c r="P50" s="128"/>
    </row>
    <row r="51" spans="1:16" s="116" customFormat="1" ht="15" hidden="1" customHeight="1">
      <c r="A51" s="288">
        <v>45565</v>
      </c>
      <c r="B51" s="289" t="s">
        <v>3800</v>
      </c>
      <c r="C51" s="283"/>
      <c r="D51" s="284"/>
      <c r="E51" s="284"/>
      <c r="F51" s="285"/>
      <c r="G51" s="286"/>
      <c r="H51" s="286"/>
      <c r="I51" s="287">
        <v>45747</v>
      </c>
      <c r="J51" s="284" t="s">
        <v>3798</v>
      </c>
      <c r="K51" s="284"/>
      <c r="L51" s="286"/>
      <c r="M51" s="130"/>
      <c r="N51" s="130"/>
      <c r="O51" s="128"/>
      <c r="P51" s="128"/>
    </row>
    <row r="52" spans="1:16" s="116" customFormat="1" ht="15" hidden="1" customHeight="1">
      <c r="A52" s="288">
        <v>45657</v>
      </c>
      <c r="B52" s="289" t="s">
        <v>3801</v>
      </c>
      <c r="C52" s="288"/>
      <c r="D52" s="284"/>
      <c r="E52" s="284"/>
      <c r="F52" s="285"/>
      <c r="G52" s="285"/>
      <c r="H52" s="285"/>
      <c r="I52" s="287">
        <v>45838</v>
      </c>
      <c r="J52" s="284" t="s">
        <v>3799</v>
      </c>
      <c r="K52" s="284"/>
      <c r="L52" s="286"/>
      <c r="M52" s="129"/>
      <c r="N52" s="130"/>
      <c r="O52" s="128"/>
      <c r="P52" s="128"/>
    </row>
    <row r="53" spans="1:16" s="116" customFormat="1" ht="15" hidden="1" customHeight="1">
      <c r="A53" s="288">
        <v>45747</v>
      </c>
      <c r="B53" s="289" t="s">
        <v>3802</v>
      </c>
      <c r="C53" s="288"/>
      <c r="D53" s="284"/>
      <c r="E53" s="284"/>
      <c r="F53" s="285"/>
      <c r="G53" s="285"/>
      <c r="H53" s="285"/>
      <c r="I53" s="284"/>
      <c r="J53" s="284"/>
      <c r="K53" s="284"/>
      <c r="L53" s="285"/>
      <c r="M53" s="129"/>
      <c r="N53" s="128"/>
      <c r="O53" s="128"/>
      <c r="P53" s="128"/>
    </row>
    <row r="54" spans="1:16" s="116" customFormat="1" ht="15" hidden="1" customHeight="1">
      <c r="A54" s="534"/>
      <c r="B54" s="534"/>
      <c r="C54" s="534"/>
      <c r="D54" s="284"/>
      <c r="E54" s="284"/>
      <c r="F54" s="284"/>
      <c r="G54" s="284"/>
      <c r="H54" s="284"/>
      <c r="I54" s="284"/>
      <c r="J54" s="284"/>
      <c r="K54" s="284"/>
      <c r="L54" s="284"/>
      <c r="M54" s="128"/>
      <c r="N54" s="128"/>
      <c r="O54" s="128"/>
      <c r="P54" s="128"/>
    </row>
    <row r="55" spans="1:16" hidden="1">
      <c r="A55" s="290"/>
      <c r="B55" s="290"/>
      <c r="C55" s="283"/>
      <c r="D55" s="284"/>
      <c r="E55" s="284"/>
      <c r="F55" s="284"/>
      <c r="G55" s="284"/>
      <c r="H55" s="284"/>
      <c r="I55" s="284"/>
      <c r="J55" s="284"/>
      <c r="K55" s="284"/>
      <c r="L55" s="284"/>
      <c r="M55" s="29"/>
      <c r="N55" s="29"/>
      <c r="O55" s="29"/>
      <c r="P55" s="29"/>
    </row>
    <row r="56" spans="1:16" hidden="1">
      <c r="A56" s="283"/>
      <c r="B56" s="283"/>
      <c r="C56" s="283"/>
      <c r="D56" s="284"/>
      <c r="E56" s="284"/>
      <c r="F56" s="284"/>
      <c r="G56" s="284"/>
      <c r="H56" s="284"/>
      <c r="I56" s="284"/>
      <c r="J56" s="284"/>
      <c r="K56" s="284"/>
      <c r="L56" s="284"/>
      <c r="M56" s="29"/>
      <c r="N56" s="29"/>
      <c r="O56" s="29"/>
      <c r="P56" s="29"/>
    </row>
    <row r="57" spans="1:16" hidden="1">
      <c r="A57" s="328" t="s">
        <v>3616</v>
      </c>
      <c r="B57" s="283"/>
      <c r="C57" s="283"/>
      <c r="D57" s="284"/>
      <c r="E57" s="284"/>
      <c r="F57" s="284"/>
      <c r="G57" s="284"/>
      <c r="H57" s="284"/>
      <c r="I57" s="284"/>
      <c r="J57" s="284"/>
      <c r="K57" s="284"/>
      <c r="L57" s="284"/>
      <c r="M57" s="29"/>
      <c r="N57" s="29"/>
      <c r="O57" s="29"/>
      <c r="P57" s="29"/>
    </row>
    <row r="58" spans="1:16" hidden="1">
      <c r="A58" s="288">
        <v>45565</v>
      </c>
      <c r="B58" s="283"/>
      <c r="C58" s="283"/>
      <c r="D58" s="284"/>
      <c r="E58" s="284"/>
      <c r="F58" s="284"/>
      <c r="G58" s="284"/>
      <c r="H58" s="284"/>
      <c r="I58" s="284"/>
      <c r="J58" s="284"/>
      <c r="K58" s="284"/>
      <c r="L58" s="284"/>
      <c r="M58" s="29"/>
      <c r="N58" s="29"/>
      <c r="O58" s="29"/>
      <c r="P58" s="29"/>
    </row>
    <row r="59" spans="1:16" hidden="1">
      <c r="A59" s="288">
        <v>45657</v>
      </c>
      <c r="B59" s="283"/>
      <c r="C59" s="283"/>
      <c r="D59" s="284"/>
      <c r="E59" s="284"/>
      <c r="F59" s="284"/>
      <c r="G59" s="284"/>
      <c r="H59" s="284"/>
      <c r="I59" s="284"/>
      <c r="J59" s="284"/>
      <c r="K59" s="284"/>
      <c r="L59" s="284"/>
      <c r="M59" s="29"/>
      <c r="N59" s="29"/>
      <c r="O59" s="29"/>
      <c r="P59" s="29"/>
    </row>
    <row r="60" spans="1:16" hidden="1">
      <c r="A60" s="288">
        <v>45747</v>
      </c>
      <c r="B60" s="283"/>
      <c r="C60" s="283"/>
      <c r="D60" s="284"/>
      <c r="E60" s="284"/>
      <c r="F60" s="284"/>
      <c r="G60" s="284"/>
      <c r="H60" s="284"/>
      <c r="I60" s="284"/>
      <c r="J60" s="284"/>
      <c r="K60" s="284"/>
      <c r="L60" s="284"/>
      <c r="M60" s="29"/>
      <c r="N60" s="29"/>
      <c r="O60" s="29"/>
      <c r="P60" s="29"/>
    </row>
    <row r="61" spans="1:16" hidden="1">
      <c r="A61" s="288">
        <v>45838</v>
      </c>
      <c r="B61" s="283"/>
      <c r="C61" s="283"/>
      <c r="D61" s="284"/>
      <c r="E61" s="284"/>
      <c r="F61" s="284"/>
      <c r="G61" s="284"/>
      <c r="H61" s="284"/>
      <c r="I61" s="284"/>
      <c r="J61" s="284"/>
      <c r="K61" s="284"/>
      <c r="L61" s="284"/>
      <c r="M61" s="29"/>
      <c r="N61" s="29"/>
      <c r="O61" s="29"/>
      <c r="P61" s="29"/>
    </row>
    <row r="62" spans="1:16" hidden="1">
      <c r="A62" s="283" t="s">
        <v>3629</v>
      </c>
      <c r="B62" s="283"/>
      <c r="C62" s="283"/>
      <c r="D62" s="284"/>
      <c r="E62" s="284"/>
      <c r="F62" s="284"/>
      <c r="G62" s="284"/>
      <c r="H62" s="284"/>
      <c r="I62" s="284"/>
      <c r="J62" s="284"/>
      <c r="K62" s="284"/>
      <c r="L62" s="284"/>
      <c r="M62" s="29"/>
      <c r="N62" s="29"/>
      <c r="O62" s="29"/>
      <c r="P62" s="29"/>
    </row>
    <row r="63" spans="1:16" hidden="1">
      <c r="A63" s="291">
        <v>1</v>
      </c>
      <c r="B63" s="283"/>
      <c r="C63" s="283"/>
      <c r="D63" s="284"/>
      <c r="E63" s="284"/>
      <c r="F63" s="284"/>
      <c r="G63" s="284"/>
      <c r="H63" s="284"/>
      <c r="I63" s="284"/>
      <c r="J63" s="284"/>
      <c r="K63" s="284"/>
      <c r="L63" s="284"/>
      <c r="M63" s="29"/>
      <c r="N63" s="29"/>
      <c r="O63" s="29"/>
      <c r="P63" s="29"/>
    </row>
    <row r="64" spans="1:16" hidden="1">
      <c r="A64" s="291">
        <v>2</v>
      </c>
      <c r="B64" s="283"/>
      <c r="C64" s="283"/>
      <c r="D64" s="284"/>
      <c r="E64" s="284"/>
      <c r="F64" s="284"/>
      <c r="G64" s="284"/>
      <c r="H64" s="284"/>
      <c r="I64" s="284"/>
      <c r="J64" s="284"/>
      <c r="K64" s="284"/>
      <c r="L64" s="284"/>
      <c r="M64" s="29"/>
      <c r="N64" s="29"/>
      <c r="O64" s="29"/>
      <c r="P64" s="29"/>
    </row>
    <row r="65" spans="1:16" hidden="1">
      <c r="A65" s="283"/>
      <c r="B65" s="283"/>
      <c r="C65" s="283"/>
      <c r="D65" s="284"/>
      <c r="E65" s="284"/>
      <c r="F65" s="284"/>
      <c r="G65" s="284"/>
      <c r="H65" s="284"/>
      <c r="I65" s="284"/>
      <c r="J65" s="284"/>
      <c r="K65" s="284"/>
      <c r="L65" s="284"/>
      <c r="M65" s="29"/>
      <c r="N65" s="29"/>
      <c r="O65" s="29"/>
      <c r="P65" s="29"/>
    </row>
    <row r="66" spans="1:16" hidden="1">
      <c r="D66" s="29"/>
      <c r="E66" s="29"/>
      <c r="F66" s="29"/>
      <c r="G66" s="29"/>
      <c r="H66" s="29"/>
      <c r="L66" s="29"/>
      <c r="M66" s="29"/>
      <c r="N66" s="29"/>
      <c r="O66" s="29"/>
      <c r="P66" s="29"/>
    </row>
    <row r="67" spans="1:16">
      <c r="D67" s="66"/>
      <c r="E67" s="66"/>
      <c r="F67" s="66"/>
      <c r="G67" s="66"/>
      <c r="H67" s="66"/>
      <c r="L67" s="66"/>
      <c r="M67" s="66"/>
      <c r="N67" s="66"/>
      <c r="O67" s="66"/>
      <c r="P67" s="66"/>
    </row>
    <row r="68" spans="1:16">
      <c r="D68" s="66"/>
      <c r="E68" s="66"/>
      <c r="F68" s="66"/>
      <c r="G68" s="66"/>
      <c r="H68" s="66"/>
      <c r="L68" s="66"/>
      <c r="M68" s="66"/>
      <c r="N68" s="66"/>
      <c r="O68" s="66"/>
      <c r="P68" s="66"/>
    </row>
    <row r="69" spans="1:16">
      <c r="D69" s="66"/>
      <c r="E69" s="66"/>
      <c r="F69" s="66"/>
      <c r="G69" s="66"/>
      <c r="H69" s="66"/>
      <c r="L69" s="66"/>
      <c r="M69" s="66"/>
      <c r="N69" s="66"/>
      <c r="O69" s="66"/>
      <c r="P69" s="66"/>
    </row>
    <row r="70" spans="1:16">
      <c r="D70" s="66"/>
      <c r="E70" s="66"/>
      <c r="F70" s="66"/>
      <c r="G70" s="66"/>
      <c r="H70" s="66"/>
      <c r="L70" s="66"/>
      <c r="M70" s="66"/>
      <c r="N70" s="66"/>
      <c r="O70" s="66"/>
      <c r="P70" s="66"/>
    </row>
    <row r="71" spans="1:16">
      <c r="D71" s="66"/>
      <c r="E71" s="66"/>
      <c r="F71" s="66"/>
      <c r="G71" s="66"/>
      <c r="H71" s="66"/>
      <c r="L71" s="66"/>
      <c r="M71" s="66"/>
      <c r="N71" s="66"/>
      <c r="O71" s="66"/>
      <c r="P71" s="66"/>
    </row>
    <row r="72" spans="1:16">
      <c r="D72" s="66"/>
      <c r="E72" s="66"/>
      <c r="F72" s="66"/>
      <c r="G72" s="66"/>
      <c r="H72" s="66"/>
      <c r="L72" s="66"/>
      <c r="M72" s="66"/>
      <c r="N72" s="66"/>
      <c r="O72" s="66"/>
      <c r="P72" s="66"/>
    </row>
    <row r="73" spans="1:16">
      <c r="D73" s="66"/>
      <c r="E73" s="66"/>
      <c r="F73" s="66"/>
      <c r="G73" s="66"/>
      <c r="H73" s="66"/>
      <c r="L73" s="66"/>
      <c r="M73" s="66"/>
      <c r="N73" s="66"/>
      <c r="O73" s="66"/>
      <c r="P73" s="66"/>
    </row>
    <row r="74" spans="1:16">
      <c r="D74" s="66"/>
      <c r="E74" s="66"/>
      <c r="F74" s="66"/>
      <c r="G74" s="66"/>
      <c r="H74" s="66"/>
      <c r="L74" s="66"/>
      <c r="M74" s="66"/>
      <c r="N74" s="66"/>
      <c r="O74" s="66"/>
      <c r="P74" s="66"/>
    </row>
    <row r="75" spans="1:16">
      <c r="D75" s="66"/>
      <c r="E75" s="66"/>
      <c r="F75" s="66"/>
      <c r="G75" s="66"/>
      <c r="H75" s="66"/>
      <c r="L75" s="66"/>
      <c r="M75" s="66"/>
      <c r="N75" s="66"/>
      <c r="O75" s="66"/>
      <c r="P75" s="66"/>
    </row>
    <row r="76" spans="1:16">
      <c r="D76" s="66"/>
      <c r="E76" s="66"/>
      <c r="F76" s="66"/>
      <c r="G76" s="66"/>
      <c r="H76" s="66"/>
      <c r="L76" s="66"/>
      <c r="M76" s="66"/>
      <c r="N76" s="66"/>
      <c r="O76" s="66"/>
      <c r="P76" s="66"/>
    </row>
    <row r="77" spans="1:16">
      <c r="D77" s="66"/>
      <c r="E77" s="66"/>
      <c r="F77" s="66"/>
      <c r="G77" s="66"/>
      <c r="H77" s="66"/>
      <c r="L77" s="66"/>
      <c r="M77" s="66"/>
      <c r="N77" s="66"/>
      <c r="O77" s="66"/>
      <c r="P77" s="66"/>
    </row>
    <row r="78" spans="1:16">
      <c r="D78" s="66"/>
      <c r="E78" s="66"/>
      <c r="F78" s="66"/>
      <c r="G78" s="66"/>
      <c r="H78" s="66"/>
      <c r="L78" s="66"/>
      <c r="M78" s="66"/>
      <c r="N78" s="66"/>
      <c r="O78" s="66"/>
      <c r="P78" s="66"/>
    </row>
    <row r="79" spans="1:16">
      <c r="D79" s="66"/>
      <c r="E79" s="66"/>
      <c r="F79" s="66"/>
      <c r="G79" s="66"/>
      <c r="H79" s="66"/>
      <c r="L79" s="66"/>
      <c r="M79" s="66"/>
      <c r="N79" s="66"/>
      <c r="O79" s="66"/>
      <c r="P79" s="66"/>
    </row>
    <row r="80" spans="1:16">
      <c r="D80" s="66"/>
      <c r="E80" s="66"/>
      <c r="F80" s="66"/>
      <c r="G80" s="66"/>
      <c r="H80" s="66"/>
      <c r="L80" s="66"/>
      <c r="M80" s="66"/>
      <c r="N80" s="66"/>
      <c r="O80" s="66"/>
      <c r="P80" s="66"/>
    </row>
    <row r="81" spans="4:16">
      <c r="D81" s="66"/>
      <c r="E81" s="66"/>
      <c r="F81" s="66"/>
      <c r="G81" s="66"/>
      <c r="H81" s="66"/>
      <c r="L81" s="66"/>
      <c r="M81" s="66"/>
      <c r="N81" s="66"/>
      <c r="O81" s="66"/>
      <c r="P81" s="66"/>
    </row>
    <row r="82" spans="4:16">
      <c r="D82" s="66"/>
      <c r="E82" s="66"/>
      <c r="F82" s="66"/>
      <c r="G82" s="66"/>
      <c r="H82" s="66"/>
      <c r="L82" s="66"/>
      <c r="M82" s="66"/>
      <c r="N82" s="66"/>
      <c r="O82" s="66"/>
      <c r="P82" s="66"/>
    </row>
    <row r="83" spans="4:16">
      <c r="D83" s="66"/>
      <c r="E83" s="66"/>
      <c r="F83" s="66"/>
      <c r="G83" s="66"/>
      <c r="H83" s="66"/>
      <c r="L83" s="66"/>
      <c r="M83" s="66"/>
      <c r="N83" s="66"/>
      <c r="O83" s="66"/>
      <c r="P83" s="66"/>
    </row>
    <row r="84" spans="4:16">
      <c r="D84" s="66"/>
      <c r="E84" s="66"/>
      <c r="F84" s="66"/>
      <c r="G84" s="66"/>
      <c r="H84" s="66"/>
      <c r="L84" s="66"/>
      <c r="M84" s="66"/>
      <c r="N84" s="66"/>
      <c r="O84" s="66"/>
      <c r="P84" s="66"/>
    </row>
    <row r="85" spans="4:16">
      <c r="D85" s="66"/>
      <c r="E85" s="66"/>
      <c r="F85" s="66"/>
      <c r="G85" s="66"/>
      <c r="H85" s="66"/>
      <c r="L85" s="66"/>
      <c r="M85" s="66"/>
      <c r="N85" s="66"/>
      <c r="O85" s="66"/>
      <c r="P85" s="66"/>
    </row>
  </sheetData>
  <mergeCells count="4">
    <mergeCell ref="A54:C54"/>
    <mergeCell ref="A36:C36"/>
    <mergeCell ref="A37:C37"/>
    <mergeCell ref="A38:C38"/>
  </mergeCells>
  <dataValidations count="1">
    <dataValidation type="list" allowBlank="1" showInputMessage="1" showErrorMessage="1" sqref="C26 C28" xr:uid="{00000000-0002-0000-0000-000000000000}">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'2024 summary '!$B$932:$B$1841</xm:f>
          </x14:formula1>
          <xm:sqref>C21</xm:sqref>
        </x14:dataValidation>
        <x14:dataValidation type="list" allowBlank="1" showInputMessage="1" showErrorMessage="1" xr:uid="{3BFCB0F9-31C5-4EA1-B729-2E6D83105361}">
          <x14:formula1>
            <xm:f>'2024 summary '!$B$933:$B$1841</xm:f>
          </x14:formula1>
          <xm:sqref>C20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8C52-3666-48ED-89F6-C326C28FA810}">
  <dimension ref="A1:F902"/>
  <sheetViews>
    <sheetView zoomScale="70" zoomScaleNormal="70" workbookViewId="0">
      <pane xSplit="2" ySplit="1" topLeftCell="C2" activePane="bottomRight" state="frozen"/>
      <selection pane="topRight" activeCell="C1" sqref="C1"/>
      <selection pane="bottomLeft" activeCell="A2" sqref="A2"/>
      <selection pane="bottomRight"/>
    </sheetView>
  </sheetViews>
  <sheetFormatPr defaultColWidth="9.140625" defaultRowHeight="21"/>
  <cols>
    <col min="1" max="1" width="14.7109375" style="432" bestFit="1" customWidth="1"/>
    <col min="2" max="2" width="72.5703125" style="432" customWidth="1"/>
    <col min="3" max="3" width="35.7109375" style="432" customWidth="1"/>
    <col min="4" max="4" width="2.85546875" style="432" customWidth="1"/>
    <col min="5" max="5" width="54.28515625" style="432" customWidth="1"/>
    <col min="6" max="16384" width="9.140625" style="432"/>
  </cols>
  <sheetData>
    <row r="1" spans="1:6" ht="80.45" customHeight="1">
      <c r="A1" s="430" t="s">
        <v>3735</v>
      </c>
      <c r="B1" s="431" t="s">
        <v>3736</v>
      </c>
      <c r="C1" s="430" t="s">
        <v>3737</v>
      </c>
      <c r="E1" s="490"/>
    </row>
    <row r="2" spans="1:6">
      <c r="A2" s="432">
        <v>70505</v>
      </c>
      <c r="B2" s="432" t="s">
        <v>723</v>
      </c>
      <c r="C2" s="433">
        <v>223834.54</v>
      </c>
      <c r="E2" s="432">
        <v>70505</v>
      </c>
      <c r="F2" s="432" t="b">
        <f>E2=A2</f>
        <v>1</v>
      </c>
    </row>
    <row r="3" spans="1:6">
      <c r="A3" s="432">
        <v>72265</v>
      </c>
      <c r="B3" s="432" t="s">
        <v>724</v>
      </c>
      <c r="C3" s="433">
        <v>151945.38</v>
      </c>
      <c r="E3" s="432">
        <v>72265</v>
      </c>
      <c r="F3" s="432" t="b">
        <f t="shared" ref="F3:F66" si="0">E3=A3</f>
        <v>1</v>
      </c>
    </row>
    <row r="4" spans="1:6">
      <c r="A4" s="432">
        <v>72593</v>
      </c>
      <c r="B4" s="432" t="s">
        <v>725</v>
      </c>
      <c r="C4" s="433">
        <v>8749.16</v>
      </c>
      <c r="E4" s="432">
        <v>72593</v>
      </c>
      <c r="F4" s="432" t="b">
        <f t="shared" si="0"/>
        <v>1</v>
      </c>
    </row>
    <row r="5" spans="1:6">
      <c r="A5" s="432">
        <v>72657</v>
      </c>
      <c r="B5" s="432" t="s">
        <v>726</v>
      </c>
      <c r="C5" s="433">
        <v>36242.06</v>
      </c>
      <c r="E5" s="432">
        <v>72657</v>
      </c>
      <c r="F5" s="432" t="b">
        <f t="shared" si="0"/>
        <v>1</v>
      </c>
    </row>
    <row r="6" spans="1:6">
      <c r="A6" s="432">
        <v>90001</v>
      </c>
      <c r="B6" s="432" t="s">
        <v>727</v>
      </c>
      <c r="C6" s="433">
        <v>1143522.8</v>
      </c>
      <c r="E6" s="432">
        <v>90001</v>
      </c>
      <c r="F6" s="432" t="b">
        <f t="shared" si="0"/>
        <v>1</v>
      </c>
    </row>
    <row r="7" spans="1:6">
      <c r="A7" s="432">
        <v>90002</v>
      </c>
      <c r="B7" s="432" t="s">
        <v>728</v>
      </c>
      <c r="C7" s="433">
        <v>11321.2</v>
      </c>
      <c r="E7" s="432">
        <v>90002</v>
      </c>
      <c r="F7" s="432" t="b">
        <f t="shared" si="0"/>
        <v>1</v>
      </c>
    </row>
    <row r="8" spans="1:6">
      <c r="A8" s="432">
        <v>90011</v>
      </c>
      <c r="B8" s="432" t="s">
        <v>729</v>
      </c>
      <c r="C8" s="433">
        <v>178290.04</v>
      </c>
      <c r="E8" s="432">
        <v>90011</v>
      </c>
      <c r="F8" s="432" t="b">
        <f t="shared" si="0"/>
        <v>1</v>
      </c>
    </row>
    <row r="9" spans="1:6">
      <c r="A9" s="432">
        <v>90092</v>
      </c>
      <c r="B9" s="432" t="s">
        <v>730</v>
      </c>
      <c r="C9" s="433">
        <v>403469.66</v>
      </c>
      <c r="E9" s="432">
        <v>90092</v>
      </c>
      <c r="F9" s="432" t="b">
        <f t="shared" si="0"/>
        <v>1</v>
      </c>
    </row>
    <row r="10" spans="1:6">
      <c r="A10" s="432">
        <v>90096</v>
      </c>
      <c r="B10" s="432" t="s">
        <v>731</v>
      </c>
      <c r="C10" s="433">
        <v>1490450.76</v>
      </c>
      <c r="E10" s="432">
        <v>90096</v>
      </c>
      <c r="F10" s="432" t="b">
        <f t="shared" si="0"/>
        <v>1</v>
      </c>
    </row>
    <row r="11" spans="1:6">
      <c r="A11" s="432">
        <v>90098</v>
      </c>
      <c r="B11" s="432" t="s">
        <v>732</v>
      </c>
      <c r="C11" s="433">
        <v>163008.59</v>
      </c>
      <c r="E11" s="432">
        <v>90098</v>
      </c>
      <c r="F11" s="432" t="b">
        <f t="shared" si="0"/>
        <v>1</v>
      </c>
    </row>
    <row r="12" spans="1:6">
      <c r="A12" s="432">
        <v>90099</v>
      </c>
      <c r="B12" s="432" t="s">
        <v>733</v>
      </c>
      <c r="C12" s="433">
        <v>758400.62</v>
      </c>
      <c r="E12" s="432">
        <v>90099</v>
      </c>
      <c r="F12" s="432" t="b">
        <f t="shared" si="0"/>
        <v>1</v>
      </c>
    </row>
    <row r="13" spans="1:6">
      <c r="A13" s="432">
        <v>90101</v>
      </c>
      <c r="B13" s="432" t="s">
        <v>734</v>
      </c>
      <c r="C13" s="433">
        <v>6449799.0899999999</v>
      </c>
      <c r="E13" s="432">
        <v>90101</v>
      </c>
      <c r="F13" s="432" t="b">
        <f t="shared" si="0"/>
        <v>1</v>
      </c>
    </row>
    <row r="14" spans="1:6">
      <c r="A14" s="432">
        <v>90111</v>
      </c>
      <c r="B14" s="432" t="s">
        <v>735</v>
      </c>
      <c r="C14" s="433">
        <v>4997460.18</v>
      </c>
      <c r="E14" s="432">
        <v>90111</v>
      </c>
      <c r="F14" s="432" t="b">
        <f t="shared" si="0"/>
        <v>1</v>
      </c>
    </row>
    <row r="15" spans="1:6">
      <c r="A15" s="432">
        <v>90114</v>
      </c>
      <c r="B15" s="432" t="s">
        <v>736</v>
      </c>
      <c r="C15" s="433">
        <v>2313975.4500000002</v>
      </c>
      <c r="E15" s="432">
        <v>90114</v>
      </c>
      <c r="F15" s="432" t="b">
        <f t="shared" si="0"/>
        <v>1</v>
      </c>
    </row>
    <row r="16" spans="1:6">
      <c r="A16" s="432">
        <v>90117</v>
      </c>
      <c r="B16" s="432" t="s">
        <v>737</v>
      </c>
      <c r="C16" s="433">
        <v>191681.39</v>
      </c>
      <c r="E16" s="432">
        <v>90117</v>
      </c>
      <c r="F16" s="432" t="b">
        <f t="shared" si="0"/>
        <v>1</v>
      </c>
    </row>
    <row r="17" spans="1:6">
      <c r="A17" s="432">
        <v>90121</v>
      </c>
      <c r="B17" s="432" t="s">
        <v>738</v>
      </c>
      <c r="C17" s="433">
        <v>1070866.3</v>
      </c>
      <c r="E17" s="432">
        <v>90121</v>
      </c>
      <c r="F17" s="432" t="b">
        <f t="shared" si="0"/>
        <v>1</v>
      </c>
    </row>
    <row r="18" spans="1:6">
      <c r="A18" s="432">
        <v>90131</v>
      </c>
      <c r="B18" s="432" t="s">
        <v>739</v>
      </c>
      <c r="C18" s="433">
        <v>492968.77</v>
      </c>
      <c r="E18" s="432">
        <v>90131</v>
      </c>
      <c r="F18" s="432" t="b">
        <f t="shared" si="0"/>
        <v>1</v>
      </c>
    </row>
    <row r="19" spans="1:6">
      <c r="A19" s="432">
        <v>90141</v>
      </c>
      <c r="B19" s="432" t="s">
        <v>740</v>
      </c>
      <c r="C19" s="433">
        <v>168315.28999999998</v>
      </c>
      <c r="E19" s="432">
        <v>90141</v>
      </c>
      <c r="F19" s="432" t="b">
        <f t="shared" si="0"/>
        <v>1</v>
      </c>
    </row>
    <row r="20" spans="1:6">
      <c r="A20" s="432">
        <v>90151</v>
      </c>
      <c r="B20" s="432" t="s">
        <v>741</v>
      </c>
      <c r="C20" s="433">
        <v>7934.09</v>
      </c>
      <c r="E20" s="432">
        <v>90151</v>
      </c>
      <c r="F20" s="432" t="b">
        <f t="shared" si="0"/>
        <v>1</v>
      </c>
    </row>
    <row r="21" spans="1:6">
      <c r="A21" s="432">
        <v>90161</v>
      </c>
      <c r="B21" s="432" t="s">
        <v>742</v>
      </c>
      <c r="C21" s="433">
        <v>11110.78</v>
      </c>
      <c r="E21" s="432">
        <v>90161</v>
      </c>
      <c r="F21" s="432" t="b">
        <f t="shared" si="0"/>
        <v>1</v>
      </c>
    </row>
    <row r="22" spans="1:6">
      <c r="A22" s="432">
        <v>90201</v>
      </c>
      <c r="B22" s="432" t="s">
        <v>743</v>
      </c>
      <c r="C22" s="433">
        <v>2104542.5499999998</v>
      </c>
      <c r="E22" s="432">
        <v>90201</v>
      </c>
      <c r="F22" s="432" t="b">
        <f t="shared" si="0"/>
        <v>1</v>
      </c>
    </row>
    <row r="23" spans="1:6" s="491" customFormat="1">
      <c r="C23" s="492"/>
      <c r="E23" s="491">
        <v>90203</v>
      </c>
      <c r="F23" s="491" t="b">
        <f t="shared" si="0"/>
        <v>0</v>
      </c>
    </row>
    <row r="24" spans="1:6" s="491" customFormat="1">
      <c r="C24" s="492"/>
      <c r="E24" s="491">
        <v>90205</v>
      </c>
      <c r="F24" s="491" t="b">
        <f t="shared" si="0"/>
        <v>0</v>
      </c>
    </row>
    <row r="25" spans="1:6" s="491" customFormat="1">
      <c r="C25" s="492"/>
      <c r="E25" s="491">
        <v>90206</v>
      </c>
      <c r="F25" s="491" t="b">
        <f t="shared" si="0"/>
        <v>0</v>
      </c>
    </row>
    <row r="26" spans="1:6">
      <c r="A26" s="432">
        <v>90211</v>
      </c>
      <c r="B26" s="432" t="s">
        <v>747</v>
      </c>
      <c r="C26" s="433">
        <v>154272.78</v>
      </c>
      <c r="E26" s="432">
        <v>90211</v>
      </c>
      <c r="F26" s="432" t="b">
        <f t="shared" si="0"/>
        <v>1</v>
      </c>
    </row>
    <row r="27" spans="1:6">
      <c r="A27" s="432">
        <v>90301</v>
      </c>
      <c r="B27" s="432" t="s">
        <v>748</v>
      </c>
      <c r="C27" s="433">
        <v>696342.87999999989</v>
      </c>
      <c r="E27" s="432">
        <v>90301</v>
      </c>
      <c r="F27" s="432" t="b">
        <f t="shared" si="0"/>
        <v>1</v>
      </c>
    </row>
    <row r="28" spans="1:6">
      <c r="A28" s="432">
        <v>90305</v>
      </c>
      <c r="B28" s="432" t="s">
        <v>749</v>
      </c>
      <c r="C28" s="433">
        <v>161474.93</v>
      </c>
      <c r="E28" s="432">
        <v>90305</v>
      </c>
      <c r="F28" s="432" t="b">
        <f t="shared" si="0"/>
        <v>1</v>
      </c>
    </row>
    <row r="29" spans="1:6">
      <c r="A29" s="432">
        <v>90307</v>
      </c>
      <c r="B29" s="432" t="s">
        <v>750</v>
      </c>
      <c r="C29" s="433">
        <v>46096.95</v>
      </c>
      <c r="E29" s="432">
        <v>90307</v>
      </c>
      <c r="F29" s="432" t="b">
        <f t="shared" si="0"/>
        <v>1</v>
      </c>
    </row>
    <row r="30" spans="1:6">
      <c r="A30" s="432">
        <v>90401</v>
      </c>
      <c r="B30" s="432" t="s">
        <v>751</v>
      </c>
      <c r="C30" s="433">
        <v>1547277.02</v>
      </c>
      <c r="E30" s="432">
        <v>90401</v>
      </c>
      <c r="F30" s="432" t="b">
        <f t="shared" si="0"/>
        <v>1</v>
      </c>
    </row>
    <row r="31" spans="1:6">
      <c r="A31" s="432">
        <v>90411</v>
      </c>
      <c r="B31" s="432" t="s">
        <v>752</v>
      </c>
      <c r="C31" s="433">
        <v>336395.62</v>
      </c>
      <c r="E31" s="432">
        <v>90411</v>
      </c>
      <c r="F31" s="432" t="b">
        <f t="shared" si="0"/>
        <v>1</v>
      </c>
    </row>
    <row r="32" spans="1:6">
      <c r="A32" s="432">
        <v>90413</v>
      </c>
      <c r="B32" s="432" t="s">
        <v>753</v>
      </c>
      <c r="C32" s="433">
        <v>32923.800000000003</v>
      </c>
      <c r="E32" s="432">
        <v>90413</v>
      </c>
      <c r="F32" s="432" t="b">
        <f t="shared" si="0"/>
        <v>1</v>
      </c>
    </row>
    <row r="33" spans="1:6">
      <c r="A33" s="432">
        <v>90417</v>
      </c>
      <c r="B33" s="432" t="s">
        <v>754</v>
      </c>
      <c r="C33" s="433">
        <v>17090.63</v>
      </c>
      <c r="E33" s="432">
        <v>90417</v>
      </c>
      <c r="F33" s="432" t="b">
        <f t="shared" si="0"/>
        <v>1</v>
      </c>
    </row>
    <row r="34" spans="1:6">
      <c r="A34" s="432">
        <v>90421</v>
      </c>
      <c r="B34" s="432" t="s">
        <v>755</v>
      </c>
      <c r="C34" s="433">
        <v>16048.18</v>
      </c>
      <c r="E34" s="432">
        <v>90421</v>
      </c>
      <c r="F34" s="432" t="b">
        <f t="shared" si="0"/>
        <v>1</v>
      </c>
    </row>
    <row r="35" spans="1:6">
      <c r="A35" s="432">
        <v>90431</v>
      </c>
      <c r="B35" s="432" t="s">
        <v>756</v>
      </c>
      <c r="C35" s="433">
        <v>32513.739999999998</v>
      </c>
      <c r="E35" s="432">
        <v>90431</v>
      </c>
      <c r="F35" s="432" t="b">
        <f t="shared" si="0"/>
        <v>1</v>
      </c>
    </row>
    <row r="36" spans="1:6">
      <c r="A36" s="432">
        <v>90441</v>
      </c>
      <c r="B36" s="432" t="s">
        <v>757</v>
      </c>
      <c r="C36" s="433">
        <v>12278.26</v>
      </c>
      <c r="E36" s="432">
        <v>90441</v>
      </c>
      <c r="F36" s="432" t="b">
        <f t="shared" si="0"/>
        <v>1</v>
      </c>
    </row>
    <row r="37" spans="1:6">
      <c r="A37" s="432">
        <v>90451</v>
      </c>
      <c r="B37" s="432" t="s">
        <v>758</v>
      </c>
      <c r="C37" s="433">
        <v>18376.45</v>
      </c>
      <c r="E37" s="432">
        <v>90451</v>
      </c>
      <c r="F37" s="432" t="b">
        <f t="shared" si="0"/>
        <v>1</v>
      </c>
    </row>
    <row r="38" spans="1:6" s="493" customFormat="1">
      <c r="A38" s="493">
        <v>90461</v>
      </c>
      <c r="B38" s="493" t="s">
        <v>759</v>
      </c>
      <c r="C38" s="494">
        <v>8024.12</v>
      </c>
      <c r="F38" s="493" t="b">
        <f t="shared" si="0"/>
        <v>0</v>
      </c>
    </row>
    <row r="39" spans="1:6">
      <c r="A39" s="432">
        <v>90501</v>
      </c>
      <c r="B39" s="432" t="s">
        <v>760</v>
      </c>
      <c r="C39" s="433">
        <v>1396272.57</v>
      </c>
      <c r="E39" s="432">
        <v>90501</v>
      </c>
      <c r="F39" s="432" t="b">
        <f t="shared" si="0"/>
        <v>1</v>
      </c>
    </row>
    <row r="40" spans="1:6">
      <c r="A40" s="432">
        <v>90507</v>
      </c>
      <c r="B40" s="432" t="s">
        <v>34</v>
      </c>
      <c r="C40" s="433">
        <v>27027.980000000003</v>
      </c>
      <c r="E40" s="432">
        <v>90507</v>
      </c>
      <c r="F40" s="432" t="b">
        <f t="shared" si="0"/>
        <v>1</v>
      </c>
    </row>
    <row r="41" spans="1:6">
      <c r="A41" s="432">
        <v>90511</v>
      </c>
      <c r="B41" s="432" t="s">
        <v>761</v>
      </c>
      <c r="C41" s="433">
        <v>111740.42</v>
      </c>
      <c r="E41" s="432">
        <v>90511</v>
      </c>
      <c r="F41" s="432" t="b">
        <f t="shared" si="0"/>
        <v>1</v>
      </c>
    </row>
    <row r="42" spans="1:6">
      <c r="A42" s="432">
        <v>90521</v>
      </c>
      <c r="B42" s="432" t="s">
        <v>762</v>
      </c>
      <c r="C42" s="433">
        <v>126820.43000000001</v>
      </c>
      <c r="E42" s="432">
        <v>90521</v>
      </c>
      <c r="F42" s="432" t="b">
        <f t="shared" si="0"/>
        <v>1</v>
      </c>
    </row>
    <row r="43" spans="1:6">
      <c r="A43" s="432">
        <v>90601</v>
      </c>
      <c r="B43" s="432" t="s">
        <v>763</v>
      </c>
      <c r="C43" s="433">
        <v>1167680.77</v>
      </c>
      <c r="E43" s="432">
        <v>90601</v>
      </c>
      <c r="F43" s="432" t="b">
        <f t="shared" si="0"/>
        <v>1</v>
      </c>
    </row>
    <row r="44" spans="1:6">
      <c r="A44" s="432">
        <v>90602</v>
      </c>
      <c r="B44" s="432" t="s">
        <v>259</v>
      </c>
      <c r="C44" s="433">
        <v>83258.459999999992</v>
      </c>
      <c r="E44" s="432">
        <v>90602</v>
      </c>
      <c r="F44" s="432" t="b">
        <f t="shared" si="0"/>
        <v>1</v>
      </c>
    </row>
    <row r="45" spans="1:6">
      <c r="A45" s="432">
        <v>90605</v>
      </c>
      <c r="B45" s="432" t="s">
        <v>764</v>
      </c>
      <c r="C45" s="433">
        <v>44965.47</v>
      </c>
      <c r="E45" s="432">
        <v>90605</v>
      </c>
      <c r="F45" s="432" t="b">
        <f t="shared" si="0"/>
        <v>1</v>
      </c>
    </row>
    <row r="46" spans="1:6">
      <c r="A46" s="432">
        <v>90611</v>
      </c>
      <c r="B46" s="432" t="s">
        <v>765</v>
      </c>
      <c r="C46" s="433">
        <v>132566.56</v>
      </c>
      <c r="E46" s="432">
        <v>90611</v>
      </c>
      <c r="F46" s="432" t="b">
        <f t="shared" si="0"/>
        <v>1</v>
      </c>
    </row>
    <row r="47" spans="1:6">
      <c r="A47" s="432">
        <v>90617</v>
      </c>
      <c r="B47" s="432" t="s">
        <v>766</v>
      </c>
      <c r="C47" s="433">
        <v>32070.18</v>
      </c>
      <c r="E47" s="432">
        <v>90617</v>
      </c>
      <c r="F47" s="432" t="b">
        <f t="shared" si="0"/>
        <v>1</v>
      </c>
    </row>
    <row r="48" spans="1:6">
      <c r="A48" s="432">
        <v>90621</v>
      </c>
      <c r="B48" s="432" t="s">
        <v>767</v>
      </c>
      <c r="C48" s="433">
        <v>83089.25</v>
      </c>
      <c r="E48" s="432">
        <v>90621</v>
      </c>
      <c r="F48" s="432" t="b">
        <f t="shared" si="0"/>
        <v>1</v>
      </c>
    </row>
    <row r="49" spans="1:6">
      <c r="A49" s="432">
        <v>90631</v>
      </c>
      <c r="B49" s="432" t="s">
        <v>768</v>
      </c>
      <c r="C49" s="433">
        <v>486723.91999999993</v>
      </c>
      <c r="E49" s="432">
        <v>90631</v>
      </c>
      <c r="F49" s="432" t="b">
        <f t="shared" si="0"/>
        <v>1</v>
      </c>
    </row>
    <row r="50" spans="1:6">
      <c r="A50" s="432">
        <v>90641</v>
      </c>
      <c r="B50" s="432" t="s">
        <v>769</v>
      </c>
      <c r="C50" s="433">
        <v>13418.87</v>
      </c>
      <c r="E50" s="432">
        <v>90641</v>
      </c>
      <c r="F50" s="432" t="b">
        <f t="shared" si="0"/>
        <v>1</v>
      </c>
    </row>
    <row r="51" spans="1:6">
      <c r="A51" s="432">
        <v>90651</v>
      </c>
      <c r="B51" s="432" t="s">
        <v>1930</v>
      </c>
      <c r="C51" s="433">
        <v>199102.83000000002</v>
      </c>
      <c r="E51" s="432">
        <v>90651</v>
      </c>
      <c r="F51" s="432" t="b">
        <f t="shared" si="0"/>
        <v>1</v>
      </c>
    </row>
    <row r="52" spans="1:6">
      <c r="A52" s="432">
        <v>90701</v>
      </c>
      <c r="B52" s="432" t="s">
        <v>771</v>
      </c>
      <c r="C52" s="433">
        <v>2428071.6300000004</v>
      </c>
      <c r="E52" s="432">
        <v>90701</v>
      </c>
      <c r="F52" s="432" t="b">
        <f t="shared" si="0"/>
        <v>1</v>
      </c>
    </row>
    <row r="53" spans="1:6">
      <c r="A53" s="432">
        <v>90704</v>
      </c>
      <c r="B53" s="432" t="s">
        <v>772</v>
      </c>
      <c r="C53" s="433">
        <v>64132.800000000003</v>
      </c>
      <c r="E53" s="432">
        <v>90704</v>
      </c>
      <c r="F53" s="432" t="b">
        <f t="shared" si="0"/>
        <v>1</v>
      </c>
    </row>
    <row r="54" spans="1:6">
      <c r="A54" s="432">
        <v>90705</v>
      </c>
      <c r="B54" s="432" t="s">
        <v>773</v>
      </c>
      <c r="C54" s="433">
        <v>41251.56</v>
      </c>
      <c r="E54" s="432">
        <v>90705</v>
      </c>
      <c r="F54" s="432" t="b">
        <f t="shared" si="0"/>
        <v>1</v>
      </c>
    </row>
    <row r="55" spans="1:6">
      <c r="A55" s="432">
        <v>90709</v>
      </c>
      <c r="B55" s="432" t="s">
        <v>774</v>
      </c>
      <c r="C55" s="433">
        <v>163906.42000000001</v>
      </c>
      <c r="E55" s="432">
        <v>90709</v>
      </c>
      <c r="F55" s="432" t="b">
        <f t="shared" si="0"/>
        <v>1</v>
      </c>
    </row>
    <row r="56" spans="1:6">
      <c r="A56" s="432">
        <v>90711</v>
      </c>
      <c r="B56" s="432" t="s">
        <v>775</v>
      </c>
      <c r="C56" s="433">
        <v>1552852.75</v>
      </c>
      <c r="E56" s="432">
        <v>90711</v>
      </c>
      <c r="F56" s="432" t="b">
        <f t="shared" si="0"/>
        <v>1</v>
      </c>
    </row>
    <row r="57" spans="1:6">
      <c r="A57" s="432">
        <v>90721</v>
      </c>
      <c r="B57" s="432" t="s">
        <v>776</v>
      </c>
      <c r="C57" s="433">
        <v>21953.25</v>
      </c>
      <c r="E57" s="432">
        <v>90721</v>
      </c>
      <c r="F57" s="432" t="b">
        <f t="shared" si="0"/>
        <v>1</v>
      </c>
    </row>
    <row r="58" spans="1:6">
      <c r="A58" s="432">
        <v>90731</v>
      </c>
      <c r="B58" s="432" t="s">
        <v>777</v>
      </c>
      <c r="C58" s="433">
        <v>172049.71</v>
      </c>
      <c r="E58" s="432">
        <v>90731</v>
      </c>
      <c r="F58" s="432" t="b">
        <f t="shared" si="0"/>
        <v>1</v>
      </c>
    </row>
    <row r="59" spans="1:6">
      <c r="A59" s="432">
        <v>90741</v>
      </c>
      <c r="B59" s="432" t="s">
        <v>778</v>
      </c>
      <c r="C59" s="433">
        <v>13260.3</v>
      </c>
      <c r="E59" s="432">
        <v>90741</v>
      </c>
      <c r="F59" s="432" t="b">
        <f t="shared" si="0"/>
        <v>1</v>
      </c>
    </row>
    <row r="60" spans="1:6">
      <c r="A60" s="432">
        <v>90751</v>
      </c>
      <c r="B60" s="432" t="s">
        <v>779</v>
      </c>
      <c r="C60" s="433">
        <v>153594.47000000003</v>
      </c>
      <c r="E60" s="432">
        <v>90751</v>
      </c>
      <c r="F60" s="432" t="b">
        <f t="shared" si="0"/>
        <v>1</v>
      </c>
    </row>
    <row r="61" spans="1:6">
      <c r="A61" s="432">
        <v>90801</v>
      </c>
      <c r="B61" s="432" t="s">
        <v>780</v>
      </c>
      <c r="C61" s="433">
        <v>1044963.15</v>
      </c>
      <c r="E61" s="432">
        <v>90801</v>
      </c>
      <c r="F61" s="432" t="b">
        <f t="shared" si="0"/>
        <v>1</v>
      </c>
    </row>
    <row r="62" spans="1:6">
      <c r="A62" s="432">
        <v>90804</v>
      </c>
      <c r="B62" s="432" t="s">
        <v>781</v>
      </c>
      <c r="C62" s="433">
        <v>9359.92</v>
      </c>
      <c r="E62" s="432">
        <v>90804</v>
      </c>
      <c r="F62" s="432" t="b">
        <f t="shared" si="0"/>
        <v>1</v>
      </c>
    </row>
    <row r="63" spans="1:6">
      <c r="A63" s="432">
        <v>90805</v>
      </c>
      <c r="B63" s="432" t="s">
        <v>782</v>
      </c>
      <c r="C63" s="433">
        <v>72722.02</v>
      </c>
      <c r="E63" s="432">
        <v>90805</v>
      </c>
      <c r="F63" s="432" t="b">
        <f t="shared" si="0"/>
        <v>1</v>
      </c>
    </row>
    <row r="64" spans="1:6">
      <c r="A64" s="432">
        <v>90808</v>
      </c>
      <c r="B64" s="432" t="s">
        <v>783</v>
      </c>
      <c r="C64" s="433">
        <v>120944.18</v>
      </c>
      <c r="E64" s="432">
        <v>90808</v>
      </c>
      <c r="F64" s="432" t="b">
        <f t="shared" si="0"/>
        <v>1</v>
      </c>
    </row>
    <row r="65" spans="1:6">
      <c r="A65" s="432">
        <v>90811</v>
      </c>
      <c r="B65" s="432" t="s">
        <v>784</v>
      </c>
      <c r="C65" s="433">
        <v>34366.06</v>
      </c>
      <c r="E65" s="432">
        <v>90811</v>
      </c>
      <c r="F65" s="432" t="b">
        <f t="shared" si="0"/>
        <v>1</v>
      </c>
    </row>
    <row r="66" spans="1:6">
      <c r="A66" s="432">
        <v>90812</v>
      </c>
      <c r="B66" s="432" t="s">
        <v>785</v>
      </c>
      <c r="C66" s="433">
        <v>212147.57</v>
      </c>
      <c r="E66" s="432">
        <v>90812</v>
      </c>
      <c r="F66" s="432" t="b">
        <f t="shared" si="0"/>
        <v>1</v>
      </c>
    </row>
    <row r="67" spans="1:6">
      <c r="A67" s="432">
        <v>90813</v>
      </c>
      <c r="B67" s="432" t="s">
        <v>786</v>
      </c>
      <c r="C67" s="433">
        <v>3939.66</v>
      </c>
      <c r="E67" s="432">
        <v>90813</v>
      </c>
      <c r="F67" s="432" t="b">
        <f t="shared" ref="F67:F130" si="1">E67=A67</f>
        <v>1</v>
      </c>
    </row>
    <row r="68" spans="1:6">
      <c r="A68" s="432">
        <v>90861</v>
      </c>
      <c r="B68" s="432" t="s">
        <v>787</v>
      </c>
      <c r="C68" s="433">
        <v>10170.94</v>
      </c>
      <c r="E68" s="432">
        <v>90861</v>
      </c>
      <c r="F68" s="432" t="b">
        <f t="shared" si="1"/>
        <v>1</v>
      </c>
    </row>
    <row r="69" spans="1:6">
      <c r="A69" s="432">
        <v>90901</v>
      </c>
      <c r="B69" s="432" t="s">
        <v>788</v>
      </c>
      <c r="C69" s="433">
        <v>2138911.11</v>
      </c>
      <c r="E69" s="432">
        <v>90901</v>
      </c>
      <c r="F69" s="432" t="b">
        <f t="shared" si="1"/>
        <v>1</v>
      </c>
    </row>
    <row r="70" spans="1:6">
      <c r="A70" s="432">
        <v>90911</v>
      </c>
      <c r="B70" s="432" t="s">
        <v>789</v>
      </c>
      <c r="C70" s="433">
        <v>311534.08999999997</v>
      </c>
      <c r="E70" s="432">
        <v>90911</v>
      </c>
      <c r="F70" s="432" t="b">
        <f t="shared" si="1"/>
        <v>1</v>
      </c>
    </row>
    <row r="71" spans="1:6">
      <c r="A71" s="432">
        <v>90917</v>
      </c>
      <c r="B71" s="432" t="s">
        <v>790</v>
      </c>
      <c r="C71" s="433">
        <v>13197.13</v>
      </c>
      <c r="E71" s="432">
        <v>90917</v>
      </c>
      <c r="F71" s="432" t="b">
        <f t="shared" si="1"/>
        <v>1</v>
      </c>
    </row>
    <row r="72" spans="1:6">
      <c r="A72" s="432">
        <v>90918</v>
      </c>
      <c r="B72" s="432" t="s">
        <v>791</v>
      </c>
      <c r="C72" s="433">
        <v>9290.2800000000007</v>
      </c>
      <c r="E72" s="432">
        <v>90918</v>
      </c>
      <c r="F72" s="432" t="b">
        <f t="shared" si="1"/>
        <v>1</v>
      </c>
    </row>
    <row r="73" spans="1:6">
      <c r="A73" s="432">
        <v>90921</v>
      </c>
      <c r="B73" s="432" t="s">
        <v>792</v>
      </c>
      <c r="C73" s="433">
        <v>125996.07</v>
      </c>
      <c r="E73" s="432">
        <v>90921</v>
      </c>
      <c r="F73" s="432" t="b">
        <f t="shared" si="1"/>
        <v>1</v>
      </c>
    </row>
    <row r="74" spans="1:6">
      <c r="A74" s="432">
        <v>90931</v>
      </c>
      <c r="B74" s="432" t="s">
        <v>793</v>
      </c>
      <c r="C74" s="433">
        <v>28700.78</v>
      </c>
      <c r="E74" s="432">
        <v>90931</v>
      </c>
      <c r="F74" s="432" t="b">
        <f t="shared" si="1"/>
        <v>1</v>
      </c>
    </row>
    <row r="75" spans="1:6">
      <c r="A75" s="432">
        <v>90941</v>
      </c>
      <c r="B75" s="432" t="s">
        <v>794</v>
      </c>
      <c r="C75" s="433">
        <v>66778.929999999993</v>
      </c>
      <c r="E75" s="432">
        <v>90941</v>
      </c>
      <c r="F75" s="432" t="b">
        <f t="shared" si="1"/>
        <v>1</v>
      </c>
    </row>
    <row r="76" spans="1:6">
      <c r="A76" s="432">
        <v>91001</v>
      </c>
      <c r="B76" s="432" t="s">
        <v>795</v>
      </c>
      <c r="C76" s="433">
        <v>7395360.5899999999</v>
      </c>
      <c r="E76" s="432">
        <v>91001</v>
      </c>
      <c r="F76" s="432" t="b">
        <f t="shared" si="1"/>
        <v>1</v>
      </c>
    </row>
    <row r="77" spans="1:6">
      <c r="A77" s="432">
        <v>91002</v>
      </c>
      <c r="B77" s="432" t="s">
        <v>796</v>
      </c>
      <c r="C77" s="433">
        <v>1471363.2899999998</v>
      </c>
      <c r="E77" s="432">
        <v>91002</v>
      </c>
      <c r="F77" s="432" t="b">
        <f t="shared" si="1"/>
        <v>1</v>
      </c>
    </row>
    <row r="78" spans="1:6">
      <c r="A78" s="432">
        <v>91003</v>
      </c>
      <c r="B78" s="432" t="s">
        <v>797</v>
      </c>
      <c r="C78" s="433">
        <v>631466.64</v>
      </c>
      <c r="E78" s="432">
        <v>91003</v>
      </c>
      <c r="F78" s="432" t="b">
        <f t="shared" si="1"/>
        <v>1</v>
      </c>
    </row>
    <row r="79" spans="1:6">
      <c r="A79" s="432">
        <v>91004</v>
      </c>
      <c r="B79" s="432" t="s">
        <v>798</v>
      </c>
      <c r="C79" s="433">
        <v>42132.28</v>
      </c>
      <c r="E79" s="432">
        <v>91004</v>
      </c>
      <c r="F79" s="432" t="b">
        <f t="shared" si="1"/>
        <v>1</v>
      </c>
    </row>
    <row r="80" spans="1:6">
      <c r="A80" s="432">
        <v>91006</v>
      </c>
      <c r="B80" s="432" t="s">
        <v>799</v>
      </c>
      <c r="C80" s="433">
        <v>1049410.3</v>
      </c>
      <c r="E80" s="432">
        <v>91006</v>
      </c>
      <c r="F80" s="432" t="b">
        <f t="shared" si="1"/>
        <v>1</v>
      </c>
    </row>
    <row r="81" spans="1:6">
      <c r="A81" s="432">
        <v>91007</v>
      </c>
      <c r="B81" s="432" t="s">
        <v>800</v>
      </c>
      <c r="C81" s="433">
        <v>10119.19</v>
      </c>
      <c r="E81" s="432">
        <v>91007</v>
      </c>
      <c r="F81" s="432" t="b">
        <f t="shared" si="1"/>
        <v>1</v>
      </c>
    </row>
    <row r="82" spans="1:6">
      <c r="A82" s="432">
        <v>91008</v>
      </c>
      <c r="B82" s="432" t="s">
        <v>801</v>
      </c>
      <c r="C82" s="433">
        <v>175035.36</v>
      </c>
      <c r="E82" s="432">
        <v>91008</v>
      </c>
      <c r="F82" s="432" t="b">
        <f t="shared" si="1"/>
        <v>1</v>
      </c>
    </row>
    <row r="83" spans="1:6">
      <c r="A83" s="432">
        <v>91009</v>
      </c>
      <c r="B83" s="432" t="s">
        <v>802</v>
      </c>
      <c r="C83" s="433">
        <v>23780.02</v>
      </c>
      <c r="E83" s="432">
        <v>91009</v>
      </c>
      <c r="F83" s="432" t="b">
        <f t="shared" si="1"/>
        <v>1</v>
      </c>
    </row>
    <row r="84" spans="1:6">
      <c r="A84" s="432">
        <v>91010</v>
      </c>
      <c r="B84" s="432" t="s">
        <v>803</v>
      </c>
      <c r="C84" s="433">
        <v>62489.99</v>
      </c>
      <c r="E84" s="432">
        <v>91010</v>
      </c>
      <c r="F84" s="432" t="b">
        <f t="shared" si="1"/>
        <v>1</v>
      </c>
    </row>
    <row r="85" spans="1:6">
      <c r="A85" s="432">
        <v>91011</v>
      </c>
      <c r="B85" s="432" t="s">
        <v>804</v>
      </c>
      <c r="C85" s="433">
        <v>545690.05999999994</v>
      </c>
      <c r="E85" s="432">
        <v>91011</v>
      </c>
      <c r="F85" s="432" t="b">
        <f t="shared" si="1"/>
        <v>1</v>
      </c>
    </row>
    <row r="86" spans="1:6">
      <c r="A86" s="432">
        <v>91012</v>
      </c>
      <c r="B86" s="432" t="s">
        <v>805</v>
      </c>
      <c r="C86" s="433">
        <v>22190.53</v>
      </c>
      <c r="E86" s="432">
        <v>91012</v>
      </c>
      <c r="F86" s="432" t="b">
        <f t="shared" si="1"/>
        <v>1</v>
      </c>
    </row>
    <row r="87" spans="1:6">
      <c r="A87" s="432">
        <v>91013</v>
      </c>
      <c r="B87" s="432" t="s">
        <v>806</v>
      </c>
      <c r="C87" s="433">
        <v>54457.479999999996</v>
      </c>
      <c r="E87" s="432">
        <v>91013</v>
      </c>
      <c r="F87" s="432" t="b">
        <f t="shared" si="1"/>
        <v>1</v>
      </c>
    </row>
    <row r="88" spans="1:6">
      <c r="A88" s="432">
        <v>91014</v>
      </c>
      <c r="B88" s="432" t="s">
        <v>807</v>
      </c>
      <c r="C88" s="433">
        <v>204115.42</v>
      </c>
      <c r="E88" s="432">
        <v>91014</v>
      </c>
      <c r="F88" s="432" t="b">
        <f t="shared" si="1"/>
        <v>1</v>
      </c>
    </row>
    <row r="89" spans="1:6">
      <c r="A89" s="432">
        <v>91015</v>
      </c>
      <c r="B89" s="432" t="s">
        <v>1636</v>
      </c>
      <c r="C89" s="433">
        <v>42347.06</v>
      </c>
      <c r="E89" s="432">
        <v>91015</v>
      </c>
      <c r="F89" s="432" t="b">
        <f t="shared" si="1"/>
        <v>1</v>
      </c>
    </row>
    <row r="90" spans="1:6">
      <c r="A90" s="432">
        <v>91017</v>
      </c>
      <c r="B90" s="432" t="s">
        <v>2009</v>
      </c>
      <c r="C90" s="433">
        <v>41088.07</v>
      </c>
      <c r="E90" s="432">
        <v>91017</v>
      </c>
      <c r="F90" s="432" t="b">
        <f t="shared" si="1"/>
        <v>1</v>
      </c>
    </row>
    <row r="91" spans="1:6">
      <c r="A91" s="432">
        <v>91020</v>
      </c>
      <c r="B91" s="432" t="s">
        <v>809</v>
      </c>
      <c r="C91" s="433">
        <v>29782.85</v>
      </c>
      <c r="E91" s="432">
        <v>91020</v>
      </c>
      <c r="F91" s="432" t="b">
        <f t="shared" si="1"/>
        <v>1</v>
      </c>
    </row>
    <row r="92" spans="1:6">
      <c r="A92" s="432">
        <v>91021</v>
      </c>
      <c r="B92" s="432" t="s">
        <v>810</v>
      </c>
      <c r="C92" s="433">
        <v>996651.69</v>
      </c>
      <c r="E92" s="432">
        <v>91021</v>
      </c>
      <c r="F92" s="432" t="b">
        <f t="shared" si="1"/>
        <v>1</v>
      </c>
    </row>
    <row r="93" spans="1:6">
      <c r="A93" s="432">
        <v>91024</v>
      </c>
      <c r="B93" s="432" t="s">
        <v>811</v>
      </c>
      <c r="C93" s="433">
        <v>116251.34</v>
      </c>
      <c r="E93" s="432">
        <v>91024</v>
      </c>
      <c r="F93" s="432" t="b">
        <f t="shared" si="1"/>
        <v>1</v>
      </c>
    </row>
    <row r="94" spans="1:6">
      <c r="A94" s="432">
        <v>91026</v>
      </c>
      <c r="B94" s="432" t="s">
        <v>43</v>
      </c>
      <c r="C94" s="433">
        <v>43929.5</v>
      </c>
      <c r="E94" s="432">
        <v>91026</v>
      </c>
      <c r="F94" s="432" t="b">
        <f t="shared" si="1"/>
        <v>1</v>
      </c>
    </row>
    <row r="95" spans="1:6">
      <c r="A95" s="432">
        <v>91027</v>
      </c>
      <c r="B95" s="432" t="s">
        <v>812</v>
      </c>
      <c r="C95" s="433">
        <v>30712.45</v>
      </c>
      <c r="E95" s="432">
        <v>91027</v>
      </c>
      <c r="F95" s="432" t="b">
        <f t="shared" si="1"/>
        <v>1</v>
      </c>
    </row>
    <row r="96" spans="1:6">
      <c r="A96" s="432">
        <v>91032</v>
      </c>
      <c r="B96" s="432" t="s">
        <v>813</v>
      </c>
      <c r="C96" s="433">
        <v>54485.36</v>
      </c>
      <c r="E96" s="432">
        <v>91032</v>
      </c>
      <c r="F96" s="432" t="b">
        <f t="shared" si="1"/>
        <v>1</v>
      </c>
    </row>
    <row r="97" spans="1:6">
      <c r="A97" s="432">
        <v>91041</v>
      </c>
      <c r="B97" s="432" t="s">
        <v>814</v>
      </c>
      <c r="C97" s="433">
        <v>455694.35000000003</v>
      </c>
      <c r="E97" s="432">
        <v>91041</v>
      </c>
      <c r="F97" s="432" t="b">
        <f t="shared" si="1"/>
        <v>1</v>
      </c>
    </row>
    <row r="98" spans="1:6">
      <c r="A98" s="432">
        <v>91042</v>
      </c>
      <c r="B98" s="432" t="s">
        <v>815</v>
      </c>
      <c r="C98" s="433">
        <v>452643.05</v>
      </c>
      <c r="E98" s="432">
        <v>91042</v>
      </c>
      <c r="F98" s="432" t="b">
        <f t="shared" si="1"/>
        <v>1</v>
      </c>
    </row>
    <row r="99" spans="1:6">
      <c r="A99" s="432">
        <v>91047</v>
      </c>
      <c r="B99" s="432" t="s">
        <v>816</v>
      </c>
      <c r="C99" s="433">
        <v>16950.990000000002</v>
      </c>
      <c r="E99" s="432">
        <v>91047</v>
      </c>
      <c r="F99" s="432" t="b">
        <f t="shared" si="1"/>
        <v>1</v>
      </c>
    </row>
    <row r="100" spans="1:6">
      <c r="A100" s="432">
        <v>91051</v>
      </c>
      <c r="B100" s="432" t="s">
        <v>817</v>
      </c>
      <c r="C100" s="433">
        <v>69870.06</v>
      </c>
      <c r="E100" s="432">
        <v>91051</v>
      </c>
      <c r="F100" s="432" t="b">
        <f t="shared" si="1"/>
        <v>1</v>
      </c>
    </row>
    <row r="101" spans="1:6">
      <c r="A101" s="432">
        <v>91057</v>
      </c>
      <c r="B101" s="432" t="s">
        <v>818</v>
      </c>
      <c r="C101" s="433">
        <v>18882.43</v>
      </c>
      <c r="E101" s="432">
        <v>91057</v>
      </c>
      <c r="F101" s="432" t="b">
        <f t="shared" si="1"/>
        <v>1</v>
      </c>
    </row>
    <row r="102" spans="1:6">
      <c r="A102" s="432">
        <v>91061</v>
      </c>
      <c r="B102" s="432" t="s">
        <v>819</v>
      </c>
      <c r="C102" s="433">
        <v>435320.31</v>
      </c>
      <c r="E102" s="432">
        <v>91061</v>
      </c>
      <c r="F102" s="432" t="b">
        <f t="shared" si="1"/>
        <v>1</v>
      </c>
    </row>
    <row r="103" spans="1:6">
      <c r="A103" s="432">
        <v>91067</v>
      </c>
      <c r="B103" s="432" t="s">
        <v>820</v>
      </c>
      <c r="C103" s="433">
        <v>21931.37</v>
      </c>
      <c r="E103" s="432">
        <v>91067</v>
      </c>
      <c r="F103" s="432" t="b">
        <f t="shared" si="1"/>
        <v>1</v>
      </c>
    </row>
    <row r="104" spans="1:6">
      <c r="A104" s="432">
        <v>91071</v>
      </c>
      <c r="B104" s="432" t="s">
        <v>821</v>
      </c>
      <c r="C104" s="433">
        <v>276480.02</v>
      </c>
      <c r="E104" s="432">
        <v>91071</v>
      </c>
      <c r="F104" s="432" t="b">
        <f t="shared" si="1"/>
        <v>1</v>
      </c>
    </row>
    <row r="105" spans="1:6">
      <c r="A105" s="432">
        <v>91077</v>
      </c>
      <c r="B105" s="432" t="s">
        <v>822</v>
      </c>
      <c r="C105" s="433">
        <v>18393.86</v>
      </c>
      <c r="E105" s="432">
        <v>91077</v>
      </c>
      <c r="F105" s="432" t="b">
        <f t="shared" si="1"/>
        <v>1</v>
      </c>
    </row>
    <row r="106" spans="1:6">
      <c r="A106" s="432">
        <v>91081</v>
      </c>
      <c r="B106" s="432" t="s">
        <v>823</v>
      </c>
      <c r="C106" s="433">
        <v>456588.78</v>
      </c>
      <c r="E106" s="432">
        <v>91081</v>
      </c>
      <c r="F106" s="432" t="b">
        <f t="shared" si="1"/>
        <v>1</v>
      </c>
    </row>
    <row r="107" spans="1:6">
      <c r="A107" s="432">
        <v>91091</v>
      </c>
      <c r="B107" s="432" t="s">
        <v>824</v>
      </c>
      <c r="C107" s="433">
        <v>592473.06000000006</v>
      </c>
      <c r="E107" s="432">
        <v>91091</v>
      </c>
      <c r="F107" s="432" t="b">
        <f t="shared" si="1"/>
        <v>1</v>
      </c>
    </row>
    <row r="108" spans="1:6">
      <c r="A108" s="432">
        <v>91101</v>
      </c>
      <c r="B108" s="432" t="s">
        <v>825</v>
      </c>
      <c r="C108" s="433">
        <v>13843537.449999999</v>
      </c>
      <c r="E108" s="432">
        <v>91101</v>
      </c>
      <c r="F108" s="432" t="b">
        <f t="shared" si="1"/>
        <v>1</v>
      </c>
    </row>
    <row r="109" spans="1:6">
      <c r="A109" s="432">
        <v>91102</v>
      </c>
      <c r="B109" s="432" t="s">
        <v>826</v>
      </c>
      <c r="C109" s="433">
        <v>416243.43</v>
      </c>
      <c r="E109" s="432">
        <v>91102</v>
      </c>
      <c r="F109" s="432" t="b">
        <f t="shared" si="1"/>
        <v>1</v>
      </c>
    </row>
    <row r="110" spans="1:6">
      <c r="A110" s="432">
        <v>91104</v>
      </c>
      <c r="B110" s="432" t="s">
        <v>827</v>
      </c>
      <c r="C110" s="433">
        <v>27481.59</v>
      </c>
      <c r="E110" s="432">
        <v>91104</v>
      </c>
      <c r="F110" s="432" t="b">
        <f t="shared" si="1"/>
        <v>1</v>
      </c>
    </row>
    <row r="111" spans="1:6">
      <c r="A111" s="432">
        <v>91107</v>
      </c>
      <c r="B111" s="432" t="s">
        <v>3756</v>
      </c>
      <c r="C111" s="433">
        <v>66888.94</v>
      </c>
      <c r="E111" s="432">
        <v>91107</v>
      </c>
      <c r="F111" s="432" t="b">
        <f t="shared" si="1"/>
        <v>1</v>
      </c>
    </row>
    <row r="112" spans="1:6">
      <c r="A112" s="432">
        <v>91108</v>
      </c>
      <c r="B112" s="432" t="s">
        <v>829</v>
      </c>
      <c r="C112" s="433">
        <v>1239205</v>
      </c>
      <c r="E112" s="432">
        <v>91108</v>
      </c>
      <c r="F112" s="432" t="b">
        <f t="shared" si="1"/>
        <v>1</v>
      </c>
    </row>
    <row r="113" spans="1:6">
      <c r="A113" s="432">
        <v>91109</v>
      </c>
      <c r="B113" s="432" t="s">
        <v>830</v>
      </c>
      <c r="C113" s="433">
        <v>80030.5</v>
      </c>
      <c r="E113" s="432">
        <v>91109</v>
      </c>
      <c r="F113" s="432" t="b">
        <f t="shared" si="1"/>
        <v>1</v>
      </c>
    </row>
    <row r="114" spans="1:6">
      <c r="A114" s="432">
        <v>91111</v>
      </c>
      <c r="B114" s="432" t="s">
        <v>831</v>
      </c>
      <c r="C114" s="433">
        <v>215387.09</v>
      </c>
      <c r="E114" s="432">
        <v>91111</v>
      </c>
      <c r="F114" s="432" t="b">
        <f t="shared" si="1"/>
        <v>1</v>
      </c>
    </row>
    <row r="115" spans="1:6">
      <c r="A115" s="432">
        <v>91120</v>
      </c>
      <c r="B115" s="432" t="s">
        <v>832</v>
      </c>
      <c r="C115" s="433">
        <v>220215.9</v>
      </c>
      <c r="E115" s="432">
        <v>91120</v>
      </c>
      <c r="F115" s="432" t="b">
        <f t="shared" si="1"/>
        <v>1</v>
      </c>
    </row>
    <row r="116" spans="1:6">
      <c r="A116" s="432">
        <v>91121</v>
      </c>
      <c r="B116" s="432" t="s">
        <v>833</v>
      </c>
      <c r="C116" s="433">
        <v>10187018.399999999</v>
      </c>
      <c r="E116" s="432">
        <v>91121</v>
      </c>
      <c r="F116" s="432" t="b">
        <f t="shared" si="1"/>
        <v>1</v>
      </c>
    </row>
    <row r="117" spans="1:6">
      <c r="A117" s="432">
        <v>91127</v>
      </c>
      <c r="B117" s="432" t="s">
        <v>834</v>
      </c>
      <c r="C117" s="433">
        <v>367089.77999999997</v>
      </c>
      <c r="E117" s="432">
        <v>91127</v>
      </c>
      <c r="F117" s="432" t="b">
        <f t="shared" si="1"/>
        <v>1</v>
      </c>
    </row>
    <row r="118" spans="1:6">
      <c r="A118" s="432">
        <v>91128</v>
      </c>
      <c r="B118" s="432" t="s">
        <v>835</v>
      </c>
      <c r="C118" s="433">
        <v>655618.94999999995</v>
      </c>
      <c r="E118" s="432">
        <v>91128</v>
      </c>
      <c r="F118" s="432" t="b">
        <f t="shared" si="1"/>
        <v>1</v>
      </c>
    </row>
    <row r="119" spans="1:6">
      <c r="A119" s="432">
        <v>91138</v>
      </c>
      <c r="B119" s="432" t="s">
        <v>836</v>
      </c>
      <c r="C119" s="433">
        <v>463820.37</v>
      </c>
      <c r="E119" s="432">
        <v>91138</v>
      </c>
      <c r="F119" s="432" t="b">
        <f t="shared" si="1"/>
        <v>1</v>
      </c>
    </row>
    <row r="120" spans="1:6">
      <c r="A120" s="432">
        <v>91141</v>
      </c>
      <c r="B120" s="432" t="s">
        <v>837</v>
      </c>
      <c r="C120" s="433">
        <v>563028.67000000004</v>
      </c>
      <c r="E120" s="432">
        <v>91141</v>
      </c>
      <c r="F120" s="432" t="b">
        <f t="shared" si="1"/>
        <v>1</v>
      </c>
    </row>
    <row r="121" spans="1:6">
      <c r="A121" s="432">
        <v>91147</v>
      </c>
      <c r="B121" s="432" t="s">
        <v>838</v>
      </c>
      <c r="C121" s="433">
        <v>34031.360000000001</v>
      </c>
      <c r="E121" s="432">
        <v>91147</v>
      </c>
      <c r="F121" s="432" t="b">
        <f t="shared" si="1"/>
        <v>1</v>
      </c>
    </row>
    <row r="122" spans="1:6">
      <c r="A122" s="432">
        <v>91151</v>
      </c>
      <c r="B122" s="432" t="s">
        <v>839</v>
      </c>
      <c r="C122" s="433">
        <v>670698.12</v>
      </c>
      <c r="E122" s="432">
        <v>91151</v>
      </c>
      <c r="F122" s="432" t="b">
        <f t="shared" si="1"/>
        <v>1</v>
      </c>
    </row>
    <row r="123" spans="1:6">
      <c r="A123" s="432">
        <v>91154</v>
      </c>
      <c r="B123" s="432" t="s">
        <v>840</v>
      </c>
      <c r="C123" s="433">
        <v>23288.61</v>
      </c>
      <c r="E123" s="432">
        <v>91154</v>
      </c>
      <c r="F123" s="432" t="b">
        <f t="shared" si="1"/>
        <v>1</v>
      </c>
    </row>
    <row r="124" spans="1:6">
      <c r="A124" s="432">
        <v>91161</v>
      </c>
      <c r="B124" s="432" t="s">
        <v>841</v>
      </c>
      <c r="C124" s="433">
        <v>77033.070000000007</v>
      </c>
      <c r="E124" s="432">
        <v>91161</v>
      </c>
      <c r="F124" s="432" t="b">
        <f t="shared" si="1"/>
        <v>1</v>
      </c>
    </row>
    <row r="125" spans="1:6">
      <c r="A125" s="432">
        <v>91171</v>
      </c>
      <c r="B125" s="432" t="s">
        <v>842</v>
      </c>
      <c r="C125" s="433">
        <v>270454.57000000007</v>
      </c>
      <c r="E125" s="432">
        <v>91171</v>
      </c>
      <c r="F125" s="432" t="b">
        <f t="shared" si="1"/>
        <v>1</v>
      </c>
    </row>
    <row r="126" spans="1:6">
      <c r="A126" s="432">
        <v>91201</v>
      </c>
      <c r="B126" s="432" t="s">
        <v>843</v>
      </c>
      <c r="C126" s="433">
        <v>2573567.2599999998</v>
      </c>
      <c r="E126" s="432">
        <v>91201</v>
      </c>
      <c r="F126" s="432" t="b">
        <f t="shared" si="1"/>
        <v>1</v>
      </c>
    </row>
    <row r="127" spans="1:6">
      <c r="A127" s="432">
        <v>91203</v>
      </c>
      <c r="B127" s="432" t="s">
        <v>845</v>
      </c>
      <c r="C127" s="433">
        <v>282823.31</v>
      </c>
      <c r="E127" s="432">
        <v>91203</v>
      </c>
      <c r="F127" s="432" t="b">
        <f t="shared" si="1"/>
        <v>1</v>
      </c>
    </row>
    <row r="128" spans="1:6">
      <c r="A128" s="432">
        <v>91206</v>
      </c>
      <c r="B128" s="432" t="s">
        <v>846</v>
      </c>
      <c r="C128" s="433">
        <v>1031605.43</v>
      </c>
      <c r="E128" s="432">
        <v>91206</v>
      </c>
      <c r="F128" s="432" t="b">
        <f t="shared" si="1"/>
        <v>1</v>
      </c>
    </row>
    <row r="129" spans="1:6">
      <c r="A129" s="432">
        <v>91208</v>
      </c>
      <c r="B129" s="432" t="s">
        <v>847</v>
      </c>
      <c r="C129" s="433">
        <v>26267.18</v>
      </c>
      <c r="E129" s="432">
        <v>91208</v>
      </c>
      <c r="F129" s="432" t="b">
        <f t="shared" si="1"/>
        <v>1</v>
      </c>
    </row>
    <row r="130" spans="1:6">
      <c r="A130" s="432">
        <v>91211</v>
      </c>
      <c r="B130" s="432" t="s">
        <v>848</v>
      </c>
      <c r="C130" s="433">
        <v>420571.5</v>
      </c>
      <c r="E130" s="432">
        <v>91211</v>
      </c>
      <c r="F130" s="432" t="b">
        <f t="shared" si="1"/>
        <v>1</v>
      </c>
    </row>
    <row r="131" spans="1:6">
      <c r="A131" s="432">
        <v>91213</v>
      </c>
      <c r="B131" s="432" t="s">
        <v>849</v>
      </c>
      <c r="C131" s="433">
        <v>26052.59</v>
      </c>
      <c r="E131" s="432">
        <v>91213</v>
      </c>
      <c r="F131" s="432" t="b">
        <f t="shared" ref="F131:F194" si="2">E131=A131</f>
        <v>1</v>
      </c>
    </row>
    <row r="132" spans="1:6">
      <c r="A132" s="432">
        <v>91214</v>
      </c>
      <c r="B132" s="432" t="s">
        <v>850</v>
      </c>
      <c r="C132" s="433">
        <v>23218.47</v>
      </c>
      <c r="E132" s="432">
        <v>91214</v>
      </c>
      <c r="F132" s="432" t="b">
        <f t="shared" si="2"/>
        <v>1</v>
      </c>
    </row>
    <row r="133" spans="1:6">
      <c r="A133" s="432">
        <v>91217</v>
      </c>
      <c r="B133" s="432" t="s">
        <v>851</v>
      </c>
      <c r="C133" s="433">
        <v>28978.97</v>
      </c>
      <c r="E133" s="432">
        <v>91217</v>
      </c>
      <c r="F133" s="432" t="b">
        <f t="shared" si="2"/>
        <v>1</v>
      </c>
    </row>
    <row r="134" spans="1:6">
      <c r="A134" s="432">
        <v>91221</v>
      </c>
      <c r="B134" s="432" t="s">
        <v>852</v>
      </c>
      <c r="C134" s="433">
        <v>102420.56</v>
      </c>
      <c r="E134" s="432">
        <v>91221</v>
      </c>
      <c r="F134" s="432" t="b">
        <f t="shared" si="2"/>
        <v>1</v>
      </c>
    </row>
    <row r="135" spans="1:6">
      <c r="A135" s="432">
        <v>91231</v>
      </c>
      <c r="B135" s="432" t="s">
        <v>853</v>
      </c>
      <c r="C135" s="433">
        <v>1807542.6400000001</v>
      </c>
      <c r="E135" s="432">
        <v>91231</v>
      </c>
      <c r="F135" s="432" t="b">
        <f t="shared" si="2"/>
        <v>1</v>
      </c>
    </row>
    <row r="136" spans="1:6">
      <c r="A136" s="432">
        <v>91233</v>
      </c>
      <c r="B136" s="432" t="s">
        <v>854</v>
      </c>
      <c r="C136" s="433">
        <v>48102.66</v>
      </c>
      <c r="E136" s="432">
        <v>91233</v>
      </c>
      <c r="F136" s="432" t="b">
        <f t="shared" si="2"/>
        <v>1</v>
      </c>
    </row>
    <row r="137" spans="1:6">
      <c r="A137" s="432">
        <v>91241</v>
      </c>
      <c r="B137" s="432" t="s">
        <v>855</v>
      </c>
      <c r="C137" s="433">
        <v>36439.100000000006</v>
      </c>
      <c r="E137" s="432">
        <v>91241</v>
      </c>
      <c r="F137" s="432" t="b">
        <f t="shared" si="2"/>
        <v>1</v>
      </c>
    </row>
    <row r="138" spans="1:6">
      <c r="A138" s="432">
        <v>91251</v>
      </c>
      <c r="B138" s="432" t="s">
        <v>856</v>
      </c>
      <c r="C138" s="433">
        <v>21874.75</v>
      </c>
      <c r="E138" s="432">
        <v>91251</v>
      </c>
      <c r="F138" s="432" t="b">
        <f t="shared" si="2"/>
        <v>1</v>
      </c>
    </row>
    <row r="139" spans="1:6">
      <c r="A139" s="432">
        <v>91261</v>
      </c>
      <c r="B139" s="432" t="s">
        <v>857</v>
      </c>
      <c r="C139" s="433">
        <v>8674</v>
      </c>
      <c r="E139" s="432">
        <v>91261</v>
      </c>
      <c r="F139" s="432" t="b">
        <f t="shared" si="2"/>
        <v>1</v>
      </c>
    </row>
    <row r="140" spans="1:6">
      <c r="A140" s="432">
        <v>91301</v>
      </c>
      <c r="B140" s="432" t="s">
        <v>858</v>
      </c>
      <c r="C140" s="433">
        <v>8516251.1399999987</v>
      </c>
      <c r="E140" s="432">
        <v>91301</v>
      </c>
      <c r="F140" s="432" t="b">
        <f t="shared" si="2"/>
        <v>1</v>
      </c>
    </row>
    <row r="141" spans="1:6">
      <c r="A141" s="432">
        <v>91302</v>
      </c>
      <c r="B141" s="432" t="s">
        <v>859</v>
      </c>
      <c r="C141" s="433">
        <v>549566.29</v>
      </c>
      <c r="E141" s="432">
        <v>91302</v>
      </c>
      <c r="F141" s="432" t="b">
        <f t="shared" si="2"/>
        <v>1</v>
      </c>
    </row>
    <row r="142" spans="1:6">
      <c r="A142" s="432">
        <v>91306</v>
      </c>
      <c r="B142" s="432" t="s">
        <v>860</v>
      </c>
      <c r="C142" s="433">
        <v>2193337.33</v>
      </c>
      <c r="E142" s="432">
        <v>91306</v>
      </c>
      <c r="F142" s="432" t="b">
        <f t="shared" si="2"/>
        <v>1</v>
      </c>
    </row>
    <row r="143" spans="1:6">
      <c r="A143" s="432">
        <v>91308</v>
      </c>
      <c r="B143" s="432" t="s">
        <v>861</v>
      </c>
      <c r="C143" s="433">
        <v>125276.47</v>
      </c>
      <c r="E143" s="432">
        <v>91308</v>
      </c>
      <c r="F143" s="432" t="b">
        <f t="shared" si="2"/>
        <v>1</v>
      </c>
    </row>
    <row r="144" spans="1:6">
      <c r="A144" s="432">
        <v>91311</v>
      </c>
      <c r="B144" s="432" t="s">
        <v>862</v>
      </c>
      <c r="C144" s="433">
        <v>8398958.8900000006</v>
      </c>
      <c r="E144" s="432">
        <v>91311</v>
      </c>
      <c r="F144" s="432" t="b">
        <f t="shared" si="2"/>
        <v>1</v>
      </c>
    </row>
    <row r="145" spans="1:6">
      <c r="A145" s="432">
        <v>91317</v>
      </c>
      <c r="B145" s="432" t="s">
        <v>863</v>
      </c>
      <c r="C145" s="433">
        <v>169975.01</v>
      </c>
      <c r="E145" s="432">
        <v>91317</v>
      </c>
      <c r="F145" s="432" t="b">
        <f t="shared" si="2"/>
        <v>1</v>
      </c>
    </row>
    <row r="146" spans="1:6">
      <c r="A146" s="432">
        <v>91321</v>
      </c>
      <c r="B146" s="432" t="s">
        <v>864</v>
      </c>
      <c r="C146" s="433">
        <v>54114.41</v>
      </c>
      <c r="E146" s="432">
        <v>91321</v>
      </c>
      <c r="F146" s="432" t="b">
        <f t="shared" si="2"/>
        <v>1</v>
      </c>
    </row>
    <row r="147" spans="1:6">
      <c r="A147" s="432">
        <v>91327</v>
      </c>
      <c r="B147" s="432" t="s">
        <v>865</v>
      </c>
      <c r="C147" s="433">
        <v>11610.12</v>
      </c>
      <c r="E147" s="432">
        <v>91327</v>
      </c>
      <c r="F147" s="432" t="b">
        <f t="shared" si="2"/>
        <v>1</v>
      </c>
    </row>
    <row r="148" spans="1:6">
      <c r="A148" s="432">
        <v>91331</v>
      </c>
      <c r="B148" s="432" t="s">
        <v>866</v>
      </c>
      <c r="C148" s="433">
        <v>3015161.29</v>
      </c>
      <c r="E148" s="432">
        <v>91331</v>
      </c>
      <c r="F148" s="432" t="b">
        <f t="shared" si="2"/>
        <v>1</v>
      </c>
    </row>
    <row r="149" spans="1:6">
      <c r="A149" s="432">
        <v>91341</v>
      </c>
      <c r="B149" s="432" t="s">
        <v>867</v>
      </c>
      <c r="C149" s="433">
        <v>65712.23</v>
      </c>
      <c r="E149" s="432">
        <v>91341</v>
      </c>
      <c r="F149" s="432" t="b">
        <f t="shared" si="2"/>
        <v>1</v>
      </c>
    </row>
    <row r="150" spans="1:6">
      <c r="A150" s="432">
        <v>91401</v>
      </c>
      <c r="B150" s="432" t="s">
        <v>868</v>
      </c>
      <c r="C150" s="433">
        <v>3604955.0300000003</v>
      </c>
      <c r="E150" s="432">
        <v>91401</v>
      </c>
      <c r="F150" s="432" t="b">
        <f t="shared" si="2"/>
        <v>1</v>
      </c>
    </row>
    <row r="151" spans="1:6">
      <c r="A151" s="432">
        <v>91411</v>
      </c>
      <c r="B151" s="432" t="s">
        <v>869</v>
      </c>
      <c r="C151" s="433">
        <v>422485.43</v>
      </c>
      <c r="E151" s="432">
        <v>91411</v>
      </c>
      <c r="F151" s="432" t="b">
        <f t="shared" si="2"/>
        <v>1</v>
      </c>
    </row>
    <row r="152" spans="1:6">
      <c r="A152" s="432">
        <v>91414</v>
      </c>
      <c r="B152" s="432" t="s">
        <v>3608</v>
      </c>
      <c r="C152" s="433">
        <v>28277.079999999998</v>
      </c>
      <c r="E152" s="432">
        <v>91414</v>
      </c>
      <c r="F152" s="432" t="b">
        <f t="shared" si="2"/>
        <v>1</v>
      </c>
    </row>
    <row r="153" spans="1:6">
      <c r="A153" s="432">
        <v>91417</v>
      </c>
      <c r="B153" s="432" t="s">
        <v>870</v>
      </c>
      <c r="C153" s="433">
        <v>10641.55</v>
      </c>
      <c r="E153" s="432">
        <v>91417</v>
      </c>
      <c r="F153" s="432" t="b">
        <f t="shared" si="2"/>
        <v>1</v>
      </c>
    </row>
    <row r="154" spans="1:6">
      <c r="A154" s="432">
        <v>91421</v>
      </c>
      <c r="B154" s="432" t="s">
        <v>871</v>
      </c>
      <c r="C154" s="433">
        <v>96261.16</v>
      </c>
      <c r="E154" s="432">
        <v>91421</v>
      </c>
      <c r="F154" s="432" t="b">
        <f t="shared" si="2"/>
        <v>1</v>
      </c>
    </row>
    <row r="155" spans="1:6">
      <c r="A155" s="432">
        <v>91423</v>
      </c>
      <c r="B155" s="432" t="s">
        <v>872</v>
      </c>
      <c r="C155" s="433">
        <v>56101.64</v>
      </c>
      <c r="E155" s="432">
        <v>91423</v>
      </c>
      <c r="F155" s="432" t="b">
        <f t="shared" si="2"/>
        <v>1</v>
      </c>
    </row>
    <row r="156" spans="1:6">
      <c r="A156" s="432">
        <v>91431</v>
      </c>
      <c r="B156" s="432" t="s">
        <v>873</v>
      </c>
      <c r="C156" s="433">
        <v>185727.47999999998</v>
      </c>
      <c r="E156" s="432">
        <v>91431</v>
      </c>
      <c r="F156" s="432" t="b">
        <f t="shared" si="2"/>
        <v>1</v>
      </c>
    </row>
    <row r="157" spans="1:6">
      <c r="A157" s="432">
        <v>91441</v>
      </c>
      <c r="B157" s="432" t="s">
        <v>874</v>
      </c>
      <c r="C157" s="433">
        <v>865901.88</v>
      </c>
      <c r="E157" s="432">
        <v>91441</v>
      </c>
      <c r="F157" s="432" t="b">
        <f t="shared" si="2"/>
        <v>1</v>
      </c>
    </row>
    <row r="158" spans="1:6">
      <c r="A158" s="432">
        <v>91451</v>
      </c>
      <c r="B158" s="432" t="s">
        <v>875</v>
      </c>
      <c r="C158" s="433">
        <v>1545547.6300000001</v>
      </c>
      <c r="E158" s="432">
        <v>91451</v>
      </c>
      <c r="F158" s="432" t="b">
        <f t="shared" si="2"/>
        <v>1</v>
      </c>
    </row>
    <row r="159" spans="1:6">
      <c r="A159" s="432">
        <v>91457</v>
      </c>
      <c r="B159" s="432" t="s">
        <v>876</v>
      </c>
      <c r="C159" s="433">
        <v>29612.38</v>
      </c>
      <c r="E159" s="432">
        <v>91457</v>
      </c>
      <c r="F159" s="432" t="b">
        <f t="shared" si="2"/>
        <v>1</v>
      </c>
    </row>
    <row r="160" spans="1:6">
      <c r="A160" s="432">
        <v>91501</v>
      </c>
      <c r="B160" s="432" t="s">
        <v>878</v>
      </c>
      <c r="C160" s="433">
        <v>494682.92</v>
      </c>
      <c r="E160" s="432">
        <v>91501</v>
      </c>
      <c r="F160" s="432" t="b">
        <f t="shared" si="2"/>
        <v>1</v>
      </c>
    </row>
    <row r="161" spans="1:6">
      <c r="A161" s="432">
        <v>91504</v>
      </c>
      <c r="B161" s="432" t="s">
        <v>879</v>
      </c>
      <c r="C161" s="433">
        <v>12829</v>
      </c>
      <c r="E161" s="432">
        <v>91504</v>
      </c>
      <c r="F161" s="432" t="b">
        <f t="shared" si="2"/>
        <v>1</v>
      </c>
    </row>
    <row r="162" spans="1:6">
      <c r="A162" s="432">
        <v>91601</v>
      </c>
      <c r="B162" s="432" t="s">
        <v>880</v>
      </c>
      <c r="C162" s="433">
        <v>3213235.19</v>
      </c>
      <c r="E162" s="432">
        <v>91601</v>
      </c>
      <c r="F162" s="432" t="b">
        <f t="shared" si="2"/>
        <v>1</v>
      </c>
    </row>
    <row r="163" spans="1:6">
      <c r="A163" s="432">
        <v>91604</v>
      </c>
      <c r="B163" s="432" t="s">
        <v>881</v>
      </c>
      <c r="C163" s="433">
        <v>107140.73</v>
      </c>
      <c r="E163" s="432">
        <v>91604</v>
      </c>
      <c r="F163" s="432" t="b">
        <f t="shared" si="2"/>
        <v>1</v>
      </c>
    </row>
    <row r="164" spans="1:6">
      <c r="A164" s="432">
        <v>91608</v>
      </c>
      <c r="B164" s="432" t="s">
        <v>882</v>
      </c>
      <c r="C164" s="433">
        <v>176024.58</v>
      </c>
      <c r="E164" s="432">
        <v>91608</v>
      </c>
      <c r="F164" s="432" t="b">
        <f t="shared" si="2"/>
        <v>1</v>
      </c>
    </row>
    <row r="165" spans="1:6">
      <c r="A165" s="432">
        <v>91611</v>
      </c>
      <c r="B165" s="432" t="s">
        <v>883</v>
      </c>
      <c r="C165" s="433">
        <v>1275128.92</v>
      </c>
      <c r="E165" s="432">
        <v>91611</v>
      </c>
      <c r="F165" s="432" t="b">
        <f t="shared" si="2"/>
        <v>1</v>
      </c>
    </row>
    <row r="166" spans="1:6">
      <c r="A166" s="432">
        <v>91621</v>
      </c>
      <c r="B166" s="432" t="s">
        <v>884</v>
      </c>
      <c r="C166" s="433">
        <v>295978.55</v>
      </c>
      <c r="E166" s="432">
        <v>91621</v>
      </c>
      <c r="F166" s="432" t="b">
        <f t="shared" si="2"/>
        <v>1</v>
      </c>
    </row>
    <row r="167" spans="1:6">
      <c r="A167" s="432">
        <v>91631</v>
      </c>
      <c r="B167" s="432" t="s">
        <v>885</v>
      </c>
      <c r="C167" s="433">
        <v>670175.02</v>
      </c>
      <c r="E167" s="432">
        <v>91631</v>
      </c>
      <c r="F167" s="432" t="b">
        <f t="shared" si="2"/>
        <v>1</v>
      </c>
    </row>
    <row r="168" spans="1:6">
      <c r="A168" s="432">
        <v>91633</v>
      </c>
      <c r="B168" s="432" t="s">
        <v>886</v>
      </c>
      <c r="C168" s="433">
        <v>22290.32</v>
      </c>
      <c r="E168" s="432">
        <v>91633</v>
      </c>
      <c r="F168" s="432" t="b">
        <f t="shared" si="2"/>
        <v>1</v>
      </c>
    </row>
    <row r="169" spans="1:6">
      <c r="A169" s="432">
        <v>91641</v>
      </c>
      <c r="B169" s="432" t="s">
        <v>887</v>
      </c>
      <c r="C169" s="433">
        <v>338493.63999999996</v>
      </c>
      <c r="E169" s="432">
        <v>91641</v>
      </c>
      <c r="F169" s="432" t="b">
        <f t="shared" si="2"/>
        <v>1</v>
      </c>
    </row>
    <row r="170" spans="1:6">
      <c r="A170" s="432">
        <v>91651</v>
      </c>
      <c r="B170" s="432" t="s">
        <v>888</v>
      </c>
      <c r="C170" s="433">
        <v>556852.74</v>
      </c>
      <c r="E170" s="432">
        <v>91651</v>
      </c>
      <c r="F170" s="432" t="b">
        <f t="shared" si="2"/>
        <v>1</v>
      </c>
    </row>
    <row r="171" spans="1:6">
      <c r="A171" s="432">
        <v>91661</v>
      </c>
      <c r="B171" s="432" t="s">
        <v>889</v>
      </c>
      <c r="C171" s="433">
        <v>139246.44999999998</v>
      </c>
      <c r="E171" s="432">
        <v>91661</v>
      </c>
      <c r="F171" s="432" t="b">
        <f t="shared" si="2"/>
        <v>1</v>
      </c>
    </row>
    <row r="172" spans="1:6">
      <c r="A172" s="432">
        <v>91671</v>
      </c>
      <c r="B172" s="432" t="s">
        <v>890</v>
      </c>
      <c r="C172" s="433">
        <v>90924.489999999991</v>
      </c>
      <c r="E172" s="432">
        <v>91671</v>
      </c>
      <c r="F172" s="432" t="b">
        <f t="shared" si="2"/>
        <v>1</v>
      </c>
    </row>
    <row r="173" spans="1:6">
      <c r="A173" s="432">
        <v>91681</v>
      </c>
      <c r="B173" s="432" t="s">
        <v>891</v>
      </c>
      <c r="C173" s="433">
        <v>698836.42</v>
      </c>
      <c r="E173" s="432">
        <v>91681</v>
      </c>
      <c r="F173" s="432" t="b">
        <f t="shared" si="2"/>
        <v>1</v>
      </c>
    </row>
    <row r="174" spans="1:6">
      <c r="A174" s="432">
        <v>91691</v>
      </c>
      <c r="B174" s="432" t="s">
        <v>892</v>
      </c>
      <c r="C174" s="433">
        <v>34837.86</v>
      </c>
      <c r="E174" s="432">
        <v>91691</v>
      </c>
      <c r="F174" s="432" t="b">
        <f t="shared" si="2"/>
        <v>1</v>
      </c>
    </row>
    <row r="175" spans="1:6">
      <c r="A175" s="432">
        <v>91701</v>
      </c>
      <c r="B175" s="432" t="s">
        <v>893</v>
      </c>
      <c r="C175" s="433">
        <v>1163247.1399999999</v>
      </c>
      <c r="E175" s="432">
        <v>91701</v>
      </c>
      <c r="F175" s="432" t="b">
        <f t="shared" si="2"/>
        <v>1</v>
      </c>
    </row>
    <row r="176" spans="1:6">
      <c r="A176" s="432">
        <v>91704</v>
      </c>
      <c r="B176" s="432" t="s">
        <v>894</v>
      </c>
      <c r="C176" s="433">
        <v>23321.13</v>
      </c>
      <c r="E176" s="432">
        <v>91704</v>
      </c>
      <c r="F176" s="432" t="b">
        <f t="shared" si="2"/>
        <v>1</v>
      </c>
    </row>
    <row r="177" spans="1:6">
      <c r="A177" s="432">
        <v>91706</v>
      </c>
      <c r="B177" s="432" t="s">
        <v>895</v>
      </c>
      <c r="C177" s="433">
        <v>242030.32</v>
      </c>
      <c r="E177" s="432">
        <v>91706</v>
      </c>
      <c r="F177" s="432" t="b">
        <f t="shared" si="2"/>
        <v>1</v>
      </c>
    </row>
    <row r="178" spans="1:6">
      <c r="A178" s="432">
        <v>91719</v>
      </c>
      <c r="B178" s="432" t="s">
        <v>896</v>
      </c>
      <c r="C178" s="433">
        <v>27873.53</v>
      </c>
      <c r="E178" s="432">
        <v>91719</v>
      </c>
      <c r="F178" s="432" t="b">
        <f t="shared" si="2"/>
        <v>1</v>
      </c>
    </row>
    <row r="179" spans="1:6">
      <c r="A179" s="432">
        <v>91801</v>
      </c>
      <c r="B179" s="432" t="s">
        <v>897</v>
      </c>
      <c r="C179" s="433">
        <v>8177199.4300000006</v>
      </c>
      <c r="E179" s="432">
        <v>91801</v>
      </c>
      <c r="F179" s="432" t="b">
        <f t="shared" si="2"/>
        <v>1</v>
      </c>
    </row>
    <row r="180" spans="1:6">
      <c r="A180" s="432">
        <v>91804</v>
      </c>
      <c r="B180" s="432" t="s">
        <v>898</v>
      </c>
      <c r="C180" s="433">
        <v>244221</v>
      </c>
      <c r="E180" s="432">
        <v>91804</v>
      </c>
      <c r="F180" s="432" t="b">
        <f t="shared" si="2"/>
        <v>1</v>
      </c>
    </row>
    <row r="181" spans="1:6">
      <c r="A181" s="432">
        <v>91811</v>
      </c>
      <c r="B181" s="432" t="s">
        <v>899</v>
      </c>
      <c r="C181" s="433">
        <v>4342859.54</v>
      </c>
      <c r="E181" s="432">
        <v>91811</v>
      </c>
      <c r="F181" s="432" t="b">
        <f t="shared" si="2"/>
        <v>1</v>
      </c>
    </row>
    <row r="182" spans="1:6">
      <c r="A182" s="432">
        <v>91812</v>
      </c>
      <c r="B182" s="432" t="s">
        <v>900</v>
      </c>
      <c r="C182" s="433">
        <v>69444.12</v>
      </c>
      <c r="E182" s="432">
        <v>91812</v>
      </c>
      <c r="F182" s="432" t="b">
        <f t="shared" si="2"/>
        <v>1</v>
      </c>
    </row>
    <row r="183" spans="1:6">
      <c r="A183" s="432">
        <v>91813</v>
      </c>
      <c r="B183" s="432" t="s">
        <v>901</v>
      </c>
      <c r="C183" s="433">
        <v>63995.74</v>
      </c>
      <c r="E183" s="432">
        <v>91813</v>
      </c>
      <c r="F183" s="432" t="b">
        <f t="shared" si="2"/>
        <v>1</v>
      </c>
    </row>
    <row r="184" spans="1:6">
      <c r="A184" s="432">
        <v>91818</v>
      </c>
      <c r="B184" s="432" t="s">
        <v>902</v>
      </c>
      <c r="C184" s="433">
        <v>512664.79</v>
      </c>
      <c r="E184" s="432">
        <v>91818</v>
      </c>
      <c r="F184" s="432" t="b">
        <f t="shared" si="2"/>
        <v>1</v>
      </c>
    </row>
    <row r="185" spans="1:6">
      <c r="A185" s="432">
        <v>91819</v>
      </c>
      <c r="B185" s="432" t="s">
        <v>903</v>
      </c>
      <c r="C185" s="433">
        <v>289789.69</v>
      </c>
      <c r="E185" s="432">
        <v>91819</v>
      </c>
      <c r="F185" s="432" t="b">
        <f t="shared" si="2"/>
        <v>1</v>
      </c>
    </row>
    <row r="186" spans="1:6">
      <c r="A186" s="432">
        <v>91821</v>
      </c>
      <c r="B186" s="432" t="s">
        <v>904</v>
      </c>
      <c r="C186" s="433">
        <v>189406.06999999998</v>
      </c>
      <c r="E186" s="432">
        <v>91821</v>
      </c>
      <c r="F186" s="432" t="b">
        <f t="shared" si="2"/>
        <v>1</v>
      </c>
    </row>
    <row r="187" spans="1:6">
      <c r="A187" s="432">
        <v>91831</v>
      </c>
      <c r="B187" s="432" t="s">
        <v>905</v>
      </c>
      <c r="C187" s="433">
        <v>463501.89999999997</v>
      </c>
      <c r="E187" s="432">
        <v>91831</v>
      </c>
      <c r="F187" s="432" t="b">
        <f t="shared" si="2"/>
        <v>1</v>
      </c>
    </row>
    <row r="188" spans="1:6">
      <c r="A188" s="432">
        <v>91841</v>
      </c>
      <c r="B188" s="432" t="s">
        <v>906</v>
      </c>
      <c r="C188" s="433">
        <v>294585.39</v>
      </c>
      <c r="E188" s="432">
        <v>91841</v>
      </c>
      <c r="F188" s="432" t="b">
        <f t="shared" si="2"/>
        <v>1</v>
      </c>
    </row>
    <row r="189" spans="1:6">
      <c r="A189" s="432">
        <v>91851</v>
      </c>
      <c r="B189" s="432" t="s">
        <v>907</v>
      </c>
      <c r="C189" s="433">
        <v>733567.3</v>
      </c>
      <c r="E189" s="432">
        <v>91851</v>
      </c>
      <c r="F189" s="432" t="b">
        <f t="shared" si="2"/>
        <v>1</v>
      </c>
    </row>
    <row r="190" spans="1:6">
      <c r="A190" s="432">
        <v>91861</v>
      </c>
      <c r="B190" s="432" t="s">
        <v>908</v>
      </c>
      <c r="C190" s="433">
        <v>11096.48</v>
      </c>
      <c r="E190" s="432">
        <v>91861</v>
      </c>
      <c r="F190" s="432" t="b">
        <f t="shared" si="2"/>
        <v>1</v>
      </c>
    </row>
    <row r="191" spans="1:6">
      <c r="A191" s="432">
        <v>91871</v>
      </c>
      <c r="B191" s="432" t="s">
        <v>909</v>
      </c>
      <c r="C191" s="433">
        <v>1266374.5899999999</v>
      </c>
      <c r="E191" s="432">
        <v>91871</v>
      </c>
      <c r="F191" s="432" t="b">
        <f t="shared" si="2"/>
        <v>1</v>
      </c>
    </row>
    <row r="192" spans="1:6">
      <c r="A192" s="432">
        <v>91881</v>
      </c>
      <c r="B192" s="432" t="s">
        <v>910</v>
      </c>
      <c r="C192" s="433">
        <v>25029.629999999997</v>
      </c>
      <c r="E192" s="432">
        <v>91881</v>
      </c>
      <c r="F192" s="432" t="b">
        <f t="shared" si="2"/>
        <v>1</v>
      </c>
    </row>
    <row r="193" spans="1:6">
      <c r="A193" s="432">
        <v>91901</v>
      </c>
      <c r="B193" s="432" t="s">
        <v>911</v>
      </c>
      <c r="C193" s="433">
        <v>3861355.6</v>
      </c>
      <c r="E193" s="432">
        <v>91901</v>
      </c>
      <c r="F193" s="432" t="b">
        <f t="shared" si="2"/>
        <v>1</v>
      </c>
    </row>
    <row r="194" spans="1:6">
      <c r="A194" s="432">
        <v>91903</v>
      </c>
      <c r="B194" s="432" t="s">
        <v>912</v>
      </c>
      <c r="C194" s="433">
        <v>6155.17</v>
      </c>
      <c r="E194" s="432">
        <v>91903</v>
      </c>
      <c r="F194" s="432" t="b">
        <f t="shared" si="2"/>
        <v>1</v>
      </c>
    </row>
    <row r="195" spans="1:6">
      <c r="A195" s="432">
        <v>91904</v>
      </c>
      <c r="B195" s="432" t="s">
        <v>913</v>
      </c>
      <c r="C195" s="433">
        <v>73443.61</v>
      </c>
      <c r="E195" s="432">
        <v>91904</v>
      </c>
      <c r="F195" s="432" t="b">
        <f t="shared" ref="F195:F258" si="3">E195=A195</f>
        <v>1</v>
      </c>
    </row>
    <row r="196" spans="1:6">
      <c r="A196" s="432">
        <v>91908</v>
      </c>
      <c r="B196" s="432" t="s">
        <v>914</v>
      </c>
      <c r="C196" s="433">
        <v>10770.38</v>
      </c>
      <c r="E196" s="432">
        <v>91908</v>
      </c>
      <c r="F196" s="432" t="b">
        <f t="shared" si="3"/>
        <v>1</v>
      </c>
    </row>
    <row r="197" spans="1:6">
      <c r="A197" s="432">
        <v>91911</v>
      </c>
      <c r="B197" s="432" t="s">
        <v>915</v>
      </c>
      <c r="C197" s="433">
        <v>522228.3</v>
      </c>
      <c r="E197" s="432">
        <v>91911</v>
      </c>
      <c r="F197" s="432" t="b">
        <f t="shared" si="3"/>
        <v>1</v>
      </c>
    </row>
    <row r="198" spans="1:6">
      <c r="A198" s="432">
        <v>91917</v>
      </c>
      <c r="B198" s="432" t="s">
        <v>916</v>
      </c>
      <c r="C198" s="433">
        <v>19588.060000000001</v>
      </c>
      <c r="E198" s="432">
        <v>91917</v>
      </c>
      <c r="F198" s="432" t="b">
        <f t="shared" si="3"/>
        <v>1</v>
      </c>
    </row>
    <row r="199" spans="1:6">
      <c r="A199" s="432">
        <v>91921</v>
      </c>
      <c r="B199" s="432" t="s">
        <v>917</v>
      </c>
      <c r="C199" s="433">
        <v>434163.95</v>
      </c>
      <c r="E199" s="432">
        <v>91921</v>
      </c>
      <c r="F199" s="432" t="b">
        <f t="shared" si="3"/>
        <v>1</v>
      </c>
    </row>
    <row r="200" spans="1:6">
      <c r="A200" s="432">
        <v>92001</v>
      </c>
      <c r="B200" s="432" t="s">
        <v>918</v>
      </c>
      <c r="C200" s="433">
        <v>1884331.2599999998</v>
      </c>
      <c r="E200" s="432">
        <v>92001</v>
      </c>
      <c r="F200" s="432" t="b">
        <f t="shared" si="3"/>
        <v>1</v>
      </c>
    </row>
    <row r="201" spans="1:6">
      <c r="A201" s="432">
        <v>92005</v>
      </c>
      <c r="B201" s="432" t="s">
        <v>919</v>
      </c>
      <c r="C201" s="433">
        <v>36403.57</v>
      </c>
      <c r="E201" s="432">
        <v>92005</v>
      </c>
      <c r="F201" s="432" t="b">
        <f t="shared" si="3"/>
        <v>1</v>
      </c>
    </row>
    <row r="202" spans="1:6">
      <c r="A202" s="432">
        <v>92011</v>
      </c>
      <c r="B202" s="432" t="s">
        <v>920</v>
      </c>
      <c r="C202" s="433">
        <v>193919.68</v>
      </c>
      <c r="E202" s="432">
        <v>92011</v>
      </c>
      <c r="F202" s="432" t="b">
        <f t="shared" si="3"/>
        <v>1</v>
      </c>
    </row>
    <row r="203" spans="1:6">
      <c r="A203" s="432">
        <v>92017</v>
      </c>
      <c r="B203" s="432" t="s">
        <v>921</v>
      </c>
      <c r="C203" s="433">
        <v>40963.24</v>
      </c>
      <c r="E203" s="432">
        <v>92017</v>
      </c>
      <c r="F203" s="432" t="b">
        <f t="shared" si="3"/>
        <v>1</v>
      </c>
    </row>
    <row r="204" spans="1:6">
      <c r="A204" s="432">
        <v>92021</v>
      </c>
      <c r="B204" s="432" t="s">
        <v>922</v>
      </c>
      <c r="C204" s="433">
        <v>149742.94999999998</v>
      </c>
      <c r="E204" s="432">
        <v>92021</v>
      </c>
      <c r="F204" s="432" t="b">
        <f t="shared" si="3"/>
        <v>1</v>
      </c>
    </row>
    <row r="205" spans="1:6">
      <c r="A205" s="432">
        <v>92101</v>
      </c>
      <c r="B205" s="432" t="s">
        <v>923</v>
      </c>
      <c r="C205" s="433">
        <v>705838.24</v>
      </c>
      <c r="E205" s="432">
        <v>92101</v>
      </c>
      <c r="F205" s="432" t="b">
        <f t="shared" si="3"/>
        <v>1</v>
      </c>
    </row>
    <row r="206" spans="1:6">
      <c r="A206" s="432">
        <v>92104</v>
      </c>
      <c r="B206" s="432" t="s">
        <v>924</v>
      </c>
      <c r="C206" s="433">
        <v>11191.08</v>
      </c>
      <c r="E206" s="432">
        <v>92104</v>
      </c>
      <c r="F206" s="432" t="b">
        <f t="shared" si="3"/>
        <v>1</v>
      </c>
    </row>
    <row r="207" spans="1:6">
      <c r="A207" s="432">
        <v>92109</v>
      </c>
      <c r="B207" s="432" t="s">
        <v>925</v>
      </c>
      <c r="C207" s="433">
        <v>210416.17</v>
      </c>
      <c r="E207" s="432">
        <v>92109</v>
      </c>
      <c r="F207" s="432" t="b">
        <f t="shared" si="3"/>
        <v>1</v>
      </c>
    </row>
    <row r="208" spans="1:6">
      <c r="A208" s="432">
        <v>92111</v>
      </c>
      <c r="B208" s="432" t="s">
        <v>926</v>
      </c>
      <c r="C208" s="433">
        <v>526330.62</v>
      </c>
      <c r="E208" s="432">
        <v>92111</v>
      </c>
      <c r="F208" s="432" t="b">
        <f t="shared" si="3"/>
        <v>1</v>
      </c>
    </row>
    <row r="209" spans="1:6">
      <c r="A209" s="432">
        <v>92113</v>
      </c>
      <c r="B209" s="432" t="s">
        <v>927</v>
      </c>
      <c r="C209" s="433">
        <v>19884.09</v>
      </c>
      <c r="E209" s="432">
        <v>92113</v>
      </c>
      <c r="F209" s="432" t="b">
        <f t="shared" si="3"/>
        <v>1</v>
      </c>
    </row>
    <row r="210" spans="1:6">
      <c r="A210" s="432">
        <v>92201</v>
      </c>
      <c r="B210" s="432" t="s">
        <v>928</v>
      </c>
      <c r="C210" s="433">
        <v>1154445.8900000001</v>
      </c>
      <c r="E210" s="432">
        <v>92201</v>
      </c>
      <c r="F210" s="432" t="b">
        <f t="shared" si="3"/>
        <v>1</v>
      </c>
    </row>
    <row r="211" spans="1:6">
      <c r="A211" s="432">
        <v>92214</v>
      </c>
      <c r="B211" s="432" t="s">
        <v>1925</v>
      </c>
      <c r="C211" s="433">
        <v>31125.94</v>
      </c>
      <c r="E211" s="432">
        <v>92214</v>
      </c>
      <c r="F211" s="432" t="b">
        <f t="shared" si="3"/>
        <v>1</v>
      </c>
    </row>
    <row r="212" spans="1:6">
      <c r="A212" s="432">
        <v>92301</v>
      </c>
      <c r="B212" s="432" t="s">
        <v>929</v>
      </c>
      <c r="C212" s="433">
        <v>5964398.8399999999</v>
      </c>
      <c r="E212" s="432">
        <v>92301</v>
      </c>
      <c r="F212" s="432" t="b">
        <f t="shared" si="3"/>
        <v>1</v>
      </c>
    </row>
    <row r="213" spans="1:6">
      <c r="A213" s="432">
        <v>92302</v>
      </c>
      <c r="B213" s="432" t="s">
        <v>930</v>
      </c>
      <c r="C213" s="433">
        <v>265623.78999999998</v>
      </c>
      <c r="E213" s="432">
        <v>92302</v>
      </c>
      <c r="F213" s="432" t="b">
        <f t="shared" si="3"/>
        <v>1</v>
      </c>
    </row>
    <row r="214" spans="1:6">
      <c r="A214" s="432">
        <v>92311</v>
      </c>
      <c r="B214" s="432" t="s">
        <v>931</v>
      </c>
      <c r="C214" s="433">
        <v>2192068.4</v>
      </c>
      <c r="E214" s="432">
        <v>92311</v>
      </c>
      <c r="F214" s="432" t="b">
        <f t="shared" si="3"/>
        <v>1</v>
      </c>
    </row>
    <row r="215" spans="1:6">
      <c r="A215" s="432">
        <v>92317</v>
      </c>
      <c r="B215" s="432" t="s">
        <v>932</v>
      </c>
      <c r="C215" s="433">
        <v>51721.33</v>
      </c>
      <c r="E215" s="432">
        <v>92317</v>
      </c>
      <c r="F215" s="432" t="b">
        <f t="shared" si="3"/>
        <v>1</v>
      </c>
    </row>
    <row r="216" spans="1:6">
      <c r="A216" s="432">
        <v>92321</v>
      </c>
      <c r="B216" s="432" t="s">
        <v>933</v>
      </c>
      <c r="C216" s="433">
        <v>1485111.5899999999</v>
      </c>
      <c r="E216" s="432">
        <v>92321</v>
      </c>
      <c r="F216" s="432" t="b">
        <f t="shared" si="3"/>
        <v>1</v>
      </c>
    </row>
    <row r="217" spans="1:6">
      <c r="A217" s="432">
        <v>92327</v>
      </c>
      <c r="B217" s="432" t="s">
        <v>934</v>
      </c>
      <c r="C217" s="433">
        <v>16185.13</v>
      </c>
      <c r="E217" s="432">
        <v>92327</v>
      </c>
      <c r="F217" s="432" t="b">
        <f t="shared" si="3"/>
        <v>1</v>
      </c>
    </row>
    <row r="218" spans="1:6">
      <c r="A218" s="432">
        <v>92331</v>
      </c>
      <c r="B218" s="432" t="s">
        <v>935</v>
      </c>
      <c r="C218" s="433">
        <v>163819.22</v>
      </c>
      <c r="E218" s="432">
        <v>92331</v>
      </c>
      <c r="F218" s="432" t="b">
        <f t="shared" si="3"/>
        <v>1</v>
      </c>
    </row>
    <row r="219" spans="1:6">
      <c r="A219" s="432">
        <v>92341</v>
      </c>
      <c r="B219" s="432" t="s">
        <v>936</v>
      </c>
      <c r="C219" s="433">
        <v>5787.13</v>
      </c>
      <c r="E219" s="432">
        <v>92341</v>
      </c>
      <c r="F219" s="432" t="b">
        <f t="shared" si="3"/>
        <v>1</v>
      </c>
    </row>
    <row r="220" spans="1:6">
      <c r="A220" s="432">
        <v>92351</v>
      </c>
      <c r="B220" s="432" t="s">
        <v>937</v>
      </c>
      <c r="C220" s="433">
        <v>33364.949999999997</v>
      </c>
      <c r="E220" s="432">
        <v>92351</v>
      </c>
      <c r="F220" s="432" t="b">
        <f t="shared" si="3"/>
        <v>1</v>
      </c>
    </row>
    <row r="221" spans="1:6">
      <c r="A221" s="432">
        <v>92401</v>
      </c>
      <c r="B221" s="432" t="s">
        <v>938</v>
      </c>
      <c r="C221" s="433">
        <v>3086375.4000000004</v>
      </c>
      <c r="E221" s="432">
        <v>92401</v>
      </c>
      <c r="F221" s="432" t="b">
        <f t="shared" si="3"/>
        <v>1</v>
      </c>
    </row>
    <row r="222" spans="1:6">
      <c r="A222" s="432">
        <v>92403</v>
      </c>
      <c r="B222" s="432" t="s">
        <v>939</v>
      </c>
      <c r="C222" s="433">
        <v>16547.080000000002</v>
      </c>
      <c r="E222" s="432">
        <v>92403</v>
      </c>
      <c r="F222" s="432" t="b">
        <f t="shared" si="3"/>
        <v>1</v>
      </c>
    </row>
    <row r="223" spans="1:6">
      <c r="A223" s="432">
        <v>92411</v>
      </c>
      <c r="B223" s="432" t="s">
        <v>940</v>
      </c>
      <c r="C223" s="433">
        <v>408385.9</v>
      </c>
      <c r="E223" s="432">
        <v>92411</v>
      </c>
      <c r="F223" s="432" t="b">
        <f t="shared" si="3"/>
        <v>1</v>
      </c>
    </row>
    <row r="224" spans="1:6">
      <c r="A224" s="432">
        <v>92417</v>
      </c>
      <c r="B224" s="432" t="s">
        <v>941</v>
      </c>
      <c r="C224" s="433">
        <v>10309.44</v>
      </c>
      <c r="E224" s="432">
        <v>92417</v>
      </c>
      <c r="F224" s="432" t="b">
        <f t="shared" si="3"/>
        <v>1</v>
      </c>
    </row>
    <row r="225" spans="1:6">
      <c r="A225" s="432">
        <v>92421</v>
      </c>
      <c r="B225" s="432" t="s">
        <v>942</v>
      </c>
      <c r="C225" s="433">
        <v>10164.040000000001</v>
      </c>
      <c r="E225" s="432">
        <v>92421</v>
      </c>
      <c r="F225" s="432" t="b">
        <f t="shared" si="3"/>
        <v>1</v>
      </c>
    </row>
    <row r="226" spans="1:6">
      <c r="A226" s="432">
        <v>92427</v>
      </c>
      <c r="B226" s="432" t="s">
        <v>943</v>
      </c>
      <c r="C226" s="433">
        <v>2804.88</v>
      </c>
      <c r="E226" s="432">
        <v>92427</v>
      </c>
      <c r="F226" s="432" t="b">
        <f t="shared" si="3"/>
        <v>1</v>
      </c>
    </row>
    <row r="227" spans="1:6">
      <c r="A227" s="432">
        <v>92431</v>
      </c>
      <c r="B227" s="432" t="s">
        <v>944</v>
      </c>
      <c r="C227" s="433">
        <v>21765.3</v>
      </c>
      <c r="E227" s="432">
        <v>92431</v>
      </c>
      <c r="F227" s="432" t="b">
        <f t="shared" si="3"/>
        <v>1</v>
      </c>
    </row>
    <row r="228" spans="1:6">
      <c r="A228" s="432">
        <v>92441</v>
      </c>
      <c r="B228" s="432" t="s">
        <v>945</v>
      </c>
      <c r="C228" s="433">
        <v>102334.22999999998</v>
      </c>
      <c r="E228" s="432">
        <v>92441</v>
      </c>
      <c r="F228" s="432" t="b">
        <f t="shared" si="3"/>
        <v>1</v>
      </c>
    </row>
    <row r="229" spans="1:6">
      <c r="A229" s="432">
        <v>92444</v>
      </c>
      <c r="B229" s="432" t="s">
        <v>946</v>
      </c>
      <c r="C229" s="433">
        <v>6772.66</v>
      </c>
      <c r="E229" s="432">
        <v>92444</v>
      </c>
      <c r="F229" s="432" t="b">
        <f t="shared" si="3"/>
        <v>1</v>
      </c>
    </row>
    <row r="230" spans="1:6">
      <c r="A230" s="432">
        <v>92451</v>
      </c>
      <c r="B230" s="432" t="s">
        <v>947</v>
      </c>
      <c r="C230" s="433">
        <v>166789.19999999998</v>
      </c>
      <c r="E230" s="432">
        <v>92451</v>
      </c>
      <c r="F230" s="432" t="b">
        <f t="shared" si="3"/>
        <v>1</v>
      </c>
    </row>
    <row r="231" spans="1:6">
      <c r="A231" s="432">
        <v>92461</v>
      </c>
      <c r="B231" s="432" t="s">
        <v>948</v>
      </c>
      <c r="C231" s="433">
        <v>107689.98000000001</v>
      </c>
      <c r="E231" s="432">
        <v>92461</v>
      </c>
      <c r="F231" s="432" t="b">
        <f t="shared" si="3"/>
        <v>1</v>
      </c>
    </row>
    <row r="232" spans="1:6">
      <c r="A232" s="432">
        <v>92501</v>
      </c>
      <c r="B232" s="432" t="s">
        <v>949</v>
      </c>
      <c r="C232" s="433">
        <v>4544752.4000000004</v>
      </c>
      <c r="E232" s="432">
        <v>92501</v>
      </c>
      <c r="F232" s="432" t="b">
        <f t="shared" si="3"/>
        <v>1</v>
      </c>
    </row>
    <row r="233" spans="1:6">
      <c r="A233" s="432">
        <v>92502</v>
      </c>
      <c r="B233" s="432" t="s">
        <v>950</v>
      </c>
      <c r="C233" s="433">
        <v>26380.260000000002</v>
      </c>
      <c r="E233" s="432">
        <v>92502</v>
      </c>
      <c r="F233" s="432" t="b">
        <f t="shared" si="3"/>
        <v>1</v>
      </c>
    </row>
    <row r="234" spans="1:6">
      <c r="A234" s="432">
        <v>92504</v>
      </c>
      <c r="B234" s="432" t="s">
        <v>951</v>
      </c>
      <c r="C234" s="433">
        <v>126493.04</v>
      </c>
      <c r="E234" s="432">
        <v>92504</v>
      </c>
      <c r="F234" s="432" t="b">
        <f t="shared" si="3"/>
        <v>1</v>
      </c>
    </row>
    <row r="235" spans="1:6">
      <c r="A235" s="432">
        <v>92505</v>
      </c>
      <c r="B235" s="432" t="s">
        <v>952</v>
      </c>
      <c r="C235" s="433">
        <v>133600.73000000001</v>
      </c>
      <c r="E235" s="432">
        <v>92505</v>
      </c>
      <c r="F235" s="432" t="b">
        <f t="shared" si="3"/>
        <v>1</v>
      </c>
    </row>
    <row r="236" spans="1:6">
      <c r="A236" s="432">
        <v>92506</v>
      </c>
      <c r="B236" s="432" t="s">
        <v>953</v>
      </c>
      <c r="C236" s="433">
        <v>98967.17</v>
      </c>
      <c r="E236" s="432">
        <v>92506</v>
      </c>
      <c r="F236" s="432" t="b">
        <f t="shared" si="3"/>
        <v>1</v>
      </c>
    </row>
    <row r="237" spans="1:6">
      <c r="A237" s="432">
        <v>92507</v>
      </c>
      <c r="B237" s="432" t="s">
        <v>954</v>
      </c>
      <c r="C237" s="433">
        <v>92248.53</v>
      </c>
      <c r="E237" s="432">
        <v>92507</v>
      </c>
      <c r="F237" s="432" t="b">
        <f t="shared" si="3"/>
        <v>1</v>
      </c>
    </row>
    <row r="238" spans="1:6">
      <c r="A238" s="432">
        <v>92508</v>
      </c>
      <c r="B238" s="432" t="s">
        <v>955</v>
      </c>
      <c r="C238" s="433">
        <v>346228.22</v>
      </c>
      <c r="E238" s="432">
        <v>92508</v>
      </c>
      <c r="F238" s="432" t="b">
        <f t="shared" si="3"/>
        <v>1</v>
      </c>
    </row>
    <row r="239" spans="1:6">
      <c r="A239" s="432">
        <v>92511</v>
      </c>
      <c r="B239" s="432" t="s">
        <v>956</v>
      </c>
      <c r="C239" s="433">
        <v>3567103.5</v>
      </c>
      <c r="E239" s="432">
        <v>92511</v>
      </c>
      <c r="F239" s="432" t="b">
        <f t="shared" si="3"/>
        <v>1</v>
      </c>
    </row>
    <row r="240" spans="1:6">
      <c r="A240" s="432">
        <v>92513</v>
      </c>
      <c r="B240" s="432" t="s">
        <v>957</v>
      </c>
      <c r="C240" s="433">
        <v>4719852.82</v>
      </c>
      <c r="E240" s="432">
        <v>92513</v>
      </c>
      <c r="F240" s="432" t="b">
        <f t="shared" si="3"/>
        <v>1</v>
      </c>
    </row>
    <row r="241" spans="1:6">
      <c r="A241" s="432">
        <v>92521</v>
      </c>
      <c r="B241" s="432" t="s">
        <v>958</v>
      </c>
      <c r="C241" s="433">
        <v>74711.520000000004</v>
      </c>
      <c r="E241" s="432">
        <v>92521</v>
      </c>
      <c r="F241" s="432" t="b">
        <f t="shared" si="3"/>
        <v>1</v>
      </c>
    </row>
    <row r="242" spans="1:6">
      <c r="A242" s="432">
        <v>92531</v>
      </c>
      <c r="B242" s="432" t="s">
        <v>959</v>
      </c>
      <c r="C242" s="433">
        <v>873248.66999999993</v>
      </c>
      <c r="E242" s="432">
        <v>92531</v>
      </c>
      <c r="F242" s="432" t="b">
        <f t="shared" si="3"/>
        <v>1</v>
      </c>
    </row>
    <row r="243" spans="1:6">
      <c r="A243" s="432">
        <v>92541</v>
      </c>
      <c r="B243" s="432" t="s">
        <v>960</v>
      </c>
      <c r="C243" s="433">
        <v>125481.22</v>
      </c>
      <c r="E243" s="432">
        <v>92541</v>
      </c>
      <c r="F243" s="432" t="b">
        <f t="shared" si="3"/>
        <v>1</v>
      </c>
    </row>
    <row r="244" spans="1:6">
      <c r="A244" s="432">
        <v>92551</v>
      </c>
      <c r="B244" s="432" t="s">
        <v>961</v>
      </c>
      <c r="C244" s="433">
        <v>50936.97</v>
      </c>
      <c r="E244" s="432">
        <v>92551</v>
      </c>
      <c r="F244" s="432" t="b">
        <f t="shared" si="3"/>
        <v>1</v>
      </c>
    </row>
    <row r="245" spans="1:6">
      <c r="A245" s="432">
        <v>92561</v>
      </c>
      <c r="B245" s="432" t="s">
        <v>962</v>
      </c>
      <c r="C245" s="433">
        <v>13295.36</v>
      </c>
      <c r="E245" s="432">
        <v>92561</v>
      </c>
      <c r="F245" s="432" t="b">
        <f t="shared" si="3"/>
        <v>1</v>
      </c>
    </row>
    <row r="246" spans="1:6">
      <c r="A246" s="432">
        <v>92571</v>
      </c>
      <c r="B246" s="432" t="s">
        <v>963</v>
      </c>
      <c r="C246" s="433">
        <v>8320.34</v>
      </c>
      <c r="E246" s="432">
        <v>92571</v>
      </c>
      <c r="F246" s="432" t="b">
        <f t="shared" si="3"/>
        <v>1</v>
      </c>
    </row>
    <row r="247" spans="1:6">
      <c r="A247" s="432">
        <v>92601</v>
      </c>
      <c r="B247" s="432" t="s">
        <v>964</v>
      </c>
      <c r="C247" s="433">
        <v>12936681.220000001</v>
      </c>
      <c r="E247" s="432">
        <v>92601</v>
      </c>
      <c r="F247" s="432" t="b">
        <f t="shared" si="3"/>
        <v>1</v>
      </c>
    </row>
    <row r="248" spans="1:6">
      <c r="A248" s="432">
        <v>92602</v>
      </c>
      <c r="B248" s="432" t="s">
        <v>965</v>
      </c>
      <c r="C248" s="433">
        <v>3516.93</v>
      </c>
      <c r="E248" s="432">
        <v>92602</v>
      </c>
      <c r="F248" s="432" t="b">
        <f t="shared" si="3"/>
        <v>1</v>
      </c>
    </row>
    <row r="249" spans="1:6">
      <c r="A249" s="432">
        <v>92604</v>
      </c>
      <c r="B249" s="432" t="s">
        <v>966</v>
      </c>
      <c r="C249" s="433">
        <v>320987.67</v>
      </c>
      <c r="E249" s="432">
        <v>92604</v>
      </c>
      <c r="F249" s="432" t="b">
        <f t="shared" si="3"/>
        <v>1</v>
      </c>
    </row>
    <row r="250" spans="1:6">
      <c r="A250" s="432">
        <v>92607</v>
      </c>
      <c r="B250" s="432" t="s">
        <v>967</v>
      </c>
      <c r="C250" s="433">
        <v>170920.17</v>
      </c>
      <c r="E250" s="432">
        <v>92607</v>
      </c>
      <c r="F250" s="432" t="b">
        <f t="shared" si="3"/>
        <v>1</v>
      </c>
    </row>
    <row r="251" spans="1:6">
      <c r="A251" s="432">
        <v>92611</v>
      </c>
      <c r="B251" s="432" t="s">
        <v>969</v>
      </c>
      <c r="C251" s="433">
        <v>11298764.829999998</v>
      </c>
      <c r="E251" s="432">
        <v>92611</v>
      </c>
      <c r="F251" s="432" t="b">
        <f t="shared" si="3"/>
        <v>1</v>
      </c>
    </row>
    <row r="252" spans="1:6">
      <c r="A252" s="432">
        <v>92613</v>
      </c>
      <c r="B252" s="432" t="s">
        <v>970</v>
      </c>
      <c r="C252" s="433">
        <v>236726.8</v>
      </c>
      <c r="E252" s="432">
        <v>92613</v>
      </c>
      <c r="F252" s="432" t="b">
        <f t="shared" si="3"/>
        <v>1</v>
      </c>
    </row>
    <row r="253" spans="1:6">
      <c r="A253" s="432">
        <v>92614</v>
      </c>
      <c r="B253" s="432" t="s">
        <v>971</v>
      </c>
      <c r="C253" s="433">
        <v>6845319</v>
      </c>
      <c r="E253" s="432">
        <v>92614</v>
      </c>
      <c r="F253" s="432" t="b">
        <f t="shared" si="3"/>
        <v>1</v>
      </c>
    </row>
    <row r="254" spans="1:6">
      <c r="A254" s="432">
        <v>92621</v>
      </c>
      <c r="B254" s="432" t="s">
        <v>972</v>
      </c>
      <c r="C254" s="433">
        <v>39654.78</v>
      </c>
      <c r="E254" s="432">
        <v>92621</v>
      </c>
      <c r="F254" s="432" t="b">
        <f t="shared" si="3"/>
        <v>1</v>
      </c>
    </row>
    <row r="255" spans="1:6">
      <c r="A255" s="432">
        <v>92631</v>
      </c>
      <c r="B255" s="432" t="s">
        <v>973</v>
      </c>
      <c r="C255" s="433">
        <v>837576.19</v>
      </c>
      <c r="E255" s="432">
        <v>92631</v>
      </c>
      <c r="F255" s="432" t="b">
        <f t="shared" si="3"/>
        <v>1</v>
      </c>
    </row>
    <row r="256" spans="1:6">
      <c r="A256" s="432">
        <v>92641</v>
      </c>
      <c r="B256" s="432" t="s">
        <v>974</v>
      </c>
      <c r="C256" s="433">
        <v>15120.05</v>
      </c>
      <c r="E256" s="432">
        <v>92641</v>
      </c>
      <c r="F256" s="432" t="b">
        <f t="shared" si="3"/>
        <v>1</v>
      </c>
    </row>
    <row r="257" spans="1:6">
      <c r="A257" s="432">
        <v>92651</v>
      </c>
      <c r="B257" s="432" t="s">
        <v>975</v>
      </c>
      <c r="C257" s="433">
        <v>5126.16</v>
      </c>
      <c r="E257" s="432">
        <v>92651</v>
      </c>
      <c r="F257" s="432" t="b">
        <f t="shared" si="3"/>
        <v>1</v>
      </c>
    </row>
    <row r="258" spans="1:6">
      <c r="A258" s="432">
        <v>92661</v>
      </c>
      <c r="B258" s="432" t="s">
        <v>976</v>
      </c>
      <c r="C258" s="433">
        <v>685048.94</v>
      </c>
      <c r="E258" s="432">
        <v>92661</v>
      </c>
      <c r="F258" s="432" t="b">
        <f t="shared" si="3"/>
        <v>1</v>
      </c>
    </row>
    <row r="259" spans="1:6">
      <c r="A259" s="432">
        <v>92671</v>
      </c>
      <c r="B259" s="432" t="s">
        <v>977</v>
      </c>
      <c r="C259" s="433">
        <v>9344.85</v>
      </c>
      <c r="E259" s="432">
        <v>92671</v>
      </c>
      <c r="F259" s="432" t="b">
        <f t="shared" ref="F259:F322" si="4">E259=A259</f>
        <v>1</v>
      </c>
    </row>
    <row r="260" spans="1:6">
      <c r="A260" s="432">
        <v>92681</v>
      </c>
      <c r="B260" s="432" t="s">
        <v>978</v>
      </c>
      <c r="C260" s="433">
        <v>5891.53</v>
      </c>
      <c r="E260" s="432">
        <v>92681</v>
      </c>
      <c r="F260" s="432" t="b">
        <f t="shared" si="4"/>
        <v>1</v>
      </c>
    </row>
    <row r="261" spans="1:6">
      <c r="A261" s="432">
        <v>92701</v>
      </c>
      <c r="B261" s="432" t="s">
        <v>979</v>
      </c>
      <c r="C261" s="433">
        <v>3020209.7199999997</v>
      </c>
      <c r="E261" s="432">
        <v>92701</v>
      </c>
      <c r="F261" s="432" t="b">
        <f t="shared" si="4"/>
        <v>1</v>
      </c>
    </row>
    <row r="262" spans="1:6">
      <c r="A262" s="432">
        <v>92704</v>
      </c>
      <c r="B262" s="432" t="s">
        <v>980</v>
      </c>
      <c r="C262" s="433">
        <v>38199.35</v>
      </c>
      <c r="E262" s="432">
        <v>92704</v>
      </c>
      <c r="F262" s="432" t="b">
        <f t="shared" si="4"/>
        <v>1</v>
      </c>
    </row>
    <row r="263" spans="1:6">
      <c r="A263" s="432">
        <v>92801</v>
      </c>
      <c r="B263" s="432" t="s">
        <v>981</v>
      </c>
      <c r="C263" s="433">
        <v>5474219.3200000003</v>
      </c>
      <c r="E263" s="432">
        <v>92801</v>
      </c>
      <c r="F263" s="432" t="b">
        <f t="shared" si="4"/>
        <v>1</v>
      </c>
    </row>
    <row r="264" spans="1:6">
      <c r="A264" s="432">
        <v>92802</v>
      </c>
      <c r="B264" s="432" t="s">
        <v>982</v>
      </c>
      <c r="C264" s="433">
        <v>160118.35999999999</v>
      </c>
      <c r="E264" s="432">
        <v>92802</v>
      </c>
      <c r="F264" s="432" t="b">
        <f t="shared" si="4"/>
        <v>1</v>
      </c>
    </row>
    <row r="265" spans="1:6">
      <c r="A265" s="432">
        <v>92804</v>
      </c>
      <c r="B265" s="432" t="s">
        <v>983</v>
      </c>
      <c r="C265" s="433">
        <v>135897.48000000001</v>
      </c>
      <c r="E265" s="432">
        <v>92804</v>
      </c>
      <c r="F265" s="432" t="b">
        <f t="shared" si="4"/>
        <v>1</v>
      </c>
    </row>
    <row r="266" spans="1:6">
      <c r="A266" s="432">
        <v>92811</v>
      </c>
      <c r="B266" s="432" t="s">
        <v>984</v>
      </c>
      <c r="C266" s="433">
        <v>983984.2699999999</v>
      </c>
      <c r="E266" s="432">
        <v>92811</v>
      </c>
      <c r="F266" s="432" t="b">
        <f t="shared" si="4"/>
        <v>1</v>
      </c>
    </row>
    <row r="267" spans="1:6">
      <c r="A267" s="432">
        <v>92821</v>
      </c>
      <c r="B267" s="432" t="s">
        <v>985</v>
      </c>
      <c r="C267" s="433">
        <v>1104719.6599999999</v>
      </c>
      <c r="E267" s="432">
        <v>92821</v>
      </c>
      <c r="F267" s="432" t="b">
        <f t="shared" si="4"/>
        <v>1</v>
      </c>
    </row>
    <row r="268" spans="1:6">
      <c r="A268" s="432">
        <v>92831</v>
      </c>
      <c r="B268" s="432" t="s">
        <v>986</v>
      </c>
      <c r="C268" s="433">
        <v>287185.74</v>
      </c>
      <c r="E268" s="432">
        <v>92831</v>
      </c>
      <c r="F268" s="432" t="b">
        <f t="shared" si="4"/>
        <v>1</v>
      </c>
    </row>
    <row r="269" spans="1:6">
      <c r="A269" s="432">
        <v>92841</v>
      </c>
      <c r="B269" s="432" t="s">
        <v>987</v>
      </c>
      <c r="C269" s="433">
        <v>251701.8</v>
      </c>
      <c r="E269" s="432">
        <v>92841</v>
      </c>
      <c r="F269" s="432" t="b">
        <f t="shared" si="4"/>
        <v>1</v>
      </c>
    </row>
    <row r="270" spans="1:6">
      <c r="A270" s="432">
        <v>92851</v>
      </c>
      <c r="B270" s="432" t="s">
        <v>988</v>
      </c>
      <c r="C270" s="433">
        <v>391399.98</v>
      </c>
      <c r="E270" s="432">
        <v>92851</v>
      </c>
      <c r="F270" s="432" t="b">
        <f t="shared" si="4"/>
        <v>1</v>
      </c>
    </row>
    <row r="271" spans="1:6">
      <c r="A271" s="432">
        <v>92861</v>
      </c>
      <c r="B271" s="432" t="s">
        <v>989</v>
      </c>
      <c r="C271" s="433">
        <v>361622.83999999997</v>
      </c>
      <c r="E271" s="432">
        <v>92861</v>
      </c>
      <c r="F271" s="432" t="b">
        <f t="shared" si="4"/>
        <v>1</v>
      </c>
    </row>
    <row r="272" spans="1:6">
      <c r="A272" s="432">
        <v>92901</v>
      </c>
      <c r="B272" s="432" t="s">
        <v>990</v>
      </c>
      <c r="C272" s="433">
        <v>5469444.0900000008</v>
      </c>
      <c r="E272" s="432">
        <v>92901</v>
      </c>
      <c r="F272" s="432" t="b">
        <f t="shared" si="4"/>
        <v>1</v>
      </c>
    </row>
    <row r="273" spans="1:6">
      <c r="A273" s="432">
        <v>92911</v>
      </c>
      <c r="B273" s="432" t="s">
        <v>991</v>
      </c>
      <c r="C273" s="433">
        <v>1919882.95</v>
      </c>
      <c r="E273" s="432">
        <v>92911</v>
      </c>
      <c r="F273" s="432" t="b">
        <f t="shared" si="4"/>
        <v>1</v>
      </c>
    </row>
    <row r="274" spans="1:6">
      <c r="A274" s="432">
        <v>92913</v>
      </c>
      <c r="B274" s="432" t="s">
        <v>992</v>
      </c>
      <c r="C274" s="433">
        <v>49207.96</v>
      </c>
      <c r="E274" s="432">
        <v>92913</v>
      </c>
      <c r="F274" s="432" t="b">
        <f t="shared" si="4"/>
        <v>1</v>
      </c>
    </row>
    <row r="275" spans="1:6">
      <c r="A275" s="432">
        <v>92914</v>
      </c>
      <c r="B275" s="432" t="s">
        <v>993</v>
      </c>
      <c r="C275" s="433">
        <v>40798.17</v>
      </c>
      <c r="E275" s="432">
        <v>92914</v>
      </c>
      <c r="F275" s="432" t="b">
        <f t="shared" si="4"/>
        <v>1</v>
      </c>
    </row>
    <row r="276" spans="1:6">
      <c r="A276" s="432">
        <v>92917</v>
      </c>
      <c r="B276" s="432" t="s">
        <v>994</v>
      </c>
      <c r="C276" s="433">
        <v>50534.63</v>
      </c>
      <c r="E276" s="432">
        <v>92917</v>
      </c>
      <c r="F276" s="432" t="b">
        <f t="shared" si="4"/>
        <v>1</v>
      </c>
    </row>
    <row r="277" spans="1:6">
      <c r="A277" s="432">
        <v>92921</v>
      </c>
      <c r="B277" s="432" t="s">
        <v>995</v>
      </c>
      <c r="C277" s="433">
        <v>118592.01</v>
      </c>
      <c r="E277" s="432">
        <v>92921</v>
      </c>
      <c r="F277" s="432" t="b">
        <f t="shared" si="4"/>
        <v>1</v>
      </c>
    </row>
    <row r="278" spans="1:6">
      <c r="A278" s="432">
        <v>92931</v>
      </c>
      <c r="B278" s="432" t="s">
        <v>996</v>
      </c>
      <c r="C278" s="433">
        <v>2353292.81</v>
      </c>
      <c r="E278" s="432">
        <v>92931</v>
      </c>
      <c r="F278" s="432" t="b">
        <f t="shared" si="4"/>
        <v>1</v>
      </c>
    </row>
    <row r="279" spans="1:6">
      <c r="A279" s="432">
        <v>92941</v>
      </c>
      <c r="B279" s="432" t="s">
        <v>81</v>
      </c>
      <c r="C279" s="433">
        <v>1651.8999999999999</v>
      </c>
      <c r="E279" s="432">
        <v>92941</v>
      </c>
      <c r="F279" s="432" t="b">
        <f t="shared" si="4"/>
        <v>1</v>
      </c>
    </row>
    <row r="280" spans="1:6">
      <c r="A280" s="432">
        <v>93001</v>
      </c>
      <c r="B280" s="432" t="s">
        <v>997</v>
      </c>
      <c r="C280" s="433">
        <v>2550495.6</v>
      </c>
      <c r="E280" s="432">
        <v>93001</v>
      </c>
      <c r="F280" s="432" t="b">
        <f t="shared" si="4"/>
        <v>1</v>
      </c>
    </row>
    <row r="281" spans="1:6">
      <c r="A281" s="432">
        <v>93009</v>
      </c>
      <c r="B281" s="432" t="s">
        <v>998</v>
      </c>
      <c r="C281" s="433">
        <v>5148.12</v>
      </c>
      <c r="E281" s="432">
        <v>93009</v>
      </c>
      <c r="F281" s="432" t="b">
        <f t="shared" si="4"/>
        <v>1</v>
      </c>
    </row>
    <row r="282" spans="1:6">
      <c r="A282" s="432">
        <v>93011</v>
      </c>
      <c r="B282" s="432" t="s">
        <v>999</v>
      </c>
      <c r="C282" s="433">
        <v>168935.02</v>
      </c>
      <c r="E282" s="432">
        <v>93011</v>
      </c>
      <c r="F282" s="432" t="b">
        <f t="shared" si="4"/>
        <v>1</v>
      </c>
    </row>
    <row r="283" spans="1:6">
      <c r="A283" s="432">
        <v>93021</v>
      </c>
      <c r="B283" s="432" t="s">
        <v>1000</v>
      </c>
      <c r="C283" s="433">
        <v>28905.81</v>
      </c>
      <c r="E283" s="432">
        <v>93021</v>
      </c>
      <c r="F283" s="432" t="b">
        <f t="shared" si="4"/>
        <v>1</v>
      </c>
    </row>
    <row r="284" spans="1:6">
      <c r="A284" s="432">
        <v>93028</v>
      </c>
      <c r="B284" s="432" t="s">
        <v>3609</v>
      </c>
      <c r="C284" s="433">
        <v>13044.88</v>
      </c>
      <c r="E284" s="432">
        <v>93028</v>
      </c>
      <c r="F284" s="432" t="b">
        <f t="shared" si="4"/>
        <v>1</v>
      </c>
    </row>
    <row r="285" spans="1:6">
      <c r="A285" s="432">
        <v>93031</v>
      </c>
      <c r="B285" s="432" t="s">
        <v>1002</v>
      </c>
      <c r="C285" s="433">
        <v>18872.39</v>
      </c>
      <c r="E285" s="432">
        <v>93031</v>
      </c>
      <c r="F285" s="432" t="b">
        <f t="shared" si="4"/>
        <v>1</v>
      </c>
    </row>
    <row r="286" spans="1:6">
      <c r="A286" s="432">
        <v>93101</v>
      </c>
      <c r="B286" s="432" t="s">
        <v>1003</v>
      </c>
      <c r="C286" s="433">
        <v>2907759.6399999997</v>
      </c>
      <c r="E286" s="432">
        <v>93101</v>
      </c>
      <c r="F286" s="432" t="b">
        <f t="shared" si="4"/>
        <v>1</v>
      </c>
    </row>
    <row r="287" spans="1:6">
      <c r="A287" s="432">
        <v>93108</v>
      </c>
      <c r="B287" s="432" t="s">
        <v>1004</v>
      </c>
      <c r="C287" s="433">
        <v>3551039.4</v>
      </c>
      <c r="E287" s="432">
        <v>93108</v>
      </c>
      <c r="F287" s="432" t="b">
        <f t="shared" si="4"/>
        <v>1</v>
      </c>
    </row>
    <row r="288" spans="1:6">
      <c r="A288" s="432">
        <v>93111</v>
      </c>
      <c r="B288" s="432" t="s">
        <v>1005</v>
      </c>
      <c r="C288" s="433">
        <v>64520.350000000006</v>
      </c>
      <c r="E288" s="432">
        <v>93111</v>
      </c>
      <c r="F288" s="432" t="b">
        <f t="shared" si="4"/>
        <v>1</v>
      </c>
    </row>
    <row r="289" spans="1:6">
      <c r="A289" s="432">
        <v>93121</v>
      </c>
      <c r="B289" s="432" t="s">
        <v>1006</v>
      </c>
      <c r="C289" s="433">
        <v>47586</v>
      </c>
      <c r="E289" s="432">
        <v>93121</v>
      </c>
      <c r="F289" s="432" t="b">
        <f t="shared" si="4"/>
        <v>1</v>
      </c>
    </row>
    <row r="290" spans="1:6">
      <c r="A290" s="432">
        <v>93127</v>
      </c>
      <c r="B290" s="432" t="s">
        <v>1007</v>
      </c>
      <c r="C290" s="433">
        <v>8182.22</v>
      </c>
      <c r="E290" s="432">
        <v>93127</v>
      </c>
      <c r="F290" s="432" t="b">
        <f t="shared" si="4"/>
        <v>1</v>
      </c>
    </row>
    <row r="291" spans="1:6">
      <c r="A291" s="432">
        <v>93131</v>
      </c>
      <c r="B291" s="432" t="s">
        <v>1008</v>
      </c>
      <c r="C291" s="433">
        <v>171508.11000000002</v>
      </c>
      <c r="E291" s="432">
        <v>93131</v>
      </c>
      <c r="F291" s="432" t="b">
        <f t="shared" si="4"/>
        <v>1</v>
      </c>
    </row>
    <row r="292" spans="1:6">
      <c r="A292" s="432">
        <v>93137</v>
      </c>
      <c r="B292" s="432" t="s">
        <v>1009</v>
      </c>
      <c r="C292" s="433">
        <v>7776.86</v>
      </c>
      <c r="E292" s="432">
        <v>93137</v>
      </c>
      <c r="F292" s="432" t="b">
        <f t="shared" si="4"/>
        <v>1</v>
      </c>
    </row>
    <row r="293" spans="1:6">
      <c r="A293" s="432">
        <v>93141</v>
      </c>
      <c r="B293" s="432" t="s">
        <v>1010</v>
      </c>
      <c r="C293" s="433">
        <v>41745.56</v>
      </c>
      <c r="E293" s="432">
        <v>93141</v>
      </c>
      <c r="F293" s="432" t="b">
        <f t="shared" si="4"/>
        <v>1</v>
      </c>
    </row>
    <row r="294" spans="1:6">
      <c r="A294" s="432">
        <v>93151</v>
      </c>
      <c r="B294" s="432" t="s">
        <v>1011</v>
      </c>
      <c r="C294" s="433">
        <v>341693.77999999997</v>
      </c>
      <c r="E294" s="432">
        <v>93151</v>
      </c>
      <c r="F294" s="432" t="b">
        <f t="shared" si="4"/>
        <v>1</v>
      </c>
    </row>
    <row r="295" spans="1:6">
      <c r="A295" s="432">
        <v>93157</v>
      </c>
      <c r="B295" s="432" t="s">
        <v>1012</v>
      </c>
      <c r="C295" s="433">
        <v>15951.32</v>
      </c>
      <c r="E295" s="432">
        <v>93157</v>
      </c>
      <c r="F295" s="432" t="b">
        <f t="shared" si="4"/>
        <v>1</v>
      </c>
    </row>
    <row r="296" spans="1:6">
      <c r="A296" s="432">
        <v>93161</v>
      </c>
      <c r="B296" s="432" t="s">
        <v>1013</v>
      </c>
      <c r="C296" s="433">
        <v>67655.86</v>
      </c>
      <c r="E296" s="432">
        <v>93161</v>
      </c>
      <c r="F296" s="432" t="b">
        <f t="shared" si="4"/>
        <v>1</v>
      </c>
    </row>
    <row r="297" spans="1:6">
      <c r="A297" s="432">
        <v>93171</v>
      </c>
      <c r="B297" s="432" t="s">
        <v>1014</v>
      </c>
      <c r="C297" s="433">
        <v>11441.55</v>
      </c>
      <c r="E297" s="432">
        <v>93171</v>
      </c>
      <c r="F297" s="432" t="b">
        <f t="shared" si="4"/>
        <v>1</v>
      </c>
    </row>
    <row r="298" spans="1:6">
      <c r="A298" s="432">
        <v>93181</v>
      </c>
      <c r="B298" s="432" t="s">
        <v>1015</v>
      </c>
      <c r="C298" s="433">
        <v>14656.58</v>
      </c>
      <c r="E298" s="432">
        <v>93181</v>
      </c>
      <c r="F298" s="432" t="b">
        <f t="shared" si="4"/>
        <v>1</v>
      </c>
    </row>
    <row r="299" spans="1:6">
      <c r="A299" s="432">
        <v>93191</v>
      </c>
      <c r="B299" s="432" t="s">
        <v>1016</v>
      </c>
      <c r="C299" s="433">
        <v>38436.81</v>
      </c>
      <c r="E299" s="432">
        <v>93191</v>
      </c>
      <c r="F299" s="432" t="b">
        <f t="shared" si="4"/>
        <v>1</v>
      </c>
    </row>
    <row r="300" spans="1:6">
      <c r="A300" s="432">
        <v>93201</v>
      </c>
      <c r="B300" s="432" t="s">
        <v>1017</v>
      </c>
      <c r="C300" s="433">
        <v>16293107.790000003</v>
      </c>
      <c r="E300" s="432">
        <v>93201</v>
      </c>
      <c r="F300" s="432" t="b">
        <f t="shared" si="4"/>
        <v>1</v>
      </c>
    </row>
    <row r="301" spans="1:6">
      <c r="A301" s="432">
        <v>93204</v>
      </c>
      <c r="B301" s="432" t="s">
        <v>1019</v>
      </c>
      <c r="C301" s="433">
        <v>368819.97</v>
      </c>
      <c r="E301" s="432">
        <v>93204</v>
      </c>
      <c r="F301" s="432" t="b">
        <f t="shared" si="4"/>
        <v>1</v>
      </c>
    </row>
    <row r="302" spans="1:6">
      <c r="A302" s="432">
        <v>93209</v>
      </c>
      <c r="B302" s="432" t="s">
        <v>3722</v>
      </c>
      <c r="C302" s="433">
        <v>9213086.4199999999</v>
      </c>
      <c r="E302" s="432">
        <v>93209</v>
      </c>
      <c r="F302" s="432" t="b">
        <f t="shared" si="4"/>
        <v>1</v>
      </c>
    </row>
    <row r="303" spans="1:6">
      <c r="A303" s="432">
        <v>93211</v>
      </c>
      <c r="B303" s="432" t="s">
        <v>1021</v>
      </c>
      <c r="C303" s="433">
        <v>21687992.580000002</v>
      </c>
      <c r="E303" s="432">
        <v>93211</v>
      </c>
      <c r="F303" s="432" t="b">
        <f t="shared" si="4"/>
        <v>1</v>
      </c>
    </row>
    <row r="304" spans="1:6">
      <c r="A304" s="432">
        <v>93212</v>
      </c>
      <c r="B304" s="432" t="s">
        <v>1022</v>
      </c>
      <c r="C304" s="433">
        <v>325827.62</v>
      </c>
      <c r="E304" s="432">
        <v>93212</v>
      </c>
      <c r="F304" s="432" t="b">
        <f t="shared" si="4"/>
        <v>1</v>
      </c>
    </row>
    <row r="305" spans="1:6">
      <c r="A305" s="432">
        <v>93219</v>
      </c>
      <c r="B305" s="432" t="s">
        <v>1023</v>
      </c>
      <c r="C305" s="433">
        <v>322244.09999999998</v>
      </c>
      <c r="E305" s="432">
        <v>93219</v>
      </c>
      <c r="F305" s="432" t="b">
        <f t="shared" si="4"/>
        <v>1</v>
      </c>
    </row>
    <row r="306" spans="1:6">
      <c r="A306" s="432">
        <v>93301</v>
      </c>
      <c r="B306" s="432" t="s">
        <v>1024</v>
      </c>
      <c r="C306" s="433">
        <v>2388304.15</v>
      </c>
      <c r="E306" s="432">
        <v>93301</v>
      </c>
      <c r="F306" s="432" t="b">
        <f t="shared" si="4"/>
        <v>1</v>
      </c>
    </row>
    <row r="307" spans="1:6">
      <c r="A307" s="432">
        <v>93304</v>
      </c>
      <c r="B307" s="432" t="s">
        <v>1025</v>
      </c>
      <c r="C307" s="433">
        <v>44508.43</v>
      </c>
      <c r="E307" s="432">
        <v>93304</v>
      </c>
      <c r="F307" s="432" t="b">
        <f t="shared" si="4"/>
        <v>1</v>
      </c>
    </row>
    <row r="308" spans="1:6">
      <c r="A308" s="432">
        <v>93305</v>
      </c>
      <c r="B308" s="432" t="s">
        <v>1026</v>
      </c>
      <c r="C308" s="433">
        <v>33737.379999999997</v>
      </c>
      <c r="E308" s="432">
        <v>93305</v>
      </c>
      <c r="F308" s="432" t="b">
        <f t="shared" si="4"/>
        <v>1</v>
      </c>
    </row>
    <row r="309" spans="1:6">
      <c r="A309" s="432">
        <v>93309</v>
      </c>
      <c r="B309" s="432" t="s">
        <v>1027</v>
      </c>
      <c r="C309" s="433">
        <v>199965.83</v>
      </c>
      <c r="E309" s="432">
        <v>93309</v>
      </c>
      <c r="F309" s="432" t="b">
        <f t="shared" si="4"/>
        <v>1</v>
      </c>
    </row>
    <row r="310" spans="1:6">
      <c r="A310" s="432">
        <v>93311</v>
      </c>
      <c r="B310" s="432" t="s">
        <v>1028</v>
      </c>
      <c r="C310" s="433">
        <v>1147980.9200000002</v>
      </c>
      <c r="E310" s="432">
        <v>93311</v>
      </c>
      <c r="F310" s="432" t="b">
        <f t="shared" si="4"/>
        <v>1</v>
      </c>
    </row>
    <row r="311" spans="1:6">
      <c r="A311" s="432">
        <v>93317</v>
      </c>
      <c r="B311" s="432" t="s">
        <v>1029</v>
      </c>
      <c r="C311" s="433">
        <v>44191.71</v>
      </c>
      <c r="E311" s="432">
        <v>93317</v>
      </c>
      <c r="F311" s="432" t="b">
        <f t="shared" si="4"/>
        <v>1</v>
      </c>
    </row>
    <row r="312" spans="1:6">
      <c r="A312" s="432">
        <v>93321</v>
      </c>
      <c r="B312" s="432" t="s">
        <v>1030</v>
      </c>
      <c r="C312" s="433">
        <v>6949326.21</v>
      </c>
      <c r="E312" s="432">
        <v>93321</v>
      </c>
      <c r="F312" s="432" t="b">
        <f t="shared" si="4"/>
        <v>1</v>
      </c>
    </row>
    <row r="313" spans="1:6">
      <c r="A313" s="432">
        <v>93323</v>
      </c>
      <c r="B313" s="432" t="s">
        <v>1031</v>
      </c>
      <c r="C313" s="433">
        <v>40962.639999999999</v>
      </c>
      <c r="E313" s="432">
        <v>93323</v>
      </c>
      <c r="F313" s="432" t="b">
        <f t="shared" si="4"/>
        <v>1</v>
      </c>
    </row>
    <row r="314" spans="1:6">
      <c r="A314" s="432">
        <v>93331</v>
      </c>
      <c r="B314" s="432" t="s">
        <v>1032</v>
      </c>
      <c r="C314" s="433">
        <v>111136.38</v>
      </c>
      <c r="E314" s="432">
        <v>93331</v>
      </c>
      <c r="F314" s="432" t="b">
        <f t="shared" si="4"/>
        <v>1</v>
      </c>
    </row>
    <row r="315" spans="1:6">
      <c r="A315" s="432">
        <v>93333</v>
      </c>
      <c r="B315" s="432" t="s">
        <v>1033</v>
      </c>
      <c r="C315" s="433">
        <v>209668.86</v>
      </c>
      <c r="E315" s="432">
        <v>93333</v>
      </c>
      <c r="F315" s="432" t="b">
        <f t="shared" si="4"/>
        <v>1</v>
      </c>
    </row>
    <row r="316" spans="1:6">
      <c r="A316" s="432">
        <v>93341</v>
      </c>
      <c r="B316" s="432" t="s">
        <v>1034</v>
      </c>
      <c r="C316" s="433">
        <v>39141.78</v>
      </c>
      <c r="E316" s="432">
        <v>93341</v>
      </c>
      <c r="F316" s="432" t="b">
        <f t="shared" si="4"/>
        <v>1</v>
      </c>
    </row>
    <row r="317" spans="1:6">
      <c r="A317" s="432">
        <v>93351</v>
      </c>
      <c r="B317" s="432" t="s">
        <v>1035</v>
      </c>
      <c r="C317" s="433">
        <v>19685.84</v>
      </c>
      <c r="E317" s="432">
        <v>93351</v>
      </c>
      <c r="F317" s="432" t="b">
        <f t="shared" si="4"/>
        <v>1</v>
      </c>
    </row>
    <row r="318" spans="1:6">
      <c r="A318" s="432">
        <v>93401</v>
      </c>
      <c r="B318" s="432" t="s">
        <v>1036</v>
      </c>
      <c r="C318" s="433">
        <v>14385381.449999997</v>
      </c>
      <c r="E318" s="432">
        <v>93401</v>
      </c>
      <c r="F318" s="432" t="b">
        <f t="shared" si="4"/>
        <v>1</v>
      </c>
    </row>
    <row r="319" spans="1:6">
      <c r="A319" s="432">
        <v>93406</v>
      </c>
      <c r="B319" s="432" t="s">
        <v>1038</v>
      </c>
      <c r="C319" s="433">
        <v>602588.86</v>
      </c>
      <c r="E319" s="432">
        <v>93406</v>
      </c>
      <c r="F319" s="432" t="b">
        <f t="shared" si="4"/>
        <v>1</v>
      </c>
    </row>
    <row r="320" spans="1:6">
      <c r="A320" s="432">
        <v>93411</v>
      </c>
      <c r="B320" s="432" t="s">
        <v>1040</v>
      </c>
      <c r="C320" s="433">
        <v>17062787.890000001</v>
      </c>
      <c r="E320" s="432">
        <v>93411</v>
      </c>
      <c r="F320" s="432" t="b">
        <f t="shared" si="4"/>
        <v>1</v>
      </c>
    </row>
    <row r="321" spans="1:6">
      <c r="A321" s="432">
        <v>93413</v>
      </c>
      <c r="B321" s="432" t="s">
        <v>1041</v>
      </c>
      <c r="C321" s="433">
        <v>637466.96</v>
      </c>
      <c r="E321" s="432">
        <v>93413</v>
      </c>
      <c r="F321" s="432" t="b">
        <f t="shared" si="4"/>
        <v>1</v>
      </c>
    </row>
    <row r="322" spans="1:6">
      <c r="A322" s="432">
        <v>93417</v>
      </c>
      <c r="B322" s="432" t="s">
        <v>1042</v>
      </c>
      <c r="C322" s="433">
        <v>365252.75</v>
      </c>
      <c r="E322" s="432">
        <v>93417</v>
      </c>
      <c r="F322" s="432" t="b">
        <f t="shared" si="4"/>
        <v>1</v>
      </c>
    </row>
    <row r="323" spans="1:6">
      <c r="A323" s="432">
        <v>93421</v>
      </c>
      <c r="B323" s="432" t="s">
        <v>1043</v>
      </c>
      <c r="C323" s="433">
        <v>1855616.18</v>
      </c>
      <c r="E323" s="432">
        <v>93421</v>
      </c>
      <c r="F323" s="432" t="b">
        <f t="shared" ref="F323:F386" si="5">E323=A323</f>
        <v>1</v>
      </c>
    </row>
    <row r="324" spans="1:6">
      <c r="A324" s="432">
        <v>93431</v>
      </c>
      <c r="B324" s="432" t="s">
        <v>1044</v>
      </c>
      <c r="C324" s="433">
        <v>138053.24</v>
      </c>
      <c r="E324" s="432">
        <v>93431</v>
      </c>
      <c r="F324" s="432" t="b">
        <f t="shared" si="5"/>
        <v>1</v>
      </c>
    </row>
    <row r="325" spans="1:6">
      <c r="A325" s="432">
        <v>93441</v>
      </c>
      <c r="B325" s="432" t="s">
        <v>1045</v>
      </c>
      <c r="C325" s="433">
        <v>161937.23000000001</v>
      </c>
      <c r="E325" s="432">
        <v>93441</v>
      </c>
      <c r="F325" s="432" t="b">
        <f t="shared" si="5"/>
        <v>1</v>
      </c>
    </row>
    <row r="326" spans="1:6">
      <c r="A326" s="432">
        <v>93442</v>
      </c>
      <c r="B326" s="432" t="s">
        <v>1046</v>
      </c>
      <c r="C326" s="433">
        <v>148447.73000000001</v>
      </c>
      <c r="E326" s="432">
        <v>93442</v>
      </c>
      <c r="F326" s="432" t="b">
        <f t="shared" si="5"/>
        <v>1</v>
      </c>
    </row>
    <row r="327" spans="1:6">
      <c r="A327" s="432">
        <v>93451</v>
      </c>
      <c r="B327" s="432" t="s">
        <v>1047</v>
      </c>
      <c r="C327" s="433">
        <v>97359.78</v>
      </c>
      <c r="E327" s="432">
        <v>93451</v>
      </c>
      <c r="F327" s="432" t="b">
        <f t="shared" si="5"/>
        <v>1</v>
      </c>
    </row>
    <row r="328" spans="1:6">
      <c r="A328" s="432">
        <v>93461</v>
      </c>
      <c r="B328" s="432" t="s">
        <v>1048</v>
      </c>
      <c r="C328" s="433">
        <v>14991.72</v>
      </c>
      <c r="E328" s="432">
        <v>93461</v>
      </c>
      <c r="F328" s="432" t="b">
        <f t="shared" si="5"/>
        <v>1</v>
      </c>
    </row>
    <row r="329" spans="1:6">
      <c r="A329" s="432">
        <v>93471</v>
      </c>
      <c r="B329" s="432" t="s">
        <v>1049</v>
      </c>
      <c r="C329" s="433">
        <v>18876.93</v>
      </c>
      <c r="E329" s="432">
        <v>93471</v>
      </c>
      <c r="F329" s="432" t="b">
        <f t="shared" si="5"/>
        <v>1</v>
      </c>
    </row>
    <row r="330" spans="1:6">
      <c r="A330" s="432">
        <v>93501</v>
      </c>
      <c r="B330" s="432" t="s">
        <v>1050</v>
      </c>
      <c r="C330" s="433">
        <v>3626484.4699999997</v>
      </c>
      <c r="E330" s="432">
        <v>93501</v>
      </c>
      <c r="F330" s="432" t="b">
        <f t="shared" si="5"/>
        <v>1</v>
      </c>
    </row>
    <row r="331" spans="1:6">
      <c r="A331" s="432">
        <v>93511</v>
      </c>
      <c r="B331" s="432" t="s">
        <v>1051</v>
      </c>
      <c r="C331" s="433">
        <v>105562.76000000001</v>
      </c>
      <c r="E331" s="432">
        <v>93511</v>
      </c>
      <c r="F331" s="432" t="b">
        <f t="shared" si="5"/>
        <v>1</v>
      </c>
    </row>
    <row r="332" spans="1:6">
      <c r="A332" s="432">
        <v>93517</v>
      </c>
      <c r="B332" s="432" t="s">
        <v>1052</v>
      </c>
      <c r="C332" s="433">
        <v>11672.16</v>
      </c>
      <c r="E332" s="432">
        <v>93517</v>
      </c>
      <c r="F332" s="432" t="b">
        <f t="shared" si="5"/>
        <v>1</v>
      </c>
    </row>
    <row r="333" spans="1:6">
      <c r="A333" s="432">
        <v>93521</v>
      </c>
      <c r="B333" s="432" t="s">
        <v>1053</v>
      </c>
      <c r="C333" s="433">
        <v>450744.29000000004</v>
      </c>
      <c r="E333" s="432">
        <v>93521</v>
      </c>
      <c r="F333" s="432" t="b">
        <f t="shared" si="5"/>
        <v>1</v>
      </c>
    </row>
    <row r="334" spans="1:6">
      <c r="A334" s="432">
        <v>93527</v>
      </c>
      <c r="B334" s="432" t="s">
        <v>1054</v>
      </c>
      <c r="C334" s="433">
        <v>17323.53</v>
      </c>
      <c r="E334" s="432">
        <v>93527</v>
      </c>
      <c r="F334" s="432" t="b">
        <f t="shared" si="5"/>
        <v>1</v>
      </c>
    </row>
    <row r="335" spans="1:6">
      <c r="A335" s="432">
        <v>93531</v>
      </c>
      <c r="B335" s="432" t="s">
        <v>1055</v>
      </c>
      <c r="C335" s="433">
        <v>23987.66</v>
      </c>
      <c r="E335" s="432">
        <v>93531</v>
      </c>
      <c r="F335" s="432" t="b">
        <f t="shared" si="5"/>
        <v>1</v>
      </c>
    </row>
    <row r="336" spans="1:6">
      <c r="A336" s="432">
        <v>93537</v>
      </c>
      <c r="B336" s="432" t="s">
        <v>1056</v>
      </c>
      <c r="C336" s="433">
        <v>7705.92</v>
      </c>
      <c r="E336" s="432">
        <v>93537</v>
      </c>
      <c r="F336" s="432" t="b">
        <f t="shared" si="5"/>
        <v>1</v>
      </c>
    </row>
    <row r="337" spans="1:6">
      <c r="A337" s="432">
        <v>93541</v>
      </c>
      <c r="B337" s="432" t="s">
        <v>1057</v>
      </c>
      <c r="C337" s="433">
        <v>188790.37</v>
      </c>
      <c r="E337" s="432">
        <v>93541</v>
      </c>
      <c r="F337" s="432" t="b">
        <f t="shared" si="5"/>
        <v>1</v>
      </c>
    </row>
    <row r="338" spans="1:6">
      <c r="A338" s="432">
        <v>93601</v>
      </c>
      <c r="B338" s="432" t="s">
        <v>1058</v>
      </c>
      <c r="C338" s="433">
        <v>13608456.24</v>
      </c>
      <c r="E338" s="432">
        <v>93601</v>
      </c>
      <c r="F338" s="432" t="b">
        <f t="shared" si="5"/>
        <v>1</v>
      </c>
    </row>
    <row r="339" spans="1:6">
      <c r="A339" s="432">
        <v>93602</v>
      </c>
      <c r="B339" s="432" t="s">
        <v>1059</v>
      </c>
      <c r="C339" s="433">
        <v>207228.75999999998</v>
      </c>
      <c r="E339" s="432">
        <v>93602</v>
      </c>
      <c r="F339" s="432" t="b">
        <f t="shared" si="5"/>
        <v>1</v>
      </c>
    </row>
    <row r="340" spans="1:6">
      <c r="A340" s="432">
        <v>93604</v>
      </c>
      <c r="B340" s="432" t="s">
        <v>1926</v>
      </c>
      <c r="C340" s="433">
        <v>28082.99</v>
      </c>
      <c r="E340" s="432">
        <v>93604</v>
      </c>
      <c r="F340" s="432" t="b">
        <f t="shared" si="5"/>
        <v>1</v>
      </c>
    </row>
    <row r="341" spans="1:6">
      <c r="A341" s="432">
        <v>93609</v>
      </c>
      <c r="B341" s="432" t="s">
        <v>1060</v>
      </c>
      <c r="C341" s="433">
        <v>6259184.8099999996</v>
      </c>
      <c r="E341" s="432">
        <v>93609</v>
      </c>
      <c r="F341" s="432" t="b">
        <f t="shared" si="5"/>
        <v>1</v>
      </c>
    </row>
    <row r="342" spans="1:6">
      <c r="A342" s="432">
        <v>93610</v>
      </c>
      <c r="B342" s="432" t="s">
        <v>1061</v>
      </c>
      <c r="C342" s="433">
        <v>15345.62</v>
      </c>
      <c r="E342" s="432">
        <v>93610</v>
      </c>
      <c r="F342" s="432" t="b">
        <f t="shared" si="5"/>
        <v>1</v>
      </c>
    </row>
    <row r="343" spans="1:6">
      <c r="A343" s="432">
        <v>93611</v>
      </c>
      <c r="B343" s="432" t="s">
        <v>1062</v>
      </c>
      <c r="C343" s="433">
        <v>7268190.3499999996</v>
      </c>
      <c r="E343" s="432">
        <v>93611</v>
      </c>
      <c r="F343" s="432" t="b">
        <f t="shared" si="5"/>
        <v>1</v>
      </c>
    </row>
    <row r="344" spans="1:6">
      <c r="A344" s="432">
        <v>93617</v>
      </c>
      <c r="B344" s="432" t="s">
        <v>1063</v>
      </c>
      <c r="C344" s="433">
        <v>130035.18</v>
      </c>
      <c r="E344" s="432">
        <v>93617</v>
      </c>
      <c r="F344" s="432" t="b">
        <f t="shared" si="5"/>
        <v>1</v>
      </c>
    </row>
    <row r="345" spans="1:6">
      <c r="A345" s="432">
        <v>93618</v>
      </c>
      <c r="B345" s="432" t="s">
        <v>1064</v>
      </c>
      <c r="C345" s="433">
        <v>34059.31</v>
      </c>
      <c r="E345" s="432">
        <v>93618</v>
      </c>
      <c r="F345" s="432" t="b">
        <f t="shared" si="5"/>
        <v>1</v>
      </c>
    </row>
    <row r="346" spans="1:6">
      <c r="A346" s="432">
        <v>93621</v>
      </c>
      <c r="B346" s="432" t="s">
        <v>1065</v>
      </c>
      <c r="C346" s="433">
        <v>1219747.79</v>
      </c>
      <c r="E346" s="432">
        <v>93621</v>
      </c>
      <c r="F346" s="432" t="b">
        <f t="shared" si="5"/>
        <v>1</v>
      </c>
    </row>
    <row r="347" spans="1:6">
      <c r="A347" s="432">
        <v>93623</v>
      </c>
      <c r="B347" s="432" t="s">
        <v>1066</v>
      </c>
      <c r="C347" s="433">
        <v>13900.39</v>
      </c>
      <c r="E347" s="432">
        <v>93623</v>
      </c>
      <c r="F347" s="432" t="b">
        <f t="shared" si="5"/>
        <v>1</v>
      </c>
    </row>
    <row r="348" spans="1:6">
      <c r="A348" s="432">
        <v>93631</v>
      </c>
      <c r="B348" s="432" t="s">
        <v>1067</v>
      </c>
      <c r="C348" s="433">
        <v>264891.34000000003</v>
      </c>
      <c r="E348" s="432">
        <v>93631</v>
      </c>
      <c r="F348" s="432" t="b">
        <f t="shared" si="5"/>
        <v>1</v>
      </c>
    </row>
    <row r="349" spans="1:6">
      <c r="A349" s="432">
        <v>93641</v>
      </c>
      <c r="B349" s="432" t="s">
        <v>1068</v>
      </c>
      <c r="C349" s="433">
        <v>454294.52</v>
      </c>
      <c r="E349" s="432">
        <v>93641</v>
      </c>
      <c r="F349" s="432" t="b">
        <f t="shared" si="5"/>
        <v>1</v>
      </c>
    </row>
    <row r="350" spans="1:6">
      <c r="A350" s="432">
        <v>93647</v>
      </c>
      <c r="B350" s="432" t="s">
        <v>1069</v>
      </c>
      <c r="C350" s="433">
        <v>15663.63</v>
      </c>
      <c r="E350" s="432">
        <v>93647</v>
      </c>
      <c r="F350" s="432" t="b">
        <f t="shared" si="5"/>
        <v>1</v>
      </c>
    </row>
    <row r="351" spans="1:6">
      <c r="A351" s="432">
        <v>93651</v>
      </c>
      <c r="B351" s="432" t="s">
        <v>1070</v>
      </c>
      <c r="C351" s="433">
        <v>437800.63000000006</v>
      </c>
      <c r="E351" s="432">
        <v>93651</v>
      </c>
      <c r="F351" s="432" t="b">
        <f t="shared" si="5"/>
        <v>1</v>
      </c>
    </row>
    <row r="352" spans="1:6">
      <c r="A352" s="432">
        <v>93661</v>
      </c>
      <c r="B352" s="432" t="s">
        <v>1071</v>
      </c>
      <c r="C352" s="433">
        <v>185228.43000000002</v>
      </c>
      <c r="E352" s="432">
        <v>93661</v>
      </c>
      <c r="F352" s="432" t="b">
        <f t="shared" si="5"/>
        <v>1</v>
      </c>
    </row>
    <row r="353" spans="1:6">
      <c r="A353" s="432">
        <v>93671</v>
      </c>
      <c r="B353" s="432" t="s">
        <v>1072</v>
      </c>
      <c r="C353" s="433">
        <v>411404.77</v>
      </c>
      <c r="E353" s="432">
        <v>93671</v>
      </c>
      <c r="F353" s="432" t="b">
        <f t="shared" si="5"/>
        <v>1</v>
      </c>
    </row>
    <row r="354" spans="1:6">
      <c r="A354" s="432">
        <v>93681</v>
      </c>
      <c r="B354" s="432" t="s">
        <v>1073</v>
      </c>
      <c r="C354" s="433">
        <v>184062.88</v>
      </c>
      <c r="E354" s="432">
        <v>93681</v>
      </c>
      <c r="F354" s="432" t="b">
        <f t="shared" si="5"/>
        <v>1</v>
      </c>
    </row>
    <row r="355" spans="1:6">
      <c r="A355" s="432">
        <v>93691</v>
      </c>
      <c r="B355" s="432" t="s">
        <v>1074</v>
      </c>
      <c r="C355" s="433">
        <v>1092363.8899999999</v>
      </c>
      <c r="E355" s="432">
        <v>93691</v>
      </c>
      <c r="F355" s="432" t="b">
        <f t="shared" si="5"/>
        <v>1</v>
      </c>
    </row>
    <row r="356" spans="1:6">
      <c r="A356" s="432">
        <v>93701</v>
      </c>
      <c r="B356" s="432" t="s">
        <v>1075</v>
      </c>
      <c r="C356" s="433">
        <v>415274.29</v>
      </c>
      <c r="E356" s="432">
        <v>93701</v>
      </c>
      <c r="F356" s="432" t="b">
        <f t="shared" si="5"/>
        <v>1</v>
      </c>
    </row>
    <row r="357" spans="1:6">
      <c r="A357" s="432">
        <v>93704</v>
      </c>
      <c r="B357" s="432" t="s">
        <v>1076</v>
      </c>
      <c r="C357" s="433">
        <v>5057.66</v>
      </c>
      <c r="E357" s="432">
        <v>93704</v>
      </c>
      <c r="F357" s="432" t="b">
        <f t="shared" si="5"/>
        <v>1</v>
      </c>
    </row>
    <row r="358" spans="1:6">
      <c r="A358" s="432">
        <v>93801</v>
      </c>
      <c r="B358" s="432" t="s">
        <v>1077</v>
      </c>
      <c r="C358" s="433">
        <v>623261.29999999993</v>
      </c>
      <c r="E358" s="432">
        <v>93801</v>
      </c>
      <c r="F358" s="432" t="b">
        <f t="shared" si="5"/>
        <v>1</v>
      </c>
    </row>
    <row r="359" spans="1:6">
      <c r="A359" s="432">
        <v>93803</v>
      </c>
      <c r="B359" s="432" t="s">
        <v>1078</v>
      </c>
      <c r="C359" s="433">
        <v>110284.22</v>
      </c>
      <c r="E359" s="432">
        <v>93803</v>
      </c>
      <c r="F359" s="432" t="b">
        <f t="shared" si="5"/>
        <v>1</v>
      </c>
    </row>
    <row r="360" spans="1:6">
      <c r="A360" s="432">
        <v>93806</v>
      </c>
      <c r="B360" s="432" t="s">
        <v>1079</v>
      </c>
      <c r="C360" s="433">
        <v>128341.74</v>
      </c>
      <c r="E360" s="432">
        <v>93806</v>
      </c>
      <c r="F360" s="432" t="b">
        <f t="shared" si="5"/>
        <v>1</v>
      </c>
    </row>
    <row r="361" spans="1:6">
      <c r="A361" s="432">
        <v>93821</v>
      </c>
      <c r="B361" s="432" t="s">
        <v>1080</v>
      </c>
      <c r="C361" s="433">
        <v>57098.3</v>
      </c>
      <c r="E361" s="432">
        <v>93821</v>
      </c>
      <c r="F361" s="432" t="b">
        <f t="shared" si="5"/>
        <v>1</v>
      </c>
    </row>
    <row r="362" spans="1:6">
      <c r="A362" s="432">
        <v>93901</v>
      </c>
      <c r="B362" s="432" t="s">
        <v>1081</v>
      </c>
      <c r="C362" s="433">
        <v>2011858.27</v>
      </c>
      <c r="E362" s="432">
        <v>93901</v>
      </c>
      <c r="F362" s="432" t="b">
        <f t="shared" si="5"/>
        <v>1</v>
      </c>
    </row>
    <row r="363" spans="1:6">
      <c r="A363" s="432">
        <v>93904</v>
      </c>
      <c r="B363" s="432" t="s">
        <v>1082</v>
      </c>
      <c r="C363" s="433">
        <v>52004.91</v>
      </c>
      <c r="E363" s="432">
        <v>93904</v>
      </c>
      <c r="F363" s="432" t="b">
        <f t="shared" si="5"/>
        <v>1</v>
      </c>
    </row>
    <row r="364" spans="1:6">
      <c r="A364" s="432">
        <v>93906</v>
      </c>
      <c r="B364" s="432" t="s">
        <v>1083</v>
      </c>
      <c r="C364" s="433">
        <v>3616474.7199999997</v>
      </c>
      <c r="E364" s="432">
        <v>93906</v>
      </c>
      <c r="F364" s="432" t="b">
        <f t="shared" si="5"/>
        <v>1</v>
      </c>
    </row>
    <row r="365" spans="1:6">
      <c r="A365" s="432">
        <v>93908</v>
      </c>
      <c r="B365" s="432" t="s">
        <v>1084</v>
      </c>
      <c r="C365" s="433">
        <v>622437.29</v>
      </c>
      <c r="E365" s="432">
        <v>93908</v>
      </c>
      <c r="F365" s="432" t="b">
        <f t="shared" si="5"/>
        <v>1</v>
      </c>
    </row>
    <row r="366" spans="1:6">
      <c r="A366" s="432">
        <v>93910</v>
      </c>
      <c r="B366" s="432" t="s">
        <v>1085</v>
      </c>
      <c r="C366" s="433">
        <v>300582.7</v>
      </c>
      <c r="E366" s="432">
        <v>93910</v>
      </c>
      <c r="F366" s="432" t="b">
        <f t="shared" si="5"/>
        <v>1</v>
      </c>
    </row>
    <row r="367" spans="1:6">
      <c r="A367" s="432">
        <v>93911</v>
      </c>
      <c r="B367" s="432" t="s">
        <v>1086</v>
      </c>
      <c r="C367" s="433">
        <v>548478.80999999994</v>
      </c>
      <c r="E367" s="432">
        <v>93911</v>
      </c>
      <c r="F367" s="432" t="b">
        <f t="shared" si="5"/>
        <v>1</v>
      </c>
    </row>
    <row r="368" spans="1:6">
      <c r="A368" s="432">
        <v>93913</v>
      </c>
      <c r="B368" s="432" t="s">
        <v>1087</v>
      </c>
      <c r="C368" s="433">
        <v>61973.93</v>
      </c>
      <c r="E368" s="432">
        <v>93913</v>
      </c>
      <c r="F368" s="432" t="b">
        <f t="shared" si="5"/>
        <v>1</v>
      </c>
    </row>
    <row r="369" spans="1:6">
      <c r="A369" s="432">
        <v>93914</v>
      </c>
      <c r="B369" s="432" t="s">
        <v>1088</v>
      </c>
      <c r="C369" s="433">
        <v>7421.43</v>
      </c>
      <c r="E369" s="432">
        <v>93914</v>
      </c>
      <c r="F369" s="432" t="b">
        <f t="shared" si="5"/>
        <v>1</v>
      </c>
    </row>
    <row r="370" spans="1:6">
      <c r="A370" s="432">
        <v>93921</v>
      </c>
      <c r="B370" s="432" t="s">
        <v>1089</v>
      </c>
      <c r="C370" s="433">
        <v>279513.46000000002</v>
      </c>
      <c r="E370" s="432">
        <v>93921</v>
      </c>
      <c r="F370" s="432" t="b">
        <f t="shared" si="5"/>
        <v>1</v>
      </c>
    </row>
    <row r="371" spans="1:6">
      <c r="A371" s="432">
        <v>93931</v>
      </c>
      <c r="B371" s="432" t="s">
        <v>1090</v>
      </c>
      <c r="C371" s="433">
        <v>480253.69</v>
      </c>
      <c r="E371" s="432">
        <v>93931</v>
      </c>
      <c r="F371" s="432" t="b">
        <f t="shared" si="5"/>
        <v>1</v>
      </c>
    </row>
    <row r="372" spans="1:6">
      <c r="A372" s="432">
        <v>94001</v>
      </c>
      <c r="B372" s="432" t="s">
        <v>1091</v>
      </c>
      <c r="C372" s="433">
        <v>1047858.33</v>
      </c>
      <c r="E372" s="432">
        <v>94001</v>
      </c>
      <c r="F372" s="432" t="b">
        <f t="shared" si="5"/>
        <v>1</v>
      </c>
    </row>
    <row r="373" spans="1:6">
      <c r="A373" s="432">
        <v>94002</v>
      </c>
      <c r="B373" s="432" t="s">
        <v>1092</v>
      </c>
      <c r="C373" s="433">
        <v>7387</v>
      </c>
      <c r="E373" s="432">
        <v>94002</v>
      </c>
      <c r="F373" s="432" t="b">
        <f t="shared" si="5"/>
        <v>1</v>
      </c>
    </row>
    <row r="374" spans="1:6">
      <c r="A374" s="432">
        <v>94004</v>
      </c>
      <c r="B374" s="432" t="s">
        <v>1093</v>
      </c>
      <c r="C374" s="433">
        <v>14184.36</v>
      </c>
      <c r="E374" s="432">
        <v>94004</v>
      </c>
      <c r="F374" s="432" t="b">
        <f t="shared" si="5"/>
        <v>1</v>
      </c>
    </row>
    <row r="375" spans="1:6">
      <c r="A375" s="432">
        <v>94005</v>
      </c>
      <c r="B375" s="432" t="s">
        <v>1094</v>
      </c>
      <c r="C375" s="433">
        <v>9908.85</v>
      </c>
      <c r="E375" s="432">
        <v>94005</v>
      </c>
      <c r="F375" s="432" t="b">
        <f t="shared" si="5"/>
        <v>1</v>
      </c>
    </row>
    <row r="376" spans="1:6">
      <c r="A376" s="432">
        <v>94011</v>
      </c>
      <c r="B376" s="432" t="s">
        <v>1095</v>
      </c>
      <c r="C376" s="433">
        <v>21290.38</v>
      </c>
      <c r="E376" s="432">
        <v>94011</v>
      </c>
      <c r="F376" s="432" t="b">
        <f t="shared" si="5"/>
        <v>1</v>
      </c>
    </row>
    <row r="377" spans="1:6">
      <c r="A377" s="432">
        <v>94021</v>
      </c>
      <c r="B377" s="432" t="s">
        <v>1096</v>
      </c>
      <c r="C377" s="433">
        <v>81993.05</v>
      </c>
      <c r="E377" s="432">
        <v>94021</v>
      </c>
      <c r="F377" s="432" t="b">
        <f t="shared" si="5"/>
        <v>1</v>
      </c>
    </row>
    <row r="378" spans="1:6">
      <c r="A378" s="432">
        <v>94031</v>
      </c>
      <c r="B378" s="432" t="s">
        <v>1097</v>
      </c>
      <c r="C378" s="433">
        <v>8146.5499999999993</v>
      </c>
      <c r="E378" s="432">
        <v>94031</v>
      </c>
      <c r="F378" s="432" t="b">
        <f t="shared" si="5"/>
        <v>1</v>
      </c>
    </row>
    <row r="379" spans="1:6">
      <c r="A379" s="432">
        <v>94101</v>
      </c>
      <c r="B379" s="432" t="s">
        <v>1098</v>
      </c>
      <c r="C379" s="433">
        <v>20255131.170000002</v>
      </c>
      <c r="E379" s="432">
        <v>94101</v>
      </c>
      <c r="F379" s="432" t="b">
        <f t="shared" si="5"/>
        <v>1</v>
      </c>
    </row>
    <row r="380" spans="1:6">
      <c r="A380" s="432">
        <v>94102</v>
      </c>
      <c r="B380" s="432" t="s">
        <v>1099</v>
      </c>
      <c r="C380" s="433">
        <v>301312.71000000002</v>
      </c>
      <c r="E380" s="432">
        <v>94102</v>
      </c>
      <c r="F380" s="432" t="b">
        <f t="shared" si="5"/>
        <v>1</v>
      </c>
    </row>
    <row r="381" spans="1:6">
      <c r="A381" s="432">
        <v>94108</v>
      </c>
      <c r="B381" s="432" t="s">
        <v>1100</v>
      </c>
      <c r="C381" s="433">
        <v>320311.02</v>
      </c>
      <c r="E381" s="432">
        <v>94108</v>
      </c>
      <c r="F381" s="432" t="b">
        <f t="shared" si="5"/>
        <v>1</v>
      </c>
    </row>
    <row r="382" spans="1:6">
      <c r="A382" s="432">
        <v>94109</v>
      </c>
      <c r="B382" s="432" t="s">
        <v>1101</v>
      </c>
      <c r="C382" s="433">
        <v>107247.87</v>
      </c>
      <c r="E382" s="432">
        <v>94109</v>
      </c>
      <c r="F382" s="432" t="b">
        <f t="shared" si="5"/>
        <v>1</v>
      </c>
    </row>
    <row r="383" spans="1:6">
      <c r="A383" s="432">
        <v>94111</v>
      </c>
      <c r="B383" s="432" t="s">
        <v>1102</v>
      </c>
      <c r="C383" s="433">
        <v>24460887.030000001</v>
      </c>
      <c r="E383" s="432">
        <v>94111</v>
      </c>
      <c r="F383" s="432" t="b">
        <f t="shared" si="5"/>
        <v>1</v>
      </c>
    </row>
    <row r="384" spans="1:6">
      <c r="A384" s="432">
        <v>94112</v>
      </c>
      <c r="B384" s="432" t="s">
        <v>1103</v>
      </c>
      <c r="C384" s="433">
        <v>168232.22</v>
      </c>
      <c r="E384" s="432">
        <v>94112</v>
      </c>
      <c r="F384" s="432" t="b">
        <f t="shared" si="5"/>
        <v>1</v>
      </c>
    </row>
    <row r="385" spans="1:6">
      <c r="A385" s="432">
        <v>94117</v>
      </c>
      <c r="B385" s="432" t="s">
        <v>1104</v>
      </c>
      <c r="C385" s="433">
        <v>479911</v>
      </c>
      <c r="E385" s="432">
        <v>94117</v>
      </c>
      <c r="F385" s="432" t="b">
        <f t="shared" si="5"/>
        <v>1</v>
      </c>
    </row>
    <row r="386" spans="1:6">
      <c r="A386" s="432">
        <v>94118</v>
      </c>
      <c r="B386" s="432" t="s">
        <v>1105</v>
      </c>
      <c r="C386" s="433">
        <v>153401.85999999999</v>
      </c>
      <c r="E386" s="432">
        <v>94118</v>
      </c>
      <c r="F386" s="432" t="b">
        <f t="shared" si="5"/>
        <v>1</v>
      </c>
    </row>
    <row r="387" spans="1:6">
      <c r="A387" s="432">
        <v>94121</v>
      </c>
      <c r="B387" s="432" t="s">
        <v>1106</v>
      </c>
      <c r="C387" s="433">
        <v>11003670.270000001</v>
      </c>
      <c r="E387" s="432">
        <v>94121</v>
      </c>
      <c r="F387" s="432" t="b">
        <f t="shared" ref="F387:F450" si="6">E387=A387</f>
        <v>1</v>
      </c>
    </row>
    <row r="388" spans="1:6">
      <c r="A388" s="432">
        <v>94127</v>
      </c>
      <c r="B388" s="432" t="s">
        <v>1107</v>
      </c>
      <c r="C388" s="433">
        <v>203967.79</v>
      </c>
      <c r="E388" s="432">
        <v>94127</v>
      </c>
      <c r="F388" s="432" t="b">
        <f t="shared" si="6"/>
        <v>1</v>
      </c>
    </row>
    <row r="389" spans="1:6">
      <c r="A389" s="432">
        <v>94131</v>
      </c>
      <c r="B389" s="432" t="s">
        <v>1108</v>
      </c>
      <c r="C389" s="433">
        <v>254472.45</v>
      </c>
      <c r="E389" s="432">
        <v>94131</v>
      </c>
      <c r="F389" s="432" t="b">
        <f t="shared" si="6"/>
        <v>1</v>
      </c>
    </row>
    <row r="390" spans="1:6">
      <c r="A390" s="432">
        <v>94151</v>
      </c>
      <c r="B390" s="432" t="s">
        <v>1109</v>
      </c>
      <c r="C390" s="433">
        <v>480651.85</v>
      </c>
      <c r="E390" s="432">
        <v>94151</v>
      </c>
      <c r="F390" s="432" t="b">
        <f t="shared" si="6"/>
        <v>1</v>
      </c>
    </row>
    <row r="391" spans="1:6">
      <c r="A391" s="432">
        <v>94157</v>
      </c>
      <c r="B391" s="432" t="s">
        <v>1110</v>
      </c>
      <c r="C391" s="433">
        <v>13724.46</v>
      </c>
      <c r="E391" s="432">
        <v>94157</v>
      </c>
      <c r="F391" s="432" t="b">
        <f t="shared" si="6"/>
        <v>1</v>
      </c>
    </row>
    <row r="392" spans="1:6">
      <c r="A392" s="432">
        <v>94161</v>
      </c>
      <c r="B392" s="432" t="s">
        <v>1111</v>
      </c>
      <c r="C392" s="433">
        <v>62306.49</v>
      </c>
      <c r="E392" s="432">
        <v>94161</v>
      </c>
      <c r="F392" s="432" t="b">
        <f t="shared" si="6"/>
        <v>1</v>
      </c>
    </row>
    <row r="393" spans="1:6">
      <c r="A393" s="432">
        <v>94168</v>
      </c>
      <c r="B393" s="432" t="s">
        <v>1112</v>
      </c>
      <c r="C393" s="433">
        <v>69757.33</v>
      </c>
      <c r="E393" s="432">
        <v>94168</v>
      </c>
      <c r="F393" s="432" t="b">
        <f t="shared" si="6"/>
        <v>1</v>
      </c>
    </row>
    <row r="394" spans="1:6">
      <c r="A394" s="432">
        <v>94171</v>
      </c>
      <c r="B394" s="432" t="s">
        <v>1113</v>
      </c>
      <c r="C394" s="433">
        <v>62571.92</v>
      </c>
      <c r="E394" s="432">
        <v>94171</v>
      </c>
      <c r="F394" s="432" t="b">
        <f t="shared" si="6"/>
        <v>1</v>
      </c>
    </row>
    <row r="395" spans="1:6">
      <c r="A395" s="432">
        <v>94172</v>
      </c>
      <c r="B395" s="432" t="s">
        <v>1114</v>
      </c>
      <c r="C395" s="433">
        <v>286891.39</v>
      </c>
      <c r="E395" s="432">
        <v>94172</v>
      </c>
      <c r="F395" s="432" t="b">
        <f t="shared" si="6"/>
        <v>1</v>
      </c>
    </row>
    <row r="396" spans="1:6">
      <c r="A396" s="432">
        <v>94201</v>
      </c>
      <c r="B396" s="432" t="s">
        <v>1115</v>
      </c>
      <c r="C396" s="433">
        <v>2960066.9000000004</v>
      </c>
      <c r="E396" s="432">
        <v>94201</v>
      </c>
      <c r="F396" s="432" t="b">
        <f t="shared" si="6"/>
        <v>1</v>
      </c>
    </row>
    <row r="397" spans="1:6">
      <c r="A397" s="432">
        <v>94204</v>
      </c>
      <c r="B397" s="432" t="s">
        <v>1116</v>
      </c>
      <c r="C397" s="433">
        <v>39373.68</v>
      </c>
      <c r="E397" s="432">
        <v>94204</v>
      </c>
      <c r="F397" s="432" t="b">
        <f t="shared" si="6"/>
        <v>1</v>
      </c>
    </row>
    <row r="398" spans="1:6">
      <c r="A398" s="432">
        <v>94205</v>
      </c>
      <c r="B398" s="432" t="s">
        <v>1117</v>
      </c>
      <c r="C398" s="433">
        <v>26827.62</v>
      </c>
      <c r="E398" s="432">
        <v>94205</v>
      </c>
      <c r="F398" s="432" t="b">
        <f t="shared" si="6"/>
        <v>1</v>
      </c>
    </row>
    <row r="399" spans="1:6">
      <c r="A399" s="432">
        <v>94209</v>
      </c>
      <c r="B399" s="432" t="s">
        <v>1118</v>
      </c>
      <c r="C399" s="433">
        <v>346133.85</v>
      </c>
      <c r="E399" s="432">
        <v>94209</v>
      </c>
      <c r="F399" s="432" t="b">
        <f t="shared" si="6"/>
        <v>1</v>
      </c>
    </row>
    <row r="400" spans="1:6">
      <c r="A400" s="432">
        <v>94211</v>
      </c>
      <c r="B400" s="432" t="s">
        <v>1119</v>
      </c>
      <c r="C400" s="433">
        <v>110607.15999999999</v>
      </c>
      <c r="E400" s="432">
        <v>94211</v>
      </c>
      <c r="F400" s="432" t="b">
        <f t="shared" si="6"/>
        <v>1</v>
      </c>
    </row>
    <row r="401" spans="1:6">
      <c r="A401" s="432">
        <v>94221</v>
      </c>
      <c r="B401" s="432" t="s">
        <v>1120</v>
      </c>
      <c r="C401" s="433">
        <v>847433.57000000007</v>
      </c>
      <c r="E401" s="432">
        <v>94221</v>
      </c>
      <c r="F401" s="432" t="b">
        <f t="shared" si="6"/>
        <v>1</v>
      </c>
    </row>
    <row r="402" spans="1:6">
      <c r="A402" s="432">
        <v>94231</v>
      </c>
      <c r="B402" s="432" t="s">
        <v>1121</v>
      </c>
      <c r="C402" s="433">
        <v>172666.63</v>
      </c>
      <c r="E402" s="432">
        <v>94231</v>
      </c>
      <c r="F402" s="432" t="b">
        <f t="shared" si="6"/>
        <v>1</v>
      </c>
    </row>
    <row r="403" spans="1:6">
      <c r="A403" s="432">
        <v>94241</v>
      </c>
      <c r="B403" s="432" t="s">
        <v>1122</v>
      </c>
      <c r="C403" s="433">
        <v>138346.49999999997</v>
      </c>
      <c r="E403" s="432">
        <v>94241</v>
      </c>
      <c r="F403" s="432" t="b">
        <f t="shared" si="6"/>
        <v>1</v>
      </c>
    </row>
    <row r="404" spans="1:6">
      <c r="A404" s="432">
        <v>94251</v>
      </c>
      <c r="B404" s="432" t="s">
        <v>1123</v>
      </c>
      <c r="C404" s="433">
        <v>21036.080000000002</v>
      </c>
      <c r="E404" s="432">
        <v>94251</v>
      </c>
      <c r="F404" s="432" t="b">
        <f t="shared" si="6"/>
        <v>1</v>
      </c>
    </row>
    <row r="405" spans="1:6">
      <c r="A405" s="432">
        <v>94261</v>
      </c>
      <c r="B405" s="432" t="s">
        <v>1124</v>
      </c>
      <c r="C405" s="433">
        <v>35957.75</v>
      </c>
      <c r="E405" s="432">
        <v>94261</v>
      </c>
      <c r="F405" s="432" t="b">
        <f t="shared" si="6"/>
        <v>1</v>
      </c>
    </row>
    <row r="406" spans="1:6">
      <c r="A406" s="432">
        <v>94301</v>
      </c>
      <c r="B406" s="432" t="s">
        <v>1125</v>
      </c>
      <c r="C406" s="433">
        <v>6262608.4199999999</v>
      </c>
      <c r="E406" s="432">
        <v>94301</v>
      </c>
      <c r="F406" s="432" t="b">
        <f t="shared" si="6"/>
        <v>1</v>
      </c>
    </row>
    <row r="407" spans="1:6">
      <c r="A407" s="432">
        <v>94311</v>
      </c>
      <c r="B407" s="432" t="s">
        <v>1126</v>
      </c>
      <c r="C407" s="433">
        <v>781718.2300000001</v>
      </c>
      <c r="E407" s="432">
        <v>94311</v>
      </c>
      <c r="F407" s="432" t="b">
        <f t="shared" si="6"/>
        <v>1</v>
      </c>
    </row>
    <row r="408" spans="1:6">
      <c r="A408" s="432">
        <v>94313</v>
      </c>
      <c r="B408" s="432" t="s">
        <v>1127</v>
      </c>
      <c r="C408" s="433">
        <v>24021.279999999999</v>
      </c>
      <c r="E408" s="432">
        <v>94313</v>
      </c>
      <c r="F408" s="432" t="b">
        <f t="shared" si="6"/>
        <v>1</v>
      </c>
    </row>
    <row r="409" spans="1:6">
      <c r="A409" s="432">
        <v>94317</v>
      </c>
      <c r="B409" s="432" t="s">
        <v>1128</v>
      </c>
      <c r="C409" s="433">
        <v>24579.33</v>
      </c>
      <c r="E409" s="432">
        <v>94317</v>
      </c>
      <c r="F409" s="432" t="b">
        <f t="shared" si="6"/>
        <v>1</v>
      </c>
    </row>
    <row r="410" spans="1:6">
      <c r="A410" s="432">
        <v>94321</v>
      </c>
      <c r="B410" s="432" t="s">
        <v>1129</v>
      </c>
      <c r="C410" s="433">
        <v>330166.26</v>
      </c>
      <c r="E410" s="432">
        <v>94321</v>
      </c>
      <c r="F410" s="432" t="b">
        <f t="shared" si="6"/>
        <v>1</v>
      </c>
    </row>
    <row r="411" spans="1:6">
      <c r="A411" s="432">
        <v>94331</v>
      </c>
      <c r="B411" s="432" t="s">
        <v>1130</v>
      </c>
      <c r="C411" s="433">
        <v>147246.87</v>
      </c>
      <c r="E411" s="432">
        <v>94331</v>
      </c>
      <c r="F411" s="432" t="b">
        <f t="shared" si="6"/>
        <v>1</v>
      </c>
    </row>
    <row r="412" spans="1:6">
      <c r="A412" s="432">
        <v>94341</v>
      </c>
      <c r="B412" s="432" t="s">
        <v>1131</v>
      </c>
      <c r="C412" s="433">
        <v>86960.25</v>
      </c>
      <c r="E412" s="432">
        <v>94341</v>
      </c>
      <c r="F412" s="432" t="b">
        <f t="shared" si="6"/>
        <v>1</v>
      </c>
    </row>
    <row r="413" spans="1:6">
      <c r="A413" s="432">
        <v>94347</v>
      </c>
      <c r="B413" s="432" t="s">
        <v>1132</v>
      </c>
      <c r="C413" s="433">
        <v>12037.75</v>
      </c>
      <c r="E413" s="432">
        <v>94347</v>
      </c>
      <c r="F413" s="432" t="b">
        <f t="shared" si="6"/>
        <v>1</v>
      </c>
    </row>
    <row r="414" spans="1:6">
      <c r="A414" s="432">
        <v>94351</v>
      </c>
      <c r="B414" s="432" t="s">
        <v>1133</v>
      </c>
      <c r="C414" s="433">
        <v>325046.27</v>
      </c>
      <c r="E414" s="432">
        <v>94351</v>
      </c>
      <c r="F414" s="432" t="b">
        <f t="shared" si="6"/>
        <v>1</v>
      </c>
    </row>
    <row r="415" spans="1:6">
      <c r="A415" s="432">
        <v>94401</v>
      </c>
      <c r="B415" s="432" t="s">
        <v>1134</v>
      </c>
      <c r="C415" s="433">
        <v>3582271.62</v>
      </c>
      <c r="E415" s="432">
        <v>94401</v>
      </c>
      <c r="F415" s="432" t="b">
        <f t="shared" si="6"/>
        <v>1</v>
      </c>
    </row>
    <row r="416" spans="1:6">
      <c r="A416" s="432">
        <v>94403</v>
      </c>
      <c r="B416" s="432" t="s">
        <v>1136</v>
      </c>
      <c r="C416" s="433">
        <v>54701.34</v>
      </c>
      <c r="E416" s="432">
        <v>94403</v>
      </c>
      <c r="F416" s="432" t="b">
        <f t="shared" si="6"/>
        <v>1</v>
      </c>
    </row>
    <row r="417" spans="1:6">
      <c r="A417" s="432">
        <v>94408</v>
      </c>
      <c r="B417" s="432" t="s">
        <v>1137</v>
      </c>
      <c r="C417" s="433">
        <v>60435.08</v>
      </c>
      <c r="E417" s="432">
        <v>94408</v>
      </c>
      <c r="F417" s="432" t="b">
        <f t="shared" si="6"/>
        <v>1</v>
      </c>
    </row>
    <row r="418" spans="1:6">
      <c r="A418" s="432">
        <v>94411</v>
      </c>
      <c r="B418" s="432" t="s">
        <v>1138</v>
      </c>
      <c r="C418" s="433">
        <v>1147322.69</v>
      </c>
      <c r="E418" s="432">
        <v>94411</v>
      </c>
      <c r="F418" s="432" t="b">
        <f t="shared" si="6"/>
        <v>1</v>
      </c>
    </row>
    <row r="419" spans="1:6">
      <c r="A419" s="432">
        <v>94412</v>
      </c>
      <c r="B419" s="432" t="s">
        <v>1139</v>
      </c>
      <c r="C419" s="433">
        <v>29552.83</v>
      </c>
      <c r="E419" s="432">
        <v>94412</v>
      </c>
      <c r="F419" s="432" t="b">
        <f t="shared" si="6"/>
        <v>1</v>
      </c>
    </row>
    <row r="420" spans="1:6" s="493" customFormat="1">
      <c r="A420" s="493">
        <v>94415</v>
      </c>
      <c r="B420" s="493" t="s">
        <v>3770</v>
      </c>
      <c r="C420" s="494">
        <v>18746.18</v>
      </c>
      <c r="F420" s="493" t="b">
        <f t="shared" si="6"/>
        <v>0</v>
      </c>
    </row>
    <row r="421" spans="1:6" s="493" customFormat="1">
      <c r="A421" s="493">
        <v>94417</v>
      </c>
      <c r="B421" s="493" t="s">
        <v>3773</v>
      </c>
      <c r="C421" s="494">
        <v>60367.43</v>
      </c>
      <c r="F421" s="493" t="b">
        <f t="shared" si="6"/>
        <v>0</v>
      </c>
    </row>
    <row r="422" spans="1:6">
      <c r="A422" s="432">
        <v>94421</v>
      </c>
      <c r="B422" s="432" t="s">
        <v>1140</v>
      </c>
      <c r="C422" s="433">
        <v>179816.41999999998</v>
      </c>
      <c r="E422" s="432">
        <v>94421</v>
      </c>
      <c r="F422" s="432" t="b">
        <f t="shared" si="6"/>
        <v>1</v>
      </c>
    </row>
    <row r="423" spans="1:6">
      <c r="A423" s="432">
        <v>94427</v>
      </c>
      <c r="B423" s="432" t="s">
        <v>1141</v>
      </c>
      <c r="C423" s="433">
        <v>38484.99</v>
      </c>
      <c r="E423" s="432">
        <v>94427</v>
      </c>
      <c r="F423" s="432" t="b">
        <f t="shared" si="6"/>
        <v>1</v>
      </c>
    </row>
    <row r="424" spans="1:6">
      <c r="A424" s="432">
        <v>94428</v>
      </c>
      <c r="B424" s="432" t="s">
        <v>1142</v>
      </c>
      <c r="C424" s="433">
        <v>66096.429999999993</v>
      </c>
      <c r="E424" s="432">
        <v>94428</v>
      </c>
      <c r="F424" s="432" t="b">
        <f t="shared" si="6"/>
        <v>1</v>
      </c>
    </row>
    <row r="425" spans="1:6">
      <c r="A425" s="432">
        <v>94431</v>
      </c>
      <c r="B425" s="432" t="s">
        <v>1143</v>
      </c>
      <c r="C425" s="433">
        <v>401377.55000000005</v>
      </c>
      <c r="E425" s="432">
        <v>94431</v>
      </c>
      <c r="F425" s="432" t="b">
        <f t="shared" si="6"/>
        <v>1</v>
      </c>
    </row>
    <row r="426" spans="1:6">
      <c r="A426" s="432">
        <v>94437</v>
      </c>
      <c r="B426" s="432" t="s">
        <v>1144</v>
      </c>
      <c r="C426" s="433">
        <v>25082.480000000003</v>
      </c>
      <c r="E426" s="432">
        <v>94437</v>
      </c>
      <c r="F426" s="432" t="b">
        <f t="shared" si="6"/>
        <v>1</v>
      </c>
    </row>
    <row r="427" spans="1:6">
      <c r="A427" s="432">
        <v>94501</v>
      </c>
      <c r="B427" s="432" t="s">
        <v>2019</v>
      </c>
      <c r="C427" s="433">
        <v>6423947.6499999994</v>
      </c>
      <c r="E427" s="432">
        <v>94501</v>
      </c>
      <c r="F427" s="432" t="b">
        <f t="shared" si="6"/>
        <v>1</v>
      </c>
    </row>
    <row r="428" spans="1:6">
      <c r="A428" s="432">
        <v>94511</v>
      </c>
      <c r="B428" s="432" t="s">
        <v>1146</v>
      </c>
      <c r="C428" s="433">
        <v>2378576.3600000003</v>
      </c>
      <c r="E428" s="432">
        <v>94511</v>
      </c>
      <c r="F428" s="432" t="b">
        <f t="shared" si="6"/>
        <v>1</v>
      </c>
    </row>
    <row r="429" spans="1:6">
      <c r="A429" s="432">
        <v>94517</v>
      </c>
      <c r="B429" s="432" t="s">
        <v>1148</v>
      </c>
      <c r="C429" s="433">
        <v>87606.52</v>
      </c>
      <c r="E429" s="432">
        <v>94517</v>
      </c>
      <c r="F429" s="432" t="b">
        <f t="shared" si="6"/>
        <v>1</v>
      </c>
    </row>
    <row r="430" spans="1:6">
      <c r="A430" s="432">
        <v>94521</v>
      </c>
      <c r="B430" s="432" t="s">
        <v>1149</v>
      </c>
      <c r="C430" s="433">
        <v>138263.88</v>
      </c>
      <c r="E430" s="432">
        <v>94521</v>
      </c>
      <c r="F430" s="432" t="b">
        <f t="shared" si="6"/>
        <v>1</v>
      </c>
    </row>
    <row r="431" spans="1:6">
      <c r="A431" s="432">
        <v>94527</v>
      </c>
      <c r="B431" s="432" t="s">
        <v>1150</v>
      </c>
      <c r="C431" s="433">
        <v>8600.2999999999993</v>
      </c>
      <c r="E431" s="432">
        <v>94527</v>
      </c>
      <c r="F431" s="432" t="b">
        <f t="shared" si="6"/>
        <v>1</v>
      </c>
    </row>
    <row r="432" spans="1:6">
      <c r="A432" s="432">
        <v>94531</v>
      </c>
      <c r="B432" s="432" t="s">
        <v>1151</v>
      </c>
      <c r="C432" s="433">
        <v>34399.49</v>
      </c>
      <c r="E432" s="432">
        <v>94531</v>
      </c>
      <c r="F432" s="432" t="b">
        <f t="shared" si="6"/>
        <v>1</v>
      </c>
    </row>
    <row r="433" spans="1:6">
      <c r="A433" s="432">
        <v>94532</v>
      </c>
      <c r="B433" s="432" t="s">
        <v>1152</v>
      </c>
      <c r="C433" s="433">
        <v>126484.7</v>
      </c>
      <c r="E433" s="432">
        <v>94532</v>
      </c>
      <c r="F433" s="432" t="b">
        <f t="shared" si="6"/>
        <v>1</v>
      </c>
    </row>
    <row r="434" spans="1:6" s="493" customFormat="1">
      <c r="A434" s="493">
        <v>94537</v>
      </c>
      <c r="B434" s="493" t="s">
        <v>3772</v>
      </c>
      <c r="C434" s="494">
        <v>10563.29</v>
      </c>
      <c r="F434" s="493" t="b">
        <f t="shared" si="6"/>
        <v>0</v>
      </c>
    </row>
    <row r="435" spans="1:6">
      <c r="A435" s="432">
        <v>94541</v>
      </c>
      <c r="B435" s="432" t="s">
        <v>1153</v>
      </c>
      <c r="C435" s="433">
        <v>270373.74</v>
      </c>
      <c r="E435" s="432">
        <v>94541</v>
      </c>
      <c r="F435" s="432" t="b">
        <f t="shared" si="6"/>
        <v>1</v>
      </c>
    </row>
    <row r="436" spans="1:6">
      <c r="A436" s="432">
        <v>94547</v>
      </c>
      <c r="B436" s="432" t="s">
        <v>1154</v>
      </c>
      <c r="C436" s="433">
        <v>17808.12</v>
      </c>
      <c r="E436" s="432">
        <v>94547</v>
      </c>
      <c r="F436" s="432" t="b">
        <f t="shared" si="6"/>
        <v>1</v>
      </c>
    </row>
    <row r="437" spans="1:6">
      <c r="A437" s="432">
        <v>94551</v>
      </c>
      <c r="B437" s="432" t="s">
        <v>1155</v>
      </c>
      <c r="C437" s="433">
        <v>74900.38</v>
      </c>
      <c r="E437" s="432">
        <v>94551</v>
      </c>
      <c r="F437" s="432" t="b">
        <f t="shared" si="6"/>
        <v>1</v>
      </c>
    </row>
    <row r="438" spans="1:6">
      <c r="A438" s="432">
        <v>94601</v>
      </c>
      <c r="B438" s="432" t="s">
        <v>1156</v>
      </c>
      <c r="C438" s="433">
        <v>912166.44</v>
      </c>
      <c r="E438" s="432">
        <v>94601</v>
      </c>
      <c r="F438" s="432" t="b">
        <f t="shared" si="6"/>
        <v>1</v>
      </c>
    </row>
    <row r="439" spans="1:6">
      <c r="A439" s="432">
        <v>94604</v>
      </c>
      <c r="B439" s="432" t="s">
        <v>1157</v>
      </c>
      <c r="C439" s="433">
        <v>26846.28</v>
      </c>
      <c r="E439" s="432">
        <v>94604</v>
      </c>
      <c r="F439" s="432" t="b">
        <f t="shared" si="6"/>
        <v>1</v>
      </c>
    </row>
    <row r="440" spans="1:6">
      <c r="A440" s="432">
        <v>94611</v>
      </c>
      <c r="B440" s="432" t="s">
        <v>1159</v>
      </c>
      <c r="C440" s="433">
        <v>335377.81000000006</v>
      </c>
      <c r="E440" s="432">
        <v>94611</v>
      </c>
      <c r="F440" s="432" t="b">
        <f t="shared" si="6"/>
        <v>1</v>
      </c>
    </row>
    <row r="441" spans="1:6">
      <c r="A441" s="432">
        <v>94621</v>
      </c>
      <c r="B441" s="432" t="s">
        <v>1160</v>
      </c>
      <c r="C441" s="433">
        <v>86907.46</v>
      </c>
      <c r="E441" s="432">
        <v>94621</v>
      </c>
      <c r="F441" s="432" t="b">
        <f t="shared" si="6"/>
        <v>1</v>
      </c>
    </row>
    <row r="442" spans="1:6">
      <c r="A442" s="432">
        <v>94631</v>
      </c>
      <c r="B442" s="432" t="s">
        <v>1161</v>
      </c>
      <c r="C442" s="433">
        <v>37019.11</v>
      </c>
      <c r="E442" s="432">
        <v>94631</v>
      </c>
      <c r="F442" s="432" t="b">
        <f t="shared" si="6"/>
        <v>1</v>
      </c>
    </row>
    <row r="443" spans="1:6">
      <c r="A443" s="432">
        <v>94641</v>
      </c>
      <c r="B443" s="432" t="s">
        <v>1162</v>
      </c>
      <c r="C443" s="433">
        <v>14753.24</v>
      </c>
      <c r="E443" s="432">
        <v>94641</v>
      </c>
      <c r="F443" s="432" t="b">
        <f t="shared" si="6"/>
        <v>1</v>
      </c>
    </row>
    <row r="444" spans="1:6">
      <c r="A444" s="432">
        <v>94701</v>
      </c>
      <c r="B444" s="432" t="s">
        <v>1163</v>
      </c>
      <c r="C444" s="433">
        <v>2484814.87</v>
      </c>
      <c r="E444" s="432">
        <v>94701</v>
      </c>
      <c r="F444" s="432" t="b">
        <f t="shared" si="6"/>
        <v>1</v>
      </c>
    </row>
    <row r="445" spans="1:6">
      <c r="A445" s="432">
        <v>94704</v>
      </c>
      <c r="B445" s="432" t="s">
        <v>1164</v>
      </c>
      <c r="C445" s="433">
        <v>21346.14</v>
      </c>
      <c r="E445" s="432">
        <v>94704</v>
      </c>
      <c r="F445" s="432" t="b">
        <f t="shared" si="6"/>
        <v>1</v>
      </c>
    </row>
    <row r="446" spans="1:6">
      <c r="A446" s="432">
        <v>94711</v>
      </c>
      <c r="B446" s="432" t="s">
        <v>1165</v>
      </c>
      <c r="C446" s="433">
        <v>382980.8</v>
      </c>
      <c r="E446" s="432">
        <v>94711</v>
      </c>
      <c r="F446" s="432" t="b">
        <f t="shared" si="6"/>
        <v>1</v>
      </c>
    </row>
    <row r="447" spans="1:6">
      <c r="A447" s="432">
        <v>94801</v>
      </c>
      <c r="B447" s="432" t="s">
        <v>1166</v>
      </c>
      <c r="C447" s="433">
        <v>695580.54</v>
      </c>
      <c r="E447" s="432">
        <v>94801</v>
      </c>
      <c r="F447" s="432" t="b">
        <f t="shared" si="6"/>
        <v>1</v>
      </c>
    </row>
    <row r="448" spans="1:6">
      <c r="A448" s="432">
        <v>94804</v>
      </c>
      <c r="B448" s="432" t="s">
        <v>1167</v>
      </c>
      <c r="C448" s="433">
        <v>7394.05</v>
      </c>
      <c r="E448" s="432">
        <v>94804</v>
      </c>
      <c r="F448" s="432" t="b">
        <f t="shared" si="6"/>
        <v>1</v>
      </c>
    </row>
    <row r="449" spans="1:6">
      <c r="A449" s="432">
        <v>94812</v>
      </c>
      <c r="B449" s="432" t="s">
        <v>1168</v>
      </c>
      <c r="C449" s="433">
        <v>31618.639999999999</v>
      </c>
      <c r="E449" s="432">
        <v>94812</v>
      </c>
      <c r="F449" s="432" t="b">
        <f t="shared" si="6"/>
        <v>1</v>
      </c>
    </row>
    <row r="450" spans="1:6">
      <c r="A450" s="432">
        <v>94901</v>
      </c>
      <c r="B450" s="432" t="s">
        <v>1169</v>
      </c>
      <c r="C450" s="433">
        <v>7577733.2199999997</v>
      </c>
      <c r="E450" s="432">
        <v>94901</v>
      </c>
      <c r="F450" s="432" t="b">
        <f t="shared" si="6"/>
        <v>1</v>
      </c>
    </row>
    <row r="451" spans="1:6">
      <c r="A451" s="432">
        <v>94908</v>
      </c>
      <c r="B451" s="432" t="s">
        <v>3610</v>
      </c>
      <c r="C451" s="433">
        <v>60371.34</v>
      </c>
      <c r="E451" s="432">
        <v>94908</v>
      </c>
      <c r="F451" s="432" t="b">
        <f t="shared" ref="F451:F514" si="7">E451=A451</f>
        <v>1</v>
      </c>
    </row>
    <row r="452" spans="1:6">
      <c r="A452" s="432">
        <v>94911</v>
      </c>
      <c r="B452" s="432" t="s">
        <v>1171</v>
      </c>
      <c r="C452" s="433">
        <v>3104788.03</v>
      </c>
      <c r="E452" s="432">
        <v>94911</v>
      </c>
      <c r="F452" s="432" t="b">
        <f t="shared" si="7"/>
        <v>1</v>
      </c>
    </row>
    <row r="453" spans="1:6">
      <c r="A453" s="432">
        <v>94917</v>
      </c>
      <c r="B453" s="432" t="s">
        <v>1172</v>
      </c>
      <c r="C453" s="433">
        <v>53645.31</v>
      </c>
      <c r="E453" s="432">
        <v>94917</v>
      </c>
      <c r="F453" s="432" t="b">
        <f t="shared" si="7"/>
        <v>1</v>
      </c>
    </row>
    <row r="454" spans="1:6">
      <c r="A454" s="432">
        <v>94921</v>
      </c>
      <c r="B454" s="432" t="s">
        <v>1173</v>
      </c>
      <c r="C454" s="433">
        <v>3996757.9199999995</v>
      </c>
      <c r="E454" s="432">
        <v>94921</v>
      </c>
      <c r="F454" s="432" t="b">
        <f t="shared" si="7"/>
        <v>1</v>
      </c>
    </row>
    <row r="455" spans="1:6">
      <c r="A455" s="432">
        <v>94923</v>
      </c>
      <c r="B455" s="432" t="s">
        <v>1174</v>
      </c>
      <c r="C455" s="433">
        <v>28007.98</v>
      </c>
      <c r="E455" s="432">
        <v>94923</v>
      </c>
      <c r="F455" s="432" t="b">
        <f t="shared" si="7"/>
        <v>1</v>
      </c>
    </row>
    <row r="456" spans="1:6">
      <c r="A456" s="432">
        <v>94927</v>
      </c>
      <c r="B456" s="432" t="s">
        <v>1175</v>
      </c>
      <c r="C456" s="433">
        <v>44327.3</v>
      </c>
      <c r="E456" s="432">
        <v>94927</v>
      </c>
      <c r="F456" s="432" t="b">
        <f t="shared" si="7"/>
        <v>1</v>
      </c>
    </row>
    <row r="457" spans="1:6">
      <c r="A457" s="432">
        <v>94931</v>
      </c>
      <c r="B457" s="432" t="s">
        <v>1176</v>
      </c>
      <c r="C457" s="433">
        <v>301928.45</v>
      </c>
      <c r="E457" s="432">
        <v>94931</v>
      </c>
      <c r="F457" s="432" t="b">
        <f t="shared" si="7"/>
        <v>1</v>
      </c>
    </row>
    <row r="458" spans="1:6">
      <c r="A458" s="432">
        <v>94937</v>
      </c>
      <c r="B458" s="432" t="s">
        <v>1927</v>
      </c>
      <c r="C458" s="433">
        <v>6810.7</v>
      </c>
      <c r="E458" s="432">
        <v>94937</v>
      </c>
      <c r="F458" s="432" t="b">
        <f t="shared" si="7"/>
        <v>1</v>
      </c>
    </row>
    <row r="459" spans="1:6">
      <c r="A459" s="432">
        <v>94941</v>
      </c>
      <c r="B459" s="432" t="s">
        <v>1177</v>
      </c>
      <c r="C459" s="433">
        <v>102921.04</v>
      </c>
      <c r="E459" s="432">
        <v>94941</v>
      </c>
      <c r="F459" s="432" t="b">
        <f t="shared" si="7"/>
        <v>1</v>
      </c>
    </row>
    <row r="460" spans="1:6">
      <c r="A460" s="432">
        <v>94947</v>
      </c>
      <c r="B460" s="432" t="s">
        <v>1928</v>
      </c>
      <c r="C460" s="433">
        <v>13099.9</v>
      </c>
      <c r="E460" s="432">
        <v>94947</v>
      </c>
      <c r="F460" s="432" t="b">
        <f t="shared" si="7"/>
        <v>1</v>
      </c>
    </row>
    <row r="461" spans="1:6">
      <c r="A461" s="432">
        <v>95001</v>
      </c>
      <c r="B461" s="432" t="s">
        <v>1178</v>
      </c>
      <c r="C461" s="433">
        <v>2821521.9000000004</v>
      </c>
      <c r="E461" s="432">
        <v>95001</v>
      </c>
      <c r="F461" s="432" t="b">
        <f t="shared" si="7"/>
        <v>1</v>
      </c>
    </row>
    <row r="462" spans="1:6">
      <c r="A462" s="432">
        <v>95002</v>
      </c>
      <c r="B462" s="432" t="s">
        <v>1179</v>
      </c>
      <c r="C462" s="433">
        <v>205436.37</v>
      </c>
      <c r="E462" s="432">
        <v>95002</v>
      </c>
      <c r="F462" s="432" t="b">
        <f t="shared" si="7"/>
        <v>1</v>
      </c>
    </row>
    <row r="463" spans="1:6">
      <c r="A463" s="432">
        <v>95005</v>
      </c>
      <c r="B463" s="432" t="s">
        <v>1180</v>
      </c>
      <c r="C463" s="433">
        <v>202043.45</v>
      </c>
      <c r="E463" s="432">
        <v>95005</v>
      </c>
      <c r="F463" s="432" t="b">
        <f t="shared" si="7"/>
        <v>1</v>
      </c>
    </row>
    <row r="464" spans="1:6">
      <c r="A464" s="432">
        <v>95008</v>
      </c>
      <c r="B464" s="432" t="s">
        <v>1181</v>
      </c>
      <c r="C464" s="433">
        <v>153297.35999999999</v>
      </c>
      <c r="E464" s="432">
        <v>95008</v>
      </c>
      <c r="F464" s="432" t="b">
        <f t="shared" si="7"/>
        <v>1</v>
      </c>
    </row>
    <row r="465" spans="1:6">
      <c r="A465" s="432">
        <v>95009</v>
      </c>
      <c r="B465" s="432" t="s">
        <v>1182</v>
      </c>
      <c r="C465" s="433">
        <v>8810265.2599999998</v>
      </c>
      <c r="E465" s="432">
        <v>95009</v>
      </c>
      <c r="F465" s="432" t="b">
        <f t="shared" si="7"/>
        <v>1</v>
      </c>
    </row>
    <row r="466" spans="1:6">
      <c r="A466" s="432">
        <v>95010</v>
      </c>
      <c r="B466" s="432" t="s">
        <v>3719</v>
      </c>
      <c r="C466" s="433">
        <v>17566.36</v>
      </c>
      <c r="E466" s="432">
        <v>95010</v>
      </c>
      <c r="F466" s="432" t="b">
        <f t="shared" si="7"/>
        <v>1</v>
      </c>
    </row>
    <row r="467" spans="1:6">
      <c r="A467" s="432">
        <v>95011</v>
      </c>
      <c r="B467" s="432" t="s">
        <v>1183</v>
      </c>
      <c r="C467" s="433">
        <v>227940.98</v>
      </c>
      <c r="E467" s="432">
        <v>95011</v>
      </c>
      <c r="F467" s="432" t="b">
        <f t="shared" si="7"/>
        <v>1</v>
      </c>
    </row>
    <row r="468" spans="1:6">
      <c r="A468" s="432">
        <v>95017</v>
      </c>
      <c r="B468" s="432" t="s">
        <v>1184</v>
      </c>
      <c r="C468" s="433">
        <v>35765.9</v>
      </c>
      <c r="E468" s="432">
        <v>95017</v>
      </c>
      <c r="F468" s="432" t="b">
        <f t="shared" si="7"/>
        <v>1</v>
      </c>
    </row>
    <row r="469" spans="1:6">
      <c r="A469" s="432">
        <v>95101</v>
      </c>
      <c r="B469" s="432" t="s">
        <v>1185</v>
      </c>
      <c r="C469" s="433">
        <v>9960451.1999999974</v>
      </c>
      <c r="E469" s="432">
        <v>95101</v>
      </c>
      <c r="F469" s="432" t="b">
        <f t="shared" si="7"/>
        <v>1</v>
      </c>
    </row>
    <row r="470" spans="1:6">
      <c r="A470" s="432">
        <v>95103</v>
      </c>
      <c r="B470" s="432" t="s">
        <v>1186</v>
      </c>
      <c r="C470" s="433">
        <v>57230.53</v>
      </c>
      <c r="E470" s="432">
        <v>95103</v>
      </c>
      <c r="F470" s="432" t="b">
        <f t="shared" si="7"/>
        <v>1</v>
      </c>
    </row>
    <row r="471" spans="1:6">
      <c r="A471" s="432">
        <v>95104</v>
      </c>
      <c r="B471" s="432" t="s">
        <v>1187</v>
      </c>
      <c r="C471" s="433">
        <v>190152.1</v>
      </c>
      <c r="E471" s="432">
        <v>95104</v>
      </c>
      <c r="F471" s="432" t="b">
        <f t="shared" si="7"/>
        <v>1</v>
      </c>
    </row>
    <row r="472" spans="1:6">
      <c r="A472" s="432">
        <v>95105</v>
      </c>
      <c r="B472" s="432" t="s">
        <v>1188</v>
      </c>
      <c r="C472" s="433">
        <v>53947.22</v>
      </c>
      <c r="E472" s="432">
        <v>95105</v>
      </c>
      <c r="F472" s="432" t="b">
        <f t="shared" si="7"/>
        <v>1</v>
      </c>
    </row>
    <row r="473" spans="1:6">
      <c r="A473" s="432">
        <v>95106</v>
      </c>
      <c r="B473" s="432" t="s">
        <v>1189</v>
      </c>
      <c r="C473" s="433">
        <v>41470.79</v>
      </c>
      <c r="E473" s="432">
        <v>95106</v>
      </c>
      <c r="F473" s="432" t="b">
        <f t="shared" si="7"/>
        <v>1</v>
      </c>
    </row>
    <row r="474" spans="1:6">
      <c r="A474" s="432">
        <v>95110</v>
      </c>
      <c r="B474" s="432" t="s">
        <v>1190</v>
      </c>
      <c r="C474" s="433">
        <v>2352464.37</v>
      </c>
      <c r="E474" s="432">
        <v>95110</v>
      </c>
      <c r="F474" s="432" t="b">
        <f t="shared" si="7"/>
        <v>1</v>
      </c>
    </row>
    <row r="475" spans="1:6">
      <c r="A475" s="432">
        <v>95111</v>
      </c>
      <c r="B475" s="432" t="s">
        <v>1191</v>
      </c>
      <c r="C475" s="433">
        <v>1026484.7000000001</v>
      </c>
      <c r="E475" s="432">
        <v>95111</v>
      </c>
      <c r="F475" s="432" t="b">
        <f t="shared" si="7"/>
        <v>1</v>
      </c>
    </row>
    <row r="476" spans="1:6">
      <c r="A476" s="432">
        <v>95113</v>
      </c>
      <c r="B476" s="432" t="s">
        <v>1192</v>
      </c>
      <c r="C476" s="433">
        <v>104218.79000000001</v>
      </c>
      <c r="E476" s="432">
        <v>95113</v>
      </c>
      <c r="F476" s="432" t="b">
        <f t="shared" si="7"/>
        <v>1</v>
      </c>
    </row>
    <row r="477" spans="1:6">
      <c r="A477" s="432">
        <v>95121</v>
      </c>
      <c r="B477" s="432" t="s">
        <v>1193</v>
      </c>
      <c r="C477" s="433">
        <v>488842.66000000003</v>
      </c>
      <c r="E477" s="432">
        <v>95121</v>
      </c>
      <c r="F477" s="432" t="b">
        <f t="shared" si="7"/>
        <v>1</v>
      </c>
    </row>
    <row r="478" spans="1:6">
      <c r="A478" s="432">
        <v>95122</v>
      </c>
      <c r="B478" s="432" t="s">
        <v>1194</v>
      </c>
      <c r="C478" s="433">
        <v>24646.799999999999</v>
      </c>
      <c r="E478" s="432">
        <v>95122</v>
      </c>
      <c r="F478" s="432" t="b">
        <f t="shared" si="7"/>
        <v>1</v>
      </c>
    </row>
    <row r="479" spans="1:6">
      <c r="A479" s="432">
        <v>95123</v>
      </c>
      <c r="B479" s="432" t="s">
        <v>1195</v>
      </c>
      <c r="C479" s="433">
        <v>44304.72</v>
      </c>
      <c r="E479" s="432">
        <v>95123</v>
      </c>
      <c r="F479" s="432" t="b">
        <f t="shared" si="7"/>
        <v>1</v>
      </c>
    </row>
    <row r="480" spans="1:6">
      <c r="A480" s="432">
        <v>95131</v>
      </c>
      <c r="B480" s="432" t="s">
        <v>1196</v>
      </c>
      <c r="C480" s="433">
        <v>2077978.2600000002</v>
      </c>
      <c r="E480" s="432">
        <v>95131</v>
      </c>
      <c r="F480" s="432" t="b">
        <f t="shared" si="7"/>
        <v>1</v>
      </c>
    </row>
    <row r="481" spans="1:6">
      <c r="A481" s="432">
        <v>95141</v>
      </c>
      <c r="B481" s="432" t="s">
        <v>1197</v>
      </c>
      <c r="C481" s="433">
        <v>456017.19</v>
      </c>
      <c r="E481" s="432">
        <v>95141</v>
      </c>
      <c r="F481" s="432" t="b">
        <f t="shared" si="7"/>
        <v>1</v>
      </c>
    </row>
    <row r="482" spans="1:6">
      <c r="A482" s="432">
        <v>95151</v>
      </c>
      <c r="B482" s="432" t="s">
        <v>1198</v>
      </c>
      <c r="C482" s="433">
        <v>106829.55</v>
      </c>
      <c r="E482" s="432">
        <v>95151</v>
      </c>
      <c r="F482" s="432" t="b">
        <f t="shared" si="7"/>
        <v>1</v>
      </c>
    </row>
    <row r="483" spans="1:6">
      <c r="A483" s="432">
        <v>95161</v>
      </c>
      <c r="B483" s="432" t="s">
        <v>1199</v>
      </c>
      <c r="C483" s="433">
        <v>83428.88</v>
      </c>
      <c r="E483" s="432">
        <v>95161</v>
      </c>
      <c r="F483" s="432" t="b">
        <f t="shared" si="7"/>
        <v>1</v>
      </c>
    </row>
    <row r="484" spans="1:6">
      <c r="A484" s="432">
        <v>95171</v>
      </c>
      <c r="B484" s="432" t="s">
        <v>1200</v>
      </c>
      <c r="C484" s="433">
        <v>99509.33</v>
      </c>
      <c r="E484" s="432">
        <v>95171</v>
      </c>
      <c r="F484" s="432" t="b">
        <f t="shared" si="7"/>
        <v>1</v>
      </c>
    </row>
    <row r="485" spans="1:6">
      <c r="A485" s="432">
        <v>95181</v>
      </c>
      <c r="B485" s="432" t="s">
        <v>1201</v>
      </c>
      <c r="C485" s="433">
        <v>82741.62000000001</v>
      </c>
      <c r="E485" s="432">
        <v>95181</v>
      </c>
      <c r="F485" s="432" t="b">
        <f t="shared" si="7"/>
        <v>1</v>
      </c>
    </row>
    <row r="486" spans="1:6">
      <c r="A486" s="432">
        <v>95191</v>
      </c>
      <c r="B486" s="432" t="s">
        <v>1202</v>
      </c>
      <c r="C486" s="433">
        <v>122124.18</v>
      </c>
      <c r="E486" s="432">
        <v>95191</v>
      </c>
      <c r="F486" s="432" t="b">
        <f t="shared" si="7"/>
        <v>1</v>
      </c>
    </row>
    <row r="487" spans="1:6">
      <c r="A487" s="432">
        <v>95201</v>
      </c>
      <c r="B487" s="432" t="s">
        <v>1203</v>
      </c>
      <c r="C487" s="433">
        <v>647849.78999999992</v>
      </c>
      <c r="E487" s="432">
        <v>95201</v>
      </c>
      <c r="F487" s="432" t="b">
        <f t="shared" si="7"/>
        <v>1</v>
      </c>
    </row>
    <row r="488" spans="1:6">
      <c r="A488" s="432">
        <v>95204</v>
      </c>
      <c r="B488" s="432" t="s">
        <v>1204</v>
      </c>
      <c r="C488" s="433">
        <v>5443.04</v>
      </c>
      <c r="E488" s="432">
        <v>95204</v>
      </c>
      <c r="F488" s="432" t="b">
        <f t="shared" si="7"/>
        <v>1</v>
      </c>
    </row>
    <row r="489" spans="1:6">
      <c r="A489" s="432">
        <v>95205</v>
      </c>
      <c r="B489" s="432" t="s">
        <v>1205</v>
      </c>
      <c r="C489" s="433">
        <v>3474.6</v>
      </c>
      <c r="E489" s="432">
        <v>95205</v>
      </c>
      <c r="F489" s="432" t="b">
        <f t="shared" si="7"/>
        <v>1</v>
      </c>
    </row>
    <row r="490" spans="1:6">
      <c r="A490" s="432">
        <v>95211</v>
      </c>
      <c r="B490" s="432" t="s">
        <v>1206</v>
      </c>
      <c r="C490" s="433">
        <v>2981.12</v>
      </c>
      <c r="E490" s="432">
        <v>95211</v>
      </c>
      <c r="F490" s="432" t="b">
        <f t="shared" si="7"/>
        <v>1</v>
      </c>
    </row>
    <row r="491" spans="1:6">
      <c r="A491" s="432">
        <v>95221</v>
      </c>
      <c r="B491" s="432" t="s">
        <v>1207</v>
      </c>
      <c r="C491" s="433">
        <v>44256.12</v>
      </c>
      <c r="E491" s="432">
        <v>95221</v>
      </c>
      <c r="F491" s="432" t="b">
        <f t="shared" si="7"/>
        <v>1</v>
      </c>
    </row>
    <row r="492" spans="1:6">
      <c r="A492" s="432">
        <v>95301</v>
      </c>
      <c r="B492" s="432" t="s">
        <v>1208</v>
      </c>
      <c r="C492" s="433">
        <v>2538824.14</v>
      </c>
      <c r="E492" s="432">
        <v>95301</v>
      </c>
      <c r="F492" s="432" t="b">
        <f t="shared" si="7"/>
        <v>1</v>
      </c>
    </row>
    <row r="493" spans="1:6">
      <c r="A493" s="432">
        <v>95311</v>
      </c>
      <c r="B493" s="432" t="s">
        <v>1209</v>
      </c>
      <c r="C493" s="433">
        <v>2538322.0099999998</v>
      </c>
      <c r="E493" s="432">
        <v>95311</v>
      </c>
      <c r="F493" s="432" t="b">
        <f t="shared" si="7"/>
        <v>1</v>
      </c>
    </row>
    <row r="494" spans="1:6">
      <c r="A494" s="432">
        <v>95317</v>
      </c>
      <c r="B494" s="432" t="s">
        <v>1210</v>
      </c>
      <c r="C494" s="433">
        <v>69555.28</v>
      </c>
      <c r="E494" s="432">
        <v>95317</v>
      </c>
      <c r="F494" s="432" t="b">
        <f t="shared" si="7"/>
        <v>1</v>
      </c>
    </row>
    <row r="495" spans="1:6">
      <c r="A495" s="432">
        <v>95321</v>
      </c>
      <c r="B495" s="432" t="s">
        <v>1211</v>
      </c>
      <c r="C495" s="433">
        <v>57060.329999999994</v>
      </c>
      <c r="E495" s="432">
        <v>95321</v>
      </c>
      <c r="F495" s="432" t="b">
        <f t="shared" si="7"/>
        <v>1</v>
      </c>
    </row>
    <row r="496" spans="1:6">
      <c r="A496" s="432">
        <v>95401</v>
      </c>
      <c r="B496" s="432" t="s">
        <v>1212</v>
      </c>
      <c r="C496" s="433">
        <v>2403383.38</v>
      </c>
      <c r="E496" s="432">
        <v>95401</v>
      </c>
      <c r="F496" s="432" t="b">
        <f t="shared" si="7"/>
        <v>1</v>
      </c>
    </row>
    <row r="497" spans="1:6">
      <c r="A497" s="432">
        <v>95404</v>
      </c>
      <c r="B497" s="432" t="s">
        <v>1213</v>
      </c>
      <c r="C497" s="433">
        <v>42919.45</v>
      </c>
      <c r="E497" s="432">
        <v>95404</v>
      </c>
      <c r="F497" s="432" t="b">
        <f t="shared" si="7"/>
        <v>1</v>
      </c>
    </row>
    <row r="498" spans="1:6">
      <c r="A498" s="432">
        <v>95405</v>
      </c>
      <c r="B498" s="432" t="s">
        <v>1214</v>
      </c>
      <c r="C498" s="433">
        <v>33763.480000000003</v>
      </c>
      <c r="E498" s="432">
        <v>95405</v>
      </c>
      <c r="F498" s="432" t="b">
        <f t="shared" si="7"/>
        <v>1</v>
      </c>
    </row>
    <row r="499" spans="1:6">
      <c r="A499" s="432">
        <v>95411</v>
      </c>
      <c r="B499" s="432" t="s">
        <v>1215</v>
      </c>
      <c r="C499" s="433">
        <v>1984828.8699999999</v>
      </c>
      <c r="E499" s="432">
        <v>95411</v>
      </c>
      <c r="F499" s="432" t="b">
        <f t="shared" si="7"/>
        <v>1</v>
      </c>
    </row>
    <row r="500" spans="1:6">
      <c r="A500" s="432">
        <v>95413</v>
      </c>
      <c r="B500" s="432" t="s">
        <v>1217</v>
      </c>
      <c r="C500" s="433">
        <v>250303.77</v>
      </c>
      <c r="E500" s="432">
        <v>95413</v>
      </c>
      <c r="F500" s="432" t="b">
        <f t="shared" si="7"/>
        <v>1</v>
      </c>
    </row>
    <row r="501" spans="1:6">
      <c r="A501" s="432">
        <v>95415</v>
      </c>
      <c r="B501" s="432" t="s">
        <v>1218</v>
      </c>
      <c r="C501" s="433">
        <v>61109.95</v>
      </c>
      <c r="E501" s="432">
        <v>95415</v>
      </c>
      <c r="F501" s="432" t="b">
        <f t="shared" si="7"/>
        <v>1</v>
      </c>
    </row>
    <row r="502" spans="1:6">
      <c r="A502" s="432">
        <v>95421</v>
      </c>
      <c r="B502" s="432" t="s">
        <v>1219</v>
      </c>
      <c r="C502" s="433">
        <v>40821.770000000004</v>
      </c>
      <c r="E502" s="432">
        <v>95421</v>
      </c>
      <c r="F502" s="432" t="b">
        <f t="shared" si="7"/>
        <v>1</v>
      </c>
    </row>
    <row r="503" spans="1:6">
      <c r="A503" s="432">
        <v>95431</v>
      </c>
      <c r="B503" s="432" t="s">
        <v>1220</v>
      </c>
      <c r="C503" s="433">
        <v>132008.26999999999</v>
      </c>
      <c r="E503" s="432">
        <v>95431</v>
      </c>
      <c r="F503" s="432" t="b">
        <f t="shared" si="7"/>
        <v>1</v>
      </c>
    </row>
    <row r="504" spans="1:6">
      <c r="A504" s="432">
        <v>95501</v>
      </c>
      <c r="B504" s="432" t="s">
        <v>1221</v>
      </c>
      <c r="C504" s="433">
        <v>5576708.9699999997</v>
      </c>
      <c r="E504" s="432">
        <v>95501</v>
      </c>
      <c r="F504" s="432" t="b">
        <f t="shared" si="7"/>
        <v>1</v>
      </c>
    </row>
    <row r="505" spans="1:6">
      <c r="A505" s="432">
        <v>95504</v>
      </c>
      <c r="B505" s="432" t="s">
        <v>1222</v>
      </c>
      <c r="C505" s="433">
        <v>35872.629999999997</v>
      </c>
      <c r="E505" s="432">
        <v>95504</v>
      </c>
      <c r="F505" s="432" t="b">
        <f t="shared" si="7"/>
        <v>1</v>
      </c>
    </row>
    <row r="506" spans="1:6">
      <c r="A506" s="432">
        <v>95511</v>
      </c>
      <c r="B506" s="432" t="s">
        <v>1223</v>
      </c>
      <c r="C506" s="433">
        <v>1149933.25</v>
      </c>
      <c r="E506" s="432">
        <v>95511</v>
      </c>
      <c r="F506" s="432" t="b">
        <f t="shared" si="7"/>
        <v>1</v>
      </c>
    </row>
    <row r="507" spans="1:6">
      <c r="A507" s="432">
        <v>95513</v>
      </c>
      <c r="B507" s="432" t="s">
        <v>1224</v>
      </c>
      <c r="C507" s="433">
        <v>60059.09</v>
      </c>
      <c r="E507" s="432">
        <v>95513</v>
      </c>
      <c r="F507" s="432" t="b">
        <f t="shared" si="7"/>
        <v>1</v>
      </c>
    </row>
    <row r="508" spans="1:6">
      <c r="A508" s="432">
        <v>95517</v>
      </c>
      <c r="B508" s="432" t="s">
        <v>1225</v>
      </c>
      <c r="C508" s="433">
        <v>23394.74</v>
      </c>
      <c r="E508" s="432">
        <v>95517</v>
      </c>
      <c r="F508" s="432" t="b">
        <f t="shared" si="7"/>
        <v>1</v>
      </c>
    </row>
    <row r="509" spans="1:6">
      <c r="A509" s="432">
        <v>95601</v>
      </c>
      <c r="B509" s="432" t="s">
        <v>1226</v>
      </c>
      <c r="C509" s="433">
        <v>2564858.54</v>
      </c>
      <c r="E509" s="432">
        <v>95601</v>
      </c>
      <c r="F509" s="432" t="b">
        <f t="shared" si="7"/>
        <v>1</v>
      </c>
    </row>
    <row r="510" spans="1:6">
      <c r="A510" s="432">
        <v>95611</v>
      </c>
      <c r="B510" s="432" t="s">
        <v>1227</v>
      </c>
      <c r="C510" s="433">
        <v>345370.45</v>
      </c>
      <c r="E510" s="432">
        <v>95611</v>
      </c>
      <c r="F510" s="432" t="b">
        <f t="shared" si="7"/>
        <v>1</v>
      </c>
    </row>
    <row r="511" spans="1:6">
      <c r="A511" s="432">
        <v>95617</v>
      </c>
      <c r="B511" s="432" t="s">
        <v>1228</v>
      </c>
      <c r="C511" s="433">
        <v>23270.85</v>
      </c>
      <c r="E511" s="432">
        <v>95617</v>
      </c>
      <c r="F511" s="432" t="b">
        <f t="shared" si="7"/>
        <v>1</v>
      </c>
    </row>
    <row r="512" spans="1:6">
      <c r="A512" s="432">
        <v>95621</v>
      </c>
      <c r="B512" s="432" t="s">
        <v>1229</v>
      </c>
      <c r="C512" s="433">
        <v>459914.2</v>
      </c>
      <c r="E512" s="432">
        <v>95621</v>
      </c>
      <c r="F512" s="432" t="b">
        <f t="shared" si="7"/>
        <v>1</v>
      </c>
    </row>
    <row r="513" spans="1:6">
      <c r="A513" s="432">
        <v>95701</v>
      </c>
      <c r="B513" s="432" t="s">
        <v>1230</v>
      </c>
      <c r="C513" s="433">
        <v>1189192</v>
      </c>
      <c r="E513" s="432">
        <v>95701</v>
      </c>
      <c r="F513" s="432" t="b">
        <f t="shared" si="7"/>
        <v>1</v>
      </c>
    </row>
    <row r="514" spans="1:6">
      <c r="A514" s="432">
        <v>95711</v>
      </c>
      <c r="B514" s="432" t="s">
        <v>1231</v>
      </c>
      <c r="C514" s="433">
        <v>162494.49</v>
      </c>
      <c r="E514" s="432">
        <v>95711</v>
      </c>
      <c r="F514" s="432" t="b">
        <f t="shared" si="7"/>
        <v>1</v>
      </c>
    </row>
    <row r="515" spans="1:6">
      <c r="A515" s="432">
        <v>95721</v>
      </c>
      <c r="B515" s="432" t="s">
        <v>1232</v>
      </c>
      <c r="C515" s="433">
        <v>60881.26</v>
      </c>
      <c r="E515" s="432">
        <v>95721</v>
      </c>
      <c r="F515" s="432" t="b">
        <f t="shared" ref="F515:F578" si="8">E515=A515</f>
        <v>1</v>
      </c>
    </row>
    <row r="516" spans="1:6">
      <c r="A516" s="432">
        <v>95733</v>
      </c>
      <c r="B516" s="432" t="s">
        <v>1233</v>
      </c>
      <c r="C516" s="433">
        <v>14434</v>
      </c>
      <c r="E516" s="432">
        <v>95733</v>
      </c>
      <c r="F516" s="432" t="b">
        <f t="shared" si="8"/>
        <v>1</v>
      </c>
    </row>
    <row r="517" spans="1:6">
      <c r="A517" s="432">
        <v>95801</v>
      </c>
      <c r="B517" s="432" t="s">
        <v>1234</v>
      </c>
      <c r="C517" s="433">
        <v>941631.16999999993</v>
      </c>
      <c r="E517" s="432">
        <v>95801</v>
      </c>
      <c r="F517" s="432" t="b">
        <f t="shared" si="8"/>
        <v>1</v>
      </c>
    </row>
    <row r="518" spans="1:6">
      <c r="A518" s="432">
        <v>95802</v>
      </c>
      <c r="B518" s="432" t="s">
        <v>1235</v>
      </c>
      <c r="C518" s="433">
        <v>10157.030000000001</v>
      </c>
      <c r="E518" s="432">
        <v>95802</v>
      </c>
      <c r="F518" s="432" t="b">
        <f t="shared" si="8"/>
        <v>1</v>
      </c>
    </row>
    <row r="519" spans="1:6">
      <c r="A519" s="432">
        <v>95804</v>
      </c>
      <c r="B519" s="432" t="s">
        <v>1236</v>
      </c>
      <c r="C519" s="433">
        <v>25325.77</v>
      </c>
      <c r="E519" s="432">
        <v>95804</v>
      </c>
      <c r="F519" s="432" t="b">
        <f t="shared" si="8"/>
        <v>1</v>
      </c>
    </row>
    <row r="520" spans="1:6">
      <c r="A520" s="432">
        <v>95811</v>
      </c>
      <c r="B520" s="432" t="s">
        <v>1237</v>
      </c>
      <c r="C520" s="433">
        <v>515593.73</v>
      </c>
      <c r="E520" s="432">
        <v>95811</v>
      </c>
      <c r="F520" s="432" t="b">
        <f t="shared" si="8"/>
        <v>1</v>
      </c>
    </row>
    <row r="521" spans="1:6">
      <c r="A521" s="432">
        <v>95813</v>
      </c>
      <c r="B521" s="432" t="s">
        <v>1238</v>
      </c>
      <c r="C521" s="433">
        <v>50109.07</v>
      </c>
      <c r="E521" s="432">
        <v>95813</v>
      </c>
      <c r="F521" s="432" t="b">
        <f t="shared" si="8"/>
        <v>1</v>
      </c>
    </row>
    <row r="522" spans="1:6">
      <c r="A522" s="432">
        <v>95821</v>
      </c>
      <c r="B522" s="432" t="s">
        <v>1239</v>
      </c>
      <c r="C522" s="433">
        <v>3394.85</v>
      </c>
      <c r="E522" s="432">
        <v>95821</v>
      </c>
      <c r="F522" s="432" t="b">
        <f t="shared" si="8"/>
        <v>1</v>
      </c>
    </row>
    <row r="523" spans="1:6">
      <c r="A523" s="432">
        <v>95831</v>
      </c>
      <c r="B523" s="432" t="s">
        <v>1240</v>
      </c>
      <c r="C523" s="433">
        <v>24237.19</v>
      </c>
      <c r="E523" s="432">
        <v>95831</v>
      </c>
      <c r="F523" s="432" t="b">
        <f t="shared" si="8"/>
        <v>1</v>
      </c>
    </row>
    <row r="524" spans="1:6">
      <c r="A524" s="432">
        <v>95841</v>
      </c>
      <c r="B524" s="432" t="s">
        <v>1241</v>
      </c>
      <c r="C524" s="433">
        <v>22849.57</v>
      </c>
      <c r="E524" s="432">
        <v>95841</v>
      </c>
      <c r="F524" s="432" t="b">
        <f t="shared" si="8"/>
        <v>1</v>
      </c>
    </row>
    <row r="525" spans="1:6">
      <c r="A525" s="432">
        <v>95851</v>
      </c>
      <c r="B525" s="432" t="s">
        <v>1242</v>
      </c>
      <c r="C525" s="433">
        <v>94115.99</v>
      </c>
      <c r="E525" s="432">
        <v>95851</v>
      </c>
      <c r="F525" s="432" t="b">
        <f t="shared" si="8"/>
        <v>1</v>
      </c>
    </row>
    <row r="526" spans="1:6">
      <c r="A526" s="432">
        <v>95853</v>
      </c>
      <c r="B526" s="432" t="s">
        <v>1243</v>
      </c>
      <c r="C526" s="433">
        <v>26329.98</v>
      </c>
      <c r="E526" s="432">
        <v>95853</v>
      </c>
      <c r="F526" s="432" t="b">
        <f t="shared" si="8"/>
        <v>1</v>
      </c>
    </row>
    <row r="527" spans="1:6">
      <c r="A527" s="432">
        <v>95901</v>
      </c>
      <c r="B527" s="432" t="s">
        <v>1244</v>
      </c>
      <c r="C527" s="433">
        <v>2090236.6300000001</v>
      </c>
      <c r="E527" s="432">
        <v>95901</v>
      </c>
      <c r="F527" s="432" t="b">
        <f t="shared" si="8"/>
        <v>1</v>
      </c>
    </row>
    <row r="528" spans="1:6">
      <c r="A528" s="432">
        <v>95908</v>
      </c>
      <c r="B528" s="432" t="s">
        <v>1245</v>
      </c>
      <c r="C528" s="433">
        <v>72211.829999999987</v>
      </c>
      <c r="E528" s="432">
        <v>95908</v>
      </c>
      <c r="F528" s="432" t="b">
        <f t="shared" si="8"/>
        <v>1</v>
      </c>
    </row>
    <row r="529" spans="1:6">
      <c r="A529" s="432">
        <v>95911</v>
      </c>
      <c r="B529" s="432" t="s">
        <v>1246</v>
      </c>
      <c r="C529" s="433">
        <v>618952.67000000016</v>
      </c>
      <c r="E529" s="432">
        <v>95911</v>
      </c>
      <c r="F529" s="432" t="b">
        <f t="shared" si="8"/>
        <v>1</v>
      </c>
    </row>
    <row r="530" spans="1:6">
      <c r="A530" s="432">
        <v>95917</v>
      </c>
      <c r="B530" s="432" t="s">
        <v>1247</v>
      </c>
      <c r="C530" s="433">
        <v>31395.71</v>
      </c>
      <c r="E530" s="432">
        <v>95917</v>
      </c>
      <c r="F530" s="432" t="b">
        <f t="shared" si="8"/>
        <v>1</v>
      </c>
    </row>
    <row r="531" spans="1:6">
      <c r="A531" s="432">
        <v>95921</v>
      </c>
      <c r="B531" s="432" t="s">
        <v>1248</v>
      </c>
      <c r="C531" s="433">
        <v>49108.560000000005</v>
      </c>
      <c r="E531" s="432">
        <v>95921</v>
      </c>
      <c r="F531" s="432" t="b">
        <f t="shared" si="8"/>
        <v>1</v>
      </c>
    </row>
    <row r="532" spans="1:6">
      <c r="A532" s="432">
        <v>96001</v>
      </c>
      <c r="B532" s="432" t="s">
        <v>1249</v>
      </c>
      <c r="C532" s="433">
        <v>43904931.460000001</v>
      </c>
      <c r="E532" s="432">
        <v>96001</v>
      </c>
      <c r="F532" s="432" t="b">
        <f t="shared" si="8"/>
        <v>1</v>
      </c>
    </row>
    <row r="533" spans="1:6">
      <c r="A533" s="432">
        <v>96003</v>
      </c>
      <c r="B533" s="432" t="s">
        <v>3723</v>
      </c>
      <c r="C533" s="433">
        <v>1952071.56</v>
      </c>
      <c r="E533" s="432">
        <v>96003</v>
      </c>
      <c r="F533" s="432" t="b">
        <f t="shared" si="8"/>
        <v>1</v>
      </c>
    </row>
    <row r="534" spans="1:6">
      <c r="A534" s="432">
        <v>96004</v>
      </c>
      <c r="B534" s="432" t="s">
        <v>1251</v>
      </c>
      <c r="C534" s="433">
        <v>1507800.2</v>
      </c>
      <c r="E534" s="432">
        <v>96004</v>
      </c>
      <c r="F534" s="432" t="b">
        <f t="shared" si="8"/>
        <v>1</v>
      </c>
    </row>
    <row r="535" spans="1:6">
      <c r="A535" s="432">
        <v>96005</v>
      </c>
      <c r="B535" s="432" t="s">
        <v>1252</v>
      </c>
      <c r="C535" s="433">
        <v>2689175.71</v>
      </c>
      <c r="E535" s="432">
        <v>96005</v>
      </c>
      <c r="F535" s="432" t="b">
        <f t="shared" si="8"/>
        <v>1</v>
      </c>
    </row>
    <row r="536" spans="1:6">
      <c r="A536" s="432">
        <v>96008</v>
      </c>
      <c r="B536" s="432" t="s">
        <v>1253</v>
      </c>
      <c r="C536" s="433">
        <v>5005614.83</v>
      </c>
      <c r="E536" s="432">
        <v>96008</v>
      </c>
      <c r="F536" s="432" t="b">
        <f t="shared" si="8"/>
        <v>1</v>
      </c>
    </row>
    <row r="537" spans="1:6">
      <c r="A537" s="432">
        <v>96009</v>
      </c>
      <c r="B537" s="432" t="s">
        <v>1254</v>
      </c>
      <c r="C537" s="433">
        <v>420270.58</v>
      </c>
      <c r="E537" s="432">
        <v>96009</v>
      </c>
      <c r="F537" s="432" t="b">
        <f t="shared" si="8"/>
        <v>1</v>
      </c>
    </row>
    <row r="538" spans="1:6">
      <c r="A538" s="432">
        <v>96011</v>
      </c>
      <c r="B538" s="432" t="s">
        <v>1255</v>
      </c>
      <c r="C538" s="433">
        <v>65662682.379999995</v>
      </c>
      <c r="E538" s="432">
        <v>96011</v>
      </c>
      <c r="F538" s="432" t="b">
        <f t="shared" si="8"/>
        <v>1</v>
      </c>
    </row>
    <row r="539" spans="1:6">
      <c r="A539" s="432">
        <v>96012</v>
      </c>
      <c r="B539" s="432" t="s">
        <v>3724</v>
      </c>
      <c r="C539" s="433">
        <v>2848309.45</v>
      </c>
      <c r="E539" s="432">
        <v>96012</v>
      </c>
      <c r="F539" s="432" t="b">
        <f t="shared" si="8"/>
        <v>1</v>
      </c>
    </row>
    <row r="540" spans="1:6">
      <c r="A540" s="432">
        <v>96018</v>
      </c>
      <c r="B540" s="432" t="s">
        <v>1257</v>
      </c>
      <c r="C540" s="433">
        <v>43496.77</v>
      </c>
      <c r="E540" s="432">
        <v>96018</v>
      </c>
      <c r="F540" s="432" t="b">
        <f t="shared" si="8"/>
        <v>1</v>
      </c>
    </row>
    <row r="541" spans="1:6">
      <c r="A541" s="432">
        <v>96021</v>
      </c>
      <c r="B541" s="432" t="s">
        <v>1258</v>
      </c>
      <c r="C541" s="433">
        <v>772653.57000000007</v>
      </c>
      <c r="E541" s="432">
        <v>96021</v>
      </c>
      <c r="F541" s="432" t="b">
        <f t="shared" si="8"/>
        <v>1</v>
      </c>
    </row>
    <row r="542" spans="1:6">
      <c r="A542" s="432">
        <v>96031</v>
      </c>
      <c r="B542" s="432" t="s">
        <v>1259</v>
      </c>
      <c r="C542" s="433">
        <v>818137.88</v>
      </c>
      <c r="E542" s="432">
        <v>96031</v>
      </c>
      <c r="F542" s="432" t="b">
        <f t="shared" si="8"/>
        <v>1</v>
      </c>
    </row>
    <row r="543" spans="1:6">
      <c r="A543" s="432">
        <v>96041</v>
      </c>
      <c r="B543" s="432" t="s">
        <v>1260</v>
      </c>
      <c r="C543" s="433">
        <v>2008981.35</v>
      </c>
      <c r="E543" s="432">
        <v>96041</v>
      </c>
      <c r="F543" s="432" t="b">
        <f t="shared" si="8"/>
        <v>1</v>
      </c>
    </row>
    <row r="544" spans="1:6">
      <c r="A544" s="432">
        <v>96051</v>
      </c>
      <c r="B544" s="432" t="s">
        <v>1261</v>
      </c>
      <c r="C544" s="433">
        <v>1164049.9300000002</v>
      </c>
      <c r="E544" s="432">
        <v>96051</v>
      </c>
      <c r="F544" s="432" t="b">
        <f t="shared" si="8"/>
        <v>1</v>
      </c>
    </row>
    <row r="545" spans="1:6">
      <c r="A545" s="432">
        <v>96061</v>
      </c>
      <c r="B545" s="432" t="s">
        <v>1262</v>
      </c>
      <c r="C545" s="433">
        <v>359176</v>
      </c>
      <c r="E545" s="432">
        <v>96061</v>
      </c>
      <c r="F545" s="432" t="b">
        <f t="shared" si="8"/>
        <v>1</v>
      </c>
    </row>
    <row r="546" spans="1:6">
      <c r="A546" s="432">
        <v>96071</v>
      </c>
      <c r="B546" s="432" t="s">
        <v>1263</v>
      </c>
      <c r="C546" s="433">
        <v>1493894.6199999999</v>
      </c>
      <c r="E546" s="432">
        <v>96071</v>
      </c>
      <c r="F546" s="432" t="b">
        <f t="shared" si="8"/>
        <v>1</v>
      </c>
    </row>
    <row r="547" spans="1:6">
      <c r="A547" s="432">
        <v>96081</v>
      </c>
      <c r="B547" s="432" t="s">
        <v>1264</v>
      </c>
      <c r="C547" s="433">
        <v>682810.96</v>
      </c>
      <c r="E547" s="432">
        <v>96081</v>
      </c>
      <c r="F547" s="432" t="b">
        <f t="shared" si="8"/>
        <v>1</v>
      </c>
    </row>
    <row r="548" spans="1:6">
      <c r="A548" s="432">
        <v>96101</v>
      </c>
      <c r="B548" s="432" t="s">
        <v>1265</v>
      </c>
      <c r="C548" s="433">
        <v>741077.59000000008</v>
      </c>
      <c r="E548" s="432">
        <v>96101</v>
      </c>
      <c r="F548" s="432" t="b">
        <f t="shared" si="8"/>
        <v>1</v>
      </c>
    </row>
    <row r="549" spans="1:6">
      <c r="A549" s="432">
        <v>96102</v>
      </c>
      <c r="B549" s="432" t="s">
        <v>1266</v>
      </c>
      <c r="C549" s="433">
        <v>6903.38</v>
      </c>
      <c r="E549" s="432">
        <v>96102</v>
      </c>
      <c r="F549" s="432" t="b">
        <f t="shared" si="8"/>
        <v>1</v>
      </c>
    </row>
    <row r="550" spans="1:6">
      <c r="A550" s="432">
        <v>96111</v>
      </c>
      <c r="B550" s="432" t="s">
        <v>1267</v>
      </c>
      <c r="C550" s="433">
        <v>179547.76</v>
      </c>
      <c r="E550" s="432">
        <v>96111</v>
      </c>
      <c r="F550" s="432" t="b">
        <f t="shared" si="8"/>
        <v>1</v>
      </c>
    </row>
    <row r="551" spans="1:6">
      <c r="A551" s="432">
        <v>96121</v>
      </c>
      <c r="B551" s="432" t="s">
        <v>1268</v>
      </c>
      <c r="C551" s="433">
        <v>14100.81</v>
      </c>
      <c r="E551" s="432">
        <v>96121</v>
      </c>
      <c r="F551" s="432" t="b">
        <f t="shared" si="8"/>
        <v>1</v>
      </c>
    </row>
    <row r="552" spans="1:6">
      <c r="A552" s="432">
        <v>96201</v>
      </c>
      <c r="B552" s="432" t="s">
        <v>1269</v>
      </c>
      <c r="C552" s="433">
        <v>1155531.7200000002</v>
      </c>
      <c r="E552" s="432">
        <v>96201</v>
      </c>
      <c r="F552" s="432" t="b">
        <f t="shared" si="8"/>
        <v>1</v>
      </c>
    </row>
    <row r="553" spans="1:6">
      <c r="A553" s="432">
        <v>96204</v>
      </c>
      <c r="B553" s="432" t="s">
        <v>1270</v>
      </c>
      <c r="C553" s="433">
        <v>18404.47</v>
      </c>
      <c r="E553" s="432">
        <v>96204</v>
      </c>
      <c r="F553" s="432" t="b">
        <f t="shared" si="8"/>
        <v>1</v>
      </c>
    </row>
    <row r="554" spans="1:6">
      <c r="A554" s="432">
        <v>96211</v>
      </c>
      <c r="B554" s="432" t="s">
        <v>1271</v>
      </c>
      <c r="C554" s="433">
        <v>44568.07</v>
      </c>
      <c r="E554" s="432">
        <v>96211</v>
      </c>
      <c r="F554" s="432" t="b">
        <f t="shared" si="8"/>
        <v>1</v>
      </c>
    </row>
    <row r="555" spans="1:6">
      <c r="A555" s="432">
        <v>96221</v>
      </c>
      <c r="B555" s="432" t="s">
        <v>1272</v>
      </c>
      <c r="C555" s="433">
        <v>184168.08000000002</v>
      </c>
      <c r="E555" s="432">
        <v>96221</v>
      </c>
      <c r="F555" s="432" t="b">
        <f t="shared" si="8"/>
        <v>1</v>
      </c>
    </row>
    <row r="556" spans="1:6">
      <c r="A556" s="432">
        <v>96231</v>
      </c>
      <c r="B556" s="432" t="s">
        <v>1273</v>
      </c>
      <c r="C556" s="433">
        <v>139508.87</v>
      </c>
      <c r="E556" s="432">
        <v>96231</v>
      </c>
      <c r="F556" s="432" t="b">
        <f t="shared" si="8"/>
        <v>1</v>
      </c>
    </row>
    <row r="557" spans="1:6">
      <c r="A557" s="432">
        <v>96241</v>
      </c>
      <c r="B557" s="432" t="s">
        <v>1274</v>
      </c>
      <c r="C557" s="433">
        <v>49893.09</v>
      </c>
      <c r="E557" s="432">
        <v>96241</v>
      </c>
      <c r="F557" s="432" t="b">
        <f t="shared" si="8"/>
        <v>1</v>
      </c>
    </row>
    <row r="558" spans="1:6">
      <c r="A558" s="432">
        <v>96251</v>
      </c>
      <c r="B558" s="432" t="s">
        <v>1275</v>
      </c>
      <c r="C558" s="433">
        <v>98824.26</v>
      </c>
      <c r="E558" s="432">
        <v>96251</v>
      </c>
      <c r="F558" s="432" t="b">
        <f t="shared" si="8"/>
        <v>1</v>
      </c>
    </row>
    <row r="559" spans="1:6">
      <c r="A559" s="432">
        <v>96301</v>
      </c>
      <c r="B559" s="432" t="s">
        <v>1276</v>
      </c>
      <c r="C559" s="433">
        <v>4872624.1399999997</v>
      </c>
      <c r="E559" s="432">
        <v>96301</v>
      </c>
      <c r="F559" s="432" t="b">
        <f t="shared" si="8"/>
        <v>1</v>
      </c>
    </row>
    <row r="560" spans="1:6">
      <c r="A560" s="432">
        <v>96302</v>
      </c>
      <c r="B560" s="432" t="s">
        <v>1277</v>
      </c>
      <c r="C560" s="433">
        <v>32741.519999999997</v>
      </c>
      <c r="E560" s="432">
        <v>96302</v>
      </c>
      <c r="F560" s="432" t="b">
        <f t="shared" si="8"/>
        <v>1</v>
      </c>
    </row>
    <row r="561" spans="1:6">
      <c r="A561" s="432">
        <v>96304</v>
      </c>
      <c r="B561" s="432" t="s">
        <v>1278</v>
      </c>
      <c r="C561" s="433">
        <v>59955.13</v>
      </c>
      <c r="E561" s="432">
        <v>96304</v>
      </c>
      <c r="F561" s="432" t="b">
        <f t="shared" si="8"/>
        <v>1</v>
      </c>
    </row>
    <row r="562" spans="1:6">
      <c r="A562" s="432">
        <v>96305</v>
      </c>
      <c r="B562" s="432" t="s">
        <v>1279</v>
      </c>
      <c r="C562" s="433">
        <v>41664.1</v>
      </c>
      <c r="E562" s="432">
        <v>96305</v>
      </c>
      <c r="F562" s="432" t="b">
        <f t="shared" si="8"/>
        <v>1</v>
      </c>
    </row>
    <row r="563" spans="1:6">
      <c r="A563" s="432">
        <v>96310</v>
      </c>
      <c r="B563" s="432" t="s">
        <v>1280</v>
      </c>
      <c r="C563" s="433">
        <v>63001.23</v>
      </c>
      <c r="E563" s="432">
        <v>96310</v>
      </c>
      <c r="F563" s="432" t="b">
        <f t="shared" si="8"/>
        <v>1</v>
      </c>
    </row>
    <row r="564" spans="1:6">
      <c r="A564" s="432">
        <v>96311</v>
      </c>
      <c r="B564" s="432" t="s">
        <v>1281</v>
      </c>
      <c r="C564" s="433">
        <v>1278804.05</v>
      </c>
      <c r="E564" s="432">
        <v>96311</v>
      </c>
      <c r="F564" s="432" t="b">
        <f t="shared" si="8"/>
        <v>1</v>
      </c>
    </row>
    <row r="565" spans="1:6">
      <c r="A565" s="432">
        <v>96312</v>
      </c>
      <c r="B565" s="432" t="s">
        <v>1282</v>
      </c>
      <c r="C565" s="433">
        <v>8175.93</v>
      </c>
      <c r="E565" s="432">
        <v>96312</v>
      </c>
      <c r="F565" s="432" t="b">
        <f t="shared" si="8"/>
        <v>1</v>
      </c>
    </row>
    <row r="566" spans="1:6">
      <c r="A566" s="432">
        <v>96318</v>
      </c>
      <c r="B566" s="432" t="s">
        <v>1283</v>
      </c>
      <c r="C566" s="433">
        <v>2939561.89</v>
      </c>
      <c r="E566" s="432">
        <v>96318</v>
      </c>
      <c r="F566" s="432" t="b">
        <f t="shared" si="8"/>
        <v>1</v>
      </c>
    </row>
    <row r="567" spans="1:6">
      <c r="A567" s="432">
        <v>96321</v>
      </c>
      <c r="B567" s="432" t="s">
        <v>1284</v>
      </c>
      <c r="C567" s="433">
        <v>38817.199999999997</v>
      </c>
      <c r="E567" s="432">
        <v>96321</v>
      </c>
      <c r="F567" s="432" t="b">
        <f t="shared" si="8"/>
        <v>1</v>
      </c>
    </row>
    <row r="568" spans="1:6">
      <c r="A568" s="432">
        <v>96331</v>
      </c>
      <c r="B568" s="432" t="s">
        <v>1285</v>
      </c>
      <c r="C568" s="433">
        <v>672288.80999999994</v>
      </c>
      <c r="E568" s="432">
        <v>96331</v>
      </c>
      <c r="F568" s="432" t="b">
        <f t="shared" si="8"/>
        <v>1</v>
      </c>
    </row>
    <row r="569" spans="1:6">
      <c r="A569" s="432">
        <v>96341</v>
      </c>
      <c r="B569" s="432" t="s">
        <v>1286</v>
      </c>
      <c r="C569" s="433">
        <v>68779.090000000011</v>
      </c>
      <c r="E569" s="432">
        <v>96341</v>
      </c>
      <c r="F569" s="432" t="b">
        <f t="shared" si="8"/>
        <v>1</v>
      </c>
    </row>
    <row r="570" spans="1:6">
      <c r="A570" s="432">
        <v>96351</v>
      </c>
      <c r="B570" s="432" t="s">
        <v>1287</v>
      </c>
      <c r="C570" s="433">
        <v>1051943.72</v>
      </c>
      <c r="E570" s="432">
        <v>96351</v>
      </c>
      <c r="F570" s="432" t="b">
        <f t="shared" si="8"/>
        <v>1</v>
      </c>
    </row>
    <row r="571" spans="1:6">
      <c r="A571" s="432">
        <v>96361</v>
      </c>
      <c r="B571" s="432" t="s">
        <v>1288</v>
      </c>
      <c r="C571" s="433">
        <v>74586.139999999985</v>
      </c>
      <c r="E571" s="432">
        <v>96361</v>
      </c>
      <c r="F571" s="432" t="b">
        <f t="shared" si="8"/>
        <v>1</v>
      </c>
    </row>
    <row r="572" spans="1:6">
      <c r="A572" s="432">
        <v>96371</v>
      </c>
      <c r="B572" s="432" t="s">
        <v>1289</v>
      </c>
      <c r="C572" s="433">
        <v>178463.02</v>
      </c>
      <c r="E572" s="432">
        <v>96371</v>
      </c>
      <c r="F572" s="432" t="b">
        <f t="shared" si="8"/>
        <v>1</v>
      </c>
    </row>
    <row r="573" spans="1:6">
      <c r="A573" s="432">
        <v>96381</v>
      </c>
      <c r="B573" s="432" t="s">
        <v>1290</v>
      </c>
      <c r="C573" s="433">
        <v>41595.97</v>
      </c>
      <c r="E573" s="432">
        <v>96381</v>
      </c>
      <c r="F573" s="432" t="b">
        <f t="shared" si="8"/>
        <v>1</v>
      </c>
    </row>
    <row r="574" spans="1:6">
      <c r="A574" s="432">
        <v>96391</v>
      </c>
      <c r="B574" s="432" t="s">
        <v>1291</v>
      </c>
      <c r="C574" s="433">
        <v>189479.37</v>
      </c>
      <c r="E574" s="432">
        <v>96391</v>
      </c>
      <c r="F574" s="432" t="b">
        <f t="shared" si="8"/>
        <v>1</v>
      </c>
    </row>
    <row r="575" spans="1:6">
      <c r="A575" s="432">
        <v>96401</v>
      </c>
      <c r="B575" s="432" t="s">
        <v>1292</v>
      </c>
      <c r="C575" s="433">
        <v>4189198.75</v>
      </c>
      <c r="E575" s="432">
        <v>96401</v>
      </c>
      <c r="F575" s="432" t="b">
        <f t="shared" si="8"/>
        <v>1</v>
      </c>
    </row>
    <row r="576" spans="1:6">
      <c r="A576" s="432">
        <v>96404</v>
      </c>
      <c r="B576" s="432" t="s">
        <v>1293</v>
      </c>
      <c r="C576" s="433">
        <v>145319.76999999999</v>
      </c>
      <c r="E576" s="432">
        <v>96404</v>
      </c>
      <c r="F576" s="432" t="b">
        <f t="shared" si="8"/>
        <v>1</v>
      </c>
    </row>
    <row r="577" spans="1:6">
      <c r="A577" s="432">
        <v>96405</v>
      </c>
      <c r="B577" s="432" t="s">
        <v>1294</v>
      </c>
      <c r="C577" s="433">
        <v>133529.14000000001</v>
      </c>
      <c r="E577" s="432">
        <v>96405</v>
      </c>
      <c r="F577" s="432" t="b">
        <f t="shared" si="8"/>
        <v>1</v>
      </c>
    </row>
    <row r="578" spans="1:6">
      <c r="A578" s="432">
        <v>96411</v>
      </c>
      <c r="B578" s="432" t="s">
        <v>1295</v>
      </c>
      <c r="C578" s="433">
        <v>76850.86</v>
      </c>
      <c r="E578" s="432">
        <v>96411</v>
      </c>
      <c r="F578" s="432" t="b">
        <f t="shared" si="8"/>
        <v>1</v>
      </c>
    </row>
    <row r="579" spans="1:6">
      <c r="A579" s="432">
        <v>96421</v>
      </c>
      <c r="B579" s="432" t="s">
        <v>1296</v>
      </c>
      <c r="C579" s="433">
        <v>441172.34</v>
      </c>
      <c r="E579" s="432">
        <v>96421</v>
      </c>
      <c r="F579" s="432" t="b">
        <f t="shared" ref="F579:F642" si="9">E579=A579</f>
        <v>1</v>
      </c>
    </row>
    <row r="580" spans="1:6">
      <c r="A580" s="432">
        <v>96431</v>
      </c>
      <c r="B580" s="432" t="s">
        <v>1297</v>
      </c>
      <c r="C580" s="433">
        <v>59333.65</v>
      </c>
      <c r="E580" s="432">
        <v>96431</v>
      </c>
      <c r="F580" s="432" t="b">
        <f t="shared" si="9"/>
        <v>1</v>
      </c>
    </row>
    <row r="581" spans="1:6">
      <c r="A581" s="432">
        <v>96441</v>
      </c>
      <c r="B581" s="432" t="s">
        <v>1298</v>
      </c>
      <c r="C581" s="433">
        <v>22455.53</v>
      </c>
      <c r="E581" s="432">
        <v>96441</v>
      </c>
      <c r="F581" s="432" t="b">
        <f t="shared" si="9"/>
        <v>1</v>
      </c>
    </row>
    <row r="582" spans="1:6">
      <c r="A582" s="432">
        <v>96451</v>
      </c>
      <c r="B582" s="432" t="s">
        <v>1299</v>
      </c>
      <c r="C582" s="433">
        <v>17401.02</v>
      </c>
      <c r="E582" s="432">
        <v>96451</v>
      </c>
      <c r="F582" s="432" t="b">
        <f t="shared" si="9"/>
        <v>1</v>
      </c>
    </row>
    <row r="583" spans="1:6">
      <c r="A583" s="432">
        <v>96461</v>
      </c>
      <c r="B583" s="432" t="s">
        <v>1300</v>
      </c>
      <c r="C583" s="433">
        <v>129580.48999999999</v>
      </c>
      <c r="E583" s="432">
        <v>96461</v>
      </c>
      <c r="F583" s="432" t="b">
        <f t="shared" si="9"/>
        <v>1</v>
      </c>
    </row>
    <row r="584" spans="1:6">
      <c r="A584" s="432">
        <v>96501</v>
      </c>
      <c r="B584" s="432" t="s">
        <v>1301</v>
      </c>
      <c r="C584" s="433">
        <v>15812999.41</v>
      </c>
      <c r="E584" s="432">
        <v>96501</v>
      </c>
      <c r="F584" s="432" t="b">
        <f t="shared" si="9"/>
        <v>1</v>
      </c>
    </row>
    <row r="585" spans="1:6">
      <c r="A585" s="432">
        <v>96502</v>
      </c>
      <c r="B585" s="432" t="s">
        <v>1302</v>
      </c>
      <c r="C585" s="433">
        <v>367526.98</v>
      </c>
      <c r="E585" s="432">
        <v>96502</v>
      </c>
      <c r="F585" s="432" t="b">
        <f t="shared" si="9"/>
        <v>1</v>
      </c>
    </row>
    <row r="586" spans="1:6">
      <c r="A586" s="432">
        <v>96503</v>
      </c>
      <c r="B586" s="432" t="s">
        <v>1303</v>
      </c>
      <c r="C586" s="433">
        <v>618022.62</v>
      </c>
      <c r="E586" s="432">
        <v>96503</v>
      </c>
      <c r="F586" s="432" t="b">
        <f t="shared" si="9"/>
        <v>1</v>
      </c>
    </row>
    <row r="587" spans="1:6">
      <c r="A587" s="432">
        <v>96504</v>
      </c>
      <c r="B587" s="432" t="s">
        <v>1304</v>
      </c>
      <c r="C587" s="433">
        <v>370033.66</v>
      </c>
      <c r="E587" s="432">
        <v>96504</v>
      </c>
      <c r="F587" s="432" t="b">
        <f t="shared" si="9"/>
        <v>1</v>
      </c>
    </row>
    <row r="588" spans="1:6">
      <c r="A588" s="432">
        <v>96507</v>
      </c>
      <c r="B588" s="432" t="s">
        <v>1305</v>
      </c>
      <c r="C588" s="433">
        <v>2440068.13</v>
      </c>
      <c r="E588" s="432">
        <v>96507</v>
      </c>
      <c r="F588" s="432" t="b">
        <f t="shared" si="9"/>
        <v>1</v>
      </c>
    </row>
    <row r="589" spans="1:6">
      <c r="A589" s="432">
        <v>96508</v>
      </c>
      <c r="B589" s="432" t="s">
        <v>1306</v>
      </c>
      <c r="C589" s="433">
        <v>21402</v>
      </c>
      <c r="E589" s="432">
        <v>96508</v>
      </c>
      <c r="F589" s="432" t="b">
        <f t="shared" si="9"/>
        <v>1</v>
      </c>
    </row>
    <row r="590" spans="1:6">
      <c r="A590" s="432">
        <v>96511</v>
      </c>
      <c r="B590" s="432" t="s">
        <v>1307</v>
      </c>
      <c r="C590" s="433">
        <v>570394.04999999993</v>
      </c>
      <c r="E590" s="432">
        <v>96511</v>
      </c>
      <c r="F590" s="432" t="b">
        <f t="shared" si="9"/>
        <v>1</v>
      </c>
    </row>
    <row r="591" spans="1:6">
      <c r="A591" s="432">
        <v>96512</v>
      </c>
      <c r="B591" s="432" t="s">
        <v>1308</v>
      </c>
      <c r="C591" s="433">
        <v>173347.9</v>
      </c>
      <c r="E591" s="432">
        <v>96512</v>
      </c>
      <c r="F591" s="432" t="b">
        <f t="shared" si="9"/>
        <v>1</v>
      </c>
    </row>
    <row r="592" spans="1:6">
      <c r="A592" s="432">
        <v>96521</v>
      </c>
      <c r="B592" s="432" t="s">
        <v>1309</v>
      </c>
      <c r="C592" s="433">
        <v>951294.14</v>
      </c>
      <c r="E592" s="432">
        <v>96521</v>
      </c>
      <c r="F592" s="432" t="b">
        <f t="shared" si="9"/>
        <v>1</v>
      </c>
    </row>
    <row r="593" spans="1:6">
      <c r="A593" s="432">
        <v>96531</v>
      </c>
      <c r="B593" s="432" t="s">
        <v>1310</v>
      </c>
      <c r="C593" s="433">
        <v>8331839.1099999994</v>
      </c>
      <c r="E593" s="432">
        <v>96531</v>
      </c>
      <c r="F593" s="432" t="b">
        <f t="shared" si="9"/>
        <v>1</v>
      </c>
    </row>
    <row r="594" spans="1:6">
      <c r="A594" s="432">
        <v>96541</v>
      </c>
      <c r="B594" s="432" t="s">
        <v>1311</v>
      </c>
      <c r="C594" s="433">
        <v>393510.99</v>
      </c>
      <c r="E594" s="432">
        <v>96541</v>
      </c>
      <c r="F594" s="432" t="b">
        <f t="shared" si="9"/>
        <v>1</v>
      </c>
    </row>
    <row r="595" spans="1:6">
      <c r="A595" s="432">
        <v>96601</v>
      </c>
      <c r="B595" s="432" t="s">
        <v>1312</v>
      </c>
      <c r="C595" s="433">
        <v>1538938.4799999997</v>
      </c>
      <c r="E595" s="432">
        <v>96601</v>
      </c>
      <c r="F595" s="432" t="b">
        <f t="shared" si="9"/>
        <v>1</v>
      </c>
    </row>
    <row r="596" spans="1:6">
      <c r="A596" s="432">
        <v>96604</v>
      </c>
      <c r="B596" s="432" t="s">
        <v>1313</v>
      </c>
      <c r="C596" s="433">
        <v>8279.6299999999992</v>
      </c>
      <c r="E596" s="432">
        <v>96604</v>
      </c>
      <c r="F596" s="432" t="b">
        <f t="shared" si="9"/>
        <v>1</v>
      </c>
    </row>
    <row r="597" spans="1:6">
      <c r="A597" s="432">
        <v>96611</v>
      </c>
      <c r="B597" s="432" t="s">
        <v>1314</v>
      </c>
      <c r="C597" s="433">
        <v>35193.61</v>
      </c>
      <c r="E597" s="432">
        <v>96611</v>
      </c>
      <c r="F597" s="432" t="b">
        <f t="shared" si="9"/>
        <v>1</v>
      </c>
    </row>
    <row r="598" spans="1:6">
      <c r="A598" s="432">
        <v>96612</v>
      </c>
      <c r="B598" s="432" t="s">
        <v>1315</v>
      </c>
      <c r="C598" s="433">
        <v>43493</v>
      </c>
      <c r="E598" s="432">
        <v>96612</v>
      </c>
      <c r="F598" s="432" t="b">
        <f t="shared" si="9"/>
        <v>1</v>
      </c>
    </row>
    <row r="599" spans="1:6">
      <c r="A599" s="432">
        <v>96621</v>
      </c>
      <c r="B599" s="432" t="s">
        <v>1316</v>
      </c>
      <c r="C599" s="433">
        <v>27046.530000000002</v>
      </c>
      <c r="E599" s="432">
        <v>96621</v>
      </c>
      <c r="F599" s="432" t="b">
        <f t="shared" si="9"/>
        <v>1</v>
      </c>
    </row>
    <row r="600" spans="1:6">
      <c r="A600" s="432">
        <v>96631</v>
      </c>
      <c r="B600" s="432" t="s">
        <v>1317</v>
      </c>
      <c r="C600" s="433">
        <v>32449.02</v>
      </c>
      <c r="E600" s="432">
        <v>96631</v>
      </c>
      <c r="F600" s="432" t="b">
        <f t="shared" si="9"/>
        <v>1</v>
      </c>
    </row>
    <row r="601" spans="1:6">
      <c r="A601" s="432">
        <v>96641</v>
      </c>
      <c r="B601" s="432" t="s">
        <v>1318</v>
      </c>
      <c r="C601" s="433">
        <v>37113.910000000003</v>
      </c>
      <c r="E601" s="432">
        <v>96641</v>
      </c>
      <c r="F601" s="432" t="b">
        <f t="shared" si="9"/>
        <v>1</v>
      </c>
    </row>
    <row r="602" spans="1:6">
      <c r="A602" s="432">
        <v>96651</v>
      </c>
      <c r="B602" s="432" t="s">
        <v>1319</v>
      </c>
      <c r="C602" s="433">
        <v>18083.400000000001</v>
      </c>
      <c r="E602" s="432">
        <v>96651</v>
      </c>
      <c r="F602" s="432" t="b">
        <f t="shared" si="9"/>
        <v>1</v>
      </c>
    </row>
    <row r="603" spans="1:6">
      <c r="A603" s="432">
        <v>96661</v>
      </c>
      <c r="B603" s="432" t="s">
        <v>1320</v>
      </c>
      <c r="C603" s="433">
        <v>15250.81</v>
      </c>
      <c r="E603" s="432">
        <v>96661</v>
      </c>
      <c r="F603" s="432" t="b">
        <f t="shared" si="9"/>
        <v>1</v>
      </c>
    </row>
    <row r="604" spans="1:6">
      <c r="A604" s="432">
        <v>96671</v>
      </c>
      <c r="B604" s="432" t="s">
        <v>1321</v>
      </c>
      <c r="C604" s="433">
        <v>18021.93</v>
      </c>
      <c r="E604" s="432">
        <v>96671</v>
      </c>
      <c r="F604" s="432" t="b">
        <f t="shared" si="9"/>
        <v>1</v>
      </c>
    </row>
    <row r="605" spans="1:6">
      <c r="A605" s="432">
        <v>96681</v>
      </c>
      <c r="B605" s="432" t="s">
        <v>1322</v>
      </c>
      <c r="C605" s="433">
        <v>31088.920000000002</v>
      </c>
      <c r="E605" s="432">
        <v>96681</v>
      </c>
      <c r="F605" s="432" t="b">
        <f t="shared" si="9"/>
        <v>1</v>
      </c>
    </row>
    <row r="606" spans="1:6">
      <c r="A606" s="432">
        <v>96701</v>
      </c>
      <c r="B606" s="432" t="s">
        <v>1323</v>
      </c>
      <c r="C606" s="433">
        <v>8148780.7399999993</v>
      </c>
      <c r="E606" s="432">
        <v>96701</v>
      </c>
      <c r="F606" s="432" t="b">
        <f t="shared" si="9"/>
        <v>1</v>
      </c>
    </row>
    <row r="607" spans="1:6">
      <c r="A607" s="432">
        <v>96704</v>
      </c>
      <c r="B607" s="432" t="s">
        <v>1324</v>
      </c>
      <c r="C607" s="433">
        <v>348779.87</v>
      </c>
      <c r="E607" s="432">
        <v>96704</v>
      </c>
      <c r="F607" s="432" t="b">
        <f t="shared" si="9"/>
        <v>1</v>
      </c>
    </row>
    <row r="608" spans="1:6">
      <c r="A608" s="432">
        <v>96708</v>
      </c>
      <c r="B608" s="432" t="s">
        <v>1325</v>
      </c>
      <c r="C608" s="433">
        <v>948845.70000000007</v>
      </c>
      <c r="E608" s="432">
        <v>96708</v>
      </c>
      <c r="F608" s="432" t="b">
        <f t="shared" si="9"/>
        <v>1</v>
      </c>
    </row>
    <row r="609" spans="1:6">
      <c r="A609" s="432">
        <v>96711</v>
      </c>
      <c r="B609" s="432" t="s">
        <v>1326</v>
      </c>
      <c r="C609" s="433">
        <v>3968198.29</v>
      </c>
      <c r="E609" s="432">
        <v>96711</v>
      </c>
      <c r="F609" s="432" t="b">
        <f t="shared" si="9"/>
        <v>1</v>
      </c>
    </row>
    <row r="610" spans="1:6">
      <c r="A610" s="432">
        <v>96721</v>
      </c>
      <c r="B610" s="432" t="s">
        <v>1327</v>
      </c>
      <c r="C610" s="433">
        <v>236567.13</v>
      </c>
      <c r="E610" s="432">
        <v>96721</v>
      </c>
      <c r="F610" s="432" t="b">
        <f t="shared" si="9"/>
        <v>1</v>
      </c>
    </row>
    <row r="611" spans="1:6">
      <c r="A611" s="432">
        <v>96722</v>
      </c>
      <c r="B611" s="432" t="s">
        <v>3757</v>
      </c>
      <c r="C611" s="433">
        <v>21352.76</v>
      </c>
      <c r="E611" s="432">
        <v>96722</v>
      </c>
      <c r="F611" s="432" t="b">
        <f t="shared" si="9"/>
        <v>1</v>
      </c>
    </row>
    <row r="612" spans="1:6">
      <c r="A612" s="432">
        <v>96731</v>
      </c>
      <c r="B612" s="432" t="s">
        <v>1328</v>
      </c>
      <c r="C612" s="433">
        <v>200229.31000000003</v>
      </c>
      <c r="E612" s="432">
        <v>96731</v>
      </c>
      <c r="F612" s="432" t="b">
        <f t="shared" si="9"/>
        <v>1</v>
      </c>
    </row>
    <row r="613" spans="1:6">
      <c r="A613" s="432">
        <v>96741</v>
      </c>
      <c r="B613" s="432" t="s">
        <v>1330</v>
      </c>
      <c r="C613" s="433">
        <v>83639.86</v>
      </c>
      <c r="E613" s="432">
        <v>96741</v>
      </c>
      <c r="F613" s="432" t="b">
        <f t="shared" si="9"/>
        <v>1</v>
      </c>
    </row>
    <row r="614" spans="1:6">
      <c r="A614" s="432">
        <v>96751</v>
      </c>
      <c r="B614" s="432" t="s">
        <v>1331</v>
      </c>
      <c r="C614" s="433">
        <v>310875.7</v>
      </c>
      <c r="E614" s="432">
        <v>96751</v>
      </c>
      <c r="F614" s="432" t="b">
        <f t="shared" si="9"/>
        <v>1</v>
      </c>
    </row>
    <row r="615" spans="1:6">
      <c r="A615" s="432">
        <v>96801</v>
      </c>
      <c r="B615" s="432" t="s">
        <v>1332</v>
      </c>
      <c r="C615" s="433">
        <v>7705219.2600000007</v>
      </c>
      <c r="E615" s="432">
        <v>96801</v>
      </c>
      <c r="F615" s="432" t="b">
        <f t="shared" si="9"/>
        <v>1</v>
      </c>
    </row>
    <row r="616" spans="1:6">
      <c r="A616" s="432">
        <v>96804</v>
      </c>
      <c r="B616" s="432" t="s">
        <v>1333</v>
      </c>
      <c r="C616" s="433">
        <v>253477.81</v>
      </c>
      <c r="E616" s="432">
        <v>96804</v>
      </c>
      <c r="F616" s="432" t="b">
        <f t="shared" si="9"/>
        <v>1</v>
      </c>
    </row>
    <row r="617" spans="1:6">
      <c r="A617" s="432">
        <v>96808</v>
      </c>
      <c r="B617" s="432" t="s">
        <v>1334</v>
      </c>
      <c r="C617" s="433">
        <v>1151412.5900000001</v>
      </c>
      <c r="E617" s="432">
        <v>96808</v>
      </c>
      <c r="F617" s="432" t="b">
        <f t="shared" si="9"/>
        <v>1</v>
      </c>
    </row>
    <row r="618" spans="1:6">
      <c r="A618" s="432">
        <v>96811</v>
      </c>
      <c r="B618" s="432" t="s">
        <v>1335</v>
      </c>
      <c r="C618" s="433">
        <v>5975919.04</v>
      </c>
      <c r="E618" s="432">
        <v>96811</v>
      </c>
      <c r="F618" s="432" t="b">
        <f t="shared" si="9"/>
        <v>1</v>
      </c>
    </row>
    <row r="619" spans="1:6">
      <c r="A619" s="432">
        <v>96821</v>
      </c>
      <c r="B619" s="432" t="s">
        <v>1336</v>
      </c>
      <c r="C619" s="433">
        <v>1235395.42</v>
      </c>
      <c r="E619" s="432">
        <v>96821</v>
      </c>
      <c r="F619" s="432" t="b">
        <f t="shared" si="9"/>
        <v>1</v>
      </c>
    </row>
    <row r="620" spans="1:6">
      <c r="A620" s="432">
        <v>96831</v>
      </c>
      <c r="B620" s="432" t="s">
        <v>1337</v>
      </c>
      <c r="C620" s="433">
        <v>943324.8</v>
      </c>
      <c r="E620" s="432">
        <v>96831</v>
      </c>
      <c r="F620" s="432" t="b">
        <f t="shared" si="9"/>
        <v>1</v>
      </c>
    </row>
    <row r="621" spans="1:6">
      <c r="A621" s="432">
        <v>96901</v>
      </c>
      <c r="B621" s="432" t="s">
        <v>1338</v>
      </c>
      <c r="C621" s="433">
        <v>860493.55999999994</v>
      </c>
      <c r="E621" s="432">
        <v>96901</v>
      </c>
      <c r="F621" s="432" t="b">
        <f t="shared" si="9"/>
        <v>1</v>
      </c>
    </row>
    <row r="622" spans="1:6">
      <c r="A622" s="432">
        <v>96911</v>
      </c>
      <c r="B622" s="432" t="s">
        <v>1339</v>
      </c>
      <c r="C622" s="433">
        <v>6906.55</v>
      </c>
      <c r="E622" s="432">
        <v>96911</v>
      </c>
      <c r="F622" s="432" t="b">
        <f t="shared" si="9"/>
        <v>1</v>
      </c>
    </row>
    <row r="623" spans="1:6">
      <c r="A623" s="432">
        <v>96912</v>
      </c>
      <c r="B623" s="432" t="s">
        <v>1340</v>
      </c>
      <c r="C623" s="433">
        <v>62100.31</v>
      </c>
      <c r="E623" s="432">
        <v>96912</v>
      </c>
      <c r="F623" s="432" t="b">
        <f t="shared" si="9"/>
        <v>1</v>
      </c>
    </row>
    <row r="624" spans="1:6">
      <c r="A624" s="432">
        <v>96918</v>
      </c>
      <c r="B624" s="432" t="s">
        <v>1341</v>
      </c>
      <c r="C624" s="433">
        <v>40607.56</v>
      </c>
      <c r="E624" s="432">
        <v>96918</v>
      </c>
      <c r="F624" s="432" t="b">
        <f t="shared" si="9"/>
        <v>1</v>
      </c>
    </row>
    <row r="625" spans="1:6">
      <c r="A625" s="432">
        <v>97001</v>
      </c>
      <c r="B625" s="432" t="s">
        <v>1342</v>
      </c>
      <c r="C625" s="433">
        <v>1560387.54</v>
      </c>
      <c r="E625" s="432">
        <v>97001</v>
      </c>
      <c r="F625" s="432" t="b">
        <f t="shared" si="9"/>
        <v>1</v>
      </c>
    </row>
    <row r="626" spans="1:6">
      <c r="A626" s="432">
        <v>97002</v>
      </c>
      <c r="B626" s="432" t="s">
        <v>1343</v>
      </c>
      <c r="C626" s="433">
        <v>337515.18</v>
      </c>
      <c r="E626" s="432">
        <v>97002</v>
      </c>
      <c r="F626" s="432" t="b">
        <f t="shared" si="9"/>
        <v>1</v>
      </c>
    </row>
    <row r="627" spans="1:6">
      <c r="A627" s="432">
        <v>97004</v>
      </c>
      <c r="B627" s="432" t="s">
        <v>1344</v>
      </c>
      <c r="C627" s="433">
        <v>13061.45</v>
      </c>
      <c r="E627" s="432">
        <v>97004</v>
      </c>
      <c r="F627" s="432" t="b">
        <f t="shared" si="9"/>
        <v>1</v>
      </c>
    </row>
    <row r="628" spans="1:6">
      <c r="A628" s="432">
        <v>97005</v>
      </c>
      <c r="B628" s="432" t="s">
        <v>1345</v>
      </c>
      <c r="C628" s="433">
        <v>20871.689999999999</v>
      </c>
      <c r="E628" s="432">
        <v>97005</v>
      </c>
      <c r="F628" s="432" t="b">
        <f t="shared" si="9"/>
        <v>1</v>
      </c>
    </row>
    <row r="629" spans="1:6">
      <c r="A629" s="432">
        <v>97008</v>
      </c>
      <c r="B629" s="432" t="s">
        <v>1346</v>
      </c>
      <c r="C629" s="433">
        <v>284315.98</v>
      </c>
      <c r="E629" s="432">
        <v>97008</v>
      </c>
      <c r="F629" s="432" t="b">
        <f t="shared" si="9"/>
        <v>1</v>
      </c>
    </row>
    <row r="630" spans="1:6">
      <c r="A630" s="432">
        <v>97011</v>
      </c>
      <c r="B630" s="432" t="s">
        <v>1348</v>
      </c>
      <c r="C630" s="433">
        <v>1739458.1199999999</v>
      </c>
      <c r="E630" s="432">
        <v>97011</v>
      </c>
      <c r="F630" s="432" t="b">
        <f t="shared" si="9"/>
        <v>1</v>
      </c>
    </row>
    <row r="631" spans="1:6">
      <c r="A631" s="432">
        <v>97012</v>
      </c>
      <c r="B631" s="432" t="s">
        <v>1349</v>
      </c>
      <c r="C631" s="433">
        <v>29238.35</v>
      </c>
      <c r="E631" s="432">
        <v>97012</v>
      </c>
      <c r="F631" s="432" t="b">
        <f t="shared" si="9"/>
        <v>1</v>
      </c>
    </row>
    <row r="632" spans="1:6">
      <c r="A632" s="432">
        <v>97013</v>
      </c>
      <c r="B632" s="432" t="s">
        <v>1350</v>
      </c>
      <c r="C632" s="433">
        <v>31962.35</v>
      </c>
      <c r="E632" s="432">
        <v>97013</v>
      </c>
      <c r="F632" s="432" t="b">
        <f t="shared" si="9"/>
        <v>1</v>
      </c>
    </row>
    <row r="633" spans="1:6">
      <c r="A633" s="432">
        <v>97015</v>
      </c>
      <c r="B633" s="432" t="s">
        <v>1351</v>
      </c>
      <c r="C633" s="433">
        <v>44631.56</v>
      </c>
      <c r="E633" s="432">
        <v>97015</v>
      </c>
      <c r="F633" s="432" t="b">
        <f t="shared" si="9"/>
        <v>1</v>
      </c>
    </row>
    <row r="634" spans="1:6">
      <c r="A634" s="432">
        <v>97018</v>
      </c>
      <c r="B634" s="432" t="s">
        <v>1352</v>
      </c>
      <c r="C634" s="433">
        <v>8164.8</v>
      </c>
      <c r="E634" s="432">
        <v>97018</v>
      </c>
      <c r="F634" s="432" t="b">
        <f t="shared" si="9"/>
        <v>1</v>
      </c>
    </row>
    <row r="635" spans="1:6">
      <c r="A635" s="432">
        <v>97101</v>
      </c>
      <c r="B635" s="432" t="s">
        <v>1353</v>
      </c>
      <c r="C635" s="433">
        <v>3043879.0700000003</v>
      </c>
      <c r="E635" s="432">
        <v>97101</v>
      </c>
      <c r="F635" s="432" t="b">
        <f t="shared" si="9"/>
        <v>1</v>
      </c>
    </row>
    <row r="636" spans="1:6">
      <c r="A636" s="432">
        <v>97104</v>
      </c>
      <c r="B636" s="432" t="s">
        <v>1354</v>
      </c>
      <c r="C636" s="433">
        <v>90245.68</v>
      </c>
      <c r="E636" s="432">
        <v>97104</v>
      </c>
      <c r="F636" s="432" t="b">
        <f t="shared" si="9"/>
        <v>1</v>
      </c>
    </row>
    <row r="637" spans="1:6">
      <c r="A637" s="432">
        <v>97111</v>
      </c>
      <c r="B637" s="432" t="s">
        <v>1355</v>
      </c>
      <c r="C637" s="433">
        <v>329380.65000000002</v>
      </c>
      <c r="E637" s="432">
        <v>97111</v>
      </c>
      <c r="F637" s="432" t="b">
        <f t="shared" si="9"/>
        <v>1</v>
      </c>
    </row>
    <row r="638" spans="1:6">
      <c r="A638" s="432">
        <v>97121</v>
      </c>
      <c r="B638" s="432" t="s">
        <v>1356</v>
      </c>
      <c r="C638" s="433">
        <v>218913.91999999998</v>
      </c>
      <c r="E638" s="432">
        <v>97121</v>
      </c>
      <c r="F638" s="432" t="b">
        <f t="shared" si="9"/>
        <v>1</v>
      </c>
    </row>
    <row r="639" spans="1:6">
      <c r="A639" s="432">
        <v>97131</v>
      </c>
      <c r="B639" s="432" t="s">
        <v>1357</v>
      </c>
      <c r="C639" s="433">
        <v>695529.43</v>
      </c>
      <c r="E639" s="432">
        <v>97131</v>
      </c>
      <c r="F639" s="432" t="b">
        <f t="shared" si="9"/>
        <v>1</v>
      </c>
    </row>
    <row r="640" spans="1:6">
      <c r="A640" s="432">
        <v>97201</v>
      </c>
      <c r="B640" s="432" t="s">
        <v>1358</v>
      </c>
      <c r="C640" s="433">
        <v>656693.88</v>
      </c>
      <c r="E640" s="432">
        <v>97201</v>
      </c>
      <c r="F640" s="432" t="b">
        <f t="shared" si="9"/>
        <v>1</v>
      </c>
    </row>
    <row r="641" spans="1:6">
      <c r="A641" s="432">
        <v>97211</v>
      </c>
      <c r="B641" s="432" t="s">
        <v>1359</v>
      </c>
      <c r="C641" s="433">
        <v>105394.78</v>
      </c>
      <c r="E641" s="432">
        <v>97211</v>
      </c>
      <c r="F641" s="432" t="b">
        <f t="shared" si="9"/>
        <v>1</v>
      </c>
    </row>
    <row r="642" spans="1:6">
      <c r="A642" s="432">
        <v>97213</v>
      </c>
      <c r="B642" s="432" t="s">
        <v>1360</v>
      </c>
      <c r="C642" s="433">
        <v>37461.06</v>
      </c>
      <c r="E642" s="432">
        <v>97213</v>
      </c>
      <c r="F642" s="432" t="b">
        <f t="shared" si="9"/>
        <v>1</v>
      </c>
    </row>
    <row r="643" spans="1:6">
      <c r="A643" s="432">
        <v>97217</v>
      </c>
      <c r="B643" s="432" t="s">
        <v>1361</v>
      </c>
      <c r="C643" s="433">
        <v>12159.5</v>
      </c>
      <c r="E643" s="432">
        <v>97217</v>
      </c>
      <c r="F643" s="432" t="b">
        <f t="shared" ref="F643:F706" si="10">E643=A643</f>
        <v>1</v>
      </c>
    </row>
    <row r="644" spans="1:6">
      <c r="A644" s="432">
        <v>97221</v>
      </c>
      <c r="B644" s="432" t="s">
        <v>1362</v>
      </c>
      <c r="C644" s="433">
        <v>3566.15</v>
      </c>
      <c r="E644" s="432">
        <v>97221</v>
      </c>
      <c r="F644" s="432" t="b">
        <f t="shared" si="10"/>
        <v>1</v>
      </c>
    </row>
    <row r="645" spans="1:6">
      <c r="A645" s="432">
        <v>97301</v>
      </c>
      <c r="B645" s="432" t="s">
        <v>1363</v>
      </c>
      <c r="C645" s="433">
        <v>2303341.2200000002</v>
      </c>
      <c r="E645" s="432">
        <v>97301</v>
      </c>
      <c r="F645" s="432" t="b">
        <f t="shared" si="10"/>
        <v>1</v>
      </c>
    </row>
    <row r="646" spans="1:6">
      <c r="A646" s="432">
        <v>97302</v>
      </c>
      <c r="B646" s="432" t="s">
        <v>3611</v>
      </c>
      <c r="C646" s="433">
        <v>54068.84</v>
      </c>
      <c r="E646" s="432">
        <v>97302</v>
      </c>
      <c r="F646" s="432" t="b">
        <f t="shared" si="10"/>
        <v>1</v>
      </c>
    </row>
    <row r="647" spans="1:6">
      <c r="A647" s="432">
        <v>97304</v>
      </c>
      <c r="B647" s="432" t="s">
        <v>1364</v>
      </c>
      <c r="C647" s="433">
        <v>40358.36</v>
      </c>
      <c r="E647" s="432">
        <v>97304</v>
      </c>
      <c r="F647" s="432" t="b">
        <f t="shared" si="10"/>
        <v>1</v>
      </c>
    </row>
    <row r="648" spans="1:6">
      <c r="A648" s="432">
        <v>97311</v>
      </c>
      <c r="B648" s="432" t="s">
        <v>1365</v>
      </c>
      <c r="C648" s="433">
        <v>798130.80999999994</v>
      </c>
      <c r="E648" s="432">
        <v>97311</v>
      </c>
      <c r="F648" s="432" t="b">
        <f t="shared" si="10"/>
        <v>1</v>
      </c>
    </row>
    <row r="649" spans="1:6">
      <c r="A649" s="432">
        <v>97401</v>
      </c>
      <c r="B649" s="432" t="s">
        <v>1366</v>
      </c>
      <c r="C649" s="433">
        <v>6970843.8099999996</v>
      </c>
      <c r="E649" s="432">
        <v>97401</v>
      </c>
      <c r="F649" s="432" t="b">
        <f t="shared" si="10"/>
        <v>1</v>
      </c>
    </row>
    <row r="650" spans="1:6">
      <c r="A650" s="432">
        <v>97402</v>
      </c>
      <c r="B650" s="432" t="s">
        <v>1367</v>
      </c>
      <c r="C650" s="433">
        <v>37437.019999999997</v>
      </c>
      <c r="E650" s="432">
        <v>97402</v>
      </c>
      <c r="F650" s="432" t="b">
        <f t="shared" si="10"/>
        <v>1</v>
      </c>
    </row>
    <row r="651" spans="1:6">
      <c r="A651" s="432">
        <v>97404</v>
      </c>
      <c r="B651" s="432" t="s">
        <v>1368</v>
      </c>
      <c r="C651" s="433">
        <v>262232.27999999997</v>
      </c>
      <c r="E651" s="432">
        <v>97404</v>
      </c>
      <c r="F651" s="432" t="b">
        <f t="shared" si="10"/>
        <v>1</v>
      </c>
    </row>
    <row r="652" spans="1:6">
      <c r="A652" s="432">
        <v>97405</v>
      </c>
      <c r="B652" s="432" t="s">
        <v>1369</v>
      </c>
      <c r="C652" s="433">
        <v>113920.7</v>
      </c>
      <c r="E652" s="432">
        <v>97405</v>
      </c>
      <c r="F652" s="432" t="b">
        <f t="shared" si="10"/>
        <v>1</v>
      </c>
    </row>
    <row r="653" spans="1:6">
      <c r="A653" s="432">
        <v>97408</v>
      </c>
      <c r="B653" s="432" t="s">
        <v>1370</v>
      </c>
      <c r="C653" s="433">
        <v>51251.07</v>
      </c>
      <c r="E653" s="432">
        <v>97408</v>
      </c>
      <c r="F653" s="432" t="b">
        <f t="shared" si="10"/>
        <v>1</v>
      </c>
    </row>
    <row r="654" spans="1:6">
      <c r="A654" s="432">
        <v>97411</v>
      </c>
      <c r="B654" s="432" t="s">
        <v>1371</v>
      </c>
      <c r="C654" s="433">
        <v>5672724.1799999997</v>
      </c>
      <c r="E654" s="432">
        <v>97411</v>
      </c>
      <c r="F654" s="432" t="b">
        <f t="shared" si="10"/>
        <v>1</v>
      </c>
    </row>
    <row r="655" spans="1:6">
      <c r="A655" s="432">
        <v>97412</v>
      </c>
      <c r="B655" s="432" t="s">
        <v>1372</v>
      </c>
      <c r="C655" s="433">
        <v>4301119.58</v>
      </c>
      <c r="E655" s="432">
        <v>97412</v>
      </c>
      <c r="F655" s="432" t="b">
        <f t="shared" si="10"/>
        <v>1</v>
      </c>
    </row>
    <row r="656" spans="1:6">
      <c r="A656" s="432">
        <v>97413</v>
      </c>
      <c r="B656" s="432" t="s">
        <v>1373</v>
      </c>
      <c r="C656" s="433">
        <v>349384.18</v>
      </c>
      <c r="E656" s="432">
        <v>97413</v>
      </c>
      <c r="F656" s="432" t="b">
        <f t="shared" si="10"/>
        <v>1</v>
      </c>
    </row>
    <row r="657" spans="1:6">
      <c r="A657" s="432">
        <v>97421</v>
      </c>
      <c r="B657" s="432" t="s">
        <v>1374</v>
      </c>
      <c r="C657" s="433">
        <v>373628.18000000005</v>
      </c>
      <c r="E657" s="432">
        <v>97421</v>
      </c>
      <c r="F657" s="432" t="b">
        <f t="shared" si="10"/>
        <v>1</v>
      </c>
    </row>
    <row r="658" spans="1:6">
      <c r="A658" s="432">
        <v>97423</v>
      </c>
      <c r="B658" s="432" t="s">
        <v>1375</v>
      </c>
      <c r="C658" s="433">
        <v>67132.509999999995</v>
      </c>
      <c r="E658" s="432">
        <v>97423</v>
      </c>
      <c r="F658" s="432" t="b">
        <f t="shared" si="10"/>
        <v>1</v>
      </c>
    </row>
    <row r="659" spans="1:6">
      <c r="A659" s="432">
        <v>97431</v>
      </c>
      <c r="B659" s="432" t="s">
        <v>1376</v>
      </c>
      <c r="C659" s="433">
        <v>86563.36</v>
      </c>
      <c r="E659" s="432">
        <v>97431</v>
      </c>
      <c r="F659" s="432" t="b">
        <f t="shared" si="10"/>
        <v>1</v>
      </c>
    </row>
    <row r="660" spans="1:6">
      <c r="A660" s="432">
        <v>97441</v>
      </c>
      <c r="B660" s="432" t="s">
        <v>1377</v>
      </c>
      <c r="C660" s="433">
        <v>27034.489999999998</v>
      </c>
      <c r="E660" s="432">
        <v>97441</v>
      </c>
      <c r="F660" s="432" t="b">
        <f t="shared" si="10"/>
        <v>1</v>
      </c>
    </row>
    <row r="661" spans="1:6">
      <c r="A661" s="432">
        <v>97451</v>
      </c>
      <c r="B661" s="432" t="s">
        <v>1378</v>
      </c>
      <c r="C661" s="433">
        <v>600101.64</v>
      </c>
      <c r="E661" s="432">
        <v>97451</v>
      </c>
      <c r="F661" s="432" t="b">
        <f t="shared" si="10"/>
        <v>1</v>
      </c>
    </row>
    <row r="662" spans="1:6">
      <c r="A662" s="432">
        <v>97461</v>
      </c>
      <c r="B662" s="432" t="s">
        <v>1379</v>
      </c>
      <c r="C662" s="433">
        <v>441841.86</v>
      </c>
      <c r="E662" s="432">
        <v>97461</v>
      </c>
      <c r="F662" s="432" t="b">
        <f t="shared" si="10"/>
        <v>1</v>
      </c>
    </row>
    <row r="663" spans="1:6">
      <c r="A663" s="432">
        <v>97471</v>
      </c>
      <c r="B663" s="432" t="s">
        <v>1381</v>
      </c>
      <c r="C663" s="433">
        <v>21442.59</v>
      </c>
      <c r="E663" s="432">
        <v>97471</v>
      </c>
      <c r="F663" s="432" t="b">
        <f t="shared" si="10"/>
        <v>1</v>
      </c>
    </row>
    <row r="664" spans="1:6">
      <c r="A664" s="432">
        <v>97481</v>
      </c>
      <c r="B664" s="432" t="s">
        <v>1382</v>
      </c>
      <c r="C664" s="433">
        <v>3427.48</v>
      </c>
      <c r="E664" s="432">
        <v>97481</v>
      </c>
      <c r="F664" s="432" t="b">
        <f t="shared" si="10"/>
        <v>1</v>
      </c>
    </row>
    <row r="665" spans="1:6">
      <c r="A665" s="432">
        <v>97501</v>
      </c>
      <c r="B665" s="432" t="s">
        <v>1384</v>
      </c>
      <c r="C665" s="433">
        <v>1400085.9800000002</v>
      </c>
      <c r="E665" s="432">
        <v>97501</v>
      </c>
      <c r="F665" s="432" t="b">
        <f t="shared" si="10"/>
        <v>1</v>
      </c>
    </row>
    <row r="666" spans="1:6">
      <c r="A666" s="432">
        <v>97511</v>
      </c>
      <c r="B666" s="432" t="s">
        <v>1385</v>
      </c>
      <c r="C666" s="433">
        <v>222172.67</v>
      </c>
      <c r="E666" s="432">
        <v>97511</v>
      </c>
      <c r="F666" s="432" t="b">
        <f t="shared" si="10"/>
        <v>1</v>
      </c>
    </row>
    <row r="667" spans="1:6">
      <c r="A667" s="432">
        <v>97517</v>
      </c>
      <c r="B667" s="432" t="s">
        <v>3733</v>
      </c>
      <c r="C667" s="433">
        <v>8865.92</v>
      </c>
      <c r="E667" s="432">
        <v>97517</v>
      </c>
      <c r="F667" s="432" t="b">
        <f t="shared" si="10"/>
        <v>1</v>
      </c>
    </row>
    <row r="668" spans="1:6">
      <c r="A668" s="432">
        <v>97521</v>
      </c>
      <c r="B668" s="432" t="s">
        <v>1386</v>
      </c>
      <c r="C668" s="433">
        <v>126585.24999999999</v>
      </c>
      <c r="E668" s="432">
        <v>97521</v>
      </c>
      <c r="F668" s="432" t="b">
        <f t="shared" si="10"/>
        <v>1</v>
      </c>
    </row>
    <row r="669" spans="1:6">
      <c r="A669" s="432">
        <v>97527</v>
      </c>
      <c r="B669" s="432" t="s">
        <v>1637</v>
      </c>
      <c r="C669" s="433">
        <v>8248.43</v>
      </c>
      <c r="E669" s="432">
        <v>97527</v>
      </c>
      <c r="F669" s="432" t="b">
        <f t="shared" si="10"/>
        <v>1</v>
      </c>
    </row>
    <row r="670" spans="1:6">
      <c r="A670" s="432">
        <v>97531</v>
      </c>
      <c r="B670" s="432" t="s">
        <v>1387</v>
      </c>
      <c r="C670" s="433">
        <v>66815.740000000005</v>
      </c>
      <c r="E670" s="432">
        <v>97531</v>
      </c>
      <c r="F670" s="432" t="b">
        <f t="shared" si="10"/>
        <v>1</v>
      </c>
    </row>
    <row r="671" spans="1:6">
      <c r="A671" s="432">
        <v>97601</v>
      </c>
      <c r="B671" s="432" t="s">
        <v>1388</v>
      </c>
      <c r="C671" s="433">
        <v>5356570.47</v>
      </c>
      <c r="E671" s="432">
        <v>97601</v>
      </c>
      <c r="F671" s="432" t="b">
        <f t="shared" si="10"/>
        <v>1</v>
      </c>
    </row>
    <row r="672" spans="1:6">
      <c r="A672" s="432">
        <v>97607</v>
      </c>
      <c r="B672" s="432" t="s">
        <v>1389</v>
      </c>
      <c r="C672" s="433">
        <v>42724.11</v>
      </c>
      <c r="E672" s="432">
        <v>97607</v>
      </c>
      <c r="F672" s="432" t="b">
        <f t="shared" si="10"/>
        <v>1</v>
      </c>
    </row>
    <row r="673" spans="1:6">
      <c r="A673" s="432">
        <v>97611</v>
      </c>
      <c r="B673" s="432" t="s">
        <v>1390</v>
      </c>
      <c r="C673" s="433">
        <v>2537588.8200000003</v>
      </c>
      <c r="E673" s="432">
        <v>97611</v>
      </c>
      <c r="F673" s="432" t="b">
        <f t="shared" si="10"/>
        <v>1</v>
      </c>
    </row>
    <row r="674" spans="1:6">
      <c r="A674" s="432">
        <v>97613</v>
      </c>
      <c r="B674" s="432" t="s">
        <v>1391</v>
      </c>
      <c r="C674" s="433">
        <v>107487.27</v>
      </c>
      <c r="E674" s="432">
        <v>97613</v>
      </c>
      <c r="F674" s="432" t="b">
        <f t="shared" si="10"/>
        <v>1</v>
      </c>
    </row>
    <row r="675" spans="1:6">
      <c r="A675" s="432">
        <v>97621</v>
      </c>
      <c r="B675" s="432" t="s">
        <v>1392</v>
      </c>
      <c r="C675" s="433">
        <v>382716.59999999992</v>
      </c>
      <c r="E675" s="432">
        <v>97621</v>
      </c>
      <c r="F675" s="432" t="b">
        <f t="shared" si="10"/>
        <v>1</v>
      </c>
    </row>
    <row r="676" spans="1:6">
      <c r="A676" s="432">
        <v>97623</v>
      </c>
      <c r="B676" s="432" t="s">
        <v>1393</v>
      </c>
      <c r="C676" s="433">
        <v>24481.09</v>
      </c>
      <c r="E676" s="432">
        <v>97623</v>
      </c>
      <c r="F676" s="432" t="b">
        <f t="shared" si="10"/>
        <v>1</v>
      </c>
    </row>
    <row r="677" spans="1:6">
      <c r="A677" s="432">
        <v>97627</v>
      </c>
      <c r="B677" s="432" t="s">
        <v>1394</v>
      </c>
      <c r="C677" s="433">
        <v>13431.97</v>
      </c>
      <c r="E677" s="432">
        <v>97627</v>
      </c>
      <c r="F677" s="432" t="b">
        <f t="shared" si="10"/>
        <v>1</v>
      </c>
    </row>
    <row r="678" spans="1:6">
      <c r="A678" s="432">
        <v>97631</v>
      </c>
      <c r="B678" s="432" t="s">
        <v>1395</v>
      </c>
      <c r="C678" s="433">
        <v>256288.6</v>
      </c>
      <c r="E678" s="432">
        <v>97631</v>
      </c>
      <c r="F678" s="432" t="b">
        <f t="shared" si="10"/>
        <v>1</v>
      </c>
    </row>
    <row r="679" spans="1:6">
      <c r="A679" s="432">
        <v>97637</v>
      </c>
      <c r="B679" s="432" t="s">
        <v>1396</v>
      </c>
      <c r="C679" s="433">
        <v>3989.76</v>
      </c>
      <c r="E679" s="432">
        <v>97637</v>
      </c>
      <c r="F679" s="432" t="b">
        <f t="shared" si="10"/>
        <v>1</v>
      </c>
    </row>
    <row r="680" spans="1:6">
      <c r="A680" s="432">
        <v>97641</v>
      </c>
      <c r="B680" s="432" t="s">
        <v>1397</v>
      </c>
      <c r="C680" s="433">
        <v>97767.679999999993</v>
      </c>
      <c r="E680" s="432">
        <v>97641</v>
      </c>
      <c r="F680" s="432" t="b">
        <f t="shared" si="10"/>
        <v>1</v>
      </c>
    </row>
    <row r="681" spans="1:6">
      <c r="A681" s="432">
        <v>97651</v>
      </c>
      <c r="B681" s="432" t="s">
        <v>1398</v>
      </c>
      <c r="C681" s="433">
        <v>463772.42</v>
      </c>
      <c r="E681" s="432">
        <v>97651</v>
      </c>
      <c r="F681" s="432" t="b">
        <f t="shared" si="10"/>
        <v>1</v>
      </c>
    </row>
    <row r="682" spans="1:6">
      <c r="A682" s="432">
        <v>97661</v>
      </c>
      <c r="B682" s="432" t="s">
        <v>1399</v>
      </c>
      <c r="C682" s="433">
        <v>56604.5</v>
      </c>
      <c r="E682" s="432">
        <v>97661</v>
      </c>
      <c r="F682" s="432" t="b">
        <f t="shared" si="10"/>
        <v>1</v>
      </c>
    </row>
    <row r="683" spans="1:6">
      <c r="A683" s="432">
        <v>97701</v>
      </c>
      <c r="B683" s="432" t="s">
        <v>1400</v>
      </c>
      <c r="C683" s="433">
        <v>2431574.6500000004</v>
      </c>
      <c r="E683" s="432">
        <v>97701</v>
      </c>
      <c r="F683" s="432" t="b">
        <f t="shared" si="10"/>
        <v>1</v>
      </c>
    </row>
    <row r="684" spans="1:6">
      <c r="A684" s="432">
        <v>97705</v>
      </c>
      <c r="B684" s="432" t="s">
        <v>1401</v>
      </c>
      <c r="C684" s="433">
        <v>77974.559999999998</v>
      </c>
      <c r="E684" s="432">
        <v>97705</v>
      </c>
      <c r="F684" s="432" t="b">
        <f t="shared" si="10"/>
        <v>1</v>
      </c>
    </row>
    <row r="685" spans="1:6">
      <c r="A685" s="432">
        <v>97711</v>
      </c>
      <c r="B685" s="432" t="s">
        <v>1402</v>
      </c>
      <c r="C685" s="433">
        <v>772522.66000000015</v>
      </c>
      <c r="E685" s="432">
        <v>97711</v>
      </c>
      <c r="F685" s="432" t="b">
        <f t="shared" si="10"/>
        <v>1</v>
      </c>
    </row>
    <row r="686" spans="1:6">
      <c r="A686" s="432">
        <v>97713</v>
      </c>
      <c r="B686" s="432" t="s">
        <v>1403</v>
      </c>
      <c r="C686" s="433">
        <v>59642.07</v>
      </c>
      <c r="E686" s="432">
        <v>97713</v>
      </c>
      <c r="F686" s="432" t="b">
        <f t="shared" si="10"/>
        <v>1</v>
      </c>
    </row>
    <row r="687" spans="1:6">
      <c r="A687" s="432">
        <v>97717</v>
      </c>
      <c r="B687" s="432" t="s">
        <v>1404</v>
      </c>
      <c r="C687" s="433">
        <v>11166.83</v>
      </c>
      <c r="E687" s="432">
        <v>97717</v>
      </c>
      <c r="F687" s="432" t="b">
        <f t="shared" si="10"/>
        <v>1</v>
      </c>
    </row>
    <row r="688" spans="1:6">
      <c r="A688" s="432">
        <v>97721</v>
      </c>
      <c r="B688" s="432" t="s">
        <v>1405</v>
      </c>
      <c r="C688" s="433">
        <v>466978.99999999994</v>
      </c>
      <c r="E688" s="432">
        <v>97721</v>
      </c>
      <c r="F688" s="432" t="b">
        <f t="shared" si="10"/>
        <v>1</v>
      </c>
    </row>
    <row r="689" spans="1:6">
      <c r="A689" s="432">
        <v>97727</v>
      </c>
      <c r="B689" s="432" t="s">
        <v>1406</v>
      </c>
      <c r="C689" s="433">
        <v>19741.419999999998</v>
      </c>
      <c r="E689" s="432">
        <v>97727</v>
      </c>
      <c r="F689" s="432" t="b">
        <f t="shared" si="10"/>
        <v>1</v>
      </c>
    </row>
    <row r="690" spans="1:6">
      <c r="A690" s="432">
        <v>97731</v>
      </c>
      <c r="B690" s="432" t="s">
        <v>1407</v>
      </c>
      <c r="C690" s="433">
        <v>35198.71</v>
      </c>
      <c r="E690" s="432">
        <v>97731</v>
      </c>
      <c r="F690" s="432" t="b">
        <f t="shared" si="10"/>
        <v>1</v>
      </c>
    </row>
    <row r="691" spans="1:6">
      <c r="A691" s="432">
        <v>97801</v>
      </c>
      <c r="B691" s="432" t="s">
        <v>1408</v>
      </c>
      <c r="C691" s="433">
        <v>6688837.6200000001</v>
      </c>
      <c r="E691" s="432">
        <v>97801</v>
      </c>
      <c r="F691" s="432" t="b">
        <f t="shared" si="10"/>
        <v>1</v>
      </c>
    </row>
    <row r="692" spans="1:6">
      <c r="A692" s="432">
        <v>97802</v>
      </c>
      <c r="B692" s="432" t="s">
        <v>1409</v>
      </c>
      <c r="C692" s="433">
        <v>126908.26</v>
      </c>
      <c r="E692" s="432">
        <v>97802</v>
      </c>
      <c r="F692" s="432" t="b">
        <f t="shared" si="10"/>
        <v>1</v>
      </c>
    </row>
    <row r="693" spans="1:6">
      <c r="A693" s="432">
        <v>97803</v>
      </c>
      <c r="B693" s="432" t="s">
        <v>1410</v>
      </c>
      <c r="C693" s="433">
        <v>75438.740000000005</v>
      </c>
      <c r="E693" s="432">
        <v>97803</v>
      </c>
      <c r="F693" s="432" t="b">
        <f t="shared" si="10"/>
        <v>1</v>
      </c>
    </row>
    <row r="694" spans="1:6">
      <c r="A694" s="432">
        <v>97805</v>
      </c>
      <c r="B694" s="432" t="s">
        <v>1411</v>
      </c>
      <c r="C694" s="433">
        <v>82355</v>
      </c>
      <c r="E694" s="432">
        <v>97805</v>
      </c>
      <c r="F694" s="432" t="b">
        <f t="shared" si="10"/>
        <v>1</v>
      </c>
    </row>
    <row r="695" spans="1:6">
      <c r="A695" s="432">
        <v>97811</v>
      </c>
      <c r="B695" s="432" t="s">
        <v>1412</v>
      </c>
      <c r="C695" s="433">
        <v>2218684.29</v>
      </c>
      <c r="E695" s="432">
        <v>97811</v>
      </c>
      <c r="F695" s="432" t="b">
        <f t="shared" si="10"/>
        <v>1</v>
      </c>
    </row>
    <row r="696" spans="1:6">
      <c r="A696" s="432">
        <v>97817</v>
      </c>
      <c r="B696" s="432" t="s">
        <v>1413</v>
      </c>
      <c r="C696" s="433">
        <v>31291.42</v>
      </c>
      <c r="E696" s="432">
        <v>97817</v>
      </c>
      <c r="F696" s="432" t="b">
        <f t="shared" si="10"/>
        <v>1</v>
      </c>
    </row>
    <row r="697" spans="1:6">
      <c r="A697" s="432">
        <v>97818</v>
      </c>
      <c r="B697" s="432" t="s">
        <v>1414</v>
      </c>
      <c r="C697" s="433">
        <v>24240.799999999999</v>
      </c>
      <c r="E697" s="432">
        <v>97818</v>
      </c>
      <c r="F697" s="432" t="b">
        <f t="shared" si="10"/>
        <v>1</v>
      </c>
    </row>
    <row r="698" spans="1:6">
      <c r="A698" s="432">
        <v>97821</v>
      </c>
      <c r="B698" s="432" t="s">
        <v>1415</v>
      </c>
      <c r="C698" s="433">
        <v>140380.13</v>
      </c>
      <c r="E698" s="432">
        <v>97821</v>
      </c>
      <c r="F698" s="432" t="b">
        <f t="shared" si="10"/>
        <v>1</v>
      </c>
    </row>
    <row r="699" spans="1:6">
      <c r="A699" s="432">
        <v>97823</v>
      </c>
      <c r="B699" s="432" t="s">
        <v>1416</v>
      </c>
      <c r="C699" s="433">
        <v>24953.89</v>
      </c>
      <c r="E699" s="432">
        <v>97823</v>
      </c>
      <c r="F699" s="432" t="b">
        <f t="shared" si="10"/>
        <v>1</v>
      </c>
    </row>
    <row r="700" spans="1:6">
      <c r="A700" s="432">
        <v>97831</v>
      </c>
      <c r="B700" s="432" t="s">
        <v>1417</v>
      </c>
      <c r="C700" s="433">
        <v>188141.14</v>
      </c>
      <c r="E700" s="432">
        <v>97831</v>
      </c>
      <c r="F700" s="432" t="b">
        <f t="shared" si="10"/>
        <v>1</v>
      </c>
    </row>
    <row r="701" spans="1:6">
      <c r="A701" s="432">
        <v>97837</v>
      </c>
      <c r="B701" s="432" t="s">
        <v>1418</v>
      </c>
      <c r="C701" s="433">
        <v>11178.47</v>
      </c>
      <c r="E701" s="432">
        <v>97837</v>
      </c>
      <c r="F701" s="432" t="b">
        <f t="shared" si="10"/>
        <v>1</v>
      </c>
    </row>
    <row r="702" spans="1:6">
      <c r="A702" s="432">
        <v>97840</v>
      </c>
      <c r="B702" s="432" t="s">
        <v>1419</v>
      </c>
      <c r="C702" s="433">
        <v>209365.09999999998</v>
      </c>
      <c r="E702" s="432">
        <v>97840</v>
      </c>
      <c r="F702" s="432" t="b">
        <f t="shared" si="10"/>
        <v>1</v>
      </c>
    </row>
    <row r="703" spans="1:6">
      <c r="A703" s="432">
        <v>97841</v>
      </c>
      <c r="B703" s="432" t="s">
        <v>1420</v>
      </c>
      <c r="C703" s="433">
        <v>11789</v>
      </c>
      <c r="E703" s="432">
        <v>97841</v>
      </c>
      <c r="F703" s="432" t="b">
        <f t="shared" si="10"/>
        <v>1</v>
      </c>
    </row>
    <row r="704" spans="1:6">
      <c r="A704" s="432">
        <v>97847</v>
      </c>
      <c r="B704" s="432" t="s">
        <v>1421</v>
      </c>
      <c r="C704" s="433">
        <v>4412.76</v>
      </c>
      <c r="E704" s="432">
        <v>97847</v>
      </c>
      <c r="F704" s="432" t="b">
        <f t="shared" si="10"/>
        <v>1</v>
      </c>
    </row>
    <row r="705" spans="1:6">
      <c r="A705" s="432">
        <v>97851</v>
      </c>
      <c r="B705" s="432" t="s">
        <v>1422</v>
      </c>
      <c r="C705" s="433">
        <v>210446.7</v>
      </c>
      <c r="E705" s="432">
        <v>97851</v>
      </c>
      <c r="F705" s="432" t="b">
        <f t="shared" si="10"/>
        <v>1</v>
      </c>
    </row>
    <row r="706" spans="1:6">
      <c r="A706" s="432">
        <v>97853</v>
      </c>
      <c r="B706" s="432" t="s">
        <v>1423</v>
      </c>
      <c r="C706" s="433">
        <v>73593.440000000002</v>
      </c>
      <c r="E706" s="432">
        <v>97853</v>
      </c>
      <c r="F706" s="432" t="b">
        <f t="shared" si="10"/>
        <v>1</v>
      </c>
    </row>
    <row r="707" spans="1:6">
      <c r="A707" s="432">
        <v>97861</v>
      </c>
      <c r="B707" s="432" t="s">
        <v>1424</v>
      </c>
      <c r="C707" s="433">
        <v>66670.8</v>
      </c>
      <c r="E707" s="432">
        <v>97861</v>
      </c>
      <c r="F707" s="432" t="b">
        <f t="shared" ref="F707:F770" si="11">E707=A707</f>
        <v>1</v>
      </c>
    </row>
    <row r="708" spans="1:6">
      <c r="A708" s="432">
        <v>97871</v>
      </c>
      <c r="B708" s="432" t="s">
        <v>1425</v>
      </c>
      <c r="C708" s="433">
        <v>338204.86</v>
      </c>
      <c r="E708" s="432">
        <v>97871</v>
      </c>
      <c r="F708" s="432" t="b">
        <f t="shared" si="11"/>
        <v>1</v>
      </c>
    </row>
    <row r="709" spans="1:6">
      <c r="A709" s="432">
        <v>97877</v>
      </c>
      <c r="B709" s="432" t="s">
        <v>1426</v>
      </c>
      <c r="C709" s="433">
        <v>10773.85</v>
      </c>
      <c r="E709" s="432">
        <v>97877</v>
      </c>
      <c r="F709" s="432" t="b">
        <f t="shared" si="11"/>
        <v>1</v>
      </c>
    </row>
    <row r="710" spans="1:6">
      <c r="A710" s="432">
        <v>97901</v>
      </c>
      <c r="B710" s="432" t="s">
        <v>1427</v>
      </c>
      <c r="C710" s="433">
        <v>3750723.2600000002</v>
      </c>
      <c r="E710" s="432">
        <v>97901</v>
      </c>
      <c r="F710" s="432" t="b">
        <f t="shared" si="11"/>
        <v>1</v>
      </c>
    </row>
    <row r="711" spans="1:6">
      <c r="A711" s="432">
        <v>97911</v>
      </c>
      <c r="B711" s="432" t="s">
        <v>1428</v>
      </c>
      <c r="C711" s="433">
        <v>1257403.3700000001</v>
      </c>
      <c r="E711" s="432">
        <v>97911</v>
      </c>
      <c r="F711" s="432" t="b">
        <f t="shared" si="11"/>
        <v>1</v>
      </c>
    </row>
    <row r="712" spans="1:6">
      <c r="A712" s="432">
        <v>97913</v>
      </c>
      <c r="B712" s="432" t="s">
        <v>1429</v>
      </c>
      <c r="C712" s="433">
        <v>51522.97</v>
      </c>
      <c r="E712" s="432">
        <v>97913</v>
      </c>
      <c r="F712" s="432" t="b">
        <f t="shared" si="11"/>
        <v>1</v>
      </c>
    </row>
    <row r="713" spans="1:6">
      <c r="A713" s="432">
        <v>97917</v>
      </c>
      <c r="B713" s="432" t="s">
        <v>1430</v>
      </c>
      <c r="C713" s="433">
        <v>38213.620000000003</v>
      </c>
      <c r="E713" s="432">
        <v>97917</v>
      </c>
      <c r="F713" s="432" t="b">
        <f t="shared" si="11"/>
        <v>1</v>
      </c>
    </row>
    <row r="714" spans="1:6">
      <c r="A714" s="432">
        <v>97921</v>
      </c>
      <c r="B714" s="432" t="s">
        <v>1431</v>
      </c>
      <c r="C714" s="433">
        <v>228048.00999999998</v>
      </c>
      <c r="E714" s="432">
        <v>97921</v>
      </c>
      <c r="F714" s="432" t="b">
        <f t="shared" si="11"/>
        <v>1</v>
      </c>
    </row>
    <row r="715" spans="1:6">
      <c r="A715" s="432">
        <v>97931</v>
      </c>
      <c r="B715" s="432" t="s">
        <v>1432</v>
      </c>
      <c r="C715" s="433">
        <v>51407.23</v>
      </c>
      <c r="E715" s="432">
        <v>97931</v>
      </c>
      <c r="F715" s="432" t="b">
        <f t="shared" si="11"/>
        <v>1</v>
      </c>
    </row>
    <row r="716" spans="1:6">
      <c r="A716" s="432">
        <v>97941</v>
      </c>
      <c r="B716" s="432" t="s">
        <v>1433</v>
      </c>
      <c r="C716" s="433">
        <v>210000.71000000002</v>
      </c>
      <c r="E716" s="432">
        <v>97941</v>
      </c>
      <c r="F716" s="432" t="b">
        <f t="shared" si="11"/>
        <v>1</v>
      </c>
    </row>
    <row r="717" spans="1:6">
      <c r="A717" s="432">
        <v>97947</v>
      </c>
      <c r="B717" s="432" t="s">
        <v>1434</v>
      </c>
      <c r="C717" s="433">
        <v>20836.810000000001</v>
      </c>
      <c r="E717" s="432">
        <v>97947</v>
      </c>
      <c r="F717" s="432" t="b">
        <f t="shared" si="11"/>
        <v>1</v>
      </c>
    </row>
    <row r="718" spans="1:6">
      <c r="A718" s="432">
        <v>97948</v>
      </c>
      <c r="B718" s="432" t="s">
        <v>1435</v>
      </c>
      <c r="C718" s="433">
        <v>18808.189999999999</v>
      </c>
      <c r="E718" s="432">
        <v>97948</v>
      </c>
      <c r="F718" s="432" t="b">
        <f t="shared" si="11"/>
        <v>1</v>
      </c>
    </row>
    <row r="719" spans="1:6">
      <c r="A719" s="432">
        <v>97951</v>
      </c>
      <c r="B719" s="432" t="s">
        <v>1436</v>
      </c>
      <c r="C719" s="433">
        <v>1135130.1499999999</v>
      </c>
      <c r="E719" s="432">
        <v>97951</v>
      </c>
      <c r="F719" s="432" t="b">
        <f t="shared" si="11"/>
        <v>1</v>
      </c>
    </row>
    <row r="720" spans="1:6">
      <c r="A720" s="432">
        <v>97957</v>
      </c>
      <c r="B720" s="432" t="s">
        <v>1437</v>
      </c>
      <c r="C720" s="433">
        <v>27415.56</v>
      </c>
      <c r="E720" s="432">
        <v>97957</v>
      </c>
      <c r="F720" s="432" t="b">
        <f t="shared" si="11"/>
        <v>1</v>
      </c>
    </row>
    <row r="721" spans="1:6">
      <c r="A721" s="432">
        <v>98001</v>
      </c>
      <c r="B721" s="432" t="s">
        <v>1438</v>
      </c>
      <c r="C721" s="433">
        <v>5995024.0100000007</v>
      </c>
      <c r="E721" s="432">
        <v>98001</v>
      </c>
      <c r="F721" s="432" t="b">
        <f t="shared" si="11"/>
        <v>1</v>
      </c>
    </row>
    <row r="722" spans="1:6">
      <c r="A722" s="432">
        <v>98002</v>
      </c>
      <c r="B722" s="432" t="s">
        <v>1439</v>
      </c>
      <c r="C722" s="433">
        <v>11090.24</v>
      </c>
      <c r="E722" s="432">
        <v>98002</v>
      </c>
      <c r="F722" s="432" t="b">
        <f t="shared" si="11"/>
        <v>1</v>
      </c>
    </row>
    <row r="723" spans="1:6">
      <c r="A723" s="432">
        <v>98003</v>
      </c>
      <c r="B723" s="432" t="s">
        <v>1440</v>
      </c>
      <c r="C723" s="433">
        <v>95295.360000000001</v>
      </c>
      <c r="E723" s="432">
        <v>98003</v>
      </c>
      <c r="F723" s="432" t="b">
        <f t="shared" si="11"/>
        <v>1</v>
      </c>
    </row>
    <row r="724" spans="1:6">
      <c r="A724" s="432">
        <v>98004</v>
      </c>
      <c r="B724" s="432" t="s">
        <v>1441</v>
      </c>
      <c r="C724" s="433">
        <v>252691.72</v>
      </c>
      <c r="E724" s="432">
        <v>98004</v>
      </c>
      <c r="F724" s="432" t="b">
        <f t="shared" si="11"/>
        <v>1</v>
      </c>
    </row>
    <row r="725" spans="1:6">
      <c r="A725" s="432">
        <v>98008</v>
      </c>
      <c r="B725" s="432" t="s">
        <v>1442</v>
      </c>
      <c r="C725" s="433">
        <v>8106.0300000000007</v>
      </c>
      <c r="E725" s="432">
        <v>98008</v>
      </c>
      <c r="F725" s="432" t="b">
        <f t="shared" si="11"/>
        <v>1</v>
      </c>
    </row>
    <row r="726" spans="1:6">
      <c r="A726" s="432">
        <v>98011</v>
      </c>
      <c r="B726" s="432" t="s">
        <v>1443</v>
      </c>
      <c r="C726" s="433">
        <v>2968710.75</v>
      </c>
      <c r="E726" s="432">
        <v>98011</v>
      </c>
      <c r="F726" s="432" t="b">
        <f t="shared" si="11"/>
        <v>1</v>
      </c>
    </row>
    <row r="727" spans="1:6">
      <c r="A727" s="432">
        <v>98013</v>
      </c>
      <c r="B727" s="432" t="s">
        <v>1444</v>
      </c>
      <c r="C727" s="433">
        <v>135347.09</v>
      </c>
      <c r="E727" s="432">
        <v>98013</v>
      </c>
      <c r="F727" s="432" t="b">
        <f t="shared" si="11"/>
        <v>1</v>
      </c>
    </row>
    <row r="728" spans="1:6">
      <c r="A728" s="432">
        <v>98021</v>
      </c>
      <c r="B728" s="432" t="s">
        <v>1445</v>
      </c>
      <c r="C728" s="433">
        <v>54671.979999999996</v>
      </c>
      <c r="E728" s="432">
        <v>98021</v>
      </c>
      <c r="F728" s="432" t="b">
        <f t="shared" si="11"/>
        <v>1</v>
      </c>
    </row>
    <row r="729" spans="1:6">
      <c r="A729" s="432">
        <v>98023</v>
      </c>
      <c r="B729" s="432" t="s">
        <v>1446</v>
      </c>
      <c r="C729" s="433">
        <v>4798.8</v>
      </c>
      <c r="E729" s="432">
        <v>98023</v>
      </c>
      <c r="F729" s="432" t="b">
        <f t="shared" si="11"/>
        <v>1</v>
      </c>
    </row>
    <row r="730" spans="1:6">
      <c r="A730" s="432">
        <v>98031</v>
      </c>
      <c r="B730" s="432" t="s">
        <v>1447</v>
      </c>
      <c r="C730" s="433">
        <v>181473.6</v>
      </c>
      <c r="E730" s="432">
        <v>98031</v>
      </c>
      <c r="F730" s="432" t="b">
        <f t="shared" si="11"/>
        <v>1</v>
      </c>
    </row>
    <row r="731" spans="1:6">
      <c r="A731" s="432">
        <v>98041</v>
      </c>
      <c r="B731" s="432" t="s">
        <v>1448</v>
      </c>
      <c r="C731" s="433">
        <v>199765.02</v>
      </c>
      <c r="E731" s="432">
        <v>98041</v>
      </c>
      <c r="F731" s="432" t="b">
        <f t="shared" si="11"/>
        <v>1</v>
      </c>
    </row>
    <row r="732" spans="1:6">
      <c r="A732" s="432">
        <v>98051</v>
      </c>
      <c r="B732" s="432" t="s">
        <v>1449</v>
      </c>
      <c r="C732" s="433">
        <v>326611.33</v>
      </c>
      <c r="E732" s="432">
        <v>98051</v>
      </c>
      <c r="F732" s="432" t="b">
        <f t="shared" si="11"/>
        <v>1</v>
      </c>
    </row>
    <row r="733" spans="1:6">
      <c r="A733" s="432">
        <v>98061</v>
      </c>
      <c r="B733" s="432" t="s">
        <v>1450</v>
      </c>
      <c r="C733" s="433">
        <v>129128.83</v>
      </c>
      <c r="E733" s="432">
        <v>98061</v>
      </c>
      <c r="F733" s="432" t="b">
        <f t="shared" si="11"/>
        <v>1</v>
      </c>
    </row>
    <row r="734" spans="1:6">
      <c r="A734" s="432">
        <v>98071</v>
      </c>
      <c r="B734" s="432" t="s">
        <v>1451</v>
      </c>
      <c r="C734" s="433">
        <v>75916.290000000008</v>
      </c>
      <c r="E734" s="432">
        <v>98071</v>
      </c>
      <c r="F734" s="432" t="b">
        <f t="shared" si="11"/>
        <v>1</v>
      </c>
    </row>
    <row r="735" spans="1:6">
      <c r="A735" s="432">
        <v>98081</v>
      </c>
      <c r="B735" s="432" t="s">
        <v>1452</v>
      </c>
      <c r="C735" s="433">
        <v>10672.3</v>
      </c>
      <c r="E735" s="432">
        <v>98081</v>
      </c>
      <c r="F735" s="432" t="b">
        <f t="shared" si="11"/>
        <v>1</v>
      </c>
    </row>
    <row r="736" spans="1:6">
      <c r="A736" s="432">
        <v>98091</v>
      </c>
      <c r="B736" s="432" t="s">
        <v>1453</v>
      </c>
      <c r="C736" s="433">
        <v>74832.350000000006</v>
      </c>
      <c r="E736" s="432">
        <v>98091</v>
      </c>
      <c r="F736" s="432" t="b">
        <f t="shared" si="11"/>
        <v>1</v>
      </c>
    </row>
    <row r="737" spans="1:6">
      <c r="A737" s="432">
        <v>98101</v>
      </c>
      <c r="B737" s="432" t="s">
        <v>1454</v>
      </c>
      <c r="C737" s="433">
        <v>2680796.9800000004</v>
      </c>
      <c r="E737" s="432">
        <v>98101</v>
      </c>
      <c r="F737" s="432" t="b">
        <f t="shared" si="11"/>
        <v>1</v>
      </c>
    </row>
    <row r="738" spans="1:6">
      <c r="A738" s="432">
        <v>98102</v>
      </c>
      <c r="B738" s="432" t="s">
        <v>1455</v>
      </c>
      <c r="C738" s="433">
        <v>200029.94</v>
      </c>
      <c r="E738" s="432">
        <v>98102</v>
      </c>
      <c r="F738" s="432" t="b">
        <f t="shared" si="11"/>
        <v>1</v>
      </c>
    </row>
    <row r="739" spans="1:6">
      <c r="A739" s="432">
        <v>98103</v>
      </c>
      <c r="B739" s="432" t="s">
        <v>3725</v>
      </c>
      <c r="C739" s="433">
        <v>460762.25</v>
      </c>
      <c r="E739" s="432">
        <v>98103</v>
      </c>
      <c r="F739" s="432" t="b">
        <f t="shared" si="11"/>
        <v>1</v>
      </c>
    </row>
    <row r="740" spans="1:6">
      <c r="A740" s="432">
        <v>98107</v>
      </c>
      <c r="B740" s="432" t="s">
        <v>1457</v>
      </c>
      <c r="C740" s="433">
        <v>28203.45</v>
      </c>
      <c r="E740" s="432">
        <v>98107</v>
      </c>
      <c r="F740" s="432" t="b">
        <f t="shared" si="11"/>
        <v>1</v>
      </c>
    </row>
    <row r="741" spans="1:6">
      <c r="A741" s="432">
        <v>98109</v>
      </c>
      <c r="B741" s="432" t="s">
        <v>1458</v>
      </c>
      <c r="C741" s="433">
        <v>168269.7</v>
      </c>
      <c r="E741" s="432">
        <v>98109</v>
      </c>
      <c r="F741" s="432" t="b">
        <f t="shared" si="11"/>
        <v>1</v>
      </c>
    </row>
    <row r="742" spans="1:6">
      <c r="A742" s="432">
        <v>98111</v>
      </c>
      <c r="B742" s="432" t="s">
        <v>1459</v>
      </c>
      <c r="C742" s="433">
        <v>969936.78999999992</v>
      </c>
      <c r="E742" s="432">
        <v>98111</v>
      </c>
      <c r="F742" s="432" t="b">
        <f t="shared" si="11"/>
        <v>1</v>
      </c>
    </row>
    <row r="743" spans="1:6">
      <c r="A743" s="432">
        <v>98113</v>
      </c>
      <c r="B743" s="432" t="s">
        <v>1460</v>
      </c>
      <c r="C743" s="433">
        <v>31494.57</v>
      </c>
      <c r="E743" s="432">
        <v>98113</v>
      </c>
      <c r="F743" s="432" t="b">
        <f t="shared" si="11"/>
        <v>1</v>
      </c>
    </row>
    <row r="744" spans="1:6">
      <c r="A744" s="432">
        <v>98121</v>
      </c>
      <c r="B744" s="432" t="s">
        <v>1461</v>
      </c>
      <c r="C744" s="433">
        <v>228876.27000000002</v>
      </c>
      <c r="E744" s="432">
        <v>98121</v>
      </c>
      <c r="F744" s="432" t="b">
        <f t="shared" si="11"/>
        <v>1</v>
      </c>
    </row>
    <row r="745" spans="1:6">
      <c r="A745" s="432">
        <v>98131</v>
      </c>
      <c r="B745" s="432" t="s">
        <v>1462</v>
      </c>
      <c r="C745" s="433">
        <v>326458.61</v>
      </c>
      <c r="E745" s="432">
        <v>98131</v>
      </c>
      <c r="F745" s="432" t="b">
        <f t="shared" si="11"/>
        <v>1</v>
      </c>
    </row>
    <row r="746" spans="1:6">
      <c r="A746" s="432">
        <v>98141</v>
      </c>
      <c r="B746" s="432" t="s">
        <v>1463</v>
      </c>
      <c r="C746" s="433">
        <v>276291.69</v>
      </c>
      <c r="E746" s="432">
        <v>98141</v>
      </c>
      <c r="F746" s="432" t="b">
        <f t="shared" si="11"/>
        <v>1</v>
      </c>
    </row>
    <row r="747" spans="1:6">
      <c r="A747" s="432">
        <v>98147</v>
      </c>
      <c r="B747" s="432" t="s">
        <v>1464</v>
      </c>
      <c r="C747" s="433">
        <v>19447.03</v>
      </c>
      <c r="E747" s="432">
        <v>98147</v>
      </c>
      <c r="F747" s="432" t="b">
        <f t="shared" si="11"/>
        <v>1</v>
      </c>
    </row>
    <row r="748" spans="1:6">
      <c r="A748" s="432">
        <v>98161</v>
      </c>
      <c r="B748" s="432" t="s">
        <v>1465</v>
      </c>
      <c r="C748" s="433">
        <v>9000.9599999999991</v>
      </c>
      <c r="E748" s="432">
        <v>98161</v>
      </c>
      <c r="F748" s="432" t="b">
        <f t="shared" si="11"/>
        <v>1</v>
      </c>
    </row>
    <row r="749" spans="1:6">
      <c r="A749" s="432">
        <v>98201</v>
      </c>
      <c r="B749" s="432" t="s">
        <v>1466</v>
      </c>
      <c r="C749" s="433">
        <v>3148182.66</v>
      </c>
      <c r="E749" s="432">
        <v>98201</v>
      </c>
      <c r="F749" s="432" t="b">
        <f t="shared" si="11"/>
        <v>1</v>
      </c>
    </row>
    <row r="750" spans="1:6">
      <c r="A750" s="432">
        <v>98205</v>
      </c>
      <c r="B750" s="432" t="s">
        <v>1467</v>
      </c>
      <c r="C750" s="433">
        <v>38763.78</v>
      </c>
      <c r="E750" s="432">
        <v>98205</v>
      </c>
      <c r="F750" s="432" t="b">
        <f t="shared" si="11"/>
        <v>1</v>
      </c>
    </row>
    <row r="751" spans="1:6">
      <c r="A751" s="432">
        <v>98211</v>
      </c>
      <c r="B751" s="432" t="s">
        <v>1468</v>
      </c>
      <c r="C751" s="433">
        <v>772824.90999999992</v>
      </c>
      <c r="E751" s="432">
        <v>98211</v>
      </c>
      <c r="F751" s="432" t="b">
        <f t="shared" si="11"/>
        <v>1</v>
      </c>
    </row>
    <row r="752" spans="1:6">
      <c r="A752" s="432">
        <v>98218</v>
      </c>
      <c r="B752" s="432" t="s">
        <v>1469</v>
      </c>
      <c r="C752" s="433">
        <v>20019.39</v>
      </c>
      <c r="E752" s="432">
        <v>98218</v>
      </c>
      <c r="F752" s="432" t="b">
        <f t="shared" si="11"/>
        <v>1</v>
      </c>
    </row>
    <row r="753" spans="1:6">
      <c r="A753" s="432">
        <v>98221</v>
      </c>
      <c r="B753" s="432" t="s">
        <v>1470</v>
      </c>
      <c r="C753" s="433">
        <v>23570.34</v>
      </c>
      <c r="E753" s="432">
        <v>98221</v>
      </c>
      <c r="F753" s="432" t="b">
        <f t="shared" si="11"/>
        <v>1</v>
      </c>
    </row>
    <row r="754" spans="1:6">
      <c r="A754" s="432">
        <v>98231</v>
      </c>
      <c r="B754" s="432" t="s">
        <v>1471</v>
      </c>
      <c r="C754" s="433">
        <v>23417.41</v>
      </c>
      <c r="E754" s="432">
        <v>98231</v>
      </c>
      <c r="F754" s="432" t="b">
        <f t="shared" si="11"/>
        <v>1</v>
      </c>
    </row>
    <row r="755" spans="1:6">
      <c r="A755" s="432">
        <v>98237</v>
      </c>
      <c r="B755" s="432" t="s">
        <v>1472</v>
      </c>
      <c r="C755" s="433">
        <v>9816.24</v>
      </c>
      <c r="E755" s="432">
        <v>98237</v>
      </c>
      <c r="F755" s="432" t="b">
        <f t="shared" si="11"/>
        <v>1</v>
      </c>
    </row>
    <row r="756" spans="1:6">
      <c r="A756" s="432">
        <v>98241</v>
      </c>
      <c r="B756" s="432" t="s">
        <v>1473</v>
      </c>
      <c r="C756" s="433">
        <v>15538.46</v>
      </c>
      <c r="E756" s="432">
        <v>98241</v>
      </c>
      <c r="F756" s="432" t="b">
        <f t="shared" si="11"/>
        <v>1</v>
      </c>
    </row>
    <row r="757" spans="1:6">
      <c r="A757" s="432">
        <v>98251</v>
      </c>
      <c r="B757" s="432" t="s">
        <v>1474</v>
      </c>
      <c r="C757" s="433">
        <v>4565.12</v>
      </c>
      <c r="E757" s="432">
        <v>98251</v>
      </c>
      <c r="F757" s="432" t="b">
        <f t="shared" si="11"/>
        <v>1</v>
      </c>
    </row>
    <row r="758" spans="1:6">
      <c r="A758" s="432">
        <v>98261</v>
      </c>
      <c r="B758" s="432" t="s">
        <v>1475</v>
      </c>
      <c r="C758" s="433">
        <v>28825</v>
      </c>
      <c r="E758" s="432">
        <v>98261</v>
      </c>
      <c r="F758" s="432" t="b">
        <f t="shared" si="11"/>
        <v>1</v>
      </c>
    </row>
    <row r="759" spans="1:6">
      <c r="A759" s="432">
        <v>98271</v>
      </c>
      <c r="B759" s="432" t="s">
        <v>1476</v>
      </c>
      <c r="C759" s="433">
        <v>10278.24</v>
      </c>
      <c r="E759" s="432">
        <v>98271</v>
      </c>
      <c r="F759" s="432" t="b">
        <f t="shared" si="11"/>
        <v>1</v>
      </c>
    </row>
    <row r="760" spans="1:6">
      <c r="A760" s="432">
        <v>98301</v>
      </c>
      <c r="B760" s="432" t="s">
        <v>1477</v>
      </c>
      <c r="C760" s="433">
        <v>1968512.23</v>
      </c>
      <c r="E760" s="432">
        <v>98301</v>
      </c>
      <c r="F760" s="432" t="b">
        <f t="shared" si="11"/>
        <v>1</v>
      </c>
    </row>
    <row r="761" spans="1:6">
      <c r="A761" s="432">
        <v>98304</v>
      </c>
      <c r="B761" s="432" t="s">
        <v>1478</v>
      </c>
      <c r="C761" s="433">
        <v>19787.5</v>
      </c>
      <c r="E761" s="432">
        <v>98304</v>
      </c>
      <c r="F761" s="432" t="b">
        <f t="shared" si="11"/>
        <v>1</v>
      </c>
    </row>
    <row r="762" spans="1:6">
      <c r="A762" s="432">
        <v>98308</v>
      </c>
      <c r="B762" s="432" t="s">
        <v>1479</v>
      </c>
      <c r="C762" s="433">
        <v>48916.53</v>
      </c>
      <c r="E762" s="432">
        <v>98308</v>
      </c>
      <c r="F762" s="432" t="b">
        <f t="shared" si="11"/>
        <v>1</v>
      </c>
    </row>
    <row r="763" spans="1:6">
      <c r="A763" s="432">
        <v>98311</v>
      </c>
      <c r="B763" s="432" t="s">
        <v>1480</v>
      </c>
      <c r="C763" s="433">
        <v>937958.25999999989</v>
      </c>
      <c r="E763" s="432">
        <v>98311</v>
      </c>
      <c r="F763" s="432" t="b">
        <f t="shared" si="11"/>
        <v>1</v>
      </c>
    </row>
    <row r="764" spans="1:6">
      <c r="A764" s="432">
        <v>98313</v>
      </c>
      <c r="B764" s="432" t="s">
        <v>1481</v>
      </c>
      <c r="C764" s="433">
        <v>327105.30000000005</v>
      </c>
      <c r="E764" s="432">
        <v>98313</v>
      </c>
      <c r="F764" s="432" t="b">
        <f t="shared" si="11"/>
        <v>1</v>
      </c>
    </row>
    <row r="765" spans="1:6">
      <c r="A765" s="432">
        <v>98321</v>
      </c>
      <c r="B765" s="432" t="s">
        <v>1482</v>
      </c>
      <c r="C765" s="433">
        <v>19595.28</v>
      </c>
      <c r="E765" s="432">
        <v>98321</v>
      </c>
      <c r="F765" s="432" t="b">
        <f t="shared" si="11"/>
        <v>1</v>
      </c>
    </row>
    <row r="766" spans="1:6">
      <c r="A766" s="432">
        <v>98331</v>
      </c>
      <c r="B766" s="432" t="s">
        <v>1483</v>
      </c>
      <c r="C766" s="433">
        <v>4931.2000000000007</v>
      </c>
      <c r="E766" s="432">
        <v>98331</v>
      </c>
      <c r="F766" s="432" t="b">
        <f t="shared" si="11"/>
        <v>1</v>
      </c>
    </row>
    <row r="767" spans="1:6">
      <c r="A767" s="432">
        <v>98401</v>
      </c>
      <c r="B767" s="432" t="s">
        <v>1484</v>
      </c>
      <c r="C767" s="433">
        <v>2941032.41</v>
      </c>
      <c r="E767" s="432">
        <v>98401</v>
      </c>
      <c r="F767" s="432" t="b">
        <f t="shared" si="11"/>
        <v>1</v>
      </c>
    </row>
    <row r="768" spans="1:6">
      <c r="A768" s="432">
        <v>98404</v>
      </c>
      <c r="B768" s="432" t="s">
        <v>1485</v>
      </c>
      <c r="C768" s="433">
        <v>26997.53</v>
      </c>
      <c r="E768" s="432">
        <v>98404</v>
      </c>
      <c r="F768" s="432" t="b">
        <f t="shared" si="11"/>
        <v>1</v>
      </c>
    </row>
    <row r="769" spans="1:6">
      <c r="A769" s="432">
        <v>98411</v>
      </c>
      <c r="B769" s="432" t="s">
        <v>1486</v>
      </c>
      <c r="C769" s="433">
        <v>1919560.8299999998</v>
      </c>
      <c r="E769" s="432">
        <v>98411</v>
      </c>
      <c r="F769" s="432" t="b">
        <f t="shared" si="11"/>
        <v>1</v>
      </c>
    </row>
    <row r="770" spans="1:6">
      <c r="A770" s="432">
        <v>98414</v>
      </c>
      <c r="B770" s="432" t="s">
        <v>1487</v>
      </c>
      <c r="C770" s="433">
        <v>35683.46</v>
      </c>
      <c r="E770" s="432">
        <v>98414</v>
      </c>
      <c r="F770" s="432" t="b">
        <f t="shared" si="11"/>
        <v>1</v>
      </c>
    </row>
    <row r="771" spans="1:6">
      <c r="A771" s="432">
        <v>98417</v>
      </c>
      <c r="B771" s="432" t="s">
        <v>1488</v>
      </c>
      <c r="C771" s="433">
        <v>40580.33</v>
      </c>
      <c r="E771" s="432">
        <v>98417</v>
      </c>
      <c r="F771" s="432" t="b">
        <f t="shared" ref="F771:F834" si="12">E771=A771</f>
        <v>1</v>
      </c>
    </row>
    <row r="772" spans="1:6">
      <c r="A772" s="432">
        <v>98421</v>
      </c>
      <c r="B772" s="432" t="s">
        <v>1489</v>
      </c>
      <c r="C772" s="433">
        <v>138868.10999999999</v>
      </c>
      <c r="E772" s="432">
        <v>98421</v>
      </c>
      <c r="F772" s="432" t="b">
        <f t="shared" si="12"/>
        <v>1</v>
      </c>
    </row>
    <row r="773" spans="1:6">
      <c r="A773" s="432">
        <v>98427</v>
      </c>
      <c r="B773" s="432" t="s">
        <v>1490</v>
      </c>
      <c r="C773" s="433">
        <v>8059.45</v>
      </c>
      <c r="E773" s="432">
        <v>98427</v>
      </c>
      <c r="F773" s="432" t="b">
        <f t="shared" si="12"/>
        <v>1</v>
      </c>
    </row>
    <row r="774" spans="1:6">
      <c r="A774" s="432">
        <v>98431</v>
      </c>
      <c r="B774" s="432" t="s">
        <v>1491</v>
      </c>
      <c r="C774" s="433">
        <v>200140.82</v>
      </c>
      <c r="E774" s="432">
        <v>98431</v>
      </c>
      <c r="F774" s="432" t="b">
        <f t="shared" si="12"/>
        <v>1</v>
      </c>
    </row>
    <row r="775" spans="1:6">
      <c r="A775" s="432">
        <v>98441</v>
      </c>
      <c r="B775" s="432" t="s">
        <v>1492</v>
      </c>
      <c r="C775" s="433">
        <v>115198.70999999999</v>
      </c>
      <c r="E775" s="432">
        <v>98441</v>
      </c>
      <c r="F775" s="432" t="b">
        <f t="shared" si="12"/>
        <v>1</v>
      </c>
    </row>
    <row r="776" spans="1:6">
      <c r="A776" s="432">
        <v>98451</v>
      </c>
      <c r="B776" s="432" t="s">
        <v>1493</v>
      </c>
      <c r="C776" s="433">
        <v>39384.300000000003</v>
      </c>
      <c r="E776" s="432">
        <v>98451</v>
      </c>
      <c r="F776" s="432" t="b">
        <f t="shared" si="12"/>
        <v>1</v>
      </c>
    </row>
    <row r="777" spans="1:6">
      <c r="A777" s="432">
        <v>98471</v>
      </c>
      <c r="B777" s="432" t="s">
        <v>1638</v>
      </c>
      <c r="C777" s="433">
        <v>10898.67</v>
      </c>
      <c r="E777" s="432">
        <v>98471</v>
      </c>
      <c r="F777" s="432" t="b">
        <f t="shared" si="12"/>
        <v>1</v>
      </c>
    </row>
    <row r="778" spans="1:6">
      <c r="A778" s="432">
        <v>98481</v>
      </c>
      <c r="B778" s="432" t="s">
        <v>1494</v>
      </c>
      <c r="C778" s="433">
        <v>76614.710000000006</v>
      </c>
      <c r="E778" s="432">
        <v>98481</v>
      </c>
      <c r="F778" s="432" t="b">
        <f t="shared" si="12"/>
        <v>1</v>
      </c>
    </row>
    <row r="779" spans="1:6">
      <c r="A779" s="432">
        <v>98501</v>
      </c>
      <c r="B779" s="432" t="s">
        <v>1495</v>
      </c>
      <c r="C779" s="433">
        <v>2022039.63</v>
      </c>
      <c r="E779" s="432">
        <v>98501</v>
      </c>
      <c r="F779" s="432" t="b">
        <f t="shared" si="12"/>
        <v>1</v>
      </c>
    </row>
    <row r="780" spans="1:6">
      <c r="A780" s="432">
        <v>98511</v>
      </c>
      <c r="B780" s="432" t="s">
        <v>1496</v>
      </c>
      <c r="C780" s="433">
        <v>69695.27</v>
      </c>
      <c r="E780" s="432">
        <v>98511</v>
      </c>
      <c r="F780" s="432" t="b">
        <f t="shared" si="12"/>
        <v>1</v>
      </c>
    </row>
    <row r="781" spans="1:6">
      <c r="A781" s="432">
        <v>98517</v>
      </c>
      <c r="B781" s="432" t="s">
        <v>1497</v>
      </c>
      <c r="C781" s="433">
        <v>10765.92</v>
      </c>
      <c r="E781" s="432">
        <v>98517</v>
      </c>
      <c r="F781" s="432" t="b">
        <f t="shared" si="12"/>
        <v>1</v>
      </c>
    </row>
    <row r="782" spans="1:6">
      <c r="A782" s="432">
        <v>98521</v>
      </c>
      <c r="B782" s="432" t="s">
        <v>1498</v>
      </c>
      <c r="C782" s="433">
        <v>607306.30999999994</v>
      </c>
      <c r="E782" s="432">
        <v>98521</v>
      </c>
      <c r="F782" s="432" t="b">
        <f t="shared" si="12"/>
        <v>1</v>
      </c>
    </row>
    <row r="783" spans="1:6">
      <c r="A783" s="432">
        <v>98601</v>
      </c>
      <c r="B783" s="432" t="s">
        <v>1499</v>
      </c>
      <c r="C783" s="433">
        <v>3484271.5999999996</v>
      </c>
      <c r="E783" s="432">
        <v>98601</v>
      </c>
      <c r="F783" s="432" t="b">
        <f t="shared" si="12"/>
        <v>1</v>
      </c>
    </row>
    <row r="784" spans="1:6">
      <c r="A784" s="432">
        <v>98604</v>
      </c>
      <c r="B784" s="432" t="s">
        <v>1500</v>
      </c>
      <c r="C784" s="433">
        <v>19483.86</v>
      </c>
      <c r="E784" s="432">
        <v>98604</v>
      </c>
      <c r="F784" s="432" t="b">
        <f t="shared" si="12"/>
        <v>1</v>
      </c>
    </row>
    <row r="785" spans="1:6">
      <c r="A785" s="432">
        <v>98607</v>
      </c>
      <c r="B785" s="432" t="s">
        <v>1501</v>
      </c>
      <c r="C785" s="433">
        <v>12376.15</v>
      </c>
      <c r="E785" s="432">
        <v>98607</v>
      </c>
      <c r="F785" s="432" t="b">
        <f t="shared" si="12"/>
        <v>1</v>
      </c>
    </row>
    <row r="786" spans="1:6">
      <c r="A786" s="432">
        <v>98608</v>
      </c>
      <c r="B786" s="432" t="s">
        <v>1502</v>
      </c>
      <c r="C786" s="433">
        <v>70359.179999999993</v>
      </c>
      <c r="E786" s="432">
        <v>98608</v>
      </c>
      <c r="F786" s="432" t="b">
        <f t="shared" si="12"/>
        <v>1</v>
      </c>
    </row>
    <row r="787" spans="1:6">
      <c r="A787" s="432">
        <v>98611</v>
      </c>
      <c r="B787" s="432" t="s">
        <v>1503</v>
      </c>
      <c r="C787" s="433">
        <v>127014.17</v>
      </c>
      <c r="E787" s="432">
        <v>98611</v>
      </c>
      <c r="F787" s="432" t="b">
        <f t="shared" si="12"/>
        <v>1</v>
      </c>
    </row>
    <row r="788" spans="1:6">
      <c r="A788" s="432">
        <v>98621</v>
      </c>
      <c r="B788" s="432" t="s">
        <v>1504</v>
      </c>
      <c r="C788" s="433">
        <v>141121.16999999998</v>
      </c>
      <c r="E788" s="432">
        <v>98621</v>
      </c>
      <c r="F788" s="432" t="b">
        <f t="shared" si="12"/>
        <v>1</v>
      </c>
    </row>
    <row r="789" spans="1:6">
      <c r="A789" s="432">
        <v>98627</v>
      </c>
      <c r="B789" s="432" t="s">
        <v>1505</v>
      </c>
      <c r="C789" s="433">
        <v>9959.2900000000009</v>
      </c>
      <c r="E789" s="432">
        <v>98627</v>
      </c>
      <c r="F789" s="432" t="b">
        <f t="shared" si="12"/>
        <v>1</v>
      </c>
    </row>
    <row r="790" spans="1:6">
      <c r="A790" s="432">
        <v>98631</v>
      </c>
      <c r="B790" s="432" t="s">
        <v>1506</v>
      </c>
      <c r="C790" s="433">
        <v>870057.39000000013</v>
      </c>
      <c r="E790" s="432">
        <v>98631</v>
      </c>
      <c r="F790" s="432" t="b">
        <f t="shared" si="12"/>
        <v>1</v>
      </c>
    </row>
    <row r="791" spans="1:6">
      <c r="A791" s="432">
        <v>98637</v>
      </c>
      <c r="B791" s="432" t="s">
        <v>1507</v>
      </c>
      <c r="C791" s="433">
        <v>28355.11</v>
      </c>
      <c r="E791" s="432">
        <v>98637</v>
      </c>
      <c r="F791" s="432" t="b">
        <f t="shared" si="12"/>
        <v>1</v>
      </c>
    </row>
    <row r="792" spans="1:6">
      <c r="A792" s="432">
        <v>98641</v>
      </c>
      <c r="B792" s="432" t="s">
        <v>1508</v>
      </c>
      <c r="C792" s="433">
        <v>296227.31</v>
      </c>
      <c r="E792" s="432">
        <v>98641</v>
      </c>
      <c r="F792" s="432" t="b">
        <f t="shared" si="12"/>
        <v>1</v>
      </c>
    </row>
    <row r="793" spans="1:6">
      <c r="A793" s="432">
        <v>98701</v>
      </c>
      <c r="B793" s="432" t="s">
        <v>1509</v>
      </c>
      <c r="C793" s="433">
        <v>1144108.05</v>
      </c>
      <c r="E793" s="432">
        <v>98701</v>
      </c>
      <c r="F793" s="432" t="b">
        <f t="shared" si="12"/>
        <v>1</v>
      </c>
    </row>
    <row r="794" spans="1:6">
      <c r="A794" s="432">
        <v>98711</v>
      </c>
      <c r="B794" s="432" t="s">
        <v>1510</v>
      </c>
      <c r="C794" s="433">
        <v>158797.82999999999</v>
      </c>
      <c r="E794" s="432">
        <v>98711</v>
      </c>
      <c r="F794" s="432" t="b">
        <f t="shared" si="12"/>
        <v>1</v>
      </c>
    </row>
    <row r="795" spans="1:6">
      <c r="A795" s="432">
        <v>98717</v>
      </c>
      <c r="B795" s="432" t="s">
        <v>1511</v>
      </c>
      <c r="C795" s="433">
        <v>25566.68</v>
      </c>
      <c r="E795" s="432">
        <v>98717</v>
      </c>
      <c r="F795" s="432" t="b">
        <f t="shared" si="12"/>
        <v>1</v>
      </c>
    </row>
    <row r="796" spans="1:6">
      <c r="A796" s="432">
        <v>98801</v>
      </c>
      <c r="B796" s="432" t="s">
        <v>1512</v>
      </c>
      <c r="C796" s="433">
        <v>2503768.89</v>
      </c>
      <c r="E796" s="432">
        <v>98801</v>
      </c>
      <c r="F796" s="432" t="b">
        <f t="shared" si="12"/>
        <v>1</v>
      </c>
    </row>
    <row r="797" spans="1:6">
      <c r="A797" s="432">
        <v>98811</v>
      </c>
      <c r="B797" s="432" t="s">
        <v>1513</v>
      </c>
      <c r="C797" s="433">
        <v>672619.08000000007</v>
      </c>
      <c r="E797" s="432">
        <v>98811</v>
      </c>
      <c r="F797" s="432" t="b">
        <f t="shared" si="12"/>
        <v>1</v>
      </c>
    </row>
    <row r="798" spans="1:6">
      <c r="A798" s="432">
        <v>98817</v>
      </c>
      <c r="B798" s="432" t="s">
        <v>1514</v>
      </c>
      <c r="C798" s="433">
        <v>20168</v>
      </c>
      <c r="E798" s="432">
        <v>98817</v>
      </c>
      <c r="F798" s="432" t="b">
        <f t="shared" si="12"/>
        <v>1</v>
      </c>
    </row>
    <row r="799" spans="1:6">
      <c r="A799" s="432">
        <v>98901</v>
      </c>
      <c r="B799" s="432" t="s">
        <v>1515</v>
      </c>
      <c r="C799" s="433">
        <v>293783.84999999998</v>
      </c>
      <c r="E799" s="432">
        <v>98901</v>
      </c>
      <c r="F799" s="432" t="b">
        <f t="shared" si="12"/>
        <v>1</v>
      </c>
    </row>
    <row r="800" spans="1:6">
      <c r="A800" s="432">
        <v>98904</v>
      </c>
      <c r="B800" s="432" t="s">
        <v>1516</v>
      </c>
      <c r="C800" s="433">
        <v>3772.08</v>
      </c>
      <c r="E800" s="432">
        <v>98904</v>
      </c>
      <c r="F800" s="432" t="b">
        <f t="shared" si="12"/>
        <v>1</v>
      </c>
    </row>
    <row r="801" spans="1:6">
      <c r="A801" s="432">
        <v>98911</v>
      </c>
      <c r="B801" s="432" t="s">
        <v>1517</v>
      </c>
      <c r="C801" s="433">
        <v>30946.95</v>
      </c>
      <c r="E801" s="432">
        <v>98911</v>
      </c>
      <c r="F801" s="432" t="b">
        <f t="shared" si="12"/>
        <v>1</v>
      </c>
    </row>
    <row r="802" spans="1:6">
      <c r="A802" s="432">
        <v>99001</v>
      </c>
      <c r="B802" s="432" t="s">
        <v>1518</v>
      </c>
      <c r="C802" s="433">
        <v>9868849.120000001</v>
      </c>
      <c r="E802" s="432">
        <v>99001</v>
      </c>
      <c r="F802" s="432" t="b">
        <f t="shared" si="12"/>
        <v>1</v>
      </c>
    </row>
    <row r="803" spans="1:6">
      <c r="A803" s="432">
        <v>99011</v>
      </c>
      <c r="B803" s="432" t="s">
        <v>1519</v>
      </c>
      <c r="C803" s="433">
        <v>4236701.91</v>
      </c>
      <c r="E803" s="432">
        <v>99011</v>
      </c>
      <c r="F803" s="432" t="b">
        <f t="shared" si="12"/>
        <v>1</v>
      </c>
    </row>
    <row r="804" spans="1:6">
      <c r="A804" s="432">
        <v>99013</v>
      </c>
      <c r="B804" s="432" t="s">
        <v>1520</v>
      </c>
      <c r="C804" s="433">
        <v>55081.88</v>
      </c>
      <c r="E804" s="432">
        <v>99013</v>
      </c>
      <c r="F804" s="432" t="b">
        <f t="shared" si="12"/>
        <v>1</v>
      </c>
    </row>
    <row r="805" spans="1:6">
      <c r="A805" s="432">
        <v>99014</v>
      </c>
      <c r="B805" s="432" t="s">
        <v>1521</v>
      </c>
      <c r="C805" s="433">
        <v>29520.079999999998</v>
      </c>
      <c r="E805" s="432">
        <v>99014</v>
      </c>
      <c r="F805" s="432" t="b">
        <f t="shared" si="12"/>
        <v>1</v>
      </c>
    </row>
    <row r="806" spans="1:6">
      <c r="A806" s="432">
        <v>99017</v>
      </c>
      <c r="B806" s="432" t="s">
        <v>1522</v>
      </c>
      <c r="C806" s="433">
        <v>46151.040000000001</v>
      </c>
      <c r="E806" s="432">
        <v>99017</v>
      </c>
      <c r="F806" s="432" t="b">
        <f t="shared" si="12"/>
        <v>1</v>
      </c>
    </row>
    <row r="807" spans="1:6">
      <c r="A807" s="432">
        <v>99021</v>
      </c>
      <c r="B807" s="432" t="s">
        <v>1523</v>
      </c>
      <c r="C807" s="433">
        <v>127808.12</v>
      </c>
      <c r="E807" s="432">
        <v>99021</v>
      </c>
      <c r="F807" s="432" t="b">
        <f t="shared" si="12"/>
        <v>1</v>
      </c>
    </row>
    <row r="808" spans="1:6">
      <c r="A808" s="432">
        <v>99022</v>
      </c>
      <c r="B808" s="432" t="s">
        <v>211</v>
      </c>
      <c r="C808" s="433">
        <v>19118.519999999997</v>
      </c>
      <c r="E808" s="432">
        <v>99022</v>
      </c>
      <c r="F808" s="432" t="b">
        <f t="shared" si="12"/>
        <v>1</v>
      </c>
    </row>
    <row r="809" spans="1:6">
      <c r="A809" s="432">
        <v>99031</v>
      </c>
      <c r="B809" s="432" t="s">
        <v>1524</v>
      </c>
      <c r="C809" s="433">
        <v>108364.21999999999</v>
      </c>
      <c r="E809" s="432">
        <v>99031</v>
      </c>
      <c r="F809" s="432" t="b">
        <f t="shared" si="12"/>
        <v>1</v>
      </c>
    </row>
    <row r="810" spans="1:6">
      <c r="A810" s="432">
        <v>99041</v>
      </c>
      <c r="B810" s="432" t="s">
        <v>1525</v>
      </c>
      <c r="C810" s="433">
        <v>697409.13</v>
      </c>
      <c r="E810" s="432">
        <v>99041</v>
      </c>
      <c r="F810" s="432" t="b">
        <f t="shared" si="12"/>
        <v>1</v>
      </c>
    </row>
    <row r="811" spans="1:6">
      <c r="A811" s="432">
        <v>99047</v>
      </c>
      <c r="B811" s="432" t="s">
        <v>1526</v>
      </c>
      <c r="C811" s="433">
        <v>29508.31</v>
      </c>
      <c r="E811" s="432">
        <v>99047</v>
      </c>
      <c r="F811" s="432" t="b">
        <f t="shared" si="12"/>
        <v>1</v>
      </c>
    </row>
    <row r="812" spans="1:6">
      <c r="A812" s="432">
        <v>99051</v>
      </c>
      <c r="B812" s="432" t="s">
        <v>1527</v>
      </c>
      <c r="C812" s="433">
        <v>357283.53</v>
      </c>
      <c r="E812" s="432">
        <v>99051</v>
      </c>
      <c r="F812" s="432" t="b">
        <f t="shared" si="12"/>
        <v>1</v>
      </c>
    </row>
    <row r="813" spans="1:6">
      <c r="A813" s="432">
        <v>99061</v>
      </c>
      <c r="B813" s="432" t="s">
        <v>1528</v>
      </c>
      <c r="C813" s="433">
        <v>8470.49</v>
      </c>
      <c r="E813" s="432">
        <v>99061</v>
      </c>
      <c r="F813" s="432" t="b">
        <f t="shared" si="12"/>
        <v>1</v>
      </c>
    </row>
    <row r="814" spans="1:6">
      <c r="A814" s="432">
        <v>99071</v>
      </c>
      <c r="B814" s="432" t="s">
        <v>1529</v>
      </c>
      <c r="C814" s="433">
        <v>28298.370000000003</v>
      </c>
      <c r="E814" s="432">
        <v>99071</v>
      </c>
      <c r="F814" s="432" t="b">
        <f t="shared" si="12"/>
        <v>1</v>
      </c>
    </row>
    <row r="815" spans="1:6">
      <c r="A815" s="432">
        <v>99081</v>
      </c>
      <c r="B815" s="432" t="s">
        <v>1530</v>
      </c>
      <c r="C815" s="433">
        <v>55180.83</v>
      </c>
      <c r="E815" s="432">
        <v>99081</v>
      </c>
      <c r="F815" s="432" t="b">
        <f t="shared" si="12"/>
        <v>1</v>
      </c>
    </row>
    <row r="816" spans="1:6">
      <c r="A816" s="432">
        <v>99091</v>
      </c>
      <c r="B816" s="432" t="s">
        <v>1531</v>
      </c>
      <c r="C816" s="433">
        <v>17578.02</v>
      </c>
      <c r="E816" s="432">
        <v>99091</v>
      </c>
      <c r="F816" s="432" t="b">
        <f t="shared" si="12"/>
        <v>1</v>
      </c>
    </row>
    <row r="817" spans="1:6">
      <c r="A817" s="432">
        <v>99101</v>
      </c>
      <c r="B817" s="432" t="s">
        <v>1532</v>
      </c>
      <c r="C817" s="433">
        <v>1848853.8</v>
      </c>
      <c r="E817" s="432">
        <v>99101</v>
      </c>
      <c r="F817" s="432" t="b">
        <f t="shared" si="12"/>
        <v>1</v>
      </c>
    </row>
    <row r="818" spans="1:6">
      <c r="A818" s="432">
        <v>99104</v>
      </c>
      <c r="B818" s="432" t="s">
        <v>1533</v>
      </c>
      <c r="C818" s="433">
        <v>54855.3</v>
      </c>
      <c r="E818" s="432">
        <v>99104</v>
      </c>
      <c r="F818" s="432" t="b">
        <f t="shared" si="12"/>
        <v>1</v>
      </c>
    </row>
    <row r="819" spans="1:6">
      <c r="A819" s="432">
        <v>99109</v>
      </c>
      <c r="B819" s="432" t="s">
        <v>1534</v>
      </c>
      <c r="C819" s="433">
        <v>115819.11</v>
      </c>
      <c r="E819" s="432">
        <v>99109</v>
      </c>
      <c r="F819" s="432" t="b">
        <f t="shared" si="12"/>
        <v>1</v>
      </c>
    </row>
    <row r="820" spans="1:6">
      <c r="A820" s="432">
        <v>99110</v>
      </c>
      <c r="B820" s="432" t="s">
        <v>1535</v>
      </c>
      <c r="C820" s="433">
        <v>246735.86</v>
      </c>
      <c r="E820" s="432">
        <v>99110</v>
      </c>
      <c r="F820" s="432" t="b">
        <f t="shared" si="12"/>
        <v>1</v>
      </c>
    </row>
    <row r="821" spans="1:6">
      <c r="A821" s="432">
        <v>99111</v>
      </c>
      <c r="B821" s="432" t="s">
        <v>1536</v>
      </c>
      <c r="C821" s="433">
        <v>1229960.0499999998</v>
      </c>
      <c r="E821" s="432">
        <v>99111</v>
      </c>
      <c r="F821" s="432" t="b">
        <f t="shared" si="12"/>
        <v>1</v>
      </c>
    </row>
    <row r="822" spans="1:6">
      <c r="A822" s="432">
        <v>99201</v>
      </c>
      <c r="B822" s="432" t="s">
        <v>3738</v>
      </c>
      <c r="C822" s="433">
        <v>40163874.719999999</v>
      </c>
      <c r="E822" s="432">
        <v>99201</v>
      </c>
      <c r="F822" s="432" t="b">
        <f t="shared" si="12"/>
        <v>1</v>
      </c>
    </row>
    <row r="823" spans="1:6">
      <c r="A823" s="432">
        <v>99202</v>
      </c>
      <c r="B823" s="432" t="s">
        <v>1538</v>
      </c>
      <c r="C823" s="433">
        <v>3393772.24</v>
      </c>
      <c r="E823" s="432">
        <v>99202</v>
      </c>
      <c r="F823" s="432" t="b">
        <f t="shared" si="12"/>
        <v>1</v>
      </c>
    </row>
    <row r="824" spans="1:6">
      <c r="A824" s="432">
        <v>99203</v>
      </c>
      <c r="B824" s="432" t="s">
        <v>1539</v>
      </c>
      <c r="C824" s="433">
        <v>409269.50000000006</v>
      </c>
      <c r="E824" s="432">
        <v>99203</v>
      </c>
      <c r="F824" s="432" t="b">
        <f t="shared" si="12"/>
        <v>1</v>
      </c>
    </row>
    <row r="825" spans="1:6">
      <c r="A825" s="432">
        <v>99204</v>
      </c>
      <c r="B825" s="432" t="s">
        <v>1540</v>
      </c>
      <c r="C825" s="433">
        <v>1304202.45</v>
      </c>
      <c r="E825" s="432">
        <v>99204</v>
      </c>
      <c r="F825" s="432" t="b">
        <f t="shared" si="12"/>
        <v>1</v>
      </c>
    </row>
    <row r="826" spans="1:6">
      <c r="A826" s="432">
        <v>99206</v>
      </c>
      <c r="B826" s="432" t="s">
        <v>1541</v>
      </c>
      <c r="C826" s="433">
        <v>2089637.49</v>
      </c>
      <c r="E826" s="432">
        <v>99206</v>
      </c>
      <c r="F826" s="432" t="b">
        <f t="shared" si="12"/>
        <v>1</v>
      </c>
    </row>
    <row r="827" spans="1:6">
      <c r="A827" s="432">
        <v>99207</v>
      </c>
      <c r="B827" s="432" t="s">
        <v>1542</v>
      </c>
      <c r="C827" s="433">
        <v>316522.71999999997</v>
      </c>
      <c r="E827" s="432">
        <v>99207</v>
      </c>
      <c r="F827" s="432" t="b">
        <f t="shared" si="12"/>
        <v>1</v>
      </c>
    </row>
    <row r="828" spans="1:6">
      <c r="A828" s="432">
        <v>99208</v>
      </c>
      <c r="B828" s="432" t="s">
        <v>1543</v>
      </c>
      <c r="C828" s="433">
        <v>297563.32</v>
      </c>
      <c r="E828" s="432">
        <v>99208</v>
      </c>
      <c r="F828" s="432" t="b">
        <f t="shared" si="12"/>
        <v>1</v>
      </c>
    </row>
    <row r="829" spans="1:6">
      <c r="A829" s="432">
        <v>99210</v>
      </c>
      <c r="B829" s="432" t="s">
        <v>1544</v>
      </c>
      <c r="C829" s="433">
        <v>2066053.03</v>
      </c>
      <c r="E829" s="432">
        <v>99210</v>
      </c>
      <c r="F829" s="432" t="b">
        <f t="shared" si="12"/>
        <v>1</v>
      </c>
    </row>
    <row r="830" spans="1:6">
      <c r="A830" s="432">
        <v>99211</v>
      </c>
      <c r="B830" s="432" t="s">
        <v>1545</v>
      </c>
      <c r="C830" s="433">
        <v>34036016.830000006</v>
      </c>
      <c r="E830" s="432">
        <v>99211</v>
      </c>
      <c r="F830" s="432" t="b">
        <f t="shared" si="12"/>
        <v>1</v>
      </c>
    </row>
    <row r="831" spans="1:6">
      <c r="A831" s="432">
        <v>99212</v>
      </c>
      <c r="B831" s="432" t="s">
        <v>1546</v>
      </c>
      <c r="C831" s="433">
        <v>69137.279999999999</v>
      </c>
      <c r="E831" s="432">
        <v>99212</v>
      </c>
      <c r="F831" s="432" t="b">
        <f t="shared" si="12"/>
        <v>1</v>
      </c>
    </row>
    <row r="832" spans="1:6">
      <c r="A832" s="432">
        <v>99213</v>
      </c>
      <c r="B832" s="432" t="s">
        <v>1547</v>
      </c>
      <c r="C832" s="433">
        <v>688244.65</v>
      </c>
      <c r="E832" s="432">
        <v>99213</v>
      </c>
      <c r="F832" s="432" t="b">
        <f t="shared" si="12"/>
        <v>1</v>
      </c>
    </row>
    <row r="833" spans="1:6">
      <c r="A833" s="432">
        <v>99218</v>
      </c>
      <c r="B833" s="432" t="s">
        <v>1548</v>
      </c>
      <c r="C833" s="433">
        <v>3964503.21</v>
      </c>
      <c r="E833" s="432">
        <v>99218</v>
      </c>
      <c r="F833" s="432" t="b">
        <f t="shared" si="12"/>
        <v>1</v>
      </c>
    </row>
    <row r="834" spans="1:6">
      <c r="A834" s="432">
        <v>99219</v>
      </c>
      <c r="B834" s="432" t="s">
        <v>3758</v>
      </c>
      <c r="C834" s="433">
        <v>19634.2</v>
      </c>
      <c r="E834" s="432">
        <v>99219</v>
      </c>
      <c r="F834" s="432" t="b">
        <f t="shared" si="12"/>
        <v>1</v>
      </c>
    </row>
    <row r="835" spans="1:6">
      <c r="A835" s="432">
        <v>99221</v>
      </c>
      <c r="B835" s="432" t="s">
        <v>1549</v>
      </c>
      <c r="C835" s="433">
        <v>12668578.84</v>
      </c>
      <c r="E835" s="432">
        <v>99221</v>
      </c>
      <c r="F835" s="432" t="b">
        <f t="shared" ref="F835:F898" si="13">E835=A835</f>
        <v>1</v>
      </c>
    </row>
    <row r="836" spans="1:6">
      <c r="A836" s="432">
        <v>99222</v>
      </c>
      <c r="B836" s="432" t="s">
        <v>1550</v>
      </c>
      <c r="C836" s="433">
        <v>33419.919999999998</v>
      </c>
      <c r="E836" s="432">
        <v>99222</v>
      </c>
      <c r="F836" s="432" t="b">
        <f t="shared" si="13"/>
        <v>1</v>
      </c>
    </row>
    <row r="837" spans="1:6">
      <c r="A837" s="432">
        <v>99231</v>
      </c>
      <c r="B837" s="432" t="s">
        <v>1551</v>
      </c>
      <c r="C837" s="433">
        <v>572391.58000000007</v>
      </c>
      <c r="E837" s="432">
        <v>99231</v>
      </c>
      <c r="F837" s="432" t="b">
        <f t="shared" si="13"/>
        <v>1</v>
      </c>
    </row>
    <row r="838" spans="1:6">
      <c r="A838" s="432">
        <v>99241</v>
      </c>
      <c r="B838" s="432" t="s">
        <v>1552</v>
      </c>
      <c r="C838" s="433">
        <v>626121.78999999992</v>
      </c>
      <c r="E838" s="432">
        <v>99241</v>
      </c>
      <c r="F838" s="432" t="b">
        <f t="shared" si="13"/>
        <v>1</v>
      </c>
    </row>
    <row r="839" spans="1:6">
      <c r="A839" s="432">
        <v>99251</v>
      </c>
      <c r="B839" s="432" t="s">
        <v>1553</v>
      </c>
      <c r="C839" s="433">
        <v>1799189.94</v>
      </c>
      <c r="E839" s="432">
        <v>99251</v>
      </c>
      <c r="F839" s="432" t="b">
        <f t="shared" si="13"/>
        <v>1</v>
      </c>
    </row>
    <row r="840" spans="1:6">
      <c r="A840" s="432">
        <v>99252</v>
      </c>
      <c r="B840" s="432" t="s">
        <v>1554</v>
      </c>
      <c r="C840" s="433">
        <v>665741.86</v>
      </c>
      <c r="E840" s="432">
        <v>99252</v>
      </c>
      <c r="F840" s="432" t="b">
        <f t="shared" si="13"/>
        <v>1</v>
      </c>
    </row>
    <row r="841" spans="1:6">
      <c r="A841" s="432">
        <v>99261</v>
      </c>
      <c r="B841" s="432" t="s">
        <v>1555</v>
      </c>
      <c r="C841" s="433">
        <v>2741094.94</v>
      </c>
      <c r="E841" s="432">
        <v>99261</v>
      </c>
      <c r="F841" s="432" t="b">
        <f t="shared" si="13"/>
        <v>1</v>
      </c>
    </row>
    <row r="842" spans="1:6">
      <c r="A842" s="432">
        <v>99271</v>
      </c>
      <c r="B842" s="432" t="s">
        <v>1556</v>
      </c>
      <c r="C842" s="433">
        <v>5561212.9299999997</v>
      </c>
      <c r="E842" s="432">
        <v>99271</v>
      </c>
      <c r="F842" s="432" t="b">
        <f t="shared" si="13"/>
        <v>1</v>
      </c>
    </row>
    <row r="843" spans="1:6">
      <c r="A843" s="432">
        <v>99281</v>
      </c>
      <c r="B843" s="432" t="s">
        <v>1557</v>
      </c>
      <c r="C843" s="433">
        <v>3645768.64</v>
      </c>
      <c r="E843" s="432">
        <v>99281</v>
      </c>
      <c r="F843" s="432" t="b">
        <f t="shared" si="13"/>
        <v>1</v>
      </c>
    </row>
    <row r="844" spans="1:6">
      <c r="A844" s="432">
        <v>99291</v>
      </c>
      <c r="B844" s="432" t="s">
        <v>1558</v>
      </c>
      <c r="C844" s="433">
        <v>1166954.4799999997</v>
      </c>
      <c r="E844" s="432">
        <v>99291</v>
      </c>
      <c r="F844" s="432" t="b">
        <f t="shared" si="13"/>
        <v>1</v>
      </c>
    </row>
    <row r="845" spans="1:6">
      <c r="A845" s="432">
        <v>99301</v>
      </c>
      <c r="B845" s="432" t="s">
        <v>1559</v>
      </c>
      <c r="C845" s="433">
        <v>1438393.2699999998</v>
      </c>
      <c r="E845" s="432">
        <v>99301</v>
      </c>
      <c r="F845" s="432" t="b">
        <f t="shared" si="13"/>
        <v>1</v>
      </c>
    </row>
    <row r="846" spans="1:6">
      <c r="A846" s="432">
        <v>99304</v>
      </c>
      <c r="B846" s="432" t="s">
        <v>1560</v>
      </c>
      <c r="C846" s="433">
        <v>17040.32</v>
      </c>
      <c r="E846" s="432">
        <v>99304</v>
      </c>
      <c r="F846" s="432" t="b">
        <f t="shared" si="13"/>
        <v>1</v>
      </c>
    </row>
    <row r="847" spans="1:6">
      <c r="A847" s="432">
        <v>99311</v>
      </c>
      <c r="B847" s="432" t="s">
        <v>1561</v>
      </c>
      <c r="C847" s="433">
        <v>41832.499999999993</v>
      </c>
      <c r="E847" s="432">
        <v>99311</v>
      </c>
      <c r="F847" s="432" t="b">
        <f t="shared" si="13"/>
        <v>1</v>
      </c>
    </row>
    <row r="848" spans="1:6">
      <c r="A848" s="432">
        <v>99321</v>
      </c>
      <c r="B848" s="432" t="s">
        <v>1562</v>
      </c>
      <c r="C848" s="433">
        <v>191111.62</v>
      </c>
      <c r="E848" s="432">
        <v>99321</v>
      </c>
      <c r="F848" s="432" t="b">
        <f t="shared" si="13"/>
        <v>1</v>
      </c>
    </row>
    <row r="849" spans="1:6">
      <c r="A849" s="432">
        <v>99401</v>
      </c>
      <c r="B849" s="432" t="s">
        <v>1563</v>
      </c>
      <c r="C849" s="433">
        <v>747629.77999999991</v>
      </c>
      <c r="E849" s="432">
        <v>99401</v>
      </c>
      <c r="F849" s="432" t="b">
        <f t="shared" si="13"/>
        <v>1</v>
      </c>
    </row>
    <row r="850" spans="1:6">
      <c r="A850" s="432">
        <v>99404</v>
      </c>
      <c r="B850" s="432" t="s">
        <v>1564</v>
      </c>
      <c r="C850" s="433">
        <v>11048.04</v>
      </c>
      <c r="E850" s="432">
        <v>99404</v>
      </c>
      <c r="F850" s="432" t="b">
        <f t="shared" si="13"/>
        <v>1</v>
      </c>
    </row>
    <row r="851" spans="1:6">
      <c r="A851" s="432">
        <v>99405</v>
      </c>
      <c r="B851" s="432" t="s">
        <v>1565</v>
      </c>
      <c r="C851" s="433">
        <v>66077.070000000007</v>
      </c>
      <c r="E851" s="432">
        <v>99405</v>
      </c>
      <c r="F851" s="432" t="b">
        <f t="shared" si="13"/>
        <v>1</v>
      </c>
    </row>
    <row r="852" spans="1:6">
      <c r="A852" s="432">
        <v>99411</v>
      </c>
      <c r="B852" s="432" t="s">
        <v>1566</v>
      </c>
      <c r="C852" s="433">
        <v>152266.21000000002</v>
      </c>
      <c r="E852" s="432">
        <v>99411</v>
      </c>
      <c r="F852" s="432" t="b">
        <f t="shared" si="13"/>
        <v>1</v>
      </c>
    </row>
    <row r="853" spans="1:6">
      <c r="A853" s="432">
        <v>99413</v>
      </c>
      <c r="B853" s="432" t="s">
        <v>1567</v>
      </c>
      <c r="C853" s="433">
        <v>50414.75</v>
      </c>
      <c r="E853" s="432">
        <v>99413</v>
      </c>
      <c r="F853" s="432" t="b">
        <f t="shared" si="13"/>
        <v>1</v>
      </c>
    </row>
    <row r="854" spans="1:6">
      <c r="A854" s="432">
        <v>99421</v>
      </c>
      <c r="B854" s="432" t="s">
        <v>1568</v>
      </c>
      <c r="C854" s="433">
        <v>8189.1</v>
      </c>
      <c r="E854" s="432">
        <v>99421</v>
      </c>
      <c r="F854" s="432" t="b">
        <f t="shared" si="13"/>
        <v>1</v>
      </c>
    </row>
    <row r="855" spans="1:6">
      <c r="A855" s="432">
        <v>99431</v>
      </c>
      <c r="B855" s="432" t="s">
        <v>1569</v>
      </c>
      <c r="C855" s="433">
        <v>15021.88</v>
      </c>
      <c r="E855" s="432">
        <v>99431</v>
      </c>
      <c r="F855" s="432" t="b">
        <f t="shared" si="13"/>
        <v>1</v>
      </c>
    </row>
    <row r="856" spans="1:6">
      <c r="A856" s="432">
        <v>99501</v>
      </c>
      <c r="B856" s="432" t="s">
        <v>1570</v>
      </c>
      <c r="C856" s="433">
        <v>1860821.5499999998</v>
      </c>
      <c r="E856" s="432">
        <v>99501</v>
      </c>
      <c r="F856" s="432" t="b">
        <f t="shared" si="13"/>
        <v>1</v>
      </c>
    </row>
    <row r="857" spans="1:6">
      <c r="A857" s="432">
        <v>99502</v>
      </c>
      <c r="B857" s="432" t="s">
        <v>1571</v>
      </c>
      <c r="C857" s="433">
        <v>157597.99</v>
      </c>
      <c r="E857" s="432">
        <v>99502</v>
      </c>
      <c r="F857" s="432" t="b">
        <f t="shared" si="13"/>
        <v>1</v>
      </c>
    </row>
    <row r="858" spans="1:6">
      <c r="A858" s="432">
        <v>99508</v>
      </c>
      <c r="B858" s="432" t="s">
        <v>1572</v>
      </c>
      <c r="C858" s="433">
        <v>31911.599999999999</v>
      </c>
      <c r="E858" s="432">
        <v>99508</v>
      </c>
      <c r="F858" s="432" t="b">
        <f t="shared" si="13"/>
        <v>1</v>
      </c>
    </row>
    <row r="859" spans="1:6">
      <c r="A859" s="432">
        <v>99509</v>
      </c>
      <c r="B859" s="432" t="s">
        <v>1573</v>
      </c>
      <c r="C859" s="433">
        <v>25492.720000000001</v>
      </c>
      <c r="E859" s="432">
        <v>99509</v>
      </c>
      <c r="F859" s="432" t="b">
        <f t="shared" si="13"/>
        <v>1</v>
      </c>
    </row>
    <row r="860" spans="1:6">
      <c r="A860" s="432">
        <v>99511</v>
      </c>
      <c r="B860" s="432" t="s">
        <v>1574</v>
      </c>
      <c r="C860" s="433">
        <v>1315163.1199999999</v>
      </c>
      <c r="E860" s="432">
        <v>99511</v>
      </c>
      <c r="F860" s="432" t="b">
        <f t="shared" si="13"/>
        <v>1</v>
      </c>
    </row>
    <row r="861" spans="1:6">
      <c r="A861" s="432">
        <v>99521</v>
      </c>
      <c r="B861" s="432" t="s">
        <v>1575</v>
      </c>
      <c r="C861" s="433">
        <v>513879.39</v>
      </c>
      <c r="E861" s="432">
        <v>99521</v>
      </c>
      <c r="F861" s="432" t="b">
        <f t="shared" si="13"/>
        <v>1</v>
      </c>
    </row>
    <row r="862" spans="1:6">
      <c r="A862" s="432">
        <v>99527</v>
      </c>
      <c r="B862" s="432" t="s">
        <v>1576</v>
      </c>
      <c r="C862" s="433">
        <v>14673</v>
      </c>
      <c r="E862" s="432">
        <v>99527</v>
      </c>
      <c r="F862" s="432" t="b">
        <f t="shared" si="13"/>
        <v>1</v>
      </c>
    </row>
    <row r="863" spans="1:6">
      <c r="A863" s="432">
        <v>99531</v>
      </c>
      <c r="B863" s="432" t="s">
        <v>1577</v>
      </c>
      <c r="C863" s="433">
        <v>142544.58000000002</v>
      </c>
      <c r="E863" s="432">
        <v>99531</v>
      </c>
      <c r="F863" s="432" t="b">
        <f t="shared" si="13"/>
        <v>1</v>
      </c>
    </row>
    <row r="864" spans="1:6">
      <c r="A864" s="432">
        <v>99601</v>
      </c>
      <c r="B864" s="432" t="s">
        <v>1578</v>
      </c>
      <c r="C864" s="433">
        <v>5066664.9400000004</v>
      </c>
      <c r="E864" s="432">
        <v>99601</v>
      </c>
      <c r="F864" s="432" t="b">
        <f t="shared" si="13"/>
        <v>1</v>
      </c>
    </row>
    <row r="865" spans="1:6">
      <c r="A865" s="432">
        <v>99602</v>
      </c>
      <c r="B865" s="432" t="s">
        <v>1579</v>
      </c>
      <c r="C865" s="433">
        <v>55072.11</v>
      </c>
      <c r="E865" s="432">
        <v>99602</v>
      </c>
      <c r="F865" s="432" t="b">
        <f t="shared" si="13"/>
        <v>1</v>
      </c>
    </row>
    <row r="866" spans="1:6">
      <c r="A866" s="432">
        <v>99603</v>
      </c>
      <c r="B866" s="432" t="s">
        <v>1580</v>
      </c>
      <c r="C866" s="433">
        <v>180704.28</v>
      </c>
      <c r="E866" s="432">
        <v>99603</v>
      </c>
      <c r="F866" s="432" t="b">
        <f t="shared" si="13"/>
        <v>1</v>
      </c>
    </row>
    <row r="867" spans="1:6">
      <c r="A867" s="432">
        <v>99604</v>
      </c>
      <c r="B867" s="432" t="s">
        <v>1581</v>
      </c>
      <c r="C867" s="433">
        <v>124487.40000000001</v>
      </c>
      <c r="E867" s="432">
        <v>99604</v>
      </c>
      <c r="F867" s="432" t="b">
        <f t="shared" si="13"/>
        <v>1</v>
      </c>
    </row>
    <row r="868" spans="1:6">
      <c r="A868" s="432">
        <v>99609</v>
      </c>
      <c r="B868" s="432" t="s">
        <v>1582</v>
      </c>
      <c r="C868" s="433">
        <v>26629.38</v>
      </c>
      <c r="E868" s="432">
        <v>99609</v>
      </c>
      <c r="F868" s="432" t="b">
        <f t="shared" si="13"/>
        <v>1</v>
      </c>
    </row>
    <row r="869" spans="1:6">
      <c r="A869" s="432">
        <v>99610</v>
      </c>
      <c r="B869" s="432" t="s">
        <v>1583</v>
      </c>
      <c r="C869" s="433">
        <v>191660.03</v>
      </c>
      <c r="E869" s="432">
        <v>99610</v>
      </c>
      <c r="F869" s="432" t="b">
        <f t="shared" si="13"/>
        <v>1</v>
      </c>
    </row>
    <row r="870" spans="1:6">
      <c r="A870" s="432">
        <v>99611</v>
      </c>
      <c r="B870" s="432" t="s">
        <v>1584</v>
      </c>
      <c r="C870" s="433">
        <v>2836028.21</v>
      </c>
      <c r="E870" s="432">
        <v>99611</v>
      </c>
      <c r="F870" s="432" t="b">
        <f t="shared" si="13"/>
        <v>1</v>
      </c>
    </row>
    <row r="871" spans="1:6">
      <c r="A871" s="432">
        <v>99613</v>
      </c>
      <c r="B871" s="432" t="s">
        <v>1585</v>
      </c>
      <c r="C871" s="433">
        <v>340908.45</v>
      </c>
      <c r="E871" s="432">
        <v>99613</v>
      </c>
      <c r="F871" s="432" t="b">
        <f t="shared" si="13"/>
        <v>1</v>
      </c>
    </row>
    <row r="872" spans="1:6">
      <c r="A872" s="432">
        <v>99621</v>
      </c>
      <c r="B872" s="432" t="s">
        <v>1586</v>
      </c>
      <c r="C872" s="433">
        <v>332364.08</v>
      </c>
      <c r="E872" s="432">
        <v>99621</v>
      </c>
      <c r="F872" s="432" t="b">
        <f t="shared" si="13"/>
        <v>1</v>
      </c>
    </row>
    <row r="873" spans="1:6">
      <c r="A873" s="432">
        <v>99623</v>
      </c>
      <c r="B873" s="432" t="s">
        <v>1587</v>
      </c>
      <c r="C873" s="433">
        <v>7464.46</v>
      </c>
      <c r="E873" s="432">
        <v>99623</v>
      </c>
      <c r="F873" s="432" t="b">
        <f t="shared" si="13"/>
        <v>1</v>
      </c>
    </row>
    <row r="874" spans="1:6">
      <c r="A874" s="432">
        <v>99624</v>
      </c>
      <c r="B874" s="432" t="s">
        <v>3759</v>
      </c>
      <c r="C874" s="433">
        <v>87080.17</v>
      </c>
      <c r="E874" s="432">
        <v>99624</v>
      </c>
      <c r="F874" s="432" t="b">
        <f t="shared" si="13"/>
        <v>1</v>
      </c>
    </row>
    <row r="875" spans="1:6">
      <c r="A875" s="432">
        <v>99631</v>
      </c>
      <c r="B875" s="432" t="s">
        <v>1588</v>
      </c>
      <c r="C875" s="433">
        <v>91458.04</v>
      </c>
      <c r="E875" s="432">
        <v>99631</v>
      </c>
      <c r="F875" s="432" t="b">
        <f t="shared" si="13"/>
        <v>1</v>
      </c>
    </row>
    <row r="876" spans="1:6">
      <c r="A876" s="432">
        <v>99651</v>
      </c>
      <c r="B876" s="432" t="s">
        <v>1589</v>
      </c>
      <c r="C876" s="433">
        <v>46860.71</v>
      </c>
      <c r="E876" s="432">
        <v>99651</v>
      </c>
      <c r="F876" s="432" t="b">
        <f t="shared" si="13"/>
        <v>1</v>
      </c>
    </row>
    <row r="877" spans="1:6">
      <c r="A877" s="432">
        <v>99661</v>
      </c>
      <c r="B877" s="432" t="s">
        <v>1590</v>
      </c>
      <c r="C877" s="433">
        <v>45946.65</v>
      </c>
      <c r="E877" s="432">
        <v>99661</v>
      </c>
      <c r="F877" s="432" t="b">
        <f t="shared" si="13"/>
        <v>1</v>
      </c>
    </row>
    <row r="878" spans="1:6">
      <c r="A878" s="432">
        <v>99701</v>
      </c>
      <c r="B878" s="432" t="s">
        <v>1591</v>
      </c>
      <c r="C878" s="433">
        <v>2887599.02</v>
      </c>
      <c r="E878" s="432">
        <v>99701</v>
      </c>
      <c r="F878" s="432" t="b">
        <f t="shared" si="13"/>
        <v>1</v>
      </c>
    </row>
    <row r="879" spans="1:6">
      <c r="A879" s="432">
        <v>99705</v>
      </c>
      <c r="B879" s="432" t="s">
        <v>1592</v>
      </c>
      <c r="C879" s="433">
        <v>178196.02</v>
      </c>
      <c r="E879" s="432">
        <v>99705</v>
      </c>
      <c r="F879" s="432" t="b">
        <f t="shared" si="13"/>
        <v>1</v>
      </c>
    </row>
    <row r="880" spans="1:6">
      <c r="A880" s="432">
        <v>99711</v>
      </c>
      <c r="B880" s="432" t="s">
        <v>1593</v>
      </c>
      <c r="C880" s="433">
        <v>414921.61</v>
      </c>
      <c r="E880" s="432">
        <v>99711</v>
      </c>
      <c r="F880" s="432" t="b">
        <f t="shared" si="13"/>
        <v>1</v>
      </c>
    </row>
    <row r="881" spans="1:6">
      <c r="A881" s="432">
        <v>99717</v>
      </c>
      <c r="B881" s="432" t="s">
        <v>1594</v>
      </c>
      <c r="C881" s="433">
        <v>20284.04</v>
      </c>
      <c r="E881" s="432">
        <v>99717</v>
      </c>
      <c r="F881" s="432" t="b">
        <f t="shared" si="13"/>
        <v>1</v>
      </c>
    </row>
    <row r="882" spans="1:6">
      <c r="A882" s="432">
        <v>99721</v>
      </c>
      <c r="B882" s="432" t="s">
        <v>1595</v>
      </c>
      <c r="C882" s="433">
        <v>636926.19999999995</v>
      </c>
      <c r="E882" s="432">
        <v>99721</v>
      </c>
      <c r="F882" s="432" t="b">
        <f t="shared" si="13"/>
        <v>1</v>
      </c>
    </row>
    <row r="883" spans="1:6">
      <c r="A883" s="432">
        <v>99727</v>
      </c>
      <c r="B883" s="432" t="s">
        <v>1596</v>
      </c>
      <c r="C883" s="433">
        <v>42337.7</v>
      </c>
      <c r="E883" s="432">
        <v>99727</v>
      </c>
      <c r="F883" s="432" t="b">
        <f t="shared" si="13"/>
        <v>1</v>
      </c>
    </row>
    <row r="884" spans="1:6">
      <c r="A884" s="432">
        <v>99801</v>
      </c>
      <c r="B884" s="432" t="s">
        <v>1597</v>
      </c>
      <c r="C884" s="433">
        <v>4685138.6100000003</v>
      </c>
      <c r="E884" s="432">
        <v>99801</v>
      </c>
      <c r="F884" s="432" t="b">
        <f t="shared" si="13"/>
        <v>1</v>
      </c>
    </row>
    <row r="885" spans="1:6">
      <c r="A885" s="432">
        <v>99802</v>
      </c>
      <c r="B885" s="432" t="s">
        <v>1598</v>
      </c>
      <c r="C885" s="433">
        <v>9846.2800000000007</v>
      </c>
      <c r="E885" s="432">
        <v>99802</v>
      </c>
      <c r="F885" s="432" t="b">
        <f t="shared" si="13"/>
        <v>1</v>
      </c>
    </row>
    <row r="886" spans="1:6">
      <c r="A886" s="432">
        <v>99804</v>
      </c>
      <c r="B886" s="432" t="s">
        <v>1599</v>
      </c>
      <c r="C886" s="433">
        <v>112415.98</v>
      </c>
      <c r="E886" s="432">
        <v>99804</v>
      </c>
      <c r="F886" s="432" t="b">
        <f t="shared" si="13"/>
        <v>1</v>
      </c>
    </row>
    <row r="887" spans="1:6">
      <c r="A887" s="432">
        <v>99811</v>
      </c>
      <c r="B887" s="432" t="s">
        <v>1600</v>
      </c>
      <c r="C887" s="433">
        <v>5928679.9300000006</v>
      </c>
      <c r="E887" s="432">
        <v>99811</v>
      </c>
      <c r="F887" s="432" t="b">
        <f t="shared" si="13"/>
        <v>1</v>
      </c>
    </row>
    <row r="888" spans="1:6">
      <c r="A888" s="432">
        <v>99812</v>
      </c>
      <c r="B888" s="432" t="s">
        <v>1601</v>
      </c>
      <c r="C888" s="433">
        <v>38951.19</v>
      </c>
      <c r="E888" s="432">
        <v>99812</v>
      </c>
      <c r="F888" s="432" t="b">
        <f t="shared" si="13"/>
        <v>1</v>
      </c>
    </row>
    <row r="889" spans="1:6">
      <c r="A889" s="432">
        <v>99818</v>
      </c>
      <c r="B889" s="432" t="s">
        <v>1602</v>
      </c>
      <c r="C889" s="433">
        <v>37807.26</v>
      </c>
      <c r="E889" s="432">
        <v>99818</v>
      </c>
      <c r="F889" s="432" t="b">
        <f t="shared" si="13"/>
        <v>1</v>
      </c>
    </row>
    <row r="890" spans="1:6">
      <c r="A890" s="432">
        <v>99821</v>
      </c>
      <c r="B890" s="432" t="s">
        <v>1603</v>
      </c>
      <c r="C890" s="433">
        <v>83842.45</v>
      </c>
      <c r="E890" s="432">
        <v>99821</v>
      </c>
      <c r="F890" s="432" t="b">
        <f t="shared" si="13"/>
        <v>1</v>
      </c>
    </row>
    <row r="891" spans="1:6">
      <c r="A891" s="432">
        <v>99831</v>
      </c>
      <c r="B891" s="432" t="s">
        <v>1604</v>
      </c>
      <c r="C891" s="433">
        <v>44176.04</v>
      </c>
      <c r="E891" s="432">
        <v>99831</v>
      </c>
      <c r="F891" s="432" t="b">
        <f t="shared" si="13"/>
        <v>1</v>
      </c>
    </row>
    <row r="892" spans="1:6">
      <c r="A892" s="432">
        <v>99841</v>
      </c>
      <c r="B892" s="432" t="s">
        <v>1605</v>
      </c>
      <c r="C892" s="433">
        <v>59884.2</v>
      </c>
      <c r="E892" s="432">
        <v>99841</v>
      </c>
      <c r="F892" s="432" t="b">
        <f t="shared" si="13"/>
        <v>1</v>
      </c>
    </row>
    <row r="893" spans="1:6">
      <c r="A893" s="432">
        <v>99851</v>
      </c>
      <c r="B893" s="432" t="s">
        <v>1606</v>
      </c>
      <c r="C893" s="433">
        <v>14215.41</v>
      </c>
      <c r="E893" s="432">
        <v>99851</v>
      </c>
      <c r="F893" s="432" t="b">
        <f t="shared" si="13"/>
        <v>1</v>
      </c>
    </row>
    <row r="894" spans="1:6">
      <c r="A894" s="432">
        <v>99901</v>
      </c>
      <c r="B894" s="432" t="s">
        <v>1607</v>
      </c>
      <c r="C894" s="433">
        <v>1569647.11</v>
      </c>
      <c r="E894" s="432">
        <v>99901</v>
      </c>
      <c r="F894" s="432" t="b">
        <f t="shared" si="13"/>
        <v>1</v>
      </c>
    </row>
    <row r="895" spans="1:6">
      <c r="A895" s="432">
        <v>99911</v>
      </c>
      <c r="B895" s="432" t="s">
        <v>1608</v>
      </c>
      <c r="C895" s="433">
        <v>249889.82</v>
      </c>
      <c r="E895" s="432">
        <v>99911</v>
      </c>
      <c r="F895" s="432" t="b">
        <f t="shared" si="13"/>
        <v>1</v>
      </c>
    </row>
    <row r="896" spans="1:6">
      <c r="A896" s="432">
        <v>99921</v>
      </c>
      <c r="B896" s="432" t="s">
        <v>1609</v>
      </c>
      <c r="C896" s="433">
        <v>131558.5</v>
      </c>
      <c r="E896" s="432">
        <v>99921</v>
      </c>
      <c r="F896" s="432" t="b">
        <f t="shared" si="13"/>
        <v>1</v>
      </c>
    </row>
    <row r="897" spans="1:6">
      <c r="A897" s="432">
        <v>99931</v>
      </c>
      <c r="B897" s="432" t="s">
        <v>1610</v>
      </c>
      <c r="C897" s="433">
        <v>21862.12</v>
      </c>
      <c r="E897" s="432">
        <v>99931</v>
      </c>
      <c r="F897" s="432" t="b">
        <f t="shared" si="13"/>
        <v>1</v>
      </c>
    </row>
    <row r="898" spans="1:6">
      <c r="A898" s="432">
        <v>99941</v>
      </c>
      <c r="B898" s="432" t="s">
        <v>1611</v>
      </c>
      <c r="C898" s="433">
        <v>60639.96</v>
      </c>
      <c r="E898" s="432">
        <v>99941</v>
      </c>
      <c r="F898" s="432" t="b">
        <f t="shared" si="13"/>
        <v>1</v>
      </c>
    </row>
    <row r="899" spans="1:6">
      <c r="A899" s="432">
        <v>99991</v>
      </c>
      <c r="B899" s="432" t="s">
        <v>1612</v>
      </c>
      <c r="C899" s="433">
        <v>649154.59</v>
      </c>
      <c r="E899" s="432">
        <v>99991</v>
      </c>
      <c r="F899" s="432" t="b">
        <f t="shared" ref="F899:F900" si="14">E899=A899</f>
        <v>1</v>
      </c>
    </row>
    <row r="900" spans="1:6">
      <c r="A900" s="432">
        <v>99999</v>
      </c>
      <c r="B900" s="432" t="s">
        <v>1613</v>
      </c>
      <c r="C900" s="450">
        <v>1489847.33</v>
      </c>
      <c r="E900" s="432">
        <v>99999</v>
      </c>
      <c r="F900" s="432" t="b">
        <f t="shared" si="14"/>
        <v>1</v>
      </c>
    </row>
    <row r="901" spans="1:6">
      <c r="A901" s="432" t="s">
        <v>691</v>
      </c>
      <c r="B901" s="432" t="s">
        <v>690</v>
      </c>
      <c r="C901" s="450"/>
    </row>
    <row r="902" spans="1:6">
      <c r="B902" s="434" t="s">
        <v>711</v>
      </c>
      <c r="C902" s="435">
        <v>1050176784.4700005</v>
      </c>
    </row>
  </sheetData>
  <sheetProtection algorithmName="SHA-512" hashValue="0IXUOpngneLjnVvVEDgb0ZRdJAH1r7Ju5wtwJ1lpEGFPmfTtZ9KWtHouHkT1AxIy0G71leRTH6fSeKSvs87H2g==" saltValue="g1qZiJzMHlrWIFtjuRgOaw==" spinCount="100000" sheet="1" objects="1" scenarios="1"/>
  <conditionalFormatting sqref="F2:F901">
    <cfRule type="containsText" dxfId="3" priority="1" operator="containsText" text="false">
      <formula>NOT(ISERROR(SEARCH("false",F2)))</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914"/>
  <sheetViews>
    <sheetView topLeftCell="A876" zoomScale="80" zoomScaleNormal="80" workbookViewId="0">
      <selection activeCell="C900" sqref="C900"/>
    </sheetView>
  </sheetViews>
  <sheetFormatPr defaultRowHeight="15"/>
  <cols>
    <col min="1" max="1" width="14.7109375" bestFit="1" customWidth="1"/>
    <col min="2" max="2" width="80.140625" customWidth="1"/>
    <col min="3" max="3" width="32.28515625" customWidth="1"/>
  </cols>
  <sheetData>
    <row r="2" spans="1:3" ht="80.45" customHeight="1">
      <c r="A2" s="430" t="s">
        <v>3735</v>
      </c>
      <c r="B2" s="431" t="s">
        <v>3736</v>
      </c>
      <c r="C2" s="430" t="s">
        <v>3737</v>
      </c>
    </row>
    <row r="3" spans="1:3" ht="21">
      <c r="A3" s="432">
        <v>70505</v>
      </c>
      <c r="B3" s="432" t="s">
        <v>723</v>
      </c>
      <c r="C3" s="433">
        <v>188824.05</v>
      </c>
    </row>
    <row r="4" spans="1:3" ht="21">
      <c r="A4" s="432">
        <v>72265</v>
      </c>
      <c r="B4" s="432" t="s">
        <v>724</v>
      </c>
      <c r="C4" s="433">
        <v>120429.52</v>
      </c>
    </row>
    <row r="5" spans="1:3" ht="21">
      <c r="A5" s="432">
        <v>72593</v>
      </c>
      <c r="B5" s="432" t="s">
        <v>725</v>
      </c>
      <c r="C5" s="433">
        <v>4338.96</v>
      </c>
    </row>
    <row r="6" spans="1:3" ht="21">
      <c r="A6" s="432">
        <v>72657</v>
      </c>
      <c r="B6" s="432" t="s">
        <v>726</v>
      </c>
      <c r="C6" s="433">
        <v>27913.32</v>
      </c>
    </row>
    <row r="7" spans="1:3" ht="21">
      <c r="A7" s="432">
        <v>90001</v>
      </c>
      <c r="B7" s="432" t="s">
        <v>727</v>
      </c>
      <c r="C7" s="433">
        <v>921474.02</v>
      </c>
    </row>
    <row r="8" spans="1:3" ht="21">
      <c r="A8" s="432">
        <v>90002</v>
      </c>
      <c r="B8" s="432" t="s">
        <v>728</v>
      </c>
      <c r="C8" s="433">
        <v>10511.68</v>
      </c>
    </row>
    <row r="9" spans="1:3" ht="21">
      <c r="A9" s="432">
        <v>90011</v>
      </c>
      <c r="B9" s="432" t="s">
        <v>729</v>
      </c>
      <c r="C9" s="433">
        <v>159453.28</v>
      </c>
    </row>
    <row r="10" spans="1:3" ht="21">
      <c r="A10" s="432">
        <v>90092</v>
      </c>
      <c r="B10" s="432" t="s">
        <v>730</v>
      </c>
      <c r="C10" s="433">
        <v>322497.74</v>
      </c>
    </row>
    <row r="11" spans="1:3" ht="21">
      <c r="A11" s="432">
        <v>90096</v>
      </c>
      <c r="B11" s="432" t="s">
        <v>731</v>
      </c>
      <c r="C11" s="433">
        <v>1088976.81</v>
      </c>
    </row>
    <row r="12" spans="1:3" ht="21">
      <c r="A12" s="432">
        <v>90098</v>
      </c>
      <c r="B12" s="432" t="s">
        <v>732</v>
      </c>
      <c r="C12" s="433">
        <v>229438.38</v>
      </c>
    </row>
    <row r="13" spans="1:3" ht="21">
      <c r="A13" s="432">
        <v>90099</v>
      </c>
      <c r="B13" s="432" t="s">
        <v>733</v>
      </c>
      <c r="C13" s="433">
        <v>674370.84</v>
      </c>
    </row>
    <row r="14" spans="1:3" ht="21">
      <c r="A14" s="432">
        <v>90101</v>
      </c>
      <c r="B14" s="432" t="s">
        <v>734</v>
      </c>
      <c r="C14" s="433">
        <v>5406991.2999999989</v>
      </c>
    </row>
    <row r="15" spans="1:3" ht="21">
      <c r="A15" s="432">
        <v>90111</v>
      </c>
      <c r="B15" s="432" t="s">
        <v>735</v>
      </c>
      <c r="C15" s="433">
        <v>4196191.6000000006</v>
      </c>
    </row>
    <row r="16" spans="1:3" ht="21">
      <c r="A16" s="432">
        <v>90114</v>
      </c>
      <c r="B16" s="432" t="s">
        <v>736</v>
      </c>
      <c r="C16" s="433">
        <v>1849475.99</v>
      </c>
    </row>
    <row r="17" spans="1:3" ht="21">
      <c r="A17" s="432">
        <v>90117</v>
      </c>
      <c r="B17" s="432" t="s">
        <v>737</v>
      </c>
      <c r="C17" s="433">
        <v>155807.91</v>
      </c>
    </row>
    <row r="18" spans="1:3" ht="21">
      <c r="A18" s="432">
        <v>90121</v>
      </c>
      <c r="B18" s="432" t="s">
        <v>738</v>
      </c>
      <c r="C18" s="433">
        <v>871034.22</v>
      </c>
    </row>
    <row r="19" spans="1:3" ht="21">
      <c r="A19" s="432">
        <v>90131</v>
      </c>
      <c r="B19" s="432" t="s">
        <v>739</v>
      </c>
      <c r="C19" s="433">
        <v>413449.58999999997</v>
      </c>
    </row>
    <row r="20" spans="1:3" ht="21">
      <c r="A20" s="432">
        <v>90141</v>
      </c>
      <c r="B20" s="432" t="s">
        <v>740</v>
      </c>
      <c r="C20" s="433">
        <v>122523.2</v>
      </c>
    </row>
    <row r="21" spans="1:3" ht="21">
      <c r="A21" s="432">
        <v>90151</v>
      </c>
      <c r="B21" s="432" t="s">
        <v>741</v>
      </c>
      <c r="C21" s="433">
        <v>5655.6</v>
      </c>
    </row>
    <row r="22" spans="1:3" ht="21">
      <c r="A22" s="432">
        <v>90161</v>
      </c>
      <c r="B22" s="432" t="s">
        <v>742</v>
      </c>
      <c r="C22" s="433">
        <v>10382.11</v>
      </c>
    </row>
    <row r="23" spans="1:3" ht="21">
      <c r="A23" s="432">
        <v>90201</v>
      </c>
      <c r="B23" s="432" t="s">
        <v>743</v>
      </c>
      <c r="C23" s="433">
        <v>1083689.6800000002</v>
      </c>
    </row>
    <row r="24" spans="1:3" ht="21">
      <c r="A24" s="432">
        <v>90203</v>
      </c>
      <c r="B24" s="432" t="s">
        <v>744</v>
      </c>
      <c r="C24" s="433">
        <v>169495.57</v>
      </c>
    </row>
    <row r="25" spans="1:3" ht="21">
      <c r="A25" s="432">
        <v>90205</v>
      </c>
      <c r="B25" s="432" t="s">
        <v>745</v>
      </c>
      <c r="C25" s="433">
        <v>25963.08</v>
      </c>
    </row>
    <row r="26" spans="1:3" ht="21">
      <c r="A26" s="432">
        <v>90206</v>
      </c>
      <c r="B26" s="432" t="s">
        <v>746</v>
      </c>
      <c r="C26" s="433">
        <v>313695.59000000003</v>
      </c>
    </row>
    <row r="27" spans="1:3" ht="21">
      <c r="A27" s="432">
        <v>90211</v>
      </c>
      <c r="B27" s="432" t="s">
        <v>747</v>
      </c>
      <c r="C27" s="433">
        <v>127110.74</v>
      </c>
    </row>
    <row r="28" spans="1:3" ht="21">
      <c r="A28" s="432">
        <v>90301</v>
      </c>
      <c r="B28" s="432" t="s">
        <v>748</v>
      </c>
      <c r="C28" s="433">
        <v>590514.22</v>
      </c>
    </row>
    <row r="29" spans="1:3" ht="21">
      <c r="A29" s="432">
        <v>90305</v>
      </c>
      <c r="B29" s="432" t="s">
        <v>749</v>
      </c>
      <c r="C29" s="433">
        <v>147952.19</v>
      </c>
    </row>
    <row r="30" spans="1:3" ht="21">
      <c r="A30" s="432">
        <v>90307</v>
      </c>
      <c r="B30" s="432" t="s">
        <v>750</v>
      </c>
      <c r="C30" s="433">
        <v>4214.3599999999997</v>
      </c>
    </row>
    <row r="31" spans="1:3" ht="21">
      <c r="A31" s="432">
        <v>90401</v>
      </c>
      <c r="B31" s="432" t="s">
        <v>751</v>
      </c>
      <c r="C31" s="433">
        <v>1223677.1499999999</v>
      </c>
    </row>
    <row r="32" spans="1:3" ht="21">
      <c r="A32" s="432">
        <v>90411</v>
      </c>
      <c r="B32" s="432" t="s">
        <v>752</v>
      </c>
      <c r="C32" s="433">
        <v>291949.69000000006</v>
      </c>
    </row>
    <row r="33" spans="1:3" ht="21">
      <c r="A33" s="432">
        <v>90413</v>
      </c>
      <c r="B33" s="432" t="s">
        <v>753</v>
      </c>
      <c r="C33" s="433">
        <v>29991.99</v>
      </c>
    </row>
    <row r="34" spans="1:3" ht="21">
      <c r="A34" s="432">
        <v>90417</v>
      </c>
      <c r="B34" s="432" t="s">
        <v>754</v>
      </c>
      <c r="C34" s="433">
        <v>14717.82</v>
      </c>
    </row>
    <row r="35" spans="1:3" ht="21">
      <c r="A35" s="432">
        <v>90421</v>
      </c>
      <c r="B35" s="432" t="s">
        <v>755</v>
      </c>
      <c r="C35" s="433">
        <v>19966.82</v>
      </c>
    </row>
    <row r="36" spans="1:3" ht="21">
      <c r="A36" s="432">
        <v>90431</v>
      </c>
      <c r="B36" s="432" t="s">
        <v>756</v>
      </c>
      <c r="C36" s="433">
        <v>32429.409999999996</v>
      </c>
    </row>
    <row r="37" spans="1:3" ht="21">
      <c r="A37" s="432">
        <v>90441</v>
      </c>
      <c r="B37" s="432" t="s">
        <v>757</v>
      </c>
      <c r="C37" s="433">
        <v>9709.2800000000007</v>
      </c>
    </row>
    <row r="38" spans="1:3" ht="21">
      <c r="A38" s="432">
        <v>90451</v>
      </c>
      <c r="B38" s="432" t="s">
        <v>758</v>
      </c>
      <c r="C38" s="433">
        <v>18287.439999999999</v>
      </c>
    </row>
    <row r="39" spans="1:3" ht="21">
      <c r="A39" s="432">
        <v>90501</v>
      </c>
      <c r="B39" s="432" t="s">
        <v>760</v>
      </c>
      <c r="C39" s="433">
        <v>1315143.4199999997</v>
      </c>
    </row>
    <row r="40" spans="1:3" ht="21">
      <c r="A40" s="432">
        <v>90507</v>
      </c>
      <c r="B40" s="432" t="s">
        <v>34</v>
      </c>
      <c r="C40" s="433">
        <v>26513.19</v>
      </c>
    </row>
    <row r="41" spans="1:3" ht="21">
      <c r="A41" s="432">
        <v>90511</v>
      </c>
      <c r="B41" s="432" t="s">
        <v>761</v>
      </c>
      <c r="C41" s="433">
        <v>100662.17</v>
      </c>
    </row>
    <row r="42" spans="1:3" ht="21">
      <c r="A42" s="432">
        <v>90521</v>
      </c>
      <c r="B42" s="432" t="s">
        <v>762</v>
      </c>
      <c r="C42" s="433">
        <v>106650.34</v>
      </c>
    </row>
    <row r="43" spans="1:3" ht="21">
      <c r="A43" s="432">
        <v>90601</v>
      </c>
      <c r="B43" s="432" t="s">
        <v>763</v>
      </c>
      <c r="C43" s="433">
        <v>985445.91</v>
      </c>
    </row>
    <row r="44" spans="1:3" ht="21">
      <c r="A44" s="432">
        <v>90602</v>
      </c>
      <c r="B44" s="432" t="s">
        <v>259</v>
      </c>
      <c r="C44" s="433">
        <v>74109.19</v>
      </c>
    </row>
    <row r="45" spans="1:3" ht="21">
      <c r="A45" s="432">
        <v>90605</v>
      </c>
      <c r="B45" s="432" t="s">
        <v>764</v>
      </c>
      <c r="C45" s="433">
        <v>41011.730000000003</v>
      </c>
    </row>
    <row r="46" spans="1:3" ht="21">
      <c r="A46" s="432">
        <v>90611</v>
      </c>
      <c r="B46" s="432" t="s">
        <v>765</v>
      </c>
      <c r="C46" s="433">
        <v>108558.07</v>
      </c>
    </row>
    <row r="47" spans="1:3" ht="21">
      <c r="A47" s="432">
        <v>90617</v>
      </c>
      <c r="B47" s="432" t="s">
        <v>766</v>
      </c>
      <c r="C47" s="433">
        <v>26616.31</v>
      </c>
    </row>
    <row r="48" spans="1:3" ht="21">
      <c r="A48" s="432">
        <v>90621</v>
      </c>
      <c r="B48" s="432" t="s">
        <v>767</v>
      </c>
      <c r="C48" s="433">
        <v>54749.79</v>
      </c>
    </row>
    <row r="49" spans="1:3" ht="21">
      <c r="A49" s="432">
        <v>90631</v>
      </c>
      <c r="B49" s="432" t="s">
        <v>768</v>
      </c>
      <c r="C49" s="433">
        <v>374189.53</v>
      </c>
    </row>
    <row r="50" spans="1:3" ht="21">
      <c r="A50" s="432">
        <v>90641</v>
      </c>
      <c r="B50" s="432" t="s">
        <v>769</v>
      </c>
      <c r="C50" s="433">
        <v>12029.52</v>
      </c>
    </row>
    <row r="51" spans="1:3" ht="21">
      <c r="A51" s="432">
        <v>90651</v>
      </c>
      <c r="B51" s="432" t="s">
        <v>1930</v>
      </c>
      <c r="C51" s="433">
        <v>169100.11</v>
      </c>
    </row>
    <row r="52" spans="1:3" ht="21">
      <c r="A52" s="432">
        <v>90701</v>
      </c>
      <c r="B52" s="432" t="s">
        <v>771</v>
      </c>
      <c r="C52" s="433">
        <v>2050517.7899999998</v>
      </c>
    </row>
    <row r="53" spans="1:3" ht="21">
      <c r="A53" s="432">
        <v>90704</v>
      </c>
      <c r="B53" s="432" t="s">
        <v>772</v>
      </c>
      <c r="C53" s="433">
        <v>62479.43</v>
      </c>
    </row>
    <row r="54" spans="1:3" ht="21">
      <c r="A54" s="432">
        <v>90705</v>
      </c>
      <c r="B54" s="432" t="s">
        <v>773</v>
      </c>
      <c r="C54" s="433">
        <v>37155.980000000003</v>
      </c>
    </row>
    <row r="55" spans="1:3" ht="21">
      <c r="A55" s="432">
        <v>90709</v>
      </c>
      <c r="B55" s="432" t="s">
        <v>774</v>
      </c>
      <c r="C55" s="433">
        <v>127211.66</v>
      </c>
    </row>
    <row r="56" spans="1:3" ht="21">
      <c r="A56" s="432">
        <v>90711</v>
      </c>
      <c r="B56" s="432" t="s">
        <v>775</v>
      </c>
      <c r="C56" s="433">
        <v>1346931.51</v>
      </c>
    </row>
    <row r="57" spans="1:3" ht="21">
      <c r="A57" s="432">
        <v>90721</v>
      </c>
      <c r="B57" s="432" t="s">
        <v>776</v>
      </c>
      <c r="C57" s="433">
        <v>23993.32</v>
      </c>
    </row>
    <row r="58" spans="1:3" ht="21">
      <c r="A58" s="432">
        <v>90731</v>
      </c>
      <c r="B58" s="432" t="s">
        <v>777</v>
      </c>
      <c r="C58" s="433">
        <v>142983.69999999998</v>
      </c>
    </row>
    <row r="59" spans="1:3" ht="21">
      <c r="A59" s="432">
        <v>90741</v>
      </c>
      <c r="B59" s="432" t="s">
        <v>778</v>
      </c>
      <c r="C59" s="433">
        <v>11774.26</v>
      </c>
    </row>
    <row r="60" spans="1:3" ht="21">
      <c r="A60" s="432">
        <v>90751</v>
      </c>
      <c r="B60" s="432" t="s">
        <v>779</v>
      </c>
      <c r="C60" s="433">
        <v>121323.25000000001</v>
      </c>
    </row>
    <row r="61" spans="1:3" ht="21">
      <c r="A61" s="432">
        <v>90801</v>
      </c>
      <c r="B61" s="432" t="s">
        <v>780</v>
      </c>
      <c r="C61" s="433">
        <v>957132.95</v>
      </c>
    </row>
    <row r="62" spans="1:3" ht="21">
      <c r="A62" s="432">
        <v>90804</v>
      </c>
      <c r="B62" s="432" t="s">
        <v>781</v>
      </c>
      <c r="C62" s="433">
        <v>4753.99</v>
      </c>
    </row>
    <row r="63" spans="1:3" ht="21">
      <c r="A63" s="432">
        <v>90805</v>
      </c>
      <c r="B63" s="432" t="s">
        <v>782</v>
      </c>
      <c r="C63" s="433">
        <v>65853.91</v>
      </c>
    </row>
    <row r="64" spans="1:3" ht="21">
      <c r="A64" s="432">
        <v>90808</v>
      </c>
      <c r="B64" s="432" t="s">
        <v>783</v>
      </c>
      <c r="C64" s="433">
        <v>105129.7</v>
      </c>
    </row>
    <row r="65" spans="1:3" ht="21">
      <c r="A65" s="432">
        <v>90811</v>
      </c>
      <c r="B65" s="432" t="s">
        <v>784</v>
      </c>
      <c r="C65" s="433">
        <v>31103.32</v>
      </c>
    </row>
    <row r="66" spans="1:3" ht="21">
      <c r="A66" s="432">
        <v>90812</v>
      </c>
      <c r="B66" s="432" t="s">
        <v>785</v>
      </c>
      <c r="C66" s="433">
        <v>180090.77000000002</v>
      </c>
    </row>
    <row r="67" spans="1:3" ht="21">
      <c r="A67" s="432">
        <v>90813</v>
      </c>
      <c r="B67" s="432" t="s">
        <v>786</v>
      </c>
      <c r="C67" s="433">
        <v>3582.03</v>
      </c>
    </row>
    <row r="68" spans="1:3" ht="21">
      <c r="A68" s="432">
        <v>90861</v>
      </c>
      <c r="B68" s="432" t="s">
        <v>787</v>
      </c>
      <c r="C68" s="433">
        <v>6113.21</v>
      </c>
    </row>
    <row r="69" spans="1:3" ht="21">
      <c r="A69" s="432">
        <v>90901</v>
      </c>
      <c r="B69" s="432" t="s">
        <v>788</v>
      </c>
      <c r="C69" s="433">
        <v>1858839.44</v>
      </c>
    </row>
    <row r="70" spans="1:3" ht="21">
      <c r="A70" s="432">
        <v>90911</v>
      </c>
      <c r="B70" s="432" t="s">
        <v>789</v>
      </c>
      <c r="C70" s="433">
        <v>284470.24</v>
      </c>
    </row>
    <row r="71" spans="1:3" ht="21">
      <c r="A71" s="432">
        <v>90917</v>
      </c>
      <c r="B71" s="432" t="s">
        <v>790</v>
      </c>
      <c r="C71" s="433">
        <v>10701.59</v>
      </c>
    </row>
    <row r="72" spans="1:3" ht="21">
      <c r="A72" s="432">
        <v>90918</v>
      </c>
      <c r="B72" s="432" t="s">
        <v>791</v>
      </c>
      <c r="C72" s="433">
        <v>8373.7199999999993</v>
      </c>
    </row>
    <row r="73" spans="1:3" ht="21">
      <c r="A73" s="432">
        <v>90921</v>
      </c>
      <c r="B73" s="432" t="s">
        <v>792</v>
      </c>
      <c r="C73" s="433">
        <v>102751.97</v>
      </c>
    </row>
    <row r="74" spans="1:3" ht="21">
      <c r="A74" s="432">
        <v>90931</v>
      </c>
      <c r="B74" s="432" t="s">
        <v>793</v>
      </c>
      <c r="C74" s="433">
        <v>25103.74</v>
      </c>
    </row>
    <row r="75" spans="1:3" ht="21">
      <c r="A75" s="432">
        <v>90941</v>
      </c>
      <c r="B75" s="432" t="s">
        <v>794</v>
      </c>
      <c r="C75" s="433">
        <v>61792.07</v>
      </c>
    </row>
    <row r="76" spans="1:3" ht="21">
      <c r="A76" s="432">
        <v>91001</v>
      </c>
      <c r="B76" s="432" t="s">
        <v>795</v>
      </c>
      <c r="C76" s="433">
        <v>6289049.3799999999</v>
      </c>
    </row>
    <row r="77" spans="1:3" ht="21">
      <c r="A77" s="432">
        <v>91002</v>
      </c>
      <c r="B77" s="432" t="s">
        <v>796</v>
      </c>
      <c r="C77" s="433">
        <v>1079178.6599999999</v>
      </c>
    </row>
    <row r="78" spans="1:3" ht="21">
      <c r="A78" s="432">
        <v>91003</v>
      </c>
      <c r="B78" s="432" t="s">
        <v>797</v>
      </c>
      <c r="C78" s="433">
        <v>560076.82999999996</v>
      </c>
    </row>
    <row r="79" spans="1:3" ht="21">
      <c r="A79" s="432">
        <v>91004</v>
      </c>
      <c r="B79" s="432" t="s">
        <v>798</v>
      </c>
      <c r="C79" s="433">
        <v>34385.53</v>
      </c>
    </row>
    <row r="80" spans="1:3" ht="21">
      <c r="A80" s="432">
        <v>91006</v>
      </c>
      <c r="B80" s="432" t="s">
        <v>799</v>
      </c>
      <c r="C80" s="433">
        <v>911583.11</v>
      </c>
    </row>
    <row r="81" spans="1:3" ht="21">
      <c r="A81" s="432">
        <v>91007</v>
      </c>
      <c r="B81" s="432" t="s">
        <v>800</v>
      </c>
      <c r="C81" s="433">
        <v>8727.23</v>
      </c>
    </row>
    <row r="82" spans="1:3" ht="21">
      <c r="A82" s="432">
        <v>91008</v>
      </c>
      <c r="B82" s="432" t="s">
        <v>801</v>
      </c>
      <c r="C82" s="433">
        <v>143426.62</v>
      </c>
    </row>
    <row r="83" spans="1:3" ht="21">
      <c r="A83" s="432">
        <v>91009</v>
      </c>
      <c r="B83" s="432" t="s">
        <v>802</v>
      </c>
      <c r="C83" s="433">
        <v>22194.120000000003</v>
      </c>
    </row>
    <row r="84" spans="1:3" ht="21">
      <c r="A84" s="432">
        <v>91010</v>
      </c>
      <c r="B84" s="432" t="s">
        <v>803</v>
      </c>
      <c r="C84" s="433">
        <v>56084.97</v>
      </c>
    </row>
    <row r="85" spans="1:3" ht="21">
      <c r="A85" s="432">
        <v>91011</v>
      </c>
      <c r="B85" s="432" t="s">
        <v>804</v>
      </c>
      <c r="C85" s="433">
        <v>355933.5</v>
      </c>
    </row>
    <row r="86" spans="1:3" ht="21">
      <c r="A86" s="432">
        <v>91012</v>
      </c>
      <c r="B86" s="432" t="s">
        <v>805</v>
      </c>
      <c r="C86" s="433">
        <v>16270.590000000002</v>
      </c>
    </row>
    <row r="87" spans="1:3" ht="21">
      <c r="A87" s="432">
        <v>91013</v>
      </c>
      <c r="B87" s="432" t="s">
        <v>806</v>
      </c>
      <c r="C87" s="433">
        <v>49845.899999999994</v>
      </c>
    </row>
    <row r="88" spans="1:3" ht="21">
      <c r="A88" s="432">
        <v>91014</v>
      </c>
      <c r="B88" s="432" t="s">
        <v>807</v>
      </c>
      <c r="C88" s="433">
        <v>172341.79</v>
      </c>
    </row>
    <row r="89" spans="1:3" ht="21">
      <c r="A89" s="432">
        <v>91015</v>
      </c>
      <c r="B89" s="432" t="s">
        <v>1636</v>
      </c>
      <c r="C89" s="433">
        <v>34094.1</v>
      </c>
    </row>
    <row r="90" spans="1:3" ht="21">
      <c r="A90" s="432">
        <v>91017</v>
      </c>
      <c r="B90" s="432" t="s">
        <v>2009</v>
      </c>
      <c r="C90" s="433">
        <v>28970.67</v>
      </c>
    </row>
    <row r="91" spans="1:3" ht="21">
      <c r="A91" s="432">
        <v>91020</v>
      </c>
      <c r="B91" s="432" t="s">
        <v>809</v>
      </c>
      <c r="C91" s="433">
        <v>26179.48</v>
      </c>
    </row>
    <row r="92" spans="1:3" ht="21">
      <c r="A92" s="432">
        <v>91021</v>
      </c>
      <c r="B92" s="432" t="s">
        <v>810</v>
      </c>
      <c r="C92" s="433">
        <v>811841.87</v>
      </c>
    </row>
    <row r="93" spans="1:3" ht="21">
      <c r="A93" s="432">
        <v>91024</v>
      </c>
      <c r="B93" s="432" t="s">
        <v>811</v>
      </c>
      <c r="C93" s="433">
        <v>93047.94</v>
      </c>
    </row>
    <row r="94" spans="1:3" ht="21">
      <c r="A94" s="432">
        <v>91026</v>
      </c>
      <c r="B94" s="432" t="s">
        <v>43</v>
      </c>
      <c r="C94" s="433">
        <v>38536.93</v>
      </c>
    </row>
    <row r="95" spans="1:3" ht="21">
      <c r="A95" s="432">
        <v>91027</v>
      </c>
      <c r="B95" s="432" t="s">
        <v>812</v>
      </c>
      <c r="C95" s="433">
        <v>23796.76</v>
      </c>
    </row>
    <row r="96" spans="1:3" ht="21">
      <c r="A96" s="432">
        <v>91032</v>
      </c>
      <c r="B96" s="432" t="s">
        <v>813</v>
      </c>
      <c r="C96" s="433">
        <v>41121.43</v>
      </c>
    </row>
    <row r="97" spans="1:3" ht="21">
      <c r="A97" s="432">
        <v>91041</v>
      </c>
      <c r="B97" s="432" t="s">
        <v>814</v>
      </c>
      <c r="C97" s="433">
        <v>358774.41</v>
      </c>
    </row>
    <row r="98" spans="1:3" ht="21">
      <c r="A98" s="432">
        <v>91042</v>
      </c>
      <c r="B98" s="432" t="s">
        <v>815</v>
      </c>
      <c r="C98" s="433">
        <v>343373.89</v>
      </c>
    </row>
    <row r="99" spans="1:3" ht="21">
      <c r="A99" s="432">
        <v>91047</v>
      </c>
      <c r="B99" s="432" t="s">
        <v>816</v>
      </c>
      <c r="C99" s="433">
        <v>16125.62</v>
      </c>
    </row>
    <row r="100" spans="1:3" ht="21">
      <c r="A100" s="432">
        <v>91051</v>
      </c>
      <c r="B100" s="432" t="s">
        <v>817</v>
      </c>
      <c r="C100" s="433">
        <v>53987.44</v>
      </c>
    </row>
    <row r="101" spans="1:3" ht="21">
      <c r="A101" s="432">
        <v>91057</v>
      </c>
      <c r="B101" s="432" t="s">
        <v>818</v>
      </c>
      <c r="C101" s="433">
        <v>16382.4</v>
      </c>
    </row>
    <row r="102" spans="1:3" ht="21">
      <c r="A102" s="432">
        <v>91061</v>
      </c>
      <c r="B102" s="432" t="s">
        <v>819</v>
      </c>
      <c r="C102" s="433">
        <v>322136.88</v>
      </c>
    </row>
    <row r="103" spans="1:3" ht="21">
      <c r="A103" s="432">
        <v>91067</v>
      </c>
      <c r="B103" s="432" t="s">
        <v>820</v>
      </c>
      <c r="C103" s="433">
        <v>17406.13</v>
      </c>
    </row>
    <row r="104" spans="1:3" ht="21">
      <c r="A104" s="432">
        <v>91071</v>
      </c>
      <c r="B104" s="432" t="s">
        <v>821</v>
      </c>
      <c r="C104" s="433">
        <v>220193.11000000002</v>
      </c>
    </row>
    <row r="105" spans="1:3" ht="21">
      <c r="A105" s="432">
        <v>91077</v>
      </c>
      <c r="B105" s="432" t="s">
        <v>822</v>
      </c>
      <c r="C105" s="433">
        <v>13811.22</v>
      </c>
    </row>
    <row r="106" spans="1:3" ht="21">
      <c r="A106" s="432">
        <v>91081</v>
      </c>
      <c r="B106" s="432" t="s">
        <v>823</v>
      </c>
      <c r="C106" s="433">
        <v>362969.36000000004</v>
      </c>
    </row>
    <row r="107" spans="1:3" ht="21">
      <c r="A107" s="432">
        <v>91091</v>
      </c>
      <c r="B107" s="432" t="s">
        <v>824</v>
      </c>
      <c r="C107" s="433">
        <v>475968.41</v>
      </c>
    </row>
    <row r="108" spans="1:3" ht="21">
      <c r="A108" s="432">
        <v>91101</v>
      </c>
      <c r="B108" s="432" t="s">
        <v>825</v>
      </c>
      <c r="C108" s="433">
        <v>11097299.18</v>
      </c>
    </row>
    <row r="109" spans="1:3" ht="21">
      <c r="A109" s="432">
        <v>91102</v>
      </c>
      <c r="B109" s="432" t="s">
        <v>826</v>
      </c>
      <c r="C109" s="433">
        <v>311735.39</v>
      </c>
    </row>
    <row r="110" spans="1:3" ht="21">
      <c r="A110" s="432">
        <v>91104</v>
      </c>
      <c r="B110" s="432" t="s">
        <v>827</v>
      </c>
      <c r="C110" s="433">
        <v>26305.439999999999</v>
      </c>
    </row>
    <row r="111" spans="1:3" ht="21">
      <c r="A111" s="432">
        <v>91107</v>
      </c>
      <c r="B111" s="432" t="s">
        <v>3756</v>
      </c>
      <c r="C111" s="433">
        <v>53631.87</v>
      </c>
    </row>
    <row r="112" spans="1:3" ht="21">
      <c r="A112" s="432">
        <v>91108</v>
      </c>
      <c r="B112" s="432" t="s">
        <v>829</v>
      </c>
      <c r="C112" s="433">
        <v>1023744.53</v>
      </c>
    </row>
    <row r="113" spans="1:3" ht="21">
      <c r="A113" s="432">
        <v>91109</v>
      </c>
      <c r="B113" s="432" t="s">
        <v>830</v>
      </c>
      <c r="C113" s="433">
        <v>75899.03</v>
      </c>
    </row>
    <row r="114" spans="1:3" ht="21">
      <c r="A114" s="432">
        <v>91111</v>
      </c>
      <c r="B114" s="432" t="s">
        <v>831</v>
      </c>
      <c r="C114" s="433">
        <v>170363.99000000002</v>
      </c>
    </row>
    <row r="115" spans="1:3" ht="21">
      <c r="A115" s="432">
        <v>91120</v>
      </c>
      <c r="B115" s="432" t="s">
        <v>832</v>
      </c>
      <c r="C115" s="433">
        <v>180041.33</v>
      </c>
    </row>
    <row r="116" spans="1:3" ht="21">
      <c r="A116" s="432">
        <v>91121</v>
      </c>
      <c r="B116" s="432" t="s">
        <v>833</v>
      </c>
      <c r="C116" s="433">
        <v>8479569.7799999993</v>
      </c>
    </row>
    <row r="117" spans="1:3" ht="21">
      <c r="A117" s="432">
        <v>91127</v>
      </c>
      <c r="B117" s="432" t="s">
        <v>834</v>
      </c>
      <c r="C117" s="433">
        <v>312287.53999999998</v>
      </c>
    </row>
    <row r="118" spans="1:3" ht="21">
      <c r="A118" s="432">
        <v>91128</v>
      </c>
      <c r="B118" s="432" t="s">
        <v>835</v>
      </c>
      <c r="C118" s="433">
        <v>482506.39</v>
      </c>
    </row>
    <row r="119" spans="1:3" ht="21">
      <c r="A119" s="432">
        <v>91138</v>
      </c>
      <c r="B119" s="432" t="s">
        <v>836</v>
      </c>
      <c r="C119" s="433">
        <v>376469</v>
      </c>
    </row>
    <row r="120" spans="1:3" ht="21">
      <c r="A120" s="432">
        <v>91141</v>
      </c>
      <c r="B120" s="432" t="s">
        <v>837</v>
      </c>
      <c r="C120" s="433">
        <v>505902.96</v>
      </c>
    </row>
    <row r="121" spans="1:3" ht="21">
      <c r="A121" s="432">
        <v>91147</v>
      </c>
      <c r="B121" s="432" t="s">
        <v>838</v>
      </c>
      <c r="C121" s="433">
        <v>28345.99</v>
      </c>
    </row>
    <row r="122" spans="1:3" ht="21">
      <c r="A122" s="432">
        <v>91151</v>
      </c>
      <c r="B122" s="432" t="s">
        <v>839</v>
      </c>
      <c r="C122" s="433">
        <v>492586.38</v>
      </c>
    </row>
    <row r="123" spans="1:3" ht="21">
      <c r="A123" s="432">
        <v>91154</v>
      </c>
      <c r="B123" s="432" t="s">
        <v>840</v>
      </c>
      <c r="C123" s="433">
        <v>19682.23</v>
      </c>
    </row>
    <row r="124" spans="1:3" ht="21">
      <c r="A124" s="432">
        <v>91161</v>
      </c>
      <c r="B124" s="432" t="s">
        <v>841</v>
      </c>
      <c r="C124" s="433">
        <v>69839.009999999995</v>
      </c>
    </row>
    <row r="125" spans="1:3" ht="21">
      <c r="A125" s="432">
        <v>91171</v>
      </c>
      <c r="B125" s="432" t="s">
        <v>842</v>
      </c>
      <c r="C125" s="433">
        <v>229276.78</v>
      </c>
    </row>
    <row r="126" spans="1:3" ht="21">
      <c r="A126" s="432">
        <v>91201</v>
      </c>
      <c r="B126" s="432" t="s">
        <v>843</v>
      </c>
      <c r="C126" s="433">
        <v>2106905.6800000002</v>
      </c>
    </row>
    <row r="127" spans="1:3" ht="21">
      <c r="A127" s="432">
        <v>91203</v>
      </c>
      <c r="B127" s="432" t="s">
        <v>845</v>
      </c>
      <c r="C127" s="433">
        <v>232632.28</v>
      </c>
    </row>
    <row r="128" spans="1:3" ht="21">
      <c r="A128" s="432">
        <v>91206</v>
      </c>
      <c r="B128" s="432" t="s">
        <v>846</v>
      </c>
      <c r="C128" s="433">
        <v>811796.66</v>
      </c>
    </row>
    <row r="129" spans="1:3" ht="21">
      <c r="A129" s="432">
        <v>91208</v>
      </c>
      <c r="B129" s="432" t="s">
        <v>847</v>
      </c>
      <c r="C129" s="433">
        <v>20272.490000000002</v>
      </c>
    </row>
    <row r="130" spans="1:3" ht="21">
      <c r="A130" s="432">
        <v>91211</v>
      </c>
      <c r="B130" s="432" t="s">
        <v>848</v>
      </c>
      <c r="C130" s="433">
        <v>366661.93000000005</v>
      </c>
    </row>
    <row r="131" spans="1:3" ht="21">
      <c r="A131" s="432">
        <v>91213</v>
      </c>
      <c r="B131" s="432" t="s">
        <v>849</v>
      </c>
      <c r="C131" s="433">
        <v>21309.01</v>
      </c>
    </row>
    <row r="132" spans="1:3" ht="21">
      <c r="A132" s="432">
        <v>91214</v>
      </c>
      <c r="B132" s="432" t="s">
        <v>850</v>
      </c>
      <c r="C132" s="433">
        <v>22114.52</v>
      </c>
    </row>
    <row r="133" spans="1:3" ht="21">
      <c r="A133" s="432">
        <v>91217</v>
      </c>
      <c r="B133" s="432" t="s">
        <v>851</v>
      </c>
      <c r="C133" s="433">
        <v>27674.39</v>
      </c>
    </row>
    <row r="134" spans="1:3" ht="21">
      <c r="A134" s="432">
        <v>91221</v>
      </c>
      <c r="B134" s="432" t="s">
        <v>852</v>
      </c>
      <c r="C134" s="433">
        <v>86849.85</v>
      </c>
    </row>
    <row r="135" spans="1:3" ht="21">
      <c r="A135" s="432">
        <v>91231</v>
      </c>
      <c r="B135" s="432" t="s">
        <v>853</v>
      </c>
      <c r="C135" s="433">
        <v>1539793.82</v>
      </c>
    </row>
    <row r="136" spans="1:3" ht="21">
      <c r="A136" s="432">
        <v>91233</v>
      </c>
      <c r="B136" s="432" t="s">
        <v>854</v>
      </c>
      <c r="C136" s="433">
        <v>52328.79</v>
      </c>
    </row>
    <row r="137" spans="1:3" ht="21">
      <c r="A137" s="432">
        <v>91241</v>
      </c>
      <c r="B137" s="432" t="s">
        <v>855</v>
      </c>
      <c r="C137" s="433">
        <v>30081.03</v>
      </c>
    </row>
    <row r="138" spans="1:3" ht="21">
      <c r="A138" s="432">
        <v>91251</v>
      </c>
      <c r="B138" s="432" t="s">
        <v>856</v>
      </c>
      <c r="C138" s="433">
        <v>22319.24</v>
      </c>
    </row>
    <row r="139" spans="1:3" ht="21">
      <c r="A139" s="432">
        <v>91261</v>
      </c>
      <c r="B139" s="432" t="s">
        <v>857</v>
      </c>
      <c r="C139" s="433">
        <v>6947.73</v>
      </c>
    </row>
    <row r="140" spans="1:3" ht="21">
      <c r="A140" s="432">
        <v>91301</v>
      </c>
      <c r="B140" s="432" t="s">
        <v>858</v>
      </c>
      <c r="C140" s="433">
        <v>7286982.3099999996</v>
      </c>
    </row>
    <row r="141" spans="1:3" ht="21">
      <c r="A141" s="432">
        <v>91302</v>
      </c>
      <c r="B141" s="432" t="s">
        <v>859</v>
      </c>
      <c r="C141" s="433">
        <v>450442.02</v>
      </c>
    </row>
    <row r="142" spans="1:3" ht="21">
      <c r="A142" s="432">
        <v>91306</v>
      </c>
      <c r="B142" s="432" t="s">
        <v>860</v>
      </c>
      <c r="C142" s="433">
        <v>1804254.69</v>
      </c>
    </row>
    <row r="143" spans="1:3" ht="21">
      <c r="A143" s="432">
        <v>91308</v>
      </c>
      <c r="B143" s="432" t="s">
        <v>861</v>
      </c>
      <c r="C143" s="433">
        <v>107866.74</v>
      </c>
    </row>
    <row r="144" spans="1:3" ht="21">
      <c r="A144" s="432">
        <v>91311</v>
      </c>
      <c r="B144" s="432" t="s">
        <v>862</v>
      </c>
      <c r="C144" s="433">
        <v>7201969.1500000004</v>
      </c>
    </row>
    <row r="145" spans="1:3" ht="21">
      <c r="A145" s="432">
        <v>91317</v>
      </c>
      <c r="B145" s="432" t="s">
        <v>863</v>
      </c>
      <c r="C145" s="433">
        <v>137241.43</v>
      </c>
    </row>
    <row r="146" spans="1:3" ht="21">
      <c r="A146" s="432">
        <v>91321</v>
      </c>
      <c r="B146" s="432" t="s">
        <v>864</v>
      </c>
      <c r="C146" s="433">
        <v>49362.33</v>
      </c>
    </row>
    <row r="147" spans="1:3" ht="21">
      <c r="A147" s="432">
        <v>91327</v>
      </c>
      <c r="B147" s="432" t="s">
        <v>865</v>
      </c>
      <c r="C147" s="433">
        <v>8013.8</v>
      </c>
    </row>
    <row r="148" spans="1:3" ht="21">
      <c r="A148" s="432">
        <v>91331</v>
      </c>
      <c r="B148" s="432" t="s">
        <v>866</v>
      </c>
      <c r="C148" s="433">
        <v>2517734.9999999995</v>
      </c>
    </row>
    <row r="149" spans="1:3" ht="21">
      <c r="A149" s="432">
        <v>91341</v>
      </c>
      <c r="B149" s="432" t="s">
        <v>867</v>
      </c>
      <c r="C149" s="433">
        <v>26097.08</v>
      </c>
    </row>
    <row r="150" spans="1:3" ht="21">
      <c r="A150" s="432">
        <v>91401</v>
      </c>
      <c r="B150" s="432" t="s">
        <v>868</v>
      </c>
      <c r="C150" s="433">
        <v>3192826.4800000004</v>
      </c>
    </row>
    <row r="151" spans="1:3" ht="21">
      <c r="A151" s="432">
        <v>91411</v>
      </c>
      <c r="B151" s="432" t="s">
        <v>869</v>
      </c>
      <c r="C151" s="433">
        <v>357236.21</v>
      </c>
    </row>
    <row r="152" spans="1:3" ht="21">
      <c r="A152" s="432">
        <v>91414</v>
      </c>
      <c r="B152" s="432" t="s">
        <v>3608</v>
      </c>
      <c r="C152" s="433">
        <v>25974.98</v>
      </c>
    </row>
    <row r="153" spans="1:3" ht="21">
      <c r="A153" s="432">
        <v>91417</v>
      </c>
      <c r="B153" s="432" t="s">
        <v>870</v>
      </c>
      <c r="C153" s="433">
        <v>11634.3</v>
      </c>
    </row>
    <row r="154" spans="1:3" ht="21">
      <c r="A154" s="432">
        <v>91421</v>
      </c>
      <c r="B154" s="432" t="s">
        <v>871</v>
      </c>
      <c r="C154" s="433">
        <v>77641.13</v>
      </c>
    </row>
    <row r="155" spans="1:3" ht="21">
      <c r="A155" s="432">
        <v>91423</v>
      </c>
      <c r="B155" s="432" t="s">
        <v>872</v>
      </c>
      <c r="C155" s="433">
        <v>43968.71</v>
      </c>
    </row>
    <row r="156" spans="1:3" ht="21">
      <c r="A156" s="432">
        <v>91431</v>
      </c>
      <c r="B156" s="432" t="s">
        <v>873</v>
      </c>
      <c r="C156" s="433">
        <v>159656.49</v>
      </c>
    </row>
    <row r="157" spans="1:3" ht="21">
      <c r="A157" s="432">
        <v>91441</v>
      </c>
      <c r="B157" s="432" t="s">
        <v>874</v>
      </c>
      <c r="C157" s="433">
        <v>756364.98</v>
      </c>
    </row>
    <row r="158" spans="1:3" ht="21">
      <c r="A158" s="432">
        <v>91451</v>
      </c>
      <c r="B158" s="432" t="s">
        <v>875</v>
      </c>
      <c r="C158" s="433">
        <v>1334427.0000000002</v>
      </c>
    </row>
    <row r="159" spans="1:3" ht="21">
      <c r="A159" s="432">
        <v>91457</v>
      </c>
      <c r="B159" s="432" t="s">
        <v>876</v>
      </c>
      <c r="C159" s="433">
        <v>33764.339999999997</v>
      </c>
    </row>
    <row r="160" spans="1:3" ht="21">
      <c r="A160" s="432">
        <v>91501</v>
      </c>
      <c r="B160" s="432" t="s">
        <v>878</v>
      </c>
      <c r="C160" s="433">
        <v>433391.02</v>
      </c>
    </row>
    <row r="161" spans="1:3" ht="21">
      <c r="A161" s="432">
        <v>91504</v>
      </c>
      <c r="B161" s="432" t="s">
        <v>879</v>
      </c>
      <c r="C161" s="433">
        <v>13231.69</v>
      </c>
    </row>
    <row r="162" spans="1:3" ht="21">
      <c r="A162" s="432">
        <v>91601</v>
      </c>
      <c r="B162" s="432" t="s">
        <v>880</v>
      </c>
      <c r="C162" s="433">
        <v>2738884.0500000003</v>
      </c>
    </row>
    <row r="163" spans="1:3" ht="21">
      <c r="A163" s="432">
        <v>91604</v>
      </c>
      <c r="B163" s="432" t="s">
        <v>881</v>
      </c>
      <c r="C163" s="433">
        <v>88765.22</v>
      </c>
    </row>
    <row r="164" spans="1:3" ht="21">
      <c r="A164" s="432">
        <v>91608</v>
      </c>
      <c r="B164" s="432" t="s">
        <v>882</v>
      </c>
      <c r="C164" s="433">
        <v>129427.46</v>
      </c>
    </row>
    <row r="165" spans="1:3" ht="21">
      <c r="A165" s="432">
        <v>91611</v>
      </c>
      <c r="B165" s="432" t="s">
        <v>883</v>
      </c>
      <c r="C165" s="433">
        <v>1125610.8199999998</v>
      </c>
    </row>
    <row r="166" spans="1:3" ht="21">
      <c r="A166" s="432">
        <v>91621</v>
      </c>
      <c r="B166" s="432" t="s">
        <v>884</v>
      </c>
      <c r="C166" s="433">
        <v>253281.24</v>
      </c>
    </row>
    <row r="167" spans="1:3" ht="21">
      <c r="A167" s="432">
        <v>91631</v>
      </c>
      <c r="B167" s="432" t="s">
        <v>885</v>
      </c>
      <c r="C167" s="433">
        <v>524564.83000000007</v>
      </c>
    </row>
    <row r="168" spans="1:3" ht="21">
      <c r="A168" s="432">
        <v>91633</v>
      </c>
      <c r="B168" s="432" t="s">
        <v>886</v>
      </c>
      <c r="C168" s="433">
        <v>20773.59</v>
      </c>
    </row>
    <row r="169" spans="1:3" ht="21">
      <c r="A169" s="432">
        <v>91641</v>
      </c>
      <c r="B169" s="432" t="s">
        <v>887</v>
      </c>
      <c r="C169" s="433">
        <v>256764.68</v>
      </c>
    </row>
    <row r="170" spans="1:3" ht="21">
      <c r="A170" s="432">
        <v>91651</v>
      </c>
      <c r="B170" s="432" t="s">
        <v>888</v>
      </c>
      <c r="C170" s="433">
        <v>446585.53</v>
      </c>
    </row>
    <row r="171" spans="1:3" ht="21">
      <c r="A171" s="432">
        <v>91661</v>
      </c>
      <c r="B171" s="432" t="s">
        <v>889</v>
      </c>
      <c r="C171" s="433">
        <v>131609.60999999999</v>
      </c>
    </row>
    <row r="172" spans="1:3" ht="21">
      <c r="A172" s="432">
        <v>91671</v>
      </c>
      <c r="B172" s="432" t="s">
        <v>890</v>
      </c>
      <c r="C172" s="433">
        <v>79775.83</v>
      </c>
    </row>
    <row r="173" spans="1:3" ht="21">
      <c r="A173" s="432">
        <v>91681</v>
      </c>
      <c r="B173" s="432" t="s">
        <v>891</v>
      </c>
      <c r="C173" s="433">
        <v>585999.9</v>
      </c>
    </row>
    <row r="174" spans="1:3" ht="21">
      <c r="A174" s="432">
        <v>91691</v>
      </c>
      <c r="B174" s="432" t="s">
        <v>892</v>
      </c>
      <c r="C174" s="433">
        <v>28939.31</v>
      </c>
    </row>
    <row r="175" spans="1:3" ht="21">
      <c r="A175" s="432">
        <v>91701</v>
      </c>
      <c r="B175" s="432" t="s">
        <v>893</v>
      </c>
      <c r="C175" s="433">
        <v>331128</v>
      </c>
    </row>
    <row r="176" spans="1:3" ht="21">
      <c r="A176" s="432">
        <v>91704</v>
      </c>
      <c r="B176" s="432" t="s">
        <v>894</v>
      </c>
      <c r="C176" s="433">
        <v>17288.05</v>
      </c>
    </row>
    <row r="177" spans="1:3" ht="21">
      <c r="A177" s="432">
        <v>91706</v>
      </c>
      <c r="B177" s="432" t="s">
        <v>895</v>
      </c>
      <c r="C177" s="433">
        <v>102101.59</v>
      </c>
    </row>
    <row r="178" spans="1:3" ht="21">
      <c r="A178" s="432">
        <v>91719</v>
      </c>
      <c r="B178" s="432" t="s">
        <v>896</v>
      </c>
      <c r="C178" s="433">
        <v>30295.07</v>
      </c>
    </row>
    <row r="179" spans="1:3" ht="21">
      <c r="A179" s="432">
        <v>91801</v>
      </c>
      <c r="B179" s="432" t="s">
        <v>897</v>
      </c>
      <c r="C179" s="433">
        <v>6684866.6400000006</v>
      </c>
    </row>
    <row r="180" spans="1:3" ht="21">
      <c r="A180" s="432">
        <v>91804</v>
      </c>
      <c r="B180" s="432" t="s">
        <v>898</v>
      </c>
      <c r="C180" s="433">
        <v>206982.29</v>
      </c>
    </row>
    <row r="181" spans="1:3" ht="21">
      <c r="A181" s="432">
        <v>91811</v>
      </c>
      <c r="B181" s="432" t="s">
        <v>899</v>
      </c>
      <c r="C181" s="433">
        <v>3713755.9600000004</v>
      </c>
    </row>
    <row r="182" spans="1:3" ht="21">
      <c r="A182" s="432">
        <v>91812</v>
      </c>
      <c r="B182" s="432" t="s">
        <v>900</v>
      </c>
      <c r="C182" s="433">
        <v>52280.99</v>
      </c>
    </row>
    <row r="183" spans="1:3" ht="21">
      <c r="A183" s="432">
        <v>91813</v>
      </c>
      <c r="B183" s="432" t="s">
        <v>901</v>
      </c>
      <c r="C183" s="433">
        <v>62151.17</v>
      </c>
    </row>
    <row r="184" spans="1:3" ht="21">
      <c r="A184" s="432">
        <v>91818</v>
      </c>
      <c r="B184" s="432" t="s">
        <v>902</v>
      </c>
      <c r="C184" s="433">
        <v>424876.07</v>
      </c>
    </row>
    <row r="185" spans="1:3" ht="21">
      <c r="A185" s="432">
        <v>91819</v>
      </c>
      <c r="B185" s="432" t="s">
        <v>903</v>
      </c>
      <c r="C185" s="433">
        <v>240011.85</v>
      </c>
    </row>
    <row r="186" spans="1:3" ht="21">
      <c r="A186" s="432">
        <v>91821</v>
      </c>
      <c r="B186" s="432" t="s">
        <v>904</v>
      </c>
      <c r="C186" s="433">
        <v>155394.71000000002</v>
      </c>
    </row>
    <row r="187" spans="1:3" ht="21">
      <c r="A187" s="432">
        <v>91831</v>
      </c>
      <c r="B187" s="432" t="s">
        <v>905</v>
      </c>
      <c r="C187" s="433">
        <v>359392.28</v>
      </c>
    </row>
    <row r="188" spans="1:3" ht="21">
      <c r="A188" s="432">
        <v>91841</v>
      </c>
      <c r="B188" s="432" t="s">
        <v>906</v>
      </c>
      <c r="C188" s="433">
        <v>237664.67</v>
      </c>
    </row>
    <row r="189" spans="1:3" ht="21">
      <c r="A189" s="432">
        <v>91851</v>
      </c>
      <c r="B189" s="432" t="s">
        <v>907</v>
      </c>
      <c r="C189" s="433">
        <v>600179.94999999995</v>
      </c>
    </row>
    <row r="190" spans="1:3" ht="21">
      <c r="A190" s="432">
        <v>91861</v>
      </c>
      <c r="B190" s="432" t="s">
        <v>908</v>
      </c>
      <c r="C190" s="433">
        <v>6123.6</v>
      </c>
    </row>
    <row r="191" spans="1:3" ht="21">
      <c r="A191" s="432">
        <v>91871</v>
      </c>
      <c r="B191" s="432" t="s">
        <v>909</v>
      </c>
      <c r="C191" s="433">
        <v>1122366.9300000002</v>
      </c>
    </row>
    <row r="192" spans="1:3" ht="21">
      <c r="A192" s="432">
        <v>91881</v>
      </c>
      <c r="B192" s="432" t="s">
        <v>910</v>
      </c>
      <c r="C192" s="433">
        <v>18376.53</v>
      </c>
    </row>
    <row r="193" spans="1:3" ht="21">
      <c r="A193" s="432">
        <v>91901</v>
      </c>
      <c r="B193" s="432" t="s">
        <v>911</v>
      </c>
      <c r="C193" s="433">
        <v>3074276.88</v>
      </c>
    </row>
    <row r="194" spans="1:3" ht="21">
      <c r="A194" s="432">
        <v>91903</v>
      </c>
      <c r="B194" s="432" t="s">
        <v>912</v>
      </c>
      <c r="C194" s="433">
        <v>9897.1200000000008</v>
      </c>
    </row>
    <row r="195" spans="1:3" ht="21">
      <c r="A195" s="432">
        <v>91904</v>
      </c>
      <c r="B195" s="432" t="s">
        <v>913</v>
      </c>
      <c r="C195" s="433">
        <v>66344.28</v>
      </c>
    </row>
    <row r="196" spans="1:3" ht="21">
      <c r="A196" s="432">
        <v>91908</v>
      </c>
      <c r="B196" s="432" t="s">
        <v>914</v>
      </c>
      <c r="C196" s="433">
        <v>5179.66</v>
      </c>
    </row>
    <row r="197" spans="1:3" ht="21">
      <c r="A197" s="432">
        <v>91911</v>
      </c>
      <c r="B197" s="432" t="s">
        <v>915</v>
      </c>
      <c r="C197" s="433">
        <v>514588.32</v>
      </c>
    </row>
    <row r="198" spans="1:3" ht="21">
      <c r="A198" s="432">
        <v>91917</v>
      </c>
      <c r="B198" s="432" t="s">
        <v>916</v>
      </c>
      <c r="C198" s="433">
        <v>16547.45</v>
      </c>
    </row>
    <row r="199" spans="1:3" ht="21">
      <c r="A199" s="432">
        <v>91921</v>
      </c>
      <c r="B199" s="432" t="s">
        <v>917</v>
      </c>
      <c r="C199" s="433">
        <v>330252.96999999997</v>
      </c>
    </row>
    <row r="200" spans="1:3" ht="21">
      <c r="A200" s="432">
        <v>92001</v>
      </c>
      <c r="B200" s="432" t="s">
        <v>918</v>
      </c>
      <c r="C200" s="433">
        <v>1731534.89</v>
      </c>
    </row>
    <row r="201" spans="1:3" ht="21">
      <c r="A201" s="432">
        <v>92005</v>
      </c>
      <c r="B201" s="432" t="s">
        <v>919</v>
      </c>
      <c r="C201" s="433">
        <v>33562.550000000003</v>
      </c>
    </row>
    <row r="202" spans="1:3" ht="21">
      <c r="A202" s="432">
        <v>92011</v>
      </c>
      <c r="B202" s="432" t="s">
        <v>920</v>
      </c>
      <c r="C202" s="433">
        <v>169469.49</v>
      </c>
    </row>
    <row r="203" spans="1:3" ht="21">
      <c r="A203" s="432">
        <v>92017</v>
      </c>
      <c r="B203" s="432" t="s">
        <v>921</v>
      </c>
      <c r="C203" s="433">
        <v>36321.589999999997</v>
      </c>
    </row>
    <row r="204" spans="1:3" ht="21">
      <c r="A204" s="432">
        <v>92021</v>
      </c>
      <c r="B204" s="432" t="s">
        <v>922</v>
      </c>
      <c r="C204" s="433">
        <v>97279.349999999991</v>
      </c>
    </row>
    <row r="205" spans="1:3" ht="21">
      <c r="A205" s="432">
        <v>92101</v>
      </c>
      <c r="B205" s="432" t="s">
        <v>923</v>
      </c>
      <c r="C205" s="433">
        <v>688523.52</v>
      </c>
    </row>
    <row r="206" spans="1:3" ht="21">
      <c r="A206" s="432">
        <v>92104</v>
      </c>
      <c r="B206" s="432" t="s">
        <v>924</v>
      </c>
      <c r="C206" s="433">
        <v>9542.64</v>
      </c>
    </row>
    <row r="207" spans="1:3" ht="21">
      <c r="A207" s="432">
        <v>92109</v>
      </c>
      <c r="B207" s="432" t="s">
        <v>925</v>
      </c>
      <c r="C207" s="433">
        <v>170272.16</v>
      </c>
    </row>
    <row r="208" spans="1:3" ht="21">
      <c r="A208" s="432">
        <v>92111</v>
      </c>
      <c r="B208" s="432" t="s">
        <v>926</v>
      </c>
      <c r="C208" s="433">
        <v>430281.02999999997</v>
      </c>
    </row>
    <row r="209" spans="1:3" ht="21">
      <c r="A209" s="432">
        <v>92113</v>
      </c>
      <c r="B209" s="432" t="s">
        <v>927</v>
      </c>
      <c r="C209" s="433">
        <v>17939.580000000002</v>
      </c>
    </row>
    <row r="210" spans="1:3" ht="21">
      <c r="A210" s="432">
        <v>92201</v>
      </c>
      <c r="B210" s="432" t="s">
        <v>928</v>
      </c>
      <c r="C210" s="433">
        <v>969139.28</v>
      </c>
    </row>
    <row r="211" spans="1:3" ht="21">
      <c r="A211" s="432">
        <v>92214</v>
      </c>
      <c r="B211" s="432" t="s">
        <v>1925</v>
      </c>
      <c r="C211" s="433">
        <v>26837.79</v>
      </c>
    </row>
    <row r="212" spans="1:3" ht="21">
      <c r="A212" s="432">
        <v>92301</v>
      </c>
      <c r="B212" s="432" t="s">
        <v>929</v>
      </c>
      <c r="C212" s="433">
        <v>4501668.7299999995</v>
      </c>
    </row>
    <row r="213" spans="1:3" ht="21">
      <c r="A213" s="432">
        <v>92302</v>
      </c>
      <c r="B213" s="432" t="s">
        <v>930</v>
      </c>
      <c r="C213" s="433">
        <v>249857.15</v>
      </c>
    </row>
    <row r="214" spans="1:3" ht="21">
      <c r="A214" s="432">
        <v>92311</v>
      </c>
      <c r="B214" s="432" t="s">
        <v>931</v>
      </c>
      <c r="C214" s="433">
        <v>1893249.2</v>
      </c>
    </row>
    <row r="215" spans="1:3" ht="21">
      <c r="A215" s="432">
        <v>92317</v>
      </c>
      <c r="B215" s="432" t="s">
        <v>932</v>
      </c>
      <c r="C215" s="433">
        <v>41306.29</v>
      </c>
    </row>
    <row r="216" spans="1:3" ht="21">
      <c r="A216" s="432">
        <v>92321</v>
      </c>
      <c r="B216" s="432" t="s">
        <v>933</v>
      </c>
      <c r="C216" s="433">
        <v>1055569.28</v>
      </c>
    </row>
    <row r="217" spans="1:3" ht="21">
      <c r="A217" s="432">
        <v>92327</v>
      </c>
      <c r="B217" s="432" t="s">
        <v>934</v>
      </c>
      <c r="C217" s="433">
        <v>13082.42</v>
      </c>
    </row>
    <row r="218" spans="1:3" ht="21">
      <c r="A218" s="432">
        <v>92331</v>
      </c>
      <c r="B218" s="432" t="s">
        <v>935</v>
      </c>
      <c r="C218" s="433">
        <v>143410.69000000003</v>
      </c>
    </row>
    <row r="219" spans="1:3" ht="21">
      <c r="A219" s="432">
        <v>92341</v>
      </c>
      <c r="B219" s="432" t="s">
        <v>936</v>
      </c>
      <c r="C219" s="433">
        <v>5096.18</v>
      </c>
    </row>
    <row r="220" spans="1:3" ht="21">
      <c r="A220" s="432">
        <v>92351</v>
      </c>
      <c r="B220" s="432" t="s">
        <v>937</v>
      </c>
      <c r="C220" s="433">
        <v>28419.63</v>
      </c>
    </row>
    <row r="221" spans="1:3" ht="21">
      <c r="A221" s="432">
        <v>92401</v>
      </c>
      <c r="B221" s="432" t="s">
        <v>938</v>
      </c>
      <c r="C221" s="433">
        <v>2507576.7800000003</v>
      </c>
    </row>
    <row r="222" spans="1:3" ht="21">
      <c r="A222" s="432">
        <v>92403</v>
      </c>
      <c r="B222" s="432" t="s">
        <v>939</v>
      </c>
      <c r="C222" s="433">
        <v>14491.01</v>
      </c>
    </row>
    <row r="223" spans="1:3" ht="21">
      <c r="A223" s="432">
        <v>92411</v>
      </c>
      <c r="B223" s="432" t="s">
        <v>940</v>
      </c>
      <c r="C223" s="433">
        <v>345742.77</v>
      </c>
    </row>
    <row r="224" spans="1:3" ht="21">
      <c r="A224" s="432">
        <v>92417</v>
      </c>
      <c r="B224" s="432" t="s">
        <v>941</v>
      </c>
      <c r="C224" s="433">
        <v>5912.07</v>
      </c>
    </row>
    <row r="225" spans="1:3" ht="21">
      <c r="A225" s="432">
        <v>92421</v>
      </c>
      <c r="B225" s="432" t="s">
        <v>942</v>
      </c>
      <c r="C225" s="433">
        <v>12660.21</v>
      </c>
    </row>
    <row r="226" spans="1:3" ht="21">
      <c r="A226" s="432">
        <v>92427</v>
      </c>
      <c r="B226" s="432" t="s">
        <v>943</v>
      </c>
      <c r="C226" s="433">
        <v>2631</v>
      </c>
    </row>
    <row r="227" spans="1:3" ht="21">
      <c r="A227" s="432">
        <v>92431</v>
      </c>
      <c r="B227" s="432" t="s">
        <v>944</v>
      </c>
      <c r="C227" s="433">
        <v>22946.92</v>
      </c>
    </row>
    <row r="228" spans="1:3" ht="21">
      <c r="A228" s="432">
        <v>92441</v>
      </c>
      <c r="B228" s="432" t="s">
        <v>945</v>
      </c>
      <c r="C228" s="433">
        <v>91412.23000000001</v>
      </c>
    </row>
    <row r="229" spans="1:3" ht="21">
      <c r="A229" s="432">
        <v>92444</v>
      </c>
      <c r="B229" s="432" t="s">
        <v>946</v>
      </c>
      <c r="C229" s="433">
        <v>6877.48</v>
      </c>
    </row>
    <row r="230" spans="1:3" ht="21">
      <c r="A230" s="432">
        <v>92451</v>
      </c>
      <c r="B230" s="432" t="s">
        <v>947</v>
      </c>
      <c r="C230" s="433">
        <v>119247.84000000001</v>
      </c>
    </row>
    <row r="231" spans="1:3" ht="21">
      <c r="A231" s="432">
        <v>92461</v>
      </c>
      <c r="B231" s="432" t="s">
        <v>948</v>
      </c>
      <c r="C231" s="433">
        <v>78439.400000000009</v>
      </c>
    </row>
    <row r="232" spans="1:3" ht="21">
      <c r="A232" s="432">
        <v>92501</v>
      </c>
      <c r="B232" s="432" t="s">
        <v>949</v>
      </c>
      <c r="C232" s="433">
        <v>3600084.72</v>
      </c>
    </row>
    <row r="233" spans="1:3" ht="21">
      <c r="A233" s="432">
        <v>92502</v>
      </c>
      <c r="B233" s="432" t="s">
        <v>950</v>
      </c>
      <c r="C233" s="433">
        <v>26268.63</v>
      </c>
    </row>
    <row r="234" spans="1:3" ht="21">
      <c r="A234" s="432">
        <v>92504</v>
      </c>
      <c r="B234" s="432" t="s">
        <v>951</v>
      </c>
      <c r="C234" s="433">
        <v>103254.88</v>
      </c>
    </row>
    <row r="235" spans="1:3" ht="21">
      <c r="A235" s="432">
        <v>92505</v>
      </c>
      <c r="B235" s="432" t="s">
        <v>952</v>
      </c>
      <c r="C235" s="433">
        <v>107048.45</v>
      </c>
    </row>
    <row r="236" spans="1:3" ht="21">
      <c r="A236" s="432">
        <v>92506</v>
      </c>
      <c r="B236" s="432" t="s">
        <v>953</v>
      </c>
      <c r="C236" s="433">
        <v>74004.820000000007</v>
      </c>
    </row>
    <row r="237" spans="1:3" ht="21">
      <c r="A237" s="432">
        <v>92507</v>
      </c>
      <c r="B237" s="432" t="s">
        <v>954</v>
      </c>
      <c r="C237" s="433">
        <v>66457.539999999994</v>
      </c>
    </row>
    <row r="238" spans="1:3" ht="21">
      <c r="A238" s="432">
        <v>92508</v>
      </c>
      <c r="B238" s="432" t="s">
        <v>955</v>
      </c>
      <c r="C238" s="433">
        <v>282180.06</v>
      </c>
    </row>
    <row r="239" spans="1:3" ht="21">
      <c r="A239" s="432">
        <v>92511</v>
      </c>
      <c r="B239" s="432" t="s">
        <v>956</v>
      </c>
      <c r="C239" s="433">
        <v>2798166.72</v>
      </c>
    </row>
    <row r="240" spans="1:3" ht="21">
      <c r="A240" s="432">
        <v>92513</v>
      </c>
      <c r="B240" s="432" t="s">
        <v>957</v>
      </c>
      <c r="C240" s="433">
        <v>3652354.95</v>
      </c>
    </row>
    <row r="241" spans="1:3" ht="21">
      <c r="A241" s="432">
        <v>92521</v>
      </c>
      <c r="B241" s="432" t="s">
        <v>958</v>
      </c>
      <c r="C241" s="433">
        <v>66407.28</v>
      </c>
    </row>
    <row r="242" spans="1:3" ht="21">
      <c r="A242" s="432">
        <v>92531</v>
      </c>
      <c r="B242" s="432" t="s">
        <v>959</v>
      </c>
      <c r="C242" s="433">
        <v>647848.05000000005</v>
      </c>
    </row>
    <row r="243" spans="1:3" ht="21">
      <c r="A243" s="432">
        <v>92541</v>
      </c>
      <c r="B243" s="432" t="s">
        <v>960</v>
      </c>
      <c r="C243" s="433">
        <v>107596.74</v>
      </c>
    </row>
    <row r="244" spans="1:3" ht="21">
      <c r="A244" s="432">
        <v>92551</v>
      </c>
      <c r="B244" s="432" t="s">
        <v>961</v>
      </c>
      <c r="C244" s="433">
        <v>44508.91</v>
      </c>
    </row>
    <row r="245" spans="1:3" ht="21">
      <c r="A245" s="432">
        <v>92561</v>
      </c>
      <c r="B245" s="432" t="s">
        <v>962</v>
      </c>
      <c r="C245" s="433">
        <v>13171.23</v>
      </c>
    </row>
    <row r="246" spans="1:3" ht="21">
      <c r="A246" s="432">
        <v>92571</v>
      </c>
      <c r="B246" s="432" t="s">
        <v>963</v>
      </c>
      <c r="C246" s="433">
        <v>7525.24</v>
      </c>
    </row>
    <row r="247" spans="1:3" ht="21">
      <c r="A247" s="432">
        <v>92601</v>
      </c>
      <c r="B247" s="432" t="s">
        <v>964</v>
      </c>
      <c r="C247" s="433">
        <v>11066898.350000001</v>
      </c>
    </row>
    <row r="248" spans="1:3" ht="21">
      <c r="A248" s="432">
        <v>92602</v>
      </c>
      <c r="B248" s="432" t="s">
        <v>965</v>
      </c>
      <c r="C248" s="433">
        <v>4119</v>
      </c>
    </row>
    <row r="249" spans="1:3" ht="21">
      <c r="A249" s="432">
        <v>92604</v>
      </c>
      <c r="B249" s="432" t="s">
        <v>966</v>
      </c>
      <c r="C249" s="433">
        <v>278397.47000000003</v>
      </c>
    </row>
    <row r="250" spans="1:3" ht="21">
      <c r="A250" s="432">
        <v>92607</v>
      </c>
      <c r="B250" s="432" t="s">
        <v>967</v>
      </c>
      <c r="C250" s="433">
        <v>131457.23000000001</v>
      </c>
    </row>
    <row r="251" spans="1:3" ht="21">
      <c r="A251" s="432">
        <v>92611</v>
      </c>
      <c r="B251" s="432" t="s">
        <v>969</v>
      </c>
      <c r="C251" s="433">
        <v>9799076.9499999993</v>
      </c>
    </row>
    <row r="252" spans="1:3" ht="21">
      <c r="A252" s="432">
        <v>92613</v>
      </c>
      <c r="B252" s="432" t="s">
        <v>970</v>
      </c>
      <c r="C252" s="433">
        <v>209470.7</v>
      </c>
    </row>
    <row r="253" spans="1:3" ht="21">
      <c r="A253" s="432">
        <v>92614</v>
      </c>
      <c r="B253" s="432" t="s">
        <v>971</v>
      </c>
      <c r="C253" s="433">
        <v>7963048.4900000002</v>
      </c>
    </row>
    <row r="254" spans="1:3" ht="21">
      <c r="A254" s="432">
        <v>92621</v>
      </c>
      <c r="B254" s="432" t="s">
        <v>972</v>
      </c>
      <c r="C254" s="433">
        <v>25780.49</v>
      </c>
    </row>
    <row r="255" spans="1:3" ht="21">
      <c r="A255" s="432">
        <v>92631</v>
      </c>
      <c r="B255" s="432" t="s">
        <v>973</v>
      </c>
      <c r="C255" s="433">
        <v>894194.82000000007</v>
      </c>
    </row>
    <row r="256" spans="1:3" ht="21">
      <c r="A256" s="432">
        <v>92641</v>
      </c>
      <c r="B256" s="432" t="s">
        <v>974</v>
      </c>
      <c r="C256" s="433">
        <v>13407.68</v>
      </c>
    </row>
    <row r="257" spans="1:3" ht="21">
      <c r="A257" s="432">
        <v>92651</v>
      </c>
      <c r="B257" s="432" t="s">
        <v>975</v>
      </c>
      <c r="C257" s="433">
        <v>4658.37</v>
      </c>
    </row>
    <row r="258" spans="1:3" ht="21">
      <c r="A258" s="432">
        <v>92661</v>
      </c>
      <c r="B258" s="432" t="s">
        <v>976</v>
      </c>
      <c r="C258" s="433">
        <v>586383.11</v>
      </c>
    </row>
    <row r="259" spans="1:3" ht="21">
      <c r="A259" s="432">
        <v>92671</v>
      </c>
      <c r="B259" s="432" t="s">
        <v>977</v>
      </c>
      <c r="C259" s="433">
        <v>8221.5499999999993</v>
      </c>
    </row>
    <row r="260" spans="1:3" ht="21">
      <c r="A260" s="432">
        <v>92681</v>
      </c>
      <c r="B260" s="432" t="s">
        <v>978</v>
      </c>
      <c r="C260" s="433">
        <v>5240.7299999999996</v>
      </c>
    </row>
    <row r="261" spans="1:3" ht="21">
      <c r="A261" s="432">
        <v>92701</v>
      </c>
      <c r="B261" s="432" t="s">
        <v>979</v>
      </c>
      <c r="C261" s="433">
        <v>2649660.2100000004</v>
      </c>
    </row>
    <row r="262" spans="1:3" ht="21">
      <c r="A262" s="432">
        <v>92704</v>
      </c>
      <c r="B262" s="432" t="s">
        <v>980</v>
      </c>
      <c r="C262" s="433">
        <v>33964.01</v>
      </c>
    </row>
    <row r="263" spans="1:3" ht="21">
      <c r="A263" s="432">
        <v>92801</v>
      </c>
      <c r="B263" s="432" t="s">
        <v>981</v>
      </c>
      <c r="C263" s="433">
        <v>4478690.08</v>
      </c>
    </row>
    <row r="264" spans="1:3" ht="21">
      <c r="A264" s="432">
        <v>92802</v>
      </c>
      <c r="B264" s="432" t="s">
        <v>982</v>
      </c>
      <c r="C264" s="433">
        <v>86644.93</v>
      </c>
    </row>
    <row r="265" spans="1:3" ht="21">
      <c r="A265" s="432">
        <v>92804</v>
      </c>
      <c r="B265" s="432" t="s">
        <v>983</v>
      </c>
      <c r="C265" s="433">
        <v>121317.74</v>
      </c>
    </row>
    <row r="266" spans="1:3" ht="21">
      <c r="A266" s="432">
        <v>92811</v>
      </c>
      <c r="B266" s="432" t="s">
        <v>984</v>
      </c>
      <c r="C266" s="433">
        <v>841463.92999999993</v>
      </c>
    </row>
    <row r="267" spans="1:3" ht="21">
      <c r="A267" s="432">
        <v>92821</v>
      </c>
      <c r="B267" s="432" t="s">
        <v>985</v>
      </c>
      <c r="C267" s="433">
        <v>938835.45</v>
      </c>
    </row>
    <row r="268" spans="1:3" ht="21">
      <c r="A268" s="432">
        <v>92831</v>
      </c>
      <c r="B268" s="432" t="s">
        <v>986</v>
      </c>
      <c r="C268" s="433">
        <v>333316.34999999998</v>
      </c>
    </row>
    <row r="269" spans="1:3" ht="21">
      <c r="A269" s="432">
        <v>92841</v>
      </c>
      <c r="B269" s="432" t="s">
        <v>987</v>
      </c>
      <c r="C269" s="433">
        <v>214386.82</v>
      </c>
    </row>
    <row r="270" spans="1:3" ht="21">
      <c r="A270" s="432">
        <v>92851</v>
      </c>
      <c r="B270" s="432" t="s">
        <v>988</v>
      </c>
      <c r="C270" s="433">
        <v>323993.86000000004</v>
      </c>
    </row>
    <row r="271" spans="1:3" ht="21">
      <c r="A271" s="432">
        <v>92861</v>
      </c>
      <c r="B271" s="432" t="s">
        <v>989</v>
      </c>
      <c r="C271" s="433">
        <v>310022.57</v>
      </c>
    </row>
    <row r="272" spans="1:3" ht="21">
      <c r="A272" s="432">
        <v>92901</v>
      </c>
      <c r="B272" s="432" t="s">
        <v>990</v>
      </c>
      <c r="C272" s="433">
        <v>4745102.84</v>
      </c>
    </row>
    <row r="273" spans="1:3" ht="21">
      <c r="A273" s="432">
        <v>92911</v>
      </c>
      <c r="B273" s="432" t="s">
        <v>991</v>
      </c>
      <c r="C273" s="433">
        <v>1668589.86</v>
      </c>
    </row>
    <row r="274" spans="1:3" ht="21">
      <c r="A274" s="432">
        <v>92913</v>
      </c>
      <c r="B274" s="432" t="s">
        <v>992</v>
      </c>
      <c r="C274" s="433">
        <v>72259</v>
      </c>
    </row>
    <row r="275" spans="1:3" ht="21">
      <c r="A275" s="432">
        <v>92914</v>
      </c>
      <c r="B275" s="432" t="s">
        <v>993</v>
      </c>
      <c r="C275" s="433">
        <v>31067.06</v>
      </c>
    </row>
    <row r="276" spans="1:3" ht="21">
      <c r="A276" s="432">
        <v>92917</v>
      </c>
      <c r="B276" s="432" t="s">
        <v>994</v>
      </c>
      <c r="C276" s="433">
        <v>37699.019999999997</v>
      </c>
    </row>
    <row r="277" spans="1:3" ht="21">
      <c r="A277" s="432">
        <v>92921</v>
      </c>
      <c r="B277" s="432" t="s">
        <v>995</v>
      </c>
      <c r="C277" s="433">
        <v>73493.22</v>
      </c>
    </row>
    <row r="278" spans="1:3" ht="21">
      <c r="A278" s="432">
        <v>92931</v>
      </c>
      <c r="B278" s="432" t="s">
        <v>996</v>
      </c>
      <c r="C278" s="433">
        <v>1984361.2700000003</v>
      </c>
    </row>
    <row r="279" spans="1:3" ht="21">
      <c r="A279" s="432">
        <v>92941</v>
      </c>
      <c r="B279" s="432" t="s">
        <v>81</v>
      </c>
      <c r="C279" s="433">
        <v>5083.1200000000008</v>
      </c>
    </row>
    <row r="280" spans="1:3" ht="21">
      <c r="A280" s="432">
        <v>93001</v>
      </c>
      <c r="B280" s="432" t="s">
        <v>997</v>
      </c>
      <c r="C280" s="433">
        <v>2116147.9899999993</v>
      </c>
    </row>
    <row r="281" spans="1:3" ht="21">
      <c r="A281" s="432">
        <v>93009</v>
      </c>
      <c r="B281" s="432" t="s">
        <v>998</v>
      </c>
      <c r="C281" s="433">
        <v>4828.68</v>
      </c>
    </row>
    <row r="282" spans="1:3" ht="21">
      <c r="A282" s="432">
        <v>93011</v>
      </c>
      <c r="B282" s="432" t="s">
        <v>999</v>
      </c>
      <c r="C282" s="433">
        <v>128900.15000000001</v>
      </c>
    </row>
    <row r="283" spans="1:3" ht="21">
      <c r="A283" s="432">
        <v>93021</v>
      </c>
      <c r="B283" s="432" t="s">
        <v>1000</v>
      </c>
      <c r="C283" s="433">
        <v>23857.51</v>
      </c>
    </row>
    <row r="284" spans="1:3" ht="21">
      <c r="A284" s="432">
        <v>93028</v>
      </c>
      <c r="B284" s="432" t="s">
        <v>3609</v>
      </c>
      <c r="C284" s="433">
        <v>17370.98</v>
      </c>
    </row>
    <row r="285" spans="1:3" ht="21">
      <c r="A285" s="432">
        <v>93031</v>
      </c>
      <c r="B285" s="432" t="s">
        <v>1002</v>
      </c>
      <c r="C285" s="433">
        <v>15451.34</v>
      </c>
    </row>
    <row r="286" spans="1:3" ht="21">
      <c r="A286" s="432">
        <v>93101</v>
      </c>
      <c r="B286" s="432" t="s">
        <v>1003</v>
      </c>
      <c r="C286" s="433">
        <v>2485779.0499999998</v>
      </c>
    </row>
    <row r="287" spans="1:3" ht="21">
      <c r="A287" s="432">
        <v>93108</v>
      </c>
      <c r="B287" s="432" t="s">
        <v>1004</v>
      </c>
      <c r="C287" s="433">
        <v>2290017.4700000002</v>
      </c>
    </row>
    <row r="288" spans="1:3" ht="21">
      <c r="A288" s="432">
        <v>93111</v>
      </c>
      <c r="B288" s="432" t="s">
        <v>1005</v>
      </c>
      <c r="C288" s="433">
        <v>61985.81</v>
      </c>
    </row>
    <row r="289" spans="1:3" ht="21">
      <c r="A289" s="432">
        <v>93121</v>
      </c>
      <c r="B289" s="432" t="s">
        <v>1006</v>
      </c>
      <c r="C289" s="433">
        <v>51495.819999999992</v>
      </c>
    </row>
    <row r="290" spans="1:3" ht="21">
      <c r="A290" s="432">
        <v>93127</v>
      </c>
      <c r="B290" s="432" t="s">
        <v>1007</v>
      </c>
      <c r="C290" s="433">
        <v>5118.6899999999996</v>
      </c>
    </row>
    <row r="291" spans="1:3" ht="21">
      <c r="A291" s="432">
        <v>93131</v>
      </c>
      <c r="B291" s="432" t="s">
        <v>1008</v>
      </c>
      <c r="C291" s="433">
        <v>155663.70000000001</v>
      </c>
    </row>
    <row r="292" spans="1:3" ht="21">
      <c r="A292" s="432">
        <v>93137</v>
      </c>
      <c r="B292" s="432" t="s">
        <v>1009</v>
      </c>
      <c r="C292" s="433">
        <v>6661.6</v>
      </c>
    </row>
    <row r="293" spans="1:3" ht="21">
      <c r="A293" s="432">
        <v>93141</v>
      </c>
      <c r="B293" s="432" t="s">
        <v>1010</v>
      </c>
      <c r="C293" s="433">
        <v>34473.89</v>
      </c>
    </row>
    <row r="294" spans="1:3" ht="21">
      <c r="A294" s="432">
        <v>93151</v>
      </c>
      <c r="B294" s="432" t="s">
        <v>1011</v>
      </c>
      <c r="C294" s="433">
        <v>316968.99000000005</v>
      </c>
    </row>
    <row r="295" spans="1:3" ht="21">
      <c r="A295" s="432">
        <v>93157</v>
      </c>
      <c r="B295" s="432" t="s">
        <v>1012</v>
      </c>
      <c r="C295" s="433">
        <v>14633.6</v>
      </c>
    </row>
    <row r="296" spans="1:3" ht="21">
      <c r="A296" s="432">
        <v>93161</v>
      </c>
      <c r="B296" s="432" t="s">
        <v>1013</v>
      </c>
      <c r="C296" s="433">
        <v>71248.39</v>
      </c>
    </row>
    <row r="297" spans="1:3" ht="21">
      <c r="A297" s="432">
        <v>93171</v>
      </c>
      <c r="B297" s="432" t="s">
        <v>1014</v>
      </c>
      <c r="C297" s="433">
        <v>6961.79</v>
      </c>
    </row>
    <row r="298" spans="1:3" ht="21">
      <c r="A298" s="432">
        <v>93181</v>
      </c>
      <c r="B298" s="432" t="s">
        <v>1015</v>
      </c>
      <c r="C298" s="433">
        <v>12146.67</v>
      </c>
    </row>
    <row r="299" spans="1:3" ht="21">
      <c r="A299" s="432">
        <v>93191</v>
      </c>
      <c r="B299" s="432" t="s">
        <v>1016</v>
      </c>
      <c r="C299" s="433">
        <v>33473.24</v>
      </c>
    </row>
    <row r="300" spans="1:3" ht="21">
      <c r="A300" s="432">
        <v>93201</v>
      </c>
      <c r="B300" s="432" t="s">
        <v>1017</v>
      </c>
      <c r="C300" s="433">
        <v>13429227.020000001</v>
      </c>
    </row>
    <row r="301" spans="1:3" ht="21">
      <c r="A301" s="432">
        <v>93204</v>
      </c>
      <c r="B301" s="432" t="s">
        <v>1019</v>
      </c>
      <c r="C301" s="433">
        <v>295602.05</v>
      </c>
    </row>
    <row r="302" spans="1:3" ht="21">
      <c r="A302" s="432">
        <v>93209</v>
      </c>
      <c r="B302" s="432" t="s">
        <v>3722</v>
      </c>
      <c r="C302" s="433">
        <v>6119695.2999999998</v>
      </c>
    </row>
    <row r="303" spans="1:3" ht="21">
      <c r="A303" s="432">
        <v>93211</v>
      </c>
      <c r="B303" s="432" t="s">
        <v>1021</v>
      </c>
      <c r="C303" s="433">
        <v>18518885.399999999</v>
      </c>
    </row>
    <row r="304" spans="1:3" ht="21">
      <c r="A304" s="432">
        <v>93212</v>
      </c>
      <c r="B304" s="432" t="s">
        <v>1022</v>
      </c>
      <c r="C304" s="433">
        <v>236374.55</v>
      </c>
    </row>
    <row r="305" spans="1:3" ht="21">
      <c r="A305" s="432">
        <v>93219</v>
      </c>
      <c r="B305" s="432" t="s">
        <v>1023</v>
      </c>
      <c r="C305" s="433">
        <v>254046.21</v>
      </c>
    </row>
    <row r="306" spans="1:3" ht="21">
      <c r="A306" s="432">
        <v>93301</v>
      </c>
      <c r="B306" s="432" t="s">
        <v>1024</v>
      </c>
      <c r="C306" s="433">
        <v>2196030.1700000004</v>
      </c>
    </row>
    <row r="307" spans="1:3" ht="21">
      <c r="A307" s="432">
        <v>93304</v>
      </c>
      <c r="B307" s="432" t="s">
        <v>1025</v>
      </c>
      <c r="C307" s="433">
        <v>37969.64</v>
      </c>
    </row>
    <row r="308" spans="1:3" ht="21">
      <c r="A308" s="432">
        <v>93305</v>
      </c>
      <c r="B308" s="432" t="s">
        <v>1026</v>
      </c>
      <c r="C308" s="433">
        <v>27847.49</v>
      </c>
    </row>
    <row r="309" spans="1:3" ht="21">
      <c r="A309" s="432">
        <v>93309</v>
      </c>
      <c r="B309" s="432" t="s">
        <v>1027</v>
      </c>
      <c r="C309" s="433">
        <v>164028.60999999999</v>
      </c>
    </row>
    <row r="310" spans="1:3" ht="21">
      <c r="A310" s="432">
        <v>93311</v>
      </c>
      <c r="B310" s="432" t="s">
        <v>1028</v>
      </c>
      <c r="C310" s="433">
        <v>971310.25</v>
      </c>
    </row>
    <row r="311" spans="1:3" ht="21">
      <c r="A311" s="432">
        <v>93317</v>
      </c>
      <c r="B311" s="432" t="s">
        <v>1029</v>
      </c>
      <c r="C311" s="433">
        <v>37059.08</v>
      </c>
    </row>
    <row r="312" spans="1:3" ht="21">
      <c r="A312" s="432">
        <v>93321</v>
      </c>
      <c r="B312" s="432" t="s">
        <v>1030</v>
      </c>
      <c r="C312" s="433">
        <v>5537580.8899999997</v>
      </c>
    </row>
    <row r="313" spans="1:3" ht="21">
      <c r="A313" s="432">
        <v>93323</v>
      </c>
      <c r="B313" s="432" t="s">
        <v>1031</v>
      </c>
      <c r="C313" s="433">
        <v>40923.93</v>
      </c>
    </row>
    <row r="314" spans="1:3" ht="21">
      <c r="A314" s="432">
        <v>93331</v>
      </c>
      <c r="B314" s="432" t="s">
        <v>1032</v>
      </c>
      <c r="C314" s="433">
        <v>95155.839999999997</v>
      </c>
    </row>
    <row r="315" spans="1:3" ht="21">
      <c r="A315" s="432">
        <v>93333</v>
      </c>
      <c r="B315" s="432" t="s">
        <v>1033</v>
      </c>
      <c r="C315" s="433">
        <v>209876.45</v>
      </c>
    </row>
    <row r="316" spans="1:3" ht="21">
      <c r="A316" s="432">
        <v>93341</v>
      </c>
      <c r="B316" s="432" t="s">
        <v>1034</v>
      </c>
      <c r="C316" s="433">
        <v>25747.11</v>
      </c>
    </row>
    <row r="317" spans="1:3" ht="21">
      <c r="A317" s="432">
        <v>93351</v>
      </c>
      <c r="B317" s="432" t="s">
        <v>1035</v>
      </c>
      <c r="C317" s="433">
        <v>26072.27</v>
      </c>
    </row>
    <row r="318" spans="1:3" ht="21">
      <c r="A318" s="432">
        <v>93401</v>
      </c>
      <c r="B318" s="432" t="s">
        <v>1036</v>
      </c>
      <c r="C318" s="433">
        <v>11726405.749999998</v>
      </c>
    </row>
    <row r="319" spans="1:3" ht="21">
      <c r="A319" s="432">
        <v>93406</v>
      </c>
      <c r="B319" s="432" t="s">
        <v>1038</v>
      </c>
      <c r="C319" s="433">
        <v>523966.65</v>
      </c>
    </row>
    <row r="320" spans="1:3" ht="21">
      <c r="A320" s="432">
        <v>93411</v>
      </c>
      <c r="B320" s="432" t="s">
        <v>1040</v>
      </c>
      <c r="C320" s="433">
        <v>14169731.75</v>
      </c>
    </row>
    <row r="321" spans="1:3" ht="21">
      <c r="A321" s="432">
        <v>93413</v>
      </c>
      <c r="B321" s="432" t="s">
        <v>1041</v>
      </c>
      <c r="C321" s="433">
        <v>617970.46</v>
      </c>
    </row>
    <row r="322" spans="1:3" ht="21">
      <c r="A322" s="432">
        <v>93417</v>
      </c>
      <c r="B322" s="432" t="s">
        <v>1042</v>
      </c>
      <c r="C322" s="433">
        <v>301868.64</v>
      </c>
    </row>
    <row r="323" spans="1:3" ht="21">
      <c r="A323" s="432">
        <v>93421</v>
      </c>
      <c r="B323" s="432" t="s">
        <v>1043</v>
      </c>
      <c r="C323" s="433">
        <v>1578196.1800000002</v>
      </c>
    </row>
    <row r="324" spans="1:3" ht="21">
      <c r="A324" s="432">
        <v>93431</v>
      </c>
      <c r="B324" s="432" t="s">
        <v>1044</v>
      </c>
      <c r="C324" s="433">
        <v>117976.85</v>
      </c>
    </row>
    <row r="325" spans="1:3" ht="21">
      <c r="A325" s="432">
        <v>93441</v>
      </c>
      <c r="B325" s="432" t="s">
        <v>1045</v>
      </c>
      <c r="C325" s="433">
        <v>150460</v>
      </c>
    </row>
    <row r="326" spans="1:3" ht="21">
      <c r="A326" s="432">
        <v>93442</v>
      </c>
      <c r="B326" s="432" t="s">
        <v>1046</v>
      </c>
      <c r="C326" s="433">
        <v>121254.94</v>
      </c>
    </row>
    <row r="327" spans="1:3" ht="21">
      <c r="A327" s="432">
        <v>93451</v>
      </c>
      <c r="B327" s="432" t="s">
        <v>1047</v>
      </c>
      <c r="C327" s="433">
        <v>82812.960000000006</v>
      </c>
    </row>
    <row r="328" spans="1:3" ht="21">
      <c r="A328" s="432">
        <v>93461</v>
      </c>
      <c r="B328" s="432" t="s">
        <v>1048</v>
      </c>
      <c r="C328" s="433">
        <v>13168.44</v>
      </c>
    </row>
    <row r="329" spans="1:3" ht="21">
      <c r="A329" s="432">
        <v>93471</v>
      </c>
      <c r="B329" s="432" t="s">
        <v>1049</v>
      </c>
      <c r="C329" s="433">
        <v>17403.87</v>
      </c>
    </row>
    <row r="330" spans="1:3" ht="21">
      <c r="A330" s="432">
        <v>93501</v>
      </c>
      <c r="B330" s="432" t="s">
        <v>1050</v>
      </c>
      <c r="C330" s="433">
        <v>3233319.4100000006</v>
      </c>
    </row>
    <row r="331" spans="1:3" ht="21">
      <c r="A331" s="432">
        <v>93511</v>
      </c>
      <c r="B331" s="432" t="s">
        <v>1051</v>
      </c>
      <c r="C331" s="433">
        <v>104260.9</v>
      </c>
    </row>
    <row r="332" spans="1:3" ht="21">
      <c r="A332" s="432">
        <v>93517</v>
      </c>
      <c r="B332" s="432" t="s">
        <v>1052</v>
      </c>
      <c r="C332" s="433">
        <v>11227.02</v>
      </c>
    </row>
    <row r="333" spans="1:3" ht="21">
      <c r="A333" s="432">
        <v>93521</v>
      </c>
      <c r="B333" s="432" t="s">
        <v>1053</v>
      </c>
      <c r="C333" s="433">
        <v>424170.39000000007</v>
      </c>
    </row>
    <row r="334" spans="1:3" ht="21">
      <c r="A334" s="432">
        <v>93527</v>
      </c>
      <c r="B334" s="432" t="s">
        <v>1054</v>
      </c>
      <c r="C334" s="433">
        <v>18030.490000000002</v>
      </c>
    </row>
    <row r="335" spans="1:3" ht="21">
      <c r="A335" s="432">
        <v>93531</v>
      </c>
      <c r="B335" s="432" t="s">
        <v>1055</v>
      </c>
      <c r="C335" s="433">
        <v>27799.250000000004</v>
      </c>
    </row>
    <row r="336" spans="1:3" ht="21">
      <c r="A336" s="432">
        <v>93537</v>
      </c>
      <c r="B336" s="432" t="s">
        <v>1056</v>
      </c>
      <c r="C336" s="433">
        <v>7021.18</v>
      </c>
    </row>
    <row r="337" spans="1:3" ht="21">
      <c r="A337" s="432">
        <v>93541</v>
      </c>
      <c r="B337" s="432" t="s">
        <v>1057</v>
      </c>
      <c r="C337" s="433">
        <v>152800.4</v>
      </c>
    </row>
    <row r="338" spans="1:3" ht="21">
      <c r="A338" s="432">
        <v>93601</v>
      </c>
      <c r="B338" s="432" t="s">
        <v>1058</v>
      </c>
      <c r="C338" s="433">
        <v>10335668.790000001</v>
      </c>
    </row>
    <row r="339" spans="1:3" ht="21">
      <c r="A339" s="432">
        <v>93602</v>
      </c>
      <c r="B339" s="432" t="s">
        <v>1059</v>
      </c>
      <c r="C339" s="433">
        <v>179667.00000000003</v>
      </c>
    </row>
    <row r="340" spans="1:3" ht="21">
      <c r="A340" s="432">
        <v>93604</v>
      </c>
      <c r="B340" s="432" t="s">
        <v>1926</v>
      </c>
      <c r="C340" s="433">
        <v>23052.32</v>
      </c>
    </row>
    <row r="341" spans="1:3" ht="21">
      <c r="A341" s="432">
        <v>93609</v>
      </c>
      <c r="B341" s="432" t="s">
        <v>1060</v>
      </c>
      <c r="C341" s="433">
        <v>4399390.26</v>
      </c>
    </row>
    <row r="342" spans="1:3" ht="21">
      <c r="A342" s="432">
        <v>93610</v>
      </c>
      <c r="B342" s="432" t="s">
        <v>1061</v>
      </c>
      <c r="C342" s="433">
        <v>12705.82</v>
      </c>
    </row>
    <row r="343" spans="1:3" ht="21">
      <c r="A343" s="432">
        <v>93611</v>
      </c>
      <c r="B343" s="432" t="s">
        <v>1062</v>
      </c>
      <c r="C343" s="433">
        <v>6082846.3700000001</v>
      </c>
    </row>
    <row r="344" spans="1:3" ht="21">
      <c r="A344" s="432">
        <v>93617</v>
      </c>
      <c r="B344" s="432" t="s">
        <v>1063</v>
      </c>
      <c r="C344" s="433">
        <v>106875.52</v>
      </c>
    </row>
    <row r="345" spans="1:3" ht="21">
      <c r="A345" s="432">
        <v>93618</v>
      </c>
      <c r="B345" s="432" t="s">
        <v>1064</v>
      </c>
      <c r="C345" s="433">
        <v>35964.58</v>
      </c>
    </row>
    <row r="346" spans="1:3" ht="21">
      <c r="A346" s="432">
        <v>93621</v>
      </c>
      <c r="B346" s="432" t="s">
        <v>1065</v>
      </c>
      <c r="C346" s="433">
        <v>990666.82000000007</v>
      </c>
    </row>
    <row r="347" spans="1:3" ht="21">
      <c r="A347" s="432">
        <v>93623</v>
      </c>
      <c r="B347" s="432" t="s">
        <v>1066</v>
      </c>
      <c r="C347" s="433">
        <v>11458.69</v>
      </c>
    </row>
    <row r="348" spans="1:3" ht="21">
      <c r="A348" s="432">
        <v>93631</v>
      </c>
      <c r="B348" s="432" t="s">
        <v>1067</v>
      </c>
      <c r="C348" s="433">
        <v>214474.08000000002</v>
      </c>
    </row>
    <row r="349" spans="1:3" ht="21">
      <c r="A349" s="432">
        <v>93641</v>
      </c>
      <c r="B349" s="432" t="s">
        <v>1068</v>
      </c>
      <c r="C349" s="433">
        <v>409680.61000000004</v>
      </c>
    </row>
    <row r="350" spans="1:3" ht="21">
      <c r="A350" s="432">
        <v>93647</v>
      </c>
      <c r="B350" s="432" t="s">
        <v>1069</v>
      </c>
      <c r="C350" s="433">
        <v>14327.42</v>
      </c>
    </row>
    <row r="351" spans="1:3" ht="21">
      <c r="A351" s="432">
        <v>93651</v>
      </c>
      <c r="B351" s="432" t="s">
        <v>1070</v>
      </c>
      <c r="C351" s="433">
        <v>371396.80000000005</v>
      </c>
    </row>
    <row r="352" spans="1:3" ht="21">
      <c r="A352" s="432">
        <v>93661</v>
      </c>
      <c r="B352" s="432" t="s">
        <v>1071</v>
      </c>
      <c r="C352" s="433">
        <v>135682.53</v>
      </c>
    </row>
    <row r="353" spans="1:3" ht="21">
      <c r="A353" s="432">
        <v>93671</v>
      </c>
      <c r="B353" s="432" t="s">
        <v>1072</v>
      </c>
      <c r="C353" s="433">
        <v>355464.58999999997</v>
      </c>
    </row>
    <row r="354" spans="1:3" ht="21">
      <c r="A354" s="432">
        <v>93681</v>
      </c>
      <c r="B354" s="432" t="s">
        <v>1073</v>
      </c>
      <c r="C354" s="433">
        <v>149079.46</v>
      </c>
    </row>
    <row r="355" spans="1:3" ht="21">
      <c r="A355" s="432">
        <v>93691</v>
      </c>
      <c r="B355" s="432" t="s">
        <v>1074</v>
      </c>
      <c r="C355" s="433">
        <v>846463.11</v>
      </c>
    </row>
    <row r="356" spans="1:3" ht="21">
      <c r="A356" s="432">
        <v>93701</v>
      </c>
      <c r="B356" s="432" t="s">
        <v>1075</v>
      </c>
      <c r="C356" s="433">
        <v>364308.56000000006</v>
      </c>
    </row>
    <row r="357" spans="1:3" ht="21">
      <c r="A357" s="432">
        <v>93704</v>
      </c>
      <c r="B357" s="432" t="s">
        <v>1076</v>
      </c>
      <c r="C357" s="433">
        <v>3549.96</v>
      </c>
    </row>
    <row r="358" spans="1:3" ht="21">
      <c r="A358" s="432">
        <v>93801</v>
      </c>
      <c r="B358" s="432" t="s">
        <v>1077</v>
      </c>
      <c r="C358" s="433">
        <v>530917.78999999992</v>
      </c>
    </row>
    <row r="359" spans="1:3" ht="21">
      <c r="A359" s="432">
        <v>93803</v>
      </c>
      <c r="B359" s="432" t="s">
        <v>1078</v>
      </c>
      <c r="C359" s="433">
        <v>116711.83</v>
      </c>
    </row>
    <row r="360" spans="1:3" ht="21">
      <c r="A360" s="432">
        <v>93806</v>
      </c>
      <c r="B360" s="432" t="s">
        <v>1079</v>
      </c>
      <c r="C360" s="433">
        <v>99338.37</v>
      </c>
    </row>
    <row r="361" spans="1:3" ht="21">
      <c r="A361" s="432">
        <v>93821</v>
      </c>
      <c r="B361" s="432" t="s">
        <v>1080</v>
      </c>
      <c r="C361" s="433">
        <v>57513.14</v>
      </c>
    </row>
    <row r="362" spans="1:3" ht="21">
      <c r="A362" s="432">
        <v>93901</v>
      </c>
      <c r="B362" s="432" t="s">
        <v>1081</v>
      </c>
      <c r="C362" s="433">
        <v>1793692.91</v>
      </c>
    </row>
    <row r="363" spans="1:3" ht="21">
      <c r="A363" s="432">
        <v>93904</v>
      </c>
      <c r="B363" s="432" t="s">
        <v>1082</v>
      </c>
      <c r="C363" s="433">
        <v>41037.14</v>
      </c>
    </row>
    <row r="364" spans="1:3" ht="21">
      <c r="A364" s="432">
        <v>93906</v>
      </c>
      <c r="B364" s="432" t="s">
        <v>1083</v>
      </c>
      <c r="C364" s="433">
        <v>2859218.02</v>
      </c>
    </row>
    <row r="365" spans="1:3" ht="21">
      <c r="A365" s="432">
        <v>93908</v>
      </c>
      <c r="B365" s="432" t="s">
        <v>1084</v>
      </c>
      <c r="C365" s="433">
        <v>532601.30000000005</v>
      </c>
    </row>
    <row r="366" spans="1:3" ht="21">
      <c r="A366" s="432">
        <v>93910</v>
      </c>
      <c r="B366" s="432" t="s">
        <v>1085</v>
      </c>
      <c r="C366" s="433">
        <v>273438.69</v>
      </c>
    </row>
    <row r="367" spans="1:3" ht="21">
      <c r="A367" s="432">
        <v>93911</v>
      </c>
      <c r="B367" s="432" t="s">
        <v>1086</v>
      </c>
      <c r="C367" s="433">
        <v>481861.78</v>
      </c>
    </row>
    <row r="368" spans="1:3" ht="21">
      <c r="A368" s="432">
        <v>93913</v>
      </c>
      <c r="B368" s="432" t="s">
        <v>1087</v>
      </c>
      <c r="C368" s="433">
        <v>55403.4</v>
      </c>
    </row>
    <row r="369" spans="1:3" ht="21">
      <c r="A369" s="432">
        <v>93914</v>
      </c>
      <c r="B369" s="432" t="s">
        <v>1088</v>
      </c>
      <c r="C369" s="433">
        <v>7706.56</v>
      </c>
    </row>
    <row r="370" spans="1:3" ht="21">
      <c r="A370" s="432">
        <v>93921</v>
      </c>
      <c r="B370" s="432" t="s">
        <v>1089</v>
      </c>
      <c r="C370" s="433">
        <v>239466.94</v>
      </c>
    </row>
    <row r="371" spans="1:3" ht="21">
      <c r="A371" s="432">
        <v>93931</v>
      </c>
      <c r="B371" s="432" t="s">
        <v>1090</v>
      </c>
      <c r="C371" s="433">
        <v>414219.51999999996</v>
      </c>
    </row>
    <row r="372" spans="1:3" ht="21">
      <c r="A372" s="432">
        <v>94001</v>
      </c>
      <c r="B372" s="432" t="s">
        <v>1091</v>
      </c>
      <c r="C372" s="433">
        <v>846127.51</v>
      </c>
    </row>
    <row r="373" spans="1:3" ht="21">
      <c r="A373" s="432">
        <v>94002</v>
      </c>
      <c r="B373" s="432" t="s">
        <v>1092</v>
      </c>
      <c r="C373" s="433">
        <v>7072.74</v>
      </c>
    </row>
    <row r="374" spans="1:3" ht="21">
      <c r="A374" s="432">
        <v>94004</v>
      </c>
      <c r="B374" s="432" t="s">
        <v>1093</v>
      </c>
      <c r="C374" s="433">
        <v>11594.66</v>
      </c>
    </row>
    <row r="375" spans="1:3" ht="21">
      <c r="A375" s="432">
        <v>94005</v>
      </c>
      <c r="B375" s="432" t="s">
        <v>1094</v>
      </c>
      <c r="C375" s="433">
        <v>6401.28</v>
      </c>
    </row>
    <row r="376" spans="1:3" ht="21">
      <c r="A376" s="432">
        <v>94011</v>
      </c>
      <c r="B376" s="432" t="s">
        <v>1095</v>
      </c>
      <c r="C376" s="433">
        <v>22552.16</v>
      </c>
    </row>
    <row r="377" spans="1:3" ht="21">
      <c r="A377" s="432">
        <v>94021</v>
      </c>
      <c r="B377" s="432" t="s">
        <v>1096</v>
      </c>
      <c r="C377" s="433">
        <v>71511.740000000005</v>
      </c>
    </row>
    <row r="378" spans="1:3" ht="21">
      <c r="A378" s="432">
        <v>94031</v>
      </c>
      <c r="B378" s="432" t="s">
        <v>1097</v>
      </c>
      <c r="C378" s="433">
        <v>10751.169999999998</v>
      </c>
    </row>
    <row r="379" spans="1:3" ht="21">
      <c r="A379" s="432">
        <v>94101</v>
      </c>
      <c r="B379" s="432" t="s">
        <v>1098</v>
      </c>
      <c r="C379" s="433">
        <v>16412439.249999998</v>
      </c>
    </row>
    <row r="380" spans="1:3" ht="21">
      <c r="A380" s="432">
        <v>94102</v>
      </c>
      <c r="B380" s="432" t="s">
        <v>1099</v>
      </c>
      <c r="C380" s="433">
        <v>248355.48</v>
      </c>
    </row>
    <row r="381" spans="1:3" ht="21">
      <c r="A381" s="432">
        <v>94108</v>
      </c>
      <c r="B381" s="432" t="s">
        <v>1100</v>
      </c>
      <c r="C381" s="433">
        <v>271280.67</v>
      </c>
    </row>
    <row r="382" spans="1:3" ht="21">
      <c r="A382" s="432">
        <v>94109</v>
      </c>
      <c r="B382" s="432" t="s">
        <v>1101</v>
      </c>
      <c r="C382" s="433">
        <v>86451.61</v>
      </c>
    </row>
    <row r="383" spans="1:3" ht="21">
      <c r="A383" s="432">
        <v>94111</v>
      </c>
      <c r="B383" s="432" t="s">
        <v>1102</v>
      </c>
      <c r="C383" s="433">
        <v>20591085.030000005</v>
      </c>
    </row>
    <row r="384" spans="1:3" ht="21">
      <c r="A384" s="432">
        <v>94112</v>
      </c>
      <c r="B384" s="432" t="s">
        <v>1103</v>
      </c>
      <c r="C384" s="433">
        <v>131016.29</v>
      </c>
    </row>
    <row r="385" spans="1:3" ht="21">
      <c r="A385" s="432">
        <v>94117</v>
      </c>
      <c r="B385" s="432" t="s">
        <v>1104</v>
      </c>
      <c r="C385" s="433">
        <v>392320.29</v>
      </c>
    </row>
    <row r="386" spans="1:3" ht="21">
      <c r="A386" s="432">
        <v>94118</v>
      </c>
      <c r="B386" s="432" t="s">
        <v>1105</v>
      </c>
      <c r="C386" s="433">
        <v>132973.37</v>
      </c>
    </row>
    <row r="387" spans="1:3" ht="21">
      <c r="A387" s="432">
        <v>94121</v>
      </c>
      <c r="B387" s="432" t="s">
        <v>1106</v>
      </c>
      <c r="C387" s="433">
        <v>9578133.3100000005</v>
      </c>
    </row>
    <row r="388" spans="1:3" ht="21">
      <c r="A388" s="432">
        <v>94127</v>
      </c>
      <c r="B388" s="432" t="s">
        <v>1107</v>
      </c>
      <c r="C388" s="433">
        <v>169641.22</v>
      </c>
    </row>
    <row r="389" spans="1:3" ht="21">
      <c r="A389" s="432">
        <v>94131</v>
      </c>
      <c r="B389" s="432" t="s">
        <v>1108</v>
      </c>
      <c r="C389" s="433">
        <v>200369.64</v>
      </c>
    </row>
    <row r="390" spans="1:3" ht="21">
      <c r="A390" s="432">
        <v>94151</v>
      </c>
      <c r="B390" s="432" t="s">
        <v>1109</v>
      </c>
      <c r="C390" s="433">
        <v>398227.95</v>
      </c>
    </row>
    <row r="391" spans="1:3" ht="21">
      <c r="A391" s="432">
        <v>94157</v>
      </c>
      <c r="B391" s="432" t="s">
        <v>1110</v>
      </c>
      <c r="C391" s="433">
        <v>10670.98</v>
      </c>
    </row>
    <row r="392" spans="1:3" ht="21">
      <c r="A392" s="432">
        <v>94161</v>
      </c>
      <c r="B392" s="432" t="s">
        <v>1111</v>
      </c>
      <c r="C392" s="433">
        <v>51862.559999999998</v>
      </c>
    </row>
    <row r="393" spans="1:3" ht="21">
      <c r="A393" s="432">
        <v>94168</v>
      </c>
      <c r="B393" s="432" t="s">
        <v>1112</v>
      </c>
      <c r="C393" s="433">
        <v>58782.7</v>
      </c>
    </row>
    <row r="394" spans="1:3" ht="21">
      <c r="A394" s="432">
        <v>94171</v>
      </c>
      <c r="B394" s="432" t="s">
        <v>1113</v>
      </c>
      <c r="C394" s="433">
        <v>55640.71</v>
      </c>
    </row>
    <row r="395" spans="1:3" ht="21">
      <c r="A395" s="432">
        <v>94172</v>
      </c>
      <c r="B395" s="432" t="s">
        <v>1114</v>
      </c>
      <c r="C395" s="433">
        <v>219909.35</v>
      </c>
    </row>
    <row r="396" spans="1:3" ht="21">
      <c r="A396" s="432">
        <v>94201</v>
      </c>
      <c r="B396" s="432" t="s">
        <v>1115</v>
      </c>
      <c r="C396" s="433">
        <v>2677593.3499999996</v>
      </c>
    </row>
    <row r="397" spans="1:3" ht="21">
      <c r="A397" s="432">
        <v>94204</v>
      </c>
      <c r="B397" s="432" t="s">
        <v>1116</v>
      </c>
      <c r="C397" s="433">
        <v>36956</v>
      </c>
    </row>
    <row r="398" spans="1:3" ht="21">
      <c r="A398" s="432">
        <v>94205</v>
      </c>
      <c r="B398" s="432" t="s">
        <v>1117</v>
      </c>
      <c r="C398" s="433">
        <v>23076.27</v>
      </c>
    </row>
    <row r="399" spans="1:3" ht="21">
      <c r="A399" s="432">
        <v>94209</v>
      </c>
      <c r="B399" s="432" t="s">
        <v>1118</v>
      </c>
      <c r="C399" s="433">
        <v>274294.75</v>
      </c>
    </row>
    <row r="400" spans="1:3" ht="21">
      <c r="A400" s="432">
        <v>94211</v>
      </c>
      <c r="B400" s="432" t="s">
        <v>1119</v>
      </c>
      <c r="C400" s="433">
        <v>122132.85</v>
      </c>
    </row>
    <row r="401" spans="1:3" ht="21">
      <c r="A401" s="432">
        <v>94221</v>
      </c>
      <c r="B401" s="432" t="s">
        <v>1120</v>
      </c>
      <c r="C401" s="433">
        <v>750012.48</v>
      </c>
    </row>
    <row r="402" spans="1:3" ht="21">
      <c r="A402" s="432">
        <v>94231</v>
      </c>
      <c r="B402" s="432" t="s">
        <v>1121</v>
      </c>
      <c r="C402" s="433">
        <v>140720.19999999998</v>
      </c>
    </row>
    <row r="403" spans="1:3" ht="21">
      <c r="A403" s="432">
        <v>94241</v>
      </c>
      <c r="B403" s="432" t="s">
        <v>1122</v>
      </c>
      <c r="C403" s="433">
        <v>116174.22</v>
      </c>
    </row>
    <row r="404" spans="1:3" ht="21">
      <c r="A404" s="432">
        <v>94251</v>
      </c>
      <c r="B404" s="432" t="s">
        <v>1123</v>
      </c>
      <c r="C404" s="433">
        <v>18219.27</v>
      </c>
    </row>
    <row r="405" spans="1:3" ht="21">
      <c r="A405" s="432">
        <v>94261</v>
      </c>
      <c r="B405" s="432" t="s">
        <v>1124</v>
      </c>
      <c r="C405" s="433">
        <v>32916.829999999994</v>
      </c>
    </row>
    <row r="406" spans="1:3" ht="21">
      <c r="A406" s="432">
        <v>94301</v>
      </c>
      <c r="B406" s="432" t="s">
        <v>1125</v>
      </c>
      <c r="C406" s="433">
        <v>5284160.74</v>
      </c>
    </row>
    <row r="407" spans="1:3" ht="21">
      <c r="A407" s="432">
        <v>94311</v>
      </c>
      <c r="B407" s="432" t="s">
        <v>1126</v>
      </c>
      <c r="C407" s="433">
        <v>695126.34</v>
      </c>
    </row>
    <row r="408" spans="1:3" ht="21">
      <c r="A408" s="432">
        <v>94313</v>
      </c>
      <c r="B408" s="432" t="s">
        <v>1127</v>
      </c>
      <c r="C408" s="433">
        <v>26354.53</v>
      </c>
    </row>
    <row r="409" spans="1:3" ht="21">
      <c r="A409" s="432">
        <v>94317</v>
      </c>
      <c r="B409" s="432" t="s">
        <v>1128</v>
      </c>
      <c r="C409" s="433">
        <v>20928.75</v>
      </c>
    </row>
    <row r="410" spans="1:3" ht="21">
      <c r="A410" s="432">
        <v>94321</v>
      </c>
      <c r="B410" s="432" t="s">
        <v>1129</v>
      </c>
      <c r="C410" s="433">
        <v>285356.14000000007</v>
      </c>
    </row>
    <row r="411" spans="1:3" ht="21">
      <c r="A411" s="432">
        <v>94331</v>
      </c>
      <c r="B411" s="432" t="s">
        <v>1130</v>
      </c>
      <c r="C411" s="433">
        <v>117757.35</v>
      </c>
    </row>
    <row r="412" spans="1:3" ht="21">
      <c r="A412" s="432">
        <v>94341</v>
      </c>
      <c r="B412" s="432" t="s">
        <v>1131</v>
      </c>
      <c r="C412" s="433">
        <v>73913.009999999995</v>
      </c>
    </row>
    <row r="413" spans="1:3" ht="21">
      <c r="A413" s="432">
        <v>94347</v>
      </c>
      <c r="B413" s="432" t="s">
        <v>1132</v>
      </c>
      <c r="C413" s="433">
        <v>12803.27</v>
      </c>
    </row>
    <row r="414" spans="1:3" ht="21">
      <c r="A414" s="432">
        <v>94351</v>
      </c>
      <c r="B414" s="432" t="s">
        <v>1133</v>
      </c>
      <c r="C414" s="433">
        <v>258491.35</v>
      </c>
    </row>
    <row r="415" spans="1:3" ht="21">
      <c r="A415" s="432">
        <v>94401</v>
      </c>
      <c r="B415" s="432" t="s">
        <v>1134</v>
      </c>
      <c r="C415" s="433">
        <v>3076384.3699999996</v>
      </c>
    </row>
    <row r="416" spans="1:3" ht="21">
      <c r="A416" s="432">
        <v>94403</v>
      </c>
      <c r="B416" s="432" t="s">
        <v>1136</v>
      </c>
      <c r="C416" s="433">
        <v>36618.449999999997</v>
      </c>
    </row>
    <row r="417" spans="1:3" ht="21">
      <c r="A417" s="432">
        <v>94408</v>
      </c>
      <c r="B417" s="432" t="s">
        <v>1137</v>
      </c>
      <c r="C417" s="433">
        <v>48311.15</v>
      </c>
    </row>
    <row r="418" spans="1:3" ht="21">
      <c r="A418" s="432">
        <v>94411</v>
      </c>
      <c r="B418" s="432" t="s">
        <v>1138</v>
      </c>
      <c r="C418" s="433">
        <v>983754.14</v>
      </c>
    </row>
    <row r="419" spans="1:3" ht="21">
      <c r="A419" s="432">
        <v>94412</v>
      </c>
      <c r="B419" s="432" t="s">
        <v>1139</v>
      </c>
      <c r="C419" s="433">
        <v>26938.57</v>
      </c>
    </row>
    <row r="420" spans="1:3" ht="21">
      <c r="A420" s="432">
        <v>94421</v>
      </c>
      <c r="B420" s="432" t="s">
        <v>1140</v>
      </c>
      <c r="C420" s="433">
        <v>146054.19</v>
      </c>
    </row>
    <row r="421" spans="1:3" ht="21">
      <c r="A421" s="432">
        <v>94427</v>
      </c>
      <c r="B421" s="432" t="s">
        <v>1141</v>
      </c>
      <c r="C421" s="433">
        <v>31803.66</v>
      </c>
    </row>
    <row r="422" spans="1:3" ht="21">
      <c r="A422" s="432">
        <v>94428</v>
      </c>
      <c r="B422" s="432" t="s">
        <v>1142</v>
      </c>
      <c r="C422" s="433">
        <v>61669.29</v>
      </c>
    </row>
    <row r="423" spans="1:3" ht="21">
      <c r="A423" s="432">
        <v>94431</v>
      </c>
      <c r="B423" s="432" t="s">
        <v>1143</v>
      </c>
      <c r="C423" s="433">
        <v>313331.06</v>
      </c>
    </row>
    <row r="424" spans="1:3" ht="21">
      <c r="A424" s="432">
        <v>94437</v>
      </c>
      <c r="B424" s="432" t="s">
        <v>1144</v>
      </c>
      <c r="C424" s="433">
        <v>24648.82</v>
      </c>
    </row>
    <row r="425" spans="1:3" ht="21">
      <c r="A425" s="432">
        <v>94501</v>
      </c>
      <c r="B425" s="432" t="s">
        <v>2019</v>
      </c>
      <c r="C425" s="433">
        <v>5234394.9000000004</v>
      </c>
    </row>
    <row r="426" spans="1:3" ht="21">
      <c r="A426" s="432">
        <v>94511</v>
      </c>
      <c r="B426" s="432" t="s">
        <v>1146</v>
      </c>
      <c r="C426" s="433">
        <v>1829054.4400000002</v>
      </c>
    </row>
    <row r="427" spans="1:3" ht="21">
      <c r="A427" s="432">
        <v>94517</v>
      </c>
      <c r="B427" s="432" t="s">
        <v>1148</v>
      </c>
      <c r="C427" s="433">
        <v>81937.649999999994</v>
      </c>
    </row>
    <row r="428" spans="1:3" ht="21">
      <c r="A428" s="432">
        <v>94521</v>
      </c>
      <c r="B428" s="432" t="s">
        <v>1149</v>
      </c>
      <c r="C428" s="433">
        <v>107953.08</v>
      </c>
    </row>
    <row r="429" spans="1:3" ht="21">
      <c r="A429" s="432">
        <v>94527</v>
      </c>
      <c r="B429" s="432" t="s">
        <v>1150</v>
      </c>
      <c r="C429" s="433">
        <v>5890.96</v>
      </c>
    </row>
    <row r="430" spans="1:3" ht="21">
      <c r="A430" s="432">
        <v>94531</v>
      </c>
      <c r="B430" s="432" t="s">
        <v>1151</v>
      </c>
      <c r="C430" s="433">
        <v>29579.54</v>
      </c>
    </row>
    <row r="431" spans="1:3" ht="21">
      <c r="A431" s="432">
        <v>94532</v>
      </c>
      <c r="B431" s="432" t="s">
        <v>1152</v>
      </c>
      <c r="C431" s="433">
        <v>112183.84</v>
      </c>
    </row>
    <row r="432" spans="1:3" ht="21">
      <c r="A432" s="432">
        <v>94541</v>
      </c>
      <c r="B432" s="432" t="s">
        <v>1153</v>
      </c>
      <c r="C432" s="433">
        <v>228210.59999999998</v>
      </c>
    </row>
    <row r="433" spans="1:3" ht="21">
      <c r="A433" s="432">
        <v>94547</v>
      </c>
      <c r="B433" s="432" t="s">
        <v>1154</v>
      </c>
      <c r="C433" s="433">
        <v>20988.03</v>
      </c>
    </row>
    <row r="434" spans="1:3" ht="21">
      <c r="A434" s="432">
        <v>94551</v>
      </c>
      <c r="B434" s="432" t="s">
        <v>1155</v>
      </c>
      <c r="C434" s="433">
        <v>58691.15</v>
      </c>
    </row>
    <row r="435" spans="1:3" ht="21">
      <c r="A435" s="432">
        <v>94601</v>
      </c>
      <c r="B435" s="432" t="s">
        <v>1156</v>
      </c>
      <c r="C435" s="433">
        <v>834189.41000000015</v>
      </c>
    </row>
    <row r="436" spans="1:3" ht="21">
      <c r="A436" s="432">
        <v>94604</v>
      </c>
      <c r="B436" s="432" t="s">
        <v>1157</v>
      </c>
      <c r="C436" s="433">
        <v>24986.41</v>
      </c>
    </row>
    <row r="437" spans="1:3" ht="21">
      <c r="A437" s="432">
        <v>94611</v>
      </c>
      <c r="B437" s="432" t="s">
        <v>1159</v>
      </c>
      <c r="C437" s="433">
        <v>284878.68</v>
      </c>
    </row>
    <row r="438" spans="1:3" ht="21">
      <c r="A438" s="432">
        <v>94621</v>
      </c>
      <c r="B438" s="432" t="s">
        <v>1160</v>
      </c>
      <c r="C438" s="433">
        <v>96929.829999999987</v>
      </c>
    </row>
    <row r="439" spans="1:3" ht="21">
      <c r="A439" s="432">
        <v>94631</v>
      </c>
      <c r="B439" s="432" t="s">
        <v>1161</v>
      </c>
      <c r="C439" s="433">
        <v>32845.769999999997</v>
      </c>
    </row>
    <row r="440" spans="1:3" ht="21">
      <c r="A440" s="432">
        <v>94641</v>
      </c>
      <c r="B440" s="432" t="s">
        <v>1162</v>
      </c>
      <c r="C440" s="433">
        <v>15096.06</v>
      </c>
    </row>
    <row r="441" spans="1:3" ht="21">
      <c r="A441" s="432">
        <v>94701</v>
      </c>
      <c r="B441" s="432" t="s">
        <v>1163</v>
      </c>
      <c r="C441" s="433">
        <v>2139832.9899999998</v>
      </c>
    </row>
    <row r="442" spans="1:3" ht="21">
      <c r="A442" s="432">
        <v>94704</v>
      </c>
      <c r="B442" s="432" t="s">
        <v>1164</v>
      </c>
      <c r="C442" s="433">
        <v>20491.41</v>
      </c>
    </row>
    <row r="443" spans="1:3" ht="21">
      <c r="A443" s="432">
        <v>94711</v>
      </c>
      <c r="B443" s="432" t="s">
        <v>1165</v>
      </c>
      <c r="C443" s="433">
        <v>300298.53999999998</v>
      </c>
    </row>
    <row r="444" spans="1:3" ht="21">
      <c r="A444" s="432">
        <v>94801</v>
      </c>
      <c r="B444" s="432" t="s">
        <v>1166</v>
      </c>
      <c r="C444" s="433">
        <v>616203.47</v>
      </c>
    </row>
    <row r="445" spans="1:3" ht="21">
      <c r="A445" s="432">
        <v>94804</v>
      </c>
      <c r="B445" s="432" t="s">
        <v>1167</v>
      </c>
      <c r="C445" s="433">
        <v>7940.1</v>
      </c>
    </row>
    <row r="446" spans="1:3" ht="21">
      <c r="A446" s="432">
        <v>94812</v>
      </c>
      <c r="B446" s="432" t="s">
        <v>1168</v>
      </c>
      <c r="C446" s="433">
        <v>28169.33</v>
      </c>
    </row>
    <row r="447" spans="1:3" ht="21">
      <c r="A447" s="432">
        <v>94901</v>
      </c>
      <c r="B447" s="432" t="s">
        <v>1169</v>
      </c>
      <c r="C447" s="433">
        <v>6629918.96</v>
      </c>
    </row>
    <row r="448" spans="1:3" ht="21">
      <c r="A448" s="432">
        <v>94908</v>
      </c>
      <c r="B448" s="432" t="s">
        <v>3610</v>
      </c>
      <c r="C448" s="433">
        <v>49456.97</v>
      </c>
    </row>
    <row r="449" spans="1:3" ht="21">
      <c r="A449" s="432">
        <v>94911</v>
      </c>
      <c r="B449" s="432" t="s">
        <v>1171</v>
      </c>
      <c r="C449" s="433">
        <v>2737691.56</v>
      </c>
    </row>
    <row r="450" spans="1:3" ht="21">
      <c r="A450" s="432">
        <v>94917</v>
      </c>
      <c r="B450" s="432" t="s">
        <v>1172</v>
      </c>
      <c r="C450" s="433">
        <v>46449.17</v>
      </c>
    </row>
    <row r="451" spans="1:3" ht="21">
      <c r="A451" s="432">
        <v>94921</v>
      </c>
      <c r="B451" s="432" t="s">
        <v>1173</v>
      </c>
      <c r="C451" s="433">
        <v>3353975.6599999997</v>
      </c>
    </row>
    <row r="452" spans="1:3" ht="21">
      <c r="A452" s="432">
        <v>94923</v>
      </c>
      <c r="B452" s="432" t="s">
        <v>1174</v>
      </c>
      <c r="C452" s="433">
        <v>30409.56</v>
      </c>
    </row>
    <row r="453" spans="1:3" ht="21">
      <c r="A453" s="432">
        <v>94927</v>
      </c>
      <c r="B453" s="432" t="s">
        <v>1175</v>
      </c>
      <c r="C453" s="433">
        <v>44924.23</v>
      </c>
    </row>
    <row r="454" spans="1:3" ht="21">
      <c r="A454" s="432">
        <v>94931</v>
      </c>
      <c r="B454" s="432" t="s">
        <v>1176</v>
      </c>
      <c r="C454" s="433">
        <v>224195.57</v>
      </c>
    </row>
    <row r="455" spans="1:3" ht="21">
      <c r="A455" s="432">
        <v>94937</v>
      </c>
      <c r="B455" s="432" t="s">
        <v>1927</v>
      </c>
      <c r="C455" s="433">
        <v>6142.5</v>
      </c>
    </row>
    <row r="456" spans="1:3" ht="21">
      <c r="A456" s="432">
        <v>94941</v>
      </c>
      <c r="B456" s="432" t="s">
        <v>1177</v>
      </c>
      <c r="C456" s="433">
        <v>10362.18</v>
      </c>
    </row>
    <row r="457" spans="1:3" ht="21">
      <c r="A457" s="432">
        <v>94947</v>
      </c>
      <c r="B457" s="432" t="s">
        <v>1928</v>
      </c>
      <c r="C457" s="433">
        <v>8348.5</v>
      </c>
    </row>
    <row r="458" spans="1:3" ht="21">
      <c r="A458" s="432">
        <v>95001</v>
      </c>
      <c r="B458" s="432" t="s">
        <v>1178</v>
      </c>
      <c r="C458" s="433">
        <v>2214487.6100000003</v>
      </c>
    </row>
    <row r="459" spans="1:3" ht="21">
      <c r="A459" s="432">
        <v>95002</v>
      </c>
      <c r="B459" s="432" t="s">
        <v>1179</v>
      </c>
      <c r="C459" s="433">
        <v>173177.82</v>
      </c>
    </row>
    <row r="460" spans="1:3" ht="21">
      <c r="A460" s="432">
        <v>95005</v>
      </c>
      <c r="B460" s="432" t="s">
        <v>1180</v>
      </c>
      <c r="C460" s="433">
        <v>172260.71</v>
      </c>
    </row>
    <row r="461" spans="1:3" ht="21">
      <c r="A461" s="432">
        <v>95008</v>
      </c>
      <c r="B461" s="432" t="s">
        <v>1181</v>
      </c>
      <c r="C461" s="433">
        <v>111344.48</v>
      </c>
    </row>
    <row r="462" spans="1:3" ht="21">
      <c r="A462" s="432">
        <v>95009</v>
      </c>
      <c r="B462" s="432" t="s">
        <v>1182</v>
      </c>
      <c r="C462" s="433">
        <v>5221018.95</v>
      </c>
    </row>
    <row r="463" spans="1:3" ht="21">
      <c r="A463" s="432">
        <v>95010</v>
      </c>
      <c r="B463" s="432" t="s">
        <v>3719</v>
      </c>
      <c r="C463" s="433">
        <v>16427.98</v>
      </c>
    </row>
    <row r="464" spans="1:3" ht="21">
      <c r="A464" s="432">
        <v>95011</v>
      </c>
      <c r="B464" s="432" t="s">
        <v>1183</v>
      </c>
      <c r="C464" s="433">
        <v>149416.76</v>
      </c>
    </row>
    <row r="465" spans="1:3" ht="21">
      <c r="A465" s="432">
        <v>95017</v>
      </c>
      <c r="B465" s="432" t="s">
        <v>1184</v>
      </c>
      <c r="C465" s="433">
        <v>29635.98</v>
      </c>
    </row>
    <row r="466" spans="1:3" ht="21">
      <c r="A466" s="432">
        <v>95101</v>
      </c>
      <c r="B466" s="432" t="s">
        <v>1185</v>
      </c>
      <c r="C466" s="433">
        <v>7834542.9999999991</v>
      </c>
    </row>
    <row r="467" spans="1:3" ht="21">
      <c r="A467" s="432">
        <v>95103</v>
      </c>
      <c r="B467" s="432" t="s">
        <v>1186</v>
      </c>
      <c r="C467" s="433">
        <v>52851.82</v>
      </c>
    </row>
    <row r="468" spans="1:3" ht="21">
      <c r="A468" s="432">
        <v>95104</v>
      </c>
      <c r="B468" s="432" t="s">
        <v>1187</v>
      </c>
      <c r="C468" s="433">
        <v>170331.36</v>
      </c>
    </row>
    <row r="469" spans="1:3" ht="21">
      <c r="A469" s="432">
        <v>95105</v>
      </c>
      <c r="B469" s="432" t="s">
        <v>1188</v>
      </c>
      <c r="C469" s="433">
        <v>50935.06</v>
      </c>
    </row>
    <row r="470" spans="1:3" ht="21">
      <c r="A470" s="432">
        <v>95106</v>
      </c>
      <c r="B470" s="432" t="s">
        <v>1189</v>
      </c>
      <c r="C470" s="433">
        <v>21277.200000000001</v>
      </c>
    </row>
    <row r="471" spans="1:3" ht="21">
      <c r="A471" s="432">
        <v>95110</v>
      </c>
      <c r="B471" s="432" t="s">
        <v>1190</v>
      </c>
      <c r="C471" s="433">
        <v>2391628.25</v>
      </c>
    </row>
    <row r="472" spans="1:3" ht="21">
      <c r="A472" s="432">
        <v>95111</v>
      </c>
      <c r="B472" s="432" t="s">
        <v>1191</v>
      </c>
      <c r="C472" s="433">
        <v>873021.81</v>
      </c>
    </row>
    <row r="473" spans="1:3" ht="21">
      <c r="A473" s="432">
        <v>95113</v>
      </c>
      <c r="B473" s="432" t="s">
        <v>1192</v>
      </c>
      <c r="C473" s="433">
        <v>104950.95999999999</v>
      </c>
    </row>
    <row r="474" spans="1:3" ht="21">
      <c r="A474" s="432">
        <v>95121</v>
      </c>
      <c r="B474" s="432" t="s">
        <v>1193</v>
      </c>
      <c r="C474" s="433">
        <v>418237.38999999996</v>
      </c>
    </row>
    <row r="475" spans="1:3" ht="21">
      <c r="A475" s="432">
        <v>95122</v>
      </c>
      <c r="B475" s="432" t="s">
        <v>1194</v>
      </c>
      <c r="C475" s="433">
        <v>25356.69</v>
      </c>
    </row>
    <row r="476" spans="1:3" ht="21">
      <c r="A476" s="432">
        <v>95123</v>
      </c>
      <c r="B476" s="432" t="s">
        <v>1195</v>
      </c>
      <c r="C476" s="433">
        <v>39110.519999999997</v>
      </c>
    </row>
    <row r="477" spans="1:3" ht="21">
      <c r="A477" s="432">
        <v>95131</v>
      </c>
      <c r="B477" s="432" t="s">
        <v>1196</v>
      </c>
      <c r="C477" s="433">
        <v>1675671.9300000002</v>
      </c>
    </row>
    <row r="478" spans="1:3" ht="21">
      <c r="A478" s="432">
        <v>95141</v>
      </c>
      <c r="B478" s="432" t="s">
        <v>1197</v>
      </c>
      <c r="C478" s="433">
        <v>340987.14</v>
      </c>
    </row>
    <row r="479" spans="1:3" ht="21">
      <c r="A479" s="432">
        <v>95151</v>
      </c>
      <c r="B479" s="432" t="s">
        <v>1198</v>
      </c>
      <c r="C479" s="433">
        <v>87981.89</v>
      </c>
    </row>
    <row r="480" spans="1:3" ht="21">
      <c r="A480" s="432">
        <v>95161</v>
      </c>
      <c r="B480" s="432" t="s">
        <v>1199</v>
      </c>
      <c r="C480" s="433">
        <v>68253.23000000001</v>
      </c>
    </row>
    <row r="481" spans="1:3" ht="21">
      <c r="A481" s="432">
        <v>95171</v>
      </c>
      <c r="B481" s="432" t="s">
        <v>1200</v>
      </c>
      <c r="C481" s="433">
        <v>92600.69</v>
      </c>
    </row>
    <row r="482" spans="1:3" ht="21">
      <c r="A482" s="432">
        <v>95181</v>
      </c>
      <c r="B482" s="432" t="s">
        <v>1201</v>
      </c>
      <c r="C482" s="433">
        <v>66390.429999999993</v>
      </c>
    </row>
    <row r="483" spans="1:3" ht="21">
      <c r="A483" s="432">
        <v>95191</v>
      </c>
      <c r="B483" s="432" t="s">
        <v>1202</v>
      </c>
      <c r="C483" s="433">
        <v>87172.51</v>
      </c>
    </row>
    <row r="484" spans="1:3" ht="21">
      <c r="A484" s="432">
        <v>95201</v>
      </c>
      <c r="B484" s="432" t="s">
        <v>1203</v>
      </c>
      <c r="C484" s="433">
        <v>579257.26</v>
      </c>
    </row>
    <row r="485" spans="1:3" ht="21">
      <c r="A485" s="432">
        <v>95204</v>
      </c>
      <c r="B485" s="432" t="s">
        <v>1204</v>
      </c>
      <c r="C485" s="433">
        <v>5368.41</v>
      </c>
    </row>
    <row r="486" spans="1:3" ht="21">
      <c r="A486" s="432">
        <v>95205</v>
      </c>
      <c r="B486" s="432" t="s">
        <v>1205</v>
      </c>
      <c r="C486" s="433">
        <v>1723.87</v>
      </c>
    </row>
    <row r="487" spans="1:3" ht="21">
      <c r="A487" s="432">
        <v>95211</v>
      </c>
      <c r="B487" s="432" t="s">
        <v>1206</v>
      </c>
      <c r="C487" s="433">
        <v>2635.82</v>
      </c>
    </row>
    <row r="488" spans="1:3" ht="21">
      <c r="A488" s="432">
        <v>95221</v>
      </c>
      <c r="B488" s="432" t="s">
        <v>1207</v>
      </c>
      <c r="C488" s="433">
        <v>34242.269999999997</v>
      </c>
    </row>
    <row r="489" spans="1:3" ht="21">
      <c r="A489" s="432">
        <v>95301</v>
      </c>
      <c r="B489" s="432" t="s">
        <v>1208</v>
      </c>
      <c r="C489" s="433">
        <v>2172483.5599999996</v>
      </c>
    </row>
    <row r="490" spans="1:3" ht="21">
      <c r="A490" s="432">
        <v>95311</v>
      </c>
      <c r="B490" s="432" t="s">
        <v>1209</v>
      </c>
      <c r="C490" s="433">
        <v>2230584.5099999998</v>
      </c>
    </row>
    <row r="491" spans="1:3" ht="21">
      <c r="A491" s="432">
        <v>95317</v>
      </c>
      <c r="B491" s="432" t="s">
        <v>1210</v>
      </c>
      <c r="C491" s="433">
        <v>58560.959999999999</v>
      </c>
    </row>
    <row r="492" spans="1:3" ht="21">
      <c r="A492" s="432">
        <v>95321</v>
      </c>
      <c r="B492" s="432" t="s">
        <v>1211</v>
      </c>
      <c r="C492" s="433">
        <v>49479.95</v>
      </c>
    </row>
    <row r="493" spans="1:3" ht="21">
      <c r="A493" s="432">
        <v>95401</v>
      </c>
      <c r="B493" s="432" t="s">
        <v>1212</v>
      </c>
      <c r="C493" s="433">
        <v>2129174.86</v>
      </c>
    </row>
    <row r="494" spans="1:3" ht="21">
      <c r="A494" s="432">
        <v>95404</v>
      </c>
      <c r="B494" s="432" t="s">
        <v>1213</v>
      </c>
      <c r="C494" s="433">
        <v>32271.899999999998</v>
      </c>
    </row>
    <row r="495" spans="1:3" ht="21">
      <c r="A495" s="432">
        <v>95405</v>
      </c>
      <c r="B495" s="432" t="s">
        <v>1214</v>
      </c>
      <c r="C495" s="433">
        <v>30001.68</v>
      </c>
    </row>
    <row r="496" spans="1:3" ht="21">
      <c r="A496" s="432">
        <v>95411</v>
      </c>
      <c r="B496" s="432" t="s">
        <v>1215</v>
      </c>
      <c r="C496" s="433">
        <v>1819028.5300000003</v>
      </c>
    </row>
    <row r="497" spans="1:3" ht="21">
      <c r="A497" s="432">
        <v>95413</v>
      </c>
      <c r="B497" s="432" t="s">
        <v>1217</v>
      </c>
      <c r="C497" s="433">
        <v>221207.3</v>
      </c>
    </row>
    <row r="498" spans="1:3" ht="21">
      <c r="A498" s="432">
        <v>95415</v>
      </c>
      <c r="B498" s="432" t="s">
        <v>1218</v>
      </c>
      <c r="C498" s="433">
        <v>55032.76</v>
      </c>
    </row>
    <row r="499" spans="1:3" ht="21">
      <c r="A499" s="432">
        <v>95421</v>
      </c>
      <c r="B499" s="432" t="s">
        <v>1219</v>
      </c>
      <c r="C499" s="433">
        <v>28269.83</v>
      </c>
    </row>
    <row r="500" spans="1:3" ht="21">
      <c r="A500" s="432">
        <v>95431</v>
      </c>
      <c r="B500" s="432" t="s">
        <v>1220</v>
      </c>
      <c r="C500" s="433">
        <v>119058.84</v>
      </c>
    </row>
    <row r="501" spans="1:3" ht="21">
      <c r="A501" s="432">
        <v>95501</v>
      </c>
      <c r="B501" s="432" t="s">
        <v>1221</v>
      </c>
      <c r="C501" s="433">
        <v>4933877.0699999994</v>
      </c>
    </row>
    <row r="502" spans="1:3" ht="21">
      <c r="A502" s="432">
        <v>95504</v>
      </c>
      <c r="B502" s="432" t="s">
        <v>1222</v>
      </c>
      <c r="C502" s="433">
        <v>31223.59</v>
      </c>
    </row>
    <row r="503" spans="1:3" ht="21">
      <c r="A503" s="432">
        <v>95511</v>
      </c>
      <c r="B503" s="432" t="s">
        <v>1223</v>
      </c>
      <c r="C503" s="433">
        <v>991139.12000000011</v>
      </c>
    </row>
    <row r="504" spans="1:3" ht="21">
      <c r="A504" s="432">
        <v>95513</v>
      </c>
      <c r="B504" s="432" t="s">
        <v>1224</v>
      </c>
      <c r="C504" s="433">
        <v>60850.77</v>
      </c>
    </row>
    <row r="505" spans="1:3" ht="21">
      <c r="A505" s="432">
        <v>95517</v>
      </c>
      <c r="B505" s="432" t="s">
        <v>1225</v>
      </c>
      <c r="C505" s="433">
        <v>19637.080000000002</v>
      </c>
    </row>
    <row r="506" spans="1:3" ht="21">
      <c r="A506" s="432">
        <v>95601</v>
      </c>
      <c r="B506" s="432" t="s">
        <v>1226</v>
      </c>
      <c r="C506" s="433">
        <v>2157978.73</v>
      </c>
    </row>
    <row r="507" spans="1:3" ht="21">
      <c r="A507" s="432">
        <v>95611</v>
      </c>
      <c r="B507" s="432" t="s">
        <v>1227</v>
      </c>
      <c r="C507" s="433">
        <v>304003.95999999996</v>
      </c>
    </row>
    <row r="508" spans="1:3" ht="21">
      <c r="A508" s="432">
        <v>95617</v>
      </c>
      <c r="B508" s="432" t="s">
        <v>1228</v>
      </c>
      <c r="C508" s="433">
        <v>18951.96</v>
      </c>
    </row>
    <row r="509" spans="1:3" ht="21">
      <c r="A509" s="432">
        <v>95621</v>
      </c>
      <c r="B509" s="432" t="s">
        <v>1229</v>
      </c>
      <c r="C509" s="433">
        <v>438022.99</v>
      </c>
    </row>
    <row r="510" spans="1:3" ht="21">
      <c r="A510" s="432">
        <v>95701</v>
      </c>
      <c r="B510" s="432" t="s">
        <v>1230</v>
      </c>
      <c r="C510" s="433">
        <v>1029229.94</v>
      </c>
    </row>
    <row r="511" spans="1:3" ht="21">
      <c r="A511" s="432">
        <v>95711</v>
      </c>
      <c r="B511" s="432" t="s">
        <v>1231</v>
      </c>
      <c r="C511" s="433">
        <v>119078.62000000001</v>
      </c>
    </row>
    <row r="512" spans="1:3" ht="21">
      <c r="A512" s="432">
        <v>95721</v>
      </c>
      <c r="B512" s="432" t="s">
        <v>1232</v>
      </c>
      <c r="C512" s="433">
        <v>55019.95</v>
      </c>
    </row>
    <row r="513" spans="1:3" ht="21">
      <c r="A513" s="432">
        <v>95733</v>
      </c>
      <c r="B513" s="432" t="s">
        <v>1233</v>
      </c>
      <c r="C513" s="433">
        <v>13141.07</v>
      </c>
    </row>
    <row r="514" spans="1:3" ht="21">
      <c r="A514" s="432">
        <v>95801</v>
      </c>
      <c r="B514" s="432" t="s">
        <v>1234</v>
      </c>
      <c r="C514" s="433">
        <v>842450.57</v>
      </c>
    </row>
    <row r="515" spans="1:3" ht="21">
      <c r="A515" s="432">
        <v>95802</v>
      </c>
      <c r="B515" s="432" t="s">
        <v>1235</v>
      </c>
      <c r="C515" s="433">
        <v>9795.3700000000008</v>
      </c>
    </row>
    <row r="516" spans="1:3" ht="21">
      <c r="A516" s="432">
        <v>95804</v>
      </c>
      <c r="B516" s="432" t="s">
        <v>1236</v>
      </c>
      <c r="C516" s="433">
        <v>20491.86</v>
      </c>
    </row>
    <row r="517" spans="1:3" ht="21">
      <c r="A517" s="432">
        <v>95811</v>
      </c>
      <c r="B517" s="432" t="s">
        <v>1237</v>
      </c>
      <c r="C517" s="433">
        <v>441192.24000000005</v>
      </c>
    </row>
    <row r="518" spans="1:3" ht="21">
      <c r="A518" s="432">
        <v>95813</v>
      </c>
      <c r="B518" s="432" t="s">
        <v>1238</v>
      </c>
      <c r="C518" s="433">
        <v>47107.28</v>
      </c>
    </row>
    <row r="519" spans="1:3" ht="21">
      <c r="A519" s="432">
        <v>95821</v>
      </c>
      <c r="B519" s="432" t="s">
        <v>1239</v>
      </c>
      <c r="C519" s="433">
        <v>4010.34</v>
      </c>
    </row>
    <row r="520" spans="1:3" ht="21">
      <c r="A520" s="432">
        <v>95831</v>
      </c>
      <c r="B520" s="432" t="s">
        <v>1240</v>
      </c>
      <c r="C520" s="433">
        <v>24663.87</v>
      </c>
    </row>
    <row r="521" spans="1:3" ht="21">
      <c r="A521" s="432">
        <v>95841</v>
      </c>
      <c r="B521" s="432" t="s">
        <v>1241</v>
      </c>
      <c r="C521" s="433">
        <v>20029.78</v>
      </c>
    </row>
    <row r="522" spans="1:3" ht="21">
      <c r="A522" s="432">
        <v>95851</v>
      </c>
      <c r="B522" s="432" t="s">
        <v>1242</v>
      </c>
      <c r="C522" s="433">
        <v>88417.79</v>
      </c>
    </row>
    <row r="523" spans="1:3" ht="21">
      <c r="A523" s="432">
        <v>95853</v>
      </c>
      <c r="B523" s="432" t="s">
        <v>1243</v>
      </c>
      <c r="C523" s="433">
        <v>24874.6</v>
      </c>
    </row>
    <row r="524" spans="1:3" ht="21">
      <c r="A524" s="432">
        <v>95901</v>
      </c>
      <c r="B524" s="432" t="s">
        <v>1244</v>
      </c>
      <c r="C524" s="433">
        <v>1793266.76</v>
      </c>
    </row>
    <row r="525" spans="1:3" ht="21">
      <c r="A525" s="432">
        <v>95908</v>
      </c>
      <c r="B525" s="432" t="s">
        <v>1245</v>
      </c>
      <c r="C525" s="433">
        <v>52769.01</v>
      </c>
    </row>
    <row r="526" spans="1:3" ht="21">
      <c r="A526" s="432">
        <v>95911</v>
      </c>
      <c r="B526" s="432" t="s">
        <v>1246</v>
      </c>
      <c r="C526" s="433">
        <v>502203.64999999997</v>
      </c>
    </row>
    <row r="527" spans="1:3" ht="21">
      <c r="A527" s="432">
        <v>95917</v>
      </c>
      <c r="B527" s="432" t="s">
        <v>1247</v>
      </c>
      <c r="C527" s="433">
        <v>25165.85</v>
      </c>
    </row>
    <row r="528" spans="1:3" ht="21">
      <c r="A528" s="432">
        <v>95921</v>
      </c>
      <c r="B528" s="432" t="s">
        <v>1248</v>
      </c>
      <c r="C528" s="433">
        <v>42598.81</v>
      </c>
    </row>
    <row r="529" spans="1:3" ht="21">
      <c r="A529" s="432">
        <v>96001</v>
      </c>
      <c r="B529" s="432" t="s">
        <v>1249</v>
      </c>
      <c r="C529" s="433">
        <v>37963074.520000003</v>
      </c>
    </row>
    <row r="530" spans="1:3" ht="21">
      <c r="A530" s="432">
        <v>96003</v>
      </c>
      <c r="B530" s="432" t="s">
        <v>3723</v>
      </c>
      <c r="C530" s="433">
        <v>1600102.27</v>
      </c>
    </row>
    <row r="531" spans="1:3" ht="21">
      <c r="A531" s="432">
        <v>96004</v>
      </c>
      <c r="B531" s="432" t="s">
        <v>1251</v>
      </c>
      <c r="C531" s="433">
        <v>987766.1</v>
      </c>
    </row>
    <row r="532" spans="1:3" ht="21">
      <c r="A532" s="432">
        <v>96005</v>
      </c>
      <c r="B532" s="432" t="s">
        <v>1252</v>
      </c>
      <c r="C532" s="433">
        <v>2181917.12</v>
      </c>
    </row>
    <row r="533" spans="1:3" ht="21">
      <c r="A533" s="432">
        <v>96008</v>
      </c>
      <c r="B533" s="432" t="s">
        <v>1253</v>
      </c>
      <c r="C533" s="433">
        <v>4093622.8099999996</v>
      </c>
    </row>
    <row r="534" spans="1:3" ht="21">
      <c r="A534" s="432">
        <v>96009</v>
      </c>
      <c r="B534" s="432" t="s">
        <v>1254</v>
      </c>
      <c r="C534" s="433">
        <v>328428.34999999998</v>
      </c>
    </row>
    <row r="535" spans="1:3" ht="21">
      <c r="A535" s="432">
        <v>96011</v>
      </c>
      <c r="B535" s="432" t="s">
        <v>1255</v>
      </c>
      <c r="C535" s="433">
        <v>56543145.229999997</v>
      </c>
    </row>
    <row r="536" spans="1:3" ht="21">
      <c r="A536" s="432">
        <v>96012</v>
      </c>
      <c r="B536" s="432" t="s">
        <v>3724</v>
      </c>
      <c r="C536" s="433">
        <v>1918525.57</v>
      </c>
    </row>
    <row r="537" spans="1:3" ht="21">
      <c r="A537" s="432">
        <v>96018</v>
      </c>
      <c r="B537" s="432" t="s">
        <v>1257</v>
      </c>
      <c r="C537" s="433">
        <v>38378.29</v>
      </c>
    </row>
    <row r="538" spans="1:3" ht="21">
      <c r="A538" s="432">
        <v>96021</v>
      </c>
      <c r="B538" s="432" t="s">
        <v>1258</v>
      </c>
      <c r="C538" s="433">
        <v>664687.63</v>
      </c>
    </row>
    <row r="539" spans="1:3" ht="21">
      <c r="A539" s="432">
        <v>96031</v>
      </c>
      <c r="B539" s="432" t="s">
        <v>1259</v>
      </c>
      <c r="C539" s="433">
        <v>663051.92000000004</v>
      </c>
    </row>
    <row r="540" spans="1:3" ht="21">
      <c r="A540" s="432">
        <v>96041</v>
      </c>
      <c r="B540" s="432" t="s">
        <v>1260</v>
      </c>
      <c r="C540" s="433">
        <v>1545089.7800000003</v>
      </c>
    </row>
    <row r="541" spans="1:3" ht="21">
      <c r="A541" s="432">
        <v>96051</v>
      </c>
      <c r="B541" s="432" t="s">
        <v>1261</v>
      </c>
      <c r="C541" s="433">
        <v>797300.32</v>
      </c>
    </row>
    <row r="542" spans="1:3" ht="21">
      <c r="A542" s="432">
        <v>96061</v>
      </c>
      <c r="B542" s="432" t="s">
        <v>1262</v>
      </c>
      <c r="C542" s="433">
        <v>263592.75</v>
      </c>
    </row>
    <row r="543" spans="1:3" ht="21">
      <c r="A543" s="432">
        <v>96071</v>
      </c>
      <c r="B543" s="432" t="s">
        <v>1263</v>
      </c>
      <c r="C543" s="433">
        <v>1226923.82</v>
      </c>
    </row>
    <row r="544" spans="1:3" ht="21">
      <c r="A544" s="432">
        <v>96081</v>
      </c>
      <c r="B544" s="432" t="s">
        <v>1264</v>
      </c>
      <c r="C544" s="433">
        <v>520006.37000000005</v>
      </c>
    </row>
    <row r="545" spans="1:3" ht="21">
      <c r="A545" s="432">
        <v>96101</v>
      </c>
      <c r="B545" s="432" t="s">
        <v>1265</v>
      </c>
      <c r="C545" s="433">
        <v>636816.2300000001</v>
      </c>
    </row>
    <row r="546" spans="1:3" ht="21">
      <c r="A546" s="432">
        <v>96102</v>
      </c>
      <c r="B546" s="432" t="s">
        <v>1266</v>
      </c>
      <c r="C546" s="433">
        <v>6713.47</v>
      </c>
    </row>
    <row r="547" spans="1:3" ht="21">
      <c r="A547" s="432">
        <v>96111</v>
      </c>
      <c r="B547" s="432" t="s">
        <v>1267</v>
      </c>
      <c r="C547" s="433">
        <v>158919.89000000001</v>
      </c>
    </row>
    <row r="548" spans="1:3" ht="21">
      <c r="A548" s="432">
        <v>96121</v>
      </c>
      <c r="B548" s="432" t="s">
        <v>1268</v>
      </c>
      <c r="C548" s="433">
        <v>14282.39</v>
      </c>
    </row>
    <row r="549" spans="1:3" ht="21">
      <c r="A549" s="432">
        <v>96201</v>
      </c>
      <c r="B549" s="432" t="s">
        <v>1269</v>
      </c>
      <c r="C549" s="433">
        <v>982099.46999999986</v>
      </c>
    </row>
    <row r="550" spans="1:3" ht="21">
      <c r="A550" s="432">
        <v>96204</v>
      </c>
      <c r="B550" s="432" t="s">
        <v>1270</v>
      </c>
      <c r="C550" s="433">
        <v>16540.96</v>
      </c>
    </row>
    <row r="551" spans="1:3" ht="21">
      <c r="A551" s="432">
        <v>96211</v>
      </c>
      <c r="B551" s="432" t="s">
        <v>1271</v>
      </c>
      <c r="C551" s="433">
        <v>29331.56</v>
      </c>
    </row>
    <row r="552" spans="1:3" ht="21">
      <c r="A552" s="432">
        <v>96221</v>
      </c>
      <c r="B552" s="432" t="s">
        <v>1272</v>
      </c>
      <c r="C552" s="433">
        <v>170900.47</v>
      </c>
    </row>
    <row r="553" spans="1:3" ht="21">
      <c r="A553" s="432">
        <v>96231</v>
      </c>
      <c r="B553" s="432" t="s">
        <v>1273</v>
      </c>
      <c r="C553" s="433">
        <v>94806.400000000009</v>
      </c>
    </row>
    <row r="554" spans="1:3" ht="21">
      <c r="A554" s="432">
        <v>96241</v>
      </c>
      <c r="B554" s="432" t="s">
        <v>1274</v>
      </c>
      <c r="C554" s="433">
        <v>40869.56</v>
      </c>
    </row>
    <row r="555" spans="1:3" ht="21">
      <c r="A555" s="432">
        <v>96251</v>
      </c>
      <c r="B555" s="432" t="s">
        <v>1275</v>
      </c>
      <c r="C555" s="433">
        <v>79234.95</v>
      </c>
    </row>
    <row r="556" spans="1:3" ht="21">
      <c r="A556" s="432">
        <v>96301</v>
      </c>
      <c r="B556" s="432" t="s">
        <v>1276</v>
      </c>
      <c r="C556" s="433">
        <v>3926789.0799999996</v>
      </c>
    </row>
    <row r="557" spans="1:3" ht="21">
      <c r="A557" s="432">
        <v>96302</v>
      </c>
      <c r="B557" s="432" t="s">
        <v>1277</v>
      </c>
      <c r="C557" s="433">
        <v>30791.4</v>
      </c>
    </row>
    <row r="558" spans="1:3" ht="21">
      <c r="A558" s="432">
        <v>96304</v>
      </c>
      <c r="B558" s="432" t="s">
        <v>1278</v>
      </c>
      <c r="C558" s="433">
        <v>47108.98</v>
      </c>
    </row>
    <row r="559" spans="1:3" ht="21">
      <c r="A559" s="432">
        <v>96305</v>
      </c>
      <c r="B559" s="432" t="s">
        <v>1279</v>
      </c>
      <c r="C559" s="433">
        <v>38124.730000000003</v>
      </c>
    </row>
    <row r="560" spans="1:3" ht="21">
      <c r="A560" s="432">
        <v>96310</v>
      </c>
      <c r="B560" s="432" t="s">
        <v>1280</v>
      </c>
      <c r="C560" s="433">
        <v>55115.26</v>
      </c>
    </row>
    <row r="561" spans="1:3" ht="21">
      <c r="A561" s="432">
        <v>96311</v>
      </c>
      <c r="B561" s="432" t="s">
        <v>1281</v>
      </c>
      <c r="C561" s="433">
        <v>1100020.4400000002</v>
      </c>
    </row>
    <row r="562" spans="1:3" ht="21">
      <c r="A562" s="432">
        <v>96312</v>
      </c>
      <c r="B562" s="432" t="s">
        <v>1282</v>
      </c>
      <c r="C562" s="433">
        <v>7311.28</v>
      </c>
    </row>
    <row r="563" spans="1:3" ht="21">
      <c r="A563" s="432">
        <v>96318</v>
      </c>
      <c r="B563" s="432" t="s">
        <v>1283</v>
      </c>
      <c r="C563" s="433">
        <v>2269326.7999999998</v>
      </c>
    </row>
    <row r="564" spans="1:3" ht="21">
      <c r="A564" s="432">
        <v>96321</v>
      </c>
      <c r="B564" s="432" t="s">
        <v>1284</v>
      </c>
      <c r="C564" s="433">
        <v>35218.049999999996</v>
      </c>
    </row>
    <row r="565" spans="1:3" ht="21">
      <c r="A565" s="432">
        <v>96331</v>
      </c>
      <c r="B565" s="432" t="s">
        <v>1285</v>
      </c>
      <c r="C565" s="433">
        <v>566954.05999999994</v>
      </c>
    </row>
    <row r="566" spans="1:3" ht="21">
      <c r="A566" s="432">
        <v>96341</v>
      </c>
      <c r="B566" s="432" t="s">
        <v>1286</v>
      </c>
      <c r="C566" s="433">
        <v>64692.789999999994</v>
      </c>
    </row>
    <row r="567" spans="1:3" ht="21">
      <c r="A567" s="432">
        <v>96351</v>
      </c>
      <c r="B567" s="432" t="s">
        <v>1287</v>
      </c>
      <c r="C567" s="433">
        <v>891360.92999999993</v>
      </c>
    </row>
    <row r="568" spans="1:3" ht="21">
      <c r="A568" s="432">
        <v>96361</v>
      </c>
      <c r="B568" s="432" t="s">
        <v>1288</v>
      </c>
      <c r="C568" s="433">
        <v>49637.090000000004</v>
      </c>
    </row>
    <row r="569" spans="1:3" ht="21">
      <c r="A569" s="432">
        <v>96371</v>
      </c>
      <c r="B569" s="432" t="s">
        <v>1289</v>
      </c>
      <c r="C569" s="433">
        <v>143311.54</v>
      </c>
    </row>
    <row r="570" spans="1:3" ht="21">
      <c r="A570" s="432">
        <v>96381</v>
      </c>
      <c r="B570" s="432" t="s">
        <v>1290</v>
      </c>
      <c r="C570" s="433">
        <v>31232.78</v>
      </c>
    </row>
    <row r="571" spans="1:3" ht="21">
      <c r="A571" s="432">
        <v>96391</v>
      </c>
      <c r="B571" s="432" t="s">
        <v>1291</v>
      </c>
      <c r="C571" s="433">
        <v>143824.53</v>
      </c>
    </row>
    <row r="572" spans="1:3" ht="21">
      <c r="A572" s="432">
        <v>96401</v>
      </c>
      <c r="B572" s="432" t="s">
        <v>1292</v>
      </c>
      <c r="C572" s="433">
        <v>3789712.01</v>
      </c>
    </row>
    <row r="573" spans="1:3" ht="21">
      <c r="A573" s="432">
        <v>96404</v>
      </c>
      <c r="B573" s="432" t="s">
        <v>1293</v>
      </c>
      <c r="C573" s="433">
        <v>118543.22</v>
      </c>
    </row>
    <row r="574" spans="1:3" ht="21">
      <c r="A574" s="432">
        <v>96405</v>
      </c>
      <c r="B574" s="432" t="s">
        <v>1294</v>
      </c>
      <c r="C574" s="433">
        <v>122074.68</v>
      </c>
    </row>
    <row r="575" spans="1:3" ht="21">
      <c r="A575" s="432">
        <v>96411</v>
      </c>
      <c r="B575" s="432" t="s">
        <v>1295</v>
      </c>
      <c r="C575" s="433">
        <v>52760.429999999993</v>
      </c>
    </row>
    <row r="576" spans="1:3" ht="21">
      <c r="A576" s="432">
        <v>96421</v>
      </c>
      <c r="B576" s="432" t="s">
        <v>1296</v>
      </c>
      <c r="C576" s="433">
        <v>360987.77</v>
      </c>
    </row>
    <row r="577" spans="1:3" ht="21">
      <c r="A577" s="432">
        <v>96431</v>
      </c>
      <c r="B577" s="432" t="s">
        <v>1297</v>
      </c>
      <c r="C577" s="433">
        <v>51106.360000000008</v>
      </c>
    </row>
    <row r="578" spans="1:3" ht="21">
      <c r="A578" s="432">
        <v>96441</v>
      </c>
      <c r="B578" s="432" t="s">
        <v>1298</v>
      </c>
      <c r="C578" s="433">
        <v>27974.19</v>
      </c>
    </row>
    <row r="579" spans="1:3" ht="21">
      <c r="A579" s="432">
        <v>96451</v>
      </c>
      <c r="B579" s="432" t="s">
        <v>1299</v>
      </c>
      <c r="C579" s="433">
        <v>12419.03</v>
      </c>
    </row>
    <row r="580" spans="1:3" ht="21">
      <c r="A580" s="432">
        <v>96461</v>
      </c>
      <c r="B580" s="432" t="s">
        <v>1300</v>
      </c>
      <c r="C580" s="433">
        <v>115664.28</v>
      </c>
    </row>
    <row r="581" spans="1:3" ht="21">
      <c r="A581" s="432">
        <v>96501</v>
      </c>
      <c r="B581" s="432" t="s">
        <v>1301</v>
      </c>
      <c r="C581" s="433">
        <v>12844929.249999998</v>
      </c>
    </row>
    <row r="582" spans="1:3" ht="21">
      <c r="A582" s="432">
        <v>96502</v>
      </c>
      <c r="B582" s="432" t="s">
        <v>1302</v>
      </c>
      <c r="C582" s="433">
        <v>307482.95</v>
      </c>
    </row>
    <row r="583" spans="1:3" ht="21">
      <c r="A583" s="432">
        <v>96503</v>
      </c>
      <c r="B583" s="432" t="s">
        <v>1303</v>
      </c>
      <c r="C583" s="433">
        <v>506562.63</v>
      </c>
    </row>
    <row r="584" spans="1:3" ht="21">
      <c r="A584" s="432">
        <v>96504</v>
      </c>
      <c r="B584" s="432" t="s">
        <v>1304</v>
      </c>
      <c r="C584" s="433">
        <v>313548.43</v>
      </c>
    </row>
    <row r="585" spans="1:3" ht="21">
      <c r="A585" s="432">
        <v>96507</v>
      </c>
      <c r="B585" s="432" t="s">
        <v>1305</v>
      </c>
      <c r="C585" s="433">
        <v>2142990.46</v>
      </c>
    </row>
    <row r="586" spans="1:3" ht="21">
      <c r="A586" s="432">
        <v>96508</v>
      </c>
      <c r="B586" s="432" t="s">
        <v>1306</v>
      </c>
      <c r="C586" s="433">
        <v>18139.830000000002</v>
      </c>
    </row>
    <row r="587" spans="1:3" ht="21">
      <c r="A587" s="432">
        <v>96511</v>
      </c>
      <c r="B587" s="432" t="s">
        <v>1307</v>
      </c>
      <c r="C587" s="433">
        <v>496956.29</v>
      </c>
    </row>
    <row r="588" spans="1:3" ht="21">
      <c r="A588" s="432">
        <v>96512</v>
      </c>
      <c r="B588" s="432" t="s">
        <v>1308</v>
      </c>
      <c r="C588" s="433">
        <v>140941.85</v>
      </c>
    </row>
    <row r="589" spans="1:3" ht="21">
      <c r="A589" s="432">
        <v>96521</v>
      </c>
      <c r="B589" s="432" t="s">
        <v>1309</v>
      </c>
      <c r="C589" s="433">
        <v>814971.30999999994</v>
      </c>
    </row>
    <row r="590" spans="1:3" ht="21">
      <c r="A590" s="432">
        <v>96531</v>
      </c>
      <c r="B590" s="432" t="s">
        <v>1310</v>
      </c>
      <c r="C590" s="433">
        <v>6920254.4899999993</v>
      </c>
    </row>
    <row r="591" spans="1:3" ht="21">
      <c r="A591" s="432">
        <v>96541</v>
      </c>
      <c r="B591" s="432" t="s">
        <v>1311</v>
      </c>
      <c r="C591" s="433">
        <v>340192.08999999997</v>
      </c>
    </row>
    <row r="592" spans="1:3" ht="21">
      <c r="A592" s="432">
        <v>96601</v>
      </c>
      <c r="B592" s="432" t="s">
        <v>1312</v>
      </c>
      <c r="C592" s="433">
        <v>1382181.2800000003</v>
      </c>
    </row>
    <row r="593" spans="1:3" ht="21">
      <c r="A593" s="432">
        <v>96604</v>
      </c>
      <c r="B593" s="432" t="s">
        <v>1313</v>
      </c>
      <c r="C593" s="433">
        <v>7589.82</v>
      </c>
    </row>
    <row r="594" spans="1:3" ht="21">
      <c r="A594" s="432">
        <v>96611</v>
      </c>
      <c r="B594" s="432" t="s">
        <v>1314</v>
      </c>
      <c r="C594" s="433">
        <v>16642.5</v>
      </c>
    </row>
    <row r="595" spans="1:3" ht="21">
      <c r="A595" s="432">
        <v>96612</v>
      </c>
      <c r="B595" s="432" t="s">
        <v>1315</v>
      </c>
      <c r="C595" s="433">
        <v>43475.06</v>
      </c>
    </row>
    <row r="596" spans="1:3" ht="21">
      <c r="A596" s="432">
        <v>96621</v>
      </c>
      <c r="B596" s="432" t="s">
        <v>1316</v>
      </c>
      <c r="C596" s="433">
        <v>23545.9</v>
      </c>
    </row>
    <row r="597" spans="1:3" ht="21">
      <c r="A597" s="432">
        <v>96631</v>
      </c>
      <c r="B597" s="432" t="s">
        <v>1317</v>
      </c>
      <c r="C597" s="433">
        <v>23559.579999999998</v>
      </c>
    </row>
    <row r="598" spans="1:3" ht="21">
      <c r="A598" s="432">
        <v>96641</v>
      </c>
      <c r="B598" s="432" t="s">
        <v>1318</v>
      </c>
      <c r="C598" s="433">
        <v>37048.25</v>
      </c>
    </row>
    <row r="599" spans="1:3" ht="21">
      <c r="A599" s="432">
        <v>96651</v>
      </c>
      <c r="B599" s="432" t="s">
        <v>1319</v>
      </c>
      <c r="C599" s="433">
        <v>18818.78</v>
      </c>
    </row>
    <row r="600" spans="1:3" ht="21">
      <c r="A600" s="432">
        <v>96661</v>
      </c>
      <c r="B600" s="432" t="s">
        <v>1320</v>
      </c>
      <c r="C600" s="433">
        <v>15217.93</v>
      </c>
    </row>
    <row r="601" spans="1:3" ht="21">
      <c r="A601" s="432">
        <v>96671</v>
      </c>
      <c r="B601" s="432" t="s">
        <v>1321</v>
      </c>
      <c r="C601" s="433">
        <v>16032.79</v>
      </c>
    </row>
    <row r="602" spans="1:3" ht="21">
      <c r="A602" s="432">
        <v>96681</v>
      </c>
      <c r="B602" s="432" t="s">
        <v>1322</v>
      </c>
      <c r="C602" s="433">
        <v>28828.090000000004</v>
      </c>
    </row>
    <row r="603" spans="1:3" ht="21">
      <c r="A603" s="432">
        <v>96701</v>
      </c>
      <c r="B603" s="432" t="s">
        <v>1323</v>
      </c>
      <c r="C603" s="433">
        <v>6557919.9900000012</v>
      </c>
    </row>
    <row r="604" spans="1:3" ht="21">
      <c r="A604" s="432">
        <v>96704</v>
      </c>
      <c r="B604" s="432" t="s">
        <v>1324</v>
      </c>
      <c r="C604" s="433">
        <v>265170.56</v>
      </c>
    </row>
    <row r="605" spans="1:3" ht="21">
      <c r="A605" s="432">
        <v>96708</v>
      </c>
      <c r="B605" s="432" t="s">
        <v>1325</v>
      </c>
      <c r="C605" s="433">
        <v>740371.57000000007</v>
      </c>
    </row>
    <row r="606" spans="1:3" ht="21">
      <c r="A606" s="432">
        <v>96711</v>
      </c>
      <c r="B606" s="432" t="s">
        <v>1326</v>
      </c>
      <c r="C606" s="433">
        <v>3121258.29</v>
      </c>
    </row>
    <row r="607" spans="1:3" ht="21">
      <c r="A607" s="432">
        <v>96721</v>
      </c>
      <c r="B607" s="432" t="s">
        <v>1327</v>
      </c>
      <c r="C607" s="433">
        <v>215447.72</v>
      </c>
    </row>
    <row r="608" spans="1:3" ht="21">
      <c r="A608" s="432">
        <v>96722</v>
      </c>
      <c r="B608" s="432" t="s">
        <v>3757</v>
      </c>
      <c r="C608" s="433">
        <v>20073.54</v>
      </c>
    </row>
    <row r="609" spans="1:3" ht="21">
      <c r="A609" s="432">
        <v>96731</v>
      </c>
      <c r="B609" s="432" t="s">
        <v>1328</v>
      </c>
      <c r="C609" s="433">
        <v>146594.87000000002</v>
      </c>
    </row>
    <row r="610" spans="1:3" ht="21">
      <c r="A610" s="432">
        <v>96741</v>
      </c>
      <c r="B610" s="432" t="s">
        <v>1330</v>
      </c>
      <c r="C610" s="433">
        <v>72067.31</v>
      </c>
    </row>
    <row r="611" spans="1:3" ht="21">
      <c r="A611" s="432">
        <v>96751</v>
      </c>
      <c r="B611" s="432" t="s">
        <v>1331</v>
      </c>
      <c r="C611" s="433">
        <v>252854.43999999997</v>
      </c>
    </row>
    <row r="612" spans="1:3" ht="21">
      <c r="A612" s="432">
        <v>96801</v>
      </c>
      <c r="B612" s="432" t="s">
        <v>1332</v>
      </c>
      <c r="C612" s="433">
        <v>6257613.6599999992</v>
      </c>
    </row>
    <row r="613" spans="1:3" ht="21">
      <c r="A613" s="432">
        <v>96804</v>
      </c>
      <c r="B613" s="432" t="s">
        <v>1333</v>
      </c>
      <c r="C613" s="433">
        <v>199756.54</v>
      </c>
    </row>
    <row r="614" spans="1:3" ht="21">
      <c r="A614" s="432">
        <v>96808</v>
      </c>
      <c r="B614" s="432" t="s">
        <v>1334</v>
      </c>
      <c r="C614" s="433">
        <v>1037457.41</v>
      </c>
    </row>
    <row r="615" spans="1:3" ht="21">
      <c r="A615" s="432">
        <v>96811</v>
      </c>
      <c r="B615" s="432" t="s">
        <v>1335</v>
      </c>
      <c r="C615" s="433">
        <v>4663305.7699999996</v>
      </c>
    </row>
    <row r="616" spans="1:3" ht="21">
      <c r="A616" s="432">
        <v>96821</v>
      </c>
      <c r="B616" s="432" t="s">
        <v>1336</v>
      </c>
      <c r="C616" s="433">
        <v>1068206.3600000001</v>
      </c>
    </row>
    <row r="617" spans="1:3" ht="21">
      <c r="A617" s="432">
        <v>96831</v>
      </c>
      <c r="B617" s="432" t="s">
        <v>1337</v>
      </c>
      <c r="C617" s="433">
        <v>751400.03</v>
      </c>
    </row>
    <row r="618" spans="1:3" ht="21">
      <c r="A618" s="432">
        <v>96901</v>
      </c>
      <c r="B618" s="432" t="s">
        <v>1338</v>
      </c>
      <c r="C618" s="433">
        <v>710668.82</v>
      </c>
    </row>
    <row r="619" spans="1:3" ht="21">
      <c r="A619" s="432">
        <v>96911</v>
      </c>
      <c r="B619" s="432" t="s">
        <v>1339</v>
      </c>
      <c r="C619" s="433">
        <v>6305.2</v>
      </c>
    </row>
    <row r="620" spans="1:3" ht="21">
      <c r="A620" s="432">
        <v>96912</v>
      </c>
      <c r="B620" s="432" t="s">
        <v>1340</v>
      </c>
      <c r="C620" s="433">
        <v>56633.030000000006</v>
      </c>
    </row>
    <row r="621" spans="1:3" ht="21">
      <c r="A621" s="432">
        <v>96918</v>
      </c>
      <c r="B621" s="432" t="s">
        <v>1341</v>
      </c>
      <c r="C621" s="433">
        <v>43121.68</v>
      </c>
    </row>
    <row r="622" spans="1:3" ht="21">
      <c r="A622" s="432">
        <v>97001</v>
      </c>
      <c r="B622" s="432" t="s">
        <v>1342</v>
      </c>
      <c r="C622" s="433">
        <v>1347482.67</v>
      </c>
    </row>
    <row r="623" spans="1:3" ht="21">
      <c r="A623" s="432">
        <v>97002</v>
      </c>
      <c r="B623" s="432" t="s">
        <v>1343</v>
      </c>
      <c r="C623" s="433">
        <v>299877.8</v>
      </c>
    </row>
    <row r="624" spans="1:3" ht="21">
      <c r="A624" s="432">
        <v>97004</v>
      </c>
      <c r="B624" s="432" t="s">
        <v>1344</v>
      </c>
      <c r="C624" s="433">
        <v>15029.48</v>
      </c>
    </row>
    <row r="625" spans="1:3" ht="21">
      <c r="A625" s="432">
        <v>97005</v>
      </c>
      <c r="B625" s="432" t="s">
        <v>1345</v>
      </c>
      <c r="C625" s="433">
        <v>26864.17</v>
      </c>
    </row>
    <row r="626" spans="1:3" ht="21">
      <c r="A626" s="432">
        <v>97008</v>
      </c>
      <c r="B626" s="432" t="s">
        <v>1346</v>
      </c>
      <c r="C626" s="433">
        <v>260605.37</v>
      </c>
    </row>
    <row r="627" spans="1:3" ht="21">
      <c r="A627" s="432">
        <v>97011</v>
      </c>
      <c r="B627" s="432" t="s">
        <v>1348</v>
      </c>
      <c r="C627" s="433">
        <v>1598660.6199999999</v>
      </c>
    </row>
    <row r="628" spans="1:3" ht="21">
      <c r="A628" s="432">
        <v>97012</v>
      </c>
      <c r="B628" s="432" t="s">
        <v>1349</v>
      </c>
      <c r="C628" s="433">
        <v>22367.86</v>
      </c>
    </row>
    <row r="629" spans="1:3" ht="21">
      <c r="A629" s="432">
        <v>97013</v>
      </c>
      <c r="B629" s="432" t="s">
        <v>1350</v>
      </c>
      <c r="C629" s="433">
        <v>22764.2</v>
      </c>
    </row>
    <row r="630" spans="1:3" ht="21">
      <c r="A630" s="432">
        <v>97015</v>
      </c>
      <c r="B630" s="432" t="s">
        <v>1351</v>
      </c>
      <c r="C630" s="433">
        <v>42525.38</v>
      </c>
    </row>
    <row r="631" spans="1:3" ht="21">
      <c r="A631" s="432">
        <v>97018</v>
      </c>
      <c r="B631" s="432" t="s">
        <v>1352</v>
      </c>
      <c r="C631" s="433">
        <v>10806.03</v>
      </c>
    </row>
    <row r="632" spans="1:3" ht="21">
      <c r="A632" s="432">
        <v>97101</v>
      </c>
      <c r="B632" s="432" t="s">
        <v>1353</v>
      </c>
      <c r="C632" s="433">
        <v>2577746.2199999997</v>
      </c>
    </row>
    <row r="633" spans="1:3" ht="21">
      <c r="A633" s="432">
        <v>97104</v>
      </c>
      <c r="B633" s="432" t="s">
        <v>1354</v>
      </c>
      <c r="C633" s="433">
        <v>73874.509999999995</v>
      </c>
    </row>
    <row r="634" spans="1:3" ht="21">
      <c r="A634" s="432">
        <v>97111</v>
      </c>
      <c r="B634" s="432" t="s">
        <v>1355</v>
      </c>
      <c r="C634" s="433">
        <v>262394.54999999993</v>
      </c>
    </row>
    <row r="635" spans="1:3" ht="21">
      <c r="A635" s="432">
        <v>97121</v>
      </c>
      <c r="B635" s="432" t="s">
        <v>1356</v>
      </c>
      <c r="C635" s="433">
        <v>184582.14</v>
      </c>
    </row>
    <row r="636" spans="1:3" ht="21">
      <c r="A636" s="432">
        <v>97131</v>
      </c>
      <c r="B636" s="432" t="s">
        <v>1357</v>
      </c>
      <c r="C636" s="433">
        <v>563133.99</v>
      </c>
    </row>
    <row r="637" spans="1:3" ht="21">
      <c r="A637" s="432">
        <v>97201</v>
      </c>
      <c r="B637" s="432" t="s">
        <v>1358</v>
      </c>
      <c r="C637" s="433">
        <v>532356.04999999993</v>
      </c>
    </row>
    <row r="638" spans="1:3" ht="21">
      <c r="A638" s="432">
        <v>97211</v>
      </c>
      <c r="B638" s="432" t="s">
        <v>1359</v>
      </c>
      <c r="C638" s="433">
        <v>82170.2</v>
      </c>
    </row>
    <row r="639" spans="1:3" ht="21">
      <c r="A639" s="432">
        <v>97213</v>
      </c>
      <c r="B639" s="432" t="s">
        <v>1360</v>
      </c>
      <c r="C639" s="433">
        <v>33444.699999999997</v>
      </c>
    </row>
    <row r="640" spans="1:3" ht="21">
      <c r="A640" s="432">
        <v>97217</v>
      </c>
      <c r="B640" s="432" t="s">
        <v>1361</v>
      </c>
      <c r="C640" s="433">
        <v>8783.84</v>
      </c>
    </row>
    <row r="641" spans="1:3" ht="21">
      <c r="A641" s="432">
        <v>97221</v>
      </c>
      <c r="B641" s="432" t="s">
        <v>1362</v>
      </c>
      <c r="C641" s="433">
        <v>11253.72</v>
      </c>
    </row>
    <row r="642" spans="1:3" ht="21">
      <c r="A642" s="432">
        <v>97301</v>
      </c>
      <c r="B642" s="432" t="s">
        <v>1363</v>
      </c>
      <c r="C642" s="433">
        <v>2032175.08</v>
      </c>
    </row>
    <row r="643" spans="1:3" ht="21">
      <c r="A643" s="432">
        <v>97302</v>
      </c>
      <c r="B643" s="432" t="s">
        <v>3611</v>
      </c>
      <c r="C643" s="433">
        <v>51826.01</v>
      </c>
    </row>
    <row r="644" spans="1:3" ht="21">
      <c r="A644" s="432">
        <v>97304</v>
      </c>
      <c r="B644" s="432" t="s">
        <v>1364</v>
      </c>
      <c r="C644" s="433">
        <v>34758.86</v>
      </c>
    </row>
    <row r="645" spans="1:3" ht="21">
      <c r="A645" s="432">
        <v>97311</v>
      </c>
      <c r="B645" s="432" t="s">
        <v>1365</v>
      </c>
      <c r="C645" s="433">
        <v>704086.56</v>
      </c>
    </row>
    <row r="646" spans="1:3" ht="21">
      <c r="A646" s="432">
        <v>97401</v>
      </c>
      <c r="B646" s="432" t="s">
        <v>1366</v>
      </c>
      <c r="C646" s="433">
        <v>6065626.3399999999</v>
      </c>
    </row>
    <row r="647" spans="1:3" ht="21">
      <c r="A647" s="432">
        <v>97402</v>
      </c>
      <c r="B647" s="432" t="s">
        <v>1367</v>
      </c>
      <c r="C647" s="433">
        <v>35564.870000000003</v>
      </c>
    </row>
    <row r="648" spans="1:3" ht="21">
      <c r="A648" s="432">
        <v>97404</v>
      </c>
      <c r="B648" s="432" t="s">
        <v>1368</v>
      </c>
      <c r="C648" s="433">
        <v>212351.24</v>
      </c>
    </row>
    <row r="649" spans="1:3" ht="21">
      <c r="A649" s="432">
        <v>97405</v>
      </c>
      <c r="B649" s="432" t="s">
        <v>1369</v>
      </c>
      <c r="C649" s="433">
        <v>106986.4</v>
      </c>
    </row>
    <row r="650" spans="1:3" ht="21">
      <c r="A650" s="432">
        <v>97408</v>
      </c>
      <c r="B650" s="432" t="s">
        <v>1370</v>
      </c>
      <c r="C650" s="433">
        <v>47194.53</v>
      </c>
    </row>
    <row r="651" spans="1:3" ht="21">
      <c r="A651" s="432">
        <v>97411</v>
      </c>
      <c r="B651" s="432" t="s">
        <v>1371</v>
      </c>
      <c r="C651" s="433">
        <v>5040791.45</v>
      </c>
    </row>
    <row r="652" spans="1:3" ht="21">
      <c r="A652" s="432">
        <v>97412</v>
      </c>
      <c r="B652" s="432" t="s">
        <v>1372</v>
      </c>
      <c r="C652" s="433">
        <v>3812241.87</v>
      </c>
    </row>
    <row r="653" spans="1:3" ht="21">
      <c r="A653" s="432">
        <v>97413</v>
      </c>
      <c r="B653" s="432" t="s">
        <v>1373</v>
      </c>
      <c r="C653" s="433">
        <v>296439.96000000002</v>
      </c>
    </row>
    <row r="654" spans="1:3" ht="21">
      <c r="A654" s="432">
        <v>97421</v>
      </c>
      <c r="B654" s="432" t="s">
        <v>1374</v>
      </c>
      <c r="C654" s="433">
        <v>330699.47000000003</v>
      </c>
    </row>
    <row r="655" spans="1:3" ht="21">
      <c r="A655" s="432">
        <v>97423</v>
      </c>
      <c r="B655" s="432" t="s">
        <v>1375</v>
      </c>
      <c r="C655" s="433">
        <v>51829.54</v>
      </c>
    </row>
    <row r="656" spans="1:3" ht="21">
      <c r="A656" s="432">
        <v>97431</v>
      </c>
      <c r="B656" s="432" t="s">
        <v>1376</v>
      </c>
      <c r="C656" s="433">
        <v>79548.079999999987</v>
      </c>
    </row>
    <row r="657" spans="1:3" ht="21">
      <c r="A657" s="432">
        <v>97441</v>
      </c>
      <c r="B657" s="432" t="s">
        <v>1377</v>
      </c>
      <c r="C657" s="433">
        <v>18310.77</v>
      </c>
    </row>
    <row r="658" spans="1:3" ht="21">
      <c r="A658" s="432">
        <v>97451</v>
      </c>
      <c r="B658" s="432" t="s">
        <v>1378</v>
      </c>
      <c r="C658" s="433">
        <v>495883.00000000006</v>
      </c>
    </row>
    <row r="659" spans="1:3" ht="21">
      <c r="A659" s="432">
        <v>97461</v>
      </c>
      <c r="B659" s="432" t="s">
        <v>1379</v>
      </c>
      <c r="C659" s="433">
        <v>425833.62</v>
      </c>
    </row>
    <row r="660" spans="1:3" ht="21">
      <c r="A660" s="432">
        <v>97471</v>
      </c>
      <c r="B660" s="432" t="s">
        <v>1381</v>
      </c>
      <c r="C660" s="433">
        <v>23356.89</v>
      </c>
    </row>
    <row r="661" spans="1:3" ht="21">
      <c r="A661" s="432">
        <v>97481</v>
      </c>
      <c r="B661" s="432" t="s">
        <v>1382</v>
      </c>
      <c r="C661" s="433">
        <v>3196.94</v>
      </c>
    </row>
    <row r="662" spans="1:3" ht="21">
      <c r="A662" s="432">
        <v>97501</v>
      </c>
      <c r="B662" s="432" t="s">
        <v>1384</v>
      </c>
      <c r="C662" s="433">
        <v>1118486.01</v>
      </c>
    </row>
    <row r="663" spans="1:3" ht="21">
      <c r="A663" s="432">
        <v>97511</v>
      </c>
      <c r="B663" s="432" t="s">
        <v>1385</v>
      </c>
      <c r="C663" s="433">
        <v>205184.69999999998</v>
      </c>
    </row>
    <row r="664" spans="1:3" ht="21">
      <c r="A664" s="432">
        <v>97517</v>
      </c>
      <c r="B664" s="432" t="s">
        <v>3733</v>
      </c>
      <c r="C664" s="433">
        <v>4282.1899999999996</v>
      </c>
    </row>
    <row r="665" spans="1:3" ht="21">
      <c r="A665" s="432">
        <v>97521</v>
      </c>
      <c r="B665" s="432" t="s">
        <v>1386</v>
      </c>
      <c r="C665" s="433">
        <v>104229.13</v>
      </c>
    </row>
    <row r="666" spans="1:3" ht="21">
      <c r="A666" s="432">
        <v>97527</v>
      </c>
      <c r="B666" s="432" t="s">
        <v>1637</v>
      </c>
      <c r="C666" s="433">
        <v>6159.83</v>
      </c>
    </row>
    <row r="667" spans="1:3" ht="21">
      <c r="A667" s="432">
        <v>97531</v>
      </c>
      <c r="B667" s="432" t="s">
        <v>1387</v>
      </c>
      <c r="C667" s="433">
        <v>55143.91</v>
      </c>
    </row>
    <row r="668" spans="1:3" ht="21">
      <c r="A668" s="432">
        <v>97601</v>
      </c>
      <c r="B668" s="432" t="s">
        <v>1388</v>
      </c>
      <c r="C668" s="433">
        <v>4489398.18</v>
      </c>
    </row>
    <row r="669" spans="1:3" ht="21">
      <c r="A669" s="432">
        <v>97607</v>
      </c>
      <c r="B669" s="432" t="s">
        <v>1389</v>
      </c>
      <c r="C669" s="433">
        <v>30746.45</v>
      </c>
    </row>
    <row r="670" spans="1:3" ht="21">
      <c r="A670" s="432">
        <v>97611</v>
      </c>
      <c r="B670" s="432" t="s">
        <v>1390</v>
      </c>
      <c r="C670" s="433">
        <v>2091314.7599999998</v>
      </c>
    </row>
    <row r="671" spans="1:3" ht="21">
      <c r="A671" s="432">
        <v>97613</v>
      </c>
      <c r="B671" s="432" t="s">
        <v>1391</v>
      </c>
      <c r="C671" s="433">
        <v>93992.74</v>
      </c>
    </row>
    <row r="672" spans="1:3" ht="21">
      <c r="A672" s="432">
        <v>97621</v>
      </c>
      <c r="B672" s="432" t="s">
        <v>1392</v>
      </c>
      <c r="C672" s="433">
        <v>322229.19</v>
      </c>
    </row>
    <row r="673" spans="1:3" ht="21">
      <c r="A673" s="432">
        <v>97623</v>
      </c>
      <c r="B673" s="432" t="s">
        <v>1393</v>
      </c>
      <c r="C673" s="433">
        <v>23214.03</v>
      </c>
    </row>
    <row r="674" spans="1:3" ht="21">
      <c r="A674" s="432">
        <v>97627</v>
      </c>
      <c r="B674" s="432" t="s">
        <v>1394</v>
      </c>
      <c r="C674" s="433">
        <v>8583</v>
      </c>
    </row>
    <row r="675" spans="1:3" ht="21">
      <c r="A675" s="432">
        <v>97631</v>
      </c>
      <c r="B675" s="432" t="s">
        <v>1395</v>
      </c>
      <c r="C675" s="433">
        <v>178885.21</v>
      </c>
    </row>
    <row r="676" spans="1:3" ht="21">
      <c r="A676" s="432">
        <v>97637</v>
      </c>
      <c r="B676" s="432" t="s">
        <v>1396</v>
      </c>
      <c r="C676" s="433">
        <v>3061.8</v>
      </c>
    </row>
    <row r="677" spans="1:3" ht="21">
      <c r="A677" s="432">
        <v>97641</v>
      </c>
      <c r="B677" s="432" t="s">
        <v>1397</v>
      </c>
      <c r="C677" s="433">
        <v>92990.060000000012</v>
      </c>
    </row>
    <row r="678" spans="1:3" ht="21">
      <c r="A678" s="432">
        <v>97651</v>
      </c>
      <c r="B678" s="432" t="s">
        <v>1398</v>
      </c>
      <c r="C678" s="433">
        <v>443519.65</v>
      </c>
    </row>
    <row r="679" spans="1:3" ht="21">
      <c r="A679" s="432">
        <v>97661</v>
      </c>
      <c r="B679" s="432" t="s">
        <v>1399</v>
      </c>
      <c r="C679" s="433">
        <v>42775.14</v>
      </c>
    </row>
    <row r="680" spans="1:3" ht="21">
      <c r="A680" s="432">
        <v>97701</v>
      </c>
      <c r="B680" s="432" t="s">
        <v>1400</v>
      </c>
      <c r="C680" s="433">
        <v>2164701.83</v>
      </c>
    </row>
    <row r="681" spans="1:3" ht="21">
      <c r="A681" s="432">
        <v>97705</v>
      </c>
      <c r="B681" s="432" t="s">
        <v>1401</v>
      </c>
      <c r="C681" s="433">
        <v>35255.14</v>
      </c>
    </row>
    <row r="682" spans="1:3" ht="21">
      <c r="A682" s="432">
        <v>97711</v>
      </c>
      <c r="B682" s="432" t="s">
        <v>1402</v>
      </c>
      <c r="C682" s="433">
        <v>711844.16999999993</v>
      </c>
    </row>
    <row r="683" spans="1:3" ht="21">
      <c r="A683" s="432">
        <v>97713</v>
      </c>
      <c r="B683" s="432" t="s">
        <v>1403</v>
      </c>
      <c r="C683" s="433">
        <v>51942.37</v>
      </c>
    </row>
    <row r="684" spans="1:3" ht="21">
      <c r="A684" s="432">
        <v>97717</v>
      </c>
      <c r="B684" s="432" t="s">
        <v>1404</v>
      </c>
      <c r="C684" s="433">
        <v>10104.879999999999</v>
      </c>
    </row>
    <row r="685" spans="1:3" ht="21">
      <c r="A685" s="432">
        <v>97721</v>
      </c>
      <c r="B685" s="432" t="s">
        <v>1405</v>
      </c>
      <c r="C685" s="433">
        <v>426783.92000000004</v>
      </c>
    </row>
    <row r="686" spans="1:3" ht="21">
      <c r="A686" s="432">
        <v>97727</v>
      </c>
      <c r="B686" s="432" t="s">
        <v>1406</v>
      </c>
      <c r="C686" s="433">
        <v>21207.64</v>
      </c>
    </row>
    <row r="687" spans="1:3" ht="21">
      <c r="A687" s="432">
        <v>97731</v>
      </c>
      <c r="B687" s="432" t="s">
        <v>1407</v>
      </c>
      <c r="C687" s="433">
        <v>32655.83</v>
      </c>
    </row>
    <row r="688" spans="1:3" ht="21">
      <c r="A688" s="432">
        <v>97801</v>
      </c>
      <c r="B688" s="432" t="s">
        <v>1408</v>
      </c>
      <c r="C688" s="433">
        <v>5909296.4899999993</v>
      </c>
    </row>
    <row r="689" spans="1:3" ht="21">
      <c r="A689" s="432">
        <v>97802</v>
      </c>
      <c r="B689" s="432" t="s">
        <v>1409</v>
      </c>
      <c r="C689" s="433">
        <v>119460.81</v>
      </c>
    </row>
    <row r="690" spans="1:3" ht="21">
      <c r="A690" s="432">
        <v>97803</v>
      </c>
      <c r="B690" s="432" t="s">
        <v>1410</v>
      </c>
      <c r="C690" s="433">
        <v>72745.77</v>
      </c>
    </row>
    <row r="691" spans="1:3" ht="21">
      <c r="A691" s="432">
        <v>97805</v>
      </c>
      <c r="B691" s="432" t="s">
        <v>1411</v>
      </c>
      <c r="C691" s="433">
        <v>69021.31</v>
      </c>
    </row>
    <row r="692" spans="1:3" ht="21">
      <c r="A692" s="432">
        <v>97811</v>
      </c>
      <c r="B692" s="432" t="s">
        <v>1412</v>
      </c>
      <c r="C692" s="433">
        <v>1909122.05</v>
      </c>
    </row>
    <row r="693" spans="1:3" ht="21">
      <c r="A693" s="432">
        <v>97817</v>
      </c>
      <c r="B693" s="432" t="s">
        <v>1413</v>
      </c>
      <c r="C693" s="433">
        <v>26253.93</v>
      </c>
    </row>
    <row r="694" spans="1:3" ht="21">
      <c r="A694" s="432">
        <v>97818</v>
      </c>
      <c r="B694" s="432" t="s">
        <v>1414</v>
      </c>
      <c r="C694" s="433">
        <v>21241.27</v>
      </c>
    </row>
    <row r="695" spans="1:3" ht="21">
      <c r="A695" s="432">
        <v>97821</v>
      </c>
      <c r="B695" s="432" t="s">
        <v>1415</v>
      </c>
      <c r="C695" s="433">
        <v>121798.20999999999</v>
      </c>
    </row>
    <row r="696" spans="1:3" ht="21">
      <c r="A696" s="432">
        <v>97823</v>
      </c>
      <c r="B696" s="432" t="s">
        <v>1416</v>
      </c>
      <c r="C696" s="433">
        <v>21666.16</v>
      </c>
    </row>
    <row r="697" spans="1:3" ht="21">
      <c r="A697" s="432">
        <v>97831</v>
      </c>
      <c r="B697" s="432" t="s">
        <v>1417</v>
      </c>
      <c r="C697" s="433">
        <v>173324.09</v>
      </c>
    </row>
    <row r="698" spans="1:3" ht="21">
      <c r="A698" s="432">
        <v>97837</v>
      </c>
      <c r="B698" s="432" t="s">
        <v>1418</v>
      </c>
      <c r="C698" s="433">
        <v>10106.91</v>
      </c>
    </row>
    <row r="699" spans="1:3" ht="21">
      <c r="A699" s="432">
        <v>97840</v>
      </c>
      <c r="B699" s="432" t="s">
        <v>1419</v>
      </c>
      <c r="C699" s="433">
        <v>183316.90000000002</v>
      </c>
    </row>
    <row r="700" spans="1:3" ht="21">
      <c r="A700" s="432">
        <v>97841</v>
      </c>
      <c r="B700" s="432" t="s">
        <v>1420</v>
      </c>
      <c r="C700" s="433">
        <v>14713.53</v>
      </c>
    </row>
    <row r="701" spans="1:3" ht="21">
      <c r="A701" s="432">
        <v>97847</v>
      </c>
      <c r="B701" s="432" t="s">
        <v>1421</v>
      </c>
      <c r="C701" s="433">
        <v>4139.16</v>
      </c>
    </row>
    <row r="702" spans="1:3" ht="21">
      <c r="A702" s="432">
        <v>97851</v>
      </c>
      <c r="B702" s="432" t="s">
        <v>1422</v>
      </c>
      <c r="C702" s="433">
        <v>207146.71</v>
      </c>
    </row>
    <row r="703" spans="1:3" ht="21">
      <c r="A703" s="432">
        <v>97853</v>
      </c>
      <c r="B703" s="432" t="s">
        <v>1423</v>
      </c>
      <c r="C703" s="433">
        <v>66004.06</v>
      </c>
    </row>
    <row r="704" spans="1:3" ht="21">
      <c r="A704" s="432">
        <v>97861</v>
      </c>
      <c r="B704" s="432" t="s">
        <v>1424</v>
      </c>
      <c r="C704" s="433">
        <v>48237.83</v>
      </c>
    </row>
    <row r="705" spans="1:3" ht="21">
      <c r="A705" s="432">
        <v>97871</v>
      </c>
      <c r="B705" s="432" t="s">
        <v>1425</v>
      </c>
      <c r="C705" s="433">
        <v>461630.55000000005</v>
      </c>
    </row>
    <row r="706" spans="1:3" ht="21">
      <c r="A706" s="432">
        <v>97877</v>
      </c>
      <c r="B706" s="432" t="s">
        <v>1426</v>
      </c>
      <c r="C706" s="433">
        <v>7971.73</v>
      </c>
    </row>
    <row r="707" spans="1:3" ht="21">
      <c r="A707" s="432">
        <v>97901</v>
      </c>
      <c r="B707" s="432" t="s">
        <v>1427</v>
      </c>
      <c r="C707" s="433">
        <v>3196799.72</v>
      </c>
    </row>
    <row r="708" spans="1:3" ht="21">
      <c r="A708" s="432">
        <v>97911</v>
      </c>
      <c r="B708" s="432" t="s">
        <v>1428</v>
      </c>
      <c r="C708" s="433">
        <v>1072257.0900000001</v>
      </c>
    </row>
    <row r="709" spans="1:3" ht="21">
      <c r="A709" s="432">
        <v>97913</v>
      </c>
      <c r="B709" s="432" t="s">
        <v>1429</v>
      </c>
      <c r="C709" s="433">
        <v>47328.09</v>
      </c>
    </row>
    <row r="710" spans="1:3" ht="21">
      <c r="A710" s="432">
        <v>97917</v>
      </c>
      <c r="B710" s="432" t="s">
        <v>1430</v>
      </c>
      <c r="C710" s="433">
        <v>31824.23</v>
      </c>
    </row>
    <row r="711" spans="1:3" ht="21">
      <c r="A711" s="432">
        <v>97921</v>
      </c>
      <c r="B711" s="432" t="s">
        <v>1431</v>
      </c>
      <c r="C711" s="433">
        <v>189859.96</v>
      </c>
    </row>
    <row r="712" spans="1:3" ht="21">
      <c r="A712" s="432">
        <v>97931</v>
      </c>
      <c r="B712" s="432" t="s">
        <v>1432</v>
      </c>
      <c r="C712" s="433">
        <v>45620.840000000004</v>
      </c>
    </row>
    <row r="713" spans="1:3" ht="21">
      <c r="A713" s="432">
        <v>97941</v>
      </c>
      <c r="B713" s="432" t="s">
        <v>1433</v>
      </c>
      <c r="C713" s="433">
        <v>186727.48</v>
      </c>
    </row>
    <row r="714" spans="1:3" ht="21">
      <c r="A714" s="432">
        <v>97947</v>
      </c>
      <c r="B714" s="432" t="s">
        <v>1434</v>
      </c>
      <c r="C714" s="433">
        <v>24470.989999999998</v>
      </c>
    </row>
    <row r="715" spans="1:3" ht="21">
      <c r="A715" s="432">
        <v>97948</v>
      </c>
      <c r="B715" s="432" t="s">
        <v>1435</v>
      </c>
      <c r="C715" s="433">
        <v>21624.639999999999</v>
      </c>
    </row>
    <row r="716" spans="1:3" ht="21">
      <c r="A716" s="432">
        <v>97951</v>
      </c>
      <c r="B716" s="432" t="s">
        <v>1436</v>
      </c>
      <c r="C716" s="433">
        <v>1052980.6400000001</v>
      </c>
    </row>
    <row r="717" spans="1:3" ht="21">
      <c r="A717" s="432">
        <v>97957</v>
      </c>
      <c r="B717" s="432" t="s">
        <v>1437</v>
      </c>
      <c r="C717" s="433">
        <v>23809.87</v>
      </c>
    </row>
    <row r="718" spans="1:3" ht="21">
      <c r="A718" s="432">
        <v>98001</v>
      </c>
      <c r="B718" s="432" t="s">
        <v>1438</v>
      </c>
      <c r="C718" s="433">
        <v>4914586.4499999993</v>
      </c>
    </row>
    <row r="719" spans="1:3" ht="21">
      <c r="A719" s="432">
        <v>98002</v>
      </c>
      <c r="B719" s="432" t="s">
        <v>1439</v>
      </c>
      <c r="C719" s="433">
        <v>5129.22</v>
      </c>
    </row>
    <row r="720" spans="1:3" ht="21">
      <c r="A720" s="432">
        <v>98003</v>
      </c>
      <c r="B720" s="432" t="s">
        <v>1440</v>
      </c>
      <c r="C720" s="433">
        <v>80763.89</v>
      </c>
    </row>
    <row r="721" spans="1:3" ht="21">
      <c r="A721" s="432">
        <v>98004</v>
      </c>
      <c r="B721" s="432" t="s">
        <v>1441</v>
      </c>
      <c r="C721" s="433">
        <v>208094.13</v>
      </c>
    </row>
    <row r="722" spans="1:3" ht="21">
      <c r="A722" s="432">
        <v>98008</v>
      </c>
      <c r="B722" s="432" t="s">
        <v>1442</v>
      </c>
      <c r="C722" s="433">
        <v>6871.41</v>
      </c>
    </row>
    <row r="723" spans="1:3" ht="21">
      <c r="A723" s="432">
        <v>98011</v>
      </c>
      <c r="B723" s="432" t="s">
        <v>1443</v>
      </c>
      <c r="C723" s="433">
        <v>2742433.3099999996</v>
      </c>
    </row>
    <row r="724" spans="1:3" ht="21">
      <c r="A724" s="432">
        <v>98013</v>
      </c>
      <c r="B724" s="432" t="s">
        <v>1444</v>
      </c>
      <c r="C724" s="433">
        <v>117381.61</v>
      </c>
    </row>
    <row r="725" spans="1:3" ht="21">
      <c r="A725" s="432">
        <v>98021</v>
      </c>
      <c r="B725" s="432" t="s">
        <v>1445</v>
      </c>
      <c r="C725" s="433">
        <v>49782.990000000005</v>
      </c>
    </row>
    <row r="726" spans="1:3" ht="21">
      <c r="A726" s="432">
        <v>98023</v>
      </c>
      <c r="B726" s="432" t="s">
        <v>1446</v>
      </c>
      <c r="C726" s="433">
        <v>4501.2</v>
      </c>
    </row>
    <row r="727" spans="1:3" ht="21">
      <c r="A727" s="432">
        <v>98031</v>
      </c>
      <c r="B727" s="432" t="s">
        <v>1447</v>
      </c>
      <c r="C727" s="433">
        <v>128788.63</v>
      </c>
    </row>
    <row r="728" spans="1:3" ht="21">
      <c r="A728" s="432">
        <v>98041</v>
      </c>
      <c r="B728" s="432" t="s">
        <v>1448</v>
      </c>
      <c r="C728" s="433">
        <v>185306.27000000002</v>
      </c>
    </row>
    <row r="729" spans="1:3" ht="21">
      <c r="A729" s="432">
        <v>98051</v>
      </c>
      <c r="B729" s="432" t="s">
        <v>1449</v>
      </c>
      <c r="C729" s="433">
        <v>252306.53999999998</v>
      </c>
    </row>
    <row r="730" spans="1:3" ht="21">
      <c r="A730" s="432">
        <v>98061</v>
      </c>
      <c r="B730" s="432" t="s">
        <v>1450</v>
      </c>
      <c r="C730" s="433">
        <v>113941.19000000002</v>
      </c>
    </row>
    <row r="731" spans="1:3" ht="21">
      <c r="A731" s="432">
        <v>98071</v>
      </c>
      <c r="B731" s="432" t="s">
        <v>1451</v>
      </c>
      <c r="C731" s="433">
        <v>60319.45</v>
      </c>
    </row>
    <row r="732" spans="1:3" ht="21">
      <c r="A732" s="432">
        <v>98081</v>
      </c>
      <c r="B732" s="432" t="s">
        <v>1452</v>
      </c>
      <c r="C732" s="433">
        <v>12566.67</v>
      </c>
    </row>
    <row r="733" spans="1:3" ht="21">
      <c r="A733" s="432">
        <v>98091</v>
      </c>
      <c r="B733" s="432" t="s">
        <v>1453</v>
      </c>
      <c r="C733" s="433">
        <v>53726.400000000001</v>
      </c>
    </row>
    <row r="734" spans="1:3" ht="21">
      <c r="A734" s="432">
        <v>98101</v>
      </c>
      <c r="B734" s="432" t="s">
        <v>1454</v>
      </c>
      <c r="C734" s="433">
        <v>2227384.42</v>
      </c>
    </row>
    <row r="735" spans="1:3" ht="21">
      <c r="A735" s="432">
        <v>98102</v>
      </c>
      <c r="B735" s="432" t="s">
        <v>1455</v>
      </c>
      <c r="C735" s="433">
        <v>161071.74</v>
      </c>
    </row>
    <row r="736" spans="1:3" ht="21">
      <c r="A736" s="432">
        <v>98103</v>
      </c>
      <c r="B736" s="432" t="s">
        <v>3725</v>
      </c>
      <c r="C736" s="433">
        <v>422277.11</v>
      </c>
    </row>
    <row r="737" spans="1:3" ht="21">
      <c r="A737" s="432">
        <v>98107</v>
      </c>
      <c r="B737" s="432" t="s">
        <v>1457</v>
      </c>
      <c r="C737" s="433">
        <v>22623.38</v>
      </c>
    </row>
    <row r="738" spans="1:3" ht="21">
      <c r="A738" s="432">
        <v>98109</v>
      </c>
      <c r="B738" s="432" t="s">
        <v>1458</v>
      </c>
      <c r="C738" s="433">
        <v>135637.13</v>
      </c>
    </row>
    <row r="739" spans="1:3" ht="21">
      <c r="A739" s="432">
        <v>98111</v>
      </c>
      <c r="B739" s="432" t="s">
        <v>1459</v>
      </c>
      <c r="C739" s="433">
        <v>814422.48</v>
      </c>
    </row>
    <row r="740" spans="1:3" ht="21">
      <c r="A740" s="432">
        <v>98113</v>
      </c>
      <c r="B740" s="432" t="s">
        <v>1460</v>
      </c>
      <c r="C740" s="433">
        <v>32557.38</v>
      </c>
    </row>
    <row r="741" spans="1:3" ht="21">
      <c r="A741" s="432">
        <v>98121</v>
      </c>
      <c r="B741" s="432" t="s">
        <v>1461</v>
      </c>
      <c r="C741" s="433">
        <v>202051.19</v>
      </c>
    </row>
    <row r="742" spans="1:3" ht="21">
      <c r="A742" s="432">
        <v>98131</v>
      </c>
      <c r="B742" s="432" t="s">
        <v>1462</v>
      </c>
      <c r="C742" s="433">
        <v>239199.97999999998</v>
      </c>
    </row>
    <row r="743" spans="1:3" ht="21">
      <c r="A743" s="432">
        <v>98141</v>
      </c>
      <c r="B743" s="432" t="s">
        <v>1463</v>
      </c>
      <c r="C743" s="433">
        <v>230861.09</v>
      </c>
    </row>
    <row r="744" spans="1:3" ht="21">
      <c r="A744" s="432">
        <v>98147</v>
      </c>
      <c r="B744" s="432" t="s">
        <v>1464</v>
      </c>
      <c r="C744" s="433">
        <v>20109.25</v>
      </c>
    </row>
    <row r="745" spans="1:3" ht="21">
      <c r="A745" s="432">
        <v>98161</v>
      </c>
      <c r="B745" s="432" t="s">
        <v>1465</v>
      </c>
      <c r="C745" s="433">
        <v>8740.74</v>
      </c>
    </row>
    <row r="746" spans="1:3" ht="21">
      <c r="A746" s="432">
        <v>98201</v>
      </c>
      <c r="B746" s="432" t="s">
        <v>1466</v>
      </c>
      <c r="C746" s="433">
        <v>2604711.5299999998</v>
      </c>
    </row>
    <row r="747" spans="1:3" ht="21">
      <c r="A747" s="432">
        <v>98205</v>
      </c>
      <c r="B747" s="432" t="s">
        <v>1467</v>
      </c>
      <c r="C747" s="433">
        <v>30135.55</v>
      </c>
    </row>
    <row r="748" spans="1:3" ht="21">
      <c r="A748" s="432">
        <v>98211</v>
      </c>
      <c r="B748" s="432" t="s">
        <v>1468</v>
      </c>
      <c r="C748" s="433">
        <v>688770.05999999994</v>
      </c>
    </row>
    <row r="749" spans="1:3" ht="21">
      <c r="A749" s="432">
        <v>98218</v>
      </c>
      <c r="B749" s="432" t="s">
        <v>1469</v>
      </c>
      <c r="C749" s="433">
        <v>17103.189999999999</v>
      </c>
    </row>
    <row r="750" spans="1:3" ht="21">
      <c r="A750" s="432">
        <v>98221</v>
      </c>
      <c r="B750" s="432" t="s">
        <v>1470</v>
      </c>
      <c r="C750" s="433">
        <v>18757.66</v>
      </c>
    </row>
    <row r="751" spans="1:3" ht="21">
      <c r="A751" s="432">
        <v>98231</v>
      </c>
      <c r="B751" s="432" t="s">
        <v>1471</v>
      </c>
      <c r="C751" s="433">
        <v>24491.72</v>
      </c>
    </row>
    <row r="752" spans="1:3" ht="21">
      <c r="A752" s="432">
        <v>98237</v>
      </c>
      <c r="B752" s="432" t="s">
        <v>1472</v>
      </c>
      <c r="C752" s="433">
        <v>6014.07</v>
      </c>
    </row>
    <row r="753" spans="1:3" ht="21">
      <c r="A753" s="432">
        <v>98241</v>
      </c>
      <c r="B753" s="432" t="s">
        <v>1473</v>
      </c>
      <c r="C753" s="433">
        <v>10604.87</v>
      </c>
    </row>
    <row r="754" spans="1:3" ht="21">
      <c r="A754" s="432">
        <v>98251</v>
      </c>
      <c r="B754" s="432" t="s">
        <v>1474</v>
      </c>
      <c r="C754" s="433">
        <v>4157.28</v>
      </c>
    </row>
    <row r="755" spans="1:3" ht="21">
      <c r="A755" s="432">
        <v>98261</v>
      </c>
      <c r="B755" s="432" t="s">
        <v>1475</v>
      </c>
      <c r="C755" s="433">
        <v>28393.9</v>
      </c>
    </row>
    <row r="756" spans="1:3" ht="21">
      <c r="A756" s="432">
        <v>98271</v>
      </c>
      <c r="B756" s="432" t="s">
        <v>1476</v>
      </c>
      <c r="C756" s="433">
        <v>5800.54</v>
      </c>
    </row>
    <row r="757" spans="1:3" ht="21">
      <c r="A757" s="432">
        <v>98301</v>
      </c>
      <c r="B757" s="432" t="s">
        <v>1477</v>
      </c>
      <c r="C757" s="433">
        <v>1631654.53</v>
      </c>
    </row>
    <row r="758" spans="1:3" ht="21">
      <c r="A758" s="432">
        <v>98304</v>
      </c>
      <c r="B758" s="432" t="s">
        <v>1478</v>
      </c>
      <c r="C758" s="433">
        <v>18979.349999999999</v>
      </c>
    </row>
    <row r="759" spans="1:3" ht="21">
      <c r="A759" s="432">
        <v>98308</v>
      </c>
      <c r="B759" s="432" t="s">
        <v>1479</v>
      </c>
      <c r="C759" s="433">
        <v>38513.949999999997</v>
      </c>
    </row>
    <row r="760" spans="1:3" ht="21">
      <c r="A760" s="432">
        <v>98311</v>
      </c>
      <c r="B760" s="432" t="s">
        <v>1480</v>
      </c>
      <c r="C760" s="433">
        <v>844001.92999999993</v>
      </c>
    </row>
    <row r="761" spans="1:3" ht="21">
      <c r="A761" s="432">
        <v>98313</v>
      </c>
      <c r="B761" s="432" t="s">
        <v>1481</v>
      </c>
      <c r="C761" s="433">
        <v>336421.69</v>
      </c>
    </row>
    <row r="762" spans="1:3" ht="21">
      <c r="A762" s="432">
        <v>98321</v>
      </c>
      <c r="B762" s="432" t="s">
        <v>1482</v>
      </c>
      <c r="C762" s="433">
        <v>14598.550000000001</v>
      </c>
    </row>
    <row r="763" spans="1:3" ht="21">
      <c r="A763" s="432">
        <v>98331</v>
      </c>
      <c r="B763" s="432" t="s">
        <v>1483</v>
      </c>
      <c r="C763" s="433">
        <v>5989.84</v>
      </c>
    </row>
    <row r="764" spans="1:3" ht="21">
      <c r="A764" s="432">
        <v>98401</v>
      </c>
      <c r="B764" s="432" t="s">
        <v>1484</v>
      </c>
      <c r="C764" s="433">
        <v>2547956.7400000002</v>
      </c>
    </row>
    <row r="765" spans="1:3" ht="21">
      <c r="A765" s="432">
        <v>98404</v>
      </c>
      <c r="B765" s="432" t="s">
        <v>1485</v>
      </c>
      <c r="C765" s="433">
        <v>26711.02</v>
      </c>
    </row>
    <row r="766" spans="1:3" ht="21">
      <c r="A766" s="432">
        <v>98411</v>
      </c>
      <c r="B766" s="432" t="s">
        <v>1486</v>
      </c>
      <c r="C766" s="433">
        <v>1554091.5499999998</v>
      </c>
    </row>
    <row r="767" spans="1:3" ht="21">
      <c r="A767" s="432">
        <v>98414</v>
      </c>
      <c r="B767" s="432" t="s">
        <v>1487</v>
      </c>
      <c r="C767" s="433">
        <v>29333.649999999998</v>
      </c>
    </row>
    <row r="768" spans="1:3" ht="21">
      <c r="A768" s="432">
        <v>98417</v>
      </c>
      <c r="B768" s="432" t="s">
        <v>1488</v>
      </c>
      <c r="C768" s="433">
        <v>29400.44</v>
      </c>
    </row>
    <row r="769" spans="1:3" ht="21">
      <c r="A769" s="432">
        <v>98421</v>
      </c>
      <c r="B769" s="432" t="s">
        <v>1489</v>
      </c>
      <c r="C769" s="433">
        <v>99769.540000000008</v>
      </c>
    </row>
    <row r="770" spans="1:3" ht="21">
      <c r="A770" s="432">
        <v>98427</v>
      </c>
      <c r="B770" s="432" t="s">
        <v>1490</v>
      </c>
      <c r="C770" s="433">
        <v>6146.66</v>
      </c>
    </row>
    <row r="771" spans="1:3" ht="21">
      <c r="A771" s="432">
        <v>98431</v>
      </c>
      <c r="B771" s="432" t="s">
        <v>1491</v>
      </c>
      <c r="C771" s="433">
        <v>173856.86000000002</v>
      </c>
    </row>
    <row r="772" spans="1:3" ht="21">
      <c r="A772" s="432">
        <v>98441</v>
      </c>
      <c r="B772" s="432" t="s">
        <v>1492</v>
      </c>
      <c r="C772" s="433">
        <v>89277.459999999992</v>
      </c>
    </row>
    <row r="773" spans="1:3" ht="21">
      <c r="A773" s="432">
        <v>98451</v>
      </c>
      <c r="B773" s="432" t="s">
        <v>1493</v>
      </c>
      <c r="C773" s="433">
        <v>41627.360000000008</v>
      </c>
    </row>
    <row r="774" spans="1:3" ht="21">
      <c r="A774" s="432">
        <v>98471</v>
      </c>
      <c r="B774" s="432" t="s">
        <v>1638</v>
      </c>
      <c r="C774" s="433">
        <v>5760.46</v>
      </c>
    </row>
    <row r="775" spans="1:3" ht="21">
      <c r="A775" s="432">
        <v>98481</v>
      </c>
      <c r="B775" s="432" t="s">
        <v>1494</v>
      </c>
      <c r="C775" s="433">
        <v>56291.42</v>
      </c>
    </row>
    <row r="776" spans="1:3" ht="21">
      <c r="A776" s="432">
        <v>98501</v>
      </c>
      <c r="B776" s="432" t="s">
        <v>1495</v>
      </c>
      <c r="C776" s="433">
        <v>1777017.21</v>
      </c>
    </row>
    <row r="777" spans="1:3" ht="21">
      <c r="A777" s="432">
        <v>98511</v>
      </c>
      <c r="B777" s="432" t="s">
        <v>1496</v>
      </c>
      <c r="C777" s="433">
        <v>55279.01</v>
      </c>
    </row>
    <row r="778" spans="1:3" ht="21">
      <c r="A778" s="432">
        <v>98517</v>
      </c>
      <c r="B778" s="432" t="s">
        <v>1497</v>
      </c>
      <c r="C778" s="433">
        <v>7786.44</v>
      </c>
    </row>
    <row r="779" spans="1:3" ht="21">
      <c r="A779" s="432">
        <v>98521</v>
      </c>
      <c r="B779" s="432" t="s">
        <v>1498</v>
      </c>
      <c r="C779" s="433">
        <v>541282.42000000004</v>
      </c>
    </row>
    <row r="780" spans="1:3" ht="21">
      <c r="A780" s="432">
        <v>98601</v>
      </c>
      <c r="B780" s="432" t="s">
        <v>1499</v>
      </c>
      <c r="C780" s="433">
        <v>2982959.59</v>
      </c>
    </row>
    <row r="781" spans="1:3" ht="21">
      <c r="A781" s="432">
        <v>98604</v>
      </c>
      <c r="B781" s="432" t="s">
        <v>1500</v>
      </c>
      <c r="C781" s="433">
        <v>17901.580000000002</v>
      </c>
    </row>
    <row r="782" spans="1:3" ht="21">
      <c r="A782" s="432">
        <v>98607</v>
      </c>
      <c r="B782" s="432" t="s">
        <v>1501</v>
      </c>
      <c r="C782" s="433">
        <v>9909.1299999999992</v>
      </c>
    </row>
    <row r="783" spans="1:3" ht="21">
      <c r="A783" s="432">
        <v>98608</v>
      </c>
      <c r="B783" s="432" t="s">
        <v>1502</v>
      </c>
      <c r="C783" s="433">
        <v>61732.88</v>
      </c>
    </row>
    <row r="784" spans="1:3" ht="21">
      <c r="A784" s="432">
        <v>98611</v>
      </c>
      <c r="B784" s="432" t="s">
        <v>1503</v>
      </c>
      <c r="C784" s="433">
        <v>97747.790000000008</v>
      </c>
    </row>
    <row r="785" spans="1:3" ht="21">
      <c r="A785" s="432">
        <v>98621</v>
      </c>
      <c r="B785" s="432" t="s">
        <v>1504</v>
      </c>
      <c r="C785" s="433">
        <v>117224.02</v>
      </c>
    </row>
    <row r="786" spans="1:3" ht="21">
      <c r="A786" s="432">
        <v>98627</v>
      </c>
      <c r="B786" s="432" t="s">
        <v>1505</v>
      </c>
      <c r="C786" s="433">
        <v>8823.19</v>
      </c>
    </row>
    <row r="787" spans="1:3" ht="21">
      <c r="A787" s="432">
        <v>98631</v>
      </c>
      <c r="B787" s="432" t="s">
        <v>1506</v>
      </c>
      <c r="C787" s="433">
        <v>794390.53</v>
      </c>
    </row>
    <row r="788" spans="1:3" ht="21">
      <c r="A788" s="432">
        <v>98637</v>
      </c>
      <c r="B788" s="432" t="s">
        <v>1507</v>
      </c>
      <c r="C788" s="433">
        <v>29160.97</v>
      </c>
    </row>
    <row r="789" spans="1:3" ht="21">
      <c r="A789" s="432">
        <v>98641</v>
      </c>
      <c r="B789" s="432" t="s">
        <v>1508</v>
      </c>
      <c r="C789" s="433">
        <v>251328.28</v>
      </c>
    </row>
    <row r="790" spans="1:3" ht="21">
      <c r="A790" s="432">
        <v>98701</v>
      </c>
      <c r="B790" s="432" t="s">
        <v>1509</v>
      </c>
      <c r="C790" s="433">
        <v>941656.13</v>
      </c>
    </row>
    <row r="791" spans="1:3" ht="21">
      <c r="A791" s="432">
        <v>98711</v>
      </c>
      <c r="B791" s="432" t="s">
        <v>1510</v>
      </c>
      <c r="C791" s="433">
        <v>142891.91999999998</v>
      </c>
    </row>
    <row r="792" spans="1:3" ht="21">
      <c r="A792" s="432">
        <v>98717</v>
      </c>
      <c r="B792" s="432" t="s">
        <v>1511</v>
      </c>
      <c r="C792" s="433">
        <v>17403.919999999998</v>
      </c>
    </row>
    <row r="793" spans="1:3" ht="21">
      <c r="A793" s="432">
        <v>98801</v>
      </c>
      <c r="B793" s="432" t="s">
        <v>1512</v>
      </c>
      <c r="C793" s="433">
        <v>2139174.35</v>
      </c>
    </row>
    <row r="794" spans="1:3" ht="21">
      <c r="A794" s="432">
        <v>98811</v>
      </c>
      <c r="B794" s="432" t="s">
        <v>1513</v>
      </c>
      <c r="C794" s="433">
        <v>582595.59</v>
      </c>
    </row>
    <row r="795" spans="1:3" ht="21">
      <c r="A795" s="432">
        <v>98817</v>
      </c>
      <c r="B795" s="432" t="s">
        <v>1514</v>
      </c>
      <c r="C795" s="433">
        <v>16954.22</v>
      </c>
    </row>
    <row r="796" spans="1:3" ht="21">
      <c r="A796" s="432">
        <v>98901</v>
      </c>
      <c r="B796" s="432" t="s">
        <v>1515</v>
      </c>
      <c r="C796" s="433">
        <v>257504.35</v>
      </c>
    </row>
    <row r="797" spans="1:3" ht="21">
      <c r="A797" s="432">
        <v>98904</v>
      </c>
      <c r="B797" s="432" t="s">
        <v>1516</v>
      </c>
      <c r="C797" s="433">
        <v>2973.24</v>
      </c>
    </row>
    <row r="798" spans="1:3" ht="21">
      <c r="A798" s="432">
        <v>98911</v>
      </c>
      <c r="B798" s="432" t="s">
        <v>1517</v>
      </c>
      <c r="C798" s="433">
        <v>30610.59</v>
      </c>
    </row>
    <row r="799" spans="1:3" ht="21">
      <c r="A799" s="432">
        <v>99001</v>
      </c>
      <c r="B799" s="432" t="s">
        <v>1518</v>
      </c>
      <c r="C799" s="433">
        <v>8341083.5999999996</v>
      </c>
    </row>
    <row r="800" spans="1:3" ht="21">
      <c r="A800" s="432">
        <v>99011</v>
      </c>
      <c r="B800" s="432" t="s">
        <v>1519</v>
      </c>
      <c r="C800" s="433">
        <v>3372694.85</v>
      </c>
    </row>
    <row r="801" spans="1:3" ht="21">
      <c r="A801" s="432">
        <v>99013</v>
      </c>
      <c r="B801" s="432" t="s">
        <v>1520</v>
      </c>
      <c r="C801" s="433">
        <v>54207.24</v>
      </c>
    </row>
    <row r="802" spans="1:3" ht="21">
      <c r="A802" s="432">
        <v>99014</v>
      </c>
      <c r="B802" s="432" t="s">
        <v>1521</v>
      </c>
      <c r="C802" s="433">
        <v>16765.77</v>
      </c>
    </row>
    <row r="803" spans="1:3" ht="21">
      <c r="A803" s="432">
        <v>99017</v>
      </c>
      <c r="B803" s="432" t="s">
        <v>1522</v>
      </c>
      <c r="C803" s="433">
        <v>39619.43</v>
      </c>
    </row>
    <row r="804" spans="1:3" ht="21">
      <c r="A804" s="432">
        <v>99021</v>
      </c>
      <c r="B804" s="432" t="s">
        <v>1523</v>
      </c>
      <c r="C804" s="433">
        <v>110076.42</v>
      </c>
    </row>
    <row r="805" spans="1:3" ht="21">
      <c r="A805" s="432">
        <v>99022</v>
      </c>
      <c r="B805" s="432" t="s">
        <v>211</v>
      </c>
      <c r="C805" s="433">
        <v>17731.2</v>
      </c>
    </row>
    <row r="806" spans="1:3" ht="21">
      <c r="A806" s="432">
        <v>99031</v>
      </c>
      <c r="B806" s="432" t="s">
        <v>1524</v>
      </c>
      <c r="C806" s="433">
        <v>98438.43</v>
      </c>
    </row>
    <row r="807" spans="1:3" ht="21">
      <c r="A807" s="432">
        <v>99041</v>
      </c>
      <c r="B807" s="432" t="s">
        <v>1525</v>
      </c>
      <c r="C807" s="433">
        <v>601260.66999999993</v>
      </c>
    </row>
    <row r="808" spans="1:3" ht="21">
      <c r="A808" s="432">
        <v>99047</v>
      </c>
      <c r="B808" s="432" t="s">
        <v>1526</v>
      </c>
      <c r="C808" s="433">
        <v>22890.55</v>
      </c>
    </row>
    <row r="809" spans="1:3" ht="21">
      <c r="A809" s="432">
        <v>99051</v>
      </c>
      <c r="B809" s="432" t="s">
        <v>1527</v>
      </c>
      <c r="C809" s="433">
        <v>290380.84999999998</v>
      </c>
    </row>
    <row r="810" spans="1:3" ht="21">
      <c r="A810" s="432">
        <v>99061</v>
      </c>
      <c r="B810" s="432" t="s">
        <v>1528</v>
      </c>
      <c r="C810" s="433">
        <v>7722.38</v>
      </c>
    </row>
    <row r="811" spans="1:3" ht="21">
      <c r="A811" s="432">
        <v>99071</v>
      </c>
      <c r="B811" s="432" t="s">
        <v>1529</v>
      </c>
      <c r="C811" s="433">
        <v>18260.47</v>
      </c>
    </row>
    <row r="812" spans="1:3" ht="21">
      <c r="A812" s="432">
        <v>99081</v>
      </c>
      <c r="B812" s="432" t="s">
        <v>1530</v>
      </c>
      <c r="C812" s="433">
        <v>47209.33</v>
      </c>
    </row>
    <row r="813" spans="1:3" ht="21">
      <c r="A813" s="432">
        <v>99091</v>
      </c>
      <c r="B813" s="432" t="s">
        <v>1531</v>
      </c>
      <c r="C813" s="433">
        <v>11315.85</v>
      </c>
    </row>
    <row r="814" spans="1:3" ht="21">
      <c r="A814" s="432">
        <v>99101</v>
      </c>
      <c r="B814" s="432" t="s">
        <v>1532</v>
      </c>
      <c r="C814" s="433">
        <v>1576357.38</v>
      </c>
    </row>
    <row r="815" spans="1:3" ht="21">
      <c r="A815" s="432">
        <v>99104</v>
      </c>
      <c r="B815" s="432" t="s">
        <v>1533</v>
      </c>
      <c r="C815" s="433">
        <v>52409.09</v>
      </c>
    </row>
    <row r="816" spans="1:3" ht="21">
      <c r="A816" s="432">
        <v>99109</v>
      </c>
      <c r="B816" s="432" t="s">
        <v>1534</v>
      </c>
      <c r="C816" s="433">
        <v>108859.72</v>
      </c>
    </row>
    <row r="817" spans="1:3" ht="21">
      <c r="A817" s="432">
        <v>99110</v>
      </c>
      <c r="B817" s="432" t="s">
        <v>1535</v>
      </c>
      <c r="C817" s="433">
        <v>225969.84</v>
      </c>
    </row>
    <row r="818" spans="1:3" ht="21">
      <c r="A818" s="432">
        <v>99111</v>
      </c>
      <c r="B818" s="432" t="s">
        <v>1536</v>
      </c>
      <c r="C818" s="433">
        <v>1075154.94</v>
      </c>
    </row>
    <row r="819" spans="1:3" ht="21">
      <c r="A819" s="432">
        <v>99201</v>
      </c>
      <c r="B819" s="432" t="s">
        <v>3738</v>
      </c>
      <c r="C819" s="433">
        <v>31817070.420000002</v>
      </c>
    </row>
    <row r="820" spans="1:3" ht="21">
      <c r="A820" s="432">
        <v>99202</v>
      </c>
      <c r="B820" s="432" t="s">
        <v>1538</v>
      </c>
      <c r="C820" s="433">
        <v>2417902.96</v>
      </c>
    </row>
    <row r="821" spans="1:3" ht="21">
      <c r="A821" s="432">
        <v>99203</v>
      </c>
      <c r="B821" s="432" t="s">
        <v>1539</v>
      </c>
      <c r="C821" s="433">
        <v>339133.37</v>
      </c>
    </row>
    <row r="822" spans="1:3" ht="21">
      <c r="A822" s="432">
        <v>99204</v>
      </c>
      <c r="B822" s="432" t="s">
        <v>1540</v>
      </c>
      <c r="C822" s="433">
        <v>994098.06</v>
      </c>
    </row>
    <row r="823" spans="1:3" ht="21">
      <c r="A823" s="432">
        <v>99206</v>
      </c>
      <c r="B823" s="432" t="s">
        <v>1541</v>
      </c>
      <c r="C823" s="433">
        <v>1706376.73</v>
      </c>
    </row>
    <row r="824" spans="1:3" ht="21">
      <c r="A824" s="432">
        <v>99207</v>
      </c>
      <c r="B824" s="432" t="s">
        <v>1542</v>
      </c>
      <c r="C824" s="433">
        <v>268088.21000000002</v>
      </c>
    </row>
    <row r="825" spans="1:3" ht="21">
      <c r="A825" s="432">
        <v>99208</v>
      </c>
      <c r="B825" s="432" t="s">
        <v>1543</v>
      </c>
      <c r="C825" s="433">
        <v>292489.78999999998</v>
      </c>
    </row>
    <row r="826" spans="1:3" ht="21">
      <c r="A826" s="432">
        <v>99210</v>
      </c>
      <c r="B826" s="432" t="s">
        <v>1544</v>
      </c>
      <c r="C826" s="433">
        <v>1771211.75</v>
      </c>
    </row>
    <row r="827" spans="1:3" ht="21">
      <c r="A827" s="432">
        <v>99211</v>
      </c>
      <c r="B827" s="432" t="s">
        <v>1545</v>
      </c>
      <c r="C827" s="433">
        <v>30241600.000000004</v>
      </c>
    </row>
    <row r="828" spans="1:3" ht="21">
      <c r="A828" s="432">
        <v>99212</v>
      </c>
      <c r="B828" s="432" t="s">
        <v>1546</v>
      </c>
      <c r="C828" s="433">
        <v>50756.23</v>
      </c>
    </row>
    <row r="829" spans="1:3" ht="21">
      <c r="A829" s="432">
        <v>99213</v>
      </c>
      <c r="B829" s="432" t="s">
        <v>1547</v>
      </c>
      <c r="C829" s="433">
        <v>569077.76000000001</v>
      </c>
    </row>
    <row r="830" spans="1:3" ht="21">
      <c r="A830" s="432">
        <v>99218</v>
      </c>
      <c r="B830" s="432" t="s">
        <v>1548</v>
      </c>
      <c r="C830" s="433">
        <v>3088727.25</v>
      </c>
    </row>
    <row r="831" spans="1:3" ht="21">
      <c r="A831" s="432">
        <v>99219</v>
      </c>
      <c r="B831" s="432" t="s">
        <v>3758</v>
      </c>
      <c r="C831" s="433">
        <v>18370.03</v>
      </c>
    </row>
    <row r="832" spans="1:3" ht="21">
      <c r="A832" s="432">
        <v>99221</v>
      </c>
      <c r="B832" s="432" t="s">
        <v>1549</v>
      </c>
      <c r="C832" s="433">
        <v>10871612.209999999</v>
      </c>
    </row>
    <row r="833" spans="1:3" ht="21">
      <c r="A833" s="432">
        <v>99222</v>
      </c>
      <c r="B833" s="432" t="s">
        <v>1550</v>
      </c>
      <c r="C833" s="433">
        <v>28786.23</v>
      </c>
    </row>
    <row r="834" spans="1:3" ht="21">
      <c r="A834" s="432">
        <v>99231</v>
      </c>
      <c r="B834" s="432" t="s">
        <v>1551</v>
      </c>
      <c r="C834" s="433">
        <v>433402.16</v>
      </c>
    </row>
    <row r="835" spans="1:3" ht="21">
      <c r="A835" s="432">
        <v>99241</v>
      </c>
      <c r="B835" s="432" t="s">
        <v>1552</v>
      </c>
      <c r="C835" s="433">
        <v>477425.11000000004</v>
      </c>
    </row>
    <row r="836" spans="1:3" ht="21">
      <c r="A836" s="432">
        <v>99251</v>
      </c>
      <c r="B836" s="432" t="s">
        <v>1553</v>
      </c>
      <c r="C836" s="433">
        <v>1492657.49</v>
      </c>
    </row>
    <row r="837" spans="1:3" ht="21">
      <c r="A837" s="432">
        <v>99252</v>
      </c>
      <c r="B837" s="432" t="s">
        <v>1554</v>
      </c>
      <c r="C837" s="433">
        <v>530971.44000000006</v>
      </c>
    </row>
    <row r="838" spans="1:3" ht="21">
      <c r="A838" s="432">
        <v>99261</v>
      </c>
      <c r="B838" s="432" t="s">
        <v>1555</v>
      </c>
      <c r="C838" s="433">
        <v>1989013.82</v>
      </c>
    </row>
    <row r="839" spans="1:3" ht="21">
      <c r="A839" s="432">
        <v>99271</v>
      </c>
      <c r="B839" s="432" t="s">
        <v>1556</v>
      </c>
      <c r="C839" s="433">
        <v>4101358.72</v>
      </c>
    </row>
    <row r="840" spans="1:3" ht="21">
      <c r="A840" s="432">
        <v>99281</v>
      </c>
      <c r="B840" s="432" t="s">
        <v>1557</v>
      </c>
      <c r="C840" s="433">
        <v>2827986.15</v>
      </c>
    </row>
    <row r="841" spans="1:3" ht="21">
      <c r="A841" s="432">
        <v>99291</v>
      </c>
      <c r="B841" s="432" t="s">
        <v>1558</v>
      </c>
      <c r="C841" s="433">
        <v>889497.13</v>
      </c>
    </row>
    <row r="842" spans="1:3" ht="21">
      <c r="A842" s="432">
        <v>99301</v>
      </c>
      <c r="B842" s="432" t="s">
        <v>1559</v>
      </c>
      <c r="C842" s="433">
        <v>1237000.68</v>
      </c>
    </row>
    <row r="843" spans="1:3" ht="21">
      <c r="A843" s="432">
        <v>99304</v>
      </c>
      <c r="B843" s="432" t="s">
        <v>1560</v>
      </c>
      <c r="C843" s="433">
        <v>13342.04</v>
      </c>
    </row>
    <row r="844" spans="1:3" ht="21">
      <c r="A844" s="432">
        <v>99311</v>
      </c>
      <c r="B844" s="432" t="s">
        <v>1561</v>
      </c>
      <c r="C844" s="433">
        <v>43341.409999999996</v>
      </c>
    </row>
    <row r="845" spans="1:3" ht="21">
      <c r="A845" s="432">
        <v>99321</v>
      </c>
      <c r="B845" s="432" t="s">
        <v>1562</v>
      </c>
      <c r="C845" s="433">
        <v>154103.13</v>
      </c>
    </row>
    <row r="846" spans="1:3" ht="21">
      <c r="A846" s="432">
        <v>99401</v>
      </c>
      <c r="B846" s="432" t="s">
        <v>1563</v>
      </c>
      <c r="C846" s="433">
        <v>694751.45</v>
      </c>
    </row>
    <row r="847" spans="1:3" ht="21">
      <c r="A847" s="432">
        <v>99404</v>
      </c>
      <c r="B847" s="432" t="s">
        <v>1564</v>
      </c>
      <c r="C847" s="433">
        <v>10007.08</v>
      </c>
    </row>
    <row r="848" spans="1:3" ht="21">
      <c r="A848" s="432">
        <v>99405</v>
      </c>
      <c r="B848" s="432" t="s">
        <v>1565</v>
      </c>
      <c r="C848" s="433">
        <v>55562.43</v>
      </c>
    </row>
    <row r="849" spans="1:3" ht="21">
      <c r="A849" s="432">
        <v>99411</v>
      </c>
      <c r="B849" s="432" t="s">
        <v>1566</v>
      </c>
      <c r="C849" s="433">
        <v>135647.84</v>
      </c>
    </row>
    <row r="850" spans="1:3" ht="21">
      <c r="A850" s="432">
        <v>99413</v>
      </c>
      <c r="B850" s="432" t="s">
        <v>1567</v>
      </c>
      <c r="C850" s="433">
        <v>49089.68</v>
      </c>
    </row>
    <row r="851" spans="1:3" ht="21">
      <c r="A851" s="432">
        <v>99421</v>
      </c>
      <c r="B851" s="432" t="s">
        <v>1568</v>
      </c>
      <c r="C851" s="433">
        <v>7101.85</v>
      </c>
    </row>
    <row r="852" spans="1:3" ht="21">
      <c r="A852" s="432">
        <v>99431</v>
      </c>
      <c r="B852" s="432" t="s">
        <v>1569</v>
      </c>
      <c r="C852" s="433">
        <v>13650.32</v>
      </c>
    </row>
    <row r="853" spans="1:3" ht="21">
      <c r="A853" s="432">
        <v>99501</v>
      </c>
      <c r="B853" s="432" t="s">
        <v>1570</v>
      </c>
      <c r="C853" s="433">
        <v>1568637.5300000003</v>
      </c>
    </row>
    <row r="854" spans="1:3" ht="21">
      <c r="A854" s="432">
        <v>99502</v>
      </c>
      <c r="B854" s="432" t="s">
        <v>1571</v>
      </c>
      <c r="C854" s="433">
        <v>125792.78</v>
      </c>
    </row>
    <row r="855" spans="1:3" ht="21">
      <c r="A855" s="432">
        <v>99508</v>
      </c>
      <c r="B855" s="432" t="s">
        <v>1572</v>
      </c>
      <c r="C855" s="433">
        <v>18265.990000000002</v>
      </c>
    </row>
    <row r="856" spans="1:3" ht="21">
      <c r="A856" s="432">
        <v>99509</v>
      </c>
      <c r="B856" s="432" t="s">
        <v>1573</v>
      </c>
      <c r="C856" s="433">
        <v>21206.82</v>
      </c>
    </row>
    <row r="857" spans="1:3" ht="21">
      <c r="A857" s="432">
        <v>99511</v>
      </c>
      <c r="B857" s="432" t="s">
        <v>1574</v>
      </c>
      <c r="C857" s="433">
        <v>1161648.0900000001</v>
      </c>
    </row>
    <row r="858" spans="1:3" ht="21">
      <c r="A858" s="432">
        <v>99521</v>
      </c>
      <c r="B858" s="432" t="s">
        <v>1575</v>
      </c>
      <c r="C858" s="433">
        <v>410831.48000000004</v>
      </c>
    </row>
    <row r="859" spans="1:3" ht="21">
      <c r="A859" s="432">
        <v>99527</v>
      </c>
      <c r="B859" s="432" t="s">
        <v>1576</v>
      </c>
      <c r="C859" s="433">
        <v>13568.84</v>
      </c>
    </row>
    <row r="860" spans="1:3" ht="21">
      <c r="A860" s="432">
        <v>99531</v>
      </c>
      <c r="B860" s="432" t="s">
        <v>1577</v>
      </c>
      <c r="C860" s="433">
        <v>121649.85</v>
      </c>
    </row>
    <row r="861" spans="1:3" ht="21">
      <c r="A861" s="432">
        <v>99601</v>
      </c>
      <c r="B861" s="432" t="s">
        <v>1578</v>
      </c>
      <c r="C861" s="433">
        <v>4260196.2299999995</v>
      </c>
    </row>
    <row r="862" spans="1:3" ht="21">
      <c r="A862" s="432">
        <v>99602</v>
      </c>
      <c r="B862" s="432" t="s">
        <v>1579</v>
      </c>
      <c r="C862" s="433">
        <v>46635.47</v>
      </c>
    </row>
    <row r="863" spans="1:3" ht="21">
      <c r="A863" s="432">
        <v>99603</v>
      </c>
      <c r="B863" s="432" t="s">
        <v>1580</v>
      </c>
      <c r="C863" s="433">
        <v>160467.72</v>
      </c>
    </row>
    <row r="864" spans="1:3" ht="21">
      <c r="A864" s="432">
        <v>99604</v>
      </c>
      <c r="B864" s="432" t="s">
        <v>1581</v>
      </c>
      <c r="C864" s="433">
        <v>106531.47</v>
      </c>
    </row>
    <row r="865" spans="1:3" ht="21">
      <c r="A865" s="432">
        <v>99609</v>
      </c>
      <c r="B865" s="432" t="s">
        <v>1582</v>
      </c>
      <c r="C865" s="433">
        <v>21920.65</v>
      </c>
    </row>
    <row r="866" spans="1:3" ht="21">
      <c r="A866" s="432">
        <v>99610</v>
      </c>
      <c r="B866" s="432" t="s">
        <v>1583</v>
      </c>
      <c r="C866" s="433">
        <v>167072.51999999999</v>
      </c>
    </row>
    <row r="867" spans="1:3" ht="21">
      <c r="A867" s="432">
        <v>99611</v>
      </c>
      <c r="B867" s="432" t="s">
        <v>1584</v>
      </c>
      <c r="C867" s="433">
        <v>2396382.3199999998</v>
      </c>
    </row>
    <row r="868" spans="1:3" ht="21">
      <c r="A868" s="432">
        <v>99613</v>
      </c>
      <c r="B868" s="432" t="s">
        <v>1585</v>
      </c>
      <c r="C868" s="433">
        <v>312730.25</v>
      </c>
    </row>
    <row r="869" spans="1:3" ht="21">
      <c r="A869" s="432">
        <v>99621</v>
      </c>
      <c r="B869" s="432" t="s">
        <v>1586</v>
      </c>
      <c r="C869" s="433">
        <v>305288.47000000003</v>
      </c>
    </row>
    <row r="870" spans="1:3" ht="21">
      <c r="A870" s="432">
        <v>99623</v>
      </c>
      <c r="B870" s="432" t="s">
        <v>1587</v>
      </c>
      <c r="C870" s="433">
        <v>12776.63</v>
      </c>
    </row>
    <row r="871" spans="1:3" ht="21">
      <c r="A871" s="432">
        <v>99624</v>
      </c>
      <c r="B871" s="432" t="s">
        <v>3759</v>
      </c>
      <c r="C871" s="433">
        <v>78994.94</v>
      </c>
    </row>
    <row r="872" spans="1:3" ht="21">
      <c r="A872" s="432">
        <v>99631</v>
      </c>
      <c r="B872" s="432" t="s">
        <v>1588</v>
      </c>
      <c r="C872" s="433">
        <v>66298.650000000009</v>
      </c>
    </row>
    <row r="873" spans="1:3" ht="21">
      <c r="A873" s="432">
        <v>99651</v>
      </c>
      <c r="B873" s="432" t="s">
        <v>1589</v>
      </c>
      <c r="C873" s="433">
        <v>36963.93</v>
      </c>
    </row>
    <row r="874" spans="1:3" ht="21">
      <c r="A874" s="432">
        <v>99661</v>
      </c>
      <c r="B874" s="432" t="s">
        <v>1590</v>
      </c>
      <c r="C874" s="433">
        <v>38496.89</v>
      </c>
    </row>
    <row r="875" spans="1:3" ht="21">
      <c r="A875" s="432">
        <v>99701</v>
      </c>
      <c r="B875" s="432" t="s">
        <v>1591</v>
      </c>
      <c r="C875" s="433">
        <v>2483744.94</v>
      </c>
    </row>
    <row r="876" spans="1:3" ht="21">
      <c r="A876" s="432">
        <v>99705</v>
      </c>
      <c r="B876" s="432" t="s">
        <v>1592</v>
      </c>
      <c r="C876" s="433">
        <v>157615.39000000001</v>
      </c>
    </row>
    <row r="877" spans="1:3" ht="21">
      <c r="A877" s="432">
        <v>99711</v>
      </c>
      <c r="B877" s="432" t="s">
        <v>1593</v>
      </c>
      <c r="C877" s="433">
        <v>350359.55</v>
      </c>
    </row>
    <row r="878" spans="1:3" ht="21">
      <c r="A878" s="432">
        <v>99717</v>
      </c>
      <c r="B878" s="432" t="s">
        <v>1594</v>
      </c>
      <c r="C878" s="433">
        <v>17922.189999999999</v>
      </c>
    </row>
    <row r="879" spans="1:3" ht="21">
      <c r="A879" s="432">
        <v>99721</v>
      </c>
      <c r="B879" s="432" t="s">
        <v>1595</v>
      </c>
      <c r="C879" s="433">
        <v>520990.83</v>
      </c>
    </row>
    <row r="880" spans="1:3" ht="21">
      <c r="A880" s="432">
        <v>99727</v>
      </c>
      <c r="B880" s="432" t="s">
        <v>1596</v>
      </c>
      <c r="C880" s="433">
        <v>27987.02</v>
      </c>
    </row>
    <row r="881" spans="1:3" ht="21">
      <c r="A881" s="432">
        <v>99801</v>
      </c>
      <c r="B881" s="432" t="s">
        <v>1597</v>
      </c>
      <c r="C881" s="433">
        <v>3794400.06</v>
      </c>
    </row>
    <row r="882" spans="1:3" ht="21">
      <c r="A882" s="432">
        <v>99802</v>
      </c>
      <c r="B882" s="432" t="s">
        <v>1598</v>
      </c>
      <c r="C882" s="433">
        <v>8931.6200000000008</v>
      </c>
    </row>
    <row r="883" spans="1:3" ht="21">
      <c r="A883" s="432">
        <v>99804</v>
      </c>
      <c r="B883" s="432" t="s">
        <v>1599</v>
      </c>
      <c r="C883" s="433">
        <v>99086.52</v>
      </c>
    </row>
    <row r="884" spans="1:3" ht="21">
      <c r="A884" s="432">
        <v>99811</v>
      </c>
      <c r="B884" s="432" t="s">
        <v>1600</v>
      </c>
      <c r="C884" s="433">
        <v>5057340.88</v>
      </c>
    </row>
    <row r="885" spans="1:3" ht="21">
      <c r="A885" s="432">
        <v>99812</v>
      </c>
      <c r="B885" s="432" t="s">
        <v>1601</v>
      </c>
      <c r="C885" s="433">
        <v>35728.76</v>
      </c>
    </row>
    <row r="886" spans="1:3" ht="21">
      <c r="A886" s="432">
        <v>99818</v>
      </c>
      <c r="B886" s="432" t="s">
        <v>1602</v>
      </c>
      <c r="C886" s="433">
        <v>31725.82</v>
      </c>
    </row>
    <row r="887" spans="1:3" ht="21">
      <c r="A887" s="432">
        <v>99821</v>
      </c>
      <c r="B887" s="432" t="s">
        <v>1603</v>
      </c>
      <c r="C887" s="433">
        <v>79841.440000000002</v>
      </c>
    </row>
    <row r="888" spans="1:3" ht="21">
      <c r="A888" s="432">
        <v>99831</v>
      </c>
      <c r="B888" s="432" t="s">
        <v>1604</v>
      </c>
      <c r="C888" s="433">
        <v>44228.319999999992</v>
      </c>
    </row>
    <row r="889" spans="1:3" ht="21">
      <c r="A889" s="432">
        <v>99841</v>
      </c>
      <c r="B889" s="432" t="s">
        <v>1605</v>
      </c>
      <c r="C889" s="433">
        <v>40023.19</v>
      </c>
    </row>
    <row r="890" spans="1:3" ht="21">
      <c r="A890" s="432">
        <v>99851</v>
      </c>
      <c r="B890" s="432" t="s">
        <v>1606</v>
      </c>
      <c r="C890" s="433">
        <v>13057.78</v>
      </c>
    </row>
    <row r="891" spans="1:3" ht="21">
      <c r="A891" s="432">
        <v>99901</v>
      </c>
      <c r="B891" s="432" t="s">
        <v>1607</v>
      </c>
      <c r="C891" s="433">
        <v>1371390.2200000002</v>
      </c>
    </row>
    <row r="892" spans="1:3" ht="21">
      <c r="A892" s="432">
        <v>99911</v>
      </c>
      <c r="B892" s="432" t="s">
        <v>1608</v>
      </c>
      <c r="C892" s="433">
        <v>224201.80000000002</v>
      </c>
    </row>
    <row r="893" spans="1:3" ht="21">
      <c r="A893" s="432">
        <v>99921</v>
      </c>
      <c r="B893" s="432" t="s">
        <v>1609</v>
      </c>
      <c r="C893" s="433">
        <v>115791.72</v>
      </c>
    </row>
    <row r="894" spans="1:3" ht="21">
      <c r="A894" s="432">
        <v>99931</v>
      </c>
      <c r="B894" s="432" t="s">
        <v>1610</v>
      </c>
      <c r="C894" s="433">
        <v>21065.769999999997</v>
      </c>
    </row>
    <row r="895" spans="1:3" ht="21">
      <c r="A895" s="432">
        <v>99941</v>
      </c>
      <c r="B895" s="432" t="s">
        <v>1611</v>
      </c>
      <c r="C895" s="433">
        <v>50644.89</v>
      </c>
    </row>
    <row r="896" spans="1:3" ht="21">
      <c r="A896" s="432">
        <v>99991</v>
      </c>
      <c r="B896" s="432" t="s">
        <v>1612</v>
      </c>
      <c r="C896" s="433">
        <v>430715.86</v>
      </c>
    </row>
    <row r="897" spans="1:3" ht="21">
      <c r="A897" s="432">
        <v>99999</v>
      </c>
      <c r="B897" s="432" t="s">
        <v>1613</v>
      </c>
      <c r="C897" s="450">
        <v>1015016.15</v>
      </c>
    </row>
    <row r="898" spans="1:3" ht="21">
      <c r="A898" s="451" t="s">
        <v>691</v>
      </c>
      <c r="B898" s="432" t="s">
        <v>3766</v>
      </c>
      <c r="C898" s="450">
        <v>0</v>
      </c>
    </row>
    <row r="899" spans="1:3" ht="21">
      <c r="A899" s="432"/>
      <c r="B899" s="432"/>
      <c r="C899" s="450"/>
    </row>
    <row r="900" spans="1:3" ht="21">
      <c r="A900" s="432"/>
      <c r="B900" s="434" t="s">
        <v>711</v>
      </c>
      <c r="C900" s="435">
        <f>SUM(C3:C898)</f>
        <v>875924963.35999978</v>
      </c>
    </row>
    <row r="901" spans="1:3" ht="23.25">
      <c r="A901" s="412"/>
      <c r="B901" s="412"/>
    </row>
    <row r="902" spans="1:3" ht="23.25">
      <c r="A902" s="412"/>
      <c r="B902" s="412"/>
    </row>
    <row r="903" spans="1:3" ht="23.25">
      <c r="A903" s="412"/>
      <c r="B903" s="412"/>
    </row>
    <row r="904" spans="1:3" ht="23.25">
      <c r="A904" s="412"/>
      <c r="B904" s="412"/>
    </row>
    <row r="905" spans="1:3" ht="23.25">
      <c r="A905" s="412"/>
      <c r="B905" s="412"/>
    </row>
    <row r="906" spans="1:3" ht="23.25">
      <c r="A906" s="412"/>
      <c r="B906" s="412"/>
    </row>
    <row r="907" spans="1:3" ht="23.25">
      <c r="A907" s="412"/>
      <c r="B907" s="412"/>
    </row>
    <row r="908" spans="1:3" ht="23.25">
      <c r="A908" s="412"/>
      <c r="B908" s="412"/>
    </row>
    <row r="909" spans="1:3" ht="23.25">
      <c r="A909" s="412"/>
      <c r="B909" s="412"/>
    </row>
    <row r="910" spans="1:3" ht="23.25">
      <c r="A910" s="412"/>
      <c r="B910" s="412"/>
    </row>
    <row r="911" spans="1:3" ht="23.25">
      <c r="A911" s="412"/>
      <c r="B911" s="412"/>
    </row>
    <row r="912" spans="1:3" ht="23.25">
      <c r="A912" s="412"/>
      <c r="B912" s="412"/>
    </row>
    <row r="913" spans="1:2" ht="23.25">
      <c r="A913" s="412"/>
      <c r="B913" s="412"/>
    </row>
    <row r="914" spans="1:2" ht="23.25">
      <c r="A914" s="412"/>
      <c r="B914" s="41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1910"/>
  <sheetViews>
    <sheetView zoomScale="90" zoomScaleNormal="90" workbookViewId="0">
      <pane ySplit="7" topLeftCell="A8" activePane="bottomLeft" state="frozen"/>
      <selection activeCell="E4" sqref="E4"/>
      <selection pane="bottomLeft"/>
    </sheetView>
  </sheetViews>
  <sheetFormatPr defaultColWidth="9.140625" defaultRowHeight="15"/>
  <cols>
    <col min="1" max="1" width="10.5703125" style="225" customWidth="1"/>
    <col min="2" max="2" width="48.85546875" style="225" customWidth="1"/>
    <col min="3" max="3" width="13.85546875" style="225" customWidth="1"/>
    <col min="4" max="4" width="13.85546875" style="234" customWidth="1"/>
    <col min="5" max="5" width="30.140625" style="225" customWidth="1"/>
    <col min="6" max="6" width="3.85546875" style="225" customWidth="1"/>
    <col min="7" max="7" width="18.28515625" style="225" customWidth="1"/>
    <col min="8" max="8" width="20" style="89" customWidth="1"/>
    <col min="9" max="9" width="16.85546875" style="225" customWidth="1"/>
    <col min="10" max="10" width="19.42578125" style="225" customWidth="1"/>
    <col min="11" max="11" width="20" style="89" customWidth="1"/>
    <col min="12" max="12" width="3.85546875" style="225" customWidth="1"/>
    <col min="13" max="13" width="18.28515625" style="225" customWidth="1"/>
    <col min="14" max="14" width="11.85546875" style="225" customWidth="1"/>
    <col min="15" max="15" width="19.42578125" style="225" customWidth="1"/>
    <col min="16" max="16" width="20" style="89" customWidth="1"/>
    <col min="17" max="17" width="3.85546875" style="225" customWidth="1"/>
    <col min="18" max="18" width="21.140625" style="225" bestFit="1" customWidth="1"/>
    <col min="19" max="19" width="22.42578125" style="225" customWidth="1"/>
    <col min="20" max="20" width="19.140625" style="225" bestFit="1" customWidth="1"/>
    <col min="21" max="21" width="13.28515625" style="225" bestFit="1" customWidth="1"/>
    <col min="22" max="16384" width="9.140625" style="225"/>
  </cols>
  <sheetData>
    <row r="1" spans="1:21" ht="30">
      <c r="A1" s="225" t="s">
        <v>3583</v>
      </c>
      <c r="C1" s="370" t="s">
        <v>3717</v>
      </c>
      <c r="D1" s="371" t="s">
        <v>3718</v>
      </c>
      <c r="H1" s="225"/>
    </row>
    <row r="2" spans="1:21">
      <c r="A2" s="225" t="s">
        <v>1920</v>
      </c>
      <c r="C2" s="366">
        <v>0</v>
      </c>
      <c r="D2" s="366">
        <v>0</v>
      </c>
      <c r="E2" s="232">
        <v>0</v>
      </c>
      <c r="G2" s="232">
        <v>0</v>
      </c>
      <c r="H2" s="232">
        <v>0</v>
      </c>
      <c r="I2" s="232">
        <v>0</v>
      </c>
      <c r="J2" s="232">
        <v>0</v>
      </c>
      <c r="K2" s="232">
        <v>0</v>
      </c>
      <c r="M2" s="232">
        <v>0</v>
      </c>
      <c r="N2" s="232">
        <v>0</v>
      </c>
      <c r="O2" s="232">
        <v>0</v>
      </c>
      <c r="P2" s="232">
        <v>0</v>
      </c>
      <c r="R2" s="232">
        <v>0</v>
      </c>
      <c r="S2" s="232">
        <v>0</v>
      </c>
      <c r="T2" s="232">
        <v>0</v>
      </c>
    </row>
    <row r="3" spans="1:21" s="95" customFormat="1">
      <c r="A3" s="90"/>
      <c r="B3" s="54" t="s">
        <v>711</v>
      </c>
      <c r="C3" s="341">
        <f>SUM(C8:C920)</f>
        <v>1.0000000000000009</v>
      </c>
      <c r="D3" s="341">
        <f>SUM(D8:D920)</f>
        <v>1.0000000000000002</v>
      </c>
      <c r="E3" s="232">
        <f>SUM(E8:E920)</f>
        <v>2730922015</v>
      </c>
      <c r="F3" s="232"/>
      <c r="G3" s="232">
        <f>SUM(G8:G920)</f>
        <v>467603002</v>
      </c>
      <c r="H3" s="232">
        <f>SUM(H8:H920)</f>
        <v>66610997</v>
      </c>
      <c r="I3" s="232">
        <f>SUM(I8:I920)</f>
        <v>445095014</v>
      </c>
      <c r="J3" s="232">
        <f>SUM(J8:J920)</f>
        <v>38373065</v>
      </c>
      <c r="K3" s="232">
        <f>SUM(K8:K920)</f>
        <v>1017682078</v>
      </c>
      <c r="L3" s="232"/>
      <c r="M3" s="232">
        <f>SUM(M8:M920)</f>
        <v>0</v>
      </c>
      <c r="N3" s="232">
        <f>SUM(N8:N920)</f>
        <v>0</v>
      </c>
      <c r="O3" s="232">
        <f>SUM(O8:O920)</f>
        <v>38372960</v>
      </c>
      <c r="P3" s="232">
        <f>SUM(P8:P920)</f>
        <v>38372960</v>
      </c>
      <c r="Q3" s="232"/>
      <c r="R3" s="232">
        <f>SUM(R8:R920)</f>
        <v>1216512993</v>
      </c>
      <c r="S3" s="232">
        <f>SUM(S8:S920)</f>
        <v>24</v>
      </c>
      <c r="T3" s="232">
        <f>SUM(T8:T920)</f>
        <v>1216513017</v>
      </c>
      <c r="U3" s="92"/>
    </row>
    <row r="4" spans="1:21" s="95" customFormat="1">
      <c r="A4" s="90"/>
      <c r="B4" s="54" t="s">
        <v>3513</v>
      </c>
      <c r="C4" s="341">
        <v>1</v>
      </c>
      <c r="D4" s="341">
        <v>1.0000000000000002</v>
      </c>
      <c r="E4" s="302">
        <v>2730922015</v>
      </c>
      <c r="F4" s="92"/>
      <c r="G4" s="92">
        <v>467603002</v>
      </c>
      <c r="H4" s="237">
        <v>66610997</v>
      </c>
      <c r="I4" s="92">
        <v>445095014</v>
      </c>
      <c r="J4" s="92">
        <v>38373065</v>
      </c>
      <c r="K4" s="237">
        <v>1017682078</v>
      </c>
      <c r="L4" s="92"/>
      <c r="M4" s="232">
        <v>0</v>
      </c>
      <c r="N4" s="232">
        <v>0</v>
      </c>
      <c r="O4" s="92">
        <v>38372960</v>
      </c>
      <c r="P4" s="94">
        <v>38372960</v>
      </c>
      <c r="Q4" s="93"/>
      <c r="R4" s="93">
        <v>1216512993</v>
      </c>
      <c r="S4" s="93">
        <v>24</v>
      </c>
      <c r="T4" s="93">
        <v>1216513017</v>
      </c>
    </row>
    <row r="5" spans="1:21">
      <c r="B5">
        <v>0</v>
      </c>
      <c r="C5">
        <v>0</v>
      </c>
      <c r="D5">
        <v>0</v>
      </c>
      <c r="E5">
        <v>0</v>
      </c>
      <c r="G5">
        <v>0</v>
      </c>
      <c r="H5">
        <v>0</v>
      </c>
      <c r="I5">
        <v>0</v>
      </c>
      <c r="J5">
        <v>0</v>
      </c>
      <c r="K5">
        <v>0</v>
      </c>
      <c r="M5">
        <v>0</v>
      </c>
      <c r="N5">
        <v>0</v>
      </c>
      <c r="O5">
        <v>0</v>
      </c>
      <c r="P5">
        <v>0</v>
      </c>
      <c r="R5">
        <v>0</v>
      </c>
      <c r="S5">
        <v>0</v>
      </c>
      <c r="T5">
        <v>0</v>
      </c>
    </row>
    <row r="6" spans="1:21">
      <c r="G6" s="83" t="s">
        <v>2</v>
      </c>
      <c r="H6" s="83"/>
      <c r="I6" s="83"/>
      <c r="J6" s="83"/>
      <c r="K6" s="84"/>
      <c r="M6" s="83" t="s">
        <v>3</v>
      </c>
      <c r="N6" s="83"/>
      <c r="O6" s="83"/>
      <c r="P6" s="84"/>
      <c r="R6" s="83" t="s">
        <v>4</v>
      </c>
      <c r="S6" s="83"/>
      <c r="T6" s="83"/>
    </row>
    <row r="7" spans="1:21" ht="120">
      <c r="A7" s="85" t="s">
        <v>0</v>
      </c>
      <c r="B7" s="85" t="s">
        <v>1</v>
      </c>
      <c r="C7" s="85" t="s">
        <v>262</v>
      </c>
      <c r="D7" s="85" t="s">
        <v>263</v>
      </c>
      <c r="E7" s="85" t="s">
        <v>720</v>
      </c>
      <c r="F7" s="85"/>
      <c r="G7" s="85" t="s">
        <v>5</v>
      </c>
      <c r="H7" s="86" t="s">
        <v>6</v>
      </c>
      <c r="I7" s="85" t="s">
        <v>7</v>
      </c>
      <c r="J7" s="85" t="s">
        <v>8</v>
      </c>
      <c r="K7" s="86" t="s">
        <v>721</v>
      </c>
      <c r="L7" s="85"/>
      <c r="M7" s="85" t="s">
        <v>5</v>
      </c>
      <c r="N7" s="85" t="s">
        <v>7</v>
      </c>
      <c r="O7" s="85" t="s">
        <v>8</v>
      </c>
      <c r="P7" s="86" t="s">
        <v>722</v>
      </c>
      <c r="Q7" s="85"/>
      <c r="R7" s="85" t="s">
        <v>9</v>
      </c>
      <c r="S7" s="85" t="s">
        <v>10</v>
      </c>
      <c r="T7" s="85" t="s">
        <v>11</v>
      </c>
    </row>
    <row r="8" spans="1:21">
      <c r="A8" s="356">
        <v>91414</v>
      </c>
      <c r="B8" s="357" t="s">
        <v>3608</v>
      </c>
      <c r="C8" s="234">
        <v>2.2200000000000001E-5</v>
      </c>
      <c r="D8" s="369"/>
      <c r="E8" s="343">
        <v>60626</v>
      </c>
      <c r="F8" s="231"/>
      <c r="G8" s="343">
        <v>10381</v>
      </c>
      <c r="H8" s="343">
        <v>1478</v>
      </c>
      <c r="I8" s="343">
        <v>9881</v>
      </c>
      <c r="J8" s="343">
        <v>17022</v>
      </c>
      <c r="K8" s="343">
        <v>38762</v>
      </c>
      <c r="L8" s="231"/>
      <c r="M8" s="343">
        <v>0</v>
      </c>
      <c r="N8" s="343">
        <v>0</v>
      </c>
      <c r="O8" s="343">
        <v>0</v>
      </c>
      <c r="P8" s="343">
        <v>0</v>
      </c>
      <c r="Q8" s="231"/>
      <c r="R8" s="343">
        <v>27007</v>
      </c>
      <c r="S8" s="343">
        <v>4255</v>
      </c>
      <c r="T8" s="343">
        <v>31262</v>
      </c>
    </row>
    <row r="9" spans="1:21">
      <c r="A9" s="344">
        <v>92414</v>
      </c>
      <c r="B9" s="345" t="s">
        <v>70</v>
      </c>
      <c r="C9" s="369"/>
      <c r="D9" s="234">
        <v>0</v>
      </c>
      <c r="E9" s="343">
        <v>0</v>
      </c>
      <c r="F9" s="231"/>
      <c r="G9" s="343">
        <v>0</v>
      </c>
      <c r="H9" s="343">
        <v>0</v>
      </c>
      <c r="I9" s="343">
        <v>0</v>
      </c>
      <c r="J9" s="343">
        <v>0</v>
      </c>
      <c r="K9" s="343">
        <v>0</v>
      </c>
      <c r="L9" s="231"/>
      <c r="M9" s="343">
        <v>0</v>
      </c>
      <c r="N9" s="343">
        <v>0</v>
      </c>
      <c r="O9" s="343">
        <v>1184</v>
      </c>
      <c r="P9" s="343">
        <v>1184</v>
      </c>
      <c r="Q9" s="231"/>
      <c r="R9" s="343">
        <v>0</v>
      </c>
      <c r="S9" s="343">
        <v>-2085</v>
      </c>
      <c r="T9" s="343">
        <v>-2085</v>
      </c>
    </row>
    <row r="10" spans="1:21" ht="30">
      <c r="A10" s="344">
        <v>92608</v>
      </c>
      <c r="B10" s="345" t="s">
        <v>3712</v>
      </c>
      <c r="C10" s="369"/>
      <c r="D10" s="234">
        <v>0</v>
      </c>
      <c r="E10" s="343">
        <v>0</v>
      </c>
      <c r="F10" s="231"/>
      <c r="G10" s="343">
        <v>0</v>
      </c>
      <c r="H10" s="343">
        <v>0</v>
      </c>
      <c r="I10" s="343">
        <v>0</v>
      </c>
      <c r="J10" s="343">
        <v>0</v>
      </c>
      <c r="K10" s="343">
        <v>0</v>
      </c>
      <c r="L10" s="231"/>
      <c r="M10" s="343">
        <v>0</v>
      </c>
      <c r="N10" s="343">
        <v>0</v>
      </c>
      <c r="O10" s="343">
        <v>0</v>
      </c>
      <c r="P10" s="343">
        <v>0</v>
      </c>
      <c r="Q10" s="231"/>
      <c r="R10" s="343">
        <v>0</v>
      </c>
      <c r="S10" s="343">
        <v>-752</v>
      </c>
      <c r="T10" s="343">
        <v>-752</v>
      </c>
    </row>
    <row r="11" spans="1:21">
      <c r="A11" s="360">
        <v>93027</v>
      </c>
      <c r="B11" s="361" t="s">
        <v>1001</v>
      </c>
      <c r="C11" s="369"/>
      <c r="D11" s="234">
        <v>1.5E-5</v>
      </c>
      <c r="E11" s="343">
        <v>0</v>
      </c>
      <c r="F11" s="231"/>
      <c r="G11" s="343">
        <v>0</v>
      </c>
      <c r="H11" s="343">
        <v>0</v>
      </c>
      <c r="I11" s="343">
        <v>0</v>
      </c>
      <c r="J11" s="343">
        <v>441</v>
      </c>
      <c r="K11" s="343">
        <v>441</v>
      </c>
      <c r="L11" s="231"/>
      <c r="M11" s="343">
        <v>0</v>
      </c>
      <c r="N11" s="343">
        <v>0</v>
      </c>
      <c r="O11" s="343">
        <v>14352</v>
      </c>
      <c r="P11" s="343">
        <v>14352</v>
      </c>
      <c r="Q11" s="231"/>
      <c r="R11" s="343">
        <v>0</v>
      </c>
      <c r="S11" s="343">
        <v>-3541</v>
      </c>
      <c r="T11" s="343">
        <v>-3541</v>
      </c>
    </row>
    <row r="12" spans="1:21">
      <c r="A12" s="360">
        <v>93028</v>
      </c>
      <c r="B12" s="361" t="s">
        <v>3609</v>
      </c>
      <c r="C12" s="369"/>
      <c r="D12" s="369"/>
      <c r="E12" s="343">
        <v>0</v>
      </c>
      <c r="F12" s="231"/>
      <c r="G12" s="343">
        <v>0</v>
      </c>
      <c r="H12" s="343">
        <v>0</v>
      </c>
      <c r="I12" s="343">
        <v>0</v>
      </c>
      <c r="J12" s="343">
        <v>3696</v>
      </c>
      <c r="K12" s="343">
        <v>3696</v>
      </c>
      <c r="L12" s="231"/>
      <c r="M12" s="343">
        <v>0</v>
      </c>
      <c r="N12" s="343">
        <v>0</v>
      </c>
      <c r="O12" s="343">
        <v>0</v>
      </c>
      <c r="P12" s="343">
        <v>0</v>
      </c>
      <c r="Q12" s="231"/>
      <c r="R12" s="343">
        <v>0</v>
      </c>
      <c r="S12" s="343">
        <v>924</v>
      </c>
      <c r="T12" s="343">
        <v>924</v>
      </c>
    </row>
    <row r="13" spans="1:21">
      <c r="A13" s="344">
        <v>93202</v>
      </c>
      <c r="B13" s="345" t="s">
        <v>1018</v>
      </c>
      <c r="C13" s="369"/>
      <c r="D13" s="234">
        <v>0</v>
      </c>
      <c r="E13" s="343">
        <v>0</v>
      </c>
      <c r="F13" s="231"/>
      <c r="G13" s="343">
        <v>0</v>
      </c>
      <c r="H13" s="343">
        <v>0</v>
      </c>
      <c r="I13" s="343">
        <v>0</v>
      </c>
      <c r="J13" s="343">
        <v>0</v>
      </c>
      <c r="K13" s="343">
        <v>0</v>
      </c>
      <c r="L13" s="231"/>
      <c r="M13" s="343">
        <v>0</v>
      </c>
      <c r="N13" s="343">
        <v>0</v>
      </c>
      <c r="O13" s="343">
        <v>25055</v>
      </c>
      <c r="P13" s="343">
        <v>25055</v>
      </c>
      <c r="Q13" s="231"/>
      <c r="R13" s="343">
        <v>0</v>
      </c>
      <c r="S13" s="343">
        <v>-78126</v>
      </c>
      <c r="T13" s="343">
        <v>-78126</v>
      </c>
    </row>
    <row r="14" spans="1:21">
      <c r="A14" s="360">
        <v>93402</v>
      </c>
      <c r="B14" s="361" t="s">
        <v>1037</v>
      </c>
      <c r="C14" s="369"/>
      <c r="D14" s="234">
        <v>9.6399999999999999E-5</v>
      </c>
      <c r="E14" s="343">
        <v>0</v>
      </c>
      <c r="F14" s="231"/>
      <c r="G14" s="343">
        <v>0</v>
      </c>
      <c r="H14" s="343">
        <v>0</v>
      </c>
      <c r="I14" s="343">
        <v>0</v>
      </c>
      <c r="J14" s="343">
        <v>0</v>
      </c>
      <c r="K14" s="343">
        <v>0</v>
      </c>
      <c r="L14" s="231"/>
      <c r="M14" s="343">
        <v>0</v>
      </c>
      <c r="N14" s="343">
        <v>0</v>
      </c>
      <c r="O14" s="343">
        <v>72060</v>
      </c>
      <c r="P14" s="343">
        <v>72060</v>
      </c>
      <c r="Q14" s="231"/>
      <c r="R14" s="343">
        <v>0</v>
      </c>
      <c r="S14" s="343">
        <v>-17741</v>
      </c>
      <c r="T14" s="343">
        <v>-17741</v>
      </c>
    </row>
    <row r="15" spans="1:21">
      <c r="A15" s="344">
        <v>93408</v>
      </c>
      <c r="B15" s="345" t="s">
        <v>1039</v>
      </c>
      <c r="C15" s="369"/>
      <c r="D15" s="234">
        <v>0</v>
      </c>
      <c r="E15" s="343">
        <v>0</v>
      </c>
      <c r="F15" s="231"/>
      <c r="G15" s="343">
        <v>0</v>
      </c>
      <c r="H15" s="343">
        <v>0</v>
      </c>
      <c r="I15" s="343">
        <v>0</v>
      </c>
      <c r="J15" s="343">
        <v>0</v>
      </c>
      <c r="K15" s="343">
        <v>0</v>
      </c>
      <c r="L15" s="231"/>
      <c r="M15" s="343">
        <v>0</v>
      </c>
      <c r="N15" s="343">
        <v>0</v>
      </c>
      <c r="O15" s="343">
        <v>724296</v>
      </c>
      <c r="P15" s="343">
        <v>724296</v>
      </c>
      <c r="Q15" s="231"/>
      <c r="R15" s="343">
        <v>0</v>
      </c>
      <c r="S15" s="343">
        <v>-413845</v>
      </c>
      <c r="T15" s="343">
        <v>-413845</v>
      </c>
    </row>
    <row r="16" spans="1:21">
      <c r="A16" s="344">
        <v>94402</v>
      </c>
      <c r="B16" s="345" t="s">
        <v>1135</v>
      </c>
      <c r="C16" s="369"/>
      <c r="D16" s="234">
        <v>0</v>
      </c>
      <c r="E16" s="343">
        <v>0</v>
      </c>
      <c r="F16" s="231"/>
      <c r="G16" s="343">
        <v>0</v>
      </c>
      <c r="H16" s="343">
        <v>0</v>
      </c>
      <c r="I16" s="343">
        <v>0</v>
      </c>
      <c r="J16" s="343">
        <v>0</v>
      </c>
      <c r="K16" s="343">
        <v>0</v>
      </c>
      <c r="L16" s="231"/>
      <c r="M16" s="343">
        <v>0</v>
      </c>
      <c r="N16" s="343">
        <v>0</v>
      </c>
      <c r="O16" s="343">
        <v>0</v>
      </c>
      <c r="P16" s="343">
        <v>0</v>
      </c>
      <c r="Q16" s="231"/>
      <c r="R16" s="343">
        <v>0</v>
      </c>
      <c r="S16" s="343">
        <v>-767649</v>
      </c>
      <c r="T16" s="343">
        <v>-767649</v>
      </c>
    </row>
    <row r="17" spans="1:20">
      <c r="A17" s="344">
        <v>94512</v>
      </c>
      <c r="B17" s="345" t="s">
        <v>1147</v>
      </c>
      <c r="C17" s="369"/>
      <c r="D17" s="234">
        <v>0</v>
      </c>
      <c r="E17" s="343">
        <v>0</v>
      </c>
      <c r="F17" s="231"/>
      <c r="G17" s="343">
        <v>0</v>
      </c>
      <c r="H17" s="343">
        <v>0</v>
      </c>
      <c r="I17" s="343">
        <v>0</v>
      </c>
      <c r="J17" s="343">
        <v>0</v>
      </c>
      <c r="K17" s="343">
        <v>0</v>
      </c>
      <c r="L17" s="231"/>
      <c r="M17" s="343">
        <v>0</v>
      </c>
      <c r="N17" s="343">
        <v>0</v>
      </c>
      <c r="O17" s="343">
        <v>0</v>
      </c>
      <c r="P17" s="343">
        <v>0</v>
      </c>
      <c r="Q17" s="231"/>
      <c r="R17" s="343">
        <v>0</v>
      </c>
      <c r="S17" s="343">
        <v>-59923</v>
      </c>
      <c r="T17" s="343">
        <v>-59923</v>
      </c>
    </row>
    <row r="18" spans="1:20">
      <c r="A18" s="360">
        <v>94606</v>
      </c>
      <c r="B18" s="361" t="s">
        <v>1158</v>
      </c>
      <c r="C18" s="369"/>
      <c r="D18" s="234">
        <v>1.9019999999999999E-4</v>
      </c>
      <c r="E18" s="343">
        <v>0</v>
      </c>
      <c r="F18" s="231"/>
      <c r="G18" s="343">
        <v>0</v>
      </c>
      <c r="H18" s="343">
        <v>0</v>
      </c>
      <c r="I18" s="343">
        <v>0</v>
      </c>
      <c r="J18" s="343">
        <v>0</v>
      </c>
      <c r="K18" s="343">
        <v>0</v>
      </c>
      <c r="L18" s="231"/>
      <c r="M18" s="343">
        <v>0</v>
      </c>
      <c r="N18" s="343">
        <v>0</v>
      </c>
      <c r="O18" s="343">
        <v>194185</v>
      </c>
      <c r="P18" s="343">
        <v>194185</v>
      </c>
      <c r="Q18" s="231"/>
      <c r="R18" s="343">
        <v>0</v>
      </c>
      <c r="S18" s="343">
        <v>-60935</v>
      </c>
      <c r="T18" s="343">
        <v>-60935</v>
      </c>
    </row>
    <row r="19" spans="1:20">
      <c r="A19" s="344">
        <v>95412</v>
      </c>
      <c r="B19" s="345" t="s">
        <v>3713</v>
      </c>
      <c r="C19" s="369"/>
      <c r="D19" s="234">
        <v>0</v>
      </c>
      <c r="E19" s="343">
        <v>0</v>
      </c>
      <c r="F19" s="231"/>
      <c r="G19" s="343">
        <v>0</v>
      </c>
      <c r="H19" s="343">
        <v>0</v>
      </c>
      <c r="I19" s="343">
        <v>0</v>
      </c>
      <c r="J19" s="343">
        <v>0</v>
      </c>
      <c r="K19" s="343">
        <v>0</v>
      </c>
      <c r="L19" s="231"/>
      <c r="M19" s="343">
        <v>0</v>
      </c>
      <c r="N19" s="343">
        <v>0</v>
      </c>
      <c r="O19" s="343">
        <v>0</v>
      </c>
      <c r="P19" s="343">
        <v>0</v>
      </c>
      <c r="Q19" s="231"/>
      <c r="R19" s="343">
        <v>0</v>
      </c>
      <c r="S19" s="343">
        <v>-9383</v>
      </c>
      <c r="T19" s="343">
        <v>-9383</v>
      </c>
    </row>
    <row r="20" spans="1:20">
      <c r="A20" s="344">
        <v>97010</v>
      </c>
      <c r="B20" s="345" t="s">
        <v>1347</v>
      </c>
      <c r="C20" s="369"/>
      <c r="D20" s="234">
        <v>0</v>
      </c>
      <c r="E20" s="343">
        <v>0</v>
      </c>
      <c r="F20" s="231"/>
      <c r="G20" s="343">
        <v>0</v>
      </c>
      <c r="H20" s="343">
        <v>0</v>
      </c>
      <c r="I20" s="343">
        <v>0</v>
      </c>
      <c r="J20" s="343">
        <v>0</v>
      </c>
      <c r="K20" s="343">
        <v>0</v>
      </c>
      <c r="L20" s="231"/>
      <c r="M20" s="343">
        <v>0</v>
      </c>
      <c r="N20" s="343">
        <v>0</v>
      </c>
      <c r="O20" s="343">
        <v>0</v>
      </c>
      <c r="P20" s="343">
        <v>0</v>
      </c>
      <c r="Q20" s="231"/>
      <c r="R20" s="343">
        <v>0</v>
      </c>
      <c r="S20" s="343">
        <v>-777787</v>
      </c>
      <c r="T20" s="343">
        <v>-777787</v>
      </c>
    </row>
    <row r="21" spans="1:20">
      <c r="A21" s="344">
        <v>97302</v>
      </c>
      <c r="B21" s="345" t="s">
        <v>3611</v>
      </c>
      <c r="C21" s="369"/>
      <c r="D21" s="369"/>
      <c r="E21" s="343">
        <v>0</v>
      </c>
      <c r="F21" s="231"/>
      <c r="G21" s="343">
        <v>0</v>
      </c>
      <c r="H21" s="343">
        <v>0</v>
      </c>
      <c r="I21" s="343">
        <v>0</v>
      </c>
      <c r="J21" s="343">
        <v>10885</v>
      </c>
      <c r="K21" s="343">
        <v>10885</v>
      </c>
      <c r="L21" s="231"/>
      <c r="M21" s="343">
        <v>0</v>
      </c>
      <c r="N21" s="343">
        <v>0</v>
      </c>
      <c r="O21" s="343">
        <v>0</v>
      </c>
      <c r="P21" s="343">
        <v>0</v>
      </c>
      <c r="Q21" s="231"/>
      <c r="R21" s="343">
        <v>0</v>
      </c>
      <c r="S21" s="343">
        <v>2721</v>
      </c>
      <c r="T21" s="343">
        <v>2721</v>
      </c>
    </row>
    <row r="22" spans="1:20">
      <c r="A22" s="344">
        <v>97491</v>
      </c>
      <c r="B22" s="345" t="s">
        <v>3714</v>
      </c>
      <c r="C22" s="369"/>
      <c r="D22" s="234">
        <v>0</v>
      </c>
      <c r="E22" s="343">
        <v>0</v>
      </c>
      <c r="F22" s="231"/>
      <c r="G22" s="343">
        <v>0</v>
      </c>
      <c r="H22" s="343">
        <v>0</v>
      </c>
      <c r="I22" s="343">
        <v>0</v>
      </c>
      <c r="J22" s="343">
        <v>0</v>
      </c>
      <c r="K22" s="343">
        <v>0</v>
      </c>
      <c r="L22" s="231"/>
      <c r="M22" s="343">
        <v>0</v>
      </c>
      <c r="N22" s="343">
        <v>0</v>
      </c>
      <c r="O22" s="343">
        <v>0</v>
      </c>
      <c r="P22" s="343">
        <v>0</v>
      </c>
      <c r="Q22" s="231"/>
      <c r="R22" s="343">
        <v>0</v>
      </c>
      <c r="S22" s="343">
        <v>-2921</v>
      </c>
      <c r="T22" s="343">
        <v>-2921</v>
      </c>
    </row>
    <row r="23" spans="1:20">
      <c r="A23" s="367">
        <v>71786</v>
      </c>
      <c r="B23" s="345" t="s">
        <v>1487</v>
      </c>
      <c r="C23" s="369"/>
      <c r="D23" s="369"/>
      <c r="E23" s="343">
        <v>0</v>
      </c>
      <c r="F23" s="231"/>
      <c r="G23" s="343">
        <v>0</v>
      </c>
      <c r="H23" s="343">
        <v>0</v>
      </c>
      <c r="I23" s="343">
        <v>0</v>
      </c>
      <c r="J23" s="343">
        <v>0</v>
      </c>
      <c r="K23" s="343">
        <v>0</v>
      </c>
      <c r="L23" s="231"/>
      <c r="M23" s="343">
        <v>0</v>
      </c>
      <c r="N23" s="343">
        <v>0</v>
      </c>
      <c r="O23" s="343">
        <v>16309</v>
      </c>
      <c r="P23" s="343">
        <v>16309</v>
      </c>
      <c r="Q23" s="231"/>
      <c r="R23" s="343">
        <v>0</v>
      </c>
      <c r="S23" s="343">
        <v>-8040</v>
      </c>
      <c r="T23" s="343">
        <v>-8040</v>
      </c>
    </row>
    <row r="24" spans="1:20">
      <c r="A24" s="368">
        <v>98414</v>
      </c>
      <c r="B24" s="342" t="s">
        <v>1487</v>
      </c>
      <c r="C24" s="234">
        <v>3.01E-5</v>
      </c>
      <c r="D24" s="234">
        <v>4.1600000000000002E-5</v>
      </c>
      <c r="E24" s="343">
        <v>82201</v>
      </c>
      <c r="F24" s="231"/>
      <c r="G24" s="343">
        <v>14075</v>
      </c>
      <c r="H24" s="343">
        <v>2005</v>
      </c>
      <c r="I24" s="343">
        <v>13397</v>
      </c>
      <c r="J24" s="343">
        <v>12992</v>
      </c>
      <c r="K24" s="343">
        <v>42469</v>
      </c>
      <c r="L24" s="231"/>
      <c r="M24" s="343">
        <v>0</v>
      </c>
      <c r="N24" s="343">
        <v>0</v>
      </c>
      <c r="O24" s="343">
        <v>8099</v>
      </c>
      <c r="P24" s="343">
        <v>8099</v>
      </c>
      <c r="Q24" s="231"/>
      <c r="R24" s="343">
        <v>36617</v>
      </c>
      <c r="S24" s="343">
        <v>3512</v>
      </c>
      <c r="T24" s="343">
        <v>40129</v>
      </c>
    </row>
    <row r="25" spans="1:20">
      <c r="A25" s="367">
        <v>92509</v>
      </c>
      <c r="B25" s="345" t="s">
        <v>1614</v>
      </c>
      <c r="C25" s="369"/>
      <c r="D25" s="369"/>
      <c r="E25" s="343">
        <v>0</v>
      </c>
      <c r="F25" s="231"/>
      <c r="G25" s="343">
        <v>0</v>
      </c>
      <c r="H25" s="343">
        <v>0</v>
      </c>
      <c r="I25" s="343">
        <v>0</v>
      </c>
      <c r="J25" s="343">
        <v>0</v>
      </c>
      <c r="K25" s="343">
        <v>0</v>
      </c>
      <c r="L25" s="231"/>
      <c r="M25" s="343">
        <v>0</v>
      </c>
      <c r="N25" s="343">
        <v>0</v>
      </c>
      <c r="O25" s="343">
        <v>260868</v>
      </c>
      <c r="P25" s="343">
        <v>260868</v>
      </c>
      <c r="Q25" s="231"/>
      <c r="R25" s="343">
        <v>0</v>
      </c>
      <c r="S25" s="343">
        <v>-295145</v>
      </c>
      <c r="T25" s="343">
        <v>-295145</v>
      </c>
    </row>
    <row r="26" spans="1:20">
      <c r="A26" s="367">
        <v>96519</v>
      </c>
      <c r="B26" s="345" t="s">
        <v>1615</v>
      </c>
      <c r="C26" s="369"/>
      <c r="D26" s="369"/>
      <c r="E26" s="343">
        <v>0</v>
      </c>
      <c r="F26" s="231"/>
      <c r="G26" s="343">
        <v>0</v>
      </c>
      <c r="H26" s="343">
        <v>0</v>
      </c>
      <c r="I26" s="343">
        <v>0</v>
      </c>
      <c r="J26" s="343">
        <v>0</v>
      </c>
      <c r="K26" s="343">
        <v>0</v>
      </c>
      <c r="L26" s="231"/>
      <c r="M26" s="343">
        <v>0</v>
      </c>
      <c r="N26" s="343">
        <v>0</v>
      </c>
      <c r="O26" s="343">
        <v>207555</v>
      </c>
      <c r="P26" s="343">
        <v>207555</v>
      </c>
      <c r="Q26" s="231"/>
      <c r="R26" s="343">
        <v>0</v>
      </c>
      <c r="S26" s="343">
        <v>-216126</v>
      </c>
      <c r="T26" s="343">
        <v>-216126</v>
      </c>
    </row>
    <row r="27" spans="1:20">
      <c r="A27" s="368">
        <v>97461</v>
      </c>
      <c r="B27" s="354" t="s">
        <v>1379</v>
      </c>
      <c r="C27" s="234">
        <v>5.7600000000000001E-4</v>
      </c>
      <c r="D27" s="234">
        <v>5.3019999999999999E-4</v>
      </c>
      <c r="E27" s="343">
        <v>1573011</v>
      </c>
      <c r="F27" s="231"/>
      <c r="G27" s="343">
        <v>269339</v>
      </c>
      <c r="H27" s="343">
        <v>38368</v>
      </c>
      <c r="I27" s="343">
        <v>256375</v>
      </c>
      <c r="J27" s="343">
        <v>14572</v>
      </c>
      <c r="K27" s="343">
        <v>578654</v>
      </c>
      <c r="L27" s="231"/>
      <c r="M27" s="343">
        <v>0</v>
      </c>
      <c r="N27" s="343">
        <v>0</v>
      </c>
      <c r="O27" s="343">
        <v>33434</v>
      </c>
      <c r="P27" s="343">
        <v>33434</v>
      </c>
      <c r="Q27" s="231"/>
      <c r="R27" s="343">
        <v>700711</v>
      </c>
      <c r="S27" s="343">
        <v>-18371</v>
      </c>
      <c r="T27" s="343">
        <v>682340</v>
      </c>
    </row>
    <row r="28" spans="1:20">
      <c r="A28" s="367">
        <v>97463</v>
      </c>
      <c r="B28" s="345" t="s">
        <v>1380</v>
      </c>
      <c r="C28" s="369"/>
      <c r="D28" s="369"/>
      <c r="E28" s="343">
        <v>0</v>
      </c>
      <c r="F28" s="231"/>
      <c r="G28" s="343">
        <v>0</v>
      </c>
      <c r="H28" s="343">
        <v>0</v>
      </c>
      <c r="I28" s="343">
        <v>0</v>
      </c>
      <c r="J28" s="343">
        <v>0</v>
      </c>
      <c r="K28" s="343">
        <v>0</v>
      </c>
      <c r="L28" s="231"/>
      <c r="M28" s="343">
        <v>0</v>
      </c>
      <c r="N28" s="343">
        <v>0</v>
      </c>
      <c r="O28" s="343">
        <v>22190</v>
      </c>
      <c r="P28" s="343">
        <v>22190</v>
      </c>
      <c r="Q28" s="231"/>
      <c r="R28" s="343">
        <v>0</v>
      </c>
      <c r="S28" s="343">
        <v>-8862</v>
      </c>
      <c r="T28" s="343">
        <v>-8862</v>
      </c>
    </row>
    <row r="29" spans="1:20" ht="13.5" customHeight="1">
      <c r="A29" s="368">
        <v>98604</v>
      </c>
      <c r="B29" s="354" t="s">
        <v>1500</v>
      </c>
      <c r="C29" s="234">
        <v>1.2099999999999999E-5</v>
      </c>
      <c r="D29" s="234">
        <v>1.29E-5</v>
      </c>
      <c r="E29" s="343">
        <v>33044</v>
      </c>
      <c r="F29" s="231"/>
      <c r="G29" s="343">
        <v>5658</v>
      </c>
      <c r="H29" s="343">
        <v>806</v>
      </c>
      <c r="I29" s="343">
        <v>5386</v>
      </c>
      <c r="J29" s="343">
        <v>3783</v>
      </c>
      <c r="K29" s="343">
        <v>15633</v>
      </c>
      <c r="L29" s="231"/>
      <c r="M29" s="343">
        <v>0</v>
      </c>
      <c r="N29" s="343">
        <v>0</v>
      </c>
      <c r="O29" s="343">
        <v>263</v>
      </c>
      <c r="P29" s="343">
        <v>263</v>
      </c>
      <c r="Q29" s="231"/>
      <c r="R29" s="343">
        <v>14720</v>
      </c>
      <c r="S29" s="343">
        <v>2511</v>
      </c>
      <c r="T29" s="343">
        <v>17231</v>
      </c>
    </row>
    <row r="30" spans="1:20">
      <c r="A30" s="367">
        <v>98647</v>
      </c>
      <c r="B30" s="345" t="s">
        <v>1616</v>
      </c>
      <c r="C30" s="369"/>
      <c r="D30" s="369"/>
      <c r="E30" s="343">
        <v>0</v>
      </c>
      <c r="F30" s="231"/>
      <c r="G30" s="343">
        <v>0</v>
      </c>
      <c r="H30" s="343">
        <v>0</v>
      </c>
      <c r="I30" s="343">
        <v>0</v>
      </c>
      <c r="J30" s="343">
        <v>0</v>
      </c>
      <c r="K30" s="343">
        <v>0</v>
      </c>
      <c r="L30" s="231"/>
      <c r="M30" s="343">
        <v>0</v>
      </c>
      <c r="N30" s="343">
        <v>0</v>
      </c>
      <c r="O30" s="343">
        <v>1498</v>
      </c>
      <c r="P30" s="343">
        <v>1498</v>
      </c>
      <c r="Q30" s="231"/>
      <c r="R30" s="343">
        <v>0</v>
      </c>
      <c r="S30" s="343">
        <v>-684</v>
      </c>
      <c r="T30" s="343">
        <v>-684</v>
      </c>
    </row>
    <row r="31" spans="1:20">
      <c r="A31" s="349">
        <v>70505</v>
      </c>
      <c r="B31" s="342" t="s">
        <v>723</v>
      </c>
      <c r="C31" s="234">
        <v>3.2890000000000003E-4</v>
      </c>
      <c r="D31" s="234">
        <v>3.6600000000000001E-4</v>
      </c>
      <c r="E31" s="343">
        <v>898200</v>
      </c>
      <c r="F31" s="231"/>
      <c r="G31" s="343">
        <v>153795</v>
      </c>
      <c r="H31" s="343">
        <v>21909</v>
      </c>
      <c r="I31" s="343">
        <v>146392</v>
      </c>
      <c r="J31" s="343">
        <v>0</v>
      </c>
      <c r="K31" s="343">
        <v>322096</v>
      </c>
      <c r="L31" s="231"/>
      <c r="M31" s="343">
        <v>0</v>
      </c>
      <c r="N31" s="343">
        <v>0</v>
      </c>
      <c r="O31" s="343">
        <v>58557</v>
      </c>
      <c r="P31" s="343">
        <v>58557</v>
      </c>
      <c r="Q31" s="231"/>
      <c r="R31" s="343">
        <v>400111</v>
      </c>
      <c r="S31" s="343">
        <v>-24557</v>
      </c>
      <c r="T31" s="343">
        <v>375554</v>
      </c>
    </row>
    <row r="32" spans="1:20">
      <c r="A32" s="349">
        <v>72265</v>
      </c>
      <c r="B32" s="342" t="s">
        <v>724</v>
      </c>
      <c r="C32" s="234">
        <v>1.44E-4</v>
      </c>
      <c r="D32" s="234">
        <v>1.538E-4</v>
      </c>
      <c r="E32" s="343">
        <v>393253</v>
      </c>
      <c r="F32" s="231"/>
      <c r="G32" s="343">
        <v>67335</v>
      </c>
      <c r="H32" s="343">
        <v>9592</v>
      </c>
      <c r="I32" s="343">
        <v>64094</v>
      </c>
      <c r="J32" s="343">
        <v>7536</v>
      </c>
      <c r="K32" s="343">
        <v>148557</v>
      </c>
      <c r="L32" s="231"/>
      <c r="M32" s="343">
        <v>0</v>
      </c>
      <c r="N32" s="343">
        <v>0</v>
      </c>
      <c r="O32" s="343">
        <v>6839</v>
      </c>
      <c r="P32" s="343">
        <v>6839</v>
      </c>
      <c r="Q32" s="231"/>
      <c r="R32" s="343">
        <v>175178</v>
      </c>
      <c r="S32" s="343">
        <v>-2</v>
      </c>
      <c r="T32" s="343">
        <v>175176</v>
      </c>
    </row>
    <row r="33" spans="1:20">
      <c r="A33" s="349">
        <v>72593</v>
      </c>
      <c r="B33" s="342" t="s">
        <v>725</v>
      </c>
      <c r="C33" s="234">
        <v>6.1E-6</v>
      </c>
      <c r="D33" s="234">
        <v>6.0000000000000002E-6</v>
      </c>
      <c r="E33" s="343">
        <v>16659</v>
      </c>
      <c r="F33" s="231"/>
      <c r="G33" s="343">
        <v>2852</v>
      </c>
      <c r="H33" s="343">
        <v>406</v>
      </c>
      <c r="I33" s="343">
        <v>2715</v>
      </c>
      <c r="J33" s="343">
        <v>1508</v>
      </c>
      <c r="K33" s="343">
        <v>7481</v>
      </c>
      <c r="L33" s="231"/>
      <c r="M33" s="343">
        <v>0</v>
      </c>
      <c r="N33" s="343">
        <v>0</v>
      </c>
      <c r="O33" s="343">
        <v>844</v>
      </c>
      <c r="P33" s="343">
        <v>844</v>
      </c>
      <c r="Q33" s="231"/>
      <c r="R33" s="343">
        <v>7421</v>
      </c>
      <c r="S33" s="343">
        <v>505</v>
      </c>
      <c r="T33" s="343">
        <v>7926</v>
      </c>
    </row>
    <row r="34" spans="1:20">
      <c r="A34" s="349">
        <v>72657</v>
      </c>
      <c r="B34" s="342" t="s">
        <v>726</v>
      </c>
      <c r="C34" s="234">
        <v>3.7200000000000003E-5</v>
      </c>
      <c r="D34" s="234">
        <v>3.9199999999999997E-5</v>
      </c>
      <c r="E34" s="343">
        <v>101590</v>
      </c>
      <c r="F34" s="231"/>
      <c r="G34" s="343">
        <v>17395</v>
      </c>
      <c r="H34" s="343">
        <v>2478</v>
      </c>
      <c r="I34" s="343">
        <v>16558</v>
      </c>
      <c r="J34" s="343">
        <v>0</v>
      </c>
      <c r="K34" s="343">
        <v>36431</v>
      </c>
      <c r="L34" s="231"/>
      <c r="M34" s="343">
        <v>0</v>
      </c>
      <c r="N34" s="343">
        <v>0</v>
      </c>
      <c r="O34" s="343">
        <v>6739</v>
      </c>
      <c r="P34" s="343">
        <v>6739</v>
      </c>
      <c r="Q34" s="231"/>
      <c r="R34" s="343">
        <v>45254</v>
      </c>
      <c r="S34" s="343">
        <v>-3514</v>
      </c>
      <c r="T34" s="343">
        <v>41740</v>
      </c>
    </row>
    <row r="35" spans="1:20">
      <c r="A35" s="349">
        <v>90001</v>
      </c>
      <c r="B35" s="342" t="s">
        <v>727</v>
      </c>
      <c r="C35" s="234">
        <v>8.6050000000000005E-4</v>
      </c>
      <c r="D35" s="234">
        <v>8.61E-4</v>
      </c>
      <c r="E35" s="343">
        <v>2349958</v>
      </c>
      <c r="F35" s="231"/>
      <c r="G35" s="343">
        <v>402372</v>
      </c>
      <c r="H35" s="343">
        <v>57319</v>
      </c>
      <c r="I35" s="343">
        <v>383004</v>
      </c>
      <c r="J35" s="343">
        <v>12346</v>
      </c>
      <c r="K35" s="343">
        <v>855041</v>
      </c>
      <c r="L35" s="231"/>
      <c r="M35" s="343">
        <v>0</v>
      </c>
      <c r="N35" s="343">
        <v>0</v>
      </c>
      <c r="O35" s="343">
        <v>6268</v>
      </c>
      <c r="P35" s="343">
        <v>6268</v>
      </c>
      <c r="Q35" s="231"/>
      <c r="R35" s="343">
        <v>1046809</v>
      </c>
      <c r="S35" s="343">
        <v>1394</v>
      </c>
      <c r="T35" s="343">
        <v>1048203</v>
      </c>
    </row>
    <row r="36" spans="1:20">
      <c r="A36" s="349">
        <v>90002</v>
      </c>
      <c r="B36" s="342" t="s">
        <v>3633</v>
      </c>
      <c r="C36" s="234">
        <v>8.3999999999999992E-6</v>
      </c>
      <c r="D36" s="234">
        <v>9.5000000000000005E-6</v>
      </c>
      <c r="E36" s="343">
        <v>22940</v>
      </c>
      <c r="F36" s="231"/>
      <c r="G36" s="343">
        <v>3928</v>
      </c>
      <c r="H36" s="343">
        <v>559</v>
      </c>
      <c r="I36" s="343">
        <v>3739</v>
      </c>
      <c r="J36" s="343">
        <v>1912</v>
      </c>
      <c r="K36" s="343">
        <v>10138</v>
      </c>
      <c r="L36" s="231"/>
      <c r="M36" s="343">
        <v>0</v>
      </c>
      <c r="N36" s="343">
        <v>0</v>
      </c>
      <c r="O36" s="343">
        <v>0</v>
      </c>
      <c r="P36" s="343">
        <v>0</v>
      </c>
      <c r="Q36" s="231"/>
      <c r="R36" s="343">
        <v>10219</v>
      </c>
      <c r="S36" s="343">
        <v>873</v>
      </c>
      <c r="T36" s="343">
        <v>11092</v>
      </c>
    </row>
    <row r="37" spans="1:20">
      <c r="A37" s="349">
        <v>90011</v>
      </c>
      <c r="B37" s="342" t="s">
        <v>729</v>
      </c>
      <c r="C37" s="234">
        <v>1.8009999999999999E-4</v>
      </c>
      <c r="D37" s="234">
        <v>1.916E-4</v>
      </c>
      <c r="E37" s="343">
        <v>491839</v>
      </c>
      <c r="F37" s="231"/>
      <c r="G37" s="343">
        <v>84215</v>
      </c>
      <c r="H37" s="343">
        <v>11996</v>
      </c>
      <c r="I37" s="343">
        <v>80162</v>
      </c>
      <c r="J37" s="343">
        <v>0</v>
      </c>
      <c r="K37" s="343">
        <v>176373</v>
      </c>
      <c r="L37" s="231"/>
      <c r="M37" s="343">
        <v>0</v>
      </c>
      <c r="N37" s="343">
        <v>0</v>
      </c>
      <c r="O37" s="343">
        <v>25090</v>
      </c>
      <c r="P37" s="343">
        <v>25090</v>
      </c>
      <c r="Q37" s="231"/>
      <c r="R37" s="343">
        <v>219094</v>
      </c>
      <c r="S37" s="343">
        <v>-13726</v>
      </c>
      <c r="T37" s="343">
        <v>205368</v>
      </c>
    </row>
    <row r="38" spans="1:20" ht="30">
      <c r="A38" s="349">
        <v>90092</v>
      </c>
      <c r="B38" s="342" t="s">
        <v>2796</v>
      </c>
      <c r="C38" s="234">
        <v>3.9530000000000001E-4</v>
      </c>
      <c r="D38" s="234">
        <v>3.547E-4</v>
      </c>
      <c r="E38" s="343">
        <v>1079533</v>
      </c>
      <c r="F38" s="231"/>
      <c r="G38" s="343">
        <v>184843</v>
      </c>
      <c r="H38" s="343">
        <v>26332</v>
      </c>
      <c r="I38" s="343">
        <v>175946</v>
      </c>
      <c r="J38" s="343">
        <v>52449</v>
      </c>
      <c r="K38" s="343">
        <v>439570</v>
      </c>
      <c r="L38" s="231"/>
      <c r="M38" s="343">
        <v>0</v>
      </c>
      <c r="N38" s="343">
        <v>0</v>
      </c>
      <c r="O38" s="343">
        <v>13888</v>
      </c>
      <c r="P38" s="343">
        <v>13888</v>
      </c>
      <c r="Q38" s="231"/>
      <c r="R38" s="343">
        <v>480888</v>
      </c>
      <c r="S38" s="343">
        <v>-12591</v>
      </c>
      <c r="T38" s="343">
        <v>468297</v>
      </c>
    </row>
    <row r="39" spans="1:20">
      <c r="A39" s="349">
        <v>90096</v>
      </c>
      <c r="B39" s="342" t="s">
        <v>731</v>
      </c>
      <c r="C39" s="234">
        <v>9.722E-4</v>
      </c>
      <c r="D39" s="234">
        <v>9.1730000000000002E-4</v>
      </c>
      <c r="E39" s="343">
        <v>2655002</v>
      </c>
      <c r="F39" s="231"/>
      <c r="G39" s="343">
        <v>454604</v>
      </c>
      <c r="H39" s="343">
        <v>64759</v>
      </c>
      <c r="I39" s="343">
        <v>432721</v>
      </c>
      <c r="J39" s="343">
        <v>154352</v>
      </c>
      <c r="K39" s="343">
        <v>1106436</v>
      </c>
      <c r="L39" s="231"/>
      <c r="M39" s="343">
        <v>0</v>
      </c>
      <c r="N39" s="343">
        <v>0</v>
      </c>
      <c r="O39" s="343">
        <v>112677</v>
      </c>
      <c r="P39" s="343">
        <v>112677</v>
      </c>
      <c r="Q39" s="231"/>
      <c r="R39" s="343">
        <v>1182694</v>
      </c>
      <c r="S39" s="343">
        <v>-13741</v>
      </c>
      <c r="T39" s="343">
        <v>1168953</v>
      </c>
    </row>
    <row r="40" spans="1:20">
      <c r="A40" s="349">
        <v>90098</v>
      </c>
      <c r="B40" s="342" t="s">
        <v>732</v>
      </c>
      <c r="C40" s="234">
        <v>2.521E-4</v>
      </c>
      <c r="D40" s="234">
        <v>3.1510000000000002E-4</v>
      </c>
      <c r="E40" s="343">
        <v>688465</v>
      </c>
      <c r="F40" s="231"/>
      <c r="G40" s="343">
        <v>117883</v>
      </c>
      <c r="H40" s="343">
        <v>16793</v>
      </c>
      <c r="I40" s="343">
        <v>112208</v>
      </c>
      <c r="J40" s="343">
        <v>14122</v>
      </c>
      <c r="K40" s="343">
        <v>261006</v>
      </c>
      <c r="L40" s="231"/>
      <c r="M40" s="343">
        <v>0</v>
      </c>
      <c r="N40" s="343">
        <v>0</v>
      </c>
      <c r="O40" s="343">
        <v>69540</v>
      </c>
      <c r="P40" s="343">
        <v>69540</v>
      </c>
      <c r="Q40" s="231"/>
      <c r="R40" s="343">
        <v>306683</v>
      </c>
      <c r="S40" s="343">
        <v>-39915</v>
      </c>
      <c r="T40" s="343">
        <v>266768</v>
      </c>
    </row>
    <row r="41" spans="1:20">
      <c r="A41" s="349">
        <v>90099</v>
      </c>
      <c r="B41" s="342" t="s">
        <v>3634</v>
      </c>
      <c r="C41" s="234">
        <v>6.7389999999999995E-4</v>
      </c>
      <c r="D41" s="234">
        <v>6.8800000000000003E-4</v>
      </c>
      <c r="E41" s="343">
        <v>1840368</v>
      </c>
      <c r="F41" s="231"/>
      <c r="G41" s="343">
        <v>315118</v>
      </c>
      <c r="H41" s="343">
        <v>44889</v>
      </c>
      <c r="I41" s="343">
        <v>299950</v>
      </c>
      <c r="J41" s="343">
        <v>43670</v>
      </c>
      <c r="K41" s="343">
        <v>703627</v>
      </c>
      <c r="L41" s="231"/>
      <c r="M41" s="343">
        <v>0</v>
      </c>
      <c r="N41" s="343">
        <v>0</v>
      </c>
      <c r="O41" s="343">
        <v>63390</v>
      </c>
      <c r="P41" s="343">
        <v>63390</v>
      </c>
      <c r="Q41" s="231"/>
      <c r="R41" s="343">
        <v>819808</v>
      </c>
      <c r="S41" s="343">
        <v>-7313</v>
      </c>
      <c r="T41" s="343">
        <v>812495</v>
      </c>
    </row>
    <row r="42" spans="1:20">
      <c r="A42" s="349">
        <v>90101</v>
      </c>
      <c r="B42" s="342" t="s">
        <v>734</v>
      </c>
      <c r="C42" s="234">
        <v>6.2302E-3</v>
      </c>
      <c r="D42" s="234">
        <v>6.4729000000000002E-3</v>
      </c>
      <c r="E42" s="343">
        <v>17014190</v>
      </c>
      <c r="F42" s="231"/>
      <c r="G42" s="343">
        <v>2913260</v>
      </c>
      <c r="H42" s="343">
        <v>415000</v>
      </c>
      <c r="I42" s="343">
        <v>2773031</v>
      </c>
      <c r="J42" s="343">
        <v>66528</v>
      </c>
      <c r="K42" s="343">
        <v>6167819</v>
      </c>
      <c r="L42" s="231"/>
      <c r="M42" s="343">
        <v>0</v>
      </c>
      <c r="N42" s="343">
        <v>0</v>
      </c>
      <c r="O42" s="343">
        <v>337135</v>
      </c>
      <c r="P42" s="343">
        <v>337135</v>
      </c>
      <c r="Q42" s="231"/>
      <c r="R42" s="343">
        <v>7579119</v>
      </c>
      <c r="S42" s="343">
        <v>-7540</v>
      </c>
      <c r="T42" s="343">
        <v>7571579</v>
      </c>
    </row>
    <row r="43" spans="1:20">
      <c r="A43" s="349">
        <v>90111</v>
      </c>
      <c r="B43" s="342" t="s">
        <v>735</v>
      </c>
      <c r="C43" s="234">
        <v>4.9528000000000003E-3</v>
      </c>
      <c r="D43" s="234">
        <v>5.0667999999999998E-3</v>
      </c>
      <c r="E43" s="343">
        <v>13525710</v>
      </c>
      <c r="F43" s="231"/>
      <c r="G43" s="343">
        <v>2315944</v>
      </c>
      <c r="H43" s="343">
        <v>329911</v>
      </c>
      <c r="I43" s="343">
        <v>2204467</v>
      </c>
      <c r="J43" s="343">
        <v>12792</v>
      </c>
      <c r="K43" s="343">
        <v>4863114</v>
      </c>
      <c r="L43" s="231"/>
      <c r="M43" s="343">
        <v>0</v>
      </c>
      <c r="N43" s="343">
        <v>0</v>
      </c>
      <c r="O43" s="343">
        <v>170370</v>
      </c>
      <c r="P43" s="343">
        <v>170370</v>
      </c>
      <c r="Q43" s="231"/>
      <c r="R43" s="343">
        <v>6025146</v>
      </c>
      <c r="S43" s="343">
        <v>-63111</v>
      </c>
      <c r="T43" s="343">
        <v>5962035</v>
      </c>
    </row>
    <row r="44" spans="1:20">
      <c r="A44" s="349">
        <v>90114</v>
      </c>
      <c r="B44" s="342" t="s">
        <v>736</v>
      </c>
      <c r="C44" s="234">
        <v>1.1188999999999999E-3</v>
      </c>
      <c r="D44" s="234">
        <v>1.0735E-3</v>
      </c>
      <c r="E44" s="343">
        <v>3055629</v>
      </c>
      <c r="F44" s="231"/>
      <c r="G44" s="343">
        <v>523201</v>
      </c>
      <c r="H44" s="343">
        <v>74531</v>
      </c>
      <c r="I44" s="343">
        <v>498017</v>
      </c>
      <c r="J44" s="343">
        <v>1384955</v>
      </c>
      <c r="K44" s="343">
        <v>2480704</v>
      </c>
      <c r="L44" s="231"/>
      <c r="M44" s="343">
        <v>0</v>
      </c>
      <c r="N44" s="343">
        <v>0</v>
      </c>
      <c r="O44" s="343">
        <v>0</v>
      </c>
      <c r="P44" s="343">
        <v>0</v>
      </c>
      <c r="Q44" s="231"/>
      <c r="R44" s="343">
        <v>1361156</v>
      </c>
      <c r="S44" s="343">
        <v>632710</v>
      </c>
      <c r="T44" s="343">
        <v>1993866</v>
      </c>
    </row>
    <row r="45" spans="1:20">
      <c r="A45" s="349">
        <v>90117</v>
      </c>
      <c r="B45" s="342" t="s">
        <v>737</v>
      </c>
      <c r="C45" s="234">
        <v>1.3219999999999999E-4</v>
      </c>
      <c r="D45" s="234">
        <v>1.36E-4</v>
      </c>
      <c r="E45" s="343">
        <v>361028</v>
      </c>
      <c r="F45" s="231"/>
      <c r="G45" s="343">
        <v>61817</v>
      </c>
      <c r="H45" s="343">
        <v>8806</v>
      </c>
      <c r="I45" s="343">
        <v>58842</v>
      </c>
      <c r="J45" s="343">
        <v>38678</v>
      </c>
      <c r="K45" s="343">
        <v>168143</v>
      </c>
      <c r="L45" s="231"/>
      <c r="M45" s="343">
        <v>0</v>
      </c>
      <c r="N45" s="343">
        <v>0</v>
      </c>
      <c r="O45" s="343">
        <v>0</v>
      </c>
      <c r="P45" s="343">
        <v>0</v>
      </c>
      <c r="Q45" s="231"/>
      <c r="R45" s="343">
        <v>160823</v>
      </c>
      <c r="S45" s="343">
        <v>20680</v>
      </c>
      <c r="T45" s="343">
        <v>181503</v>
      </c>
    </row>
    <row r="46" spans="1:20">
      <c r="A46" s="349">
        <v>90121</v>
      </c>
      <c r="B46" s="342" t="s">
        <v>738</v>
      </c>
      <c r="C46" s="234">
        <v>1.1077999999999999E-3</v>
      </c>
      <c r="D46" s="234">
        <v>1.0601E-3</v>
      </c>
      <c r="E46" s="343">
        <v>3025315</v>
      </c>
      <c r="F46" s="231"/>
      <c r="G46" s="343">
        <v>518011</v>
      </c>
      <c r="H46" s="343">
        <v>73792</v>
      </c>
      <c r="I46" s="343">
        <v>493076</v>
      </c>
      <c r="J46" s="343">
        <v>0</v>
      </c>
      <c r="K46" s="343">
        <v>1084879</v>
      </c>
      <c r="L46" s="231"/>
      <c r="M46" s="343">
        <v>0</v>
      </c>
      <c r="N46" s="343">
        <v>0</v>
      </c>
      <c r="O46" s="343">
        <v>82679</v>
      </c>
      <c r="P46" s="343">
        <v>82679</v>
      </c>
      <c r="Q46" s="231"/>
      <c r="R46" s="343">
        <v>1347653</v>
      </c>
      <c r="S46" s="343">
        <v>-45699</v>
      </c>
      <c r="T46" s="343">
        <v>1301954</v>
      </c>
    </row>
    <row r="47" spans="1:20">
      <c r="A47" s="349">
        <v>90131</v>
      </c>
      <c r="B47" s="342" t="s">
        <v>739</v>
      </c>
      <c r="C47" s="234">
        <v>4.9050000000000005E-4</v>
      </c>
      <c r="D47" s="234">
        <v>4.7830000000000003E-4</v>
      </c>
      <c r="E47" s="343">
        <v>1339517</v>
      </c>
      <c r="F47" s="231"/>
      <c r="G47" s="343">
        <v>229359</v>
      </c>
      <c r="H47" s="343">
        <v>32673</v>
      </c>
      <c r="I47" s="343">
        <v>218319</v>
      </c>
      <c r="J47" s="343">
        <v>2990</v>
      </c>
      <c r="K47" s="343">
        <v>483341</v>
      </c>
      <c r="L47" s="231"/>
      <c r="M47" s="343">
        <v>0</v>
      </c>
      <c r="N47" s="343">
        <v>0</v>
      </c>
      <c r="O47" s="343">
        <v>23769</v>
      </c>
      <c r="P47" s="343">
        <v>23769</v>
      </c>
      <c r="Q47" s="231"/>
      <c r="R47" s="343">
        <v>596700</v>
      </c>
      <c r="S47" s="343">
        <v>-11874</v>
      </c>
      <c r="T47" s="343">
        <v>584826</v>
      </c>
    </row>
    <row r="48" spans="1:20">
      <c r="A48" s="349">
        <v>90141</v>
      </c>
      <c r="B48" s="342" t="s">
        <v>740</v>
      </c>
      <c r="C48" s="234">
        <v>1.4770000000000001E-4</v>
      </c>
      <c r="D48" s="234">
        <v>1.4770000000000001E-4</v>
      </c>
      <c r="E48" s="343">
        <v>403357</v>
      </c>
      <c r="F48" s="231"/>
      <c r="G48" s="343">
        <v>69065</v>
      </c>
      <c r="H48" s="343">
        <v>9838</v>
      </c>
      <c r="I48" s="343">
        <v>65741</v>
      </c>
      <c r="J48" s="343">
        <v>5227</v>
      </c>
      <c r="K48" s="343">
        <v>149871</v>
      </c>
      <c r="L48" s="231"/>
      <c r="M48" s="343">
        <v>0</v>
      </c>
      <c r="N48" s="343">
        <v>0</v>
      </c>
      <c r="O48" s="343">
        <v>5164</v>
      </c>
      <c r="P48" s="343">
        <v>5164</v>
      </c>
      <c r="Q48" s="231"/>
      <c r="R48" s="343">
        <v>179679</v>
      </c>
      <c r="S48" s="343">
        <v>-1596</v>
      </c>
      <c r="T48" s="343">
        <v>178083</v>
      </c>
    </row>
    <row r="49" spans="1:20">
      <c r="A49" s="349">
        <v>90151</v>
      </c>
      <c r="B49" s="342" t="s">
        <v>741</v>
      </c>
      <c r="C49" s="234">
        <v>9.3000000000000007E-6</v>
      </c>
      <c r="D49" s="234">
        <v>9.7000000000000003E-6</v>
      </c>
      <c r="E49" s="343">
        <v>25398</v>
      </c>
      <c r="F49" s="231"/>
      <c r="G49" s="343">
        <v>4349</v>
      </c>
      <c r="H49" s="343">
        <v>620</v>
      </c>
      <c r="I49" s="343">
        <v>4139</v>
      </c>
      <c r="J49" s="343">
        <v>0</v>
      </c>
      <c r="K49" s="343">
        <v>9108</v>
      </c>
      <c r="L49" s="231"/>
      <c r="M49" s="343">
        <v>0</v>
      </c>
      <c r="N49" s="343">
        <v>0</v>
      </c>
      <c r="O49" s="343">
        <v>3296</v>
      </c>
      <c r="P49" s="343">
        <v>3296</v>
      </c>
      <c r="Q49" s="231"/>
      <c r="R49" s="343">
        <v>11314</v>
      </c>
      <c r="S49" s="343">
        <v>-1485</v>
      </c>
      <c r="T49" s="343">
        <v>9829</v>
      </c>
    </row>
    <row r="50" spans="1:20">
      <c r="A50" s="349">
        <v>90161</v>
      </c>
      <c r="B50" s="342" t="s">
        <v>742</v>
      </c>
      <c r="C50" s="234">
        <v>3.57E-5</v>
      </c>
      <c r="D50" s="234">
        <v>4.3999999999999999E-5</v>
      </c>
      <c r="E50" s="343">
        <v>97494</v>
      </c>
      <c r="F50" s="231"/>
      <c r="G50" s="343">
        <v>16693</v>
      </c>
      <c r="H50" s="343">
        <v>2378</v>
      </c>
      <c r="I50" s="343">
        <v>15890</v>
      </c>
      <c r="J50" s="343">
        <v>2808</v>
      </c>
      <c r="K50" s="343">
        <v>37769</v>
      </c>
      <c r="L50" s="231"/>
      <c r="M50" s="343">
        <v>0</v>
      </c>
      <c r="N50" s="343">
        <v>0</v>
      </c>
      <c r="O50" s="343">
        <v>7097</v>
      </c>
      <c r="P50" s="343">
        <v>7097</v>
      </c>
      <c r="Q50" s="231"/>
      <c r="R50" s="343">
        <v>43430</v>
      </c>
      <c r="S50" s="343">
        <v>336</v>
      </c>
      <c r="T50" s="343">
        <v>43766</v>
      </c>
    </row>
    <row r="51" spans="1:20">
      <c r="A51" s="349">
        <v>90201</v>
      </c>
      <c r="B51" s="342" t="s">
        <v>743</v>
      </c>
      <c r="C51" s="234">
        <v>1.2569E-3</v>
      </c>
      <c r="D51" s="234">
        <v>1.1705999999999999E-3</v>
      </c>
      <c r="E51" s="343">
        <v>3432496</v>
      </c>
      <c r="F51" s="231"/>
      <c r="G51" s="343">
        <v>587730</v>
      </c>
      <c r="H51" s="343">
        <v>83723</v>
      </c>
      <c r="I51" s="343">
        <v>559440</v>
      </c>
      <c r="J51" s="343">
        <v>62679</v>
      </c>
      <c r="K51" s="343">
        <v>1293572</v>
      </c>
      <c r="L51" s="231"/>
      <c r="M51" s="343">
        <v>0</v>
      </c>
      <c r="N51" s="343">
        <v>0</v>
      </c>
      <c r="O51" s="343">
        <v>37432</v>
      </c>
      <c r="P51" s="343">
        <v>37432</v>
      </c>
      <c r="Q51" s="231"/>
      <c r="R51" s="343">
        <v>1529035</v>
      </c>
      <c r="S51" s="343">
        <v>2957</v>
      </c>
      <c r="T51" s="343">
        <v>1531992</v>
      </c>
    </row>
    <row r="52" spans="1:20">
      <c r="A52" s="349">
        <v>90203</v>
      </c>
      <c r="B52" s="342" t="s">
        <v>3635</v>
      </c>
      <c r="C52" s="234">
        <v>2.0019999999999999E-4</v>
      </c>
      <c r="D52" s="234">
        <v>1.9909999999999999E-4</v>
      </c>
      <c r="E52" s="343">
        <v>546731</v>
      </c>
      <c r="F52" s="231"/>
      <c r="G52" s="343">
        <v>93614</v>
      </c>
      <c r="H52" s="343">
        <v>13336</v>
      </c>
      <c r="I52" s="343">
        <v>89108</v>
      </c>
      <c r="J52" s="343">
        <v>5278</v>
      </c>
      <c r="K52" s="343">
        <v>201336</v>
      </c>
      <c r="L52" s="231"/>
      <c r="M52" s="343">
        <v>0</v>
      </c>
      <c r="N52" s="343">
        <v>0</v>
      </c>
      <c r="O52" s="343">
        <v>17742</v>
      </c>
      <c r="P52" s="343">
        <v>17742</v>
      </c>
      <c r="Q52" s="231"/>
      <c r="R52" s="343">
        <v>243546</v>
      </c>
      <c r="S52" s="343">
        <v>-9710</v>
      </c>
      <c r="T52" s="343">
        <v>233836</v>
      </c>
    </row>
    <row r="53" spans="1:20">
      <c r="A53" s="349">
        <v>90205</v>
      </c>
      <c r="B53" s="342" t="s">
        <v>745</v>
      </c>
      <c r="C53" s="234">
        <v>3.04E-5</v>
      </c>
      <c r="D53" s="234">
        <v>3.2499999999999997E-5</v>
      </c>
      <c r="E53" s="343">
        <v>83020</v>
      </c>
      <c r="F53" s="231"/>
      <c r="G53" s="343">
        <v>14215</v>
      </c>
      <c r="H53" s="343">
        <v>2025</v>
      </c>
      <c r="I53" s="343">
        <v>13531</v>
      </c>
      <c r="J53" s="343">
        <v>1777</v>
      </c>
      <c r="K53" s="343">
        <v>31548</v>
      </c>
      <c r="L53" s="231"/>
      <c r="M53" s="343">
        <v>0</v>
      </c>
      <c r="N53" s="343">
        <v>0</v>
      </c>
      <c r="O53" s="343">
        <v>1763</v>
      </c>
      <c r="P53" s="343">
        <v>1763</v>
      </c>
      <c r="Q53" s="231"/>
      <c r="R53" s="343">
        <v>36982</v>
      </c>
      <c r="S53" s="343">
        <v>-98</v>
      </c>
      <c r="T53" s="343">
        <v>36884</v>
      </c>
    </row>
    <row r="54" spans="1:20">
      <c r="A54" s="349">
        <v>90206</v>
      </c>
      <c r="B54" s="342" t="s">
        <v>3636</v>
      </c>
      <c r="C54" s="234">
        <v>3.6160000000000001E-4</v>
      </c>
      <c r="D54" s="234">
        <v>4.1950000000000001E-4</v>
      </c>
      <c r="E54" s="343">
        <v>987501</v>
      </c>
      <c r="F54" s="231"/>
      <c r="G54" s="343">
        <v>169085</v>
      </c>
      <c r="H54" s="343">
        <v>24086</v>
      </c>
      <c r="I54" s="343">
        <v>160946</v>
      </c>
      <c r="J54" s="343">
        <v>0</v>
      </c>
      <c r="K54" s="343">
        <v>354117</v>
      </c>
      <c r="L54" s="231"/>
      <c r="M54" s="343">
        <v>0</v>
      </c>
      <c r="N54" s="343">
        <v>0</v>
      </c>
      <c r="O54" s="343">
        <v>57571</v>
      </c>
      <c r="P54" s="343">
        <v>57571</v>
      </c>
      <c r="Q54" s="231"/>
      <c r="R54" s="343">
        <v>439891</v>
      </c>
      <c r="S54" s="343">
        <v>-19711</v>
      </c>
      <c r="T54" s="343">
        <v>420180</v>
      </c>
    </row>
    <row r="55" spans="1:20">
      <c r="A55" s="349">
        <v>90211</v>
      </c>
      <c r="B55" s="342" t="s">
        <v>747</v>
      </c>
      <c r="C55" s="234">
        <v>1.5799999999999999E-4</v>
      </c>
      <c r="D55" s="234">
        <v>1.5330000000000001E-4</v>
      </c>
      <c r="E55" s="343">
        <v>431486</v>
      </c>
      <c r="F55" s="231"/>
      <c r="G55" s="343">
        <v>73881</v>
      </c>
      <c r="H55" s="343">
        <v>10525</v>
      </c>
      <c r="I55" s="343">
        <v>70325</v>
      </c>
      <c r="J55" s="343">
        <v>10065</v>
      </c>
      <c r="K55" s="343">
        <v>164796</v>
      </c>
      <c r="L55" s="231"/>
      <c r="M55" s="343">
        <v>0</v>
      </c>
      <c r="N55" s="343">
        <v>0</v>
      </c>
      <c r="O55" s="343">
        <v>4315</v>
      </c>
      <c r="P55" s="343">
        <v>4315</v>
      </c>
      <c r="Q55" s="231"/>
      <c r="R55" s="343">
        <v>192209</v>
      </c>
      <c r="S55" s="343">
        <v>-1941</v>
      </c>
      <c r="T55" s="343">
        <v>190268</v>
      </c>
    </row>
    <row r="56" spans="1:20">
      <c r="A56" s="349">
        <v>90301</v>
      </c>
      <c r="B56" s="342" t="s">
        <v>748</v>
      </c>
      <c r="C56" s="234">
        <v>7.339E-4</v>
      </c>
      <c r="D56" s="234">
        <v>7.0640000000000004E-4</v>
      </c>
      <c r="E56" s="343">
        <v>2004224</v>
      </c>
      <c r="F56" s="231"/>
      <c r="G56" s="343">
        <v>343174</v>
      </c>
      <c r="H56" s="343">
        <v>48886</v>
      </c>
      <c r="I56" s="343">
        <v>326655</v>
      </c>
      <c r="J56" s="343">
        <v>0</v>
      </c>
      <c r="K56" s="343">
        <v>718715</v>
      </c>
      <c r="L56" s="231"/>
      <c r="M56" s="343">
        <v>0</v>
      </c>
      <c r="N56" s="343">
        <v>0</v>
      </c>
      <c r="O56" s="343">
        <v>7727</v>
      </c>
      <c r="P56" s="343">
        <v>7727</v>
      </c>
      <c r="Q56" s="231"/>
      <c r="R56" s="343">
        <v>892799</v>
      </c>
      <c r="S56" s="343">
        <v>-2404</v>
      </c>
      <c r="T56" s="343">
        <v>890395</v>
      </c>
    </row>
    <row r="57" spans="1:20">
      <c r="A57" s="349">
        <v>90305</v>
      </c>
      <c r="B57" s="342" t="s">
        <v>749</v>
      </c>
      <c r="C57" s="234">
        <v>1.404E-4</v>
      </c>
      <c r="D57" s="234">
        <v>1.4909999999999999E-4</v>
      </c>
      <c r="E57" s="343">
        <v>383421</v>
      </c>
      <c r="F57" s="231"/>
      <c r="G57" s="343">
        <v>65651</v>
      </c>
      <c r="H57" s="343">
        <v>9352</v>
      </c>
      <c r="I57" s="343">
        <v>62491</v>
      </c>
      <c r="J57" s="343">
        <v>13757</v>
      </c>
      <c r="K57" s="343">
        <v>151251</v>
      </c>
      <c r="L57" s="231"/>
      <c r="M57" s="343">
        <v>0</v>
      </c>
      <c r="N57" s="343">
        <v>0</v>
      </c>
      <c r="O57" s="343">
        <v>0</v>
      </c>
      <c r="P57" s="343">
        <v>0</v>
      </c>
      <c r="Q57" s="231"/>
      <c r="R57" s="343">
        <v>170798</v>
      </c>
      <c r="S57" s="343">
        <v>9721</v>
      </c>
      <c r="T57" s="343">
        <v>180519</v>
      </c>
    </row>
    <row r="58" spans="1:20">
      <c r="A58" s="349">
        <v>90307</v>
      </c>
      <c r="B58" s="342" t="s">
        <v>750</v>
      </c>
      <c r="C58" s="234">
        <v>5.8000000000000004E-6</v>
      </c>
      <c r="D58" s="234">
        <v>6.6000000000000003E-6</v>
      </c>
      <c r="E58" s="343">
        <v>15839</v>
      </c>
      <c r="F58" s="231"/>
      <c r="G58" s="343">
        <v>2712</v>
      </c>
      <c r="H58" s="343">
        <v>386</v>
      </c>
      <c r="I58" s="343">
        <v>2582</v>
      </c>
      <c r="J58" s="343">
        <v>746</v>
      </c>
      <c r="K58" s="343">
        <v>6426</v>
      </c>
      <c r="L58" s="231"/>
      <c r="M58" s="343">
        <v>0</v>
      </c>
      <c r="N58" s="343">
        <v>0</v>
      </c>
      <c r="O58" s="343">
        <v>24</v>
      </c>
      <c r="P58" s="343">
        <v>24</v>
      </c>
      <c r="Q58" s="231"/>
      <c r="R58" s="343">
        <v>7056</v>
      </c>
      <c r="S58" s="343">
        <v>303</v>
      </c>
      <c r="T58" s="343">
        <v>7359</v>
      </c>
    </row>
    <row r="59" spans="1:20">
      <c r="A59" s="349">
        <v>90401</v>
      </c>
      <c r="B59" s="342" t="s">
        <v>751</v>
      </c>
      <c r="C59" s="234">
        <v>1.2876000000000001E-3</v>
      </c>
      <c r="D59" s="234">
        <v>1.2583E-3</v>
      </c>
      <c r="E59" s="343">
        <v>3516335</v>
      </c>
      <c r="F59" s="231"/>
      <c r="G59" s="343">
        <v>602086</v>
      </c>
      <c r="H59" s="343">
        <v>85768</v>
      </c>
      <c r="I59" s="343">
        <v>573104</v>
      </c>
      <c r="J59" s="343">
        <v>79589</v>
      </c>
      <c r="K59" s="343">
        <v>1340547</v>
      </c>
      <c r="L59" s="231"/>
      <c r="M59" s="343">
        <v>0</v>
      </c>
      <c r="N59" s="343">
        <v>0</v>
      </c>
      <c r="O59" s="343">
        <v>12903</v>
      </c>
      <c r="P59" s="343">
        <v>12903</v>
      </c>
      <c r="Q59" s="231"/>
      <c r="R59" s="343">
        <v>1566382</v>
      </c>
      <c r="S59" s="343">
        <v>29320</v>
      </c>
      <c r="T59" s="343">
        <v>1595702</v>
      </c>
    </row>
    <row r="60" spans="1:20">
      <c r="A60" s="349">
        <v>90411</v>
      </c>
      <c r="B60" s="342" t="s">
        <v>752</v>
      </c>
      <c r="C60" s="234">
        <v>3.2929999999999998E-4</v>
      </c>
      <c r="D60" s="234">
        <v>3.5110000000000002E-4</v>
      </c>
      <c r="E60" s="343">
        <v>899293</v>
      </c>
      <c r="F60" s="231"/>
      <c r="G60" s="343">
        <v>153982</v>
      </c>
      <c r="H60" s="343">
        <v>21935</v>
      </c>
      <c r="I60" s="343">
        <v>146570</v>
      </c>
      <c r="J60" s="343">
        <v>0</v>
      </c>
      <c r="K60" s="343">
        <v>322487</v>
      </c>
      <c r="L60" s="231"/>
      <c r="M60" s="343">
        <v>0</v>
      </c>
      <c r="N60" s="343">
        <v>0</v>
      </c>
      <c r="O60" s="343">
        <v>39964</v>
      </c>
      <c r="P60" s="343">
        <v>39964</v>
      </c>
      <c r="Q60" s="231"/>
      <c r="R60" s="343">
        <v>400598</v>
      </c>
      <c r="S60" s="343">
        <v>-22186</v>
      </c>
      <c r="T60" s="343">
        <v>378412</v>
      </c>
    </row>
    <row r="61" spans="1:20">
      <c r="A61" s="349">
        <v>90413</v>
      </c>
      <c r="B61" s="342" t="s">
        <v>753</v>
      </c>
      <c r="C61" s="234">
        <v>3.4900000000000001E-5</v>
      </c>
      <c r="D61" s="234">
        <v>3.4700000000000003E-5</v>
      </c>
      <c r="E61" s="343">
        <v>95309</v>
      </c>
      <c r="F61" s="231"/>
      <c r="G61" s="343">
        <v>16319</v>
      </c>
      <c r="H61" s="343">
        <v>2324</v>
      </c>
      <c r="I61" s="343">
        <v>15534</v>
      </c>
      <c r="J61" s="343">
        <v>3239</v>
      </c>
      <c r="K61" s="343">
        <v>37416</v>
      </c>
      <c r="L61" s="231"/>
      <c r="M61" s="343">
        <v>0</v>
      </c>
      <c r="N61" s="343">
        <v>0</v>
      </c>
      <c r="O61" s="343">
        <v>458</v>
      </c>
      <c r="P61" s="343">
        <v>458</v>
      </c>
      <c r="Q61" s="231"/>
      <c r="R61" s="343">
        <v>42456</v>
      </c>
      <c r="S61" s="343">
        <v>2578</v>
      </c>
      <c r="T61" s="343">
        <v>45034</v>
      </c>
    </row>
    <row r="62" spans="1:20">
      <c r="A62" s="349">
        <v>90417</v>
      </c>
      <c r="B62" s="342" t="s">
        <v>754</v>
      </c>
      <c r="C62" s="234">
        <v>1.06E-5</v>
      </c>
      <c r="D62" s="234">
        <v>1.19E-5</v>
      </c>
      <c r="E62" s="343">
        <v>28948</v>
      </c>
      <c r="F62" s="231"/>
      <c r="G62" s="343">
        <v>4957</v>
      </c>
      <c r="H62" s="343">
        <v>706</v>
      </c>
      <c r="I62" s="343">
        <v>4718</v>
      </c>
      <c r="J62" s="343">
        <v>4847</v>
      </c>
      <c r="K62" s="343">
        <v>15228</v>
      </c>
      <c r="L62" s="231"/>
      <c r="M62" s="343">
        <v>0</v>
      </c>
      <c r="N62" s="343">
        <v>0</v>
      </c>
      <c r="O62" s="343">
        <v>0</v>
      </c>
      <c r="P62" s="343">
        <v>0</v>
      </c>
      <c r="Q62" s="231"/>
      <c r="R62" s="343">
        <v>12895</v>
      </c>
      <c r="S62" s="343">
        <v>2003</v>
      </c>
      <c r="T62" s="343">
        <v>14898</v>
      </c>
    </row>
    <row r="63" spans="1:20">
      <c r="A63" s="349">
        <v>90421</v>
      </c>
      <c r="B63" s="342" t="s">
        <v>755</v>
      </c>
      <c r="C63" s="234">
        <v>1.98E-5</v>
      </c>
      <c r="D63" s="234">
        <v>2.09E-5</v>
      </c>
      <c r="E63" s="343">
        <v>54072</v>
      </c>
      <c r="F63" s="231"/>
      <c r="G63" s="343">
        <v>9259</v>
      </c>
      <c r="H63" s="343">
        <v>1319</v>
      </c>
      <c r="I63" s="343">
        <v>8813</v>
      </c>
      <c r="J63" s="343">
        <v>0</v>
      </c>
      <c r="K63" s="343">
        <v>19391</v>
      </c>
      <c r="L63" s="231"/>
      <c r="M63" s="343">
        <v>0</v>
      </c>
      <c r="N63" s="343">
        <v>0</v>
      </c>
      <c r="O63" s="343">
        <v>4296</v>
      </c>
      <c r="P63" s="343">
        <v>4296</v>
      </c>
      <c r="Q63" s="231"/>
      <c r="R63" s="343">
        <v>24087</v>
      </c>
      <c r="S63" s="343">
        <v>-2020</v>
      </c>
      <c r="T63" s="343">
        <v>22067</v>
      </c>
    </row>
    <row r="64" spans="1:20">
      <c r="A64" s="349">
        <v>90431</v>
      </c>
      <c r="B64" s="342" t="s">
        <v>756</v>
      </c>
      <c r="C64" s="234">
        <v>4.8099999999999997E-5</v>
      </c>
      <c r="D64" s="234">
        <v>4.5099999999999998E-5</v>
      </c>
      <c r="E64" s="343">
        <v>131357</v>
      </c>
      <c r="F64" s="231"/>
      <c r="G64" s="343">
        <v>22492</v>
      </c>
      <c r="H64" s="343">
        <v>3204</v>
      </c>
      <c r="I64" s="343">
        <v>21409</v>
      </c>
      <c r="J64" s="343">
        <v>4313</v>
      </c>
      <c r="K64" s="343">
        <v>51418</v>
      </c>
      <c r="L64" s="231"/>
      <c r="M64" s="343">
        <v>0</v>
      </c>
      <c r="N64" s="343">
        <v>0</v>
      </c>
      <c r="O64" s="343">
        <v>1462</v>
      </c>
      <c r="P64" s="343">
        <v>1462</v>
      </c>
      <c r="Q64" s="231"/>
      <c r="R64" s="343">
        <v>58514</v>
      </c>
      <c r="S64" s="343">
        <v>2712</v>
      </c>
      <c r="T64" s="343">
        <v>61226</v>
      </c>
    </row>
    <row r="65" spans="1:20">
      <c r="A65" s="349">
        <v>90441</v>
      </c>
      <c r="B65" s="342" t="s">
        <v>757</v>
      </c>
      <c r="C65" s="234">
        <v>6.7000000000000002E-6</v>
      </c>
      <c r="D65" s="234">
        <v>7.5000000000000002E-6</v>
      </c>
      <c r="E65" s="343">
        <v>18297</v>
      </c>
      <c r="F65" s="231"/>
      <c r="G65" s="343">
        <v>3133</v>
      </c>
      <c r="H65" s="343">
        <v>447</v>
      </c>
      <c r="I65" s="343">
        <v>2982</v>
      </c>
      <c r="J65" s="343">
        <v>1456</v>
      </c>
      <c r="K65" s="343">
        <v>8018</v>
      </c>
      <c r="L65" s="231"/>
      <c r="M65" s="343">
        <v>0</v>
      </c>
      <c r="N65" s="343">
        <v>0</v>
      </c>
      <c r="O65" s="343">
        <v>0</v>
      </c>
      <c r="P65" s="343">
        <v>0</v>
      </c>
      <c r="Q65" s="231"/>
      <c r="R65" s="343">
        <v>8151</v>
      </c>
      <c r="S65" s="343">
        <v>398</v>
      </c>
      <c r="T65" s="343">
        <v>8549</v>
      </c>
    </row>
    <row r="66" spans="1:20">
      <c r="A66" s="349">
        <v>90451</v>
      </c>
      <c r="B66" s="342" t="s">
        <v>758</v>
      </c>
      <c r="C66" s="234">
        <v>2.3099999999999999E-5</v>
      </c>
      <c r="D66" s="234">
        <v>2.05E-5</v>
      </c>
      <c r="E66" s="343">
        <v>63084</v>
      </c>
      <c r="F66" s="231"/>
      <c r="G66" s="343">
        <v>10802</v>
      </c>
      <c r="H66" s="343">
        <v>1539</v>
      </c>
      <c r="I66" s="343">
        <v>10282</v>
      </c>
      <c r="J66" s="343">
        <v>4388</v>
      </c>
      <c r="K66" s="343">
        <v>27011</v>
      </c>
      <c r="L66" s="231"/>
      <c r="M66" s="343">
        <v>0</v>
      </c>
      <c r="N66" s="343">
        <v>0</v>
      </c>
      <c r="O66" s="343">
        <v>360</v>
      </c>
      <c r="P66" s="343">
        <v>360</v>
      </c>
      <c r="Q66" s="231"/>
      <c r="R66" s="343">
        <v>28101</v>
      </c>
      <c r="S66" s="343">
        <v>1540</v>
      </c>
      <c r="T66" s="343">
        <v>29641</v>
      </c>
    </row>
    <row r="67" spans="1:20">
      <c r="A67" s="349">
        <v>90461</v>
      </c>
      <c r="B67" s="342" t="s">
        <v>759</v>
      </c>
      <c r="C67" s="234">
        <v>2.0999999999999998E-6</v>
      </c>
      <c r="D67" s="234">
        <v>5.5999999999999997E-6</v>
      </c>
      <c r="E67" s="343">
        <v>5735</v>
      </c>
      <c r="F67" s="231"/>
      <c r="G67" s="343">
        <v>982</v>
      </c>
      <c r="H67" s="343">
        <v>140</v>
      </c>
      <c r="I67" s="343">
        <v>935</v>
      </c>
      <c r="J67" s="343">
        <v>67</v>
      </c>
      <c r="K67" s="343">
        <v>2124</v>
      </c>
      <c r="L67" s="231"/>
      <c r="M67" s="343">
        <v>0</v>
      </c>
      <c r="N67" s="343">
        <v>0</v>
      </c>
      <c r="O67" s="343">
        <v>5895</v>
      </c>
      <c r="P67" s="343">
        <v>5895</v>
      </c>
      <c r="Q67" s="231"/>
      <c r="R67" s="343">
        <v>2555</v>
      </c>
      <c r="S67" s="343">
        <v>-961</v>
      </c>
      <c r="T67" s="343">
        <v>1594</v>
      </c>
    </row>
    <row r="68" spans="1:20">
      <c r="A68" s="349">
        <v>90501</v>
      </c>
      <c r="B68" s="342" t="s">
        <v>760</v>
      </c>
      <c r="C68" s="234">
        <v>1.4587000000000001E-3</v>
      </c>
      <c r="D68" s="234">
        <v>1.3675E-3</v>
      </c>
      <c r="E68" s="343">
        <v>3983596</v>
      </c>
      <c r="F68" s="231"/>
      <c r="G68" s="343">
        <v>682092</v>
      </c>
      <c r="H68" s="343">
        <v>97166</v>
      </c>
      <c r="I68" s="343">
        <v>649260</v>
      </c>
      <c r="J68" s="343">
        <v>104668</v>
      </c>
      <c r="K68" s="343">
        <v>1533186</v>
      </c>
      <c r="L68" s="231"/>
      <c r="M68" s="343">
        <v>0</v>
      </c>
      <c r="N68" s="343">
        <v>0</v>
      </c>
      <c r="O68" s="343">
        <v>4461</v>
      </c>
      <c r="P68" s="343">
        <v>4461</v>
      </c>
      <c r="Q68" s="231"/>
      <c r="R68" s="343">
        <v>1774528</v>
      </c>
      <c r="S68" s="343">
        <v>33610</v>
      </c>
      <c r="T68" s="343">
        <v>1808138</v>
      </c>
    </row>
    <row r="69" spans="1:20">
      <c r="A69" s="349">
        <v>90507</v>
      </c>
      <c r="B69" s="342" t="s">
        <v>34</v>
      </c>
      <c r="C69" s="234">
        <v>3.4000000000000001E-6</v>
      </c>
      <c r="D69" s="234">
        <v>6.3999999999999997E-6</v>
      </c>
      <c r="E69" s="343">
        <v>9285</v>
      </c>
      <c r="F69" s="231"/>
      <c r="G69" s="343">
        <v>1590</v>
      </c>
      <c r="H69" s="343">
        <v>226</v>
      </c>
      <c r="I69" s="343">
        <v>1513</v>
      </c>
      <c r="J69" s="343">
        <v>11773</v>
      </c>
      <c r="K69" s="343">
        <v>15102</v>
      </c>
      <c r="L69" s="231"/>
      <c r="M69" s="343">
        <v>0</v>
      </c>
      <c r="N69" s="343">
        <v>0</v>
      </c>
      <c r="O69" s="343">
        <v>0</v>
      </c>
      <c r="P69" s="343">
        <v>0</v>
      </c>
      <c r="Q69" s="231"/>
      <c r="R69" s="343">
        <v>4136</v>
      </c>
      <c r="S69" s="343">
        <v>5978</v>
      </c>
      <c r="T69" s="343">
        <v>10114</v>
      </c>
    </row>
    <row r="70" spans="1:20">
      <c r="A70" s="349">
        <v>90511</v>
      </c>
      <c r="B70" s="342" t="s">
        <v>761</v>
      </c>
      <c r="C70" s="234">
        <v>1.011E-4</v>
      </c>
      <c r="D70" s="234">
        <v>8.25E-5</v>
      </c>
      <c r="E70" s="343">
        <v>276096</v>
      </c>
      <c r="F70" s="231"/>
      <c r="G70" s="343">
        <v>47275</v>
      </c>
      <c r="H70" s="343">
        <v>6734</v>
      </c>
      <c r="I70" s="343">
        <v>44999</v>
      </c>
      <c r="J70" s="343">
        <v>31491</v>
      </c>
      <c r="K70" s="343">
        <v>130499</v>
      </c>
      <c r="L70" s="231"/>
      <c r="M70" s="343">
        <v>0</v>
      </c>
      <c r="N70" s="343">
        <v>0</v>
      </c>
      <c r="O70" s="343">
        <v>0</v>
      </c>
      <c r="P70" s="343">
        <v>0</v>
      </c>
      <c r="Q70" s="231"/>
      <c r="R70" s="343">
        <v>122989</v>
      </c>
      <c r="S70" s="343">
        <v>11554</v>
      </c>
      <c r="T70" s="343">
        <v>134543</v>
      </c>
    </row>
    <row r="71" spans="1:20">
      <c r="A71" s="349">
        <v>90521</v>
      </c>
      <c r="B71" s="342" t="s">
        <v>762</v>
      </c>
      <c r="C71" s="234">
        <v>1.371E-4</v>
      </c>
      <c r="D71" s="234">
        <v>1.281E-4</v>
      </c>
      <c r="E71" s="343">
        <v>374409</v>
      </c>
      <c r="F71" s="231"/>
      <c r="G71" s="343">
        <v>64108</v>
      </c>
      <c r="H71" s="343">
        <v>9132</v>
      </c>
      <c r="I71" s="343">
        <v>61023</v>
      </c>
      <c r="J71" s="343">
        <v>0</v>
      </c>
      <c r="K71" s="343">
        <v>134263</v>
      </c>
      <c r="L71" s="231"/>
      <c r="M71" s="343">
        <v>0</v>
      </c>
      <c r="N71" s="343">
        <v>0</v>
      </c>
      <c r="O71" s="343">
        <v>17308</v>
      </c>
      <c r="P71" s="343">
        <v>17308</v>
      </c>
      <c r="Q71" s="231"/>
      <c r="R71" s="343">
        <v>166784</v>
      </c>
      <c r="S71" s="343">
        <v>-9423</v>
      </c>
      <c r="T71" s="343">
        <v>157361</v>
      </c>
    </row>
    <row r="72" spans="1:20">
      <c r="A72" s="349">
        <v>90601</v>
      </c>
      <c r="B72" s="342" t="s">
        <v>763</v>
      </c>
      <c r="C72" s="234">
        <v>1.1100999999999999E-3</v>
      </c>
      <c r="D72" s="234">
        <v>1.1383999999999999E-3</v>
      </c>
      <c r="E72" s="343">
        <v>3031597</v>
      </c>
      <c r="F72" s="231"/>
      <c r="G72" s="343">
        <v>519086</v>
      </c>
      <c r="H72" s="343">
        <v>73945</v>
      </c>
      <c r="I72" s="343">
        <v>494100</v>
      </c>
      <c r="J72" s="343">
        <v>8511</v>
      </c>
      <c r="K72" s="343">
        <v>1095642</v>
      </c>
      <c r="L72" s="231"/>
      <c r="M72" s="343">
        <v>0</v>
      </c>
      <c r="N72" s="343">
        <v>0</v>
      </c>
      <c r="O72" s="343">
        <v>25458</v>
      </c>
      <c r="P72" s="343">
        <v>25458</v>
      </c>
      <c r="Q72" s="231"/>
      <c r="R72" s="343">
        <v>1350451</v>
      </c>
      <c r="S72" s="343">
        <v>-7560</v>
      </c>
      <c r="T72" s="343">
        <v>1342891</v>
      </c>
    </row>
    <row r="73" spans="1:20">
      <c r="A73" s="349">
        <v>90602</v>
      </c>
      <c r="B73" s="342" t="s">
        <v>259</v>
      </c>
      <c r="C73" s="234">
        <v>9.2999999999999997E-5</v>
      </c>
      <c r="D73" s="234">
        <v>6.3100000000000002E-5</v>
      </c>
      <c r="E73" s="343">
        <v>253976</v>
      </c>
      <c r="F73" s="231"/>
      <c r="G73" s="343">
        <v>43487</v>
      </c>
      <c r="H73" s="343">
        <v>6195</v>
      </c>
      <c r="I73" s="343">
        <v>41394</v>
      </c>
      <c r="J73" s="343">
        <v>48781</v>
      </c>
      <c r="K73" s="343">
        <v>139857</v>
      </c>
      <c r="L73" s="231"/>
      <c r="M73" s="343">
        <v>0</v>
      </c>
      <c r="N73" s="343">
        <v>0</v>
      </c>
      <c r="O73" s="343">
        <v>0</v>
      </c>
      <c r="P73" s="343">
        <v>0</v>
      </c>
      <c r="Q73" s="231"/>
      <c r="R73" s="343">
        <v>113136</v>
      </c>
      <c r="S73" s="343">
        <v>23692</v>
      </c>
      <c r="T73" s="343">
        <v>136828</v>
      </c>
    </row>
    <row r="74" spans="1:20">
      <c r="A74" s="349">
        <v>90605</v>
      </c>
      <c r="B74" s="342" t="s">
        <v>3637</v>
      </c>
      <c r="C74" s="234">
        <v>4.9799999999999998E-5</v>
      </c>
      <c r="D74" s="234">
        <v>3.9199999999999997E-5</v>
      </c>
      <c r="E74" s="343">
        <v>136000</v>
      </c>
      <c r="F74" s="231"/>
      <c r="G74" s="343">
        <v>23287</v>
      </c>
      <c r="H74" s="343">
        <v>3317</v>
      </c>
      <c r="I74" s="343">
        <v>22166</v>
      </c>
      <c r="J74" s="343">
        <v>19578</v>
      </c>
      <c r="K74" s="343">
        <v>68348</v>
      </c>
      <c r="L74" s="231"/>
      <c r="M74" s="343">
        <v>0</v>
      </c>
      <c r="N74" s="343">
        <v>0</v>
      </c>
      <c r="O74" s="343">
        <v>0</v>
      </c>
      <c r="P74" s="343">
        <v>0</v>
      </c>
      <c r="Q74" s="231"/>
      <c r="R74" s="343">
        <v>60582</v>
      </c>
      <c r="S74" s="343">
        <v>8653</v>
      </c>
      <c r="T74" s="343">
        <v>69235</v>
      </c>
    </row>
    <row r="75" spans="1:20">
      <c r="A75" s="349">
        <v>90611</v>
      </c>
      <c r="B75" s="342" t="s">
        <v>765</v>
      </c>
      <c r="C75" s="234">
        <v>1.526E-4</v>
      </c>
      <c r="D75" s="234">
        <v>1.4009999999999999E-4</v>
      </c>
      <c r="E75" s="343">
        <v>416739</v>
      </c>
      <c r="F75" s="231"/>
      <c r="G75" s="343">
        <v>71356</v>
      </c>
      <c r="H75" s="343">
        <v>10165</v>
      </c>
      <c r="I75" s="343">
        <v>67921</v>
      </c>
      <c r="J75" s="343">
        <v>4970</v>
      </c>
      <c r="K75" s="343">
        <v>154412</v>
      </c>
      <c r="L75" s="231"/>
      <c r="M75" s="343">
        <v>0</v>
      </c>
      <c r="N75" s="343">
        <v>0</v>
      </c>
      <c r="O75" s="343">
        <v>13216</v>
      </c>
      <c r="P75" s="343">
        <v>13216</v>
      </c>
      <c r="Q75" s="231"/>
      <c r="R75" s="343">
        <v>185640</v>
      </c>
      <c r="S75" s="343">
        <v>-6430</v>
      </c>
      <c r="T75" s="343">
        <v>179210</v>
      </c>
    </row>
    <row r="76" spans="1:20">
      <c r="A76" s="349">
        <v>90617</v>
      </c>
      <c r="B76" s="342" t="s">
        <v>766</v>
      </c>
      <c r="C76" s="234">
        <v>2.8600000000000001E-5</v>
      </c>
      <c r="D76" s="234">
        <v>2.72E-5</v>
      </c>
      <c r="E76" s="343">
        <v>78104</v>
      </c>
      <c r="F76" s="231"/>
      <c r="G76" s="343">
        <v>13373</v>
      </c>
      <c r="H76" s="343">
        <v>1905</v>
      </c>
      <c r="I76" s="343">
        <v>12730</v>
      </c>
      <c r="J76" s="343">
        <v>5886</v>
      </c>
      <c r="K76" s="343">
        <v>33894</v>
      </c>
      <c r="L76" s="231"/>
      <c r="M76" s="343">
        <v>0</v>
      </c>
      <c r="N76" s="343">
        <v>0</v>
      </c>
      <c r="O76" s="343">
        <v>0</v>
      </c>
      <c r="P76" s="343">
        <v>0</v>
      </c>
      <c r="Q76" s="231"/>
      <c r="R76" s="343">
        <v>34792</v>
      </c>
      <c r="S76" s="343">
        <v>2840</v>
      </c>
      <c r="T76" s="343">
        <v>37632</v>
      </c>
    </row>
    <row r="77" spans="1:20">
      <c r="A77" s="349">
        <v>90621</v>
      </c>
      <c r="B77" s="342" t="s">
        <v>767</v>
      </c>
      <c r="C77" s="234">
        <v>6.97E-5</v>
      </c>
      <c r="D77" s="234">
        <v>6.5699999999999998E-5</v>
      </c>
      <c r="E77" s="343">
        <v>190345</v>
      </c>
      <c r="F77" s="231"/>
      <c r="G77" s="343">
        <v>32592</v>
      </c>
      <c r="H77" s="343">
        <v>4642</v>
      </c>
      <c r="I77" s="343">
        <v>31023</v>
      </c>
      <c r="J77" s="343">
        <v>2208</v>
      </c>
      <c r="K77" s="343">
        <v>70465</v>
      </c>
      <c r="L77" s="231"/>
      <c r="M77" s="343">
        <v>0</v>
      </c>
      <c r="N77" s="343">
        <v>0</v>
      </c>
      <c r="O77" s="343">
        <v>9522</v>
      </c>
      <c r="P77" s="343">
        <v>9522</v>
      </c>
      <c r="Q77" s="231"/>
      <c r="R77" s="343">
        <v>84791</v>
      </c>
      <c r="S77" s="343">
        <v>-5748</v>
      </c>
      <c r="T77" s="343">
        <v>79043</v>
      </c>
    </row>
    <row r="78" spans="1:20">
      <c r="A78" s="349">
        <v>90631</v>
      </c>
      <c r="B78" s="342" t="s">
        <v>768</v>
      </c>
      <c r="C78" s="234">
        <v>3.6430000000000002E-4</v>
      </c>
      <c r="D78" s="234">
        <v>3.7120000000000002E-4</v>
      </c>
      <c r="E78" s="343">
        <v>994875</v>
      </c>
      <c r="F78" s="231"/>
      <c r="G78" s="343">
        <v>170348</v>
      </c>
      <c r="H78" s="343">
        <v>24266</v>
      </c>
      <c r="I78" s="343">
        <v>162148</v>
      </c>
      <c r="J78" s="343">
        <v>6544</v>
      </c>
      <c r="K78" s="343">
        <v>363306</v>
      </c>
      <c r="L78" s="231"/>
      <c r="M78" s="343">
        <v>0</v>
      </c>
      <c r="N78" s="343">
        <v>0</v>
      </c>
      <c r="O78" s="343">
        <v>12172</v>
      </c>
      <c r="P78" s="343">
        <v>12172</v>
      </c>
      <c r="Q78" s="231"/>
      <c r="R78" s="343">
        <v>443176</v>
      </c>
      <c r="S78" s="343">
        <v>-488</v>
      </c>
      <c r="T78" s="343">
        <v>442688</v>
      </c>
    </row>
    <row r="79" spans="1:20">
      <c r="A79" s="349">
        <v>90641</v>
      </c>
      <c r="B79" s="342" t="s">
        <v>769</v>
      </c>
      <c r="C79" s="234">
        <v>1.1800000000000001E-5</v>
      </c>
      <c r="D79" s="234">
        <v>1.2999999999999999E-5</v>
      </c>
      <c r="E79" s="343">
        <v>32225</v>
      </c>
      <c r="F79" s="231"/>
      <c r="G79" s="343">
        <v>5518</v>
      </c>
      <c r="H79" s="343">
        <v>786</v>
      </c>
      <c r="I79" s="343">
        <v>5252</v>
      </c>
      <c r="J79" s="343">
        <v>217</v>
      </c>
      <c r="K79" s="343">
        <v>11773</v>
      </c>
      <c r="L79" s="231"/>
      <c r="M79" s="343">
        <v>0</v>
      </c>
      <c r="N79" s="343">
        <v>0</v>
      </c>
      <c r="O79" s="343">
        <v>117</v>
      </c>
      <c r="P79" s="343">
        <v>117</v>
      </c>
      <c r="Q79" s="231"/>
      <c r="R79" s="343">
        <v>14355</v>
      </c>
      <c r="S79" s="343">
        <v>32</v>
      </c>
      <c r="T79" s="343">
        <v>14387</v>
      </c>
    </row>
    <row r="80" spans="1:20">
      <c r="A80" s="349">
        <v>90651</v>
      </c>
      <c r="B80" s="342" t="s">
        <v>770</v>
      </c>
      <c r="C80" s="234">
        <v>1.031E-4</v>
      </c>
      <c r="D80" s="234">
        <v>1.064E-4</v>
      </c>
      <c r="E80" s="343">
        <v>281558</v>
      </c>
      <c r="F80" s="231"/>
      <c r="G80" s="343">
        <v>48210</v>
      </c>
      <c r="H80" s="343">
        <v>6868</v>
      </c>
      <c r="I80" s="343">
        <v>45889</v>
      </c>
      <c r="J80" s="343">
        <v>103130</v>
      </c>
      <c r="K80" s="343">
        <v>204097</v>
      </c>
      <c r="L80" s="231"/>
      <c r="M80" s="343">
        <v>0</v>
      </c>
      <c r="N80" s="343">
        <v>0</v>
      </c>
      <c r="O80" s="343">
        <v>0</v>
      </c>
      <c r="P80" s="343">
        <v>0</v>
      </c>
      <c r="Q80" s="231"/>
      <c r="R80" s="343">
        <v>125422</v>
      </c>
      <c r="S80" s="343">
        <v>50353</v>
      </c>
      <c r="T80" s="343">
        <v>175775</v>
      </c>
    </row>
    <row r="81" spans="1:20">
      <c r="A81" s="349">
        <v>90701</v>
      </c>
      <c r="B81" s="342" t="s">
        <v>771</v>
      </c>
      <c r="C81" s="234">
        <v>2.6227999999999998E-3</v>
      </c>
      <c r="D81" s="234">
        <v>2.6327999999999998E-3</v>
      </c>
      <c r="E81" s="343">
        <v>7162662</v>
      </c>
      <c r="F81" s="231"/>
      <c r="G81" s="343">
        <v>1226429</v>
      </c>
      <c r="H81" s="343">
        <v>174707</v>
      </c>
      <c r="I81" s="343">
        <v>1167395</v>
      </c>
      <c r="J81" s="343">
        <v>56500</v>
      </c>
      <c r="K81" s="343">
        <v>2625031</v>
      </c>
      <c r="L81" s="231"/>
      <c r="M81" s="343">
        <v>0</v>
      </c>
      <c r="N81" s="343">
        <v>0</v>
      </c>
      <c r="O81" s="343">
        <v>161267</v>
      </c>
      <c r="P81" s="343">
        <v>161267</v>
      </c>
      <c r="Q81" s="231"/>
      <c r="R81" s="343">
        <v>3190670</v>
      </c>
      <c r="S81" s="343">
        <v>-27550</v>
      </c>
      <c r="T81" s="343">
        <v>3163120</v>
      </c>
    </row>
    <row r="82" spans="1:20">
      <c r="A82" s="349">
        <v>90704</v>
      </c>
      <c r="B82" s="342" t="s">
        <v>772</v>
      </c>
      <c r="C82" s="234">
        <v>4.4299999999999999E-5</v>
      </c>
      <c r="D82" s="234">
        <v>3.4100000000000002E-5</v>
      </c>
      <c r="E82" s="343">
        <v>120980</v>
      </c>
      <c r="F82" s="231"/>
      <c r="G82" s="343">
        <v>20715</v>
      </c>
      <c r="H82" s="343">
        <v>2951</v>
      </c>
      <c r="I82" s="343">
        <v>19718</v>
      </c>
      <c r="J82" s="343">
        <v>26018</v>
      </c>
      <c r="K82" s="343">
        <v>69402</v>
      </c>
      <c r="L82" s="231"/>
      <c r="M82" s="343">
        <v>0</v>
      </c>
      <c r="N82" s="343">
        <v>0</v>
      </c>
      <c r="O82" s="343">
        <v>0</v>
      </c>
      <c r="P82" s="343">
        <v>0</v>
      </c>
      <c r="Q82" s="231"/>
      <c r="R82" s="343">
        <v>53892</v>
      </c>
      <c r="S82" s="343">
        <v>10331</v>
      </c>
      <c r="T82" s="343">
        <v>64223</v>
      </c>
    </row>
    <row r="83" spans="1:20">
      <c r="A83" s="349">
        <v>90705</v>
      </c>
      <c r="B83" s="342" t="s">
        <v>773</v>
      </c>
      <c r="C83" s="234">
        <v>4.1199999999999999E-5</v>
      </c>
      <c r="D83" s="234">
        <v>3.6000000000000001E-5</v>
      </c>
      <c r="E83" s="343">
        <v>112514</v>
      </c>
      <c r="F83" s="231"/>
      <c r="G83" s="343">
        <v>19265</v>
      </c>
      <c r="H83" s="343">
        <v>2745</v>
      </c>
      <c r="I83" s="343">
        <v>18338</v>
      </c>
      <c r="J83" s="343">
        <v>14850</v>
      </c>
      <c r="K83" s="343">
        <v>55198</v>
      </c>
      <c r="L83" s="231"/>
      <c r="M83" s="343">
        <v>0</v>
      </c>
      <c r="N83" s="343">
        <v>0</v>
      </c>
      <c r="O83" s="343">
        <v>5580</v>
      </c>
      <c r="P83" s="343">
        <v>5580</v>
      </c>
      <c r="Q83" s="231"/>
      <c r="R83" s="343">
        <v>50120</v>
      </c>
      <c r="S83" s="343">
        <v>5322</v>
      </c>
      <c r="T83" s="343">
        <v>55442</v>
      </c>
    </row>
    <row r="84" spans="1:20">
      <c r="A84" s="349">
        <v>90709</v>
      </c>
      <c r="B84" s="342" t="s">
        <v>774</v>
      </c>
      <c r="C84" s="234">
        <v>1.474E-4</v>
      </c>
      <c r="D84" s="234">
        <v>1.683E-4</v>
      </c>
      <c r="E84" s="343">
        <v>402538</v>
      </c>
      <c r="F84" s="231"/>
      <c r="G84" s="343">
        <v>68925</v>
      </c>
      <c r="H84" s="343">
        <v>9819</v>
      </c>
      <c r="I84" s="343">
        <v>65607</v>
      </c>
      <c r="J84" s="343">
        <v>29311</v>
      </c>
      <c r="K84" s="343">
        <v>173662</v>
      </c>
      <c r="L84" s="231"/>
      <c r="M84" s="343">
        <v>0</v>
      </c>
      <c r="N84" s="343">
        <v>0</v>
      </c>
      <c r="O84" s="343">
        <v>28480</v>
      </c>
      <c r="P84" s="343">
        <v>28480</v>
      </c>
      <c r="Q84" s="231"/>
      <c r="R84" s="343">
        <v>179314</v>
      </c>
      <c r="S84" s="343">
        <v>-8090</v>
      </c>
      <c r="T84" s="343">
        <v>171224</v>
      </c>
    </row>
    <row r="85" spans="1:20">
      <c r="A85" s="349">
        <v>90711</v>
      </c>
      <c r="B85" s="342" t="s">
        <v>775</v>
      </c>
      <c r="C85" s="234">
        <v>1.5481E-3</v>
      </c>
      <c r="D85" s="234">
        <v>1.6165000000000001E-3</v>
      </c>
      <c r="E85" s="343">
        <v>4227740</v>
      </c>
      <c r="F85" s="231"/>
      <c r="G85" s="343">
        <v>723896</v>
      </c>
      <c r="H85" s="343">
        <v>103121</v>
      </c>
      <c r="I85" s="343">
        <v>689052</v>
      </c>
      <c r="J85" s="343">
        <v>0</v>
      </c>
      <c r="K85" s="343">
        <v>1516069</v>
      </c>
      <c r="L85" s="231"/>
      <c r="M85" s="343">
        <v>0</v>
      </c>
      <c r="N85" s="343">
        <v>0</v>
      </c>
      <c r="O85" s="343">
        <v>141744</v>
      </c>
      <c r="P85" s="343">
        <v>141744</v>
      </c>
      <c r="Q85" s="231"/>
      <c r="R85" s="343">
        <v>1883284</v>
      </c>
      <c r="S85" s="343">
        <v>-80901</v>
      </c>
      <c r="T85" s="343">
        <v>1802383</v>
      </c>
    </row>
    <row r="86" spans="1:20">
      <c r="A86" s="349">
        <v>90721</v>
      </c>
      <c r="B86" s="342" t="s">
        <v>776</v>
      </c>
      <c r="C86" s="234">
        <v>2.1399999999999998E-5</v>
      </c>
      <c r="D86" s="234">
        <v>2.8200000000000001E-5</v>
      </c>
      <c r="E86" s="343">
        <v>58442</v>
      </c>
      <c r="F86" s="231"/>
      <c r="G86" s="343">
        <v>10007</v>
      </c>
      <c r="H86" s="343">
        <v>1425</v>
      </c>
      <c r="I86" s="343">
        <v>9525</v>
      </c>
      <c r="J86" s="343">
        <v>157</v>
      </c>
      <c r="K86" s="343">
        <v>21114</v>
      </c>
      <c r="L86" s="231"/>
      <c r="M86" s="343">
        <v>0</v>
      </c>
      <c r="N86" s="343">
        <v>0</v>
      </c>
      <c r="O86" s="343">
        <v>6486</v>
      </c>
      <c r="P86" s="343">
        <v>6486</v>
      </c>
      <c r="Q86" s="231"/>
      <c r="R86" s="343">
        <v>26033</v>
      </c>
      <c r="S86" s="343">
        <v>-1729</v>
      </c>
      <c r="T86" s="343">
        <v>24304</v>
      </c>
    </row>
    <row r="87" spans="1:20">
      <c r="A87" s="349">
        <v>90731</v>
      </c>
      <c r="B87" s="342" t="s">
        <v>777</v>
      </c>
      <c r="C87" s="234">
        <v>1.384E-4</v>
      </c>
      <c r="D87" s="234">
        <v>1.4919999999999999E-4</v>
      </c>
      <c r="E87" s="343">
        <v>377960</v>
      </c>
      <c r="F87" s="231"/>
      <c r="G87" s="343">
        <v>64716</v>
      </c>
      <c r="H87" s="343">
        <v>9219</v>
      </c>
      <c r="I87" s="343">
        <v>61601</v>
      </c>
      <c r="J87" s="343">
        <v>0</v>
      </c>
      <c r="K87" s="343">
        <v>135536</v>
      </c>
      <c r="L87" s="231"/>
      <c r="M87" s="343">
        <v>0</v>
      </c>
      <c r="N87" s="343">
        <v>0</v>
      </c>
      <c r="O87" s="343">
        <v>17153</v>
      </c>
      <c r="P87" s="343">
        <v>17153</v>
      </c>
      <c r="Q87" s="231"/>
      <c r="R87" s="343">
        <v>168365</v>
      </c>
      <c r="S87" s="343">
        <v>-7847</v>
      </c>
      <c r="T87" s="343">
        <v>160518</v>
      </c>
    </row>
    <row r="88" spans="1:20">
      <c r="A88" s="349">
        <v>90741</v>
      </c>
      <c r="B88" s="342" t="s">
        <v>778</v>
      </c>
      <c r="C88" s="234">
        <v>1.38E-5</v>
      </c>
      <c r="D88" s="234">
        <v>1.52E-5</v>
      </c>
      <c r="E88" s="343">
        <v>37687</v>
      </c>
      <c r="F88" s="231"/>
      <c r="G88" s="343">
        <v>6453</v>
      </c>
      <c r="H88" s="343">
        <v>919</v>
      </c>
      <c r="I88" s="343">
        <v>6142</v>
      </c>
      <c r="J88" s="343">
        <v>3237</v>
      </c>
      <c r="K88" s="343">
        <v>16751</v>
      </c>
      <c r="L88" s="231"/>
      <c r="M88" s="343">
        <v>0</v>
      </c>
      <c r="N88" s="343">
        <v>0</v>
      </c>
      <c r="O88" s="343">
        <v>1091</v>
      </c>
      <c r="P88" s="343">
        <v>1091</v>
      </c>
      <c r="Q88" s="231"/>
      <c r="R88" s="343">
        <v>16788</v>
      </c>
      <c r="S88" s="343">
        <v>1605</v>
      </c>
      <c r="T88" s="343">
        <v>18393</v>
      </c>
    </row>
    <row r="89" spans="1:20">
      <c r="A89" s="349">
        <v>90751</v>
      </c>
      <c r="B89" s="342" t="s">
        <v>779</v>
      </c>
      <c r="C89" s="234">
        <v>6.3E-5</v>
      </c>
      <c r="D89" s="234">
        <v>7.9499999999999994E-5</v>
      </c>
      <c r="E89" s="343">
        <v>172048</v>
      </c>
      <c r="F89" s="231"/>
      <c r="G89" s="343">
        <v>29459</v>
      </c>
      <c r="H89" s="343">
        <v>4197</v>
      </c>
      <c r="I89" s="343">
        <v>28041</v>
      </c>
      <c r="J89" s="343">
        <v>1902</v>
      </c>
      <c r="K89" s="343">
        <v>63599</v>
      </c>
      <c r="L89" s="231"/>
      <c r="M89" s="343">
        <v>0</v>
      </c>
      <c r="N89" s="343">
        <v>0</v>
      </c>
      <c r="O89" s="343">
        <v>16916</v>
      </c>
      <c r="P89" s="343">
        <v>16916</v>
      </c>
      <c r="Q89" s="231"/>
      <c r="R89" s="343">
        <v>76640</v>
      </c>
      <c r="S89" s="343">
        <v>-2503</v>
      </c>
      <c r="T89" s="343">
        <v>74137</v>
      </c>
    </row>
    <row r="90" spans="1:20">
      <c r="A90" s="349">
        <v>90801</v>
      </c>
      <c r="B90" s="342" t="s">
        <v>780</v>
      </c>
      <c r="C90" s="234">
        <v>1.2669999999999999E-3</v>
      </c>
      <c r="D90" s="234">
        <v>1.338E-3</v>
      </c>
      <c r="E90" s="343">
        <v>3460078</v>
      </c>
      <c r="F90" s="231"/>
      <c r="G90" s="343">
        <v>592453</v>
      </c>
      <c r="H90" s="343">
        <v>84396</v>
      </c>
      <c r="I90" s="343">
        <v>563935</v>
      </c>
      <c r="J90" s="343">
        <v>30862</v>
      </c>
      <c r="K90" s="343">
        <v>1271646</v>
      </c>
      <c r="L90" s="231"/>
      <c r="M90" s="343">
        <v>0</v>
      </c>
      <c r="N90" s="343">
        <v>0</v>
      </c>
      <c r="O90" s="343">
        <v>151759</v>
      </c>
      <c r="P90" s="343">
        <v>151759</v>
      </c>
      <c r="Q90" s="231"/>
      <c r="R90" s="343">
        <v>1541322</v>
      </c>
      <c r="S90" s="343">
        <v>14339</v>
      </c>
      <c r="T90" s="343">
        <v>1555661</v>
      </c>
    </row>
    <row r="91" spans="1:20">
      <c r="A91" s="349">
        <v>90804</v>
      </c>
      <c r="B91" s="342" t="s">
        <v>781</v>
      </c>
      <c r="C91" s="234">
        <v>5.5999999999999997E-6</v>
      </c>
      <c r="D91" s="234">
        <v>6.0000000000000002E-6</v>
      </c>
      <c r="E91" s="343">
        <v>15293</v>
      </c>
      <c r="F91" s="231"/>
      <c r="G91" s="343">
        <v>2619</v>
      </c>
      <c r="H91" s="343">
        <v>373</v>
      </c>
      <c r="I91" s="343">
        <v>2493</v>
      </c>
      <c r="J91" s="343">
        <v>189</v>
      </c>
      <c r="K91" s="343">
        <v>5674</v>
      </c>
      <c r="L91" s="231"/>
      <c r="M91" s="343">
        <v>0</v>
      </c>
      <c r="N91" s="343">
        <v>0</v>
      </c>
      <c r="O91" s="343">
        <v>479</v>
      </c>
      <c r="P91" s="343">
        <v>479</v>
      </c>
      <c r="Q91" s="231"/>
      <c r="R91" s="343">
        <v>6812</v>
      </c>
      <c r="S91" s="343">
        <v>251</v>
      </c>
      <c r="T91" s="343">
        <v>7063</v>
      </c>
    </row>
    <row r="92" spans="1:20">
      <c r="A92" s="349">
        <v>90805</v>
      </c>
      <c r="B92" s="342" t="s">
        <v>782</v>
      </c>
      <c r="C92" s="234">
        <v>6.5900000000000003E-5</v>
      </c>
      <c r="D92" s="234">
        <v>6.6600000000000006E-5</v>
      </c>
      <c r="E92" s="343">
        <v>179968</v>
      </c>
      <c r="F92" s="231"/>
      <c r="G92" s="343">
        <v>30815</v>
      </c>
      <c r="H92" s="343">
        <v>4390</v>
      </c>
      <c r="I92" s="343">
        <v>29332</v>
      </c>
      <c r="J92" s="343">
        <v>26214</v>
      </c>
      <c r="K92" s="343">
        <v>90751</v>
      </c>
      <c r="L92" s="231"/>
      <c r="M92" s="343">
        <v>0</v>
      </c>
      <c r="N92" s="343">
        <v>0</v>
      </c>
      <c r="O92" s="343">
        <v>0</v>
      </c>
      <c r="P92" s="343">
        <v>0</v>
      </c>
      <c r="Q92" s="231"/>
      <c r="R92" s="343">
        <v>80168</v>
      </c>
      <c r="S92" s="343">
        <v>12759</v>
      </c>
      <c r="T92" s="343">
        <v>92927</v>
      </c>
    </row>
    <row r="93" spans="1:20">
      <c r="A93" s="349">
        <v>90808</v>
      </c>
      <c r="B93" s="342" t="s">
        <v>3638</v>
      </c>
      <c r="C93" s="234">
        <v>1.395E-4</v>
      </c>
      <c r="D93" s="234">
        <v>1.0119999999999999E-4</v>
      </c>
      <c r="E93" s="343">
        <v>380964</v>
      </c>
      <c r="F93" s="231"/>
      <c r="G93" s="343">
        <v>65231</v>
      </c>
      <c r="H93" s="343">
        <v>9292</v>
      </c>
      <c r="I93" s="343">
        <v>62091</v>
      </c>
      <c r="J93" s="343">
        <v>40200</v>
      </c>
      <c r="K93" s="343">
        <v>176814</v>
      </c>
      <c r="L93" s="231"/>
      <c r="M93" s="343">
        <v>0</v>
      </c>
      <c r="N93" s="343">
        <v>0</v>
      </c>
      <c r="O93" s="343">
        <v>702</v>
      </c>
      <c r="P93" s="343">
        <v>702</v>
      </c>
      <c r="Q93" s="231"/>
      <c r="R93" s="343">
        <v>169704</v>
      </c>
      <c r="S93" s="343">
        <v>10423</v>
      </c>
      <c r="T93" s="343">
        <v>180127</v>
      </c>
    </row>
    <row r="94" spans="1:20">
      <c r="A94" s="349">
        <v>90811</v>
      </c>
      <c r="B94" s="342" t="s">
        <v>784</v>
      </c>
      <c r="C94" s="234">
        <v>3.4900000000000001E-5</v>
      </c>
      <c r="D94" s="234">
        <v>3.6199999999999999E-5</v>
      </c>
      <c r="E94" s="343">
        <v>95309</v>
      </c>
      <c r="F94" s="231"/>
      <c r="G94" s="343">
        <v>16319</v>
      </c>
      <c r="H94" s="343">
        <v>2324</v>
      </c>
      <c r="I94" s="343">
        <v>15534</v>
      </c>
      <c r="J94" s="343">
        <v>0</v>
      </c>
      <c r="K94" s="343">
        <v>34177</v>
      </c>
      <c r="L94" s="231"/>
      <c r="M94" s="343">
        <v>0</v>
      </c>
      <c r="N94" s="343">
        <v>0</v>
      </c>
      <c r="O94" s="343">
        <v>9832</v>
      </c>
      <c r="P94" s="343">
        <v>9832</v>
      </c>
      <c r="Q94" s="231"/>
      <c r="R94" s="343">
        <v>42456</v>
      </c>
      <c r="S94" s="343">
        <v>-4056</v>
      </c>
      <c r="T94" s="343">
        <v>38400</v>
      </c>
    </row>
    <row r="95" spans="1:20">
      <c r="A95" s="349">
        <v>90812</v>
      </c>
      <c r="B95" s="342" t="s">
        <v>785</v>
      </c>
      <c r="C95" s="234">
        <v>2.2100000000000001E-4</v>
      </c>
      <c r="D95" s="234">
        <v>2.2489999999999999E-4</v>
      </c>
      <c r="E95" s="343">
        <v>603534</v>
      </c>
      <c r="F95" s="231"/>
      <c r="G95" s="343">
        <v>103340</v>
      </c>
      <c r="H95" s="343">
        <v>14721</v>
      </c>
      <c r="I95" s="343">
        <v>98366</v>
      </c>
      <c r="J95" s="343">
        <v>5327</v>
      </c>
      <c r="K95" s="343">
        <v>221754</v>
      </c>
      <c r="L95" s="231"/>
      <c r="M95" s="343">
        <v>0</v>
      </c>
      <c r="N95" s="343">
        <v>0</v>
      </c>
      <c r="O95" s="343">
        <v>12070</v>
      </c>
      <c r="P95" s="343">
        <v>12070</v>
      </c>
      <c r="Q95" s="231"/>
      <c r="R95" s="343">
        <v>268849</v>
      </c>
      <c r="S95" s="343">
        <v>-3204</v>
      </c>
      <c r="T95" s="343">
        <v>265645</v>
      </c>
    </row>
    <row r="96" spans="1:20">
      <c r="A96" s="349">
        <v>90813</v>
      </c>
      <c r="B96" s="342" t="s">
        <v>786</v>
      </c>
      <c r="C96" s="234">
        <v>4.6E-6</v>
      </c>
      <c r="D96" s="234">
        <v>5.0000000000000004E-6</v>
      </c>
      <c r="E96" s="343">
        <v>12562</v>
      </c>
      <c r="F96" s="231"/>
      <c r="G96" s="343">
        <v>2151</v>
      </c>
      <c r="H96" s="343">
        <v>307</v>
      </c>
      <c r="I96" s="343">
        <v>2047</v>
      </c>
      <c r="J96" s="343">
        <v>0</v>
      </c>
      <c r="K96" s="343">
        <v>4505</v>
      </c>
      <c r="L96" s="231"/>
      <c r="M96" s="343">
        <v>0</v>
      </c>
      <c r="N96" s="343">
        <v>0</v>
      </c>
      <c r="O96" s="343">
        <v>1049</v>
      </c>
      <c r="P96" s="343">
        <v>1049</v>
      </c>
      <c r="Q96" s="231"/>
      <c r="R96" s="343">
        <v>5596</v>
      </c>
      <c r="S96" s="343">
        <v>-559</v>
      </c>
      <c r="T96" s="343">
        <v>5037</v>
      </c>
    </row>
    <row r="97" spans="1:20">
      <c r="A97" s="349">
        <v>90861</v>
      </c>
      <c r="B97" s="342" t="s">
        <v>787</v>
      </c>
      <c r="C97" s="234">
        <v>8.4999999999999999E-6</v>
      </c>
      <c r="D97" s="234">
        <v>7.7999999999999999E-6</v>
      </c>
      <c r="E97" s="343">
        <v>23213</v>
      </c>
      <c r="F97" s="231"/>
      <c r="G97" s="343">
        <v>3975</v>
      </c>
      <c r="H97" s="343">
        <v>566</v>
      </c>
      <c r="I97" s="343">
        <v>3783</v>
      </c>
      <c r="J97" s="343">
        <v>7590</v>
      </c>
      <c r="K97" s="343">
        <v>15914</v>
      </c>
      <c r="L97" s="231"/>
      <c r="M97" s="343">
        <v>0</v>
      </c>
      <c r="N97" s="343">
        <v>0</v>
      </c>
      <c r="O97" s="343">
        <v>0</v>
      </c>
      <c r="P97" s="343">
        <v>0</v>
      </c>
      <c r="Q97" s="231"/>
      <c r="R97" s="343">
        <v>10340</v>
      </c>
      <c r="S97" s="343">
        <v>3178</v>
      </c>
      <c r="T97" s="343">
        <v>13518</v>
      </c>
    </row>
    <row r="98" spans="1:20">
      <c r="A98" s="349">
        <v>90901</v>
      </c>
      <c r="B98" s="342" t="s">
        <v>788</v>
      </c>
      <c r="C98" s="234">
        <v>2.274E-3</v>
      </c>
      <c r="D98" s="234">
        <v>2.1440000000000001E-3</v>
      </c>
      <c r="E98" s="343">
        <v>6210117</v>
      </c>
      <c r="F98" s="231"/>
      <c r="G98" s="343">
        <v>1063329</v>
      </c>
      <c r="H98" s="343">
        <v>151474</v>
      </c>
      <c r="I98" s="343">
        <v>1012146</v>
      </c>
      <c r="J98" s="343">
        <v>94867</v>
      </c>
      <c r="K98" s="343">
        <v>2321816</v>
      </c>
      <c r="L98" s="231"/>
      <c r="M98" s="343">
        <v>0</v>
      </c>
      <c r="N98" s="343">
        <v>0</v>
      </c>
      <c r="O98" s="343">
        <v>12787</v>
      </c>
      <c r="P98" s="343">
        <v>12787</v>
      </c>
      <c r="Q98" s="231"/>
      <c r="R98" s="343">
        <v>2766351</v>
      </c>
      <c r="S98" s="343">
        <v>10469</v>
      </c>
      <c r="T98" s="343">
        <v>2776820</v>
      </c>
    </row>
    <row r="99" spans="1:20">
      <c r="A99" s="349">
        <v>90911</v>
      </c>
      <c r="B99" s="342" t="s">
        <v>789</v>
      </c>
      <c r="C99" s="234">
        <v>3.8539999999999999E-4</v>
      </c>
      <c r="D99" s="234">
        <v>4.037E-4</v>
      </c>
      <c r="E99" s="343">
        <v>1052497</v>
      </c>
      <c r="F99" s="231"/>
      <c r="G99" s="343">
        <v>180214</v>
      </c>
      <c r="H99" s="343">
        <v>25672</v>
      </c>
      <c r="I99" s="343">
        <v>171540</v>
      </c>
      <c r="J99" s="343">
        <v>3402</v>
      </c>
      <c r="K99" s="343">
        <v>380828</v>
      </c>
      <c r="L99" s="231"/>
      <c r="M99" s="343">
        <v>0</v>
      </c>
      <c r="N99" s="343">
        <v>0</v>
      </c>
      <c r="O99" s="343">
        <v>47605</v>
      </c>
      <c r="P99" s="343">
        <v>47605</v>
      </c>
      <c r="Q99" s="231"/>
      <c r="R99" s="343">
        <v>468844</v>
      </c>
      <c r="S99" s="343">
        <v>-17641</v>
      </c>
      <c r="T99" s="343">
        <v>451203</v>
      </c>
    </row>
    <row r="100" spans="1:20">
      <c r="A100" s="349">
        <v>90917</v>
      </c>
      <c r="B100" s="342" t="s">
        <v>790</v>
      </c>
      <c r="C100" s="234">
        <v>8.1000000000000004E-6</v>
      </c>
      <c r="D100" s="234">
        <v>1.1800000000000001E-5</v>
      </c>
      <c r="E100" s="343">
        <v>22120</v>
      </c>
      <c r="F100" s="231"/>
      <c r="G100" s="343">
        <v>3788</v>
      </c>
      <c r="H100" s="343">
        <v>539</v>
      </c>
      <c r="I100" s="343">
        <v>3605</v>
      </c>
      <c r="J100" s="343">
        <v>377</v>
      </c>
      <c r="K100" s="343">
        <v>8309</v>
      </c>
      <c r="L100" s="231"/>
      <c r="M100" s="343">
        <v>0</v>
      </c>
      <c r="N100" s="343">
        <v>0</v>
      </c>
      <c r="O100" s="343">
        <v>3369</v>
      </c>
      <c r="P100" s="343">
        <v>3369</v>
      </c>
      <c r="Q100" s="231"/>
      <c r="R100" s="343">
        <v>9854</v>
      </c>
      <c r="S100" s="343">
        <v>-461</v>
      </c>
      <c r="T100" s="343">
        <v>9393</v>
      </c>
    </row>
    <row r="101" spans="1:20" ht="30">
      <c r="A101" s="349">
        <v>90918</v>
      </c>
      <c r="B101" s="342" t="s">
        <v>3639</v>
      </c>
      <c r="C101" s="234">
        <v>1.06E-5</v>
      </c>
      <c r="D101" s="234">
        <v>1.13E-5</v>
      </c>
      <c r="E101" s="343">
        <v>28948</v>
      </c>
      <c r="F101" s="231"/>
      <c r="G101" s="343">
        <v>4957</v>
      </c>
      <c r="H101" s="343">
        <v>706</v>
      </c>
      <c r="I101" s="343">
        <v>4718</v>
      </c>
      <c r="J101" s="343">
        <v>0</v>
      </c>
      <c r="K101" s="343">
        <v>10381</v>
      </c>
      <c r="L101" s="231"/>
      <c r="M101" s="343">
        <v>0</v>
      </c>
      <c r="N101" s="343">
        <v>0</v>
      </c>
      <c r="O101" s="343">
        <v>2125</v>
      </c>
      <c r="P101" s="343">
        <v>2125</v>
      </c>
      <c r="Q101" s="231"/>
      <c r="R101" s="343">
        <v>12895</v>
      </c>
      <c r="S101" s="343">
        <v>-1151</v>
      </c>
      <c r="T101" s="343">
        <v>11744</v>
      </c>
    </row>
    <row r="102" spans="1:20">
      <c r="A102" s="349">
        <v>90921</v>
      </c>
      <c r="B102" s="342" t="s">
        <v>792</v>
      </c>
      <c r="C102" s="234">
        <v>1.2129999999999999E-4</v>
      </c>
      <c r="D102" s="234">
        <v>1.2789999999999999E-4</v>
      </c>
      <c r="E102" s="343">
        <v>331261</v>
      </c>
      <c r="F102" s="231"/>
      <c r="G102" s="343">
        <v>56720</v>
      </c>
      <c r="H102" s="343">
        <v>8080</v>
      </c>
      <c r="I102" s="343">
        <v>53990</v>
      </c>
      <c r="J102" s="343">
        <v>14157</v>
      </c>
      <c r="K102" s="343">
        <v>132947</v>
      </c>
      <c r="L102" s="231"/>
      <c r="M102" s="343">
        <v>0</v>
      </c>
      <c r="N102" s="343">
        <v>0</v>
      </c>
      <c r="O102" s="343">
        <v>3883</v>
      </c>
      <c r="P102" s="343">
        <v>3883</v>
      </c>
      <c r="Q102" s="231"/>
      <c r="R102" s="343">
        <v>147563</v>
      </c>
      <c r="S102" s="343">
        <v>5889</v>
      </c>
      <c r="T102" s="343">
        <v>153452</v>
      </c>
    </row>
    <row r="103" spans="1:20">
      <c r="A103" s="349">
        <v>90931</v>
      </c>
      <c r="B103" s="342" t="s">
        <v>793</v>
      </c>
      <c r="C103" s="234">
        <v>3.7299999999999999E-5</v>
      </c>
      <c r="D103" s="234">
        <v>3.8099999999999998E-5</v>
      </c>
      <c r="E103" s="343">
        <v>101863</v>
      </c>
      <c r="F103" s="231"/>
      <c r="G103" s="343">
        <v>17442</v>
      </c>
      <c r="H103" s="343">
        <v>2484</v>
      </c>
      <c r="I103" s="343">
        <v>16602</v>
      </c>
      <c r="J103" s="343">
        <v>0</v>
      </c>
      <c r="K103" s="343">
        <v>36528</v>
      </c>
      <c r="L103" s="231"/>
      <c r="M103" s="343">
        <v>0</v>
      </c>
      <c r="N103" s="343">
        <v>0</v>
      </c>
      <c r="O103" s="343">
        <v>11531</v>
      </c>
      <c r="P103" s="343">
        <v>11531</v>
      </c>
      <c r="Q103" s="231"/>
      <c r="R103" s="343">
        <v>45376</v>
      </c>
      <c r="S103" s="343">
        <v>-4509</v>
      </c>
      <c r="T103" s="343">
        <v>40867</v>
      </c>
    </row>
    <row r="104" spans="1:20">
      <c r="A104" s="349">
        <v>90941</v>
      </c>
      <c r="B104" s="342" t="s">
        <v>794</v>
      </c>
      <c r="C104" s="234">
        <v>8.5400000000000002E-5</v>
      </c>
      <c r="D104" s="234">
        <v>8.2000000000000001E-5</v>
      </c>
      <c r="E104" s="343">
        <v>233221</v>
      </c>
      <c r="F104" s="231"/>
      <c r="G104" s="343">
        <v>39933</v>
      </c>
      <c r="H104" s="343">
        <v>5688</v>
      </c>
      <c r="I104" s="343">
        <v>38011</v>
      </c>
      <c r="J104" s="343">
        <v>6140</v>
      </c>
      <c r="K104" s="343">
        <v>89772</v>
      </c>
      <c r="L104" s="231"/>
      <c r="M104" s="343">
        <v>0</v>
      </c>
      <c r="N104" s="343">
        <v>0</v>
      </c>
      <c r="O104" s="343">
        <v>5789</v>
      </c>
      <c r="P104" s="343">
        <v>5789</v>
      </c>
      <c r="Q104" s="231"/>
      <c r="R104" s="343">
        <v>103890</v>
      </c>
      <c r="S104" s="343">
        <v>-2436</v>
      </c>
      <c r="T104" s="343">
        <v>101454</v>
      </c>
    </row>
    <row r="105" spans="1:20">
      <c r="A105" s="349">
        <v>91001</v>
      </c>
      <c r="B105" s="342" t="s">
        <v>795</v>
      </c>
      <c r="C105" s="234">
        <v>7.2779999999999997E-3</v>
      </c>
      <c r="D105" s="234">
        <v>6.6366999999999997E-3</v>
      </c>
      <c r="E105" s="343">
        <v>19875650</v>
      </c>
      <c r="F105" s="231"/>
      <c r="G105" s="343">
        <v>3403215</v>
      </c>
      <c r="H105" s="343">
        <v>484794</v>
      </c>
      <c r="I105" s="343">
        <v>3239401</v>
      </c>
      <c r="J105" s="343">
        <v>348849</v>
      </c>
      <c r="K105" s="343">
        <v>7476259</v>
      </c>
      <c r="L105" s="231"/>
      <c r="M105" s="343">
        <v>0</v>
      </c>
      <c r="N105" s="343">
        <v>0</v>
      </c>
      <c r="O105" s="343">
        <v>211170</v>
      </c>
      <c r="P105" s="343">
        <v>211170</v>
      </c>
      <c r="Q105" s="231"/>
      <c r="R105" s="343">
        <v>8853782</v>
      </c>
      <c r="S105" s="343">
        <v>-34417</v>
      </c>
      <c r="T105" s="343">
        <v>8819365</v>
      </c>
    </row>
    <row r="106" spans="1:20">
      <c r="A106" s="349">
        <v>91002</v>
      </c>
      <c r="B106" s="342" t="s">
        <v>796</v>
      </c>
      <c r="C106" s="234">
        <v>1.2939E-3</v>
      </c>
      <c r="D106" s="234">
        <v>9.4410000000000002E-4</v>
      </c>
      <c r="E106" s="343">
        <v>3533540</v>
      </c>
      <c r="F106" s="231"/>
      <c r="G106" s="343">
        <v>605032</v>
      </c>
      <c r="H106" s="343">
        <v>86188</v>
      </c>
      <c r="I106" s="343">
        <v>575908</v>
      </c>
      <c r="J106" s="343">
        <v>305840</v>
      </c>
      <c r="K106" s="343">
        <v>1572968</v>
      </c>
      <c r="L106" s="231"/>
      <c r="M106" s="343">
        <v>0</v>
      </c>
      <c r="N106" s="343">
        <v>0</v>
      </c>
      <c r="O106" s="343">
        <v>9040</v>
      </c>
      <c r="P106" s="343">
        <v>9040</v>
      </c>
      <c r="Q106" s="231"/>
      <c r="R106" s="343">
        <v>1574046</v>
      </c>
      <c r="S106" s="343">
        <v>70870</v>
      </c>
      <c r="T106" s="343">
        <v>1644916</v>
      </c>
    </row>
    <row r="107" spans="1:20">
      <c r="A107" s="349">
        <v>91003</v>
      </c>
      <c r="B107" s="342" t="s">
        <v>3640</v>
      </c>
      <c r="C107" s="234">
        <v>5.9570000000000001E-4</v>
      </c>
      <c r="D107" s="234">
        <v>5.354E-4</v>
      </c>
      <c r="E107" s="343">
        <v>1626810</v>
      </c>
      <c r="F107" s="231"/>
      <c r="G107" s="343">
        <v>278551</v>
      </c>
      <c r="H107" s="343">
        <v>39680</v>
      </c>
      <c r="I107" s="343">
        <v>265143</v>
      </c>
      <c r="J107" s="343">
        <v>53688</v>
      </c>
      <c r="K107" s="343">
        <v>637062</v>
      </c>
      <c r="L107" s="231"/>
      <c r="M107" s="343">
        <v>0</v>
      </c>
      <c r="N107" s="343">
        <v>0</v>
      </c>
      <c r="O107" s="343">
        <v>23363</v>
      </c>
      <c r="P107" s="343">
        <v>23363</v>
      </c>
      <c r="Q107" s="231"/>
      <c r="R107" s="343">
        <v>724677</v>
      </c>
      <c r="S107" s="343">
        <v>3187</v>
      </c>
      <c r="T107" s="343">
        <v>727864</v>
      </c>
    </row>
    <row r="108" spans="1:20">
      <c r="A108" s="349">
        <v>91004</v>
      </c>
      <c r="B108" s="342" t="s">
        <v>798</v>
      </c>
      <c r="C108" s="234">
        <v>3.3300000000000003E-5</v>
      </c>
      <c r="D108" s="234">
        <v>3.6600000000000002E-5</v>
      </c>
      <c r="E108" s="343">
        <v>90940</v>
      </c>
      <c r="F108" s="231"/>
      <c r="G108" s="343">
        <v>15571</v>
      </c>
      <c r="H108" s="343">
        <v>2219</v>
      </c>
      <c r="I108" s="343">
        <v>14822</v>
      </c>
      <c r="J108" s="343">
        <v>9268</v>
      </c>
      <c r="K108" s="343">
        <v>41880</v>
      </c>
      <c r="L108" s="231"/>
      <c r="M108" s="343">
        <v>0</v>
      </c>
      <c r="N108" s="343">
        <v>0</v>
      </c>
      <c r="O108" s="343">
        <v>3368</v>
      </c>
      <c r="P108" s="343">
        <v>3368</v>
      </c>
      <c r="Q108" s="231"/>
      <c r="R108" s="343">
        <v>40510</v>
      </c>
      <c r="S108" s="343">
        <v>4961</v>
      </c>
      <c r="T108" s="343">
        <v>45471</v>
      </c>
    </row>
    <row r="109" spans="1:20" ht="30">
      <c r="A109" s="349">
        <v>91006</v>
      </c>
      <c r="B109" s="342" t="s">
        <v>3641</v>
      </c>
      <c r="C109" s="234">
        <v>1.0489E-3</v>
      </c>
      <c r="D109" s="234">
        <v>1.0660999999999999E-3</v>
      </c>
      <c r="E109" s="343">
        <v>2864464</v>
      </c>
      <c r="F109" s="231"/>
      <c r="G109" s="343">
        <v>490469</v>
      </c>
      <c r="H109" s="343">
        <v>69869</v>
      </c>
      <c r="I109" s="343">
        <v>466860</v>
      </c>
      <c r="J109" s="343">
        <v>0</v>
      </c>
      <c r="K109" s="343">
        <v>1027198</v>
      </c>
      <c r="L109" s="231"/>
      <c r="M109" s="343">
        <v>0</v>
      </c>
      <c r="N109" s="343">
        <v>0</v>
      </c>
      <c r="O109" s="343">
        <v>63246</v>
      </c>
      <c r="P109" s="343">
        <v>63246</v>
      </c>
      <c r="Q109" s="231"/>
      <c r="R109" s="343">
        <v>1276000</v>
      </c>
      <c r="S109" s="343">
        <v>-14322</v>
      </c>
      <c r="T109" s="343">
        <v>1261678</v>
      </c>
    </row>
    <row r="110" spans="1:20">
      <c r="A110" s="349">
        <v>91007</v>
      </c>
      <c r="B110" s="342" t="s">
        <v>800</v>
      </c>
      <c r="C110" s="234">
        <v>1.0900000000000001E-5</v>
      </c>
      <c r="D110" s="234">
        <v>8.4999999999999999E-6</v>
      </c>
      <c r="E110" s="343">
        <v>29767</v>
      </c>
      <c r="F110" s="231"/>
      <c r="G110" s="343">
        <v>5097</v>
      </c>
      <c r="H110" s="343">
        <v>726</v>
      </c>
      <c r="I110" s="343">
        <v>4852</v>
      </c>
      <c r="J110" s="343">
        <v>4515</v>
      </c>
      <c r="K110" s="343">
        <v>15190</v>
      </c>
      <c r="L110" s="231"/>
      <c r="M110" s="343">
        <v>0</v>
      </c>
      <c r="N110" s="343">
        <v>0</v>
      </c>
      <c r="O110" s="343">
        <v>0</v>
      </c>
      <c r="P110" s="343">
        <v>0</v>
      </c>
      <c r="Q110" s="231"/>
      <c r="R110" s="343">
        <v>13260</v>
      </c>
      <c r="S110" s="343">
        <v>3098</v>
      </c>
      <c r="T110" s="343">
        <v>16358</v>
      </c>
    </row>
    <row r="111" spans="1:20">
      <c r="A111" s="349">
        <v>91008</v>
      </c>
      <c r="B111" s="342" t="s">
        <v>801</v>
      </c>
      <c r="C111" s="234">
        <v>1.474E-4</v>
      </c>
      <c r="D111" s="234">
        <v>1.3909999999999999E-4</v>
      </c>
      <c r="E111" s="343">
        <v>402538</v>
      </c>
      <c r="F111" s="231"/>
      <c r="G111" s="343">
        <v>68925</v>
      </c>
      <c r="H111" s="343">
        <v>9819</v>
      </c>
      <c r="I111" s="343">
        <v>65607</v>
      </c>
      <c r="J111" s="343">
        <v>30807</v>
      </c>
      <c r="K111" s="343">
        <v>175158</v>
      </c>
      <c r="L111" s="231"/>
      <c r="M111" s="343">
        <v>0</v>
      </c>
      <c r="N111" s="343">
        <v>0</v>
      </c>
      <c r="O111" s="343">
        <v>0</v>
      </c>
      <c r="P111" s="343">
        <v>0</v>
      </c>
      <c r="Q111" s="231"/>
      <c r="R111" s="343">
        <v>179314</v>
      </c>
      <c r="S111" s="343">
        <v>19442</v>
      </c>
      <c r="T111" s="343">
        <v>198756</v>
      </c>
    </row>
    <row r="112" spans="1:20">
      <c r="A112" s="349">
        <v>91009</v>
      </c>
      <c r="B112" s="342" t="s">
        <v>802</v>
      </c>
      <c r="C112" s="234">
        <v>8.3000000000000002E-6</v>
      </c>
      <c r="D112" s="234">
        <v>1.59E-5</v>
      </c>
      <c r="E112" s="343">
        <v>22667</v>
      </c>
      <c r="F112" s="231"/>
      <c r="G112" s="343">
        <v>3881</v>
      </c>
      <c r="H112" s="343">
        <v>553</v>
      </c>
      <c r="I112" s="343">
        <v>3694</v>
      </c>
      <c r="J112" s="343">
        <v>3287</v>
      </c>
      <c r="K112" s="343">
        <v>11415</v>
      </c>
      <c r="L112" s="231"/>
      <c r="M112" s="343">
        <v>0</v>
      </c>
      <c r="N112" s="343">
        <v>0</v>
      </c>
      <c r="O112" s="343">
        <v>642</v>
      </c>
      <c r="P112" s="343">
        <v>642</v>
      </c>
      <c r="Q112" s="231"/>
      <c r="R112" s="343">
        <v>10097</v>
      </c>
      <c r="S112" s="343">
        <v>756</v>
      </c>
      <c r="T112" s="343">
        <v>10853</v>
      </c>
    </row>
    <row r="113" spans="1:20">
      <c r="A113" s="349">
        <v>91010</v>
      </c>
      <c r="B113" s="342" t="s">
        <v>803</v>
      </c>
      <c r="C113" s="234">
        <v>5.1E-5</v>
      </c>
      <c r="D113" s="234">
        <v>5.8699999999999997E-5</v>
      </c>
      <c r="E113" s="343">
        <v>139277</v>
      </c>
      <c r="F113" s="231"/>
      <c r="G113" s="343">
        <v>23848</v>
      </c>
      <c r="H113" s="343">
        <v>3397</v>
      </c>
      <c r="I113" s="343">
        <v>22700</v>
      </c>
      <c r="J113" s="343">
        <v>704</v>
      </c>
      <c r="K113" s="343">
        <v>50649</v>
      </c>
      <c r="L113" s="231"/>
      <c r="M113" s="343">
        <v>0</v>
      </c>
      <c r="N113" s="343">
        <v>0</v>
      </c>
      <c r="O113" s="343">
        <v>7679</v>
      </c>
      <c r="P113" s="343">
        <v>7679</v>
      </c>
      <c r="Q113" s="231"/>
      <c r="R113" s="343">
        <v>62042</v>
      </c>
      <c r="S113" s="343">
        <v>-338</v>
      </c>
      <c r="T113" s="343">
        <v>61704</v>
      </c>
    </row>
    <row r="114" spans="1:20">
      <c r="A114" s="349">
        <v>91011</v>
      </c>
      <c r="B114" s="342" t="s">
        <v>804</v>
      </c>
      <c r="C114" s="234">
        <v>3.2009999999999997E-4</v>
      </c>
      <c r="D114" s="234">
        <v>3.6509999999999998E-4</v>
      </c>
      <c r="E114" s="343">
        <v>874168</v>
      </c>
      <c r="F114" s="231"/>
      <c r="G114" s="343">
        <v>149680</v>
      </c>
      <c r="H114" s="343">
        <v>21322</v>
      </c>
      <c r="I114" s="343">
        <v>142475</v>
      </c>
      <c r="J114" s="343">
        <v>14173</v>
      </c>
      <c r="K114" s="343">
        <v>327650</v>
      </c>
      <c r="L114" s="231"/>
      <c r="M114" s="343">
        <v>0</v>
      </c>
      <c r="N114" s="343">
        <v>0</v>
      </c>
      <c r="O114" s="343">
        <v>26422</v>
      </c>
      <c r="P114" s="343">
        <v>26422</v>
      </c>
      <c r="Q114" s="231"/>
      <c r="R114" s="343">
        <v>389406</v>
      </c>
      <c r="S114" s="343">
        <v>6664</v>
      </c>
      <c r="T114" s="343">
        <v>396070</v>
      </c>
    </row>
    <row r="115" spans="1:20">
      <c r="A115" s="349">
        <v>91012</v>
      </c>
      <c r="B115" s="342" t="s">
        <v>805</v>
      </c>
      <c r="C115" s="234">
        <v>1.4600000000000001E-5</v>
      </c>
      <c r="D115" s="234">
        <v>1.42E-5</v>
      </c>
      <c r="E115" s="343">
        <v>39871</v>
      </c>
      <c r="F115" s="231"/>
      <c r="G115" s="343">
        <v>6827</v>
      </c>
      <c r="H115" s="343">
        <v>973</v>
      </c>
      <c r="I115" s="343">
        <v>6498</v>
      </c>
      <c r="J115" s="343">
        <v>4187</v>
      </c>
      <c r="K115" s="343">
        <v>18485</v>
      </c>
      <c r="L115" s="231"/>
      <c r="M115" s="343">
        <v>0</v>
      </c>
      <c r="N115" s="343">
        <v>0</v>
      </c>
      <c r="O115" s="343">
        <v>2327</v>
      </c>
      <c r="P115" s="343">
        <v>2327</v>
      </c>
      <c r="Q115" s="231"/>
      <c r="R115" s="343">
        <v>17761</v>
      </c>
      <c r="S115" s="343">
        <v>1138</v>
      </c>
      <c r="T115" s="343">
        <v>18899</v>
      </c>
    </row>
    <row r="116" spans="1:20">
      <c r="A116" s="349">
        <v>91013</v>
      </c>
      <c r="B116" s="342" t="s">
        <v>806</v>
      </c>
      <c r="C116" s="234">
        <v>3.4999999999999997E-5</v>
      </c>
      <c r="D116" s="234">
        <v>1.9899999999999999E-5</v>
      </c>
      <c r="E116" s="343">
        <v>95582</v>
      </c>
      <c r="F116" s="231"/>
      <c r="G116" s="343">
        <v>16366</v>
      </c>
      <c r="H116" s="343">
        <v>2331</v>
      </c>
      <c r="I116" s="343">
        <v>15578</v>
      </c>
      <c r="J116" s="343">
        <v>48607</v>
      </c>
      <c r="K116" s="343">
        <v>82882</v>
      </c>
      <c r="L116" s="231"/>
      <c r="M116" s="343">
        <v>0</v>
      </c>
      <c r="N116" s="343">
        <v>0</v>
      </c>
      <c r="O116" s="343">
        <v>0</v>
      </c>
      <c r="P116" s="343">
        <v>0</v>
      </c>
      <c r="Q116" s="231"/>
      <c r="R116" s="343">
        <v>42578</v>
      </c>
      <c r="S116" s="343">
        <v>19543</v>
      </c>
      <c r="T116" s="343">
        <v>62121</v>
      </c>
    </row>
    <row r="117" spans="1:20">
      <c r="A117" s="349">
        <v>91014</v>
      </c>
      <c r="B117" s="342" t="s">
        <v>807</v>
      </c>
      <c r="C117" s="234">
        <v>1.7640000000000001E-4</v>
      </c>
      <c r="D117" s="234">
        <v>2.02E-4</v>
      </c>
      <c r="E117" s="343">
        <v>481735</v>
      </c>
      <c r="F117" s="231"/>
      <c r="G117" s="343">
        <v>82485</v>
      </c>
      <c r="H117" s="343">
        <v>11750</v>
      </c>
      <c r="I117" s="343">
        <v>78515</v>
      </c>
      <c r="J117" s="343">
        <v>658</v>
      </c>
      <c r="K117" s="343">
        <v>173408</v>
      </c>
      <c r="L117" s="231"/>
      <c r="M117" s="343">
        <v>0</v>
      </c>
      <c r="N117" s="343">
        <v>0</v>
      </c>
      <c r="O117" s="343">
        <v>26573</v>
      </c>
      <c r="P117" s="343">
        <v>26573</v>
      </c>
      <c r="Q117" s="231"/>
      <c r="R117" s="343">
        <v>214593</v>
      </c>
      <c r="S117" s="343">
        <v>-9823</v>
      </c>
      <c r="T117" s="343">
        <v>204770</v>
      </c>
    </row>
    <row r="118" spans="1:20">
      <c r="A118" s="349">
        <v>91015</v>
      </c>
      <c r="B118" s="342" t="s">
        <v>1636</v>
      </c>
      <c r="C118" s="234">
        <v>1.8499999999999999E-5</v>
      </c>
      <c r="D118" s="234">
        <v>1.9400000000000001E-5</v>
      </c>
      <c r="E118" s="343">
        <v>50522</v>
      </c>
      <c r="F118" s="231"/>
      <c r="G118" s="343">
        <v>8651</v>
      </c>
      <c r="H118" s="343">
        <v>1232</v>
      </c>
      <c r="I118" s="343">
        <v>8234</v>
      </c>
      <c r="J118" s="343">
        <v>21884</v>
      </c>
      <c r="K118" s="343">
        <v>40001</v>
      </c>
      <c r="L118" s="231"/>
      <c r="M118" s="343">
        <v>0</v>
      </c>
      <c r="N118" s="343">
        <v>0</v>
      </c>
      <c r="O118" s="343">
        <v>0</v>
      </c>
      <c r="P118" s="343">
        <v>0</v>
      </c>
      <c r="Q118" s="231"/>
      <c r="R118" s="343">
        <v>22505</v>
      </c>
      <c r="S118" s="343">
        <v>6737</v>
      </c>
      <c r="T118" s="343">
        <v>29242</v>
      </c>
    </row>
    <row r="119" spans="1:20">
      <c r="A119" s="349">
        <v>91017</v>
      </c>
      <c r="B119" s="342" t="s">
        <v>808</v>
      </c>
      <c r="C119" s="234">
        <v>2.4700000000000001E-5</v>
      </c>
      <c r="D119" s="234">
        <v>2.3499999999999999E-5</v>
      </c>
      <c r="E119" s="343">
        <v>67454</v>
      </c>
      <c r="F119" s="231"/>
      <c r="G119" s="343">
        <v>11550</v>
      </c>
      <c r="H119" s="343">
        <v>1645</v>
      </c>
      <c r="I119" s="343">
        <v>10994</v>
      </c>
      <c r="J119" s="343">
        <v>5489</v>
      </c>
      <c r="K119" s="343">
        <v>29678</v>
      </c>
      <c r="L119" s="231"/>
      <c r="M119" s="343">
        <v>0</v>
      </c>
      <c r="N119" s="343">
        <v>0</v>
      </c>
      <c r="O119" s="343">
        <v>0</v>
      </c>
      <c r="P119" s="343">
        <v>0</v>
      </c>
      <c r="Q119" s="231"/>
      <c r="R119" s="343">
        <v>30048</v>
      </c>
      <c r="S119" s="343">
        <v>4188</v>
      </c>
      <c r="T119" s="343">
        <v>34236</v>
      </c>
    </row>
    <row r="120" spans="1:20">
      <c r="A120" s="349">
        <v>91020</v>
      </c>
      <c r="B120" s="342" t="s">
        <v>809</v>
      </c>
      <c r="C120" s="234">
        <v>2.2900000000000001E-5</v>
      </c>
      <c r="D120" s="234">
        <v>2.9200000000000002E-5</v>
      </c>
      <c r="E120" s="343">
        <v>62538</v>
      </c>
      <c r="F120" s="231"/>
      <c r="G120" s="343">
        <v>10708</v>
      </c>
      <c r="H120" s="343">
        <v>1526</v>
      </c>
      <c r="I120" s="343">
        <v>10193</v>
      </c>
      <c r="J120" s="343">
        <v>4697</v>
      </c>
      <c r="K120" s="343">
        <v>27124</v>
      </c>
      <c r="L120" s="231"/>
      <c r="M120" s="343">
        <v>0</v>
      </c>
      <c r="N120" s="343">
        <v>0</v>
      </c>
      <c r="O120" s="343">
        <v>5632</v>
      </c>
      <c r="P120" s="343">
        <v>5632</v>
      </c>
      <c r="Q120" s="231"/>
      <c r="R120" s="343">
        <v>27858</v>
      </c>
      <c r="S120" s="343">
        <v>516</v>
      </c>
      <c r="T120" s="343">
        <v>28374</v>
      </c>
    </row>
    <row r="121" spans="1:20">
      <c r="A121" s="349">
        <v>91021</v>
      </c>
      <c r="B121" s="342" t="s">
        <v>810</v>
      </c>
      <c r="C121" s="234">
        <v>9.2460000000000003E-4</v>
      </c>
      <c r="D121" s="234">
        <v>8.8009999999999998E-4</v>
      </c>
      <c r="E121" s="343">
        <v>2525010</v>
      </c>
      <c r="F121" s="231"/>
      <c r="G121" s="343">
        <v>432346</v>
      </c>
      <c r="H121" s="343">
        <v>61588</v>
      </c>
      <c r="I121" s="343">
        <v>411535</v>
      </c>
      <c r="J121" s="343">
        <v>56023</v>
      </c>
      <c r="K121" s="343">
        <v>961492</v>
      </c>
      <c r="L121" s="231"/>
      <c r="M121" s="343">
        <v>0</v>
      </c>
      <c r="N121" s="343">
        <v>0</v>
      </c>
      <c r="O121" s="343">
        <v>13548</v>
      </c>
      <c r="P121" s="343">
        <v>13548</v>
      </c>
      <c r="Q121" s="231"/>
      <c r="R121" s="343">
        <v>1124788</v>
      </c>
      <c r="S121" s="343">
        <v>-5680</v>
      </c>
      <c r="T121" s="343">
        <v>1119108</v>
      </c>
    </row>
    <row r="122" spans="1:20">
      <c r="A122" s="349">
        <v>91024</v>
      </c>
      <c r="B122" s="342" t="s">
        <v>811</v>
      </c>
      <c r="C122" s="234">
        <v>9.3599999999999998E-5</v>
      </c>
      <c r="D122" s="234">
        <v>9.3800000000000003E-5</v>
      </c>
      <c r="E122" s="343">
        <v>255614</v>
      </c>
      <c r="F122" s="231"/>
      <c r="G122" s="343">
        <v>43768</v>
      </c>
      <c r="H122" s="343">
        <v>6234</v>
      </c>
      <c r="I122" s="343">
        <v>41661</v>
      </c>
      <c r="J122" s="343">
        <v>22087</v>
      </c>
      <c r="K122" s="343">
        <v>113750</v>
      </c>
      <c r="L122" s="231"/>
      <c r="M122" s="343">
        <v>0</v>
      </c>
      <c r="N122" s="343">
        <v>0</v>
      </c>
      <c r="O122" s="343">
        <v>0</v>
      </c>
      <c r="P122" s="343">
        <v>0</v>
      </c>
      <c r="Q122" s="231"/>
      <c r="R122" s="343">
        <v>113866</v>
      </c>
      <c r="S122" s="343">
        <v>13315</v>
      </c>
      <c r="T122" s="343">
        <v>127181</v>
      </c>
    </row>
    <row r="123" spans="1:20">
      <c r="A123" s="349">
        <v>91026</v>
      </c>
      <c r="B123" s="342" t="s">
        <v>43</v>
      </c>
      <c r="C123" s="234">
        <v>3.1099999999999997E-5</v>
      </c>
      <c r="D123" s="234">
        <v>4.5599999999999997E-5</v>
      </c>
      <c r="E123" s="343">
        <v>84932</v>
      </c>
      <c r="F123" s="231"/>
      <c r="G123" s="343">
        <v>14542</v>
      </c>
      <c r="H123" s="343">
        <v>2072</v>
      </c>
      <c r="I123" s="343">
        <v>13842</v>
      </c>
      <c r="J123" s="343">
        <v>32022</v>
      </c>
      <c r="K123" s="343">
        <v>62478</v>
      </c>
      <c r="L123" s="231"/>
      <c r="M123" s="343">
        <v>0</v>
      </c>
      <c r="N123" s="343">
        <v>0</v>
      </c>
      <c r="O123" s="343">
        <v>0</v>
      </c>
      <c r="P123" s="343">
        <v>0</v>
      </c>
      <c r="Q123" s="231"/>
      <c r="R123" s="343">
        <v>37834</v>
      </c>
      <c r="S123" s="343">
        <v>20924</v>
      </c>
      <c r="T123" s="343">
        <v>58758</v>
      </c>
    </row>
    <row r="124" spans="1:20">
      <c r="A124" s="349">
        <v>91027</v>
      </c>
      <c r="B124" s="342" t="s">
        <v>2792</v>
      </c>
      <c r="C124" s="234">
        <v>1.7E-5</v>
      </c>
      <c r="D124" s="234">
        <v>1.6699999999999999E-5</v>
      </c>
      <c r="E124" s="343">
        <v>46426</v>
      </c>
      <c r="F124" s="231"/>
      <c r="G124" s="343">
        <v>7949</v>
      </c>
      <c r="H124" s="343">
        <v>1132</v>
      </c>
      <c r="I124" s="343">
        <v>7567</v>
      </c>
      <c r="J124" s="343">
        <v>15193</v>
      </c>
      <c r="K124" s="343">
        <v>31841</v>
      </c>
      <c r="L124" s="231"/>
      <c r="M124" s="343">
        <v>0</v>
      </c>
      <c r="N124" s="343">
        <v>0</v>
      </c>
      <c r="O124" s="343">
        <v>0</v>
      </c>
      <c r="P124" s="343">
        <v>0</v>
      </c>
      <c r="Q124" s="231"/>
      <c r="R124" s="343">
        <v>20681</v>
      </c>
      <c r="S124" s="343">
        <v>8116</v>
      </c>
      <c r="T124" s="343">
        <v>28797</v>
      </c>
    </row>
    <row r="125" spans="1:20">
      <c r="A125" s="349">
        <v>91032</v>
      </c>
      <c r="B125" s="342" t="s">
        <v>813</v>
      </c>
      <c r="C125" s="234">
        <v>1.66E-5</v>
      </c>
      <c r="D125" s="234">
        <v>1.6399999999999999E-5</v>
      </c>
      <c r="E125" s="343">
        <v>45333</v>
      </c>
      <c r="F125" s="231"/>
      <c r="G125" s="343">
        <v>7762</v>
      </c>
      <c r="H125" s="343">
        <v>1105</v>
      </c>
      <c r="I125" s="343">
        <v>7389</v>
      </c>
      <c r="J125" s="343">
        <v>19226</v>
      </c>
      <c r="K125" s="343">
        <v>35482</v>
      </c>
      <c r="L125" s="231"/>
      <c r="M125" s="343">
        <v>0</v>
      </c>
      <c r="N125" s="343">
        <v>0</v>
      </c>
      <c r="O125" s="343">
        <v>0</v>
      </c>
      <c r="P125" s="343">
        <v>0</v>
      </c>
      <c r="Q125" s="231"/>
      <c r="R125" s="343">
        <v>20194</v>
      </c>
      <c r="S125" s="343">
        <v>9093</v>
      </c>
      <c r="T125" s="343">
        <v>29287</v>
      </c>
    </row>
    <row r="126" spans="1:20">
      <c r="A126" s="349">
        <v>91041</v>
      </c>
      <c r="B126" s="342" t="s">
        <v>814</v>
      </c>
      <c r="C126" s="234">
        <v>4.3379999999999997E-4</v>
      </c>
      <c r="D126" s="234">
        <v>4.373E-4</v>
      </c>
      <c r="E126" s="343">
        <v>1184674</v>
      </c>
      <c r="F126" s="231"/>
      <c r="G126" s="343">
        <v>202846</v>
      </c>
      <c r="H126" s="343">
        <v>28895</v>
      </c>
      <c r="I126" s="343">
        <v>193082</v>
      </c>
      <c r="J126" s="343">
        <v>0</v>
      </c>
      <c r="K126" s="343">
        <v>424823</v>
      </c>
      <c r="L126" s="231"/>
      <c r="M126" s="343">
        <v>0</v>
      </c>
      <c r="N126" s="343">
        <v>0</v>
      </c>
      <c r="O126" s="343">
        <v>62219</v>
      </c>
      <c r="P126" s="343">
        <v>62219</v>
      </c>
      <c r="Q126" s="231"/>
      <c r="R126" s="343">
        <v>527723</v>
      </c>
      <c r="S126" s="343">
        <v>-42923</v>
      </c>
      <c r="T126" s="343">
        <v>484800</v>
      </c>
    </row>
    <row r="127" spans="1:20">
      <c r="A127" s="349">
        <v>91042</v>
      </c>
      <c r="B127" s="342" t="s">
        <v>815</v>
      </c>
      <c r="C127" s="234">
        <v>2.6259999999999999E-4</v>
      </c>
      <c r="D127" s="234">
        <v>2.6630000000000002E-4</v>
      </c>
      <c r="E127" s="343">
        <v>717140</v>
      </c>
      <c r="F127" s="231"/>
      <c r="G127" s="343">
        <v>122793</v>
      </c>
      <c r="H127" s="343">
        <v>17493</v>
      </c>
      <c r="I127" s="343">
        <v>116882</v>
      </c>
      <c r="J127" s="343">
        <v>14664</v>
      </c>
      <c r="K127" s="343">
        <v>271832</v>
      </c>
      <c r="L127" s="231"/>
      <c r="M127" s="343">
        <v>0</v>
      </c>
      <c r="N127" s="343">
        <v>0</v>
      </c>
      <c r="O127" s="343">
        <v>14986</v>
      </c>
      <c r="P127" s="343">
        <v>14986</v>
      </c>
      <c r="Q127" s="231"/>
      <c r="R127" s="343">
        <v>319456</v>
      </c>
      <c r="S127" s="343">
        <v>273</v>
      </c>
      <c r="T127" s="343">
        <v>319729</v>
      </c>
    </row>
    <row r="128" spans="1:20">
      <c r="A128" s="349">
        <v>91047</v>
      </c>
      <c r="B128" s="342" t="s">
        <v>816</v>
      </c>
      <c r="C128" s="234">
        <v>1.15E-5</v>
      </c>
      <c r="D128" s="234">
        <v>1.24E-5</v>
      </c>
      <c r="E128" s="343">
        <v>31406</v>
      </c>
      <c r="F128" s="231"/>
      <c r="G128" s="343">
        <v>5377</v>
      </c>
      <c r="H128" s="343">
        <v>766</v>
      </c>
      <c r="I128" s="343">
        <v>5119</v>
      </c>
      <c r="J128" s="343">
        <v>22634</v>
      </c>
      <c r="K128" s="343">
        <v>33896</v>
      </c>
      <c r="L128" s="231"/>
      <c r="M128" s="343">
        <v>0</v>
      </c>
      <c r="N128" s="343">
        <v>0</v>
      </c>
      <c r="O128" s="343">
        <v>0</v>
      </c>
      <c r="P128" s="343">
        <v>0</v>
      </c>
      <c r="Q128" s="231"/>
      <c r="R128" s="343">
        <v>13990</v>
      </c>
      <c r="S128" s="343">
        <v>11270</v>
      </c>
      <c r="T128" s="343">
        <v>25260</v>
      </c>
    </row>
    <row r="129" spans="1:20">
      <c r="A129" s="349">
        <v>91051</v>
      </c>
      <c r="B129" s="342" t="s">
        <v>817</v>
      </c>
      <c r="C129" s="234">
        <v>6.2799999999999995E-5</v>
      </c>
      <c r="D129" s="234">
        <v>6.7999999999999999E-5</v>
      </c>
      <c r="E129" s="343">
        <v>171502</v>
      </c>
      <c r="F129" s="231"/>
      <c r="G129" s="343">
        <v>29365</v>
      </c>
      <c r="H129" s="343">
        <v>4183</v>
      </c>
      <c r="I129" s="343">
        <v>27952</v>
      </c>
      <c r="J129" s="343">
        <v>871</v>
      </c>
      <c r="K129" s="343">
        <v>62371</v>
      </c>
      <c r="L129" s="231"/>
      <c r="M129" s="343">
        <v>0</v>
      </c>
      <c r="N129" s="343">
        <v>0</v>
      </c>
      <c r="O129" s="343">
        <v>4847</v>
      </c>
      <c r="P129" s="343">
        <v>4847</v>
      </c>
      <c r="Q129" s="231"/>
      <c r="R129" s="343">
        <v>76397</v>
      </c>
      <c r="S129" s="343">
        <v>-1473</v>
      </c>
      <c r="T129" s="343">
        <v>74924</v>
      </c>
    </row>
    <row r="130" spans="1:20">
      <c r="A130" s="349">
        <v>91057</v>
      </c>
      <c r="B130" s="342" t="s">
        <v>818</v>
      </c>
      <c r="C130" s="234">
        <v>1.5699999999999999E-5</v>
      </c>
      <c r="D130" s="234">
        <v>1.3699999999999999E-5</v>
      </c>
      <c r="E130" s="343">
        <v>42875</v>
      </c>
      <c r="F130" s="231"/>
      <c r="G130" s="343">
        <v>7341</v>
      </c>
      <c r="H130" s="343">
        <v>1046</v>
      </c>
      <c r="I130" s="343">
        <v>6988</v>
      </c>
      <c r="J130" s="343">
        <v>8738</v>
      </c>
      <c r="K130" s="343">
        <v>24113</v>
      </c>
      <c r="L130" s="231"/>
      <c r="M130" s="343">
        <v>0</v>
      </c>
      <c r="N130" s="343">
        <v>0</v>
      </c>
      <c r="O130" s="343">
        <v>0</v>
      </c>
      <c r="P130" s="343">
        <v>0</v>
      </c>
      <c r="Q130" s="231"/>
      <c r="R130" s="343">
        <v>19099</v>
      </c>
      <c r="S130" s="343">
        <v>3957</v>
      </c>
      <c r="T130" s="343">
        <v>23056</v>
      </c>
    </row>
    <row r="131" spans="1:20">
      <c r="A131" s="349">
        <v>91061</v>
      </c>
      <c r="B131" s="342" t="s">
        <v>819</v>
      </c>
      <c r="C131" s="234">
        <v>3.8039999999999998E-4</v>
      </c>
      <c r="D131" s="234">
        <v>3.657E-4</v>
      </c>
      <c r="E131" s="343">
        <v>1038843</v>
      </c>
      <c r="F131" s="231"/>
      <c r="G131" s="343">
        <v>177876</v>
      </c>
      <c r="H131" s="343">
        <v>25339</v>
      </c>
      <c r="I131" s="343">
        <v>169314</v>
      </c>
      <c r="J131" s="343">
        <v>11692</v>
      </c>
      <c r="K131" s="343">
        <v>384221</v>
      </c>
      <c r="L131" s="231"/>
      <c r="M131" s="343">
        <v>0</v>
      </c>
      <c r="N131" s="343">
        <v>0</v>
      </c>
      <c r="O131" s="343">
        <v>19860</v>
      </c>
      <c r="P131" s="343">
        <v>19860</v>
      </c>
      <c r="Q131" s="231"/>
      <c r="R131" s="343">
        <v>462762</v>
      </c>
      <c r="S131" s="343">
        <v>-8533</v>
      </c>
      <c r="T131" s="343">
        <v>454229</v>
      </c>
    </row>
    <row r="132" spans="1:20">
      <c r="A132" s="349">
        <v>91067</v>
      </c>
      <c r="B132" s="342" t="s">
        <v>820</v>
      </c>
      <c r="C132" s="234">
        <v>1.6200000000000001E-5</v>
      </c>
      <c r="D132" s="234">
        <v>1.6900000000000001E-5</v>
      </c>
      <c r="E132" s="343">
        <v>44241</v>
      </c>
      <c r="F132" s="231"/>
      <c r="G132" s="343">
        <v>7575</v>
      </c>
      <c r="H132" s="343">
        <v>1079</v>
      </c>
      <c r="I132" s="343">
        <v>7211</v>
      </c>
      <c r="J132" s="343">
        <v>1968</v>
      </c>
      <c r="K132" s="343">
        <v>17833</v>
      </c>
      <c r="L132" s="231"/>
      <c r="M132" s="343">
        <v>0</v>
      </c>
      <c r="N132" s="343">
        <v>0</v>
      </c>
      <c r="O132" s="343">
        <v>203</v>
      </c>
      <c r="P132" s="343">
        <v>203</v>
      </c>
      <c r="Q132" s="231"/>
      <c r="R132" s="343">
        <v>19708</v>
      </c>
      <c r="S132" s="343">
        <v>1241</v>
      </c>
      <c r="T132" s="343">
        <v>20949</v>
      </c>
    </row>
    <row r="133" spans="1:20">
      <c r="A133" s="349">
        <v>91071</v>
      </c>
      <c r="B133" s="342" t="s">
        <v>3642</v>
      </c>
      <c r="C133" s="234">
        <v>2.4489999999999999E-4</v>
      </c>
      <c r="D133" s="234">
        <v>2.354E-4</v>
      </c>
      <c r="E133" s="343">
        <v>668803</v>
      </c>
      <c r="F133" s="231"/>
      <c r="G133" s="343">
        <v>114516</v>
      </c>
      <c r="H133" s="343">
        <v>16313</v>
      </c>
      <c r="I133" s="343">
        <v>109004</v>
      </c>
      <c r="J133" s="343">
        <v>0</v>
      </c>
      <c r="K133" s="343">
        <v>239833</v>
      </c>
      <c r="L133" s="231"/>
      <c r="M133" s="343">
        <v>0</v>
      </c>
      <c r="N133" s="343">
        <v>0</v>
      </c>
      <c r="O133" s="343">
        <v>12755</v>
      </c>
      <c r="P133" s="343">
        <v>12755</v>
      </c>
      <c r="Q133" s="231"/>
      <c r="R133" s="343">
        <v>297924</v>
      </c>
      <c r="S133" s="343">
        <v>-6634</v>
      </c>
      <c r="T133" s="343">
        <v>291290</v>
      </c>
    </row>
    <row r="134" spans="1:20">
      <c r="A134" s="349">
        <v>91077</v>
      </c>
      <c r="B134" s="342" t="s">
        <v>822</v>
      </c>
      <c r="C134" s="234">
        <v>5.9000000000000003E-6</v>
      </c>
      <c r="D134" s="234">
        <v>3.1E-6</v>
      </c>
      <c r="E134" s="343">
        <v>16112</v>
      </c>
      <c r="F134" s="231"/>
      <c r="G134" s="343">
        <v>2759</v>
      </c>
      <c r="H134" s="343">
        <v>393</v>
      </c>
      <c r="I134" s="343">
        <v>2626</v>
      </c>
      <c r="J134" s="343">
        <v>3562</v>
      </c>
      <c r="K134" s="343">
        <v>9340</v>
      </c>
      <c r="L134" s="231"/>
      <c r="M134" s="343">
        <v>0</v>
      </c>
      <c r="N134" s="343">
        <v>0</v>
      </c>
      <c r="O134" s="343">
        <v>0</v>
      </c>
      <c r="P134" s="343">
        <v>0</v>
      </c>
      <c r="Q134" s="231"/>
      <c r="R134" s="343">
        <v>7177</v>
      </c>
      <c r="S134" s="343">
        <v>1342</v>
      </c>
      <c r="T134" s="343">
        <v>8519</v>
      </c>
    </row>
    <row r="135" spans="1:20">
      <c r="A135" s="349">
        <v>91081</v>
      </c>
      <c r="B135" s="342" t="s">
        <v>823</v>
      </c>
      <c r="C135" s="234">
        <v>4.2739999999999998E-4</v>
      </c>
      <c r="D135" s="234">
        <v>3.8870000000000002E-4</v>
      </c>
      <c r="E135" s="343">
        <v>1167196</v>
      </c>
      <c r="F135" s="231"/>
      <c r="G135" s="343">
        <v>199854</v>
      </c>
      <c r="H135" s="343">
        <v>28470</v>
      </c>
      <c r="I135" s="343">
        <v>190234</v>
      </c>
      <c r="J135" s="343">
        <v>30285</v>
      </c>
      <c r="K135" s="343">
        <v>448843</v>
      </c>
      <c r="L135" s="231"/>
      <c r="M135" s="343">
        <v>0</v>
      </c>
      <c r="N135" s="343">
        <v>0</v>
      </c>
      <c r="O135" s="343">
        <v>0</v>
      </c>
      <c r="P135" s="343">
        <v>0</v>
      </c>
      <c r="Q135" s="231"/>
      <c r="R135" s="343">
        <v>519938</v>
      </c>
      <c r="S135" s="343">
        <v>9199</v>
      </c>
      <c r="T135" s="343">
        <v>529137</v>
      </c>
    </row>
    <row r="136" spans="1:20">
      <c r="A136" s="349">
        <v>91091</v>
      </c>
      <c r="B136" s="342" t="s">
        <v>824</v>
      </c>
      <c r="C136" s="234">
        <v>5.4540000000000003E-4</v>
      </c>
      <c r="D136" s="234">
        <v>5.0319999999999998E-4</v>
      </c>
      <c r="E136" s="343">
        <v>1489445</v>
      </c>
      <c r="F136" s="231"/>
      <c r="G136" s="343">
        <v>255031</v>
      </c>
      <c r="H136" s="343">
        <v>36330</v>
      </c>
      <c r="I136" s="343">
        <v>242755</v>
      </c>
      <c r="J136" s="343">
        <v>27236</v>
      </c>
      <c r="K136" s="343">
        <v>561352</v>
      </c>
      <c r="L136" s="231"/>
      <c r="M136" s="343">
        <v>0</v>
      </c>
      <c r="N136" s="343">
        <v>0</v>
      </c>
      <c r="O136" s="343">
        <v>39624</v>
      </c>
      <c r="P136" s="343">
        <v>39624</v>
      </c>
      <c r="Q136" s="231"/>
      <c r="R136" s="343">
        <v>663486</v>
      </c>
      <c r="S136" s="343">
        <v>-17164</v>
      </c>
      <c r="T136" s="343">
        <v>646322</v>
      </c>
    </row>
    <row r="137" spans="1:20">
      <c r="A137" s="349">
        <v>91101</v>
      </c>
      <c r="B137" s="342" t="s">
        <v>825</v>
      </c>
      <c r="C137" s="234">
        <v>1.32874E-2</v>
      </c>
      <c r="D137" s="234">
        <v>1.3608800000000001E-2</v>
      </c>
      <c r="E137" s="343">
        <v>36286853</v>
      </c>
      <c r="F137" s="231"/>
      <c r="G137" s="343">
        <v>6213228</v>
      </c>
      <c r="H137" s="343">
        <v>885087</v>
      </c>
      <c r="I137" s="343">
        <v>5914155</v>
      </c>
      <c r="J137" s="343">
        <v>0</v>
      </c>
      <c r="K137" s="343">
        <v>13012470</v>
      </c>
      <c r="L137" s="231"/>
      <c r="M137" s="343">
        <v>0</v>
      </c>
      <c r="N137" s="343">
        <v>0</v>
      </c>
      <c r="O137" s="343">
        <v>935259</v>
      </c>
      <c r="P137" s="343">
        <v>935259</v>
      </c>
      <c r="Q137" s="231"/>
      <c r="R137" s="343">
        <v>16164295</v>
      </c>
      <c r="S137" s="343">
        <v>-203601</v>
      </c>
      <c r="T137" s="343">
        <v>15960694</v>
      </c>
    </row>
    <row r="138" spans="1:20">
      <c r="A138" s="349">
        <v>91102</v>
      </c>
      <c r="B138" s="342" t="s">
        <v>826</v>
      </c>
      <c r="C138" s="234">
        <v>3.279E-4</v>
      </c>
      <c r="D138" s="234">
        <v>3.2509999999999999E-4</v>
      </c>
      <c r="E138" s="343">
        <v>895469</v>
      </c>
      <c r="F138" s="231"/>
      <c r="G138" s="343">
        <v>153327</v>
      </c>
      <c r="H138" s="343">
        <v>21841</v>
      </c>
      <c r="I138" s="343">
        <v>145947</v>
      </c>
      <c r="J138" s="343">
        <v>15005</v>
      </c>
      <c r="K138" s="343">
        <v>336120</v>
      </c>
      <c r="L138" s="231"/>
      <c r="M138" s="343">
        <v>0</v>
      </c>
      <c r="N138" s="343">
        <v>0</v>
      </c>
      <c r="O138" s="343">
        <v>925</v>
      </c>
      <c r="P138" s="343">
        <v>925</v>
      </c>
      <c r="Q138" s="231"/>
      <c r="R138" s="343">
        <v>398895</v>
      </c>
      <c r="S138" s="343">
        <v>-5501</v>
      </c>
      <c r="T138" s="343">
        <v>393394</v>
      </c>
    </row>
    <row r="139" spans="1:20">
      <c r="A139" s="349">
        <v>91104</v>
      </c>
      <c r="B139" s="342" t="s">
        <v>827</v>
      </c>
      <c r="C139" s="234">
        <v>1.66E-5</v>
      </c>
      <c r="D139" s="234">
        <v>6.9999999999999999E-6</v>
      </c>
      <c r="E139" s="343">
        <v>45333</v>
      </c>
      <c r="F139" s="231"/>
      <c r="G139" s="343">
        <v>7762</v>
      </c>
      <c r="H139" s="343">
        <v>1105</v>
      </c>
      <c r="I139" s="343">
        <v>7389</v>
      </c>
      <c r="J139" s="343">
        <v>13759</v>
      </c>
      <c r="K139" s="343">
        <v>30015</v>
      </c>
      <c r="L139" s="231"/>
      <c r="M139" s="343">
        <v>0</v>
      </c>
      <c r="N139" s="343">
        <v>0</v>
      </c>
      <c r="O139" s="343">
        <v>0</v>
      </c>
      <c r="P139" s="343">
        <v>0</v>
      </c>
      <c r="Q139" s="231"/>
      <c r="R139" s="343">
        <v>20194</v>
      </c>
      <c r="S139" s="343">
        <v>4017</v>
      </c>
      <c r="T139" s="343">
        <v>24211</v>
      </c>
    </row>
    <row r="140" spans="1:20">
      <c r="A140" s="349">
        <v>91107</v>
      </c>
      <c r="B140" s="342" t="s">
        <v>3643</v>
      </c>
      <c r="C140" s="234">
        <v>5.4500000000000003E-5</v>
      </c>
      <c r="D140" s="234">
        <v>5.8999999999999998E-5</v>
      </c>
      <c r="E140" s="343">
        <v>148835</v>
      </c>
      <c r="F140" s="231"/>
      <c r="G140" s="343">
        <v>25484</v>
      </c>
      <c r="H140" s="343">
        <v>3631</v>
      </c>
      <c r="I140" s="343">
        <v>24258</v>
      </c>
      <c r="J140" s="343">
        <v>12685</v>
      </c>
      <c r="K140" s="343">
        <v>66058</v>
      </c>
      <c r="L140" s="231"/>
      <c r="M140" s="343">
        <v>0</v>
      </c>
      <c r="N140" s="343">
        <v>0</v>
      </c>
      <c r="O140" s="343">
        <v>2257</v>
      </c>
      <c r="P140" s="343">
        <v>2257</v>
      </c>
      <c r="Q140" s="231"/>
      <c r="R140" s="343">
        <v>66300</v>
      </c>
      <c r="S140" s="343">
        <v>5016</v>
      </c>
      <c r="T140" s="343">
        <v>71316</v>
      </c>
    </row>
    <row r="141" spans="1:20">
      <c r="A141" s="349">
        <v>91108</v>
      </c>
      <c r="B141" s="342" t="s">
        <v>3644</v>
      </c>
      <c r="C141" s="234">
        <v>1.1929E-3</v>
      </c>
      <c r="D141" s="234">
        <v>1.2019000000000001E-3</v>
      </c>
      <c r="E141" s="343">
        <v>3257717</v>
      </c>
      <c r="F141" s="231"/>
      <c r="G141" s="343">
        <v>557804</v>
      </c>
      <c r="H141" s="343">
        <v>79460</v>
      </c>
      <c r="I141" s="343">
        <v>530954</v>
      </c>
      <c r="J141" s="343">
        <v>81445</v>
      </c>
      <c r="K141" s="343">
        <v>1249663</v>
      </c>
      <c r="L141" s="231"/>
      <c r="M141" s="343">
        <v>0</v>
      </c>
      <c r="N141" s="343">
        <v>0</v>
      </c>
      <c r="O141" s="343">
        <v>0</v>
      </c>
      <c r="P141" s="343">
        <v>0</v>
      </c>
      <c r="Q141" s="231"/>
      <c r="R141" s="343">
        <v>1451178</v>
      </c>
      <c r="S141" s="343">
        <v>40685</v>
      </c>
      <c r="T141" s="343">
        <v>1491863</v>
      </c>
    </row>
    <row r="142" spans="1:20">
      <c r="A142" s="349">
        <v>91109</v>
      </c>
      <c r="B142" s="342" t="s">
        <v>2779</v>
      </c>
      <c r="C142" s="234">
        <v>9.8300000000000004E-5</v>
      </c>
      <c r="D142" s="234">
        <v>1E-4</v>
      </c>
      <c r="E142" s="343">
        <v>268450</v>
      </c>
      <c r="F142" s="231"/>
      <c r="G142" s="343">
        <v>45965</v>
      </c>
      <c r="H142" s="343">
        <v>6548</v>
      </c>
      <c r="I142" s="343">
        <v>43753</v>
      </c>
      <c r="J142" s="343">
        <v>5573</v>
      </c>
      <c r="K142" s="343">
        <v>101839</v>
      </c>
      <c r="L142" s="231"/>
      <c r="M142" s="343">
        <v>0</v>
      </c>
      <c r="N142" s="343">
        <v>0</v>
      </c>
      <c r="O142" s="343">
        <v>108</v>
      </c>
      <c r="P142" s="343">
        <v>108</v>
      </c>
      <c r="Q142" s="231"/>
      <c r="R142" s="343">
        <v>119583</v>
      </c>
      <c r="S142" s="343">
        <v>2680</v>
      </c>
      <c r="T142" s="343">
        <v>122263</v>
      </c>
    </row>
    <row r="143" spans="1:20">
      <c r="A143" s="349">
        <v>91111</v>
      </c>
      <c r="B143" s="342" t="s">
        <v>831</v>
      </c>
      <c r="C143" s="234">
        <v>1.973E-4</v>
      </c>
      <c r="D143" s="234">
        <v>2.3499999999999999E-4</v>
      </c>
      <c r="E143" s="343">
        <v>538811</v>
      </c>
      <c r="F143" s="231"/>
      <c r="G143" s="343">
        <v>92258</v>
      </c>
      <c r="H143" s="343">
        <v>13143</v>
      </c>
      <c r="I143" s="343">
        <v>87817</v>
      </c>
      <c r="J143" s="343">
        <v>8882</v>
      </c>
      <c r="K143" s="343">
        <v>202100</v>
      </c>
      <c r="L143" s="231"/>
      <c r="M143" s="343">
        <v>0</v>
      </c>
      <c r="N143" s="343">
        <v>0</v>
      </c>
      <c r="O143" s="343">
        <v>19294</v>
      </c>
      <c r="P143" s="343">
        <v>19294</v>
      </c>
      <c r="Q143" s="231"/>
      <c r="R143" s="343">
        <v>240018</v>
      </c>
      <c r="S143" s="343">
        <v>5623</v>
      </c>
      <c r="T143" s="343">
        <v>245641</v>
      </c>
    </row>
    <row r="144" spans="1:20">
      <c r="A144" s="349">
        <v>91120</v>
      </c>
      <c r="B144" s="342" t="s">
        <v>3645</v>
      </c>
      <c r="C144" s="234">
        <v>1.807E-4</v>
      </c>
      <c r="D144" s="234">
        <v>1.2679999999999999E-4</v>
      </c>
      <c r="E144" s="343">
        <v>493478</v>
      </c>
      <c r="F144" s="231"/>
      <c r="G144" s="343">
        <v>84496</v>
      </c>
      <c r="H144" s="343">
        <v>12036</v>
      </c>
      <c r="I144" s="343">
        <v>80429</v>
      </c>
      <c r="J144" s="343">
        <v>34909</v>
      </c>
      <c r="K144" s="343">
        <v>211870</v>
      </c>
      <c r="L144" s="231"/>
      <c r="M144" s="343">
        <v>0</v>
      </c>
      <c r="N144" s="343">
        <v>0</v>
      </c>
      <c r="O144" s="343">
        <v>10750</v>
      </c>
      <c r="P144" s="343">
        <v>10750</v>
      </c>
      <c r="Q144" s="231"/>
      <c r="R144" s="343">
        <v>219824</v>
      </c>
      <c r="S144" s="343">
        <v>-1266</v>
      </c>
      <c r="T144" s="343">
        <v>218558</v>
      </c>
    </row>
    <row r="145" spans="1:20">
      <c r="A145" s="349">
        <v>91121</v>
      </c>
      <c r="B145" s="342" t="s">
        <v>833</v>
      </c>
      <c r="C145" s="234">
        <v>1.03844E-2</v>
      </c>
      <c r="D145" s="234">
        <v>1.02925E-2</v>
      </c>
      <c r="E145" s="343">
        <v>28358986</v>
      </c>
      <c r="F145" s="231"/>
      <c r="G145" s="343">
        <v>4855777</v>
      </c>
      <c r="H145" s="343">
        <v>691716</v>
      </c>
      <c r="I145" s="343">
        <v>4622045</v>
      </c>
      <c r="J145" s="343">
        <v>0</v>
      </c>
      <c r="K145" s="343">
        <v>10169538</v>
      </c>
      <c r="L145" s="231"/>
      <c r="M145" s="343">
        <v>0</v>
      </c>
      <c r="N145" s="343">
        <v>0</v>
      </c>
      <c r="O145" s="343">
        <v>462767</v>
      </c>
      <c r="P145" s="343">
        <v>462767</v>
      </c>
      <c r="Q145" s="231"/>
      <c r="R145" s="343">
        <v>12632758</v>
      </c>
      <c r="S145" s="343">
        <v>-250458</v>
      </c>
      <c r="T145" s="343">
        <v>12382300</v>
      </c>
    </row>
    <row r="146" spans="1:20">
      <c r="A146" s="349">
        <v>91127</v>
      </c>
      <c r="B146" s="342" t="s">
        <v>834</v>
      </c>
      <c r="C146" s="234">
        <v>2.7989999999999997E-4</v>
      </c>
      <c r="D146" s="234">
        <v>2.8370000000000001E-4</v>
      </c>
      <c r="E146" s="343">
        <v>764385</v>
      </c>
      <c r="F146" s="231"/>
      <c r="G146" s="343">
        <v>130882</v>
      </c>
      <c r="H146" s="343">
        <v>18644</v>
      </c>
      <c r="I146" s="343">
        <v>124582</v>
      </c>
      <c r="J146" s="343">
        <v>45499</v>
      </c>
      <c r="K146" s="343">
        <v>319607</v>
      </c>
      <c r="L146" s="231"/>
      <c r="M146" s="343">
        <v>0</v>
      </c>
      <c r="N146" s="343">
        <v>0</v>
      </c>
      <c r="O146" s="343">
        <v>0</v>
      </c>
      <c r="P146" s="343">
        <v>0</v>
      </c>
      <c r="Q146" s="231"/>
      <c r="R146" s="343">
        <v>340502</v>
      </c>
      <c r="S146" s="343">
        <v>23566</v>
      </c>
      <c r="T146" s="343">
        <v>364068</v>
      </c>
    </row>
    <row r="147" spans="1:20">
      <c r="A147" s="349">
        <v>91128</v>
      </c>
      <c r="B147" s="342" t="s">
        <v>835</v>
      </c>
      <c r="C147" s="234">
        <v>4.6710000000000002E-4</v>
      </c>
      <c r="D147" s="234">
        <v>5.1060000000000005E-4</v>
      </c>
      <c r="E147" s="343">
        <v>1275614</v>
      </c>
      <c r="F147" s="231"/>
      <c r="G147" s="343">
        <v>218417</v>
      </c>
      <c r="H147" s="343">
        <v>31114</v>
      </c>
      <c r="I147" s="343">
        <v>207904</v>
      </c>
      <c r="J147" s="343">
        <v>4437</v>
      </c>
      <c r="K147" s="343">
        <v>461872</v>
      </c>
      <c r="L147" s="231"/>
      <c r="M147" s="343">
        <v>0</v>
      </c>
      <c r="N147" s="343">
        <v>0</v>
      </c>
      <c r="O147" s="343">
        <v>31667</v>
      </c>
      <c r="P147" s="343">
        <v>31667</v>
      </c>
      <c r="Q147" s="231"/>
      <c r="R147" s="343">
        <v>568233</v>
      </c>
      <c r="S147" s="343">
        <v>-3537</v>
      </c>
      <c r="T147" s="343">
        <v>564696</v>
      </c>
    </row>
    <row r="148" spans="1:20">
      <c r="A148" s="349">
        <v>91138</v>
      </c>
      <c r="B148" s="342" t="s">
        <v>3646</v>
      </c>
      <c r="C148" s="234">
        <v>4.8010000000000001E-4</v>
      </c>
      <c r="D148" s="234">
        <v>4.8819999999999999E-4</v>
      </c>
      <c r="E148" s="343">
        <v>1311116</v>
      </c>
      <c r="F148" s="231"/>
      <c r="G148" s="343">
        <v>224496</v>
      </c>
      <c r="H148" s="343">
        <v>31980</v>
      </c>
      <c r="I148" s="343">
        <v>213690</v>
      </c>
      <c r="J148" s="343">
        <v>0</v>
      </c>
      <c r="K148" s="343">
        <v>470166</v>
      </c>
      <c r="L148" s="231"/>
      <c r="M148" s="343">
        <v>0</v>
      </c>
      <c r="N148" s="343">
        <v>0</v>
      </c>
      <c r="O148" s="343">
        <v>174521</v>
      </c>
      <c r="P148" s="343">
        <v>174521</v>
      </c>
      <c r="Q148" s="231"/>
      <c r="R148" s="343">
        <v>584048</v>
      </c>
      <c r="S148" s="343">
        <v>-78769</v>
      </c>
      <c r="T148" s="343">
        <v>505279</v>
      </c>
    </row>
    <row r="149" spans="1:20">
      <c r="A149" s="349">
        <v>91141</v>
      </c>
      <c r="B149" s="342" t="s">
        <v>837</v>
      </c>
      <c r="C149" s="234">
        <v>6.3610000000000001E-4</v>
      </c>
      <c r="D149" s="234">
        <v>5.5960000000000005E-4</v>
      </c>
      <c r="E149" s="343">
        <v>1737139</v>
      </c>
      <c r="F149" s="231"/>
      <c r="G149" s="343">
        <v>297442</v>
      </c>
      <c r="H149" s="343">
        <v>42371</v>
      </c>
      <c r="I149" s="343">
        <v>283125</v>
      </c>
      <c r="J149" s="343">
        <v>30937</v>
      </c>
      <c r="K149" s="343">
        <v>653875</v>
      </c>
      <c r="L149" s="231"/>
      <c r="M149" s="343">
        <v>0</v>
      </c>
      <c r="N149" s="343">
        <v>0</v>
      </c>
      <c r="O149" s="343">
        <v>33284</v>
      </c>
      <c r="P149" s="343">
        <v>33284</v>
      </c>
      <c r="Q149" s="231"/>
      <c r="R149" s="343">
        <v>773824</v>
      </c>
      <c r="S149" s="343">
        <v>-24712</v>
      </c>
      <c r="T149" s="343">
        <v>749112</v>
      </c>
    </row>
    <row r="150" spans="1:20">
      <c r="A150" s="349">
        <v>91147</v>
      </c>
      <c r="B150" s="342" t="s">
        <v>838</v>
      </c>
      <c r="C150" s="234">
        <v>2.5400000000000001E-5</v>
      </c>
      <c r="D150" s="234">
        <v>2.87E-5</v>
      </c>
      <c r="E150" s="343">
        <v>69365</v>
      </c>
      <c r="F150" s="231"/>
      <c r="G150" s="343">
        <v>11877</v>
      </c>
      <c r="H150" s="343">
        <v>1692</v>
      </c>
      <c r="I150" s="343">
        <v>11305</v>
      </c>
      <c r="J150" s="343">
        <v>2503</v>
      </c>
      <c r="K150" s="343">
        <v>27377</v>
      </c>
      <c r="L150" s="231"/>
      <c r="M150" s="343">
        <v>0</v>
      </c>
      <c r="N150" s="343">
        <v>0</v>
      </c>
      <c r="O150" s="343">
        <v>541</v>
      </c>
      <c r="P150" s="343">
        <v>541</v>
      </c>
      <c r="Q150" s="231"/>
      <c r="R150" s="343">
        <v>30899</v>
      </c>
      <c r="S150" s="343">
        <v>3267</v>
      </c>
      <c r="T150" s="343">
        <v>34166</v>
      </c>
    </row>
    <row r="151" spans="1:20">
      <c r="A151" s="349">
        <v>91151</v>
      </c>
      <c r="B151" s="342" t="s">
        <v>839</v>
      </c>
      <c r="C151" s="234">
        <v>5.8460000000000001E-4</v>
      </c>
      <c r="D151" s="234">
        <v>6.2589999999999998E-4</v>
      </c>
      <c r="E151" s="343">
        <v>1596497</v>
      </c>
      <c r="F151" s="231"/>
      <c r="G151" s="343">
        <v>273361</v>
      </c>
      <c r="H151" s="343">
        <v>38941</v>
      </c>
      <c r="I151" s="343">
        <v>260203</v>
      </c>
      <c r="J151" s="343">
        <v>0</v>
      </c>
      <c r="K151" s="343">
        <v>572505</v>
      </c>
      <c r="L151" s="231"/>
      <c r="M151" s="343">
        <v>0</v>
      </c>
      <c r="N151" s="343">
        <v>0</v>
      </c>
      <c r="O151" s="343">
        <v>101019</v>
      </c>
      <c r="P151" s="343">
        <v>101019</v>
      </c>
      <c r="Q151" s="231"/>
      <c r="R151" s="343">
        <v>711173</v>
      </c>
      <c r="S151" s="343">
        <v>-34619</v>
      </c>
      <c r="T151" s="343">
        <v>676554</v>
      </c>
    </row>
    <row r="152" spans="1:20">
      <c r="A152" s="349">
        <v>91154</v>
      </c>
      <c r="B152" s="342" t="s">
        <v>3647</v>
      </c>
      <c r="C152" s="234">
        <v>2.0999999999999999E-5</v>
      </c>
      <c r="D152" s="234">
        <v>2.41E-5</v>
      </c>
      <c r="E152" s="343">
        <v>57349</v>
      </c>
      <c r="F152" s="231"/>
      <c r="G152" s="343">
        <v>9820</v>
      </c>
      <c r="H152" s="343">
        <v>1399</v>
      </c>
      <c r="I152" s="343">
        <v>9347</v>
      </c>
      <c r="J152" s="343">
        <v>2221</v>
      </c>
      <c r="K152" s="343">
        <v>22787</v>
      </c>
      <c r="L152" s="231"/>
      <c r="M152" s="343">
        <v>0</v>
      </c>
      <c r="N152" s="343">
        <v>0</v>
      </c>
      <c r="O152" s="343">
        <v>5358</v>
      </c>
      <c r="P152" s="343">
        <v>5358</v>
      </c>
      <c r="Q152" s="231"/>
      <c r="R152" s="343">
        <v>25547</v>
      </c>
      <c r="S152" s="343">
        <v>672</v>
      </c>
      <c r="T152" s="343">
        <v>26219</v>
      </c>
    </row>
    <row r="153" spans="1:20">
      <c r="A153" s="349">
        <v>91161</v>
      </c>
      <c r="B153" s="342" t="s">
        <v>841</v>
      </c>
      <c r="C153" s="234">
        <v>1.0509999999999999E-4</v>
      </c>
      <c r="D153" s="234">
        <v>7.9699999999999999E-5</v>
      </c>
      <c r="E153" s="343">
        <v>287020</v>
      </c>
      <c r="F153" s="231"/>
      <c r="G153" s="343">
        <v>49145</v>
      </c>
      <c r="H153" s="343">
        <v>7001</v>
      </c>
      <c r="I153" s="343">
        <v>46779</v>
      </c>
      <c r="J153" s="343">
        <v>11514</v>
      </c>
      <c r="K153" s="343">
        <v>114439</v>
      </c>
      <c r="L153" s="231"/>
      <c r="M153" s="343">
        <v>0</v>
      </c>
      <c r="N153" s="343">
        <v>0</v>
      </c>
      <c r="O153" s="343">
        <v>7092</v>
      </c>
      <c r="P153" s="343">
        <v>7092</v>
      </c>
      <c r="Q153" s="231"/>
      <c r="R153" s="343">
        <v>127856</v>
      </c>
      <c r="S153" s="343">
        <v>2399</v>
      </c>
      <c r="T153" s="343">
        <v>130255</v>
      </c>
    </row>
    <row r="154" spans="1:20">
      <c r="A154" s="349">
        <v>91171</v>
      </c>
      <c r="B154" s="342" t="s">
        <v>842</v>
      </c>
      <c r="C154" s="234">
        <v>2.6820000000000001E-4</v>
      </c>
      <c r="D154" s="234">
        <v>2.3790000000000001E-4</v>
      </c>
      <c r="E154" s="343">
        <v>732433</v>
      </c>
      <c r="F154" s="231"/>
      <c r="G154" s="343">
        <v>125411</v>
      </c>
      <c r="H154" s="343">
        <v>17865</v>
      </c>
      <c r="I154" s="343">
        <v>119374</v>
      </c>
      <c r="J154" s="343">
        <v>27025</v>
      </c>
      <c r="K154" s="343">
        <v>289675</v>
      </c>
      <c r="L154" s="231"/>
      <c r="M154" s="343">
        <v>0</v>
      </c>
      <c r="N154" s="343">
        <v>0</v>
      </c>
      <c r="O154" s="343">
        <v>21019</v>
      </c>
      <c r="P154" s="343">
        <v>21019</v>
      </c>
      <c r="Q154" s="231"/>
      <c r="R154" s="343">
        <v>326269</v>
      </c>
      <c r="S154" s="343">
        <v>-7372</v>
      </c>
      <c r="T154" s="343">
        <v>318897</v>
      </c>
    </row>
    <row r="155" spans="1:20">
      <c r="A155" s="349">
        <v>91201</v>
      </c>
      <c r="B155" s="342" t="s">
        <v>843</v>
      </c>
      <c r="C155" s="234">
        <v>2.2897999999999998E-3</v>
      </c>
      <c r="D155" s="234">
        <v>2.2587000000000002E-3</v>
      </c>
      <c r="E155" s="343">
        <v>6253265</v>
      </c>
      <c r="F155" s="231"/>
      <c r="G155" s="343">
        <v>1070717</v>
      </c>
      <c r="H155" s="343">
        <v>152526</v>
      </c>
      <c r="I155" s="343">
        <v>1019179</v>
      </c>
      <c r="J155" s="343">
        <v>0</v>
      </c>
      <c r="K155" s="343">
        <v>2242422</v>
      </c>
      <c r="L155" s="231"/>
      <c r="M155" s="343">
        <v>0</v>
      </c>
      <c r="N155" s="343">
        <v>0</v>
      </c>
      <c r="O155" s="343">
        <v>119721</v>
      </c>
      <c r="P155" s="343">
        <v>119721</v>
      </c>
      <c r="Q155" s="231"/>
      <c r="R155" s="343">
        <v>2785571</v>
      </c>
      <c r="S155" s="343">
        <v>-32799</v>
      </c>
      <c r="T155" s="343">
        <v>2752772</v>
      </c>
    </row>
    <row r="156" spans="1:20">
      <c r="A156" s="349">
        <v>91202</v>
      </c>
      <c r="B156" s="342" t="s">
        <v>3648</v>
      </c>
      <c r="C156" s="234">
        <v>1.752E-4</v>
      </c>
      <c r="D156" s="234">
        <v>1.9579999999999999E-4</v>
      </c>
      <c r="E156" s="343">
        <v>478458</v>
      </c>
      <c r="F156" s="231"/>
      <c r="G156" s="343">
        <v>81924</v>
      </c>
      <c r="H156" s="343">
        <v>11670</v>
      </c>
      <c r="I156" s="343">
        <v>77981</v>
      </c>
      <c r="J156" s="343">
        <v>10225</v>
      </c>
      <c r="K156" s="343">
        <v>181800</v>
      </c>
      <c r="L156" s="231"/>
      <c r="M156" s="343">
        <v>0</v>
      </c>
      <c r="N156" s="343">
        <v>0</v>
      </c>
      <c r="O156" s="343">
        <v>16754</v>
      </c>
      <c r="P156" s="343">
        <v>16754</v>
      </c>
      <c r="Q156" s="231"/>
      <c r="R156" s="343">
        <v>213133</v>
      </c>
      <c r="S156" s="343">
        <v>5067</v>
      </c>
      <c r="T156" s="343">
        <v>218200</v>
      </c>
    </row>
    <row r="157" spans="1:20">
      <c r="A157" s="349">
        <v>91203</v>
      </c>
      <c r="B157" s="342" t="s">
        <v>3649</v>
      </c>
      <c r="C157" s="234">
        <v>2.2670000000000001E-4</v>
      </c>
      <c r="D157" s="234">
        <v>2.3000000000000001E-4</v>
      </c>
      <c r="E157" s="343">
        <v>619100</v>
      </c>
      <c r="F157" s="231"/>
      <c r="G157" s="343">
        <v>106006</v>
      </c>
      <c r="H157" s="343">
        <v>15101</v>
      </c>
      <c r="I157" s="343">
        <v>100903</v>
      </c>
      <c r="J157" s="343">
        <v>40050</v>
      </c>
      <c r="K157" s="343">
        <v>262060</v>
      </c>
      <c r="L157" s="231"/>
      <c r="M157" s="343">
        <v>0</v>
      </c>
      <c r="N157" s="343">
        <v>0</v>
      </c>
      <c r="O157" s="343">
        <v>0</v>
      </c>
      <c r="P157" s="343">
        <v>0</v>
      </c>
      <c r="Q157" s="231"/>
      <c r="R157" s="343">
        <v>275783</v>
      </c>
      <c r="S157" s="343">
        <v>17405</v>
      </c>
      <c r="T157" s="343">
        <v>293188</v>
      </c>
    </row>
    <row r="158" spans="1:20">
      <c r="A158" s="349">
        <v>91206</v>
      </c>
      <c r="B158" s="342" t="s">
        <v>3650</v>
      </c>
      <c r="C158" s="234">
        <v>9.525E-4</v>
      </c>
      <c r="D158" s="234">
        <v>9.0660000000000003E-4</v>
      </c>
      <c r="E158" s="343">
        <v>2601203</v>
      </c>
      <c r="F158" s="231"/>
      <c r="G158" s="343">
        <v>445392</v>
      </c>
      <c r="H158" s="343">
        <v>63447</v>
      </c>
      <c r="I158" s="343">
        <v>423953</v>
      </c>
      <c r="J158" s="343">
        <v>57771</v>
      </c>
      <c r="K158" s="343">
        <v>990563</v>
      </c>
      <c r="L158" s="231"/>
      <c r="M158" s="343">
        <v>0</v>
      </c>
      <c r="N158" s="343">
        <v>0</v>
      </c>
      <c r="O158" s="343">
        <v>341</v>
      </c>
      <c r="P158" s="343">
        <v>341</v>
      </c>
      <c r="Q158" s="231"/>
      <c r="R158" s="343">
        <v>1158729</v>
      </c>
      <c r="S158" s="343">
        <v>19006</v>
      </c>
      <c r="T158" s="343">
        <v>1177735</v>
      </c>
    </row>
    <row r="159" spans="1:20">
      <c r="A159" s="349">
        <v>91208</v>
      </c>
      <c r="B159" s="342" t="s">
        <v>3651</v>
      </c>
      <c r="C159" s="234">
        <v>1.9000000000000001E-5</v>
      </c>
      <c r="D159" s="234">
        <v>1.3200000000000001E-5</v>
      </c>
      <c r="E159" s="343">
        <v>51888</v>
      </c>
      <c r="F159" s="231"/>
      <c r="G159" s="343">
        <v>8884</v>
      </c>
      <c r="H159" s="343">
        <v>1265</v>
      </c>
      <c r="I159" s="343">
        <v>8457</v>
      </c>
      <c r="J159" s="343">
        <v>5152</v>
      </c>
      <c r="K159" s="343">
        <v>23758</v>
      </c>
      <c r="L159" s="231"/>
      <c r="M159" s="343">
        <v>0</v>
      </c>
      <c r="N159" s="343">
        <v>0</v>
      </c>
      <c r="O159" s="343">
        <v>391</v>
      </c>
      <c r="P159" s="343">
        <v>391</v>
      </c>
      <c r="Q159" s="231"/>
      <c r="R159" s="343">
        <v>23114</v>
      </c>
      <c r="S159" s="343">
        <v>1443</v>
      </c>
      <c r="T159" s="343">
        <v>24557</v>
      </c>
    </row>
    <row r="160" spans="1:20">
      <c r="A160" s="349">
        <v>91211</v>
      </c>
      <c r="B160" s="342" t="s">
        <v>848</v>
      </c>
      <c r="C160" s="234">
        <v>4.4870000000000001E-4</v>
      </c>
      <c r="D160" s="234">
        <v>4.526E-4</v>
      </c>
      <c r="E160" s="343">
        <v>1225365</v>
      </c>
      <c r="F160" s="231"/>
      <c r="G160" s="343">
        <v>209813</v>
      </c>
      <c r="H160" s="343">
        <v>29888</v>
      </c>
      <c r="I160" s="343">
        <v>199714</v>
      </c>
      <c r="J160" s="343">
        <v>2140</v>
      </c>
      <c r="K160" s="343">
        <v>441555</v>
      </c>
      <c r="L160" s="231"/>
      <c r="M160" s="343">
        <v>0</v>
      </c>
      <c r="N160" s="343">
        <v>0</v>
      </c>
      <c r="O160" s="343">
        <v>30724</v>
      </c>
      <c r="P160" s="343">
        <v>30724</v>
      </c>
      <c r="Q160" s="231"/>
      <c r="R160" s="343">
        <v>545849</v>
      </c>
      <c r="S160" s="343">
        <v>-8662</v>
      </c>
      <c r="T160" s="343">
        <v>537187</v>
      </c>
    </row>
    <row r="161" spans="1:20" s="359" customFormat="1">
      <c r="A161" s="349">
        <v>91213</v>
      </c>
      <c r="B161" s="342" t="s">
        <v>849</v>
      </c>
      <c r="C161" s="234">
        <v>2.9200000000000002E-5</v>
      </c>
      <c r="D161" s="234">
        <v>2.4700000000000001E-5</v>
      </c>
      <c r="E161" s="343">
        <v>79743</v>
      </c>
      <c r="F161" s="231"/>
      <c r="G161" s="343">
        <v>13654</v>
      </c>
      <c r="H161" s="343">
        <v>1945</v>
      </c>
      <c r="I161" s="343">
        <v>12997</v>
      </c>
      <c r="J161" s="343">
        <v>2582</v>
      </c>
      <c r="K161" s="343">
        <v>31178</v>
      </c>
      <c r="L161" s="231"/>
      <c r="M161" s="343">
        <v>0</v>
      </c>
      <c r="N161" s="343">
        <v>0</v>
      </c>
      <c r="O161" s="343">
        <v>7181</v>
      </c>
      <c r="P161" s="343">
        <v>7181</v>
      </c>
      <c r="Q161" s="231"/>
      <c r="R161" s="343">
        <v>35522</v>
      </c>
      <c r="S161" s="343">
        <v>-3069</v>
      </c>
      <c r="T161" s="343">
        <v>32453</v>
      </c>
    </row>
    <row r="162" spans="1:20">
      <c r="A162" s="349">
        <v>91214</v>
      </c>
      <c r="B162" s="342" t="s">
        <v>850</v>
      </c>
      <c r="C162" s="234">
        <v>3.5800000000000003E-5</v>
      </c>
      <c r="D162" s="234">
        <v>3.0499999999999999E-5</v>
      </c>
      <c r="E162" s="343">
        <v>97767</v>
      </c>
      <c r="F162" s="231"/>
      <c r="G162" s="343">
        <v>16740</v>
      </c>
      <c r="H162" s="343">
        <v>2385</v>
      </c>
      <c r="I162" s="343">
        <v>15934</v>
      </c>
      <c r="J162" s="343">
        <v>616</v>
      </c>
      <c r="K162" s="343">
        <v>35675</v>
      </c>
      <c r="L162" s="231"/>
      <c r="M162" s="343">
        <v>0</v>
      </c>
      <c r="N162" s="343">
        <v>0</v>
      </c>
      <c r="O162" s="343">
        <v>2786</v>
      </c>
      <c r="P162" s="343">
        <v>2786</v>
      </c>
      <c r="Q162" s="231"/>
      <c r="R162" s="343">
        <v>43551</v>
      </c>
      <c r="S162" s="343">
        <v>-780</v>
      </c>
      <c r="T162" s="343">
        <v>42771</v>
      </c>
    </row>
    <row r="163" spans="1:20">
      <c r="A163" s="349">
        <v>91217</v>
      </c>
      <c r="B163" s="342" t="s">
        <v>851</v>
      </c>
      <c r="C163" s="234">
        <v>2.0400000000000001E-5</v>
      </c>
      <c r="D163" s="234">
        <v>1.77E-5</v>
      </c>
      <c r="E163" s="343">
        <v>55711</v>
      </c>
      <c r="F163" s="231"/>
      <c r="G163" s="343">
        <v>9539</v>
      </c>
      <c r="H163" s="343">
        <v>1359</v>
      </c>
      <c r="I163" s="343">
        <v>9080</v>
      </c>
      <c r="J163" s="343">
        <v>10923</v>
      </c>
      <c r="K163" s="343">
        <v>30901</v>
      </c>
      <c r="L163" s="231"/>
      <c r="M163" s="343">
        <v>0</v>
      </c>
      <c r="N163" s="343">
        <v>0</v>
      </c>
      <c r="O163" s="343">
        <v>2432</v>
      </c>
      <c r="P163" s="343">
        <v>2432</v>
      </c>
      <c r="Q163" s="231"/>
      <c r="R163" s="343">
        <v>24817</v>
      </c>
      <c r="S163" s="343">
        <v>4556</v>
      </c>
      <c r="T163" s="343">
        <v>29373</v>
      </c>
    </row>
    <row r="164" spans="1:20">
      <c r="A164" s="349">
        <v>91221</v>
      </c>
      <c r="B164" s="342" t="s">
        <v>852</v>
      </c>
      <c r="C164" s="234">
        <v>1.099E-4</v>
      </c>
      <c r="D164" s="234">
        <v>1.2329999999999999E-4</v>
      </c>
      <c r="E164" s="343">
        <v>300128</v>
      </c>
      <c r="F164" s="231"/>
      <c r="G164" s="343">
        <v>51390</v>
      </c>
      <c r="H164" s="343">
        <v>7321</v>
      </c>
      <c r="I164" s="343">
        <v>48916</v>
      </c>
      <c r="J164" s="343">
        <v>654</v>
      </c>
      <c r="K164" s="343">
        <v>108281</v>
      </c>
      <c r="L164" s="231"/>
      <c r="M164" s="343">
        <v>0</v>
      </c>
      <c r="N164" s="343">
        <v>0</v>
      </c>
      <c r="O164" s="343">
        <v>20665</v>
      </c>
      <c r="P164" s="343">
        <v>20665</v>
      </c>
      <c r="Q164" s="231"/>
      <c r="R164" s="343">
        <v>133695</v>
      </c>
      <c r="S164" s="343">
        <v>-7573</v>
      </c>
      <c r="T164" s="343">
        <v>126122</v>
      </c>
    </row>
    <row r="165" spans="1:20">
      <c r="A165" s="349">
        <v>91231</v>
      </c>
      <c r="B165" s="342" t="s">
        <v>853</v>
      </c>
      <c r="C165" s="234">
        <v>1.8722999999999999E-3</v>
      </c>
      <c r="D165" s="234">
        <v>1.8527000000000001E-3</v>
      </c>
      <c r="E165" s="343">
        <v>5113105</v>
      </c>
      <c r="F165" s="231"/>
      <c r="G165" s="343">
        <v>875493</v>
      </c>
      <c r="H165" s="343">
        <v>124716</v>
      </c>
      <c r="I165" s="343">
        <v>833351</v>
      </c>
      <c r="J165" s="343">
        <v>18006</v>
      </c>
      <c r="K165" s="343">
        <v>1851566</v>
      </c>
      <c r="L165" s="231"/>
      <c r="M165" s="343">
        <v>0</v>
      </c>
      <c r="N165" s="343">
        <v>0</v>
      </c>
      <c r="O165" s="343">
        <v>66031</v>
      </c>
      <c r="P165" s="343">
        <v>66031</v>
      </c>
      <c r="Q165" s="231"/>
      <c r="R165" s="343">
        <v>2277677</v>
      </c>
      <c r="S165" s="343">
        <v>-42184</v>
      </c>
      <c r="T165" s="343">
        <v>2235493</v>
      </c>
    </row>
    <row r="166" spans="1:20">
      <c r="A166" s="349">
        <v>91233</v>
      </c>
      <c r="B166" s="342" t="s">
        <v>854</v>
      </c>
      <c r="C166" s="234">
        <v>6.1699999999999995E-5</v>
      </c>
      <c r="D166" s="234">
        <v>5.3499999999999999E-5</v>
      </c>
      <c r="E166" s="343">
        <v>168498</v>
      </c>
      <c r="F166" s="231"/>
      <c r="G166" s="343">
        <v>28851</v>
      </c>
      <c r="H166" s="343">
        <v>4110</v>
      </c>
      <c r="I166" s="343">
        <v>27462</v>
      </c>
      <c r="J166" s="343">
        <v>7267</v>
      </c>
      <c r="K166" s="343">
        <v>67690</v>
      </c>
      <c r="L166" s="231"/>
      <c r="M166" s="343">
        <v>0</v>
      </c>
      <c r="N166" s="343">
        <v>0</v>
      </c>
      <c r="O166" s="343">
        <v>4782</v>
      </c>
      <c r="P166" s="343">
        <v>4782</v>
      </c>
      <c r="Q166" s="231"/>
      <c r="R166" s="343">
        <v>75059</v>
      </c>
      <c r="S166" s="343">
        <v>2602</v>
      </c>
      <c r="T166" s="343">
        <v>77661</v>
      </c>
    </row>
    <row r="167" spans="1:20">
      <c r="A167" s="349">
        <v>91241</v>
      </c>
      <c r="B167" s="342" t="s">
        <v>855</v>
      </c>
      <c r="C167" s="234">
        <v>5.3499999999999999E-5</v>
      </c>
      <c r="D167" s="234">
        <v>4.3099999999999997E-5</v>
      </c>
      <c r="E167" s="343">
        <v>146104</v>
      </c>
      <c r="F167" s="231"/>
      <c r="G167" s="343">
        <v>25017</v>
      </c>
      <c r="H167" s="343">
        <v>3563</v>
      </c>
      <c r="I167" s="343">
        <v>23813</v>
      </c>
      <c r="J167" s="343">
        <v>10739</v>
      </c>
      <c r="K167" s="343">
        <v>63132</v>
      </c>
      <c r="L167" s="231"/>
      <c r="M167" s="343">
        <v>0</v>
      </c>
      <c r="N167" s="343">
        <v>0</v>
      </c>
      <c r="O167" s="343">
        <v>757</v>
      </c>
      <c r="P167" s="343">
        <v>757</v>
      </c>
      <c r="Q167" s="231"/>
      <c r="R167" s="343">
        <v>65083</v>
      </c>
      <c r="S167" s="343">
        <v>2335</v>
      </c>
      <c r="T167" s="343">
        <v>67418</v>
      </c>
    </row>
    <row r="168" spans="1:20">
      <c r="A168" s="349">
        <v>91251</v>
      </c>
      <c r="B168" s="342" t="s">
        <v>856</v>
      </c>
      <c r="C168" s="234">
        <v>2.0000000000000002E-5</v>
      </c>
      <c r="D168" s="234">
        <v>2.9499999999999999E-5</v>
      </c>
      <c r="E168" s="343">
        <v>54618</v>
      </c>
      <c r="F168" s="231"/>
      <c r="G168" s="343">
        <v>9352</v>
      </c>
      <c r="H168" s="343">
        <v>1333</v>
      </c>
      <c r="I168" s="343">
        <v>8902</v>
      </c>
      <c r="J168" s="343">
        <v>6811</v>
      </c>
      <c r="K168" s="343">
        <v>26398</v>
      </c>
      <c r="L168" s="231"/>
      <c r="M168" s="343">
        <v>0</v>
      </c>
      <c r="N168" s="343">
        <v>0</v>
      </c>
      <c r="O168" s="343">
        <v>8749</v>
      </c>
      <c r="P168" s="343">
        <v>8749</v>
      </c>
      <c r="Q168" s="231"/>
      <c r="R168" s="343">
        <v>24330</v>
      </c>
      <c r="S168" s="343">
        <v>-538</v>
      </c>
      <c r="T168" s="343">
        <v>23792</v>
      </c>
    </row>
    <row r="169" spans="1:20">
      <c r="A169" s="349">
        <v>91261</v>
      </c>
      <c r="B169" s="342" t="s">
        <v>857</v>
      </c>
      <c r="C169" s="234">
        <v>9.7000000000000003E-6</v>
      </c>
      <c r="D169" s="234">
        <v>1.06E-5</v>
      </c>
      <c r="E169" s="343">
        <v>26490</v>
      </c>
      <c r="F169" s="231"/>
      <c r="G169" s="343">
        <v>4536</v>
      </c>
      <c r="H169" s="343">
        <v>646</v>
      </c>
      <c r="I169" s="343">
        <v>4317</v>
      </c>
      <c r="J169" s="343">
        <v>369</v>
      </c>
      <c r="K169" s="343">
        <v>9868</v>
      </c>
      <c r="L169" s="231"/>
      <c r="M169" s="343">
        <v>0</v>
      </c>
      <c r="N169" s="343">
        <v>0</v>
      </c>
      <c r="O169" s="343">
        <v>1669</v>
      </c>
      <c r="P169" s="343">
        <v>1669</v>
      </c>
      <c r="Q169" s="231"/>
      <c r="R169" s="343">
        <v>11800</v>
      </c>
      <c r="S169" s="343">
        <v>153</v>
      </c>
      <c r="T169" s="343">
        <v>11953</v>
      </c>
    </row>
    <row r="170" spans="1:20">
      <c r="A170" s="349">
        <v>91301</v>
      </c>
      <c r="B170" s="342" t="s">
        <v>858</v>
      </c>
      <c r="C170" s="234">
        <v>7.9497999999999999E-3</v>
      </c>
      <c r="D170" s="234">
        <v>7.7812000000000003E-3</v>
      </c>
      <c r="E170" s="343">
        <v>21710284</v>
      </c>
      <c r="F170" s="231"/>
      <c r="G170" s="343">
        <v>3717350</v>
      </c>
      <c r="H170" s="343">
        <v>529544</v>
      </c>
      <c r="I170" s="343">
        <v>3538416</v>
      </c>
      <c r="J170" s="343">
        <v>36295</v>
      </c>
      <c r="K170" s="343">
        <v>7821605</v>
      </c>
      <c r="L170" s="231"/>
      <c r="M170" s="343">
        <v>0</v>
      </c>
      <c r="N170" s="343">
        <v>0</v>
      </c>
      <c r="O170" s="343">
        <v>128256</v>
      </c>
      <c r="P170" s="343">
        <v>128256</v>
      </c>
      <c r="Q170" s="231"/>
      <c r="R170" s="343">
        <v>9671035</v>
      </c>
      <c r="S170" s="343">
        <v>-81376</v>
      </c>
      <c r="T170" s="343">
        <v>9589659</v>
      </c>
    </row>
    <row r="171" spans="1:20">
      <c r="A171" s="349">
        <v>91302</v>
      </c>
      <c r="B171" s="342" t="s">
        <v>3652</v>
      </c>
      <c r="C171" s="234">
        <v>5.354E-4</v>
      </c>
      <c r="D171" s="234">
        <v>5.4440000000000001E-4</v>
      </c>
      <c r="E171" s="343">
        <v>1462136</v>
      </c>
      <c r="F171" s="231"/>
      <c r="G171" s="343">
        <v>250355</v>
      </c>
      <c r="H171" s="343">
        <v>35664</v>
      </c>
      <c r="I171" s="343">
        <v>238304</v>
      </c>
      <c r="J171" s="343">
        <v>990</v>
      </c>
      <c r="K171" s="343">
        <v>525313</v>
      </c>
      <c r="L171" s="231"/>
      <c r="M171" s="343">
        <v>0</v>
      </c>
      <c r="N171" s="343">
        <v>0</v>
      </c>
      <c r="O171" s="343">
        <v>50684</v>
      </c>
      <c r="P171" s="343">
        <v>50684</v>
      </c>
      <c r="Q171" s="231"/>
      <c r="R171" s="343">
        <v>651321</v>
      </c>
      <c r="S171" s="343">
        <v>-4776</v>
      </c>
      <c r="T171" s="343">
        <v>646545</v>
      </c>
    </row>
    <row r="172" spans="1:20">
      <c r="A172" s="349">
        <v>91306</v>
      </c>
      <c r="B172" s="342" t="s">
        <v>2775</v>
      </c>
      <c r="C172" s="234">
        <v>1.8244999999999999E-3</v>
      </c>
      <c r="D172" s="234">
        <v>1.8347000000000001E-3</v>
      </c>
      <c r="E172" s="343">
        <v>4982567</v>
      </c>
      <c r="F172" s="231"/>
      <c r="G172" s="343">
        <v>853142</v>
      </c>
      <c r="H172" s="343">
        <v>121531</v>
      </c>
      <c r="I172" s="343">
        <v>812076</v>
      </c>
      <c r="J172" s="343">
        <v>128481</v>
      </c>
      <c r="K172" s="343">
        <v>1915230</v>
      </c>
      <c r="L172" s="231"/>
      <c r="M172" s="343">
        <v>0</v>
      </c>
      <c r="N172" s="343">
        <v>0</v>
      </c>
      <c r="O172" s="343">
        <v>8842</v>
      </c>
      <c r="P172" s="343">
        <v>8842</v>
      </c>
      <c r="Q172" s="231"/>
      <c r="R172" s="343">
        <v>2219528</v>
      </c>
      <c r="S172" s="343">
        <v>72569</v>
      </c>
      <c r="T172" s="343">
        <v>2292097</v>
      </c>
    </row>
    <row r="173" spans="1:20">
      <c r="A173" s="349">
        <v>91308</v>
      </c>
      <c r="B173" s="342" t="s">
        <v>861</v>
      </c>
      <c r="C173" s="234">
        <v>1.7009999999999999E-4</v>
      </c>
      <c r="D173" s="234">
        <v>1.7149999999999999E-4</v>
      </c>
      <c r="E173" s="343">
        <v>464530</v>
      </c>
      <c r="F173" s="231"/>
      <c r="G173" s="343">
        <v>79539</v>
      </c>
      <c r="H173" s="343">
        <v>11330</v>
      </c>
      <c r="I173" s="343">
        <v>75711</v>
      </c>
      <c r="J173" s="343">
        <v>54</v>
      </c>
      <c r="K173" s="343">
        <v>166634</v>
      </c>
      <c r="L173" s="231"/>
      <c r="M173" s="343">
        <v>0</v>
      </c>
      <c r="N173" s="343">
        <v>0</v>
      </c>
      <c r="O173" s="343">
        <v>16458</v>
      </c>
      <c r="P173" s="343">
        <v>16458</v>
      </c>
      <c r="Q173" s="231"/>
      <c r="R173" s="343">
        <v>206929</v>
      </c>
      <c r="S173" s="343">
        <v>-7994</v>
      </c>
      <c r="T173" s="343">
        <v>198935</v>
      </c>
    </row>
    <row r="174" spans="1:20">
      <c r="A174" s="349">
        <v>91311</v>
      </c>
      <c r="B174" s="342" t="s">
        <v>862</v>
      </c>
      <c r="C174" s="234">
        <v>7.9030000000000003E-3</v>
      </c>
      <c r="D174" s="234">
        <v>7.7199E-3</v>
      </c>
      <c r="E174" s="343">
        <v>21582477</v>
      </c>
      <c r="F174" s="231"/>
      <c r="G174" s="343">
        <v>3695467</v>
      </c>
      <c r="H174" s="343">
        <v>526426</v>
      </c>
      <c r="I174" s="343">
        <v>3517586</v>
      </c>
      <c r="J174" s="343">
        <v>82171</v>
      </c>
      <c r="K174" s="343">
        <v>7821650</v>
      </c>
      <c r="L174" s="231"/>
      <c r="M174" s="343">
        <v>0</v>
      </c>
      <c r="N174" s="343">
        <v>0</v>
      </c>
      <c r="O174" s="343">
        <v>216662</v>
      </c>
      <c r="P174" s="343">
        <v>216662</v>
      </c>
      <c r="Q174" s="231"/>
      <c r="R174" s="343">
        <v>9614102</v>
      </c>
      <c r="S174" s="343">
        <v>-91910</v>
      </c>
      <c r="T174" s="343">
        <v>9522192</v>
      </c>
    </row>
    <row r="175" spans="1:20">
      <c r="A175" s="349">
        <v>91317</v>
      </c>
      <c r="B175" s="342" t="s">
        <v>863</v>
      </c>
      <c r="C175" s="234">
        <v>1.015E-4</v>
      </c>
      <c r="D175" s="234">
        <v>1.004E-4</v>
      </c>
      <c r="E175" s="343">
        <v>277189</v>
      </c>
      <c r="F175" s="231"/>
      <c r="G175" s="343">
        <v>47462</v>
      </c>
      <c r="H175" s="343">
        <v>6761</v>
      </c>
      <c r="I175" s="343">
        <v>45177</v>
      </c>
      <c r="J175" s="343">
        <v>18241</v>
      </c>
      <c r="K175" s="343">
        <v>117641</v>
      </c>
      <c r="L175" s="231"/>
      <c r="M175" s="343">
        <v>0</v>
      </c>
      <c r="N175" s="343">
        <v>0</v>
      </c>
      <c r="O175" s="343">
        <v>279</v>
      </c>
      <c r="P175" s="343">
        <v>279</v>
      </c>
      <c r="Q175" s="231"/>
      <c r="R175" s="343">
        <v>123476</v>
      </c>
      <c r="S175" s="343">
        <v>6895</v>
      </c>
      <c r="T175" s="343">
        <v>130371</v>
      </c>
    </row>
    <row r="176" spans="1:20">
      <c r="A176" s="349">
        <v>91321</v>
      </c>
      <c r="B176" s="342" t="s">
        <v>864</v>
      </c>
      <c r="C176" s="234">
        <v>5.3600000000000002E-5</v>
      </c>
      <c r="D176" s="234">
        <v>4.5899999999999998E-5</v>
      </c>
      <c r="E176" s="343">
        <v>146377</v>
      </c>
      <c r="F176" s="231"/>
      <c r="G176" s="343">
        <v>25064</v>
      </c>
      <c r="H176" s="343">
        <v>3570</v>
      </c>
      <c r="I176" s="343">
        <v>23857</v>
      </c>
      <c r="J176" s="343">
        <v>48416</v>
      </c>
      <c r="K176" s="343">
        <v>100907</v>
      </c>
      <c r="L176" s="231"/>
      <c r="M176" s="343">
        <v>0</v>
      </c>
      <c r="N176" s="343">
        <v>0</v>
      </c>
      <c r="O176" s="343">
        <v>0</v>
      </c>
      <c r="P176" s="343">
        <v>0</v>
      </c>
      <c r="Q176" s="231"/>
      <c r="R176" s="343">
        <v>65205</v>
      </c>
      <c r="S176" s="343">
        <v>14649</v>
      </c>
      <c r="T176" s="343">
        <v>79854</v>
      </c>
    </row>
    <row r="177" spans="1:20">
      <c r="A177" s="349">
        <v>91327</v>
      </c>
      <c r="B177" s="342" t="s">
        <v>3499</v>
      </c>
      <c r="C177" s="234">
        <v>1.0900000000000001E-5</v>
      </c>
      <c r="D177" s="234">
        <v>7.7000000000000008E-6</v>
      </c>
      <c r="E177" s="343">
        <v>29767</v>
      </c>
      <c r="F177" s="231"/>
      <c r="G177" s="343">
        <v>5097</v>
      </c>
      <c r="H177" s="343">
        <v>726</v>
      </c>
      <c r="I177" s="343">
        <v>4852</v>
      </c>
      <c r="J177" s="343">
        <v>3160</v>
      </c>
      <c r="K177" s="343">
        <v>13835</v>
      </c>
      <c r="L177" s="231"/>
      <c r="M177" s="343">
        <v>0</v>
      </c>
      <c r="N177" s="343">
        <v>0</v>
      </c>
      <c r="O177" s="343">
        <v>553</v>
      </c>
      <c r="P177" s="343">
        <v>553</v>
      </c>
      <c r="Q177" s="231"/>
      <c r="R177" s="343">
        <v>13260</v>
      </c>
      <c r="S177" s="343">
        <v>331</v>
      </c>
      <c r="T177" s="343">
        <v>13591</v>
      </c>
    </row>
    <row r="178" spans="1:20">
      <c r="A178" s="349">
        <v>91331</v>
      </c>
      <c r="B178" s="342" t="s">
        <v>866</v>
      </c>
      <c r="C178" s="234">
        <v>2.9286E-3</v>
      </c>
      <c r="D178" s="234">
        <v>3.0000000000000001E-3</v>
      </c>
      <c r="E178" s="343">
        <v>7997778</v>
      </c>
      <c r="F178" s="231"/>
      <c r="G178" s="343">
        <v>1369422</v>
      </c>
      <c r="H178" s="343">
        <v>195077</v>
      </c>
      <c r="I178" s="343">
        <v>1303505</v>
      </c>
      <c r="J178" s="343">
        <v>0</v>
      </c>
      <c r="K178" s="343">
        <v>2868004</v>
      </c>
      <c r="L178" s="231"/>
      <c r="M178" s="343">
        <v>0</v>
      </c>
      <c r="N178" s="343">
        <v>0</v>
      </c>
      <c r="O178" s="343">
        <v>337473</v>
      </c>
      <c r="P178" s="343">
        <v>337473</v>
      </c>
      <c r="Q178" s="231"/>
      <c r="R178" s="343">
        <v>3562680</v>
      </c>
      <c r="S178" s="343">
        <v>-173864</v>
      </c>
      <c r="T178" s="343">
        <v>3388816</v>
      </c>
    </row>
    <row r="179" spans="1:20">
      <c r="A179" s="349">
        <v>91341</v>
      </c>
      <c r="B179" s="342" t="s">
        <v>867</v>
      </c>
      <c r="C179" s="234">
        <v>3.79E-5</v>
      </c>
      <c r="D179" s="234">
        <v>2.44E-5</v>
      </c>
      <c r="E179" s="343">
        <v>103502</v>
      </c>
      <c r="F179" s="231"/>
      <c r="G179" s="343">
        <v>17722</v>
      </c>
      <c r="H179" s="343">
        <v>2524</v>
      </c>
      <c r="I179" s="343">
        <v>16869</v>
      </c>
      <c r="J179" s="343">
        <v>12871</v>
      </c>
      <c r="K179" s="343">
        <v>49986</v>
      </c>
      <c r="L179" s="231"/>
      <c r="M179" s="343">
        <v>0</v>
      </c>
      <c r="N179" s="343">
        <v>0</v>
      </c>
      <c r="O179" s="343">
        <v>529</v>
      </c>
      <c r="P179" s="343">
        <v>529</v>
      </c>
      <c r="Q179" s="231"/>
      <c r="R179" s="343">
        <v>46106</v>
      </c>
      <c r="S179" s="343">
        <v>3405</v>
      </c>
      <c r="T179" s="343">
        <v>49511</v>
      </c>
    </row>
    <row r="180" spans="1:20">
      <c r="A180" s="349">
        <v>91401</v>
      </c>
      <c r="B180" s="342" t="s">
        <v>868</v>
      </c>
      <c r="C180" s="234">
        <v>3.3915999999999998E-3</v>
      </c>
      <c r="D180" s="234">
        <v>3.5492000000000002E-3</v>
      </c>
      <c r="E180" s="343">
        <v>9262195</v>
      </c>
      <c r="F180" s="231"/>
      <c r="G180" s="343">
        <v>1585922</v>
      </c>
      <c r="H180" s="343">
        <v>225917</v>
      </c>
      <c r="I180" s="343">
        <v>1509584</v>
      </c>
      <c r="J180" s="343">
        <v>0</v>
      </c>
      <c r="K180" s="343">
        <v>3321423</v>
      </c>
      <c r="L180" s="231"/>
      <c r="M180" s="343">
        <v>0</v>
      </c>
      <c r="N180" s="343">
        <v>0</v>
      </c>
      <c r="O180" s="343">
        <v>224703</v>
      </c>
      <c r="P180" s="343">
        <v>224703</v>
      </c>
      <c r="Q180" s="231"/>
      <c r="R180" s="343">
        <v>4125925</v>
      </c>
      <c r="S180" s="343">
        <v>-76492</v>
      </c>
      <c r="T180" s="343">
        <v>4049433</v>
      </c>
    </row>
    <row r="181" spans="1:20">
      <c r="A181" s="349">
        <v>91411</v>
      </c>
      <c r="B181" s="342" t="s">
        <v>869</v>
      </c>
      <c r="C181" s="234">
        <v>3.9639999999999999E-4</v>
      </c>
      <c r="D181" s="234">
        <v>3.8479999999999997E-4</v>
      </c>
      <c r="E181" s="343">
        <v>1082537</v>
      </c>
      <c r="F181" s="231"/>
      <c r="G181" s="343">
        <v>185358</v>
      </c>
      <c r="H181" s="343">
        <v>26404</v>
      </c>
      <c r="I181" s="343">
        <v>176436</v>
      </c>
      <c r="J181" s="343">
        <v>12845</v>
      </c>
      <c r="K181" s="343">
        <v>401043</v>
      </c>
      <c r="L181" s="231"/>
      <c r="M181" s="343">
        <v>0</v>
      </c>
      <c r="N181" s="343">
        <v>0</v>
      </c>
      <c r="O181" s="343">
        <v>0</v>
      </c>
      <c r="P181" s="343">
        <v>0</v>
      </c>
      <c r="Q181" s="231"/>
      <c r="R181" s="343">
        <v>482226</v>
      </c>
      <c r="S181" s="343">
        <v>9667</v>
      </c>
      <c r="T181" s="343">
        <v>491893</v>
      </c>
    </row>
    <row r="182" spans="1:20">
      <c r="A182" s="349">
        <v>91417</v>
      </c>
      <c r="B182" s="342" t="s">
        <v>870</v>
      </c>
      <c r="C182" s="234">
        <v>7.3000000000000004E-6</v>
      </c>
      <c r="D182" s="234">
        <v>8.3999999999999992E-6</v>
      </c>
      <c r="E182" s="343">
        <v>19936</v>
      </c>
      <c r="F182" s="231"/>
      <c r="G182" s="343">
        <v>3414</v>
      </c>
      <c r="H182" s="343">
        <v>486</v>
      </c>
      <c r="I182" s="343">
        <v>3249</v>
      </c>
      <c r="J182" s="343">
        <v>1474</v>
      </c>
      <c r="K182" s="343">
        <v>8623</v>
      </c>
      <c r="L182" s="231"/>
      <c r="M182" s="343">
        <v>0</v>
      </c>
      <c r="N182" s="343">
        <v>0</v>
      </c>
      <c r="O182" s="343">
        <v>0</v>
      </c>
      <c r="P182" s="343">
        <v>0</v>
      </c>
      <c r="Q182" s="231"/>
      <c r="R182" s="343">
        <v>8881</v>
      </c>
      <c r="S182" s="343">
        <v>644</v>
      </c>
      <c r="T182" s="343">
        <v>9525</v>
      </c>
    </row>
    <row r="183" spans="1:20">
      <c r="A183" s="349">
        <v>91421</v>
      </c>
      <c r="B183" s="342" t="s">
        <v>871</v>
      </c>
      <c r="C183" s="234">
        <v>6.69E-5</v>
      </c>
      <c r="D183" s="234">
        <v>7.2299999999999996E-5</v>
      </c>
      <c r="E183" s="343">
        <v>182699</v>
      </c>
      <c r="F183" s="231"/>
      <c r="G183" s="343">
        <v>31283</v>
      </c>
      <c r="H183" s="343">
        <v>4456</v>
      </c>
      <c r="I183" s="343">
        <v>29777</v>
      </c>
      <c r="J183" s="343">
        <v>5107</v>
      </c>
      <c r="K183" s="343">
        <v>70623</v>
      </c>
      <c r="L183" s="231"/>
      <c r="M183" s="343">
        <v>0</v>
      </c>
      <c r="N183" s="343">
        <v>0</v>
      </c>
      <c r="O183" s="343">
        <v>644</v>
      </c>
      <c r="P183" s="343">
        <v>644</v>
      </c>
      <c r="Q183" s="231"/>
      <c r="R183" s="343">
        <v>81385</v>
      </c>
      <c r="S183" s="343">
        <v>414</v>
      </c>
      <c r="T183" s="343">
        <v>81799</v>
      </c>
    </row>
    <row r="184" spans="1:20">
      <c r="A184" s="349">
        <v>91423</v>
      </c>
      <c r="B184" s="342" t="s">
        <v>872</v>
      </c>
      <c r="C184" s="234">
        <v>5.2899999999999998E-5</v>
      </c>
      <c r="D184" s="234">
        <v>4.88E-5</v>
      </c>
      <c r="E184" s="343">
        <v>144466</v>
      </c>
      <c r="F184" s="231"/>
      <c r="G184" s="343">
        <v>24736</v>
      </c>
      <c r="H184" s="343">
        <v>3524</v>
      </c>
      <c r="I184" s="343">
        <v>23546</v>
      </c>
      <c r="J184" s="343">
        <v>4469</v>
      </c>
      <c r="K184" s="343">
        <v>56275</v>
      </c>
      <c r="L184" s="231"/>
      <c r="M184" s="343">
        <v>0</v>
      </c>
      <c r="N184" s="343">
        <v>0</v>
      </c>
      <c r="O184" s="343">
        <v>5138</v>
      </c>
      <c r="P184" s="343">
        <v>5138</v>
      </c>
      <c r="Q184" s="231"/>
      <c r="R184" s="343">
        <v>64354</v>
      </c>
      <c r="S184" s="343">
        <v>3157</v>
      </c>
      <c r="T184" s="343">
        <v>67511</v>
      </c>
    </row>
    <row r="185" spans="1:20">
      <c r="A185" s="349">
        <v>91431</v>
      </c>
      <c r="B185" s="342" t="s">
        <v>873</v>
      </c>
      <c r="C185" s="234">
        <v>1.819E-4</v>
      </c>
      <c r="D185" s="234">
        <v>1.6229999999999999E-4</v>
      </c>
      <c r="E185" s="343">
        <v>496755</v>
      </c>
      <c r="F185" s="231"/>
      <c r="G185" s="343">
        <v>85057</v>
      </c>
      <c r="H185" s="343">
        <v>12117</v>
      </c>
      <c r="I185" s="343">
        <v>80963</v>
      </c>
      <c r="J185" s="343">
        <v>35128</v>
      </c>
      <c r="K185" s="343">
        <v>213265</v>
      </c>
      <c r="L185" s="231"/>
      <c r="M185" s="343">
        <v>0</v>
      </c>
      <c r="N185" s="343">
        <v>0</v>
      </c>
      <c r="O185" s="343">
        <v>478</v>
      </c>
      <c r="P185" s="343">
        <v>478</v>
      </c>
      <c r="Q185" s="231"/>
      <c r="R185" s="343">
        <v>221284</v>
      </c>
      <c r="S185" s="343">
        <v>11541</v>
      </c>
      <c r="T185" s="343">
        <v>232825</v>
      </c>
    </row>
    <row r="186" spans="1:20">
      <c r="A186" s="349">
        <v>91441</v>
      </c>
      <c r="B186" s="342" t="s">
        <v>874</v>
      </c>
      <c r="C186" s="234">
        <v>9.8020000000000008E-4</v>
      </c>
      <c r="D186" s="234">
        <v>9.4680000000000003E-4</v>
      </c>
      <c r="E186" s="343">
        <v>2676850</v>
      </c>
      <c r="F186" s="231"/>
      <c r="G186" s="343">
        <v>458344</v>
      </c>
      <c r="H186" s="343">
        <v>65292</v>
      </c>
      <c r="I186" s="343">
        <v>436282</v>
      </c>
      <c r="J186" s="343">
        <v>23476</v>
      </c>
      <c r="K186" s="343">
        <v>983394</v>
      </c>
      <c r="L186" s="231"/>
      <c r="M186" s="343">
        <v>0</v>
      </c>
      <c r="N186" s="343">
        <v>0</v>
      </c>
      <c r="O186" s="343">
        <v>162075</v>
      </c>
      <c r="P186" s="343">
        <v>162075</v>
      </c>
      <c r="Q186" s="231"/>
      <c r="R186" s="343">
        <v>1192426</v>
      </c>
      <c r="S186" s="343">
        <v>-63420</v>
      </c>
      <c r="T186" s="343">
        <v>1129006</v>
      </c>
    </row>
    <row r="187" spans="1:20">
      <c r="A187" s="349">
        <v>91451</v>
      </c>
      <c r="B187" s="342" t="s">
        <v>875</v>
      </c>
      <c r="C187" s="234">
        <v>1.5533999999999999E-3</v>
      </c>
      <c r="D187" s="234">
        <v>1.4832000000000001E-3</v>
      </c>
      <c r="E187" s="343">
        <v>4242214</v>
      </c>
      <c r="F187" s="231"/>
      <c r="G187" s="343">
        <v>726375</v>
      </c>
      <c r="H187" s="343">
        <v>103474</v>
      </c>
      <c r="I187" s="343">
        <v>691411</v>
      </c>
      <c r="J187" s="343">
        <v>33074</v>
      </c>
      <c r="K187" s="343">
        <v>1554334</v>
      </c>
      <c r="L187" s="231"/>
      <c r="M187" s="343">
        <v>0</v>
      </c>
      <c r="N187" s="343">
        <v>0</v>
      </c>
      <c r="O187" s="343">
        <v>57246</v>
      </c>
      <c r="P187" s="343">
        <v>57246</v>
      </c>
      <c r="Q187" s="231"/>
      <c r="R187" s="343">
        <v>1889731</v>
      </c>
      <c r="S187" s="343">
        <v>-49758</v>
      </c>
      <c r="T187" s="343">
        <v>1839973</v>
      </c>
    </row>
    <row r="188" spans="1:20">
      <c r="A188" s="349">
        <v>91457</v>
      </c>
      <c r="B188" s="342" t="s">
        <v>3653</v>
      </c>
      <c r="C188" s="234">
        <v>1.5500000000000001E-5</v>
      </c>
      <c r="D188" s="234">
        <v>2.2099999999999998E-5</v>
      </c>
      <c r="E188" s="343">
        <v>42329</v>
      </c>
      <c r="F188" s="231"/>
      <c r="G188" s="343">
        <v>7248</v>
      </c>
      <c r="H188" s="343">
        <v>1033</v>
      </c>
      <c r="I188" s="343">
        <v>6899</v>
      </c>
      <c r="J188" s="343">
        <v>33737</v>
      </c>
      <c r="K188" s="343">
        <v>48917</v>
      </c>
      <c r="L188" s="231"/>
      <c r="M188" s="343">
        <v>0</v>
      </c>
      <c r="N188" s="343">
        <v>0</v>
      </c>
      <c r="O188" s="343">
        <v>0</v>
      </c>
      <c r="P188" s="343">
        <v>0</v>
      </c>
      <c r="Q188" s="231"/>
      <c r="R188" s="343">
        <v>18856</v>
      </c>
      <c r="S188" s="343">
        <v>16875</v>
      </c>
      <c r="T188" s="343">
        <v>35731</v>
      </c>
    </row>
    <row r="189" spans="1:20">
      <c r="A189" s="349">
        <v>91461</v>
      </c>
      <c r="B189" s="342" t="s">
        <v>877</v>
      </c>
      <c r="C189" s="234">
        <v>9.5000000000000005E-6</v>
      </c>
      <c r="D189" s="234">
        <v>9.5999999999999996E-6</v>
      </c>
      <c r="E189" s="343">
        <v>25944</v>
      </c>
      <c r="F189" s="231"/>
      <c r="G189" s="343">
        <v>4442</v>
      </c>
      <c r="H189" s="343">
        <v>633</v>
      </c>
      <c r="I189" s="343">
        <v>4228</v>
      </c>
      <c r="J189" s="343">
        <v>123</v>
      </c>
      <c r="K189" s="343">
        <v>9426</v>
      </c>
      <c r="L189" s="231"/>
      <c r="M189" s="343">
        <v>0</v>
      </c>
      <c r="N189" s="343">
        <v>0</v>
      </c>
      <c r="O189" s="343">
        <v>2588</v>
      </c>
      <c r="P189" s="343">
        <v>2588</v>
      </c>
      <c r="Q189" s="231"/>
      <c r="R189" s="343">
        <v>11557</v>
      </c>
      <c r="S189" s="343">
        <v>32</v>
      </c>
      <c r="T189" s="343">
        <v>11589</v>
      </c>
    </row>
    <row r="190" spans="1:20">
      <c r="A190" s="349">
        <v>91501</v>
      </c>
      <c r="B190" s="342" t="s">
        <v>878</v>
      </c>
      <c r="C190" s="234">
        <v>5.1179999999999997E-4</v>
      </c>
      <c r="D190" s="234">
        <v>4.6460000000000002E-4</v>
      </c>
      <c r="E190" s="343">
        <v>1397686</v>
      </c>
      <c r="F190" s="231"/>
      <c r="G190" s="343">
        <v>239319</v>
      </c>
      <c r="H190" s="343">
        <v>34092</v>
      </c>
      <c r="I190" s="343">
        <v>227800</v>
      </c>
      <c r="J190" s="343">
        <v>32151</v>
      </c>
      <c r="K190" s="343">
        <v>533362</v>
      </c>
      <c r="L190" s="231"/>
      <c r="M190" s="343">
        <v>0</v>
      </c>
      <c r="N190" s="343">
        <v>0</v>
      </c>
      <c r="O190" s="343">
        <v>15090</v>
      </c>
      <c r="P190" s="343">
        <v>15090</v>
      </c>
      <c r="Q190" s="231"/>
      <c r="R190" s="343">
        <v>622611</v>
      </c>
      <c r="S190" s="343">
        <v>6590</v>
      </c>
      <c r="T190" s="343">
        <v>629201</v>
      </c>
    </row>
    <row r="191" spans="1:20">
      <c r="A191" s="349">
        <v>91504</v>
      </c>
      <c r="B191" s="342" t="s">
        <v>879</v>
      </c>
      <c r="C191" s="234">
        <v>8.3999999999999992E-6</v>
      </c>
      <c r="D191" s="234">
        <v>9.7999999999999993E-6</v>
      </c>
      <c r="E191" s="343">
        <v>22940</v>
      </c>
      <c r="F191" s="231"/>
      <c r="G191" s="343">
        <v>3928</v>
      </c>
      <c r="H191" s="343">
        <v>559</v>
      </c>
      <c r="I191" s="343">
        <v>3739</v>
      </c>
      <c r="J191" s="343">
        <v>3458</v>
      </c>
      <c r="K191" s="343">
        <v>11684</v>
      </c>
      <c r="L191" s="231"/>
      <c r="M191" s="343">
        <v>0</v>
      </c>
      <c r="N191" s="343">
        <v>0</v>
      </c>
      <c r="O191" s="343">
        <v>0</v>
      </c>
      <c r="P191" s="343">
        <v>0</v>
      </c>
      <c r="Q191" s="231"/>
      <c r="R191" s="343">
        <v>10219</v>
      </c>
      <c r="S191" s="343">
        <v>2720</v>
      </c>
      <c r="T191" s="343">
        <v>12939</v>
      </c>
    </row>
    <row r="192" spans="1:20">
      <c r="A192" s="349">
        <v>91601</v>
      </c>
      <c r="B192" s="342" t="s">
        <v>880</v>
      </c>
      <c r="C192" s="234">
        <v>3.0071E-3</v>
      </c>
      <c r="D192" s="234">
        <v>2.7648E-3</v>
      </c>
      <c r="E192" s="343">
        <v>8212156</v>
      </c>
      <c r="F192" s="231"/>
      <c r="G192" s="343">
        <v>1406129</v>
      </c>
      <c r="H192" s="343">
        <v>200306</v>
      </c>
      <c r="I192" s="343">
        <v>1338445</v>
      </c>
      <c r="J192" s="343">
        <v>259180</v>
      </c>
      <c r="K192" s="343">
        <v>3204060</v>
      </c>
      <c r="L192" s="231"/>
      <c r="M192" s="343">
        <v>0</v>
      </c>
      <c r="N192" s="343">
        <v>0</v>
      </c>
      <c r="O192" s="343">
        <v>20183</v>
      </c>
      <c r="P192" s="343">
        <v>20183</v>
      </c>
      <c r="Q192" s="231"/>
      <c r="R192" s="343">
        <v>3658176</v>
      </c>
      <c r="S192" s="343">
        <v>98841</v>
      </c>
      <c r="T192" s="343">
        <v>3757017</v>
      </c>
    </row>
    <row r="193" spans="1:20">
      <c r="A193" s="349">
        <v>91604</v>
      </c>
      <c r="B193" s="342" t="s">
        <v>881</v>
      </c>
      <c r="C193" s="234">
        <v>8.5599999999999994E-5</v>
      </c>
      <c r="D193" s="234">
        <v>8.5000000000000006E-5</v>
      </c>
      <c r="E193" s="343">
        <v>233767</v>
      </c>
      <c r="F193" s="231"/>
      <c r="G193" s="343">
        <v>40027</v>
      </c>
      <c r="H193" s="343">
        <v>5701</v>
      </c>
      <c r="I193" s="343">
        <v>38100</v>
      </c>
      <c r="J193" s="343">
        <v>26874</v>
      </c>
      <c r="K193" s="343">
        <v>110702</v>
      </c>
      <c r="L193" s="231"/>
      <c r="M193" s="343">
        <v>0</v>
      </c>
      <c r="N193" s="343">
        <v>0</v>
      </c>
      <c r="O193" s="343">
        <v>0</v>
      </c>
      <c r="P193" s="343">
        <v>0</v>
      </c>
      <c r="Q193" s="231"/>
      <c r="R193" s="343">
        <v>104134</v>
      </c>
      <c r="S193" s="343">
        <v>12119</v>
      </c>
      <c r="T193" s="343">
        <v>116253</v>
      </c>
    </row>
    <row r="194" spans="1:20" ht="30">
      <c r="A194" s="349">
        <v>91608</v>
      </c>
      <c r="B194" s="342" t="s">
        <v>882</v>
      </c>
      <c r="C194" s="234">
        <v>1.5420000000000001E-4</v>
      </c>
      <c r="D194" s="234">
        <v>1.5909999999999999E-4</v>
      </c>
      <c r="E194" s="343">
        <v>421108</v>
      </c>
      <c r="F194" s="231"/>
      <c r="G194" s="343">
        <v>72104</v>
      </c>
      <c r="H194" s="343">
        <v>10271</v>
      </c>
      <c r="I194" s="343">
        <v>68634</v>
      </c>
      <c r="J194" s="343">
        <v>779</v>
      </c>
      <c r="K194" s="343">
        <v>151788</v>
      </c>
      <c r="L194" s="231"/>
      <c r="M194" s="343">
        <v>0</v>
      </c>
      <c r="N194" s="343">
        <v>0</v>
      </c>
      <c r="O194" s="343">
        <v>37447</v>
      </c>
      <c r="P194" s="343">
        <v>37447</v>
      </c>
      <c r="Q194" s="231"/>
      <c r="R194" s="343">
        <v>187586</v>
      </c>
      <c r="S194" s="343">
        <v>-21503</v>
      </c>
      <c r="T194" s="343">
        <v>166083</v>
      </c>
    </row>
    <row r="195" spans="1:20">
      <c r="A195" s="349">
        <v>91611</v>
      </c>
      <c r="B195" s="342" t="s">
        <v>883</v>
      </c>
      <c r="C195" s="234">
        <v>1.4658E-3</v>
      </c>
      <c r="D195" s="234">
        <v>1.4744000000000001E-3</v>
      </c>
      <c r="E195" s="343">
        <v>4002985</v>
      </c>
      <c r="F195" s="231"/>
      <c r="G195" s="343">
        <v>685412</v>
      </c>
      <c r="H195" s="343">
        <v>97639</v>
      </c>
      <c r="I195" s="343">
        <v>652420</v>
      </c>
      <c r="J195" s="343">
        <v>0</v>
      </c>
      <c r="K195" s="343">
        <v>1435471</v>
      </c>
      <c r="L195" s="231"/>
      <c r="M195" s="343">
        <v>0</v>
      </c>
      <c r="N195" s="343">
        <v>0</v>
      </c>
      <c r="O195" s="343">
        <v>168711</v>
      </c>
      <c r="P195" s="343">
        <v>168711</v>
      </c>
      <c r="Q195" s="231"/>
      <c r="R195" s="343">
        <v>1783165</v>
      </c>
      <c r="S195" s="343">
        <v>-54413</v>
      </c>
      <c r="T195" s="343">
        <v>1728752</v>
      </c>
    </row>
    <row r="196" spans="1:20">
      <c r="A196" s="349">
        <v>91621</v>
      </c>
      <c r="B196" s="342" t="s">
        <v>884</v>
      </c>
      <c r="C196" s="234">
        <v>2.418E-4</v>
      </c>
      <c r="D196" s="234">
        <v>2.6800000000000001E-4</v>
      </c>
      <c r="E196" s="343">
        <v>660337</v>
      </c>
      <c r="F196" s="231"/>
      <c r="G196" s="343">
        <v>113066</v>
      </c>
      <c r="H196" s="343">
        <v>16107</v>
      </c>
      <c r="I196" s="343">
        <v>107624</v>
      </c>
      <c r="J196" s="343">
        <v>0</v>
      </c>
      <c r="K196" s="343">
        <v>236797</v>
      </c>
      <c r="L196" s="231"/>
      <c r="M196" s="343">
        <v>0</v>
      </c>
      <c r="N196" s="343">
        <v>0</v>
      </c>
      <c r="O196" s="343">
        <v>24050</v>
      </c>
      <c r="P196" s="343">
        <v>24050</v>
      </c>
      <c r="Q196" s="231"/>
      <c r="R196" s="343">
        <v>294153</v>
      </c>
      <c r="S196" s="343">
        <v>-1790</v>
      </c>
      <c r="T196" s="343">
        <v>292363</v>
      </c>
    </row>
    <row r="197" spans="1:20">
      <c r="A197" s="349">
        <v>91631</v>
      </c>
      <c r="B197" s="342" t="s">
        <v>885</v>
      </c>
      <c r="C197" s="234">
        <v>5.9349999999999995E-4</v>
      </c>
      <c r="D197" s="234">
        <v>5.509E-4</v>
      </c>
      <c r="E197" s="343">
        <v>1620802</v>
      </c>
      <c r="F197" s="231"/>
      <c r="G197" s="343">
        <v>277522</v>
      </c>
      <c r="H197" s="343">
        <v>39534</v>
      </c>
      <c r="I197" s="343">
        <v>264164</v>
      </c>
      <c r="J197" s="343">
        <v>12055</v>
      </c>
      <c r="K197" s="343">
        <v>593275</v>
      </c>
      <c r="L197" s="231"/>
      <c r="M197" s="343">
        <v>0</v>
      </c>
      <c r="N197" s="343">
        <v>0</v>
      </c>
      <c r="O197" s="343">
        <v>23175</v>
      </c>
      <c r="P197" s="343">
        <v>23175</v>
      </c>
      <c r="Q197" s="231"/>
      <c r="R197" s="343">
        <v>722000</v>
      </c>
      <c r="S197" s="343">
        <v>-13170</v>
      </c>
      <c r="T197" s="343">
        <v>708830</v>
      </c>
    </row>
    <row r="198" spans="1:20">
      <c r="A198" s="349">
        <v>91633</v>
      </c>
      <c r="B198" s="342" t="s">
        <v>2750</v>
      </c>
      <c r="C198" s="234">
        <v>3.15E-5</v>
      </c>
      <c r="D198" s="234">
        <v>1.8600000000000001E-5</v>
      </c>
      <c r="E198" s="343">
        <v>86024</v>
      </c>
      <c r="F198" s="231"/>
      <c r="G198" s="343">
        <v>14729</v>
      </c>
      <c r="H198" s="343">
        <v>2098</v>
      </c>
      <c r="I198" s="343">
        <v>14020</v>
      </c>
      <c r="J198" s="343">
        <v>9155</v>
      </c>
      <c r="K198" s="343">
        <v>40002</v>
      </c>
      <c r="L198" s="231"/>
      <c r="M198" s="343">
        <v>0</v>
      </c>
      <c r="N198" s="343">
        <v>0</v>
      </c>
      <c r="O198" s="343">
        <v>2815</v>
      </c>
      <c r="P198" s="343">
        <v>2815</v>
      </c>
      <c r="Q198" s="231"/>
      <c r="R198" s="343">
        <v>38320</v>
      </c>
      <c r="S198" s="343">
        <v>328</v>
      </c>
      <c r="T198" s="343">
        <v>38648</v>
      </c>
    </row>
    <row r="199" spans="1:20">
      <c r="A199" s="349">
        <v>91641</v>
      </c>
      <c r="B199" s="342" t="s">
        <v>887</v>
      </c>
      <c r="C199" s="234">
        <v>2.8519999999999999E-4</v>
      </c>
      <c r="D199" s="234">
        <v>2.652E-4</v>
      </c>
      <c r="E199" s="343">
        <v>778859</v>
      </c>
      <c r="F199" s="231"/>
      <c r="G199" s="343">
        <v>133360</v>
      </c>
      <c r="H199" s="343">
        <v>18997</v>
      </c>
      <c r="I199" s="343">
        <v>126941</v>
      </c>
      <c r="J199" s="343">
        <v>1596</v>
      </c>
      <c r="K199" s="343">
        <v>280894</v>
      </c>
      <c r="L199" s="231"/>
      <c r="M199" s="343">
        <v>0</v>
      </c>
      <c r="N199" s="343">
        <v>0</v>
      </c>
      <c r="O199" s="343">
        <v>44958</v>
      </c>
      <c r="P199" s="343">
        <v>44958</v>
      </c>
      <c r="Q199" s="231"/>
      <c r="R199" s="343">
        <v>346950</v>
      </c>
      <c r="S199" s="343">
        <v>-28778</v>
      </c>
      <c r="T199" s="343">
        <v>318172</v>
      </c>
    </row>
    <row r="200" spans="1:20">
      <c r="A200" s="349">
        <v>91651</v>
      </c>
      <c r="B200" s="342" t="s">
        <v>888</v>
      </c>
      <c r="C200" s="234">
        <v>5.4049999999999996E-4</v>
      </c>
      <c r="D200" s="234">
        <v>4.73E-4</v>
      </c>
      <c r="E200" s="343">
        <v>1476063</v>
      </c>
      <c r="F200" s="231"/>
      <c r="G200" s="343">
        <v>252739</v>
      </c>
      <c r="H200" s="343">
        <v>36003</v>
      </c>
      <c r="I200" s="343">
        <v>240574</v>
      </c>
      <c r="J200" s="343">
        <v>72033</v>
      </c>
      <c r="K200" s="343">
        <v>601349</v>
      </c>
      <c r="L200" s="231"/>
      <c r="M200" s="343">
        <v>0</v>
      </c>
      <c r="N200" s="343">
        <v>0</v>
      </c>
      <c r="O200" s="343">
        <v>8700</v>
      </c>
      <c r="P200" s="343">
        <v>8700</v>
      </c>
      <c r="Q200" s="231"/>
      <c r="R200" s="343">
        <v>657525</v>
      </c>
      <c r="S200" s="343">
        <v>10016</v>
      </c>
      <c r="T200" s="343">
        <v>667541</v>
      </c>
    </row>
    <row r="201" spans="1:20">
      <c r="A201" s="349">
        <v>91661</v>
      </c>
      <c r="B201" s="342" t="s">
        <v>889</v>
      </c>
      <c r="C201" s="234">
        <v>1.8760000000000001E-4</v>
      </c>
      <c r="D201" s="234">
        <v>1.8259999999999999E-4</v>
      </c>
      <c r="E201" s="343">
        <v>512321</v>
      </c>
      <c r="F201" s="231"/>
      <c r="G201" s="343">
        <v>87722</v>
      </c>
      <c r="H201" s="343">
        <v>12496</v>
      </c>
      <c r="I201" s="343">
        <v>83500</v>
      </c>
      <c r="J201" s="343">
        <v>0</v>
      </c>
      <c r="K201" s="343">
        <v>183718</v>
      </c>
      <c r="L201" s="231"/>
      <c r="M201" s="343">
        <v>0</v>
      </c>
      <c r="N201" s="343">
        <v>0</v>
      </c>
      <c r="O201" s="343">
        <v>33864</v>
      </c>
      <c r="P201" s="343">
        <v>33864</v>
      </c>
      <c r="Q201" s="231"/>
      <c r="R201" s="343">
        <v>228218</v>
      </c>
      <c r="S201" s="343">
        <v>-20283</v>
      </c>
      <c r="T201" s="343">
        <v>207935</v>
      </c>
    </row>
    <row r="202" spans="1:20">
      <c r="A202" s="349">
        <v>91671</v>
      </c>
      <c r="B202" s="342" t="s">
        <v>890</v>
      </c>
      <c r="C202" s="234">
        <v>1.076E-4</v>
      </c>
      <c r="D202" s="234">
        <v>1.132E-4</v>
      </c>
      <c r="E202" s="343">
        <v>293847</v>
      </c>
      <c r="F202" s="231"/>
      <c r="G202" s="343">
        <v>50314</v>
      </c>
      <c r="H202" s="343">
        <v>7168</v>
      </c>
      <c r="I202" s="343">
        <v>47892</v>
      </c>
      <c r="J202" s="343">
        <v>4956</v>
      </c>
      <c r="K202" s="343">
        <v>110330</v>
      </c>
      <c r="L202" s="231"/>
      <c r="M202" s="343">
        <v>0</v>
      </c>
      <c r="N202" s="343">
        <v>0</v>
      </c>
      <c r="O202" s="343">
        <v>13929</v>
      </c>
      <c r="P202" s="343">
        <v>13929</v>
      </c>
      <c r="Q202" s="231"/>
      <c r="R202" s="343">
        <v>130897</v>
      </c>
      <c r="S202" s="343">
        <v>2169</v>
      </c>
      <c r="T202" s="343">
        <v>133066</v>
      </c>
    </row>
    <row r="203" spans="1:20">
      <c r="A203" s="349">
        <v>91681</v>
      </c>
      <c r="B203" s="342" t="s">
        <v>891</v>
      </c>
      <c r="C203" s="234">
        <v>4.5909999999999999E-4</v>
      </c>
      <c r="D203" s="234">
        <v>4.6460000000000002E-4</v>
      </c>
      <c r="E203" s="343">
        <v>1253766</v>
      </c>
      <c r="F203" s="231"/>
      <c r="G203" s="343">
        <v>214677</v>
      </c>
      <c r="H203" s="343">
        <v>30581</v>
      </c>
      <c r="I203" s="343">
        <v>204343</v>
      </c>
      <c r="J203" s="343">
        <v>328837</v>
      </c>
      <c r="K203" s="343">
        <v>778438</v>
      </c>
      <c r="L203" s="231"/>
      <c r="M203" s="343">
        <v>0</v>
      </c>
      <c r="N203" s="343">
        <v>0</v>
      </c>
      <c r="O203" s="343">
        <v>0</v>
      </c>
      <c r="P203" s="343">
        <v>0</v>
      </c>
      <c r="Q203" s="231"/>
      <c r="R203" s="343">
        <v>558501</v>
      </c>
      <c r="S203" s="343">
        <v>155780</v>
      </c>
      <c r="T203" s="343">
        <v>714281</v>
      </c>
    </row>
    <row r="204" spans="1:20">
      <c r="A204" s="349">
        <v>91691</v>
      </c>
      <c r="B204" s="342" t="s">
        <v>892</v>
      </c>
      <c r="C204" s="234">
        <v>2.2900000000000001E-5</v>
      </c>
      <c r="D204" s="234">
        <v>2.26E-5</v>
      </c>
      <c r="E204" s="343">
        <v>62538</v>
      </c>
      <c r="F204" s="231"/>
      <c r="G204" s="343">
        <v>10708</v>
      </c>
      <c r="H204" s="343">
        <v>1526</v>
      </c>
      <c r="I204" s="343">
        <v>10193</v>
      </c>
      <c r="J204" s="343">
        <v>2558</v>
      </c>
      <c r="K204" s="343">
        <v>24985</v>
      </c>
      <c r="L204" s="231"/>
      <c r="M204" s="343">
        <v>0</v>
      </c>
      <c r="N204" s="343">
        <v>0</v>
      </c>
      <c r="O204" s="343">
        <v>802</v>
      </c>
      <c r="P204" s="343">
        <v>802</v>
      </c>
      <c r="Q204" s="231"/>
      <c r="R204" s="343">
        <v>27858</v>
      </c>
      <c r="S204" s="343">
        <v>524</v>
      </c>
      <c r="T204" s="343">
        <v>28382</v>
      </c>
    </row>
    <row r="205" spans="1:20">
      <c r="A205" s="349">
        <v>91701</v>
      </c>
      <c r="B205" s="342" t="s">
        <v>893</v>
      </c>
      <c r="C205" s="234">
        <v>1.1343E-3</v>
      </c>
      <c r="D205" s="234">
        <v>1.2348999999999999E-3</v>
      </c>
      <c r="E205" s="343">
        <v>3097685</v>
      </c>
      <c r="F205" s="231"/>
      <c r="G205" s="343">
        <v>530402</v>
      </c>
      <c r="H205" s="343">
        <v>75557</v>
      </c>
      <c r="I205" s="343">
        <v>504871</v>
      </c>
      <c r="J205" s="343">
        <v>44619</v>
      </c>
      <c r="K205" s="343">
        <v>1155449</v>
      </c>
      <c r="L205" s="231"/>
      <c r="M205" s="343">
        <v>0</v>
      </c>
      <c r="N205" s="343">
        <v>0</v>
      </c>
      <c r="O205" s="343">
        <v>128468</v>
      </c>
      <c r="P205" s="343">
        <v>128468</v>
      </c>
      <c r="Q205" s="231"/>
      <c r="R205" s="343">
        <v>1379891</v>
      </c>
      <c r="S205" s="343">
        <v>-8971</v>
      </c>
      <c r="T205" s="343">
        <v>1370920</v>
      </c>
    </row>
    <row r="206" spans="1:20">
      <c r="A206" s="349">
        <v>91704</v>
      </c>
      <c r="B206" s="342" t="s">
        <v>894</v>
      </c>
      <c r="C206" s="234">
        <v>1.7600000000000001E-5</v>
      </c>
      <c r="D206" s="234">
        <v>1.73E-5</v>
      </c>
      <c r="E206" s="343">
        <v>48064</v>
      </c>
      <c r="F206" s="231"/>
      <c r="G206" s="343">
        <v>8230</v>
      </c>
      <c r="H206" s="343">
        <v>1173</v>
      </c>
      <c r="I206" s="343">
        <v>7834</v>
      </c>
      <c r="J206" s="343">
        <v>715</v>
      </c>
      <c r="K206" s="343">
        <v>17952</v>
      </c>
      <c r="L206" s="231"/>
      <c r="M206" s="343">
        <v>0</v>
      </c>
      <c r="N206" s="343">
        <v>0</v>
      </c>
      <c r="O206" s="343">
        <v>0</v>
      </c>
      <c r="P206" s="343">
        <v>0</v>
      </c>
      <c r="Q206" s="231"/>
      <c r="R206" s="343">
        <v>21411</v>
      </c>
      <c r="S206" s="343">
        <v>568</v>
      </c>
      <c r="T206" s="343">
        <v>21979</v>
      </c>
    </row>
    <row r="207" spans="1:20" ht="30">
      <c r="A207" s="349">
        <v>91706</v>
      </c>
      <c r="B207" s="342" t="s">
        <v>3654</v>
      </c>
      <c r="C207" s="234">
        <v>2.543E-4</v>
      </c>
      <c r="D207" s="234">
        <v>2.2139999999999999E-4</v>
      </c>
      <c r="E207" s="343">
        <v>694473</v>
      </c>
      <c r="F207" s="231"/>
      <c r="G207" s="343">
        <v>118911</v>
      </c>
      <c r="H207" s="343">
        <v>16939</v>
      </c>
      <c r="I207" s="343">
        <v>113188</v>
      </c>
      <c r="J207" s="343">
        <v>57709</v>
      </c>
      <c r="K207" s="343">
        <v>306747</v>
      </c>
      <c r="L207" s="231"/>
      <c r="M207" s="343">
        <v>0</v>
      </c>
      <c r="N207" s="343">
        <v>0</v>
      </c>
      <c r="O207" s="343">
        <v>820</v>
      </c>
      <c r="P207" s="343">
        <v>820</v>
      </c>
      <c r="Q207" s="231"/>
      <c r="R207" s="343">
        <v>309359</v>
      </c>
      <c r="S207" s="343">
        <v>16678</v>
      </c>
      <c r="T207" s="343">
        <v>326037</v>
      </c>
    </row>
    <row r="208" spans="1:20">
      <c r="A208" s="349">
        <v>91719</v>
      </c>
      <c r="B208" s="342" t="s">
        <v>896</v>
      </c>
      <c r="C208" s="234">
        <v>5.6700000000000003E-5</v>
      </c>
      <c r="D208" s="234">
        <v>5.6799999999999998E-5</v>
      </c>
      <c r="E208" s="343">
        <v>154843</v>
      </c>
      <c r="F208" s="231"/>
      <c r="G208" s="343">
        <v>26513</v>
      </c>
      <c r="H208" s="343">
        <v>3776</v>
      </c>
      <c r="I208" s="343">
        <v>25237</v>
      </c>
      <c r="J208" s="343">
        <v>400</v>
      </c>
      <c r="K208" s="343">
        <v>55926</v>
      </c>
      <c r="L208" s="231"/>
      <c r="M208" s="343">
        <v>0</v>
      </c>
      <c r="N208" s="343">
        <v>0</v>
      </c>
      <c r="O208" s="343">
        <v>6742</v>
      </c>
      <c r="P208" s="343">
        <v>6742</v>
      </c>
      <c r="Q208" s="231"/>
      <c r="R208" s="343">
        <v>68976</v>
      </c>
      <c r="S208" s="343">
        <v>-8</v>
      </c>
      <c r="T208" s="343">
        <v>68968</v>
      </c>
    </row>
    <row r="209" spans="1:20">
      <c r="A209" s="349">
        <v>91801</v>
      </c>
      <c r="B209" s="342" t="s">
        <v>897</v>
      </c>
      <c r="C209" s="234">
        <v>7.5972000000000001E-3</v>
      </c>
      <c r="D209" s="234">
        <v>7.9632999999999995E-3</v>
      </c>
      <c r="E209" s="343">
        <v>20747361</v>
      </c>
      <c r="F209" s="231"/>
      <c r="G209" s="343">
        <v>3552474</v>
      </c>
      <c r="H209" s="343">
        <v>506057</v>
      </c>
      <c r="I209" s="343">
        <v>3381476</v>
      </c>
      <c r="J209" s="343">
        <v>0</v>
      </c>
      <c r="K209" s="343">
        <v>7440007</v>
      </c>
      <c r="L209" s="231"/>
      <c r="M209" s="343">
        <v>0</v>
      </c>
      <c r="N209" s="343">
        <v>0</v>
      </c>
      <c r="O209" s="343">
        <v>468580</v>
      </c>
      <c r="P209" s="343">
        <v>468580</v>
      </c>
      <c r="Q209" s="231"/>
      <c r="R209" s="343">
        <v>9242093</v>
      </c>
      <c r="S209" s="343">
        <v>-160612</v>
      </c>
      <c r="T209" s="343">
        <v>9081481</v>
      </c>
    </row>
    <row r="210" spans="1:20">
      <c r="A210" s="349">
        <v>91804</v>
      </c>
      <c r="B210" s="342" t="s">
        <v>898</v>
      </c>
      <c r="C210" s="234">
        <v>1.2459999999999999E-4</v>
      </c>
      <c r="D210" s="234">
        <v>1.4770000000000001E-4</v>
      </c>
      <c r="E210" s="343">
        <v>340273</v>
      </c>
      <c r="F210" s="231"/>
      <c r="G210" s="343">
        <v>58263</v>
      </c>
      <c r="H210" s="343">
        <v>8300</v>
      </c>
      <c r="I210" s="343">
        <v>55459</v>
      </c>
      <c r="J210" s="343">
        <v>54729</v>
      </c>
      <c r="K210" s="343">
        <v>176751</v>
      </c>
      <c r="L210" s="231"/>
      <c r="M210" s="343">
        <v>0</v>
      </c>
      <c r="N210" s="343">
        <v>0</v>
      </c>
      <c r="O210" s="343">
        <v>0</v>
      </c>
      <c r="P210" s="343">
        <v>0</v>
      </c>
      <c r="Q210" s="231"/>
      <c r="R210" s="343">
        <v>151578</v>
      </c>
      <c r="S210" s="343">
        <v>28815</v>
      </c>
      <c r="T210" s="343">
        <v>180393</v>
      </c>
    </row>
    <row r="211" spans="1:20">
      <c r="A211" s="349">
        <v>91811</v>
      </c>
      <c r="B211" s="342" t="s">
        <v>899</v>
      </c>
      <c r="C211" s="234">
        <v>4.2429E-3</v>
      </c>
      <c r="D211" s="234">
        <v>4.4413999999999999E-3</v>
      </c>
      <c r="E211" s="343">
        <v>11587029</v>
      </c>
      <c r="F211" s="231"/>
      <c r="G211" s="343">
        <v>1983993</v>
      </c>
      <c r="H211" s="343">
        <v>282624</v>
      </c>
      <c r="I211" s="343">
        <v>1888494</v>
      </c>
      <c r="J211" s="343">
        <v>0</v>
      </c>
      <c r="K211" s="343">
        <v>4155111</v>
      </c>
      <c r="L211" s="231"/>
      <c r="M211" s="343">
        <v>0</v>
      </c>
      <c r="N211" s="343">
        <v>0</v>
      </c>
      <c r="O211" s="343">
        <v>476711</v>
      </c>
      <c r="P211" s="343">
        <v>476711</v>
      </c>
      <c r="Q211" s="231"/>
      <c r="R211" s="343">
        <v>5161543</v>
      </c>
      <c r="S211" s="343">
        <v>-260791</v>
      </c>
      <c r="T211" s="343">
        <v>4900752</v>
      </c>
    </row>
    <row r="212" spans="1:20" ht="30">
      <c r="A212" s="349">
        <v>91812</v>
      </c>
      <c r="B212" s="342" t="s">
        <v>3655</v>
      </c>
      <c r="C212" s="234">
        <v>4.5599999999999997E-5</v>
      </c>
      <c r="D212" s="234">
        <v>5.3600000000000002E-5</v>
      </c>
      <c r="E212" s="343">
        <v>124530</v>
      </c>
      <c r="F212" s="231"/>
      <c r="G212" s="343">
        <v>21323</v>
      </c>
      <c r="H212" s="343">
        <v>3037</v>
      </c>
      <c r="I212" s="343">
        <v>20296</v>
      </c>
      <c r="J212" s="343">
        <v>4936</v>
      </c>
      <c r="K212" s="343">
        <v>49592</v>
      </c>
      <c r="L212" s="231"/>
      <c r="M212" s="343">
        <v>0</v>
      </c>
      <c r="N212" s="343">
        <v>0</v>
      </c>
      <c r="O212" s="343">
        <v>3846</v>
      </c>
      <c r="P212" s="343">
        <v>3846</v>
      </c>
      <c r="Q212" s="231"/>
      <c r="R212" s="343">
        <v>55473</v>
      </c>
      <c r="S212" s="343">
        <v>3554</v>
      </c>
      <c r="T212" s="343">
        <v>59027</v>
      </c>
    </row>
    <row r="213" spans="1:20">
      <c r="A213" s="349">
        <v>91813</v>
      </c>
      <c r="B213" s="342" t="s">
        <v>901</v>
      </c>
      <c r="C213" s="234">
        <v>7.1500000000000003E-5</v>
      </c>
      <c r="D213" s="234">
        <v>8.1299999999999997E-5</v>
      </c>
      <c r="E213" s="343">
        <v>195261</v>
      </c>
      <c r="F213" s="231"/>
      <c r="G213" s="343">
        <v>33434</v>
      </c>
      <c r="H213" s="343">
        <v>4763</v>
      </c>
      <c r="I213" s="343">
        <v>31824</v>
      </c>
      <c r="J213" s="343">
        <v>1216</v>
      </c>
      <c r="K213" s="343">
        <v>71237</v>
      </c>
      <c r="L213" s="231"/>
      <c r="M213" s="343">
        <v>0</v>
      </c>
      <c r="N213" s="343">
        <v>0</v>
      </c>
      <c r="O213" s="343">
        <v>13295</v>
      </c>
      <c r="P213" s="343">
        <v>13295</v>
      </c>
      <c r="Q213" s="231"/>
      <c r="R213" s="343">
        <v>86981</v>
      </c>
      <c r="S213" s="343">
        <v>-270</v>
      </c>
      <c r="T213" s="343">
        <v>86711</v>
      </c>
    </row>
    <row r="214" spans="1:20">
      <c r="A214" s="349">
        <v>91818</v>
      </c>
      <c r="B214" s="342" t="s">
        <v>2780</v>
      </c>
      <c r="C214" s="234">
        <v>4.0620000000000001E-4</v>
      </c>
      <c r="D214" s="234">
        <v>3.9429999999999999E-4</v>
      </c>
      <c r="E214" s="343">
        <v>1109301</v>
      </c>
      <c r="F214" s="231"/>
      <c r="G214" s="343">
        <v>189940</v>
      </c>
      <c r="H214" s="343">
        <v>27057</v>
      </c>
      <c r="I214" s="343">
        <v>180798</v>
      </c>
      <c r="J214" s="343">
        <v>342085</v>
      </c>
      <c r="K214" s="343">
        <v>739880</v>
      </c>
      <c r="L214" s="231"/>
      <c r="M214" s="343">
        <v>0</v>
      </c>
      <c r="N214" s="343">
        <v>0</v>
      </c>
      <c r="O214" s="343">
        <v>0</v>
      </c>
      <c r="P214" s="343">
        <v>0</v>
      </c>
      <c r="Q214" s="231"/>
      <c r="R214" s="343">
        <v>494148</v>
      </c>
      <c r="S214" s="343">
        <v>210448</v>
      </c>
      <c r="T214" s="343">
        <v>704596</v>
      </c>
    </row>
    <row r="215" spans="1:20">
      <c r="A215" s="349">
        <v>91819</v>
      </c>
      <c r="B215" s="342" t="s">
        <v>903</v>
      </c>
      <c r="C215" s="234">
        <v>3.1260000000000001E-4</v>
      </c>
      <c r="D215" s="234">
        <v>3.0469999999999998E-4</v>
      </c>
      <c r="E215" s="343">
        <v>853686</v>
      </c>
      <c r="F215" s="231"/>
      <c r="G215" s="343">
        <v>146173</v>
      </c>
      <c r="H215" s="343">
        <v>20822</v>
      </c>
      <c r="I215" s="343">
        <v>139137</v>
      </c>
      <c r="J215" s="343">
        <v>39076</v>
      </c>
      <c r="K215" s="343">
        <v>345208</v>
      </c>
      <c r="L215" s="231"/>
      <c r="M215" s="343">
        <v>0</v>
      </c>
      <c r="N215" s="343">
        <v>0</v>
      </c>
      <c r="O215" s="343">
        <v>1296</v>
      </c>
      <c r="P215" s="343">
        <v>1296</v>
      </c>
      <c r="Q215" s="231"/>
      <c r="R215" s="343">
        <v>380282</v>
      </c>
      <c r="S215" s="343">
        <v>8784</v>
      </c>
      <c r="T215" s="343">
        <v>389066</v>
      </c>
    </row>
    <row r="216" spans="1:20">
      <c r="A216" s="349">
        <v>91821</v>
      </c>
      <c r="B216" s="342" t="s">
        <v>904</v>
      </c>
      <c r="C216" s="234">
        <v>1.6750000000000001E-4</v>
      </c>
      <c r="D216" s="234">
        <v>1.671E-4</v>
      </c>
      <c r="E216" s="343">
        <v>457429</v>
      </c>
      <c r="F216" s="231"/>
      <c r="G216" s="343">
        <v>78324</v>
      </c>
      <c r="H216" s="343">
        <v>11157</v>
      </c>
      <c r="I216" s="343">
        <v>74553</v>
      </c>
      <c r="J216" s="343">
        <v>79</v>
      </c>
      <c r="K216" s="343">
        <v>164113</v>
      </c>
      <c r="L216" s="231"/>
      <c r="M216" s="343">
        <v>0</v>
      </c>
      <c r="N216" s="343">
        <v>0</v>
      </c>
      <c r="O216" s="343">
        <v>8924</v>
      </c>
      <c r="P216" s="343">
        <v>8924</v>
      </c>
      <c r="Q216" s="231"/>
      <c r="R216" s="343">
        <v>203766</v>
      </c>
      <c r="S216" s="343">
        <v>-2704</v>
      </c>
      <c r="T216" s="343">
        <v>201062</v>
      </c>
    </row>
    <row r="217" spans="1:20">
      <c r="A217" s="349">
        <v>91831</v>
      </c>
      <c r="B217" s="342" t="s">
        <v>905</v>
      </c>
      <c r="C217" s="234">
        <v>3.7990000000000002E-4</v>
      </c>
      <c r="D217" s="234">
        <v>3.7740000000000001E-4</v>
      </c>
      <c r="E217" s="343">
        <v>1037477</v>
      </c>
      <c r="F217" s="231"/>
      <c r="G217" s="343">
        <v>177642</v>
      </c>
      <c r="H217" s="343">
        <v>25306</v>
      </c>
      <c r="I217" s="343">
        <v>169092</v>
      </c>
      <c r="J217" s="343">
        <v>10362</v>
      </c>
      <c r="K217" s="343">
        <v>382402</v>
      </c>
      <c r="L217" s="231"/>
      <c r="M217" s="343">
        <v>0</v>
      </c>
      <c r="N217" s="343">
        <v>0</v>
      </c>
      <c r="O217" s="343">
        <v>7372</v>
      </c>
      <c r="P217" s="343">
        <v>7372</v>
      </c>
      <c r="Q217" s="231"/>
      <c r="R217" s="343">
        <v>462153</v>
      </c>
      <c r="S217" s="343">
        <v>2204</v>
      </c>
      <c r="T217" s="343">
        <v>464357</v>
      </c>
    </row>
    <row r="218" spans="1:20">
      <c r="A218" s="349">
        <v>91841</v>
      </c>
      <c r="B218" s="342" t="s">
        <v>906</v>
      </c>
      <c r="C218" s="234">
        <v>2.5090000000000003E-4</v>
      </c>
      <c r="D218" s="234">
        <v>2.6479999999999999E-4</v>
      </c>
      <c r="E218" s="343">
        <v>685188</v>
      </c>
      <c r="F218" s="231"/>
      <c r="G218" s="343">
        <v>117322</v>
      </c>
      <c r="H218" s="343">
        <v>16713</v>
      </c>
      <c r="I218" s="343">
        <v>111674</v>
      </c>
      <c r="J218" s="343">
        <v>4358</v>
      </c>
      <c r="K218" s="343">
        <v>250067</v>
      </c>
      <c r="L218" s="231"/>
      <c r="M218" s="343">
        <v>0</v>
      </c>
      <c r="N218" s="343">
        <v>0</v>
      </c>
      <c r="O218" s="343">
        <v>7918</v>
      </c>
      <c r="P218" s="343">
        <v>7918</v>
      </c>
      <c r="Q218" s="231"/>
      <c r="R218" s="343">
        <v>305223</v>
      </c>
      <c r="S218" s="343">
        <v>-4400</v>
      </c>
      <c r="T218" s="343">
        <v>300823</v>
      </c>
    </row>
    <row r="219" spans="1:20">
      <c r="A219" s="349">
        <v>91851</v>
      </c>
      <c r="B219" s="342" t="s">
        <v>907</v>
      </c>
      <c r="C219" s="234">
        <v>7.004E-4</v>
      </c>
      <c r="D219" s="234">
        <v>7.3039999999999997E-4</v>
      </c>
      <c r="E219" s="343">
        <v>1912738</v>
      </c>
      <c r="F219" s="231"/>
      <c r="G219" s="343">
        <v>327509</v>
      </c>
      <c r="H219" s="343">
        <v>46654</v>
      </c>
      <c r="I219" s="343">
        <v>311745</v>
      </c>
      <c r="J219" s="343">
        <v>2729</v>
      </c>
      <c r="K219" s="343">
        <v>688637</v>
      </c>
      <c r="L219" s="231"/>
      <c r="M219" s="343">
        <v>0</v>
      </c>
      <c r="N219" s="343">
        <v>0</v>
      </c>
      <c r="O219" s="343">
        <v>34237</v>
      </c>
      <c r="P219" s="343">
        <v>34237</v>
      </c>
      <c r="Q219" s="231"/>
      <c r="R219" s="343">
        <v>852046</v>
      </c>
      <c r="S219" s="343">
        <v>-22514</v>
      </c>
      <c r="T219" s="343">
        <v>829532</v>
      </c>
    </row>
    <row r="220" spans="1:20">
      <c r="A220" s="349">
        <v>91861</v>
      </c>
      <c r="B220" s="342" t="s">
        <v>908</v>
      </c>
      <c r="C220" s="234">
        <v>7.7000000000000008E-6</v>
      </c>
      <c r="D220" s="234">
        <v>1.1800000000000001E-5</v>
      </c>
      <c r="E220" s="343">
        <v>21028</v>
      </c>
      <c r="F220" s="231"/>
      <c r="G220" s="343">
        <v>3601</v>
      </c>
      <c r="H220" s="343">
        <v>513</v>
      </c>
      <c r="I220" s="343">
        <v>3427</v>
      </c>
      <c r="J220" s="343">
        <v>129</v>
      </c>
      <c r="K220" s="343">
        <v>7670</v>
      </c>
      <c r="L220" s="231"/>
      <c r="M220" s="343">
        <v>0</v>
      </c>
      <c r="N220" s="343">
        <v>0</v>
      </c>
      <c r="O220" s="343">
        <v>7542</v>
      </c>
      <c r="P220" s="343">
        <v>7542</v>
      </c>
      <c r="Q220" s="231"/>
      <c r="R220" s="343">
        <v>9367</v>
      </c>
      <c r="S220" s="343">
        <v>-1401</v>
      </c>
      <c r="T220" s="343">
        <v>7966</v>
      </c>
    </row>
    <row r="221" spans="1:20">
      <c r="A221" s="349">
        <v>91871</v>
      </c>
      <c r="B221" s="342" t="s">
        <v>909</v>
      </c>
      <c r="C221" s="234">
        <v>1.3121000000000001E-3</v>
      </c>
      <c r="D221" s="234">
        <v>1.3219E-3</v>
      </c>
      <c r="E221" s="343">
        <v>3583243</v>
      </c>
      <c r="F221" s="231"/>
      <c r="G221" s="343">
        <v>613542</v>
      </c>
      <c r="H221" s="343">
        <v>87400</v>
      </c>
      <c r="I221" s="343">
        <v>584009</v>
      </c>
      <c r="J221" s="343">
        <v>11268</v>
      </c>
      <c r="K221" s="343">
        <v>1296219</v>
      </c>
      <c r="L221" s="231"/>
      <c r="M221" s="343">
        <v>0</v>
      </c>
      <c r="N221" s="343">
        <v>0</v>
      </c>
      <c r="O221" s="343">
        <v>53022</v>
      </c>
      <c r="P221" s="343">
        <v>53022</v>
      </c>
      <c r="Q221" s="231"/>
      <c r="R221" s="343">
        <v>1596187</v>
      </c>
      <c r="S221" s="343">
        <v>-33723</v>
      </c>
      <c r="T221" s="343">
        <v>1562464</v>
      </c>
    </row>
    <row r="222" spans="1:20">
      <c r="A222" s="349">
        <v>91881</v>
      </c>
      <c r="B222" s="342" t="s">
        <v>910</v>
      </c>
      <c r="C222" s="234">
        <v>2.1399999999999998E-5</v>
      </c>
      <c r="D222" s="234">
        <v>8.1000000000000004E-6</v>
      </c>
      <c r="E222" s="343">
        <v>58442</v>
      </c>
      <c r="F222" s="231"/>
      <c r="G222" s="343">
        <v>10007</v>
      </c>
      <c r="H222" s="343">
        <v>1425</v>
      </c>
      <c r="I222" s="343">
        <v>9525</v>
      </c>
      <c r="J222" s="343">
        <v>9726</v>
      </c>
      <c r="K222" s="343">
        <v>30683</v>
      </c>
      <c r="L222" s="231"/>
      <c r="M222" s="343">
        <v>0</v>
      </c>
      <c r="N222" s="343">
        <v>0</v>
      </c>
      <c r="O222" s="343">
        <v>1059</v>
      </c>
      <c r="P222" s="343">
        <v>1059</v>
      </c>
      <c r="Q222" s="231"/>
      <c r="R222" s="343">
        <v>26033</v>
      </c>
      <c r="S222" s="343">
        <v>693</v>
      </c>
      <c r="T222" s="343">
        <v>26726</v>
      </c>
    </row>
    <row r="223" spans="1:20">
      <c r="A223" s="349">
        <v>91901</v>
      </c>
      <c r="B223" s="342" t="s">
        <v>911</v>
      </c>
      <c r="C223" s="234">
        <v>3.6947999999999998E-3</v>
      </c>
      <c r="D223" s="234">
        <v>3.6922000000000001E-3</v>
      </c>
      <c r="E223" s="343">
        <v>10090211</v>
      </c>
      <c r="F223" s="231"/>
      <c r="G223" s="343">
        <v>1727700</v>
      </c>
      <c r="H223" s="343">
        <v>246114</v>
      </c>
      <c r="I223" s="343">
        <v>1644537</v>
      </c>
      <c r="J223" s="343">
        <v>8156</v>
      </c>
      <c r="K223" s="343">
        <v>3626507</v>
      </c>
      <c r="L223" s="231"/>
      <c r="M223" s="343">
        <v>0</v>
      </c>
      <c r="N223" s="343">
        <v>0</v>
      </c>
      <c r="O223" s="343">
        <v>80060</v>
      </c>
      <c r="P223" s="343">
        <v>80060</v>
      </c>
      <c r="Q223" s="231"/>
      <c r="R223" s="343">
        <v>4494772</v>
      </c>
      <c r="S223" s="343">
        <v>-252</v>
      </c>
      <c r="T223" s="343">
        <v>4494520</v>
      </c>
    </row>
    <row r="224" spans="1:20">
      <c r="A224" s="349">
        <v>91903</v>
      </c>
      <c r="B224" s="342" t="s">
        <v>2777</v>
      </c>
      <c r="C224" s="234">
        <v>7.1999999999999997E-6</v>
      </c>
      <c r="D224" s="234">
        <v>8.8000000000000004E-6</v>
      </c>
      <c r="E224" s="343">
        <v>19663</v>
      </c>
      <c r="F224" s="231"/>
      <c r="G224" s="343">
        <v>3367</v>
      </c>
      <c r="H224" s="343">
        <v>480</v>
      </c>
      <c r="I224" s="343">
        <v>3205</v>
      </c>
      <c r="J224" s="343">
        <v>3228</v>
      </c>
      <c r="K224" s="343">
        <v>10280</v>
      </c>
      <c r="L224" s="231"/>
      <c r="M224" s="343">
        <v>0</v>
      </c>
      <c r="N224" s="343">
        <v>0</v>
      </c>
      <c r="O224" s="343">
        <v>0</v>
      </c>
      <c r="P224" s="343">
        <v>0</v>
      </c>
      <c r="Q224" s="231"/>
      <c r="R224" s="343">
        <v>8759</v>
      </c>
      <c r="S224" s="343">
        <v>1299</v>
      </c>
      <c r="T224" s="343">
        <v>10058</v>
      </c>
    </row>
    <row r="225" spans="1:20">
      <c r="A225" s="349">
        <v>91904</v>
      </c>
      <c r="B225" s="342" t="s">
        <v>913</v>
      </c>
      <c r="C225" s="234">
        <v>3.26E-5</v>
      </c>
      <c r="D225" s="234">
        <v>3.1399999999999998E-5</v>
      </c>
      <c r="E225" s="343">
        <v>89028</v>
      </c>
      <c r="F225" s="231"/>
      <c r="G225" s="343">
        <v>15244</v>
      </c>
      <c r="H225" s="343">
        <v>2171</v>
      </c>
      <c r="I225" s="343">
        <v>14510</v>
      </c>
      <c r="J225" s="343">
        <v>7163</v>
      </c>
      <c r="K225" s="343">
        <v>39088</v>
      </c>
      <c r="L225" s="231"/>
      <c r="M225" s="343">
        <v>0</v>
      </c>
      <c r="N225" s="343">
        <v>0</v>
      </c>
      <c r="O225" s="343">
        <v>326</v>
      </c>
      <c r="P225" s="343">
        <v>326</v>
      </c>
      <c r="Q225" s="231"/>
      <c r="R225" s="343">
        <v>39658</v>
      </c>
      <c r="S225" s="343">
        <v>3692</v>
      </c>
      <c r="T225" s="343">
        <v>43350</v>
      </c>
    </row>
    <row r="226" spans="1:20">
      <c r="A226" s="349">
        <v>91908</v>
      </c>
      <c r="B226" s="342" t="s">
        <v>914</v>
      </c>
      <c r="C226" s="234">
        <v>1.59E-5</v>
      </c>
      <c r="D226" s="234">
        <v>1.5299999999999999E-5</v>
      </c>
      <c r="E226" s="343">
        <v>43422</v>
      </c>
      <c r="F226" s="231"/>
      <c r="G226" s="343">
        <v>7435</v>
      </c>
      <c r="H226" s="343">
        <v>1059</v>
      </c>
      <c r="I226" s="343">
        <v>7077</v>
      </c>
      <c r="J226" s="343">
        <v>53</v>
      </c>
      <c r="K226" s="343">
        <v>15624</v>
      </c>
      <c r="L226" s="231"/>
      <c r="M226" s="343">
        <v>0</v>
      </c>
      <c r="N226" s="343">
        <v>0</v>
      </c>
      <c r="O226" s="343">
        <v>4807</v>
      </c>
      <c r="P226" s="343">
        <v>4807</v>
      </c>
      <c r="Q226" s="231"/>
      <c r="R226" s="343">
        <v>19343</v>
      </c>
      <c r="S226" s="343">
        <v>-2037</v>
      </c>
      <c r="T226" s="343">
        <v>17306</v>
      </c>
    </row>
    <row r="227" spans="1:20">
      <c r="A227" s="349">
        <v>91911</v>
      </c>
      <c r="B227" s="342" t="s">
        <v>915</v>
      </c>
      <c r="C227" s="234">
        <v>4.46E-4</v>
      </c>
      <c r="D227" s="234">
        <v>4.8529999999999998E-4</v>
      </c>
      <c r="E227" s="343">
        <v>1217991</v>
      </c>
      <c r="F227" s="231"/>
      <c r="G227" s="343">
        <v>208551</v>
      </c>
      <c r="H227" s="343">
        <v>29708</v>
      </c>
      <c r="I227" s="343">
        <v>198512</v>
      </c>
      <c r="J227" s="343">
        <v>17660</v>
      </c>
      <c r="K227" s="343">
        <v>454431</v>
      </c>
      <c r="L227" s="231"/>
      <c r="M227" s="343">
        <v>0</v>
      </c>
      <c r="N227" s="343">
        <v>0</v>
      </c>
      <c r="O227" s="343">
        <v>30971</v>
      </c>
      <c r="P227" s="343">
        <v>30971</v>
      </c>
      <c r="Q227" s="231"/>
      <c r="R227" s="343">
        <v>542565</v>
      </c>
      <c r="S227" s="343">
        <v>-1135</v>
      </c>
      <c r="T227" s="343">
        <v>541430</v>
      </c>
    </row>
    <row r="228" spans="1:20">
      <c r="A228" s="349">
        <v>91917</v>
      </c>
      <c r="B228" s="342" t="s">
        <v>916</v>
      </c>
      <c r="C228" s="234">
        <v>1.31E-5</v>
      </c>
      <c r="D228" s="234">
        <v>1.04E-5</v>
      </c>
      <c r="E228" s="343">
        <v>35775</v>
      </c>
      <c r="F228" s="231"/>
      <c r="G228" s="343">
        <v>6126</v>
      </c>
      <c r="H228" s="343">
        <v>873</v>
      </c>
      <c r="I228" s="343">
        <v>5831</v>
      </c>
      <c r="J228" s="343">
        <v>3327</v>
      </c>
      <c r="K228" s="343">
        <v>16157</v>
      </c>
      <c r="L228" s="231"/>
      <c r="M228" s="343">
        <v>0</v>
      </c>
      <c r="N228" s="343">
        <v>0</v>
      </c>
      <c r="O228" s="343">
        <v>156</v>
      </c>
      <c r="P228" s="343">
        <v>156</v>
      </c>
      <c r="Q228" s="231"/>
      <c r="R228" s="343">
        <v>15936</v>
      </c>
      <c r="S228" s="343">
        <v>925</v>
      </c>
      <c r="T228" s="343">
        <v>16861</v>
      </c>
    </row>
    <row r="229" spans="1:20">
      <c r="A229" s="349">
        <v>91921</v>
      </c>
      <c r="B229" s="342" t="s">
        <v>917</v>
      </c>
      <c r="C229" s="234">
        <v>3.8479999999999997E-4</v>
      </c>
      <c r="D229" s="234">
        <v>3.5619999999999998E-4</v>
      </c>
      <c r="E229" s="343">
        <v>1050859</v>
      </c>
      <c r="F229" s="231"/>
      <c r="G229" s="343">
        <v>179934</v>
      </c>
      <c r="H229" s="343">
        <v>25632</v>
      </c>
      <c r="I229" s="343">
        <v>171273</v>
      </c>
      <c r="J229" s="343">
        <v>14091</v>
      </c>
      <c r="K229" s="343">
        <v>390930</v>
      </c>
      <c r="L229" s="231"/>
      <c r="M229" s="343">
        <v>0</v>
      </c>
      <c r="N229" s="343">
        <v>0</v>
      </c>
      <c r="O229" s="343">
        <v>17696</v>
      </c>
      <c r="P229" s="343">
        <v>17696</v>
      </c>
      <c r="Q229" s="231"/>
      <c r="R229" s="343">
        <v>468114</v>
      </c>
      <c r="S229" s="343">
        <v>-5556</v>
      </c>
      <c r="T229" s="343">
        <v>462558</v>
      </c>
    </row>
    <row r="230" spans="1:20">
      <c r="A230" s="349">
        <v>92001</v>
      </c>
      <c r="B230" s="342" t="s">
        <v>918</v>
      </c>
      <c r="C230" s="234">
        <v>1.7757000000000001E-3</v>
      </c>
      <c r="D230" s="234">
        <v>1.8332999999999999E-3</v>
      </c>
      <c r="E230" s="343">
        <v>4849298</v>
      </c>
      <c r="F230" s="231"/>
      <c r="G230" s="343">
        <v>830323</v>
      </c>
      <c r="H230" s="343">
        <v>118281</v>
      </c>
      <c r="I230" s="343">
        <v>790355</v>
      </c>
      <c r="J230" s="343">
        <v>13845</v>
      </c>
      <c r="K230" s="343">
        <v>1752804</v>
      </c>
      <c r="L230" s="231"/>
      <c r="M230" s="343">
        <v>0</v>
      </c>
      <c r="N230" s="343">
        <v>0</v>
      </c>
      <c r="O230" s="343">
        <v>130820</v>
      </c>
      <c r="P230" s="343">
        <v>130820</v>
      </c>
      <c r="Q230" s="231"/>
      <c r="R230" s="343">
        <v>2160162</v>
      </c>
      <c r="S230" s="343">
        <v>-32957</v>
      </c>
      <c r="T230" s="343">
        <v>2127205</v>
      </c>
    </row>
    <row r="231" spans="1:20">
      <c r="A231" s="349">
        <v>92005</v>
      </c>
      <c r="B231" s="342" t="s">
        <v>919</v>
      </c>
      <c r="C231" s="234">
        <v>3.5299999999999997E-5</v>
      </c>
      <c r="D231" s="234">
        <v>4.2700000000000001E-5</v>
      </c>
      <c r="E231" s="343">
        <v>96402</v>
      </c>
      <c r="F231" s="231"/>
      <c r="G231" s="343">
        <v>16506</v>
      </c>
      <c r="H231" s="343">
        <v>2351</v>
      </c>
      <c r="I231" s="343">
        <v>15712</v>
      </c>
      <c r="J231" s="343">
        <v>2841</v>
      </c>
      <c r="K231" s="343">
        <v>37410</v>
      </c>
      <c r="L231" s="231"/>
      <c r="M231" s="343">
        <v>0</v>
      </c>
      <c r="N231" s="343">
        <v>0</v>
      </c>
      <c r="O231" s="343">
        <v>3594</v>
      </c>
      <c r="P231" s="343">
        <v>3594</v>
      </c>
      <c r="Q231" s="231"/>
      <c r="R231" s="343">
        <v>42943</v>
      </c>
      <c r="S231" s="343">
        <v>-28</v>
      </c>
      <c r="T231" s="343">
        <v>42915</v>
      </c>
    </row>
    <row r="232" spans="1:20">
      <c r="A232" s="349">
        <v>92011</v>
      </c>
      <c r="B232" s="342" t="s">
        <v>920</v>
      </c>
      <c r="C232" s="234">
        <v>1.9100000000000001E-4</v>
      </c>
      <c r="D232" s="234">
        <v>1.916E-4</v>
      </c>
      <c r="E232" s="343">
        <v>521606</v>
      </c>
      <c r="F232" s="231"/>
      <c r="G232" s="343">
        <v>89312</v>
      </c>
      <c r="H232" s="343">
        <v>12722</v>
      </c>
      <c r="I232" s="343">
        <v>85013</v>
      </c>
      <c r="J232" s="343">
        <v>4687</v>
      </c>
      <c r="K232" s="343">
        <v>191734</v>
      </c>
      <c r="L232" s="231"/>
      <c r="M232" s="343">
        <v>0</v>
      </c>
      <c r="N232" s="343">
        <v>0</v>
      </c>
      <c r="O232" s="343">
        <v>9533</v>
      </c>
      <c r="P232" s="343">
        <v>9533</v>
      </c>
      <c r="Q232" s="231"/>
      <c r="R232" s="343">
        <v>232354</v>
      </c>
      <c r="S232" s="343">
        <v>469</v>
      </c>
      <c r="T232" s="343">
        <v>232823</v>
      </c>
    </row>
    <row r="233" spans="1:20" ht="14.25" customHeight="1">
      <c r="A233" s="349">
        <v>92017</v>
      </c>
      <c r="B233" s="342" t="s">
        <v>921</v>
      </c>
      <c r="C233" s="234">
        <v>3.1900000000000003E-5</v>
      </c>
      <c r="D233" s="234">
        <v>3.3200000000000001E-5</v>
      </c>
      <c r="E233" s="343">
        <v>87116</v>
      </c>
      <c r="F233" s="231"/>
      <c r="G233" s="343">
        <v>14917</v>
      </c>
      <c r="H233" s="343">
        <v>2125</v>
      </c>
      <c r="I233" s="343">
        <v>14199</v>
      </c>
      <c r="J233" s="343">
        <v>2208</v>
      </c>
      <c r="K233" s="343">
        <v>33449</v>
      </c>
      <c r="L233" s="231"/>
      <c r="M233" s="343">
        <v>0</v>
      </c>
      <c r="N233" s="343">
        <v>0</v>
      </c>
      <c r="O233" s="343">
        <v>167</v>
      </c>
      <c r="P233" s="343">
        <v>167</v>
      </c>
      <c r="Q233" s="231"/>
      <c r="R233" s="343">
        <v>38807</v>
      </c>
      <c r="S233" s="343">
        <v>581</v>
      </c>
      <c r="T233" s="343">
        <v>39388</v>
      </c>
    </row>
    <row r="234" spans="1:20">
      <c r="A234" s="349">
        <v>92021</v>
      </c>
      <c r="B234" s="342" t="s">
        <v>922</v>
      </c>
      <c r="C234" s="234">
        <v>1.054E-4</v>
      </c>
      <c r="D234" s="234">
        <v>1.451E-4</v>
      </c>
      <c r="E234" s="343">
        <v>287839</v>
      </c>
      <c r="F234" s="231"/>
      <c r="G234" s="343">
        <v>49285</v>
      </c>
      <c r="H234" s="343">
        <v>7021</v>
      </c>
      <c r="I234" s="343">
        <v>46913</v>
      </c>
      <c r="J234" s="343">
        <v>11247</v>
      </c>
      <c r="K234" s="343">
        <v>114466</v>
      </c>
      <c r="L234" s="231"/>
      <c r="M234" s="343">
        <v>0</v>
      </c>
      <c r="N234" s="343">
        <v>0</v>
      </c>
      <c r="O234" s="343">
        <v>51028</v>
      </c>
      <c r="P234" s="343">
        <v>51028</v>
      </c>
      <c r="Q234" s="231"/>
      <c r="R234" s="343">
        <v>128220</v>
      </c>
      <c r="S234" s="343">
        <v>-7729</v>
      </c>
      <c r="T234" s="343">
        <v>120491</v>
      </c>
    </row>
    <row r="235" spans="1:20">
      <c r="A235" s="349">
        <v>92101</v>
      </c>
      <c r="B235" s="342" t="s">
        <v>923</v>
      </c>
      <c r="C235" s="234">
        <v>7.8700000000000005E-4</v>
      </c>
      <c r="D235" s="234">
        <v>8.183E-4</v>
      </c>
      <c r="E235" s="343">
        <v>2149236</v>
      </c>
      <c r="F235" s="231"/>
      <c r="G235" s="343">
        <v>368004</v>
      </c>
      <c r="H235" s="343">
        <v>52423</v>
      </c>
      <c r="I235" s="343">
        <v>350290</v>
      </c>
      <c r="J235" s="343">
        <v>0</v>
      </c>
      <c r="K235" s="343">
        <v>770717</v>
      </c>
      <c r="L235" s="231"/>
      <c r="M235" s="343">
        <v>0</v>
      </c>
      <c r="N235" s="343">
        <v>0</v>
      </c>
      <c r="O235" s="343">
        <v>87757</v>
      </c>
      <c r="P235" s="343">
        <v>87757</v>
      </c>
      <c r="Q235" s="231"/>
      <c r="R235" s="343">
        <v>957396</v>
      </c>
      <c r="S235" s="343">
        <v>-36597</v>
      </c>
      <c r="T235" s="343">
        <v>920799</v>
      </c>
    </row>
    <row r="236" spans="1:20">
      <c r="A236" s="349">
        <v>92104</v>
      </c>
      <c r="B236" s="342" t="s">
        <v>924</v>
      </c>
      <c r="C236" s="234">
        <v>7.0999999999999998E-6</v>
      </c>
      <c r="D236" s="234">
        <v>8.3999999999999992E-6</v>
      </c>
      <c r="E236" s="343">
        <v>19390</v>
      </c>
      <c r="F236" s="231"/>
      <c r="G236" s="343">
        <v>3320</v>
      </c>
      <c r="H236" s="343">
        <v>473</v>
      </c>
      <c r="I236" s="343">
        <v>3160</v>
      </c>
      <c r="J236" s="343">
        <v>1780</v>
      </c>
      <c r="K236" s="343">
        <v>8733</v>
      </c>
      <c r="L236" s="231"/>
      <c r="M236" s="343">
        <v>0</v>
      </c>
      <c r="N236" s="343">
        <v>0</v>
      </c>
      <c r="O236" s="343">
        <v>0</v>
      </c>
      <c r="P236" s="343">
        <v>0</v>
      </c>
      <c r="Q236" s="231"/>
      <c r="R236" s="343">
        <v>8637</v>
      </c>
      <c r="S236" s="343">
        <v>1182</v>
      </c>
      <c r="T236" s="343">
        <v>9819</v>
      </c>
    </row>
    <row r="237" spans="1:20" ht="30">
      <c r="A237" s="349">
        <v>92109</v>
      </c>
      <c r="B237" s="342" t="s">
        <v>3656</v>
      </c>
      <c r="C237" s="234">
        <v>1.6799999999999999E-4</v>
      </c>
      <c r="D237" s="234">
        <v>1.7239999999999999E-4</v>
      </c>
      <c r="E237" s="343">
        <v>458795</v>
      </c>
      <c r="F237" s="231"/>
      <c r="G237" s="343">
        <v>78557</v>
      </c>
      <c r="H237" s="343">
        <v>11191</v>
      </c>
      <c r="I237" s="343">
        <v>74776</v>
      </c>
      <c r="J237" s="343">
        <v>305</v>
      </c>
      <c r="K237" s="343">
        <v>164829</v>
      </c>
      <c r="L237" s="231"/>
      <c r="M237" s="343">
        <v>0</v>
      </c>
      <c r="N237" s="343">
        <v>0</v>
      </c>
      <c r="O237" s="343">
        <v>14980</v>
      </c>
      <c r="P237" s="343">
        <v>14980</v>
      </c>
      <c r="Q237" s="231"/>
      <c r="R237" s="343">
        <v>204374</v>
      </c>
      <c r="S237" s="343">
        <v>-10022</v>
      </c>
      <c r="T237" s="343">
        <v>194352</v>
      </c>
    </row>
    <row r="238" spans="1:20">
      <c r="A238" s="349">
        <v>92111</v>
      </c>
      <c r="B238" s="342" t="s">
        <v>926</v>
      </c>
      <c r="C238" s="234">
        <v>4.9209999999999998E-4</v>
      </c>
      <c r="D238" s="234">
        <v>5.2209999999999995E-4</v>
      </c>
      <c r="E238" s="343">
        <v>1343887</v>
      </c>
      <c r="F238" s="231"/>
      <c r="G238" s="343">
        <v>230107</v>
      </c>
      <c r="H238" s="343">
        <v>32780</v>
      </c>
      <c r="I238" s="343">
        <v>219031</v>
      </c>
      <c r="J238" s="343">
        <v>2267</v>
      </c>
      <c r="K238" s="343">
        <v>484185</v>
      </c>
      <c r="L238" s="231"/>
      <c r="M238" s="343">
        <v>0</v>
      </c>
      <c r="N238" s="343">
        <v>0</v>
      </c>
      <c r="O238" s="343">
        <v>32417</v>
      </c>
      <c r="P238" s="343">
        <v>32417</v>
      </c>
      <c r="Q238" s="231"/>
      <c r="R238" s="343">
        <v>598646</v>
      </c>
      <c r="S238" s="343">
        <v>-9122</v>
      </c>
      <c r="T238" s="343">
        <v>589524</v>
      </c>
    </row>
    <row r="239" spans="1:20">
      <c r="A239" s="349">
        <v>92113</v>
      </c>
      <c r="B239" s="342" t="s">
        <v>2753</v>
      </c>
      <c r="C239" s="234">
        <v>1.7099999999999999E-5</v>
      </c>
      <c r="D239" s="234">
        <v>1.56E-5</v>
      </c>
      <c r="E239" s="343">
        <v>46699</v>
      </c>
      <c r="F239" s="231"/>
      <c r="G239" s="343">
        <v>7996</v>
      </c>
      <c r="H239" s="343">
        <v>1139</v>
      </c>
      <c r="I239" s="343">
        <v>7611</v>
      </c>
      <c r="J239" s="343">
        <v>11968</v>
      </c>
      <c r="K239" s="343">
        <v>28714</v>
      </c>
      <c r="L239" s="231"/>
      <c r="M239" s="343">
        <v>0</v>
      </c>
      <c r="N239" s="343">
        <v>0</v>
      </c>
      <c r="O239" s="343">
        <v>1088</v>
      </c>
      <c r="P239" s="343">
        <v>1088</v>
      </c>
      <c r="Q239" s="231"/>
      <c r="R239" s="343">
        <v>20802</v>
      </c>
      <c r="S239" s="343">
        <v>8614</v>
      </c>
      <c r="T239" s="343">
        <v>29416</v>
      </c>
    </row>
    <row r="240" spans="1:20">
      <c r="A240" s="349">
        <v>92201</v>
      </c>
      <c r="B240" s="342" t="s">
        <v>928</v>
      </c>
      <c r="C240" s="234">
        <v>8.3589999999999999E-4</v>
      </c>
      <c r="D240" s="234">
        <v>9.1100000000000003E-4</v>
      </c>
      <c r="E240" s="343">
        <v>2282778</v>
      </c>
      <c r="F240" s="231"/>
      <c r="G240" s="343">
        <v>390869</v>
      </c>
      <c r="H240" s="343">
        <v>55680</v>
      </c>
      <c r="I240" s="343">
        <v>372055</v>
      </c>
      <c r="J240" s="343">
        <v>2788</v>
      </c>
      <c r="K240" s="343">
        <v>821392</v>
      </c>
      <c r="L240" s="231"/>
      <c r="M240" s="343">
        <v>0</v>
      </c>
      <c r="N240" s="343">
        <v>0</v>
      </c>
      <c r="O240" s="343">
        <v>61033</v>
      </c>
      <c r="P240" s="343">
        <v>61033</v>
      </c>
      <c r="Q240" s="231"/>
      <c r="R240" s="343">
        <v>1016883</v>
      </c>
      <c r="S240" s="343">
        <v>-10220</v>
      </c>
      <c r="T240" s="343">
        <v>1006663</v>
      </c>
    </row>
    <row r="241" spans="1:20">
      <c r="A241" s="349">
        <v>92214</v>
      </c>
      <c r="B241" s="342" t="s">
        <v>1925</v>
      </c>
      <c r="C241" s="234">
        <v>2.02E-5</v>
      </c>
      <c r="D241" s="234">
        <v>1.9000000000000001E-5</v>
      </c>
      <c r="E241" s="343">
        <v>55165</v>
      </c>
      <c r="F241" s="231"/>
      <c r="G241" s="343">
        <v>9446</v>
      </c>
      <c r="H241" s="343">
        <v>1346</v>
      </c>
      <c r="I241" s="343">
        <v>8991</v>
      </c>
      <c r="J241" s="343">
        <v>11219</v>
      </c>
      <c r="K241" s="343">
        <v>31002</v>
      </c>
      <c r="L241" s="231"/>
      <c r="M241" s="343">
        <v>0</v>
      </c>
      <c r="N241" s="343">
        <v>0</v>
      </c>
      <c r="O241" s="343">
        <v>0</v>
      </c>
      <c r="P241" s="343">
        <v>0</v>
      </c>
      <c r="Q241" s="231"/>
      <c r="R241" s="343">
        <v>24574</v>
      </c>
      <c r="S241" s="343">
        <v>3681</v>
      </c>
      <c r="T241" s="343">
        <v>28255</v>
      </c>
    </row>
    <row r="242" spans="1:20">
      <c r="A242" s="349">
        <v>92301</v>
      </c>
      <c r="B242" s="342" t="s">
        <v>929</v>
      </c>
      <c r="C242" s="234">
        <v>5.6146E-3</v>
      </c>
      <c r="D242" s="234">
        <v>5.1875999999999997E-3</v>
      </c>
      <c r="E242" s="343">
        <v>15333035</v>
      </c>
      <c r="F242" s="231"/>
      <c r="G242" s="343">
        <v>2625404</v>
      </c>
      <c r="H242" s="343">
        <v>373994</v>
      </c>
      <c r="I242" s="343">
        <v>2499030</v>
      </c>
      <c r="J242" s="343">
        <v>147901</v>
      </c>
      <c r="K242" s="343">
        <v>5646329</v>
      </c>
      <c r="L242" s="231"/>
      <c r="M242" s="343">
        <v>0</v>
      </c>
      <c r="N242" s="343">
        <v>0</v>
      </c>
      <c r="O242" s="343">
        <v>16034</v>
      </c>
      <c r="P242" s="343">
        <v>16034</v>
      </c>
      <c r="Q242" s="231"/>
      <c r="R242" s="343">
        <v>6830234</v>
      </c>
      <c r="S242" s="343">
        <v>50309</v>
      </c>
      <c r="T242" s="343">
        <v>6880543</v>
      </c>
    </row>
    <row r="243" spans="1:20">
      <c r="A243" s="349">
        <v>92302</v>
      </c>
      <c r="B243" s="342" t="s">
        <v>930</v>
      </c>
      <c r="C243" s="234">
        <v>3.0249999999999998E-4</v>
      </c>
      <c r="D243" s="234">
        <v>3.2410000000000002E-4</v>
      </c>
      <c r="E243" s="343">
        <v>826104</v>
      </c>
      <c r="F243" s="231"/>
      <c r="G243" s="343">
        <v>141450</v>
      </c>
      <c r="H243" s="343">
        <v>20150</v>
      </c>
      <c r="I243" s="343">
        <v>134641</v>
      </c>
      <c r="J243" s="343">
        <v>4846</v>
      </c>
      <c r="K243" s="343">
        <v>301087</v>
      </c>
      <c r="L243" s="231"/>
      <c r="M243" s="343">
        <v>0</v>
      </c>
      <c r="N243" s="343">
        <v>0</v>
      </c>
      <c r="O243" s="343">
        <v>36506</v>
      </c>
      <c r="P243" s="343">
        <v>36506</v>
      </c>
      <c r="Q243" s="231"/>
      <c r="R243" s="343">
        <v>367995</v>
      </c>
      <c r="S243" s="343">
        <v>-11729</v>
      </c>
      <c r="T243" s="343">
        <v>356266</v>
      </c>
    </row>
    <row r="244" spans="1:20">
      <c r="A244" s="349">
        <v>92311</v>
      </c>
      <c r="B244" s="342" t="s">
        <v>931</v>
      </c>
      <c r="C244" s="234">
        <v>2.2645999999999999E-3</v>
      </c>
      <c r="D244" s="234">
        <v>2.2258999999999998E-3</v>
      </c>
      <c r="E244" s="343">
        <v>6184446</v>
      </c>
      <c r="F244" s="231"/>
      <c r="G244" s="343">
        <v>1058934</v>
      </c>
      <c r="H244" s="343">
        <v>150847</v>
      </c>
      <c r="I244" s="343">
        <v>1007962</v>
      </c>
      <c r="J244" s="343">
        <v>12324</v>
      </c>
      <c r="K244" s="343">
        <v>2230067</v>
      </c>
      <c r="L244" s="231"/>
      <c r="M244" s="343">
        <v>0</v>
      </c>
      <c r="N244" s="343">
        <v>0</v>
      </c>
      <c r="O244" s="343">
        <v>50003</v>
      </c>
      <c r="P244" s="343">
        <v>50003</v>
      </c>
      <c r="Q244" s="231"/>
      <c r="R244" s="343">
        <v>2754915</v>
      </c>
      <c r="S244" s="343">
        <v>-23476</v>
      </c>
      <c r="T244" s="343">
        <v>2731439</v>
      </c>
    </row>
    <row r="245" spans="1:20">
      <c r="A245" s="349">
        <v>92317</v>
      </c>
      <c r="B245" s="342" t="s">
        <v>932</v>
      </c>
      <c r="C245" s="234">
        <v>2.97E-5</v>
      </c>
      <c r="D245" s="234">
        <v>2.1800000000000001E-5</v>
      </c>
      <c r="E245" s="343">
        <v>81108</v>
      </c>
      <c r="F245" s="231"/>
      <c r="G245" s="343">
        <v>13888</v>
      </c>
      <c r="H245" s="343">
        <v>1978</v>
      </c>
      <c r="I245" s="343">
        <v>13219</v>
      </c>
      <c r="J245" s="343">
        <v>21658</v>
      </c>
      <c r="K245" s="343">
        <v>50743</v>
      </c>
      <c r="L245" s="231"/>
      <c r="M245" s="343">
        <v>0</v>
      </c>
      <c r="N245" s="343">
        <v>0</v>
      </c>
      <c r="O245" s="343">
        <v>0</v>
      </c>
      <c r="P245" s="343">
        <v>0</v>
      </c>
      <c r="Q245" s="231"/>
      <c r="R245" s="343">
        <v>36130</v>
      </c>
      <c r="S245" s="343">
        <v>9275</v>
      </c>
      <c r="T245" s="343">
        <v>45405</v>
      </c>
    </row>
    <row r="246" spans="1:20">
      <c r="A246" s="349">
        <v>92321</v>
      </c>
      <c r="B246" s="342" t="s">
        <v>933</v>
      </c>
      <c r="C246" s="234">
        <v>1.2122999999999999E-3</v>
      </c>
      <c r="D246" s="234">
        <v>1.2386000000000001E-3</v>
      </c>
      <c r="E246" s="343">
        <v>3310697</v>
      </c>
      <c r="F246" s="231"/>
      <c r="G246" s="343">
        <v>566875</v>
      </c>
      <c r="H246" s="343">
        <v>80752</v>
      </c>
      <c r="I246" s="343">
        <v>539589</v>
      </c>
      <c r="J246" s="343">
        <v>30833</v>
      </c>
      <c r="K246" s="343">
        <v>1218049</v>
      </c>
      <c r="L246" s="231"/>
      <c r="M246" s="343">
        <v>0</v>
      </c>
      <c r="N246" s="343">
        <v>0</v>
      </c>
      <c r="O246" s="343">
        <v>19782</v>
      </c>
      <c r="P246" s="343">
        <v>19782</v>
      </c>
      <c r="Q246" s="231"/>
      <c r="R246" s="343">
        <v>1474779</v>
      </c>
      <c r="S246" s="343">
        <v>12437</v>
      </c>
      <c r="T246" s="343">
        <v>1487216</v>
      </c>
    </row>
    <row r="247" spans="1:20">
      <c r="A247" s="349">
        <v>92327</v>
      </c>
      <c r="B247" s="342" t="s">
        <v>934</v>
      </c>
      <c r="C247" s="234">
        <v>6.4999999999999996E-6</v>
      </c>
      <c r="D247" s="234">
        <v>6.8000000000000001E-6</v>
      </c>
      <c r="E247" s="343">
        <v>17751</v>
      </c>
      <c r="F247" s="231"/>
      <c r="G247" s="343">
        <v>3039</v>
      </c>
      <c r="H247" s="343">
        <v>433</v>
      </c>
      <c r="I247" s="343">
        <v>2893</v>
      </c>
      <c r="J247" s="343">
        <v>6635</v>
      </c>
      <c r="K247" s="343">
        <v>13000</v>
      </c>
      <c r="L247" s="231"/>
      <c r="M247" s="343">
        <v>0</v>
      </c>
      <c r="N247" s="343">
        <v>0</v>
      </c>
      <c r="O247" s="343">
        <v>0</v>
      </c>
      <c r="P247" s="343">
        <v>0</v>
      </c>
      <c r="Q247" s="231"/>
      <c r="R247" s="343">
        <v>7907</v>
      </c>
      <c r="S247" s="343">
        <v>2578</v>
      </c>
      <c r="T247" s="343">
        <v>10485</v>
      </c>
    </row>
    <row r="248" spans="1:20">
      <c r="A248" s="349">
        <v>92331</v>
      </c>
      <c r="B248" s="342" t="s">
        <v>935</v>
      </c>
      <c r="C248" s="234">
        <v>1.351E-4</v>
      </c>
      <c r="D248" s="234">
        <v>1.315E-4</v>
      </c>
      <c r="E248" s="343">
        <v>368948</v>
      </c>
      <c r="F248" s="231"/>
      <c r="G248" s="343">
        <v>63173</v>
      </c>
      <c r="H248" s="343">
        <v>8999</v>
      </c>
      <c r="I248" s="343">
        <v>60132</v>
      </c>
      <c r="J248" s="343">
        <v>6806</v>
      </c>
      <c r="K248" s="343">
        <v>139110</v>
      </c>
      <c r="L248" s="231"/>
      <c r="M248" s="343">
        <v>0</v>
      </c>
      <c r="N248" s="343">
        <v>0</v>
      </c>
      <c r="O248" s="343">
        <v>6009</v>
      </c>
      <c r="P248" s="343">
        <v>6009</v>
      </c>
      <c r="Q248" s="231"/>
      <c r="R248" s="343">
        <v>164351</v>
      </c>
      <c r="S248" s="343">
        <v>-1371</v>
      </c>
      <c r="T248" s="343">
        <v>162980</v>
      </c>
    </row>
    <row r="249" spans="1:20">
      <c r="A249" s="349">
        <v>92341</v>
      </c>
      <c r="B249" s="342" t="s">
        <v>936</v>
      </c>
      <c r="C249" s="234">
        <v>8.4999999999999999E-6</v>
      </c>
      <c r="D249" s="234">
        <v>9.2E-6</v>
      </c>
      <c r="E249" s="343">
        <v>23213</v>
      </c>
      <c r="F249" s="231"/>
      <c r="G249" s="343">
        <v>3975</v>
      </c>
      <c r="H249" s="343">
        <v>566</v>
      </c>
      <c r="I249" s="343">
        <v>3783</v>
      </c>
      <c r="J249" s="343">
        <v>172</v>
      </c>
      <c r="K249" s="343">
        <v>8496</v>
      </c>
      <c r="L249" s="231"/>
      <c r="M249" s="343">
        <v>0</v>
      </c>
      <c r="N249" s="343">
        <v>0</v>
      </c>
      <c r="O249" s="343">
        <v>2534</v>
      </c>
      <c r="P249" s="343">
        <v>2534</v>
      </c>
      <c r="Q249" s="231"/>
      <c r="R249" s="343">
        <v>10340</v>
      </c>
      <c r="S249" s="343">
        <v>-1489</v>
      </c>
      <c r="T249" s="343">
        <v>8851</v>
      </c>
    </row>
    <row r="250" spans="1:20">
      <c r="A250" s="349">
        <v>92351</v>
      </c>
      <c r="B250" s="342" t="s">
        <v>937</v>
      </c>
      <c r="C250" s="234">
        <v>1.7499999999999998E-5</v>
      </c>
      <c r="D250" s="234">
        <v>1.9400000000000001E-5</v>
      </c>
      <c r="E250" s="343">
        <v>47791</v>
      </c>
      <c r="F250" s="231"/>
      <c r="G250" s="343">
        <v>8183</v>
      </c>
      <c r="H250" s="343">
        <v>1166</v>
      </c>
      <c r="I250" s="343">
        <v>7789</v>
      </c>
      <c r="J250" s="343">
        <v>2491</v>
      </c>
      <c r="K250" s="343">
        <v>19629</v>
      </c>
      <c r="L250" s="231"/>
      <c r="M250" s="343">
        <v>0</v>
      </c>
      <c r="N250" s="343">
        <v>0</v>
      </c>
      <c r="O250" s="343">
        <v>1712</v>
      </c>
      <c r="P250" s="343">
        <v>1712</v>
      </c>
      <c r="Q250" s="231"/>
      <c r="R250" s="343">
        <v>21289</v>
      </c>
      <c r="S250" s="343">
        <v>-880</v>
      </c>
      <c r="T250" s="343">
        <v>20409</v>
      </c>
    </row>
    <row r="251" spans="1:20">
      <c r="A251" s="349">
        <v>92401</v>
      </c>
      <c r="B251" s="342" t="s">
        <v>938</v>
      </c>
      <c r="C251" s="234">
        <v>2.6340000000000001E-3</v>
      </c>
      <c r="D251" s="234">
        <v>2.4808E-3</v>
      </c>
      <c r="E251" s="343">
        <v>7193249</v>
      </c>
      <c r="F251" s="231"/>
      <c r="G251" s="343">
        <v>1231666</v>
      </c>
      <c r="H251" s="343">
        <v>175453</v>
      </c>
      <c r="I251" s="343">
        <v>1172380</v>
      </c>
      <c r="J251" s="343">
        <v>226873</v>
      </c>
      <c r="K251" s="343">
        <v>2806372</v>
      </c>
      <c r="L251" s="231"/>
      <c r="M251" s="343">
        <v>0</v>
      </c>
      <c r="N251" s="343">
        <v>0</v>
      </c>
      <c r="O251" s="343">
        <v>40702</v>
      </c>
      <c r="P251" s="343">
        <v>40702</v>
      </c>
      <c r="Q251" s="231"/>
      <c r="R251" s="343">
        <v>3204295</v>
      </c>
      <c r="S251" s="343">
        <v>44125</v>
      </c>
      <c r="T251" s="343">
        <v>3248420</v>
      </c>
    </row>
    <row r="252" spans="1:20">
      <c r="A252" s="349">
        <v>92403</v>
      </c>
      <c r="B252" s="342" t="s">
        <v>939</v>
      </c>
      <c r="C252" s="234">
        <v>9.0999999999999993E-6</v>
      </c>
      <c r="D252" s="234">
        <v>1.0200000000000001E-5</v>
      </c>
      <c r="E252" s="343">
        <v>24851</v>
      </c>
      <c r="F252" s="231"/>
      <c r="G252" s="343">
        <v>4255</v>
      </c>
      <c r="H252" s="343">
        <v>606</v>
      </c>
      <c r="I252" s="343">
        <v>4050</v>
      </c>
      <c r="J252" s="343">
        <v>1653</v>
      </c>
      <c r="K252" s="343">
        <v>10564</v>
      </c>
      <c r="L252" s="231"/>
      <c r="M252" s="343">
        <v>0</v>
      </c>
      <c r="N252" s="343">
        <v>0</v>
      </c>
      <c r="O252" s="343">
        <v>394</v>
      </c>
      <c r="P252" s="343">
        <v>394</v>
      </c>
      <c r="Q252" s="231"/>
      <c r="R252" s="343">
        <v>11070</v>
      </c>
      <c r="S252" s="343">
        <v>304</v>
      </c>
      <c r="T252" s="343">
        <v>11374</v>
      </c>
    </row>
    <row r="253" spans="1:20">
      <c r="A253" s="349">
        <v>92411</v>
      </c>
      <c r="B253" s="342" t="s">
        <v>940</v>
      </c>
      <c r="C253" s="234">
        <v>4.5199999999999998E-4</v>
      </c>
      <c r="D253" s="234">
        <v>4.4569999999999999E-4</v>
      </c>
      <c r="E253" s="343">
        <v>1234377</v>
      </c>
      <c r="F253" s="231"/>
      <c r="G253" s="343">
        <v>211357</v>
      </c>
      <c r="H253" s="343">
        <v>30108</v>
      </c>
      <c r="I253" s="343">
        <v>201183</v>
      </c>
      <c r="J253" s="343">
        <v>5996</v>
      </c>
      <c r="K253" s="343">
        <v>448644</v>
      </c>
      <c r="L253" s="231"/>
      <c r="M253" s="343">
        <v>0</v>
      </c>
      <c r="N253" s="343">
        <v>0</v>
      </c>
      <c r="O253" s="343">
        <v>47846</v>
      </c>
      <c r="P253" s="343">
        <v>47846</v>
      </c>
      <c r="Q253" s="231"/>
      <c r="R253" s="343">
        <v>549864</v>
      </c>
      <c r="S253" s="343">
        <v>-23070</v>
      </c>
      <c r="T253" s="343">
        <v>526794</v>
      </c>
    </row>
    <row r="254" spans="1:20">
      <c r="A254" s="349">
        <v>92417</v>
      </c>
      <c r="B254" s="342" t="s">
        <v>941</v>
      </c>
      <c r="C254" s="234">
        <v>1.73E-5</v>
      </c>
      <c r="D254" s="234">
        <v>1.8600000000000001E-5</v>
      </c>
      <c r="E254" s="343">
        <v>47245</v>
      </c>
      <c r="F254" s="231"/>
      <c r="G254" s="343">
        <v>8090</v>
      </c>
      <c r="H254" s="343">
        <v>1153</v>
      </c>
      <c r="I254" s="343">
        <v>7700</v>
      </c>
      <c r="J254" s="343">
        <v>0</v>
      </c>
      <c r="K254" s="343">
        <v>16943</v>
      </c>
      <c r="L254" s="231"/>
      <c r="M254" s="343">
        <v>0</v>
      </c>
      <c r="N254" s="343">
        <v>0</v>
      </c>
      <c r="O254" s="343">
        <v>5960</v>
      </c>
      <c r="P254" s="343">
        <v>5960</v>
      </c>
      <c r="Q254" s="231"/>
      <c r="R254" s="343">
        <v>21046</v>
      </c>
      <c r="S254" s="343">
        <v>-2197</v>
      </c>
      <c r="T254" s="343">
        <v>18849</v>
      </c>
    </row>
    <row r="255" spans="1:20">
      <c r="A255" s="349">
        <v>92421</v>
      </c>
      <c r="B255" s="342" t="s">
        <v>942</v>
      </c>
      <c r="C255" s="234">
        <v>1.6399999999999999E-5</v>
      </c>
      <c r="D255" s="234">
        <v>8.6999999999999997E-6</v>
      </c>
      <c r="E255" s="343">
        <v>44787</v>
      </c>
      <c r="F255" s="231"/>
      <c r="G255" s="343">
        <v>7669</v>
      </c>
      <c r="H255" s="343">
        <v>1092</v>
      </c>
      <c r="I255" s="343">
        <v>7300</v>
      </c>
      <c r="J255" s="343">
        <v>10480</v>
      </c>
      <c r="K255" s="343">
        <v>26541</v>
      </c>
      <c r="L255" s="231"/>
      <c r="M255" s="343">
        <v>0</v>
      </c>
      <c r="N255" s="343">
        <v>0</v>
      </c>
      <c r="O255" s="343">
        <v>344</v>
      </c>
      <c r="P255" s="343">
        <v>344</v>
      </c>
      <c r="Q255" s="231"/>
      <c r="R255" s="343">
        <v>19951</v>
      </c>
      <c r="S255" s="343">
        <v>2995</v>
      </c>
      <c r="T255" s="343">
        <v>22946</v>
      </c>
    </row>
    <row r="256" spans="1:20">
      <c r="A256" s="349">
        <v>92427</v>
      </c>
      <c r="B256" s="342" t="s">
        <v>943</v>
      </c>
      <c r="C256" s="234">
        <v>1.9E-6</v>
      </c>
      <c r="D256" s="234">
        <v>1.9999999999999999E-6</v>
      </c>
      <c r="E256" s="343">
        <v>5189</v>
      </c>
      <c r="F256" s="231"/>
      <c r="G256" s="343">
        <v>888</v>
      </c>
      <c r="H256" s="343">
        <v>127</v>
      </c>
      <c r="I256" s="343">
        <v>846</v>
      </c>
      <c r="J256" s="343">
        <v>2423</v>
      </c>
      <c r="K256" s="343">
        <v>4284</v>
      </c>
      <c r="L256" s="231"/>
      <c r="M256" s="343">
        <v>0</v>
      </c>
      <c r="N256" s="343">
        <v>0</v>
      </c>
      <c r="O256" s="343">
        <v>0</v>
      </c>
      <c r="P256" s="343">
        <v>0</v>
      </c>
      <c r="Q256" s="231"/>
      <c r="R256" s="343">
        <v>2311</v>
      </c>
      <c r="S256" s="343">
        <v>1137</v>
      </c>
      <c r="T256" s="343">
        <v>3448</v>
      </c>
    </row>
    <row r="257" spans="1:20">
      <c r="A257" s="349">
        <v>92431</v>
      </c>
      <c r="B257" s="342" t="s">
        <v>944</v>
      </c>
      <c r="C257" s="234">
        <v>2.6999999999999999E-5</v>
      </c>
      <c r="D257" s="234">
        <v>2.1999999999999999E-5</v>
      </c>
      <c r="E257" s="343">
        <v>73735</v>
      </c>
      <c r="F257" s="231"/>
      <c r="G257" s="343">
        <v>12625</v>
      </c>
      <c r="H257" s="343">
        <v>1798</v>
      </c>
      <c r="I257" s="343">
        <v>12018</v>
      </c>
      <c r="J257" s="343">
        <v>14717</v>
      </c>
      <c r="K257" s="343">
        <v>41158</v>
      </c>
      <c r="L257" s="231"/>
      <c r="M257" s="343">
        <v>0</v>
      </c>
      <c r="N257" s="343">
        <v>0</v>
      </c>
      <c r="O257" s="343">
        <v>2198</v>
      </c>
      <c r="P257" s="343">
        <v>2198</v>
      </c>
      <c r="Q257" s="231"/>
      <c r="R257" s="343">
        <v>32846</v>
      </c>
      <c r="S257" s="343">
        <v>5801</v>
      </c>
      <c r="T257" s="343">
        <v>38647</v>
      </c>
    </row>
    <row r="258" spans="1:20">
      <c r="A258" s="349">
        <v>92441</v>
      </c>
      <c r="B258" s="342" t="s">
        <v>945</v>
      </c>
      <c r="C258" s="234">
        <v>8.6500000000000002E-5</v>
      </c>
      <c r="D258" s="234">
        <v>1.002E-4</v>
      </c>
      <c r="E258" s="343">
        <v>236225</v>
      </c>
      <c r="F258" s="231"/>
      <c r="G258" s="343">
        <v>40448</v>
      </c>
      <c r="H258" s="343">
        <v>5762</v>
      </c>
      <c r="I258" s="343">
        <v>38501</v>
      </c>
      <c r="J258" s="343">
        <v>11504</v>
      </c>
      <c r="K258" s="343">
        <v>96215</v>
      </c>
      <c r="L258" s="231"/>
      <c r="M258" s="343">
        <v>0</v>
      </c>
      <c r="N258" s="343">
        <v>0</v>
      </c>
      <c r="O258" s="343">
        <v>17766</v>
      </c>
      <c r="P258" s="343">
        <v>17766</v>
      </c>
      <c r="Q258" s="231"/>
      <c r="R258" s="343">
        <v>105228</v>
      </c>
      <c r="S258" s="343">
        <v>-2772</v>
      </c>
      <c r="T258" s="343">
        <v>102456</v>
      </c>
    </row>
    <row r="259" spans="1:20">
      <c r="A259" s="349">
        <v>92444</v>
      </c>
      <c r="B259" s="342" t="s">
        <v>946</v>
      </c>
      <c r="C259" s="234">
        <v>5.1000000000000003E-6</v>
      </c>
      <c r="D259" s="234">
        <v>1.7E-6</v>
      </c>
      <c r="E259" s="343">
        <v>13928</v>
      </c>
      <c r="F259" s="231"/>
      <c r="G259" s="343">
        <v>2385</v>
      </c>
      <c r="H259" s="343">
        <v>340</v>
      </c>
      <c r="I259" s="343">
        <v>2270</v>
      </c>
      <c r="J259" s="343">
        <v>6146</v>
      </c>
      <c r="K259" s="343">
        <v>11141</v>
      </c>
      <c r="L259" s="231"/>
      <c r="M259" s="343">
        <v>0</v>
      </c>
      <c r="N259" s="343">
        <v>0</v>
      </c>
      <c r="O259" s="343">
        <v>0</v>
      </c>
      <c r="P259" s="343">
        <v>0</v>
      </c>
      <c r="Q259" s="231"/>
      <c r="R259" s="343">
        <v>6204</v>
      </c>
      <c r="S259" s="343">
        <v>2192</v>
      </c>
      <c r="T259" s="343">
        <v>8396</v>
      </c>
    </row>
    <row r="260" spans="1:20">
      <c r="A260" s="349">
        <v>92451</v>
      </c>
      <c r="B260" s="342" t="s">
        <v>947</v>
      </c>
      <c r="C260" s="234">
        <v>1.143E-4</v>
      </c>
      <c r="D260" s="234">
        <v>1.2650000000000001E-4</v>
      </c>
      <c r="E260" s="343">
        <v>312144</v>
      </c>
      <c r="F260" s="231"/>
      <c r="G260" s="343">
        <v>53447</v>
      </c>
      <c r="H260" s="343">
        <v>7613</v>
      </c>
      <c r="I260" s="343">
        <v>50874</v>
      </c>
      <c r="J260" s="343">
        <v>25219</v>
      </c>
      <c r="K260" s="343">
        <v>137153</v>
      </c>
      <c r="L260" s="231"/>
      <c r="M260" s="343">
        <v>0</v>
      </c>
      <c r="N260" s="343">
        <v>0</v>
      </c>
      <c r="O260" s="343">
        <v>0</v>
      </c>
      <c r="P260" s="343">
        <v>0</v>
      </c>
      <c r="Q260" s="231"/>
      <c r="R260" s="343">
        <v>139047</v>
      </c>
      <c r="S260" s="343">
        <v>14680</v>
      </c>
      <c r="T260" s="343">
        <v>153727</v>
      </c>
    </row>
    <row r="261" spans="1:20" ht="14.25" customHeight="1">
      <c r="A261" s="349">
        <v>92461</v>
      </c>
      <c r="B261" s="342" t="s">
        <v>948</v>
      </c>
      <c r="C261" s="234">
        <v>5.8400000000000003E-5</v>
      </c>
      <c r="D261" s="234">
        <v>6.7500000000000001E-5</v>
      </c>
      <c r="E261" s="343">
        <v>159486</v>
      </c>
      <c r="F261" s="231"/>
      <c r="G261" s="343">
        <v>27308</v>
      </c>
      <c r="H261" s="343">
        <v>3890</v>
      </c>
      <c r="I261" s="343">
        <v>25994</v>
      </c>
      <c r="J261" s="343">
        <v>10583</v>
      </c>
      <c r="K261" s="343">
        <v>67775</v>
      </c>
      <c r="L261" s="231"/>
      <c r="M261" s="343">
        <v>0</v>
      </c>
      <c r="N261" s="343">
        <v>0</v>
      </c>
      <c r="O261" s="343">
        <v>0</v>
      </c>
      <c r="P261" s="343">
        <v>0</v>
      </c>
      <c r="Q261" s="231"/>
      <c r="R261" s="343">
        <v>71044</v>
      </c>
      <c r="S261" s="343">
        <v>3640</v>
      </c>
      <c r="T261" s="343">
        <v>74684</v>
      </c>
    </row>
    <row r="262" spans="1:20">
      <c r="A262" s="349">
        <v>92501</v>
      </c>
      <c r="B262" s="342" t="s">
        <v>949</v>
      </c>
      <c r="C262" s="234">
        <v>3.7055999999999999E-3</v>
      </c>
      <c r="D262" s="234">
        <v>3.7823000000000002E-3</v>
      </c>
      <c r="E262" s="343">
        <v>10119705</v>
      </c>
      <c r="F262" s="231"/>
      <c r="G262" s="343">
        <v>1732750</v>
      </c>
      <c r="H262" s="343">
        <v>246833</v>
      </c>
      <c r="I262" s="343">
        <v>1649344</v>
      </c>
      <c r="J262" s="343">
        <v>208346</v>
      </c>
      <c r="K262" s="343">
        <v>3837273</v>
      </c>
      <c r="L262" s="231"/>
      <c r="M262" s="343">
        <v>0</v>
      </c>
      <c r="N262" s="343">
        <v>0</v>
      </c>
      <c r="O262" s="343">
        <v>0</v>
      </c>
      <c r="P262" s="343">
        <v>0</v>
      </c>
      <c r="Q262" s="231"/>
      <c r="R262" s="343">
        <v>4507911</v>
      </c>
      <c r="S262" s="343">
        <v>71797</v>
      </c>
      <c r="T262" s="343">
        <v>4579708</v>
      </c>
    </row>
    <row r="263" spans="1:20">
      <c r="A263" s="349">
        <v>92502</v>
      </c>
      <c r="B263" s="342" t="s">
        <v>3657</v>
      </c>
      <c r="C263" s="234">
        <v>2.3600000000000001E-5</v>
      </c>
      <c r="D263" s="234">
        <v>2.5700000000000001E-5</v>
      </c>
      <c r="E263" s="343">
        <v>64450</v>
      </c>
      <c r="F263" s="231"/>
      <c r="G263" s="343">
        <v>11035</v>
      </c>
      <c r="H263" s="343">
        <v>1572</v>
      </c>
      <c r="I263" s="343">
        <v>10504</v>
      </c>
      <c r="J263" s="343">
        <v>3229</v>
      </c>
      <c r="K263" s="343">
        <v>26340</v>
      </c>
      <c r="L263" s="231"/>
      <c r="M263" s="343">
        <v>0</v>
      </c>
      <c r="N263" s="343">
        <v>0</v>
      </c>
      <c r="O263" s="343">
        <v>0</v>
      </c>
      <c r="P263" s="343">
        <v>0</v>
      </c>
      <c r="Q263" s="231"/>
      <c r="R263" s="343">
        <v>28710</v>
      </c>
      <c r="S263" s="343">
        <v>1085</v>
      </c>
      <c r="T263" s="343">
        <v>29795</v>
      </c>
    </row>
    <row r="264" spans="1:20">
      <c r="A264" s="349">
        <v>92504</v>
      </c>
      <c r="B264" s="342" t="s">
        <v>3658</v>
      </c>
      <c r="C264" s="234">
        <v>7.6299999999999998E-5</v>
      </c>
      <c r="D264" s="234">
        <v>7.86E-5</v>
      </c>
      <c r="E264" s="343">
        <v>208369</v>
      </c>
      <c r="F264" s="231"/>
      <c r="G264" s="343">
        <v>35678</v>
      </c>
      <c r="H264" s="343">
        <v>5083</v>
      </c>
      <c r="I264" s="343">
        <v>33961</v>
      </c>
      <c r="J264" s="343">
        <v>23999</v>
      </c>
      <c r="K264" s="343">
        <v>98721</v>
      </c>
      <c r="L264" s="231"/>
      <c r="M264" s="343">
        <v>0</v>
      </c>
      <c r="N264" s="343">
        <v>0</v>
      </c>
      <c r="O264" s="343">
        <v>0</v>
      </c>
      <c r="P264" s="343">
        <v>0</v>
      </c>
      <c r="Q264" s="231"/>
      <c r="R264" s="343">
        <v>92820</v>
      </c>
      <c r="S264" s="343">
        <v>13220</v>
      </c>
      <c r="T264" s="343">
        <v>106040</v>
      </c>
    </row>
    <row r="265" spans="1:20">
      <c r="A265" s="349">
        <v>92505</v>
      </c>
      <c r="B265" s="342" t="s">
        <v>952</v>
      </c>
      <c r="C265" s="234">
        <v>1.7090000000000001E-4</v>
      </c>
      <c r="D265" s="234">
        <v>1.8330000000000001E-4</v>
      </c>
      <c r="E265" s="343">
        <v>466715</v>
      </c>
      <c r="F265" s="231"/>
      <c r="G265" s="343">
        <v>79913</v>
      </c>
      <c r="H265" s="343">
        <v>11384</v>
      </c>
      <c r="I265" s="343">
        <v>76067</v>
      </c>
      <c r="J265" s="343">
        <v>61772</v>
      </c>
      <c r="K265" s="343">
        <v>229136</v>
      </c>
      <c r="L265" s="231"/>
      <c r="M265" s="343">
        <v>0</v>
      </c>
      <c r="N265" s="343">
        <v>0</v>
      </c>
      <c r="O265" s="343">
        <v>0</v>
      </c>
      <c r="P265" s="343">
        <v>0</v>
      </c>
      <c r="Q265" s="231"/>
      <c r="R265" s="343">
        <v>207902</v>
      </c>
      <c r="S265" s="343">
        <v>30052</v>
      </c>
      <c r="T265" s="343">
        <v>237954</v>
      </c>
    </row>
    <row r="266" spans="1:20">
      <c r="A266" s="349">
        <v>92506</v>
      </c>
      <c r="B266" s="342" t="s">
        <v>953</v>
      </c>
      <c r="C266" s="234">
        <v>5.38E-5</v>
      </c>
      <c r="D266" s="234">
        <v>6.05E-5</v>
      </c>
      <c r="E266" s="343">
        <v>146924</v>
      </c>
      <c r="F266" s="231"/>
      <c r="G266" s="343">
        <v>25157</v>
      </c>
      <c r="H266" s="343">
        <v>3583</v>
      </c>
      <c r="I266" s="343">
        <v>23946</v>
      </c>
      <c r="J266" s="343">
        <v>14720</v>
      </c>
      <c r="K266" s="343">
        <v>67406</v>
      </c>
      <c r="L266" s="231"/>
      <c r="M266" s="343">
        <v>0</v>
      </c>
      <c r="N266" s="343">
        <v>0</v>
      </c>
      <c r="O266" s="343">
        <v>1333</v>
      </c>
      <c r="P266" s="343">
        <v>1333</v>
      </c>
      <c r="Q266" s="231"/>
      <c r="R266" s="343">
        <v>65448</v>
      </c>
      <c r="S266" s="343">
        <v>8751</v>
      </c>
      <c r="T266" s="343">
        <v>74199</v>
      </c>
    </row>
    <row r="267" spans="1:20">
      <c r="A267" s="349">
        <v>92507</v>
      </c>
      <c r="B267" s="342" t="s">
        <v>954</v>
      </c>
      <c r="C267" s="234">
        <v>1.01E-4</v>
      </c>
      <c r="D267" s="234">
        <v>9.2800000000000006E-5</v>
      </c>
      <c r="E267" s="343">
        <v>275823</v>
      </c>
      <c r="F267" s="231"/>
      <c r="G267" s="343">
        <v>47228</v>
      </c>
      <c r="H267" s="343">
        <v>6727</v>
      </c>
      <c r="I267" s="343">
        <v>44955</v>
      </c>
      <c r="J267" s="343">
        <v>6887</v>
      </c>
      <c r="K267" s="343">
        <v>105797</v>
      </c>
      <c r="L267" s="231"/>
      <c r="M267" s="343">
        <v>0</v>
      </c>
      <c r="N267" s="343">
        <v>0</v>
      </c>
      <c r="O267" s="343">
        <v>8456</v>
      </c>
      <c r="P267" s="343">
        <v>8456</v>
      </c>
      <c r="Q267" s="231"/>
      <c r="R267" s="343">
        <v>122868</v>
      </c>
      <c r="S267" s="343">
        <v>-2095</v>
      </c>
      <c r="T267" s="343">
        <v>120773</v>
      </c>
    </row>
    <row r="268" spans="1:20" ht="30">
      <c r="A268" s="349">
        <v>92508</v>
      </c>
      <c r="B268" s="342" t="s">
        <v>3659</v>
      </c>
      <c r="C268" s="234">
        <v>3.102E-4</v>
      </c>
      <c r="D268" s="234">
        <v>3.076E-4</v>
      </c>
      <c r="E268" s="343">
        <v>847132</v>
      </c>
      <c r="F268" s="231"/>
      <c r="G268" s="343">
        <v>145050</v>
      </c>
      <c r="H268" s="343">
        <v>20663</v>
      </c>
      <c r="I268" s="343">
        <v>138068</v>
      </c>
      <c r="J268" s="343">
        <v>34835</v>
      </c>
      <c r="K268" s="343">
        <v>338616</v>
      </c>
      <c r="L268" s="231"/>
      <c r="M268" s="343">
        <v>0</v>
      </c>
      <c r="N268" s="343">
        <v>0</v>
      </c>
      <c r="O268" s="343">
        <v>423</v>
      </c>
      <c r="P268" s="343">
        <v>423</v>
      </c>
      <c r="Q268" s="231"/>
      <c r="R268" s="343">
        <v>377362</v>
      </c>
      <c r="S268" s="343">
        <v>9624</v>
      </c>
      <c r="T268" s="343">
        <v>386986</v>
      </c>
    </row>
    <row r="269" spans="1:20">
      <c r="A269" s="349">
        <v>92511</v>
      </c>
      <c r="B269" s="342" t="s">
        <v>956</v>
      </c>
      <c r="C269" s="234">
        <v>3.5699999999999998E-3</v>
      </c>
      <c r="D269" s="234">
        <v>3.3249999999999998E-3</v>
      </c>
      <c r="E269" s="343">
        <v>9749392</v>
      </c>
      <c r="F269" s="231"/>
      <c r="G269" s="343">
        <v>1669343</v>
      </c>
      <c r="H269" s="343">
        <v>237801</v>
      </c>
      <c r="I269" s="343">
        <v>1588989</v>
      </c>
      <c r="J269" s="343">
        <v>182563</v>
      </c>
      <c r="K269" s="343">
        <v>3678696</v>
      </c>
      <c r="L269" s="231"/>
      <c r="M269" s="343">
        <v>0</v>
      </c>
      <c r="N269" s="343">
        <v>0</v>
      </c>
      <c r="O269" s="343">
        <v>71532</v>
      </c>
      <c r="P269" s="343">
        <v>71532</v>
      </c>
      <c r="Q269" s="231"/>
      <c r="R269" s="343">
        <v>4342951</v>
      </c>
      <c r="S269" s="343">
        <v>-34616</v>
      </c>
      <c r="T269" s="343">
        <v>4308335</v>
      </c>
    </row>
    <row r="270" spans="1:20">
      <c r="A270" s="349">
        <v>92513</v>
      </c>
      <c r="B270" s="342" t="s">
        <v>957</v>
      </c>
      <c r="C270" s="234">
        <v>3.9484999999999998E-3</v>
      </c>
      <c r="D270" s="234">
        <v>3.9129000000000004E-3</v>
      </c>
      <c r="E270" s="343">
        <v>10783046</v>
      </c>
      <c r="F270" s="231"/>
      <c r="G270" s="343">
        <v>1846330</v>
      </c>
      <c r="H270" s="343">
        <v>263013</v>
      </c>
      <c r="I270" s="343">
        <v>1757458</v>
      </c>
      <c r="J270" s="343">
        <v>445498</v>
      </c>
      <c r="K270" s="343">
        <v>4312299</v>
      </c>
      <c r="L270" s="231"/>
      <c r="M270" s="343">
        <v>0</v>
      </c>
      <c r="N270" s="343">
        <v>0</v>
      </c>
      <c r="O270" s="343">
        <v>304141</v>
      </c>
      <c r="P270" s="343">
        <v>304141</v>
      </c>
      <c r="Q270" s="231"/>
      <c r="R270" s="343">
        <v>4803402</v>
      </c>
      <c r="S270" s="343">
        <v>415640</v>
      </c>
      <c r="T270" s="343">
        <v>5219042</v>
      </c>
    </row>
    <row r="271" spans="1:20">
      <c r="A271" s="349">
        <v>92521</v>
      </c>
      <c r="B271" s="342" t="s">
        <v>958</v>
      </c>
      <c r="C271" s="234">
        <v>7.7399999999999998E-5</v>
      </c>
      <c r="D271" s="234">
        <v>8.6799999999999996E-5</v>
      </c>
      <c r="E271" s="343">
        <v>211373</v>
      </c>
      <c r="F271" s="231"/>
      <c r="G271" s="343">
        <v>36192</v>
      </c>
      <c r="H271" s="343">
        <v>5155</v>
      </c>
      <c r="I271" s="343">
        <v>34450</v>
      </c>
      <c r="J271" s="343">
        <v>0</v>
      </c>
      <c r="K271" s="343">
        <v>75797</v>
      </c>
      <c r="L271" s="231"/>
      <c r="M271" s="343">
        <v>0</v>
      </c>
      <c r="N271" s="343">
        <v>0</v>
      </c>
      <c r="O271" s="343">
        <v>11823</v>
      </c>
      <c r="P271" s="343">
        <v>11823</v>
      </c>
      <c r="Q271" s="231"/>
      <c r="R271" s="343">
        <v>94158</v>
      </c>
      <c r="S271" s="343">
        <v>-3553</v>
      </c>
      <c r="T271" s="343">
        <v>90605</v>
      </c>
    </row>
    <row r="272" spans="1:20">
      <c r="A272" s="349">
        <v>92531</v>
      </c>
      <c r="B272" s="342" t="s">
        <v>959</v>
      </c>
      <c r="C272" s="234">
        <v>8.2580000000000001E-4</v>
      </c>
      <c r="D272" s="234">
        <v>8.4360000000000001E-4</v>
      </c>
      <c r="E272" s="343">
        <v>2255195</v>
      </c>
      <c r="F272" s="231"/>
      <c r="G272" s="343">
        <v>386147</v>
      </c>
      <c r="H272" s="343">
        <v>55007</v>
      </c>
      <c r="I272" s="343">
        <v>367559</v>
      </c>
      <c r="J272" s="343">
        <v>0</v>
      </c>
      <c r="K272" s="343">
        <v>808713</v>
      </c>
      <c r="L272" s="231"/>
      <c r="M272" s="343">
        <v>0</v>
      </c>
      <c r="N272" s="343">
        <v>0</v>
      </c>
      <c r="O272" s="343">
        <v>99856</v>
      </c>
      <c r="P272" s="343">
        <v>99856</v>
      </c>
      <c r="Q272" s="231"/>
      <c r="R272" s="343">
        <v>1004596</v>
      </c>
      <c r="S272" s="343">
        <v>-60500</v>
      </c>
      <c r="T272" s="343">
        <v>944096</v>
      </c>
    </row>
    <row r="273" spans="1:20">
      <c r="A273" s="349">
        <v>92541</v>
      </c>
      <c r="B273" s="342" t="s">
        <v>960</v>
      </c>
      <c r="C273" s="234">
        <v>1.3740000000000001E-4</v>
      </c>
      <c r="D273" s="234">
        <v>1.2459999999999999E-4</v>
      </c>
      <c r="E273" s="343">
        <v>375229</v>
      </c>
      <c r="F273" s="231"/>
      <c r="G273" s="343">
        <v>64249</v>
      </c>
      <c r="H273" s="343">
        <v>9152</v>
      </c>
      <c r="I273" s="343">
        <v>61156</v>
      </c>
      <c r="J273" s="343">
        <v>11832</v>
      </c>
      <c r="K273" s="343">
        <v>146389</v>
      </c>
      <c r="L273" s="231"/>
      <c r="M273" s="343">
        <v>0</v>
      </c>
      <c r="N273" s="343">
        <v>0</v>
      </c>
      <c r="O273" s="343">
        <v>13694</v>
      </c>
      <c r="P273" s="343">
        <v>13694</v>
      </c>
      <c r="Q273" s="231"/>
      <c r="R273" s="343">
        <v>167149</v>
      </c>
      <c r="S273" s="343">
        <v>-1967</v>
      </c>
      <c r="T273" s="343">
        <v>165182</v>
      </c>
    </row>
    <row r="274" spans="1:20">
      <c r="A274" s="349">
        <v>92551</v>
      </c>
      <c r="B274" s="342" t="s">
        <v>961</v>
      </c>
      <c r="C274" s="234">
        <v>5.7099999999999999E-5</v>
      </c>
      <c r="D274" s="234">
        <v>4.3399999999999998E-5</v>
      </c>
      <c r="E274" s="343">
        <v>155936</v>
      </c>
      <c r="F274" s="231"/>
      <c r="G274" s="343">
        <v>26700</v>
      </c>
      <c r="H274" s="343">
        <v>3804</v>
      </c>
      <c r="I274" s="343">
        <v>25415</v>
      </c>
      <c r="J274" s="343">
        <v>9274</v>
      </c>
      <c r="K274" s="343">
        <v>65193</v>
      </c>
      <c r="L274" s="231"/>
      <c r="M274" s="343">
        <v>0</v>
      </c>
      <c r="N274" s="343">
        <v>0</v>
      </c>
      <c r="O274" s="343">
        <v>6936</v>
      </c>
      <c r="P274" s="343">
        <v>6936</v>
      </c>
      <c r="Q274" s="231"/>
      <c r="R274" s="343">
        <v>69463</v>
      </c>
      <c r="S274" s="343">
        <v>-2150</v>
      </c>
      <c r="T274" s="343">
        <v>67313</v>
      </c>
    </row>
    <row r="275" spans="1:20">
      <c r="A275" s="349">
        <v>92561</v>
      </c>
      <c r="B275" s="342" t="s">
        <v>962</v>
      </c>
      <c r="C275" s="234">
        <v>1.7900000000000001E-5</v>
      </c>
      <c r="D275" s="234">
        <v>2.1399999999999998E-5</v>
      </c>
      <c r="E275" s="343">
        <v>48884</v>
      </c>
      <c r="F275" s="231"/>
      <c r="G275" s="343">
        <v>8370</v>
      </c>
      <c r="H275" s="343">
        <v>1193</v>
      </c>
      <c r="I275" s="343">
        <v>7967</v>
      </c>
      <c r="J275" s="343">
        <v>1119</v>
      </c>
      <c r="K275" s="343">
        <v>18649</v>
      </c>
      <c r="L275" s="231"/>
      <c r="M275" s="343">
        <v>0</v>
      </c>
      <c r="N275" s="343">
        <v>0</v>
      </c>
      <c r="O275" s="343">
        <v>2514</v>
      </c>
      <c r="P275" s="343">
        <v>2514</v>
      </c>
      <c r="Q275" s="231"/>
      <c r="R275" s="343">
        <v>21776</v>
      </c>
      <c r="S275" s="343">
        <v>983</v>
      </c>
      <c r="T275" s="343">
        <v>22759</v>
      </c>
    </row>
    <row r="276" spans="1:20">
      <c r="A276" s="349">
        <v>92571</v>
      </c>
      <c r="B276" s="342" t="s">
        <v>963</v>
      </c>
      <c r="C276" s="234">
        <v>8.1999999999999994E-6</v>
      </c>
      <c r="D276" s="234">
        <v>8.1000000000000004E-6</v>
      </c>
      <c r="E276" s="343">
        <v>22394</v>
      </c>
      <c r="F276" s="231"/>
      <c r="G276" s="343">
        <v>3834</v>
      </c>
      <c r="H276" s="343">
        <v>546</v>
      </c>
      <c r="I276" s="343">
        <v>3650</v>
      </c>
      <c r="J276" s="343">
        <v>4864</v>
      </c>
      <c r="K276" s="343">
        <v>12894</v>
      </c>
      <c r="L276" s="231"/>
      <c r="M276" s="343">
        <v>0</v>
      </c>
      <c r="N276" s="343">
        <v>0</v>
      </c>
      <c r="O276" s="343">
        <v>0</v>
      </c>
      <c r="P276" s="343">
        <v>0</v>
      </c>
      <c r="Q276" s="231"/>
      <c r="R276" s="343">
        <v>9975</v>
      </c>
      <c r="S276" s="343">
        <v>3043</v>
      </c>
      <c r="T276" s="343">
        <v>13018</v>
      </c>
    </row>
    <row r="277" spans="1:20">
      <c r="A277" s="349">
        <v>92601</v>
      </c>
      <c r="B277" s="342" t="s">
        <v>964</v>
      </c>
      <c r="C277" s="234">
        <v>1.32598E-2</v>
      </c>
      <c r="D277" s="234">
        <v>1.34308E-2</v>
      </c>
      <c r="E277" s="343">
        <v>36211480</v>
      </c>
      <c r="F277" s="231"/>
      <c r="G277" s="343">
        <v>6200322</v>
      </c>
      <c r="H277" s="343">
        <v>883248</v>
      </c>
      <c r="I277" s="343">
        <v>5901871</v>
      </c>
      <c r="J277" s="343">
        <v>4255</v>
      </c>
      <c r="K277" s="343">
        <v>12989696</v>
      </c>
      <c r="L277" s="231"/>
      <c r="M277" s="343">
        <v>0</v>
      </c>
      <c r="N277" s="343">
        <v>0</v>
      </c>
      <c r="O277" s="343">
        <v>897535</v>
      </c>
      <c r="P277" s="343">
        <v>897535</v>
      </c>
      <c r="Q277" s="231"/>
      <c r="R277" s="343">
        <v>16130719</v>
      </c>
      <c r="S277" s="343">
        <v>-294286</v>
      </c>
      <c r="T277" s="343">
        <v>15836433</v>
      </c>
    </row>
    <row r="278" spans="1:20">
      <c r="A278" s="349">
        <v>92602</v>
      </c>
      <c r="B278" s="342" t="s">
        <v>3660</v>
      </c>
      <c r="C278" s="234">
        <v>4.8999999999999997E-6</v>
      </c>
      <c r="D278" s="234">
        <v>6.3999999999999997E-6</v>
      </c>
      <c r="E278" s="343">
        <v>13382</v>
      </c>
      <c r="F278" s="231"/>
      <c r="G278" s="343">
        <v>2291</v>
      </c>
      <c r="H278" s="343">
        <v>327</v>
      </c>
      <c r="I278" s="343">
        <v>2181</v>
      </c>
      <c r="J278" s="343">
        <v>0</v>
      </c>
      <c r="K278" s="343">
        <v>4799</v>
      </c>
      <c r="L278" s="231"/>
      <c r="M278" s="343">
        <v>0</v>
      </c>
      <c r="N278" s="343">
        <v>0</v>
      </c>
      <c r="O278" s="343">
        <v>3457</v>
      </c>
      <c r="P278" s="343">
        <v>3457</v>
      </c>
      <c r="Q278" s="231"/>
      <c r="R278" s="343">
        <v>5961</v>
      </c>
      <c r="S278" s="343">
        <v>-1346</v>
      </c>
      <c r="T278" s="343">
        <v>4615</v>
      </c>
    </row>
    <row r="279" spans="1:20">
      <c r="A279" s="349">
        <v>92604</v>
      </c>
      <c r="B279" s="342" t="s">
        <v>3661</v>
      </c>
      <c r="C279" s="234">
        <v>3.501E-4</v>
      </c>
      <c r="D279" s="234">
        <v>3.3560000000000003E-4</v>
      </c>
      <c r="E279" s="343">
        <v>956096</v>
      </c>
      <c r="F279" s="231"/>
      <c r="G279" s="343">
        <v>163708</v>
      </c>
      <c r="H279" s="343">
        <v>23321</v>
      </c>
      <c r="I279" s="343">
        <v>155828</v>
      </c>
      <c r="J279" s="343">
        <v>65403</v>
      </c>
      <c r="K279" s="343">
        <v>408260</v>
      </c>
      <c r="L279" s="231"/>
      <c r="M279" s="343">
        <v>0</v>
      </c>
      <c r="N279" s="343">
        <v>0</v>
      </c>
      <c r="O279" s="343">
        <v>0</v>
      </c>
      <c r="P279" s="343">
        <v>0</v>
      </c>
      <c r="Q279" s="231"/>
      <c r="R279" s="343">
        <v>425901</v>
      </c>
      <c r="S279" s="343">
        <v>27996</v>
      </c>
      <c r="T279" s="343">
        <v>453897</v>
      </c>
    </row>
    <row r="280" spans="1:20">
      <c r="A280" s="349">
        <v>92607</v>
      </c>
      <c r="B280" s="342" t="s">
        <v>967</v>
      </c>
      <c r="C280" s="234">
        <v>5.6700000000000003E-5</v>
      </c>
      <c r="D280" s="234">
        <v>6.1699999999999995E-5</v>
      </c>
      <c r="E280" s="343">
        <v>154843</v>
      </c>
      <c r="F280" s="231"/>
      <c r="G280" s="343">
        <v>26513</v>
      </c>
      <c r="H280" s="343">
        <v>3776</v>
      </c>
      <c r="I280" s="343">
        <v>25237</v>
      </c>
      <c r="J280" s="343">
        <v>6120</v>
      </c>
      <c r="K280" s="343">
        <v>61646</v>
      </c>
      <c r="L280" s="231"/>
      <c r="M280" s="343">
        <v>0</v>
      </c>
      <c r="N280" s="343">
        <v>0</v>
      </c>
      <c r="O280" s="343">
        <v>758</v>
      </c>
      <c r="P280" s="343">
        <v>758</v>
      </c>
      <c r="Q280" s="231"/>
      <c r="R280" s="343">
        <v>68976</v>
      </c>
      <c r="S280" s="343">
        <v>3395</v>
      </c>
      <c r="T280" s="343">
        <v>72371</v>
      </c>
    </row>
    <row r="281" spans="1:20">
      <c r="A281" s="349">
        <v>92611</v>
      </c>
      <c r="B281" s="342" t="s">
        <v>969</v>
      </c>
      <c r="C281" s="234">
        <v>1.22078E-2</v>
      </c>
      <c r="D281" s="234">
        <v>1.26649E-2</v>
      </c>
      <c r="E281" s="343">
        <v>33338550</v>
      </c>
      <c r="F281" s="231"/>
      <c r="G281" s="343">
        <v>5708404</v>
      </c>
      <c r="H281" s="343">
        <v>813174</v>
      </c>
      <c r="I281" s="343">
        <v>5433631</v>
      </c>
      <c r="J281" s="343">
        <v>0</v>
      </c>
      <c r="K281" s="343">
        <v>11955209</v>
      </c>
      <c r="L281" s="231"/>
      <c r="M281" s="343">
        <v>0</v>
      </c>
      <c r="N281" s="343">
        <v>0</v>
      </c>
      <c r="O281" s="343">
        <v>1375351</v>
      </c>
      <c r="P281" s="343">
        <v>1375351</v>
      </c>
      <c r="Q281" s="231"/>
      <c r="R281" s="343">
        <v>14850947</v>
      </c>
      <c r="S281" s="343">
        <v>-601384</v>
      </c>
      <c r="T281" s="343">
        <v>14249563</v>
      </c>
    </row>
    <row r="282" spans="1:20">
      <c r="A282" s="349">
        <v>92613</v>
      </c>
      <c r="B282" s="342" t="s">
        <v>2755</v>
      </c>
      <c r="C282" s="234">
        <v>2.23E-4</v>
      </c>
      <c r="D282" s="234">
        <v>2.3599999999999999E-4</v>
      </c>
      <c r="E282" s="343">
        <v>608996</v>
      </c>
      <c r="F282" s="231"/>
      <c r="G282" s="343">
        <v>104275</v>
      </c>
      <c r="H282" s="343">
        <v>14855</v>
      </c>
      <c r="I282" s="343">
        <v>99256</v>
      </c>
      <c r="J282" s="343">
        <v>9981</v>
      </c>
      <c r="K282" s="343">
        <v>228367</v>
      </c>
      <c r="L282" s="231"/>
      <c r="M282" s="343">
        <v>0</v>
      </c>
      <c r="N282" s="343">
        <v>0</v>
      </c>
      <c r="O282" s="343">
        <v>815</v>
      </c>
      <c r="P282" s="343">
        <v>815</v>
      </c>
      <c r="Q282" s="231"/>
      <c r="R282" s="343">
        <v>271282</v>
      </c>
      <c r="S282" s="343">
        <v>36410</v>
      </c>
      <c r="T282" s="343">
        <v>307692</v>
      </c>
    </row>
    <row r="283" spans="1:20">
      <c r="A283" s="349">
        <v>92614</v>
      </c>
      <c r="B283" s="342" t="s">
        <v>3662</v>
      </c>
      <c r="C283" s="234">
        <v>5.7201999999999999E-3</v>
      </c>
      <c r="D283" s="234">
        <v>5.5757000000000003E-3</v>
      </c>
      <c r="E283" s="343">
        <v>15621420</v>
      </c>
      <c r="F283" s="231"/>
      <c r="G283" s="343">
        <v>2674783</v>
      </c>
      <c r="H283" s="343">
        <v>381028</v>
      </c>
      <c r="I283" s="343">
        <v>2546032</v>
      </c>
      <c r="J283" s="343">
        <v>4572156</v>
      </c>
      <c r="K283" s="343">
        <v>10173999</v>
      </c>
      <c r="L283" s="231"/>
      <c r="M283" s="343">
        <v>0</v>
      </c>
      <c r="N283" s="343">
        <v>0</v>
      </c>
      <c r="O283" s="343">
        <v>0</v>
      </c>
      <c r="P283" s="343">
        <v>0</v>
      </c>
      <c r="Q283" s="231"/>
      <c r="R283" s="343">
        <v>6958698</v>
      </c>
      <c r="S283" s="343">
        <v>2169149</v>
      </c>
      <c r="T283" s="343">
        <v>9127847</v>
      </c>
    </row>
    <row r="284" spans="1:20">
      <c r="A284" s="349">
        <v>92621</v>
      </c>
      <c r="B284" s="342" t="s">
        <v>972</v>
      </c>
      <c r="C284" s="234">
        <v>2.8900000000000001E-5</v>
      </c>
      <c r="D284" s="234">
        <v>2.4600000000000002E-5</v>
      </c>
      <c r="E284" s="343">
        <v>78924</v>
      </c>
      <c r="F284" s="231"/>
      <c r="G284" s="343">
        <v>13514</v>
      </c>
      <c r="H284" s="343">
        <v>1925</v>
      </c>
      <c r="I284" s="343">
        <v>12863</v>
      </c>
      <c r="J284" s="343">
        <v>3366</v>
      </c>
      <c r="K284" s="343">
        <v>31668</v>
      </c>
      <c r="L284" s="231"/>
      <c r="M284" s="343">
        <v>0</v>
      </c>
      <c r="N284" s="343">
        <v>0</v>
      </c>
      <c r="O284" s="343">
        <v>3093</v>
      </c>
      <c r="P284" s="343">
        <v>3093</v>
      </c>
      <c r="Q284" s="231"/>
      <c r="R284" s="343">
        <v>35157</v>
      </c>
      <c r="S284" s="343">
        <v>-385</v>
      </c>
      <c r="T284" s="343">
        <v>34772</v>
      </c>
    </row>
    <row r="285" spans="1:20">
      <c r="A285" s="349">
        <v>92631</v>
      </c>
      <c r="B285" s="342" t="s">
        <v>973</v>
      </c>
      <c r="C285" s="234">
        <v>9.3329999999999997E-4</v>
      </c>
      <c r="D285" s="234">
        <v>9.0030000000000004E-4</v>
      </c>
      <c r="E285" s="343">
        <v>2548770</v>
      </c>
      <c r="F285" s="231"/>
      <c r="G285" s="343">
        <v>436414</v>
      </c>
      <c r="H285" s="343">
        <v>62168</v>
      </c>
      <c r="I285" s="343">
        <v>415407</v>
      </c>
      <c r="J285" s="343">
        <v>0</v>
      </c>
      <c r="K285" s="343">
        <v>913989</v>
      </c>
      <c r="L285" s="231"/>
      <c r="M285" s="343">
        <v>0</v>
      </c>
      <c r="N285" s="343">
        <v>0</v>
      </c>
      <c r="O285" s="343">
        <v>84635</v>
      </c>
      <c r="P285" s="343">
        <v>84635</v>
      </c>
      <c r="Q285" s="231"/>
      <c r="R285" s="343">
        <v>1135372</v>
      </c>
      <c r="S285" s="343">
        <v>-54823</v>
      </c>
      <c r="T285" s="343">
        <v>1080549</v>
      </c>
    </row>
    <row r="286" spans="1:20">
      <c r="A286" s="349">
        <v>92641</v>
      </c>
      <c r="B286" s="342" t="s">
        <v>974</v>
      </c>
      <c r="C286" s="234">
        <v>1.11E-5</v>
      </c>
      <c r="D286" s="234">
        <v>9.7000000000000003E-6</v>
      </c>
      <c r="E286" s="343">
        <v>30313</v>
      </c>
      <c r="F286" s="231"/>
      <c r="G286" s="343">
        <v>5190</v>
      </c>
      <c r="H286" s="343">
        <v>739</v>
      </c>
      <c r="I286" s="343">
        <v>4941</v>
      </c>
      <c r="J286" s="343">
        <v>4477</v>
      </c>
      <c r="K286" s="343">
        <v>15347</v>
      </c>
      <c r="L286" s="231"/>
      <c r="M286" s="343">
        <v>0</v>
      </c>
      <c r="N286" s="343">
        <v>0</v>
      </c>
      <c r="O286" s="343">
        <v>0</v>
      </c>
      <c r="P286" s="343">
        <v>0</v>
      </c>
      <c r="Q286" s="231"/>
      <c r="R286" s="343">
        <v>13503</v>
      </c>
      <c r="S286" s="343">
        <v>2071</v>
      </c>
      <c r="T286" s="343">
        <v>15574</v>
      </c>
    </row>
    <row r="287" spans="1:20">
      <c r="A287" s="349">
        <v>92651</v>
      </c>
      <c r="B287" s="342" t="s">
        <v>975</v>
      </c>
      <c r="C287" s="234">
        <v>4.3000000000000003E-6</v>
      </c>
      <c r="D287" s="234">
        <v>4.4000000000000002E-6</v>
      </c>
      <c r="E287" s="343">
        <v>11743</v>
      </c>
      <c r="F287" s="231"/>
      <c r="G287" s="343">
        <v>2011</v>
      </c>
      <c r="H287" s="343">
        <v>287</v>
      </c>
      <c r="I287" s="343">
        <v>1914</v>
      </c>
      <c r="J287" s="343">
        <v>2560</v>
      </c>
      <c r="K287" s="343">
        <v>6772</v>
      </c>
      <c r="L287" s="231"/>
      <c r="M287" s="343">
        <v>0</v>
      </c>
      <c r="N287" s="343">
        <v>0</v>
      </c>
      <c r="O287" s="343">
        <v>0</v>
      </c>
      <c r="P287" s="343">
        <v>0</v>
      </c>
      <c r="Q287" s="231"/>
      <c r="R287" s="343">
        <v>5231</v>
      </c>
      <c r="S287" s="343">
        <v>1459</v>
      </c>
      <c r="T287" s="343">
        <v>6690</v>
      </c>
    </row>
    <row r="288" spans="1:20">
      <c r="A288" s="349">
        <v>92661</v>
      </c>
      <c r="B288" s="342" t="s">
        <v>976</v>
      </c>
      <c r="C288" s="234">
        <v>6.2509999999999996E-4</v>
      </c>
      <c r="D288" s="234">
        <v>6.334E-4</v>
      </c>
      <c r="E288" s="343">
        <v>1707099</v>
      </c>
      <c r="F288" s="231"/>
      <c r="G288" s="343">
        <v>292299</v>
      </c>
      <c r="H288" s="343">
        <v>41639</v>
      </c>
      <c r="I288" s="343">
        <v>278229</v>
      </c>
      <c r="J288" s="343">
        <v>451004</v>
      </c>
      <c r="K288" s="343">
        <v>1063171</v>
      </c>
      <c r="L288" s="231"/>
      <c r="M288" s="343">
        <v>0</v>
      </c>
      <c r="N288" s="343">
        <v>0</v>
      </c>
      <c r="O288" s="343">
        <v>0</v>
      </c>
      <c r="P288" s="343">
        <v>0</v>
      </c>
      <c r="Q288" s="231"/>
      <c r="R288" s="343">
        <v>760442</v>
      </c>
      <c r="S288" s="343">
        <v>221566</v>
      </c>
      <c r="T288" s="343">
        <v>982008</v>
      </c>
    </row>
    <row r="289" spans="1:20">
      <c r="A289" s="349">
        <v>92671</v>
      </c>
      <c r="B289" s="342" t="s">
        <v>977</v>
      </c>
      <c r="C289" s="234">
        <v>2.0999999999999998E-6</v>
      </c>
      <c r="D289" s="234">
        <v>2.3999999999999999E-6</v>
      </c>
      <c r="E289" s="343">
        <v>5735</v>
      </c>
      <c r="F289" s="231"/>
      <c r="G289" s="343">
        <v>982</v>
      </c>
      <c r="H289" s="343">
        <v>140</v>
      </c>
      <c r="I289" s="343">
        <v>935</v>
      </c>
      <c r="J289" s="343">
        <v>7841</v>
      </c>
      <c r="K289" s="343">
        <v>9898</v>
      </c>
      <c r="L289" s="231"/>
      <c r="M289" s="343">
        <v>0</v>
      </c>
      <c r="N289" s="343">
        <v>0</v>
      </c>
      <c r="O289" s="343">
        <v>0</v>
      </c>
      <c r="P289" s="343">
        <v>0</v>
      </c>
      <c r="Q289" s="231"/>
      <c r="R289" s="343">
        <v>2555</v>
      </c>
      <c r="S289" s="343">
        <v>3581</v>
      </c>
      <c r="T289" s="343">
        <v>6136</v>
      </c>
    </row>
    <row r="290" spans="1:20">
      <c r="A290" s="349">
        <v>92681</v>
      </c>
      <c r="B290" s="342" t="s">
        <v>978</v>
      </c>
      <c r="C290" s="234">
        <v>1.1800000000000001E-5</v>
      </c>
      <c r="D290" s="234">
        <v>1.1800000000000001E-5</v>
      </c>
      <c r="E290" s="343">
        <v>32225</v>
      </c>
      <c r="F290" s="231"/>
      <c r="G290" s="343">
        <v>5518</v>
      </c>
      <c r="H290" s="343">
        <v>786</v>
      </c>
      <c r="I290" s="343">
        <v>5252</v>
      </c>
      <c r="J290" s="343">
        <v>10687</v>
      </c>
      <c r="K290" s="343">
        <v>22243</v>
      </c>
      <c r="L290" s="231"/>
      <c r="M290" s="343">
        <v>0</v>
      </c>
      <c r="N290" s="343">
        <v>0</v>
      </c>
      <c r="O290" s="343">
        <v>0</v>
      </c>
      <c r="P290" s="343">
        <v>0</v>
      </c>
      <c r="Q290" s="231"/>
      <c r="R290" s="343">
        <v>14355</v>
      </c>
      <c r="S290" s="343">
        <v>5975</v>
      </c>
      <c r="T290" s="343">
        <v>20330</v>
      </c>
    </row>
    <row r="291" spans="1:20">
      <c r="A291" s="349">
        <v>92701</v>
      </c>
      <c r="B291" s="342" t="s">
        <v>979</v>
      </c>
      <c r="C291" s="234">
        <v>3.0688999999999998E-3</v>
      </c>
      <c r="D291" s="234">
        <v>2.8871000000000001E-3</v>
      </c>
      <c r="E291" s="343">
        <v>8380927</v>
      </c>
      <c r="F291" s="231"/>
      <c r="G291" s="343">
        <v>1435027</v>
      </c>
      <c r="H291" s="343">
        <v>204422</v>
      </c>
      <c r="I291" s="343">
        <v>1365952</v>
      </c>
      <c r="J291" s="343">
        <v>123035</v>
      </c>
      <c r="K291" s="343">
        <v>3128436</v>
      </c>
      <c r="L291" s="231"/>
      <c r="M291" s="343">
        <v>0</v>
      </c>
      <c r="N291" s="343">
        <v>0</v>
      </c>
      <c r="O291" s="343">
        <v>112999</v>
      </c>
      <c r="P291" s="343">
        <v>112999</v>
      </c>
      <c r="Q291" s="231"/>
      <c r="R291" s="343">
        <v>3733357</v>
      </c>
      <c r="S291" s="343">
        <v>-3483</v>
      </c>
      <c r="T291" s="343">
        <v>3729874</v>
      </c>
    </row>
    <row r="292" spans="1:20">
      <c r="A292" s="349">
        <v>92704</v>
      </c>
      <c r="B292" s="342" t="s">
        <v>3663</v>
      </c>
      <c r="C292" s="234">
        <v>3.6900000000000002E-5</v>
      </c>
      <c r="D292" s="234">
        <v>3.9400000000000002E-5</v>
      </c>
      <c r="E292" s="343">
        <v>100771</v>
      </c>
      <c r="F292" s="231"/>
      <c r="G292" s="343">
        <v>17255</v>
      </c>
      <c r="H292" s="343">
        <v>2458</v>
      </c>
      <c r="I292" s="343">
        <v>16424</v>
      </c>
      <c r="J292" s="343">
        <v>0</v>
      </c>
      <c r="K292" s="343">
        <v>36137</v>
      </c>
      <c r="L292" s="231"/>
      <c r="M292" s="343">
        <v>0</v>
      </c>
      <c r="N292" s="343">
        <v>0</v>
      </c>
      <c r="O292" s="343">
        <v>5075</v>
      </c>
      <c r="P292" s="343">
        <v>5075</v>
      </c>
      <c r="Q292" s="231"/>
      <c r="R292" s="343">
        <v>44889</v>
      </c>
      <c r="S292" s="343">
        <v>-1568</v>
      </c>
      <c r="T292" s="343">
        <v>43321</v>
      </c>
    </row>
    <row r="293" spans="1:20">
      <c r="A293" s="349">
        <v>92801</v>
      </c>
      <c r="B293" s="342" t="s">
        <v>981</v>
      </c>
      <c r="C293" s="234">
        <v>5.4352999999999997E-3</v>
      </c>
      <c r="D293" s="234">
        <v>5.2335999999999997E-3</v>
      </c>
      <c r="E293" s="343">
        <v>14843380</v>
      </c>
      <c r="F293" s="231"/>
      <c r="G293" s="343">
        <v>2541563</v>
      </c>
      <c r="H293" s="343">
        <v>362051</v>
      </c>
      <c r="I293" s="343">
        <v>2419225</v>
      </c>
      <c r="J293" s="343">
        <v>372203</v>
      </c>
      <c r="K293" s="343">
        <v>5695042</v>
      </c>
      <c r="L293" s="231"/>
      <c r="M293" s="343">
        <v>0</v>
      </c>
      <c r="N293" s="343">
        <v>0</v>
      </c>
      <c r="O293" s="343">
        <v>0</v>
      </c>
      <c r="P293" s="343">
        <v>0</v>
      </c>
      <c r="Q293" s="231"/>
      <c r="R293" s="343">
        <v>6612113</v>
      </c>
      <c r="S293" s="343">
        <v>156138</v>
      </c>
      <c r="T293" s="343">
        <v>6768251</v>
      </c>
    </row>
    <row r="294" spans="1:20" ht="14.25" customHeight="1">
      <c r="A294" s="349">
        <v>92802</v>
      </c>
      <c r="B294" s="342" t="s">
        <v>982</v>
      </c>
      <c r="C294" s="234">
        <v>1.198E-4</v>
      </c>
      <c r="D294" s="234">
        <v>1.2799999999999999E-4</v>
      </c>
      <c r="E294" s="343">
        <v>327164</v>
      </c>
      <c r="F294" s="231"/>
      <c r="G294" s="343">
        <v>56019</v>
      </c>
      <c r="H294" s="343">
        <v>7980</v>
      </c>
      <c r="I294" s="343">
        <v>53322</v>
      </c>
      <c r="J294" s="343">
        <v>0</v>
      </c>
      <c r="K294" s="343">
        <v>117321</v>
      </c>
      <c r="L294" s="231"/>
      <c r="M294" s="343">
        <v>0</v>
      </c>
      <c r="N294" s="343">
        <v>0</v>
      </c>
      <c r="O294" s="343">
        <v>18832</v>
      </c>
      <c r="P294" s="343">
        <v>18832</v>
      </c>
      <c r="Q294" s="231"/>
      <c r="R294" s="343">
        <v>145738</v>
      </c>
      <c r="S294" s="343">
        <v>-9182</v>
      </c>
      <c r="T294" s="343">
        <v>136556</v>
      </c>
    </row>
    <row r="295" spans="1:20" s="362" customFormat="1" ht="14.25" customHeight="1">
      <c r="A295" s="349">
        <v>92804</v>
      </c>
      <c r="B295" s="342" t="s">
        <v>983</v>
      </c>
      <c r="C295" s="234">
        <v>1.427E-4</v>
      </c>
      <c r="D295" s="234">
        <v>1.4990000000000001E-4</v>
      </c>
      <c r="E295" s="343">
        <v>389703</v>
      </c>
      <c r="F295" s="231"/>
      <c r="G295" s="343">
        <v>66727</v>
      </c>
      <c r="H295" s="343">
        <v>9505</v>
      </c>
      <c r="I295" s="343">
        <v>63515</v>
      </c>
      <c r="J295" s="343">
        <v>4663</v>
      </c>
      <c r="K295" s="343">
        <v>144410</v>
      </c>
      <c r="L295" s="231"/>
      <c r="M295" s="343">
        <v>0</v>
      </c>
      <c r="N295" s="343">
        <v>0</v>
      </c>
      <c r="O295" s="343">
        <v>15239</v>
      </c>
      <c r="P295" s="343">
        <v>15239</v>
      </c>
      <c r="Q295" s="231"/>
      <c r="R295" s="343">
        <v>173596</v>
      </c>
      <c r="S295" s="343">
        <v>-571</v>
      </c>
      <c r="T295" s="343">
        <v>173025</v>
      </c>
    </row>
    <row r="296" spans="1:20" s="362" customFormat="1" ht="14.25" customHeight="1">
      <c r="A296" s="349">
        <v>92811</v>
      </c>
      <c r="B296" s="342" t="s">
        <v>984</v>
      </c>
      <c r="C296" s="234">
        <v>9.1160000000000004E-4</v>
      </c>
      <c r="D296" s="234">
        <v>9.6909999999999997E-4</v>
      </c>
      <c r="E296" s="343">
        <v>2489508</v>
      </c>
      <c r="F296" s="231"/>
      <c r="G296" s="343">
        <v>426267</v>
      </c>
      <c r="H296" s="343">
        <v>60722</v>
      </c>
      <c r="I296" s="343">
        <v>405749</v>
      </c>
      <c r="J296" s="343">
        <v>0</v>
      </c>
      <c r="K296" s="343">
        <v>892738</v>
      </c>
      <c r="L296" s="231"/>
      <c r="M296" s="343">
        <v>0</v>
      </c>
      <c r="N296" s="343">
        <v>0</v>
      </c>
      <c r="O296" s="343">
        <v>70333</v>
      </c>
      <c r="P296" s="343">
        <v>70333</v>
      </c>
      <c r="Q296" s="231"/>
      <c r="R296" s="343">
        <v>1108973</v>
      </c>
      <c r="S296" s="343">
        <v>-39478</v>
      </c>
      <c r="T296" s="343">
        <v>1069495</v>
      </c>
    </row>
    <row r="297" spans="1:20">
      <c r="A297" s="349">
        <v>92821</v>
      </c>
      <c r="B297" s="342" t="s">
        <v>985</v>
      </c>
      <c r="C297" s="234">
        <v>9.8409999999999991E-4</v>
      </c>
      <c r="D297" s="234">
        <v>1.0001999999999999E-3</v>
      </c>
      <c r="E297" s="343">
        <v>2687500</v>
      </c>
      <c r="F297" s="231"/>
      <c r="G297" s="343">
        <v>460168</v>
      </c>
      <c r="H297" s="343">
        <v>65552</v>
      </c>
      <c r="I297" s="343">
        <v>438018</v>
      </c>
      <c r="J297" s="343">
        <v>21378</v>
      </c>
      <c r="K297" s="343">
        <v>985116</v>
      </c>
      <c r="L297" s="231"/>
      <c r="M297" s="343">
        <v>0</v>
      </c>
      <c r="N297" s="343">
        <v>0</v>
      </c>
      <c r="O297" s="343">
        <v>0</v>
      </c>
      <c r="P297" s="343">
        <v>0</v>
      </c>
      <c r="Q297" s="231"/>
      <c r="R297" s="343">
        <v>1197170</v>
      </c>
      <c r="S297" s="343">
        <v>12668</v>
      </c>
      <c r="T297" s="343">
        <v>1209838</v>
      </c>
    </row>
    <row r="298" spans="1:20">
      <c r="A298" s="349">
        <v>92831</v>
      </c>
      <c r="B298" s="342" t="s">
        <v>986</v>
      </c>
      <c r="C298" s="234">
        <v>2.5230000000000001E-4</v>
      </c>
      <c r="D298" s="234">
        <v>2.3580000000000001E-4</v>
      </c>
      <c r="E298" s="343">
        <v>689012</v>
      </c>
      <c r="F298" s="231"/>
      <c r="G298" s="343">
        <v>117976</v>
      </c>
      <c r="H298" s="343">
        <v>16806</v>
      </c>
      <c r="I298" s="343">
        <v>112297</v>
      </c>
      <c r="J298" s="343">
        <v>49093</v>
      </c>
      <c r="K298" s="343">
        <v>296172</v>
      </c>
      <c r="L298" s="231"/>
      <c r="M298" s="343">
        <v>0</v>
      </c>
      <c r="N298" s="343">
        <v>0</v>
      </c>
      <c r="O298" s="343">
        <v>1078</v>
      </c>
      <c r="P298" s="343">
        <v>1078</v>
      </c>
      <c r="Q298" s="231"/>
      <c r="R298" s="343">
        <v>306926</v>
      </c>
      <c r="S298" s="343">
        <v>18160</v>
      </c>
      <c r="T298" s="343">
        <v>325086</v>
      </c>
    </row>
    <row r="299" spans="1:20">
      <c r="A299" s="349">
        <v>92841</v>
      </c>
      <c r="B299" s="342" t="s">
        <v>987</v>
      </c>
      <c r="C299" s="234">
        <v>2.4340000000000001E-4</v>
      </c>
      <c r="D299" s="234">
        <v>2.5769999999999998E-4</v>
      </c>
      <c r="E299" s="343">
        <v>664706</v>
      </c>
      <c r="F299" s="231"/>
      <c r="G299" s="343">
        <v>113815</v>
      </c>
      <c r="H299" s="343">
        <v>16213</v>
      </c>
      <c r="I299" s="343">
        <v>108336</v>
      </c>
      <c r="J299" s="343">
        <v>0</v>
      </c>
      <c r="K299" s="343">
        <v>238364</v>
      </c>
      <c r="L299" s="231"/>
      <c r="M299" s="343">
        <v>0</v>
      </c>
      <c r="N299" s="343">
        <v>0</v>
      </c>
      <c r="O299" s="343">
        <v>25404</v>
      </c>
      <c r="P299" s="343">
        <v>25404</v>
      </c>
      <c r="Q299" s="231"/>
      <c r="R299" s="343">
        <v>296099</v>
      </c>
      <c r="S299" s="343">
        <v>-9365</v>
      </c>
      <c r="T299" s="343">
        <v>286734</v>
      </c>
    </row>
    <row r="300" spans="1:20">
      <c r="A300" s="349">
        <v>92851</v>
      </c>
      <c r="B300" s="342" t="s">
        <v>988</v>
      </c>
      <c r="C300" s="234">
        <v>4.2850000000000001E-4</v>
      </c>
      <c r="D300" s="234">
        <v>4.3899999999999999E-4</v>
      </c>
      <c r="E300" s="343">
        <v>1170200</v>
      </c>
      <c r="F300" s="231"/>
      <c r="G300" s="343">
        <v>200368</v>
      </c>
      <c r="H300" s="343">
        <v>28542</v>
      </c>
      <c r="I300" s="343">
        <v>190723</v>
      </c>
      <c r="J300" s="343">
        <v>0</v>
      </c>
      <c r="K300" s="343">
        <v>419633</v>
      </c>
      <c r="L300" s="231"/>
      <c r="M300" s="343">
        <v>0</v>
      </c>
      <c r="N300" s="343">
        <v>0</v>
      </c>
      <c r="O300" s="343">
        <v>64195</v>
      </c>
      <c r="P300" s="343">
        <v>64195</v>
      </c>
      <c r="Q300" s="231"/>
      <c r="R300" s="343">
        <v>521276</v>
      </c>
      <c r="S300" s="343">
        <v>-33079</v>
      </c>
      <c r="T300" s="343">
        <v>488197</v>
      </c>
    </row>
    <row r="301" spans="1:20">
      <c r="A301" s="349">
        <v>92861</v>
      </c>
      <c r="B301" s="342" t="s">
        <v>989</v>
      </c>
      <c r="C301" s="234">
        <v>3.6309999999999999E-4</v>
      </c>
      <c r="D301" s="234">
        <v>3.7629999999999999E-4</v>
      </c>
      <c r="E301" s="343">
        <v>991598</v>
      </c>
      <c r="F301" s="231"/>
      <c r="G301" s="343">
        <v>169787</v>
      </c>
      <c r="H301" s="343">
        <v>24187</v>
      </c>
      <c r="I301" s="343">
        <v>161614</v>
      </c>
      <c r="J301" s="343">
        <v>0</v>
      </c>
      <c r="K301" s="343">
        <v>355588</v>
      </c>
      <c r="L301" s="231"/>
      <c r="M301" s="343">
        <v>0</v>
      </c>
      <c r="N301" s="343">
        <v>0</v>
      </c>
      <c r="O301" s="343">
        <v>75179</v>
      </c>
      <c r="P301" s="343">
        <v>75179</v>
      </c>
      <c r="Q301" s="231"/>
      <c r="R301" s="343">
        <v>441716</v>
      </c>
      <c r="S301" s="343">
        <v>-40752</v>
      </c>
      <c r="T301" s="343">
        <v>400964</v>
      </c>
    </row>
    <row r="302" spans="1:20">
      <c r="A302" s="349">
        <v>92901</v>
      </c>
      <c r="B302" s="342" t="s">
        <v>990</v>
      </c>
      <c r="C302" s="234">
        <v>5.4326000000000001E-3</v>
      </c>
      <c r="D302" s="234">
        <v>5.4257999999999997E-3</v>
      </c>
      <c r="E302" s="343">
        <v>14836007</v>
      </c>
      <c r="F302" s="231"/>
      <c r="G302" s="343">
        <v>2540300</v>
      </c>
      <c r="H302" s="343">
        <v>361871</v>
      </c>
      <c r="I302" s="343">
        <v>2418023</v>
      </c>
      <c r="J302" s="343">
        <v>38960</v>
      </c>
      <c r="K302" s="343">
        <v>5359154</v>
      </c>
      <c r="L302" s="231"/>
      <c r="M302" s="343">
        <v>0</v>
      </c>
      <c r="N302" s="343">
        <v>0</v>
      </c>
      <c r="O302" s="343">
        <v>54506</v>
      </c>
      <c r="P302" s="343">
        <v>54506</v>
      </c>
      <c r="Q302" s="231"/>
      <c r="R302" s="343">
        <v>6608829</v>
      </c>
      <c r="S302" s="343">
        <v>-4364</v>
      </c>
      <c r="T302" s="343">
        <v>6604465</v>
      </c>
    </row>
    <row r="303" spans="1:20">
      <c r="A303" s="349">
        <v>92911</v>
      </c>
      <c r="B303" s="342" t="s">
        <v>991</v>
      </c>
      <c r="C303" s="234">
        <v>1.9161E-3</v>
      </c>
      <c r="D303" s="234">
        <v>1.9322E-3</v>
      </c>
      <c r="E303" s="343">
        <v>5232720</v>
      </c>
      <c r="F303" s="231"/>
      <c r="G303" s="343">
        <v>895974</v>
      </c>
      <c r="H303" s="343">
        <v>127633</v>
      </c>
      <c r="I303" s="343">
        <v>852847</v>
      </c>
      <c r="J303" s="343">
        <v>59315</v>
      </c>
      <c r="K303" s="343">
        <v>1935769</v>
      </c>
      <c r="L303" s="231"/>
      <c r="M303" s="343">
        <v>0</v>
      </c>
      <c r="N303" s="343">
        <v>0</v>
      </c>
      <c r="O303" s="343">
        <v>12601</v>
      </c>
      <c r="P303" s="343">
        <v>12601</v>
      </c>
      <c r="Q303" s="231"/>
      <c r="R303" s="343">
        <v>2330961</v>
      </c>
      <c r="S303" s="343">
        <v>-19454</v>
      </c>
      <c r="T303" s="343">
        <v>2311507</v>
      </c>
    </row>
    <row r="304" spans="1:20">
      <c r="A304" s="349">
        <v>92913</v>
      </c>
      <c r="B304" s="342" t="s">
        <v>992</v>
      </c>
      <c r="C304" s="234">
        <v>2.0400000000000001E-5</v>
      </c>
      <c r="D304" s="234">
        <v>2.1500000000000001E-5</v>
      </c>
      <c r="E304" s="343">
        <v>55711</v>
      </c>
      <c r="F304" s="231"/>
      <c r="G304" s="343">
        <v>9539</v>
      </c>
      <c r="H304" s="343">
        <v>1359</v>
      </c>
      <c r="I304" s="343">
        <v>9080</v>
      </c>
      <c r="J304" s="343">
        <v>95515</v>
      </c>
      <c r="K304" s="343">
        <v>115493</v>
      </c>
      <c r="L304" s="231"/>
      <c r="M304" s="343">
        <v>0</v>
      </c>
      <c r="N304" s="343">
        <v>0</v>
      </c>
      <c r="O304" s="343">
        <v>0</v>
      </c>
      <c r="P304" s="343">
        <v>0</v>
      </c>
      <c r="Q304" s="231"/>
      <c r="R304" s="343">
        <v>24817</v>
      </c>
      <c r="S304" s="343">
        <v>45531</v>
      </c>
      <c r="T304" s="343">
        <v>70348</v>
      </c>
    </row>
    <row r="305" spans="1:20">
      <c r="A305" s="349">
        <v>92914</v>
      </c>
      <c r="B305" s="342" t="s">
        <v>993</v>
      </c>
      <c r="C305" s="234">
        <v>2.55E-5</v>
      </c>
      <c r="D305" s="234">
        <v>2.4899999999999999E-5</v>
      </c>
      <c r="E305" s="343">
        <v>69639</v>
      </c>
      <c r="F305" s="231"/>
      <c r="G305" s="343">
        <v>11924</v>
      </c>
      <c r="H305" s="343">
        <v>1699</v>
      </c>
      <c r="I305" s="343">
        <v>11350</v>
      </c>
      <c r="J305" s="343">
        <v>10211</v>
      </c>
      <c r="K305" s="343">
        <v>35184</v>
      </c>
      <c r="L305" s="231"/>
      <c r="M305" s="343">
        <v>0</v>
      </c>
      <c r="N305" s="343">
        <v>0</v>
      </c>
      <c r="O305" s="343">
        <v>934</v>
      </c>
      <c r="P305" s="343">
        <v>934</v>
      </c>
      <c r="Q305" s="231"/>
      <c r="R305" s="343">
        <v>31021</v>
      </c>
      <c r="S305" s="343">
        <v>4387</v>
      </c>
      <c r="T305" s="343">
        <v>35408</v>
      </c>
    </row>
    <row r="306" spans="1:20">
      <c r="A306" s="349">
        <v>92917</v>
      </c>
      <c r="B306" s="342" t="s">
        <v>994</v>
      </c>
      <c r="C306" s="234">
        <v>1.9199999999999999E-5</v>
      </c>
      <c r="D306" s="234">
        <v>1.6099999999999998E-5</v>
      </c>
      <c r="E306" s="343">
        <v>52434</v>
      </c>
      <c r="F306" s="231"/>
      <c r="G306" s="343">
        <v>8978</v>
      </c>
      <c r="H306" s="343">
        <v>1279</v>
      </c>
      <c r="I306" s="343">
        <v>8546</v>
      </c>
      <c r="J306" s="343">
        <v>16266</v>
      </c>
      <c r="K306" s="343">
        <v>35069</v>
      </c>
      <c r="L306" s="231"/>
      <c r="M306" s="343">
        <v>0</v>
      </c>
      <c r="N306" s="343">
        <v>0</v>
      </c>
      <c r="O306" s="343">
        <v>0</v>
      </c>
      <c r="P306" s="343">
        <v>0</v>
      </c>
      <c r="Q306" s="231"/>
      <c r="R306" s="343">
        <v>23357</v>
      </c>
      <c r="S306" s="343">
        <v>7245</v>
      </c>
      <c r="T306" s="343">
        <v>30602</v>
      </c>
    </row>
    <row r="307" spans="1:20">
      <c r="A307" s="349">
        <v>92921</v>
      </c>
      <c r="B307" s="342" t="s">
        <v>995</v>
      </c>
      <c r="C307" s="234">
        <v>9.6600000000000003E-5</v>
      </c>
      <c r="D307" s="234">
        <v>9.2499999999999999E-5</v>
      </c>
      <c r="E307" s="343">
        <v>263807</v>
      </c>
      <c r="F307" s="231"/>
      <c r="G307" s="343">
        <v>45170</v>
      </c>
      <c r="H307" s="343">
        <v>6435</v>
      </c>
      <c r="I307" s="343">
        <v>42996</v>
      </c>
      <c r="J307" s="343">
        <v>27274</v>
      </c>
      <c r="K307" s="343">
        <v>121875</v>
      </c>
      <c r="L307" s="231"/>
      <c r="M307" s="343">
        <v>0</v>
      </c>
      <c r="N307" s="343">
        <v>0</v>
      </c>
      <c r="O307" s="343">
        <v>766</v>
      </c>
      <c r="P307" s="343">
        <v>766</v>
      </c>
      <c r="Q307" s="231"/>
      <c r="R307" s="343">
        <v>117515</v>
      </c>
      <c r="S307" s="343">
        <v>8501</v>
      </c>
      <c r="T307" s="343">
        <v>126016</v>
      </c>
    </row>
    <row r="308" spans="1:20">
      <c r="A308" s="349">
        <v>92931</v>
      </c>
      <c r="B308" s="342" t="s">
        <v>996</v>
      </c>
      <c r="C308" s="234">
        <v>2.2504999999999999E-3</v>
      </c>
      <c r="D308" s="234">
        <v>2.4600999999999998E-3</v>
      </c>
      <c r="E308" s="343">
        <v>6145940</v>
      </c>
      <c r="F308" s="231"/>
      <c r="G308" s="343">
        <v>1052341</v>
      </c>
      <c r="H308" s="343">
        <v>149908</v>
      </c>
      <c r="I308" s="343">
        <v>1001686</v>
      </c>
      <c r="J308" s="343">
        <v>21154</v>
      </c>
      <c r="K308" s="343">
        <v>2225089</v>
      </c>
      <c r="L308" s="231"/>
      <c r="M308" s="343">
        <v>0</v>
      </c>
      <c r="N308" s="343">
        <v>0</v>
      </c>
      <c r="O308" s="343">
        <v>242689</v>
      </c>
      <c r="P308" s="343">
        <v>242689</v>
      </c>
      <c r="Q308" s="231"/>
      <c r="R308" s="343">
        <v>2737763</v>
      </c>
      <c r="S308" s="343">
        <v>-87922</v>
      </c>
      <c r="T308" s="343">
        <v>2649841</v>
      </c>
    </row>
    <row r="309" spans="1:20">
      <c r="A309" s="349">
        <v>92941</v>
      </c>
      <c r="B309" s="342" t="s">
        <v>81</v>
      </c>
      <c r="C309" s="234">
        <v>4.1999999999999996E-6</v>
      </c>
      <c r="D309" s="234">
        <v>4.3000000000000003E-6</v>
      </c>
      <c r="E309" s="343">
        <v>11470</v>
      </c>
      <c r="F309" s="231"/>
      <c r="G309" s="343">
        <v>1964</v>
      </c>
      <c r="H309" s="343">
        <v>280</v>
      </c>
      <c r="I309" s="343">
        <v>1869</v>
      </c>
      <c r="J309" s="343">
        <v>1299</v>
      </c>
      <c r="K309" s="343">
        <v>5412</v>
      </c>
      <c r="L309" s="231"/>
      <c r="M309" s="343">
        <v>0</v>
      </c>
      <c r="N309" s="343">
        <v>0</v>
      </c>
      <c r="O309" s="343">
        <v>2959</v>
      </c>
      <c r="P309" s="343">
        <v>2959</v>
      </c>
      <c r="Q309" s="231"/>
      <c r="R309" s="343">
        <v>5109</v>
      </c>
      <c r="S309" s="343">
        <v>1923</v>
      </c>
      <c r="T309" s="343">
        <v>7032</v>
      </c>
    </row>
    <row r="310" spans="1:20">
      <c r="A310" s="349">
        <v>93001</v>
      </c>
      <c r="B310" s="342" t="s">
        <v>997</v>
      </c>
      <c r="C310" s="234">
        <v>2.2536000000000001E-3</v>
      </c>
      <c r="D310" s="234">
        <v>2.2772000000000001E-3</v>
      </c>
      <c r="E310" s="343">
        <v>6154406</v>
      </c>
      <c r="F310" s="231"/>
      <c r="G310" s="343">
        <v>1053790</v>
      </c>
      <c r="H310" s="343">
        <v>150114</v>
      </c>
      <c r="I310" s="343">
        <v>1003066</v>
      </c>
      <c r="J310" s="343">
        <v>8068</v>
      </c>
      <c r="K310" s="343">
        <v>2215038</v>
      </c>
      <c r="L310" s="231"/>
      <c r="M310" s="343">
        <v>0</v>
      </c>
      <c r="N310" s="343">
        <v>0</v>
      </c>
      <c r="O310" s="343">
        <v>85648</v>
      </c>
      <c r="P310" s="343">
        <v>85648</v>
      </c>
      <c r="Q310" s="231"/>
      <c r="R310" s="343">
        <v>2741534</v>
      </c>
      <c r="S310" s="343">
        <v>-28337</v>
      </c>
      <c r="T310" s="343">
        <v>2713197</v>
      </c>
    </row>
    <row r="311" spans="1:20">
      <c r="A311" s="349">
        <v>93009</v>
      </c>
      <c r="B311" s="342" t="s">
        <v>3664</v>
      </c>
      <c r="C311" s="234">
        <v>1.2799999999999999E-5</v>
      </c>
      <c r="D311" s="234">
        <v>1.38E-5</v>
      </c>
      <c r="E311" s="343">
        <v>34956</v>
      </c>
      <c r="F311" s="231"/>
      <c r="G311" s="343">
        <v>5985</v>
      </c>
      <c r="H311" s="343">
        <v>853</v>
      </c>
      <c r="I311" s="343">
        <v>5697</v>
      </c>
      <c r="J311" s="343">
        <v>0</v>
      </c>
      <c r="K311" s="343">
        <v>12535</v>
      </c>
      <c r="L311" s="231"/>
      <c r="M311" s="343">
        <v>0</v>
      </c>
      <c r="N311" s="343">
        <v>0</v>
      </c>
      <c r="O311" s="343">
        <v>4121</v>
      </c>
      <c r="P311" s="343">
        <v>4121</v>
      </c>
      <c r="Q311" s="231"/>
      <c r="R311" s="343">
        <v>15571</v>
      </c>
      <c r="S311" s="343">
        <v>-2017</v>
      </c>
      <c r="T311" s="343">
        <v>13554</v>
      </c>
    </row>
    <row r="312" spans="1:20">
      <c r="A312" s="349">
        <v>93011</v>
      </c>
      <c r="B312" s="342" t="s">
        <v>999</v>
      </c>
      <c r="C312" s="234">
        <v>3.0909999999999998E-4</v>
      </c>
      <c r="D312" s="234">
        <v>2.7599999999999999E-4</v>
      </c>
      <c r="E312" s="343">
        <v>844128</v>
      </c>
      <c r="F312" s="231"/>
      <c r="G312" s="343">
        <v>144536</v>
      </c>
      <c r="H312" s="343">
        <v>20589</v>
      </c>
      <c r="I312" s="343">
        <v>137579</v>
      </c>
      <c r="J312" s="343">
        <v>64840</v>
      </c>
      <c r="K312" s="343">
        <v>367544</v>
      </c>
      <c r="L312" s="231"/>
      <c r="M312" s="343">
        <v>0</v>
      </c>
      <c r="N312" s="343">
        <v>0</v>
      </c>
      <c r="O312" s="343">
        <v>6573</v>
      </c>
      <c r="P312" s="343">
        <v>6573</v>
      </c>
      <c r="Q312" s="231"/>
      <c r="R312" s="343">
        <v>376024</v>
      </c>
      <c r="S312" s="343">
        <v>16344</v>
      </c>
      <c r="T312" s="343">
        <v>392368</v>
      </c>
    </row>
    <row r="313" spans="1:20">
      <c r="A313" s="349">
        <v>93021</v>
      </c>
      <c r="B313" s="342" t="s">
        <v>1000</v>
      </c>
      <c r="C313" s="234">
        <v>3.0499999999999999E-5</v>
      </c>
      <c r="D313" s="234">
        <v>3.3399999999999999E-5</v>
      </c>
      <c r="E313" s="343">
        <v>83293</v>
      </c>
      <c r="F313" s="231"/>
      <c r="G313" s="343">
        <v>14262</v>
      </c>
      <c r="H313" s="343">
        <v>2032</v>
      </c>
      <c r="I313" s="343">
        <v>13575</v>
      </c>
      <c r="J313" s="343">
        <v>694</v>
      </c>
      <c r="K313" s="343">
        <v>30563</v>
      </c>
      <c r="L313" s="231"/>
      <c r="M313" s="343">
        <v>0</v>
      </c>
      <c r="N313" s="343">
        <v>0</v>
      </c>
      <c r="O313" s="343">
        <v>6729</v>
      </c>
      <c r="P313" s="343">
        <v>6729</v>
      </c>
      <c r="Q313" s="231"/>
      <c r="R313" s="343">
        <v>37104</v>
      </c>
      <c r="S313" s="343">
        <v>-2102</v>
      </c>
      <c r="T313" s="343">
        <v>35002</v>
      </c>
    </row>
    <row r="314" spans="1:20" ht="14.25" customHeight="1">
      <c r="A314" s="349">
        <v>93031</v>
      </c>
      <c r="B314" s="342" t="s">
        <v>1002</v>
      </c>
      <c r="C314" s="234">
        <v>7.7000000000000008E-6</v>
      </c>
      <c r="D314" s="234">
        <v>1.26E-5</v>
      </c>
      <c r="E314" s="343">
        <v>21028</v>
      </c>
      <c r="F314" s="231"/>
      <c r="G314" s="343">
        <v>3601</v>
      </c>
      <c r="H314" s="343">
        <v>513</v>
      </c>
      <c r="I314" s="343">
        <v>3427</v>
      </c>
      <c r="J314" s="343">
        <v>13846</v>
      </c>
      <c r="K314" s="343">
        <v>21387</v>
      </c>
      <c r="L314" s="231"/>
      <c r="M314" s="343">
        <v>0</v>
      </c>
      <c r="N314" s="343">
        <v>0</v>
      </c>
      <c r="O314" s="343">
        <v>0</v>
      </c>
      <c r="P314" s="343">
        <v>0</v>
      </c>
      <c r="Q314" s="231"/>
      <c r="R314" s="343">
        <v>9367</v>
      </c>
      <c r="S314" s="343">
        <v>8191</v>
      </c>
      <c r="T314" s="343">
        <v>17558</v>
      </c>
    </row>
    <row r="315" spans="1:20">
      <c r="A315" s="349">
        <v>93101</v>
      </c>
      <c r="B315" s="342" t="s">
        <v>1003</v>
      </c>
      <c r="C315" s="234">
        <v>3.1914999999999999E-3</v>
      </c>
      <c r="D315" s="234">
        <v>3.2376000000000002E-3</v>
      </c>
      <c r="E315" s="343">
        <v>8715738</v>
      </c>
      <c r="F315" s="231"/>
      <c r="G315" s="343">
        <v>1492355</v>
      </c>
      <c r="H315" s="343">
        <v>212589</v>
      </c>
      <c r="I315" s="343">
        <v>1420521</v>
      </c>
      <c r="J315" s="343">
        <v>9298</v>
      </c>
      <c r="K315" s="343">
        <v>3134763</v>
      </c>
      <c r="L315" s="231"/>
      <c r="M315" s="343">
        <v>0</v>
      </c>
      <c r="N315" s="343">
        <v>0</v>
      </c>
      <c r="O315" s="343">
        <v>325706</v>
      </c>
      <c r="P315" s="343">
        <v>325706</v>
      </c>
      <c r="Q315" s="231"/>
      <c r="R315" s="343">
        <v>3882501</v>
      </c>
      <c r="S315" s="343">
        <v>-82519</v>
      </c>
      <c r="T315" s="343">
        <v>3799982</v>
      </c>
    </row>
    <row r="316" spans="1:20" ht="30">
      <c r="A316" s="349">
        <v>93103</v>
      </c>
      <c r="B316" s="342" t="s">
        <v>260</v>
      </c>
      <c r="C316" s="234">
        <v>1.56E-5</v>
      </c>
      <c r="D316" s="234">
        <v>1.6699999999999999E-5</v>
      </c>
      <c r="E316" s="343">
        <v>42602</v>
      </c>
      <c r="F316" s="231"/>
      <c r="G316" s="343">
        <v>7295</v>
      </c>
      <c r="H316" s="343">
        <v>1039</v>
      </c>
      <c r="I316" s="343">
        <v>6943</v>
      </c>
      <c r="J316" s="343">
        <v>1741</v>
      </c>
      <c r="K316" s="343">
        <v>17018</v>
      </c>
      <c r="L316" s="231"/>
      <c r="M316" s="343">
        <v>0</v>
      </c>
      <c r="N316" s="343">
        <v>0</v>
      </c>
      <c r="O316" s="343">
        <v>4919</v>
      </c>
      <c r="P316" s="343">
        <v>4919</v>
      </c>
      <c r="Q316" s="231"/>
      <c r="R316" s="343">
        <v>18978</v>
      </c>
      <c r="S316" s="343">
        <v>862</v>
      </c>
      <c r="T316" s="343">
        <v>19840</v>
      </c>
    </row>
    <row r="317" spans="1:20">
      <c r="A317" s="349">
        <v>93108</v>
      </c>
      <c r="B317" s="342" t="s">
        <v>1004</v>
      </c>
      <c r="C317" s="234">
        <v>2.2694E-3</v>
      </c>
      <c r="D317" s="234">
        <v>2.4109999999999999E-3</v>
      </c>
      <c r="E317" s="343">
        <v>6197554</v>
      </c>
      <c r="F317" s="231"/>
      <c r="G317" s="343">
        <v>1061178</v>
      </c>
      <c r="H317" s="343">
        <v>151167</v>
      </c>
      <c r="I317" s="343">
        <v>1010099</v>
      </c>
      <c r="J317" s="343">
        <v>33498</v>
      </c>
      <c r="K317" s="343">
        <v>2255942</v>
      </c>
      <c r="L317" s="231"/>
      <c r="M317" s="343">
        <v>0</v>
      </c>
      <c r="N317" s="343">
        <v>0</v>
      </c>
      <c r="O317" s="343">
        <v>242634</v>
      </c>
      <c r="P317" s="343">
        <v>242634</v>
      </c>
      <c r="Q317" s="231"/>
      <c r="R317" s="343">
        <v>2760755</v>
      </c>
      <c r="S317" s="343">
        <v>-19113</v>
      </c>
      <c r="T317" s="343">
        <v>2741642</v>
      </c>
    </row>
    <row r="318" spans="1:20">
      <c r="A318" s="349">
        <v>93111</v>
      </c>
      <c r="B318" s="342" t="s">
        <v>1005</v>
      </c>
      <c r="C318" s="234">
        <v>5.8199999999999998E-5</v>
      </c>
      <c r="D318" s="234">
        <v>6.1500000000000004E-5</v>
      </c>
      <c r="E318" s="343">
        <v>158940</v>
      </c>
      <c r="F318" s="231"/>
      <c r="G318" s="343">
        <v>27214</v>
      </c>
      <c r="H318" s="343">
        <v>3877</v>
      </c>
      <c r="I318" s="343">
        <v>25905</v>
      </c>
      <c r="J318" s="343">
        <v>457</v>
      </c>
      <c r="K318" s="343">
        <v>57453</v>
      </c>
      <c r="L318" s="231"/>
      <c r="M318" s="343">
        <v>0</v>
      </c>
      <c r="N318" s="343">
        <v>0</v>
      </c>
      <c r="O318" s="343">
        <v>8959</v>
      </c>
      <c r="P318" s="343">
        <v>8959</v>
      </c>
      <c r="Q318" s="231"/>
      <c r="R318" s="343">
        <v>70801</v>
      </c>
      <c r="S318" s="343">
        <v>-5584</v>
      </c>
      <c r="T318" s="343">
        <v>65217</v>
      </c>
    </row>
    <row r="319" spans="1:20">
      <c r="A319" s="349">
        <v>93121</v>
      </c>
      <c r="B319" s="342" t="s">
        <v>1006</v>
      </c>
      <c r="C319" s="234">
        <v>6.2199999999999994E-5</v>
      </c>
      <c r="D319" s="234">
        <v>5.3300000000000001E-5</v>
      </c>
      <c r="E319" s="343">
        <v>169863</v>
      </c>
      <c r="F319" s="231"/>
      <c r="G319" s="343">
        <v>29085</v>
      </c>
      <c r="H319" s="343">
        <v>4144</v>
      </c>
      <c r="I319" s="343">
        <v>27685</v>
      </c>
      <c r="J319" s="343">
        <v>9804</v>
      </c>
      <c r="K319" s="343">
        <v>70718</v>
      </c>
      <c r="L319" s="231"/>
      <c r="M319" s="343">
        <v>0</v>
      </c>
      <c r="N319" s="343">
        <v>0</v>
      </c>
      <c r="O319" s="343">
        <v>4161</v>
      </c>
      <c r="P319" s="343">
        <v>4161</v>
      </c>
      <c r="Q319" s="231"/>
      <c r="R319" s="343">
        <v>75667</v>
      </c>
      <c r="S319" s="343">
        <v>-617</v>
      </c>
      <c r="T319" s="343">
        <v>75050</v>
      </c>
    </row>
    <row r="320" spans="1:20">
      <c r="A320" s="349">
        <v>93127</v>
      </c>
      <c r="B320" s="342" t="s">
        <v>1007</v>
      </c>
      <c r="C320" s="234">
        <v>5.9000000000000003E-6</v>
      </c>
      <c r="D320" s="234">
        <v>6.8000000000000001E-6</v>
      </c>
      <c r="E320" s="343">
        <v>16112</v>
      </c>
      <c r="F320" s="231"/>
      <c r="G320" s="343">
        <v>2759</v>
      </c>
      <c r="H320" s="343">
        <v>393</v>
      </c>
      <c r="I320" s="343">
        <v>2626</v>
      </c>
      <c r="J320" s="343">
        <v>62</v>
      </c>
      <c r="K320" s="343">
        <v>5840</v>
      </c>
      <c r="L320" s="231"/>
      <c r="M320" s="343">
        <v>0</v>
      </c>
      <c r="N320" s="343">
        <v>0</v>
      </c>
      <c r="O320" s="343">
        <v>1037</v>
      </c>
      <c r="P320" s="343">
        <v>1037</v>
      </c>
      <c r="Q320" s="231"/>
      <c r="R320" s="343">
        <v>7177</v>
      </c>
      <c r="S320" s="343">
        <v>-424</v>
      </c>
      <c r="T320" s="343">
        <v>6753</v>
      </c>
    </row>
    <row r="321" spans="1:20">
      <c r="A321" s="349">
        <v>93131</v>
      </c>
      <c r="B321" s="342" t="s">
        <v>1008</v>
      </c>
      <c r="C321" s="234">
        <v>1.7799999999999999E-4</v>
      </c>
      <c r="D321" s="234">
        <v>2.0129999999999999E-4</v>
      </c>
      <c r="E321" s="343">
        <v>486104</v>
      </c>
      <c r="F321" s="231"/>
      <c r="G321" s="343">
        <v>83233</v>
      </c>
      <c r="H321" s="343">
        <v>11856</v>
      </c>
      <c r="I321" s="343">
        <v>79227</v>
      </c>
      <c r="J321" s="343">
        <v>0</v>
      </c>
      <c r="K321" s="343">
        <v>174316</v>
      </c>
      <c r="L321" s="231"/>
      <c r="M321" s="343">
        <v>0</v>
      </c>
      <c r="N321" s="343">
        <v>0</v>
      </c>
      <c r="O321" s="343">
        <v>39396</v>
      </c>
      <c r="P321" s="343">
        <v>39396</v>
      </c>
      <c r="Q321" s="231"/>
      <c r="R321" s="343">
        <v>216539</v>
      </c>
      <c r="S321" s="343">
        <v>-11948</v>
      </c>
      <c r="T321" s="343">
        <v>204591</v>
      </c>
    </row>
    <row r="322" spans="1:20">
      <c r="A322" s="349">
        <v>93137</v>
      </c>
      <c r="B322" s="342" t="s">
        <v>1009</v>
      </c>
      <c r="C322" s="234">
        <v>4.7999999999999998E-6</v>
      </c>
      <c r="D322" s="234">
        <v>4.7999999999999998E-6</v>
      </c>
      <c r="E322" s="343">
        <v>13108</v>
      </c>
      <c r="F322" s="231"/>
      <c r="G322" s="343">
        <v>2244</v>
      </c>
      <c r="H322" s="343">
        <v>320</v>
      </c>
      <c r="I322" s="343">
        <v>2136</v>
      </c>
      <c r="J322" s="343">
        <v>2774</v>
      </c>
      <c r="K322" s="343">
        <v>7474</v>
      </c>
      <c r="L322" s="231"/>
      <c r="M322" s="343">
        <v>0</v>
      </c>
      <c r="N322" s="343">
        <v>0</v>
      </c>
      <c r="O322" s="343">
        <v>0</v>
      </c>
      <c r="P322" s="343">
        <v>0</v>
      </c>
      <c r="Q322" s="231"/>
      <c r="R322" s="343">
        <v>5839</v>
      </c>
      <c r="S322" s="343">
        <v>1331</v>
      </c>
      <c r="T322" s="343">
        <v>7170</v>
      </c>
    </row>
    <row r="323" spans="1:20">
      <c r="A323" s="349">
        <v>93141</v>
      </c>
      <c r="B323" s="342" t="s">
        <v>1010</v>
      </c>
      <c r="C323" s="234">
        <v>3.2499999999999997E-5</v>
      </c>
      <c r="D323" s="234">
        <v>3.2299999999999999E-5</v>
      </c>
      <c r="E323" s="343">
        <v>88755</v>
      </c>
      <c r="F323" s="231"/>
      <c r="G323" s="343">
        <v>15197</v>
      </c>
      <c r="H323" s="343">
        <v>2165</v>
      </c>
      <c r="I323" s="343">
        <v>14466</v>
      </c>
      <c r="J323" s="343">
        <v>1366</v>
      </c>
      <c r="K323" s="343">
        <v>33194</v>
      </c>
      <c r="L323" s="231"/>
      <c r="M323" s="343">
        <v>0</v>
      </c>
      <c r="N323" s="343">
        <v>0</v>
      </c>
      <c r="O323" s="343">
        <v>7233</v>
      </c>
      <c r="P323" s="343">
        <v>7233</v>
      </c>
      <c r="Q323" s="231"/>
      <c r="R323" s="343">
        <v>39537</v>
      </c>
      <c r="S323" s="343">
        <v>-3447</v>
      </c>
      <c r="T323" s="343">
        <v>36090</v>
      </c>
    </row>
    <row r="324" spans="1:20">
      <c r="A324" s="349">
        <v>93151</v>
      </c>
      <c r="B324" s="342" t="s">
        <v>1011</v>
      </c>
      <c r="C324" s="234">
        <v>3.7100000000000002E-4</v>
      </c>
      <c r="D324" s="234">
        <v>3.2410000000000002E-4</v>
      </c>
      <c r="E324" s="343">
        <v>1013172</v>
      </c>
      <c r="F324" s="231"/>
      <c r="G324" s="343">
        <v>173481</v>
      </c>
      <c r="H324" s="343">
        <v>24713</v>
      </c>
      <c r="I324" s="343">
        <v>165130</v>
      </c>
      <c r="J324" s="343">
        <v>18022</v>
      </c>
      <c r="K324" s="343">
        <v>381346</v>
      </c>
      <c r="L324" s="231"/>
      <c r="M324" s="343">
        <v>0</v>
      </c>
      <c r="N324" s="343">
        <v>0</v>
      </c>
      <c r="O324" s="343">
        <v>17464</v>
      </c>
      <c r="P324" s="343">
        <v>17464</v>
      </c>
      <c r="Q324" s="231"/>
      <c r="R324" s="343">
        <v>451326</v>
      </c>
      <c r="S324" s="343">
        <v>-1518</v>
      </c>
      <c r="T324" s="343">
        <v>449808</v>
      </c>
    </row>
    <row r="325" spans="1:20">
      <c r="A325" s="349">
        <v>93157</v>
      </c>
      <c r="B325" s="342" t="s">
        <v>3665</v>
      </c>
      <c r="C325" s="234">
        <v>7.9000000000000006E-6</v>
      </c>
      <c r="D325" s="234">
        <v>3.4999999999999999E-6</v>
      </c>
      <c r="E325" s="343">
        <v>21574</v>
      </c>
      <c r="F325" s="231"/>
      <c r="G325" s="343">
        <v>3694</v>
      </c>
      <c r="H325" s="343">
        <v>526</v>
      </c>
      <c r="I325" s="343">
        <v>3516</v>
      </c>
      <c r="J325" s="343">
        <v>11256</v>
      </c>
      <c r="K325" s="343">
        <v>18992</v>
      </c>
      <c r="L325" s="231"/>
      <c r="M325" s="343">
        <v>0</v>
      </c>
      <c r="N325" s="343">
        <v>0</v>
      </c>
      <c r="O325" s="343">
        <v>0</v>
      </c>
      <c r="P325" s="343">
        <v>0</v>
      </c>
      <c r="Q325" s="231"/>
      <c r="R325" s="343">
        <v>9610</v>
      </c>
      <c r="S325" s="343">
        <v>3943</v>
      </c>
      <c r="T325" s="343">
        <v>13553</v>
      </c>
    </row>
    <row r="326" spans="1:20">
      <c r="A326" s="349">
        <v>93161</v>
      </c>
      <c r="B326" s="342" t="s">
        <v>1013</v>
      </c>
      <c r="C326" s="234">
        <v>1.2180000000000001E-4</v>
      </c>
      <c r="D326" s="234">
        <v>1.105E-4</v>
      </c>
      <c r="E326" s="343">
        <v>332626</v>
      </c>
      <c r="F326" s="231"/>
      <c r="G326" s="343">
        <v>56954</v>
      </c>
      <c r="H326" s="343">
        <v>8113</v>
      </c>
      <c r="I326" s="343">
        <v>54213</v>
      </c>
      <c r="J326" s="343">
        <v>20926</v>
      </c>
      <c r="K326" s="343">
        <v>140206</v>
      </c>
      <c r="L326" s="231"/>
      <c r="M326" s="343">
        <v>0</v>
      </c>
      <c r="N326" s="343">
        <v>0</v>
      </c>
      <c r="O326" s="343">
        <v>0</v>
      </c>
      <c r="P326" s="343">
        <v>0</v>
      </c>
      <c r="Q326" s="231"/>
      <c r="R326" s="343">
        <v>148171</v>
      </c>
      <c r="S326" s="343">
        <v>10103</v>
      </c>
      <c r="T326" s="343">
        <v>158274</v>
      </c>
    </row>
    <row r="327" spans="1:20">
      <c r="A327" s="349">
        <v>93171</v>
      </c>
      <c r="B327" s="342" t="s">
        <v>1014</v>
      </c>
      <c r="C327" s="234">
        <v>5.3000000000000001E-6</v>
      </c>
      <c r="D327" s="234">
        <v>2.7E-6</v>
      </c>
      <c r="E327" s="343">
        <v>14474</v>
      </c>
      <c r="F327" s="231"/>
      <c r="G327" s="343">
        <v>2478</v>
      </c>
      <c r="H327" s="343">
        <v>353</v>
      </c>
      <c r="I327" s="343">
        <v>2359</v>
      </c>
      <c r="J327" s="343">
        <v>4617</v>
      </c>
      <c r="K327" s="343">
        <v>9807</v>
      </c>
      <c r="L327" s="231"/>
      <c r="M327" s="343">
        <v>0</v>
      </c>
      <c r="N327" s="343">
        <v>0</v>
      </c>
      <c r="O327" s="343">
        <v>740</v>
      </c>
      <c r="P327" s="343">
        <v>740</v>
      </c>
      <c r="Q327" s="231"/>
      <c r="R327" s="343">
        <v>6448</v>
      </c>
      <c r="S327" s="343">
        <v>1322</v>
      </c>
      <c r="T327" s="343">
        <v>7770</v>
      </c>
    </row>
    <row r="328" spans="1:20">
      <c r="A328" s="349">
        <v>93181</v>
      </c>
      <c r="B328" s="342" t="s">
        <v>1015</v>
      </c>
      <c r="C328" s="234">
        <v>1.04E-5</v>
      </c>
      <c r="D328" s="234">
        <v>1.1E-5</v>
      </c>
      <c r="E328" s="343">
        <v>28402</v>
      </c>
      <c r="F328" s="231"/>
      <c r="G328" s="343">
        <v>4863</v>
      </c>
      <c r="H328" s="343">
        <v>693</v>
      </c>
      <c r="I328" s="343">
        <v>4629</v>
      </c>
      <c r="J328" s="343">
        <v>422</v>
      </c>
      <c r="K328" s="343">
        <v>10607</v>
      </c>
      <c r="L328" s="231"/>
      <c r="M328" s="343">
        <v>0</v>
      </c>
      <c r="N328" s="343">
        <v>0</v>
      </c>
      <c r="O328" s="343">
        <v>0</v>
      </c>
      <c r="P328" s="343">
        <v>0</v>
      </c>
      <c r="Q328" s="231"/>
      <c r="R328" s="343">
        <v>12652</v>
      </c>
      <c r="S328" s="343">
        <v>175</v>
      </c>
      <c r="T328" s="343">
        <v>12827</v>
      </c>
    </row>
    <row r="329" spans="1:20">
      <c r="A329" s="349">
        <v>93191</v>
      </c>
      <c r="B329" s="342" t="s">
        <v>1016</v>
      </c>
      <c r="C329" s="234">
        <v>2.34E-5</v>
      </c>
      <c r="D329" s="234">
        <v>2.2500000000000001E-5</v>
      </c>
      <c r="E329" s="343">
        <v>63904</v>
      </c>
      <c r="F329" s="231"/>
      <c r="G329" s="343">
        <v>10942</v>
      </c>
      <c r="H329" s="343">
        <v>1559</v>
      </c>
      <c r="I329" s="343">
        <v>10415</v>
      </c>
      <c r="J329" s="343">
        <v>7490</v>
      </c>
      <c r="K329" s="343">
        <v>30406</v>
      </c>
      <c r="L329" s="231"/>
      <c r="M329" s="343">
        <v>0</v>
      </c>
      <c r="N329" s="343">
        <v>0</v>
      </c>
      <c r="O329" s="343">
        <v>897</v>
      </c>
      <c r="P329" s="343">
        <v>897</v>
      </c>
      <c r="Q329" s="231"/>
      <c r="R329" s="343">
        <v>28466</v>
      </c>
      <c r="S329" s="343">
        <v>2375</v>
      </c>
      <c r="T329" s="343">
        <v>30841</v>
      </c>
    </row>
    <row r="330" spans="1:20">
      <c r="A330" s="349">
        <v>93201</v>
      </c>
      <c r="B330" s="342" t="s">
        <v>1017</v>
      </c>
      <c r="C330" s="234">
        <v>1.5197799999999999E-2</v>
      </c>
      <c r="D330" s="234">
        <v>1.5763099999999999E-2</v>
      </c>
      <c r="E330" s="343">
        <v>41504006</v>
      </c>
      <c r="F330" s="231"/>
      <c r="G330" s="343">
        <v>7106537</v>
      </c>
      <c r="H330" s="343">
        <v>1012341</v>
      </c>
      <c r="I330" s="343">
        <v>6764465</v>
      </c>
      <c r="J330" s="343">
        <v>274846</v>
      </c>
      <c r="K330" s="343">
        <v>15158189</v>
      </c>
      <c r="L330" s="231"/>
      <c r="M330" s="343">
        <v>0</v>
      </c>
      <c r="N330" s="343">
        <v>0</v>
      </c>
      <c r="O330" s="343">
        <v>451750</v>
      </c>
      <c r="P330" s="343">
        <v>451750</v>
      </c>
      <c r="Q330" s="231"/>
      <c r="R330" s="343">
        <v>18488321</v>
      </c>
      <c r="S330" s="343">
        <v>183653</v>
      </c>
      <c r="T330" s="343">
        <v>18671974</v>
      </c>
    </row>
    <row r="331" spans="1:20">
      <c r="A331" s="349">
        <v>93204</v>
      </c>
      <c r="B331" s="342" t="s">
        <v>1019</v>
      </c>
      <c r="C331" s="234">
        <v>2.9710000000000001E-4</v>
      </c>
      <c r="D331" s="234">
        <v>3.28E-4</v>
      </c>
      <c r="E331" s="343">
        <v>811357</v>
      </c>
      <c r="F331" s="231"/>
      <c r="G331" s="343">
        <v>138925</v>
      </c>
      <c r="H331" s="343">
        <v>19791</v>
      </c>
      <c r="I331" s="343">
        <v>132238</v>
      </c>
      <c r="J331" s="343">
        <v>29186</v>
      </c>
      <c r="K331" s="343">
        <v>320140</v>
      </c>
      <c r="L331" s="231"/>
      <c r="M331" s="343">
        <v>0</v>
      </c>
      <c r="N331" s="343">
        <v>0</v>
      </c>
      <c r="O331" s="343">
        <v>10100</v>
      </c>
      <c r="P331" s="343">
        <v>10100</v>
      </c>
      <c r="Q331" s="231"/>
      <c r="R331" s="343">
        <v>361426</v>
      </c>
      <c r="S331" s="343">
        <v>9389</v>
      </c>
      <c r="T331" s="343">
        <v>370815</v>
      </c>
    </row>
    <row r="332" spans="1:20">
      <c r="A332" s="349">
        <v>93209</v>
      </c>
      <c r="B332" s="342" t="s">
        <v>1020</v>
      </c>
      <c r="C332" s="234">
        <v>5.5938000000000003E-3</v>
      </c>
      <c r="D332" s="234">
        <v>5.1598E-3</v>
      </c>
      <c r="E332" s="343">
        <v>15276231</v>
      </c>
      <c r="F332" s="231"/>
      <c r="G332" s="343">
        <v>2615678</v>
      </c>
      <c r="H332" s="343">
        <v>372609</v>
      </c>
      <c r="I332" s="343">
        <v>2489772</v>
      </c>
      <c r="J332" s="343">
        <v>360929</v>
      </c>
      <c r="K332" s="343">
        <v>5838988</v>
      </c>
      <c r="L332" s="231"/>
      <c r="M332" s="343">
        <v>0</v>
      </c>
      <c r="N332" s="343">
        <v>0</v>
      </c>
      <c r="O332" s="343">
        <v>0</v>
      </c>
      <c r="P332" s="343">
        <v>0</v>
      </c>
      <c r="Q332" s="231"/>
      <c r="R332" s="343">
        <v>6804930</v>
      </c>
      <c r="S332" s="343">
        <v>243537</v>
      </c>
      <c r="T332" s="343">
        <v>7048467</v>
      </c>
    </row>
    <row r="333" spans="1:20">
      <c r="A333" s="349">
        <v>93211</v>
      </c>
      <c r="B333" s="342" t="s">
        <v>1021</v>
      </c>
      <c r="C333" s="234">
        <v>2.16165E-2</v>
      </c>
      <c r="D333" s="234">
        <v>2.1090299999999999E-2</v>
      </c>
      <c r="E333" s="343">
        <v>59032975</v>
      </c>
      <c r="F333" s="231"/>
      <c r="G333" s="343">
        <v>10107940</v>
      </c>
      <c r="H333" s="343">
        <v>1439897</v>
      </c>
      <c r="I333" s="343">
        <v>9621396</v>
      </c>
      <c r="J333" s="343">
        <v>782085</v>
      </c>
      <c r="K333" s="343">
        <v>21951318</v>
      </c>
      <c r="L333" s="231"/>
      <c r="M333" s="343">
        <v>0</v>
      </c>
      <c r="N333" s="343">
        <v>0</v>
      </c>
      <c r="O333" s="343">
        <v>193585</v>
      </c>
      <c r="P333" s="343">
        <v>193585</v>
      </c>
      <c r="Q333" s="231"/>
      <c r="R333" s="343">
        <v>26296753</v>
      </c>
      <c r="S333" s="343">
        <v>-70449</v>
      </c>
      <c r="T333" s="343">
        <v>26226304</v>
      </c>
    </row>
    <row r="334" spans="1:20">
      <c r="A334" s="349">
        <v>93212</v>
      </c>
      <c r="B334" s="342" t="s">
        <v>3666</v>
      </c>
      <c r="C334" s="234">
        <v>2.3910000000000001E-4</v>
      </c>
      <c r="D334" s="234">
        <v>2.7540000000000003E-4</v>
      </c>
      <c r="E334" s="343">
        <v>652963</v>
      </c>
      <c r="F334" s="231"/>
      <c r="G334" s="343">
        <v>111804</v>
      </c>
      <c r="H334" s="343">
        <v>15927</v>
      </c>
      <c r="I334" s="343">
        <v>106422</v>
      </c>
      <c r="J334" s="343">
        <v>211180</v>
      </c>
      <c r="K334" s="343">
        <v>445333</v>
      </c>
      <c r="L334" s="231"/>
      <c r="M334" s="343">
        <v>0</v>
      </c>
      <c r="N334" s="343">
        <v>0</v>
      </c>
      <c r="O334" s="343">
        <v>0</v>
      </c>
      <c r="P334" s="343">
        <v>0</v>
      </c>
      <c r="Q334" s="231"/>
      <c r="R334" s="343">
        <v>290868</v>
      </c>
      <c r="S334" s="343">
        <v>95368</v>
      </c>
      <c r="T334" s="343">
        <v>386236</v>
      </c>
    </row>
    <row r="335" spans="1:20" ht="14.25" customHeight="1">
      <c r="A335" s="349">
        <v>93219</v>
      </c>
      <c r="B335" s="342" t="s">
        <v>1023</v>
      </c>
      <c r="C335" s="234">
        <v>2.6229999999999998E-4</v>
      </c>
      <c r="D335" s="234">
        <v>2.5329999999999998E-4</v>
      </c>
      <c r="E335" s="343">
        <v>716321</v>
      </c>
      <c r="F335" s="231"/>
      <c r="G335" s="343">
        <v>122652</v>
      </c>
      <c r="H335" s="343">
        <v>17472</v>
      </c>
      <c r="I335" s="343">
        <v>116748</v>
      </c>
      <c r="J335" s="343">
        <v>26604</v>
      </c>
      <c r="K335" s="343">
        <v>283476</v>
      </c>
      <c r="L335" s="231"/>
      <c r="M335" s="343">
        <v>0</v>
      </c>
      <c r="N335" s="343">
        <v>0</v>
      </c>
      <c r="O335" s="343">
        <v>2871</v>
      </c>
      <c r="P335" s="343">
        <v>2871</v>
      </c>
      <c r="Q335" s="231"/>
      <c r="R335" s="343">
        <v>319091</v>
      </c>
      <c r="S335" s="343">
        <v>5110</v>
      </c>
      <c r="T335" s="343">
        <v>324201</v>
      </c>
    </row>
    <row r="336" spans="1:20">
      <c r="A336" s="349">
        <v>93301</v>
      </c>
      <c r="B336" s="342" t="s">
        <v>1024</v>
      </c>
      <c r="C336" s="234">
        <v>2.2057999999999999E-3</v>
      </c>
      <c r="D336" s="234">
        <v>2.3299000000000002E-3</v>
      </c>
      <c r="E336" s="343">
        <v>6023868</v>
      </c>
      <c r="F336" s="231"/>
      <c r="G336" s="343">
        <v>1031439</v>
      </c>
      <c r="H336" s="343">
        <v>146931</v>
      </c>
      <c r="I336" s="343">
        <v>981791</v>
      </c>
      <c r="J336" s="343">
        <v>14244</v>
      </c>
      <c r="K336" s="343">
        <v>2174405</v>
      </c>
      <c r="L336" s="231"/>
      <c r="M336" s="343">
        <v>0</v>
      </c>
      <c r="N336" s="343">
        <v>0</v>
      </c>
      <c r="O336" s="343">
        <v>198450</v>
      </c>
      <c r="P336" s="343">
        <v>198450</v>
      </c>
      <c r="Q336" s="231"/>
      <c r="R336" s="343">
        <v>2683384</v>
      </c>
      <c r="S336" s="343">
        <v>-63081</v>
      </c>
      <c r="T336" s="343">
        <v>2620303</v>
      </c>
    </row>
    <row r="337" spans="1:20">
      <c r="A337" s="349">
        <v>93304</v>
      </c>
      <c r="B337" s="342" t="s">
        <v>1025</v>
      </c>
      <c r="C337" s="234">
        <v>3.9400000000000002E-5</v>
      </c>
      <c r="D337" s="234">
        <v>3.3399999999999999E-5</v>
      </c>
      <c r="E337" s="343">
        <v>107598</v>
      </c>
      <c r="F337" s="231"/>
      <c r="G337" s="343">
        <v>18424</v>
      </c>
      <c r="H337" s="343">
        <v>2625</v>
      </c>
      <c r="I337" s="343">
        <v>17537</v>
      </c>
      <c r="J337" s="343">
        <v>12577</v>
      </c>
      <c r="K337" s="343">
        <v>51163</v>
      </c>
      <c r="L337" s="231"/>
      <c r="M337" s="343">
        <v>0</v>
      </c>
      <c r="N337" s="343">
        <v>0</v>
      </c>
      <c r="O337" s="343">
        <v>0</v>
      </c>
      <c r="P337" s="343">
        <v>0</v>
      </c>
      <c r="Q337" s="231"/>
      <c r="R337" s="343">
        <v>47931</v>
      </c>
      <c r="S337" s="343">
        <v>6702</v>
      </c>
      <c r="T337" s="343">
        <v>54633</v>
      </c>
    </row>
    <row r="338" spans="1:20">
      <c r="A338" s="349">
        <v>93305</v>
      </c>
      <c r="B338" s="342" t="s">
        <v>1026</v>
      </c>
      <c r="C338" s="234">
        <v>4.0299999999999997E-5</v>
      </c>
      <c r="D338" s="234">
        <v>4.4799999999999998E-5</v>
      </c>
      <c r="E338" s="343">
        <v>110056</v>
      </c>
      <c r="F338" s="231"/>
      <c r="G338" s="343">
        <v>18844</v>
      </c>
      <c r="H338" s="343">
        <v>2684</v>
      </c>
      <c r="I338" s="343">
        <v>17937</v>
      </c>
      <c r="J338" s="343">
        <v>0</v>
      </c>
      <c r="K338" s="343">
        <v>39465</v>
      </c>
      <c r="L338" s="231"/>
      <c r="M338" s="343">
        <v>0</v>
      </c>
      <c r="N338" s="343">
        <v>0</v>
      </c>
      <c r="O338" s="343">
        <v>7864</v>
      </c>
      <c r="P338" s="343">
        <v>7864</v>
      </c>
      <c r="Q338" s="231"/>
      <c r="R338" s="343">
        <v>49025</v>
      </c>
      <c r="S338" s="343">
        <v>-3114</v>
      </c>
      <c r="T338" s="343">
        <v>45911</v>
      </c>
    </row>
    <row r="339" spans="1:20">
      <c r="A339" s="349">
        <v>93309</v>
      </c>
      <c r="B339" s="342" t="s">
        <v>1027</v>
      </c>
      <c r="C339" s="234">
        <v>1.6239999999999999E-4</v>
      </c>
      <c r="D339" s="234">
        <v>1.6430000000000001E-4</v>
      </c>
      <c r="E339" s="343">
        <v>443502</v>
      </c>
      <c r="F339" s="231"/>
      <c r="G339" s="343">
        <v>75939</v>
      </c>
      <c r="H339" s="343">
        <v>10818</v>
      </c>
      <c r="I339" s="343">
        <v>72283</v>
      </c>
      <c r="J339" s="343">
        <v>30381</v>
      </c>
      <c r="K339" s="343">
        <v>189421</v>
      </c>
      <c r="L339" s="231"/>
      <c r="M339" s="343">
        <v>0</v>
      </c>
      <c r="N339" s="343">
        <v>0</v>
      </c>
      <c r="O339" s="343">
        <v>0</v>
      </c>
      <c r="P339" s="343">
        <v>0</v>
      </c>
      <c r="Q339" s="231"/>
      <c r="R339" s="343">
        <v>197562</v>
      </c>
      <c r="S339" s="343">
        <v>14679</v>
      </c>
      <c r="T339" s="343">
        <v>212241</v>
      </c>
    </row>
    <row r="340" spans="1:20">
      <c r="A340" s="349">
        <v>93311</v>
      </c>
      <c r="B340" s="342" t="s">
        <v>1028</v>
      </c>
      <c r="C340" s="234">
        <v>1.2413999999999999E-3</v>
      </c>
      <c r="D340" s="234">
        <v>1.2439E-3</v>
      </c>
      <c r="E340" s="343">
        <v>3390167</v>
      </c>
      <c r="F340" s="231"/>
      <c r="G340" s="343">
        <v>580482</v>
      </c>
      <c r="H340" s="343">
        <v>82690</v>
      </c>
      <c r="I340" s="343">
        <v>552541</v>
      </c>
      <c r="J340" s="343">
        <v>16973</v>
      </c>
      <c r="K340" s="343">
        <v>1232686</v>
      </c>
      <c r="L340" s="231"/>
      <c r="M340" s="343">
        <v>0</v>
      </c>
      <c r="N340" s="343">
        <v>0</v>
      </c>
      <c r="O340" s="343">
        <v>75260</v>
      </c>
      <c r="P340" s="343">
        <v>75260</v>
      </c>
      <c r="Q340" s="231"/>
      <c r="R340" s="343">
        <v>1510179</v>
      </c>
      <c r="S340" s="343">
        <v>-36199</v>
      </c>
      <c r="T340" s="343">
        <v>1473980</v>
      </c>
    </row>
    <row r="341" spans="1:20">
      <c r="A341" s="349">
        <v>93317</v>
      </c>
      <c r="B341" s="342" t="s">
        <v>1029</v>
      </c>
      <c r="C341" s="234">
        <v>4.1199999999999999E-5</v>
      </c>
      <c r="D341" s="234">
        <v>4.8300000000000002E-5</v>
      </c>
      <c r="E341" s="343">
        <v>112514</v>
      </c>
      <c r="F341" s="231"/>
      <c r="G341" s="343">
        <v>19265</v>
      </c>
      <c r="H341" s="343">
        <v>2745</v>
      </c>
      <c r="I341" s="343">
        <v>18338</v>
      </c>
      <c r="J341" s="343">
        <v>298</v>
      </c>
      <c r="K341" s="343">
        <v>40646</v>
      </c>
      <c r="L341" s="231"/>
      <c r="M341" s="343">
        <v>0</v>
      </c>
      <c r="N341" s="343">
        <v>0</v>
      </c>
      <c r="O341" s="343">
        <v>6200</v>
      </c>
      <c r="P341" s="343">
        <v>6200</v>
      </c>
      <c r="Q341" s="231"/>
      <c r="R341" s="343">
        <v>50120</v>
      </c>
      <c r="S341" s="343">
        <v>-1471</v>
      </c>
      <c r="T341" s="343">
        <v>48649</v>
      </c>
    </row>
    <row r="342" spans="1:20">
      <c r="A342" s="349">
        <v>93321</v>
      </c>
      <c r="B342" s="342" t="s">
        <v>1030</v>
      </c>
      <c r="C342" s="234">
        <v>6.7971999999999998E-3</v>
      </c>
      <c r="D342" s="234">
        <v>7.0657000000000003E-3</v>
      </c>
      <c r="E342" s="343">
        <v>18562623</v>
      </c>
      <c r="F342" s="231"/>
      <c r="G342" s="343">
        <v>3178391</v>
      </c>
      <c r="H342" s="343">
        <v>452768</v>
      </c>
      <c r="I342" s="343">
        <v>3025400</v>
      </c>
      <c r="J342" s="343">
        <v>0</v>
      </c>
      <c r="K342" s="343">
        <v>6656559</v>
      </c>
      <c r="L342" s="231"/>
      <c r="M342" s="343">
        <v>0</v>
      </c>
      <c r="N342" s="343">
        <v>0</v>
      </c>
      <c r="O342" s="343">
        <v>639533</v>
      </c>
      <c r="P342" s="343">
        <v>639533</v>
      </c>
      <c r="Q342" s="231"/>
      <c r="R342" s="343">
        <v>8268882</v>
      </c>
      <c r="S342" s="343">
        <v>-310057</v>
      </c>
      <c r="T342" s="343">
        <v>7958825</v>
      </c>
    </row>
    <row r="343" spans="1:20">
      <c r="A343" s="349">
        <v>93323</v>
      </c>
      <c r="B343" s="342" t="s">
        <v>1031</v>
      </c>
      <c r="C343" s="234">
        <v>2.0100000000000001E-5</v>
      </c>
      <c r="D343" s="234">
        <v>1.9300000000000002E-5</v>
      </c>
      <c r="E343" s="343">
        <v>54892</v>
      </c>
      <c r="F343" s="231"/>
      <c r="G343" s="343">
        <v>9399</v>
      </c>
      <c r="H343" s="343">
        <v>1339</v>
      </c>
      <c r="I343" s="343">
        <v>8946</v>
      </c>
      <c r="J343" s="343">
        <v>3470</v>
      </c>
      <c r="K343" s="343">
        <v>23154</v>
      </c>
      <c r="L343" s="231"/>
      <c r="M343" s="343">
        <v>0</v>
      </c>
      <c r="N343" s="343">
        <v>0</v>
      </c>
      <c r="O343" s="343">
        <v>2394</v>
      </c>
      <c r="P343" s="343">
        <v>2394</v>
      </c>
      <c r="Q343" s="231"/>
      <c r="R343" s="343">
        <v>24452</v>
      </c>
      <c r="S343" s="343">
        <v>1221</v>
      </c>
      <c r="T343" s="343">
        <v>25673</v>
      </c>
    </row>
    <row r="344" spans="1:20">
      <c r="A344" s="349">
        <v>93331</v>
      </c>
      <c r="B344" s="342" t="s">
        <v>1032</v>
      </c>
      <c r="C344" s="234">
        <v>1.161E-4</v>
      </c>
      <c r="D344" s="234">
        <v>1.22E-4</v>
      </c>
      <c r="E344" s="343">
        <v>317060</v>
      </c>
      <c r="F344" s="231"/>
      <c r="G344" s="343">
        <v>54289</v>
      </c>
      <c r="H344" s="343">
        <v>7734</v>
      </c>
      <c r="I344" s="343">
        <v>51676</v>
      </c>
      <c r="J344" s="343">
        <v>4145</v>
      </c>
      <c r="K344" s="343">
        <v>117844</v>
      </c>
      <c r="L344" s="231"/>
      <c r="M344" s="343">
        <v>0</v>
      </c>
      <c r="N344" s="343">
        <v>0</v>
      </c>
      <c r="O344" s="343">
        <v>9293</v>
      </c>
      <c r="P344" s="343">
        <v>9293</v>
      </c>
      <c r="Q344" s="231"/>
      <c r="R344" s="343">
        <v>141237</v>
      </c>
      <c r="S344" s="343">
        <v>-4173</v>
      </c>
      <c r="T344" s="343">
        <v>137064</v>
      </c>
    </row>
    <row r="345" spans="1:20">
      <c r="A345" s="349">
        <v>93333</v>
      </c>
      <c r="B345" s="342" t="s">
        <v>3667</v>
      </c>
      <c r="C345" s="234">
        <v>1.6660000000000001E-4</v>
      </c>
      <c r="D345" s="234">
        <v>1.685E-4</v>
      </c>
      <c r="E345" s="343">
        <v>454972</v>
      </c>
      <c r="F345" s="231"/>
      <c r="G345" s="343">
        <v>77903</v>
      </c>
      <c r="H345" s="343">
        <v>11097</v>
      </c>
      <c r="I345" s="343">
        <v>74153</v>
      </c>
      <c r="J345" s="343">
        <v>92551</v>
      </c>
      <c r="K345" s="343">
        <v>255704</v>
      </c>
      <c r="L345" s="231"/>
      <c r="M345" s="343">
        <v>0</v>
      </c>
      <c r="N345" s="343">
        <v>0</v>
      </c>
      <c r="O345" s="343">
        <v>0</v>
      </c>
      <c r="P345" s="343">
        <v>0</v>
      </c>
      <c r="Q345" s="231"/>
      <c r="R345" s="343">
        <v>202671</v>
      </c>
      <c r="S345" s="343">
        <v>74125</v>
      </c>
      <c r="T345" s="343">
        <v>276796</v>
      </c>
    </row>
    <row r="346" spans="1:20">
      <c r="A346" s="349">
        <v>93341</v>
      </c>
      <c r="B346" s="342" t="s">
        <v>1034</v>
      </c>
      <c r="C346" s="234">
        <v>2.9300000000000001E-5</v>
      </c>
      <c r="D346" s="234">
        <v>2.7500000000000001E-5</v>
      </c>
      <c r="E346" s="343">
        <v>80016</v>
      </c>
      <c r="F346" s="231"/>
      <c r="G346" s="343">
        <v>13701</v>
      </c>
      <c r="H346" s="343">
        <v>1952</v>
      </c>
      <c r="I346" s="343">
        <v>13041</v>
      </c>
      <c r="J346" s="343">
        <v>5043</v>
      </c>
      <c r="K346" s="343">
        <v>33737</v>
      </c>
      <c r="L346" s="231"/>
      <c r="M346" s="343">
        <v>0</v>
      </c>
      <c r="N346" s="343">
        <v>0</v>
      </c>
      <c r="O346" s="343">
        <v>431</v>
      </c>
      <c r="P346" s="343">
        <v>431</v>
      </c>
      <c r="Q346" s="231"/>
      <c r="R346" s="343">
        <v>35644</v>
      </c>
      <c r="S346" s="343">
        <v>1757</v>
      </c>
      <c r="T346" s="343">
        <v>37401</v>
      </c>
    </row>
    <row r="347" spans="1:20">
      <c r="A347" s="349">
        <v>93351</v>
      </c>
      <c r="B347" s="342" t="s">
        <v>1035</v>
      </c>
      <c r="C347" s="234">
        <v>3.1600000000000002E-5</v>
      </c>
      <c r="D347" s="234">
        <v>1.7600000000000001E-5</v>
      </c>
      <c r="E347" s="343">
        <v>86297</v>
      </c>
      <c r="F347" s="231"/>
      <c r="G347" s="343">
        <v>14776</v>
      </c>
      <c r="H347" s="343">
        <v>2105</v>
      </c>
      <c r="I347" s="343">
        <v>14065</v>
      </c>
      <c r="J347" s="343">
        <v>14630</v>
      </c>
      <c r="K347" s="343">
        <v>45576</v>
      </c>
      <c r="L347" s="231"/>
      <c r="M347" s="343">
        <v>0</v>
      </c>
      <c r="N347" s="343">
        <v>0</v>
      </c>
      <c r="O347" s="343">
        <v>8040</v>
      </c>
      <c r="P347" s="343">
        <v>8040</v>
      </c>
      <c r="Q347" s="231"/>
      <c r="R347" s="343">
        <v>38442</v>
      </c>
      <c r="S347" s="343">
        <v>2526</v>
      </c>
      <c r="T347" s="343">
        <v>40968</v>
      </c>
    </row>
    <row r="348" spans="1:20">
      <c r="A348" s="349">
        <v>93401</v>
      </c>
      <c r="B348" s="342" t="s">
        <v>1036</v>
      </c>
      <c r="C348" s="234">
        <v>1.3690799999999999E-2</v>
      </c>
      <c r="D348" s="234">
        <v>1.40187E-2</v>
      </c>
      <c r="E348" s="343">
        <v>37388507</v>
      </c>
      <c r="F348" s="231"/>
      <c r="G348" s="343">
        <v>6401859</v>
      </c>
      <c r="H348" s="343">
        <v>911958</v>
      </c>
      <c r="I348" s="343">
        <v>6093707</v>
      </c>
      <c r="J348" s="343">
        <v>108458</v>
      </c>
      <c r="K348" s="343">
        <v>13515982</v>
      </c>
      <c r="L348" s="231"/>
      <c r="M348" s="343">
        <v>0</v>
      </c>
      <c r="N348" s="343">
        <v>0</v>
      </c>
      <c r="O348" s="343">
        <v>300663</v>
      </c>
      <c r="P348" s="343">
        <v>300663</v>
      </c>
      <c r="Q348" s="231"/>
      <c r="R348" s="343">
        <v>16655036</v>
      </c>
      <c r="S348" s="343">
        <v>-31172</v>
      </c>
      <c r="T348" s="343">
        <v>16623864</v>
      </c>
    </row>
    <row r="349" spans="1:20">
      <c r="A349" s="349">
        <v>93406</v>
      </c>
      <c r="B349" s="342" t="s">
        <v>1038</v>
      </c>
      <c r="C349" s="234">
        <v>4.9350000000000002E-4</v>
      </c>
      <c r="D349" s="234">
        <v>5.0830000000000005E-4</v>
      </c>
      <c r="E349" s="343">
        <v>1347710</v>
      </c>
      <c r="F349" s="231"/>
      <c r="G349" s="343">
        <v>230762</v>
      </c>
      <c r="H349" s="343">
        <v>32872</v>
      </c>
      <c r="I349" s="343">
        <v>219654</v>
      </c>
      <c r="J349" s="343">
        <v>5026</v>
      </c>
      <c r="K349" s="343">
        <v>488314</v>
      </c>
      <c r="L349" s="231"/>
      <c r="M349" s="343">
        <v>0</v>
      </c>
      <c r="N349" s="343">
        <v>0</v>
      </c>
      <c r="O349" s="343">
        <v>94368</v>
      </c>
      <c r="P349" s="343">
        <v>94368</v>
      </c>
      <c r="Q349" s="231"/>
      <c r="R349" s="343">
        <v>600349</v>
      </c>
      <c r="S349" s="343">
        <v>-28939</v>
      </c>
      <c r="T349" s="343">
        <v>571410</v>
      </c>
    </row>
    <row r="350" spans="1:20">
      <c r="A350" s="349">
        <v>93411</v>
      </c>
      <c r="B350" s="342" t="s">
        <v>1040</v>
      </c>
      <c r="C350" s="234">
        <v>1.77345E-2</v>
      </c>
      <c r="D350" s="234">
        <v>1.8113199999999999E-2</v>
      </c>
      <c r="E350" s="343">
        <v>48431536</v>
      </c>
      <c r="F350" s="231"/>
      <c r="G350" s="343">
        <v>8292705</v>
      </c>
      <c r="H350" s="343">
        <v>1181312</v>
      </c>
      <c r="I350" s="343">
        <v>7893537</v>
      </c>
      <c r="J350" s="343">
        <v>539076</v>
      </c>
      <c r="K350" s="343">
        <v>17906630</v>
      </c>
      <c r="L350" s="231"/>
      <c r="M350" s="343">
        <v>0</v>
      </c>
      <c r="N350" s="343">
        <v>0</v>
      </c>
      <c r="O350" s="343">
        <v>354327</v>
      </c>
      <c r="P350" s="343">
        <v>354327</v>
      </c>
      <c r="Q350" s="231"/>
      <c r="R350" s="343">
        <v>21574250</v>
      </c>
      <c r="S350" s="343">
        <v>-1063</v>
      </c>
      <c r="T350" s="343">
        <v>21573187</v>
      </c>
    </row>
    <row r="351" spans="1:20">
      <c r="A351" s="349">
        <v>93413</v>
      </c>
      <c r="B351" s="342" t="s">
        <v>1041</v>
      </c>
      <c r="C351" s="234">
        <v>6.9559999999999999E-4</v>
      </c>
      <c r="D351" s="234">
        <v>7.1969999999999998E-4</v>
      </c>
      <c r="E351" s="343">
        <v>1899629</v>
      </c>
      <c r="F351" s="231"/>
      <c r="G351" s="343">
        <v>325265</v>
      </c>
      <c r="H351" s="343">
        <v>46335</v>
      </c>
      <c r="I351" s="343">
        <v>309608</v>
      </c>
      <c r="J351" s="343">
        <v>1582</v>
      </c>
      <c r="K351" s="343">
        <v>682790</v>
      </c>
      <c r="L351" s="231"/>
      <c r="M351" s="343">
        <v>0</v>
      </c>
      <c r="N351" s="343">
        <v>0</v>
      </c>
      <c r="O351" s="343">
        <v>15616</v>
      </c>
      <c r="P351" s="343">
        <v>15616</v>
      </c>
      <c r="Q351" s="231"/>
      <c r="R351" s="343">
        <v>846206</v>
      </c>
      <c r="S351" s="343">
        <v>-16276</v>
      </c>
      <c r="T351" s="343">
        <v>829930</v>
      </c>
    </row>
    <row r="352" spans="1:20">
      <c r="A352" s="349">
        <v>93417</v>
      </c>
      <c r="B352" s="342" t="s">
        <v>1042</v>
      </c>
      <c r="C352" s="234">
        <v>2.8659999999999997E-4</v>
      </c>
      <c r="D352" s="234">
        <v>3.279E-4</v>
      </c>
      <c r="E352" s="343">
        <v>782682</v>
      </c>
      <c r="F352" s="231"/>
      <c r="G352" s="343">
        <v>134015</v>
      </c>
      <c r="H352" s="343">
        <v>19091</v>
      </c>
      <c r="I352" s="343">
        <v>127564</v>
      </c>
      <c r="J352" s="343">
        <v>7532</v>
      </c>
      <c r="K352" s="343">
        <v>288202</v>
      </c>
      <c r="L352" s="231"/>
      <c r="M352" s="343">
        <v>0</v>
      </c>
      <c r="N352" s="343">
        <v>0</v>
      </c>
      <c r="O352" s="343">
        <v>19596</v>
      </c>
      <c r="P352" s="343">
        <v>19596</v>
      </c>
      <c r="Q352" s="231"/>
      <c r="R352" s="343">
        <v>348653</v>
      </c>
      <c r="S352" s="343">
        <v>-5676</v>
      </c>
      <c r="T352" s="343">
        <v>342977</v>
      </c>
    </row>
    <row r="353" spans="1:20">
      <c r="A353" s="349">
        <v>93421</v>
      </c>
      <c r="B353" s="342" t="s">
        <v>1043</v>
      </c>
      <c r="C353" s="234">
        <v>2.0569E-3</v>
      </c>
      <c r="D353" s="234">
        <v>2.1354999999999998E-3</v>
      </c>
      <c r="E353" s="343">
        <v>5617233</v>
      </c>
      <c r="F353" s="231"/>
      <c r="G353" s="343">
        <v>961813</v>
      </c>
      <c r="H353" s="343">
        <v>137013</v>
      </c>
      <c r="I353" s="343">
        <v>915516</v>
      </c>
      <c r="J353" s="343">
        <v>0</v>
      </c>
      <c r="K353" s="343">
        <v>2014342</v>
      </c>
      <c r="L353" s="231"/>
      <c r="M353" s="343">
        <v>0</v>
      </c>
      <c r="N353" s="343">
        <v>0</v>
      </c>
      <c r="O353" s="343">
        <v>251030</v>
      </c>
      <c r="P353" s="343">
        <v>251030</v>
      </c>
      <c r="Q353" s="231"/>
      <c r="R353" s="343">
        <v>2502246</v>
      </c>
      <c r="S353" s="343">
        <v>-124004</v>
      </c>
      <c r="T353" s="343">
        <v>2378242</v>
      </c>
    </row>
    <row r="354" spans="1:20">
      <c r="A354" s="349">
        <v>93431</v>
      </c>
      <c r="B354" s="342" t="s">
        <v>1044</v>
      </c>
      <c r="C354" s="234">
        <v>1.381E-4</v>
      </c>
      <c r="D354" s="234">
        <v>1.393E-4</v>
      </c>
      <c r="E354" s="343">
        <v>377140</v>
      </c>
      <c r="F354" s="231"/>
      <c r="G354" s="343">
        <v>64576</v>
      </c>
      <c r="H354" s="343">
        <v>9199</v>
      </c>
      <c r="I354" s="343">
        <v>61468</v>
      </c>
      <c r="J354" s="343">
        <v>12502</v>
      </c>
      <c r="K354" s="343">
        <v>147745</v>
      </c>
      <c r="L354" s="231"/>
      <c r="M354" s="343">
        <v>0</v>
      </c>
      <c r="N354" s="343">
        <v>0</v>
      </c>
      <c r="O354" s="343">
        <v>1935</v>
      </c>
      <c r="P354" s="343">
        <v>1935</v>
      </c>
      <c r="Q354" s="231"/>
      <c r="R354" s="343">
        <v>168000</v>
      </c>
      <c r="S354" s="343">
        <v>3038</v>
      </c>
      <c r="T354" s="343">
        <v>171038</v>
      </c>
    </row>
    <row r="355" spans="1:20">
      <c r="A355" s="349">
        <v>93441</v>
      </c>
      <c r="B355" s="342" t="s">
        <v>1045</v>
      </c>
      <c r="C355" s="234">
        <v>1.6559999999999999E-4</v>
      </c>
      <c r="D355" s="234">
        <v>1.651E-4</v>
      </c>
      <c r="E355" s="343">
        <v>452241</v>
      </c>
      <c r="F355" s="231"/>
      <c r="G355" s="343">
        <v>77435</v>
      </c>
      <c r="H355" s="343">
        <v>11031</v>
      </c>
      <c r="I355" s="343">
        <v>73708</v>
      </c>
      <c r="J355" s="343">
        <v>12655</v>
      </c>
      <c r="K355" s="343">
        <v>174829</v>
      </c>
      <c r="L355" s="231"/>
      <c r="M355" s="343">
        <v>0</v>
      </c>
      <c r="N355" s="343">
        <v>0</v>
      </c>
      <c r="O355" s="343">
        <v>4085</v>
      </c>
      <c r="P355" s="343">
        <v>4085</v>
      </c>
      <c r="Q355" s="231"/>
      <c r="R355" s="343">
        <v>201455</v>
      </c>
      <c r="S355" s="343">
        <v>8286</v>
      </c>
      <c r="T355" s="343">
        <v>209741</v>
      </c>
    </row>
    <row r="356" spans="1:20">
      <c r="A356" s="349">
        <v>93442</v>
      </c>
      <c r="B356" s="342" t="s">
        <v>1046</v>
      </c>
      <c r="C356" s="234">
        <v>1.561E-4</v>
      </c>
      <c r="D356" s="234">
        <v>1.5139999999999999E-4</v>
      </c>
      <c r="E356" s="343">
        <v>426297</v>
      </c>
      <c r="F356" s="231"/>
      <c r="G356" s="343">
        <v>72993</v>
      </c>
      <c r="H356" s="343">
        <v>10398</v>
      </c>
      <c r="I356" s="343">
        <v>69479</v>
      </c>
      <c r="J356" s="343">
        <v>428</v>
      </c>
      <c r="K356" s="343">
        <v>153298</v>
      </c>
      <c r="L356" s="231"/>
      <c r="M356" s="343">
        <v>0</v>
      </c>
      <c r="N356" s="343">
        <v>0</v>
      </c>
      <c r="O356" s="343">
        <v>15809</v>
      </c>
      <c r="P356" s="343">
        <v>15809</v>
      </c>
      <c r="Q356" s="231"/>
      <c r="R356" s="343">
        <v>189898</v>
      </c>
      <c r="S356" s="343">
        <v>-7256</v>
      </c>
      <c r="T356" s="343">
        <v>182642</v>
      </c>
    </row>
    <row r="357" spans="1:20">
      <c r="A357" s="349">
        <v>93451</v>
      </c>
      <c r="B357" s="342" t="s">
        <v>1047</v>
      </c>
      <c r="C357" s="234">
        <v>6.6600000000000006E-5</v>
      </c>
      <c r="D357" s="234">
        <v>7.9599999999999997E-5</v>
      </c>
      <c r="E357" s="343">
        <v>181879</v>
      </c>
      <c r="F357" s="231"/>
      <c r="G357" s="343">
        <v>31142</v>
      </c>
      <c r="H357" s="343">
        <v>4436</v>
      </c>
      <c r="I357" s="343">
        <v>29643</v>
      </c>
      <c r="J357" s="343">
        <v>12253</v>
      </c>
      <c r="K357" s="343">
        <v>77474</v>
      </c>
      <c r="L357" s="231"/>
      <c r="M357" s="343">
        <v>0</v>
      </c>
      <c r="N357" s="343">
        <v>0</v>
      </c>
      <c r="O357" s="343">
        <v>992</v>
      </c>
      <c r="P357" s="343">
        <v>992</v>
      </c>
      <c r="Q357" s="231"/>
      <c r="R357" s="343">
        <v>81020</v>
      </c>
      <c r="S357" s="343">
        <v>8681</v>
      </c>
      <c r="T357" s="343">
        <v>89701</v>
      </c>
    </row>
    <row r="358" spans="1:20">
      <c r="A358" s="349">
        <v>93461</v>
      </c>
      <c r="B358" s="342" t="s">
        <v>1048</v>
      </c>
      <c r="C358" s="234">
        <v>1.5500000000000001E-5</v>
      </c>
      <c r="D358" s="234">
        <v>1.6200000000000001E-5</v>
      </c>
      <c r="E358" s="343">
        <v>42329</v>
      </c>
      <c r="F358" s="231"/>
      <c r="G358" s="343">
        <v>7248</v>
      </c>
      <c r="H358" s="343">
        <v>1033</v>
      </c>
      <c r="I358" s="343">
        <v>6899</v>
      </c>
      <c r="J358" s="343">
        <v>412</v>
      </c>
      <c r="K358" s="343">
        <v>15592</v>
      </c>
      <c r="L358" s="231"/>
      <c r="M358" s="343">
        <v>0</v>
      </c>
      <c r="N358" s="343">
        <v>0</v>
      </c>
      <c r="O358" s="343">
        <v>298</v>
      </c>
      <c r="P358" s="343">
        <v>298</v>
      </c>
      <c r="Q358" s="231"/>
      <c r="R358" s="343">
        <v>18856</v>
      </c>
      <c r="S358" s="343">
        <v>221</v>
      </c>
      <c r="T358" s="343">
        <v>19077</v>
      </c>
    </row>
    <row r="359" spans="1:20">
      <c r="A359" s="349">
        <v>93471</v>
      </c>
      <c r="B359" s="342" t="s">
        <v>1049</v>
      </c>
      <c r="C359" s="234">
        <v>1.1399999999999999E-5</v>
      </c>
      <c r="D359" s="234">
        <v>1.15E-5</v>
      </c>
      <c r="E359" s="343">
        <v>31133</v>
      </c>
      <c r="F359" s="231"/>
      <c r="G359" s="343">
        <v>5331</v>
      </c>
      <c r="H359" s="343">
        <v>759</v>
      </c>
      <c r="I359" s="343">
        <v>5074</v>
      </c>
      <c r="J359" s="343">
        <v>5210</v>
      </c>
      <c r="K359" s="343">
        <v>16374</v>
      </c>
      <c r="L359" s="231"/>
      <c r="M359" s="343">
        <v>0</v>
      </c>
      <c r="N359" s="343">
        <v>0</v>
      </c>
      <c r="O359" s="343">
        <v>0</v>
      </c>
      <c r="P359" s="343">
        <v>0</v>
      </c>
      <c r="Q359" s="231"/>
      <c r="R359" s="343">
        <v>13868</v>
      </c>
      <c r="S359" s="343">
        <v>2235</v>
      </c>
      <c r="T359" s="343">
        <v>16103</v>
      </c>
    </row>
    <row r="360" spans="1:20">
      <c r="A360" s="349">
        <v>93501</v>
      </c>
      <c r="B360" s="342" t="s">
        <v>1050</v>
      </c>
      <c r="C360" s="234">
        <v>3.8463999999999998E-3</v>
      </c>
      <c r="D360" s="234">
        <v>3.6803000000000001E-3</v>
      </c>
      <c r="E360" s="343">
        <v>10504218</v>
      </c>
      <c r="F360" s="231"/>
      <c r="G360" s="343">
        <v>1798588</v>
      </c>
      <c r="H360" s="343">
        <v>256213</v>
      </c>
      <c r="I360" s="343">
        <v>1712013</v>
      </c>
      <c r="J360" s="343">
        <v>194680</v>
      </c>
      <c r="K360" s="343">
        <v>3961494</v>
      </c>
      <c r="L360" s="231"/>
      <c r="M360" s="343">
        <v>0</v>
      </c>
      <c r="N360" s="343">
        <v>0</v>
      </c>
      <c r="O360" s="343">
        <v>17318</v>
      </c>
      <c r="P360" s="343">
        <v>17318</v>
      </c>
      <c r="Q360" s="231"/>
      <c r="R360" s="343">
        <v>4679196</v>
      </c>
      <c r="S360" s="343">
        <v>69106</v>
      </c>
      <c r="T360" s="343">
        <v>4748302</v>
      </c>
    </row>
    <row r="361" spans="1:20">
      <c r="A361" s="349">
        <v>93511</v>
      </c>
      <c r="B361" s="342" t="s">
        <v>1051</v>
      </c>
      <c r="C361" s="234">
        <v>8.7899999999999995E-5</v>
      </c>
      <c r="D361" s="234">
        <v>8.8800000000000004E-5</v>
      </c>
      <c r="E361" s="343">
        <v>240048</v>
      </c>
      <c r="F361" s="231"/>
      <c r="G361" s="343">
        <v>41102</v>
      </c>
      <c r="H361" s="343">
        <v>5855</v>
      </c>
      <c r="I361" s="343">
        <v>39124</v>
      </c>
      <c r="J361" s="343">
        <v>10067</v>
      </c>
      <c r="K361" s="343">
        <v>96148</v>
      </c>
      <c r="L361" s="231"/>
      <c r="M361" s="343">
        <v>0</v>
      </c>
      <c r="N361" s="343">
        <v>0</v>
      </c>
      <c r="O361" s="343">
        <v>3613</v>
      </c>
      <c r="P361" s="343">
        <v>3613</v>
      </c>
      <c r="Q361" s="231"/>
      <c r="R361" s="343">
        <v>106931</v>
      </c>
      <c r="S361" s="343">
        <v>-2023</v>
      </c>
      <c r="T361" s="343">
        <v>104908</v>
      </c>
    </row>
    <row r="362" spans="1:20">
      <c r="A362" s="349">
        <v>93517</v>
      </c>
      <c r="B362" s="342" t="s">
        <v>1052</v>
      </c>
      <c r="C362" s="234">
        <v>4.3000000000000003E-6</v>
      </c>
      <c r="D362" s="234">
        <v>5.0000000000000004E-6</v>
      </c>
      <c r="E362" s="343">
        <v>11743</v>
      </c>
      <c r="F362" s="231"/>
      <c r="G362" s="343">
        <v>2011</v>
      </c>
      <c r="H362" s="343">
        <v>287</v>
      </c>
      <c r="I362" s="343">
        <v>1914</v>
      </c>
      <c r="J362" s="343">
        <v>2957</v>
      </c>
      <c r="K362" s="343">
        <v>7169</v>
      </c>
      <c r="L362" s="231"/>
      <c r="M362" s="343">
        <v>0</v>
      </c>
      <c r="N362" s="343">
        <v>0</v>
      </c>
      <c r="O362" s="343">
        <v>0</v>
      </c>
      <c r="P362" s="343">
        <v>0</v>
      </c>
      <c r="Q362" s="231"/>
      <c r="R362" s="343">
        <v>5231</v>
      </c>
      <c r="S362" s="343">
        <v>1764</v>
      </c>
      <c r="T362" s="343">
        <v>6995</v>
      </c>
    </row>
    <row r="363" spans="1:20">
      <c r="A363" s="349">
        <v>93521</v>
      </c>
      <c r="B363" s="342" t="s">
        <v>1053</v>
      </c>
      <c r="C363" s="234">
        <v>4.7340000000000001E-4</v>
      </c>
      <c r="D363" s="234">
        <v>4.639E-4</v>
      </c>
      <c r="E363" s="343">
        <v>1292818</v>
      </c>
      <c r="F363" s="231"/>
      <c r="G363" s="343">
        <v>221363</v>
      </c>
      <c r="H363" s="343">
        <v>31533</v>
      </c>
      <c r="I363" s="343">
        <v>210708</v>
      </c>
      <c r="J363" s="343">
        <v>15764</v>
      </c>
      <c r="K363" s="343">
        <v>479368</v>
      </c>
      <c r="L363" s="231"/>
      <c r="M363" s="343">
        <v>0</v>
      </c>
      <c r="N363" s="343">
        <v>0</v>
      </c>
      <c r="O363" s="343">
        <v>34512</v>
      </c>
      <c r="P363" s="343">
        <v>34512</v>
      </c>
      <c r="Q363" s="231"/>
      <c r="R363" s="343">
        <v>575897</v>
      </c>
      <c r="S363" s="343">
        <v>-11720</v>
      </c>
      <c r="T363" s="343">
        <v>564177</v>
      </c>
    </row>
    <row r="364" spans="1:20">
      <c r="A364" s="349">
        <v>93527</v>
      </c>
      <c r="B364" s="342" t="s">
        <v>1054</v>
      </c>
      <c r="C364" s="234">
        <v>9.5999999999999996E-6</v>
      </c>
      <c r="D364" s="234">
        <v>1.2799999999999999E-5</v>
      </c>
      <c r="E364" s="343">
        <v>26217</v>
      </c>
      <c r="F364" s="231"/>
      <c r="G364" s="343">
        <v>4489</v>
      </c>
      <c r="H364" s="343">
        <v>640</v>
      </c>
      <c r="I364" s="343">
        <v>4273</v>
      </c>
      <c r="J364" s="343">
        <v>9293</v>
      </c>
      <c r="K364" s="343">
        <v>18695</v>
      </c>
      <c r="L364" s="231"/>
      <c r="M364" s="343">
        <v>0</v>
      </c>
      <c r="N364" s="343">
        <v>0</v>
      </c>
      <c r="O364" s="343">
        <v>0</v>
      </c>
      <c r="P364" s="343">
        <v>0</v>
      </c>
      <c r="Q364" s="231"/>
      <c r="R364" s="343">
        <v>11679</v>
      </c>
      <c r="S364" s="343">
        <v>5581</v>
      </c>
      <c r="T364" s="343">
        <v>17260</v>
      </c>
    </row>
    <row r="365" spans="1:20">
      <c r="A365" s="349">
        <v>93531</v>
      </c>
      <c r="B365" s="342" t="s">
        <v>1055</v>
      </c>
      <c r="C365" s="234">
        <v>2.23E-5</v>
      </c>
      <c r="D365" s="234">
        <v>3.0700000000000001E-5</v>
      </c>
      <c r="E365" s="343">
        <v>60900</v>
      </c>
      <c r="F365" s="231"/>
      <c r="G365" s="343">
        <v>10428</v>
      </c>
      <c r="H365" s="343">
        <v>1485</v>
      </c>
      <c r="I365" s="343">
        <v>9926</v>
      </c>
      <c r="J365" s="343">
        <v>5643</v>
      </c>
      <c r="K365" s="343">
        <v>27482</v>
      </c>
      <c r="L365" s="231"/>
      <c r="M365" s="343">
        <v>0</v>
      </c>
      <c r="N365" s="343">
        <v>0</v>
      </c>
      <c r="O365" s="343">
        <v>6936</v>
      </c>
      <c r="P365" s="343">
        <v>6936</v>
      </c>
      <c r="Q365" s="231"/>
      <c r="R365" s="343">
        <v>27128</v>
      </c>
      <c r="S365" s="343">
        <v>104</v>
      </c>
      <c r="T365" s="343">
        <v>27232</v>
      </c>
    </row>
    <row r="366" spans="1:20">
      <c r="A366" s="349">
        <v>93537</v>
      </c>
      <c r="B366" s="342" t="s">
        <v>1056</v>
      </c>
      <c r="C366" s="234">
        <v>1.08E-5</v>
      </c>
      <c r="D366" s="234">
        <v>1.1E-5</v>
      </c>
      <c r="E366" s="343">
        <v>29494</v>
      </c>
      <c r="F366" s="231"/>
      <c r="G366" s="343">
        <v>5050</v>
      </c>
      <c r="H366" s="343">
        <v>719</v>
      </c>
      <c r="I366" s="343">
        <v>4807</v>
      </c>
      <c r="J366" s="343">
        <v>0</v>
      </c>
      <c r="K366" s="343">
        <v>10576</v>
      </c>
      <c r="L366" s="231"/>
      <c r="M366" s="343">
        <v>0</v>
      </c>
      <c r="N366" s="343">
        <v>0</v>
      </c>
      <c r="O366" s="343">
        <v>2677</v>
      </c>
      <c r="P366" s="343">
        <v>2677</v>
      </c>
      <c r="Q366" s="231"/>
      <c r="R366" s="343">
        <v>13138</v>
      </c>
      <c r="S366" s="343">
        <v>-1087</v>
      </c>
      <c r="T366" s="343">
        <v>12051</v>
      </c>
    </row>
    <row r="367" spans="1:20">
      <c r="A367" s="349">
        <v>93541</v>
      </c>
      <c r="B367" s="342" t="s">
        <v>1057</v>
      </c>
      <c r="C367" s="234">
        <v>9.9699999999999998E-5</v>
      </c>
      <c r="D367" s="234">
        <v>8.9800000000000001E-5</v>
      </c>
      <c r="E367" s="343">
        <v>272273</v>
      </c>
      <c r="F367" s="231"/>
      <c r="G367" s="343">
        <v>46620</v>
      </c>
      <c r="H367" s="343">
        <v>6641</v>
      </c>
      <c r="I367" s="343">
        <v>44376</v>
      </c>
      <c r="J367" s="343">
        <v>9606</v>
      </c>
      <c r="K367" s="343">
        <v>107243</v>
      </c>
      <c r="L367" s="231"/>
      <c r="M367" s="343">
        <v>0</v>
      </c>
      <c r="N367" s="343">
        <v>0</v>
      </c>
      <c r="O367" s="343">
        <v>3639</v>
      </c>
      <c r="P367" s="343">
        <v>3639</v>
      </c>
      <c r="Q367" s="231"/>
      <c r="R367" s="343">
        <v>121286</v>
      </c>
      <c r="S367" s="343">
        <v>932</v>
      </c>
      <c r="T367" s="343">
        <v>122218</v>
      </c>
    </row>
    <row r="368" spans="1:20">
      <c r="A368" s="349">
        <v>93601</v>
      </c>
      <c r="B368" s="342" t="s">
        <v>1058</v>
      </c>
      <c r="C368" s="234">
        <v>1.1220300000000001E-2</v>
      </c>
      <c r="D368" s="234">
        <v>1.11494E-2</v>
      </c>
      <c r="E368" s="343">
        <v>30641764</v>
      </c>
      <c r="F368" s="231"/>
      <c r="G368" s="343">
        <v>5246646</v>
      </c>
      <c r="H368" s="343">
        <v>747395</v>
      </c>
      <c r="I368" s="343">
        <v>4994099</v>
      </c>
      <c r="J368" s="343">
        <v>422601</v>
      </c>
      <c r="K368" s="343">
        <v>11410741</v>
      </c>
      <c r="L368" s="231"/>
      <c r="M368" s="343">
        <v>0</v>
      </c>
      <c r="N368" s="343">
        <v>0</v>
      </c>
      <c r="O368" s="343">
        <v>93806</v>
      </c>
      <c r="P368" s="343">
        <v>93806</v>
      </c>
      <c r="Q368" s="231"/>
      <c r="R368" s="343">
        <v>13649641</v>
      </c>
      <c r="S368" s="343">
        <v>68973</v>
      </c>
      <c r="T368" s="343">
        <v>13718614</v>
      </c>
    </row>
    <row r="369" spans="1:20">
      <c r="A369" s="349">
        <v>93602</v>
      </c>
      <c r="B369" s="342" t="s">
        <v>1059</v>
      </c>
      <c r="C369" s="234">
        <v>1.918E-4</v>
      </c>
      <c r="D369" s="234">
        <v>1.8340000000000001E-4</v>
      </c>
      <c r="E369" s="343">
        <v>523791</v>
      </c>
      <c r="F369" s="231"/>
      <c r="G369" s="343">
        <v>89686</v>
      </c>
      <c r="H369" s="343">
        <v>12776</v>
      </c>
      <c r="I369" s="343">
        <v>85369</v>
      </c>
      <c r="J369" s="343">
        <v>20240</v>
      </c>
      <c r="K369" s="343">
        <v>208071</v>
      </c>
      <c r="L369" s="231"/>
      <c r="M369" s="343">
        <v>0</v>
      </c>
      <c r="N369" s="343">
        <v>0</v>
      </c>
      <c r="O369" s="343">
        <v>2810</v>
      </c>
      <c r="P369" s="343">
        <v>2810</v>
      </c>
      <c r="Q369" s="231"/>
      <c r="R369" s="343">
        <v>233327</v>
      </c>
      <c r="S369" s="343">
        <v>3035</v>
      </c>
      <c r="T369" s="343">
        <v>236362</v>
      </c>
    </row>
    <row r="370" spans="1:20">
      <c r="A370" s="349">
        <v>93604</v>
      </c>
      <c r="B370" s="342" t="s">
        <v>1926</v>
      </c>
      <c r="C370" s="234">
        <v>2.6400000000000001E-5</v>
      </c>
      <c r="D370" s="234">
        <v>2.0100000000000001E-5</v>
      </c>
      <c r="E370" s="343">
        <v>72096</v>
      </c>
      <c r="F370" s="231"/>
      <c r="G370" s="343">
        <v>12345</v>
      </c>
      <c r="H370" s="343">
        <v>1759</v>
      </c>
      <c r="I370" s="343">
        <v>11751</v>
      </c>
      <c r="J370" s="343">
        <v>21975</v>
      </c>
      <c r="K370" s="343">
        <v>47830</v>
      </c>
      <c r="L370" s="231"/>
      <c r="M370" s="343">
        <v>0</v>
      </c>
      <c r="N370" s="343">
        <v>0</v>
      </c>
      <c r="O370" s="343">
        <v>0</v>
      </c>
      <c r="P370" s="343">
        <v>0</v>
      </c>
      <c r="Q370" s="231"/>
      <c r="R370" s="343">
        <v>32116</v>
      </c>
      <c r="S370" s="343">
        <v>6718</v>
      </c>
      <c r="T370" s="343">
        <v>38834</v>
      </c>
    </row>
    <row r="371" spans="1:20">
      <c r="A371" s="349">
        <v>93609</v>
      </c>
      <c r="B371" s="342" t="s">
        <v>1060</v>
      </c>
      <c r="C371" s="234">
        <v>3.7919E-3</v>
      </c>
      <c r="D371" s="234">
        <v>3.9097000000000003E-3</v>
      </c>
      <c r="E371" s="343">
        <v>10355383</v>
      </c>
      <c r="F371" s="231"/>
      <c r="G371" s="343">
        <v>1773104</v>
      </c>
      <c r="H371" s="343">
        <v>252582</v>
      </c>
      <c r="I371" s="343">
        <v>1687756</v>
      </c>
      <c r="J371" s="343">
        <v>303829</v>
      </c>
      <c r="K371" s="343">
        <v>4017271</v>
      </c>
      <c r="L371" s="231"/>
      <c r="M371" s="343">
        <v>0</v>
      </c>
      <c r="N371" s="343">
        <v>0</v>
      </c>
      <c r="O371" s="343">
        <v>128405</v>
      </c>
      <c r="P371" s="343">
        <v>128405</v>
      </c>
      <c r="Q371" s="231"/>
      <c r="R371" s="343">
        <v>4612896</v>
      </c>
      <c r="S371" s="343">
        <v>166190</v>
      </c>
      <c r="T371" s="343">
        <v>4779086</v>
      </c>
    </row>
    <row r="372" spans="1:20">
      <c r="A372" s="349">
        <v>93610</v>
      </c>
      <c r="B372" s="342" t="s">
        <v>1061</v>
      </c>
      <c r="C372" s="234">
        <v>1.63E-5</v>
      </c>
      <c r="D372" s="234">
        <v>1.5500000000000001E-5</v>
      </c>
      <c r="E372" s="343">
        <v>44514</v>
      </c>
      <c r="F372" s="231"/>
      <c r="G372" s="343">
        <v>7622</v>
      </c>
      <c r="H372" s="343">
        <v>1086</v>
      </c>
      <c r="I372" s="343">
        <v>7255</v>
      </c>
      <c r="J372" s="343">
        <v>2679</v>
      </c>
      <c r="K372" s="343">
        <v>18642</v>
      </c>
      <c r="L372" s="231"/>
      <c r="M372" s="343">
        <v>0</v>
      </c>
      <c r="N372" s="343">
        <v>0</v>
      </c>
      <c r="O372" s="343">
        <v>1500</v>
      </c>
      <c r="P372" s="343">
        <v>1500</v>
      </c>
      <c r="Q372" s="231"/>
      <c r="R372" s="343">
        <v>19829</v>
      </c>
      <c r="S372" s="343">
        <v>577</v>
      </c>
      <c r="T372" s="343">
        <v>20406</v>
      </c>
    </row>
    <row r="373" spans="1:20">
      <c r="A373" s="349">
        <v>93611</v>
      </c>
      <c r="B373" s="342" t="s">
        <v>1062</v>
      </c>
      <c r="C373" s="234">
        <v>6.9186999999999999E-3</v>
      </c>
      <c r="D373" s="234">
        <v>6.9170000000000004E-3</v>
      </c>
      <c r="E373" s="343">
        <v>18894430</v>
      </c>
      <c r="F373" s="231"/>
      <c r="G373" s="343">
        <v>3235205</v>
      </c>
      <c r="H373" s="343">
        <v>460861</v>
      </c>
      <c r="I373" s="343">
        <v>3079479</v>
      </c>
      <c r="J373" s="343">
        <v>30574</v>
      </c>
      <c r="K373" s="343">
        <v>6806119</v>
      </c>
      <c r="L373" s="231"/>
      <c r="M373" s="343">
        <v>0</v>
      </c>
      <c r="N373" s="343">
        <v>0</v>
      </c>
      <c r="O373" s="343">
        <v>39809</v>
      </c>
      <c r="P373" s="343">
        <v>39809</v>
      </c>
      <c r="Q373" s="231"/>
      <c r="R373" s="343">
        <v>8416688</v>
      </c>
      <c r="S373" s="343">
        <v>-29366</v>
      </c>
      <c r="T373" s="343">
        <v>8387322</v>
      </c>
    </row>
    <row r="374" spans="1:20">
      <c r="A374" s="349">
        <v>93617</v>
      </c>
      <c r="B374" s="342" t="s">
        <v>1063</v>
      </c>
      <c r="C374" s="234">
        <v>7.8899999999999993E-5</v>
      </c>
      <c r="D374" s="234">
        <v>8.7499999999999999E-5</v>
      </c>
      <c r="E374" s="343">
        <v>215470</v>
      </c>
      <c r="F374" s="231"/>
      <c r="G374" s="343">
        <v>36894</v>
      </c>
      <c r="H374" s="343">
        <v>5256</v>
      </c>
      <c r="I374" s="343">
        <v>35118</v>
      </c>
      <c r="J374" s="343">
        <v>18232</v>
      </c>
      <c r="K374" s="343">
        <v>95500</v>
      </c>
      <c r="L374" s="231"/>
      <c r="M374" s="343">
        <v>0</v>
      </c>
      <c r="N374" s="343">
        <v>0</v>
      </c>
      <c r="O374" s="343">
        <v>0</v>
      </c>
      <c r="P374" s="343">
        <v>0</v>
      </c>
      <c r="Q374" s="231"/>
      <c r="R374" s="343">
        <v>95983</v>
      </c>
      <c r="S374" s="343">
        <v>10439</v>
      </c>
      <c r="T374" s="343">
        <v>106422</v>
      </c>
    </row>
    <row r="375" spans="1:20" ht="30">
      <c r="A375" s="349">
        <v>93618</v>
      </c>
      <c r="B375" s="342" t="s">
        <v>3668</v>
      </c>
      <c r="C375" s="234">
        <v>9.5000000000000005E-6</v>
      </c>
      <c r="D375" s="234">
        <v>1.03E-5</v>
      </c>
      <c r="E375" s="343">
        <v>25944</v>
      </c>
      <c r="F375" s="231"/>
      <c r="G375" s="343">
        <v>4442</v>
      </c>
      <c r="H375" s="343">
        <v>633</v>
      </c>
      <c r="I375" s="343">
        <v>4228</v>
      </c>
      <c r="J375" s="343">
        <v>38732</v>
      </c>
      <c r="K375" s="343">
        <v>48035</v>
      </c>
      <c r="L375" s="231"/>
      <c r="M375" s="343">
        <v>0</v>
      </c>
      <c r="N375" s="343">
        <v>0</v>
      </c>
      <c r="O375" s="343">
        <v>0</v>
      </c>
      <c r="P375" s="343">
        <v>0</v>
      </c>
      <c r="Q375" s="231"/>
      <c r="R375" s="343">
        <v>11557</v>
      </c>
      <c r="S375" s="343">
        <v>18739</v>
      </c>
      <c r="T375" s="343">
        <v>30296</v>
      </c>
    </row>
    <row r="376" spans="1:20">
      <c r="A376" s="349">
        <v>93621</v>
      </c>
      <c r="B376" s="342" t="s">
        <v>1065</v>
      </c>
      <c r="C376" s="234">
        <v>1.0563E-3</v>
      </c>
      <c r="D376" s="234">
        <v>1.0273000000000001E-3</v>
      </c>
      <c r="E376" s="343">
        <v>2884673</v>
      </c>
      <c r="F376" s="231"/>
      <c r="G376" s="343">
        <v>493929</v>
      </c>
      <c r="H376" s="343">
        <v>70361</v>
      </c>
      <c r="I376" s="343">
        <v>470154</v>
      </c>
      <c r="J376" s="343">
        <v>35293</v>
      </c>
      <c r="K376" s="343">
        <v>1069737</v>
      </c>
      <c r="L376" s="231"/>
      <c r="M376" s="343">
        <v>0</v>
      </c>
      <c r="N376" s="343">
        <v>0</v>
      </c>
      <c r="O376" s="343">
        <v>23184</v>
      </c>
      <c r="P376" s="343">
        <v>23184</v>
      </c>
      <c r="Q376" s="231"/>
      <c r="R376" s="343">
        <v>1285003</v>
      </c>
      <c r="S376" s="343">
        <v>-10649</v>
      </c>
      <c r="T376" s="343">
        <v>1274354</v>
      </c>
    </row>
    <row r="377" spans="1:20">
      <c r="A377" s="349">
        <v>93623</v>
      </c>
      <c r="B377" s="342" t="s">
        <v>1066</v>
      </c>
      <c r="C377" s="234">
        <v>1.1E-5</v>
      </c>
      <c r="D377" s="234">
        <v>1.2E-5</v>
      </c>
      <c r="E377" s="343">
        <v>30040</v>
      </c>
      <c r="F377" s="231"/>
      <c r="G377" s="343">
        <v>5144</v>
      </c>
      <c r="H377" s="343">
        <v>733</v>
      </c>
      <c r="I377" s="343">
        <v>4896</v>
      </c>
      <c r="J377" s="343">
        <v>2896</v>
      </c>
      <c r="K377" s="343">
        <v>13669</v>
      </c>
      <c r="L377" s="231"/>
      <c r="M377" s="343">
        <v>0</v>
      </c>
      <c r="N377" s="343">
        <v>0</v>
      </c>
      <c r="O377" s="343">
        <v>0</v>
      </c>
      <c r="P377" s="343">
        <v>0</v>
      </c>
      <c r="Q377" s="231"/>
      <c r="R377" s="343">
        <v>13382</v>
      </c>
      <c r="S377" s="343">
        <v>2158</v>
      </c>
      <c r="T377" s="343">
        <v>15540</v>
      </c>
    </row>
    <row r="378" spans="1:20">
      <c r="A378" s="349">
        <v>93631</v>
      </c>
      <c r="B378" s="342" t="s">
        <v>1067</v>
      </c>
      <c r="C378" s="234">
        <v>2.4130000000000001E-4</v>
      </c>
      <c r="D378" s="234">
        <v>2.232E-4</v>
      </c>
      <c r="E378" s="343">
        <v>658971</v>
      </c>
      <c r="F378" s="231"/>
      <c r="G378" s="343">
        <v>112833</v>
      </c>
      <c r="H378" s="343">
        <v>16073</v>
      </c>
      <c r="I378" s="343">
        <v>107401</v>
      </c>
      <c r="J378" s="343">
        <v>6404</v>
      </c>
      <c r="K378" s="343">
        <v>242711</v>
      </c>
      <c r="L378" s="231"/>
      <c r="M378" s="343">
        <v>0</v>
      </c>
      <c r="N378" s="343">
        <v>0</v>
      </c>
      <c r="O378" s="343">
        <v>9295</v>
      </c>
      <c r="P378" s="343">
        <v>9295</v>
      </c>
      <c r="Q378" s="231"/>
      <c r="R378" s="343">
        <v>293545</v>
      </c>
      <c r="S378" s="343">
        <v>-6331</v>
      </c>
      <c r="T378" s="343">
        <v>287214</v>
      </c>
    </row>
    <row r="379" spans="1:20">
      <c r="A379" s="349">
        <v>93641</v>
      </c>
      <c r="B379" s="342" t="s">
        <v>1068</v>
      </c>
      <c r="C379" s="234">
        <v>3.7300000000000001E-4</v>
      </c>
      <c r="D379" s="234">
        <v>3.724E-4</v>
      </c>
      <c r="E379" s="343">
        <v>1018634</v>
      </c>
      <c r="F379" s="231"/>
      <c r="G379" s="343">
        <v>174416</v>
      </c>
      <c r="H379" s="343">
        <v>24846</v>
      </c>
      <c r="I379" s="343">
        <v>166020</v>
      </c>
      <c r="J379" s="343">
        <v>25953</v>
      </c>
      <c r="K379" s="343">
        <v>391235</v>
      </c>
      <c r="L379" s="231"/>
      <c r="M379" s="343">
        <v>0</v>
      </c>
      <c r="N379" s="343">
        <v>0</v>
      </c>
      <c r="O379" s="343">
        <v>7161</v>
      </c>
      <c r="P379" s="343">
        <v>7161</v>
      </c>
      <c r="Q379" s="231"/>
      <c r="R379" s="343">
        <v>453759</v>
      </c>
      <c r="S379" s="343">
        <v>8170</v>
      </c>
      <c r="T379" s="343">
        <v>461929</v>
      </c>
    </row>
    <row r="380" spans="1:20">
      <c r="A380" s="349">
        <v>93647</v>
      </c>
      <c r="B380" s="342" t="s">
        <v>1069</v>
      </c>
      <c r="C380" s="234">
        <v>5.2000000000000002E-6</v>
      </c>
      <c r="D380" s="234">
        <v>6.1E-6</v>
      </c>
      <c r="E380" s="343">
        <v>14201</v>
      </c>
      <c r="F380" s="231"/>
      <c r="G380" s="343">
        <v>2432</v>
      </c>
      <c r="H380" s="343">
        <v>346</v>
      </c>
      <c r="I380" s="343">
        <v>2314</v>
      </c>
      <c r="J380" s="343">
        <v>12786</v>
      </c>
      <c r="K380" s="343">
        <v>17878</v>
      </c>
      <c r="L380" s="231"/>
      <c r="M380" s="343">
        <v>0</v>
      </c>
      <c r="N380" s="343">
        <v>0</v>
      </c>
      <c r="O380" s="343">
        <v>0</v>
      </c>
      <c r="P380" s="343">
        <v>0</v>
      </c>
      <c r="Q380" s="231"/>
      <c r="R380" s="343">
        <v>6326</v>
      </c>
      <c r="S380" s="343">
        <v>6651</v>
      </c>
      <c r="T380" s="343">
        <v>12977</v>
      </c>
    </row>
    <row r="381" spans="1:20">
      <c r="A381" s="349">
        <v>93651</v>
      </c>
      <c r="B381" s="342" t="s">
        <v>1070</v>
      </c>
      <c r="C381" s="234">
        <v>4.3790000000000002E-4</v>
      </c>
      <c r="D381" s="234">
        <v>4.507E-4</v>
      </c>
      <c r="E381" s="343">
        <v>1195871</v>
      </c>
      <c r="F381" s="231"/>
      <c r="G381" s="343">
        <v>204763</v>
      </c>
      <c r="H381" s="343">
        <v>29169</v>
      </c>
      <c r="I381" s="343">
        <v>194907</v>
      </c>
      <c r="J381" s="343">
        <v>0</v>
      </c>
      <c r="K381" s="343">
        <v>428839</v>
      </c>
      <c r="L381" s="231"/>
      <c r="M381" s="343">
        <v>0</v>
      </c>
      <c r="N381" s="343">
        <v>0</v>
      </c>
      <c r="O381" s="343">
        <v>30670</v>
      </c>
      <c r="P381" s="343">
        <v>30670</v>
      </c>
      <c r="Q381" s="231"/>
      <c r="R381" s="343">
        <v>532711</v>
      </c>
      <c r="S381" s="343">
        <v>-8124</v>
      </c>
      <c r="T381" s="343">
        <v>524587</v>
      </c>
    </row>
    <row r="382" spans="1:20">
      <c r="A382" s="349">
        <v>93661</v>
      </c>
      <c r="B382" s="342" t="s">
        <v>1071</v>
      </c>
      <c r="C382" s="234">
        <v>1.2850000000000001E-4</v>
      </c>
      <c r="D382" s="234">
        <v>1.4449999999999999E-4</v>
      </c>
      <c r="E382" s="343">
        <v>350923</v>
      </c>
      <c r="F382" s="231"/>
      <c r="G382" s="343">
        <v>60087</v>
      </c>
      <c r="H382" s="343">
        <v>8560</v>
      </c>
      <c r="I382" s="343">
        <v>57195</v>
      </c>
      <c r="J382" s="343">
        <v>6804</v>
      </c>
      <c r="K382" s="343">
        <v>132646</v>
      </c>
      <c r="L382" s="231"/>
      <c r="M382" s="343">
        <v>0</v>
      </c>
      <c r="N382" s="343">
        <v>0</v>
      </c>
      <c r="O382" s="343">
        <v>9472</v>
      </c>
      <c r="P382" s="343">
        <v>9472</v>
      </c>
      <c r="Q382" s="231"/>
      <c r="R382" s="343">
        <v>156322</v>
      </c>
      <c r="S382" s="343">
        <v>2192</v>
      </c>
      <c r="T382" s="343">
        <v>158514</v>
      </c>
    </row>
    <row r="383" spans="1:20">
      <c r="A383" s="349">
        <v>93671</v>
      </c>
      <c r="B383" s="342" t="s">
        <v>1072</v>
      </c>
      <c r="C383" s="234">
        <v>3.4840000000000001E-4</v>
      </c>
      <c r="D383" s="234">
        <v>3.3950000000000001E-4</v>
      </c>
      <c r="E383" s="343">
        <v>951453</v>
      </c>
      <c r="F383" s="231"/>
      <c r="G383" s="343">
        <v>162913</v>
      </c>
      <c r="H383" s="343">
        <v>23207</v>
      </c>
      <c r="I383" s="343">
        <v>155071</v>
      </c>
      <c r="J383" s="343">
        <v>24392</v>
      </c>
      <c r="K383" s="343">
        <v>365583</v>
      </c>
      <c r="L383" s="231"/>
      <c r="M383" s="343">
        <v>0</v>
      </c>
      <c r="N383" s="343">
        <v>0</v>
      </c>
      <c r="O383" s="343">
        <v>1177</v>
      </c>
      <c r="P383" s="343">
        <v>1177</v>
      </c>
      <c r="Q383" s="231"/>
      <c r="R383" s="343">
        <v>423833</v>
      </c>
      <c r="S383" s="343">
        <v>15132</v>
      </c>
      <c r="T383" s="343">
        <v>438965</v>
      </c>
    </row>
    <row r="384" spans="1:20">
      <c r="A384" s="349">
        <v>93681</v>
      </c>
      <c r="B384" s="342" t="s">
        <v>1073</v>
      </c>
      <c r="C384" s="234">
        <v>1.284E-4</v>
      </c>
      <c r="D384" s="234">
        <v>1.211E-4</v>
      </c>
      <c r="E384" s="343">
        <v>350650</v>
      </c>
      <c r="F384" s="231"/>
      <c r="G384" s="343">
        <v>60040</v>
      </c>
      <c r="H384" s="343">
        <v>8553</v>
      </c>
      <c r="I384" s="343">
        <v>57150</v>
      </c>
      <c r="J384" s="343">
        <v>6827</v>
      </c>
      <c r="K384" s="343">
        <v>132570</v>
      </c>
      <c r="L384" s="231"/>
      <c r="M384" s="343">
        <v>0</v>
      </c>
      <c r="N384" s="343">
        <v>0</v>
      </c>
      <c r="O384" s="343">
        <v>3005</v>
      </c>
      <c r="P384" s="343">
        <v>3005</v>
      </c>
      <c r="Q384" s="231"/>
      <c r="R384" s="343">
        <v>156200</v>
      </c>
      <c r="S384" s="343">
        <v>-788</v>
      </c>
      <c r="T384" s="343">
        <v>155412</v>
      </c>
    </row>
    <row r="385" spans="1:20">
      <c r="A385" s="349">
        <v>93691</v>
      </c>
      <c r="B385" s="342" t="s">
        <v>1074</v>
      </c>
      <c r="C385" s="234">
        <v>1.0889999999999999E-3</v>
      </c>
      <c r="D385" s="234">
        <v>1.0357999999999999E-3</v>
      </c>
      <c r="E385" s="343">
        <v>2973974</v>
      </c>
      <c r="F385" s="231"/>
      <c r="G385" s="343">
        <v>509220</v>
      </c>
      <c r="H385" s="343">
        <v>72540</v>
      </c>
      <c r="I385" s="343">
        <v>484708</v>
      </c>
      <c r="J385" s="343">
        <v>22610</v>
      </c>
      <c r="K385" s="343">
        <v>1089078</v>
      </c>
      <c r="L385" s="231"/>
      <c r="M385" s="343">
        <v>0</v>
      </c>
      <c r="N385" s="343">
        <v>0</v>
      </c>
      <c r="O385" s="343">
        <v>69124</v>
      </c>
      <c r="P385" s="343">
        <v>69124</v>
      </c>
      <c r="Q385" s="231"/>
      <c r="R385" s="343">
        <v>1324783</v>
      </c>
      <c r="S385" s="343">
        <v>-40466</v>
      </c>
      <c r="T385" s="343">
        <v>1284317</v>
      </c>
    </row>
    <row r="386" spans="1:20">
      <c r="A386" s="349">
        <v>93701</v>
      </c>
      <c r="B386" s="342" t="s">
        <v>1075</v>
      </c>
      <c r="C386" s="234">
        <v>4.3600000000000003E-4</v>
      </c>
      <c r="D386" s="234">
        <v>4.6779999999999999E-4</v>
      </c>
      <c r="E386" s="343">
        <v>1190682</v>
      </c>
      <c r="F386" s="231"/>
      <c r="G386" s="343">
        <v>203875</v>
      </c>
      <c r="H386" s="343">
        <v>29042</v>
      </c>
      <c r="I386" s="343">
        <v>194061</v>
      </c>
      <c r="J386" s="343">
        <v>0</v>
      </c>
      <c r="K386" s="343">
        <v>426978</v>
      </c>
      <c r="L386" s="231"/>
      <c r="M386" s="343">
        <v>0</v>
      </c>
      <c r="N386" s="343">
        <v>0</v>
      </c>
      <c r="O386" s="343">
        <v>35085</v>
      </c>
      <c r="P386" s="343">
        <v>35085</v>
      </c>
      <c r="Q386" s="231"/>
      <c r="R386" s="343">
        <v>530400</v>
      </c>
      <c r="S386" s="343">
        <v>-10094</v>
      </c>
      <c r="T386" s="343">
        <v>520306</v>
      </c>
    </row>
    <row r="387" spans="1:20">
      <c r="A387" s="349">
        <v>93704</v>
      </c>
      <c r="B387" s="342" t="s">
        <v>1076</v>
      </c>
      <c r="C387" s="234">
        <v>2.2000000000000001E-6</v>
      </c>
      <c r="D387" s="234">
        <v>2.7E-6</v>
      </c>
      <c r="E387" s="343">
        <v>6008</v>
      </c>
      <c r="F387" s="231"/>
      <c r="G387" s="343">
        <v>1029</v>
      </c>
      <c r="H387" s="343">
        <v>147</v>
      </c>
      <c r="I387" s="343">
        <v>979</v>
      </c>
      <c r="J387" s="343">
        <v>801</v>
      </c>
      <c r="K387" s="343">
        <v>2956</v>
      </c>
      <c r="L387" s="231"/>
      <c r="M387" s="343">
        <v>0</v>
      </c>
      <c r="N387" s="343">
        <v>0</v>
      </c>
      <c r="O387" s="343">
        <v>0</v>
      </c>
      <c r="P387" s="343">
        <v>0</v>
      </c>
      <c r="Q387" s="231"/>
      <c r="R387" s="343">
        <v>2676</v>
      </c>
      <c r="S387" s="343">
        <v>350</v>
      </c>
      <c r="T387" s="343">
        <v>3026</v>
      </c>
    </row>
    <row r="388" spans="1:20">
      <c r="A388" s="349">
        <v>93801</v>
      </c>
      <c r="B388" s="342" t="s">
        <v>1077</v>
      </c>
      <c r="C388" s="234">
        <v>4.191E-4</v>
      </c>
      <c r="D388" s="234">
        <v>4.3570000000000002E-4</v>
      </c>
      <c r="E388" s="343">
        <v>1144529</v>
      </c>
      <c r="F388" s="231"/>
      <c r="G388" s="343">
        <v>195972</v>
      </c>
      <c r="H388" s="343">
        <v>27917</v>
      </c>
      <c r="I388" s="343">
        <v>186539</v>
      </c>
      <c r="J388" s="343">
        <v>29475</v>
      </c>
      <c r="K388" s="343">
        <v>439903</v>
      </c>
      <c r="L388" s="231"/>
      <c r="M388" s="343">
        <v>0</v>
      </c>
      <c r="N388" s="343">
        <v>0</v>
      </c>
      <c r="O388" s="343">
        <v>61015</v>
      </c>
      <c r="P388" s="343">
        <v>61015</v>
      </c>
      <c r="Q388" s="231"/>
      <c r="R388" s="343">
        <v>509841</v>
      </c>
      <c r="S388" s="343">
        <v>17086</v>
      </c>
      <c r="T388" s="343">
        <v>526927</v>
      </c>
    </row>
    <row r="389" spans="1:20">
      <c r="A389" s="349">
        <v>93803</v>
      </c>
      <c r="B389" s="342" t="s">
        <v>3669</v>
      </c>
      <c r="C389" s="234">
        <v>9.0799999999999998E-5</v>
      </c>
      <c r="D389" s="234">
        <v>1.122E-4</v>
      </c>
      <c r="E389" s="343">
        <v>247968</v>
      </c>
      <c r="F389" s="231"/>
      <c r="G389" s="343">
        <v>42458</v>
      </c>
      <c r="H389" s="343">
        <v>6048</v>
      </c>
      <c r="I389" s="343">
        <v>40415</v>
      </c>
      <c r="J389" s="343">
        <v>0</v>
      </c>
      <c r="K389" s="343">
        <v>88921</v>
      </c>
      <c r="L389" s="231"/>
      <c r="M389" s="343">
        <v>0</v>
      </c>
      <c r="N389" s="343">
        <v>0</v>
      </c>
      <c r="O389" s="343">
        <v>39006</v>
      </c>
      <c r="P389" s="343">
        <v>39006</v>
      </c>
      <c r="Q389" s="231"/>
      <c r="R389" s="343">
        <v>110459</v>
      </c>
      <c r="S389" s="343">
        <v>-18526</v>
      </c>
      <c r="T389" s="343">
        <v>91933</v>
      </c>
    </row>
    <row r="390" spans="1:20" ht="30">
      <c r="A390" s="349">
        <v>93806</v>
      </c>
      <c r="B390" s="342" t="s">
        <v>3670</v>
      </c>
      <c r="C390" s="234">
        <v>7.9599999999999997E-5</v>
      </c>
      <c r="D390" s="234">
        <v>7.6100000000000007E-5</v>
      </c>
      <c r="E390" s="343">
        <v>217381</v>
      </c>
      <c r="F390" s="231"/>
      <c r="G390" s="343">
        <v>37221</v>
      </c>
      <c r="H390" s="343">
        <v>5302</v>
      </c>
      <c r="I390" s="343">
        <v>35430</v>
      </c>
      <c r="J390" s="343">
        <v>7729</v>
      </c>
      <c r="K390" s="343">
        <v>85682</v>
      </c>
      <c r="L390" s="231"/>
      <c r="M390" s="343">
        <v>0</v>
      </c>
      <c r="N390" s="343">
        <v>0</v>
      </c>
      <c r="O390" s="343">
        <v>6523</v>
      </c>
      <c r="P390" s="343">
        <v>6523</v>
      </c>
      <c r="Q390" s="231"/>
      <c r="R390" s="343">
        <v>96834</v>
      </c>
      <c r="S390" s="343">
        <v>1656</v>
      </c>
      <c r="T390" s="343">
        <v>98490</v>
      </c>
    </row>
    <row r="391" spans="1:20">
      <c r="A391" s="349">
        <v>93821</v>
      </c>
      <c r="B391" s="342" t="s">
        <v>1080</v>
      </c>
      <c r="C391" s="234">
        <v>6.9200000000000002E-5</v>
      </c>
      <c r="D391" s="234">
        <v>5.6799999999999998E-5</v>
      </c>
      <c r="E391" s="343">
        <v>188980</v>
      </c>
      <c r="F391" s="231"/>
      <c r="G391" s="343">
        <v>32358</v>
      </c>
      <c r="H391" s="343">
        <v>4609</v>
      </c>
      <c r="I391" s="343">
        <v>30801</v>
      </c>
      <c r="J391" s="343">
        <v>43655</v>
      </c>
      <c r="K391" s="343">
        <v>111423</v>
      </c>
      <c r="L391" s="231"/>
      <c r="M391" s="343">
        <v>0</v>
      </c>
      <c r="N391" s="343">
        <v>0</v>
      </c>
      <c r="O391" s="343">
        <v>172</v>
      </c>
      <c r="P391" s="343">
        <v>172</v>
      </c>
      <c r="Q391" s="231"/>
      <c r="R391" s="343">
        <v>84183</v>
      </c>
      <c r="S391" s="343">
        <v>18614</v>
      </c>
      <c r="T391" s="343">
        <v>102797</v>
      </c>
    </row>
    <row r="392" spans="1:20">
      <c r="A392" s="349">
        <v>93901</v>
      </c>
      <c r="B392" s="342" t="s">
        <v>1081</v>
      </c>
      <c r="C392" s="234">
        <v>1.7884999999999999E-3</v>
      </c>
      <c r="D392" s="234">
        <v>1.7718E-3</v>
      </c>
      <c r="E392" s="343">
        <v>4884254</v>
      </c>
      <c r="F392" s="231"/>
      <c r="G392" s="343">
        <v>836308</v>
      </c>
      <c r="H392" s="343">
        <v>119134</v>
      </c>
      <c r="I392" s="343">
        <v>796052</v>
      </c>
      <c r="J392" s="343">
        <v>177049</v>
      </c>
      <c r="K392" s="343">
        <v>1928543</v>
      </c>
      <c r="L392" s="231"/>
      <c r="M392" s="343">
        <v>0</v>
      </c>
      <c r="N392" s="343">
        <v>0</v>
      </c>
      <c r="O392" s="343">
        <v>0</v>
      </c>
      <c r="P392" s="343">
        <v>0</v>
      </c>
      <c r="Q392" s="231"/>
      <c r="R392" s="343">
        <v>2175734</v>
      </c>
      <c r="S392" s="343">
        <v>67193</v>
      </c>
      <c r="T392" s="343">
        <v>2242927</v>
      </c>
    </row>
    <row r="393" spans="1:20">
      <c r="A393" s="349">
        <v>93904</v>
      </c>
      <c r="B393" s="342" t="s">
        <v>3671</v>
      </c>
      <c r="C393" s="234">
        <v>3.18E-5</v>
      </c>
      <c r="D393" s="234">
        <v>3.3099999999999998E-5</v>
      </c>
      <c r="E393" s="343">
        <v>86843</v>
      </c>
      <c r="F393" s="231"/>
      <c r="G393" s="343">
        <v>14870</v>
      </c>
      <c r="H393" s="343">
        <v>2118</v>
      </c>
      <c r="I393" s="343">
        <v>14154</v>
      </c>
      <c r="J393" s="343">
        <v>12284</v>
      </c>
      <c r="K393" s="343">
        <v>43426</v>
      </c>
      <c r="L393" s="231"/>
      <c r="M393" s="343">
        <v>0</v>
      </c>
      <c r="N393" s="343">
        <v>0</v>
      </c>
      <c r="O393" s="343">
        <v>0</v>
      </c>
      <c r="P393" s="343">
        <v>0</v>
      </c>
      <c r="Q393" s="231"/>
      <c r="R393" s="343">
        <v>38685</v>
      </c>
      <c r="S393" s="343">
        <v>5506</v>
      </c>
      <c r="T393" s="343">
        <v>44191</v>
      </c>
    </row>
    <row r="394" spans="1:20">
      <c r="A394" s="349">
        <v>93906</v>
      </c>
      <c r="B394" s="342" t="s">
        <v>1083</v>
      </c>
      <c r="C394" s="234">
        <v>3.1308E-3</v>
      </c>
      <c r="D394" s="234">
        <v>3.1683000000000002E-3</v>
      </c>
      <c r="E394" s="343">
        <v>8549971</v>
      </c>
      <c r="F394" s="231"/>
      <c r="G394" s="343">
        <v>1463971</v>
      </c>
      <c r="H394" s="343">
        <v>208546</v>
      </c>
      <c r="I394" s="343">
        <v>1393503</v>
      </c>
      <c r="J394" s="343">
        <v>0</v>
      </c>
      <c r="K394" s="343">
        <v>3066020</v>
      </c>
      <c r="L394" s="231"/>
      <c r="M394" s="343">
        <v>0</v>
      </c>
      <c r="N394" s="343">
        <v>0</v>
      </c>
      <c r="O394" s="343">
        <v>265792</v>
      </c>
      <c r="P394" s="343">
        <v>265792</v>
      </c>
      <c r="Q394" s="231"/>
      <c r="R394" s="343">
        <v>3808659</v>
      </c>
      <c r="S394" s="343">
        <v>-139204</v>
      </c>
      <c r="T394" s="343">
        <v>3669455</v>
      </c>
    </row>
    <row r="395" spans="1:20">
      <c r="A395" s="349">
        <v>93908</v>
      </c>
      <c r="B395" s="342" t="s">
        <v>1084</v>
      </c>
      <c r="C395" s="234">
        <v>4.9540000000000001E-4</v>
      </c>
      <c r="D395" s="234">
        <v>4.6920000000000002E-4</v>
      </c>
      <c r="E395" s="343">
        <v>1352899</v>
      </c>
      <c r="F395" s="231"/>
      <c r="G395" s="343">
        <v>231651</v>
      </c>
      <c r="H395" s="343">
        <v>32999</v>
      </c>
      <c r="I395" s="343">
        <v>220500</v>
      </c>
      <c r="J395" s="343">
        <v>21575</v>
      </c>
      <c r="K395" s="343">
        <v>506725</v>
      </c>
      <c r="L395" s="231"/>
      <c r="M395" s="343">
        <v>0</v>
      </c>
      <c r="N395" s="343">
        <v>0</v>
      </c>
      <c r="O395" s="343">
        <v>15341</v>
      </c>
      <c r="P395" s="343">
        <v>15341</v>
      </c>
      <c r="Q395" s="231"/>
      <c r="R395" s="343">
        <v>602661</v>
      </c>
      <c r="S395" s="343">
        <v>-5643</v>
      </c>
      <c r="T395" s="343">
        <v>597018</v>
      </c>
    </row>
    <row r="396" spans="1:20">
      <c r="A396" s="349">
        <v>93910</v>
      </c>
      <c r="B396" s="342" t="s">
        <v>1085</v>
      </c>
      <c r="C396" s="234">
        <v>2.285E-4</v>
      </c>
      <c r="D396" s="234">
        <v>2.5769999999999998E-4</v>
      </c>
      <c r="E396" s="343">
        <v>624016</v>
      </c>
      <c r="F396" s="231"/>
      <c r="G396" s="343">
        <v>106847</v>
      </c>
      <c r="H396" s="343">
        <v>15221</v>
      </c>
      <c r="I396" s="343">
        <v>101704</v>
      </c>
      <c r="J396" s="343">
        <v>0</v>
      </c>
      <c r="K396" s="343">
        <v>223772</v>
      </c>
      <c r="L396" s="231"/>
      <c r="M396" s="343">
        <v>0</v>
      </c>
      <c r="N396" s="343">
        <v>0</v>
      </c>
      <c r="O396" s="343">
        <v>40968</v>
      </c>
      <c r="P396" s="343">
        <v>40968</v>
      </c>
      <c r="Q396" s="231"/>
      <c r="R396" s="343">
        <v>277973</v>
      </c>
      <c r="S396" s="343">
        <v>-17473</v>
      </c>
      <c r="T396" s="343">
        <v>260500</v>
      </c>
    </row>
    <row r="397" spans="1:20">
      <c r="A397" s="349">
        <v>93911</v>
      </c>
      <c r="B397" s="342" t="s">
        <v>1086</v>
      </c>
      <c r="C397" s="234">
        <v>6.4320000000000002E-4</v>
      </c>
      <c r="D397" s="234">
        <v>6.5010000000000003E-4</v>
      </c>
      <c r="E397" s="343">
        <v>1756529</v>
      </c>
      <c r="F397" s="231"/>
      <c r="G397" s="343">
        <v>300762</v>
      </c>
      <c r="H397" s="343">
        <v>42844</v>
      </c>
      <c r="I397" s="343">
        <v>286285</v>
      </c>
      <c r="J397" s="343">
        <v>10703</v>
      </c>
      <c r="K397" s="343">
        <v>640594</v>
      </c>
      <c r="L397" s="231"/>
      <c r="M397" s="343">
        <v>0</v>
      </c>
      <c r="N397" s="343">
        <v>0</v>
      </c>
      <c r="O397" s="343">
        <v>25625</v>
      </c>
      <c r="P397" s="343">
        <v>25625</v>
      </c>
      <c r="Q397" s="231"/>
      <c r="R397" s="343">
        <v>782461</v>
      </c>
      <c r="S397" s="343">
        <v>-7996</v>
      </c>
      <c r="T397" s="343">
        <v>774465</v>
      </c>
    </row>
    <row r="398" spans="1:20">
      <c r="A398" s="349">
        <v>93913</v>
      </c>
      <c r="B398" s="342" t="s">
        <v>1087</v>
      </c>
      <c r="C398" s="234">
        <v>4.9799999999999998E-5</v>
      </c>
      <c r="D398" s="234">
        <v>5.8799999999999999E-5</v>
      </c>
      <c r="E398" s="343">
        <v>136000</v>
      </c>
      <c r="F398" s="231"/>
      <c r="G398" s="343">
        <v>23287</v>
      </c>
      <c r="H398" s="343">
        <v>3317</v>
      </c>
      <c r="I398" s="343">
        <v>22166</v>
      </c>
      <c r="J398" s="343">
        <v>3063</v>
      </c>
      <c r="K398" s="343">
        <v>51833</v>
      </c>
      <c r="L398" s="231"/>
      <c r="M398" s="343">
        <v>0</v>
      </c>
      <c r="N398" s="343">
        <v>0</v>
      </c>
      <c r="O398" s="343">
        <v>2244</v>
      </c>
      <c r="P398" s="343">
        <v>2244</v>
      </c>
      <c r="Q398" s="231"/>
      <c r="R398" s="343">
        <v>60582</v>
      </c>
      <c r="S398" s="343">
        <v>793</v>
      </c>
      <c r="T398" s="343">
        <v>61375</v>
      </c>
    </row>
    <row r="399" spans="1:20">
      <c r="A399" s="349">
        <v>93914</v>
      </c>
      <c r="B399" s="342" t="s">
        <v>1088</v>
      </c>
      <c r="C399" s="234">
        <v>6.1E-6</v>
      </c>
      <c r="D399" s="234">
        <v>7.1999999999999997E-6</v>
      </c>
      <c r="E399" s="343">
        <v>16659</v>
      </c>
      <c r="F399" s="231"/>
      <c r="G399" s="343">
        <v>2852</v>
      </c>
      <c r="H399" s="343">
        <v>406</v>
      </c>
      <c r="I399" s="343">
        <v>2715</v>
      </c>
      <c r="J399" s="343">
        <v>4397</v>
      </c>
      <c r="K399" s="343">
        <v>10370</v>
      </c>
      <c r="L399" s="231"/>
      <c r="M399" s="343">
        <v>0</v>
      </c>
      <c r="N399" s="343">
        <v>0</v>
      </c>
      <c r="O399" s="343">
        <v>0</v>
      </c>
      <c r="P399" s="343">
        <v>0</v>
      </c>
      <c r="Q399" s="231"/>
      <c r="R399" s="343">
        <v>7421</v>
      </c>
      <c r="S399" s="343">
        <v>1957</v>
      </c>
      <c r="T399" s="343">
        <v>9378</v>
      </c>
    </row>
    <row r="400" spans="1:20">
      <c r="A400" s="349">
        <v>93921</v>
      </c>
      <c r="B400" s="342" t="s">
        <v>1089</v>
      </c>
      <c r="C400" s="234">
        <v>2.251E-4</v>
      </c>
      <c r="D400" s="234">
        <v>2.8259999999999998E-4</v>
      </c>
      <c r="E400" s="343">
        <v>614731</v>
      </c>
      <c r="F400" s="231"/>
      <c r="G400" s="343">
        <v>105257</v>
      </c>
      <c r="H400" s="343">
        <v>14994</v>
      </c>
      <c r="I400" s="343">
        <v>100191</v>
      </c>
      <c r="J400" s="343">
        <v>3765</v>
      </c>
      <c r="K400" s="343">
        <v>224207</v>
      </c>
      <c r="L400" s="231"/>
      <c r="M400" s="343">
        <v>0</v>
      </c>
      <c r="N400" s="343">
        <v>0</v>
      </c>
      <c r="O400" s="343">
        <v>42896</v>
      </c>
      <c r="P400" s="343">
        <v>42896</v>
      </c>
      <c r="Q400" s="231"/>
      <c r="R400" s="343">
        <v>273837</v>
      </c>
      <c r="S400" s="343">
        <v>-8082</v>
      </c>
      <c r="T400" s="343">
        <v>265755</v>
      </c>
    </row>
    <row r="401" spans="1:20">
      <c r="A401" s="349">
        <v>93931</v>
      </c>
      <c r="B401" s="342" t="s">
        <v>1090</v>
      </c>
      <c r="C401" s="234">
        <v>5.1590000000000002E-4</v>
      </c>
      <c r="D401" s="234">
        <v>5.4460000000000001E-4</v>
      </c>
      <c r="E401" s="343">
        <v>1408883</v>
      </c>
      <c r="F401" s="231"/>
      <c r="G401" s="343">
        <v>241236</v>
      </c>
      <c r="H401" s="343">
        <v>34365</v>
      </c>
      <c r="I401" s="343">
        <v>229625</v>
      </c>
      <c r="J401" s="343">
        <v>6952</v>
      </c>
      <c r="K401" s="343">
        <v>512178</v>
      </c>
      <c r="L401" s="231"/>
      <c r="M401" s="343">
        <v>0</v>
      </c>
      <c r="N401" s="343">
        <v>0</v>
      </c>
      <c r="O401" s="343">
        <v>58428</v>
      </c>
      <c r="P401" s="343">
        <v>58428</v>
      </c>
      <c r="Q401" s="231"/>
      <c r="R401" s="343">
        <v>627599</v>
      </c>
      <c r="S401" s="343">
        <v>-398</v>
      </c>
      <c r="T401" s="343">
        <v>627201</v>
      </c>
    </row>
    <row r="402" spans="1:20">
      <c r="A402" s="349">
        <v>94001</v>
      </c>
      <c r="B402" s="342" t="s">
        <v>1091</v>
      </c>
      <c r="C402" s="234">
        <v>9.3720000000000001E-4</v>
      </c>
      <c r="D402" s="234">
        <v>9.366E-4</v>
      </c>
      <c r="E402" s="343">
        <v>2559420</v>
      </c>
      <c r="F402" s="231"/>
      <c r="G402" s="343">
        <v>438238</v>
      </c>
      <c r="H402" s="343">
        <v>62428</v>
      </c>
      <c r="I402" s="343">
        <v>417143</v>
      </c>
      <c r="J402" s="343">
        <v>42467</v>
      </c>
      <c r="K402" s="343">
        <v>960276</v>
      </c>
      <c r="L402" s="231"/>
      <c r="M402" s="343">
        <v>0</v>
      </c>
      <c r="N402" s="343">
        <v>0</v>
      </c>
      <c r="O402" s="343">
        <v>0</v>
      </c>
      <c r="P402" s="343">
        <v>0</v>
      </c>
      <c r="Q402" s="231"/>
      <c r="R402" s="343">
        <v>1140116</v>
      </c>
      <c r="S402" s="343">
        <v>20242</v>
      </c>
      <c r="T402" s="343">
        <v>1160358</v>
      </c>
    </row>
    <row r="403" spans="1:20">
      <c r="A403" s="349">
        <v>94002</v>
      </c>
      <c r="B403" s="342" t="s">
        <v>1092</v>
      </c>
      <c r="C403" s="234">
        <v>5.2000000000000002E-6</v>
      </c>
      <c r="D403" s="234">
        <v>5.9000000000000003E-6</v>
      </c>
      <c r="E403" s="343">
        <v>14201</v>
      </c>
      <c r="F403" s="231"/>
      <c r="G403" s="343">
        <v>2432</v>
      </c>
      <c r="H403" s="343">
        <v>346</v>
      </c>
      <c r="I403" s="343">
        <v>2314</v>
      </c>
      <c r="J403" s="343">
        <v>2300</v>
      </c>
      <c r="K403" s="343">
        <v>7392</v>
      </c>
      <c r="L403" s="231"/>
      <c r="M403" s="343">
        <v>0</v>
      </c>
      <c r="N403" s="343">
        <v>0</v>
      </c>
      <c r="O403" s="343">
        <v>0</v>
      </c>
      <c r="P403" s="343">
        <v>0</v>
      </c>
      <c r="Q403" s="231"/>
      <c r="R403" s="343">
        <v>6326</v>
      </c>
      <c r="S403" s="343">
        <v>917</v>
      </c>
      <c r="T403" s="343">
        <v>7243</v>
      </c>
    </row>
    <row r="404" spans="1:20">
      <c r="A404" s="349">
        <v>94004</v>
      </c>
      <c r="B404" s="342" t="s">
        <v>1093</v>
      </c>
      <c r="C404" s="234">
        <v>7.4000000000000003E-6</v>
      </c>
      <c r="D404" s="234">
        <v>7.3000000000000004E-6</v>
      </c>
      <c r="E404" s="343">
        <v>20209</v>
      </c>
      <c r="F404" s="231"/>
      <c r="G404" s="343">
        <v>3460</v>
      </c>
      <c r="H404" s="343">
        <v>493</v>
      </c>
      <c r="I404" s="343">
        <v>3294</v>
      </c>
      <c r="J404" s="343">
        <v>3706</v>
      </c>
      <c r="K404" s="343">
        <v>10953</v>
      </c>
      <c r="L404" s="231"/>
      <c r="M404" s="343">
        <v>0</v>
      </c>
      <c r="N404" s="343">
        <v>0</v>
      </c>
      <c r="O404" s="343">
        <v>0</v>
      </c>
      <c r="P404" s="343">
        <v>0</v>
      </c>
      <c r="Q404" s="231"/>
      <c r="R404" s="343">
        <v>9002</v>
      </c>
      <c r="S404" s="343">
        <v>1706</v>
      </c>
      <c r="T404" s="343">
        <v>10708</v>
      </c>
    </row>
    <row r="405" spans="1:20">
      <c r="A405" s="349">
        <v>94005</v>
      </c>
      <c r="B405" s="342" t="s">
        <v>1094</v>
      </c>
      <c r="C405" s="234">
        <v>1.9E-6</v>
      </c>
      <c r="D405" s="234">
        <v>4.6999999999999999E-6</v>
      </c>
      <c r="E405" s="343">
        <v>5189</v>
      </c>
      <c r="F405" s="231"/>
      <c r="G405" s="343">
        <v>888</v>
      </c>
      <c r="H405" s="343">
        <v>127</v>
      </c>
      <c r="I405" s="343">
        <v>846</v>
      </c>
      <c r="J405" s="343">
        <v>2612</v>
      </c>
      <c r="K405" s="343">
        <v>4473</v>
      </c>
      <c r="L405" s="231"/>
      <c r="M405" s="343">
        <v>0</v>
      </c>
      <c r="N405" s="343">
        <v>0</v>
      </c>
      <c r="O405" s="343">
        <v>3483</v>
      </c>
      <c r="P405" s="343">
        <v>3483</v>
      </c>
      <c r="Q405" s="231"/>
      <c r="R405" s="343">
        <v>2311</v>
      </c>
      <c r="S405" s="343">
        <v>-1236</v>
      </c>
      <c r="T405" s="343">
        <v>1075</v>
      </c>
    </row>
    <row r="406" spans="1:20">
      <c r="A406" s="349">
        <v>94011</v>
      </c>
      <c r="B406" s="342" t="s">
        <v>1095</v>
      </c>
      <c r="C406" s="234">
        <v>2.6699999999999998E-5</v>
      </c>
      <c r="D406" s="234">
        <v>2.8399999999999999E-5</v>
      </c>
      <c r="E406" s="343">
        <v>72916</v>
      </c>
      <c r="F406" s="231"/>
      <c r="G406" s="343">
        <v>12485</v>
      </c>
      <c r="H406" s="343">
        <v>1778</v>
      </c>
      <c r="I406" s="343">
        <v>11884</v>
      </c>
      <c r="J406" s="343">
        <v>2318</v>
      </c>
      <c r="K406" s="343">
        <v>28465</v>
      </c>
      <c r="L406" s="231"/>
      <c r="M406" s="343">
        <v>0</v>
      </c>
      <c r="N406" s="343">
        <v>0</v>
      </c>
      <c r="O406" s="343">
        <v>3814</v>
      </c>
      <c r="P406" s="343">
        <v>3814</v>
      </c>
      <c r="Q406" s="231"/>
      <c r="R406" s="343">
        <v>32481</v>
      </c>
      <c r="S406" s="343">
        <v>240</v>
      </c>
      <c r="T406" s="343">
        <v>32721</v>
      </c>
    </row>
    <row r="407" spans="1:20">
      <c r="A407" s="349">
        <v>94021</v>
      </c>
      <c r="B407" s="342" t="s">
        <v>1096</v>
      </c>
      <c r="C407" s="234">
        <v>8.3300000000000005E-5</v>
      </c>
      <c r="D407" s="234">
        <v>8.8800000000000004E-5</v>
      </c>
      <c r="E407" s="343">
        <v>227486</v>
      </c>
      <c r="F407" s="231"/>
      <c r="G407" s="343">
        <v>38951</v>
      </c>
      <c r="H407" s="343">
        <v>5549</v>
      </c>
      <c r="I407" s="343">
        <v>37076</v>
      </c>
      <c r="J407" s="343">
        <v>11040</v>
      </c>
      <c r="K407" s="343">
        <v>92616</v>
      </c>
      <c r="L407" s="231"/>
      <c r="M407" s="343">
        <v>0</v>
      </c>
      <c r="N407" s="343">
        <v>0</v>
      </c>
      <c r="O407" s="343">
        <v>0</v>
      </c>
      <c r="P407" s="343">
        <v>0</v>
      </c>
      <c r="Q407" s="231"/>
      <c r="R407" s="343">
        <v>101336</v>
      </c>
      <c r="S407" s="343">
        <v>6131</v>
      </c>
      <c r="T407" s="343">
        <v>107467</v>
      </c>
    </row>
    <row r="408" spans="1:20">
      <c r="A408" s="349">
        <v>94031</v>
      </c>
      <c r="B408" s="342" t="s">
        <v>1097</v>
      </c>
      <c r="C408" s="234">
        <v>4.6E-6</v>
      </c>
      <c r="D408" s="234">
        <v>4.8999999999999997E-6</v>
      </c>
      <c r="E408" s="343">
        <v>12562</v>
      </c>
      <c r="F408" s="231"/>
      <c r="G408" s="343">
        <v>2151</v>
      </c>
      <c r="H408" s="343">
        <v>307</v>
      </c>
      <c r="I408" s="343">
        <v>2047</v>
      </c>
      <c r="J408" s="343">
        <v>8320</v>
      </c>
      <c r="K408" s="343">
        <v>12825</v>
      </c>
      <c r="L408" s="231"/>
      <c r="M408" s="343">
        <v>0</v>
      </c>
      <c r="N408" s="343">
        <v>0</v>
      </c>
      <c r="O408" s="343">
        <v>0</v>
      </c>
      <c r="P408" s="343">
        <v>0</v>
      </c>
      <c r="Q408" s="231"/>
      <c r="R408" s="343">
        <v>5596</v>
      </c>
      <c r="S408" s="343">
        <v>4476</v>
      </c>
      <c r="T408" s="343">
        <v>10072</v>
      </c>
    </row>
    <row r="409" spans="1:20">
      <c r="A409" s="349">
        <v>94101</v>
      </c>
      <c r="B409" s="342" t="s">
        <v>1098</v>
      </c>
      <c r="C409" s="234">
        <v>1.7750700000000001E-2</v>
      </c>
      <c r="D409" s="234">
        <v>1.8137199999999999E-2</v>
      </c>
      <c r="E409" s="343">
        <v>48475777</v>
      </c>
      <c r="F409" s="231"/>
      <c r="G409" s="343">
        <v>8300281</v>
      </c>
      <c r="H409" s="343">
        <v>1182392</v>
      </c>
      <c r="I409" s="343">
        <v>7900748</v>
      </c>
      <c r="J409" s="343">
        <v>25242</v>
      </c>
      <c r="K409" s="343">
        <v>17408663</v>
      </c>
      <c r="L409" s="231"/>
      <c r="M409" s="343">
        <v>0</v>
      </c>
      <c r="N409" s="343">
        <v>0</v>
      </c>
      <c r="O409" s="343">
        <v>298930</v>
      </c>
      <c r="P409" s="343">
        <v>298930</v>
      </c>
      <c r="Q409" s="231"/>
      <c r="R409" s="343">
        <v>21593957</v>
      </c>
      <c r="S409" s="343">
        <v>-65341</v>
      </c>
      <c r="T409" s="343">
        <v>21528616</v>
      </c>
    </row>
    <row r="410" spans="1:20">
      <c r="A410" s="349">
        <v>94102</v>
      </c>
      <c r="B410" s="342" t="s">
        <v>1099</v>
      </c>
      <c r="C410" s="234">
        <v>3.3849999999999999E-4</v>
      </c>
      <c r="D410" s="234">
        <v>2.8909999999999998E-4</v>
      </c>
      <c r="E410" s="343">
        <v>924417</v>
      </c>
      <c r="F410" s="231"/>
      <c r="G410" s="343">
        <v>158284</v>
      </c>
      <c r="H410" s="343">
        <v>22548</v>
      </c>
      <c r="I410" s="343">
        <v>150665</v>
      </c>
      <c r="J410" s="343">
        <v>8585</v>
      </c>
      <c r="K410" s="343">
        <v>340082</v>
      </c>
      <c r="L410" s="231"/>
      <c r="M410" s="343">
        <v>0</v>
      </c>
      <c r="N410" s="343">
        <v>0</v>
      </c>
      <c r="O410" s="343">
        <v>33062</v>
      </c>
      <c r="P410" s="343">
        <v>33062</v>
      </c>
      <c r="Q410" s="231"/>
      <c r="R410" s="343">
        <v>411790</v>
      </c>
      <c r="S410" s="343">
        <v>-18351</v>
      </c>
      <c r="T410" s="343">
        <v>393439</v>
      </c>
    </row>
    <row r="411" spans="1:20">
      <c r="A411" s="349">
        <v>94108</v>
      </c>
      <c r="B411" s="342" t="s">
        <v>3672</v>
      </c>
      <c r="C411" s="234">
        <v>3.8289999999999998E-4</v>
      </c>
      <c r="D411" s="234">
        <v>3.8549999999999999E-4</v>
      </c>
      <c r="E411" s="343">
        <v>1045670</v>
      </c>
      <c r="F411" s="231"/>
      <c r="G411" s="343">
        <v>179045</v>
      </c>
      <c r="H411" s="343">
        <v>25505</v>
      </c>
      <c r="I411" s="343">
        <v>170427</v>
      </c>
      <c r="J411" s="343">
        <v>10190</v>
      </c>
      <c r="K411" s="343">
        <v>385167</v>
      </c>
      <c r="L411" s="231"/>
      <c r="M411" s="343">
        <v>0</v>
      </c>
      <c r="N411" s="343">
        <v>0</v>
      </c>
      <c r="O411" s="343">
        <v>71880</v>
      </c>
      <c r="P411" s="343">
        <v>71880</v>
      </c>
      <c r="Q411" s="231"/>
      <c r="R411" s="343">
        <v>465803</v>
      </c>
      <c r="S411" s="343">
        <v>-39681</v>
      </c>
      <c r="T411" s="343">
        <v>426122</v>
      </c>
    </row>
    <row r="412" spans="1:20">
      <c r="A412" s="349">
        <v>94109</v>
      </c>
      <c r="B412" s="342" t="s">
        <v>3673</v>
      </c>
      <c r="C412" s="234">
        <v>1.048E-4</v>
      </c>
      <c r="D412" s="234">
        <v>9.8200000000000002E-5</v>
      </c>
      <c r="E412" s="343">
        <v>286201</v>
      </c>
      <c r="F412" s="231"/>
      <c r="G412" s="343">
        <v>49005</v>
      </c>
      <c r="H412" s="343">
        <v>6981</v>
      </c>
      <c r="I412" s="343">
        <v>46646</v>
      </c>
      <c r="J412" s="343">
        <v>0</v>
      </c>
      <c r="K412" s="343">
        <v>102632</v>
      </c>
      <c r="L412" s="231"/>
      <c r="M412" s="343">
        <v>0</v>
      </c>
      <c r="N412" s="343">
        <v>0</v>
      </c>
      <c r="O412" s="343">
        <v>25222</v>
      </c>
      <c r="P412" s="343">
        <v>25222</v>
      </c>
      <c r="Q412" s="231"/>
      <c r="R412" s="343">
        <v>127491</v>
      </c>
      <c r="S412" s="343">
        <v>-16308</v>
      </c>
      <c r="T412" s="343">
        <v>111183</v>
      </c>
    </row>
    <row r="413" spans="1:20">
      <c r="A413" s="349">
        <v>94111</v>
      </c>
      <c r="B413" s="342" t="s">
        <v>1102</v>
      </c>
      <c r="C413" s="234">
        <v>2.50095E-2</v>
      </c>
      <c r="D413" s="234">
        <v>2.4882899999999999E-2</v>
      </c>
      <c r="E413" s="343">
        <v>68298994</v>
      </c>
      <c r="F413" s="231"/>
      <c r="G413" s="343">
        <v>11694517</v>
      </c>
      <c r="H413" s="343">
        <v>1665908</v>
      </c>
      <c r="I413" s="343">
        <v>11131603</v>
      </c>
      <c r="J413" s="343">
        <v>0</v>
      </c>
      <c r="K413" s="343">
        <v>24492028</v>
      </c>
      <c r="L413" s="231"/>
      <c r="M413" s="343">
        <v>0</v>
      </c>
      <c r="N413" s="343">
        <v>0</v>
      </c>
      <c r="O413" s="343">
        <v>1033094</v>
      </c>
      <c r="P413" s="343">
        <v>1033094</v>
      </c>
      <c r="Q413" s="231"/>
      <c r="R413" s="343">
        <v>30424382</v>
      </c>
      <c r="S413" s="343">
        <v>-695656</v>
      </c>
      <c r="T413" s="343">
        <v>29728726</v>
      </c>
    </row>
    <row r="414" spans="1:20">
      <c r="A414" s="349">
        <v>94112</v>
      </c>
      <c r="B414" s="342" t="s">
        <v>3674</v>
      </c>
      <c r="C414" s="234">
        <v>1.6870000000000001E-4</v>
      </c>
      <c r="D414" s="234">
        <v>1.684E-4</v>
      </c>
      <c r="E414" s="343">
        <v>460707</v>
      </c>
      <c r="F414" s="231"/>
      <c r="G414" s="343">
        <v>78885</v>
      </c>
      <c r="H414" s="343">
        <v>11237</v>
      </c>
      <c r="I414" s="343">
        <v>75088</v>
      </c>
      <c r="J414" s="343">
        <v>0</v>
      </c>
      <c r="K414" s="343">
        <v>165210</v>
      </c>
      <c r="L414" s="231"/>
      <c r="M414" s="343">
        <v>0</v>
      </c>
      <c r="N414" s="343">
        <v>0</v>
      </c>
      <c r="O414" s="343">
        <v>12250</v>
      </c>
      <c r="P414" s="343">
        <v>12250</v>
      </c>
      <c r="Q414" s="231"/>
      <c r="R414" s="343">
        <v>205226</v>
      </c>
      <c r="S414" s="343">
        <v>-7816</v>
      </c>
      <c r="T414" s="343">
        <v>197410</v>
      </c>
    </row>
    <row r="415" spans="1:20">
      <c r="A415" s="349">
        <v>94117</v>
      </c>
      <c r="B415" s="342" t="s">
        <v>2808</v>
      </c>
      <c r="C415" s="234">
        <v>3.232E-4</v>
      </c>
      <c r="D415" s="234">
        <v>3.5429999999999999E-4</v>
      </c>
      <c r="E415" s="343">
        <v>882634</v>
      </c>
      <c r="F415" s="231"/>
      <c r="G415" s="343">
        <v>151129</v>
      </c>
      <c r="H415" s="343">
        <v>21528</v>
      </c>
      <c r="I415" s="343">
        <v>143855</v>
      </c>
      <c r="J415" s="343">
        <v>0</v>
      </c>
      <c r="K415" s="343">
        <v>316512</v>
      </c>
      <c r="L415" s="231"/>
      <c r="M415" s="343">
        <v>0</v>
      </c>
      <c r="N415" s="343">
        <v>0</v>
      </c>
      <c r="O415" s="343">
        <v>31793</v>
      </c>
      <c r="P415" s="343">
        <v>31793</v>
      </c>
      <c r="Q415" s="231"/>
      <c r="R415" s="343">
        <v>393177</v>
      </c>
      <c r="S415" s="343">
        <v>-8846</v>
      </c>
      <c r="T415" s="343">
        <v>384331</v>
      </c>
    </row>
    <row r="416" spans="1:20">
      <c r="A416" s="349">
        <v>94118</v>
      </c>
      <c r="B416" s="342" t="s">
        <v>1105</v>
      </c>
      <c r="C416" s="234">
        <v>1.6009999999999999E-4</v>
      </c>
      <c r="D416" s="234">
        <v>1.6009999999999999E-4</v>
      </c>
      <c r="E416" s="343">
        <v>437221</v>
      </c>
      <c r="F416" s="231"/>
      <c r="G416" s="343">
        <v>74863</v>
      </c>
      <c r="H416" s="343">
        <v>10665</v>
      </c>
      <c r="I416" s="343">
        <v>71260</v>
      </c>
      <c r="J416" s="343">
        <v>0</v>
      </c>
      <c r="K416" s="343">
        <v>156788</v>
      </c>
      <c r="L416" s="231"/>
      <c r="M416" s="343">
        <v>0</v>
      </c>
      <c r="N416" s="343">
        <v>0</v>
      </c>
      <c r="O416" s="343">
        <v>30819</v>
      </c>
      <c r="P416" s="343">
        <v>30819</v>
      </c>
      <c r="Q416" s="231"/>
      <c r="R416" s="343">
        <v>194764</v>
      </c>
      <c r="S416" s="343">
        <v>-21004</v>
      </c>
      <c r="T416" s="343">
        <v>173760</v>
      </c>
    </row>
    <row r="417" spans="1:20">
      <c r="A417" s="349">
        <v>94121</v>
      </c>
      <c r="B417" s="342" t="s">
        <v>1106</v>
      </c>
      <c r="C417" s="234">
        <v>1.1113E-2</v>
      </c>
      <c r="D417" s="234">
        <v>1.1314299999999999E-2</v>
      </c>
      <c r="E417" s="343">
        <v>30348736</v>
      </c>
      <c r="F417" s="231"/>
      <c r="G417" s="343">
        <v>5196472</v>
      </c>
      <c r="H417" s="343">
        <v>740248</v>
      </c>
      <c r="I417" s="343">
        <v>4946341</v>
      </c>
      <c r="J417" s="343">
        <v>130687</v>
      </c>
      <c r="K417" s="343">
        <v>11013748</v>
      </c>
      <c r="L417" s="231"/>
      <c r="M417" s="343">
        <v>0</v>
      </c>
      <c r="N417" s="343">
        <v>0</v>
      </c>
      <c r="O417" s="343">
        <v>57760</v>
      </c>
      <c r="P417" s="343">
        <v>57760</v>
      </c>
      <c r="Q417" s="231"/>
      <c r="R417" s="343">
        <v>13519109</v>
      </c>
      <c r="S417" s="343">
        <v>-8668</v>
      </c>
      <c r="T417" s="343">
        <v>13510441</v>
      </c>
    </row>
    <row r="418" spans="1:20">
      <c r="A418" s="349">
        <v>94127</v>
      </c>
      <c r="B418" s="342" t="s">
        <v>2806</v>
      </c>
      <c r="C418" s="234">
        <v>1.4310000000000001E-4</v>
      </c>
      <c r="D418" s="234">
        <v>1.5310000000000001E-4</v>
      </c>
      <c r="E418" s="343">
        <v>390795</v>
      </c>
      <c r="F418" s="231"/>
      <c r="G418" s="343">
        <v>66914</v>
      </c>
      <c r="H418" s="343">
        <v>9532</v>
      </c>
      <c r="I418" s="343">
        <v>63693</v>
      </c>
      <c r="J418" s="343">
        <v>3653</v>
      </c>
      <c r="K418" s="343">
        <v>143792</v>
      </c>
      <c r="L418" s="231"/>
      <c r="M418" s="343">
        <v>0</v>
      </c>
      <c r="N418" s="343">
        <v>0</v>
      </c>
      <c r="O418" s="343">
        <v>15283</v>
      </c>
      <c r="P418" s="343">
        <v>15283</v>
      </c>
      <c r="Q418" s="231"/>
      <c r="R418" s="343">
        <v>174083</v>
      </c>
      <c r="S418" s="343">
        <v>-2554</v>
      </c>
      <c r="T418" s="343">
        <v>171529</v>
      </c>
    </row>
    <row r="419" spans="1:20">
      <c r="A419" s="349">
        <v>94131</v>
      </c>
      <c r="B419" s="342" t="s">
        <v>1108</v>
      </c>
      <c r="C419" s="234">
        <v>2.1029999999999999E-4</v>
      </c>
      <c r="D419" s="234">
        <v>2.039E-4</v>
      </c>
      <c r="E419" s="343">
        <v>574313</v>
      </c>
      <c r="F419" s="231"/>
      <c r="G419" s="343">
        <v>98337</v>
      </c>
      <c r="H419" s="343">
        <v>14009</v>
      </c>
      <c r="I419" s="343">
        <v>93603</v>
      </c>
      <c r="J419" s="343">
        <v>24110</v>
      </c>
      <c r="K419" s="343">
        <v>230059</v>
      </c>
      <c r="L419" s="231"/>
      <c r="M419" s="343">
        <v>0</v>
      </c>
      <c r="N419" s="343">
        <v>0</v>
      </c>
      <c r="O419" s="343">
        <v>4253</v>
      </c>
      <c r="P419" s="343">
        <v>4253</v>
      </c>
      <c r="Q419" s="231"/>
      <c r="R419" s="343">
        <v>255833</v>
      </c>
      <c r="S419" s="343">
        <v>6700</v>
      </c>
      <c r="T419" s="343">
        <v>262533</v>
      </c>
    </row>
    <row r="420" spans="1:20">
      <c r="A420" s="349">
        <v>94151</v>
      </c>
      <c r="B420" s="342" t="s">
        <v>1109</v>
      </c>
      <c r="C420" s="234">
        <v>4.6660000000000001E-4</v>
      </c>
      <c r="D420" s="234">
        <v>4.6470000000000002E-4</v>
      </c>
      <c r="E420" s="343">
        <v>1274248</v>
      </c>
      <c r="F420" s="231"/>
      <c r="G420" s="343">
        <v>218184</v>
      </c>
      <c r="H420" s="343">
        <v>31081</v>
      </c>
      <c r="I420" s="343">
        <v>207681</v>
      </c>
      <c r="J420" s="343">
        <v>9104</v>
      </c>
      <c r="K420" s="343">
        <v>466050</v>
      </c>
      <c r="L420" s="231"/>
      <c r="M420" s="343">
        <v>0</v>
      </c>
      <c r="N420" s="343">
        <v>0</v>
      </c>
      <c r="O420" s="343">
        <v>32628</v>
      </c>
      <c r="P420" s="343">
        <v>32628</v>
      </c>
      <c r="Q420" s="231"/>
      <c r="R420" s="343">
        <v>567625</v>
      </c>
      <c r="S420" s="343">
        <v>-11523</v>
      </c>
      <c r="T420" s="343">
        <v>556102</v>
      </c>
    </row>
    <row r="421" spans="1:20">
      <c r="A421" s="349">
        <v>94157</v>
      </c>
      <c r="B421" s="342" t="s">
        <v>1110</v>
      </c>
      <c r="C421" s="234">
        <v>8.6000000000000007E-6</v>
      </c>
      <c r="D421" s="234">
        <v>8.4999999999999999E-6</v>
      </c>
      <c r="E421" s="343">
        <v>23486</v>
      </c>
      <c r="F421" s="231"/>
      <c r="G421" s="343">
        <v>4021</v>
      </c>
      <c r="H421" s="343">
        <v>573</v>
      </c>
      <c r="I421" s="343">
        <v>3828</v>
      </c>
      <c r="J421" s="343">
        <v>2393</v>
      </c>
      <c r="K421" s="343">
        <v>10815</v>
      </c>
      <c r="L421" s="231"/>
      <c r="M421" s="343">
        <v>0</v>
      </c>
      <c r="N421" s="343">
        <v>0</v>
      </c>
      <c r="O421" s="343">
        <v>0</v>
      </c>
      <c r="P421" s="343">
        <v>0</v>
      </c>
      <c r="Q421" s="231"/>
      <c r="R421" s="343">
        <v>10462</v>
      </c>
      <c r="S421" s="343">
        <v>1538</v>
      </c>
      <c r="T421" s="343">
        <v>12000</v>
      </c>
    </row>
    <row r="422" spans="1:20">
      <c r="A422" s="349">
        <v>94161</v>
      </c>
      <c r="B422" s="342" t="s">
        <v>1111</v>
      </c>
      <c r="C422" s="234">
        <v>4.8600000000000002E-5</v>
      </c>
      <c r="D422" s="234">
        <v>3.4999999999999997E-5</v>
      </c>
      <c r="E422" s="343">
        <v>132723</v>
      </c>
      <c r="F422" s="231"/>
      <c r="G422" s="343">
        <v>22726</v>
      </c>
      <c r="H422" s="343">
        <v>3237</v>
      </c>
      <c r="I422" s="343">
        <v>21632</v>
      </c>
      <c r="J422" s="343">
        <v>13179</v>
      </c>
      <c r="K422" s="343">
        <v>60774</v>
      </c>
      <c r="L422" s="231"/>
      <c r="M422" s="343">
        <v>0</v>
      </c>
      <c r="N422" s="343">
        <v>0</v>
      </c>
      <c r="O422" s="343">
        <v>7165</v>
      </c>
      <c r="P422" s="343">
        <v>7165</v>
      </c>
      <c r="Q422" s="231"/>
      <c r="R422" s="343">
        <v>59123</v>
      </c>
      <c r="S422" s="343">
        <v>2701</v>
      </c>
      <c r="T422" s="343">
        <v>61824</v>
      </c>
    </row>
    <row r="423" spans="1:20">
      <c r="A423" s="349">
        <v>94168</v>
      </c>
      <c r="B423" s="342" t="s">
        <v>1112</v>
      </c>
      <c r="C423" s="234">
        <v>5.5099999999999998E-5</v>
      </c>
      <c r="D423" s="234">
        <v>5.0800000000000002E-5</v>
      </c>
      <c r="E423" s="343">
        <v>150474</v>
      </c>
      <c r="F423" s="231"/>
      <c r="G423" s="343">
        <v>25765</v>
      </c>
      <c r="H423" s="343">
        <v>3670</v>
      </c>
      <c r="I423" s="343">
        <v>24525</v>
      </c>
      <c r="J423" s="343">
        <v>13506</v>
      </c>
      <c r="K423" s="343">
        <v>67466</v>
      </c>
      <c r="L423" s="231"/>
      <c r="M423" s="343">
        <v>0</v>
      </c>
      <c r="N423" s="343">
        <v>0</v>
      </c>
      <c r="O423" s="343">
        <v>2868</v>
      </c>
      <c r="P423" s="343">
        <v>2868</v>
      </c>
      <c r="Q423" s="231"/>
      <c r="R423" s="343">
        <v>67030</v>
      </c>
      <c r="S423" s="343">
        <v>1001</v>
      </c>
      <c r="T423" s="343">
        <v>68031</v>
      </c>
    </row>
    <row r="424" spans="1:20">
      <c r="A424" s="349">
        <v>94171</v>
      </c>
      <c r="B424" s="342" t="s">
        <v>1113</v>
      </c>
      <c r="C424" s="234">
        <v>6.1799999999999998E-5</v>
      </c>
      <c r="D424" s="234">
        <v>7.9800000000000002E-5</v>
      </c>
      <c r="E424" s="343">
        <v>168771</v>
      </c>
      <c r="F424" s="231"/>
      <c r="G424" s="343">
        <v>28898</v>
      </c>
      <c r="H424" s="343">
        <v>4116</v>
      </c>
      <c r="I424" s="343">
        <v>27507</v>
      </c>
      <c r="J424" s="343">
        <v>4442</v>
      </c>
      <c r="K424" s="343">
        <v>64963</v>
      </c>
      <c r="L424" s="231"/>
      <c r="M424" s="343">
        <v>0</v>
      </c>
      <c r="N424" s="343">
        <v>0</v>
      </c>
      <c r="O424" s="343">
        <v>16587</v>
      </c>
      <c r="P424" s="343">
        <v>16587</v>
      </c>
      <c r="Q424" s="231"/>
      <c r="R424" s="343">
        <v>75181</v>
      </c>
      <c r="S424" s="343">
        <v>-397</v>
      </c>
      <c r="T424" s="343">
        <v>74784</v>
      </c>
    </row>
    <row r="425" spans="1:20">
      <c r="A425" s="349">
        <v>94172</v>
      </c>
      <c r="B425" s="342" t="s">
        <v>1114</v>
      </c>
      <c r="C425" s="234">
        <v>2.8210000000000003E-4</v>
      </c>
      <c r="D425" s="234">
        <v>2.833E-4</v>
      </c>
      <c r="E425" s="343">
        <v>770393</v>
      </c>
      <c r="F425" s="231"/>
      <c r="G425" s="343">
        <v>131911</v>
      </c>
      <c r="H425" s="343">
        <v>18791</v>
      </c>
      <c r="I425" s="343">
        <v>125561</v>
      </c>
      <c r="J425" s="343">
        <v>0</v>
      </c>
      <c r="K425" s="343">
        <v>276263</v>
      </c>
      <c r="L425" s="231"/>
      <c r="M425" s="343">
        <v>0</v>
      </c>
      <c r="N425" s="343">
        <v>0</v>
      </c>
      <c r="O425" s="343">
        <v>60948</v>
      </c>
      <c r="P425" s="343">
        <v>60948</v>
      </c>
      <c r="Q425" s="231"/>
      <c r="R425" s="343">
        <v>343178</v>
      </c>
      <c r="S425" s="343">
        <v>-35345</v>
      </c>
      <c r="T425" s="343">
        <v>307833</v>
      </c>
    </row>
    <row r="426" spans="1:20">
      <c r="A426" s="349">
        <v>94201</v>
      </c>
      <c r="B426" s="342" t="s">
        <v>1115</v>
      </c>
      <c r="C426" s="234">
        <v>3.2504999999999999E-3</v>
      </c>
      <c r="D426" s="234">
        <v>3.2913999999999999E-3</v>
      </c>
      <c r="E426" s="343">
        <v>8876862</v>
      </c>
      <c r="F426" s="231"/>
      <c r="G426" s="343">
        <v>1519944</v>
      </c>
      <c r="H426" s="343">
        <v>216519</v>
      </c>
      <c r="I426" s="343">
        <v>1446781</v>
      </c>
      <c r="J426" s="343">
        <v>14622</v>
      </c>
      <c r="K426" s="343">
        <v>3197866</v>
      </c>
      <c r="L426" s="231"/>
      <c r="M426" s="343">
        <v>0</v>
      </c>
      <c r="N426" s="343">
        <v>0</v>
      </c>
      <c r="O426" s="343">
        <v>59411</v>
      </c>
      <c r="P426" s="343">
        <v>59411</v>
      </c>
      <c r="Q426" s="231"/>
      <c r="R426" s="343">
        <v>3954276</v>
      </c>
      <c r="S426" s="343">
        <v>-7209</v>
      </c>
      <c r="T426" s="343">
        <v>3947067</v>
      </c>
    </row>
    <row r="427" spans="1:20">
      <c r="A427" s="349">
        <v>94204</v>
      </c>
      <c r="B427" s="342" t="s">
        <v>1116</v>
      </c>
      <c r="C427" s="234">
        <v>2.97E-5</v>
      </c>
      <c r="D427" s="234">
        <v>2.73E-5</v>
      </c>
      <c r="E427" s="343">
        <v>81108</v>
      </c>
      <c r="F427" s="231"/>
      <c r="G427" s="343">
        <v>13888</v>
      </c>
      <c r="H427" s="343">
        <v>1978</v>
      </c>
      <c r="I427" s="343">
        <v>13219</v>
      </c>
      <c r="J427" s="343">
        <v>11627</v>
      </c>
      <c r="K427" s="343">
        <v>40712</v>
      </c>
      <c r="L427" s="231"/>
      <c r="M427" s="343">
        <v>0</v>
      </c>
      <c r="N427" s="343">
        <v>0</v>
      </c>
      <c r="O427" s="343">
        <v>0</v>
      </c>
      <c r="P427" s="343">
        <v>0</v>
      </c>
      <c r="Q427" s="231"/>
      <c r="R427" s="343">
        <v>36130</v>
      </c>
      <c r="S427" s="343">
        <v>5970</v>
      </c>
      <c r="T427" s="343">
        <v>42100</v>
      </c>
    </row>
    <row r="428" spans="1:20" ht="30">
      <c r="A428" s="349">
        <v>94205</v>
      </c>
      <c r="B428" s="342" t="s">
        <v>1117</v>
      </c>
      <c r="C428" s="234">
        <v>1.6200000000000001E-5</v>
      </c>
      <c r="D428" s="234">
        <v>1.8300000000000001E-5</v>
      </c>
      <c r="E428" s="343">
        <v>44241</v>
      </c>
      <c r="F428" s="231"/>
      <c r="G428" s="343">
        <v>7575</v>
      </c>
      <c r="H428" s="343">
        <v>1079</v>
      </c>
      <c r="I428" s="343">
        <v>7211</v>
      </c>
      <c r="J428" s="343">
        <v>1732</v>
      </c>
      <c r="K428" s="343">
        <v>17597</v>
      </c>
      <c r="L428" s="231"/>
      <c r="M428" s="343">
        <v>0</v>
      </c>
      <c r="N428" s="343">
        <v>0</v>
      </c>
      <c r="O428" s="343">
        <v>852</v>
      </c>
      <c r="P428" s="343">
        <v>852</v>
      </c>
      <c r="Q428" s="231"/>
      <c r="R428" s="343">
        <v>19708</v>
      </c>
      <c r="S428" s="343">
        <v>672</v>
      </c>
      <c r="T428" s="343">
        <v>20380</v>
      </c>
    </row>
    <row r="429" spans="1:20">
      <c r="A429" s="349">
        <v>94209</v>
      </c>
      <c r="B429" s="342" t="s">
        <v>1118</v>
      </c>
      <c r="C429" s="234">
        <v>3.2519999999999999E-4</v>
      </c>
      <c r="D429" s="234">
        <v>3.1700000000000001E-4</v>
      </c>
      <c r="E429" s="343">
        <v>888096</v>
      </c>
      <c r="F429" s="231"/>
      <c r="G429" s="343">
        <v>152064</v>
      </c>
      <c r="H429" s="343">
        <v>21662</v>
      </c>
      <c r="I429" s="343">
        <v>144745</v>
      </c>
      <c r="J429" s="343">
        <v>11428</v>
      </c>
      <c r="K429" s="343">
        <v>329899</v>
      </c>
      <c r="L429" s="231"/>
      <c r="M429" s="343">
        <v>0</v>
      </c>
      <c r="N429" s="343">
        <v>0</v>
      </c>
      <c r="O429" s="343">
        <v>14966</v>
      </c>
      <c r="P429" s="343">
        <v>14966</v>
      </c>
      <c r="Q429" s="231"/>
      <c r="R429" s="343">
        <v>395610</v>
      </c>
      <c r="S429" s="343">
        <v>2505</v>
      </c>
      <c r="T429" s="343">
        <v>398115</v>
      </c>
    </row>
    <row r="430" spans="1:20">
      <c r="A430" s="349">
        <v>94211</v>
      </c>
      <c r="B430" s="342" t="s">
        <v>1119</v>
      </c>
      <c r="C430" s="234">
        <v>1.5359999999999999E-4</v>
      </c>
      <c r="D430" s="234">
        <v>1.615E-4</v>
      </c>
      <c r="E430" s="343">
        <v>419470</v>
      </c>
      <c r="F430" s="231"/>
      <c r="G430" s="343">
        <v>71824</v>
      </c>
      <c r="H430" s="343">
        <v>10231</v>
      </c>
      <c r="I430" s="343">
        <v>68367</v>
      </c>
      <c r="J430" s="343">
        <v>8181</v>
      </c>
      <c r="K430" s="343">
        <v>158603</v>
      </c>
      <c r="L430" s="231"/>
      <c r="M430" s="343">
        <v>0</v>
      </c>
      <c r="N430" s="343">
        <v>0</v>
      </c>
      <c r="O430" s="343">
        <v>7173</v>
      </c>
      <c r="P430" s="343">
        <v>7173</v>
      </c>
      <c r="Q430" s="231"/>
      <c r="R430" s="343">
        <v>186856</v>
      </c>
      <c r="S430" s="343">
        <v>-2244</v>
      </c>
      <c r="T430" s="343">
        <v>184612</v>
      </c>
    </row>
    <row r="431" spans="1:20">
      <c r="A431" s="349">
        <v>94221</v>
      </c>
      <c r="B431" s="342" t="s">
        <v>1120</v>
      </c>
      <c r="C431" s="234">
        <v>9.8189999999999996E-4</v>
      </c>
      <c r="D431" s="234">
        <v>1.0311999999999999E-3</v>
      </c>
      <c r="E431" s="343">
        <v>2681492</v>
      </c>
      <c r="F431" s="231"/>
      <c r="G431" s="343">
        <v>459139</v>
      </c>
      <c r="H431" s="343">
        <v>65405</v>
      </c>
      <c r="I431" s="343">
        <v>437039</v>
      </c>
      <c r="J431" s="343">
        <v>0</v>
      </c>
      <c r="K431" s="343">
        <v>961583</v>
      </c>
      <c r="L431" s="231"/>
      <c r="M431" s="343">
        <v>0</v>
      </c>
      <c r="N431" s="343">
        <v>0</v>
      </c>
      <c r="O431" s="343">
        <v>108029</v>
      </c>
      <c r="P431" s="343">
        <v>108029</v>
      </c>
      <c r="Q431" s="231"/>
      <c r="R431" s="343">
        <v>1194494</v>
      </c>
      <c r="S431" s="343">
        <v>-19221</v>
      </c>
      <c r="T431" s="343">
        <v>1175273</v>
      </c>
    </row>
    <row r="432" spans="1:20" ht="14.25" customHeight="1">
      <c r="A432" s="349">
        <v>94231</v>
      </c>
      <c r="B432" s="342" t="s">
        <v>1121</v>
      </c>
      <c r="C432" s="234">
        <v>1.485E-4</v>
      </c>
      <c r="D432" s="234">
        <v>2.009E-4</v>
      </c>
      <c r="E432" s="343">
        <v>405542</v>
      </c>
      <c r="F432" s="231"/>
      <c r="G432" s="343">
        <v>69439</v>
      </c>
      <c r="H432" s="343">
        <v>9891</v>
      </c>
      <c r="I432" s="343">
        <v>66097</v>
      </c>
      <c r="J432" s="343">
        <v>3884</v>
      </c>
      <c r="K432" s="343">
        <v>149311</v>
      </c>
      <c r="L432" s="231"/>
      <c r="M432" s="343">
        <v>0</v>
      </c>
      <c r="N432" s="343">
        <v>0</v>
      </c>
      <c r="O432" s="343">
        <v>58586</v>
      </c>
      <c r="P432" s="343">
        <v>58586</v>
      </c>
      <c r="Q432" s="231"/>
      <c r="R432" s="343">
        <v>180652</v>
      </c>
      <c r="S432" s="343">
        <v>-15667</v>
      </c>
      <c r="T432" s="343">
        <v>164985</v>
      </c>
    </row>
    <row r="433" spans="1:20">
      <c r="A433" s="349">
        <v>94241</v>
      </c>
      <c r="B433" s="342" t="s">
        <v>1122</v>
      </c>
      <c r="C433" s="234">
        <v>1.106E-4</v>
      </c>
      <c r="D433" s="234">
        <v>1.227E-4</v>
      </c>
      <c r="E433" s="343">
        <v>302040</v>
      </c>
      <c r="F433" s="231"/>
      <c r="G433" s="343">
        <v>51717</v>
      </c>
      <c r="H433" s="343">
        <v>7367</v>
      </c>
      <c r="I433" s="343">
        <v>49228</v>
      </c>
      <c r="J433" s="343">
        <v>12758</v>
      </c>
      <c r="K433" s="343">
        <v>121070</v>
      </c>
      <c r="L433" s="231"/>
      <c r="M433" s="343">
        <v>0</v>
      </c>
      <c r="N433" s="343">
        <v>0</v>
      </c>
      <c r="O433" s="343">
        <v>14172</v>
      </c>
      <c r="P433" s="343">
        <v>14172</v>
      </c>
      <c r="Q433" s="231"/>
      <c r="R433" s="343">
        <v>134546</v>
      </c>
      <c r="S433" s="343">
        <v>2301</v>
      </c>
      <c r="T433" s="343">
        <v>136847</v>
      </c>
    </row>
    <row r="434" spans="1:20">
      <c r="A434" s="349">
        <v>94251</v>
      </c>
      <c r="B434" s="342" t="s">
        <v>1123</v>
      </c>
      <c r="C434" s="234">
        <v>1.7799999999999999E-5</v>
      </c>
      <c r="D434" s="234">
        <v>1.59E-5</v>
      </c>
      <c r="E434" s="343">
        <v>48610</v>
      </c>
      <c r="F434" s="231"/>
      <c r="G434" s="343">
        <v>8323</v>
      </c>
      <c r="H434" s="343">
        <v>1186</v>
      </c>
      <c r="I434" s="343">
        <v>7923</v>
      </c>
      <c r="J434" s="343">
        <v>3310</v>
      </c>
      <c r="K434" s="343">
        <v>20742</v>
      </c>
      <c r="L434" s="231"/>
      <c r="M434" s="343">
        <v>0</v>
      </c>
      <c r="N434" s="343">
        <v>0</v>
      </c>
      <c r="O434" s="343">
        <v>1725</v>
      </c>
      <c r="P434" s="343">
        <v>1725</v>
      </c>
      <c r="Q434" s="231"/>
      <c r="R434" s="343">
        <v>21654</v>
      </c>
      <c r="S434" s="343">
        <v>-1486</v>
      </c>
      <c r="T434" s="343">
        <v>20168</v>
      </c>
    </row>
    <row r="435" spans="1:20">
      <c r="A435" s="349">
        <v>94261</v>
      </c>
      <c r="B435" s="342" t="s">
        <v>1124</v>
      </c>
      <c r="C435" s="234">
        <v>4.6600000000000001E-5</v>
      </c>
      <c r="D435" s="234">
        <v>3.6199999999999999E-5</v>
      </c>
      <c r="E435" s="343">
        <v>127261</v>
      </c>
      <c r="F435" s="231"/>
      <c r="G435" s="343">
        <v>21790</v>
      </c>
      <c r="H435" s="343">
        <v>3104</v>
      </c>
      <c r="I435" s="343">
        <v>20741</v>
      </c>
      <c r="J435" s="343">
        <v>12126</v>
      </c>
      <c r="K435" s="343">
        <v>57761</v>
      </c>
      <c r="L435" s="231"/>
      <c r="M435" s="343">
        <v>0</v>
      </c>
      <c r="N435" s="343">
        <v>0</v>
      </c>
      <c r="O435" s="343">
        <v>592</v>
      </c>
      <c r="P435" s="343">
        <v>592</v>
      </c>
      <c r="Q435" s="231"/>
      <c r="R435" s="343">
        <v>56690</v>
      </c>
      <c r="S435" s="343">
        <v>6167</v>
      </c>
      <c r="T435" s="343">
        <v>62857</v>
      </c>
    </row>
    <row r="436" spans="1:20">
      <c r="A436" s="349">
        <v>94301</v>
      </c>
      <c r="B436" s="342" t="s">
        <v>1125</v>
      </c>
      <c r="C436" s="234">
        <v>6.3099000000000002E-3</v>
      </c>
      <c r="D436" s="234">
        <v>6.3552000000000001E-3</v>
      </c>
      <c r="E436" s="343">
        <v>17231845</v>
      </c>
      <c r="F436" s="231"/>
      <c r="G436" s="343">
        <v>2950528</v>
      </c>
      <c r="H436" s="343">
        <v>420308</v>
      </c>
      <c r="I436" s="343">
        <v>2808505</v>
      </c>
      <c r="J436" s="343">
        <v>41865</v>
      </c>
      <c r="K436" s="343">
        <v>6221206</v>
      </c>
      <c r="L436" s="231"/>
      <c r="M436" s="343">
        <v>0</v>
      </c>
      <c r="N436" s="343">
        <v>0</v>
      </c>
      <c r="O436" s="343">
        <v>133926</v>
      </c>
      <c r="P436" s="343">
        <v>133926</v>
      </c>
      <c r="Q436" s="231"/>
      <c r="R436" s="343">
        <v>7676075</v>
      </c>
      <c r="S436" s="343">
        <v>-54423</v>
      </c>
      <c r="T436" s="343">
        <v>7621652</v>
      </c>
    </row>
    <row r="437" spans="1:20">
      <c r="A437" s="349">
        <v>94311</v>
      </c>
      <c r="B437" s="342" t="s">
        <v>1126</v>
      </c>
      <c r="C437" s="234">
        <v>7.7700000000000002E-4</v>
      </c>
      <c r="D437" s="234">
        <v>7.4359999999999997E-4</v>
      </c>
      <c r="E437" s="343">
        <v>2121926</v>
      </c>
      <c r="F437" s="231"/>
      <c r="G437" s="343">
        <v>363328</v>
      </c>
      <c r="H437" s="343">
        <v>51756</v>
      </c>
      <c r="I437" s="343">
        <v>345839</v>
      </c>
      <c r="J437" s="343">
        <v>47222</v>
      </c>
      <c r="K437" s="343">
        <v>808145</v>
      </c>
      <c r="L437" s="231"/>
      <c r="M437" s="343">
        <v>0</v>
      </c>
      <c r="N437" s="343">
        <v>0</v>
      </c>
      <c r="O437" s="343">
        <v>27779</v>
      </c>
      <c r="P437" s="343">
        <v>27779</v>
      </c>
      <c r="Q437" s="231"/>
      <c r="R437" s="343">
        <v>945231</v>
      </c>
      <c r="S437" s="343">
        <v>-11350</v>
      </c>
      <c r="T437" s="343">
        <v>933881</v>
      </c>
    </row>
    <row r="438" spans="1:20">
      <c r="A438" s="349">
        <v>94313</v>
      </c>
      <c r="B438" s="342" t="s">
        <v>1127</v>
      </c>
      <c r="C438" s="234">
        <v>1.4399999999999999E-5</v>
      </c>
      <c r="D438" s="234">
        <v>2.1699999999999999E-5</v>
      </c>
      <c r="E438" s="343">
        <v>39325</v>
      </c>
      <c r="F438" s="231"/>
      <c r="G438" s="343">
        <v>6733</v>
      </c>
      <c r="H438" s="343">
        <v>959</v>
      </c>
      <c r="I438" s="343">
        <v>6409</v>
      </c>
      <c r="J438" s="343">
        <v>5810</v>
      </c>
      <c r="K438" s="343">
        <v>19911</v>
      </c>
      <c r="L438" s="231"/>
      <c r="M438" s="343">
        <v>0</v>
      </c>
      <c r="N438" s="343">
        <v>0</v>
      </c>
      <c r="O438" s="343">
        <v>407</v>
      </c>
      <c r="P438" s="343">
        <v>407</v>
      </c>
      <c r="Q438" s="231"/>
      <c r="R438" s="343">
        <v>17518</v>
      </c>
      <c r="S438" s="343">
        <v>3399</v>
      </c>
      <c r="T438" s="343">
        <v>20917</v>
      </c>
    </row>
    <row r="439" spans="1:20">
      <c r="A439" s="349">
        <v>94317</v>
      </c>
      <c r="B439" s="342" t="s">
        <v>1128</v>
      </c>
      <c r="C439" s="234">
        <v>1.0699999999999999E-5</v>
      </c>
      <c r="D439" s="234">
        <v>1.15E-5</v>
      </c>
      <c r="E439" s="343">
        <v>29221</v>
      </c>
      <c r="F439" s="231"/>
      <c r="G439" s="343">
        <v>5003</v>
      </c>
      <c r="H439" s="343">
        <v>713</v>
      </c>
      <c r="I439" s="343">
        <v>4763</v>
      </c>
      <c r="J439" s="343">
        <v>8780</v>
      </c>
      <c r="K439" s="343">
        <v>19259</v>
      </c>
      <c r="L439" s="231"/>
      <c r="M439" s="343">
        <v>0</v>
      </c>
      <c r="N439" s="343">
        <v>0</v>
      </c>
      <c r="O439" s="343">
        <v>0</v>
      </c>
      <c r="P439" s="343">
        <v>0</v>
      </c>
      <c r="Q439" s="231"/>
      <c r="R439" s="343">
        <v>13017</v>
      </c>
      <c r="S439" s="343">
        <v>4113</v>
      </c>
      <c r="T439" s="343">
        <v>17130</v>
      </c>
    </row>
    <row r="440" spans="1:20">
      <c r="A440" s="349">
        <v>94321</v>
      </c>
      <c r="B440" s="342" t="s">
        <v>1129</v>
      </c>
      <c r="C440" s="234">
        <v>2.8079999999999999E-4</v>
      </c>
      <c r="D440" s="234">
        <v>2.8160000000000001E-4</v>
      </c>
      <c r="E440" s="343">
        <v>766843</v>
      </c>
      <c r="F440" s="231"/>
      <c r="G440" s="343">
        <v>131303</v>
      </c>
      <c r="H440" s="343">
        <v>18704</v>
      </c>
      <c r="I440" s="343">
        <v>124983</v>
      </c>
      <c r="J440" s="343">
        <v>0</v>
      </c>
      <c r="K440" s="343">
        <v>274990</v>
      </c>
      <c r="L440" s="231"/>
      <c r="M440" s="343">
        <v>0</v>
      </c>
      <c r="N440" s="343">
        <v>0</v>
      </c>
      <c r="O440" s="343">
        <v>16865</v>
      </c>
      <c r="P440" s="343">
        <v>16865</v>
      </c>
      <c r="Q440" s="231"/>
      <c r="R440" s="343">
        <v>341597</v>
      </c>
      <c r="S440" s="343">
        <v>-10396</v>
      </c>
      <c r="T440" s="343">
        <v>331201</v>
      </c>
    </row>
    <row r="441" spans="1:20">
      <c r="A441" s="349">
        <v>94331</v>
      </c>
      <c r="B441" s="342" t="s">
        <v>1130</v>
      </c>
      <c r="C441" s="234">
        <v>1.5190000000000001E-4</v>
      </c>
      <c r="D441" s="234">
        <v>1.6090000000000001E-4</v>
      </c>
      <c r="E441" s="343">
        <v>414827</v>
      </c>
      <c r="F441" s="231"/>
      <c r="G441" s="343">
        <v>71029</v>
      </c>
      <c r="H441" s="343">
        <v>10119</v>
      </c>
      <c r="I441" s="343">
        <v>67610</v>
      </c>
      <c r="J441" s="343">
        <v>13781</v>
      </c>
      <c r="K441" s="343">
        <v>162539</v>
      </c>
      <c r="L441" s="231"/>
      <c r="M441" s="343">
        <v>0</v>
      </c>
      <c r="N441" s="343">
        <v>0</v>
      </c>
      <c r="O441" s="343">
        <v>11675</v>
      </c>
      <c r="P441" s="343">
        <v>11675</v>
      </c>
      <c r="Q441" s="231"/>
      <c r="R441" s="343">
        <v>184788</v>
      </c>
      <c r="S441" s="343">
        <v>1338</v>
      </c>
      <c r="T441" s="343">
        <v>186126</v>
      </c>
    </row>
    <row r="442" spans="1:20">
      <c r="A442" s="349">
        <v>94341</v>
      </c>
      <c r="B442" s="342" t="s">
        <v>1131</v>
      </c>
      <c r="C442" s="234">
        <v>9.8800000000000003E-5</v>
      </c>
      <c r="D442" s="234">
        <v>8.3300000000000005E-5</v>
      </c>
      <c r="E442" s="343">
        <v>269815</v>
      </c>
      <c r="F442" s="231"/>
      <c r="G442" s="343">
        <v>46199</v>
      </c>
      <c r="H442" s="343">
        <v>6581</v>
      </c>
      <c r="I442" s="343">
        <v>43975</v>
      </c>
      <c r="J442" s="343">
        <v>9215</v>
      </c>
      <c r="K442" s="343">
        <v>105970</v>
      </c>
      <c r="L442" s="231"/>
      <c r="M442" s="343">
        <v>0</v>
      </c>
      <c r="N442" s="343">
        <v>0</v>
      </c>
      <c r="O442" s="343">
        <v>8536</v>
      </c>
      <c r="P442" s="343">
        <v>8536</v>
      </c>
      <c r="Q442" s="231"/>
      <c r="R442" s="343">
        <v>120191</v>
      </c>
      <c r="S442" s="343">
        <v>-683</v>
      </c>
      <c r="T442" s="343">
        <v>119508</v>
      </c>
    </row>
    <row r="443" spans="1:20">
      <c r="A443" s="349">
        <v>94347</v>
      </c>
      <c r="B443" s="342" t="s">
        <v>1132</v>
      </c>
      <c r="C443" s="234">
        <v>1.17E-5</v>
      </c>
      <c r="D443" s="234">
        <v>7.9999999999999996E-6</v>
      </c>
      <c r="E443" s="343">
        <v>31952</v>
      </c>
      <c r="F443" s="231"/>
      <c r="G443" s="343">
        <v>5471</v>
      </c>
      <c r="H443" s="343">
        <v>779</v>
      </c>
      <c r="I443" s="343">
        <v>5208</v>
      </c>
      <c r="J443" s="343">
        <v>7356</v>
      </c>
      <c r="K443" s="343">
        <v>18814</v>
      </c>
      <c r="L443" s="231"/>
      <c r="M443" s="343">
        <v>0</v>
      </c>
      <c r="N443" s="343">
        <v>0</v>
      </c>
      <c r="O443" s="343">
        <v>711</v>
      </c>
      <c r="P443" s="343">
        <v>711</v>
      </c>
      <c r="Q443" s="231"/>
      <c r="R443" s="343">
        <v>14233</v>
      </c>
      <c r="S443" s="343">
        <v>2184</v>
      </c>
      <c r="T443" s="343">
        <v>16417</v>
      </c>
    </row>
    <row r="444" spans="1:20" ht="14.25" customHeight="1">
      <c r="A444" s="349">
        <v>94351</v>
      </c>
      <c r="B444" s="342" t="s">
        <v>1133</v>
      </c>
      <c r="C444" s="234">
        <v>2.2680000000000001E-4</v>
      </c>
      <c r="D444" s="234">
        <v>2.477E-4</v>
      </c>
      <c r="E444" s="343">
        <v>619373</v>
      </c>
      <c r="F444" s="231"/>
      <c r="G444" s="343">
        <v>106052</v>
      </c>
      <c r="H444" s="343">
        <v>15107</v>
      </c>
      <c r="I444" s="343">
        <v>100948</v>
      </c>
      <c r="J444" s="343">
        <v>0</v>
      </c>
      <c r="K444" s="343">
        <v>222107</v>
      </c>
      <c r="L444" s="231"/>
      <c r="M444" s="343">
        <v>0</v>
      </c>
      <c r="N444" s="343">
        <v>0</v>
      </c>
      <c r="O444" s="343">
        <v>21256</v>
      </c>
      <c r="P444" s="343">
        <v>21256</v>
      </c>
      <c r="Q444" s="231"/>
      <c r="R444" s="343">
        <v>275905</v>
      </c>
      <c r="S444" s="343">
        <v>-5433</v>
      </c>
      <c r="T444" s="343">
        <v>270472</v>
      </c>
    </row>
    <row r="445" spans="1:20">
      <c r="A445" s="349">
        <v>94401</v>
      </c>
      <c r="B445" s="342" t="s">
        <v>1134</v>
      </c>
      <c r="C445" s="234">
        <v>3.4440999999999999E-3</v>
      </c>
      <c r="D445" s="234">
        <v>3.2688999999999999E-3</v>
      </c>
      <c r="E445" s="343">
        <v>9405568</v>
      </c>
      <c r="F445" s="231"/>
      <c r="G445" s="343">
        <v>1610471</v>
      </c>
      <c r="H445" s="343">
        <v>229415</v>
      </c>
      <c r="I445" s="343">
        <v>1532952</v>
      </c>
      <c r="J445" s="343">
        <v>102722</v>
      </c>
      <c r="K445" s="343">
        <v>3475560</v>
      </c>
      <c r="L445" s="231"/>
      <c r="M445" s="343">
        <v>0</v>
      </c>
      <c r="N445" s="343">
        <v>0</v>
      </c>
      <c r="O445" s="343">
        <v>41729</v>
      </c>
      <c r="P445" s="343">
        <v>41729</v>
      </c>
      <c r="Q445" s="231"/>
      <c r="R445" s="343">
        <v>4189792</v>
      </c>
      <c r="S445" s="343">
        <v>13407</v>
      </c>
      <c r="T445" s="343">
        <v>4203199</v>
      </c>
    </row>
    <row r="446" spans="1:20" ht="30">
      <c r="A446" s="349">
        <v>94403</v>
      </c>
      <c r="B446" s="342" t="s">
        <v>1136</v>
      </c>
      <c r="C446" s="234">
        <v>3.7400000000000001E-5</v>
      </c>
      <c r="D446" s="234">
        <v>3.1900000000000003E-5</v>
      </c>
      <c r="E446" s="343">
        <v>102136</v>
      </c>
      <c r="F446" s="231"/>
      <c r="G446" s="343">
        <v>17488</v>
      </c>
      <c r="H446" s="343">
        <v>2491</v>
      </c>
      <c r="I446" s="343">
        <v>16647</v>
      </c>
      <c r="J446" s="343">
        <v>17346</v>
      </c>
      <c r="K446" s="343">
        <v>53972</v>
      </c>
      <c r="L446" s="231"/>
      <c r="M446" s="343">
        <v>0</v>
      </c>
      <c r="N446" s="343">
        <v>0</v>
      </c>
      <c r="O446" s="343">
        <v>0</v>
      </c>
      <c r="P446" s="343">
        <v>0</v>
      </c>
      <c r="Q446" s="231"/>
      <c r="R446" s="343">
        <v>45498</v>
      </c>
      <c r="S446" s="343">
        <v>6656</v>
      </c>
      <c r="T446" s="343">
        <v>52154</v>
      </c>
    </row>
    <row r="447" spans="1:20">
      <c r="A447" s="349">
        <v>94408</v>
      </c>
      <c r="B447" s="342" t="s">
        <v>1137</v>
      </c>
      <c r="C447" s="234">
        <v>6.2000000000000003E-5</v>
      </c>
      <c r="D447" s="234">
        <v>4.6E-5</v>
      </c>
      <c r="E447" s="343">
        <v>169317</v>
      </c>
      <c r="F447" s="231"/>
      <c r="G447" s="343">
        <v>28991</v>
      </c>
      <c r="H447" s="343">
        <v>4129</v>
      </c>
      <c r="I447" s="343">
        <v>27596</v>
      </c>
      <c r="J447" s="343">
        <v>11048</v>
      </c>
      <c r="K447" s="343">
        <v>71764</v>
      </c>
      <c r="L447" s="231"/>
      <c r="M447" s="343">
        <v>0</v>
      </c>
      <c r="N447" s="343">
        <v>0</v>
      </c>
      <c r="O447" s="343">
        <v>1930</v>
      </c>
      <c r="P447" s="343">
        <v>1930</v>
      </c>
      <c r="Q447" s="231"/>
      <c r="R447" s="343">
        <v>75424</v>
      </c>
      <c r="S447" s="343">
        <v>4138</v>
      </c>
      <c r="T447" s="343">
        <v>79562</v>
      </c>
    </row>
    <row r="448" spans="1:20">
      <c r="A448" s="349">
        <v>94411</v>
      </c>
      <c r="B448" s="342" t="s">
        <v>1138</v>
      </c>
      <c r="C448" s="234">
        <v>1.2472E-3</v>
      </c>
      <c r="D448" s="234">
        <v>1.2620000000000001E-3</v>
      </c>
      <c r="E448" s="343">
        <v>3406006</v>
      </c>
      <c r="F448" s="231"/>
      <c r="G448" s="343">
        <v>583194</v>
      </c>
      <c r="H448" s="343">
        <v>83078</v>
      </c>
      <c r="I448" s="343">
        <v>555122</v>
      </c>
      <c r="J448" s="343">
        <v>25546</v>
      </c>
      <c r="K448" s="343">
        <v>1246940</v>
      </c>
      <c r="L448" s="231"/>
      <c r="M448" s="343">
        <v>0</v>
      </c>
      <c r="N448" s="343">
        <v>0</v>
      </c>
      <c r="O448" s="343">
        <v>56694</v>
      </c>
      <c r="P448" s="343">
        <v>56694</v>
      </c>
      <c r="Q448" s="231"/>
      <c r="R448" s="343">
        <v>1517235</v>
      </c>
      <c r="S448" s="343">
        <v>1267</v>
      </c>
      <c r="T448" s="343">
        <v>1518502</v>
      </c>
    </row>
    <row r="449" spans="1:20">
      <c r="A449" s="349">
        <v>94412</v>
      </c>
      <c r="B449" s="342" t="s">
        <v>1139</v>
      </c>
      <c r="C449" s="234">
        <v>1.7E-5</v>
      </c>
      <c r="D449" s="234">
        <v>1.5500000000000001E-5</v>
      </c>
      <c r="E449" s="343">
        <v>46426</v>
      </c>
      <c r="F449" s="231"/>
      <c r="G449" s="343">
        <v>7949</v>
      </c>
      <c r="H449" s="343">
        <v>1132</v>
      </c>
      <c r="I449" s="343">
        <v>7567</v>
      </c>
      <c r="J449" s="343">
        <v>13227</v>
      </c>
      <c r="K449" s="343">
        <v>29875</v>
      </c>
      <c r="L449" s="231"/>
      <c r="M449" s="343">
        <v>0</v>
      </c>
      <c r="N449" s="343">
        <v>0</v>
      </c>
      <c r="O449" s="343">
        <v>0</v>
      </c>
      <c r="P449" s="343">
        <v>0</v>
      </c>
      <c r="Q449" s="231"/>
      <c r="R449" s="343">
        <v>20681</v>
      </c>
      <c r="S449" s="343">
        <v>6339</v>
      </c>
      <c r="T449" s="343">
        <v>27020</v>
      </c>
    </row>
    <row r="450" spans="1:20">
      <c r="A450" s="349">
        <v>94421</v>
      </c>
      <c r="B450" s="342" t="s">
        <v>1140</v>
      </c>
      <c r="C450" s="234">
        <v>1.4880000000000001E-4</v>
      </c>
      <c r="D450" s="234">
        <v>1.6080000000000001E-4</v>
      </c>
      <c r="E450" s="343">
        <v>406361</v>
      </c>
      <c r="F450" s="231"/>
      <c r="G450" s="343">
        <v>69579</v>
      </c>
      <c r="H450" s="343">
        <v>9911</v>
      </c>
      <c r="I450" s="343">
        <v>66230</v>
      </c>
      <c r="J450" s="343">
        <v>939</v>
      </c>
      <c r="K450" s="343">
        <v>146659</v>
      </c>
      <c r="L450" s="231"/>
      <c r="M450" s="343">
        <v>0</v>
      </c>
      <c r="N450" s="343">
        <v>0</v>
      </c>
      <c r="O450" s="343">
        <v>9690</v>
      </c>
      <c r="P450" s="343">
        <v>9690</v>
      </c>
      <c r="Q450" s="231"/>
      <c r="R450" s="343">
        <v>181017</v>
      </c>
      <c r="S450" s="343">
        <v>-1761</v>
      </c>
      <c r="T450" s="343">
        <v>179256</v>
      </c>
    </row>
    <row r="451" spans="1:20">
      <c r="A451" s="349">
        <v>94427</v>
      </c>
      <c r="B451" s="342" t="s">
        <v>1141</v>
      </c>
      <c r="C451" s="234">
        <v>2.7500000000000001E-5</v>
      </c>
      <c r="D451" s="234">
        <v>1.63E-5</v>
      </c>
      <c r="E451" s="343">
        <v>75100</v>
      </c>
      <c r="F451" s="231"/>
      <c r="G451" s="343">
        <v>12859</v>
      </c>
      <c r="H451" s="343">
        <v>1831</v>
      </c>
      <c r="I451" s="343">
        <v>12240</v>
      </c>
      <c r="J451" s="343">
        <v>15075</v>
      </c>
      <c r="K451" s="343">
        <v>42005</v>
      </c>
      <c r="L451" s="231"/>
      <c r="M451" s="343">
        <v>0</v>
      </c>
      <c r="N451" s="343">
        <v>0</v>
      </c>
      <c r="O451" s="343">
        <v>113</v>
      </c>
      <c r="P451" s="343">
        <v>113</v>
      </c>
      <c r="Q451" s="231"/>
      <c r="R451" s="343">
        <v>33454</v>
      </c>
      <c r="S451" s="343">
        <v>4477</v>
      </c>
      <c r="T451" s="343">
        <v>37931</v>
      </c>
    </row>
    <row r="452" spans="1:20">
      <c r="A452" s="349">
        <v>94428</v>
      </c>
      <c r="B452" s="342" t="s">
        <v>2797</v>
      </c>
      <c r="C452" s="234">
        <v>7.1400000000000001E-5</v>
      </c>
      <c r="D452" s="234">
        <v>7.2000000000000002E-5</v>
      </c>
      <c r="E452" s="343">
        <v>194988</v>
      </c>
      <c r="F452" s="231"/>
      <c r="G452" s="343">
        <v>33387</v>
      </c>
      <c r="H452" s="343">
        <v>4756</v>
      </c>
      <c r="I452" s="343">
        <v>31780</v>
      </c>
      <c r="J452" s="343">
        <v>5959</v>
      </c>
      <c r="K452" s="343">
        <v>75882</v>
      </c>
      <c r="L452" s="231"/>
      <c r="M452" s="343">
        <v>0</v>
      </c>
      <c r="N452" s="343">
        <v>0</v>
      </c>
      <c r="O452" s="343">
        <v>1674</v>
      </c>
      <c r="P452" s="343">
        <v>1674</v>
      </c>
      <c r="Q452" s="231"/>
      <c r="R452" s="343">
        <v>86859</v>
      </c>
      <c r="S452" s="343">
        <v>1930</v>
      </c>
      <c r="T452" s="343">
        <v>88789</v>
      </c>
    </row>
    <row r="453" spans="1:20">
      <c r="A453" s="349">
        <v>94431</v>
      </c>
      <c r="B453" s="342" t="s">
        <v>1143</v>
      </c>
      <c r="C453" s="234">
        <v>4.1829999999999998E-4</v>
      </c>
      <c r="D453" s="234">
        <v>3.882E-4</v>
      </c>
      <c r="E453" s="343">
        <v>1142345</v>
      </c>
      <c r="F453" s="231"/>
      <c r="G453" s="343">
        <v>195598</v>
      </c>
      <c r="H453" s="343">
        <v>27864</v>
      </c>
      <c r="I453" s="343">
        <v>186183</v>
      </c>
      <c r="J453" s="343">
        <v>234610</v>
      </c>
      <c r="K453" s="343">
        <v>644255</v>
      </c>
      <c r="L453" s="231"/>
      <c r="M453" s="343">
        <v>0</v>
      </c>
      <c r="N453" s="343">
        <v>0</v>
      </c>
      <c r="O453" s="343">
        <v>0</v>
      </c>
      <c r="P453" s="343">
        <v>0</v>
      </c>
      <c r="Q453" s="231"/>
      <c r="R453" s="343">
        <v>508867</v>
      </c>
      <c r="S453" s="343">
        <v>109540</v>
      </c>
      <c r="T453" s="343">
        <v>618407</v>
      </c>
    </row>
    <row r="454" spans="1:20">
      <c r="A454" s="349">
        <v>94437</v>
      </c>
      <c r="B454" s="342" t="s">
        <v>1144</v>
      </c>
      <c r="C454" s="234">
        <v>1.49E-5</v>
      </c>
      <c r="D454" s="234">
        <v>1.63E-5</v>
      </c>
      <c r="E454" s="343">
        <v>40691</v>
      </c>
      <c r="F454" s="231"/>
      <c r="G454" s="343">
        <v>6967</v>
      </c>
      <c r="H454" s="343">
        <v>993</v>
      </c>
      <c r="I454" s="343">
        <v>6632</v>
      </c>
      <c r="J454" s="343">
        <v>11402</v>
      </c>
      <c r="K454" s="343">
        <v>25994</v>
      </c>
      <c r="L454" s="231"/>
      <c r="M454" s="343">
        <v>0</v>
      </c>
      <c r="N454" s="343">
        <v>0</v>
      </c>
      <c r="O454" s="343">
        <v>0</v>
      </c>
      <c r="P454" s="343">
        <v>0</v>
      </c>
      <c r="Q454" s="231"/>
      <c r="R454" s="343">
        <v>18126</v>
      </c>
      <c r="S454" s="343">
        <v>6155</v>
      </c>
      <c r="T454" s="343">
        <v>24281</v>
      </c>
    </row>
    <row r="455" spans="1:20">
      <c r="A455" s="349">
        <v>94501</v>
      </c>
      <c r="B455" s="342" t="s">
        <v>1145</v>
      </c>
      <c r="C455" s="234">
        <v>5.9772999999999996E-3</v>
      </c>
      <c r="D455" s="234">
        <v>5.8639E-3</v>
      </c>
      <c r="E455" s="343">
        <v>16323540</v>
      </c>
      <c r="F455" s="231"/>
      <c r="G455" s="343">
        <v>2795003</v>
      </c>
      <c r="H455" s="343">
        <v>398154</v>
      </c>
      <c r="I455" s="343">
        <v>2660466</v>
      </c>
      <c r="J455" s="343">
        <v>155195</v>
      </c>
      <c r="K455" s="343">
        <v>6008818</v>
      </c>
      <c r="L455" s="231"/>
      <c r="M455" s="343">
        <v>0</v>
      </c>
      <c r="N455" s="343">
        <v>0</v>
      </c>
      <c r="O455" s="343">
        <v>5784</v>
      </c>
      <c r="P455" s="343">
        <v>5784</v>
      </c>
      <c r="Q455" s="231"/>
      <c r="R455" s="343">
        <v>7271463</v>
      </c>
      <c r="S455" s="343">
        <v>79086</v>
      </c>
      <c r="T455" s="343">
        <v>7350549</v>
      </c>
    </row>
    <row r="456" spans="1:20">
      <c r="A456" s="349">
        <v>94511</v>
      </c>
      <c r="B456" s="342" t="s">
        <v>1146</v>
      </c>
      <c r="C456" s="234">
        <v>2.0183000000000002E-3</v>
      </c>
      <c r="D456" s="234">
        <v>1.9548999999999999E-3</v>
      </c>
      <c r="E456" s="343">
        <v>5511820</v>
      </c>
      <c r="F456" s="231"/>
      <c r="G456" s="343">
        <v>943763</v>
      </c>
      <c r="H456" s="343">
        <v>134441</v>
      </c>
      <c r="I456" s="343">
        <v>898335</v>
      </c>
      <c r="J456" s="343">
        <v>20245</v>
      </c>
      <c r="K456" s="343">
        <v>1996784</v>
      </c>
      <c r="L456" s="231"/>
      <c r="M456" s="343">
        <v>0</v>
      </c>
      <c r="N456" s="343">
        <v>0</v>
      </c>
      <c r="O456" s="343">
        <v>27110</v>
      </c>
      <c r="P456" s="343">
        <v>27110</v>
      </c>
      <c r="Q456" s="231"/>
      <c r="R456" s="343">
        <v>2455288</v>
      </c>
      <c r="S456" s="343">
        <v>55059</v>
      </c>
      <c r="T456" s="343">
        <v>2510347</v>
      </c>
    </row>
    <row r="457" spans="1:20">
      <c r="A457" s="349">
        <v>94517</v>
      </c>
      <c r="B457" s="342" t="s">
        <v>2807</v>
      </c>
      <c r="C457" s="234">
        <v>5.4799999999999997E-5</v>
      </c>
      <c r="D457" s="234">
        <v>3.6199999999999999E-5</v>
      </c>
      <c r="E457" s="343">
        <v>149655</v>
      </c>
      <c r="F457" s="231"/>
      <c r="G457" s="343">
        <v>25625</v>
      </c>
      <c r="H457" s="343">
        <v>3651</v>
      </c>
      <c r="I457" s="343">
        <v>24391</v>
      </c>
      <c r="J457" s="343">
        <v>31190</v>
      </c>
      <c r="K457" s="343">
        <v>84857</v>
      </c>
      <c r="L457" s="231"/>
      <c r="M457" s="343">
        <v>0</v>
      </c>
      <c r="N457" s="343">
        <v>0</v>
      </c>
      <c r="O457" s="343">
        <v>0</v>
      </c>
      <c r="P457" s="343">
        <v>0</v>
      </c>
      <c r="Q457" s="231"/>
      <c r="R457" s="343">
        <v>66665</v>
      </c>
      <c r="S457" s="343">
        <v>11780</v>
      </c>
      <c r="T457" s="343">
        <v>78445</v>
      </c>
    </row>
    <row r="458" spans="1:20">
      <c r="A458" s="349">
        <v>94521</v>
      </c>
      <c r="B458" s="342" t="s">
        <v>1149</v>
      </c>
      <c r="C458" s="234">
        <v>1.4990000000000001E-4</v>
      </c>
      <c r="D458" s="234">
        <v>1.5880000000000001E-4</v>
      </c>
      <c r="E458" s="343">
        <v>409365</v>
      </c>
      <c r="F458" s="231"/>
      <c r="G458" s="343">
        <v>70094</v>
      </c>
      <c r="H458" s="343">
        <v>9985</v>
      </c>
      <c r="I458" s="343">
        <v>66720</v>
      </c>
      <c r="J458" s="343">
        <v>5912</v>
      </c>
      <c r="K458" s="343">
        <v>152711</v>
      </c>
      <c r="L458" s="231"/>
      <c r="M458" s="343">
        <v>0</v>
      </c>
      <c r="N458" s="343">
        <v>0</v>
      </c>
      <c r="O458" s="343">
        <v>26869</v>
      </c>
      <c r="P458" s="343">
        <v>26869</v>
      </c>
      <c r="Q458" s="231"/>
      <c r="R458" s="343">
        <v>182355</v>
      </c>
      <c r="S458" s="343">
        <v>-6674</v>
      </c>
      <c r="T458" s="343">
        <v>175681</v>
      </c>
    </row>
    <row r="459" spans="1:20">
      <c r="A459" s="349">
        <v>94527</v>
      </c>
      <c r="B459" s="342" t="s">
        <v>1150</v>
      </c>
      <c r="C459" s="234">
        <v>6.8000000000000001E-6</v>
      </c>
      <c r="D459" s="234">
        <v>6.6000000000000003E-6</v>
      </c>
      <c r="E459" s="343">
        <v>18570</v>
      </c>
      <c r="F459" s="231"/>
      <c r="G459" s="343">
        <v>3180</v>
      </c>
      <c r="H459" s="343">
        <v>453</v>
      </c>
      <c r="I459" s="343">
        <v>3027</v>
      </c>
      <c r="J459" s="343">
        <v>526</v>
      </c>
      <c r="K459" s="343">
        <v>7186</v>
      </c>
      <c r="L459" s="231"/>
      <c r="M459" s="343">
        <v>0</v>
      </c>
      <c r="N459" s="343">
        <v>0</v>
      </c>
      <c r="O459" s="343">
        <v>1154</v>
      </c>
      <c r="P459" s="343">
        <v>1154</v>
      </c>
      <c r="Q459" s="231"/>
      <c r="R459" s="343">
        <v>8272</v>
      </c>
      <c r="S459" s="343">
        <v>-781</v>
      </c>
      <c r="T459" s="343">
        <v>7491</v>
      </c>
    </row>
    <row r="460" spans="1:20">
      <c r="A460" s="349">
        <v>94531</v>
      </c>
      <c r="B460" s="342" t="s">
        <v>1151</v>
      </c>
      <c r="C460" s="234">
        <v>2.3099999999999999E-5</v>
      </c>
      <c r="D460" s="234">
        <v>1.4E-5</v>
      </c>
      <c r="E460" s="343">
        <v>63084</v>
      </c>
      <c r="F460" s="231"/>
      <c r="G460" s="343">
        <v>10802</v>
      </c>
      <c r="H460" s="343">
        <v>1539</v>
      </c>
      <c r="I460" s="343">
        <v>10282</v>
      </c>
      <c r="J460" s="343">
        <v>15853</v>
      </c>
      <c r="K460" s="343">
        <v>38476</v>
      </c>
      <c r="L460" s="231"/>
      <c r="M460" s="343">
        <v>0</v>
      </c>
      <c r="N460" s="343">
        <v>0</v>
      </c>
      <c r="O460" s="343">
        <v>0</v>
      </c>
      <c r="P460" s="343">
        <v>0</v>
      </c>
      <c r="Q460" s="231"/>
      <c r="R460" s="343">
        <v>28101</v>
      </c>
      <c r="S460" s="343">
        <v>5524</v>
      </c>
      <c r="T460" s="343">
        <v>33625</v>
      </c>
    </row>
    <row r="461" spans="1:20">
      <c r="A461" s="349">
        <v>94532</v>
      </c>
      <c r="B461" s="342" t="s">
        <v>1152</v>
      </c>
      <c r="C461" s="234">
        <v>1.0060000000000001E-4</v>
      </c>
      <c r="D461" s="234">
        <v>1.0280000000000001E-4</v>
      </c>
      <c r="E461" s="343">
        <v>274731</v>
      </c>
      <c r="F461" s="231"/>
      <c r="G461" s="343">
        <v>47041</v>
      </c>
      <c r="H461" s="343">
        <v>6701</v>
      </c>
      <c r="I461" s="343">
        <v>44777</v>
      </c>
      <c r="J461" s="343">
        <v>7730</v>
      </c>
      <c r="K461" s="343">
        <v>106249</v>
      </c>
      <c r="L461" s="231"/>
      <c r="M461" s="343">
        <v>0</v>
      </c>
      <c r="N461" s="343">
        <v>0</v>
      </c>
      <c r="O461" s="343">
        <v>2265</v>
      </c>
      <c r="P461" s="343">
        <v>2265</v>
      </c>
      <c r="Q461" s="231"/>
      <c r="R461" s="343">
        <v>122381</v>
      </c>
      <c r="S461" s="343">
        <v>-76</v>
      </c>
      <c r="T461" s="343">
        <v>122305</v>
      </c>
    </row>
    <row r="462" spans="1:20">
      <c r="A462" s="349">
        <v>94541</v>
      </c>
      <c r="B462" s="342" t="s">
        <v>1153</v>
      </c>
      <c r="C462" s="234">
        <v>2.7750000000000002E-4</v>
      </c>
      <c r="D462" s="234">
        <v>2.8219999999999997E-4</v>
      </c>
      <c r="E462" s="343">
        <v>757831</v>
      </c>
      <c r="F462" s="231"/>
      <c r="G462" s="343">
        <v>129760</v>
      </c>
      <c r="H462" s="343">
        <v>18484</v>
      </c>
      <c r="I462" s="343">
        <v>123514</v>
      </c>
      <c r="J462" s="343">
        <v>0</v>
      </c>
      <c r="K462" s="343">
        <v>271758</v>
      </c>
      <c r="L462" s="231"/>
      <c r="M462" s="343">
        <v>0</v>
      </c>
      <c r="N462" s="343">
        <v>0</v>
      </c>
      <c r="O462" s="343">
        <v>28230</v>
      </c>
      <c r="P462" s="343">
        <v>28230</v>
      </c>
      <c r="Q462" s="231"/>
      <c r="R462" s="343">
        <v>337582</v>
      </c>
      <c r="S462" s="343">
        <v>-15372</v>
      </c>
      <c r="T462" s="343">
        <v>322210</v>
      </c>
    </row>
    <row r="463" spans="1:20">
      <c r="A463" s="349">
        <v>94547</v>
      </c>
      <c r="B463" s="342" t="s">
        <v>1154</v>
      </c>
      <c r="C463" s="234">
        <v>1.1E-5</v>
      </c>
      <c r="D463" s="234">
        <v>1.01E-5</v>
      </c>
      <c r="E463" s="343">
        <v>30040</v>
      </c>
      <c r="F463" s="231"/>
      <c r="G463" s="343">
        <v>5144</v>
      </c>
      <c r="H463" s="343">
        <v>733</v>
      </c>
      <c r="I463" s="343">
        <v>4896</v>
      </c>
      <c r="J463" s="343">
        <v>8055</v>
      </c>
      <c r="K463" s="343">
        <v>18828</v>
      </c>
      <c r="L463" s="231"/>
      <c r="M463" s="343">
        <v>0</v>
      </c>
      <c r="N463" s="343">
        <v>0</v>
      </c>
      <c r="O463" s="343">
        <v>0</v>
      </c>
      <c r="P463" s="343">
        <v>0</v>
      </c>
      <c r="Q463" s="231"/>
      <c r="R463" s="343">
        <v>13382</v>
      </c>
      <c r="S463" s="343">
        <v>2846</v>
      </c>
      <c r="T463" s="343">
        <v>16228</v>
      </c>
    </row>
    <row r="464" spans="1:20">
      <c r="A464" s="349">
        <v>94551</v>
      </c>
      <c r="B464" s="342" t="s">
        <v>1155</v>
      </c>
      <c r="C464" s="234">
        <v>5.3000000000000001E-5</v>
      </c>
      <c r="D464" s="234">
        <v>4.9200000000000003E-5</v>
      </c>
      <c r="E464" s="343">
        <v>144739</v>
      </c>
      <c r="F464" s="231"/>
      <c r="G464" s="343">
        <v>24783</v>
      </c>
      <c r="H464" s="343">
        <v>3530</v>
      </c>
      <c r="I464" s="343">
        <v>23590</v>
      </c>
      <c r="J464" s="343">
        <v>11449</v>
      </c>
      <c r="K464" s="343">
        <v>63352</v>
      </c>
      <c r="L464" s="231"/>
      <c r="M464" s="343">
        <v>0</v>
      </c>
      <c r="N464" s="343">
        <v>0</v>
      </c>
      <c r="O464" s="343">
        <v>0</v>
      </c>
      <c r="P464" s="343">
        <v>0</v>
      </c>
      <c r="Q464" s="231"/>
      <c r="R464" s="343">
        <v>64475</v>
      </c>
      <c r="S464" s="343">
        <v>5002</v>
      </c>
      <c r="T464" s="343">
        <v>69477</v>
      </c>
    </row>
    <row r="465" spans="1:20">
      <c r="A465" s="349">
        <v>94601</v>
      </c>
      <c r="B465" s="342" t="s">
        <v>1156</v>
      </c>
      <c r="C465" s="234">
        <v>9.1859999999999999E-4</v>
      </c>
      <c r="D465" s="234">
        <v>1.0712E-3</v>
      </c>
      <c r="E465" s="343">
        <v>2508625</v>
      </c>
      <c r="F465" s="231"/>
      <c r="G465" s="343">
        <v>429540</v>
      </c>
      <c r="H465" s="343">
        <v>61189</v>
      </c>
      <c r="I465" s="343">
        <v>408864</v>
      </c>
      <c r="J465" s="343">
        <v>46666</v>
      </c>
      <c r="K465" s="343">
        <v>946259</v>
      </c>
      <c r="L465" s="231"/>
      <c r="M465" s="343">
        <v>0</v>
      </c>
      <c r="N465" s="343">
        <v>0</v>
      </c>
      <c r="O465" s="343">
        <v>103974</v>
      </c>
      <c r="P465" s="343">
        <v>103974</v>
      </c>
      <c r="Q465" s="231"/>
      <c r="R465" s="343">
        <v>1117489</v>
      </c>
      <c r="S465" s="343">
        <v>-966</v>
      </c>
      <c r="T465" s="343">
        <v>1116523</v>
      </c>
    </row>
    <row r="466" spans="1:20">
      <c r="A466" s="349">
        <v>94604</v>
      </c>
      <c r="B466" s="342" t="s">
        <v>1157</v>
      </c>
      <c r="C466" s="234">
        <v>2.6100000000000001E-5</v>
      </c>
      <c r="D466" s="234">
        <v>2.7699999999999999E-5</v>
      </c>
      <c r="E466" s="343">
        <v>71277</v>
      </c>
      <c r="F466" s="231"/>
      <c r="G466" s="343">
        <v>12204</v>
      </c>
      <c r="H466" s="343">
        <v>1739</v>
      </c>
      <c r="I466" s="343">
        <v>11617</v>
      </c>
      <c r="J466" s="343">
        <v>2425</v>
      </c>
      <c r="K466" s="343">
        <v>27985</v>
      </c>
      <c r="L466" s="231"/>
      <c r="M466" s="343">
        <v>0</v>
      </c>
      <c r="N466" s="343">
        <v>0</v>
      </c>
      <c r="O466" s="343">
        <v>0</v>
      </c>
      <c r="P466" s="343">
        <v>0</v>
      </c>
      <c r="Q466" s="231"/>
      <c r="R466" s="343">
        <v>31751</v>
      </c>
      <c r="S466" s="343">
        <v>1169</v>
      </c>
      <c r="T466" s="343">
        <v>32920</v>
      </c>
    </row>
    <row r="467" spans="1:20">
      <c r="A467" s="349">
        <v>94611</v>
      </c>
      <c r="B467" s="342" t="s">
        <v>1159</v>
      </c>
      <c r="C467" s="234">
        <v>3.4459999999999997E-4</v>
      </c>
      <c r="D467" s="234">
        <v>3.5149999999999998E-4</v>
      </c>
      <c r="E467" s="343">
        <v>941076</v>
      </c>
      <c r="F467" s="231"/>
      <c r="G467" s="343">
        <v>161136</v>
      </c>
      <c r="H467" s="343">
        <v>22955</v>
      </c>
      <c r="I467" s="343">
        <v>153380</v>
      </c>
      <c r="J467" s="343">
        <v>26</v>
      </c>
      <c r="K467" s="343">
        <v>337497</v>
      </c>
      <c r="L467" s="231"/>
      <c r="M467" s="343">
        <v>0</v>
      </c>
      <c r="N467" s="343">
        <v>0</v>
      </c>
      <c r="O467" s="343">
        <v>22451</v>
      </c>
      <c r="P467" s="343">
        <v>22451</v>
      </c>
      <c r="Q467" s="231"/>
      <c r="R467" s="343">
        <v>419210</v>
      </c>
      <c r="S467" s="343">
        <v>-8590</v>
      </c>
      <c r="T467" s="343">
        <v>410620</v>
      </c>
    </row>
    <row r="468" spans="1:20">
      <c r="A468" s="349">
        <v>94621</v>
      </c>
      <c r="B468" s="342" t="s">
        <v>1160</v>
      </c>
      <c r="C468" s="234">
        <v>1.3320000000000001E-4</v>
      </c>
      <c r="D468" s="234">
        <v>1.0450000000000001E-4</v>
      </c>
      <c r="E468" s="343">
        <v>363759</v>
      </c>
      <c r="F468" s="231"/>
      <c r="G468" s="343">
        <v>62285</v>
      </c>
      <c r="H468" s="343">
        <v>8872</v>
      </c>
      <c r="I468" s="343">
        <v>59287</v>
      </c>
      <c r="J468" s="343">
        <v>40874</v>
      </c>
      <c r="K468" s="343">
        <v>171318</v>
      </c>
      <c r="L468" s="231"/>
      <c r="M468" s="343">
        <v>0</v>
      </c>
      <c r="N468" s="343">
        <v>0</v>
      </c>
      <c r="O468" s="343">
        <v>3233</v>
      </c>
      <c r="P468" s="343">
        <v>3233</v>
      </c>
      <c r="Q468" s="231"/>
      <c r="R468" s="343">
        <v>162040</v>
      </c>
      <c r="S468" s="343">
        <v>4570</v>
      </c>
      <c r="T468" s="343">
        <v>166610</v>
      </c>
    </row>
    <row r="469" spans="1:20">
      <c r="A469" s="349">
        <v>94631</v>
      </c>
      <c r="B469" s="342" t="s">
        <v>1161</v>
      </c>
      <c r="C469" s="234">
        <v>4.2599999999999999E-5</v>
      </c>
      <c r="D469" s="234">
        <v>4.4799999999999998E-5</v>
      </c>
      <c r="E469" s="343">
        <v>116337</v>
      </c>
      <c r="F469" s="231"/>
      <c r="G469" s="343">
        <v>19920</v>
      </c>
      <c r="H469" s="343">
        <v>2837</v>
      </c>
      <c r="I469" s="343">
        <v>18961</v>
      </c>
      <c r="J469" s="343">
        <v>4362</v>
      </c>
      <c r="K469" s="343">
        <v>46080</v>
      </c>
      <c r="L469" s="231"/>
      <c r="M469" s="343">
        <v>0</v>
      </c>
      <c r="N469" s="343">
        <v>0</v>
      </c>
      <c r="O469" s="343">
        <v>2075</v>
      </c>
      <c r="P469" s="343">
        <v>2075</v>
      </c>
      <c r="Q469" s="231"/>
      <c r="R469" s="343">
        <v>51823</v>
      </c>
      <c r="S469" s="343">
        <v>2154</v>
      </c>
      <c r="T469" s="343">
        <v>53977</v>
      </c>
    </row>
    <row r="470" spans="1:20">
      <c r="A470" s="349">
        <v>94641</v>
      </c>
      <c r="B470" s="342" t="s">
        <v>1162</v>
      </c>
      <c r="C470" s="234">
        <v>1.04E-5</v>
      </c>
      <c r="D470" s="234">
        <v>3.5999999999999998E-6</v>
      </c>
      <c r="E470" s="343">
        <v>28402</v>
      </c>
      <c r="F470" s="231"/>
      <c r="G470" s="343">
        <v>4863</v>
      </c>
      <c r="H470" s="343">
        <v>693</v>
      </c>
      <c r="I470" s="343">
        <v>4629</v>
      </c>
      <c r="J470" s="343">
        <v>10921</v>
      </c>
      <c r="K470" s="343">
        <v>21106</v>
      </c>
      <c r="L470" s="231"/>
      <c r="M470" s="343">
        <v>0</v>
      </c>
      <c r="N470" s="343">
        <v>0</v>
      </c>
      <c r="O470" s="343">
        <v>0</v>
      </c>
      <c r="P470" s="343">
        <v>0</v>
      </c>
      <c r="Q470" s="231"/>
      <c r="R470" s="343">
        <v>12652</v>
      </c>
      <c r="S470" s="343">
        <v>3997</v>
      </c>
      <c r="T470" s="343">
        <v>16649</v>
      </c>
    </row>
    <row r="471" spans="1:20">
      <c r="A471" s="349">
        <v>94701</v>
      </c>
      <c r="B471" s="342" t="s">
        <v>1163</v>
      </c>
      <c r="C471" s="234">
        <v>2.4202999999999998E-3</v>
      </c>
      <c r="D471" s="234">
        <v>2.3993999999999999E-3</v>
      </c>
      <c r="E471" s="343">
        <v>6609651</v>
      </c>
      <c r="F471" s="231"/>
      <c r="G471" s="343">
        <v>1131740</v>
      </c>
      <c r="H471" s="343">
        <v>161218</v>
      </c>
      <c r="I471" s="343">
        <v>1077263</v>
      </c>
      <c r="J471" s="343">
        <v>41827</v>
      </c>
      <c r="K471" s="343">
        <v>2412048</v>
      </c>
      <c r="L471" s="231"/>
      <c r="M471" s="343">
        <v>0</v>
      </c>
      <c r="N471" s="343">
        <v>0</v>
      </c>
      <c r="O471" s="343">
        <v>125539</v>
      </c>
      <c r="P471" s="343">
        <v>125539</v>
      </c>
      <c r="Q471" s="231"/>
      <c r="R471" s="343">
        <v>2944326</v>
      </c>
      <c r="S471" s="343">
        <v>-37549</v>
      </c>
      <c r="T471" s="343">
        <v>2906777</v>
      </c>
    </row>
    <row r="472" spans="1:20">
      <c r="A472" s="349">
        <v>94704</v>
      </c>
      <c r="B472" s="342" t="s">
        <v>1164</v>
      </c>
      <c r="C472" s="234">
        <v>1.5299999999999999E-5</v>
      </c>
      <c r="D472" s="234">
        <v>1.63E-5</v>
      </c>
      <c r="E472" s="343">
        <v>41783</v>
      </c>
      <c r="F472" s="231"/>
      <c r="G472" s="343">
        <v>7154</v>
      </c>
      <c r="H472" s="343">
        <v>1019</v>
      </c>
      <c r="I472" s="343">
        <v>6810</v>
      </c>
      <c r="J472" s="343">
        <v>3695</v>
      </c>
      <c r="K472" s="343">
        <v>18678</v>
      </c>
      <c r="L472" s="231"/>
      <c r="M472" s="343">
        <v>0</v>
      </c>
      <c r="N472" s="343">
        <v>0</v>
      </c>
      <c r="O472" s="343">
        <v>79</v>
      </c>
      <c r="P472" s="343">
        <v>79</v>
      </c>
      <c r="Q472" s="231"/>
      <c r="R472" s="343">
        <v>18613</v>
      </c>
      <c r="S472" s="343">
        <v>1201</v>
      </c>
      <c r="T472" s="343">
        <v>19814</v>
      </c>
    </row>
    <row r="473" spans="1:20">
      <c r="A473" s="349">
        <v>94711</v>
      </c>
      <c r="B473" s="342" t="s">
        <v>1165</v>
      </c>
      <c r="C473" s="234">
        <v>3.3819999999999998E-4</v>
      </c>
      <c r="D473" s="234">
        <v>3.3589999999999998E-4</v>
      </c>
      <c r="E473" s="343">
        <v>923598</v>
      </c>
      <c r="F473" s="231"/>
      <c r="G473" s="343">
        <v>158143</v>
      </c>
      <c r="H473" s="343">
        <v>22528</v>
      </c>
      <c r="I473" s="343">
        <v>150531</v>
      </c>
      <c r="J473" s="343">
        <v>10964</v>
      </c>
      <c r="K473" s="343">
        <v>342166</v>
      </c>
      <c r="L473" s="231"/>
      <c r="M473" s="343">
        <v>0</v>
      </c>
      <c r="N473" s="343">
        <v>0</v>
      </c>
      <c r="O473" s="343">
        <v>1524</v>
      </c>
      <c r="P473" s="343">
        <v>1524</v>
      </c>
      <c r="Q473" s="231"/>
      <c r="R473" s="343">
        <v>411425</v>
      </c>
      <c r="S473" s="343">
        <v>5674</v>
      </c>
      <c r="T473" s="343">
        <v>417099</v>
      </c>
    </row>
    <row r="474" spans="1:20">
      <c r="A474" s="349">
        <v>94801</v>
      </c>
      <c r="B474" s="342" t="s">
        <v>1166</v>
      </c>
      <c r="C474" s="234">
        <v>6.8429999999999999E-4</v>
      </c>
      <c r="D474" s="234">
        <v>6.7719999999999998E-4</v>
      </c>
      <c r="E474" s="343">
        <v>1868770</v>
      </c>
      <c r="F474" s="231"/>
      <c r="G474" s="343">
        <v>319981</v>
      </c>
      <c r="H474" s="343">
        <v>45582</v>
      </c>
      <c r="I474" s="343">
        <v>304579</v>
      </c>
      <c r="J474" s="343">
        <v>12982</v>
      </c>
      <c r="K474" s="343">
        <v>683124</v>
      </c>
      <c r="L474" s="231"/>
      <c r="M474" s="343">
        <v>0</v>
      </c>
      <c r="N474" s="343">
        <v>0</v>
      </c>
      <c r="O474" s="343">
        <v>26499</v>
      </c>
      <c r="P474" s="343">
        <v>26499</v>
      </c>
      <c r="Q474" s="231"/>
      <c r="R474" s="343">
        <v>832460</v>
      </c>
      <c r="S474" s="343">
        <v>6924</v>
      </c>
      <c r="T474" s="343">
        <v>839384</v>
      </c>
    </row>
    <row r="475" spans="1:20">
      <c r="A475" s="349">
        <v>94804</v>
      </c>
      <c r="B475" s="342" t="s">
        <v>1167</v>
      </c>
      <c r="C475" s="234">
        <v>2.7999999999999999E-6</v>
      </c>
      <c r="D475" s="234">
        <v>3.3000000000000002E-6</v>
      </c>
      <c r="E475" s="343">
        <v>7647</v>
      </c>
      <c r="F475" s="231"/>
      <c r="G475" s="343">
        <v>1309</v>
      </c>
      <c r="H475" s="343">
        <v>186</v>
      </c>
      <c r="I475" s="343">
        <v>1246</v>
      </c>
      <c r="J475" s="343">
        <v>1736</v>
      </c>
      <c r="K475" s="343">
        <v>4477</v>
      </c>
      <c r="L475" s="231"/>
      <c r="M475" s="343">
        <v>0</v>
      </c>
      <c r="N475" s="343">
        <v>0</v>
      </c>
      <c r="O475" s="343">
        <v>66</v>
      </c>
      <c r="P475" s="343">
        <v>66</v>
      </c>
      <c r="Q475" s="231"/>
      <c r="R475" s="343">
        <v>3406</v>
      </c>
      <c r="S475" s="343">
        <v>512</v>
      </c>
      <c r="T475" s="343">
        <v>3918</v>
      </c>
    </row>
    <row r="476" spans="1:20">
      <c r="A476" s="349">
        <v>94812</v>
      </c>
      <c r="B476" s="342" t="s">
        <v>2791</v>
      </c>
      <c r="C476" s="234">
        <v>3.0000000000000001E-5</v>
      </c>
      <c r="D476" s="234">
        <v>3.2100000000000001E-5</v>
      </c>
      <c r="E476" s="343">
        <v>81928</v>
      </c>
      <c r="F476" s="231"/>
      <c r="G476" s="343">
        <v>14028</v>
      </c>
      <c r="H476" s="343">
        <v>1998</v>
      </c>
      <c r="I476" s="343">
        <v>13353</v>
      </c>
      <c r="J476" s="343">
        <v>8547</v>
      </c>
      <c r="K476" s="343">
        <v>37926</v>
      </c>
      <c r="L476" s="231"/>
      <c r="M476" s="343">
        <v>0</v>
      </c>
      <c r="N476" s="343">
        <v>0</v>
      </c>
      <c r="O476" s="343">
        <v>0</v>
      </c>
      <c r="P476" s="343">
        <v>0</v>
      </c>
      <c r="Q476" s="231"/>
      <c r="R476" s="343">
        <v>36495</v>
      </c>
      <c r="S476" s="343">
        <v>5057</v>
      </c>
      <c r="T476" s="343">
        <v>41552</v>
      </c>
    </row>
    <row r="477" spans="1:20">
      <c r="A477" s="349">
        <v>94901</v>
      </c>
      <c r="B477" s="342" t="s">
        <v>1169</v>
      </c>
      <c r="C477" s="234">
        <v>7.2372000000000001E-3</v>
      </c>
      <c r="D477" s="234">
        <v>7.1234000000000002E-3</v>
      </c>
      <c r="E477" s="343">
        <v>19764229</v>
      </c>
      <c r="F477" s="231"/>
      <c r="G477" s="343">
        <v>3384136</v>
      </c>
      <c r="H477" s="343">
        <v>482077</v>
      </c>
      <c r="I477" s="343">
        <v>3221242</v>
      </c>
      <c r="J477" s="343">
        <v>228436</v>
      </c>
      <c r="K477" s="343">
        <v>7315891</v>
      </c>
      <c r="L477" s="231"/>
      <c r="M477" s="343">
        <v>0</v>
      </c>
      <c r="N477" s="343">
        <v>0</v>
      </c>
      <c r="O477" s="343">
        <v>38214</v>
      </c>
      <c r="P477" s="343">
        <v>38214</v>
      </c>
      <c r="Q477" s="231"/>
      <c r="R477" s="343">
        <v>8804148</v>
      </c>
      <c r="S477" s="343">
        <v>29944</v>
      </c>
      <c r="T477" s="343">
        <v>8834092</v>
      </c>
    </row>
    <row r="478" spans="1:20" ht="30">
      <c r="A478" s="349">
        <v>94908</v>
      </c>
      <c r="B478" s="342" t="s">
        <v>3675</v>
      </c>
      <c r="C478" s="234">
        <v>5.9000000000000003E-6</v>
      </c>
      <c r="D478" s="234">
        <v>6.8000000000000001E-6</v>
      </c>
      <c r="E478" s="343">
        <v>16112</v>
      </c>
      <c r="F478" s="231"/>
      <c r="G478" s="343">
        <v>2759</v>
      </c>
      <c r="H478" s="343">
        <v>393</v>
      </c>
      <c r="I478" s="343">
        <v>2626</v>
      </c>
      <c r="J478" s="343">
        <v>9654</v>
      </c>
      <c r="K478" s="343">
        <v>15432</v>
      </c>
      <c r="L478" s="231"/>
      <c r="M478" s="343">
        <v>0</v>
      </c>
      <c r="N478" s="343">
        <v>0</v>
      </c>
      <c r="O478" s="343">
        <v>9694</v>
      </c>
      <c r="P478" s="343">
        <v>9694</v>
      </c>
      <c r="Q478" s="231"/>
      <c r="R478" s="343">
        <v>7177</v>
      </c>
      <c r="S478" s="343">
        <v>-3195</v>
      </c>
      <c r="T478" s="343">
        <v>3982</v>
      </c>
    </row>
    <row r="479" spans="1:20">
      <c r="A479" s="349">
        <v>94911</v>
      </c>
      <c r="B479" s="342" t="s">
        <v>1171</v>
      </c>
      <c r="C479" s="234">
        <v>2.8782E-3</v>
      </c>
      <c r="D479" s="234">
        <v>2.9845000000000002E-3</v>
      </c>
      <c r="E479" s="343">
        <v>7860140</v>
      </c>
      <c r="F479" s="231"/>
      <c r="G479" s="343">
        <v>1345855</v>
      </c>
      <c r="H479" s="343">
        <v>191720</v>
      </c>
      <c r="I479" s="343">
        <v>1281072</v>
      </c>
      <c r="J479" s="343">
        <v>85806</v>
      </c>
      <c r="K479" s="343">
        <v>2904453</v>
      </c>
      <c r="L479" s="231"/>
      <c r="M479" s="343">
        <v>0</v>
      </c>
      <c r="N479" s="343">
        <v>0</v>
      </c>
      <c r="O479" s="343">
        <v>96281</v>
      </c>
      <c r="P479" s="343">
        <v>96281</v>
      </c>
      <c r="Q479" s="231"/>
      <c r="R479" s="343">
        <v>3501368</v>
      </c>
      <c r="S479" s="343">
        <v>601</v>
      </c>
      <c r="T479" s="343">
        <v>3501969</v>
      </c>
    </row>
    <row r="480" spans="1:20">
      <c r="A480" s="349">
        <v>94917</v>
      </c>
      <c r="B480" s="342" t="s">
        <v>1172</v>
      </c>
      <c r="C480" s="234">
        <v>3.0700000000000001E-5</v>
      </c>
      <c r="D480" s="234">
        <v>3.0899999999999999E-5</v>
      </c>
      <c r="E480" s="343">
        <v>83839</v>
      </c>
      <c r="F480" s="231"/>
      <c r="G480" s="343">
        <v>14355</v>
      </c>
      <c r="H480" s="343">
        <v>2045</v>
      </c>
      <c r="I480" s="343">
        <v>13664</v>
      </c>
      <c r="J480" s="343">
        <v>21443</v>
      </c>
      <c r="K480" s="343">
        <v>51507</v>
      </c>
      <c r="L480" s="231"/>
      <c r="M480" s="343">
        <v>0</v>
      </c>
      <c r="N480" s="343">
        <v>0</v>
      </c>
      <c r="O480" s="343">
        <v>0</v>
      </c>
      <c r="P480" s="343">
        <v>0</v>
      </c>
      <c r="Q480" s="231"/>
      <c r="R480" s="343">
        <v>37347</v>
      </c>
      <c r="S480" s="343">
        <v>9267</v>
      </c>
      <c r="T480" s="343">
        <v>46614</v>
      </c>
    </row>
    <row r="481" spans="1:20">
      <c r="A481" s="349">
        <v>94921</v>
      </c>
      <c r="B481" s="342" t="s">
        <v>1173</v>
      </c>
      <c r="C481" s="234">
        <v>3.8489000000000002E-3</v>
      </c>
      <c r="D481" s="234">
        <v>3.9271000000000002E-3</v>
      </c>
      <c r="E481" s="343">
        <v>10511046</v>
      </c>
      <c r="F481" s="231"/>
      <c r="G481" s="343">
        <v>1799757</v>
      </c>
      <c r="H481" s="343">
        <v>256379</v>
      </c>
      <c r="I481" s="343">
        <v>1713126</v>
      </c>
      <c r="J481" s="343">
        <v>9601</v>
      </c>
      <c r="K481" s="343">
        <v>3778863</v>
      </c>
      <c r="L481" s="231"/>
      <c r="M481" s="343">
        <v>0</v>
      </c>
      <c r="N481" s="343">
        <v>0</v>
      </c>
      <c r="O481" s="343">
        <v>337008</v>
      </c>
      <c r="P481" s="343">
        <v>337008</v>
      </c>
      <c r="Q481" s="231"/>
      <c r="R481" s="343">
        <v>4682237</v>
      </c>
      <c r="S481" s="343">
        <v>-195151</v>
      </c>
      <c r="T481" s="343">
        <v>4487086</v>
      </c>
    </row>
    <row r="482" spans="1:20">
      <c r="A482" s="349">
        <v>94923</v>
      </c>
      <c r="B482" s="342" t="s">
        <v>1174</v>
      </c>
      <c r="C482" s="234">
        <v>2.7800000000000001E-5</v>
      </c>
      <c r="D482" s="234">
        <v>2.9099999999999999E-5</v>
      </c>
      <c r="E482" s="343">
        <v>75920</v>
      </c>
      <c r="F482" s="231"/>
      <c r="G482" s="343">
        <v>12999</v>
      </c>
      <c r="H482" s="343">
        <v>1852</v>
      </c>
      <c r="I482" s="343">
        <v>12374</v>
      </c>
      <c r="J482" s="343">
        <v>3692</v>
      </c>
      <c r="K482" s="343">
        <v>30917</v>
      </c>
      <c r="L482" s="231"/>
      <c r="M482" s="343">
        <v>0</v>
      </c>
      <c r="N482" s="343">
        <v>0</v>
      </c>
      <c r="O482" s="343">
        <v>0</v>
      </c>
      <c r="P482" s="343">
        <v>0</v>
      </c>
      <c r="Q482" s="231"/>
      <c r="R482" s="343">
        <v>33819</v>
      </c>
      <c r="S482" s="343">
        <v>1901</v>
      </c>
      <c r="T482" s="343">
        <v>35720</v>
      </c>
    </row>
    <row r="483" spans="1:20">
      <c r="A483" s="349">
        <v>94927</v>
      </c>
      <c r="B483" s="342" t="s">
        <v>1175</v>
      </c>
      <c r="C483" s="234">
        <v>2.5299999999999998E-5</v>
      </c>
      <c r="D483" s="234">
        <v>2.76E-5</v>
      </c>
      <c r="E483" s="343">
        <v>69092</v>
      </c>
      <c r="F483" s="231"/>
      <c r="G483" s="343">
        <v>11830</v>
      </c>
      <c r="H483" s="343">
        <v>1686</v>
      </c>
      <c r="I483" s="343">
        <v>11261</v>
      </c>
      <c r="J483" s="343">
        <v>8185</v>
      </c>
      <c r="K483" s="343">
        <v>32962</v>
      </c>
      <c r="L483" s="231"/>
      <c r="M483" s="343">
        <v>0</v>
      </c>
      <c r="N483" s="343">
        <v>0</v>
      </c>
      <c r="O483" s="343">
        <v>0</v>
      </c>
      <c r="P483" s="343">
        <v>0</v>
      </c>
      <c r="Q483" s="231"/>
      <c r="R483" s="343">
        <v>30778</v>
      </c>
      <c r="S483" s="343">
        <v>2949</v>
      </c>
      <c r="T483" s="343">
        <v>33727</v>
      </c>
    </row>
    <row r="484" spans="1:20">
      <c r="A484" s="349">
        <v>94931</v>
      </c>
      <c r="B484" s="342" t="s">
        <v>1176</v>
      </c>
      <c r="C484" s="234">
        <v>2.142E-4</v>
      </c>
      <c r="D484" s="234">
        <v>2.0350000000000001E-4</v>
      </c>
      <c r="E484" s="343">
        <v>584963</v>
      </c>
      <c r="F484" s="231"/>
      <c r="G484" s="343">
        <v>100161</v>
      </c>
      <c r="H484" s="343">
        <v>14268</v>
      </c>
      <c r="I484" s="343">
        <v>95339</v>
      </c>
      <c r="J484" s="343">
        <v>10308</v>
      </c>
      <c r="K484" s="343">
        <v>220076</v>
      </c>
      <c r="L484" s="231"/>
      <c r="M484" s="343">
        <v>0</v>
      </c>
      <c r="N484" s="343">
        <v>0</v>
      </c>
      <c r="O484" s="343">
        <v>9256</v>
      </c>
      <c r="P484" s="343">
        <v>9256</v>
      </c>
      <c r="Q484" s="231"/>
      <c r="R484" s="343">
        <v>260577</v>
      </c>
      <c r="S484" s="343">
        <v>-3682</v>
      </c>
      <c r="T484" s="343">
        <v>256895</v>
      </c>
    </row>
    <row r="485" spans="1:20">
      <c r="A485" s="349">
        <v>94937</v>
      </c>
      <c r="B485" s="342" t="s">
        <v>1927</v>
      </c>
      <c r="C485" s="234">
        <v>6.9E-6</v>
      </c>
      <c r="D485" s="234">
        <v>0</v>
      </c>
      <c r="E485" s="343">
        <v>18843</v>
      </c>
      <c r="F485" s="231"/>
      <c r="G485" s="343">
        <v>3226</v>
      </c>
      <c r="H485" s="343">
        <v>460</v>
      </c>
      <c r="I485" s="343">
        <v>3071</v>
      </c>
      <c r="J485" s="343">
        <v>5936</v>
      </c>
      <c r="K485" s="343">
        <v>12693</v>
      </c>
      <c r="L485" s="231"/>
      <c r="M485" s="343">
        <v>0</v>
      </c>
      <c r="N485" s="343">
        <v>0</v>
      </c>
      <c r="O485" s="343">
        <v>0</v>
      </c>
      <c r="P485" s="343">
        <v>0</v>
      </c>
      <c r="Q485" s="231"/>
      <c r="R485" s="343">
        <v>8394</v>
      </c>
      <c r="S485" s="343">
        <v>1484</v>
      </c>
      <c r="T485" s="343">
        <v>9878</v>
      </c>
    </row>
    <row r="486" spans="1:20">
      <c r="A486" s="349">
        <v>94941</v>
      </c>
      <c r="B486" s="342" t="s">
        <v>1177</v>
      </c>
      <c r="C486" s="234">
        <v>5.865E-4</v>
      </c>
      <c r="D486" s="234">
        <v>5.4239999999999996E-4</v>
      </c>
      <c r="E486" s="343">
        <v>1601686</v>
      </c>
      <c r="F486" s="231"/>
      <c r="G486" s="343">
        <v>274249</v>
      </c>
      <c r="H486" s="343">
        <v>39067</v>
      </c>
      <c r="I486" s="343">
        <v>261048</v>
      </c>
      <c r="J486" s="343">
        <v>22301</v>
      </c>
      <c r="K486" s="343">
        <v>596665</v>
      </c>
      <c r="L486" s="231"/>
      <c r="M486" s="343">
        <v>0</v>
      </c>
      <c r="N486" s="343">
        <v>0</v>
      </c>
      <c r="O486" s="343">
        <v>29495</v>
      </c>
      <c r="P486" s="343">
        <v>29495</v>
      </c>
      <c r="Q486" s="231"/>
      <c r="R486" s="343">
        <v>713485</v>
      </c>
      <c r="S486" s="343">
        <v>9271</v>
      </c>
      <c r="T486" s="343">
        <v>722756</v>
      </c>
    </row>
    <row r="487" spans="1:20">
      <c r="A487" s="349">
        <v>94947</v>
      </c>
      <c r="B487" s="342" t="s">
        <v>1928</v>
      </c>
      <c r="C487" s="234">
        <v>5.9000000000000003E-6</v>
      </c>
      <c r="D487" s="234">
        <v>0</v>
      </c>
      <c r="E487" s="343">
        <v>16112</v>
      </c>
      <c r="F487" s="231"/>
      <c r="G487" s="343">
        <v>2759</v>
      </c>
      <c r="H487" s="343">
        <v>393</v>
      </c>
      <c r="I487" s="343">
        <v>2626</v>
      </c>
      <c r="J487" s="343">
        <v>6305</v>
      </c>
      <c r="K487" s="343">
        <v>12083</v>
      </c>
      <c r="L487" s="231"/>
      <c r="M487" s="343">
        <v>0</v>
      </c>
      <c r="N487" s="343">
        <v>0</v>
      </c>
      <c r="O487" s="343">
        <v>0</v>
      </c>
      <c r="P487" s="343">
        <v>0</v>
      </c>
      <c r="Q487" s="231"/>
      <c r="R487" s="343">
        <v>7177</v>
      </c>
      <c r="S487" s="343">
        <v>1576</v>
      </c>
      <c r="T487" s="343">
        <v>8753</v>
      </c>
    </row>
    <row r="488" spans="1:20">
      <c r="A488" s="349">
        <v>95001</v>
      </c>
      <c r="B488" s="342" t="s">
        <v>1178</v>
      </c>
      <c r="C488" s="234">
        <v>2.2818999999999999E-3</v>
      </c>
      <c r="D488" s="234">
        <v>2.3002999999999999E-3</v>
      </c>
      <c r="E488" s="343">
        <v>6231691</v>
      </c>
      <c r="F488" s="231"/>
      <c r="G488" s="343">
        <v>1067023</v>
      </c>
      <c r="H488" s="343">
        <v>152000</v>
      </c>
      <c r="I488" s="343">
        <v>1015662</v>
      </c>
      <c r="J488" s="343">
        <v>155309</v>
      </c>
      <c r="K488" s="343">
        <v>2389994</v>
      </c>
      <c r="L488" s="231"/>
      <c r="M488" s="343">
        <v>0</v>
      </c>
      <c r="N488" s="343">
        <v>0</v>
      </c>
      <c r="O488" s="343">
        <v>37098</v>
      </c>
      <c r="P488" s="343">
        <v>37098</v>
      </c>
      <c r="Q488" s="231"/>
      <c r="R488" s="343">
        <v>2775961</v>
      </c>
      <c r="S488" s="343">
        <v>62392</v>
      </c>
      <c r="T488" s="343">
        <v>2838353</v>
      </c>
    </row>
    <row r="489" spans="1:20">
      <c r="A489" s="349">
        <v>95002</v>
      </c>
      <c r="B489" s="342" t="s">
        <v>1179</v>
      </c>
      <c r="C489" s="234">
        <v>1.805E-4</v>
      </c>
      <c r="D489" s="234">
        <v>1.8589999999999999E-4</v>
      </c>
      <c r="E489" s="343">
        <v>492931</v>
      </c>
      <c r="F489" s="231"/>
      <c r="G489" s="343">
        <v>84402</v>
      </c>
      <c r="H489" s="343">
        <v>12023</v>
      </c>
      <c r="I489" s="343">
        <v>80340</v>
      </c>
      <c r="J489" s="343">
        <v>26348</v>
      </c>
      <c r="K489" s="343">
        <v>203113</v>
      </c>
      <c r="L489" s="231"/>
      <c r="M489" s="343">
        <v>0</v>
      </c>
      <c r="N489" s="343">
        <v>0</v>
      </c>
      <c r="O489" s="343">
        <v>0</v>
      </c>
      <c r="P489" s="343">
        <v>0</v>
      </c>
      <c r="Q489" s="231"/>
      <c r="R489" s="343">
        <v>219581</v>
      </c>
      <c r="S489" s="343">
        <v>10886</v>
      </c>
      <c r="T489" s="343">
        <v>230467</v>
      </c>
    </row>
    <row r="490" spans="1:20">
      <c r="A490" s="349">
        <v>95005</v>
      </c>
      <c r="B490" s="342" t="s">
        <v>1180</v>
      </c>
      <c r="C490" s="234">
        <v>1.8819999999999999E-4</v>
      </c>
      <c r="D490" s="234">
        <v>2.131E-4</v>
      </c>
      <c r="E490" s="343">
        <v>513960</v>
      </c>
      <c r="F490" s="231"/>
      <c r="G490" s="343">
        <v>88003</v>
      </c>
      <c r="H490" s="343">
        <v>12536</v>
      </c>
      <c r="I490" s="343">
        <v>83767</v>
      </c>
      <c r="J490" s="343">
        <v>0</v>
      </c>
      <c r="K490" s="343">
        <v>184306</v>
      </c>
      <c r="L490" s="231"/>
      <c r="M490" s="343">
        <v>0</v>
      </c>
      <c r="N490" s="343">
        <v>0</v>
      </c>
      <c r="O490" s="343">
        <v>10481</v>
      </c>
      <c r="P490" s="343">
        <v>10481</v>
      </c>
      <c r="Q490" s="231"/>
      <c r="R490" s="343">
        <v>228948</v>
      </c>
      <c r="S490" s="343">
        <v>1247</v>
      </c>
      <c r="T490" s="343">
        <v>230195</v>
      </c>
    </row>
    <row r="491" spans="1:20" ht="30">
      <c r="A491" s="349">
        <v>95008</v>
      </c>
      <c r="B491" s="342" t="s">
        <v>3676</v>
      </c>
      <c r="C491" s="234">
        <v>1.193E-4</v>
      </c>
      <c r="D491" s="234">
        <v>1.188E-4</v>
      </c>
      <c r="E491" s="343">
        <v>325799</v>
      </c>
      <c r="F491" s="231"/>
      <c r="G491" s="343">
        <v>55785</v>
      </c>
      <c r="H491" s="343">
        <v>7946</v>
      </c>
      <c r="I491" s="343">
        <v>53100</v>
      </c>
      <c r="J491" s="343">
        <v>19310</v>
      </c>
      <c r="K491" s="343">
        <v>136141</v>
      </c>
      <c r="L491" s="231"/>
      <c r="M491" s="343">
        <v>0</v>
      </c>
      <c r="N491" s="343">
        <v>0</v>
      </c>
      <c r="O491" s="343">
        <v>1877</v>
      </c>
      <c r="P491" s="343">
        <v>1877</v>
      </c>
      <c r="Q491" s="231"/>
      <c r="R491" s="343">
        <v>145130</v>
      </c>
      <c r="S491" s="343">
        <v>7016</v>
      </c>
      <c r="T491" s="343">
        <v>152146</v>
      </c>
    </row>
    <row r="492" spans="1:20">
      <c r="A492" s="349">
        <v>95009</v>
      </c>
      <c r="B492" s="342" t="s">
        <v>1182</v>
      </c>
      <c r="C492" s="234">
        <v>4.0723000000000001E-3</v>
      </c>
      <c r="D492" s="234">
        <v>4.0277999999999998E-3</v>
      </c>
      <c r="E492" s="343">
        <v>11121134</v>
      </c>
      <c r="F492" s="231"/>
      <c r="G492" s="343">
        <v>1904220</v>
      </c>
      <c r="H492" s="343">
        <v>271260</v>
      </c>
      <c r="I492" s="343">
        <v>1812560</v>
      </c>
      <c r="J492" s="343">
        <v>116692</v>
      </c>
      <c r="K492" s="343">
        <v>4104732</v>
      </c>
      <c r="L492" s="231"/>
      <c r="M492" s="343">
        <v>0</v>
      </c>
      <c r="N492" s="343">
        <v>0</v>
      </c>
      <c r="O492" s="343">
        <v>144383</v>
      </c>
      <c r="P492" s="343">
        <v>144383</v>
      </c>
      <c r="Q492" s="231"/>
      <c r="R492" s="343">
        <v>4954006</v>
      </c>
      <c r="S492" s="343">
        <v>159013</v>
      </c>
      <c r="T492" s="343">
        <v>5113019</v>
      </c>
    </row>
    <row r="493" spans="1:20">
      <c r="A493" s="349">
        <v>95011</v>
      </c>
      <c r="B493" s="342" t="s">
        <v>1183</v>
      </c>
      <c r="C493" s="234">
        <v>1.9230000000000001E-4</v>
      </c>
      <c r="D493" s="234">
        <v>1.8760000000000001E-4</v>
      </c>
      <c r="E493" s="343">
        <v>525156</v>
      </c>
      <c r="F493" s="231"/>
      <c r="G493" s="343">
        <v>89920</v>
      </c>
      <c r="H493" s="343">
        <v>12809</v>
      </c>
      <c r="I493" s="343">
        <v>85592</v>
      </c>
      <c r="J493" s="343">
        <v>5134</v>
      </c>
      <c r="K493" s="343">
        <v>193455</v>
      </c>
      <c r="L493" s="231"/>
      <c r="M493" s="343">
        <v>0</v>
      </c>
      <c r="N493" s="343">
        <v>0</v>
      </c>
      <c r="O493" s="343">
        <v>1730</v>
      </c>
      <c r="P493" s="343">
        <v>1730</v>
      </c>
      <c r="Q493" s="231"/>
      <c r="R493" s="343">
        <v>233935</v>
      </c>
      <c r="S493" s="343">
        <v>-643</v>
      </c>
      <c r="T493" s="343">
        <v>233292</v>
      </c>
    </row>
    <row r="494" spans="1:20">
      <c r="A494" s="349">
        <v>95017</v>
      </c>
      <c r="B494" s="342" t="s">
        <v>1184</v>
      </c>
      <c r="C494" s="234">
        <v>5.1E-5</v>
      </c>
      <c r="D494" s="234">
        <v>4.5500000000000001E-5</v>
      </c>
      <c r="E494" s="343">
        <v>139277</v>
      </c>
      <c r="F494" s="231"/>
      <c r="G494" s="343">
        <v>23848</v>
      </c>
      <c r="H494" s="343">
        <v>3397</v>
      </c>
      <c r="I494" s="343">
        <v>22700</v>
      </c>
      <c r="J494" s="343">
        <v>1599</v>
      </c>
      <c r="K494" s="343">
        <v>51544</v>
      </c>
      <c r="L494" s="231"/>
      <c r="M494" s="343">
        <v>0</v>
      </c>
      <c r="N494" s="343">
        <v>0</v>
      </c>
      <c r="O494" s="343">
        <v>0</v>
      </c>
      <c r="P494" s="343">
        <v>0</v>
      </c>
      <c r="Q494" s="231"/>
      <c r="R494" s="343">
        <v>62042</v>
      </c>
      <c r="S494" s="343">
        <v>5238</v>
      </c>
      <c r="T494" s="343">
        <v>67280</v>
      </c>
    </row>
    <row r="495" spans="1:20">
      <c r="A495" s="349">
        <v>95101</v>
      </c>
      <c r="B495" s="342" t="s">
        <v>1185</v>
      </c>
      <c r="C495" s="234">
        <v>8.8515E-3</v>
      </c>
      <c r="D495" s="234">
        <v>8.5109999999999995E-3</v>
      </c>
      <c r="E495" s="343">
        <v>24172756</v>
      </c>
      <c r="F495" s="231"/>
      <c r="G495" s="343">
        <v>4138988</v>
      </c>
      <c r="H495" s="343">
        <v>589608</v>
      </c>
      <c r="I495" s="343">
        <v>3939758</v>
      </c>
      <c r="J495" s="343">
        <v>42722</v>
      </c>
      <c r="K495" s="343">
        <v>8711076</v>
      </c>
      <c r="L495" s="231"/>
      <c r="M495" s="343">
        <v>0</v>
      </c>
      <c r="N495" s="343">
        <v>0</v>
      </c>
      <c r="O495" s="343">
        <v>98844</v>
      </c>
      <c r="P495" s="343">
        <v>98844</v>
      </c>
      <c r="Q495" s="231"/>
      <c r="R495" s="343">
        <v>10767965</v>
      </c>
      <c r="S495" s="343">
        <v>-40899</v>
      </c>
      <c r="T495" s="343">
        <v>10727066</v>
      </c>
    </row>
    <row r="496" spans="1:20">
      <c r="A496" s="349">
        <v>95103</v>
      </c>
      <c r="B496" s="342" t="s">
        <v>1186</v>
      </c>
      <c r="C496" s="234">
        <v>5.0599999999999997E-5</v>
      </c>
      <c r="D496" s="234">
        <v>4.4400000000000002E-5</v>
      </c>
      <c r="E496" s="343">
        <v>138185</v>
      </c>
      <c r="F496" s="231"/>
      <c r="G496" s="343">
        <v>23661</v>
      </c>
      <c r="H496" s="343">
        <v>3370</v>
      </c>
      <c r="I496" s="343">
        <v>22522</v>
      </c>
      <c r="J496" s="343">
        <v>17200</v>
      </c>
      <c r="K496" s="343">
        <v>66753</v>
      </c>
      <c r="L496" s="231"/>
      <c r="M496" s="343">
        <v>0</v>
      </c>
      <c r="N496" s="343">
        <v>0</v>
      </c>
      <c r="O496" s="343">
        <v>0</v>
      </c>
      <c r="P496" s="343">
        <v>0</v>
      </c>
      <c r="Q496" s="231"/>
      <c r="R496" s="343">
        <v>61556</v>
      </c>
      <c r="S496" s="343">
        <v>7975</v>
      </c>
      <c r="T496" s="343">
        <v>69531</v>
      </c>
    </row>
    <row r="497" spans="1:20">
      <c r="A497" s="349">
        <v>95104</v>
      </c>
      <c r="B497" s="342" t="s">
        <v>1187</v>
      </c>
      <c r="C497" s="234">
        <v>1.149E-4</v>
      </c>
      <c r="D497" s="234">
        <v>9.8300000000000004E-5</v>
      </c>
      <c r="E497" s="343">
        <v>313783</v>
      </c>
      <c r="F497" s="231"/>
      <c r="G497" s="343">
        <v>53728</v>
      </c>
      <c r="H497" s="343">
        <v>7654</v>
      </c>
      <c r="I497" s="343">
        <v>51141</v>
      </c>
      <c r="J497" s="343">
        <v>38997</v>
      </c>
      <c r="K497" s="343">
        <v>151520</v>
      </c>
      <c r="L497" s="231"/>
      <c r="M497" s="343">
        <v>0</v>
      </c>
      <c r="N497" s="343">
        <v>0</v>
      </c>
      <c r="O497" s="343">
        <v>0</v>
      </c>
      <c r="P497" s="343">
        <v>0</v>
      </c>
      <c r="Q497" s="231"/>
      <c r="R497" s="343">
        <v>139777</v>
      </c>
      <c r="S497" s="343">
        <v>15329</v>
      </c>
      <c r="T497" s="343">
        <v>155106</v>
      </c>
    </row>
    <row r="498" spans="1:20" ht="30">
      <c r="A498" s="349">
        <v>95105</v>
      </c>
      <c r="B498" s="342" t="s">
        <v>3677</v>
      </c>
      <c r="C498" s="234">
        <v>7.1500000000000003E-5</v>
      </c>
      <c r="D498" s="234">
        <v>6.5900000000000003E-5</v>
      </c>
      <c r="E498" s="343">
        <v>195261</v>
      </c>
      <c r="F498" s="231"/>
      <c r="G498" s="343">
        <v>33434</v>
      </c>
      <c r="H498" s="343">
        <v>4763</v>
      </c>
      <c r="I498" s="343">
        <v>31824</v>
      </c>
      <c r="J498" s="343">
        <v>12840</v>
      </c>
      <c r="K498" s="343">
        <v>82861</v>
      </c>
      <c r="L498" s="231"/>
      <c r="M498" s="343">
        <v>0</v>
      </c>
      <c r="N498" s="343">
        <v>0</v>
      </c>
      <c r="O498" s="343">
        <v>0</v>
      </c>
      <c r="P498" s="343">
        <v>0</v>
      </c>
      <c r="Q498" s="231"/>
      <c r="R498" s="343">
        <v>86981</v>
      </c>
      <c r="S498" s="343">
        <v>5370</v>
      </c>
      <c r="T498" s="343">
        <v>92351</v>
      </c>
    </row>
    <row r="499" spans="1:20">
      <c r="A499" s="349">
        <v>95106</v>
      </c>
      <c r="B499" s="342" t="s">
        <v>1189</v>
      </c>
      <c r="C499" s="234">
        <v>1.29E-5</v>
      </c>
      <c r="D499" s="234">
        <v>1.3900000000000001E-5</v>
      </c>
      <c r="E499" s="343">
        <v>35229</v>
      </c>
      <c r="F499" s="231"/>
      <c r="G499" s="343">
        <v>6032</v>
      </c>
      <c r="H499" s="343">
        <v>859</v>
      </c>
      <c r="I499" s="343">
        <v>5742</v>
      </c>
      <c r="J499" s="343">
        <v>3315</v>
      </c>
      <c r="K499" s="343">
        <v>15948</v>
      </c>
      <c r="L499" s="231"/>
      <c r="M499" s="343">
        <v>0</v>
      </c>
      <c r="N499" s="343">
        <v>0</v>
      </c>
      <c r="O499" s="343">
        <v>718</v>
      </c>
      <c r="P499" s="343">
        <v>718</v>
      </c>
      <c r="Q499" s="231"/>
      <c r="R499" s="343">
        <v>15693</v>
      </c>
      <c r="S499" s="343">
        <v>2074</v>
      </c>
      <c r="T499" s="343">
        <v>17767</v>
      </c>
    </row>
    <row r="500" spans="1:20">
      <c r="A500" s="349">
        <v>95110</v>
      </c>
      <c r="B500" s="342" t="s">
        <v>1190</v>
      </c>
      <c r="C500" s="234">
        <v>3.1538E-3</v>
      </c>
      <c r="D500" s="234">
        <v>3.5975E-3</v>
      </c>
      <c r="E500" s="343">
        <v>8612782</v>
      </c>
      <c r="F500" s="231"/>
      <c r="G500" s="343">
        <v>1474726</v>
      </c>
      <c r="H500" s="343">
        <v>210077</v>
      </c>
      <c r="I500" s="343">
        <v>1403741</v>
      </c>
      <c r="J500" s="343">
        <v>0</v>
      </c>
      <c r="K500" s="343">
        <v>3088544</v>
      </c>
      <c r="L500" s="231"/>
      <c r="M500" s="343">
        <v>0</v>
      </c>
      <c r="N500" s="343">
        <v>0</v>
      </c>
      <c r="O500" s="343">
        <v>657900</v>
      </c>
      <c r="P500" s="343">
        <v>657900</v>
      </c>
      <c r="Q500" s="231"/>
      <c r="R500" s="343">
        <v>3836639</v>
      </c>
      <c r="S500" s="343">
        <v>-425151</v>
      </c>
      <c r="T500" s="343">
        <v>3411488</v>
      </c>
    </row>
    <row r="501" spans="1:20">
      <c r="A501" s="349">
        <v>95111</v>
      </c>
      <c r="B501" s="342" t="s">
        <v>1191</v>
      </c>
      <c r="C501" s="234">
        <v>1.0529000000000001E-3</v>
      </c>
      <c r="D501" s="234">
        <v>1.1188999999999999E-3</v>
      </c>
      <c r="E501" s="343">
        <v>2875388</v>
      </c>
      <c r="F501" s="231"/>
      <c r="G501" s="343">
        <v>492339</v>
      </c>
      <c r="H501" s="343">
        <v>70135</v>
      </c>
      <c r="I501" s="343">
        <v>468641</v>
      </c>
      <c r="J501" s="343">
        <v>0</v>
      </c>
      <c r="K501" s="343">
        <v>1031115</v>
      </c>
      <c r="L501" s="231"/>
      <c r="M501" s="343">
        <v>0</v>
      </c>
      <c r="N501" s="343">
        <v>0</v>
      </c>
      <c r="O501" s="343">
        <v>111110</v>
      </c>
      <c r="P501" s="343">
        <v>111110</v>
      </c>
      <c r="Q501" s="231"/>
      <c r="R501" s="343">
        <v>1280867</v>
      </c>
      <c r="S501" s="343">
        <v>-58821</v>
      </c>
      <c r="T501" s="343">
        <v>1222046</v>
      </c>
    </row>
    <row r="502" spans="1:20">
      <c r="A502" s="349">
        <v>95113</v>
      </c>
      <c r="B502" s="342" t="s">
        <v>1192</v>
      </c>
      <c r="C502" s="234">
        <v>4.5300000000000003E-5</v>
      </c>
      <c r="D502" s="234">
        <v>4.49E-5</v>
      </c>
      <c r="E502" s="343">
        <v>123711</v>
      </c>
      <c r="F502" s="231"/>
      <c r="G502" s="343">
        <v>21182</v>
      </c>
      <c r="H502" s="343">
        <v>3017</v>
      </c>
      <c r="I502" s="343">
        <v>20163</v>
      </c>
      <c r="J502" s="343">
        <v>101740</v>
      </c>
      <c r="K502" s="343">
        <v>146102</v>
      </c>
      <c r="L502" s="231"/>
      <c r="M502" s="343">
        <v>0</v>
      </c>
      <c r="N502" s="343">
        <v>0</v>
      </c>
      <c r="O502" s="343">
        <v>0</v>
      </c>
      <c r="P502" s="343">
        <v>0</v>
      </c>
      <c r="Q502" s="231"/>
      <c r="R502" s="343">
        <v>55108</v>
      </c>
      <c r="S502" s="343">
        <v>47235</v>
      </c>
      <c r="T502" s="343">
        <v>102343</v>
      </c>
    </row>
    <row r="503" spans="1:20">
      <c r="A503" s="349">
        <v>95121</v>
      </c>
      <c r="B503" s="342" t="s">
        <v>1193</v>
      </c>
      <c r="C503" s="234">
        <v>4.6769999999999998E-4</v>
      </c>
      <c r="D503" s="234">
        <v>5.2059999999999997E-4</v>
      </c>
      <c r="E503" s="343">
        <v>1277252</v>
      </c>
      <c r="F503" s="231"/>
      <c r="G503" s="343">
        <v>218698</v>
      </c>
      <c r="H503" s="343">
        <v>31154</v>
      </c>
      <c r="I503" s="343">
        <v>208171</v>
      </c>
      <c r="J503" s="343">
        <v>6851</v>
      </c>
      <c r="K503" s="343">
        <v>464874</v>
      </c>
      <c r="L503" s="231"/>
      <c r="M503" s="343">
        <v>0</v>
      </c>
      <c r="N503" s="343">
        <v>0</v>
      </c>
      <c r="O503" s="343">
        <v>42071</v>
      </c>
      <c r="P503" s="343">
        <v>42071</v>
      </c>
      <c r="Q503" s="231"/>
      <c r="R503" s="343">
        <v>568963</v>
      </c>
      <c r="S503" s="343">
        <v>-4120</v>
      </c>
      <c r="T503" s="343">
        <v>564843</v>
      </c>
    </row>
    <row r="504" spans="1:20">
      <c r="A504" s="349">
        <v>95122</v>
      </c>
      <c r="B504" s="342" t="s">
        <v>1194</v>
      </c>
      <c r="C504" s="234">
        <v>1.5400000000000002E-5</v>
      </c>
      <c r="D504" s="234">
        <v>6.6000000000000003E-6</v>
      </c>
      <c r="E504" s="343">
        <v>42056</v>
      </c>
      <c r="F504" s="231"/>
      <c r="G504" s="343">
        <v>7201</v>
      </c>
      <c r="H504" s="343">
        <v>1026</v>
      </c>
      <c r="I504" s="343">
        <v>6854</v>
      </c>
      <c r="J504" s="343">
        <v>11248</v>
      </c>
      <c r="K504" s="343">
        <v>26329</v>
      </c>
      <c r="L504" s="231"/>
      <c r="M504" s="343">
        <v>0</v>
      </c>
      <c r="N504" s="343">
        <v>0</v>
      </c>
      <c r="O504" s="343">
        <v>0</v>
      </c>
      <c r="P504" s="343">
        <v>0</v>
      </c>
      <c r="Q504" s="231"/>
      <c r="R504" s="343">
        <v>18734</v>
      </c>
      <c r="S504" s="343">
        <v>3572</v>
      </c>
      <c r="T504" s="343">
        <v>22306</v>
      </c>
    </row>
    <row r="505" spans="1:20">
      <c r="A505" s="349">
        <v>95123</v>
      </c>
      <c r="B505" s="342" t="s">
        <v>1195</v>
      </c>
      <c r="C505" s="234">
        <v>4.8999999999999998E-5</v>
      </c>
      <c r="D505" s="234">
        <v>5.41E-5</v>
      </c>
      <c r="E505" s="343">
        <v>133815</v>
      </c>
      <c r="F505" s="231"/>
      <c r="G505" s="343">
        <v>22913</v>
      </c>
      <c r="H505" s="343">
        <v>3264</v>
      </c>
      <c r="I505" s="343">
        <v>21810</v>
      </c>
      <c r="J505" s="343">
        <v>2564</v>
      </c>
      <c r="K505" s="343">
        <v>50551</v>
      </c>
      <c r="L505" s="231"/>
      <c r="M505" s="343">
        <v>0</v>
      </c>
      <c r="N505" s="343">
        <v>0</v>
      </c>
      <c r="O505" s="343">
        <v>1651</v>
      </c>
      <c r="P505" s="343">
        <v>1651</v>
      </c>
      <c r="Q505" s="231"/>
      <c r="R505" s="343">
        <v>59609</v>
      </c>
      <c r="S505" s="343">
        <v>2683</v>
      </c>
      <c r="T505" s="343">
        <v>62292</v>
      </c>
    </row>
    <row r="506" spans="1:20">
      <c r="A506" s="349">
        <v>95131</v>
      </c>
      <c r="B506" s="342" t="s">
        <v>1196</v>
      </c>
      <c r="C506" s="234">
        <v>1.7905E-3</v>
      </c>
      <c r="D506" s="234">
        <v>1.7581000000000001E-3</v>
      </c>
      <c r="E506" s="343">
        <v>4889716</v>
      </c>
      <c r="F506" s="231"/>
      <c r="G506" s="343">
        <v>837243</v>
      </c>
      <c r="H506" s="343">
        <v>119267</v>
      </c>
      <c r="I506" s="343">
        <v>796943</v>
      </c>
      <c r="J506" s="343">
        <v>67539</v>
      </c>
      <c r="K506" s="343">
        <v>1820992</v>
      </c>
      <c r="L506" s="231"/>
      <c r="M506" s="343">
        <v>0</v>
      </c>
      <c r="N506" s="343">
        <v>0</v>
      </c>
      <c r="O506" s="343">
        <v>0</v>
      </c>
      <c r="P506" s="343">
        <v>0</v>
      </c>
      <c r="Q506" s="231"/>
      <c r="R506" s="343">
        <v>2178167</v>
      </c>
      <c r="S506" s="343">
        <v>41149</v>
      </c>
      <c r="T506" s="343">
        <v>2219316</v>
      </c>
    </row>
    <row r="507" spans="1:20">
      <c r="A507" s="349">
        <v>95141</v>
      </c>
      <c r="B507" s="342" t="s">
        <v>1197</v>
      </c>
      <c r="C507" s="234">
        <v>3.6099999999999999E-4</v>
      </c>
      <c r="D507" s="234">
        <v>3.2400000000000001E-4</v>
      </c>
      <c r="E507" s="343">
        <v>985863</v>
      </c>
      <c r="F507" s="231"/>
      <c r="G507" s="343">
        <v>168805</v>
      </c>
      <c r="H507" s="343">
        <v>24047</v>
      </c>
      <c r="I507" s="343">
        <v>160679</v>
      </c>
      <c r="J507" s="343">
        <v>20356</v>
      </c>
      <c r="K507" s="343">
        <v>373887</v>
      </c>
      <c r="L507" s="231"/>
      <c r="M507" s="343">
        <v>0</v>
      </c>
      <c r="N507" s="343">
        <v>0</v>
      </c>
      <c r="O507" s="343">
        <v>10967</v>
      </c>
      <c r="P507" s="343">
        <v>10967</v>
      </c>
      <c r="Q507" s="231"/>
      <c r="R507" s="343">
        <v>439161</v>
      </c>
      <c r="S507" s="343">
        <v>-7446</v>
      </c>
      <c r="T507" s="343">
        <v>431715</v>
      </c>
    </row>
    <row r="508" spans="1:20">
      <c r="A508" s="349">
        <v>95151</v>
      </c>
      <c r="B508" s="342" t="s">
        <v>1198</v>
      </c>
      <c r="C508" s="234">
        <v>1.1010000000000001E-4</v>
      </c>
      <c r="D508" s="234">
        <v>1.159E-4</v>
      </c>
      <c r="E508" s="343">
        <v>300675</v>
      </c>
      <c r="F508" s="231"/>
      <c r="G508" s="343">
        <v>51483</v>
      </c>
      <c r="H508" s="343">
        <v>7334</v>
      </c>
      <c r="I508" s="343">
        <v>49005</v>
      </c>
      <c r="J508" s="343">
        <v>187</v>
      </c>
      <c r="K508" s="343">
        <v>108009</v>
      </c>
      <c r="L508" s="231"/>
      <c r="M508" s="343">
        <v>0</v>
      </c>
      <c r="N508" s="343">
        <v>0</v>
      </c>
      <c r="O508" s="343">
        <v>10229</v>
      </c>
      <c r="P508" s="343">
        <v>10229</v>
      </c>
      <c r="Q508" s="231"/>
      <c r="R508" s="343">
        <v>133938</v>
      </c>
      <c r="S508" s="343">
        <v>-4950</v>
      </c>
      <c r="T508" s="343">
        <v>128988</v>
      </c>
    </row>
    <row r="509" spans="1:20">
      <c r="A509" s="349">
        <v>95161</v>
      </c>
      <c r="B509" s="342" t="s">
        <v>1199</v>
      </c>
      <c r="C509" s="234">
        <v>7.1199999999999996E-5</v>
      </c>
      <c r="D509" s="234">
        <v>6.9200000000000002E-5</v>
      </c>
      <c r="E509" s="343">
        <v>194442</v>
      </c>
      <c r="F509" s="231"/>
      <c r="G509" s="343">
        <v>33293</v>
      </c>
      <c r="H509" s="343">
        <v>4743</v>
      </c>
      <c r="I509" s="343">
        <v>31691</v>
      </c>
      <c r="J509" s="343">
        <v>11881</v>
      </c>
      <c r="K509" s="343">
        <v>81608</v>
      </c>
      <c r="L509" s="231"/>
      <c r="M509" s="343">
        <v>0</v>
      </c>
      <c r="N509" s="343">
        <v>0</v>
      </c>
      <c r="O509" s="343">
        <v>0</v>
      </c>
      <c r="P509" s="343">
        <v>0</v>
      </c>
      <c r="Q509" s="231"/>
      <c r="R509" s="343">
        <v>86616</v>
      </c>
      <c r="S509" s="343">
        <v>4042</v>
      </c>
      <c r="T509" s="343">
        <v>90658</v>
      </c>
    </row>
    <row r="510" spans="1:20">
      <c r="A510" s="349">
        <v>95171</v>
      </c>
      <c r="B510" s="342" t="s">
        <v>1200</v>
      </c>
      <c r="C510" s="234">
        <v>1.089E-4</v>
      </c>
      <c r="D510" s="234">
        <v>8.8599999999999999E-5</v>
      </c>
      <c r="E510" s="343">
        <v>297397</v>
      </c>
      <c r="F510" s="231"/>
      <c r="G510" s="343">
        <v>50922</v>
      </c>
      <c r="H510" s="343">
        <v>7254</v>
      </c>
      <c r="I510" s="343">
        <v>48471</v>
      </c>
      <c r="J510" s="343">
        <v>19879</v>
      </c>
      <c r="K510" s="343">
        <v>126526</v>
      </c>
      <c r="L510" s="231"/>
      <c r="M510" s="343">
        <v>0</v>
      </c>
      <c r="N510" s="343">
        <v>0</v>
      </c>
      <c r="O510" s="343">
        <v>10913</v>
      </c>
      <c r="P510" s="343">
        <v>10913</v>
      </c>
      <c r="Q510" s="231"/>
      <c r="R510" s="343">
        <v>132478</v>
      </c>
      <c r="S510" s="343">
        <v>2957</v>
      </c>
      <c r="T510" s="343">
        <v>135435</v>
      </c>
    </row>
    <row r="511" spans="1:20">
      <c r="A511" s="349">
        <v>95181</v>
      </c>
      <c r="B511" s="342" t="s">
        <v>1201</v>
      </c>
      <c r="C511" s="234">
        <v>5.9700000000000001E-5</v>
      </c>
      <c r="D511" s="234">
        <v>7.7899999999999996E-5</v>
      </c>
      <c r="E511" s="343">
        <v>163036</v>
      </c>
      <c r="F511" s="231"/>
      <c r="G511" s="343">
        <v>27916</v>
      </c>
      <c r="H511" s="343">
        <v>3977</v>
      </c>
      <c r="I511" s="343">
        <v>26572</v>
      </c>
      <c r="J511" s="343">
        <v>0</v>
      </c>
      <c r="K511" s="343">
        <v>58465</v>
      </c>
      <c r="L511" s="231"/>
      <c r="M511" s="343">
        <v>0</v>
      </c>
      <c r="N511" s="343">
        <v>0</v>
      </c>
      <c r="O511" s="343">
        <v>18867</v>
      </c>
      <c r="P511" s="343">
        <v>18867</v>
      </c>
      <c r="Q511" s="231"/>
      <c r="R511" s="343">
        <v>72626</v>
      </c>
      <c r="S511" s="343">
        <v>-6273</v>
      </c>
      <c r="T511" s="343">
        <v>66353</v>
      </c>
    </row>
    <row r="512" spans="1:20">
      <c r="A512" s="349">
        <v>95191</v>
      </c>
      <c r="B512" s="342" t="s">
        <v>1202</v>
      </c>
      <c r="C512" s="234">
        <v>7.3800000000000005E-5</v>
      </c>
      <c r="D512" s="234">
        <v>4.2599999999999999E-5</v>
      </c>
      <c r="E512" s="343">
        <v>201542</v>
      </c>
      <c r="F512" s="231"/>
      <c r="G512" s="343">
        <v>34509</v>
      </c>
      <c r="H512" s="343">
        <v>4916</v>
      </c>
      <c r="I512" s="343">
        <v>32848</v>
      </c>
      <c r="J512" s="343">
        <v>37441</v>
      </c>
      <c r="K512" s="343">
        <v>109714</v>
      </c>
      <c r="L512" s="231"/>
      <c r="M512" s="343">
        <v>0</v>
      </c>
      <c r="N512" s="343">
        <v>0</v>
      </c>
      <c r="O512" s="343">
        <v>1591</v>
      </c>
      <c r="P512" s="343">
        <v>1591</v>
      </c>
      <c r="Q512" s="231"/>
      <c r="R512" s="343">
        <v>89779</v>
      </c>
      <c r="S512" s="343">
        <v>10708</v>
      </c>
      <c r="T512" s="343">
        <v>100487</v>
      </c>
    </row>
    <row r="513" spans="1:20">
      <c r="A513" s="349">
        <v>95201</v>
      </c>
      <c r="B513" s="342" t="s">
        <v>1203</v>
      </c>
      <c r="C513" s="234">
        <v>6.5070000000000004E-4</v>
      </c>
      <c r="D513" s="234">
        <v>7.0259999999999995E-4</v>
      </c>
      <c r="E513" s="343">
        <v>1777011</v>
      </c>
      <c r="F513" s="231"/>
      <c r="G513" s="343">
        <v>304269</v>
      </c>
      <c r="H513" s="343">
        <v>43344</v>
      </c>
      <c r="I513" s="343">
        <v>289623</v>
      </c>
      <c r="J513" s="343">
        <v>1991</v>
      </c>
      <c r="K513" s="343">
        <v>639227</v>
      </c>
      <c r="L513" s="231"/>
      <c r="M513" s="343">
        <v>0</v>
      </c>
      <c r="N513" s="343">
        <v>0</v>
      </c>
      <c r="O513" s="343">
        <v>57108</v>
      </c>
      <c r="P513" s="343">
        <v>57108</v>
      </c>
      <c r="Q513" s="231"/>
      <c r="R513" s="343">
        <v>791585</v>
      </c>
      <c r="S513" s="343">
        <v>-22583</v>
      </c>
      <c r="T513" s="343">
        <v>769002</v>
      </c>
    </row>
    <row r="514" spans="1:20" ht="14.25" customHeight="1">
      <c r="A514" s="349">
        <v>95204</v>
      </c>
      <c r="B514" s="342" t="s">
        <v>1204</v>
      </c>
      <c r="C514" s="234">
        <v>5.6999999999999996E-6</v>
      </c>
      <c r="D514" s="234">
        <v>1.06E-5</v>
      </c>
      <c r="E514" s="343">
        <v>15566</v>
      </c>
      <c r="F514" s="231"/>
      <c r="G514" s="343">
        <v>2665</v>
      </c>
      <c r="H514" s="343">
        <v>380</v>
      </c>
      <c r="I514" s="343">
        <v>2537</v>
      </c>
      <c r="J514" s="343">
        <v>912</v>
      </c>
      <c r="K514" s="343">
        <v>6494</v>
      </c>
      <c r="L514" s="231"/>
      <c r="M514" s="343">
        <v>0</v>
      </c>
      <c r="N514" s="343">
        <v>0</v>
      </c>
      <c r="O514" s="343">
        <v>2255</v>
      </c>
      <c r="P514" s="343">
        <v>2255</v>
      </c>
      <c r="Q514" s="231"/>
      <c r="R514" s="343">
        <v>6934</v>
      </c>
      <c r="S514" s="343">
        <v>-402</v>
      </c>
      <c r="T514" s="343">
        <v>6532</v>
      </c>
    </row>
    <row r="515" spans="1:20" ht="14.25" customHeight="1">
      <c r="A515" s="349">
        <v>95205</v>
      </c>
      <c r="B515" s="342" t="s">
        <v>1205</v>
      </c>
      <c r="C515" s="234">
        <v>2.7E-6</v>
      </c>
      <c r="D515" s="234">
        <v>1.7E-6</v>
      </c>
      <c r="E515" s="343">
        <v>7373</v>
      </c>
      <c r="F515" s="231"/>
      <c r="G515" s="343">
        <v>1263</v>
      </c>
      <c r="H515" s="343">
        <v>180</v>
      </c>
      <c r="I515" s="343">
        <v>1202</v>
      </c>
      <c r="J515" s="343">
        <v>1922</v>
      </c>
      <c r="K515" s="343">
        <v>4567</v>
      </c>
      <c r="L515" s="231"/>
      <c r="M515" s="343">
        <v>0</v>
      </c>
      <c r="N515" s="343">
        <v>0</v>
      </c>
      <c r="O515" s="343">
        <v>712</v>
      </c>
      <c r="P515" s="343">
        <v>712</v>
      </c>
      <c r="Q515" s="231"/>
      <c r="R515" s="343">
        <v>3285</v>
      </c>
      <c r="S515" s="343">
        <v>396</v>
      </c>
      <c r="T515" s="343">
        <v>3681</v>
      </c>
    </row>
    <row r="516" spans="1:20">
      <c r="A516" s="349">
        <v>95211</v>
      </c>
      <c r="B516" s="342" t="s">
        <v>1206</v>
      </c>
      <c r="C516" s="234">
        <v>5.1000000000000003E-6</v>
      </c>
      <c r="D516" s="234">
        <v>5.4999999999999999E-6</v>
      </c>
      <c r="E516" s="343">
        <v>13928</v>
      </c>
      <c r="F516" s="231"/>
      <c r="G516" s="343">
        <v>2385</v>
      </c>
      <c r="H516" s="343">
        <v>340</v>
      </c>
      <c r="I516" s="343">
        <v>2270</v>
      </c>
      <c r="J516" s="343">
        <v>506</v>
      </c>
      <c r="K516" s="343">
        <v>5501</v>
      </c>
      <c r="L516" s="231"/>
      <c r="M516" s="343">
        <v>0</v>
      </c>
      <c r="N516" s="343">
        <v>0</v>
      </c>
      <c r="O516" s="343">
        <v>1284</v>
      </c>
      <c r="P516" s="343">
        <v>1284</v>
      </c>
      <c r="Q516" s="231"/>
      <c r="R516" s="343">
        <v>6204</v>
      </c>
      <c r="S516" s="343">
        <v>52</v>
      </c>
      <c r="T516" s="343">
        <v>6256</v>
      </c>
    </row>
    <row r="517" spans="1:20">
      <c r="A517" s="349">
        <v>95221</v>
      </c>
      <c r="B517" s="342" t="s">
        <v>1207</v>
      </c>
      <c r="C517" s="234">
        <v>5.4400000000000001E-5</v>
      </c>
      <c r="D517" s="234">
        <v>5.7000000000000003E-5</v>
      </c>
      <c r="E517" s="343">
        <v>148562</v>
      </c>
      <c r="F517" s="231"/>
      <c r="G517" s="343">
        <v>25438</v>
      </c>
      <c r="H517" s="343">
        <v>3624</v>
      </c>
      <c r="I517" s="343">
        <v>24213</v>
      </c>
      <c r="J517" s="343">
        <v>14008</v>
      </c>
      <c r="K517" s="343">
        <v>67283</v>
      </c>
      <c r="L517" s="231"/>
      <c r="M517" s="343">
        <v>0</v>
      </c>
      <c r="N517" s="343">
        <v>0</v>
      </c>
      <c r="O517" s="343">
        <v>8634</v>
      </c>
      <c r="P517" s="343">
        <v>8634</v>
      </c>
      <c r="Q517" s="231"/>
      <c r="R517" s="343">
        <v>66178</v>
      </c>
      <c r="S517" s="343">
        <v>204</v>
      </c>
      <c r="T517" s="343">
        <v>66382</v>
      </c>
    </row>
    <row r="518" spans="1:20">
      <c r="A518" s="349">
        <v>95301</v>
      </c>
      <c r="B518" s="342" t="s">
        <v>1208</v>
      </c>
      <c r="C518" s="234">
        <v>2.1561000000000002E-3</v>
      </c>
      <c r="D518" s="234">
        <v>2.3362000000000001E-3</v>
      </c>
      <c r="E518" s="343">
        <v>5888141</v>
      </c>
      <c r="F518" s="231"/>
      <c r="G518" s="343">
        <v>1008199</v>
      </c>
      <c r="H518" s="343">
        <v>143620</v>
      </c>
      <c r="I518" s="343">
        <v>959669</v>
      </c>
      <c r="J518" s="343">
        <v>15791</v>
      </c>
      <c r="K518" s="343">
        <v>2127279</v>
      </c>
      <c r="L518" s="231"/>
      <c r="M518" s="343">
        <v>0</v>
      </c>
      <c r="N518" s="343">
        <v>0</v>
      </c>
      <c r="O518" s="343">
        <v>104311</v>
      </c>
      <c r="P518" s="343">
        <v>104311</v>
      </c>
      <c r="Q518" s="231"/>
      <c r="R518" s="343">
        <v>2622924</v>
      </c>
      <c r="S518" s="343">
        <v>-674</v>
      </c>
      <c r="T518" s="343">
        <v>2622250</v>
      </c>
    </row>
    <row r="519" spans="1:20">
      <c r="A519" s="349">
        <v>95311</v>
      </c>
      <c r="B519" s="342" t="s">
        <v>1209</v>
      </c>
      <c r="C519" s="234">
        <v>2.578E-3</v>
      </c>
      <c r="D519" s="234">
        <v>2.6302999999999999E-3</v>
      </c>
      <c r="E519" s="343">
        <v>7040317</v>
      </c>
      <c r="F519" s="231"/>
      <c r="G519" s="343">
        <v>1205481</v>
      </c>
      <c r="H519" s="343">
        <v>171723</v>
      </c>
      <c r="I519" s="343">
        <v>1147455</v>
      </c>
      <c r="J519" s="343">
        <v>27137</v>
      </c>
      <c r="K519" s="343">
        <v>2551796</v>
      </c>
      <c r="L519" s="231"/>
      <c r="M519" s="343">
        <v>0</v>
      </c>
      <c r="N519" s="343">
        <v>0</v>
      </c>
      <c r="O519" s="343">
        <v>27206</v>
      </c>
      <c r="P519" s="343">
        <v>27206</v>
      </c>
      <c r="Q519" s="231"/>
      <c r="R519" s="343">
        <v>3136171</v>
      </c>
      <c r="S519" s="343">
        <v>-17181</v>
      </c>
      <c r="T519" s="343">
        <v>3118990</v>
      </c>
    </row>
    <row r="520" spans="1:20">
      <c r="A520" s="349">
        <v>95317</v>
      </c>
      <c r="B520" s="342" t="s">
        <v>1210</v>
      </c>
      <c r="C520" s="234">
        <v>4.1999999999999998E-5</v>
      </c>
      <c r="D520" s="234">
        <v>4.32E-5</v>
      </c>
      <c r="E520" s="343">
        <v>114699</v>
      </c>
      <c r="F520" s="231"/>
      <c r="G520" s="343">
        <v>19639</v>
      </c>
      <c r="H520" s="343">
        <v>2798</v>
      </c>
      <c r="I520" s="343">
        <v>18694</v>
      </c>
      <c r="J520" s="343">
        <v>7683</v>
      </c>
      <c r="K520" s="343">
        <v>48814</v>
      </c>
      <c r="L520" s="231"/>
      <c r="M520" s="343">
        <v>0</v>
      </c>
      <c r="N520" s="343">
        <v>0</v>
      </c>
      <c r="O520" s="343">
        <v>0</v>
      </c>
      <c r="P520" s="343">
        <v>0</v>
      </c>
      <c r="Q520" s="231"/>
      <c r="R520" s="343">
        <v>51094</v>
      </c>
      <c r="S520" s="343">
        <v>3839</v>
      </c>
      <c r="T520" s="343">
        <v>54933</v>
      </c>
    </row>
    <row r="521" spans="1:20">
      <c r="A521" s="349">
        <v>95321</v>
      </c>
      <c r="B521" s="342" t="s">
        <v>1211</v>
      </c>
      <c r="C521" s="234">
        <v>4.85E-5</v>
      </c>
      <c r="D521" s="234">
        <v>5.1999999999999997E-5</v>
      </c>
      <c r="E521" s="343">
        <v>132450</v>
      </c>
      <c r="F521" s="231"/>
      <c r="G521" s="343">
        <v>22679</v>
      </c>
      <c r="H521" s="343">
        <v>3230</v>
      </c>
      <c r="I521" s="343">
        <v>21587</v>
      </c>
      <c r="J521" s="343">
        <v>4906</v>
      </c>
      <c r="K521" s="343">
        <v>52402</v>
      </c>
      <c r="L521" s="231"/>
      <c r="M521" s="343">
        <v>0</v>
      </c>
      <c r="N521" s="343">
        <v>0</v>
      </c>
      <c r="O521" s="343">
        <v>1078</v>
      </c>
      <c r="P521" s="343">
        <v>1078</v>
      </c>
      <c r="Q521" s="231"/>
      <c r="R521" s="343">
        <v>59001</v>
      </c>
      <c r="S521" s="343">
        <v>2205</v>
      </c>
      <c r="T521" s="343">
        <v>61206</v>
      </c>
    </row>
    <row r="522" spans="1:20">
      <c r="A522" s="349">
        <v>95401</v>
      </c>
      <c r="B522" s="342" t="s">
        <v>1212</v>
      </c>
      <c r="C522" s="234">
        <v>2.9023E-3</v>
      </c>
      <c r="D522" s="234">
        <v>2.8792000000000002E-3</v>
      </c>
      <c r="E522" s="343">
        <v>7925955</v>
      </c>
      <c r="F522" s="231"/>
      <c r="G522" s="343">
        <v>1357124</v>
      </c>
      <c r="H522" s="343">
        <v>193325</v>
      </c>
      <c r="I522" s="343">
        <v>1291799</v>
      </c>
      <c r="J522" s="343">
        <v>4785</v>
      </c>
      <c r="K522" s="343">
        <v>2847033</v>
      </c>
      <c r="L522" s="231"/>
      <c r="M522" s="343">
        <v>0</v>
      </c>
      <c r="N522" s="343">
        <v>0</v>
      </c>
      <c r="O522" s="343">
        <v>103111</v>
      </c>
      <c r="P522" s="343">
        <v>103111</v>
      </c>
      <c r="Q522" s="231"/>
      <c r="R522" s="343">
        <v>3530686</v>
      </c>
      <c r="S522" s="343">
        <v>-27716</v>
      </c>
      <c r="T522" s="343">
        <v>3502970</v>
      </c>
    </row>
    <row r="523" spans="1:20">
      <c r="A523" s="349">
        <v>95404</v>
      </c>
      <c r="B523" s="342" t="s">
        <v>1213</v>
      </c>
      <c r="C523" s="234">
        <v>4.4799999999999998E-5</v>
      </c>
      <c r="D523" s="234">
        <v>5.0000000000000002E-5</v>
      </c>
      <c r="E523" s="343">
        <v>122345</v>
      </c>
      <c r="F523" s="231"/>
      <c r="G523" s="343">
        <v>20949</v>
      </c>
      <c r="H523" s="343">
        <v>2984</v>
      </c>
      <c r="I523" s="343">
        <v>19940</v>
      </c>
      <c r="J523" s="343">
        <v>1478</v>
      </c>
      <c r="K523" s="343">
        <v>45351</v>
      </c>
      <c r="L523" s="231"/>
      <c r="M523" s="343">
        <v>0</v>
      </c>
      <c r="N523" s="343">
        <v>0</v>
      </c>
      <c r="O523" s="343">
        <v>6508</v>
      </c>
      <c r="P523" s="343">
        <v>6508</v>
      </c>
      <c r="Q523" s="231"/>
      <c r="R523" s="343">
        <v>54500</v>
      </c>
      <c r="S523" s="343">
        <v>-102</v>
      </c>
      <c r="T523" s="343">
        <v>54398</v>
      </c>
    </row>
    <row r="524" spans="1:20">
      <c r="A524" s="349">
        <v>95405</v>
      </c>
      <c r="B524" s="342" t="s">
        <v>1214</v>
      </c>
      <c r="C524" s="234">
        <v>3.3399999999999999E-5</v>
      </c>
      <c r="D524" s="234">
        <v>1.7600000000000001E-5</v>
      </c>
      <c r="E524" s="343">
        <v>91213</v>
      </c>
      <c r="F524" s="231"/>
      <c r="G524" s="343">
        <v>15618</v>
      </c>
      <c r="H524" s="343">
        <v>2225</v>
      </c>
      <c r="I524" s="343">
        <v>14866</v>
      </c>
      <c r="J524" s="343">
        <v>25766</v>
      </c>
      <c r="K524" s="343">
        <v>58475</v>
      </c>
      <c r="L524" s="231"/>
      <c r="M524" s="343">
        <v>0</v>
      </c>
      <c r="N524" s="343">
        <v>0</v>
      </c>
      <c r="O524" s="343">
        <v>0</v>
      </c>
      <c r="P524" s="343">
        <v>0</v>
      </c>
      <c r="Q524" s="231"/>
      <c r="R524" s="343">
        <v>40632</v>
      </c>
      <c r="S524" s="343">
        <v>10805</v>
      </c>
      <c r="T524" s="343">
        <v>51437</v>
      </c>
    </row>
    <row r="525" spans="1:20">
      <c r="A525" s="349">
        <v>95411</v>
      </c>
      <c r="B525" s="342" t="s">
        <v>1215</v>
      </c>
      <c r="C525" s="234">
        <v>2.0365000000000001E-3</v>
      </c>
      <c r="D525" s="234">
        <v>2.1646E-3</v>
      </c>
      <c r="E525" s="343">
        <v>5561523</v>
      </c>
      <c r="F525" s="231"/>
      <c r="G525" s="343">
        <v>952274</v>
      </c>
      <c r="H525" s="343">
        <v>135653</v>
      </c>
      <c r="I525" s="343">
        <v>906436</v>
      </c>
      <c r="J525" s="343">
        <v>3600</v>
      </c>
      <c r="K525" s="343">
        <v>1997963</v>
      </c>
      <c r="L525" s="231"/>
      <c r="M525" s="343">
        <v>0</v>
      </c>
      <c r="N525" s="343">
        <v>0</v>
      </c>
      <c r="O525" s="343">
        <v>80802</v>
      </c>
      <c r="P525" s="343">
        <v>80802</v>
      </c>
      <c r="Q525" s="231"/>
      <c r="R525" s="343">
        <v>2477429</v>
      </c>
      <c r="S525" s="343">
        <v>-20706</v>
      </c>
      <c r="T525" s="343">
        <v>2456723</v>
      </c>
    </row>
    <row r="526" spans="1:20">
      <c r="A526" s="349">
        <v>95413</v>
      </c>
      <c r="B526" s="342" t="s">
        <v>3678</v>
      </c>
      <c r="C526" s="234">
        <v>2.4610000000000002E-4</v>
      </c>
      <c r="D526" s="234">
        <v>2.6879999999999997E-4</v>
      </c>
      <c r="E526" s="343">
        <v>672080</v>
      </c>
      <c r="F526" s="231"/>
      <c r="G526" s="343">
        <v>115077</v>
      </c>
      <c r="H526" s="343">
        <v>16393</v>
      </c>
      <c r="I526" s="343">
        <v>109538</v>
      </c>
      <c r="J526" s="343">
        <v>84779</v>
      </c>
      <c r="K526" s="343">
        <v>325787</v>
      </c>
      <c r="L526" s="231"/>
      <c r="M526" s="343">
        <v>0</v>
      </c>
      <c r="N526" s="343">
        <v>0</v>
      </c>
      <c r="O526" s="343">
        <v>13714</v>
      </c>
      <c r="P526" s="343">
        <v>13714</v>
      </c>
      <c r="Q526" s="231"/>
      <c r="R526" s="343">
        <v>299384</v>
      </c>
      <c r="S526" s="343">
        <v>79665</v>
      </c>
      <c r="T526" s="343">
        <v>379049</v>
      </c>
    </row>
    <row r="527" spans="1:20">
      <c r="A527" s="349">
        <v>95415</v>
      </c>
      <c r="B527" s="342" t="s">
        <v>3679</v>
      </c>
      <c r="C527" s="234">
        <v>5.7599999999999997E-5</v>
      </c>
      <c r="D527" s="234">
        <v>7.1099999999999994E-5</v>
      </c>
      <c r="E527" s="343">
        <v>157301</v>
      </c>
      <c r="F527" s="231"/>
      <c r="G527" s="343">
        <v>26934</v>
      </c>
      <c r="H527" s="343">
        <v>3837</v>
      </c>
      <c r="I527" s="343">
        <v>25637</v>
      </c>
      <c r="J527" s="343">
        <v>2357</v>
      </c>
      <c r="K527" s="343">
        <v>58765</v>
      </c>
      <c r="L527" s="231"/>
      <c r="M527" s="343">
        <v>0</v>
      </c>
      <c r="N527" s="343">
        <v>0</v>
      </c>
      <c r="O527" s="343">
        <v>16202</v>
      </c>
      <c r="P527" s="343">
        <v>16202</v>
      </c>
      <c r="Q527" s="231"/>
      <c r="R527" s="343">
        <v>70071</v>
      </c>
      <c r="S527" s="343">
        <v>-6841</v>
      </c>
      <c r="T527" s="343">
        <v>63230</v>
      </c>
    </row>
    <row r="528" spans="1:20">
      <c r="A528" s="349">
        <v>95421</v>
      </c>
      <c r="B528" s="342" t="s">
        <v>1219</v>
      </c>
      <c r="C528" s="234">
        <v>3.6699999999999998E-5</v>
      </c>
      <c r="D528" s="234">
        <v>3.8300000000000003E-5</v>
      </c>
      <c r="E528" s="343">
        <v>100225</v>
      </c>
      <c r="F528" s="231"/>
      <c r="G528" s="343">
        <v>17161</v>
      </c>
      <c r="H528" s="343">
        <v>2445</v>
      </c>
      <c r="I528" s="343">
        <v>16335</v>
      </c>
      <c r="J528" s="343">
        <v>788</v>
      </c>
      <c r="K528" s="343">
        <v>36729</v>
      </c>
      <c r="L528" s="231"/>
      <c r="M528" s="343">
        <v>0</v>
      </c>
      <c r="N528" s="343">
        <v>0</v>
      </c>
      <c r="O528" s="343">
        <v>1512</v>
      </c>
      <c r="P528" s="343">
        <v>1512</v>
      </c>
      <c r="Q528" s="231"/>
      <c r="R528" s="343">
        <v>44646</v>
      </c>
      <c r="S528" s="343">
        <v>-2640</v>
      </c>
      <c r="T528" s="343">
        <v>42006</v>
      </c>
    </row>
    <row r="529" spans="1:20">
      <c r="A529" s="349">
        <v>95431</v>
      </c>
      <c r="B529" s="342" t="s">
        <v>1220</v>
      </c>
      <c r="C529" s="234">
        <v>1.3689999999999999E-4</v>
      </c>
      <c r="D529" s="234">
        <v>1.4630000000000001E-4</v>
      </c>
      <c r="E529" s="343">
        <v>373863</v>
      </c>
      <c r="F529" s="231"/>
      <c r="G529" s="343">
        <v>64015</v>
      </c>
      <c r="H529" s="343">
        <v>9119</v>
      </c>
      <c r="I529" s="343">
        <v>60934</v>
      </c>
      <c r="J529" s="343">
        <v>0</v>
      </c>
      <c r="K529" s="343">
        <v>134068</v>
      </c>
      <c r="L529" s="231"/>
      <c r="M529" s="343">
        <v>0</v>
      </c>
      <c r="N529" s="343">
        <v>0</v>
      </c>
      <c r="O529" s="343">
        <v>31578</v>
      </c>
      <c r="P529" s="343">
        <v>31578</v>
      </c>
      <c r="Q529" s="231"/>
      <c r="R529" s="343">
        <v>166541</v>
      </c>
      <c r="S529" s="343">
        <v>-14732</v>
      </c>
      <c r="T529" s="343">
        <v>151809</v>
      </c>
    </row>
    <row r="530" spans="1:20">
      <c r="A530" s="349">
        <v>95501</v>
      </c>
      <c r="B530" s="342" t="s">
        <v>1221</v>
      </c>
      <c r="C530" s="234">
        <v>5.0283999999999997E-3</v>
      </c>
      <c r="D530" s="234">
        <v>4.8900999999999997E-3</v>
      </c>
      <c r="E530" s="343">
        <v>13732168</v>
      </c>
      <c r="F530" s="231"/>
      <c r="G530" s="343">
        <v>2351295</v>
      </c>
      <c r="H530" s="343">
        <v>334947</v>
      </c>
      <c r="I530" s="343">
        <v>2238116</v>
      </c>
      <c r="J530" s="343">
        <v>116158</v>
      </c>
      <c r="K530" s="343">
        <v>5040516</v>
      </c>
      <c r="L530" s="231"/>
      <c r="M530" s="343">
        <v>0</v>
      </c>
      <c r="N530" s="343">
        <v>0</v>
      </c>
      <c r="O530" s="343">
        <v>87326</v>
      </c>
      <c r="P530" s="343">
        <v>87326</v>
      </c>
      <c r="Q530" s="231"/>
      <c r="R530" s="343">
        <v>6117114</v>
      </c>
      <c r="S530" s="343">
        <v>-24913</v>
      </c>
      <c r="T530" s="343">
        <v>6092201</v>
      </c>
    </row>
    <row r="531" spans="1:20">
      <c r="A531" s="349">
        <v>95504</v>
      </c>
      <c r="B531" s="342" t="s">
        <v>1222</v>
      </c>
      <c r="C531" s="234">
        <v>1.49E-5</v>
      </c>
      <c r="D531" s="234">
        <v>8.8000000000000004E-6</v>
      </c>
      <c r="E531" s="343">
        <v>40691</v>
      </c>
      <c r="F531" s="231"/>
      <c r="G531" s="343">
        <v>6967</v>
      </c>
      <c r="H531" s="343">
        <v>993</v>
      </c>
      <c r="I531" s="343">
        <v>6632</v>
      </c>
      <c r="J531" s="343">
        <v>16771</v>
      </c>
      <c r="K531" s="343">
        <v>31363</v>
      </c>
      <c r="L531" s="231"/>
      <c r="M531" s="343">
        <v>0</v>
      </c>
      <c r="N531" s="343">
        <v>0</v>
      </c>
      <c r="O531" s="343">
        <v>0</v>
      </c>
      <c r="P531" s="343">
        <v>0</v>
      </c>
      <c r="Q531" s="231"/>
      <c r="R531" s="343">
        <v>18126</v>
      </c>
      <c r="S531" s="343">
        <v>6430</v>
      </c>
      <c r="T531" s="343">
        <v>24556</v>
      </c>
    </row>
    <row r="532" spans="1:20">
      <c r="A532" s="349">
        <v>95511</v>
      </c>
      <c r="B532" s="342" t="s">
        <v>1223</v>
      </c>
      <c r="C532" s="234">
        <v>9.4910000000000003E-4</v>
      </c>
      <c r="D532" s="234">
        <v>9.5339999999999997E-4</v>
      </c>
      <c r="E532" s="343">
        <v>2591918</v>
      </c>
      <c r="F532" s="231"/>
      <c r="G532" s="343">
        <v>443802</v>
      </c>
      <c r="H532" s="343">
        <v>63221</v>
      </c>
      <c r="I532" s="343">
        <v>422440</v>
      </c>
      <c r="J532" s="343">
        <v>69230</v>
      </c>
      <c r="K532" s="343">
        <v>998693</v>
      </c>
      <c r="L532" s="231"/>
      <c r="M532" s="343">
        <v>0</v>
      </c>
      <c r="N532" s="343">
        <v>0</v>
      </c>
      <c r="O532" s="343">
        <v>13397</v>
      </c>
      <c r="P532" s="343">
        <v>13397</v>
      </c>
      <c r="Q532" s="231"/>
      <c r="R532" s="343">
        <v>1154592</v>
      </c>
      <c r="S532" s="343">
        <v>4354</v>
      </c>
      <c r="T532" s="343">
        <v>1158946</v>
      </c>
    </row>
    <row r="533" spans="1:20">
      <c r="A533" s="349">
        <v>95513</v>
      </c>
      <c r="B533" s="342" t="s">
        <v>1224</v>
      </c>
      <c r="C533" s="234">
        <v>3.9700000000000003E-5</v>
      </c>
      <c r="D533" s="234">
        <v>4.5399999999999999E-5</v>
      </c>
      <c r="E533" s="343">
        <v>108418</v>
      </c>
      <c r="F533" s="231"/>
      <c r="G533" s="343">
        <v>18564</v>
      </c>
      <c r="H533" s="343">
        <v>2644</v>
      </c>
      <c r="I533" s="343">
        <v>17670</v>
      </c>
      <c r="J533" s="343">
        <v>19335</v>
      </c>
      <c r="K533" s="343">
        <v>58213</v>
      </c>
      <c r="L533" s="231"/>
      <c r="M533" s="343">
        <v>0</v>
      </c>
      <c r="N533" s="343">
        <v>0</v>
      </c>
      <c r="O533" s="343">
        <v>0</v>
      </c>
      <c r="P533" s="343">
        <v>0</v>
      </c>
      <c r="Q533" s="231"/>
      <c r="R533" s="343">
        <v>48296</v>
      </c>
      <c r="S533" s="343">
        <v>10130</v>
      </c>
      <c r="T533" s="343">
        <v>58426</v>
      </c>
    </row>
    <row r="534" spans="1:20">
      <c r="A534" s="349">
        <v>95517</v>
      </c>
      <c r="B534" s="342" t="s">
        <v>1225</v>
      </c>
      <c r="C534" s="234">
        <v>1.84E-5</v>
      </c>
      <c r="D534" s="234">
        <v>1.88E-5</v>
      </c>
      <c r="E534" s="343">
        <v>50249</v>
      </c>
      <c r="F534" s="231"/>
      <c r="G534" s="343">
        <v>8604</v>
      </c>
      <c r="H534" s="343">
        <v>1226</v>
      </c>
      <c r="I534" s="343">
        <v>8190</v>
      </c>
      <c r="J534" s="343">
        <v>6177</v>
      </c>
      <c r="K534" s="343">
        <v>24197</v>
      </c>
      <c r="L534" s="231"/>
      <c r="M534" s="343">
        <v>0</v>
      </c>
      <c r="N534" s="343">
        <v>0</v>
      </c>
      <c r="O534" s="343">
        <v>1931</v>
      </c>
      <c r="P534" s="343">
        <v>1931</v>
      </c>
      <c r="Q534" s="231"/>
      <c r="R534" s="343">
        <v>22384</v>
      </c>
      <c r="S534" s="343">
        <v>4635</v>
      </c>
      <c r="T534" s="343">
        <v>27019</v>
      </c>
    </row>
    <row r="535" spans="1:20">
      <c r="A535" s="349">
        <v>95601</v>
      </c>
      <c r="B535" s="342" t="s">
        <v>1226</v>
      </c>
      <c r="C535" s="234">
        <v>2.4459999999999998E-3</v>
      </c>
      <c r="D535" s="234">
        <v>2.6251999999999998E-3</v>
      </c>
      <c r="E535" s="343">
        <v>6679835</v>
      </c>
      <c r="F535" s="231"/>
      <c r="G535" s="343">
        <v>1143757</v>
      </c>
      <c r="H535" s="343">
        <v>162930</v>
      </c>
      <c r="I535" s="343">
        <v>1088702</v>
      </c>
      <c r="J535" s="343">
        <v>10163</v>
      </c>
      <c r="K535" s="343">
        <v>2405552</v>
      </c>
      <c r="L535" s="231"/>
      <c r="M535" s="343">
        <v>0</v>
      </c>
      <c r="N535" s="343">
        <v>0</v>
      </c>
      <c r="O535" s="343">
        <v>172897</v>
      </c>
      <c r="P535" s="343">
        <v>172897</v>
      </c>
      <c r="Q535" s="231"/>
      <c r="R535" s="343">
        <v>2975591</v>
      </c>
      <c r="S535" s="343">
        <v>-23590</v>
      </c>
      <c r="T535" s="343">
        <v>2952001</v>
      </c>
    </row>
    <row r="536" spans="1:20">
      <c r="A536" s="349">
        <v>95611</v>
      </c>
      <c r="B536" s="342" t="s">
        <v>1227</v>
      </c>
      <c r="C536" s="234">
        <v>3.7889999999999999E-4</v>
      </c>
      <c r="D536" s="234">
        <v>3.8440000000000002E-4</v>
      </c>
      <c r="E536" s="343">
        <v>1034746</v>
      </c>
      <c r="F536" s="231"/>
      <c r="G536" s="343">
        <v>177175</v>
      </c>
      <c r="H536" s="343">
        <v>25239</v>
      </c>
      <c r="I536" s="343">
        <v>168646</v>
      </c>
      <c r="J536" s="343">
        <v>6982</v>
      </c>
      <c r="K536" s="343">
        <v>378042</v>
      </c>
      <c r="L536" s="231"/>
      <c r="M536" s="343">
        <v>0</v>
      </c>
      <c r="N536" s="343">
        <v>0</v>
      </c>
      <c r="O536" s="343">
        <v>2022</v>
      </c>
      <c r="P536" s="343">
        <v>2022</v>
      </c>
      <c r="Q536" s="231"/>
      <c r="R536" s="343">
        <v>460937</v>
      </c>
      <c r="S536" s="343">
        <v>351</v>
      </c>
      <c r="T536" s="343">
        <v>461288</v>
      </c>
    </row>
    <row r="537" spans="1:20">
      <c r="A537" s="349">
        <v>95617</v>
      </c>
      <c r="B537" s="342" t="s">
        <v>1228</v>
      </c>
      <c r="C537" s="234">
        <v>1.49E-5</v>
      </c>
      <c r="D537" s="234">
        <v>1.59E-5</v>
      </c>
      <c r="E537" s="343">
        <v>40691</v>
      </c>
      <c r="F537" s="231"/>
      <c r="G537" s="343">
        <v>6967</v>
      </c>
      <c r="H537" s="343">
        <v>993</v>
      </c>
      <c r="I537" s="343">
        <v>6632</v>
      </c>
      <c r="J537" s="343">
        <v>986</v>
      </c>
      <c r="K537" s="343">
        <v>15578</v>
      </c>
      <c r="L537" s="231"/>
      <c r="M537" s="343">
        <v>0</v>
      </c>
      <c r="N537" s="343">
        <v>0</v>
      </c>
      <c r="O537" s="343">
        <v>0</v>
      </c>
      <c r="P537" s="343">
        <v>0</v>
      </c>
      <c r="Q537" s="231"/>
      <c r="R537" s="343">
        <v>18126</v>
      </c>
      <c r="S537" s="343">
        <v>-17</v>
      </c>
      <c r="T537" s="343">
        <v>18109</v>
      </c>
    </row>
    <row r="538" spans="1:20">
      <c r="A538" s="349">
        <v>95621</v>
      </c>
      <c r="B538" s="342" t="s">
        <v>1229</v>
      </c>
      <c r="C538" s="234">
        <v>4.5750000000000001E-4</v>
      </c>
      <c r="D538" s="234">
        <v>4.9019999999999999E-4</v>
      </c>
      <c r="E538" s="343">
        <v>1249397</v>
      </c>
      <c r="F538" s="231"/>
      <c r="G538" s="343">
        <v>213928</v>
      </c>
      <c r="H538" s="343">
        <v>30474</v>
      </c>
      <c r="I538" s="343">
        <v>203631</v>
      </c>
      <c r="J538" s="343">
        <v>31778</v>
      </c>
      <c r="K538" s="343">
        <v>479811</v>
      </c>
      <c r="L538" s="231"/>
      <c r="M538" s="343">
        <v>0</v>
      </c>
      <c r="N538" s="343">
        <v>0</v>
      </c>
      <c r="O538" s="343">
        <v>23030</v>
      </c>
      <c r="P538" s="343">
        <v>23030</v>
      </c>
      <c r="Q538" s="231"/>
      <c r="R538" s="343">
        <v>556555</v>
      </c>
      <c r="S538" s="343">
        <v>3606</v>
      </c>
      <c r="T538" s="343">
        <v>560161</v>
      </c>
    </row>
    <row r="539" spans="1:20">
      <c r="A539" s="349">
        <v>95701</v>
      </c>
      <c r="B539" s="342" t="s">
        <v>1230</v>
      </c>
      <c r="C539" s="234">
        <v>1.2156000000000001E-3</v>
      </c>
      <c r="D539" s="234">
        <v>1.3044E-3</v>
      </c>
      <c r="E539" s="343">
        <v>3319709</v>
      </c>
      <c r="F539" s="231"/>
      <c r="G539" s="343">
        <v>568418</v>
      </c>
      <c r="H539" s="343">
        <v>80973</v>
      </c>
      <c r="I539" s="343">
        <v>541057</v>
      </c>
      <c r="J539" s="343">
        <v>19199</v>
      </c>
      <c r="K539" s="343">
        <v>1209647</v>
      </c>
      <c r="L539" s="231"/>
      <c r="M539" s="343">
        <v>0</v>
      </c>
      <c r="N539" s="343">
        <v>0</v>
      </c>
      <c r="O539" s="343">
        <v>149768</v>
      </c>
      <c r="P539" s="343">
        <v>149768</v>
      </c>
      <c r="Q539" s="231"/>
      <c r="R539" s="343">
        <v>1478793</v>
      </c>
      <c r="S539" s="343">
        <v>-27093</v>
      </c>
      <c r="T539" s="343">
        <v>1451700</v>
      </c>
    </row>
    <row r="540" spans="1:20">
      <c r="A540" s="349">
        <v>95711</v>
      </c>
      <c r="B540" s="342" t="s">
        <v>1231</v>
      </c>
      <c r="C540" s="234">
        <v>1.4320000000000001E-4</v>
      </c>
      <c r="D540" s="234">
        <v>1.4349999999999999E-4</v>
      </c>
      <c r="E540" s="343">
        <v>391068</v>
      </c>
      <c r="F540" s="231"/>
      <c r="G540" s="343">
        <v>66961</v>
      </c>
      <c r="H540" s="343">
        <v>9538</v>
      </c>
      <c r="I540" s="343">
        <v>63738</v>
      </c>
      <c r="J540" s="343">
        <v>227</v>
      </c>
      <c r="K540" s="343">
        <v>140464</v>
      </c>
      <c r="L540" s="231"/>
      <c r="M540" s="343">
        <v>0</v>
      </c>
      <c r="N540" s="343">
        <v>0</v>
      </c>
      <c r="O540" s="343">
        <v>13477</v>
      </c>
      <c r="P540" s="343">
        <v>13477</v>
      </c>
      <c r="Q540" s="231"/>
      <c r="R540" s="343">
        <v>174205</v>
      </c>
      <c r="S540" s="343">
        <v>-1737</v>
      </c>
      <c r="T540" s="343">
        <v>172468</v>
      </c>
    </row>
    <row r="541" spans="1:20">
      <c r="A541" s="349">
        <v>95721</v>
      </c>
      <c r="B541" s="342" t="s">
        <v>1232</v>
      </c>
      <c r="C541" s="234">
        <v>6.58E-5</v>
      </c>
      <c r="D541" s="234">
        <v>6.7799999999999995E-5</v>
      </c>
      <c r="E541" s="343">
        <v>179695</v>
      </c>
      <c r="F541" s="231"/>
      <c r="G541" s="343">
        <v>30768</v>
      </c>
      <c r="H541" s="343">
        <v>4383</v>
      </c>
      <c r="I541" s="343">
        <v>29287</v>
      </c>
      <c r="J541" s="343">
        <v>0</v>
      </c>
      <c r="K541" s="343">
        <v>64438</v>
      </c>
      <c r="L541" s="231"/>
      <c r="M541" s="343">
        <v>0</v>
      </c>
      <c r="N541" s="343">
        <v>0</v>
      </c>
      <c r="O541" s="343">
        <v>7182</v>
      </c>
      <c r="P541" s="343">
        <v>7182</v>
      </c>
      <c r="Q541" s="231"/>
      <c r="R541" s="343">
        <v>80047</v>
      </c>
      <c r="S541" s="343">
        <v>-3340</v>
      </c>
      <c r="T541" s="343">
        <v>76707</v>
      </c>
    </row>
    <row r="542" spans="1:20">
      <c r="A542" s="349">
        <v>95733</v>
      </c>
      <c r="B542" s="342" t="s">
        <v>1233</v>
      </c>
      <c r="C542" s="234">
        <v>1.43E-5</v>
      </c>
      <c r="D542" s="234">
        <v>1.5500000000000001E-5</v>
      </c>
      <c r="E542" s="343">
        <v>39052</v>
      </c>
      <c r="F542" s="231"/>
      <c r="G542" s="343">
        <v>6687</v>
      </c>
      <c r="H542" s="343">
        <v>952</v>
      </c>
      <c r="I542" s="343">
        <v>6365</v>
      </c>
      <c r="J542" s="343">
        <v>41</v>
      </c>
      <c r="K542" s="343">
        <v>14045</v>
      </c>
      <c r="L542" s="231"/>
      <c r="M542" s="343">
        <v>0</v>
      </c>
      <c r="N542" s="343">
        <v>0</v>
      </c>
      <c r="O542" s="343">
        <v>1037</v>
      </c>
      <c r="P542" s="343">
        <v>1037</v>
      </c>
      <c r="Q542" s="231"/>
      <c r="R542" s="343">
        <v>17396</v>
      </c>
      <c r="S542" s="343">
        <v>-94</v>
      </c>
      <c r="T542" s="343">
        <v>17302</v>
      </c>
    </row>
    <row r="543" spans="1:20">
      <c r="A543" s="349">
        <v>95801</v>
      </c>
      <c r="B543" s="342" t="s">
        <v>1234</v>
      </c>
      <c r="C543" s="234">
        <v>9.5739999999999996E-4</v>
      </c>
      <c r="D543" s="234">
        <v>9.7999999999999997E-4</v>
      </c>
      <c r="E543" s="343">
        <v>2614585</v>
      </c>
      <c r="F543" s="231"/>
      <c r="G543" s="343">
        <v>447683</v>
      </c>
      <c r="H543" s="343">
        <v>63774</v>
      </c>
      <c r="I543" s="343">
        <v>426134</v>
      </c>
      <c r="J543" s="343">
        <v>43286</v>
      </c>
      <c r="K543" s="343">
        <v>980877</v>
      </c>
      <c r="L543" s="231"/>
      <c r="M543" s="343">
        <v>0</v>
      </c>
      <c r="N543" s="343">
        <v>0</v>
      </c>
      <c r="O543" s="343">
        <v>3919</v>
      </c>
      <c r="P543" s="343">
        <v>3919</v>
      </c>
      <c r="Q543" s="231"/>
      <c r="R543" s="343">
        <v>1164690</v>
      </c>
      <c r="S543" s="343">
        <v>22024</v>
      </c>
      <c r="T543" s="343">
        <v>1186714</v>
      </c>
    </row>
    <row r="544" spans="1:20">
      <c r="A544" s="349">
        <v>95802</v>
      </c>
      <c r="B544" s="342" t="s">
        <v>3680</v>
      </c>
      <c r="C544" s="234">
        <v>4.5000000000000001E-6</v>
      </c>
      <c r="D544" s="234">
        <v>5.4E-6</v>
      </c>
      <c r="E544" s="343">
        <v>12289</v>
      </c>
      <c r="F544" s="231"/>
      <c r="G544" s="343">
        <v>2104</v>
      </c>
      <c r="H544" s="343">
        <v>300</v>
      </c>
      <c r="I544" s="343">
        <v>2003</v>
      </c>
      <c r="J544" s="343">
        <v>4669</v>
      </c>
      <c r="K544" s="343">
        <v>9076</v>
      </c>
      <c r="L544" s="231"/>
      <c r="M544" s="343">
        <v>0</v>
      </c>
      <c r="N544" s="343">
        <v>0</v>
      </c>
      <c r="O544" s="343">
        <v>0</v>
      </c>
      <c r="P544" s="343">
        <v>0</v>
      </c>
      <c r="Q544" s="231"/>
      <c r="R544" s="343">
        <v>5474</v>
      </c>
      <c r="S544" s="343">
        <v>2138</v>
      </c>
      <c r="T544" s="343">
        <v>7612</v>
      </c>
    </row>
    <row r="545" spans="1:20">
      <c r="A545" s="349">
        <v>95804</v>
      </c>
      <c r="B545" s="342" t="s">
        <v>1236</v>
      </c>
      <c r="C545" s="234">
        <v>2.5999999999999998E-5</v>
      </c>
      <c r="D545" s="234">
        <v>2.1699999999999999E-5</v>
      </c>
      <c r="E545" s="343">
        <v>71004</v>
      </c>
      <c r="F545" s="231"/>
      <c r="G545" s="343">
        <v>12158</v>
      </c>
      <c r="H545" s="343">
        <v>1732</v>
      </c>
      <c r="I545" s="343">
        <v>11572</v>
      </c>
      <c r="J545" s="343">
        <v>1841</v>
      </c>
      <c r="K545" s="343">
        <v>27303</v>
      </c>
      <c r="L545" s="231"/>
      <c r="M545" s="343">
        <v>0</v>
      </c>
      <c r="N545" s="343">
        <v>0</v>
      </c>
      <c r="O545" s="343">
        <v>1765</v>
      </c>
      <c r="P545" s="343">
        <v>1765</v>
      </c>
      <c r="Q545" s="231"/>
      <c r="R545" s="343">
        <v>31629</v>
      </c>
      <c r="S545" s="343">
        <v>641</v>
      </c>
      <c r="T545" s="343">
        <v>32270</v>
      </c>
    </row>
    <row r="546" spans="1:20">
      <c r="A546" s="349">
        <v>95811</v>
      </c>
      <c r="B546" s="342" t="s">
        <v>1237</v>
      </c>
      <c r="C546" s="234">
        <v>5.287E-4</v>
      </c>
      <c r="D546" s="234">
        <v>5.2729999999999997E-4</v>
      </c>
      <c r="E546" s="343">
        <v>1443838</v>
      </c>
      <c r="F546" s="231"/>
      <c r="G546" s="343">
        <v>247222</v>
      </c>
      <c r="H546" s="343">
        <v>35217</v>
      </c>
      <c r="I546" s="343">
        <v>235322</v>
      </c>
      <c r="J546" s="343">
        <v>2826</v>
      </c>
      <c r="K546" s="343">
        <v>520587</v>
      </c>
      <c r="L546" s="231"/>
      <c r="M546" s="343">
        <v>0</v>
      </c>
      <c r="N546" s="343">
        <v>0</v>
      </c>
      <c r="O546" s="343">
        <v>939</v>
      </c>
      <c r="P546" s="343">
        <v>939</v>
      </c>
      <c r="Q546" s="231"/>
      <c r="R546" s="343">
        <v>643170</v>
      </c>
      <c r="S546" s="343">
        <v>-922</v>
      </c>
      <c r="T546" s="343">
        <v>642248</v>
      </c>
    </row>
    <row r="547" spans="1:20">
      <c r="A547" s="349">
        <v>95813</v>
      </c>
      <c r="B547" s="342" t="s">
        <v>1238</v>
      </c>
      <c r="C547" s="234">
        <v>4.4100000000000001E-5</v>
      </c>
      <c r="D547" s="234">
        <v>5.0699999999999999E-5</v>
      </c>
      <c r="E547" s="343">
        <v>120434</v>
      </c>
      <c r="F547" s="231"/>
      <c r="G547" s="343">
        <v>20621</v>
      </c>
      <c r="H547" s="343">
        <v>2938</v>
      </c>
      <c r="I547" s="343">
        <v>19629</v>
      </c>
      <c r="J547" s="343">
        <v>79656</v>
      </c>
      <c r="K547" s="343">
        <v>122844</v>
      </c>
      <c r="L547" s="231"/>
      <c r="M547" s="343">
        <v>0</v>
      </c>
      <c r="N547" s="343">
        <v>0</v>
      </c>
      <c r="O547" s="343">
        <v>0</v>
      </c>
      <c r="P547" s="343">
        <v>0</v>
      </c>
      <c r="Q547" s="231"/>
      <c r="R547" s="343">
        <v>53648</v>
      </c>
      <c r="S547" s="343">
        <v>38959</v>
      </c>
      <c r="T547" s="343">
        <v>92607</v>
      </c>
    </row>
    <row r="548" spans="1:20">
      <c r="A548" s="349">
        <v>95821</v>
      </c>
      <c r="B548" s="342" t="s">
        <v>1239</v>
      </c>
      <c r="C548" s="234">
        <v>6.3999999999999997E-6</v>
      </c>
      <c r="D548" s="234">
        <v>0</v>
      </c>
      <c r="E548" s="343">
        <v>17478</v>
      </c>
      <c r="F548" s="231"/>
      <c r="G548" s="343">
        <v>2993</v>
      </c>
      <c r="H548" s="343">
        <v>426</v>
      </c>
      <c r="I548" s="343">
        <v>2849</v>
      </c>
      <c r="J548" s="343">
        <v>6306</v>
      </c>
      <c r="K548" s="343">
        <v>12574</v>
      </c>
      <c r="L548" s="231"/>
      <c r="M548" s="343">
        <v>0</v>
      </c>
      <c r="N548" s="343">
        <v>0</v>
      </c>
      <c r="O548" s="343">
        <v>326</v>
      </c>
      <c r="P548" s="343">
        <v>326</v>
      </c>
      <c r="Q548" s="231"/>
      <c r="R548" s="343">
        <v>7786</v>
      </c>
      <c r="S548" s="343">
        <v>1901</v>
      </c>
      <c r="T548" s="343">
        <v>9687</v>
      </c>
    </row>
    <row r="549" spans="1:20">
      <c r="A549" s="349">
        <v>95831</v>
      </c>
      <c r="B549" s="342" t="s">
        <v>1240</v>
      </c>
      <c r="C549" s="234">
        <v>1.9899999999999999E-5</v>
      </c>
      <c r="D549" s="234">
        <v>1.8E-5</v>
      </c>
      <c r="E549" s="343">
        <v>54345</v>
      </c>
      <c r="F549" s="231"/>
      <c r="G549" s="343">
        <v>9305</v>
      </c>
      <c r="H549" s="343">
        <v>1326</v>
      </c>
      <c r="I549" s="343">
        <v>8857</v>
      </c>
      <c r="J549" s="343">
        <v>21775</v>
      </c>
      <c r="K549" s="343">
        <v>41263</v>
      </c>
      <c r="L549" s="231"/>
      <c r="M549" s="343">
        <v>0</v>
      </c>
      <c r="N549" s="343">
        <v>0</v>
      </c>
      <c r="O549" s="343">
        <v>0</v>
      </c>
      <c r="P549" s="343">
        <v>0</v>
      </c>
      <c r="Q549" s="231"/>
      <c r="R549" s="343">
        <v>24209</v>
      </c>
      <c r="S549" s="343">
        <v>11381</v>
      </c>
      <c r="T549" s="343">
        <v>35590</v>
      </c>
    </row>
    <row r="550" spans="1:20">
      <c r="A550" s="349">
        <v>95841</v>
      </c>
      <c r="B550" s="342" t="s">
        <v>1241</v>
      </c>
      <c r="C550" s="234">
        <v>2.58E-5</v>
      </c>
      <c r="D550" s="234">
        <v>2.0000000000000002E-5</v>
      </c>
      <c r="E550" s="343">
        <v>70458</v>
      </c>
      <c r="F550" s="231"/>
      <c r="G550" s="343">
        <v>12064</v>
      </c>
      <c r="H550" s="343">
        <v>1719</v>
      </c>
      <c r="I550" s="343">
        <v>11483</v>
      </c>
      <c r="J550" s="343">
        <v>5942</v>
      </c>
      <c r="K550" s="343">
        <v>31208</v>
      </c>
      <c r="L550" s="231"/>
      <c r="M550" s="343">
        <v>0</v>
      </c>
      <c r="N550" s="343">
        <v>0</v>
      </c>
      <c r="O550" s="343">
        <v>0</v>
      </c>
      <c r="P550" s="343">
        <v>0</v>
      </c>
      <c r="Q550" s="231"/>
      <c r="R550" s="343">
        <v>31386</v>
      </c>
      <c r="S550" s="343">
        <v>2072</v>
      </c>
      <c r="T550" s="343">
        <v>33458</v>
      </c>
    </row>
    <row r="551" spans="1:20">
      <c r="A551" s="349">
        <v>95851</v>
      </c>
      <c r="B551" s="342" t="s">
        <v>1242</v>
      </c>
      <c r="C551" s="234">
        <v>1.26E-4</v>
      </c>
      <c r="D551" s="234">
        <v>1.403E-4</v>
      </c>
      <c r="E551" s="343">
        <v>344096</v>
      </c>
      <c r="F551" s="231"/>
      <c r="G551" s="343">
        <v>58918</v>
      </c>
      <c r="H551" s="343">
        <v>8393</v>
      </c>
      <c r="I551" s="343">
        <v>56082</v>
      </c>
      <c r="J551" s="343">
        <v>141070</v>
      </c>
      <c r="K551" s="343">
        <v>264463</v>
      </c>
      <c r="L551" s="231"/>
      <c r="M551" s="343">
        <v>0</v>
      </c>
      <c r="N551" s="343">
        <v>0</v>
      </c>
      <c r="O551" s="343">
        <v>0</v>
      </c>
      <c r="P551" s="343">
        <v>0</v>
      </c>
      <c r="Q551" s="231"/>
      <c r="R551" s="343">
        <v>153281</v>
      </c>
      <c r="S551" s="343">
        <v>69620</v>
      </c>
      <c r="T551" s="343">
        <v>222901</v>
      </c>
    </row>
    <row r="552" spans="1:20">
      <c r="A552" s="349">
        <v>95853</v>
      </c>
      <c r="B552" s="342" t="s">
        <v>1243</v>
      </c>
      <c r="C552" s="234">
        <v>3.0300000000000001E-5</v>
      </c>
      <c r="D552" s="234">
        <v>3.1300000000000002E-5</v>
      </c>
      <c r="E552" s="343">
        <v>82747</v>
      </c>
      <c r="F552" s="231"/>
      <c r="G552" s="343">
        <v>14168</v>
      </c>
      <c r="H552" s="343">
        <v>2018</v>
      </c>
      <c r="I552" s="343">
        <v>13486</v>
      </c>
      <c r="J552" s="343">
        <v>5360</v>
      </c>
      <c r="K552" s="343">
        <v>35032</v>
      </c>
      <c r="L552" s="231"/>
      <c r="M552" s="343">
        <v>0</v>
      </c>
      <c r="N552" s="343">
        <v>0</v>
      </c>
      <c r="O552" s="343">
        <v>587</v>
      </c>
      <c r="P552" s="343">
        <v>587</v>
      </c>
      <c r="Q552" s="231"/>
      <c r="R552" s="343">
        <v>36860</v>
      </c>
      <c r="S552" s="343">
        <v>3279</v>
      </c>
      <c r="T552" s="343">
        <v>40139</v>
      </c>
    </row>
    <row r="553" spans="1:20">
      <c r="A553" s="349">
        <v>95901</v>
      </c>
      <c r="B553" s="342" t="s">
        <v>1244</v>
      </c>
      <c r="C553" s="234">
        <v>1.9935E-3</v>
      </c>
      <c r="D553" s="234">
        <v>1.9158000000000001E-3</v>
      </c>
      <c r="E553" s="343">
        <v>5444093</v>
      </c>
      <c r="F553" s="231"/>
      <c r="G553" s="343">
        <v>932167</v>
      </c>
      <c r="H553" s="343">
        <v>132789</v>
      </c>
      <c r="I553" s="343">
        <v>887297</v>
      </c>
      <c r="J553" s="343">
        <v>0</v>
      </c>
      <c r="K553" s="343">
        <v>1952253</v>
      </c>
      <c r="L553" s="231"/>
      <c r="M553" s="343">
        <v>0</v>
      </c>
      <c r="N553" s="343">
        <v>0</v>
      </c>
      <c r="O553" s="343">
        <v>9248</v>
      </c>
      <c r="P553" s="343">
        <v>9248</v>
      </c>
      <c r="Q553" s="231"/>
      <c r="R553" s="343">
        <v>2425119</v>
      </c>
      <c r="S553" s="343">
        <v>-1062</v>
      </c>
      <c r="T553" s="343">
        <v>2424057</v>
      </c>
    </row>
    <row r="554" spans="1:20">
      <c r="A554" s="349">
        <v>95908</v>
      </c>
      <c r="B554" s="342" t="s">
        <v>3681</v>
      </c>
      <c r="C554" s="234">
        <v>7.1500000000000003E-5</v>
      </c>
      <c r="D554" s="234">
        <v>6.1099999999999994E-5</v>
      </c>
      <c r="E554" s="343">
        <v>195261</v>
      </c>
      <c r="F554" s="231"/>
      <c r="G554" s="343">
        <v>33434</v>
      </c>
      <c r="H554" s="343">
        <v>4763</v>
      </c>
      <c r="I554" s="343">
        <v>31824</v>
      </c>
      <c r="J554" s="343">
        <v>2130</v>
      </c>
      <c r="K554" s="343">
        <v>72151</v>
      </c>
      <c r="L554" s="231"/>
      <c r="M554" s="343">
        <v>0</v>
      </c>
      <c r="N554" s="343">
        <v>0</v>
      </c>
      <c r="O554" s="343">
        <v>12079</v>
      </c>
      <c r="P554" s="343">
        <v>12079</v>
      </c>
      <c r="Q554" s="231"/>
      <c r="R554" s="343">
        <v>86981</v>
      </c>
      <c r="S554" s="343">
        <v>-9339</v>
      </c>
      <c r="T554" s="343">
        <v>77642</v>
      </c>
    </row>
    <row r="555" spans="1:20">
      <c r="A555" s="349">
        <v>95911</v>
      </c>
      <c r="B555" s="342" t="s">
        <v>1246</v>
      </c>
      <c r="C555" s="234">
        <v>5.6829999999999999E-4</v>
      </c>
      <c r="D555" s="234">
        <v>5.576E-4</v>
      </c>
      <c r="E555" s="343">
        <v>1551983</v>
      </c>
      <c r="F555" s="231"/>
      <c r="G555" s="343">
        <v>265739</v>
      </c>
      <c r="H555" s="343">
        <v>37855</v>
      </c>
      <c r="I555" s="343">
        <v>252947</v>
      </c>
      <c r="J555" s="343">
        <v>0</v>
      </c>
      <c r="K555" s="343">
        <v>556541</v>
      </c>
      <c r="L555" s="231"/>
      <c r="M555" s="343">
        <v>0</v>
      </c>
      <c r="N555" s="343">
        <v>0</v>
      </c>
      <c r="O555" s="343">
        <v>37793</v>
      </c>
      <c r="P555" s="343">
        <v>37793</v>
      </c>
      <c r="Q555" s="231"/>
      <c r="R555" s="343">
        <v>691344</v>
      </c>
      <c r="S555" s="343">
        <v>-18101</v>
      </c>
      <c r="T555" s="343">
        <v>673243</v>
      </c>
    </row>
    <row r="556" spans="1:20">
      <c r="A556" s="349">
        <v>95917</v>
      </c>
      <c r="B556" s="342" t="s">
        <v>1247</v>
      </c>
      <c r="C556" s="234">
        <v>1.8600000000000001E-5</v>
      </c>
      <c r="D556" s="234">
        <v>2.05E-5</v>
      </c>
      <c r="E556" s="343">
        <v>50795</v>
      </c>
      <c r="F556" s="231"/>
      <c r="G556" s="343">
        <v>8697</v>
      </c>
      <c r="H556" s="343">
        <v>1239</v>
      </c>
      <c r="I556" s="343">
        <v>8279</v>
      </c>
      <c r="J556" s="343">
        <v>1449</v>
      </c>
      <c r="K556" s="343">
        <v>19664</v>
      </c>
      <c r="L556" s="231"/>
      <c r="M556" s="343">
        <v>0</v>
      </c>
      <c r="N556" s="343">
        <v>0</v>
      </c>
      <c r="O556" s="343">
        <v>2540</v>
      </c>
      <c r="P556" s="343">
        <v>2540</v>
      </c>
      <c r="Q556" s="231"/>
      <c r="R556" s="343">
        <v>22627</v>
      </c>
      <c r="S556" s="343">
        <v>214</v>
      </c>
      <c r="T556" s="343">
        <v>22841</v>
      </c>
    </row>
    <row r="557" spans="1:20">
      <c r="A557" s="349">
        <v>95921</v>
      </c>
      <c r="B557" s="342" t="s">
        <v>1248</v>
      </c>
      <c r="C557" s="234">
        <v>5.4200000000000003E-5</v>
      </c>
      <c r="D557" s="234">
        <v>4.9799999999999998E-5</v>
      </c>
      <c r="E557" s="343">
        <v>148016</v>
      </c>
      <c r="F557" s="231"/>
      <c r="G557" s="343">
        <v>25344</v>
      </c>
      <c r="H557" s="343">
        <v>3611</v>
      </c>
      <c r="I557" s="343">
        <v>24124</v>
      </c>
      <c r="J557" s="343">
        <v>7363</v>
      </c>
      <c r="K557" s="343">
        <v>60442</v>
      </c>
      <c r="L557" s="231"/>
      <c r="M557" s="343">
        <v>0</v>
      </c>
      <c r="N557" s="343">
        <v>0</v>
      </c>
      <c r="O557" s="343">
        <v>0</v>
      </c>
      <c r="P557" s="343">
        <v>0</v>
      </c>
      <c r="Q557" s="231"/>
      <c r="R557" s="343">
        <v>65935</v>
      </c>
      <c r="S557" s="343">
        <v>3136</v>
      </c>
      <c r="T557" s="343">
        <v>69071</v>
      </c>
    </row>
    <row r="558" spans="1:20">
      <c r="A558" s="349">
        <v>96001</v>
      </c>
      <c r="B558" s="342" t="s">
        <v>1249</v>
      </c>
      <c r="C558" s="234">
        <v>4.3367500000000003E-2</v>
      </c>
      <c r="D558" s="234">
        <v>4.3840400000000002E-2</v>
      </c>
      <c r="E558" s="343">
        <v>118433260</v>
      </c>
      <c r="F558" s="231"/>
      <c r="G558" s="343">
        <v>20278773</v>
      </c>
      <c r="H558" s="343">
        <v>2888752</v>
      </c>
      <c r="I558" s="343">
        <v>19302657</v>
      </c>
      <c r="J558" s="343">
        <v>0</v>
      </c>
      <c r="K558" s="343">
        <v>42470182</v>
      </c>
      <c r="L558" s="231"/>
      <c r="M558" s="343">
        <v>0</v>
      </c>
      <c r="N558" s="343">
        <v>0</v>
      </c>
      <c r="O558" s="343">
        <v>672724</v>
      </c>
      <c r="P558" s="343">
        <v>672724</v>
      </c>
      <c r="Q558" s="231"/>
      <c r="R558" s="343">
        <v>52757128</v>
      </c>
      <c r="S558" s="343">
        <v>-161384</v>
      </c>
      <c r="T558" s="343">
        <v>52595744</v>
      </c>
    </row>
    <row r="559" spans="1:20">
      <c r="A559" s="349">
        <v>96003</v>
      </c>
      <c r="B559" s="342" t="s">
        <v>1250</v>
      </c>
      <c r="C559" s="234">
        <v>1.6620000000000001E-3</v>
      </c>
      <c r="D559" s="234">
        <v>1.6191999999999999E-3</v>
      </c>
      <c r="E559" s="343">
        <v>4538792</v>
      </c>
      <c r="F559" s="231"/>
      <c r="G559" s="343">
        <v>777156</v>
      </c>
      <c r="H559" s="343">
        <v>110708</v>
      </c>
      <c r="I559" s="343">
        <v>739748</v>
      </c>
      <c r="J559" s="343">
        <v>41167</v>
      </c>
      <c r="K559" s="343">
        <v>1668779</v>
      </c>
      <c r="L559" s="231"/>
      <c r="M559" s="343">
        <v>0</v>
      </c>
      <c r="N559" s="343">
        <v>0</v>
      </c>
      <c r="O559" s="343">
        <v>108882</v>
      </c>
      <c r="P559" s="343">
        <v>108882</v>
      </c>
      <c r="Q559" s="231"/>
      <c r="R559" s="343">
        <v>2021845</v>
      </c>
      <c r="S559" s="343">
        <v>-41472</v>
      </c>
      <c r="T559" s="343">
        <v>1980373</v>
      </c>
    </row>
    <row r="560" spans="1:20">
      <c r="A560" s="349">
        <v>96004</v>
      </c>
      <c r="B560" s="342" t="s">
        <v>1251</v>
      </c>
      <c r="C560" s="234">
        <v>9.3959999999999996E-4</v>
      </c>
      <c r="D560" s="234">
        <v>9.0419999999999997E-4</v>
      </c>
      <c r="E560" s="343">
        <v>2565974</v>
      </c>
      <c r="F560" s="231"/>
      <c r="G560" s="343">
        <v>439360</v>
      </c>
      <c r="H560" s="343">
        <v>62588</v>
      </c>
      <c r="I560" s="343">
        <v>418211</v>
      </c>
      <c r="J560" s="343">
        <v>151395</v>
      </c>
      <c r="K560" s="343">
        <v>1071554</v>
      </c>
      <c r="L560" s="231"/>
      <c r="M560" s="343">
        <v>0</v>
      </c>
      <c r="N560" s="343">
        <v>0</v>
      </c>
      <c r="O560" s="343">
        <v>0</v>
      </c>
      <c r="P560" s="343">
        <v>0</v>
      </c>
      <c r="Q560" s="231"/>
      <c r="R560" s="343">
        <v>1143036</v>
      </c>
      <c r="S560" s="343">
        <v>74968</v>
      </c>
      <c r="T560" s="343">
        <v>1218004</v>
      </c>
    </row>
    <row r="561" spans="1:20">
      <c r="A561" s="349">
        <v>96005</v>
      </c>
      <c r="B561" s="342" t="s">
        <v>1252</v>
      </c>
      <c r="C561" s="234">
        <v>2.4467E-3</v>
      </c>
      <c r="D561" s="234">
        <v>2.6172999999999999E-3</v>
      </c>
      <c r="E561" s="343">
        <v>6681747</v>
      </c>
      <c r="F561" s="231"/>
      <c r="G561" s="343">
        <v>1144084</v>
      </c>
      <c r="H561" s="343">
        <v>162977</v>
      </c>
      <c r="I561" s="343">
        <v>1089014</v>
      </c>
      <c r="J561" s="343">
        <v>17394</v>
      </c>
      <c r="K561" s="343">
        <v>2413469</v>
      </c>
      <c r="L561" s="231"/>
      <c r="M561" s="343">
        <v>0</v>
      </c>
      <c r="N561" s="343">
        <v>0</v>
      </c>
      <c r="O561" s="343">
        <v>102840</v>
      </c>
      <c r="P561" s="343">
        <v>102840</v>
      </c>
      <c r="Q561" s="231"/>
      <c r="R561" s="343">
        <v>2976442</v>
      </c>
      <c r="S561" s="343">
        <v>20584</v>
      </c>
      <c r="T561" s="343">
        <v>2997026</v>
      </c>
    </row>
    <row r="562" spans="1:20" ht="30">
      <c r="A562" s="349">
        <v>96008</v>
      </c>
      <c r="B562" s="342" t="s">
        <v>3682</v>
      </c>
      <c r="C562" s="234">
        <v>6.1741000000000001E-3</v>
      </c>
      <c r="D562" s="234">
        <v>6.1884000000000002E-3</v>
      </c>
      <c r="E562" s="343">
        <v>16860986</v>
      </c>
      <c r="F562" s="231"/>
      <c r="G562" s="343">
        <v>2887028</v>
      </c>
      <c r="H562" s="343">
        <v>411263</v>
      </c>
      <c r="I562" s="343">
        <v>2748061</v>
      </c>
      <c r="J562" s="343">
        <v>0</v>
      </c>
      <c r="K562" s="343">
        <v>6046352</v>
      </c>
      <c r="L562" s="231"/>
      <c r="M562" s="343">
        <v>0</v>
      </c>
      <c r="N562" s="343">
        <v>0</v>
      </c>
      <c r="O562" s="343">
        <v>1244707</v>
      </c>
      <c r="P562" s="343">
        <v>1244707</v>
      </c>
      <c r="Q562" s="231"/>
      <c r="R562" s="343">
        <v>7510873</v>
      </c>
      <c r="S562" s="343">
        <v>-456370</v>
      </c>
      <c r="T562" s="343">
        <v>7054503</v>
      </c>
    </row>
    <row r="563" spans="1:20">
      <c r="A563" s="349">
        <v>96009</v>
      </c>
      <c r="B563" s="342" t="s">
        <v>1254</v>
      </c>
      <c r="C563" s="234">
        <v>3.5409999999999999E-4</v>
      </c>
      <c r="D563" s="234">
        <v>3.8460000000000002E-4</v>
      </c>
      <c r="E563" s="343">
        <v>967019</v>
      </c>
      <c r="F563" s="231"/>
      <c r="G563" s="343">
        <v>165578</v>
      </c>
      <c r="H563" s="343">
        <v>23587</v>
      </c>
      <c r="I563" s="343">
        <v>157608</v>
      </c>
      <c r="J563" s="343">
        <v>32780</v>
      </c>
      <c r="K563" s="343">
        <v>379553</v>
      </c>
      <c r="L563" s="231"/>
      <c r="M563" s="343">
        <v>0</v>
      </c>
      <c r="N563" s="343">
        <v>0</v>
      </c>
      <c r="O563" s="343">
        <v>6198</v>
      </c>
      <c r="P563" s="343">
        <v>6198</v>
      </c>
      <c r="Q563" s="231"/>
      <c r="R563" s="343">
        <v>430767</v>
      </c>
      <c r="S563" s="343">
        <v>11845</v>
      </c>
      <c r="T563" s="343">
        <v>442612</v>
      </c>
    </row>
    <row r="564" spans="1:20">
      <c r="A564" s="349">
        <v>96011</v>
      </c>
      <c r="B564" s="342" t="s">
        <v>1255</v>
      </c>
      <c r="C564" s="234">
        <v>6.3204399999999994E-2</v>
      </c>
      <c r="D564" s="234">
        <v>6.2526600000000002E-2</v>
      </c>
      <c r="E564" s="343">
        <v>172606286</v>
      </c>
      <c r="F564" s="231"/>
      <c r="G564" s="343">
        <v>29554567</v>
      </c>
      <c r="H564" s="343">
        <v>4210108</v>
      </c>
      <c r="I564" s="343">
        <v>28131962</v>
      </c>
      <c r="J564" s="343">
        <v>1851231</v>
      </c>
      <c r="K564" s="343">
        <v>63747868</v>
      </c>
      <c r="L564" s="231"/>
      <c r="M564" s="343">
        <v>0</v>
      </c>
      <c r="N564" s="343">
        <v>0</v>
      </c>
      <c r="O564" s="343">
        <v>15079</v>
      </c>
      <c r="P564" s="343">
        <v>15079</v>
      </c>
      <c r="Q564" s="231"/>
      <c r="R564" s="343">
        <v>76888974</v>
      </c>
      <c r="S564" s="343">
        <v>636066</v>
      </c>
      <c r="T564" s="343">
        <v>77525040</v>
      </c>
    </row>
    <row r="565" spans="1:20">
      <c r="A565" s="349">
        <v>96012</v>
      </c>
      <c r="B565" s="342" t="s">
        <v>1256</v>
      </c>
      <c r="C565" s="234">
        <v>2.5593E-3</v>
      </c>
      <c r="D565" s="234">
        <v>2.5303000000000001E-3</v>
      </c>
      <c r="E565" s="343">
        <v>6989249</v>
      </c>
      <c r="F565" s="231"/>
      <c r="G565" s="343">
        <v>1196736</v>
      </c>
      <c r="H565" s="343">
        <v>170478</v>
      </c>
      <c r="I565" s="343">
        <v>1139132</v>
      </c>
      <c r="J565" s="343">
        <v>56615</v>
      </c>
      <c r="K565" s="343">
        <v>2562961</v>
      </c>
      <c r="L565" s="231"/>
      <c r="M565" s="343">
        <v>0</v>
      </c>
      <c r="N565" s="343">
        <v>0</v>
      </c>
      <c r="O565" s="343">
        <v>3190</v>
      </c>
      <c r="P565" s="343">
        <v>3190</v>
      </c>
      <c r="Q565" s="231"/>
      <c r="R565" s="343">
        <v>3113422</v>
      </c>
      <c r="S565" s="343">
        <v>38388</v>
      </c>
      <c r="T565" s="343">
        <v>3151810</v>
      </c>
    </row>
    <row r="566" spans="1:20">
      <c r="A566" s="349">
        <v>96018</v>
      </c>
      <c r="B566" s="342" t="s">
        <v>3683</v>
      </c>
      <c r="C566" s="234">
        <v>3.4199999999999998E-5</v>
      </c>
      <c r="D566" s="234">
        <v>4.5000000000000003E-5</v>
      </c>
      <c r="E566" s="343">
        <v>93398</v>
      </c>
      <c r="F566" s="231"/>
      <c r="G566" s="343">
        <v>15992</v>
      </c>
      <c r="H566" s="343">
        <v>2278</v>
      </c>
      <c r="I566" s="343">
        <v>15222</v>
      </c>
      <c r="J566" s="343">
        <v>1784</v>
      </c>
      <c r="K566" s="343">
        <v>35276</v>
      </c>
      <c r="L566" s="231"/>
      <c r="M566" s="343">
        <v>0</v>
      </c>
      <c r="N566" s="343">
        <v>0</v>
      </c>
      <c r="O566" s="343">
        <v>8821</v>
      </c>
      <c r="P566" s="343">
        <v>8821</v>
      </c>
      <c r="Q566" s="231"/>
      <c r="R566" s="343">
        <v>41605</v>
      </c>
      <c r="S566" s="343">
        <v>-124</v>
      </c>
      <c r="T566" s="343">
        <v>41481</v>
      </c>
    </row>
    <row r="567" spans="1:20">
      <c r="A567" s="349">
        <v>96021</v>
      </c>
      <c r="B567" s="342" t="s">
        <v>1258</v>
      </c>
      <c r="C567" s="234">
        <v>7.7490000000000002E-4</v>
      </c>
      <c r="D567" s="234">
        <v>7.3760000000000004E-4</v>
      </c>
      <c r="E567" s="343">
        <v>2116191</v>
      </c>
      <c r="F567" s="231"/>
      <c r="G567" s="343">
        <v>362346</v>
      </c>
      <c r="H567" s="343">
        <v>51617</v>
      </c>
      <c r="I567" s="343">
        <v>344904</v>
      </c>
      <c r="J567" s="343">
        <v>9298</v>
      </c>
      <c r="K567" s="343">
        <v>768165</v>
      </c>
      <c r="L567" s="231"/>
      <c r="M567" s="343">
        <v>0</v>
      </c>
      <c r="N567" s="343">
        <v>0</v>
      </c>
      <c r="O567" s="343">
        <v>54758</v>
      </c>
      <c r="P567" s="343">
        <v>54758</v>
      </c>
      <c r="Q567" s="231"/>
      <c r="R567" s="343">
        <v>942676</v>
      </c>
      <c r="S567" s="343">
        <v>-16279</v>
      </c>
      <c r="T567" s="343">
        <v>926397</v>
      </c>
    </row>
    <row r="568" spans="1:20">
      <c r="A568" s="349">
        <v>96031</v>
      </c>
      <c r="B568" s="342" t="s">
        <v>1259</v>
      </c>
      <c r="C568" s="234">
        <v>8.3790000000000004E-4</v>
      </c>
      <c r="D568" s="234">
        <v>8.5170000000000005E-4</v>
      </c>
      <c r="E568" s="343">
        <v>2288240</v>
      </c>
      <c r="F568" s="231"/>
      <c r="G568" s="343">
        <v>391805</v>
      </c>
      <c r="H568" s="343">
        <v>55814</v>
      </c>
      <c r="I568" s="343">
        <v>372945</v>
      </c>
      <c r="J568" s="343">
        <v>0</v>
      </c>
      <c r="K568" s="343">
        <v>820564</v>
      </c>
      <c r="L568" s="231"/>
      <c r="M568" s="343">
        <v>0</v>
      </c>
      <c r="N568" s="343">
        <v>0</v>
      </c>
      <c r="O568" s="343">
        <v>135011</v>
      </c>
      <c r="P568" s="343">
        <v>135011</v>
      </c>
      <c r="Q568" s="231"/>
      <c r="R568" s="343">
        <v>1019316</v>
      </c>
      <c r="S568" s="343">
        <v>-73641</v>
      </c>
      <c r="T568" s="343">
        <v>945675</v>
      </c>
    </row>
    <row r="569" spans="1:20">
      <c r="A569" s="349">
        <v>96041</v>
      </c>
      <c r="B569" s="342" t="s">
        <v>1260</v>
      </c>
      <c r="C569" s="234">
        <v>1.7466000000000001E-3</v>
      </c>
      <c r="D569" s="234">
        <v>1.7003999999999999E-3</v>
      </c>
      <c r="E569" s="343">
        <v>4769828</v>
      </c>
      <c r="F569" s="231"/>
      <c r="G569" s="343">
        <v>816715</v>
      </c>
      <c r="H569" s="343">
        <v>116343</v>
      </c>
      <c r="I569" s="343">
        <v>777403</v>
      </c>
      <c r="J569" s="343">
        <v>11617</v>
      </c>
      <c r="K569" s="343">
        <v>1722078</v>
      </c>
      <c r="L569" s="231"/>
      <c r="M569" s="343">
        <v>0</v>
      </c>
      <c r="N569" s="343">
        <v>0</v>
      </c>
      <c r="O569" s="343">
        <v>101646</v>
      </c>
      <c r="P569" s="343">
        <v>101646</v>
      </c>
      <c r="Q569" s="231"/>
      <c r="R569" s="343">
        <v>2124762</v>
      </c>
      <c r="S569" s="343">
        <v>-57913</v>
      </c>
      <c r="T569" s="343">
        <v>2066849</v>
      </c>
    </row>
    <row r="570" spans="1:20">
      <c r="A570" s="349">
        <v>96051</v>
      </c>
      <c r="B570" s="342" t="s">
        <v>1261</v>
      </c>
      <c r="C570" s="234">
        <v>9.6909999999999997E-4</v>
      </c>
      <c r="D570" s="234">
        <v>1.042E-3</v>
      </c>
      <c r="E570" s="343">
        <v>2646537</v>
      </c>
      <c r="F570" s="231"/>
      <c r="G570" s="343">
        <v>453154</v>
      </c>
      <c r="H570" s="343">
        <v>64552</v>
      </c>
      <c r="I570" s="343">
        <v>431342</v>
      </c>
      <c r="J570" s="343">
        <v>0</v>
      </c>
      <c r="K570" s="343">
        <v>949048</v>
      </c>
      <c r="L570" s="231"/>
      <c r="M570" s="343">
        <v>0</v>
      </c>
      <c r="N570" s="343">
        <v>0</v>
      </c>
      <c r="O570" s="343">
        <v>145175</v>
      </c>
      <c r="P570" s="343">
        <v>145175</v>
      </c>
      <c r="Q570" s="231"/>
      <c r="R570" s="343">
        <v>1178923</v>
      </c>
      <c r="S570" s="343">
        <v>-61133</v>
      </c>
      <c r="T570" s="343">
        <v>1117790</v>
      </c>
    </row>
    <row r="571" spans="1:20">
      <c r="A571" s="349">
        <v>96061</v>
      </c>
      <c r="B571" s="342" t="s">
        <v>1262</v>
      </c>
      <c r="C571" s="234">
        <v>3.4220000000000002E-4</v>
      </c>
      <c r="D571" s="234">
        <v>3.1559999999999997E-4</v>
      </c>
      <c r="E571" s="343">
        <v>934522</v>
      </c>
      <c r="F571" s="231"/>
      <c r="G571" s="343">
        <v>160014</v>
      </c>
      <c r="H571" s="343">
        <v>22795</v>
      </c>
      <c r="I571" s="343">
        <v>152312</v>
      </c>
      <c r="J571" s="343">
        <v>30092</v>
      </c>
      <c r="K571" s="343">
        <v>365213</v>
      </c>
      <c r="L571" s="231"/>
      <c r="M571" s="343">
        <v>0</v>
      </c>
      <c r="N571" s="343">
        <v>0</v>
      </c>
      <c r="O571" s="343">
        <v>9266</v>
      </c>
      <c r="P571" s="343">
        <v>9266</v>
      </c>
      <c r="Q571" s="231"/>
      <c r="R571" s="343">
        <v>416291</v>
      </c>
      <c r="S571" s="343">
        <v>6177</v>
      </c>
      <c r="T571" s="343">
        <v>422468</v>
      </c>
    </row>
    <row r="572" spans="1:20">
      <c r="A572" s="349">
        <v>96071</v>
      </c>
      <c r="B572" s="342" t="s">
        <v>1263</v>
      </c>
      <c r="C572" s="234">
        <v>1.3016E-3</v>
      </c>
      <c r="D572" s="234">
        <v>1.1751000000000001E-3</v>
      </c>
      <c r="E572" s="343">
        <v>3554568</v>
      </c>
      <c r="F572" s="231"/>
      <c r="G572" s="343">
        <v>608632</v>
      </c>
      <c r="H572" s="343">
        <v>86701</v>
      </c>
      <c r="I572" s="343">
        <v>579336</v>
      </c>
      <c r="J572" s="343">
        <v>180982</v>
      </c>
      <c r="K572" s="343">
        <v>1455651</v>
      </c>
      <c r="L572" s="231"/>
      <c r="M572" s="343">
        <v>0</v>
      </c>
      <c r="N572" s="343">
        <v>0</v>
      </c>
      <c r="O572" s="343">
        <v>18432</v>
      </c>
      <c r="P572" s="343">
        <v>18432</v>
      </c>
      <c r="Q572" s="231"/>
      <c r="R572" s="343">
        <v>1583413</v>
      </c>
      <c r="S572" s="343">
        <v>49473</v>
      </c>
      <c r="T572" s="343">
        <v>1632886</v>
      </c>
    </row>
    <row r="573" spans="1:20">
      <c r="A573" s="349">
        <v>96081</v>
      </c>
      <c r="B573" s="342" t="s">
        <v>1264</v>
      </c>
      <c r="C573" s="234">
        <v>5.419E-4</v>
      </c>
      <c r="D573" s="234">
        <v>5.4920000000000001E-4</v>
      </c>
      <c r="E573" s="343">
        <v>1479887</v>
      </c>
      <c r="F573" s="231"/>
      <c r="G573" s="343">
        <v>253394</v>
      </c>
      <c r="H573" s="343">
        <v>36096</v>
      </c>
      <c r="I573" s="343">
        <v>241197</v>
      </c>
      <c r="J573" s="343">
        <v>7049</v>
      </c>
      <c r="K573" s="343">
        <v>537736</v>
      </c>
      <c r="L573" s="231"/>
      <c r="M573" s="343">
        <v>0</v>
      </c>
      <c r="N573" s="343">
        <v>0</v>
      </c>
      <c r="O573" s="343">
        <v>19149</v>
      </c>
      <c r="P573" s="343">
        <v>19149</v>
      </c>
      <c r="Q573" s="231"/>
      <c r="R573" s="343">
        <v>659228</v>
      </c>
      <c r="S573" s="343">
        <v>-3621</v>
      </c>
      <c r="T573" s="343">
        <v>655607</v>
      </c>
    </row>
    <row r="574" spans="1:20">
      <c r="A574" s="349">
        <v>96101</v>
      </c>
      <c r="B574" s="342" t="s">
        <v>1265</v>
      </c>
      <c r="C574" s="234">
        <v>6.4729999999999996E-4</v>
      </c>
      <c r="D574" s="234">
        <v>7.9739999999999998E-4</v>
      </c>
      <c r="E574" s="343">
        <v>1767726</v>
      </c>
      <c r="F574" s="231"/>
      <c r="G574" s="343">
        <v>302679</v>
      </c>
      <c r="H574" s="343">
        <v>43117</v>
      </c>
      <c r="I574" s="343">
        <v>288110</v>
      </c>
      <c r="J574" s="343">
        <v>36198</v>
      </c>
      <c r="K574" s="343">
        <v>670104</v>
      </c>
      <c r="L574" s="231"/>
      <c r="M574" s="343">
        <v>0</v>
      </c>
      <c r="N574" s="343">
        <v>0</v>
      </c>
      <c r="O574" s="343">
        <v>96675</v>
      </c>
      <c r="P574" s="343">
        <v>96675</v>
      </c>
      <c r="Q574" s="231"/>
      <c r="R574" s="343">
        <v>787449</v>
      </c>
      <c r="S574" s="343">
        <v>-6438</v>
      </c>
      <c r="T574" s="343">
        <v>781011</v>
      </c>
    </row>
    <row r="575" spans="1:20">
      <c r="A575" s="349">
        <v>96102</v>
      </c>
      <c r="B575" s="342" t="s">
        <v>2794</v>
      </c>
      <c r="C575" s="234">
        <v>1.1600000000000001E-5</v>
      </c>
      <c r="D575" s="234">
        <v>1.2999999999999999E-5</v>
      </c>
      <c r="E575" s="343">
        <v>31679</v>
      </c>
      <c r="F575" s="231"/>
      <c r="G575" s="343">
        <v>5424</v>
      </c>
      <c r="H575" s="343">
        <v>772</v>
      </c>
      <c r="I575" s="343">
        <v>5163</v>
      </c>
      <c r="J575" s="343">
        <v>0</v>
      </c>
      <c r="K575" s="343">
        <v>11359</v>
      </c>
      <c r="L575" s="231"/>
      <c r="M575" s="343">
        <v>0</v>
      </c>
      <c r="N575" s="343">
        <v>0</v>
      </c>
      <c r="O575" s="343">
        <v>4181</v>
      </c>
      <c r="P575" s="343">
        <v>4181</v>
      </c>
      <c r="Q575" s="231"/>
      <c r="R575" s="343">
        <v>14112</v>
      </c>
      <c r="S575" s="343">
        <v>-1891</v>
      </c>
      <c r="T575" s="343">
        <v>12221</v>
      </c>
    </row>
    <row r="576" spans="1:20">
      <c r="A576" s="349">
        <v>96111</v>
      </c>
      <c r="B576" s="342" t="s">
        <v>1267</v>
      </c>
      <c r="C576" s="234">
        <v>1.5809999999999999E-4</v>
      </c>
      <c r="D576" s="234">
        <v>1.47E-4</v>
      </c>
      <c r="E576" s="343">
        <v>431759</v>
      </c>
      <c r="F576" s="231"/>
      <c r="G576" s="343">
        <v>73928</v>
      </c>
      <c r="H576" s="343">
        <v>10531</v>
      </c>
      <c r="I576" s="343">
        <v>70370</v>
      </c>
      <c r="J576" s="343">
        <v>25581</v>
      </c>
      <c r="K576" s="343">
        <v>180410</v>
      </c>
      <c r="L576" s="231"/>
      <c r="M576" s="343">
        <v>0</v>
      </c>
      <c r="N576" s="343">
        <v>0</v>
      </c>
      <c r="O576" s="343">
        <v>840</v>
      </c>
      <c r="P576" s="343">
        <v>840</v>
      </c>
      <c r="Q576" s="231"/>
      <c r="R576" s="343">
        <v>192331</v>
      </c>
      <c r="S576" s="343">
        <v>7828</v>
      </c>
      <c r="T576" s="343">
        <v>200159</v>
      </c>
    </row>
    <row r="577" spans="1:20">
      <c r="A577" s="349">
        <v>96121</v>
      </c>
      <c r="B577" s="342" t="s">
        <v>1268</v>
      </c>
      <c r="C577" s="234">
        <v>2.4300000000000001E-5</v>
      </c>
      <c r="D577" s="234">
        <v>2.1699999999999999E-5</v>
      </c>
      <c r="E577" s="343">
        <v>66361</v>
      </c>
      <c r="F577" s="231"/>
      <c r="G577" s="343">
        <v>11363</v>
      </c>
      <c r="H577" s="343">
        <v>1618</v>
      </c>
      <c r="I577" s="343">
        <v>10816</v>
      </c>
      <c r="J577" s="343">
        <v>488</v>
      </c>
      <c r="K577" s="343">
        <v>24285</v>
      </c>
      <c r="L577" s="231"/>
      <c r="M577" s="343">
        <v>0</v>
      </c>
      <c r="N577" s="343">
        <v>0</v>
      </c>
      <c r="O577" s="343">
        <v>1447</v>
      </c>
      <c r="P577" s="343">
        <v>1447</v>
      </c>
      <c r="Q577" s="231"/>
      <c r="R577" s="343">
        <v>29561</v>
      </c>
      <c r="S577" s="343">
        <v>-436</v>
      </c>
      <c r="T577" s="343">
        <v>29125</v>
      </c>
    </row>
    <row r="578" spans="1:20">
      <c r="A578" s="349">
        <v>96201</v>
      </c>
      <c r="B578" s="342" t="s">
        <v>1269</v>
      </c>
      <c r="C578" s="234">
        <v>1.0575000000000001E-3</v>
      </c>
      <c r="D578" s="234">
        <v>1.1052E-3</v>
      </c>
      <c r="E578" s="343">
        <v>2887950</v>
      </c>
      <c r="F578" s="231"/>
      <c r="G578" s="343">
        <v>494490</v>
      </c>
      <c r="H578" s="343">
        <v>70441</v>
      </c>
      <c r="I578" s="343">
        <v>470688</v>
      </c>
      <c r="J578" s="343">
        <v>0</v>
      </c>
      <c r="K578" s="343">
        <v>1035619</v>
      </c>
      <c r="L578" s="231"/>
      <c r="M578" s="343">
        <v>0</v>
      </c>
      <c r="N578" s="343">
        <v>0</v>
      </c>
      <c r="O578" s="343">
        <v>96982</v>
      </c>
      <c r="P578" s="343">
        <v>96982</v>
      </c>
      <c r="Q578" s="231"/>
      <c r="R578" s="343">
        <v>1286462</v>
      </c>
      <c r="S578" s="343">
        <v>-40906</v>
      </c>
      <c r="T578" s="343">
        <v>1245556</v>
      </c>
    </row>
    <row r="579" spans="1:20">
      <c r="A579" s="349">
        <v>96204</v>
      </c>
      <c r="B579" s="342" t="s">
        <v>1270</v>
      </c>
      <c r="C579" s="234">
        <v>1.42E-5</v>
      </c>
      <c r="D579" s="234">
        <v>1.42E-5</v>
      </c>
      <c r="E579" s="343">
        <v>38779</v>
      </c>
      <c r="F579" s="231"/>
      <c r="G579" s="343">
        <v>6640</v>
      </c>
      <c r="H579" s="343">
        <v>945</v>
      </c>
      <c r="I579" s="343">
        <v>6320</v>
      </c>
      <c r="J579" s="343">
        <v>4271</v>
      </c>
      <c r="K579" s="343">
        <v>18176</v>
      </c>
      <c r="L579" s="231"/>
      <c r="M579" s="343">
        <v>0</v>
      </c>
      <c r="N579" s="343">
        <v>0</v>
      </c>
      <c r="O579" s="343">
        <v>0</v>
      </c>
      <c r="P579" s="343">
        <v>0</v>
      </c>
      <c r="Q579" s="231"/>
      <c r="R579" s="343">
        <v>17274</v>
      </c>
      <c r="S579" s="343">
        <v>1982</v>
      </c>
      <c r="T579" s="343">
        <v>19256</v>
      </c>
    </row>
    <row r="580" spans="1:20">
      <c r="A580" s="349">
        <v>96211</v>
      </c>
      <c r="B580" s="342" t="s">
        <v>1271</v>
      </c>
      <c r="C580" s="234">
        <v>2.4000000000000001E-5</v>
      </c>
      <c r="D580" s="234">
        <v>2.8099999999999999E-5</v>
      </c>
      <c r="E580" s="343">
        <v>65542</v>
      </c>
      <c r="F580" s="231"/>
      <c r="G580" s="343">
        <v>11222</v>
      </c>
      <c r="H580" s="343">
        <v>1599</v>
      </c>
      <c r="I580" s="343">
        <v>10682</v>
      </c>
      <c r="J580" s="343">
        <v>5177</v>
      </c>
      <c r="K580" s="343">
        <v>28680</v>
      </c>
      <c r="L580" s="231"/>
      <c r="M580" s="343">
        <v>0</v>
      </c>
      <c r="N580" s="343">
        <v>0</v>
      </c>
      <c r="O580" s="343">
        <v>0</v>
      </c>
      <c r="P580" s="343">
        <v>0</v>
      </c>
      <c r="Q580" s="231"/>
      <c r="R580" s="343">
        <v>29196</v>
      </c>
      <c r="S580" s="343">
        <v>2985</v>
      </c>
      <c r="T580" s="343">
        <v>32181</v>
      </c>
    </row>
    <row r="581" spans="1:20">
      <c r="A581" s="349">
        <v>96221</v>
      </c>
      <c r="B581" s="342" t="s">
        <v>1272</v>
      </c>
      <c r="C581" s="234">
        <v>2.141E-4</v>
      </c>
      <c r="D581" s="234">
        <v>2.2809999999999999E-4</v>
      </c>
      <c r="E581" s="343">
        <v>584690</v>
      </c>
      <c r="F581" s="231"/>
      <c r="G581" s="343">
        <v>100114</v>
      </c>
      <c r="H581" s="343">
        <v>14261</v>
      </c>
      <c r="I581" s="343">
        <v>95295</v>
      </c>
      <c r="J581" s="343">
        <v>0</v>
      </c>
      <c r="K581" s="343">
        <v>209670</v>
      </c>
      <c r="L581" s="231"/>
      <c r="M581" s="343">
        <v>0</v>
      </c>
      <c r="N581" s="343">
        <v>0</v>
      </c>
      <c r="O581" s="343">
        <v>27197</v>
      </c>
      <c r="P581" s="343">
        <v>27197</v>
      </c>
      <c r="Q581" s="231"/>
      <c r="R581" s="343">
        <v>260455</v>
      </c>
      <c r="S581" s="343">
        <v>-11712</v>
      </c>
      <c r="T581" s="343">
        <v>248743</v>
      </c>
    </row>
    <row r="582" spans="1:20">
      <c r="A582" s="349">
        <v>96231</v>
      </c>
      <c r="B582" s="342" t="s">
        <v>1273</v>
      </c>
      <c r="C582" s="234">
        <v>1.2349999999999999E-4</v>
      </c>
      <c r="D582" s="234">
        <v>1.2540000000000001E-4</v>
      </c>
      <c r="E582" s="343">
        <v>337269</v>
      </c>
      <c r="F582" s="231"/>
      <c r="G582" s="343">
        <v>57749</v>
      </c>
      <c r="H582" s="343">
        <v>8227</v>
      </c>
      <c r="I582" s="343">
        <v>54969</v>
      </c>
      <c r="J582" s="343">
        <v>1276</v>
      </c>
      <c r="K582" s="343">
        <v>122221</v>
      </c>
      <c r="L582" s="231"/>
      <c r="M582" s="343">
        <v>0</v>
      </c>
      <c r="N582" s="343">
        <v>0</v>
      </c>
      <c r="O582" s="343">
        <v>25769</v>
      </c>
      <c r="P582" s="343">
        <v>25769</v>
      </c>
      <c r="Q582" s="231"/>
      <c r="R582" s="343">
        <v>150239</v>
      </c>
      <c r="S582" s="343">
        <v>-11075</v>
      </c>
      <c r="T582" s="343">
        <v>139164</v>
      </c>
    </row>
    <row r="583" spans="1:20">
      <c r="A583" s="349">
        <v>96241</v>
      </c>
      <c r="B583" s="342" t="s">
        <v>1274</v>
      </c>
      <c r="C583" s="234">
        <v>6.4499999999999996E-5</v>
      </c>
      <c r="D583" s="234">
        <v>5.4299999999999998E-5</v>
      </c>
      <c r="E583" s="343">
        <v>176144</v>
      </c>
      <c r="F583" s="231"/>
      <c r="G583" s="343">
        <v>30160</v>
      </c>
      <c r="H583" s="343">
        <v>4296</v>
      </c>
      <c r="I583" s="343">
        <v>28709</v>
      </c>
      <c r="J583" s="343">
        <v>6915</v>
      </c>
      <c r="K583" s="343">
        <v>70080</v>
      </c>
      <c r="L583" s="231"/>
      <c r="M583" s="343">
        <v>0</v>
      </c>
      <c r="N583" s="343">
        <v>0</v>
      </c>
      <c r="O583" s="343">
        <v>1315</v>
      </c>
      <c r="P583" s="343">
        <v>1315</v>
      </c>
      <c r="Q583" s="231"/>
      <c r="R583" s="343">
        <v>78465</v>
      </c>
      <c r="S583" s="343">
        <v>1042</v>
      </c>
      <c r="T583" s="343">
        <v>79507</v>
      </c>
    </row>
    <row r="584" spans="1:20">
      <c r="A584" s="349">
        <v>96251</v>
      </c>
      <c r="B584" s="342" t="s">
        <v>1275</v>
      </c>
      <c r="C584" s="234">
        <v>1.004E-4</v>
      </c>
      <c r="D584" s="234">
        <v>1.011E-4</v>
      </c>
      <c r="E584" s="343">
        <v>274185</v>
      </c>
      <c r="F584" s="231"/>
      <c r="G584" s="343">
        <v>46947</v>
      </c>
      <c r="H584" s="343">
        <v>6688</v>
      </c>
      <c r="I584" s="343">
        <v>44688</v>
      </c>
      <c r="J584" s="343">
        <v>3100</v>
      </c>
      <c r="K584" s="343">
        <v>101423</v>
      </c>
      <c r="L584" s="231"/>
      <c r="M584" s="343">
        <v>0</v>
      </c>
      <c r="N584" s="343">
        <v>0</v>
      </c>
      <c r="O584" s="343">
        <v>11724</v>
      </c>
      <c r="P584" s="343">
        <v>11724</v>
      </c>
      <c r="Q584" s="231"/>
      <c r="R584" s="343">
        <v>122138</v>
      </c>
      <c r="S584" s="343">
        <v>-7206</v>
      </c>
      <c r="T584" s="343">
        <v>114932</v>
      </c>
    </row>
    <row r="585" spans="1:20">
      <c r="A585" s="349">
        <v>96301</v>
      </c>
      <c r="B585" s="342" t="s">
        <v>1276</v>
      </c>
      <c r="C585" s="234">
        <v>4.6904E-3</v>
      </c>
      <c r="D585" s="234">
        <v>4.4197999999999998E-3</v>
      </c>
      <c r="E585" s="343">
        <v>12809117</v>
      </c>
      <c r="F585" s="231"/>
      <c r="G585" s="343">
        <v>2193245</v>
      </c>
      <c r="H585" s="343">
        <v>312433</v>
      </c>
      <c r="I585" s="343">
        <v>2087674</v>
      </c>
      <c r="J585" s="343">
        <v>171827</v>
      </c>
      <c r="K585" s="343">
        <v>4765179</v>
      </c>
      <c r="L585" s="231"/>
      <c r="M585" s="343">
        <v>0</v>
      </c>
      <c r="N585" s="343">
        <v>0</v>
      </c>
      <c r="O585" s="343">
        <v>76023</v>
      </c>
      <c r="P585" s="343">
        <v>76023</v>
      </c>
      <c r="Q585" s="231"/>
      <c r="R585" s="343">
        <v>5705933</v>
      </c>
      <c r="S585" s="343">
        <v>19036</v>
      </c>
      <c r="T585" s="343">
        <v>5724969</v>
      </c>
    </row>
    <row r="586" spans="1:20">
      <c r="A586" s="349">
        <v>96302</v>
      </c>
      <c r="B586" s="342" t="s">
        <v>1277</v>
      </c>
      <c r="C586" s="234">
        <v>2.3600000000000001E-5</v>
      </c>
      <c r="D586" s="234">
        <v>2.3499999999999999E-5</v>
      </c>
      <c r="E586" s="343">
        <v>64450</v>
      </c>
      <c r="F586" s="231"/>
      <c r="G586" s="343">
        <v>11035</v>
      </c>
      <c r="H586" s="343">
        <v>1572</v>
      </c>
      <c r="I586" s="343">
        <v>10504</v>
      </c>
      <c r="J586" s="343">
        <v>4516</v>
      </c>
      <c r="K586" s="343">
        <v>27627</v>
      </c>
      <c r="L586" s="231"/>
      <c r="M586" s="343">
        <v>0</v>
      </c>
      <c r="N586" s="343">
        <v>0</v>
      </c>
      <c r="O586" s="343">
        <v>560</v>
      </c>
      <c r="P586" s="343">
        <v>560</v>
      </c>
      <c r="Q586" s="231"/>
      <c r="R586" s="343">
        <v>28710</v>
      </c>
      <c r="S586" s="343">
        <v>2447</v>
      </c>
      <c r="T586" s="343">
        <v>31157</v>
      </c>
    </row>
    <row r="587" spans="1:20">
      <c r="A587" s="349">
        <v>96304</v>
      </c>
      <c r="B587" s="342" t="s">
        <v>1278</v>
      </c>
      <c r="C587" s="234">
        <v>4.3900000000000003E-5</v>
      </c>
      <c r="D587" s="234">
        <v>4.7500000000000003E-5</v>
      </c>
      <c r="E587" s="343">
        <v>119887</v>
      </c>
      <c r="F587" s="231"/>
      <c r="G587" s="343">
        <v>20528</v>
      </c>
      <c r="H587" s="343">
        <v>2925</v>
      </c>
      <c r="I587" s="343">
        <v>19540</v>
      </c>
      <c r="J587" s="343">
        <v>8818</v>
      </c>
      <c r="K587" s="343">
        <v>51811</v>
      </c>
      <c r="L587" s="231"/>
      <c r="M587" s="343">
        <v>0</v>
      </c>
      <c r="N587" s="343">
        <v>0</v>
      </c>
      <c r="O587" s="343">
        <v>489</v>
      </c>
      <c r="P587" s="343">
        <v>489</v>
      </c>
      <c r="Q587" s="231"/>
      <c r="R587" s="343">
        <v>53405</v>
      </c>
      <c r="S587" s="343">
        <v>4307</v>
      </c>
      <c r="T587" s="343">
        <v>57712</v>
      </c>
    </row>
    <row r="588" spans="1:20" ht="30">
      <c r="A588" s="349">
        <v>96305</v>
      </c>
      <c r="B588" s="342" t="s">
        <v>1279</v>
      </c>
      <c r="C588" s="234">
        <v>4.1199999999999999E-5</v>
      </c>
      <c r="D588" s="234">
        <v>4.1100000000000003E-5</v>
      </c>
      <c r="E588" s="343">
        <v>112514</v>
      </c>
      <c r="F588" s="231"/>
      <c r="G588" s="343">
        <v>19265</v>
      </c>
      <c r="H588" s="343">
        <v>2745</v>
      </c>
      <c r="I588" s="343">
        <v>18338</v>
      </c>
      <c r="J588" s="343">
        <v>17174</v>
      </c>
      <c r="K588" s="343">
        <v>57522</v>
      </c>
      <c r="L588" s="231"/>
      <c r="M588" s="343">
        <v>0</v>
      </c>
      <c r="N588" s="343">
        <v>0</v>
      </c>
      <c r="O588" s="343">
        <v>0</v>
      </c>
      <c r="P588" s="343">
        <v>0</v>
      </c>
      <c r="Q588" s="231"/>
      <c r="R588" s="343">
        <v>50120</v>
      </c>
      <c r="S588" s="343">
        <v>8111</v>
      </c>
      <c r="T588" s="343">
        <v>58231</v>
      </c>
    </row>
    <row r="589" spans="1:20">
      <c r="A589" s="349">
        <v>96310</v>
      </c>
      <c r="B589" s="342" t="s">
        <v>1280</v>
      </c>
      <c r="C589" s="234">
        <v>4.49E-5</v>
      </c>
      <c r="D589" s="234">
        <v>5.02E-5</v>
      </c>
      <c r="E589" s="343">
        <v>122618</v>
      </c>
      <c r="F589" s="231"/>
      <c r="G589" s="343">
        <v>20995</v>
      </c>
      <c r="H589" s="343">
        <v>2991</v>
      </c>
      <c r="I589" s="343">
        <v>19985</v>
      </c>
      <c r="J589" s="343">
        <v>3610</v>
      </c>
      <c r="K589" s="343">
        <v>47581</v>
      </c>
      <c r="L589" s="231"/>
      <c r="M589" s="343">
        <v>0</v>
      </c>
      <c r="N589" s="343">
        <v>0</v>
      </c>
      <c r="O589" s="343">
        <v>4525</v>
      </c>
      <c r="P589" s="343">
        <v>4525</v>
      </c>
      <c r="Q589" s="231"/>
      <c r="R589" s="343">
        <v>54621</v>
      </c>
      <c r="S589" s="343">
        <v>127</v>
      </c>
      <c r="T589" s="343">
        <v>54748</v>
      </c>
    </row>
    <row r="590" spans="1:20">
      <c r="A590" s="349">
        <v>96311</v>
      </c>
      <c r="B590" s="342" t="s">
        <v>1281</v>
      </c>
      <c r="C590" s="234">
        <v>1.3112E-3</v>
      </c>
      <c r="D590" s="234">
        <v>1.3328000000000001E-3</v>
      </c>
      <c r="E590" s="343">
        <v>3580785</v>
      </c>
      <c r="F590" s="231"/>
      <c r="G590" s="343">
        <v>613121</v>
      </c>
      <c r="H590" s="343">
        <v>87340</v>
      </c>
      <c r="I590" s="343">
        <v>583609</v>
      </c>
      <c r="J590" s="343">
        <v>0</v>
      </c>
      <c r="K590" s="343">
        <v>1284070</v>
      </c>
      <c r="L590" s="231"/>
      <c r="M590" s="343">
        <v>0</v>
      </c>
      <c r="N590" s="343">
        <v>0</v>
      </c>
      <c r="O590" s="343">
        <v>106196</v>
      </c>
      <c r="P590" s="343">
        <v>106196</v>
      </c>
      <c r="Q590" s="231"/>
      <c r="R590" s="343">
        <v>1595092</v>
      </c>
      <c r="S590" s="343">
        <v>-58466</v>
      </c>
      <c r="T590" s="343">
        <v>1536626</v>
      </c>
    </row>
    <row r="591" spans="1:20">
      <c r="A591" s="349">
        <v>96312</v>
      </c>
      <c r="B591" s="342" t="s">
        <v>1282</v>
      </c>
      <c r="C591" s="234">
        <v>5.8000000000000004E-6</v>
      </c>
      <c r="D591" s="234">
        <v>6.1E-6</v>
      </c>
      <c r="E591" s="343">
        <v>15839</v>
      </c>
      <c r="F591" s="231"/>
      <c r="G591" s="343">
        <v>2712</v>
      </c>
      <c r="H591" s="343">
        <v>386</v>
      </c>
      <c r="I591" s="343">
        <v>2582</v>
      </c>
      <c r="J591" s="343">
        <v>3816</v>
      </c>
      <c r="K591" s="343">
        <v>9496</v>
      </c>
      <c r="L591" s="231"/>
      <c r="M591" s="343">
        <v>0</v>
      </c>
      <c r="N591" s="343">
        <v>0</v>
      </c>
      <c r="O591" s="343">
        <v>5173</v>
      </c>
      <c r="P591" s="343">
        <v>5173</v>
      </c>
      <c r="Q591" s="231"/>
      <c r="R591" s="343">
        <v>7056</v>
      </c>
      <c r="S591" s="343">
        <v>76</v>
      </c>
      <c r="T591" s="343">
        <v>7132</v>
      </c>
    </row>
    <row r="592" spans="1:20">
      <c r="A592" s="349">
        <v>96318</v>
      </c>
      <c r="B592" s="342" t="s">
        <v>1283</v>
      </c>
      <c r="C592" s="234">
        <v>2.2319000000000002E-3</v>
      </c>
      <c r="D592" s="234">
        <v>2.2098999999999999E-3</v>
      </c>
      <c r="E592" s="343">
        <v>6095145</v>
      </c>
      <c r="F592" s="231"/>
      <c r="G592" s="343">
        <v>1043643</v>
      </c>
      <c r="H592" s="343">
        <v>148669</v>
      </c>
      <c r="I592" s="343">
        <v>993408</v>
      </c>
      <c r="J592" s="343">
        <v>2592518</v>
      </c>
      <c r="K592" s="343">
        <v>4778238</v>
      </c>
      <c r="L592" s="231"/>
      <c r="M592" s="343">
        <v>0</v>
      </c>
      <c r="N592" s="343">
        <v>0</v>
      </c>
      <c r="O592" s="343">
        <v>0</v>
      </c>
      <c r="P592" s="343">
        <v>0</v>
      </c>
      <c r="Q592" s="231"/>
      <c r="R592" s="343">
        <v>2715135</v>
      </c>
      <c r="S592" s="343">
        <v>2724340</v>
      </c>
      <c r="T592" s="343">
        <v>5439475</v>
      </c>
    </row>
    <row r="593" spans="1:20">
      <c r="A593" s="349">
        <v>96321</v>
      </c>
      <c r="B593" s="342" t="s">
        <v>1284</v>
      </c>
      <c r="C593" s="234">
        <v>3.65E-5</v>
      </c>
      <c r="D593" s="234">
        <v>3.7299999999999999E-5</v>
      </c>
      <c r="E593" s="343">
        <v>99679</v>
      </c>
      <c r="F593" s="231"/>
      <c r="G593" s="343">
        <v>17068</v>
      </c>
      <c r="H593" s="343">
        <v>2431</v>
      </c>
      <c r="I593" s="343">
        <v>16246</v>
      </c>
      <c r="J593" s="343">
        <v>1536</v>
      </c>
      <c r="K593" s="343">
        <v>37281</v>
      </c>
      <c r="L593" s="231"/>
      <c r="M593" s="343">
        <v>0</v>
      </c>
      <c r="N593" s="343">
        <v>0</v>
      </c>
      <c r="O593" s="343">
        <v>643</v>
      </c>
      <c r="P593" s="343">
        <v>643</v>
      </c>
      <c r="Q593" s="231"/>
      <c r="R593" s="343">
        <v>44403</v>
      </c>
      <c r="S593" s="343">
        <v>78</v>
      </c>
      <c r="T593" s="343">
        <v>44481</v>
      </c>
    </row>
    <row r="594" spans="1:20">
      <c r="A594" s="349">
        <v>96331</v>
      </c>
      <c r="B594" s="342" t="s">
        <v>1285</v>
      </c>
      <c r="C594" s="234">
        <v>7.4430000000000004E-4</v>
      </c>
      <c r="D594" s="234">
        <v>7.0220000000000005E-4</v>
      </c>
      <c r="E594" s="343">
        <v>2032625</v>
      </c>
      <c r="F594" s="231"/>
      <c r="G594" s="343">
        <v>348037</v>
      </c>
      <c r="H594" s="343">
        <v>49578</v>
      </c>
      <c r="I594" s="343">
        <v>331284</v>
      </c>
      <c r="J594" s="343">
        <v>0</v>
      </c>
      <c r="K594" s="343">
        <v>728899</v>
      </c>
      <c r="L594" s="231"/>
      <c r="M594" s="343">
        <v>0</v>
      </c>
      <c r="N594" s="343">
        <v>0</v>
      </c>
      <c r="O594" s="343">
        <v>45892</v>
      </c>
      <c r="P594" s="343">
        <v>45892</v>
      </c>
      <c r="Q594" s="231"/>
      <c r="R594" s="343">
        <v>905451</v>
      </c>
      <c r="S594" s="343">
        <v>-23208</v>
      </c>
      <c r="T594" s="343">
        <v>882243</v>
      </c>
    </row>
    <row r="595" spans="1:20">
      <c r="A595" s="349">
        <v>96341</v>
      </c>
      <c r="B595" s="342" t="s">
        <v>1286</v>
      </c>
      <c r="C595" s="234">
        <v>7.8200000000000003E-5</v>
      </c>
      <c r="D595" s="234">
        <v>9.1399999999999999E-5</v>
      </c>
      <c r="E595" s="343">
        <v>213558</v>
      </c>
      <c r="F595" s="231"/>
      <c r="G595" s="343">
        <v>36567</v>
      </c>
      <c r="H595" s="343">
        <v>5209</v>
      </c>
      <c r="I595" s="343">
        <v>34806</v>
      </c>
      <c r="J595" s="343">
        <v>2758</v>
      </c>
      <c r="K595" s="343">
        <v>79340</v>
      </c>
      <c r="L595" s="231"/>
      <c r="M595" s="343">
        <v>0</v>
      </c>
      <c r="N595" s="343">
        <v>0</v>
      </c>
      <c r="O595" s="343">
        <v>16316</v>
      </c>
      <c r="P595" s="343">
        <v>16316</v>
      </c>
      <c r="Q595" s="231"/>
      <c r="R595" s="343">
        <v>95131</v>
      </c>
      <c r="S595" s="343">
        <v>-491</v>
      </c>
      <c r="T595" s="343">
        <v>94640</v>
      </c>
    </row>
    <row r="596" spans="1:20">
      <c r="A596" s="349">
        <v>96351</v>
      </c>
      <c r="B596" s="342" t="s">
        <v>1287</v>
      </c>
      <c r="C596" s="234">
        <v>1.0093000000000001E-3</v>
      </c>
      <c r="D596" s="234">
        <v>1.0456E-3</v>
      </c>
      <c r="E596" s="343">
        <v>2756320</v>
      </c>
      <c r="F596" s="231"/>
      <c r="G596" s="343">
        <v>471952</v>
      </c>
      <c r="H596" s="343">
        <v>67231</v>
      </c>
      <c r="I596" s="343">
        <v>449234</v>
      </c>
      <c r="J596" s="343">
        <v>0</v>
      </c>
      <c r="K596" s="343">
        <v>988417</v>
      </c>
      <c r="L596" s="231"/>
      <c r="M596" s="343">
        <v>0</v>
      </c>
      <c r="N596" s="343">
        <v>0</v>
      </c>
      <c r="O596" s="343">
        <v>45454</v>
      </c>
      <c r="P596" s="343">
        <v>45454</v>
      </c>
      <c r="Q596" s="231"/>
      <c r="R596" s="343">
        <v>1227827</v>
      </c>
      <c r="S596" s="343">
        <v>-17713</v>
      </c>
      <c r="T596" s="343">
        <v>1210114</v>
      </c>
    </row>
    <row r="597" spans="1:20">
      <c r="A597" s="349">
        <v>96361</v>
      </c>
      <c r="B597" s="342" t="s">
        <v>1288</v>
      </c>
      <c r="C597" s="234">
        <v>4.1100000000000003E-5</v>
      </c>
      <c r="D597" s="234">
        <v>4.9400000000000001E-5</v>
      </c>
      <c r="E597" s="343">
        <v>112241</v>
      </c>
      <c r="F597" s="231"/>
      <c r="G597" s="343">
        <v>19218</v>
      </c>
      <c r="H597" s="343">
        <v>2738</v>
      </c>
      <c r="I597" s="343">
        <v>18293</v>
      </c>
      <c r="J597" s="343">
        <v>714</v>
      </c>
      <c r="K597" s="343">
        <v>40963</v>
      </c>
      <c r="L597" s="231"/>
      <c r="M597" s="343">
        <v>0</v>
      </c>
      <c r="N597" s="343">
        <v>0</v>
      </c>
      <c r="O597" s="343">
        <v>8246</v>
      </c>
      <c r="P597" s="343">
        <v>8246</v>
      </c>
      <c r="Q597" s="231"/>
      <c r="R597" s="343">
        <v>49999</v>
      </c>
      <c r="S597" s="343">
        <v>-1925</v>
      </c>
      <c r="T597" s="343">
        <v>48074</v>
      </c>
    </row>
    <row r="598" spans="1:20">
      <c r="A598" s="349">
        <v>96371</v>
      </c>
      <c r="B598" s="342" t="s">
        <v>1289</v>
      </c>
      <c r="C598" s="234">
        <v>1.5100000000000001E-4</v>
      </c>
      <c r="D598" s="234">
        <v>1.4200000000000001E-4</v>
      </c>
      <c r="E598" s="343">
        <v>412369</v>
      </c>
      <c r="F598" s="231"/>
      <c r="G598" s="343">
        <v>70608</v>
      </c>
      <c r="H598" s="343">
        <v>10058</v>
      </c>
      <c r="I598" s="343">
        <v>67209</v>
      </c>
      <c r="J598" s="343">
        <v>7242</v>
      </c>
      <c r="K598" s="343">
        <v>155117</v>
      </c>
      <c r="L598" s="231"/>
      <c r="M598" s="343">
        <v>0</v>
      </c>
      <c r="N598" s="343">
        <v>0</v>
      </c>
      <c r="O598" s="343">
        <v>10278</v>
      </c>
      <c r="P598" s="343">
        <v>10278</v>
      </c>
      <c r="Q598" s="231"/>
      <c r="R598" s="343">
        <v>183693</v>
      </c>
      <c r="S598" s="343">
        <v>-3983</v>
      </c>
      <c r="T598" s="343">
        <v>179710</v>
      </c>
    </row>
    <row r="599" spans="1:20">
      <c r="A599" s="349">
        <v>96381</v>
      </c>
      <c r="B599" s="342" t="s">
        <v>1290</v>
      </c>
      <c r="C599" s="234">
        <v>3.2799999999999998E-5</v>
      </c>
      <c r="D599" s="234">
        <v>3.5200000000000002E-5</v>
      </c>
      <c r="E599" s="343">
        <v>89574</v>
      </c>
      <c r="F599" s="231"/>
      <c r="G599" s="343">
        <v>15337</v>
      </c>
      <c r="H599" s="343">
        <v>2184</v>
      </c>
      <c r="I599" s="343">
        <v>14599</v>
      </c>
      <c r="J599" s="343">
        <v>1260</v>
      </c>
      <c r="K599" s="343">
        <v>33380</v>
      </c>
      <c r="L599" s="231"/>
      <c r="M599" s="343">
        <v>0</v>
      </c>
      <c r="N599" s="343">
        <v>0</v>
      </c>
      <c r="O599" s="343">
        <v>1913</v>
      </c>
      <c r="P599" s="343">
        <v>1913</v>
      </c>
      <c r="Q599" s="231"/>
      <c r="R599" s="343">
        <v>39902</v>
      </c>
      <c r="S599" s="343">
        <v>-662</v>
      </c>
      <c r="T599" s="343">
        <v>39240</v>
      </c>
    </row>
    <row r="600" spans="1:20">
      <c r="A600" s="349">
        <v>96391</v>
      </c>
      <c r="B600" s="342" t="s">
        <v>1291</v>
      </c>
      <c r="C600" s="234">
        <v>2.0560000000000001E-4</v>
      </c>
      <c r="D600" s="234">
        <v>2.1350000000000001E-4</v>
      </c>
      <c r="E600" s="343">
        <v>561478</v>
      </c>
      <c r="F600" s="231"/>
      <c r="G600" s="343">
        <v>96139</v>
      </c>
      <c r="H600" s="343">
        <v>13695</v>
      </c>
      <c r="I600" s="343">
        <v>91512</v>
      </c>
      <c r="J600" s="343">
        <v>0</v>
      </c>
      <c r="K600" s="343">
        <v>201346</v>
      </c>
      <c r="L600" s="231"/>
      <c r="M600" s="343">
        <v>0</v>
      </c>
      <c r="N600" s="343">
        <v>0</v>
      </c>
      <c r="O600" s="343">
        <v>33780</v>
      </c>
      <c r="P600" s="343">
        <v>33780</v>
      </c>
      <c r="Q600" s="231"/>
      <c r="R600" s="343">
        <v>250115</v>
      </c>
      <c r="S600" s="343">
        <v>-15455</v>
      </c>
      <c r="T600" s="343">
        <v>234660</v>
      </c>
    </row>
    <row r="601" spans="1:20">
      <c r="A601" s="349">
        <v>96401</v>
      </c>
      <c r="B601" s="342" t="s">
        <v>1292</v>
      </c>
      <c r="C601" s="234">
        <v>4.3956000000000004E-3</v>
      </c>
      <c r="D601" s="234">
        <v>4.4764999999999996E-3</v>
      </c>
      <c r="E601" s="343">
        <v>12004041</v>
      </c>
      <c r="F601" s="231"/>
      <c r="G601" s="343">
        <v>2055396</v>
      </c>
      <c r="H601" s="343">
        <v>292795</v>
      </c>
      <c r="I601" s="343">
        <v>1956460</v>
      </c>
      <c r="J601" s="343">
        <v>0</v>
      </c>
      <c r="K601" s="343">
        <v>4304651</v>
      </c>
      <c r="L601" s="231"/>
      <c r="M601" s="343">
        <v>0</v>
      </c>
      <c r="N601" s="343">
        <v>0</v>
      </c>
      <c r="O601" s="343">
        <v>164633</v>
      </c>
      <c r="P601" s="343">
        <v>164633</v>
      </c>
      <c r="Q601" s="231"/>
      <c r="R601" s="343">
        <v>5347305</v>
      </c>
      <c r="S601" s="343">
        <v>-64735</v>
      </c>
      <c r="T601" s="343">
        <v>5282570</v>
      </c>
    </row>
    <row r="602" spans="1:20">
      <c r="A602" s="349">
        <v>96404</v>
      </c>
      <c r="B602" s="342" t="s">
        <v>1293</v>
      </c>
      <c r="C602" s="234">
        <v>9.8300000000000004E-5</v>
      </c>
      <c r="D602" s="234">
        <v>9.98E-5</v>
      </c>
      <c r="E602" s="343">
        <v>268450</v>
      </c>
      <c r="F602" s="231"/>
      <c r="G602" s="343">
        <v>45965</v>
      </c>
      <c r="H602" s="343">
        <v>6548</v>
      </c>
      <c r="I602" s="343">
        <v>43753</v>
      </c>
      <c r="J602" s="343">
        <v>26376</v>
      </c>
      <c r="K602" s="343">
        <v>122642</v>
      </c>
      <c r="L602" s="231"/>
      <c r="M602" s="343">
        <v>0</v>
      </c>
      <c r="N602" s="343">
        <v>0</v>
      </c>
      <c r="O602" s="343">
        <v>0</v>
      </c>
      <c r="P602" s="343">
        <v>0</v>
      </c>
      <c r="Q602" s="231"/>
      <c r="R602" s="343">
        <v>119583</v>
      </c>
      <c r="S602" s="343">
        <v>13291</v>
      </c>
      <c r="T602" s="343">
        <v>132874</v>
      </c>
    </row>
    <row r="603" spans="1:20">
      <c r="A603" s="349">
        <v>96405</v>
      </c>
      <c r="B603" s="342" t="s">
        <v>1294</v>
      </c>
      <c r="C603" s="234">
        <v>1.4569999999999999E-4</v>
      </c>
      <c r="D603" s="234">
        <v>1.3219999999999999E-4</v>
      </c>
      <c r="E603" s="343">
        <v>397895</v>
      </c>
      <c r="F603" s="231"/>
      <c r="G603" s="343">
        <v>68130</v>
      </c>
      <c r="H603" s="343">
        <v>9705</v>
      </c>
      <c r="I603" s="343">
        <v>64850</v>
      </c>
      <c r="J603" s="343">
        <v>25301</v>
      </c>
      <c r="K603" s="343">
        <v>167986</v>
      </c>
      <c r="L603" s="231"/>
      <c r="M603" s="343">
        <v>0</v>
      </c>
      <c r="N603" s="343">
        <v>0</v>
      </c>
      <c r="O603" s="343">
        <v>1039</v>
      </c>
      <c r="P603" s="343">
        <v>1039</v>
      </c>
      <c r="Q603" s="231"/>
      <c r="R603" s="343">
        <v>177246</v>
      </c>
      <c r="S603" s="343">
        <v>10392</v>
      </c>
      <c r="T603" s="343">
        <v>187638</v>
      </c>
    </row>
    <row r="604" spans="1:20">
      <c r="A604" s="349">
        <v>96411</v>
      </c>
      <c r="B604" s="342" t="s">
        <v>1295</v>
      </c>
      <c r="C604" s="234">
        <v>7.0900000000000002E-5</v>
      </c>
      <c r="D604" s="234">
        <v>7.1899999999999999E-5</v>
      </c>
      <c r="E604" s="343">
        <v>193622</v>
      </c>
      <c r="F604" s="231"/>
      <c r="G604" s="343">
        <v>33153</v>
      </c>
      <c r="H604" s="343">
        <v>4723</v>
      </c>
      <c r="I604" s="343">
        <v>31557</v>
      </c>
      <c r="J604" s="343">
        <v>3500</v>
      </c>
      <c r="K604" s="343">
        <v>72933</v>
      </c>
      <c r="L604" s="231"/>
      <c r="M604" s="343">
        <v>0</v>
      </c>
      <c r="N604" s="343">
        <v>0</v>
      </c>
      <c r="O604" s="343">
        <v>6794</v>
      </c>
      <c r="P604" s="343">
        <v>6794</v>
      </c>
      <c r="Q604" s="231"/>
      <c r="R604" s="343">
        <v>86251</v>
      </c>
      <c r="S604" s="343">
        <v>1393</v>
      </c>
      <c r="T604" s="343">
        <v>87644</v>
      </c>
    </row>
    <row r="605" spans="1:20">
      <c r="A605" s="349">
        <v>96421</v>
      </c>
      <c r="B605" s="342" t="s">
        <v>1296</v>
      </c>
      <c r="C605" s="234">
        <v>3.8010000000000002E-4</v>
      </c>
      <c r="D605" s="234">
        <v>4.2880000000000001E-4</v>
      </c>
      <c r="E605" s="343">
        <v>1038023</v>
      </c>
      <c r="F605" s="231"/>
      <c r="G605" s="343">
        <v>177736</v>
      </c>
      <c r="H605" s="343">
        <v>25319</v>
      </c>
      <c r="I605" s="343">
        <v>169181</v>
      </c>
      <c r="J605" s="343">
        <v>0</v>
      </c>
      <c r="K605" s="343">
        <v>372236</v>
      </c>
      <c r="L605" s="231"/>
      <c r="M605" s="343">
        <v>0</v>
      </c>
      <c r="N605" s="343">
        <v>0</v>
      </c>
      <c r="O605" s="343">
        <v>89739</v>
      </c>
      <c r="P605" s="343">
        <v>89739</v>
      </c>
      <c r="Q605" s="231"/>
      <c r="R605" s="343">
        <v>462397</v>
      </c>
      <c r="S605" s="343">
        <v>-42723</v>
      </c>
      <c r="T605" s="343">
        <v>419674</v>
      </c>
    </row>
    <row r="606" spans="1:20">
      <c r="A606" s="349">
        <v>96431</v>
      </c>
      <c r="B606" s="342" t="s">
        <v>1297</v>
      </c>
      <c r="C606" s="234">
        <v>3.3599999999999997E-5</v>
      </c>
      <c r="D606" s="234">
        <v>3.0599999999999998E-5</v>
      </c>
      <c r="E606" s="343">
        <v>91759</v>
      </c>
      <c r="F606" s="231"/>
      <c r="G606" s="343">
        <v>15711</v>
      </c>
      <c r="H606" s="343">
        <v>2238</v>
      </c>
      <c r="I606" s="343">
        <v>14955</v>
      </c>
      <c r="J606" s="343">
        <v>9792</v>
      </c>
      <c r="K606" s="343">
        <v>42696</v>
      </c>
      <c r="L606" s="231"/>
      <c r="M606" s="343">
        <v>0</v>
      </c>
      <c r="N606" s="343">
        <v>0</v>
      </c>
      <c r="O606" s="343">
        <v>6223</v>
      </c>
      <c r="P606" s="343">
        <v>6223</v>
      </c>
      <c r="Q606" s="231"/>
      <c r="R606" s="343">
        <v>40875</v>
      </c>
      <c r="S606" s="343">
        <v>812</v>
      </c>
      <c r="T606" s="343">
        <v>41687</v>
      </c>
    </row>
    <row r="607" spans="1:20">
      <c r="A607" s="349">
        <v>96441</v>
      </c>
      <c r="B607" s="342" t="s">
        <v>1298</v>
      </c>
      <c r="C607" s="234">
        <v>1.8499999999999999E-5</v>
      </c>
      <c r="D607" s="234">
        <v>2.8E-5</v>
      </c>
      <c r="E607" s="343">
        <v>50522</v>
      </c>
      <c r="F607" s="231"/>
      <c r="G607" s="343">
        <v>8651</v>
      </c>
      <c r="H607" s="343">
        <v>1232</v>
      </c>
      <c r="I607" s="343">
        <v>8234</v>
      </c>
      <c r="J607" s="343">
        <v>1604</v>
      </c>
      <c r="K607" s="343">
        <v>19721</v>
      </c>
      <c r="L607" s="231"/>
      <c r="M607" s="343">
        <v>0</v>
      </c>
      <c r="N607" s="343">
        <v>0</v>
      </c>
      <c r="O607" s="343">
        <v>4025</v>
      </c>
      <c r="P607" s="343">
        <v>4025</v>
      </c>
      <c r="Q607" s="231"/>
      <c r="R607" s="343">
        <v>22505</v>
      </c>
      <c r="S607" s="343">
        <v>1757</v>
      </c>
      <c r="T607" s="343">
        <v>24262</v>
      </c>
    </row>
    <row r="608" spans="1:20">
      <c r="A608" s="349">
        <v>96451</v>
      </c>
      <c r="B608" s="342" t="s">
        <v>1299</v>
      </c>
      <c r="C608" s="234">
        <v>7.4000000000000003E-6</v>
      </c>
      <c r="D608" s="234">
        <v>1.8700000000000001E-5</v>
      </c>
      <c r="E608" s="343">
        <v>20209</v>
      </c>
      <c r="F608" s="231"/>
      <c r="G608" s="343">
        <v>3460</v>
      </c>
      <c r="H608" s="343">
        <v>493</v>
      </c>
      <c r="I608" s="343">
        <v>3294</v>
      </c>
      <c r="J608" s="343">
        <v>2684</v>
      </c>
      <c r="K608" s="343">
        <v>9931</v>
      </c>
      <c r="L608" s="231"/>
      <c r="M608" s="343">
        <v>0</v>
      </c>
      <c r="N608" s="343">
        <v>0</v>
      </c>
      <c r="O608" s="343">
        <v>7497</v>
      </c>
      <c r="P608" s="343">
        <v>7497</v>
      </c>
      <c r="Q608" s="231"/>
      <c r="R608" s="343">
        <v>9002</v>
      </c>
      <c r="S608" s="343">
        <v>-545</v>
      </c>
      <c r="T608" s="343">
        <v>8457</v>
      </c>
    </row>
    <row r="609" spans="1:20">
      <c r="A609" s="349">
        <v>96461</v>
      </c>
      <c r="B609" s="342" t="s">
        <v>1300</v>
      </c>
      <c r="C609" s="234">
        <v>1.361E-4</v>
      </c>
      <c r="D609" s="234">
        <v>1.538E-4</v>
      </c>
      <c r="E609" s="343">
        <v>371678</v>
      </c>
      <c r="F609" s="231"/>
      <c r="G609" s="343">
        <v>63641</v>
      </c>
      <c r="H609" s="343">
        <v>9066</v>
      </c>
      <c r="I609" s="343">
        <v>60577</v>
      </c>
      <c r="J609" s="343">
        <v>8805</v>
      </c>
      <c r="K609" s="343">
        <v>142089</v>
      </c>
      <c r="L609" s="231"/>
      <c r="M609" s="343">
        <v>0</v>
      </c>
      <c r="N609" s="343">
        <v>0</v>
      </c>
      <c r="O609" s="343">
        <v>23490</v>
      </c>
      <c r="P609" s="343">
        <v>23490</v>
      </c>
      <c r="Q609" s="231"/>
      <c r="R609" s="343">
        <v>165567</v>
      </c>
      <c r="S609" s="343">
        <v>-9680</v>
      </c>
      <c r="T609" s="343">
        <v>155887</v>
      </c>
    </row>
    <row r="610" spans="1:20">
      <c r="A610" s="349">
        <v>96501</v>
      </c>
      <c r="B610" s="342" t="s">
        <v>1301</v>
      </c>
      <c r="C610" s="234">
        <v>1.46477E-2</v>
      </c>
      <c r="D610" s="234">
        <v>1.453E-2</v>
      </c>
      <c r="E610" s="343">
        <v>40001726</v>
      </c>
      <c r="F610" s="231"/>
      <c r="G610" s="343">
        <v>6849308</v>
      </c>
      <c r="H610" s="343">
        <v>975697</v>
      </c>
      <c r="I610" s="343">
        <v>6519618</v>
      </c>
      <c r="J610" s="343">
        <v>87197</v>
      </c>
      <c r="K610" s="343">
        <v>14431820</v>
      </c>
      <c r="L610" s="231"/>
      <c r="M610" s="343">
        <v>0</v>
      </c>
      <c r="N610" s="343">
        <v>0</v>
      </c>
      <c r="O610" s="343">
        <v>155849</v>
      </c>
      <c r="P610" s="343">
        <v>155849</v>
      </c>
      <c r="Q610" s="231"/>
      <c r="R610" s="343">
        <v>17819117</v>
      </c>
      <c r="S610" s="343">
        <v>-17</v>
      </c>
      <c r="T610" s="343">
        <v>17819100</v>
      </c>
    </row>
    <row r="611" spans="1:20">
      <c r="A611" s="349">
        <v>96502</v>
      </c>
      <c r="B611" s="342" t="s">
        <v>2759</v>
      </c>
      <c r="C611" s="234">
        <v>4.082E-4</v>
      </c>
      <c r="D611" s="234">
        <v>4.059E-4</v>
      </c>
      <c r="E611" s="343">
        <v>1114762</v>
      </c>
      <c r="F611" s="231"/>
      <c r="G611" s="343">
        <v>190876</v>
      </c>
      <c r="H611" s="343">
        <v>27191</v>
      </c>
      <c r="I611" s="343">
        <v>181688</v>
      </c>
      <c r="J611" s="343">
        <v>19956</v>
      </c>
      <c r="K611" s="343">
        <v>419711</v>
      </c>
      <c r="L611" s="231"/>
      <c r="M611" s="343">
        <v>0</v>
      </c>
      <c r="N611" s="343">
        <v>0</v>
      </c>
      <c r="O611" s="343">
        <v>0</v>
      </c>
      <c r="P611" s="343">
        <v>0</v>
      </c>
      <c r="Q611" s="231"/>
      <c r="R611" s="343">
        <v>496581</v>
      </c>
      <c r="S611" s="343">
        <v>13518</v>
      </c>
      <c r="T611" s="343">
        <v>510099</v>
      </c>
    </row>
    <row r="612" spans="1:20">
      <c r="A612" s="349">
        <v>96503</v>
      </c>
      <c r="B612" s="342" t="s">
        <v>1303</v>
      </c>
      <c r="C612" s="234">
        <v>3.1940000000000001E-4</v>
      </c>
      <c r="D612" s="234">
        <v>2.856E-4</v>
      </c>
      <c r="E612" s="343">
        <v>872256</v>
      </c>
      <c r="F612" s="231"/>
      <c r="G612" s="343">
        <v>149352</v>
      </c>
      <c r="H612" s="343">
        <v>21276</v>
      </c>
      <c r="I612" s="343">
        <v>142163</v>
      </c>
      <c r="J612" s="343">
        <v>368263</v>
      </c>
      <c r="K612" s="343">
        <v>681054</v>
      </c>
      <c r="L612" s="231"/>
      <c r="M612" s="343">
        <v>0</v>
      </c>
      <c r="N612" s="343">
        <v>0</v>
      </c>
      <c r="O612" s="343">
        <v>0</v>
      </c>
      <c r="P612" s="343">
        <v>0</v>
      </c>
      <c r="Q612" s="231"/>
      <c r="R612" s="343">
        <v>388554</v>
      </c>
      <c r="S612" s="343">
        <v>162134</v>
      </c>
      <c r="T612" s="343">
        <v>550688</v>
      </c>
    </row>
    <row r="613" spans="1:20">
      <c r="A613" s="349">
        <v>96504</v>
      </c>
      <c r="B613" s="342" t="s">
        <v>1304</v>
      </c>
      <c r="C613" s="234">
        <v>4.3649999999999998E-4</v>
      </c>
      <c r="D613" s="234">
        <v>4.0900000000000002E-4</v>
      </c>
      <c r="E613" s="343">
        <v>1192047</v>
      </c>
      <c r="F613" s="231"/>
      <c r="G613" s="343">
        <v>204109</v>
      </c>
      <c r="H613" s="343">
        <v>29075</v>
      </c>
      <c r="I613" s="343">
        <v>194284</v>
      </c>
      <c r="J613" s="343">
        <v>38910</v>
      </c>
      <c r="K613" s="343">
        <v>466378</v>
      </c>
      <c r="L613" s="231"/>
      <c r="M613" s="343">
        <v>0</v>
      </c>
      <c r="N613" s="343">
        <v>0</v>
      </c>
      <c r="O613" s="343">
        <v>1792</v>
      </c>
      <c r="P613" s="343">
        <v>1792</v>
      </c>
      <c r="Q613" s="231"/>
      <c r="R613" s="343">
        <v>531008</v>
      </c>
      <c r="S613" s="343">
        <v>15969</v>
      </c>
      <c r="T613" s="343">
        <v>546977</v>
      </c>
    </row>
    <row r="614" spans="1:20">
      <c r="A614" s="349">
        <v>96507</v>
      </c>
      <c r="B614" s="342" t="s">
        <v>1305</v>
      </c>
      <c r="C614" s="234">
        <v>2.3281999999999999E-3</v>
      </c>
      <c r="D614" s="234">
        <v>2.2176000000000001E-3</v>
      </c>
      <c r="E614" s="343">
        <v>6358133</v>
      </c>
      <c r="F614" s="231"/>
      <c r="G614" s="343">
        <v>1088673</v>
      </c>
      <c r="H614" s="343">
        <v>155083</v>
      </c>
      <c r="I614" s="343">
        <v>1036270</v>
      </c>
      <c r="J614" s="343">
        <v>159186</v>
      </c>
      <c r="K614" s="343">
        <v>2439212</v>
      </c>
      <c r="L614" s="231"/>
      <c r="M614" s="343">
        <v>0</v>
      </c>
      <c r="N614" s="343">
        <v>0</v>
      </c>
      <c r="O614" s="343">
        <v>11396</v>
      </c>
      <c r="P614" s="343">
        <v>11396</v>
      </c>
      <c r="Q614" s="231"/>
      <c r="R614" s="343">
        <v>2832286</v>
      </c>
      <c r="S614" s="343">
        <v>67778</v>
      </c>
      <c r="T614" s="343">
        <v>2900064</v>
      </c>
    </row>
    <row r="615" spans="1:20">
      <c r="A615" s="349">
        <v>96508</v>
      </c>
      <c r="B615" s="342" t="s">
        <v>3684</v>
      </c>
      <c r="C615" s="234">
        <v>5.9000000000000003E-6</v>
      </c>
      <c r="D615" s="234">
        <v>7.4000000000000003E-6</v>
      </c>
      <c r="E615" s="343">
        <v>16112</v>
      </c>
      <c r="F615" s="231"/>
      <c r="G615" s="343">
        <v>2759</v>
      </c>
      <c r="H615" s="343">
        <v>393</v>
      </c>
      <c r="I615" s="343">
        <v>2626</v>
      </c>
      <c r="J615" s="343">
        <v>13832</v>
      </c>
      <c r="K615" s="343">
        <v>19610</v>
      </c>
      <c r="L615" s="231"/>
      <c r="M615" s="343">
        <v>0</v>
      </c>
      <c r="N615" s="343">
        <v>0</v>
      </c>
      <c r="O615" s="343">
        <v>0</v>
      </c>
      <c r="P615" s="343">
        <v>0</v>
      </c>
      <c r="Q615" s="231"/>
      <c r="R615" s="343">
        <v>7177</v>
      </c>
      <c r="S615" s="343">
        <v>6229</v>
      </c>
      <c r="T615" s="343">
        <v>13406</v>
      </c>
    </row>
    <row r="616" spans="1:20">
      <c r="A616" s="349">
        <v>96511</v>
      </c>
      <c r="B616" s="342" t="s">
        <v>1307</v>
      </c>
      <c r="C616" s="234">
        <v>6.0519999999999997E-4</v>
      </c>
      <c r="D616" s="234">
        <v>6.1580000000000001E-4</v>
      </c>
      <c r="E616" s="343">
        <v>1652754</v>
      </c>
      <c r="F616" s="231"/>
      <c r="G616" s="343">
        <v>282993</v>
      </c>
      <c r="H616" s="343">
        <v>40313</v>
      </c>
      <c r="I616" s="343">
        <v>269371</v>
      </c>
      <c r="J616" s="343">
        <v>0</v>
      </c>
      <c r="K616" s="343">
        <v>592677</v>
      </c>
      <c r="L616" s="231"/>
      <c r="M616" s="343">
        <v>0</v>
      </c>
      <c r="N616" s="343">
        <v>0</v>
      </c>
      <c r="O616" s="343">
        <v>45820</v>
      </c>
      <c r="P616" s="343">
        <v>45820</v>
      </c>
      <c r="Q616" s="231"/>
      <c r="R616" s="343">
        <v>736234</v>
      </c>
      <c r="S616" s="343">
        <v>-31787</v>
      </c>
      <c r="T616" s="343">
        <v>704447</v>
      </c>
    </row>
    <row r="617" spans="1:20">
      <c r="A617" s="349">
        <v>96512</v>
      </c>
      <c r="B617" s="342" t="s">
        <v>1308</v>
      </c>
      <c r="C617" s="234">
        <v>1.528E-4</v>
      </c>
      <c r="D617" s="234">
        <v>1.5899999999999999E-4</v>
      </c>
      <c r="E617" s="343">
        <v>417285</v>
      </c>
      <c r="F617" s="231"/>
      <c r="G617" s="343">
        <v>71450</v>
      </c>
      <c r="H617" s="343">
        <v>10178</v>
      </c>
      <c r="I617" s="343">
        <v>68011</v>
      </c>
      <c r="J617" s="343">
        <v>6021</v>
      </c>
      <c r="K617" s="343">
        <v>155660</v>
      </c>
      <c r="L617" s="231"/>
      <c r="M617" s="343">
        <v>0</v>
      </c>
      <c r="N617" s="343">
        <v>0</v>
      </c>
      <c r="O617" s="343">
        <v>6275</v>
      </c>
      <c r="P617" s="343">
        <v>6275</v>
      </c>
      <c r="Q617" s="231"/>
      <c r="R617" s="343">
        <v>185883</v>
      </c>
      <c r="S617" s="343">
        <v>1167</v>
      </c>
      <c r="T617" s="343">
        <v>187050</v>
      </c>
    </row>
    <row r="618" spans="1:20">
      <c r="A618" s="349">
        <v>96521</v>
      </c>
      <c r="B618" s="342" t="s">
        <v>1309</v>
      </c>
      <c r="C618" s="234">
        <v>9.3479999999999995E-4</v>
      </c>
      <c r="D618" s="234">
        <v>9.6719999999999998E-4</v>
      </c>
      <c r="E618" s="343">
        <v>2552866</v>
      </c>
      <c r="F618" s="231"/>
      <c r="G618" s="343">
        <v>437115</v>
      </c>
      <c r="H618" s="343">
        <v>62268</v>
      </c>
      <c r="I618" s="343">
        <v>416075</v>
      </c>
      <c r="J618" s="343">
        <v>0</v>
      </c>
      <c r="K618" s="343">
        <v>915458</v>
      </c>
      <c r="L618" s="231"/>
      <c r="M618" s="343">
        <v>0</v>
      </c>
      <c r="N618" s="343">
        <v>0</v>
      </c>
      <c r="O618" s="343">
        <v>100716</v>
      </c>
      <c r="P618" s="343">
        <v>100716</v>
      </c>
      <c r="Q618" s="231"/>
      <c r="R618" s="343">
        <v>1137196</v>
      </c>
      <c r="S618" s="343">
        <v>-20296</v>
      </c>
      <c r="T618" s="343">
        <v>1116900</v>
      </c>
    </row>
    <row r="619" spans="1:20">
      <c r="A619" s="349">
        <v>96531</v>
      </c>
      <c r="B619" s="342" t="s">
        <v>1310</v>
      </c>
      <c r="C619" s="234">
        <v>8.6105999999999995E-3</v>
      </c>
      <c r="D619" s="234">
        <v>8.7183999999999994E-3</v>
      </c>
      <c r="E619" s="343">
        <v>23514877</v>
      </c>
      <c r="F619" s="231"/>
      <c r="G619" s="343">
        <v>4026342</v>
      </c>
      <c r="H619" s="343">
        <v>573560</v>
      </c>
      <c r="I619" s="343">
        <v>3832535</v>
      </c>
      <c r="J619" s="343">
        <v>0</v>
      </c>
      <c r="K619" s="343">
        <v>8432437</v>
      </c>
      <c r="L619" s="231"/>
      <c r="M619" s="343">
        <v>0</v>
      </c>
      <c r="N619" s="343">
        <v>0</v>
      </c>
      <c r="O619" s="343">
        <v>411642</v>
      </c>
      <c r="P619" s="343">
        <v>411642</v>
      </c>
      <c r="Q619" s="231"/>
      <c r="R619" s="343">
        <v>10474907</v>
      </c>
      <c r="S619" s="343">
        <v>-174600</v>
      </c>
      <c r="T619" s="343">
        <v>10300307</v>
      </c>
    </row>
    <row r="620" spans="1:20">
      <c r="A620" s="349">
        <v>96541</v>
      </c>
      <c r="B620" s="342" t="s">
        <v>1311</v>
      </c>
      <c r="C620" s="234">
        <v>3.8709999999999998E-4</v>
      </c>
      <c r="D620" s="234">
        <v>3.5780000000000002E-4</v>
      </c>
      <c r="E620" s="343">
        <v>1057140</v>
      </c>
      <c r="F620" s="231"/>
      <c r="G620" s="343">
        <v>181009</v>
      </c>
      <c r="H620" s="343">
        <v>25785</v>
      </c>
      <c r="I620" s="343">
        <v>172296</v>
      </c>
      <c r="J620" s="343">
        <v>15689</v>
      </c>
      <c r="K620" s="343">
        <v>394779</v>
      </c>
      <c r="L620" s="231"/>
      <c r="M620" s="343">
        <v>0</v>
      </c>
      <c r="N620" s="343">
        <v>0</v>
      </c>
      <c r="O620" s="343">
        <v>3863</v>
      </c>
      <c r="P620" s="343">
        <v>3863</v>
      </c>
      <c r="Q620" s="231"/>
      <c r="R620" s="343">
        <v>470912</v>
      </c>
      <c r="S620" s="343">
        <v>6333</v>
      </c>
      <c r="T620" s="343">
        <v>477245</v>
      </c>
    </row>
    <row r="621" spans="1:20">
      <c r="A621" s="349">
        <v>96601</v>
      </c>
      <c r="B621" s="342" t="s">
        <v>1312</v>
      </c>
      <c r="C621" s="234">
        <v>1.7417999999999999E-3</v>
      </c>
      <c r="D621" s="234">
        <v>1.7382999999999999E-3</v>
      </c>
      <c r="E621" s="343">
        <v>4756720</v>
      </c>
      <c r="F621" s="231"/>
      <c r="G621" s="343">
        <v>814471</v>
      </c>
      <c r="H621" s="343">
        <v>116023</v>
      </c>
      <c r="I621" s="343">
        <v>775266</v>
      </c>
      <c r="J621" s="343">
        <v>26011</v>
      </c>
      <c r="K621" s="343">
        <v>1731771</v>
      </c>
      <c r="L621" s="231"/>
      <c r="M621" s="343">
        <v>0</v>
      </c>
      <c r="N621" s="343">
        <v>0</v>
      </c>
      <c r="O621" s="343">
        <v>57193</v>
      </c>
      <c r="P621" s="343">
        <v>57193</v>
      </c>
      <c r="Q621" s="231"/>
      <c r="R621" s="343">
        <v>2118922</v>
      </c>
      <c r="S621" s="343">
        <v>-10516</v>
      </c>
      <c r="T621" s="343">
        <v>2108406</v>
      </c>
    </row>
    <row r="622" spans="1:20">
      <c r="A622" s="349">
        <v>96604</v>
      </c>
      <c r="B622" s="342" t="s">
        <v>1313</v>
      </c>
      <c r="C622" s="234">
        <v>5.3000000000000001E-6</v>
      </c>
      <c r="D622" s="234">
        <v>5.5999999999999997E-6</v>
      </c>
      <c r="E622" s="343">
        <v>14474</v>
      </c>
      <c r="F622" s="231"/>
      <c r="G622" s="343">
        <v>2478</v>
      </c>
      <c r="H622" s="343">
        <v>353</v>
      </c>
      <c r="I622" s="343">
        <v>2359</v>
      </c>
      <c r="J622" s="343">
        <v>2335</v>
      </c>
      <c r="K622" s="343">
        <v>7525</v>
      </c>
      <c r="L622" s="231"/>
      <c r="M622" s="343">
        <v>0</v>
      </c>
      <c r="N622" s="343">
        <v>0</v>
      </c>
      <c r="O622" s="343">
        <v>0</v>
      </c>
      <c r="P622" s="343">
        <v>0</v>
      </c>
      <c r="Q622" s="231"/>
      <c r="R622" s="343">
        <v>6448</v>
      </c>
      <c r="S622" s="343">
        <v>881</v>
      </c>
      <c r="T622" s="343">
        <v>7329</v>
      </c>
    </row>
    <row r="623" spans="1:20">
      <c r="A623" s="349">
        <v>96611</v>
      </c>
      <c r="B623" s="342" t="s">
        <v>1314</v>
      </c>
      <c r="C623" s="234">
        <v>1.3900000000000001E-5</v>
      </c>
      <c r="D623" s="234">
        <v>2.41E-5</v>
      </c>
      <c r="E623" s="343">
        <v>37960</v>
      </c>
      <c r="F623" s="231"/>
      <c r="G623" s="343">
        <v>6500</v>
      </c>
      <c r="H623" s="343">
        <v>926</v>
      </c>
      <c r="I623" s="343">
        <v>6187</v>
      </c>
      <c r="J623" s="343">
        <v>121</v>
      </c>
      <c r="K623" s="343">
        <v>13734</v>
      </c>
      <c r="L623" s="231"/>
      <c r="M623" s="343">
        <v>0</v>
      </c>
      <c r="N623" s="343">
        <v>0</v>
      </c>
      <c r="O623" s="343">
        <v>7722</v>
      </c>
      <c r="P623" s="343">
        <v>7722</v>
      </c>
      <c r="Q623" s="231"/>
      <c r="R623" s="343">
        <v>16910</v>
      </c>
      <c r="S623" s="343">
        <v>-2592</v>
      </c>
      <c r="T623" s="343">
        <v>14318</v>
      </c>
    </row>
    <row r="624" spans="1:20">
      <c r="A624" s="349">
        <v>96612</v>
      </c>
      <c r="B624" s="342" t="s">
        <v>2761</v>
      </c>
      <c r="C624" s="234">
        <v>5.5099999999999998E-5</v>
      </c>
      <c r="D624" s="234">
        <v>5.4500000000000003E-5</v>
      </c>
      <c r="E624" s="343">
        <v>150474</v>
      </c>
      <c r="F624" s="231"/>
      <c r="G624" s="343">
        <v>25765</v>
      </c>
      <c r="H624" s="343">
        <v>3670</v>
      </c>
      <c r="I624" s="343">
        <v>24525</v>
      </c>
      <c r="J624" s="343">
        <v>9540</v>
      </c>
      <c r="K624" s="343">
        <v>63500</v>
      </c>
      <c r="L624" s="231"/>
      <c r="M624" s="343">
        <v>0</v>
      </c>
      <c r="N624" s="343">
        <v>0</v>
      </c>
      <c r="O624" s="343">
        <v>1698</v>
      </c>
      <c r="P624" s="343">
        <v>1698</v>
      </c>
      <c r="Q624" s="231"/>
      <c r="R624" s="343">
        <v>67030</v>
      </c>
      <c r="S624" s="343">
        <v>3984</v>
      </c>
      <c r="T624" s="343">
        <v>71014</v>
      </c>
    </row>
    <row r="625" spans="1:20">
      <c r="A625" s="349">
        <v>96621</v>
      </c>
      <c r="B625" s="342" t="s">
        <v>1316</v>
      </c>
      <c r="C625" s="234">
        <v>2.09E-5</v>
      </c>
      <c r="D625" s="234">
        <v>1.9199999999999999E-5</v>
      </c>
      <c r="E625" s="343">
        <v>57076</v>
      </c>
      <c r="F625" s="231"/>
      <c r="G625" s="343">
        <v>9773</v>
      </c>
      <c r="H625" s="343">
        <v>1392</v>
      </c>
      <c r="I625" s="343">
        <v>9302</v>
      </c>
      <c r="J625" s="343">
        <v>2357</v>
      </c>
      <c r="K625" s="343">
        <v>22824</v>
      </c>
      <c r="L625" s="231"/>
      <c r="M625" s="343">
        <v>0</v>
      </c>
      <c r="N625" s="343">
        <v>0</v>
      </c>
      <c r="O625" s="343">
        <v>2640</v>
      </c>
      <c r="P625" s="343">
        <v>2640</v>
      </c>
      <c r="Q625" s="231"/>
      <c r="R625" s="343">
        <v>25425</v>
      </c>
      <c r="S625" s="343">
        <v>-638</v>
      </c>
      <c r="T625" s="343">
        <v>24787</v>
      </c>
    </row>
    <row r="626" spans="1:20">
      <c r="A626" s="349">
        <v>96631</v>
      </c>
      <c r="B626" s="342" t="s">
        <v>1317</v>
      </c>
      <c r="C626" s="234">
        <v>2.1800000000000001E-5</v>
      </c>
      <c r="D626" s="234">
        <v>2.3600000000000001E-5</v>
      </c>
      <c r="E626" s="343">
        <v>59534</v>
      </c>
      <c r="F626" s="231"/>
      <c r="G626" s="343">
        <v>10194</v>
      </c>
      <c r="H626" s="343">
        <v>1452</v>
      </c>
      <c r="I626" s="343">
        <v>9703</v>
      </c>
      <c r="J626" s="343">
        <v>0</v>
      </c>
      <c r="K626" s="343">
        <v>21349</v>
      </c>
      <c r="L626" s="231"/>
      <c r="M626" s="343">
        <v>0</v>
      </c>
      <c r="N626" s="343">
        <v>0</v>
      </c>
      <c r="O626" s="343">
        <v>891</v>
      </c>
      <c r="P626" s="343">
        <v>891</v>
      </c>
      <c r="Q626" s="231"/>
      <c r="R626" s="343">
        <v>26520</v>
      </c>
      <c r="S626" s="343">
        <v>793</v>
      </c>
      <c r="T626" s="343">
        <v>27313</v>
      </c>
    </row>
    <row r="627" spans="1:20">
      <c r="A627" s="349">
        <v>96641</v>
      </c>
      <c r="B627" s="342" t="s">
        <v>1318</v>
      </c>
      <c r="C627" s="234">
        <v>3.3800000000000002E-5</v>
      </c>
      <c r="D627" s="234">
        <v>3.2100000000000001E-5</v>
      </c>
      <c r="E627" s="343">
        <v>92305</v>
      </c>
      <c r="F627" s="231"/>
      <c r="G627" s="343">
        <v>15805</v>
      </c>
      <c r="H627" s="343">
        <v>2252</v>
      </c>
      <c r="I627" s="343">
        <v>15044</v>
      </c>
      <c r="J627" s="343">
        <v>15476</v>
      </c>
      <c r="K627" s="343">
        <v>48577</v>
      </c>
      <c r="L627" s="231"/>
      <c r="M627" s="343">
        <v>0</v>
      </c>
      <c r="N627" s="343">
        <v>0</v>
      </c>
      <c r="O627" s="343">
        <v>0</v>
      </c>
      <c r="P627" s="343">
        <v>0</v>
      </c>
      <c r="Q627" s="231"/>
      <c r="R627" s="343">
        <v>41118</v>
      </c>
      <c r="S627" s="343">
        <v>7087</v>
      </c>
      <c r="T627" s="343">
        <v>48205</v>
      </c>
    </row>
    <row r="628" spans="1:20">
      <c r="A628" s="349">
        <v>96651</v>
      </c>
      <c r="B628" s="342" t="s">
        <v>1319</v>
      </c>
      <c r="C628" s="234">
        <v>1.8499999999999999E-5</v>
      </c>
      <c r="D628" s="234">
        <v>1.9400000000000001E-5</v>
      </c>
      <c r="E628" s="343">
        <v>50522</v>
      </c>
      <c r="F628" s="231"/>
      <c r="G628" s="343">
        <v>8651</v>
      </c>
      <c r="H628" s="343">
        <v>1232</v>
      </c>
      <c r="I628" s="343">
        <v>8234</v>
      </c>
      <c r="J628" s="343">
        <v>1993</v>
      </c>
      <c r="K628" s="343">
        <v>20110</v>
      </c>
      <c r="L628" s="231"/>
      <c r="M628" s="343">
        <v>0</v>
      </c>
      <c r="N628" s="343">
        <v>0</v>
      </c>
      <c r="O628" s="343">
        <v>3543</v>
      </c>
      <c r="P628" s="343">
        <v>3543</v>
      </c>
      <c r="Q628" s="231"/>
      <c r="R628" s="343">
        <v>22505</v>
      </c>
      <c r="S628" s="343">
        <v>-353</v>
      </c>
      <c r="T628" s="343">
        <v>22152</v>
      </c>
    </row>
    <row r="629" spans="1:20">
      <c r="A629" s="349">
        <v>96661</v>
      </c>
      <c r="B629" s="342" t="s">
        <v>1320</v>
      </c>
      <c r="C629" s="234">
        <v>1.8099999999999999E-5</v>
      </c>
      <c r="D629" s="234">
        <v>1.9000000000000001E-5</v>
      </c>
      <c r="E629" s="343">
        <v>49430</v>
      </c>
      <c r="F629" s="231"/>
      <c r="G629" s="343">
        <v>8464</v>
      </c>
      <c r="H629" s="343">
        <v>1206</v>
      </c>
      <c r="I629" s="343">
        <v>8056</v>
      </c>
      <c r="J629" s="343">
        <v>1831</v>
      </c>
      <c r="K629" s="343">
        <v>19557</v>
      </c>
      <c r="L629" s="231"/>
      <c r="M629" s="343">
        <v>0</v>
      </c>
      <c r="N629" s="343">
        <v>0</v>
      </c>
      <c r="O629" s="343">
        <v>165</v>
      </c>
      <c r="P629" s="343">
        <v>165</v>
      </c>
      <c r="Q629" s="231"/>
      <c r="R629" s="343">
        <v>22019</v>
      </c>
      <c r="S629" s="343">
        <v>1824</v>
      </c>
      <c r="T629" s="343">
        <v>23843</v>
      </c>
    </row>
    <row r="630" spans="1:20">
      <c r="A630" s="349">
        <v>96671</v>
      </c>
      <c r="B630" s="342" t="s">
        <v>1321</v>
      </c>
      <c r="C630" s="234">
        <v>1.26E-5</v>
      </c>
      <c r="D630" s="234">
        <v>1.3900000000000001E-5</v>
      </c>
      <c r="E630" s="343">
        <v>34410</v>
      </c>
      <c r="F630" s="231"/>
      <c r="G630" s="343">
        <v>5892</v>
      </c>
      <c r="H630" s="343">
        <v>840</v>
      </c>
      <c r="I630" s="343">
        <v>5608</v>
      </c>
      <c r="J630" s="343">
        <v>3261</v>
      </c>
      <c r="K630" s="343">
        <v>15601</v>
      </c>
      <c r="L630" s="231"/>
      <c r="M630" s="343">
        <v>0</v>
      </c>
      <c r="N630" s="343">
        <v>0</v>
      </c>
      <c r="O630" s="343">
        <v>0</v>
      </c>
      <c r="P630" s="343">
        <v>0</v>
      </c>
      <c r="Q630" s="231"/>
      <c r="R630" s="343">
        <v>15328</v>
      </c>
      <c r="S630" s="343">
        <v>3907</v>
      </c>
      <c r="T630" s="343">
        <v>19235</v>
      </c>
    </row>
    <row r="631" spans="1:20">
      <c r="A631" s="349">
        <v>96681</v>
      </c>
      <c r="B631" s="342" t="s">
        <v>1322</v>
      </c>
      <c r="C631" s="234">
        <v>2.2399999999999999E-5</v>
      </c>
      <c r="D631" s="234">
        <v>2.0599999999999999E-5</v>
      </c>
      <c r="E631" s="343">
        <v>61173</v>
      </c>
      <c r="F631" s="231"/>
      <c r="G631" s="343">
        <v>10474</v>
      </c>
      <c r="H631" s="343">
        <v>1492</v>
      </c>
      <c r="I631" s="343">
        <v>9970</v>
      </c>
      <c r="J631" s="343">
        <v>12153</v>
      </c>
      <c r="K631" s="343">
        <v>34089</v>
      </c>
      <c r="L631" s="231"/>
      <c r="M631" s="343">
        <v>0</v>
      </c>
      <c r="N631" s="343">
        <v>0</v>
      </c>
      <c r="O631" s="343">
        <v>4141</v>
      </c>
      <c r="P631" s="343">
        <v>4141</v>
      </c>
      <c r="Q631" s="231"/>
      <c r="R631" s="343">
        <v>27250</v>
      </c>
      <c r="S631" s="343">
        <v>6193</v>
      </c>
      <c r="T631" s="343">
        <v>33443</v>
      </c>
    </row>
    <row r="632" spans="1:20">
      <c r="A632" s="349">
        <v>96701</v>
      </c>
      <c r="B632" s="342" t="s">
        <v>1323</v>
      </c>
      <c r="C632" s="234">
        <v>8.4864999999999993E-3</v>
      </c>
      <c r="D632" s="234">
        <v>8.5999000000000006E-3</v>
      </c>
      <c r="E632" s="343">
        <v>23175970</v>
      </c>
      <c r="F632" s="231"/>
      <c r="G632" s="343">
        <v>3968313</v>
      </c>
      <c r="H632" s="343">
        <v>565294</v>
      </c>
      <c r="I632" s="343">
        <v>3777299</v>
      </c>
      <c r="J632" s="343">
        <v>129653</v>
      </c>
      <c r="K632" s="343">
        <v>8440559</v>
      </c>
      <c r="L632" s="231"/>
      <c r="M632" s="343">
        <v>0</v>
      </c>
      <c r="N632" s="343">
        <v>0</v>
      </c>
      <c r="O632" s="343">
        <v>465920</v>
      </c>
      <c r="P632" s="343">
        <v>465920</v>
      </c>
      <c r="Q632" s="231"/>
      <c r="R632" s="343">
        <v>10323938</v>
      </c>
      <c r="S632" s="343">
        <v>16462</v>
      </c>
      <c r="T632" s="343">
        <v>10340400</v>
      </c>
    </row>
    <row r="633" spans="1:20">
      <c r="A633" s="349">
        <v>96704</v>
      </c>
      <c r="B633" s="342" t="s">
        <v>1324</v>
      </c>
      <c r="C633" s="234">
        <v>1.873E-4</v>
      </c>
      <c r="D633" s="234">
        <v>1.7550000000000001E-4</v>
      </c>
      <c r="E633" s="343">
        <v>511502</v>
      </c>
      <c r="F633" s="231"/>
      <c r="G633" s="343">
        <v>87582</v>
      </c>
      <c r="H633" s="343">
        <v>12476</v>
      </c>
      <c r="I633" s="343">
        <v>83366</v>
      </c>
      <c r="J633" s="343">
        <v>55402</v>
      </c>
      <c r="K633" s="343">
        <v>238826</v>
      </c>
      <c r="L633" s="231"/>
      <c r="M633" s="343">
        <v>0</v>
      </c>
      <c r="N633" s="343">
        <v>0</v>
      </c>
      <c r="O633" s="343">
        <v>0</v>
      </c>
      <c r="P633" s="343">
        <v>0</v>
      </c>
      <c r="Q633" s="231"/>
      <c r="R633" s="343">
        <v>227853</v>
      </c>
      <c r="S633" s="343">
        <v>18669</v>
      </c>
      <c r="T633" s="343">
        <v>246522</v>
      </c>
    </row>
    <row r="634" spans="1:20">
      <c r="A634" s="349">
        <v>96708</v>
      </c>
      <c r="B634" s="342" t="s">
        <v>1325</v>
      </c>
      <c r="C634" s="234">
        <v>8.7410000000000005E-4</v>
      </c>
      <c r="D634" s="234">
        <v>8.8579999999999996E-4</v>
      </c>
      <c r="E634" s="343">
        <v>2387099</v>
      </c>
      <c r="F634" s="231"/>
      <c r="G634" s="343">
        <v>408732</v>
      </c>
      <c r="H634" s="343">
        <v>58224</v>
      </c>
      <c r="I634" s="343">
        <v>389058</v>
      </c>
      <c r="J634" s="343">
        <v>83282</v>
      </c>
      <c r="K634" s="343">
        <v>939296</v>
      </c>
      <c r="L634" s="231"/>
      <c r="M634" s="343">
        <v>0</v>
      </c>
      <c r="N634" s="343">
        <v>0</v>
      </c>
      <c r="O634" s="343">
        <v>5984</v>
      </c>
      <c r="P634" s="343">
        <v>5984</v>
      </c>
      <c r="Q634" s="231"/>
      <c r="R634" s="343">
        <v>1063354</v>
      </c>
      <c r="S634" s="343">
        <v>35823</v>
      </c>
      <c r="T634" s="343">
        <v>1099177</v>
      </c>
    </row>
    <row r="635" spans="1:20">
      <c r="A635" s="349">
        <v>96711</v>
      </c>
      <c r="B635" s="342" t="s">
        <v>1326</v>
      </c>
      <c r="C635" s="234">
        <v>3.7919E-3</v>
      </c>
      <c r="D635" s="234">
        <v>3.9007999999999998E-3</v>
      </c>
      <c r="E635" s="343">
        <v>10355383</v>
      </c>
      <c r="F635" s="231"/>
      <c r="G635" s="343">
        <v>1773104</v>
      </c>
      <c r="H635" s="343">
        <v>252582</v>
      </c>
      <c r="I635" s="343">
        <v>1687756</v>
      </c>
      <c r="J635" s="343">
        <v>0</v>
      </c>
      <c r="K635" s="343">
        <v>3713442</v>
      </c>
      <c r="L635" s="231"/>
      <c r="M635" s="343">
        <v>0</v>
      </c>
      <c r="N635" s="343">
        <v>0</v>
      </c>
      <c r="O635" s="343">
        <v>301826</v>
      </c>
      <c r="P635" s="343">
        <v>301826</v>
      </c>
      <c r="Q635" s="231"/>
      <c r="R635" s="343">
        <v>4612896</v>
      </c>
      <c r="S635" s="343">
        <v>-207019</v>
      </c>
      <c r="T635" s="343">
        <v>4405877</v>
      </c>
    </row>
    <row r="636" spans="1:20">
      <c r="A636" s="349">
        <v>96721</v>
      </c>
      <c r="B636" s="342" t="s">
        <v>1327</v>
      </c>
      <c r="C636" s="234">
        <v>2.1719999999999999E-4</v>
      </c>
      <c r="D636" s="234">
        <v>2.1790000000000001E-4</v>
      </c>
      <c r="E636" s="343">
        <v>593156</v>
      </c>
      <c r="F636" s="231"/>
      <c r="G636" s="343">
        <v>101563</v>
      </c>
      <c r="H636" s="343">
        <v>14468</v>
      </c>
      <c r="I636" s="343">
        <v>96675</v>
      </c>
      <c r="J636" s="343">
        <v>5560</v>
      </c>
      <c r="K636" s="343">
        <v>218266</v>
      </c>
      <c r="L636" s="231"/>
      <c r="M636" s="343">
        <v>0</v>
      </c>
      <c r="N636" s="343">
        <v>0</v>
      </c>
      <c r="O636" s="343">
        <v>11234</v>
      </c>
      <c r="P636" s="343">
        <v>11234</v>
      </c>
      <c r="Q636" s="231"/>
      <c r="R636" s="343">
        <v>264227</v>
      </c>
      <c r="S636" s="343">
        <v>-7051</v>
      </c>
      <c r="T636" s="343">
        <v>257176</v>
      </c>
    </row>
    <row r="637" spans="1:20">
      <c r="A637" s="349">
        <v>96731</v>
      </c>
      <c r="B637" s="342" t="s">
        <v>1328</v>
      </c>
      <c r="C637" s="234">
        <v>1.763E-4</v>
      </c>
      <c r="D637" s="234">
        <v>1.7019999999999999E-4</v>
      </c>
      <c r="E637" s="343">
        <v>481462</v>
      </c>
      <c r="F637" s="231"/>
      <c r="G637" s="343">
        <v>82438</v>
      </c>
      <c r="H637" s="343">
        <v>11744</v>
      </c>
      <c r="I637" s="343">
        <v>78470</v>
      </c>
      <c r="J637" s="343">
        <v>7384</v>
      </c>
      <c r="K637" s="343">
        <v>180036</v>
      </c>
      <c r="L637" s="231"/>
      <c r="M637" s="343">
        <v>0</v>
      </c>
      <c r="N637" s="343">
        <v>0</v>
      </c>
      <c r="O637" s="343">
        <v>1328</v>
      </c>
      <c r="P637" s="343">
        <v>1328</v>
      </c>
      <c r="Q637" s="231"/>
      <c r="R637" s="343">
        <v>214471</v>
      </c>
      <c r="S637" s="343">
        <v>6633</v>
      </c>
      <c r="T637" s="343">
        <v>221104</v>
      </c>
    </row>
    <row r="638" spans="1:20">
      <c r="A638" s="349">
        <v>96733</v>
      </c>
      <c r="B638" s="342" t="s">
        <v>1329</v>
      </c>
      <c r="C638" s="234">
        <v>6.4999999999999996E-6</v>
      </c>
      <c r="D638" s="234">
        <v>1.1800000000000001E-5</v>
      </c>
      <c r="E638" s="343">
        <v>17751</v>
      </c>
      <c r="F638" s="231"/>
      <c r="G638" s="343">
        <v>3039</v>
      </c>
      <c r="H638" s="343">
        <v>433</v>
      </c>
      <c r="I638" s="343">
        <v>2893</v>
      </c>
      <c r="J638" s="343">
        <v>2536</v>
      </c>
      <c r="K638" s="343">
        <v>8901</v>
      </c>
      <c r="L638" s="231"/>
      <c r="M638" s="343">
        <v>0</v>
      </c>
      <c r="N638" s="343">
        <v>0</v>
      </c>
      <c r="O638" s="343">
        <v>5920</v>
      </c>
      <c r="P638" s="343">
        <v>5920</v>
      </c>
      <c r="Q638" s="231"/>
      <c r="R638" s="343">
        <v>7907</v>
      </c>
      <c r="S638" s="343">
        <v>-272</v>
      </c>
      <c r="T638" s="343">
        <v>7635</v>
      </c>
    </row>
    <row r="639" spans="1:20">
      <c r="A639" s="349">
        <v>96741</v>
      </c>
      <c r="B639" s="342" t="s">
        <v>1330</v>
      </c>
      <c r="C639" s="234">
        <v>9.6799999999999995E-5</v>
      </c>
      <c r="D639" s="234">
        <v>9.8900000000000005E-5</v>
      </c>
      <c r="E639" s="343">
        <v>264353</v>
      </c>
      <c r="F639" s="231"/>
      <c r="G639" s="343">
        <v>45264</v>
      </c>
      <c r="H639" s="343">
        <v>6448</v>
      </c>
      <c r="I639" s="343">
        <v>43085</v>
      </c>
      <c r="J639" s="343">
        <v>2105</v>
      </c>
      <c r="K639" s="343">
        <v>96902</v>
      </c>
      <c r="L639" s="231"/>
      <c r="M639" s="343">
        <v>0</v>
      </c>
      <c r="N639" s="343">
        <v>0</v>
      </c>
      <c r="O639" s="343">
        <v>5235</v>
      </c>
      <c r="P639" s="343">
        <v>5235</v>
      </c>
      <c r="Q639" s="231"/>
      <c r="R639" s="343">
        <v>117758</v>
      </c>
      <c r="S639" s="343">
        <v>205</v>
      </c>
      <c r="T639" s="343">
        <v>117963</v>
      </c>
    </row>
    <row r="640" spans="1:20">
      <c r="A640" s="349">
        <v>96751</v>
      </c>
      <c r="B640" s="342" t="s">
        <v>3685</v>
      </c>
      <c r="C640" s="234">
        <v>3.054E-4</v>
      </c>
      <c r="D640" s="234">
        <v>2.7920000000000001E-4</v>
      </c>
      <c r="E640" s="343">
        <v>834024</v>
      </c>
      <c r="F640" s="231"/>
      <c r="G640" s="343">
        <v>142806</v>
      </c>
      <c r="H640" s="343">
        <v>20343</v>
      </c>
      <c r="I640" s="343">
        <v>135932</v>
      </c>
      <c r="J640" s="343">
        <v>23640</v>
      </c>
      <c r="K640" s="343">
        <v>322721</v>
      </c>
      <c r="L640" s="231"/>
      <c r="M640" s="343">
        <v>0</v>
      </c>
      <c r="N640" s="343">
        <v>0</v>
      </c>
      <c r="O640" s="343">
        <v>8623</v>
      </c>
      <c r="P640" s="343">
        <v>8623</v>
      </c>
      <c r="Q640" s="231"/>
      <c r="R640" s="343">
        <v>371523</v>
      </c>
      <c r="S640" s="343">
        <v>-5086</v>
      </c>
      <c r="T640" s="343">
        <v>366437</v>
      </c>
    </row>
    <row r="641" spans="1:20">
      <c r="A641" s="349">
        <v>96801</v>
      </c>
      <c r="B641" s="342" t="s">
        <v>1332</v>
      </c>
      <c r="C641" s="234">
        <v>7.6207000000000002E-3</v>
      </c>
      <c r="D641" s="234">
        <v>7.6252999999999998E-3</v>
      </c>
      <c r="E641" s="343">
        <v>20811537</v>
      </c>
      <c r="F641" s="231"/>
      <c r="G641" s="343">
        <v>3563462</v>
      </c>
      <c r="H641" s="343">
        <v>507622</v>
      </c>
      <c r="I641" s="343">
        <v>3391935</v>
      </c>
      <c r="J641" s="343">
        <v>112458</v>
      </c>
      <c r="K641" s="343">
        <v>7575477</v>
      </c>
      <c r="L641" s="231"/>
      <c r="M641" s="343">
        <v>0</v>
      </c>
      <c r="N641" s="343">
        <v>0</v>
      </c>
      <c r="O641" s="343">
        <v>55673</v>
      </c>
      <c r="P641" s="343">
        <v>55673</v>
      </c>
      <c r="Q641" s="231"/>
      <c r="R641" s="343">
        <v>9270681</v>
      </c>
      <c r="S641" s="343">
        <v>108734</v>
      </c>
      <c r="T641" s="343">
        <v>9379415</v>
      </c>
    </row>
    <row r="642" spans="1:20">
      <c r="A642" s="349">
        <v>96804</v>
      </c>
      <c r="B642" s="342" t="s">
        <v>1333</v>
      </c>
      <c r="C642" s="234">
        <v>2.4230000000000001E-4</v>
      </c>
      <c r="D642" s="234">
        <v>2.5539999999999997E-4</v>
      </c>
      <c r="E642" s="343">
        <v>661702</v>
      </c>
      <c r="F642" s="231"/>
      <c r="G642" s="343">
        <v>113300</v>
      </c>
      <c r="H642" s="343">
        <v>16140</v>
      </c>
      <c r="I642" s="343">
        <v>107847</v>
      </c>
      <c r="J642" s="343">
        <v>2705</v>
      </c>
      <c r="K642" s="343">
        <v>239992</v>
      </c>
      <c r="L642" s="231"/>
      <c r="M642" s="343">
        <v>0</v>
      </c>
      <c r="N642" s="343">
        <v>0</v>
      </c>
      <c r="O642" s="343">
        <v>33698</v>
      </c>
      <c r="P642" s="343">
        <v>33698</v>
      </c>
      <c r="Q642" s="231"/>
      <c r="R642" s="343">
        <v>294761</v>
      </c>
      <c r="S642" s="343">
        <v>-9191</v>
      </c>
      <c r="T642" s="343">
        <v>285570</v>
      </c>
    </row>
    <row r="643" spans="1:20">
      <c r="A643" s="349">
        <v>96808</v>
      </c>
      <c r="B643" s="342" t="s">
        <v>1334</v>
      </c>
      <c r="C643" s="234">
        <v>1.2175E-3</v>
      </c>
      <c r="D643" s="234">
        <v>1.2572E-3</v>
      </c>
      <c r="E643" s="343">
        <v>3324898</v>
      </c>
      <c r="F643" s="231"/>
      <c r="G643" s="343">
        <v>569307</v>
      </c>
      <c r="H643" s="343">
        <v>81098</v>
      </c>
      <c r="I643" s="343">
        <v>541903</v>
      </c>
      <c r="J643" s="343">
        <v>6336</v>
      </c>
      <c r="K643" s="343">
        <v>1198644</v>
      </c>
      <c r="L643" s="231"/>
      <c r="M643" s="343">
        <v>0</v>
      </c>
      <c r="N643" s="343">
        <v>0</v>
      </c>
      <c r="O643" s="343">
        <v>39806</v>
      </c>
      <c r="P643" s="343">
        <v>39806</v>
      </c>
      <c r="Q643" s="231"/>
      <c r="R643" s="343">
        <v>1481105</v>
      </c>
      <c r="S643" s="343">
        <v>572</v>
      </c>
      <c r="T643" s="343">
        <v>1481677</v>
      </c>
    </row>
    <row r="644" spans="1:20">
      <c r="A644" s="349">
        <v>96811</v>
      </c>
      <c r="B644" s="342" t="s">
        <v>1335</v>
      </c>
      <c r="C644" s="234">
        <v>5.8506000000000001E-3</v>
      </c>
      <c r="D644" s="234">
        <v>6.1249E-3</v>
      </c>
      <c r="E644" s="343">
        <v>15977532</v>
      </c>
      <c r="F644" s="231"/>
      <c r="G644" s="343">
        <v>2735758</v>
      </c>
      <c r="H644" s="343">
        <v>389714</v>
      </c>
      <c r="I644" s="343">
        <v>2604073</v>
      </c>
      <c r="J644" s="343">
        <v>18706</v>
      </c>
      <c r="K644" s="343">
        <v>5748251</v>
      </c>
      <c r="L644" s="231"/>
      <c r="M644" s="343">
        <v>0</v>
      </c>
      <c r="N644" s="343">
        <v>0</v>
      </c>
      <c r="O644" s="343">
        <v>216448</v>
      </c>
      <c r="P644" s="343">
        <v>216448</v>
      </c>
      <c r="Q644" s="231"/>
      <c r="R644" s="343">
        <v>7117331</v>
      </c>
      <c r="S644" s="343">
        <v>-57023</v>
      </c>
      <c r="T644" s="343">
        <v>7060308</v>
      </c>
    </row>
    <row r="645" spans="1:20" ht="14.25" customHeight="1">
      <c r="A645" s="349">
        <v>96821</v>
      </c>
      <c r="B645" s="342" t="s">
        <v>1336</v>
      </c>
      <c r="C645" s="234">
        <v>1.2505999999999999E-3</v>
      </c>
      <c r="D645" s="234">
        <v>1.1529999999999999E-3</v>
      </c>
      <c r="E645" s="343">
        <v>3415291</v>
      </c>
      <c r="F645" s="231"/>
      <c r="G645" s="343">
        <v>584784</v>
      </c>
      <c r="H645" s="343">
        <v>83304</v>
      </c>
      <c r="I645" s="343">
        <v>556636</v>
      </c>
      <c r="J645" s="343">
        <v>95766</v>
      </c>
      <c r="K645" s="343">
        <v>1320490</v>
      </c>
      <c r="L645" s="231"/>
      <c r="M645" s="343">
        <v>0</v>
      </c>
      <c r="N645" s="343">
        <v>0</v>
      </c>
      <c r="O645" s="343">
        <v>103219</v>
      </c>
      <c r="P645" s="343">
        <v>103219</v>
      </c>
      <c r="Q645" s="231"/>
      <c r="R645" s="343">
        <v>1521371</v>
      </c>
      <c r="S645" s="343">
        <v>-41989</v>
      </c>
      <c r="T645" s="343">
        <v>1479382</v>
      </c>
    </row>
    <row r="646" spans="1:20" ht="14.25" customHeight="1">
      <c r="A646" s="349">
        <v>96831</v>
      </c>
      <c r="B646" s="342" t="s">
        <v>1337</v>
      </c>
      <c r="C646" s="234">
        <v>9.0549999999999995E-4</v>
      </c>
      <c r="D646" s="234">
        <v>9.3130000000000003E-4</v>
      </c>
      <c r="E646" s="343">
        <v>2472850</v>
      </c>
      <c r="F646" s="231"/>
      <c r="G646" s="343">
        <v>423415</v>
      </c>
      <c r="H646" s="343">
        <v>60316</v>
      </c>
      <c r="I646" s="343">
        <v>403034</v>
      </c>
      <c r="J646" s="343">
        <v>5976</v>
      </c>
      <c r="K646" s="343">
        <v>892741</v>
      </c>
      <c r="L646" s="231"/>
      <c r="M646" s="343">
        <v>0</v>
      </c>
      <c r="N646" s="343">
        <v>0</v>
      </c>
      <c r="O646" s="343">
        <v>32451</v>
      </c>
      <c r="P646" s="343">
        <v>32451</v>
      </c>
      <c r="Q646" s="231"/>
      <c r="R646" s="343">
        <v>1101553</v>
      </c>
      <c r="S646" s="343">
        <v>3949</v>
      </c>
      <c r="T646" s="343">
        <v>1105502</v>
      </c>
    </row>
    <row r="647" spans="1:20">
      <c r="A647" s="349">
        <v>96901</v>
      </c>
      <c r="B647" s="342" t="s">
        <v>1338</v>
      </c>
      <c r="C647" s="234">
        <v>9.5589999999999998E-4</v>
      </c>
      <c r="D647" s="234">
        <v>9.1089999999999997E-4</v>
      </c>
      <c r="E647" s="343">
        <v>2610488</v>
      </c>
      <c r="F647" s="231"/>
      <c r="G647" s="343">
        <v>446982</v>
      </c>
      <c r="H647" s="343">
        <v>63673</v>
      </c>
      <c r="I647" s="343">
        <v>425466</v>
      </c>
      <c r="J647" s="343">
        <v>69955</v>
      </c>
      <c r="K647" s="343">
        <v>1006076</v>
      </c>
      <c r="L647" s="231"/>
      <c r="M647" s="343">
        <v>0</v>
      </c>
      <c r="N647" s="343">
        <v>0</v>
      </c>
      <c r="O647" s="343">
        <v>0</v>
      </c>
      <c r="P647" s="343">
        <v>0</v>
      </c>
      <c r="Q647" s="231"/>
      <c r="R647" s="343">
        <v>1162865</v>
      </c>
      <c r="S647" s="343">
        <v>35406</v>
      </c>
      <c r="T647" s="343">
        <v>1198271</v>
      </c>
    </row>
    <row r="648" spans="1:20">
      <c r="A648" s="349">
        <v>96911</v>
      </c>
      <c r="B648" s="342" t="s">
        <v>1339</v>
      </c>
      <c r="C648" s="234">
        <v>2.3E-6</v>
      </c>
      <c r="D648" s="234">
        <v>2.3E-6</v>
      </c>
      <c r="E648" s="343">
        <v>6281</v>
      </c>
      <c r="F648" s="231"/>
      <c r="G648" s="343">
        <v>1075</v>
      </c>
      <c r="H648" s="343">
        <v>153</v>
      </c>
      <c r="I648" s="343">
        <v>1024</v>
      </c>
      <c r="J648" s="343">
        <v>2054</v>
      </c>
      <c r="K648" s="343">
        <v>4306</v>
      </c>
      <c r="L648" s="231"/>
      <c r="M648" s="343">
        <v>0</v>
      </c>
      <c r="N648" s="343">
        <v>0</v>
      </c>
      <c r="O648" s="343">
        <v>928</v>
      </c>
      <c r="P648" s="343">
        <v>928</v>
      </c>
      <c r="Q648" s="231"/>
      <c r="R648" s="343">
        <v>2798</v>
      </c>
      <c r="S648" s="343">
        <v>495</v>
      </c>
      <c r="T648" s="343">
        <v>3293</v>
      </c>
    </row>
    <row r="649" spans="1:20">
      <c r="A649" s="349">
        <v>96912</v>
      </c>
      <c r="B649" s="342" t="s">
        <v>1340</v>
      </c>
      <c r="C649" s="234">
        <v>7.2000000000000002E-5</v>
      </c>
      <c r="D649" s="234">
        <v>6.8100000000000002E-5</v>
      </c>
      <c r="E649" s="343">
        <v>196626</v>
      </c>
      <c r="F649" s="231"/>
      <c r="G649" s="343">
        <v>33667</v>
      </c>
      <c r="H649" s="343">
        <v>4796</v>
      </c>
      <c r="I649" s="343">
        <v>32047</v>
      </c>
      <c r="J649" s="343">
        <v>332</v>
      </c>
      <c r="K649" s="343">
        <v>70842</v>
      </c>
      <c r="L649" s="231"/>
      <c r="M649" s="343">
        <v>0</v>
      </c>
      <c r="N649" s="343">
        <v>0</v>
      </c>
      <c r="O649" s="343">
        <v>2716</v>
      </c>
      <c r="P649" s="343">
        <v>2716</v>
      </c>
      <c r="Q649" s="231"/>
      <c r="R649" s="343">
        <v>87589</v>
      </c>
      <c r="S649" s="343">
        <v>-119</v>
      </c>
      <c r="T649" s="343">
        <v>87470</v>
      </c>
    </row>
    <row r="650" spans="1:20">
      <c r="A650" s="349">
        <v>96918</v>
      </c>
      <c r="B650" s="342" t="s">
        <v>1341</v>
      </c>
      <c r="C650" s="234">
        <v>2.9799999999999999E-5</v>
      </c>
      <c r="D650" s="234">
        <v>3.2299999999999999E-5</v>
      </c>
      <c r="E650" s="343">
        <v>81381</v>
      </c>
      <c r="F650" s="231"/>
      <c r="G650" s="343">
        <v>13935</v>
      </c>
      <c r="H650" s="343">
        <v>1985</v>
      </c>
      <c r="I650" s="343">
        <v>13264</v>
      </c>
      <c r="J650" s="343">
        <v>299</v>
      </c>
      <c r="K650" s="343">
        <v>29483</v>
      </c>
      <c r="L650" s="231"/>
      <c r="M650" s="343">
        <v>0</v>
      </c>
      <c r="N650" s="343">
        <v>0</v>
      </c>
      <c r="O650" s="343">
        <v>3151</v>
      </c>
      <c r="P650" s="343">
        <v>3151</v>
      </c>
      <c r="Q650" s="231"/>
      <c r="R650" s="343">
        <v>36252</v>
      </c>
      <c r="S650" s="343">
        <v>262</v>
      </c>
      <c r="T650" s="343">
        <v>36514</v>
      </c>
    </row>
    <row r="651" spans="1:20">
      <c r="A651" s="349">
        <v>97001</v>
      </c>
      <c r="B651" s="342" t="s">
        <v>1342</v>
      </c>
      <c r="C651" s="234">
        <v>1.3541E-3</v>
      </c>
      <c r="D651" s="234">
        <v>1.3370999999999999E-3</v>
      </c>
      <c r="E651" s="343">
        <v>3697941</v>
      </c>
      <c r="F651" s="231"/>
      <c r="G651" s="343">
        <v>633181</v>
      </c>
      <c r="H651" s="343">
        <v>90198</v>
      </c>
      <c r="I651" s="343">
        <v>602703</v>
      </c>
      <c r="J651" s="343">
        <v>105013</v>
      </c>
      <c r="K651" s="343">
        <v>1431095</v>
      </c>
      <c r="L651" s="231"/>
      <c r="M651" s="343">
        <v>0</v>
      </c>
      <c r="N651" s="343">
        <v>0</v>
      </c>
      <c r="O651" s="343">
        <v>0</v>
      </c>
      <c r="P651" s="343">
        <v>0</v>
      </c>
      <c r="Q651" s="231"/>
      <c r="R651" s="343">
        <v>1647280</v>
      </c>
      <c r="S651" s="343">
        <v>61715</v>
      </c>
      <c r="T651" s="343">
        <v>1708995</v>
      </c>
    </row>
    <row r="652" spans="1:20">
      <c r="A652" s="349">
        <v>97002</v>
      </c>
      <c r="B652" s="342" t="s">
        <v>1343</v>
      </c>
      <c r="C652" s="234">
        <v>5.04E-4</v>
      </c>
      <c r="D652" s="234">
        <v>4.8569999999999999E-4</v>
      </c>
      <c r="E652" s="343">
        <v>1376385</v>
      </c>
      <c r="F652" s="231"/>
      <c r="G652" s="343">
        <v>235672</v>
      </c>
      <c r="H652" s="343">
        <v>33572</v>
      </c>
      <c r="I652" s="343">
        <v>224328</v>
      </c>
      <c r="J652" s="343">
        <v>1791</v>
      </c>
      <c r="K652" s="343">
        <v>495363</v>
      </c>
      <c r="L652" s="231"/>
      <c r="M652" s="343">
        <v>0</v>
      </c>
      <c r="N652" s="343">
        <v>0</v>
      </c>
      <c r="O652" s="343">
        <v>90399</v>
      </c>
      <c r="P652" s="343">
        <v>90399</v>
      </c>
      <c r="Q652" s="231"/>
      <c r="R652" s="343">
        <v>613123</v>
      </c>
      <c r="S652" s="343">
        <v>-24523</v>
      </c>
      <c r="T652" s="343">
        <v>588600</v>
      </c>
    </row>
    <row r="653" spans="1:20">
      <c r="A653" s="349">
        <v>97004</v>
      </c>
      <c r="B653" s="342" t="s">
        <v>3686</v>
      </c>
      <c r="C653" s="234">
        <v>1.5400000000000002E-5</v>
      </c>
      <c r="D653" s="234">
        <v>8.4999999999999999E-6</v>
      </c>
      <c r="E653" s="343">
        <v>42056</v>
      </c>
      <c r="F653" s="231"/>
      <c r="G653" s="343">
        <v>7201</v>
      </c>
      <c r="H653" s="343">
        <v>1026</v>
      </c>
      <c r="I653" s="343">
        <v>6854</v>
      </c>
      <c r="J653" s="343">
        <v>10950</v>
      </c>
      <c r="K653" s="343">
        <v>26031</v>
      </c>
      <c r="L653" s="231"/>
      <c r="M653" s="343">
        <v>0</v>
      </c>
      <c r="N653" s="343">
        <v>0</v>
      </c>
      <c r="O653" s="343">
        <v>0</v>
      </c>
      <c r="P653" s="343">
        <v>0</v>
      </c>
      <c r="Q653" s="231"/>
      <c r="R653" s="343">
        <v>18734</v>
      </c>
      <c r="S653" s="343">
        <v>3800</v>
      </c>
      <c r="T653" s="343">
        <v>22534</v>
      </c>
    </row>
    <row r="654" spans="1:20">
      <c r="A654" s="349">
        <v>97005</v>
      </c>
      <c r="B654" s="342" t="s">
        <v>1345</v>
      </c>
      <c r="C654" s="234">
        <v>2.0100000000000001E-5</v>
      </c>
      <c r="D654" s="234">
        <v>2.7500000000000001E-5</v>
      </c>
      <c r="E654" s="343">
        <v>54892</v>
      </c>
      <c r="F654" s="231"/>
      <c r="G654" s="343">
        <v>9399</v>
      </c>
      <c r="H654" s="343">
        <v>1339</v>
      </c>
      <c r="I654" s="343">
        <v>8946</v>
      </c>
      <c r="J654" s="343">
        <v>6045</v>
      </c>
      <c r="K654" s="343">
        <v>25729</v>
      </c>
      <c r="L654" s="231"/>
      <c r="M654" s="343">
        <v>0</v>
      </c>
      <c r="N654" s="343">
        <v>0</v>
      </c>
      <c r="O654" s="343">
        <v>2125</v>
      </c>
      <c r="P654" s="343">
        <v>2125</v>
      </c>
      <c r="Q654" s="231"/>
      <c r="R654" s="343">
        <v>24452</v>
      </c>
      <c r="S654" s="343">
        <v>3013</v>
      </c>
      <c r="T654" s="343">
        <v>27465</v>
      </c>
    </row>
    <row r="655" spans="1:20">
      <c r="A655" s="349">
        <v>97008</v>
      </c>
      <c r="B655" s="342" t="s">
        <v>1346</v>
      </c>
      <c r="C655" s="234">
        <v>2.8699999999999998E-4</v>
      </c>
      <c r="D655" s="234">
        <v>2.766E-4</v>
      </c>
      <c r="E655" s="343">
        <v>783775</v>
      </c>
      <c r="F655" s="231"/>
      <c r="G655" s="343">
        <v>134202</v>
      </c>
      <c r="H655" s="343">
        <v>19118</v>
      </c>
      <c r="I655" s="343">
        <v>127742</v>
      </c>
      <c r="J655" s="343">
        <v>14195</v>
      </c>
      <c r="K655" s="343">
        <v>295257</v>
      </c>
      <c r="L655" s="231"/>
      <c r="M655" s="343">
        <v>0</v>
      </c>
      <c r="N655" s="343">
        <v>0</v>
      </c>
      <c r="O655" s="343">
        <v>3097</v>
      </c>
      <c r="P655" s="343">
        <v>3097</v>
      </c>
      <c r="Q655" s="231"/>
      <c r="R655" s="343">
        <v>349139</v>
      </c>
      <c r="S655" s="343">
        <v>1987</v>
      </c>
      <c r="T655" s="343">
        <v>351126</v>
      </c>
    </row>
    <row r="656" spans="1:20">
      <c r="A656" s="349">
        <v>97011</v>
      </c>
      <c r="B656" s="342" t="s">
        <v>1348</v>
      </c>
      <c r="C656" s="234">
        <v>1.8362999999999999E-3</v>
      </c>
      <c r="D656" s="234">
        <v>1.9426999999999999E-3</v>
      </c>
      <c r="E656" s="343">
        <v>5014792</v>
      </c>
      <c r="F656" s="231"/>
      <c r="G656" s="343">
        <v>858659</v>
      </c>
      <c r="H656" s="343">
        <v>122318</v>
      </c>
      <c r="I656" s="343">
        <v>817328</v>
      </c>
      <c r="J656" s="343">
        <v>0</v>
      </c>
      <c r="K656" s="343">
        <v>1798305</v>
      </c>
      <c r="L656" s="231"/>
      <c r="M656" s="343">
        <v>0</v>
      </c>
      <c r="N656" s="343">
        <v>0</v>
      </c>
      <c r="O656" s="343">
        <v>124899</v>
      </c>
      <c r="P656" s="343">
        <v>124899</v>
      </c>
      <c r="Q656" s="231"/>
      <c r="R656" s="343">
        <v>2233883</v>
      </c>
      <c r="S656" s="343">
        <v>-57488</v>
      </c>
      <c r="T656" s="343">
        <v>2176395</v>
      </c>
    </row>
    <row r="657" spans="1:20" ht="30">
      <c r="A657" s="349">
        <v>97012</v>
      </c>
      <c r="B657" s="342" t="s">
        <v>3687</v>
      </c>
      <c r="C657" s="234">
        <v>2.97E-5</v>
      </c>
      <c r="D657" s="234">
        <v>3.0700000000000001E-5</v>
      </c>
      <c r="E657" s="343">
        <v>81108</v>
      </c>
      <c r="F657" s="231"/>
      <c r="G657" s="343">
        <v>13888</v>
      </c>
      <c r="H657" s="343">
        <v>1978</v>
      </c>
      <c r="I657" s="343">
        <v>13219</v>
      </c>
      <c r="J657" s="343">
        <v>6037</v>
      </c>
      <c r="K657" s="343">
        <v>35122</v>
      </c>
      <c r="L657" s="231"/>
      <c r="M657" s="343">
        <v>0</v>
      </c>
      <c r="N657" s="343">
        <v>0</v>
      </c>
      <c r="O657" s="343">
        <v>0</v>
      </c>
      <c r="P657" s="343">
        <v>0</v>
      </c>
      <c r="Q657" s="231"/>
      <c r="R657" s="343">
        <v>36130</v>
      </c>
      <c r="S657" s="343">
        <v>2295</v>
      </c>
      <c r="T657" s="343">
        <v>38425</v>
      </c>
    </row>
    <row r="658" spans="1:20">
      <c r="A658" s="349">
        <v>97013</v>
      </c>
      <c r="B658" s="342" t="s">
        <v>1350</v>
      </c>
      <c r="C658" s="234">
        <v>9.0000000000000002E-6</v>
      </c>
      <c r="D658" s="234">
        <v>2.19E-5</v>
      </c>
      <c r="E658" s="343">
        <v>24578</v>
      </c>
      <c r="F658" s="231"/>
      <c r="G658" s="343">
        <v>4208</v>
      </c>
      <c r="H658" s="343">
        <v>599</v>
      </c>
      <c r="I658" s="343">
        <v>4006</v>
      </c>
      <c r="J658" s="343">
        <v>4178</v>
      </c>
      <c r="K658" s="343">
        <v>12991</v>
      </c>
      <c r="L658" s="231"/>
      <c r="M658" s="343">
        <v>0</v>
      </c>
      <c r="N658" s="343">
        <v>0</v>
      </c>
      <c r="O658" s="343">
        <v>8450</v>
      </c>
      <c r="P658" s="343">
        <v>8450</v>
      </c>
      <c r="Q658" s="231"/>
      <c r="R658" s="343">
        <v>10949</v>
      </c>
      <c r="S658" s="343">
        <v>1084</v>
      </c>
      <c r="T658" s="343">
        <v>12033</v>
      </c>
    </row>
    <row r="659" spans="1:20">
      <c r="A659" s="349">
        <v>97015</v>
      </c>
      <c r="B659" s="342" t="s">
        <v>1351</v>
      </c>
      <c r="C659" s="234">
        <v>4.3900000000000003E-5</v>
      </c>
      <c r="D659" s="234">
        <v>5.1700000000000003E-5</v>
      </c>
      <c r="E659" s="343">
        <v>119887</v>
      </c>
      <c r="F659" s="231"/>
      <c r="G659" s="343">
        <v>20528</v>
      </c>
      <c r="H659" s="343">
        <v>2925</v>
      </c>
      <c r="I659" s="343">
        <v>19540</v>
      </c>
      <c r="J659" s="343">
        <v>6170</v>
      </c>
      <c r="K659" s="343">
        <v>49163</v>
      </c>
      <c r="L659" s="231"/>
      <c r="M659" s="343">
        <v>0</v>
      </c>
      <c r="N659" s="343">
        <v>0</v>
      </c>
      <c r="O659" s="343">
        <v>7097</v>
      </c>
      <c r="P659" s="343">
        <v>7097</v>
      </c>
      <c r="Q659" s="231"/>
      <c r="R659" s="343">
        <v>53405</v>
      </c>
      <c r="S659" s="343">
        <v>1272</v>
      </c>
      <c r="T659" s="343">
        <v>54677</v>
      </c>
    </row>
    <row r="660" spans="1:20" ht="30">
      <c r="A660" s="349">
        <v>97018</v>
      </c>
      <c r="B660" s="342" t="s">
        <v>3688</v>
      </c>
      <c r="C660" s="234">
        <v>1.6399999999999999E-5</v>
      </c>
      <c r="D660" s="234">
        <v>7.4000000000000003E-6</v>
      </c>
      <c r="E660" s="343">
        <v>44787</v>
      </c>
      <c r="F660" s="231"/>
      <c r="G660" s="343">
        <v>7669</v>
      </c>
      <c r="H660" s="343">
        <v>1092</v>
      </c>
      <c r="I660" s="343">
        <v>7300</v>
      </c>
      <c r="J660" s="343">
        <v>10886</v>
      </c>
      <c r="K660" s="343">
        <v>26947</v>
      </c>
      <c r="L660" s="231"/>
      <c r="M660" s="343">
        <v>0</v>
      </c>
      <c r="N660" s="343">
        <v>0</v>
      </c>
      <c r="O660" s="343">
        <v>0</v>
      </c>
      <c r="P660" s="343">
        <v>0</v>
      </c>
      <c r="Q660" s="231"/>
      <c r="R660" s="343">
        <v>19951</v>
      </c>
      <c r="S660" s="343">
        <v>4440</v>
      </c>
      <c r="T660" s="343">
        <v>24391</v>
      </c>
    </row>
    <row r="661" spans="1:20">
      <c r="A661" s="349">
        <v>97101</v>
      </c>
      <c r="B661" s="342" t="s">
        <v>1353</v>
      </c>
      <c r="C661" s="234">
        <v>2.7334E-3</v>
      </c>
      <c r="D661" s="234">
        <v>2.4805000000000001E-3</v>
      </c>
      <c r="E661" s="343">
        <v>7464702</v>
      </c>
      <c r="F661" s="231"/>
      <c r="G661" s="343">
        <v>1278146</v>
      </c>
      <c r="H661" s="343">
        <v>182075</v>
      </c>
      <c r="I661" s="343">
        <v>1216623</v>
      </c>
      <c r="J661" s="343">
        <v>286055</v>
      </c>
      <c r="K661" s="343">
        <v>2962899</v>
      </c>
      <c r="L661" s="231"/>
      <c r="M661" s="343">
        <v>0</v>
      </c>
      <c r="N661" s="343">
        <v>0</v>
      </c>
      <c r="O661" s="343">
        <v>0</v>
      </c>
      <c r="P661" s="343">
        <v>0</v>
      </c>
      <c r="Q661" s="231"/>
      <c r="R661" s="343">
        <v>3325217</v>
      </c>
      <c r="S661" s="343">
        <v>81275</v>
      </c>
      <c r="T661" s="343">
        <v>3406492</v>
      </c>
    </row>
    <row r="662" spans="1:20">
      <c r="A662" s="349">
        <v>97104</v>
      </c>
      <c r="B662" s="342" t="s">
        <v>1354</v>
      </c>
      <c r="C662" s="234">
        <v>5.41E-5</v>
      </c>
      <c r="D662" s="234">
        <v>5.6100000000000002E-5</v>
      </c>
      <c r="E662" s="343">
        <v>147743</v>
      </c>
      <c r="F662" s="231"/>
      <c r="G662" s="343">
        <v>25297</v>
      </c>
      <c r="H662" s="343">
        <v>3604</v>
      </c>
      <c r="I662" s="343">
        <v>24080</v>
      </c>
      <c r="J662" s="343">
        <v>8231</v>
      </c>
      <c r="K662" s="343">
        <v>61212</v>
      </c>
      <c r="L662" s="231"/>
      <c r="M662" s="343">
        <v>0</v>
      </c>
      <c r="N662" s="343">
        <v>0</v>
      </c>
      <c r="O662" s="343">
        <v>0</v>
      </c>
      <c r="P662" s="343">
        <v>0</v>
      </c>
      <c r="Q662" s="231"/>
      <c r="R662" s="343">
        <v>65813</v>
      </c>
      <c r="S662" s="343">
        <v>5598</v>
      </c>
      <c r="T662" s="343">
        <v>71411</v>
      </c>
    </row>
    <row r="663" spans="1:20">
      <c r="A663" s="349">
        <v>97111</v>
      </c>
      <c r="B663" s="342" t="s">
        <v>1355</v>
      </c>
      <c r="C663" s="234">
        <v>2.8489999999999999E-4</v>
      </c>
      <c r="D663" s="234">
        <v>2.7779999999999998E-4</v>
      </c>
      <c r="E663" s="343">
        <v>778040</v>
      </c>
      <c r="F663" s="231"/>
      <c r="G663" s="343">
        <v>133220</v>
      </c>
      <c r="H663" s="343">
        <v>18977</v>
      </c>
      <c r="I663" s="343">
        <v>126808</v>
      </c>
      <c r="J663" s="343">
        <v>304</v>
      </c>
      <c r="K663" s="343">
        <v>279309</v>
      </c>
      <c r="L663" s="231"/>
      <c r="M663" s="343">
        <v>0</v>
      </c>
      <c r="N663" s="343">
        <v>0</v>
      </c>
      <c r="O663" s="343">
        <v>26123</v>
      </c>
      <c r="P663" s="343">
        <v>26123</v>
      </c>
      <c r="Q663" s="231"/>
      <c r="R663" s="343">
        <v>346585</v>
      </c>
      <c r="S663" s="343">
        <v>-12867</v>
      </c>
      <c r="T663" s="343">
        <v>333718</v>
      </c>
    </row>
    <row r="664" spans="1:20">
      <c r="A664" s="349">
        <v>97121</v>
      </c>
      <c r="B664" s="342" t="s">
        <v>1356</v>
      </c>
      <c r="C664" s="234">
        <v>1.493E-4</v>
      </c>
      <c r="D664" s="234">
        <v>1.2980000000000001E-4</v>
      </c>
      <c r="E664" s="343">
        <v>407727</v>
      </c>
      <c r="F664" s="231"/>
      <c r="G664" s="343">
        <v>69813</v>
      </c>
      <c r="H664" s="343">
        <v>9945</v>
      </c>
      <c r="I664" s="343">
        <v>66453</v>
      </c>
      <c r="J664" s="343">
        <v>34362</v>
      </c>
      <c r="K664" s="343">
        <v>180573</v>
      </c>
      <c r="L664" s="231"/>
      <c r="M664" s="343">
        <v>0</v>
      </c>
      <c r="N664" s="343">
        <v>0</v>
      </c>
      <c r="O664" s="343">
        <v>2511</v>
      </c>
      <c r="P664" s="343">
        <v>2511</v>
      </c>
      <c r="Q664" s="231"/>
      <c r="R664" s="343">
        <v>181625</v>
      </c>
      <c r="S664" s="343">
        <v>7620</v>
      </c>
      <c r="T664" s="343">
        <v>189245</v>
      </c>
    </row>
    <row r="665" spans="1:20">
      <c r="A665" s="349">
        <v>97131</v>
      </c>
      <c r="B665" s="342" t="s">
        <v>1357</v>
      </c>
      <c r="C665" s="234">
        <v>6.5379999999999995E-4</v>
      </c>
      <c r="D665" s="234">
        <v>6.0749999999999997E-4</v>
      </c>
      <c r="E665" s="343">
        <v>1785477</v>
      </c>
      <c r="F665" s="231"/>
      <c r="G665" s="343">
        <v>305719</v>
      </c>
      <c r="H665" s="343">
        <v>43550</v>
      </c>
      <c r="I665" s="343">
        <v>291003</v>
      </c>
      <c r="J665" s="343">
        <v>19533</v>
      </c>
      <c r="K665" s="343">
        <v>659805</v>
      </c>
      <c r="L665" s="231"/>
      <c r="M665" s="343">
        <v>0</v>
      </c>
      <c r="N665" s="343">
        <v>0</v>
      </c>
      <c r="O665" s="343">
        <v>88627</v>
      </c>
      <c r="P665" s="343">
        <v>88627</v>
      </c>
      <c r="Q665" s="231"/>
      <c r="R665" s="343">
        <v>795356</v>
      </c>
      <c r="S665" s="343">
        <v>-20082</v>
      </c>
      <c r="T665" s="343">
        <v>775274</v>
      </c>
    </row>
    <row r="666" spans="1:20">
      <c r="A666" s="349">
        <v>97201</v>
      </c>
      <c r="B666" s="342" t="s">
        <v>1358</v>
      </c>
      <c r="C666" s="234">
        <v>5.8529999999999997E-4</v>
      </c>
      <c r="D666" s="234">
        <v>5.1219999999999998E-4</v>
      </c>
      <c r="E666" s="343">
        <v>1598409</v>
      </c>
      <c r="F666" s="231"/>
      <c r="G666" s="343">
        <v>273688</v>
      </c>
      <c r="H666" s="343">
        <v>38988</v>
      </c>
      <c r="I666" s="343">
        <v>260514</v>
      </c>
      <c r="J666" s="343">
        <v>76290</v>
      </c>
      <c r="K666" s="343">
        <v>649480</v>
      </c>
      <c r="L666" s="231"/>
      <c r="M666" s="343">
        <v>0</v>
      </c>
      <c r="N666" s="343">
        <v>0</v>
      </c>
      <c r="O666" s="343">
        <v>934</v>
      </c>
      <c r="P666" s="343">
        <v>934</v>
      </c>
      <c r="Q666" s="231"/>
      <c r="R666" s="343">
        <v>712025</v>
      </c>
      <c r="S666" s="343">
        <v>26960</v>
      </c>
      <c r="T666" s="343">
        <v>738985</v>
      </c>
    </row>
    <row r="667" spans="1:20" s="355" customFormat="1">
      <c r="A667" s="349">
        <v>97211</v>
      </c>
      <c r="B667" s="342" t="s">
        <v>1359</v>
      </c>
      <c r="C667" s="234">
        <v>8.14E-5</v>
      </c>
      <c r="D667" s="234">
        <v>1.4569999999999999E-4</v>
      </c>
      <c r="E667" s="343">
        <v>222297</v>
      </c>
      <c r="F667" s="231"/>
      <c r="G667" s="343">
        <v>38063</v>
      </c>
      <c r="H667" s="343">
        <v>5422</v>
      </c>
      <c r="I667" s="343">
        <v>36231</v>
      </c>
      <c r="J667" s="343">
        <v>6850</v>
      </c>
      <c r="K667" s="343">
        <v>86566</v>
      </c>
      <c r="L667" s="231"/>
      <c r="M667" s="343">
        <v>0</v>
      </c>
      <c r="N667" s="343">
        <v>0</v>
      </c>
      <c r="O667" s="343">
        <v>40119</v>
      </c>
      <c r="P667" s="343">
        <v>40119</v>
      </c>
      <c r="Q667" s="231"/>
      <c r="R667" s="343">
        <v>99024</v>
      </c>
      <c r="S667" s="343">
        <v>-9150</v>
      </c>
      <c r="T667" s="343">
        <v>89874</v>
      </c>
    </row>
    <row r="668" spans="1:20">
      <c r="A668" s="349">
        <v>97213</v>
      </c>
      <c r="B668" s="342" t="s">
        <v>2763</v>
      </c>
      <c r="C668" s="234">
        <v>3.5500000000000002E-5</v>
      </c>
      <c r="D668" s="234">
        <v>4.5599999999999997E-5</v>
      </c>
      <c r="E668" s="343">
        <v>96948</v>
      </c>
      <c r="F668" s="231"/>
      <c r="G668" s="343">
        <v>16600</v>
      </c>
      <c r="H668" s="343">
        <v>2364</v>
      </c>
      <c r="I668" s="343">
        <v>15801</v>
      </c>
      <c r="J668" s="343">
        <v>6055</v>
      </c>
      <c r="K668" s="343">
        <v>40820</v>
      </c>
      <c r="L668" s="231"/>
      <c r="M668" s="343">
        <v>0</v>
      </c>
      <c r="N668" s="343">
        <v>0</v>
      </c>
      <c r="O668" s="343">
        <v>5103</v>
      </c>
      <c r="P668" s="343">
        <v>5103</v>
      </c>
      <c r="Q668" s="231"/>
      <c r="R668" s="343">
        <v>43186</v>
      </c>
      <c r="S668" s="343">
        <v>1150</v>
      </c>
      <c r="T668" s="343">
        <v>44336</v>
      </c>
    </row>
    <row r="669" spans="1:20">
      <c r="A669" s="349">
        <v>97217</v>
      </c>
      <c r="B669" s="342" t="s">
        <v>1361</v>
      </c>
      <c r="C669" s="234">
        <v>5.5999999999999997E-6</v>
      </c>
      <c r="D669" s="234">
        <v>4.8999999999999997E-6</v>
      </c>
      <c r="E669" s="343">
        <v>15293</v>
      </c>
      <c r="F669" s="231"/>
      <c r="G669" s="343">
        <v>2619</v>
      </c>
      <c r="H669" s="343">
        <v>373</v>
      </c>
      <c r="I669" s="343">
        <v>2493</v>
      </c>
      <c r="J669" s="343">
        <v>8547</v>
      </c>
      <c r="K669" s="343">
        <v>14032</v>
      </c>
      <c r="L669" s="231"/>
      <c r="M669" s="343">
        <v>0</v>
      </c>
      <c r="N669" s="343">
        <v>0</v>
      </c>
      <c r="O669" s="343">
        <v>0</v>
      </c>
      <c r="P669" s="343">
        <v>0</v>
      </c>
      <c r="Q669" s="231"/>
      <c r="R669" s="343">
        <v>6812</v>
      </c>
      <c r="S669" s="343">
        <v>4118</v>
      </c>
      <c r="T669" s="343">
        <v>10930</v>
      </c>
    </row>
    <row r="670" spans="1:20">
      <c r="A670" s="349">
        <v>97221</v>
      </c>
      <c r="B670" s="342" t="s">
        <v>1362</v>
      </c>
      <c r="C670" s="234">
        <v>1.24E-5</v>
      </c>
      <c r="D670" s="234">
        <v>3.9999999999999998E-6</v>
      </c>
      <c r="E670" s="343">
        <v>33863</v>
      </c>
      <c r="F670" s="231"/>
      <c r="G670" s="343">
        <v>5798</v>
      </c>
      <c r="H670" s="343">
        <v>826</v>
      </c>
      <c r="I670" s="343">
        <v>5519</v>
      </c>
      <c r="J670" s="343">
        <v>10782</v>
      </c>
      <c r="K670" s="343">
        <v>22925</v>
      </c>
      <c r="L670" s="231"/>
      <c r="M670" s="343">
        <v>0</v>
      </c>
      <c r="N670" s="343">
        <v>0</v>
      </c>
      <c r="O670" s="343">
        <v>0</v>
      </c>
      <c r="P670" s="343">
        <v>0</v>
      </c>
      <c r="Q670" s="231"/>
      <c r="R670" s="343">
        <v>15085</v>
      </c>
      <c r="S670" s="343">
        <v>4204</v>
      </c>
      <c r="T670" s="343">
        <v>19289</v>
      </c>
    </row>
    <row r="671" spans="1:20">
      <c r="A671" s="349">
        <v>97301</v>
      </c>
      <c r="B671" s="342" t="s">
        <v>1363</v>
      </c>
      <c r="C671" s="234">
        <v>2.3942E-3</v>
      </c>
      <c r="D671" s="234">
        <v>2.4616E-3</v>
      </c>
      <c r="E671" s="343">
        <v>6538373</v>
      </c>
      <c r="F671" s="231"/>
      <c r="G671" s="343">
        <v>1119535</v>
      </c>
      <c r="H671" s="343">
        <v>159480</v>
      </c>
      <c r="I671" s="343">
        <v>1065646</v>
      </c>
      <c r="J671" s="343">
        <v>0</v>
      </c>
      <c r="K671" s="343">
        <v>2344661</v>
      </c>
      <c r="L671" s="231"/>
      <c r="M671" s="343">
        <v>0</v>
      </c>
      <c r="N671" s="343">
        <v>0</v>
      </c>
      <c r="O671" s="343">
        <v>50293</v>
      </c>
      <c r="P671" s="343">
        <v>50293</v>
      </c>
      <c r="Q671" s="231"/>
      <c r="R671" s="343">
        <v>2912575</v>
      </c>
      <c r="S671" s="343">
        <v>-14030</v>
      </c>
      <c r="T671" s="343">
        <v>2898545</v>
      </c>
    </row>
    <row r="672" spans="1:20">
      <c r="A672" s="349">
        <v>97304</v>
      </c>
      <c r="B672" s="342" t="s">
        <v>3689</v>
      </c>
      <c r="C672" s="234">
        <v>1.4399999999999999E-5</v>
      </c>
      <c r="D672" s="234">
        <v>1.5299999999999999E-5</v>
      </c>
      <c r="E672" s="343">
        <v>39325</v>
      </c>
      <c r="F672" s="231"/>
      <c r="G672" s="343">
        <v>6733</v>
      </c>
      <c r="H672" s="343">
        <v>959</v>
      </c>
      <c r="I672" s="343">
        <v>6409</v>
      </c>
      <c r="J672" s="343">
        <v>11209</v>
      </c>
      <c r="K672" s="343">
        <v>25310</v>
      </c>
      <c r="L672" s="231"/>
      <c r="M672" s="343">
        <v>0</v>
      </c>
      <c r="N672" s="343">
        <v>0</v>
      </c>
      <c r="O672" s="343">
        <v>0</v>
      </c>
      <c r="P672" s="343">
        <v>0</v>
      </c>
      <c r="Q672" s="231"/>
      <c r="R672" s="343">
        <v>17518</v>
      </c>
      <c r="S672" s="343">
        <v>4892</v>
      </c>
      <c r="T672" s="343">
        <v>22410</v>
      </c>
    </row>
    <row r="673" spans="1:20">
      <c r="A673" s="349">
        <v>97311</v>
      </c>
      <c r="B673" s="342" t="s">
        <v>1365</v>
      </c>
      <c r="C673" s="234">
        <v>9.0109999999999995E-4</v>
      </c>
      <c r="D673" s="234">
        <v>8.8420000000000002E-4</v>
      </c>
      <c r="E673" s="343">
        <v>2460834</v>
      </c>
      <c r="F673" s="231"/>
      <c r="G673" s="343">
        <v>421357</v>
      </c>
      <c r="H673" s="343">
        <v>60024</v>
      </c>
      <c r="I673" s="343">
        <v>401075</v>
      </c>
      <c r="J673" s="343">
        <v>0</v>
      </c>
      <c r="K673" s="343">
        <v>882456</v>
      </c>
      <c r="L673" s="231"/>
      <c r="M673" s="343">
        <v>0</v>
      </c>
      <c r="N673" s="343">
        <v>0</v>
      </c>
      <c r="O673" s="343">
        <v>51438</v>
      </c>
      <c r="P673" s="343">
        <v>51438</v>
      </c>
      <c r="Q673" s="231"/>
      <c r="R673" s="343">
        <v>1096200</v>
      </c>
      <c r="S673" s="343">
        <v>-31608</v>
      </c>
      <c r="T673" s="343">
        <v>1064592</v>
      </c>
    </row>
    <row r="674" spans="1:20">
      <c r="A674" s="349">
        <v>97401</v>
      </c>
      <c r="B674" s="342" t="s">
        <v>1366</v>
      </c>
      <c r="C674" s="234">
        <v>7.0562999999999997E-3</v>
      </c>
      <c r="D674" s="234">
        <v>7.1440000000000002E-3</v>
      </c>
      <c r="E674" s="343">
        <v>19270205</v>
      </c>
      <c r="F674" s="231"/>
      <c r="G674" s="343">
        <v>3299547</v>
      </c>
      <c r="H674" s="343">
        <v>470027</v>
      </c>
      <c r="I674" s="343">
        <v>3140724</v>
      </c>
      <c r="J674" s="343">
        <v>136552</v>
      </c>
      <c r="K674" s="343">
        <v>7046850</v>
      </c>
      <c r="L674" s="231"/>
      <c r="M674" s="343">
        <v>0</v>
      </c>
      <c r="N674" s="343">
        <v>0</v>
      </c>
      <c r="O674" s="343">
        <v>14697</v>
      </c>
      <c r="P674" s="343">
        <v>14697</v>
      </c>
      <c r="Q674" s="231"/>
      <c r="R674" s="343">
        <v>8584081</v>
      </c>
      <c r="S674" s="343">
        <v>36785</v>
      </c>
      <c r="T674" s="343">
        <v>8620866</v>
      </c>
    </row>
    <row r="675" spans="1:20">
      <c r="A675" s="349">
        <v>97402</v>
      </c>
      <c r="B675" s="342" t="s">
        <v>3690</v>
      </c>
      <c r="C675" s="234">
        <v>4.1999999999999998E-5</v>
      </c>
      <c r="D675" s="234">
        <v>4.8399999999999997E-5</v>
      </c>
      <c r="E675" s="343">
        <v>114699</v>
      </c>
      <c r="F675" s="231"/>
      <c r="G675" s="343">
        <v>19639</v>
      </c>
      <c r="H675" s="343">
        <v>2798</v>
      </c>
      <c r="I675" s="343">
        <v>18694</v>
      </c>
      <c r="J675" s="343">
        <v>7239</v>
      </c>
      <c r="K675" s="343">
        <v>48370</v>
      </c>
      <c r="L675" s="231"/>
      <c r="M675" s="343">
        <v>0</v>
      </c>
      <c r="N675" s="343">
        <v>0</v>
      </c>
      <c r="O675" s="343">
        <v>37</v>
      </c>
      <c r="P675" s="343">
        <v>37</v>
      </c>
      <c r="Q675" s="231"/>
      <c r="R675" s="343">
        <v>51094</v>
      </c>
      <c r="S675" s="343">
        <v>5663</v>
      </c>
      <c r="T675" s="343">
        <v>56757</v>
      </c>
    </row>
    <row r="676" spans="1:20">
      <c r="A676" s="349">
        <v>97404</v>
      </c>
      <c r="B676" s="342" t="s">
        <v>1368</v>
      </c>
      <c r="C676" s="234">
        <v>2.1240000000000001E-4</v>
      </c>
      <c r="D676" s="234">
        <v>2.0320000000000001E-4</v>
      </c>
      <c r="E676" s="343">
        <v>580048</v>
      </c>
      <c r="F676" s="231"/>
      <c r="G676" s="343">
        <v>99319</v>
      </c>
      <c r="H676" s="343">
        <v>14148</v>
      </c>
      <c r="I676" s="343">
        <v>94538</v>
      </c>
      <c r="J676" s="343">
        <v>804</v>
      </c>
      <c r="K676" s="343">
        <v>208809</v>
      </c>
      <c r="L676" s="231"/>
      <c r="M676" s="343">
        <v>0</v>
      </c>
      <c r="N676" s="343">
        <v>0</v>
      </c>
      <c r="O676" s="343">
        <v>16299</v>
      </c>
      <c r="P676" s="343">
        <v>16299</v>
      </c>
      <c r="Q676" s="231"/>
      <c r="R676" s="343">
        <v>258387</v>
      </c>
      <c r="S676" s="343">
        <v>-9548</v>
      </c>
      <c r="T676" s="343">
        <v>248839</v>
      </c>
    </row>
    <row r="677" spans="1:20">
      <c r="A677" s="349">
        <v>97405</v>
      </c>
      <c r="B677" s="342" t="s">
        <v>1369</v>
      </c>
      <c r="C677" s="234">
        <v>1.106E-4</v>
      </c>
      <c r="D677" s="234">
        <v>1.156E-4</v>
      </c>
      <c r="E677" s="343">
        <v>302040</v>
      </c>
      <c r="F677" s="231"/>
      <c r="G677" s="343">
        <v>51717</v>
      </c>
      <c r="H677" s="343">
        <v>7367</v>
      </c>
      <c r="I677" s="343">
        <v>49228</v>
      </c>
      <c r="J677" s="343">
        <v>28536</v>
      </c>
      <c r="K677" s="343">
        <v>136848</v>
      </c>
      <c r="L677" s="231"/>
      <c r="M677" s="343">
        <v>0</v>
      </c>
      <c r="N677" s="343">
        <v>0</v>
      </c>
      <c r="O677" s="343">
        <v>0</v>
      </c>
      <c r="P677" s="343">
        <v>0</v>
      </c>
      <c r="Q677" s="231"/>
      <c r="R677" s="343">
        <v>134546</v>
      </c>
      <c r="S677" s="343">
        <v>14994</v>
      </c>
      <c r="T677" s="343">
        <v>149540</v>
      </c>
    </row>
    <row r="678" spans="1:20">
      <c r="A678" s="349">
        <v>97408</v>
      </c>
      <c r="B678" s="342" t="s">
        <v>3691</v>
      </c>
      <c r="C678" s="234">
        <v>3.8999999999999999E-5</v>
      </c>
      <c r="D678" s="234">
        <v>4.3000000000000002E-5</v>
      </c>
      <c r="E678" s="343">
        <v>106506</v>
      </c>
      <c r="F678" s="231"/>
      <c r="G678" s="343">
        <v>18237</v>
      </c>
      <c r="H678" s="343">
        <v>2598</v>
      </c>
      <c r="I678" s="343">
        <v>17359</v>
      </c>
      <c r="J678" s="343">
        <v>6662</v>
      </c>
      <c r="K678" s="343">
        <v>44856</v>
      </c>
      <c r="L678" s="231"/>
      <c r="M678" s="343">
        <v>0</v>
      </c>
      <c r="N678" s="343">
        <v>0</v>
      </c>
      <c r="O678" s="343">
        <v>0</v>
      </c>
      <c r="P678" s="343">
        <v>0</v>
      </c>
      <c r="Q678" s="231"/>
      <c r="R678" s="343">
        <v>47444</v>
      </c>
      <c r="S678" s="343">
        <v>3520</v>
      </c>
      <c r="T678" s="343">
        <v>50964</v>
      </c>
    </row>
    <row r="679" spans="1:20">
      <c r="A679" s="349">
        <v>97411</v>
      </c>
      <c r="B679" s="342" t="s">
        <v>1371</v>
      </c>
      <c r="C679" s="234">
        <v>6.3997999999999998E-3</v>
      </c>
      <c r="D679" s="234">
        <v>6.2385000000000001E-3</v>
      </c>
      <c r="E679" s="343">
        <v>17477355</v>
      </c>
      <c r="F679" s="231"/>
      <c r="G679" s="343">
        <v>2992566</v>
      </c>
      <c r="H679" s="343">
        <v>426298</v>
      </c>
      <c r="I679" s="343">
        <v>2848519</v>
      </c>
      <c r="J679" s="343">
        <v>33760</v>
      </c>
      <c r="K679" s="343">
        <v>6301143</v>
      </c>
      <c r="L679" s="231"/>
      <c r="M679" s="343">
        <v>0</v>
      </c>
      <c r="N679" s="343">
        <v>0</v>
      </c>
      <c r="O679" s="343">
        <v>372381</v>
      </c>
      <c r="P679" s="343">
        <v>372381</v>
      </c>
      <c r="Q679" s="231"/>
      <c r="R679" s="343">
        <v>7785440</v>
      </c>
      <c r="S679" s="343">
        <v>-286709</v>
      </c>
      <c r="T679" s="343">
        <v>7498731</v>
      </c>
    </row>
    <row r="680" spans="1:20">
      <c r="A680" s="349">
        <v>97412</v>
      </c>
      <c r="B680" s="342" t="s">
        <v>1372</v>
      </c>
      <c r="C680" s="234">
        <v>4.4903E-3</v>
      </c>
      <c r="D680" s="234">
        <v>4.6245000000000001E-3</v>
      </c>
      <c r="E680" s="343">
        <v>12262659</v>
      </c>
      <c r="F680" s="231"/>
      <c r="G680" s="343">
        <v>2099678</v>
      </c>
      <c r="H680" s="343">
        <v>299104</v>
      </c>
      <c r="I680" s="343">
        <v>1998610</v>
      </c>
      <c r="J680" s="343">
        <v>147881</v>
      </c>
      <c r="K680" s="343">
        <v>4545273</v>
      </c>
      <c r="L680" s="231"/>
      <c r="M680" s="343">
        <v>0</v>
      </c>
      <c r="N680" s="343">
        <v>0</v>
      </c>
      <c r="O680" s="343">
        <v>93373</v>
      </c>
      <c r="P680" s="343">
        <v>93373</v>
      </c>
      <c r="Q680" s="231"/>
      <c r="R680" s="343">
        <v>5462508</v>
      </c>
      <c r="S680" s="343">
        <v>62154</v>
      </c>
      <c r="T680" s="343">
        <v>5524662</v>
      </c>
    </row>
    <row r="681" spans="1:20">
      <c r="A681" s="349">
        <v>97413</v>
      </c>
      <c r="B681" s="342" t="s">
        <v>1373</v>
      </c>
      <c r="C681" s="234">
        <v>2.812E-4</v>
      </c>
      <c r="D681" s="234">
        <v>2.7E-4</v>
      </c>
      <c r="E681" s="343">
        <v>767935</v>
      </c>
      <c r="F681" s="231"/>
      <c r="G681" s="343">
        <v>131490</v>
      </c>
      <c r="H681" s="343">
        <v>18731</v>
      </c>
      <c r="I681" s="343">
        <v>125161</v>
      </c>
      <c r="J681" s="343">
        <v>44625</v>
      </c>
      <c r="K681" s="343">
        <v>320007</v>
      </c>
      <c r="L681" s="231"/>
      <c r="M681" s="343">
        <v>0</v>
      </c>
      <c r="N681" s="343">
        <v>0</v>
      </c>
      <c r="O681" s="343">
        <v>0</v>
      </c>
      <c r="P681" s="343">
        <v>0</v>
      </c>
      <c r="Q681" s="231"/>
      <c r="R681" s="343">
        <v>342083</v>
      </c>
      <c r="S681" s="343">
        <v>12847</v>
      </c>
      <c r="T681" s="343">
        <v>354930</v>
      </c>
    </row>
    <row r="682" spans="1:20">
      <c r="A682" s="349">
        <v>97421</v>
      </c>
      <c r="B682" s="342" t="s">
        <v>1374</v>
      </c>
      <c r="C682" s="234">
        <v>4.3120000000000002E-4</v>
      </c>
      <c r="D682" s="234">
        <v>4.4739999999999998E-4</v>
      </c>
      <c r="E682" s="343">
        <v>1177574</v>
      </c>
      <c r="F682" s="231"/>
      <c r="G682" s="343">
        <v>201630</v>
      </c>
      <c r="H682" s="343">
        <v>28722</v>
      </c>
      <c r="I682" s="343">
        <v>191925</v>
      </c>
      <c r="J682" s="343">
        <v>8998</v>
      </c>
      <c r="K682" s="343">
        <v>431275</v>
      </c>
      <c r="L682" s="231"/>
      <c r="M682" s="343">
        <v>0</v>
      </c>
      <c r="N682" s="343">
        <v>0</v>
      </c>
      <c r="O682" s="343">
        <v>25214</v>
      </c>
      <c r="P682" s="343">
        <v>25214</v>
      </c>
      <c r="Q682" s="231"/>
      <c r="R682" s="343">
        <v>524560</v>
      </c>
      <c r="S682" s="343">
        <v>-9185</v>
      </c>
      <c r="T682" s="343">
        <v>515375</v>
      </c>
    </row>
    <row r="683" spans="1:20">
      <c r="A683" s="349">
        <v>97423</v>
      </c>
      <c r="B683" s="342" t="s">
        <v>1375</v>
      </c>
      <c r="C683" s="234">
        <v>4.3000000000000002E-5</v>
      </c>
      <c r="D683" s="234">
        <v>3.93E-5</v>
      </c>
      <c r="E683" s="343">
        <v>117430</v>
      </c>
      <c r="F683" s="231"/>
      <c r="G683" s="343">
        <v>20107</v>
      </c>
      <c r="H683" s="343">
        <v>2864</v>
      </c>
      <c r="I683" s="343">
        <v>19139</v>
      </c>
      <c r="J683" s="343">
        <v>44588</v>
      </c>
      <c r="K683" s="343">
        <v>86698</v>
      </c>
      <c r="L683" s="231"/>
      <c r="M683" s="343">
        <v>0</v>
      </c>
      <c r="N683" s="343">
        <v>0</v>
      </c>
      <c r="O683" s="343">
        <v>0</v>
      </c>
      <c r="P683" s="343">
        <v>0</v>
      </c>
      <c r="Q683" s="231"/>
      <c r="R683" s="343">
        <v>52310</v>
      </c>
      <c r="S683" s="343">
        <v>20446</v>
      </c>
      <c r="T683" s="343">
        <v>72756</v>
      </c>
    </row>
    <row r="684" spans="1:20">
      <c r="A684" s="349">
        <v>97431</v>
      </c>
      <c r="B684" s="342" t="s">
        <v>1376</v>
      </c>
      <c r="C684" s="234">
        <v>8.92E-5</v>
      </c>
      <c r="D684" s="234">
        <v>1.0349999999999999E-4</v>
      </c>
      <c r="E684" s="343">
        <v>243598</v>
      </c>
      <c r="F684" s="231"/>
      <c r="G684" s="343">
        <v>41710</v>
      </c>
      <c r="H684" s="343">
        <v>5942</v>
      </c>
      <c r="I684" s="343">
        <v>39702</v>
      </c>
      <c r="J684" s="343">
        <v>12171</v>
      </c>
      <c r="K684" s="343">
        <v>99525</v>
      </c>
      <c r="L684" s="231"/>
      <c r="M684" s="343">
        <v>0</v>
      </c>
      <c r="N684" s="343">
        <v>0</v>
      </c>
      <c r="O684" s="343">
        <v>7106</v>
      </c>
      <c r="P684" s="343">
        <v>7106</v>
      </c>
      <c r="Q684" s="231"/>
      <c r="R684" s="343">
        <v>108513</v>
      </c>
      <c r="S684" s="343">
        <v>3316</v>
      </c>
      <c r="T684" s="343">
        <v>111829</v>
      </c>
    </row>
    <row r="685" spans="1:20">
      <c r="A685" s="349">
        <v>97441</v>
      </c>
      <c r="B685" s="342" t="s">
        <v>1377</v>
      </c>
      <c r="C685" s="234">
        <v>5.7899999999999998E-5</v>
      </c>
      <c r="D685" s="234">
        <v>5.2899999999999998E-5</v>
      </c>
      <c r="E685" s="343">
        <v>158120</v>
      </c>
      <c r="F685" s="231"/>
      <c r="G685" s="343">
        <v>27074</v>
      </c>
      <c r="H685" s="343">
        <v>3857</v>
      </c>
      <c r="I685" s="343">
        <v>25771</v>
      </c>
      <c r="J685" s="343">
        <v>0</v>
      </c>
      <c r="K685" s="343">
        <v>56702</v>
      </c>
      <c r="L685" s="231"/>
      <c r="M685" s="343">
        <v>0</v>
      </c>
      <c r="N685" s="343">
        <v>0</v>
      </c>
      <c r="O685" s="343">
        <v>19827</v>
      </c>
      <c r="P685" s="343">
        <v>19827</v>
      </c>
      <c r="Q685" s="231"/>
      <c r="R685" s="343">
        <v>70436</v>
      </c>
      <c r="S685" s="343">
        <v>-7836</v>
      </c>
      <c r="T685" s="343">
        <v>62600</v>
      </c>
    </row>
    <row r="686" spans="1:20">
      <c r="A686" s="349">
        <v>97451</v>
      </c>
      <c r="B686" s="342" t="s">
        <v>1378</v>
      </c>
      <c r="C686" s="234">
        <v>6.6290000000000001E-4</v>
      </c>
      <c r="D686" s="234">
        <v>6.3380000000000001E-4</v>
      </c>
      <c r="E686" s="343">
        <v>1810328</v>
      </c>
      <c r="F686" s="231"/>
      <c r="G686" s="343">
        <v>309974</v>
      </c>
      <c r="H686" s="343">
        <v>44156</v>
      </c>
      <c r="I686" s="343">
        <v>295053</v>
      </c>
      <c r="J686" s="343">
        <v>13127</v>
      </c>
      <c r="K686" s="343">
        <v>662310</v>
      </c>
      <c r="L686" s="231"/>
      <c r="M686" s="343">
        <v>0</v>
      </c>
      <c r="N686" s="343">
        <v>0</v>
      </c>
      <c r="O686" s="343">
        <v>23794</v>
      </c>
      <c r="P686" s="343">
        <v>23794</v>
      </c>
      <c r="Q686" s="231"/>
      <c r="R686" s="343">
        <v>806426</v>
      </c>
      <c r="S686" s="343">
        <v>-5099</v>
      </c>
      <c r="T686" s="343">
        <v>801327</v>
      </c>
    </row>
    <row r="687" spans="1:20">
      <c r="A687" s="349">
        <v>97471</v>
      </c>
      <c r="B687" s="342" t="s">
        <v>1381</v>
      </c>
      <c r="C687" s="234">
        <v>1.6399999999999999E-5</v>
      </c>
      <c r="D687" s="234">
        <v>1.66E-5</v>
      </c>
      <c r="E687" s="343">
        <v>44787</v>
      </c>
      <c r="F687" s="231"/>
      <c r="G687" s="343">
        <v>7669</v>
      </c>
      <c r="H687" s="343">
        <v>1092</v>
      </c>
      <c r="I687" s="343">
        <v>7300</v>
      </c>
      <c r="J687" s="343">
        <v>10800</v>
      </c>
      <c r="K687" s="343">
        <v>26861</v>
      </c>
      <c r="L687" s="231"/>
      <c r="M687" s="343">
        <v>0</v>
      </c>
      <c r="N687" s="343">
        <v>0</v>
      </c>
      <c r="O687" s="343">
        <v>0</v>
      </c>
      <c r="P687" s="343">
        <v>0</v>
      </c>
      <c r="Q687" s="231"/>
      <c r="R687" s="343">
        <v>19951</v>
      </c>
      <c r="S687" s="343">
        <v>4485</v>
      </c>
      <c r="T687" s="343">
        <v>24436</v>
      </c>
    </row>
    <row r="688" spans="1:20">
      <c r="A688" s="349">
        <v>97481</v>
      </c>
      <c r="B688" s="342" t="s">
        <v>1382</v>
      </c>
      <c r="C688" s="234">
        <v>8.9999999999999996E-7</v>
      </c>
      <c r="D688" s="234">
        <v>1.26E-5</v>
      </c>
      <c r="E688" s="343">
        <v>2458</v>
      </c>
      <c r="F688" s="231"/>
      <c r="G688" s="343">
        <v>421</v>
      </c>
      <c r="H688" s="343">
        <v>60</v>
      </c>
      <c r="I688" s="343">
        <v>401</v>
      </c>
      <c r="J688" s="343">
        <v>840</v>
      </c>
      <c r="K688" s="343">
        <v>1722</v>
      </c>
      <c r="L688" s="231"/>
      <c r="M688" s="343">
        <v>0</v>
      </c>
      <c r="N688" s="343">
        <v>0</v>
      </c>
      <c r="O688" s="343">
        <v>10056</v>
      </c>
      <c r="P688" s="343">
        <v>10056</v>
      </c>
      <c r="Q688" s="231"/>
      <c r="R688" s="343">
        <v>1095</v>
      </c>
      <c r="S688" s="343">
        <v>-1984</v>
      </c>
      <c r="T688" s="343">
        <v>-889</v>
      </c>
    </row>
    <row r="689" spans="1:20">
      <c r="A689" s="349">
        <v>97501</v>
      </c>
      <c r="B689" s="342" t="s">
        <v>1384</v>
      </c>
      <c r="C689" s="234">
        <v>1.1816999999999999E-3</v>
      </c>
      <c r="D689" s="234">
        <v>1.0767999999999999E-3</v>
      </c>
      <c r="E689" s="343">
        <v>3227131</v>
      </c>
      <c r="F689" s="231"/>
      <c r="G689" s="343">
        <v>552566</v>
      </c>
      <c r="H689" s="343">
        <v>78714</v>
      </c>
      <c r="I689" s="343">
        <v>525969</v>
      </c>
      <c r="J689" s="343">
        <v>135321</v>
      </c>
      <c r="K689" s="343">
        <v>1292570</v>
      </c>
      <c r="L689" s="231"/>
      <c r="M689" s="343">
        <v>0</v>
      </c>
      <c r="N689" s="343">
        <v>0</v>
      </c>
      <c r="O689" s="343">
        <v>2461</v>
      </c>
      <c r="P689" s="343">
        <v>2461</v>
      </c>
      <c r="Q689" s="231"/>
      <c r="R689" s="343">
        <v>1437553</v>
      </c>
      <c r="S689" s="343">
        <v>49533</v>
      </c>
      <c r="T689" s="343">
        <v>1487086</v>
      </c>
    </row>
    <row r="690" spans="1:20">
      <c r="A690" s="349">
        <v>97511</v>
      </c>
      <c r="B690" s="342" t="s">
        <v>1385</v>
      </c>
      <c r="C690" s="234">
        <v>1.9120000000000001E-4</v>
      </c>
      <c r="D690" s="234">
        <v>1.8090000000000001E-4</v>
      </c>
      <c r="E690" s="343">
        <v>522152</v>
      </c>
      <c r="F690" s="231"/>
      <c r="G690" s="343">
        <v>89406</v>
      </c>
      <c r="H690" s="343">
        <v>12736</v>
      </c>
      <c r="I690" s="343">
        <v>85102</v>
      </c>
      <c r="J690" s="343">
        <v>23269</v>
      </c>
      <c r="K690" s="343">
        <v>210513</v>
      </c>
      <c r="L690" s="231"/>
      <c r="M690" s="343">
        <v>0</v>
      </c>
      <c r="N690" s="343">
        <v>0</v>
      </c>
      <c r="O690" s="343">
        <v>20626</v>
      </c>
      <c r="P690" s="343">
        <v>20626</v>
      </c>
      <c r="Q690" s="231"/>
      <c r="R690" s="343">
        <v>232597</v>
      </c>
      <c r="S690" s="343">
        <v>1216</v>
      </c>
      <c r="T690" s="343">
        <v>233813</v>
      </c>
    </row>
    <row r="691" spans="1:20">
      <c r="A691" s="349">
        <v>97521</v>
      </c>
      <c r="B691" s="342" t="s">
        <v>1386</v>
      </c>
      <c r="C691" s="234">
        <v>1.139E-4</v>
      </c>
      <c r="D691" s="234">
        <v>1.2640000000000001E-4</v>
      </c>
      <c r="E691" s="343">
        <v>311052</v>
      </c>
      <c r="F691" s="231"/>
      <c r="G691" s="343">
        <v>53260</v>
      </c>
      <c r="H691" s="343">
        <v>7587</v>
      </c>
      <c r="I691" s="343">
        <v>50696</v>
      </c>
      <c r="J691" s="343">
        <v>0</v>
      </c>
      <c r="K691" s="343">
        <v>111543</v>
      </c>
      <c r="L691" s="231"/>
      <c r="M691" s="343">
        <v>0</v>
      </c>
      <c r="N691" s="343">
        <v>0</v>
      </c>
      <c r="O691" s="343">
        <v>18578</v>
      </c>
      <c r="P691" s="343">
        <v>18578</v>
      </c>
      <c r="Q691" s="231"/>
      <c r="R691" s="343">
        <v>138561</v>
      </c>
      <c r="S691" s="343">
        <v>-9437</v>
      </c>
      <c r="T691" s="343">
        <v>129124</v>
      </c>
    </row>
    <row r="692" spans="1:20">
      <c r="A692" s="349">
        <v>97527</v>
      </c>
      <c r="B692" s="342" t="s">
        <v>1637</v>
      </c>
      <c r="C692" s="234">
        <v>1.7E-5</v>
      </c>
      <c r="D692" s="234">
        <v>1.3999999999999999E-6</v>
      </c>
      <c r="E692" s="343">
        <v>46426</v>
      </c>
      <c r="F692" s="231"/>
      <c r="G692" s="343">
        <v>7949</v>
      </c>
      <c r="H692" s="343">
        <v>1132</v>
      </c>
      <c r="I692" s="343">
        <v>7567</v>
      </c>
      <c r="J692" s="343">
        <v>12859</v>
      </c>
      <c r="K692" s="343">
        <v>29507</v>
      </c>
      <c r="L692" s="231"/>
      <c r="M692" s="343">
        <v>0</v>
      </c>
      <c r="N692" s="343">
        <v>0</v>
      </c>
      <c r="O692" s="343">
        <v>0</v>
      </c>
      <c r="P692" s="343">
        <v>0</v>
      </c>
      <c r="Q692" s="231"/>
      <c r="R692" s="343">
        <v>20681</v>
      </c>
      <c r="S692" s="343">
        <v>3432</v>
      </c>
      <c r="T692" s="343">
        <v>24113</v>
      </c>
    </row>
    <row r="693" spans="1:20">
      <c r="A693" s="349">
        <v>97531</v>
      </c>
      <c r="B693" s="342" t="s">
        <v>1387</v>
      </c>
      <c r="C693" s="234">
        <v>8.1299999999999997E-5</v>
      </c>
      <c r="D693" s="234">
        <v>5.2800000000000003E-5</v>
      </c>
      <c r="E693" s="343">
        <v>222024</v>
      </c>
      <c r="F693" s="231"/>
      <c r="G693" s="343">
        <v>38016</v>
      </c>
      <c r="H693" s="343">
        <v>5416</v>
      </c>
      <c r="I693" s="343">
        <v>36186</v>
      </c>
      <c r="J693" s="343">
        <v>32174</v>
      </c>
      <c r="K693" s="343">
        <v>111792</v>
      </c>
      <c r="L693" s="231"/>
      <c r="M693" s="343">
        <v>0</v>
      </c>
      <c r="N693" s="343">
        <v>0</v>
      </c>
      <c r="O693" s="343">
        <v>0</v>
      </c>
      <c r="P693" s="343">
        <v>0</v>
      </c>
      <c r="Q693" s="231"/>
      <c r="R693" s="343">
        <v>98903</v>
      </c>
      <c r="S693" s="343">
        <v>6913</v>
      </c>
      <c r="T693" s="343">
        <v>105816</v>
      </c>
    </row>
    <row r="694" spans="1:20">
      <c r="A694" s="349">
        <v>97601</v>
      </c>
      <c r="B694" s="342" t="s">
        <v>1388</v>
      </c>
      <c r="C694" s="234">
        <v>5.2946E-3</v>
      </c>
      <c r="D694" s="234">
        <v>5.2467E-3</v>
      </c>
      <c r="E694" s="343">
        <v>14459140</v>
      </c>
      <c r="F694" s="231"/>
      <c r="G694" s="343">
        <v>2475771</v>
      </c>
      <c r="H694" s="343">
        <v>352679</v>
      </c>
      <c r="I694" s="343">
        <v>2356600</v>
      </c>
      <c r="J694" s="343">
        <v>95463</v>
      </c>
      <c r="K694" s="343">
        <v>5280513</v>
      </c>
      <c r="L694" s="231"/>
      <c r="M694" s="343">
        <v>0</v>
      </c>
      <c r="N694" s="343">
        <v>0</v>
      </c>
      <c r="O694" s="343">
        <v>87149</v>
      </c>
      <c r="P694" s="343">
        <v>87149</v>
      </c>
      <c r="Q694" s="231"/>
      <c r="R694" s="343">
        <v>6440950</v>
      </c>
      <c r="S694" s="343">
        <v>-1723</v>
      </c>
      <c r="T694" s="343">
        <v>6439227</v>
      </c>
    </row>
    <row r="695" spans="1:20">
      <c r="A695" s="349">
        <v>97607</v>
      </c>
      <c r="B695" s="342" t="s">
        <v>1389</v>
      </c>
      <c r="C695" s="234">
        <v>2.0699999999999998E-5</v>
      </c>
      <c r="D695" s="234">
        <v>2.23E-5</v>
      </c>
      <c r="E695" s="343">
        <v>56530</v>
      </c>
      <c r="F695" s="231"/>
      <c r="G695" s="343">
        <v>9679</v>
      </c>
      <c r="H695" s="343">
        <v>1379</v>
      </c>
      <c r="I695" s="343">
        <v>9213</v>
      </c>
      <c r="J695" s="343">
        <v>14896</v>
      </c>
      <c r="K695" s="343">
        <v>35167</v>
      </c>
      <c r="L695" s="231"/>
      <c r="M695" s="343">
        <v>0</v>
      </c>
      <c r="N695" s="343">
        <v>0</v>
      </c>
      <c r="O695" s="343">
        <v>0</v>
      </c>
      <c r="P695" s="343">
        <v>0</v>
      </c>
      <c r="Q695" s="231"/>
      <c r="R695" s="343">
        <v>25182</v>
      </c>
      <c r="S695" s="343">
        <v>6395</v>
      </c>
      <c r="T695" s="343">
        <v>31577</v>
      </c>
    </row>
    <row r="696" spans="1:20">
      <c r="A696" s="349">
        <v>97611</v>
      </c>
      <c r="B696" s="342" t="s">
        <v>1390</v>
      </c>
      <c r="C696" s="234">
        <v>2.3218000000000002E-3</v>
      </c>
      <c r="D696" s="234">
        <v>2.3620999999999998E-3</v>
      </c>
      <c r="E696" s="343">
        <v>6340655</v>
      </c>
      <c r="F696" s="231"/>
      <c r="G696" s="343">
        <v>1085681</v>
      </c>
      <c r="H696" s="343">
        <v>154657</v>
      </c>
      <c r="I696" s="343">
        <v>1033422</v>
      </c>
      <c r="J696" s="343">
        <v>0</v>
      </c>
      <c r="K696" s="343">
        <v>2273760</v>
      </c>
      <c r="L696" s="231"/>
      <c r="M696" s="343">
        <v>0</v>
      </c>
      <c r="N696" s="343">
        <v>0</v>
      </c>
      <c r="O696" s="343">
        <v>165443</v>
      </c>
      <c r="P696" s="343">
        <v>165443</v>
      </c>
      <c r="Q696" s="231"/>
      <c r="R696" s="343">
        <v>2824500</v>
      </c>
      <c r="S696" s="343">
        <v>-108412</v>
      </c>
      <c r="T696" s="343">
        <v>2716088</v>
      </c>
    </row>
    <row r="697" spans="1:20">
      <c r="A697" s="349">
        <v>97613</v>
      </c>
      <c r="B697" s="342" t="s">
        <v>2747</v>
      </c>
      <c r="C697" s="234">
        <v>8.8599999999999999E-5</v>
      </c>
      <c r="D697" s="234">
        <v>1.155E-4</v>
      </c>
      <c r="E697" s="343">
        <v>241960</v>
      </c>
      <c r="F697" s="231"/>
      <c r="G697" s="343">
        <v>41430</v>
      </c>
      <c r="H697" s="343">
        <v>5902</v>
      </c>
      <c r="I697" s="343">
        <v>39435</v>
      </c>
      <c r="J697" s="343">
        <v>4716</v>
      </c>
      <c r="K697" s="343">
        <v>91483</v>
      </c>
      <c r="L697" s="231"/>
      <c r="M697" s="343">
        <v>0</v>
      </c>
      <c r="N697" s="343">
        <v>0</v>
      </c>
      <c r="O697" s="343">
        <v>9919</v>
      </c>
      <c r="P697" s="343">
        <v>9919</v>
      </c>
      <c r="Q697" s="231"/>
      <c r="R697" s="343">
        <v>107783</v>
      </c>
      <c r="S697" s="343">
        <v>-1471</v>
      </c>
      <c r="T697" s="343">
        <v>106312</v>
      </c>
    </row>
    <row r="698" spans="1:20">
      <c r="A698" s="349">
        <v>97621</v>
      </c>
      <c r="B698" s="342" t="s">
        <v>1392</v>
      </c>
      <c r="C698" s="234">
        <v>4.3960000000000001E-4</v>
      </c>
      <c r="D698" s="234">
        <v>4.4650000000000001E-4</v>
      </c>
      <c r="E698" s="343">
        <v>1200513</v>
      </c>
      <c r="F698" s="231"/>
      <c r="G698" s="343">
        <v>205558</v>
      </c>
      <c r="H698" s="343">
        <v>29283</v>
      </c>
      <c r="I698" s="343">
        <v>195664</v>
      </c>
      <c r="J698" s="343">
        <v>0</v>
      </c>
      <c r="K698" s="343">
        <v>430505</v>
      </c>
      <c r="L698" s="231"/>
      <c r="M698" s="343">
        <v>0</v>
      </c>
      <c r="N698" s="343">
        <v>0</v>
      </c>
      <c r="O698" s="343">
        <v>77314</v>
      </c>
      <c r="P698" s="343">
        <v>77314</v>
      </c>
      <c r="Q698" s="231"/>
      <c r="R698" s="343">
        <v>534779</v>
      </c>
      <c r="S698" s="343">
        <v>-27561</v>
      </c>
      <c r="T698" s="343">
        <v>507218</v>
      </c>
    </row>
    <row r="699" spans="1:20">
      <c r="A699" s="349">
        <v>97623</v>
      </c>
      <c r="B699" s="342" t="s">
        <v>1393</v>
      </c>
      <c r="C699" s="234">
        <v>2.5400000000000001E-5</v>
      </c>
      <c r="D699" s="234">
        <v>2.4000000000000001E-5</v>
      </c>
      <c r="E699" s="343">
        <v>69365</v>
      </c>
      <c r="F699" s="231"/>
      <c r="G699" s="343">
        <v>11877</v>
      </c>
      <c r="H699" s="343">
        <v>1692</v>
      </c>
      <c r="I699" s="343">
        <v>11305</v>
      </c>
      <c r="J699" s="343">
        <v>944</v>
      </c>
      <c r="K699" s="343">
        <v>25818</v>
      </c>
      <c r="L699" s="231"/>
      <c r="M699" s="343">
        <v>0</v>
      </c>
      <c r="N699" s="343">
        <v>0</v>
      </c>
      <c r="O699" s="343">
        <v>4023</v>
      </c>
      <c r="P699" s="343">
        <v>4023</v>
      </c>
      <c r="Q699" s="231"/>
      <c r="R699" s="343">
        <v>30899</v>
      </c>
      <c r="S699" s="343">
        <v>1243</v>
      </c>
      <c r="T699" s="343">
        <v>32142</v>
      </c>
    </row>
    <row r="700" spans="1:20">
      <c r="A700" s="349">
        <v>97627</v>
      </c>
      <c r="B700" s="342" t="s">
        <v>1394</v>
      </c>
      <c r="C700" s="234">
        <v>9.3000000000000007E-6</v>
      </c>
      <c r="D700" s="234">
        <v>9.5000000000000005E-6</v>
      </c>
      <c r="E700" s="343">
        <v>25398</v>
      </c>
      <c r="F700" s="231"/>
      <c r="G700" s="343">
        <v>4349</v>
      </c>
      <c r="H700" s="343">
        <v>620</v>
      </c>
      <c r="I700" s="343">
        <v>4139</v>
      </c>
      <c r="J700" s="343">
        <v>1149</v>
      </c>
      <c r="K700" s="343">
        <v>10257</v>
      </c>
      <c r="L700" s="231"/>
      <c r="M700" s="343">
        <v>0</v>
      </c>
      <c r="N700" s="343">
        <v>0</v>
      </c>
      <c r="O700" s="343">
        <v>0</v>
      </c>
      <c r="P700" s="343">
        <v>0</v>
      </c>
      <c r="Q700" s="231"/>
      <c r="R700" s="343">
        <v>11314</v>
      </c>
      <c r="S700" s="343">
        <v>-9</v>
      </c>
      <c r="T700" s="343">
        <v>11305</v>
      </c>
    </row>
    <row r="701" spans="1:20">
      <c r="A701" s="349">
        <v>97631</v>
      </c>
      <c r="B701" s="342" t="s">
        <v>1395</v>
      </c>
      <c r="C701" s="234">
        <v>1.972E-4</v>
      </c>
      <c r="D701" s="234">
        <v>2.0909999999999999E-4</v>
      </c>
      <c r="E701" s="343">
        <v>538538</v>
      </c>
      <c r="F701" s="231"/>
      <c r="G701" s="343">
        <v>92211</v>
      </c>
      <c r="H701" s="343">
        <v>13136</v>
      </c>
      <c r="I701" s="343">
        <v>87773</v>
      </c>
      <c r="J701" s="343">
        <v>1180</v>
      </c>
      <c r="K701" s="343">
        <v>194300</v>
      </c>
      <c r="L701" s="231"/>
      <c r="M701" s="343">
        <v>0</v>
      </c>
      <c r="N701" s="343">
        <v>0</v>
      </c>
      <c r="O701" s="343">
        <v>19455</v>
      </c>
      <c r="P701" s="343">
        <v>19455</v>
      </c>
      <c r="Q701" s="231"/>
      <c r="R701" s="343">
        <v>239896</v>
      </c>
      <c r="S701" s="343">
        <v>-2980</v>
      </c>
      <c r="T701" s="343">
        <v>236916</v>
      </c>
    </row>
    <row r="702" spans="1:20">
      <c r="A702" s="349">
        <v>97637</v>
      </c>
      <c r="B702" s="342" t="s">
        <v>1396</v>
      </c>
      <c r="C702" s="234">
        <v>3.1999999999999999E-6</v>
      </c>
      <c r="D702" s="234">
        <v>3.7000000000000002E-6</v>
      </c>
      <c r="E702" s="343">
        <v>8739</v>
      </c>
      <c r="F702" s="231"/>
      <c r="G702" s="343">
        <v>1496</v>
      </c>
      <c r="H702" s="343">
        <v>213</v>
      </c>
      <c r="I702" s="343">
        <v>1424</v>
      </c>
      <c r="J702" s="343">
        <v>1804</v>
      </c>
      <c r="K702" s="343">
        <v>4937</v>
      </c>
      <c r="L702" s="231"/>
      <c r="M702" s="343">
        <v>0</v>
      </c>
      <c r="N702" s="343">
        <v>0</v>
      </c>
      <c r="O702" s="343">
        <v>10</v>
      </c>
      <c r="P702" s="343">
        <v>10</v>
      </c>
      <c r="Q702" s="231"/>
      <c r="R702" s="343">
        <v>3893</v>
      </c>
      <c r="S702" s="343">
        <v>705</v>
      </c>
      <c r="T702" s="343">
        <v>4598</v>
      </c>
    </row>
    <row r="703" spans="1:20">
      <c r="A703" s="349">
        <v>97641</v>
      </c>
      <c r="B703" s="342" t="s">
        <v>1397</v>
      </c>
      <c r="C703" s="234">
        <v>4.5399999999999999E-5</v>
      </c>
      <c r="D703" s="234">
        <v>5.1400000000000003E-5</v>
      </c>
      <c r="E703" s="343">
        <v>123984</v>
      </c>
      <c r="F703" s="231"/>
      <c r="G703" s="343">
        <v>21229</v>
      </c>
      <c r="H703" s="343">
        <v>3024</v>
      </c>
      <c r="I703" s="343">
        <v>20207</v>
      </c>
      <c r="J703" s="343">
        <v>4892</v>
      </c>
      <c r="K703" s="343">
        <v>49352</v>
      </c>
      <c r="L703" s="231"/>
      <c r="M703" s="343">
        <v>0</v>
      </c>
      <c r="N703" s="343">
        <v>0</v>
      </c>
      <c r="O703" s="343">
        <v>6215</v>
      </c>
      <c r="P703" s="343">
        <v>6215</v>
      </c>
      <c r="Q703" s="231"/>
      <c r="R703" s="343">
        <v>55230</v>
      </c>
      <c r="S703" s="343">
        <v>2961</v>
      </c>
      <c r="T703" s="343">
        <v>58191</v>
      </c>
    </row>
    <row r="704" spans="1:20">
      <c r="A704" s="349">
        <v>97651</v>
      </c>
      <c r="B704" s="342" t="s">
        <v>1398</v>
      </c>
      <c r="C704" s="234">
        <v>5.2329999999999998E-4</v>
      </c>
      <c r="D704" s="234">
        <v>5.1929999999999999E-4</v>
      </c>
      <c r="E704" s="343">
        <v>1429091</v>
      </c>
      <c r="F704" s="231"/>
      <c r="G704" s="343">
        <v>244697</v>
      </c>
      <c r="H704" s="343">
        <v>34857</v>
      </c>
      <c r="I704" s="343">
        <v>232918</v>
      </c>
      <c r="J704" s="343">
        <v>0</v>
      </c>
      <c r="K704" s="343">
        <v>512472</v>
      </c>
      <c r="L704" s="231"/>
      <c r="M704" s="343">
        <v>0</v>
      </c>
      <c r="N704" s="343">
        <v>0</v>
      </c>
      <c r="O704" s="343">
        <v>44727</v>
      </c>
      <c r="P704" s="343">
        <v>44727</v>
      </c>
      <c r="Q704" s="231"/>
      <c r="R704" s="343">
        <v>636601</v>
      </c>
      <c r="S704" s="343">
        <v>-18676</v>
      </c>
      <c r="T704" s="343">
        <v>617925</v>
      </c>
    </row>
    <row r="705" spans="1:20">
      <c r="A705" s="349">
        <v>97661</v>
      </c>
      <c r="B705" s="342" t="s">
        <v>1399</v>
      </c>
      <c r="C705" s="234">
        <v>5.3300000000000001E-5</v>
      </c>
      <c r="D705" s="234">
        <v>4.3999999999999999E-5</v>
      </c>
      <c r="E705" s="343">
        <v>145558</v>
      </c>
      <c r="F705" s="231"/>
      <c r="G705" s="343">
        <v>24923</v>
      </c>
      <c r="H705" s="343">
        <v>3550</v>
      </c>
      <c r="I705" s="343">
        <v>23724</v>
      </c>
      <c r="J705" s="343">
        <v>11766</v>
      </c>
      <c r="K705" s="343">
        <v>63963</v>
      </c>
      <c r="L705" s="231"/>
      <c r="M705" s="343">
        <v>0</v>
      </c>
      <c r="N705" s="343">
        <v>0</v>
      </c>
      <c r="O705" s="343">
        <v>1455</v>
      </c>
      <c r="P705" s="343">
        <v>1455</v>
      </c>
      <c r="Q705" s="231"/>
      <c r="R705" s="343">
        <v>64840</v>
      </c>
      <c r="S705" s="343">
        <v>3751</v>
      </c>
      <c r="T705" s="343">
        <v>68591</v>
      </c>
    </row>
    <row r="706" spans="1:20">
      <c r="A706" s="349">
        <v>97701</v>
      </c>
      <c r="B706" s="342" t="s">
        <v>1400</v>
      </c>
      <c r="C706" s="234">
        <v>2.4578E-3</v>
      </c>
      <c r="D706" s="234">
        <v>2.5590000000000001E-3</v>
      </c>
      <c r="E706" s="343">
        <v>6712060</v>
      </c>
      <c r="F706" s="231"/>
      <c r="G706" s="343">
        <v>1149275</v>
      </c>
      <c r="H706" s="343">
        <v>163717</v>
      </c>
      <c r="I706" s="343">
        <v>1093954</v>
      </c>
      <c r="J706" s="343">
        <v>33100</v>
      </c>
      <c r="K706" s="343">
        <v>2440046</v>
      </c>
      <c r="L706" s="231"/>
      <c r="M706" s="343">
        <v>0</v>
      </c>
      <c r="N706" s="343">
        <v>0</v>
      </c>
      <c r="O706" s="343">
        <v>84502</v>
      </c>
      <c r="P706" s="343">
        <v>84502</v>
      </c>
      <c r="Q706" s="231"/>
      <c r="R706" s="343">
        <v>2989946</v>
      </c>
      <c r="S706" s="343">
        <v>-2965</v>
      </c>
      <c r="T706" s="343">
        <v>2986981</v>
      </c>
    </row>
    <row r="707" spans="1:20">
      <c r="A707" s="349">
        <v>97705</v>
      </c>
      <c r="B707" s="342" t="s">
        <v>1401</v>
      </c>
      <c r="C707" s="234">
        <v>3.1699999999999998E-5</v>
      </c>
      <c r="D707" s="234">
        <v>4.5500000000000001E-5</v>
      </c>
      <c r="E707" s="343">
        <v>86570</v>
      </c>
      <c r="F707" s="231"/>
      <c r="G707" s="343">
        <v>14823</v>
      </c>
      <c r="H707" s="343">
        <v>2112</v>
      </c>
      <c r="I707" s="343">
        <v>14110</v>
      </c>
      <c r="J707" s="343">
        <v>715</v>
      </c>
      <c r="K707" s="343">
        <v>31760</v>
      </c>
      <c r="L707" s="231"/>
      <c r="M707" s="343">
        <v>0</v>
      </c>
      <c r="N707" s="343">
        <v>0</v>
      </c>
      <c r="O707" s="343">
        <v>12170</v>
      </c>
      <c r="P707" s="343">
        <v>12170</v>
      </c>
      <c r="Q707" s="231"/>
      <c r="R707" s="343">
        <v>38563</v>
      </c>
      <c r="S707" s="343">
        <v>-4612</v>
      </c>
      <c r="T707" s="343">
        <v>33951</v>
      </c>
    </row>
    <row r="708" spans="1:20">
      <c r="A708" s="349">
        <v>97711</v>
      </c>
      <c r="B708" s="342" t="s">
        <v>1402</v>
      </c>
      <c r="C708" s="234">
        <v>8.5930000000000002E-4</v>
      </c>
      <c r="D708" s="234">
        <v>9.1239999999999995E-4</v>
      </c>
      <c r="E708" s="343">
        <v>2346681</v>
      </c>
      <c r="F708" s="231"/>
      <c r="G708" s="343">
        <v>401811</v>
      </c>
      <c r="H708" s="343">
        <v>57239</v>
      </c>
      <c r="I708" s="343">
        <v>382470</v>
      </c>
      <c r="J708" s="343">
        <v>8237</v>
      </c>
      <c r="K708" s="343">
        <v>849757</v>
      </c>
      <c r="L708" s="231"/>
      <c r="M708" s="343">
        <v>0</v>
      </c>
      <c r="N708" s="343">
        <v>0</v>
      </c>
      <c r="O708" s="343">
        <v>44103</v>
      </c>
      <c r="P708" s="343">
        <v>44103</v>
      </c>
      <c r="Q708" s="231"/>
      <c r="R708" s="343">
        <v>1045350</v>
      </c>
      <c r="S708" s="343">
        <v>-13458</v>
      </c>
      <c r="T708" s="343">
        <v>1031892</v>
      </c>
    </row>
    <row r="709" spans="1:20">
      <c r="A709" s="349">
        <v>97713</v>
      </c>
      <c r="B709" s="342" t="s">
        <v>1403</v>
      </c>
      <c r="C709" s="234">
        <v>5.0399999999999999E-5</v>
      </c>
      <c r="D709" s="234">
        <v>5.0500000000000001E-5</v>
      </c>
      <c r="E709" s="343">
        <v>137638</v>
      </c>
      <c r="F709" s="231"/>
      <c r="G709" s="343">
        <v>23567</v>
      </c>
      <c r="H709" s="343">
        <v>3357</v>
      </c>
      <c r="I709" s="343">
        <v>22433</v>
      </c>
      <c r="J709" s="343">
        <v>3325</v>
      </c>
      <c r="K709" s="343">
        <v>52682</v>
      </c>
      <c r="L709" s="231"/>
      <c r="M709" s="343">
        <v>0</v>
      </c>
      <c r="N709" s="343">
        <v>0</v>
      </c>
      <c r="O709" s="343">
        <v>6530</v>
      </c>
      <c r="P709" s="343">
        <v>6530</v>
      </c>
      <c r="Q709" s="231"/>
      <c r="R709" s="343">
        <v>61312</v>
      </c>
      <c r="S709" s="343">
        <v>-4414</v>
      </c>
      <c r="T709" s="343">
        <v>56898</v>
      </c>
    </row>
    <row r="710" spans="1:20">
      <c r="A710" s="349">
        <v>97717</v>
      </c>
      <c r="B710" s="342" t="s">
        <v>1404</v>
      </c>
      <c r="C710" s="234">
        <v>5.4E-6</v>
      </c>
      <c r="D710" s="234">
        <v>5.3000000000000001E-6</v>
      </c>
      <c r="E710" s="343">
        <v>14747</v>
      </c>
      <c r="F710" s="231"/>
      <c r="G710" s="343">
        <v>2525</v>
      </c>
      <c r="H710" s="343">
        <v>360</v>
      </c>
      <c r="I710" s="343">
        <v>2404</v>
      </c>
      <c r="J710" s="343">
        <v>573</v>
      </c>
      <c r="K710" s="343">
        <v>5862</v>
      </c>
      <c r="L710" s="231"/>
      <c r="M710" s="343">
        <v>0</v>
      </c>
      <c r="N710" s="343">
        <v>0</v>
      </c>
      <c r="O710" s="343">
        <v>886</v>
      </c>
      <c r="P710" s="343">
        <v>886</v>
      </c>
      <c r="Q710" s="231"/>
      <c r="R710" s="343">
        <v>6569</v>
      </c>
      <c r="S710" s="343">
        <v>-227</v>
      </c>
      <c r="T710" s="343">
        <v>6342</v>
      </c>
    </row>
    <row r="711" spans="1:20">
      <c r="A711" s="349">
        <v>97721</v>
      </c>
      <c r="B711" s="342" t="s">
        <v>1405</v>
      </c>
      <c r="C711" s="234">
        <v>5.5699999999999999E-4</v>
      </c>
      <c r="D711" s="234">
        <v>5.9069999999999999E-4</v>
      </c>
      <c r="E711" s="343">
        <v>1521124</v>
      </c>
      <c r="F711" s="231"/>
      <c r="G711" s="343">
        <v>260455</v>
      </c>
      <c r="H711" s="343">
        <v>37102</v>
      </c>
      <c r="I711" s="343">
        <v>247918</v>
      </c>
      <c r="J711" s="343">
        <v>6173</v>
      </c>
      <c r="K711" s="343">
        <v>551648</v>
      </c>
      <c r="L711" s="231"/>
      <c r="M711" s="343">
        <v>0</v>
      </c>
      <c r="N711" s="343">
        <v>0</v>
      </c>
      <c r="O711" s="343">
        <v>47608</v>
      </c>
      <c r="P711" s="343">
        <v>47608</v>
      </c>
      <c r="Q711" s="231"/>
      <c r="R711" s="343">
        <v>677598</v>
      </c>
      <c r="S711" s="343">
        <v>-18510</v>
      </c>
      <c r="T711" s="343">
        <v>659088</v>
      </c>
    </row>
    <row r="712" spans="1:20">
      <c r="A712" s="349">
        <v>97727</v>
      </c>
      <c r="B712" s="342" t="s">
        <v>1406</v>
      </c>
      <c r="C712" s="234">
        <v>1.8600000000000001E-5</v>
      </c>
      <c r="D712" s="234">
        <v>2.0599999999999999E-5</v>
      </c>
      <c r="E712" s="343">
        <v>50795</v>
      </c>
      <c r="F712" s="231"/>
      <c r="G712" s="343">
        <v>8697</v>
      </c>
      <c r="H712" s="343">
        <v>1239</v>
      </c>
      <c r="I712" s="343">
        <v>8279</v>
      </c>
      <c r="J712" s="343">
        <v>0</v>
      </c>
      <c r="K712" s="343">
        <v>18215</v>
      </c>
      <c r="L712" s="231"/>
      <c r="M712" s="343">
        <v>0</v>
      </c>
      <c r="N712" s="343">
        <v>0</v>
      </c>
      <c r="O712" s="343">
        <v>881</v>
      </c>
      <c r="P712" s="343">
        <v>881</v>
      </c>
      <c r="Q712" s="231"/>
      <c r="R712" s="343">
        <v>22627</v>
      </c>
      <c r="S712" s="343">
        <v>-805</v>
      </c>
      <c r="T712" s="343">
        <v>21822</v>
      </c>
    </row>
    <row r="713" spans="1:20">
      <c r="A713" s="349">
        <v>97731</v>
      </c>
      <c r="B713" s="342" t="s">
        <v>1407</v>
      </c>
      <c r="C713" s="234">
        <v>3.82E-5</v>
      </c>
      <c r="D713" s="234">
        <v>3.3200000000000001E-5</v>
      </c>
      <c r="E713" s="343">
        <v>104321</v>
      </c>
      <c r="F713" s="231"/>
      <c r="G713" s="343">
        <v>17862</v>
      </c>
      <c r="H713" s="343">
        <v>2544</v>
      </c>
      <c r="I713" s="343">
        <v>17003</v>
      </c>
      <c r="J713" s="343">
        <v>7888</v>
      </c>
      <c r="K713" s="343">
        <v>45297</v>
      </c>
      <c r="L713" s="231"/>
      <c r="M713" s="343">
        <v>0</v>
      </c>
      <c r="N713" s="343">
        <v>0</v>
      </c>
      <c r="O713" s="343">
        <v>0</v>
      </c>
      <c r="P713" s="343">
        <v>0</v>
      </c>
      <c r="Q713" s="231"/>
      <c r="R713" s="343">
        <v>46471</v>
      </c>
      <c r="S713" s="343">
        <v>4081</v>
      </c>
      <c r="T713" s="343">
        <v>50552</v>
      </c>
    </row>
    <row r="714" spans="1:20">
      <c r="A714" s="349">
        <v>97801</v>
      </c>
      <c r="B714" s="342" t="s">
        <v>1408</v>
      </c>
      <c r="C714" s="234">
        <v>6.0489000000000003E-3</v>
      </c>
      <c r="D714" s="234">
        <v>6.5702E-3</v>
      </c>
      <c r="E714" s="343">
        <v>16519074</v>
      </c>
      <c r="F714" s="231"/>
      <c r="G714" s="343">
        <v>2828484</v>
      </c>
      <c r="H714" s="343">
        <v>402924</v>
      </c>
      <c r="I714" s="343">
        <v>2692335</v>
      </c>
      <c r="J714" s="343">
        <v>0</v>
      </c>
      <c r="K714" s="343">
        <v>5923743</v>
      </c>
      <c r="L714" s="231"/>
      <c r="M714" s="343">
        <v>0</v>
      </c>
      <c r="N714" s="343">
        <v>0</v>
      </c>
      <c r="O714" s="343">
        <v>642269</v>
      </c>
      <c r="P714" s="343">
        <v>642269</v>
      </c>
      <c r="Q714" s="231"/>
      <c r="R714" s="343">
        <v>7358565</v>
      </c>
      <c r="S714" s="343">
        <v>-255015</v>
      </c>
      <c r="T714" s="343">
        <v>7103550</v>
      </c>
    </row>
    <row r="715" spans="1:20">
      <c r="A715" s="349">
        <v>97802</v>
      </c>
      <c r="B715" s="342" t="s">
        <v>1409</v>
      </c>
      <c r="C715" s="234">
        <v>1.9029999999999999E-4</v>
      </c>
      <c r="D715" s="234">
        <v>1.684E-4</v>
      </c>
      <c r="E715" s="343">
        <v>519694</v>
      </c>
      <c r="F715" s="231"/>
      <c r="G715" s="343">
        <v>88985</v>
      </c>
      <c r="H715" s="343">
        <v>12676</v>
      </c>
      <c r="I715" s="343">
        <v>84702</v>
      </c>
      <c r="J715" s="343">
        <v>22459</v>
      </c>
      <c r="K715" s="343">
        <v>208822</v>
      </c>
      <c r="L715" s="231"/>
      <c r="M715" s="343">
        <v>0</v>
      </c>
      <c r="N715" s="343">
        <v>0</v>
      </c>
      <c r="O715" s="343">
        <v>7514</v>
      </c>
      <c r="P715" s="343">
        <v>7514</v>
      </c>
      <c r="Q715" s="231"/>
      <c r="R715" s="343">
        <v>231502</v>
      </c>
      <c r="S715" s="343">
        <v>-3338</v>
      </c>
      <c r="T715" s="343">
        <v>228164</v>
      </c>
    </row>
    <row r="716" spans="1:20">
      <c r="A716" s="349">
        <v>97803</v>
      </c>
      <c r="B716" s="342" t="s">
        <v>1410</v>
      </c>
      <c r="C716" s="234">
        <v>7.7899999999999996E-5</v>
      </c>
      <c r="D716" s="234">
        <v>8.1699999999999994E-5</v>
      </c>
      <c r="E716" s="343">
        <v>212739</v>
      </c>
      <c r="F716" s="231"/>
      <c r="G716" s="343">
        <v>36426</v>
      </c>
      <c r="H716" s="343">
        <v>5189</v>
      </c>
      <c r="I716" s="343">
        <v>34673</v>
      </c>
      <c r="J716" s="343">
        <v>3693</v>
      </c>
      <c r="K716" s="343">
        <v>79981</v>
      </c>
      <c r="L716" s="231"/>
      <c r="M716" s="343">
        <v>0</v>
      </c>
      <c r="N716" s="343">
        <v>0</v>
      </c>
      <c r="O716" s="343">
        <v>3354</v>
      </c>
      <c r="P716" s="343">
        <v>3354</v>
      </c>
      <c r="Q716" s="231"/>
      <c r="R716" s="343">
        <v>94766</v>
      </c>
      <c r="S716" s="343">
        <v>151</v>
      </c>
      <c r="T716" s="343">
        <v>94917</v>
      </c>
    </row>
    <row r="717" spans="1:20">
      <c r="A717" s="349">
        <v>97805</v>
      </c>
      <c r="B717" s="342" t="s">
        <v>1411</v>
      </c>
      <c r="C717" s="234">
        <v>8.6500000000000002E-5</v>
      </c>
      <c r="D717" s="234">
        <v>8.2700000000000004E-5</v>
      </c>
      <c r="E717" s="343">
        <v>236225</v>
      </c>
      <c r="F717" s="231"/>
      <c r="G717" s="343">
        <v>40448</v>
      </c>
      <c r="H717" s="343">
        <v>5762</v>
      </c>
      <c r="I717" s="343">
        <v>38501</v>
      </c>
      <c r="J717" s="343">
        <v>8007</v>
      </c>
      <c r="K717" s="343">
        <v>92718</v>
      </c>
      <c r="L717" s="231"/>
      <c r="M717" s="343">
        <v>0</v>
      </c>
      <c r="N717" s="343">
        <v>0</v>
      </c>
      <c r="O717" s="343">
        <v>0</v>
      </c>
      <c r="P717" s="343">
        <v>0</v>
      </c>
      <c r="Q717" s="231"/>
      <c r="R717" s="343">
        <v>105228</v>
      </c>
      <c r="S717" s="343">
        <v>5463</v>
      </c>
      <c r="T717" s="343">
        <v>110691</v>
      </c>
    </row>
    <row r="718" spans="1:20">
      <c r="A718" s="349">
        <v>97811</v>
      </c>
      <c r="B718" s="342" t="s">
        <v>1412</v>
      </c>
      <c r="C718" s="234">
        <v>2.4080999999999998E-3</v>
      </c>
      <c r="D718" s="234">
        <v>2.4342999999999999E-3</v>
      </c>
      <c r="E718" s="343">
        <v>6576333</v>
      </c>
      <c r="F718" s="231"/>
      <c r="G718" s="343">
        <v>1126035</v>
      </c>
      <c r="H718" s="343">
        <v>160406</v>
      </c>
      <c r="I718" s="343">
        <v>1071833</v>
      </c>
      <c r="J718" s="343">
        <v>0</v>
      </c>
      <c r="K718" s="343">
        <v>2358274</v>
      </c>
      <c r="L718" s="231"/>
      <c r="M718" s="343">
        <v>0</v>
      </c>
      <c r="N718" s="343">
        <v>0</v>
      </c>
      <c r="O718" s="343">
        <v>52940</v>
      </c>
      <c r="P718" s="343">
        <v>52940</v>
      </c>
      <c r="Q718" s="231"/>
      <c r="R718" s="343">
        <v>2929485</v>
      </c>
      <c r="S718" s="343">
        <v>-69072</v>
      </c>
      <c r="T718" s="343">
        <v>2860413</v>
      </c>
    </row>
    <row r="719" spans="1:20">
      <c r="A719" s="349">
        <v>97817</v>
      </c>
      <c r="B719" s="342" t="s">
        <v>1413</v>
      </c>
      <c r="C719" s="234">
        <v>1.7499999999999998E-5</v>
      </c>
      <c r="D719" s="234">
        <v>1.8199999999999999E-5</v>
      </c>
      <c r="E719" s="343">
        <v>47791</v>
      </c>
      <c r="F719" s="231"/>
      <c r="G719" s="343">
        <v>8183</v>
      </c>
      <c r="H719" s="343">
        <v>1166</v>
      </c>
      <c r="I719" s="343">
        <v>7789</v>
      </c>
      <c r="J719" s="343">
        <v>12928</v>
      </c>
      <c r="K719" s="343">
        <v>30066</v>
      </c>
      <c r="L719" s="231"/>
      <c r="M719" s="343">
        <v>0</v>
      </c>
      <c r="N719" s="343">
        <v>0</v>
      </c>
      <c r="O719" s="343">
        <v>0</v>
      </c>
      <c r="P719" s="343">
        <v>0</v>
      </c>
      <c r="Q719" s="231"/>
      <c r="R719" s="343">
        <v>21289</v>
      </c>
      <c r="S719" s="343">
        <v>4700</v>
      </c>
      <c r="T719" s="343">
        <v>25989</v>
      </c>
    </row>
    <row r="720" spans="1:20">
      <c r="A720" s="349">
        <v>97818</v>
      </c>
      <c r="B720" s="342" t="s">
        <v>2798</v>
      </c>
      <c r="C720" s="234">
        <v>2.4899999999999999E-5</v>
      </c>
      <c r="D720" s="234">
        <v>2.0299999999999999E-5</v>
      </c>
      <c r="E720" s="343">
        <v>68000</v>
      </c>
      <c r="F720" s="231"/>
      <c r="G720" s="343">
        <v>11643</v>
      </c>
      <c r="H720" s="343">
        <v>1658</v>
      </c>
      <c r="I720" s="343">
        <v>11083</v>
      </c>
      <c r="J720" s="343">
        <v>5468</v>
      </c>
      <c r="K720" s="343">
        <v>29852</v>
      </c>
      <c r="L720" s="231"/>
      <c r="M720" s="343">
        <v>0</v>
      </c>
      <c r="N720" s="343">
        <v>0</v>
      </c>
      <c r="O720" s="343">
        <v>737</v>
      </c>
      <c r="P720" s="343">
        <v>737</v>
      </c>
      <c r="Q720" s="231"/>
      <c r="R720" s="343">
        <v>30291</v>
      </c>
      <c r="S720" s="343">
        <v>2914</v>
      </c>
      <c r="T720" s="343">
        <v>33205</v>
      </c>
    </row>
    <row r="721" spans="1:20">
      <c r="A721" s="349">
        <v>97821</v>
      </c>
      <c r="B721" s="342" t="s">
        <v>1415</v>
      </c>
      <c r="C721" s="234">
        <v>1.329E-4</v>
      </c>
      <c r="D721" s="234">
        <v>1.071E-4</v>
      </c>
      <c r="E721" s="343">
        <v>362940</v>
      </c>
      <c r="F721" s="231"/>
      <c r="G721" s="343">
        <v>62144</v>
      </c>
      <c r="H721" s="343">
        <v>8852</v>
      </c>
      <c r="I721" s="343">
        <v>59153</v>
      </c>
      <c r="J721" s="343">
        <v>32594</v>
      </c>
      <c r="K721" s="343">
        <v>162743</v>
      </c>
      <c r="L721" s="231"/>
      <c r="M721" s="343">
        <v>0</v>
      </c>
      <c r="N721" s="343">
        <v>0</v>
      </c>
      <c r="O721" s="343">
        <v>1315</v>
      </c>
      <c r="P721" s="343">
        <v>1315</v>
      </c>
      <c r="Q721" s="231"/>
      <c r="R721" s="343">
        <v>161675</v>
      </c>
      <c r="S721" s="343">
        <v>5063</v>
      </c>
      <c r="T721" s="343">
        <v>166738</v>
      </c>
    </row>
    <row r="722" spans="1:20">
      <c r="A722" s="349">
        <v>97823</v>
      </c>
      <c r="B722" s="342" t="s">
        <v>1416</v>
      </c>
      <c r="C722" s="234">
        <v>1.5400000000000002E-5</v>
      </c>
      <c r="D722" s="234">
        <v>1.7200000000000001E-5</v>
      </c>
      <c r="E722" s="343">
        <v>42056</v>
      </c>
      <c r="F722" s="231"/>
      <c r="G722" s="343">
        <v>7201</v>
      </c>
      <c r="H722" s="343">
        <v>1026</v>
      </c>
      <c r="I722" s="343">
        <v>6854</v>
      </c>
      <c r="J722" s="343">
        <v>2981</v>
      </c>
      <c r="K722" s="343">
        <v>18062</v>
      </c>
      <c r="L722" s="231"/>
      <c r="M722" s="343">
        <v>0</v>
      </c>
      <c r="N722" s="343">
        <v>0</v>
      </c>
      <c r="O722" s="343">
        <v>1579</v>
      </c>
      <c r="P722" s="343">
        <v>1579</v>
      </c>
      <c r="Q722" s="231"/>
      <c r="R722" s="343">
        <v>18734</v>
      </c>
      <c r="S722" s="343">
        <v>555</v>
      </c>
      <c r="T722" s="343">
        <v>19289</v>
      </c>
    </row>
    <row r="723" spans="1:20">
      <c r="A723" s="349">
        <v>97831</v>
      </c>
      <c r="B723" s="342" t="s">
        <v>1417</v>
      </c>
      <c r="C723" s="234">
        <v>1.6359999999999999E-4</v>
      </c>
      <c r="D723" s="234">
        <v>1.5200000000000001E-4</v>
      </c>
      <c r="E723" s="343">
        <v>446779</v>
      </c>
      <c r="F723" s="231"/>
      <c r="G723" s="343">
        <v>76500</v>
      </c>
      <c r="H723" s="343">
        <v>10898</v>
      </c>
      <c r="I723" s="343">
        <v>72818</v>
      </c>
      <c r="J723" s="343">
        <v>24635</v>
      </c>
      <c r="K723" s="343">
        <v>184851</v>
      </c>
      <c r="L723" s="231"/>
      <c r="M723" s="343">
        <v>0</v>
      </c>
      <c r="N723" s="343">
        <v>0</v>
      </c>
      <c r="O723" s="343">
        <v>2758</v>
      </c>
      <c r="P723" s="343">
        <v>2758</v>
      </c>
      <c r="Q723" s="231"/>
      <c r="R723" s="343">
        <v>199022</v>
      </c>
      <c r="S723" s="343">
        <v>4959</v>
      </c>
      <c r="T723" s="343">
        <v>203981</v>
      </c>
    </row>
    <row r="724" spans="1:20">
      <c r="A724" s="349">
        <v>97837</v>
      </c>
      <c r="B724" s="342" t="s">
        <v>3692</v>
      </c>
      <c r="C724" s="234">
        <v>1.0000000000000001E-5</v>
      </c>
      <c r="D724" s="234">
        <v>9.3000000000000007E-6</v>
      </c>
      <c r="E724" s="343">
        <v>27309</v>
      </c>
      <c r="F724" s="231"/>
      <c r="G724" s="343">
        <v>4676</v>
      </c>
      <c r="H724" s="343">
        <v>666</v>
      </c>
      <c r="I724" s="343">
        <v>4451</v>
      </c>
      <c r="J724" s="343">
        <v>2665</v>
      </c>
      <c r="K724" s="343">
        <v>12458</v>
      </c>
      <c r="L724" s="231"/>
      <c r="M724" s="343">
        <v>0</v>
      </c>
      <c r="N724" s="343">
        <v>0</v>
      </c>
      <c r="O724" s="343">
        <v>64</v>
      </c>
      <c r="P724" s="343">
        <v>64</v>
      </c>
      <c r="Q724" s="231"/>
      <c r="R724" s="343">
        <v>12165</v>
      </c>
      <c r="S724" s="343">
        <v>1379</v>
      </c>
      <c r="T724" s="343">
        <v>13544</v>
      </c>
    </row>
    <row r="725" spans="1:20">
      <c r="A725" s="349">
        <v>97840</v>
      </c>
      <c r="B725" s="342" t="s">
        <v>1419</v>
      </c>
      <c r="C725" s="234">
        <v>1.0560000000000001E-4</v>
      </c>
      <c r="D725" s="234">
        <v>1.36E-4</v>
      </c>
      <c r="E725" s="343">
        <v>288385</v>
      </c>
      <c r="F725" s="231"/>
      <c r="G725" s="343">
        <v>49379</v>
      </c>
      <c r="H725" s="343">
        <v>7034</v>
      </c>
      <c r="I725" s="343">
        <v>47002</v>
      </c>
      <c r="J725" s="343">
        <v>74121</v>
      </c>
      <c r="K725" s="343">
        <v>177536</v>
      </c>
      <c r="L725" s="231"/>
      <c r="M725" s="343">
        <v>0</v>
      </c>
      <c r="N725" s="343">
        <v>0</v>
      </c>
      <c r="O725" s="343">
        <v>0</v>
      </c>
      <c r="P725" s="343">
        <v>0</v>
      </c>
      <c r="Q725" s="231"/>
      <c r="R725" s="343">
        <v>128464</v>
      </c>
      <c r="S725" s="343">
        <v>41344</v>
      </c>
      <c r="T725" s="343">
        <v>169808</v>
      </c>
    </row>
    <row r="726" spans="1:20">
      <c r="A726" s="349">
        <v>97841</v>
      </c>
      <c r="B726" s="342" t="s">
        <v>1420</v>
      </c>
      <c r="C726" s="234">
        <v>1.2099999999999999E-5</v>
      </c>
      <c r="D726" s="234">
        <v>1.2E-5</v>
      </c>
      <c r="E726" s="343">
        <v>33044</v>
      </c>
      <c r="F726" s="231"/>
      <c r="G726" s="343">
        <v>5658</v>
      </c>
      <c r="H726" s="343">
        <v>806</v>
      </c>
      <c r="I726" s="343">
        <v>5386</v>
      </c>
      <c r="J726" s="343">
        <v>186</v>
      </c>
      <c r="K726" s="343">
        <v>12036</v>
      </c>
      <c r="L726" s="231"/>
      <c r="M726" s="343">
        <v>0</v>
      </c>
      <c r="N726" s="343">
        <v>0</v>
      </c>
      <c r="O726" s="343">
        <v>474</v>
      </c>
      <c r="P726" s="343">
        <v>474</v>
      </c>
      <c r="Q726" s="231"/>
      <c r="R726" s="343">
        <v>14720</v>
      </c>
      <c r="S726" s="343">
        <v>-77</v>
      </c>
      <c r="T726" s="343">
        <v>14643</v>
      </c>
    </row>
    <row r="727" spans="1:20">
      <c r="A727" s="349">
        <v>97847</v>
      </c>
      <c r="B727" s="342" t="s">
        <v>1421</v>
      </c>
      <c r="C727" s="234">
        <v>1.7E-6</v>
      </c>
      <c r="D727" s="234">
        <v>1.9999999999999999E-6</v>
      </c>
      <c r="E727" s="343">
        <v>4643</v>
      </c>
      <c r="F727" s="231"/>
      <c r="G727" s="343">
        <v>795</v>
      </c>
      <c r="H727" s="343">
        <v>114</v>
      </c>
      <c r="I727" s="343">
        <v>757</v>
      </c>
      <c r="J727" s="343">
        <v>2472</v>
      </c>
      <c r="K727" s="343">
        <v>4138</v>
      </c>
      <c r="L727" s="231"/>
      <c r="M727" s="343">
        <v>0</v>
      </c>
      <c r="N727" s="343">
        <v>0</v>
      </c>
      <c r="O727" s="343">
        <v>0</v>
      </c>
      <c r="P727" s="343">
        <v>0</v>
      </c>
      <c r="Q727" s="231"/>
      <c r="R727" s="343">
        <v>2068</v>
      </c>
      <c r="S727" s="343">
        <v>950</v>
      </c>
      <c r="T727" s="343">
        <v>3018</v>
      </c>
    </row>
    <row r="728" spans="1:20">
      <c r="A728" s="349">
        <v>97851</v>
      </c>
      <c r="B728" s="342" t="s">
        <v>1422</v>
      </c>
      <c r="C728" s="234">
        <v>2.7540000000000003E-4</v>
      </c>
      <c r="D728" s="234">
        <v>2.7750000000000002E-4</v>
      </c>
      <c r="E728" s="343">
        <v>752096</v>
      </c>
      <c r="F728" s="231"/>
      <c r="G728" s="343">
        <v>128778</v>
      </c>
      <c r="H728" s="343">
        <v>18344</v>
      </c>
      <c r="I728" s="343">
        <v>122579</v>
      </c>
      <c r="J728" s="343">
        <v>0</v>
      </c>
      <c r="K728" s="343">
        <v>269701</v>
      </c>
      <c r="L728" s="231"/>
      <c r="M728" s="343">
        <v>0</v>
      </c>
      <c r="N728" s="343">
        <v>0</v>
      </c>
      <c r="O728" s="343">
        <v>31817</v>
      </c>
      <c r="P728" s="343">
        <v>31817</v>
      </c>
      <c r="Q728" s="231"/>
      <c r="R728" s="343">
        <v>335028</v>
      </c>
      <c r="S728" s="343">
        <v>-11656</v>
      </c>
      <c r="T728" s="343">
        <v>323372</v>
      </c>
    </row>
    <row r="729" spans="1:20">
      <c r="A729" s="349">
        <v>97853</v>
      </c>
      <c r="B729" s="342" t="s">
        <v>1423</v>
      </c>
      <c r="C729" s="234">
        <v>7.9900000000000004E-5</v>
      </c>
      <c r="D729" s="234">
        <v>9.09E-5</v>
      </c>
      <c r="E729" s="343">
        <v>218201</v>
      </c>
      <c r="F729" s="231"/>
      <c r="G729" s="343">
        <v>37361</v>
      </c>
      <c r="H729" s="343">
        <v>5322</v>
      </c>
      <c r="I729" s="343">
        <v>35563</v>
      </c>
      <c r="J729" s="343">
        <v>2508</v>
      </c>
      <c r="K729" s="343">
        <v>80754</v>
      </c>
      <c r="L729" s="231"/>
      <c r="M729" s="343">
        <v>0</v>
      </c>
      <c r="N729" s="343">
        <v>0</v>
      </c>
      <c r="O729" s="343">
        <v>22513</v>
      </c>
      <c r="P729" s="343">
        <v>22513</v>
      </c>
      <c r="Q729" s="231"/>
      <c r="R729" s="343">
        <v>97199</v>
      </c>
      <c r="S729" s="343">
        <v>-6611</v>
      </c>
      <c r="T729" s="343">
        <v>90588</v>
      </c>
    </row>
    <row r="730" spans="1:20">
      <c r="A730" s="349">
        <v>97861</v>
      </c>
      <c r="B730" s="342" t="s">
        <v>1424</v>
      </c>
      <c r="C730" s="234">
        <v>4.5500000000000001E-5</v>
      </c>
      <c r="D730" s="234">
        <v>4.3000000000000002E-5</v>
      </c>
      <c r="E730" s="343">
        <v>124257</v>
      </c>
      <c r="F730" s="231"/>
      <c r="G730" s="343">
        <v>21276</v>
      </c>
      <c r="H730" s="343">
        <v>3031</v>
      </c>
      <c r="I730" s="343">
        <v>20252</v>
      </c>
      <c r="J730" s="343">
        <v>6798</v>
      </c>
      <c r="K730" s="343">
        <v>51357</v>
      </c>
      <c r="L730" s="231"/>
      <c r="M730" s="343">
        <v>0</v>
      </c>
      <c r="N730" s="343">
        <v>0</v>
      </c>
      <c r="O730" s="343">
        <v>11467</v>
      </c>
      <c r="P730" s="343">
        <v>11467</v>
      </c>
      <c r="Q730" s="231"/>
      <c r="R730" s="343">
        <v>55351</v>
      </c>
      <c r="S730" s="343">
        <v>-1850</v>
      </c>
      <c r="T730" s="343">
        <v>53501</v>
      </c>
    </row>
    <row r="731" spans="1:20">
      <c r="A731" s="349">
        <v>97871</v>
      </c>
      <c r="B731" s="342" t="s">
        <v>1425</v>
      </c>
      <c r="C731" s="234">
        <v>3.0079999999999999E-4</v>
      </c>
      <c r="D731" s="234">
        <v>3.1080000000000002E-4</v>
      </c>
      <c r="E731" s="343">
        <v>821461</v>
      </c>
      <c r="F731" s="231"/>
      <c r="G731" s="343">
        <v>140655</v>
      </c>
      <c r="H731" s="343">
        <v>20037</v>
      </c>
      <c r="I731" s="343">
        <v>133885</v>
      </c>
      <c r="J731" s="343">
        <v>270096</v>
      </c>
      <c r="K731" s="343">
        <v>564673</v>
      </c>
      <c r="L731" s="231"/>
      <c r="M731" s="343">
        <v>0</v>
      </c>
      <c r="N731" s="343">
        <v>0</v>
      </c>
      <c r="O731" s="343">
        <v>0</v>
      </c>
      <c r="P731" s="343">
        <v>0</v>
      </c>
      <c r="Q731" s="231"/>
      <c r="R731" s="343">
        <v>365927</v>
      </c>
      <c r="S731" s="343">
        <v>125339</v>
      </c>
      <c r="T731" s="343">
        <v>491266</v>
      </c>
    </row>
    <row r="732" spans="1:20">
      <c r="A732" s="349">
        <v>97877</v>
      </c>
      <c r="B732" s="342" t="s">
        <v>1426</v>
      </c>
      <c r="C732" s="234">
        <v>7.6000000000000001E-6</v>
      </c>
      <c r="D732" s="234">
        <v>1.7999999999999999E-6</v>
      </c>
      <c r="E732" s="343">
        <v>20755</v>
      </c>
      <c r="F732" s="231"/>
      <c r="G732" s="343">
        <v>3554</v>
      </c>
      <c r="H732" s="343">
        <v>506</v>
      </c>
      <c r="I732" s="343">
        <v>3383</v>
      </c>
      <c r="J732" s="343">
        <v>7232</v>
      </c>
      <c r="K732" s="343">
        <v>14675</v>
      </c>
      <c r="L732" s="231"/>
      <c r="M732" s="343">
        <v>0</v>
      </c>
      <c r="N732" s="343">
        <v>0</v>
      </c>
      <c r="O732" s="343">
        <v>0</v>
      </c>
      <c r="P732" s="343">
        <v>0</v>
      </c>
      <c r="Q732" s="231"/>
      <c r="R732" s="343">
        <v>9245</v>
      </c>
      <c r="S732" s="343">
        <v>2234</v>
      </c>
      <c r="T732" s="343">
        <v>11479</v>
      </c>
    </row>
    <row r="733" spans="1:20">
      <c r="A733" s="349">
        <v>97901</v>
      </c>
      <c r="B733" s="342" t="s">
        <v>1427</v>
      </c>
      <c r="C733" s="234">
        <v>4.0067999999999996E-3</v>
      </c>
      <c r="D733" s="234">
        <v>4.2154000000000002E-3</v>
      </c>
      <c r="E733" s="343">
        <v>10942258</v>
      </c>
      <c r="F733" s="231"/>
      <c r="G733" s="343">
        <v>1873592</v>
      </c>
      <c r="H733" s="343">
        <v>266897</v>
      </c>
      <c r="I733" s="343">
        <v>1783407</v>
      </c>
      <c r="J733" s="343">
        <v>20918</v>
      </c>
      <c r="K733" s="343">
        <v>3944814</v>
      </c>
      <c r="L733" s="231"/>
      <c r="M733" s="343">
        <v>0</v>
      </c>
      <c r="N733" s="343">
        <v>0</v>
      </c>
      <c r="O733" s="343">
        <v>292022</v>
      </c>
      <c r="P733" s="343">
        <v>292022</v>
      </c>
      <c r="Q733" s="231"/>
      <c r="R733" s="343">
        <v>4874324</v>
      </c>
      <c r="S733" s="343">
        <v>-51025</v>
      </c>
      <c r="T733" s="343">
        <v>4823299</v>
      </c>
    </row>
    <row r="734" spans="1:20">
      <c r="A734" s="349">
        <v>97911</v>
      </c>
      <c r="B734" s="342" t="s">
        <v>1428</v>
      </c>
      <c r="C734" s="234">
        <v>1.2121E-3</v>
      </c>
      <c r="D734" s="234">
        <v>1.2834000000000001E-3</v>
      </c>
      <c r="E734" s="343">
        <v>3310151</v>
      </c>
      <c r="F734" s="231"/>
      <c r="G734" s="343">
        <v>566782</v>
      </c>
      <c r="H734" s="343">
        <v>80739</v>
      </c>
      <c r="I734" s="343">
        <v>539500</v>
      </c>
      <c r="J734" s="343">
        <v>714</v>
      </c>
      <c r="K734" s="343">
        <v>1187735</v>
      </c>
      <c r="L734" s="231"/>
      <c r="M734" s="343">
        <v>0</v>
      </c>
      <c r="N734" s="343">
        <v>0</v>
      </c>
      <c r="O734" s="343">
        <v>32366</v>
      </c>
      <c r="P734" s="343">
        <v>32366</v>
      </c>
      <c r="Q734" s="231"/>
      <c r="R734" s="343">
        <v>1474535</v>
      </c>
      <c r="S734" s="343">
        <v>-5290</v>
      </c>
      <c r="T734" s="343">
        <v>1469245</v>
      </c>
    </row>
    <row r="735" spans="1:20">
      <c r="A735" s="349">
        <v>97913</v>
      </c>
      <c r="B735" s="342" t="s">
        <v>2764</v>
      </c>
      <c r="C735" s="234">
        <v>2.8600000000000001E-5</v>
      </c>
      <c r="D735" s="234">
        <v>3.3899999999999997E-5</v>
      </c>
      <c r="E735" s="343">
        <v>78104</v>
      </c>
      <c r="F735" s="231"/>
      <c r="G735" s="343">
        <v>13373</v>
      </c>
      <c r="H735" s="343">
        <v>1905</v>
      </c>
      <c r="I735" s="343">
        <v>12730</v>
      </c>
      <c r="J735" s="343">
        <v>14218</v>
      </c>
      <c r="K735" s="343">
        <v>42226</v>
      </c>
      <c r="L735" s="231"/>
      <c r="M735" s="343">
        <v>0</v>
      </c>
      <c r="N735" s="343">
        <v>0</v>
      </c>
      <c r="O735" s="343">
        <v>0</v>
      </c>
      <c r="P735" s="343">
        <v>0</v>
      </c>
      <c r="Q735" s="231"/>
      <c r="R735" s="343">
        <v>34792</v>
      </c>
      <c r="S735" s="343">
        <v>7475</v>
      </c>
      <c r="T735" s="343">
        <v>42267</v>
      </c>
    </row>
    <row r="736" spans="1:20">
      <c r="A736" s="349">
        <v>97917</v>
      </c>
      <c r="B736" s="342" t="s">
        <v>1430</v>
      </c>
      <c r="C736" s="234">
        <v>1.84E-5</v>
      </c>
      <c r="D736" s="234">
        <v>1.9700000000000001E-5</v>
      </c>
      <c r="E736" s="343">
        <v>50249</v>
      </c>
      <c r="F736" s="231"/>
      <c r="G736" s="343">
        <v>8604</v>
      </c>
      <c r="H736" s="343">
        <v>1226</v>
      </c>
      <c r="I736" s="343">
        <v>8190</v>
      </c>
      <c r="J736" s="343">
        <v>7317</v>
      </c>
      <c r="K736" s="343">
        <v>25337</v>
      </c>
      <c r="L736" s="231"/>
      <c r="M736" s="343">
        <v>0</v>
      </c>
      <c r="N736" s="343">
        <v>0</v>
      </c>
      <c r="O736" s="343">
        <v>0</v>
      </c>
      <c r="P736" s="343">
        <v>0</v>
      </c>
      <c r="Q736" s="231"/>
      <c r="R736" s="343">
        <v>22384</v>
      </c>
      <c r="S736" s="343">
        <v>3517</v>
      </c>
      <c r="T736" s="343">
        <v>25901</v>
      </c>
    </row>
    <row r="737" spans="1:20">
      <c r="A737" s="349">
        <v>97921</v>
      </c>
      <c r="B737" s="342" t="s">
        <v>1431</v>
      </c>
      <c r="C737" s="234">
        <v>2.073E-4</v>
      </c>
      <c r="D737" s="234">
        <v>2.2699999999999999E-4</v>
      </c>
      <c r="E737" s="343">
        <v>566120</v>
      </c>
      <c r="F737" s="231"/>
      <c r="G737" s="343">
        <v>96934</v>
      </c>
      <c r="H737" s="343">
        <v>13809</v>
      </c>
      <c r="I737" s="343">
        <v>92268</v>
      </c>
      <c r="J737" s="343">
        <v>5695</v>
      </c>
      <c r="K737" s="343">
        <v>208706</v>
      </c>
      <c r="L737" s="231"/>
      <c r="M737" s="343">
        <v>0</v>
      </c>
      <c r="N737" s="343">
        <v>0</v>
      </c>
      <c r="O737" s="343">
        <v>14528</v>
      </c>
      <c r="P737" s="343">
        <v>14528</v>
      </c>
      <c r="Q737" s="231"/>
      <c r="R737" s="343">
        <v>252183</v>
      </c>
      <c r="S737" s="343">
        <v>2315</v>
      </c>
      <c r="T737" s="343">
        <v>254498</v>
      </c>
    </row>
    <row r="738" spans="1:20">
      <c r="A738" s="349">
        <v>97931</v>
      </c>
      <c r="B738" s="342" t="s">
        <v>1432</v>
      </c>
      <c r="C738" s="234">
        <v>6.6699999999999995E-5</v>
      </c>
      <c r="D738" s="234">
        <v>6.7600000000000003E-5</v>
      </c>
      <c r="E738" s="343">
        <v>182152</v>
      </c>
      <c r="F738" s="231"/>
      <c r="G738" s="343">
        <v>31189</v>
      </c>
      <c r="H738" s="343">
        <v>4443</v>
      </c>
      <c r="I738" s="343">
        <v>29688</v>
      </c>
      <c r="J738" s="343">
        <v>3693</v>
      </c>
      <c r="K738" s="343">
        <v>69013</v>
      </c>
      <c r="L738" s="231"/>
      <c r="M738" s="343">
        <v>0</v>
      </c>
      <c r="N738" s="343">
        <v>0</v>
      </c>
      <c r="O738" s="343">
        <v>1945</v>
      </c>
      <c r="P738" s="343">
        <v>1945</v>
      </c>
      <c r="Q738" s="231"/>
      <c r="R738" s="343">
        <v>81141</v>
      </c>
      <c r="S738" s="343">
        <v>6142</v>
      </c>
      <c r="T738" s="343">
        <v>87283</v>
      </c>
    </row>
    <row r="739" spans="1:20">
      <c r="A739" s="349">
        <v>97941</v>
      </c>
      <c r="B739" s="342" t="s">
        <v>1433</v>
      </c>
      <c r="C739" s="234">
        <v>2.143E-4</v>
      </c>
      <c r="D739" s="234">
        <v>2.0159999999999999E-4</v>
      </c>
      <c r="E739" s="343">
        <v>585237</v>
      </c>
      <c r="F739" s="231"/>
      <c r="G739" s="343">
        <v>100207</v>
      </c>
      <c r="H739" s="343">
        <v>14275</v>
      </c>
      <c r="I739" s="343">
        <v>95384</v>
      </c>
      <c r="J739" s="343">
        <v>29447</v>
      </c>
      <c r="K739" s="343">
        <v>239313</v>
      </c>
      <c r="L739" s="231"/>
      <c r="M739" s="343">
        <v>0</v>
      </c>
      <c r="N739" s="343">
        <v>0</v>
      </c>
      <c r="O739" s="343">
        <v>4374</v>
      </c>
      <c r="P739" s="343">
        <v>4374</v>
      </c>
      <c r="Q739" s="231"/>
      <c r="R739" s="343">
        <v>260699</v>
      </c>
      <c r="S739" s="343">
        <v>13475</v>
      </c>
      <c r="T739" s="343">
        <v>274174</v>
      </c>
    </row>
    <row r="740" spans="1:20">
      <c r="A740" s="349">
        <v>97947</v>
      </c>
      <c r="B740" s="342" t="s">
        <v>1434</v>
      </c>
      <c r="C740" s="234">
        <v>1.52E-5</v>
      </c>
      <c r="D740" s="234">
        <v>1.47E-5</v>
      </c>
      <c r="E740" s="343">
        <v>41510</v>
      </c>
      <c r="F740" s="231"/>
      <c r="G740" s="343">
        <v>7108</v>
      </c>
      <c r="H740" s="343">
        <v>1013</v>
      </c>
      <c r="I740" s="343">
        <v>6765</v>
      </c>
      <c r="J740" s="343">
        <v>12028</v>
      </c>
      <c r="K740" s="343">
        <v>26914</v>
      </c>
      <c r="L740" s="231"/>
      <c r="M740" s="343">
        <v>0</v>
      </c>
      <c r="N740" s="343">
        <v>0</v>
      </c>
      <c r="O740" s="343">
        <v>0</v>
      </c>
      <c r="P740" s="343">
        <v>0</v>
      </c>
      <c r="Q740" s="231"/>
      <c r="R740" s="343">
        <v>18491</v>
      </c>
      <c r="S740" s="343">
        <v>5853</v>
      </c>
      <c r="T740" s="343">
        <v>24344</v>
      </c>
    </row>
    <row r="741" spans="1:20">
      <c r="A741" s="349">
        <v>97948</v>
      </c>
      <c r="B741" s="342" t="s">
        <v>3693</v>
      </c>
      <c r="C741" s="234">
        <v>2.6100000000000001E-5</v>
      </c>
      <c r="D741" s="234">
        <v>2.1299999999999999E-5</v>
      </c>
      <c r="E741" s="343">
        <v>71277</v>
      </c>
      <c r="F741" s="231"/>
      <c r="G741" s="343">
        <v>12204</v>
      </c>
      <c r="H741" s="343">
        <v>1739</v>
      </c>
      <c r="I741" s="343">
        <v>11617</v>
      </c>
      <c r="J741" s="343">
        <v>4166</v>
      </c>
      <c r="K741" s="343">
        <v>29726</v>
      </c>
      <c r="L741" s="231"/>
      <c r="M741" s="343">
        <v>0</v>
      </c>
      <c r="N741" s="343">
        <v>0</v>
      </c>
      <c r="O741" s="343">
        <v>4144</v>
      </c>
      <c r="P741" s="343">
        <v>4144</v>
      </c>
      <c r="Q741" s="231"/>
      <c r="R741" s="343">
        <v>31751</v>
      </c>
      <c r="S741" s="343">
        <v>-235</v>
      </c>
      <c r="T741" s="343">
        <v>31516</v>
      </c>
    </row>
    <row r="742" spans="1:20">
      <c r="A742" s="349">
        <v>97951</v>
      </c>
      <c r="B742" s="342" t="s">
        <v>1436</v>
      </c>
      <c r="C742" s="234">
        <v>1.1746E-3</v>
      </c>
      <c r="D742" s="234">
        <v>1.1826E-3</v>
      </c>
      <c r="E742" s="343">
        <v>3207741</v>
      </c>
      <c r="F742" s="231"/>
      <c r="G742" s="343">
        <v>549246</v>
      </c>
      <c r="H742" s="343">
        <v>78241</v>
      </c>
      <c r="I742" s="343">
        <v>522809</v>
      </c>
      <c r="J742" s="343">
        <v>44815</v>
      </c>
      <c r="K742" s="343">
        <v>1195111</v>
      </c>
      <c r="L742" s="231"/>
      <c r="M742" s="343">
        <v>0</v>
      </c>
      <c r="N742" s="343">
        <v>0</v>
      </c>
      <c r="O742" s="343">
        <v>75</v>
      </c>
      <c r="P742" s="343">
        <v>75</v>
      </c>
      <c r="Q742" s="231"/>
      <c r="R742" s="343">
        <v>1428916</v>
      </c>
      <c r="S742" s="343">
        <v>19096</v>
      </c>
      <c r="T742" s="343">
        <v>1448012</v>
      </c>
    </row>
    <row r="743" spans="1:20">
      <c r="A743" s="349">
        <v>97957</v>
      </c>
      <c r="B743" s="342" t="s">
        <v>1437</v>
      </c>
      <c r="C743" s="234">
        <v>1.49E-5</v>
      </c>
      <c r="D743" s="234">
        <v>1.7200000000000001E-5</v>
      </c>
      <c r="E743" s="343">
        <v>40691</v>
      </c>
      <c r="F743" s="231"/>
      <c r="G743" s="343">
        <v>6967</v>
      </c>
      <c r="H743" s="343">
        <v>993</v>
      </c>
      <c r="I743" s="343">
        <v>6632</v>
      </c>
      <c r="J743" s="343">
        <v>6596</v>
      </c>
      <c r="K743" s="343">
        <v>21188</v>
      </c>
      <c r="L743" s="231"/>
      <c r="M743" s="343">
        <v>0</v>
      </c>
      <c r="N743" s="343">
        <v>0</v>
      </c>
      <c r="O743" s="343">
        <v>0</v>
      </c>
      <c r="P743" s="343">
        <v>0</v>
      </c>
      <c r="Q743" s="231"/>
      <c r="R743" s="343">
        <v>18126</v>
      </c>
      <c r="S743" s="343">
        <v>2151</v>
      </c>
      <c r="T743" s="343">
        <v>20277</v>
      </c>
    </row>
    <row r="744" spans="1:20">
      <c r="A744" s="349">
        <v>98001</v>
      </c>
      <c r="B744" s="342" t="s">
        <v>1438</v>
      </c>
      <c r="C744" s="234">
        <v>5.3171E-3</v>
      </c>
      <c r="D744" s="234">
        <v>5.3728999999999999E-3</v>
      </c>
      <c r="E744" s="343">
        <v>14520585</v>
      </c>
      <c r="F744" s="231"/>
      <c r="G744" s="343">
        <v>2486292</v>
      </c>
      <c r="H744" s="343">
        <v>354177</v>
      </c>
      <c r="I744" s="343">
        <v>2366615</v>
      </c>
      <c r="J744" s="343">
        <v>189086</v>
      </c>
      <c r="K744" s="343">
        <v>5396170</v>
      </c>
      <c r="L744" s="231"/>
      <c r="M744" s="343">
        <v>0</v>
      </c>
      <c r="N744" s="343">
        <v>0</v>
      </c>
      <c r="O744" s="343">
        <v>54786</v>
      </c>
      <c r="P744" s="343">
        <v>54786</v>
      </c>
      <c r="Q744" s="231"/>
      <c r="R744" s="343">
        <v>6468321</v>
      </c>
      <c r="S744" s="343">
        <v>72716</v>
      </c>
      <c r="T744" s="343">
        <v>6541037</v>
      </c>
    </row>
    <row r="745" spans="1:20">
      <c r="A745" s="349">
        <v>98002</v>
      </c>
      <c r="B745" s="342" t="s">
        <v>1439</v>
      </c>
      <c r="C745" s="234">
        <v>6.1999999999999999E-6</v>
      </c>
      <c r="D745" s="234">
        <v>6.4999999999999996E-6</v>
      </c>
      <c r="E745" s="343">
        <v>16932</v>
      </c>
      <c r="F745" s="231"/>
      <c r="G745" s="343">
        <v>2899</v>
      </c>
      <c r="H745" s="343">
        <v>413</v>
      </c>
      <c r="I745" s="343">
        <v>2760</v>
      </c>
      <c r="J745" s="343">
        <v>2683</v>
      </c>
      <c r="K745" s="343">
        <v>8755</v>
      </c>
      <c r="L745" s="231"/>
      <c r="M745" s="343">
        <v>0</v>
      </c>
      <c r="N745" s="343">
        <v>0</v>
      </c>
      <c r="O745" s="343">
        <v>0</v>
      </c>
      <c r="P745" s="343">
        <v>0</v>
      </c>
      <c r="Q745" s="231"/>
      <c r="R745" s="343">
        <v>7542</v>
      </c>
      <c r="S745" s="343">
        <v>975</v>
      </c>
      <c r="T745" s="343">
        <v>8517</v>
      </c>
    </row>
    <row r="746" spans="1:20">
      <c r="A746" s="349">
        <v>98003</v>
      </c>
      <c r="B746" s="342" t="s">
        <v>3694</v>
      </c>
      <c r="C746" s="234">
        <v>6.9499999999999995E-5</v>
      </c>
      <c r="D746" s="234">
        <v>7.7000000000000001E-5</v>
      </c>
      <c r="E746" s="343">
        <v>189799</v>
      </c>
      <c r="F746" s="231"/>
      <c r="G746" s="343">
        <v>32498</v>
      </c>
      <c r="H746" s="343">
        <v>4629</v>
      </c>
      <c r="I746" s="343">
        <v>30934</v>
      </c>
      <c r="J746" s="343">
        <v>63059</v>
      </c>
      <c r="K746" s="343">
        <v>131120</v>
      </c>
      <c r="L746" s="231"/>
      <c r="M746" s="343">
        <v>0</v>
      </c>
      <c r="N746" s="343">
        <v>0</v>
      </c>
      <c r="O746" s="343">
        <v>0</v>
      </c>
      <c r="P746" s="343">
        <v>0</v>
      </c>
      <c r="Q746" s="231"/>
      <c r="R746" s="343">
        <v>84548</v>
      </c>
      <c r="S746" s="343">
        <v>29712</v>
      </c>
      <c r="T746" s="343">
        <v>114260</v>
      </c>
    </row>
    <row r="747" spans="1:20">
      <c r="A747" s="349">
        <v>98004</v>
      </c>
      <c r="B747" s="342" t="s">
        <v>1441</v>
      </c>
      <c r="C747" s="234">
        <v>1.2530000000000001E-4</v>
      </c>
      <c r="D747" s="234">
        <v>1.189E-4</v>
      </c>
      <c r="E747" s="343">
        <v>342185</v>
      </c>
      <c r="F747" s="231"/>
      <c r="G747" s="343">
        <v>58591</v>
      </c>
      <c r="H747" s="343">
        <v>8346</v>
      </c>
      <c r="I747" s="343">
        <v>55770</v>
      </c>
      <c r="J747" s="343">
        <v>53605</v>
      </c>
      <c r="K747" s="343">
        <v>176312</v>
      </c>
      <c r="L747" s="231"/>
      <c r="M747" s="343">
        <v>0</v>
      </c>
      <c r="N747" s="343">
        <v>0</v>
      </c>
      <c r="O747" s="343">
        <v>0</v>
      </c>
      <c r="P747" s="343">
        <v>0</v>
      </c>
      <c r="Q747" s="231"/>
      <c r="R747" s="343">
        <v>152429</v>
      </c>
      <c r="S747" s="343">
        <v>22227</v>
      </c>
      <c r="T747" s="343">
        <v>174656</v>
      </c>
    </row>
    <row r="748" spans="1:20" ht="30">
      <c r="A748" s="349">
        <v>98008</v>
      </c>
      <c r="B748" s="342" t="s">
        <v>3695</v>
      </c>
      <c r="C748" s="234">
        <v>7.1999999999999997E-6</v>
      </c>
      <c r="D748" s="234">
        <v>7.7000000000000008E-6</v>
      </c>
      <c r="E748" s="343">
        <v>19663</v>
      </c>
      <c r="F748" s="231"/>
      <c r="G748" s="343">
        <v>3367</v>
      </c>
      <c r="H748" s="343">
        <v>480</v>
      </c>
      <c r="I748" s="343">
        <v>3205</v>
      </c>
      <c r="J748" s="343">
        <v>14</v>
      </c>
      <c r="K748" s="343">
        <v>7066</v>
      </c>
      <c r="L748" s="231"/>
      <c r="M748" s="343">
        <v>0</v>
      </c>
      <c r="N748" s="343">
        <v>0</v>
      </c>
      <c r="O748" s="343">
        <v>598</v>
      </c>
      <c r="P748" s="343">
        <v>598</v>
      </c>
      <c r="Q748" s="231"/>
      <c r="R748" s="343">
        <v>8759</v>
      </c>
      <c r="S748" s="343">
        <v>-352</v>
      </c>
      <c r="T748" s="343">
        <v>8407</v>
      </c>
    </row>
    <row r="749" spans="1:20">
      <c r="A749" s="349">
        <v>98011</v>
      </c>
      <c r="B749" s="342" t="s">
        <v>1443</v>
      </c>
      <c r="C749" s="234">
        <v>3.4512000000000002E-3</v>
      </c>
      <c r="D749" s="234">
        <v>3.2946999999999998E-3</v>
      </c>
      <c r="E749" s="343">
        <v>9424958</v>
      </c>
      <c r="F749" s="231"/>
      <c r="G749" s="343">
        <v>1613791</v>
      </c>
      <c r="H749" s="343">
        <v>229888</v>
      </c>
      <c r="I749" s="343">
        <v>1536112</v>
      </c>
      <c r="J749" s="343">
        <v>95530</v>
      </c>
      <c r="K749" s="343">
        <v>3475321</v>
      </c>
      <c r="L749" s="231"/>
      <c r="M749" s="343">
        <v>0</v>
      </c>
      <c r="N749" s="343">
        <v>0</v>
      </c>
      <c r="O749" s="343">
        <v>74927</v>
      </c>
      <c r="P749" s="343">
        <v>74927</v>
      </c>
      <c r="Q749" s="231"/>
      <c r="R749" s="343">
        <v>4198430</v>
      </c>
      <c r="S749" s="343">
        <v>-64768</v>
      </c>
      <c r="T749" s="343">
        <v>4133662</v>
      </c>
    </row>
    <row r="750" spans="1:20">
      <c r="A750" s="349">
        <v>98013</v>
      </c>
      <c r="B750" s="342" t="s">
        <v>3696</v>
      </c>
      <c r="C750" s="234">
        <v>1.3990000000000001E-4</v>
      </c>
      <c r="D750" s="234">
        <v>1.3439999999999999E-4</v>
      </c>
      <c r="E750" s="343">
        <v>382056</v>
      </c>
      <c r="F750" s="231"/>
      <c r="G750" s="343">
        <v>65418</v>
      </c>
      <c r="H750" s="343">
        <v>9319</v>
      </c>
      <c r="I750" s="343">
        <v>62269</v>
      </c>
      <c r="J750" s="343">
        <v>145686</v>
      </c>
      <c r="K750" s="343">
        <v>282692</v>
      </c>
      <c r="L750" s="231"/>
      <c r="M750" s="343">
        <v>0</v>
      </c>
      <c r="N750" s="343">
        <v>0</v>
      </c>
      <c r="O750" s="343">
        <v>0</v>
      </c>
      <c r="P750" s="343">
        <v>0</v>
      </c>
      <c r="Q750" s="231"/>
      <c r="R750" s="343">
        <v>170190</v>
      </c>
      <c r="S750" s="343">
        <v>70745</v>
      </c>
      <c r="T750" s="343">
        <v>240935</v>
      </c>
    </row>
    <row r="751" spans="1:20">
      <c r="A751" s="349">
        <v>98021</v>
      </c>
      <c r="B751" s="342" t="s">
        <v>1445</v>
      </c>
      <c r="C751" s="234">
        <v>4.2400000000000001E-5</v>
      </c>
      <c r="D751" s="234">
        <v>3.6100000000000003E-5</v>
      </c>
      <c r="E751" s="343">
        <v>115791</v>
      </c>
      <c r="F751" s="231"/>
      <c r="G751" s="343">
        <v>19826</v>
      </c>
      <c r="H751" s="343">
        <v>2824</v>
      </c>
      <c r="I751" s="343">
        <v>18872</v>
      </c>
      <c r="J751" s="343">
        <v>10139</v>
      </c>
      <c r="K751" s="343">
        <v>51661</v>
      </c>
      <c r="L751" s="231"/>
      <c r="M751" s="343">
        <v>0</v>
      </c>
      <c r="N751" s="343">
        <v>0</v>
      </c>
      <c r="O751" s="343">
        <v>22161</v>
      </c>
      <c r="P751" s="343">
        <v>22161</v>
      </c>
      <c r="Q751" s="231"/>
      <c r="R751" s="343">
        <v>51580</v>
      </c>
      <c r="S751" s="343">
        <v>813</v>
      </c>
      <c r="T751" s="343">
        <v>52393</v>
      </c>
    </row>
    <row r="752" spans="1:20">
      <c r="A752" s="349">
        <v>98023</v>
      </c>
      <c r="B752" s="342" t="s">
        <v>1446</v>
      </c>
      <c r="C752" s="234">
        <v>8.8000000000000004E-6</v>
      </c>
      <c r="D752" s="234">
        <v>1.88E-5</v>
      </c>
      <c r="E752" s="343">
        <v>24032</v>
      </c>
      <c r="F752" s="231"/>
      <c r="G752" s="343">
        <v>4115</v>
      </c>
      <c r="H752" s="343">
        <v>586</v>
      </c>
      <c r="I752" s="343">
        <v>3917</v>
      </c>
      <c r="J752" s="343">
        <v>1269</v>
      </c>
      <c r="K752" s="343">
        <v>9887</v>
      </c>
      <c r="L752" s="231"/>
      <c r="M752" s="343">
        <v>0</v>
      </c>
      <c r="N752" s="343">
        <v>0</v>
      </c>
      <c r="O752" s="343">
        <v>9380</v>
      </c>
      <c r="P752" s="343">
        <v>9380</v>
      </c>
      <c r="Q752" s="231"/>
      <c r="R752" s="343">
        <v>10705</v>
      </c>
      <c r="S752" s="343">
        <v>-3499</v>
      </c>
      <c r="T752" s="343">
        <v>7206</v>
      </c>
    </row>
    <row r="753" spans="1:20">
      <c r="A753" s="349">
        <v>98031</v>
      </c>
      <c r="B753" s="342" t="s">
        <v>1447</v>
      </c>
      <c r="C753" s="234">
        <v>1.5410000000000001E-4</v>
      </c>
      <c r="D753" s="234">
        <v>1.717E-4</v>
      </c>
      <c r="E753" s="343">
        <v>420835</v>
      </c>
      <c r="F753" s="231"/>
      <c r="G753" s="343">
        <v>72058</v>
      </c>
      <c r="H753" s="343">
        <v>10264</v>
      </c>
      <c r="I753" s="343">
        <v>68589</v>
      </c>
      <c r="J753" s="343">
        <v>3878</v>
      </c>
      <c r="K753" s="343">
        <v>154789</v>
      </c>
      <c r="L753" s="231"/>
      <c r="M753" s="343">
        <v>0</v>
      </c>
      <c r="N753" s="343">
        <v>0</v>
      </c>
      <c r="O753" s="343">
        <v>22905</v>
      </c>
      <c r="P753" s="343">
        <v>22905</v>
      </c>
      <c r="Q753" s="231"/>
      <c r="R753" s="343">
        <v>187465</v>
      </c>
      <c r="S753" s="343">
        <v>-3910</v>
      </c>
      <c r="T753" s="343">
        <v>183555</v>
      </c>
    </row>
    <row r="754" spans="1:20">
      <c r="A754" s="349">
        <v>98041</v>
      </c>
      <c r="B754" s="342" t="s">
        <v>1448</v>
      </c>
      <c r="C754" s="234">
        <v>2.3560000000000001E-4</v>
      </c>
      <c r="D754" s="234">
        <v>2.242E-4</v>
      </c>
      <c r="E754" s="343">
        <v>643405</v>
      </c>
      <c r="F754" s="231"/>
      <c r="G754" s="343">
        <v>110167</v>
      </c>
      <c r="H754" s="343">
        <v>15693</v>
      </c>
      <c r="I754" s="343">
        <v>104864</v>
      </c>
      <c r="J754" s="343">
        <v>16120</v>
      </c>
      <c r="K754" s="343">
        <v>246844</v>
      </c>
      <c r="L754" s="231"/>
      <c r="M754" s="343">
        <v>0</v>
      </c>
      <c r="N754" s="343">
        <v>0</v>
      </c>
      <c r="O754" s="343">
        <v>2518</v>
      </c>
      <c r="P754" s="343">
        <v>2518</v>
      </c>
      <c r="Q754" s="231"/>
      <c r="R754" s="343">
        <v>286610</v>
      </c>
      <c r="S754" s="343">
        <v>5185</v>
      </c>
      <c r="T754" s="343">
        <v>291795</v>
      </c>
    </row>
    <row r="755" spans="1:20">
      <c r="A755" s="349">
        <v>98051</v>
      </c>
      <c r="B755" s="342" t="s">
        <v>1449</v>
      </c>
      <c r="C755" s="234">
        <v>2.9750000000000002E-4</v>
      </c>
      <c r="D755" s="234">
        <v>2.699E-4</v>
      </c>
      <c r="E755" s="343">
        <v>812449</v>
      </c>
      <c r="F755" s="231"/>
      <c r="G755" s="343">
        <v>139112</v>
      </c>
      <c r="H755" s="343">
        <v>19817</v>
      </c>
      <c r="I755" s="343">
        <v>132416</v>
      </c>
      <c r="J755" s="343">
        <v>21352</v>
      </c>
      <c r="K755" s="343">
        <v>312697</v>
      </c>
      <c r="L755" s="231"/>
      <c r="M755" s="343">
        <v>0</v>
      </c>
      <c r="N755" s="343">
        <v>0</v>
      </c>
      <c r="O755" s="343">
        <v>3702</v>
      </c>
      <c r="P755" s="343">
        <v>3702</v>
      </c>
      <c r="Q755" s="231"/>
      <c r="R755" s="343">
        <v>361913</v>
      </c>
      <c r="S755" s="343">
        <v>11173</v>
      </c>
      <c r="T755" s="343">
        <v>373086</v>
      </c>
    </row>
    <row r="756" spans="1:20">
      <c r="A756" s="349">
        <v>98061</v>
      </c>
      <c r="B756" s="342" t="s">
        <v>1450</v>
      </c>
      <c r="C756" s="234">
        <v>1.208E-4</v>
      </c>
      <c r="D756" s="234">
        <v>1.3420000000000001E-4</v>
      </c>
      <c r="E756" s="343">
        <v>329895</v>
      </c>
      <c r="F756" s="231"/>
      <c r="G756" s="343">
        <v>56486</v>
      </c>
      <c r="H756" s="343">
        <v>8047</v>
      </c>
      <c r="I756" s="343">
        <v>53767</v>
      </c>
      <c r="J756" s="343">
        <v>10437</v>
      </c>
      <c r="K756" s="343">
        <v>128737</v>
      </c>
      <c r="L756" s="231"/>
      <c r="M756" s="343">
        <v>0</v>
      </c>
      <c r="N756" s="343">
        <v>0</v>
      </c>
      <c r="O756" s="343">
        <v>19984</v>
      </c>
      <c r="P756" s="343">
        <v>19984</v>
      </c>
      <c r="Q756" s="231"/>
      <c r="R756" s="343">
        <v>146955</v>
      </c>
      <c r="S756" s="343">
        <v>-6536</v>
      </c>
      <c r="T756" s="343">
        <v>140419</v>
      </c>
    </row>
    <row r="757" spans="1:20">
      <c r="A757" s="349">
        <v>98071</v>
      </c>
      <c r="B757" s="342" t="s">
        <v>1451</v>
      </c>
      <c r="C757" s="234">
        <v>4.74E-5</v>
      </c>
      <c r="D757" s="234">
        <v>3.5800000000000003E-5</v>
      </c>
      <c r="E757" s="343">
        <v>129446</v>
      </c>
      <c r="F757" s="231"/>
      <c r="G757" s="343">
        <v>22164</v>
      </c>
      <c r="H757" s="343">
        <v>3157</v>
      </c>
      <c r="I757" s="343">
        <v>21098</v>
      </c>
      <c r="J757" s="343">
        <v>31632</v>
      </c>
      <c r="K757" s="343">
        <v>78051</v>
      </c>
      <c r="L757" s="231"/>
      <c r="M757" s="343">
        <v>0</v>
      </c>
      <c r="N757" s="343">
        <v>0</v>
      </c>
      <c r="O757" s="343">
        <v>0</v>
      </c>
      <c r="P757" s="343">
        <v>0</v>
      </c>
      <c r="Q757" s="231"/>
      <c r="R757" s="343">
        <v>57663</v>
      </c>
      <c r="S757" s="343">
        <v>11153</v>
      </c>
      <c r="T757" s="343">
        <v>68816</v>
      </c>
    </row>
    <row r="758" spans="1:20">
      <c r="A758" s="349">
        <v>98081</v>
      </c>
      <c r="B758" s="342" t="s">
        <v>1452</v>
      </c>
      <c r="C758" s="234">
        <v>1.5800000000000001E-5</v>
      </c>
      <c r="D758" s="234">
        <v>1.7200000000000001E-5</v>
      </c>
      <c r="E758" s="343">
        <v>43149</v>
      </c>
      <c r="F758" s="231"/>
      <c r="G758" s="343">
        <v>7388</v>
      </c>
      <c r="H758" s="343">
        <v>1052</v>
      </c>
      <c r="I758" s="343">
        <v>7033</v>
      </c>
      <c r="J758" s="343">
        <v>0</v>
      </c>
      <c r="K758" s="343">
        <v>15473</v>
      </c>
      <c r="L758" s="231"/>
      <c r="M758" s="343">
        <v>0</v>
      </c>
      <c r="N758" s="343">
        <v>0</v>
      </c>
      <c r="O758" s="343">
        <v>3066</v>
      </c>
      <c r="P758" s="343">
        <v>3066</v>
      </c>
      <c r="Q758" s="231"/>
      <c r="R758" s="343">
        <v>19221</v>
      </c>
      <c r="S758" s="343">
        <v>-1766</v>
      </c>
      <c r="T758" s="343">
        <v>17455</v>
      </c>
    </row>
    <row r="759" spans="1:20">
      <c r="A759" s="349">
        <v>98091</v>
      </c>
      <c r="B759" s="342" t="s">
        <v>1453</v>
      </c>
      <c r="C759" s="234">
        <v>6.7000000000000002E-5</v>
      </c>
      <c r="D759" s="234">
        <v>5.1600000000000001E-5</v>
      </c>
      <c r="E759" s="343">
        <v>182972</v>
      </c>
      <c r="F759" s="231"/>
      <c r="G759" s="343">
        <v>31329</v>
      </c>
      <c r="H759" s="343">
        <v>4463</v>
      </c>
      <c r="I759" s="343">
        <v>29821</v>
      </c>
      <c r="J759" s="343">
        <v>11344</v>
      </c>
      <c r="K759" s="343">
        <v>76957</v>
      </c>
      <c r="L759" s="231"/>
      <c r="M759" s="343">
        <v>0</v>
      </c>
      <c r="N759" s="343">
        <v>0</v>
      </c>
      <c r="O759" s="343">
        <v>0</v>
      </c>
      <c r="P759" s="343">
        <v>0</v>
      </c>
      <c r="Q759" s="231"/>
      <c r="R759" s="343">
        <v>81506</v>
      </c>
      <c r="S759" s="343">
        <v>3537</v>
      </c>
      <c r="T759" s="343">
        <v>85043</v>
      </c>
    </row>
    <row r="760" spans="1:20">
      <c r="A760" s="349">
        <v>98101</v>
      </c>
      <c r="B760" s="342" t="s">
        <v>1454</v>
      </c>
      <c r="C760" s="234">
        <v>2.6901E-3</v>
      </c>
      <c r="D760" s="234">
        <v>2.6497999999999999E-3</v>
      </c>
      <c r="E760" s="343">
        <v>7346453</v>
      </c>
      <c r="F760" s="231"/>
      <c r="G760" s="343">
        <v>1257899</v>
      </c>
      <c r="H760" s="343">
        <v>179191</v>
      </c>
      <c r="I760" s="343">
        <v>1197350</v>
      </c>
      <c r="J760" s="343">
        <v>107259</v>
      </c>
      <c r="K760" s="343">
        <v>2741699</v>
      </c>
      <c r="L760" s="231"/>
      <c r="M760" s="343">
        <v>0</v>
      </c>
      <c r="N760" s="343">
        <v>0</v>
      </c>
      <c r="O760" s="343">
        <v>150510</v>
      </c>
      <c r="P760" s="343">
        <v>150510</v>
      </c>
      <c r="Q760" s="231"/>
      <c r="R760" s="343">
        <v>3272542</v>
      </c>
      <c r="S760" s="343">
        <v>-15754</v>
      </c>
      <c r="T760" s="343">
        <v>3256788</v>
      </c>
    </row>
    <row r="761" spans="1:20">
      <c r="A761" s="349">
        <v>98102</v>
      </c>
      <c r="B761" s="342" t="s">
        <v>1455</v>
      </c>
      <c r="C761" s="234">
        <v>1.573E-4</v>
      </c>
      <c r="D761" s="234">
        <v>1.496E-4</v>
      </c>
      <c r="E761" s="343">
        <v>429574</v>
      </c>
      <c r="F761" s="231"/>
      <c r="G761" s="343">
        <v>73554</v>
      </c>
      <c r="H761" s="343">
        <v>10478</v>
      </c>
      <c r="I761" s="343">
        <v>70013</v>
      </c>
      <c r="J761" s="343">
        <v>8797</v>
      </c>
      <c r="K761" s="343">
        <v>162842</v>
      </c>
      <c r="L761" s="231"/>
      <c r="M761" s="343">
        <v>0</v>
      </c>
      <c r="N761" s="343">
        <v>0</v>
      </c>
      <c r="O761" s="343">
        <v>7652</v>
      </c>
      <c r="P761" s="343">
        <v>7652</v>
      </c>
      <c r="Q761" s="231"/>
      <c r="R761" s="343">
        <v>191357</v>
      </c>
      <c r="S761" s="343">
        <v>-3295</v>
      </c>
      <c r="T761" s="343">
        <v>188062</v>
      </c>
    </row>
    <row r="762" spans="1:20" ht="30">
      <c r="A762" s="349">
        <v>98103</v>
      </c>
      <c r="B762" s="342" t="s">
        <v>2786</v>
      </c>
      <c r="C762" s="234">
        <v>5.04E-4</v>
      </c>
      <c r="D762" s="234">
        <v>4.8450000000000001E-4</v>
      </c>
      <c r="E762" s="343">
        <v>1376385</v>
      </c>
      <c r="F762" s="231"/>
      <c r="G762" s="343">
        <v>235672</v>
      </c>
      <c r="H762" s="343">
        <v>33572</v>
      </c>
      <c r="I762" s="343">
        <v>224328</v>
      </c>
      <c r="J762" s="343">
        <v>30930</v>
      </c>
      <c r="K762" s="343">
        <v>524502</v>
      </c>
      <c r="L762" s="231"/>
      <c r="M762" s="343">
        <v>0</v>
      </c>
      <c r="N762" s="343">
        <v>0</v>
      </c>
      <c r="O762" s="343">
        <v>26014</v>
      </c>
      <c r="P762" s="343">
        <v>26014</v>
      </c>
      <c r="Q762" s="231"/>
      <c r="R762" s="343">
        <v>613123</v>
      </c>
      <c r="S762" s="343">
        <v>-4713</v>
      </c>
      <c r="T762" s="343">
        <v>608410</v>
      </c>
    </row>
    <row r="763" spans="1:20">
      <c r="A763" s="349">
        <v>98107</v>
      </c>
      <c r="B763" s="342" t="s">
        <v>1457</v>
      </c>
      <c r="C763" s="234">
        <v>9.3999999999999998E-6</v>
      </c>
      <c r="D763" s="234">
        <v>1.01E-5</v>
      </c>
      <c r="E763" s="343">
        <v>25671</v>
      </c>
      <c r="F763" s="231"/>
      <c r="G763" s="343">
        <v>4395</v>
      </c>
      <c r="H763" s="343">
        <v>627</v>
      </c>
      <c r="I763" s="343">
        <v>4184</v>
      </c>
      <c r="J763" s="343">
        <v>8882</v>
      </c>
      <c r="K763" s="343">
        <v>18088</v>
      </c>
      <c r="L763" s="231"/>
      <c r="M763" s="343">
        <v>0</v>
      </c>
      <c r="N763" s="343">
        <v>0</v>
      </c>
      <c r="O763" s="343">
        <v>0</v>
      </c>
      <c r="P763" s="343">
        <v>0</v>
      </c>
      <c r="Q763" s="231"/>
      <c r="R763" s="343">
        <v>11435</v>
      </c>
      <c r="S763" s="343">
        <v>4225</v>
      </c>
      <c r="T763" s="343">
        <v>15660</v>
      </c>
    </row>
    <row r="764" spans="1:20">
      <c r="A764" s="349">
        <v>98109</v>
      </c>
      <c r="B764" s="342" t="s">
        <v>3697</v>
      </c>
      <c r="C764" s="234">
        <v>1.595E-4</v>
      </c>
      <c r="D764" s="234">
        <v>1.4310000000000001E-4</v>
      </c>
      <c r="E764" s="343">
        <v>435582</v>
      </c>
      <c r="F764" s="231"/>
      <c r="G764" s="343">
        <v>74583</v>
      </c>
      <c r="H764" s="343">
        <v>10624</v>
      </c>
      <c r="I764" s="343">
        <v>70993</v>
      </c>
      <c r="J764" s="343">
        <v>29051</v>
      </c>
      <c r="K764" s="343">
        <v>185251</v>
      </c>
      <c r="L764" s="231"/>
      <c r="M764" s="343">
        <v>0</v>
      </c>
      <c r="N764" s="343">
        <v>0</v>
      </c>
      <c r="O764" s="343">
        <v>6185</v>
      </c>
      <c r="P764" s="343">
        <v>6185</v>
      </c>
      <c r="Q764" s="231"/>
      <c r="R764" s="343">
        <v>194034</v>
      </c>
      <c r="S764" s="343">
        <v>2254</v>
      </c>
      <c r="T764" s="343">
        <v>196288</v>
      </c>
    </row>
    <row r="765" spans="1:20">
      <c r="A765" s="349">
        <v>98111</v>
      </c>
      <c r="B765" s="342" t="s">
        <v>1459</v>
      </c>
      <c r="C765" s="234">
        <v>1.0231999999999999E-3</v>
      </c>
      <c r="D765" s="234">
        <v>1.0207E-3</v>
      </c>
      <c r="E765" s="343">
        <v>2794279</v>
      </c>
      <c r="F765" s="231"/>
      <c r="G765" s="343">
        <v>478451</v>
      </c>
      <c r="H765" s="343">
        <v>68157</v>
      </c>
      <c r="I765" s="343">
        <v>455421</v>
      </c>
      <c r="J765" s="343">
        <v>0</v>
      </c>
      <c r="K765" s="343">
        <v>1002029</v>
      </c>
      <c r="L765" s="231"/>
      <c r="M765" s="343">
        <v>0</v>
      </c>
      <c r="N765" s="343">
        <v>0</v>
      </c>
      <c r="O765" s="343">
        <v>80540</v>
      </c>
      <c r="P765" s="343">
        <v>80540</v>
      </c>
      <c r="Q765" s="231"/>
      <c r="R765" s="343">
        <v>1244736</v>
      </c>
      <c r="S765" s="343">
        <v>-36220</v>
      </c>
      <c r="T765" s="343">
        <v>1208516</v>
      </c>
    </row>
    <row r="766" spans="1:20">
      <c r="A766" s="349">
        <v>98113</v>
      </c>
      <c r="B766" s="342" t="s">
        <v>1460</v>
      </c>
      <c r="C766" s="234">
        <v>3.3899999999999997E-5</v>
      </c>
      <c r="D766" s="234">
        <v>3.8999999999999999E-5</v>
      </c>
      <c r="E766" s="343">
        <v>92578</v>
      </c>
      <c r="F766" s="231"/>
      <c r="G766" s="343">
        <v>15852</v>
      </c>
      <c r="H766" s="343">
        <v>2258</v>
      </c>
      <c r="I766" s="343">
        <v>15089</v>
      </c>
      <c r="J766" s="343">
        <v>6120</v>
      </c>
      <c r="K766" s="343">
        <v>39319</v>
      </c>
      <c r="L766" s="231"/>
      <c r="M766" s="343">
        <v>0</v>
      </c>
      <c r="N766" s="343">
        <v>0</v>
      </c>
      <c r="O766" s="343">
        <v>312</v>
      </c>
      <c r="P766" s="343">
        <v>312</v>
      </c>
      <c r="Q766" s="231"/>
      <c r="R766" s="343">
        <v>41240</v>
      </c>
      <c r="S766" s="343">
        <v>3840</v>
      </c>
      <c r="T766" s="343">
        <v>45080</v>
      </c>
    </row>
    <row r="767" spans="1:20">
      <c r="A767" s="349">
        <v>98121</v>
      </c>
      <c r="B767" s="342" t="s">
        <v>1461</v>
      </c>
      <c r="C767" s="234">
        <v>2.1259999999999999E-4</v>
      </c>
      <c r="D767" s="234">
        <v>2.241E-4</v>
      </c>
      <c r="E767" s="343">
        <v>580594</v>
      </c>
      <c r="F767" s="231"/>
      <c r="G767" s="343">
        <v>99412</v>
      </c>
      <c r="H767" s="343">
        <v>14162</v>
      </c>
      <c r="I767" s="343">
        <v>94627</v>
      </c>
      <c r="J767" s="343">
        <v>4071</v>
      </c>
      <c r="K767" s="343">
        <v>212272</v>
      </c>
      <c r="L767" s="231"/>
      <c r="M767" s="343">
        <v>0</v>
      </c>
      <c r="N767" s="343">
        <v>0</v>
      </c>
      <c r="O767" s="343">
        <v>24143</v>
      </c>
      <c r="P767" s="343">
        <v>24143</v>
      </c>
      <c r="Q767" s="231"/>
      <c r="R767" s="343">
        <v>258631</v>
      </c>
      <c r="S767" s="343">
        <v>-9032</v>
      </c>
      <c r="T767" s="343">
        <v>249599</v>
      </c>
    </row>
    <row r="768" spans="1:20">
      <c r="A768" s="349">
        <v>98131</v>
      </c>
      <c r="B768" s="342" t="s">
        <v>1462</v>
      </c>
      <c r="C768" s="234">
        <v>2.519E-4</v>
      </c>
      <c r="D768" s="234">
        <v>2.297E-4</v>
      </c>
      <c r="E768" s="343">
        <v>687919</v>
      </c>
      <c r="F768" s="231"/>
      <c r="G768" s="343">
        <v>117789</v>
      </c>
      <c r="H768" s="343">
        <v>16779</v>
      </c>
      <c r="I768" s="343">
        <v>112119</v>
      </c>
      <c r="J768" s="343">
        <v>23774</v>
      </c>
      <c r="K768" s="343">
        <v>270461</v>
      </c>
      <c r="L768" s="231"/>
      <c r="M768" s="343">
        <v>0</v>
      </c>
      <c r="N768" s="343">
        <v>0</v>
      </c>
      <c r="O768" s="343">
        <v>24067</v>
      </c>
      <c r="P768" s="343">
        <v>24067</v>
      </c>
      <c r="Q768" s="231"/>
      <c r="R768" s="343">
        <v>306440</v>
      </c>
      <c r="S768" s="343">
        <v>-10999</v>
      </c>
      <c r="T768" s="343">
        <v>295441</v>
      </c>
    </row>
    <row r="769" spans="1:20">
      <c r="A769" s="349">
        <v>98141</v>
      </c>
      <c r="B769" s="342" t="s">
        <v>1463</v>
      </c>
      <c r="C769" s="234">
        <v>2.8699999999999998E-4</v>
      </c>
      <c r="D769" s="234">
        <v>3.0160000000000001E-4</v>
      </c>
      <c r="E769" s="343">
        <v>783775</v>
      </c>
      <c r="F769" s="231"/>
      <c r="G769" s="343">
        <v>134202</v>
      </c>
      <c r="H769" s="343">
        <v>19118</v>
      </c>
      <c r="I769" s="343">
        <v>127742</v>
      </c>
      <c r="J769" s="343">
        <v>2132</v>
      </c>
      <c r="K769" s="343">
        <v>283194</v>
      </c>
      <c r="L769" s="231"/>
      <c r="M769" s="343">
        <v>0</v>
      </c>
      <c r="N769" s="343">
        <v>0</v>
      </c>
      <c r="O769" s="343">
        <v>28248</v>
      </c>
      <c r="P769" s="343">
        <v>28248</v>
      </c>
      <c r="Q769" s="231"/>
      <c r="R769" s="343">
        <v>349139</v>
      </c>
      <c r="S769" s="343">
        <v>-10163</v>
      </c>
      <c r="T769" s="343">
        <v>338976</v>
      </c>
    </row>
    <row r="770" spans="1:20">
      <c r="A770" s="349">
        <v>98147</v>
      </c>
      <c r="B770" s="342" t="s">
        <v>1464</v>
      </c>
      <c r="C770" s="234">
        <v>1.0699999999999999E-5</v>
      </c>
      <c r="D770" s="234">
        <v>1.15E-5</v>
      </c>
      <c r="E770" s="343">
        <v>29221</v>
      </c>
      <c r="F770" s="231"/>
      <c r="G770" s="343">
        <v>5003</v>
      </c>
      <c r="H770" s="343">
        <v>713</v>
      </c>
      <c r="I770" s="343">
        <v>4763</v>
      </c>
      <c r="J770" s="343">
        <v>8490</v>
      </c>
      <c r="K770" s="343">
        <v>18969</v>
      </c>
      <c r="L770" s="231"/>
      <c r="M770" s="343">
        <v>0</v>
      </c>
      <c r="N770" s="343">
        <v>0</v>
      </c>
      <c r="O770" s="343">
        <v>0</v>
      </c>
      <c r="P770" s="343">
        <v>0</v>
      </c>
      <c r="Q770" s="231"/>
      <c r="R770" s="343">
        <v>13017</v>
      </c>
      <c r="S770" s="343">
        <v>4099</v>
      </c>
      <c r="T770" s="343">
        <v>17116</v>
      </c>
    </row>
    <row r="771" spans="1:20">
      <c r="A771" s="349">
        <v>98161</v>
      </c>
      <c r="B771" s="342" t="s">
        <v>1465</v>
      </c>
      <c r="C771" s="234">
        <v>6.1999999999999999E-6</v>
      </c>
      <c r="D771" s="234">
        <v>6.7000000000000002E-6</v>
      </c>
      <c r="E771" s="343">
        <v>16932</v>
      </c>
      <c r="F771" s="231"/>
      <c r="G771" s="343">
        <v>2899</v>
      </c>
      <c r="H771" s="343">
        <v>413</v>
      </c>
      <c r="I771" s="343">
        <v>2760</v>
      </c>
      <c r="J771" s="343">
        <v>3318</v>
      </c>
      <c r="K771" s="343">
        <v>9390</v>
      </c>
      <c r="L771" s="231"/>
      <c r="M771" s="343">
        <v>0</v>
      </c>
      <c r="N771" s="343">
        <v>0</v>
      </c>
      <c r="O771" s="343">
        <v>0</v>
      </c>
      <c r="P771" s="343">
        <v>0</v>
      </c>
      <c r="Q771" s="231"/>
      <c r="R771" s="343">
        <v>7542</v>
      </c>
      <c r="S771" s="343">
        <v>1443</v>
      </c>
      <c r="T771" s="343">
        <v>8985</v>
      </c>
    </row>
    <row r="772" spans="1:20">
      <c r="A772" s="349">
        <v>98201</v>
      </c>
      <c r="B772" s="342" t="s">
        <v>1466</v>
      </c>
      <c r="C772" s="234">
        <v>3.3482999999999998E-3</v>
      </c>
      <c r="D772" s="234">
        <v>3.1725E-3</v>
      </c>
      <c r="E772" s="343">
        <v>9143946</v>
      </c>
      <c r="F772" s="231"/>
      <c r="G772" s="343">
        <v>1565675</v>
      </c>
      <c r="H772" s="343">
        <v>223034</v>
      </c>
      <c r="I772" s="343">
        <v>1490312</v>
      </c>
      <c r="J772" s="343">
        <v>130024</v>
      </c>
      <c r="K772" s="343">
        <v>3409045</v>
      </c>
      <c r="L772" s="231"/>
      <c r="M772" s="343">
        <v>0</v>
      </c>
      <c r="N772" s="343">
        <v>0</v>
      </c>
      <c r="O772" s="343">
        <v>28023</v>
      </c>
      <c r="P772" s="343">
        <v>28023</v>
      </c>
      <c r="Q772" s="231"/>
      <c r="R772" s="343">
        <v>4073250</v>
      </c>
      <c r="S772" s="343">
        <v>18041</v>
      </c>
      <c r="T772" s="343">
        <v>4091291</v>
      </c>
    </row>
    <row r="773" spans="1:20">
      <c r="A773" s="349">
        <v>98205</v>
      </c>
      <c r="B773" s="342" t="s">
        <v>2802</v>
      </c>
      <c r="C773" s="234">
        <v>4.0899999999999998E-5</v>
      </c>
      <c r="D773" s="234">
        <v>3.6100000000000003E-5</v>
      </c>
      <c r="E773" s="343">
        <v>111695</v>
      </c>
      <c r="F773" s="231"/>
      <c r="G773" s="343">
        <v>19125</v>
      </c>
      <c r="H773" s="343">
        <v>2725</v>
      </c>
      <c r="I773" s="343">
        <v>18204</v>
      </c>
      <c r="J773" s="343">
        <v>4162</v>
      </c>
      <c r="K773" s="343">
        <v>44216</v>
      </c>
      <c r="L773" s="231"/>
      <c r="M773" s="343">
        <v>0</v>
      </c>
      <c r="N773" s="343">
        <v>0</v>
      </c>
      <c r="O773" s="343">
        <v>4045</v>
      </c>
      <c r="P773" s="343">
        <v>4045</v>
      </c>
      <c r="Q773" s="231"/>
      <c r="R773" s="343">
        <v>49755</v>
      </c>
      <c r="S773" s="343">
        <v>-432</v>
      </c>
      <c r="T773" s="343">
        <v>49323</v>
      </c>
    </row>
    <row r="774" spans="1:20">
      <c r="A774" s="349">
        <v>98211</v>
      </c>
      <c r="B774" s="342" t="s">
        <v>1468</v>
      </c>
      <c r="C774" s="234">
        <v>9.0399999999999996E-4</v>
      </c>
      <c r="D774" s="234">
        <v>8.5470000000000001E-4</v>
      </c>
      <c r="E774" s="343">
        <v>2468753</v>
      </c>
      <c r="F774" s="231"/>
      <c r="G774" s="343">
        <v>422713</v>
      </c>
      <c r="H774" s="343">
        <v>60217</v>
      </c>
      <c r="I774" s="343">
        <v>402366</v>
      </c>
      <c r="J774" s="343">
        <v>25220</v>
      </c>
      <c r="K774" s="343">
        <v>910516</v>
      </c>
      <c r="L774" s="231"/>
      <c r="M774" s="343">
        <v>0</v>
      </c>
      <c r="N774" s="343">
        <v>0</v>
      </c>
      <c r="O774" s="343">
        <v>63246</v>
      </c>
      <c r="P774" s="343">
        <v>63246</v>
      </c>
      <c r="Q774" s="231"/>
      <c r="R774" s="343">
        <v>1099728</v>
      </c>
      <c r="S774" s="343">
        <v>-42769</v>
      </c>
      <c r="T774" s="343">
        <v>1056959</v>
      </c>
    </row>
    <row r="775" spans="1:20">
      <c r="A775" s="349">
        <v>98218</v>
      </c>
      <c r="B775" s="342" t="s">
        <v>1469</v>
      </c>
      <c r="C775" s="234">
        <v>1.8099999999999999E-5</v>
      </c>
      <c r="D775" s="234">
        <v>1.5500000000000001E-5</v>
      </c>
      <c r="E775" s="343">
        <v>49430</v>
      </c>
      <c r="F775" s="231"/>
      <c r="G775" s="343">
        <v>8464</v>
      </c>
      <c r="H775" s="343">
        <v>1206</v>
      </c>
      <c r="I775" s="343">
        <v>8056</v>
      </c>
      <c r="J775" s="343">
        <v>4872</v>
      </c>
      <c r="K775" s="343">
        <v>22598</v>
      </c>
      <c r="L775" s="231"/>
      <c r="M775" s="343">
        <v>0</v>
      </c>
      <c r="N775" s="343">
        <v>0</v>
      </c>
      <c r="O775" s="343">
        <v>36</v>
      </c>
      <c r="P775" s="343">
        <v>36</v>
      </c>
      <c r="Q775" s="231"/>
      <c r="R775" s="343">
        <v>22019</v>
      </c>
      <c r="S775" s="343">
        <v>1347</v>
      </c>
      <c r="T775" s="343">
        <v>23366</v>
      </c>
    </row>
    <row r="776" spans="1:20">
      <c r="A776" s="349">
        <v>98221</v>
      </c>
      <c r="B776" s="342" t="s">
        <v>1470</v>
      </c>
      <c r="C776" s="234">
        <v>2.72E-5</v>
      </c>
      <c r="D776" s="234">
        <v>1.8499999999999999E-5</v>
      </c>
      <c r="E776" s="343">
        <v>74281</v>
      </c>
      <c r="F776" s="231"/>
      <c r="G776" s="343">
        <v>12719</v>
      </c>
      <c r="H776" s="343">
        <v>1812</v>
      </c>
      <c r="I776" s="343">
        <v>12107</v>
      </c>
      <c r="J776" s="343">
        <v>8623</v>
      </c>
      <c r="K776" s="343">
        <v>35261</v>
      </c>
      <c r="L776" s="231"/>
      <c r="M776" s="343">
        <v>0</v>
      </c>
      <c r="N776" s="343">
        <v>0</v>
      </c>
      <c r="O776" s="343">
        <v>0</v>
      </c>
      <c r="P776" s="343">
        <v>0</v>
      </c>
      <c r="Q776" s="231"/>
      <c r="R776" s="343">
        <v>33089</v>
      </c>
      <c r="S776" s="343">
        <v>3240</v>
      </c>
      <c r="T776" s="343">
        <v>36329</v>
      </c>
    </row>
    <row r="777" spans="1:20">
      <c r="A777" s="349">
        <v>98231</v>
      </c>
      <c r="B777" s="342" t="s">
        <v>1471</v>
      </c>
      <c r="C777" s="234">
        <v>3.1699999999999998E-5</v>
      </c>
      <c r="D777" s="234">
        <v>3.1000000000000001E-5</v>
      </c>
      <c r="E777" s="343">
        <v>86570</v>
      </c>
      <c r="F777" s="231"/>
      <c r="G777" s="343">
        <v>14823</v>
      </c>
      <c r="H777" s="343">
        <v>2112</v>
      </c>
      <c r="I777" s="343">
        <v>14110</v>
      </c>
      <c r="J777" s="343">
        <v>6066</v>
      </c>
      <c r="K777" s="343">
        <v>37111</v>
      </c>
      <c r="L777" s="231"/>
      <c r="M777" s="343">
        <v>0</v>
      </c>
      <c r="N777" s="343">
        <v>0</v>
      </c>
      <c r="O777" s="343">
        <v>3192</v>
      </c>
      <c r="P777" s="343">
        <v>3192</v>
      </c>
      <c r="Q777" s="231"/>
      <c r="R777" s="343">
        <v>38563</v>
      </c>
      <c r="S777" s="343">
        <v>783</v>
      </c>
      <c r="T777" s="343">
        <v>39346</v>
      </c>
    </row>
    <row r="778" spans="1:20">
      <c r="A778" s="349">
        <v>98237</v>
      </c>
      <c r="B778" s="342" t="s">
        <v>1472</v>
      </c>
      <c r="C778" s="234">
        <v>6.7000000000000002E-6</v>
      </c>
      <c r="D778" s="234">
        <v>5.5999999999999997E-6</v>
      </c>
      <c r="E778" s="343">
        <v>18297</v>
      </c>
      <c r="F778" s="231"/>
      <c r="G778" s="343">
        <v>3133</v>
      </c>
      <c r="H778" s="343">
        <v>447</v>
      </c>
      <c r="I778" s="343">
        <v>2982</v>
      </c>
      <c r="J778" s="343">
        <v>3713</v>
      </c>
      <c r="K778" s="343">
        <v>10275</v>
      </c>
      <c r="L778" s="231"/>
      <c r="M778" s="343">
        <v>0</v>
      </c>
      <c r="N778" s="343">
        <v>0</v>
      </c>
      <c r="O778" s="343">
        <v>0</v>
      </c>
      <c r="P778" s="343">
        <v>0</v>
      </c>
      <c r="Q778" s="231"/>
      <c r="R778" s="343">
        <v>8151</v>
      </c>
      <c r="S778" s="343">
        <v>1825</v>
      </c>
      <c r="T778" s="343">
        <v>9976</v>
      </c>
    </row>
    <row r="779" spans="1:20">
      <c r="A779" s="349">
        <v>98241</v>
      </c>
      <c r="B779" s="342" t="s">
        <v>1473</v>
      </c>
      <c r="C779" s="234">
        <v>1.7799999999999999E-5</v>
      </c>
      <c r="D779" s="234">
        <v>1.22E-5</v>
      </c>
      <c r="E779" s="343">
        <v>48610</v>
      </c>
      <c r="F779" s="231"/>
      <c r="G779" s="343">
        <v>8323</v>
      </c>
      <c r="H779" s="343">
        <v>1186</v>
      </c>
      <c r="I779" s="343">
        <v>7923</v>
      </c>
      <c r="J779" s="343">
        <v>7390</v>
      </c>
      <c r="K779" s="343">
        <v>24822</v>
      </c>
      <c r="L779" s="231"/>
      <c r="M779" s="343">
        <v>0</v>
      </c>
      <c r="N779" s="343">
        <v>0</v>
      </c>
      <c r="O779" s="343">
        <v>1648</v>
      </c>
      <c r="P779" s="343">
        <v>1648</v>
      </c>
      <c r="Q779" s="231"/>
      <c r="R779" s="343">
        <v>21654</v>
      </c>
      <c r="S779" s="343">
        <v>2029</v>
      </c>
      <c r="T779" s="343">
        <v>23683</v>
      </c>
    </row>
    <row r="780" spans="1:20">
      <c r="A780" s="349">
        <v>98251</v>
      </c>
      <c r="B780" s="342" t="s">
        <v>1474</v>
      </c>
      <c r="C780" s="234">
        <v>2.5000000000000002E-6</v>
      </c>
      <c r="D780" s="234">
        <v>2.7E-6</v>
      </c>
      <c r="E780" s="343">
        <v>6827</v>
      </c>
      <c r="F780" s="231"/>
      <c r="G780" s="343">
        <v>1169</v>
      </c>
      <c r="H780" s="343">
        <v>167</v>
      </c>
      <c r="I780" s="343">
        <v>1113</v>
      </c>
      <c r="J780" s="343">
        <v>1784</v>
      </c>
      <c r="K780" s="343">
        <v>4233</v>
      </c>
      <c r="L780" s="231"/>
      <c r="M780" s="343">
        <v>0</v>
      </c>
      <c r="N780" s="343">
        <v>0</v>
      </c>
      <c r="O780" s="343">
        <v>0</v>
      </c>
      <c r="P780" s="343">
        <v>0</v>
      </c>
      <c r="Q780" s="231"/>
      <c r="R780" s="343">
        <v>3041</v>
      </c>
      <c r="S780" s="343">
        <v>796</v>
      </c>
      <c r="T780" s="343">
        <v>3837</v>
      </c>
    </row>
    <row r="781" spans="1:20">
      <c r="A781" s="349">
        <v>98261</v>
      </c>
      <c r="B781" s="342" t="s">
        <v>1475</v>
      </c>
      <c r="C781" s="234">
        <v>3.3699999999999999E-5</v>
      </c>
      <c r="D781" s="234">
        <v>3.3099999999999998E-5</v>
      </c>
      <c r="E781" s="343">
        <v>92032</v>
      </c>
      <c r="F781" s="231"/>
      <c r="G781" s="343">
        <v>15758</v>
      </c>
      <c r="H781" s="343">
        <v>2245</v>
      </c>
      <c r="I781" s="343">
        <v>15000</v>
      </c>
      <c r="J781" s="343">
        <v>5613</v>
      </c>
      <c r="K781" s="343">
        <v>38616</v>
      </c>
      <c r="L781" s="231"/>
      <c r="M781" s="343">
        <v>0</v>
      </c>
      <c r="N781" s="343">
        <v>0</v>
      </c>
      <c r="O781" s="343">
        <v>1480</v>
      </c>
      <c r="P781" s="343">
        <v>1480</v>
      </c>
      <c r="Q781" s="231"/>
      <c r="R781" s="343">
        <v>40996</v>
      </c>
      <c r="S781" s="343">
        <v>1591</v>
      </c>
      <c r="T781" s="343">
        <v>42587</v>
      </c>
    </row>
    <row r="782" spans="1:20">
      <c r="A782" s="349">
        <v>98271</v>
      </c>
      <c r="B782" s="342" t="s">
        <v>1476</v>
      </c>
      <c r="C782" s="234">
        <v>5.2000000000000002E-6</v>
      </c>
      <c r="D782" s="234">
        <v>5.3000000000000001E-6</v>
      </c>
      <c r="E782" s="343">
        <v>14201</v>
      </c>
      <c r="F782" s="231"/>
      <c r="G782" s="343">
        <v>2432</v>
      </c>
      <c r="H782" s="343">
        <v>346</v>
      </c>
      <c r="I782" s="343">
        <v>2314</v>
      </c>
      <c r="J782" s="343">
        <v>2894</v>
      </c>
      <c r="K782" s="343">
        <v>7986</v>
      </c>
      <c r="L782" s="231"/>
      <c r="M782" s="343">
        <v>0</v>
      </c>
      <c r="N782" s="343">
        <v>0</v>
      </c>
      <c r="O782" s="343">
        <v>0</v>
      </c>
      <c r="P782" s="343">
        <v>0</v>
      </c>
      <c r="Q782" s="231"/>
      <c r="R782" s="343">
        <v>6326</v>
      </c>
      <c r="S782" s="343">
        <v>1623</v>
      </c>
      <c r="T782" s="343">
        <v>7949</v>
      </c>
    </row>
    <row r="783" spans="1:20">
      <c r="A783" s="349">
        <v>98301</v>
      </c>
      <c r="B783" s="342" t="s">
        <v>1477</v>
      </c>
      <c r="C783" s="234">
        <v>1.7742000000000001E-3</v>
      </c>
      <c r="D783" s="234">
        <v>1.7489999999999999E-3</v>
      </c>
      <c r="E783" s="343">
        <v>4845202</v>
      </c>
      <c r="F783" s="231"/>
      <c r="G783" s="343">
        <v>829621</v>
      </c>
      <c r="H783" s="343">
        <v>118181</v>
      </c>
      <c r="I783" s="343">
        <v>789688</v>
      </c>
      <c r="J783" s="343">
        <v>83174</v>
      </c>
      <c r="K783" s="343">
        <v>1820664</v>
      </c>
      <c r="L783" s="231"/>
      <c r="M783" s="343">
        <v>0</v>
      </c>
      <c r="N783" s="343">
        <v>0</v>
      </c>
      <c r="O783" s="343">
        <v>0</v>
      </c>
      <c r="P783" s="343">
        <v>0</v>
      </c>
      <c r="Q783" s="231"/>
      <c r="R783" s="343">
        <v>2158337</v>
      </c>
      <c r="S783" s="343">
        <v>43157</v>
      </c>
      <c r="T783" s="343">
        <v>2201494</v>
      </c>
    </row>
    <row r="784" spans="1:20">
      <c r="A784" s="349">
        <v>98304</v>
      </c>
      <c r="B784" s="342" t="s">
        <v>1478</v>
      </c>
      <c r="C784" s="234">
        <v>2.0699999999999998E-5</v>
      </c>
      <c r="D784" s="234">
        <v>1.9300000000000002E-5</v>
      </c>
      <c r="E784" s="343">
        <v>56530</v>
      </c>
      <c r="F784" s="231"/>
      <c r="G784" s="343">
        <v>9679</v>
      </c>
      <c r="H784" s="343">
        <v>1379</v>
      </c>
      <c r="I784" s="343">
        <v>9213</v>
      </c>
      <c r="J784" s="343">
        <v>7671</v>
      </c>
      <c r="K784" s="343">
        <v>27942</v>
      </c>
      <c r="L784" s="231"/>
      <c r="M784" s="343">
        <v>0</v>
      </c>
      <c r="N784" s="343">
        <v>0</v>
      </c>
      <c r="O784" s="343">
        <v>0</v>
      </c>
      <c r="P784" s="343">
        <v>0</v>
      </c>
      <c r="Q784" s="231"/>
      <c r="R784" s="343">
        <v>25182</v>
      </c>
      <c r="S784" s="343">
        <v>2589</v>
      </c>
      <c r="T784" s="343">
        <v>27771</v>
      </c>
    </row>
    <row r="785" spans="1:20">
      <c r="A785" s="349">
        <v>98308</v>
      </c>
      <c r="B785" s="342" t="s">
        <v>1479</v>
      </c>
      <c r="C785" s="234">
        <v>1.6099999999999998E-5</v>
      </c>
      <c r="D785" s="234">
        <v>2.2399999999999999E-5</v>
      </c>
      <c r="E785" s="343">
        <v>43968</v>
      </c>
      <c r="F785" s="231"/>
      <c r="G785" s="343">
        <v>7528</v>
      </c>
      <c r="H785" s="343">
        <v>1072</v>
      </c>
      <c r="I785" s="343">
        <v>7166</v>
      </c>
      <c r="J785" s="343">
        <v>5235</v>
      </c>
      <c r="K785" s="343">
        <v>21001</v>
      </c>
      <c r="L785" s="231"/>
      <c r="M785" s="343">
        <v>0</v>
      </c>
      <c r="N785" s="343">
        <v>0</v>
      </c>
      <c r="O785" s="343">
        <v>0</v>
      </c>
      <c r="P785" s="343">
        <v>0</v>
      </c>
      <c r="Q785" s="231"/>
      <c r="R785" s="343">
        <v>19586</v>
      </c>
      <c r="S785" s="343">
        <v>3115</v>
      </c>
      <c r="T785" s="343">
        <v>22701</v>
      </c>
    </row>
    <row r="786" spans="1:20">
      <c r="A786" s="349">
        <v>98311</v>
      </c>
      <c r="B786" s="342" t="s">
        <v>1480</v>
      </c>
      <c r="C786" s="234">
        <v>1.1073999999999999E-3</v>
      </c>
      <c r="D786" s="234">
        <v>1.0931999999999999E-3</v>
      </c>
      <c r="E786" s="343">
        <v>3024223</v>
      </c>
      <c r="F786" s="231"/>
      <c r="G786" s="343">
        <v>517824</v>
      </c>
      <c r="H786" s="343">
        <v>73765</v>
      </c>
      <c r="I786" s="343">
        <v>492898</v>
      </c>
      <c r="J786" s="343">
        <v>0</v>
      </c>
      <c r="K786" s="343">
        <v>1084487</v>
      </c>
      <c r="L786" s="231"/>
      <c r="M786" s="343">
        <v>0</v>
      </c>
      <c r="N786" s="343">
        <v>0</v>
      </c>
      <c r="O786" s="343">
        <v>105793</v>
      </c>
      <c r="P786" s="343">
        <v>105793</v>
      </c>
      <c r="Q786" s="231"/>
      <c r="R786" s="343">
        <v>1347166</v>
      </c>
      <c r="S786" s="343">
        <v>-53029</v>
      </c>
      <c r="T786" s="343">
        <v>1294137</v>
      </c>
    </row>
    <row r="787" spans="1:20">
      <c r="A787" s="349">
        <v>98313</v>
      </c>
      <c r="B787" s="342" t="s">
        <v>1481</v>
      </c>
      <c r="C787" s="234">
        <v>2.1000000000000001E-4</v>
      </c>
      <c r="D787" s="234">
        <v>2.4240000000000001E-4</v>
      </c>
      <c r="E787" s="343">
        <v>573494</v>
      </c>
      <c r="F787" s="231"/>
      <c r="G787" s="343">
        <v>98197</v>
      </c>
      <c r="H787" s="343">
        <v>13989</v>
      </c>
      <c r="I787" s="343">
        <v>93470</v>
      </c>
      <c r="J787" s="343">
        <v>272208</v>
      </c>
      <c r="K787" s="343">
        <v>477864</v>
      </c>
      <c r="L787" s="231"/>
      <c r="M787" s="343">
        <v>0</v>
      </c>
      <c r="N787" s="343">
        <v>0</v>
      </c>
      <c r="O787" s="343">
        <v>0</v>
      </c>
      <c r="P787" s="343">
        <v>0</v>
      </c>
      <c r="Q787" s="231"/>
      <c r="R787" s="343">
        <v>255468</v>
      </c>
      <c r="S787" s="343">
        <v>129789</v>
      </c>
      <c r="T787" s="343">
        <v>385257</v>
      </c>
    </row>
    <row r="788" spans="1:20" s="355" customFormat="1">
      <c r="A788" s="349">
        <v>98321</v>
      </c>
      <c r="B788" s="342" t="s">
        <v>1482</v>
      </c>
      <c r="C788" s="234">
        <v>1.6900000000000001E-5</v>
      </c>
      <c r="D788" s="234">
        <v>1.9199999999999999E-5</v>
      </c>
      <c r="E788" s="343">
        <v>46153</v>
      </c>
      <c r="F788" s="231"/>
      <c r="G788" s="343">
        <v>7902</v>
      </c>
      <c r="H788" s="343">
        <v>1125</v>
      </c>
      <c r="I788" s="343">
        <v>7522</v>
      </c>
      <c r="J788" s="343">
        <v>42</v>
      </c>
      <c r="K788" s="343">
        <v>16591</v>
      </c>
      <c r="L788" s="231"/>
      <c r="M788" s="343">
        <v>0</v>
      </c>
      <c r="N788" s="343">
        <v>0</v>
      </c>
      <c r="O788" s="343">
        <v>1583</v>
      </c>
      <c r="P788" s="343">
        <v>1583</v>
      </c>
      <c r="Q788" s="231"/>
      <c r="R788" s="343">
        <v>20559</v>
      </c>
      <c r="S788" s="343">
        <v>-1260</v>
      </c>
      <c r="T788" s="343">
        <v>19299</v>
      </c>
    </row>
    <row r="789" spans="1:20">
      <c r="A789" s="349">
        <v>98331</v>
      </c>
      <c r="B789" s="342" t="s">
        <v>1483</v>
      </c>
      <c r="C789" s="234">
        <v>8.3999999999999992E-6</v>
      </c>
      <c r="D789" s="234">
        <v>9.3000000000000007E-6</v>
      </c>
      <c r="E789" s="343">
        <v>22940</v>
      </c>
      <c r="F789" s="231"/>
      <c r="G789" s="343">
        <v>3928</v>
      </c>
      <c r="H789" s="343">
        <v>559</v>
      </c>
      <c r="I789" s="343">
        <v>3739</v>
      </c>
      <c r="J789" s="343">
        <v>3116</v>
      </c>
      <c r="K789" s="343">
        <v>11342</v>
      </c>
      <c r="L789" s="231"/>
      <c r="M789" s="343">
        <v>0</v>
      </c>
      <c r="N789" s="343">
        <v>0</v>
      </c>
      <c r="O789" s="343">
        <v>0</v>
      </c>
      <c r="P789" s="343">
        <v>0</v>
      </c>
      <c r="Q789" s="231"/>
      <c r="R789" s="343">
        <v>10219</v>
      </c>
      <c r="S789" s="343">
        <v>1668</v>
      </c>
      <c r="T789" s="343">
        <v>11887</v>
      </c>
    </row>
    <row r="790" spans="1:20">
      <c r="A790" s="349">
        <v>98401</v>
      </c>
      <c r="B790" s="342" t="s">
        <v>1484</v>
      </c>
      <c r="C790" s="234">
        <v>2.9618000000000001E-3</v>
      </c>
      <c r="D790" s="234">
        <v>2.7358E-3</v>
      </c>
      <c r="E790" s="343">
        <v>8088445</v>
      </c>
      <c r="F790" s="231"/>
      <c r="G790" s="343">
        <v>1384947</v>
      </c>
      <c r="H790" s="343">
        <v>197289</v>
      </c>
      <c r="I790" s="343">
        <v>1318282</v>
      </c>
      <c r="J790" s="343">
        <v>353472</v>
      </c>
      <c r="K790" s="343">
        <v>3253990</v>
      </c>
      <c r="L790" s="231"/>
      <c r="M790" s="343">
        <v>0</v>
      </c>
      <c r="N790" s="343">
        <v>0</v>
      </c>
      <c r="O790" s="343">
        <v>1893</v>
      </c>
      <c r="P790" s="343">
        <v>1893</v>
      </c>
      <c r="Q790" s="231"/>
      <c r="R790" s="343">
        <v>3603068</v>
      </c>
      <c r="S790" s="343">
        <v>130566</v>
      </c>
      <c r="T790" s="343">
        <v>3733634</v>
      </c>
    </row>
    <row r="791" spans="1:20">
      <c r="A791" s="349">
        <v>98404</v>
      </c>
      <c r="B791" s="342" t="s">
        <v>1485</v>
      </c>
      <c r="C791" s="234">
        <v>1.43E-5</v>
      </c>
      <c r="D791" s="234">
        <v>1.5099999999999999E-5</v>
      </c>
      <c r="E791" s="343">
        <v>39052</v>
      </c>
      <c r="F791" s="231"/>
      <c r="G791" s="343">
        <v>6687</v>
      </c>
      <c r="H791" s="343">
        <v>952</v>
      </c>
      <c r="I791" s="343">
        <v>6365</v>
      </c>
      <c r="J791" s="343">
        <v>5183</v>
      </c>
      <c r="K791" s="343">
        <v>19187</v>
      </c>
      <c r="L791" s="231"/>
      <c r="M791" s="343">
        <v>0</v>
      </c>
      <c r="N791" s="343">
        <v>0</v>
      </c>
      <c r="O791" s="343">
        <v>336</v>
      </c>
      <c r="P791" s="343">
        <v>336</v>
      </c>
      <c r="Q791" s="231"/>
      <c r="R791" s="343">
        <v>17396</v>
      </c>
      <c r="S791" s="343">
        <v>2419</v>
      </c>
      <c r="T791" s="343">
        <v>19815</v>
      </c>
    </row>
    <row r="792" spans="1:20">
      <c r="A792" s="349">
        <v>98411</v>
      </c>
      <c r="B792" s="342" t="s">
        <v>1486</v>
      </c>
      <c r="C792" s="234">
        <v>1.9082000000000001E-3</v>
      </c>
      <c r="D792" s="234">
        <v>1.9327000000000001E-3</v>
      </c>
      <c r="E792" s="343">
        <v>5211145</v>
      </c>
      <c r="F792" s="231"/>
      <c r="G792" s="343">
        <v>892280</v>
      </c>
      <c r="H792" s="343">
        <v>127107</v>
      </c>
      <c r="I792" s="343">
        <v>849330</v>
      </c>
      <c r="J792" s="343">
        <v>0</v>
      </c>
      <c r="K792" s="343">
        <v>1868717</v>
      </c>
      <c r="L792" s="231"/>
      <c r="M792" s="343">
        <v>0</v>
      </c>
      <c r="N792" s="343">
        <v>0</v>
      </c>
      <c r="O792" s="343">
        <v>156014</v>
      </c>
      <c r="P792" s="343">
        <v>156014</v>
      </c>
      <c r="Q792" s="231"/>
      <c r="R792" s="343">
        <v>2321350</v>
      </c>
      <c r="S792" s="343">
        <v>-57998</v>
      </c>
      <c r="T792" s="343">
        <v>2263352</v>
      </c>
    </row>
    <row r="793" spans="1:20">
      <c r="A793" s="349">
        <v>98417</v>
      </c>
      <c r="B793" s="342" t="s">
        <v>1488</v>
      </c>
      <c r="C793" s="234">
        <v>2.23E-5</v>
      </c>
      <c r="D793" s="234">
        <v>2.1500000000000001E-5</v>
      </c>
      <c r="E793" s="343">
        <v>60900</v>
      </c>
      <c r="F793" s="231"/>
      <c r="G793" s="343">
        <v>10428</v>
      </c>
      <c r="H793" s="343">
        <v>1485</v>
      </c>
      <c r="I793" s="343">
        <v>9926</v>
      </c>
      <c r="J793" s="343">
        <v>8459</v>
      </c>
      <c r="K793" s="343">
        <v>30298</v>
      </c>
      <c r="L793" s="231"/>
      <c r="M793" s="343">
        <v>0</v>
      </c>
      <c r="N793" s="343">
        <v>0</v>
      </c>
      <c r="O793" s="343">
        <v>0</v>
      </c>
      <c r="P793" s="343">
        <v>0</v>
      </c>
      <c r="Q793" s="231"/>
      <c r="R793" s="343">
        <v>27128</v>
      </c>
      <c r="S793" s="343">
        <v>2772</v>
      </c>
      <c r="T793" s="343">
        <v>29900</v>
      </c>
    </row>
    <row r="794" spans="1:20">
      <c r="A794" s="349">
        <v>98421</v>
      </c>
      <c r="B794" s="342" t="s">
        <v>1489</v>
      </c>
      <c r="C794" s="234">
        <v>1.121E-4</v>
      </c>
      <c r="D794" s="234">
        <v>1.06E-4</v>
      </c>
      <c r="E794" s="343">
        <v>306136</v>
      </c>
      <c r="F794" s="231"/>
      <c r="G794" s="343">
        <v>52418</v>
      </c>
      <c r="H794" s="343">
        <v>7467</v>
      </c>
      <c r="I794" s="343">
        <v>49895</v>
      </c>
      <c r="J794" s="343">
        <v>13419</v>
      </c>
      <c r="K794" s="343">
        <v>123199</v>
      </c>
      <c r="L794" s="231"/>
      <c r="M794" s="343">
        <v>0</v>
      </c>
      <c r="N794" s="343">
        <v>0</v>
      </c>
      <c r="O794" s="343">
        <v>6043</v>
      </c>
      <c r="P794" s="343">
        <v>6043</v>
      </c>
      <c r="Q794" s="231"/>
      <c r="R794" s="343">
        <v>136371</v>
      </c>
      <c r="S794" s="343">
        <v>3557</v>
      </c>
      <c r="T794" s="343">
        <v>139928</v>
      </c>
    </row>
    <row r="795" spans="1:20">
      <c r="A795" s="349">
        <v>98427</v>
      </c>
      <c r="B795" s="342" t="s">
        <v>2793</v>
      </c>
      <c r="C795" s="234">
        <v>3.1E-6</v>
      </c>
      <c r="D795" s="234">
        <v>3.4000000000000001E-6</v>
      </c>
      <c r="E795" s="343">
        <v>8466</v>
      </c>
      <c r="F795" s="231"/>
      <c r="G795" s="343">
        <v>1450</v>
      </c>
      <c r="H795" s="343">
        <v>206</v>
      </c>
      <c r="I795" s="343">
        <v>1380</v>
      </c>
      <c r="J795" s="343">
        <v>2532</v>
      </c>
      <c r="K795" s="343">
        <v>5568</v>
      </c>
      <c r="L795" s="231"/>
      <c r="M795" s="343">
        <v>0</v>
      </c>
      <c r="N795" s="343">
        <v>0</v>
      </c>
      <c r="O795" s="343">
        <v>0</v>
      </c>
      <c r="P795" s="343">
        <v>0</v>
      </c>
      <c r="Q795" s="231"/>
      <c r="R795" s="343">
        <v>3771</v>
      </c>
      <c r="S795" s="343">
        <v>967</v>
      </c>
      <c r="T795" s="343">
        <v>4738</v>
      </c>
    </row>
    <row r="796" spans="1:20">
      <c r="A796" s="349">
        <v>98431</v>
      </c>
      <c r="B796" s="342" t="s">
        <v>1491</v>
      </c>
      <c r="C796" s="234">
        <v>1.997E-4</v>
      </c>
      <c r="D796" s="234">
        <v>1.961E-4</v>
      </c>
      <c r="E796" s="343">
        <v>545365</v>
      </c>
      <c r="F796" s="231"/>
      <c r="G796" s="343">
        <v>93380</v>
      </c>
      <c r="H796" s="343">
        <v>13303</v>
      </c>
      <c r="I796" s="343">
        <v>88885</v>
      </c>
      <c r="J796" s="343">
        <v>0</v>
      </c>
      <c r="K796" s="343">
        <v>195568</v>
      </c>
      <c r="L796" s="231"/>
      <c r="M796" s="343">
        <v>0</v>
      </c>
      <c r="N796" s="343">
        <v>0</v>
      </c>
      <c r="O796" s="343">
        <v>26324</v>
      </c>
      <c r="P796" s="343">
        <v>26324</v>
      </c>
      <c r="Q796" s="231"/>
      <c r="R796" s="343">
        <v>242938</v>
      </c>
      <c r="S796" s="343">
        <v>-14127</v>
      </c>
      <c r="T796" s="343">
        <v>228811</v>
      </c>
    </row>
    <row r="797" spans="1:20">
      <c r="A797" s="349">
        <v>98441</v>
      </c>
      <c r="B797" s="342" t="s">
        <v>1492</v>
      </c>
      <c r="C797" s="234">
        <v>1.0230000000000001E-4</v>
      </c>
      <c r="D797" s="234">
        <v>1.0900000000000001E-4</v>
      </c>
      <c r="E797" s="343">
        <v>279373</v>
      </c>
      <c r="F797" s="231"/>
      <c r="G797" s="343">
        <v>47836</v>
      </c>
      <c r="H797" s="343">
        <v>6815</v>
      </c>
      <c r="I797" s="343">
        <v>45533</v>
      </c>
      <c r="J797" s="343">
        <v>9054</v>
      </c>
      <c r="K797" s="343">
        <v>109238</v>
      </c>
      <c r="L797" s="231"/>
      <c r="M797" s="343">
        <v>0</v>
      </c>
      <c r="N797" s="343">
        <v>0</v>
      </c>
      <c r="O797" s="343">
        <v>15598</v>
      </c>
      <c r="P797" s="343">
        <v>15598</v>
      </c>
      <c r="Q797" s="231"/>
      <c r="R797" s="343">
        <v>124449</v>
      </c>
      <c r="S797" s="343">
        <v>-7248</v>
      </c>
      <c r="T797" s="343">
        <v>117201</v>
      </c>
    </row>
    <row r="798" spans="1:20">
      <c r="A798" s="349">
        <v>98451</v>
      </c>
      <c r="B798" s="342" t="s">
        <v>1493</v>
      </c>
      <c r="C798" s="234">
        <v>4.6100000000000002E-5</v>
      </c>
      <c r="D798" s="234">
        <v>4.88E-5</v>
      </c>
      <c r="E798" s="343">
        <v>125896</v>
      </c>
      <c r="F798" s="231"/>
      <c r="G798" s="343">
        <v>21556</v>
      </c>
      <c r="H798" s="343">
        <v>3070</v>
      </c>
      <c r="I798" s="343">
        <v>20519</v>
      </c>
      <c r="J798" s="343">
        <v>414</v>
      </c>
      <c r="K798" s="343">
        <v>45559</v>
      </c>
      <c r="L798" s="231"/>
      <c r="M798" s="343">
        <v>0</v>
      </c>
      <c r="N798" s="343">
        <v>0</v>
      </c>
      <c r="O798" s="343">
        <v>3016</v>
      </c>
      <c r="P798" s="343">
        <v>3016</v>
      </c>
      <c r="Q798" s="231"/>
      <c r="R798" s="343">
        <v>56081</v>
      </c>
      <c r="S798" s="343">
        <v>-1250</v>
      </c>
      <c r="T798" s="343">
        <v>54831</v>
      </c>
    </row>
    <row r="799" spans="1:20">
      <c r="A799" s="349">
        <v>98471</v>
      </c>
      <c r="B799" s="342" t="s">
        <v>1638</v>
      </c>
      <c r="C799" s="234">
        <v>6.3999999999999997E-6</v>
      </c>
      <c r="D799" s="234">
        <v>6.1E-6</v>
      </c>
      <c r="E799" s="343">
        <v>17478</v>
      </c>
      <c r="F799" s="231"/>
      <c r="G799" s="343">
        <v>2993</v>
      </c>
      <c r="H799" s="343">
        <v>426</v>
      </c>
      <c r="I799" s="343">
        <v>2849</v>
      </c>
      <c r="J799" s="343">
        <v>4967</v>
      </c>
      <c r="K799" s="343">
        <v>11235</v>
      </c>
      <c r="L799" s="231"/>
      <c r="M799" s="343">
        <v>0</v>
      </c>
      <c r="N799" s="343">
        <v>0</v>
      </c>
      <c r="O799" s="343">
        <v>0</v>
      </c>
      <c r="P799" s="343">
        <v>0</v>
      </c>
      <c r="Q799" s="231"/>
      <c r="R799" s="343">
        <v>7786</v>
      </c>
      <c r="S799" s="343">
        <v>1562</v>
      </c>
      <c r="T799" s="343">
        <v>9348</v>
      </c>
    </row>
    <row r="800" spans="1:20">
      <c r="A800" s="349">
        <v>98481</v>
      </c>
      <c r="B800" s="342" t="s">
        <v>1494</v>
      </c>
      <c r="C800" s="234">
        <v>6.1600000000000007E-5</v>
      </c>
      <c r="D800" s="234">
        <v>7.2000000000000002E-5</v>
      </c>
      <c r="E800" s="343">
        <v>168225</v>
      </c>
      <c r="F800" s="231"/>
      <c r="G800" s="343">
        <v>28804</v>
      </c>
      <c r="H800" s="343">
        <v>4103</v>
      </c>
      <c r="I800" s="343">
        <v>27418</v>
      </c>
      <c r="J800" s="343">
        <v>1639</v>
      </c>
      <c r="K800" s="343">
        <v>61964</v>
      </c>
      <c r="L800" s="231"/>
      <c r="M800" s="343">
        <v>0</v>
      </c>
      <c r="N800" s="343">
        <v>0</v>
      </c>
      <c r="O800" s="343">
        <v>11141</v>
      </c>
      <c r="P800" s="343">
        <v>11141</v>
      </c>
      <c r="Q800" s="231"/>
      <c r="R800" s="343">
        <v>74937</v>
      </c>
      <c r="S800" s="343">
        <v>-3187</v>
      </c>
      <c r="T800" s="343">
        <v>71750</v>
      </c>
    </row>
    <row r="801" spans="1:20">
      <c r="A801" s="349">
        <v>98501</v>
      </c>
      <c r="B801" s="342" t="s">
        <v>1495</v>
      </c>
      <c r="C801" s="234">
        <v>1.655E-3</v>
      </c>
      <c r="D801" s="234">
        <v>1.6239E-3</v>
      </c>
      <c r="E801" s="343">
        <v>4519676</v>
      </c>
      <c r="F801" s="231"/>
      <c r="G801" s="343">
        <v>773883</v>
      </c>
      <c r="H801" s="343">
        <v>110241</v>
      </c>
      <c r="I801" s="343">
        <v>736632</v>
      </c>
      <c r="J801" s="343">
        <v>141654</v>
      </c>
      <c r="K801" s="343">
        <v>1762410</v>
      </c>
      <c r="L801" s="231"/>
      <c r="M801" s="343">
        <v>0</v>
      </c>
      <c r="N801" s="343">
        <v>0</v>
      </c>
      <c r="O801" s="343">
        <v>0</v>
      </c>
      <c r="P801" s="343">
        <v>0</v>
      </c>
      <c r="Q801" s="231"/>
      <c r="R801" s="343">
        <v>2013329</v>
      </c>
      <c r="S801" s="343">
        <v>52916</v>
      </c>
      <c r="T801" s="343">
        <v>2066245</v>
      </c>
    </row>
    <row r="802" spans="1:20">
      <c r="A802" s="349">
        <v>98511</v>
      </c>
      <c r="B802" s="342" t="s">
        <v>1496</v>
      </c>
      <c r="C802" s="234">
        <v>4.9400000000000001E-5</v>
      </c>
      <c r="D802" s="234">
        <v>4.0000000000000003E-5</v>
      </c>
      <c r="E802" s="343">
        <v>134908</v>
      </c>
      <c r="F802" s="231"/>
      <c r="G802" s="343">
        <v>23100</v>
      </c>
      <c r="H802" s="343">
        <v>3291</v>
      </c>
      <c r="I802" s="343">
        <v>21988</v>
      </c>
      <c r="J802" s="343">
        <v>8529</v>
      </c>
      <c r="K802" s="343">
        <v>56908</v>
      </c>
      <c r="L802" s="231"/>
      <c r="M802" s="343">
        <v>0</v>
      </c>
      <c r="N802" s="343">
        <v>0</v>
      </c>
      <c r="O802" s="343">
        <v>2038</v>
      </c>
      <c r="P802" s="343">
        <v>2038</v>
      </c>
      <c r="Q802" s="231"/>
      <c r="R802" s="343">
        <v>60096</v>
      </c>
      <c r="S802" s="343">
        <v>1859</v>
      </c>
      <c r="T802" s="343">
        <v>61955</v>
      </c>
    </row>
    <row r="803" spans="1:20">
      <c r="A803" s="349">
        <v>98517</v>
      </c>
      <c r="B803" s="342" t="s">
        <v>1497</v>
      </c>
      <c r="C803" s="234">
        <v>2.3999999999999999E-6</v>
      </c>
      <c r="D803" s="234">
        <v>2.3E-6</v>
      </c>
      <c r="E803" s="343">
        <v>6554</v>
      </c>
      <c r="F803" s="231"/>
      <c r="G803" s="343">
        <v>1122</v>
      </c>
      <c r="H803" s="343">
        <v>160</v>
      </c>
      <c r="I803" s="343">
        <v>1068</v>
      </c>
      <c r="J803" s="343">
        <v>3726</v>
      </c>
      <c r="K803" s="343">
        <v>6076</v>
      </c>
      <c r="L803" s="231"/>
      <c r="M803" s="343">
        <v>0</v>
      </c>
      <c r="N803" s="343">
        <v>0</v>
      </c>
      <c r="O803" s="343">
        <v>0</v>
      </c>
      <c r="P803" s="343">
        <v>0</v>
      </c>
      <c r="Q803" s="231"/>
      <c r="R803" s="343">
        <v>2920</v>
      </c>
      <c r="S803" s="343">
        <v>1346</v>
      </c>
      <c r="T803" s="343">
        <v>4266</v>
      </c>
    </row>
    <row r="804" spans="1:20">
      <c r="A804" s="349">
        <v>98521</v>
      </c>
      <c r="B804" s="342" t="s">
        <v>1498</v>
      </c>
      <c r="C804" s="234">
        <v>6.3349999999999995E-4</v>
      </c>
      <c r="D804" s="234">
        <v>6.4780000000000003E-4</v>
      </c>
      <c r="E804" s="343">
        <v>1730039</v>
      </c>
      <c r="F804" s="231"/>
      <c r="G804" s="343">
        <v>296227</v>
      </c>
      <c r="H804" s="343">
        <v>42198</v>
      </c>
      <c r="I804" s="343">
        <v>281968</v>
      </c>
      <c r="J804" s="343">
        <v>17396</v>
      </c>
      <c r="K804" s="343">
        <v>637789</v>
      </c>
      <c r="L804" s="231"/>
      <c r="M804" s="343">
        <v>0</v>
      </c>
      <c r="N804" s="343">
        <v>0</v>
      </c>
      <c r="O804" s="343">
        <v>49380</v>
      </c>
      <c r="P804" s="343">
        <v>49380</v>
      </c>
      <c r="Q804" s="231"/>
      <c r="R804" s="343">
        <v>770661</v>
      </c>
      <c r="S804" s="343">
        <v>-17445</v>
      </c>
      <c r="T804" s="343">
        <v>753216</v>
      </c>
    </row>
    <row r="805" spans="1:20">
      <c r="A805" s="349">
        <v>98601</v>
      </c>
      <c r="B805" s="342" t="s">
        <v>1499</v>
      </c>
      <c r="C805" s="234">
        <v>3.5866000000000001E-3</v>
      </c>
      <c r="D805" s="234">
        <v>3.4765999999999998E-3</v>
      </c>
      <c r="E805" s="343">
        <v>9794725</v>
      </c>
      <c r="F805" s="231"/>
      <c r="G805" s="343">
        <v>1677105</v>
      </c>
      <c r="H805" s="343">
        <v>238907</v>
      </c>
      <c r="I805" s="343">
        <v>1596378</v>
      </c>
      <c r="J805" s="343">
        <v>16427</v>
      </c>
      <c r="K805" s="343">
        <v>3528817</v>
      </c>
      <c r="L805" s="231"/>
      <c r="M805" s="343">
        <v>0</v>
      </c>
      <c r="N805" s="343">
        <v>0</v>
      </c>
      <c r="O805" s="343">
        <v>72055</v>
      </c>
      <c r="P805" s="343">
        <v>72055</v>
      </c>
      <c r="Q805" s="231"/>
      <c r="R805" s="343">
        <v>4363146</v>
      </c>
      <c r="S805" s="343">
        <v>-56293</v>
      </c>
      <c r="T805" s="343">
        <v>4306853</v>
      </c>
    </row>
    <row r="806" spans="1:20">
      <c r="A806" s="349">
        <v>98607</v>
      </c>
      <c r="B806" s="342" t="s">
        <v>1501</v>
      </c>
      <c r="C806" s="234">
        <v>5.4E-6</v>
      </c>
      <c r="D806" s="234">
        <v>6.9E-6</v>
      </c>
      <c r="E806" s="343">
        <v>14747</v>
      </c>
      <c r="F806" s="231"/>
      <c r="G806" s="343">
        <v>2525</v>
      </c>
      <c r="H806" s="343">
        <v>360</v>
      </c>
      <c r="I806" s="343">
        <v>2404</v>
      </c>
      <c r="J806" s="343">
        <v>1068</v>
      </c>
      <c r="K806" s="343">
        <v>6357</v>
      </c>
      <c r="L806" s="231"/>
      <c r="M806" s="343">
        <v>0</v>
      </c>
      <c r="N806" s="343">
        <v>0</v>
      </c>
      <c r="O806" s="343">
        <v>780</v>
      </c>
      <c r="P806" s="343">
        <v>780</v>
      </c>
      <c r="Q806" s="231"/>
      <c r="R806" s="343">
        <v>6569</v>
      </c>
      <c r="S806" s="343">
        <v>-415</v>
      </c>
      <c r="T806" s="343">
        <v>6154</v>
      </c>
    </row>
    <row r="807" spans="1:20">
      <c r="A807" s="349">
        <v>98608</v>
      </c>
      <c r="B807" s="342" t="s">
        <v>1502</v>
      </c>
      <c r="C807" s="234">
        <v>5.1799999999999999E-5</v>
      </c>
      <c r="D807" s="234">
        <v>4.3099999999999997E-5</v>
      </c>
      <c r="E807" s="343">
        <v>141462</v>
      </c>
      <c r="F807" s="231"/>
      <c r="G807" s="343">
        <v>24222</v>
      </c>
      <c r="H807" s="343">
        <v>3451</v>
      </c>
      <c r="I807" s="343">
        <v>23056</v>
      </c>
      <c r="J807" s="343">
        <v>10260</v>
      </c>
      <c r="K807" s="343">
        <v>60989</v>
      </c>
      <c r="L807" s="231"/>
      <c r="M807" s="343">
        <v>0</v>
      </c>
      <c r="N807" s="343">
        <v>0</v>
      </c>
      <c r="O807" s="343">
        <v>2370</v>
      </c>
      <c r="P807" s="343">
        <v>2370</v>
      </c>
      <c r="Q807" s="231"/>
      <c r="R807" s="343">
        <v>63015</v>
      </c>
      <c r="S807" s="343">
        <v>2249</v>
      </c>
      <c r="T807" s="343">
        <v>65264</v>
      </c>
    </row>
    <row r="808" spans="1:20">
      <c r="A808" s="349">
        <v>98611</v>
      </c>
      <c r="B808" s="342" t="s">
        <v>1503</v>
      </c>
      <c r="C808" s="234">
        <v>1.1959999999999999E-4</v>
      </c>
      <c r="D808" s="234">
        <v>1.143E-4</v>
      </c>
      <c r="E808" s="343">
        <v>326618</v>
      </c>
      <c r="F808" s="231"/>
      <c r="G808" s="343">
        <v>55925</v>
      </c>
      <c r="H808" s="343">
        <v>7966</v>
      </c>
      <c r="I808" s="343">
        <v>53233</v>
      </c>
      <c r="J808" s="343">
        <v>26095</v>
      </c>
      <c r="K808" s="343">
        <v>143219</v>
      </c>
      <c r="L808" s="231"/>
      <c r="M808" s="343">
        <v>0</v>
      </c>
      <c r="N808" s="343">
        <v>0</v>
      </c>
      <c r="O808" s="343">
        <v>2863</v>
      </c>
      <c r="P808" s="343">
        <v>2863</v>
      </c>
      <c r="Q808" s="231"/>
      <c r="R808" s="343">
        <v>145495</v>
      </c>
      <c r="S808" s="343">
        <v>5882</v>
      </c>
      <c r="T808" s="343">
        <v>151377</v>
      </c>
    </row>
    <row r="809" spans="1:20">
      <c r="A809" s="349">
        <v>98621</v>
      </c>
      <c r="B809" s="342" t="s">
        <v>1504</v>
      </c>
      <c r="C809" s="234">
        <v>1.2899999999999999E-4</v>
      </c>
      <c r="D809" s="234">
        <v>1.371E-4</v>
      </c>
      <c r="E809" s="343">
        <v>352289</v>
      </c>
      <c r="F809" s="231"/>
      <c r="G809" s="343">
        <v>60321</v>
      </c>
      <c r="H809" s="343">
        <v>8593</v>
      </c>
      <c r="I809" s="343">
        <v>57417</v>
      </c>
      <c r="J809" s="343">
        <v>172</v>
      </c>
      <c r="K809" s="343">
        <v>126503</v>
      </c>
      <c r="L809" s="231"/>
      <c r="M809" s="343">
        <v>0</v>
      </c>
      <c r="N809" s="343">
        <v>0</v>
      </c>
      <c r="O809" s="343">
        <v>9273</v>
      </c>
      <c r="P809" s="343">
        <v>9273</v>
      </c>
      <c r="Q809" s="231"/>
      <c r="R809" s="343">
        <v>156930</v>
      </c>
      <c r="S809" s="343">
        <v>-5175</v>
      </c>
      <c r="T809" s="343">
        <v>151755</v>
      </c>
    </row>
    <row r="810" spans="1:20">
      <c r="A810" s="349">
        <v>98627</v>
      </c>
      <c r="B810" s="342" t="s">
        <v>3698</v>
      </c>
      <c r="C810" s="234">
        <v>7.7999999999999999E-6</v>
      </c>
      <c r="D810" s="234">
        <v>8.3000000000000002E-6</v>
      </c>
      <c r="E810" s="343">
        <v>21301</v>
      </c>
      <c r="F810" s="231"/>
      <c r="G810" s="343">
        <v>3647</v>
      </c>
      <c r="H810" s="343">
        <v>520</v>
      </c>
      <c r="I810" s="343">
        <v>3472</v>
      </c>
      <c r="J810" s="343">
        <v>96</v>
      </c>
      <c r="K810" s="343">
        <v>7735</v>
      </c>
      <c r="L810" s="231"/>
      <c r="M810" s="343">
        <v>0</v>
      </c>
      <c r="N810" s="343">
        <v>0</v>
      </c>
      <c r="O810" s="343">
        <v>1675</v>
      </c>
      <c r="P810" s="343">
        <v>1675</v>
      </c>
      <c r="Q810" s="231"/>
      <c r="R810" s="343">
        <v>9489</v>
      </c>
      <c r="S810" s="343">
        <v>-504</v>
      </c>
      <c r="T810" s="343">
        <v>8985</v>
      </c>
    </row>
    <row r="811" spans="1:20">
      <c r="A811" s="349">
        <v>98631</v>
      </c>
      <c r="B811" s="342" t="s">
        <v>1506</v>
      </c>
      <c r="C811" s="234">
        <v>1.0042E-3</v>
      </c>
      <c r="D811" s="234">
        <v>1.0238000000000001E-3</v>
      </c>
      <c r="E811" s="343">
        <v>2742392</v>
      </c>
      <c r="F811" s="231"/>
      <c r="G811" s="343">
        <v>469567</v>
      </c>
      <c r="H811" s="343">
        <v>66891</v>
      </c>
      <c r="I811" s="343">
        <v>446964</v>
      </c>
      <c r="J811" s="343">
        <v>14243</v>
      </c>
      <c r="K811" s="343">
        <v>997665</v>
      </c>
      <c r="L811" s="231"/>
      <c r="M811" s="343">
        <v>0</v>
      </c>
      <c r="N811" s="343">
        <v>0</v>
      </c>
      <c r="O811" s="343">
        <v>36728</v>
      </c>
      <c r="P811" s="343">
        <v>36728</v>
      </c>
      <c r="Q811" s="231"/>
      <c r="R811" s="343">
        <v>1221622</v>
      </c>
      <c r="S811" s="343">
        <v>-34212</v>
      </c>
      <c r="T811" s="343">
        <v>1187410</v>
      </c>
    </row>
    <row r="812" spans="1:20">
      <c r="A812" s="349">
        <v>98637</v>
      </c>
      <c r="B812" s="342" t="s">
        <v>1507</v>
      </c>
      <c r="C812" s="234">
        <v>1.5800000000000001E-5</v>
      </c>
      <c r="D812" s="234">
        <v>1.9000000000000001E-5</v>
      </c>
      <c r="E812" s="343">
        <v>43149</v>
      </c>
      <c r="F812" s="231"/>
      <c r="G812" s="343">
        <v>7388</v>
      </c>
      <c r="H812" s="343">
        <v>1052</v>
      </c>
      <c r="I812" s="343">
        <v>7033</v>
      </c>
      <c r="J812" s="343">
        <v>10024</v>
      </c>
      <c r="K812" s="343">
        <v>25497</v>
      </c>
      <c r="L812" s="231"/>
      <c r="M812" s="343">
        <v>0</v>
      </c>
      <c r="N812" s="343">
        <v>0</v>
      </c>
      <c r="O812" s="343">
        <v>0</v>
      </c>
      <c r="P812" s="343">
        <v>0</v>
      </c>
      <c r="Q812" s="231"/>
      <c r="R812" s="343">
        <v>19221</v>
      </c>
      <c r="S812" s="343">
        <v>4590</v>
      </c>
      <c r="T812" s="343">
        <v>23811</v>
      </c>
    </row>
    <row r="813" spans="1:20">
      <c r="A813" s="349">
        <v>98641</v>
      </c>
      <c r="B813" s="342" t="s">
        <v>1508</v>
      </c>
      <c r="C813" s="234">
        <v>2.7090000000000003E-4</v>
      </c>
      <c r="D813" s="234">
        <v>2.9080000000000002E-4</v>
      </c>
      <c r="E813" s="343">
        <v>739807</v>
      </c>
      <c r="F813" s="231"/>
      <c r="G813" s="343">
        <v>126674</v>
      </c>
      <c r="H813" s="343">
        <v>18045</v>
      </c>
      <c r="I813" s="343">
        <v>120576</v>
      </c>
      <c r="J813" s="343">
        <v>1402</v>
      </c>
      <c r="K813" s="343">
        <v>266697</v>
      </c>
      <c r="L813" s="231"/>
      <c r="M813" s="343">
        <v>0</v>
      </c>
      <c r="N813" s="343">
        <v>0</v>
      </c>
      <c r="O813" s="343">
        <v>8996</v>
      </c>
      <c r="P813" s="343">
        <v>8996</v>
      </c>
      <c r="Q813" s="231"/>
      <c r="R813" s="343">
        <v>329553</v>
      </c>
      <c r="S813" s="343">
        <v>-3836</v>
      </c>
      <c r="T813" s="343">
        <v>325717</v>
      </c>
    </row>
    <row r="814" spans="1:20">
      <c r="A814" s="349">
        <v>98701</v>
      </c>
      <c r="B814" s="342" t="s">
        <v>1509</v>
      </c>
      <c r="C814" s="234">
        <v>9.7790000000000008E-4</v>
      </c>
      <c r="D814" s="234">
        <v>1.0870000000000001E-3</v>
      </c>
      <c r="E814" s="343">
        <v>2670569</v>
      </c>
      <c r="F814" s="231"/>
      <c r="G814" s="343">
        <v>457269</v>
      </c>
      <c r="H814" s="343">
        <v>65139</v>
      </c>
      <c r="I814" s="343">
        <v>435258</v>
      </c>
      <c r="J814" s="343">
        <v>1031</v>
      </c>
      <c r="K814" s="343">
        <v>958697</v>
      </c>
      <c r="L814" s="231"/>
      <c r="M814" s="343">
        <v>0</v>
      </c>
      <c r="N814" s="343">
        <v>0</v>
      </c>
      <c r="O814" s="343">
        <v>125086</v>
      </c>
      <c r="P814" s="343">
        <v>125086</v>
      </c>
      <c r="Q814" s="231"/>
      <c r="R814" s="343">
        <v>1189628</v>
      </c>
      <c r="S814" s="343">
        <v>-49441</v>
      </c>
      <c r="T814" s="343">
        <v>1140187</v>
      </c>
    </row>
    <row r="815" spans="1:20">
      <c r="A815" s="349">
        <v>98711</v>
      </c>
      <c r="B815" s="342" t="s">
        <v>1510</v>
      </c>
      <c r="C815" s="234">
        <v>1.671E-4</v>
      </c>
      <c r="D815" s="234">
        <v>1.6679999999999999E-4</v>
      </c>
      <c r="E815" s="343">
        <v>456337</v>
      </c>
      <c r="F815" s="231"/>
      <c r="G815" s="343">
        <v>78136</v>
      </c>
      <c r="H815" s="343">
        <v>11130</v>
      </c>
      <c r="I815" s="343">
        <v>74375</v>
      </c>
      <c r="J815" s="343">
        <v>0</v>
      </c>
      <c r="K815" s="343">
        <v>163641</v>
      </c>
      <c r="L815" s="231"/>
      <c r="M815" s="343">
        <v>0</v>
      </c>
      <c r="N815" s="343">
        <v>0</v>
      </c>
      <c r="O815" s="343">
        <v>29840</v>
      </c>
      <c r="P815" s="343">
        <v>29840</v>
      </c>
      <c r="Q815" s="231"/>
      <c r="R815" s="343">
        <v>203279</v>
      </c>
      <c r="S815" s="343">
        <v>-12286</v>
      </c>
      <c r="T815" s="343">
        <v>190993</v>
      </c>
    </row>
    <row r="816" spans="1:20">
      <c r="A816" s="349">
        <v>98717</v>
      </c>
      <c r="B816" s="342" t="s">
        <v>1511</v>
      </c>
      <c r="C816" s="234">
        <v>2.2399999999999999E-5</v>
      </c>
      <c r="D816" s="234">
        <v>1.9599999999999999E-5</v>
      </c>
      <c r="E816" s="343">
        <v>61173</v>
      </c>
      <c r="F816" s="231"/>
      <c r="G816" s="343">
        <v>10474</v>
      </c>
      <c r="H816" s="343">
        <v>1492</v>
      </c>
      <c r="I816" s="343">
        <v>9970</v>
      </c>
      <c r="J816" s="343">
        <v>1953</v>
      </c>
      <c r="K816" s="343">
        <v>23889</v>
      </c>
      <c r="L816" s="231"/>
      <c r="M816" s="343">
        <v>0</v>
      </c>
      <c r="N816" s="343">
        <v>0</v>
      </c>
      <c r="O816" s="343">
        <v>1423</v>
      </c>
      <c r="P816" s="343">
        <v>1423</v>
      </c>
      <c r="Q816" s="231"/>
      <c r="R816" s="343">
        <v>27250</v>
      </c>
      <c r="S816" s="343">
        <v>254</v>
      </c>
      <c r="T816" s="343">
        <v>27504</v>
      </c>
    </row>
    <row r="817" spans="1:20">
      <c r="A817" s="349">
        <v>98801</v>
      </c>
      <c r="B817" s="342" t="s">
        <v>1512</v>
      </c>
      <c r="C817" s="234">
        <v>2.1632999999999999E-3</v>
      </c>
      <c r="D817" s="234">
        <v>2.1394999999999999E-3</v>
      </c>
      <c r="E817" s="343">
        <v>5907804</v>
      </c>
      <c r="F817" s="231"/>
      <c r="G817" s="343">
        <v>1011566</v>
      </c>
      <c r="H817" s="343">
        <v>144100</v>
      </c>
      <c r="I817" s="343">
        <v>962874</v>
      </c>
      <c r="J817" s="343">
        <v>101351</v>
      </c>
      <c r="K817" s="343">
        <v>2219891</v>
      </c>
      <c r="L817" s="231"/>
      <c r="M817" s="343">
        <v>0</v>
      </c>
      <c r="N817" s="343">
        <v>0</v>
      </c>
      <c r="O817" s="343">
        <v>57063</v>
      </c>
      <c r="P817" s="343">
        <v>57063</v>
      </c>
      <c r="Q817" s="231"/>
      <c r="R817" s="343">
        <v>2631683</v>
      </c>
      <c r="S817" s="343">
        <v>36575</v>
      </c>
      <c r="T817" s="343">
        <v>2668258</v>
      </c>
    </row>
    <row r="818" spans="1:20">
      <c r="A818" s="349">
        <v>98811</v>
      </c>
      <c r="B818" s="342" t="s">
        <v>1513</v>
      </c>
      <c r="C818" s="234">
        <v>6.8610000000000003E-4</v>
      </c>
      <c r="D818" s="234">
        <v>6.332E-4</v>
      </c>
      <c r="E818" s="343">
        <v>1873686</v>
      </c>
      <c r="F818" s="231"/>
      <c r="G818" s="343">
        <v>320822</v>
      </c>
      <c r="H818" s="343">
        <v>45702</v>
      </c>
      <c r="I818" s="343">
        <v>305380</v>
      </c>
      <c r="J818" s="343">
        <v>59453</v>
      </c>
      <c r="K818" s="343">
        <v>731357</v>
      </c>
      <c r="L818" s="231"/>
      <c r="M818" s="343">
        <v>0</v>
      </c>
      <c r="N818" s="343">
        <v>0</v>
      </c>
      <c r="O818" s="343">
        <v>18221</v>
      </c>
      <c r="P818" s="343">
        <v>18221</v>
      </c>
      <c r="Q818" s="231"/>
      <c r="R818" s="343">
        <v>834650</v>
      </c>
      <c r="S818" s="343">
        <v>4037</v>
      </c>
      <c r="T818" s="343">
        <v>838687</v>
      </c>
    </row>
    <row r="819" spans="1:20">
      <c r="A819" s="349">
        <v>98817</v>
      </c>
      <c r="B819" s="342" t="s">
        <v>1514</v>
      </c>
      <c r="C819" s="234">
        <v>1.7E-5</v>
      </c>
      <c r="D819" s="234">
        <v>2.4000000000000001E-5</v>
      </c>
      <c r="E819" s="343">
        <v>46426</v>
      </c>
      <c r="F819" s="231"/>
      <c r="G819" s="343">
        <v>7949</v>
      </c>
      <c r="H819" s="343">
        <v>1132</v>
      </c>
      <c r="I819" s="343">
        <v>7567</v>
      </c>
      <c r="J819" s="343">
        <v>2606</v>
      </c>
      <c r="K819" s="343">
        <v>19254</v>
      </c>
      <c r="L819" s="231"/>
      <c r="M819" s="343">
        <v>0</v>
      </c>
      <c r="N819" s="343">
        <v>0</v>
      </c>
      <c r="O819" s="343">
        <v>3818</v>
      </c>
      <c r="P819" s="343">
        <v>3818</v>
      </c>
      <c r="Q819" s="231"/>
      <c r="R819" s="343">
        <v>20681</v>
      </c>
      <c r="S819" s="343">
        <v>269</v>
      </c>
      <c r="T819" s="343">
        <v>20950</v>
      </c>
    </row>
    <row r="820" spans="1:20">
      <c r="A820" s="349">
        <v>98901</v>
      </c>
      <c r="B820" s="342" t="s">
        <v>1515</v>
      </c>
      <c r="C820" s="234">
        <v>2.8390000000000002E-4</v>
      </c>
      <c r="D820" s="234">
        <v>3.0289999999999999E-4</v>
      </c>
      <c r="E820" s="343">
        <v>775309</v>
      </c>
      <c r="F820" s="231"/>
      <c r="G820" s="343">
        <v>132752</v>
      </c>
      <c r="H820" s="343">
        <v>18911</v>
      </c>
      <c r="I820" s="343">
        <v>126362</v>
      </c>
      <c r="J820" s="343">
        <v>5350</v>
      </c>
      <c r="K820" s="343">
        <v>283375</v>
      </c>
      <c r="L820" s="231"/>
      <c r="M820" s="343">
        <v>0</v>
      </c>
      <c r="N820" s="343">
        <v>0</v>
      </c>
      <c r="O820" s="343">
        <v>17108</v>
      </c>
      <c r="P820" s="343">
        <v>17108</v>
      </c>
      <c r="Q820" s="231"/>
      <c r="R820" s="343">
        <v>345368</v>
      </c>
      <c r="S820" s="343">
        <v>-3457</v>
      </c>
      <c r="T820" s="343">
        <v>341911</v>
      </c>
    </row>
    <row r="821" spans="1:20">
      <c r="A821" s="349">
        <v>98904</v>
      </c>
      <c r="B821" s="342" t="s">
        <v>2783</v>
      </c>
      <c r="C821" s="234">
        <v>3.9999999999999998E-6</v>
      </c>
      <c r="D821" s="234">
        <v>3.9999999999999998E-6</v>
      </c>
      <c r="E821" s="343">
        <v>10924</v>
      </c>
      <c r="F821" s="231"/>
      <c r="G821" s="343">
        <v>1870</v>
      </c>
      <c r="H821" s="343">
        <v>267</v>
      </c>
      <c r="I821" s="343">
        <v>1780</v>
      </c>
      <c r="J821" s="343">
        <v>455</v>
      </c>
      <c r="K821" s="343">
        <v>4372</v>
      </c>
      <c r="L821" s="231"/>
      <c r="M821" s="343">
        <v>0</v>
      </c>
      <c r="N821" s="343">
        <v>0</v>
      </c>
      <c r="O821" s="343">
        <v>1079</v>
      </c>
      <c r="P821" s="343">
        <v>1079</v>
      </c>
      <c r="Q821" s="231"/>
      <c r="R821" s="343">
        <v>4866</v>
      </c>
      <c r="S821" s="343">
        <v>-279</v>
      </c>
      <c r="T821" s="343">
        <v>4587</v>
      </c>
    </row>
    <row r="822" spans="1:20">
      <c r="A822" s="349">
        <v>98911</v>
      </c>
      <c r="B822" s="342" t="s">
        <v>1517</v>
      </c>
      <c r="C822" s="234">
        <v>1.59E-5</v>
      </c>
      <c r="D822" s="234">
        <v>2.8900000000000001E-5</v>
      </c>
      <c r="E822" s="343">
        <v>43422</v>
      </c>
      <c r="F822" s="231"/>
      <c r="G822" s="343">
        <v>7435</v>
      </c>
      <c r="H822" s="343">
        <v>1059</v>
      </c>
      <c r="I822" s="343">
        <v>7077</v>
      </c>
      <c r="J822" s="343">
        <v>7092</v>
      </c>
      <c r="K822" s="343">
        <v>22663</v>
      </c>
      <c r="L822" s="231"/>
      <c r="M822" s="343">
        <v>0</v>
      </c>
      <c r="N822" s="343">
        <v>0</v>
      </c>
      <c r="O822" s="343">
        <v>1159</v>
      </c>
      <c r="P822" s="343">
        <v>1159</v>
      </c>
      <c r="Q822" s="231"/>
      <c r="R822" s="343">
        <v>19343</v>
      </c>
      <c r="S822" s="343">
        <v>5261</v>
      </c>
      <c r="T822" s="343">
        <v>24604</v>
      </c>
    </row>
    <row r="823" spans="1:20">
      <c r="A823" s="349">
        <v>99001</v>
      </c>
      <c r="B823" s="342" t="s">
        <v>1518</v>
      </c>
      <c r="C823" s="234">
        <v>8.8266000000000004E-3</v>
      </c>
      <c r="D823" s="234">
        <v>8.2226E-3</v>
      </c>
      <c r="E823" s="343">
        <v>24104756</v>
      </c>
      <c r="F823" s="231"/>
      <c r="G823" s="343">
        <v>4127345</v>
      </c>
      <c r="H823" s="343">
        <v>587948</v>
      </c>
      <c r="I823" s="343">
        <v>3928676</v>
      </c>
      <c r="J823" s="343">
        <v>530235</v>
      </c>
      <c r="K823" s="343">
        <v>9174204</v>
      </c>
      <c r="L823" s="231"/>
      <c r="M823" s="343">
        <v>0</v>
      </c>
      <c r="N823" s="343">
        <v>0</v>
      </c>
      <c r="O823" s="343">
        <v>0</v>
      </c>
      <c r="P823" s="343">
        <v>0</v>
      </c>
      <c r="Q823" s="231"/>
      <c r="R823" s="343">
        <v>10737674</v>
      </c>
      <c r="S823" s="343">
        <v>229227</v>
      </c>
      <c r="T823" s="343">
        <v>10966901</v>
      </c>
    </row>
    <row r="824" spans="1:20">
      <c r="A824" s="349">
        <v>99011</v>
      </c>
      <c r="B824" s="342" t="s">
        <v>1519</v>
      </c>
      <c r="C824" s="234">
        <v>3.8520999999999998E-3</v>
      </c>
      <c r="D824" s="234">
        <v>3.8665000000000001E-3</v>
      </c>
      <c r="E824" s="343">
        <v>10519785</v>
      </c>
      <c r="F824" s="231"/>
      <c r="G824" s="343">
        <v>1801254</v>
      </c>
      <c r="H824" s="343">
        <v>256592</v>
      </c>
      <c r="I824" s="343">
        <v>1714550</v>
      </c>
      <c r="J824" s="343">
        <v>22406</v>
      </c>
      <c r="K824" s="343">
        <v>3794802</v>
      </c>
      <c r="L824" s="231"/>
      <c r="M824" s="343">
        <v>0</v>
      </c>
      <c r="N824" s="343">
        <v>0</v>
      </c>
      <c r="O824" s="343">
        <v>71000</v>
      </c>
      <c r="P824" s="343">
        <v>71000</v>
      </c>
      <c r="Q824" s="231"/>
      <c r="R824" s="343">
        <v>4686130</v>
      </c>
      <c r="S824" s="343">
        <v>-107569</v>
      </c>
      <c r="T824" s="343">
        <v>4578561</v>
      </c>
    </row>
    <row r="825" spans="1:20">
      <c r="A825" s="349">
        <v>99013</v>
      </c>
      <c r="B825" s="342" t="s">
        <v>1520</v>
      </c>
      <c r="C825" s="234">
        <v>4.7599999999999998E-5</v>
      </c>
      <c r="D825" s="234">
        <v>4.8900000000000003E-5</v>
      </c>
      <c r="E825" s="343">
        <v>129992</v>
      </c>
      <c r="F825" s="231"/>
      <c r="G825" s="343">
        <v>22258</v>
      </c>
      <c r="H825" s="343">
        <v>3171</v>
      </c>
      <c r="I825" s="343">
        <v>21187</v>
      </c>
      <c r="J825" s="343">
        <v>3530</v>
      </c>
      <c r="K825" s="343">
        <v>50146</v>
      </c>
      <c r="L825" s="231"/>
      <c r="M825" s="343">
        <v>0</v>
      </c>
      <c r="N825" s="343">
        <v>0</v>
      </c>
      <c r="O825" s="343">
        <v>3602</v>
      </c>
      <c r="P825" s="343">
        <v>3602</v>
      </c>
      <c r="Q825" s="231"/>
      <c r="R825" s="343">
        <v>57906</v>
      </c>
      <c r="S825" s="343">
        <v>-2200</v>
      </c>
      <c r="T825" s="343">
        <v>55706</v>
      </c>
    </row>
    <row r="826" spans="1:20">
      <c r="A826" s="349">
        <v>99014</v>
      </c>
      <c r="B826" s="342" t="s">
        <v>1521</v>
      </c>
      <c r="C826" s="234">
        <v>2.1299999999999999E-5</v>
      </c>
      <c r="D826" s="234">
        <v>1.45E-5</v>
      </c>
      <c r="E826" s="343">
        <v>58169</v>
      </c>
      <c r="F826" s="231"/>
      <c r="G826" s="343">
        <v>9960</v>
      </c>
      <c r="H826" s="343">
        <v>1419</v>
      </c>
      <c r="I826" s="343">
        <v>9481</v>
      </c>
      <c r="J826" s="343">
        <v>14736</v>
      </c>
      <c r="K826" s="343">
        <v>35596</v>
      </c>
      <c r="L826" s="231"/>
      <c r="M826" s="343">
        <v>0</v>
      </c>
      <c r="N826" s="343">
        <v>0</v>
      </c>
      <c r="O826" s="343">
        <v>169</v>
      </c>
      <c r="P826" s="343">
        <v>169</v>
      </c>
      <c r="Q826" s="231"/>
      <c r="R826" s="343">
        <v>25912</v>
      </c>
      <c r="S826" s="343">
        <v>6955</v>
      </c>
      <c r="T826" s="343">
        <v>32867</v>
      </c>
    </row>
    <row r="827" spans="1:20">
      <c r="A827" s="349">
        <v>99017</v>
      </c>
      <c r="B827" s="342" t="s">
        <v>1522</v>
      </c>
      <c r="C827" s="234">
        <v>4.8600000000000002E-5</v>
      </c>
      <c r="D827" s="234">
        <v>4.5599999999999997E-5</v>
      </c>
      <c r="E827" s="343">
        <v>132723</v>
      </c>
      <c r="F827" s="231"/>
      <c r="G827" s="343">
        <v>22726</v>
      </c>
      <c r="H827" s="343">
        <v>3237</v>
      </c>
      <c r="I827" s="343">
        <v>21632</v>
      </c>
      <c r="J827" s="343">
        <v>4265</v>
      </c>
      <c r="K827" s="343">
        <v>51860</v>
      </c>
      <c r="L827" s="231"/>
      <c r="M827" s="343">
        <v>0</v>
      </c>
      <c r="N827" s="343">
        <v>0</v>
      </c>
      <c r="O827" s="343">
        <v>2470</v>
      </c>
      <c r="P827" s="343">
        <v>2470</v>
      </c>
      <c r="Q827" s="231"/>
      <c r="R827" s="343">
        <v>59123</v>
      </c>
      <c r="S827" s="343">
        <v>2106</v>
      </c>
      <c r="T827" s="343">
        <v>61229</v>
      </c>
    </row>
    <row r="828" spans="1:20">
      <c r="A828" s="349">
        <v>99021</v>
      </c>
      <c r="B828" s="342" t="s">
        <v>1523</v>
      </c>
      <c r="C828" s="234">
        <v>1.405E-4</v>
      </c>
      <c r="D828" s="234">
        <v>1.3200000000000001E-4</v>
      </c>
      <c r="E828" s="343">
        <v>383695</v>
      </c>
      <c r="F828" s="231"/>
      <c r="G828" s="343">
        <v>65698</v>
      </c>
      <c r="H828" s="343">
        <v>9359</v>
      </c>
      <c r="I828" s="343">
        <v>62536</v>
      </c>
      <c r="J828" s="343">
        <v>7662</v>
      </c>
      <c r="K828" s="343">
        <v>145255</v>
      </c>
      <c r="L828" s="231"/>
      <c r="M828" s="343">
        <v>0</v>
      </c>
      <c r="N828" s="343">
        <v>0</v>
      </c>
      <c r="O828" s="343">
        <v>10130</v>
      </c>
      <c r="P828" s="343">
        <v>10130</v>
      </c>
      <c r="Q828" s="231"/>
      <c r="R828" s="343">
        <v>170920</v>
      </c>
      <c r="S828" s="343">
        <v>734</v>
      </c>
      <c r="T828" s="343">
        <v>171654</v>
      </c>
    </row>
    <row r="829" spans="1:20">
      <c r="A829" s="349">
        <v>99022</v>
      </c>
      <c r="B829" s="342" t="s">
        <v>211</v>
      </c>
      <c r="C829" s="234">
        <v>8.8000000000000004E-6</v>
      </c>
      <c r="D829" s="234">
        <v>9.9000000000000001E-6</v>
      </c>
      <c r="E829" s="343">
        <v>24032</v>
      </c>
      <c r="F829" s="231"/>
      <c r="G829" s="343">
        <v>4115</v>
      </c>
      <c r="H829" s="343">
        <v>586</v>
      </c>
      <c r="I829" s="343">
        <v>3917</v>
      </c>
      <c r="J829" s="343">
        <v>12266</v>
      </c>
      <c r="K829" s="343">
        <v>20884</v>
      </c>
      <c r="L829" s="231"/>
      <c r="M829" s="343">
        <v>0</v>
      </c>
      <c r="N829" s="343">
        <v>0</v>
      </c>
      <c r="O829" s="343">
        <v>0</v>
      </c>
      <c r="P829" s="343">
        <v>0</v>
      </c>
      <c r="Q829" s="231"/>
      <c r="R829" s="343">
        <v>10705</v>
      </c>
      <c r="S829" s="343">
        <v>5476</v>
      </c>
      <c r="T829" s="343">
        <v>16181</v>
      </c>
    </row>
    <row r="830" spans="1:20">
      <c r="A830" s="349">
        <v>99031</v>
      </c>
      <c r="B830" s="342" t="s">
        <v>1524</v>
      </c>
      <c r="C830" s="234">
        <v>1.208E-4</v>
      </c>
      <c r="D830" s="234">
        <v>1.3669999999999999E-4</v>
      </c>
      <c r="E830" s="343">
        <v>329895</v>
      </c>
      <c r="F830" s="231"/>
      <c r="G830" s="343">
        <v>56486</v>
      </c>
      <c r="H830" s="343">
        <v>8047</v>
      </c>
      <c r="I830" s="343">
        <v>53767</v>
      </c>
      <c r="J830" s="343">
        <v>855</v>
      </c>
      <c r="K830" s="343">
        <v>119155</v>
      </c>
      <c r="L830" s="231"/>
      <c r="M830" s="343">
        <v>0</v>
      </c>
      <c r="N830" s="343">
        <v>0</v>
      </c>
      <c r="O830" s="343">
        <v>32741</v>
      </c>
      <c r="P830" s="343">
        <v>32741</v>
      </c>
      <c r="Q830" s="231"/>
      <c r="R830" s="343">
        <v>146955</v>
      </c>
      <c r="S830" s="343">
        <v>-11255</v>
      </c>
      <c r="T830" s="343">
        <v>135700</v>
      </c>
    </row>
    <row r="831" spans="1:20">
      <c r="A831" s="349">
        <v>99041</v>
      </c>
      <c r="B831" s="342" t="s">
        <v>1525</v>
      </c>
      <c r="C831" s="234">
        <v>6.3840000000000001E-4</v>
      </c>
      <c r="D831" s="234">
        <v>6.6399999999999999E-4</v>
      </c>
      <c r="E831" s="343">
        <v>1743421</v>
      </c>
      <c r="F831" s="231"/>
      <c r="G831" s="343">
        <v>298518</v>
      </c>
      <c r="H831" s="343">
        <v>42525</v>
      </c>
      <c r="I831" s="343">
        <v>284149</v>
      </c>
      <c r="J831" s="343">
        <v>10836</v>
      </c>
      <c r="K831" s="343">
        <v>636028</v>
      </c>
      <c r="L831" s="231"/>
      <c r="M831" s="343">
        <v>0</v>
      </c>
      <c r="N831" s="343">
        <v>0</v>
      </c>
      <c r="O831" s="343">
        <v>46850</v>
      </c>
      <c r="P831" s="343">
        <v>46850</v>
      </c>
      <c r="Q831" s="231"/>
      <c r="R831" s="343">
        <v>776622</v>
      </c>
      <c r="S831" s="343">
        <v>697</v>
      </c>
      <c r="T831" s="343">
        <v>777319</v>
      </c>
    </row>
    <row r="832" spans="1:20">
      <c r="A832" s="349">
        <v>99047</v>
      </c>
      <c r="B832" s="342" t="s">
        <v>1526</v>
      </c>
      <c r="C832" s="234">
        <v>1.33E-5</v>
      </c>
      <c r="D832" s="234">
        <v>1.56E-5</v>
      </c>
      <c r="E832" s="343">
        <v>36321</v>
      </c>
      <c r="F832" s="231"/>
      <c r="G832" s="343">
        <v>6219</v>
      </c>
      <c r="H832" s="343">
        <v>886</v>
      </c>
      <c r="I832" s="343">
        <v>5920</v>
      </c>
      <c r="J832" s="343">
        <v>6831</v>
      </c>
      <c r="K832" s="343">
        <v>19856</v>
      </c>
      <c r="L832" s="231"/>
      <c r="M832" s="343">
        <v>0</v>
      </c>
      <c r="N832" s="343">
        <v>0</v>
      </c>
      <c r="O832" s="343">
        <v>0</v>
      </c>
      <c r="P832" s="343">
        <v>0</v>
      </c>
      <c r="Q832" s="231"/>
      <c r="R832" s="343">
        <v>16180</v>
      </c>
      <c r="S832" s="343">
        <v>3039</v>
      </c>
      <c r="T832" s="343">
        <v>19219</v>
      </c>
    </row>
    <row r="833" spans="1:20">
      <c r="A833" s="349">
        <v>99051</v>
      </c>
      <c r="B833" s="342" t="s">
        <v>1527</v>
      </c>
      <c r="C833" s="234">
        <v>3.4049999999999998E-4</v>
      </c>
      <c r="D833" s="234">
        <v>3.5330000000000002E-4</v>
      </c>
      <c r="E833" s="343">
        <v>929879</v>
      </c>
      <c r="F833" s="231"/>
      <c r="G833" s="343">
        <v>159219</v>
      </c>
      <c r="H833" s="343">
        <v>22681</v>
      </c>
      <c r="I833" s="343">
        <v>151555</v>
      </c>
      <c r="J833" s="343">
        <v>2211</v>
      </c>
      <c r="K833" s="343">
        <v>335666</v>
      </c>
      <c r="L833" s="231"/>
      <c r="M833" s="343">
        <v>0</v>
      </c>
      <c r="N833" s="343">
        <v>0</v>
      </c>
      <c r="O833" s="343">
        <v>26623</v>
      </c>
      <c r="P833" s="343">
        <v>26623</v>
      </c>
      <c r="Q833" s="231"/>
      <c r="R833" s="343">
        <v>414223</v>
      </c>
      <c r="S833" s="343">
        <v>-3868</v>
      </c>
      <c r="T833" s="343">
        <v>410355</v>
      </c>
    </row>
    <row r="834" spans="1:20">
      <c r="A834" s="349">
        <v>99061</v>
      </c>
      <c r="B834" s="342" t="s">
        <v>1528</v>
      </c>
      <c r="C834" s="234">
        <v>6.1E-6</v>
      </c>
      <c r="D834" s="234">
        <v>7.5000000000000002E-6</v>
      </c>
      <c r="E834" s="343">
        <v>16659</v>
      </c>
      <c r="F834" s="231"/>
      <c r="G834" s="343">
        <v>2852</v>
      </c>
      <c r="H834" s="343">
        <v>406</v>
      </c>
      <c r="I834" s="343">
        <v>2715</v>
      </c>
      <c r="J834" s="343">
        <v>4807</v>
      </c>
      <c r="K834" s="343">
        <v>10780</v>
      </c>
      <c r="L834" s="231"/>
      <c r="M834" s="343">
        <v>0</v>
      </c>
      <c r="N834" s="343">
        <v>0</v>
      </c>
      <c r="O834" s="343">
        <v>0</v>
      </c>
      <c r="P834" s="343">
        <v>0</v>
      </c>
      <c r="Q834" s="231"/>
      <c r="R834" s="343">
        <v>7421</v>
      </c>
      <c r="S834" s="343">
        <v>3240</v>
      </c>
      <c r="T834" s="343">
        <v>10661</v>
      </c>
    </row>
    <row r="835" spans="1:20">
      <c r="A835" s="349">
        <v>99071</v>
      </c>
      <c r="B835" s="342" t="s">
        <v>1529</v>
      </c>
      <c r="C835" s="234">
        <v>2.4499999999999999E-5</v>
      </c>
      <c r="D835" s="234">
        <v>2.2799999999999999E-5</v>
      </c>
      <c r="E835" s="343">
        <v>66908</v>
      </c>
      <c r="F835" s="231"/>
      <c r="G835" s="343">
        <v>11456</v>
      </c>
      <c r="H835" s="343">
        <v>1632</v>
      </c>
      <c r="I835" s="343">
        <v>10905</v>
      </c>
      <c r="J835" s="343">
        <v>4950</v>
      </c>
      <c r="K835" s="343">
        <v>28943</v>
      </c>
      <c r="L835" s="231"/>
      <c r="M835" s="343">
        <v>0</v>
      </c>
      <c r="N835" s="343">
        <v>0</v>
      </c>
      <c r="O835" s="343">
        <v>2699</v>
      </c>
      <c r="P835" s="343">
        <v>2699</v>
      </c>
      <c r="Q835" s="231"/>
      <c r="R835" s="343">
        <v>29805</v>
      </c>
      <c r="S835" s="343">
        <v>-141</v>
      </c>
      <c r="T835" s="343">
        <v>29664</v>
      </c>
    </row>
    <row r="836" spans="1:20">
      <c r="A836" s="349">
        <v>99081</v>
      </c>
      <c r="B836" s="342" t="s">
        <v>1530</v>
      </c>
      <c r="C836" s="234">
        <v>3.65E-5</v>
      </c>
      <c r="D836" s="234">
        <v>1.4600000000000001E-5</v>
      </c>
      <c r="E836" s="343">
        <v>99679</v>
      </c>
      <c r="F836" s="231"/>
      <c r="G836" s="343">
        <v>17068</v>
      </c>
      <c r="H836" s="343">
        <v>2431</v>
      </c>
      <c r="I836" s="343">
        <v>16246</v>
      </c>
      <c r="J836" s="343">
        <v>18833</v>
      </c>
      <c r="K836" s="343">
        <v>54578</v>
      </c>
      <c r="L836" s="231"/>
      <c r="M836" s="343">
        <v>0</v>
      </c>
      <c r="N836" s="343">
        <v>0</v>
      </c>
      <c r="O836" s="343">
        <v>5145</v>
      </c>
      <c r="P836" s="343">
        <v>5145</v>
      </c>
      <c r="Q836" s="231"/>
      <c r="R836" s="343">
        <v>44403</v>
      </c>
      <c r="S836" s="343">
        <v>3373</v>
      </c>
      <c r="T836" s="343">
        <v>47776</v>
      </c>
    </row>
    <row r="837" spans="1:20">
      <c r="A837" s="349">
        <v>99091</v>
      </c>
      <c r="B837" s="342" t="s">
        <v>1531</v>
      </c>
      <c r="C837" s="234">
        <v>5.4E-6</v>
      </c>
      <c r="D837" s="234">
        <v>3.4999999999999999E-6</v>
      </c>
      <c r="E837" s="343">
        <v>14747</v>
      </c>
      <c r="F837" s="231"/>
      <c r="G837" s="343">
        <v>2525</v>
      </c>
      <c r="H837" s="343">
        <v>360</v>
      </c>
      <c r="I837" s="343">
        <v>2404</v>
      </c>
      <c r="J837" s="343">
        <v>9359</v>
      </c>
      <c r="K837" s="343">
        <v>14648</v>
      </c>
      <c r="L837" s="231"/>
      <c r="M837" s="343">
        <v>0</v>
      </c>
      <c r="N837" s="343">
        <v>0</v>
      </c>
      <c r="O837" s="343">
        <v>0</v>
      </c>
      <c r="P837" s="343">
        <v>0</v>
      </c>
      <c r="Q837" s="231"/>
      <c r="R837" s="343">
        <v>6569</v>
      </c>
      <c r="S837" s="343">
        <v>3384</v>
      </c>
      <c r="T837" s="343">
        <v>9953</v>
      </c>
    </row>
    <row r="838" spans="1:20">
      <c r="A838" s="349">
        <v>99101</v>
      </c>
      <c r="B838" s="342" t="s">
        <v>1532</v>
      </c>
      <c r="C838" s="234">
        <v>2.1218000000000001E-3</v>
      </c>
      <c r="D838" s="234">
        <v>2.1986000000000002E-3</v>
      </c>
      <c r="E838" s="343">
        <v>5794470</v>
      </c>
      <c r="F838" s="231"/>
      <c r="G838" s="343">
        <v>992160</v>
      </c>
      <c r="H838" s="343">
        <v>141335</v>
      </c>
      <c r="I838" s="343">
        <v>944403</v>
      </c>
      <c r="J838" s="343">
        <v>21629</v>
      </c>
      <c r="K838" s="343">
        <v>2099527</v>
      </c>
      <c r="L838" s="231"/>
      <c r="M838" s="343">
        <v>0</v>
      </c>
      <c r="N838" s="343">
        <v>0</v>
      </c>
      <c r="O838" s="343">
        <v>146931</v>
      </c>
      <c r="P838" s="343">
        <v>146931</v>
      </c>
      <c r="Q838" s="231"/>
      <c r="R838" s="343">
        <v>2581197</v>
      </c>
      <c r="S838" s="343">
        <v>-33243</v>
      </c>
      <c r="T838" s="343">
        <v>2547954</v>
      </c>
    </row>
    <row r="839" spans="1:20">
      <c r="A839" s="349">
        <v>99104</v>
      </c>
      <c r="B839" s="342" t="s">
        <v>2782</v>
      </c>
      <c r="C839" s="234">
        <v>3.2700000000000002E-5</v>
      </c>
      <c r="D839" s="234">
        <v>3.4E-5</v>
      </c>
      <c r="E839" s="343">
        <v>89301</v>
      </c>
      <c r="F839" s="231"/>
      <c r="G839" s="343">
        <v>15291</v>
      </c>
      <c r="H839" s="343">
        <v>2178</v>
      </c>
      <c r="I839" s="343">
        <v>14555</v>
      </c>
      <c r="J839" s="343">
        <v>17421</v>
      </c>
      <c r="K839" s="343">
        <v>49445</v>
      </c>
      <c r="L839" s="231"/>
      <c r="M839" s="343">
        <v>0</v>
      </c>
      <c r="N839" s="343">
        <v>0</v>
      </c>
      <c r="O839" s="343">
        <v>0</v>
      </c>
      <c r="P839" s="343">
        <v>0</v>
      </c>
      <c r="Q839" s="231"/>
      <c r="R839" s="343">
        <v>39780</v>
      </c>
      <c r="S839" s="343">
        <v>8370</v>
      </c>
      <c r="T839" s="343">
        <v>48150</v>
      </c>
    </row>
    <row r="840" spans="1:20">
      <c r="A840" s="349">
        <v>99109</v>
      </c>
      <c r="B840" s="342" t="s">
        <v>2801</v>
      </c>
      <c r="C840" s="234">
        <v>1.169E-4</v>
      </c>
      <c r="D840" s="234">
        <v>1.194E-4</v>
      </c>
      <c r="E840" s="343">
        <v>319245</v>
      </c>
      <c r="F840" s="231"/>
      <c r="G840" s="343">
        <v>54663</v>
      </c>
      <c r="H840" s="343">
        <v>7787</v>
      </c>
      <c r="I840" s="343">
        <v>52032</v>
      </c>
      <c r="J840" s="343">
        <v>1517</v>
      </c>
      <c r="K840" s="343">
        <v>115999</v>
      </c>
      <c r="L840" s="231"/>
      <c r="M840" s="343">
        <v>0</v>
      </c>
      <c r="N840" s="343">
        <v>0</v>
      </c>
      <c r="O840" s="343">
        <v>7073</v>
      </c>
      <c r="P840" s="343">
        <v>7073</v>
      </c>
      <c r="Q840" s="231"/>
      <c r="R840" s="343">
        <v>142210</v>
      </c>
      <c r="S840" s="343">
        <v>-2269</v>
      </c>
      <c r="T840" s="343">
        <v>139941</v>
      </c>
    </row>
    <row r="841" spans="1:20">
      <c r="A841" s="349">
        <v>99110</v>
      </c>
      <c r="B841" s="342" t="s">
        <v>1535</v>
      </c>
      <c r="C841" s="234">
        <v>1.437E-4</v>
      </c>
      <c r="D841" s="234">
        <v>1.75E-4</v>
      </c>
      <c r="E841" s="343">
        <v>392433</v>
      </c>
      <c r="F841" s="231"/>
      <c r="G841" s="343">
        <v>67195</v>
      </c>
      <c r="H841" s="343">
        <v>9572</v>
      </c>
      <c r="I841" s="343">
        <v>63960</v>
      </c>
      <c r="J841" s="343">
        <v>56906</v>
      </c>
      <c r="K841" s="343">
        <v>197633</v>
      </c>
      <c r="L841" s="231"/>
      <c r="M841" s="343">
        <v>0</v>
      </c>
      <c r="N841" s="343">
        <v>0</v>
      </c>
      <c r="O841" s="343">
        <v>0</v>
      </c>
      <c r="P841" s="343">
        <v>0</v>
      </c>
      <c r="Q841" s="231"/>
      <c r="R841" s="343">
        <v>174813</v>
      </c>
      <c r="S841" s="343">
        <v>33579</v>
      </c>
      <c r="T841" s="343">
        <v>208392</v>
      </c>
    </row>
    <row r="842" spans="1:20">
      <c r="A842" s="349">
        <v>99111</v>
      </c>
      <c r="B842" s="342" t="s">
        <v>1536</v>
      </c>
      <c r="C842" s="234">
        <v>1.3064999999999999E-3</v>
      </c>
      <c r="D842" s="234">
        <v>1.3067E-3</v>
      </c>
      <c r="E842" s="343">
        <v>3567950</v>
      </c>
      <c r="F842" s="231"/>
      <c r="G842" s="343">
        <v>610923</v>
      </c>
      <c r="H842" s="343">
        <v>87027</v>
      </c>
      <c r="I842" s="343">
        <v>581517</v>
      </c>
      <c r="J842" s="343">
        <v>0</v>
      </c>
      <c r="K842" s="343">
        <v>1279467</v>
      </c>
      <c r="L842" s="231"/>
      <c r="M842" s="343">
        <v>0</v>
      </c>
      <c r="N842" s="343">
        <v>0</v>
      </c>
      <c r="O842" s="343">
        <v>65270</v>
      </c>
      <c r="P842" s="343">
        <v>65270</v>
      </c>
      <c r="Q842" s="231"/>
      <c r="R842" s="343">
        <v>1589374</v>
      </c>
      <c r="S842" s="343">
        <v>-52514</v>
      </c>
      <c r="T842" s="343">
        <v>1536860</v>
      </c>
    </row>
    <row r="843" spans="1:20">
      <c r="A843" s="349">
        <v>99201</v>
      </c>
      <c r="B843" s="342" t="s">
        <v>1537</v>
      </c>
      <c r="C843" s="234">
        <v>3.5284299999999998E-2</v>
      </c>
      <c r="D843" s="234">
        <v>3.4217999999999998E-2</v>
      </c>
      <c r="E843" s="343">
        <v>96358671</v>
      </c>
      <c r="F843" s="231"/>
      <c r="G843" s="343">
        <v>16499045</v>
      </c>
      <c r="H843" s="343">
        <v>2350323</v>
      </c>
      <c r="I843" s="343">
        <v>15704866</v>
      </c>
      <c r="J843" s="343">
        <v>1453972</v>
      </c>
      <c r="K843" s="343">
        <v>36008206</v>
      </c>
      <c r="L843" s="231"/>
      <c r="M843" s="343">
        <v>0</v>
      </c>
      <c r="N843" s="343">
        <v>0</v>
      </c>
      <c r="O843" s="343">
        <v>0</v>
      </c>
      <c r="P843" s="343">
        <v>0</v>
      </c>
      <c r="Q843" s="231"/>
      <c r="R843" s="343">
        <v>42923810</v>
      </c>
      <c r="S843" s="343">
        <v>748620</v>
      </c>
      <c r="T843" s="343">
        <v>43672430</v>
      </c>
    </row>
    <row r="844" spans="1:20">
      <c r="A844" s="349">
        <v>99202</v>
      </c>
      <c r="B844" s="342" t="s">
        <v>1538</v>
      </c>
      <c r="C844" s="234">
        <v>2.8322E-3</v>
      </c>
      <c r="D844" s="234">
        <v>2.7011000000000001E-3</v>
      </c>
      <c r="E844" s="343">
        <v>7734517</v>
      </c>
      <c r="F844" s="231"/>
      <c r="G844" s="343">
        <v>1324345</v>
      </c>
      <c r="H844" s="343">
        <v>188655</v>
      </c>
      <c r="I844" s="343">
        <v>1260598</v>
      </c>
      <c r="J844" s="343">
        <v>0</v>
      </c>
      <c r="K844" s="343">
        <v>2773598</v>
      </c>
      <c r="L844" s="231"/>
      <c r="M844" s="343">
        <v>0</v>
      </c>
      <c r="N844" s="343">
        <v>0</v>
      </c>
      <c r="O844" s="343">
        <v>63886</v>
      </c>
      <c r="P844" s="343">
        <v>63886</v>
      </c>
      <c r="Q844" s="231"/>
      <c r="R844" s="343">
        <v>3445408</v>
      </c>
      <c r="S844" s="343">
        <v>-61035</v>
      </c>
      <c r="T844" s="343">
        <v>3384373</v>
      </c>
    </row>
    <row r="845" spans="1:20">
      <c r="A845" s="349">
        <v>99203</v>
      </c>
      <c r="B845" s="342" t="s">
        <v>1539</v>
      </c>
      <c r="C845" s="234">
        <v>3.5179999999999999E-4</v>
      </c>
      <c r="D845" s="234">
        <v>2.9760000000000002E-4</v>
      </c>
      <c r="E845" s="343">
        <v>960738</v>
      </c>
      <c r="F845" s="231"/>
      <c r="G845" s="343">
        <v>164503</v>
      </c>
      <c r="H845" s="343">
        <v>23433</v>
      </c>
      <c r="I845" s="343">
        <v>156584</v>
      </c>
      <c r="J845" s="343">
        <v>38620</v>
      </c>
      <c r="K845" s="343">
        <v>383140</v>
      </c>
      <c r="L845" s="231"/>
      <c r="M845" s="343">
        <v>0</v>
      </c>
      <c r="N845" s="343">
        <v>0</v>
      </c>
      <c r="O845" s="343">
        <v>18355</v>
      </c>
      <c r="P845" s="343">
        <v>18355</v>
      </c>
      <c r="Q845" s="231"/>
      <c r="R845" s="343">
        <v>427969</v>
      </c>
      <c r="S845" s="343">
        <v>5343</v>
      </c>
      <c r="T845" s="343">
        <v>433312</v>
      </c>
    </row>
    <row r="846" spans="1:20">
      <c r="A846" s="349">
        <v>99204</v>
      </c>
      <c r="B846" s="342" t="s">
        <v>1540</v>
      </c>
      <c r="C846" s="234">
        <v>9.4149999999999995E-4</v>
      </c>
      <c r="D846" s="234">
        <v>9.2520000000000005E-4</v>
      </c>
      <c r="E846" s="343">
        <v>2571163</v>
      </c>
      <c r="F846" s="231"/>
      <c r="G846" s="343">
        <v>440248</v>
      </c>
      <c r="H846" s="343">
        <v>62714</v>
      </c>
      <c r="I846" s="343">
        <v>419057</v>
      </c>
      <c r="J846" s="343">
        <v>82702</v>
      </c>
      <c r="K846" s="343">
        <v>1004721</v>
      </c>
      <c r="L846" s="231"/>
      <c r="M846" s="343">
        <v>0</v>
      </c>
      <c r="N846" s="343">
        <v>0</v>
      </c>
      <c r="O846" s="343">
        <v>0</v>
      </c>
      <c r="P846" s="343">
        <v>0</v>
      </c>
      <c r="Q846" s="231"/>
      <c r="R846" s="343">
        <v>1145347</v>
      </c>
      <c r="S846" s="343">
        <v>47211</v>
      </c>
      <c r="T846" s="343">
        <v>1192558</v>
      </c>
    </row>
    <row r="847" spans="1:20">
      <c r="A847" s="349">
        <v>99206</v>
      </c>
      <c r="B847" s="342" t="s">
        <v>1541</v>
      </c>
      <c r="C847" s="234">
        <v>1.6375999999999999E-3</v>
      </c>
      <c r="D847" s="234">
        <v>1.7377E-3</v>
      </c>
      <c r="E847" s="343">
        <v>4472158</v>
      </c>
      <c r="F847" s="231"/>
      <c r="G847" s="343">
        <v>765747</v>
      </c>
      <c r="H847" s="343">
        <v>109083</v>
      </c>
      <c r="I847" s="343">
        <v>728888</v>
      </c>
      <c r="J847" s="343">
        <v>534608</v>
      </c>
      <c r="K847" s="343">
        <v>2138326</v>
      </c>
      <c r="L847" s="231"/>
      <c r="M847" s="343">
        <v>0</v>
      </c>
      <c r="N847" s="343">
        <v>0</v>
      </c>
      <c r="O847" s="343">
        <v>100910</v>
      </c>
      <c r="P847" s="343">
        <v>100910</v>
      </c>
      <c r="Q847" s="231"/>
      <c r="R847" s="343">
        <v>1992162</v>
      </c>
      <c r="S847" s="343">
        <v>280512</v>
      </c>
      <c r="T847" s="343">
        <v>2272674</v>
      </c>
    </row>
    <row r="848" spans="1:20">
      <c r="A848" s="349">
        <v>99207</v>
      </c>
      <c r="B848" s="342" t="s">
        <v>1542</v>
      </c>
      <c r="C848" s="234">
        <v>1.206E-4</v>
      </c>
      <c r="D848" s="234">
        <v>1.3990000000000001E-4</v>
      </c>
      <c r="E848" s="343">
        <v>329349</v>
      </c>
      <c r="F848" s="231"/>
      <c r="G848" s="343">
        <v>56393</v>
      </c>
      <c r="H848" s="343">
        <v>8034</v>
      </c>
      <c r="I848" s="343">
        <v>53678</v>
      </c>
      <c r="J848" s="343">
        <v>218751</v>
      </c>
      <c r="K848" s="343">
        <v>336856</v>
      </c>
      <c r="L848" s="231"/>
      <c r="M848" s="343">
        <v>0</v>
      </c>
      <c r="N848" s="343">
        <v>0</v>
      </c>
      <c r="O848" s="343">
        <v>0</v>
      </c>
      <c r="P848" s="343">
        <v>0</v>
      </c>
      <c r="Q848" s="231"/>
      <c r="R848" s="343">
        <v>146711</v>
      </c>
      <c r="S848" s="343">
        <v>89133</v>
      </c>
      <c r="T848" s="343">
        <v>235844</v>
      </c>
    </row>
    <row r="849" spans="1:20">
      <c r="A849" s="349">
        <v>99208</v>
      </c>
      <c r="B849" s="342" t="s">
        <v>1543</v>
      </c>
      <c r="C849" s="234">
        <v>3.0939999999999999E-4</v>
      </c>
      <c r="D849" s="234">
        <v>2.3560000000000001E-4</v>
      </c>
      <c r="E849" s="343">
        <v>844947</v>
      </c>
      <c r="F849" s="231"/>
      <c r="G849" s="343">
        <v>144676</v>
      </c>
      <c r="H849" s="343">
        <v>20609</v>
      </c>
      <c r="I849" s="343">
        <v>137712</v>
      </c>
      <c r="J849" s="343">
        <v>67706</v>
      </c>
      <c r="K849" s="343">
        <v>370703</v>
      </c>
      <c r="L849" s="231"/>
      <c r="M849" s="343">
        <v>0</v>
      </c>
      <c r="N849" s="343">
        <v>0</v>
      </c>
      <c r="O849" s="343">
        <v>7190</v>
      </c>
      <c r="P849" s="343">
        <v>7190</v>
      </c>
      <c r="Q849" s="231"/>
      <c r="R849" s="343">
        <v>376389</v>
      </c>
      <c r="S849" s="343">
        <v>9175</v>
      </c>
      <c r="T849" s="343">
        <v>385564</v>
      </c>
    </row>
    <row r="850" spans="1:20">
      <c r="A850" s="349">
        <v>99210</v>
      </c>
      <c r="B850" s="342" t="s">
        <v>3699</v>
      </c>
      <c r="C850" s="234">
        <v>1.7913E-3</v>
      </c>
      <c r="D850" s="234">
        <v>1.6613000000000001E-3</v>
      </c>
      <c r="E850" s="343">
        <v>4891901</v>
      </c>
      <c r="F850" s="231"/>
      <c r="G850" s="343">
        <v>837617</v>
      </c>
      <c r="H850" s="343">
        <v>119320</v>
      </c>
      <c r="I850" s="343">
        <v>797299</v>
      </c>
      <c r="J850" s="343">
        <v>271936</v>
      </c>
      <c r="K850" s="343">
        <v>2026172</v>
      </c>
      <c r="L850" s="231"/>
      <c r="M850" s="343">
        <v>0</v>
      </c>
      <c r="N850" s="343">
        <v>0</v>
      </c>
      <c r="O850" s="343">
        <v>0</v>
      </c>
      <c r="P850" s="343">
        <v>0</v>
      </c>
      <c r="Q850" s="231"/>
      <c r="R850" s="343">
        <v>2179140</v>
      </c>
      <c r="S850" s="343">
        <v>98691</v>
      </c>
      <c r="T850" s="343">
        <v>2277831</v>
      </c>
    </row>
    <row r="851" spans="1:20">
      <c r="A851" s="349">
        <v>99211</v>
      </c>
      <c r="B851" s="342" t="s">
        <v>1545</v>
      </c>
      <c r="C851" s="234">
        <v>3.8786099999999997E-2</v>
      </c>
      <c r="D851" s="234">
        <v>3.8652899999999997E-2</v>
      </c>
      <c r="E851" s="343">
        <v>105921814</v>
      </c>
      <c r="F851" s="231"/>
      <c r="G851" s="343">
        <v>18136497</v>
      </c>
      <c r="H851" s="343">
        <v>2583581</v>
      </c>
      <c r="I851" s="343">
        <v>17263499</v>
      </c>
      <c r="J851" s="343">
        <v>487522</v>
      </c>
      <c r="K851" s="343">
        <v>38471099</v>
      </c>
      <c r="L851" s="231"/>
      <c r="M851" s="343">
        <v>0</v>
      </c>
      <c r="N851" s="343">
        <v>0</v>
      </c>
      <c r="O851" s="343">
        <v>1274165</v>
      </c>
      <c r="P851" s="343">
        <v>1274165</v>
      </c>
      <c r="Q851" s="231"/>
      <c r="R851" s="343">
        <v>47183795</v>
      </c>
      <c r="S851" s="343">
        <v>-513660</v>
      </c>
      <c r="T851" s="343">
        <v>46670135</v>
      </c>
    </row>
    <row r="852" spans="1:20">
      <c r="A852" s="349">
        <v>99212</v>
      </c>
      <c r="B852" s="342" t="s">
        <v>3700</v>
      </c>
      <c r="C852" s="234">
        <v>6.7999999999999999E-5</v>
      </c>
      <c r="D852" s="234">
        <v>7.2200000000000007E-5</v>
      </c>
      <c r="E852" s="343">
        <v>185703</v>
      </c>
      <c r="F852" s="231"/>
      <c r="G852" s="343">
        <v>31797</v>
      </c>
      <c r="H852" s="343">
        <v>4530</v>
      </c>
      <c r="I852" s="343">
        <v>30266</v>
      </c>
      <c r="J852" s="343">
        <v>120</v>
      </c>
      <c r="K852" s="343">
        <v>66713</v>
      </c>
      <c r="L852" s="231"/>
      <c r="M852" s="343">
        <v>0</v>
      </c>
      <c r="N852" s="343">
        <v>0</v>
      </c>
      <c r="O852" s="343">
        <v>18681</v>
      </c>
      <c r="P852" s="343">
        <v>18681</v>
      </c>
      <c r="Q852" s="231"/>
      <c r="R852" s="343">
        <v>82723</v>
      </c>
      <c r="S852" s="343">
        <v>-14987</v>
      </c>
      <c r="T852" s="343">
        <v>67736</v>
      </c>
    </row>
    <row r="853" spans="1:20">
      <c r="A853" s="349">
        <v>99213</v>
      </c>
      <c r="B853" s="342" t="s">
        <v>1547</v>
      </c>
      <c r="C853" s="234">
        <v>6.7770000000000005E-4</v>
      </c>
      <c r="D853" s="234">
        <v>7.6519999999999995E-4</v>
      </c>
      <c r="E853" s="343">
        <v>1850746</v>
      </c>
      <c r="F853" s="231"/>
      <c r="G853" s="343">
        <v>316895</v>
      </c>
      <c r="H853" s="343">
        <v>45142</v>
      </c>
      <c r="I853" s="343">
        <v>301641</v>
      </c>
      <c r="J853" s="343">
        <v>10970</v>
      </c>
      <c r="K853" s="343">
        <v>674648</v>
      </c>
      <c r="L853" s="231"/>
      <c r="M853" s="343">
        <v>0</v>
      </c>
      <c r="N853" s="343">
        <v>0</v>
      </c>
      <c r="O853" s="343">
        <v>84903</v>
      </c>
      <c r="P853" s="343">
        <v>84903</v>
      </c>
      <c r="Q853" s="231"/>
      <c r="R853" s="343">
        <v>824431</v>
      </c>
      <c r="S853" s="343">
        <v>-22471</v>
      </c>
      <c r="T853" s="343">
        <v>801960</v>
      </c>
    </row>
    <row r="854" spans="1:20">
      <c r="A854" s="349">
        <v>99218</v>
      </c>
      <c r="B854" s="342" t="s">
        <v>1548</v>
      </c>
      <c r="C854" s="234">
        <v>3.4424E-3</v>
      </c>
      <c r="D854" s="234">
        <v>3.3276999999999998E-3</v>
      </c>
      <c r="E854" s="343">
        <v>9400926</v>
      </c>
      <c r="F854" s="231"/>
      <c r="G854" s="343">
        <v>1609677</v>
      </c>
      <c r="H854" s="343">
        <v>229302</v>
      </c>
      <c r="I854" s="343">
        <v>1532195</v>
      </c>
      <c r="J854" s="343">
        <v>328185</v>
      </c>
      <c r="K854" s="343">
        <v>3699359</v>
      </c>
      <c r="L854" s="231"/>
      <c r="M854" s="343">
        <v>0</v>
      </c>
      <c r="N854" s="343">
        <v>0</v>
      </c>
      <c r="O854" s="343">
        <v>0</v>
      </c>
      <c r="P854" s="343">
        <v>0</v>
      </c>
      <c r="Q854" s="231"/>
      <c r="R854" s="343">
        <v>4187724</v>
      </c>
      <c r="S854" s="343">
        <v>140332</v>
      </c>
      <c r="T854" s="343">
        <v>4328056</v>
      </c>
    </row>
    <row r="855" spans="1:20">
      <c r="A855" s="349">
        <v>99221</v>
      </c>
      <c r="B855" s="342" t="s">
        <v>1549</v>
      </c>
      <c r="C855" s="234">
        <v>1.26739E-2</v>
      </c>
      <c r="D855" s="234">
        <v>1.26885E-2</v>
      </c>
      <c r="E855" s="343">
        <v>34611432</v>
      </c>
      <c r="F855" s="231"/>
      <c r="G855" s="343">
        <v>5926354</v>
      </c>
      <c r="H855" s="343">
        <v>844221</v>
      </c>
      <c r="I855" s="343">
        <v>5641090</v>
      </c>
      <c r="J855" s="343">
        <v>0</v>
      </c>
      <c r="K855" s="343">
        <v>12411665</v>
      </c>
      <c r="L855" s="231"/>
      <c r="M855" s="343">
        <v>0</v>
      </c>
      <c r="N855" s="343">
        <v>0</v>
      </c>
      <c r="O855" s="343">
        <v>426571</v>
      </c>
      <c r="P855" s="343">
        <v>426571</v>
      </c>
      <c r="Q855" s="231"/>
      <c r="R855" s="343">
        <v>15417964</v>
      </c>
      <c r="S855" s="343">
        <v>-272889</v>
      </c>
      <c r="T855" s="343">
        <v>15145075</v>
      </c>
    </row>
    <row r="856" spans="1:20">
      <c r="A856" s="349">
        <v>99222</v>
      </c>
      <c r="B856" s="342" t="s">
        <v>1550</v>
      </c>
      <c r="C856" s="234">
        <v>3.5599999999999998E-5</v>
      </c>
      <c r="D856" s="234">
        <v>3.7200000000000003E-5</v>
      </c>
      <c r="E856" s="343">
        <v>97221</v>
      </c>
      <c r="F856" s="231"/>
      <c r="G856" s="343">
        <v>16647</v>
      </c>
      <c r="H856" s="343">
        <v>2371</v>
      </c>
      <c r="I856" s="343">
        <v>15845</v>
      </c>
      <c r="J856" s="343">
        <v>0</v>
      </c>
      <c r="K856" s="343">
        <v>34863</v>
      </c>
      <c r="L856" s="231"/>
      <c r="M856" s="343">
        <v>0</v>
      </c>
      <c r="N856" s="343">
        <v>0</v>
      </c>
      <c r="O856" s="343">
        <v>5943</v>
      </c>
      <c r="P856" s="343">
        <v>5943</v>
      </c>
      <c r="Q856" s="231"/>
      <c r="R856" s="343">
        <v>43308</v>
      </c>
      <c r="S856" s="343">
        <v>-1198</v>
      </c>
      <c r="T856" s="343">
        <v>42110</v>
      </c>
    </row>
    <row r="857" spans="1:20">
      <c r="A857" s="349">
        <v>99231</v>
      </c>
      <c r="B857" s="342" t="s">
        <v>1551</v>
      </c>
      <c r="C857" s="234">
        <v>3.5159999999999998E-4</v>
      </c>
      <c r="D857" s="234">
        <v>3.6329999999999999E-4</v>
      </c>
      <c r="E857" s="343">
        <v>960192</v>
      </c>
      <c r="F857" s="231"/>
      <c r="G857" s="343">
        <v>164409</v>
      </c>
      <c r="H857" s="343">
        <v>23420</v>
      </c>
      <c r="I857" s="343">
        <v>156495</v>
      </c>
      <c r="J857" s="343">
        <v>0</v>
      </c>
      <c r="K857" s="343">
        <v>344324</v>
      </c>
      <c r="L857" s="231"/>
      <c r="M857" s="343">
        <v>0</v>
      </c>
      <c r="N857" s="343">
        <v>0</v>
      </c>
      <c r="O857" s="343">
        <v>26580</v>
      </c>
      <c r="P857" s="343">
        <v>26580</v>
      </c>
      <c r="Q857" s="231"/>
      <c r="R857" s="343">
        <v>427726</v>
      </c>
      <c r="S857" s="343">
        <v>-12529</v>
      </c>
      <c r="T857" s="343">
        <v>415197</v>
      </c>
    </row>
    <row r="858" spans="1:20">
      <c r="A858" s="349">
        <v>99241</v>
      </c>
      <c r="B858" s="342" t="s">
        <v>1552</v>
      </c>
      <c r="C858" s="234">
        <v>5.6070000000000002E-4</v>
      </c>
      <c r="D858" s="234">
        <v>5.488E-4</v>
      </c>
      <c r="E858" s="343">
        <v>1531228</v>
      </c>
      <c r="F858" s="231"/>
      <c r="G858" s="343">
        <v>262185</v>
      </c>
      <c r="H858" s="343">
        <v>37349</v>
      </c>
      <c r="I858" s="343">
        <v>249565</v>
      </c>
      <c r="J858" s="343">
        <v>0</v>
      </c>
      <c r="K858" s="343">
        <v>549099</v>
      </c>
      <c r="L858" s="231"/>
      <c r="M858" s="343">
        <v>0</v>
      </c>
      <c r="N858" s="343">
        <v>0</v>
      </c>
      <c r="O858" s="343">
        <v>37966</v>
      </c>
      <c r="P858" s="343">
        <v>37966</v>
      </c>
      <c r="Q858" s="231"/>
      <c r="R858" s="343">
        <v>682099</v>
      </c>
      <c r="S858" s="343">
        <v>-32859</v>
      </c>
      <c r="T858" s="343">
        <v>649240</v>
      </c>
    </row>
    <row r="859" spans="1:20">
      <c r="A859" s="349">
        <v>99251</v>
      </c>
      <c r="B859" s="342" t="s">
        <v>1553</v>
      </c>
      <c r="C859" s="234">
        <v>1.6358E-3</v>
      </c>
      <c r="D859" s="234">
        <v>1.5935000000000001E-3</v>
      </c>
      <c r="E859" s="343">
        <v>4467242</v>
      </c>
      <c r="F859" s="231"/>
      <c r="G859" s="343">
        <v>764905</v>
      </c>
      <c r="H859" s="343">
        <v>108962</v>
      </c>
      <c r="I859" s="343">
        <v>728086</v>
      </c>
      <c r="J859" s="343">
        <v>9898</v>
      </c>
      <c r="K859" s="343">
        <v>1611851</v>
      </c>
      <c r="L859" s="231"/>
      <c r="M859" s="343">
        <v>0</v>
      </c>
      <c r="N859" s="343">
        <v>0</v>
      </c>
      <c r="O859" s="343">
        <v>23833</v>
      </c>
      <c r="P859" s="343">
        <v>23833</v>
      </c>
      <c r="Q859" s="231"/>
      <c r="R859" s="343">
        <v>1989972</v>
      </c>
      <c r="S859" s="343">
        <v>-6485</v>
      </c>
      <c r="T859" s="343">
        <v>1983487</v>
      </c>
    </row>
    <row r="860" spans="1:20">
      <c r="A860" s="349">
        <v>99252</v>
      </c>
      <c r="B860" s="342" t="s">
        <v>3701</v>
      </c>
      <c r="C860" s="234">
        <v>6.6200000000000005E-4</v>
      </c>
      <c r="D860" s="234">
        <v>6.7239999999999997E-4</v>
      </c>
      <c r="E860" s="343">
        <v>1807870</v>
      </c>
      <c r="F860" s="231"/>
      <c r="G860" s="343">
        <v>309553</v>
      </c>
      <c r="H860" s="343">
        <v>44097</v>
      </c>
      <c r="I860" s="343">
        <v>294653</v>
      </c>
      <c r="J860" s="343">
        <v>0</v>
      </c>
      <c r="K860" s="343">
        <v>648303</v>
      </c>
      <c r="L860" s="231"/>
      <c r="M860" s="343">
        <v>0</v>
      </c>
      <c r="N860" s="343">
        <v>0</v>
      </c>
      <c r="O860" s="343">
        <v>156511</v>
      </c>
      <c r="P860" s="343">
        <v>156511</v>
      </c>
      <c r="Q860" s="231"/>
      <c r="R860" s="343">
        <v>805332</v>
      </c>
      <c r="S860" s="343">
        <v>-97206</v>
      </c>
      <c r="T860" s="343">
        <v>708126</v>
      </c>
    </row>
    <row r="861" spans="1:20">
      <c r="A861" s="349">
        <v>99261</v>
      </c>
      <c r="B861" s="342" t="s">
        <v>1555</v>
      </c>
      <c r="C861" s="234">
        <v>2.2407E-3</v>
      </c>
      <c r="D861" s="234">
        <v>2.0975999999999998E-3</v>
      </c>
      <c r="E861" s="343">
        <v>6119177</v>
      </c>
      <c r="F861" s="231"/>
      <c r="G861" s="343">
        <v>1047758</v>
      </c>
      <c r="H861" s="343">
        <v>149255</v>
      </c>
      <c r="I861" s="343">
        <v>997324</v>
      </c>
      <c r="J861" s="343">
        <v>1882</v>
      </c>
      <c r="K861" s="343">
        <v>2196219</v>
      </c>
      <c r="L861" s="231"/>
      <c r="M861" s="343">
        <v>0</v>
      </c>
      <c r="N861" s="343">
        <v>0</v>
      </c>
      <c r="O861" s="343">
        <v>52149</v>
      </c>
      <c r="P861" s="343">
        <v>52149</v>
      </c>
      <c r="Q861" s="231"/>
      <c r="R861" s="343">
        <v>2725841</v>
      </c>
      <c r="S861" s="343">
        <v>-49397</v>
      </c>
      <c r="T861" s="343">
        <v>2676444</v>
      </c>
    </row>
    <row r="862" spans="1:20">
      <c r="A862" s="349">
        <v>99271</v>
      </c>
      <c r="B862" s="342" t="s">
        <v>1556</v>
      </c>
      <c r="C862" s="234">
        <v>4.2773000000000004E-3</v>
      </c>
      <c r="D862" s="234">
        <v>4.2411999999999997E-3</v>
      </c>
      <c r="E862" s="343">
        <v>11680973</v>
      </c>
      <c r="F862" s="231"/>
      <c r="G862" s="343">
        <v>2000078</v>
      </c>
      <c r="H862" s="343">
        <v>284915</v>
      </c>
      <c r="I862" s="343">
        <v>1903805</v>
      </c>
      <c r="J862" s="343">
        <v>55819</v>
      </c>
      <c r="K862" s="343">
        <v>4244617</v>
      </c>
      <c r="L862" s="231"/>
      <c r="M862" s="343">
        <v>0</v>
      </c>
      <c r="N862" s="343">
        <v>0</v>
      </c>
      <c r="O862" s="343">
        <v>119333</v>
      </c>
      <c r="P862" s="343">
        <v>119333</v>
      </c>
      <c r="Q862" s="231"/>
      <c r="R862" s="343">
        <v>5203391</v>
      </c>
      <c r="S862" s="343">
        <v>-45027</v>
      </c>
      <c r="T862" s="343">
        <v>5158364</v>
      </c>
    </row>
    <row r="863" spans="1:20">
      <c r="A863" s="349">
        <v>99281</v>
      </c>
      <c r="B863" s="342" t="s">
        <v>1557</v>
      </c>
      <c r="C863" s="234">
        <v>2.4237E-3</v>
      </c>
      <c r="D863" s="234">
        <v>2.3770000000000002E-3</v>
      </c>
      <c r="E863" s="343">
        <v>6618936</v>
      </c>
      <c r="F863" s="231"/>
      <c r="G863" s="343">
        <v>1133329</v>
      </c>
      <c r="H863" s="343">
        <v>161445</v>
      </c>
      <c r="I863" s="343">
        <v>1078777</v>
      </c>
      <c r="J863" s="343">
        <v>14286</v>
      </c>
      <c r="K863" s="343">
        <v>2387837</v>
      </c>
      <c r="L863" s="231"/>
      <c r="M863" s="343">
        <v>0</v>
      </c>
      <c r="N863" s="343">
        <v>0</v>
      </c>
      <c r="O863" s="343">
        <v>42367</v>
      </c>
      <c r="P863" s="343">
        <v>42367</v>
      </c>
      <c r="Q863" s="231"/>
      <c r="R863" s="343">
        <v>2948463</v>
      </c>
      <c r="S863" s="343">
        <v>-37423</v>
      </c>
      <c r="T863" s="343">
        <v>2911040</v>
      </c>
    </row>
    <row r="864" spans="1:20">
      <c r="A864" s="349">
        <v>99291</v>
      </c>
      <c r="B864" s="342" t="s">
        <v>1558</v>
      </c>
      <c r="C864" s="234">
        <v>8.4909999999999998E-4</v>
      </c>
      <c r="D864" s="234">
        <v>8.2370000000000002E-4</v>
      </c>
      <c r="E864" s="343">
        <v>2318826</v>
      </c>
      <c r="F864" s="231"/>
      <c r="G864" s="343">
        <v>397042</v>
      </c>
      <c r="H864" s="343">
        <v>56560</v>
      </c>
      <c r="I864" s="343">
        <v>377930</v>
      </c>
      <c r="J864" s="343">
        <v>9422</v>
      </c>
      <c r="K864" s="343">
        <v>840954</v>
      </c>
      <c r="L864" s="231"/>
      <c r="M864" s="343">
        <v>0</v>
      </c>
      <c r="N864" s="343">
        <v>0</v>
      </c>
      <c r="O864" s="343">
        <v>75555</v>
      </c>
      <c r="P864" s="343">
        <v>75555</v>
      </c>
      <c r="Q864" s="231"/>
      <c r="R864" s="343">
        <v>1032941</v>
      </c>
      <c r="S864" s="343">
        <v>-46960</v>
      </c>
      <c r="T864" s="343">
        <v>985981</v>
      </c>
    </row>
    <row r="865" spans="1:20">
      <c r="A865" s="349">
        <v>99301</v>
      </c>
      <c r="B865" s="342" t="s">
        <v>1559</v>
      </c>
      <c r="C865" s="234">
        <v>1.6092999999999999E-3</v>
      </c>
      <c r="D865" s="234">
        <v>1.7239E-3</v>
      </c>
      <c r="E865" s="343">
        <v>4394873</v>
      </c>
      <c r="F865" s="231"/>
      <c r="G865" s="343">
        <v>752514</v>
      </c>
      <c r="H865" s="343">
        <v>107197</v>
      </c>
      <c r="I865" s="343">
        <v>716291</v>
      </c>
      <c r="J865" s="343">
        <v>0</v>
      </c>
      <c r="K865" s="343">
        <v>1576002</v>
      </c>
      <c r="L865" s="231"/>
      <c r="M865" s="343">
        <v>0</v>
      </c>
      <c r="N865" s="343">
        <v>0</v>
      </c>
      <c r="O865" s="343">
        <v>179811</v>
      </c>
      <c r="P865" s="343">
        <v>179811</v>
      </c>
      <c r="Q865" s="231"/>
      <c r="R865" s="343">
        <v>1957734</v>
      </c>
      <c r="S865" s="343">
        <v>-44257</v>
      </c>
      <c r="T865" s="343">
        <v>1913477</v>
      </c>
    </row>
    <row r="866" spans="1:20">
      <c r="A866" s="349">
        <v>99304</v>
      </c>
      <c r="B866" s="342" t="s">
        <v>1560</v>
      </c>
      <c r="C866" s="234">
        <v>7.6000000000000001E-6</v>
      </c>
      <c r="D866" s="234">
        <v>8.4999999999999999E-6</v>
      </c>
      <c r="E866" s="343">
        <v>20755</v>
      </c>
      <c r="F866" s="231"/>
      <c r="G866" s="343">
        <v>3554</v>
      </c>
      <c r="H866" s="343">
        <v>506</v>
      </c>
      <c r="I866" s="343">
        <v>3383</v>
      </c>
      <c r="J866" s="343">
        <v>6440</v>
      </c>
      <c r="K866" s="343">
        <v>13883</v>
      </c>
      <c r="L866" s="231"/>
      <c r="M866" s="343">
        <v>0</v>
      </c>
      <c r="N866" s="343">
        <v>0</v>
      </c>
      <c r="O866" s="343">
        <v>0</v>
      </c>
      <c r="P866" s="343">
        <v>0</v>
      </c>
      <c r="Q866" s="231"/>
      <c r="R866" s="343">
        <v>9245</v>
      </c>
      <c r="S866" s="343">
        <v>2920</v>
      </c>
      <c r="T866" s="343">
        <v>12165</v>
      </c>
    </row>
    <row r="867" spans="1:20">
      <c r="A867" s="349">
        <v>99311</v>
      </c>
      <c r="B867" s="342" t="s">
        <v>1561</v>
      </c>
      <c r="C867" s="234">
        <v>5.9700000000000001E-5</v>
      </c>
      <c r="D867" s="234">
        <v>6.0699999999999998E-5</v>
      </c>
      <c r="E867" s="343">
        <v>163036</v>
      </c>
      <c r="F867" s="231"/>
      <c r="G867" s="343">
        <v>27916</v>
      </c>
      <c r="H867" s="343">
        <v>3977</v>
      </c>
      <c r="I867" s="343">
        <v>26572</v>
      </c>
      <c r="J867" s="343">
        <v>3059</v>
      </c>
      <c r="K867" s="343">
        <v>61524</v>
      </c>
      <c r="L867" s="231"/>
      <c r="M867" s="343">
        <v>0</v>
      </c>
      <c r="N867" s="343">
        <v>0</v>
      </c>
      <c r="O867" s="343">
        <v>6159</v>
      </c>
      <c r="P867" s="343">
        <v>6159</v>
      </c>
      <c r="Q867" s="231"/>
      <c r="R867" s="343">
        <v>72626</v>
      </c>
      <c r="S867" s="343">
        <v>-1670</v>
      </c>
      <c r="T867" s="343">
        <v>70956</v>
      </c>
    </row>
    <row r="868" spans="1:20">
      <c r="A868" s="349">
        <v>99321</v>
      </c>
      <c r="B868" s="342" t="s">
        <v>1562</v>
      </c>
      <c r="C868" s="234">
        <v>8.6399999999999999E-5</v>
      </c>
      <c r="D868" s="234">
        <v>8.7000000000000001E-5</v>
      </c>
      <c r="E868" s="343">
        <v>235952</v>
      </c>
      <c r="F868" s="231"/>
      <c r="G868" s="343">
        <v>40401</v>
      </c>
      <c r="H868" s="343">
        <v>5755</v>
      </c>
      <c r="I868" s="343">
        <v>38456</v>
      </c>
      <c r="J868" s="343">
        <v>90082</v>
      </c>
      <c r="K868" s="343">
        <v>174694</v>
      </c>
      <c r="L868" s="231"/>
      <c r="M868" s="343">
        <v>0</v>
      </c>
      <c r="N868" s="343">
        <v>0</v>
      </c>
      <c r="O868" s="343">
        <v>0</v>
      </c>
      <c r="P868" s="343">
        <v>0</v>
      </c>
      <c r="Q868" s="231"/>
      <c r="R868" s="343">
        <v>105107</v>
      </c>
      <c r="S868" s="343">
        <v>46127</v>
      </c>
      <c r="T868" s="343">
        <v>151234</v>
      </c>
    </row>
    <row r="869" spans="1:20">
      <c r="A869" s="349">
        <v>99401</v>
      </c>
      <c r="B869" s="342" t="s">
        <v>1563</v>
      </c>
      <c r="C869" s="234">
        <v>7.7590000000000005E-4</v>
      </c>
      <c r="D869" s="234">
        <v>8.3949999999999997E-4</v>
      </c>
      <c r="E869" s="343">
        <v>2118922</v>
      </c>
      <c r="F869" s="231"/>
      <c r="G869" s="343">
        <v>362813</v>
      </c>
      <c r="H869" s="343">
        <v>51683</v>
      </c>
      <c r="I869" s="343">
        <v>345349</v>
      </c>
      <c r="J869" s="343">
        <v>3138</v>
      </c>
      <c r="K869" s="343">
        <v>762983</v>
      </c>
      <c r="L869" s="231"/>
      <c r="M869" s="343">
        <v>0</v>
      </c>
      <c r="N869" s="343">
        <v>0</v>
      </c>
      <c r="O869" s="343">
        <v>81149</v>
      </c>
      <c r="P869" s="343">
        <v>81149</v>
      </c>
      <c r="Q869" s="231"/>
      <c r="R869" s="343">
        <v>943892</v>
      </c>
      <c r="S869" s="343">
        <v>-21502</v>
      </c>
      <c r="T869" s="343">
        <v>922390</v>
      </c>
    </row>
    <row r="870" spans="1:20">
      <c r="A870" s="349">
        <v>99404</v>
      </c>
      <c r="B870" s="342" t="s">
        <v>1564</v>
      </c>
      <c r="C870" s="234">
        <v>8.4999999999999999E-6</v>
      </c>
      <c r="D870" s="234">
        <v>9.0999999999999993E-6</v>
      </c>
      <c r="E870" s="343">
        <v>23213</v>
      </c>
      <c r="F870" s="231"/>
      <c r="G870" s="343">
        <v>3975</v>
      </c>
      <c r="H870" s="343">
        <v>566</v>
      </c>
      <c r="I870" s="343">
        <v>3783</v>
      </c>
      <c r="J870" s="343">
        <v>1858</v>
      </c>
      <c r="K870" s="343">
        <v>10182</v>
      </c>
      <c r="L870" s="231"/>
      <c r="M870" s="343">
        <v>0</v>
      </c>
      <c r="N870" s="343">
        <v>0</v>
      </c>
      <c r="O870" s="343">
        <v>0</v>
      </c>
      <c r="P870" s="343">
        <v>0</v>
      </c>
      <c r="Q870" s="231"/>
      <c r="R870" s="343">
        <v>10340</v>
      </c>
      <c r="S870" s="343">
        <v>768</v>
      </c>
      <c r="T870" s="343">
        <v>11108</v>
      </c>
    </row>
    <row r="871" spans="1:20">
      <c r="A871" s="349">
        <v>99405</v>
      </c>
      <c r="B871" s="342" t="s">
        <v>1565</v>
      </c>
      <c r="C871" s="234">
        <v>5.9799999999999997E-5</v>
      </c>
      <c r="D871" s="234">
        <v>5.2200000000000002E-5</v>
      </c>
      <c r="E871" s="343">
        <v>163309</v>
      </c>
      <c r="F871" s="231"/>
      <c r="G871" s="343">
        <v>27963</v>
      </c>
      <c r="H871" s="343">
        <v>3984</v>
      </c>
      <c r="I871" s="343">
        <v>26617</v>
      </c>
      <c r="J871" s="343">
        <v>21724</v>
      </c>
      <c r="K871" s="343">
        <v>80288</v>
      </c>
      <c r="L871" s="231"/>
      <c r="M871" s="343">
        <v>0</v>
      </c>
      <c r="N871" s="343">
        <v>0</v>
      </c>
      <c r="O871" s="343">
        <v>0</v>
      </c>
      <c r="P871" s="343">
        <v>0</v>
      </c>
      <c r="Q871" s="231"/>
      <c r="R871" s="343">
        <v>72747</v>
      </c>
      <c r="S871" s="343">
        <v>9982</v>
      </c>
      <c r="T871" s="343">
        <v>82729</v>
      </c>
    </row>
    <row r="872" spans="1:20">
      <c r="A872" s="349">
        <v>99411</v>
      </c>
      <c r="B872" s="342" t="s">
        <v>1566</v>
      </c>
      <c r="C872" s="234">
        <v>1.7139999999999999E-4</v>
      </c>
      <c r="D872" s="234">
        <v>1.7239999999999999E-4</v>
      </c>
      <c r="E872" s="343">
        <v>468080</v>
      </c>
      <c r="F872" s="231"/>
      <c r="G872" s="343">
        <v>80147</v>
      </c>
      <c r="H872" s="343">
        <v>11417</v>
      </c>
      <c r="I872" s="343">
        <v>76289</v>
      </c>
      <c r="J872" s="343">
        <v>28947</v>
      </c>
      <c r="K872" s="343">
        <v>196800</v>
      </c>
      <c r="L872" s="231"/>
      <c r="M872" s="343">
        <v>0</v>
      </c>
      <c r="N872" s="343">
        <v>0</v>
      </c>
      <c r="O872" s="343">
        <v>0</v>
      </c>
      <c r="P872" s="343">
        <v>0</v>
      </c>
      <c r="Q872" s="231"/>
      <c r="R872" s="343">
        <v>208510</v>
      </c>
      <c r="S872" s="343">
        <v>16596</v>
      </c>
      <c r="T872" s="343">
        <v>225106</v>
      </c>
    </row>
    <row r="873" spans="1:20">
      <c r="A873" s="349">
        <v>99413</v>
      </c>
      <c r="B873" s="342" t="s">
        <v>1567</v>
      </c>
      <c r="C873" s="234">
        <v>2.0400000000000001E-5</v>
      </c>
      <c r="D873" s="234">
        <v>1.98E-5</v>
      </c>
      <c r="E873" s="343">
        <v>55711</v>
      </c>
      <c r="F873" s="231"/>
      <c r="G873" s="343">
        <v>9539</v>
      </c>
      <c r="H873" s="343">
        <v>1359</v>
      </c>
      <c r="I873" s="343">
        <v>9080</v>
      </c>
      <c r="J873" s="343">
        <v>8664</v>
      </c>
      <c r="K873" s="343">
        <v>28642</v>
      </c>
      <c r="L873" s="231"/>
      <c r="M873" s="343">
        <v>0</v>
      </c>
      <c r="N873" s="343">
        <v>0</v>
      </c>
      <c r="O873" s="343">
        <v>3196</v>
      </c>
      <c r="P873" s="343">
        <v>3196</v>
      </c>
      <c r="Q873" s="231"/>
      <c r="R873" s="343">
        <v>24817</v>
      </c>
      <c r="S873" s="343">
        <v>878</v>
      </c>
      <c r="T873" s="343">
        <v>25695</v>
      </c>
    </row>
    <row r="874" spans="1:20">
      <c r="A874" s="349">
        <v>99421</v>
      </c>
      <c r="B874" s="342" t="s">
        <v>1568</v>
      </c>
      <c r="C874" s="234">
        <v>1.3499999999999999E-5</v>
      </c>
      <c r="D874" s="234">
        <v>1.24E-5</v>
      </c>
      <c r="E874" s="343">
        <v>36867</v>
      </c>
      <c r="F874" s="231"/>
      <c r="G874" s="343">
        <v>6313</v>
      </c>
      <c r="H874" s="343">
        <v>899</v>
      </c>
      <c r="I874" s="343">
        <v>6009</v>
      </c>
      <c r="J874" s="343">
        <v>979</v>
      </c>
      <c r="K874" s="343">
        <v>14200</v>
      </c>
      <c r="L874" s="231"/>
      <c r="M874" s="343">
        <v>0</v>
      </c>
      <c r="N874" s="343">
        <v>0</v>
      </c>
      <c r="O874" s="343">
        <v>1752</v>
      </c>
      <c r="P874" s="343">
        <v>1752</v>
      </c>
      <c r="Q874" s="231"/>
      <c r="R874" s="343">
        <v>16423</v>
      </c>
      <c r="S874" s="343">
        <v>-1499</v>
      </c>
      <c r="T874" s="343">
        <v>14924</v>
      </c>
    </row>
    <row r="875" spans="1:20">
      <c r="A875" s="349">
        <v>99431</v>
      </c>
      <c r="B875" s="342" t="s">
        <v>1569</v>
      </c>
      <c r="C875" s="234">
        <v>1.4800000000000001E-5</v>
      </c>
      <c r="D875" s="234">
        <v>2.1999999999999999E-5</v>
      </c>
      <c r="E875" s="343">
        <v>40418</v>
      </c>
      <c r="F875" s="231"/>
      <c r="G875" s="343">
        <v>6921</v>
      </c>
      <c r="H875" s="343">
        <v>986</v>
      </c>
      <c r="I875" s="343">
        <v>6587</v>
      </c>
      <c r="J875" s="343">
        <v>0</v>
      </c>
      <c r="K875" s="343">
        <v>14494</v>
      </c>
      <c r="L875" s="231"/>
      <c r="M875" s="343">
        <v>0</v>
      </c>
      <c r="N875" s="343">
        <v>0</v>
      </c>
      <c r="O875" s="343">
        <v>8580</v>
      </c>
      <c r="P875" s="343">
        <v>8580</v>
      </c>
      <c r="Q875" s="231"/>
      <c r="R875" s="343">
        <v>18004</v>
      </c>
      <c r="S875" s="343">
        <v>-2925</v>
      </c>
      <c r="T875" s="343">
        <v>15079</v>
      </c>
    </row>
    <row r="876" spans="1:20">
      <c r="A876" s="349">
        <v>99501</v>
      </c>
      <c r="B876" s="342" t="s">
        <v>1570</v>
      </c>
      <c r="C876" s="234">
        <v>1.6478E-3</v>
      </c>
      <c r="D876" s="234">
        <v>1.6559000000000001E-3</v>
      </c>
      <c r="E876" s="343">
        <v>4500013</v>
      </c>
      <c r="F876" s="231"/>
      <c r="G876" s="343">
        <v>770516</v>
      </c>
      <c r="H876" s="343">
        <v>109762</v>
      </c>
      <c r="I876" s="343">
        <v>733428</v>
      </c>
      <c r="J876" s="343">
        <v>58807</v>
      </c>
      <c r="K876" s="343">
        <v>1672513</v>
      </c>
      <c r="L876" s="231"/>
      <c r="M876" s="343">
        <v>0</v>
      </c>
      <c r="N876" s="343">
        <v>0</v>
      </c>
      <c r="O876" s="343">
        <v>10753</v>
      </c>
      <c r="P876" s="343">
        <v>10753</v>
      </c>
      <c r="Q876" s="231"/>
      <c r="R876" s="343">
        <v>2004570</v>
      </c>
      <c r="S876" s="343">
        <v>12254</v>
      </c>
      <c r="T876" s="343">
        <v>2016824</v>
      </c>
    </row>
    <row r="877" spans="1:20">
      <c r="A877" s="349">
        <v>99502</v>
      </c>
      <c r="B877" s="342" t="s">
        <v>1571</v>
      </c>
      <c r="C877" s="234">
        <v>1.4459999999999999E-4</v>
      </c>
      <c r="D877" s="234">
        <v>1.5699999999999999E-4</v>
      </c>
      <c r="E877" s="343">
        <v>394891</v>
      </c>
      <c r="F877" s="231"/>
      <c r="G877" s="343">
        <v>67615</v>
      </c>
      <c r="H877" s="343">
        <v>9632</v>
      </c>
      <c r="I877" s="343">
        <v>64361</v>
      </c>
      <c r="J877" s="343">
        <v>10285</v>
      </c>
      <c r="K877" s="343">
        <v>151893</v>
      </c>
      <c r="L877" s="231"/>
      <c r="M877" s="343">
        <v>0</v>
      </c>
      <c r="N877" s="343">
        <v>0</v>
      </c>
      <c r="O877" s="343">
        <v>12975</v>
      </c>
      <c r="P877" s="343">
        <v>12975</v>
      </c>
      <c r="Q877" s="231"/>
      <c r="R877" s="343">
        <v>175908</v>
      </c>
      <c r="S877" s="343">
        <v>7458</v>
      </c>
      <c r="T877" s="343">
        <v>183366</v>
      </c>
    </row>
    <row r="878" spans="1:20" ht="30">
      <c r="A878" s="349">
        <v>99508</v>
      </c>
      <c r="B878" s="342" t="s">
        <v>1572</v>
      </c>
      <c r="C878" s="234">
        <v>2.0999999999999999E-5</v>
      </c>
      <c r="D878" s="234">
        <v>2.1699999999999999E-5</v>
      </c>
      <c r="E878" s="343">
        <v>57349</v>
      </c>
      <c r="F878" s="231"/>
      <c r="G878" s="343">
        <v>9820</v>
      </c>
      <c r="H878" s="343">
        <v>1399</v>
      </c>
      <c r="I878" s="343">
        <v>9347</v>
      </c>
      <c r="J878" s="343">
        <v>19</v>
      </c>
      <c r="K878" s="343">
        <v>20585</v>
      </c>
      <c r="L878" s="231"/>
      <c r="M878" s="343">
        <v>0</v>
      </c>
      <c r="N878" s="343">
        <v>0</v>
      </c>
      <c r="O878" s="343">
        <v>683</v>
      </c>
      <c r="P878" s="343">
        <v>683</v>
      </c>
      <c r="Q878" s="231"/>
      <c r="R878" s="343">
        <v>25547</v>
      </c>
      <c r="S878" s="343">
        <v>-506</v>
      </c>
      <c r="T878" s="343">
        <v>25041</v>
      </c>
    </row>
    <row r="879" spans="1:20">
      <c r="A879" s="349">
        <v>99509</v>
      </c>
      <c r="B879" s="342" t="s">
        <v>3702</v>
      </c>
      <c r="C879" s="234">
        <v>2.5199999999999999E-5</v>
      </c>
      <c r="D879" s="234">
        <v>2.62E-5</v>
      </c>
      <c r="E879" s="343">
        <v>68819</v>
      </c>
      <c r="F879" s="231"/>
      <c r="G879" s="343">
        <v>11784</v>
      </c>
      <c r="H879" s="343">
        <v>1679</v>
      </c>
      <c r="I879" s="343">
        <v>11216</v>
      </c>
      <c r="J879" s="343">
        <v>0</v>
      </c>
      <c r="K879" s="343">
        <v>24679</v>
      </c>
      <c r="L879" s="231"/>
      <c r="M879" s="343">
        <v>0</v>
      </c>
      <c r="N879" s="343">
        <v>0</v>
      </c>
      <c r="O879" s="343">
        <v>3017</v>
      </c>
      <c r="P879" s="343">
        <v>3017</v>
      </c>
      <c r="Q879" s="231"/>
      <c r="R879" s="343">
        <v>30656</v>
      </c>
      <c r="S879" s="343">
        <v>-1611</v>
      </c>
      <c r="T879" s="343">
        <v>29045</v>
      </c>
    </row>
    <row r="880" spans="1:20">
      <c r="A880" s="349">
        <v>99511</v>
      </c>
      <c r="B880" s="342" t="s">
        <v>1574</v>
      </c>
      <c r="C880" s="234">
        <v>1.3293999999999999E-3</v>
      </c>
      <c r="D880" s="234">
        <v>1.3468E-3</v>
      </c>
      <c r="E880" s="343">
        <v>3630488</v>
      </c>
      <c r="F880" s="231"/>
      <c r="G880" s="343">
        <v>621631</v>
      </c>
      <c r="H880" s="343">
        <v>88553</v>
      </c>
      <c r="I880" s="343">
        <v>591709</v>
      </c>
      <c r="J880" s="343">
        <v>0</v>
      </c>
      <c r="K880" s="343">
        <v>1301893</v>
      </c>
      <c r="L880" s="231"/>
      <c r="M880" s="343">
        <v>0</v>
      </c>
      <c r="N880" s="343">
        <v>0</v>
      </c>
      <c r="O880" s="343">
        <v>147705</v>
      </c>
      <c r="P880" s="343">
        <v>147705</v>
      </c>
      <c r="Q880" s="231"/>
      <c r="R880" s="343">
        <v>1617232</v>
      </c>
      <c r="S880" s="343">
        <v>-57397</v>
      </c>
      <c r="T880" s="343">
        <v>1559835</v>
      </c>
    </row>
    <row r="881" spans="1:20">
      <c r="A881" s="349">
        <v>99521</v>
      </c>
      <c r="B881" s="342" t="s">
        <v>1575</v>
      </c>
      <c r="C881" s="234">
        <v>4.8200000000000001E-4</v>
      </c>
      <c r="D881" s="234">
        <v>4.9669999999999998E-4</v>
      </c>
      <c r="E881" s="343">
        <v>1316304</v>
      </c>
      <c r="F881" s="231"/>
      <c r="G881" s="343">
        <v>225385</v>
      </c>
      <c r="H881" s="343">
        <v>32107</v>
      </c>
      <c r="I881" s="343">
        <v>214536</v>
      </c>
      <c r="J881" s="343">
        <v>16554</v>
      </c>
      <c r="K881" s="343">
        <v>488582</v>
      </c>
      <c r="L881" s="231"/>
      <c r="M881" s="343">
        <v>0</v>
      </c>
      <c r="N881" s="343">
        <v>0</v>
      </c>
      <c r="O881" s="343">
        <v>43035</v>
      </c>
      <c r="P881" s="343">
        <v>43035</v>
      </c>
      <c r="Q881" s="231"/>
      <c r="R881" s="343">
        <v>586359</v>
      </c>
      <c r="S881" s="343">
        <v>-10008</v>
      </c>
      <c r="T881" s="343">
        <v>576351</v>
      </c>
    </row>
    <row r="882" spans="1:20">
      <c r="A882" s="349">
        <v>99527</v>
      </c>
      <c r="B882" s="342" t="s">
        <v>3703</v>
      </c>
      <c r="C882" s="234">
        <v>1.1E-5</v>
      </c>
      <c r="D882" s="234">
        <v>1.15E-5</v>
      </c>
      <c r="E882" s="343">
        <v>30040</v>
      </c>
      <c r="F882" s="231"/>
      <c r="G882" s="343">
        <v>5144</v>
      </c>
      <c r="H882" s="343">
        <v>733</v>
      </c>
      <c r="I882" s="343">
        <v>4896</v>
      </c>
      <c r="J882" s="343">
        <v>1319</v>
      </c>
      <c r="K882" s="343">
        <v>12092</v>
      </c>
      <c r="L882" s="231"/>
      <c r="M882" s="343">
        <v>0</v>
      </c>
      <c r="N882" s="343">
        <v>0</v>
      </c>
      <c r="O882" s="343">
        <v>0</v>
      </c>
      <c r="P882" s="343">
        <v>0</v>
      </c>
      <c r="Q882" s="231"/>
      <c r="R882" s="343">
        <v>13382</v>
      </c>
      <c r="S882" s="343">
        <v>634</v>
      </c>
      <c r="T882" s="343">
        <v>14016</v>
      </c>
    </row>
    <row r="883" spans="1:20">
      <c r="A883" s="349">
        <v>99531</v>
      </c>
      <c r="B883" s="342" t="s">
        <v>1577</v>
      </c>
      <c r="C883" s="234">
        <v>8.6299999999999997E-5</v>
      </c>
      <c r="D883" s="234">
        <v>8.8800000000000004E-5</v>
      </c>
      <c r="E883" s="343">
        <v>235679</v>
      </c>
      <c r="F883" s="231"/>
      <c r="G883" s="343">
        <v>40354</v>
      </c>
      <c r="H883" s="343">
        <v>5749</v>
      </c>
      <c r="I883" s="343">
        <v>38412</v>
      </c>
      <c r="J883" s="343">
        <v>62360</v>
      </c>
      <c r="K883" s="343">
        <v>146875</v>
      </c>
      <c r="L883" s="231"/>
      <c r="M883" s="343">
        <v>0</v>
      </c>
      <c r="N883" s="343">
        <v>0</v>
      </c>
      <c r="O883" s="343">
        <v>0</v>
      </c>
      <c r="P883" s="343">
        <v>0</v>
      </c>
      <c r="Q883" s="231"/>
      <c r="R883" s="343">
        <v>104985</v>
      </c>
      <c r="S883" s="343">
        <v>29697</v>
      </c>
      <c r="T883" s="343">
        <v>134682</v>
      </c>
    </row>
    <row r="884" spans="1:20">
      <c r="A884" s="349">
        <v>99601</v>
      </c>
      <c r="B884" s="342" t="s">
        <v>1578</v>
      </c>
      <c r="C884" s="234">
        <v>5.9021999999999998E-3</v>
      </c>
      <c r="D884" s="234">
        <v>5.9616000000000001E-3</v>
      </c>
      <c r="E884" s="343">
        <v>16118448</v>
      </c>
      <c r="F884" s="231"/>
      <c r="G884" s="343">
        <v>2759886</v>
      </c>
      <c r="H884" s="343">
        <v>393152</v>
      </c>
      <c r="I884" s="343">
        <v>2627040</v>
      </c>
      <c r="J884" s="343">
        <v>129154</v>
      </c>
      <c r="K884" s="343">
        <v>5909232</v>
      </c>
      <c r="L884" s="231"/>
      <c r="M884" s="343">
        <v>0</v>
      </c>
      <c r="N884" s="343">
        <v>0</v>
      </c>
      <c r="O884" s="343">
        <v>222243</v>
      </c>
      <c r="P884" s="343">
        <v>222243</v>
      </c>
      <c r="Q884" s="231"/>
      <c r="R884" s="343">
        <v>7180103</v>
      </c>
      <c r="S884" s="343">
        <v>7285</v>
      </c>
      <c r="T884" s="343">
        <v>7187388</v>
      </c>
    </row>
    <row r="885" spans="1:20">
      <c r="A885" s="349">
        <v>99602</v>
      </c>
      <c r="B885" s="342" t="s">
        <v>3704</v>
      </c>
      <c r="C885" s="234">
        <v>6.1500000000000004E-5</v>
      </c>
      <c r="D885" s="234">
        <v>6.0800000000000001E-5</v>
      </c>
      <c r="E885" s="343">
        <v>167952</v>
      </c>
      <c r="F885" s="231"/>
      <c r="G885" s="343">
        <v>28758</v>
      </c>
      <c r="H885" s="343">
        <v>4096</v>
      </c>
      <c r="I885" s="343">
        <v>27373</v>
      </c>
      <c r="J885" s="343">
        <v>3756</v>
      </c>
      <c r="K885" s="343">
        <v>63983</v>
      </c>
      <c r="L885" s="231"/>
      <c r="M885" s="343">
        <v>0</v>
      </c>
      <c r="N885" s="343">
        <v>0</v>
      </c>
      <c r="O885" s="343">
        <v>4078</v>
      </c>
      <c r="P885" s="343">
        <v>4078</v>
      </c>
      <c r="Q885" s="231"/>
      <c r="R885" s="343">
        <v>74816</v>
      </c>
      <c r="S885" s="343">
        <v>2122</v>
      </c>
      <c r="T885" s="343">
        <v>76938</v>
      </c>
    </row>
    <row r="886" spans="1:20">
      <c r="A886" s="349">
        <v>99603</v>
      </c>
      <c r="B886" s="342" t="s">
        <v>3705</v>
      </c>
      <c r="C886" s="234">
        <v>1.5540000000000001E-4</v>
      </c>
      <c r="D886" s="234">
        <v>1.7550000000000001E-4</v>
      </c>
      <c r="E886" s="343">
        <v>424385</v>
      </c>
      <c r="F886" s="231"/>
      <c r="G886" s="343">
        <v>72666</v>
      </c>
      <c r="H886" s="343">
        <v>10351</v>
      </c>
      <c r="I886" s="343">
        <v>69168</v>
      </c>
      <c r="J886" s="343">
        <v>38434</v>
      </c>
      <c r="K886" s="343">
        <v>190619</v>
      </c>
      <c r="L886" s="231"/>
      <c r="M886" s="343">
        <v>0</v>
      </c>
      <c r="N886" s="343">
        <v>0</v>
      </c>
      <c r="O886" s="343">
        <v>7619</v>
      </c>
      <c r="P886" s="343">
        <v>7619</v>
      </c>
      <c r="Q886" s="231"/>
      <c r="R886" s="343">
        <v>189046</v>
      </c>
      <c r="S886" s="343">
        <v>35533</v>
      </c>
      <c r="T886" s="343">
        <v>224579</v>
      </c>
    </row>
    <row r="887" spans="1:20">
      <c r="A887" s="349">
        <v>99604</v>
      </c>
      <c r="B887" s="342" t="s">
        <v>1581</v>
      </c>
      <c r="C887" s="234">
        <v>9.1100000000000005E-5</v>
      </c>
      <c r="D887" s="234">
        <v>1.02E-4</v>
      </c>
      <c r="E887" s="343">
        <v>248787</v>
      </c>
      <c r="F887" s="231"/>
      <c r="G887" s="343">
        <v>42599</v>
      </c>
      <c r="H887" s="343">
        <v>6069</v>
      </c>
      <c r="I887" s="343">
        <v>40548</v>
      </c>
      <c r="J887" s="343">
        <v>13275</v>
      </c>
      <c r="K887" s="343">
        <v>102491</v>
      </c>
      <c r="L887" s="231"/>
      <c r="M887" s="343">
        <v>0</v>
      </c>
      <c r="N887" s="343">
        <v>0</v>
      </c>
      <c r="O887" s="343">
        <v>0</v>
      </c>
      <c r="P887" s="343">
        <v>0</v>
      </c>
      <c r="Q887" s="231"/>
      <c r="R887" s="343">
        <v>110824</v>
      </c>
      <c r="S887" s="343">
        <v>8485</v>
      </c>
      <c r="T887" s="343">
        <v>119309</v>
      </c>
    </row>
    <row r="888" spans="1:20">
      <c r="A888" s="349">
        <v>99609</v>
      </c>
      <c r="B888" s="342" t="s">
        <v>1582</v>
      </c>
      <c r="C888" s="234">
        <v>2.8799999999999999E-5</v>
      </c>
      <c r="D888" s="234">
        <v>2.0100000000000001E-5</v>
      </c>
      <c r="E888" s="343">
        <v>78651</v>
      </c>
      <c r="F888" s="231"/>
      <c r="G888" s="343">
        <v>13467</v>
      </c>
      <c r="H888" s="343">
        <v>1918</v>
      </c>
      <c r="I888" s="343">
        <v>12819</v>
      </c>
      <c r="J888" s="343">
        <v>8634</v>
      </c>
      <c r="K888" s="343">
        <v>36838</v>
      </c>
      <c r="L888" s="231"/>
      <c r="M888" s="343">
        <v>0</v>
      </c>
      <c r="N888" s="343">
        <v>0</v>
      </c>
      <c r="O888" s="343">
        <v>761</v>
      </c>
      <c r="P888" s="343">
        <v>761</v>
      </c>
      <c r="Q888" s="231"/>
      <c r="R888" s="343">
        <v>35036</v>
      </c>
      <c r="S888" s="343">
        <v>2870</v>
      </c>
      <c r="T888" s="343">
        <v>37906</v>
      </c>
    </row>
    <row r="889" spans="1:20">
      <c r="A889" s="349">
        <v>99610</v>
      </c>
      <c r="B889" s="342" t="s">
        <v>3706</v>
      </c>
      <c r="C889" s="234">
        <v>1.683E-4</v>
      </c>
      <c r="D889" s="234">
        <v>1.872E-4</v>
      </c>
      <c r="E889" s="343">
        <v>459614</v>
      </c>
      <c r="F889" s="231"/>
      <c r="G889" s="343">
        <v>78698</v>
      </c>
      <c r="H889" s="343">
        <v>11211</v>
      </c>
      <c r="I889" s="343">
        <v>74909</v>
      </c>
      <c r="J889" s="343">
        <v>396</v>
      </c>
      <c r="K889" s="343">
        <v>165214</v>
      </c>
      <c r="L889" s="231"/>
      <c r="M889" s="343">
        <v>0</v>
      </c>
      <c r="N889" s="343">
        <v>0</v>
      </c>
      <c r="O889" s="343">
        <v>15245</v>
      </c>
      <c r="P889" s="343">
        <v>15245</v>
      </c>
      <c r="Q889" s="231"/>
      <c r="R889" s="343">
        <v>204739</v>
      </c>
      <c r="S889" s="343">
        <v>-4474</v>
      </c>
      <c r="T889" s="343">
        <v>200265</v>
      </c>
    </row>
    <row r="890" spans="1:20">
      <c r="A890" s="349">
        <v>99611</v>
      </c>
      <c r="B890" s="342" t="s">
        <v>1584</v>
      </c>
      <c r="C890" s="234">
        <v>3.2022000000000001E-3</v>
      </c>
      <c r="D890" s="234">
        <v>3.2894E-3</v>
      </c>
      <c r="E890" s="343">
        <v>8744958</v>
      </c>
      <c r="F890" s="231"/>
      <c r="G890" s="343">
        <v>1497358</v>
      </c>
      <c r="H890" s="343">
        <v>213302</v>
      </c>
      <c r="I890" s="343">
        <v>1425283</v>
      </c>
      <c r="J890" s="343">
        <v>44081</v>
      </c>
      <c r="K890" s="343">
        <v>3180024</v>
      </c>
      <c r="L890" s="231"/>
      <c r="M890" s="343">
        <v>0</v>
      </c>
      <c r="N890" s="343">
        <v>0</v>
      </c>
      <c r="O890" s="343">
        <v>146995</v>
      </c>
      <c r="P890" s="343">
        <v>146995</v>
      </c>
      <c r="Q890" s="231"/>
      <c r="R890" s="343">
        <v>3895518</v>
      </c>
      <c r="S890" s="343">
        <v>-70007</v>
      </c>
      <c r="T890" s="343">
        <v>3825511</v>
      </c>
    </row>
    <row r="891" spans="1:20">
      <c r="A891" s="349">
        <v>99613</v>
      </c>
      <c r="B891" s="342" t="s">
        <v>1585</v>
      </c>
      <c r="C891" s="234">
        <v>3.3720000000000001E-4</v>
      </c>
      <c r="D891" s="234">
        <v>3.57E-4</v>
      </c>
      <c r="E891" s="343">
        <v>920867</v>
      </c>
      <c r="F891" s="231"/>
      <c r="G891" s="343">
        <v>157676</v>
      </c>
      <c r="H891" s="343">
        <v>22461</v>
      </c>
      <c r="I891" s="343">
        <v>150086</v>
      </c>
      <c r="J891" s="343">
        <v>213061</v>
      </c>
      <c r="K891" s="343">
        <v>543284</v>
      </c>
      <c r="L891" s="231"/>
      <c r="M891" s="343">
        <v>0</v>
      </c>
      <c r="N891" s="343">
        <v>0</v>
      </c>
      <c r="O891" s="343">
        <v>14394</v>
      </c>
      <c r="P891" s="343">
        <v>14394</v>
      </c>
      <c r="Q891" s="231"/>
      <c r="R891" s="343">
        <v>410208</v>
      </c>
      <c r="S891" s="343">
        <v>126025</v>
      </c>
      <c r="T891" s="343">
        <v>536233</v>
      </c>
    </row>
    <row r="892" spans="1:20">
      <c r="A892" s="349">
        <v>99621</v>
      </c>
      <c r="B892" s="342" t="s">
        <v>1586</v>
      </c>
      <c r="C892" s="234">
        <v>3.5530000000000002E-4</v>
      </c>
      <c r="D892" s="234">
        <v>3.7399999999999998E-4</v>
      </c>
      <c r="E892" s="343">
        <v>970297</v>
      </c>
      <c r="F892" s="231"/>
      <c r="G892" s="343">
        <v>166139</v>
      </c>
      <c r="H892" s="343">
        <v>23667</v>
      </c>
      <c r="I892" s="343">
        <v>158142</v>
      </c>
      <c r="J892" s="343">
        <v>16281</v>
      </c>
      <c r="K892" s="343">
        <v>364229</v>
      </c>
      <c r="L892" s="231"/>
      <c r="M892" s="343">
        <v>0</v>
      </c>
      <c r="N892" s="343">
        <v>0</v>
      </c>
      <c r="O892" s="343">
        <v>23623</v>
      </c>
      <c r="P892" s="343">
        <v>23623</v>
      </c>
      <c r="Q892" s="231"/>
      <c r="R892" s="343">
        <v>432227</v>
      </c>
      <c r="S892" s="343">
        <v>2438</v>
      </c>
      <c r="T892" s="343">
        <v>434665</v>
      </c>
    </row>
    <row r="893" spans="1:20">
      <c r="A893" s="349">
        <v>99623</v>
      </c>
      <c r="B893" s="342" t="s">
        <v>3498</v>
      </c>
      <c r="C893" s="234">
        <v>1.08E-5</v>
      </c>
      <c r="D893" s="234">
        <v>3.4799999999999999E-5</v>
      </c>
      <c r="E893" s="343">
        <v>29494</v>
      </c>
      <c r="F893" s="231"/>
      <c r="G893" s="343">
        <v>5050</v>
      </c>
      <c r="H893" s="343">
        <v>719</v>
      </c>
      <c r="I893" s="343">
        <v>4807</v>
      </c>
      <c r="J893" s="343">
        <v>298</v>
      </c>
      <c r="K893" s="343">
        <v>10874</v>
      </c>
      <c r="L893" s="231"/>
      <c r="M893" s="343">
        <v>0</v>
      </c>
      <c r="N893" s="343">
        <v>0</v>
      </c>
      <c r="O893" s="343">
        <v>20704</v>
      </c>
      <c r="P893" s="343">
        <v>20704</v>
      </c>
      <c r="Q893" s="231"/>
      <c r="R893" s="343">
        <v>13138</v>
      </c>
      <c r="S893" s="343">
        <v>-4510</v>
      </c>
      <c r="T893" s="343">
        <v>8628</v>
      </c>
    </row>
    <row r="894" spans="1:20">
      <c r="A894" s="349">
        <v>99631</v>
      </c>
      <c r="B894" s="342" t="s">
        <v>1588</v>
      </c>
      <c r="C894" s="234">
        <v>1.078E-4</v>
      </c>
      <c r="D894" s="234">
        <v>1.11E-4</v>
      </c>
      <c r="E894" s="343">
        <v>294393</v>
      </c>
      <c r="F894" s="231"/>
      <c r="G894" s="343">
        <v>50408</v>
      </c>
      <c r="H894" s="343">
        <v>7181</v>
      </c>
      <c r="I894" s="343">
        <v>47981</v>
      </c>
      <c r="J894" s="343">
        <v>535</v>
      </c>
      <c r="K894" s="343">
        <v>106105</v>
      </c>
      <c r="L894" s="231"/>
      <c r="M894" s="343">
        <v>0</v>
      </c>
      <c r="N894" s="343">
        <v>0</v>
      </c>
      <c r="O894" s="343">
        <v>11066</v>
      </c>
      <c r="P894" s="343">
        <v>11066</v>
      </c>
      <c r="Q894" s="231"/>
      <c r="R894" s="343">
        <v>131140</v>
      </c>
      <c r="S894" s="343">
        <v>-3213</v>
      </c>
      <c r="T894" s="343">
        <v>127927</v>
      </c>
    </row>
    <row r="895" spans="1:20">
      <c r="A895" s="349">
        <v>99651</v>
      </c>
      <c r="B895" s="342" t="s">
        <v>1589</v>
      </c>
      <c r="C895" s="234">
        <v>6.5300000000000002E-5</v>
      </c>
      <c r="D895" s="234">
        <v>5.7000000000000003E-5</v>
      </c>
      <c r="E895" s="343">
        <v>178329</v>
      </c>
      <c r="F895" s="231"/>
      <c r="G895" s="343">
        <v>30534</v>
      </c>
      <c r="H895" s="343">
        <v>4350</v>
      </c>
      <c r="I895" s="343">
        <v>29065</v>
      </c>
      <c r="J895" s="343">
        <v>8279</v>
      </c>
      <c r="K895" s="343">
        <v>72228</v>
      </c>
      <c r="L895" s="231"/>
      <c r="M895" s="343">
        <v>0</v>
      </c>
      <c r="N895" s="343">
        <v>0</v>
      </c>
      <c r="O895" s="343">
        <v>4878</v>
      </c>
      <c r="P895" s="343">
        <v>4878</v>
      </c>
      <c r="Q895" s="231"/>
      <c r="R895" s="343">
        <v>79438</v>
      </c>
      <c r="S895" s="343">
        <v>2716</v>
      </c>
      <c r="T895" s="343">
        <v>82154</v>
      </c>
    </row>
    <row r="896" spans="1:20">
      <c r="A896" s="349">
        <v>99661</v>
      </c>
      <c r="B896" s="342" t="s">
        <v>1590</v>
      </c>
      <c r="C896" s="234">
        <v>3.4799999999999999E-5</v>
      </c>
      <c r="D896" s="234">
        <v>2.5999999999999998E-5</v>
      </c>
      <c r="E896" s="343">
        <v>95036</v>
      </c>
      <c r="F896" s="231"/>
      <c r="G896" s="343">
        <v>16273</v>
      </c>
      <c r="H896" s="343">
        <v>2318</v>
      </c>
      <c r="I896" s="343">
        <v>15489</v>
      </c>
      <c r="J896" s="343">
        <v>57991</v>
      </c>
      <c r="K896" s="343">
        <v>92071</v>
      </c>
      <c r="L896" s="231"/>
      <c r="M896" s="343">
        <v>0</v>
      </c>
      <c r="N896" s="343">
        <v>0</v>
      </c>
      <c r="O896" s="343">
        <v>0</v>
      </c>
      <c r="P896" s="343">
        <v>0</v>
      </c>
      <c r="Q896" s="231"/>
      <c r="R896" s="343">
        <v>42335</v>
      </c>
      <c r="S896" s="343">
        <v>24607</v>
      </c>
      <c r="T896" s="343">
        <v>66942</v>
      </c>
    </row>
    <row r="897" spans="1:20">
      <c r="A897" s="349">
        <v>99701</v>
      </c>
      <c r="B897" s="342" t="s">
        <v>1591</v>
      </c>
      <c r="C897" s="234">
        <v>2.9930999999999998E-3</v>
      </c>
      <c r="D897" s="234">
        <v>2.9659E-3</v>
      </c>
      <c r="E897" s="343">
        <v>8173923</v>
      </c>
      <c r="F897" s="231"/>
      <c r="G897" s="343">
        <v>1399583</v>
      </c>
      <c r="H897" s="343">
        <v>199373</v>
      </c>
      <c r="I897" s="343">
        <v>1332214</v>
      </c>
      <c r="J897" s="343">
        <v>2637</v>
      </c>
      <c r="K897" s="343">
        <v>2933807</v>
      </c>
      <c r="L897" s="231"/>
      <c r="M897" s="343">
        <v>0</v>
      </c>
      <c r="N897" s="343">
        <v>0</v>
      </c>
      <c r="O897" s="343">
        <v>28515</v>
      </c>
      <c r="P897" s="343">
        <v>28515</v>
      </c>
      <c r="Q897" s="231"/>
      <c r="R897" s="343">
        <v>3641145</v>
      </c>
      <c r="S897" s="343">
        <v>-375</v>
      </c>
      <c r="T897" s="343">
        <v>3640770</v>
      </c>
    </row>
    <row r="898" spans="1:20">
      <c r="A898" s="349">
        <v>99705</v>
      </c>
      <c r="B898" s="342" t="s">
        <v>1592</v>
      </c>
      <c r="C898" s="234">
        <v>1.5530000000000001E-4</v>
      </c>
      <c r="D898" s="234">
        <v>1.6349999999999999E-4</v>
      </c>
      <c r="E898" s="343">
        <v>424112</v>
      </c>
      <c r="F898" s="231"/>
      <c r="G898" s="343">
        <v>72619</v>
      </c>
      <c r="H898" s="343">
        <v>10345</v>
      </c>
      <c r="I898" s="343">
        <v>69123</v>
      </c>
      <c r="J898" s="343">
        <v>16349</v>
      </c>
      <c r="K898" s="343">
        <v>168436</v>
      </c>
      <c r="L898" s="231"/>
      <c r="M898" s="343">
        <v>0</v>
      </c>
      <c r="N898" s="343">
        <v>0</v>
      </c>
      <c r="O898" s="343">
        <v>0</v>
      </c>
      <c r="P898" s="343">
        <v>0</v>
      </c>
      <c r="Q898" s="231"/>
      <c r="R898" s="343">
        <v>188924</v>
      </c>
      <c r="S898" s="343">
        <v>5207</v>
      </c>
      <c r="T898" s="343">
        <v>194131</v>
      </c>
    </row>
    <row r="899" spans="1:20">
      <c r="A899" s="349">
        <v>99711</v>
      </c>
      <c r="B899" s="342" t="s">
        <v>3707</v>
      </c>
      <c r="C899" s="234">
        <v>4.2489999999999997E-4</v>
      </c>
      <c r="D899" s="234">
        <v>4.462E-4</v>
      </c>
      <c r="E899" s="343">
        <v>1160369</v>
      </c>
      <c r="F899" s="231"/>
      <c r="G899" s="343">
        <v>198685</v>
      </c>
      <c r="H899" s="343">
        <v>28303</v>
      </c>
      <c r="I899" s="343">
        <v>189121</v>
      </c>
      <c r="J899" s="343">
        <v>6755</v>
      </c>
      <c r="K899" s="343">
        <v>422864</v>
      </c>
      <c r="L899" s="231"/>
      <c r="M899" s="343">
        <v>0</v>
      </c>
      <c r="N899" s="343">
        <v>0</v>
      </c>
      <c r="O899" s="343">
        <v>9249</v>
      </c>
      <c r="P899" s="343">
        <v>9249</v>
      </c>
      <c r="Q899" s="231"/>
      <c r="R899" s="343">
        <v>516896</v>
      </c>
      <c r="S899" s="343">
        <v>-3318</v>
      </c>
      <c r="T899" s="343">
        <v>513578</v>
      </c>
    </row>
    <row r="900" spans="1:20">
      <c r="A900" s="349">
        <v>99717</v>
      </c>
      <c r="B900" s="342" t="s">
        <v>3708</v>
      </c>
      <c r="C900" s="234">
        <v>2.6599999999999999E-5</v>
      </c>
      <c r="D900" s="234">
        <v>2.1800000000000001E-5</v>
      </c>
      <c r="E900" s="343">
        <v>72643</v>
      </c>
      <c r="F900" s="231"/>
      <c r="G900" s="343">
        <v>12438</v>
      </c>
      <c r="H900" s="343">
        <v>1772</v>
      </c>
      <c r="I900" s="343">
        <v>11840</v>
      </c>
      <c r="J900" s="343">
        <v>858</v>
      </c>
      <c r="K900" s="343">
        <v>26908</v>
      </c>
      <c r="L900" s="231"/>
      <c r="M900" s="343">
        <v>0</v>
      </c>
      <c r="N900" s="343">
        <v>0</v>
      </c>
      <c r="O900" s="343">
        <v>2544</v>
      </c>
      <c r="P900" s="343">
        <v>2544</v>
      </c>
      <c r="Q900" s="231"/>
      <c r="R900" s="343">
        <v>32359</v>
      </c>
      <c r="S900" s="343">
        <v>-1334</v>
      </c>
      <c r="T900" s="343">
        <v>31025</v>
      </c>
    </row>
    <row r="901" spans="1:20">
      <c r="A901" s="349">
        <v>99721</v>
      </c>
      <c r="B901" s="342" t="s">
        <v>1595</v>
      </c>
      <c r="C901" s="234">
        <v>6.1160000000000001E-4</v>
      </c>
      <c r="D901" s="234">
        <v>5.886E-4</v>
      </c>
      <c r="E901" s="343">
        <v>1670232</v>
      </c>
      <c r="F901" s="231"/>
      <c r="G901" s="343">
        <v>285986</v>
      </c>
      <c r="H901" s="343">
        <v>40739</v>
      </c>
      <c r="I901" s="343">
        <v>272220</v>
      </c>
      <c r="J901" s="343">
        <v>2317</v>
      </c>
      <c r="K901" s="343">
        <v>601262</v>
      </c>
      <c r="L901" s="231"/>
      <c r="M901" s="343">
        <v>0</v>
      </c>
      <c r="N901" s="343">
        <v>0</v>
      </c>
      <c r="O901" s="343">
        <v>26668</v>
      </c>
      <c r="P901" s="343">
        <v>26668</v>
      </c>
      <c r="Q901" s="231"/>
      <c r="R901" s="343">
        <v>744019</v>
      </c>
      <c r="S901" s="343">
        <v>-13251</v>
      </c>
      <c r="T901" s="343">
        <v>730768</v>
      </c>
    </row>
    <row r="902" spans="1:20" customFormat="1">
      <c r="A902" s="349">
        <v>99727</v>
      </c>
      <c r="B902" s="342" t="s">
        <v>1596</v>
      </c>
      <c r="C902" s="234">
        <v>1.98E-5</v>
      </c>
      <c r="D902" s="234">
        <v>2.2099999999999998E-5</v>
      </c>
      <c r="E902" s="343">
        <v>54072</v>
      </c>
      <c r="F902" s="231"/>
      <c r="G902" s="343">
        <v>9259</v>
      </c>
      <c r="H902" s="343">
        <v>1319</v>
      </c>
      <c r="I902" s="343">
        <v>8813</v>
      </c>
      <c r="J902" s="343">
        <v>69546</v>
      </c>
      <c r="K902" s="343">
        <v>88937</v>
      </c>
      <c r="L902" s="231"/>
      <c r="M902" s="343">
        <v>0</v>
      </c>
      <c r="N902" s="343">
        <v>0</v>
      </c>
      <c r="O902" s="343">
        <v>0</v>
      </c>
      <c r="P902" s="343">
        <v>0</v>
      </c>
      <c r="Q902" s="231"/>
      <c r="R902" s="343">
        <v>24087</v>
      </c>
      <c r="S902" s="343">
        <v>33418</v>
      </c>
      <c r="T902" s="343">
        <v>57505</v>
      </c>
    </row>
    <row r="903" spans="1:20" customFormat="1">
      <c r="A903" s="349">
        <v>99801</v>
      </c>
      <c r="B903" s="342" t="s">
        <v>1597</v>
      </c>
      <c r="C903" s="234">
        <v>4.7737999999999999E-3</v>
      </c>
      <c r="D903" s="234">
        <v>4.9709000000000003E-3</v>
      </c>
      <c r="E903" s="343">
        <v>13036875</v>
      </c>
      <c r="F903" s="231"/>
      <c r="G903" s="343">
        <v>2232243</v>
      </c>
      <c r="H903" s="343">
        <v>317987</v>
      </c>
      <c r="I903" s="343">
        <v>2124795</v>
      </c>
      <c r="J903" s="343">
        <v>0</v>
      </c>
      <c r="K903" s="343">
        <v>4675025</v>
      </c>
      <c r="L903" s="231"/>
      <c r="M903" s="343">
        <v>0</v>
      </c>
      <c r="N903" s="343">
        <v>0</v>
      </c>
      <c r="O903" s="343">
        <v>493450</v>
      </c>
      <c r="P903" s="343">
        <v>493450</v>
      </c>
      <c r="Q903" s="231"/>
      <c r="R903" s="343">
        <v>5807390</v>
      </c>
      <c r="S903" s="343">
        <v>-168173</v>
      </c>
      <c r="T903" s="343">
        <v>5639217</v>
      </c>
    </row>
    <row r="904" spans="1:20" customFormat="1" ht="30">
      <c r="A904" s="349">
        <v>99802</v>
      </c>
      <c r="B904" s="342" t="s">
        <v>2767</v>
      </c>
      <c r="C904" s="234">
        <v>1.1600000000000001E-5</v>
      </c>
      <c r="D904" s="234">
        <v>1.19E-5</v>
      </c>
      <c r="E904" s="343">
        <v>31679</v>
      </c>
      <c r="F904" s="231"/>
      <c r="G904" s="343">
        <v>5424</v>
      </c>
      <c r="H904" s="343">
        <v>772</v>
      </c>
      <c r="I904" s="343">
        <v>5163</v>
      </c>
      <c r="J904" s="343">
        <v>5470</v>
      </c>
      <c r="K904" s="343">
        <v>16829</v>
      </c>
      <c r="L904" s="231"/>
      <c r="M904" s="343">
        <v>0</v>
      </c>
      <c r="N904" s="343">
        <v>0</v>
      </c>
      <c r="O904" s="343">
        <v>0</v>
      </c>
      <c r="P904" s="343">
        <v>0</v>
      </c>
      <c r="Q904" s="231"/>
      <c r="R904" s="343">
        <v>14112</v>
      </c>
      <c r="S904" s="343">
        <v>1903</v>
      </c>
      <c r="T904" s="343">
        <v>16015</v>
      </c>
    </row>
    <row r="905" spans="1:20" customFormat="1">
      <c r="A905" s="349">
        <v>99804</v>
      </c>
      <c r="B905" s="342" t="s">
        <v>1599</v>
      </c>
      <c r="C905" s="234">
        <v>7.2200000000000007E-5</v>
      </c>
      <c r="D905" s="234">
        <v>8.1000000000000004E-5</v>
      </c>
      <c r="E905" s="343">
        <v>197173</v>
      </c>
      <c r="F905" s="231"/>
      <c r="G905" s="343">
        <v>33761</v>
      </c>
      <c r="H905" s="343">
        <v>4809</v>
      </c>
      <c r="I905" s="343">
        <v>32136</v>
      </c>
      <c r="J905" s="343">
        <v>5995</v>
      </c>
      <c r="K905" s="343">
        <v>76701</v>
      </c>
      <c r="L905" s="231"/>
      <c r="M905" s="343">
        <v>0</v>
      </c>
      <c r="N905" s="343">
        <v>0</v>
      </c>
      <c r="O905" s="343">
        <v>97</v>
      </c>
      <c r="P905" s="343">
        <v>97</v>
      </c>
      <c r="Q905" s="231"/>
      <c r="R905" s="343">
        <v>87832</v>
      </c>
      <c r="S905" s="343">
        <v>4887</v>
      </c>
      <c r="T905" s="343">
        <v>92719</v>
      </c>
    </row>
    <row r="906" spans="1:20" customFormat="1">
      <c r="A906" s="349">
        <v>99811</v>
      </c>
      <c r="B906" s="342" t="s">
        <v>1600</v>
      </c>
      <c r="C906" s="234">
        <v>6.4218000000000001E-3</v>
      </c>
      <c r="D906" s="234">
        <v>6.4733000000000004E-3</v>
      </c>
      <c r="E906" s="343">
        <v>17537435</v>
      </c>
      <c r="F906" s="231"/>
      <c r="G906" s="343">
        <v>3002853</v>
      </c>
      <c r="H906" s="343">
        <v>427763</v>
      </c>
      <c r="I906" s="343">
        <v>2858311</v>
      </c>
      <c r="J906" s="343">
        <v>0</v>
      </c>
      <c r="K906" s="343">
        <v>6288927</v>
      </c>
      <c r="L906" s="231"/>
      <c r="M906" s="343">
        <v>0</v>
      </c>
      <c r="N906" s="343">
        <v>0</v>
      </c>
      <c r="O906" s="343">
        <v>518756</v>
      </c>
      <c r="P906" s="343">
        <v>518756</v>
      </c>
      <c r="Q906" s="231"/>
      <c r="R906" s="343">
        <v>7812203</v>
      </c>
      <c r="S906" s="343">
        <v>-279286</v>
      </c>
      <c r="T906" s="343">
        <v>7532917</v>
      </c>
    </row>
    <row r="907" spans="1:20" customFormat="1">
      <c r="A907" s="349">
        <v>99812</v>
      </c>
      <c r="B907" s="342" t="s">
        <v>3709</v>
      </c>
      <c r="C907" s="234">
        <v>1.88E-5</v>
      </c>
      <c r="D907" s="234">
        <v>1.9700000000000001E-5</v>
      </c>
      <c r="E907" s="343">
        <v>51341</v>
      </c>
      <c r="F907" s="231"/>
      <c r="G907" s="343">
        <v>8791</v>
      </c>
      <c r="H907" s="343">
        <v>1252</v>
      </c>
      <c r="I907" s="343">
        <v>8368</v>
      </c>
      <c r="J907" s="343">
        <v>19026</v>
      </c>
      <c r="K907" s="343">
        <v>37437</v>
      </c>
      <c r="L907" s="231"/>
      <c r="M907" s="343">
        <v>0</v>
      </c>
      <c r="N907" s="343">
        <v>0</v>
      </c>
      <c r="O907" s="343">
        <v>0</v>
      </c>
      <c r="P907" s="343">
        <v>0</v>
      </c>
      <c r="Q907" s="231"/>
      <c r="R907" s="343">
        <v>22870</v>
      </c>
      <c r="S907" s="343">
        <v>7778</v>
      </c>
      <c r="T907" s="343">
        <v>30648</v>
      </c>
    </row>
    <row r="908" spans="1:20" customFormat="1">
      <c r="A908" s="349">
        <v>99818</v>
      </c>
      <c r="B908" s="342" t="s">
        <v>1602</v>
      </c>
      <c r="C908" s="234">
        <v>3.5599999999999998E-5</v>
      </c>
      <c r="D908" s="234">
        <v>3.3399999999999999E-5</v>
      </c>
      <c r="E908" s="343">
        <v>97221</v>
      </c>
      <c r="F908" s="231"/>
      <c r="G908" s="343">
        <v>16647</v>
      </c>
      <c r="H908" s="343">
        <v>2371</v>
      </c>
      <c r="I908" s="343">
        <v>15845</v>
      </c>
      <c r="J908" s="343">
        <v>0</v>
      </c>
      <c r="K908" s="343">
        <v>34863</v>
      </c>
      <c r="L908" s="231"/>
      <c r="M908" s="343">
        <v>0</v>
      </c>
      <c r="N908" s="343">
        <v>0</v>
      </c>
      <c r="O908" s="343">
        <v>4580</v>
      </c>
      <c r="P908" s="343">
        <v>4580</v>
      </c>
      <c r="Q908" s="231"/>
      <c r="R908" s="343">
        <v>43308</v>
      </c>
      <c r="S908" s="343">
        <v>-1788</v>
      </c>
      <c r="T908" s="343">
        <v>41520</v>
      </c>
    </row>
    <row r="909" spans="1:20" customFormat="1">
      <c r="A909" s="349">
        <v>99821</v>
      </c>
      <c r="B909" s="342" t="s">
        <v>1603</v>
      </c>
      <c r="C909" s="234">
        <v>9.8200000000000002E-5</v>
      </c>
      <c r="D909" s="234">
        <v>9.2899999999999995E-5</v>
      </c>
      <c r="E909" s="343">
        <v>268177</v>
      </c>
      <c r="F909" s="231"/>
      <c r="G909" s="343">
        <v>45919</v>
      </c>
      <c r="H909" s="343">
        <v>6541</v>
      </c>
      <c r="I909" s="343">
        <v>43708</v>
      </c>
      <c r="J909" s="343">
        <v>17407</v>
      </c>
      <c r="K909" s="343">
        <v>113575</v>
      </c>
      <c r="L909" s="231"/>
      <c r="M909" s="343">
        <v>0</v>
      </c>
      <c r="N909" s="343">
        <v>0</v>
      </c>
      <c r="O909" s="343">
        <v>0</v>
      </c>
      <c r="P909" s="343">
        <v>0</v>
      </c>
      <c r="Q909" s="231"/>
      <c r="R909" s="343">
        <v>119462</v>
      </c>
      <c r="S909" s="343">
        <v>7065</v>
      </c>
      <c r="T909" s="343">
        <v>126527</v>
      </c>
    </row>
    <row r="910" spans="1:20" customFormat="1">
      <c r="A910" s="349">
        <v>99831</v>
      </c>
      <c r="B910" s="342" t="s">
        <v>1604</v>
      </c>
      <c r="C910" s="234">
        <v>5.5399999999999998E-5</v>
      </c>
      <c r="D910" s="234">
        <v>4.9700000000000002E-5</v>
      </c>
      <c r="E910" s="343">
        <v>151293</v>
      </c>
      <c r="F910" s="231"/>
      <c r="G910" s="343">
        <v>25905</v>
      </c>
      <c r="H910" s="343">
        <v>3690</v>
      </c>
      <c r="I910" s="343">
        <v>24658</v>
      </c>
      <c r="J910" s="343">
        <v>10355</v>
      </c>
      <c r="K910" s="343">
        <v>64608</v>
      </c>
      <c r="L910" s="231"/>
      <c r="M910" s="343">
        <v>0</v>
      </c>
      <c r="N910" s="343">
        <v>0</v>
      </c>
      <c r="O910" s="343">
        <v>5400</v>
      </c>
      <c r="P910" s="343">
        <v>5400</v>
      </c>
      <c r="Q910" s="231"/>
      <c r="R910" s="343">
        <v>67395</v>
      </c>
      <c r="S910" s="343">
        <v>1737</v>
      </c>
      <c r="T910" s="343">
        <v>69132</v>
      </c>
    </row>
    <row r="911" spans="1:20" customFormat="1">
      <c r="A911" s="349">
        <v>99841</v>
      </c>
      <c r="B911" s="342" t="s">
        <v>1605</v>
      </c>
      <c r="C911" s="234">
        <v>1.59E-5</v>
      </c>
      <c r="D911" s="234">
        <v>3.2199999999999997E-5</v>
      </c>
      <c r="E911" s="343">
        <v>43422</v>
      </c>
      <c r="F911" s="231"/>
      <c r="G911" s="343">
        <v>7435</v>
      </c>
      <c r="H911" s="343">
        <v>1059</v>
      </c>
      <c r="I911" s="343">
        <v>7077</v>
      </c>
      <c r="J911" s="343">
        <v>0</v>
      </c>
      <c r="K911" s="343">
        <v>15571</v>
      </c>
      <c r="L911" s="231"/>
      <c r="M911" s="343">
        <v>0</v>
      </c>
      <c r="N911" s="343">
        <v>0</v>
      </c>
      <c r="O911" s="343">
        <v>15024</v>
      </c>
      <c r="P911" s="343">
        <v>15024</v>
      </c>
      <c r="Q911" s="231"/>
      <c r="R911" s="343">
        <v>19343</v>
      </c>
      <c r="S911" s="343">
        <v>-4088</v>
      </c>
      <c r="T911" s="343">
        <v>15255</v>
      </c>
    </row>
    <row r="912" spans="1:20" customFormat="1">
      <c r="A912" s="349">
        <v>99851</v>
      </c>
      <c r="B912" s="342" t="s">
        <v>1606</v>
      </c>
      <c r="C912" s="234">
        <v>7.9000000000000006E-6</v>
      </c>
      <c r="D912" s="234">
        <v>2.34E-5</v>
      </c>
      <c r="E912" s="343">
        <v>21574</v>
      </c>
      <c r="F912" s="231"/>
      <c r="G912" s="343">
        <v>3694</v>
      </c>
      <c r="H912" s="343">
        <v>526</v>
      </c>
      <c r="I912" s="343">
        <v>3516</v>
      </c>
      <c r="J912" s="343">
        <v>0</v>
      </c>
      <c r="K912" s="343">
        <v>7736</v>
      </c>
      <c r="L912" s="231"/>
      <c r="M912" s="343">
        <v>0</v>
      </c>
      <c r="N912" s="343">
        <v>0</v>
      </c>
      <c r="O912" s="343">
        <v>14691</v>
      </c>
      <c r="P912" s="343">
        <v>14691</v>
      </c>
      <c r="Q912" s="231"/>
      <c r="R912" s="343">
        <v>9610</v>
      </c>
      <c r="S912" s="343">
        <v>-4276</v>
      </c>
      <c r="T912" s="343">
        <v>5334</v>
      </c>
    </row>
    <row r="913" spans="1:20" customFormat="1">
      <c r="A913" s="349">
        <v>99901</v>
      </c>
      <c r="B913" s="342" t="s">
        <v>1607</v>
      </c>
      <c r="C913" s="234">
        <v>1.5942E-3</v>
      </c>
      <c r="D913" s="234">
        <v>1.5693E-3</v>
      </c>
      <c r="E913" s="343">
        <v>4353636</v>
      </c>
      <c r="F913" s="231"/>
      <c r="G913" s="343">
        <v>745453</v>
      </c>
      <c r="H913" s="343">
        <v>106191</v>
      </c>
      <c r="I913" s="343">
        <v>709570</v>
      </c>
      <c r="J913" s="343">
        <v>15271</v>
      </c>
      <c r="K913" s="343">
        <v>1576485</v>
      </c>
      <c r="L913" s="231"/>
      <c r="M913" s="343">
        <v>0</v>
      </c>
      <c r="N913" s="343">
        <v>0</v>
      </c>
      <c r="O913" s="343">
        <v>65837</v>
      </c>
      <c r="P913" s="343">
        <v>65837</v>
      </c>
      <c r="Q913" s="231"/>
      <c r="R913" s="343">
        <v>1939365</v>
      </c>
      <c r="S913" s="343">
        <v>1418</v>
      </c>
      <c r="T913" s="343">
        <v>1940783</v>
      </c>
    </row>
    <row r="914" spans="1:20" customFormat="1">
      <c r="A914" s="349">
        <v>99911</v>
      </c>
      <c r="B914" s="342" t="s">
        <v>1608</v>
      </c>
      <c r="C914" s="234">
        <v>2.219E-4</v>
      </c>
      <c r="D914" s="234">
        <v>2.3900000000000001E-4</v>
      </c>
      <c r="E914" s="343">
        <v>605992</v>
      </c>
      <c r="F914" s="231"/>
      <c r="G914" s="343">
        <v>103761</v>
      </c>
      <c r="H914" s="343">
        <v>14781</v>
      </c>
      <c r="I914" s="343">
        <v>98767</v>
      </c>
      <c r="J914" s="343">
        <v>6810</v>
      </c>
      <c r="K914" s="343">
        <v>224119</v>
      </c>
      <c r="L914" s="231"/>
      <c r="M914" s="343">
        <v>0</v>
      </c>
      <c r="N914" s="343">
        <v>0</v>
      </c>
      <c r="O914" s="343">
        <v>7455</v>
      </c>
      <c r="P914" s="343">
        <v>7455</v>
      </c>
      <c r="Q914" s="231"/>
      <c r="R914" s="343">
        <v>269944</v>
      </c>
      <c r="S914" s="343">
        <v>-1143</v>
      </c>
      <c r="T914" s="343">
        <v>268801</v>
      </c>
    </row>
    <row r="915" spans="1:20" customFormat="1">
      <c r="A915" s="349">
        <v>99921</v>
      </c>
      <c r="B915" s="342" t="s">
        <v>1609</v>
      </c>
      <c r="C915" s="234">
        <v>1.315E-4</v>
      </c>
      <c r="D915" s="234">
        <v>1.3119999999999999E-4</v>
      </c>
      <c r="E915" s="343">
        <v>359116</v>
      </c>
      <c r="F915" s="231"/>
      <c r="G915" s="343">
        <v>61490</v>
      </c>
      <c r="H915" s="343">
        <v>8760</v>
      </c>
      <c r="I915" s="343">
        <v>58530</v>
      </c>
      <c r="J915" s="343">
        <v>1863</v>
      </c>
      <c r="K915" s="343">
        <v>130643</v>
      </c>
      <c r="L915" s="231"/>
      <c r="M915" s="343">
        <v>0</v>
      </c>
      <c r="N915" s="343">
        <v>0</v>
      </c>
      <c r="O915" s="343">
        <v>14440</v>
      </c>
      <c r="P915" s="343">
        <v>14440</v>
      </c>
      <c r="Q915" s="231"/>
      <c r="R915" s="343">
        <v>159971</v>
      </c>
      <c r="S915" s="343">
        <v>-3396</v>
      </c>
      <c r="T915" s="343">
        <v>156575</v>
      </c>
    </row>
    <row r="916" spans="1:20" customFormat="1">
      <c r="A916" s="349">
        <v>99931</v>
      </c>
      <c r="B916" s="342" t="s">
        <v>1610</v>
      </c>
      <c r="C916" s="234">
        <v>2.1699999999999999E-5</v>
      </c>
      <c r="D916" s="234">
        <v>1.52E-5</v>
      </c>
      <c r="E916" s="343">
        <v>59261</v>
      </c>
      <c r="F916" s="231"/>
      <c r="G916" s="343">
        <v>10147</v>
      </c>
      <c r="H916" s="343">
        <v>1445</v>
      </c>
      <c r="I916" s="343">
        <v>9659</v>
      </c>
      <c r="J916" s="343">
        <v>6366</v>
      </c>
      <c r="K916" s="343">
        <v>27617</v>
      </c>
      <c r="L916" s="231"/>
      <c r="M916" s="343">
        <v>0</v>
      </c>
      <c r="N916" s="343">
        <v>0</v>
      </c>
      <c r="O916" s="343">
        <v>2741</v>
      </c>
      <c r="P916" s="343">
        <v>2741</v>
      </c>
      <c r="Q916" s="231"/>
      <c r="R916" s="343">
        <v>26398</v>
      </c>
      <c r="S916" s="343">
        <v>-779</v>
      </c>
      <c r="T916" s="343">
        <v>25619</v>
      </c>
    </row>
    <row r="917" spans="1:20" customFormat="1">
      <c r="A917" s="349">
        <v>99941</v>
      </c>
      <c r="B917" s="342" t="s">
        <v>1611</v>
      </c>
      <c r="C917" s="234">
        <v>7.7399999999999998E-5</v>
      </c>
      <c r="D917" s="234">
        <v>7.4200000000000001E-5</v>
      </c>
      <c r="E917" s="343">
        <v>211373</v>
      </c>
      <c r="F917" s="231"/>
      <c r="G917" s="343">
        <v>36192</v>
      </c>
      <c r="H917" s="343">
        <v>5155</v>
      </c>
      <c r="I917" s="343">
        <v>34450</v>
      </c>
      <c r="J917" s="343">
        <v>0</v>
      </c>
      <c r="K917" s="343">
        <v>75797</v>
      </c>
      <c r="L917" s="231"/>
      <c r="M917" s="343">
        <v>0</v>
      </c>
      <c r="N917" s="343">
        <v>0</v>
      </c>
      <c r="O917" s="343">
        <v>9157</v>
      </c>
      <c r="P917" s="343">
        <v>9157</v>
      </c>
      <c r="Q917" s="231"/>
      <c r="R917" s="343">
        <v>94158</v>
      </c>
      <c r="S917" s="343">
        <v>-4998</v>
      </c>
      <c r="T917" s="343">
        <v>89160</v>
      </c>
    </row>
    <row r="918" spans="1:20" customFormat="1" ht="30">
      <c r="A918" s="349">
        <v>99991</v>
      </c>
      <c r="B918" s="342" t="s">
        <v>3710</v>
      </c>
      <c r="C918" s="234">
        <v>5.0869999999999995E-4</v>
      </c>
      <c r="D918" s="234">
        <v>5.2700000000000002E-4</v>
      </c>
      <c r="E918" s="343">
        <v>1389220</v>
      </c>
      <c r="F918" s="231"/>
      <c r="G918" s="343">
        <v>237870</v>
      </c>
      <c r="H918" s="343">
        <v>33885</v>
      </c>
      <c r="I918" s="343">
        <v>226420</v>
      </c>
      <c r="J918" s="343">
        <v>3109</v>
      </c>
      <c r="K918" s="343">
        <v>501284</v>
      </c>
      <c r="L918" s="231"/>
      <c r="M918" s="343">
        <v>0</v>
      </c>
      <c r="N918" s="343">
        <v>0</v>
      </c>
      <c r="O918" s="343">
        <v>34054</v>
      </c>
      <c r="P918" s="343">
        <v>34054</v>
      </c>
      <c r="Q918" s="231"/>
      <c r="R918" s="343">
        <v>618840</v>
      </c>
      <c r="S918" s="343">
        <v>-5951</v>
      </c>
      <c r="T918" s="343">
        <v>612889</v>
      </c>
    </row>
    <row r="919" spans="1:20" customFormat="1">
      <c r="A919" s="349">
        <v>99999</v>
      </c>
      <c r="B919" s="342" t="s">
        <v>3711</v>
      </c>
      <c r="C919" s="234">
        <v>1.0093000000000001E-3</v>
      </c>
      <c r="D919" s="234">
        <v>9.2020000000000003E-4</v>
      </c>
      <c r="E919" s="343">
        <v>2756320</v>
      </c>
      <c r="F919" s="231"/>
      <c r="G919" s="343">
        <v>471952</v>
      </c>
      <c r="H919" s="343">
        <v>67231</v>
      </c>
      <c r="I919" s="343">
        <v>449234</v>
      </c>
      <c r="J919" s="343">
        <v>212881</v>
      </c>
      <c r="K919" s="343">
        <v>1201298</v>
      </c>
      <c r="L919" s="231"/>
      <c r="M919" s="343">
        <v>0</v>
      </c>
      <c r="N919" s="343">
        <v>0</v>
      </c>
      <c r="O919" s="343">
        <v>2283</v>
      </c>
      <c r="P919" s="343">
        <v>2283</v>
      </c>
      <c r="Q919" s="231"/>
      <c r="R919" s="343">
        <v>1227827</v>
      </c>
      <c r="S919" s="343">
        <v>85118</v>
      </c>
      <c r="T919" s="343">
        <v>1312945</v>
      </c>
    </row>
    <row r="920" spans="1:20" customFormat="1">
      <c r="A920" s="7" t="s">
        <v>691</v>
      </c>
      <c r="B920" s="60" t="s">
        <v>690</v>
      </c>
      <c r="C920" s="234">
        <v>0</v>
      </c>
      <c r="D920" s="234">
        <v>0</v>
      </c>
      <c r="E920" s="85">
        <v>0</v>
      </c>
      <c r="F920" s="85"/>
      <c r="G920" s="85">
        <v>0</v>
      </c>
      <c r="H920" s="85">
        <v>0</v>
      </c>
      <c r="I920" s="85">
        <v>0</v>
      </c>
      <c r="J920" s="85">
        <v>0</v>
      </c>
      <c r="K920" s="85">
        <v>0</v>
      </c>
      <c r="L920" s="85"/>
      <c r="M920" s="85">
        <v>0</v>
      </c>
      <c r="N920" s="85">
        <v>0</v>
      </c>
      <c r="O920" s="85">
        <v>0</v>
      </c>
      <c r="P920" s="85">
        <v>0</v>
      </c>
      <c r="Q920" s="85"/>
      <c r="R920" s="85">
        <v>0</v>
      </c>
      <c r="S920" s="85">
        <v>0</v>
      </c>
      <c r="T920" s="85">
        <v>0</v>
      </c>
    </row>
    <row r="921" spans="1:20" customFormat="1"/>
    <row r="922" spans="1:20" customFormat="1"/>
    <row r="923" spans="1:20" customFormat="1"/>
    <row r="924" spans="1:20" customFormat="1"/>
    <row r="925" spans="1:20" customFormat="1"/>
    <row r="926" spans="1:20" customFormat="1"/>
    <row r="927" spans="1:20" customFormat="1"/>
    <row r="928" spans="1:20">
      <c r="A928" s="226"/>
      <c r="B928" s="227"/>
      <c r="C928" s="234"/>
    </row>
    <row r="929" spans="1:20" s="95" customFormat="1">
      <c r="A929" s="90"/>
      <c r="B929" s="54" t="s">
        <v>3617</v>
      </c>
      <c r="C929" s="234"/>
      <c r="D929" s="234"/>
      <c r="E929" s="92"/>
      <c r="F929" s="92"/>
      <c r="G929" s="93"/>
      <c r="H929" s="94"/>
      <c r="I929" s="93"/>
      <c r="J929" s="93"/>
      <c r="K929" s="94"/>
      <c r="L929" s="93"/>
      <c r="M929" s="93"/>
      <c r="N929" s="93"/>
      <c r="O929" s="93"/>
      <c r="P929" s="94"/>
      <c r="Q929" s="93"/>
      <c r="R929" s="93"/>
      <c r="S929" s="93"/>
      <c r="T929" s="93"/>
    </row>
    <row r="930" spans="1:20">
      <c r="B930" s="209" t="s">
        <v>690</v>
      </c>
      <c r="C930" s="253" t="s">
        <v>691</v>
      </c>
    </row>
    <row r="931" spans="1:20">
      <c r="A931" s="226"/>
      <c r="B931" s="131" t="s">
        <v>2021</v>
      </c>
      <c r="C931" s="226">
        <v>96331</v>
      </c>
      <c r="H931" s="225"/>
      <c r="K931" s="225"/>
      <c r="P931" s="225"/>
    </row>
    <row r="932" spans="1:20">
      <c r="A932" s="226"/>
      <c r="B932" s="131" t="s">
        <v>2022</v>
      </c>
      <c r="C932" s="226">
        <v>94611</v>
      </c>
      <c r="H932" s="225"/>
      <c r="K932" s="225"/>
      <c r="P932" s="225"/>
    </row>
    <row r="933" spans="1:20">
      <c r="A933" s="226"/>
      <c r="B933" s="131" t="s">
        <v>1037</v>
      </c>
      <c r="C933" s="226">
        <v>93402</v>
      </c>
      <c r="H933" s="225"/>
      <c r="K933" s="225"/>
      <c r="P933" s="225"/>
    </row>
    <row r="934" spans="1:20">
      <c r="A934" s="226"/>
      <c r="B934" s="131" t="s">
        <v>2493</v>
      </c>
      <c r="C934" s="226">
        <v>90151</v>
      </c>
      <c r="H934" s="225"/>
      <c r="K934" s="225"/>
      <c r="P934" s="225"/>
    </row>
    <row r="935" spans="1:20">
      <c r="A935" s="226"/>
      <c r="B935" s="131" t="s">
        <v>1101</v>
      </c>
      <c r="C935" s="226">
        <v>94109</v>
      </c>
      <c r="H935" s="225"/>
      <c r="K935" s="225"/>
      <c r="P935" s="225"/>
    </row>
    <row r="936" spans="1:20">
      <c r="A936" s="226"/>
      <c r="B936" s="131" t="s">
        <v>734</v>
      </c>
      <c r="C936" s="226">
        <v>90101</v>
      </c>
      <c r="H936" s="225"/>
      <c r="K936" s="225"/>
      <c r="P936" s="225"/>
    </row>
    <row r="937" spans="1:20">
      <c r="A937" s="226"/>
      <c r="B937" s="131" t="s">
        <v>737</v>
      </c>
      <c r="C937" s="226">
        <v>90117</v>
      </c>
      <c r="H937" s="225"/>
      <c r="K937" s="225"/>
      <c r="P937" s="225"/>
    </row>
    <row r="938" spans="1:20">
      <c r="A938" s="226"/>
      <c r="B938" s="131" t="s">
        <v>1942</v>
      </c>
      <c r="C938" s="226">
        <v>98411</v>
      </c>
      <c r="H938" s="225"/>
      <c r="K938" s="225"/>
      <c r="P938" s="225"/>
    </row>
    <row r="939" spans="1:20">
      <c r="A939" s="226"/>
      <c r="B939" s="131" t="s">
        <v>1488</v>
      </c>
      <c r="C939" s="226">
        <v>98417</v>
      </c>
      <c r="H939" s="225"/>
      <c r="K939" s="225"/>
      <c r="P939" s="225"/>
    </row>
    <row r="940" spans="1:20">
      <c r="A940" s="226"/>
      <c r="B940" s="131" t="s">
        <v>1346</v>
      </c>
      <c r="C940" s="226">
        <v>97008</v>
      </c>
      <c r="H940" s="225"/>
      <c r="K940" s="225"/>
      <c r="P940" s="225"/>
    </row>
    <row r="941" spans="1:20">
      <c r="A941" s="226"/>
      <c r="B941" s="131" t="s">
        <v>1347</v>
      </c>
      <c r="C941" s="226">
        <v>97010</v>
      </c>
      <c r="H941" s="225"/>
      <c r="K941" s="225"/>
      <c r="P941" s="225"/>
    </row>
    <row r="942" spans="1:20">
      <c r="A942" s="226"/>
      <c r="B942" s="131" t="s">
        <v>731</v>
      </c>
      <c r="C942" s="226">
        <v>90096</v>
      </c>
      <c r="H942" s="225"/>
      <c r="K942" s="225"/>
      <c r="P942" s="225"/>
    </row>
    <row r="943" spans="1:20">
      <c r="A943" s="226"/>
      <c r="B943" s="131" t="s">
        <v>782</v>
      </c>
      <c r="C943" s="226">
        <v>90805</v>
      </c>
      <c r="H943" s="225"/>
      <c r="K943" s="225"/>
      <c r="P943" s="225"/>
    </row>
    <row r="944" spans="1:20">
      <c r="A944" s="226"/>
      <c r="B944" s="131" t="s">
        <v>925</v>
      </c>
      <c r="C944" s="226">
        <v>92109</v>
      </c>
      <c r="H944" s="225"/>
      <c r="K944" s="225"/>
      <c r="P944" s="225"/>
    </row>
    <row r="945" spans="1:16">
      <c r="A945" s="226"/>
      <c r="B945" s="131" t="s">
        <v>743</v>
      </c>
      <c r="C945" s="226">
        <v>90201</v>
      </c>
      <c r="H945" s="225"/>
      <c r="K945" s="225"/>
      <c r="P945" s="225"/>
    </row>
    <row r="946" spans="1:16">
      <c r="A946" s="226"/>
      <c r="B946" s="131" t="s">
        <v>746</v>
      </c>
      <c r="C946" s="226">
        <v>90206</v>
      </c>
      <c r="H946" s="225"/>
      <c r="K946" s="225"/>
      <c r="P946" s="225"/>
    </row>
    <row r="947" spans="1:16">
      <c r="A947" s="226"/>
      <c r="B947" s="131" t="s">
        <v>744</v>
      </c>
      <c r="C947" s="226">
        <v>90203</v>
      </c>
      <c r="H947" s="225"/>
      <c r="K947" s="225"/>
      <c r="P947" s="225"/>
    </row>
    <row r="948" spans="1:16">
      <c r="A948" s="226"/>
      <c r="B948" s="131" t="s">
        <v>745</v>
      </c>
      <c r="C948" s="226">
        <v>90205</v>
      </c>
      <c r="H948" s="225"/>
      <c r="K948" s="225"/>
      <c r="P948" s="225"/>
    </row>
    <row r="949" spans="1:16">
      <c r="A949" s="226"/>
      <c r="B949" s="131" t="s">
        <v>748</v>
      </c>
      <c r="C949" s="226">
        <v>90301</v>
      </c>
      <c r="H949" s="225"/>
      <c r="K949" s="225"/>
      <c r="P949" s="225"/>
    </row>
    <row r="950" spans="1:16">
      <c r="A950" s="226"/>
      <c r="B950" s="131" t="s">
        <v>1020</v>
      </c>
      <c r="C950" s="226">
        <v>93209</v>
      </c>
      <c r="H950" s="225"/>
      <c r="K950" s="225"/>
      <c r="P950" s="225"/>
    </row>
    <row r="951" spans="1:16">
      <c r="A951" s="226"/>
      <c r="B951" s="131" t="s">
        <v>2023</v>
      </c>
      <c r="C951" s="226">
        <v>92021</v>
      </c>
      <c r="H951" s="225"/>
      <c r="K951" s="225"/>
      <c r="P951" s="225"/>
    </row>
    <row r="952" spans="1:16">
      <c r="A952" s="226"/>
      <c r="B952" s="131" t="s">
        <v>2024</v>
      </c>
      <c r="C952" s="226">
        <v>94351</v>
      </c>
      <c r="H952" s="225"/>
      <c r="K952" s="225"/>
      <c r="P952" s="225"/>
    </row>
    <row r="953" spans="1:16">
      <c r="A953" s="226"/>
      <c r="B953" s="131" t="s">
        <v>2025</v>
      </c>
      <c r="C953" s="226">
        <v>94347</v>
      </c>
      <c r="H953" s="225"/>
      <c r="K953" s="225"/>
      <c r="P953" s="225"/>
    </row>
    <row r="954" spans="1:16">
      <c r="A954" s="226"/>
      <c r="B954" s="131" t="s">
        <v>751</v>
      </c>
      <c r="C954" s="226">
        <v>90401</v>
      </c>
      <c r="H954" s="225"/>
      <c r="K954" s="225"/>
      <c r="P954" s="225"/>
    </row>
    <row r="955" spans="1:16">
      <c r="A955" s="226"/>
      <c r="B955" s="131" t="s">
        <v>2026</v>
      </c>
      <c r="C955" s="226">
        <v>90451</v>
      </c>
      <c r="H955" s="225"/>
      <c r="K955" s="225"/>
      <c r="P955" s="225"/>
    </row>
    <row r="956" spans="1:16">
      <c r="A956" s="226"/>
      <c r="B956" s="131" t="s">
        <v>2027</v>
      </c>
      <c r="C956" s="226">
        <v>99271</v>
      </c>
      <c r="H956" s="225"/>
      <c r="K956" s="225"/>
      <c r="P956" s="225"/>
    </row>
    <row r="957" spans="1:16">
      <c r="A957" s="226"/>
      <c r="B957" s="131" t="s">
        <v>733</v>
      </c>
      <c r="C957" s="226">
        <v>90099</v>
      </c>
      <c r="H957" s="225"/>
      <c r="K957" s="225"/>
      <c r="P957" s="225"/>
    </row>
    <row r="958" spans="1:16">
      <c r="A958" s="226"/>
      <c r="B958" s="131" t="s">
        <v>1592</v>
      </c>
      <c r="C958" s="226">
        <v>99705</v>
      </c>
      <c r="H958" s="225"/>
      <c r="K958" s="225"/>
      <c r="P958" s="225"/>
    </row>
    <row r="959" spans="1:16">
      <c r="A959" s="226"/>
      <c r="B959" s="131" t="s">
        <v>1943</v>
      </c>
      <c r="C959" s="226">
        <v>97651</v>
      </c>
      <c r="H959" s="225"/>
      <c r="K959" s="225"/>
      <c r="P959" s="225"/>
    </row>
    <row r="960" spans="1:16">
      <c r="A960" s="226"/>
      <c r="B960" s="131" t="s">
        <v>2028</v>
      </c>
      <c r="C960" s="226">
        <v>95106</v>
      </c>
      <c r="H960" s="225"/>
      <c r="K960" s="225"/>
      <c r="P960" s="225"/>
    </row>
    <row r="961" spans="1:16">
      <c r="A961" s="226"/>
      <c r="B961" s="131" t="s">
        <v>760</v>
      </c>
      <c r="C961" s="226">
        <v>90501</v>
      </c>
      <c r="H961" s="225"/>
      <c r="K961" s="225"/>
      <c r="P961" s="225"/>
    </row>
    <row r="962" spans="1:16">
      <c r="A962" s="226"/>
      <c r="B962" s="131" t="s">
        <v>1944</v>
      </c>
      <c r="C962" s="226">
        <v>97611</v>
      </c>
      <c r="H962" s="225"/>
      <c r="K962" s="225"/>
      <c r="P962" s="225"/>
    </row>
    <row r="963" spans="1:16">
      <c r="A963" s="226"/>
      <c r="B963" s="131" t="s">
        <v>1389</v>
      </c>
      <c r="C963" s="226">
        <v>97607</v>
      </c>
      <c r="H963" s="225"/>
      <c r="K963" s="225"/>
      <c r="P963" s="225"/>
    </row>
    <row r="964" spans="1:16">
      <c r="A964" s="226"/>
      <c r="B964" s="131" t="s">
        <v>2747</v>
      </c>
      <c r="C964" s="226">
        <v>97613</v>
      </c>
      <c r="H964" s="225"/>
      <c r="K964" s="225"/>
      <c r="P964" s="225"/>
    </row>
    <row r="965" spans="1:16">
      <c r="A965" s="226"/>
      <c r="B965" s="131" t="s">
        <v>1945</v>
      </c>
      <c r="C965" s="226">
        <v>91121</v>
      </c>
      <c r="H965" s="225"/>
      <c r="K965" s="225"/>
      <c r="P965" s="225"/>
    </row>
    <row r="966" spans="1:16">
      <c r="A966" s="226"/>
      <c r="B966" s="131" t="s">
        <v>834</v>
      </c>
      <c r="C966" s="51">
        <v>91127</v>
      </c>
      <c r="H966" s="225"/>
      <c r="K966" s="225"/>
      <c r="P966" s="225"/>
    </row>
    <row r="967" spans="1:16">
      <c r="A967" s="226"/>
      <c r="B967" s="131" t="s">
        <v>835</v>
      </c>
      <c r="C967" s="226">
        <v>91128</v>
      </c>
      <c r="H967" s="225"/>
      <c r="K967" s="225"/>
      <c r="P967" s="225"/>
    </row>
    <row r="968" spans="1:16">
      <c r="A968" s="226"/>
      <c r="B968" s="131" t="s">
        <v>2029</v>
      </c>
      <c r="C968" s="226">
        <v>91681</v>
      </c>
      <c r="H968" s="225"/>
      <c r="K968" s="225"/>
      <c r="P968" s="225"/>
    </row>
    <row r="969" spans="1:16">
      <c r="A969" s="226"/>
      <c r="B969" s="131" t="s">
        <v>2030</v>
      </c>
      <c r="C969" s="226">
        <v>90811</v>
      </c>
      <c r="H969" s="225"/>
      <c r="K969" s="225"/>
      <c r="P969" s="225"/>
    </row>
    <row r="970" spans="1:16">
      <c r="A970" s="226"/>
      <c r="B970" s="131" t="s">
        <v>2032</v>
      </c>
      <c r="C970" s="226">
        <v>90721</v>
      </c>
      <c r="H970" s="225"/>
      <c r="K970" s="225"/>
      <c r="P970" s="225"/>
    </row>
    <row r="971" spans="1:16">
      <c r="A971" s="226"/>
      <c r="B971" s="131" t="s">
        <v>2031</v>
      </c>
      <c r="C971" s="226">
        <v>98271</v>
      </c>
      <c r="H971" s="225"/>
      <c r="K971" s="225"/>
      <c r="P971" s="225"/>
    </row>
    <row r="972" spans="1:16">
      <c r="A972" s="226"/>
      <c r="B972" s="131" t="s">
        <v>763</v>
      </c>
      <c r="C972" s="226">
        <v>90601</v>
      </c>
      <c r="H972" s="225"/>
      <c r="K972" s="225"/>
      <c r="P972" s="225"/>
    </row>
    <row r="973" spans="1:16">
      <c r="A973" s="226"/>
      <c r="B973" s="131" t="s">
        <v>259</v>
      </c>
      <c r="C973" s="226">
        <v>90602</v>
      </c>
      <c r="H973" s="225"/>
      <c r="K973" s="225"/>
      <c r="P973" s="225"/>
    </row>
    <row r="974" spans="1:16">
      <c r="A974" s="226"/>
      <c r="B974" s="131" t="s">
        <v>764</v>
      </c>
      <c r="C974" s="226">
        <v>90605</v>
      </c>
      <c r="H974" s="225"/>
      <c r="K974" s="225"/>
      <c r="P974" s="225"/>
    </row>
    <row r="975" spans="1:16">
      <c r="A975" s="226"/>
      <c r="B975" s="131" t="s">
        <v>2033</v>
      </c>
      <c r="C975" s="226">
        <v>97461</v>
      </c>
      <c r="H975" s="225"/>
      <c r="K975" s="225"/>
      <c r="P975" s="225"/>
    </row>
    <row r="976" spans="1:16">
      <c r="A976" s="226"/>
      <c r="B976" s="131" t="s">
        <v>1380</v>
      </c>
      <c r="C976" s="226">
        <v>97463</v>
      </c>
      <c r="H976" s="225"/>
      <c r="K976" s="225"/>
      <c r="P976" s="225"/>
    </row>
    <row r="977" spans="1:16">
      <c r="A977" s="226"/>
      <c r="B977" s="131" t="s">
        <v>773</v>
      </c>
      <c r="C977" s="226">
        <v>90705</v>
      </c>
      <c r="H977" s="225"/>
      <c r="K977" s="225"/>
      <c r="P977" s="225"/>
    </row>
    <row r="978" spans="1:16">
      <c r="A978" s="226"/>
      <c r="B978" s="131" t="s">
        <v>2034</v>
      </c>
      <c r="C978" s="226">
        <v>98451</v>
      </c>
      <c r="H978" s="225"/>
      <c r="K978" s="225"/>
      <c r="P978" s="225"/>
    </row>
    <row r="979" spans="1:16">
      <c r="A979" s="226"/>
      <c r="B979" s="131" t="s">
        <v>2035</v>
      </c>
      <c r="C979" s="226">
        <v>96451</v>
      </c>
      <c r="H979" s="225"/>
      <c r="K979" s="225"/>
      <c r="P979" s="225"/>
    </row>
    <row r="980" spans="1:16">
      <c r="A980" s="226"/>
      <c r="B980" s="131" t="s">
        <v>2036</v>
      </c>
      <c r="C980" s="226">
        <v>96121</v>
      </c>
      <c r="H980" s="225"/>
      <c r="K980" s="225"/>
      <c r="P980" s="225"/>
    </row>
    <row r="981" spans="1:16">
      <c r="A981" s="226"/>
      <c r="B981" s="131" t="s">
        <v>2494</v>
      </c>
      <c r="C981" s="226">
        <v>91091</v>
      </c>
      <c r="H981" s="225"/>
      <c r="K981" s="225"/>
      <c r="P981" s="225"/>
    </row>
    <row r="982" spans="1:16">
      <c r="A982" s="226"/>
      <c r="B982" s="131" t="s">
        <v>2037</v>
      </c>
      <c r="C982" s="226">
        <v>90611</v>
      </c>
      <c r="H982" s="225"/>
      <c r="K982" s="225"/>
      <c r="P982" s="225"/>
    </row>
    <row r="983" spans="1:16">
      <c r="A983" s="226"/>
      <c r="B983" s="131" t="s">
        <v>1341</v>
      </c>
      <c r="C983" s="226">
        <v>96918</v>
      </c>
      <c r="H983" s="225"/>
      <c r="K983" s="225"/>
      <c r="P983" s="225"/>
    </row>
    <row r="984" spans="1:16">
      <c r="A984" s="226"/>
      <c r="B984" s="131" t="s">
        <v>2038</v>
      </c>
      <c r="C984" s="226">
        <v>96911</v>
      </c>
      <c r="H984" s="225"/>
      <c r="K984" s="225"/>
      <c r="P984" s="225"/>
    </row>
    <row r="985" spans="1:16">
      <c r="A985" s="226"/>
      <c r="B985" s="131" t="s">
        <v>1543</v>
      </c>
      <c r="C985" s="226">
        <v>99208</v>
      </c>
      <c r="H985" s="225"/>
      <c r="K985" s="225"/>
      <c r="P985" s="225"/>
    </row>
    <row r="986" spans="1:16">
      <c r="A986" s="226"/>
      <c r="B986" s="131" t="s">
        <v>2039</v>
      </c>
      <c r="C986" s="226">
        <v>91631</v>
      </c>
      <c r="H986" s="225"/>
      <c r="K986" s="225"/>
      <c r="P986" s="225"/>
    </row>
    <row r="987" spans="1:16">
      <c r="A987" s="226"/>
      <c r="B987" s="131" t="s">
        <v>771</v>
      </c>
      <c r="C987" s="226">
        <v>90701</v>
      </c>
      <c r="H987" s="225"/>
      <c r="K987" s="225"/>
      <c r="P987" s="225"/>
    </row>
    <row r="988" spans="1:16">
      <c r="A988" s="226"/>
      <c r="B988" s="131" t="s">
        <v>772</v>
      </c>
      <c r="C988" s="226">
        <v>90704</v>
      </c>
      <c r="H988" s="225"/>
      <c r="K988" s="225"/>
      <c r="P988" s="225"/>
    </row>
    <row r="989" spans="1:16">
      <c r="A989" s="226"/>
      <c r="B989" s="131" t="s">
        <v>2750</v>
      </c>
      <c r="C989" s="226">
        <v>91633</v>
      </c>
      <c r="H989" s="225"/>
      <c r="K989" s="225"/>
      <c r="P989" s="225"/>
    </row>
    <row r="990" spans="1:16">
      <c r="A990" s="226"/>
      <c r="B990" s="131" t="s">
        <v>2040</v>
      </c>
      <c r="C990" s="226">
        <v>90631</v>
      </c>
      <c r="H990" s="225"/>
      <c r="K990" s="225"/>
      <c r="P990" s="225"/>
    </row>
    <row r="991" spans="1:16">
      <c r="A991" s="226"/>
      <c r="B991" s="131" t="s">
        <v>2041</v>
      </c>
      <c r="C991" s="226">
        <v>90731</v>
      </c>
      <c r="H991" s="225"/>
      <c r="K991" s="225"/>
      <c r="P991" s="225"/>
    </row>
    <row r="992" spans="1:16">
      <c r="A992" s="226"/>
      <c r="B992" s="131" t="s">
        <v>1946</v>
      </c>
      <c r="C992" s="226">
        <v>93621</v>
      </c>
      <c r="H992" s="225"/>
      <c r="K992" s="225"/>
      <c r="P992" s="225"/>
    </row>
    <row r="993" spans="1:16">
      <c r="A993" s="226"/>
      <c r="B993" s="131" t="s">
        <v>1066</v>
      </c>
      <c r="C993" s="226">
        <v>93623</v>
      </c>
      <c r="H993" s="225"/>
      <c r="K993" s="225"/>
      <c r="P993" s="225"/>
    </row>
    <row r="994" spans="1:16">
      <c r="A994" s="226"/>
      <c r="B994" s="131" t="s">
        <v>2042</v>
      </c>
      <c r="C994" s="226">
        <v>91020</v>
      </c>
      <c r="H994" s="225"/>
      <c r="K994" s="225"/>
      <c r="P994" s="225"/>
    </row>
    <row r="995" spans="1:16">
      <c r="A995" s="226"/>
      <c r="B995" s="131" t="s">
        <v>2043</v>
      </c>
      <c r="C995" s="226">
        <v>95141</v>
      </c>
      <c r="H995" s="225"/>
      <c r="K995" s="225"/>
      <c r="P995" s="225"/>
    </row>
    <row r="996" spans="1:16">
      <c r="A996" s="226"/>
      <c r="B996" s="131" t="s">
        <v>1186</v>
      </c>
      <c r="C996" s="226">
        <v>95103</v>
      </c>
      <c r="H996" s="225"/>
      <c r="K996" s="225"/>
      <c r="P996" s="225"/>
    </row>
    <row r="997" spans="1:16">
      <c r="A997" s="226"/>
      <c r="B997" s="131" t="s">
        <v>2044</v>
      </c>
      <c r="C997" s="226">
        <v>93021</v>
      </c>
      <c r="H997" s="225"/>
      <c r="K997" s="225"/>
      <c r="P997" s="225"/>
    </row>
    <row r="998" spans="1:16">
      <c r="A998" s="226"/>
      <c r="B998" s="131" t="s">
        <v>780</v>
      </c>
      <c r="C998" s="226">
        <v>90801</v>
      </c>
      <c r="H998" s="225"/>
      <c r="K998" s="225"/>
      <c r="P998" s="225"/>
    </row>
    <row r="999" spans="1:16">
      <c r="A999" s="226"/>
      <c r="B999" s="131" t="s">
        <v>781</v>
      </c>
      <c r="C999" s="226">
        <v>90804</v>
      </c>
      <c r="H999" s="225"/>
      <c r="K999" s="225"/>
      <c r="P999" s="225"/>
    </row>
    <row r="1000" spans="1:16">
      <c r="A1000" s="226"/>
      <c r="B1000" s="131" t="s">
        <v>783</v>
      </c>
      <c r="C1000" s="226">
        <v>90808</v>
      </c>
      <c r="H1000" s="225"/>
      <c r="K1000" s="225"/>
      <c r="P1000" s="225"/>
    </row>
    <row r="1001" spans="1:16">
      <c r="A1001" s="226"/>
      <c r="B1001" s="131" t="s">
        <v>1072</v>
      </c>
      <c r="C1001" s="226">
        <v>93671</v>
      </c>
      <c r="H1001" s="225"/>
      <c r="K1001" s="225"/>
      <c r="P1001" s="225"/>
    </row>
    <row r="1002" spans="1:16">
      <c r="A1002" s="226"/>
      <c r="B1002" s="131" t="s">
        <v>2770</v>
      </c>
      <c r="C1002" s="226">
        <v>93677</v>
      </c>
      <c r="H1002" s="225"/>
      <c r="K1002" s="225"/>
      <c r="P1002" s="225"/>
    </row>
    <row r="1003" spans="1:16">
      <c r="A1003" s="226"/>
      <c r="B1003" s="131" t="s">
        <v>2045</v>
      </c>
      <c r="C1003" s="226">
        <v>97441</v>
      </c>
      <c r="H1003" s="225"/>
      <c r="K1003" s="225"/>
      <c r="P1003" s="225"/>
    </row>
    <row r="1004" spans="1:16">
      <c r="A1004" s="226"/>
      <c r="B1004" s="131" t="s">
        <v>2046</v>
      </c>
      <c r="C1004" s="226">
        <v>93111</v>
      </c>
      <c r="H1004" s="225"/>
      <c r="K1004" s="225"/>
      <c r="P1004" s="225"/>
    </row>
    <row r="1005" spans="1:16">
      <c r="A1005" s="226"/>
      <c r="B1005" s="131" t="s">
        <v>2047</v>
      </c>
      <c r="C1005" s="226">
        <v>91111</v>
      </c>
      <c r="H1005" s="225"/>
      <c r="K1005" s="225"/>
      <c r="P1005" s="225"/>
    </row>
    <row r="1006" spans="1:16">
      <c r="A1006" s="226"/>
      <c r="B1006" s="131" t="s">
        <v>2048</v>
      </c>
      <c r="C1006" s="226">
        <v>96231</v>
      </c>
      <c r="H1006" s="225"/>
      <c r="K1006" s="225"/>
      <c r="P1006" s="225"/>
    </row>
    <row r="1007" spans="1:16">
      <c r="A1007" s="226"/>
      <c r="B1007" s="131" t="s">
        <v>2049</v>
      </c>
      <c r="C1007" s="51">
        <v>99831</v>
      </c>
      <c r="H1007" s="225"/>
      <c r="K1007" s="225"/>
      <c r="P1007" s="225"/>
    </row>
    <row r="1008" spans="1:16">
      <c r="A1008" s="226"/>
      <c r="B1008" s="131" t="s">
        <v>2050</v>
      </c>
      <c r="C1008" s="226">
        <v>91151</v>
      </c>
      <c r="H1008" s="225"/>
      <c r="K1008" s="225"/>
      <c r="P1008" s="225"/>
    </row>
    <row r="1009" spans="1:16">
      <c r="A1009" s="226"/>
      <c r="B1009" s="131" t="s">
        <v>840</v>
      </c>
      <c r="C1009" s="226">
        <v>91154</v>
      </c>
      <c r="H1009" s="225"/>
      <c r="K1009" s="225"/>
      <c r="P1009" s="225"/>
    </row>
    <row r="1010" spans="1:16">
      <c r="A1010" s="226"/>
      <c r="B1010" s="131" t="s">
        <v>788</v>
      </c>
      <c r="C1010" s="226">
        <v>90901</v>
      </c>
      <c r="H1010" s="225"/>
      <c r="K1010" s="225"/>
      <c r="P1010" s="225"/>
    </row>
    <row r="1011" spans="1:16">
      <c r="A1011" s="226"/>
      <c r="B1011" s="131" t="s">
        <v>2051</v>
      </c>
      <c r="C1011" s="226">
        <v>90941</v>
      </c>
      <c r="H1011" s="225"/>
      <c r="K1011" s="225"/>
      <c r="P1011" s="225"/>
    </row>
    <row r="1012" spans="1:16">
      <c r="A1012" s="226"/>
      <c r="B1012" s="131" t="s">
        <v>2052</v>
      </c>
      <c r="C1012" s="226">
        <v>99521</v>
      </c>
      <c r="H1012" s="225"/>
      <c r="K1012" s="225"/>
      <c r="P1012" s="225"/>
    </row>
    <row r="1013" spans="1:16">
      <c r="A1013" s="226"/>
      <c r="B1013" s="131" t="s">
        <v>1576</v>
      </c>
      <c r="C1013" s="226">
        <v>99527</v>
      </c>
      <c r="H1013" s="225"/>
      <c r="K1013" s="225"/>
      <c r="P1013" s="225"/>
    </row>
    <row r="1014" spans="1:16">
      <c r="A1014" s="226"/>
      <c r="B1014" s="131" t="s">
        <v>1572</v>
      </c>
      <c r="C1014" s="226">
        <v>99508</v>
      </c>
      <c r="H1014" s="225"/>
      <c r="K1014" s="225"/>
      <c r="P1014" s="225"/>
    </row>
    <row r="1015" spans="1:16">
      <c r="A1015" s="226"/>
      <c r="B1015" s="131" t="s">
        <v>1152</v>
      </c>
      <c r="C1015" s="226">
        <v>94532</v>
      </c>
      <c r="H1015" s="225"/>
      <c r="K1015" s="225"/>
      <c r="P1015" s="225"/>
    </row>
    <row r="1016" spans="1:16">
      <c r="A1016" s="226"/>
      <c r="B1016" s="131" t="s">
        <v>1947</v>
      </c>
      <c r="C1016" s="226">
        <v>91071</v>
      </c>
      <c r="H1016" s="225"/>
      <c r="K1016" s="225"/>
      <c r="P1016" s="225"/>
    </row>
    <row r="1017" spans="1:16">
      <c r="A1017" s="226"/>
      <c r="B1017" s="131" t="s">
        <v>822</v>
      </c>
      <c r="C1017" s="226">
        <v>91077</v>
      </c>
      <c r="H1017" s="225"/>
      <c r="K1017" s="225"/>
      <c r="P1017" s="225"/>
    </row>
    <row r="1018" spans="1:16">
      <c r="A1018" s="226"/>
      <c r="B1018" s="131" t="s">
        <v>2053</v>
      </c>
      <c r="C1018" s="226">
        <v>92331</v>
      </c>
      <c r="H1018" s="225"/>
      <c r="K1018" s="225"/>
      <c r="P1018" s="225"/>
    </row>
    <row r="1019" spans="1:16">
      <c r="A1019" s="226"/>
      <c r="B1019" s="131" t="s">
        <v>2054</v>
      </c>
      <c r="C1019" s="226">
        <v>92414</v>
      </c>
      <c r="H1019" s="225"/>
      <c r="K1019" s="225"/>
      <c r="P1019" s="225"/>
    </row>
    <row r="1020" spans="1:16">
      <c r="A1020" s="226"/>
      <c r="B1020" s="131" t="s">
        <v>2055</v>
      </c>
      <c r="C1020" s="226">
        <v>99511</v>
      </c>
      <c r="H1020" s="225"/>
      <c r="K1020" s="225"/>
      <c r="P1020" s="225"/>
    </row>
    <row r="1021" spans="1:16">
      <c r="A1021" s="226"/>
      <c r="B1021" s="131" t="s">
        <v>2056</v>
      </c>
      <c r="C1021" s="51">
        <v>99941</v>
      </c>
      <c r="H1021" s="225"/>
      <c r="K1021" s="225"/>
      <c r="P1021" s="225"/>
    </row>
    <row r="1022" spans="1:16">
      <c r="A1022" s="226"/>
      <c r="B1022" s="131" t="s">
        <v>1294</v>
      </c>
      <c r="C1022" s="226">
        <v>96405</v>
      </c>
      <c r="H1022" s="225"/>
      <c r="K1022" s="225"/>
      <c r="P1022" s="225"/>
    </row>
    <row r="1023" spans="1:16">
      <c r="A1023" s="226"/>
      <c r="B1023" s="131" t="s">
        <v>1948</v>
      </c>
      <c r="C1023" s="226">
        <v>98811</v>
      </c>
      <c r="H1023" s="225"/>
      <c r="K1023" s="225"/>
      <c r="P1023" s="225"/>
    </row>
    <row r="1024" spans="1:16">
      <c r="A1024" s="226"/>
      <c r="B1024" s="131" t="s">
        <v>1514</v>
      </c>
      <c r="C1024" s="226">
        <v>98817</v>
      </c>
      <c r="H1024" s="225"/>
      <c r="K1024" s="225"/>
      <c r="P1024" s="225"/>
    </row>
    <row r="1025" spans="1:16">
      <c r="A1025" s="226"/>
      <c r="B1025" s="131" t="s">
        <v>2057</v>
      </c>
      <c r="C1025" s="226">
        <v>92561</v>
      </c>
      <c r="H1025" s="225"/>
      <c r="K1025" s="225"/>
      <c r="P1025" s="225"/>
    </row>
    <row r="1026" spans="1:16">
      <c r="A1026" s="226"/>
      <c r="B1026" s="131" t="s">
        <v>1455</v>
      </c>
      <c r="C1026" s="226">
        <v>98102</v>
      </c>
      <c r="H1026" s="225"/>
      <c r="K1026" s="225"/>
      <c r="P1026" s="225"/>
    </row>
    <row r="1027" spans="1:16">
      <c r="A1027" s="226"/>
      <c r="B1027" s="131" t="s">
        <v>2058</v>
      </c>
      <c r="C1027" s="226">
        <v>95321</v>
      </c>
      <c r="H1027" s="225"/>
      <c r="K1027" s="225"/>
      <c r="P1027" s="225"/>
    </row>
    <row r="1028" spans="1:16">
      <c r="A1028" s="226"/>
      <c r="B1028" s="131" t="s">
        <v>2059</v>
      </c>
      <c r="C1028" s="226">
        <v>91861</v>
      </c>
      <c r="H1028" s="225"/>
      <c r="K1028" s="225"/>
      <c r="P1028" s="225"/>
    </row>
    <row r="1029" spans="1:16">
      <c r="A1029" s="226"/>
      <c r="B1029" s="131" t="s">
        <v>2060</v>
      </c>
      <c r="C1029" s="226">
        <v>92421</v>
      </c>
      <c r="H1029" s="225"/>
      <c r="K1029" s="225"/>
      <c r="P1029" s="225"/>
    </row>
    <row r="1030" spans="1:16">
      <c r="A1030" s="226"/>
      <c r="B1030" s="131" t="s">
        <v>795</v>
      </c>
      <c r="C1030" s="226">
        <v>91001</v>
      </c>
      <c r="H1030" s="225"/>
      <c r="K1030" s="225"/>
      <c r="P1030" s="225"/>
    </row>
    <row r="1031" spans="1:16">
      <c r="A1031" s="226"/>
      <c r="B1031" s="131" t="s">
        <v>798</v>
      </c>
      <c r="C1031" s="226">
        <v>91004</v>
      </c>
      <c r="H1031" s="225"/>
      <c r="K1031" s="225"/>
      <c r="P1031" s="225"/>
    </row>
    <row r="1032" spans="1:16">
      <c r="A1032" s="226"/>
      <c r="B1032" s="131" t="s">
        <v>2771</v>
      </c>
      <c r="C1032" s="226">
        <v>91006</v>
      </c>
      <c r="H1032" s="225"/>
      <c r="K1032" s="225"/>
      <c r="P1032" s="225"/>
    </row>
    <row r="1033" spans="1:16">
      <c r="A1033" s="226"/>
      <c r="B1033" s="131" t="s">
        <v>2772</v>
      </c>
      <c r="C1033" s="226">
        <v>91003</v>
      </c>
      <c r="H1033" s="225"/>
      <c r="K1033" s="225"/>
      <c r="P1033" s="225"/>
    </row>
    <row r="1034" spans="1:16">
      <c r="A1034" s="226"/>
      <c r="B1034" s="131" t="s">
        <v>802</v>
      </c>
      <c r="C1034" s="226">
        <v>91009</v>
      </c>
      <c r="H1034" s="225"/>
      <c r="K1034" s="225"/>
      <c r="P1034" s="225"/>
    </row>
    <row r="1035" spans="1:16">
      <c r="A1035" s="226"/>
      <c r="B1035" s="131" t="s">
        <v>815</v>
      </c>
      <c r="C1035" s="226">
        <v>91042</v>
      </c>
      <c r="H1035" s="225"/>
      <c r="K1035" s="225"/>
      <c r="P1035" s="225"/>
    </row>
    <row r="1036" spans="1:16">
      <c r="A1036" s="226"/>
      <c r="B1036" s="131" t="s">
        <v>2061</v>
      </c>
      <c r="C1036" s="226">
        <v>98711</v>
      </c>
      <c r="H1036" s="225"/>
      <c r="K1036" s="225"/>
      <c r="P1036" s="225"/>
    </row>
    <row r="1037" spans="1:16">
      <c r="A1037" s="226"/>
      <c r="B1037" s="131" t="s">
        <v>1511</v>
      </c>
      <c r="C1037" s="226">
        <v>98717</v>
      </c>
      <c r="H1037" s="225"/>
      <c r="K1037" s="225"/>
      <c r="P1037" s="225"/>
    </row>
    <row r="1038" spans="1:16">
      <c r="A1038" s="226"/>
      <c r="B1038" s="131" t="s">
        <v>825</v>
      </c>
      <c r="C1038" s="226">
        <v>91101</v>
      </c>
      <c r="H1038" s="225"/>
      <c r="K1038" s="225"/>
      <c r="P1038" s="225"/>
    </row>
    <row r="1039" spans="1:16">
      <c r="A1039" s="226"/>
      <c r="B1039" s="131" t="s">
        <v>2062</v>
      </c>
      <c r="C1039" s="226">
        <v>93531</v>
      </c>
      <c r="H1039" s="225"/>
      <c r="K1039" s="225"/>
      <c r="P1039" s="225"/>
    </row>
    <row r="1040" spans="1:16">
      <c r="A1040" s="226"/>
      <c r="B1040" s="131" t="s">
        <v>2745</v>
      </c>
      <c r="C1040" s="226">
        <v>93537</v>
      </c>
      <c r="H1040" s="225"/>
      <c r="K1040" s="225"/>
      <c r="P1040" s="225"/>
    </row>
    <row r="1041" spans="1:16">
      <c r="A1041" s="226"/>
      <c r="B1041" s="131" t="s">
        <v>2063</v>
      </c>
      <c r="C1041" s="226">
        <v>97111</v>
      </c>
      <c r="H1041" s="225"/>
      <c r="K1041" s="225"/>
      <c r="P1041" s="225"/>
    </row>
    <row r="1042" spans="1:16">
      <c r="A1042" s="226"/>
      <c r="B1042" s="131" t="s">
        <v>843</v>
      </c>
      <c r="C1042" s="226">
        <v>91201</v>
      </c>
      <c r="H1042" s="225"/>
      <c r="K1042" s="225"/>
      <c r="P1042" s="225"/>
    </row>
    <row r="1043" spans="1:16">
      <c r="A1043" s="226"/>
      <c r="B1043" s="131" t="s">
        <v>2773</v>
      </c>
      <c r="C1043" s="226">
        <v>91206</v>
      </c>
      <c r="H1043" s="225"/>
      <c r="K1043" s="225"/>
      <c r="P1043" s="225"/>
    </row>
    <row r="1044" spans="1:16">
      <c r="A1044" s="226"/>
      <c r="B1044" s="131" t="s">
        <v>2774</v>
      </c>
      <c r="C1044" s="226">
        <v>91203</v>
      </c>
      <c r="H1044" s="225"/>
      <c r="K1044" s="225"/>
      <c r="P1044" s="225"/>
    </row>
    <row r="1045" spans="1:16">
      <c r="A1045" s="226"/>
      <c r="B1045" s="131" t="s">
        <v>847</v>
      </c>
      <c r="C1045" s="226">
        <v>91208</v>
      </c>
      <c r="H1045" s="225"/>
      <c r="K1045" s="225"/>
      <c r="P1045" s="225"/>
    </row>
    <row r="1046" spans="1:16">
      <c r="A1046" s="226"/>
      <c r="B1046" s="131" t="s">
        <v>844</v>
      </c>
      <c r="C1046" s="226">
        <v>91202</v>
      </c>
      <c r="H1046" s="225"/>
      <c r="K1046" s="225"/>
      <c r="P1046" s="225"/>
    </row>
    <row r="1047" spans="1:16">
      <c r="A1047" s="226"/>
      <c r="B1047" s="131" t="s">
        <v>1949</v>
      </c>
      <c r="C1047" s="226">
        <v>90111</v>
      </c>
      <c r="H1047" s="225"/>
      <c r="K1047" s="225"/>
      <c r="P1047" s="225"/>
    </row>
    <row r="1048" spans="1:16">
      <c r="A1048" s="226"/>
      <c r="B1048" s="131" t="s">
        <v>2064</v>
      </c>
      <c r="C1048" s="226">
        <v>90011</v>
      </c>
      <c r="H1048" s="225"/>
      <c r="K1048" s="225"/>
      <c r="P1048" s="225"/>
    </row>
    <row r="1049" spans="1:16">
      <c r="A1049" s="226"/>
      <c r="B1049" s="131" t="s">
        <v>2065</v>
      </c>
      <c r="C1049" s="226">
        <v>93931</v>
      </c>
      <c r="H1049" s="225"/>
      <c r="K1049" s="225"/>
      <c r="P1049" s="225"/>
    </row>
    <row r="1050" spans="1:16">
      <c r="A1050" s="226"/>
      <c r="B1050" s="131" t="s">
        <v>858</v>
      </c>
      <c r="C1050" s="226">
        <v>91301</v>
      </c>
      <c r="H1050" s="225"/>
      <c r="K1050" s="225"/>
      <c r="P1050" s="225"/>
    </row>
    <row r="1051" spans="1:16">
      <c r="A1051" s="226"/>
      <c r="B1051" s="131" t="s">
        <v>2775</v>
      </c>
      <c r="C1051" s="226">
        <v>91306</v>
      </c>
      <c r="H1051" s="225"/>
      <c r="K1051" s="225"/>
      <c r="P1051" s="225"/>
    </row>
    <row r="1052" spans="1:16">
      <c r="A1052" s="226"/>
      <c r="B1052" s="131" t="s">
        <v>861</v>
      </c>
      <c r="C1052" s="226">
        <v>91308</v>
      </c>
      <c r="H1052" s="225"/>
      <c r="K1052" s="225"/>
      <c r="P1052" s="225"/>
    </row>
    <row r="1053" spans="1:16">
      <c r="A1053" s="226"/>
      <c r="B1053" s="131" t="s">
        <v>2066</v>
      </c>
      <c r="C1053" s="226">
        <v>91461</v>
      </c>
      <c r="H1053" s="225"/>
      <c r="K1053" s="225"/>
      <c r="P1053" s="225"/>
    </row>
    <row r="1054" spans="1:16">
      <c r="A1054" s="226"/>
      <c r="B1054" s="131" t="s">
        <v>2067</v>
      </c>
      <c r="C1054" s="226">
        <v>91010</v>
      </c>
      <c r="H1054" s="225"/>
      <c r="K1054" s="225"/>
      <c r="P1054" s="225"/>
    </row>
    <row r="1055" spans="1:16">
      <c r="A1055" s="226"/>
      <c r="B1055" s="131" t="s">
        <v>800</v>
      </c>
      <c r="C1055" s="226">
        <v>91007</v>
      </c>
      <c r="H1055" s="225"/>
      <c r="K1055" s="225"/>
      <c r="P1055" s="225"/>
    </row>
    <row r="1056" spans="1:16">
      <c r="A1056" s="226"/>
      <c r="B1056" s="131" t="s">
        <v>868</v>
      </c>
      <c r="C1056" s="226">
        <v>91401</v>
      </c>
      <c r="H1056" s="225"/>
      <c r="K1056" s="225"/>
      <c r="P1056" s="225"/>
    </row>
    <row r="1057" spans="1:16">
      <c r="A1057" s="226"/>
      <c r="B1057" s="131" t="s">
        <v>2068</v>
      </c>
      <c r="C1057" s="226">
        <v>93171</v>
      </c>
      <c r="H1057" s="225"/>
      <c r="K1057" s="225"/>
      <c r="P1057" s="225"/>
    </row>
    <row r="1058" spans="1:16">
      <c r="A1058" s="226"/>
      <c r="B1058" s="131" t="s">
        <v>878</v>
      </c>
      <c r="C1058" s="226">
        <v>91501</v>
      </c>
      <c r="H1058" s="225"/>
      <c r="K1058" s="225"/>
      <c r="P1058" s="225"/>
    </row>
    <row r="1059" spans="1:16">
      <c r="A1059" s="226"/>
      <c r="B1059" s="131" t="s">
        <v>879</v>
      </c>
      <c r="C1059" s="226">
        <v>91504</v>
      </c>
      <c r="H1059" s="225"/>
      <c r="K1059" s="225"/>
      <c r="P1059" s="225"/>
    </row>
    <row r="1060" spans="1:16">
      <c r="A1060" s="226"/>
      <c r="B1060" s="131" t="s">
        <v>2069</v>
      </c>
      <c r="C1060" s="226">
        <v>96312</v>
      </c>
      <c r="H1060" s="225"/>
      <c r="K1060" s="225"/>
      <c r="P1060" s="225"/>
    </row>
    <row r="1061" spans="1:16">
      <c r="A1061" s="226"/>
      <c r="B1061" s="131" t="s">
        <v>2070</v>
      </c>
      <c r="C1061" s="226">
        <v>96241</v>
      </c>
      <c r="H1061" s="225"/>
      <c r="K1061" s="225"/>
      <c r="P1061" s="225"/>
    </row>
    <row r="1062" spans="1:16">
      <c r="A1062" s="226"/>
      <c r="B1062" s="131" t="s">
        <v>2071</v>
      </c>
      <c r="C1062" s="226">
        <v>94431</v>
      </c>
      <c r="H1062" s="225"/>
      <c r="K1062" s="225"/>
      <c r="P1062" s="225"/>
    </row>
    <row r="1063" spans="1:16">
      <c r="A1063" s="226"/>
      <c r="B1063" s="131" t="s">
        <v>1144</v>
      </c>
      <c r="C1063" s="226">
        <v>94437</v>
      </c>
      <c r="H1063" s="225"/>
      <c r="K1063" s="225"/>
      <c r="P1063" s="225"/>
    </row>
    <row r="1064" spans="1:16">
      <c r="A1064" s="226"/>
      <c r="B1064" s="131" t="s">
        <v>2072</v>
      </c>
      <c r="C1064" s="226">
        <v>91671</v>
      </c>
      <c r="H1064" s="225"/>
      <c r="K1064" s="225"/>
      <c r="P1064" s="225"/>
    </row>
    <row r="1065" spans="1:16">
      <c r="A1065" s="226"/>
      <c r="B1065" s="131" t="s">
        <v>801</v>
      </c>
      <c r="C1065" s="226">
        <v>91008</v>
      </c>
      <c r="H1065" s="225"/>
      <c r="K1065" s="225"/>
      <c r="P1065" s="225"/>
    </row>
    <row r="1066" spans="1:16">
      <c r="A1066" s="226"/>
      <c r="B1066" s="131" t="s">
        <v>1308</v>
      </c>
      <c r="C1066" s="226">
        <v>96512</v>
      </c>
      <c r="H1066" s="225"/>
      <c r="K1066" s="225"/>
      <c r="P1066" s="225"/>
    </row>
    <row r="1067" spans="1:16">
      <c r="A1067" s="226"/>
      <c r="B1067" s="131" t="s">
        <v>1305</v>
      </c>
      <c r="C1067" s="226">
        <v>96507</v>
      </c>
      <c r="H1067" s="225"/>
      <c r="K1067" s="225"/>
      <c r="P1067" s="225"/>
    </row>
    <row r="1068" spans="1:16">
      <c r="A1068" s="226"/>
      <c r="B1068" s="131" t="s">
        <v>1636</v>
      </c>
      <c r="C1068" s="226">
        <v>91015</v>
      </c>
      <c r="H1068" s="225"/>
      <c r="K1068" s="225"/>
      <c r="P1068" s="225"/>
    </row>
    <row r="1069" spans="1:16">
      <c r="A1069" s="226"/>
      <c r="B1069" s="131" t="s">
        <v>2073</v>
      </c>
      <c r="C1069" s="226">
        <v>96521</v>
      </c>
      <c r="H1069" s="225"/>
      <c r="K1069" s="225"/>
      <c r="P1069" s="225"/>
    </row>
    <row r="1070" spans="1:16">
      <c r="A1070" s="226"/>
      <c r="B1070" s="131" t="s">
        <v>2074</v>
      </c>
      <c r="C1070" s="226">
        <v>91024</v>
      </c>
      <c r="H1070" s="225"/>
      <c r="K1070" s="225"/>
      <c r="P1070" s="225"/>
    </row>
    <row r="1071" spans="1:16">
      <c r="A1071" s="226"/>
      <c r="B1071" s="131" t="s">
        <v>2075</v>
      </c>
      <c r="C1071" s="226">
        <v>96821</v>
      </c>
      <c r="H1071" s="225"/>
      <c r="K1071" s="225"/>
      <c r="P1071" s="225"/>
    </row>
    <row r="1072" spans="1:16">
      <c r="A1072" s="226"/>
      <c r="B1072" s="131" t="s">
        <v>880</v>
      </c>
      <c r="C1072" s="226">
        <v>91601</v>
      </c>
      <c r="H1072" s="225"/>
      <c r="K1072" s="225"/>
      <c r="P1072" s="225"/>
    </row>
    <row r="1073" spans="1:16">
      <c r="A1073" s="51"/>
      <c r="B1073" s="131" t="s">
        <v>881</v>
      </c>
      <c r="C1073" s="226">
        <v>91604</v>
      </c>
      <c r="H1073" s="225"/>
      <c r="K1073" s="225"/>
      <c r="P1073" s="225"/>
    </row>
    <row r="1074" spans="1:16">
      <c r="A1074" s="51"/>
      <c r="B1074" s="131" t="s">
        <v>2076</v>
      </c>
      <c r="C1074" s="226">
        <v>96391</v>
      </c>
      <c r="H1074" s="225"/>
      <c r="K1074" s="225"/>
      <c r="P1074" s="225"/>
    </row>
    <row r="1075" spans="1:16">
      <c r="A1075" s="51"/>
      <c r="B1075" s="131" t="s">
        <v>2077</v>
      </c>
      <c r="C1075" s="226">
        <v>99221</v>
      </c>
      <c r="H1075" s="225"/>
      <c r="K1075" s="225"/>
      <c r="P1075" s="225"/>
    </row>
    <row r="1076" spans="1:16">
      <c r="A1076" s="226"/>
      <c r="B1076" s="131" t="s">
        <v>2078</v>
      </c>
      <c r="C1076" s="226">
        <v>91051</v>
      </c>
      <c r="H1076" s="225"/>
      <c r="K1076" s="225"/>
      <c r="P1076" s="225"/>
    </row>
    <row r="1077" spans="1:16">
      <c r="A1077" s="226"/>
      <c r="B1077" s="131" t="s">
        <v>893</v>
      </c>
      <c r="C1077" s="226">
        <v>91701</v>
      </c>
      <c r="H1077" s="225"/>
      <c r="K1077" s="225"/>
      <c r="P1077" s="225"/>
    </row>
    <row r="1078" spans="1:16">
      <c r="A1078" s="226"/>
      <c r="B1078" s="131" t="s">
        <v>894</v>
      </c>
      <c r="C1078" s="226">
        <v>91704</v>
      </c>
      <c r="H1078" s="225"/>
      <c r="K1078" s="225"/>
      <c r="P1078" s="225"/>
    </row>
    <row r="1079" spans="1:16">
      <c r="A1079" s="226"/>
      <c r="B1079" s="131" t="s">
        <v>2776</v>
      </c>
      <c r="C1079" s="226">
        <v>91706</v>
      </c>
      <c r="H1079" s="225"/>
      <c r="K1079" s="225"/>
      <c r="P1079" s="225"/>
    </row>
    <row r="1080" spans="1:16">
      <c r="A1080" s="226"/>
      <c r="B1080" s="131" t="s">
        <v>2079</v>
      </c>
      <c r="C1080" s="226">
        <v>91881</v>
      </c>
      <c r="H1080" s="225"/>
      <c r="K1080" s="225"/>
      <c r="P1080" s="225"/>
    </row>
    <row r="1081" spans="1:16">
      <c r="A1081" s="226"/>
      <c r="B1081" s="131" t="s">
        <v>897</v>
      </c>
      <c r="C1081" s="226">
        <v>91801</v>
      </c>
      <c r="H1081" s="225"/>
      <c r="K1081" s="225"/>
      <c r="P1081" s="225"/>
    </row>
    <row r="1082" spans="1:16">
      <c r="A1082" s="226"/>
      <c r="B1082" s="131" t="s">
        <v>898</v>
      </c>
      <c r="C1082" s="226">
        <v>91804</v>
      </c>
      <c r="H1082" s="225"/>
      <c r="K1082" s="225"/>
      <c r="P1082" s="225"/>
    </row>
    <row r="1083" spans="1:16">
      <c r="A1083" s="226"/>
      <c r="B1083" s="131" t="s">
        <v>2080</v>
      </c>
      <c r="C1083" s="226">
        <v>91691</v>
      </c>
      <c r="H1083" s="225"/>
      <c r="K1083" s="225"/>
      <c r="P1083" s="225"/>
    </row>
    <row r="1084" spans="1:16">
      <c r="A1084" s="226"/>
      <c r="B1084" s="131" t="s">
        <v>1550</v>
      </c>
      <c r="C1084" s="226">
        <v>99222</v>
      </c>
      <c r="H1084" s="225"/>
      <c r="K1084" s="225"/>
      <c r="P1084" s="225"/>
    </row>
    <row r="1085" spans="1:16">
      <c r="A1085" s="226"/>
      <c r="B1085" s="131" t="s">
        <v>1039</v>
      </c>
      <c r="C1085" s="226">
        <v>93408</v>
      </c>
      <c r="H1085" s="225"/>
      <c r="K1085" s="225"/>
      <c r="P1085" s="225"/>
    </row>
    <row r="1086" spans="1:16">
      <c r="A1086" s="226"/>
      <c r="B1086" s="131" t="s">
        <v>1254</v>
      </c>
      <c r="C1086" s="226">
        <v>96009</v>
      </c>
      <c r="H1086" s="225"/>
      <c r="K1086" s="225"/>
      <c r="P1086" s="225"/>
    </row>
    <row r="1087" spans="1:16">
      <c r="A1087" s="226"/>
      <c r="B1087" s="131" t="s">
        <v>2081</v>
      </c>
      <c r="C1087" s="226">
        <v>92441</v>
      </c>
      <c r="H1087" s="225"/>
      <c r="K1087" s="225"/>
      <c r="P1087" s="225"/>
    </row>
    <row r="1088" spans="1:16">
      <c r="A1088" s="226"/>
      <c r="B1088" s="131" t="s">
        <v>2082</v>
      </c>
      <c r="C1088" s="226">
        <v>96811</v>
      </c>
      <c r="H1088" s="225"/>
      <c r="K1088" s="225"/>
      <c r="P1088" s="225"/>
    </row>
    <row r="1089" spans="1:16">
      <c r="A1089" s="226"/>
      <c r="B1089" s="131" t="s">
        <v>1950</v>
      </c>
      <c r="C1089" s="226">
        <v>96011</v>
      </c>
      <c r="H1089" s="225"/>
      <c r="K1089" s="225"/>
      <c r="P1089" s="225"/>
    </row>
    <row r="1090" spans="1:16">
      <c r="A1090" s="226"/>
      <c r="B1090" s="131" t="s">
        <v>1257</v>
      </c>
      <c r="C1090" s="226">
        <v>96018</v>
      </c>
      <c r="H1090" s="225"/>
      <c r="K1090" s="225"/>
      <c r="P1090" s="225"/>
    </row>
    <row r="1091" spans="1:16">
      <c r="A1091" s="226"/>
      <c r="B1091" s="131" t="s">
        <v>1250</v>
      </c>
      <c r="C1091" s="226">
        <v>96003</v>
      </c>
      <c r="H1091" s="225"/>
      <c r="K1091" s="225"/>
      <c r="P1091" s="225"/>
    </row>
    <row r="1092" spans="1:16">
      <c r="A1092" s="226"/>
      <c r="B1092" s="131" t="s">
        <v>1252</v>
      </c>
      <c r="C1092" s="226">
        <v>96005</v>
      </c>
      <c r="H1092" s="225"/>
      <c r="K1092" s="225"/>
      <c r="P1092" s="225"/>
    </row>
    <row r="1093" spans="1:16">
      <c r="A1093" s="226"/>
      <c r="B1093" s="131" t="s">
        <v>1256</v>
      </c>
      <c r="C1093" s="226">
        <v>96012</v>
      </c>
      <c r="H1093" s="225"/>
      <c r="K1093" s="225"/>
      <c r="P1093" s="225"/>
    </row>
    <row r="1094" spans="1:16">
      <c r="A1094" s="226"/>
      <c r="B1094" s="131" t="s">
        <v>911</v>
      </c>
      <c r="C1094" s="226">
        <v>91901</v>
      </c>
      <c r="H1094" s="225"/>
      <c r="K1094" s="225"/>
      <c r="P1094" s="225"/>
    </row>
    <row r="1095" spans="1:16">
      <c r="A1095" s="226"/>
      <c r="B1095" s="131" t="s">
        <v>913</v>
      </c>
      <c r="C1095" s="226">
        <v>91904</v>
      </c>
      <c r="H1095" s="225"/>
      <c r="K1095" s="225"/>
      <c r="P1095" s="225"/>
    </row>
    <row r="1096" spans="1:16">
      <c r="A1096" s="226"/>
      <c r="B1096" s="131" t="s">
        <v>2777</v>
      </c>
      <c r="C1096" s="226">
        <v>91903</v>
      </c>
      <c r="H1096" s="225"/>
      <c r="K1096" s="225"/>
      <c r="P1096" s="225"/>
    </row>
    <row r="1097" spans="1:16">
      <c r="A1097" s="226"/>
      <c r="B1097" s="131" t="s">
        <v>918</v>
      </c>
      <c r="C1097" s="226">
        <v>92001</v>
      </c>
      <c r="H1097" s="225"/>
      <c r="K1097" s="225"/>
      <c r="P1097" s="225"/>
    </row>
    <row r="1098" spans="1:16">
      <c r="A1098" s="226"/>
      <c r="B1098" s="131" t="s">
        <v>1951</v>
      </c>
      <c r="C1098" s="226">
        <v>93641</v>
      </c>
      <c r="H1098" s="225"/>
      <c r="K1098" s="225"/>
      <c r="P1098" s="225"/>
    </row>
    <row r="1099" spans="1:16">
      <c r="A1099" s="226"/>
      <c r="B1099" s="131" t="s">
        <v>1069</v>
      </c>
      <c r="C1099" s="226">
        <v>93647</v>
      </c>
      <c r="H1099" s="225"/>
      <c r="K1099" s="225"/>
      <c r="P1099" s="225"/>
    </row>
    <row r="1100" spans="1:16">
      <c r="A1100" s="226"/>
      <c r="B1100" s="131" t="s">
        <v>2083</v>
      </c>
      <c r="C1100" s="226">
        <v>98041</v>
      </c>
      <c r="H1100" s="225"/>
      <c r="K1100" s="225"/>
      <c r="P1100" s="225"/>
    </row>
    <row r="1101" spans="1:16">
      <c r="A1101" s="226"/>
      <c r="B1101" s="131" t="s">
        <v>2761</v>
      </c>
      <c r="C1101" s="226">
        <v>96612</v>
      </c>
      <c r="H1101" s="225"/>
      <c r="K1101" s="225"/>
      <c r="P1101" s="225"/>
    </row>
    <row r="1102" spans="1:16">
      <c r="A1102" s="226"/>
      <c r="B1102" s="131" t="s">
        <v>2084</v>
      </c>
      <c r="C1102" s="226">
        <v>90751</v>
      </c>
      <c r="H1102" s="225"/>
      <c r="K1102" s="225"/>
      <c r="P1102" s="225"/>
    </row>
    <row r="1103" spans="1:16">
      <c r="A1103" s="226"/>
      <c r="B1103" s="131" t="s">
        <v>923</v>
      </c>
      <c r="C1103" s="226">
        <v>92101</v>
      </c>
      <c r="H1103" s="225"/>
      <c r="K1103" s="225"/>
      <c r="P1103" s="225"/>
    </row>
    <row r="1104" spans="1:16">
      <c r="A1104" s="226"/>
      <c r="B1104" s="131" t="s">
        <v>924</v>
      </c>
      <c r="C1104" s="226">
        <v>92104</v>
      </c>
      <c r="H1104" s="225"/>
      <c r="K1104" s="225"/>
      <c r="P1104" s="225"/>
    </row>
    <row r="1105" spans="1:16">
      <c r="A1105" s="226"/>
      <c r="B1105" s="131" t="s">
        <v>1952</v>
      </c>
      <c r="C1105" s="226">
        <v>91821</v>
      </c>
      <c r="H1105" s="225"/>
      <c r="K1105" s="225"/>
      <c r="P1105" s="225"/>
    </row>
    <row r="1106" spans="1:16">
      <c r="A1106" s="226"/>
      <c r="B1106" s="131" t="s">
        <v>2085</v>
      </c>
      <c r="C1106" s="226">
        <v>90931</v>
      </c>
      <c r="H1106" s="225"/>
      <c r="K1106" s="225"/>
      <c r="P1106" s="225"/>
    </row>
    <row r="1107" spans="1:16">
      <c r="A1107" s="226"/>
      <c r="B1107" s="131" t="s">
        <v>928</v>
      </c>
      <c r="C1107" s="226">
        <v>92201</v>
      </c>
      <c r="H1107" s="225"/>
      <c r="K1107" s="225"/>
      <c r="P1107" s="225"/>
    </row>
    <row r="1108" spans="1:16">
      <c r="A1108" s="226"/>
      <c r="B1108" s="251" t="s">
        <v>1925</v>
      </c>
      <c r="C1108" s="226">
        <v>92214</v>
      </c>
      <c r="H1108" s="225"/>
      <c r="K1108" s="225"/>
      <c r="P1108" s="225"/>
    </row>
    <row r="1109" spans="1:16">
      <c r="A1109" s="226"/>
      <c r="B1109" s="131" t="s">
        <v>2086</v>
      </c>
      <c r="C1109" s="226">
        <v>95131</v>
      </c>
      <c r="H1109" s="225"/>
      <c r="K1109" s="225"/>
      <c r="P1109" s="225"/>
    </row>
    <row r="1110" spans="1:16">
      <c r="A1110" s="226"/>
      <c r="B1110" s="131" t="s">
        <v>2495</v>
      </c>
      <c r="C1110" s="226">
        <v>93441</v>
      </c>
      <c r="H1110" s="225"/>
      <c r="K1110" s="225"/>
      <c r="P1110" s="225"/>
    </row>
    <row r="1111" spans="1:16">
      <c r="A1111" s="226"/>
      <c r="B1111" s="131" t="s">
        <v>1046</v>
      </c>
      <c r="C1111" s="226">
        <v>93442</v>
      </c>
      <c r="H1111" s="225"/>
      <c r="K1111" s="225"/>
      <c r="P1111" s="225"/>
    </row>
    <row r="1112" spans="1:16">
      <c r="A1112" s="226"/>
      <c r="B1112" s="131" t="s">
        <v>2087</v>
      </c>
      <c r="C1112" s="226">
        <v>98091</v>
      </c>
      <c r="H1112" s="225"/>
      <c r="K1112" s="225"/>
      <c r="P1112" s="225"/>
    </row>
    <row r="1113" spans="1:16">
      <c r="A1113" s="226"/>
      <c r="B1113" s="131" t="s">
        <v>929</v>
      </c>
      <c r="C1113" s="226">
        <v>92301</v>
      </c>
      <c r="H1113" s="225"/>
      <c r="K1113" s="225"/>
      <c r="P1113" s="225"/>
    </row>
    <row r="1114" spans="1:16">
      <c r="A1114" s="226"/>
      <c r="B1114" s="131" t="s">
        <v>930</v>
      </c>
      <c r="C1114" s="226">
        <v>92302</v>
      </c>
      <c r="H1114" s="225"/>
      <c r="K1114" s="225"/>
      <c r="P1114" s="225"/>
    </row>
    <row r="1115" spans="1:16">
      <c r="A1115" s="226"/>
      <c r="B1115" s="131" t="s">
        <v>1953</v>
      </c>
      <c r="C1115" s="226">
        <v>98211</v>
      </c>
      <c r="H1115" s="225"/>
      <c r="K1115" s="225"/>
      <c r="P1115" s="225"/>
    </row>
    <row r="1116" spans="1:16">
      <c r="A1116" s="226"/>
      <c r="B1116" s="131" t="s">
        <v>1469</v>
      </c>
      <c r="C1116" s="226">
        <v>98218</v>
      </c>
      <c r="H1116" s="225"/>
      <c r="K1116" s="225"/>
      <c r="P1116" s="225"/>
    </row>
    <row r="1117" spans="1:16">
      <c r="A1117" s="226"/>
      <c r="B1117" s="131" t="s">
        <v>953</v>
      </c>
      <c r="C1117" s="226">
        <v>92506</v>
      </c>
      <c r="H1117" s="225"/>
      <c r="K1117" s="225"/>
      <c r="P1117" s="225"/>
    </row>
    <row r="1118" spans="1:16">
      <c r="A1118" s="226"/>
      <c r="B1118" s="131" t="s">
        <v>2754</v>
      </c>
      <c r="C1118" s="226">
        <v>92508</v>
      </c>
      <c r="H1118" s="225"/>
      <c r="K1118" s="225"/>
      <c r="P1118" s="225"/>
    </row>
    <row r="1119" spans="1:16">
      <c r="A1119" s="226"/>
      <c r="B1119" s="131" t="s">
        <v>1615</v>
      </c>
      <c r="C1119" s="226">
        <v>96519</v>
      </c>
      <c r="H1119" s="225"/>
      <c r="K1119" s="225"/>
      <c r="P1119" s="225"/>
    </row>
    <row r="1120" spans="1:16">
      <c r="A1120" s="226"/>
      <c r="B1120" s="131" t="s">
        <v>2088</v>
      </c>
      <c r="C1120" s="226">
        <v>94341</v>
      </c>
      <c r="H1120" s="225"/>
      <c r="K1120" s="225"/>
      <c r="P1120" s="225"/>
    </row>
    <row r="1121" spans="1:16">
      <c r="A1121" s="226"/>
      <c r="B1121" s="131" t="s">
        <v>2089</v>
      </c>
      <c r="C1121" s="226">
        <v>94641</v>
      </c>
      <c r="H1121" s="225"/>
      <c r="K1121" s="225"/>
      <c r="P1121" s="225"/>
    </row>
    <row r="1122" spans="1:16">
      <c r="A1122" s="226"/>
      <c r="B1122" s="131" t="s">
        <v>2090</v>
      </c>
      <c r="C1122" s="226">
        <v>90813</v>
      </c>
      <c r="H1122" s="225"/>
      <c r="K1122" s="225"/>
      <c r="P1122" s="225"/>
    </row>
    <row r="1123" spans="1:16">
      <c r="A1123" s="226"/>
      <c r="B1123" s="131" t="s">
        <v>1112</v>
      </c>
      <c r="C1123" s="226">
        <v>94168</v>
      </c>
      <c r="H1123" s="225"/>
      <c r="K1123" s="225"/>
      <c r="P1123" s="225"/>
    </row>
    <row r="1124" spans="1:16">
      <c r="A1124" s="226"/>
      <c r="B1124" s="131" t="s">
        <v>2091</v>
      </c>
      <c r="C1124" s="226">
        <v>98911</v>
      </c>
      <c r="H1124" s="225"/>
      <c r="K1124" s="225"/>
      <c r="P1124" s="225"/>
    </row>
    <row r="1125" spans="1:16">
      <c r="A1125" s="226"/>
      <c r="B1125" s="131" t="s">
        <v>2092</v>
      </c>
      <c r="C1125" s="226">
        <v>97521</v>
      </c>
      <c r="H1125" s="225"/>
      <c r="K1125" s="225"/>
      <c r="P1125" s="225"/>
    </row>
    <row r="1126" spans="1:16">
      <c r="A1126" s="226"/>
      <c r="B1126" s="131" t="s">
        <v>1637</v>
      </c>
      <c r="C1126" s="226">
        <v>97527</v>
      </c>
      <c r="H1126" s="225"/>
      <c r="K1126" s="225"/>
      <c r="P1126" s="225"/>
    </row>
    <row r="1127" spans="1:16">
      <c r="A1127" s="226"/>
      <c r="B1127" s="131" t="s">
        <v>938</v>
      </c>
      <c r="C1127" s="226">
        <v>92401</v>
      </c>
      <c r="H1127" s="225"/>
      <c r="K1127" s="225"/>
      <c r="P1127" s="225"/>
    </row>
    <row r="1128" spans="1:16">
      <c r="A1128" s="226"/>
      <c r="B1128" s="131" t="s">
        <v>1954</v>
      </c>
      <c r="C1128" s="226">
        <v>91311</v>
      </c>
      <c r="H1128" s="225"/>
      <c r="K1128" s="225"/>
      <c r="P1128" s="225"/>
    </row>
    <row r="1129" spans="1:16">
      <c r="A1129" s="226"/>
      <c r="B1129" s="131" t="s">
        <v>863</v>
      </c>
      <c r="C1129" s="226">
        <v>91317</v>
      </c>
      <c r="H1129" s="225"/>
      <c r="K1129" s="225"/>
      <c r="P1129" s="225"/>
    </row>
    <row r="1130" spans="1:16">
      <c r="A1130" s="226"/>
      <c r="B1130" s="131" t="s">
        <v>2093</v>
      </c>
      <c r="C1130" s="226">
        <v>91261</v>
      </c>
      <c r="H1130" s="225"/>
      <c r="K1130" s="225"/>
      <c r="P1130" s="225"/>
    </row>
    <row r="1131" spans="1:16">
      <c r="A1131" s="226"/>
      <c r="B1131" s="131" t="s">
        <v>2094</v>
      </c>
      <c r="C1131" s="226">
        <v>91851</v>
      </c>
      <c r="H1131" s="225"/>
      <c r="K1131" s="225"/>
      <c r="P1131" s="225"/>
    </row>
    <row r="1132" spans="1:16">
      <c r="A1132" s="226"/>
      <c r="B1132" s="131" t="s">
        <v>1370</v>
      </c>
      <c r="C1132" s="226">
        <v>97408</v>
      </c>
      <c r="H1132" s="225"/>
      <c r="K1132" s="225"/>
      <c r="P1132" s="225"/>
    </row>
    <row r="1133" spans="1:16">
      <c r="A1133" s="226"/>
      <c r="B1133" s="131" t="s">
        <v>2095</v>
      </c>
      <c r="C1133" s="226">
        <v>96641</v>
      </c>
      <c r="H1133" s="225"/>
      <c r="K1133" s="225"/>
      <c r="P1133" s="225"/>
    </row>
    <row r="1134" spans="1:16">
      <c r="A1134" s="226"/>
      <c r="B1134" s="131" t="s">
        <v>2096</v>
      </c>
      <c r="C1134" s="226">
        <v>93031</v>
      </c>
      <c r="H1134" s="225"/>
      <c r="K1134" s="225"/>
      <c r="P1134" s="225"/>
    </row>
    <row r="1135" spans="1:16">
      <c r="A1135" s="226"/>
      <c r="B1135" s="131" t="s">
        <v>1001</v>
      </c>
      <c r="C1135" s="226">
        <v>93027</v>
      </c>
      <c r="H1135" s="225"/>
      <c r="K1135" s="225"/>
      <c r="P1135" s="225"/>
    </row>
    <row r="1136" spans="1:16">
      <c r="A1136" s="226"/>
      <c r="B1136" s="131" t="s">
        <v>2097</v>
      </c>
      <c r="C1136" s="226">
        <v>96051</v>
      </c>
      <c r="H1136" s="225"/>
      <c r="K1136" s="225"/>
      <c r="P1136" s="225"/>
    </row>
    <row r="1137" spans="1:16">
      <c r="A1137" s="226"/>
      <c r="B1137" s="131" t="s">
        <v>2098</v>
      </c>
      <c r="C1137" s="226">
        <v>92571</v>
      </c>
      <c r="H1137" s="225"/>
      <c r="K1137" s="225"/>
      <c r="P1137" s="225"/>
    </row>
    <row r="1138" spans="1:16">
      <c r="A1138" s="226"/>
      <c r="B1138" s="131" t="s">
        <v>2099</v>
      </c>
      <c r="C1138" s="226">
        <v>93631</v>
      </c>
      <c r="H1138" s="225"/>
      <c r="K1138" s="225"/>
      <c r="P1138" s="225"/>
    </row>
    <row r="1139" spans="1:16">
      <c r="A1139" s="226"/>
      <c r="B1139" s="251" t="s">
        <v>1926</v>
      </c>
      <c r="C1139" s="226">
        <v>93604</v>
      </c>
      <c r="H1139" s="225"/>
      <c r="K1139" s="225"/>
      <c r="P1139" s="225"/>
    </row>
    <row r="1140" spans="1:16">
      <c r="A1140" s="226"/>
      <c r="B1140" s="131" t="s">
        <v>951</v>
      </c>
      <c r="C1140" s="226">
        <v>92504</v>
      </c>
      <c r="H1140" s="225"/>
      <c r="K1140" s="225"/>
      <c r="P1140" s="225"/>
    </row>
    <row r="1141" spans="1:16">
      <c r="A1141" s="226"/>
      <c r="B1141" s="131" t="s">
        <v>949</v>
      </c>
      <c r="C1141" s="226">
        <v>92501</v>
      </c>
      <c r="H1141" s="225"/>
      <c r="K1141" s="225"/>
      <c r="P1141" s="225"/>
    </row>
    <row r="1142" spans="1:16">
      <c r="A1142" s="226"/>
      <c r="B1142" s="131" t="s">
        <v>952</v>
      </c>
      <c r="C1142" s="226">
        <v>92505</v>
      </c>
      <c r="H1142" s="225"/>
      <c r="K1142" s="225"/>
      <c r="P1142" s="225"/>
    </row>
    <row r="1143" spans="1:16">
      <c r="A1143" s="226"/>
      <c r="B1143" s="131" t="s">
        <v>1955</v>
      </c>
      <c r="C1143" s="226">
        <v>93921</v>
      </c>
      <c r="H1143" s="225"/>
      <c r="K1143" s="225"/>
      <c r="P1143" s="225"/>
    </row>
    <row r="1144" spans="1:16">
      <c r="A1144" s="226"/>
      <c r="B1144" s="131" t="s">
        <v>2100</v>
      </c>
      <c r="C1144" s="226">
        <v>99431</v>
      </c>
      <c r="H1144" s="225"/>
      <c r="K1144" s="225"/>
      <c r="P1144" s="225"/>
    </row>
    <row r="1145" spans="1:16">
      <c r="A1145" s="226"/>
      <c r="B1145" s="131" t="s">
        <v>966</v>
      </c>
      <c r="C1145" s="226">
        <v>92604</v>
      </c>
      <c r="H1145" s="225"/>
      <c r="K1145" s="225"/>
      <c r="P1145" s="225"/>
    </row>
    <row r="1146" spans="1:16">
      <c r="A1146" s="226"/>
      <c r="B1146" s="131" t="s">
        <v>964</v>
      </c>
      <c r="C1146" s="226">
        <v>92601</v>
      </c>
      <c r="H1146" s="225"/>
      <c r="K1146" s="225"/>
      <c r="P1146" s="225"/>
    </row>
    <row r="1147" spans="1:16">
      <c r="A1147" s="226"/>
      <c r="B1147" s="131" t="s">
        <v>968</v>
      </c>
      <c r="C1147" s="226">
        <v>92608</v>
      </c>
      <c r="H1147" s="225"/>
      <c r="K1147" s="225"/>
      <c r="P1147" s="225"/>
    </row>
    <row r="1148" spans="1:16">
      <c r="A1148" s="226"/>
      <c r="B1148" s="131" t="s">
        <v>980</v>
      </c>
      <c r="C1148" s="226">
        <v>92704</v>
      </c>
      <c r="H1148" s="225"/>
      <c r="K1148" s="225"/>
      <c r="P1148" s="225"/>
    </row>
    <row r="1149" spans="1:16">
      <c r="A1149" s="226"/>
      <c r="B1149" s="131" t="s">
        <v>979</v>
      </c>
      <c r="C1149" s="226">
        <v>92701</v>
      </c>
      <c r="H1149" s="225"/>
      <c r="K1149" s="225"/>
      <c r="P1149" s="225"/>
    </row>
    <row r="1150" spans="1:16">
      <c r="A1150" s="226"/>
      <c r="B1150" s="131" t="s">
        <v>2101</v>
      </c>
      <c r="C1150" s="226">
        <v>93651</v>
      </c>
      <c r="H1150" s="225"/>
      <c r="K1150" s="225"/>
      <c r="P1150" s="225"/>
    </row>
    <row r="1151" spans="1:16">
      <c r="A1151" s="226"/>
      <c r="B1151" s="131" t="s">
        <v>981</v>
      </c>
      <c r="C1151" s="226">
        <v>92801</v>
      </c>
      <c r="H1151" s="225"/>
      <c r="K1151" s="225"/>
      <c r="P1151" s="225"/>
    </row>
    <row r="1152" spans="1:16">
      <c r="A1152" s="226"/>
      <c r="B1152" s="131" t="s">
        <v>983</v>
      </c>
      <c r="C1152" s="226">
        <v>92804</v>
      </c>
      <c r="H1152" s="225"/>
      <c r="K1152" s="225"/>
      <c r="P1152" s="225"/>
    </row>
    <row r="1153" spans="1:16">
      <c r="A1153" s="226"/>
      <c r="B1153" s="131" t="s">
        <v>982</v>
      </c>
      <c r="C1153" s="226">
        <v>92802</v>
      </c>
      <c r="H1153" s="225"/>
      <c r="K1153" s="225"/>
      <c r="P1153" s="225"/>
    </row>
    <row r="1154" spans="1:16">
      <c r="A1154" s="226"/>
      <c r="B1154" s="131" t="s">
        <v>2102</v>
      </c>
      <c r="C1154" s="226">
        <v>96081</v>
      </c>
      <c r="H1154" s="225"/>
      <c r="K1154" s="225"/>
      <c r="P1154" s="225"/>
    </row>
    <row r="1155" spans="1:16">
      <c r="A1155" s="226"/>
      <c r="B1155" s="131" t="s">
        <v>990</v>
      </c>
      <c r="C1155" s="226">
        <v>92901</v>
      </c>
      <c r="H1155" s="225"/>
      <c r="K1155" s="225"/>
      <c r="P1155" s="225"/>
    </row>
    <row r="1156" spans="1:16">
      <c r="A1156" s="226"/>
      <c r="B1156" s="131" t="s">
        <v>997</v>
      </c>
      <c r="C1156" s="226">
        <v>93001</v>
      </c>
      <c r="H1156" s="225"/>
      <c r="K1156" s="225"/>
      <c r="P1156" s="225"/>
    </row>
    <row r="1157" spans="1:16">
      <c r="A1157" s="226"/>
      <c r="B1157" s="131" t="s">
        <v>998</v>
      </c>
      <c r="C1157" s="226">
        <v>93009</v>
      </c>
      <c r="H1157" s="225"/>
      <c r="K1157" s="225"/>
      <c r="P1157" s="225"/>
    </row>
    <row r="1158" spans="1:16">
      <c r="A1158" s="226"/>
      <c r="B1158" s="131" t="s">
        <v>2103</v>
      </c>
      <c r="C1158" s="226">
        <v>92921</v>
      </c>
      <c r="H1158" s="225"/>
      <c r="K1158" s="225"/>
      <c r="P1158" s="225"/>
    </row>
    <row r="1159" spans="1:16">
      <c r="A1159" s="226"/>
      <c r="B1159" s="131" t="s">
        <v>2104</v>
      </c>
      <c r="C1159" s="226">
        <v>98621</v>
      </c>
      <c r="H1159" s="225"/>
      <c r="K1159" s="225"/>
      <c r="P1159" s="225"/>
    </row>
    <row r="1160" spans="1:16">
      <c r="A1160" s="226"/>
      <c r="B1160" s="131" t="s">
        <v>1505</v>
      </c>
      <c r="C1160" s="226">
        <v>98627</v>
      </c>
      <c r="H1160" s="225"/>
      <c r="K1160" s="225"/>
      <c r="P1160" s="225"/>
    </row>
    <row r="1161" spans="1:16">
      <c r="A1161" s="226"/>
      <c r="B1161" s="131" t="s">
        <v>2105</v>
      </c>
      <c r="C1161" s="226">
        <v>91221</v>
      </c>
      <c r="H1161" s="225"/>
      <c r="K1161" s="225"/>
      <c r="P1161" s="225"/>
    </row>
    <row r="1162" spans="1:16">
      <c r="A1162" s="226"/>
      <c r="B1162" s="131" t="s">
        <v>2106</v>
      </c>
      <c r="C1162" s="226">
        <v>92861</v>
      </c>
      <c r="H1162" s="225"/>
      <c r="K1162" s="225"/>
      <c r="P1162" s="225"/>
    </row>
    <row r="1163" spans="1:16">
      <c r="A1163" s="226"/>
      <c r="B1163" s="131" t="s">
        <v>1956</v>
      </c>
      <c r="C1163" s="226">
        <v>94311</v>
      </c>
      <c r="H1163" s="225"/>
      <c r="K1163" s="225"/>
      <c r="P1163" s="225"/>
    </row>
    <row r="1164" spans="1:16">
      <c r="A1164" s="226"/>
      <c r="B1164" s="131" t="s">
        <v>1128</v>
      </c>
      <c r="C1164" s="226">
        <v>94317</v>
      </c>
      <c r="H1164" s="225"/>
      <c r="K1164" s="225"/>
      <c r="P1164" s="225"/>
    </row>
    <row r="1165" spans="1:16">
      <c r="A1165" s="226"/>
      <c r="B1165" s="131" t="s">
        <v>1127</v>
      </c>
      <c r="C1165" s="226">
        <v>94313</v>
      </c>
      <c r="H1165" s="225"/>
      <c r="K1165" s="225"/>
      <c r="P1165" s="225"/>
    </row>
    <row r="1166" spans="1:16">
      <c r="A1166" s="226"/>
      <c r="B1166" s="131" t="s">
        <v>1003</v>
      </c>
      <c r="C1166" s="226">
        <v>93101</v>
      </c>
      <c r="H1166" s="225"/>
      <c r="K1166" s="225"/>
      <c r="P1166" s="225"/>
    </row>
    <row r="1167" spans="1:16">
      <c r="A1167" s="226"/>
      <c r="B1167" s="131" t="s">
        <v>260</v>
      </c>
      <c r="C1167" s="226">
        <v>93103</v>
      </c>
      <c r="H1167" s="225"/>
      <c r="K1167" s="225"/>
      <c r="P1167" s="225"/>
    </row>
    <row r="1168" spans="1:16">
      <c r="A1168" s="226"/>
      <c r="B1168" s="131" t="s">
        <v>1957</v>
      </c>
      <c r="C1168" s="226">
        <v>93211</v>
      </c>
      <c r="H1168" s="225"/>
      <c r="K1168" s="225"/>
      <c r="P1168" s="225"/>
    </row>
    <row r="1169" spans="1:16">
      <c r="A1169" s="226"/>
      <c r="B1169" s="131" t="s">
        <v>1022</v>
      </c>
      <c r="C1169" s="226">
        <v>93212</v>
      </c>
      <c r="H1169" s="225"/>
      <c r="K1169" s="225"/>
      <c r="P1169" s="225"/>
    </row>
    <row r="1170" spans="1:16">
      <c r="A1170" s="226"/>
      <c r="B1170" s="131" t="s">
        <v>1017</v>
      </c>
      <c r="C1170" s="226">
        <v>93201</v>
      </c>
      <c r="H1170" s="225"/>
      <c r="K1170" s="225"/>
      <c r="P1170" s="225"/>
    </row>
    <row r="1171" spans="1:16">
      <c r="A1171" s="226"/>
      <c r="B1171" s="131" t="s">
        <v>1019</v>
      </c>
      <c r="C1171" s="226">
        <v>93204</v>
      </c>
      <c r="H1171" s="225"/>
      <c r="K1171" s="225"/>
      <c r="P1171" s="225"/>
    </row>
    <row r="1172" spans="1:16">
      <c r="A1172" s="226"/>
      <c r="B1172" s="131" t="s">
        <v>1546</v>
      </c>
      <c r="C1172" s="226">
        <v>99212</v>
      </c>
      <c r="H1172" s="225"/>
      <c r="K1172" s="225"/>
      <c r="P1172" s="225"/>
    </row>
    <row r="1173" spans="1:16">
      <c r="A1173" s="226"/>
      <c r="B1173" s="131" t="s">
        <v>1345</v>
      </c>
      <c r="C1173" s="226">
        <v>97005</v>
      </c>
      <c r="H1173" s="225"/>
      <c r="K1173" s="225"/>
      <c r="P1173" s="225"/>
    </row>
    <row r="1174" spans="1:16">
      <c r="A1174" s="226"/>
      <c r="B1174" s="131" t="s">
        <v>2107</v>
      </c>
      <c r="C1174" s="51">
        <v>99931</v>
      </c>
      <c r="H1174" s="225"/>
      <c r="K1174" s="225"/>
      <c r="P1174" s="225"/>
    </row>
    <row r="1175" spans="1:16">
      <c r="A1175" s="226"/>
      <c r="B1175" s="131" t="s">
        <v>1614</v>
      </c>
      <c r="C1175" s="226">
        <v>92509</v>
      </c>
      <c r="H1175" s="225"/>
      <c r="K1175" s="225"/>
      <c r="P1175" s="225"/>
    </row>
    <row r="1176" spans="1:16">
      <c r="A1176" s="226"/>
      <c r="B1176" s="131" t="s">
        <v>2108</v>
      </c>
      <c r="C1176" s="226">
        <v>98021</v>
      </c>
      <c r="H1176" s="225"/>
      <c r="K1176" s="225"/>
      <c r="P1176" s="225"/>
    </row>
    <row r="1177" spans="1:16">
      <c r="A1177" s="226"/>
      <c r="B1177" s="131" t="s">
        <v>1446</v>
      </c>
      <c r="C1177" s="226">
        <v>98023</v>
      </c>
      <c r="H1177" s="225"/>
      <c r="K1177" s="225"/>
      <c r="P1177" s="225"/>
    </row>
    <row r="1178" spans="1:16">
      <c r="A1178" s="226"/>
      <c r="B1178" s="131" t="s">
        <v>2020</v>
      </c>
      <c r="C1178" s="219">
        <v>70505</v>
      </c>
      <c r="H1178" s="225"/>
      <c r="K1178" s="225"/>
      <c r="P1178" s="225"/>
    </row>
    <row r="1179" spans="1:16">
      <c r="A1179" s="226"/>
      <c r="B1179" s="131" t="s">
        <v>2766</v>
      </c>
      <c r="C1179" s="226">
        <v>99603</v>
      </c>
      <c r="H1179" s="225"/>
      <c r="K1179" s="225"/>
      <c r="P1179" s="225"/>
    </row>
    <row r="1180" spans="1:16">
      <c r="A1180" s="226"/>
      <c r="B1180" s="131" t="s">
        <v>1583</v>
      </c>
      <c r="C1180" s="226">
        <v>99610</v>
      </c>
      <c r="H1180" s="225"/>
      <c r="K1180" s="225"/>
      <c r="P1180" s="225"/>
    </row>
    <row r="1181" spans="1:16">
      <c r="A1181" s="226"/>
      <c r="B1181" s="131" t="s">
        <v>2109</v>
      </c>
      <c r="C1181" s="226">
        <v>92681</v>
      </c>
      <c r="H1181" s="225"/>
      <c r="K1181" s="225"/>
      <c r="P1181" s="225"/>
    </row>
    <row r="1182" spans="1:16">
      <c r="A1182" s="226"/>
      <c r="B1182" s="131" t="s">
        <v>1004</v>
      </c>
      <c r="C1182" s="226">
        <v>93108</v>
      </c>
      <c r="H1182" s="225"/>
      <c r="K1182" s="225"/>
      <c r="P1182" s="225"/>
    </row>
    <row r="1183" spans="1:16">
      <c r="A1183" s="226"/>
      <c r="B1183" s="131" t="s">
        <v>1958</v>
      </c>
      <c r="C1183" s="226">
        <v>97951</v>
      </c>
      <c r="H1183" s="225"/>
      <c r="K1183" s="225"/>
      <c r="P1183" s="225"/>
    </row>
    <row r="1184" spans="1:16">
      <c r="A1184" s="226"/>
      <c r="B1184" s="131" t="s">
        <v>1437</v>
      </c>
      <c r="C1184" s="226">
        <v>97957</v>
      </c>
      <c r="H1184" s="225"/>
      <c r="K1184" s="225"/>
      <c r="P1184" s="225"/>
    </row>
    <row r="1185" spans="1:16">
      <c r="A1185" s="226"/>
      <c r="B1185" s="131" t="s">
        <v>2110</v>
      </c>
      <c r="C1185" s="226">
        <v>92111</v>
      </c>
      <c r="H1185" s="225"/>
      <c r="K1185" s="225"/>
      <c r="P1185" s="225"/>
    </row>
    <row r="1186" spans="1:16">
      <c r="A1186" s="226"/>
      <c r="B1186" s="131" t="s">
        <v>1024</v>
      </c>
      <c r="C1186" s="226">
        <v>93301</v>
      </c>
      <c r="H1186" s="225"/>
      <c r="K1186" s="225"/>
      <c r="P1186" s="225"/>
    </row>
    <row r="1187" spans="1:16">
      <c r="A1187" s="226"/>
      <c r="B1187" s="131" t="s">
        <v>1025</v>
      </c>
      <c r="C1187" s="226">
        <v>93304</v>
      </c>
      <c r="H1187" s="225"/>
      <c r="K1187" s="225"/>
      <c r="P1187" s="225"/>
    </row>
    <row r="1188" spans="1:16">
      <c r="A1188" s="226"/>
      <c r="B1188" s="131" t="s">
        <v>1026</v>
      </c>
      <c r="C1188" s="226">
        <v>93305</v>
      </c>
      <c r="H1188" s="225"/>
      <c r="K1188" s="225"/>
      <c r="P1188" s="225"/>
    </row>
    <row r="1189" spans="1:16">
      <c r="A1189" s="226"/>
      <c r="B1189" s="131" t="s">
        <v>1544</v>
      </c>
      <c r="C1189" s="226">
        <v>99210</v>
      </c>
      <c r="H1189" s="225"/>
      <c r="K1189" s="225"/>
      <c r="P1189" s="225"/>
    </row>
    <row r="1190" spans="1:16">
      <c r="A1190" s="226"/>
      <c r="B1190" s="131" t="s">
        <v>1348</v>
      </c>
      <c r="C1190" s="226">
        <v>97011</v>
      </c>
      <c r="H1190" s="225"/>
      <c r="K1190" s="225"/>
      <c r="P1190" s="225"/>
    </row>
    <row r="1191" spans="1:16">
      <c r="A1191" s="226"/>
      <c r="B1191" s="131" t="s">
        <v>1350</v>
      </c>
      <c r="C1191" s="226">
        <v>97013</v>
      </c>
      <c r="H1191" s="225"/>
      <c r="K1191" s="225"/>
      <c r="P1191" s="225"/>
    </row>
    <row r="1192" spans="1:16">
      <c r="A1192" s="226"/>
      <c r="B1192" s="131" t="s">
        <v>2762</v>
      </c>
      <c r="C1192" s="226">
        <v>97012</v>
      </c>
      <c r="H1192" s="225"/>
      <c r="K1192" s="225"/>
      <c r="P1192" s="225"/>
    </row>
    <row r="1193" spans="1:16">
      <c r="A1193" s="226"/>
      <c r="B1193" s="131" t="s">
        <v>1352</v>
      </c>
      <c r="C1193" s="226">
        <v>97018</v>
      </c>
      <c r="H1193" s="225"/>
      <c r="K1193" s="225"/>
      <c r="P1193" s="225"/>
    </row>
    <row r="1194" spans="1:16">
      <c r="A1194" s="226"/>
      <c r="B1194" s="131" t="s">
        <v>2111</v>
      </c>
      <c r="C1194" s="226">
        <v>90911</v>
      </c>
      <c r="H1194" s="225"/>
      <c r="K1194" s="225"/>
      <c r="P1194" s="225"/>
    </row>
    <row r="1195" spans="1:16">
      <c r="A1195" s="226"/>
      <c r="B1195" s="131" t="s">
        <v>790</v>
      </c>
      <c r="C1195" s="226">
        <v>90917</v>
      </c>
      <c r="H1195" s="225"/>
      <c r="K1195" s="225"/>
      <c r="P1195" s="225"/>
    </row>
    <row r="1196" spans="1:16">
      <c r="A1196" s="226"/>
      <c r="B1196" s="131" t="s">
        <v>2112</v>
      </c>
      <c r="C1196" s="226">
        <v>90641</v>
      </c>
      <c r="H1196" s="225"/>
      <c r="K1196" s="225"/>
      <c r="P1196" s="225"/>
    </row>
    <row r="1197" spans="1:16">
      <c r="A1197" s="226"/>
      <c r="B1197" s="131" t="s">
        <v>2113</v>
      </c>
      <c r="C1197" s="226">
        <v>98641</v>
      </c>
      <c r="H1197" s="225"/>
      <c r="K1197" s="225"/>
      <c r="P1197" s="225"/>
    </row>
    <row r="1198" spans="1:16">
      <c r="A1198" s="226"/>
      <c r="B1198" s="131" t="s">
        <v>3514</v>
      </c>
      <c r="C1198" s="226" t="s">
        <v>3512</v>
      </c>
      <c r="H1198" s="225"/>
      <c r="K1198" s="225"/>
      <c r="P1198" s="225"/>
    </row>
    <row r="1199" spans="1:16">
      <c r="A1199" s="226"/>
      <c r="B1199" s="131" t="s">
        <v>2114</v>
      </c>
      <c r="C1199" s="226">
        <v>98161</v>
      </c>
      <c r="H1199" s="225"/>
      <c r="K1199" s="225"/>
      <c r="P1199" s="225"/>
    </row>
    <row r="1200" spans="1:16">
      <c r="A1200" s="226"/>
      <c r="B1200" s="131" t="s">
        <v>2115</v>
      </c>
      <c r="C1200" s="226">
        <v>97731</v>
      </c>
      <c r="H1200" s="225"/>
      <c r="K1200" s="225"/>
      <c r="P1200" s="225"/>
    </row>
    <row r="1201" spans="1:16">
      <c r="A1201" s="226"/>
      <c r="B1201" s="131" t="s">
        <v>2116</v>
      </c>
      <c r="C1201" s="51">
        <v>99851</v>
      </c>
      <c r="H1201" s="225"/>
      <c r="K1201" s="225"/>
      <c r="P1201" s="225"/>
    </row>
    <row r="1202" spans="1:16">
      <c r="A1202" s="226"/>
      <c r="B1202" s="131" t="s">
        <v>2117</v>
      </c>
      <c r="C1202" s="226">
        <v>90131</v>
      </c>
      <c r="H1202" s="225"/>
      <c r="K1202" s="225"/>
      <c r="P1202" s="225"/>
    </row>
    <row r="1203" spans="1:16">
      <c r="A1203" s="226"/>
      <c r="B1203" s="131" t="s">
        <v>2118</v>
      </c>
      <c r="C1203" s="226">
        <v>91651</v>
      </c>
      <c r="H1203" s="225"/>
      <c r="K1203" s="225"/>
      <c r="P1203" s="225"/>
    </row>
    <row r="1204" spans="1:16">
      <c r="A1204" s="226"/>
      <c r="B1204" s="131" t="s">
        <v>2119</v>
      </c>
      <c r="C1204" s="226">
        <v>94211</v>
      </c>
      <c r="H1204" s="225"/>
      <c r="K1204" s="225"/>
      <c r="P1204" s="225"/>
    </row>
    <row r="1205" spans="1:16">
      <c r="A1205" s="226"/>
      <c r="B1205" s="131" t="s">
        <v>2120</v>
      </c>
      <c r="C1205" s="226">
        <v>94331</v>
      </c>
      <c r="H1205" s="225"/>
      <c r="K1205" s="225"/>
      <c r="P1205" s="225"/>
    </row>
    <row r="1206" spans="1:16">
      <c r="A1206" s="226"/>
      <c r="B1206" s="131" t="s">
        <v>2121</v>
      </c>
      <c r="C1206" s="226">
        <v>92431</v>
      </c>
      <c r="H1206" s="225"/>
      <c r="K1206" s="225"/>
      <c r="P1206" s="225"/>
    </row>
    <row r="1207" spans="1:16">
      <c r="A1207" s="226"/>
      <c r="B1207" s="131" t="s">
        <v>2122</v>
      </c>
      <c r="C1207" s="226">
        <v>97821</v>
      </c>
      <c r="H1207" s="225"/>
      <c r="K1207" s="225"/>
      <c r="P1207" s="225"/>
    </row>
    <row r="1208" spans="1:16">
      <c r="A1208" s="226"/>
      <c r="B1208" s="131" t="s">
        <v>1416</v>
      </c>
      <c r="C1208" s="226">
        <v>97823</v>
      </c>
      <c r="H1208" s="225"/>
      <c r="K1208" s="225"/>
      <c r="P1208" s="225"/>
    </row>
    <row r="1209" spans="1:16">
      <c r="A1209" s="226"/>
      <c r="B1209" s="131" t="s">
        <v>2123</v>
      </c>
      <c r="C1209" s="226">
        <v>93141</v>
      </c>
      <c r="H1209" s="225"/>
      <c r="K1209" s="225"/>
      <c r="P1209" s="225"/>
    </row>
    <row r="1210" spans="1:16">
      <c r="A1210" s="226"/>
      <c r="B1210" s="131" t="s">
        <v>2124</v>
      </c>
      <c r="C1210" s="226">
        <v>98081</v>
      </c>
      <c r="H1210" s="225"/>
      <c r="K1210" s="225"/>
      <c r="P1210" s="225"/>
    </row>
    <row r="1211" spans="1:16">
      <c r="A1211" s="226"/>
      <c r="B1211" s="131" t="s">
        <v>2125</v>
      </c>
      <c r="C1211" s="226">
        <v>92671</v>
      </c>
      <c r="H1211" s="225"/>
      <c r="K1211" s="225"/>
      <c r="P1211" s="225"/>
    </row>
    <row r="1212" spans="1:16">
      <c r="A1212" s="226"/>
      <c r="B1212" s="131" t="s">
        <v>2126</v>
      </c>
      <c r="C1212" s="226">
        <v>97421</v>
      </c>
      <c r="H1212" s="225"/>
      <c r="K1212" s="225"/>
      <c r="P1212" s="225"/>
    </row>
    <row r="1213" spans="1:16">
      <c r="A1213" s="226"/>
      <c r="B1213" s="131" t="s">
        <v>1375</v>
      </c>
      <c r="C1213" s="226">
        <v>97423</v>
      </c>
      <c r="H1213" s="225"/>
      <c r="K1213" s="225"/>
      <c r="P1213" s="225"/>
    </row>
    <row r="1214" spans="1:16">
      <c r="A1214" s="226"/>
      <c r="B1214" s="131" t="s">
        <v>1959</v>
      </c>
      <c r="C1214" s="226">
        <v>92611</v>
      </c>
      <c r="H1214" s="225"/>
      <c r="K1214" s="225"/>
      <c r="P1214" s="225"/>
    </row>
    <row r="1215" spans="1:16">
      <c r="A1215" s="226"/>
      <c r="B1215" s="131" t="s">
        <v>2755</v>
      </c>
      <c r="C1215" s="226">
        <v>92613</v>
      </c>
      <c r="H1215" s="225"/>
      <c r="K1215" s="225"/>
      <c r="P1215" s="225"/>
    </row>
    <row r="1216" spans="1:16">
      <c r="A1216" s="226"/>
      <c r="B1216" s="131" t="s">
        <v>2788</v>
      </c>
      <c r="C1216" s="226">
        <v>92614</v>
      </c>
      <c r="H1216" s="225"/>
      <c r="K1216" s="225"/>
      <c r="P1216" s="225"/>
    </row>
    <row r="1217" spans="1:16">
      <c r="A1217" s="226"/>
      <c r="B1217" s="131" t="s">
        <v>950</v>
      </c>
      <c r="C1217" s="226">
        <v>92502</v>
      </c>
      <c r="H1217" s="225"/>
      <c r="K1217" s="225"/>
      <c r="P1217" s="225"/>
    </row>
    <row r="1218" spans="1:16">
      <c r="A1218" s="226"/>
      <c r="B1218" s="131" t="s">
        <v>2496</v>
      </c>
      <c r="C1218" s="226">
        <v>94531</v>
      </c>
      <c r="H1218" s="225"/>
      <c r="K1218" s="225"/>
      <c r="P1218" s="225"/>
    </row>
    <row r="1219" spans="1:16">
      <c r="A1219" s="226"/>
      <c r="B1219" s="131" t="s">
        <v>2497</v>
      </c>
      <c r="C1219" s="226">
        <v>94541</v>
      </c>
      <c r="H1219" s="225"/>
      <c r="K1219" s="225"/>
      <c r="P1219" s="225"/>
    </row>
    <row r="1220" spans="1:16">
      <c r="A1220" s="226"/>
      <c r="B1220" s="131" t="s">
        <v>1154</v>
      </c>
      <c r="C1220" s="226">
        <v>94547</v>
      </c>
      <c r="H1220" s="225"/>
      <c r="K1220" s="225"/>
      <c r="P1220" s="225"/>
    </row>
    <row r="1221" spans="1:16">
      <c r="A1221" s="226"/>
      <c r="B1221" s="131" t="s">
        <v>1180</v>
      </c>
      <c r="C1221" s="226">
        <v>95005</v>
      </c>
      <c r="H1221" s="225"/>
      <c r="K1221" s="225"/>
      <c r="P1221" s="225"/>
    </row>
    <row r="1222" spans="1:16">
      <c r="A1222" s="226"/>
      <c r="B1222" s="131" t="s">
        <v>2498</v>
      </c>
      <c r="C1222" s="226">
        <v>98111</v>
      </c>
      <c r="H1222" s="225"/>
      <c r="K1222" s="225"/>
      <c r="P1222" s="225"/>
    </row>
    <row r="1223" spans="1:16">
      <c r="A1223" s="226"/>
      <c r="B1223" s="131" t="s">
        <v>1457</v>
      </c>
      <c r="C1223" s="226">
        <v>98107</v>
      </c>
      <c r="H1223" s="225"/>
      <c r="K1223" s="225"/>
      <c r="P1223" s="225"/>
    </row>
    <row r="1224" spans="1:16">
      <c r="A1224" s="226"/>
      <c r="B1224" s="131" t="s">
        <v>1460</v>
      </c>
      <c r="C1224" s="226">
        <v>98113</v>
      </c>
      <c r="H1224" s="225"/>
      <c r="K1224" s="225"/>
      <c r="P1224" s="225"/>
    </row>
    <row r="1225" spans="1:16">
      <c r="A1225" s="226"/>
      <c r="B1225" s="131" t="s">
        <v>1579</v>
      </c>
      <c r="C1225" s="226">
        <v>99602</v>
      </c>
      <c r="H1225" s="225"/>
      <c r="K1225" s="225"/>
      <c r="P1225" s="225"/>
    </row>
    <row r="1226" spans="1:16">
      <c r="A1226" s="226"/>
      <c r="B1226" s="131" t="s">
        <v>1036</v>
      </c>
      <c r="C1226" s="226">
        <v>93401</v>
      </c>
      <c r="H1226" s="225"/>
      <c r="K1226" s="225"/>
      <c r="P1226" s="225"/>
    </row>
    <row r="1227" spans="1:16">
      <c r="A1227" s="226"/>
      <c r="B1227" s="131" t="s">
        <v>3500</v>
      </c>
      <c r="C1227" s="226">
        <v>97491</v>
      </c>
      <c r="H1227" s="225"/>
      <c r="K1227" s="225"/>
      <c r="P1227" s="225"/>
    </row>
    <row r="1228" spans="1:16">
      <c r="A1228" s="226"/>
      <c r="B1228" s="131" t="s">
        <v>2499</v>
      </c>
      <c r="C1228" s="226">
        <v>95151</v>
      </c>
      <c r="H1228" s="225"/>
      <c r="K1228" s="225"/>
      <c r="P1228" s="225"/>
    </row>
    <row r="1229" spans="1:16">
      <c r="A1229" s="226"/>
      <c r="B1229" s="131" t="s">
        <v>1290</v>
      </c>
      <c r="C1229" s="226">
        <v>96381</v>
      </c>
      <c r="H1229" s="225"/>
      <c r="K1229" s="225"/>
      <c r="P1229" s="225"/>
    </row>
    <row r="1230" spans="1:16">
      <c r="A1230" s="226"/>
      <c r="B1230" s="131" t="s">
        <v>2500</v>
      </c>
      <c r="C1230" s="226">
        <v>95611</v>
      </c>
      <c r="H1230" s="225"/>
      <c r="K1230" s="225"/>
      <c r="P1230" s="225"/>
    </row>
    <row r="1231" spans="1:16">
      <c r="A1231" s="226"/>
      <c r="B1231" s="131" t="s">
        <v>1050</v>
      </c>
      <c r="C1231" s="226">
        <v>93501</v>
      </c>
      <c r="H1231" s="225"/>
      <c r="K1231" s="225"/>
      <c r="P1231" s="225"/>
    </row>
    <row r="1232" spans="1:16">
      <c r="A1232" s="226"/>
      <c r="B1232" s="131" t="s">
        <v>2501</v>
      </c>
      <c r="C1232" s="226">
        <v>93511</v>
      </c>
      <c r="H1232" s="225"/>
      <c r="K1232" s="225"/>
      <c r="P1232" s="225"/>
    </row>
    <row r="1233" spans="1:16">
      <c r="A1233" s="226"/>
      <c r="B1233" s="131" t="s">
        <v>1052</v>
      </c>
      <c r="C1233" s="226">
        <v>93517</v>
      </c>
      <c r="H1233" s="225"/>
      <c r="K1233" s="225"/>
      <c r="P1233" s="225"/>
    </row>
    <row r="1234" spans="1:16">
      <c r="A1234" s="226"/>
      <c r="B1234" s="131" t="s">
        <v>2502</v>
      </c>
      <c r="C1234" s="226">
        <v>99631</v>
      </c>
      <c r="H1234" s="225"/>
      <c r="K1234" s="225"/>
      <c r="P1234" s="225"/>
    </row>
    <row r="1235" spans="1:16">
      <c r="A1235" s="226"/>
      <c r="B1235" s="131" t="s">
        <v>2503</v>
      </c>
      <c r="C1235" s="226">
        <v>99261</v>
      </c>
      <c r="H1235" s="225"/>
      <c r="K1235" s="225"/>
      <c r="P1235" s="225"/>
    </row>
    <row r="1236" spans="1:16">
      <c r="A1236" s="226"/>
      <c r="B1236" s="131" t="s">
        <v>2504</v>
      </c>
      <c r="C1236" s="226">
        <v>98241</v>
      </c>
      <c r="H1236" s="225"/>
      <c r="K1236" s="225"/>
      <c r="P1236" s="225"/>
    </row>
    <row r="1237" spans="1:16">
      <c r="A1237" s="226"/>
      <c r="B1237" s="131" t="s">
        <v>2505</v>
      </c>
      <c r="C1237" s="226">
        <v>99251</v>
      </c>
      <c r="H1237" s="225"/>
      <c r="K1237" s="225"/>
      <c r="P1237" s="225"/>
    </row>
    <row r="1238" spans="1:16">
      <c r="A1238" s="226"/>
      <c r="B1238" s="131" t="s">
        <v>1554</v>
      </c>
      <c r="C1238" s="226">
        <v>99252</v>
      </c>
      <c r="H1238" s="225"/>
      <c r="K1238" s="225"/>
      <c r="P1238" s="225"/>
    </row>
    <row r="1239" spans="1:16">
      <c r="A1239" s="226"/>
      <c r="B1239" s="131" t="s">
        <v>2506</v>
      </c>
      <c r="C1239" s="226">
        <v>96631</v>
      </c>
      <c r="H1239" s="225"/>
      <c r="K1239" s="225"/>
      <c r="P1239" s="225"/>
    </row>
    <row r="1240" spans="1:16">
      <c r="A1240" s="226"/>
      <c r="B1240" s="131" t="s">
        <v>2507</v>
      </c>
      <c r="C1240" s="226">
        <v>96651</v>
      </c>
      <c r="H1240" s="225"/>
      <c r="K1240" s="225"/>
      <c r="P1240" s="225"/>
    </row>
    <row r="1241" spans="1:16">
      <c r="A1241" s="226"/>
      <c r="B1241" s="131" t="s">
        <v>1058</v>
      </c>
      <c r="C1241" s="226">
        <v>93601</v>
      </c>
      <c r="H1241" s="225"/>
      <c r="K1241" s="225"/>
      <c r="P1241" s="225"/>
    </row>
    <row r="1242" spans="1:16">
      <c r="A1242" s="226"/>
      <c r="B1242" s="131" t="s">
        <v>1064</v>
      </c>
      <c r="C1242" s="226">
        <v>93618</v>
      </c>
      <c r="H1242" s="225"/>
      <c r="K1242" s="225"/>
      <c r="P1242" s="225"/>
    </row>
    <row r="1243" spans="1:16">
      <c r="A1243" s="226"/>
      <c r="B1243" s="131" t="s">
        <v>1960</v>
      </c>
      <c r="C1243" s="226">
        <v>93611</v>
      </c>
      <c r="H1243" s="225"/>
      <c r="K1243" s="225"/>
      <c r="P1243" s="225"/>
    </row>
    <row r="1244" spans="1:16">
      <c r="A1244" s="226"/>
      <c r="B1244" s="131" t="s">
        <v>1063</v>
      </c>
      <c r="C1244" s="226">
        <v>93617</v>
      </c>
      <c r="H1244" s="225"/>
      <c r="K1244" s="225"/>
      <c r="P1244" s="225"/>
    </row>
    <row r="1245" spans="1:16">
      <c r="A1245" s="226"/>
      <c r="B1245" s="131" t="s">
        <v>1075</v>
      </c>
      <c r="C1245" s="226">
        <v>93701</v>
      </c>
      <c r="H1245" s="225"/>
      <c r="K1245" s="225"/>
      <c r="P1245" s="225"/>
    </row>
    <row r="1246" spans="1:16">
      <c r="A1246" s="226"/>
      <c r="B1246" s="131" t="s">
        <v>1076</v>
      </c>
      <c r="C1246" s="226">
        <v>93704</v>
      </c>
      <c r="H1246" s="225"/>
      <c r="K1246" s="225"/>
      <c r="P1246" s="225"/>
    </row>
    <row r="1247" spans="1:16">
      <c r="A1247" s="226"/>
      <c r="B1247" s="131" t="s">
        <v>2508</v>
      </c>
      <c r="C1247" s="226">
        <v>98331</v>
      </c>
      <c r="H1247" s="225"/>
      <c r="K1247" s="225"/>
      <c r="P1247" s="225"/>
    </row>
    <row r="1248" spans="1:16">
      <c r="A1248" s="226"/>
      <c r="B1248" s="131" t="s">
        <v>2509</v>
      </c>
      <c r="C1248" s="226">
        <v>94151</v>
      </c>
      <c r="H1248" s="225"/>
      <c r="K1248" s="225"/>
      <c r="P1248" s="225"/>
    </row>
    <row r="1249" spans="1:16">
      <c r="A1249" s="226"/>
      <c r="B1249" s="131" t="s">
        <v>1110</v>
      </c>
      <c r="C1249" s="226">
        <v>94157</v>
      </c>
      <c r="H1249" s="225"/>
      <c r="K1249" s="225"/>
      <c r="P1249" s="225"/>
    </row>
    <row r="1250" spans="1:16">
      <c r="A1250" s="226"/>
      <c r="B1250" s="131" t="s">
        <v>2510</v>
      </c>
      <c r="C1250" s="226">
        <v>91241</v>
      </c>
      <c r="H1250" s="225"/>
      <c r="K1250" s="225"/>
      <c r="P1250" s="225"/>
    </row>
    <row r="1251" spans="1:16">
      <c r="A1251" s="226"/>
      <c r="B1251" s="131" t="s">
        <v>1216</v>
      </c>
      <c r="C1251" s="226">
        <v>95412</v>
      </c>
      <c r="H1251" s="225"/>
      <c r="K1251" s="225"/>
      <c r="P1251" s="225"/>
    </row>
    <row r="1252" spans="1:16">
      <c r="A1252" s="226"/>
      <c r="B1252" s="131" t="s">
        <v>1961</v>
      </c>
      <c r="C1252" s="226">
        <v>99611</v>
      </c>
      <c r="H1252" s="225"/>
      <c r="K1252" s="225"/>
      <c r="P1252" s="225"/>
    </row>
    <row r="1253" spans="1:16">
      <c r="A1253" s="226"/>
      <c r="B1253" s="131" t="s">
        <v>2804</v>
      </c>
      <c r="C1253" s="226">
        <v>99613</v>
      </c>
      <c r="H1253" s="225"/>
      <c r="K1253" s="225"/>
      <c r="P1253" s="225"/>
    </row>
    <row r="1254" spans="1:16">
      <c r="A1254" s="226"/>
      <c r="B1254" s="131" t="s">
        <v>914</v>
      </c>
      <c r="C1254" s="226">
        <v>91908</v>
      </c>
      <c r="H1254" s="225"/>
      <c r="K1254" s="225"/>
      <c r="P1254" s="225"/>
    </row>
    <row r="1255" spans="1:16">
      <c r="A1255" s="226"/>
      <c r="B1255" s="131" t="s">
        <v>1963</v>
      </c>
      <c r="C1255" s="226">
        <v>90121</v>
      </c>
      <c r="H1255" s="225"/>
      <c r="K1255" s="225"/>
      <c r="P1255" s="225"/>
    </row>
    <row r="1256" spans="1:16">
      <c r="A1256" s="226"/>
      <c r="B1256" s="131" t="s">
        <v>1078</v>
      </c>
      <c r="C1256" s="226">
        <v>93803</v>
      </c>
      <c r="H1256" s="225"/>
      <c r="K1256" s="225"/>
      <c r="P1256" s="225"/>
    </row>
    <row r="1257" spans="1:16">
      <c r="A1257" s="226"/>
      <c r="B1257" s="131" t="s">
        <v>1077</v>
      </c>
      <c r="C1257" s="226">
        <v>93801</v>
      </c>
      <c r="H1257" s="225"/>
      <c r="K1257" s="225"/>
      <c r="P1257" s="225"/>
    </row>
    <row r="1258" spans="1:16">
      <c r="A1258" s="226"/>
      <c r="B1258" s="131" t="s">
        <v>1079</v>
      </c>
      <c r="C1258" s="226">
        <v>93806</v>
      </c>
      <c r="H1258" s="225"/>
      <c r="K1258" s="225"/>
      <c r="P1258" s="225"/>
    </row>
    <row r="1259" spans="1:16">
      <c r="A1259" s="226"/>
      <c r="B1259" s="131" t="s">
        <v>2511</v>
      </c>
      <c r="C1259" s="226">
        <v>91411</v>
      </c>
      <c r="H1259" s="225"/>
      <c r="K1259" s="225"/>
      <c r="P1259" s="225"/>
    </row>
    <row r="1260" spans="1:16">
      <c r="A1260" s="226"/>
      <c r="B1260" s="131" t="s">
        <v>870</v>
      </c>
      <c r="C1260" s="226">
        <v>91417</v>
      </c>
      <c r="H1260" s="225"/>
      <c r="K1260" s="225"/>
      <c r="P1260" s="225"/>
    </row>
    <row r="1261" spans="1:16">
      <c r="A1261" s="226"/>
      <c r="B1261" s="131" t="s">
        <v>2512</v>
      </c>
      <c r="C1261" s="226">
        <v>98061</v>
      </c>
      <c r="H1261" s="225"/>
      <c r="K1261" s="225"/>
      <c r="P1261" s="225"/>
    </row>
    <row r="1262" spans="1:16">
      <c r="A1262" s="226"/>
      <c r="B1262" s="131" t="s">
        <v>2809</v>
      </c>
      <c r="C1262" s="226">
        <v>93904</v>
      </c>
      <c r="H1262" s="225"/>
      <c r="K1262" s="225"/>
      <c r="P1262" s="225"/>
    </row>
    <row r="1263" spans="1:16">
      <c r="A1263" s="226"/>
      <c r="B1263" s="131" t="s">
        <v>1081</v>
      </c>
      <c r="C1263" s="226">
        <v>93901</v>
      </c>
      <c r="H1263" s="225"/>
      <c r="K1263" s="225"/>
      <c r="P1263" s="225"/>
    </row>
    <row r="1264" spans="1:16">
      <c r="A1264" s="226"/>
      <c r="B1264" s="131" t="s">
        <v>1083</v>
      </c>
      <c r="C1264" s="226">
        <v>93906</v>
      </c>
      <c r="H1264" s="225"/>
      <c r="K1264" s="225"/>
      <c r="P1264" s="225"/>
    </row>
    <row r="1265" spans="1:16">
      <c r="A1265" s="226"/>
      <c r="B1265" s="131" t="s">
        <v>1084</v>
      </c>
      <c r="C1265" s="226">
        <v>93908</v>
      </c>
      <c r="H1265" s="225"/>
      <c r="K1265" s="225"/>
      <c r="P1265" s="225"/>
    </row>
    <row r="1266" spans="1:16">
      <c r="A1266" s="226"/>
      <c r="B1266" s="131" t="s">
        <v>1170</v>
      </c>
      <c r="C1266" s="226">
        <v>94908</v>
      </c>
      <c r="H1266" s="225"/>
      <c r="K1266" s="225"/>
      <c r="P1266" s="225"/>
    </row>
    <row r="1267" spans="1:16">
      <c r="A1267" s="226"/>
      <c r="B1267" s="131" t="s">
        <v>2513</v>
      </c>
      <c r="C1267" s="226">
        <v>90161</v>
      </c>
      <c r="H1267" s="225"/>
      <c r="K1267" s="225"/>
      <c r="P1267" s="225"/>
    </row>
    <row r="1268" spans="1:16">
      <c r="A1268" s="226"/>
      <c r="B1268" s="131" t="s">
        <v>1091</v>
      </c>
      <c r="C1268" s="226">
        <v>94001</v>
      </c>
      <c r="H1268" s="225"/>
      <c r="K1268" s="225"/>
      <c r="P1268" s="225"/>
    </row>
    <row r="1269" spans="1:16">
      <c r="A1269" s="226"/>
      <c r="B1269" s="131" t="s">
        <v>1093</v>
      </c>
      <c r="C1269" s="226">
        <v>94004</v>
      </c>
      <c r="H1269" s="225"/>
      <c r="K1269" s="225"/>
      <c r="P1269" s="225"/>
    </row>
    <row r="1270" spans="1:16">
      <c r="A1270" s="226"/>
      <c r="B1270" s="131" t="s">
        <v>1962</v>
      </c>
      <c r="C1270" s="226">
        <v>94111</v>
      </c>
      <c r="H1270" s="225"/>
      <c r="K1270" s="225"/>
      <c r="P1270" s="225"/>
    </row>
    <row r="1271" spans="1:16">
      <c r="A1271" s="226"/>
      <c r="B1271" s="131" t="s">
        <v>2808</v>
      </c>
      <c r="C1271" s="226">
        <v>94117</v>
      </c>
      <c r="H1271" s="225"/>
      <c r="K1271" s="225"/>
      <c r="P1271" s="225"/>
    </row>
    <row r="1272" spans="1:16">
      <c r="A1272" s="226"/>
      <c r="B1272" s="131" t="s">
        <v>1964</v>
      </c>
      <c r="C1272" s="226">
        <v>97411</v>
      </c>
      <c r="H1272" s="225"/>
      <c r="K1272" s="225"/>
      <c r="P1272" s="225"/>
    </row>
    <row r="1273" spans="1:16">
      <c r="A1273" s="226"/>
      <c r="B1273" s="131" t="s">
        <v>1373</v>
      </c>
      <c r="C1273" s="226">
        <v>97413</v>
      </c>
      <c r="H1273" s="225"/>
      <c r="K1273" s="225"/>
      <c r="P1273" s="225"/>
    </row>
    <row r="1274" spans="1:16">
      <c r="A1274" s="226"/>
      <c r="B1274" s="131" t="s">
        <v>1372</v>
      </c>
      <c r="C1274" s="226">
        <v>97412</v>
      </c>
      <c r="H1274" s="225"/>
      <c r="K1274" s="225"/>
      <c r="P1274" s="225"/>
    </row>
    <row r="1275" spans="1:16">
      <c r="A1275" s="226"/>
      <c r="B1275" s="131" t="s">
        <v>2514</v>
      </c>
      <c r="C1275" s="226">
        <v>97431</v>
      </c>
      <c r="H1275" s="225"/>
      <c r="K1275" s="225"/>
      <c r="P1275" s="225"/>
    </row>
    <row r="1276" spans="1:16">
      <c r="A1276" s="226"/>
      <c r="B1276" s="131" t="s">
        <v>2515</v>
      </c>
      <c r="C1276" s="226">
        <v>97471</v>
      </c>
      <c r="H1276" s="225"/>
      <c r="K1276" s="225"/>
      <c r="P1276" s="225"/>
    </row>
    <row r="1277" spans="1:16">
      <c r="A1277" s="226"/>
      <c r="B1277" s="131" t="s">
        <v>2516</v>
      </c>
      <c r="C1277" s="226">
        <v>92351</v>
      </c>
      <c r="H1277" s="225"/>
      <c r="K1277" s="225"/>
      <c r="P1277" s="225"/>
    </row>
    <row r="1278" spans="1:16">
      <c r="A1278" s="226"/>
      <c r="B1278" s="131" t="s">
        <v>1098</v>
      </c>
      <c r="C1278" s="226">
        <v>94101</v>
      </c>
      <c r="H1278" s="225"/>
      <c r="K1278" s="225"/>
      <c r="P1278" s="225"/>
    </row>
    <row r="1279" spans="1:16">
      <c r="A1279" s="226"/>
      <c r="B1279" s="131" t="s">
        <v>1105</v>
      </c>
      <c r="C1279" s="226">
        <v>94118</v>
      </c>
      <c r="H1279" s="225"/>
      <c r="K1279" s="225"/>
      <c r="P1279" s="225"/>
    </row>
    <row r="1280" spans="1:16">
      <c r="A1280" s="226"/>
      <c r="B1280" s="131" t="s">
        <v>1099</v>
      </c>
      <c r="C1280" s="226">
        <v>94102</v>
      </c>
      <c r="H1280" s="225"/>
      <c r="K1280" s="225"/>
      <c r="P1280" s="225"/>
    </row>
    <row r="1281" spans="1:16">
      <c r="A1281" s="226"/>
      <c r="B1281" s="131" t="s">
        <v>1115</v>
      </c>
      <c r="C1281" s="226">
        <v>94201</v>
      </c>
      <c r="H1281" s="225"/>
      <c r="K1281" s="225"/>
      <c r="P1281" s="225"/>
    </row>
    <row r="1282" spans="1:16">
      <c r="A1282" s="226"/>
      <c r="B1282" s="131" t="s">
        <v>1116</v>
      </c>
      <c r="C1282" s="226">
        <v>94204</v>
      </c>
      <c r="H1282" s="225"/>
      <c r="K1282" s="225"/>
      <c r="P1282" s="225"/>
    </row>
    <row r="1283" spans="1:16">
      <c r="A1283" s="226"/>
      <c r="B1283" s="131" t="s">
        <v>1117</v>
      </c>
      <c r="C1283" s="226">
        <v>94205</v>
      </c>
      <c r="H1283" s="225"/>
      <c r="K1283" s="225"/>
      <c r="P1283" s="225"/>
    </row>
    <row r="1284" spans="1:16">
      <c r="A1284" s="226"/>
      <c r="B1284" s="131" t="s">
        <v>2517</v>
      </c>
      <c r="C1284" s="226">
        <v>95831</v>
      </c>
      <c r="H1284" s="225"/>
      <c r="K1284" s="225"/>
      <c r="P1284" s="225"/>
    </row>
    <row r="1285" spans="1:16">
      <c r="A1285" s="226"/>
      <c r="B1285" s="131" t="s">
        <v>1965</v>
      </c>
      <c r="C1285" s="226">
        <v>97721</v>
      </c>
      <c r="H1285" s="225"/>
      <c r="K1285" s="225"/>
      <c r="P1285" s="225"/>
    </row>
    <row r="1286" spans="1:16">
      <c r="A1286" s="226"/>
      <c r="B1286" s="131" t="s">
        <v>1404</v>
      </c>
      <c r="C1286" s="226">
        <v>97717</v>
      </c>
      <c r="H1286" s="225"/>
      <c r="K1286" s="225"/>
      <c r="P1286" s="225"/>
    </row>
    <row r="1287" spans="1:16">
      <c r="A1287" s="226"/>
      <c r="B1287" s="131" t="s">
        <v>1125</v>
      </c>
      <c r="C1287" s="226">
        <v>94301</v>
      </c>
      <c r="H1287" s="225"/>
      <c r="K1287" s="225"/>
      <c r="P1287" s="225"/>
    </row>
    <row r="1288" spans="1:16">
      <c r="A1288" s="226"/>
      <c r="B1288" s="131" t="s">
        <v>2518</v>
      </c>
      <c r="C1288" s="226">
        <v>91441</v>
      </c>
      <c r="H1288" s="225"/>
      <c r="K1288" s="225"/>
      <c r="P1288" s="225"/>
    </row>
    <row r="1289" spans="1:16">
      <c r="A1289" s="226"/>
      <c r="B1289" s="131" t="s">
        <v>1966</v>
      </c>
      <c r="C1289" s="226">
        <v>92531</v>
      </c>
      <c r="H1289" s="225"/>
      <c r="K1289" s="225"/>
      <c r="P1289" s="225"/>
    </row>
    <row r="1290" spans="1:16">
      <c r="A1290" s="226"/>
      <c r="B1290" s="131" t="s">
        <v>2519</v>
      </c>
      <c r="C1290" s="226">
        <v>90141</v>
      </c>
      <c r="H1290" s="225"/>
      <c r="K1290" s="225"/>
      <c r="P1290" s="225"/>
    </row>
    <row r="1291" spans="1:16">
      <c r="A1291" s="226"/>
      <c r="B1291" s="131" t="s">
        <v>1134</v>
      </c>
      <c r="C1291" s="226">
        <v>94401</v>
      </c>
      <c r="H1291" s="225"/>
      <c r="K1291" s="225"/>
      <c r="P1291" s="225"/>
    </row>
    <row r="1292" spans="1:16">
      <c r="A1292" s="226"/>
      <c r="B1292" s="131" t="s">
        <v>1136</v>
      </c>
      <c r="C1292" s="226">
        <v>94403</v>
      </c>
      <c r="H1292" s="225"/>
      <c r="K1292" s="225"/>
      <c r="P1292" s="225"/>
    </row>
    <row r="1293" spans="1:16">
      <c r="A1293" s="226"/>
      <c r="B1293" s="131" t="s">
        <v>1135</v>
      </c>
      <c r="C1293" s="226">
        <v>94402</v>
      </c>
      <c r="H1293" s="225"/>
      <c r="K1293" s="225"/>
      <c r="P1293" s="225"/>
    </row>
    <row r="1294" spans="1:16">
      <c r="A1294" s="226"/>
      <c r="B1294" s="131" t="s">
        <v>1967</v>
      </c>
      <c r="C1294" s="226">
        <v>99111</v>
      </c>
      <c r="H1294" s="225"/>
      <c r="K1294" s="225"/>
      <c r="P1294" s="225"/>
    </row>
    <row r="1295" spans="1:16">
      <c r="A1295" s="226"/>
      <c r="B1295" s="131" t="s">
        <v>2019</v>
      </c>
      <c r="C1295" s="226">
        <v>94501</v>
      </c>
      <c r="H1295" s="225"/>
      <c r="K1295" s="225"/>
      <c r="P1295" s="225"/>
    </row>
    <row r="1296" spans="1:16">
      <c r="A1296" s="226"/>
      <c r="B1296" s="131" t="s">
        <v>1968</v>
      </c>
      <c r="C1296" s="226">
        <v>94511</v>
      </c>
      <c r="H1296" s="225"/>
      <c r="K1296" s="225"/>
      <c r="P1296" s="225"/>
    </row>
    <row r="1297" spans="1:16">
      <c r="A1297" s="226"/>
      <c r="B1297" s="131" t="s">
        <v>2807</v>
      </c>
      <c r="C1297" s="226">
        <v>94517</v>
      </c>
      <c r="H1297" s="225"/>
      <c r="K1297" s="225"/>
      <c r="P1297" s="225"/>
    </row>
    <row r="1298" spans="1:16">
      <c r="A1298" s="226"/>
      <c r="B1298" s="131" t="s">
        <v>1147</v>
      </c>
      <c r="C1298" s="226">
        <v>94512</v>
      </c>
      <c r="H1298" s="225"/>
      <c r="K1298" s="225"/>
      <c r="P1298" s="225"/>
    </row>
    <row r="1299" spans="1:16">
      <c r="A1299" s="226"/>
      <c r="B1299" s="131" t="s">
        <v>2520</v>
      </c>
      <c r="C1299" s="226">
        <v>97211</v>
      </c>
      <c r="H1299" s="225"/>
      <c r="K1299" s="225"/>
      <c r="P1299" s="225"/>
    </row>
    <row r="1300" spans="1:16">
      <c r="A1300" s="226"/>
      <c r="B1300" s="131" t="s">
        <v>2521</v>
      </c>
      <c r="C1300" s="226">
        <v>97217</v>
      </c>
      <c r="H1300" s="225"/>
      <c r="K1300" s="225"/>
      <c r="P1300" s="225"/>
    </row>
    <row r="1301" spans="1:16">
      <c r="A1301" s="226"/>
      <c r="B1301" s="131" t="s">
        <v>1156</v>
      </c>
      <c r="C1301" s="226">
        <v>94601</v>
      </c>
      <c r="H1301" s="225"/>
      <c r="K1301" s="225"/>
      <c r="P1301" s="225"/>
    </row>
    <row r="1302" spans="1:16">
      <c r="A1302" s="226"/>
      <c r="B1302" s="131" t="s">
        <v>1157</v>
      </c>
      <c r="C1302" s="226">
        <v>94604</v>
      </c>
      <c r="H1302" s="225"/>
      <c r="K1302" s="225"/>
      <c r="P1302" s="225"/>
    </row>
    <row r="1303" spans="1:16">
      <c r="A1303" s="226"/>
      <c r="B1303" s="131" t="s">
        <v>1158</v>
      </c>
      <c r="C1303" s="226">
        <v>94606</v>
      </c>
      <c r="H1303" s="225"/>
      <c r="K1303" s="225"/>
      <c r="P1303" s="225"/>
    </row>
    <row r="1304" spans="1:16">
      <c r="A1304" s="226"/>
      <c r="B1304" s="131" t="s">
        <v>2763</v>
      </c>
      <c r="C1304" s="226">
        <v>97213</v>
      </c>
      <c r="H1304" s="225"/>
      <c r="K1304" s="225"/>
      <c r="P1304" s="225"/>
    </row>
    <row r="1305" spans="1:16">
      <c r="A1305" s="226"/>
      <c r="B1305" s="131" t="s">
        <v>1969</v>
      </c>
      <c r="C1305" s="226">
        <v>91811</v>
      </c>
      <c r="H1305" s="225"/>
      <c r="K1305" s="225"/>
      <c r="P1305" s="225"/>
    </row>
    <row r="1306" spans="1:16">
      <c r="A1306" s="226"/>
      <c r="B1306" s="131" t="s">
        <v>2751</v>
      </c>
      <c r="C1306" s="226">
        <v>91812</v>
      </c>
      <c r="H1306" s="225"/>
      <c r="K1306" s="225"/>
      <c r="P1306" s="225"/>
    </row>
    <row r="1307" spans="1:16">
      <c r="A1307" s="226"/>
      <c r="B1307" s="131" t="s">
        <v>901</v>
      </c>
      <c r="C1307" s="226">
        <v>91813</v>
      </c>
      <c r="H1307" s="225"/>
      <c r="K1307" s="225"/>
      <c r="P1307" s="225"/>
    </row>
    <row r="1308" spans="1:16">
      <c r="A1308" s="226"/>
      <c r="B1308" s="131" t="s">
        <v>766</v>
      </c>
      <c r="C1308" s="226">
        <v>90617</v>
      </c>
      <c r="H1308" s="225"/>
      <c r="K1308" s="225"/>
      <c r="P1308" s="225"/>
    </row>
    <row r="1309" spans="1:16">
      <c r="A1309" s="226"/>
      <c r="B1309" s="131" t="s">
        <v>1970</v>
      </c>
      <c r="C1309" s="226">
        <v>94121</v>
      </c>
      <c r="H1309" s="225"/>
      <c r="K1309" s="225"/>
      <c r="P1309" s="225"/>
    </row>
    <row r="1310" spans="1:16">
      <c r="A1310" s="226"/>
      <c r="B1310" s="131" t="s">
        <v>2806</v>
      </c>
      <c r="C1310" s="226">
        <v>94127</v>
      </c>
      <c r="H1310" s="225"/>
      <c r="K1310" s="225"/>
      <c r="P1310" s="225"/>
    </row>
    <row r="1311" spans="1:16">
      <c r="A1311" s="226"/>
      <c r="B1311" s="131" t="s">
        <v>2522</v>
      </c>
      <c r="C1311" s="226">
        <v>95621</v>
      </c>
      <c r="H1311" s="225"/>
      <c r="K1311" s="225"/>
      <c r="P1311" s="225"/>
    </row>
    <row r="1312" spans="1:16">
      <c r="A1312" s="226"/>
      <c r="B1312" s="131" t="s">
        <v>1228</v>
      </c>
      <c r="C1312" s="226">
        <v>95617</v>
      </c>
      <c r="H1312" s="225"/>
      <c r="K1312" s="225"/>
      <c r="P1312" s="225"/>
    </row>
    <row r="1313" spans="1:16">
      <c r="A1313" s="226"/>
      <c r="B1313" s="131" t="s">
        <v>2523</v>
      </c>
      <c r="C1313" s="226">
        <v>91251</v>
      </c>
      <c r="H1313" s="225"/>
      <c r="K1313" s="225"/>
      <c r="P1313" s="225"/>
    </row>
    <row r="1314" spans="1:16">
      <c r="A1314" s="226"/>
      <c r="B1314" s="131" t="s">
        <v>2524</v>
      </c>
      <c r="C1314" s="226">
        <v>96831</v>
      </c>
      <c r="H1314" s="225"/>
      <c r="K1314" s="225"/>
      <c r="P1314" s="225"/>
    </row>
    <row r="1315" spans="1:16">
      <c r="A1315" s="226"/>
      <c r="B1315" s="131" t="s">
        <v>2525</v>
      </c>
      <c r="C1315" s="226">
        <v>94251</v>
      </c>
      <c r="H1315" s="225"/>
      <c r="K1315" s="225"/>
      <c r="P1315" s="225"/>
    </row>
    <row r="1316" spans="1:16">
      <c r="A1316" s="226"/>
      <c r="B1316" s="131" t="s">
        <v>1163</v>
      </c>
      <c r="C1316" s="226">
        <v>94701</v>
      </c>
      <c r="H1316" s="225"/>
      <c r="K1316" s="225"/>
      <c r="P1316" s="225"/>
    </row>
    <row r="1317" spans="1:16">
      <c r="A1317" s="226"/>
      <c r="B1317" s="131" t="s">
        <v>1164</v>
      </c>
      <c r="C1317" s="226">
        <v>94704</v>
      </c>
      <c r="H1317" s="225"/>
      <c r="K1317" s="225"/>
      <c r="P1317" s="225"/>
    </row>
    <row r="1318" spans="1:16">
      <c r="A1318" s="226"/>
      <c r="B1318" s="131" t="s">
        <v>2526</v>
      </c>
      <c r="C1318" s="226">
        <v>91014</v>
      </c>
      <c r="H1318" s="225"/>
      <c r="K1318" s="225"/>
      <c r="P1318" s="225"/>
    </row>
    <row r="1319" spans="1:16">
      <c r="A1319" s="226"/>
      <c r="B1319" s="131" t="s">
        <v>2527</v>
      </c>
      <c r="C1319" s="226">
        <v>96731</v>
      </c>
      <c r="H1319" s="225"/>
      <c r="K1319" s="225"/>
      <c r="P1319" s="225"/>
    </row>
    <row r="1320" spans="1:16">
      <c r="A1320" s="226"/>
      <c r="B1320" s="131" t="s">
        <v>1329</v>
      </c>
      <c r="C1320" s="226">
        <v>96733</v>
      </c>
      <c r="H1320" s="225"/>
      <c r="K1320" s="225"/>
      <c r="P1320" s="225"/>
    </row>
    <row r="1321" spans="1:16">
      <c r="A1321" s="226"/>
      <c r="B1321" s="131" t="s">
        <v>2528</v>
      </c>
      <c r="C1321" s="226">
        <v>99202</v>
      </c>
      <c r="H1321" s="225"/>
      <c r="K1321" s="225"/>
      <c r="P1321" s="225"/>
    </row>
    <row r="1322" spans="1:16">
      <c r="A1322" s="226"/>
      <c r="B1322" s="131" t="s">
        <v>2529</v>
      </c>
      <c r="C1322" s="226">
        <v>94011</v>
      </c>
      <c r="H1322" s="225"/>
      <c r="K1322" s="225"/>
      <c r="P1322" s="225"/>
    </row>
    <row r="1323" spans="1:16">
      <c r="A1323" s="226"/>
      <c r="B1323" s="131" t="s">
        <v>2530</v>
      </c>
      <c r="C1323" s="226">
        <v>92631</v>
      </c>
      <c r="H1323" s="225"/>
      <c r="K1323" s="225"/>
      <c r="P1323" s="225"/>
    </row>
    <row r="1324" spans="1:16">
      <c r="A1324" s="226"/>
      <c r="B1324" s="131" t="s">
        <v>1233</v>
      </c>
      <c r="C1324" s="226">
        <v>95733</v>
      </c>
      <c r="H1324" s="225"/>
      <c r="K1324" s="225"/>
      <c r="P1324" s="225"/>
    </row>
    <row r="1325" spans="1:16">
      <c r="A1325" s="226"/>
      <c r="B1325" s="131" t="s">
        <v>2531</v>
      </c>
      <c r="C1325" s="226">
        <v>91431</v>
      </c>
      <c r="H1325" s="225"/>
      <c r="K1325" s="225"/>
      <c r="P1325" s="225"/>
    </row>
    <row r="1326" spans="1:16">
      <c r="A1326" s="226"/>
      <c r="B1326" s="131" t="s">
        <v>2532</v>
      </c>
      <c r="C1326" s="226">
        <v>96041</v>
      </c>
      <c r="H1326" s="225"/>
      <c r="K1326" s="225"/>
      <c r="P1326" s="225"/>
    </row>
    <row r="1327" spans="1:16">
      <c r="A1327" s="226"/>
      <c r="B1327" s="131" t="s">
        <v>1166</v>
      </c>
      <c r="C1327" s="226">
        <v>94801</v>
      </c>
      <c r="H1327" s="225"/>
      <c r="K1327" s="225"/>
      <c r="P1327" s="225"/>
    </row>
    <row r="1328" spans="1:16">
      <c r="A1328" s="226"/>
      <c r="B1328" s="131" t="s">
        <v>1167</v>
      </c>
      <c r="C1328" s="226">
        <v>94804</v>
      </c>
      <c r="H1328" s="225"/>
      <c r="K1328" s="225"/>
      <c r="P1328" s="225"/>
    </row>
    <row r="1329" spans="1:16">
      <c r="A1329" s="226"/>
      <c r="B1329" s="131" t="s">
        <v>2533</v>
      </c>
      <c r="C1329" s="226">
        <v>91661</v>
      </c>
      <c r="H1329" s="225"/>
      <c r="K1329" s="225"/>
      <c r="P1329" s="225"/>
    </row>
    <row r="1330" spans="1:16">
      <c r="A1330" s="226"/>
      <c r="B1330" s="131" t="s">
        <v>2534</v>
      </c>
      <c r="C1330" s="226">
        <v>99051</v>
      </c>
      <c r="H1330" s="225"/>
      <c r="K1330" s="225"/>
      <c r="P1330" s="225"/>
    </row>
    <row r="1331" spans="1:16">
      <c r="A1331" s="226"/>
      <c r="B1331" s="131" t="s">
        <v>1521</v>
      </c>
      <c r="C1331" s="226">
        <v>99014</v>
      </c>
      <c r="H1331" s="225"/>
      <c r="K1331" s="225"/>
      <c r="P1331" s="225"/>
    </row>
    <row r="1332" spans="1:16">
      <c r="A1332" s="226"/>
      <c r="B1332" s="131" t="s">
        <v>1169</v>
      </c>
      <c r="C1332" s="226">
        <v>94901</v>
      </c>
      <c r="H1332" s="225"/>
      <c r="K1332" s="225"/>
      <c r="P1332" s="225"/>
    </row>
    <row r="1333" spans="1:16">
      <c r="A1333" s="226"/>
      <c r="B1333" s="131" t="s">
        <v>1458</v>
      </c>
      <c r="C1333" s="226">
        <v>98109</v>
      </c>
      <c r="H1333" s="225"/>
      <c r="K1333" s="225"/>
      <c r="P1333" s="225"/>
    </row>
    <row r="1334" spans="1:16">
      <c r="A1334" s="226"/>
      <c r="B1334" s="131" t="s">
        <v>2802</v>
      </c>
      <c r="C1334" s="226">
        <v>98205</v>
      </c>
      <c r="H1334" s="225"/>
      <c r="K1334" s="225"/>
      <c r="P1334" s="225"/>
    </row>
    <row r="1335" spans="1:16">
      <c r="A1335" s="226"/>
      <c r="B1335" s="131" t="s">
        <v>2535</v>
      </c>
      <c r="C1335" s="226">
        <v>96661</v>
      </c>
      <c r="H1335" s="225"/>
      <c r="K1335" s="225"/>
      <c r="P1335" s="225"/>
    </row>
    <row r="1336" spans="1:16">
      <c r="A1336" s="226"/>
      <c r="B1336" s="131" t="s">
        <v>1178</v>
      </c>
      <c r="C1336" s="226">
        <v>95001</v>
      </c>
      <c r="H1336" s="225"/>
      <c r="K1336" s="225"/>
      <c r="P1336" s="225"/>
    </row>
    <row r="1337" spans="1:16">
      <c r="A1337" s="226"/>
      <c r="B1337" s="131" t="s">
        <v>1184</v>
      </c>
      <c r="C1337" s="226">
        <v>95017</v>
      </c>
      <c r="H1337" s="225"/>
      <c r="K1337" s="225"/>
      <c r="P1337" s="225"/>
    </row>
    <row r="1338" spans="1:16">
      <c r="A1338" s="226"/>
      <c r="B1338" s="131" t="s">
        <v>1971</v>
      </c>
      <c r="C1338" s="226">
        <v>96711</v>
      </c>
      <c r="H1338" s="225"/>
      <c r="K1338" s="225"/>
      <c r="P1338" s="225"/>
    </row>
    <row r="1339" spans="1:16">
      <c r="A1339" s="226"/>
      <c r="B1339" s="131" t="s">
        <v>2536</v>
      </c>
      <c r="C1339" s="226">
        <v>94131</v>
      </c>
      <c r="H1339" s="225"/>
      <c r="K1339" s="225"/>
      <c r="P1339" s="225"/>
    </row>
    <row r="1340" spans="1:16">
      <c r="A1340" s="226"/>
      <c r="B1340" s="131" t="s">
        <v>2537</v>
      </c>
      <c r="C1340" s="226">
        <v>95841</v>
      </c>
      <c r="H1340" s="225"/>
      <c r="K1340" s="225"/>
      <c r="P1340" s="225"/>
    </row>
    <row r="1341" spans="1:16">
      <c r="A1341" s="226"/>
      <c r="B1341" s="131" t="s">
        <v>2538</v>
      </c>
      <c r="C1341" s="226">
        <v>90511</v>
      </c>
      <c r="H1341" s="225"/>
      <c r="K1341" s="225"/>
      <c r="P1341" s="225"/>
    </row>
    <row r="1342" spans="1:16">
      <c r="A1342" s="226"/>
      <c r="B1342" s="131" t="s">
        <v>1185</v>
      </c>
      <c r="C1342" s="226">
        <v>95101</v>
      </c>
      <c r="H1342" s="225"/>
      <c r="K1342" s="225"/>
      <c r="P1342" s="225"/>
    </row>
    <row r="1343" spans="1:16">
      <c r="A1343" s="226"/>
      <c r="B1343" s="131" t="s">
        <v>1187</v>
      </c>
      <c r="C1343" s="226">
        <v>95104</v>
      </c>
      <c r="H1343" s="225"/>
      <c r="K1343" s="225"/>
      <c r="P1343" s="225"/>
    </row>
    <row r="1344" spans="1:16">
      <c r="A1344" s="226"/>
      <c r="B1344" s="131" t="s">
        <v>1190</v>
      </c>
      <c r="C1344" s="226">
        <v>95110</v>
      </c>
      <c r="H1344" s="225"/>
      <c r="K1344" s="225"/>
      <c r="P1344" s="225"/>
    </row>
    <row r="1345" spans="1:16">
      <c r="A1345" s="226"/>
      <c r="B1345" s="131" t="s">
        <v>1203</v>
      </c>
      <c r="C1345" s="226">
        <v>95201</v>
      </c>
      <c r="H1345" s="225"/>
      <c r="K1345" s="225"/>
      <c r="P1345" s="225"/>
    </row>
    <row r="1346" spans="1:16">
      <c r="A1346" s="226"/>
      <c r="B1346" s="131" t="s">
        <v>1204</v>
      </c>
      <c r="C1346" s="226">
        <v>95204</v>
      </c>
      <c r="H1346" s="225"/>
      <c r="K1346" s="225"/>
      <c r="P1346" s="225"/>
    </row>
    <row r="1347" spans="1:16">
      <c r="A1347" s="226"/>
      <c r="B1347" s="131" t="s">
        <v>2539</v>
      </c>
      <c r="C1347" s="51">
        <v>99921</v>
      </c>
      <c r="H1347" s="225"/>
      <c r="K1347" s="225"/>
      <c r="P1347" s="225"/>
    </row>
    <row r="1348" spans="1:16">
      <c r="A1348" s="226"/>
      <c r="B1348" s="131" t="s">
        <v>1137</v>
      </c>
      <c r="C1348" s="226">
        <v>94408</v>
      </c>
      <c r="H1348" s="225"/>
      <c r="K1348" s="225"/>
      <c r="P1348" s="225"/>
    </row>
    <row r="1349" spans="1:16">
      <c r="A1349" s="226"/>
      <c r="B1349" s="131" t="s">
        <v>1972</v>
      </c>
      <c r="C1349" s="226">
        <v>91331</v>
      </c>
      <c r="H1349" s="225"/>
      <c r="K1349" s="225"/>
      <c r="P1349" s="225"/>
    </row>
    <row r="1350" spans="1:16">
      <c r="A1350" s="226"/>
      <c r="B1350" s="131" t="s">
        <v>2540</v>
      </c>
      <c r="C1350" s="226">
        <v>93121</v>
      </c>
      <c r="H1350" s="225"/>
      <c r="K1350" s="225"/>
      <c r="P1350" s="225"/>
    </row>
    <row r="1351" spans="1:16">
      <c r="A1351" s="226"/>
      <c r="B1351" s="131" t="s">
        <v>1007</v>
      </c>
      <c r="C1351" s="226">
        <v>93127</v>
      </c>
      <c r="H1351" s="225"/>
      <c r="K1351" s="225"/>
      <c r="P1351" s="225"/>
    </row>
    <row r="1352" spans="1:16">
      <c r="A1352" s="226"/>
      <c r="B1352" s="131" t="s">
        <v>2541</v>
      </c>
      <c r="C1352" s="226">
        <v>95171</v>
      </c>
      <c r="H1352" s="225"/>
      <c r="K1352" s="225"/>
      <c r="P1352" s="225"/>
    </row>
    <row r="1353" spans="1:16">
      <c r="A1353" s="226"/>
      <c r="B1353" s="131" t="s">
        <v>2542</v>
      </c>
      <c r="C1353" s="226">
        <v>93421</v>
      </c>
      <c r="H1353" s="225"/>
      <c r="K1353" s="225"/>
      <c r="P1353" s="225"/>
    </row>
    <row r="1354" spans="1:16">
      <c r="A1354" s="226"/>
      <c r="B1354" s="131" t="s">
        <v>1535</v>
      </c>
      <c r="C1354" s="226">
        <v>99110</v>
      </c>
      <c r="H1354" s="225"/>
      <c r="K1354" s="225"/>
      <c r="P1354" s="225"/>
    </row>
    <row r="1355" spans="1:16">
      <c r="A1355" s="226"/>
      <c r="B1355" s="131" t="s">
        <v>2801</v>
      </c>
      <c r="C1355" s="226">
        <v>99109</v>
      </c>
      <c r="H1355" s="225"/>
      <c r="K1355" s="225"/>
      <c r="P1355" s="225"/>
    </row>
    <row r="1356" spans="1:16">
      <c r="A1356" s="226"/>
      <c r="B1356" s="131" t="s">
        <v>2543</v>
      </c>
      <c r="C1356" s="226">
        <v>92821</v>
      </c>
      <c r="H1356" s="225"/>
      <c r="K1356" s="225"/>
      <c r="P1356" s="225"/>
    </row>
    <row r="1357" spans="1:16">
      <c r="A1357" s="226"/>
      <c r="B1357" s="131" t="s">
        <v>2544</v>
      </c>
      <c r="C1357" s="226">
        <v>98521</v>
      </c>
      <c r="H1357" s="225"/>
      <c r="K1357" s="225"/>
      <c r="P1357" s="225"/>
    </row>
    <row r="1358" spans="1:16">
      <c r="A1358" s="226"/>
      <c r="B1358" s="131" t="s">
        <v>1973</v>
      </c>
      <c r="C1358" s="226">
        <v>92321</v>
      </c>
      <c r="H1358" s="225"/>
      <c r="K1358" s="225"/>
      <c r="P1358" s="225"/>
    </row>
    <row r="1359" spans="1:16">
      <c r="A1359" s="226"/>
      <c r="B1359" s="131" t="s">
        <v>934</v>
      </c>
      <c r="C1359" s="226">
        <v>92327</v>
      </c>
      <c r="H1359" s="225"/>
      <c r="K1359" s="225"/>
      <c r="P1359" s="225"/>
    </row>
    <row r="1360" spans="1:16">
      <c r="A1360" s="226"/>
      <c r="B1360" s="131" t="s">
        <v>1974</v>
      </c>
      <c r="C1360" s="226">
        <v>95411</v>
      </c>
      <c r="H1360" s="225"/>
      <c r="K1360" s="225"/>
      <c r="P1360" s="225"/>
    </row>
    <row r="1361" spans="1:16">
      <c r="A1361" s="226"/>
      <c r="B1361" s="131" t="s">
        <v>2805</v>
      </c>
      <c r="C1361" s="226">
        <v>95413</v>
      </c>
      <c r="H1361" s="225"/>
      <c r="K1361" s="225"/>
      <c r="P1361" s="225"/>
    </row>
    <row r="1362" spans="1:16">
      <c r="A1362" s="226"/>
      <c r="B1362" s="131" t="s">
        <v>2800</v>
      </c>
      <c r="C1362" s="226">
        <v>95415</v>
      </c>
      <c r="H1362" s="225"/>
      <c r="K1362" s="225"/>
      <c r="P1362" s="225"/>
    </row>
    <row r="1363" spans="1:16">
      <c r="A1363" s="226"/>
      <c r="B1363" s="131" t="s">
        <v>2545</v>
      </c>
      <c r="C1363" s="226">
        <v>92851</v>
      </c>
      <c r="H1363" s="225"/>
      <c r="K1363" s="225"/>
      <c r="P1363" s="225"/>
    </row>
    <row r="1364" spans="1:16">
      <c r="A1364" s="226"/>
      <c r="B1364" s="131" t="s">
        <v>2546</v>
      </c>
      <c r="C1364" s="226">
        <v>99291</v>
      </c>
      <c r="H1364" s="225"/>
      <c r="K1364" s="225"/>
      <c r="P1364" s="225"/>
    </row>
    <row r="1365" spans="1:16">
      <c r="A1365" s="226"/>
      <c r="B1365" s="131" t="s">
        <v>2547</v>
      </c>
      <c r="C1365" s="226">
        <v>96541</v>
      </c>
      <c r="H1365" s="225"/>
      <c r="K1365" s="225"/>
      <c r="P1365" s="225"/>
    </row>
    <row r="1366" spans="1:16">
      <c r="A1366" s="226"/>
      <c r="B1366" s="131" t="s">
        <v>2548</v>
      </c>
      <c r="C1366" s="226">
        <v>95431</v>
      </c>
      <c r="H1366" s="225"/>
      <c r="K1366" s="225"/>
      <c r="P1366" s="225"/>
    </row>
    <row r="1367" spans="1:16">
      <c r="A1367" s="226"/>
      <c r="B1367" s="131" t="s">
        <v>2549</v>
      </c>
      <c r="C1367" s="226">
        <v>98131</v>
      </c>
      <c r="H1367" s="225"/>
      <c r="K1367" s="225"/>
      <c r="P1367" s="225"/>
    </row>
    <row r="1368" spans="1:16">
      <c r="A1368" s="226"/>
      <c r="B1368" s="131" t="s">
        <v>2550</v>
      </c>
      <c r="C1368" s="226">
        <v>92461</v>
      </c>
      <c r="H1368" s="225"/>
      <c r="K1368" s="225"/>
      <c r="P1368" s="225"/>
    </row>
    <row r="1369" spans="1:16">
      <c r="A1369" s="226"/>
      <c r="B1369" s="131" t="s">
        <v>943</v>
      </c>
      <c r="C1369" s="226">
        <v>92427</v>
      </c>
      <c r="H1369" s="225"/>
      <c r="K1369" s="225"/>
      <c r="P1369" s="225"/>
    </row>
    <row r="1370" spans="1:16">
      <c r="A1370" s="226"/>
      <c r="B1370" s="131" t="s">
        <v>2551</v>
      </c>
      <c r="C1370" s="226">
        <v>98051</v>
      </c>
      <c r="H1370" s="225"/>
      <c r="K1370" s="225"/>
      <c r="P1370" s="225"/>
    </row>
    <row r="1371" spans="1:16">
      <c r="A1371" s="226"/>
      <c r="B1371" s="131" t="s">
        <v>826</v>
      </c>
      <c r="C1371" s="226">
        <v>91102</v>
      </c>
      <c r="H1371" s="225"/>
      <c r="K1371" s="225"/>
      <c r="P1371" s="225"/>
    </row>
    <row r="1372" spans="1:16">
      <c r="A1372" s="226"/>
      <c r="B1372" s="131" t="s">
        <v>2552</v>
      </c>
      <c r="C1372" s="226">
        <v>94521</v>
      </c>
      <c r="H1372" s="225"/>
      <c r="K1372" s="225"/>
      <c r="P1372" s="225"/>
    </row>
    <row r="1373" spans="1:16">
      <c r="A1373" s="226"/>
      <c r="B1373" s="131" t="s">
        <v>1150</v>
      </c>
      <c r="C1373" s="226">
        <v>94527</v>
      </c>
      <c r="H1373" s="225"/>
      <c r="K1373" s="225"/>
      <c r="P1373" s="225"/>
    </row>
    <row r="1374" spans="1:16">
      <c r="A1374" s="226"/>
      <c r="B1374" s="131" t="s">
        <v>1975</v>
      </c>
      <c r="C1374" s="226">
        <v>98311</v>
      </c>
      <c r="H1374" s="225"/>
      <c r="K1374" s="225"/>
      <c r="P1374" s="225"/>
    </row>
    <row r="1375" spans="1:16">
      <c r="A1375" s="226"/>
      <c r="B1375" s="131" t="s">
        <v>1481</v>
      </c>
      <c r="C1375" s="226">
        <v>98313</v>
      </c>
      <c r="H1375" s="225"/>
      <c r="K1375" s="225"/>
      <c r="P1375" s="225"/>
    </row>
    <row r="1376" spans="1:16">
      <c r="A1376" s="226"/>
      <c r="B1376" s="131" t="s">
        <v>1479</v>
      </c>
      <c r="C1376" s="226">
        <v>98308</v>
      </c>
      <c r="H1376" s="225"/>
      <c r="K1376" s="225"/>
      <c r="P1376" s="225"/>
    </row>
    <row r="1377" spans="1:16">
      <c r="A1377" s="226"/>
      <c r="B1377" s="131" t="s">
        <v>2553</v>
      </c>
      <c r="C1377" s="226">
        <v>92341</v>
      </c>
      <c r="H1377" s="225"/>
      <c r="K1377" s="225"/>
      <c r="P1377" s="225"/>
    </row>
    <row r="1378" spans="1:16">
      <c r="A1378" s="226"/>
      <c r="B1378" s="131" t="s">
        <v>1208</v>
      </c>
      <c r="C1378" s="226">
        <v>95301</v>
      </c>
      <c r="H1378" s="225"/>
      <c r="K1378" s="225"/>
      <c r="P1378" s="225"/>
    </row>
    <row r="1379" spans="1:16">
      <c r="A1379" s="226"/>
      <c r="B1379" s="131" t="s">
        <v>2554</v>
      </c>
      <c r="C1379" s="226">
        <v>91002</v>
      </c>
      <c r="H1379" s="225"/>
      <c r="K1379" s="225"/>
      <c r="P1379" s="225"/>
    </row>
    <row r="1380" spans="1:16">
      <c r="A1380" s="226"/>
      <c r="B1380" s="131" t="s">
        <v>1976</v>
      </c>
      <c r="C1380" s="226">
        <v>91451</v>
      </c>
      <c r="H1380" s="225"/>
      <c r="K1380" s="225"/>
      <c r="P1380" s="225"/>
    </row>
    <row r="1381" spans="1:16">
      <c r="A1381" s="226"/>
      <c r="B1381" s="131" t="s">
        <v>2799</v>
      </c>
      <c r="C1381" s="226">
        <v>91457</v>
      </c>
      <c r="H1381" s="225"/>
      <c r="K1381" s="225"/>
      <c r="P1381" s="225"/>
    </row>
    <row r="1382" spans="1:16">
      <c r="A1382" s="226"/>
      <c r="B1382" s="131" t="s">
        <v>1212</v>
      </c>
      <c r="C1382" s="226">
        <v>95401</v>
      </c>
      <c r="H1382" s="225"/>
      <c r="K1382" s="225"/>
      <c r="P1382" s="225"/>
    </row>
    <row r="1383" spans="1:16">
      <c r="A1383" s="226"/>
      <c r="B1383" s="131" t="s">
        <v>1213</v>
      </c>
      <c r="C1383" s="226">
        <v>95404</v>
      </c>
      <c r="H1383" s="225"/>
      <c r="K1383" s="225"/>
      <c r="P1383" s="225"/>
    </row>
    <row r="1384" spans="1:16">
      <c r="A1384" s="226"/>
      <c r="B1384" s="131" t="s">
        <v>872</v>
      </c>
      <c r="C1384" s="226">
        <v>91423</v>
      </c>
      <c r="H1384" s="225"/>
      <c r="K1384" s="225"/>
      <c r="P1384" s="225"/>
    </row>
    <row r="1385" spans="1:16">
      <c r="A1385" s="226"/>
      <c r="B1385" s="131" t="s">
        <v>2555</v>
      </c>
      <c r="C1385" s="226">
        <v>90861</v>
      </c>
      <c r="H1385" s="225"/>
      <c r="K1385" s="225"/>
      <c r="P1385" s="225"/>
    </row>
    <row r="1386" spans="1:16">
      <c r="A1386" s="226"/>
      <c r="B1386" s="131" t="s">
        <v>2556</v>
      </c>
      <c r="C1386" s="226">
        <v>93451</v>
      </c>
      <c r="H1386" s="225"/>
      <c r="K1386" s="225"/>
      <c r="P1386" s="225"/>
    </row>
    <row r="1387" spans="1:16">
      <c r="A1387" s="226"/>
      <c r="B1387" s="131" t="s">
        <v>1977</v>
      </c>
      <c r="C1387" s="226">
        <v>92931</v>
      </c>
      <c r="H1387" s="225"/>
      <c r="K1387" s="225"/>
      <c r="P1387" s="225"/>
    </row>
    <row r="1388" spans="1:16">
      <c r="A1388" s="226"/>
      <c r="B1388" s="131" t="s">
        <v>994</v>
      </c>
      <c r="C1388" s="226">
        <v>92917</v>
      </c>
      <c r="H1388" s="225"/>
      <c r="K1388" s="225"/>
      <c r="P1388" s="225"/>
    </row>
    <row r="1389" spans="1:16">
      <c r="A1389" s="226"/>
      <c r="B1389" s="131" t="s">
        <v>2557</v>
      </c>
      <c r="C1389" s="226">
        <v>97631</v>
      </c>
      <c r="H1389" s="225"/>
      <c r="K1389" s="225"/>
      <c r="P1389" s="225"/>
    </row>
    <row r="1390" spans="1:16">
      <c r="A1390" s="226"/>
      <c r="B1390" s="131" t="s">
        <v>1396</v>
      </c>
      <c r="C1390" s="226">
        <v>97637</v>
      </c>
      <c r="H1390" s="225"/>
      <c r="K1390" s="225"/>
      <c r="P1390" s="225"/>
    </row>
    <row r="1391" spans="1:16">
      <c r="A1391" s="226"/>
      <c r="B1391" s="131" t="s">
        <v>2558</v>
      </c>
      <c r="C1391" s="226">
        <v>90421</v>
      </c>
      <c r="H1391" s="225"/>
      <c r="K1391" s="225"/>
      <c r="P1391" s="225"/>
    </row>
    <row r="1392" spans="1:16">
      <c r="A1392" s="226"/>
      <c r="B1392" s="131" t="s">
        <v>2559</v>
      </c>
      <c r="C1392" s="226">
        <v>94321</v>
      </c>
      <c r="H1392" s="225"/>
      <c r="K1392" s="225"/>
      <c r="P1392" s="225"/>
    </row>
    <row r="1393" spans="1:16">
      <c r="A1393" s="226"/>
      <c r="B1393" s="131" t="s">
        <v>1221</v>
      </c>
      <c r="C1393" s="226">
        <v>95501</v>
      </c>
      <c r="H1393" s="225"/>
      <c r="K1393" s="225"/>
      <c r="P1393" s="225"/>
    </row>
    <row r="1394" spans="1:16">
      <c r="A1394" s="226"/>
      <c r="B1394" s="131" t="s">
        <v>1222</v>
      </c>
      <c r="C1394" s="226">
        <v>95504</v>
      </c>
      <c r="H1394" s="225"/>
      <c r="K1394" s="225"/>
      <c r="P1394" s="225"/>
    </row>
    <row r="1395" spans="1:16">
      <c r="A1395" s="226"/>
      <c r="B1395" s="131" t="s">
        <v>1978</v>
      </c>
      <c r="C1395" s="226">
        <v>95511</v>
      </c>
      <c r="H1395" s="225"/>
      <c r="K1395" s="225"/>
      <c r="P1395" s="225"/>
    </row>
    <row r="1396" spans="1:16">
      <c r="A1396" s="226"/>
      <c r="B1396" s="131" t="s">
        <v>2560</v>
      </c>
      <c r="C1396" s="226">
        <v>95517</v>
      </c>
      <c r="H1396" s="225"/>
      <c r="K1396" s="225"/>
      <c r="P1396" s="225"/>
    </row>
    <row r="1397" spans="1:16">
      <c r="A1397" s="226"/>
      <c r="B1397" s="131" t="s">
        <v>1224</v>
      </c>
      <c r="C1397" s="226">
        <v>95513</v>
      </c>
      <c r="H1397" s="225"/>
      <c r="K1397" s="225"/>
      <c r="P1397" s="225"/>
    </row>
    <row r="1398" spans="1:16">
      <c r="A1398" s="226"/>
      <c r="B1398" s="131" t="s">
        <v>2561</v>
      </c>
      <c r="C1398" s="226">
        <v>92651</v>
      </c>
      <c r="H1398" s="225"/>
      <c r="K1398" s="225"/>
      <c r="P1398" s="225"/>
    </row>
    <row r="1399" spans="1:16">
      <c r="A1399" s="226"/>
      <c r="B1399" s="131" t="s">
        <v>2562</v>
      </c>
      <c r="C1399" s="226">
        <v>94261</v>
      </c>
      <c r="H1399" s="225"/>
      <c r="K1399" s="225"/>
      <c r="P1399" s="225"/>
    </row>
    <row r="1400" spans="1:16">
      <c r="A1400" s="226"/>
      <c r="B1400" s="131" t="s">
        <v>1979</v>
      </c>
      <c r="C1400" s="226">
        <v>98431</v>
      </c>
      <c r="H1400" s="225"/>
      <c r="K1400" s="225"/>
      <c r="P1400" s="225"/>
    </row>
    <row r="1401" spans="1:16">
      <c r="A1401" s="226"/>
      <c r="B1401" s="131" t="s">
        <v>1485</v>
      </c>
      <c r="C1401" s="226">
        <v>98404</v>
      </c>
      <c r="H1401" s="225"/>
      <c r="K1401" s="225"/>
      <c r="P1401" s="225"/>
    </row>
    <row r="1402" spans="1:16">
      <c r="A1402" s="226"/>
      <c r="B1402" s="131" t="s">
        <v>2563</v>
      </c>
      <c r="C1402" s="226">
        <v>91841</v>
      </c>
      <c r="H1402" s="225"/>
      <c r="K1402" s="225"/>
      <c r="P1402" s="225"/>
    </row>
    <row r="1403" spans="1:16">
      <c r="A1403" s="226"/>
      <c r="B1403" s="131" t="s">
        <v>2564</v>
      </c>
      <c r="C1403" s="226">
        <v>93521</v>
      </c>
      <c r="H1403" s="225"/>
      <c r="K1403" s="225"/>
      <c r="P1403" s="225"/>
    </row>
    <row r="1404" spans="1:16">
      <c r="A1404" s="226"/>
      <c r="B1404" s="131" t="s">
        <v>1054</v>
      </c>
      <c r="C1404" s="226">
        <v>93527</v>
      </c>
      <c r="H1404" s="225"/>
      <c r="K1404" s="225"/>
      <c r="P1404" s="225"/>
    </row>
    <row r="1405" spans="1:16">
      <c r="A1405" s="226"/>
      <c r="B1405" s="131" t="s">
        <v>1980</v>
      </c>
      <c r="C1405" s="226">
        <v>93661</v>
      </c>
      <c r="H1405" s="225"/>
      <c r="K1405" s="225"/>
      <c r="P1405" s="225"/>
    </row>
    <row r="1406" spans="1:16">
      <c r="A1406" s="226"/>
      <c r="B1406" s="131" t="s">
        <v>2760</v>
      </c>
      <c r="C1406" s="226">
        <v>96508</v>
      </c>
      <c r="H1406" s="225"/>
      <c r="K1406" s="225"/>
      <c r="P1406" s="225"/>
    </row>
    <row r="1407" spans="1:16">
      <c r="A1407" s="226"/>
      <c r="B1407" s="131" t="s">
        <v>2565</v>
      </c>
      <c r="C1407" s="51">
        <v>99841</v>
      </c>
      <c r="H1407" s="225"/>
      <c r="K1407" s="225"/>
      <c r="P1407" s="225"/>
    </row>
    <row r="1408" spans="1:16">
      <c r="A1408" s="226"/>
      <c r="B1408" s="131" t="s">
        <v>1409</v>
      </c>
      <c r="C1408" s="226">
        <v>97802</v>
      </c>
      <c r="H1408" s="225"/>
      <c r="K1408" s="225"/>
      <c r="P1408" s="225"/>
    </row>
    <row r="1409" spans="1:16">
      <c r="A1409" s="226"/>
      <c r="B1409" s="131" t="s">
        <v>1981</v>
      </c>
      <c r="C1409" s="226">
        <v>97811</v>
      </c>
      <c r="H1409" s="225"/>
      <c r="K1409" s="225"/>
      <c r="P1409" s="225"/>
    </row>
    <row r="1410" spans="1:16">
      <c r="A1410" s="226"/>
      <c r="B1410" s="131" t="s">
        <v>1413</v>
      </c>
      <c r="C1410" s="226">
        <v>97817</v>
      </c>
      <c r="H1410" s="225"/>
      <c r="K1410" s="225"/>
      <c r="P1410" s="225"/>
    </row>
    <row r="1411" spans="1:16">
      <c r="A1411" s="226"/>
      <c r="B1411" s="131" t="s">
        <v>2798</v>
      </c>
      <c r="C1411" s="226">
        <v>97818</v>
      </c>
      <c r="H1411" s="225"/>
      <c r="K1411" s="225"/>
      <c r="P1411" s="225"/>
    </row>
    <row r="1412" spans="1:16">
      <c r="A1412" s="226"/>
      <c r="B1412" s="131" t="s">
        <v>2566</v>
      </c>
      <c r="C1412" s="226">
        <v>93341</v>
      </c>
      <c r="H1412" s="225"/>
      <c r="K1412" s="225"/>
      <c r="P1412" s="225"/>
    </row>
    <row r="1413" spans="1:16">
      <c r="A1413" s="226"/>
      <c r="B1413" s="131" t="s">
        <v>1226</v>
      </c>
      <c r="C1413" s="226">
        <v>95601</v>
      </c>
      <c r="H1413" s="225"/>
      <c r="K1413" s="225"/>
      <c r="P1413" s="225"/>
    </row>
    <row r="1414" spans="1:16">
      <c r="A1414" s="226"/>
      <c r="B1414" s="131" t="s">
        <v>2567</v>
      </c>
      <c r="C1414" s="226">
        <v>97941</v>
      </c>
      <c r="H1414" s="225"/>
      <c r="K1414" s="225"/>
      <c r="P1414" s="225"/>
    </row>
    <row r="1415" spans="1:16">
      <c r="A1415" s="226"/>
      <c r="B1415" s="131" t="s">
        <v>1434</v>
      </c>
      <c r="C1415" s="226">
        <v>97947</v>
      </c>
      <c r="H1415" s="225"/>
      <c r="K1415" s="225"/>
      <c r="P1415" s="225"/>
    </row>
    <row r="1416" spans="1:16">
      <c r="A1416" s="226"/>
      <c r="B1416" s="131" t="s">
        <v>1230</v>
      </c>
      <c r="C1416" s="226">
        <v>95701</v>
      </c>
      <c r="H1416" s="225"/>
      <c r="K1416" s="225"/>
      <c r="P1416" s="225"/>
    </row>
    <row r="1417" spans="1:16">
      <c r="A1417" s="226"/>
      <c r="B1417" s="131" t="s">
        <v>1435</v>
      </c>
      <c r="C1417" s="226">
        <v>97948</v>
      </c>
      <c r="H1417" s="225"/>
      <c r="K1417" s="225"/>
      <c r="P1417" s="225"/>
    </row>
    <row r="1418" spans="1:16">
      <c r="A1418" s="226"/>
      <c r="B1418" s="131" t="s">
        <v>2568</v>
      </c>
      <c r="C1418" s="226">
        <v>94421</v>
      </c>
      <c r="H1418" s="225"/>
      <c r="K1418" s="225"/>
      <c r="P1418" s="225"/>
    </row>
    <row r="1419" spans="1:16">
      <c r="A1419" s="226"/>
      <c r="B1419" s="131" t="s">
        <v>1141</v>
      </c>
      <c r="C1419" s="226">
        <v>94427</v>
      </c>
      <c r="H1419" s="225"/>
      <c r="K1419" s="225"/>
      <c r="P1419" s="225"/>
    </row>
    <row r="1420" spans="1:16">
      <c r="A1420" s="226"/>
      <c r="B1420" s="131" t="s">
        <v>2797</v>
      </c>
      <c r="C1420" s="226">
        <v>94428</v>
      </c>
      <c r="H1420" s="225"/>
      <c r="K1420" s="225"/>
      <c r="P1420" s="225"/>
    </row>
    <row r="1421" spans="1:16">
      <c r="A1421" s="226"/>
      <c r="B1421" s="131" t="s">
        <v>2569</v>
      </c>
      <c r="C1421" s="226">
        <v>93191</v>
      </c>
      <c r="H1421" s="225"/>
      <c r="K1421" s="225"/>
      <c r="P1421" s="225"/>
    </row>
    <row r="1422" spans="1:16">
      <c r="A1422" s="226"/>
      <c r="B1422" s="131" t="s">
        <v>2570</v>
      </c>
      <c r="C1422" s="226">
        <v>91831</v>
      </c>
      <c r="H1422" s="225"/>
      <c r="K1422" s="225"/>
      <c r="P1422" s="225"/>
    </row>
    <row r="1423" spans="1:16">
      <c r="A1423" s="226"/>
      <c r="B1423" s="131" t="s">
        <v>2571</v>
      </c>
      <c r="C1423" s="226">
        <v>92831</v>
      </c>
      <c r="H1423" s="225"/>
      <c r="K1423" s="225"/>
      <c r="P1423" s="225"/>
    </row>
    <row r="1424" spans="1:16">
      <c r="A1424" s="226"/>
      <c r="B1424" s="131" t="s">
        <v>2572</v>
      </c>
      <c r="C1424" s="226">
        <v>95911</v>
      </c>
      <c r="H1424" s="225"/>
      <c r="K1424" s="225"/>
      <c r="P1424" s="225"/>
    </row>
    <row r="1425" spans="1:16">
      <c r="A1425" s="226"/>
      <c r="B1425" s="131" t="s">
        <v>1247</v>
      </c>
      <c r="C1425" s="226">
        <v>95917</v>
      </c>
      <c r="H1425" s="225"/>
      <c r="K1425" s="225"/>
      <c r="P1425" s="225"/>
    </row>
    <row r="1426" spans="1:16">
      <c r="A1426" s="226"/>
      <c r="B1426" s="131" t="s">
        <v>2573</v>
      </c>
      <c r="C1426" s="226">
        <v>95711</v>
      </c>
      <c r="H1426" s="225"/>
      <c r="K1426" s="225"/>
      <c r="P1426" s="225"/>
    </row>
    <row r="1427" spans="1:16">
      <c r="A1427" s="226"/>
      <c r="B1427" s="131" t="s">
        <v>2574</v>
      </c>
      <c r="C1427" s="226">
        <v>95721</v>
      </c>
      <c r="H1427" s="225"/>
      <c r="K1427" s="225"/>
      <c r="P1427" s="225"/>
    </row>
    <row r="1428" spans="1:16">
      <c r="A1428" s="226"/>
      <c r="B1428" s="131" t="s">
        <v>2575</v>
      </c>
      <c r="C1428" s="226">
        <v>99021</v>
      </c>
      <c r="H1428" s="225"/>
      <c r="K1428" s="225"/>
      <c r="P1428" s="225"/>
    </row>
    <row r="1429" spans="1:16">
      <c r="A1429" s="226"/>
      <c r="B1429" s="131" t="s">
        <v>2758</v>
      </c>
      <c r="C1429" s="226">
        <v>95802</v>
      </c>
      <c r="H1429" s="225"/>
      <c r="K1429" s="225"/>
      <c r="P1429" s="225"/>
    </row>
    <row r="1430" spans="1:16">
      <c r="A1430" s="226"/>
      <c r="B1430" s="131" t="s">
        <v>1234</v>
      </c>
      <c r="C1430" s="226">
        <v>95801</v>
      </c>
      <c r="H1430" s="225"/>
      <c r="K1430" s="225"/>
      <c r="P1430" s="225"/>
    </row>
    <row r="1431" spans="1:16">
      <c r="A1431" s="226"/>
      <c r="B1431" s="131" t="s">
        <v>1236</v>
      </c>
      <c r="C1431" s="226">
        <v>95804</v>
      </c>
      <c r="H1431" s="225"/>
      <c r="K1431" s="225"/>
      <c r="P1431" s="225"/>
    </row>
    <row r="1432" spans="1:16">
      <c r="A1432" s="226"/>
      <c r="B1432" s="131" t="s">
        <v>2796</v>
      </c>
      <c r="C1432" s="226">
        <v>90092</v>
      </c>
      <c r="H1432" s="225"/>
      <c r="K1432" s="225"/>
      <c r="P1432" s="225"/>
    </row>
    <row r="1433" spans="1:16">
      <c r="A1433" s="226"/>
      <c r="B1433" s="131" t="s">
        <v>2576</v>
      </c>
      <c r="C1433" s="226">
        <v>99081</v>
      </c>
      <c r="H1433" s="225"/>
      <c r="K1433" s="225"/>
      <c r="P1433" s="225"/>
    </row>
    <row r="1434" spans="1:16">
      <c r="A1434" s="226"/>
      <c r="B1434" s="131" t="s">
        <v>2577</v>
      </c>
      <c r="C1434" s="226">
        <v>96071</v>
      </c>
      <c r="H1434" s="225"/>
      <c r="K1434" s="225"/>
      <c r="P1434" s="225"/>
    </row>
    <row r="1435" spans="1:16">
      <c r="A1435" s="226"/>
      <c r="B1435" s="131" t="s">
        <v>1092</v>
      </c>
      <c r="C1435" s="226">
        <v>94002</v>
      </c>
      <c r="H1435" s="225"/>
      <c r="K1435" s="225"/>
      <c r="P1435" s="225"/>
    </row>
    <row r="1436" spans="1:16">
      <c r="A1436" s="226"/>
      <c r="B1436" s="131" t="s">
        <v>2578</v>
      </c>
      <c r="C1436" s="226">
        <v>97840</v>
      </c>
      <c r="H1436" s="225"/>
      <c r="K1436" s="225"/>
      <c r="P1436" s="225"/>
    </row>
    <row r="1437" spans="1:16">
      <c r="A1437" s="226"/>
      <c r="B1437" s="131" t="s">
        <v>1421</v>
      </c>
      <c r="C1437" s="226">
        <v>97847</v>
      </c>
      <c r="H1437" s="225"/>
      <c r="K1437" s="225"/>
      <c r="P1437" s="225"/>
    </row>
    <row r="1438" spans="1:16">
      <c r="A1438" s="226"/>
      <c r="B1438" s="131" t="s">
        <v>2579</v>
      </c>
      <c r="C1438" s="226">
        <v>97921</v>
      </c>
      <c r="H1438" s="225"/>
      <c r="K1438" s="225"/>
      <c r="P1438" s="225"/>
    </row>
    <row r="1439" spans="1:16">
      <c r="A1439" s="226"/>
      <c r="B1439" s="131" t="s">
        <v>2580</v>
      </c>
      <c r="C1439" s="226">
        <v>95221</v>
      </c>
      <c r="H1439" s="225"/>
      <c r="K1439" s="225"/>
      <c r="P1439" s="225"/>
    </row>
    <row r="1440" spans="1:16">
      <c r="A1440" s="226"/>
      <c r="B1440" s="131" t="s">
        <v>2581</v>
      </c>
      <c r="C1440" s="226">
        <v>93610</v>
      </c>
      <c r="H1440" s="225"/>
      <c r="K1440" s="225"/>
      <c r="P1440" s="225"/>
    </row>
    <row r="1441" spans="1:16">
      <c r="A1441" s="226"/>
      <c r="B1441" s="131" t="s">
        <v>1244</v>
      </c>
      <c r="C1441" s="226">
        <v>95901</v>
      </c>
      <c r="H1441" s="225"/>
      <c r="K1441" s="225"/>
      <c r="P1441" s="225"/>
    </row>
    <row r="1442" spans="1:16">
      <c r="A1442" s="226"/>
      <c r="B1442" s="131" t="s">
        <v>1982</v>
      </c>
      <c r="C1442" s="226">
        <v>90114</v>
      </c>
      <c r="H1442" s="225"/>
      <c r="K1442" s="225"/>
      <c r="P1442" s="225"/>
    </row>
    <row r="1443" spans="1:16">
      <c r="A1443" s="226"/>
      <c r="B1443" s="131" t="s">
        <v>1249</v>
      </c>
      <c r="C1443" s="226">
        <v>96001</v>
      </c>
      <c r="H1443" s="225"/>
      <c r="K1443" s="225"/>
      <c r="P1443" s="225"/>
    </row>
    <row r="1444" spans="1:16">
      <c r="A1444" s="226"/>
      <c r="B1444" s="131" t="s">
        <v>1251</v>
      </c>
      <c r="C1444" s="226">
        <v>96004</v>
      </c>
      <c r="H1444" s="225"/>
      <c r="K1444" s="225"/>
      <c r="P1444" s="225"/>
    </row>
    <row r="1445" spans="1:16">
      <c r="A1445" s="226"/>
      <c r="B1445" s="131" t="s">
        <v>2795</v>
      </c>
      <c r="C1445" s="226">
        <v>96008</v>
      </c>
      <c r="H1445" s="225"/>
      <c r="K1445" s="225"/>
      <c r="P1445" s="225"/>
    </row>
    <row r="1446" spans="1:16">
      <c r="A1446" s="226"/>
      <c r="B1446" s="131" t="s">
        <v>829</v>
      </c>
      <c r="C1446" s="226">
        <v>91108</v>
      </c>
      <c r="H1446" s="225"/>
      <c r="K1446" s="225"/>
      <c r="P1446" s="225"/>
    </row>
    <row r="1447" spans="1:16">
      <c r="A1447" s="226"/>
      <c r="B1447" s="131" t="s">
        <v>1177</v>
      </c>
      <c r="C1447" s="226">
        <v>94941</v>
      </c>
      <c r="H1447" s="225"/>
      <c r="K1447" s="225"/>
      <c r="P1447" s="225"/>
    </row>
    <row r="1448" spans="1:16">
      <c r="A1448" s="226"/>
      <c r="B1448" s="131" t="s">
        <v>2582</v>
      </c>
      <c r="C1448" s="226">
        <v>95122</v>
      </c>
      <c r="H1448" s="225"/>
      <c r="K1448" s="225"/>
      <c r="P1448" s="225"/>
    </row>
    <row r="1449" spans="1:16">
      <c r="A1449" s="226"/>
      <c r="B1449" s="131" t="s">
        <v>967</v>
      </c>
      <c r="C1449" s="226">
        <v>92607</v>
      </c>
      <c r="H1449" s="225"/>
      <c r="K1449" s="225"/>
      <c r="P1449" s="225"/>
    </row>
    <row r="1450" spans="1:16">
      <c r="A1450" s="226"/>
      <c r="B1450" s="131" t="s">
        <v>2583</v>
      </c>
      <c r="C1450" s="226">
        <v>96431</v>
      </c>
      <c r="H1450" s="225"/>
      <c r="K1450" s="225"/>
      <c r="P1450" s="225"/>
    </row>
    <row r="1451" spans="1:16">
      <c r="A1451" s="226"/>
      <c r="B1451" s="131" t="s">
        <v>774</v>
      </c>
      <c r="C1451" s="226">
        <v>90709</v>
      </c>
      <c r="H1451" s="225"/>
      <c r="K1451" s="225"/>
      <c r="P1451" s="225"/>
    </row>
    <row r="1452" spans="1:16">
      <c r="A1452" s="226"/>
      <c r="B1452" s="131" t="s">
        <v>2584</v>
      </c>
      <c r="C1452" s="226">
        <v>91341</v>
      </c>
      <c r="H1452" s="225"/>
      <c r="K1452" s="225"/>
      <c r="P1452" s="225"/>
    </row>
    <row r="1453" spans="1:16">
      <c r="A1453" s="226"/>
      <c r="B1453" s="131" t="s">
        <v>2585</v>
      </c>
      <c r="C1453" s="226">
        <v>92941</v>
      </c>
      <c r="H1453" s="225"/>
      <c r="K1453" s="225"/>
      <c r="P1453" s="225"/>
    </row>
    <row r="1454" spans="1:16">
      <c r="A1454" s="226"/>
      <c r="B1454" s="131" t="s">
        <v>2586</v>
      </c>
      <c r="C1454" s="226">
        <v>94551</v>
      </c>
      <c r="H1454" s="225"/>
      <c r="K1454" s="225"/>
      <c r="P1454" s="225"/>
    </row>
    <row r="1455" spans="1:16">
      <c r="A1455" s="226"/>
      <c r="B1455" s="131" t="s">
        <v>2587</v>
      </c>
      <c r="C1455" s="226">
        <v>99022</v>
      </c>
      <c r="H1455" s="225"/>
      <c r="K1455" s="225"/>
      <c r="P1455" s="225"/>
    </row>
    <row r="1456" spans="1:16">
      <c r="A1456" s="226"/>
      <c r="B1456" s="131" t="s">
        <v>2588</v>
      </c>
      <c r="C1456" s="226">
        <v>96031</v>
      </c>
      <c r="H1456" s="225"/>
      <c r="K1456" s="225"/>
      <c r="P1456" s="225"/>
    </row>
    <row r="1457" spans="1:16">
      <c r="A1457" s="226"/>
      <c r="B1457" s="131" t="s">
        <v>2589</v>
      </c>
      <c r="C1457" s="226">
        <v>98414</v>
      </c>
      <c r="H1457" s="225"/>
      <c r="K1457" s="225"/>
      <c r="P1457" s="225"/>
    </row>
    <row r="1458" spans="1:16">
      <c r="A1458" s="226"/>
      <c r="B1458" s="131" t="s">
        <v>1265</v>
      </c>
      <c r="C1458" s="226">
        <v>96101</v>
      </c>
      <c r="H1458" s="225"/>
      <c r="K1458" s="225"/>
      <c r="P1458" s="225"/>
    </row>
    <row r="1459" spans="1:16">
      <c r="A1459" s="226"/>
      <c r="B1459" s="131" t="s">
        <v>2794</v>
      </c>
      <c r="C1459" s="226">
        <v>96102</v>
      </c>
      <c r="H1459" s="225"/>
      <c r="K1459" s="225"/>
      <c r="P1459" s="225"/>
    </row>
    <row r="1460" spans="1:16">
      <c r="A1460" s="226"/>
      <c r="B1460" s="131" t="s">
        <v>2590</v>
      </c>
      <c r="C1460" s="226">
        <v>93011</v>
      </c>
      <c r="H1460" s="225"/>
      <c r="K1460" s="225"/>
      <c r="P1460" s="225"/>
    </row>
    <row r="1461" spans="1:16">
      <c r="A1461" s="226"/>
      <c r="B1461" s="131" t="s">
        <v>1983</v>
      </c>
      <c r="C1461" s="226">
        <v>99011</v>
      </c>
      <c r="H1461" s="225"/>
      <c r="K1461" s="225"/>
      <c r="P1461" s="225"/>
    </row>
    <row r="1462" spans="1:16">
      <c r="A1462" s="226"/>
      <c r="B1462" s="131" t="s">
        <v>1522</v>
      </c>
      <c r="C1462" s="226">
        <v>99017</v>
      </c>
      <c r="H1462" s="225"/>
      <c r="K1462" s="225"/>
      <c r="P1462" s="225"/>
    </row>
    <row r="1463" spans="1:16">
      <c r="A1463" s="226"/>
      <c r="B1463" s="131" t="s">
        <v>1984</v>
      </c>
      <c r="C1463" s="226">
        <v>99013</v>
      </c>
      <c r="H1463" s="225"/>
      <c r="K1463" s="225"/>
      <c r="P1463" s="225"/>
    </row>
    <row r="1464" spans="1:16">
      <c r="A1464" s="226"/>
      <c r="B1464" s="131" t="s">
        <v>1269</v>
      </c>
      <c r="C1464" s="226">
        <v>96201</v>
      </c>
      <c r="H1464" s="225"/>
      <c r="K1464" s="225"/>
      <c r="P1464" s="225"/>
    </row>
    <row r="1465" spans="1:16">
      <c r="A1465" s="226"/>
      <c r="B1465" s="131" t="s">
        <v>1270</v>
      </c>
      <c r="C1465" s="226">
        <v>96204</v>
      </c>
      <c r="H1465" s="225"/>
      <c r="K1465" s="225"/>
      <c r="P1465" s="225"/>
    </row>
    <row r="1466" spans="1:16">
      <c r="A1466" s="226"/>
      <c r="B1466" s="131" t="s">
        <v>2591</v>
      </c>
      <c r="C1466" s="226">
        <v>91161</v>
      </c>
      <c r="H1466" s="225"/>
      <c r="K1466" s="225"/>
      <c r="P1466" s="225"/>
    </row>
    <row r="1467" spans="1:16">
      <c r="A1467" s="226"/>
      <c r="B1467" s="131" t="s">
        <v>1276</v>
      </c>
      <c r="C1467" s="226">
        <v>96301</v>
      </c>
      <c r="H1467" s="225"/>
      <c r="K1467" s="225"/>
      <c r="P1467" s="225"/>
    </row>
    <row r="1468" spans="1:16">
      <c r="A1468" s="226"/>
      <c r="B1468" s="131" t="s">
        <v>1278</v>
      </c>
      <c r="C1468" s="226">
        <v>96304</v>
      </c>
      <c r="H1468" s="225"/>
      <c r="K1468" s="225"/>
      <c r="P1468" s="225"/>
    </row>
    <row r="1469" spans="1:16">
      <c r="A1469" s="226"/>
      <c r="B1469" s="131" t="s">
        <v>1280</v>
      </c>
      <c r="C1469" s="226">
        <v>96310</v>
      </c>
      <c r="H1469" s="225"/>
      <c r="K1469" s="225"/>
      <c r="P1469" s="225"/>
    </row>
    <row r="1470" spans="1:16">
      <c r="A1470" s="226"/>
      <c r="B1470" s="131" t="s">
        <v>1279</v>
      </c>
      <c r="C1470" s="226">
        <v>96305</v>
      </c>
      <c r="H1470" s="225"/>
      <c r="K1470" s="225"/>
      <c r="P1470" s="225"/>
    </row>
    <row r="1471" spans="1:16">
      <c r="A1471" s="226"/>
      <c r="B1471" s="131" t="s">
        <v>1985</v>
      </c>
      <c r="C1471" s="226">
        <v>94921</v>
      </c>
      <c r="H1471" s="225"/>
      <c r="K1471" s="225"/>
      <c r="P1471" s="225"/>
    </row>
    <row r="1472" spans="1:16">
      <c r="A1472" s="226"/>
      <c r="B1472" s="131" t="s">
        <v>1175</v>
      </c>
      <c r="C1472" s="226">
        <v>94927</v>
      </c>
      <c r="H1472" s="225"/>
      <c r="K1472" s="225"/>
      <c r="P1472" s="225"/>
    </row>
    <row r="1473" spans="1:16">
      <c r="A1473" s="226"/>
      <c r="B1473" s="131" t="s">
        <v>1174</v>
      </c>
      <c r="C1473" s="226">
        <v>94923</v>
      </c>
      <c r="H1473" s="225"/>
      <c r="K1473" s="225"/>
      <c r="P1473" s="225"/>
    </row>
    <row r="1474" spans="1:16">
      <c r="A1474" s="226"/>
      <c r="B1474" s="131" t="s">
        <v>2592</v>
      </c>
      <c r="C1474" s="226">
        <v>91611</v>
      </c>
      <c r="H1474" s="225"/>
      <c r="K1474" s="225"/>
      <c r="P1474" s="225"/>
    </row>
    <row r="1475" spans="1:16">
      <c r="A1475" s="226"/>
      <c r="B1475" s="131" t="s">
        <v>1986</v>
      </c>
      <c r="C1475" s="226">
        <v>91231</v>
      </c>
      <c r="H1475" s="225"/>
      <c r="K1475" s="225"/>
      <c r="P1475" s="225"/>
    </row>
    <row r="1476" spans="1:16">
      <c r="A1476" s="226"/>
      <c r="B1476" s="131" t="s">
        <v>851</v>
      </c>
      <c r="C1476" s="226">
        <v>91217</v>
      </c>
      <c r="H1476" s="225"/>
      <c r="K1476" s="225"/>
      <c r="P1476" s="225"/>
    </row>
    <row r="1477" spans="1:16">
      <c r="A1477" s="226"/>
      <c r="B1477" s="131" t="s">
        <v>854</v>
      </c>
      <c r="C1477" s="226">
        <v>91233</v>
      </c>
      <c r="H1477" s="225"/>
      <c r="K1477" s="225"/>
      <c r="P1477" s="225"/>
    </row>
    <row r="1478" spans="1:16">
      <c r="A1478" s="226"/>
      <c r="B1478" s="131" t="s">
        <v>2593</v>
      </c>
      <c r="C1478" s="226">
        <v>99206</v>
      </c>
      <c r="H1478" s="225"/>
      <c r="K1478" s="225"/>
      <c r="P1478" s="225"/>
    </row>
    <row r="1479" spans="1:16">
      <c r="A1479" s="226"/>
      <c r="B1479" s="131" t="s">
        <v>2594</v>
      </c>
      <c r="C1479" s="226">
        <v>90461</v>
      </c>
      <c r="H1479" s="225"/>
      <c r="K1479" s="225"/>
      <c r="P1479" s="225"/>
    </row>
    <row r="1480" spans="1:16">
      <c r="A1480" s="226"/>
      <c r="B1480" s="131" t="s">
        <v>1987</v>
      </c>
      <c r="C1480" s="226">
        <v>98631</v>
      </c>
      <c r="H1480" s="225"/>
      <c r="K1480" s="225"/>
      <c r="P1480" s="225"/>
    </row>
    <row r="1481" spans="1:16">
      <c r="A1481" s="226"/>
      <c r="B1481" s="131" t="s">
        <v>1507</v>
      </c>
      <c r="C1481" s="226">
        <v>98637</v>
      </c>
      <c r="H1481" s="225"/>
      <c r="K1481" s="225"/>
      <c r="P1481" s="225"/>
    </row>
    <row r="1482" spans="1:16">
      <c r="A1482" s="226"/>
      <c r="B1482" s="131" t="s">
        <v>2595</v>
      </c>
      <c r="C1482" s="226">
        <v>96251</v>
      </c>
      <c r="H1482" s="225"/>
      <c r="K1482" s="225"/>
      <c r="P1482" s="225"/>
    </row>
    <row r="1483" spans="1:16">
      <c r="A1483" s="226"/>
      <c r="B1483" s="131" t="s">
        <v>1988</v>
      </c>
      <c r="C1483" s="226">
        <v>93691</v>
      </c>
      <c r="H1483" s="225"/>
      <c r="K1483" s="225"/>
      <c r="P1483" s="225"/>
    </row>
    <row r="1484" spans="1:16">
      <c r="A1484" s="226"/>
      <c r="B1484" s="131" t="s">
        <v>2596</v>
      </c>
      <c r="C1484" s="226">
        <v>99621</v>
      </c>
      <c r="H1484" s="225"/>
      <c r="K1484" s="225"/>
      <c r="P1484" s="225"/>
    </row>
    <row r="1485" spans="1:16">
      <c r="A1485" s="226"/>
      <c r="B1485" s="131" t="s">
        <v>3498</v>
      </c>
      <c r="C1485" s="226">
        <v>99623</v>
      </c>
      <c r="H1485" s="225"/>
      <c r="K1485" s="225"/>
      <c r="P1485" s="225"/>
    </row>
    <row r="1486" spans="1:16">
      <c r="A1486" s="226"/>
      <c r="B1486" s="131" t="s">
        <v>2597</v>
      </c>
      <c r="C1486" s="226">
        <v>91321</v>
      </c>
      <c r="H1486" s="225"/>
      <c r="K1486" s="225"/>
      <c r="P1486" s="225"/>
    </row>
    <row r="1487" spans="1:16">
      <c r="A1487" s="226"/>
      <c r="B1487" s="131" t="s">
        <v>3499</v>
      </c>
      <c r="C1487" s="226">
        <v>91327</v>
      </c>
      <c r="H1487" s="225"/>
      <c r="K1487" s="225"/>
      <c r="P1487" s="225"/>
    </row>
    <row r="1488" spans="1:16">
      <c r="A1488" s="226"/>
      <c r="B1488" s="131" t="s">
        <v>2598</v>
      </c>
      <c r="C1488" s="226">
        <v>94621</v>
      </c>
      <c r="H1488" s="225"/>
      <c r="K1488" s="225"/>
      <c r="P1488" s="225"/>
    </row>
    <row r="1489" spans="1:16">
      <c r="A1489" s="226"/>
      <c r="B1489" s="131" t="s">
        <v>2599</v>
      </c>
      <c r="C1489" s="226">
        <v>92011</v>
      </c>
      <c r="H1489" s="225"/>
      <c r="K1489" s="225"/>
      <c r="P1489" s="225"/>
    </row>
    <row r="1490" spans="1:16">
      <c r="A1490" s="226"/>
      <c r="B1490" s="131" t="s">
        <v>921</v>
      </c>
      <c r="C1490" s="226">
        <v>92017</v>
      </c>
      <c r="H1490" s="225"/>
      <c r="K1490" s="225"/>
      <c r="P1490" s="225"/>
    </row>
    <row r="1491" spans="1:16">
      <c r="A1491" s="226"/>
      <c r="B1491" s="131" t="s">
        <v>1612</v>
      </c>
      <c r="C1491" s="51">
        <v>99991</v>
      </c>
      <c r="H1491" s="225"/>
      <c r="K1491" s="225"/>
      <c r="P1491" s="225"/>
    </row>
    <row r="1492" spans="1:16">
      <c r="A1492" s="226"/>
      <c r="B1492" s="131" t="s">
        <v>1613</v>
      </c>
      <c r="C1492" s="51">
        <v>99999</v>
      </c>
      <c r="H1492" s="225"/>
      <c r="K1492" s="225"/>
      <c r="P1492" s="225"/>
    </row>
    <row r="1493" spans="1:16">
      <c r="A1493" s="226"/>
      <c r="B1493" s="131" t="s">
        <v>2603</v>
      </c>
      <c r="C1493" s="226">
        <v>92811</v>
      </c>
      <c r="H1493" s="225"/>
      <c r="K1493" s="225"/>
      <c r="P1493" s="225"/>
    </row>
    <row r="1494" spans="1:16">
      <c r="A1494" s="226"/>
      <c r="B1494" s="131" t="s">
        <v>919</v>
      </c>
      <c r="C1494" s="226">
        <v>92005</v>
      </c>
      <c r="H1494" s="225"/>
      <c r="K1494" s="225"/>
      <c r="P1494" s="225"/>
    </row>
    <row r="1495" spans="1:16">
      <c r="A1495" s="226"/>
      <c r="B1495" s="131" t="s">
        <v>1292</v>
      </c>
      <c r="C1495" s="226">
        <v>96401</v>
      </c>
      <c r="H1495" s="225"/>
      <c r="K1495" s="225"/>
      <c r="P1495" s="225"/>
    </row>
    <row r="1496" spans="1:16">
      <c r="A1496" s="226"/>
      <c r="B1496" s="131" t="s">
        <v>1293</v>
      </c>
      <c r="C1496" s="226">
        <v>96404</v>
      </c>
      <c r="H1496" s="225"/>
      <c r="K1496" s="225"/>
      <c r="P1496" s="225"/>
    </row>
    <row r="1497" spans="1:16">
      <c r="A1497" s="226"/>
      <c r="B1497" s="131" t="s">
        <v>2604</v>
      </c>
      <c r="C1497" s="226">
        <v>96421</v>
      </c>
      <c r="H1497" s="225"/>
      <c r="K1497" s="225"/>
      <c r="P1497" s="225"/>
    </row>
    <row r="1498" spans="1:16">
      <c r="A1498" s="226"/>
      <c r="B1498" s="131" t="s">
        <v>2605</v>
      </c>
      <c r="C1498" s="226">
        <v>91026</v>
      </c>
      <c r="H1498" s="225"/>
      <c r="K1498" s="225"/>
      <c r="P1498" s="225"/>
    </row>
    <row r="1499" spans="1:16">
      <c r="A1499" s="226"/>
      <c r="B1499" s="131" t="s">
        <v>1214</v>
      </c>
      <c r="C1499" s="226">
        <v>95405</v>
      </c>
      <c r="H1499" s="225"/>
      <c r="K1499" s="225"/>
      <c r="P1499" s="225"/>
    </row>
    <row r="1500" spans="1:16">
      <c r="A1500" s="226"/>
      <c r="B1500" s="131" t="s">
        <v>1094</v>
      </c>
      <c r="C1500" s="226">
        <v>94005</v>
      </c>
      <c r="H1500" s="225"/>
      <c r="K1500" s="225"/>
      <c r="P1500" s="225"/>
    </row>
    <row r="1501" spans="1:16">
      <c r="A1501" s="226"/>
      <c r="B1501" s="131" t="s">
        <v>1205</v>
      </c>
      <c r="C1501" s="226">
        <v>95205</v>
      </c>
      <c r="H1501" s="225"/>
      <c r="K1501" s="225"/>
      <c r="P1501" s="225"/>
    </row>
    <row r="1502" spans="1:16">
      <c r="A1502" s="226"/>
      <c r="B1502" s="131" t="s">
        <v>954</v>
      </c>
      <c r="C1502" s="226">
        <v>92507</v>
      </c>
      <c r="H1502" s="225"/>
      <c r="K1502" s="225"/>
      <c r="P1502" s="225"/>
    </row>
    <row r="1503" spans="1:16">
      <c r="A1503" s="226"/>
      <c r="B1503" s="131" t="s">
        <v>1989</v>
      </c>
      <c r="C1503" s="226">
        <v>92511</v>
      </c>
      <c r="H1503" s="225"/>
      <c r="K1503" s="225"/>
      <c r="P1503" s="225"/>
    </row>
    <row r="1504" spans="1:16">
      <c r="A1504" s="226"/>
      <c r="B1504" s="131" t="s">
        <v>2768</v>
      </c>
      <c r="C1504" s="226">
        <v>92113</v>
      </c>
      <c r="H1504" s="225"/>
      <c r="K1504" s="225"/>
      <c r="P1504" s="225"/>
    </row>
    <row r="1505" spans="1:16">
      <c r="A1505" s="226"/>
      <c r="B1505" s="131" t="s">
        <v>2759</v>
      </c>
      <c r="C1505" s="226">
        <v>96502</v>
      </c>
      <c r="H1505" s="225"/>
      <c r="K1505" s="225"/>
      <c r="P1505" s="225"/>
    </row>
    <row r="1506" spans="1:16">
      <c r="A1506" s="226"/>
      <c r="B1506" s="131" t="s">
        <v>1301</v>
      </c>
      <c r="C1506" s="226">
        <v>96501</v>
      </c>
      <c r="H1506" s="225"/>
      <c r="K1506" s="225"/>
      <c r="P1506" s="225"/>
    </row>
    <row r="1507" spans="1:16">
      <c r="A1507" s="226"/>
      <c r="B1507" s="131" t="s">
        <v>1304</v>
      </c>
      <c r="C1507" s="226">
        <v>96504</v>
      </c>
      <c r="H1507" s="225"/>
      <c r="K1507" s="225"/>
      <c r="P1507" s="225"/>
    </row>
    <row r="1508" spans="1:16">
      <c r="A1508" s="226"/>
      <c r="B1508" s="254" t="s">
        <v>2606</v>
      </c>
      <c r="C1508" s="226">
        <v>98471</v>
      </c>
      <c r="H1508" s="225"/>
      <c r="K1508" s="225"/>
      <c r="P1508" s="225"/>
    </row>
    <row r="1509" spans="1:16">
      <c r="A1509" s="226"/>
      <c r="B1509" s="131" t="s">
        <v>2769</v>
      </c>
      <c r="C1509" s="226">
        <v>97913</v>
      </c>
      <c r="H1509" s="225"/>
      <c r="K1509" s="225"/>
      <c r="P1509" s="225"/>
    </row>
    <row r="1510" spans="1:16">
      <c r="A1510" s="226"/>
      <c r="B1510" s="131" t="s">
        <v>2607</v>
      </c>
      <c r="C1510" s="226">
        <v>90621</v>
      </c>
      <c r="H1510" s="225"/>
      <c r="K1510" s="225"/>
      <c r="P1510" s="225"/>
    </row>
    <row r="1511" spans="1:16">
      <c r="A1511" s="226"/>
      <c r="B1511" s="131" t="s">
        <v>2608</v>
      </c>
      <c r="C1511" s="226">
        <v>91621</v>
      </c>
      <c r="H1511" s="225"/>
      <c r="K1511" s="225"/>
      <c r="P1511" s="225"/>
    </row>
    <row r="1512" spans="1:16">
      <c r="A1512" s="226"/>
      <c r="B1512" s="131" t="s">
        <v>1990</v>
      </c>
      <c r="C1512" s="226">
        <v>91871</v>
      </c>
      <c r="H1512" s="225"/>
      <c r="K1512" s="225"/>
      <c r="P1512" s="225"/>
    </row>
    <row r="1513" spans="1:16">
      <c r="A1513" s="226"/>
      <c r="B1513" s="131" t="s">
        <v>2609</v>
      </c>
      <c r="C1513" s="226">
        <v>98231</v>
      </c>
      <c r="H1513" s="225"/>
      <c r="K1513" s="225"/>
      <c r="P1513" s="225"/>
    </row>
    <row r="1514" spans="1:16">
      <c r="A1514" s="226"/>
      <c r="B1514" s="131" t="s">
        <v>2610</v>
      </c>
      <c r="C1514" s="226">
        <v>99311</v>
      </c>
      <c r="H1514" s="225"/>
      <c r="K1514" s="225"/>
      <c r="P1514" s="225"/>
    </row>
    <row r="1515" spans="1:16">
      <c r="A1515" s="226"/>
      <c r="B1515" s="131" t="s">
        <v>2600</v>
      </c>
      <c r="C1515" s="226">
        <v>96751</v>
      </c>
      <c r="H1515" s="225"/>
      <c r="K1515" s="225"/>
      <c r="P1515" s="225"/>
    </row>
    <row r="1516" spans="1:16">
      <c r="A1516" s="226"/>
      <c r="B1516" s="131" t="s">
        <v>2601</v>
      </c>
      <c r="C1516" s="226">
        <v>99711</v>
      </c>
      <c r="H1516" s="225"/>
      <c r="K1516" s="225"/>
      <c r="P1516" s="225"/>
    </row>
    <row r="1517" spans="1:16">
      <c r="A1517" s="226"/>
      <c r="B1517" s="131" t="s">
        <v>2602</v>
      </c>
      <c r="C1517" s="226">
        <v>99717</v>
      </c>
      <c r="H1517" s="225"/>
      <c r="K1517" s="225"/>
      <c r="P1517" s="225"/>
    </row>
    <row r="1518" spans="1:16">
      <c r="A1518" s="226"/>
      <c r="B1518" s="131" t="s">
        <v>1312</v>
      </c>
      <c r="C1518" s="226">
        <v>96601</v>
      </c>
      <c r="H1518" s="225"/>
      <c r="K1518" s="225"/>
      <c r="P1518" s="225"/>
    </row>
    <row r="1519" spans="1:16">
      <c r="A1519" s="226"/>
      <c r="B1519" s="131" t="s">
        <v>1313</v>
      </c>
      <c r="C1519" s="226">
        <v>96604</v>
      </c>
      <c r="H1519" s="225"/>
      <c r="K1519" s="225"/>
      <c r="P1519" s="225"/>
    </row>
    <row r="1520" spans="1:16">
      <c r="A1520" s="226"/>
      <c r="B1520" s="131" t="s">
        <v>1991</v>
      </c>
      <c r="C1520" s="226">
        <v>91012</v>
      </c>
      <c r="H1520" s="225"/>
      <c r="K1520" s="225"/>
      <c r="P1520" s="225"/>
    </row>
    <row r="1521" spans="1:16">
      <c r="A1521" s="226"/>
      <c r="B1521" s="131" t="s">
        <v>749</v>
      </c>
      <c r="C1521" s="226">
        <v>90305</v>
      </c>
      <c r="H1521" s="225"/>
      <c r="K1521" s="225"/>
      <c r="P1521" s="225"/>
    </row>
    <row r="1522" spans="1:16">
      <c r="A1522" s="226"/>
      <c r="B1522" s="131" t="s">
        <v>2611</v>
      </c>
      <c r="C1522" s="226">
        <v>98421</v>
      </c>
      <c r="H1522" s="225"/>
      <c r="K1522" s="225"/>
      <c r="P1522" s="225"/>
    </row>
    <row r="1523" spans="1:16">
      <c r="A1523" s="226"/>
      <c r="B1523" s="131" t="s">
        <v>2793</v>
      </c>
      <c r="C1523" s="226">
        <v>98427</v>
      </c>
      <c r="H1523" s="225"/>
      <c r="K1523" s="225"/>
      <c r="P1523" s="225"/>
    </row>
    <row r="1524" spans="1:16">
      <c r="A1524" s="226"/>
      <c r="B1524" s="131" t="s">
        <v>2612</v>
      </c>
      <c r="C1524" s="226">
        <v>95821</v>
      </c>
      <c r="H1524" s="225"/>
      <c r="K1524" s="225"/>
      <c r="P1524" s="225"/>
    </row>
    <row r="1525" spans="1:16">
      <c r="A1525" s="226"/>
      <c r="B1525" s="131" t="s">
        <v>2613</v>
      </c>
      <c r="C1525" s="226">
        <v>91021</v>
      </c>
      <c r="H1525" s="225"/>
      <c r="K1525" s="225"/>
      <c r="P1525" s="225"/>
    </row>
    <row r="1526" spans="1:16">
      <c r="A1526" s="226"/>
      <c r="B1526" s="131" t="s">
        <v>2792</v>
      </c>
      <c r="C1526" s="226">
        <v>91027</v>
      </c>
      <c r="H1526" s="225"/>
      <c r="K1526" s="225"/>
      <c r="P1526" s="225"/>
    </row>
    <row r="1527" spans="1:16">
      <c r="A1527" s="226"/>
      <c r="B1527" s="131" t="s">
        <v>2614</v>
      </c>
      <c r="C1527" s="226">
        <v>94161</v>
      </c>
      <c r="H1527" s="225"/>
      <c r="K1527" s="225"/>
      <c r="P1527" s="225"/>
    </row>
    <row r="1528" spans="1:16">
      <c r="A1528" s="226"/>
      <c r="B1528" s="131" t="s">
        <v>2615</v>
      </c>
      <c r="C1528" s="226">
        <v>98441</v>
      </c>
      <c r="H1528" s="225"/>
      <c r="K1528" s="225"/>
      <c r="P1528" s="225"/>
    </row>
    <row r="1529" spans="1:16">
      <c r="A1529" s="226"/>
      <c r="B1529" s="131" t="s">
        <v>2616</v>
      </c>
      <c r="C1529" s="226">
        <v>91061</v>
      </c>
      <c r="H1529" s="225"/>
      <c r="K1529" s="225"/>
      <c r="P1529" s="225"/>
    </row>
    <row r="1530" spans="1:16">
      <c r="A1530" s="226"/>
      <c r="B1530" s="131" t="s">
        <v>820</v>
      </c>
      <c r="C1530" s="226">
        <v>91067</v>
      </c>
      <c r="H1530" s="225"/>
      <c r="K1530" s="225"/>
      <c r="P1530" s="225"/>
    </row>
    <row r="1531" spans="1:16">
      <c r="A1531" s="226"/>
      <c r="B1531" s="131" t="s">
        <v>2791</v>
      </c>
      <c r="C1531" s="226">
        <v>94812</v>
      </c>
      <c r="H1531" s="225"/>
      <c r="K1531" s="225"/>
      <c r="P1531" s="225"/>
    </row>
    <row r="1532" spans="1:16">
      <c r="A1532" s="226"/>
      <c r="B1532" s="131" t="s">
        <v>2617</v>
      </c>
      <c r="C1532" s="226">
        <v>95921</v>
      </c>
      <c r="H1532" s="225"/>
      <c r="K1532" s="225"/>
      <c r="P1532" s="225"/>
    </row>
    <row r="1533" spans="1:16">
      <c r="A1533" s="226"/>
      <c r="B1533" s="131" t="s">
        <v>1323</v>
      </c>
      <c r="C1533" s="226">
        <v>96701</v>
      </c>
      <c r="H1533" s="225"/>
      <c r="K1533" s="225"/>
      <c r="P1533" s="225"/>
    </row>
    <row r="1534" spans="1:16">
      <c r="A1534" s="226"/>
      <c r="B1534" s="131" t="s">
        <v>1324</v>
      </c>
      <c r="C1534" s="226">
        <v>96704</v>
      </c>
      <c r="H1534" s="225"/>
      <c r="K1534" s="225"/>
      <c r="P1534" s="225"/>
    </row>
    <row r="1535" spans="1:16">
      <c r="A1535" s="226"/>
      <c r="B1535" s="131" t="s">
        <v>1325</v>
      </c>
      <c r="C1535" s="226">
        <v>96708</v>
      </c>
      <c r="H1535" s="225"/>
      <c r="K1535" s="225"/>
      <c r="P1535" s="225"/>
    </row>
    <row r="1536" spans="1:16">
      <c r="A1536" s="226"/>
      <c r="B1536" s="131" t="s">
        <v>1332</v>
      </c>
      <c r="C1536" s="226">
        <v>96801</v>
      </c>
      <c r="H1536" s="225"/>
      <c r="K1536" s="225"/>
      <c r="P1536" s="225"/>
    </row>
    <row r="1537" spans="1:16">
      <c r="A1537" s="226"/>
      <c r="B1537" s="131" t="s">
        <v>1333</v>
      </c>
      <c r="C1537" s="226">
        <v>96804</v>
      </c>
      <c r="H1537" s="225"/>
      <c r="K1537" s="225"/>
      <c r="P1537" s="225"/>
    </row>
    <row r="1538" spans="1:16">
      <c r="A1538" s="226"/>
      <c r="B1538" s="131" t="s">
        <v>1334</v>
      </c>
      <c r="C1538" s="226">
        <v>96808</v>
      </c>
      <c r="H1538" s="225"/>
      <c r="K1538" s="225"/>
      <c r="P1538" s="225"/>
    </row>
    <row r="1539" spans="1:16">
      <c r="A1539" s="226"/>
      <c r="B1539" s="131" t="s">
        <v>2618</v>
      </c>
      <c r="C1539" s="226">
        <v>96912</v>
      </c>
      <c r="H1539" s="225"/>
      <c r="K1539" s="225"/>
      <c r="P1539" s="225"/>
    </row>
    <row r="1540" spans="1:16">
      <c r="A1540" s="226"/>
      <c r="B1540" s="131" t="s">
        <v>1992</v>
      </c>
      <c r="C1540" s="226">
        <v>93911</v>
      </c>
      <c r="H1540" s="225"/>
      <c r="K1540" s="225"/>
      <c r="P1540" s="225"/>
    </row>
    <row r="1541" spans="1:16">
      <c r="A1541" s="226"/>
      <c r="B1541" s="131" t="s">
        <v>1087</v>
      </c>
      <c r="C1541" s="226">
        <v>93913</v>
      </c>
      <c r="H1541" s="225"/>
      <c r="K1541" s="225"/>
      <c r="P1541" s="225"/>
    </row>
    <row r="1542" spans="1:16">
      <c r="A1542" s="226"/>
      <c r="B1542" s="131" t="s">
        <v>1338</v>
      </c>
      <c r="C1542" s="226">
        <v>96901</v>
      </c>
      <c r="H1542" s="225"/>
      <c r="K1542" s="225"/>
      <c r="P1542" s="225"/>
    </row>
    <row r="1543" spans="1:16">
      <c r="A1543" s="226"/>
      <c r="B1543" s="131" t="s">
        <v>2619</v>
      </c>
      <c r="C1543" s="226">
        <v>97841</v>
      </c>
      <c r="H1543" s="225"/>
      <c r="K1543" s="225"/>
      <c r="P1543" s="225"/>
    </row>
    <row r="1544" spans="1:16">
      <c r="A1544" s="226"/>
      <c r="B1544" s="131" t="s">
        <v>1018</v>
      </c>
      <c r="C1544" s="226">
        <v>93202</v>
      </c>
      <c r="H1544" s="225"/>
      <c r="K1544" s="225"/>
      <c r="P1544" s="225"/>
    </row>
    <row r="1545" spans="1:16">
      <c r="A1545" s="226"/>
      <c r="B1545" s="131" t="s">
        <v>1060</v>
      </c>
      <c r="C1545" s="226">
        <v>93609</v>
      </c>
      <c r="H1545" s="225"/>
      <c r="K1545" s="225"/>
      <c r="P1545" s="225"/>
    </row>
    <row r="1546" spans="1:16">
      <c r="A1546" s="226"/>
      <c r="B1546" s="131" t="s">
        <v>1344</v>
      </c>
      <c r="C1546" s="226">
        <v>97004</v>
      </c>
      <c r="H1546" s="225"/>
      <c r="K1546" s="225"/>
      <c r="P1546" s="225"/>
    </row>
    <row r="1547" spans="1:16">
      <c r="A1547" s="226"/>
      <c r="B1547" s="131" t="s">
        <v>1342</v>
      </c>
      <c r="C1547" s="226">
        <v>97001</v>
      </c>
      <c r="H1547" s="225"/>
      <c r="K1547" s="225"/>
      <c r="P1547" s="225"/>
    </row>
    <row r="1548" spans="1:16">
      <c r="A1548" s="226"/>
      <c r="B1548" s="131" t="s">
        <v>1343</v>
      </c>
      <c r="C1548" s="226">
        <v>97002</v>
      </c>
      <c r="H1548" s="225"/>
      <c r="K1548" s="225"/>
      <c r="P1548" s="225"/>
    </row>
    <row r="1549" spans="1:16">
      <c r="A1549" s="226"/>
      <c r="B1549" s="131" t="s">
        <v>1351</v>
      </c>
      <c r="C1549" s="226">
        <v>97015</v>
      </c>
      <c r="H1549" s="225"/>
      <c r="K1549" s="225"/>
      <c r="P1549" s="225"/>
    </row>
    <row r="1550" spans="1:16">
      <c r="A1550" s="226"/>
      <c r="B1550" s="131" t="s">
        <v>2620</v>
      </c>
      <c r="C1550" s="226">
        <v>90441</v>
      </c>
      <c r="H1550" s="225"/>
      <c r="K1550" s="225"/>
      <c r="P1550" s="225"/>
    </row>
    <row r="1551" spans="1:16">
      <c r="A1551" s="226"/>
      <c r="B1551" s="131" t="s">
        <v>2621</v>
      </c>
      <c r="C1551" s="226">
        <v>97851</v>
      </c>
      <c r="H1551" s="225"/>
      <c r="K1551" s="225"/>
      <c r="P1551" s="225"/>
    </row>
    <row r="1552" spans="1:16">
      <c r="A1552" s="226"/>
      <c r="B1552" s="131" t="s">
        <v>1423</v>
      </c>
      <c r="C1552" s="226">
        <v>97853</v>
      </c>
      <c r="H1552" s="225"/>
      <c r="K1552" s="225"/>
      <c r="P1552" s="225"/>
    </row>
    <row r="1553" spans="1:16">
      <c r="A1553" s="226"/>
      <c r="B1553" s="131" t="s">
        <v>1353</v>
      </c>
      <c r="C1553" s="226">
        <v>97101</v>
      </c>
      <c r="H1553" s="225"/>
      <c r="K1553" s="225"/>
      <c r="P1553" s="225"/>
    </row>
    <row r="1554" spans="1:16">
      <c r="A1554" s="226"/>
      <c r="B1554" s="131" t="s">
        <v>1354</v>
      </c>
      <c r="C1554" s="226">
        <v>97104</v>
      </c>
      <c r="H1554" s="225"/>
      <c r="K1554" s="225"/>
      <c r="P1554" s="225"/>
    </row>
    <row r="1555" spans="1:16">
      <c r="A1555" s="226"/>
      <c r="B1555" s="131" t="s">
        <v>1358</v>
      </c>
      <c r="C1555" s="226">
        <v>97201</v>
      </c>
      <c r="H1555" s="225"/>
      <c r="K1555" s="225"/>
      <c r="P1555" s="225"/>
    </row>
    <row r="1556" spans="1:16">
      <c r="A1556" s="226"/>
      <c r="B1556" s="131" t="s">
        <v>2790</v>
      </c>
      <c r="C1556" s="226">
        <v>97304</v>
      </c>
      <c r="H1556" s="225"/>
      <c r="K1556" s="225"/>
      <c r="P1556" s="225"/>
    </row>
    <row r="1557" spans="1:16">
      <c r="A1557" s="226"/>
      <c r="B1557" s="131" t="s">
        <v>1363</v>
      </c>
      <c r="C1557" s="226">
        <v>97301</v>
      </c>
      <c r="H1557" s="225"/>
      <c r="K1557" s="225"/>
      <c r="P1557" s="225"/>
    </row>
    <row r="1558" spans="1:16">
      <c r="A1558" s="226"/>
      <c r="B1558" s="131" t="s">
        <v>1565</v>
      </c>
      <c r="C1558" s="226">
        <v>99405</v>
      </c>
      <c r="H1558" s="225"/>
      <c r="K1558" s="225"/>
      <c r="P1558" s="225"/>
    </row>
    <row r="1559" spans="1:16">
      <c r="A1559" s="226"/>
      <c r="B1559" s="131" t="s">
        <v>724</v>
      </c>
      <c r="C1559" s="219">
        <v>72265</v>
      </c>
      <c r="H1559" s="225"/>
      <c r="K1559" s="225"/>
      <c r="P1559" s="225"/>
    </row>
    <row r="1560" spans="1:16">
      <c r="A1560" s="226"/>
      <c r="B1560" s="131" t="s">
        <v>2756</v>
      </c>
      <c r="C1560" s="226">
        <v>94112</v>
      </c>
      <c r="H1560" s="225"/>
      <c r="K1560" s="225"/>
      <c r="P1560" s="225"/>
    </row>
    <row r="1561" spans="1:16">
      <c r="A1561" s="226"/>
      <c r="B1561" s="131" t="s">
        <v>1038</v>
      </c>
      <c r="C1561" s="226">
        <v>93406</v>
      </c>
      <c r="H1561" s="225"/>
      <c r="K1561" s="225"/>
      <c r="P1561" s="225"/>
    </row>
    <row r="1562" spans="1:16">
      <c r="A1562" s="226"/>
      <c r="B1562" s="131" t="s">
        <v>2622</v>
      </c>
      <c r="C1562" s="226">
        <v>99651</v>
      </c>
      <c r="H1562" s="225"/>
      <c r="K1562" s="225"/>
      <c r="P1562" s="225"/>
    </row>
    <row r="1563" spans="1:16">
      <c r="A1563" s="226"/>
      <c r="B1563" s="131" t="s">
        <v>2623</v>
      </c>
      <c r="C1563" s="226">
        <v>98611</v>
      </c>
      <c r="H1563" s="225"/>
      <c r="K1563" s="225"/>
      <c r="P1563" s="225"/>
    </row>
    <row r="1564" spans="1:16">
      <c r="A1564" s="226"/>
      <c r="B1564" s="131" t="s">
        <v>1501</v>
      </c>
      <c r="C1564" s="226">
        <v>98607</v>
      </c>
      <c r="H1564" s="225"/>
      <c r="K1564" s="225"/>
      <c r="P1564" s="225"/>
    </row>
    <row r="1565" spans="1:16">
      <c r="A1565" s="226"/>
      <c r="B1565" s="131" t="s">
        <v>2624</v>
      </c>
      <c r="C1565" s="226">
        <v>91641</v>
      </c>
      <c r="H1565" s="225"/>
      <c r="K1565" s="225"/>
      <c r="P1565" s="225"/>
    </row>
    <row r="1566" spans="1:16">
      <c r="A1566" s="226"/>
      <c r="B1566" s="131" t="s">
        <v>2625</v>
      </c>
      <c r="C1566" s="226">
        <v>95161</v>
      </c>
      <c r="H1566" s="225"/>
      <c r="K1566" s="225"/>
      <c r="P1566" s="225"/>
    </row>
    <row r="1567" spans="1:16">
      <c r="A1567" s="226"/>
      <c r="B1567" s="131" t="s">
        <v>2626</v>
      </c>
      <c r="C1567" s="226">
        <v>96361</v>
      </c>
      <c r="H1567" s="225"/>
      <c r="K1567" s="225"/>
      <c r="P1567" s="225"/>
    </row>
    <row r="1568" spans="1:16">
      <c r="A1568" s="226"/>
      <c r="B1568" s="131" t="s">
        <v>1100</v>
      </c>
      <c r="C1568" s="226">
        <v>94108</v>
      </c>
      <c r="H1568" s="225"/>
      <c r="K1568" s="225"/>
      <c r="P1568" s="225"/>
    </row>
    <row r="1569" spans="1:16">
      <c r="A1569" s="226"/>
      <c r="B1569" s="131" t="s">
        <v>2627</v>
      </c>
      <c r="C1569" s="226">
        <v>96351</v>
      </c>
      <c r="H1569" s="225"/>
      <c r="K1569" s="225"/>
      <c r="P1569" s="225"/>
    </row>
    <row r="1570" spans="1:16">
      <c r="A1570" s="226"/>
      <c r="B1570" s="131" t="s">
        <v>2628</v>
      </c>
      <c r="C1570" s="226">
        <v>93331</v>
      </c>
      <c r="H1570" s="225"/>
      <c r="K1570" s="225"/>
      <c r="P1570" s="225"/>
    </row>
    <row r="1571" spans="1:16">
      <c r="A1571" s="226"/>
      <c r="B1571" s="131" t="s">
        <v>2629</v>
      </c>
      <c r="C1571" s="226">
        <v>96021</v>
      </c>
      <c r="H1571" s="225"/>
      <c r="K1571" s="225"/>
      <c r="P1571" s="225"/>
    </row>
    <row r="1572" spans="1:16">
      <c r="A1572" s="226"/>
      <c r="B1572" s="131" t="s">
        <v>2630</v>
      </c>
      <c r="C1572" s="226">
        <v>95421</v>
      </c>
      <c r="H1572" s="225"/>
      <c r="K1572" s="225"/>
      <c r="P1572" s="225"/>
    </row>
    <row r="1573" spans="1:16">
      <c r="A1573" s="226"/>
      <c r="B1573" s="131" t="s">
        <v>1366</v>
      </c>
      <c r="C1573" s="226">
        <v>97401</v>
      </c>
      <c r="H1573" s="225"/>
      <c r="K1573" s="225"/>
      <c r="P1573" s="225"/>
    </row>
    <row r="1574" spans="1:16">
      <c r="A1574" s="226"/>
      <c r="B1574" s="131" t="s">
        <v>1368</v>
      </c>
      <c r="C1574" s="226">
        <v>97404</v>
      </c>
      <c r="H1574" s="225"/>
      <c r="K1574" s="225"/>
      <c r="P1574" s="225"/>
    </row>
    <row r="1575" spans="1:16">
      <c r="A1575" s="226"/>
      <c r="B1575" s="131" t="s">
        <v>2789</v>
      </c>
      <c r="C1575" s="226">
        <v>97402</v>
      </c>
      <c r="H1575" s="225"/>
      <c r="K1575" s="225"/>
      <c r="P1575" s="225"/>
    </row>
    <row r="1576" spans="1:16">
      <c r="A1576" s="226"/>
      <c r="B1576" s="131" t="s">
        <v>2631</v>
      </c>
      <c r="C1576" s="226">
        <v>91921</v>
      </c>
      <c r="H1576" s="225"/>
      <c r="K1576" s="225"/>
      <c r="P1576" s="225"/>
    </row>
    <row r="1577" spans="1:16">
      <c r="A1577" s="226"/>
      <c r="B1577" s="131" t="s">
        <v>1245</v>
      </c>
      <c r="C1577" s="226">
        <v>95908</v>
      </c>
      <c r="H1577" s="225"/>
      <c r="K1577" s="225"/>
      <c r="P1577" s="225"/>
    </row>
    <row r="1578" spans="1:16">
      <c r="A1578" s="226"/>
      <c r="B1578" s="131" t="s">
        <v>2632</v>
      </c>
      <c r="C1578" s="226">
        <v>99411</v>
      </c>
      <c r="H1578" s="225"/>
      <c r="K1578" s="225"/>
      <c r="P1578" s="225"/>
    </row>
    <row r="1579" spans="1:16">
      <c r="A1579" s="226"/>
      <c r="B1579" s="131" t="s">
        <v>1567</v>
      </c>
      <c r="C1579" s="226">
        <v>99413</v>
      </c>
      <c r="H1579" s="225"/>
      <c r="K1579" s="225"/>
      <c r="P1579" s="225"/>
    </row>
    <row r="1580" spans="1:16">
      <c r="A1580" s="226"/>
      <c r="B1580" s="131" t="s">
        <v>1384</v>
      </c>
      <c r="C1580" s="226">
        <v>97501</v>
      </c>
      <c r="H1580" s="225"/>
      <c r="K1580" s="225"/>
      <c r="P1580" s="225"/>
    </row>
    <row r="1581" spans="1:16">
      <c r="A1581" s="226"/>
      <c r="B1581" s="131" t="s">
        <v>2633</v>
      </c>
      <c r="C1581" s="226">
        <v>90431</v>
      </c>
      <c r="H1581" s="225"/>
      <c r="K1581" s="225"/>
      <c r="P1581" s="225"/>
    </row>
    <row r="1582" spans="1:16">
      <c r="A1582" s="226"/>
      <c r="B1582" s="131" t="s">
        <v>2634</v>
      </c>
      <c r="C1582" s="226">
        <v>95211</v>
      </c>
      <c r="H1582" s="225"/>
      <c r="K1582" s="225"/>
      <c r="P1582" s="225"/>
    </row>
    <row r="1583" spans="1:16">
      <c r="A1583" s="226"/>
      <c r="B1583" s="131" t="s">
        <v>2635</v>
      </c>
      <c r="C1583" s="226">
        <v>95181</v>
      </c>
      <c r="H1583" s="225"/>
      <c r="K1583" s="225"/>
      <c r="P1583" s="225"/>
    </row>
    <row r="1584" spans="1:16">
      <c r="A1584" s="226"/>
      <c r="B1584" s="131" t="s">
        <v>2636</v>
      </c>
      <c r="C1584" s="226">
        <v>93351</v>
      </c>
      <c r="H1584" s="225"/>
      <c r="K1584" s="225"/>
      <c r="P1584" s="225"/>
    </row>
    <row r="1585" spans="1:16">
      <c r="A1585" s="226"/>
      <c r="B1585" s="131" t="s">
        <v>1188</v>
      </c>
      <c r="C1585" s="226">
        <v>95105</v>
      </c>
      <c r="H1585" s="225"/>
      <c r="K1585" s="225"/>
      <c r="P1585" s="225"/>
    </row>
    <row r="1586" spans="1:16">
      <c r="A1586" s="226"/>
      <c r="B1586" s="131" t="s">
        <v>2637</v>
      </c>
      <c r="C1586" s="226">
        <v>94711</v>
      </c>
      <c r="H1586" s="225"/>
      <c r="K1586" s="225"/>
      <c r="P1586" s="225"/>
    </row>
    <row r="1587" spans="1:16">
      <c r="A1587" s="226"/>
      <c r="B1587" s="131" t="s">
        <v>1993</v>
      </c>
      <c r="C1587" s="226">
        <v>99211</v>
      </c>
      <c r="H1587" s="225"/>
      <c r="K1587" s="225"/>
      <c r="P1587" s="225"/>
    </row>
    <row r="1588" spans="1:16">
      <c r="A1588" s="226"/>
      <c r="B1588" s="131" t="s">
        <v>1994</v>
      </c>
      <c r="C1588" s="226">
        <v>99213</v>
      </c>
      <c r="H1588" s="225"/>
      <c r="K1588" s="225"/>
      <c r="P1588" s="225"/>
    </row>
    <row r="1589" spans="1:16">
      <c r="A1589" s="226"/>
      <c r="B1589" s="131" t="s">
        <v>1548</v>
      </c>
      <c r="C1589" s="226">
        <v>99218</v>
      </c>
      <c r="H1589" s="225"/>
      <c r="K1589" s="225"/>
      <c r="P1589" s="225"/>
    </row>
    <row r="1590" spans="1:16">
      <c r="A1590" s="226"/>
      <c r="B1590" s="131" t="s">
        <v>2638</v>
      </c>
      <c r="C1590" s="226">
        <v>97641</v>
      </c>
      <c r="H1590" s="225"/>
      <c r="K1590" s="225"/>
      <c r="P1590" s="225"/>
    </row>
    <row r="1591" spans="1:16">
      <c r="A1591" s="226"/>
      <c r="B1591" s="131" t="s">
        <v>1995</v>
      </c>
      <c r="C1591" s="226">
        <v>97621</v>
      </c>
      <c r="H1591" s="225"/>
      <c r="K1591" s="225"/>
      <c r="P1591" s="225"/>
    </row>
    <row r="1592" spans="1:16">
      <c r="A1592" s="226"/>
      <c r="B1592" s="131" t="s">
        <v>1996</v>
      </c>
      <c r="C1592" s="226">
        <v>97627</v>
      </c>
      <c r="H1592" s="225"/>
      <c r="K1592" s="225"/>
      <c r="P1592" s="225"/>
    </row>
    <row r="1593" spans="1:16">
      <c r="A1593" s="226"/>
      <c r="B1593" s="131" t="s">
        <v>1997</v>
      </c>
      <c r="C1593" s="226">
        <v>97623</v>
      </c>
      <c r="H1593" s="225"/>
      <c r="K1593" s="225"/>
      <c r="P1593" s="225"/>
    </row>
    <row r="1594" spans="1:16">
      <c r="A1594" s="226"/>
      <c r="B1594" s="131" t="s">
        <v>1388</v>
      </c>
      <c r="C1594" s="226">
        <v>97601</v>
      </c>
      <c r="H1594" s="225"/>
      <c r="K1594" s="225"/>
      <c r="P1594" s="225"/>
    </row>
    <row r="1595" spans="1:16">
      <c r="A1595" s="226"/>
      <c r="B1595" s="131" t="s">
        <v>2639</v>
      </c>
      <c r="C1595" s="226">
        <v>93681</v>
      </c>
      <c r="H1595" s="225"/>
      <c r="K1595" s="225"/>
      <c r="P1595" s="225"/>
    </row>
    <row r="1596" spans="1:16">
      <c r="A1596" s="226"/>
      <c r="B1596" s="131" t="s">
        <v>2640</v>
      </c>
      <c r="C1596" s="226">
        <v>97871</v>
      </c>
      <c r="H1596" s="225"/>
      <c r="K1596" s="225"/>
      <c r="P1596" s="225"/>
    </row>
    <row r="1597" spans="1:16">
      <c r="A1597" s="226"/>
      <c r="B1597" s="131" t="s">
        <v>1426</v>
      </c>
      <c r="C1597" s="226">
        <v>97877</v>
      </c>
      <c r="H1597" s="225"/>
      <c r="K1597" s="225"/>
      <c r="P1597" s="225"/>
    </row>
    <row r="1598" spans="1:16">
      <c r="A1598" s="226"/>
      <c r="B1598" s="131" t="s">
        <v>1571</v>
      </c>
      <c r="C1598" s="226">
        <v>99502</v>
      </c>
      <c r="H1598" s="225"/>
      <c r="K1598" s="225"/>
      <c r="P1598" s="225"/>
    </row>
    <row r="1599" spans="1:16">
      <c r="A1599" s="226"/>
      <c r="B1599" s="131" t="s">
        <v>1998</v>
      </c>
      <c r="C1599" s="226">
        <v>97911</v>
      </c>
      <c r="H1599" s="225"/>
      <c r="K1599" s="225"/>
      <c r="P1599" s="225"/>
    </row>
    <row r="1600" spans="1:16">
      <c r="A1600" s="226"/>
      <c r="B1600" s="131" t="s">
        <v>1430</v>
      </c>
      <c r="C1600" s="226">
        <v>97917</v>
      </c>
      <c r="H1600" s="225"/>
      <c r="K1600" s="225"/>
      <c r="P1600" s="225"/>
    </row>
    <row r="1601" spans="1:16">
      <c r="A1601" s="226"/>
      <c r="B1601" s="131" t="s">
        <v>2641</v>
      </c>
      <c r="C1601" s="226">
        <v>96611</v>
      </c>
      <c r="H1601" s="225"/>
      <c r="K1601" s="225"/>
      <c r="P1601" s="225"/>
    </row>
    <row r="1602" spans="1:16">
      <c r="A1602" s="226"/>
      <c r="B1602" s="131" t="s">
        <v>2642</v>
      </c>
      <c r="C1602" s="226">
        <v>96741</v>
      </c>
      <c r="H1602" s="225"/>
      <c r="K1602" s="225"/>
      <c r="P1602" s="225"/>
    </row>
    <row r="1603" spans="1:16">
      <c r="A1603" s="226"/>
      <c r="B1603" s="131" t="s">
        <v>1400</v>
      </c>
      <c r="C1603" s="226">
        <v>97701</v>
      </c>
      <c r="H1603" s="225"/>
      <c r="K1603" s="225"/>
      <c r="P1603" s="225"/>
    </row>
    <row r="1604" spans="1:16">
      <c r="A1604" s="226"/>
      <c r="B1604" s="131" t="s">
        <v>2643</v>
      </c>
      <c r="C1604" s="226">
        <v>92541</v>
      </c>
      <c r="H1604" s="225"/>
      <c r="K1604" s="225"/>
      <c r="P1604" s="225"/>
    </row>
    <row r="1605" spans="1:16">
      <c r="A1605" s="226"/>
      <c r="B1605" s="131" t="s">
        <v>1999</v>
      </c>
      <c r="C1605" s="226">
        <v>94221</v>
      </c>
      <c r="H1605" s="225"/>
      <c r="K1605" s="225"/>
      <c r="P1605" s="225"/>
    </row>
    <row r="1606" spans="1:16">
      <c r="A1606" s="226"/>
      <c r="B1606" s="131" t="s">
        <v>1118</v>
      </c>
      <c r="C1606" s="226">
        <v>94209</v>
      </c>
      <c r="H1606" s="225"/>
      <c r="K1606" s="225"/>
      <c r="P1606" s="225"/>
    </row>
    <row r="1607" spans="1:16">
      <c r="A1607" s="226"/>
      <c r="B1607" s="131" t="s">
        <v>2644</v>
      </c>
      <c r="C1607" s="226">
        <v>96341</v>
      </c>
      <c r="H1607" s="225"/>
      <c r="K1607" s="225"/>
      <c r="P1607" s="225"/>
    </row>
    <row r="1608" spans="1:16">
      <c r="A1608" s="226"/>
      <c r="B1608" s="131" t="s">
        <v>2645</v>
      </c>
      <c r="C1608" s="226">
        <v>93821</v>
      </c>
      <c r="H1608" s="225"/>
      <c r="K1608" s="225"/>
      <c r="P1608" s="225"/>
    </row>
    <row r="1609" spans="1:16">
      <c r="A1609" s="226"/>
      <c r="B1609" s="131" t="s">
        <v>2646</v>
      </c>
      <c r="C1609" s="226">
        <v>95851</v>
      </c>
      <c r="H1609" s="225"/>
      <c r="K1609" s="225"/>
      <c r="P1609" s="225"/>
    </row>
    <row r="1610" spans="1:16">
      <c r="A1610" s="226"/>
      <c r="B1610" s="131" t="s">
        <v>1243</v>
      </c>
      <c r="C1610" s="226">
        <v>95853</v>
      </c>
      <c r="H1610" s="225"/>
      <c r="K1610" s="225"/>
      <c r="P1610" s="225"/>
    </row>
    <row r="1611" spans="1:16">
      <c r="A1611" s="226"/>
      <c r="B1611" s="131" t="s">
        <v>1408</v>
      </c>
      <c r="C1611" s="226">
        <v>97801</v>
      </c>
      <c r="H1611" s="225"/>
      <c r="K1611" s="225"/>
      <c r="P1611" s="225"/>
    </row>
    <row r="1612" spans="1:16">
      <c r="A1612" s="226"/>
      <c r="B1612" s="131" t="s">
        <v>1410</v>
      </c>
      <c r="C1612" s="226">
        <v>97803</v>
      </c>
      <c r="H1612" s="225"/>
      <c r="K1612" s="225"/>
      <c r="P1612" s="225"/>
    </row>
    <row r="1613" spans="1:16">
      <c r="A1613" s="226"/>
      <c r="B1613" s="131" t="s">
        <v>1411</v>
      </c>
      <c r="C1613" s="226">
        <v>97805</v>
      </c>
      <c r="H1613" s="225"/>
      <c r="K1613" s="225"/>
      <c r="P1613" s="225"/>
    </row>
    <row r="1614" spans="1:16">
      <c r="A1614" s="226"/>
      <c r="B1614" s="131" t="s">
        <v>2000</v>
      </c>
      <c r="C1614" s="226">
        <v>97711</v>
      </c>
      <c r="H1614" s="225"/>
      <c r="K1614" s="225"/>
      <c r="P1614" s="225"/>
    </row>
    <row r="1615" spans="1:16">
      <c r="A1615" s="226"/>
      <c r="B1615" s="131" t="s">
        <v>2001</v>
      </c>
      <c r="C1615" s="226">
        <v>97727</v>
      </c>
      <c r="H1615" s="225"/>
      <c r="K1615" s="225"/>
      <c r="P1615" s="225"/>
    </row>
    <row r="1616" spans="1:16">
      <c r="A1616" s="226"/>
      <c r="B1616" s="131" t="s">
        <v>1427</v>
      </c>
      <c r="C1616" s="226">
        <v>97901</v>
      </c>
      <c r="H1616" s="225"/>
      <c r="K1616" s="225"/>
      <c r="P1616" s="225"/>
    </row>
    <row r="1617" spans="1:16">
      <c r="A1617" s="226"/>
      <c r="B1617" s="131" t="s">
        <v>1403</v>
      </c>
      <c r="C1617" s="226">
        <v>97713</v>
      </c>
      <c r="H1617" s="225"/>
      <c r="K1617" s="225"/>
      <c r="P1617" s="225"/>
    </row>
    <row r="1618" spans="1:16">
      <c r="A1618" s="226"/>
      <c r="B1618" s="131" t="s">
        <v>2647</v>
      </c>
      <c r="C1618" s="226">
        <v>98071</v>
      </c>
      <c r="H1618" s="225"/>
      <c r="K1618" s="225"/>
      <c r="P1618" s="225"/>
    </row>
    <row r="1619" spans="1:16">
      <c r="A1619" s="226"/>
      <c r="B1619" s="131" t="s">
        <v>2002</v>
      </c>
      <c r="C1619" s="226">
        <v>93321</v>
      </c>
      <c r="H1619" s="225"/>
      <c r="K1619" s="225"/>
      <c r="P1619" s="225"/>
    </row>
    <row r="1620" spans="1:16">
      <c r="A1620" s="226"/>
      <c r="B1620" s="131" t="s">
        <v>1031</v>
      </c>
      <c r="C1620" s="226">
        <v>93323</v>
      </c>
      <c r="H1620" s="225"/>
      <c r="K1620" s="225"/>
      <c r="P1620" s="225"/>
    </row>
    <row r="1621" spans="1:16">
      <c r="A1621" s="226"/>
      <c r="B1621" s="131" t="s">
        <v>1033</v>
      </c>
      <c r="C1621" s="226">
        <v>93333</v>
      </c>
      <c r="H1621" s="225"/>
      <c r="K1621" s="225"/>
      <c r="P1621" s="225"/>
    </row>
    <row r="1622" spans="1:16">
      <c r="A1622" s="226"/>
      <c r="B1622" s="131" t="s">
        <v>2648</v>
      </c>
      <c r="C1622" s="226">
        <v>99203</v>
      </c>
      <c r="H1622" s="225"/>
      <c r="K1622" s="225"/>
      <c r="P1622" s="225"/>
    </row>
    <row r="1623" spans="1:16">
      <c r="A1623" s="226"/>
      <c r="B1623" s="131" t="s">
        <v>2649</v>
      </c>
      <c r="C1623" s="226">
        <v>99421</v>
      </c>
      <c r="H1623" s="225"/>
      <c r="K1623" s="225"/>
      <c r="P1623" s="225"/>
    </row>
    <row r="1624" spans="1:16">
      <c r="A1624" s="226"/>
      <c r="B1624" s="131" t="s">
        <v>2650</v>
      </c>
      <c r="C1624" s="226">
        <v>93161</v>
      </c>
      <c r="H1624" s="225"/>
      <c r="K1624" s="225"/>
      <c r="P1624" s="225"/>
    </row>
    <row r="1625" spans="1:16">
      <c r="A1625" s="226"/>
      <c r="B1625" s="131" t="s">
        <v>2651</v>
      </c>
      <c r="C1625" s="226">
        <v>98261</v>
      </c>
      <c r="H1625" s="225"/>
      <c r="K1625" s="225"/>
      <c r="P1625" s="225"/>
    </row>
    <row r="1626" spans="1:16">
      <c r="A1626" s="226"/>
      <c r="B1626" s="131" t="s">
        <v>1472</v>
      </c>
      <c r="C1626" s="226">
        <v>98237</v>
      </c>
      <c r="H1626" s="225"/>
      <c r="K1626" s="225"/>
      <c r="P1626" s="225"/>
    </row>
    <row r="1627" spans="1:16">
      <c r="A1627" s="226"/>
      <c r="B1627" s="131" t="s">
        <v>1440</v>
      </c>
      <c r="C1627" s="226">
        <v>98003</v>
      </c>
      <c r="H1627" s="225"/>
      <c r="K1627" s="225"/>
      <c r="P1627" s="225"/>
    </row>
    <row r="1628" spans="1:16">
      <c r="A1628" s="226"/>
      <c r="B1628" s="131" t="s">
        <v>2787</v>
      </c>
      <c r="C1628" s="226">
        <v>98008</v>
      </c>
      <c r="H1628" s="225"/>
      <c r="K1628" s="225"/>
      <c r="P1628" s="225"/>
    </row>
    <row r="1629" spans="1:16">
      <c r="A1629" s="226"/>
      <c r="B1629" s="131" t="s">
        <v>1439</v>
      </c>
      <c r="C1629" s="226">
        <v>98002</v>
      </c>
      <c r="H1629" s="225"/>
      <c r="K1629" s="225"/>
      <c r="P1629" s="225"/>
    </row>
    <row r="1630" spans="1:16">
      <c r="A1630" s="226"/>
      <c r="B1630" s="131" t="s">
        <v>1438</v>
      </c>
      <c r="C1630" s="226">
        <v>98001</v>
      </c>
      <c r="H1630" s="225"/>
      <c r="K1630" s="225"/>
      <c r="P1630" s="225"/>
    </row>
    <row r="1631" spans="1:16">
      <c r="A1631" s="226"/>
      <c r="B1631" s="131" t="s">
        <v>1441</v>
      </c>
      <c r="C1631" s="226">
        <v>98004</v>
      </c>
      <c r="H1631" s="225"/>
      <c r="K1631" s="225"/>
      <c r="P1631" s="225"/>
    </row>
    <row r="1632" spans="1:16">
      <c r="A1632" s="226"/>
      <c r="B1632" s="131" t="s">
        <v>2652</v>
      </c>
      <c r="C1632" s="226">
        <v>97861</v>
      </c>
      <c r="H1632" s="225"/>
      <c r="K1632" s="225"/>
      <c r="P1632" s="225"/>
    </row>
    <row r="1633" spans="1:16">
      <c r="A1633" s="226"/>
      <c r="B1633" s="131" t="s">
        <v>2003</v>
      </c>
      <c r="C1633" s="226">
        <v>97311</v>
      </c>
      <c r="H1633" s="225"/>
      <c r="K1633" s="225"/>
      <c r="P1633" s="225"/>
    </row>
    <row r="1634" spans="1:16">
      <c r="A1634" s="226"/>
      <c r="B1634" s="131" t="s">
        <v>2653</v>
      </c>
      <c r="C1634" s="226">
        <v>93431</v>
      </c>
      <c r="H1634" s="225"/>
      <c r="K1634" s="225"/>
      <c r="P1634" s="225"/>
    </row>
    <row r="1635" spans="1:16">
      <c r="A1635" s="226"/>
      <c r="B1635" s="131" t="s">
        <v>2654</v>
      </c>
      <c r="C1635" s="226">
        <v>91214</v>
      </c>
      <c r="H1635" s="225"/>
      <c r="K1635" s="225"/>
      <c r="P1635" s="225"/>
    </row>
    <row r="1636" spans="1:16">
      <c r="A1636" s="226"/>
      <c r="B1636" s="131" t="s">
        <v>1454</v>
      </c>
      <c r="C1636" s="226">
        <v>98101</v>
      </c>
      <c r="H1636" s="225"/>
      <c r="K1636" s="225"/>
      <c r="P1636" s="225"/>
    </row>
    <row r="1637" spans="1:16">
      <c r="A1637" s="226"/>
      <c r="B1637" s="131" t="s">
        <v>2786</v>
      </c>
      <c r="C1637" s="226">
        <v>98103</v>
      </c>
      <c r="H1637" s="225"/>
      <c r="K1637" s="225"/>
      <c r="P1637" s="225"/>
    </row>
    <row r="1638" spans="1:16">
      <c r="A1638" s="226"/>
      <c r="B1638" s="131" t="s">
        <v>2655</v>
      </c>
      <c r="C1638" s="226">
        <v>98141</v>
      </c>
      <c r="H1638" s="225"/>
      <c r="K1638" s="225"/>
      <c r="P1638" s="225"/>
    </row>
    <row r="1639" spans="1:16">
      <c r="A1639" s="226"/>
      <c r="B1639" s="131" t="s">
        <v>2785</v>
      </c>
      <c r="C1639" s="226">
        <v>98147</v>
      </c>
      <c r="H1639" s="225"/>
      <c r="K1639" s="225"/>
      <c r="P1639" s="225"/>
    </row>
    <row r="1640" spans="1:16">
      <c r="A1640" s="226"/>
      <c r="B1640" s="131" t="s">
        <v>2679</v>
      </c>
      <c r="C1640" s="226">
        <v>91032</v>
      </c>
      <c r="H1640" s="225"/>
      <c r="K1640" s="225"/>
      <c r="P1640" s="225"/>
    </row>
    <row r="1641" spans="1:16">
      <c r="A1641" s="226"/>
      <c r="B1641" s="131" t="s">
        <v>2680</v>
      </c>
      <c r="C1641" s="226">
        <v>97831</v>
      </c>
      <c r="H1641" s="225"/>
      <c r="K1641" s="225"/>
      <c r="P1641" s="225"/>
    </row>
    <row r="1642" spans="1:16">
      <c r="A1642" s="226"/>
      <c r="B1642" s="131" t="s">
        <v>2784</v>
      </c>
      <c r="C1642" s="226">
        <v>97837</v>
      </c>
      <c r="H1642" s="225"/>
      <c r="K1642" s="225"/>
      <c r="P1642" s="225"/>
    </row>
    <row r="1643" spans="1:16">
      <c r="A1643" s="226"/>
      <c r="B1643" s="131" t="s">
        <v>2656</v>
      </c>
      <c r="C1643" s="226">
        <v>98221</v>
      </c>
      <c r="H1643" s="225"/>
      <c r="K1643" s="225"/>
      <c r="P1643" s="225"/>
    </row>
    <row r="1644" spans="1:16">
      <c r="A1644" s="226"/>
      <c r="B1644" s="131" t="s">
        <v>2004</v>
      </c>
      <c r="C1644" s="226">
        <v>98011</v>
      </c>
      <c r="H1644" s="225"/>
      <c r="K1644" s="225"/>
      <c r="P1644" s="225"/>
    </row>
    <row r="1645" spans="1:16">
      <c r="A1645" s="226"/>
      <c r="B1645" s="131" t="s">
        <v>2803</v>
      </c>
      <c r="C1645" s="226">
        <v>98013</v>
      </c>
      <c r="H1645" s="225"/>
      <c r="K1645" s="225"/>
      <c r="P1645" s="225"/>
    </row>
    <row r="1646" spans="1:16">
      <c r="A1646" s="226"/>
      <c r="B1646" s="131" t="s">
        <v>2005</v>
      </c>
      <c r="C1646" s="226">
        <v>97531</v>
      </c>
      <c r="H1646" s="225"/>
      <c r="K1646" s="225"/>
      <c r="P1646" s="225"/>
    </row>
    <row r="1647" spans="1:16">
      <c r="A1647" s="226"/>
      <c r="B1647" s="131" t="s">
        <v>1466</v>
      </c>
      <c r="C1647" s="226">
        <v>98201</v>
      </c>
      <c r="H1647" s="225"/>
      <c r="K1647" s="225"/>
      <c r="P1647" s="225"/>
    </row>
    <row r="1648" spans="1:16">
      <c r="A1648" s="226"/>
      <c r="B1648" s="131" t="s">
        <v>1401</v>
      </c>
      <c r="C1648" s="226">
        <v>97705</v>
      </c>
      <c r="H1648" s="225"/>
      <c r="K1648" s="225"/>
      <c r="P1648" s="225"/>
    </row>
    <row r="1649" spans="1:16">
      <c r="A1649" s="226"/>
      <c r="B1649" s="131" t="s">
        <v>1283</v>
      </c>
      <c r="C1649" s="226">
        <v>96318</v>
      </c>
      <c r="H1649" s="225"/>
      <c r="K1649" s="225"/>
      <c r="P1649" s="225"/>
    </row>
    <row r="1650" spans="1:16">
      <c r="A1650" s="226"/>
      <c r="B1650" s="131" t="s">
        <v>2006</v>
      </c>
      <c r="C1650" s="226">
        <v>95311</v>
      </c>
      <c r="H1650" s="225"/>
      <c r="K1650" s="225"/>
      <c r="P1650" s="225"/>
    </row>
    <row r="1651" spans="1:16">
      <c r="A1651" s="226"/>
      <c r="B1651" s="131" t="s">
        <v>1210</v>
      </c>
      <c r="C1651" s="226">
        <v>95317</v>
      </c>
      <c r="H1651" s="225"/>
      <c r="K1651" s="225"/>
      <c r="P1651" s="225"/>
    </row>
    <row r="1652" spans="1:16">
      <c r="A1652" s="226"/>
      <c r="B1652" s="131" t="s">
        <v>2657</v>
      </c>
      <c r="C1652" s="226">
        <v>91421</v>
      </c>
      <c r="H1652" s="225"/>
      <c r="K1652" s="225"/>
      <c r="P1652" s="225"/>
    </row>
    <row r="1653" spans="1:16">
      <c r="A1653" s="226"/>
      <c r="B1653" s="131" t="s">
        <v>1477</v>
      </c>
      <c r="C1653" s="226">
        <v>98301</v>
      </c>
      <c r="H1653" s="225"/>
      <c r="K1653" s="225"/>
      <c r="P1653" s="225"/>
    </row>
    <row r="1654" spans="1:16">
      <c r="A1654" s="226"/>
      <c r="B1654" s="131" t="s">
        <v>1478</v>
      </c>
      <c r="C1654" s="226">
        <v>98304</v>
      </c>
      <c r="H1654" s="225"/>
      <c r="K1654" s="225"/>
      <c r="P1654" s="225"/>
    </row>
    <row r="1655" spans="1:16">
      <c r="A1655" s="226"/>
      <c r="B1655" s="131" t="s">
        <v>2658</v>
      </c>
      <c r="C1655" s="226">
        <v>94241</v>
      </c>
      <c r="H1655" s="225"/>
      <c r="K1655" s="225"/>
      <c r="P1655" s="225"/>
    </row>
    <row r="1656" spans="1:16">
      <c r="A1656" s="226"/>
      <c r="B1656" s="131" t="s">
        <v>2659</v>
      </c>
      <c r="C1656" s="226">
        <v>96681</v>
      </c>
      <c r="H1656" s="225"/>
      <c r="K1656" s="225"/>
      <c r="P1656" s="225"/>
    </row>
    <row r="1657" spans="1:16">
      <c r="A1657" s="226"/>
      <c r="B1657" s="131" t="s">
        <v>2660</v>
      </c>
      <c r="C1657" s="219">
        <v>72593</v>
      </c>
      <c r="H1657" s="225"/>
      <c r="K1657" s="225"/>
      <c r="P1657" s="225"/>
    </row>
    <row r="1658" spans="1:16">
      <c r="A1658" s="226"/>
      <c r="B1658" s="131" t="s">
        <v>2661</v>
      </c>
      <c r="C1658" s="226">
        <v>95121</v>
      </c>
      <c r="H1658" s="225"/>
      <c r="K1658" s="225"/>
      <c r="P1658" s="225"/>
    </row>
    <row r="1659" spans="1:16">
      <c r="A1659" s="226"/>
      <c r="B1659" s="131" t="s">
        <v>1195</v>
      </c>
      <c r="C1659" s="226">
        <v>95123</v>
      </c>
      <c r="H1659" s="225"/>
      <c r="K1659" s="225"/>
      <c r="P1659" s="225"/>
    </row>
    <row r="1660" spans="1:16">
      <c r="A1660" s="226"/>
      <c r="B1660" s="131" t="s">
        <v>2662</v>
      </c>
      <c r="C1660" s="226">
        <v>99531</v>
      </c>
      <c r="H1660" s="225"/>
      <c r="K1660" s="225"/>
      <c r="P1660" s="225"/>
    </row>
    <row r="1661" spans="1:16">
      <c r="A1661" s="226"/>
      <c r="B1661" s="131" t="s">
        <v>2663</v>
      </c>
      <c r="C1661" s="226">
        <v>96671</v>
      </c>
      <c r="H1661" s="225"/>
      <c r="K1661" s="225"/>
      <c r="P1661" s="225"/>
    </row>
    <row r="1662" spans="1:16">
      <c r="A1662" s="226"/>
      <c r="B1662" s="131" t="s">
        <v>2664</v>
      </c>
      <c r="C1662" s="226">
        <v>91081</v>
      </c>
      <c r="H1662" s="225"/>
      <c r="K1662" s="225"/>
      <c r="P1662" s="225"/>
    </row>
    <row r="1663" spans="1:16">
      <c r="A1663" s="226"/>
      <c r="B1663" s="131" t="s">
        <v>818</v>
      </c>
      <c r="C1663" s="226">
        <v>91057</v>
      </c>
      <c r="H1663" s="225"/>
      <c r="K1663" s="225"/>
      <c r="P1663" s="225"/>
    </row>
    <row r="1664" spans="1:16">
      <c r="A1664" s="226"/>
      <c r="B1664" s="131" t="s">
        <v>2665</v>
      </c>
      <c r="C1664" s="226">
        <v>96461</v>
      </c>
      <c r="H1664" s="225"/>
      <c r="K1664" s="225"/>
      <c r="P1664" s="225"/>
    </row>
    <row r="1665" spans="1:16">
      <c r="A1665" s="226"/>
      <c r="B1665" s="131" t="s">
        <v>2007</v>
      </c>
      <c r="C1665" s="226">
        <v>92311</v>
      </c>
      <c r="H1665" s="225"/>
      <c r="K1665" s="225"/>
      <c r="P1665" s="225"/>
    </row>
    <row r="1666" spans="1:16">
      <c r="A1666" s="226"/>
      <c r="B1666" s="131" t="s">
        <v>932</v>
      </c>
      <c r="C1666" s="226">
        <v>92317</v>
      </c>
      <c r="H1666" s="225"/>
      <c r="K1666" s="225"/>
      <c r="P1666" s="225"/>
    </row>
    <row r="1667" spans="1:16">
      <c r="A1667" s="226"/>
      <c r="B1667" s="131" t="s">
        <v>1369</v>
      </c>
      <c r="C1667" s="226">
        <v>97405</v>
      </c>
      <c r="H1667" s="225"/>
      <c r="K1667" s="225"/>
      <c r="P1667" s="225"/>
    </row>
    <row r="1668" spans="1:16">
      <c r="A1668" s="226"/>
      <c r="B1668" s="131" t="s">
        <v>2666</v>
      </c>
      <c r="C1668" s="226">
        <v>91911</v>
      </c>
      <c r="H1668" s="225"/>
      <c r="K1668" s="225"/>
      <c r="P1668" s="225"/>
    </row>
    <row r="1669" spans="1:16">
      <c r="A1669" s="226"/>
      <c r="B1669" s="131" t="s">
        <v>916</v>
      </c>
      <c r="C1669" s="226">
        <v>91917</v>
      </c>
      <c r="H1669" s="225"/>
      <c r="K1669" s="225"/>
      <c r="P1669" s="225"/>
    </row>
    <row r="1670" spans="1:16">
      <c r="A1670" s="226"/>
      <c r="B1670" s="131" t="s">
        <v>2667</v>
      </c>
      <c r="C1670" s="226">
        <v>97481</v>
      </c>
      <c r="H1670" s="225"/>
      <c r="K1670" s="225"/>
      <c r="P1670" s="225"/>
    </row>
    <row r="1671" spans="1:16">
      <c r="A1671" s="226"/>
      <c r="B1671" s="131" t="s">
        <v>836</v>
      </c>
      <c r="C1671" s="51">
        <v>91138</v>
      </c>
      <c r="H1671" s="225"/>
      <c r="K1671" s="225"/>
      <c r="P1671" s="225"/>
    </row>
    <row r="1672" spans="1:16">
      <c r="A1672" s="226"/>
      <c r="B1672" s="131" t="s">
        <v>2668</v>
      </c>
      <c r="C1672" s="226">
        <v>95111</v>
      </c>
      <c r="H1672" s="225"/>
      <c r="K1672" s="225"/>
      <c r="P1672" s="225"/>
    </row>
    <row r="1673" spans="1:16">
      <c r="A1673" s="226"/>
      <c r="B1673" s="131" t="s">
        <v>1192</v>
      </c>
      <c r="C1673" s="226">
        <v>95113</v>
      </c>
      <c r="H1673" s="225"/>
      <c r="K1673" s="225"/>
      <c r="P1673" s="225"/>
    </row>
    <row r="1674" spans="1:16">
      <c r="A1674" s="226"/>
      <c r="B1674" s="131" t="s">
        <v>2669</v>
      </c>
      <c r="C1674" s="226">
        <v>94021</v>
      </c>
      <c r="H1674" s="225"/>
      <c r="K1674" s="225"/>
      <c r="P1674" s="225"/>
    </row>
    <row r="1675" spans="1:16">
      <c r="A1675" s="226"/>
      <c r="B1675" s="131" t="s">
        <v>791</v>
      </c>
      <c r="C1675" s="226">
        <v>90918</v>
      </c>
      <c r="H1675" s="225"/>
      <c r="K1675" s="225"/>
      <c r="P1675" s="225"/>
    </row>
    <row r="1676" spans="1:16">
      <c r="A1676" s="226"/>
      <c r="B1676" s="131" t="s">
        <v>1085</v>
      </c>
      <c r="C1676" s="226">
        <v>93910</v>
      </c>
      <c r="H1676" s="225"/>
      <c r="K1676" s="225"/>
      <c r="P1676" s="225"/>
    </row>
    <row r="1677" spans="1:16">
      <c r="A1677" s="226"/>
      <c r="B1677" s="131" t="s">
        <v>806</v>
      </c>
      <c r="C1677" s="226">
        <v>91013</v>
      </c>
      <c r="H1677" s="225"/>
      <c r="K1677" s="225"/>
      <c r="P1677" s="225"/>
    </row>
    <row r="1678" spans="1:16">
      <c r="A1678" s="226"/>
      <c r="B1678" s="131" t="s">
        <v>2670</v>
      </c>
      <c r="C1678" s="226">
        <v>96311</v>
      </c>
      <c r="H1678" s="225"/>
      <c r="K1678" s="225"/>
      <c r="P1678" s="225"/>
    </row>
    <row r="1679" spans="1:16">
      <c r="A1679" s="226"/>
      <c r="B1679" s="131" t="s">
        <v>2671</v>
      </c>
      <c r="C1679" s="226">
        <v>92841</v>
      </c>
      <c r="H1679" s="225"/>
      <c r="K1679" s="225"/>
      <c r="P1679" s="225"/>
    </row>
    <row r="1680" spans="1:16">
      <c r="A1680" s="226"/>
      <c r="B1680" s="131" t="s">
        <v>1582</v>
      </c>
      <c r="C1680" s="226">
        <v>99609</v>
      </c>
      <c r="H1680" s="225"/>
      <c r="K1680" s="225"/>
      <c r="P1680" s="225"/>
    </row>
    <row r="1681" spans="1:16">
      <c r="A1681" s="226"/>
      <c r="B1681" s="131" t="s">
        <v>2008</v>
      </c>
      <c r="C1681" s="226">
        <v>91011</v>
      </c>
      <c r="H1681" s="225"/>
      <c r="K1681" s="225"/>
      <c r="P1681" s="225"/>
    </row>
    <row r="1682" spans="1:16">
      <c r="A1682" s="226"/>
      <c r="B1682" s="131" t="s">
        <v>2009</v>
      </c>
      <c r="C1682" s="226">
        <v>91017</v>
      </c>
      <c r="H1682" s="225"/>
      <c r="K1682" s="225"/>
      <c r="P1682" s="225"/>
    </row>
    <row r="1683" spans="1:16">
      <c r="A1683" s="226"/>
      <c r="B1683" s="131" t="s">
        <v>1181</v>
      </c>
      <c r="C1683" s="226">
        <v>95008</v>
      </c>
      <c r="H1683" s="225"/>
      <c r="K1683" s="225"/>
      <c r="P1683" s="225"/>
    </row>
    <row r="1684" spans="1:16">
      <c r="A1684" s="226"/>
      <c r="B1684" s="131" t="s">
        <v>2672</v>
      </c>
      <c r="C1684" s="226">
        <v>72657</v>
      </c>
      <c r="H1684" s="225"/>
      <c r="K1684" s="225"/>
      <c r="P1684" s="225"/>
    </row>
    <row r="1685" spans="1:16">
      <c r="A1685" s="226"/>
      <c r="B1685" s="131" t="s">
        <v>2673</v>
      </c>
      <c r="C1685" s="226">
        <v>90307</v>
      </c>
      <c r="H1685" s="225"/>
      <c r="K1685" s="225"/>
      <c r="P1685" s="225"/>
    </row>
    <row r="1686" spans="1:16">
      <c r="A1686" s="226"/>
      <c r="B1686" s="131" t="s">
        <v>2674</v>
      </c>
      <c r="C1686" s="226">
        <v>98031</v>
      </c>
      <c r="H1686" s="225"/>
      <c r="K1686" s="225"/>
      <c r="P1686" s="225"/>
    </row>
    <row r="1687" spans="1:16">
      <c r="A1687" s="226"/>
      <c r="B1687" s="131" t="s">
        <v>2675</v>
      </c>
      <c r="C1687" s="226">
        <v>98121</v>
      </c>
      <c r="H1687" s="225"/>
      <c r="K1687" s="225"/>
      <c r="P1687" s="225"/>
    </row>
    <row r="1688" spans="1:16">
      <c r="A1688" s="226"/>
      <c r="B1688" s="131" t="s">
        <v>2676</v>
      </c>
      <c r="C1688" s="226">
        <v>96411</v>
      </c>
      <c r="H1688" s="225"/>
      <c r="K1688" s="225"/>
      <c r="P1688" s="225"/>
    </row>
    <row r="1689" spans="1:16">
      <c r="A1689" s="226"/>
      <c r="B1689" s="131" t="s">
        <v>2677</v>
      </c>
      <c r="C1689" s="226">
        <v>92661</v>
      </c>
      <c r="H1689" s="225"/>
      <c r="K1689" s="225"/>
      <c r="P1689" s="225"/>
    </row>
    <row r="1690" spans="1:16">
      <c r="A1690" s="226"/>
      <c r="B1690" s="131" t="s">
        <v>2678</v>
      </c>
      <c r="C1690" s="226">
        <v>96111</v>
      </c>
      <c r="H1690" s="225"/>
      <c r="K1690" s="225"/>
      <c r="P1690" s="225"/>
    </row>
    <row r="1691" spans="1:16">
      <c r="A1691" s="226"/>
      <c r="B1691" s="131" t="s">
        <v>2681</v>
      </c>
      <c r="C1691" s="226">
        <v>96061</v>
      </c>
      <c r="H1691" s="225"/>
      <c r="K1691" s="225"/>
      <c r="P1691" s="225"/>
    </row>
    <row r="1692" spans="1:16">
      <c r="A1692" s="226"/>
      <c r="B1692" s="131" t="s">
        <v>2682</v>
      </c>
      <c r="C1692" s="226">
        <v>98481</v>
      </c>
      <c r="H1692" s="225"/>
      <c r="K1692" s="225"/>
      <c r="P1692" s="225"/>
    </row>
    <row r="1693" spans="1:16">
      <c r="A1693" s="226"/>
      <c r="B1693" s="131" t="s">
        <v>2683</v>
      </c>
      <c r="C1693" s="226">
        <v>93602</v>
      </c>
      <c r="H1693" s="225"/>
      <c r="K1693" s="225"/>
      <c r="P1693" s="225"/>
    </row>
    <row r="1694" spans="1:16">
      <c r="A1694" s="226"/>
      <c r="B1694" s="131" t="s">
        <v>1484</v>
      </c>
      <c r="C1694" s="226">
        <v>98401</v>
      </c>
      <c r="H1694" s="225"/>
      <c r="K1694" s="225"/>
      <c r="P1694" s="225"/>
    </row>
    <row r="1695" spans="1:16">
      <c r="A1695" s="226"/>
      <c r="B1695" s="131" t="s">
        <v>2684</v>
      </c>
      <c r="C1695" s="51">
        <v>99821</v>
      </c>
      <c r="H1695" s="225"/>
      <c r="K1695" s="225"/>
      <c r="P1695" s="225"/>
    </row>
    <row r="1696" spans="1:16">
      <c r="A1696" s="226"/>
      <c r="B1696" s="131" t="s">
        <v>2685</v>
      </c>
      <c r="C1696" s="226">
        <v>96211</v>
      </c>
      <c r="H1696" s="225"/>
      <c r="K1696" s="225"/>
      <c r="P1696" s="225"/>
    </row>
    <row r="1697" spans="1:16">
      <c r="A1697" s="226"/>
      <c r="B1697" s="131" t="s">
        <v>2010</v>
      </c>
      <c r="C1697" s="226">
        <v>94911</v>
      </c>
      <c r="H1697" s="225"/>
      <c r="K1697" s="225"/>
      <c r="P1697" s="225"/>
    </row>
    <row r="1698" spans="1:16">
      <c r="A1698" s="226"/>
      <c r="B1698" s="131" t="s">
        <v>1172</v>
      </c>
      <c r="C1698" s="226">
        <v>94917</v>
      </c>
      <c r="H1698" s="225"/>
      <c r="K1698" s="225"/>
      <c r="P1698" s="225"/>
    </row>
    <row r="1699" spans="1:16">
      <c r="A1699" s="226"/>
      <c r="B1699" s="131" t="s">
        <v>2686</v>
      </c>
      <c r="C1699" s="226">
        <v>92621</v>
      </c>
      <c r="H1699" s="225"/>
      <c r="K1699" s="225"/>
      <c r="P1699" s="225"/>
    </row>
    <row r="1700" spans="1:16">
      <c r="A1700" s="226"/>
      <c r="B1700" s="131" t="s">
        <v>1495</v>
      </c>
      <c r="C1700" s="226">
        <v>98501</v>
      </c>
      <c r="H1700" s="225"/>
      <c r="K1700" s="225"/>
      <c r="P1700" s="225"/>
    </row>
    <row r="1701" spans="1:16">
      <c r="A1701" s="226"/>
      <c r="B1701" s="131" t="s">
        <v>2687</v>
      </c>
      <c r="C1701" s="226">
        <v>97931</v>
      </c>
      <c r="H1701" s="225"/>
      <c r="K1701" s="225"/>
      <c r="P1701" s="225"/>
    </row>
    <row r="1702" spans="1:16">
      <c r="A1702" s="226"/>
      <c r="B1702" s="131" t="s">
        <v>2688</v>
      </c>
      <c r="C1702" s="226">
        <v>93914</v>
      </c>
      <c r="H1702" s="225"/>
      <c r="K1702" s="225"/>
      <c r="P1702" s="225"/>
    </row>
    <row r="1703" spans="1:16">
      <c r="A1703" s="226"/>
      <c r="B1703" s="131" t="s">
        <v>2689</v>
      </c>
      <c r="C1703" s="226">
        <v>90651</v>
      </c>
      <c r="H1703" s="225"/>
      <c r="K1703" s="225"/>
      <c r="P1703" s="225"/>
    </row>
    <row r="1704" spans="1:16">
      <c r="A1704" s="226"/>
      <c r="B1704" s="131" t="s">
        <v>2690</v>
      </c>
      <c r="C1704" s="226">
        <v>94171</v>
      </c>
      <c r="H1704" s="225"/>
      <c r="K1704" s="225"/>
      <c r="P1704" s="225"/>
    </row>
    <row r="1705" spans="1:16">
      <c r="A1705" s="226"/>
      <c r="B1705" s="131" t="s">
        <v>1114</v>
      </c>
      <c r="C1705" s="226">
        <v>94172</v>
      </c>
      <c r="H1705" s="225"/>
      <c r="K1705" s="225"/>
      <c r="P1705" s="225"/>
    </row>
    <row r="1706" spans="1:16">
      <c r="A1706" s="226"/>
      <c r="B1706" s="131" t="s">
        <v>2691</v>
      </c>
      <c r="C1706" s="226">
        <v>91041</v>
      </c>
      <c r="H1706" s="225"/>
      <c r="K1706" s="225"/>
      <c r="P1706" s="225"/>
    </row>
    <row r="1707" spans="1:16">
      <c r="A1707" s="226"/>
      <c r="B1707" s="131" t="s">
        <v>2692</v>
      </c>
      <c r="C1707" s="226">
        <v>91047</v>
      </c>
      <c r="H1707" s="225"/>
      <c r="K1707" s="225"/>
      <c r="P1707" s="225"/>
    </row>
    <row r="1708" spans="1:16">
      <c r="A1708" s="226"/>
      <c r="B1708" s="131" t="s">
        <v>2693</v>
      </c>
      <c r="C1708" s="226">
        <v>97131</v>
      </c>
      <c r="H1708" s="225"/>
      <c r="K1708" s="225"/>
      <c r="P1708" s="225"/>
    </row>
    <row r="1709" spans="1:16">
      <c r="A1709" s="226"/>
      <c r="B1709" s="131" t="s">
        <v>1499</v>
      </c>
      <c r="C1709" s="226">
        <v>98601</v>
      </c>
      <c r="H1709" s="225"/>
      <c r="K1709" s="225"/>
      <c r="P1709" s="225"/>
    </row>
    <row r="1710" spans="1:16">
      <c r="A1710" s="226"/>
      <c r="B1710" s="131" t="s">
        <v>1509</v>
      </c>
      <c r="C1710" s="226">
        <v>98701</v>
      </c>
      <c r="H1710" s="225"/>
      <c r="K1710" s="225"/>
      <c r="P1710" s="225"/>
    </row>
    <row r="1711" spans="1:16">
      <c r="A1711" s="226"/>
      <c r="B1711" s="131" t="s">
        <v>2694</v>
      </c>
      <c r="C1711" s="226">
        <v>96721</v>
      </c>
      <c r="H1711" s="225"/>
      <c r="K1711" s="225"/>
      <c r="P1711" s="225"/>
    </row>
    <row r="1712" spans="1:16">
      <c r="A1712" s="226"/>
      <c r="B1712" s="131" t="s">
        <v>2695</v>
      </c>
      <c r="C1712" s="226">
        <v>95011</v>
      </c>
      <c r="H1712" s="225"/>
      <c r="K1712" s="225"/>
      <c r="P1712" s="225"/>
    </row>
    <row r="1713" spans="1:16">
      <c r="A1713" s="226"/>
      <c r="B1713" s="131" t="s">
        <v>2696</v>
      </c>
      <c r="C1713" s="226">
        <v>92451</v>
      </c>
      <c r="H1713" s="225"/>
      <c r="K1713" s="225"/>
      <c r="P1713" s="225"/>
    </row>
    <row r="1714" spans="1:16">
      <c r="A1714" s="226"/>
      <c r="B1714" s="131" t="s">
        <v>2697</v>
      </c>
      <c r="C1714" s="226">
        <v>93311</v>
      </c>
      <c r="H1714" s="225"/>
      <c r="K1714" s="225"/>
      <c r="P1714" s="225"/>
    </row>
    <row r="1715" spans="1:16">
      <c r="A1715" s="226"/>
      <c r="B1715" s="131" t="s">
        <v>1029</v>
      </c>
      <c r="C1715" s="226">
        <v>93317</v>
      </c>
      <c r="H1715" s="225"/>
      <c r="K1715" s="225"/>
      <c r="P1715" s="225"/>
    </row>
    <row r="1716" spans="1:16">
      <c r="A1716" s="226"/>
      <c r="B1716" s="131" t="s">
        <v>2698</v>
      </c>
      <c r="C1716" s="226">
        <v>90211</v>
      </c>
      <c r="H1716" s="225"/>
      <c r="K1716" s="225"/>
      <c r="P1716" s="225"/>
    </row>
    <row r="1717" spans="1:16">
      <c r="A1717" s="226"/>
      <c r="B1717" s="131" t="s">
        <v>2699</v>
      </c>
      <c r="C1717" s="226">
        <v>96302</v>
      </c>
      <c r="H1717" s="225"/>
      <c r="K1717" s="225"/>
      <c r="P1717" s="225"/>
    </row>
    <row r="1718" spans="1:16">
      <c r="A1718" s="226"/>
      <c r="B1718" s="131" t="s">
        <v>2700</v>
      </c>
      <c r="C1718" s="226">
        <v>93181</v>
      </c>
      <c r="H1718" s="225"/>
      <c r="K1718" s="225"/>
      <c r="P1718" s="225"/>
    </row>
    <row r="1719" spans="1:16">
      <c r="A1719" s="226"/>
      <c r="B1719" s="131" t="s">
        <v>2011</v>
      </c>
      <c r="C1719" s="226">
        <v>92911</v>
      </c>
      <c r="H1719" s="225"/>
      <c r="K1719" s="225"/>
      <c r="P1719" s="225"/>
    </row>
    <row r="1720" spans="1:16">
      <c r="A1720" s="226"/>
      <c r="B1720" s="131" t="s">
        <v>993</v>
      </c>
      <c r="C1720" s="226">
        <v>92914</v>
      </c>
      <c r="H1720" s="225"/>
      <c r="K1720" s="225"/>
      <c r="P1720" s="225"/>
    </row>
    <row r="1721" spans="1:16">
      <c r="A1721" s="226"/>
      <c r="B1721" s="131" t="s">
        <v>992</v>
      </c>
      <c r="C1721" s="226">
        <v>92913</v>
      </c>
      <c r="H1721" s="225"/>
      <c r="K1721" s="225"/>
      <c r="P1721" s="225"/>
    </row>
    <row r="1722" spans="1:16">
      <c r="A1722" s="226"/>
      <c r="B1722" s="131" t="s">
        <v>2701</v>
      </c>
      <c r="C1722" s="226">
        <v>93471</v>
      </c>
      <c r="H1722" s="225"/>
      <c r="K1722" s="225"/>
      <c r="P1722" s="225"/>
    </row>
    <row r="1723" spans="1:16">
      <c r="A1723" s="226"/>
      <c r="B1723" s="131" t="s">
        <v>732</v>
      </c>
      <c r="C1723" s="226">
        <v>90098</v>
      </c>
      <c r="H1723" s="225"/>
      <c r="K1723" s="225"/>
      <c r="P1723" s="225"/>
    </row>
    <row r="1724" spans="1:16">
      <c r="A1724" s="226"/>
      <c r="B1724" s="131" t="s">
        <v>2702</v>
      </c>
      <c r="C1724" s="226">
        <v>97121</v>
      </c>
      <c r="H1724" s="225"/>
      <c r="K1724" s="225"/>
      <c r="P1724" s="225"/>
    </row>
    <row r="1725" spans="1:16">
      <c r="A1725" s="226"/>
      <c r="B1725" s="131" t="s">
        <v>1512</v>
      </c>
      <c r="C1725" s="226">
        <v>98801</v>
      </c>
      <c r="H1725" s="225"/>
      <c r="K1725" s="225"/>
      <c r="P1725" s="225"/>
    </row>
    <row r="1726" spans="1:16">
      <c r="A1726" s="226"/>
      <c r="B1726" s="131" t="s">
        <v>2703</v>
      </c>
      <c r="C1726" s="226">
        <v>92521</v>
      </c>
      <c r="H1726" s="225"/>
      <c r="K1726" s="225"/>
      <c r="P1726" s="225"/>
    </row>
    <row r="1727" spans="1:16">
      <c r="A1727" s="226"/>
      <c r="B1727" s="131" t="s">
        <v>1042</v>
      </c>
      <c r="C1727" s="226">
        <v>93417</v>
      </c>
      <c r="H1727" s="225"/>
      <c r="K1727" s="225"/>
      <c r="P1727" s="225"/>
    </row>
    <row r="1728" spans="1:16">
      <c r="A1728" s="226"/>
      <c r="B1728" s="131" t="s">
        <v>1023</v>
      </c>
      <c r="C1728" s="226">
        <v>93219</v>
      </c>
      <c r="H1728" s="225"/>
      <c r="K1728" s="225"/>
      <c r="P1728" s="225"/>
    </row>
    <row r="1729" spans="1:16">
      <c r="A1729" s="226"/>
      <c r="B1729" s="131" t="s">
        <v>957</v>
      </c>
      <c r="C1729" s="226">
        <v>92513</v>
      </c>
      <c r="H1729" s="225"/>
      <c r="K1729" s="225"/>
      <c r="P1729" s="225"/>
    </row>
    <row r="1730" spans="1:16">
      <c r="A1730" s="226"/>
      <c r="B1730" s="131" t="s">
        <v>2012</v>
      </c>
      <c r="C1730" s="226">
        <v>97661</v>
      </c>
      <c r="H1730" s="225"/>
      <c r="K1730" s="225"/>
      <c r="P1730" s="225"/>
    </row>
    <row r="1731" spans="1:16">
      <c r="A1731" s="226"/>
      <c r="B1731" s="131" t="s">
        <v>2704</v>
      </c>
      <c r="C1731" s="226">
        <v>94931</v>
      </c>
      <c r="H1731" s="225"/>
      <c r="K1731" s="225"/>
      <c r="P1731" s="225"/>
    </row>
    <row r="1732" spans="1:16">
      <c r="A1732" s="226"/>
      <c r="B1732" s="255" t="s">
        <v>2705</v>
      </c>
      <c r="C1732" s="226">
        <v>94937</v>
      </c>
      <c r="H1732" s="225"/>
      <c r="K1732" s="225"/>
      <c r="P1732" s="225"/>
    </row>
    <row r="1733" spans="1:16">
      <c r="A1733" s="226"/>
      <c r="B1733" s="131" t="s">
        <v>2706</v>
      </c>
      <c r="C1733" s="226">
        <v>96221</v>
      </c>
      <c r="H1733" s="225"/>
      <c r="K1733" s="225"/>
      <c r="P1733" s="225"/>
    </row>
    <row r="1734" spans="1:16">
      <c r="A1734" s="226"/>
      <c r="B1734" s="131" t="s">
        <v>2707</v>
      </c>
      <c r="C1734" s="226">
        <v>97511</v>
      </c>
      <c r="H1734" s="225"/>
      <c r="K1734" s="225"/>
      <c r="P1734" s="225"/>
    </row>
    <row r="1735" spans="1:16">
      <c r="A1735" s="226"/>
      <c r="B1735" s="131" t="s">
        <v>1179</v>
      </c>
      <c r="C1735" s="226">
        <v>95002</v>
      </c>
      <c r="H1735" s="225"/>
      <c r="K1735" s="225"/>
      <c r="P1735" s="225"/>
    </row>
    <row r="1736" spans="1:16">
      <c r="A1736" s="226"/>
      <c r="B1736" s="131" t="s">
        <v>2708</v>
      </c>
      <c r="C1736" s="226">
        <v>98251</v>
      </c>
      <c r="H1736" s="225"/>
      <c r="K1736" s="225"/>
      <c r="P1736" s="225"/>
    </row>
    <row r="1737" spans="1:16">
      <c r="A1737" s="226"/>
      <c r="B1737" s="131" t="s">
        <v>1515</v>
      </c>
      <c r="C1737" s="226">
        <v>98901</v>
      </c>
      <c r="H1737" s="225"/>
      <c r="K1737" s="225"/>
      <c r="P1737" s="225"/>
    </row>
    <row r="1738" spans="1:16">
      <c r="A1738" s="226"/>
      <c r="B1738" s="131" t="s">
        <v>2783</v>
      </c>
      <c r="C1738" s="226">
        <v>98904</v>
      </c>
      <c r="H1738" s="225"/>
      <c r="K1738" s="225"/>
      <c r="P1738" s="225"/>
    </row>
    <row r="1739" spans="1:16">
      <c r="A1739" s="226"/>
      <c r="B1739" s="131" t="s">
        <v>1518</v>
      </c>
      <c r="C1739" s="226">
        <v>99001</v>
      </c>
      <c r="H1739" s="225"/>
      <c r="K1739" s="225"/>
      <c r="P1739" s="225"/>
    </row>
    <row r="1740" spans="1:16">
      <c r="A1740" s="226"/>
      <c r="B1740" s="131" t="s">
        <v>2746</v>
      </c>
      <c r="C1740" s="226">
        <v>99061</v>
      </c>
      <c r="H1740" s="225"/>
      <c r="K1740" s="225"/>
      <c r="P1740" s="225"/>
    </row>
    <row r="1741" spans="1:16">
      <c r="A1741" s="226"/>
      <c r="B1741" s="131" t="s">
        <v>1027</v>
      </c>
      <c r="C1741" s="226">
        <v>93309</v>
      </c>
      <c r="H1741" s="225"/>
      <c r="K1741" s="225"/>
      <c r="P1741" s="225"/>
    </row>
    <row r="1742" spans="1:16">
      <c r="A1742" s="226"/>
      <c r="B1742" s="131" t="s">
        <v>2709</v>
      </c>
      <c r="C1742" s="226">
        <v>91211</v>
      </c>
      <c r="H1742" s="225"/>
      <c r="K1742" s="225"/>
      <c r="P1742" s="225"/>
    </row>
    <row r="1743" spans="1:16">
      <c r="A1743" s="226"/>
      <c r="B1743" s="251" t="s">
        <v>1928</v>
      </c>
      <c r="C1743" s="226">
        <v>94947</v>
      </c>
      <c r="H1743" s="225"/>
      <c r="K1743" s="225"/>
      <c r="P1743" s="225"/>
    </row>
    <row r="1744" spans="1:16">
      <c r="A1744" s="226"/>
      <c r="B1744" s="131" t="s">
        <v>849</v>
      </c>
      <c r="C1744" s="226">
        <v>91213</v>
      </c>
      <c r="H1744" s="225"/>
      <c r="K1744" s="225"/>
      <c r="P1744" s="225"/>
    </row>
    <row r="1745" spans="1:16">
      <c r="A1745" s="226"/>
      <c r="B1745" s="131" t="s">
        <v>1532</v>
      </c>
      <c r="C1745" s="226">
        <v>99101</v>
      </c>
      <c r="H1745" s="225"/>
      <c r="K1745" s="225"/>
      <c r="P1745" s="225"/>
    </row>
    <row r="1746" spans="1:16">
      <c r="A1746" s="226"/>
      <c r="B1746" s="131" t="s">
        <v>2782</v>
      </c>
      <c r="C1746" s="226">
        <v>99104</v>
      </c>
      <c r="H1746" s="225"/>
      <c r="K1746" s="225"/>
      <c r="P1746" s="225"/>
    </row>
    <row r="1747" spans="1:16">
      <c r="A1747" s="226"/>
      <c r="B1747" s="131" t="s">
        <v>2710</v>
      </c>
      <c r="C1747" s="226">
        <v>92551</v>
      </c>
      <c r="H1747" s="225"/>
      <c r="K1747" s="225"/>
      <c r="P1747" s="225"/>
    </row>
    <row r="1748" spans="1:16">
      <c r="A1748" s="226"/>
      <c r="B1748" s="131" t="s">
        <v>2711</v>
      </c>
      <c r="C1748" s="226">
        <v>96321</v>
      </c>
      <c r="H1748" s="225"/>
      <c r="K1748" s="225"/>
      <c r="P1748" s="225"/>
    </row>
    <row r="1749" spans="1:16">
      <c r="A1749" s="226"/>
      <c r="B1749" s="131" t="s">
        <v>1182</v>
      </c>
      <c r="C1749" s="226">
        <v>95009</v>
      </c>
      <c r="H1749" s="225"/>
      <c r="K1749" s="225"/>
      <c r="P1749" s="225"/>
    </row>
    <row r="1750" spans="1:16">
      <c r="A1750" s="226"/>
      <c r="B1750" s="131" t="s">
        <v>2712</v>
      </c>
      <c r="C1750" s="226">
        <v>92641</v>
      </c>
      <c r="H1750" s="225"/>
      <c r="K1750" s="225"/>
      <c r="P1750" s="225"/>
    </row>
    <row r="1751" spans="1:16">
      <c r="A1751" s="226"/>
      <c r="B1751" s="131" t="s">
        <v>2713</v>
      </c>
      <c r="C1751" s="226">
        <v>90411</v>
      </c>
      <c r="H1751" s="225"/>
      <c r="K1751" s="225"/>
      <c r="P1751" s="225"/>
    </row>
    <row r="1752" spans="1:16">
      <c r="A1752" s="226"/>
      <c r="B1752" s="131" t="s">
        <v>754</v>
      </c>
      <c r="C1752" s="226">
        <v>90417</v>
      </c>
      <c r="H1752" s="225"/>
      <c r="K1752" s="225"/>
      <c r="P1752" s="225"/>
    </row>
    <row r="1753" spans="1:16">
      <c r="A1753" s="226"/>
      <c r="B1753" s="131" t="s">
        <v>753</v>
      </c>
      <c r="C1753" s="226">
        <v>90413</v>
      </c>
      <c r="H1753" s="225"/>
      <c r="K1753" s="225"/>
      <c r="P1753" s="225"/>
    </row>
    <row r="1754" spans="1:16">
      <c r="A1754" s="226"/>
      <c r="B1754" s="131" t="s">
        <v>2714</v>
      </c>
      <c r="C1754" s="226">
        <v>98321</v>
      </c>
      <c r="H1754" s="225"/>
      <c r="K1754" s="225"/>
      <c r="P1754" s="225"/>
    </row>
    <row r="1755" spans="1:16">
      <c r="A1755" s="226"/>
      <c r="B1755" s="131" t="s">
        <v>1537</v>
      </c>
      <c r="C1755" s="51">
        <v>99201</v>
      </c>
      <c r="H1755" s="225"/>
      <c r="K1755" s="225"/>
      <c r="P1755" s="225"/>
    </row>
    <row r="1756" spans="1:16">
      <c r="A1756" s="226"/>
      <c r="B1756" s="131" t="s">
        <v>1540</v>
      </c>
      <c r="C1756" s="226">
        <v>99204</v>
      </c>
      <c r="H1756" s="225"/>
      <c r="K1756" s="225"/>
      <c r="P1756" s="225"/>
    </row>
    <row r="1757" spans="1:16">
      <c r="A1757" s="226"/>
      <c r="B1757" s="131" t="s">
        <v>1542</v>
      </c>
      <c r="C1757" s="226">
        <v>99207</v>
      </c>
      <c r="H1757" s="225"/>
      <c r="K1757" s="225"/>
      <c r="P1757" s="225"/>
    </row>
    <row r="1758" spans="1:16">
      <c r="A1758" s="226"/>
      <c r="B1758" s="131" t="s">
        <v>2715</v>
      </c>
      <c r="C1758" s="226">
        <v>99281</v>
      </c>
      <c r="H1758" s="225"/>
      <c r="K1758" s="225"/>
      <c r="P1758" s="225"/>
    </row>
    <row r="1759" spans="1:16">
      <c r="A1759" s="226"/>
      <c r="B1759" s="131" t="s">
        <v>2716</v>
      </c>
      <c r="C1759" s="226">
        <v>93461</v>
      </c>
      <c r="H1759" s="225"/>
      <c r="K1759" s="225"/>
      <c r="P1759" s="225"/>
    </row>
    <row r="1760" spans="1:16">
      <c r="A1760" s="226"/>
      <c r="B1760" s="131" t="s">
        <v>2717</v>
      </c>
      <c r="C1760" s="226">
        <v>93151</v>
      </c>
      <c r="H1760" s="225"/>
      <c r="K1760" s="225"/>
      <c r="P1760" s="225"/>
    </row>
    <row r="1761" spans="1:16">
      <c r="A1761" s="226"/>
      <c r="B1761" s="131" t="s">
        <v>1012</v>
      </c>
      <c r="C1761" s="226">
        <v>93157</v>
      </c>
      <c r="H1761" s="225"/>
      <c r="K1761" s="225"/>
      <c r="P1761" s="225"/>
    </row>
    <row r="1762" spans="1:16">
      <c r="A1762" s="226"/>
      <c r="B1762" s="131" t="s">
        <v>2718</v>
      </c>
      <c r="C1762" s="226">
        <v>98511</v>
      </c>
      <c r="H1762" s="225"/>
      <c r="K1762" s="225"/>
      <c r="P1762" s="225"/>
    </row>
    <row r="1763" spans="1:16">
      <c r="A1763" s="226"/>
      <c r="B1763" s="131" t="s">
        <v>1497</v>
      </c>
      <c r="C1763" s="226">
        <v>98517</v>
      </c>
      <c r="H1763" s="225"/>
      <c r="K1763" s="225"/>
      <c r="P1763" s="225"/>
    </row>
    <row r="1764" spans="1:16">
      <c r="A1764" s="226"/>
      <c r="B1764" s="131" t="s">
        <v>2719</v>
      </c>
      <c r="C1764" s="226">
        <v>99661</v>
      </c>
      <c r="H1764" s="225"/>
      <c r="K1764" s="225"/>
      <c r="P1764" s="225"/>
    </row>
    <row r="1765" spans="1:16">
      <c r="A1765" s="226"/>
      <c r="B1765" s="131" t="s">
        <v>2720</v>
      </c>
      <c r="C1765" s="226">
        <v>94031</v>
      </c>
      <c r="H1765" s="225"/>
      <c r="K1765" s="225"/>
      <c r="P1765" s="225"/>
    </row>
    <row r="1766" spans="1:16">
      <c r="A1766" s="226"/>
      <c r="B1766" s="131" t="s">
        <v>1559</v>
      </c>
      <c r="C1766" s="226">
        <v>99301</v>
      </c>
      <c r="H1766" s="225"/>
      <c r="K1766" s="225"/>
      <c r="P1766" s="225"/>
    </row>
    <row r="1767" spans="1:16">
      <c r="A1767" s="226"/>
      <c r="B1767" s="131" t="s">
        <v>1560</v>
      </c>
      <c r="C1767" s="226">
        <v>99304</v>
      </c>
      <c r="H1767" s="225"/>
      <c r="K1767" s="225"/>
      <c r="P1767" s="225"/>
    </row>
    <row r="1768" spans="1:16">
      <c r="A1768" s="226"/>
      <c r="B1768" s="131" t="s">
        <v>2721</v>
      </c>
      <c r="C1768" s="226">
        <v>99321</v>
      </c>
      <c r="H1768" s="225"/>
      <c r="K1768" s="225"/>
      <c r="P1768" s="225"/>
    </row>
    <row r="1769" spans="1:16">
      <c r="A1769" s="226"/>
      <c r="B1769" s="131" t="s">
        <v>2722</v>
      </c>
      <c r="C1769" s="226">
        <v>93131</v>
      </c>
      <c r="H1769" s="225"/>
      <c r="K1769" s="225"/>
      <c r="P1769" s="225"/>
    </row>
    <row r="1770" spans="1:16">
      <c r="A1770" s="226"/>
      <c r="B1770" s="131" t="s">
        <v>1009</v>
      </c>
      <c r="C1770" s="226">
        <v>93137</v>
      </c>
      <c r="H1770" s="225"/>
      <c r="K1770" s="225"/>
      <c r="P1770" s="225"/>
    </row>
    <row r="1771" spans="1:16">
      <c r="A1771" s="226"/>
      <c r="B1771" s="131" t="s">
        <v>2013</v>
      </c>
      <c r="C1771" s="226">
        <v>90711</v>
      </c>
      <c r="H1771" s="225"/>
      <c r="K1771" s="225"/>
      <c r="P1771" s="225"/>
    </row>
    <row r="1772" spans="1:16">
      <c r="A1772" s="226"/>
      <c r="B1772" s="131" t="s">
        <v>1563</v>
      </c>
      <c r="C1772" s="226">
        <v>99401</v>
      </c>
      <c r="H1772" s="225"/>
      <c r="K1772" s="225"/>
      <c r="P1772" s="225"/>
    </row>
    <row r="1773" spans="1:16">
      <c r="A1773" s="226"/>
      <c r="B1773" s="131" t="s">
        <v>1564</v>
      </c>
      <c r="C1773" s="226">
        <v>99404</v>
      </c>
      <c r="H1773" s="225"/>
      <c r="K1773" s="225"/>
      <c r="P1773" s="225"/>
    </row>
    <row r="1774" spans="1:16">
      <c r="A1774" s="226"/>
      <c r="B1774" s="131" t="s">
        <v>2723</v>
      </c>
      <c r="C1774" s="226">
        <v>90741</v>
      </c>
      <c r="H1774" s="225"/>
      <c r="K1774" s="225"/>
      <c r="P1774" s="225"/>
    </row>
    <row r="1775" spans="1:16">
      <c r="A1775" s="226"/>
      <c r="B1775" s="131" t="s">
        <v>1570</v>
      </c>
      <c r="C1775" s="226">
        <v>99501</v>
      </c>
      <c r="H1775" s="225"/>
      <c r="K1775" s="225"/>
      <c r="P1775" s="225"/>
    </row>
    <row r="1776" spans="1:16">
      <c r="A1776" s="226"/>
      <c r="B1776" s="131" t="s">
        <v>1573</v>
      </c>
      <c r="C1776" s="226">
        <v>99509</v>
      </c>
      <c r="H1776" s="225"/>
      <c r="K1776" s="225"/>
      <c r="P1776" s="225"/>
    </row>
    <row r="1777" spans="1:16">
      <c r="A1777" s="226"/>
      <c r="B1777" s="131" t="s">
        <v>2781</v>
      </c>
      <c r="C1777" s="226">
        <v>91302</v>
      </c>
      <c r="H1777" s="225"/>
      <c r="K1777" s="225"/>
      <c r="P1777" s="225"/>
    </row>
    <row r="1778" spans="1:16">
      <c r="A1778" s="226"/>
      <c r="B1778" s="131" t="s">
        <v>2724</v>
      </c>
      <c r="C1778" s="226">
        <v>99041</v>
      </c>
      <c r="H1778" s="225"/>
      <c r="K1778" s="225"/>
      <c r="P1778" s="225"/>
    </row>
    <row r="1779" spans="1:16">
      <c r="A1779" s="226"/>
      <c r="B1779" s="131" t="s">
        <v>1526</v>
      </c>
      <c r="C1779" s="226">
        <v>99047</v>
      </c>
      <c r="H1779" s="225"/>
      <c r="K1779" s="225"/>
      <c r="P1779" s="225"/>
    </row>
    <row r="1780" spans="1:16">
      <c r="A1780" s="226"/>
      <c r="B1780" s="131" t="s">
        <v>1578</v>
      </c>
      <c r="C1780" s="226">
        <v>99601</v>
      </c>
      <c r="H1780" s="225"/>
      <c r="K1780" s="225"/>
      <c r="P1780" s="225"/>
    </row>
    <row r="1781" spans="1:16">
      <c r="A1781" s="226"/>
      <c r="B1781" s="131" t="s">
        <v>1581</v>
      </c>
      <c r="C1781" s="226">
        <v>99604</v>
      </c>
      <c r="H1781" s="225"/>
      <c r="K1781" s="225"/>
      <c r="P1781" s="225"/>
    </row>
    <row r="1782" spans="1:16">
      <c r="A1782" s="226"/>
      <c r="B1782" s="131" t="s">
        <v>2725</v>
      </c>
      <c r="C1782" s="226">
        <v>94411</v>
      </c>
      <c r="H1782" s="225"/>
      <c r="K1782" s="225"/>
      <c r="P1782" s="225"/>
    </row>
    <row r="1783" spans="1:16">
      <c r="A1783" s="226"/>
      <c r="B1783" s="131" t="s">
        <v>1139</v>
      </c>
      <c r="C1783" s="226">
        <v>94412</v>
      </c>
      <c r="H1783" s="225"/>
      <c r="K1783" s="225"/>
      <c r="P1783" s="225"/>
    </row>
    <row r="1784" spans="1:16">
      <c r="A1784" s="226"/>
      <c r="B1784" s="131" t="s">
        <v>2726</v>
      </c>
      <c r="C1784" s="226">
        <v>91141</v>
      </c>
      <c r="H1784" s="225"/>
      <c r="K1784" s="225"/>
      <c r="P1784" s="225"/>
    </row>
    <row r="1785" spans="1:16">
      <c r="A1785" s="226"/>
      <c r="B1785" s="131" t="s">
        <v>838</v>
      </c>
      <c r="C1785" s="226">
        <v>91147</v>
      </c>
      <c r="H1785" s="225"/>
      <c r="K1785" s="225"/>
      <c r="P1785" s="225"/>
    </row>
    <row r="1786" spans="1:16">
      <c r="A1786" s="226"/>
      <c r="B1786" s="131" t="s">
        <v>2727</v>
      </c>
      <c r="C1786" s="226">
        <v>99071</v>
      </c>
      <c r="H1786" s="225"/>
      <c r="K1786" s="225"/>
      <c r="P1786" s="225"/>
    </row>
    <row r="1787" spans="1:16">
      <c r="A1787" s="226"/>
      <c r="B1787" s="131" t="s">
        <v>2728</v>
      </c>
      <c r="C1787" s="226">
        <v>94231</v>
      </c>
      <c r="H1787" s="225"/>
      <c r="K1787" s="225"/>
      <c r="P1787" s="225"/>
    </row>
    <row r="1788" spans="1:16">
      <c r="A1788" s="226"/>
      <c r="B1788" s="131" t="s">
        <v>2729</v>
      </c>
      <c r="C1788" s="226">
        <v>99231</v>
      </c>
      <c r="H1788" s="225"/>
      <c r="K1788" s="225"/>
      <c r="P1788" s="225"/>
    </row>
    <row r="1789" spans="1:16">
      <c r="A1789" s="226"/>
      <c r="B1789" s="131" t="s">
        <v>2730</v>
      </c>
      <c r="C1789" s="226">
        <v>99091</v>
      </c>
      <c r="H1789" s="225"/>
      <c r="K1789" s="225"/>
      <c r="P1789" s="225"/>
    </row>
    <row r="1790" spans="1:16">
      <c r="A1790" s="226"/>
      <c r="B1790" s="131" t="s">
        <v>832</v>
      </c>
      <c r="C1790" s="226">
        <v>91120</v>
      </c>
      <c r="H1790" s="225"/>
      <c r="K1790" s="225"/>
      <c r="P1790" s="225"/>
    </row>
    <row r="1791" spans="1:16">
      <c r="A1791" s="226"/>
      <c r="B1791" s="131" t="s">
        <v>946</v>
      </c>
      <c r="C1791" s="226">
        <v>92444</v>
      </c>
      <c r="H1791" s="225"/>
      <c r="K1791" s="225"/>
      <c r="P1791" s="225"/>
    </row>
    <row r="1792" spans="1:16">
      <c r="A1792" s="226"/>
      <c r="B1792" s="131" t="s">
        <v>2731</v>
      </c>
      <c r="C1792" s="226">
        <v>90521</v>
      </c>
      <c r="H1792" s="225"/>
      <c r="K1792" s="225"/>
      <c r="P1792" s="225"/>
    </row>
    <row r="1793" spans="1:16">
      <c r="A1793" s="226"/>
      <c r="B1793" s="131" t="s">
        <v>34</v>
      </c>
      <c r="C1793" s="226">
        <v>90507</v>
      </c>
      <c r="H1793" s="225"/>
      <c r="K1793" s="225"/>
      <c r="P1793" s="225"/>
    </row>
    <row r="1794" spans="1:16">
      <c r="A1794" s="226"/>
      <c r="B1794" s="131" t="s">
        <v>965</v>
      </c>
      <c r="C1794" s="226">
        <v>92602</v>
      </c>
      <c r="H1794" s="225"/>
      <c r="K1794" s="225"/>
      <c r="P1794" s="225"/>
    </row>
    <row r="1795" spans="1:16">
      <c r="A1795" s="226"/>
      <c r="B1795" s="131" t="s">
        <v>882</v>
      </c>
      <c r="C1795" s="226">
        <v>91608</v>
      </c>
      <c r="H1795" s="225"/>
      <c r="K1795" s="225"/>
      <c r="P1795" s="225"/>
    </row>
    <row r="1796" spans="1:16">
      <c r="A1796" s="226"/>
      <c r="B1796" s="131" t="s">
        <v>48</v>
      </c>
      <c r="C1796" s="226">
        <v>91119</v>
      </c>
      <c r="H1796" s="225"/>
      <c r="K1796" s="225"/>
      <c r="P1796" s="225"/>
    </row>
    <row r="1797" spans="1:16">
      <c r="A1797" s="226"/>
      <c r="B1797" s="131" t="s">
        <v>828</v>
      </c>
      <c r="C1797" s="226">
        <v>91107</v>
      </c>
      <c r="H1797" s="225"/>
      <c r="K1797" s="225"/>
      <c r="P1797" s="225"/>
    </row>
    <row r="1798" spans="1:16">
      <c r="A1798" s="226"/>
      <c r="B1798" s="131" t="s">
        <v>2780</v>
      </c>
      <c r="C1798" s="226">
        <v>91818</v>
      </c>
      <c r="H1798" s="225"/>
      <c r="K1798" s="225"/>
      <c r="P1798" s="225"/>
    </row>
    <row r="1799" spans="1:16">
      <c r="A1799" s="226"/>
      <c r="B1799" s="131" t="s">
        <v>903</v>
      </c>
      <c r="C1799" s="226">
        <v>91819</v>
      </c>
      <c r="H1799" s="225"/>
      <c r="K1799" s="225"/>
      <c r="P1799" s="225"/>
    </row>
    <row r="1800" spans="1:16">
      <c r="A1800" s="226"/>
      <c r="B1800" s="131" t="s">
        <v>2732</v>
      </c>
      <c r="C1800" s="226">
        <v>96371</v>
      </c>
      <c r="H1800" s="225"/>
      <c r="K1800" s="225"/>
      <c r="P1800" s="225"/>
    </row>
    <row r="1801" spans="1:16">
      <c r="A1801" s="226"/>
      <c r="B1801" s="131" t="s">
        <v>2733</v>
      </c>
      <c r="C1801" s="226">
        <v>96441</v>
      </c>
      <c r="H1801" s="225"/>
      <c r="K1801" s="225"/>
      <c r="P1801" s="225"/>
    </row>
    <row r="1802" spans="1:16">
      <c r="A1802" s="226"/>
      <c r="B1802" s="131" t="s">
        <v>2734</v>
      </c>
      <c r="C1802" s="226">
        <v>90921</v>
      </c>
      <c r="H1802" s="225"/>
      <c r="K1802" s="225"/>
      <c r="P1802" s="225"/>
    </row>
    <row r="1803" spans="1:16">
      <c r="A1803" s="226"/>
      <c r="B1803" s="131" t="s">
        <v>2014</v>
      </c>
      <c r="C1803" s="226">
        <v>92411</v>
      </c>
      <c r="H1803" s="225"/>
      <c r="K1803" s="225"/>
      <c r="P1803" s="225"/>
    </row>
    <row r="1804" spans="1:16">
      <c r="A1804" s="226"/>
      <c r="B1804" s="131" t="s">
        <v>941</v>
      </c>
      <c r="C1804" s="226">
        <v>92417</v>
      </c>
      <c r="H1804" s="225"/>
      <c r="K1804" s="225"/>
      <c r="P1804" s="225"/>
    </row>
    <row r="1805" spans="1:16">
      <c r="A1805" s="226"/>
      <c r="B1805" s="131" t="s">
        <v>939</v>
      </c>
      <c r="C1805" s="226">
        <v>92403</v>
      </c>
      <c r="H1805" s="225"/>
      <c r="K1805" s="225"/>
      <c r="P1805" s="225"/>
    </row>
    <row r="1806" spans="1:16">
      <c r="A1806" s="226"/>
      <c r="B1806" s="131" t="s">
        <v>1591</v>
      </c>
      <c r="C1806" s="226">
        <v>99701</v>
      </c>
      <c r="H1806" s="225"/>
      <c r="K1806" s="225"/>
      <c r="P1806" s="225"/>
    </row>
    <row r="1807" spans="1:16">
      <c r="A1807" s="226"/>
      <c r="B1807" s="131" t="s">
        <v>2735</v>
      </c>
      <c r="C1807" s="226">
        <v>99721</v>
      </c>
      <c r="H1807" s="225"/>
      <c r="K1807" s="225"/>
      <c r="P1807" s="225"/>
    </row>
    <row r="1808" spans="1:16">
      <c r="A1808" s="226"/>
      <c r="B1808" s="131" t="s">
        <v>1596</v>
      </c>
      <c r="C1808" s="226">
        <v>99727</v>
      </c>
      <c r="H1808" s="225"/>
      <c r="K1808" s="225"/>
      <c r="P1808" s="225"/>
    </row>
    <row r="1809" spans="1:16">
      <c r="A1809" s="226"/>
      <c r="B1809" s="131" t="s">
        <v>2736</v>
      </c>
      <c r="C1809" s="226">
        <v>95811</v>
      </c>
      <c r="H1809" s="225"/>
      <c r="K1809" s="225"/>
      <c r="P1809" s="225"/>
    </row>
    <row r="1810" spans="1:16">
      <c r="A1810" s="226"/>
      <c r="B1810" s="131" t="s">
        <v>1238</v>
      </c>
      <c r="C1810" s="226">
        <v>95813</v>
      </c>
      <c r="H1810" s="225"/>
      <c r="K1810" s="225"/>
      <c r="P1810" s="225"/>
    </row>
    <row r="1811" spans="1:16">
      <c r="A1811" s="226"/>
      <c r="B1811" s="131" t="s">
        <v>2015</v>
      </c>
      <c r="C1811" s="226">
        <v>96531</v>
      </c>
      <c r="H1811" s="225"/>
      <c r="K1811" s="225"/>
      <c r="P1811" s="225"/>
    </row>
    <row r="1812" spans="1:16">
      <c r="A1812" s="226"/>
      <c r="B1812" s="131" t="s">
        <v>1303</v>
      </c>
      <c r="C1812" s="226">
        <v>96503</v>
      </c>
      <c r="H1812" s="225"/>
      <c r="K1812" s="225"/>
      <c r="P1812" s="225"/>
    </row>
    <row r="1813" spans="1:16">
      <c r="A1813" s="226"/>
      <c r="B1813" s="131" t="s">
        <v>2016</v>
      </c>
      <c r="C1813" s="226">
        <v>99811</v>
      </c>
      <c r="H1813" s="225"/>
      <c r="K1813" s="225"/>
      <c r="P1813" s="225"/>
    </row>
    <row r="1814" spans="1:16">
      <c r="A1814" s="226"/>
      <c r="B1814" s="131" t="s">
        <v>2017</v>
      </c>
      <c r="C1814" s="51">
        <v>99818</v>
      </c>
      <c r="H1814" s="225"/>
      <c r="K1814" s="225"/>
      <c r="P1814" s="225"/>
    </row>
    <row r="1815" spans="1:16">
      <c r="A1815" s="226"/>
      <c r="B1815" s="131" t="s">
        <v>1597</v>
      </c>
      <c r="C1815" s="226">
        <v>99801</v>
      </c>
      <c r="H1815" s="225"/>
      <c r="K1815" s="225"/>
      <c r="P1815" s="225"/>
    </row>
    <row r="1816" spans="1:16">
      <c r="A1816" s="226"/>
      <c r="B1816" s="131" t="s">
        <v>1599</v>
      </c>
      <c r="C1816" s="226">
        <v>99804</v>
      </c>
      <c r="H1816" s="225"/>
      <c r="K1816" s="225"/>
      <c r="P1816" s="225"/>
    </row>
    <row r="1817" spans="1:16">
      <c r="A1817" s="226"/>
      <c r="B1817" s="131" t="s">
        <v>2767</v>
      </c>
      <c r="C1817" s="226">
        <v>99802</v>
      </c>
      <c r="H1817" s="225"/>
      <c r="K1817" s="225"/>
      <c r="P1817" s="225"/>
    </row>
    <row r="1818" spans="1:16">
      <c r="A1818" s="226"/>
      <c r="B1818" s="131" t="s">
        <v>1601</v>
      </c>
      <c r="C1818" s="51">
        <v>99812</v>
      </c>
      <c r="H1818" s="225"/>
      <c r="K1818" s="225"/>
      <c r="P1818" s="225"/>
    </row>
    <row r="1819" spans="1:16">
      <c r="A1819" s="226"/>
      <c r="B1819" s="131" t="s">
        <v>2737</v>
      </c>
      <c r="C1819" s="226">
        <v>95191</v>
      </c>
      <c r="H1819" s="225"/>
      <c r="K1819" s="225"/>
      <c r="P1819" s="225"/>
    </row>
    <row r="1820" spans="1:16">
      <c r="A1820" s="226"/>
      <c r="B1820" s="131" t="s">
        <v>2738</v>
      </c>
      <c r="C1820" s="226">
        <v>90812</v>
      </c>
      <c r="H1820" s="225"/>
      <c r="K1820" s="225"/>
      <c r="P1820" s="225"/>
    </row>
    <row r="1821" spans="1:16">
      <c r="A1821" s="226"/>
      <c r="B1821" s="131" t="s">
        <v>2739</v>
      </c>
      <c r="C1821" s="226">
        <v>97221</v>
      </c>
      <c r="H1821" s="225"/>
      <c r="K1821" s="225"/>
      <c r="P1821" s="225"/>
    </row>
    <row r="1822" spans="1:16">
      <c r="A1822" s="226"/>
      <c r="B1822" s="131" t="s">
        <v>2740</v>
      </c>
      <c r="C1822" s="226">
        <v>99031</v>
      </c>
      <c r="H1822" s="225"/>
      <c r="K1822" s="225"/>
      <c r="P1822" s="225"/>
    </row>
    <row r="1823" spans="1:16">
      <c r="A1823" s="226"/>
      <c r="B1823" s="131" t="s">
        <v>2018</v>
      </c>
      <c r="C1823" s="226">
        <v>93411</v>
      </c>
      <c r="H1823" s="225"/>
      <c r="K1823" s="225"/>
      <c r="P1823" s="225"/>
    </row>
    <row r="1824" spans="1:16">
      <c r="A1824" s="226"/>
      <c r="B1824" s="131" t="s">
        <v>1041</v>
      </c>
      <c r="C1824" s="226">
        <v>93413</v>
      </c>
      <c r="H1824" s="225"/>
      <c r="K1824" s="225"/>
      <c r="P1824" s="225"/>
    </row>
    <row r="1825" spans="1:16">
      <c r="A1825" s="226"/>
      <c r="B1825" s="131" t="s">
        <v>2741</v>
      </c>
      <c r="C1825" s="226">
        <v>97451</v>
      </c>
      <c r="H1825" s="225"/>
      <c r="K1825" s="225"/>
      <c r="P1825" s="225"/>
    </row>
    <row r="1826" spans="1:16">
      <c r="A1826" s="226"/>
      <c r="B1826" s="131" t="s">
        <v>2742</v>
      </c>
      <c r="C1826" s="226">
        <v>94631</v>
      </c>
      <c r="H1826" s="225"/>
      <c r="K1826" s="225"/>
      <c r="P1826" s="225"/>
    </row>
    <row r="1827" spans="1:16">
      <c r="A1827" s="226"/>
      <c r="B1827" s="131" t="s">
        <v>2743</v>
      </c>
      <c r="C1827" s="226">
        <v>91171</v>
      </c>
      <c r="H1827" s="225"/>
      <c r="K1827" s="225"/>
      <c r="P1827" s="225"/>
    </row>
    <row r="1828" spans="1:16">
      <c r="A1828" s="226"/>
      <c r="B1828" s="131" t="s">
        <v>827</v>
      </c>
      <c r="C1828" s="226">
        <v>91104</v>
      </c>
      <c r="H1828" s="225"/>
      <c r="K1828" s="225"/>
      <c r="P1828" s="225"/>
    </row>
    <row r="1829" spans="1:16">
      <c r="A1829" s="226"/>
      <c r="B1829" s="131" t="s">
        <v>2779</v>
      </c>
      <c r="C1829" s="226">
        <v>91109</v>
      </c>
      <c r="H1829" s="225"/>
      <c r="K1829" s="225"/>
      <c r="P1829" s="225"/>
    </row>
    <row r="1830" spans="1:16">
      <c r="A1830" s="226"/>
      <c r="B1830" s="131" t="s">
        <v>2744</v>
      </c>
      <c r="C1830" s="226">
        <v>96621</v>
      </c>
      <c r="H1830" s="225"/>
      <c r="K1830" s="225"/>
      <c r="P1830" s="225"/>
    </row>
    <row r="1831" spans="1:16">
      <c r="A1831" s="226"/>
      <c r="B1831" s="131" t="s">
        <v>2492</v>
      </c>
      <c r="C1831" s="226">
        <v>96511</v>
      </c>
      <c r="H1831" s="225"/>
      <c r="K1831" s="225"/>
      <c r="P1831" s="225"/>
    </row>
    <row r="1832" spans="1:16">
      <c r="A1832" s="226"/>
      <c r="B1832" s="131" t="s">
        <v>1607</v>
      </c>
      <c r="C1832" s="51">
        <v>99901</v>
      </c>
      <c r="H1832" s="225"/>
      <c r="K1832" s="225"/>
      <c r="P1832" s="225"/>
    </row>
    <row r="1833" spans="1:16">
      <c r="A1833" s="226"/>
      <c r="B1833" s="131" t="s">
        <v>3515</v>
      </c>
      <c r="C1833" s="226">
        <v>98604</v>
      </c>
      <c r="H1833" s="225"/>
      <c r="K1833" s="225"/>
      <c r="P1833" s="225"/>
    </row>
    <row r="1834" spans="1:16">
      <c r="A1834" s="226"/>
      <c r="B1834" s="131" t="s">
        <v>1502</v>
      </c>
      <c r="C1834" s="226">
        <v>98608</v>
      </c>
      <c r="H1834" s="225"/>
      <c r="K1834" s="225"/>
      <c r="P1834" s="225"/>
    </row>
    <row r="1835" spans="1:16">
      <c r="A1835" s="226"/>
      <c r="B1835" s="131" t="s">
        <v>2491</v>
      </c>
      <c r="C1835" s="51">
        <v>99911</v>
      </c>
      <c r="H1835" s="225"/>
      <c r="K1835" s="225"/>
      <c r="P1835" s="225"/>
    </row>
    <row r="1836" spans="1:16">
      <c r="A1836" s="226"/>
      <c r="B1836" s="131" t="s">
        <v>727</v>
      </c>
      <c r="C1836" s="226">
        <v>90001</v>
      </c>
      <c r="H1836" s="225"/>
      <c r="K1836" s="225"/>
      <c r="P1836" s="225"/>
    </row>
    <row r="1837" spans="1:16">
      <c r="A1837" s="226"/>
      <c r="B1837" s="131" t="s">
        <v>2778</v>
      </c>
      <c r="C1837" s="226">
        <v>90002</v>
      </c>
      <c r="H1837" s="225"/>
      <c r="K1837" s="225"/>
      <c r="P1837" s="225"/>
    </row>
    <row r="1838" spans="1:16">
      <c r="A1838" s="226"/>
      <c r="B1838" s="131" t="s">
        <v>2490</v>
      </c>
      <c r="C1838" s="226">
        <v>91719</v>
      </c>
      <c r="H1838" s="225"/>
      <c r="K1838" s="225"/>
      <c r="P1838" s="225"/>
    </row>
    <row r="1839" spans="1:16">
      <c r="A1839" s="226"/>
      <c r="B1839" s="131" t="s">
        <v>2488</v>
      </c>
      <c r="C1839" s="226">
        <v>93541</v>
      </c>
      <c r="H1839" s="225"/>
      <c r="K1839" s="225"/>
      <c r="P1839" s="225"/>
    </row>
    <row r="1840" spans="1:16">
      <c r="A1840" s="226"/>
      <c r="B1840" s="131" t="s">
        <v>2489</v>
      </c>
      <c r="C1840" s="226">
        <v>99241</v>
      </c>
      <c r="H1840" s="225"/>
      <c r="K1840" s="225"/>
      <c r="P1840" s="225"/>
    </row>
    <row r="1841" spans="1:16">
      <c r="A1841" s="226"/>
      <c r="B1841" s="252"/>
      <c r="H1841" s="225"/>
      <c r="K1841" s="225"/>
      <c r="P1841" s="225"/>
    </row>
    <row r="1842" spans="1:16">
      <c r="B1842" s="252"/>
      <c r="H1842" s="225"/>
      <c r="K1842" s="225"/>
      <c r="P1842" s="225"/>
    </row>
    <row r="1843" spans="1:16">
      <c r="B1843" s="252"/>
      <c r="H1843" s="225"/>
      <c r="K1843" s="225"/>
      <c r="P1843" s="225"/>
    </row>
    <row r="1844" spans="1:16">
      <c r="B1844" s="252"/>
      <c r="H1844" s="225"/>
      <c r="K1844" s="225"/>
      <c r="P1844" s="225"/>
    </row>
    <row r="1845" spans="1:16">
      <c r="B1845" s="252"/>
      <c r="H1845" s="225"/>
      <c r="K1845" s="225"/>
      <c r="P1845" s="225"/>
    </row>
    <row r="1846" spans="1:16">
      <c r="B1846" s="252"/>
      <c r="H1846" s="225"/>
      <c r="K1846" s="225"/>
      <c r="P1846" s="225"/>
    </row>
    <row r="1847" spans="1:16">
      <c r="B1847" s="252"/>
      <c r="H1847" s="225"/>
      <c r="K1847" s="225"/>
      <c r="P1847" s="225"/>
    </row>
    <row r="1848" spans="1:16">
      <c r="B1848" s="252"/>
      <c r="H1848" s="225"/>
      <c r="K1848" s="225"/>
      <c r="P1848" s="225"/>
    </row>
    <row r="1849" spans="1:16">
      <c r="B1849" s="252"/>
      <c r="H1849" s="225"/>
      <c r="K1849" s="225"/>
      <c r="P1849" s="225"/>
    </row>
    <row r="1850" spans="1:16">
      <c r="B1850" s="252"/>
      <c r="H1850" s="225"/>
      <c r="K1850" s="225"/>
      <c r="P1850" s="225"/>
    </row>
    <row r="1851" spans="1:16">
      <c r="B1851" s="252"/>
      <c r="H1851" s="225"/>
      <c r="K1851" s="225"/>
      <c r="P1851" s="225"/>
    </row>
    <row r="1852" spans="1:16">
      <c r="B1852" s="252"/>
      <c r="H1852" s="225"/>
      <c r="K1852" s="225"/>
      <c r="P1852" s="225"/>
    </row>
    <row r="1853" spans="1:16">
      <c r="B1853" s="252"/>
      <c r="H1853" s="225"/>
      <c r="K1853" s="225"/>
      <c r="P1853" s="225"/>
    </row>
    <row r="1854" spans="1:16">
      <c r="B1854" s="252"/>
      <c r="H1854" s="225"/>
      <c r="K1854" s="225"/>
      <c r="P1854" s="225"/>
    </row>
    <row r="1855" spans="1:16">
      <c r="B1855" s="252"/>
      <c r="H1855" s="225"/>
      <c r="K1855" s="225"/>
      <c r="P1855" s="225"/>
    </row>
    <row r="1856" spans="1:16">
      <c r="B1856" s="252"/>
      <c r="H1856" s="225"/>
      <c r="K1856" s="225"/>
      <c r="P1856" s="225"/>
    </row>
    <row r="1857" spans="2:16">
      <c r="B1857" s="252"/>
      <c r="H1857" s="225"/>
      <c r="K1857" s="225"/>
      <c r="P1857" s="225"/>
    </row>
    <row r="1858" spans="2:16">
      <c r="B1858" s="252"/>
      <c r="H1858" s="225"/>
      <c r="K1858" s="225"/>
      <c r="P1858" s="225"/>
    </row>
    <row r="1859" spans="2:16">
      <c r="B1859" s="252"/>
      <c r="H1859" s="225"/>
      <c r="K1859" s="225"/>
      <c r="P1859" s="225"/>
    </row>
    <row r="1860" spans="2:16">
      <c r="B1860" s="252"/>
      <c r="H1860" s="225"/>
      <c r="K1860" s="225"/>
      <c r="P1860" s="225"/>
    </row>
    <row r="1861" spans="2:16">
      <c r="B1861" s="252"/>
      <c r="H1861" s="225"/>
      <c r="K1861" s="225"/>
      <c r="P1861" s="225"/>
    </row>
    <row r="1862" spans="2:16">
      <c r="B1862" s="252"/>
      <c r="H1862" s="225"/>
      <c r="K1862" s="225"/>
      <c r="P1862" s="225"/>
    </row>
    <row r="1863" spans="2:16">
      <c r="B1863" s="252"/>
      <c r="H1863" s="225"/>
      <c r="K1863" s="225"/>
      <c r="P1863" s="225"/>
    </row>
    <row r="1864" spans="2:16">
      <c r="B1864" s="252"/>
      <c r="H1864" s="225"/>
      <c r="K1864" s="225"/>
      <c r="P1864" s="225"/>
    </row>
    <row r="1865" spans="2:16">
      <c r="B1865" s="252"/>
      <c r="H1865" s="225"/>
      <c r="K1865" s="225"/>
      <c r="P1865" s="225"/>
    </row>
    <row r="1866" spans="2:16">
      <c r="B1866" s="252"/>
      <c r="H1866" s="225"/>
      <c r="K1866" s="225"/>
      <c r="P1866" s="225"/>
    </row>
    <row r="1867" spans="2:16">
      <c r="B1867" s="252"/>
      <c r="H1867" s="225"/>
      <c r="K1867" s="225"/>
      <c r="P1867" s="225"/>
    </row>
    <row r="1868" spans="2:16">
      <c r="B1868" s="252"/>
      <c r="H1868" s="225"/>
      <c r="K1868" s="225"/>
      <c r="P1868" s="225"/>
    </row>
    <row r="1869" spans="2:16">
      <c r="B1869" s="252"/>
      <c r="H1869" s="225"/>
      <c r="K1869" s="225"/>
      <c r="P1869" s="225"/>
    </row>
    <row r="1870" spans="2:16">
      <c r="B1870" s="252"/>
      <c r="H1870" s="225"/>
      <c r="K1870" s="225"/>
      <c r="P1870" s="225"/>
    </row>
    <row r="1871" spans="2:16">
      <c r="B1871" s="252"/>
      <c r="H1871" s="225"/>
      <c r="K1871" s="225"/>
      <c r="P1871" s="225"/>
    </row>
    <row r="1872" spans="2:16">
      <c r="B1872" s="252"/>
      <c r="H1872" s="225"/>
      <c r="K1872" s="225"/>
      <c r="P1872" s="225"/>
    </row>
    <row r="1873" spans="2:16">
      <c r="B1873" s="252"/>
      <c r="H1873" s="225"/>
      <c r="K1873" s="225"/>
      <c r="P1873" s="225"/>
    </row>
    <row r="1874" spans="2:16">
      <c r="B1874" s="252"/>
      <c r="H1874" s="225"/>
      <c r="K1874" s="225"/>
      <c r="P1874" s="225"/>
    </row>
    <row r="1875" spans="2:16">
      <c r="B1875" s="252"/>
      <c r="H1875" s="225"/>
      <c r="K1875" s="225"/>
      <c r="P1875" s="225"/>
    </row>
    <row r="1876" spans="2:16">
      <c r="B1876" s="252"/>
      <c r="H1876" s="225"/>
      <c r="K1876" s="225"/>
      <c r="P1876" s="225"/>
    </row>
    <row r="1877" spans="2:16">
      <c r="B1877" s="252"/>
      <c r="H1877" s="225"/>
      <c r="K1877" s="225"/>
      <c r="P1877" s="225"/>
    </row>
    <row r="1878" spans="2:16">
      <c r="B1878" s="252"/>
      <c r="H1878" s="225"/>
      <c r="K1878" s="225"/>
      <c r="P1878" s="225"/>
    </row>
    <row r="1879" spans="2:16">
      <c r="B1879" s="252"/>
      <c r="H1879" s="225"/>
      <c r="K1879" s="225"/>
      <c r="P1879" s="225"/>
    </row>
    <row r="1880" spans="2:16">
      <c r="B1880" s="252"/>
      <c r="H1880" s="225"/>
      <c r="K1880" s="225"/>
      <c r="P1880" s="225"/>
    </row>
    <row r="1881" spans="2:16">
      <c r="B1881" s="252"/>
      <c r="H1881" s="225"/>
      <c r="K1881" s="225"/>
      <c r="P1881" s="225"/>
    </row>
    <row r="1882" spans="2:16">
      <c r="B1882" s="252"/>
      <c r="H1882" s="225"/>
      <c r="K1882" s="225"/>
      <c r="P1882" s="225"/>
    </row>
    <row r="1883" spans="2:16">
      <c r="B1883" s="252"/>
      <c r="H1883" s="225"/>
      <c r="K1883" s="225"/>
      <c r="P1883" s="225"/>
    </row>
    <row r="1884" spans="2:16">
      <c r="B1884" s="252"/>
      <c r="H1884" s="225"/>
      <c r="K1884" s="225"/>
      <c r="P1884" s="225"/>
    </row>
    <row r="1885" spans="2:16">
      <c r="B1885" s="252"/>
      <c r="H1885" s="225"/>
      <c r="K1885" s="225"/>
      <c r="P1885" s="225"/>
    </row>
    <row r="1886" spans="2:16">
      <c r="B1886" s="252"/>
      <c r="H1886" s="225"/>
      <c r="K1886" s="225"/>
      <c r="P1886" s="225"/>
    </row>
    <row r="1887" spans="2:16">
      <c r="B1887" s="252"/>
      <c r="H1887" s="225"/>
      <c r="K1887" s="225"/>
      <c r="P1887" s="225"/>
    </row>
    <row r="1888" spans="2:16">
      <c r="B1888" s="252"/>
      <c r="H1888" s="225"/>
      <c r="K1888" s="225"/>
      <c r="P1888" s="225"/>
    </row>
    <row r="1889" spans="2:16">
      <c r="B1889" s="252"/>
      <c r="H1889" s="225"/>
      <c r="K1889" s="225"/>
      <c r="P1889" s="225"/>
    </row>
    <row r="1890" spans="2:16">
      <c r="B1890" s="252"/>
      <c r="H1890" s="225"/>
      <c r="K1890" s="225"/>
      <c r="P1890" s="225"/>
    </row>
    <row r="1891" spans="2:16">
      <c r="B1891" s="252"/>
      <c r="H1891" s="225"/>
      <c r="K1891" s="225"/>
      <c r="P1891" s="225"/>
    </row>
    <row r="1892" spans="2:16">
      <c r="B1892" s="252"/>
      <c r="H1892" s="225"/>
      <c r="K1892" s="225"/>
      <c r="P1892" s="225"/>
    </row>
    <row r="1893" spans="2:16">
      <c r="B1893" s="252"/>
      <c r="H1893" s="225"/>
      <c r="K1893" s="225"/>
      <c r="P1893" s="225"/>
    </row>
    <row r="1894" spans="2:16">
      <c r="B1894" s="252"/>
      <c r="H1894" s="225"/>
      <c r="K1894" s="225"/>
      <c r="P1894" s="225"/>
    </row>
    <row r="1895" spans="2:16">
      <c r="B1895" s="252"/>
      <c r="H1895" s="225"/>
      <c r="K1895" s="225"/>
      <c r="P1895" s="225"/>
    </row>
    <row r="1896" spans="2:16">
      <c r="B1896" s="252"/>
      <c r="H1896" s="225"/>
      <c r="K1896" s="225"/>
      <c r="P1896" s="225"/>
    </row>
    <row r="1897" spans="2:16">
      <c r="B1897" s="252"/>
      <c r="H1897" s="225"/>
      <c r="K1897" s="225"/>
      <c r="P1897" s="225"/>
    </row>
    <row r="1898" spans="2:16">
      <c r="B1898" s="252"/>
      <c r="H1898" s="225"/>
      <c r="K1898" s="225"/>
      <c r="P1898" s="225"/>
    </row>
    <row r="1899" spans="2:16">
      <c r="B1899" s="252"/>
      <c r="H1899" s="225"/>
      <c r="K1899" s="225"/>
      <c r="P1899" s="225"/>
    </row>
    <row r="1900" spans="2:16">
      <c r="B1900" s="252"/>
      <c r="H1900" s="225"/>
      <c r="K1900" s="225"/>
      <c r="P1900" s="225"/>
    </row>
    <row r="1901" spans="2:16">
      <c r="B1901" s="252"/>
      <c r="H1901" s="225"/>
      <c r="K1901" s="225"/>
      <c r="P1901" s="225"/>
    </row>
    <row r="1902" spans="2:16">
      <c r="B1902" s="252"/>
      <c r="H1902" s="225"/>
      <c r="K1902" s="225"/>
      <c r="P1902" s="225"/>
    </row>
    <row r="1903" spans="2:16">
      <c r="B1903" s="252"/>
      <c r="H1903" s="225"/>
      <c r="K1903" s="225"/>
      <c r="P1903" s="225"/>
    </row>
    <row r="1904" spans="2:16">
      <c r="B1904" s="252"/>
      <c r="H1904" s="225"/>
      <c r="K1904" s="225"/>
      <c r="P1904" s="225"/>
    </row>
    <row r="1905" spans="2:16">
      <c r="B1905" s="252"/>
      <c r="H1905" s="225"/>
      <c r="K1905" s="225"/>
      <c r="P1905" s="225"/>
    </row>
    <row r="1906" spans="2:16">
      <c r="B1906" s="252"/>
      <c r="H1906" s="225"/>
      <c r="K1906" s="225"/>
      <c r="P1906" s="225"/>
    </row>
    <row r="1907" spans="2:16">
      <c r="B1907" s="252"/>
      <c r="H1907" s="225"/>
      <c r="K1907" s="225"/>
      <c r="P1907" s="225"/>
    </row>
    <row r="1908" spans="2:16">
      <c r="B1908" s="252"/>
      <c r="H1908" s="225"/>
      <c r="K1908" s="225"/>
      <c r="P1908" s="225"/>
    </row>
    <row r="1909" spans="2:16">
      <c r="B1909" s="252"/>
      <c r="H1909" s="225"/>
      <c r="K1909" s="225"/>
      <c r="P1909" s="225"/>
    </row>
    <row r="1910" spans="2:16">
      <c r="B1910" s="252"/>
      <c r="H1910" s="225"/>
      <c r="K1910" s="225"/>
      <c r="P1910" s="225"/>
    </row>
  </sheetData>
  <autoFilter ref="A7:T927" xr:uid="{00000000-0009-0000-0000-000007000000}">
    <sortState xmlns:xlrd2="http://schemas.microsoft.com/office/spreadsheetml/2017/richdata2" ref="A8:T927">
      <sortCondition descending="1" sortBy="cellColor" ref="A8:A927" dxfId="22"/>
    </sortState>
  </autoFilter>
  <sortState xmlns:xlrd2="http://schemas.microsoft.com/office/spreadsheetml/2017/richdata2" ref="A8:U30">
    <sortCondition ref="A8:A30"/>
  </sortState>
  <pageMargins left="0.7" right="0.7" top="0.75" bottom="0.75" header="0.3" footer="0.3"/>
  <pageSetup paperSize="5" scale="45"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T1910"/>
  <sheetViews>
    <sheetView zoomScale="90" zoomScaleNormal="90" workbookViewId="0">
      <pane ySplit="7" topLeftCell="A8" activePane="bottomLeft" state="frozen"/>
      <selection activeCell="E4" sqref="E4"/>
      <selection pane="bottomLeft" activeCell="E23" sqref="E23"/>
    </sheetView>
  </sheetViews>
  <sheetFormatPr defaultColWidth="9.140625" defaultRowHeight="15"/>
  <cols>
    <col min="1" max="1" width="10.5703125" style="82" customWidth="1"/>
    <col min="2" max="2" width="48.85546875" style="82" customWidth="1"/>
    <col min="3" max="4" width="13.85546875" style="82" customWidth="1"/>
    <col min="5" max="5" width="30.140625" style="82" customWidth="1"/>
    <col min="6" max="6" width="3.85546875" style="82" customWidth="1"/>
    <col min="7" max="7" width="18.28515625" style="82" customWidth="1"/>
    <col min="8" max="8" width="20" style="89" customWidth="1"/>
    <col min="9" max="9" width="16.85546875" style="82" customWidth="1"/>
    <col min="10" max="10" width="19.42578125" style="82" customWidth="1"/>
    <col min="11" max="11" width="20" style="89" customWidth="1"/>
    <col min="12" max="12" width="3.85546875" style="82" customWidth="1"/>
    <col min="13" max="13" width="18.28515625" style="82" customWidth="1"/>
    <col min="14" max="14" width="11.85546875" style="82" customWidth="1"/>
    <col min="15" max="15" width="19.42578125" style="82" customWidth="1"/>
    <col min="16" max="16" width="20" style="89" customWidth="1"/>
    <col min="17" max="17" width="3.85546875" style="82" customWidth="1"/>
    <col min="18" max="18" width="13.85546875" style="82" customWidth="1"/>
    <col min="19" max="19" width="22.42578125" style="82" customWidth="1"/>
    <col min="20" max="20" width="14.85546875" style="82" bestFit="1" customWidth="1"/>
    <col min="21" max="16384" width="9.140625" style="82"/>
  </cols>
  <sheetData>
    <row r="1" spans="1:20">
      <c r="A1" s="82" t="s">
        <v>1922</v>
      </c>
      <c r="H1" s="82"/>
    </row>
    <row r="2" spans="1:20">
      <c r="A2" s="82" t="s">
        <v>1920</v>
      </c>
      <c r="H2" s="82"/>
    </row>
    <row r="3" spans="1:20" s="95" customFormat="1">
      <c r="A3" s="90"/>
      <c r="B3" s="54" t="s">
        <v>711</v>
      </c>
      <c r="C3" s="249">
        <f>SUM(C9:C927)-SUM(C252:C254)-SUM(C684:C685)-SUM(C794:C795)-SUM(C810:C811)</f>
        <v>0.99999999999999978</v>
      </c>
      <c r="D3" s="249">
        <f>SUM(D9:D927)-SUM(D252:D254)-SUM(D684:D685)-SUM(D794:D795)-SUM(D810:D811)</f>
        <v>1</v>
      </c>
      <c r="E3" s="250">
        <f>SUM(E9:E927)-SUM(E252:E254)-SUM(E684:E685)-SUM(E794:E795)-SUM(E810:E811)</f>
        <v>2372341991</v>
      </c>
      <c r="F3" s="92"/>
      <c r="G3" s="92">
        <f>SUM(G9:G927)-SUM(G252:G254)-SUM(G684:G685)-SUM(G794:G795)-SUM(G810:G811)</f>
        <v>365996013</v>
      </c>
      <c r="H3" s="237">
        <f>SUM(H9:H927)-SUM(H252:H254)-SUM(H684:H685)-SUM(H794:H795)-SUM(H810:H811)</f>
        <v>325651977</v>
      </c>
      <c r="I3" s="92">
        <f>SUM(I9:I927)-SUM(I252:I254)-SUM(I684:I685)-SUM(I794:I795)-SUM(I810:I811)</f>
        <v>629527990</v>
      </c>
      <c r="J3" s="92">
        <f>SUM(J9:J927)-SUM(J252:J254)-SUM(J684:J685)-SUM(J794:J795)-SUM(J810:J811)</f>
        <v>39321171</v>
      </c>
      <c r="K3" s="237">
        <f>SUM(K9:K927)-SUM(K252:K254)-SUM(K684:K685)-SUM(K794:K795)-SUM(K810:K811)</f>
        <v>1360497151</v>
      </c>
      <c r="L3" s="92"/>
      <c r="M3" s="92">
        <f>SUM(M9:M927)-SUM(M252:M254)-SUM(M684:M685)-SUM(M794:M795)-SUM(M810:M811)</f>
        <v>12280987</v>
      </c>
      <c r="N3" s="92">
        <f>SUM(N9:N927)-SUM(N252:N254)-SUM(N684:N685)-SUM(N794:N795)-SUM(N810:N811)</f>
        <v>0</v>
      </c>
      <c r="O3" s="92">
        <f>SUM(O9:O927)-SUM(O252:O254)-SUM(O684:O685)-SUM(O794:O795)-SUM(O810:O811)</f>
        <v>39321083</v>
      </c>
      <c r="P3" s="94">
        <f>SUM(P9:P927)-SUM(P252:P254)-SUM(P684:P685)-SUM(P794:P795)-SUM(P810:P811)</f>
        <v>51602070</v>
      </c>
      <c r="Q3" s="93"/>
      <c r="R3" s="93">
        <f>SUM(R9:R927)-SUM(R252:R254)-SUM(R684:R685)-SUM(R794:R795)-SUM(R810:R811)</f>
        <v>658973009</v>
      </c>
      <c r="S3" s="93">
        <f>SUM(S9:S927)-SUM(S252:S254)-SUM(S684:S685)-SUM(S794:S795)-SUM(S810:S811)</f>
        <v>6</v>
      </c>
      <c r="T3" s="93">
        <f>SUM(T9:T927)-SUM(T252:T254)-SUM(T684:T685)-SUM(T794:T795)-SUM(T810:T811)</f>
        <v>658973015</v>
      </c>
    </row>
    <row r="4" spans="1:20" s="95" customFormat="1">
      <c r="A4" s="90"/>
      <c r="B4" s="54" t="s">
        <v>3513</v>
      </c>
      <c r="C4" s="249">
        <v>1.0000000000000002</v>
      </c>
      <c r="D4" s="249">
        <v>0.99999999999999978</v>
      </c>
      <c r="E4" s="250">
        <v>2372341991</v>
      </c>
      <c r="F4" s="92"/>
      <c r="G4" s="92">
        <v>365996013</v>
      </c>
      <c r="H4" s="237">
        <v>325651977</v>
      </c>
      <c r="I4" s="92">
        <v>629527990</v>
      </c>
      <c r="J4" s="92">
        <v>39321171</v>
      </c>
      <c r="K4" s="237">
        <v>1360497151</v>
      </c>
      <c r="L4" s="92"/>
      <c r="M4" s="92">
        <v>12280987</v>
      </c>
      <c r="N4" s="92">
        <v>0</v>
      </c>
      <c r="O4" s="92">
        <v>39321083</v>
      </c>
      <c r="P4" s="94">
        <v>51602070</v>
      </c>
      <c r="Q4" s="93"/>
      <c r="R4" s="93">
        <v>658973009</v>
      </c>
      <c r="S4" s="93">
        <v>6</v>
      </c>
      <c r="T4" s="93">
        <v>658973015</v>
      </c>
    </row>
    <row r="5" spans="1:20">
      <c r="H5" s="82"/>
    </row>
    <row r="6" spans="1:20">
      <c r="G6" s="83" t="s">
        <v>2</v>
      </c>
      <c r="H6" s="83"/>
      <c r="I6" s="83"/>
      <c r="J6" s="83"/>
      <c r="K6" s="84"/>
      <c r="M6" s="83" t="s">
        <v>3</v>
      </c>
      <c r="N6" s="83"/>
      <c r="O6" s="83"/>
      <c r="P6" s="84"/>
      <c r="R6" s="83" t="s">
        <v>4</v>
      </c>
      <c r="S6" s="83"/>
      <c r="T6" s="83"/>
    </row>
    <row r="7" spans="1:20" ht="120">
      <c r="A7" s="85" t="s">
        <v>0</v>
      </c>
      <c r="B7" s="85" t="s">
        <v>1</v>
      </c>
      <c r="C7" s="85" t="s">
        <v>262</v>
      </c>
      <c r="D7" s="85" t="s">
        <v>263</v>
      </c>
      <c r="E7" s="85" t="s">
        <v>720</v>
      </c>
      <c r="F7" s="85"/>
      <c r="G7" s="85" t="s">
        <v>5</v>
      </c>
      <c r="H7" s="86" t="s">
        <v>6</v>
      </c>
      <c r="I7" s="85" t="s">
        <v>7</v>
      </c>
      <c r="J7" s="85" t="s">
        <v>8</v>
      </c>
      <c r="K7" s="86" t="s">
        <v>721</v>
      </c>
      <c r="L7" s="85"/>
      <c r="M7" s="85" t="s">
        <v>5</v>
      </c>
      <c r="N7" s="85" t="s">
        <v>7</v>
      </c>
      <c r="O7" s="85" t="s">
        <v>8</v>
      </c>
      <c r="P7" s="86" t="s">
        <v>722</v>
      </c>
      <c r="Q7" s="85"/>
      <c r="R7" s="85" t="s">
        <v>9</v>
      </c>
      <c r="S7" s="85" t="s">
        <v>10</v>
      </c>
      <c r="T7" s="85" t="s">
        <v>11</v>
      </c>
    </row>
    <row r="8" spans="1:20">
      <c r="A8" s="7" t="s">
        <v>691</v>
      </c>
      <c r="B8" s="60" t="s">
        <v>690</v>
      </c>
      <c r="C8" s="85"/>
      <c r="D8" s="85"/>
      <c r="E8" s="85"/>
      <c r="F8" s="85"/>
      <c r="G8" s="85"/>
      <c r="H8" s="86"/>
      <c r="I8" s="85"/>
      <c r="J8" s="85"/>
      <c r="K8" s="86"/>
      <c r="L8" s="85"/>
      <c r="M8" s="85"/>
      <c r="N8" s="85"/>
      <c r="O8" s="85"/>
      <c r="P8" s="86"/>
      <c r="Q8" s="85"/>
      <c r="R8" s="85"/>
      <c r="S8" s="85"/>
      <c r="T8" s="85"/>
    </row>
    <row r="9" spans="1:20">
      <c r="A9" s="48">
        <v>70505</v>
      </c>
      <c r="B9" s="49" t="s">
        <v>723</v>
      </c>
      <c r="C9" s="234">
        <v>3.6600000000000001E-4</v>
      </c>
      <c r="D9" s="234">
        <v>4.147E-4</v>
      </c>
      <c r="E9" s="50">
        <v>868277</v>
      </c>
      <c r="F9" s="50"/>
      <c r="G9" s="232">
        <v>133955</v>
      </c>
      <c r="H9" s="220">
        <v>119188</v>
      </c>
      <c r="I9" s="232">
        <v>230407</v>
      </c>
      <c r="J9" s="231">
        <v>0</v>
      </c>
      <c r="K9" s="88">
        <f t="shared" ref="K9:K73" si="0">G9+H9+I9+J9</f>
        <v>483550</v>
      </c>
      <c r="L9" s="50"/>
      <c r="M9" s="232">
        <v>4495</v>
      </c>
      <c r="N9" s="232">
        <v>0</v>
      </c>
      <c r="O9" s="231">
        <v>53689</v>
      </c>
      <c r="P9" s="88">
        <f t="shared" ref="P9:P73" si="1">M9+N9+O9</f>
        <v>58184</v>
      </c>
      <c r="Q9" s="50"/>
      <c r="R9" s="232">
        <v>241184</v>
      </c>
      <c r="S9" s="231">
        <v>-22825</v>
      </c>
      <c r="T9" s="233">
        <v>218359</v>
      </c>
    </row>
    <row r="11" spans="1:20">
      <c r="A11" s="48">
        <v>72265</v>
      </c>
      <c r="B11" s="49" t="s">
        <v>724</v>
      </c>
      <c r="C11" s="234">
        <v>1.538E-4</v>
      </c>
      <c r="D11" s="234">
        <v>1.4009999999999999E-4</v>
      </c>
      <c r="E11" s="50">
        <v>364866</v>
      </c>
      <c r="F11" s="50"/>
      <c r="G11" s="232">
        <v>56290</v>
      </c>
      <c r="H11" s="220">
        <v>50085</v>
      </c>
      <c r="I11" s="232">
        <v>96821</v>
      </c>
      <c r="J11" s="231">
        <v>10295</v>
      </c>
      <c r="K11" s="88">
        <f t="shared" si="0"/>
        <v>213491</v>
      </c>
      <c r="L11" s="50"/>
      <c r="M11" s="232">
        <v>1889</v>
      </c>
      <c r="N11" s="232">
        <v>0</v>
      </c>
      <c r="O11" s="231">
        <v>2396</v>
      </c>
      <c r="P11" s="88">
        <f t="shared" si="1"/>
        <v>4285</v>
      </c>
      <c r="Q11" s="50"/>
      <c r="R11" s="232">
        <v>101350</v>
      </c>
      <c r="S11" s="231">
        <v>5014</v>
      </c>
      <c r="T11" s="233">
        <v>106364</v>
      </c>
    </row>
    <row r="12" spans="1:20">
      <c r="A12" s="48">
        <v>72593</v>
      </c>
      <c r="B12" s="49" t="s">
        <v>2127</v>
      </c>
      <c r="C12" s="234">
        <v>6.0000000000000002E-6</v>
      </c>
      <c r="D12" s="234">
        <v>5.9000000000000003E-6</v>
      </c>
      <c r="E12" s="50">
        <v>14234</v>
      </c>
      <c r="F12" s="50"/>
      <c r="G12" s="232">
        <v>2196</v>
      </c>
      <c r="H12" s="220">
        <v>1954</v>
      </c>
      <c r="I12" s="232">
        <v>3777</v>
      </c>
      <c r="J12" s="231">
        <v>2261</v>
      </c>
      <c r="K12" s="88">
        <f t="shared" si="0"/>
        <v>10188</v>
      </c>
      <c r="L12" s="50"/>
      <c r="M12" s="232">
        <v>74</v>
      </c>
      <c r="N12" s="232">
        <v>0</v>
      </c>
      <c r="O12" s="231">
        <v>590</v>
      </c>
      <c r="P12" s="88">
        <f t="shared" si="1"/>
        <v>664</v>
      </c>
      <c r="Q12" s="50"/>
      <c r="R12" s="232">
        <v>3954</v>
      </c>
      <c r="S12" s="231">
        <v>605</v>
      </c>
      <c r="T12" s="233">
        <v>4559</v>
      </c>
    </row>
    <row r="13" spans="1:20">
      <c r="A13" s="48">
        <v>72657</v>
      </c>
      <c r="B13" s="49" t="s">
        <v>2128</v>
      </c>
      <c r="C13" s="234">
        <v>3.9199999999999997E-5</v>
      </c>
      <c r="D13" s="234">
        <v>3.9900000000000001E-5</v>
      </c>
      <c r="E13" s="50">
        <v>92996</v>
      </c>
      <c r="F13" s="50"/>
      <c r="G13" s="232">
        <v>14347</v>
      </c>
      <c r="H13" s="220">
        <v>12765</v>
      </c>
      <c r="I13" s="232">
        <v>24677</v>
      </c>
      <c r="J13" s="231">
        <v>0</v>
      </c>
      <c r="K13" s="88">
        <f t="shared" si="0"/>
        <v>51789</v>
      </c>
      <c r="L13" s="50"/>
      <c r="M13" s="232">
        <v>481</v>
      </c>
      <c r="N13" s="232">
        <v>0</v>
      </c>
      <c r="O13" s="231">
        <v>6011</v>
      </c>
      <c r="P13" s="88">
        <f t="shared" si="1"/>
        <v>6492</v>
      </c>
      <c r="Q13" s="50"/>
      <c r="R13" s="232">
        <v>25832</v>
      </c>
      <c r="S13" s="231">
        <v>356</v>
      </c>
      <c r="T13" s="233">
        <v>26188</v>
      </c>
    </row>
    <row r="14" spans="1:20">
      <c r="A14" s="48">
        <v>90001</v>
      </c>
      <c r="B14" s="49" t="s">
        <v>727</v>
      </c>
      <c r="C14" s="234">
        <v>8.61E-4</v>
      </c>
      <c r="D14" s="234">
        <v>8.6030000000000004E-4</v>
      </c>
      <c r="E14" s="50">
        <v>2042586</v>
      </c>
      <c r="F14" s="50"/>
      <c r="G14" s="232">
        <v>315123</v>
      </c>
      <c r="H14" s="220">
        <v>280386</v>
      </c>
      <c r="I14" s="232">
        <v>542024</v>
      </c>
      <c r="J14" s="231">
        <v>7657</v>
      </c>
      <c r="K14" s="88">
        <f t="shared" si="0"/>
        <v>1145190</v>
      </c>
      <c r="L14" s="50"/>
      <c r="M14" s="232">
        <v>10574</v>
      </c>
      <c r="N14" s="232">
        <v>0</v>
      </c>
      <c r="O14" s="231">
        <v>10725</v>
      </c>
      <c r="P14" s="88">
        <f t="shared" si="1"/>
        <v>21299</v>
      </c>
      <c r="Q14" s="50"/>
      <c r="R14" s="232">
        <v>567376</v>
      </c>
      <c r="S14" s="231">
        <v>1195</v>
      </c>
      <c r="T14" s="233">
        <v>568571</v>
      </c>
    </row>
    <row r="15" spans="1:20">
      <c r="A15" s="48">
        <v>90002</v>
      </c>
      <c r="B15" s="49" t="s">
        <v>728</v>
      </c>
      <c r="C15" s="234">
        <v>9.5000000000000005E-6</v>
      </c>
      <c r="D15" s="234">
        <v>1.06E-5</v>
      </c>
      <c r="E15" s="50">
        <v>22537</v>
      </c>
      <c r="F15" s="50"/>
      <c r="G15" s="232">
        <v>3477</v>
      </c>
      <c r="H15" s="220">
        <v>3094</v>
      </c>
      <c r="I15" s="232">
        <v>5981</v>
      </c>
      <c r="J15" s="231">
        <v>1636</v>
      </c>
      <c r="K15" s="88">
        <f t="shared" si="0"/>
        <v>14188</v>
      </c>
      <c r="L15" s="50"/>
      <c r="M15" s="232">
        <v>117</v>
      </c>
      <c r="N15" s="232">
        <v>0</v>
      </c>
      <c r="O15" s="231">
        <v>0</v>
      </c>
      <c r="P15" s="88">
        <f t="shared" si="1"/>
        <v>117</v>
      </c>
      <c r="Q15" s="50"/>
      <c r="R15" s="232">
        <v>6260</v>
      </c>
      <c r="S15" s="231">
        <v>737</v>
      </c>
      <c r="T15" s="233">
        <v>6997</v>
      </c>
    </row>
    <row r="16" spans="1:20">
      <c r="A16" s="48">
        <v>90011</v>
      </c>
      <c r="B16" s="49" t="s">
        <v>2129</v>
      </c>
      <c r="C16" s="234">
        <v>1.916E-4</v>
      </c>
      <c r="D16" s="234">
        <v>1.974E-4</v>
      </c>
      <c r="E16" s="50">
        <v>454541</v>
      </c>
      <c r="F16" s="50"/>
      <c r="G16" s="232">
        <v>70125</v>
      </c>
      <c r="H16" s="220">
        <v>62395</v>
      </c>
      <c r="I16" s="232">
        <v>120618</v>
      </c>
      <c r="J16" s="231">
        <v>0</v>
      </c>
      <c r="K16" s="88">
        <f t="shared" si="0"/>
        <v>253138</v>
      </c>
      <c r="L16" s="50"/>
      <c r="M16" s="232">
        <v>2353</v>
      </c>
      <c r="N16" s="232">
        <v>0</v>
      </c>
      <c r="O16" s="231">
        <v>27708</v>
      </c>
      <c r="P16" s="88">
        <f t="shared" si="1"/>
        <v>30061</v>
      </c>
      <c r="Q16" s="50"/>
      <c r="R16" s="232">
        <v>126259</v>
      </c>
      <c r="S16" s="231">
        <v>-9526</v>
      </c>
      <c r="T16" s="233">
        <v>116733</v>
      </c>
    </row>
    <row r="17" spans="1:20">
      <c r="A17" s="48">
        <v>90092</v>
      </c>
      <c r="B17" s="49" t="s">
        <v>730</v>
      </c>
      <c r="C17" s="234">
        <v>3.547E-4</v>
      </c>
      <c r="D17" s="234">
        <v>3.5349999999999997E-4</v>
      </c>
      <c r="E17" s="50">
        <v>841470</v>
      </c>
      <c r="F17" s="50"/>
      <c r="G17" s="232">
        <v>129819</v>
      </c>
      <c r="H17" s="220">
        <v>115509</v>
      </c>
      <c r="I17" s="232">
        <v>223294</v>
      </c>
      <c r="J17" s="231">
        <v>14687</v>
      </c>
      <c r="K17" s="88">
        <f t="shared" si="0"/>
        <v>483309</v>
      </c>
      <c r="L17" s="50"/>
      <c r="M17" s="232">
        <v>4356</v>
      </c>
      <c r="N17" s="232">
        <v>0</v>
      </c>
      <c r="O17" s="231">
        <v>40510</v>
      </c>
      <c r="P17" s="88">
        <f t="shared" si="1"/>
        <v>44866</v>
      </c>
      <c r="Q17" s="50"/>
      <c r="R17" s="232">
        <v>233738</v>
      </c>
      <c r="S17" s="231">
        <v>-38987</v>
      </c>
      <c r="T17" s="233">
        <v>194751</v>
      </c>
    </row>
    <row r="18" spans="1:20">
      <c r="A18" s="48">
        <v>90096</v>
      </c>
      <c r="B18" s="49" t="s">
        <v>731</v>
      </c>
      <c r="C18" s="234">
        <v>9.1730000000000002E-4</v>
      </c>
      <c r="D18" s="234">
        <v>9.7559999999999997E-4</v>
      </c>
      <c r="E18" s="50">
        <v>2176149</v>
      </c>
      <c r="F18" s="50"/>
      <c r="G18" s="232">
        <v>335728</v>
      </c>
      <c r="H18" s="220">
        <v>298720</v>
      </c>
      <c r="I18" s="232">
        <v>577466</v>
      </c>
      <c r="J18" s="231">
        <v>43181</v>
      </c>
      <c r="K18" s="88">
        <f t="shared" si="0"/>
        <v>1255095</v>
      </c>
      <c r="L18" s="50"/>
      <c r="M18" s="232">
        <v>11265</v>
      </c>
      <c r="N18" s="232">
        <v>0</v>
      </c>
      <c r="O18" s="231">
        <v>175620</v>
      </c>
      <c r="P18" s="88">
        <f t="shared" si="1"/>
        <v>186885</v>
      </c>
      <c r="Q18" s="50"/>
      <c r="R18" s="232">
        <v>604476</v>
      </c>
      <c r="S18" s="231">
        <v>-19105</v>
      </c>
      <c r="T18" s="233">
        <v>585371</v>
      </c>
    </row>
    <row r="19" spans="1:20">
      <c r="A19" s="48">
        <v>90098</v>
      </c>
      <c r="B19" s="49" t="s">
        <v>732</v>
      </c>
      <c r="C19" s="234">
        <v>3.1510000000000002E-4</v>
      </c>
      <c r="D19" s="234">
        <v>2.9599999999999998E-4</v>
      </c>
      <c r="E19" s="50">
        <v>747525</v>
      </c>
      <c r="F19" s="50"/>
      <c r="G19" s="232">
        <v>115325</v>
      </c>
      <c r="H19" s="220">
        <v>102613</v>
      </c>
      <c r="I19" s="232">
        <v>198364</v>
      </c>
      <c r="J19" s="231">
        <v>19294</v>
      </c>
      <c r="K19" s="88">
        <f t="shared" si="0"/>
        <v>435596</v>
      </c>
      <c r="L19" s="50"/>
      <c r="M19" s="232">
        <v>3870</v>
      </c>
      <c r="N19" s="232">
        <v>0</v>
      </c>
      <c r="O19" s="231">
        <v>58299</v>
      </c>
      <c r="P19" s="88">
        <f t="shared" si="1"/>
        <v>62169</v>
      </c>
      <c r="Q19" s="50"/>
      <c r="R19" s="232">
        <v>207642</v>
      </c>
      <c r="S19" s="231">
        <v>-47420</v>
      </c>
      <c r="T19" s="233">
        <v>160222</v>
      </c>
    </row>
    <row r="20" spans="1:20">
      <c r="A20" s="48">
        <v>90099</v>
      </c>
      <c r="B20" s="49" t="s">
        <v>733</v>
      </c>
      <c r="C20" s="234">
        <v>6.8800000000000003E-4</v>
      </c>
      <c r="D20" s="234">
        <v>6.6330000000000002E-4</v>
      </c>
      <c r="E20" s="50">
        <v>1632171</v>
      </c>
      <c r="F20" s="50"/>
      <c r="G20" s="232">
        <v>251805</v>
      </c>
      <c r="H20" s="220">
        <v>224048</v>
      </c>
      <c r="I20" s="232">
        <v>433115</v>
      </c>
      <c r="J20" s="231">
        <v>65504</v>
      </c>
      <c r="K20" s="88">
        <f t="shared" si="0"/>
        <v>974472</v>
      </c>
      <c r="L20" s="50"/>
      <c r="M20" s="232">
        <v>8449</v>
      </c>
      <c r="N20" s="232">
        <v>0</v>
      </c>
      <c r="O20" s="231">
        <v>31571</v>
      </c>
      <c r="P20" s="88">
        <f t="shared" si="1"/>
        <v>40020</v>
      </c>
      <c r="Q20" s="50"/>
      <c r="R20" s="232">
        <v>453373</v>
      </c>
      <c r="S20" s="231">
        <v>6742</v>
      </c>
      <c r="T20" s="233">
        <v>460115</v>
      </c>
    </row>
    <row r="21" spans="1:20">
      <c r="A21" s="48">
        <v>90101</v>
      </c>
      <c r="B21" s="49" t="s">
        <v>734</v>
      </c>
      <c r="C21" s="234">
        <v>6.4729000000000002E-3</v>
      </c>
      <c r="D21" s="234">
        <v>6.6312000000000003E-3</v>
      </c>
      <c r="E21" s="50">
        <v>15355933</v>
      </c>
      <c r="F21" s="50"/>
      <c r="G21" s="232">
        <v>2369056</v>
      </c>
      <c r="H21" s="220">
        <v>2107912</v>
      </c>
      <c r="I21" s="232">
        <v>4074872</v>
      </c>
      <c r="J21" s="231">
        <v>152067</v>
      </c>
      <c r="K21" s="88">
        <f t="shared" si="0"/>
        <v>8703907</v>
      </c>
      <c r="L21" s="50"/>
      <c r="M21" s="232">
        <v>79494</v>
      </c>
      <c r="N21" s="232">
        <v>0</v>
      </c>
      <c r="O21" s="231">
        <v>140729</v>
      </c>
      <c r="P21" s="88">
        <f t="shared" si="1"/>
        <v>220223</v>
      </c>
      <c r="Q21" s="50"/>
      <c r="R21" s="232">
        <v>4265466</v>
      </c>
      <c r="S21" s="231">
        <v>32971</v>
      </c>
      <c r="T21" s="233">
        <v>4298437</v>
      </c>
    </row>
    <row r="22" spans="1:20">
      <c r="A22" s="48">
        <v>90111</v>
      </c>
      <c r="B22" s="49" t="s">
        <v>735</v>
      </c>
      <c r="C22" s="234">
        <v>5.0667999999999998E-3</v>
      </c>
      <c r="D22" s="234">
        <v>4.9740000000000001E-3</v>
      </c>
      <c r="E22" s="50">
        <v>12020182</v>
      </c>
      <c r="F22" s="50"/>
      <c r="G22" s="232">
        <v>1854429</v>
      </c>
      <c r="H22" s="220">
        <v>1650013</v>
      </c>
      <c r="I22" s="232">
        <v>3189692</v>
      </c>
      <c r="J22" s="231">
        <v>18312</v>
      </c>
      <c r="K22" s="88">
        <f t="shared" si="0"/>
        <v>6712446</v>
      </c>
      <c r="L22" s="50"/>
      <c r="M22" s="232">
        <v>62225</v>
      </c>
      <c r="N22" s="232">
        <v>0</v>
      </c>
      <c r="O22" s="231">
        <v>49468</v>
      </c>
      <c r="P22" s="88">
        <f t="shared" si="1"/>
        <v>111693</v>
      </c>
      <c r="Q22" s="50"/>
      <c r="R22" s="232">
        <v>3338884</v>
      </c>
      <c r="S22" s="231">
        <v>-51615</v>
      </c>
      <c r="T22" s="233">
        <v>3287269</v>
      </c>
    </row>
    <row r="23" spans="1:20">
      <c r="A23" s="48">
        <v>90114</v>
      </c>
      <c r="B23" s="49" t="s">
        <v>736</v>
      </c>
      <c r="C23" s="234">
        <v>1.0735E-3</v>
      </c>
      <c r="D23" s="234">
        <v>1.0919E-3</v>
      </c>
      <c r="E23" s="50">
        <v>2546709</v>
      </c>
      <c r="F23" s="50"/>
      <c r="G23" s="232">
        <v>392897</v>
      </c>
      <c r="H23" s="220">
        <v>349588</v>
      </c>
      <c r="I23" s="232">
        <v>675798</v>
      </c>
      <c r="J23" s="231">
        <v>1231689</v>
      </c>
      <c r="K23" s="88">
        <f t="shared" si="0"/>
        <v>2649972</v>
      </c>
      <c r="L23" s="50"/>
      <c r="M23" s="232">
        <v>13184</v>
      </c>
      <c r="N23" s="232">
        <v>0</v>
      </c>
      <c r="O23" s="231">
        <v>0</v>
      </c>
      <c r="P23" s="88">
        <f t="shared" si="1"/>
        <v>13184</v>
      </c>
      <c r="Q23" s="50"/>
      <c r="R23" s="232">
        <v>707408</v>
      </c>
      <c r="S23" s="231">
        <v>502556</v>
      </c>
      <c r="T23" s="233">
        <v>1209964</v>
      </c>
    </row>
    <row r="24" spans="1:20">
      <c r="A24" s="48">
        <v>90117</v>
      </c>
      <c r="B24" s="49" t="s">
        <v>737</v>
      </c>
      <c r="C24" s="234">
        <v>1.36E-4</v>
      </c>
      <c r="D24" s="234">
        <v>1.407E-4</v>
      </c>
      <c r="E24" s="50">
        <v>322639</v>
      </c>
      <c r="F24" s="50"/>
      <c r="G24" s="232">
        <v>49775</v>
      </c>
      <c r="H24" s="220">
        <v>44288</v>
      </c>
      <c r="I24" s="232">
        <v>85616</v>
      </c>
      <c r="J24" s="231">
        <v>40224</v>
      </c>
      <c r="K24" s="88">
        <f t="shared" si="0"/>
        <v>219903</v>
      </c>
      <c r="L24" s="50"/>
      <c r="M24" s="232">
        <v>1670</v>
      </c>
      <c r="N24" s="232">
        <v>0</v>
      </c>
      <c r="O24" s="231">
        <v>0</v>
      </c>
      <c r="P24" s="88">
        <f t="shared" si="1"/>
        <v>1670</v>
      </c>
      <c r="Q24" s="50"/>
      <c r="R24" s="232">
        <v>89620</v>
      </c>
      <c r="S24" s="231">
        <v>21821</v>
      </c>
      <c r="T24" s="233">
        <v>111441</v>
      </c>
    </row>
    <row r="25" spans="1:20">
      <c r="A25" s="48">
        <v>90121</v>
      </c>
      <c r="B25" s="49" t="s">
        <v>738</v>
      </c>
      <c r="C25" s="234">
        <v>1.0601E-3</v>
      </c>
      <c r="D25" s="234">
        <v>1.0991E-3</v>
      </c>
      <c r="E25" s="50">
        <v>2514920</v>
      </c>
      <c r="F25" s="50"/>
      <c r="G25" s="232">
        <v>387992</v>
      </c>
      <c r="H25" s="220">
        <v>345223</v>
      </c>
      <c r="I25" s="232">
        <v>667363</v>
      </c>
      <c r="J25" s="231">
        <v>0</v>
      </c>
      <c r="K25" s="88">
        <f t="shared" si="0"/>
        <v>1400578</v>
      </c>
      <c r="L25" s="50"/>
      <c r="M25" s="232">
        <v>13019</v>
      </c>
      <c r="N25" s="232">
        <v>0</v>
      </c>
      <c r="O25" s="231">
        <v>126217</v>
      </c>
      <c r="P25" s="88">
        <f t="shared" si="1"/>
        <v>139236</v>
      </c>
      <c r="Q25" s="50"/>
      <c r="R25" s="232">
        <v>698577</v>
      </c>
      <c r="S25" s="231">
        <v>-43331</v>
      </c>
      <c r="T25" s="233">
        <v>655246</v>
      </c>
    </row>
    <row r="26" spans="1:20">
      <c r="A26" s="48">
        <v>90131</v>
      </c>
      <c r="B26" s="49" t="s">
        <v>2130</v>
      </c>
      <c r="C26" s="234">
        <v>4.7830000000000003E-4</v>
      </c>
      <c r="D26" s="234">
        <v>4.7639999999999998E-4</v>
      </c>
      <c r="E26" s="50">
        <v>1134691</v>
      </c>
      <c r="F26" s="50"/>
      <c r="G26" s="232">
        <v>175056</v>
      </c>
      <c r="H26" s="220">
        <v>155759</v>
      </c>
      <c r="I26" s="232">
        <v>301103</v>
      </c>
      <c r="J26" s="231">
        <v>0</v>
      </c>
      <c r="K26" s="88">
        <f t="shared" si="0"/>
        <v>631918</v>
      </c>
      <c r="L26" s="50"/>
      <c r="M26" s="232">
        <v>5874</v>
      </c>
      <c r="N26" s="232">
        <v>0</v>
      </c>
      <c r="O26" s="231">
        <v>36391</v>
      </c>
      <c r="P26" s="88">
        <f t="shared" si="1"/>
        <v>42265</v>
      </c>
      <c r="Q26" s="50"/>
      <c r="R26" s="232">
        <v>315187</v>
      </c>
      <c r="S26" s="231">
        <v>-18431</v>
      </c>
      <c r="T26" s="233">
        <v>296756</v>
      </c>
    </row>
    <row r="27" spans="1:20">
      <c r="A27" s="48">
        <v>90141</v>
      </c>
      <c r="B27" s="49" t="s">
        <v>2131</v>
      </c>
      <c r="C27" s="234">
        <v>1.4770000000000001E-4</v>
      </c>
      <c r="D27" s="234">
        <v>1.4779999999999999E-4</v>
      </c>
      <c r="E27" s="50">
        <v>350395</v>
      </c>
      <c r="F27" s="50"/>
      <c r="G27" s="232">
        <v>54058</v>
      </c>
      <c r="H27" s="220">
        <v>48099</v>
      </c>
      <c r="I27" s="232">
        <v>92981</v>
      </c>
      <c r="J27" s="231">
        <v>5965</v>
      </c>
      <c r="K27" s="88">
        <f t="shared" si="0"/>
        <v>201103</v>
      </c>
      <c r="L27" s="50"/>
      <c r="M27" s="232">
        <v>1814</v>
      </c>
      <c r="N27" s="232">
        <v>0</v>
      </c>
      <c r="O27" s="231">
        <v>9422</v>
      </c>
      <c r="P27" s="88">
        <f t="shared" si="1"/>
        <v>11236</v>
      </c>
      <c r="Q27" s="50"/>
      <c r="R27" s="232">
        <v>97330</v>
      </c>
      <c r="S27" s="231">
        <v>-1562</v>
      </c>
      <c r="T27" s="233">
        <v>95768</v>
      </c>
    </row>
    <row r="28" spans="1:20">
      <c r="A28" s="48">
        <v>90151</v>
      </c>
      <c r="B28" s="49" t="s">
        <v>2478</v>
      </c>
      <c r="C28" s="234">
        <v>9.7000000000000003E-6</v>
      </c>
      <c r="D28" s="234">
        <v>9.9000000000000001E-6</v>
      </c>
      <c r="E28" s="50">
        <v>23012</v>
      </c>
      <c r="F28" s="50"/>
      <c r="G28" s="232">
        <v>3550</v>
      </c>
      <c r="H28" s="220">
        <v>3159</v>
      </c>
      <c r="I28" s="232">
        <v>6106</v>
      </c>
      <c r="J28" s="231">
        <v>0</v>
      </c>
      <c r="K28" s="88">
        <f t="shared" si="0"/>
        <v>12815</v>
      </c>
      <c r="L28" s="50"/>
      <c r="M28" s="232">
        <v>119</v>
      </c>
      <c r="N28" s="232">
        <v>0</v>
      </c>
      <c r="O28" s="231">
        <v>2941</v>
      </c>
      <c r="P28" s="88">
        <f t="shared" si="1"/>
        <v>3060</v>
      </c>
      <c r="Q28" s="50"/>
      <c r="R28" s="232">
        <v>6392</v>
      </c>
      <c r="S28" s="231">
        <v>-1416</v>
      </c>
      <c r="T28" s="233">
        <v>4976</v>
      </c>
    </row>
    <row r="29" spans="1:20">
      <c r="A29" s="48">
        <v>90161</v>
      </c>
      <c r="B29" s="49" t="s">
        <v>2132</v>
      </c>
      <c r="C29" s="234">
        <v>4.3999999999999999E-5</v>
      </c>
      <c r="D29" s="234">
        <v>3.4199999999999998E-5</v>
      </c>
      <c r="E29" s="50">
        <v>104383</v>
      </c>
      <c r="F29" s="50"/>
      <c r="G29" s="232">
        <v>16104</v>
      </c>
      <c r="H29" s="220">
        <v>14329</v>
      </c>
      <c r="I29" s="232">
        <v>27699</v>
      </c>
      <c r="J29" s="231">
        <v>4975</v>
      </c>
      <c r="K29" s="88">
        <f t="shared" si="0"/>
        <v>63107</v>
      </c>
      <c r="L29" s="50"/>
      <c r="M29" s="232">
        <v>540</v>
      </c>
      <c r="N29" s="232">
        <v>0</v>
      </c>
      <c r="O29" s="231">
        <v>347</v>
      </c>
      <c r="P29" s="88">
        <f t="shared" si="1"/>
        <v>887</v>
      </c>
      <c r="Q29" s="50"/>
      <c r="R29" s="232">
        <v>28995</v>
      </c>
      <c r="S29" s="231">
        <v>2254</v>
      </c>
      <c r="T29" s="233">
        <v>31249</v>
      </c>
    </row>
    <row r="30" spans="1:20">
      <c r="A30" s="48">
        <v>90201</v>
      </c>
      <c r="B30" s="49" t="s">
        <v>743</v>
      </c>
      <c r="C30" s="234">
        <v>1.1705999999999999E-3</v>
      </c>
      <c r="D30" s="234">
        <v>1.2126999999999999E-3</v>
      </c>
      <c r="E30" s="50">
        <v>2777064</v>
      </c>
      <c r="F30" s="50"/>
      <c r="G30" s="232">
        <v>428435</v>
      </c>
      <c r="H30" s="220">
        <v>381209</v>
      </c>
      <c r="I30" s="232">
        <v>736925</v>
      </c>
      <c r="J30" s="231">
        <v>2854</v>
      </c>
      <c r="K30" s="88">
        <f t="shared" si="0"/>
        <v>1549423</v>
      </c>
      <c r="L30" s="50"/>
      <c r="M30" s="232">
        <v>14376</v>
      </c>
      <c r="N30" s="232">
        <v>0</v>
      </c>
      <c r="O30" s="231">
        <v>52999</v>
      </c>
      <c r="P30" s="88">
        <f t="shared" si="1"/>
        <v>67375</v>
      </c>
      <c r="Q30" s="50"/>
      <c r="R30" s="232">
        <v>771394</v>
      </c>
      <c r="S30" s="231">
        <v>18200</v>
      </c>
      <c r="T30" s="233">
        <v>789594</v>
      </c>
    </row>
    <row r="31" spans="1:20">
      <c r="A31" s="48">
        <v>90203</v>
      </c>
      <c r="B31" s="49" t="s">
        <v>744</v>
      </c>
      <c r="C31" s="234">
        <v>1.9909999999999999E-4</v>
      </c>
      <c r="D31" s="234">
        <v>1.994E-4</v>
      </c>
      <c r="E31" s="50">
        <v>472333</v>
      </c>
      <c r="F31" s="50"/>
      <c r="G31" s="232">
        <v>72870</v>
      </c>
      <c r="H31" s="220">
        <v>64837</v>
      </c>
      <c r="I31" s="232">
        <v>125339</v>
      </c>
      <c r="J31" s="231">
        <v>4091</v>
      </c>
      <c r="K31" s="88">
        <f t="shared" si="0"/>
        <v>267137</v>
      </c>
      <c r="L31" s="50"/>
      <c r="M31" s="232">
        <v>2445</v>
      </c>
      <c r="N31" s="232">
        <v>0</v>
      </c>
      <c r="O31" s="231">
        <v>29936</v>
      </c>
      <c r="P31" s="88">
        <f t="shared" si="1"/>
        <v>32381</v>
      </c>
      <c r="Q31" s="50"/>
      <c r="R31" s="232">
        <v>131202</v>
      </c>
      <c r="S31" s="231">
        <v>-17176</v>
      </c>
      <c r="T31" s="233">
        <v>114026</v>
      </c>
    </row>
    <row r="32" spans="1:20">
      <c r="A32" s="48">
        <v>90205</v>
      </c>
      <c r="B32" s="49" t="s">
        <v>745</v>
      </c>
      <c r="C32" s="234">
        <v>3.2499999999999997E-5</v>
      </c>
      <c r="D32" s="234">
        <v>3.0000000000000001E-5</v>
      </c>
      <c r="E32" s="50">
        <v>77101</v>
      </c>
      <c r="F32" s="50"/>
      <c r="G32" s="232">
        <v>11895</v>
      </c>
      <c r="H32" s="220">
        <v>10583</v>
      </c>
      <c r="I32" s="232">
        <v>20460</v>
      </c>
      <c r="J32" s="231">
        <v>2535</v>
      </c>
      <c r="K32" s="88">
        <f t="shared" si="0"/>
        <v>45473</v>
      </c>
      <c r="L32" s="50"/>
      <c r="M32" s="232">
        <v>399</v>
      </c>
      <c r="N32" s="232">
        <v>0</v>
      </c>
      <c r="O32" s="231">
        <v>1911</v>
      </c>
      <c r="P32" s="88">
        <f t="shared" si="1"/>
        <v>2310</v>
      </c>
      <c r="Q32" s="50"/>
      <c r="R32" s="232">
        <v>21417</v>
      </c>
      <c r="S32" s="231">
        <v>484</v>
      </c>
      <c r="T32" s="233">
        <v>21901</v>
      </c>
    </row>
    <row r="33" spans="1:20">
      <c r="A33" s="48">
        <v>90206</v>
      </c>
      <c r="B33" s="49" t="s">
        <v>746</v>
      </c>
      <c r="C33" s="234">
        <v>4.1950000000000001E-4</v>
      </c>
      <c r="D33" s="234">
        <v>4.2069999999999998E-4</v>
      </c>
      <c r="E33" s="50">
        <v>995197</v>
      </c>
      <c r="F33" s="50"/>
      <c r="G33" s="232">
        <v>153535</v>
      </c>
      <c r="H33" s="220">
        <v>136611</v>
      </c>
      <c r="I33" s="232">
        <v>264087</v>
      </c>
      <c r="J33" s="231">
        <v>0</v>
      </c>
      <c r="K33" s="88">
        <f t="shared" si="0"/>
        <v>554233</v>
      </c>
      <c r="L33" s="50"/>
      <c r="M33" s="232">
        <v>5152</v>
      </c>
      <c r="N33" s="232">
        <v>0</v>
      </c>
      <c r="O33" s="231">
        <v>23372</v>
      </c>
      <c r="P33" s="88">
        <f t="shared" si="1"/>
        <v>28524</v>
      </c>
      <c r="Q33" s="50"/>
      <c r="R33" s="232">
        <v>276439</v>
      </c>
      <c r="S33" s="231">
        <v>-212</v>
      </c>
      <c r="T33" s="233">
        <v>276227</v>
      </c>
    </row>
    <row r="34" spans="1:20">
      <c r="A34" s="48">
        <v>90211</v>
      </c>
      <c r="B34" s="49" t="s">
        <v>2133</v>
      </c>
      <c r="C34" s="234">
        <v>1.5330000000000001E-4</v>
      </c>
      <c r="D34" s="234">
        <v>1.4799999999999999E-4</v>
      </c>
      <c r="E34" s="50">
        <v>363680</v>
      </c>
      <c r="F34" s="50"/>
      <c r="G34" s="232">
        <v>56107</v>
      </c>
      <c r="H34" s="220">
        <v>49922</v>
      </c>
      <c r="I34" s="232">
        <v>96507</v>
      </c>
      <c r="J34" s="231">
        <v>7134</v>
      </c>
      <c r="K34" s="88">
        <f t="shared" si="0"/>
        <v>209670</v>
      </c>
      <c r="L34" s="50"/>
      <c r="M34" s="232">
        <v>1883</v>
      </c>
      <c r="N34" s="232">
        <v>0</v>
      </c>
      <c r="O34" s="231">
        <v>9218</v>
      </c>
      <c r="P34" s="88">
        <f t="shared" si="1"/>
        <v>11101</v>
      </c>
      <c r="Q34" s="50"/>
      <c r="R34" s="232">
        <v>101021</v>
      </c>
      <c r="S34" s="231">
        <v>-4342</v>
      </c>
      <c r="T34" s="233">
        <v>96679</v>
      </c>
    </row>
    <row r="35" spans="1:20">
      <c r="A35" s="48">
        <v>90301</v>
      </c>
      <c r="B35" s="49" t="s">
        <v>748</v>
      </c>
      <c r="C35" s="234">
        <v>7.0640000000000004E-4</v>
      </c>
      <c r="D35" s="234">
        <v>6.7040000000000003E-4</v>
      </c>
      <c r="E35" s="50">
        <v>1675822</v>
      </c>
      <c r="F35" s="50"/>
      <c r="G35" s="232">
        <v>258540</v>
      </c>
      <c r="H35" s="220">
        <v>230041</v>
      </c>
      <c r="I35" s="232">
        <v>444699</v>
      </c>
      <c r="J35" s="231">
        <v>1945</v>
      </c>
      <c r="K35" s="88">
        <f t="shared" si="0"/>
        <v>935225</v>
      </c>
      <c r="L35" s="50"/>
      <c r="M35" s="232">
        <v>8675</v>
      </c>
      <c r="N35" s="232">
        <v>0</v>
      </c>
      <c r="O35" s="231">
        <v>11529</v>
      </c>
      <c r="P35" s="88">
        <f t="shared" si="1"/>
        <v>20204</v>
      </c>
      <c r="Q35" s="50"/>
      <c r="R35" s="232">
        <v>465499</v>
      </c>
      <c r="S35" s="231">
        <v>-7033</v>
      </c>
      <c r="T35" s="233">
        <v>458466</v>
      </c>
    </row>
    <row r="36" spans="1:20">
      <c r="A36" s="48">
        <v>90305</v>
      </c>
      <c r="B36" s="49" t="s">
        <v>749</v>
      </c>
      <c r="C36" s="234">
        <v>1.4909999999999999E-4</v>
      </c>
      <c r="D36" s="234">
        <v>1.617E-4</v>
      </c>
      <c r="E36" s="50">
        <v>353716</v>
      </c>
      <c r="F36" s="50"/>
      <c r="G36" s="232">
        <v>54570</v>
      </c>
      <c r="H36" s="220">
        <v>48554</v>
      </c>
      <c r="I36" s="232">
        <v>93863</v>
      </c>
      <c r="J36" s="231">
        <v>12323</v>
      </c>
      <c r="K36" s="88">
        <f t="shared" si="0"/>
        <v>209310</v>
      </c>
      <c r="L36" s="50"/>
      <c r="M36" s="232">
        <v>1831</v>
      </c>
      <c r="N36" s="232">
        <v>0</v>
      </c>
      <c r="O36" s="231">
        <v>0</v>
      </c>
      <c r="P36" s="88">
        <f t="shared" si="1"/>
        <v>1831</v>
      </c>
      <c r="Q36" s="50"/>
      <c r="R36" s="232">
        <v>98253</v>
      </c>
      <c r="S36" s="231">
        <v>10409</v>
      </c>
      <c r="T36" s="233">
        <v>108662</v>
      </c>
    </row>
    <row r="37" spans="1:20">
      <c r="A37" s="48">
        <v>90307</v>
      </c>
      <c r="B37" s="49" t="s">
        <v>2134</v>
      </c>
      <c r="C37" s="234">
        <v>6.6000000000000003E-6</v>
      </c>
      <c r="D37" s="234">
        <v>7.7999999999999999E-6</v>
      </c>
      <c r="E37" s="50">
        <v>15657</v>
      </c>
      <c r="F37" s="50"/>
      <c r="G37" s="232">
        <v>2416</v>
      </c>
      <c r="H37" s="220">
        <v>2149</v>
      </c>
      <c r="I37" s="232">
        <v>4155</v>
      </c>
      <c r="J37" s="231">
        <v>447</v>
      </c>
      <c r="K37" s="88">
        <f t="shared" si="0"/>
        <v>9167</v>
      </c>
      <c r="L37" s="50"/>
      <c r="M37" s="232">
        <v>81</v>
      </c>
      <c r="N37" s="232">
        <v>0</v>
      </c>
      <c r="O37" s="231">
        <v>32</v>
      </c>
      <c r="P37" s="88">
        <f t="shared" si="1"/>
        <v>113</v>
      </c>
      <c r="Q37" s="50"/>
      <c r="R37" s="232">
        <v>4349</v>
      </c>
      <c r="S37" s="231">
        <v>151</v>
      </c>
      <c r="T37" s="233">
        <v>4500</v>
      </c>
    </row>
    <row r="38" spans="1:20">
      <c r="A38" s="48">
        <v>90401</v>
      </c>
      <c r="B38" s="49" t="s">
        <v>751</v>
      </c>
      <c r="C38" s="234">
        <v>1.2583E-3</v>
      </c>
      <c r="D38" s="234">
        <v>1.3270999999999999E-3</v>
      </c>
      <c r="E38" s="50">
        <v>2985118</v>
      </c>
      <c r="F38" s="50"/>
      <c r="G38" s="232">
        <v>460533</v>
      </c>
      <c r="H38" s="220">
        <v>409768</v>
      </c>
      <c r="I38" s="232">
        <v>792135</v>
      </c>
      <c r="J38" s="231">
        <v>17301</v>
      </c>
      <c r="K38" s="88">
        <f t="shared" si="0"/>
        <v>1679737</v>
      </c>
      <c r="L38" s="50"/>
      <c r="M38" s="232">
        <v>15453</v>
      </c>
      <c r="N38" s="232">
        <v>0</v>
      </c>
      <c r="O38" s="231">
        <v>18146</v>
      </c>
      <c r="P38" s="88">
        <f t="shared" si="1"/>
        <v>33599</v>
      </c>
      <c r="Q38" s="50"/>
      <c r="R38" s="232">
        <v>829186</v>
      </c>
      <c r="S38" s="231">
        <v>21476</v>
      </c>
      <c r="T38" s="233">
        <v>850662</v>
      </c>
    </row>
    <row r="39" spans="1:20">
      <c r="A39" s="48">
        <v>90411</v>
      </c>
      <c r="B39" s="49" t="s">
        <v>2135</v>
      </c>
      <c r="C39" s="234">
        <v>3.5110000000000002E-4</v>
      </c>
      <c r="D39" s="234">
        <v>3.5100000000000002E-4</v>
      </c>
      <c r="E39" s="50">
        <v>832929</v>
      </c>
      <c r="F39" s="50"/>
      <c r="G39" s="232">
        <v>128501</v>
      </c>
      <c r="H39" s="220">
        <v>114336</v>
      </c>
      <c r="I39" s="232">
        <v>221027</v>
      </c>
      <c r="J39" s="231">
        <v>0</v>
      </c>
      <c r="K39" s="88">
        <f t="shared" si="0"/>
        <v>463864</v>
      </c>
      <c r="L39" s="50"/>
      <c r="M39" s="232">
        <v>4312</v>
      </c>
      <c r="N39" s="232">
        <v>0</v>
      </c>
      <c r="O39" s="231">
        <v>35756</v>
      </c>
      <c r="P39" s="88">
        <f t="shared" si="1"/>
        <v>40068</v>
      </c>
      <c r="Q39" s="50"/>
      <c r="R39" s="232">
        <v>231365</v>
      </c>
      <c r="S39" s="231">
        <v>-18400</v>
      </c>
      <c r="T39" s="233">
        <v>212965</v>
      </c>
    </row>
    <row r="40" spans="1:20">
      <c r="A40" s="48">
        <v>90413</v>
      </c>
      <c r="B40" s="49" t="s">
        <v>753</v>
      </c>
      <c r="C40" s="234">
        <v>3.4700000000000003E-5</v>
      </c>
      <c r="D40" s="234">
        <v>3.4600000000000001E-5</v>
      </c>
      <c r="E40" s="50">
        <v>82320</v>
      </c>
      <c r="F40" s="50"/>
      <c r="G40" s="232">
        <v>12700</v>
      </c>
      <c r="H40" s="220">
        <v>11300</v>
      </c>
      <c r="I40" s="232">
        <v>21845</v>
      </c>
      <c r="J40" s="231">
        <v>4037</v>
      </c>
      <c r="K40" s="88">
        <f t="shared" si="0"/>
        <v>49882</v>
      </c>
      <c r="L40" s="50"/>
      <c r="M40" s="232">
        <v>426</v>
      </c>
      <c r="N40" s="232">
        <v>0</v>
      </c>
      <c r="O40" s="231">
        <v>687</v>
      </c>
      <c r="P40" s="88">
        <f t="shared" si="1"/>
        <v>1113</v>
      </c>
      <c r="Q40" s="50"/>
      <c r="R40" s="232">
        <v>22866</v>
      </c>
      <c r="S40" s="231">
        <v>3839</v>
      </c>
      <c r="T40" s="233">
        <v>26705</v>
      </c>
    </row>
    <row r="41" spans="1:20">
      <c r="A41" s="48">
        <v>90417</v>
      </c>
      <c r="B41" s="49" t="s">
        <v>754</v>
      </c>
      <c r="C41" s="234">
        <v>1.19E-5</v>
      </c>
      <c r="D41" s="234">
        <v>1.17E-5</v>
      </c>
      <c r="E41" s="50">
        <v>28231</v>
      </c>
      <c r="F41" s="50"/>
      <c r="G41" s="232">
        <v>4355</v>
      </c>
      <c r="H41" s="220">
        <v>3875</v>
      </c>
      <c r="I41" s="232">
        <v>7491</v>
      </c>
      <c r="J41" s="231">
        <v>4872</v>
      </c>
      <c r="K41" s="88">
        <f t="shared" si="0"/>
        <v>20593</v>
      </c>
      <c r="L41" s="50"/>
      <c r="M41" s="232">
        <v>146</v>
      </c>
      <c r="N41" s="232">
        <v>0</v>
      </c>
      <c r="O41" s="231">
        <v>0</v>
      </c>
      <c r="P41" s="88">
        <f t="shared" si="1"/>
        <v>146</v>
      </c>
      <c r="Q41" s="50"/>
      <c r="R41" s="232">
        <v>7842</v>
      </c>
      <c r="S41" s="231">
        <v>1871</v>
      </c>
      <c r="T41" s="233">
        <v>9713</v>
      </c>
    </row>
    <row r="42" spans="1:20">
      <c r="A42" s="48">
        <v>90421</v>
      </c>
      <c r="B42" s="49" t="s">
        <v>2136</v>
      </c>
      <c r="C42" s="234">
        <v>2.09E-5</v>
      </c>
      <c r="D42" s="234">
        <v>2.19E-5</v>
      </c>
      <c r="E42" s="50">
        <v>49582</v>
      </c>
      <c r="F42" s="50"/>
      <c r="G42" s="232">
        <v>7649</v>
      </c>
      <c r="H42" s="220">
        <v>6806</v>
      </c>
      <c r="I42" s="232">
        <v>13157</v>
      </c>
      <c r="J42" s="231">
        <v>0</v>
      </c>
      <c r="K42" s="88">
        <f t="shared" si="0"/>
        <v>27612</v>
      </c>
      <c r="L42" s="50"/>
      <c r="M42" s="232">
        <v>257</v>
      </c>
      <c r="N42" s="232">
        <v>0</v>
      </c>
      <c r="O42" s="231">
        <v>4614</v>
      </c>
      <c r="P42" s="88">
        <f t="shared" si="1"/>
        <v>4871</v>
      </c>
      <c r="Q42" s="50"/>
      <c r="R42" s="232">
        <v>13773</v>
      </c>
      <c r="S42" s="231">
        <v>-2235</v>
      </c>
      <c r="T42" s="233">
        <v>11538</v>
      </c>
    </row>
    <row r="43" spans="1:20">
      <c r="A43" s="48">
        <v>90431</v>
      </c>
      <c r="B43" s="49" t="s">
        <v>2137</v>
      </c>
      <c r="C43" s="234">
        <v>4.5099999999999998E-5</v>
      </c>
      <c r="D43" s="234">
        <v>4.8300000000000002E-5</v>
      </c>
      <c r="E43" s="50">
        <v>106993</v>
      </c>
      <c r="F43" s="50"/>
      <c r="G43" s="232">
        <v>16506</v>
      </c>
      <c r="H43" s="220">
        <v>14687</v>
      </c>
      <c r="I43" s="232">
        <v>28392</v>
      </c>
      <c r="J43" s="231">
        <v>4577</v>
      </c>
      <c r="K43" s="88">
        <f t="shared" si="0"/>
        <v>64162</v>
      </c>
      <c r="L43" s="50"/>
      <c r="M43" s="232">
        <v>554</v>
      </c>
      <c r="N43" s="232">
        <v>0</v>
      </c>
      <c r="O43" s="231">
        <v>2267</v>
      </c>
      <c r="P43" s="88">
        <f t="shared" si="1"/>
        <v>2821</v>
      </c>
      <c r="Q43" s="50"/>
      <c r="R43" s="232">
        <v>29720</v>
      </c>
      <c r="S43" s="231">
        <v>3281</v>
      </c>
      <c r="T43" s="233">
        <v>33001</v>
      </c>
    </row>
    <row r="44" spans="1:20">
      <c r="A44" s="48">
        <v>90441</v>
      </c>
      <c r="B44" s="49" t="s">
        <v>2138</v>
      </c>
      <c r="C44" s="234">
        <v>7.5000000000000002E-6</v>
      </c>
      <c r="D44" s="234">
        <v>8.3999999999999992E-6</v>
      </c>
      <c r="E44" s="50">
        <v>17793</v>
      </c>
      <c r="F44" s="50" t="s">
        <v>1923</v>
      </c>
      <c r="G44" s="232">
        <v>2745</v>
      </c>
      <c r="H44" s="220">
        <v>2443</v>
      </c>
      <c r="I44" s="232">
        <v>4721</v>
      </c>
      <c r="J44" s="231">
        <v>827</v>
      </c>
      <c r="K44" s="88">
        <f t="shared" si="0"/>
        <v>10736</v>
      </c>
      <c r="L44" s="50"/>
      <c r="M44" s="232">
        <v>92</v>
      </c>
      <c r="N44" s="232">
        <v>0</v>
      </c>
      <c r="O44" s="231">
        <v>58</v>
      </c>
      <c r="P44" s="88">
        <f t="shared" si="1"/>
        <v>150</v>
      </c>
      <c r="Q44" s="50"/>
      <c r="R44" s="232">
        <v>4942</v>
      </c>
      <c r="S44" s="231">
        <v>771</v>
      </c>
      <c r="T44" s="233">
        <v>5713</v>
      </c>
    </row>
    <row r="45" spans="1:20">
      <c r="A45" s="48">
        <v>90451</v>
      </c>
      <c r="B45" s="49" t="s">
        <v>2139</v>
      </c>
      <c r="C45" s="234">
        <v>2.05E-5</v>
      </c>
      <c r="D45" s="234">
        <v>1.6699999999999999E-5</v>
      </c>
      <c r="E45" s="50">
        <v>48633</v>
      </c>
      <c r="F45" s="50" t="s">
        <v>1923</v>
      </c>
      <c r="G45" s="232">
        <v>7503</v>
      </c>
      <c r="H45" s="220">
        <v>6676</v>
      </c>
      <c r="I45" s="232">
        <v>12905</v>
      </c>
      <c r="J45" s="231">
        <v>3881</v>
      </c>
      <c r="K45" s="88">
        <f t="shared" si="0"/>
        <v>30965</v>
      </c>
      <c r="L45" s="50"/>
      <c r="M45" s="232">
        <v>252</v>
      </c>
      <c r="N45" s="232">
        <v>0</v>
      </c>
      <c r="O45" s="231">
        <v>623</v>
      </c>
      <c r="P45" s="88">
        <f t="shared" si="1"/>
        <v>875</v>
      </c>
      <c r="Q45" s="50"/>
      <c r="R45" s="232">
        <v>13509</v>
      </c>
      <c r="S45" s="231">
        <v>1281</v>
      </c>
      <c r="T45" s="233">
        <v>14790</v>
      </c>
    </row>
    <row r="46" spans="1:20">
      <c r="A46" s="48">
        <v>90461</v>
      </c>
      <c r="B46" s="49" t="s">
        <v>2140</v>
      </c>
      <c r="C46" s="234">
        <v>5.5999999999999997E-6</v>
      </c>
      <c r="D46" s="234">
        <v>7.4000000000000003E-6</v>
      </c>
      <c r="E46" s="50">
        <v>13285</v>
      </c>
      <c r="F46" s="50" t="s">
        <v>1923</v>
      </c>
      <c r="G46" s="232">
        <v>2050</v>
      </c>
      <c r="H46" s="220">
        <v>1823</v>
      </c>
      <c r="I46" s="232">
        <v>3525</v>
      </c>
      <c r="J46" s="231">
        <v>1470</v>
      </c>
      <c r="K46" s="88">
        <f t="shared" si="0"/>
        <v>8868</v>
      </c>
      <c r="L46" s="50"/>
      <c r="M46" s="232">
        <v>69</v>
      </c>
      <c r="N46" s="232">
        <v>0</v>
      </c>
      <c r="O46" s="231">
        <v>4983</v>
      </c>
      <c r="P46" s="88">
        <f t="shared" si="1"/>
        <v>5052</v>
      </c>
      <c r="Q46" s="50"/>
      <c r="R46" s="232">
        <v>3690</v>
      </c>
      <c r="S46" s="231">
        <v>-968</v>
      </c>
      <c r="T46" s="233">
        <v>2722</v>
      </c>
    </row>
    <row r="47" spans="1:20">
      <c r="A47" s="48">
        <v>90501</v>
      </c>
      <c r="B47" s="49" t="s">
        <v>760</v>
      </c>
      <c r="C47" s="234">
        <v>1.3675E-3</v>
      </c>
      <c r="D47" s="234">
        <v>1.4176E-3</v>
      </c>
      <c r="E47" s="50">
        <v>3244178</v>
      </c>
      <c r="F47" s="50" t="s">
        <v>1923</v>
      </c>
      <c r="G47" s="232">
        <v>500500</v>
      </c>
      <c r="H47" s="220">
        <v>445329</v>
      </c>
      <c r="I47" s="232">
        <v>860880</v>
      </c>
      <c r="J47" s="231">
        <v>26910</v>
      </c>
      <c r="K47" s="88">
        <f t="shared" si="0"/>
        <v>1833619</v>
      </c>
      <c r="L47" s="50"/>
      <c r="M47" s="232">
        <v>16794</v>
      </c>
      <c r="N47" s="232">
        <v>0</v>
      </c>
      <c r="O47" s="231">
        <v>5948</v>
      </c>
      <c r="P47" s="88">
        <f t="shared" si="1"/>
        <v>22742</v>
      </c>
      <c r="Q47" s="50"/>
      <c r="R47" s="232">
        <v>901146</v>
      </c>
      <c r="S47" s="231">
        <v>25526</v>
      </c>
      <c r="T47" s="233">
        <v>926672</v>
      </c>
    </row>
    <row r="48" spans="1:20">
      <c r="A48" s="48">
        <v>90507</v>
      </c>
      <c r="B48" s="49" t="s">
        <v>34</v>
      </c>
      <c r="C48" s="234">
        <v>6.3999999999999997E-6</v>
      </c>
      <c r="D48" s="234">
        <v>6.6000000000000003E-6</v>
      </c>
      <c r="E48" s="50">
        <v>15183</v>
      </c>
      <c r="F48" s="50" t="s">
        <v>1923</v>
      </c>
      <c r="G48" s="232">
        <v>2342</v>
      </c>
      <c r="H48" s="220">
        <v>2084</v>
      </c>
      <c r="I48" s="232">
        <v>4029</v>
      </c>
      <c r="J48" s="231">
        <v>13580</v>
      </c>
      <c r="K48" s="88">
        <f t="shared" si="0"/>
        <v>22035</v>
      </c>
      <c r="L48" s="50"/>
      <c r="M48" s="232">
        <v>79</v>
      </c>
      <c r="N48" s="232">
        <v>0</v>
      </c>
      <c r="O48" s="231">
        <v>0</v>
      </c>
      <c r="P48" s="88">
        <f t="shared" si="1"/>
        <v>79</v>
      </c>
      <c r="Q48" s="50"/>
      <c r="R48" s="232">
        <v>4217</v>
      </c>
      <c r="S48" s="231">
        <v>5652</v>
      </c>
      <c r="T48" s="233">
        <v>9869</v>
      </c>
    </row>
    <row r="49" spans="1:20">
      <c r="A49" s="48">
        <v>90511</v>
      </c>
      <c r="B49" s="49" t="s">
        <v>2141</v>
      </c>
      <c r="C49" s="234">
        <v>8.25E-5</v>
      </c>
      <c r="D49" s="234">
        <v>8.7000000000000001E-5</v>
      </c>
      <c r="E49" s="50">
        <v>195718</v>
      </c>
      <c r="F49" s="50" t="s">
        <v>1923</v>
      </c>
      <c r="G49" s="232">
        <v>30195</v>
      </c>
      <c r="H49" s="220">
        <v>26866</v>
      </c>
      <c r="I49" s="232">
        <v>51936</v>
      </c>
      <c r="J49" s="231">
        <v>16195</v>
      </c>
      <c r="K49" s="88">
        <f t="shared" si="0"/>
        <v>125192</v>
      </c>
      <c r="L49" s="50"/>
      <c r="M49" s="232">
        <v>1013</v>
      </c>
      <c r="N49" s="232">
        <v>0</v>
      </c>
      <c r="O49" s="231">
        <v>0</v>
      </c>
      <c r="P49" s="88">
        <f t="shared" si="1"/>
        <v>1013</v>
      </c>
      <c r="Q49" s="50"/>
      <c r="R49" s="232">
        <v>54365</v>
      </c>
      <c r="S49" s="231">
        <v>8520</v>
      </c>
      <c r="T49" s="233">
        <v>62885</v>
      </c>
    </row>
    <row r="50" spans="1:20">
      <c r="A50" s="48">
        <v>90521</v>
      </c>
      <c r="B50" s="49" t="s">
        <v>2142</v>
      </c>
      <c r="C50" s="234">
        <v>1.281E-4</v>
      </c>
      <c r="D50" s="234">
        <v>1.3880000000000001E-4</v>
      </c>
      <c r="E50" s="50">
        <v>303897</v>
      </c>
      <c r="F50" s="50" t="s">
        <v>1923</v>
      </c>
      <c r="G50" s="232">
        <v>46884</v>
      </c>
      <c r="H50" s="220">
        <v>41717</v>
      </c>
      <c r="I50" s="232">
        <v>80643</v>
      </c>
      <c r="J50" s="231">
        <v>0</v>
      </c>
      <c r="K50" s="88">
        <f t="shared" si="0"/>
        <v>169244</v>
      </c>
      <c r="L50" s="50"/>
      <c r="M50" s="232">
        <v>1573</v>
      </c>
      <c r="N50" s="232">
        <v>0</v>
      </c>
      <c r="O50" s="231">
        <v>24197</v>
      </c>
      <c r="P50" s="88">
        <f t="shared" si="1"/>
        <v>25770</v>
      </c>
      <c r="Q50" s="50"/>
      <c r="R50" s="232">
        <v>84414</v>
      </c>
      <c r="S50" s="231">
        <v>-10337</v>
      </c>
      <c r="T50" s="233">
        <v>74077</v>
      </c>
    </row>
    <row r="51" spans="1:20">
      <c r="A51" s="48">
        <v>90601</v>
      </c>
      <c r="B51" s="49" t="s">
        <v>763</v>
      </c>
      <c r="C51" s="234">
        <v>1.1383999999999999E-3</v>
      </c>
      <c r="D51" s="234">
        <v>1.1888000000000001E-3</v>
      </c>
      <c r="E51" s="50">
        <v>2700674</v>
      </c>
      <c r="F51" s="50" t="s">
        <v>1923</v>
      </c>
      <c r="G51" s="232">
        <v>416650</v>
      </c>
      <c r="H51" s="220">
        <v>370722</v>
      </c>
      <c r="I51" s="232">
        <v>716655</v>
      </c>
      <c r="J51" s="231">
        <v>5621</v>
      </c>
      <c r="K51" s="88">
        <f t="shared" si="0"/>
        <v>1509648</v>
      </c>
      <c r="L51" s="50"/>
      <c r="M51" s="232">
        <v>13981</v>
      </c>
      <c r="N51" s="232">
        <v>0</v>
      </c>
      <c r="O51" s="231">
        <v>38880</v>
      </c>
      <c r="P51" s="88">
        <f t="shared" si="1"/>
        <v>52861</v>
      </c>
      <c r="Q51" s="50"/>
      <c r="R51" s="232">
        <v>750175</v>
      </c>
      <c r="S51" s="231">
        <v>1751</v>
      </c>
      <c r="T51" s="233">
        <v>751926</v>
      </c>
    </row>
    <row r="52" spans="1:20">
      <c r="A52" s="48">
        <v>90602</v>
      </c>
      <c r="B52" s="49" t="s">
        <v>259</v>
      </c>
      <c r="C52" s="234">
        <v>6.3100000000000002E-5</v>
      </c>
      <c r="D52" s="234">
        <v>6.3899999999999995E-5</v>
      </c>
      <c r="E52" s="50">
        <v>149695</v>
      </c>
      <c r="F52" s="50" t="s">
        <v>1923</v>
      </c>
      <c r="G52" s="232">
        <v>23094</v>
      </c>
      <c r="H52" s="220">
        <v>20549</v>
      </c>
      <c r="I52" s="232">
        <v>39723</v>
      </c>
      <c r="J52" s="231">
        <v>34569</v>
      </c>
      <c r="K52" s="88">
        <f t="shared" si="0"/>
        <v>117935</v>
      </c>
      <c r="L52" s="50"/>
      <c r="M52" s="232">
        <v>775</v>
      </c>
      <c r="N52" s="232">
        <v>0</v>
      </c>
      <c r="O52" s="231">
        <v>0</v>
      </c>
      <c r="P52" s="88">
        <f t="shared" si="1"/>
        <v>775</v>
      </c>
      <c r="Q52" s="50"/>
      <c r="R52" s="232">
        <v>41581</v>
      </c>
      <c r="S52" s="231">
        <v>16640</v>
      </c>
      <c r="T52" s="233">
        <v>58221</v>
      </c>
    </row>
    <row r="53" spans="1:20">
      <c r="A53" s="48">
        <v>90605</v>
      </c>
      <c r="B53" s="49" t="s">
        <v>764</v>
      </c>
      <c r="C53" s="234">
        <v>3.9199999999999997E-5</v>
      </c>
      <c r="D53" s="234">
        <v>4.1999999999999998E-5</v>
      </c>
      <c r="E53" s="50">
        <v>92996</v>
      </c>
      <c r="F53" s="50" t="s">
        <v>1923</v>
      </c>
      <c r="G53" s="232">
        <v>14347</v>
      </c>
      <c r="H53" s="220">
        <v>12765</v>
      </c>
      <c r="I53" s="232">
        <v>24677</v>
      </c>
      <c r="J53" s="231">
        <v>14565</v>
      </c>
      <c r="K53" s="88">
        <f t="shared" si="0"/>
        <v>66354</v>
      </c>
      <c r="L53" s="50"/>
      <c r="M53" s="232">
        <v>481</v>
      </c>
      <c r="N53" s="232">
        <v>0</v>
      </c>
      <c r="O53" s="231">
        <v>0</v>
      </c>
      <c r="P53" s="88">
        <f t="shared" si="1"/>
        <v>481</v>
      </c>
      <c r="Q53" s="50"/>
      <c r="R53" s="232">
        <v>25832</v>
      </c>
      <c r="S53" s="231">
        <v>6805</v>
      </c>
      <c r="T53" s="233">
        <v>32637</v>
      </c>
    </row>
    <row r="54" spans="1:20">
      <c r="A54" s="48">
        <v>90611</v>
      </c>
      <c r="B54" s="49" t="s">
        <v>2143</v>
      </c>
      <c r="C54" s="234">
        <v>1.4009999999999999E-4</v>
      </c>
      <c r="D54" s="234">
        <v>1.4880000000000001E-4</v>
      </c>
      <c r="E54" s="50">
        <v>332365</v>
      </c>
      <c r="F54" s="50" t="s">
        <v>1923</v>
      </c>
      <c r="G54" s="232">
        <v>51276</v>
      </c>
      <c r="H54" s="220">
        <v>45624</v>
      </c>
      <c r="I54" s="232">
        <v>88197</v>
      </c>
      <c r="J54" s="231">
        <v>0</v>
      </c>
      <c r="K54" s="88">
        <f t="shared" si="0"/>
        <v>185097</v>
      </c>
      <c r="L54" s="50"/>
      <c r="M54" s="232">
        <v>1721</v>
      </c>
      <c r="N54" s="232">
        <v>0</v>
      </c>
      <c r="O54" s="231">
        <v>20888</v>
      </c>
      <c r="P54" s="88">
        <f t="shared" si="1"/>
        <v>22609</v>
      </c>
      <c r="Q54" s="50"/>
      <c r="R54" s="232">
        <v>92322</v>
      </c>
      <c r="S54" s="231">
        <v>-5234</v>
      </c>
      <c r="T54" s="233">
        <v>87088</v>
      </c>
    </row>
    <row r="55" spans="1:20">
      <c r="A55" s="48">
        <v>90617</v>
      </c>
      <c r="B55" s="49" t="s">
        <v>766</v>
      </c>
      <c r="C55" s="234">
        <v>2.72E-5</v>
      </c>
      <c r="D55" s="234">
        <v>2.5999999999999998E-5</v>
      </c>
      <c r="E55" s="50">
        <v>64528</v>
      </c>
      <c r="F55" s="50" t="s">
        <v>1923</v>
      </c>
      <c r="G55" s="232">
        <v>9955</v>
      </c>
      <c r="H55" s="220">
        <v>8857</v>
      </c>
      <c r="I55" s="232">
        <v>17123</v>
      </c>
      <c r="J55" s="231">
        <v>5515</v>
      </c>
      <c r="K55" s="88">
        <f t="shared" si="0"/>
        <v>41450</v>
      </c>
      <c r="L55" s="50"/>
      <c r="M55" s="232">
        <v>334</v>
      </c>
      <c r="N55" s="232">
        <v>0</v>
      </c>
      <c r="O55" s="231">
        <v>0</v>
      </c>
      <c r="P55" s="88">
        <f t="shared" si="1"/>
        <v>334</v>
      </c>
      <c r="Q55" s="50"/>
      <c r="R55" s="232">
        <v>17924</v>
      </c>
      <c r="S55" s="231">
        <v>4552</v>
      </c>
      <c r="T55" s="233">
        <v>22476</v>
      </c>
    </row>
    <row r="56" spans="1:20">
      <c r="A56" s="48">
        <v>90621</v>
      </c>
      <c r="B56" s="49" t="s">
        <v>2144</v>
      </c>
      <c r="C56" s="234">
        <v>6.5699999999999998E-5</v>
      </c>
      <c r="D56" s="234">
        <v>6.3999999999999997E-5</v>
      </c>
      <c r="E56" s="50">
        <v>155863</v>
      </c>
      <c r="F56" s="50" t="s">
        <v>1923</v>
      </c>
      <c r="G56" s="232">
        <v>24046</v>
      </c>
      <c r="H56" s="220">
        <v>21396</v>
      </c>
      <c r="I56" s="232">
        <v>41360</v>
      </c>
      <c r="J56" s="231">
        <v>0</v>
      </c>
      <c r="K56" s="88">
        <f t="shared" si="0"/>
        <v>86802</v>
      </c>
      <c r="L56" s="50"/>
      <c r="M56" s="232">
        <v>807</v>
      </c>
      <c r="N56" s="232">
        <v>0</v>
      </c>
      <c r="O56" s="231">
        <v>15822</v>
      </c>
      <c r="P56" s="88">
        <f t="shared" si="1"/>
        <v>16629</v>
      </c>
      <c r="Q56" s="50"/>
      <c r="R56" s="232">
        <v>43295</v>
      </c>
      <c r="S56" s="231">
        <v>-6033</v>
      </c>
      <c r="T56" s="233">
        <v>37262</v>
      </c>
    </row>
    <row r="57" spans="1:20">
      <c r="A57" s="48">
        <v>90631</v>
      </c>
      <c r="B57" s="49" t="s">
        <v>2145</v>
      </c>
      <c r="C57" s="234">
        <v>3.7120000000000002E-4</v>
      </c>
      <c r="D57" s="234">
        <v>3.9560000000000002E-4</v>
      </c>
      <c r="E57" s="50">
        <v>880613</v>
      </c>
      <c r="F57" s="50" t="s">
        <v>1923</v>
      </c>
      <c r="G57" s="232">
        <v>135858</v>
      </c>
      <c r="H57" s="220">
        <v>120882</v>
      </c>
      <c r="I57" s="232">
        <v>233681</v>
      </c>
      <c r="J57" s="231">
        <v>12101</v>
      </c>
      <c r="K57" s="88">
        <f t="shared" si="0"/>
        <v>502522</v>
      </c>
      <c r="L57" s="50"/>
      <c r="M57" s="232">
        <v>4559</v>
      </c>
      <c r="N57" s="232">
        <v>0</v>
      </c>
      <c r="O57" s="231">
        <v>18351</v>
      </c>
      <c r="P57" s="88">
        <f t="shared" si="1"/>
        <v>22910</v>
      </c>
      <c r="Q57" s="50"/>
      <c r="R57" s="232">
        <v>244611</v>
      </c>
      <c r="S57" s="231">
        <v>-4506</v>
      </c>
      <c r="T57" s="233">
        <v>240105</v>
      </c>
    </row>
    <row r="58" spans="1:20">
      <c r="A58" s="48">
        <v>90641</v>
      </c>
      <c r="B58" s="49" t="s">
        <v>2146</v>
      </c>
      <c r="C58" s="234">
        <v>1.2999999999999999E-5</v>
      </c>
      <c r="D58" s="234">
        <v>1.38E-5</v>
      </c>
      <c r="E58" s="50">
        <v>30840</v>
      </c>
      <c r="F58" s="50" t="s">
        <v>1923</v>
      </c>
      <c r="G58" s="232">
        <v>4758</v>
      </c>
      <c r="H58" s="220">
        <v>4233</v>
      </c>
      <c r="I58" s="232">
        <v>8184</v>
      </c>
      <c r="J58" s="231">
        <v>250</v>
      </c>
      <c r="K58" s="88">
        <f t="shared" si="0"/>
        <v>17425</v>
      </c>
      <c r="L58" s="50"/>
      <c r="M58" s="232">
        <v>160</v>
      </c>
      <c r="N58" s="232">
        <v>0</v>
      </c>
      <c r="O58" s="231">
        <v>254</v>
      </c>
      <c r="P58" s="88">
        <f t="shared" si="1"/>
        <v>414</v>
      </c>
      <c r="Q58" s="50"/>
      <c r="R58" s="232">
        <v>8567</v>
      </c>
      <c r="S58" s="231">
        <v>-102</v>
      </c>
      <c r="T58" s="233">
        <v>8465</v>
      </c>
    </row>
    <row r="59" spans="1:20">
      <c r="A59" s="48">
        <v>90651</v>
      </c>
      <c r="B59" s="49" t="s">
        <v>2147</v>
      </c>
      <c r="C59" s="234">
        <v>1.064E-4</v>
      </c>
      <c r="D59" s="234">
        <v>1E-4</v>
      </c>
      <c r="E59" s="50">
        <v>252417</v>
      </c>
      <c r="F59" s="50" t="s">
        <v>1923</v>
      </c>
      <c r="G59" s="232">
        <v>38942</v>
      </c>
      <c r="H59" s="220">
        <v>34650</v>
      </c>
      <c r="I59" s="232">
        <v>66982</v>
      </c>
      <c r="J59" s="231">
        <v>100554</v>
      </c>
      <c r="K59" s="88">
        <f t="shared" si="0"/>
        <v>241128</v>
      </c>
      <c r="L59" s="50"/>
      <c r="M59" s="232">
        <v>1307</v>
      </c>
      <c r="N59" s="232">
        <v>0</v>
      </c>
      <c r="O59" s="231">
        <v>0</v>
      </c>
      <c r="P59" s="88">
        <f t="shared" si="1"/>
        <v>1307</v>
      </c>
      <c r="Q59" s="50"/>
      <c r="R59" s="232">
        <v>70115</v>
      </c>
      <c r="S59" s="231">
        <v>36979</v>
      </c>
      <c r="T59" s="233">
        <v>107094</v>
      </c>
    </row>
    <row r="60" spans="1:20">
      <c r="A60" s="48">
        <v>90701</v>
      </c>
      <c r="B60" s="49" t="s">
        <v>771</v>
      </c>
      <c r="C60" s="234">
        <v>2.6327999999999998E-3</v>
      </c>
      <c r="D60" s="234">
        <v>2.6581E-3</v>
      </c>
      <c r="E60" s="50">
        <v>6245902</v>
      </c>
      <c r="F60" s="50" t="s">
        <v>1923</v>
      </c>
      <c r="G60" s="232">
        <v>963594</v>
      </c>
      <c r="H60" s="220">
        <v>857376</v>
      </c>
      <c r="I60" s="232">
        <v>1657421</v>
      </c>
      <c r="J60" s="231">
        <v>84751</v>
      </c>
      <c r="K60" s="88">
        <f t="shared" si="0"/>
        <v>3563142</v>
      </c>
      <c r="L60" s="50"/>
      <c r="M60" s="232">
        <v>32333</v>
      </c>
      <c r="N60" s="232">
        <v>0</v>
      </c>
      <c r="O60" s="231">
        <v>109908</v>
      </c>
      <c r="P60" s="88">
        <f t="shared" si="1"/>
        <v>142241</v>
      </c>
      <c r="Q60" s="50"/>
      <c r="R60" s="232">
        <v>1734944</v>
      </c>
      <c r="S60" s="231">
        <v>11083</v>
      </c>
      <c r="T60" s="233">
        <v>1746027</v>
      </c>
    </row>
    <row r="61" spans="1:20">
      <c r="A61" s="48">
        <v>90704</v>
      </c>
      <c r="B61" s="49" t="s">
        <v>772</v>
      </c>
      <c r="C61" s="234">
        <v>3.4100000000000002E-5</v>
      </c>
      <c r="D61" s="234">
        <v>3.3300000000000003E-5</v>
      </c>
      <c r="E61" s="50">
        <v>80897</v>
      </c>
      <c r="F61" s="50" t="s">
        <v>1923</v>
      </c>
      <c r="G61" s="232">
        <v>12480</v>
      </c>
      <c r="H61" s="220">
        <v>11105</v>
      </c>
      <c r="I61" s="232">
        <v>21467</v>
      </c>
      <c r="J61" s="231">
        <v>17851</v>
      </c>
      <c r="K61" s="88">
        <f t="shared" si="0"/>
        <v>62903</v>
      </c>
      <c r="L61" s="50"/>
      <c r="M61" s="232">
        <v>419</v>
      </c>
      <c r="N61" s="232">
        <v>0</v>
      </c>
      <c r="O61" s="231">
        <v>0</v>
      </c>
      <c r="P61" s="88">
        <f t="shared" si="1"/>
        <v>419</v>
      </c>
      <c r="Q61" s="50"/>
      <c r="R61" s="232">
        <v>22471</v>
      </c>
      <c r="S61" s="231">
        <v>7847</v>
      </c>
      <c r="T61" s="233">
        <v>30318</v>
      </c>
    </row>
    <row r="62" spans="1:20">
      <c r="A62" s="48">
        <v>90705</v>
      </c>
      <c r="B62" s="49" t="s">
        <v>773</v>
      </c>
      <c r="C62" s="234">
        <v>3.6000000000000001E-5</v>
      </c>
      <c r="D62" s="234">
        <v>5.3000000000000001E-5</v>
      </c>
      <c r="E62" s="50">
        <v>85404</v>
      </c>
      <c r="F62" s="50" t="s">
        <v>1923</v>
      </c>
      <c r="G62" s="232">
        <v>13176</v>
      </c>
      <c r="H62" s="220">
        <v>11723</v>
      </c>
      <c r="I62" s="232">
        <v>22663</v>
      </c>
      <c r="J62" s="231">
        <v>12180</v>
      </c>
      <c r="K62" s="88">
        <f t="shared" si="0"/>
        <v>59742</v>
      </c>
      <c r="L62" s="50"/>
      <c r="M62" s="232">
        <v>442</v>
      </c>
      <c r="N62" s="232">
        <v>0</v>
      </c>
      <c r="O62" s="231">
        <v>7440</v>
      </c>
      <c r="P62" s="88">
        <f t="shared" si="1"/>
        <v>7882</v>
      </c>
      <c r="Q62" s="50"/>
      <c r="R62" s="232">
        <v>23723</v>
      </c>
      <c r="S62" s="231">
        <v>4327</v>
      </c>
      <c r="T62" s="233">
        <v>28050</v>
      </c>
    </row>
    <row r="63" spans="1:20">
      <c r="A63" s="48">
        <v>90709</v>
      </c>
      <c r="B63" s="49" t="s">
        <v>774</v>
      </c>
      <c r="C63" s="234">
        <v>1.683E-4</v>
      </c>
      <c r="D63" s="234">
        <v>1.2650000000000001E-4</v>
      </c>
      <c r="E63" s="50">
        <v>399265</v>
      </c>
      <c r="F63" s="50" t="s">
        <v>1923</v>
      </c>
      <c r="G63" s="232">
        <v>61597</v>
      </c>
      <c r="H63" s="220">
        <v>54807</v>
      </c>
      <c r="I63" s="232">
        <v>105950</v>
      </c>
      <c r="J63" s="231">
        <v>39082</v>
      </c>
      <c r="K63" s="88">
        <f t="shared" si="0"/>
        <v>261436</v>
      </c>
      <c r="L63" s="50"/>
      <c r="M63" s="232">
        <v>2067</v>
      </c>
      <c r="N63" s="232">
        <v>0</v>
      </c>
      <c r="O63" s="231">
        <v>28001</v>
      </c>
      <c r="P63" s="88">
        <f t="shared" si="1"/>
        <v>30068</v>
      </c>
      <c r="Q63" s="50"/>
      <c r="R63" s="232">
        <v>110905</v>
      </c>
      <c r="S63" s="231">
        <v>346</v>
      </c>
      <c r="T63" s="233">
        <v>111251</v>
      </c>
    </row>
    <row r="64" spans="1:20">
      <c r="A64" s="48">
        <v>90711</v>
      </c>
      <c r="B64" s="49" t="s">
        <v>775</v>
      </c>
      <c r="C64" s="234">
        <v>1.6165000000000001E-3</v>
      </c>
      <c r="D64" s="234">
        <v>1.6877000000000001E-3</v>
      </c>
      <c r="E64" s="50">
        <v>3834891</v>
      </c>
      <c r="F64" s="50" t="s">
        <v>1923</v>
      </c>
      <c r="G64" s="232">
        <v>591633</v>
      </c>
      <c r="H64" s="220">
        <v>526416</v>
      </c>
      <c r="I64" s="232">
        <v>1017632</v>
      </c>
      <c r="J64" s="231">
        <v>0</v>
      </c>
      <c r="K64" s="88">
        <f t="shared" si="0"/>
        <v>2135681</v>
      </c>
      <c r="L64" s="50"/>
      <c r="M64" s="232">
        <v>19852</v>
      </c>
      <c r="N64" s="232">
        <v>0</v>
      </c>
      <c r="O64" s="231">
        <v>152515</v>
      </c>
      <c r="P64" s="88">
        <f t="shared" si="1"/>
        <v>172367</v>
      </c>
      <c r="Q64" s="50"/>
      <c r="R64" s="232">
        <v>1065230</v>
      </c>
      <c r="S64" s="231">
        <v>-83743</v>
      </c>
      <c r="T64" s="233">
        <v>981487</v>
      </c>
    </row>
    <row r="65" spans="1:20">
      <c r="A65" s="48">
        <v>90721</v>
      </c>
      <c r="B65" s="49" t="s">
        <v>2148</v>
      </c>
      <c r="C65" s="234">
        <v>2.8200000000000001E-5</v>
      </c>
      <c r="D65" s="234">
        <v>2.8600000000000001E-5</v>
      </c>
      <c r="E65" s="50">
        <v>66900</v>
      </c>
      <c r="F65" s="50" t="s">
        <v>1923</v>
      </c>
      <c r="G65" s="232">
        <v>10321</v>
      </c>
      <c r="H65" s="220">
        <v>9183</v>
      </c>
      <c r="I65" s="232">
        <v>17753</v>
      </c>
      <c r="J65" s="231">
        <v>792</v>
      </c>
      <c r="K65" s="88">
        <f t="shared" si="0"/>
        <v>38049</v>
      </c>
      <c r="L65" s="50"/>
      <c r="M65" s="232">
        <v>346</v>
      </c>
      <c r="N65" s="232">
        <v>0</v>
      </c>
      <c r="O65" s="231">
        <v>3624</v>
      </c>
      <c r="P65" s="88">
        <f t="shared" si="1"/>
        <v>3970</v>
      </c>
      <c r="Q65" s="50"/>
      <c r="R65" s="232">
        <v>18583</v>
      </c>
      <c r="S65" s="231">
        <v>1108</v>
      </c>
      <c r="T65" s="233">
        <v>19691</v>
      </c>
    </row>
    <row r="66" spans="1:20">
      <c r="A66" s="48">
        <v>90731</v>
      </c>
      <c r="B66" s="49" t="s">
        <v>2149</v>
      </c>
      <c r="C66" s="234">
        <v>1.4919999999999999E-4</v>
      </c>
      <c r="D66" s="234">
        <v>1.741E-4</v>
      </c>
      <c r="E66" s="50">
        <v>353953</v>
      </c>
      <c r="F66" s="50" t="s">
        <v>1923</v>
      </c>
      <c r="G66" s="232">
        <v>54607</v>
      </c>
      <c r="H66" s="220">
        <v>48587</v>
      </c>
      <c r="I66" s="232">
        <v>93926</v>
      </c>
      <c r="J66" s="231">
        <v>0</v>
      </c>
      <c r="K66" s="88">
        <f t="shared" si="0"/>
        <v>197120</v>
      </c>
      <c r="L66" s="50"/>
      <c r="M66" s="232">
        <v>1832</v>
      </c>
      <c r="N66" s="232">
        <v>0</v>
      </c>
      <c r="O66" s="231">
        <v>24103</v>
      </c>
      <c r="P66" s="88">
        <f t="shared" si="1"/>
        <v>25935</v>
      </c>
      <c r="Q66" s="50"/>
      <c r="R66" s="232">
        <v>98319</v>
      </c>
      <c r="S66" s="231">
        <v>-10239</v>
      </c>
      <c r="T66" s="233">
        <v>88080</v>
      </c>
    </row>
    <row r="67" spans="1:20">
      <c r="A67" s="48">
        <v>90741</v>
      </c>
      <c r="B67" s="49" t="s">
        <v>2150</v>
      </c>
      <c r="C67" s="234">
        <v>1.52E-5</v>
      </c>
      <c r="D67" s="234">
        <v>9.0999999999999993E-6</v>
      </c>
      <c r="E67" s="50">
        <v>36060</v>
      </c>
      <c r="F67" s="50" t="s">
        <v>1923</v>
      </c>
      <c r="G67" s="232">
        <v>5563</v>
      </c>
      <c r="H67" s="220">
        <v>4950</v>
      </c>
      <c r="I67" s="232">
        <v>9569</v>
      </c>
      <c r="J67" s="231">
        <v>5141</v>
      </c>
      <c r="K67" s="88">
        <f t="shared" si="0"/>
        <v>25223</v>
      </c>
      <c r="L67" s="50"/>
      <c r="M67" s="232">
        <v>187</v>
      </c>
      <c r="N67" s="232">
        <v>0</v>
      </c>
      <c r="O67" s="231">
        <v>155</v>
      </c>
      <c r="P67" s="88">
        <f t="shared" si="1"/>
        <v>342</v>
      </c>
      <c r="Q67" s="50"/>
      <c r="R67" s="232">
        <v>10016</v>
      </c>
      <c r="S67" s="231">
        <v>1246</v>
      </c>
      <c r="T67" s="233">
        <v>11262</v>
      </c>
    </row>
    <row r="68" spans="1:20">
      <c r="A68" s="48">
        <v>90751</v>
      </c>
      <c r="B68" s="49" t="s">
        <v>2151</v>
      </c>
      <c r="C68" s="234">
        <v>7.9499999999999994E-5</v>
      </c>
      <c r="D68" s="234">
        <v>6.8700000000000003E-5</v>
      </c>
      <c r="E68" s="50">
        <v>188601</v>
      </c>
      <c r="F68" s="50" t="s">
        <v>1923</v>
      </c>
      <c r="G68" s="232">
        <v>29097</v>
      </c>
      <c r="H68" s="220">
        <v>25890</v>
      </c>
      <c r="I68" s="232">
        <v>50047</v>
      </c>
      <c r="J68" s="231">
        <v>3763</v>
      </c>
      <c r="K68" s="88">
        <f t="shared" si="0"/>
        <v>108797</v>
      </c>
      <c r="L68" s="50"/>
      <c r="M68" s="232">
        <v>976</v>
      </c>
      <c r="N68" s="232">
        <v>0</v>
      </c>
      <c r="O68" s="231">
        <v>810</v>
      </c>
      <c r="P68" s="88">
        <f t="shared" si="1"/>
        <v>1786</v>
      </c>
      <c r="Q68" s="50"/>
      <c r="R68" s="232">
        <v>52388</v>
      </c>
      <c r="S68" s="231">
        <v>3994</v>
      </c>
      <c r="T68" s="233">
        <v>56382</v>
      </c>
    </row>
    <row r="69" spans="1:20">
      <c r="A69" s="48">
        <v>90801</v>
      </c>
      <c r="B69" s="49" t="s">
        <v>780</v>
      </c>
      <c r="C69" s="234">
        <v>1.338E-3</v>
      </c>
      <c r="D69" s="234">
        <v>1.3064000000000001E-3</v>
      </c>
      <c r="E69" s="50">
        <v>3174194</v>
      </c>
      <c r="F69" s="50" t="s">
        <v>1923</v>
      </c>
      <c r="G69" s="232">
        <v>489703</v>
      </c>
      <c r="H69" s="220">
        <v>435722</v>
      </c>
      <c r="I69" s="232">
        <v>842308</v>
      </c>
      <c r="J69" s="231">
        <v>86295</v>
      </c>
      <c r="K69" s="88">
        <f t="shared" si="0"/>
        <v>1854028</v>
      </c>
      <c r="L69" s="50"/>
      <c r="M69" s="232">
        <v>16432</v>
      </c>
      <c r="N69" s="232">
        <v>0</v>
      </c>
      <c r="O69" s="231">
        <v>50464</v>
      </c>
      <c r="P69" s="88">
        <f t="shared" si="1"/>
        <v>66896</v>
      </c>
      <c r="Q69" s="50"/>
      <c r="R69" s="232">
        <v>881706</v>
      </c>
      <c r="S69" s="231">
        <v>52732</v>
      </c>
      <c r="T69" s="233">
        <v>934438</v>
      </c>
    </row>
    <row r="70" spans="1:20">
      <c r="A70" s="48">
        <v>90804</v>
      </c>
      <c r="B70" s="49" t="s">
        <v>781</v>
      </c>
      <c r="C70" s="234">
        <v>6.0000000000000002E-6</v>
      </c>
      <c r="D70" s="234">
        <v>6.1999999999999999E-6</v>
      </c>
      <c r="E70" s="50">
        <v>14234</v>
      </c>
      <c r="F70" s="50" t="s">
        <v>1923</v>
      </c>
      <c r="G70" s="232">
        <v>2196</v>
      </c>
      <c r="H70" s="220">
        <v>1954</v>
      </c>
      <c r="I70" s="232">
        <v>3777</v>
      </c>
      <c r="J70" s="231">
        <v>574</v>
      </c>
      <c r="K70" s="88">
        <f t="shared" si="0"/>
        <v>8501</v>
      </c>
      <c r="L70" s="50"/>
      <c r="M70" s="232">
        <v>74</v>
      </c>
      <c r="N70" s="232">
        <v>0</v>
      </c>
      <c r="O70" s="231">
        <v>215</v>
      </c>
      <c r="P70" s="88">
        <f t="shared" si="1"/>
        <v>289</v>
      </c>
      <c r="Q70" s="50"/>
      <c r="R70" s="232">
        <v>3954</v>
      </c>
      <c r="S70" s="231">
        <v>834</v>
      </c>
      <c r="T70" s="233">
        <v>4788</v>
      </c>
    </row>
    <row r="71" spans="1:20">
      <c r="A71" s="48">
        <v>90805</v>
      </c>
      <c r="B71" s="49" t="s">
        <v>782</v>
      </c>
      <c r="C71" s="234">
        <v>6.6600000000000006E-5</v>
      </c>
      <c r="D71" s="234">
        <v>5.1900000000000001E-5</v>
      </c>
      <c r="E71" s="50">
        <v>157998</v>
      </c>
      <c r="F71" s="50" t="s">
        <v>1923</v>
      </c>
      <c r="G71" s="232">
        <v>24375</v>
      </c>
      <c r="H71" s="220">
        <v>21688</v>
      </c>
      <c r="I71" s="232">
        <v>41927</v>
      </c>
      <c r="J71" s="231">
        <v>29750</v>
      </c>
      <c r="K71" s="88">
        <f t="shared" si="0"/>
        <v>117740</v>
      </c>
      <c r="L71" s="50"/>
      <c r="M71" s="232">
        <v>818</v>
      </c>
      <c r="N71" s="232">
        <v>0</v>
      </c>
      <c r="O71" s="231">
        <v>0</v>
      </c>
      <c r="P71" s="88">
        <f t="shared" si="1"/>
        <v>818</v>
      </c>
      <c r="Q71" s="50"/>
      <c r="R71" s="232">
        <v>43888</v>
      </c>
      <c r="S71" s="231">
        <v>13705</v>
      </c>
      <c r="T71" s="233">
        <v>57593</v>
      </c>
    </row>
    <row r="72" spans="1:20">
      <c r="A72" s="48">
        <v>90808</v>
      </c>
      <c r="B72" s="49" t="s">
        <v>783</v>
      </c>
      <c r="C72" s="234">
        <v>1.0119999999999999E-4</v>
      </c>
      <c r="D72" s="234">
        <v>1.131E-4</v>
      </c>
      <c r="E72" s="50">
        <v>240081</v>
      </c>
      <c r="F72" s="50" t="s">
        <v>1923</v>
      </c>
      <c r="G72" s="232">
        <v>37039</v>
      </c>
      <c r="H72" s="220">
        <v>32956</v>
      </c>
      <c r="I72" s="232">
        <v>63708</v>
      </c>
      <c r="J72" s="231">
        <v>3985</v>
      </c>
      <c r="K72" s="88">
        <f t="shared" si="0"/>
        <v>137688</v>
      </c>
      <c r="L72" s="50"/>
      <c r="M72" s="232">
        <v>1243</v>
      </c>
      <c r="N72" s="232">
        <v>0</v>
      </c>
      <c r="O72" s="231">
        <v>1338</v>
      </c>
      <c r="P72" s="88">
        <f t="shared" si="1"/>
        <v>2581</v>
      </c>
      <c r="Q72" s="50"/>
      <c r="R72" s="232">
        <v>66688</v>
      </c>
      <c r="S72" s="231">
        <v>662</v>
      </c>
      <c r="T72" s="233">
        <v>67350</v>
      </c>
    </row>
    <row r="73" spans="1:20">
      <c r="A73" s="48">
        <v>90811</v>
      </c>
      <c r="B73" s="49" t="s">
        <v>2152</v>
      </c>
      <c r="C73" s="234">
        <v>3.6199999999999999E-5</v>
      </c>
      <c r="D73" s="234">
        <v>3.3599999999999997E-5</v>
      </c>
      <c r="E73" s="50">
        <v>85879</v>
      </c>
      <c r="F73" s="50" t="s">
        <v>1923</v>
      </c>
      <c r="G73" s="232">
        <v>13249</v>
      </c>
      <c r="H73" s="220">
        <v>11789</v>
      </c>
      <c r="I73" s="232">
        <v>22789</v>
      </c>
      <c r="J73" s="231">
        <v>0</v>
      </c>
      <c r="K73" s="88">
        <f t="shared" si="0"/>
        <v>47827</v>
      </c>
      <c r="L73" s="50"/>
      <c r="M73" s="232">
        <v>445</v>
      </c>
      <c r="N73" s="232">
        <v>0</v>
      </c>
      <c r="O73" s="231">
        <v>9224</v>
      </c>
      <c r="P73" s="88">
        <f t="shared" si="1"/>
        <v>9669</v>
      </c>
      <c r="Q73" s="50"/>
      <c r="R73" s="232">
        <v>23855</v>
      </c>
      <c r="S73" s="231">
        <v>-2702</v>
      </c>
      <c r="T73" s="233">
        <v>21153</v>
      </c>
    </row>
    <row r="74" spans="1:20">
      <c r="A74" s="48">
        <v>90812</v>
      </c>
      <c r="B74" s="49" t="s">
        <v>2153</v>
      </c>
      <c r="C74" s="234">
        <v>2.2489999999999999E-4</v>
      </c>
      <c r="D74" s="234">
        <v>2.2900000000000001E-4</v>
      </c>
      <c r="E74" s="50">
        <v>533540</v>
      </c>
      <c r="F74" s="50" t="s">
        <v>1923</v>
      </c>
      <c r="G74" s="232">
        <v>82313</v>
      </c>
      <c r="H74" s="220">
        <v>73239</v>
      </c>
      <c r="I74" s="232">
        <v>141581</v>
      </c>
      <c r="J74" s="231">
        <v>8319</v>
      </c>
      <c r="K74" s="88">
        <f t="shared" ref="K74:K138" si="2">G74+H74+I74+J74</f>
        <v>305452</v>
      </c>
      <c r="L74" s="50"/>
      <c r="M74" s="232">
        <v>2762</v>
      </c>
      <c r="N74" s="232">
        <v>0</v>
      </c>
      <c r="O74" s="231">
        <v>11401</v>
      </c>
      <c r="P74" s="88">
        <f t="shared" ref="P74:P138" si="3">M74+N74+O74</f>
        <v>14163</v>
      </c>
      <c r="Q74" s="50"/>
      <c r="R74" s="232">
        <v>148203</v>
      </c>
      <c r="S74" s="231">
        <v>1945</v>
      </c>
      <c r="T74" s="233">
        <v>150148</v>
      </c>
    </row>
    <row r="75" spans="1:20">
      <c r="A75" s="48">
        <v>90813</v>
      </c>
      <c r="B75" s="49" t="s">
        <v>2154</v>
      </c>
      <c r="C75" s="234">
        <v>5.0000000000000004E-6</v>
      </c>
      <c r="D75" s="234">
        <v>5.3000000000000001E-6</v>
      </c>
      <c r="E75" s="50">
        <v>11862</v>
      </c>
      <c r="F75" s="50" t="s">
        <v>1923</v>
      </c>
      <c r="G75" s="232">
        <v>1830</v>
      </c>
      <c r="H75" s="220">
        <v>1628</v>
      </c>
      <c r="I75" s="232">
        <v>3148</v>
      </c>
      <c r="J75" s="231">
        <v>0</v>
      </c>
      <c r="K75" s="88">
        <f t="shared" si="2"/>
        <v>6606</v>
      </c>
      <c r="L75" s="50"/>
      <c r="M75" s="232">
        <v>61</v>
      </c>
      <c r="N75" s="232">
        <v>0</v>
      </c>
      <c r="O75" s="231">
        <v>1028</v>
      </c>
      <c r="P75" s="88">
        <f t="shared" si="3"/>
        <v>1089</v>
      </c>
      <c r="Q75" s="50"/>
      <c r="R75" s="232">
        <v>3295</v>
      </c>
      <c r="S75" s="231">
        <v>-607</v>
      </c>
      <c r="T75" s="233">
        <v>2688</v>
      </c>
    </row>
    <row r="76" spans="1:20">
      <c r="A76" s="48">
        <v>90861</v>
      </c>
      <c r="B76" s="49" t="s">
        <v>2155</v>
      </c>
      <c r="C76" s="234">
        <v>7.7999999999999999E-6</v>
      </c>
      <c r="D76" s="234">
        <v>4.1999999999999996E-6</v>
      </c>
      <c r="E76" s="50">
        <v>18504</v>
      </c>
      <c r="F76" s="50" t="s">
        <v>1923</v>
      </c>
      <c r="G76" s="232">
        <v>2855</v>
      </c>
      <c r="H76" s="220">
        <v>2540</v>
      </c>
      <c r="I76" s="232">
        <v>4910</v>
      </c>
      <c r="J76" s="231">
        <v>6531</v>
      </c>
      <c r="K76" s="88">
        <f t="shared" si="2"/>
        <v>16836</v>
      </c>
      <c r="L76" s="50"/>
      <c r="M76" s="232">
        <v>96</v>
      </c>
      <c r="N76" s="232">
        <v>0</v>
      </c>
      <c r="O76" s="231">
        <v>0</v>
      </c>
      <c r="P76" s="88">
        <f t="shared" si="3"/>
        <v>96</v>
      </c>
      <c r="Q76" s="50"/>
      <c r="R76" s="232">
        <v>5140</v>
      </c>
      <c r="S76" s="231">
        <v>1362</v>
      </c>
      <c r="T76" s="233">
        <v>6502</v>
      </c>
    </row>
    <row r="77" spans="1:20">
      <c r="A77" s="48">
        <v>90901</v>
      </c>
      <c r="B77" s="49" t="s">
        <v>788</v>
      </c>
      <c r="C77" s="234">
        <v>2.1440000000000001E-3</v>
      </c>
      <c r="D77" s="234">
        <v>2.1814999999999998E-3</v>
      </c>
      <c r="E77" s="50">
        <v>5086301</v>
      </c>
      <c r="F77" s="50" t="s">
        <v>1923</v>
      </c>
      <c r="G77" s="232">
        <v>784695</v>
      </c>
      <c r="H77" s="220">
        <v>698198</v>
      </c>
      <c r="I77" s="232">
        <v>1349708</v>
      </c>
      <c r="J77" s="231">
        <v>13390</v>
      </c>
      <c r="K77" s="88">
        <f t="shared" si="2"/>
        <v>2845991</v>
      </c>
      <c r="L77" s="50"/>
      <c r="M77" s="232">
        <v>26330</v>
      </c>
      <c r="N77" s="232">
        <v>0</v>
      </c>
      <c r="O77" s="231">
        <v>28266</v>
      </c>
      <c r="P77" s="88">
        <f t="shared" si="3"/>
        <v>54596</v>
      </c>
      <c r="Q77" s="50"/>
      <c r="R77" s="232">
        <v>1412838</v>
      </c>
      <c r="S77" s="231">
        <v>-7333</v>
      </c>
      <c r="T77" s="233">
        <v>1405505</v>
      </c>
    </row>
    <row r="78" spans="1:20">
      <c r="A78" s="48">
        <v>90911</v>
      </c>
      <c r="B78" s="49" t="s">
        <v>2156</v>
      </c>
      <c r="C78" s="234">
        <v>4.037E-4</v>
      </c>
      <c r="D78" s="234">
        <v>3.9780000000000002E-4</v>
      </c>
      <c r="E78" s="50">
        <v>957714</v>
      </c>
      <c r="F78" s="50" t="s">
        <v>1923</v>
      </c>
      <c r="G78" s="232">
        <v>147753</v>
      </c>
      <c r="H78" s="220">
        <v>131466</v>
      </c>
      <c r="I78" s="232">
        <v>254140</v>
      </c>
      <c r="J78" s="231">
        <v>5104</v>
      </c>
      <c r="K78" s="88">
        <f t="shared" si="2"/>
        <v>538463</v>
      </c>
      <c r="L78" s="50"/>
      <c r="M78" s="232">
        <v>4958</v>
      </c>
      <c r="N78" s="232">
        <v>0</v>
      </c>
      <c r="O78" s="231">
        <v>27769</v>
      </c>
      <c r="P78" s="88">
        <f t="shared" si="3"/>
        <v>32727</v>
      </c>
      <c r="Q78" s="50"/>
      <c r="R78" s="232">
        <v>266027</v>
      </c>
      <c r="S78" s="231">
        <v>-22253</v>
      </c>
      <c r="T78" s="233">
        <v>243774</v>
      </c>
    </row>
    <row r="79" spans="1:20">
      <c r="A79" s="48">
        <v>90917</v>
      </c>
      <c r="B79" s="49" t="s">
        <v>790</v>
      </c>
      <c r="C79" s="234">
        <v>1.1800000000000001E-5</v>
      </c>
      <c r="D79" s="234">
        <v>1.4399999999999999E-5</v>
      </c>
      <c r="E79" s="185">
        <v>27994</v>
      </c>
      <c r="F79" s="185" t="s">
        <v>1924</v>
      </c>
      <c r="G79" s="232">
        <v>4319</v>
      </c>
      <c r="H79" s="220">
        <v>3843</v>
      </c>
      <c r="I79" s="232">
        <v>7428</v>
      </c>
      <c r="J79" s="231">
        <v>910</v>
      </c>
      <c r="K79" s="88">
        <f t="shared" si="2"/>
        <v>16500</v>
      </c>
      <c r="L79" s="50"/>
      <c r="M79" s="232">
        <v>145</v>
      </c>
      <c r="N79" s="232">
        <v>0</v>
      </c>
      <c r="O79" s="231">
        <v>1772</v>
      </c>
      <c r="P79" s="88">
        <f t="shared" si="3"/>
        <v>1917</v>
      </c>
      <c r="Q79" s="50"/>
      <c r="R79" s="232">
        <v>7776</v>
      </c>
      <c r="S79" s="231">
        <v>-363</v>
      </c>
      <c r="T79" s="233">
        <v>7413</v>
      </c>
    </row>
    <row r="80" spans="1:20">
      <c r="A80" s="48">
        <v>90918</v>
      </c>
      <c r="B80" s="49" t="s">
        <v>791</v>
      </c>
      <c r="C80" s="234">
        <v>1.13E-5</v>
      </c>
      <c r="D80" s="234">
        <v>1.19E-5</v>
      </c>
      <c r="E80" s="185">
        <v>26807</v>
      </c>
      <c r="F80" s="185" t="s">
        <v>1924</v>
      </c>
      <c r="G80" s="232">
        <v>4136</v>
      </c>
      <c r="H80" s="220">
        <v>3680</v>
      </c>
      <c r="I80" s="232">
        <v>7114</v>
      </c>
      <c r="J80" s="231">
        <v>0</v>
      </c>
      <c r="K80" s="88">
        <f t="shared" si="2"/>
        <v>14930</v>
      </c>
      <c r="L80" s="50"/>
      <c r="M80" s="232">
        <v>139</v>
      </c>
      <c r="N80" s="232">
        <v>0</v>
      </c>
      <c r="O80" s="231">
        <v>2292</v>
      </c>
      <c r="P80" s="88">
        <f t="shared" si="3"/>
        <v>2431</v>
      </c>
      <c r="Q80" s="50"/>
      <c r="R80" s="232">
        <v>7446</v>
      </c>
      <c r="S80" s="231">
        <v>-1290</v>
      </c>
      <c r="T80" s="233">
        <v>6156</v>
      </c>
    </row>
    <row r="81" spans="1:20">
      <c r="A81" s="48">
        <v>90921</v>
      </c>
      <c r="B81" s="49" t="s">
        <v>2157</v>
      </c>
      <c r="C81" s="234">
        <v>1.2789999999999999E-4</v>
      </c>
      <c r="D81" s="234">
        <v>1.2970000000000001E-4</v>
      </c>
      <c r="E81" s="185">
        <v>303423</v>
      </c>
      <c r="F81" s="185" t="s">
        <v>1924</v>
      </c>
      <c r="G81" s="232">
        <v>46811</v>
      </c>
      <c r="H81" s="220">
        <v>41651</v>
      </c>
      <c r="I81" s="232">
        <v>80517</v>
      </c>
      <c r="J81" s="231">
        <v>22540</v>
      </c>
      <c r="K81" s="88">
        <f t="shared" si="2"/>
        <v>191519</v>
      </c>
      <c r="L81" s="50"/>
      <c r="M81" s="232">
        <v>1571</v>
      </c>
      <c r="N81" s="232">
        <v>0</v>
      </c>
      <c r="O81" s="231">
        <v>4483</v>
      </c>
      <c r="P81" s="88">
        <f t="shared" si="3"/>
        <v>6054</v>
      </c>
      <c r="Q81" s="50"/>
      <c r="R81" s="232">
        <v>84283</v>
      </c>
      <c r="S81" s="231">
        <v>4862</v>
      </c>
      <c r="T81" s="233">
        <v>89145</v>
      </c>
    </row>
    <row r="82" spans="1:20">
      <c r="A82" s="48">
        <v>90931</v>
      </c>
      <c r="B82" s="49" t="s">
        <v>2158</v>
      </c>
      <c r="C82" s="234">
        <v>3.8099999999999998E-5</v>
      </c>
      <c r="D82" s="234">
        <v>4.07E-5</v>
      </c>
      <c r="E82" s="185">
        <v>90386</v>
      </c>
      <c r="F82" s="185" t="s">
        <v>1924</v>
      </c>
      <c r="G82" s="232">
        <v>13944</v>
      </c>
      <c r="H82" s="220">
        <v>12407</v>
      </c>
      <c r="I82" s="232">
        <v>23985</v>
      </c>
      <c r="J82" s="231">
        <v>1061</v>
      </c>
      <c r="K82" s="88">
        <f t="shared" si="2"/>
        <v>51397</v>
      </c>
      <c r="L82" s="50"/>
      <c r="M82" s="232">
        <v>468</v>
      </c>
      <c r="N82" s="232">
        <v>0</v>
      </c>
      <c r="O82" s="231">
        <v>13836</v>
      </c>
      <c r="P82" s="88">
        <f t="shared" si="3"/>
        <v>14304</v>
      </c>
      <c r="Q82" s="50"/>
      <c r="R82" s="232">
        <v>25107</v>
      </c>
      <c r="S82" s="231">
        <v>-2235</v>
      </c>
      <c r="T82" s="233">
        <v>22872</v>
      </c>
    </row>
    <row r="83" spans="1:20">
      <c r="A83" s="48">
        <v>90941</v>
      </c>
      <c r="B83" s="49" t="s">
        <v>2159</v>
      </c>
      <c r="C83" s="234">
        <v>8.2000000000000001E-5</v>
      </c>
      <c r="D83" s="234">
        <v>7.0300000000000001E-5</v>
      </c>
      <c r="E83" s="185">
        <v>194532</v>
      </c>
      <c r="F83" s="185" t="s">
        <v>1924</v>
      </c>
      <c r="G83" s="232">
        <v>30012</v>
      </c>
      <c r="H83" s="220">
        <v>26704</v>
      </c>
      <c r="I83" s="232">
        <v>51621</v>
      </c>
      <c r="J83" s="231">
        <v>8606</v>
      </c>
      <c r="K83" s="88">
        <f t="shared" si="2"/>
        <v>116943</v>
      </c>
      <c r="L83" s="50"/>
      <c r="M83" s="232">
        <v>1007</v>
      </c>
      <c r="N83" s="232">
        <v>0</v>
      </c>
      <c r="O83" s="231">
        <v>10455</v>
      </c>
      <c r="P83" s="88">
        <f t="shared" si="3"/>
        <v>11462</v>
      </c>
      <c r="Q83" s="50"/>
      <c r="R83" s="232">
        <v>54036</v>
      </c>
      <c r="S83" s="231">
        <v>-3109</v>
      </c>
      <c r="T83" s="233">
        <v>50927</v>
      </c>
    </row>
    <row r="84" spans="1:20">
      <c r="A84" s="48">
        <v>91001</v>
      </c>
      <c r="B84" s="49" t="s">
        <v>795</v>
      </c>
      <c r="C84" s="234">
        <v>6.6366999999999997E-3</v>
      </c>
      <c r="D84" s="234">
        <v>6.6703999999999999E-3</v>
      </c>
      <c r="E84" s="185">
        <v>15744522</v>
      </c>
      <c r="F84" s="185" t="s">
        <v>1924</v>
      </c>
      <c r="G84" s="232">
        <v>2429006</v>
      </c>
      <c r="H84" s="220">
        <v>2161254</v>
      </c>
      <c r="I84" s="232">
        <v>4177988</v>
      </c>
      <c r="J84" s="231">
        <v>0</v>
      </c>
      <c r="K84" s="88">
        <f t="shared" si="2"/>
        <v>8768248</v>
      </c>
      <c r="L84" s="50"/>
      <c r="M84" s="232">
        <v>81505</v>
      </c>
      <c r="N84" s="232">
        <v>0</v>
      </c>
      <c r="O84" s="231">
        <v>332799</v>
      </c>
      <c r="P84" s="88">
        <f t="shared" si="3"/>
        <v>414304</v>
      </c>
      <c r="Q84" s="50"/>
      <c r="R84" s="232">
        <v>4373406</v>
      </c>
      <c r="S84" s="231">
        <v>-87933</v>
      </c>
      <c r="T84" s="233">
        <v>4285473</v>
      </c>
    </row>
    <row r="85" spans="1:20">
      <c r="A85" s="48">
        <v>91002</v>
      </c>
      <c r="B85" s="49" t="s">
        <v>2160</v>
      </c>
      <c r="C85" s="234">
        <v>9.4410000000000002E-4</v>
      </c>
      <c r="D85" s="234">
        <v>6.8860000000000004E-4</v>
      </c>
      <c r="E85" s="185">
        <v>2239728</v>
      </c>
      <c r="F85" s="185" t="s">
        <v>1924</v>
      </c>
      <c r="G85" s="232">
        <v>345537</v>
      </c>
      <c r="H85" s="220">
        <v>307448</v>
      </c>
      <c r="I85" s="232">
        <v>594337</v>
      </c>
      <c r="J85" s="231">
        <v>166396</v>
      </c>
      <c r="K85" s="88">
        <f t="shared" si="2"/>
        <v>1413718</v>
      </c>
      <c r="L85" s="50"/>
      <c r="M85" s="232">
        <v>11594</v>
      </c>
      <c r="N85" s="232">
        <v>0</v>
      </c>
      <c r="O85" s="231">
        <v>27902</v>
      </c>
      <c r="P85" s="88">
        <f t="shared" si="3"/>
        <v>39496</v>
      </c>
      <c r="Q85" s="50"/>
      <c r="R85" s="232">
        <v>622136</v>
      </c>
      <c r="S85" s="231">
        <v>25830</v>
      </c>
      <c r="T85" s="233">
        <v>647966</v>
      </c>
    </row>
    <row r="86" spans="1:20">
      <c r="A86" s="48">
        <v>91003</v>
      </c>
      <c r="B86" s="49" t="s">
        <v>797</v>
      </c>
      <c r="C86" s="234">
        <v>5.354E-4</v>
      </c>
      <c r="D86" s="234">
        <v>5.7260000000000004E-4</v>
      </c>
      <c r="E86" s="185">
        <v>1270152</v>
      </c>
      <c r="F86" s="185" t="s">
        <v>1924</v>
      </c>
      <c r="G86" s="232">
        <v>195954</v>
      </c>
      <c r="H86" s="220">
        <v>174354</v>
      </c>
      <c r="I86" s="232">
        <v>337049</v>
      </c>
      <c r="J86" s="231">
        <v>10600</v>
      </c>
      <c r="K86" s="88">
        <f t="shared" si="2"/>
        <v>717957</v>
      </c>
      <c r="L86" s="50"/>
      <c r="M86" s="232">
        <v>6575</v>
      </c>
      <c r="N86" s="232">
        <v>0</v>
      </c>
      <c r="O86" s="231">
        <v>38265</v>
      </c>
      <c r="P86" s="88">
        <f t="shared" si="3"/>
        <v>44840</v>
      </c>
      <c r="Q86" s="50"/>
      <c r="R86" s="232">
        <v>352814</v>
      </c>
      <c r="S86" s="231">
        <v>2232</v>
      </c>
      <c r="T86" s="233">
        <v>355046</v>
      </c>
    </row>
    <row r="87" spans="1:20">
      <c r="A87" s="48">
        <v>91004</v>
      </c>
      <c r="B87" s="49" t="s">
        <v>798</v>
      </c>
      <c r="C87" s="234">
        <v>3.6600000000000002E-5</v>
      </c>
      <c r="D87" s="234">
        <v>2.58E-5</v>
      </c>
      <c r="E87" s="185">
        <v>86828</v>
      </c>
      <c r="F87" s="185" t="s">
        <v>1924</v>
      </c>
      <c r="G87" s="232">
        <v>13395</v>
      </c>
      <c r="H87" s="220">
        <v>11919</v>
      </c>
      <c r="I87" s="232">
        <v>23041</v>
      </c>
      <c r="J87" s="231">
        <v>15071</v>
      </c>
      <c r="K87" s="88">
        <f t="shared" si="2"/>
        <v>63426</v>
      </c>
      <c r="L87" s="50"/>
      <c r="M87" s="232">
        <v>449</v>
      </c>
      <c r="N87" s="232">
        <v>0</v>
      </c>
      <c r="O87" s="231">
        <v>0</v>
      </c>
      <c r="P87" s="88">
        <f t="shared" si="3"/>
        <v>449</v>
      </c>
      <c r="Q87" s="50"/>
      <c r="R87" s="232">
        <v>24118</v>
      </c>
      <c r="S87" s="231">
        <v>6104</v>
      </c>
      <c r="T87" s="233">
        <v>30222</v>
      </c>
    </row>
    <row r="88" spans="1:20">
      <c r="A88" s="48">
        <v>91006</v>
      </c>
      <c r="B88" s="49" t="s">
        <v>799</v>
      </c>
      <c r="C88" s="234">
        <v>1.0660999999999999E-3</v>
      </c>
      <c r="D88" s="234">
        <v>1.0317E-3</v>
      </c>
      <c r="E88" s="185">
        <v>2529154</v>
      </c>
      <c r="F88" s="185" t="s">
        <v>1924</v>
      </c>
      <c r="G88" s="232">
        <v>390188</v>
      </c>
      <c r="H88" s="220">
        <v>347177</v>
      </c>
      <c r="I88" s="232">
        <v>671140</v>
      </c>
      <c r="J88" s="231">
        <v>7631</v>
      </c>
      <c r="K88" s="88">
        <f t="shared" si="2"/>
        <v>1416136</v>
      </c>
      <c r="L88" s="50"/>
      <c r="M88" s="232">
        <v>13093</v>
      </c>
      <c r="N88" s="232">
        <v>0</v>
      </c>
      <c r="O88" s="231">
        <v>29301</v>
      </c>
      <c r="P88" s="88">
        <f t="shared" si="3"/>
        <v>42394</v>
      </c>
      <c r="Q88" s="50"/>
      <c r="R88" s="232">
        <v>702531</v>
      </c>
      <c r="S88" s="231">
        <v>-205</v>
      </c>
      <c r="T88" s="233">
        <v>702326</v>
      </c>
    </row>
    <row r="89" spans="1:20">
      <c r="A89" s="48">
        <v>91007</v>
      </c>
      <c r="B89" s="49" t="s">
        <v>800</v>
      </c>
      <c r="C89" s="234">
        <v>8.4999999999999999E-6</v>
      </c>
      <c r="D89" s="234">
        <v>9.5000000000000005E-6</v>
      </c>
      <c r="E89" s="185">
        <v>20165</v>
      </c>
      <c r="F89" s="185" t="s">
        <v>1924</v>
      </c>
      <c r="G89" s="232">
        <v>3111</v>
      </c>
      <c r="H89" s="220">
        <v>2768</v>
      </c>
      <c r="I89" s="232">
        <v>5351</v>
      </c>
      <c r="J89" s="231">
        <v>4888</v>
      </c>
      <c r="K89" s="88">
        <f t="shared" si="2"/>
        <v>16118</v>
      </c>
      <c r="L89" s="50"/>
      <c r="M89" s="232">
        <v>104</v>
      </c>
      <c r="N89" s="232">
        <v>0</v>
      </c>
      <c r="O89" s="231">
        <v>0</v>
      </c>
      <c r="P89" s="88">
        <f t="shared" si="3"/>
        <v>104</v>
      </c>
      <c r="Q89" s="50"/>
      <c r="R89" s="232">
        <v>5601</v>
      </c>
      <c r="S89" s="231">
        <v>2173</v>
      </c>
      <c r="T89" s="233">
        <v>7774</v>
      </c>
    </row>
    <row r="90" spans="1:20">
      <c r="A90" s="48">
        <v>91008</v>
      </c>
      <c r="B90" s="49" t="s">
        <v>801</v>
      </c>
      <c r="C90" s="234">
        <v>1.3909999999999999E-4</v>
      </c>
      <c r="D90" s="234">
        <v>1.236E-4</v>
      </c>
      <c r="E90" s="185">
        <v>329993</v>
      </c>
      <c r="F90" s="185" t="s">
        <v>1924</v>
      </c>
      <c r="G90" s="232">
        <v>50910</v>
      </c>
      <c r="H90" s="220">
        <v>45298</v>
      </c>
      <c r="I90" s="232">
        <v>87567</v>
      </c>
      <c r="J90" s="231">
        <v>36233</v>
      </c>
      <c r="K90" s="88">
        <f t="shared" si="2"/>
        <v>220008</v>
      </c>
      <c r="L90" s="50"/>
      <c r="M90" s="232">
        <v>1708</v>
      </c>
      <c r="N90" s="232">
        <v>0</v>
      </c>
      <c r="O90" s="231">
        <v>0</v>
      </c>
      <c r="P90" s="88">
        <f t="shared" si="3"/>
        <v>1708</v>
      </c>
      <c r="Q90" s="50"/>
      <c r="R90" s="232">
        <v>91663</v>
      </c>
      <c r="S90" s="231">
        <v>21688</v>
      </c>
      <c r="T90" s="233">
        <v>113351</v>
      </c>
    </row>
    <row r="91" spans="1:20">
      <c r="A91" s="48">
        <v>91009</v>
      </c>
      <c r="B91" s="49" t="s">
        <v>802</v>
      </c>
      <c r="C91" s="234">
        <v>1.59E-5</v>
      </c>
      <c r="D91" s="234">
        <v>1.7499999999999998E-5</v>
      </c>
      <c r="E91" s="185">
        <v>37720</v>
      </c>
      <c r="F91" s="185" t="s">
        <v>1924</v>
      </c>
      <c r="G91" s="232">
        <v>5819</v>
      </c>
      <c r="H91" s="220">
        <v>5178</v>
      </c>
      <c r="I91" s="232">
        <v>10009</v>
      </c>
      <c r="J91" s="231">
        <v>5304</v>
      </c>
      <c r="K91" s="88">
        <f t="shared" si="2"/>
        <v>26310</v>
      </c>
      <c r="L91" s="50"/>
      <c r="M91" s="232">
        <v>195</v>
      </c>
      <c r="N91" s="232">
        <v>0</v>
      </c>
      <c r="O91" s="231">
        <v>1101</v>
      </c>
      <c r="P91" s="88">
        <f t="shared" si="3"/>
        <v>1296</v>
      </c>
      <c r="Q91" s="50"/>
      <c r="R91" s="232">
        <v>10478</v>
      </c>
      <c r="S91" s="231">
        <v>660</v>
      </c>
      <c r="T91" s="233">
        <v>11138</v>
      </c>
    </row>
    <row r="92" spans="1:20">
      <c r="A92" s="48">
        <v>91010</v>
      </c>
      <c r="B92" s="49" t="s">
        <v>2161</v>
      </c>
      <c r="C92" s="234">
        <v>5.8699999999999997E-5</v>
      </c>
      <c r="D92" s="234">
        <v>7.0099999999999996E-5</v>
      </c>
      <c r="E92" s="185">
        <v>139256</v>
      </c>
      <c r="F92" s="185" t="s">
        <v>1924</v>
      </c>
      <c r="G92" s="232">
        <v>21484</v>
      </c>
      <c r="H92" s="220">
        <v>19115</v>
      </c>
      <c r="I92" s="232">
        <v>36953</v>
      </c>
      <c r="J92" s="231">
        <v>2787</v>
      </c>
      <c r="K92" s="88">
        <f t="shared" si="2"/>
        <v>80339</v>
      </c>
      <c r="L92" s="50"/>
      <c r="M92" s="232">
        <v>721</v>
      </c>
      <c r="N92" s="232">
        <v>0</v>
      </c>
      <c r="O92" s="231">
        <v>6905</v>
      </c>
      <c r="P92" s="88">
        <f t="shared" si="3"/>
        <v>7626</v>
      </c>
      <c r="Q92" s="50"/>
      <c r="R92" s="232">
        <v>38682</v>
      </c>
      <c r="S92" s="231">
        <v>3034</v>
      </c>
      <c r="T92" s="233">
        <v>41716</v>
      </c>
    </row>
    <row r="93" spans="1:20">
      <c r="A93" s="48">
        <v>91011</v>
      </c>
      <c r="B93" s="49" t="s">
        <v>804</v>
      </c>
      <c r="C93" s="234">
        <v>3.6509999999999998E-4</v>
      </c>
      <c r="D93" s="234">
        <v>3.5760000000000002E-4</v>
      </c>
      <c r="E93" s="185">
        <v>866142</v>
      </c>
      <c r="F93" s="185" t="s">
        <v>1924</v>
      </c>
      <c r="G93" s="232">
        <v>133625</v>
      </c>
      <c r="H93" s="220">
        <v>118896</v>
      </c>
      <c r="I93" s="232">
        <v>229841</v>
      </c>
      <c r="J93" s="231">
        <v>27536</v>
      </c>
      <c r="K93" s="88">
        <f t="shared" si="2"/>
        <v>509898</v>
      </c>
      <c r="L93" s="50"/>
      <c r="M93" s="232">
        <v>4484</v>
      </c>
      <c r="N93" s="232">
        <v>0</v>
      </c>
      <c r="O93" s="231">
        <v>1497</v>
      </c>
      <c r="P93" s="88">
        <f t="shared" si="3"/>
        <v>5981</v>
      </c>
      <c r="Q93" s="50"/>
      <c r="R93" s="232">
        <v>240591</v>
      </c>
      <c r="S93" s="231">
        <v>15734</v>
      </c>
      <c r="T93" s="233">
        <v>256325</v>
      </c>
    </row>
    <row r="94" spans="1:20">
      <c r="A94" s="48">
        <v>91012</v>
      </c>
      <c r="B94" s="49" t="s">
        <v>805</v>
      </c>
      <c r="C94" s="234">
        <v>1.42E-5</v>
      </c>
      <c r="D94" s="234">
        <v>1.9300000000000002E-5</v>
      </c>
      <c r="E94" s="185">
        <v>33687</v>
      </c>
      <c r="F94" s="185" t="s">
        <v>1924</v>
      </c>
      <c r="G94" s="232">
        <v>5197</v>
      </c>
      <c r="H94" s="220">
        <v>4624</v>
      </c>
      <c r="I94" s="232">
        <v>8939</v>
      </c>
      <c r="J94" s="231">
        <v>3786</v>
      </c>
      <c r="K94" s="88">
        <f t="shared" si="2"/>
        <v>22546</v>
      </c>
      <c r="L94" s="50"/>
      <c r="M94" s="232">
        <v>174</v>
      </c>
      <c r="N94" s="232">
        <v>0</v>
      </c>
      <c r="O94" s="231">
        <v>3306</v>
      </c>
      <c r="P94" s="88">
        <f t="shared" si="3"/>
        <v>3480</v>
      </c>
      <c r="Q94" s="50"/>
      <c r="R94" s="232">
        <v>9357</v>
      </c>
      <c r="S94" s="231">
        <v>-1418</v>
      </c>
      <c r="T94" s="233">
        <v>7939</v>
      </c>
    </row>
    <row r="95" spans="1:20">
      <c r="A95" s="48">
        <v>91013</v>
      </c>
      <c r="B95" s="49" t="s">
        <v>806</v>
      </c>
      <c r="C95" s="234">
        <v>1.9899999999999999E-5</v>
      </c>
      <c r="D95" s="234">
        <v>2.34E-5</v>
      </c>
      <c r="E95" s="185">
        <v>47210</v>
      </c>
      <c r="F95" s="185" t="s">
        <v>1924</v>
      </c>
      <c r="G95" s="232">
        <v>7283</v>
      </c>
      <c r="H95" s="220">
        <v>6481</v>
      </c>
      <c r="I95" s="232">
        <v>12528</v>
      </c>
      <c r="J95" s="231">
        <v>39132</v>
      </c>
      <c r="K95" s="88">
        <f t="shared" si="2"/>
        <v>65424</v>
      </c>
      <c r="L95" s="50"/>
      <c r="M95" s="232">
        <v>244</v>
      </c>
      <c r="N95" s="232">
        <v>0</v>
      </c>
      <c r="O95" s="231">
        <v>0</v>
      </c>
      <c r="P95" s="88">
        <f t="shared" si="3"/>
        <v>244</v>
      </c>
      <c r="Q95" s="50"/>
      <c r="R95" s="232">
        <v>13114</v>
      </c>
      <c r="S95" s="231">
        <v>13739</v>
      </c>
      <c r="T95" s="233">
        <v>26853</v>
      </c>
    </row>
    <row r="96" spans="1:20">
      <c r="A96" s="48">
        <v>91014</v>
      </c>
      <c r="B96" s="49" t="s">
        <v>2162</v>
      </c>
      <c r="C96" s="234">
        <v>2.02E-4</v>
      </c>
      <c r="D96" s="234">
        <v>2.22E-4</v>
      </c>
      <c r="E96" s="185">
        <v>479213</v>
      </c>
      <c r="F96" s="185" t="s">
        <v>1924</v>
      </c>
      <c r="G96" s="232">
        <v>73931</v>
      </c>
      <c r="H96" s="220">
        <v>65782</v>
      </c>
      <c r="I96" s="232">
        <v>127165</v>
      </c>
      <c r="J96" s="231">
        <v>986</v>
      </c>
      <c r="K96" s="88">
        <f t="shared" si="2"/>
        <v>267864</v>
      </c>
      <c r="L96" s="50"/>
      <c r="M96" s="232">
        <v>2481</v>
      </c>
      <c r="N96" s="232">
        <v>0</v>
      </c>
      <c r="O96" s="231">
        <v>19420</v>
      </c>
      <c r="P96" s="88">
        <f t="shared" si="3"/>
        <v>21901</v>
      </c>
      <c r="Q96" s="50"/>
      <c r="R96" s="232">
        <v>133113</v>
      </c>
      <c r="S96" s="231">
        <v>-9738</v>
      </c>
      <c r="T96" s="233">
        <v>123375</v>
      </c>
    </row>
    <row r="97" spans="1:20" s="184" customFormat="1">
      <c r="A97" s="182">
        <v>91015</v>
      </c>
      <c r="B97" s="183" t="s">
        <v>1636</v>
      </c>
      <c r="C97" s="234">
        <v>1.9400000000000001E-5</v>
      </c>
      <c r="D97" s="234">
        <v>0</v>
      </c>
      <c r="E97" s="185">
        <v>46023</v>
      </c>
      <c r="F97" s="185" t="s">
        <v>1924</v>
      </c>
      <c r="G97" s="232">
        <v>7100</v>
      </c>
      <c r="H97" s="220">
        <v>6317</v>
      </c>
      <c r="I97" s="232">
        <v>12213</v>
      </c>
      <c r="J97" s="231">
        <v>20258</v>
      </c>
      <c r="K97" s="88">
        <f t="shared" si="2"/>
        <v>45888</v>
      </c>
      <c r="L97" s="181"/>
      <c r="M97" s="232">
        <v>238</v>
      </c>
      <c r="N97" s="232">
        <v>0</v>
      </c>
      <c r="O97" s="231">
        <v>0</v>
      </c>
      <c r="P97" s="88">
        <f t="shared" si="3"/>
        <v>238</v>
      </c>
      <c r="Q97" s="181"/>
      <c r="R97" s="232">
        <v>12784</v>
      </c>
      <c r="S97" s="231">
        <v>5064</v>
      </c>
      <c r="T97" s="233">
        <v>17848</v>
      </c>
    </row>
    <row r="98" spans="1:20">
      <c r="A98" s="48">
        <v>91017</v>
      </c>
      <c r="B98" s="49" t="s">
        <v>808</v>
      </c>
      <c r="C98" s="234">
        <v>2.3499999999999999E-5</v>
      </c>
      <c r="D98" s="234">
        <v>2.4300000000000001E-5</v>
      </c>
      <c r="E98" s="185">
        <v>55750</v>
      </c>
      <c r="F98" s="185" t="s">
        <v>1924</v>
      </c>
      <c r="G98" s="232">
        <v>8601</v>
      </c>
      <c r="H98" s="220">
        <v>7653</v>
      </c>
      <c r="I98" s="232">
        <v>14794</v>
      </c>
      <c r="J98" s="231">
        <v>6947</v>
      </c>
      <c r="K98" s="88">
        <f t="shared" si="2"/>
        <v>37995</v>
      </c>
      <c r="L98" s="50"/>
      <c r="M98" s="232">
        <v>289</v>
      </c>
      <c r="N98" s="232">
        <v>0</v>
      </c>
      <c r="O98" s="231">
        <v>0</v>
      </c>
      <c r="P98" s="88">
        <f t="shared" si="3"/>
        <v>289</v>
      </c>
      <c r="Q98" s="50"/>
      <c r="R98" s="232">
        <v>15486</v>
      </c>
      <c r="S98" s="231">
        <v>4203</v>
      </c>
      <c r="T98" s="233">
        <v>19689</v>
      </c>
    </row>
    <row r="99" spans="1:20">
      <c r="A99" s="48">
        <v>91020</v>
      </c>
      <c r="B99" s="49" t="s">
        <v>2163</v>
      </c>
      <c r="C99" s="234">
        <v>2.9200000000000002E-5</v>
      </c>
      <c r="D99" s="234">
        <v>2.27E-5</v>
      </c>
      <c r="E99" s="185">
        <v>69272</v>
      </c>
      <c r="F99" s="185" t="s">
        <v>1924</v>
      </c>
      <c r="G99" s="232">
        <v>10687</v>
      </c>
      <c r="H99" s="220">
        <v>9509</v>
      </c>
      <c r="I99" s="232">
        <v>18382</v>
      </c>
      <c r="J99" s="231">
        <v>6791</v>
      </c>
      <c r="K99" s="88">
        <f t="shared" si="2"/>
        <v>45369</v>
      </c>
      <c r="L99" s="50"/>
      <c r="M99" s="232">
        <v>359</v>
      </c>
      <c r="N99" s="232">
        <v>0</v>
      </c>
      <c r="O99" s="231">
        <v>170</v>
      </c>
      <c r="P99" s="88">
        <f t="shared" si="3"/>
        <v>529</v>
      </c>
      <c r="Q99" s="50"/>
      <c r="R99" s="232">
        <v>19242</v>
      </c>
      <c r="S99" s="231">
        <v>2303</v>
      </c>
      <c r="T99" s="233">
        <v>21545</v>
      </c>
    </row>
    <row r="100" spans="1:20">
      <c r="A100" s="48">
        <v>91021</v>
      </c>
      <c r="B100" s="49" t="s">
        <v>2164</v>
      </c>
      <c r="C100" s="234">
        <v>8.8009999999999998E-4</v>
      </c>
      <c r="D100" s="234">
        <v>8.6450000000000003E-4</v>
      </c>
      <c r="E100" s="185">
        <v>2087898</v>
      </c>
      <c r="F100" s="185" t="s">
        <v>1924</v>
      </c>
      <c r="G100" s="232">
        <v>322113</v>
      </c>
      <c r="H100" s="220">
        <v>286606</v>
      </c>
      <c r="I100" s="232">
        <v>554048</v>
      </c>
      <c r="J100" s="231">
        <v>16435</v>
      </c>
      <c r="K100" s="88">
        <f t="shared" si="2"/>
        <v>1179202</v>
      </c>
      <c r="L100" s="50"/>
      <c r="M100" s="232">
        <v>10809</v>
      </c>
      <c r="N100" s="232">
        <v>0</v>
      </c>
      <c r="O100" s="231">
        <v>34261</v>
      </c>
      <c r="P100" s="88">
        <f t="shared" si="3"/>
        <v>45070</v>
      </c>
      <c r="Q100" s="50"/>
      <c r="R100" s="232">
        <v>579962</v>
      </c>
      <c r="S100" s="231">
        <v>-44308</v>
      </c>
      <c r="T100" s="233">
        <v>535654</v>
      </c>
    </row>
    <row r="101" spans="1:20">
      <c r="A101" s="48">
        <v>91024</v>
      </c>
      <c r="B101" s="49" t="s">
        <v>2165</v>
      </c>
      <c r="C101" s="234">
        <v>9.3800000000000003E-5</v>
      </c>
      <c r="D101" s="234">
        <v>7.2999999999999999E-5</v>
      </c>
      <c r="E101" s="185">
        <v>222526</v>
      </c>
      <c r="F101" s="185" t="s">
        <v>1924</v>
      </c>
      <c r="G101" s="232">
        <v>34330</v>
      </c>
      <c r="H101" s="220">
        <v>30546</v>
      </c>
      <c r="I101" s="232">
        <v>59050</v>
      </c>
      <c r="J101" s="231">
        <v>29168</v>
      </c>
      <c r="K101" s="88">
        <f t="shared" si="2"/>
        <v>153094</v>
      </c>
      <c r="L101" s="50"/>
      <c r="M101" s="232">
        <v>1152</v>
      </c>
      <c r="N101" s="232">
        <v>0</v>
      </c>
      <c r="O101" s="231">
        <v>0</v>
      </c>
      <c r="P101" s="88">
        <f t="shared" si="3"/>
        <v>1152</v>
      </c>
      <c r="Q101" s="50"/>
      <c r="R101" s="232">
        <v>61812</v>
      </c>
      <c r="S101" s="231">
        <v>14801</v>
      </c>
      <c r="T101" s="233">
        <v>76613</v>
      </c>
    </row>
    <row r="102" spans="1:20">
      <c r="A102" s="48">
        <v>91026</v>
      </c>
      <c r="B102" s="49" t="s">
        <v>2166</v>
      </c>
      <c r="C102" s="234">
        <v>4.5599999999999997E-5</v>
      </c>
      <c r="D102" s="234">
        <v>4.18E-5</v>
      </c>
      <c r="E102" s="185">
        <v>108179</v>
      </c>
      <c r="F102" s="185" t="s">
        <v>1924</v>
      </c>
      <c r="G102" s="232">
        <v>16689</v>
      </c>
      <c r="H102" s="220">
        <v>14849</v>
      </c>
      <c r="I102" s="232">
        <v>28706</v>
      </c>
      <c r="J102" s="231">
        <v>42442</v>
      </c>
      <c r="K102" s="88">
        <f t="shared" si="2"/>
        <v>102686</v>
      </c>
      <c r="L102" s="50"/>
      <c r="M102" s="232">
        <v>560</v>
      </c>
      <c r="N102" s="232">
        <v>0</v>
      </c>
      <c r="O102" s="231">
        <v>0</v>
      </c>
      <c r="P102" s="88">
        <f t="shared" si="3"/>
        <v>560</v>
      </c>
      <c r="Q102" s="50"/>
      <c r="R102" s="232">
        <v>30049</v>
      </c>
      <c r="S102" s="231">
        <v>17241</v>
      </c>
      <c r="T102" s="233">
        <v>47290</v>
      </c>
    </row>
    <row r="103" spans="1:20">
      <c r="A103" s="48">
        <v>91027</v>
      </c>
      <c r="B103" s="49" t="s">
        <v>812</v>
      </c>
      <c r="C103" s="234">
        <v>1.6699999999999999E-5</v>
      </c>
      <c r="D103" s="234">
        <v>1.4E-5</v>
      </c>
      <c r="E103" s="185">
        <v>39618</v>
      </c>
      <c r="F103" s="185" t="s">
        <v>1924</v>
      </c>
      <c r="G103" s="232">
        <v>6112</v>
      </c>
      <c r="H103" s="220">
        <v>5439</v>
      </c>
      <c r="I103" s="232">
        <v>10513</v>
      </c>
      <c r="J103" s="231">
        <v>16743</v>
      </c>
      <c r="K103" s="88">
        <f t="shared" si="2"/>
        <v>38807</v>
      </c>
      <c r="L103" s="50"/>
      <c r="M103" s="232">
        <v>205</v>
      </c>
      <c r="N103" s="232">
        <v>0</v>
      </c>
      <c r="O103" s="231">
        <v>0</v>
      </c>
      <c r="P103" s="88">
        <f t="shared" si="3"/>
        <v>205</v>
      </c>
      <c r="Q103" s="50"/>
      <c r="R103" s="232">
        <v>11005</v>
      </c>
      <c r="S103" s="231">
        <v>8336</v>
      </c>
      <c r="T103" s="233">
        <v>19341</v>
      </c>
    </row>
    <row r="104" spans="1:20">
      <c r="A104" s="48">
        <v>91032</v>
      </c>
      <c r="B104" s="49" t="s">
        <v>2167</v>
      </c>
      <c r="C104" s="234">
        <v>1.6399999999999999E-5</v>
      </c>
      <c r="D104" s="234">
        <v>1.8E-5</v>
      </c>
      <c r="E104" s="185">
        <v>38906</v>
      </c>
      <c r="F104" s="185" t="s">
        <v>1924</v>
      </c>
      <c r="G104" s="232">
        <v>6002</v>
      </c>
      <c r="H104" s="220">
        <v>5341</v>
      </c>
      <c r="I104" s="232">
        <v>10324</v>
      </c>
      <c r="J104" s="231">
        <v>16497</v>
      </c>
      <c r="K104" s="88">
        <f t="shared" si="2"/>
        <v>38164</v>
      </c>
      <c r="L104" s="50"/>
      <c r="M104" s="232">
        <v>201</v>
      </c>
      <c r="N104" s="232">
        <v>0</v>
      </c>
      <c r="O104" s="231">
        <v>0</v>
      </c>
      <c r="P104" s="88">
        <f t="shared" si="3"/>
        <v>201</v>
      </c>
      <c r="Q104" s="50"/>
      <c r="R104" s="232">
        <v>10807</v>
      </c>
      <c r="S104" s="231">
        <v>8433</v>
      </c>
      <c r="T104" s="233">
        <v>19240</v>
      </c>
    </row>
    <row r="105" spans="1:20">
      <c r="A105" s="48">
        <v>91041</v>
      </c>
      <c r="B105" s="49" t="s">
        <v>2168</v>
      </c>
      <c r="C105" s="234">
        <v>4.373E-4</v>
      </c>
      <c r="D105" s="234">
        <v>4.0400000000000001E-4</v>
      </c>
      <c r="E105" s="185">
        <v>1037425</v>
      </c>
      <c r="F105" s="185" t="s">
        <v>1924</v>
      </c>
      <c r="G105" s="232">
        <v>160050</v>
      </c>
      <c r="H105" s="220">
        <v>142408</v>
      </c>
      <c r="I105" s="232">
        <v>275293</v>
      </c>
      <c r="J105" s="231">
        <v>0</v>
      </c>
      <c r="K105" s="88">
        <f t="shared" si="2"/>
        <v>577751</v>
      </c>
      <c r="L105" s="50"/>
      <c r="M105" s="232">
        <v>5370</v>
      </c>
      <c r="N105" s="232">
        <v>0</v>
      </c>
      <c r="O105" s="231">
        <v>74844</v>
      </c>
      <c r="P105" s="88">
        <f t="shared" si="3"/>
        <v>80214</v>
      </c>
      <c r="Q105" s="50"/>
      <c r="R105" s="232">
        <v>288169</v>
      </c>
      <c r="S105" s="231">
        <v>-40195</v>
      </c>
      <c r="T105" s="233">
        <v>247974</v>
      </c>
    </row>
    <row r="106" spans="1:20">
      <c r="A106" s="48">
        <v>91042</v>
      </c>
      <c r="B106" s="49" t="s">
        <v>815</v>
      </c>
      <c r="C106" s="234">
        <v>2.6630000000000002E-4</v>
      </c>
      <c r="D106" s="234">
        <v>2.3360000000000001E-4</v>
      </c>
      <c r="E106" s="185">
        <v>631755</v>
      </c>
      <c r="F106" s="185" t="s">
        <v>1924</v>
      </c>
      <c r="G106" s="232">
        <v>97465</v>
      </c>
      <c r="H106" s="220">
        <v>86722</v>
      </c>
      <c r="I106" s="232">
        <v>167643</v>
      </c>
      <c r="J106" s="231">
        <v>20600</v>
      </c>
      <c r="K106" s="88">
        <f t="shared" si="2"/>
        <v>372430</v>
      </c>
      <c r="L106" s="50"/>
      <c r="M106" s="232">
        <v>3270</v>
      </c>
      <c r="N106" s="232">
        <v>0</v>
      </c>
      <c r="O106" s="231">
        <v>4544</v>
      </c>
      <c r="P106" s="88">
        <f t="shared" si="3"/>
        <v>7814</v>
      </c>
      <c r="Q106" s="50"/>
      <c r="R106" s="232">
        <v>175485</v>
      </c>
      <c r="S106" s="231">
        <v>3567</v>
      </c>
      <c r="T106" s="233">
        <v>179052</v>
      </c>
    </row>
    <row r="107" spans="1:20">
      <c r="A107" s="48">
        <v>91047</v>
      </c>
      <c r="B107" s="49" t="s">
        <v>2169</v>
      </c>
      <c r="C107" s="234">
        <v>1.24E-5</v>
      </c>
      <c r="D107" s="234">
        <v>1.31E-5</v>
      </c>
      <c r="E107" s="185">
        <v>29417</v>
      </c>
      <c r="F107" s="185" t="s">
        <v>1924</v>
      </c>
      <c r="G107" s="232">
        <v>4538</v>
      </c>
      <c r="H107" s="220">
        <v>4038</v>
      </c>
      <c r="I107" s="232">
        <v>7806</v>
      </c>
      <c r="J107" s="231">
        <v>22020</v>
      </c>
      <c r="K107" s="88">
        <f t="shared" si="2"/>
        <v>38402</v>
      </c>
      <c r="L107" s="50"/>
      <c r="M107" s="232">
        <v>152</v>
      </c>
      <c r="N107" s="232">
        <v>0</v>
      </c>
      <c r="O107" s="231">
        <v>0</v>
      </c>
      <c r="P107" s="88">
        <f t="shared" si="3"/>
        <v>152</v>
      </c>
      <c r="Q107" s="50"/>
      <c r="R107" s="232">
        <v>8171</v>
      </c>
      <c r="S107" s="231">
        <v>9821</v>
      </c>
      <c r="T107" s="233">
        <v>17992</v>
      </c>
    </row>
    <row r="108" spans="1:20">
      <c r="A108" s="48">
        <v>91051</v>
      </c>
      <c r="B108" s="49" t="s">
        <v>2170</v>
      </c>
      <c r="C108" s="234">
        <v>6.7999999999999999E-5</v>
      </c>
      <c r="D108" s="234">
        <v>6.6400000000000001E-5</v>
      </c>
      <c r="E108" s="185">
        <v>161319</v>
      </c>
      <c r="F108" s="185" t="s">
        <v>1924</v>
      </c>
      <c r="G108" s="232">
        <v>24888</v>
      </c>
      <c r="H108" s="220">
        <v>22144</v>
      </c>
      <c r="I108" s="232">
        <v>42808</v>
      </c>
      <c r="J108" s="231">
        <v>1891</v>
      </c>
      <c r="K108" s="88">
        <f t="shared" si="2"/>
        <v>91731</v>
      </c>
      <c r="L108" s="50"/>
      <c r="M108" s="232">
        <v>835</v>
      </c>
      <c r="N108" s="232">
        <v>0</v>
      </c>
      <c r="O108" s="231">
        <v>5967</v>
      </c>
      <c r="P108" s="88">
        <f t="shared" si="3"/>
        <v>6802</v>
      </c>
      <c r="Q108" s="50"/>
      <c r="R108" s="232">
        <v>44810</v>
      </c>
      <c r="S108" s="231">
        <v>-1282</v>
      </c>
      <c r="T108" s="233">
        <v>43528</v>
      </c>
    </row>
    <row r="109" spans="1:20">
      <c r="A109" s="48">
        <v>91057</v>
      </c>
      <c r="B109" s="49" t="s">
        <v>818</v>
      </c>
      <c r="C109" s="234">
        <v>1.3699999999999999E-5</v>
      </c>
      <c r="D109" s="234">
        <v>1.4399999999999999E-5</v>
      </c>
      <c r="E109" s="185">
        <v>32501</v>
      </c>
      <c r="F109" s="185" t="s">
        <v>1924</v>
      </c>
      <c r="G109" s="232">
        <v>5014</v>
      </c>
      <c r="H109" s="220">
        <v>4461</v>
      </c>
      <c r="I109" s="232">
        <v>8625</v>
      </c>
      <c r="J109" s="231">
        <v>6313</v>
      </c>
      <c r="K109" s="88">
        <f t="shared" si="2"/>
        <v>24413</v>
      </c>
      <c r="L109" s="50"/>
      <c r="M109" s="232">
        <v>168</v>
      </c>
      <c r="N109" s="232">
        <v>0</v>
      </c>
      <c r="O109" s="231">
        <v>0</v>
      </c>
      <c r="P109" s="88">
        <f t="shared" si="3"/>
        <v>168</v>
      </c>
      <c r="Q109" s="50"/>
      <c r="R109" s="232">
        <v>9028</v>
      </c>
      <c r="S109" s="231">
        <v>2864</v>
      </c>
      <c r="T109" s="233">
        <v>11892</v>
      </c>
    </row>
    <row r="110" spans="1:20">
      <c r="A110" s="48">
        <v>91061</v>
      </c>
      <c r="B110" s="49" t="s">
        <v>2171</v>
      </c>
      <c r="C110" s="234">
        <v>3.657E-4</v>
      </c>
      <c r="D110" s="234">
        <v>4.104E-4</v>
      </c>
      <c r="E110" s="185">
        <v>867565</v>
      </c>
      <c r="F110" s="185" t="s">
        <v>1924</v>
      </c>
      <c r="G110" s="232">
        <v>133845</v>
      </c>
      <c r="H110" s="220">
        <v>119091</v>
      </c>
      <c r="I110" s="232">
        <v>230218</v>
      </c>
      <c r="J110" s="231">
        <v>13475</v>
      </c>
      <c r="K110" s="88">
        <f t="shared" si="2"/>
        <v>496629</v>
      </c>
      <c r="L110" s="50"/>
      <c r="M110" s="232">
        <v>4491</v>
      </c>
      <c r="N110" s="232">
        <v>0</v>
      </c>
      <c r="O110" s="231">
        <v>35188</v>
      </c>
      <c r="P110" s="88">
        <f t="shared" si="3"/>
        <v>39679</v>
      </c>
      <c r="Q110" s="50"/>
      <c r="R110" s="232">
        <v>240986</v>
      </c>
      <c r="S110" s="231">
        <v>-19918</v>
      </c>
      <c r="T110" s="233">
        <v>221068</v>
      </c>
    </row>
    <row r="111" spans="1:20">
      <c r="A111" s="48">
        <v>91067</v>
      </c>
      <c r="B111" s="49" t="s">
        <v>820</v>
      </c>
      <c r="C111" s="234">
        <v>1.6900000000000001E-5</v>
      </c>
      <c r="D111" s="234">
        <v>1.5699999999999999E-5</v>
      </c>
      <c r="E111" s="185">
        <v>40093</v>
      </c>
      <c r="F111" s="185" t="s">
        <v>1924</v>
      </c>
      <c r="G111" s="232">
        <v>6185</v>
      </c>
      <c r="H111" s="220">
        <v>5503</v>
      </c>
      <c r="I111" s="232">
        <v>10639</v>
      </c>
      <c r="J111" s="231">
        <v>2715</v>
      </c>
      <c r="K111" s="88">
        <f t="shared" si="2"/>
        <v>25042</v>
      </c>
      <c r="L111" s="50"/>
      <c r="M111" s="232">
        <v>208</v>
      </c>
      <c r="N111" s="232">
        <v>0</v>
      </c>
      <c r="O111" s="231">
        <v>305</v>
      </c>
      <c r="P111" s="88">
        <f t="shared" si="3"/>
        <v>513</v>
      </c>
      <c r="Q111" s="50"/>
      <c r="R111" s="232">
        <v>11137</v>
      </c>
      <c r="S111" s="231">
        <v>1543</v>
      </c>
      <c r="T111" s="233">
        <v>12680</v>
      </c>
    </row>
    <row r="112" spans="1:20">
      <c r="A112" s="48">
        <v>91071</v>
      </c>
      <c r="B112" s="49" t="s">
        <v>821</v>
      </c>
      <c r="C112" s="234">
        <v>2.354E-4</v>
      </c>
      <c r="D112" s="234">
        <v>2.2770000000000001E-4</v>
      </c>
      <c r="E112" s="185">
        <v>558449</v>
      </c>
      <c r="F112" s="185" t="s">
        <v>1924</v>
      </c>
      <c r="G112" s="232">
        <v>86155</v>
      </c>
      <c r="H112" s="220">
        <v>76659</v>
      </c>
      <c r="I112" s="232">
        <v>148191</v>
      </c>
      <c r="J112" s="231">
        <v>0</v>
      </c>
      <c r="K112" s="88">
        <f t="shared" si="2"/>
        <v>311005</v>
      </c>
      <c r="L112" s="50"/>
      <c r="M112" s="232">
        <v>2891</v>
      </c>
      <c r="N112" s="232">
        <v>0</v>
      </c>
      <c r="O112" s="231">
        <v>17112</v>
      </c>
      <c r="P112" s="88">
        <f t="shared" si="3"/>
        <v>20003</v>
      </c>
      <c r="Q112" s="50"/>
      <c r="R112" s="232">
        <v>155122</v>
      </c>
      <c r="S112" s="231">
        <v>2083</v>
      </c>
      <c r="T112" s="233">
        <v>157205</v>
      </c>
    </row>
    <row r="113" spans="1:20">
      <c r="A113" s="48">
        <v>91077</v>
      </c>
      <c r="B113" s="49" t="s">
        <v>822</v>
      </c>
      <c r="C113" s="234">
        <v>3.1E-6</v>
      </c>
      <c r="D113" s="234">
        <v>3.5999999999999998E-6</v>
      </c>
      <c r="E113" s="185">
        <v>7354</v>
      </c>
      <c r="F113" s="185" t="s">
        <v>1924</v>
      </c>
      <c r="G113" s="232">
        <v>1135</v>
      </c>
      <c r="H113" s="220">
        <v>1009</v>
      </c>
      <c r="I113" s="232">
        <v>1952</v>
      </c>
      <c r="J113" s="231">
        <v>1928</v>
      </c>
      <c r="K113" s="88">
        <f t="shared" si="2"/>
        <v>6024</v>
      </c>
      <c r="L113" s="50"/>
      <c r="M113" s="232">
        <v>38</v>
      </c>
      <c r="N113" s="232">
        <v>0</v>
      </c>
      <c r="O113" s="231">
        <v>0</v>
      </c>
      <c r="P113" s="88">
        <f t="shared" si="3"/>
        <v>38</v>
      </c>
      <c r="Q113" s="50"/>
      <c r="R113" s="232">
        <v>2043</v>
      </c>
      <c r="S113" s="231">
        <v>728</v>
      </c>
      <c r="T113" s="233">
        <v>2771</v>
      </c>
    </row>
    <row r="114" spans="1:20">
      <c r="A114" s="48">
        <v>91081</v>
      </c>
      <c r="B114" s="49" t="s">
        <v>2172</v>
      </c>
      <c r="C114" s="234">
        <v>3.8870000000000002E-4</v>
      </c>
      <c r="D114" s="234">
        <v>3.6240000000000003E-4</v>
      </c>
      <c r="E114" s="186">
        <v>922129</v>
      </c>
      <c r="F114" s="186" t="s">
        <v>1924</v>
      </c>
      <c r="G114" s="232">
        <v>142263</v>
      </c>
      <c r="H114" s="220">
        <v>126581</v>
      </c>
      <c r="I114" s="232">
        <v>244698</v>
      </c>
      <c r="J114" s="231">
        <v>20151</v>
      </c>
      <c r="K114" s="88">
        <f t="shared" si="2"/>
        <v>533693</v>
      </c>
      <c r="L114" s="50"/>
      <c r="M114" s="232">
        <v>4774</v>
      </c>
      <c r="N114" s="232">
        <v>0</v>
      </c>
      <c r="O114" s="231">
        <v>0</v>
      </c>
      <c r="P114" s="88">
        <f t="shared" si="3"/>
        <v>4774</v>
      </c>
      <c r="Q114" s="50"/>
      <c r="R114" s="232">
        <v>256143</v>
      </c>
      <c r="S114" s="231">
        <v>-8184</v>
      </c>
      <c r="T114" s="233">
        <v>247959</v>
      </c>
    </row>
    <row r="115" spans="1:20">
      <c r="A115" s="48">
        <v>91091</v>
      </c>
      <c r="B115" s="49" t="s">
        <v>2479</v>
      </c>
      <c r="C115" s="234">
        <v>5.0319999999999998E-4</v>
      </c>
      <c r="D115" s="234">
        <v>5.3790000000000001E-4</v>
      </c>
      <c r="E115" s="186">
        <v>1193762</v>
      </c>
      <c r="F115" s="186" t="s">
        <v>1924</v>
      </c>
      <c r="G115" s="232">
        <v>184169</v>
      </c>
      <c r="H115" s="220">
        <v>163868</v>
      </c>
      <c r="I115" s="232">
        <v>316778</v>
      </c>
      <c r="J115" s="231">
        <v>0</v>
      </c>
      <c r="K115" s="88">
        <f t="shared" si="2"/>
        <v>664815</v>
      </c>
      <c r="L115" s="50"/>
      <c r="M115" s="232">
        <v>6180</v>
      </c>
      <c r="N115" s="232">
        <v>0</v>
      </c>
      <c r="O115" s="231">
        <v>63597</v>
      </c>
      <c r="P115" s="88">
        <f t="shared" si="3"/>
        <v>69777</v>
      </c>
      <c r="Q115" s="50"/>
      <c r="R115" s="232">
        <v>331595</v>
      </c>
      <c r="S115" s="231">
        <v>-37735</v>
      </c>
      <c r="T115" s="233">
        <v>293860</v>
      </c>
    </row>
    <row r="116" spans="1:20">
      <c r="A116" s="48">
        <v>91101</v>
      </c>
      <c r="B116" s="49" t="s">
        <v>825</v>
      </c>
      <c r="C116" s="234">
        <v>1.3608800000000001E-2</v>
      </c>
      <c r="D116" s="234">
        <v>1.35581E-2</v>
      </c>
      <c r="E116" s="186">
        <v>32284728</v>
      </c>
      <c r="F116" s="186" t="s">
        <v>1924</v>
      </c>
      <c r="G116" s="232">
        <v>4980766</v>
      </c>
      <c r="H116" s="220">
        <v>4431733</v>
      </c>
      <c r="I116" s="232">
        <v>8567121</v>
      </c>
      <c r="J116" s="231">
        <v>153266</v>
      </c>
      <c r="K116" s="88">
        <f t="shared" si="2"/>
        <v>18132886</v>
      </c>
      <c r="L116" s="50"/>
      <c r="M116" s="232">
        <v>167130</v>
      </c>
      <c r="N116" s="232">
        <v>0</v>
      </c>
      <c r="O116" s="231">
        <v>611807</v>
      </c>
      <c r="P116" s="88">
        <f t="shared" si="3"/>
        <v>778937</v>
      </c>
      <c r="Q116" s="50"/>
      <c r="R116" s="232">
        <v>8967832</v>
      </c>
      <c r="S116" s="231">
        <v>97540</v>
      </c>
      <c r="T116" s="233">
        <v>9065372</v>
      </c>
    </row>
    <row r="117" spans="1:20">
      <c r="A117" s="48">
        <v>91102</v>
      </c>
      <c r="B117" s="49" t="s">
        <v>826</v>
      </c>
      <c r="C117" s="234">
        <v>3.2509999999999999E-4</v>
      </c>
      <c r="D117" s="234">
        <v>3.2919999999999998E-4</v>
      </c>
      <c r="E117" s="186">
        <v>771248</v>
      </c>
      <c r="F117" s="186" t="s">
        <v>1924</v>
      </c>
      <c r="G117" s="232">
        <v>118985</v>
      </c>
      <c r="H117" s="220">
        <v>105870</v>
      </c>
      <c r="I117" s="232">
        <v>204660</v>
      </c>
      <c r="J117" s="231">
        <v>24895</v>
      </c>
      <c r="K117" s="88">
        <f t="shared" si="2"/>
        <v>454410</v>
      </c>
      <c r="L117" s="50"/>
      <c r="M117" s="232">
        <v>3993</v>
      </c>
      <c r="N117" s="232">
        <v>0</v>
      </c>
      <c r="O117" s="231">
        <v>16541</v>
      </c>
      <c r="P117" s="88">
        <f t="shared" si="3"/>
        <v>20534</v>
      </c>
      <c r="Q117" s="50"/>
      <c r="R117" s="232">
        <v>214232</v>
      </c>
      <c r="S117" s="231">
        <v>-8634</v>
      </c>
      <c r="T117" s="233">
        <v>205598</v>
      </c>
    </row>
    <row r="118" spans="1:20">
      <c r="A118" s="48">
        <v>91104</v>
      </c>
      <c r="B118" s="49" t="s">
        <v>827</v>
      </c>
      <c r="C118" s="234">
        <v>6.9999999999999999E-6</v>
      </c>
      <c r="D118" s="234">
        <v>7.9000000000000006E-6</v>
      </c>
      <c r="E118" s="186">
        <v>16606</v>
      </c>
      <c r="F118" s="186" t="s">
        <v>1924</v>
      </c>
      <c r="G118" s="232">
        <v>2562</v>
      </c>
      <c r="H118" s="220">
        <v>2279</v>
      </c>
      <c r="I118" s="232">
        <v>4407</v>
      </c>
      <c r="J118" s="231">
        <v>4377</v>
      </c>
      <c r="K118" s="88">
        <f t="shared" si="2"/>
        <v>13625</v>
      </c>
      <c r="L118" s="50"/>
      <c r="M118" s="232">
        <v>86</v>
      </c>
      <c r="N118" s="232">
        <v>0</v>
      </c>
      <c r="O118" s="231">
        <v>0</v>
      </c>
      <c r="P118" s="88">
        <f t="shared" si="3"/>
        <v>86</v>
      </c>
      <c r="Q118" s="50"/>
      <c r="R118" s="232">
        <v>4613</v>
      </c>
      <c r="S118" s="231">
        <v>1311</v>
      </c>
      <c r="T118" s="233">
        <v>5924</v>
      </c>
    </row>
    <row r="119" spans="1:20">
      <c r="A119" s="48">
        <v>91107</v>
      </c>
      <c r="B119" s="49" t="s">
        <v>828</v>
      </c>
      <c r="C119" s="234">
        <v>5.8999999999999998E-5</v>
      </c>
      <c r="D119" s="234">
        <v>7.08E-5</v>
      </c>
      <c r="E119" s="186">
        <v>139968</v>
      </c>
      <c r="F119" s="186" t="s">
        <v>1924</v>
      </c>
      <c r="G119" s="232">
        <v>21594</v>
      </c>
      <c r="H119" s="220">
        <v>19214</v>
      </c>
      <c r="I119" s="232">
        <v>37142</v>
      </c>
      <c r="J119" s="231">
        <v>7995</v>
      </c>
      <c r="K119" s="88">
        <f t="shared" si="2"/>
        <v>85945</v>
      </c>
      <c r="L119" s="50"/>
      <c r="M119" s="232">
        <v>725</v>
      </c>
      <c r="N119" s="232">
        <v>0</v>
      </c>
      <c r="O119" s="231">
        <v>3010</v>
      </c>
      <c r="P119" s="88">
        <f t="shared" si="3"/>
        <v>3735</v>
      </c>
      <c r="Q119" s="50"/>
      <c r="R119" s="232">
        <v>38879</v>
      </c>
      <c r="S119" s="231">
        <v>4395</v>
      </c>
      <c r="T119" s="233">
        <v>43274</v>
      </c>
    </row>
    <row r="120" spans="1:20">
      <c r="A120" s="48">
        <v>91108</v>
      </c>
      <c r="B120" s="49" t="s">
        <v>829</v>
      </c>
      <c r="C120" s="234">
        <v>1.2019000000000001E-3</v>
      </c>
      <c r="D120" s="234">
        <v>1.2413999999999999E-3</v>
      </c>
      <c r="E120" s="186">
        <v>2851318</v>
      </c>
      <c r="F120" s="186" t="s">
        <v>1924</v>
      </c>
      <c r="G120" s="232">
        <v>439891</v>
      </c>
      <c r="H120" s="220">
        <v>391401</v>
      </c>
      <c r="I120" s="232">
        <v>756630</v>
      </c>
      <c r="J120" s="231">
        <v>64196</v>
      </c>
      <c r="K120" s="88">
        <f t="shared" si="2"/>
        <v>1652118</v>
      </c>
      <c r="L120" s="50"/>
      <c r="M120" s="232">
        <v>14761</v>
      </c>
      <c r="N120" s="232">
        <v>0</v>
      </c>
      <c r="O120" s="231">
        <v>0</v>
      </c>
      <c r="P120" s="88">
        <f t="shared" si="3"/>
        <v>14761</v>
      </c>
      <c r="Q120" s="50"/>
      <c r="R120" s="232">
        <v>792020</v>
      </c>
      <c r="S120" s="231">
        <v>40803</v>
      </c>
      <c r="T120" s="233">
        <v>832823</v>
      </c>
    </row>
    <row r="121" spans="1:20">
      <c r="A121" s="48">
        <v>91109</v>
      </c>
      <c r="B121" s="49" t="s">
        <v>830</v>
      </c>
      <c r="C121" s="234">
        <v>1E-4</v>
      </c>
      <c r="D121" s="234">
        <v>9.9599999999999995E-5</v>
      </c>
      <c r="E121" s="186">
        <v>237234</v>
      </c>
      <c r="F121" s="186" t="s">
        <v>1924</v>
      </c>
      <c r="G121" s="232">
        <v>36600</v>
      </c>
      <c r="H121" s="220">
        <v>32565</v>
      </c>
      <c r="I121" s="232">
        <v>62953</v>
      </c>
      <c r="J121" s="231">
        <v>7411</v>
      </c>
      <c r="K121" s="88">
        <f t="shared" si="2"/>
        <v>139529</v>
      </c>
      <c r="L121" s="50"/>
      <c r="M121" s="232">
        <v>1228</v>
      </c>
      <c r="N121" s="232">
        <v>0</v>
      </c>
      <c r="O121" s="231">
        <v>235</v>
      </c>
      <c r="P121" s="88">
        <f t="shared" si="3"/>
        <v>1463</v>
      </c>
      <c r="Q121" s="50"/>
      <c r="R121" s="232">
        <v>65897</v>
      </c>
      <c r="S121" s="231">
        <v>2068</v>
      </c>
      <c r="T121" s="233">
        <v>67965</v>
      </c>
    </row>
    <row r="122" spans="1:20">
      <c r="A122" s="48">
        <v>91111</v>
      </c>
      <c r="B122" s="49" t="s">
        <v>2173</v>
      </c>
      <c r="C122" s="234">
        <v>2.3499999999999999E-4</v>
      </c>
      <c r="D122" s="234">
        <v>2.2719999999999999E-4</v>
      </c>
      <c r="E122" s="186">
        <v>557500</v>
      </c>
      <c r="F122" s="186" t="s">
        <v>1924</v>
      </c>
      <c r="G122" s="232">
        <v>86009</v>
      </c>
      <c r="H122" s="220">
        <v>76528</v>
      </c>
      <c r="I122" s="232">
        <v>147939</v>
      </c>
      <c r="J122" s="231">
        <v>19329</v>
      </c>
      <c r="K122" s="88">
        <f t="shared" si="2"/>
        <v>329805</v>
      </c>
      <c r="L122" s="50"/>
      <c r="M122" s="232">
        <v>2886</v>
      </c>
      <c r="N122" s="232">
        <v>0</v>
      </c>
      <c r="O122" s="231">
        <v>0</v>
      </c>
      <c r="P122" s="88">
        <f t="shared" si="3"/>
        <v>2886</v>
      </c>
      <c r="Q122" s="50"/>
      <c r="R122" s="232">
        <v>154859</v>
      </c>
      <c r="S122" s="231">
        <v>11947</v>
      </c>
      <c r="T122" s="233">
        <v>166806</v>
      </c>
    </row>
    <row r="123" spans="1:20">
      <c r="A123" s="48">
        <v>91119</v>
      </c>
      <c r="B123" s="49" t="s">
        <v>48</v>
      </c>
      <c r="C123" s="234">
        <v>0</v>
      </c>
      <c r="D123" s="234">
        <v>0</v>
      </c>
      <c r="E123" s="186">
        <v>0</v>
      </c>
      <c r="F123" s="186" t="s">
        <v>1924</v>
      </c>
      <c r="G123" s="232">
        <v>0</v>
      </c>
      <c r="H123" s="220">
        <v>0</v>
      </c>
      <c r="I123" s="232">
        <v>0</v>
      </c>
      <c r="J123" s="231">
        <v>0</v>
      </c>
      <c r="K123" s="88">
        <f t="shared" si="2"/>
        <v>0</v>
      </c>
      <c r="L123" s="50"/>
      <c r="M123" s="232">
        <v>0</v>
      </c>
      <c r="N123" s="232">
        <v>0</v>
      </c>
      <c r="O123" s="231">
        <v>0</v>
      </c>
      <c r="P123" s="88">
        <f t="shared" si="3"/>
        <v>0</v>
      </c>
      <c r="Q123" s="50"/>
      <c r="R123" s="232">
        <v>0</v>
      </c>
      <c r="S123" s="231">
        <v>-321091</v>
      </c>
      <c r="T123" s="233">
        <v>-321091</v>
      </c>
    </row>
    <row r="124" spans="1:20">
      <c r="A124" s="48">
        <v>91120</v>
      </c>
      <c r="B124" s="49" t="s">
        <v>832</v>
      </c>
      <c r="C124" s="234">
        <v>1.2679999999999999E-4</v>
      </c>
      <c r="D124" s="234">
        <v>1.3019999999999999E-4</v>
      </c>
      <c r="E124" s="186">
        <v>300813</v>
      </c>
      <c r="F124" s="186" t="s">
        <v>1924</v>
      </c>
      <c r="G124" s="232">
        <v>46408</v>
      </c>
      <c r="H124" s="220">
        <v>41293</v>
      </c>
      <c r="I124" s="232">
        <v>79824</v>
      </c>
      <c r="J124" s="231">
        <v>0</v>
      </c>
      <c r="K124" s="88">
        <f t="shared" si="2"/>
        <v>167525</v>
      </c>
      <c r="L124" s="50"/>
      <c r="M124" s="232">
        <v>1557</v>
      </c>
      <c r="N124" s="232">
        <v>0</v>
      </c>
      <c r="O124" s="231">
        <v>20743</v>
      </c>
      <c r="P124" s="88">
        <f t="shared" si="3"/>
        <v>22300</v>
      </c>
      <c r="Q124" s="50"/>
      <c r="R124" s="232">
        <v>83558</v>
      </c>
      <c r="S124" s="231">
        <v>-14819</v>
      </c>
      <c r="T124" s="233">
        <v>68739</v>
      </c>
    </row>
    <row r="125" spans="1:20">
      <c r="A125" s="48">
        <v>91121</v>
      </c>
      <c r="B125" s="49" t="s">
        <v>833</v>
      </c>
      <c r="C125" s="234">
        <v>1.02925E-2</v>
      </c>
      <c r="D125" s="234">
        <v>9.9927999999999996E-3</v>
      </c>
      <c r="E125" s="186">
        <v>24417330</v>
      </c>
      <c r="F125" s="186" t="s">
        <v>1924</v>
      </c>
      <c r="G125" s="232">
        <v>3767014</v>
      </c>
      <c r="H125" s="220">
        <v>3351774</v>
      </c>
      <c r="I125" s="232">
        <v>6479417</v>
      </c>
      <c r="J125" s="231">
        <v>0</v>
      </c>
      <c r="K125" s="88">
        <f t="shared" si="2"/>
        <v>13598205</v>
      </c>
      <c r="L125" s="50"/>
      <c r="M125" s="232">
        <v>126402</v>
      </c>
      <c r="N125" s="232">
        <v>0</v>
      </c>
      <c r="O125" s="231">
        <v>408831</v>
      </c>
      <c r="P125" s="88">
        <f t="shared" si="3"/>
        <v>535233</v>
      </c>
      <c r="Q125" s="50"/>
      <c r="R125" s="232">
        <v>6782480</v>
      </c>
      <c r="S125" s="231">
        <v>-342903</v>
      </c>
      <c r="T125" s="233">
        <v>6439577</v>
      </c>
    </row>
    <row r="126" spans="1:20">
      <c r="A126" s="48">
        <v>91127</v>
      </c>
      <c r="B126" s="49" t="s">
        <v>834</v>
      </c>
      <c r="C126" s="234">
        <v>2.8370000000000001E-4</v>
      </c>
      <c r="D126" s="234">
        <v>2.6879999999999997E-4</v>
      </c>
      <c r="E126" s="186">
        <v>673033</v>
      </c>
      <c r="F126" s="186" t="s">
        <v>1924</v>
      </c>
      <c r="G126" s="232">
        <v>103833</v>
      </c>
      <c r="H126" s="220">
        <v>92387</v>
      </c>
      <c r="I126" s="232">
        <v>178597</v>
      </c>
      <c r="J126" s="231">
        <v>49510</v>
      </c>
      <c r="K126" s="88">
        <f t="shared" si="2"/>
        <v>424327</v>
      </c>
      <c r="L126" s="50"/>
      <c r="M126" s="232">
        <v>3484</v>
      </c>
      <c r="N126" s="232">
        <v>0</v>
      </c>
      <c r="O126" s="231">
        <v>0</v>
      </c>
      <c r="P126" s="88">
        <f t="shared" si="3"/>
        <v>3484</v>
      </c>
      <c r="Q126" s="50"/>
      <c r="R126" s="232">
        <v>186951</v>
      </c>
      <c r="S126" s="231">
        <v>31849</v>
      </c>
      <c r="T126" s="233">
        <v>218800</v>
      </c>
    </row>
    <row r="127" spans="1:20">
      <c r="A127" s="48">
        <v>91128</v>
      </c>
      <c r="B127" s="49" t="s">
        <v>835</v>
      </c>
      <c r="C127" s="234">
        <v>5.1060000000000005E-4</v>
      </c>
      <c r="D127" s="234">
        <v>5.2380000000000005E-4</v>
      </c>
      <c r="E127" s="186">
        <v>1211318</v>
      </c>
      <c r="F127" s="186" t="s">
        <v>1924</v>
      </c>
      <c r="G127" s="232">
        <v>186878</v>
      </c>
      <c r="H127" s="220">
        <v>166278</v>
      </c>
      <c r="I127" s="232">
        <v>321437</v>
      </c>
      <c r="J127" s="231">
        <v>9519</v>
      </c>
      <c r="K127" s="88">
        <f t="shared" si="2"/>
        <v>684112</v>
      </c>
      <c r="L127" s="50"/>
      <c r="M127" s="232">
        <v>6271</v>
      </c>
      <c r="N127" s="232">
        <v>0</v>
      </c>
      <c r="O127" s="231">
        <v>11235</v>
      </c>
      <c r="P127" s="88">
        <f t="shared" si="3"/>
        <v>17506</v>
      </c>
      <c r="Q127" s="50"/>
      <c r="R127" s="232">
        <v>336472</v>
      </c>
      <c r="S127" s="231">
        <v>-3424</v>
      </c>
      <c r="T127" s="233">
        <v>333048</v>
      </c>
    </row>
    <row r="128" spans="1:20">
      <c r="A128" s="48">
        <v>91138</v>
      </c>
      <c r="B128" s="49" t="s">
        <v>836</v>
      </c>
      <c r="C128" s="234">
        <v>4.8819999999999999E-4</v>
      </c>
      <c r="D128" s="234">
        <v>6.2629999999999999E-4</v>
      </c>
      <c r="E128" s="186">
        <v>1158177</v>
      </c>
      <c r="F128" s="186" t="s">
        <v>1924</v>
      </c>
      <c r="G128" s="232">
        <v>178679</v>
      </c>
      <c r="H128" s="220">
        <v>158983</v>
      </c>
      <c r="I128" s="232">
        <v>307336</v>
      </c>
      <c r="J128" s="231">
        <v>0</v>
      </c>
      <c r="K128" s="88">
        <f t="shared" si="2"/>
        <v>644998</v>
      </c>
      <c r="L128" s="50"/>
      <c r="M128" s="232">
        <v>5996</v>
      </c>
      <c r="N128" s="232">
        <v>0</v>
      </c>
      <c r="O128" s="231">
        <v>212777</v>
      </c>
      <c r="P128" s="88">
        <f t="shared" si="3"/>
        <v>218773</v>
      </c>
      <c r="Q128" s="50"/>
      <c r="R128" s="232">
        <v>321711</v>
      </c>
      <c r="S128" s="231">
        <v>-81735</v>
      </c>
      <c r="T128" s="233">
        <v>239976</v>
      </c>
    </row>
    <row r="129" spans="1:20">
      <c r="A129" s="48">
        <v>91141</v>
      </c>
      <c r="B129" s="49" t="s">
        <v>2174</v>
      </c>
      <c r="C129" s="234">
        <v>5.5960000000000005E-4</v>
      </c>
      <c r="D129" s="234">
        <v>5.7569999999999995E-4</v>
      </c>
      <c r="E129" s="186">
        <v>1327563</v>
      </c>
      <c r="F129" s="186" t="s">
        <v>1924</v>
      </c>
      <c r="G129" s="232">
        <v>204811</v>
      </c>
      <c r="H129" s="220">
        <v>182235</v>
      </c>
      <c r="I129" s="232">
        <v>352284</v>
      </c>
      <c r="J129" s="231">
        <v>0</v>
      </c>
      <c r="K129" s="88">
        <f t="shared" si="2"/>
        <v>739330</v>
      </c>
      <c r="L129" s="50"/>
      <c r="M129" s="232">
        <v>6872</v>
      </c>
      <c r="N129" s="232">
        <v>0</v>
      </c>
      <c r="O129" s="231">
        <v>65730</v>
      </c>
      <c r="P129" s="88">
        <f t="shared" si="3"/>
        <v>72602</v>
      </c>
      <c r="Q129" s="50"/>
      <c r="R129" s="232">
        <v>368761</v>
      </c>
      <c r="S129" s="231">
        <v>-43880</v>
      </c>
      <c r="T129" s="233">
        <v>324881</v>
      </c>
    </row>
    <row r="130" spans="1:20">
      <c r="A130" s="48">
        <v>91147</v>
      </c>
      <c r="B130" s="49" t="s">
        <v>838</v>
      </c>
      <c r="C130" s="234">
        <v>2.87E-5</v>
      </c>
      <c r="D130" s="234">
        <v>2.6699999999999998E-5</v>
      </c>
      <c r="E130" s="186">
        <v>68086</v>
      </c>
      <c r="F130" s="186" t="s">
        <v>1924</v>
      </c>
      <c r="G130" s="232">
        <v>10504</v>
      </c>
      <c r="H130" s="220">
        <v>9346</v>
      </c>
      <c r="I130" s="232">
        <v>18067</v>
      </c>
      <c r="J130" s="231">
        <v>5905</v>
      </c>
      <c r="K130" s="88">
        <f t="shared" si="2"/>
        <v>43822</v>
      </c>
      <c r="L130" s="50"/>
      <c r="M130" s="232">
        <v>352</v>
      </c>
      <c r="N130" s="232">
        <v>0</v>
      </c>
      <c r="O130" s="231">
        <v>0</v>
      </c>
      <c r="P130" s="88">
        <f t="shared" si="3"/>
        <v>352</v>
      </c>
      <c r="Q130" s="50"/>
      <c r="R130" s="232">
        <v>18913</v>
      </c>
      <c r="S130" s="231">
        <v>4757</v>
      </c>
      <c r="T130" s="233">
        <v>23670</v>
      </c>
    </row>
    <row r="131" spans="1:20">
      <c r="A131" s="48">
        <v>91151</v>
      </c>
      <c r="B131" s="49" t="s">
        <v>2175</v>
      </c>
      <c r="C131" s="234">
        <v>6.2589999999999998E-4</v>
      </c>
      <c r="D131" s="234">
        <v>6.3409999999999996E-4</v>
      </c>
      <c r="E131" s="186">
        <v>1484849</v>
      </c>
      <c r="F131" s="186" t="s">
        <v>1924</v>
      </c>
      <c r="G131" s="232">
        <v>229077</v>
      </c>
      <c r="H131" s="220">
        <v>203826</v>
      </c>
      <c r="I131" s="232">
        <v>394022</v>
      </c>
      <c r="J131" s="231">
        <v>3112</v>
      </c>
      <c r="K131" s="88">
        <f t="shared" si="2"/>
        <v>830037</v>
      </c>
      <c r="L131" s="50"/>
      <c r="M131" s="232">
        <v>7687</v>
      </c>
      <c r="N131" s="232">
        <v>0</v>
      </c>
      <c r="O131" s="231">
        <v>68725</v>
      </c>
      <c r="P131" s="88">
        <f t="shared" si="3"/>
        <v>76412</v>
      </c>
      <c r="Q131" s="50"/>
      <c r="R131" s="232">
        <v>412451</v>
      </c>
      <c r="S131" s="231">
        <v>-24854</v>
      </c>
      <c r="T131" s="233">
        <v>387597</v>
      </c>
    </row>
    <row r="132" spans="1:20">
      <c r="A132" s="48">
        <v>91154</v>
      </c>
      <c r="B132" s="49" t="s">
        <v>840</v>
      </c>
      <c r="C132" s="234">
        <v>2.41E-5</v>
      </c>
      <c r="D132" s="234">
        <v>2.6299999999999999E-5</v>
      </c>
      <c r="E132" s="186">
        <v>57173</v>
      </c>
      <c r="F132" s="186" t="s">
        <v>1924</v>
      </c>
      <c r="G132" s="232">
        <v>8821</v>
      </c>
      <c r="H132" s="220">
        <v>7848</v>
      </c>
      <c r="I132" s="232">
        <v>15172</v>
      </c>
      <c r="J132" s="231">
        <v>4369</v>
      </c>
      <c r="K132" s="88">
        <f t="shared" si="2"/>
        <v>36210</v>
      </c>
      <c r="L132" s="50"/>
      <c r="M132" s="232">
        <v>296</v>
      </c>
      <c r="N132" s="232">
        <v>0</v>
      </c>
      <c r="O132" s="231">
        <v>2182</v>
      </c>
      <c r="P132" s="88">
        <f t="shared" si="3"/>
        <v>2478</v>
      </c>
      <c r="Q132" s="50"/>
      <c r="R132" s="232">
        <v>15881</v>
      </c>
      <c r="S132" s="231">
        <v>2411</v>
      </c>
      <c r="T132" s="233">
        <v>18292</v>
      </c>
    </row>
    <row r="133" spans="1:20">
      <c r="A133" s="48">
        <v>91161</v>
      </c>
      <c r="B133" s="49" t="s">
        <v>2176</v>
      </c>
      <c r="C133" s="234">
        <v>7.9699999999999999E-5</v>
      </c>
      <c r="D133" s="234">
        <v>9.2600000000000001E-5</v>
      </c>
      <c r="E133" s="186">
        <v>189076</v>
      </c>
      <c r="F133" s="186" t="s">
        <v>1924</v>
      </c>
      <c r="G133" s="232">
        <v>29170</v>
      </c>
      <c r="H133" s="220">
        <v>25954</v>
      </c>
      <c r="I133" s="232">
        <v>50173</v>
      </c>
      <c r="J133" s="231">
        <v>2466</v>
      </c>
      <c r="K133" s="88">
        <f t="shared" si="2"/>
        <v>107763</v>
      </c>
      <c r="L133" s="50"/>
      <c r="M133" s="232">
        <v>979</v>
      </c>
      <c r="N133" s="232">
        <v>0</v>
      </c>
      <c r="O133" s="231">
        <v>9902</v>
      </c>
      <c r="P133" s="88">
        <f t="shared" si="3"/>
        <v>10881</v>
      </c>
      <c r="Q133" s="50"/>
      <c r="R133" s="232">
        <v>52520</v>
      </c>
      <c r="S133" s="231">
        <v>-1236</v>
      </c>
      <c r="T133" s="233">
        <v>51284</v>
      </c>
    </row>
    <row r="134" spans="1:20">
      <c r="A134" s="48">
        <v>91171</v>
      </c>
      <c r="B134" s="49" t="s">
        <v>2177</v>
      </c>
      <c r="C134" s="234">
        <v>2.3790000000000001E-4</v>
      </c>
      <c r="D134" s="234">
        <v>1.95E-4</v>
      </c>
      <c r="E134" s="186">
        <v>564380</v>
      </c>
      <c r="F134" s="186" t="s">
        <v>1924</v>
      </c>
      <c r="G134" s="232">
        <v>87070</v>
      </c>
      <c r="H134" s="220">
        <v>77473</v>
      </c>
      <c r="I134" s="232">
        <v>149765</v>
      </c>
      <c r="J134" s="231">
        <v>24306</v>
      </c>
      <c r="K134" s="88">
        <f t="shared" si="2"/>
        <v>338614</v>
      </c>
      <c r="L134" s="50"/>
      <c r="M134" s="232">
        <v>2922</v>
      </c>
      <c r="N134" s="232">
        <v>0</v>
      </c>
      <c r="O134" s="231">
        <v>36666</v>
      </c>
      <c r="P134" s="88">
        <f t="shared" si="3"/>
        <v>39588</v>
      </c>
      <c r="Q134" s="50"/>
      <c r="R134" s="232">
        <v>156770</v>
      </c>
      <c r="S134" s="231">
        <v>-15275</v>
      </c>
      <c r="T134" s="233">
        <v>141495</v>
      </c>
    </row>
    <row r="135" spans="1:20">
      <c r="A135" s="48">
        <v>91201</v>
      </c>
      <c r="B135" s="49" t="s">
        <v>843</v>
      </c>
      <c r="C135" s="234">
        <v>2.2587000000000002E-3</v>
      </c>
      <c r="D135" s="234">
        <v>2.2878E-3</v>
      </c>
      <c r="E135" s="186">
        <v>5358409</v>
      </c>
      <c r="F135" s="186" t="s">
        <v>1924</v>
      </c>
      <c r="G135" s="232">
        <v>826675</v>
      </c>
      <c r="H135" s="220">
        <v>735550</v>
      </c>
      <c r="I135" s="232">
        <v>1421915</v>
      </c>
      <c r="J135" s="231">
        <v>15312</v>
      </c>
      <c r="K135" s="88">
        <f t="shared" si="2"/>
        <v>2999452</v>
      </c>
      <c r="L135" s="50"/>
      <c r="M135" s="232">
        <v>27739</v>
      </c>
      <c r="N135" s="232">
        <v>0</v>
      </c>
      <c r="O135" s="231">
        <v>131332</v>
      </c>
      <c r="P135" s="88">
        <f t="shared" si="3"/>
        <v>159071</v>
      </c>
      <c r="Q135" s="50"/>
      <c r="R135" s="232">
        <v>1488422</v>
      </c>
      <c r="S135" s="231">
        <v>-15775</v>
      </c>
      <c r="T135" s="233">
        <v>1472647</v>
      </c>
    </row>
    <row r="136" spans="1:20">
      <c r="A136" s="48">
        <v>91202</v>
      </c>
      <c r="B136" s="49" t="s">
        <v>844</v>
      </c>
      <c r="C136" s="234">
        <v>1.9579999999999999E-4</v>
      </c>
      <c r="D136" s="234">
        <v>1.9330000000000001E-4</v>
      </c>
      <c r="E136" s="186">
        <v>464505</v>
      </c>
      <c r="F136" s="186" t="s">
        <v>1924</v>
      </c>
      <c r="G136" s="232">
        <v>71662</v>
      </c>
      <c r="H136" s="220">
        <v>63762</v>
      </c>
      <c r="I136" s="232">
        <v>123262</v>
      </c>
      <c r="J136" s="231">
        <v>19480</v>
      </c>
      <c r="K136" s="88">
        <f t="shared" si="2"/>
        <v>278166</v>
      </c>
      <c r="L136" s="50"/>
      <c r="M136" s="232">
        <v>2405</v>
      </c>
      <c r="N136" s="232">
        <v>0</v>
      </c>
      <c r="O136" s="231">
        <v>0</v>
      </c>
      <c r="P136" s="88">
        <f t="shared" si="3"/>
        <v>2405</v>
      </c>
      <c r="Q136" s="50"/>
      <c r="R136" s="232">
        <v>129027</v>
      </c>
      <c r="S136" s="231">
        <v>13312</v>
      </c>
      <c r="T136" s="233">
        <v>142339</v>
      </c>
    </row>
    <row r="137" spans="1:20">
      <c r="A137" s="48">
        <v>91203</v>
      </c>
      <c r="B137" s="49" t="s">
        <v>845</v>
      </c>
      <c r="C137" s="234">
        <v>2.3000000000000001E-4</v>
      </c>
      <c r="D137" s="234">
        <v>2.1939999999999999E-4</v>
      </c>
      <c r="E137" s="186">
        <v>545639</v>
      </c>
      <c r="F137" s="186" t="s">
        <v>1924</v>
      </c>
      <c r="G137" s="232">
        <v>84179</v>
      </c>
      <c r="H137" s="220">
        <v>74900</v>
      </c>
      <c r="I137" s="232">
        <v>144791</v>
      </c>
      <c r="J137" s="231">
        <v>39994</v>
      </c>
      <c r="K137" s="88">
        <f t="shared" si="2"/>
        <v>343864</v>
      </c>
      <c r="L137" s="50"/>
      <c r="M137" s="232">
        <v>2825</v>
      </c>
      <c r="N137" s="232">
        <v>0</v>
      </c>
      <c r="O137" s="231">
        <v>0</v>
      </c>
      <c r="P137" s="88">
        <f t="shared" si="3"/>
        <v>2825</v>
      </c>
      <c r="Q137" s="50"/>
      <c r="R137" s="232">
        <v>151564</v>
      </c>
      <c r="S137" s="231">
        <v>19261</v>
      </c>
      <c r="T137" s="233">
        <v>170825</v>
      </c>
    </row>
    <row r="138" spans="1:20">
      <c r="A138" s="48">
        <v>91206</v>
      </c>
      <c r="B138" s="49" t="s">
        <v>846</v>
      </c>
      <c r="C138" s="234">
        <v>9.0660000000000003E-4</v>
      </c>
      <c r="D138" s="234">
        <v>8.6450000000000003E-4</v>
      </c>
      <c r="E138" s="186">
        <v>2150765</v>
      </c>
      <c r="F138" s="186" t="s">
        <v>1924</v>
      </c>
      <c r="G138" s="232">
        <v>331812</v>
      </c>
      <c r="H138" s="220">
        <v>295237</v>
      </c>
      <c r="I138" s="232">
        <v>570730</v>
      </c>
      <c r="J138" s="231">
        <v>45439</v>
      </c>
      <c r="K138" s="88">
        <f t="shared" si="2"/>
        <v>1243218</v>
      </c>
      <c r="L138" s="50"/>
      <c r="M138" s="232">
        <v>11134</v>
      </c>
      <c r="N138" s="232">
        <v>0</v>
      </c>
      <c r="O138" s="231">
        <v>736</v>
      </c>
      <c r="P138" s="88">
        <f t="shared" si="3"/>
        <v>11870</v>
      </c>
      <c r="Q138" s="50"/>
      <c r="R138" s="232">
        <v>597425</v>
      </c>
      <c r="S138" s="231">
        <v>22732</v>
      </c>
      <c r="T138" s="233">
        <v>620157</v>
      </c>
    </row>
    <row r="139" spans="1:20">
      <c r="A139" s="48">
        <v>91208</v>
      </c>
      <c r="B139" s="49" t="s">
        <v>847</v>
      </c>
      <c r="C139" s="234">
        <v>1.3200000000000001E-5</v>
      </c>
      <c r="D139" s="234">
        <v>1.42E-5</v>
      </c>
      <c r="E139" s="186">
        <v>31315</v>
      </c>
      <c r="F139" s="186" t="s">
        <v>1924</v>
      </c>
      <c r="G139" s="232">
        <v>4831</v>
      </c>
      <c r="H139" s="220">
        <v>4299</v>
      </c>
      <c r="I139" s="232">
        <v>8310</v>
      </c>
      <c r="J139" s="231">
        <v>529</v>
      </c>
      <c r="K139" s="88">
        <f t="shared" ref="K139:K202" si="4">G139+H139+I139+J139</f>
        <v>17969</v>
      </c>
      <c r="L139" s="50"/>
      <c r="M139" s="232">
        <v>162</v>
      </c>
      <c r="N139" s="232">
        <v>0</v>
      </c>
      <c r="O139" s="231">
        <v>522</v>
      </c>
      <c r="P139" s="88">
        <f t="shared" ref="P139:P202" si="5">M139+N139+O139</f>
        <v>684</v>
      </c>
      <c r="Q139" s="50"/>
      <c r="R139" s="232">
        <v>8698</v>
      </c>
      <c r="S139" s="231">
        <v>3299</v>
      </c>
      <c r="T139" s="233">
        <v>11997</v>
      </c>
    </row>
    <row r="140" spans="1:20">
      <c r="A140" s="48">
        <v>91211</v>
      </c>
      <c r="B140" s="49" t="s">
        <v>2178</v>
      </c>
      <c r="C140" s="234">
        <v>4.526E-4</v>
      </c>
      <c r="D140" s="234">
        <v>4.5530000000000001E-4</v>
      </c>
      <c r="E140" s="186">
        <v>1073722</v>
      </c>
      <c r="F140" s="186" t="s">
        <v>1924</v>
      </c>
      <c r="G140" s="232">
        <v>165650</v>
      </c>
      <c r="H140" s="220">
        <v>147390</v>
      </c>
      <c r="I140" s="232">
        <v>284924</v>
      </c>
      <c r="J140" s="231">
        <v>3586</v>
      </c>
      <c r="K140" s="88">
        <f t="shared" si="4"/>
        <v>601550</v>
      </c>
      <c r="L140" s="50"/>
      <c r="M140" s="232">
        <v>5558</v>
      </c>
      <c r="N140" s="232">
        <v>0</v>
      </c>
      <c r="O140" s="231">
        <v>16402</v>
      </c>
      <c r="P140" s="88">
        <f t="shared" si="5"/>
        <v>21960</v>
      </c>
      <c r="Q140" s="50"/>
      <c r="R140" s="232">
        <v>298251</v>
      </c>
      <c r="S140" s="231">
        <v>-2389</v>
      </c>
      <c r="T140" s="233">
        <v>295862</v>
      </c>
    </row>
    <row r="141" spans="1:20">
      <c r="A141" s="48">
        <v>91213</v>
      </c>
      <c r="B141" s="49" t="s">
        <v>849</v>
      </c>
      <c r="C141" s="234">
        <v>2.4700000000000001E-5</v>
      </c>
      <c r="D141" s="234">
        <v>3.2499999999999997E-5</v>
      </c>
      <c r="E141" s="186">
        <v>58597</v>
      </c>
      <c r="F141" s="186" t="s">
        <v>1924</v>
      </c>
      <c r="G141" s="232">
        <v>9040</v>
      </c>
      <c r="H141" s="220">
        <v>8043</v>
      </c>
      <c r="I141" s="232">
        <v>15549</v>
      </c>
      <c r="J141" s="231">
        <v>0</v>
      </c>
      <c r="K141" s="88">
        <f t="shared" si="4"/>
        <v>32632</v>
      </c>
      <c r="L141" s="50"/>
      <c r="M141" s="232">
        <v>303</v>
      </c>
      <c r="N141" s="232">
        <v>0</v>
      </c>
      <c r="O141" s="231">
        <v>10895</v>
      </c>
      <c r="P141" s="88">
        <f t="shared" si="5"/>
        <v>11198</v>
      </c>
      <c r="Q141" s="50"/>
      <c r="R141" s="232">
        <v>16277</v>
      </c>
      <c r="S141" s="231">
        <v>-4124</v>
      </c>
      <c r="T141" s="233">
        <v>12153</v>
      </c>
    </row>
    <row r="142" spans="1:20">
      <c r="A142" s="48">
        <v>91214</v>
      </c>
      <c r="B142" s="49" t="s">
        <v>2179</v>
      </c>
      <c r="C142" s="234">
        <v>3.0499999999999999E-5</v>
      </c>
      <c r="D142" s="234">
        <v>2.9300000000000001E-5</v>
      </c>
      <c r="E142" s="186">
        <v>72356</v>
      </c>
      <c r="F142" s="186" t="s">
        <v>1924</v>
      </c>
      <c r="G142" s="232">
        <v>11163</v>
      </c>
      <c r="H142" s="220">
        <v>9932</v>
      </c>
      <c r="I142" s="232">
        <v>19201</v>
      </c>
      <c r="J142" s="231">
        <v>530</v>
      </c>
      <c r="K142" s="88">
        <f t="shared" si="4"/>
        <v>40826</v>
      </c>
      <c r="L142" s="50"/>
      <c r="M142" s="232">
        <v>375</v>
      </c>
      <c r="N142" s="232">
        <v>0</v>
      </c>
      <c r="O142" s="231">
        <v>4250</v>
      </c>
      <c r="P142" s="88">
        <f t="shared" si="5"/>
        <v>4625</v>
      </c>
      <c r="Q142" s="50"/>
      <c r="R142" s="232">
        <v>20099</v>
      </c>
      <c r="S142" s="231">
        <v>-694</v>
      </c>
      <c r="T142" s="233">
        <v>19405</v>
      </c>
    </row>
    <row r="143" spans="1:20">
      <c r="A143" s="48">
        <v>91217</v>
      </c>
      <c r="B143" s="49" t="s">
        <v>851</v>
      </c>
      <c r="C143" s="234">
        <v>1.77E-5</v>
      </c>
      <c r="D143" s="234">
        <v>2.8799999999999999E-5</v>
      </c>
      <c r="E143" s="186">
        <v>41990</v>
      </c>
      <c r="F143" s="186" t="s">
        <v>1924</v>
      </c>
      <c r="G143" s="232">
        <v>6478</v>
      </c>
      <c r="H143" s="220">
        <v>5764</v>
      </c>
      <c r="I143" s="232">
        <v>11143</v>
      </c>
      <c r="J143" s="231">
        <v>6480</v>
      </c>
      <c r="K143" s="88">
        <f t="shared" si="4"/>
        <v>29865</v>
      </c>
      <c r="L143" s="50"/>
      <c r="M143" s="232">
        <v>217</v>
      </c>
      <c r="N143" s="232">
        <v>0</v>
      </c>
      <c r="O143" s="231">
        <v>3242</v>
      </c>
      <c r="P143" s="88">
        <f t="shared" si="5"/>
        <v>3459</v>
      </c>
      <c r="Q143" s="50"/>
      <c r="R143" s="232">
        <v>11664</v>
      </c>
      <c r="S143" s="231">
        <v>3494</v>
      </c>
      <c r="T143" s="233">
        <v>15158</v>
      </c>
    </row>
    <row r="144" spans="1:20">
      <c r="A144" s="48">
        <v>91221</v>
      </c>
      <c r="B144" s="49" t="s">
        <v>2180</v>
      </c>
      <c r="C144" s="234">
        <v>1.2329999999999999E-4</v>
      </c>
      <c r="D144" s="234">
        <v>1.3359999999999999E-4</v>
      </c>
      <c r="E144" s="186">
        <v>292510</v>
      </c>
      <c r="F144" s="186" t="s">
        <v>1924</v>
      </c>
      <c r="G144" s="232">
        <v>45127</v>
      </c>
      <c r="H144" s="220">
        <v>40153</v>
      </c>
      <c r="I144" s="232">
        <v>77621</v>
      </c>
      <c r="J144" s="231">
        <v>981</v>
      </c>
      <c r="K144" s="88">
        <f t="shared" si="4"/>
        <v>163882</v>
      </c>
      <c r="L144" s="50"/>
      <c r="M144" s="232">
        <v>1514</v>
      </c>
      <c r="N144" s="232">
        <v>0</v>
      </c>
      <c r="O144" s="231">
        <v>13939</v>
      </c>
      <c r="P144" s="88">
        <f t="shared" si="5"/>
        <v>15453</v>
      </c>
      <c r="Q144" s="50"/>
      <c r="R144" s="232">
        <v>81251</v>
      </c>
      <c r="S144" s="231">
        <v>-1021</v>
      </c>
      <c r="T144" s="233">
        <v>80230</v>
      </c>
    </row>
    <row r="145" spans="1:20">
      <c r="A145" s="48">
        <v>91231</v>
      </c>
      <c r="B145" s="49" t="s">
        <v>853</v>
      </c>
      <c r="C145" s="234">
        <v>1.8527000000000001E-3</v>
      </c>
      <c r="D145" s="234">
        <v>1.8856000000000001E-3</v>
      </c>
      <c r="E145" s="186">
        <v>4395238</v>
      </c>
      <c r="F145" s="186" t="s">
        <v>1924</v>
      </c>
      <c r="G145" s="232">
        <v>678081</v>
      </c>
      <c r="H145" s="220">
        <v>603336</v>
      </c>
      <c r="I145" s="232">
        <v>1166327</v>
      </c>
      <c r="J145" s="231">
        <v>0</v>
      </c>
      <c r="K145" s="88">
        <f t="shared" si="4"/>
        <v>2447744</v>
      </c>
      <c r="L145" s="50"/>
      <c r="M145" s="232">
        <v>22753</v>
      </c>
      <c r="N145" s="232">
        <v>0</v>
      </c>
      <c r="O145" s="231">
        <v>112717</v>
      </c>
      <c r="P145" s="88">
        <f t="shared" si="5"/>
        <v>135470</v>
      </c>
      <c r="Q145" s="50"/>
      <c r="R145" s="232">
        <v>1220879</v>
      </c>
      <c r="S145" s="231">
        <v>-37802</v>
      </c>
      <c r="T145" s="233">
        <v>1183077</v>
      </c>
    </row>
    <row r="146" spans="1:20">
      <c r="A146" s="48">
        <v>91233</v>
      </c>
      <c r="B146" s="49" t="s">
        <v>854</v>
      </c>
      <c r="C146" s="234">
        <v>5.3499999999999999E-5</v>
      </c>
      <c r="D146" s="234">
        <v>5.8100000000000003E-5</v>
      </c>
      <c r="E146" s="186">
        <v>126920</v>
      </c>
      <c r="F146" s="186" t="s">
        <v>1924</v>
      </c>
      <c r="G146" s="232">
        <v>19581</v>
      </c>
      <c r="H146" s="220">
        <v>17422</v>
      </c>
      <c r="I146" s="232">
        <v>33680</v>
      </c>
      <c r="J146" s="231">
        <v>5224</v>
      </c>
      <c r="K146" s="88">
        <f t="shared" si="4"/>
        <v>75907</v>
      </c>
      <c r="L146" s="50"/>
      <c r="M146" s="232">
        <v>657</v>
      </c>
      <c r="N146" s="232">
        <v>0</v>
      </c>
      <c r="O146" s="231">
        <v>6405</v>
      </c>
      <c r="P146" s="88">
        <f t="shared" si="5"/>
        <v>7062</v>
      </c>
      <c r="Q146" s="50"/>
      <c r="R146" s="232">
        <v>35255</v>
      </c>
      <c r="S146" s="231">
        <v>2697</v>
      </c>
      <c r="T146" s="233">
        <v>37952</v>
      </c>
    </row>
    <row r="147" spans="1:20">
      <c r="A147" s="48">
        <v>91241</v>
      </c>
      <c r="B147" s="49" t="s">
        <v>2181</v>
      </c>
      <c r="C147" s="234">
        <v>4.3099999999999997E-5</v>
      </c>
      <c r="D147" s="234">
        <v>3.5500000000000002E-5</v>
      </c>
      <c r="E147" s="186">
        <v>102248</v>
      </c>
      <c r="F147" s="186" t="s">
        <v>1924</v>
      </c>
      <c r="G147" s="232">
        <v>15774</v>
      </c>
      <c r="H147" s="220">
        <v>14035</v>
      </c>
      <c r="I147" s="232">
        <v>27133</v>
      </c>
      <c r="J147" s="231">
        <v>11777</v>
      </c>
      <c r="K147" s="88">
        <f t="shared" si="4"/>
        <v>68719</v>
      </c>
      <c r="L147" s="50"/>
      <c r="M147" s="232">
        <v>529</v>
      </c>
      <c r="N147" s="232">
        <v>0</v>
      </c>
      <c r="O147" s="231">
        <v>1842</v>
      </c>
      <c r="P147" s="88">
        <f t="shared" si="5"/>
        <v>2371</v>
      </c>
      <c r="Q147" s="50"/>
      <c r="R147" s="232">
        <v>28402</v>
      </c>
      <c r="S147" s="231">
        <v>394</v>
      </c>
      <c r="T147" s="233">
        <v>28796</v>
      </c>
    </row>
    <row r="148" spans="1:20">
      <c r="A148" s="48">
        <v>91251</v>
      </c>
      <c r="B148" s="49" t="s">
        <v>2182</v>
      </c>
      <c r="C148" s="234">
        <v>2.9499999999999999E-5</v>
      </c>
      <c r="D148" s="234">
        <v>1.9899999999999999E-5</v>
      </c>
      <c r="E148" s="186">
        <v>69984</v>
      </c>
      <c r="F148" s="186" t="s">
        <v>1924</v>
      </c>
      <c r="G148" s="232">
        <v>10797</v>
      </c>
      <c r="H148" s="220">
        <v>9607</v>
      </c>
      <c r="I148" s="232">
        <v>18571</v>
      </c>
      <c r="J148" s="231">
        <v>9082</v>
      </c>
      <c r="K148" s="88">
        <f t="shared" si="4"/>
        <v>48057</v>
      </c>
      <c r="L148" s="50"/>
      <c r="M148" s="232">
        <v>362</v>
      </c>
      <c r="N148" s="232">
        <v>0</v>
      </c>
      <c r="O148" s="231">
        <v>2515</v>
      </c>
      <c r="P148" s="88">
        <f t="shared" si="5"/>
        <v>2877</v>
      </c>
      <c r="Q148" s="50"/>
      <c r="R148" s="232">
        <v>19440</v>
      </c>
      <c r="S148" s="231">
        <v>3588</v>
      </c>
      <c r="T148" s="233">
        <v>23028</v>
      </c>
    </row>
    <row r="149" spans="1:20">
      <c r="A149" s="48">
        <v>91261</v>
      </c>
      <c r="B149" s="49" t="s">
        <v>2183</v>
      </c>
      <c r="C149" s="234">
        <v>1.06E-5</v>
      </c>
      <c r="D149" s="234">
        <v>1.03E-5</v>
      </c>
      <c r="E149" s="187">
        <v>25147</v>
      </c>
      <c r="F149" s="187" t="s">
        <v>1924</v>
      </c>
      <c r="G149" s="232">
        <v>3880</v>
      </c>
      <c r="H149" s="220">
        <v>3452</v>
      </c>
      <c r="I149" s="232">
        <v>6673</v>
      </c>
      <c r="J149" s="231">
        <v>939</v>
      </c>
      <c r="K149" s="88">
        <f t="shared" si="4"/>
        <v>14944</v>
      </c>
      <c r="L149" s="50"/>
      <c r="M149" s="232">
        <v>130</v>
      </c>
      <c r="N149" s="232">
        <v>0</v>
      </c>
      <c r="O149" s="231">
        <v>0</v>
      </c>
      <c r="P149" s="88">
        <f t="shared" si="5"/>
        <v>130</v>
      </c>
      <c r="Q149" s="50"/>
      <c r="R149" s="232">
        <v>6985</v>
      </c>
      <c r="S149" s="231">
        <v>848</v>
      </c>
      <c r="T149" s="233">
        <v>7833</v>
      </c>
    </row>
    <row r="150" spans="1:20">
      <c r="A150" s="48">
        <v>91301</v>
      </c>
      <c r="B150" s="49" t="s">
        <v>858</v>
      </c>
      <c r="C150" s="234">
        <v>7.7812000000000003E-3</v>
      </c>
      <c r="D150" s="234">
        <v>7.6985999999999999E-3</v>
      </c>
      <c r="E150" s="187">
        <v>18459668</v>
      </c>
      <c r="F150" s="187" t="s">
        <v>1924</v>
      </c>
      <c r="G150" s="232">
        <v>2847888</v>
      </c>
      <c r="H150" s="220">
        <v>2533963</v>
      </c>
      <c r="I150" s="232">
        <v>4898483</v>
      </c>
      <c r="J150" s="231">
        <v>12950</v>
      </c>
      <c r="K150" s="88">
        <f t="shared" si="4"/>
        <v>10293284</v>
      </c>
      <c r="L150" s="50"/>
      <c r="M150" s="232">
        <v>95561</v>
      </c>
      <c r="N150" s="232">
        <v>0</v>
      </c>
      <c r="O150" s="231">
        <v>224172</v>
      </c>
      <c r="P150" s="88">
        <f t="shared" si="5"/>
        <v>319733</v>
      </c>
      <c r="Q150" s="50"/>
      <c r="R150" s="232">
        <v>5127601</v>
      </c>
      <c r="S150" s="231">
        <v>-118489</v>
      </c>
      <c r="T150" s="233">
        <v>5009112</v>
      </c>
    </row>
    <row r="151" spans="1:20">
      <c r="A151" s="51">
        <v>91302</v>
      </c>
      <c r="B151" s="49" t="s">
        <v>2748</v>
      </c>
      <c r="C151" s="234">
        <v>5.4440000000000001E-4</v>
      </c>
      <c r="D151" s="234">
        <v>6.0300000000000002E-4</v>
      </c>
      <c r="E151" s="187">
        <v>1291503</v>
      </c>
      <c r="F151" s="187" t="s">
        <v>1924</v>
      </c>
      <c r="G151" s="232">
        <v>199248</v>
      </c>
      <c r="H151" s="220">
        <v>177285</v>
      </c>
      <c r="I151" s="232">
        <v>342715</v>
      </c>
      <c r="J151" s="231">
        <v>12855</v>
      </c>
      <c r="K151" s="88">
        <f t="shared" si="4"/>
        <v>732103</v>
      </c>
      <c r="L151" s="50"/>
      <c r="M151" s="232">
        <v>6686</v>
      </c>
      <c r="N151" s="232">
        <v>0</v>
      </c>
      <c r="O151" s="231">
        <v>55205</v>
      </c>
      <c r="P151" s="88">
        <f t="shared" si="5"/>
        <v>61891</v>
      </c>
      <c r="Q151" s="50"/>
      <c r="R151" s="232">
        <v>358745</v>
      </c>
      <c r="S151" s="231">
        <v>5826</v>
      </c>
      <c r="T151" s="233">
        <v>364571</v>
      </c>
    </row>
    <row r="152" spans="1:20">
      <c r="A152" s="51">
        <v>91306</v>
      </c>
      <c r="B152" s="49" t="s">
        <v>2749</v>
      </c>
      <c r="C152" s="234">
        <v>1.8347000000000001E-3</v>
      </c>
      <c r="D152" s="234">
        <v>1.6412E-3</v>
      </c>
      <c r="E152" s="187">
        <v>4352536</v>
      </c>
      <c r="F152" s="187" t="s">
        <v>1924</v>
      </c>
      <c r="G152" s="232">
        <v>671493</v>
      </c>
      <c r="H152" s="220">
        <v>597473</v>
      </c>
      <c r="I152" s="232">
        <v>1154995</v>
      </c>
      <c r="J152" s="231">
        <v>204148</v>
      </c>
      <c r="K152" s="88">
        <f t="shared" si="4"/>
        <v>2628109</v>
      </c>
      <c r="L152" s="50"/>
      <c r="M152" s="232">
        <v>22532</v>
      </c>
      <c r="N152" s="232">
        <v>0</v>
      </c>
      <c r="O152" s="231">
        <v>5325</v>
      </c>
      <c r="P152" s="88">
        <f t="shared" si="5"/>
        <v>27857</v>
      </c>
      <c r="Q152" s="50"/>
      <c r="R152" s="232">
        <v>1209018</v>
      </c>
      <c r="S152" s="231">
        <v>96839</v>
      </c>
      <c r="T152" s="233">
        <v>1305857</v>
      </c>
    </row>
    <row r="153" spans="1:20">
      <c r="A153" s="51">
        <v>91308</v>
      </c>
      <c r="B153" s="49" t="s">
        <v>861</v>
      </c>
      <c r="C153" s="234">
        <v>1.7149999999999999E-4</v>
      </c>
      <c r="D153" s="234">
        <v>1.8009999999999999E-4</v>
      </c>
      <c r="E153" s="187">
        <v>406857</v>
      </c>
      <c r="F153" s="187" t="s">
        <v>1924</v>
      </c>
      <c r="G153" s="232">
        <v>62768</v>
      </c>
      <c r="H153" s="220">
        <v>55849</v>
      </c>
      <c r="I153" s="232">
        <v>107964</v>
      </c>
      <c r="J153" s="231">
        <v>117</v>
      </c>
      <c r="K153" s="88">
        <f t="shared" si="4"/>
        <v>226698</v>
      </c>
      <c r="L153" s="50"/>
      <c r="M153" s="232">
        <v>2106</v>
      </c>
      <c r="N153" s="232">
        <v>0</v>
      </c>
      <c r="O153" s="231">
        <v>22928</v>
      </c>
      <c r="P153" s="88">
        <f t="shared" si="5"/>
        <v>25034</v>
      </c>
      <c r="Q153" s="50"/>
      <c r="R153" s="232">
        <v>113014</v>
      </c>
      <c r="S153" s="231">
        <v>-5660</v>
      </c>
      <c r="T153" s="233">
        <v>107354</v>
      </c>
    </row>
    <row r="154" spans="1:20">
      <c r="A154" s="48">
        <v>91311</v>
      </c>
      <c r="B154" s="49" t="s">
        <v>862</v>
      </c>
      <c r="C154" s="234">
        <v>7.7199E-3</v>
      </c>
      <c r="D154" s="234">
        <v>7.6685E-3</v>
      </c>
      <c r="E154" s="187">
        <v>18314243</v>
      </c>
      <c r="F154" s="187" t="s">
        <v>1924</v>
      </c>
      <c r="G154" s="232">
        <v>2825453</v>
      </c>
      <c r="H154" s="220">
        <v>2514000</v>
      </c>
      <c r="I154" s="232">
        <v>4859893</v>
      </c>
      <c r="J154" s="231">
        <v>35298</v>
      </c>
      <c r="K154" s="88">
        <f t="shared" si="4"/>
        <v>10234644</v>
      </c>
      <c r="L154" s="50"/>
      <c r="M154" s="232">
        <v>94808</v>
      </c>
      <c r="N154" s="232">
        <v>0</v>
      </c>
      <c r="O154" s="231">
        <v>364413</v>
      </c>
      <c r="P154" s="88">
        <f t="shared" si="5"/>
        <v>459221</v>
      </c>
      <c r="Q154" s="50"/>
      <c r="R154" s="232">
        <v>5087206</v>
      </c>
      <c r="S154" s="231">
        <v>-205799</v>
      </c>
      <c r="T154" s="233">
        <v>4881407</v>
      </c>
    </row>
    <row r="155" spans="1:20">
      <c r="A155" s="48">
        <v>91317</v>
      </c>
      <c r="B155" s="49" t="s">
        <v>863</v>
      </c>
      <c r="C155" s="234">
        <v>1.004E-4</v>
      </c>
      <c r="D155" s="234">
        <v>1.016E-4</v>
      </c>
      <c r="E155" s="187">
        <v>238183</v>
      </c>
      <c r="F155" s="187" t="s">
        <v>1924</v>
      </c>
      <c r="G155" s="232">
        <v>36746</v>
      </c>
      <c r="H155" s="220">
        <v>32696</v>
      </c>
      <c r="I155" s="232">
        <v>63205</v>
      </c>
      <c r="J155" s="231">
        <v>13218</v>
      </c>
      <c r="K155" s="88">
        <f t="shared" si="4"/>
        <v>145865</v>
      </c>
      <c r="L155" s="50"/>
      <c r="M155" s="232">
        <v>1233</v>
      </c>
      <c r="N155" s="232">
        <v>0</v>
      </c>
      <c r="O155" s="231">
        <v>602</v>
      </c>
      <c r="P155" s="88">
        <f t="shared" si="5"/>
        <v>1835</v>
      </c>
      <c r="Q155" s="50"/>
      <c r="R155" s="232">
        <v>66161</v>
      </c>
      <c r="S155" s="231">
        <v>3844</v>
      </c>
      <c r="T155" s="233">
        <v>70005</v>
      </c>
    </row>
    <row r="156" spans="1:20">
      <c r="A156" s="48">
        <v>91321</v>
      </c>
      <c r="B156" s="49" t="s">
        <v>2184</v>
      </c>
      <c r="C156" s="234">
        <v>4.5899999999999998E-5</v>
      </c>
      <c r="D156" s="234">
        <v>4.2799999999999997E-5</v>
      </c>
      <c r="E156" s="187">
        <v>108890</v>
      </c>
      <c r="F156" s="187" t="s">
        <v>1924</v>
      </c>
      <c r="G156" s="232">
        <v>16799</v>
      </c>
      <c r="H156" s="220">
        <v>14947</v>
      </c>
      <c r="I156" s="232">
        <v>28895</v>
      </c>
      <c r="J156" s="231">
        <v>34886</v>
      </c>
      <c r="K156" s="88">
        <f t="shared" si="4"/>
        <v>95527</v>
      </c>
      <c r="L156" s="50"/>
      <c r="M156" s="232">
        <v>564</v>
      </c>
      <c r="N156" s="232">
        <v>0</v>
      </c>
      <c r="O156" s="231">
        <v>1694</v>
      </c>
      <c r="P156" s="88">
        <f t="shared" si="5"/>
        <v>2258</v>
      </c>
      <c r="Q156" s="50"/>
      <c r="R156" s="232">
        <v>30247</v>
      </c>
      <c r="S156" s="231">
        <v>8780</v>
      </c>
      <c r="T156" s="233">
        <v>39027</v>
      </c>
    </row>
    <row r="157" spans="1:20">
      <c r="A157" s="48">
        <v>91327</v>
      </c>
      <c r="B157" s="49" t="s">
        <v>865</v>
      </c>
      <c r="C157" s="234">
        <v>7.7000000000000008E-6</v>
      </c>
      <c r="D157" s="234">
        <v>8.1999999999999994E-6</v>
      </c>
      <c r="E157" s="187">
        <v>18267</v>
      </c>
      <c r="F157" s="187" t="s">
        <v>1924</v>
      </c>
      <c r="G157" s="232">
        <v>2818</v>
      </c>
      <c r="H157" s="220">
        <v>2507</v>
      </c>
      <c r="I157" s="232">
        <v>4847</v>
      </c>
      <c r="J157" s="231">
        <v>526</v>
      </c>
      <c r="K157" s="88">
        <f t="shared" si="4"/>
        <v>10698</v>
      </c>
      <c r="L157" s="50"/>
      <c r="M157" s="232">
        <v>95</v>
      </c>
      <c r="N157" s="232">
        <v>0</v>
      </c>
      <c r="O157" s="231">
        <v>1045</v>
      </c>
      <c r="P157" s="88">
        <f t="shared" si="5"/>
        <v>1140</v>
      </c>
      <c r="Q157" s="50"/>
      <c r="R157" s="232">
        <v>5074</v>
      </c>
      <c r="S157" s="231">
        <v>-349</v>
      </c>
      <c r="T157" s="233">
        <v>4725</v>
      </c>
    </row>
    <row r="158" spans="1:20">
      <c r="A158" s="48">
        <v>91331</v>
      </c>
      <c r="B158" s="49" t="s">
        <v>866</v>
      </c>
      <c r="C158" s="234">
        <v>3.0000000000000001E-3</v>
      </c>
      <c r="D158" s="234">
        <v>3.0033E-3</v>
      </c>
      <c r="E158" s="187">
        <v>7117026</v>
      </c>
      <c r="F158" s="187" t="s">
        <v>1924</v>
      </c>
      <c r="G158" s="232">
        <v>1097988</v>
      </c>
      <c r="H158" s="220">
        <v>976956</v>
      </c>
      <c r="I158" s="232">
        <v>1888584</v>
      </c>
      <c r="J158" s="231">
        <v>0</v>
      </c>
      <c r="K158" s="88">
        <f t="shared" si="4"/>
        <v>3963528</v>
      </c>
      <c r="L158" s="50"/>
      <c r="M158" s="232">
        <v>36843</v>
      </c>
      <c r="N158" s="232">
        <v>0</v>
      </c>
      <c r="O158" s="231">
        <v>309037</v>
      </c>
      <c r="P158" s="88">
        <f t="shared" si="5"/>
        <v>345880</v>
      </c>
      <c r="Q158" s="50"/>
      <c r="R158" s="232">
        <v>1976919</v>
      </c>
      <c r="S158" s="231">
        <v>-211269</v>
      </c>
      <c r="T158" s="233">
        <v>1765650</v>
      </c>
    </row>
    <row r="159" spans="1:20">
      <c r="A159" s="48">
        <v>91341</v>
      </c>
      <c r="B159" s="49" t="s">
        <v>2185</v>
      </c>
      <c r="C159" s="234">
        <v>2.44E-5</v>
      </c>
      <c r="D159" s="234">
        <v>2.51E-5</v>
      </c>
      <c r="E159" s="187">
        <v>57885</v>
      </c>
      <c r="F159" s="187" t="s">
        <v>1924</v>
      </c>
      <c r="G159" s="232">
        <v>8930</v>
      </c>
      <c r="H159" s="220">
        <v>7946</v>
      </c>
      <c r="I159" s="232">
        <v>15360</v>
      </c>
      <c r="J159" s="231">
        <v>5509</v>
      </c>
      <c r="K159" s="88">
        <f t="shared" si="4"/>
        <v>37745</v>
      </c>
      <c r="L159" s="50"/>
      <c r="M159" s="232">
        <v>300</v>
      </c>
      <c r="N159" s="232">
        <v>0</v>
      </c>
      <c r="O159" s="231">
        <v>1144</v>
      </c>
      <c r="P159" s="88">
        <f t="shared" si="5"/>
        <v>1444</v>
      </c>
      <c r="Q159" s="50"/>
      <c r="R159" s="232">
        <v>16079</v>
      </c>
      <c r="S159" s="231">
        <v>1311</v>
      </c>
      <c r="T159" s="233">
        <v>17390</v>
      </c>
    </row>
    <row r="160" spans="1:20">
      <c r="A160" s="48">
        <v>91401</v>
      </c>
      <c r="B160" s="49" t="s">
        <v>868</v>
      </c>
      <c r="C160" s="234">
        <v>3.5492000000000002E-3</v>
      </c>
      <c r="D160" s="234">
        <v>3.5885000000000001E-3</v>
      </c>
      <c r="E160" s="187">
        <v>8419916</v>
      </c>
      <c r="F160" s="187" t="s">
        <v>1924</v>
      </c>
      <c r="G160" s="232">
        <v>1298993</v>
      </c>
      <c r="H160" s="220">
        <v>1155804</v>
      </c>
      <c r="I160" s="232">
        <v>2234321</v>
      </c>
      <c r="J160" s="231">
        <v>4118</v>
      </c>
      <c r="K160" s="88">
        <f t="shared" si="4"/>
        <v>4693236</v>
      </c>
      <c r="L160" s="50"/>
      <c r="M160" s="232">
        <v>43588</v>
      </c>
      <c r="N160" s="232">
        <v>0</v>
      </c>
      <c r="O160" s="231">
        <v>191268</v>
      </c>
      <c r="P160" s="88">
        <f t="shared" si="5"/>
        <v>234856</v>
      </c>
      <c r="Q160" s="50"/>
      <c r="R160" s="232">
        <v>2338827</v>
      </c>
      <c r="S160" s="231">
        <v>-44473</v>
      </c>
      <c r="T160" s="233">
        <v>2294354</v>
      </c>
    </row>
    <row r="161" spans="1:20">
      <c r="A161" s="48">
        <v>91411</v>
      </c>
      <c r="B161" s="49" t="s">
        <v>2186</v>
      </c>
      <c r="C161" s="234">
        <v>3.8479999999999997E-4</v>
      </c>
      <c r="D161" s="234">
        <v>3.7829999999999998E-4</v>
      </c>
      <c r="E161" s="187">
        <v>912877</v>
      </c>
      <c r="F161" s="187" t="s">
        <v>1924</v>
      </c>
      <c r="G161" s="232">
        <v>140835</v>
      </c>
      <c r="H161" s="220">
        <v>125311</v>
      </c>
      <c r="I161" s="232">
        <v>242242</v>
      </c>
      <c r="J161" s="231">
        <v>20796</v>
      </c>
      <c r="K161" s="88">
        <f t="shared" si="4"/>
        <v>529184</v>
      </c>
      <c r="L161" s="50"/>
      <c r="M161" s="232">
        <v>4726</v>
      </c>
      <c r="N161" s="232">
        <v>0</v>
      </c>
      <c r="O161" s="231">
        <v>0</v>
      </c>
      <c r="P161" s="88">
        <f t="shared" si="5"/>
        <v>4726</v>
      </c>
      <c r="Q161" s="50"/>
      <c r="R161" s="232">
        <v>253573</v>
      </c>
      <c r="S161" s="231">
        <v>8126</v>
      </c>
      <c r="T161" s="233">
        <v>261699</v>
      </c>
    </row>
    <row r="162" spans="1:20">
      <c r="A162" s="48">
        <v>91417</v>
      </c>
      <c r="B162" s="49" t="s">
        <v>870</v>
      </c>
      <c r="C162" s="234">
        <v>8.3999999999999992E-6</v>
      </c>
      <c r="D162" s="234">
        <v>9.3000000000000007E-6</v>
      </c>
      <c r="E162" s="187">
        <v>19928</v>
      </c>
      <c r="F162" s="187" t="s">
        <v>1924</v>
      </c>
      <c r="G162" s="232">
        <v>3074</v>
      </c>
      <c r="H162" s="220">
        <v>2735</v>
      </c>
      <c r="I162" s="232">
        <v>5288</v>
      </c>
      <c r="J162" s="231">
        <v>1077</v>
      </c>
      <c r="K162" s="88">
        <f t="shared" si="4"/>
        <v>12174</v>
      </c>
      <c r="L162" s="50"/>
      <c r="M162" s="232">
        <v>103</v>
      </c>
      <c r="N162" s="232">
        <v>0</v>
      </c>
      <c r="O162" s="231">
        <v>0</v>
      </c>
      <c r="P162" s="88">
        <f t="shared" si="5"/>
        <v>103</v>
      </c>
      <c r="Q162" s="50"/>
      <c r="R162" s="232">
        <v>5535</v>
      </c>
      <c r="S162" s="231">
        <v>1921</v>
      </c>
      <c r="T162" s="233">
        <v>7456</v>
      </c>
    </row>
    <row r="163" spans="1:20">
      <c r="A163" s="48">
        <v>91421</v>
      </c>
      <c r="B163" s="49" t="s">
        <v>2187</v>
      </c>
      <c r="C163" s="234">
        <v>7.2299999999999996E-5</v>
      </c>
      <c r="D163" s="234">
        <v>6.9499999999999995E-5</v>
      </c>
      <c r="E163" s="187">
        <v>171520</v>
      </c>
      <c r="F163" s="187" t="s">
        <v>1924</v>
      </c>
      <c r="G163" s="232">
        <v>26462</v>
      </c>
      <c r="H163" s="220">
        <v>23545</v>
      </c>
      <c r="I163" s="232">
        <v>45515</v>
      </c>
      <c r="J163" s="231">
        <v>7066</v>
      </c>
      <c r="K163" s="88">
        <f t="shared" si="4"/>
        <v>102588</v>
      </c>
      <c r="L163" s="50"/>
      <c r="M163" s="232">
        <v>888</v>
      </c>
      <c r="N163" s="232">
        <v>0</v>
      </c>
      <c r="O163" s="231">
        <v>1453</v>
      </c>
      <c r="P163" s="88">
        <f t="shared" si="5"/>
        <v>2341</v>
      </c>
      <c r="Q163" s="50"/>
      <c r="R163" s="232">
        <v>47644</v>
      </c>
      <c r="S163" s="231">
        <v>1546</v>
      </c>
      <c r="T163" s="233">
        <v>49190</v>
      </c>
    </row>
    <row r="164" spans="1:20">
      <c r="A164" s="48">
        <v>91423</v>
      </c>
      <c r="B164" s="49" t="s">
        <v>872</v>
      </c>
      <c r="C164" s="234">
        <v>4.88E-5</v>
      </c>
      <c r="D164" s="234">
        <v>5.38E-5</v>
      </c>
      <c r="E164" s="187">
        <v>115770</v>
      </c>
      <c r="F164" s="187" t="s">
        <v>1924</v>
      </c>
      <c r="G164" s="232">
        <v>17861</v>
      </c>
      <c r="H164" s="220">
        <v>15892</v>
      </c>
      <c r="I164" s="232">
        <v>30721</v>
      </c>
      <c r="J164" s="231">
        <v>8202</v>
      </c>
      <c r="K164" s="88">
        <f t="shared" si="4"/>
        <v>72676</v>
      </c>
      <c r="L164" s="50"/>
      <c r="M164" s="232">
        <v>599</v>
      </c>
      <c r="N164" s="232">
        <v>0</v>
      </c>
      <c r="O164" s="231">
        <v>6851</v>
      </c>
      <c r="P164" s="88">
        <f t="shared" si="5"/>
        <v>7450</v>
      </c>
      <c r="Q164" s="50"/>
      <c r="R164" s="232">
        <v>32158</v>
      </c>
      <c r="S164" s="231">
        <v>1514</v>
      </c>
      <c r="T164" s="233">
        <v>33672</v>
      </c>
    </row>
    <row r="165" spans="1:20">
      <c r="A165" s="48">
        <v>91431</v>
      </c>
      <c r="B165" s="49" t="s">
        <v>2188</v>
      </c>
      <c r="C165" s="234">
        <v>1.6229999999999999E-4</v>
      </c>
      <c r="D165" s="234">
        <v>1.562E-4</v>
      </c>
      <c r="E165" s="187">
        <v>385031</v>
      </c>
      <c r="F165" s="187" t="s">
        <v>1924</v>
      </c>
      <c r="G165" s="232">
        <v>59401</v>
      </c>
      <c r="H165" s="220">
        <v>52853</v>
      </c>
      <c r="I165" s="232">
        <v>102172</v>
      </c>
      <c r="J165" s="231">
        <v>24735</v>
      </c>
      <c r="K165" s="88">
        <f t="shared" si="4"/>
        <v>239161</v>
      </c>
      <c r="L165" s="50"/>
      <c r="M165" s="232">
        <v>1993</v>
      </c>
      <c r="N165" s="232">
        <v>0</v>
      </c>
      <c r="O165" s="231">
        <v>1035</v>
      </c>
      <c r="P165" s="88">
        <f t="shared" si="5"/>
        <v>3028</v>
      </c>
      <c r="Q165" s="50"/>
      <c r="R165" s="232">
        <v>106951</v>
      </c>
      <c r="S165" s="231">
        <v>6979</v>
      </c>
      <c r="T165" s="233">
        <v>113930</v>
      </c>
    </row>
    <row r="166" spans="1:20">
      <c r="A166" s="48">
        <v>91441</v>
      </c>
      <c r="B166" s="49" t="s">
        <v>2189</v>
      </c>
      <c r="C166" s="234">
        <v>9.4680000000000003E-4</v>
      </c>
      <c r="D166" s="234">
        <v>9.5140000000000003E-4</v>
      </c>
      <c r="E166" s="187">
        <v>2246133</v>
      </c>
      <c r="F166" s="187" t="s">
        <v>1924</v>
      </c>
      <c r="G166" s="232">
        <v>346525</v>
      </c>
      <c r="H166" s="220">
        <v>308327</v>
      </c>
      <c r="I166" s="232">
        <v>596037</v>
      </c>
      <c r="J166" s="231">
        <v>35215</v>
      </c>
      <c r="K166" s="88">
        <f t="shared" si="4"/>
        <v>1286104</v>
      </c>
      <c r="L166" s="50"/>
      <c r="M166" s="232">
        <v>11628</v>
      </c>
      <c r="N166" s="232">
        <v>0</v>
      </c>
      <c r="O166" s="231">
        <v>145358</v>
      </c>
      <c r="P166" s="88">
        <f t="shared" si="5"/>
        <v>156986</v>
      </c>
      <c r="Q166" s="50"/>
      <c r="R166" s="232">
        <v>623916</v>
      </c>
      <c r="S166" s="231">
        <v>-63164</v>
      </c>
      <c r="T166" s="233">
        <v>560752</v>
      </c>
    </row>
    <row r="167" spans="1:20">
      <c r="A167" s="48">
        <v>91451</v>
      </c>
      <c r="B167" s="49" t="s">
        <v>875</v>
      </c>
      <c r="C167" s="234">
        <v>1.4832000000000001E-3</v>
      </c>
      <c r="D167" s="234">
        <v>1.4760000000000001E-3</v>
      </c>
      <c r="E167" s="187">
        <v>3518658</v>
      </c>
      <c r="F167" s="187" t="s">
        <v>1924</v>
      </c>
      <c r="G167" s="232">
        <v>542845</v>
      </c>
      <c r="H167" s="220">
        <v>483007</v>
      </c>
      <c r="I167" s="232">
        <v>933716</v>
      </c>
      <c r="J167" s="231">
        <v>0</v>
      </c>
      <c r="K167" s="88">
        <f t="shared" si="4"/>
        <v>1959568</v>
      </c>
      <c r="L167" s="50"/>
      <c r="M167" s="232">
        <v>18215</v>
      </c>
      <c r="N167" s="232">
        <v>0</v>
      </c>
      <c r="O167" s="231">
        <v>115272</v>
      </c>
      <c r="P167" s="88">
        <f t="shared" si="5"/>
        <v>133487</v>
      </c>
      <c r="Q167" s="50"/>
      <c r="R167" s="232">
        <v>977389</v>
      </c>
      <c r="S167" s="231">
        <v>-84871</v>
      </c>
      <c r="T167" s="233">
        <v>892518</v>
      </c>
    </row>
    <row r="168" spans="1:20">
      <c r="A168" s="48">
        <v>91457</v>
      </c>
      <c r="B168" s="49" t="s">
        <v>876</v>
      </c>
      <c r="C168" s="234">
        <v>2.2099999999999998E-5</v>
      </c>
      <c r="D168" s="234">
        <v>2.23E-5</v>
      </c>
      <c r="E168" s="187">
        <v>52429</v>
      </c>
      <c r="F168" s="187" t="s">
        <v>1924</v>
      </c>
      <c r="G168" s="232">
        <v>8089</v>
      </c>
      <c r="H168" s="220">
        <v>7197</v>
      </c>
      <c r="I168" s="232">
        <v>13913</v>
      </c>
      <c r="J168" s="231">
        <v>34989</v>
      </c>
      <c r="K168" s="88">
        <f t="shared" si="4"/>
        <v>64188</v>
      </c>
      <c r="L168" s="50"/>
      <c r="M168" s="232">
        <v>271</v>
      </c>
      <c r="N168" s="232">
        <v>0</v>
      </c>
      <c r="O168" s="231">
        <v>0</v>
      </c>
      <c r="P168" s="88">
        <f t="shared" si="5"/>
        <v>271</v>
      </c>
      <c r="Q168" s="50"/>
      <c r="R168" s="232">
        <v>14563</v>
      </c>
      <c r="S168" s="231">
        <v>14690</v>
      </c>
      <c r="T168" s="233">
        <v>29253</v>
      </c>
    </row>
    <row r="169" spans="1:20">
      <c r="A169" s="48">
        <v>91461</v>
      </c>
      <c r="B169" s="49" t="s">
        <v>2190</v>
      </c>
      <c r="C169" s="234">
        <v>9.5999999999999996E-6</v>
      </c>
      <c r="D169" s="234">
        <v>9.3999999999999998E-6</v>
      </c>
      <c r="E169" s="187">
        <v>22774</v>
      </c>
      <c r="F169" s="187" t="s">
        <v>1924</v>
      </c>
      <c r="G169" s="232">
        <v>3514</v>
      </c>
      <c r="H169" s="220">
        <v>3126</v>
      </c>
      <c r="I169" s="232">
        <v>6043</v>
      </c>
      <c r="J169" s="231">
        <v>951</v>
      </c>
      <c r="K169" s="88">
        <f t="shared" si="4"/>
        <v>13634</v>
      </c>
      <c r="L169" s="50"/>
      <c r="M169" s="232">
        <v>118</v>
      </c>
      <c r="N169" s="232">
        <v>0</v>
      </c>
      <c r="O169" s="231">
        <v>1594</v>
      </c>
      <c r="P169" s="88">
        <f t="shared" si="5"/>
        <v>1712</v>
      </c>
      <c r="Q169" s="50"/>
      <c r="R169" s="232">
        <v>6326</v>
      </c>
      <c r="S169" s="231">
        <v>664</v>
      </c>
      <c r="T169" s="233">
        <v>6990</v>
      </c>
    </row>
    <row r="170" spans="1:20">
      <c r="A170" s="48">
        <v>91501</v>
      </c>
      <c r="B170" s="49" t="s">
        <v>878</v>
      </c>
      <c r="C170" s="234">
        <v>4.6460000000000002E-4</v>
      </c>
      <c r="D170" s="234">
        <v>4.9700000000000005E-4</v>
      </c>
      <c r="E170" s="187">
        <v>1102190</v>
      </c>
      <c r="F170" s="187" t="s">
        <v>1924</v>
      </c>
      <c r="G170" s="232">
        <v>170042</v>
      </c>
      <c r="H170" s="220">
        <v>151298</v>
      </c>
      <c r="I170" s="232">
        <v>292479</v>
      </c>
      <c r="J170" s="231">
        <v>7231</v>
      </c>
      <c r="K170" s="88">
        <f t="shared" si="4"/>
        <v>621050</v>
      </c>
      <c r="L170" s="50"/>
      <c r="M170" s="232">
        <v>5706</v>
      </c>
      <c r="N170" s="232">
        <v>0</v>
      </c>
      <c r="O170" s="231">
        <v>20696</v>
      </c>
      <c r="P170" s="88">
        <f t="shared" si="5"/>
        <v>26402</v>
      </c>
      <c r="Q170" s="50"/>
      <c r="R170" s="232">
        <v>306159</v>
      </c>
      <c r="S170" s="231">
        <v>11595</v>
      </c>
      <c r="T170" s="233">
        <v>317754</v>
      </c>
    </row>
    <row r="171" spans="1:20">
      <c r="A171" s="48">
        <v>91504</v>
      </c>
      <c r="B171" s="49" t="s">
        <v>879</v>
      </c>
      <c r="C171" s="234">
        <v>9.7999999999999993E-6</v>
      </c>
      <c r="D171" s="234">
        <v>9.7000000000000003E-6</v>
      </c>
      <c r="E171" s="187">
        <v>23249</v>
      </c>
      <c r="F171" s="187" t="s">
        <v>1924</v>
      </c>
      <c r="G171" s="232">
        <v>3587</v>
      </c>
      <c r="H171" s="220">
        <v>3191</v>
      </c>
      <c r="I171" s="232">
        <v>6169</v>
      </c>
      <c r="J171" s="231">
        <v>4807</v>
      </c>
      <c r="K171" s="88">
        <f t="shared" si="4"/>
        <v>17754</v>
      </c>
      <c r="L171" s="50"/>
      <c r="M171" s="232">
        <v>120</v>
      </c>
      <c r="N171" s="232">
        <v>0</v>
      </c>
      <c r="O171" s="231">
        <v>0</v>
      </c>
      <c r="P171" s="88">
        <f t="shared" si="5"/>
        <v>120</v>
      </c>
      <c r="Q171" s="50"/>
      <c r="R171" s="232">
        <v>6458</v>
      </c>
      <c r="S171" s="231">
        <v>3045</v>
      </c>
      <c r="T171" s="233">
        <v>9503</v>
      </c>
    </row>
    <row r="172" spans="1:20">
      <c r="A172" s="48">
        <v>91601</v>
      </c>
      <c r="B172" s="49" t="s">
        <v>880</v>
      </c>
      <c r="C172" s="234">
        <v>2.7648E-3</v>
      </c>
      <c r="D172" s="234">
        <v>2.8040000000000001E-3</v>
      </c>
      <c r="E172" s="187">
        <v>6559051</v>
      </c>
      <c r="F172" s="187" t="s">
        <v>1924</v>
      </c>
      <c r="G172" s="232">
        <v>1011906</v>
      </c>
      <c r="H172" s="220">
        <v>900363</v>
      </c>
      <c r="I172" s="232">
        <v>1740519</v>
      </c>
      <c r="J172" s="231">
        <v>84439</v>
      </c>
      <c r="K172" s="88">
        <f t="shared" si="4"/>
        <v>3737227</v>
      </c>
      <c r="L172" s="50"/>
      <c r="M172" s="232">
        <v>33955</v>
      </c>
      <c r="N172" s="232">
        <v>0</v>
      </c>
      <c r="O172" s="231">
        <v>30275</v>
      </c>
      <c r="P172" s="88">
        <f t="shared" si="5"/>
        <v>64230</v>
      </c>
      <c r="Q172" s="50"/>
      <c r="R172" s="232">
        <v>1821929</v>
      </c>
      <c r="S172" s="231">
        <v>76277</v>
      </c>
      <c r="T172" s="233">
        <v>1898206</v>
      </c>
    </row>
    <row r="173" spans="1:20">
      <c r="A173" s="48">
        <v>91604</v>
      </c>
      <c r="B173" s="49" t="s">
        <v>881</v>
      </c>
      <c r="C173" s="234">
        <v>8.5000000000000006E-5</v>
      </c>
      <c r="D173" s="234">
        <v>8.8499999999999996E-5</v>
      </c>
      <c r="E173" s="187">
        <v>201649</v>
      </c>
      <c r="F173" s="187" t="s">
        <v>1924</v>
      </c>
      <c r="G173" s="232">
        <v>31110</v>
      </c>
      <c r="H173" s="220">
        <v>27680</v>
      </c>
      <c r="I173" s="232">
        <v>53510</v>
      </c>
      <c r="J173" s="231">
        <v>22196</v>
      </c>
      <c r="K173" s="88">
        <f t="shared" si="4"/>
        <v>134496</v>
      </c>
      <c r="L173" s="50"/>
      <c r="M173" s="232">
        <v>1044</v>
      </c>
      <c r="N173" s="232">
        <v>0</v>
      </c>
      <c r="O173" s="231">
        <v>0</v>
      </c>
      <c r="P173" s="88">
        <f t="shared" si="5"/>
        <v>1044</v>
      </c>
      <c r="Q173" s="50"/>
      <c r="R173" s="232">
        <v>56013</v>
      </c>
      <c r="S173" s="231">
        <v>9895</v>
      </c>
      <c r="T173" s="233">
        <v>65908</v>
      </c>
    </row>
    <row r="174" spans="1:20">
      <c r="A174" s="48">
        <v>91608</v>
      </c>
      <c r="B174" s="49" t="s">
        <v>882</v>
      </c>
      <c r="C174" s="234">
        <v>1.5909999999999999E-4</v>
      </c>
      <c r="D174" s="234">
        <v>1.5349999999999999E-4</v>
      </c>
      <c r="E174" s="187">
        <v>377440</v>
      </c>
      <c r="F174" s="187" t="s">
        <v>1924</v>
      </c>
      <c r="G174" s="232">
        <v>58230</v>
      </c>
      <c r="H174" s="220">
        <v>51811</v>
      </c>
      <c r="I174" s="232">
        <v>100158</v>
      </c>
      <c r="J174" s="231">
        <v>1169</v>
      </c>
      <c r="K174" s="88">
        <f t="shared" si="4"/>
        <v>211368</v>
      </c>
      <c r="L174" s="50"/>
      <c r="M174" s="232">
        <v>1954</v>
      </c>
      <c r="N174" s="232">
        <v>0</v>
      </c>
      <c r="O174" s="231">
        <v>30984</v>
      </c>
      <c r="P174" s="88">
        <f t="shared" si="5"/>
        <v>32938</v>
      </c>
      <c r="Q174" s="50"/>
      <c r="R174" s="232">
        <v>104843</v>
      </c>
      <c r="S174" s="231">
        <v>-16992</v>
      </c>
      <c r="T174" s="233">
        <v>87851</v>
      </c>
    </row>
    <row r="175" spans="1:20">
      <c r="A175" s="48">
        <v>91611</v>
      </c>
      <c r="B175" s="49" t="s">
        <v>2191</v>
      </c>
      <c r="C175" s="234">
        <v>1.4744000000000001E-3</v>
      </c>
      <c r="D175" s="234">
        <v>1.4708E-3</v>
      </c>
      <c r="E175" s="187">
        <v>3497781</v>
      </c>
      <c r="F175" s="187" t="s">
        <v>1924</v>
      </c>
      <c r="G175" s="232">
        <v>539625</v>
      </c>
      <c r="H175" s="220">
        <v>480141</v>
      </c>
      <c r="I175" s="232">
        <v>928176</v>
      </c>
      <c r="J175" s="231">
        <v>2046</v>
      </c>
      <c r="K175" s="88">
        <f t="shared" si="4"/>
        <v>1949988</v>
      </c>
      <c r="L175" s="50"/>
      <c r="M175" s="232">
        <v>18107</v>
      </c>
      <c r="N175" s="232">
        <v>0</v>
      </c>
      <c r="O175" s="231">
        <v>121302</v>
      </c>
      <c r="P175" s="88">
        <f t="shared" si="5"/>
        <v>139409</v>
      </c>
      <c r="Q175" s="50"/>
      <c r="R175" s="232">
        <v>971590</v>
      </c>
      <c r="S175" s="231">
        <v>-18398</v>
      </c>
      <c r="T175" s="233">
        <v>953192</v>
      </c>
    </row>
    <row r="176" spans="1:20">
      <c r="A176" s="48">
        <v>91621</v>
      </c>
      <c r="B176" s="49" t="s">
        <v>2192</v>
      </c>
      <c r="C176" s="234">
        <v>2.6800000000000001E-4</v>
      </c>
      <c r="D176" s="234">
        <v>2.7050000000000002E-4</v>
      </c>
      <c r="E176" s="187">
        <v>635788</v>
      </c>
      <c r="F176" s="187" t="s">
        <v>1924</v>
      </c>
      <c r="G176" s="232">
        <v>98087</v>
      </c>
      <c r="H176" s="220">
        <v>87275</v>
      </c>
      <c r="I176" s="232">
        <v>168714</v>
      </c>
      <c r="J176" s="231">
        <v>5973</v>
      </c>
      <c r="K176" s="88">
        <f t="shared" si="4"/>
        <v>360049</v>
      </c>
      <c r="L176" s="50"/>
      <c r="M176" s="232">
        <v>3291</v>
      </c>
      <c r="N176" s="232">
        <v>0</v>
      </c>
      <c r="O176" s="231">
        <v>10529</v>
      </c>
      <c r="P176" s="88">
        <f t="shared" si="5"/>
        <v>13820</v>
      </c>
      <c r="Q176" s="50"/>
      <c r="R176" s="232">
        <v>176605</v>
      </c>
      <c r="S176" s="231">
        <v>-5908</v>
      </c>
      <c r="T176" s="233">
        <v>170697</v>
      </c>
    </row>
    <row r="177" spans="1:20">
      <c r="A177" s="48">
        <v>91631</v>
      </c>
      <c r="B177" s="49" t="s">
        <v>2193</v>
      </c>
      <c r="C177" s="234">
        <v>5.509E-4</v>
      </c>
      <c r="D177" s="234">
        <v>5.2249999999999996E-4</v>
      </c>
      <c r="E177" s="187">
        <v>1306923</v>
      </c>
      <c r="F177" s="187" t="s">
        <v>1924</v>
      </c>
      <c r="G177" s="232">
        <v>201627</v>
      </c>
      <c r="H177" s="220">
        <v>179401</v>
      </c>
      <c r="I177" s="232">
        <v>346807</v>
      </c>
      <c r="J177" s="231">
        <v>0</v>
      </c>
      <c r="K177" s="88">
        <f t="shared" si="4"/>
        <v>727835</v>
      </c>
      <c r="L177" s="50"/>
      <c r="M177" s="232">
        <v>6766</v>
      </c>
      <c r="N177" s="232">
        <v>0</v>
      </c>
      <c r="O177" s="231">
        <v>39359</v>
      </c>
      <c r="P177" s="88">
        <f t="shared" si="5"/>
        <v>46125</v>
      </c>
      <c r="Q177" s="50"/>
      <c r="R177" s="232">
        <v>363028</v>
      </c>
      <c r="S177" s="231">
        <v>-17688</v>
      </c>
      <c r="T177" s="233">
        <v>345340</v>
      </c>
    </row>
    <row r="178" spans="1:20">
      <c r="A178" s="48">
        <v>91633</v>
      </c>
      <c r="B178" s="49" t="s">
        <v>2750</v>
      </c>
      <c r="C178" s="234">
        <v>1.8600000000000001E-5</v>
      </c>
      <c r="D178" s="234">
        <v>2.51E-5</v>
      </c>
      <c r="E178" s="187">
        <v>44126</v>
      </c>
      <c r="F178" s="187" t="s">
        <v>1924</v>
      </c>
      <c r="G178" s="232">
        <v>6808</v>
      </c>
      <c r="H178" s="220">
        <v>6058</v>
      </c>
      <c r="I178" s="232">
        <v>11709</v>
      </c>
      <c r="J178" s="231">
        <v>1031</v>
      </c>
      <c r="K178" s="88">
        <f t="shared" si="4"/>
        <v>25606</v>
      </c>
      <c r="L178" s="50"/>
      <c r="M178" s="232">
        <v>228</v>
      </c>
      <c r="N178" s="232">
        <v>0</v>
      </c>
      <c r="O178" s="231">
        <v>5120</v>
      </c>
      <c r="P178" s="88">
        <f t="shared" si="5"/>
        <v>5348</v>
      </c>
      <c r="Q178" s="50"/>
      <c r="R178" s="232">
        <v>12257</v>
      </c>
      <c r="S178" s="231">
        <v>-2305</v>
      </c>
      <c r="T178" s="233">
        <v>9952</v>
      </c>
    </row>
    <row r="179" spans="1:20">
      <c r="A179" s="48">
        <v>91641</v>
      </c>
      <c r="B179" s="49" t="s">
        <v>2194</v>
      </c>
      <c r="C179" s="234">
        <v>2.652E-4</v>
      </c>
      <c r="D179" s="234">
        <v>3.1139999999999998E-4</v>
      </c>
      <c r="E179" s="187">
        <v>629145</v>
      </c>
      <c r="F179" s="187" t="s">
        <v>1924</v>
      </c>
      <c r="G179" s="232">
        <v>97062</v>
      </c>
      <c r="H179" s="220">
        <v>86363</v>
      </c>
      <c r="I179" s="232">
        <v>166951</v>
      </c>
      <c r="J179" s="231">
        <v>0</v>
      </c>
      <c r="K179" s="88">
        <f t="shared" si="4"/>
        <v>350376</v>
      </c>
      <c r="L179" s="50"/>
      <c r="M179" s="232">
        <v>3257</v>
      </c>
      <c r="N179" s="232">
        <v>0</v>
      </c>
      <c r="O179" s="231">
        <v>74135</v>
      </c>
      <c r="P179" s="88">
        <f t="shared" si="5"/>
        <v>77392</v>
      </c>
      <c r="Q179" s="50"/>
      <c r="R179" s="232">
        <v>174760</v>
      </c>
      <c r="S179" s="231">
        <v>-37016</v>
      </c>
      <c r="T179" s="233">
        <v>137744</v>
      </c>
    </row>
    <row r="180" spans="1:20">
      <c r="A180" s="48">
        <v>91651</v>
      </c>
      <c r="B180" s="49" t="s">
        <v>2195</v>
      </c>
      <c r="C180" s="234">
        <v>4.73E-4</v>
      </c>
      <c r="D180" s="234">
        <v>4.4440000000000001E-4</v>
      </c>
      <c r="E180" s="187">
        <v>1122118</v>
      </c>
      <c r="F180" s="187" t="s">
        <v>1924</v>
      </c>
      <c r="G180" s="232">
        <v>173116</v>
      </c>
      <c r="H180" s="220">
        <v>154033</v>
      </c>
      <c r="I180" s="232">
        <v>297767</v>
      </c>
      <c r="J180" s="231">
        <v>25871</v>
      </c>
      <c r="K180" s="88">
        <f t="shared" si="4"/>
        <v>650787</v>
      </c>
      <c r="L180" s="50"/>
      <c r="M180" s="232">
        <v>5809</v>
      </c>
      <c r="N180" s="232">
        <v>0</v>
      </c>
      <c r="O180" s="231">
        <v>18310</v>
      </c>
      <c r="P180" s="88">
        <f t="shared" si="5"/>
        <v>24119</v>
      </c>
      <c r="Q180" s="50"/>
      <c r="R180" s="232">
        <v>311694</v>
      </c>
      <c r="S180" s="231">
        <v>-5917</v>
      </c>
      <c r="T180" s="233">
        <v>305777</v>
      </c>
    </row>
    <row r="181" spans="1:20">
      <c r="A181" s="48">
        <v>91661</v>
      </c>
      <c r="B181" s="49" t="s">
        <v>2196</v>
      </c>
      <c r="C181" s="234">
        <v>1.8259999999999999E-4</v>
      </c>
      <c r="D181" s="234">
        <v>1.673E-4</v>
      </c>
      <c r="E181" s="187">
        <v>433190</v>
      </c>
      <c r="F181" s="187" t="s">
        <v>1924</v>
      </c>
      <c r="G181" s="232">
        <v>66831</v>
      </c>
      <c r="H181" s="220">
        <v>59464</v>
      </c>
      <c r="I181" s="232">
        <v>114952</v>
      </c>
      <c r="J181" s="231">
        <v>0</v>
      </c>
      <c r="K181" s="88">
        <f t="shared" si="4"/>
        <v>241247</v>
      </c>
      <c r="L181" s="50"/>
      <c r="M181" s="232">
        <v>2243</v>
      </c>
      <c r="N181" s="232">
        <v>0</v>
      </c>
      <c r="O181" s="231">
        <v>36351</v>
      </c>
      <c r="P181" s="88">
        <f t="shared" si="5"/>
        <v>38594</v>
      </c>
      <c r="Q181" s="50"/>
      <c r="R181" s="232">
        <v>120328</v>
      </c>
      <c r="S181" s="231">
        <v>-17938</v>
      </c>
      <c r="T181" s="233">
        <v>102390</v>
      </c>
    </row>
    <row r="182" spans="1:20">
      <c r="A182" s="48">
        <v>91671</v>
      </c>
      <c r="B182" s="49" t="s">
        <v>2197</v>
      </c>
      <c r="C182" s="234">
        <v>1.132E-4</v>
      </c>
      <c r="D182" s="234">
        <v>9.6700000000000006E-5</v>
      </c>
      <c r="E182" s="187">
        <v>268549</v>
      </c>
      <c r="F182" s="187" t="s">
        <v>1924</v>
      </c>
      <c r="G182" s="232">
        <v>41431</v>
      </c>
      <c r="H182" s="220">
        <v>36864</v>
      </c>
      <c r="I182" s="232">
        <v>71263</v>
      </c>
      <c r="J182" s="231">
        <v>10756</v>
      </c>
      <c r="K182" s="88">
        <f t="shared" si="4"/>
        <v>160314</v>
      </c>
      <c r="L182" s="50"/>
      <c r="M182" s="232">
        <v>1390</v>
      </c>
      <c r="N182" s="232">
        <v>0</v>
      </c>
      <c r="O182" s="231">
        <v>898</v>
      </c>
      <c r="P182" s="88">
        <f t="shared" si="5"/>
        <v>2288</v>
      </c>
      <c r="Q182" s="50"/>
      <c r="R182" s="232">
        <v>74596</v>
      </c>
      <c r="S182" s="231">
        <v>7037</v>
      </c>
      <c r="T182" s="233">
        <v>81633</v>
      </c>
    </row>
    <row r="183" spans="1:20">
      <c r="A183" s="48">
        <v>91681</v>
      </c>
      <c r="B183" s="49" t="s">
        <v>2198</v>
      </c>
      <c r="C183" s="234">
        <v>4.6460000000000002E-4</v>
      </c>
      <c r="D183" s="234">
        <v>4.728E-4</v>
      </c>
      <c r="E183" s="187">
        <v>1102190</v>
      </c>
      <c r="F183" s="187" t="s">
        <v>1924</v>
      </c>
      <c r="G183" s="232">
        <v>170042</v>
      </c>
      <c r="H183" s="220">
        <v>151298</v>
      </c>
      <c r="I183" s="232">
        <v>292479</v>
      </c>
      <c r="J183" s="231">
        <v>312404</v>
      </c>
      <c r="K183" s="88">
        <f t="shared" si="4"/>
        <v>926223</v>
      </c>
      <c r="L183" s="50"/>
      <c r="M183" s="232">
        <v>5706</v>
      </c>
      <c r="N183" s="232">
        <v>0</v>
      </c>
      <c r="O183" s="231">
        <v>0</v>
      </c>
      <c r="P183" s="88">
        <f t="shared" si="5"/>
        <v>5706</v>
      </c>
      <c r="Q183" s="50"/>
      <c r="R183" s="232">
        <v>306159</v>
      </c>
      <c r="S183" s="231">
        <v>122769</v>
      </c>
      <c r="T183" s="233">
        <v>428928</v>
      </c>
    </row>
    <row r="184" spans="1:20">
      <c r="A184" s="48">
        <v>91691</v>
      </c>
      <c r="B184" s="49" t="s">
        <v>2199</v>
      </c>
      <c r="C184" s="234">
        <v>2.26E-5</v>
      </c>
      <c r="D184" s="234">
        <v>2.3200000000000001E-5</v>
      </c>
      <c r="E184" s="188">
        <v>53615</v>
      </c>
      <c r="F184" s="188" t="s">
        <v>1924</v>
      </c>
      <c r="G184" s="232">
        <v>8272</v>
      </c>
      <c r="H184" s="220">
        <v>7360</v>
      </c>
      <c r="I184" s="232">
        <v>14227</v>
      </c>
      <c r="J184" s="231">
        <v>1115</v>
      </c>
      <c r="K184" s="88">
        <f t="shared" si="4"/>
        <v>30974</v>
      </c>
      <c r="L184" s="50"/>
      <c r="M184" s="232">
        <v>278</v>
      </c>
      <c r="N184" s="232">
        <v>0</v>
      </c>
      <c r="O184" s="231">
        <v>1387</v>
      </c>
      <c r="P184" s="88">
        <f t="shared" si="5"/>
        <v>1665</v>
      </c>
      <c r="Q184" s="50"/>
      <c r="R184" s="232">
        <v>14893</v>
      </c>
      <c r="S184" s="231">
        <v>30</v>
      </c>
      <c r="T184" s="233">
        <v>14923</v>
      </c>
    </row>
    <row r="185" spans="1:20">
      <c r="A185" s="48">
        <v>91701</v>
      </c>
      <c r="B185" s="49" t="s">
        <v>893</v>
      </c>
      <c r="C185" s="234">
        <v>1.2348999999999999E-3</v>
      </c>
      <c r="D185" s="234">
        <v>1.2451999999999999E-3</v>
      </c>
      <c r="E185" s="188">
        <v>2929605</v>
      </c>
      <c r="F185" s="188" t="s">
        <v>1924</v>
      </c>
      <c r="G185" s="232">
        <v>451968</v>
      </c>
      <c r="H185" s="220">
        <v>402148</v>
      </c>
      <c r="I185" s="232">
        <v>777404</v>
      </c>
      <c r="J185" s="231">
        <v>70220</v>
      </c>
      <c r="K185" s="88">
        <f t="shared" si="4"/>
        <v>1701740</v>
      </c>
      <c r="L185" s="50"/>
      <c r="M185" s="232">
        <v>15166</v>
      </c>
      <c r="N185" s="232">
        <v>0</v>
      </c>
      <c r="O185" s="231">
        <v>39266</v>
      </c>
      <c r="P185" s="88">
        <f t="shared" si="5"/>
        <v>54432</v>
      </c>
      <c r="Q185" s="50"/>
      <c r="R185" s="232">
        <v>813766</v>
      </c>
      <c r="S185" s="231">
        <v>8978</v>
      </c>
      <c r="T185" s="233">
        <v>822744</v>
      </c>
    </row>
    <row r="186" spans="1:20">
      <c r="A186" s="48">
        <v>91704</v>
      </c>
      <c r="B186" s="49" t="s">
        <v>894</v>
      </c>
      <c r="C186" s="234">
        <v>1.73E-5</v>
      </c>
      <c r="D186" s="234">
        <v>1.73E-5</v>
      </c>
      <c r="E186" s="188">
        <v>41042</v>
      </c>
      <c r="F186" s="188" t="s">
        <v>1924</v>
      </c>
      <c r="G186" s="232">
        <v>6332</v>
      </c>
      <c r="H186" s="220">
        <v>5634</v>
      </c>
      <c r="I186" s="232">
        <v>10891</v>
      </c>
      <c r="J186" s="231">
        <v>560</v>
      </c>
      <c r="K186" s="88">
        <f t="shared" si="4"/>
        <v>23417</v>
      </c>
      <c r="L186" s="50"/>
      <c r="M186" s="232">
        <v>212</v>
      </c>
      <c r="N186" s="232">
        <v>0</v>
      </c>
      <c r="O186" s="231">
        <v>0</v>
      </c>
      <c r="P186" s="88">
        <f t="shared" si="5"/>
        <v>212</v>
      </c>
      <c r="Q186" s="50"/>
      <c r="R186" s="232">
        <v>11400</v>
      </c>
      <c r="S186" s="231">
        <v>666</v>
      </c>
      <c r="T186" s="233">
        <v>12066</v>
      </c>
    </row>
    <row r="187" spans="1:20">
      <c r="A187" s="48">
        <v>91706</v>
      </c>
      <c r="B187" s="49" t="s">
        <v>895</v>
      </c>
      <c r="C187" s="234">
        <v>2.2139999999999999E-4</v>
      </c>
      <c r="D187" s="234">
        <v>2.4340000000000001E-4</v>
      </c>
      <c r="E187" s="188">
        <v>525237</v>
      </c>
      <c r="F187" s="188" t="s">
        <v>1924</v>
      </c>
      <c r="G187" s="232">
        <v>81032</v>
      </c>
      <c r="H187" s="220">
        <v>72099</v>
      </c>
      <c r="I187" s="232">
        <v>139377</v>
      </c>
      <c r="J187" s="231">
        <v>37061</v>
      </c>
      <c r="K187" s="88">
        <f t="shared" si="4"/>
        <v>329569</v>
      </c>
      <c r="L187" s="50"/>
      <c r="M187" s="232">
        <v>2719</v>
      </c>
      <c r="N187" s="232">
        <v>0</v>
      </c>
      <c r="O187" s="231">
        <v>1775</v>
      </c>
      <c r="P187" s="88">
        <f t="shared" si="5"/>
        <v>4494</v>
      </c>
      <c r="Q187" s="50"/>
      <c r="R187" s="232">
        <v>145897</v>
      </c>
      <c r="S187" s="231">
        <v>3534</v>
      </c>
      <c r="T187" s="233">
        <v>149431</v>
      </c>
    </row>
    <row r="188" spans="1:20">
      <c r="A188" s="48">
        <v>91719</v>
      </c>
      <c r="B188" s="49" t="s">
        <v>2200</v>
      </c>
      <c r="C188" s="234">
        <v>5.6799999999999998E-5</v>
      </c>
      <c r="D188" s="234">
        <v>4.9700000000000002E-5</v>
      </c>
      <c r="E188" s="188">
        <v>134749</v>
      </c>
      <c r="F188" s="188" t="s">
        <v>1924</v>
      </c>
      <c r="G188" s="232">
        <v>20789</v>
      </c>
      <c r="H188" s="220">
        <v>18497</v>
      </c>
      <c r="I188" s="232">
        <v>35757</v>
      </c>
      <c r="J188" s="231">
        <v>2513</v>
      </c>
      <c r="K188" s="88">
        <f t="shared" si="4"/>
        <v>77556</v>
      </c>
      <c r="L188" s="50"/>
      <c r="M188" s="232">
        <v>698</v>
      </c>
      <c r="N188" s="232">
        <v>0</v>
      </c>
      <c r="O188" s="231">
        <v>2058</v>
      </c>
      <c r="P188" s="88">
        <f t="shared" si="5"/>
        <v>2756</v>
      </c>
      <c r="Q188" s="50"/>
      <c r="R188" s="232">
        <v>37430</v>
      </c>
      <c r="S188" s="231">
        <v>186</v>
      </c>
      <c r="T188" s="233">
        <v>37616</v>
      </c>
    </row>
    <row r="189" spans="1:20">
      <c r="A189" s="48">
        <v>91801</v>
      </c>
      <c r="B189" s="49" t="s">
        <v>897</v>
      </c>
      <c r="C189" s="234">
        <v>7.9632999999999995E-3</v>
      </c>
      <c r="D189" s="234">
        <v>8.0961000000000002E-3</v>
      </c>
      <c r="E189" s="188">
        <v>18891671</v>
      </c>
      <c r="F189" s="188" t="s">
        <v>1924</v>
      </c>
      <c r="G189" s="232">
        <v>2914536</v>
      </c>
      <c r="H189" s="220">
        <v>2593265</v>
      </c>
      <c r="I189" s="232">
        <v>5013120</v>
      </c>
      <c r="J189" s="231">
        <v>0</v>
      </c>
      <c r="K189" s="88">
        <f t="shared" si="4"/>
        <v>10520921</v>
      </c>
      <c r="L189" s="50"/>
      <c r="M189" s="232">
        <v>97797</v>
      </c>
      <c r="N189" s="232">
        <v>0</v>
      </c>
      <c r="O189" s="231">
        <v>291905</v>
      </c>
      <c r="P189" s="88">
        <f t="shared" si="5"/>
        <v>389702</v>
      </c>
      <c r="Q189" s="50"/>
      <c r="R189" s="232">
        <v>5247600</v>
      </c>
      <c r="S189" s="231">
        <v>-120864</v>
      </c>
      <c r="T189" s="233">
        <v>5126736</v>
      </c>
    </row>
    <row r="190" spans="1:20">
      <c r="A190" s="48">
        <v>91804</v>
      </c>
      <c r="B190" s="49" t="s">
        <v>898</v>
      </c>
      <c r="C190" s="234">
        <v>1.4770000000000001E-4</v>
      </c>
      <c r="D190" s="234">
        <v>1.3439999999999999E-4</v>
      </c>
      <c r="E190" s="188">
        <v>350395</v>
      </c>
      <c r="F190" s="188" t="s">
        <v>1924</v>
      </c>
      <c r="G190" s="232">
        <v>54058</v>
      </c>
      <c r="H190" s="220">
        <v>48099</v>
      </c>
      <c r="I190" s="232">
        <v>92981</v>
      </c>
      <c r="J190" s="231">
        <v>68194</v>
      </c>
      <c r="K190" s="88">
        <f t="shared" si="4"/>
        <v>263332</v>
      </c>
      <c r="L190" s="50"/>
      <c r="M190" s="232">
        <v>1814</v>
      </c>
      <c r="N190" s="232">
        <v>0</v>
      </c>
      <c r="O190" s="231">
        <v>0</v>
      </c>
      <c r="P190" s="88">
        <f t="shared" si="5"/>
        <v>1814</v>
      </c>
      <c r="Q190" s="50"/>
      <c r="R190" s="232">
        <v>97330</v>
      </c>
      <c r="S190" s="231">
        <v>32579</v>
      </c>
      <c r="T190" s="233">
        <v>129909</v>
      </c>
    </row>
    <row r="191" spans="1:20">
      <c r="A191" s="48">
        <v>91811</v>
      </c>
      <c r="B191" s="49" t="s">
        <v>899</v>
      </c>
      <c r="C191" s="234">
        <v>4.4413999999999999E-3</v>
      </c>
      <c r="D191" s="234">
        <v>4.5555999999999999E-3</v>
      </c>
      <c r="E191" s="188">
        <v>10536520</v>
      </c>
      <c r="F191" s="188" t="s">
        <v>1924</v>
      </c>
      <c r="G191" s="232">
        <v>1625535</v>
      </c>
      <c r="H191" s="220">
        <v>1446350</v>
      </c>
      <c r="I191" s="232">
        <v>2795986</v>
      </c>
      <c r="J191" s="231">
        <v>0</v>
      </c>
      <c r="K191" s="88">
        <f t="shared" si="4"/>
        <v>5867871</v>
      </c>
      <c r="L191" s="50"/>
      <c r="M191" s="232">
        <v>54545</v>
      </c>
      <c r="N191" s="232">
        <v>0</v>
      </c>
      <c r="O191" s="231">
        <v>497047</v>
      </c>
      <c r="P191" s="88">
        <f t="shared" si="5"/>
        <v>551592</v>
      </c>
      <c r="Q191" s="50"/>
      <c r="R191" s="232">
        <v>2926763</v>
      </c>
      <c r="S191" s="231">
        <v>-241160</v>
      </c>
      <c r="T191" s="233">
        <v>2685603</v>
      </c>
    </row>
    <row r="192" spans="1:20">
      <c r="A192" s="48">
        <v>91812</v>
      </c>
      <c r="B192" s="49" t="s">
        <v>2751</v>
      </c>
      <c r="C192" s="234">
        <v>5.3600000000000002E-5</v>
      </c>
      <c r="D192" s="234">
        <v>5.0800000000000002E-5</v>
      </c>
      <c r="E192" s="188">
        <v>127158</v>
      </c>
      <c r="F192" s="188" t="s">
        <v>1924</v>
      </c>
      <c r="G192" s="232">
        <v>19617</v>
      </c>
      <c r="H192" s="220">
        <v>17455</v>
      </c>
      <c r="I192" s="232">
        <v>33743</v>
      </c>
      <c r="J192" s="231">
        <v>9789</v>
      </c>
      <c r="K192" s="88">
        <f t="shared" si="4"/>
        <v>80604</v>
      </c>
      <c r="L192" s="50"/>
      <c r="M192" s="232">
        <v>658</v>
      </c>
      <c r="N192" s="232">
        <v>0</v>
      </c>
      <c r="O192" s="231">
        <v>2033</v>
      </c>
      <c r="P192" s="88">
        <f t="shared" si="5"/>
        <v>2691</v>
      </c>
      <c r="Q192" s="50"/>
      <c r="R192" s="232">
        <v>35321</v>
      </c>
      <c r="S192" s="231">
        <v>5503</v>
      </c>
      <c r="T192" s="233">
        <v>40824</v>
      </c>
    </row>
    <row r="193" spans="1:20">
      <c r="A193" s="48">
        <v>91813</v>
      </c>
      <c r="B193" s="49" t="s">
        <v>901</v>
      </c>
      <c r="C193" s="234">
        <v>8.1299999999999997E-5</v>
      </c>
      <c r="D193" s="234">
        <v>8.6100000000000006E-5</v>
      </c>
      <c r="E193" s="188">
        <v>192871</v>
      </c>
      <c r="F193" s="188" t="s">
        <v>1924</v>
      </c>
      <c r="G193" s="232">
        <v>29755</v>
      </c>
      <c r="H193" s="220">
        <v>26476</v>
      </c>
      <c r="I193" s="232">
        <v>51181</v>
      </c>
      <c r="J193" s="231">
        <v>5758</v>
      </c>
      <c r="K193" s="88">
        <f t="shared" si="4"/>
        <v>113170</v>
      </c>
      <c r="L193" s="50"/>
      <c r="M193" s="232">
        <v>998</v>
      </c>
      <c r="N193" s="232">
        <v>0</v>
      </c>
      <c r="O193" s="231">
        <v>10114</v>
      </c>
      <c r="P193" s="88">
        <f t="shared" si="5"/>
        <v>11112</v>
      </c>
      <c r="Q193" s="50"/>
      <c r="R193" s="232">
        <v>53575</v>
      </c>
      <c r="S193" s="231">
        <v>-606</v>
      </c>
      <c r="T193" s="233">
        <v>52969</v>
      </c>
    </row>
    <row r="194" spans="1:20">
      <c r="A194" s="48">
        <v>91818</v>
      </c>
      <c r="B194" s="49" t="s">
        <v>902</v>
      </c>
      <c r="C194" s="234">
        <v>3.9429999999999999E-4</v>
      </c>
      <c r="D194" s="234">
        <v>4.0079999999999998E-4</v>
      </c>
      <c r="E194" s="188">
        <v>935414</v>
      </c>
      <c r="F194" s="188" t="s">
        <v>1924</v>
      </c>
      <c r="G194" s="232">
        <v>144312</v>
      </c>
      <c r="H194" s="220">
        <v>128404</v>
      </c>
      <c r="I194" s="232">
        <v>248223</v>
      </c>
      <c r="J194" s="231">
        <v>524689</v>
      </c>
      <c r="K194" s="88">
        <f t="shared" si="4"/>
        <v>1045628</v>
      </c>
      <c r="L194" s="50"/>
      <c r="M194" s="232">
        <v>4842</v>
      </c>
      <c r="N194" s="232">
        <v>0</v>
      </c>
      <c r="O194" s="231">
        <v>0</v>
      </c>
      <c r="P194" s="88">
        <f t="shared" si="5"/>
        <v>4842</v>
      </c>
      <c r="Q194" s="50"/>
      <c r="R194" s="232">
        <v>259833</v>
      </c>
      <c r="S194" s="231">
        <v>209067</v>
      </c>
      <c r="T194" s="233">
        <v>468900</v>
      </c>
    </row>
    <row r="195" spans="1:20">
      <c r="A195" s="48">
        <v>91819</v>
      </c>
      <c r="B195" s="49" t="s">
        <v>903</v>
      </c>
      <c r="C195" s="234">
        <v>3.0469999999999998E-4</v>
      </c>
      <c r="D195" s="234">
        <v>2.8489999999999999E-4</v>
      </c>
      <c r="E195" s="188">
        <v>722853</v>
      </c>
      <c r="F195" s="188" t="s">
        <v>1924</v>
      </c>
      <c r="G195" s="232">
        <v>111519</v>
      </c>
      <c r="H195" s="220">
        <v>99226</v>
      </c>
      <c r="I195" s="232">
        <v>191817</v>
      </c>
      <c r="J195" s="231">
        <v>26641</v>
      </c>
      <c r="K195" s="88">
        <f t="shared" si="4"/>
        <v>429203</v>
      </c>
      <c r="L195" s="50"/>
      <c r="M195" s="232">
        <v>3742</v>
      </c>
      <c r="N195" s="232">
        <v>0</v>
      </c>
      <c r="O195" s="231">
        <v>4590</v>
      </c>
      <c r="P195" s="88">
        <f t="shared" si="5"/>
        <v>8332</v>
      </c>
      <c r="Q195" s="50"/>
      <c r="R195" s="232">
        <v>200789</v>
      </c>
      <c r="S195" s="231">
        <v>10326</v>
      </c>
      <c r="T195" s="233">
        <v>211115</v>
      </c>
    </row>
    <row r="196" spans="1:20">
      <c r="A196" s="48">
        <v>91821</v>
      </c>
      <c r="B196" s="49" t="s">
        <v>904</v>
      </c>
      <c r="C196" s="234">
        <v>1.671E-4</v>
      </c>
      <c r="D196" s="234">
        <v>1.7330000000000001E-4</v>
      </c>
      <c r="E196" s="188">
        <v>396418</v>
      </c>
      <c r="F196" s="188" t="s">
        <v>1924</v>
      </c>
      <c r="G196" s="232">
        <v>61158</v>
      </c>
      <c r="H196" s="220">
        <v>54416</v>
      </c>
      <c r="I196" s="232">
        <v>105194</v>
      </c>
      <c r="J196" s="231">
        <v>487</v>
      </c>
      <c r="K196" s="88">
        <f t="shared" si="4"/>
        <v>221255</v>
      </c>
      <c r="L196" s="50"/>
      <c r="M196" s="232">
        <v>2052</v>
      </c>
      <c r="N196" s="232">
        <v>0</v>
      </c>
      <c r="O196" s="231">
        <v>9930</v>
      </c>
      <c r="P196" s="88">
        <f t="shared" si="5"/>
        <v>11982</v>
      </c>
      <c r="Q196" s="50"/>
      <c r="R196" s="232">
        <v>110114</v>
      </c>
      <c r="S196" s="231">
        <v>-745</v>
      </c>
      <c r="T196" s="233">
        <v>109369</v>
      </c>
    </row>
    <row r="197" spans="1:20">
      <c r="A197" s="48">
        <v>91831</v>
      </c>
      <c r="B197" s="49" t="s">
        <v>2201</v>
      </c>
      <c r="C197" s="234">
        <v>3.7740000000000001E-4</v>
      </c>
      <c r="D197" s="234">
        <v>3.366E-4</v>
      </c>
      <c r="E197" s="188">
        <v>895322</v>
      </c>
      <c r="F197" s="188" t="s">
        <v>1924</v>
      </c>
      <c r="G197" s="232">
        <v>138127</v>
      </c>
      <c r="H197" s="220">
        <v>122901</v>
      </c>
      <c r="I197" s="232">
        <v>237584</v>
      </c>
      <c r="J197" s="231">
        <v>17106</v>
      </c>
      <c r="K197" s="88">
        <f t="shared" si="4"/>
        <v>515718</v>
      </c>
      <c r="L197" s="50"/>
      <c r="M197" s="232">
        <v>4635</v>
      </c>
      <c r="N197" s="232">
        <v>0</v>
      </c>
      <c r="O197" s="231">
        <v>9431</v>
      </c>
      <c r="P197" s="88">
        <f t="shared" si="5"/>
        <v>14066</v>
      </c>
      <c r="Q197" s="50"/>
      <c r="R197" s="232">
        <v>248696</v>
      </c>
      <c r="S197" s="231">
        <v>3967</v>
      </c>
      <c r="T197" s="233">
        <v>252663</v>
      </c>
    </row>
    <row r="198" spans="1:20">
      <c r="A198" s="48">
        <v>91841</v>
      </c>
      <c r="B198" s="49" t="s">
        <v>2202</v>
      </c>
      <c r="C198" s="234">
        <v>2.6479999999999999E-4</v>
      </c>
      <c r="D198" s="234">
        <v>2.5339999999999998E-4</v>
      </c>
      <c r="E198" s="188">
        <v>628196</v>
      </c>
      <c r="F198" s="188" t="s">
        <v>1924</v>
      </c>
      <c r="G198" s="232">
        <v>96916</v>
      </c>
      <c r="H198" s="220">
        <v>86233</v>
      </c>
      <c r="I198" s="232">
        <v>166699</v>
      </c>
      <c r="J198" s="231">
        <v>5951</v>
      </c>
      <c r="K198" s="88">
        <f t="shared" si="4"/>
        <v>355799</v>
      </c>
      <c r="L198" s="50"/>
      <c r="M198" s="232">
        <v>3252</v>
      </c>
      <c r="N198" s="232">
        <v>0</v>
      </c>
      <c r="O198" s="231">
        <v>4615</v>
      </c>
      <c r="P198" s="88">
        <f t="shared" si="5"/>
        <v>7867</v>
      </c>
      <c r="Q198" s="50"/>
      <c r="R198" s="232">
        <v>174496</v>
      </c>
      <c r="S198" s="231">
        <v>-8503</v>
      </c>
      <c r="T198" s="233">
        <v>165993</v>
      </c>
    </row>
    <row r="199" spans="1:20">
      <c r="A199" s="48">
        <v>91851</v>
      </c>
      <c r="B199" s="49" t="s">
        <v>2203</v>
      </c>
      <c r="C199" s="234">
        <v>7.3039999999999997E-4</v>
      </c>
      <c r="D199" s="234">
        <v>7.4910000000000005E-4</v>
      </c>
      <c r="E199" s="188">
        <v>1732759</v>
      </c>
      <c r="F199" s="188" t="s">
        <v>1924</v>
      </c>
      <c r="G199" s="232">
        <v>267323</v>
      </c>
      <c r="H199" s="220">
        <v>237856</v>
      </c>
      <c r="I199" s="232">
        <v>459807</v>
      </c>
      <c r="J199" s="231">
        <v>4093</v>
      </c>
      <c r="K199" s="88">
        <f t="shared" si="4"/>
        <v>969079</v>
      </c>
      <c r="L199" s="50"/>
      <c r="M199" s="232">
        <v>8970</v>
      </c>
      <c r="N199" s="232">
        <v>0</v>
      </c>
      <c r="O199" s="231">
        <v>35449</v>
      </c>
      <c r="P199" s="88">
        <f t="shared" si="5"/>
        <v>44419</v>
      </c>
      <c r="Q199" s="50"/>
      <c r="R199" s="232">
        <v>481314</v>
      </c>
      <c r="S199" s="231">
        <v>-15851</v>
      </c>
      <c r="T199" s="233">
        <v>465463</v>
      </c>
    </row>
    <row r="200" spans="1:20">
      <c r="A200" s="48">
        <v>91861</v>
      </c>
      <c r="B200" s="49" t="s">
        <v>2204</v>
      </c>
      <c r="C200" s="234">
        <v>1.1800000000000001E-5</v>
      </c>
      <c r="D200" s="234">
        <v>1.9700000000000001E-5</v>
      </c>
      <c r="E200" s="188">
        <v>27994</v>
      </c>
      <c r="F200" s="188" t="s">
        <v>1924</v>
      </c>
      <c r="G200" s="232">
        <v>4319</v>
      </c>
      <c r="H200" s="220">
        <v>3843</v>
      </c>
      <c r="I200" s="232">
        <v>7428</v>
      </c>
      <c r="J200" s="231">
        <v>1009</v>
      </c>
      <c r="K200" s="88">
        <f t="shared" si="4"/>
        <v>16599</v>
      </c>
      <c r="L200" s="50"/>
      <c r="M200" s="232">
        <v>145</v>
      </c>
      <c r="N200" s="232">
        <v>0</v>
      </c>
      <c r="O200" s="231">
        <v>5115</v>
      </c>
      <c r="P200" s="88">
        <f t="shared" si="5"/>
        <v>5260</v>
      </c>
      <c r="Q200" s="50"/>
      <c r="R200" s="232">
        <v>7776</v>
      </c>
      <c r="S200" s="231">
        <v>-408</v>
      </c>
      <c r="T200" s="233">
        <v>7368</v>
      </c>
    </row>
    <row r="201" spans="1:20">
      <c r="A201" s="48">
        <v>91871</v>
      </c>
      <c r="B201" s="49" t="s">
        <v>909</v>
      </c>
      <c r="C201" s="234">
        <v>1.3219E-3</v>
      </c>
      <c r="D201" s="234">
        <v>1.3319E-3</v>
      </c>
      <c r="E201" s="188">
        <v>3135999</v>
      </c>
      <c r="F201" s="188" t="s">
        <v>1924</v>
      </c>
      <c r="G201" s="232">
        <v>483810</v>
      </c>
      <c r="H201" s="220">
        <v>430480</v>
      </c>
      <c r="I201" s="232">
        <v>832173</v>
      </c>
      <c r="J201" s="231">
        <v>16903</v>
      </c>
      <c r="K201" s="88">
        <f t="shared" si="4"/>
        <v>1763366</v>
      </c>
      <c r="L201" s="50"/>
      <c r="M201" s="232">
        <v>16234</v>
      </c>
      <c r="N201" s="232">
        <v>0</v>
      </c>
      <c r="O201" s="231">
        <v>71958</v>
      </c>
      <c r="P201" s="88">
        <f t="shared" si="5"/>
        <v>88192</v>
      </c>
      <c r="Q201" s="50"/>
      <c r="R201" s="232">
        <v>871096</v>
      </c>
      <c r="S201" s="231">
        <v>-36895</v>
      </c>
      <c r="T201" s="233">
        <v>834201</v>
      </c>
    </row>
    <row r="202" spans="1:20">
      <c r="A202" s="48">
        <v>91881</v>
      </c>
      <c r="B202" s="49" t="s">
        <v>2205</v>
      </c>
      <c r="C202" s="234">
        <v>8.1000000000000004E-6</v>
      </c>
      <c r="D202" s="234">
        <v>9.3000000000000007E-6</v>
      </c>
      <c r="E202" s="188">
        <v>19216</v>
      </c>
      <c r="F202" s="188" t="s">
        <v>1924</v>
      </c>
      <c r="G202" s="232">
        <v>2965</v>
      </c>
      <c r="H202" s="220">
        <v>2638</v>
      </c>
      <c r="I202" s="232">
        <v>5099</v>
      </c>
      <c r="J202" s="231">
        <v>917</v>
      </c>
      <c r="K202" s="88">
        <f t="shared" si="4"/>
        <v>11619</v>
      </c>
      <c r="L202" s="50"/>
      <c r="M202" s="232">
        <v>99</v>
      </c>
      <c r="N202" s="232">
        <v>0</v>
      </c>
      <c r="O202" s="231">
        <v>2944</v>
      </c>
      <c r="P202" s="88">
        <f t="shared" si="5"/>
        <v>3043</v>
      </c>
      <c r="Q202" s="50"/>
      <c r="R202" s="232">
        <v>5338</v>
      </c>
      <c r="S202" s="231">
        <v>-5564</v>
      </c>
      <c r="T202" s="233">
        <v>-226</v>
      </c>
    </row>
    <row r="203" spans="1:20">
      <c r="A203" s="48">
        <v>91901</v>
      </c>
      <c r="B203" s="49" t="s">
        <v>911</v>
      </c>
      <c r="C203" s="234">
        <v>3.6922000000000001E-3</v>
      </c>
      <c r="D203" s="234">
        <v>3.6706999999999998E-3</v>
      </c>
      <c r="E203" s="188">
        <v>8759161</v>
      </c>
      <c r="F203" s="188" t="s">
        <v>1924</v>
      </c>
      <c r="G203" s="232">
        <v>1351330</v>
      </c>
      <c r="H203" s="220">
        <v>1202373</v>
      </c>
      <c r="I203" s="232">
        <v>2324343</v>
      </c>
      <c r="J203" s="231">
        <v>32174</v>
      </c>
      <c r="K203" s="88">
        <f t="shared" ref="K203:K271" si="6">G203+H203+I203+J203</f>
        <v>4910220</v>
      </c>
      <c r="L203" s="50"/>
      <c r="M203" s="232">
        <v>45344</v>
      </c>
      <c r="N203" s="232">
        <v>0</v>
      </c>
      <c r="O203" s="231">
        <v>47401</v>
      </c>
      <c r="P203" s="88">
        <f t="shared" ref="P203:P271" si="7">M203+N203+O203</f>
        <v>92745</v>
      </c>
      <c r="Q203" s="50"/>
      <c r="R203" s="232">
        <v>2433060</v>
      </c>
      <c r="S203" s="231">
        <v>44660</v>
      </c>
      <c r="T203" s="233">
        <v>2477720</v>
      </c>
    </row>
    <row r="204" spans="1:20">
      <c r="A204" s="48">
        <v>91903</v>
      </c>
      <c r="B204" s="49" t="s">
        <v>2752</v>
      </c>
      <c r="C204" s="234">
        <v>8.8000000000000004E-6</v>
      </c>
      <c r="D204" s="234">
        <v>8.6999999999999997E-6</v>
      </c>
      <c r="E204" s="188">
        <v>20877</v>
      </c>
      <c r="F204" s="188" t="s">
        <v>1924</v>
      </c>
      <c r="G204" s="232">
        <v>3221</v>
      </c>
      <c r="H204" s="220">
        <v>2866</v>
      </c>
      <c r="I204" s="232">
        <v>5540</v>
      </c>
      <c r="J204" s="231">
        <v>3278</v>
      </c>
      <c r="K204" s="88">
        <f t="shared" si="6"/>
        <v>14905</v>
      </c>
      <c r="L204" s="50"/>
      <c r="M204" s="232">
        <v>108</v>
      </c>
      <c r="N204" s="232">
        <v>0</v>
      </c>
      <c r="O204" s="231">
        <v>0</v>
      </c>
      <c r="P204" s="88">
        <f t="shared" si="7"/>
        <v>108</v>
      </c>
      <c r="Q204" s="50"/>
      <c r="R204" s="232">
        <v>5799</v>
      </c>
      <c r="S204" s="231">
        <v>-1932</v>
      </c>
      <c r="T204" s="233">
        <v>3867</v>
      </c>
    </row>
    <row r="205" spans="1:20">
      <c r="A205" s="48">
        <v>91904</v>
      </c>
      <c r="B205" s="49" t="s">
        <v>913</v>
      </c>
      <c r="C205" s="234">
        <v>3.1399999999999998E-5</v>
      </c>
      <c r="D205" s="234">
        <v>3.3399999999999999E-5</v>
      </c>
      <c r="E205" s="188">
        <v>74492</v>
      </c>
      <c r="F205" s="188" t="s">
        <v>1924</v>
      </c>
      <c r="G205" s="232">
        <v>11492</v>
      </c>
      <c r="H205" s="220">
        <v>10225</v>
      </c>
      <c r="I205" s="232">
        <v>19767</v>
      </c>
      <c r="J205" s="231">
        <v>6870</v>
      </c>
      <c r="K205" s="88">
        <f t="shared" si="6"/>
        <v>48354</v>
      </c>
      <c r="L205" s="50"/>
      <c r="M205" s="232">
        <v>386</v>
      </c>
      <c r="N205" s="232">
        <v>0</v>
      </c>
      <c r="O205" s="231">
        <v>434</v>
      </c>
      <c r="P205" s="88">
        <f t="shared" si="7"/>
        <v>820</v>
      </c>
      <c r="Q205" s="50"/>
      <c r="R205" s="232">
        <v>20692</v>
      </c>
      <c r="S205" s="231">
        <v>4213</v>
      </c>
      <c r="T205" s="233">
        <v>24905</v>
      </c>
    </row>
    <row r="206" spans="1:20">
      <c r="A206" s="48">
        <v>91908</v>
      </c>
      <c r="B206" s="49" t="s">
        <v>914</v>
      </c>
      <c r="C206" s="234">
        <v>1.5299999999999999E-5</v>
      </c>
      <c r="D206" s="234">
        <v>1.6900000000000001E-5</v>
      </c>
      <c r="E206" s="188">
        <v>36297</v>
      </c>
      <c r="F206" s="188" t="s">
        <v>1924</v>
      </c>
      <c r="G206" s="232">
        <v>5600</v>
      </c>
      <c r="H206" s="220">
        <v>4983</v>
      </c>
      <c r="I206" s="232">
        <v>9632</v>
      </c>
      <c r="J206" s="231">
        <v>106</v>
      </c>
      <c r="K206" s="88">
        <f t="shared" si="6"/>
        <v>20321</v>
      </c>
      <c r="L206" s="50"/>
      <c r="M206" s="232">
        <v>188</v>
      </c>
      <c r="N206" s="232">
        <v>0</v>
      </c>
      <c r="O206" s="231">
        <v>4660</v>
      </c>
      <c r="P206" s="88">
        <f t="shared" si="7"/>
        <v>4848</v>
      </c>
      <c r="Q206" s="50"/>
      <c r="R206" s="232">
        <v>10082</v>
      </c>
      <c r="S206" s="231">
        <v>-814</v>
      </c>
      <c r="T206" s="233">
        <v>9268</v>
      </c>
    </row>
    <row r="207" spans="1:20">
      <c r="A207" s="48">
        <v>91911</v>
      </c>
      <c r="B207" s="49" t="s">
        <v>2206</v>
      </c>
      <c r="C207" s="234">
        <v>4.8529999999999998E-4</v>
      </c>
      <c r="D207" s="234">
        <v>4.5580000000000002E-4</v>
      </c>
      <c r="E207" s="188">
        <v>1151298</v>
      </c>
      <c r="F207" s="188" t="s">
        <v>1924</v>
      </c>
      <c r="G207" s="232">
        <v>177618</v>
      </c>
      <c r="H207" s="220">
        <v>158038</v>
      </c>
      <c r="I207" s="232">
        <v>305510</v>
      </c>
      <c r="J207" s="231">
        <v>25824</v>
      </c>
      <c r="K207" s="88">
        <f t="shared" si="6"/>
        <v>666990</v>
      </c>
      <c r="L207" s="50"/>
      <c r="M207" s="232">
        <v>5960</v>
      </c>
      <c r="N207" s="232">
        <v>0</v>
      </c>
      <c r="O207" s="231">
        <v>1556</v>
      </c>
      <c r="P207" s="88">
        <f t="shared" si="7"/>
        <v>7516</v>
      </c>
      <c r="Q207" s="50"/>
      <c r="R207" s="232">
        <v>319800</v>
      </c>
      <c r="S207" s="231">
        <v>4709</v>
      </c>
      <c r="T207" s="233">
        <v>324509</v>
      </c>
    </row>
    <row r="208" spans="1:20">
      <c r="A208" s="48">
        <v>91917</v>
      </c>
      <c r="B208" s="49" t="s">
        <v>916</v>
      </c>
      <c r="C208" s="234">
        <v>1.04E-5</v>
      </c>
      <c r="D208" s="234">
        <v>1.22E-5</v>
      </c>
      <c r="E208" s="188">
        <v>24672</v>
      </c>
      <c r="F208" s="188" t="s">
        <v>1924</v>
      </c>
      <c r="G208" s="232">
        <v>3806</v>
      </c>
      <c r="H208" s="220">
        <v>3387</v>
      </c>
      <c r="I208" s="232">
        <v>6547</v>
      </c>
      <c r="J208" s="231">
        <v>521</v>
      </c>
      <c r="K208" s="88">
        <f t="shared" si="6"/>
        <v>14261</v>
      </c>
      <c r="L208" s="50"/>
      <c r="M208" s="232">
        <v>128</v>
      </c>
      <c r="N208" s="232">
        <v>0</v>
      </c>
      <c r="O208" s="231">
        <v>233</v>
      </c>
      <c r="P208" s="88">
        <f t="shared" si="7"/>
        <v>361</v>
      </c>
      <c r="Q208" s="50"/>
      <c r="R208" s="232">
        <v>6853</v>
      </c>
      <c r="S208" s="231">
        <v>175</v>
      </c>
      <c r="T208" s="233">
        <v>7028</v>
      </c>
    </row>
    <row r="209" spans="1:20">
      <c r="A209" s="48">
        <v>91921</v>
      </c>
      <c r="B209" s="49" t="s">
        <v>2207</v>
      </c>
      <c r="C209" s="234">
        <v>3.5619999999999998E-4</v>
      </c>
      <c r="D209" s="234">
        <v>3.769E-4</v>
      </c>
      <c r="E209" s="188">
        <v>845028</v>
      </c>
      <c r="F209" s="188" t="s">
        <v>1924</v>
      </c>
      <c r="G209" s="232">
        <v>130368</v>
      </c>
      <c r="H209" s="220">
        <v>115997</v>
      </c>
      <c r="I209" s="232">
        <v>224238</v>
      </c>
      <c r="J209" s="231">
        <v>0</v>
      </c>
      <c r="K209" s="88">
        <f t="shared" si="6"/>
        <v>470603</v>
      </c>
      <c r="L209" s="50"/>
      <c r="M209" s="232">
        <v>4374</v>
      </c>
      <c r="N209" s="232">
        <v>0</v>
      </c>
      <c r="O209" s="231">
        <v>26775</v>
      </c>
      <c r="P209" s="88">
        <f t="shared" si="7"/>
        <v>31149</v>
      </c>
      <c r="Q209" s="50"/>
      <c r="R209" s="232">
        <v>234726</v>
      </c>
      <c r="S209" s="231">
        <v>-10664</v>
      </c>
      <c r="T209" s="233">
        <v>224062</v>
      </c>
    </row>
    <row r="210" spans="1:20">
      <c r="A210" s="48">
        <v>92001</v>
      </c>
      <c r="B210" s="49" t="s">
        <v>918</v>
      </c>
      <c r="C210" s="234">
        <v>1.8332999999999999E-3</v>
      </c>
      <c r="D210" s="234">
        <v>1.8143E-3</v>
      </c>
      <c r="E210" s="188">
        <v>4349215</v>
      </c>
      <c r="F210" s="188" t="s">
        <v>1924</v>
      </c>
      <c r="G210" s="232">
        <v>670980</v>
      </c>
      <c r="H210" s="220">
        <v>597017</v>
      </c>
      <c r="I210" s="232">
        <v>1154114</v>
      </c>
      <c r="J210" s="231">
        <v>30924</v>
      </c>
      <c r="K210" s="88">
        <f t="shared" si="6"/>
        <v>2453035</v>
      </c>
      <c r="L210" s="50"/>
      <c r="M210" s="232">
        <v>22515</v>
      </c>
      <c r="N210" s="232">
        <v>0</v>
      </c>
      <c r="O210" s="231">
        <v>112538</v>
      </c>
      <c r="P210" s="88">
        <f t="shared" si="7"/>
        <v>135053</v>
      </c>
      <c r="Q210" s="50"/>
      <c r="R210" s="232">
        <v>1208095</v>
      </c>
      <c r="S210" s="231">
        <v>-45166</v>
      </c>
      <c r="T210" s="233">
        <v>1162929</v>
      </c>
    </row>
    <row r="211" spans="1:20">
      <c r="A211" s="48">
        <v>92005</v>
      </c>
      <c r="B211" s="49" t="s">
        <v>919</v>
      </c>
      <c r="C211" s="234">
        <v>4.2700000000000001E-5</v>
      </c>
      <c r="D211" s="234">
        <v>4.1399999999999997E-5</v>
      </c>
      <c r="E211" s="188">
        <v>101299</v>
      </c>
      <c r="F211" s="188" t="s">
        <v>1924</v>
      </c>
      <c r="G211" s="232">
        <v>15628</v>
      </c>
      <c r="H211" s="220">
        <v>13906</v>
      </c>
      <c r="I211" s="232">
        <v>26881</v>
      </c>
      <c r="J211" s="231">
        <v>4118</v>
      </c>
      <c r="K211" s="88">
        <f t="shared" si="6"/>
        <v>60533</v>
      </c>
      <c r="L211" s="50"/>
      <c r="M211" s="232">
        <v>524</v>
      </c>
      <c r="N211" s="232">
        <v>0</v>
      </c>
      <c r="O211" s="231">
        <v>1571</v>
      </c>
      <c r="P211" s="88">
        <f t="shared" si="7"/>
        <v>2095</v>
      </c>
      <c r="Q211" s="50"/>
      <c r="R211" s="232">
        <v>28138</v>
      </c>
      <c r="S211" s="231">
        <v>1018</v>
      </c>
      <c r="T211" s="233">
        <v>29156</v>
      </c>
    </row>
    <row r="212" spans="1:20">
      <c r="A212" s="48">
        <v>92011</v>
      </c>
      <c r="B212" s="49" t="s">
        <v>2208</v>
      </c>
      <c r="C212" s="234">
        <v>1.916E-4</v>
      </c>
      <c r="D212" s="234">
        <v>2.0049999999999999E-4</v>
      </c>
      <c r="E212" s="188">
        <v>454541</v>
      </c>
      <c r="F212" s="188" t="s">
        <v>1924</v>
      </c>
      <c r="G212" s="232">
        <v>70125</v>
      </c>
      <c r="H212" s="220">
        <v>62395</v>
      </c>
      <c r="I212" s="232">
        <v>120618</v>
      </c>
      <c r="J212" s="231">
        <v>7900</v>
      </c>
      <c r="K212" s="88">
        <f t="shared" si="6"/>
        <v>261038</v>
      </c>
      <c r="L212" s="50"/>
      <c r="M212" s="232">
        <v>2353</v>
      </c>
      <c r="N212" s="232">
        <v>0</v>
      </c>
      <c r="O212" s="231">
        <v>5785</v>
      </c>
      <c r="P212" s="88">
        <f t="shared" si="7"/>
        <v>8138</v>
      </c>
      <c r="Q212" s="50"/>
      <c r="R212" s="232">
        <v>126259</v>
      </c>
      <c r="S212" s="231">
        <v>8269</v>
      </c>
      <c r="T212" s="233">
        <v>134528</v>
      </c>
    </row>
    <row r="213" spans="1:20">
      <c r="A213" s="48">
        <v>92017</v>
      </c>
      <c r="B213" s="49" t="s">
        <v>921</v>
      </c>
      <c r="C213" s="234">
        <v>3.3200000000000001E-5</v>
      </c>
      <c r="D213" s="234">
        <v>3.4199999999999998E-5</v>
      </c>
      <c r="E213" s="188">
        <v>78762</v>
      </c>
      <c r="F213" s="188" t="s">
        <v>1924</v>
      </c>
      <c r="G213" s="232">
        <v>12151</v>
      </c>
      <c r="H213" s="220">
        <v>10811</v>
      </c>
      <c r="I213" s="232">
        <v>20900</v>
      </c>
      <c r="J213" s="231">
        <v>1396</v>
      </c>
      <c r="K213" s="88">
        <f t="shared" si="6"/>
        <v>45258</v>
      </c>
      <c r="L213" s="50"/>
      <c r="M213" s="232">
        <v>408</v>
      </c>
      <c r="N213" s="232">
        <v>0</v>
      </c>
      <c r="O213" s="231">
        <v>361</v>
      </c>
      <c r="P213" s="88">
        <f t="shared" si="7"/>
        <v>769</v>
      </c>
      <c r="Q213" s="50"/>
      <c r="R213" s="232">
        <v>21878</v>
      </c>
      <c r="S213" s="231">
        <v>-415</v>
      </c>
      <c r="T213" s="233">
        <v>21463</v>
      </c>
    </row>
    <row r="214" spans="1:20">
      <c r="A214" s="48">
        <v>92021</v>
      </c>
      <c r="B214" s="49" t="s">
        <v>2209</v>
      </c>
      <c r="C214" s="234">
        <v>1.451E-4</v>
      </c>
      <c r="D214" s="234">
        <v>1.5779999999999999E-4</v>
      </c>
      <c r="E214" s="188">
        <v>344227</v>
      </c>
      <c r="F214" s="188" t="s">
        <v>1924</v>
      </c>
      <c r="G214" s="232">
        <v>53106</v>
      </c>
      <c r="H214" s="220">
        <v>47253</v>
      </c>
      <c r="I214" s="232">
        <v>91345</v>
      </c>
      <c r="J214" s="231">
        <v>20876</v>
      </c>
      <c r="K214" s="88">
        <f t="shared" si="6"/>
        <v>212580</v>
      </c>
      <c r="L214" s="50"/>
      <c r="M214" s="232">
        <v>1782</v>
      </c>
      <c r="N214" s="232">
        <v>0</v>
      </c>
      <c r="O214" s="231">
        <v>23774</v>
      </c>
      <c r="P214" s="88">
        <f t="shared" si="7"/>
        <v>25556</v>
      </c>
      <c r="Q214" s="50"/>
      <c r="R214" s="232">
        <v>95617</v>
      </c>
      <c r="S214" s="231">
        <v>-3302</v>
      </c>
      <c r="T214" s="233">
        <v>92315</v>
      </c>
    </row>
    <row r="215" spans="1:20">
      <c r="A215" s="48">
        <v>92101</v>
      </c>
      <c r="B215" s="49" t="s">
        <v>923</v>
      </c>
      <c r="C215" s="234">
        <v>8.183E-4</v>
      </c>
      <c r="D215" s="234">
        <v>8.5209999999999995E-4</v>
      </c>
      <c r="E215" s="188">
        <v>1941287</v>
      </c>
      <c r="F215" s="188" t="s">
        <v>1924</v>
      </c>
      <c r="G215" s="232">
        <v>299495</v>
      </c>
      <c r="H215" s="220">
        <v>266481</v>
      </c>
      <c r="I215" s="232">
        <v>515143</v>
      </c>
      <c r="J215" s="231">
        <v>575</v>
      </c>
      <c r="K215" s="88">
        <f t="shared" si="6"/>
        <v>1081694</v>
      </c>
      <c r="L215" s="50"/>
      <c r="M215" s="232">
        <v>10050</v>
      </c>
      <c r="N215" s="232">
        <v>0</v>
      </c>
      <c r="O215" s="231">
        <v>80217</v>
      </c>
      <c r="P215" s="88">
        <f t="shared" si="7"/>
        <v>90267</v>
      </c>
      <c r="Q215" s="50"/>
      <c r="R215" s="232">
        <v>539238</v>
      </c>
      <c r="S215" s="231">
        <v>-19299</v>
      </c>
      <c r="T215" s="233">
        <v>519939</v>
      </c>
    </row>
    <row r="216" spans="1:20">
      <c r="A216" s="48">
        <v>92104</v>
      </c>
      <c r="B216" s="49" t="s">
        <v>924</v>
      </c>
      <c r="C216" s="234">
        <v>8.3999999999999992E-6</v>
      </c>
      <c r="D216" s="234">
        <v>8.6000000000000007E-6</v>
      </c>
      <c r="E216" s="188">
        <v>19928</v>
      </c>
      <c r="F216" s="188" t="s">
        <v>1924</v>
      </c>
      <c r="G216" s="232">
        <v>3074</v>
      </c>
      <c r="H216" s="220">
        <v>2735</v>
      </c>
      <c r="I216" s="232">
        <v>5288</v>
      </c>
      <c r="J216" s="231">
        <v>2394</v>
      </c>
      <c r="K216" s="88">
        <f t="shared" si="6"/>
        <v>13491</v>
      </c>
      <c r="L216" s="50"/>
      <c r="M216" s="232">
        <v>103</v>
      </c>
      <c r="N216" s="232">
        <v>0</v>
      </c>
      <c r="O216" s="231">
        <v>0</v>
      </c>
      <c r="P216" s="88">
        <f t="shared" si="7"/>
        <v>103</v>
      </c>
      <c r="Q216" s="50"/>
      <c r="R216" s="232">
        <v>5535</v>
      </c>
      <c r="S216" s="231">
        <v>2056</v>
      </c>
      <c r="T216" s="233">
        <v>7591</v>
      </c>
    </row>
    <row r="217" spans="1:20">
      <c r="A217" s="48">
        <v>92109</v>
      </c>
      <c r="B217" s="49" t="s">
        <v>925</v>
      </c>
      <c r="C217" s="234">
        <v>1.7239999999999999E-4</v>
      </c>
      <c r="D217" s="234">
        <v>1.8809999999999999E-4</v>
      </c>
      <c r="E217" s="188">
        <v>408992</v>
      </c>
      <c r="F217" s="188" t="s">
        <v>1924</v>
      </c>
      <c r="G217" s="232">
        <v>63098</v>
      </c>
      <c r="H217" s="220">
        <v>56142</v>
      </c>
      <c r="I217" s="232">
        <v>108531</v>
      </c>
      <c r="J217" s="231">
        <v>547</v>
      </c>
      <c r="K217" s="88">
        <f t="shared" si="6"/>
        <v>228318</v>
      </c>
      <c r="L217" s="50"/>
      <c r="M217" s="232">
        <v>2117</v>
      </c>
      <c r="N217" s="232">
        <v>0</v>
      </c>
      <c r="O217" s="231">
        <v>19072</v>
      </c>
      <c r="P217" s="88">
        <f t="shared" si="7"/>
        <v>21189</v>
      </c>
      <c r="Q217" s="50"/>
      <c r="R217" s="232">
        <v>113607</v>
      </c>
      <c r="S217" s="231">
        <v>-8757</v>
      </c>
      <c r="T217" s="233">
        <v>104850</v>
      </c>
    </row>
    <row r="218" spans="1:20">
      <c r="A218" s="48">
        <v>92111</v>
      </c>
      <c r="B218" s="49" t="s">
        <v>2210</v>
      </c>
      <c r="C218" s="234">
        <v>5.2209999999999995E-4</v>
      </c>
      <c r="D218" s="234">
        <v>5.0460000000000001E-4</v>
      </c>
      <c r="E218" s="188">
        <v>1238600</v>
      </c>
      <c r="F218" s="188" t="s">
        <v>1924</v>
      </c>
      <c r="G218" s="232">
        <v>191087</v>
      </c>
      <c r="H218" s="220">
        <v>170023</v>
      </c>
      <c r="I218" s="232">
        <v>328677</v>
      </c>
      <c r="J218" s="231">
        <v>4892</v>
      </c>
      <c r="K218" s="88">
        <f t="shared" si="6"/>
        <v>694679</v>
      </c>
      <c r="L218" s="50"/>
      <c r="M218" s="232">
        <v>6412</v>
      </c>
      <c r="N218" s="232">
        <v>0</v>
      </c>
      <c r="O218" s="231">
        <v>8630</v>
      </c>
      <c r="P218" s="88">
        <f t="shared" si="7"/>
        <v>15042</v>
      </c>
      <c r="Q218" s="50"/>
      <c r="R218" s="232">
        <v>344050</v>
      </c>
      <c r="S218" s="231">
        <v>2737</v>
      </c>
      <c r="T218" s="233">
        <v>346787</v>
      </c>
    </row>
    <row r="219" spans="1:20">
      <c r="A219" s="48">
        <v>92113</v>
      </c>
      <c r="B219" s="49" t="s">
        <v>2753</v>
      </c>
      <c r="C219" s="234">
        <v>1.56E-5</v>
      </c>
      <c r="D219" s="234">
        <v>1.4399999999999999E-5</v>
      </c>
      <c r="E219" s="193">
        <v>37009</v>
      </c>
      <c r="F219" s="193" t="s">
        <v>1924</v>
      </c>
      <c r="G219" s="232">
        <v>5710</v>
      </c>
      <c r="H219" s="220">
        <v>5080</v>
      </c>
      <c r="I219" s="232">
        <v>9821</v>
      </c>
      <c r="J219" s="231">
        <v>14622</v>
      </c>
      <c r="K219" s="88">
        <f t="shared" si="6"/>
        <v>35233</v>
      </c>
      <c r="L219" s="50"/>
      <c r="M219" s="232">
        <v>192</v>
      </c>
      <c r="N219" s="232">
        <v>0</v>
      </c>
      <c r="O219" s="231">
        <v>1633</v>
      </c>
      <c r="P219" s="88">
        <f t="shared" si="7"/>
        <v>1825</v>
      </c>
      <c r="Q219" s="50"/>
      <c r="R219" s="232">
        <v>10280</v>
      </c>
      <c r="S219" s="231">
        <v>8352</v>
      </c>
      <c r="T219" s="233">
        <v>18632</v>
      </c>
    </row>
    <row r="220" spans="1:20">
      <c r="A220" s="48">
        <v>92201</v>
      </c>
      <c r="B220" s="49" t="s">
        <v>928</v>
      </c>
      <c r="C220" s="234">
        <v>9.1100000000000003E-4</v>
      </c>
      <c r="D220" s="234">
        <v>9.3389999999999999E-4</v>
      </c>
      <c r="E220" s="193">
        <v>2161204</v>
      </c>
      <c r="F220" s="193" t="s">
        <v>1924</v>
      </c>
      <c r="G220" s="232">
        <v>333422</v>
      </c>
      <c r="H220" s="220">
        <v>296669</v>
      </c>
      <c r="I220" s="232">
        <v>573500</v>
      </c>
      <c r="J220" s="231">
        <v>13246</v>
      </c>
      <c r="K220" s="88">
        <f t="shared" si="6"/>
        <v>1216837</v>
      </c>
      <c r="L220" s="50"/>
      <c r="M220" s="232">
        <v>11188</v>
      </c>
      <c r="N220" s="232">
        <v>0</v>
      </c>
      <c r="O220" s="231">
        <v>32516</v>
      </c>
      <c r="P220" s="88">
        <f t="shared" si="7"/>
        <v>43704</v>
      </c>
      <c r="Q220" s="50"/>
      <c r="R220" s="232">
        <v>600324</v>
      </c>
      <c r="S220" s="231">
        <v>12990</v>
      </c>
      <c r="T220" s="233">
        <v>613314</v>
      </c>
    </row>
    <row r="221" spans="1:20" s="190" customFormat="1">
      <c r="A221" s="192">
        <v>92214</v>
      </c>
      <c r="B221" s="191" t="s">
        <v>1925</v>
      </c>
      <c r="C221" s="234">
        <v>1.9000000000000001E-5</v>
      </c>
      <c r="D221" s="234">
        <v>0</v>
      </c>
      <c r="E221" s="193">
        <v>45074</v>
      </c>
      <c r="F221" s="193" t="s">
        <v>1924</v>
      </c>
      <c r="G221" s="232">
        <v>6954</v>
      </c>
      <c r="H221" s="220">
        <v>6187</v>
      </c>
      <c r="I221" s="232">
        <v>11961</v>
      </c>
      <c r="J221" s="231">
        <v>14011</v>
      </c>
      <c r="K221" s="88">
        <f t="shared" si="6"/>
        <v>39113</v>
      </c>
      <c r="L221" s="189"/>
      <c r="M221" s="232">
        <v>233</v>
      </c>
      <c r="N221" s="232">
        <v>0</v>
      </c>
      <c r="O221" s="231">
        <v>0</v>
      </c>
      <c r="P221" s="88">
        <f t="shared" si="7"/>
        <v>233</v>
      </c>
      <c r="Q221" s="189"/>
      <c r="R221" s="232">
        <v>12520</v>
      </c>
      <c r="S221" s="231">
        <v>3503</v>
      </c>
      <c r="T221" s="233">
        <v>16023</v>
      </c>
    </row>
    <row r="222" spans="1:20">
      <c r="A222" s="48">
        <v>92301</v>
      </c>
      <c r="B222" s="49" t="s">
        <v>929</v>
      </c>
      <c r="C222" s="234">
        <v>5.1875999999999997E-3</v>
      </c>
      <c r="D222" s="234">
        <v>5.2129999999999998E-3</v>
      </c>
      <c r="E222" s="193">
        <v>12306761</v>
      </c>
      <c r="F222" s="193" t="s">
        <v>1924</v>
      </c>
      <c r="G222" s="232">
        <v>1898641</v>
      </c>
      <c r="H222" s="220">
        <v>1689353</v>
      </c>
      <c r="I222" s="232">
        <v>3265739</v>
      </c>
      <c r="J222" s="231">
        <v>65564</v>
      </c>
      <c r="K222" s="88">
        <f t="shared" si="6"/>
        <v>6919297</v>
      </c>
      <c r="L222" s="50"/>
      <c r="M222" s="232">
        <v>63709</v>
      </c>
      <c r="N222" s="232">
        <v>0</v>
      </c>
      <c r="O222" s="231">
        <v>24051</v>
      </c>
      <c r="P222" s="88">
        <f t="shared" si="7"/>
        <v>87760</v>
      </c>
      <c r="Q222" s="50"/>
      <c r="R222" s="232">
        <v>3418488</v>
      </c>
      <c r="S222" s="231">
        <v>16356</v>
      </c>
      <c r="T222" s="233">
        <v>3434844</v>
      </c>
    </row>
    <row r="223" spans="1:20">
      <c r="A223" s="48">
        <v>92302</v>
      </c>
      <c r="B223" s="49" t="s">
        <v>930</v>
      </c>
      <c r="C223" s="234">
        <v>3.2410000000000002E-4</v>
      </c>
      <c r="D223" s="234">
        <v>2.9740000000000002E-4</v>
      </c>
      <c r="E223" s="193">
        <v>768876</v>
      </c>
      <c r="F223" s="193" t="s">
        <v>1924</v>
      </c>
      <c r="G223" s="232">
        <v>118619</v>
      </c>
      <c r="H223" s="220">
        <v>105543</v>
      </c>
      <c r="I223" s="232">
        <v>204030</v>
      </c>
      <c r="J223" s="231">
        <v>6461</v>
      </c>
      <c r="K223" s="88">
        <f t="shared" si="6"/>
        <v>434653</v>
      </c>
      <c r="L223" s="50"/>
      <c r="M223" s="232">
        <v>3980</v>
      </c>
      <c r="N223" s="232">
        <v>0</v>
      </c>
      <c r="O223" s="231">
        <v>18923</v>
      </c>
      <c r="P223" s="88">
        <f t="shared" si="7"/>
        <v>22903</v>
      </c>
      <c r="Q223" s="50"/>
      <c r="R223" s="232">
        <v>213573</v>
      </c>
      <c r="S223" s="231">
        <v>-8101</v>
      </c>
      <c r="T223" s="233">
        <v>205472</v>
      </c>
    </row>
    <row r="224" spans="1:20">
      <c r="A224" s="48">
        <v>92311</v>
      </c>
      <c r="B224" s="49" t="s">
        <v>931</v>
      </c>
      <c r="C224" s="234">
        <v>2.2258999999999998E-3</v>
      </c>
      <c r="D224" s="234">
        <v>2.2504999999999999E-3</v>
      </c>
      <c r="E224" s="193">
        <v>5280596</v>
      </c>
      <c r="F224" s="193" t="s">
        <v>1924</v>
      </c>
      <c r="G224" s="232">
        <v>814670</v>
      </c>
      <c r="H224" s="220">
        <v>724869</v>
      </c>
      <c r="I224" s="232">
        <v>1401266</v>
      </c>
      <c r="J224" s="231">
        <v>6268</v>
      </c>
      <c r="K224" s="88">
        <f t="shared" si="6"/>
        <v>2947073</v>
      </c>
      <c r="L224" s="50"/>
      <c r="M224" s="232">
        <v>27336</v>
      </c>
      <c r="N224" s="232">
        <v>0</v>
      </c>
      <c r="O224" s="231">
        <v>77605</v>
      </c>
      <c r="P224" s="88">
        <f t="shared" si="7"/>
        <v>104941</v>
      </c>
      <c r="Q224" s="50"/>
      <c r="R224" s="232">
        <v>1466808</v>
      </c>
      <c r="S224" s="231">
        <v>-51715</v>
      </c>
      <c r="T224" s="233">
        <v>1415093</v>
      </c>
    </row>
    <row r="225" spans="1:20">
      <c r="A225" s="48">
        <v>92317</v>
      </c>
      <c r="B225" s="49" t="s">
        <v>932</v>
      </c>
      <c r="C225" s="234">
        <v>2.1800000000000001E-5</v>
      </c>
      <c r="D225" s="234">
        <v>2.94E-5</v>
      </c>
      <c r="E225" s="193">
        <v>51717</v>
      </c>
      <c r="F225" s="193" t="s">
        <v>1924</v>
      </c>
      <c r="G225" s="232">
        <v>7979</v>
      </c>
      <c r="H225" s="220">
        <v>7099</v>
      </c>
      <c r="I225" s="232">
        <v>13724</v>
      </c>
      <c r="J225" s="231">
        <v>13785</v>
      </c>
      <c r="K225" s="88">
        <f t="shared" si="6"/>
        <v>42587</v>
      </c>
      <c r="L225" s="50"/>
      <c r="M225" s="232">
        <v>268</v>
      </c>
      <c r="N225" s="232">
        <v>0</v>
      </c>
      <c r="O225" s="231">
        <v>0</v>
      </c>
      <c r="P225" s="88">
        <f t="shared" si="7"/>
        <v>268</v>
      </c>
      <c r="Q225" s="50"/>
      <c r="R225" s="232">
        <v>14366</v>
      </c>
      <c r="S225" s="231">
        <v>7302</v>
      </c>
      <c r="T225" s="233">
        <v>21668</v>
      </c>
    </row>
    <row r="226" spans="1:20">
      <c r="A226" s="48">
        <v>92321</v>
      </c>
      <c r="B226" s="49" t="s">
        <v>933</v>
      </c>
      <c r="C226" s="234">
        <v>1.2386000000000001E-3</v>
      </c>
      <c r="D226" s="234">
        <v>1.1773E-3</v>
      </c>
      <c r="E226" s="193">
        <v>2938383</v>
      </c>
      <c r="F226" s="193" t="s">
        <v>1924</v>
      </c>
      <c r="G226" s="232">
        <v>453323</v>
      </c>
      <c r="H226" s="220">
        <v>403353</v>
      </c>
      <c r="I226" s="232">
        <v>779733</v>
      </c>
      <c r="J226" s="231">
        <v>50947</v>
      </c>
      <c r="K226" s="88">
        <f t="shared" si="6"/>
        <v>1687356</v>
      </c>
      <c r="L226" s="50"/>
      <c r="M226" s="232">
        <v>15211</v>
      </c>
      <c r="N226" s="232">
        <v>0</v>
      </c>
      <c r="O226" s="231">
        <v>15403</v>
      </c>
      <c r="P226" s="88">
        <f t="shared" si="7"/>
        <v>30614</v>
      </c>
      <c r="Q226" s="50"/>
      <c r="R226" s="232">
        <v>816204</v>
      </c>
      <c r="S226" s="231">
        <v>30637</v>
      </c>
      <c r="T226" s="233">
        <v>846841</v>
      </c>
    </row>
    <row r="227" spans="1:20">
      <c r="A227" s="48">
        <v>92327</v>
      </c>
      <c r="B227" s="49" t="s">
        <v>934</v>
      </c>
      <c r="C227" s="234">
        <v>6.8000000000000001E-6</v>
      </c>
      <c r="D227" s="234">
        <v>5.6999999999999996E-6</v>
      </c>
      <c r="E227" s="193">
        <v>16132</v>
      </c>
      <c r="F227" s="193" t="s">
        <v>1924</v>
      </c>
      <c r="G227" s="232">
        <v>2489</v>
      </c>
      <c r="H227" s="220">
        <v>2215</v>
      </c>
      <c r="I227" s="232">
        <v>4281</v>
      </c>
      <c r="J227" s="231">
        <v>5548</v>
      </c>
      <c r="K227" s="88">
        <f t="shared" si="6"/>
        <v>14533</v>
      </c>
      <c r="L227" s="50"/>
      <c r="M227" s="232">
        <v>84</v>
      </c>
      <c r="N227" s="232">
        <v>0</v>
      </c>
      <c r="O227" s="231">
        <v>0</v>
      </c>
      <c r="P227" s="88">
        <f t="shared" si="7"/>
        <v>84</v>
      </c>
      <c r="Q227" s="50"/>
      <c r="R227" s="232">
        <v>4481</v>
      </c>
      <c r="S227" s="231">
        <v>2080</v>
      </c>
      <c r="T227" s="233">
        <v>6561</v>
      </c>
    </row>
    <row r="228" spans="1:20">
      <c r="A228" s="48">
        <v>92331</v>
      </c>
      <c r="B228" s="49" t="s">
        <v>2211</v>
      </c>
      <c r="C228" s="234">
        <v>1.315E-4</v>
      </c>
      <c r="D228" s="234">
        <v>1.3970000000000001E-4</v>
      </c>
      <c r="E228" s="193">
        <v>311963</v>
      </c>
      <c r="F228" s="193" t="s">
        <v>1924</v>
      </c>
      <c r="G228" s="232">
        <v>48128</v>
      </c>
      <c r="H228" s="220">
        <v>42823</v>
      </c>
      <c r="I228" s="232">
        <v>82783</v>
      </c>
      <c r="J228" s="231">
        <v>427</v>
      </c>
      <c r="K228" s="88">
        <f t="shared" si="6"/>
        <v>174161</v>
      </c>
      <c r="L228" s="50"/>
      <c r="M228" s="232">
        <v>1615</v>
      </c>
      <c r="N228" s="232">
        <v>0</v>
      </c>
      <c r="O228" s="231">
        <v>9509</v>
      </c>
      <c r="P228" s="88">
        <f t="shared" si="7"/>
        <v>11124</v>
      </c>
      <c r="Q228" s="50"/>
      <c r="R228" s="232">
        <v>86655</v>
      </c>
      <c r="S228" s="231">
        <v>-1856</v>
      </c>
      <c r="T228" s="233">
        <v>84799</v>
      </c>
    </row>
    <row r="229" spans="1:20">
      <c r="A229" s="48">
        <v>92341</v>
      </c>
      <c r="B229" s="49" t="s">
        <v>2212</v>
      </c>
      <c r="C229" s="234">
        <v>9.2E-6</v>
      </c>
      <c r="D229" s="234">
        <v>9.7999999999999993E-6</v>
      </c>
      <c r="E229" s="193">
        <v>21826</v>
      </c>
      <c r="F229" s="193" t="s">
        <v>1924</v>
      </c>
      <c r="G229" s="232">
        <v>3367</v>
      </c>
      <c r="H229" s="220">
        <v>2996</v>
      </c>
      <c r="I229" s="232">
        <v>5792</v>
      </c>
      <c r="J229" s="231">
        <v>297</v>
      </c>
      <c r="K229" s="88">
        <f t="shared" si="6"/>
        <v>12452</v>
      </c>
      <c r="L229" s="50"/>
      <c r="M229" s="232">
        <v>113</v>
      </c>
      <c r="N229" s="232">
        <v>0</v>
      </c>
      <c r="O229" s="231">
        <v>2308</v>
      </c>
      <c r="P229" s="88">
        <f t="shared" si="7"/>
        <v>2421</v>
      </c>
      <c r="Q229" s="50"/>
      <c r="R229" s="232">
        <v>6063</v>
      </c>
      <c r="S229" s="231">
        <v>-1214</v>
      </c>
      <c r="T229" s="233">
        <v>4849</v>
      </c>
    </row>
    <row r="230" spans="1:20">
      <c r="A230" s="48">
        <v>92351</v>
      </c>
      <c r="B230" s="49" t="s">
        <v>2213</v>
      </c>
      <c r="C230" s="234">
        <v>1.9400000000000001E-5</v>
      </c>
      <c r="D230" s="234">
        <v>1.8600000000000001E-5</v>
      </c>
      <c r="E230" s="193">
        <v>46023</v>
      </c>
      <c r="F230" s="193" t="s">
        <v>1924</v>
      </c>
      <c r="G230" s="232">
        <v>7100</v>
      </c>
      <c r="H230" s="220">
        <v>6317</v>
      </c>
      <c r="I230" s="232">
        <v>12213</v>
      </c>
      <c r="J230" s="231">
        <v>3336</v>
      </c>
      <c r="K230" s="88">
        <f t="shared" si="6"/>
        <v>28966</v>
      </c>
      <c r="L230" s="50"/>
      <c r="M230" s="232">
        <v>238</v>
      </c>
      <c r="N230" s="232">
        <v>0</v>
      </c>
      <c r="O230" s="231">
        <v>2532</v>
      </c>
      <c r="P230" s="88">
        <f t="shared" si="7"/>
        <v>2770</v>
      </c>
      <c r="Q230" s="50"/>
      <c r="R230" s="232">
        <v>12784</v>
      </c>
      <c r="S230" s="231">
        <v>-213</v>
      </c>
      <c r="T230" s="233">
        <v>12571</v>
      </c>
    </row>
    <row r="231" spans="1:20">
      <c r="A231" s="48">
        <v>92401</v>
      </c>
      <c r="B231" s="49" t="s">
        <v>938</v>
      </c>
      <c r="C231" s="234">
        <v>2.4808E-3</v>
      </c>
      <c r="D231" s="234">
        <v>2.6890999999999998E-3</v>
      </c>
      <c r="E231" s="193">
        <v>5885306</v>
      </c>
      <c r="F231" s="193" t="s">
        <v>1924</v>
      </c>
      <c r="G231" s="232">
        <v>907963</v>
      </c>
      <c r="H231" s="220">
        <v>807877</v>
      </c>
      <c r="I231" s="232">
        <v>1561733</v>
      </c>
      <c r="J231" s="231">
        <v>14194</v>
      </c>
      <c r="K231" s="88">
        <f t="shared" si="6"/>
        <v>3291767</v>
      </c>
      <c r="L231" s="50"/>
      <c r="M231" s="232">
        <v>30467</v>
      </c>
      <c r="N231" s="232">
        <v>0</v>
      </c>
      <c r="O231" s="231">
        <v>55822</v>
      </c>
      <c r="P231" s="88">
        <f t="shared" si="7"/>
        <v>86289</v>
      </c>
      <c r="Q231" s="50"/>
      <c r="R231" s="232">
        <v>1634780</v>
      </c>
      <c r="S231" s="231">
        <v>5281</v>
      </c>
      <c r="T231" s="233">
        <v>1640061</v>
      </c>
    </row>
    <row r="232" spans="1:20">
      <c r="A232" s="48">
        <v>92403</v>
      </c>
      <c r="B232" s="49" t="s">
        <v>939</v>
      </c>
      <c r="C232" s="234">
        <v>1.0200000000000001E-5</v>
      </c>
      <c r="D232" s="234">
        <v>1.11E-5</v>
      </c>
      <c r="E232" s="193">
        <v>24198</v>
      </c>
      <c r="F232" s="193" t="s">
        <v>1924</v>
      </c>
      <c r="G232" s="232">
        <v>3733</v>
      </c>
      <c r="H232" s="220">
        <v>3321</v>
      </c>
      <c r="I232" s="232">
        <v>6421</v>
      </c>
      <c r="J232" s="231">
        <v>1611</v>
      </c>
      <c r="K232" s="88">
        <f t="shared" si="6"/>
        <v>15086</v>
      </c>
      <c r="L232" s="50"/>
      <c r="M232" s="232">
        <v>125</v>
      </c>
      <c r="N232" s="232">
        <v>0</v>
      </c>
      <c r="O232" s="231">
        <v>851</v>
      </c>
      <c r="P232" s="88">
        <f t="shared" si="7"/>
        <v>976</v>
      </c>
      <c r="Q232" s="50"/>
      <c r="R232" s="232">
        <v>6722</v>
      </c>
      <c r="S232" s="231">
        <v>220</v>
      </c>
      <c r="T232" s="233">
        <v>6942</v>
      </c>
    </row>
    <row r="233" spans="1:20">
      <c r="A233" s="48">
        <v>92411</v>
      </c>
      <c r="B233" s="49" t="s">
        <v>940</v>
      </c>
      <c r="C233" s="234">
        <v>4.4569999999999999E-4</v>
      </c>
      <c r="D233" s="234">
        <v>5.0469999999999996E-4</v>
      </c>
      <c r="E233" s="193">
        <v>1057353</v>
      </c>
      <c r="F233" s="193" t="s">
        <v>1924</v>
      </c>
      <c r="G233" s="232">
        <v>163124</v>
      </c>
      <c r="H233" s="220">
        <v>145143</v>
      </c>
      <c r="I233" s="232">
        <v>280581</v>
      </c>
      <c r="J233" s="231">
        <v>165</v>
      </c>
      <c r="K233" s="88">
        <f t="shared" si="6"/>
        <v>589013</v>
      </c>
      <c r="L233" s="50"/>
      <c r="M233" s="232">
        <v>5474</v>
      </c>
      <c r="N233" s="232">
        <v>0</v>
      </c>
      <c r="O233" s="231">
        <v>72580</v>
      </c>
      <c r="P233" s="88">
        <f t="shared" si="7"/>
        <v>78054</v>
      </c>
      <c r="Q233" s="50"/>
      <c r="R233" s="232">
        <v>293704</v>
      </c>
      <c r="S233" s="231">
        <v>-29467</v>
      </c>
      <c r="T233" s="233">
        <v>264237</v>
      </c>
    </row>
    <row r="234" spans="1:20">
      <c r="A234" s="48">
        <v>92414</v>
      </c>
      <c r="B234" s="49" t="s">
        <v>2214</v>
      </c>
      <c r="C234" s="234">
        <v>0</v>
      </c>
      <c r="D234" s="234">
        <v>0</v>
      </c>
      <c r="E234" s="193">
        <v>0</v>
      </c>
      <c r="F234" s="193" t="s">
        <v>1924</v>
      </c>
      <c r="G234" s="232">
        <v>0</v>
      </c>
      <c r="H234" s="220">
        <v>0</v>
      </c>
      <c r="I234" s="232">
        <v>0</v>
      </c>
      <c r="J234" s="231">
        <v>0</v>
      </c>
      <c r="K234" s="88">
        <f t="shared" si="6"/>
        <v>0</v>
      </c>
      <c r="L234" s="50"/>
      <c r="M234" s="232">
        <v>0</v>
      </c>
      <c r="N234" s="232">
        <v>0</v>
      </c>
      <c r="O234" s="231">
        <v>3269</v>
      </c>
      <c r="P234" s="88">
        <f t="shared" si="7"/>
        <v>3269</v>
      </c>
      <c r="Q234" s="50"/>
      <c r="R234" s="232">
        <v>0</v>
      </c>
      <c r="S234" s="231">
        <v>-2443</v>
      </c>
      <c r="T234" s="233">
        <v>-2443</v>
      </c>
    </row>
    <row r="235" spans="1:20">
      <c r="A235" s="48">
        <v>92417</v>
      </c>
      <c r="B235" s="49" t="s">
        <v>941</v>
      </c>
      <c r="C235" s="234">
        <v>1.8600000000000001E-5</v>
      </c>
      <c r="D235" s="234">
        <v>1.8300000000000001E-5</v>
      </c>
      <c r="E235" s="193">
        <v>44126</v>
      </c>
      <c r="F235" s="193" t="s">
        <v>1924</v>
      </c>
      <c r="G235" s="232">
        <v>6808</v>
      </c>
      <c r="H235" s="220">
        <v>6058</v>
      </c>
      <c r="I235" s="232">
        <v>11709</v>
      </c>
      <c r="J235" s="231">
        <v>0</v>
      </c>
      <c r="K235" s="88">
        <f t="shared" si="6"/>
        <v>24575</v>
      </c>
      <c r="L235" s="50"/>
      <c r="M235" s="232">
        <v>228</v>
      </c>
      <c r="N235" s="232">
        <v>0</v>
      </c>
      <c r="O235" s="231">
        <v>3682</v>
      </c>
      <c r="P235" s="88">
        <f t="shared" si="7"/>
        <v>3910</v>
      </c>
      <c r="Q235" s="50"/>
      <c r="R235" s="232">
        <v>12257</v>
      </c>
      <c r="S235" s="231">
        <v>-1356</v>
      </c>
      <c r="T235" s="233">
        <v>10901</v>
      </c>
    </row>
    <row r="236" spans="1:20">
      <c r="A236" s="48">
        <v>92421</v>
      </c>
      <c r="B236" s="49" t="s">
        <v>2215</v>
      </c>
      <c r="C236" s="234">
        <v>8.6999999999999997E-6</v>
      </c>
      <c r="D236" s="234">
        <v>8.8000000000000004E-6</v>
      </c>
      <c r="E236" s="193">
        <v>20639</v>
      </c>
      <c r="F236" s="193" t="s">
        <v>1924</v>
      </c>
      <c r="G236" s="232">
        <v>3184</v>
      </c>
      <c r="H236" s="220">
        <v>2833</v>
      </c>
      <c r="I236" s="232">
        <v>5477</v>
      </c>
      <c r="J236" s="231">
        <v>6193</v>
      </c>
      <c r="K236" s="88">
        <f t="shared" si="6"/>
        <v>17687</v>
      </c>
      <c r="L236" s="50"/>
      <c r="M236" s="232">
        <v>107</v>
      </c>
      <c r="N236" s="232">
        <v>0</v>
      </c>
      <c r="O236" s="231">
        <v>746</v>
      </c>
      <c r="P236" s="88">
        <f t="shared" si="7"/>
        <v>853</v>
      </c>
      <c r="Q236" s="50"/>
      <c r="R236" s="232">
        <v>5733</v>
      </c>
      <c r="S236" s="231">
        <v>1925</v>
      </c>
      <c r="T236" s="233">
        <v>7658</v>
      </c>
    </row>
    <row r="237" spans="1:20">
      <c r="A237" s="48">
        <v>92427</v>
      </c>
      <c r="B237" s="49" t="s">
        <v>943</v>
      </c>
      <c r="C237" s="234">
        <v>1.9999999999999999E-6</v>
      </c>
      <c r="D237" s="234">
        <v>3.9999999999999998E-7</v>
      </c>
      <c r="E237" s="193">
        <v>4745</v>
      </c>
      <c r="F237" s="193" t="s">
        <v>1924</v>
      </c>
      <c r="G237" s="232">
        <v>732</v>
      </c>
      <c r="H237" s="220">
        <v>651</v>
      </c>
      <c r="I237" s="232">
        <v>1259</v>
      </c>
      <c r="J237" s="231">
        <v>2874</v>
      </c>
      <c r="K237" s="88">
        <f t="shared" si="6"/>
        <v>5516</v>
      </c>
      <c r="L237" s="50"/>
      <c r="M237" s="232">
        <v>25</v>
      </c>
      <c r="N237" s="232">
        <v>0</v>
      </c>
      <c r="O237" s="231">
        <v>0</v>
      </c>
      <c r="P237" s="88">
        <f t="shared" si="7"/>
        <v>25</v>
      </c>
      <c r="Q237" s="50"/>
      <c r="R237" s="232">
        <v>1318</v>
      </c>
      <c r="S237" s="231">
        <v>1269</v>
      </c>
      <c r="T237" s="233">
        <v>2587</v>
      </c>
    </row>
    <row r="238" spans="1:20">
      <c r="A238" s="48">
        <v>92431</v>
      </c>
      <c r="B238" s="49" t="s">
        <v>2216</v>
      </c>
      <c r="C238" s="234">
        <v>2.1999999999999999E-5</v>
      </c>
      <c r="D238" s="234">
        <v>3.0800000000000003E-5</v>
      </c>
      <c r="E238" s="193">
        <v>52192</v>
      </c>
      <c r="F238" s="193" t="s">
        <v>1924</v>
      </c>
      <c r="G238" s="232">
        <v>8052</v>
      </c>
      <c r="H238" s="220">
        <v>7164</v>
      </c>
      <c r="I238" s="232">
        <v>13850</v>
      </c>
      <c r="J238" s="231">
        <v>12947</v>
      </c>
      <c r="K238" s="88">
        <f t="shared" si="6"/>
        <v>42013</v>
      </c>
      <c r="L238" s="50"/>
      <c r="M238" s="232">
        <v>270</v>
      </c>
      <c r="N238" s="232">
        <v>0</v>
      </c>
      <c r="O238" s="231">
        <v>3712</v>
      </c>
      <c r="P238" s="88">
        <f t="shared" si="7"/>
        <v>3982</v>
      </c>
      <c r="Q238" s="50"/>
      <c r="R238" s="232">
        <v>14497</v>
      </c>
      <c r="S238" s="231">
        <v>3732</v>
      </c>
      <c r="T238" s="233">
        <v>18229</v>
      </c>
    </row>
    <row r="239" spans="1:20">
      <c r="A239" s="48">
        <v>92441</v>
      </c>
      <c r="B239" s="49" t="s">
        <v>2217</v>
      </c>
      <c r="C239" s="234">
        <v>1.002E-4</v>
      </c>
      <c r="D239" s="234">
        <v>7.7999999999999999E-5</v>
      </c>
      <c r="E239" s="193">
        <v>237709</v>
      </c>
      <c r="F239" s="193" t="s">
        <v>1924</v>
      </c>
      <c r="G239" s="232">
        <v>36673</v>
      </c>
      <c r="H239" s="220">
        <v>32630</v>
      </c>
      <c r="I239" s="232">
        <v>63079</v>
      </c>
      <c r="J239" s="231">
        <v>15338</v>
      </c>
      <c r="K239" s="88">
        <f t="shared" si="6"/>
        <v>147720</v>
      </c>
      <c r="L239" s="50"/>
      <c r="M239" s="232">
        <v>1231</v>
      </c>
      <c r="N239" s="232">
        <v>0</v>
      </c>
      <c r="O239" s="231">
        <v>8352</v>
      </c>
      <c r="P239" s="88">
        <f t="shared" si="7"/>
        <v>9583</v>
      </c>
      <c r="Q239" s="50"/>
      <c r="R239" s="232">
        <v>66029</v>
      </c>
      <c r="S239" s="231">
        <v>-3122</v>
      </c>
      <c r="T239" s="233">
        <v>62907</v>
      </c>
    </row>
    <row r="240" spans="1:20">
      <c r="A240" s="48">
        <v>92444</v>
      </c>
      <c r="B240" s="49" t="s">
        <v>946</v>
      </c>
      <c r="C240" s="234">
        <v>1.7E-6</v>
      </c>
      <c r="D240" s="234">
        <v>1.7999999999999999E-6</v>
      </c>
      <c r="E240" s="193">
        <v>4033</v>
      </c>
      <c r="F240" s="193" t="s">
        <v>1924</v>
      </c>
      <c r="G240" s="232">
        <v>622</v>
      </c>
      <c r="H240" s="220">
        <v>553</v>
      </c>
      <c r="I240" s="232">
        <v>1070</v>
      </c>
      <c r="J240" s="231">
        <v>3193</v>
      </c>
      <c r="K240" s="88">
        <f t="shared" si="6"/>
        <v>5438</v>
      </c>
      <c r="L240" s="50"/>
      <c r="M240" s="232">
        <v>21</v>
      </c>
      <c r="N240" s="232">
        <v>0</v>
      </c>
      <c r="O240" s="231">
        <v>0</v>
      </c>
      <c r="P240" s="88">
        <f t="shared" si="7"/>
        <v>21</v>
      </c>
      <c r="Q240" s="50"/>
      <c r="R240" s="232">
        <v>1120</v>
      </c>
      <c r="S240" s="231">
        <v>1642</v>
      </c>
      <c r="T240" s="233">
        <v>2762</v>
      </c>
    </row>
    <row r="241" spans="1:20">
      <c r="A241" s="48">
        <v>92451</v>
      </c>
      <c r="B241" s="49" t="s">
        <v>2218</v>
      </c>
      <c r="C241" s="234">
        <v>1.2650000000000001E-4</v>
      </c>
      <c r="D241" s="234">
        <v>1.3070000000000001E-4</v>
      </c>
      <c r="E241" s="193">
        <v>300101</v>
      </c>
      <c r="F241" s="193" t="s">
        <v>1924</v>
      </c>
      <c r="G241" s="232">
        <v>46298</v>
      </c>
      <c r="H241" s="220">
        <v>41195</v>
      </c>
      <c r="I241" s="232">
        <v>79635</v>
      </c>
      <c r="J241" s="231">
        <v>28275</v>
      </c>
      <c r="K241" s="88">
        <f t="shared" si="6"/>
        <v>195403</v>
      </c>
      <c r="L241" s="50"/>
      <c r="M241" s="232">
        <v>1554</v>
      </c>
      <c r="N241" s="232">
        <v>0</v>
      </c>
      <c r="O241" s="231">
        <v>0</v>
      </c>
      <c r="P241" s="88">
        <f t="shared" si="7"/>
        <v>1554</v>
      </c>
      <c r="Q241" s="50"/>
      <c r="R241" s="232">
        <v>83360</v>
      </c>
      <c r="S241" s="231">
        <v>15181</v>
      </c>
      <c r="T241" s="233">
        <v>98541</v>
      </c>
    </row>
    <row r="242" spans="1:20">
      <c r="A242" s="48">
        <v>92461</v>
      </c>
      <c r="B242" s="49" t="s">
        <v>2219</v>
      </c>
      <c r="C242" s="234">
        <v>6.7500000000000001E-5</v>
      </c>
      <c r="D242" s="234">
        <v>7.1099999999999994E-5</v>
      </c>
      <c r="E242" s="193">
        <v>160133</v>
      </c>
      <c r="F242" s="193" t="s">
        <v>1924</v>
      </c>
      <c r="G242" s="232">
        <v>24705</v>
      </c>
      <c r="H242" s="220">
        <v>21982</v>
      </c>
      <c r="I242" s="232">
        <v>42493</v>
      </c>
      <c r="J242" s="231">
        <v>14437</v>
      </c>
      <c r="K242" s="88">
        <f t="shared" si="6"/>
        <v>103617</v>
      </c>
      <c r="L242" s="50"/>
      <c r="M242" s="232">
        <v>829</v>
      </c>
      <c r="N242" s="232">
        <v>0</v>
      </c>
      <c r="O242" s="231">
        <v>2116</v>
      </c>
      <c r="P242" s="88">
        <f t="shared" si="7"/>
        <v>2945</v>
      </c>
      <c r="Q242" s="50"/>
      <c r="R242" s="232">
        <v>44481</v>
      </c>
      <c r="S242" s="231">
        <v>2527</v>
      </c>
      <c r="T242" s="233">
        <v>47008</v>
      </c>
    </row>
    <row r="243" spans="1:20">
      <c r="A243" s="48">
        <v>92501</v>
      </c>
      <c r="B243" s="49" t="s">
        <v>949</v>
      </c>
      <c r="C243" s="234">
        <v>3.7823000000000002E-3</v>
      </c>
      <c r="D243" s="234">
        <v>3.8252E-3</v>
      </c>
      <c r="E243" s="193">
        <v>8972909</v>
      </c>
      <c r="F243" s="193" t="s">
        <v>1924</v>
      </c>
      <c r="G243" s="232">
        <v>1384307</v>
      </c>
      <c r="H243" s="220">
        <v>1231713</v>
      </c>
      <c r="I243" s="232">
        <v>2381064</v>
      </c>
      <c r="J243" s="231">
        <v>177147</v>
      </c>
      <c r="K243" s="88">
        <f t="shared" si="6"/>
        <v>5174231</v>
      </c>
      <c r="L243" s="50"/>
      <c r="M243" s="232">
        <v>46450</v>
      </c>
      <c r="N243" s="232">
        <v>0</v>
      </c>
      <c r="O243" s="231">
        <v>4069</v>
      </c>
      <c r="P243" s="88">
        <f t="shared" si="7"/>
        <v>50519</v>
      </c>
      <c r="Q243" s="50"/>
      <c r="R243" s="232">
        <v>2492434</v>
      </c>
      <c r="S243" s="231">
        <v>67545</v>
      </c>
      <c r="T243" s="233">
        <v>2559979</v>
      </c>
    </row>
    <row r="244" spans="1:20">
      <c r="A244" s="48">
        <v>92502</v>
      </c>
      <c r="B244" s="49" t="s">
        <v>950</v>
      </c>
      <c r="C244" s="234">
        <v>2.5700000000000001E-5</v>
      </c>
      <c r="D244" s="234">
        <v>2.7500000000000001E-5</v>
      </c>
      <c r="E244" s="193">
        <v>60969</v>
      </c>
      <c r="F244" s="193" t="s">
        <v>1924</v>
      </c>
      <c r="G244" s="232">
        <v>9406</v>
      </c>
      <c r="H244" s="220">
        <v>8369</v>
      </c>
      <c r="I244" s="232">
        <v>16179</v>
      </c>
      <c r="J244" s="231">
        <v>3432</v>
      </c>
      <c r="K244" s="88">
        <f t="shared" si="6"/>
        <v>37386</v>
      </c>
      <c r="L244" s="50"/>
      <c r="M244" s="232">
        <v>316</v>
      </c>
      <c r="N244" s="232">
        <v>0</v>
      </c>
      <c r="O244" s="231">
        <v>803</v>
      </c>
      <c r="P244" s="88">
        <f t="shared" si="7"/>
        <v>1119</v>
      </c>
      <c r="Q244" s="50"/>
      <c r="R244" s="232">
        <v>16936</v>
      </c>
      <c r="S244" s="231">
        <v>200</v>
      </c>
      <c r="T244" s="233">
        <v>17136</v>
      </c>
    </row>
    <row r="245" spans="1:20">
      <c r="A245" s="48">
        <v>92504</v>
      </c>
      <c r="B245" s="49" t="s">
        <v>951</v>
      </c>
      <c r="C245" s="234">
        <v>7.86E-5</v>
      </c>
      <c r="D245" s="234">
        <v>8.4300000000000003E-5</v>
      </c>
      <c r="E245" s="193">
        <v>186466</v>
      </c>
      <c r="F245" s="193" t="s">
        <v>1924</v>
      </c>
      <c r="G245" s="232">
        <v>28767</v>
      </c>
      <c r="H245" s="220">
        <v>25596</v>
      </c>
      <c r="I245" s="232">
        <v>49481</v>
      </c>
      <c r="J245" s="231">
        <v>24679</v>
      </c>
      <c r="K245" s="88">
        <f t="shared" si="6"/>
        <v>128523</v>
      </c>
      <c r="L245" s="50"/>
      <c r="M245" s="232">
        <v>965</v>
      </c>
      <c r="N245" s="232">
        <v>0</v>
      </c>
      <c r="O245" s="231">
        <v>0</v>
      </c>
      <c r="P245" s="88">
        <f t="shared" si="7"/>
        <v>965</v>
      </c>
      <c r="Q245" s="50"/>
      <c r="R245" s="232">
        <v>51795</v>
      </c>
      <c r="S245" s="231">
        <v>11445</v>
      </c>
      <c r="T245" s="233">
        <v>63240</v>
      </c>
    </row>
    <row r="246" spans="1:20">
      <c r="A246" s="48">
        <v>92505</v>
      </c>
      <c r="B246" s="49" t="s">
        <v>952</v>
      </c>
      <c r="C246" s="234">
        <v>1.8330000000000001E-4</v>
      </c>
      <c r="D246" s="234">
        <v>1.9239999999999999E-4</v>
      </c>
      <c r="E246" s="193">
        <v>434850</v>
      </c>
      <c r="F246" s="193" t="s">
        <v>1924</v>
      </c>
      <c r="G246" s="232">
        <v>67087</v>
      </c>
      <c r="H246" s="220">
        <v>59692</v>
      </c>
      <c r="I246" s="232">
        <v>115392</v>
      </c>
      <c r="J246" s="231">
        <v>59838</v>
      </c>
      <c r="K246" s="88">
        <f t="shared" si="6"/>
        <v>302009</v>
      </c>
      <c r="L246" s="50"/>
      <c r="M246" s="232">
        <v>2251</v>
      </c>
      <c r="N246" s="232">
        <v>0</v>
      </c>
      <c r="O246" s="231">
        <v>0</v>
      </c>
      <c r="P246" s="88">
        <f t="shared" si="7"/>
        <v>2251</v>
      </c>
      <c r="Q246" s="50"/>
      <c r="R246" s="232">
        <v>120790</v>
      </c>
      <c r="S246" s="231">
        <v>29276</v>
      </c>
      <c r="T246" s="233">
        <v>150066</v>
      </c>
    </row>
    <row r="247" spans="1:20">
      <c r="A247" s="48">
        <v>92506</v>
      </c>
      <c r="B247" s="49" t="s">
        <v>953</v>
      </c>
      <c r="C247" s="234">
        <v>6.05E-5</v>
      </c>
      <c r="D247" s="234">
        <v>4.7500000000000003E-5</v>
      </c>
      <c r="E247" s="193">
        <v>143527</v>
      </c>
      <c r="F247" s="193" t="s">
        <v>1924</v>
      </c>
      <c r="G247" s="232">
        <v>22143</v>
      </c>
      <c r="H247" s="220">
        <v>19702</v>
      </c>
      <c r="I247" s="232">
        <v>38086</v>
      </c>
      <c r="J247" s="231">
        <v>23804</v>
      </c>
      <c r="K247" s="88">
        <f t="shared" si="6"/>
        <v>103735</v>
      </c>
      <c r="L247" s="50"/>
      <c r="M247" s="232">
        <v>743</v>
      </c>
      <c r="N247" s="232">
        <v>0</v>
      </c>
      <c r="O247" s="231">
        <v>0</v>
      </c>
      <c r="P247" s="88">
        <f t="shared" si="7"/>
        <v>743</v>
      </c>
      <c r="Q247" s="50"/>
      <c r="R247" s="232">
        <v>39868</v>
      </c>
      <c r="S247" s="231">
        <v>10713</v>
      </c>
      <c r="T247" s="233">
        <v>50581</v>
      </c>
    </row>
    <row r="248" spans="1:20">
      <c r="A248" s="48">
        <v>92507</v>
      </c>
      <c r="B248" s="49" t="s">
        <v>954</v>
      </c>
      <c r="C248" s="234">
        <v>9.2800000000000006E-5</v>
      </c>
      <c r="D248" s="234">
        <v>9.5699999999999995E-5</v>
      </c>
      <c r="E248" s="193">
        <v>220153</v>
      </c>
      <c r="F248" s="193" t="s">
        <v>1924</v>
      </c>
      <c r="G248" s="232">
        <v>33964</v>
      </c>
      <c r="H248" s="220">
        <v>30220</v>
      </c>
      <c r="I248" s="232">
        <v>58420</v>
      </c>
      <c r="J248" s="231">
        <v>7696</v>
      </c>
      <c r="K248" s="88">
        <f t="shared" si="6"/>
        <v>130300</v>
      </c>
      <c r="L248" s="50"/>
      <c r="M248" s="232">
        <v>1140</v>
      </c>
      <c r="N248" s="232">
        <v>0</v>
      </c>
      <c r="O248" s="231">
        <v>13640</v>
      </c>
      <c r="P248" s="88">
        <f t="shared" si="7"/>
        <v>14780</v>
      </c>
      <c r="Q248" s="50"/>
      <c r="R248" s="232">
        <v>61153</v>
      </c>
      <c r="S248" s="231">
        <v>-7333</v>
      </c>
      <c r="T248" s="233">
        <v>53820</v>
      </c>
    </row>
    <row r="249" spans="1:20">
      <c r="A249" s="48">
        <v>92508</v>
      </c>
      <c r="B249" s="49" t="s">
        <v>2754</v>
      </c>
      <c r="C249" s="234">
        <v>3.076E-4</v>
      </c>
      <c r="D249" s="234">
        <v>3.1E-4</v>
      </c>
      <c r="E249" s="193">
        <v>729732</v>
      </c>
      <c r="F249" s="193" t="s">
        <v>1924</v>
      </c>
      <c r="G249" s="232">
        <v>112580</v>
      </c>
      <c r="H249" s="220">
        <v>100171</v>
      </c>
      <c r="I249" s="232">
        <v>193643</v>
      </c>
      <c r="J249" s="231">
        <v>7720</v>
      </c>
      <c r="K249" s="88">
        <f t="shared" si="6"/>
        <v>414114</v>
      </c>
      <c r="L249" s="50"/>
      <c r="M249" s="232">
        <v>3778</v>
      </c>
      <c r="N249" s="232">
        <v>0</v>
      </c>
      <c r="O249" s="231">
        <v>915</v>
      </c>
      <c r="P249" s="88">
        <f t="shared" si="7"/>
        <v>4693</v>
      </c>
      <c r="Q249" s="50"/>
      <c r="R249" s="232">
        <v>202700</v>
      </c>
      <c r="S249" s="231">
        <v>4814</v>
      </c>
      <c r="T249" s="233">
        <v>207514</v>
      </c>
    </row>
    <row r="251" spans="1:20">
      <c r="A251" s="48">
        <v>92511</v>
      </c>
      <c r="B251" s="49" t="s">
        <v>956</v>
      </c>
      <c r="C251" s="234">
        <v>3.3249999999999998E-3</v>
      </c>
      <c r="D251" s="234">
        <v>3.3240000000000001E-3</v>
      </c>
      <c r="E251" s="193">
        <v>7888037</v>
      </c>
      <c r="F251" s="193" t="s">
        <v>1924</v>
      </c>
      <c r="G251" s="232">
        <v>1216937</v>
      </c>
      <c r="H251" s="220">
        <v>1082793</v>
      </c>
      <c r="I251" s="232">
        <v>2093181</v>
      </c>
      <c r="J251" s="231">
        <v>11784</v>
      </c>
      <c r="K251" s="88">
        <f t="shared" si="6"/>
        <v>4404695</v>
      </c>
      <c r="L251" s="50"/>
      <c r="M251" s="232">
        <v>40834</v>
      </c>
      <c r="N251" s="232">
        <v>0</v>
      </c>
      <c r="O251" s="231">
        <v>152525</v>
      </c>
      <c r="P251" s="88">
        <f t="shared" si="7"/>
        <v>193359</v>
      </c>
      <c r="Q251" s="50"/>
      <c r="R251" s="232">
        <v>2191085</v>
      </c>
      <c r="S251" s="231">
        <v>-70016</v>
      </c>
      <c r="T251" s="233">
        <v>2121069</v>
      </c>
    </row>
    <row r="252" spans="1:20" s="348" customFormat="1">
      <c r="A252" s="350" t="s">
        <v>3503</v>
      </c>
      <c r="B252" s="351" t="s">
        <v>1615</v>
      </c>
      <c r="C252" s="346">
        <v>0</v>
      </c>
      <c r="D252" s="346">
        <v>0</v>
      </c>
      <c r="E252" s="347">
        <v>0</v>
      </c>
      <c r="F252" s="347" t="s">
        <v>1924</v>
      </c>
      <c r="G252" s="352">
        <v>0</v>
      </c>
      <c r="H252" s="352">
        <v>0</v>
      </c>
      <c r="I252" s="352">
        <v>0</v>
      </c>
      <c r="J252" s="347">
        <v>25219</v>
      </c>
      <c r="K252" s="352">
        <f>G252+H252+I252+J252</f>
        <v>25219</v>
      </c>
      <c r="L252" s="347"/>
      <c r="M252" s="352">
        <v>0</v>
      </c>
      <c r="N252" s="352">
        <v>0</v>
      </c>
      <c r="O252" s="347">
        <v>448900</v>
      </c>
      <c r="P252" s="352">
        <f>M252+N252+O252</f>
        <v>448900</v>
      </c>
      <c r="Q252" s="347"/>
      <c r="R252" s="352">
        <v>0</v>
      </c>
      <c r="S252" s="347">
        <v>-104030</v>
      </c>
      <c r="T252" s="353">
        <v>-104030</v>
      </c>
    </row>
    <row r="253" spans="1:20" s="348" customFormat="1">
      <c r="A253" s="350" t="s">
        <v>3504</v>
      </c>
      <c r="B253" s="351" t="s">
        <v>1614</v>
      </c>
      <c r="C253" s="346">
        <v>0</v>
      </c>
      <c r="D253" s="346">
        <v>0</v>
      </c>
      <c r="E253" s="347">
        <v>0</v>
      </c>
      <c r="F253" s="347" t="s">
        <v>1924</v>
      </c>
      <c r="G253" s="352">
        <v>0</v>
      </c>
      <c r="H253" s="352">
        <v>0</v>
      </c>
      <c r="I253" s="352">
        <v>0</v>
      </c>
      <c r="J253" s="347">
        <v>8188</v>
      </c>
      <c r="K253" s="352">
        <f>G253+H253+I253+J253</f>
        <v>8188</v>
      </c>
      <c r="L253" s="347"/>
      <c r="M253" s="352">
        <v>0</v>
      </c>
      <c r="N253" s="352">
        <v>0</v>
      </c>
      <c r="O253" s="347">
        <v>564201</v>
      </c>
      <c r="P253" s="352">
        <f>M253+N253+O253</f>
        <v>564201</v>
      </c>
      <c r="Q253" s="347"/>
      <c r="R253" s="352">
        <v>0</v>
      </c>
      <c r="S253" s="347">
        <v>-224458</v>
      </c>
      <c r="T253" s="353">
        <v>-224458</v>
      </c>
    </row>
    <row r="254" spans="1:20" s="348" customFormat="1">
      <c r="A254" s="350" t="s">
        <v>3505</v>
      </c>
      <c r="B254" s="351" t="s">
        <v>957</v>
      </c>
      <c r="C254" s="346">
        <v>3.9129000000000004E-3</v>
      </c>
      <c r="D254" s="346">
        <v>4.0328999999999999E-3</v>
      </c>
      <c r="E254" s="347">
        <v>9282737</v>
      </c>
      <c r="F254" s="347" t="s">
        <v>1924</v>
      </c>
      <c r="G254" s="352">
        <v>1432106</v>
      </c>
      <c r="H254" s="352">
        <v>1274244</v>
      </c>
      <c r="I254" s="352">
        <v>2463280</v>
      </c>
      <c r="J254" s="347">
        <v>963519</v>
      </c>
      <c r="K254" s="352">
        <f t="shared" si="6"/>
        <v>6133149</v>
      </c>
      <c r="L254" s="347"/>
      <c r="M254" s="352">
        <v>48054</v>
      </c>
      <c r="N254" s="352">
        <v>0</v>
      </c>
      <c r="O254" s="347">
        <v>288340</v>
      </c>
      <c r="P254" s="352">
        <f t="shared" si="7"/>
        <v>336394</v>
      </c>
      <c r="Q254" s="347"/>
      <c r="R254" s="352">
        <v>2578495</v>
      </c>
      <c r="S254" s="347">
        <v>439276</v>
      </c>
      <c r="T254" s="353">
        <v>3017771</v>
      </c>
    </row>
    <row r="255" spans="1:20" s="225" customFormat="1">
      <c r="A255" s="226">
        <v>92513</v>
      </c>
      <c r="B255" s="227" t="s">
        <v>3506</v>
      </c>
      <c r="C255" s="234">
        <f>SUM(C252:C254)</f>
        <v>3.9129000000000004E-3</v>
      </c>
      <c r="D255" s="234">
        <f t="shared" ref="D255:K255" si="8">SUM(D252:D254)</f>
        <v>4.0328999999999999E-3</v>
      </c>
      <c r="E255" s="231">
        <f t="shared" si="8"/>
        <v>9282737</v>
      </c>
      <c r="F255" s="231"/>
      <c r="G255" s="232">
        <f t="shared" si="8"/>
        <v>1432106</v>
      </c>
      <c r="H255" s="220">
        <f t="shared" si="8"/>
        <v>1274244</v>
      </c>
      <c r="I255" s="232">
        <f t="shared" si="8"/>
        <v>2463280</v>
      </c>
      <c r="J255" s="231">
        <f t="shared" si="8"/>
        <v>996926</v>
      </c>
      <c r="K255" s="220">
        <f t="shared" si="8"/>
        <v>6166556</v>
      </c>
      <c r="L255" s="231"/>
      <c r="M255" s="232">
        <f t="shared" ref="M255" si="9">SUM(M252:M254)</f>
        <v>48054</v>
      </c>
      <c r="N255" s="232">
        <f t="shared" ref="N255" si="10">SUM(N252:N254)</f>
        <v>0</v>
      </c>
      <c r="O255" s="231">
        <f t="shared" ref="O255" si="11">SUM(O252:O254)</f>
        <v>1301441</v>
      </c>
      <c r="P255" s="220">
        <f t="shared" ref="P255" si="12">SUM(P252:P254)</f>
        <v>1349495</v>
      </c>
      <c r="Q255" s="231"/>
      <c r="R255" s="232">
        <f t="shared" ref="R255:S255" si="13">SUM(R252:R254)</f>
        <v>2578495</v>
      </c>
      <c r="S255" s="231">
        <f t="shared" si="13"/>
        <v>110788</v>
      </c>
      <c r="T255" s="233">
        <f t="shared" ref="T255" si="14">SUM(T252:T254)</f>
        <v>2689283</v>
      </c>
    </row>
    <row r="256" spans="1:20">
      <c r="A256" s="48">
        <v>92521</v>
      </c>
      <c r="B256" s="49" t="s">
        <v>2220</v>
      </c>
      <c r="C256" s="234">
        <v>8.6799999999999996E-5</v>
      </c>
      <c r="D256" s="234">
        <v>8.6899999999999998E-5</v>
      </c>
      <c r="E256" s="193">
        <v>205919</v>
      </c>
      <c r="F256" s="193" t="s">
        <v>1924</v>
      </c>
      <c r="G256" s="232">
        <v>31768</v>
      </c>
      <c r="H256" s="220">
        <v>28267</v>
      </c>
      <c r="I256" s="232">
        <v>54643</v>
      </c>
      <c r="J256" s="231">
        <v>1428</v>
      </c>
      <c r="K256" s="88">
        <f t="shared" si="6"/>
        <v>116106</v>
      </c>
      <c r="L256" s="50"/>
      <c r="M256" s="232">
        <v>1066</v>
      </c>
      <c r="N256" s="232">
        <v>0</v>
      </c>
      <c r="O256" s="231">
        <v>8085</v>
      </c>
      <c r="P256" s="88">
        <f t="shared" si="7"/>
        <v>9151</v>
      </c>
      <c r="Q256" s="50"/>
      <c r="R256" s="232">
        <v>57199</v>
      </c>
      <c r="S256" s="231">
        <v>-2979</v>
      </c>
      <c r="T256" s="233">
        <v>54220</v>
      </c>
    </row>
    <row r="257" spans="1:20">
      <c r="A257" s="48">
        <v>92531</v>
      </c>
      <c r="B257" s="49" t="s">
        <v>959</v>
      </c>
      <c r="C257" s="234">
        <v>8.4360000000000001E-4</v>
      </c>
      <c r="D257" s="234">
        <v>8.6490000000000004E-4</v>
      </c>
      <c r="E257" s="194">
        <v>2001308</v>
      </c>
      <c r="F257" s="194" t="s">
        <v>1924</v>
      </c>
      <c r="G257" s="232">
        <v>308754</v>
      </c>
      <c r="H257" s="220">
        <v>274720</v>
      </c>
      <c r="I257" s="232">
        <v>531070</v>
      </c>
      <c r="J257" s="231">
        <v>0</v>
      </c>
      <c r="K257" s="88">
        <f t="shared" si="6"/>
        <v>1114544</v>
      </c>
      <c r="L257" s="50"/>
      <c r="M257" s="232">
        <v>10360</v>
      </c>
      <c r="N257" s="232">
        <v>0</v>
      </c>
      <c r="O257" s="231">
        <v>111598</v>
      </c>
      <c r="P257" s="88">
        <f t="shared" si="7"/>
        <v>121958</v>
      </c>
      <c r="Q257" s="50"/>
      <c r="R257" s="232">
        <v>555910</v>
      </c>
      <c r="S257" s="231">
        <v>-73390</v>
      </c>
      <c r="T257" s="233">
        <v>482520</v>
      </c>
    </row>
    <row r="258" spans="1:20">
      <c r="A258" s="48">
        <v>92541</v>
      </c>
      <c r="B258" s="49" t="s">
        <v>2221</v>
      </c>
      <c r="C258" s="234">
        <v>1.2459999999999999E-4</v>
      </c>
      <c r="D258" s="234">
        <v>1.4469999999999999E-4</v>
      </c>
      <c r="E258" s="194">
        <v>295594</v>
      </c>
      <c r="F258" s="194" t="s">
        <v>1924</v>
      </c>
      <c r="G258" s="232">
        <v>45603</v>
      </c>
      <c r="H258" s="220">
        <v>40576</v>
      </c>
      <c r="I258" s="232">
        <v>78439</v>
      </c>
      <c r="J258" s="231">
        <v>2741</v>
      </c>
      <c r="K258" s="88">
        <f t="shared" si="6"/>
        <v>167359</v>
      </c>
      <c r="L258" s="50"/>
      <c r="M258" s="232">
        <v>1530</v>
      </c>
      <c r="N258" s="232">
        <v>0</v>
      </c>
      <c r="O258" s="231">
        <v>19775</v>
      </c>
      <c r="P258" s="88">
        <f t="shared" si="7"/>
        <v>21305</v>
      </c>
      <c r="Q258" s="50"/>
      <c r="R258" s="232">
        <v>82108</v>
      </c>
      <c r="S258" s="231">
        <v>-1772</v>
      </c>
      <c r="T258" s="233">
        <v>80336</v>
      </c>
    </row>
    <row r="259" spans="1:20">
      <c r="A259" s="48">
        <v>92551</v>
      </c>
      <c r="B259" s="49" t="s">
        <v>2222</v>
      </c>
      <c r="C259" s="234">
        <v>4.3399999999999998E-5</v>
      </c>
      <c r="D259" s="234">
        <v>5.3300000000000001E-5</v>
      </c>
      <c r="E259" s="194">
        <v>102960</v>
      </c>
      <c r="F259" s="194" t="s">
        <v>1924</v>
      </c>
      <c r="G259" s="232">
        <v>15884</v>
      </c>
      <c r="H259" s="220">
        <v>14134</v>
      </c>
      <c r="I259" s="232">
        <v>27322</v>
      </c>
      <c r="J259" s="231">
        <v>3097</v>
      </c>
      <c r="K259" s="88">
        <f t="shared" si="6"/>
        <v>60437</v>
      </c>
      <c r="L259" s="50"/>
      <c r="M259" s="232">
        <v>533</v>
      </c>
      <c r="N259" s="232">
        <v>0</v>
      </c>
      <c r="O259" s="231">
        <v>11920</v>
      </c>
      <c r="P259" s="88">
        <f t="shared" si="7"/>
        <v>12453</v>
      </c>
      <c r="Q259" s="50"/>
      <c r="R259" s="232">
        <v>28599</v>
      </c>
      <c r="S259" s="231">
        <v>-841</v>
      </c>
      <c r="T259" s="233">
        <v>27758</v>
      </c>
    </row>
    <row r="260" spans="1:20">
      <c r="A260" s="48">
        <v>92561</v>
      </c>
      <c r="B260" s="49" t="s">
        <v>2223</v>
      </c>
      <c r="C260" s="234">
        <v>2.1399999999999998E-5</v>
      </c>
      <c r="D260" s="234">
        <v>2.2200000000000001E-5</v>
      </c>
      <c r="E260" s="194">
        <v>50768</v>
      </c>
      <c r="F260" s="194" t="s">
        <v>1924</v>
      </c>
      <c r="G260" s="232">
        <v>7832</v>
      </c>
      <c r="H260" s="220">
        <v>6969</v>
      </c>
      <c r="I260" s="232">
        <v>13472</v>
      </c>
      <c r="J260" s="231">
        <v>2739</v>
      </c>
      <c r="K260" s="88">
        <f t="shared" si="6"/>
        <v>31012</v>
      </c>
      <c r="L260" s="50"/>
      <c r="M260" s="232">
        <v>263</v>
      </c>
      <c r="N260" s="232">
        <v>0</v>
      </c>
      <c r="O260" s="231">
        <v>135</v>
      </c>
      <c r="P260" s="88">
        <f t="shared" si="7"/>
        <v>398</v>
      </c>
      <c r="Q260" s="50"/>
      <c r="R260" s="232">
        <v>14102</v>
      </c>
      <c r="S260" s="231">
        <v>2596</v>
      </c>
      <c r="T260" s="233">
        <v>16698</v>
      </c>
    </row>
    <row r="261" spans="1:20">
      <c r="A261" s="48">
        <v>92571</v>
      </c>
      <c r="B261" s="49" t="s">
        <v>2224</v>
      </c>
      <c r="C261" s="234">
        <v>8.1000000000000004E-6</v>
      </c>
      <c r="D261" s="234">
        <v>1.01E-5</v>
      </c>
      <c r="E261" s="194">
        <v>19216</v>
      </c>
      <c r="F261" s="194" t="s">
        <v>1924</v>
      </c>
      <c r="G261" s="232">
        <v>2965</v>
      </c>
      <c r="H261" s="220">
        <v>2638</v>
      </c>
      <c r="I261" s="232">
        <v>5099</v>
      </c>
      <c r="J261" s="231">
        <v>7660</v>
      </c>
      <c r="K261" s="88">
        <f t="shared" si="6"/>
        <v>18362</v>
      </c>
      <c r="L261" s="50"/>
      <c r="M261" s="232">
        <v>99</v>
      </c>
      <c r="N261" s="232">
        <v>0</v>
      </c>
      <c r="O261" s="231">
        <v>0</v>
      </c>
      <c r="P261" s="88">
        <f t="shared" si="7"/>
        <v>99</v>
      </c>
      <c r="Q261" s="50"/>
      <c r="R261" s="232">
        <v>5338</v>
      </c>
      <c r="S261" s="231">
        <v>2958</v>
      </c>
      <c r="T261" s="233">
        <v>8296</v>
      </c>
    </row>
    <row r="262" spans="1:20">
      <c r="A262" s="48">
        <v>92601</v>
      </c>
      <c r="B262" s="49" t="s">
        <v>964</v>
      </c>
      <c r="C262" s="234">
        <v>1.34308E-2</v>
      </c>
      <c r="D262" s="234">
        <v>1.51874E-2</v>
      </c>
      <c r="E262" s="194">
        <v>31862451</v>
      </c>
      <c r="F262" s="194" t="s">
        <v>1924</v>
      </c>
      <c r="G262" s="232">
        <v>4915619</v>
      </c>
      <c r="H262" s="220">
        <v>4373767</v>
      </c>
      <c r="I262" s="232">
        <v>8455065</v>
      </c>
      <c r="J262" s="231">
        <v>12367</v>
      </c>
      <c r="K262" s="88">
        <f t="shared" si="6"/>
        <v>17756818</v>
      </c>
      <c r="L262" s="50"/>
      <c r="M262" s="232">
        <v>164944</v>
      </c>
      <c r="N262" s="232">
        <v>0</v>
      </c>
      <c r="O262" s="231">
        <v>1190672</v>
      </c>
      <c r="P262" s="88">
        <f t="shared" si="7"/>
        <v>1355616</v>
      </c>
      <c r="Q262" s="50"/>
      <c r="R262" s="232">
        <v>8850535</v>
      </c>
      <c r="S262" s="231">
        <v>-178107</v>
      </c>
      <c r="T262" s="233">
        <v>8672428</v>
      </c>
    </row>
    <row r="263" spans="1:20">
      <c r="A263" s="48">
        <v>92602</v>
      </c>
      <c r="B263" s="49" t="s">
        <v>965</v>
      </c>
      <c r="C263" s="234">
        <v>6.3999999999999997E-6</v>
      </c>
      <c r="D263" s="234">
        <v>8.3000000000000002E-6</v>
      </c>
      <c r="E263" s="194">
        <v>15183</v>
      </c>
      <c r="F263" s="194" t="s">
        <v>1924</v>
      </c>
      <c r="G263" s="232">
        <v>2342</v>
      </c>
      <c r="H263" s="220">
        <v>2084</v>
      </c>
      <c r="I263" s="232">
        <v>4029</v>
      </c>
      <c r="J263" s="231">
        <v>0</v>
      </c>
      <c r="K263" s="88">
        <f t="shared" si="6"/>
        <v>8455</v>
      </c>
      <c r="L263" s="50"/>
      <c r="M263" s="232">
        <v>79</v>
      </c>
      <c r="N263" s="232">
        <v>0</v>
      </c>
      <c r="O263" s="231">
        <v>2377</v>
      </c>
      <c r="P263" s="88">
        <f t="shared" si="7"/>
        <v>2456</v>
      </c>
      <c r="Q263" s="50"/>
      <c r="R263" s="232">
        <v>4217</v>
      </c>
      <c r="S263" s="231">
        <v>-578</v>
      </c>
      <c r="T263" s="233">
        <v>3639</v>
      </c>
    </row>
    <row r="264" spans="1:20">
      <c r="A264" s="48">
        <v>92604</v>
      </c>
      <c r="B264" s="49" t="s">
        <v>966</v>
      </c>
      <c r="C264" s="234">
        <v>3.3560000000000003E-4</v>
      </c>
      <c r="D264" s="234">
        <v>3.4099999999999999E-4</v>
      </c>
      <c r="E264" s="194">
        <v>796158</v>
      </c>
      <c r="F264" s="194" t="s">
        <v>1924</v>
      </c>
      <c r="G264" s="232">
        <v>122828</v>
      </c>
      <c r="H264" s="220">
        <v>109289</v>
      </c>
      <c r="I264" s="232">
        <v>211270</v>
      </c>
      <c r="J264" s="231">
        <v>48811</v>
      </c>
      <c r="K264" s="88">
        <f t="shared" si="6"/>
        <v>492198</v>
      </c>
      <c r="L264" s="50"/>
      <c r="M264" s="232">
        <v>4122</v>
      </c>
      <c r="N264" s="232">
        <v>0</v>
      </c>
      <c r="O264" s="231">
        <v>0</v>
      </c>
      <c r="P264" s="88">
        <f t="shared" si="7"/>
        <v>4122</v>
      </c>
      <c r="Q264" s="50"/>
      <c r="R264" s="232">
        <v>221151</v>
      </c>
      <c r="S264" s="231">
        <v>28864</v>
      </c>
      <c r="T264" s="233">
        <v>250015</v>
      </c>
    </row>
    <row r="265" spans="1:20">
      <c r="A265" s="48">
        <v>92607</v>
      </c>
      <c r="B265" s="49" t="s">
        <v>967</v>
      </c>
      <c r="C265" s="234">
        <v>6.1699999999999995E-5</v>
      </c>
      <c r="D265" s="234">
        <v>6.6400000000000001E-5</v>
      </c>
      <c r="E265" s="194">
        <v>146374</v>
      </c>
      <c r="F265" s="194" t="s">
        <v>1924</v>
      </c>
      <c r="G265" s="232">
        <v>22582</v>
      </c>
      <c r="H265" s="220">
        <v>20093</v>
      </c>
      <c r="I265" s="232">
        <v>38842</v>
      </c>
      <c r="J265" s="231">
        <v>9704</v>
      </c>
      <c r="K265" s="88">
        <f t="shared" si="6"/>
        <v>91221</v>
      </c>
      <c r="L265" s="50"/>
      <c r="M265" s="232">
        <v>758</v>
      </c>
      <c r="N265" s="232">
        <v>0</v>
      </c>
      <c r="O265" s="231">
        <v>0</v>
      </c>
      <c r="P265" s="88">
        <f t="shared" si="7"/>
        <v>758</v>
      </c>
      <c r="Q265" s="50"/>
      <c r="R265" s="232">
        <v>40659</v>
      </c>
      <c r="S265" s="231">
        <v>6018</v>
      </c>
      <c r="T265" s="233">
        <v>46677</v>
      </c>
    </row>
    <row r="266" spans="1:20">
      <c r="A266" s="48">
        <v>92608</v>
      </c>
      <c r="B266" s="49" t="s">
        <v>968</v>
      </c>
      <c r="C266" s="234">
        <v>0</v>
      </c>
      <c r="D266" s="234">
        <v>0</v>
      </c>
      <c r="E266" s="194">
        <v>0</v>
      </c>
      <c r="F266" s="194" t="s">
        <v>1924</v>
      </c>
      <c r="G266" s="232">
        <v>0</v>
      </c>
      <c r="H266" s="220">
        <v>0</v>
      </c>
      <c r="I266" s="232">
        <v>0</v>
      </c>
      <c r="J266" s="231">
        <v>0</v>
      </c>
      <c r="K266" s="88">
        <f t="shared" si="6"/>
        <v>0</v>
      </c>
      <c r="L266" s="50"/>
      <c r="M266" s="232">
        <v>0</v>
      </c>
      <c r="N266" s="232">
        <v>0</v>
      </c>
      <c r="O266" s="231">
        <v>752</v>
      </c>
      <c r="P266" s="88">
        <f t="shared" si="7"/>
        <v>752</v>
      </c>
      <c r="Q266" s="50"/>
      <c r="R266" s="232">
        <v>0</v>
      </c>
      <c r="S266" s="231">
        <v>-69182</v>
      </c>
      <c r="T266" s="233">
        <v>-69182</v>
      </c>
    </row>
    <row r="267" spans="1:20">
      <c r="A267" s="48">
        <v>92611</v>
      </c>
      <c r="B267" s="49" t="s">
        <v>969</v>
      </c>
      <c r="C267" s="234">
        <v>1.26649E-2</v>
      </c>
      <c r="D267" s="234">
        <v>1.3080899999999999E-2</v>
      </c>
      <c r="E267" s="194">
        <v>30045474</v>
      </c>
      <c r="F267" s="194" t="s">
        <v>1924</v>
      </c>
      <c r="G267" s="232">
        <v>4635303</v>
      </c>
      <c r="H267" s="220">
        <v>4124350</v>
      </c>
      <c r="I267" s="232">
        <v>7972909</v>
      </c>
      <c r="J267" s="231">
        <v>0</v>
      </c>
      <c r="K267" s="88">
        <f t="shared" si="6"/>
        <v>16732562</v>
      </c>
      <c r="L267" s="50"/>
      <c r="M267" s="232">
        <v>155538</v>
      </c>
      <c r="N267" s="232">
        <v>0</v>
      </c>
      <c r="O267" s="231">
        <v>1208188</v>
      </c>
      <c r="P267" s="88">
        <f t="shared" si="7"/>
        <v>1363726</v>
      </c>
      <c r="Q267" s="50"/>
      <c r="R267" s="232">
        <v>8345827</v>
      </c>
      <c r="S267" s="231">
        <v>-451976</v>
      </c>
      <c r="T267" s="233">
        <v>7893851</v>
      </c>
    </row>
    <row r="268" spans="1:20">
      <c r="A268" s="48">
        <v>92613</v>
      </c>
      <c r="B268" s="49" t="s">
        <v>2755</v>
      </c>
      <c r="C268" s="234">
        <v>2.3599999999999999E-4</v>
      </c>
      <c r="D268" s="234">
        <v>2.6439999999999998E-4</v>
      </c>
      <c r="E268" s="194">
        <v>559873</v>
      </c>
      <c r="F268" s="194" t="s">
        <v>1924</v>
      </c>
      <c r="G268" s="232">
        <v>86375</v>
      </c>
      <c r="H268" s="220">
        <v>76854</v>
      </c>
      <c r="I268" s="232">
        <v>148569</v>
      </c>
      <c r="J268" s="231">
        <v>42032</v>
      </c>
      <c r="K268" s="88">
        <f t="shared" si="6"/>
        <v>353830</v>
      </c>
      <c r="L268" s="50"/>
      <c r="M268" s="232">
        <v>2898</v>
      </c>
      <c r="N268" s="232">
        <v>0</v>
      </c>
      <c r="O268" s="231">
        <v>1086</v>
      </c>
      <c r="P268" s="88">
        <f t="shared" si="7"/>
        <v>3984</v>
      </c>
      <c r="Q268" s="50"/>
      <c r="R268" s="232">
        <v>155518</v>
      </c>
      <c r="S268" s="231">
        <v>41245</v>
      </c>
      <c r="T268" s="233">
        <v>196763</v>
      </c>
    </row>
    <row r="269" spans="1:20">
      <c r="A269" s="48">
        <v>92614</v>
      </c>
      <c r="B269" s="49" t="s">
        <v>971</v>
      </c>
      <c r="C269" s="234">
        <v>5.5757000000000003E-3</v>
      </c>
      <c r="D269" s="234">
        <v>5.7273000000000003E-3</v>
      </c>
      <c r="E269" s="194">
        <v>13227467</v>
      </c>
      <c r="F269" s="194" t="s">
        <v>1924</v>
      </c>
      <c r="G269" s="232">
        <v>2040684</v>
      </c>
      <c r="H269" s="220">
        <v>1815737</v>
      </c>
      <c r="I269" s="232">
        <v>3510059</v>
      </c>
      <c r="J269" s="231">
        <v>4152143</v>
      </c>
      <c r="K269" s="88">
        <f t="shared" si="6"/>
        <v>11518623</v>
      </c>
      <c r="L269" s="50"/>
      <c r="M269" s="232">
        <v>68475</v>
      </c>
      <c r="N269" s="232">
        <v>0</v>
      </c>
      <c r="O269" s="231">
        <v>0</v>
      </c>
      <c r="P269" s="88">
        <f t="shared" si="7"/>
        <v>68475</v>
      </c>
      <c r="Q269" s="50"/>
      <c r="R269" s="232">
        <v>3674236</v>
      </c>
      <c r="S269" s="231">
        <v>1829865</v>
      </c>
      <c r="T269" s="233">
        <v>5504101</v>
      </c>
    </row>
    <row r="270" spans="1:20">
      <c r="A270" s="48">
        <v>92621</v>
      </c>
      <c r="B270" s="49" t="s">
        <v>2225</v>
      </c>
      <c r="C270" s="234">
        <v>2.4600000000000002E-5</v>
      </c>
      <c r="D270" s="234">
        <v>2.72E-5</v>
      </c>
      <c r="E270" s="194">
        <v>58360</v>
      </c>
      <c r="F270" s="194" t="s">
        <v>1924</v>
      </c>
      <c r="G270" s="232">
        <v>9004</v>
      </c>
      <c r="H270" s="220">
        <v>8011</v>
      </c>
      <c r="I270" s="232">
        <v>15486</v>
      </c>
      <c r="J270" s="231">
        <v>393</v>
      </c>
      <c r="K270" s="88">
        <f t="shared" si="6"/>
        <v>32894</v>
      </c>
      <c r="L270" s="50"/>
      <c r="M270" s="232">
        <v>302</v>
      </c>
      <c r="N270" s="232">
        <v>0</v>
      </c>
      <c r="O270" s="231">
        <v>4712</v>
      </c>
      <c r="P270" s="88">
        <f t="shared" si="7"/>
        <v>5014</v>
      </c>
      <c r="Q270" s="50"/>
      <c r="R270" s="232">
        <v>16211</v>
      </c>
      <c r="S270" s="231">
        <v>-2140</v>
      </c>
      <c r="T270" s="233">
        <v>14071</v>
      </c>
    </row>
    <row r="271" spans="1:20">
      <c r="A271" s="48">
        <v>92631</v>
      </c>
      <c r="B271" s="49" t="s">
        <v>2226</v>
      </c>
      <c r="C271" s="234">
        <v>9.0030000000000004E-4</v>
      </c>
      <c r="D271" s="234">
        <v>9.2710000000000004E-4</v>
      </c>
      <c r="E271" s="194">
        <v>2135820</v>
      </c>
      <c r="F271" s="194" t="s">
        <v>1924</v>
      </c>
      <c r="G271" s="232">
        <v>329506</v>
      </c>
      <c r="H271" s="220">
        <v>293184</v>
      </c>
      <c r="I271" s="232">
        <v>566764</v>
      </c>
      <c r="J271" s="231">
        <v>0</v>
      </c>
      <c r="K271" s="88">
        <f t="shared" si="6"/>
        <v>1189454</v>
      </c>
      <c r="L271" s="50"/>
      <c r="M271" s="232">
        <v>11057</v>
      </c>
      <c r="N271" s="232">
        <v>0</v>
      </c>
      <c r="O271" s="231">
        <v>135840</v>
      </c>
      <c r="P271" s="88">
        <f t="shared" si="7"/>
        <v>146897</v>
      </c>
      <c r="Q271" s="50"/>
      <c r="R271" s="232">
        <v>593273</v>
      </c>
      <c r="S271" s="231">
        <v>-59375</v>
      </c>
      <c r="T271" s="233">
        <v>533898</v>
      </c>
    </row>
    <row r="272" spans="1:20">
      <c r="A272" s="48">
        <v>92641</v>
      </c>
      <c r="B272" s="49" t="s">
        <v>2227</v>
      </c>
      <c r="C272" s="234">
        <v>9.7000000000000003E-6</v>
      </c>
      <c r="D272" s="234">
        <v>1.0200000000000001E-5</v>
      </c>
      <c r="E272" s="194">
        <v>23012</v>
      </c>
      <c r="F272" s="194" t="s">
        <v>1924</v>
      </c>
      <c r="G272" s="232">
        <v>3550</v>
      </c>
      <c r="H272" s="220">
        <v>3159</v>
      </c>
      <c r="I272" s="232">
        <v>6106</v>
      </c>
      <c r="J272" s="231">
        <v>2866</v>
      </c>
      <c r="K272" s="88">
        <f t="shared" ref="K272:K335" si="15">G272+H272+I272+J272</f>
        <v>15681</v>
      </c>
      <c r="L272" s="50"/>
      <c r="M272" s="232">
        <v>119</v>
      </c>
      <c r="N272" s="232">
        <v>0</v>
      </c>
      <c r="O272" s="231">
        <v>0</v>
      </c>
      <c r="P272" s="88">
        <f t="shared" ref="P272:P335" si="16">M272+N272+O272</f>
        <v>119</v>
      </c>
      <c r="Q272" s="50"/>
      <c r="R272" s="232">
        <v>6392</v>
      </c>
      <c r="S272" s="231">
        <v>543</v>
      </c>
      <c r="T272" s="233">
        <v>6935</v>
      </c>
    </row>
    <row r="273" spans="1:20">
      <c r="A273" s="48">
        <v>92651</v>
      </c>
      <c r="B273" s="49" t="s">
        <v>2228</v>
      </c>
      <c r="C273" s="234">
        <v>4.4000000000000002E-6</v>
      </c>
      <c r="D273" s="234">
        <v>2.6000000000000001E-6</v>
      </c>
      <c r="E273" s="194">
        <v>10438</v>
      </c>
      <c r="F273" s="194" t="s">
        <v>1924</v>
      </c>
      <c r="G273" s="232">
        <v>1610</v>
      </c>
      <c r="H273" s="220">
        <v>1433</v>
      </c>
      <c r="I273" s="232">
        <v>2770</v>
      </c>
      <c r="J273" s="231">
        <v>3690</v>
      </c>
      <c r="K273" s="88">
        <f t="shared" si="15"/>
        <v>9503</v>
      </c>
      <c r="L273" s="50"/>
      <c r="M273" s="232">
        <v>54</v>
      </c>
      <c r="N273" s="232">
        <v>0</v>
      </c>
      <c r="O273" s="231">
        <v>0</v>
      </c>
      <c r="P273" s="88">
        <f t="shared" si="16"/>
        <v>54</v>
      </c>
      <c r="Q273" s="50"/>
      <c r="R273" s="232">
        <v>2899</v>
      </c>
      <c r="S273" s="231">
        <v>1740</v>
      </c>
      <c r="T273" s="233">
        <v>4639</v>
      </c>
    </row>
    <row r="274" spans="1:20">
      <c r="A274" s="48">
        <v>92661</v>
      </c>
      <c r="B274" s="49" t="s">
        <v>2229</v>
      </c>
      <c r="C274" s="234">
        <v>6.334E-4</v>
      </c>
      <c r="D274" s="234">
        <v>6.9999999999999999E-4</v>
      </c>
      <c r="E274" s="194">
        <v>1502641</v>
      </c>
      <c r="F274" s="194" t="s">
        <v>1924</v>
      </c>
      <c r="G274" s="232">
        <v>231822</v>
      </c>
      <c r="H274" s="220">
        <v>206268</v>
      </c>
      <c r="I274" s="232">
        <v>398743</v>
      </c>
      <c r="J274" s="231">
        <v>441125</v>
      </c>
      <c r="K274" s="88">
        <f t="shared" si="15"/>
        <v>1277958</v>
      </c>
      <c r="L274" s="50"/>
      <c r="M274" s="232">
        <v>7779</v>
      </c>
      <c r="N274" s="232">
        <v>0</v>
      </c>
      <c r="O274" s="231">
        <v>0</v>
      </c>
      <c r="P274" s="88">
        <f t="shared" si="16"/>
        <v>7779</v>
      </c>
      <c r="Q274" s="50"/>
      <c r="R274" s="232">
        <v>417393</v>
      </c>
      <c r="S274" s="231">
        <v>165863</v>
      </c>
      <c r="T274" s="233">
        <v>583256</v>
      </c>
    </row>
    <row r="275" spans="1:20">
      <c r="A275" s="48">
        <v>92671</v>
      </c>
      <c r="B275" s="49" t="s">
        <v>2230</v>
      </c>
      <c r="C275" s="234">
        <v>2.3999999999999999E-6</v>
      </c>
      <c r="D275" s="234">
        <v>2.6000000000000001E-6</v>
      </c>
      <c r="E275" s="194">
        <v>5694</v>
      </c>
      <c r="F275" s="194" t="s">
        <v>1924</v>
      </c>
      <c r="G275" s="232">
        <v>878</v>
      </c>
      <c r="H275" s="220">
        <v>781</v>
      </c>
      <c r="I275" s="232">
        <v>1511</v>
      </c>
      <c r="J275" s="231">
        <v>7284</v>
      </c>
      <c r="K275" s="88">
        <f t="shared" si="15"/>
        <v>10454</v>
      </c>
      <c r="L275" s="50"/>
      <c r="M275" s="232">
        <v>29</v>
      </c>
      <c r="N275" s="232">
        <v>0</v>
      </c>
      <c r="O275" s="231">
        <v>0</v>
      </c>
      <c r="P275" s="88">
        <f t="shared" si="16"/>
        <v>29</v>
      </c>
      <c r="Q275" s="50"/>
      <c r="R275" s="232">
        <v>1582</v>
      </c>
      <c r="S275" s="231">
        <v>3016</v>
      </c>
      <c r="T275" s="233">
        <v>4598</v>
      </c>
    </row>
    <row r="276" spans="1:20">
      <c r="A276" s="48">
        <v>92681</v>
      </c>
      <c r="B276" s="49" t="s">
        <v>2231</v>
      </c>
      <c r="C276" s="234">
        <v>1.1800000000000001E-5</v>
      </c>
      <c r="D276" s="234">
        <v>1.17E-5</v>
      </c>
      <c r="E276" s="194">
        <v>27994</v>
      </c>
      <c r="F276" s="194" t="s">
        <v>1924</v>
      </c>
      <c r="G276" s="232">
        <v>4319</v>
      </c>
      <c r="H276" s="220">
        <v>3843</v>
      </c>
      <c r="I276" s="232">
        <v>7428</v>
      </c>
      <c r="J276" s="231">
        <v>13847</v>
      </c>
      <c r="K276" s="88">
        <f t="shared" si="15"/>
        <v>29437</v>
      </c>
      <c r="L276" s="50"/>
      <c r="M276" s="232">
        <v>145</v>
      </c>
      <c r="N276" s="232">
        <v>0</v>
      </c>
      <c r="O276" s="231">
        <v>0</v>
      </c>
      <c r="P276" s="88">
        <f t="shared" si="16"/>
        <v>145</v>
      </c>
      <c r="Q276" s="50"/>
      <c r="R276" s="232">
        <v>7776</v>
      </c>
      <c r="S276" s="231">
        <v>6248</v>
      </c>
      <c r="T276" s="233">
        <v>14024</v>
      </c>
    </row>
    <row r="277" spans="1:20">
      <c r="A277" s="48">
        <v>92701</v>
      </c>
      <c r="B277" s="49" t="s">
        <v>979</v>
      </c>
      <c r="C277" s="234">
        <v>2.8871000000000001E-3</v>
      </c>
      <c r="D277" s="234">
        <v>3.0777000000000001E-3</v>
      </c>
      <c r="E277" s="194">
        <v>6849189</v>
      </c>
      <c r="F277" s="194" t="s">
        <v>1924</v>
      </c>
      <c r="G277" s="232">
        <v>1056667</v>
      </c>
      <c r="H277" s="220">
        <v>940190</v>
      </c>
      <c r="I277" s="232">
        <v>1817510</v>
      </c>
      <c r="J277" s="231">
        <v>35473</v>
      </c>
      <c r="K277" s="88">
        <f t="shared" si="15"/>
        <v>3849840</v>
      </c>
      <c r="L277" s="50"/>
      <c r="M277" s="232">
        <v>35456</v>
      </c>
      <c r="N277" s="232">
        <v>0</v>
      </c>
      <c r="O277" s="231">
        <v>155267</v>
      </c>
      <c r="P277" s="88">
        <f t="shared" si="16"/>
        <v>190723</v>
      </c>
      <c r="Q277" s="50"/>
      <c r="R277" s="232">
        <v>1902521</v>
      </c>
      <c r="S277" s="231">
        <v>-62476</v>
      </c>
      <c r="T277" s="233">
        <v>1840045</v>
      </c>
    </row>
    <row r="278" spans="1:20">
      <c r="A278" s="48">
        <v>92704</v>
      </c>
      <c r="B278" s="49" t="s">
        <v>980</v>
      </c>
      <c r="C278" s="234">
        <v>3.9400000000000002E-5</v>
      </c>
      <c r="D278" s="234">
        <v>4.1600000000000002E-5</v>
      </c>
      <c r="E278" s="194">
        <v>93470</v>
      </c>
      <c r="F278" s="194" t="s">
        <v>1924</v>
      </c>
      <c r="G278" s="232">
        <v>14420</v>
      </c>
      <c r="H278" s="220">
        <v>12831</v>
      </c>
      <c r="I278" s="232">
        <v>24803</v>
      </c>
      <c r="J278" s="231">
        <v>703</v>
      </c>
      <c r="K278" s="88">
        <f t="shared" si="15"/>
        <v>52757</v>
      </c>
      <c r="L278" s="50"/>
      <c r="M278" s="232">
        <v>484</v>
      </c>
      <c r="N278" s="232">
        <v>0</v>
      </c>
      <c r="O278" s="231">
        <v>5422</v>
      </c>
      <c r="P278" s="88">
        <f t="shared" si="16"/>
        <v>5906</v>
      </c>
      <c r="Q278" s="50"/>
      <c r="R278" s="232">
        <v>25964</v>
      </c>
      <c r="S278" s="231">
        <v>-1035</v>
      </c>
      <c r="T278" s="233">
        <v>24929</v>
      </c>
    </row>
    <row r="279" spans="1:20">
      <c r="A279" s="48">
        <v>92801</v>
      </c>
      <c r="B279" s="49" t="s">
        <v>981</v>
      </c>
      <c r="C279" s="234">
        <v>5.2335999999999997E-3</v>
      </c>
      <c r="D279" s="234">
        <v>5.0951E-3</v>
      </c>
      <c r="E279" s="194">
        <v>12415889</v>
      </c>
      <c r="F279" s="194" t="s">
        <v>1924</v>
      </c>
      <c r="G279" s="232">
        <v>1915477</v>
      </c>
      <c r="H279" s="220">
        <v>1704333</v>
      </c>
      <c r="I279" s="232">
        <v>3294698</v>
      </c>
      <c r="J279" s="231">
        <v>237901</v>
      </c>
      <c r="K279" s="88">
        <f t="shared" si="15"/>
        <v>7152409</v>
      </c>
      <c r="L279" s="50"/>
      <c r="M279" s="232">
        <v>64274</v>
      </c>
      <c r="N279" s="232">
        <v>0</v>
      </c>
      <c r="O279" s="231">
        <v>0</v>
      </c>
      <c r="P279" s="88">
        <f t="shared" si="16"/>
        <v>64274</v>
      </c>
      <c r="Q279" s="50"/>
      <c r="R279" s="232">
        <v>3448801</v>
      </c>
      <c r="S279" s="231">
        <v>122866</v>
      </c>
      <c r="T279" s="233">
        <v>3571667</v>
      </c>
    </row>
    <row r="280" spans="1:20">
      <c r="A280" s="48">
        <v>92802</v>
      </c>
      <c r="B280" s="49" t="s">
        <v>982</v>
      </c>
      <c r="C280" s="234">
        <v>1.2799999999999999E-4</v>
      </c>
      <c r="D280" s="234">
        <v>1.2970000000000001E-4</v>
      </c>
      <c r="E280" s="194">
        <v>303660</v>
      </c>
      <c r="F280" s="194" t="s">
        <v>1924</v>
      </c>
      <c r="G280" s="232">
        <v>46847</v>
      </c>
      <c r="H280" s="220">
        <v>41684</v>
      </c>
      <c r="I280" s="232">
        <v>80580</v>
      </c>
      <c r="J280" s="231">
        <v>0</v>
      </c>
      <c r="K280" s="88">
        <f t="shared" si="15"/>
        <v>169111</v>
      </c>
      <c r="L280" s="50"/>
      <c r="M280" s="232">
        <v>1572</v>
      </c>
      <c r="N280" s="232">
        <v>0</v>
      </c>
      <c r="O280" s="231">
        <v>15754</v>
      </c>
      <c r="P280" s="88">
        <f t="shared" si="16"/>
        <v>17326</v>
      </c>
      <c r="Q280" s="50"/>
      <c r="R280" s="232">
        <v>84349</v>
      </c>
      <c r="S280" s="231">
        <v>-8217</v>
      </c>
      <c r="T280" s="233">
        <v>76132</v>
      </c>
    </row>
    <row r="281" spans="1:20">
      <c r="A281" s="48">
        <v>92804</v>
      </c>
      <c r="B281" s="49" t="s">
        <v>983</v>
      </c>
      <c r="C281" s="234">
        <v>1.4990000000000001E-4</v>
      </c>
      <c r="D281" s="234">
        <v>1.36E-4</v>
      </c>
      <c r="E281" s="194">
        <v>355614</v>
      </c>
      <c r="F281" s="194" t="s">
        <v>1924</v>
      </c>
      <c r="G281" s="232">
        <v>54863</v>
      </c>
      <c r="H281" s="220">
        <v>48815</v>
      </c>
      <c r="I281" s="232">
        <v>94366</v>
      </c>
      <c r="J281" s="231">
        <v>9289</v>
      </c>
      <c r="K281" s="88">
        <f t="shared" si="15"/>
        <v>207333</v>
      </c>
      <c r="L281" s="50"/>
      <c r="M281" s="232">
        <v>1841</v>
      </c>
      <c r="N281" s="232">
        <v>0</v>
      </c>
      <c r="O281" s="231">
        <v>8327</v>
      </c>
      <c r="P281" s="88">
        <f t="shared" si="16"/>
        <v>10168</v>
      </c>
      <c r="Q281" s="50"/>
      <c r="R281" s="232">
        <v>98780</v>
      </c>
      <c r="S281" s="231">
        <v>967</v>
      </c>
      <c r="T281" s="233">
        <v>99747</v>
      </c>
    </row>
    <row r="282" spans="1:20">
      <c r="A282" s="48">
        <v>92811</v>
      </c>
      <c r="B282" s="49" t="s">
        <v>2232</v>
      </c>
      <c r="C282" s="234">
        <v>9.6909999999999997E-4</v>
      </c>
      <c r="D282" s="234">
        <v>1.0036000000000001E-3</v>
      </c>
      <c r="E282" s="194">
        <v>2299037</v>
      </c>
      <c r="F282" s="194" t="s">
        <v>1924</v>
      </c>
      <c r="G282" s="232">
        <v>354687</v>
      </c>
      <c r="H282" s="220">
        <v>315589</v>
      </c>
      <c r="I282" s="232">
        <v>610076</v>
      </c>
      <c r="J282" s="231">
        <v>0</v>
      </c>
      <c r="K282" s="88">
        <f t="shared" si="15"/>
        <v>1280352</v>
      </c>
      <c r="L282" s="50"/>
      <c r="M282" s="232">
        <v>11902</v>
      </c>
      <c r="N282" s="232">
        <v>0</v>
      </c>
      <c r="O282" s="231">
        <v>69119</v>
      </c>
      <c r="P282" s="88">
        <f t="shared" si="16"/>
        <v>81021</v>
      </c>
      <c r="Q282" s="50"/>
      <c r="R282" s="232">
        <v>638611</v>
      </c>
      <c r="S282" s="231">
        <v>-41669</v>
      </c>
      <c r="T282" s="233">
        <v>596942</v>
      </c>
    </row>
    <row r="283" spans="1:20">
      <c r="A283" s="48">
        <v>92821</v>
      </c>
      <c r="B283" s="49" t="s">
        <v>2233</v>
      </c>
      <c r="C283" s="234">
        <v>1.0001999999999999E-3</v>
      </c>
      <c r="D283" s="234">
        <v>9.9400000000000009E-4</v>
      </c>
      <c r="E283" s="194">
        <v>2372816</v>
      </c>
      <c r="F283" s="194" t="s">
        <v>1924</v>
      </c>
      <c r="G283" s="232">
        <v>366069</v>
      </c>
      <c r="H283" s="220">
        <v>325717</v>
      </c>
      <c r="I283" s="232">
        <v>629654</v>
      </c>
      <c r="J283" s="231">
        <v>28694</v>
      </c>
      <c r="K283" s="88">
        <f t="shared" si="15"/>
        <v>1350134</v>
      </c>
      <c r="L283" s="50"/>
      <c r="M283" s="232">
        <v>12283</v>
      </c>
      <c r="N283" s="232">
        <v>0</v>
      </c>
      <c r="O283" s="231">
        <v>0</v>
      </c>
      <c r="P283" s="88">
        <f t="shared" si="16"/>
        <v>12283</v>
      </c>
      <c r="Q283" s="50"/>
      <c r="R283" s="232">
        <v>659105</v>
      </c>
      <c r="S283" s="231">
        <v>14053</v>
      </c>
      <c r="T283" s="233">
        <v>673158</v>
      </c>
    </row>
    <row r="284" spans="1:20">
      <c r="A284" s="48">
        <v>92831</v>
      </c>
      <c r="B284" s="49" t="s">
        <v>2234</v>
      </c>
      <c r="C284" s="234">
        <v>2.3580000000000001E-4</v>
      </c>
      <c r="D284" s="234">
        <v>2.1829999999999999E-4</v>
      </c>
      <c r="E284" s="194">
        <v>559398</v>
      </c>
      <c r="F284" s="194" t="s">
        <v>1924</v>
      </c>
      <c r="G284" s="232">
        <v>86302</v>
      </c>
      <c r="H284" s="220">
        <v>76789</v>
      </c>
      <c r="I284" s="232">
        <v>148443</v>
      </c>
      <c r="J284" s="231">
        <v>36641</v>
      </c>
      <c r="K284" s="88">
        <f t="shared" si="15"/>
        <v>348175</v>
      </c>
      <c r="L284" s="50"/>
      <c r="M284" s="232">
        <v>2896</v>
      </c>
      <c r="N284" s="232">
        <v>0</v>
      </c>
      <c r="O284" s="231">
        <v>1618</v>
      </c>
      <c r="P284" s="88">
        <f t="shared" si="16"/>
        <v>4514</v>
      </c>
      <c r="Q284" s="50"/>
      <c r="R284" s="232">
        <v>155386</v>
      </c>
      <c r="S284" s="231">
        <v>16332</v>
      </c>
      <c r="T284" s="233">
        <v>171718</v>
      </c>
    </row>
    <row r="285" spans="1:20">
      <c r="A285" s="48">
        <v>92841</v>
      </c>
      <c r="B285" s="49" t="s">
        <v>2235</v>
      </c>
      <c r="C285" s="234">
        <v>2.5769999999999998E-4</v>
      </c>
      <c r="D285" s="234">
        <v>2.7809999999999998E-4</v>
      </c>
      <c r="E285" s="194">
        <v>611353</v>
      </c>
      <c r="F285" s="194" t="s">
        <v>1924</v>
      </c>
      <c r="G285" s="232">
        <v>94317</v>
      </c>
      <c r="H285" s="220">
        <v>83921</v>
      </c>
      <c r="I285" s="232">
        <v>162229</v>
      </c>
      <c r="J285" s="231">
        <v>0</v>
      </c>
      <c r="K285" s="88">
        <f t="shared" si="15"/>
        <v>340467</v>
      </c>
      <c r="L285" s="50"/>
      <c r="M285" s="232">
        <v>3165</v>
      </c>
      <c r="N285" s="232">
        <v>0</v>
      </c>
      <c r="O285" s="231">
        <v>24975</v>
      </c>
      <c r="P285" s="88">
        <f t="shared" si="16"/>
        <v>28140</v>
      </c>
      <c r="Q285" s="50"/>
      <c r="R285" s="232">
        <v>169817</v>
      </c>
      <c r="S285" s="231">
        <v>-1626</v>
      </c>
      <c r="T285" s="233">
        <v>168191</v>
      </c>
    </row>
    <row r="286" spans="1:20">
      <c r="A286" s="48">
        <v>92851</v>
      </c>
      <c r="B286" s="49" t="s">
        <v>2236</v>
      </c>
      <c r="C286" s="234">
        <v>4.3899999999999999E-4</v>
      </c>
      <c r="D286" s="234">
        <v>4.6079999999999998E-4</v>
      </c>
      <c r="E286" s="194">
        <v>1041458</v>
      </c>
      <c r="F286" s="194" t="s">
        <v>1924</v>
      </c>
      <c r="G286" s="232">
        <v>160672</v>
      </c>
      <c r="H286" s="220">
        <v>142961</v>
      </c>
      <c r="I286" s="232">
        <v>276363</v>
      </c>
      <c r="J286" s="231">
        <v>0</v>
      </c>
      <c r="K286" s="88">
        <f t="shared" si="15"/>
        <v>579996</v>
      </c>
      <c r="L286" s="50"/>
      <c r="M286" s="232">
        <v>5391</v>
      </c>
      <c r="N286" s="232">
        <v>0</v>
      </c>
      <c r="O286" s="231">
        <v>61052</v>
      </c>
      <c r="P286" s="88">
        <f t="shared" si="16"/>
        <v>66443</v>
      </c>
      <c r="Q286" s="50"/>
      <c r="R286" s="232">
        <v>289289</v>
      </c>
      <c r="S286" s="231">
        <v>-43806</v>
      </c>
      <c r="T286" s="233">
        <v>245483</v>
      </c>
    </row>
    <row r="287" spans="1:20">
      <c r="A287" s="48">
        <v>92861</v>
      </c>
      <c r="B287" s="49" t="s">
        <v>2237</v>
      </c>
      <c r="C287" s="234">
        <v>3.7629999999999999E-4</v>
      </c>
      <c r="D287" s="234">
        <v>3.6010000000000003E-4</v>
      </c>
      <c r="E287" s="194">
        <v>892712</v>
      </c>
      <c r="F287" s="194" t="s">
        <v>1924</v>
      </c>
      <c r="G287" s="232">
        <v>137724</v>
      </c>
      <c r="H287" s="220">
        <v>122543</v>
      </c>
      <c r="I287" s="232">
        <v>236891</v>
      </c>
      <c r="J287" s="231">
        <v>0</v>
      </c>
      <c r="K287" s="88">
        <f t="shared" si="15"/>
        <v>497158</v>
      </c>
      <c r="L287" s="50"/>
      <c r="M287" s="232">
        <v>4621</v>
      </c>
      <c r="N287" s="232">
        <v>0</v>
      </c>
      <c r="O287" s="231">
        <v>73406</v>
      </c>
      <c r="P287" s="88">
        <f t="shared" si="16"/>
        <v>78027</v>
      </c>
      <c r="Q287" s="50"/>
      <c r="R287" s="232">
        <v>247972</v>
      </c>
      <c r="S287" s="231">
        <v>-43591</v>
      </c>
      <c r="T287" s="233">
        <v>204381</v>
      </c>
    </row>
    <row r="288" spans="1:20">
      <c r="A288" s="48">
        <v>92901</v>
      </c>
      <c r="B288" s="49" t="s">
        <v>990</v>
      </c>
      <c r="C288" s="234">
        <v>5.4257999999999997E-3</v>
      </c>
      <c r="D288" s="234">
        <v>5.5082999999999998E-3</v>
      </c>
      <c r="E288" s="194">
        <v>12871853</v>
      </c>
      <c r="F288" s="194" t="s">
        <v>1924</v>
      </c>
      <c r="G288" s="232">
        <v>1985821</v>
      </c>
      <c r="H288" s="220">
        <v>1766922</v>
      </c>
      <c r="I288" s="232">
        <v>3415693</v>
      </c>
      <c r="J288" s="231">
        <v>22983</v>
      </c>
      <c r="K288" s="88">
        <f t="shared" si="15"/>
        <v>7191419</v>
      </c>
      <c r="L288" s="50"/>
      <c r="M288" s="232">
        <v>66634</v>
      </c>
      <c r="N288" s="232">
        <v>0</v>
      </c>
      <c r="O288" s="231">
        <v>91593</v>
      </c>
      <c r="P288" s="88">
        <f t="shared" si="16"/>
        <v>158227</v>
      </c>
      <c r="Q288" s="50"/>
      <c r="R288" s="232">
        <v>3575456</v>
      </c>
      <c r="S288" s="231">
        <v>5628</v>
      </c>
      <c r="T288" s="233">
        <v>3581084</v>
      </c>
    </row>
    <row r="289" spans="1:20">
      <c r="A289" s="48">
        <v>92911</v>
      </c>
      <c r="B289" s="49" t="s">
        <v>991</v>
      </c>
      <c r="C289" s="234">
        <v>1.9322E-3</v>
      </c>
      <c r="D289" s="234">
        <v>1.9548999999999999E-3</v>
      </c>
      <c r="E289" s="194">
        <v>4583839</v>
      </c>
      <c r="F289" s="194" t="s">
        <v>1924</v>
      </c>
      <c r="G289" s="232">
        <v>707177</v>
      </c>
      <c r="H289" s="220">
        <v>629224</v>
      </c>
      <c r="I289" s="232">
        <v>1216374</v>
      </c>
      <c r="J289" s="231">
        <v>39110</v>
      </c>
      <c r="K289" s="88">
        <f t="shared" si="15"/>
        <v>2591885</v>
      </c>
      <c r="L289" s="50"/>
      <c r="M289" s="232">
        <v>23729</v>
      </c>
      <c r="N289" s="232">
        <v>0</v>
      </c>
      <c r="O289" s="231">
        <v>51551</v>
      </c>
      <c r="P289" s="88">
        <f t="shared" si="16"/>
        <v>75280</v>
      </c>
      <c r="Q289" s="50"/>
      <c r="R289" s="232">
        <v>1273268</v>
      </c>
      <c r="S289" s="231">
        <v>-50417</v>
      </c>
      <c r="T289" s="233">
        <v>1222851</v>
      </c>
    </row>
    <row r="290" spans="1:20">
      <c r="A290" s="48">
        <v>92913</v>
      </c>
      <c r="B290" s="49" t="s">
        <v>992</v>
      </c>
      <c r="C290" s="234">
        <v>2.1500000000000001E-5</v>
      </c>
      <c r="D290" s="234">
        <v>2.1999999999999999E-5</v>
      </c>
      <c r="E290" s="194">
        <v>51005</v>
      </c>
      <c r="F290" s="194" t="s">
        <v>1924</v>
      </c>
      <c r="G290" s="232">
        <v>7869</v>
      </c>
      <c r="H290" s="220">
        <v>7001</v>
      </c>
      <c r="I290" s="232">
        <v>13535</v>
      </c>
      <c r="J290" s="231">
        <v>88672</v>
      </c>
      <c r="K290" s="88">
        <f t="shared" si="15"/>
        <v>117077</v>
      </c>
      <c r="L290" s="50"/>
      <c r="M290" s="232">
        <v>264</v>
      </c>
      <c r="N290" s="232">
        <v>0</v>
      </c>
      <c r="O290" s="231">
        <v>0</v>
      </c>
      <c r="P290" s="88">
        <f t="shared" si="16"/>
        <v>264</v>
      </c>
      <c r="Q290" s="50"/>
      <c r="R290" s="232">
        <v>14168</v>
      </c>
      <c r="S290" s="231">
        <v>34736</v>
      </c>
      <c r="T290" s="233">
        <v>48904</v>
      </c>
    </row>
    <row r="291" spans="1:20">
      <c r="A291" s="48">
        <v>92914</v>
      </c>
      <c r="B291" s="49" t="s">
        <v>993</v>
      </c>
      <c r="C291" s="234">
        <v>2.4899999999999999E-5</v>
      </c>
      <c r="D291" s="234">
        <v>2.8900000000000001E-5</v>
      </c>
      <c r="E291" s="194">
        <v>59071</v>
      </c>
      <c r="F291" s="194" t="s">
        <v>1924</v>
      </c>
      <c r="G291" s="232">
        <v>9113</v>
      </c>
      <c r="H291" s="220">
        <v>8109</v>
      </c>
      <c r="I291" s="232">
        <v>15675</v>
      </c>
      <c r="J291" s="231">
        <v>12880</v>
      </c>
      <c r="K291" s="88">
        <f t="shared" si="15"/>
        <v>45777</v>
      </c>
      <c r="L291" s="50"/>
      <c r="M291" s="232">
        <v>306</v>
      </c>
      <c r="N291" s="232">
        <v>0</v>
      </c>
      <c r="O291" s="231">
        <v>1246</v>
      </c>
      <c r="P291" s="88">
        <f t="shared" si="16"/>
        <v>1552</v>
      </c>
      <c r="Q291" s="50"/>
      <c r="R291" s="232">
        <v>16408</v>
      </c>
      <c r="S291" s="231">
        <v>3981</v>
      </c>
      <c r="T291" s="233">
        <v>20389</v>
      </c>
    </row>
    <row r="292" spans="1:20">
      <c r="A292" s="48">
        <v>92917</v>
      </c>
      <c r="B292" s="49" t="s">
        <v>994</v>
      </c>
      <c r="C292" s="234">
        <v>1.6099999999999998E-5</v>
      </c>
      <c r="D292" s="234">
        <v>1.4800000000000001E-5</v>
      </c>
      <c r="E292" s="195">
        <v>38195</v>
      </c>
      <c r="F292" s="195" t="s">
        <v>1924</v>
      </c>
      <c r="G292" s="232">
        <v>5893</v>
      </c>
      <c r="H292" s="220">
        <v>5243</v>
      </c>
      <c r="I292" s="232">
        <v>10135</v>
      </c>
      <c r="J292" s="231">
        <v>14400</v>
      </c>
      <c r="K292" s="88">
        <f t="shared" si="15"/>
        <v>35671</v>
      </c>
      <c r="L292" s="50"/>
      <c r="M292" s="232">
        <v>198</v>
      </c>
      <c r="N292" s="232">
        <v>0</v>
      </c>
      <c r="O292" s="231">
        <v>0</v>
      </c>
      <c r="P292" s="88">
        <f t="shared" si="16"/>
        <v>198</v>
      </c>
      <c r="Q292" s="50"/>
      <c r="R292" s="232">
        <v>10609</v>
      </c>
      <c r="S292" s="231">
        <v>8201</v>
      </c>
      <c r="T292" s="233">
        <v>18810</v>
      </c>
    </row>
    <row r="293" spans="1:20">
      <c r="A293" s="48">
        <v>92921</v>
      </c>
      <c r="B293" s="49" t="s">
        <v>2238</v>
      </c>
      <c r="C293" s="234">
        <v>9.2499999999999999E-5</v>
      </c>
      <c r="D293" s="234">
        <v>7.4400000000000006E-5</v>
      </c>
      <c r="E293" s="195">
        <v>219442</v>
      </c>
      <c r="F293" s="195" t="s">
        <v>1924</v>
      </c>
      <c r="G293" s="232">
        <v>33855</v>
      </c>
      <c r="H293" s="220">
        <v>30123</v>
      </c>
      <c r="I293" s="232">
        <v>58231</v>
      </c>
      <c r="J293" s="231">
        <v>24651</v>
      </c>
      <c r="K293" s="88">
        <f t="shared" si="15"/>
        <v>146860</v>
      </c>
      <c r="L293" s="50"/>
      <c r="M293" s="232">
        <v>1136</v>
      </c>
      <c r="N293" s="232">
        <v>0</v>
      </c>
      <c r="O293" s="231">
        <v>1659</v>
      </c>
      <c r="P293" s="88">
        <f t="shared" si="16"/>
        <v>2795</v>
      </c>
      <c r="Q293" s="50"/>
      <c r="R293" s="232">
        <v>60955</v>
      </c>
      <c r="S293" s="231">
        <v>819</v>
      </c>
      <c r="T293" s="233">
        <v>61774</v>
      </c>
    </row>
    <row r="294" spans="1:20">
      <c r="A294" s="48">
        <v>92931</v>
      </c>
      <c r="B294" s="49" t="s">
        <v>996</v>
      </c>
      <c r="C294" s="234">
        <v>2.4600999999999998E-3</v>
      </c>
      <c r="D294" s="234">
        <v>2.3996E-3</v>
      </c>
      <c r="E294" s="195">
        <v>5836199</v>
      </c>
      <c r="F294" s="195" t="s">
        <v>1924</v>
      </c>
      <c r="G294" s="232">
        <v>900387</v>
      </c>
      <c r="H294" s="220">
        <v>801137</v>
      </c>
      <c r="I294" s="232">
        <v>1548702</v>
      </c>
      <c r="J294" s="231">
        <v>28206</v>
      </c>
      <c r="K294" s="88">
        <f t="shared" si="15"/>
        <v>3278432</v>
      </c>
      <c r="L294" s="50"/>
      <c r="M294" s="232">
        <v>30212</v>
      </c>
      <c r="N294" s="232">
        <v>0</v>
      </c>
      <c r="O294" s="231">
        <v>98782</v>
      </c>
      <c r="P294" s="88">
        <f t="shared" si="16"/>
        <v>128994</v>
      </c>
      <c r="Q294" s="50"/>
      <c r="R294" s="232">
        <v>1621139</v>
      </c>
      <c r="S294" s="231">
        <v>-34302</v>
      </c>
      <c r="T294" s="233">
        <v>1586837</v>
      </c>
    </row>
    <row r="295" spans="1:20">
      <c r="A295" s="48">
        <v>92941</v>
      </c>
      <c r="B295" s="49" t="s">
        <v>2239</v>
      </c>
      <c r="C295" s="234">
        <v>4.3000000000000003E-6</v>
      </c>
      <c r="D295" s="234">
        <v>1.2300000000000001E-5</v>
      </c>
      <c r="E295" s="195">
        <v>10201</v>
      </c>
      <c r="F295" s="195" t="s">
        <v>1924</v>
      </c>
      <c r="G295" s="232">
        <v>1574</v>
      </c>
      <c r="H295" s="220">
        <v>1400</v>
      </c>
      <c r="I295" s="232">
        <v>2707</v>
      </c>
      <c r="J295" s="231">
        <v>3011</v>
      </c>
      <c r="K295" s="88">
        <f t="shared" si="15"/>
        <v>8692</v>
      </c>
      <c r="L295" s="50"/>
      <c r="M295" s="232">
        <v>53</v>
      </c>
      <c r="N295" s="232">
        <v>0</v>
      </c>
      <c r="O295" s="231">
        <v>4092</v>
      </c>
      <c r="P295" s="88">
        <f t="shared" si="16"/>
        <v>4145</v>
      </c>
      <c r="Q295" s="50"/>
      <c r="R295" s="232">
        <v>2834</v>
      </c>
      <c r="S295" s="231">
        <v>2468</v>
      </c>
      <c r="T295" s="233">
        <v>5302</v>
      </c>
    </row>
    <row r="296" spans="1:20">
      <c r="A296" s="48">
        <v>93001</v>
      </c>
      <c r="B296" s="49" t="s">
        <v>997</v>
      </c>
      <c r="C296" s="234">
        <v>2.2772000000000001E-3</v>
      </c>
      <c r="D296" s="234">
        <v>2.2227000000000002E-3</v>
      </c>
      <c r="E296" s="195">
        <v>5402297</v>
      </c>
      <c r="F296" s="195" t="s">
        <v>1924</v>
      </c>
      <c r="G296" s="232">
        <v>833446</v>
      </c>
      <c r="H296" s="220">
        <v>741575</v>
      </c>
      <c r="I296" s="232">
        <v>1433561</v>
      </c>
      <c r="J296" s="231">
        <v>14691</v>
      </c>
      <c r="K296" s="88">
        <f t="shared" si="15"/>
        <v>3023273</v>
      </c>
      <c r="L296" s="50"/>
      <c r="M296" s="232">
        <v>27966</v>
      </c>
      <c r="N296" s="232">
        <v>0</v>
      </c>
      <c r="O296" s="231">
        <v>61962</v>
      </c>
      <c r="P296" s="88">
        <f t="shared" si="16"/>
        <v>89928</v>
      </c>
      <c r="Q296" s="50"/>
      <c r="R296" s="232">
        <v>1500613</v>
      </c>
      <c r="S296" s="231">
        <v>-54280</v>
      </c>
      <c r="T296" s="233">
        <v>1446333</v>
      </c>
    </row>
    <row r="297" spans="1:20">
      <c r="A297" s="48">
        <v>93009</v>
      </c>
      <c r="B297" s="49" t="s">
        <v>998</v>
      </c>
      <c r="C297" s="234">
        <v>1.38E-5</v>
      </c>
      <c r="D297" s="234">
        <v>1.47E-5</v>
      </c>
      <c r="E297" s="195">
        <v>32738</v>
      </c>
      <c r="F297" s="195" t="s">
        <v>1924</v>
      </c>
      <c r="G297" s="232">
        <v>5051</v>
      </c>
      <c r="H297" s="220">
        <v>4494</v>
      </c>
      <c r="I297" s="232">
        <v>8687</v>
      </c>
      <c r="J297" s="231">
        <v>0</v>
      </c>
      <c r="K297" s="88">
        <f t="shared" si="15"/>
        <v>18232</v>
      </c>
      <c r="L297" s="50"/>
      <c r="M297" s="232">
        <v>169</v>
      </c>
      <c r="N297" s="232">
        <v>0</v>
      </c>
      <c r="O297" s="231">
        <v>3798</v>
      </c>
      <c r="P297" s="88">
        <f t="shared" si="16"/>
        <v>3967</v>
      </c>
      <c r="Q297" s="50"/>
      <c r="R297" s="232">
        <v>9094</v>
      </c>
      <c r="S297" s="231">
        <v>-2270</v>
      </c>
      <c r="T297" s="233">
        <v>6824</v>
      </c>
    </row>
    <row r="298" spans="1:20">
      <c r="A298" s="48">
        <v>93011</v>
      </c>
      <c r="B298" s="49" t="s">
        <v>2240</v>
      </c>
      <c r="C298" s="234">
        <v>2.7599999999999999E-4</v>
      </c>
      <c r="D298" s="234">
        <v>2.2699999999999999E-4</v>
      </c>
      <c r="E298" s="195">
        <v>654766</v>
      </c>
      <c r="F298" s="195" t="s">
        <v>1924</v>
      </c>
      <c r="G298" s="232">
        <v>101015</v>
      </c>
      <c r="H298" s="220">
        <v>89880</v>
      </c>
      <c r="I298" s="232">
        <v>173750</v>
      </c>
      <c r="J298" s="231">
        <v>51648</v>
      </c>
      <c r="K298" s="88">
        <f t="shared" si="15"/>
        <v>416293</v>
      </c>
      <c r="L298" s="50"/>
      <c r="M298" s="232">
        <v>3390</v>
      </c>
      <c r="N298" s="232">
        <v>0</v>
      </c>
      <c r="O298" s="231">
        <v>10320</v>
      </c>
      <c r="P298" s="88">
        <f t="shared" si="16"/>
        <v>13710</v>
      </c>
      <c r="Q298" s="50"/>
      <c r="R298" s="232">
        <v>181877</v>
      </c>
      <c r="S298" s="231">
        <v>8885</v>
      </c>
      <c r="T298" s="233">
        <v>190762</v>
      </c>
    </row>
    <row r="299" spans="1:20">
      <c r="A299" s="48">
        <v>93021</v>
      </c>
      <c r="B299" s="49" t="s">
        <v>2241</v>
      </c>
      <c r="C299" s="234">
        <v>3.3399999999999999E-5</v>
      </c>
      <c r="D299" s="234">
        <v>3.4199999999999998E-5</v>
      </c>
      <c r="E299" s="195">
        <v>79236</v>
      </c>
      <c r="F299" s="195" t="s">
        <v>1924</v>
      </c>
      <c r="G299" s="232">
        <v>12224</v>
      </c>
      <c r="H299" s="220">
        <v>10877</v>
      </c>
      <c r="I299" s="232">
        <v>21026</v>
      </c>
      <c r="J299" s="231">
        <v>1795</v>
      </c>
      <c r="K299" s="88">
        <f t="shared" si="15"/>
        <v>45922</v>
      </c>
      <c r="L299" s="50"/>
      <c r="M299" s="232">
        <v>410</v>
      </c>
      <c r="N299" s="232">
        <v>0</v>
      </c>
      <c r="O299" s="231">
        <v>5715</v>
      </c>
      <c r="P299" s="88">
        <f t="shared" si="16"/>
        <v>6125</v>
      </c>
      <c r="Q299" s="50"/>
      <c r="R299" s="232">
        <v>22010</v>
      </c>
      <c r="S299" s="231">
        <v>-366</v>
      </c>
      <c r="T299" s="233">
        <v>21644</v>
      </c>
    </row>
    <row r="300" spans="1:20">
      <c r="A300" s="48">
        <v>93027</v>
      </c>
      <c r="B300" s="49" t="s">
        <v>1001</v>
      </c>
      <c r="C300" s="234">
        <v>1.5E-5</v>
      </c>
      <c r="D300" s="234">
        <v>1.6699999999999999E-5</v>
      </c>
      <c r="E300" s="195">
        <v>35585</v>
      </c>
      <c r="F300" s="195" t="s">
        <v>1924</v>
      </c>
      <c r="G300" s="232">
        <v>5490</v>
      </c>
      <c r="H300" s="220">
        <v>4885</v>
      </c>
      <c r="I300" s="232">
        <v>9443</v>
      </c>
      <c r="J300" s="231">
        <v>796</v>
      </c>
      <c r="K300" s="88">
        <f t="shared" si="15"/>
        <v>20614</v>
      </c>
      <c r="L300" s="50"/>
      <c r="M300" s="232">
        <v>184</v>
      </c>
      <c r="N300" s="232">
        <v>0</v>
      </c>
      <c r="O300" s="231">
        <v>2296</v>
      </c>
      <c r="P300" s="88">
        <f t="shared" si="16"/>
        <v>2480</v>
      </c>
      <c r="Q300" s="50"/>
      <c r="R300" s="232">
        <v>9885</v>
      </c>
      <c r="S300" s="231">
        <v>-833</v>
      </c>
      <c r="T300" s="233">
        <v>9052</v>
      </c>
    </row>
    <row r="301" spans="1:20">
      <c r="A301" s="48">
        <v>93031</v>
      </c>
      <c r="B301" s="49" t="s">
        <v>2242</v>
      </c>
      <c r="C301" s="234">
        <v>1.26E-5</v>
      </c>
      <c r="D301" s="234">
        <v>2.1699999999999999E-5</v>
      </c>
      <c r="E301" s="195">
        <v>29892</v>
      </c>
      <c r="F301" s="195" t="s">
        <v>1924</v>
      </c>
      <c r="G301" s="232">
        <v>4612</v>
      </c>
      <c r="H301" s="220">
        <v>4103</v>
      </c>
      <c r="I301" s="232">
        <v>7932</v>
      </c>
      <c r="J301" s="231">
        <v>20350</v>
      </c>
      <c r="K301" s="88">
        <f t="shared" si="15"/>
        <v>36997</v>
      </c>
      <c r="L301" s="50"/>
      <c r="M301" s="232">
        <v>155</v>
      </c>
      <c r="N301" s="232">
        <v>0</v>
      </c>
      <c r="O301" s="231">
        <v>0</v>
      </c>
      <c r="P301" s="88">
        <f t="shared" si="16"/>
        <v>155</v>
      </c>
      <c r="Q301" s="50"/>
      <c r="R301" s="232">
        <v>8303</v>
      </c>
      <c r="S301" s="231">
        <v>7768</v>
      </c>
      <c r="T301" s="233">
        <v>16071</v>
      </c>
    </row>
    <row r="302" spans="1:20">
      <c r="A302" s="48">
        <v>93101</v>
      </c>
      <c r="B302" s="49" t="s">
        <v>1003</v>
      </c>
      <c r="C302" s="234">
        <v>3.2376000000000002E-3</v>
      </c>
      <c r="D302" s="234">
        <v>3.5159000000000002E-3</v>
      </c>
      <c r="E302" s="195">
        <v>7680694</v>
      </c>
      <c r="F302" s="195" t="s">
        <v>1924</v>
      </c>
      <c r="G302" s="232">
        <v>1184949</v>
      </c>
      <c r="H302" s="220">
        <v>1054330</v>
      </c>
      <c r="I302" s="232">
        <v>2038160</v>
      </c>
      <c r="J302" s="231">
        <v>36350</v>
      </c>
      <c r="K302" s="88">
        <f t="shared" si="15"/>
        <v>4313789</v>
      </c>
      <c r="L302" s="50"/>
      <c r="M302" s="232">
        <v>39761</v>
      </c>
      <c r="N302" s="232">
        <v>0</v>
      </c>
      <c r="O302" s="231">
        <v>306148</v>
      </c>
      <c r="P302" s="88">
        <f t="shared" si="16"/>
        <v>345909</v>
      </c>
      <c r="Q302" s="50"/>
      <c r="R302" s="232">
        <v>2133491</v>
      </c>
      <c r="S302" s="231">
        <v>-15838</v>
      </c>
      <c r="T302" s="233">
        <v>2117653</v>
      </c>
    </row>
    <row r="303" spans="1:20">
      <c r="A303" s="48">
        <v>93103</v>
      </c>
      <c r="B303" s="49" t="s">
        <v>260</v>
      </c>
      <c r="C303" s="234">
        <v>1.6699999999999999E-5</v>
      </c>
      <c r="D303" s="234">
        <v>1.7099999999999999E-5</v>
      </c>
      <c r="E303" s="195">
        <v>39618</v>
      </c>
      <c r="F303" s="195" t="s">
        <v>1924</v>
      </c>
      <c r="G303" s="232">
        <v>6112</v>
      </c>
      <c r="H303" s="220">
        <v>5439</v>
      </c>
      <c r="I303" s="232">
        <v>10513</v>
      </c>
      <c r="J303" s="231">
        <v>4185</v>
      </c>
      <c r="K303" s="88">
        <f t="shared" si="15"/>
        <v>26249</v>
      </c>
      <c r="L303" s="50"/>
      <c r="M303" s="232">
        <v>205</v>
      </c>
      <c r="N303" s="232">
        <v>0</v>
      </c>
      <c r="O303" s="231">
        <v>3362</v>
      </c>
      <c r="P303" s="88">
        <f t="shared" si="16"/>
        <v>3567</v>
      </c>
      <c r="Q303" s="50"/>
      <c r="R303" s="232">
        <v>11005</v>
      </c>
      <c r="S303" s="231">
        <v>1580</v>
      </c>
      <c r="T303" s="233">
        <v>12585</v>
      </c>
    </row>
    <row r="304" spans="1:20">
      <c r="A304" s="48">
        <v>93108</v>
      </c>
      <c r="B304" s="49" t="s">
        <v>1004</v>
      </c>
      <c r="C304" s="234">
        <v>2.4109999999999999E-3</v>
      </c>
      <c r="D304" s="234">
        <v>2.6624999999999999E-3</v>
      </c>
      <c r="E304" s="195">
        <v>5719717</v>
      </c>
      <c r="F304" s="195" t="s">
        <v>1924</v>
      </c>
      <c r="G304" s="232">
        <v>882416</v>
      </c>
      <c r="H304" s="220">
        <v>785147</v>
      </c>
      <c r="I304" s="232">
        <v>1517792</v>
      </c>
      <c r="J304" s="231">
        <v>86396</v>
      </c>
      <c r="K304" s="88">
        <f t="shared" si="15"/>
        <v>3271751</v>
      </c>
      <c r="L304" s="50"/>
      <c r="M304" s="232">
        <v>29609</v>
      </c>
      <c r="N304" s="232">
        <v>0</v>
      </c>
      <c r="O304" s="231">
        <v>181635</v>
      </c>
      <c r="P304" s="88">
        <f t="shared" si="16"/>
        <v>211244</v>
      </c>
      <c r="Q304" s="50"/>
      <c r="R304" s="232">
        <v>1588784</v>
      </c>
      <c r="S304" s="231">
        <v>143056</v>
      </c>
      <c r="T304" s="233">
        <v>1731840</v>
      </c>
    </row>
    <row r="305" spans="1:20">
      <c r="A305" s="48">
        <v>93111</v>
      </c>
      <c r="B305" s="49" t="s">
        <v>2243</v>
      </c>
      <c r="C305" s="234">
        <v>6.1500000000000004E-5</v>
      </c>
      <c r="D305" s="234">
        <v>5.8499999999999999E-5</v>
      </c>
      <c r="E305" s="195">
        <v>145899</v>
      </c>
      <c r="F305" s="195" t="s">
        <v>1924</v>
      </c>
      <c r="G305" s="232">
        <v>22509</v>
      </c>
      <c r="H305" s="220">
        <v>20027</v>
      </c>
      <c r="I305" s="232">
        <v>38716</v>
      </c>
      <c r="J305" s="231">
        <v>609</v>
      </c>
      <c r="K305" s="88">
        <f t="shared" si="15"/>
        <v>81861</v>
      </c>
      <c r="L305" s="50"/>
      <c r="M305" s="232">
        <v>755</v>
      </c>
      <c r="N305" s="232">
        <v>0</v>
      </c>
      <c r="O305" s="231">
        <v>9926</v>
      </c>
      <c r="P305" s="88">
        <f t="shared" si="16"/>
        <v>10681</v>
      </c>
      <c r="Q305" s="50"/>
      <c r="R305" s="232">
        <v>40527</v>
      </c>
      <c r="S305" s="231">
        <v>-5384</v>
      </c>
      <c r="T305" s="233">
        <v>35143</v>
      </c>
    </row>
    <row r="306" spans="1:20">
      <c r="A306" s="48">
        <v>93121</v>
      </c>
      <c r="B306" s="49" t="s">
        <v>2244</v>
      </c>
      <c r="C306" s="234">
        <v>5.3300000000000001E-5</v>
      </c>
      <c r="D306" s="234">
        <v>6.2299999999999996E-5</v>
      </c>
      <c r="E306" s="195">
        <v>126446</v>
      </c>
      <c r="F306" s="195" t="s">
        <v>1924</v>
      </c>
      <c r="G306" s="232">
        <v>19508</v>
      </c>
      <c r="H306" s="220">
        <v>17358</v>
      </c>
      <c r="I306" s="232">
        <v>33554</v>
      </c>
      <c r="J306" s="231">
        <v>1532</v>
      </c>
      <c r="K306" s="88">
        <f t="shared" si="15"/>
        <v>71952</v>
      </c>
      <c r="L306" s="50"/>
      <c r="M306" s="232">
        <v>655</v>
      </c>
      <c r="N306" s="232">
        <v>0</v>
      </c>
      <c r="O306" s="231">
        <v>7485</v>
      </c>
      <c r="P306" s="88">
        <f t="shared" si="16"/>
        <v>8140</v>
      </c>
      <c r="Q306" s="50"/>
      <c r="R306" s="232">
        <v>35123</v>
      </c>
      <c r="S306" s="231">
        <v>-4157</v>
      </c>
      <c r="T306" s="233">
        <v>30966</v>
      </c>
    </row>
    <row r="307" spans="1:20">
      <c r="A307" s="48">
        <v>93127</v>
      </c>
      <c r="B307" s="49" t="s">
        <v>1007</v>
      </c>
      <c r="C307" s="234">
        <v>6.8000000000000001E-6</v>
      </c>
      <c r="D307" s="234">
        <v>6.9E-6</v>
      </c>
      <c r="E307" s="195">
        <v>16132</v>
      </c>
      <c r="F307" s="195" t="s">
        <v>1924</v>
      </c>
      <c r="G307" s="232">
        <v>2489</v>
      </c>
      <c r="H307" s="220">
        <v>2215</v>
      </c>
      <c r="I307" s="232">
        <v>4281</v>
      </c>
      <c r="J307" s="231">
        <v>93</v>
      </c>
      <c r="K307" s="88">
        <f t="shared" si="15"/>
        <v>9078</v>
      </c>
      <c r="L307" s="50"/>
      <c r="M307" s="232">
        <v>84</v>
      </c>
      <c r="N307" s="232">
        <v>0</v>
      </c>
      <c r="O307" s="231">
        <v>482</v>
      </c>
      <c r="P307" s="88">
        <f t="shared" si="16"/>
        <v>566</v>
      </c>
      <c r="Q307" s="50"/>
      <c r="R307" s="232">
        <v>4481</v>
      </c>
      <c r="S307" s="231">
        <v>-405</v>
      </c>
      <c r="T307" s="233">
        <v>4076</v>
      </c>
    </row>
    <row r="308" spans="1:20">
      <c r="A308" s="48">
        <v>93131</v>
      </c>
      <c r="B308" s="49" t="s">
        <v>2245</v>
      </c>
      <c r="C308" s="234">
        <v>2.0129999999999999E-4</v>
      </c>
      <c r="D308" s="234">
        <v>2.218E-4</v>
      </c>
      <c r="E308" s="195">
        <v>477552</v>
      </c>
      <c r="F308" s="195" t="s">
        <v>1924</v>
      </c>
      <c r="G308" s="232">
        <v>73675</v>
      </c>
      <c r="H308" s="220">
        <v>65554</v>
      </c>
      <c r="I308" s="232">
        <v>126724</v>
      </c>
      <c r="J308" s="231">
        <v>2495</v>
      </c>
      <c r="K308" s="88">
        <f t="shared" si="15"/>
        <v>268448</v>
      </c>
      <c r="L308" s="50"/>
      <c r="M308" s="232">
        <v>2472</v>
      </c>
      <c r="N308" s="232">
        <v>0</v>
      </c>
      <c r="O308" s="231">
        <v>34365</v>
      </c>
      <c r="P308" s="88">
        <f t="shared" si="16"/>
        <v>36837</v>
      </c>
      <c r="Q308" s="50"/>
      <c r="R308" s="232">
        <v>132651</v>
      </c>
      <c r="S308" s="231">
        <v>-5155</v>
      </c>
      <c r="T308" s="233">
        <v>127496</v>
      </c>
    </row>
    <row r="309" spans="1:20">
      <c r="A309" s="48">
        <v>93137</v>
      </c>
      <c r="B309" s="49" t="s">
        <v>1009</v>
      </c>
      <c r="C309" s="234">
        <v>4.7999999999999998E-6</v>
      </c>
      <c r="D309" s="234">
        <v>3.3000000000000002E-6</v>
      </c>
      <c r="E309" s="195">
        <v>11387</v>
      </c>
      <c r="F309" s="195" t="s">
        <v>1924</v>
      </c>
      <c r="G309" s="232">
        <v>1757</v>
      </c>
      <c r="H309" s="220">
        <v>1563</v>
      </c>
      <c r="I309" s="232">
        <v>3022</v>
      </c>
      <c r="J309" s="231">
        <v>3426</v>
      </c>
      <c r="K309" s="88">
        <f t="shared" si="15"/>
        <v>9768</v>
      </c>
      <c r="L309" s="50"/>
      <c r="M309" s="232">
        <v>59</v>
      </c>
      <c r="N309" s="232">
        <v>0</v>
      </c>
      <c r="O309" s="231">
        <v>0</v>
      </c>
      <c r="P309" s="88">
        <f t="shared" si="16"/>
        <v>59</v>
      </c>
      <c r="Q309" s="50"/>
      <c r="R309" s="232">
        <v>3163</v>
      </c>
      <c r="S309" s="231">
        <v>1228</v>
      </c>
      <c r="T309" s="233">
        <v>4391</v>
      </c>
    </row>
    <row r="310" spans="1:20">
      <c r="A310" s="48">
        <v>93141</v>
      </c>
      <c r="B310" s="49" t="s">
        <v>2246</v>
      </c>
      <c r="C310" s="234">
        <v>3.2299999999999999E-5</v>
      </c>
      <c r="D310" s="234">
        <v>4.1100000000000003E-5</v>
      </c>
      <c r="E310" s="195">
        <v>76627</v>
      </c>
      <c r="F310" s="195" t="s">
        <v>1924</v>
      </c>
      <c r="G310" s="232">
        <v>11822</v>
      </c>
      <c r="H310" s="220">
        <v>10519</v>
      </c>
      <c r="I310" s="232">
        <v>20334</v>
      </c>
      <c r="J310" s="231">
        <v>0</v>
      </c>
      <c r="K310" s="88">
        <f t="shared" si="15"/>
        <v>42675</v>
      </c>
      <c r="L310" s="50"/>
      <c r="M310" s="232">
        <v>397</v>
      </c>
      <c r="N310" s="232">
        <v>0</v>
      </c>
      <c r="O310" s="231">
        <v>11022</v>
      </c>
      <c r="P310" s="88">
        <f t="shared" si="16"/>
        <v>11419</v>
      </c>
      <c r="Q310" s="50"/>
      <c r="R310" s="232">
        <v>21285</v>
      </c>
      <c r="S310" s="231">
        <v>-1889</v>
      </c>
      <c r="T310" s="233">
        <v>19396</v>
      </c>
    </row>
    <row r="311" spans="1:20">
      <c r="A311" s="48">
        <v>93151</v>
      </c>
      <c r="B311" s="49" t="s">
        <v>2247</v>
      </c>
      <c r="C311" s="234">
        <v>3.2410000000000002E-4</v>
      </c>
      <c r="D311" s="234">
        <v>3.4279999999999998E-4</v>
      </c>
      <c r="E311" s="195">
        <v>768876</v>
      </c>
      <c r="F311" s="195" t="s">
        <v>1924</v>
      </c>
      <c r="G311" s="232">
        <v>118619</v>
      </c>
      <c r="H311" s="220">
        <v>105543</v>
      </c>
      <c r="I311" s="232">
        <v>204030</v>
      </c>
      <c r="J311" s="231">
        <v>1711</v>
      </c>
      <c r="K311" s="88">
        <f t="shared" si="15"/>
        <v>429903</v>
      </c>
      <c r="L311" s="50"/>
      <c r="M311" s="232">
        <v>3980</v>
      </c>
      <c r="N311" s="232">
        <v>0</v>
      </c>
      <c r="O311" s="231">
        <v>25198</v>
      </c>
      <c r="P311" s="88">
        <f t="shared" si="16"/>
        <v>29178</v>
      </c>
      <c r="Q311" s="50"/>
      <c r="R311" s="232">
        <v>213573</v>
      </c>
      <c r="S311" s="231">
        <v>-7249</v>
      </c>
      <c r="T311" s="233">
        <v>206324</v>
      </c>
    </row>
    <row r="312" spans="1:20">
      <c r="A312" s="48">
        <v>93157</v>
      </c>
      <c r="B312" s="49" t="s">
        <v>1012</v>
      </c>
      <c r="C312" s="234">
        <v>3.4999999999999999E-6</v>
      </c>
      <c r="D312" s="234">
        <v>3.5999999999999998E-6</v>
      </c>
      <c r="E312" s="195">
        <v>8303</v>
      </c>
      <c r="F312" s="195" t="s">
        <v>1924</v>
      </c>
      <c r="G312" s="232">
        <v>1281</v>
      </c>
      <c r="H312" s="220">
        <v>1140</v>
      </c>
      <c r="I312" s="232">
        <v>2203</v>
      </c>
      <c r="J312" s="231">
        <v>7990</v>
      </c>
      <c r="K312" s="88">
        <f t="shared" si="15"/>
        <v>12614</v>
      </c>
      <c r="L312" s="50"/>
      <c r="M312" s="232">
        <v>43</v>
      </c>
      <c r="N312" s="232">
        <v>0</v>
      </c>
      <c r="O312" s="231">
        <v>152</v>
      </c>
      <c r="P312" s="88">
        <f t="shared" si="16"/>
        <v>195</v>
      </c>
      <c r="Q312" s="50"/>
      <c r="R312" s="232">
        <v>2306</v>
      </c>
      <c r="S312" s="231">
        <v>3773</v>
      </c>
      <c r="T312" s="233">
        <v>6079</v>
      </c>
    </row>
    <row r="313" spans="1:20">
      <c r="A313" s="48">
        <v>93161</v>
      </c>
      <c r="B313" s="49" t="s">
        <v>2248</v>
      </c>
      <c r="C313" s="234">
        <v>1.105E-4</v>
      </c>
      <c r="D313" s="234">
        <v>1.038E-4</v>
      </c>
      <c r="E313" s="195">
        <v>262144</v>
      </c>
      <c r="F313" s="195" t="s">
        <v>1924</v>
      </c>
      <c r="G313" s="232">
        <v>40443</v>
      </c>
      <c r="H313" s="220">
        <v>35984</v>
      </c>
      <c r="I313" s="232">
        <v>69563</v>
      </c>
      <c r="J313" s="231">
        <v>25987</v>
      </c>
      <c r="K313" s="88">
        <f t="shared" si="15"/>
        <v>171977</v>
      </c>
      <c r="L313" s="50"/>
      <c r="M313" s="232">
        <v>1357</v>
      </c>
      <c r="N313" s="232">
        <v>0</v>
      </c>
      <c r="O313" s="231">
        <v>0</v>
      </c>
      <c r="P313" s="88">
        <f t="shared" si="16"/>
        <v>1357</v>
      </c>
      <c r="Q313" s="50"/>
      <c r="R313" s="232">
        <v>72817</v>
      </c>
      <c r="S313" s="231">
        <v>13692</v>
      </c>
      <c r="T313" s="233">
        <v>86509</v>
      </c>
    </row>
    <row r="314" spans="1:20">
      <c r="A314" s="48">
        <v>93171</v>
      </c>
      <c r="B314" s="49" t="s">
        <v>2249</v>
      </c>
      <c r="C314" s="234">
        <v>2.7E-6</v>
      </c>
      <c r="D314" s="234">
        <v>5.2000000000000002E-6</v>
      </c>
      <c r="E314" s="195">
        <v>6405</v>
      </c>
      <c r="F314" s="195" t="s">
        <v>1924</v>
      </c>
      <c r="G314" s="232">
        <v>988</v>
      </c>
      <c r="H314" s="220">
        <v>879</v>
      </c>
      <c r="I314" s="232">
        <v>1700</v>
      </c>
      <c r="J314" s="231">
        <v>1171</v>
      </c>
      <c r="K314" s="88">
        <f t="shared" si="15"/>
        <v>4738</v>
      </c>
      <c r="L314" s="50"/>
      <c r="M314" s="232">
        <v>33</v>
      </c>
      <c r="N314" s="232">
        <v>0</v>
      </c>
      <c r="O314" s="231">
        <v>987</v>
      </c>
      <c r="P314" s="88">
        <f t="shared" si="16"/>
        <v>1020</v>
      </c>
      <c r="Q314" s="50"/>
      <c r="R314" s="232">
        <v>1779</v>
      </c>
      <c r="S314" s="231">
        <v>542</v>
      </c>
      <c r="T314" s="233">
        <v>2321</v>
      </c>
    </row>
    <row r="315" spans="1:20">
      <c r="A315" s="48">
        <v>93181</v>
      </c>
      <c r="B315" s="49" t="s">
        <v>2250</v>
      </c>
      <c r="C315" s="234">
        <v>1.1E-5</v>
      </c>
      <c r="D315" s="234">
        <v>1.13E-5</v>
      </c>
      <c r="E315" s="195">
        <v>26096</v>
      </c>
      <c r="F315" s="195" t="s">
        <v>1924</v>
      </c>
      <c r="G315" s="232">
        <v>4026</v>
      </c>
      <c r="H315" s="220">
        <v>3582</v>
      </c>
      <c r="I315" s="232">
        <v>6925</v>
      </c>
      <c r="J315" s="231">
        <v>457</v>
      </c>
      <c r="K315" s="88">
        <f t="shared" si="15"/>
        <v>14990</v>
      </c>
      <c r="L315" s="50"/>
      <c r="M315" s="232">
        <v>135</v>
      </c>
      <c r="N315" s="232">
        <v>0</v>
      </c>
      <c r="O315" s="231">
        <v>12</v>
      </c>
      <c r="P315" s="88">
        <f t="shared" si="16"/>
        <v>147</v>
      </c>
      <c r="Q315" s="50"/>
      <c r="R315" s="232">
        <v>7249</v>
      </c>
      <c r="S315" s="231">
        <v>435</v>
      </c>
      <c r="T315" s="233">
        <v>7684</v>
      </c>
    </row>
    <row r="316" spans="1:20">
      <c r="A316" s="48">
        <v>93191</v>
      </c>
      <c r="B316" s="49" t="s">
        <v>2251</v>
      </c>
      <c r="C316" s="234">
        <v>2.2500000000000001E-5</v>
      </c>
      <c r="D316" s="234">
        <v>2.4600000000000002E-5</v>
      </c>
      <c r="E316" s="195">
        <v>53378</v>
      </c>
      <c r="F316" s="195" t="s">
        <v>1924</v>
      </c>
      <c r="G316" s="232">
        <v>8235</v>
      </c>
      <c r="H316" s="220">
        <v>7328</v>
      </c>
      <c r="I316" s="232">
        <v>14164</v>
      </c>
      <c r="J316" s="231">
        <v>3738</v>
      </c>
      <c r="K316" s="88">
        <f t="shared" si="15"/>
        <v>33465</v>
      </c>
      <c r="L316" s="50"/>
      <c r="M316" s="232">
        <v>276</v>
      </c>
      <c r="N316" s="232">
        <v>0</v>
      </c>
      <c r="O316" s="231">
        <v>1346</v>
      </c>
      <c r="P316" s="88">
        <f t="shared" si="16"/>
        <v>1622</v>
      </c>
      <c r="Q316" s="50"/>
      <c r="R316" s="232">
        <v>14827</v>
      </c>
      <c r="S316" s="231">
        <v>577</v>
      </c>
      <c r="T316" s="233">
        <v>15404</v>
      </c>
    </row>
    <row r="317" spans="1:20">
      <c r="A317" s="48">
        <v>93201</v>
      </c>
      <c r="B317" s="49" t="s">
        <v>1017</v>
      </c>
      <c r="C317" s="234">
        <v>1.5763099999999999E-2</v>
      </c>
      <c r="D317" s="234">
        <v>1.5517E-2</v>
      </c>
      <c r="E317" s="195">
        <v>37395464</v>
      </c>
      <c r="F317" s="195" t="s">
        <v>1924</v>
      </c>
      <c r="G317" s="232">
        <v>5769232</v>
      </c>
      <c r="H317" s="220">
        <v>5133286</v>
      </c>
      <c r="I317" s="232">
        <v>9923313</v>
      </c>
      <c r="J317" s="231">
        <v>597239</v>
      </c>
      <c r="K317" s="88">
        <f t="shared" si="15"/>
        <v>21423070</v>
      </c>
      <c r="L317" s="50"/>
      <c r="M317" s="232">
        <v>193587</v>
      </c>
      <c r="N317" s="232">
        <v>0</v>
      </c>
      <c r="O317" s="231">
        <v>154811</v>
      </c>
      <c r="P317" s="88">
        <f t="shared" si="16"/>
        <v>348398</v>
      </c>
      <c r="Q317" s="50"/>
      <c r="R317" s="232">
        <v>10387457</v>
      </c>
      <c r="S317" s="231">
        <v>455365</v>
      </c>
      <c r="T317" s="233">
        <v>10842822</v>
      </c>
    </row>
    <row r="318" spans="1:20">
      <c r="A318" s="48">
        <v>93202</v>
      </c>
      <c r="B318" s="49" t="s">
        <v>1018</v>
      </c>
      <c r="C318" s="234">
        <v>0</v>
      </c>
      <c r="D318" s="234">
        <v>0</v>
      </c>
      <c r="E318" s="195">
        <v>0</v>
      </c>
      <c r="F318" s="195" t="s">
        <v>1924</v>
      </c>
      <c r="G318" s="232">
        <v>0</v>
      </c>
      <c r="H318" s="220">
        <v>0</v>
      </c>
      <c r="I318" s="232">
        <v>0</v>
      </c>
      <c r="J318" s="231">
        <v>0</v>
      </c>
      <c r="K318" s="88">
        <f t="shared" si="15"/>
        <v>0</v>
      </c>
      <c r="L318" s="50"/>
      <c r="M318" s="232">
        <v>0</v>
      </c>
      <c r="N318" s="232">
        <v>0</v>
      </c>
      <c r="O318" s="231">
        <v>103181</v>
      </c>
      <c r="P318" s="88">
        <f t="shared" si="16"/>
        <v>103181</v>
      </c>
      <c r="Q318" s="50"/>
      <c r="R318" s="232">
        <v>0</v>
      </c>
      <c r="S318" s="231">
        <v>-109337</v>
      </c>
      <c r="T318" s="233">
        <v>-109337</v>
      </c>
    </row>
    <row r="319" spans="1:20">
      <c r="A319" s="48">
        <v>93204</v>
      </c>
      <c r="B319" s="49" t="s">
        <v>1019</v>
      </c>
      <c r="C319" s="234">
        <v>3.28E-4</v>
      </c>
      <c r="D319" s="234">
        <v>3.0279999999999999E-4</v>
      </c>
      <c r="E319" s="195">
        <v>778128</v>
      </c>
      <c r="F319" s="195" t="s">
        <v>1924</v>
      </c>
      <c r="G319" s="232">
        <v>120047</v>
      </c>
      <c r="H319" s="220">
        <v>106813</v>
      </c>
      <c r="I319" s="232">
        <v>206485</v>
      </c>
      <c r="J319" s="231">
        <v>42387</v>
      </c>
      <c r="K319" s="88">
        <f t="shared" si="15"/>
        <v>475732</v>
      </c>
      <c r="L319" s="50"/>
      <c r="M319" s="232">
        <v>4028</v>
      </c>
      <c r="N319" s="232">
        <v>0</v>
      </c>
      <c r="O319" s="231">
        <v>3051</v>
      </c>
      <c r="P319" s="88">
        <f t="shared" si="16"/>
        <v>7079</v>
      </c>
      <c r="Q319" s="50"/>
      <c r="R319" s="232">
        <v>216143</v>
      </c>
      <c r="S319" s="231">
        <v>7193</v>
      </c>
      <c r="T319" s="233">
        <v>223336</v>
      </c>
    </row>
    <row r="320" spans="1:20">
      <c r="A320" s="48">
        <v>93209</v>
      </c>
      <c r="B320" s="49" t="s">
        <v>1020</v>
      </c>
      <c r="C320" s="234">
        <v>5.1598E-3</v>
      </c>
      <c r="D320" s="234">
        <v>4.6693999999999998E-3</v>
      </c>
      <c r="E320" s="195">
        <v>12240810</v>
      </c>
      <c r="F320" s="195" t="s">
        <v>1924</v>
      </c>
      <c r="G320" s="232">
        <v>1888466</v>
      </c>
      <c r="H320" s="220">
        <v>1680299</v>
      </c>
      <c r="I320" s="232">
        <v>3248239</v>
      </c>
      <c r="J320" s="231">
        <v>484024</v>
      </c>
      <c r="K320" s="88">
        <f t="shared" si="15"/>
        <v>7301028</v>
      </c>
      <c r="L320" s="50"/>
      <c r="M320" s="232">
        <v>63368</v>
      </c>
      <c r="N320" s="232">
        <v>0</v>
      </c>
      <c r="O320" s="231">
        <v>0</v>
      </c>
      <c r="P320" s="88">
        <f t="shared" si="16"/>
        <v>63368</v>
      </c>
      <c r="Q320" s="50"/>
      <c r="R320" s="232">
        <v>3400169</v>
      </c>
      <c r="S320" s="231">
        <v>595668</v>
      </c>
      <c r="T320" s="233">
        <v>3995837</v>
      </c>
    </row>
    <row r="321" spans="1:20">
      <c r="A321" s="48">
        <v>93211</v>
      </c>
      <c r="B321" s="49" t="s">
        <v>1021</v>
      </c>
      <c r="C321" s="234">
        <v>2.1090299999999999E-2</v>
      </c>
      <c r="D321" s="234">
        <v>2.0374099999999999E-2</v>
      </c>
      <c r="E321" s="195">
        <v>50033404</v>
      </c>
      <c r="F321" s="195" t="s">
        <v>1924</v>
      </c>
      <c r="G321" s="232">
        <v>7718965</v>
      </c>
      <c r="H321" s="220">
        <v>6868098</v>
      </c>
      <c r="I321" s="232">
        <v>13276934</v>
      </c>
      <c r="J321" s="231">
        <v>418893</v>
      </c>
      <c r="K321" s="88">
        <f t="shared" si="15"/>
        <v>28282890</v>
      </c>
      <c r="L321" s="50"/>
      <c r="M321" s="232">
        <v>259010</v>
      </c>
      <c r="N321" s="232">
        <v>0</v>
      </c>
      <c r="O321" s="231">
        <v>485736</v>
      </c>
      <c r="P321" s="88">
        <f t="shared" si="16"/>
        <v>744746</v>
      </c>
      <c r="Q321" s="50"/>
      <c r="R321" s="232">
        <v>13897938</v>
      </c>
      <c r="S321" s="231">
        <v>-400564</v>
      </c>
      <c r="T321" s="233">
        <v>13497374</v>
      </c>
    </row>
    <row r="322" spans="1:20">
      <c r="A322" s="48">
        <v>93212</v>
      </c>
      <c r="B322" s="49" t="s">
        <v>1022</v>
      </c>
      <c r="C322" s="234">
        <v>2.7540000000000003E-4</v>
      </c>
      <c r="D322" s="234">
        <v>2.2130000000000001E-4</v>
      </c>
      <c r="E322" s="195">
        <v>653343</v>
      </c>
      <c r="F322" s="195" t="s">
        <v>1924</v>
      </c>
      <c r="G322" s="232">
        <v>100795</v>
      </c>
      <c r="H322" s="220">
        <v>89685</v>
      </c>
      <c r="I322" s="232">
        <v>173372</v>
      </c>
      <c r="J322" s="231">
        <v>231765</v>
      </c>
      <c r="K322" s="88">
        <f t="shared" si="15"/>
        <v>595617</v>
      </c>
      <c r="L322" s="50"/>
      <c r="M322" s="232">
        <v>3382</v>
      </c>
      <c r="N322" s="232">
        <v>0</v>
      </c>
      <c r="O322" s="231">
        <v>0</v>
      </c>
      <c r="P322" s="88">
        <f t="shared" si="16"/>
        <v>3382</v>
      </c>
      <c r="Q322" s="50"/>
      <c r="R322" s="232">
        <v>181481</v>
      </c>
      <c r="S322" s="231">
        <v>85113</v>
      </c>
      <c r="T322" s="233">
        <v>266594</v>
      </c>
    </row>
    <row r="323" spans="1:20">
      <c r="A323" s="48">
        <v>93219</v>
      </c>
      <c r="B323" s="49" t="s">
        <v>1023</v>
      </c>
      <c r="C323" s="234">
        <v>2.5329999999999998E-4</v>
      </c>
      <c r="D323" s="234">
        <v>2.6289999999999999E-4</v>
      </c>
      <c r="E323" s="195">
        <v>600914</v>
      </c>
      <c r="F323" s="195" t="s">
        <v>1924</v>
      </c>
      <c r="G323" s="232">
        <v>92707</v>
      </c>
      <c r="H323" s="220">
        <v>82487</v>
      </c>
      <c r="I323" s="232">
        <v>159459</v>
      </c>
      <c r="J323" s="231">
        <v>16940</v>
      </c>
      <c r="K323" s="88">
        <f t="shared" si="15"/>
        <v>351593</v>
      </c>
      <c r="L323" s="50"/>
      <c r="M323" s="232">
        <v>3111</v>
      </c>
      <c r="N323" s="232">
        <v>0</v>
      </c>
      <c r="O323" s="231">
        <v>7235</v>
      </c>
      <c r="P323" s="88">
        <f t="shared" si="16"/>
        <v>10346</v>
      </c>
      <c r="Q323" s="50"/>
      <c r="R323" s="232">
        <v>166918</v>
      </c>
      <c r="S323" s="231">
        <v>841</v>
      </c>
      <c r="T323" s="233">
        <v>167759</v>
      </c>
    </row>
    <row r="324" spans="1:20">
      <c r="A324" s="48">
        <v>93301</v>
      </c>
      <c r="B324" s="49" t="s">
        <v>1024</v>
      </c>
      <c r="C324" s="234">
        <v>2.3299000000000002E-3</v>
      </c>
      <c r="D324" s="234">
        <v>2.5243000000000002E-3</v>
      </c>
      <c r="E324" s="195">
        <v>5527320</v>
      </c>
      <c r="F324" s="195" t="s">
        <v>1924</v>
      </c>
      <c r="G324" s="232">
        <v>852734</v>
      </c>
      <c r="H324" s="220">
        <v>758737</v>
      </c>
      <c r="I324" s="232">
        <v>1466737</v>
      </c>
      <c r="J324" s="231">
        <v>30807</v>
      </c>
      <c r="K324" s="88">
        <f t="shared" si="15"/>
        <v>3109015</v>
      </c>
      <c r="L324" s="50"/>
      <c r="M324" s="232">
        <v>28614</v>
      </c>
      <c r="N324" s="232">
        <v>0</v>
      </c>
      <c r="O324" s="231">
        <v>198572</v>
      </c>
      <c r="P324" s="88">
        <f t="shared" si="16"/>
        <v>227186</v>
      </c>
      <c r="Q324" s="50"/>
      <c r="R324" s="232">
        <v>1535341</v>
      </c>
      <c r="S324" s="231">
        <v>-62950</v>
      </c>
      <c r="T324" s="233">
        <v>1472391</v>
      </c>
    </row>
    <row r="325" spans="1:20">
      <c r="A325" s="48">
        <v>93304</v>
      </c>
      <c r="B325" s="49" t="s">
        <v>1025</v>
      </c>
      <c r="C325" s="234">
        <v>3.3399999999999999E-5</v>
      </c>
      <c r="D325" s="234">
        <v>3.0300000000000001E-5</v>
      </c>
      <c r="E325" s="195">
        <v>79236</v>
      </c>
      <c r="F325" s="195" t="s">
        <v>1924</v>
      </c>
      <c r="G325" s="232">
        <v>12224</v>
      </c>
      <c r="H325" s="220">
        <v>10877</v>
      </c>
      <c r="I325" s="232">
        <v>21026</v>
      </c>
      <c r="J325" s="231">
        <v>10139</v>
      </c>
      <c r="K325" s="88">
        <f t="shared" si="15"/>
        <v>54266</v>
      </c>
      <c r="L325" s="50"/>
      <c r="M325" s="232">
        <v>410</v>
      </c>
      <c r="N325" s="232">
        <v>0</v>
      </c>
      <c r="O325" s="231">
        <v>0</v>
      </c>
      <c r="P325" s="88">
        <f t="shared" si="16"/>
        <v>410</v>
      </c>
      <c r="Q325" s="50"/>
      <c r="R325" s="232">
        <v>22010</v>
      </c>
      <c r="S325" s="231">
        <v>6577</v>
      </c>
      <c r="T325" s="233">
        <v>28587</v>
      </c>
    </row>
    <row r="326" spans="1:20">
      <c r="A326" s="48">
        <v>93305</v>
      </c>
      <c r="B326" s="49" t="s">
        <v>1026</v>
      </c>
      <c r="C326" s="234">
        <v>4.4799999999999998E-5</v>
      </c>
      <c r="D326" s="234">
        <v>4.6999999999999997E-5</v>
      </c>
      <c r="E326" s="195">
        <v>106281</v>
      </c>
      <c r="F326" s="195" t="s">
        <v>1924</v>
      </c>
      <c r="G326" s="232">
        <v>16397</v>
      </c>
      <c r="H326" s="220">
        <v>14590</v>
      </c>
      <c r="I326" s="232">
        <v>28203</v>
      </c>
      <c r="J326" s="231">
        <v>0</v>
      </c>
      <c r="K326" s="88">
        <f t="shared" si="15"/>
        <v>59190</v>
      </c>
      <c r="L326" s="50"/>
      <c r="M326" s="232">
        <v>550</v>
      </c>
      <c r="N326" s="232">
        <v>0</v>
      </c>
      <c r="O326" s="231">
        <v>6061</v>
      </c>
      <c r="P326" s="88">
        <f t="shared" si="16"/>
        <v>6611</v>
      </c>
      <c r="Q326" s="50"/>
      <c r="R326" s="232">
        <v>29522</v>
      </c>
      <c r="S326" s="231">
        <v>-2514</v>
      </c>
      <c r="T326" s="233">
        <v>27008</v>
      </c>
    </row>
    <row r="327" spans="1:20">
      <c r="A327" s="48">
        <v>93309</v>
      </c>
      <c r="B327" s="49" t="s">
        <v>1027</v>
      </c>
      <c r="C327" s="234">
        <v>1.6430000000000001E-4</v>
      </c>
      <c r="D327" s="234">
        <v>1.63E-4</v>
      </c>
      <c r="E327" s="200">
        <v>389776</v>
      </c>
      <c r="F327" s="200" t="s">
        <v>1924</v>
      </c>
      <c r="G327" s="232">
        <v>60133</v>
      </c>
      <c r="H327" s="220">
        <v>53504</v>
      </c>
      <c r="I327" s="232">
        <v>103431</v>
      </c>
      <c r="J327" s="231">
        <v>30559</v>
      </c>
      <c r="K327" s="88">
        <f t="shared" si="15"/>
        <v>247627</v>
      </c>
      <c r="L327" s="50"/>
      <c r="M327" s="232">
        <v>2018</v>
      </c>
      <c r="N327" s="232">
        <v>0</v>
      </c>
      <c r="O327" s="231">
        <v>0</v>
      </c>
      <c r="P327" s="88">
        <f t="shared" si="16"/>
        <v>2018</v>
      </c>
      <c r="Q327" s="50"/>
      <c r="R327" s="232">
        <v>108269</v>
      </c>
      <c r="S327" s="231">
        <v>11215</v>
      </c>
      <c r="T327" s="233">
        <v>119484</v>
      </c>
    </row>
    <row r="328" spans="1:20">
      <c r="A328" s="48">
        <v>93311</v>
      </c>
      <c r="B328" s="49" t="s">
        <v>2252</v>
      </c>
      <c r="C328" s="234">
        <v>1.2439E-3</v>
      </c>
      <c r="D328" s="234">
        <v>1.1665E-3</v>
      </c>
      <c r="E328" s="200">
        <v>2950956</v>
      </c>
      <c r="F328" s="200" t="s">
        <v>1924</v>
      </c>
      <c r="G328" s="232">
        <v>455262</v>
      </c>
      <c r="H328" s="220">
        <v>405079</v>
      </c>
      <c r="I328" s="232">
        <v>783070</v>
      </c>
      <c r="J328" s="231">
        <v>22773</v>
      </c>
      <c r="K328" s="88">
        <f t="shared" si="15"/>
        <v>1666184</v>
      </c>
      <c r="L328" s="50"/>
      <c r="M328" s="232">
        <v>15276</v>
      </c>
      <c r="N328" s="232">
        <v>0</v>
      </c>
      <c r="O328" s="231">
        <v>45734</v>
      </c>
      <c r="P328" s="88">
        <f t="shared" si="16"/>
        <v>61010</v>
      </c>
      <c r="Q328" s="50"/>
      <c r="R328" s="232">
        <v>819697</v>
      </c>
      <c r="S328" s="231">
        <v>-32212</v>
      </c>
      <c r="T328" s="233">
        <v>787485</v>
      </c>
    </row>
    <row r="329" spans="1:20">
      <c r="A329" s="48">
        <v>93317</v>
      </c>
      <c r="B329" s="49" t="s">
        <v>1029</v>
      </c>
      <c r="C329" s="234">
        <v>4.8300000000000002E-5</v>
      </c>
      <c r="D329" s="234">
        <v>5.0099999999999998E-5</v>
      </c>
      <c r="E329" s="200">
        <v>114584</v>
      </c>
      <c r="F329" s="200" t="s">
        <v>1924</v>
      </c>
      <c r="G329" s="232">
        <v>17678</v>
      </c>
      <c r="H329" s="220">
        <v>15729</v>
      </c>
      <c r="I329" s="232">
        <v>30406</v>
      </c>
      <c r="J329" s="231">
        <v>550</v>
      </c>
      <c r="K329" s="88">
        <f t="shared" si="15"/>
        <v>64363</v>
      </c>
      <c r="L329" s="50"/>
      <c r="M329" s="232">
        <v>593</v>
      </c>
      <c r="N329" s="232">
        <v>0</v>
      </c>
      <c r="O329" s="231">
        <v>2758</v>
      </c>
      <c r="P329" s="88">
        <f t="shared" si="16"/>
        <v>3351</v>
      </c>
      <c r="Q329" s="50"/>
      <c r="R329" s="232">
        <v>31828</v>
      </c>
      <c r="S329" s="231">
        <v>-711</v>
      </c>
      <c r="T329" s="233">
        <v>31117</v>
      </c>
    </row>
    <row r="330" spans="1:20">
      <c r="A330" s="48">
        <v>93321</v>
      </c>
      <c r="B330" s="49" t="s">
        <v>1030</v>
      </c>
      <c r="C330" s="234">
        <v>7.0657000000000003E-3</v>
      </c>
      <c r="D330" s="234">
        <v>7.3600000000000002E-3</v>
      </c>
      <c r="E330" s="200">
        <v>16762257</v>
      </c>
      <c r="F330" s="200" t="s">
        <v>1924</v>
      </c>
      <c r="G330" s="232">
        <v>2586018</v>
      </c>
      <c r="H330" s="220">
        <v>2300960</v>
      </c>
      <c r="I330" s="232">
        <v>4448056</v>
      </c>
      <c r="J330" s="231">
        <v>0</v>
      </c>
      <c r="K330" s="88">
        <f t="shared" si="15"/>
        <v>9335034</v>
      </c>
      <c r="L330" s="50"/>
      <c r="M330" s="232">
        <v>86774</v>
      </c>
      <c r="N330" s="232">
        <v>0</v>
      </c>
      <c r="O330" s="231">
        <v>623798</v>
      </c>
      <c r="P330" s="88">
        <f t="shared" si="16"/>
        <v>710572</v>
      </c>
      <c r="Q330" s="50"/>
      <c r="R330" s="232">
        <v>4656106</v>
      </c>
      <c r="S330" s="231">
        <v>-396274</v>
      </c>
      <c r="T330" s="233">
        <v>4259832</v>
      </c>
    </row>
    <row r="331" spans="1:20">
      <c r="A331" s="48">
        <v>93323</v>
      </c>
      <c r="B331" s="49" t="s">
        <v>1031</v>
      </c>
      <c r="C331" s="234">
        <v>1.9300000000000002E-5</v>
      </c>
      <c r="D331" s="234">
        <v>2.19E-5</v>
      </c>
      <c r="E331" s="200">
        <v>45786</v>
      </c>
      <c r="F331" s="200" t="s">
        <v>1924</v>
      </c>
      <c r="G331" s="232">
        <v>7064</v>
      </c>
      <c r="H331" s="220">
        <v>6286</v>
      </c>
      <c r="I331" s="232">
        <v>12150</v>
      </c>
      <c r="J331" s="231">
        <v>5709</v>
      </c>
      <c r="K331" s="88">
        <f t="shared" si="15"/>
        <v>31209</v>
      </c>
      <c r="L331" s="50"/>
      <c r="M331" s="232">
        <v>237</v>
      </c>
      <c r="N331" s="232">
        <v>0</v>
      </c>
      <c r="O331" s="231">
        <v>2583</v>
      </c>
      <c r="P331" s="88">
        <f t="shared" si="16"/>
        <v>2820</v>
      </c>
      <c r="Q331" s="50"/>
      <c r="R331" s="232">
        <v>12718</v>
      </c>
      <c r="S331" s="231">
        <v>2046</v>
      </c>
      <c r="T331" s="233">
        <v>14764</v>
      </c>
    </row>
    <row r="332" spans="1:20">
      <c r="A332" s="48">
        <v>93331</v>
      </c>
      <c r="B332" s="49" t="s">
        <v>2253</v>
      </c>
      <c r="C332" s="234">
        <v>1.22E-4</v>
      </c>
      <c r="D332" s="234">
        <v>1.208E-4</v>
      </c>
      <c r="E332" s="200">
        <v>289426</v>
      </c>
      <c r="F332" s="200" t="s">
        <v>1924</v>
      </c>
      <c r="G332" s="232">
        <v>44652</v>
      </c>
      <c r="H332" s="220">
        <v>39730</v>
      </c>
      <c r="I332" s="232">
        <v>76802</v>
      </c>
      <c r="J332" s="231">
        <v>5671</v>
      </c>
      <c r="K332" s="88">
        <f t="shared" si="15"/>
        <v>166855</v>
      </c>
      <c r="L332" s="50"/>
      <c r="M332" s="232">
        <v>1498</v>
      </c>
      <c r="N332" s="232">
        <v>0</v>
      </c>
      <c r="O332" s="231">
        <v>6870</v>
      </c>
      <c r="P332" s="88">
        <f t="shared" si="16"/>
        <v>8368</v>
      </c>
      <c r="Q332" s="50"/>
      <c r="R332" s="232">
        <v>80395</v>
      </c>
      <c r="S332" s="231">
        <v>-1201</v>
      </c>
      <c r="T332" s="233">
        <v>79194</v>
      </c>
    </row>
    <row r="333" spans="1:20">
      <c r="A333" s="48">
        <v>93333</v>
      </c>
      <c r="B333" s="49" t="s">
        <v>1033</v>
      </c>
      <c r="C333" s="234">
        <v>1.685E-4</v>
      </c>
      <c r="D333" s="234">
        <v>1.796E-4</v>
      </c>
      <c r="E333" s="200">
        <v>399740</v>
      </c>
      <c r="F333" s="200" t="s">
        <v>1924</v>
      </c>
      <c r="G333" s="232">
        <v>61670</v>
      </c>
      <c r="H333" s="220">
        <v>54872</v>
      </c>
      <c r="I333" s="232">
        <v>106075</v>
      </c>
      <c r="J333" s="231">
        <v>128475</v>
      </c>
      <c r="K333" s="88">
        <f t="shared" si="15"/>
        <v>351092</v>
      </c>
      <c r="L333" s="50"/>
      <c r="M333" s="232">
        <v>2069</v>
      </c>
      <c r="N333" s="232">
        <v>0</v>
      </c>
      <c r="O333" s="231">
        <v>0</v>
      </c>
      <c r="P333" s="88">
        <f t="shared" si="16"/>
        <v>2069</v>
      </c>
      <c r="Q333" s="50"/>
      <c r="R333" s="232">
        <v>111037</v>
      </c>
      <c r="S333" s="231">
        <v>76738</v>
      </c>
      <c r="T333" s="233">
        <v>187775</v>
      </c>
    </row>
    <row r="334" spans="1:20">
      <c r="A334" s="48">
        <v>93341</v>
      </c>
      <c r="B334" s="49" t="s">
        <v>2254</v>
      </c>
      <c r="C334" s="234">
        <v>2.7500000000000001E-5</v>
      </c>
      <c r="D334" s="234">
        <v>2.34E-5</v>
      </c>
      <c r="E334" s="200">
        <v>65239</v>
      </c>
      <c r="F334" s="200" t="s">
        <v>1924</v>
      </c>
      <c r="G334" s="232">
        <v>10065</v>
      </c>
      <c r="H334" s="220">
        <v>8955</v>
      </c>
      <c r="I334" s="232">
        <v>17312</v>
      </c>
      <c r="J334" s="231">
        <v>4514</v>
      </c>
      <c r="K334" s="88">
        <f t="shared" si="15"/>
        <v>40846</v>
      </c>
      <c r="L334" s="50"/>
      <c r="M334" s="232">
        <v>338</v>
      </c>
      <c r="N334" s="232">
        <v>0</v>
      </c>
      <c r="O334" s="231">
        <v>647</v>
      </c>
      <c r="P334" s="88">
        <f t="shared" si="16"/>
        <v>985</v>
      </c>
      <c r="Q334" s="50"/>
      <c r="R334" s="232">
        <v>18122</v>
      </c>
      <c r="S334" s="231">
        <v>1598</v>
      </c>
      <c r="T334" s="233">
        <v>19720</v>
      </c>
    </row>
    <row r="335" spans="1:20">
      <c r="A335" s="48">
        <v>93351</v>
      </c>
      <c r="B335" s="49" t="s">
        <v>2255</v>
      </c>
      <c r="C335" s="234">
        <v>1.7600000000000001E-5</v>
      </c>
      <c r="D335" s="234">
        <v>3.4E-5</v>
      </c>
      <c r="E335" s="200">
        <v>41753</v>
      </c>
      <c r="F335" s="200" t="s">
        <v>1924</v>
      </c>
      <c r="G335" s="232">
        <v>6442</v>
      </c>
      <c r="H335" s="220">
        <v>5731</v>
      </c>
      <c r="I335" s="232">
        <v>11080</v>
      </c>
      <c r="J335" s="231">
        <v>13531</v>
      </c>
      <c r="K335" s="88">
        <f t="shared" si="15"/>
        <v>36784</v>
      </c>
      <c r="L335" s="50"/>
      <c r="M335" s="232">
        <v>216</v>
      </c>
      <c r="N335" s="232">
        <v>0</v>
      </c>
      <c r="O335" s="231">
        <v>12460</v>
      </c>
      <c r="P335" s="88">
        <f t="shared" si="16"/>
        <v>12676</v>
      </c>
      <c r="Q335" s="50"/>
      <c r="R335" s="232">
        <v>11598</v>
      </c>
      <c r="S335" s="231">
        <v>228</v>
      </c>
      <c r="T335" s="233">
        <v>11826</v>
      </c>
    </row>
    <row r="336" spans="1:20">
      <c r="A336" s="48">
        <v>93401</v>
      </c>
      <c r="B336" s="49" t="s">
        <v>1036</v>
      </c>
      <c r="C336" s="234">
        <v>1.40187E-2</v>
      </c>
      <c r="D336" s="234">
        <v>1.3834900000000001E-2</v>
      </c>
      <c r="E336" s="200">
        <v>33257151</v>
      </c>
      <c r="F336" s="200" t="s">
        <v>1924</v>
      </c>
      <c r="G336" s="232">
        <v>5130788</v>
      </c>
      <c r="H336" s="220">
        <v>4565217</v>
      </c>
      <c r="I336" s="232">
        <v>8825164</v>
      </c>
      <c r="J336" s="231">
        <v>179357</v>
      </c>
      <c r="K336" s="88">
        <f t="shared" ref="K336:K400" si="17">G336+H336+I336+J336</f>
        <v>18700526</v>
      </c>
      <c r="L336" s="50"/>
      <c r="M336" s="232">
        <v>172164</v>
      </c>
      <c r="N336" s="232">
        <v>0</v>
      </c>
      <c r="O336" s="231">
        <v>63750</v>
      </c>
      <c r="P336" s="88">
        <f t="shared" ref="P336:P400" si="18">M336+N336+O336</f>
        <v>235914</v>
      </c>
      <c r="Q336" s="50"/>
      <c r="R336" s="232">
        <v>9237945</v>
      </c>
      <c r="S336" s="231">
        <v>-44240</v>
      </c>
      <c r="T336" s="233">
        <v>9193705</v>
      </c>
    </row>
    <row r="337" spans="1:20">
      <c r="A337" s="48">
        <v>93402</v>
      </c>
      <c r="B337" s="49" t="s">
        <v>1037</v>
      </c>
      <c r="C337" s="234">
        <v>9.6399999999999999E-5</v>
      </c>
      <c r="D337" s="234">
        <v>9.8800000000000003E-5</v>
      </c>
      <c r="E337" s="200">
        <v>228694</v>
      </c>
      <c r="F337" s="200" t="s">
        <v>1924</v>
      </c>
      <c r="G337" s="232">
        <v>35282</v>
      </c>
      <c r="H337" s="220">
        <v>31393</v>
      </c>
      <c r="I337" s="232">
        <v>60686</v>
      </c>
      <c r="J337" s="231">
        <v>1484</v>
      </c>
      <c r="K337" s="88">
        <f t="shared" si="17"/>
        <v>128845</v>
      </c>
      <c r="L337" s="50"/>
      <c r="M337" s="232">
        <v>1184</v>
      </c>
      <c r="N337" s="232">
        <v>0</v>
      </c>
      <c r="O337" s="231">
        <v>10261</v>
      </c>
      <c r="P337" s="88">
        <f t="shared" si="18"/>
        <v>11445</v>
      </c>
      <c r="Q337" s="50"/>
      <c r="R337" s="232">
        <v>63525</v>
      </c>
      <c r="S337" s="231">
        <v>1040</v>
      </c>
      <c r="T337" s="233">
        <v>64565</v>
      </c>
    </row>
    <row r="338" spans="1:20">
      <c r="A338" s="48">
        <v>93406</v>
      </c>
      <c r="B338" s="49" t="s">
        <v>1038</v>
      </c>
      <c r="C338" s="234">
        <v>5.0830000000000005E-4</v>
      </c>
      <c r="D338" s="234">
        <v>6.5059999999999998E-4</v>
      </c>
      <c r="E338" s="200">
        <v>1205861</v>
      </c>
      <c r="F338" s="200" t="s">
        <v>1924</v>
      </c>
      <c r="G338" s="232">
        <v>186036</v>
      </c>
      <c r="H338" s="220">
        <v>165529</v>
      </c>
      <c r="I338" s="232">
        <v>319989</v>
      </c>
      <c r="J338" s="231">
        <v>7137</v>
      </c>
      <c r="K338" s="88">
        <f t="shared" si="17"/>
        <v>678691</v>
      </c>
      <c r="L338" s="50"/>
      <c r="M338" s="232">
        <v>6242</v>
      </c>
      <c r="N338" s="232">
        <v>0</v>
      </c>
      <c r="O338" s="231">
        <v>129835</v>
      </c>
      <c r="P338" s="88">
        <f t="shared" si="18"/>
        <v>136077</v>
      </c>
      <c r="Q338" s="50"/>
      <c r="R338" s="232">
        <v>334956</v>
      </c>
      <c r="S338" s="231">
        <v>-16548</v>
      </c>
      <c r="T338" s="233">
        <v>318408</v>
      </c>
    </row>
    <row r="339" spans="1:20">
      <c r="A339" s="48">
        <v>93408</v>
      </c>
      <c r="B339" s="49" t="s">
        <v>1039</v>
      </c>
      <c r="C339" s="234">
        <v>0</v>
      </c>
      <c r="D339" s="234">
        <v>0</v>
      </c>
      <c r="E339" s="200">
        <v>0</v>
      </c>
      <c r="F339" s="200" t="s">
        <v>1924</v>
      </c>
      <c r="G339" s="232">
        <v>0</v>
      </c>
      <c r="H339" s="220">
        <v>0</v>
      </c>
      <c r="I339" s="232">
        <v>0</v>
      </c>
      <c r="J339" s="231">
        <v>26519</v>
      </c>
      <c r="K339" s="88">
        <f t="shared" si="17"/>
        <v>26519</v>
      </c>
      <c r="L339" s="50"/>
      <c r="M339" s="232">
        <v>0</v>
      </c>
      <c r="N339" s="232">
        <v>0</v>
      </c>
      <c r="O339" s="231">
        <v>1164660</v>
      </c>
      <c r="P339" s="88">
        <f t="shared" si="18"/>
        <v>1164660</v>
      </c>
      <c r="Q339" s="50"/>
      <c r="R339" s="232">
        <v>0</v>
      </c>
      <c r="S339" s="231">
        <v>-293308</v>
      </c>
      <c r="T339" s="233">
        <v>-293308</v>
      </c>
    </row>
    <row r="340" spans="1:20">
      <c r="A340" s="48">
        <v>93411</v>
      </c>
      <c r="B340" s="49" t="s">
        <v>1040</v>
      </c>
      <c r="C340" s="234">
        <v>1.8113199999999999E-2</v>
      </c>
      <c r="D340" s="234">
        <v>1.7454999999999998E-2</v>
      </c>
      <c r="E340" s="200">
        <v>42970705</v>
      </c>
      <c r="F340" s="200" t="s">
        <v>1924</v>
      </c>
      <c r="G340" s="232">
        <v>6629359</v>
      </c>
      <c r="H340" s="220">
        <v>5898600</v>
      </c>
      <c r="I340" s="232">
        <v>11402767</v>
      </c>
      <c r="J340" s="231">
        <v>739661</v>
      </c>
      <c r="K340" s="88">
        <f t="shared" si="17"/>
        <v>24670387</v>
      </c>
      <c r="L340" s="50"/>
      <c r="M340" s="232">
        <v>222448</v>
      </c>
      <c r="N340" s="232">
        <v>0</v>
      </c>
      <c r="O340" s="231">
        <v>227877</v>
      </c>
      <c r="P340" s="88">
        <f t="shared" si="18"/>
        <v>450325</v>
      </c>
      <c r="Q340" s="50"/>
      <c r="R340" s="232">
        <v>11936110</v>
      </c>
      <c r="S340" s="231">
        <v>-166296</v>
      </c>
      <c r="T340" s="233">
        <v>11769814</v>
      </c>
    </row>
    <row r="341" spans="1:20">
      <c r="A341" s="48">
        <v>93413</v>
      </c>
      <c r="B341" s="49" t="s">
        <v>1041</v>
      </c>
      <c r="C341" s="234">
        <v>7.1969999999999998E-4</v>
      </c>
      <c r="D341" s="234">
        <v>7.7070000000000003E-4</v>
      </c>
      <c r="E341" s="200">
        <v>1707375</v>
      </c>
      <c r="F341" s="200" t="s">
        <v>1924</v>
      </c>
      <c r="G341" s="232">
        <v>263407</v>
      </c>
      <c r="H341" s="220">
        <v>234372</v>
      </c>
      <c r="I341" s="232">
        <v>453071</v>
      </c>
      <c r="J341" s="231">
        <v>0</v>
      </c>
      <c r="K341" s="88">
        <f t="shared" si="17"/>
        <v>950850</v>
      </c>
      <c r="L341" s="50"/>
      <c r="M341" s="232">
        <v>8839</v>
      </c>
      <c r="N341" s="232">
        <v>0</v>
      </c>
      <c r="O341" s="231">
        <v>32288</v>
      </c>
      <c r="P341" s="88">
        <f t="shared" si="18"/>
        <v>41127</v>
      </c>
      <c r="Q341" s="50"/>
      <c r="R341" s="232">
        <v>474263</v>
      </c>
      <c r="S341" s="231">
        <v>-21077</v>
      </c>
      <c r="T341" s="233">
        <v>453186</v>
      </c>
    </row>
    <row r="342" spans="1:20">
      <c r="A342" s="48">
        <v>93417</v>
      </c>
      <c r="B342" s="49" t="s">
        <v>1042</v>
      </c>
      <c r="C342" s="234">
        <v>3.279E-4</v>
      </c>
      <c r="D342" s="234">
        <v>3.4430000000000002E-4</v>
      </c>
      <c r="E342" s="200">
        <v>777891</v>
      </c>
      <c r="F342" s="200" t="s">
        <v>1924</v>
      </c>
      <c r="G342" s="232">
        <v>120010</v>
      </c>
      <c r="H342" s="220">
        <v>106782</v>
      </c>
      <c r="I342" s="232">
        <v>206422</v>
      </c>
      <c r="J342" s="231">
        <v>10888</v>
      </c>
      <c r="K342" s="88">
        <f t="shared" si="17"/>
        <v>444102</v>
      </c>
      <c r="L342" s="50"/>
      <c r="M342" s="232">
        <v>4027</v>
      </c>
      <c r="N342" s="232">
        <v>0</v>
      </c>
      <c r="O342" s="231">
        <v>24803</v>
      </c>
      <c r="P342" s="88">
        <f t="shared" si="18"/>
        <v>28830</v>
      </c>
      <c r="Q342" s="50"/>
      <c r="R342" s="232">
        <v>216077</v>
      </c>
      <c r="S342" s="231">
        <v>8121</v>
      </c>
      <c r="T342" s="233">
        <v>224198</v>
      </c>
    </row>
    <row r="343" spans="1:20">
      <c r="A343" s="48">
        <v>93421</v>
      </c>
      <c r="B343" s="49" t="s">
        <v>2256</v>
      </c>
      <c r="C343" s="234">
        <v>2.1354999999999998E-3</v>
      </c>
      <c r="D343" s="234">
        <v>2.1294999999999999E-3</v>
      </c>
      <c r="E343" s="200">
        <v>5066136</v>
      </c>
      <c r="F343" s="200" t="s">
        <v>1924</v>
      </c>
      <c r="G343" s="232">
        <v>781584</v>
      </c>
      <c r="H343" s="220">
        <v>695430</v>
      </c>
      <c r="I343" s="232">
        <v>1344357</v>
      </c>
      <c r="J343" s="231">
        <v>0</v>
      </c>
      <c r="K343" s="88">
        <f t="shared" si="17"/>
        <v>2821371</v>
      </c>
      <c r="L343" s="50"/>
      <c r="M343" s="232">
        <v>26226</v>
      </c>
      <c r="N343" s="232">
        <v>0</v>
      </c>
      <c r="O343" s="231">
        <v>215571</v>
      </c>
      <c r="P343" s="88">
        <f t="shared" si="18"/>
        <v>241797</v>
      </c>
      <c r="Q343" s="50"/>
      <c r="R343" s="232">
        <v>1407237</v>
      </c>
      <c r="S343" s="231">
        <v>-143206</v>
      </c>
      <c r="T343" s="233">
        <v>1264031</v>
      </c>
    </row>
    <row r="344" spans="1:20">
      <c r="A344" s="48">
        <v>93431</v>
      </c>
      <c r="B344" s="49" t="s">
        <v>2257</v>
      </c>
      <c r="C344" s="234">
        <v>1.393E-4</v>
      </c>
      <c r="D344" s="234">
        <v>1.2689999999999999E-4</v>
      </c>
      <c r="E344" s="200">
        <v>330467</v>
      </c>
      <c r="F344" s="200" t="s">
        <v>1924</v>
      </c>
      <c r="G344" s="232">
        <v>50983</v>
      </c>
      <c r="H344" s="220">
        <v>45363</v>
      </c>
      <c r="I344" s="232">
        <v>87693</v>
      </c>
      <c r="J344" s="231">
        <v>17651</v>
      </c>
      <c r="K344" s="88">
        <f t="shared" si="17"/>
        <v>201690</v>
      </c>
      <c r="L344" s="50"/>
      <c r="M344" s="232">
        <v>1711</v>
      </c>
      <c r="N344" s="232">
        <v>0</v>
      </c>
      <c r="O344" s="231">
        <v>3344</v>
      </c>
      <c r="P344" s="88">
        <f t="shared" si="18"/>
        <v>5055</v>
      </c>
      <c r="Q344" s="50"/>
      <c r="R344" s="232">
        <v>91795</v>
      </c>
      <c r="S344" s="231">
        <v>3930</v>
      </c>
      <c r="T344" s="233">
        <v>95725</v>
      </c>
    </row>
    <row r="345" spans="1:20">
      <c r="A345" s="48">
        <v>93441</v>
      </c>
      <c r="B345" s="49" t="s">
        <v>2480</v>
      </c>
      <c r="C345" s="234">
        <v>1.651E-4</v>
      </c>
      <c r="D345" s="234">
        <v>1.54E-4</v>
      </c>
      <c r="E345" s="200">
        <v>391674</v>
      </c>
      <c r="F345" s="200" t="s">
        <v>1924</v>
      </c>
      <c r="G345" s="232">
        <v>60426</v>
      </c>
      <c r="H345" s="220">
        <v>53765</v>
      </c>
      <c r="I345" s="232">
        <v>103935</v>
      </c>
      <c r="J345" s="231">
        <v>21962</v>
      </c>
      <c r="K345" s="88">
        <f t="shared" si="17"/>
        <v>240088</v>
      </c>
      <c r="L345" s="50"/>
      <c r="M345" s="232">
        <v>2028</v>
      </c>
      <c r="N345" s="232">
        <v>0</v>
      </c>
      <c r="O345" s="231">
        <v>0</v>
      </c>
      <c r="P345" s="88">
        <f t="shared" si="18"/>
        <v>2028</v>
      </c>
      <c r="Q345" s="50"/>
      <c r="R345" s="232">
        <v>108796</v>
      </c>
      <c r="S345" s="231">
        <v>16238</v>
      </c>
      <c r="T345" s="233">
        <v>125034</v>
      </c>
    </row>
    <row r="346" spans="1:20">
      <c r="A346" s="48">
        <v>93442</v>
      </c>
      <c r="B346" s="49" t="s">
        <v>1046</v>
      </c>
      <c r="C346" s="234">
        <v>1.5139999999999999E-4</v>
      </c>
      <c r="D346" s="234">
        <v>1.505E-4</v>
      </c>
      <c r="E346" s="200">
        <v>359173</v>
      </c>
      <c r="F346" s="200" t="s">
        <v>1924</v>
      </c>
      <c r="G346" s="232">
        <v>55412</v>
      </c>
      <c r="H346" s="220">
        <v>49304</v>
      </c>
      <c r="I346" s="232">
        <v>95311</v>
      </c>
      <c r="J346" s="231">
        <v>2596</v>
      </c>
      <c r="K346" s="88">
        <f t="shared" si="17"/>
        <v>202623</v>
      </c>
      <c r="L346" s="50"/>
      <c r="M346" s="232">
        <v>1859</v>
      </c>
      <c r="N346" s="232">
        <v>0</v>
      </c>
      <c r="O346" s="231">
        <v>18150</v>
      </c>
      <c r="P346" s="88">
        <f t="shared" si="18"/>
        <v>20009</v>
      </c>
      <c r="Q346" s="50"/>
      <c r="R346" s="232">
        <v>99769</v>
      </c>
      <c r="S346" s="231">
        <v>-7850</v>
      </c>
      <c r="T346" s="233">
        <v>91919</v>
      </c>
    </row>
    <row r="347" spans="1:20">
      <c r="A347" s="48">
        <v>93451</v>
      </c>
      <c r="B347" s="49" t="s">
        <v>2258</v>
      </c>
      <c r="C347" s="234">
        <v>7.9599999999999997E-5</v>
      </c>
      <c r="D347" s="234">
        <v>7.0900000000000002E-5</v>
      </c>
      <c r="E347" s="200">
        <v>188838</v>
      </c>
      <c r="F347" s="200" t="s">
        <v>1924</v>
      </c>
      <c r="G347" s="232">
        <v>29133</v>
      </c>
      <c r="H347" s="220">
        <v>25922</v>
      </c>
      <c r="I347" s="232">
        <v>50110</v>
      </c>
      <c r="J347" s="231">
        <v>21182</v>
      </c>
      <c r="K347" s="88">
        <f t="shared" si="17"/>
        <v>126347</v>
      </c>
      <c r="L347" s="50"/>
      <c r="M347" s="232">
        <v>978</v>
      </c>
      <c r="N347" s="232">
        <v>0</v>
      </c>
      <c r="O347" s="231">
        <v>0</v>
      </c>
      <c r="P347" s="88">
        <f t="shared" si="18"/>
        <v>978</v>
      </c>
      <c r="Q347" s="50"/>
      <c r="R347" s="232">
        <v>52454</v>
      </c>
      <c r="S347" s="231">
        <v>8104</v>
      </c>
      <c r="T347" s="233">
        <v>60558</v>
      </c>
    </row>
    <row r="348" spans="1:20">
      <c r="A348" s="48">
        <v>93461</v>
      </c>
      <c r="B348" s="49" t="s">
        <v>2716</v>
      </c>
      <c r="C348" s="234">
        <v>1.6200000000000001E-5</v>
      </c>
      <c r="D348" s="234">
        <v>1.66E-5</v>
      </c>
      <c r="E348" s="200">
        <v>38432</v>
      </c>
      <c r="F348" s="200" t="s">
        <v>1924</v>
      </c>
      <c r="G348" s="232">
        <v>5929</v>
      </c>
      <c r="H348" s="220">
        <v>5275</v>
      </c>
      <c r="I348" s="232">
        <v>10198</v>
      </c>
      <c r="J348" s="231">
        <v>707</v>
      </c>
      <c r="K348" s="88">
        <f t="shared" si="17"/>
        <v>22109</v>
      </c>
      <c r="L348" s="50"/>
      <c r="M348" s="232">
        <v>199</v>
      </c>
      <c r="N348" s="232">
        <v>0</v>
      </c>
      <c r="O348" s="231">
        <v>0</v>
      </c>
      <c r="P348" s="88">
        <f t="shared" si="18"/>
        <v>199</v>
      </c>
      <c r="Q348" s="50"/>
      <c r="R348" s="232">
        <v>10675</v>
      </c>
      <c r="S348" s="231">
        <v>351</v>
      </c>
      <c r="T348" s="233">
        <v>11026</v>
      </c>
    </row>
    <row r="349" spans="1:20">
      <c r="A349" s="48">
        <v>93471</v>
      </c>
      <c r="B349" s="49" t="s">
        <v>2701</v>
      </c>
      <c r="C349" s="234">
        <v>1.15E-5</v>
      </c>
      <c r="D349" s="234">
        <v>1.31E-5</v>
      </c>
      <c r="E349" s="200">
        <v>27282</v>
      </c>
      <c r="F349" s="200" t="s">
        <v>1924</v>
      </c>
      <c r="G349" s="232">
        <v>4209</v>
      </c>
      <c r="H349" s="220">
        <v>3745</v>
      </c>
      <c r="I349" s="232">
        <v>7240</v>
      </c>
      <c r="J349" s="231">
        <v>4442</v>
      </c>
      <c r="K349" s="88">
        <f t="shared" si="17"/>
        <v>19636</v>
      </c>
      <c r="L349" s="50"/>
      <c r="M349" s="232">
        <v>141</v>
      </c>
      <c r="N349" s="232">
        <v>0</v>
      </c>
      <c r="O349" s="231">
        <v>0</v>
      </c>
      <c r="P349" s="88">
        <f t="shared" si="18"/>
        <v>141</v>
      </c>
      <c r="Q349" s="50"/>
      <c r="R349" s="232">
        <v>7578</v>
      </c>
      <c r="S349" s="231">
        <v>1610</v>
      </c>
      <c r="T349" s="233">
        <v>9188</v>
      </c>
    </row>
    <row r="350" spans="1:20">
      <c r="A350" s="48">
        <v>93501</v>
      </c>
      <c r="B350" s="49" t="s">
        <v>1050</v>
      </c>
      <c r="C350" s="234">
        <v>3.6803000000000001E-3</v>
      </c>
      <c r="D350" s="234">
        <v>3.6113999999999999E-3</v>
      </c>
      <c r="E350" s="200">
        <v>8730930</v>
      </c>
      <c r="F350" s="200" t="s">
        <v>1924</v>
      </c>
      <c r="G350" s="232">
        <v>1346975</v>
      </c>
      <c r="H350" s="220">
        <v>1198497</v>
      </c>
      <c r="I350" s="232">
        <v>2316852</v>
      </c>
      <c r="J350" s="231">
        <v>177586</v>
      </c>
      <c r="K350" s="88">
        <f t="shared" si="17"/>
        <v>5039910</v>
      </c>
      <c r="L350" s="50"/>
      <c r="M350" s="232">
        <v>45198</v>
      </c>
      <c r="N350" s="232">
        <v>0</v>
      </c>
      <c r="O350" s="231">
        <v>37454</v>
      </c>
      <c r="P350" s="88">
        <f t="shared" si="18"/>
        <v>82652</v>
      </c>
      <c r="Q350" s="50"/>
      <c r="R350" s="232">
        <v>2425218</v>
      </c>
      <c r="S350" s="231">
        <v>100778</v>
      </c>
      <c r="T350" s="233">
        <v>2525996</v>
      </c>
    </row>
    <row r="351" spans="1:20">
      <c r="A351" s="48">
        <v>93511</v>
      </c>
      <c r="B351" s="49" t="s">
        <v>2259</v>
      </c>
      <c r="C351" s="234">
        <v>8.8800000000000004E-5</v>
      </c>
      <c r="D351" s="234">
        <v>8.8300000000000005E-5</v>
      </c>
      <c r="E351" s="200">
        <v>210664</v>
      </c>
      <c r="F351" s="200" t="s">
        <v>1924</v>
      </c>
      <c r="G351" s="232">
        <v>32500</v>
      </c>
      <c r="H351" s="220">
        <v>28917</v>
      </c>
      <c r="I351" s="232">
        <v>55902</v>
      </c>
      <c r="J351" s="231">
        <v>5601</v>
      </c>
      <c r="K351" s="88">
        <f t="shared" si="17"/>
        <v>122920</v>
      </c>
      <c r="L351" s="50"/>
      <c r="M351" s="232">
        <v>1091</v>
      </c>
      <c r="N351" s="232">
        <v>0</v>
      </c>
      <c r="O351" s="231">
        <v>8503</v>
      </c>
      <c r="P351" s="88">
        <f t="shared" si="18"/>
        <v>9594</v>
      </c>
      <c r="Q351" s="50"/>
      <c r="R351" s="232">
        <v>58517</v>
      </c>
      <c r="S351" s="231">
        <v>-1309</v>
      </c>
      <c r="T351" s="233">
        <v>57208</v>
      </c>
    </row>
    <row r="352" spans="1:20">
      <c r="A352" s="48">
        <v>93517</v>
      </c>
      <c r="B352" s="49" t="s">
        <v>1052</v>
      </c>
      <c r="C352" s="234">
        <v>5.0000000000000004E-6</v>
      </c>
      <c r="D352" s="234">
        <v>6.0000000000000002E-6</v>
      </c>
      <c r="E352" s="200">
        <v>11862</v>
      </c>
      <c r="F352" s="200" t="s">
        <v>1924</v>
      </c>
      <c r="G352" s="232">
        <v>1830</v>
      </c>
      <c r="H352" s="220">
        <v>1628</v>
      </c>
      <c r="I352" s="232">
        <v>3148</v>
      </c>
      <c r="J352" s="231">
        <v>2812</v>
      </c>
      <c r="K352" s="88">
        <f t="shared" si="17"/>
        <v>9418</v>
      </c>
      <c r="L352" s="50"/>
      <c r="M352" s="232">
        <v>61</v>
      </c>
      <c r="N352" s="232">
        <v>0</v>
      </c>
      <c r="O352" s="231">
        <v>0</v>
      </c>
      <c r="P352" s="88">
        <f t="shared" si="18"/>
        <v>61</v>
      </c>
      <c r="Q352" s="50"/>
      <c r="R352" s="232">
        <v>3295</v>
      </c>
      <c r="S352" s="231">
        <v>1016</v>
      </c>
      <c r="T352" s="233">
        <v>4311</v>
      </c>
    </row>
    <row r="353" spans="1:20">
      <c r="A353" s="48">
        <v>93521</v>
      </c>
      <c r="B353" s="49" t="s">
        <v>2260</v>
      </c>
      <c r="C353" s="234">
        <v>4.639E-4</v>
      </c>
      <c r="D353" s="234">
        <v>4.5649999999999998E-4</v>
      </c>
      <c r="E353" s="200">
        <v>1100529</v>
      </c>
      <c r="F353" s="200" t="s">
        <v>1924</v>
      </c>
      <c r="G353" s="232">
        <v>169786</v>
      </c>
      <c r="H353" s="220">
        <v>151070</v>
      </c>
      <c r="I353" s="232">
        <v>292038</v>
      </c>
      <c r="J353" s="231">
        <v>6931</v>
      </c>
      <c r="K353" s="88">
        <f t="shared" si="17"/>
        <v>619825</v>
      </c>
      <c r="L353" s="50"/>
      <c r="M353" s="232">
        <v>5697</v>
      </c>
      <c r="N353" s="232">
        <v>0</v>
      </c>
      <c r="O353" s="231">
        <v>52279</v>
      </c>
      <c r="P353" s="88">
        <f t="shared" si="18"/>
        <v>57976</v>
      </c>
      <c r="Q353" s="50"/>
      <c r="R353" s="232">
        <v>305698</v>
      </c>
      <c r="S353" s="231">
        <v>-19233</v>
      </c>
      <c r="T353" s="233">
        <v>286465</v>
      </c>
    </row>
    <row r="354" spans="1:20">
      <c r="A354" s="48">
        <v>93527</v>
      </c>
      <c r="B354" s="49" t="s">
        <v>1054</v>
      </c>
      <c r="C354" s="234">
        <v>1.2799999999999999E-5</v>
      </c>
      <c r="D354" s="234">
        <v>1.2099999999999999E-5</v>
      </c>
      <c r="E354" s="200">
        <v>30366</v>
      </c>
      <c r="F354" s="200" t="s">
        <v>1924</v>
      </c>
      <c r="G354" s="232">
        <v>4685</v>
      </c>
      <c r="H354" s="220">
        <v>4168</v>
      </c>
      <c r="I354" s="232">
        <v>8058</v>
      </c>
      <c r="J354" s="231">
        <v>13477</v>
      </c>
      <c r="K354" s="88">
        <f t="shared" si="17"/>
        <v>30388</v>
      </c>
      <c r="L354" s="50"/>
      <c r="M354" s="232">
        <v>157</v>
      </c>
      <c r="N354" s="232">
        <v>0</v>
      </c>
      <c r="O354" s="231">
        <v>0</v>
      </c>
      <c r="P354" s="88">
        <f t="shared" si="18"/>
        <v>157</v>
      </c>
      <c r="Q354" s="50"/>
      <c r="R354" s="232">
        <v>8435</v>
      </c>
      <c r="S354" s="231">
        <v>6937</v>
      </c>
      <c r="T354" s="233">
        <v>15372</v>
      </c>
    </row>
    <row r="355" spans="1:20">
      <c r="A355" s="48">
        <v>93531</v>
      </c>
      <c r="B355" s="49" t="s">
        <v>2062</v>
      </c>
      <c r="C355" s="234">
        <v>3.0700000000000001E-5</v>
      </c>
      <c r="D355" s="234">
        <v>1.7E-5</v>
      </c>
      <c r="E355" s="200">
        <v>72831</v>
      </c>
      <c r="F355" s="200" t="s">
        <v>1924</v>
      </c>
      <c r="G355" s="232">
        <v>11236</v>
      </c>
      <c r="H355" s="220">
        <v>9997</v>
      </c>
      <c r="I355" s="232">
        <v>19327</v>
      </c>
      <c r="J355" s="231">
        <v>7722</v>
      </c>
      <c r="K355" s="88">
        <f t="shared" si="17"/>
        <v>48282</v>
      </c>
      <c r="L355" s="50"/>
      <c r="M355" s="232">
        <v>377</v>
      </c>
      <c r="N355" s="232">
        <v>0</v>
      </c>
      <c r="O355" s="231">
        <v>1264</v>
      </c>
      <c r="P355" s="88">
        <f t="shared" si="18"/>
        <v>1641</v>
      </c>
      <c r="Q355" s="50"/>
      <c r="R355" s="232">
        <v>20230</v>
      </c>
      <c r="S355" s="231">
        <v>601</v>
      </c>
      <c r="T355" s="233">
        <v>20831</v>
      </c>
    </row>
    <row r="356" spans="1:20">
      <c r="A356" s="48">
        <v>93537</v>
      </c>
      <c r="B356" s="49" t="s">
        <v>2261</v>
      </c>
      <c r="C356" s="234">
        <v>1.1E-5</v>
      </c>
      <c r="D356" s="234">
        <v>1.1199999999999999E-5</v>
      </c>
      <c r="E356" s="200">
        <v>26096</v>
      </c>
      <c r="F356" s="200" t="s">
        <v>1924</v>
      </c>
      <c r="G356" s="232">
        <v>4026</v>
      </c>
      <c r="H356" s="220">
        <v>3582</v>
      </c>
      <c r="I356" s="232">
        <v>6925</v>
      </c>
      <c r="J356" s="231">
        <v>0</v>
      </c>
      <c r="K356" s="88">
        <f t="shared" si="17"/>
        <v>14533</v>
      </c>
      <c r="L356" s="50"/>
      <c r="M356" s="232">
        <v>135</v>
      </c>
      <c r="N356" s="232">
        <v>0</v>
      </c>
      <c r="O356" s="231">
        <v>2378</v>
      </c>
      <c r="P356" s="88">
        <f t="shared" si="18"/>
        <v>2513</v>
      </c>
      <c r="Q356" s="50"/>
      <c r="R356" s="232">
        <v>7249</v>
      </c>
      <c r="S356" s="231">
        <v>-840</v>
      </c>
      <c r="T356" s="233">
        <v>6409</v>
      </c>
    </row>
    <row r="357" spans="1:20">
      <c r="A357" s="48">
        <v>93541</v>
      </c>
      <c r="B357" s="49" t="s">
        <v>2262</v>
      </c>
      <c r="C357" s="234">
        <v>8.9800000000000001E-5</v>
      </c>
      <c r="D357" s="234">
        <v>1.0560000000000001E-4</v>
      </c>
      <c r="E357" s="200">
        <v>213036</v>
      </c>
      <c r="F357" s="200" t="s">
        <v>1924</v>
      </c>
      <c r="G357" s="232">
        <v>32866</v>
      </c>
      <c r="H357" s="220">
        <v>29244</v>
      </c>
      <c r="I357" s="232">
        <v>56532</v>
      </c>
      <c r="J357" s="231">
        <v>226</v>
      </c>
      <c r="K357" s="88">
        <f t="shared" si="17"/>
        <v>118868</v>
      </c>
      <c r="L357" s="50"/>
      <c r="M357" s="232">
        <v>1103</v>
      </c>
      <c r="N357" s="232">
        <v>0</v>
      </c>
      <c r="O357" s="231">
        <v>5147</v>
      </c>
      <c r="P357" s="88">
        <f t="shared" si="18"/>
        <v>6250</v>
      </c>
      <c r="Q357" s="50"/>
      <c r="R357" s="232">
        <v>59176</v>
      </c>
      <c r="S357" s="231">
        <v>2777</v>
      </c>
      <c r="T357" s="233">
        <v>61953</v>
      </c>
    </row>
    <row r="358" spans="1:20">
      <c r="A358" s="48">
        <v>93601</v>
      </c>
      <c r="B358" s="49" t="s">
        <v>1058</v>
      </c>
      <c r="C358" s="234">
        <v>1.11494E-2</v>
      </c>
      <c r="D358" s="234">
        <v>1.0721400000000001E-2</v>
      </c>
      <c r="E358" s="200">
        <v>26450190</v>
      </c>
      <c r="F358" s="200" t="s">
        <v>1924</v>
      </c>
      <c r="G358" s="232">
        <v>4080636</v>
      </c>
      <c r="H358" s="220">
        <v>3630824</v>
      </c>
      <c r="I358" s="232">
        <v>7018859</v>
      </c>
      <c r="J358" s="231">
        <v>430627</v>
      </c>
      <c r="K358" s="88">
        <f t="shared" si="17"/>
        <v>15160946</v>
      </c>
      <c r="L358" s="50"/>
      <c r="M358" s="232">
        <v>136926</v>
      </c>
      <c r="N358" s="232">
        <v>0</v>
      </c>
      <c r="O358" s="231">
        <v>172766</v>
      </c>
      <c r="P358" s="88">
        <f t="shared" si="18"/>
        <v>309692</v>
      </c>
      <c r="Q358" s="50"/>
      <c r="R358" s="232">
        <v>7347154</v>
      </c>
      <c r="S358" s="231">
        <v>9789</v>
      </c>
      <c r="T358" s="233">
        <v>7356943</v>
      </c>
    </row>
    <row r="359" spans="1:20">
      <c r="A359" s="48">
        <v>93602</v>
      </c>
      <c r="B359" s="49" t="s">
        <v>2683</v>
      </c>
      <c r="C359" s="234">
        <v>1.8340000000000001E-4</v>
      </c>
      <c r="D359" s="234">
        <v>1.7540000000000001E-4</v>
      </c>
      <c r="E359" s="200">
        <v>435088</v>
      </c>
      <c r="F359" s="200" t="s">
        <v>1924</v>
      </c>
      <c r="G359" s="232">
        <v>67124</v>
      </c>
      <c r="H359" s="220">
        <v>59724</v>
      </c>
      <c r="I359" s="232">
        <v>115455</v>
      </c>
      <c r="J359" s="231">
        <v>10138</v>
      </c>
      <c r="K359" s="88">
        <f t="shared" si="17"/>
        <v>252441</v>
      </c>
      <c r="L359" s="50"/>
      <c r="M359" s="232">
        <v>2252</v>
      </c>
      <c r="N359" s="232">
        <v>0</v>
      </c>
      <c r="O359" s="231">
        <v>6076</v>
      </c>
      <c r="P359" s="88">
        <f t="shared" si="18"/>
        <v>8328</v>
      </c>
      <c r="Q359" s="50"/>
      <c r="R359" s="232">
        <v>120856</v>
      </c>
      <c r="S359" s="231">
        <v>-1090</v>
      </c>
      <c r="T359" s="233">
        <v>119766</v>
      </c>
    </row>
    <row r="360" spans="1:20" s="197" customFormat="1">
      <c r="A360" s="199">
        <v>93604</v>
      </c>
      <c r="B360" s="198" t="s">
        <v>1926</v>
      </c>
      <c r="C360" s="234">
        <v>2.0100000000000001E-5</v>
      </c>
      <c r="D360" s="234">
        <v>0</v>
      </c>
      <c r="E360" s="200">
        <v>47684</v>
      </c>
      <c r="F360" s="200" t="s">
        <v>1924</v>
      </c>
      <c r="G360" s="232">
        <v>7357</v>
      </c>
      <c r="H360" s="220">
        <v>6545</v>
      </c>
      <c r="I360" s="232">
        <v>12654</v>
      </c>
      <c r="J360" s="231">
        <v>19602</v>
      </c>
      <c r="K360" s="88">
        <f t="shared" si="17"/>
        <v>46158</v>
      </c>
      <c r="L360" s="196"/>
      <c r="M360" s="232">
        <v>247</v>
      </c>
      <c r="N360" s="232">
        <v>0</v>
      </c>
      <c r="O360" s="231">
        <v>0</v>
      </c>
      <c r="P360" s="88">
        <f t="shared" si="18"/>
        <v>247</v>
      </c>
      <c r="Q360" s="196"/>
      <c r="R360" s="232">
        <v>13245</v>
      </c>
      <c r="S360" s="231">
        <v>4900</v>
      </c>
      <c r="T360" s="233">
        <v>18145</v>
      </c>
    </row>
    <row r="361" spans="1:20">
      <c r="A361" s="48">
        <v>93609</v>
      </c>
      <c r="B361" s="49" t="s">
        <v>1060</v>
      </c>
      <c r="C361" s="234">
        <v>3.9097000000000003E-3</v>
      </c>
      <c r="D361" s="234">
        <v>3.7629999999999999E-3</v>
      </c>
      <c r="E361" s="200">
        <v>9275146</v>
      </c>
      <c r="F361" s="200" t="s">
        <v>1924</v>
      </c>
      <c r="G361" s="232">
        <v>1430935</v>
      </c>
      <c r="H361" s="220">
        <v>1273202</v>
      </c>
      <c r="I361" s="232">
        <v>2461266</v>
      </c>
      <c r="J361" s="231">
        <v>502120</v>
      </c>
      <c r="K361" s="88">
        <f t="shared" si="17"/>
        <v>5667523</v>
      </c>
      <c r="L361" s="50"/>
      <c r="M361" s="232">
        <v>48015</v>
      </c>
      <c r="N361" s="232">
        <v>0</v>
      </c>
      <c r="O361" s="231">
        <v>0</v>
      </c>
      <c r="P361" s="88">
        <f t="shared" si="18"/>
        <v>48015</v>
      </c>
      <c r="Q361" s="50"/>
      <c r="R361" s="232">
        <v>2576387</v>
      </c>
      <c r="S361" s="231">
        <v>367709</v>
      </c>
      <c r="T361" s="233">
        <v>2944096</v>
      </c>
    </row>
    <row r="362" spans="1:20">
      <c r="A362" s="48">
        <v>93610</v>
      </c>
      <c r="B362" s="49" t="s">
        <v>2581</v>
      </c>
      <c r="C362" s="234">
        <v>1.5500000000000001E-5</v>
      </c>
      <c r="D362" s="234">
        <v>1.33E-5</v>
      </c>
      <c r="E362" s="201">
        <v>36771</v>
      </c>
      <c r="F362" s="201" t="s">
        <v>1924</v>
      </c>
      <c r="G362" s="232">
        <v>5673</v>
      </c>
      <c r="H362" s="220">
        <v>5047</v>
      </c>
      <c r="I362" s="232">
        <v>9758</v>
      </c>
      <c r="J362" s="231">
        <v>4558</v>
      </c>
      <c r="K362" s="88">
        <f t="shared" si="17"/>
        <v>25036</v>
      </c>
      <c r="L362" s="50"/>
      <c r="M362" s="232">
        <v>190</v>
      </c>
      <c r="N362" s="232">
        <v>0</v>
      </c>
      <c r="O362" s="231">
        <v>2193</v>
      </c>
      <c r="P362" s="88">
        <f t="shared" si="18"/>
        <v>2383</v>
      </c>
      <c r="Q362" s="50"/>
      <c r="R362" s="232">
        <v>10214</v>
      </c>
      <c r="S362" s="231">
        <v>1404</v>
      </c>
      <c r="T362" s="233">
        <v>11618</v>
      </c>
    </row>
    <row r="363" spans="1:20">
      <c r="A363" s="48">
        <v>93611</v>
      </c>
      <c r="B363" s="49" t="s">
        <v>1062</v>
      </c>
      <c r="C363" s="234">
        <v>6.9170000000000004E-3</v>
      </c>
      <c r="D363" s="234">
        <v>6.9544000000000003E-3</v>
      </c>
      <c r="E363" s="201">
        <v>16409490</v>
      </c>
      <c r="F363" s="201" t="s">
        <v>1924</v>
      </c>
      <c r="G363" s="232">
        <v>2531594</v>
      </c>
      <c r="H363" s="220">
        <v>2252535</v>
      </c>
      <c r="I363" s="232">
        <v>4354445</v>
      </c>
      <c r="J363" s="231">
        <v>45861</v>
      </c>
      <c r="K363" s="88">
        <f t="shared" si="17"/>
        <v>9184435</v>
      </c>
      <c r="L363" s="50"/>
      <c r="M363" s="232">
        <v>84948</v>
      </c>
      <c r="N363" s="232">
        <v>0</v>
      </c>
      <c r="O363" s="231">
        <v>74749</v>
      </c>
      <c r="P363" s="88">
        <f t="shared" si="18"/>
        <v>159697</v>
      </c>
      <c r="Q363" s="50"/>
      <c r="R363" s="232">
        <v>4558116</v>
      </c>
      <c r="S363" s="231">
        <v>-105909</v>
      </c>
      <c r="T363" s="233">
        <v>4452207</v>
      </c>
    </row>
    <row r="364" spans="1:20">
      <c r="A364" s="48">
        <v>93617</v>
      </c>
      <c r="B364" s="49" t="s">
        <v>1063</v>
      </c>
      <c r="C364" s="234">
        <v>8.7499999999999999E-5</v>
      </c>
      <c r="D364" s="234">
        <v>8.2799999999999993E-5</v>
      </c>
      <c r="E364" s="201">
        <v>207580</v>
      </c>
      <c r="F364" s="201" t="s">
        <v>1924</v>
      </c>
      <c r="G364" s="232">
        <v>32025</v>
      </c>
      <c r="H364" s="220">
        <v>28494</v>
      </c>
      <c r="I364" s="232">
        <v>55084</v>
      </c>
      <c r="J364" s="231">
        <v>21712</v>
      </c>
      <c r="K364" s="88">
        <f t="shared" si="17"/>
        <v>137315</v>
      </c>
      <c r="L364" s="50"/>
      <c r="M364" s="232">
        <v>1075</v>
      </c>
      <c r="N364" s="232">
        <v>0</v>
      </c>
      <c r="O364" s="231">
        <v>0</v>
      </c>
      <c r="P364" s="88">
        <f t="shared" si="18"/>
        <v>1075</v>
      </c>
      <c r="Q364" s="50"/>
      <c r="R364" s="232">
        <v>57660</v>
      </c>
      <c r="S364" s="231">
        <v>13203</v>
      </c>
      <c r="T364" s="233">
        <v>70863</v>
      </c>
    </row>
    <row r="365" spans="1:20">
      <c r="A365" s="48">
        <v>93618</v>
      </c>
      <c r="B365" s="49" t="s">
        <v>1064</v>
      </c>
      <c r="C365" s="234">
        <v>1.03E-5</v>
      </c>
      <c r="D365" s="234">
        <v>1.11E-5</v>
      </c>
      <c r="E365" s="201">
        <v>24435</v>
      </c>
      <c r="F365" s="201" t="s">
        <v>1924</v>
      </c>
      <c r="G365" s="232">
        <v>3770</v>
      </c>
      <c r="H365" s="220">
        <v>3354</v>
      </c>
      <c r="I365" s="232">
        <v>6484</v>
      </c>
      <c r="J365" s="231">
        <v>36884</v>
      </c>
      <c r="K365" s="88">
        <f t="shared" si="17"/>
        <v>50492</v>
      </c>
      <c r="L365" s="50"/>
      <c r="M365" s="232">
        <v>126</v>
      </c>
      <c r="N365" s="232">
        <v>0</v>
      </c>
      <c r="O365" s="231">
        <v>0</v>
      </c>
      <c r="P365" s="88">
        <f t="shared" si="18"/>
        <v>126</v>
      </c>
      <c r="Q365" s="50"/>
      <c r="R365" s="232">
        <v>6787</v>
      </c>
      <c r="S365" s="231">
        <v>16035</v>
      </c>
      <c r="T365" s="233">
        <v>22822</v>
      </c>
    </row>
    <row r="366" spans="1:20">
      <c r="A366" s="48">
        <v>93621</v>
      </c>
      <c r="B366" s="49" t="s">
        <v>1065</v>
      </c>
      <c r="C366" s="234">
        <v>1.0273000000000001E-3</v>
      </c>
      <c r="D366" s="234">
        <v>9.5719999999999996E-4</v>
      </c>
      <c r="E366" s="201">
        <v>2437107</v>
      </c>
      <c r="F366" s="201" t="s">
        <v>1924</v>
      </c>
      <c r="G366" s="232">
        <v>375988</v>
      </c>
      <c r="H366" s="220">
        <v>334542</v>
      </c>
      <c r="I366" s="232">
        <v>646714</v>
      </c>
      <c r="J366" s="231">
        <v>51082</v>
      </c>
      <c r="K366" s="88">
        <f t="shared" si="17"/>
        <v>1408326</v>
      </c>
      <c r="L366" s="50"/>
      <c r="M366" s="232">
        <v>12616</v>
      </c>
      <c r="N366" s="232">
        <v>0</v>
      </c>
      <c r="O366" s="231">
        <v>41250</v>
      </c>
      <c r="P366" s="88">
        <f t="shared" si="18"/>
        <v>53866</v>
      </c>
      <c r="Q366" s="50"/>
      <c r="R366" s="232">
        <v>676963</v>
      </c>
      <c r="S366" s="231">
        <v>-22728</v>
      </c>
      <c r="T366" s="233">
        <v>654235</v>
      </c>
    </row>
    <row r="367" spans="1:20">
      <c r="A367" s="48">
        <v>93623</v>
      </c>
      <c r="B367" s="49" t="s">
        <v>1066</v>
      </c>
      <c r="C367" s="234">
        <v>1.2E-5</v>
      </c>
      <c r="D367" s="234">
        <v>1.2799999999999999E-5</v>
      </c>
      <c r="E367" s="201">
        <v>28468</v>
      </c>
      <c r="F367" s="201" t="s">
        <v>1924</v>
      </c>
      <c r="G367" s="232">
        <v>4392</v>
      </c>
      <c r="H367" s="220">
        <v>3908</v>
      </c>
      <c r="I367" s="232">
        <v>7554</v>
      </c>
      <c r="J367" s="231">
        <v>5015</v>
      </c>
      <c r="K367" s="88">
        <f t="shared" si="17"/>
        <v>20869</v>
      </c>
      <c r="L367" s="50"/>
      <c r="M367" s="232">
        <v>147</v>
      </c>
      <c r="N367" s="232">
        <v>0</v>
      </c>
      <c r="O367" s="231">
        <v>0</v>
      </c>
      <c r="P367" s="88">
        <f t="shared" si="18"/>
        <v>147</v>
      </c>
      <c r="Q367" s="50"/>
      <c r="R367" s="232">
        <v>7908</v>
      </c>
      <c r="S367" s="231">
        <v>2264</v>
      </c>
      <c r="T367" s="233">
        <v>10172</v>
      </c>
    </row>
    <row r="368" spans="1:20">
      <c r="A368" s="48">
        <v>93631</v>
      </c>
      <c r="B368" s="49" t="s">
        <v>2263</v>
      </c>
      <c r="C368" s="234">
        <v>2.232E-4</v>
      </c>
      <c r="D368" s="234">
        <v>2.252E-4</v>
      </c>
      <c r="E368" s="201">
        <v>529507</v>
      </c>
      <c r="F368" s="201" t="s">
        <v>1924</v>
      </c>
      <c r="G368" s="232">
        <v>81690</v>
      </c>
      <c r="H368" s="220">
        <v>72685</v>
      </c>
      <c r="I368" s="232">
        <v>140511</v>
      </c>
      <c r="J368" s="231">
        <v>0</v>
      </c>
      <c r="K368" s="88">
        <f t="shared" si="17"/>
        <v>294886</v>
      </c>
      <c r="L368" s="50"/>
      <c r="M368" s="232">
        <v>2741</v>
      </c>
      <c r="N368" s="232">
        <v>0</v>
      </c>
      <c r="O368" s="231">
        <v>17227</v>
      </c>
      <c r="P368" s="88">
        <f t="shared" si="18"/>
        <v>19968</v>
      </c>
      <c r="Q368" s="50"/>
      <c r="R368" s="232">
        <v>147083</v>
      </c>
      <c r="S368" s="231">
        <v>-8056</v>
      </c>
      <c r="T368" s="233">
        <v>139027</v>
      </c>
    </row>
    <row r="369" spans="1:20">
      <c r="A369" s="48">
        <v>93641</v>
      </c>
      <c r="B369" s="49" t="s">
        <v>1068</v>
      </c>
      <c r="C369" s="234">
        <v>3.724E-4</v>
      </c>
      <c r="D369" s="234">
        <v>4.0450000000000002E-4</v>
      </c>
      <c r="E369" s="201">
        <v>883460</v>
      </c>
      <c r="F369" s="201" t="s">
        <v>1924</v>
      </c>
      <c r="G369" s="232">
        <v>136297</v>
      </c>
      <c r="H369" s="220">
        <v>121273</v>
      </c>
      <c r="I369" s="232">
        <v>234436</v>
      </c>
      <c r="J369" s="231">
        <v>6510</v>
      </c>
      <c r="K369" s="88">
        <f t="shared" si="17"/>
        <v>498516</v>
      </c>
      <c r="L369" s="50"/>
      <c r="M369" s="232">
        <v>4573</v>
      </c>
      <c r="N369" s="232">
        <v>0</v>
      </c>
      <c r="O369" s="231">
        <v>10470</v>
      </c>
      <c r="P369" s="88">
        <f t="shared" si="18"/>
        <v>15043</v>
      </c>
      <c r="Q369" s="50"/>
      <c r="R369" s="232">
        <v>245402</v>
      </c>
      <c r="S369" s="231">
        <v>4214</v>
      </c>
      <c r="T369" s="233">
        <v>249616</v>
      </c>
    </row>
    <row r="370" spans="1:20">
      <c r="A370" s="48">
        <v>93647</v>
      </c>
      <c r="B370" s="49" t="s">
        <v>1069</v>
      </c>
      <c r="C370" s="234">
        <v>6.1E-6</v>
      </c>
      <c r="D370" s="234">
        <v>6.0000000000000002E-6</v>
      </c>
      <c r="E370" s="201">
        <v>14471</v>
      </c>
      <c r="F370" s="201" t="s">
        <v>1924</v>
      </c>
      <c r="G370" s="232">
        <v>2233</v>
      </c>
      <c r="H370" s="220">
        <v>1987</v>
      </c>
      <c r="I370" s="232">
        <v>3840</v>
      </c>
      <c r="J370" s="231">
        <v>12946</v>
      </c>
      <c r="K370" s="88">
        <f t="shared" si="17"/>
        <v>21006</v>
      </c>
      <c r="L370" s="50"/>
      <c r="M370" s="232">
        <v>75</v>
      </c>
      <c r="N370" s="232">
        <v>0</v>
      </c>
      <c r="O370" s="231">
        <v>0</v>
      </c>
      <c r="P370" s="88">
        <f t="shared" si="18"/>
        <v>75</v>
      </c>
      <c r="Q370" s="50"/>
      <c r="R370" s="232">
        <v>4020</v>
      </c>
      <c r="S370" s="231">
        <v>6024</v>
      </c>
      <c r="T370" s="233">
        <v>10044</v>
      </c>
    </row>
    <row r="371" spans="1:20">
      <c r="A371" s="48">
        <v>93651</v>
      </c>
      <c r="B371" s="49" t="s">
        <v>2264</v>
      </c>
      <c r="C371" s="234">
        <v>4.507E-4</v>
      </c>
      <c r="D371" s="234">
        <v>4.3800000000000002E-4</v>
      </c>
      <c r="E371" s="201">
        <v>1069215</v>
      </c>
      <c r="F371" s="201" t="s">
        <v>1924</v>
      </c>
      <c r="G371" s="232">
        <v>164954</v>
      </c>
      <c r="H371" s="220">
        <v>146771</v>
      </c>
      <c r="I371" s="232">
        <v>283728</v>
      </c>
      <c r="J371" s="231">
        <v>2626</v>
      </c>
      <c r="K371" s="88">
        <f t="shared" si="17"/>
        <v>598079</v>
      </c>
      <c r="L371" s="50"/>
      <c r="M371" s="232">
        <v>5535</v>
      </c>
      <c r="N371" s="232">
        <v>0</v>
      </c>
      <c r="O371" s="231">
        <v>13366</v>
      </c>
      <c r="P371" s="88">
        <f t="shared" si="18"/>
        <v>18901</v>
      </c>
      <c r="Q371" s="50"/>
      <c r="R371" s="232">
        <v>296999</v>
      </c>
      <c r="S371" s="231">
        <v>-2560</v>
      </c>
      <c r="T371" s="233">
        <v>294439</v>
      </c>
    </row>
    <row r="372" spans="1:20">
      <c r="A372" s="48">
        <v>93661</v>
      </c>
      <c r="B372" s="49" t="s">
        <v>1071</v>
      </c>
      <c r="C372" s="234">
        <v>1.4449999999999999E-4</v>
      </c>
      <c r="D372" s="234">
        <v>1.3410000000000001E-4</v>
      </c>
      <c r="E372" s="201">
        <v>342803</v>
      </c>
      <c r="F372" s="201" t="s">
        <v>1924</v>
      </c>
      <c r="G372" s="232">
        <v>52886</v>
      </c>
      <c r="H372" s="220">
        <v>47056</v>
      </c>
      <c r="I372" s="232">
        <v>90967</v>
      </c>
      <c r="J372" s="231">
        <v>11364</v>
      </c>
      <c r="K372" s="88">
        <f t="shared" si="17"/>
        <v>202273</v>
      </c>
      <c r="L372" s="50"/>
      <c r="M372" s="232">
        <v>1775</v>
      </c>
      <c r="N372" s="232">
        <v>0</v>
      </c>
      <c r="O372" s="231">
        <v>0</v>
      </c>
      <c r="P372" s="88">
        <f t="shared" si="18"/>
        <v>1775</v>
      </c>
      <c r="Q372" s="50"/>
      <c r="R372" s="232">
        <v>95222</v>
      </c>
      <c r="S372" s="231">
        <v>5935</v>
      </c>
      <c r="T372" s="233">
        <v>101157</v>
      </c>
    </row>
    <row r="373" spans="1:20">
      <c r="A373" s="48">
        <v>93671</v>
      </c>
      <c r="B373" s="49" t="s">
        <v>1072</v>
      </c>
      <c r="C373" s="234">
        <v>3.3950000000000001E-4</v>
      </c>
      <c r="D373" s="234">
        <v>3.5530000000000002E-4</v>
      </c>
      <c r="E373" s="201">
        <v>805410</v>
      </c>
      <c r="F373" s="201" t="s">
        <v>1924</v>
      </c>
      <c r="G373" s="232">
        <v>124256</v>
      </c>
      <c r="H373" s="220">
        <v>110559</v>
      </c>
      <c r="I373" s="232">
        <v>213725</v>
      </c>
      <c r="J373" s="231">
        <v>15579</v>
      </c>
      <c r="K373" s="88">
        <f t="shared" si="17"/>
        <v>464119</v>
      </c>
      <c r="L373" s="50"/>
      <c r="M373" s="232">
        <v>4169</v>
      </c>
      <c r="N373" s="232">
        <v>0</v>
      </c>
      <c r="O373" s="231">
        <v>2038</v>
      </c>
      <c r="P373" s="88">
        <f t="shared" si="18"/>
        <v>6207</v>
      </c>
      <c r="Q373" s="50"/>
      <c r="R373" s="232">
        <v>223721</v>
      </c>
      <c r="S373" s="231">
        <v>29805</v>
      </c>
      <c r="T373" s="233">
        <v>253526</v>
      </c>
    </row>
    <row r="374" spans="1:20">
      <c r="A374" s="48">
        <v>93677</v>
      </c>
      <c r="B374" s="49" t="s">
        <v>98</v>
      </c>
      <c r="C374" s="234">
        <v>0</v>
      </c>
      <c r="D374" s="234">
        <v>0</v>
      </c>
      <c r="E374" s="201">
        <v>0</v>
      </c>
      <c r="F374" s="201" t="s">
        <v>1924</v>
      </c>
      <c r="G374" s="232">
        <v>0</v>
      </c>
      <c r="H374" s="220">
        <v>0</v>
      </c>
      <c r="I374" s="232">
        <v>0</v>
      </c>
      <c r="J374" s="231">
        <v>0</v>
      </c>
      <c r="K374" s="88">
        <f t="shared" si="17"/>
        <v>0</v>
      </c>
      <c r="L374" s="50"/>
      <c r="M374" s="232">
        <v>0</v>
      </c>
      <c r="N374" s="232">
        <v>0</v>
      </c>
      <c r="O374" s="231">
        <v>0</v>
      </c>
      <c r="P374" s="88">
        <f t="shared" si="18"/>
        <v>0</v>
      </c>
      <c r="Q374" s="50"/>
      <c r="R374" s="232">
        <v>0</v>
      </c>
      <c r="S374" s="231">
        <v>-718</v>
      </c>
      <c r="T374" s="233">
        <v>-718</v>
      </c>
    </row>
    <row r="375" spans="1:20">
      <c r="A375" s="48">
        <v>93681</v>
      </c>
      <c r="B375" s="49" t="s">
        <v>2265</v>
      </c>
      <c r="C375" s="234">
        <v>1.211E-4</v>
      </c>
      <c r="D375" s="234">
        <v>1.1179999999999999E-4</v>
      </c>
      <c r="E375" s="201">
        <v>287291</v>
      </c>
      <c r="F375" s="201" t="s">
        <v>1924</v>
      </c>
      <c r="G375" s="232">
        <v>44322</v>
      </c>
      <c r="H375" s="220">
        <v>39436</v>
      </c>
      <c r="I375" s="232">
        <v>76236</v>
      </c>
      <c r="J375" s="231">
        <v>6600</v>
      </c>
      <c r="K375" s="88">
        <f t="shared" si="17"/>
        <v>166594</v>
      </c>
      <c r="L375" s="50"/>
      <c r="M375" s="232">
        <v>1487</v>
      </c>
      <c r="N375" s="232">
        <v>0</v>
      </c>
      <c r="O375" s="231">
        <v>6023</v>
      </c>
      <c r="P375" s="88">
        <f t="shared" si="18"/>
        <v>7510</v>
      </c>
      <c r="Q375" s="50"/>
      <c r="R375" s="232">
        <v>79802</v>
      </c>
      <c r="S375" s="231">
        <v>-4842</v>
      </c>
      <c r="T375" s="233">
        <v>74960</v>
      </c>
    </row>
    <row r="376" spans="1:20">
      <c r="A376" s="48">
        <v>93691</v>
      </c>
      <c r="B376" s="49" t="s">
        <v>1074</v>
      </c>
      <c r="C376" s="234">
        <v>1.0357999999999999E-3</v>
      </c>
      <c r="D376" s="234">
        <v>1.0858E-3</v>
      </c>
      <c r="E376" s="201">
        <v>2457272</v>
      </c>
      <c r="F376" s="201" t="s">
        <v>1924</v>
      </c>
      <c r="G376" s="232">
        <v>379099</v>
      </c>
      <c r="H376" s="220">
        <v>337310</v>
      </c>
      <c r="I376" s="232">
        <v>652065</v>
      </c>
      <c r="J376" s="231">
        <v>0</v>
      </c>
      <c r="K376" s="88">
        <f t="shared" si="17"/>
        <v>1368474</v>
      </c>
      <c r="L376" s="50"/>
      <c r="M376" s="232">
        <v>12721</v>
      </c>
      <c r="N376" s="232">
        <v>0</v>
      </c>
      <c r="O376" s="231">
        <v>115243</v>
      </c>
      <c r="P376" s="88">
        <f t="shared" si="18"/>
        <v>127964</v>
      </c>
      <c r="Q376" s="50"/>
      <c r="R376" s="232">
        <v>682564</v>
      </c>
      <c r="S376" s="231">
        <v>-52906</v>
      </c>
      <c r="T376" s="233">
        <v>629658</v>
      </c>
    </row>
    <row r="377" spans="1:20">
      <c r="A377" s="48">
        <v>93701</v>
      </c>
      <c r="B377" s="49" t="s">
        <v>1075</v>
      </c>
      <c r="C377" s="234">
        <v>4.6779999999999999E-4</v>
      </c>
      <c r="D377" s="234">
        <v>4.5800000000000002E-4</v>
      </c>
      <c r="E377" s="201">
        <v>1109782</v>
      </c>
      <c r="F377" s="201" t="s">
        <v>1924</v>
      </c>
      <c r="G377" s="232">
        <v>171213</v>
      </c>
      <c r="H377" s="220">
        <v>152340</v>
      </c>
      <c r="I377" s="232">
        <v>294493</v>
      </c>
      <c r="J377" s="231">
        <v>2163</v>
      </c>
      <c r="K377" s="88">
        <f t="shared" si="17"/>
        <v>620209</v>
      </c>
      <c r="L377" s="50"/>
      <c r="M377" s="232">
        <v>5745</v>
      </c>
      <c r="N377" s="232">
        <v>0</v>
      </c>
      <c r="O377" s="231">
        <v>13331</v>
      </c>
      <c r="P377" s="88">
        <f t="shared" si="18"/>
        <v>19076</v>
      </c>
      <c r="Q377" s="50"/>
      <c r="R377" s="232">
        <v>308268</v>
      </c>
      <c r="S377" s="231">
        <v>304</v>
      </c>
      <c r="T377" s="233">
        <v>308572</v>
      </c>
    </row>
    <row r="378" spans="1:20">
      <c r="A378" s="48">
        <v>93704</v>
      </c>
      <c r="B378" s="49" t="s">
        <v>1076</v>
      </c>
      <c r="C378" s="234">
        <v>2.7E-6</v>
      </c>
      <c r="D378" s="234">
        <v>3.0000000000000001E-6</v>
      </c>
      <c r="E378" s="201">
        <v>6405</v>
      </c>
      <c r="F378" s="201" t="s">
        <v>1924</v>
      </c>
      <c r="G378" s="232">
        <v>988</v>
      </c>
      <c r="H378" s="220">
        <v>879</v>
      </c>
      <c r="I378" s="232">
        <v>1700</v>
      </c>
      <c r="J378" s="231">
        <v>747</v>
      </c>
      <c r="K378" s="88">
        <f t="shared" si="17"/>
        <v>4314</v>
      </c>
      <c r="L378" s="50"/>
      <c r="M378" s="232">
        <v>33</v>
      </c>
      <c r="N378" s="232">
        <v>0</v>
      </c>
      <c r="O378" s="231">
        <v>0</v>
      </c>
      <c r="P378" s="88">
        <f t="shared" si="18"/>
        <v>33</v>
      </c>
      <c r="Q378" s="50"/>
      <c r="R378" s="232">
        <v>1779</v>
      </c>
      <c r="S378" s="231">
        <v>224</v>
      </c>
      <c r="T378" s="233">
        <v>2003</v>
      </c>
    </row>
    <row r="379" spans="1:20">
      <c r="A379" s="48">
        <v>93801</v>
      </c>
      <c r="B379" s="49" t="s">
        <v>1077</v>
      </c>
      <c r="C379" s="234">
        <v>4.3570000000000002E-4</v>
      </c>
      <c r="D379" s="234">
        <v>4.7889999999999999E-4</v>
      </c>
      <c r="E379" s="201">
        <v>1033629</v>
      </c>
      <c r="F379" s="201" t="s">
        <v>1924</v>
      </c>
      <c r="G379" s="232">
        <v>159464</v>
      </c>
      <c r="H379" s="220">
        <v>141886</v>
      </c>
      <c r="I379" s="232">
        <v>274285</v>
      </c>
      <c r="J379" s="231">
        <v>70779</v>
      </c>
      <c r="K379" s="88">
        <f t="shared" si="17"/>
        <v>646414</v>
      </c>
      <c r="L379" s="50"/>
      <c r="M379" s="232">
        <v>5351</v>
      </c>
      <c r="N379" s="232">
        <v>0</v>
      </c>
      <c r="O379" s="231">
        <v>76863</v>
      </c>
      <c r="P379" s="88">
        <f t="shared" si="18"/>
        <v>82214</v>
      </c>
      <c r="Q379" s="50"/>
      <c r="R379" s="232">
        <v>287115</v>
      </c>
      <c r="S379" s="231">
        <v>18841</v>
      </c>
      <c r="T379" s="233">
        <v>305956</v>
      </c>
    </row>
    <row r="380" spans="1:20">
      <c r="A380" s="48">
        <v>93803</v>
      </c>
      <c r="B380" s="49" t="s">
        <v>1078</v>
      </c>
      <c r="C380" s="234">
        <v>1.122E-4</v>
      </c>
      <c r="D380" s="234">
        <v>1.1900000000000001E-4</v>
      </c>
      <c r="E380" s="201">
        <v>266177</v>
      </c>
      <c r="F380" s="201" t="s">
        <v>1924</v>
      </c>
      <c r="G380" s="232">
        <v>41065</v>
      </c>
      <c r="H380" s="220">
        <v>36538</v>
      </c>
      <c r="I380" s="232">
        <v>70633</v>
      </c>
      <c r="J380" s="231">
        <v>0</v>
      </c>
      <c r="K380" s="88">
        <f t="shared" si="17"/>
        <v>148236</v>
      </c>
      <c r="L380" s="50"/>
      <c r="M380" s="232">
        <v>1378</v>
      </c>
      <c r="N380" s="232">
        <v>0</v>
      </c>
      <c r="O380" s="231">
        <v>35149</v>
      </c>
      <c r="P380" s="88">
        <f t="shared" si="18"/>
        <v>36527</v>
      </c>
      <c r="Q380" s="50"/>
      <c r="R380" s="232">
        <v>73937</v>
      </c>
      <c r="S380" s="231">
        <v>-19959</v>
      </c>
      <c r="T380" s="233">
        <v>53978</v>
      </c>
    </row>
    <row r="381" spans="1:20">
      <c r="A381" s="48">
        <v>93806</v>
      </c>
      <c r="B381" s="49" t="s">
        <v>1079</v>
      </c>
      <c r="C381" s="234">
        <v>7.6100000000000007E-5</v>
      </c>
      <c r="D381" s="234">
        <v>9.3900000000000006E-5</v>
      </c>
      <c r="E381" s="201">
        <v>180535</v>
      </c>
      <c r="F381" s="201" t="s">
        <v>1924</v>
      </c>
      <c r="G381" s="232">
        <v>27852</v>
      </c>
      <c r="H381" s="220">
        <v>24782</v>
      </c>
      <c r="I381" s="232">
        <v>47907</v>
      </c>
      <c r="J381" s="231">
        <v>9616</v>
      </c>
      <c r="K381" s="88">
        <f t="shared" si="17"/>
        <v>110157</v>
      </c>
      <c r="L381" s="50"/>
      <c r="M381" s="232">
        <v>935</v>
      </c>
      <c r="N381" s="232">
        <v>0</v>
      </c>
      <c r="O381" s="231">
        <v>8835</v>
      </c>
      <c r="P381" s="88">
        <f t="shared" si="18"/>
        <v>9770</v>
      </c>
      <c r="Q381" s="50"/>
      <c r="R381" s="232">
        <v>50148</v>
      </c>
      <c r="S381" s="231">
        <v>-8146</v>
      </c>
      <c r="T381" s="233">
        <v>42002</v>
      </c>
    </row>
    <row r="382" spans="1:20">
      <c r="A382" s="48">
        <v>93821</v>
      </c>
      <c r="B382" s="49" t="s">
        <v>2266</v>
      </c>
      <c r="C382" s="234">
        <v>5.6799999999999998E-5</v>
      </c>
      <c r="D382" s="234">
        <v>2.9899999999999998E-5</v>
      </c>
      <c r="E382" s="201">
        <v>134749</v>
      </c>
      <c r="F382" s="201" t="s">
        <v>1924</v>
      </c>
      <c r="G382" s="232">
        <v>20789</v>
      </c>
      <c r="H382" s="220">
        <v>18497</v>
      </c>
      <c r="I382" s="232">
        <v>35757</v>
      </c>
      <c r="J382" s="231">
        <v>51463</v>
      </c>
      <c r="K382" s="88">
        <f t="shared" si="17"/>
        <v>126506</v>
      </c>
      <c r="L382" s="50"/>
      <c r="M382" s="232">
        <v>698</v>
      </c>
      <c r="N382" s="232">
        <v>0</v>
      </c>
      <c r="O382" s="231">
        <v>258</v>
      </c>
      <c r="P382" s="88">
        <f t="shared" si="18"/>
        <v>956</v>
      </c>
      <c r="Q382" s="50"/>
      <c r="R382" s="232">
        <v>37430</v>
      </c>
      <c r="S382" s="231">
        <v>17809</v>
      </c>
      <c r="T382" s="233">
        <v>55239</v>
      </c>
    </row>
    <row r="383" spans="1:20">
      <c r="A383" s="48">
        <v>93901</v>
      </c>
      <c r="B383" s="49" t="s">
        <v>1081</v>
      </c>
      <c r="C383" s="234">
        <v>1.7718E-3</v>
      </c>
      <c r="D383" s="234">
        <v>1.7974E-3</v>
      </c>
      <c r="E383" s="201">
        <v>4203316</v>
      </c>
      <c r="F383" s="201" t="s">
        <v>1924</v>
      </c>
      <c r="G383" s="232">
        <v>648472</v>
      </c>
      <c r="H383" s="220">
        <v>576990</v>
      </c>
      <c r="I383" s="232">
        <v>1115398</v>
      </c>
      <c r="J383" s="231">
        <v>112021</v>
      </c>
      <c r="K383" s="88">
        <f t="shared" si="17"/>
        <v>2452881</v>
      </c>
      <c r="L383" s="50"/>
      <c r="M383" s="232">
        <v>21759</v>
      </c>
      <c r="N383" s="232">
        <v>0</v>
      </c>
      <c r="O383" s="231">
        <v>0</v>
      </c>
      <c r="P383" s="88">
        <f t="shared" si="18"/>
        <v>21759</v>
      </c>
      <c r="Q383" s="50"/>
      <c r="R383" s="232">
        <v>1167568</v>
      </c>
      <c r="S383" s="231">
        <v>46506</v>
      </c>
      <c r="T383" s="233">
        <v>1214074</v>
      </c>
    </row>
    <row r="384" spans="1:20">
      <c r="A384" s="48">
        <v>93904</v>
      </c>
      <c r="B384" s="49" t="s">
        <v>1082</v>
      </c>
      <c r="C384" s="234">
        <v>3.3099999999999998E-5</v>
      </c>
      <c r="D384" s="234">
        <v>3.0000000000000001E-5</v>
      </c>
      <c r="E384" s="201">
        <v>78525</v>
      </c>
      <c r="F384" s="201" t="s">
        <v>1924</v>
      </c>
      <c r="G384" s="232">
        <v>12114</v>
      </c>
      <c r="H384" s="220">
        <v>10779</v>
      </c>
      <c r="I384" s="232">
        <v>20837</v>
      </c>
      <c r="J384" s="231">
        <v>12315</v>
      </c>
      <c r="K384" s="88">
        <f t="shared" si="17"/>
        <v>56045</v>
      </c>
      <c r="L384" s="50"/>
      <c r="M384" s="232">
        <v>407</v>
      </c>
      <c r="N384" s="232">
        <v>0</v>
      </c>
      <c r="O384" s="231">
        <v>0</v>
      </c>
      <c r="P384" s="88">
        <f t="shared" si="18"/>
        <v>407</v>
      </c>
      <c r="Q384" s="50"/>
      <c r="R384" s="232">
        <v>21812</v>
      </c>
      <c r="S384" s="231">
        <v>4588</v>
      </c>
      <c r="T384" s="233">
        <v>26400</v>
      </c>
    </row>
    <row r="385" spans="1:20">
      <c r="A385" s="48">
        <v>93906</v>
      </c>
      <c r="B385" s="49" t="s">
        <v>1083</v>
      </c>
      <c r="C385" s="234">
        <v>3.1683000000000002E-3</v>
      </c>
      <c r="D385" s="234">
        <v>3.3882000000000001E-3</v>
      </c>
      <c r="E385" s="201">
        <v>7516291</v>
      </c>
      <c r="F385" s="201" t="s">
        <v>1924</v>
      </c>
      <c r="G385" s="232">
        <v>1159585</v>
      </c>
      <c r="H385" s="220">
        <v>1031763</v>
      </c>
      <c r="I385" s="232">
        <v>1994534</v>
      </c>
      <c r="J385" s="231">
        <v>0</v>
      </c>
      <c r="K385" s="88">
        <f t="shared" si="17"/>
        <v>4185882</v>
      </c>
      <c r="L385" s="50"/>
      <c r="M385" s="232">
        <v>38910</v>
      </c>
      <c r="N385" s="232">
        <v>0</v>
      </c>
      <c r="O385" s="231">
        <v>309182</v>
      </c>
      <c r="P385" s="88">
        <f t="shared" si="18"/>
        <v>348092</v>
      </c>
      <c r="Q385" s="50"/>
      <c r="R385" s="232">
        <v>2087824</v>
      </c>
      <c r="S385" s="231">
        <v>-113805</v>
      </c>
      <c r="T385" s="233">
        <v>1974019</v>
      </c>
    </row>
    <row r="386" spans="1:20">
      <c r="A386" s="48">
        <v>93908</v>
      </c>
      <c r="B386" s="49" t="s">
        <v>1084</v>
      </c>
      <c r="C386" s="234">
        <v>4.6920000000000002E-4</v>
      </c>
      <c r="D386" s="234">
        <v>5.1219999999999998E-4</v>
      </c>
      <c r="E386" s="201">
        <v>1113103</v>
      </c>
      <c r="F386" s="201" t="s">
        <v>1924</v>
      </c>
      <c r="G386" s="232">
        <v>171725</v>
      </c>
      <c r="H386" s="220">
        <v>152796</v>
      </c>
      <c r="I386" s="232">
        <v>295375</v>
      </c>
      <c r="J386" s="231">
        <v>6110</v>
      </c>
      <c r="K386" s="88">
        <f t="shared" si="17"/>
        <v>626006</v>
      </c>
      <c r="L386" s="50"/>
      <c r="M386" s="232">
        <v>5762</v>
      </c>
      <c r="N386" s="232">
        <v>0</v>
      </c>
      <c r="O386" s="231">
        <v>27396</v>
      </c>
      <c r="P386" s="88">
        <f t="shared" si="18"/>
        <v>33158</v>
      </c>
      <c r="Q386" s="50"/>
      <c r="R386" s="232">
        <v>309190</v>
      </c>
      <c r="S386" s="231">
        <v>-7217</v>
      </c>
      <c r="T386" s="233">
        <v>301973</v>
      </c>
    </row>
    <row r="387" spans="1:20">
      <c r="A387" s="48">
        <v>93910</v>
      </c>
      <c r="B387" s="49" t="s">
        <v>1085</v>
      </c>
      <c r="C387" s="234">
        <v>2.5769999999999998E-4</v>
      </c>
      <c r="D387" s="234">
        <v>2.786E-4</v>
      </c>
      <c r="E387" s="201">
        <v>611353</v>
      </c>
      <c r="F387" s="201" t="s">
        <v>1924</v>
      </c>
      <c r="G387" s="232">
        <v>94317</v>
      </c>
      <c r="H387" s="220">
        <v>83921</v>
      </c>
      <c r="I387" s="232">
        <v>162229</v>
      </c>
      <c r="J387" s="231">
        <v>0</v>
      </c>
      <c r="K387" s="88">
        <f t="shared" si="17"/>
        <v>340467</v>
      </c>
      <c r="L387" s="50"/>
      <c r="M387" s="232">
        <v>3165</v>
      </c>
      <c r="N387" s="232">
        <v>0</v>
      </c>
      <c r="O387" s="231">
        <v>35418</v>
      </c>
      <c r="P387" s="88">
        <f t="shared" si="18"/>
        <v>38583</v>
      </c>
      <c r="Q387" s="50"/>
      <c r="R387" s="232">
        <v>169817</v>
      </c>
      <c r="S387" s="231">
        <v>-18432</v>
      </c>
      <c r="T387" s="233">
        <v>151385</v>
      </c>
    </row>
    <row r="388" spans="1:20">
      <c r="A388" s="48">
        <v>93911</v>
      </c>
      <c r="B388" s="49" t="s">
        <v>1086</v>
      </c>
      <c r="C388" s="234">
        <v>6.5010000000000003E-4</v>
      </c>
      <c r="D388" s="234">
        <v>6.3429999999999997E-4</v>
      </c>
      <c r="E388" s="201">
        <v>1542260</v>
      </c>
      <c r="F388" s="201" t="s">
        <v>1924</v>
      </c>
      <c r="G388" s="232">
        <v>237934</v>
      </c>
      <c r="H388" s="220">
        <v>211706</v>
      </c>
      <c r="I388" s="232">
        <v>409256</v>
      </c>
      <c r="J388" s="231">
        <v>18849</v>
      </c>
      <c r="K388" s="88">
        <f t="shared" si="17"/>
        <v>877745</v>
      </c>
      <c r="L388" s="50"/>
      <c r="M388" s="232">
        <v>7984</v>
      </c>
      <c r="N388" s="232">
        <v>0</v>
      </c>
      <c r="O388" s="231">
        <v>38804</v>
      </c>
      <c r="P388" s="88">
        <f t="shared" si="18"/>
        <v>46788</v>
      </c>
      <c r="Q388" s="50"/>
      <c r="R388" s="232">
        <v>428398</v>
      </c>
      <c r="S388" s="231">
        <v>-3385</v>
      </c>
      <c r="T388" s="233">
        <v>425013</v>
      </c>
    </row>
    <row r="389" spans="1:20">
      <c r="A389" s="48">
        <v>93913</v>
      </c>
      <c r="B389" s="49" t="s">
        <v>1087</v>
      </c>
      <c r="C389" s="234">
        <v>5.8799999999999999E-5</v>
      </c>
      <c r="D389" s="234">
        <v>5.8799999999999999E-5</v>
      </c>
      <c r="E389" s="201">
        <v>139494</v>
      </c>
      <c r="F389" s="201" t="s">
        <v>1924</v>
      </c>
      <c r="G389" s="232">
        <v>21521</v>
      </c>
      <c r="H389" s="220">
        <v>19148</v>
      </c>
      <c r="I389" s="232">
        <v>37016</v>
      </c>
      <c r="J389" s="231">
        <v>4809</v>
      </c>
      <c r="K389" s="88">
        <f t="shared" si="17"/>
        <v>82494</v>
      </c>
      <c r="L389" s="50"/>
      <c r="M389" s="232">
        <v>722</v>
      </c>
      <c r="N389" s="232">
        <v>0</v>
      </c>
      <c r="O389" s="231">
        <v>526</v>
      </c>
      <c r="P389" s="88">
        <f t="shared" si="18"/>
        <v>1248</v>
      </c>
      <c r="Q389" s="50"/>
      <c r="R389" s="232">
        <v>38748</v>
      </c>
      <c r="S389" s="231">
        <v>1207</v>
      </c>
      <c r="T389" s="233">
        <v>39955</v>
      </c>
    </row>
    <row r="390" spans="1:20">
      <c r="A390" s="48">
        <v>93914</v>
      </c>
      <c r="B390" s="49" t="s">
        <v>2267</v>
      </c>
      <c r="C390" s="234">
        <v>7.1999999999999997E-6</v>
      </c>
      <c r="D390" s="234">
        <v>8.1000000000000004E-6</v>
      </c>
      <c r="E390" s="201">
        <v>17081</v>
      </c>
      <c r="F390" s="201" t="s">
        <v>1924</v>
      </c>
      <c r="G390" s="232">
        <v>2635</v>
      </c>
      <c r="H390" s="220">
        <v>2345</v>
      </c>
      <c r="I390" s="232">
        <v>4533</v>
      </c>
      <c r="J390" s="231">
        <v>4000</v>
      </c>
      <c r="K390" s="88">
        <f t="shared" si="17"/>
        <v>13513</v>
      </c>
      <c r="L390" s="50"/>
      <c r="M390" s="232">
        <v>88</v>
      </c>
      <c r="N390" s="232">
        <v>0</v>
      </c>
      <c r="O390" s="231">
        <v>0</v>
      </c>
      <c r="P390" s="88">
        <f t="shared" si="18"/>
        <v>88</v>
      </c>
      <c r="Q390" s="50"/>
      <c r="R390" s="232">
        <v>4745</v>
      </c>
      <c r="S390" s="231">
        <v>2002</v>
      </c>
      <c r="T390" s="233">
        <v>6747</v>
      </c>
    </row>
    <row r="391" spans="1:20">
      <c r="A391" s="48">
        <v>93921</v>
      </c>
      <c r="B391" s="49" t="s">
        <v>1089</v>
      </c>
      <c r="C391" s="234">
        <v>2.8259999999999998E-4</v>
      </c>
      <c r="D391" s="234">
        <v>2.9020000000000001E-4</v>
      </c>
      <c r="E391" s="201">
        <v>670424</v>
      </c>
      <c r="F391" s="201" t="s">
        <v>1924</v>
      </c>
      <c r="G391" s="232">
        <v>103430</v>
      </c>
      <c r="H391" s="220">
        <v>92030</v>
      </c>
      <c r="I391" s="232">
        <v>177905</v>
      </c>
      <c r="J391" s="231">
        <v>8166</v>
      </c>
      <c r="K391" s="88">
        <f t="shared" si="17"/>
        <v>381531</v>
      </c>
      <c r="L391" s="50"/>
      <c r="M391" s="232">
        <v>3471</v>
      </c>
      <c r="N391" s="232">
        <v>0</v>
      </c>
      <c r="O391" s="231">
        <v>9312</v>
      </c>
      <c r="P391" s="88">
        <f t="shared" si="18"/>
        <v>12783</v>
      </c>
      <c r="Q391" s="50"/>
      <c r="R391" s="232">
        <v>186226</v>
      </c>
      <c r="S391" s="231">
        <v>4786</v>
      </c>
      <c r="T391" s="233">
        <v>191012</v>
      </c>
    </row>
    <row r="392" spans="1:20">
      <c r="A392" s="48">
        <v>93931</v>
      </c>
      <c r="B392" s="49" t="s">
        <v>2268</v>
      </c>
      <c r="C392" s="234">
        <v>5.4460000000000001E-4</v>
      </c>
      <c r="D392" s="234">
        <v>5.0029999999999996E-4</v>
      </c>
      <c r="E392" s="201">
        <v>1291977</v>
      </c>
      <c r="F392" s="201" t="s">
        <v>1924</v>
      </c>
      <c r="G392" s="232">
        <v>199321</v>
      </c>
      <c r="H392" s="220">
        <v>177350</v>
      </c>
      <c r="I392" s="232">
        <v>342841</v>
      </c>
      <c r="J392" s="231">
        <v>27595</v>
      </c>
      <c r="K392" s="88">
        <f t="shared" si="17"/>
        <v>747107</v>
      </c>
      <c r="L392" s="50"/>
      <c r="M392" s="232">
        <v>6688</v>
      </c>
      <c r="N392" s="232">
        <v>0</v>
      </c>
      <c r="O392" s="231">
        <v>28225</v>
      </c>
      <c r="P392" s="88">
        <f t="shared" si="18"/>
        <v>34913</v>
      </c>
      <c r="Q392" s="50"/>
      <c r="R392" s="232">
        <v>358877</v>
      </c>
      <c r="S392" s="231">
        <v>80772</v>
      </c>
      <c r="T392" s="233">
        <v>439649</v>
      </c>
    </row>
    <row r="393" spans="1:20">
      <c r="A393" s="48">
        <v>94001</v>
      </c>
      <c r="B393" s="49" t="s">
        <v>1091</v>
      </c>
      <c r="C393" s="234">
        <v>9.366E-4</v>
      </c>
      <c r="D393" s="234">
        <v>9.209E-4</v>
      </c>
      <c r="E393" s="201">
        <v>2221936</v>
      </c>
      <c r="F393" s="201" t="s">
        <v>1924</v>
      </c>
      <c r="G393" s="232">
        <v>342792</v>
      </c>
      <c r="H393" s="220">
        <v>305006</v>
      </c>
      <c r="I393" s="232">
        <v>589616</v>
      </c>
      <c r="J393" s="231">
        <v>45071</v>
      </c>
      <c r="K393" s="88">
        <f t="shared" si="17"/>
        <v>1282485</v>
      </c>
      <c r="L393" s="50"/>
      <c r="M393" s="232">
        <v>11502</v>
      </c>
      <c r="N393" s="232">
        <v>0</v>
      </c>
      <c r="O393" s="231">
        <v>944</v>
      </c>
      <c r="P393" s="88">
        <f t="shared" si="18"/>
        <v>12446</v>
      </c>
      <c r="Q393" s="50"/>
      <c r="R393" s="232">
        <v>617194</v>
      </c>
      <c r="S393" s="231">
        <v>-8755</v>
      </c>
      <c r="T393" s="233">
        <v>608439</v>
      </c>
    </row>
    <row r="394" spans="1:20">
      <c r="A394" s="48">
        <v>94002</v>
      </c>
      <c r="B394" s="49" t="s">
        <v>1092</v>
      </c>
      <c r="C394" s="234">
        <v>5.9000000000000003E-6</v>
      </c>
      <c r="D394" s="234">
        <v>7.0999999999999998E-6</v>
      </c>
      <c r="E394" s="201">
        <v>13997</v>
      </c>
      <c r="F394" s="201" t="s">
        <v>1924</v>
      </c>
      <c r="G394" s="232">
        <v>2159</v>
      </c>
      <c r="H394" s="220">
        <v>1921</v>
      </c>
      <c r="I394" s="232">
        <v>3714</v>
      </c>
      <c r="J394" s="231">
        <v>1637</v>
      </c>
      <c r="K394" s="88">
        <f t="shared" si="17"/>
        <v>9431</v>
      </c>
      <c r="L394" s="50"/>
      <c r="M394" s="232">
        <v>72</v>
      </c>
      <c r="N394" s="232">
        <v>0</v>
      </c>
      <c r="O394" s="231">
        <v>0</v>
      </c>
      <c r="P394" s="88">
        <f t="shared" si="18"/>
        <v>72</v>
      </c>
      <c r="Q394" s="50"/>
      <c r="R394" s="232">
        <v>3888</v>
      </c>
      <c r="S394" s="231">
        <v>404</v>
      </c>
      <c r="T394" s="233">
        <v>4292</v>
      </c>
    </row>
    <row r="395" spans="1:20">
      <c r="A395" s="48">
        <v>94004</v>
      </c>
      <c r="B395" s="49" t="s">
        <v>1093</v>
      </c>
      <c r="C395" s="234">
        <v>7.3000000000000004E-6</v>
      </c>
      <c r="D395" s="234">
        <v>7.3000000000000004E-6</v>
      </c>
      <c r="E395" s="201">
        <v>17318</v>
      </c>
      <c r="F395" s="201" t="s">
        <v>1924</v>
      </c>
      <c r="G395" s="232">
        <v>2672</v>
      </c>
      <c r="H395" s="220">
        <v>2377</v>
      </c>
      <c r="I395" s="232">
        <v>4596</v>
      </c>
      <c r="J395" s="231">
        <v>4289</v>
      </c>
      <c r="K395" s="88">
        <f t="shared" si="17"/>
        <v>13934</v>
      </c>
      <c r="L395" s="50"/>
      <c r="M395" s="232">
        <v>90</v>
      </c>
      <c r="N395" s="232">
        <v>0</v>
      </c>
      <c r="O395" s="231">
        <v>35</v>
      </c>
      <c r="P395" s="88">
        <f t="shared" si="18"/>
        <v>125</v>
      </c>
      <c r="Q395" s="50"/>
      <c r="R395" s="232">
        <v>4811</v>
      </c>
      <c r="S395" s="231">
        <v>918</v>
      </c>
      <c r="T395" s="233">
        <v>5729</v>
      </c>
    </row>
    <row r="396" spans="1:20">
      <c r="A396" s="48">
        <v>94005</v>
      </c>
      <c r="B396" s="49" t="s">
        <v>1094</v>
      </c>
      <c r="C396" s="234">
        <v>4.6999999999999999E-6</v>
      </c>
      <c r="D396" s="234">
        <v>0</v>
      </c>
      <c r="E396" s="201">
        <v>11150</v>
      </c>
      <c r="F396" s="201" t="s">
        <v>1924</v>
      </c>
      <c r="G396" s="232">
        <v>1720</v>
      </c>
      <c r="H396" s="220">
        <v>1531</v>
      </c>
      <c r="I396" s="232">
        <v>2959</v>
      </c>
      <c r="J396" s="231">
        <v>3483</v>
      </c>
      <c r="K396" s="88">
        <f t="shared" si="17"/>
        <v>9693</v>
      </c>
      <c r="L396" s="50"/>
      <c r="M396" s="232">
        <v>58</v>
      </c>
      <c r="N396" s="232">
        <v>0</v>
      </c>
      <c r="O396" s="231">
        <v>3881</v>
      </c>
      <c r="P396" s="88">
        <f t="shared" si="18"/>
        <v>3939</v>
      </c>
      <c r="Q396" s="50"/>
      <c r="R396" s="232">
        <v>3097</v>
      </c>
      <c r="S396" s="231">
        <v>-1112</v>
      </c>
      <c r="T396" s="233">
        <v>1985</v>
      </c>
    </row>
    <row r="397" spans="1:20">
      <c r="A397" s="48">
        <v>94011</v>
      </c>
      <c r="B397" s="49" t="s">
        <v>2269</v>
      </c>
      <c r="C397" s="234">
        <v>2.8399999999999999E-5</v>
      </c>
      <c r="D397" s="234">
        <v>2.3600000000000001E-5</v>
      </c>
      <c r="E397" s="202">
        <v>67375</v>
      </c>
      <c r="F397" s="202" t="s">
        <v>1924</v>
      </c>
      <c r="G397" s="232">
        <v>10394</v>
      </c>
      <c r="H397" s="220">
        <v>9249</v>
      </c>
      <c r="I397" s="232">
        <v>17879</v>
      </c>
      <c r="J397" s="231">
        <v>3892</v>
      </c>
      <c r="K397" s="88">
        <f t="shared" si="17"/>
        <v>41414</v>
      </c>
      <c r="L397" s="50"/>
      <c r="M397" s="232">
        <v>349</v>
      </c>
      <c r="N397" s="232">
        <v>0</v>
      </c>
      <c r="O397" s="231">
        <v>2020</v>
      </c>
      <c r="P397" s="88">
        <f t="shared" si="18"/>
        <v>2369</v>
      </c>
      <c r="Q397" s="50"/>
      <c r="R397" s="232">
        <v>18715</v>
      </c>
      <c r="S397" s="231">
        <v>438</v>
      </c>
      <c r="T397" s="233">
        <v>19153</v>
      </c>
    </row>
    <row r="398" spans="1:20">
      <c r="A398" s="48">
        <v>94021</v>
      </c>
      <c r="B398" s="49" t="s">
        <v>2270</v>
      </c>
      <c r="C398" s="234">
        <v>8.8800000000000004E-5</v>
      </c>
      <c r="D398" s="234">
        <v>9.3399999999999993E-5</v>
      </c>
      <c r="E398" s="202">
        <v>210664</v>
      </c>
      <c r="F398" s="202" t="s">
        <v>1924</v>
      </c>
      <c r="G398" s="232">
        <v>32500</v>
      </c>
      <c r="H398" s="220">
        <v>28917</v>
      </c>
      <c r="I398" s="232">
        <v>55902</v>
      </c>
      <c r="J398" s="231">
        <v>11919</v>
      </c>
      <c r="K398" s="88">
        <f t="shared" si="17"/>
        <v>129238</v>
      </c>
      <c r="L398" s="50"/>
      <c r="M398" s="232">
        <v>1091</v>
      </c>
      <c r="N398" s="232">
        <v>0</v>
      </c>
      <c r="O398" s="231">
        <v>0</v>
      </c>
      <c r="P398" s="88">
        <f t="shared" si="18"/>
        <v>1091</v>
      </c>
      <c r="Q398" s="50"/>
      <c r="R398" s="232">
        <v>58517</v>
      </c>
      <c r="S398" s="231">
        <v>8639</v>
      </c>
      <c r="T398" s="233">
        <v>67156</v>
      </c>
    </row>
    <row r="399" spans="1:20">
      <c r="A399" s="48">
        <v>94031</v>
      </c>
      <c r="B399" s="49" t="s">
        <v>2271</v>
      </c>
      <c r="C399" s="234">
        <v>4.8999999999999997E-6</v>
      </c>
      <c r="D399" s="234">
        <v>5.4E-6</v>
      </c>
      <c r="E399" s="202">
        <v>11624</v>
      </c>
      <c r="F399" s="202" t="s">
        <v>1924</v>
      </c>
      <c r="G399" s="232">
        <v>1793</v>
      </c>
      <c r="H399" s="220">
        <v>1596</v>
      </c>
      <c r="I399" s="232">
        <v>3085</v>
      </c>
      <c r="J399" s="231">
        <v>7753</v>
      </c>
      <c r="K399" s="88">
        <f t="shared" si="17"/>
        <v>14227</v>
      </c>
      <c r="L399" s="50"/>
      <c r="M399" s="232">
        <v>60</v>
      </c>
      <c r="N399" s="232">
        <v>0</v>
      </c>
      <c r="O399" s="231">
        <v>0</v>
      </c>
      <c r="P399" s="88">
        <f t="shared" si="18"/>
        <v>60</v>
      </c>
      <c r="Q399" s="50"/>
      <c r="R399" s="232">
        <v>3229</v>
      </c>
      <c r="S399" s="231">
        <v>3678</v>
      </c>
      <c r="T399" s="233">
        <v>6907</v>
      </c>
    </row>
    <row r="400" spans="1:20">
      <c r="A400" s="48">
        <v>94101</v>
      </c>
      <c r="B400" s="49" t="s">
        <v>1098</v>
      </c>
      <c r="C400" s="234">
        <v>1.8137199999999999E-2</v>
      </c>
      <c r="D400" s="234">
        <v>1.8321799999999999E-2</v>
      </c>
      <c r="E400" s="202">
        <v>43027641</v>
      </c>
      <c r="F400" s="202" t="s">
        <v>1924</v>
      </c>
      <c r="G400" s="232">
        <v>6638143</v>
      </c>
      <c r="H400" s="220">
        <v>5906416</v>
      </c>
      <c r="I400" s="232">
        <v>11417875</v>
      </c>
      <c r="J400" s="231">
        <v>156015</v>
      </c>
      <c r="K400" s="88">
        <f t="shared" si="17"/>
        <v>24118449</v>
      </c>
      <c r="L400" s="50"/>
      <c r="M400" s="232">
        <v>222743</v>
      </c>
      <c r="N400" s="232">
        <v>0</v>
      </c>
      <c r="O400" s="231">
        <v>304690</v>
      </c>
      <c r="P400" s="88">
        <f t="shared" si="18"/>
        <v>527433</v>
      </c>
      <c r="Q400" s="50"/>
      <c r="R400" s="232">
        <v>11951925</v>
      </c>
      <c r="S400" s="231">
        <v>-259645</v>
      </c>
      <c r="T400" s="233">
        <v>11692280</v>
      </c>
    </row>
    <row r="401" spans="1:20">
      <c r="A401" s="48">
        <v>94102</v>
      </c>
      <c r="B401" s="49" t="s">
        <v>1099</v>
      </c>
      <c r="C401" s="234">
        <v>2.8909999999999998E-4</v>
      </c>
      <c r="D401" s="234">
        <v>2.965E-4</v>
      </c>
      <c r="E401" s="202">
        <v>685844</v>
      </c>
      <c r="F401" s="202" t="s">
        <v>1924</v>
      </c>
      <c r="G401" s="232">
        <v>105809</v>
      </c>
      <c r="H401" s="220">
        <v>94146</v>
      </c>
      <c r="I401" s="232">
        <v>181997</v>
      </c>
      <c r="J401" s="231">
        <v>0</v>
      </c>
      <c r="K401" s="88">
        <f t="shared" ref="K401:K464" si="19">G401+H401+I401+J401</f>
        <v>381952</v>
      </c>
      <c r="L401" s="50"/>
      <c r="M401" s="232">
        <v>3550</v>
      </c>
      <c r="N401" s="232">
        <v>0</v>
      </c>
      <c r="O401" s="231">
        <v>53559</v>
      </c>
      <c r="P401" s="88">
        <f t="shared" ref="P401:P464" si="20">M401+N401+O401</f>
        <v>57109</v>
      </c>
      <c r="Q401" s="50"/>
      <c r="R401" s="232">
        <v>190509</v>
      </c>
      <c r="S401" s="231">
        <v>-18988</v>
      </c>
      <c r="T401" s="233">
        <v>171521</v>
      </c>
    </row>
    <row r="402" spans="1:20">
      <c r="A402" s="48">
        <v>94108</v>
      </c>
      <c r="B402" s="49" t="s">
        <v>1100</v>
      </c>
      <c r="C402" s="234">
        <v>3.8549999999999999E-4</v>
      </c>
      <c r="D402" s="234">
        <v>3.1389999999999999E-4</v>
      </c>
      <c r="E402" s="202">
        <v>914538</v>
      </c>
      <c r="F402" s="202" t="s">
        <v>1924</v>
      </c>
      <c r="G402" s="232">
        <v>141091</v>
      </c>
      <c r="H402" s="220">
        <v>125539</v>
      </c>
      <c r="I402" s="232">
        <v>242683</v>
      </c>
      <c r="J402" s="231">
        <v>13586</v>
      </c>
      <c r="K402" s="88">
        <f t="shared" si="19"/>
        <v>522899</v>
      </c>
      <c r="L402" s="50"/>
      <c r="M402" s="232">
        <v>4734</v>
      </c>
      <c r="N402" s="232">
        <v>0</v>
      </c>
      <c r="O402" s="231">
        <v>61281</v>
      </c>
      <c r="P402" s="88">
        <f t="shared" si="20"/>
        <v>66015</v>
      </c>
      <c r="Q402" s="50"/>
      <c r="R402" s="232">
        <v>254034</v>
      </c>
      <c r="S402" s="231">
        <v>-43929</v>
      </c>
      <c r="T402" s="233">
        <v>210105</v>
      </c>
    </row>
    <row r="403" spans="1:20">
      <c r="A403" s="48">
        <v>94109</v>
      </c>
      <c r="B403" s="49" t="s">
        <v>1101</v>
      </c>
      <c r="C403" s="234">
        <v>9.8200000000000002E-5</v>
      </c>
      <c r="D403" s="234">
        <v>9.09E-5</v>
      </c>
      <c r="E403" s="202">
        <v>232964</v>
      </c>
      <c r="F403" s="202" t="s">
        <v>1924</v>
      </c>
      <c r="G403" s="232">
        <v>35941</v>
      </c>
      <c r="H403" s="220">
        <v>31979</v>
      </c>
      <c r="I403" s="232">
        <v>61820</v>
      </c>
      <c r="J403" s="231">
        <v>0</v>
      </c>
      <c r="K403" s="88">
        <f t="shared" si="19"/>
        <v>129740</v>
      </c>
      <c r="L403" s="50"/>
      <c r="M403" s="232">
        <v>1206</v>
      </c>
      <c r="N403" s="232">
        <v>0</v>
      </c>
      <c r="O403" s="231">
        <v>33379</v>
      </c>
      <c r="P403" s="88">
        <f t="shared" si="20"/>
        <v>34585</v>
      </c>
      <c r="Q403" s="50"/>
      <c r="R403" s="232">
        <v>64711</v>
      </c>
      <c r="S403" s="231">
        <v>-14342</v>
      </c>
      <c r="T403" s="233">
        <v>50369</v>
      </c>
    </row>
    <row r="404" spans="1:20">
      <c r="A404" s="48">
        <v>94111</v>
      </c>
      <c r="B404" s="49" t="s">
        <v>1102</v>
      </c>
      <c r="C404" s="234">
        <v>2.4882899999999999E-2</v>
      </c>
      <c r="D404" s="234">
        <v>2.5682300000000002E-2</v>
      </c>
      <c r="E404" s="202">
        <v>59030749</v>
      </c>
      <c r="F404" s="202" t="s">
        <v>1924</v>
      </c>
      <c r="G404" s="232">
        <v>9107042</v>
      </c>
      <c r="H404" s="220">
        <v>8103166</v>
      </c>
      <c r="I404" s="232">
        <v>15664482</v>
      </c>
      <c r="J404" s="231">
        <v>0</v>
      </c>
      <c r="K404" s="88">
        <f t="shared" si="19"/>
        <v>32874690</v>
      </c>
      <c r="L404" s="50"/>
      <c r="M404" s="232">
        <v>305587</v>
      </c>
      <c r="N404" s="232">
        <v>0</v>
      </c>
      <c r="O404" s="231">
        <v>1628449</v>
      </c>
      <c r="P404" s="88">
        <f t="shared" si="20"/>
        <v>1934036</v>
      </c>
      <c r="Q404" s="50"/>
      <c r="R404" s="232">
        <v>16397159</v>
      </c>
      <c r="S404" s="231">
        <v>-691916</v>
      </c>
      <c r="T404" s="233">
        <v>15705243</v>
      </c>
    </row>
    <row r="405" spans="1:20">
      <c r="A405" s="48">
        <v>94112</v>
      </c>
      <c r="B405" s="49" t="s">
        <v>2756</v>
      </c>
      <c r="C405" s="234">
        <v>1.684E-4</v>
      </c>
      <c r="D405" s="234">
        <v>1.6699999999999999E-4</v>
      </c>
      <c r="E405" s="202">
        <v>399502</v>
      </c>
      <c r="F405" s="202" t="s">
        <v>1924</v>
      </c>
      <c r="G405" s="232">
        <v>61634</v>
      </c>
      <c r="H405" s="220">
        <v>54840</v>
      </c>
      <c r="I405" s="232">
        <v>106013</v>
      </c>
      <c r="J405" s="231">
        <v>0</v>
      </c>
      <c r="K405" s="88">
        <f t="shared" si="19"/>
        <v>222487</v>
      </c>
      <c r="L405" s="50"/>
      <c r="M405" s="232">
        <v>2068</v>
      </c>
      <c r="N405" s="232">
        <v>0</v>
      </c>
      <c r="O405" s="231">
        <v>14012</v>
      </c>
      <c r="P405" s="88">
        <f t="shared" si="20"/>
        <v>16080</v>
      </c>
      <c r="Q405" s="50"/>
      <c r="R405" s="232">
        <v>110971</v>
      </c>
      <c r="S405" s="231">
        <v>-9395</v>
      </c>
      <c r="T405" s="233">
        <v>101576</v>
      </c>
    </row>
    <row r="406" spans="1:20">
      <c r="A406" s="48">
        <v>94117</v>
      </c>
      <c r="B406" s="49" t="s">
        <v>1104</v>
      </c>
      <c r="C406" s="234">
        <v>3.5429999999999999E-4</v>
      </c>
      <c r="D406" s="234">
        <v>3.9809999999999997E-4</v>
      </c>
      <c r="E406" s="202">
        <v>840521</v>
      </c>
      <c r="F406" s="202" t="s">
        <v>1924</v>
      </c>
      <c r="G406" s="232">
        <v>129672</v>
      </c>
      <c r="H406" s="220">
        <v>115378</v>
      </c>
      <c r="I406" s="232">
        <v>223042</v>
      </c>
      <c r="J406" s="231">
        <v>3605</v>
      </c>
      <c r="K406" s="88">
        <f t="shared" si="19"/>
        <v>471697</v>
      </c>
      <c r="L406" s="50"/>
      <c r="M406" s="232">
        <v>4351</v>
      </c>
      <c r="N406" s="232">
        <v>0</v>
      </c>
      <c r="O406" s="231">
        <v>34793</v>
      </c>
      <c r="P406" s="88">
        <f t="shared" si="20"/>
        <v>39144</v>
      </c>
      <c r="Q406" s="50"/>
      <c r="R406" s="232">
        <v>233474</v>
      </c>
      <c r="S406" s="231">
        <v>-6033</v>
      </c>
      <c r="T406" s="233">
        <v>227441</v>
      </c>
    </row>
    <row r="407" spans="1:20">
      <c r="A407" s="48">
        <v>94118</v>
      </c>
      <c r="B407" s="49" t="s">
        <v>1105</v>
      </c>
      <c r="C407" s="234">
        <v>1.6009999999999999E-4</v>
      </c>
      <c r="D407" s="234">
        <v>1.494E-4</v>
      </c>
      <c r="E407" s="202">
        <v>379812</v>
      </c>
      <c r="F407" s="202" t="s">
        <v>1924</v>
      </c>
      <c r="G407" s="232">
        <v>58596</v>
      </c>
      <c r="H407" s="220">
        <v>52137</v>
      </c>
      <c r="I407" s="232">
        <v>100787</v>
      </c>
      <c r="J407" s="231">
        <v>0</v>
      </c>
      <c r="K407" s="88">
        <f t="shared" si="19"/>
        <v>211520</v>
      </c>
      <c r="L407" s="50"/>
      <c r="M407" s="232">
        <v>1966</v>
      </c>
      <c r="N407" s="232">
        <v>0</v>
      </c>
      <c r="O407" s="231">
        <v>35288</v>
      </c>
      <c r="P407" s="88">
        <f t="shared" si="20"/>
        <v>37254</v>
      </c>
      <c r="Q407" s="50"/>
      <c r="R407" s="232">
        <v>105502</v>
      </c>
      <c r="S407" s="231">
        <v>-25547</v>
      </c>
      <c r="T407" s="233">
        <v>79955</v>
      </c>
    </row>
    <row r="408" spans="1:20">
      <c r="A408" s="48">
        <v>94121</v>
      </c>
      <c r="B408" s="49" t="s">
        <v>1106</v>
      </c>
      <c r="C408" s="234">
        <v>1.1314299999999999E-2</v>
      </c>
      <c r="D408" s="234">
        <v>1.1246000000000001E-2</v>
      </c>
      <c r="E408" s="202">
        <v>26841389</v>
      </c>
      <c r="F408" s="202" t="s">
        <v>1924</v>
      </c>
      <c r="G408" s="232">
        <v>4140989</v>
      </c>
      <c r="H408" s="220">
        <v>3684524</v>
      </c>
      <c r="I408" s="232">
        <v>7122669</v>
      </c>
      <c r="J408" s="231">
        <v>178797</v>
      </c>
      <c r="K408" s="88">
        <f t="shared" si="19"/>
        <v>15126979</v>
      </c>
      <c r="L408" s="50"/>
      <c r="M408" s="232">
        <v>138951</v>
      </c>
      <c r="N408" s="232">
        <v>0</v>
      </c>
      <c r="O408" s="231">
        <v>124923</v>
      </c>
      <c r="P408" s="88">
        <f t="shared" si="20"/>
        <v>263874</v>
      </c>
      <c r="Q408" s="50"/>
      <c r="R408" s="232">
        <v>7455818</v>
      </c>
      <c r="S408" s="231">
        <v>-92749</v>
      </c>
      <c r="T408" s="233">
        <v>7363069</v>
      </c>
    </row>
    <row r="409" spans="1:20">
      <c r="A409" s="48">
        <v>94127</v>
      </c>
      <c r="B409" s="49" t="s">
        <v>1107</v>
      </c>
      <c r="C409" s="234">
        <v>1.5310000000000001E-4</v>
      </c>
      <c r="D409" s="234">
        <v>1.7310000000000001E-4</v>
      </c>
      <c r="E409" s="202">
        <v>363206</v>
      </c>
      <c r="F409" s="202" t="s">
        <v>1924</v>
      </c>
      <c r="G409" s="232">
        <v>56034</v>
      </c>
      <c r="H409" s="220">
        <v>49857</v>
      </c>
      <c r="I409" s="232">
        <v>96381</v>
      </c>
      <c r="J409" s="231">
        <v>5878</v>
      </c>
      <c r="K409" s="88">
        <f t="shared" si="19"/>
        <v>208150</v>
      </c>
      <c r="L409" s="50"/>
      <c r="M409" s="232">
        <v>1880</v>
      </c>
      <c r="N409" s="232">
        <v>0</v>
      </c>
      <c r="O409" s="231">
        <v>12665</v>
      </c>
      <c r="P409" s="88">
        <f t="shared" si="20"/>
        <v>14545</v>
      </c>
      <c r="Q409" s="50"/>
      <c r="R409" s="232">
        <v>100889</v>
      </c>
      <c r="S409" s="231">
        <v>-521</v>
      </c>
      <c r="T409" s="233">
        <v>100368</v>
      </c>
    </row>
    <row r="410" spans="1:20">
      <c r="A410" s="48">
        <v>94131</v>
      </c>
      <c r="B410" s="49" t="s">
        <v>2272</v>
      </c>
      <c r="C410" s="234">
        <v>2.039E-4</v>
      </c>
      <c r="D410" s="234">
        <v>1.7479999999999999E-4</v>
      </c>
      <c r="E410" s="202">
        <v>483721</v>
      </c>
      <c r="F410" s="202" t="s">
        <v>1924</v>
      </c>
      <c r="G410" s="232">
        <v>74627</v>
      </c>
      <c r="H410" s="220">
        <v>66401</v>
      </c>
      <c r="I410" s="232">
        <v>128361</v>
      </c>
      <c r="J410" s="231">
        <v>26135</v>
      </c>
      <c r="K410" s="88">
        <f t="shared" si="19"/>
        <v>295524</v>
      </c>
      <c r="L410" s="50"/>
      <c r="M410" s="232">
        <v>2504</v>
      </c>
      <c r="N410" s="232">
        <v>0</v>
      </c>
      <c r="O410" s="231">
        <v>6379</v>
      </c>
      <c r="P410" s="88">
        <f t="shared" si="20"/>
        <v>8883</v>
      </c>
      <c r="Q410" s="50"/>
      <c r="R410" s="232">
        <v>134365</v>
      </c>
      <c r="S410" s="231">
        <v>5028</v>
      </c>
      <c r="T410" s="233">
        <v>139393</v>
      </c>
    </row>
    <row r="411" spans="1:20">
      <c r="A411" s="48">
        <v>94151</v>
      </c>
      <c r="B411" s="49" t="s">
        <v>2273</v>
      </c>
      <c r="C411" s="234">
        <v>4.6470000000000002E-4</v>
      </c>
      <c r="D411" s="234">
        <v>4.1590000000000003E-4</v>
      </c>
      <c r="E411" s="202">
        <v>1102427</v>
      </c>
      <c r="F411" s="202" t="s">
        <v>1924</v>
      </c>
      <c r="G411" s="232">
        <v>170078</v>
      </c>
      <c r="H411" s="220">
        <v>151331</v>
      </c>
      <c r="I411" s="232">
        <v>292542</v>
      </c>
      <c r="J411" s="231">
        <v>12138</v>
      </c>
      <c r="K411" s="88">
        <f t="shared" si="19"/>
        <v>626089</v>
      </c>
      <c r="L411" s="50"/>
      <c r="M411" s="232">
        <v>5707</v>
      </c>
      <c r="N411" s="232">
        <v>0</v>
      </c>
      <c r="O411" s="231">
        <v>23819</v>
      </c>
      <c r="P411" s="88">
        <f t="shared" si="20"/>
        <v>29526</v>
      </c>
      <c r="Q411" s="50"/>
      <c r="R411" s="232">
        <v>306225</v>
      </c>
      <c r="S411" s="231">
        <v>-9818</v>
      </c>
      <c r="T411" s="233">
        <v>296407</v>
      </c>
    </row>
    <row r="412" spans="1:20">
      <c r="A412" s="48">
        <v>94157</v>
      </c>
      <c r="B412" s="49" t="s">
        <v>1110</v>
      </c>
      <c r="C412" s="234">
        <v>8.4999999999999999E-6</v>
      </c>
      <c r="D412" s="234">
        <v>8.8999999999999995E-6</v>
      </c>
      <c r="E412" s="202">
        <v>20165</v>
      </c>
      <c r="F412" s="202" t="s">
        <v>1924</v>
      </c>
      <c r="G412" s="232">
        <v>3111</v>
      </c>
      <c r="H412" s="220">
        <v>2768</v>
      </c>
      <c r="I412" s="232">
        <v>5351</v>
      </c>
      <c r="J412" s="231">
        <v>2192</v>
      </c>
      <c r="K412" s="88">
        <f t="shared" si="19"/>
        <v>13422</v>
      </c>
      <c r="L412" s="50"/>
      <c r="M412" s="232">
        <v>104</v>
      </c>
      <c r="N412" s="232">
        <v>0</v>
      </c>
      <c r="O412" s="231">
        <v>0</v>
      </c>
      <c r="P412" s="88">
        <f t="shared" si="20"/>
        <v>104</v>
      </c>
      <c r="Q412" s="50"/>
      <c r="R412" s="232">
        <v>5601</v>
      </c>
      <c r="S412" s="231">
        <v>2203</v>
      </c>
      <c r="T412" s="233">
        <v>7804</v>
      </c>
    </row>
    <row r="413" spans="1:20">
      <c r="A413" s="48">
        <v>94161</v>
      </c>
      <c r="B413" s="49" t="s">
        <v>2274</v>
      </c>
      <c r="C413" s="234">
        <v>3.4999999999999997E-5</v>
      </c>
      <c r="D413" s="234">
        <v>5.1900000000000001E-5</v>
      </c>
      <c r="E413" s="202">
        <v>83032</v>
      </c>
      <c r="F413" s="202" t="s">
        <v>1924</v>
      </c>
      <c r="G413" s="232">
        <v>12810</v>
      </c>
      <c r="H413" s="220">
        <v>11398</v>
      </c>
      <c r="I413" s="232">
        <v>22033</v>
      </c>
      <c r="J413" s="231">
        <v>2371</v>
      </c>
      <c r="K413" s="88">
        <f t="shared" si="19"/>
        <v>48612</v>
      </c>
      <c r="L413" s="50"/>
      <c r="M413" s="232">
        <v>430</v>
      </c>
      <c r="N413" s="232">
        <v>0</v>
      </c>
      <c r="O413" s="231">
        <v>9815</v>
      </c>
      <c r="P413" s="88">
        <f t="shared" si="20"/>
        <v>10245</v>
      </c>
      <c r="Q413" s="50"/>
      <c r="R413" s="232">
        <v>23064</v>
      </c>
      <c r="S413" s="231">
        <v>432</v>
      </c>
      <c r="T413" s="233">
        <v>23496</v>
      </c>
    </row>
    <row r="414" spans="1:20">
      <c r="A414" s="48">
        <v>94168</v>
      </c>
      <c r="B414" s="49" t="s">
        <v>1112</v>
      </c>
      <c r="C414" s="234">
        <v>5.0800000000000002E-5</v>
      </c>
      <c r="D414" s="234">
        <v>2.5899999999999999E-5</v>
      </c>
      <c r="E414" s="202">
        <v>120515</v>
      </c>
      <c r="F414" s="202" t="s">
        <v>1924</v>
      </c>
      <c r="G414" s="232">
        <v>18593</v>
      </c>
      <c r="H414" s="220">
        <v>16543</v>
      </c>
      <c r="I414" s="232">
        <v>31980</v>
      </c>
      <c r="J414" s="231">
        <v>15950</v>
      </c>
      <c r="K414" s="88">
        <f t="shared" si="19"/>
        <v>83066</v>
      </c>
      <c r="L414" s="50"/>
      <c r="M414" s="232">
        <v>624</v>
      </c>
      <c r="N414" s="232">
        <v>0</v>
      </c>
      <c r="O414" s="231">
        <v>6240</v>
      </c>
      <c r="P414" s="88">
        <f t="shared" si="20"/>
        <v>6864</v>
      </c>
      <c r="Q414" s="50"/>
      <c r="R414" s="232">
        <v>33476</v>
      </c>
      <c r="S414" s="231">
        <v>-1436</v>
      </c>
      <c r="T414" s="233">
        <v>32040</v>
      </c>
    </row>
    <row r="415" spans="1:20">
      <c r="A415" s="48">
        <v>94171</v>
      </c>
      <c r="B415" s="49" t="s">
        <v>2275</v>
      </c>
      <c r="C415" s="234">
        <v>7.9800000000000002E-5</v>
      </c>
      <c r="D415" s="234">
        <v>6.9800000000000003E-5</v>
      </c>
      <c r="E415" s="202">
        <v>189313</v>
      </c>
      <c r="F415" s="202" t="s">
        <v>1924</v>
      </c>
      <c r="G415" s="232">
        <v>29206</v>
      </c>
      <c r="H415" s="220">
        <v>25987</v>
      </c>
      <c r="I415" s="232">
        <v>50236</v>
      </c>
      <c r="J415" s="231">
        <v>8192</v>
      </c>
      <c r="K415" s="88">
        <f t="shared" si="19"/>
        <v>113621</v>
      </c>
      <c r="L415" s="50"/>
      <c r="M415" s="232">
        <v>980</v>
      </c>
      <c r="N415" s="232">
        <v>0</v>
      </c>
      <c r="O415" s="231">
        <v>0</v>
      </c>
      <c r="P415" s="88">
        <f t="shared" si="20"/>
        <v>980</v>
      </c>
      <c r="Q415" s="50"/>
      <c r="R415" s="232">
        <v>52586</v>
      </c>
      <c r="S415" s="231">
        <v>3244</v>
      </c>
      <c r="T415" s="233">
        <v>55830</v>
      </c>
    </row>
    <row r="416" spans="1:20">
      <c r="A416" s="48">
        <v>94172</v>
      </c>
      <c r="B416" s="49" t="s">
        <v>1114</v>
      </c>
      <c r="C416" s="234">
        <v>2.833E-4</v>
      </c>
      <c r="D416" s="234">
        <v>2.6289999999999999E-4</v>
      </c>
      <c r="E416" s="202">
        <v>672084</v>
      </c>
      <c r="F416" s="202" t="s">
        <v>1924</v>
      </c>
      <c r="G416" s="232">
        <v>103687</v>
      </c>
      <c r="H416" s="220">
        <v>92258</v>
      </c>
      <c r="I416" s="232">
        <v>178345</v>
      </c>
      <c r="J416" s="231">
        <v>0</v>
      </c>
      <c r="K416" s="88">
        <f t="shared" si="19"/>
        <v>374290</v>
      </c>
      <c r="L416" s="50"/>
      <c r="M416" s="232">
        <v>3479</v>
      </c>
      <c r="N416" s="232">
        <v>0</v>
      </c>
      <c r="O416" s="231">
        <v>61943</v>
      </c>
      <c r="P416" s="88">
        <f t="shared" si="20"/>
        <v>65422</v>
      </c>
      <c r="Q416" s="50"/>
      <c r="R416" s="232">
        <v>186687</v>
      </c>
      <c r="S416" s="231">
        <v>-44260</v>
      </c>
      <c r="T416" s="233">
        <v>142427</v>
      </c>
    </row>
    <row r="417" spans="1:20">
      <c r="A417" s="48">
        <v>94201</v>
      </c>
      <c r="B417" s="49" t="s">
        <v>1115</v>
      </c>
      <c r="C417" s="234">
        <v>3.2913999999999999E-3</v>
      </c>
      <c r="D417" s="234">
        <v>3.3658999999999998E-3</v>
      </c>
      <c r="E417" s="202">
        <v>7808326</v>
      </c>
      <c r="F417" s="202" t="s">
        <v>1924</v>
      </c>
      <c r="G417" s="232">
        <v>1204639</v>
      </c>
      <c r="H417" s="220">
        <v>1071851</v>
      </c>
      <c r="I417" s="232">
        <v>2072028</v>
      </c>
      <c r="J417" s="231">
        <v>19861</v>
      </c>
      <c r="K417" s="88">
        <f t="shared" si="19"/>
        <v>4368379</v>
      </c>
      <c r="L417" s="50"/>
      <c r="M417" s="232">
        <v>40422</v>
      </c>
      <c r="N417" s="232">
        <v>0</v>
      </c>
      <c r="O417" s="231">
        <v>84937</v>
      </c>
      <c r="P417" s="88">
        <f t="shared" si="20"/>
        <v>125359</v>
      </c>
      <c r="Q417" s="50"/>
      <c r="R417" s="232">
        <v>2168944</v>
      </c>
      <c r="S417" s="231">
        <v>-9281</v>
      </c>
      <c r="T417" s="233">
        <v>2159663</v>
      </c>
    </row>
    <row r="418" spans="1:20">
      <c r="A418" s="48">
        <v>94204</v>
      </c>
      <c r="B418" s="49" t="s">
        <v>1116</v>
      </c>
      <c r="C418" s="234">
        <v>2.73E-5</v>
      </c>
      <c r="D418" s="234">
        <v>2.5899999999999999E-5</v>
      </c>
      <c r="E418" s="202">
        <v>64765</v>
      </c>
      <c r="F418" s="202" t="s">
        <v>1924</v>
      </c>
      <c r="G418" s="232">
        <v>9992</v>
      </c>
      <c r="H418" s="220">
        <v>8890</v>
      </c>
      <c r="I418" s="232">
        <v>17186</v>
      </c>
      <c r="J418" s="231">
        <v>12296</v>
      </c>
      <c r="K418" s="88">
        <f t="shared" si="19"/>
        <v>48364</v>
      </c>
      <c r="L418" s="50"/>
      <c r="M418" s="232">
        <v>335</v>
      </c>
      <c r="N418" s="232">
        <v>0</v>
      </c>
      <c r="O418" s="231">
        <v>0</v>
      </c>
      <c r="P418" s="88">
        <f t="shared" si="20"/>
        <v>335</v>
      </c>
      <c r="Q418" s="50"/>
      <c r="R418" s="232">
        <v>17990</v>
      </c>
      <c r="S418" s="231">
        <v>6257</v>
      </c>
      <c r="T418" s="233">
        <v>24247</v>
      </c>
    </row>
    <row r="419" spans="1:20">
      <c r="A419" s="48">
        <v>94205</v>
      </c>
      <c r="B419" s="49" t="s">
        <v>1117</v>
      </c>
      <c r="C419" s="234">
        <v>1.8300000000000001E-5</v>
      </c>
      <c r="D419" s="234">
        <v>2.0699999999999998E-5</v>
      </c>
      <c r="E419" s="202">
        <v>43414</v>
      </c>
      <c r="F419" s="202" t="s">
        <v>1924</v>
      </c>
      <c r="G419" s="232">
        <v>6698</v>
      </c>
      <c r="H419" s="220">
        <v>5959</v>
      </c>
      <c r="I419" s="232">
        <v>11520</v>
      </c>
      <c r="J419" s="231">
        <v>1408</v>
      </c>
      <c r="K419" s="88">
        <f t="shared" si="19"/>
        <v>25585</v>
      </c>
      <c r="L419" s="50"/>
      <c r="M419" s="232">
        <v>225</v>
      </c>
      <c r="N419" s="232">
        <v>0</v>
      </c>
      <c r="O419" s="231">
        <v>1277</v>
      </c>
      <c r="P419" s="88">
        <f t="shared" si="20"/>
        <v>1502</v>
      </c>
      <c r="Q419" s="50"/>
      <c r="R419" s="232">
        <v>12059</v>
      </c>
      <c r="S419" s="231">
        <v>-2857</v>
      </c>
      <c r="T419" s="233">
        <v>9202</v>
      </c>
    </row>
    <row r="420" spans="1:20">
      <c r="A420" s="48">
        <v>94209</v>
      </c>
      <c r="B420" s="49" t="s">
        <v>1118</v>
      </c>
      <c r="C420" s="234">
        <v>3.1700000000000001E-4</v>
      </c>
      <c r="D420" s="234">
        <v>3.4190000000000002E-4</v>
      </c>
      <c r="E420" s="202">
        <v>752032</v>
      </c>
      <c r="F420" s="202" t="s">
        <v>1924</v>
      </c>
      <c r="G420" s="232">
        <v>116021</v>
      </c>
      <c r="H420" s="220">
        <v>103231</v>
      </c>
      <c r="I420" s="232">
        <v>199560</v>
      </c>
      <c r="J420" s="231">
        <v>11815</v>
      </c>
      <c r="K420" s="88">
        <f t="shared" si="19"/>
        <v>430627</v>
      </c>
      <c r="L420" s="50"/>
      <c r="M420" s="232">
        <v>3893</v>
      </c>
      <c r="N420" s="232">
        <v>0</v>
      </c>
      <c r="O420" s="231">
        <v>21749</v>
      </c>
      <c r="P420" s="88">
        <f t="shared" si="20"/>
        <v>25642</v>
      </c>
      <c r="Q420" s="50"/>
      <c r="R420" s="232">
        <v>208894</v>
      </c>
      <c r="S420" s="231">
        <v>4832</v>
      </c>
      <c r="T420" s="233">
        <v>213726</v>
      </c>
    </row>
    <row r="421" spans="1:20">
      <c r="A421" s="48">
        <v>94211</v>
      </c>
      <c r="B421" s="49" t="s">
        <v>2276</v>
      </c>
      <c r="C421" s="234">
        <v>1.615E-4</v>
      </c>
      <c r="D421" s="234">
        <v>1.3660000000000001E-4</v>
      </c>
      <c r="E421" s="202">
        <v>383133</v>
      </c>
      <c r="F421" s="202" t="s">
        <v>1924</v>
      </c>
      <c r="G421" s="232">
        <v>59108</v>
      </c>
      <c r="H421" s="220">
        <v>52593</v>
      </c>
      <c r="I421" s="232">
        <v>101669</v>
      </c>
      <c r="J421" s="231">
        <v>11603</v>
      </c>
      <c r="K421" s="88">
        <f t="shared" si="19"/>
        <v>224973</v>
      </c>
      <c r="L421" s="50"/>
      <c r="M421" s="232">
        <v>1983</v>
      </c>
      <c r="N421" s="232">
        <v>0</v>
      </c>
      <c r="O421" s="231">
        <v>3873</v>
      </c>
      <c r="P421" s="88">
        <f t="shared" si="20"/>
        <v>5856</v>
      </c>
      <c r="Q421" s="50"/>
      <c r="R421" s="232">
        <v>106424</v>
      </c>
      <c r="S421" s="231">
        <v>-10032</v>
      </c>
      <c r="T421" s="233">
        <v>96392</v>
      </c>
    </row>
    <row r="422" spans="1:20">
      <c r="A422" s="48">
        <v>94221</v>
      </c>
      <c r="B422" s="49" t="s">
        <v>1120</v>
      </c>
      <c r="C422" s="234">
        <v>1.0311999999999999E-3</v>
      </c>
      <c r="D422" s="234">
        <v>1.0436E-3</v>
      </c>
      <c r="E422" s="202">
        <v>2446359</v>
      </c>
      <c r="F422" s="202" t="s">
        <v>1924</v>
      </c>
      <c r="G422" s="232">
        <v>377415</v>
      </c>
      <c r="H422" s="220">
        <v>335812</v>
      </c>
      <c r="I422" s="232">
        <v>649169</v>
      </c>
      <c r="J422" s="231">
        <v>28711</v>
      </c>
      <c r="K422" s="88">
        <f t="shared" si="19"/>
        <v>1391107</v>
      </c>
      <c r="L422" s="50"/>
      <c r="M422" s="232">
        <v>12664</v>
      </c>
      <c r="N422" s="232">
        <v>0</v>
      </c>
      <c r="O422" s="231">
        <v>85091</v>
      </c>
      <c r="P422" s="88">
        <f t="shared" si="20"/>
        <v>97755</v>
      </c>
      <c r="Q422" s="50"/>
      <c r="R422" s="232">
        <v>679533</v>
      </c>
      <c r="S422" s="231">
        <v>-30381</v>
      </c>
      <c r="T422" s="233">
        <v>649152</v>
      </c>
    </row>
    <row r="423" spans="1:20">
      <c r="A423" s="48">
        <v>94231</v>
      </c>
      <c r="B423" s="49" t="s">
        <v>2277</v>
      </c>
      <c r="C423" s="234">
        <v>2.009E-4</v>
      </c>
      <c r="D423" s="234">
        <v>2.2609999999999999E-4</v>
      </c>
      <c r="E423" s="202">
        <v>476604</v>
      </c>
      <c r="F423" s="202" t="s">
        <v>1924</v>
      </c>
      <c r="G423" s="232">
        <v>73529</v>
      </c>
      <c r="H423" s="220">
        <v>65423</v>
      </c>
      <c r="I423" s="232">
        <v>126472</v>
      </c>
      <c r="J423" s="231">
        <v>6119</v>
      </c>
      <c r="K423" s="88">
        <f t="shared" si="19"/>
        <v>271543</v>
      </c>
      <c r="L423" s="50"/>
      <c r="M423" s="232">
        <v>2467</v>
      </c>
      <c r="N423" s="232">
        <v>0</v>
      </c>
      <c r="O423" s="231">
        <v>26463</v>
      </c>
      <c r="P423" s="88">
        <f t="shared" si="20"/>
        <v>28930</v>
      </c>
      <c r="Q423" s="50"/>
      <c r="R423" s="232">
        <v>132388</v>
      </c>
      <c r="S423" s="231">
        <v>-8958</v>
      </c>
      <c r="T423" s="233">
        <v>123430</v>
      </c>
    </row>
    <row r="424" spans="1:20">
      <c r="A424" s="48">
        <v>94241</v>
      </c>
      <c r="B424" s="49" t="s">
        <v>2278</v>
      </c>
      <c r="C424" s="234">
        <v>1.227E-4</v>
      </c>
      <c r="D424" s="234">
        <v>1.2669999999999999E-4</v>
      </c>
      <c r="E424" s="202">
        <v>291086</v>
      </c>
      <c r="F424" s="202" t="s">
        <v>1924</v>
      </c>
      <c r="G424" s="232">
        <v>44908</v>
      </c>
      <c r="H424" s="220">
        <v>39958</v>
      </c>
      <c r="I424" s="232">
        <v>77243</v>
      </c>
      <c r="J424" s="231">
        <v>19412</v>
      </c>
      <c r="K424" s="88">
        <f t="shared" si="19"/>
        <v>181521</v>
      </c>
      <c r="L424" s="50"/>
      <c r="M424" s="232">
        <v>1507</v>
      </c>
      <c r="N424" s="232">
        <v>0</v>
      </c>
      <c r="O424" s="231">
        <v>7181</v>
      </c>
      <c r="P424" s="88">
        <f t="shared" si="20"/>
        <v>8688</v>
      </c>
      <c r="Q424" s="50"/>
      <c r="R424" s="232">
        <v>80856</v>
      </c>
      <c r="S424" s="231">
        <v>5128</v>
      </c>
      <c r="T424" s="233">
        <v>85984</v>
      </c>
    </row>
    <row r="425" spans="1:20">
      <c r="A425" s="48">
        <v>94251</v>
      </c>
      <c r="B425" s="49" t="s">
        <v>2279</v>
      </c>
      <c r="C425" s="234">
        <v>1.59E-5</v>
      </c>
      <c r="D425" s="234">
        <v>1.95E-5</v>
      </c>
      <c r="E425" s="202">
        <v>37720</v>
      </c>
      <c r="F425" s="202" t="s">
        <v>1924</v>
      </c>
      <c r="G425" s="232">
        <v>5819</v>
      </c>
      <c r="H425" s="220">
        <v>5178</v>
      </c>
      <c r="I425" s="232">
        <v>10009</v>
      </c>
      <c r="J425" s="231">
        <v>2468</v>
      </c>
      <c r="K425" s="88">
        <f t="shared" si="19"/>
        <v>23474</v>
      </c>
      <c r="L425" s="50"/>
      <c r="M425" s="232">
        <v>195</v>
      </c>
      <c r="N425" s="232">
        <v>0</v>
      </c>
      <c r="O425" s="231">
        <v>4449</v>
      </c>
      <c r="P425" s="88">
        <f t="shared" si="20"/>
        <v>4644</v>
      </c>
      <c r="Q425" s="50"/>
      <c r="R425" s="232">
        <v>10478</v>
      </c>
      <c r="S425" s="231">
        <v>-2557</v>
      </c>
      <c r="T425" s="233">
        <v>7921</v>
      </c>
    </row>
    <row r="426" spans="1:20">
      <c r="A426" s="48">
        <v>94261</v>
      </c>
      <c r="B426" s="49" t="s">
        <v>2280</v>
      </c>
      <c r="C426" s="234">
        <v>3.6199999999999999E-5</v>
      </c>
      <c r="D426" s="234">
        <v>3.9199999999999997E-5</v>
      </c>
      <c r="E426" s="202">
        <v>85879</v>
      </c>
      <c r="F426" s="202" t="s">
        <v>1924</v>
      </c>
      <c r="G426" s="232">
        <v>13249</v>
      </c>
      <c r="H426" s="220">
        <v>11789</v>
      </c>
      <c r="I426" s="232">
        <v>22789</v>
      </c>
      <c r="J426" s="231">
        <v>10016</v>
      </c>
      <c r="K426" s="88">
        <f t="shared" si="19"/>
        <v>57843</v>
      </c>
      <c r="L426" s="50"/>
      <c r="M426" s="232">
        <v>445</v>
      </c>
      <c r="N426" s="232">
        <v>0</v>
      </c>
      <c r="O426" s="231">
        <v>790</v>
      </c>
      <c r="P426" s="88">
        <f t="shared" si="20"/>
        <v>1235</v>
      </c>
      <c r="Q426" s="50"/>
      <c r="R426" s="232">
        <v>23855</v>
      </c>
      <c r="S426" s="231">
        <v>5304</v>
      </c>
      <c r="T426" s="233">
        <v>29159</v>
      </c>
    </row>
    <row r="427" spans="1:20">
      <c r="A427" s="48">
        <v>94301</v>
      </c>
      <c r="B427" s="49" t="s">
        <v>1125</v>
      </c>
      <c r="C427" s="234">
        <v>6.3552000000000001E-3</v>
      </c>
      <c r="D427" s="234">
        <v>6.2988999999999996E-3</v>
      </c>
      <c r="E427" s="202">
        <v>15076708</v>
      </c>
      <c r="F427" s="202" t="s">
        <v>1924</v>
      </c>
      <c r="G427" s="232">
        <v>2325978</v>
      </c>
      <c r="H427" s="220">
        <v>2069584</v>
      </c>
      <c r="I427" s="232">
        <v>4000776</v>
      </c>
      <c r="J427" s="231">
        <v>62202</v>
      </c>
      <c r="K427" s="88">
        <f t="shared" si="19"/>
        <v>8458540</v>
      </c>
      <c r="L427" s="50"/>
      <c r="M427" s="232">
        <v>78048</v>
      </c>
      <c r="N427" s="232">
        <v>0</v>
      </c>
      <c r="O427" s="231">
        <v>66635</v>
      </c>
      <c r="P427" s="88">
        <f t="shared" si="20"/>
        <v>144683</v>
      </c>
      <c r="Q427" s="50"/>
      <c r="R427" s="232">
        <v>4187905</v>
      </c>
      <c r="S427" s="231">
        <v>-21615</v>
      </c>
      <c r="T427" s="233">
        <v>4166290</v>
      </c>
    </row>
    <row r="428" spans="1:20">
      <c r="A428" s="48">
        <v>94311</v>
      </c>
      <c r="B428" s="49" t="s">
        <v>1126</v>
      </c>
      <c r="C428" s="234">
        <v>7.4359999999999997E-4</v>
      </c>
      <c r="D428" s="234">
        <v>7.8540000000000001E-4</v>
      </c>
      <c r="E428" s="202">
        <v>1764074</v>
      </c>
      <c r="F428" s="202" t="s">
        <v>1924</v>
      </c>
      <c r="G428" s="232">
        <v>272155</v>
      </c>
      <c r="H428" s="220">
        <v>242155</v>
      </c>
      <c r="I428" s="232">
        <v>468117</v>
      </c>
      <c r="J428" s="231">
        <v>17528</v>
      </c>
      <c r="K428" s="88">
        <f t="shared" si="19"/>
        <v>999955</v>
      </c>
      <c r="L428" s="50"/>
      <c r="M428" s="232">
        <v>9132</v>
      </c>
      <c r="N428" s="232">
        <v>0</v>
      </c>
      <c r="O428" s="231">
        <v>53855</v>
      </c>
      <c r="P428" s="88">
        <f t="shared" si="20"/>
        <v>62987</v>
      </c>
      <c r="Q428" s="50"/>
      <c r="R428" s="232">
        <v>490012</v>
      </c>
      <c r="S428" s="231">
        <v>-19332</v>
      </c>
      <c r="T428" s="233">
        <v>470680</v>
      </c>
    </row>
    <row r="429" spans="1:20">
      <c r="A429" s="48">
        <v>94313</v>
      </c>
      <c r="B429" s="49" t="s">
        <v>1127</v>
      </c>
      <c r="C429" s="234">
        <v>2.1699999999999999E-5</v>
      </c>
      <c r="D429" s="234">
        <v>1.8700000000000001E-5</v>
      </c>
      <c r="E429" s="202">
        <v>51480</v>
      </c>
      <c r="F429" s="202" t="s">
        <v>1924</v>
      </c>
      <c r="G429" s="232">
        <v>7942</v>
      </c>
      <c r="H429" s="220">
        <v>7067</v>
      </c>
      <c r="I429" s="232">
        <v>13661</v>
      </c>
      <c r="J429" s="231">
        <v>9311</v>
      </c>
      <c r="K429" s="88">
        <f t="shared" si="19"/>
        <v>37981</v>
      </c>
      <c r="L429" s="50"/>
      <c r="M429" s="232">
        <v>266</v>
      </c>
      <c r="N429" s="232">
        <v>0</v>
      </c>
      <c r="O429" s="231">
        <v>0</v>
      </c>
      <c r="P429" s="88">
        <f t="shared" si="20"/>
        <v>266</v>
      </c>
      <c r="Q429" s="50"/>
      <c r="R429" s="232">
        <v>14300</v>
      </c>
      <c r="S429" s="231">
        <v>4369</v>
      </c>
      <c r="T429" s="233">
        <v>18669</v>
      </c>
    </row>
    <row r="430" spans="1:20">
      <c r="A430" s="48">
        <v>94317</v>
      </c>
      <c r="B430" s="49" t="s">
        <v>1128</v>
      </c>
      <c r="C430" s="234">
        <v>1.15E-5</v>
      </c>
      <c r="D430" s="234">
        <v>1.2E-5</v>
      </c>
      <c r="E430" s="202">
        <v>27282</v>
      </c>
      <c r="F430" s="202" t="s">
        <v>1924</v>
      </c>
      <c r="G430" s="232">
        <v>4209</v>
      </c>
      <c r="H430" s="220">
        <v>3745</v>
      </c>
      <c r="I430" s="232">
        <v>7240</v>
      </c>
      <c r="J430" s="231">
        <v>8256</v>
      </c>
      <c r="K430" s="88">
        <f t="shared" si="19"/>
        <v>23450</v>
      </c>
      <c r="L430" s="50"/>
      <c r="M430" s="232">
        <v>141</v>
      </c>
      <c r="N430" s="232">
        <v>0</v>
      </c>
      <c r="O430" s="231">
        <v>0</v>
      </c>
      <c r="P430" s="88">
        <f t="shared" si="20"/>
        <v>141</v>
      </c>
      <c r="Q430" s="50"/>
      <c r="R430" s="232">
        <v>7578</v>
      </c>
      <c r="S430" s="231">
        <v>4052</v>
      </c>
      <c r="T430" s="233">
        <v>11630</v>
      </c>
    </row>
    <row r="431" spans="1:20">
      <c r="A431" s="48">
        <v>94321</v>
      </c>
      <c r="B431" s="49" t="s">
        <v>2281</v>
      </c>
      <c r="C431" s="234">
        <v>2.8160000000000001E-4</v>
      </c>
      <c r="D431" s="234">
        <v>2.7760000000000003E-4</v>
      </c>
      <c r="E431" s="202">
        <v>668052</v>
      </c>
      <c r="F431" s="202" t="s">
        <v>1924</v>
      </c>
      <c r="G431" s="232">
        <v>103064</v>
      </c>
      <c r="H431" s="220">
        <v>91703</v>
      </c>
      <c r="I431" s="232">
        <v>177275</v>
      </c>
      <c r="J431" s="231">
        <v>0</v>
      </c>
      <c r="K431" s="88">
        <f t="shared" si="19"/>
        <v>372042</v>
      </c>
      <c r="L431" s="50"/>
      <c r="M431" s="232">
        <v>3458</v>
      </c>
      <c r="N431" s="232">
        <v>0</v>
      </c>
      <c r="O431" s="231">
        <v>23408</v>
      </c>
      <c r="P431" s="88">
        <f t="shared" si="20"/>
        <v>26866</v>
      </c>
      <c r="Q431" s="50"/>
      <c r="R431" s="232">
        <v>185567</v>
      </c>
      <c r="S431" s="231">
        <v>-8371</v>
      </c>
      <c r="T431" s="233">
        <v>177196</v>
      </c>
    </row>
    <row r="432" spans="1:20">
      <c r="A432" s="48">
        <v>94331</v>
      </c>
      <c r="B432" s="49" t="s">
        <v>2282</v>
      </c>
      <c r="C432" s="234">
        <v>1.6090000000000001E-4</v>
      </c>
      <c r="D432" s="234">
        <v>1.3569999999999999E-4</v>
      </c>
      <c r="E432" s="203">
        <v>381710</v>
      </c>
      <c r="F432" s="203" t="s">
        <v>1924</v>
      </c>
      <c r="G432" s="232">
        <v>58889</v>
      </c>
      <c r="H432" s="220">
        <v>52397</v>
      </c>
      <c r="I432" s="232">
        <v>101291</v>
      </c>
      <c r="J432" s="231">
        <v>20048</v>
      </c>
      <c r="K432" s="88">
        <f t="shared" si="19"/>
        <v>232625</v>
      </c>
      <c r="L432" s="50"/>
      <c r="M432" s="232">
        <v>1976</v>
      </c>
      <c r="N432" s="232">
        <v>0</v>
      </c>
      <c r="O432" s="231">
        <v>7457</v>
      </c>
      <c r="P432" s="88">
        <f t="shared" si="20"/>
        <v>9433</v>
      </c>
      <c r="Q432" s="50"/>
      <c r="R432" s="232">
        <v>106029</v>
      </c>
      <c r="S432" s="231">
        <v>7534</v>
      </c>
      <c r="T432" s="233">
        <v>113563</v>
      </c>
    </row>
    <row r="433" spans="1:20">
      <c r="A433" s="48">
        <v>94341</v>
      </c>
      <c r="B433" s="49" t="s">
        <v>2283</v>
      </c>
      <c r="C433" s="234">
        <v>8.3300000000000005E-5</v>
      </c>
      <c r="D433" s="234">
        <v>9.4699999999999998E-5</v>
      </c>
      <c r="E433" s="203">
        <v>197616</v>
      </c>
      <c r="F433" s="203" t="s">
        <v>1924</v>
      </c>
      <c r="G433" s="232">
        <v>30487</v>
      </c>
      <c r="H433" s="220">
        <v>27127</v>
      </c>
      <c r="I433" s="232">
        <v>52440</v>
      </c>
      <c r="J433" s="231">
        <v>4074</v>
      </c>
      <c r="K433" s="88">
        <f t="shared" si="19"/>
        <v>114128</v>
      </c>
      <c r="L433" s="50"/>
      <c r="M433" s="232">
        <v>1023</v>
      </c>
      <c r="N433" s="232">
        <v>0</v>
      </c>
      <c r="O433" s="231">
        <v>12325</v>
      </c>
      <c r="P433" s="88">
        <f t="shared" si="20"/>
        <v>13348</v>
      </c>
      <c r="Q433" s="50"/>
      <c r="R433" s="232">
        <v>54892</v>
      </c>
      <c r="S433" s="231">
        <v>-4230</v>
      </c>
      <c r="T433" s="233">
        <v>50662</v>
      </c>
    </row>
    <row r="434" spans="1:20">
      <c r="A434" s="48">
        <v>94347</v>
      </c>
      <c r="B434" s="49" t="s">
        <v>2284</v>
      </c>
      <c r="C434" s="234">
        <v>7.9999999999999996E-6</v>
      </c>
      <c r="D434" s="234">
        <v>1.22E-5</v>
      </c>
      <c r="E434" s="203">
        <v>18979</v>
      </c>
      <c r="F434" s="203" t="s">
        <v>1924</v>
      </c>
      <c r="G434" s="232">
        <v>2928</v>
      </c>
      <c r="H434" s="220">
        <v>2605</v>
      </c>
      <c r="I434" s="232">
        <v>5036</v>
      </c>
      <c r="J434" s="231">
        <v>2389</v>
      </c>
      <c r="K434" s="88">
        <f t="shared" si="19"/>
        <v>12958</v>
      </c>
      <c r="L434" s="50"/>
      <c r="M434" s="232">
        <v>98</v>
      </c>
      <c r="N434" s="232">
        <v>0</v>
      </c>
      <c r="O434" s="231">
        <v>948</v>
      </c>
      <c r="P434" s="88">
        <f t="shared" si="20"/>
        <v>1046</v>
      </c>
      <c r="Q434" s="50"/>
      <c r="R434" s="232">
        <v>5272</v>
      </c>
      <c r="S434" s="231">
        <v>1646</v>
      </c>
      <c r="T434" s="233">
        <v>6918</v>
      </c>
    </row>
    <row r="435" spans="1:20">
      <c r="A435" s="48">
        <v>94351</v>
      </c>
      <c r="B435" s="49" t="s">
        <v>2285</v>
      </c>
      <c r="C435" s="234">
        <v>2.477E-4</v>
      </c>
      <c r="D435" s="234">
        <v>2.433E-4</v>
      </c>
      <c r="E435" s="203">
        <v>587629</v>
      </c>
      <c r="F435" s="203" t="s">
        <v>1924</v>
      </c>
      <c r="G435" s="232">
        <v>90657</v>
      </c>
      <c r="H435" s="220">
        <v>80664</v>
      </c>
      <c r="I435" s="232">
        <v>155934</v>
      </c>
      <c r="J435" s="231">
        <v>716</v>
      </c>
      <c r="K435" s="88">
        <f t="shared" si="19"/>
        <v>327971</v>
      </c>
      <c r="L435" s="50"/>
      <c r="M435" s="232">
        <v>3042</v>
      </c>
      <c r="N435" s="232">
        <v>0</v>
      </c>
      <c r="O435" s="231">
        <v>6580</v>
      </c>
      <c r="P435" s="88">
        <f t="shared" si="20"/>
        <v>9622</v>
      </c>
      <c r="Q435" s="50"/>
      <c r="R435" s="232">
        <v>163228</v>
      </c>
      <c r="S435" s="231">
        <v>-2766</v>
      </c>
      <c r="T435" s="233">
        <v>160462</v>
      </c>
    </row>
    <row r="436" spans="1:20">
      <c r="A436" s="48">
        <v>94401</v>
      </c>
      <c r="B436" s="49" t="s">
        <v>1134</v>
      </c>
      <c r="C436" s="234">
        <v>3.2688999999999999E-3</v>
      </c>
      <c r="D436" s="234">
        <v>3.2718000000000001E-3</v>
      </c>
      <c r="E436" s="203">
        <v>7754949</v>
      </c>
      <c r="F436" s="203" t="s">
        <v>1924</v>
      </c>
      <c r="G436" s="232">
        <v>1196404</v>
      </c>
      <c r="H436" s="220">
        <v>1064524</v>
      </c>
      <c r="I436" s="232">
        <v>2057864</v>
      </c>
      <c r="J436" s="231">
        <v>19959</v>
      </c>
      <c r="K436" s="88">
        <f t="shared" si="19"/>
        <v>4338751</v>
      </c>
      <c r="L436" s="50"/>
      <c r="M436" s="232">
        <v>40145</v>
      </c>
      <c r="N436" s="232">
        <v>0</v>
      </c>
      <c r="O436" s="231">
        <v>62594</v>
      </c>
      <c r="P436" s="88">
        <f t="shared" si="20"/>
        <v>102739</v>
      </c>
      <c r="Q436" s="50"/>
      <c r="R436" s="232">
        <v>2154117</v>
      </c>
      <c r="S436" s="231">
        <v>-9013</v>
      </c>
      <c r="T436" s="233">
        <v>2145104</v>
      </c>
    </row>
    <row r="437" spans="1:20">
      <c r="A437" s="48">
        <v>94402</v>
      </c>
      <c r="B437" s="49" t="s">
        <v>1135</v>
      </c>
      <c r="C437" s="234">
        <v>0</v>
      </c>
      <c r="D437" s="234">
        <v>0</v>
      </c>
      <c r="E437" s="203">
        <v>0</v>
      </c>
      <c r="F437" s="203" t="s">
        <v>1924</v>
      </c>
      <c r="G437" s="232">
        <v>0</v>
      </c>
      <c r="H437" s="220">
        <v>0</v>
      </c>
      <c r="I437" s="232">
        <v>0</v>
      </c>
      <c r="J437" s="231">
        <v>0</v>
      </c>
      <c r="K437" s="88">
        <f t="shared" si="19"/>
        <v>0</v>
      </c>
      <c r="L437" s="50"/>
      <c r="M437" s="232">
        <v>0</v>
      </c>
      <c r="N437" s="232">
        <v>0</v>
      </c>
      <c r="O437" s="231">
        <v>767649</v>
      </c>
      <c r="P437" s="88">
        <f t="shared" si="20"/>
        <v>767649</v>
      </c>
      <c r="Q437" s="50"/>
      <c r="R437" s="232">
        <v>0</v>
      </c>
      <c r="S437" s="231">
        <v>-1006718</v>
      </c>
      <c r="T437" s="233">
        <v>-1006718</v>
      </c>
    </row>
    <row r="438" spans="1:20">
      <c r="A438" s="48">
        <v>94403</v>
      </c>
      <c r="B438" s="49" t="s">
        <v>1136</v>
      </c>
      <c r="C438" s="234">
        <v>3.1900000000000003E-5</v>
      </c>
      <c r="D438" s="234">
        <v>2.2099999999999998E-5</v>
      </c>
      <c r="E438" s="203">
        <v>75678</v>
      </c>
      <c r="F438" s="203" t="s">
        <v>1924</v>
      </c>
      <c r="G438" s="232">
        <v>11675</v>
      </c>
      <c r="H438" s="220">
        <v>10388</v>
      </c>
      <c r="I438" s="232">
        <v>20082</v>
      </c>
      <c r="J438" s="231">
        <v>18814</v>
      </c>
      <c r="K438" s="88">
        <f t="shared" si="19"/>
        <v>60959</v>
      </c>
      <c r="L438" s="50"/>
      <c r="M438" s="232">
        <v>392</v>
      </c>
      <c r="N438" s="232">
        <v>0</v>
      </c>
      <c r="O438" s="231">
        <v>0</v>
      </c>
      <c r="P438" s="88">
        <f t="shared" si="20"/>
        <v>392</v>
      </c>
      <c r="Q438" s="50"/>
      <c r="R438" s="232">
        <v>21021</v>
      </c>
      <c r="S438" s="231">
        <v>5618</v>
      </c>
      <c r="T438" s="233">
        <v>26639</v>
      </c>
    </row>
    <row r="439" spans="1:20">
      <c r="A439" s="48">
        <v>94408</v>
      </c>
      <c r="B439" s="49" t="s">
        <v>1137</v>
      </c>
      <c r="C439" s="234">
        <v>4.6E-5</v>
      </c>
      <c r="D439" s="234">
        <v>4.2400000000000001E-5</v>
      </c>
      <c r="E439" s="203">
        <v>109128</v>
      </c>
      <c r="F439" s="203" t="s">
        <v>1924</v>
      </c>
      <c r="G439" s="232">
        <v>16836</v>
      </c>
      <c r="H439" s="220">
        <v>14980</v>
      </c>
      <c r="I439" s="232">
        <v>28958</v>
      </c>
      <c r="J439" s="231">
        <v>4785</v>
      </c>
      <c r="K439" s="88">
        <f t="shared" si="19"/>
        <v>65559</v>
      </c>
      <c r="L439" s="50"/>
      <c r="M439" s="232">
        <v>565</v>
      </c>
      <c r="N439" s="232">
        <v>0</v>
      </c>
      <c r="O439" s="231">
        <v>2759</v>
      </c>
      <c r="P439" s="88">
        <f t="shared" si="20"/>
        <v>3324</v>
      </c>
      <c r="Q439" s="50"/>
      <c r="R439" s="232">
        <v>30313</v>
      </c>
      <c r="S439" s="231">
        <v>129</v>
      </c>
      <c r="T439" s="233">
        <v>30442</v>
      </c>
    </row>
    <row r="440" spans="1:20">
      <c r="A440" s="48">
        <v>94411</v>
      </c>
      <c r="B440" s="49" t="s">
        <v>2286</v>
      </c>
      <c r="C440" s="234">
        <v>1.2620000000000001E-3</v>
      </c>
      <c r="D440" s="234">
        <v>1.2672E-3</v>
      </c>
      <c r="E440" s="203">
        <v>2993896</v>
      </c>
      <c r="F440" s="203" t="s">
        <v>1924</v>
      </c>
      <c r="G440" s="232">
        <v>461887</v>
      </c>
      <c r="H440" s="220">
        <v>410973</v>
      </c>
      <c r="I440" s="232">
        <v>794464</v>
      </c>
      <c r="J440" s="231">
        <v>43913</v>
      </c>
      <c r="K440" s="88">
        <f t="shared" si="19"/>
        <v>1711237</v>
      </c>
      <c r="L440" s="50"/>
      <c r="M440" s="232">
        <v>15499</v>
      </c>
      <c r="N440" s="232">
        <v>0</v>
      </c>
      <c r="O440" s="231">
        <v>31638</v>
      </c>
      <c r="P440" s="88">
        <f t="shared" si="20"/>
        <v>47137</v>
      </c>
      <c r="Q440" s="50"/>
      <c r="R440" s="232">
        <v>831624</v>
      </c>
      <c r="S440" s="231">
        <v>10868</v>
      </c>
      <c r="T440" s="233">
        <v>842492</v>
      </c>
    </row>
    <row r="441" spans="1:20">
      <c r="A441" s="48">
        <v>94412</v>
      </c>
      <c r="B441" s="49" t="s">
        <v>1139</v>
      </c>
      <c r="C441" s="234">
        <v>1.5500000000000001E-5</v>
      </c>
      <c r="D441" s="234">
        <v>1.5099999999999999E-5</v>
      </c>
      <c r="E441" s="203">
        <v>36771</v>
      </c>
      <c r="F441" s="203" t="s">
        <v>1924</v>
      </c>
      <c r="G441" s="232">
        <v>5673</v>
      </c>
      <c r="H441" s="220">
        <v>5047</v>
      </c>
      <c r="I441" s="232">
        <v>9758</v>
      </c>
      <c r="J441" s="231">
        <v>12196</v>
      </c>
      <c r="K441" s="88">
        <f t="shared" si="19"/>
        <v>32674</v>
      </c>
      <c r="L441" s="50"/>
      <c r="M441" s="232">
        <v>190</v>
      </c>
      <c r="N441" s="232">
        <v>0</v>
      </c>
      <c r="O441" s="231">
        <v>0</v>
      </c>
      <c r="P441" s="88">
        <f t="shared" si="20"/>
        <v>190</v>
      </c>
      <c r="Q441" s="50"/>
      <c r="R441" s="232">
        <v>10214</v>
      </c>
      <c r="S441" s="231">
        <v>7254</v>
      </c>
      <c r="T441" s="233">
        <v>17468</v>
      </c>
    </row>
    <row r="442" spans="1:20">
      <c r="A442" s="48">
        <v>94421</v>
      </c>
      <c r="B442" s="49" t="s">
        <v>2287</v>
      </c>
      <c r="C442" s="234">
        <v>1.6080000000000001E-4</v>
      </c>
      <c r="D442" s="234">
        <v>1.6679999999999999E-4</v>
      </c>
      <c r="E442" s="203">
        <v>381473</v>
      </c>
      <c r="F442" s="203" t="s">
        <v>1924</v>
      </c>
      <c r="G442" s="232">
        <v>58852</v>
      </c>
      <c r="H442" s="220">
        <v>52365</v>
      </c>
      <c r="I442" s="232">
        <v>101228</v>
      </c>
      <c r="J442" s="231">
        <v>2434</v>
      </c>
      <c r="K442" s="88">
        <f t="shared" si="19"/>
        <v>214879</v>
      </c>
      <c r="L442" s="50"/>
      <c r="M442" s="232">
        <v>1975</v>
      </c>
      <c r="N442" s="232">
        <v>0</v>
      </c>
      <c r="O442" s="231">
        <v>6283</v>
      </c>
      <c r="P442" s="88">
        <f t="shared" si="20"/>
        <v>8258</v>
      </c>
      <c r="Q442" s="50"/>
      <c r="R442" s="232">
        <v>105963</v>
      </c>
      <c r="S442" s="231">
        <v>-5086</v>
      </c>
      <c r="T442" s="233">
        <v>100877</v>
      </c>
    </row>
    <row r="443" spans="1:20">
      <c r="A443" s="48">
        <v>94427</v>
      </c>
      <c r="B443" s="49" t="s">
        <v>1141</v>
      </c>
      <c r="C443" s="234">
        <v>1.63E-5</v>
      </c>
      <c r="D443" s="234">
        <v>1.5699999999999999E-5</v>
      </c>
      <c r="E443" s="203">
        <v>38669</v>
      </c>
      <c r="F443" s="203" t="s">
        <v>1924</v>
      </c>
      <c r="G443" s="232">
        <v>5966</v>
      </c>
      <c r="H443" s="220">
        <v>5308</v>
      </c>
      <c r="I443" s="232">
        <v>10261</v>
      </c>
      <c r="J443" s="231">
        <v>5569</v>
      </c>
      <c r="K443" s="88">
        <f t="shared" si="19"/>
        <v>27104</v>
      </c>
      <c r="L443" s="50"/>
      <c r="M443" s="232">
        <v>200</v>
      </c>
      <c r="N443" s="232">
        <v>0</v>
      </c>
      <c r="O443" s="231">
        <v>246</v>
      </c>
      <c r="P443" s="88">
        <f t="shared" si="20"/>
        <v>446</v>
      </c>
      <c r="Q443" s="50"/>
      <c r="R443" s="232">
        <v>10741</v>
      </c>
      <c r="S443" s="231">
        <v>1607</v>
      </c>
      <c r="T443" s="233">
        <v>12348</v>
      </c>
    </row>
    <row r="444" spans="1:20">
      <c r="A444" s="48">
        <v>94428</v>
      </c>
      <c r="B444" s="49" t="s">
        <v>1142</v>
      </c>
      <c r="C444" s="234">
        <v>7.2000000000000002E-5</v>
      </c>
      <c r="D444" s="234">
        <v>6.5199999999999999E-5</v>
      </c>
      <c r="E444" s="203">
        <v>170809</v>
      </c>
      <c r="F444" s="203" t="s">
        <v>1924</v>
      </c>
      <c r="G444" s="232">
        <v>26352</v>
      </c>
      <c r="H444" s="220">
        <v>23447</v>
      </c>
      <c r="I444" s="232">
        <v>45326</v>
      </c>
      <c r="J444" s="231">
        <v>7270</v>
      </c>
      <c r="K444" s="88">
        <f t="shared" si="19"/>
        <v>102395</v>
      </c>
      <c r="L444" s="50"/>
      <c r="M444" s="232">
        <v>884</v>
      </c>
      <c r="N444" s="232">
        <v>0</v>
      </c>
      <c r="O444" s="231">
        <v>2510</v>
      </c>
      <c r="P444" s="88">
        <f t="shared" si="20"/>
        <v>3394</v>
      </c>
      <c r="Q444" s="50"/>
      <c r="R444" s="232">
        <v>47446</v>
      </c>
      <c r="S444" s="231">
        <v>1904</v>
      </c>
      <c r="T444" s="233">
        <v>49350</v>
      </c>
    </row>
    <row r="445" spans="1:20">
      <c r="A445" s="48">
        <v>94431</v>
      </c>
      <c r="B445" s="49" t="s">
        <v>2288</v>
      </c>
      <c r="C445" s="234">
        <v>3.882E-4</v>
      </c>
      <c r="D445" s="234">
        <v>4.2440000000000002E-4</v>
      </c>
      <c r="E445" s="203">
        <v>920943</v>
      </c>
      <c r="F445" s="203" t="s">
        <v>1924</v>
      </c>
      <c r="G445" s="232">
        <v>142080</v>
      </c>
      <c r="H445" s="220">
        <v>126418</v>
      </c>
      <c r="I445" s="232">
        <v>244383</v>
      </c>
      <c r="J445" s="231">
        <v>207234</v>
      </c>
      <c r="K445" s="88">
        <f t="shared" si="19"/>
        <v>720115</v>
      </c>
      <c r="L445" s="50"/>
      <c r="M445" s="232">
        <v>4767</v>
      </c>
      <c r="N445" s="232">
        <v>0</v>
      </c>
      <c r="O445" s="231">
        <v>0</v>
      </c>
      <c r="P445" s="88">
        <f t="shared" si="20"/>
        <v>4767</v>
      </c>
      <c r="Q445" s="50"/>
      <c r="R445" s="232">
        <v>255813</v>
      </c>
      <c r="S445" s="231">
        <v>84678</v>
      </c>
      <c r="T445" s="233">
        <v>340491</v>
      </c>
    </row>
    <row r="446" spans="1:20">
      <c r="A446" s="48">
        <v>94437</v>
      </c>
      <c r="B446" s="49" t="s">
        <v>1144</v>
      </c>
      <c r="C446" s="234">
        <v>1.63E-5</v>
      </c>
      <c r="D446" s="234">
        <v>1.5299999999999999E-5</v>
      </c>
      <c r="E446" s="203">
        <v>38669</v>
      </c>
      <c r="F446" s="203" t="s">
        <v>1924</v>
      </c>
      <c r="G446" s="232">
        <v>5966</v>
      </c>
      <c r="H446" s="220">
        <v>5308</v>
      </c>
      <c r="I446" s="232">
        <v>10261</v>
      </c>
      <c r="J446" s="231">
        <v>13304</v>
      </c>
      <c r="K446" s="88">
        <f t="shared" si="19"/>
        <v>34839</v>
      </c>
      <c r="L446" s="50"/>
      <c r="M446" s="232">
        <v>200</v>
      </c>
      <c r="N446" s="232">
        <v>0</v>
      </c>
      <c r="O446" s="231">
        <v>0</v>
      </c>
      <c r="P446" s="88">
        <f t="shared" si="20"/>
        <v>200</v>
      </c>
      <c r="Q446" s="50"/>
      <c r="R446" s="232">
        <v>10741</v>
      </c>
      <c r="S446" s="231">
        <v>6892</v>
      </c>
      <c r="T446" s="233">
        <v>17633</v>
      </c>
    </row>
    <row r="447" spans="1:20">
      <c r="A447" s="48">
        <v>94501</v>
      </c>
      <c r="B447" s="49" t="s">
        <v>1145</v>
      </c>
      <c r="C447" s="234">
        <v>5.8639E-3</v>
      </c>
      <c r="D447" s="234">
        <v>5.6991000000000003E-3</v>
      </c>
      <c r="E447" s="203">
        <v>13911176</v>
      </c>
      <c r="F447" s="203" t="s">
        <v>1924</v>
      </c>
      <c r="G447" s="232">
        <v>2146164</v>
      </c>
      <c r="H447" s="220">
        <v>1909591</v>
      </c>
      <c r="I447" s="232">
        <v>3691489</v>
      </c>
      <c r="J447" s="231">
        <v>148578</v>
      </c>
      <c r="K447" s="88">
        <f t="shared" si="19"/>
        <v>7895822</v>
      </c>
      <c r="L447" s="50"/>
      <c r="M447" s="232">
        <v>72015</v>
      </c>
      <c r="N447" s="232">
        <v>0</v>
      </c>
      <c r="O447" s="231">
        <v>8676</v>
      </c>
      <c r="P447" s="88">
        <f t="shared" si="20"/>
        <v>80691</v>
      </c>
      <c r="Q447" s="50"/>
      <c r="R447" s="232">
        <v>3864152</v>
      </c>
      <c r="S447" s="231">
        <v>125529</v>
      </c>
      <c r="T447" s="233">
        <v>3989681</v>
      </c>
    </row>
    <row r="448" spans="1:20">
      <c r="A448" s="48">
        <v>94511</v>
      </c>
      <c r="B448" s="49" t="s">
        <v>1146</v>
      </c>
      <c r="C448" s="234">
        <v>1.9548999999999999E-3</v>
      </c>
      <c r="D448" s="234">
        <v>1.8538999999999999E-3</v>
      </c>
      <c r="E448" s="203">
        <v>4637691</v>
      </c>
      <c r="F448" s="203" t="s">
        <v>1924</v>
      </c>
      <c r="G448" s="232">
        <v>715486</v>
      </c>
      <c r="H448" s="220">
        <v>636617</v>
      </c>
      <c r="I448" s="232">
        <v>1230664</v>
      </c>
      <c r="J448" s="231">
        <v>90765</v>
      </c>
      <c r="K448" s="88">
        <f t="shared" si="19"/>
        <v>2673532</v>
      </c>
      <c r="L448" s="50"/>
      <c r="M448" s="232">
        <v>24008</v>
      </c>
      <c r="N448" s="232">
        <v>0</v>
      </c>
      <c r="O448" s="231">
        <v>20572</v>
      </c>
      <c r="P448" s="88">
        <f t="shared" si="20"/>
        <v>44580</v>
      </c>
      <c r="Q448" s="50"/>
      <c r="R448" s="232">
        <v>1288226</v>
      </c>
      <c r="S448" s="231">
        <v>77659</v>
      </c>
      <c r="T448" s="233">
        <v>1365885</v>
      </c>
    </row>
    <row r="449" spans="1:20">
      <c r="A449" s="48">
        <v>94512</v>
      </c>
      <c r="B449" s="49" t="s">
        <v>1147</v>
      </c>
      <c r="C449" s="234">
        <v>0</v>
      </c>
      <c r="D449" s="234">
        <v>0</v>
      </c>
      <c r="E449" s="203">
        <v>0</v>
      </c>
      <c r="F449" s="203" t="s">
        <v>1924</v>
      </c>
      <c r="G449" s="232">
        <v>0</v>
      </c>
      <c r="H449" s="220">
        <v>0</v>
      </c>
      <c r="I449" s="232">
        <v>0</v>
      </c>
      <c r="J449" s="231">
        <v>0</v>
      </c>
      <c r="K449" s="88">
        <f t="shared" si="19"/>
        <v>0</v>
      </c>
      <c r="L449" s="50"/>
      <c r="M449" s="232">
        <v>0</v>
      </c>
      <c r="N449" s="232">
        <v>0</v>
      </c>
      <c r="O449" s="231">
        <v>59923</v>
      </c>
      <c r="P449" s="88">
        <f t="shared" si="20"/>
        <v>59923</v>
      </c>
      <c r="Q449" s="50"/>
      <c r="R449" s="232">
        <v>0</v>
      </c>
      <c r="S449" s="231">
        <v>-78657</v>
      </c>
      <c r="T449" s="233">
        <v>-78657</v>
      </c>
    </row>
    <row r="450" spans="1:20">
      <c r="A450" s="48">
        <v>94517</v>
      </c>
      <c r="B450" s="49" t="s">
        <v>1148</v>
      </c>
      <c r="C450" s="234">
        <v>3.6199999999999999E-5</v>
      </c>
      <c r="D450" s="234">
        <v>4.7599999999999998E-5</v>
      </c>
      <c r="E450" s="203">
        <v>85879</v>
      </c>
      <c r="F450" s="203" t="s">
        <v>1924</v>
      </c>
      <c r="G450" s="232">
        <v>13249</v>
      </c>
      <c r="H450" s="220">
        <v>11789</v>
      </c>
      <c r="I450" s="232">
        <v>22789</v>
      </c>
      <c r="J450" s="231">
        <v>12828</v>
      </c>
      <c r="K450" s="88">
        <f t="shared" si="19"/>
        <v>60655</v>
      </c>
      <c r="L450" s="50"/>
      <c r="M450" s="232">
        <v>445</v>
      </c>
      <c r="N450" s="232">
        <v>0</v>
      </c>
      <c r="O450" s="231">
        <v>0</v>
      </c>
      <c r="P450" s="88">
        <f t="shared" si="20"/>
        <v>445</v>
      </c>
      <c r="Q450" s="50"/>
      <c r="R450" s="232">
        <v>23855</v>
      </c>
      <c r="S450" s="231">
        <v>9761</v>
      </c>
      <c r="T450" s="233">
        <v>33616</v>
      </c>
    </row>
    <row r="451" spans="1:20">
      <c r="A451" s="48">
        <v>94521</v>
      </c>
      <c r="B451" s="49" t="s">
        <v>2289</v>
      </c>
      <c r="C451" s="234">
        <v>1.5880000000000001E-4</v>
      </c>
      <c r="D451" s="234">
        <v>1.517E-4</v>
      </c>
      <c r="E451" s="203">
        <v>376728</v>
      </c>
      <c r="F451" s="203" t="s">
        <v>1924</v>
      </c>
      <c r="G451" s="232">
        <v>58120</v>
      </c>
      <c r="H451" s="220">
        <v>51714</v>
      </c>
      <c r="I451" s="232">
        <v>99969</v>
      </c>
      <c r="J451" s="231">
        <v>10090</v>
      </c>
      <c r="K451" s="88">
        <f t="shared" si="19"/>
        <v>219893</v>
      </c>
      <c r="L451" s="50"/>
      <c r="M451" s="232">
        <v>1950</v>
      </c>
      <c r="N451" s="232">
        <v>0</v>
      </c>
      <c r="O451" s="231">
        <v>14325</v>
      </c>
      <c r="P451" s="88">
        <f t="shared" si="20"/>
        <v>16275</v>
      </c>
      <c r="Q451" s="50"/>
      <c r="R451" s="232">
        <v>104645</v>
      </c>
      <c r="S451" s="231">
        <v>-908</v>
      </c>
      <c r="T451" s="233">
        <v>103737</v>
      </c>
    </row>
    <row r="452" spans="1:20">
      <c r="A452" s="48">
        <v>94527</v>
      </c>
      <c r="B452" s="49" t="s">
        <v>1150</v>
      </c>
      <c r="C452" s="234">
        <v>6.6000000000000003E-6</v>
      </c>
      <c r="D452" s="234">
        <v>5.4E-6</v>
      </c>
      <c r="E452" s="203">
        <v>15657</v>
      </c>
      <c r="F452" s="203" t="s">
        <v>1924</v>
      </c>
      <c r="G452" s="232">
        <v>2416</v>
      </c>
      <c r="H452" s="220">
        <v>2149</v>
      </c>
      <c r="I452" s="232">
        <v>4155</v>
      </c>
      <c r="J452" s="231">
        <v>803</v>
      </c>
      <c r="K452" s="88">
        <f t="shared" si="19"/>
        <v>9523</v>
      </c>
      <c r="L452" s="50"/>
      <c r="M452" s="232">
        <v>81</v>
      </c>
      <c r="N452" s="232">
        <v>0</v>
      </c>
      <c r="O452" s="231">
        <v>2247</v>
      </c>
      <c r="P452" s="88">
        <f t="shared" si="20"/>
        <v>2328</v>
      </c>
      <c r="Q452" s="50"/>
      <c r="R452" s="232">
        <v>4349</v>
      </c>
      <c r="S452" s="231">
        <v>-787</v>
      </c>
      <c r="T452" s="233">
        <v>3562</v>
      </c>
    </row>
    <row r="453" spans="1:20">
      <c r="A453" s="48">
        <v>94531</v>
      </c>
      <c r="B453" s="49" t="s">
        <v>2481</v>
      </c>
      <c r="C453" s="234">
        <v>1.4E-5</v>
      </c>
      <c r="D453" s="234">
        <v>1.5E-5</v>
      </c>
      <c r="E453" s="203">
        <v>33213</v>
      </c>
      <c r="F453" s="203" t="s">
        <v>1924</v>
      </c>
      <c r="G453" s="232">
        <v>5124</v>
      </c>
      <c r="H453" s="220">
        <v>4559</v>
      </c>
      <c r="I453" s="232">
        <v>8813</v>
      </c>
      <c r="J453" s="231">
        <v>7957</v>
      </c>
      <c r="K453" s="88">
        <f t="shared" si="19"/>
        <v>26453</v>
      </c>
      <c r="L453" s="50"/>
      <c r="M453" s="232">
        <v>172</v>
      </c>
      <c r="N453" s="232">
        <v>0</v>
      </c>
      <c r="O453" s="231">
        <v>0</v>
      </c>
      <c r="P453" s="88">
        <f t="shared" si="20"/>
        <v>172</v>
      </c>
      <c r="Q453" s="50"/>
      <c r="R453" s="232">
        <v>9226</v>
      </c>
      <c r="S453" s="231">
        <v>3665</v>
      </c>
      <c r="T453" s="233">
        <v>12891</v>
      </c>
    </row>
    <row r="454" spans="1:20">
      <c r="A454" s="48">
        <v>94532</v>
      </c>
      <c r="B454" s="49" t="s">
        <v>1152</v>
      </c>
      <c r="C454" s="234">
        <v>1.0280000000000001E-4</v>
      </c>
      <c r="D454" s="234">
        <v>8.7800000000000006E-5</v>
      </c>
      <c r="E454" s="203">
        <v>243877</v>
      </c>
      <c r="F454" s="203" t="s">
        <v>1924</v>
      </c>
      <c r="G454" s="232">
        <v>37624</v>
      </c>
      <c r="H454" s="220">
        <v>33477</v>
      </c>
      <c r="I454" s="232">
        <v>64715</v>
      </c>
      <c r="J454" s="231">
        <v>9560</v>
      </c>
      <c r="K454" s="88">
        <f t="shared" si="19"/>
        <v>145376</v>
      </c>
      <c r="L454" s="50"/>
      <c r="M454" s="232">
        <v>1262</v>
      </c>
      <c r="N454" s="232">
        <v>0</v>
      </c>
      <c r="O454" s="231">
        <v>4871</v>
      </c>
      <c r="P454" s="88">
        <f t="shared" si="20"/>
        <v>6133</v>
      </c>
      <c r="Q454" s="50"/>
      <c r="R454" s="232">
        <v>67742</v>
      </c>
      <c r="S454" s="231">
        <v>-3107</v>
      </c>
      <c r="T454" s="233">
        <v>64635</v>
      </c>
    </row>
    <row r="455" spans="1:20">
      <c r="A455" s="48">
        <v>94541</v>
      </c>
      <c r="B455" s="49" t="s">
        <v>2290</v>
      </c>
      <c r="C455" s="234">
        <v>2.8219999999999997E-4</v>
      </c>
      <c r="D455" s="234">
        <v>2.9300000000000002E-4</v>
      </c>
      <c r="E455" s="203">
        <v>669475</v>
      </c>
      <c r="F455" s="203" t="s">
        <v>1924</v>
      </c>
      <c r="G455" s="232">
        <v>103284</v>
      </c>
      <c r="H455" s="220">
        <v>91899</v>
      </c>
      <c r="I455" s="232">
        <v>177653</v>
      </c>
      <c r="J455" s="231">
        <v>0</v>
      </c>
      <c r="K455" s="88">
        <f t="shared" si="19"/>
        <v>372836</v>
      </c>
      <c r="L455" s="50"/>
      <c r="M455" s="232">
        <v>3466</v>
      </c>
      <c r="N455" s="232">
        <v>0</v>
      </c>
      <c r="O455" s="231">
        <v>31668</v>
      </c>
      <c r="P455" s="88">
        <f t="shared" si="20"/>
        <v>35134</v>
      </c>
      <c r="Q455" s="50"/>
      <c r="R455" s="232">
        <v>185962</v>
      </c>
      <c r="S455" s="231">
        <v>-14289</v>
      </c>
      <c r="T455" s="233">
        <v>171673</v>
      </c>
    </row>
    <row r="456" spans="1:20">
      <c r="A456" s="48">
        <v>94547</v>
      </c>
      <c r="B456" s="49" t="s">
        <v>1154</v>
      </c>
      <c r="C456" s="234">
        <v>1.01E-5</v>
      </c>
      <c r="D456" s="234">
        <v>1.08E-5</v>
      </c>
      <c r="E456" s="203">
        <v>23961</v>
      </c>
      <c r="F456" s="203" t="s">
        <v>1924</v>
      </c>
      <c r="G456" s="232">
        <v>3697</v>
      </c>
      <c r="H456" s="220">
        <v>3289</v>
      </c>
      <c r="I456" s="232">
        <v>6358</v>
      </c>
      <c r="J456" s="231">
        <v>4672</v>
      </c>
      <c r="K456" s="88">
        <f t="shared" si="19"/>
        <v>18016</v>
      </c>
      <c r="L456" s="50"/>
      <c r="M456" s="232">
        <v>124</v>
      </c>
      <c r="N456" s="232">
        <v>0</v>
      </c>
      <c r="O456" s="231">
        <v>0</v>
      </c>
      <c r="P456" s="88">
        <f t="shared" si="20"/>
        <v>124</v>
      </c>
      <c r="Q456" s="50"/>
      <c r="R456" s="232">
        <v>6656</v>
      </c>
      <c r="S456" s="231">
        <v>1705</v>
      </c>
      <c r="T456" s="233">
        <v>8361</v>
      </c>
    </row>
    <row r="457" spans="1:20">
      <c r="A457" s="48">
        <v>94551</v>
      </c>
      <c r="B457" s="49" t="s">
        <v>2291</v>
      </c>
      <c r="C457" s="234">
        <v>4.9200000000000003E-5</v>
      </c>
      <c r="D457" s="234">
        <v>4.1900000000000002E-5</v>
      </c>
      <c r="E457" s="203">
        <v>116719</v>
      </c>
      <c r="F457" s="203" t="s">
        <v>1924</v>
      </c>
      <c r="G457" s="232">
        <v>18007</v>
      </c>
      <c r="H457" s="220">
        <v>16022</v>
      </c>
      <c r="I457" s="232">
        <v>30973</v>
      </c>
      <c r="J457" s="231">
        <v>13168</v>
      </c>
      <c r="K457" s="88">
        <f t="shared" si="19"/>
        <v>78170</v>
      </c>
      <c r="L457" s="50"/>
      <c r="M457" s="232">
        <v>604</v>
      </c>
      <c r="N457" s="232">
        <v>0</v>
      </c>
      <c r="O457" s="231">
        <v>710</v>
      </c>
      <c r="P457" s="88">
        <f t="shared" si="20"/>
        <v>1314</v>
      </c>
      <c r="Q457" s="50"/>
      <c r="R457" s="232">
        <v>32421</v>
      </c>
      <c r="S457" s="231">
        <v>5732</v>
      </c>
      <c r="T457" s="233">
        <v>38153</v>
      </c>
    </row>
    <row r="458" spans="1:20">
      <c r="A458" s="48">
        <v>94601</v>
      </c>
      <c r="B458" s="49" t="s">
        <v>1156</v>
      </c>
      <c r="C458" s="234">
        <v>1.0712E-3</v>
      </c>
      <c r="D458" s="234">
        <v>1.0602999999999999E-3</v>
      </c>
      <c r="E458" s="203">
        <v>2541253</v>
      </c>
      <c r="F458" s="203" t="s">
        <v>1924</v>
      </c>
      <c r="G458" s="232">
        <v>392055</v>
      </c>
      <c r="H458" s="220">
        <v>348838</v>
      </c>
      <c r="I458" s="232">
        <v>674350</v>
      </c>
      <c r="J458" s="231">
        <v>72678</v>
      </c>
      <c r="K458" s="88">
        <f t="shared" si="19"/>
        <v>1487921</v>
      </c>
      <c r="L458" s="50"/>
      <c r="M458" s="232">
        <v>13155</v>
      </c>
      <c r="N458" s="232">
        <v>0</v>
      </c>
      <c r="O458" s="231">
        <v>984</v>
      </c>
      <c r="P458" s="88">
        <f t="shared" si="20"/>
        <v>14139</v>
      </c>
      <c r="Q458" s="50"/>
      <c r="R458" s="232">
        <v>705892</v>
      </c>
      <c r="S458" s="231">
        <v>26134</v>
      </c>
      <c r="T458" s="233">
        <v>732026</v>
      </c>
    </row>
    <row r="459" spans="1:20">
      <c r="A459" s="48">
        <v>94604</v>
      </c>
      <c r="B459" s="49" t="s">
        <v>1157</v>
      </c>
      <c r="C459" s="234">
        <v>2.7699999999999999E-5</v>
      </c>
      <c r="D459" s="234">
        <v>2.62E-5</v>
      </c>
      <c r="E459" s="203">
        <v>65714</v>
      </c>
      <c r="F459" s="203" t="s">
        <v>1924</v>
      </c>
      <c r="G459" s="232">
        <v>10138</v>
      </c>
      <c r="H459" s="220">
        <v>9021</v>
      </c>
      <c r="I459" s="232">
        <v>17438</v>
      </c>
      <c r="J459" s="231">
        <v>3578</v>
      </c>
      <c r="K459" s="88">
        <f t="shared" si="19"/>
        <v>40175</v>
      </c>
      <c r="L459" s="50"/>
      <c r="M459" s="232">
        <v>340</v>
      </c>
      <c r="N459" s="232">
        <v>0</v>
      </c>
      <c r="O459" s="231">
        <v>0</v>
      </c>
      <c r="P459" s="88">
        <f t="shared" si="20"/>
        <v>340</v>
      </c>
      <c r="Q459" s="50"/>
      <c r="R459" s="232">
        <v>18254</v>
      </c>
      <c r="S459" s="231">
        <v>1154</v>
      </c>
      <c r="T459" s="233">
        <v>19408</v>
      </c>
    </row>
    <row r="460" spans="1:20">
      <c r="A460" s="48">
        <v>94606</v>
      </c>
      <c r="B460" s="49" t="s">
        <v>1158</v>
      </c>
      <c r="C460" s="234">
        <v>1.9019999999999999E-4</v>
      </c>
      <c r="D460" s="234">
        <v>2.3550000000000001E-4</v>
      </c>
      <c r="E460" s="203">
        <v>451219</v>
      </c>
      <c r="F460" s="203" t="s">
        <v>1924</v>
      </c>
      <c r="G460" s="232">
        <v>69612</v>
      </c>
      <c r="H460" s="220">
        <v>61939</v>
      </c>
      <c r="I460" s="232">
        <v>119736</v>
      </c>
      <c r="J460" s="231">
        <v>0</v>
      </c>
      <c r="K460" s="88">
        <f t="shared" si="19"/>
        <v>251287</v>
      </c>
      <c r="L460" s="50"/>
      <c r="M460" s="232">
        <v>2336</v>
      </c>
      <c r="N460" s="232">
        <v>0</v>
      </c>
      <c r="O460" s="231">
        <v>52852</v>
      </c>
      <c r="P460" s="88">
        <f t="shared" si="20"/>
        <v>55188</v>
      </c>
      <c r="Q460" s="50"/>
      <c r="R460" s="232">
        <v>125337</v>
      </c>
      <c r="S460" s="231">
        <v>-30387</v>
      </c>
      <c r="T460" s="233">
        <v>94950</v>
      </c>
    </row>
    <row r="461" spans="1:20">
      <c r="A461" s="48">
        <v>94611</v>
      </c>
      <c r="B461" s="49" t="s">
        <v>2292</v>
      </c>
      <c r="C461" s="234">
        <v>3.5149999999999998E-4</v>
      </c>
      <c r="D461" s="234">
        <v>3.6850000000000001E-4</v>
      </c>
      <c r="E461" s="203">
        <v>833878</v>
      </c>
      <c r="F461" s="203" t="s">
        <v>1924</v>
      </c>
      <c r="G461" s="232">
        <v>128648</v>
      </c>
      <c r="H461" s="220">
        <v>114467</v>
      </c>
      <c r="I461" s="232">
        <v>221279</v>
      </c>
      <c r="J461" s="231">
        <v>1175</v>
      </c>
      <c r="K461" s="88">
        <f t="shared" si="19"/>
        <v>465569</v>
      </c>
      <c r="L461" s="50"/>
      <c r="M461" s="232">
        <v>4317</v>
      </c>
      <c r="N461" s="232">
        <v>0</v>
      </c>
      <c r="O461" s="231">
        <v>24785</v>
      </c>
      <c r="P461" s="88">
        <f t="shared" si="20"/>
        <v>29102</v>
      </c>
      <c r="Q461" s="50"/>
      <c r="R461" s="232">
        <v>231629</v>
      </c>
      <c r="S461" s="231">
        <v>-9311</v>
      </c>
      <c r="T461" s="233">
        <v>222318</v>
      </c>
    </row>
    <row r="462" spans="1:20">
      <c r="A462" s="48">
        <v>94621</v>
      </c>
      <c r="B462" s="49" t="s">
        <v>2293</v>
      </c>
      <c r="C462" s="234">
        <v>1.0450000000000001E-4</v>
      </c>
      <c r="D462" s="234">
        <v>9.7600000000000001E-5</v>
      </c>
      <c r="E462" s="203">
        <v>247910</v>
      </c>
      <c r="F462" s="203" t="s">
        <v>1924</v>
      </c>
      <c r="G462" s="232">
        <v>38247</v>
      </c>
      <c r="H462" s="220">
        <v>34031</v>
      </c>
      <c r="I462" s="232">
        <v>65786</v>
      </c>
      <c r="J462" s="231">
        <v>19728</v>
      </c>
      <c r="K462" s="88">
        <f t="shared" si="19"/>
        <v>157792</v>
      </c>
      <c r="L462" s="50"/>
      <c r="M462" s="232">
        <v>1283</v>
      </c>
      <c r="N462" s="232">
        <v>0</v>
      </c>
      <c r="O462" s="231">
        <v>10114</v>
      </c>
      <c r="P462" s="88">
        <f t="shared" si="20"/>
        <v>11397</v>
      </c>
      <c r="Q462" s="50"/>
      <c r="R462" s="232">
        <v>68863</v>
      </c>
      <c r="S462" s="231">
        <v>3576</v>
      </c>
      <c r="T462" s="233">
        <v>72439</v>
      </c>
    </row>
    <row r="463" spans="1:20">
      <c r="A463" s="48">
        <v>94631</v>
      </c>
      <c r="B463" s="49" t="s">
        <v>2294</v>
      </c>
      <c r="C463" s="234">
        <v>4.4799999999999998E-5</v>
      </c>
      <c r="D463" s="234">
        <v>3.9100000000000002E-5</v>
      </c>
      <c r="E463" s="203">
        <v>106281</v>
      </c>
      <c r="F463" s="203" t="s">
        <v>1924</v>
      </c>
      <c r="G463" s="232">
        <v>16397</v>
      </c>
      <c r="H463" s="220">
        <v>14590</v>
      </c>
      <c r="I463" s="232">
        <v>28203</v>
      </c>
      <c r="J463" s="231">
        <v>7035</v>
      </c>
      <c r="K463" s="88">
        <f t="shared" si="19"/>
        <v>66225</v>
      </c>
      <c r="L463" s="50"/>
      <c r="M463" s="232">
        <v>550</v>
      </c>
      <c r="N463" s="232">
        <v>0</v>
      </c>
      <c r="O463" s="231">
        <v>0</v>
      </c>
      <c r="P463" s="88">
        <f t="shared" si="20"/>
        <v>550</v>
      </c>
      <c r="Q463" s="50"/>
      <c r="R463" s="232">
        <v>29522</v>
      </c>
      <c r="S463" s="231">
        <v>3256</v>
      </c>
      <c r="T463" s="233">
        <v>32778</v>
      </c>
    </row>
    <row r="464" spans="1:20">
      <c r="A464" s="48">
        <v>94641</v>
      </c>
      <c r="B464" s="49" t="s">
        <v>2295</v>
      </c>
      <c r="C464" s="234">
        <v>3.5999999999999998E-6</v>
      </c>
      <c r="D464" s="234">
        <v>3.8999999999999999E-6</v>
      </c>
      <c r="E464" s="203">
        <v>8540</v>
      </c>
      <c r="F464" s="203" t="s">
        <v>1924</v>
      </c>
      <c r="G464" s="232">
        <v>1318</v>
      </c>
      <c r="H464" s="220">
        <v>1173</v>
      </c>
      <c r="I464" s="232">
        <v>2266</v>
      </c>
      <c r="J464" s="231">
        <v>5161</v>
      </c>
      <c r="K464" s="88">
        <f t="shared" si="19"/>
        <v>9918</v>
      </c>
      <c r="L464" s="50"/>
      <c r="M464" s="232">
        <v>44</v>
      </c>
      <c r="N464" s="232">
        <v>0</v>
      </c>
      <c r="O464" s="231">
        <v>0</v>
      </c>
      <c r="P464" s="88">
        <f t="shared" si="20"/>
        <v>44</v>
      </c>
      <c r="Q464" s="50"/>
      <c r="R464" s="232">
        <v>2372</v>
      </c>
      <c r="S464" s="231">
        <v>2728</v>
      </c>
      <c r="T464" s="233">
        <v>5100</v>
      </c>
    </row>
    <row r="465" spans="1:20">
      <c r="A465" s="48">
        <v>94701</v>
      </c>
      <c r="B465" s="49" t="s">
        <v>1163</v>
      </c>
      <c r="C465" s="234">
        <v>2.3993999999999999E-3</v>
      </c>
      <c r="D465" s="234">
        <v>2.5446000000000002E-3</v>
      </c>
      <c r="E465" s="203">
        <v>5692197</v>
      </c>
      <c r="F465" s="203" t="s">
        <v>1924</v>
      </c>
      <c r="G465" s="232">
        <v>878171</v>
      </c>
      <c r="H465" s="220">
        <v>781370</v>
      </c>
      <c r="I465" s="232">
        <v>1510489</v>
      </c>
      <c r="J465" s="231">
        <v>14859</v>
      </c>
      <c r="K465" s="88">
        <f t="shared" ref="K465:K530" si="21">G465+H465+I465+J465</f>
        <v>3184889</v>
      </c>
      <c r="L465" s="50"/>
      <c r="M465" s="232">
        <v>29467</v>
      </c>
      <c r="N465" s="232">
        <v>0</v>
      </c>
      <c r="O465" s="231">
        <v>188404</v>
      </c>
      <c r="P465" s="88">
        <f t="shared" ref="P465:P530" si="22">M465+N465+O465</f>
        <v>217871</v>
      </c>
      <c r="Q465" s="50"/>
      <c r="R465" s="232">
        <v>1581140</v>
      </c>
      <c r="S465" s="231">
        <v>-32473</v>
      </c>
      <c r="T465" s="233">
        <v>1548667</v>
      </c>
    </row>
    <row r="466" spans="1:20">
      <c r="A466" s="48">
        <v>94704</v>
      </c>
      <c r="B466" s="49" t="s">
        <v>1164</v>
      </c>
      <c r="C466" s="234">
        <v>1.63E-5</v>
      </c>
      <c r="D466" s="234">
        <v>9.5000000000000005E-6</v>
      </c>
      <c r="E466" s="203">
        <v>38669</v>
      </c>
      <c r="F466" s="203" t="s">
        <v>1924</v>
      </c>
      <c r="G466" s="232">
        <v>5966</v>
      </c>
      <c r="H466" s="220">
        <v>5308</v>
      </c>
      <c r="I466" s="232">
        <v>10261</v>
      </c>
      <c r="J466" s="231">
        <v>4937</v>
      </c>
      <c r="K466" s="88">
        <f t="shared" si="21"/>
        <v>26472</v>
      </c>
      <c r="L466" s="50"/>
      <c r="M466" s="232">
        <v>200</v>
      </c>
      <c r="N466" s="232">
        <v>0</v>
      </c>
      <c r="O466" s="231">
        <v>69</v>
      </c>
      <c r="P466" s="88">
        <f t="shared" si="22"/>
        <v>269</v>
      </c>
      <c r="Q466" s="50"/>
      <c r="R466" s="232">
        <v>10741</v>
      </c>
      <c r="S466" s="231">
        <v>1269</v>
      </c>
      <c r="T466" s="233">
        <v>12010</v>
      </c>
    </row>
    <row r="467" spans="1:20">
      <c r="A467" s="48">
        <v>94711</v>
      </c>
      <c r="B467" s="49" t="s">
        <v>2296</v>
      </c>
      <c r="C467" s="234">
        <v>3.3589999999999998E-4</v>
      </c>
      <c r="D467" s="234">
        <v>3.3599999999999998E-4</v>
      </c>
      <c r="E467" s="50">
        <v>796870</v>
      </c>
      <c r="F467" s="50"/>
      <c r="G467" s="232">
        <v>122938</v>
      </c>
      <c r="H467" s="220">
        <v>109386</v>
      </c>
      <c r="I467" s="232">
        <v>211458</v>
      </c>
      <c r="J467" s="231">
        <v>6983</v>
      </c>
      <c r="K467" s="88">
        <f t="shared" si="21"/>
        <v>450765</v>
      </c>
      <c r="L467" s="50"/>
      <c r="M467" s="232">
        <v>4125</v>
      </c>
      <c r="N467" s="232">
        <v>0</v>
      </c>
      <c r="O467" s="231">
        <v>2875</v>
      </c>
      <c r="P467" s="88">
        <f t="shared" si="22"/>
        <v>7000</v>
      </c>
      <c r="Q467" s="50"/>
      <c r="R467" s="232">
        <v>221349</v>
      </c>
      <c r="S467" s="231">
        <v>1908</v>
      </c>
      <c r="T467" s="233">
        <v>223257</v>
      </c>
    </row>
    <row r="468" spans="1:20">
      <c r="A468" s="48">
        <v>94801</v>
      </c>
      <c r="B468" s="49" t="s">
        <v>1166</v>
      </c>
      <c r="C468" s="234">
        <v>6.7719999999999998E-4</v>
      </c>
      <c r="D468" s="234">
        <v>7.2440000000000004E-4</v>
      </c>
      <c r="E468" s="50">
        <v>1606550</v>
      </c>
      <c r="F468" s="50"/>
      <c r="G468" s="232">
        <v>247852</v>
      </c>
      <c r="H468" s="220">
        <v>220532</v>
      </c>
      <c r="I468" s="232">
        <v>426316</v>
      </c>
      <c r="J468" s="231">
        <v>17822</v>
      </c>
      <c r="K468" s="88">
        <f t="shared" si="21"/>
        <v>912522</v>
      </c>
      <c r="L468" s="50"/>
      <c r="M468" s="232">
        <v>8317</v>
      </c>
      <c r="N468" s="232">
        <v>0</v>
      </c>
      <c r="O468" s="231">
        <v>36966</v>
      </c>
      <c r="P468" s="88">
        <f t="shared" si="22"/>
        <v>45283</v>
      </c>
      <c r="Q468" s="50"/>
      <c r="R468" s="232">
        <v>446257</v>
      </c>
      <c r="S468" s="231">
        <v>12092</v>
      </c>
      <c r="T468" s="233">
        <v>458349</v>
      </c>
    </row>
    <row r="469" spans="1:20">
      <c r="A469" s="48">
        <v>94804</v>
      </c>
      <c r="B469" s="49" t="s">
        <v>1167</v>
      </c>
      <c r="C469" s="234">
        <v>3.3000000000000002E-6</v>
      </c>
      <c r="D469" s="234">
        <v>3.8E-6</v>
      </c>
      <c r="E469" s="50">
        <v>7829</v>
      </c>
      <c r="F469" s="50"/>
      <c r="G469" s="232">
        <v>1208</v>
      </c>
      <c r="H469" s="220">
        <v>1075</v>
      </c>
      <c r="I469" s="232">
        <v>2077</v>
      </c>
      <c r="J469" s="231">
        <v>1172</v>
      </c>
      <c r="K469" s="88">
        <f t="shared" si="21"/>
        <v>5532</v>
      </c>
      <c r="L469" s="50"/>
      <c r="M469" s="232">
        <v>41</v>
      </c>
      <c r="N469" s="232">
        <v>0</v>
      </c>
      <c r="O469" s="231">
        <v>142</v>
      </c>
      <c r="P469" s="88">
        <f t="shared" si="22"/>
        <v>183</v>
      </c>
      <c r="Q469" s="50"/>
      <c r="R469" s="232">
        <v>2175</v>
      </c>
      <c r="S469" s="231">
        <v>2000</v>
      </c>
      <c r="T469" s="233">
        <v>4175</v>
      </c>
    </row>
    <row r="470" spans="1:20">
      <c r="A470" s="48">
        <v>94812</v>
      </c>
      <c r="B470" s="49" t="s">
        <v>1168</v>
      </c>
      <c r="C470" s="234">
        <v>3.2100000000000001E-5</v>
      </c>
      <c r="D470" s="234">
        <v>3.3000000000000003E-5</v>
      </c>
      <c r="E470" s="211">
        <v>76152</v>
      </c>
      <c r="F470" s="211" t="s">
        <v>1924</v>
      </c>
      <c r="G470" s="232">
        <v>11748</v>
      </c>
      <c r="H470" s="220">
        <v>10453</v>
      </c>
      <c r="I470" s="232">
        <v>20208</v>
      </c>
      <c r="J470" s="231">
        <v>9807</v>
      </c>
      <c r="K470" s="88">
        <f t="shared" si="21"/>
        <v>52216</v>
      </c>
      <c r="L470" s="50"/>
      <c r="M470" s="232">
        <v>394</v>
      </c>
      <c r="N470" s="232">
        <v>0</v>
      </c>
      <c r="O470" s="231">
        <v>0</v>
      </c>
      <c r="P470" s="88">
        <f t="shared" si="22"/>
        <v>394</v>
      </c>
      <c r="Q470" s="50"/>
      <c r="R470" s="232">
        <v>21153</v>
      </c>
      <c r="S470" s="231">
        <v>4887</v>
      </c>
      <c r="T470" s="233">
        <v>26040</v>
      </c>
    </row>
    <row r="471" spans="1:20">
      <c r="A471" s="48">
        <v>94901</v>
      </c>
      <c r="B471" s="49" t="s">
        <v>1169</v>
      </c>
      <c r="C471" s="234">
        <v>7.1234000000000002E-3</v>
      </c>
      <c r="D471" s="234">
        <v>6.7841999999999998E-3</v>
      </c>
      <c r="E471" s="211">
        <v>16899141</v>
      </c>
      <c r="F471" s="211" t="s">
        <v>1924</v>
      </c>
      <c r="G471" s="232">
        <v>2607136</v>
      </c>
      <c r="H471" s="220">
        <v>2319750</v>
      </c>
      <c r="I471" s="232">
        <v>4484380</v>
      </c>
      <c r="J471" s="231">
        <v>225129</v>
      </c>
      <c r="K471" s="88">
        <f t="shared" si="21"/>
        <v>9636395</v>
      </c>
      <c r="L471" s="50"/>
      <c r="M471" s="232">
        <v>87482</v>
      </c>
      <c r="N471" s="232">
        <v>0</v>
      </c>
      <c r="O471" s="231">
        <v>81221</v>
      </c>
      <c r="P471" s="88">
        <f t="shared" si="22"/>
        <v>168703</v>
      </c>
      <c r="Q471" s="50"/>
      <c r="R471" s="232">
        <v>4694128</v>
      </c>
      <c r="S471" s="231">
        <v>18634</v>
      </c>
      <c r="T471" s="233">
        <v>4712762</v>
      </c>
    </row>
    <row r="472" spans="1:20">
      <c r="A472" s="48">
        <v>94908</v>
      </c>
      <c r="B472" s="49" t="s">
        <v>1170</v>
      </c>
      <c r="C472" s="234">
        <v>6.8000000000000001E-6</v>
      </c>
      <c r="D472" s="234">
        <v>7.7000000000000008E-6</v>
      </c>
      <c r="E472" s="211">
        <v>16132</v>
      </c>
      <c r="F472" s="211" t="s">
        <v>1924</v>
      </c>
      <c r="G472" s="232">
        <v>2489</v>
      </c>
      <c r="H472" s="220">
        <v>2215</v>
      </c>
      <c r="I472" s="232">
        <v>4281</v>
      </c>
      <c r="J472" s="231">
        <v>0</v>
      </c>
      <c r="K472" s="88">
        <f t="shared" si="21"/>
        <v>8985</v>
      </c>
      <c r="L472" s="50"/>
      <c r="M472" s="232">
        <v>84</v>
      </c>
      <c r="N472" s="232">
        <v>0</v>
      </c>
      <c r="O472" s="231">
        <v>15303</v>
      </c>
      <c r="P472" s="88">
        <f t="shared" si="22"/>
        <v>15387</v>
      </c>
      <c r="Q472" s="50"/>
      <c r="R472" s="232">
        <v>4481</v>
      </c>
      <c r="S472" s="231">
        <v>-6873</v>
      </c>
      <c r="T472" s="233">
        <v>-2392</v>
      </c>
    </row>
    <row r="473" spans="1:20">
      <c r="A473" s="48">
        <v>94911</v>
      </c>
      <c r="B473" s="49" t="s">
        <v>1171</v>
      </c>
      <c r="C473" s="234">
        <v>2.9845000000000002E-3</v>
      </c>
      <c r="D473" s="234">
        <v>2.8311E-3</v>
      </c>
      <c r="E473" s="211">
        <v>7080255</v>
      </c>
      <c r="F473" s="211" t="s">
        <v>1924</v>
      </c>
      <c r="G473" s="232">
        <v>1092315</v>
      </c>
      <c r="H473" s="220">
        <v>971909</v>
      </c>
      <c r="I473" s="232">
        <v>1878826</v>
      </c>
      <c r="J473" s="231">
        <v>119500</v>
      </c>
      <c r="K473" s="88">
        <f t="shared" si="21"/>
        <v>4062550</v>
      </c>
      <c r="L473" s="50"/>
      <c r="M473" s="232">
        <v>36653</v>
      </c>
      <c r="N473" s="232">
        <v>0</v>
      </c>
      <c r="O473" s="231">
        <v>21376</v>
      </c>
      <c r="P473" s="88">
        <f t="shared" si="22"/>
        <v>58029</v>
      </c>
      <c r="Q473" s="50"/>
      <c r="R473" s="232">
        <v>1966705</v>
      </c>
      <c r="S473" s="231">
        <v>15404</v>
      </c>
      <c r="T473" s="233">
        <v>1982109</v>
      </c>
    </row>
    <row r="474" spans="1:20">
      <c r="A474" s="48">
        <v>94917</v>
      </c>
      <c r="B474" s="49" t="s">
        <v>1172</v>
      </c>
      <c r="C474" s="234">
        <v>3.0899999999999999E-5</v>
      </c>
      <c r="D474" s="234">
        <v>3.5099999999999999E-5</v>
      </c>
      <c r="E474" s="211">
        <v>73305</v>
      </c>
      <c r="F474" s="211" t="s">
        <v>1924</v>
      </c>
      <c r="G474" s="232">
        <v>11309</v>
      </c>
      <c r="H474" s="220">
        <v>10063</v>
      </c>
      <c r="I474" s="232">
        <v>19452</v>
      </c>
      <c r="J474" s="231">
        <v>16632</v>
      </c>
      <c r="K474" s="88">
        <f t="shared" si="21"/>
        <v>57456</v>
      </c>
      <c r="L474" s="50"/>
      <c r="M474" s="232">
        <v>379</v>
      </c>
      <c r="N474" s="232">
        <v>0</v>
      </c>
      <c r="O474" s="231">
        <v>0</v>
      </c>
      <c r="P474" s="88">
        <f t="shared" si="22"/>
        <v>379</v>
      </c>
      <c r="Q474" s="50"/>
      <c r="R474" s="232">
        <v>20362</v>
      </c>
      <c r="S474" s="231">
        <v>8881</v>
      </c>
      <c r="T474" s="233">
        <v>29243</v>
      </c>
    </row>
    <row r="475" spans="1:20">
      <c r="A475" s="48">
        <v>94921</v>
      </c>
      <c r="B475" s="49" t="s">
        <v>1173</v>
      </c>
      <c r="C475" s="234">
        <v>3.9271000000000002E-3</v>
      </c>
      <c r="D475" s="234">
        <v>3.9515000000000002E-3</v>
      </c>
      <c r="E475" s="211">
        <v>9316424</v>
      </c>
      <c r="F475" s="211" t="s">
        <v>1924</v>
      </c>
      <c r="G475" s="232">
        <v>1437303</v>
      </c>
      <c r="H475" s="220">
        <v>1278868</v>
      </c>
      <c r="I475" s="232">
        <v>2472219</v>
      </c>
      <c r="J475" s="231">
        <v>14401</v>
      </c>
      <c r="K475" s="88">
        <f t="shared" si="21"/>
        <v>5202791</v>
      </c>
      <c r="L475" s="50"/>
      <c r="M475" s="232">
        <v>48229</v>
      </c>
      <c r="N475" s="232">
        <v>0</v>
      </c>
      <c r="O475" s="231">
        <v>338996</v>
      </c>
      <c r="P475" s="88">
        <f t="shared" si="22"/>
        <v>387225</v>
      </c>
      <c r="Q475" s="50"/>
      <c r="R475" s="232">
        <v>2587853</v>
      </c>
      <c r="S475" s="231">
        <v>-186399</v>
      </c>
      <c r="T475" s="233">
        <v>2401454</v>
      </c>
    </row>
    <row r="476" spans="1:20">
      <c r="A476" s="48">
        <v>94923</v>
      </c>
      <c r="B476" s="49" t="s">
        <v>1174</v>
      </c>
      <c r="C476" s="234">
        <v>2.9099999999999999E-5</v>
      </c>
      <c r="D476" s="234">
        <v>3.0700000000000001E-5</v>
      </c>
      <c r="E476" s="211">
        <v>69035</v>
      </c>
      <c r="F476" s="211" t="s">
        <v>1924</v>
      </c>
      <c r="G476" s="232">
        <v>10650</v>
      </c>
      <c r="H476" s="220">
        <v>9477</v>
      </c>
      <c r="I476" s="232">
        <v>18319</v>
      </c>
      <c r="J476" s="231">
        <v>4323</v>
      </c>
      <c r="K476" s="88">
        <f t="shared" si="21"/>
        <v>42769</v>
      </c>
      <c r="L476" s="50"/>
      <c r="M476" s="232">
        <v>357</v>
      </c>
      <c r="N476" s="232">
        <v>0</v>
      </c>
      <c r="O476" s="231">
        <v>0</v>
      </c>
      <c r="P476" s="88">
        <f t="shared" si="22"/>
        <v>357</v>
      </c>
      <c r="Q476" s="50"/>
      <c r="R476" s="232">
        <v>19176</v>
      </c>
      <c r="S476" s="231">
        <v>1615</v>
      </c>
      <c r="T476" s="233">
        <v>20791</v>
      </c>
    </row>
    <row r="477" spans="1:20">
      <c r="A477" s="48">
        <v>94927</v>
      </c>
      <c r="B477" s="49" t="s">
        <v>1175</v>
      </c>
      <c r="C477" s="234">
        <v>2.76E-5</v>
      </c>
      <c r="D477" s="234">
        <v>3.0599999999999998E-5</v>
      </c>
      <c r="E477" s="211">
        <v>65477</v>
      </c>
      <c r="F477" s="211" t="s">
        <v>1924</v>
      </c>
      <c r="G477" s="232">
        <v>10101</v>
      </c>
      <c r="H477" s="220">
        <v>8988</v>
      </c>
      <c r="I477" s="232">
        <v>17375</v>
      </c>
      <c r="J477" s="231">
        <v>4844</v>
      </c>
      <c r="K477" s="88">
        <f t="shared" si="21"/>
        <v>41308</v>
      </c>
      <c r="L477" s="50"/>
      <c r="M477" s="232">
        <v>339</v>
      </c>
      <c r="N477" s="232">
        <v>0</v>
      </c>
      <c r="O477" s="231">
        <v>0</v>
      </c>
      <c r="P477" s="88">
        <f t="shared" si="22"/>
        <v>339</v>
      </c>
      <c r="Q477" s="50"/>
      <c r="R477" s="232">
        <v>18188</v>
      </c>
      <c r="S477" s="231">
        <v>1685</v>
      </c>
      <c r="T477" s="233">
        <v>19873</v>
      </c>
    </row>
    <row r="478" spans="1:20">
      <c r="A478" s="48">
        <v>94931</v>
      </c>
      <c r="B478" s="49" t="s">
        <v>2297</v>
      </c>
      <c r="C478" s="234">
        <v>2.0350000000000001E-4</v>
      </c>
      <c r="D478" s="234">
        <v>2.163E-4</v>
      </c>
      <c r="E478" s="211">
        <v>482772</v>
      </c>
      <c r="F478" s="211" t="s">
        <v>1924</v>
      </c>
      <c r="G478" s="232">
        <v>74480</v>
      </c>
      <c r="H478" s="220">
        <v>66270</v>
      </c>
      <c r="I478" s="232">
        <v>128109</v>
      </c>
      <c r="J478" s="231">
        <v>716</v>
      </c>
      <c r="K478" s="88">
        <f t="shared" si="21"/>
        <v>269575</v>
      </c>
      <c r="L478" s="50"/>
      <c r="M478" s="232">
        <v>2499</v>
      </c>
      <c r="N478" s="232">
        <v>0</v>
      </c>
      <c r="O478" s="231">
        <v>15634</v>
      </c>
      <c r="P478" s="88">
        <f t="shared" si="22"/>
        <v>18133</v>
      </c>
      <c r="Q478" s="50"/>
      <c r="R478" s="232">
        <v>134101</v>
      </c>
      <c r="S478" s="231">
        <v>-9864</v>
      </c>
      <c r="T478" s="233">
        <v>124237</v>
      </c>
    </row>
    <row r="479" spans="1:20" s="204" customFormat="1">
      <c r="A479" s="207">
        <v>94937</v>
      </c>
      <c r="B479" s="205" t="s">
        <v>2298</v>
      </c>
      <c r="C479" s="234">
        <v>0</v>
      </c>
      <c r="D479" s="234">
        <v>0</v>
      </c>
      <c r="E479" s="211">
        <v>0</v>
      </c>
      <c r="F479" s="211" t="s">
        <v>1924</v>
      </c>
      <c r="G479" s="232">
        <v>0</v>
      </c>
      <c r="H479" s="220">
        <v>0</v>
      </c>
      <c r="I479" s="232">
        <v>0</v>
      </c>
      <c r="J479" s="231">
        <v>0</v>
      </c>
      <c r="K479" s="88"/>
      <c r="L479" s="203"/>
      <c r="M479" s="232">
        <v>0</v>
      </c>
      <c r="N479" s="232">
        <v>0</v>
      </c>
      <c r="O479" s="231">
        <v>0</v>
      </c>
      <c r="P479" s="88"/>
      <c r="Q479" s="203"/>
      <c r="R479" s="232">
        <v>0</v>
      </c>
      <c r="S479" s="231">
        <v>0</v>
      </c>
      <c r="T479" s="233">
        <v>0</v>
      </c>
    </row>
    <row r="480" spans="1:20">
      <c r="A480" s="48">
        <v>94941</v>
      </c>
      <c r="B480" s="49" t="s">
        <v>1177</v>
      </c>
      <c r="C480" s="234">
        <v>5.4239999999999996E-4</v>
      </c>
      <c r="D480" s="234">
        <v>5.7879999999999997E-4</v>
      </c>
      <c r="E480" s="211">
        <v>1286758</v>
      </c>
      <c r="F480" s="211" t="s">
        <v>1924</v>
      </c>
      <c r="G480" s="232">
        <v>198516</v>
      </c>
      <c r="H480" s="220">
        <v>176633</v>
      </c>
      <c r="I480" s="232">
        <v>341456</v>
      </c>
      <c r="J480" s="231">
        <v>22905</v>
      </c>
      <c r="K480" s="88">
        <f t="shared" si="21"/>
        <v>739510</v>
      </c>
      <c r="L480" s="50"/>
      <c r="M480" s="232">
        <v>6661</v>
      </c>
      <c r="N480" s="232">
        <v>0</v>
      </c>
      <c r="O480" s="231">
        <v>39327</v>
      </c>
      <c r="P480" s="88">
        <f t="shared" si="22"/>
        <v>45988</v>
      </c>
      <c r="Q480" s="50"/>
      <c r="R480" s="232">
        <v>357427</v>
      </c>
      <c r="S480" s="231">
        <v>36038</v>
      </c>
      <c r="T480" s="233">
        <v>393465</v>
      </c>
    </row>
    <row r="481" spans="1:20" s="208" customFormat="1">
      <c r="A481" s="210">
        <v>94947</v>
      </c>
      <c r="B481" s="209" t="s">
        <v>1928</v>
      </c>
      <c r="C481" s="234">
        <v>0</v>
      </c>
      <c r="D481" s="234">
        <v>0</v>
      </c>
      <c r="E481" s="211">
        <v>0</v>
      </c>
      <c r="F481" s="211" t="s">
        <v>1924</v>
      </c>
      <c r="G481" s="232">
        <v>0</v>
      </c>
      <c r="H481" s="220">
        <v>0</v>
      </c>
      <c r="I481" s="232">
        <v>0</v>
      </c>
      <c r="J481" s="231">
        <v>0</v>
      </c>
      <c r="K481" s="88"/>
      <c r="L481" s="206"/>
      <c r="M481" s="232">
        <v>0</v>
      </c>
      <c r="N481" s="232">
        <v>0</v>
      </c>
      <c r="O481" s="231">
        <v>0</v>
      </c>
      <c r="P481" s="88"/>
      <c r="Q481" s="206"/>
      <c r="R481" s="232">
        <v>0</v>
      </c>
      <c r="S481" s="231">
        <v>0</v>
      </c>
      <c r="T481" s="233">
        <v>0</v>
      </c>
    </row>
    <row r="482" spans="1:20">
      <c r="A482" s="48">
        <v>95001</v>
      </c>
      <c r="B482" s="49" t="s">
        <v>1178</v>
      </c>
      <c r="C482" s="234">
        <v>2.3002999999999999E-3</v>
      </c>
      <c r="D482" s="234">
        <v>2.4867000000000001E-3</v>
      </c>
      <c r="E482" s="211">
        <v>5457098</v>
      </c>
      <c r="F482" s="211" t="s">
        <v>1924</v>
      </c>
      <c r="G482" s="232">
        <v>841901</v>
      </c>
      <c r="H482" s="220">
        <v>749098</v>
      </c>
      <c r="I482" s="232">
        <v>1448103</v>
      </c>
      <c r="J482" s="231">
        <v>121208</v>
      </c>
      <c r="K482" s="88">
        <f t="shared" si="21"/>
        <v>3160310</v>
      </c>
      <c r="L482" s="50"/>
      <c r="M482" s="232">
        <v>28250</v>
      </c>
      <c r="N482" s="232">
        <v>0</v>
      </c>
      <c r="O482" s="231">
        <v>49464</v>
      </c>
      <c r="P482" s="88">
        <f t="shared" si="22"/>
        <v>77714</v>
      </c>
      <c r="Q482" s="50"/>
      <c r="R482" s="232">
        <v>1515836</v>
      </c>
      <c r="S482" s="231">
        <v>39325</v>
      </c>
      <c r="T482" s="233">
        <v>1555161</v>
      </c>
    </row>
    <row r="483" spans="1:20">
      <c r="A483" s="48">
        <v>95002</v>
      </c>
      <c r="B483" s="49" t="s">
        <v>1179</v>
      </c>
      <c r="C483" s="234">
        <v>1.8589999999999999E-4</v>
      </c>
      <c r="D483" s="234">
        <v>1.907E-4</v>
      </c>
      <c r="E483" s="211">
        <v>441018</v>
      </c>
      <c r="F483" s="211" t="s">
        <v>1924</v>
      </c>
      <c r="G483" s="232">
        <v>68039</v>
      </c>
      <c r="H483" s="220">
        <v>60538</v>
      </c>
      <c r="I483" s="232">
        <v>117029</v>
      </c>
      <c r="J483" s="231">
        <v>18706</v>
      </c>
      <c r="K483" s="88">
        <f t="shared" si="21"/>
        <v>264312</v>
      </c>
      <c r="L483" s="50"/>
      <c r="M483" s="232">
        <v>2283</v>
      </c>
      <c r="N483" s="232">
        <v>0</v>
      </c>
      <c r="O483" s="231">
        <v>0</v>
      </c>
      <c r="P483" s="88">
        <f t="shared" si="22"/>
        <v>2283</v>
      </c>
      <c r="Q483" s="50"/>
      <c r="R483" s="232">
        <v>122503</v>
      </c>
      <c r="S483" s="231">
        <v>8615</v>
      </c>
      <c r="T483" s="233">
        <v>131118</v>
      </c>
    </row>
    <row r="484" spans="1:20">
      <c r="A484" s="48">
        <v>95005</v>
      </c>
      <c r="B484" s="49" t="s">
        <v>1180</v>
      </c>
      <c r="C484" s="234">
        <v>2.131E-4</v>
      </c>
      <c r="D484" s="234">
        <v>2.2949999999999999E-4</v>
      </c>
      <c r="E484" s="211">
        <v>505546</v>
      </c>
      <c r="F484" s="211" t="s">
        <v>1924</v>
      </c>
      <c r="G484" s="232">
        <v>77994</v>
      </c>
      <c r="H484" s="220">
        <v>69397</v>
      </c>
      <c r="I484" s="232">
        <v>134152</v>
      </c>
      <c r="J484" s="231">
        <v>4292</v>
      </c>
      <c r="K484" s="88">
        <f t="shared" si="21"/>
        <v>285835</v>
      </c>
      <c r="L484" s="50"/>
      <c r="M484" s="232">
        <v>2617</v>
      </c>
      <c r="N484" s="232">
        <v>0</v>
      </c>
      <c r="O484" s="231">
        <v>4029</v>
      </c>
      <c r="P484" s="88">
        <f t="shared" si="22"/>
        <v>6646</v>
      </c>
      <c r="Q484" s="50"/>
      <c r="R484" s="232">
        <v>140427</v>
      </c>
      <c r="S484" s="231">
        <v>8291</v>
      </c>
      <c r="T484" s="233">
        <v>148718</v>
      </c>
    </row>
    <row r="485" spans="1:20">
      <c r="A485" s="48">
        <v>95008</v>
      </c>
      <c r="B485" s="49" t="s">
        <v>1181</v>
      </c>
      <c r="C485" s="234">
        <v>1.188E-4</v>
      </c>
      <c r="D485" s="234">
        <v>1.1519999999999999E-4</v>
      </c>
      <c r="E485" s="211">
        <v>281834</v>
      </c>
      <c r="F485" s="211" t="s">
        <v>1924</v>
      </c>
      <c r="G485" s="232">
        <v>43480</v>
      </c>
      <c r="H485" s="220">
        <v>38688</v>
      </c>
      <c r="I485" s="232">
        <v>74788</v>
      </c>
      <c r="J485" s="231">
        <v>18509</v>
      </c>
      <c r="K485" s="88">
        <f t="shared" si="21"/>
        <v>175465</v>
      </c>
      <c r="L485" s="50"/>
      <c r="M485" s="232">
        <v>1459</v>
      </c>
      <c r="N485" s="232">
        <v>0</v>
      </c>
      <c r="O485" s="231">
        <v>4058</v>
      </c>
      <c r="P485" s="88">
        <f t="shared" si="22"/>
        <v>5517</v>
      </c>
      <c r="Q485" s="50"/>
      <c r="R485" s="232">
        <v>78286</v>
      </c>
      <c r="S485" s="231">
        <v>11671</v>
      </c>
      <c r="T485" s="233">
        <v>89957</v>
      </c>
    </row>
    <row r="486" spans="1:20">
      <c r="A486" s="48">
        <v>95009</v>
      </c>
      <c r="B486" s="49" t="s">
        <v>1182</v>
      </c>
      <c r="C486" s="234">
        <v>4.0277999999999998E-3</v>
      </c>
      <c r="D486" s="234">
        <v>4.2208999999999997E-3</v>
      </c>
      <c r="E486" s="211">
        <v>9555319</v>
      </c>
      <c r="F486" s="211" t="s">
        <v>1924</v>
      </c>
      <c r="G486" s="232">
        <v>1474159</v>
      </c>
      <c r="H486" s="220">
        <v>1311662</v>
      </c>
      <c r="I486" s="232">
        <v>2535613</v>
      </c>
      <c r="J486" s="231">
        <v>318871</v>
      </c>
      <c r="K486" s="88">
        <f t="shared" si="21"/>
        <v>5640305</v>
      </c>
      <c r="L486" s="50"/>
      <c r="M486" s="232">
        <v>49465</v>
      </c>
      <c r="N486" s="232">
        <v>0</v>
      </c>
      <c r="O486" s="231">
        <v>113116</v>
      </c>
      <c r="P486" s="88">
        <f t="shared" si="22"/>
        <v>162581</v>
      </c>
      <c r="Q486" s="50"/>
      <c r="R486" s="232">
        <v>2654211</v>
      </c>
      <c r="S486" s="231">
        <v>550303</v>
      </c>
      <c r="T486" s="233">
        <v>3204514</v>
      </c>
    </row>
    <row r="487" spans="1:20">
      <c r="A487" s="48">
        <v>95011</v>
      </c>
      <c r="B487" s="49" t="s">
        <v>2299</v>
      </c>
      <c r="C487" s="234">
        <v>1.8760000000000001E-4</v>
      </c>
      <c r="D487" s="234">
        <v>1.8000000000000001E-4</v>
      </c>
      <c r="E487" s="211">
        <v>445051</v>
      </c>
      <c r="F487" s="211" t="s">
        <v>1924</v>
      </c>
      <c r="G487" s="232">
        <v>68661</v>
      </c>
      <c r="H487" s="220">
        <v>61093</v>
      </c>
      <c r="I487" s="232">
        <v>118099</v>
      </c>
      <c r="J487" s="231">
        <v>5719</v>
      </c>
      <c r="K487" s="88">
        <f t="shared" si="21"/>
        <v>253572</v>
      </c>
      <c r="L487" s="50"/>
      <c r="M487" s="232">
        <v>2304</v>
      </c>
      <c r="N487" s="232">
        <v>0</v>
      </c>
      <c r="O487" s="231">
        <v>4270</v>
      </c>
      <c r="P487" s="88">
        <f t="shared" si="22"/>
        <v>6574</v>
      </c>
      <c r="Q487" s="50"/>
      <c r="R487" s="232">
        <v>123623</v>
      </c>
      <c r="S487" s="231">
        <v>-3004</v>
      </c>
      <c r="T487" s="233">
        <v>120619</v>
      </c>
    </row>
    <row r="488" spans="1:20">
      <c r="A488" s="48">
        <v>95017</v>
      </c>
      <c r="B488" s="49" t="s">
        <v>1184</v>
      </c>
      <c r="C488" s="234">
        <v>4.5500000000000001E-5</v>
      </c>
      <c r="D488" s="234">
        <v>3.8800000000000001E-5</v>
      </c>
      <c r="E488" s="211">
        <v>107942</v>
      </c>
      <c r="F488" s="211" t="s">
        <v>1924</v>
      </c>
      <c r="G488" s="232">
        <v>16653</v>
      </c>
      <c r="H488" s="220">
        <v>14818</v>
      </c>
      <c r="I488" s="232">
        <v>28644</v>
      </c>
      <c r="J488" s="231">
        <v>6820</v>
      </c>
      <c r="K488" s="88">
        <f t="shared" si="21"/>
        <v>66935</v>
      </c>
      <c r="L488" s="50"/>
      <c r="M488" s="232">
        <v>559</v>
      </c>
      <c r="N488" s="232">
        <v>0</v>
      </c>
      <c r="O488" s="231">
        <v>0</v>
      </c>
      <c r="P488" s="88">
        <f t="shared" si="22"/>
        <v>559</v>
      </c>
      <c r="Q488" s="50"/>
      <c r="R488" s="232">
        <v>29983</v>
      </c>
      <c r="S488" s="231">
        <v>7890</v>
      </c>
      <c r="T488" s="233">
        <v>37873</v>
      </c>
    </row>
    <row r="489" spans="1:20">
      <c r="A489" s="48">
        <v>95101</v>
      </c>
      <c r="B489" s="49" t="s">
        <v>1185</v>
      </c>
      <c r="C489" s="234">
        <v>8.5109999999999995E-3</v>
      </c>
      <c r="D489" s="234">
        <v>8.3750999999999999E-3</v>
      </c>
      <c r="E489" s="211">
        <v>20191003</v>
      </c>
      <c r="F489" s="211" t="s">
        <v>1924</v>
      </c>
      <c r="G489" s="232">
        <v>3114992</v>
      </c>
      <c r="H489" s="220">
        <v>2771624</v>
      </c>
      <c r="I489" s="232">
        <v>5357913</v>
      </c>
      <c r="J489" s="231">
        <v>2454</v>
      </c>
      <c r="K489" s="88">
        <f t="shared" si="21"/>
        <v>11246983</v>
      </c>
      <c r="L489" s="50"/>
      <c r="M489" s="232">
        <v>104524</v>
      </c>
      <c r="N489" s="232">
        <v>0</v>
      </c>
      <c r="O489" s="231">
        <v>152878</v>
      </c>
      <c r="P489" s="88">
        <f t="shared" si="22"/>
        <v>257402</v>
      </c>
      <c r="Q489" s="50"/>
      <c r="R489" s="232">
        <v>5608519</v>
      </c>
      <c r="S489" s="231">
        <v>-16926</v>
      </c>
      <c r="T489" s="233">
        <v>5591593</v>
      </c>
    </row>
    <row r="490" spans="1:20">
      <c r="A490" s="48">
        <v>95103</v>
      </c>
      <c r="B490" s="49" t="s">
        <v>1186</v>
      </c>
      <c r="C490" s="234">
        <v>4.4400000000000002E-5</v>
      </c>
      <c r="D490" s="234">
        <v>4.9100000000000001E-5</v>
      </c>
      <c r="E490" s="211">
        <v>105332</v>
      </c>
      <c r="F490" s="211" t="s">
        <v>1924</v>
      </c>
      <c r="G490" s="232">
        <v>16250</v>
      </c>
      <c r="H490" s="220">
        <v>14459</v>
      </c>
      <c r="I490" s="232">
        <v>27951</v>
      </c>
      <c r="J490" s="231">
        <v>9697</v>
      </c>
      <c r="K490" s="88">
        <f t="shared" si="21"/>
        <v>68357</v>
      </c>
      <c r="L490" s="50"/>
      <c r="M490" s="232">
        <v>545</v>
      </c>
      <c r="N490" s="232">
        <v>0</v>
      </c>
      <c r="O490" s="231">
        <v>0</v>
      </c>
      <c r="P490" s="88">
        <f t="shared" si="22"/>
        <v>545</v>
      </c>
      <c r="Q490" s="50"/>
      <c r="R490" s="232">
        <v>29258</v>
      </c>
      <c r="S490" s="231">
        <v>18768</v>
      </c>
      <c r="T490" s="233">
        <v>48026</v>
      </c>
    </row>
    <row r="491" spans="1:20">
      <c r="A491" s="48">
        <v>95104</v>
      </c>
      <c r="B491" s="49" t="s">
        <v>1187</v>
      </c>
      <c r="C491" s="234">
        <v>9.8300000000000004E-5</v>
      </c>
      <c r="D491" s="234">
        <v>1.02E-4</v>
      </c>
      <c r="E491" s="211">
        <v>233201</v>
      </c>
      <c r="F491" s="211" t="s">
        <v>1924</v>
      </c>
      <c r="G491" s="232">
        <v>35977</v>
      </c>
      <c r="H491" s="220">
        <v>32012</v>
      </c>
      <c r="I491" s="232">
        <v>61883</v>
      </c>
      <c r="J491" s="231">
        <v>19229</v>
      </c>
      <c r="K491" s="88">
        <f t="shared" si="21"/>
        <v>149101</v>
      </c>
      <c r="L491" s="50"/>
      <c r="M491" s="232">
        <v>1207</v>
      </c>
      <c r="N491" s="232">
        <v>0</v>
      </c>
      <c r="O491" s="231">
        <v>0</v>
      </c>
      <c r="P491" s="88">
        <f t="shared" si="22"/>
        <v>1207</v>
      </c>
      <c r="Q491" s="50"/>
      <c r="R491" s="232">
        <v>64777</v>
      </c>
      <c r="S491" s="231">
        <v>10356</v>
      </c>
      <c r="T491" s="233">
        <v>75133</v>
      </c>
    </row>
    <row r="492" spans="1:20">
      <c r="A492" s="48">
        <v>95105</v>
      </c>
      <c r="B492" s="49" t="s">
        <v>1188</v>
      </c>
      <c r="C492" s="234">
        <v>6.5900000000000003E-5</v>
      </c>
      <c r="D492" s="234">
        <v>6.1099999999999994E-5</v>
      </c>
      <c r="E492" s="211">
        <v>156337</v>
      </c>
      <c r="F492" s="211" t="s">
        <v>1924</v>
      </c>
      <c r="G492" s="232">
        <v>24119</v>
      </c>
      <c r="H492" s="220">
        <v>21460</v>
      </c>
      <c r="I492" s="232">
        <v>41486</v>
      </c>
      <c r="J492" s="231">
        <v>10343</v>
      </c>
      <c r="K492" s="88">
        <f t="shared" si="21"/>
        <v>97408</v>
      </c>
      <c r="L492" s="50"/>
      <c r="M492" s="232">
        <v>809</v>
      </c>
      <c r="N492" s="232">
        <v>0</v>
      </c>
      <c r="O492" s="231">
        <v>0</v>
      </c>
      <c r="P492" s="88">
        <f t="shared" si="22"/>
        <v>809</v>
      </c>
      <c r="Q492" s="50"/>
      <c r="R492" s="232">
        <v>43426</v>
      </c>
      <c r="S492" s="231">
        <v>5557</v>
      </c>
      <c r="T492" s="233">
        <v>48983</v>
      </c>
    </row>
    <row r="493" spans="1:20">
      <c r="A493" s="48">
        <v>95106</v>
      </c>
      <c r="B493" s="49" t="s">
        <v>2300</v>
      </c>
      <c r="C493" s="234">
        <v>1.3900000000000001E-5</v>
      </c>
      <c r="D493" s="234">
        <v>1.2099999999999999E-5</v>
      </c>
      <c r="E493" s="211">
        <v>32976</v>
      </c>
      <c r="F493" s="211" t="s">
        <v>1924</v>
      </c>
      <c r="G493" s="232">
        <v>5087</v>
      </c>
      <c r="H493" s="220">
        <v>4527</v>
      </c>
      <c r="I493" s="232">
        <v>8750</v>
      </c>
      <c r="J493" s="231">
        <v>4636</v>
      </c>
      <c r="K493" s="88">
        <f t="shared" si="21"/>
        <v>23000</v>
      </c>
      <c r="L493" s="50"/>
      <c r="M493" s="232">
        <v>171</v>
      </c>
      <c r="N493" s="232">
        <v>0</v>
      </c>
      <c r="O493" s="231">
        <v>1076</v>
      </c>
      <c r="P493" s="88">
        <f t="shared" si="22"/>
        <v>1247</v>
      </c>
      <c r="Q493" s="50"/>
      <c r="R493" s="232">
        <v>9160</v>
      </c>
      <c r="S493" s="231">
        <v>2803</v>
      </c>
      <c r="T493" s="233">
        <v>11963</v>
      </c>
    </row>
    <row r="494" spans="1:20">
      <c r="A494" s="48">
        <v>95110</v>
      </c>
      <c r="B494" s="49" t="s">
        <v>1190</v>
      </c>
      <c r="C494" s="234">
        <v>3.5975E-3</v>
      </c>
      <c r="D494" s="234">
        <v>4.2902000000000001E-3</v>
      </c>
      <c r="E494" s="211">
        <v>8534500</v>
      </c>
      <c r="F494" s="211" t="s">
        <v>1924</v>
      </c>
      <c r="G494" s="232">
        <v>1316671</v>
      </c>
      <c r="H494" s="220">
        <v>1171533</v>
      </c>
      <c r="I494" s="232">
        <v>2264727</v>
      </c>
      <c r="J494" s="231">
        <v>0</v>
      </c>
      <c r="K494" s="88">
        <f t="shared" si="21"/>
        <v>4752931</v>
      </c>
      <c r="L494" s="50"/>
      <c r="M494" s="232">
        <v>44181</v>
      </c>
      <c r="N494" s="232">
        <v>0</v>
      </c>
      <c r="O494" s="231">
        <v>813395</v>
      </c>
      <c r="P494" s="88">
        <f t="shared" si="22"/>
        <v>857576</v>
      </c>
      <c r="Q494" s="50"/>
      <c r="R494" s="232">
        <v>2370655</v>
      </c>
      <c r="S494" s="231">
        <v>-720222</v>
      </c>
      <c r="T494" s="233">
        <v>1650433</v>
      </c>
    </row>
    <row r="495" spans="1:20">
      <c r="A495" s="48">
        <v>95111</v>
      </c>
      <c r="B495" s="49" t="s">
        <v>2301</v>
      </c>
      <c r="C495" s="234">
        <v>1.1188999999999999E-3</v>
      </c>
      <c r="D495" s="234">
        <v>1.0778999999999999E-3</v>
      </c>
      <c r="E495" s="211">
        <v>2654413</v>
      </c>
      <c r="F495" s="211" t="s">
        <v>1924</v>
      </c>
      <c r="G495" s="232">
        <v>409513</v>
      </c>
      <c r="H495" s="220">
        <v>364372</v>
      </c>
      <c r="I495" s="232">
        <v>704379</v>
      </c>
      <c r="J495" s="231">
        <v>0</v>
      </c>
      <c r="K495" s="88">
        <f t="shared" si="21"/>
        <v>1478264</v>
      </c>
      <c r="L495" s="50"/>
      <c r="M495" s="232">
        <v>13741</v>
      </c>
      <c r="N495" s="232">
        <v>0</v>
      </c>
      <c r="O495" s="231">
        <v>72731</v>
      </c>
      <c r="P495" s="88">
        <f t="shared" si="22"/>
        <v>86472</v>
      </c>
      <c r="Q495" s="50"/>
      <c r="R495" s="232">
        <v>737325</v>
      </c>
      <c r="S495" s="231">
        <v>-62211</v>
      </c>
      <c r="T495" s="233">
        <v>675114</v>
      </c>
    </row>
    <row r="496" spans="1:20">
      <c r="A496" s="48">
        <v>95113</v>
      </c>
      <c r="B496" s="49" t="s">
        <v>1192</v>
      </c>
      <c r="C496" s="234">
        <v>4.49E-5</v>
      </c>
      <c r="D496" s="234">
        <v>4.6699999999999997E-5</v>
      </c>
      <c r="E496" s="211">
        <v>106518</v>
      </c>
      <c r="F496" s="211" t="s">
        <v>1924</v>
      </c>
      <c r="G496" s="232">
        <v>16433</v>
      </c>
      <c r="H496" s="220">
        <v>14621</v>
      </c>
      <c r="I496" s="232">
        <v>28266</v>
      </c>
      <c r="J496" s="231">
        <v>91937</v>
      </c>
      <c r="K496" s="88">
        <f t="shared" si="21"/>
        <v>151257</v>
      </c>
      <c r="L496" s="50"/>
      <c r="M496" s="232">
        <v>551</v>
      </c>
      <c r="N496" s="232">
        <v>0</v>
      </c>
      <c r="O496" s="231">
        <v>0</v>
      </c>
      <c r="P496" s="88">
        <f t="shared" si="22"/>
        <v>551</v>
      </c>
      <c r="Q496" s="50"/>
      <c r="R496" s="232">
        <v>29588</v>
      </c>
      <c r="S496" s="231">
        <v>41492</v>
      </c>
      <c r="T496" s="233">
        <v>71080</v>
      </c>
    </row>
    <row r="497" spans="1:20">
      <c r="A497" s="48">
        <v>95121</v>
      </c>
      <c r="B497" s="49" t="s">
        <v>2302</v>
      </c>
      <c r="C497" s="234">
        <v>5.2059999999999997E-4</v>
      </c>
      <c r="D497" s="234">
        <v>4.9770000000000001E-4</v>
      </c>
      <c r="E497" s="211">
        <v>1235041</v>
      </c>
      <c r="F497" s="211" t="s">
        <v>1924</v>
      </c>
      <c r="G497" s="232">
        <v>190538</v>
      </c>
      <c r="H497" s="220">
        <v>169535</v>
      </c>
      <c r="I497" s="232">
        <v>327732</v>
      </c>
      <c r="J497" s="231">
        <v>13463</v>
      </c>
      <c r="K497" s="88">
        <f t="shared" si="21"/>
        <v>701268</v>
      </c>
      <c r="L497" s="50"/>
      <c r="M497" s="232">
        <v>6393</v>
      </c>
      <c r="N497" s="232">
        <v>0</v>
      </c>
      <c r="O497" s="231">
        <v>1285</v>
      </c>
      <c r="P497" s="88">
        <f t="shared" si="22"/>
        <v>7678</v>
      </c>
      <c r="Q497" s="50"/>
      <c r="R497" s="232">
        <v>343061</v>
      </c>
      <c r="S497" s="231">
        <v>-5897</v>
      </c>
      <c r="T497" s="233">
        <v>337164</v>
      </c>
    </row>
    <row r="498" spans="1:20">
      <c r="A498" s="48">
        <v>95122</v>
      </c>
      <c r="B498" s="49" t="s">
        <v>2303</v>
      </c>
      <c r="C498" s="234">
        <v>6.6000000000000003E-6</v>
      </c>
      <c r="D498" s="234">
        <v>6.4999999999999996E-6</v>
      </c>
      <c r="E498" s="211">
        <v>15657</v>
      </c>
      <c r="F498" s="211" t="s">
        <v>1924</v>
      </c>
      <c r="G498" s="232">
        <v>2416</v>
      </c>
      <c r="H498" s="220">
        <v>2149</v>
      </c>
      <c r="I498" s="232">
        <v>4155</v>
      </c>
      <c r="J498" s="231">
        <v>3737</v>
      </c>
      <c r="K498" s="88">
        <f t="shared" si="21"/>
        <v>12457</v>
      </c>
      <c r="L498" s="50"/>
      <c r="M498" s="232">
        <v>81</v>
      </c>
      <c r="N498" s="232">
        <v>0</v>
      </c>
      <c r="O498" s="231">
        <v>0</v>
      </c>
      <c r="P498" s="88">
        <f t="shared" si="22"/>
        <v>81</v>
      </c>
      <c r="Q498" s="50"/>
      <c r="R498" s="232">
        <v>4349</v>
      </c>
      <c r="S498" s="231">
        <v>1394</v>
      </c>
      <c r="T498" s="233">
        <v>5743</v>
      </c>
    </row>
    <row r="499" spans="1:20">
      <c r="A499" s="48">
        <v>95123</v>
      </c>
      <c r="B499" s="49" t="s">
        <v>1195</v>
      </c>
      <c r="C499" s="234">
        <v>5.41E-5</v>
      </c>
      <c r="D499" s="234">
        <v>5.7399999999999999E-5</v>
      </c>
      <c r="E499" s="211">
        <v>128344</v>
      </c>
      <c r="F499" s="211" t="s">
        <v>1924</v>
      </c>
      <c r="G499" s="232">
        <v>19800</v>
      </c>
      <c r="H499" s="220">
        <v>17617</v>
      </c>
      <c r="I499" s="232">
        <v>34057</v>
      </c>
      <c r="J499" s="231">
        <v>5660</v>
      </c>
      <c r="K499" s="88">
        <f t="shared" si="21"/>
        <v>77134</v>
      </c>
      <c r="L499" s="50"/>
      <c r="M499" s="232">
        <v>664</v>
      </c>
      <c r="N499" s="232">
        <v>0</v>
      </c>
      <c r="O499" s="231">
        <v>0</v>
      </c>
      <c r="P499" s="88">
        <f t="shared" si="22"/>
        <v>664</v>
      </c>
      <c r="Q499" s="50"/>
      <c r="R499" s="232">
        <v>35650</v>
      </c>
      <c r="S499" s="231">
        <v>1881</v>
      </c>
      <c r="T499" s="233">
        <v>37531</v>
      </c>
    </row>
    <row r="500" spans="1:20">
      <c r="A500" s="48">
        <v>95131</v>
      </c>
      <c r="B500" s="49" t="s">
        <v>2304</v>
      </c>
      <c r="C500" s="234">
        <v>1.7581000000000001E-3</v>
      </c>
      <c r="D500" s="234">
        <v>1.6682999999999999E-3</v>
      </c>
      <c r="E500" s="211">
        <v>4170814</v>
      </c>
      <c r="F500" s="211" t="s">
        <v>1924</v>
      </c>
      <c r="G500" s="232">
        <v>643458</v>
      </c>
      <c r="H500" s="220">
        <v>572529</v>
      </c>
      <c r="I500" s="232">
        <v>1106773</v>
      </c>
      <c r="J500" s="231">
        <v>95997</v>
      </c>
      <c r="K500" s="88">
        <f t="shared" si="21"/>
        <v>2418757</v>
      </c>
      <c r="L500" s="50"/>
      <c r="M500" s="232">
        <v>21591</v>
      </c>
      <c r="N500" s="232">
        <v>0</v>
      </c>
      <c r="O500" s="231">
        <v>0</v>
      </c>
      <c r="P500" s="88">
        <f t="shared" si="22"/>
        <v>21591</v>
      </c>
      <c r="Q500" s="50"/>
      <c r="R500" s="232">
        <v>1158540</v>
      </c>
      <c r="S500" s="231">
        <v>40038</v>
      </c>
      <c r="T500" s="233">
        <v>1198578</v>
      </c>
    </row>
    <row r="501" spans="1:20">
      <c r="A501" s="48">
        <v>95141</v>
      </c>
      <c r="B501" s="49" t="s">
        <v>2305</v>
      </c>
      <c r="C501" s="234">
        <v>3.2400000000000001E-4</v>
      </c>
      <c r="D501" s="234">
        <v>3.2220000000000003E-4</v>
      </c>
      <c r="E501" s="211">
        <v>768639</v>
      </c>
      <c r="F501" s="211" t="s">
        <v>1924</v>
      </c>
      <c r="G501" s="232">
        <v>118583</v>
      </c>
      <c r="H501" s="220">
        <v>105512</v>
      </c>
      <c r="I501" s="232">
        <v>203967</v>
      </c>
      <c r="J501" s="231">
        <v>0</v>
      </c>
      <c r="K501" s="88">
        <f t="shared" si="21"/>
        <v>428062</v>
      </c>
      <c r="L501" s="50"/>
      <c r="M501" s="232">
        <v>3979</v>
      </c>
      <c r="N501" s="232">
        <v>0</v>
      </c>
      <c r="O501" s="231">
        <v>23502</v>
      </c>
      <c r="P501" s="88">
        <f t="shared" si="22"/>
        <v>27481</v>
      </c>
      <c r="Q501" s="50"/>
      <c r="R501" s="232">
        <v>213507</v>
      </c>
      <c r="S501" s="231">
        <v>-12963</v>
      </c>
      <c r="T501" s="233">
        <v>200544</v>
      </c>
    </row>
    <row r="502" spans="1:20">
      <c r="A502" s="48">
        <v>95151</v>
      </c>
      <c r="B502" s="49" t="s">
        <v>2306</v>
      </c>
      <c r="C502" s="234">
        <v>1.159E-4</v>
      </c>
      <c r="D502" s="234">
        <v>1.092E-4</v>
      </c>
      <c r="E502" s="211">
        <v>274954</v>
      </c>
      <c r="F502" s="211" t="s">
        <v>1924</v>
      </c>
      <c r="G502" s="232">
        <v>42419</v>
      </c>
      <c r="H502" s="220">
        <v>37743</v>
      </c>
      <c r="I502" s="232">
        <v>72962</v>
      </c>
      <c r="J502" s="231">
        <v>249</v>
      </c>
      <c r="K502" s="88">
        <f t="shared" si="21"/>
        <v>153373</v>
      </c>
      <c r="L502" s="50"/>
      <c r="M502" s="232">
        <v>1423</v>
      </c>
      <c r="N502" s="232">
        <v>0</v>
      </c>
      <c r="O502" s="231">
        <v>7102</v>
      </c>
      <c r="P502" s="88">
        <f t="shared" si="22"/>
        <v>8525</v>
      </c>
      <c r="Q502" s="50"/>
      <c r="R502" s="232">
        <v>76375</v>
      </c>
      <c r="S502" s="231">
        <v>-3275</v>
      </c>
      <c r="T502" s="233">
        <v>73100</v>
      </c>
    </row>
    <row r="503" spans="1:20">
      <c r="A503" s="48">
        <v>95161</v>
      </c>
      <c r="B503" s="49" t="s">
        <v>2307</v>
      </c>
      <c r="C503" s="234">
        <v>6.9200000000000002E-5</v>
      </c>
      <c r="D503" s="234">
        <v>6.8100000000000002E-5</v>
      </c>
      <c r="E503" s="211">
        <v>164166</v>
      </c>
      <c r="F503" s="211" t="s">
        <v>1924</v>
      </c>
      <c r="G503" s="232">
        <v>25327</v>
      </c>
      <c r="H503" s="220">
        <v>22535</v>
      </c>
      <c r="I503" s="232">
        <v>43563</v>
      </c>
      <c r="J503" s="231">
        <v>10072</v>
      </c>
      <c r="K503" s="88">
        <f t="shared" si="21"/>
        <v>101497</v>
      </c>
      <c r="L503" s="50"/>
      <c r="M503" s="232">
        <v>850</v>
      </c>
      <c r="N503" s="232">
        <v>0</v>
      </c>
      <c r="O503" s="231">
        <v>610</v>
      </c>
      <c r="P503" s="88">
        <f t="shared" si="22"/>
        <v>1460</v>
      </c>
      <c r="Q503" s="50"/>
      <c r="R503" s="232">
        <v>45601</v>
      </c>
      <c r="S503" s="231">
        <v>2943</v>
      </c>
      <c r="T503" s="233">
        <v>48544</v>
      </c>
    </row>
    <row r="504" spans="1:20">
      <c r="A504" s="48">
        <v>95171</v>
      </c>
      <c r="B504" s="49" t="s">
        <v>2308</v>
      </c>
      <c r="C504" s="234">
        <v>8.8599999999999999E-5</v>
      </c>
      <c r="D504" s="234">
        <v>1.0459999999999999E-4</v>
      </c>
      <c r="E504" s="211">
        <v>210190</v>
      </c>
      <c r="F504" s="211" t="s">
        <v>1924</v>
      </c>
      <c r="G504" s="232">
        <v>32427</v>
      </c>
      <c r="H504" s="220">
        <v>28853</v>
      </c>
      <c r="I504" s="232">
        <v>55776</v>
      </c>
      <c r="J504" s="231">
        <v>3021</v>
      </c>
      <c r="K504" s="88">
        <f t="shared" si="21"/>
        <v>120077</v>
      </c>
      <c r="L504" s="50"/>
      <c r="M504" s="232">
        <v>1088</v>
      </c>
      <c r="N504" s="232">
        <v>0</v>
      </c>
      <c r="O504" s="231">
        <v>15947</v>
      </c>
      <c r="P504" s="88">
        <f t="shared" si="22"/>
        <v>17035</v>
      </c>
      <c r="Q504" s="50"/>
      <c r="R504" s="232">
        <v>58385</v>
      </c>
      <c r="S504" s="231">
        <v>-5663</v>
      </c>
      <c r="T504" s="233">
        <v>52722</v>
      </c>
    </row>
    <row r="505" spans="1:20">
      <c r="A505" s="48">
        <v>95181</v>
      </c>
      <c r="B505" s="49" t="s">
        <v>2309</v>
      </c>
      <c r="C505" s="234">
        <v>7.7899999999999996E-5</v>
      </c>
      <c r="D505" s="234">
        <v>7.7100000000000004E-5</v>
      </c>
      <c r="E505" s="212">
        <v>184805</v>
      </c>
      <c r="F505" s="212" t="s">
        <v>1924</v>
      </c>
      <c r="G505" s="232">
        <v>28511</v>
      </c>
      <c r="H505" s="220">
        <v>25368</v>
      </c>
      <c r="I505" s="232">
        <v>49040</v>
      </c>
      <c r="J505" s="231">
        <v>482</v>
      </c>
      <c r="K505" s="88">
        <f t="shared" si="21"/>
        <v>103401</v>
      </c>
      <c r="L505" s="50"/>
      <c r="M505" s="232">
        <v>957</v>
      </c>
      <c r="N505" s="232">
        <v>0</v>
      </c>
      <c r="O505" s="231">
        <v>10181</v>
      </c>
      <c r="P505" s="88">
        <f t="shared" si="22"/>
        <v>11138</v>
      </c>
      <c r="Q505" s="50"/>
      <c r="R505" s="232">
        <v>51334</v>
      </c>
      <c r="S505" s="231">
        <v>-3375</v>
      </c>
      <c r="T505" s="233">
        <v>47959</v>
      </c>
    </row>
    <row r="506" spans="1:20">
      <c r="A506" s="48">
        <v>95191</v>
      </c>
      <c r="B506" s="49" t="s">
        <v>2310</v>
      </c>
      <c r="C506" s="234">
        <v>4.2599999999999999E-5</v>
      </c>
      <c r="D506" s="234">
        <v>5.3999999999999998E-5</v>
      </c>
      <c r="E506" s="212">
        <v>101062</v>
      </c>
      <c r="F506" s="212" t="s">
        <v>1924</v>
      </c>
      <c r="G506" s="232">
        <v>15591</v>
      </c>
      <c r="H506" s="220">
        <v>13873</v>
      </c>
      <c r="I506" s="232">
        <v>26818</v>
      </c>
      <c r="J506" s="231">
        <v>9524</v>
      </c>
      <c r="K506" s="88">
        <f t="shared" si="21"/>
        <v>65806</v>
      </c>
      <c r="L506" s="50"/>
      <c r="M506" s="232">
        <v>523</v>
      </c>
      <c r="N506" s="232">
        <v>0</v>
      </c>
      <c r="O506" s="231">
        <v>3442</v>
      </c>
      <c r="P506" s="88">
        <f t="shared" si="22"/>
        <v>3965</v>
      </c>
      <c r="Q506" s="50"/>
      <c r="R506" s="232">
        <v>28072</v>
      </c>
      <c r="S506" s="231">
        <v>5235</v>
      </c>
      <c r="T506" s="233">
        <v>33307</v>
      </c>
    </row>
    <row r="507" spans="1:20">
      <c r="A507" s="48">
        <v>95201</v>
      </c>
      <c r="B507" s="49" t="s">
        <v>1203</v>
      </c>
      <c r="C507" s="234">
        <v>7.0259999999999995E-4</v>
      </c>
      <c r="D507" s="234">
        <v>7.0969999999999996E-4</v>
      </c>
      <c r="E507" s="212">
        <v>1666807</v>
      </c>
      <c r="F507" s="212" t="s">
        <v>1924</v>
      </c>
      <c r="G507" s="232">
        <v>257149</v>
      </c>
      <c r="H507" s="220">
        <v>228803</v>
      </c>
      <c r="I507" s="232">
        <v>442306</v>
      </c>
      <c r="J507" s="231">
        <v>4233</v>
      </c>
      <c r="K507" s="88">
        <f t="shared" si="21"/>
        <v>932491</v>
      </c>
      <c r="L507" s="50"/>
      <c r="M507" s="232">
        <v>8629</v>
      </c>
      <c r="N507" s="232">
        <v>0</v>
      </c>
      <c r="O507" s="231">
        <v>29894</v>
      </c>
      <c r="P507" s="88">
        <f t="shared" si="22"/>
        <v>38523</v>
      </c>
      <c r="Q507" s="50"/>
      <c r="R507" s="232">
        <v>462994</v>
      </c>
      <c r="S507" s="231">
        <v>-14817</v>
      </c>
      <c r="T507" s="233">
        <v>448177</v>
      </c>
    </row>
    <row r="508" spans="1:20">
      <c r="A508" s="48">
        <v>95204</v>
      </c>
      <c r="B508" s="49" t="s">
        <v>1204</v>
      </c>
      <c r="C508" s="234">
        <v>1.06E-5</v>
      </c>
      <c r="D508" s="234">
        <v>1.26E-5</v>
      </c>
      <c r="E508" s="212">
        <v>25147</v>
      </c>
      <c r="F508" s="212" t="s">
        <v>1924</v>
      </c>
      <c r="G508" s="232">
        <v>3880</v>
      </c>
      <c r="H508" s="220">
        <v>3452</v>
      </c>
      <c r="I508" s="232">
        <v>6673</v>
      </c>
      <c r="J508" s="231">
        <v>1368</v>
      </c>
      <c r="K508" s="88">
        <f t="shared" si="21"/>
        <v>15373</v>
      </c>
      <c r="L508" s="50"/>
      <c r="M508" s="232">
        <v>130</v>
      </c>
      <c r="N508" s="232">
        <v>0</v>
      </c>
      <c r="O508" s="231">
        <v>775</v>
      </c>
      <c r="P508" s="88">
        <f t="shared" si="22"/>
        <v>905</v>
      </c>
      <c r="Q508" s="50"/>
      <c r="R508" s="232">
        <v>6985</v>
      </c>
      <c r="S508" s="231">
        <v>-261</v>
      </c>
      <c r="T508" s="233">
        <v>6724</v>
      </c>
    </row>
    <row r="509" spans="1:20">
      <c r="A509" s="48">
        <v>95205</v>
      </c>
      <c r="B509" s="49" t="s">
        <v>1205</v>
      </c>
      <c r="C509" s="234">
        <v>1.7E-6</v>
      </c>
      <c r="D509" s="234">
        <v>4.5000000000000001E-6</v>
      </c>
      <c r="E509" s="212">
        <v>4033</v>
      </c>
      <c r="F509" s="212" t="s">
        <v>1924</v>
      </c>
      <c r="G509" s="232">
        <v>622</v>
      </c>
      <c r="H509" s="220">
        <v>553</v>
      </c>
      <c r="I509" s="232">
        <v>1070</v>
      </c>
      <c r="J509" s="231">
        <v>294</v>
      </c>
      <c r="K509" s="88">
        <f t="shared" si="21"/>
        <v>2539</v>
      </c>
      <c r="L509" s="50"/>
      <c r="M509" s="232">
        <v>21</v>
      </c>
      <c r="N509" s="232">
        <v>0</v>
      </c>
      <c r="O509" s="231">
        <v>949</v>
      </c>
      <c r="P509" s="88">
        <f t="shared" si="22"/>
        <v>970</v>
      </c>
      <c r="Q509" s="50"/>
      <c r="R509" s="232">
        <v>1120</v>
      </c>
      <c r="S509" s="231">
        <v>74</v>
      </c>
      <c r="T509" s="233">
        <v>1194</v>
      </c>
    </row>
    <row r="510" spans="1:20">
      <c r="A510" s="48">
        <v>95211</v>
      </c>
      <c r="B510" s="49" t="s">
        <v>2311</v>
      </c>
      <c r="C510" s="234">
        <v>5.4999999999999999E-6</v>
      </c>
      <c r="D510" s="234">
        <v>8.3999999999999992E-6</v>
      </c>
      <c r="E510" s="212">
        <v>13048</v>
      </c>
      <c r="F510" s="212" t="s">
        <v>1924</v>
      </c>
      <c r="G510" s="232">
        <v>2013</v>
      </c>
      <c r="H510" s="220">
        <v>1791</v>
      </c>
      <c r="I510" s="232">
        <v>3462</v>
      </c>
      <c r="J510" s="231">
        <v>946</v>
      </c>
      <c r="K510" s="88">
        <f t="shared" si="21"/>
        <v>8212</v>
      </c>
      <c r="L510" s="50"/>
      <c r="M510" s="232">
        <v>68</v>
      </c>
      <c r="N510" s="232">
        <v>0</v>
      </c>
      <c r="O510" s="231">
        <v>1758</v>
      </c>
      <c r="P510" s="88">
        <f t="shared" si="22"/>
        <v>1826</v>
      </c>
      <c r="Q510" s="50"/>
      <c r="R510" s="232">
        <v>3624</v>
      </c>
      <c r="S510" s="231">
        <v>-902</v>
      </c>
      <c r="T510" s="233">
        <v>2722</v>
      </c>
    </row>
    <row r="511" spans="1:20">
      <c r="A511" s="48">
        <v>95221</v>
      </c>
      <c r="B511" s="49" t="s">
        <v>2312</v>
      </c>
      <c r="C511" s="234">
        <v>5.7000000000000003E-5</v>
      </c>
      <c r="D511" s="234">
        <v>4.4100000000000001E-5</v>
      </c>
      <c r="E511" s="212">
        <v>135223</v>
      </c>
      <c r="F511" s="212" t="s">
        <v>1924</v>
      </c>
      <c r="G511" s="232">
        <v>20862</v>
      </c>
      <c r="H511" s="220">
        <v>18562</v>
      </c>
      <c r="I511" s="232">
        <v>35883</v>
      </c>
      <c r="J511" s="231">
        <v>20204</v>
      </c>
      <c r="K511" s="88">
        <f t="shared" si="21"/>
        <v>95511</v>
      </c>
      <c r="L511" s="50"/>
      <c r="M511" s="232">
        <v>700</v>
      </c>
      <c r="N511" s="232">
        <v>0</v>
      </c>
      <c r="O511" s="231">
        <v>6516</v>
      </c>
      <c r="P511" s="88">
        <f t="shared" si="22"/>
        <v>7216</v>
      </c>
      <c r="Q511" s="50"/>
      <c r="R511" s="232">
        <v>37561</v>
      </c>
      <c r="S511" s="231">
        <v>4121</v>
      </c>
      <c r="T511" s="233">
        <v>41682</v>
      </c>
    </row>
    <row r="512" spans="1:20">
      <c r="A512" s="48">
        <v>95301</v>
      </c>
      <c r="B512" s="49" t="s">
        <v>1208</v>
      </c>
      <c r="C512" s="234">
        <v>2.3362000000000001E-3</v>
      </c>
      <c r="D512" s="234">
        <v>2.3917999999999999E-3</v>
      </c>
      <c r="E512" s="212">
        <v>5542265</v>
      </c>
      <c r="F512" s="212" t="s">
        <v>1924</v>
      </c>
      <c r="G512" s="232">
        <v>855040</v>
      </c>
      <c r="H512" s="220">
        <v>760788</v>
      </c>
      <c r="I512" s="232">
        <v>1470703</v>
      </c>
      <c r="J512" s="231">
        <v>42774</v>
      </c>
      <c r="K512" s="88">
        <f t="shared" si="21"/>
        <v>3129305</v>
      </c>
      <c r="L512" s="50"/>
      <c r="M512" s="232">
        <v>28691</v>
      </c>
      <c r="N512" s="232">
        <v>0</v>
      </c>
      <c r="O512" s="231">
        <v>25264</v>
      </c>
      <c r="P512" s="88">
        <f t="shared" si="22"/>
        <v>53955</v>
      </c>
      <c r="Q512" s="50"/>
      <c r="R512" s="232">
        <v>1539493</v>
      </c>
      <c r="S512" s="231">
        <v>13159</v>
      </c>
      <c r="T512" s="233">
        <v>1552652</v>
      </c>
    </row>
    <row r="513" spans="1:20">
      <c r="A513" s="48">
        <v>95311</v>
      </c>
      <c r="B513" s="49" t="s">
        <v>1209</v>
      </c>
      <c r="C513" s="234">
        <v>2.6302999999999999E-3</v>
      </c>
      <c r="D513" s="234">
        <v>2.6873999999999999E-3</v>
      </c>
      <c r="E513" s="212">
        <v>6239971</v>
      </c>
      <c r="F513" s="212" t="s">
        <v>1924</v>
      </c>
      <c r="G513" s="232">
        <v>962679</v>
      </c>
      <c r="H513" s="220">
        <v>856562</v>
      </c>
      <c r="I513" s="232">
        <v>1655847</v>
      </c>
      <c r="J513" s="231">
        <v>41494</v>
      </c>
      <c r="K513" s="88">
        <f t="shared" si="21"/>
        <v>3516582</v>
      </c>
      <c r="L513" s="50"/>
      <c r="M513" s="232">
        <v>32303</v>
      </c>
      <c r="N513" s="232">
        <v>0</v>
      </c>
      <c r="O513" s="231">
        <v>58842</v>
      </c>
      <c r="P513" s="88">
        <f t="shared" si="22"/>
        <v>91145</v>
      </c>
      <c r="Q513" s="50"/>
      <c r="R513" s="232">
        <v>1733297</v>
      </c>
      <c r="S513" s="231">
        <v>-43357</v>
      </c>
      <c r="T513" s="233">
        <v>1689940</v>
      </c>
    </row>
    <row r="514" spans="1:20">
      <c r="A514" s="48">
        <v>95317</v>
      </c>
      <c r="B514" s="49" t="s">
        <v>1210</v>
      </c>
      <c r="C514" s="234">
        <v>4.32E-5</v>
      </c>
      <c r="D514" s="234">
        <v>4.8900000000000003E-5</v>
      </c>
      <c r="E514" s="212">
        <v>102485</v>
      </c>
      <c r="F514" s="212" t="s">
        <v>1924</v>
      </c>
      <c r="G514" s="232">
        <v>15811</v>
      </c>
      <c r="H514" s="220">
        <v>14068</v>
      </c>
      <c r="I514" s="232">
        <v>27196</v>
      </c>
      <c r="J514" s="231">
        <v>4826</v>
      </c>
      <c r="K514" s="88">
        <f t="shared" si="21"/>
        <v>61901</v>
      </c>
      <c r="L514" s="50"/>
      <c r="M514" s="232">
        <v>531</v>
      </c>
      <c r="N514" s="232">
        <v>0</v>
      </c>
      <c r="O514" s="231">
        <v>0</v>
      </c>
      <c r="P514" s="88">
        <f t="shared" si="22"/>
        <v>531</v>
      </c>
      <c r="Q514" s="50"/>
      <c r="R514" s="232">
        <v>28468</v>
      </c>
      <c r="S514" s="231">
        <v>2726</v>
      </c>
      <c r="T514" s="233">
        <v>31194</v>
      </c>
    </row>
    <row r="515" spans="1:20">
      <c r="A515" s="48">
        <v>95321</v>
      </c>
      <c r="B515" s="49" t="s">
        <v>2313</v>
      </c>
      <c r="C515" s="234">
        <v>5.1999999999999997E-5</v>
      </c>
      <c r="D515" s="234">
        <v>4.71E-5</v>
      </c>
      <c r="E515" s="212">
        <v>123362</v>
      </c>
      <c r="F515" s="212" t="s">
        <v>1924</v>
      </c>
      <c r="G515" s="232">
        <v>19032</v>
      </c>
      <c r="H515" s="220">
        <v>16934</v>
      </c>
      <c r="I515" s="232">
        <v>32735</v>
      </c>
      <c r="J515" s="231">
        <v>6589</v>
      </c>
      <c r="K515" s="88">
        <f t="shared" si="21"/>
        <v>75290</v>
      </c>
      <c r="L515" s="50"/>
      <c r="M515" s="232">
        <v>639</v>
      </c>
      <c r="N515" s="232">
        <v>0</v>
      </c>
      <c r="O515" s="231">
        <v>1618</v>
      </c>
      <c r="P515" s="88">
        <f t="shared" si="22"/>
        <v>2257</v>
      </c>
      <c r="Q515" s="50"/>
      <c r="R515" s="232">
        <v>34267</v>
      </c>
      <c r="S515" s="231">
        <v>2368</v>
      </c>
      <c r="T515" s="233">
        <v>36635</v>
      </c>
    </row>
    <row r="516" spans="1:20">
      <c r="A516" s="48">
        <v>95401</v>
      </c>
      <c r="B516" s="49" t="s">
        <v>1212</v>
      </c>
      <c r="C516" s="234">
        <v>2.8792000000000002E-3</v>
      </c>
      <c r="D516" s="234">
        <v>2.9992E-3</v>
      </c>
      <c r="E516" s="212">
        <v>6830447</v>
      </c>
      <c r="F516" s="212" t="s">
        <v>1924</v>
      </c>
      <c r="G516" s="232">
        <v>1053776</v>
      </c>
      <c r="H516" s="220">
        <v>937617</v>
      </c>
      <c r="I516" s="232">
        <v>1812537</v>
      </c>
      <c r="J516" s="231">
        <v>12696</v>
      </c>
      <c r="K516" s="88">
        <f t="shared" si="21"/>
        <v>3816626</v>
      </c>
      <c r="L516" s="50"/>
      <c r="M516" s="232">
        <v>35359</v>
      </c>
      <c r="N516" s="232">
        <v>0</v>
      </c>
      <c r="O516" s="231">
        <v>132713</v>
      </c>
      <c r="P516" s="88">
        <f t="shared" si="22"/>
        <v>168072</v>
      </c>
      <c r="Q516" s="50"/>
      <c r="R516" s="232">
        <v>1897315</v>
      </c>
      <c r="S516" s="231">
        <v>-19424</v>
      </c>
      <c r="T516" s="233">
        <v>1877891</v>
      </c>
    </row>
    <row r="517" spans="1:20">
      <c r="A517" s="48">
        <v>95404</v>
      </c>
      <c r="B517" s="49" t="s">
        <v>1213</v>
      </c>
      <c r="C517" s="234">
        <v>5.0000000000000002E-5</v>
      </c>
      <c r="D517" s="234">
        <v>5.3100000000000003E-5</v>
      </c>
      <c r="E517" s="212">
        <v>118617</v>
      </c>
      <c r="F517" s="212" t="s">
        <v>1924</v>
      </c>
      <c r="G517" s="232">
        <v>18300</v>
      </c>
      <c r="H517" s="220">
        <v>16283</v>
      </c>
      <c r="I517" s="232">
        <v>31476</v>
      </c>
      <c r="J517" s="231">
        <v>3211</v>
      </c>
      <c r="K517" s="88">
        <f t="shared" si="21"/>
        <v>69270</v>
      </c>
      <c r="L517" s="50"/>
      <c r="M517" s="232">
        <v>614</v>
      </c>
      <c r="N517" s="232">
        <v>0</v>
      </c>
      <c r="O517" s="231">
        <v>3328</v>
      </c>
      <c r="P517" s="88">
        <f t="shared" si="22"/>
        <v>3942</v>
      </c>
      <c r="Q517" s="50"/>
      <c r="R517" s="232">
        <v>32949</v>
      </c>
      <c r="S517" s="231">
        <v>1115</v>
      </c>
      <c r="T517" s="233">
        <v>34064</v>
      </c>
    </row>
    <row r="518" spans="1:20">
      <c r="A518" s="48">
        <v>95405</v>
      </c>
      <c r="B518" s="49" t="s">
        <v>1214</v>
      </c>
      <c r="C518" s="234">
        <v>1.7600000000000001E-5</v>
      </c>
      <c r="D518" s="234">
        <v>1.84E-5</v>
      </c>
      <c r="E518" s="212">
        <v>41753</v>
      </c>
      <c r="F518" s="212" t="s">
        <v>1924</v>
      </c>
      <c r="G518" s="232">
        <v>6442</v>
      </c>
      <c r="H518" s="220">
        <v>5731</v>
      </c>
      <c r="I518" s="232">
        <v>11080</v>
      </c>
      <c r="J518" s="231">
        <v>18233</v>
      </c>
      <c r="K518" s="88">
        <f t="shared" si="21"/>
        <v>41486</v>
      </c>
      <c r="L518" s="50"/>
      <c r="M518" s="232">
        <v>216</v>
      </c>
      <c r="N518" s="232">
        <v>0</v>
      </c>
      <c r="O518" s="231">
        <v>0</v>
      </c>
      <c r="P518" s="88">
        <f t="shared" si="22"/>
        <v>216</v>
      </c>
      <c r="Q518" s="50"/>
      <c r="R518" s="232">
        <v>11598</v>
      </c>
      <c r="S518" s="231">
        <v>7516</v>
      </c>
      <c r="T518" s="233">
        <v>19114</v>
      </c>
    </row>
    <row r="519" spans="1:20">
      <c r="A519" s="48">
        <v>95411</v>
      </c>
      <c r="B519" s="49" t="s">
        <v>1215</v>
      </c>
      <c r="C519" s="234">
        <v>2.1646E-3</v>
      </c>
      <c r="D519" s="234">
        <v>2.2173000000000002E-3</v>
      </c>
      <c r="E519" s="212">
        <v>5135171</v>
      </c>
      <c r="F519" s="212" t="s">
        <v>1924</v>
      </c>
      <c r="G519" s="232">
        <v>792235</v>
      </c>
      <c r="H519" s="220">
        <v>704906</v>
      </c>
      <c r="I519" s="232">
        <v>1362676</v>
      </c>
      <c r="J519" s="231">
        <v>8705</v>
      </c>
      <c r="K519" s="88">
        <f t="shared" si="21"/>
        <v>2868522</v>
      </c>
      <c r="L519" s="50"/>
      <c r="M519" s="232">
        <v>26583</v>
      </c>
      <c r="N519" s="232">
        <v>0</v>
      </c>
      <c r="O519" s="231">
        <v>37742</v>
      </c>
      <c r="P519" s="88">
        <f t="shared" si="22"/>
        <v>64325</v>
      </c>
      <c r="Q519" s="50"/>
      <c r="R519" s="232">
        <v>1426413</v>
      </c>
      <c r="S519" s="231">
        <v>-25353</v>
      </c>
      <c r="T519" s="233">
        <v>1401060</v>
      </c>
    </row>
    <row r="520" spans="1:20">
      <c r="A520" s="48">
        <v>95412</v>
      </c>
      <c r="B520" s="49" t="s">
        <v>1216</v>
      </c>
      <c r="C520" s="234">
        <v>0</v>
      </c>
      <c r="D520" s="234">
        <v>0</v>
      </c>
      <c r="E520" s="212">
        <v>0</v>
      </c>
      <c r="F520" s="212" t="s">
        <v>1924</v>
      </c>
      <c r="G520" s="232">
        <v>0</v>
      </c>
      <c r="H520" s="220">
        <v>0</v>
      </c>
      <c r="I520" s="232">
        <v>0</v>
      </c>
      <c r="J520" s="231">
        <v>0</v>
      </c>
      <c r="K520" s="88">
        <f t="shared" si="21"/>
        <v>0</v>
      </c>
      <c r="L520" s="50"/>
      <c r="M520" s="232">
        <v>0</v>
      </c>
      <c r="N520" s="232">
        <v>0</v>
      </c>
      <c r="O520" s="231">
        <v>9383</v>
      </c>
      <c r="P520" s="88">
        <f t="shared" si="22"/>
        <v>9383</v>
      </c>
      <c r="Q520" s="50"/>
      <c r="R520" s="232">
        <v>0</v>
      </c>
      <c r="S520" s="231">
        <v>-18447</v>
      </c>
      <c r="T520" s="233">
        <v>-18447</v>
      </c>
    </row>
    <row r="521" spans="1:20">
      <c r="A521" s="48">
        <v>95413</v>
      </c>
      <c r="B521" s="49" t="s">
        <v>2757</v>
      </c>
      <c r="C521" s="234">
        <v>2.6879999999999997E-4</v>
      </c>
      <c r="D521" s="234">
        <v>2.5809999999999999E-4</v>
      </c>
      <c r="E521" s="212">
        <v>637686</v>
      </c>
      <c r="F521" s="212" t="s">
        <v>1924</v>
      </c>
      <c r="G521" s="232">
        <v>98380</v>
      </c>
      <c r="H521" s="220">
        <v>87535</v>
      </c>
      <c r="I521" s="232">
        <v>169217</v>
      </c>
      <c r="J521" s="231">
        <v>167873</v>
      </c>
      <c r="K521" s="88">
        <f t="shared" si="21"/>
        <v>523005</v>
      </c>
      <c r="L521" s="50"/>
      <c r="M521" s="232">
        <v>3301</v>
      </c>
      <c r="N521" s="232">
        <v>0</v>
      </c>
      <c r="O521" s="231">
        <v>0</v>
      </c>
      <c r="P521" s="88">
        <f t="shared" si="22"/>
        <v>3301</v>
      </c>
      <c r="Q521" s="50"/>
      <c r="R521" s="232">
        <v>177132</v>
      </c>
      <c r="S521" s="231">
        <v>79192</v>
      </c>
      <c r="T521" s="233">
        <v>256324</v>
      </c>
    </row>
    <row r="522" spans="1:20">
      <c r="A522" s="48">
        <v>95415</v>
      </c>
      <c r="B522" s="49" t="s">
        <v>1218</v>
      </c>
      <c r="C522" s="234">
        <v>7.1099999999999994E-5</v>
      </c>
      <c r="D522" s="234">
        <v>6.2899999999999997E-5</v>
      </c>
      <c r="E522" s="212">
        <v>168674</v>
      </c>
      <c r="F522" s="212" t="s">
        <v>1924</v>
      </c>
      <c r="G522" s="232">
        <v>26022</v>
      </c>
      <c r="H522" s="220">
        <v>23154</v>
      </c>
      <c r="I522" s="232">
        <v>44759</v>
      </c>
      <c r="J522" s="231">
        <v>3142</v>
      </c>
      <c r="K522" s="88">
        <f t="shared" si="21"/>
        <v>97077</v>
      </c>
      <c r="L522" s="50"/>
      <c r="M522" s="232">
        <v>873</v>
      </c>
      <c r="N522" s="232">
        <v>0</v>
      </c>
      <c r="O522" s="231">
        <v>11354</v>
      </c>
      <c r="P522" s="88">
        <f t="shared" si="22"/>
        <v>12227</v>
      </c>
      <c r="Q522" s="50"/>
      <c r="R522" s="232">
        <v>46853</v>
      </c>
      <c r="S522" s="231">
        <v>567</v>
      </c>
      <c r="T522" s="233">
        <v>47420</v>
      </c>
    </row>
    <row r="523" spans="1:20">
      <c r="A523" s="48">
        <v>95421</v>
      </c>
      <c r="B523" s="49" t="s">
        <v>2314</v>
      </c>
      <c r="C523" s="234">
        <v>3.8300000000000003E-5</v>
      </c>
      <c r="D523" s="234">
        <v>3.8699999999999999E-5</v>
      </c>
      <c r="E523" s="212">
        <v>90861</v>
      </c>
      <c r="F523" s="212" t="s">
        <v>1924</v>
      </c>
      <c r="G523" s="232">
        <v>14018</v>
      </c>
      <c r="H523" s="220">
        <v>12473</v>
      </c>
      <c r="I523" s="232">
        <v>24111</v>
      </c>
      <c r="J523" s="231">
        <v>560</v>
      </c>
      <c r="K523" s="88">
        <f t="shared" si="21"/>
        <v>51162</v>
      </c>
      <c r="L523" s="50"/>
      <c r="M523" s="232">
        <v>470</v>
      </c>
      <c r="N523" s="232">
        <v>0</v>
      </c>
      <c r="O523" s="231">
        <v>4403</v>
      </c>
      <c r="P523" s="88">
        <f t="shared" si="22"/>
        <v>4873</v>
      </c>
      <c r="Q523" s="50"/>
      <c r="R523" s="232">
        <v>25239</v>
      </c>
      <c r="S523" s="231">
        <v>-4796</v>
      </c>
      <c r="T523" s="233">
        <v>20443</v>
      </c>
    </row>
    <row r="524" spans="1:20">
      <c r="A524" s="48">
        <v>95431</v>
      </c>
      <c r="B524" s="49" t="s">
        <v>2315</v>
      </c>
      <c r="C524" s="234">
        <v>1.4630000000000001E-4</v>
      </c>
      <c r="D524" s="234">
        <v>1.5300000000000001E-4</v>
      </c>
      <c r="E524" s="212">
        <v>347074</v>
      </c>
      <c r="F524" s="212" t="s">
        <v>1924</v>
      </c>
      <c r="G524" s="232">
        <v>53545</v>
      </c>
      <c r="H524" s="220">
        <v>47643</v>
      </c>
      <c r="I524" s="232">
        <v>92100</v>
      </c>
      <c r="J524" s="231">
        <v>0</v>
      </c>
      <c r="K524" s="88">
        <f t="shared" si="21"/>
        <v>193288</v>
      </c>
      <c r="L524" s="50"/>
      <c r="M524" s="232">
        <v>1797</v>
      </c>
      <c r="N524" s="232">
        <v>0</v>
      </c>
      <c r="O524" s="231">
        <v>33027</v>
      </c>
      <c r="P524" s="88">
        <f t="shared" si="22"/>
        <v>34824</v>
      </c>
      <c r="Q524" s="50"/>
      <c r="R524" s="232">
        <v>96408</v>
      </c>
      <c r="S524" s="231">
        <v>-12213</v>
      </c>
      <c r="T524" s="233">
        <v>84195</v>
      </c>
    </row>
    <row r="525" spans="1:20">
      <c r="A525" s="48">
        <v>95501</v>
      </c>
      <c r="B525" s="49" t="s">
        <v>1221</v>
      </c>
      <c r="C525" s="234">
        <v>4.8900999999999997E-3</v>
      </c>
      <c r="D525" s="234">
        <v>4.8764999999999998E-3</v>
      </c>
      <c r="E525" s="212">
        <v>11600990</v>
      </c>
      <c r="F525" s="212" t="s">
        <v>1924</v>
      </c>
      <c r="G525" s="232">
        <v>1789757</v>
      </c>
      <c r="H525" s="220">
        <v>1592471</v>
      </c>
      <c r="I525" s="232">
        <v>3078455</v>
      </c>
      <c r="J525" s="231">
        <v>0</v>
      </c>
      <c r="K525" s="88">
        <f t="shared" si="21"/>
        <v>6460683</v>
      </c>
      <c r="L525" s="50"/>
      <c r="M525" s="232">
        <v>60055</v>
      </c>
      <c r="N525" s="232">
        <v>0</v>
      </c>
      <c r="O525" s="231">
        <v>141278</v>
      </c>
      <c r="P525" s="88">
        <f t="shared" si="22"/>
        <v>201333</v>
      </c>
      <c r="Q525" s="50"/>
      <c r="R525" s="232">
        <v>3222444</v>
      </c>
      <c r="S525" s="231">
        <v>-23300</v>
      </c>
      <c r="T525" s="233">
        <v>3199144</v>
      </c>
    </row>
    <row r="526" spans="1:20">
      <c r="A526" s="48">
        <v>95504</v>
      </c>
      <c r="B526" s="49" t="s">
        <v>1222</v>
      </c>
      <c r="C526" s="234">
        <v>8.8000000000000004E-6</v>
      </c>
      <c r="D526" s="234">
        <v>9.3999999999999998E-6</v>
      </c>
      <c r="E526" s="212">
        <v>20877</v>
      </c>
      <c r="F526" s="212" t="s">
        <v>1924</v>
      </c>
      <c r="G526" s="232">
        <v>3221</v>
      </c>
      <c r="H526" s="220">
        <v>2866</v>
      </c>
      <c r="I526" s="232">
        <v>5540</v>
      </c>
      <c r="J526" s="231">
        <v>9317</v>
      </c>
      <c r="K526" s="88">
        <f t="shared" si="21"/>
        <v>20944</v>
      </c>
      <c r="L526" s="50"/>
      <c r="M526" s="232">
        <v>108</v>
      </c>
      <c r="N526" s="232">
        <v>0</v>
      </c>
      <c r="O526" s="231">
        <v>0</v>
      </c>
      <c r="P526" s="88">
        <f t="shared" si="22"/>
        <v>108</v>
      </c>
      <c r="Q526" s="50"/>
      <c r="R526" s="232">
        <v>5799</v>
      </c>
      <c r="S526" s="231">
        <v>4040</v>
      </c>
      <c r="T526" s="233">
        <v>9839</v>
      </c>
    </row>
    <row r="527" spans="1:20">
      <c r="A527" s="48">
        <v>95511</v>
      </c>
      <c r="B527" s="49" t="s">
        <v>1223</v>
      </c>
      <c r="C527" s="234">
        <v>9.5339999999999997E-4</v>
      </c>
      <c r="D527" s="234">
        <v>9.7460000000000005E-4</v>
      </c>
      <c r="E527" s="212">
        <v>2261791</v>
      </c>
      <c r="F527" s="212" t="s">
        <v>1924</v>
      </c>
      <c r="G527" s="232">
        <v>348941</v>
      </c>
      <c r="H527" s="220">
        <v>310477</v>
      </c>
      <c r="I527" s="232">
        <v>600192</v>
      </c>
      <c r="J527" s="231">
        <v>48211</v>
      </c>
      <c r="K527" s="88">
        <f t="shared" si="21"/>
        <v>1307821</v>
      </c>
      <c r="L527" s="50"/>
      <c r="M527" s="232">
        <v>11709</v>
      </c>
      <c r="N527" s="232">
        <v>0</v>
      </c>
      <c r="O527" s="231">
        <v>32399</v>
      </c>
      <c r="P527" s="88">
        <f t="shared" si="22"/>
        <v>44108</v>
      </c>
      <c r="Q527" s="50"/>
      <c r="R527" s="232">
        <v>628265</v>
      </c>
      <c r="S527" s="231">
        <v>103</v>
      </c>
      <c r="T527" s="233">
        <v>628368</v>
      </c>
    </row>
    <row r="528" spans="1:20">
      <c r="A528" s="48">
        <v>95513</v>
      </c>
      <c r="B528" s="49" t="s">
        <v>1224</v>
      </c>
      <c r="C528" s="234">
        <v>4.5399999999999999E-5</v>
      </c>
      <c r="D528" s="234">
        <v>4.6699999999999997E-5</v>
      </c>
      <c r="E528" s="212">
        <v>107704</v>
      </c>
      <c r="F528" s="212" t="s">
        <v>1924</v>
      </c>
      <c r="G528" s="232">
        <v>16616</v>
      </c>
      <c r="H528" s="220">
        <v>14785</v>
      </c>
      <c r="I528" s="232">
        <v>28581</v>
      </c>
      <c r="J528" s="231">
        <v>21477</v>
      </c>
      <c r="K528" s="88">
        <f t="shared" si="21"/>
        <v>81459</v>
      </c>
      <c r="L528" s="50"/>
      <c r="M528" s="232">
        <v>558</v>
      </c>
      <c r="N528" s="232">
        <v>0</v>
      </c>
      <c r="O528" s="231">
        <v>0</v>
      </c>
      <c r="P528" s="88">
        <f t="shared" si="22"/>
        <v>558</v>
      </c>
      <c r="Q528" s="50"/>
      <c r="R528" s="232">
        <v>29917</v>
      </c>
      <c r="S528" s="231">
        <v>11276</v>
      </c>
      <c r="T528" s="233">
        <v>41193</v>
      </c>
    </row>
    <row r="529" spans="1:20">
      <c r="A529" s="48">
        <v>95517</v>
      </c>
      <c r="B529" s="49" t="s">
        <v>2316</v>
      </c>
      <c r="C529" s="234">
        <v>1.88E-5</v>
      </c>
      <c r="D529" s="234">
        <v>2.4499999999999999E-5</v>
      </c>
      <c r="E529" s="212">
        <v>44600</v>
      </c>
      <c r="F529" s="212" t="s">
        <v>1924</v>
      </c>
      <c r="G529" s="232">
        <v>6881</v>
      </c>
      <c r="H529" s="220">
        <v>6122</v>
      </c>
      <c r="I529" s="232">
        <v>11835</v>
      </c>
      <c r="J529" s="231">
        <v>11454</v>
      </c>
      <c r="K529" s="88">
        <f t="shared" si="21"/>
        <v>36292</v>
      </c>
      <c r="L529" s="50"/>
      <c r="M529" s="232">
        <v>231</v>
      </c>
      <c r="N529" s="232">
        <v>0</v>
      </c>
      <c r="O529" s="231">
        <v>2556</v>
      </c>
      <c r="P529" s="88">
        <f t="shared" si="22"/>
        <v>2787</v>
      </c>
      <c r="Q529" s="50"/>
      <c r="R529" s="232">
        <v>12389</v>
      </c>
      <c r="S529" s="231">
        <v>5895</v>
      </c>
      <c r="T529" s="233">
        <v>18284</v>
      </c>
    </row>
    <row r="530" spans="1:20">
      <c r="A530" s="48">
        <v>95601</v>
      </c>
      <c r="B530" s="49" t="s">
        <v>1226</v>
      </c>
      <c r="C530" s="234">
        <v>2.6251999999999998E-3</v>
      </c>
      <c r="D530" s="234">
        <v>2.6280000000000001E-3</v>
      </c>
      <c r="E530" s="212">
        <v>6227872</v>
      </c>
      <c r="F530" s="212" t="s">
        <v>1924</v>
      </c>
      <c r="G530" s="232">
        <v>960813</v>
      </c>
      <c r="H530" s="220">
        <v>854902</v>
      </c>
      <c r="I530" s="232">
        <v>1652637</v>
      </c>
      <c r="J530" s="231">
        <v>33391</v>
      </c>
      <c r="K530" s="88">
        <f t="shared" si="21"/>
        <v>3501743</v>
      </c>
      <c r="L530" s="50"/>
      <c r="M530" s="232">
        <v>32240</v>
      </c>
      <c r="N530" s="232">
        <v>0</v>
      </c>
      <c r="O530" s="231">
        <v>33658</v>
      </c>
      <c r="P530" s="88">
        <f t="shared" si="22"/>
        <v>65898</v>
      </c>
      <c r="Q530" s="50"/>
      <c r="R530" s="232">
        <v>1729936</v>
      </c>
      <c r="S530" s="231">
        <v>42593</v>
      </c>
      <c r="T530" s="233">
        <v>1772529</v>
      </c>
    </row>
    <row r="531" spans="1:20">
      <c r="A531" s="48">
        <v>95611</v>
      </c>
      <c r="B531" s="49" t="s">
        <v>2317</v>
      </c>
      <c r="C531" s="234">
        <v>3.8440000000000002E-4</v>
      </c>
      <c r="D531" s="234">
        <v>4.0660000000000002E-4</v>
      </c>
      <c r="E531" s="212">
        <v>911928</v>
      </c>
      <c r="F531" s="212" t="s">
        <v>1924</v>
      </c>
      <c r="G531" s="232">
        <v>140689</v>
      </c>
      <c r="H531" s="220">
        <v>125180</v>
      </c>
      <c r="I531" s="232">
        <v>241991</v>
      </c>
      <c r="J531" s="231">
        <v>5465</v>
      </c>
      <c r="K531" s="88">
        <f t="shared" ref="K531:K594" si="23">G531+H531+I531+J531</f>
        <v>513325</v>
      </c>
      <c r="L531" s="50"/>
      <c r="M531" s="232">
        <v>4721</v>
      </c>
      <c r="N531" s="232">
        <v>0</v>
      </c>
      <c r="O531" s="231">
        <v>4327</v>
      </c>
      <c r="P531" s="88">
        <f t="shared" ref="P531:P594" si="24">M531+N531+O531</f>
        <v>9048</v>
      </c>
      <c r="Q531" s="50"/>
      <c r="R531" s="232">
        <v>253309</v>
      </c>
      <c r="S531" s="231">
        <v>529</v>
      </c>
      <c r="T531" s="233">
        <v>253838</v>
      </c>
    </row>
    <row r="532" spans="1:20">
      <c r="A532" s="48">
        <v>95617</v>
      </c>
      <c r="B532" s="49" t="s">
        <v>1228</v>
      </c>
      <c r="C532" s="234">
        <v>1.59E-5</v>
      </c>
      <c r="D532" s="234">
        <v>1.6399999999999999E-5</v>
      </c>
      <c r="E532" s="212">
        <v>37720</v>
      </c>
      <c r="F532" s="212" t="s">
        <v>1924</v>
      </c>
      <c r="G532" s="232">
        <v>5819</v>
      </c>
      <c r="H532" s="220">
        <v>5178</v>
      </c>
      <c r="I532" s="232">
        <v>10009</v>
      </c>
      <c r="J532" s="231">
        <v>916</v>
      </c>
      <c r="K532" s="88">
        <f t="shared" si="23"/>
        <v>21922</v>
      </c>
      <c r="L532" s="50"/>
      <c r="M532" s="232">
        <v>195</v>
      </c>
      <c r="N532" s="232">
        <v>0</v>
      </c>
      <c r="O532" s="231">
        <v>417</v>
      </c>
      <c r="P532" s="88">
        <f t="shared" si="24"/>
        <v>612</v>
      </c>
      <c r="Q532" s="50"/>
      <c r="R532" s="232">
        <v>10478</v>
      </c>
      <c r="S532" s="231">
        <v>-554</v>
      </c>
      <c r="T532" s="233">
        <v>9924</v>
      </c>
    </row>
    <row r="533" spans="1:20">
      <c r="A533" s="48">
        <v>95621</v>
      </c>
      <c r="B533" s="49" t="s">
        <v>2318</v>
      </c>
      <c r="C533" s="234">
        <v>4.9019999999999999E-4</v>
      </c>
      <c r="D533" s="234">
        <v>4.5360000000000002E-4</v>
      </c>
      <c r="E533" s="212">
        <v>1162922</v>
      </c>
      <c r="F533" s="212" t="s">
        <v>1924</v>
      </c>
      <c r="G533" s="232">
        <v>179411</v>
      </c>
      <c r="H533" s="220">
        <v>159635</v>
      </c>
      <c r="I533" s="232">
        <v>308595</v>
      </c>
      <c r="J533" s="231">
        <v>42371</v>
      </c>
      <c r="K533" s="88">
        <f t="shared" si="23"/>
        <v>690012</v>
      </c>
      <c r="L533" s="50"/>
      <c r="M533" s="232">
        <v>6020</v>
      </c>
      <c r="N533" s="232">
        <v>0</v>
      </c>
      <c r="O533" s="231">
        <v>2706</v>
      </c>
      <c r="P533" s="88">
        <f t="shared" si="24"/>
        <v>8726</v>
      </c>
      <c r="Q533" s="50"/>
      <c r="R533" s="232">
        <v>323029</v>
      </c>
      <c r="S533" s="231">
        <v>12042</v>
      </c>
      <c r="T533" s="233">
        <v>335071</v>
      </c>
    </row>
    <row r="534" spans="1:20">
      <c r="A534" s="48">
        <v>95701</v>
      </c>
      <c r="B534" s="49" t="s">
        <v>1230</v>
      </c>
      <c r="C534" s="234">
        <v>1.3044E-3</v>
      </c>
      <c r="D534" s="234">
        <v>1.3747E-3</v>
      </c>
      <c r="E534" s="212">
        <v>3094483</v>
      </c>
      <c r="F534" s="212" t="s">
        <v>1924</v>
      </c>
      <c r="G534" s="232">
        <v>477405</v>
      </c>
      <c r="H534" s="220">
        <v>424780</v>
      </c>
      <c r="I534" s="232">
        <v>821156</v>
      </c>
      <c r="J534" s="231">
        <v>34377</v>
      </c>
      <c r="K534" s="88">
        <f t="shared" si="23"/>
        <v>1757718</v>
      </c>
      <c r="L534" s="50"/>
      <c r="M534" s="232">
        <v>16019</v>
      </c>
      <c r="N534" s="232">
        <v>0</v>
      </c>
      <c r="O534" s="231">
        <v>77258</v>
      </c>
      <c r="P534" s="88">
        <f t="shared" si="24"/>
        <v>93277</v>
      </c>
      <c r="Q534" s="50"/>
      <c r="R534" s="232">
        <v>859564</v>
      </c>
      <c r="S534" s="231">
        <v>9205</v>
      </c>
      <c r="T534" s="233">
        <v>868769</v>
      </c>
    </row>
    <row r="535" spans="1:20">
      <c r="A535" s="48">
        <v>95711</v>
      </c>
      <c r="B535" s="49" t="s">
        <v>2319</v>
      </c>
      <c r="C535" s="234">
        <v>1.4349999999999999E-4</v>
      </c>
      <c r="D535" s="234">
        <v>1.394E-4</v>
      </c>
      <c r="E535" s="212">
        <v>340431</v>
      </c>
      <c r="F535" s="212" t="s">
        <v>1924</v>
      </c>
      <c r="G535" s="232">
        <v>52520</v>
      </c>
      <c r="H535" s="220">
        <v>46731</v>
      </c>
      <c r="I535" s="232">
        <v>90337</v>
      </c>
      <c r="J535" s="231">
        <v>2879</v>
      </c>
      <c r="K535" s="88">
        <f t="shared" si="23"/>
        <v>192467</v>
      </c>
      <c r="L535" s="50"/>
      <c r="M535" s="232">
        <v>1762</v>
      </c>
      <c r="N535" s="232">
        <v>0</v>
      </c>
      <c r="O535" s="231">
        <v>9110</v>
      </c>
      <c r="P535" s="88">
        <f t="shared" si="24"/>
        <v>10872</v>
      </c>
      <c r="Q535" s="50"/>
      <c r="R535" s="232">
        <v>94563</v>
      </c>
      <c r="S535" s="231">
        <v>468</v>
      </c>
      <c r="T535" s="233">
        <v>95031</v>
      </c>
    </row>
    <row r="536" spans="1:20">
      <c r="A536" s="48">
        <v>95721</v>
      </c>
      <c r="B536" s="49" t="s">
        <v>2320</v>
      </c>
      <c r="C536" s="234">
        <v>6.7799999999999995E-5</v>
      </c>
      <c r="D536" s="234">
        <v>6.7600000000000003E-5</v>
      </c>
      <c r="E536" s="212">
        <v>160845</v>
      </c>
      <c r="F536" s="212" t="s">
        <v>1924</v>
      </c>
      <c r="G536" s="232">
        <v>24815</v>
      </c>
      <c r="H536" s="220">
        <v>22080</v>
      </c>
      <c r="I536" s="232">
        <v>42682</v>
      </c>
      <c r="J536" s="231">
        <v>0</v>
      </c>
      <c r="K536" s="88">
        <f t="shared" si="23"/>
        <v>89577</v>
      </c>
      <c r="L536" s="50"/>
      <c r="M536" s="232">
        <v>833</v>
      </c>
      <c r="N536" s="232">
        <v>0</v>
      </c>
      <c r="O536" s="231">
        <v>6588</v>
      </c>
      <c r="P536" s="88">
        <f t="shared" si="24"/>
        <v>7421</v>
      </c>
      <c r="Q536" s="50"/>
      <c r="R536" s="232">
        <v>44678</v>
      </c>
      <c r="S536" s="231">
        <v>-4986</v>
      </c>
      <c r="T536" s="233">
        <v>39692</v>
      </c>
    </row>
    <row r="537" spans="1:20">
      <c r="A537" s="48">
        <v>95733</v>
      </c>
      <c r="B537" s="49" t="s">
        <v>1233</v>
      </c>
      <c r="C537" s="234">
        <v>1.5500000000000001E-5</v>
      </c>
      <c r="D537" s="234">
        <v>1.5400000000000002E-5</v>
      </c>
      <c r="E537" s="212">
        <v>36771</v>
      </c>
      <c r="F537" s="212" t="s">
        <v>1924</v>
      </c>
      <c r="G537" s="232">
        <v>5673</v>
      </c>
      <c r="H537" s="220">
        <v>5047</v>
      </c>
      <c r="I537" s="232">
        <v>9758</v>
      </c>
      <c r="J537" s="231">
        <v>293</v>
      </c>
      <c r="K537" s="88">
        <f t="shared" si="23"/>
        <v>20771</v>
      </c>
      <c r="L537" s="50"/>
      <c r="M537" s="232">
        <v>190</v>
      </c>
      <c r="N537" s="232">
        <v>0</v>
      </c>
      <c r="O537" s="231">
        <v>329</v>
      </c>
      <c r="P537" s="88">
        <f t="shared" si="24"/>
        <v>519</v>
      </c>
      <c r="Q537" s="50"/>
      <c r="R537" s="232">
        <v>10214</v>
      </c>
      <c r="S537" s="231">
        <v>222</v>
      </c>
      <c r="T537" s="233">
        <v>10436</v>
      </c>
    </row>
    <row r="538" spans="1:20">
      <c r="A538" s="48">
        <v>95801</v>
      </c>
      <c r="B538" s="49" t="s">
        <v>1234</v>
      </c>
      <c r="C538" s="234">
        <v>9.7999999999999997E-4</v>
      </c>
      <c r="D538" s="234">
        <v>9.6310000000000005E-4</v>
      </c>
      <c r="E538" s="212">
        <v>2324895</v>
      </c>
      <c r="F538" s="212" t="s">
        <v>1924</v>
      </c>
      <c r="G538" s="232">
        <v>358676</v>
      </c>
      <c r="H538" s="220">
        <v>319139</v>
      </c>
      <c r="I538" s="232">
        <v>616937</v>
      </c>
      <c r="J538" s="231">
        <v>66360</v>
      </c>
      <c r="K538" s="88">
        <f t="shared" si="23"/>
        <v>1361112</v>
      </c>
      <c r="L538" s="50"/>
      <c r="M538" s="232">
        <v>12035</v>
      </c>
      <c r="N538" s="232">
        <v>0</v>
      </c>
      <c r="O538" s="231">
        <v>165</v>
      </c>
      <c r="P538" s="88">
        <f t="shared" si="24"/>
        <v>12200</v>
      </c>
      <c r="Q538" s="50"/>
      <c r="R538" s="232">
        <v>645794</v>
      </c>
      <c r="S538" s="231">
        <v>20070</v>
      </c>
      <c r="T538" s="233">
        <v>665864</v>
      </c>
    </row>
    <row r="539" spans="1:20">
      <c r="A539" s="48">
        <v>95802</v>
      </c>
      <c r="B539" s="49" t="s">
        <v>2758</v>
      </c>
      <c r="C539" s="234">
        <v>5.4E-6</v>
      </c>
      <c r="D539" s="234">
        <v>6.1E-6</v>
      </c>
      <c r="E539" s="212">
        <v>12811</v>
      </c>
      <c r="F539" s="212" t="s">
        <v>1924</v>
      </c>
      <c r="G539" s="232">
        <v>1976</v>
      </c>
      <c r="H539" s="220">
        <v>1759</v>
      </c>
      <c r="I539" s="232">
        <v>3399</v>
      </c>
      <c r="J539" s="231">
        <v>4124</v>
      </c>
      <c r="K539" s="88">
        <f t="shared" si="23"/>
        <v>11258</v>
      </c>
      <c r="L539" s="50"/>
      <c r="M539" s="232">
        <v>66</v>
      </c>
      <c r="N539" s="232">
        <v>0</v>
      </c>
      <c r="O539" s="231">
        <v>0</v>
      </c>
      <c r="P539" s="88">
        <f t="shared" si="24"/>
        <v>66</v>
      </c>
      <c r="Q539" s="50"/>
      <c r="R539" s="232">
        <v>3558</v>
      </c>
      <c r="S539" s="231">
        <v>434</v>
      </c>
      <c r="T539" s="233">
        <v>3992</v>
      </c>
    </row>
    <row r="540" spans="1:20">
      <c r="A540" s="48">
        <v>95804</v>
      </c>
      <c r="B540" s="49" t="s">
        <v>1236</v>
      </c>
      <c r="C540" s="234">
        <v>2.1699999999999999E-5</v>
      </c>
      <c r="D540" s="234">
        <v>2.19E-5</v>
      </c>
      <c r="E540" s="213">
        <v>51480</v>
      </c>
      <c r="F540" s="213" t="s">
        <v>1924</v>
      </c>
      <c r="G540" s="232">
        <v>7942</v>
      </c>
      <c r="H540" s="220">
        <v>7067</v>
      </c>
      <c r="I540" s="232">
        <v>13661</v>
      </c>
      <c r="J540" s="231">
        <v>2008</v>
      </c>
      <c r="K540" s="88">
        <f t="shared" si="23"/>
        <v>30678</v>
      </c>
      <c r="L540" s="50"/>
      <c r="M540" s="232">
        <v>266</v>
      </c>
      <c r="N540" s="232">
        <v>0</v>
      </c>
      <c r="O540" s="231">
        <v>2353</v>
      </c>
      <c r="P540" s="88">
        <f t="shared" si="24"/>
        <v>2619</v>
      </c>
      <c r="Q540" s="50"/>
      <c r="R540" s="232">
        <v>14300</v>
      </c>
      <c r="S540" s="231">
        <v>1035</v>
      </c>
      <c r="T540" s="233">
        <v>15335</v>
      </c>
    </row>
    <row r="541" spans="1:20">
      <c r="A541" s="48">
        <v>95811</v>
      </c>
      <c r="B541" s="49" t="s">
        <v>2321</v>
      </c>
      <c r="C541" s="234">
        <v>5.2729999999999997E-4</v>
      </c>
      <c r="D541" s="234">
        <v>5.3129999999999996E-4</v>
      </c>
      <c r="E541" s="213">
        <v>1250936</v>
      </c>
      <c r="F541" s="213" t="s">
        <v>1924</v>
      </c>
      <c r="G541" s="232">
        <v>192990</v>
      </c>
      <c r="H541" s="220">
        <v>171716</v>
      </c>
      <c r="I541" s="232">
        <v>331950</v>
      </c>
      <c r="J541" s="231">
        <v>1612</v>
      </c>
      <c r="K541" s="88">
        <f t="shared" si="23"/>
        <v>698268</v>
      </c>
      <c r="L541" s="50"/>
      <c r="M541" s="232">
        <v>6476</v>
      </c>
      <c r="N541" s="232">
        <v>0</v>
      </c>
      <c r="O541" s="231">
        <v>2962</v>
      </c>
      <c r="P541" s="88">
        <f t="shared" si="24"/>
        <v>9438</v>
      </c>
      <c r="Q541" s="50"/>
      <c r="R541" s="232">
        <v>347476</v>
      </c>
      <c r="S541" s="231">
        <v>-1308</v>
      </c>
      <c r="T541" s="233">
        <v>346168</v>
      </c>
    </row>
    <row r="542" spans="1:20">
      <c r="A542" s="48">
        <v>95813</v>
      </c>
      <c r="B542" s="49" t="s">
        <v>1238</v>
      </c>
      <c r="C542" s="234">
        <v>5.0699999999999999E-5</v>
      </c>
      <c r="D542" s="234">
        <v>4.88E-5</v>
      </c>
      <c r="E542" s="213">
        <v>120278</v>
      </c>
      <c r="F542" s="213" t="s">
        <v>1924</v>
      </c>
      <c r="G542" s="232">
        <v>18556</v>
      </c>
      <c r="H542" s="220">
        <v>16511</v>
      </c>
      <c r="I542" s="232">
        <v>31917</v>
      </c>
      <c r="J542" s="231">
        <v>86198</v>
      </c>
      <c r="K542" s="88">
        <f t="shared" si="23"/>
        <v>153182</v>
      </c>
      <c r="L542" s="50"/>
      <c r="M542" s="232">
        <v>623</v>
      </c>
      <c r="N542" s="232">
        <v>0</v>
      </c>
      <c r="O542" s="231">
        <v>0</v>
      </c>
      <c r="P542" s="88">
        <f t="shared" si="24"/>
        <v>623</v>
      </c>
      <c r="Q542" s="50"/>
      <c r="R542" s="232">
        <v>33410</v>
      </c>
      <c r="S542" s="231">
        <v>34117</v>
      </c>
      <c r="T542" s="233">
        <v>67527</v>
      </c>
    </row>
    <row r="543" spans="1:20">
      <c r="A543" s="48">
        <v>95821</v>
      </c>
      <c r="B543" s="49" t="s">
        <v>2322</v>
      </c>
      <c r="C543" s="234">
        <v>0</v>
      </c>
      <c r="D543" s="234">
        <v>0</v>
      </c>
      <c r="E543" s="213">
        <v>0</v>
      </c>
      <c r="F543" s="213" t="s">
        <v>1924</v>
      </c>
      <c r="G543" s="232">
        <v>0</v>
      </c>
      <c r="H543" s="220">
        <v>0</v>
      </c>
      <c r="I543" s="232">
        <v>0</v>
      </c>
      <c r="J543" s="231">
        <v>2281</v>
      </c>
      <c r="K543" s="88">
        <f t="shared" si="23"/>
        <v>2281</v>
      </c>
      <c r="L543" s="50"/>
      <c r="M543" s="232">
        <v>0</v>
      </c>
      <c r="N543" s="232">
        <v>0</v>
      </c>
      <c r="O543" s="231">
        <v>489</v>
      </c>
      <c r="P543" s="88">
        <f t="shared" si="24"/>
        <v>489</v>
      </c>
      <c r="Q543" s="50"/>
      <c r="R543" s="232">
        <v>0</v>
      </c>
      <c r="S543" s="231">
        <v>861</v>
      </c>
      <c r="T543" s="233">
        <v>861</v>
      </c>
    </row>
    <row r="544" spans="1:20">
      <c r="A544" s="48">
        <v>95831</v>
      </c>
      <c r="B544" s="49" t="s">
        <v>2323</v>
      </c>
      <c r="C544" s="234">
        <v>1.8E-5</v>
      </c>
      <c r="D544" s="234">
        <v>1.6799999999999998E-5</v>
      </c>
      <c r="E544" s="213">
        <v>42702</v>
      </c>
      <c r="F544" s="213" t="s">
        <v>1924</v>
      </c>
      <c r="G544" s="232">
        <v>6588</v>
      </c>
      <c r="H544" s="220">
        <v>5862</v>
      </c>
      <c r="I544" s="232">
        <v>11332</v>
      </c>
      <c r="J544" s="231">
        <v>26223</v>
      </c>
      <c r="K544" s="88">
        <f t="shared" si="23"/>
        <v>50005</v>
      </c>
      <c r="L544" s="50"/>
      <c r="M544" s="232">
        <v>221</v>
      </c>
      <c r="N544" s="232">
        <v>0</v>
      </c>
      <c r="O544" s="231">
        <v>0</v>
      </c>
      <c r="P544" s="88">
        <f t="shared" si="24"/>
        <v>221</v>
      </c>
      <c r="Q544" s="50"/>
      <c r="R544" s="232">
        <v>11862</v>
      </c>
      <c r="S544" s="231">
        <v>10648</v>
      </c>
      <c r="T544" s="233">
        <v>22510</v>
      </c>
    </row>
    <row r="545" spans="1:20">
      <c r="A545" s="48">
        <v>95841</v>
      </c>
      <c r="B545" s="49" t="s">
        <v>2324</v>
      </c>
      <c r="C545" s="234">
        <v>2.0000000000000002E-5</v>
      </c>
      <c r="D545" s="234">
        <v>2.0999999999999999E-5</v>
      </c>
      <c r="E545" s="213">
        <v>47447</v>
      </c>
      <c r="F545" s="213" t="s">
        <v>1924</v>
      </c>
      <c r="G545" s="232">
        <v>7320</v>
      </c>
      <c r="H545" s="220">
        <v>6513</v>
      </c>
      <c r="I545" s="232">
        <v>12591</v>
      </c>
      <c r="J545" s="231">
        <v>3014</v>
      </c>
      <c r="K545" s="88">
        <f t="shared" si="23"/>
        <v>29438</v>
      </c>
      <c r="L545" s="50"/>
      <c r="M545" s="232">
        <v>246</v>
      </c>
      <c r="N545" s="232">
        <v>0</v>
      </c>
      <c r="O545" s="231">
        <v>0</v>
      </c>
      <c r="P545" s="88">
        <f t="shared" si="24"/>
        <v>246</v>
      </c>
      <c r="Q545" s="50"/>
      <c r="R545" s="232">
        <v>13179</v>
      </c>
      <c r="S545" s="231">
        <v>1248</v>
      </c>
      <c r="T545" s="233">
        <v>14427</v>
      </c>
    </row>
    <row r="546" spans="1:20">
      <c r="A546" s="48">
        <v>95851</v>
      </c>
      <c r="B546" s="49" t="s">
        <v>2325</v>
      </c>
      <c r="C546" s="234">
        <v>1.403E-4</v>
      </c>
      <c r="D546" s="234">
        <v>1.327E-4</v>
      </c>
      <c r="E546" s="213">
        <v>332840</v>
      </c>
      <c r="F546" s="213" t="s">
        <v>1924</v>
      </c>
      <c r="G546" s="232">
        <v>51349</v>
      </c>
      <c r="H546" s="220">
        <v>45689</v>
      </c>
      <c r="I546" s="232">
        <v>88323</v>
      </c>
      <c r="J546" s="231">
        <v>151488</v>
      </c>
      <c r="K546" s="88">
        <f t="shared" si="23"/>
        <v>336849</v>
      </c>
      <c r="L546" s="50"/>
      <c r="M546" s="232">
        <v>1723</v>
      </c>
      <c r="N546" s="232">
        <v>0</v>
      </c>
      <c r="O546" s="231">
        <v>0</v>
      </c>
      <c r="P546" s="88">
        <f t="shared" si="24"/>
        <v>1723</v>
      </c>
      <c r="Q546" s="50"/>
      <c r="R546" s="232">
        <v>92454</v>
      </c>
      <c r="S546" s="231">
        <v>56099</v>
      </c>
      <c r="T546" s="233">
        <v>148553</v>
      </c>
    </row>
    <row r="547" spans="1:20">
      <c r="A547" s="48">
        <v>95853</v>
      </c>
      <c r="B547" s="49" t="s">
        <v>1243</v>
      </c>
      <c r="C547" s="234">
        <v>3.1300000000000002E-5</v>
      </c>
      <c r="D547" s="234">
        <v>2.69E-5</v>
      </c>
      <c r="E547" s="213">
        <v>74254</v>
      </c>
      <c r="F547" s="213" t="s">
        <v>1924</v>
      </c>
      <c r="G547" s="232">
        <v>11456</v>
      </c>
      <c r="H547" s="220">
        <v>10193</v>
      </c>
      <c r="I547" s="232">
        <v>19704</v>
      </c>
      <c r="J547" s="231">
        <v>8786</v>
      </c>
      <c r="K547" s="88">
        <f t="shared" si="23"/>
        <v>50139</v>
      </c>
      <c r="L547" s="50"/>
      <c r="M547" s="232">
        <v>384</v>
      </c>
      <c r="N547" s="232">
        <v>0</v>
      </c>
      <c r="O547" s="231">
        <v>0</v>
      </c>
      <c r="P547" s="88">
        <f t="shared" si="24"/>
        <v>384</v>
      </c>
      <c r="Q547" s="50"/>
      <c r="R547" s="232">
        <v>20626</v>
      </c>
      <c r="S547" s="231">
        <v>4580</v>
      </c>
      <c r="T547" s="233">
        <v>25206</v>
      </c>
    </row>
    <row r="548" spans="1:20">
      <c r="A548" s="48">
        <v>95901</v>
      </c>
      <c r="B548" s="49" t="s">
        <v>1244</v>
      </c>
      <c r="C548" s="234">
        <v>1.9158000000000001E-3</v>
      </c>
      <c r="D548" s="234">
        <v>1.8714999999999999E-3</v>
      </c>
      <c r="E548" s="213">
        <v>4544933</v>
      </c>
      <c r="F548" s="213" t="s">
        <v>1924</v>
      </c>
      <c r="G548" s="232">
        <v>701175</v>
      </c>
      <c r="H548" s="220">
        <v>623884</v>
      </c>
      <c r="I548" s="232">
        <v>1206050</v>
      </c>
      <c r="J548" s="231">
        <v>4319</v>
      </c>
      <c r="K548" s="88">
        <f t="shared" si="23"/>
        <v>2535428</v>
      </c>
      <c r="L548" s="50"/>
      <c r="M548" s="232">
        <v>23528</v>
      </c>
      <c r="N548" s="232">
        <v>0</v>
      </c>
      <c r="O548" s="231">
        <v>11578</v>
      </c>
      <c r="P548" s="88">
        <f t="shared" si="24"/>
        <v>35106</v>
      </c>
      <c r="Q548" s="50"/>
      <c r="R548" s="232">
        <v>1262460</v>
      </c>
      <c r="S548" s="231">
        <v>27562</v>
      </c>
      <c r="T548" s="233">
        <v>1290022</v>
      </c>
    </row>
    <row r="549" spans="1:20">
      <c r="A549" s="48">
        <v>95908</v>
      </c>
      <c r="B549" s="49" t="s">
        <v>1245</v>
      </c>
      <c r="C549" s="234">
        <v>6.1099999999999994E-5</v>
      </c>
      <c r="D549" s="234">
        <v>7.2200000000000007E-5</v>
      </c>
      <c r="E549" s="213">
        <v>144950</v>
      </c>
      <c r="F549" s="213" t="s">
        <v>1924</v>
      </c>
      <c r="G549" s="232">
        <v>22362</v>
      </c>
      <c r="H549" s="220">
        <v>19898</v>
      </c>
      <c r="I549" s="232">
        <v>38464</v>
      </c>
      <c r="J549" s="231">
        <v>0</v>
      </c>
      <c r="K549" s="88">
        <f t="shared" si="23"/>
        <v>80724</v>
      </c>
      <c r="L549" s="50"/>
      <c r="M549" s="232">
        <v>750</v>
      </c>
      <c r="N549" s="232">
        <v>0</v>
      </c>
      <c r="O549" s="231">
        <v>21950</v>
      </c>
      <c r="P549" s="88">
        <f t="shared" si="24"/>
        <v>22700</v>
      </c>
      <c r="Q549" s="50"/>
      <c r="R549" s="232">
        <v>40263</v>
      </c>
      <c r="S549" s="231">
        <v>-13336</v>
      </c>
      <c r="T549" s="233">
        <v>26927</v>
      </c>
    </row>
    <row r="550" spans="1:20">
      <c r="A550" s="48">
        <v>95911</v>
      </c>
      <c r="B550" s="49" t="s">
        <v>2326</v>
      </c>
      <c r="C550" s="234">
        <v>5.576E-4</v>
      </c>
      <c r="D550" s="234">
        <v>5.7450000000000003E-4</v>
      </c>
      <c r="E550" s="213">
        <v>1322818</v>
      </c>
      <c r="F550" s="213" t="s">
        <v>1924</v>
      </c>
      <c r="G550" s="232">
        <v>204079</v>
      </c>
      <c r="H550" s="220">
        <v>181583</v>
      </c>
      <c r="I550" s="232">
        <v>351025</v>
      </c>
      <c r="J550" s="231">
        <v>1306</v>
      </c>
      <c r="K550" s="88">
        <f t="shared" si="23"/>
        <v>737993</v>
      </c>
      <c r="L550" s="50"/>
      <c r="M550" s="232">
        <v>6848</v>
      </c>
      <c r="N550" s="232">
        <v>0</v>
      </c>
      <c r="O550" s="231">
        <v>50349</v>
      </c>
      <c r="P550" s="88">
        <f t="shared" si="24"/>
        <v>57197</v>
      </c>
      <c r="Q550" s="50"/>
      <c r="R550" s="232">
        <v>367443</v>
      </c>
      <c r="S550" s="231">
        <v>-20293</v>
      </c>
      <c r="T550" s="233">
        <v>347150</v>
      </c>
    </row>
    <row r="551" spans="1:20">
      <c r="A551" s="48">
        <v>95917</v>
      </c>
      <c r="B551" s="49" t="s">
        <v>1247</v>
      </c>
      <c r="C551" s="234">
        <v>2.05E-5</v>
      </c>
      <c r="D551" s="234">
        <v>2.6699999999999998E-5</v>
      </c>
      <c r="E551" s="213">
        <v>48633</v>
      </c>
      <c r="F551" s="213" t="s">
        <v>1924</v>
      </c>
      <c r="G551" s="232">
        <v>7503</v>
      </c>
      <c r="H551" s="220">
        <v>6676</v>
      </c>
      <c r="I551" s="232">
        <v>12905</v>
      </c>
      <c r="J551" s="231">
        <v>1999</v>
      </c>
      <c r="K551" s="88">
        <f t="shared" si="23"/>
        <v>29083</v>
      </c>
      <c r="L551" s="50"/>
      <c r="M551" s="232">
        <v>252</v>
      </c>
      <c r="N551" s="232">
        <v>0</v>
      </c>
      <c r="O551" s="231">
        <v>3512</v>
      </c>
      <c r="P551" s="88">
        <f t="shared" si="24"/>
        <v>3764</v>
      </c>
      <c r="Q551" s="50"/>
      <c r="R551" s="232">
        <v>13509</v>
      </c>
      <c r="S551" s="231">
        <v>1407</v>
      </c>
      <c r="T551" s="233">
        <v>14916</v>
      </c>
    </row>
    <row r="552" spans="1:20">
      <c r="A552" s="48">
        <v>95921</v>
      </c>
      <c r="B552" s="49" t="s">
        <v>2327</v>
      </c>
      <c r="C552" s="234">
        <v>4.9799999999999998E-5</v>
      </c>
      <c r="D552" s="234">
        <v>4.7500000000000003E-5</v>
      </c>
      <c r="E552" s="213">
        <v>118143</v>
      </c>
      <c r="F552" s="213" t="s">
        <v>1924</v>
      </c>
      <c r="G552" s="232">
        <v>18227</v>
      </c>
      <c r="H552" s="220">
        <v>16217</v>
      </c>
      <c r="I552" s="232">
        <v>31350</v>
      </c>
      <c r="J552" s="231">
        <v>4597</v>
      </c>
      <c r="K552" s="88">
        <f t="shared" si="23"/>
        <v>70391</v>
      </c>
      <c r="L552" s="50"/>
      <c r="M552" s="232">
        <v>612</v>
      </c>
      <c r="N552" s="232">
        <v>0</v>
      </c>
      <c r="O552" s="231">
        <v>0</v>
      </c>
      <c r="P552" s="88">
        <f t="shared" si="24"/>
        <v>612</v>
      </c>
      <c r="Q552" s="50"/>
      <c r="R552" s="232">
        <v>32817</v>
      </c>
      <c r="S552" s="231">
        <v>1077</v>
      </c>
      <c r="T552" s="233">
        <v>33894</v>
      </c>
    </row>
    <row r="553" spans="1:20">
      <c r="A553" s="48">
        <v>96001</v>
      </c>
      <c r="B553" s="49" t="s">
        <v>1249</v>
      </c>
      <c r="C553" s="234">
        <v>4.3840400000000002E-2</v>
      </c>
      <c r="D553" s="234">
        <v>4.4386399999999999E-2</v>
      </c>
      <c r="E553" s="213">
        <v>104004422</v>
      </c>
      <c r="F553" s="213" t="s">
        <v>1924</v>
      </c>
      <c r="G553" s="232">
        <v>16045411</v>
      </c>
      <c r="H553" s="220">
        <v>14276714</v>
      </c>
      <c r="I553" s="232">
        <v>27598759</v>
      </c>
      <c r="J553" s="231">
        <v>120257</v>
      </c>
      <c r="K553" s="88">
        <f t="shared" si="23"/>
        <v>58041141</v>
      </c>
      <c r="L553" s="50"/>
      <c r="M553" s="232">
        <v>538404</v>
      </c>
      <c r="N553" s="232">
        <v>0</v>
      </c>
      <c r="O553" s="231">
        <v>696147</v>
      </c>
      <c r="P553" s="88">
        <f t="shared" si="24"/>
        <v>1234551</v>
      </c>
      <c r="Q553" s="50"/>
      <c r="R553" s="232">
        <v>28889640</v>
      </c>
      <c r="S553" s="231">
        <v>1107085</v>
      </c>
      <c r="T553" s="233">
        <v>29996725</v>
      </c>
    </row>
    <row r="554" spans="1:20">
      <c r="A554" s="48">
        <v>96003</v>
      </c>
      <c r="B554" s="49" t="s">
        <v>1250</v>
      </c>
      <c r="C554" s="234">
        <v>1.6191999999999999E-3</v>
      </c>
      <c r="D554" s="234">
        <v>1.6523E-3</v>
      </c>
      <c r="E554" s="213">
        <v>3841296</v>
      </c>
      <c r="F554" s="213" t="s">
        <v>1924</v>
      </c>
      <c r="G554" s="232">
        <v>592621</v>
      </c>
      <c r="H554" s="220">
        <v>527296</v>
      </c>
      <c r="I554" s="232">
        <v>1019332</v>
      </c>
      <c r="J554" s="231">
        <v>1392</v>
      </c>
      <c r="K554" s="88">
        <f t="shared" si="23"/>
        <v>2140641</v>
      </c>
      <c r="L554" s="50"/>
      <c r="M554" s="232">
        <v>19885</v>
      </c>
      <c r="N554" s="232">
        <v>0</v>
      </c>
      <c r="O554" s="231">
        <v>162038</v>
      </c>
      <c r="P554" s="88">
        <f t="shared" si="24"/>
        <v>181923</v>
      </c>
      <c r="Q554" s="50"/>
      <c r="R554" s="232">
        <v>1067009</v>
      </c>
      <c r="S554" s="231">
        <v>-76658</v>
      </c>
      <c r="T554" s="233">
        <v>990351</v>
      </c>
    </row>
    <row r="555" spans="1:20">
      <c r="A555" s="48">
        <v>96004</v>
      </c>
      <c r="B555" s="49" t="s">
        <v>1251</v>
      </c>
      <c r="C555" s="234">
        <v>9.0419999999999997E-4</v>
      </c>
      <c r="D555" s="234">
        <v>8.9439999999999995E-4</v>
      </c>
      <c r="E555" s="213">
        <v>2145072</v>
      </c>
      <c r="F555" s="213" t="s">
        <v>1924</v>
      </c>
      <c r="G555" s="232">
        <v>330934</v>
      </c>
      <c r="H555" s="220">
        <v>294454</v>
      </c>
      <c r="I555" s="232">
        <v>569219</v>
      </c>
      <c r="J555" s="231">
        <v>137510</v>
      </c>
      <c r="K555" s="88">
        <f t="shared" si="23"/>
        <v>1332117</v>
      </c>
      <c r="L555" s="50"/>
      <c r="M555" s="232">
        <v>11104</v>
      </c>
      <c r="N555" s="232">
        <v>0</v>
      </c>
      <c r="O555" s="231">
        <v>0</v>
      </c>
      <c r="P555" s="88">
        <f t="shared" si="24"/>
        <v>11104</v>
      </c>
      <c r="Q555" s="50"/>
      <c r="R555" s="232">
        <v>595843</v>
      </c>
      <c r="S555" s="231">
        <v>78642</v>
      </c>
      <c r="T555" s="233">
        <v>674485</v>
      </c>
    </row>
    <row r="556" spans="1:20">
      <c r="A556" s="48">
        <v>96005</v>
      </c>
      <c r="B556" s="49" t="s">
        <v>1252</v>
      </c>
      <c r="C556" s="234">
        <v>2.6172999999999999E-3</v>
      </c>
      <c r="D556" s="234">
        <v>2.6733999999999998E-3</v>
      </c>
      <c r="E556" s="213">
        <v>6209131</v>
      </c>
      <c r="F556" s="213" t="s">
        <v>1924</v>
      </c>
      <c r="G556" s="232">
        <v>957921</v>
      </c>
      <c r="H556" s="220">
        <v>852329</v>
      </c>
      <c r="I556" s="232">
        <v>1647664</v>
      </c>
      <c r="J556" s="231">
        <v>64243</v>
      </c>
      <c r="K556" s="88">
        <f t="shared" si="23"/>
        <v>3522157</v>
      </c>
      <c r="L556" s="50"/>
      <c r="M556" s="232">
        <v>32143</v>
      </c>
      <c r="N556" s="232">
        <v>0</v>
      </c>
      <c r="O556" s="231">
        <v>8878</v>
      </c>
      <c r="P556" s="88">
        <f t="shared" si="24"/>
        <v>41021</v>
      </c>
      <c r="Q556" s="50"/>
      <c r="R556" s="232">
        <v>1724730</v>
      </c>
      <c r="S556" s="231">
        <v>155823</v>
      </c>
      <c r="T556" s="233">
        <v>1880553</v>
      </c>
    </row>
    <row r="557" spans="1:20">
      <c r="A557" s="48">
        <v>96008</v>
      </c>
      <c r="B557" s="49" t="s">
        <v>1253</v>
      </c>
      <c r="C557" s="234">
        <v>6.1884000000000002E-3</v>
      </c>
      <c r="D557" s="234">
        <v>5.9955E-3</v>
      </c>
      <c r="E557" s="213">
        <v>14681001</v>
      </c>
      <c r="F557" s="213" t="s">
        <v>1924</v>
      </c>
      <c r="G557" s="232">
        <v>2264930</v>
      </c>
      <c r="H557" s="220">
        <v>2015265</v>
      </c>
      <c r="I557" s="232">
        <v>3895771</v>
      </c>
      <c r="J557" s="231">
        <v>0</v>
      </c>
      <c r="K557" s="88">
        <f t="shared" si="23"/>
        <v>8175966</v>
      </c>
      <c r="L557" s="50"/>
      <c r="M557" s="232">
        <v>76000</v>
      </c>
      <c r="N557" s="232">
        <v>0</v>
      </c>
      <c r="O557" s="231">
        <v>922165</v>
      </c>
      <c r="P557" s="88">
        <f t="shared" si="24"/>
        <v>998165</v>
      </c>
      <c r="Q557" s="50"/>
      <c r="R557" s="232">
        <v>4077989</v>
      </c>
      <c r="S557" s="231">
        <v>-381090</v>
      </c>
      <c r="T557" s="233">
        <v>3696899</v>
      </c>
    </row>
    <row r="558" spans="1:20">
      <c r="A558" s="48">
        <v>96009</v>
      </c>
      <c r="B558" s="49" t="s">
        <v>1254</v>
      </c>
      <c r="C558" s="234">
        <v>3.8460000000000002E-4</v>
      </c>
      <c r="D558" s="234">
        <v>3.7609999999999998E-4</v>
      </c>
      <c r="E558" s="213">
        <v>912403</v>
      </c>
      <c r="F558" s="213" t="s">
        <v>1924</v>
      </c>
      <c r="G558" s="232">
        <v>140762</v>
      </c>
      <c r="H558" s="220">
        <v>125246</v>
      </c>
      <c r="I558" s="232">
        <v>242116</v>
      </c>
      <c r="J558" s="231">
        <v>46887</v>
      </c>
      <c r="K558" s="88">
        <f t="shared" si="23"/>
        <v>555011</v>
      </c>
      <c r="L558" s="50"/>
      <c r="M558" s="232">
        <v>4723</v>
      </c>
      <c r="N558" s="232">
        <v>0</v>
      </c>
      <c r="O558" s="231">
        <v>1687</v>
      </c>
      <c r="P558" s="88">
        <f t="shared" si="24"/>
        <v>6410</v>
      </c>
      <c r="Q558" s="50"/>
      <c r="R558" s="232">
        <v>253441</v>
      </c>
      <c r="S558" s="231">
        <v>17980</v>
      </c>
      <c r="T558" s="233">
        <v>271421</v>
      </c>
    </row>
    <row r="559" spans="1:20">
      <c r="A559" s="48">
        <v>96011</v>
      </c>
      <c r="B559" s="49" t="s">
        <v>1255</v>
      </c>
      <c r="C559" s="234">
        <v>6.2526600000000002E-2</v>
      </c>
      <c r="D559" s="234">
        <v>6.1150400000000001E-2</v>
      </c>
      <c r="E559" s="213">
        <v>148334479</v>
      </c>
      <c r="F559" s="213" t="s">
        <v>1924</v>
      </c>
      <c r="G559" s="232">
        <v>22884485</v>
      </c>
      <c r="H559" s="220">
        <v>20361912</v>
      </c>
      <c r="I559" s="232">
        <v>39362245</v>
      </c>
      <c r="J559" s="231">
        <v>1462569</v>
      </c>
      <c r="K559" s="88">
        <f t="shared" si="23"/>
        <v>84071211</v>
      </c>
      <c r="L559" s="50"/>
      <c r="M559" s="232">
        <v>767889</v>
      </c>
      <c r="N559" s="232">
        <v>0</v>
      </c>
      <c r="O559" s="231">
        <v>32612</v>
      </c>
      <c r="P559" s="88">
        <f t="shared" si="24"/>
        <v>800501</v>
      </c>
      <c r="Q559" s="50"/>
      <c r="R559" s="232">
        <v>41203341</v>
      </c>
      <c r="S559" s="231">
        <v>436963</v>
      </c>
      <c r="T559" s="233">
        <v>41640304</v>
      </c>
    </row>
    <row r="560" spans="1:20">
      <c r="A560" s="48">
        <v>96012</v>
      </c>
      <c r="B560" s="49" t="s">
        <v>1256</v>
      </c>
      <c r="C560" s="234">
        <v>2.5303000000000001E-3</v>
      </c>
      <c r="D560" s="234">
        <v>2.4417000000000002E-3</v>
      </c>
      <c r="E560" s="213">
        <v>6002737</v>
      </c>
      <c r="F560" s="213" t="s">
        <v>1924</v>
      </c>
      <c r="G560" s="232">
        <v>926080</v>
      </c>
      <c r="H560" s="220">
        <v>823997</v>
      </c>
      <c r="I560" s="232">
        <v>1592895</v>
      </c>
      <c r="J560" s="231">
        <v>95917</v>
      </c>
      <c r="K560" s="88">
        <f t="shared" si="23"/>
        <v>3438889</v>
      </c>
      <c r="L560" s="50"/>
      <c r="M560" s="232">
        <v>31075</v>
      </c>
      <c r="N560" s="232">
        <v>0</v>
      </c>
      <c r="O560" s="231">
        <v>703</v>
      </c>
      <c r="P560" s="88">
        <f t="shared" si="24"/>
        <v>31778</v>
      </c>
      <c r="Q560" s="50"/>
      <c r="R560" s="232">
        <v>1667399</v>
      </c>
      <c r="S560" s="231">
        <v>49156</v>
      </c>
      <c r="T560" s="233">
        <v>1716555</v>
      </c>
    </row>
    <row r="561" spans="1:20">
      <c r="A561" s="48">
        <v>96018</v>
      </c>
      <c r="B561" s="49" t="s">
        <v>1257</v>
      </c>
      <c r="C561" s="234">
        <v>4.5000000000000003E-5</v>
      </c>
      <c r="D561" s="234">
        <v>4.3600000000000003E-5</v>
      </c>
      <c r="E561" s="213">
        <v>106755</v>
      </c>
      <c r="F561" s="213" t="s">
        <v>1924</v>
      </c>
      <c r="G561" s="232">
        <v>16470</v>
      </c>
      <c r="H561" s="220">
        <v>14654</v>
      </c>
      <c r="I561" s="232">
        <v>28329</v>
      </c>
      <c r="J561" s="231">
        <v>3865</v>
      </c>
      <c r="K561" s="88">
        <f t="shared" si="23"/>
        <v>63318</v>
      </c>
      <c r="L561" s="50"/>
      <c r="M561" s="232">
        <v>553</v>
      </c>
      <c r="N561" s="232">
        <v>0</v>
      </c>
      <c r="O561" s="231">
        <v>0</v>
      </c>
      <c r="P561" s="88">
        <f t="shared" si="24"/>
        <v>553</v>
      </c>
      <c r="Q561" s="50"/>
      <c r="R561" s="232">
        <v>29654</v>
      </c>
      <c r="S561" s="231">
        <v>5885</v>
      </c>
      <c r="T561" s="233">
        <v>35539</v>
      </c>
    </row>
    <row r="562" spans="1:20">
      <c r="A562" s="48">
        <v>96021</v>
      </c>
      <c r="B562" s="49" t="s">
        <v>2328</v>
      </c>
      <c r="C562" s="234">
        <v>7.3760000000000004E-4</v>
      </c>
      <c r="D562" s="234">
        <v>7.2090000000000001E-4</v>
      </c>
      <c r="E562" s="213">
        <v>1749839</v>
      </c>
      <c r="F562" s="213" t="s">
        <v>1924</v>
      </c>
      <c r="G562" s="232">
        <v>269959</v>
      </c>
      <c r="H562" s="220">
        <v>240200</v>
      </c>
      <c r="I562" s="232">
        <v>464340</v>
      </c>
      <c r="J562" s="231">
        <v>15203</v>
      </c>
      <c r="K562" s="88">
        <f t="shared" si="23"/>
        <v>989702</v>
      </c>
      <c r="L562" s="50"/>
      <c r="M562" s="232">
        <v>9058</v>
      </c>
      <c r="N562" s="232">
        <v>0</v>
      </c>
      <c r="O562" s="231">
        <v>87034</v>
      </c>
      <c r="P562" s="88">
        <f t="shared" si="24"/>
        <v>96092</v>
      </c>
      <c r="Q562" s="50"/>
      <c r="R562" s="232">
        <v>486058</v>
      </c>
      <c r="S562" s="231">
        <v>-13480</v>
      </c>
      <c r="T562" s="233">
        <v>472578</v>
      </c>
    </row>
    <row r="563" spans="1:20">
      <c r="A563" s="48">
        <v>96031</v>
      </c>
      <c r="B563" s="49" t="s">
        <v>2329</v>
      </c>
      <c r="C563" s="234">
        <v>8.5170000000000005E-4</v>
      </c>
      <c r="D563" s="234">
        <v>8.2580000000000001E-4</v>
      </c>
      <c r="E563" s="213">
        <v>2020524</v>
      </c>
      <c r="F563" s="213" t="s">
        <v>1924</v>
      </c>
      <c r="G563" s="232">
        <v>311719</v>
      </c>
      <c r="H563" s="220">
        <v>277358</v>
      </c>
      <c r="I563" s="232">
        <v>536169</v>
      </c>
      <c r="J563" s="231">
        <v>0</v>
      </c>
      <c r="K563" s="88">
        <f t="shared" si="23"/>
        <v>1125246</v>
      </c>
      <c r="L563" s="50"/>
      <c r="M563" s="232">
        <v>10460</v>
      </c>
      <c r="N563" s="232">
        <v>0</v>
      </c>
      <c r="O563" s="231">
        <v>145457</v>
      </c>
      <c r="P563" s="88">
        <f t="shared" si="24"/>
        <v>155917</v>
      </c>
      <c r="Q563" s="50"/>
      <c r="R563" s="232">
        <v>561247</v>
      </c>
      <c r="S563" s="231">
        <v>-84382</v>
      </c>
      <c r="T563" s="233">
        <v>476865</v>
      </c>
    </row>
    <row r="564" spans="1:20">
      <c r="A564" s="48">
        <v>96041</v>
      </c>
      <c r="B564" s="49" t="s">
        <v>2330</v>
      </c>
      <c r="C564" s="234">
        <v>1.7003999999999999E-3</v>
      </c>
      <c r="D564" s="234">
        <v>1.7361E-3</v>
      </c>
      <c r="E564" s="213">
        <v>4033930</v>
      </c>
      <c r="F564" s="213" t="s">
        <v>1924</v>
      </c>
      <c r="G564" s="232">
        <v>622340</v>
      </c>
      <c r="H564" s="220">
        <v>553738</v>
      </c>
      <c r="I564" s="232">
        <v>1070449</v>
      </c>
      <c r="J564" s="231">
        <v>0</v>
      </c>
      <c r="K564" s="88">
        <f t="shared" si="23"/>
        <v>2246527</v>
      </c>
      <c r="L564" s="50"/>
      <c r="M564" s="232">
        <v>20883</v>
      </c>
      <c r="N564" s="232">
        <v>0</v>
      </c>
      <c r="O564" s="231">
        <v>162463</v>
      </c>
      <c r="P564" s="88">
        <f t="shared" si="24"/>
        <v>183346</v>
      </c>
      <c r="Q564" s="50"/>
      <c r="R564" s="232">
        <v>1120518</v>
      </c>
      <c r="S564" s="231">
        <v>-80644</v>
      </c>
      <c r="T564" s="233">
        <v>1039874</v>
      </c>
    </row>
    <row r="565" spans="1:20">
      <c r="A565" s="48">
        <v>96051</v>
      </c>
      <c r="B565" s="49" t="s">
        <v>2331</v>
      </c>
      <c r="C565" s="234">
        <v>1.042E-3</v>
      </c>
      <c r="D565" s="234">
        <v>1.0062000000000001E-3</v>
      </c>
      <c r="E565" s="213">
        <v>2471980</v>
      </c>
      <c r="F565" s="213" t="s">
        <v>1924</v>
      </c>
      <c r="G565" s="232">
        <v>381368</v>
      </c>
      <c r="H565" s="220">
        <v>339329</v>
      </c>
      <c r="I565" s="232">
        <v>655968</v>
      </c>
      <c r="J565" s="231">
        <v>0</v>
      </c>
      <c r="K565" s="88">
        <f t="shared" si="23"/>
        <v>1376665</v>
      </c>
      <c r="L565" s="50"/>
      <c r="M565" s="232">
        <v>12797</v>
      </c>
      <c r="N565" s="232">
        <v>0</v>
      </c>
      <c r="O565" s="231">
        <v>89308</v>
      </c>
      <c r="P565" s="88">
        <f t="shared" si="24"/>
        <v>102105</v>
      </c>
      <c r="Q565" s="50"/>
      <c r="R565" s="232">
        <v>686650</v>
      </c>
      <c r="S565" s="231">
        <v>-50724</v>
      </c>
      <c r="T565" s="233">
        <v>635926</v>
      </c>
    </row>
    <row r="566" spans="1:20">
      <c r="A566" s="48">
        <v>96061</v>
      </c>
      <c r="B566" s="49" t="s">
        <v>2332</v>
      </c>
      <c r="C566" s="234">
        <v>3.1559999999999997E-4</v>
      </c>
      <c r="D566" s="234">
        <v>3.3950000000000001E-4</v>
      </c>
      <c r="E566" s="213">
        <v>748711</v>
      </c>
      <c r="F566" s="213" t="s">
        <v>1924</v>
      </c>
      <c r="G566" s="232">
        <v>115508</v>
      </c>
      <c r="H566" s="220">
        <v>102775</v>
      </c>
      <c r="I566" s="232">
        <v>198679</v>
      </c>
      <c r="J566" s="231">
        <v>15967</v>
      </c>
      <c r="K566" s="88">
        <f t="shared" si="23"/>
        <v>432929</v>
      </c>
      <c r="L566" s="50"/>
      <c r="M566" s="232">
        <v>3876</v>
      </c>
      <c r="N566" s="232">
        <v>0</v>
      </c>
      <c r="O566" s="231">
        <v>13815</v>
      </c>
      <c r="P566" s="88">
        <f t="shared" si="24"/>
        <v>17691</v>
      </c>
      <c r="Q566" s="50"/>
      <c r="R566" s="232">
        <v>207972</v>
      </c>
      <c r="S566" s="231">
        <v>-246</v>
      </c>
      <c r="T566" s="233">
        <v>207726</v>
      </c>
    </row>
    <row r="567" spans="1:20">
      <c r="A567" s="48">
        <v>96071</v>
      </c>
      <c r="B567" s="49" t="s">
        <v>2333</v>
      </c>
      <c r="C567" s="234">
        <v>1.1751000000000001E-3</v>
      </c>
      <c r="D567" s="234">
        <v>1.1367E-3</v>
      </c>
      <c r="E567" s="213">
        <v>2787739</v>
      </c>
      <c r="F567" s="213" t="s">
        <v>1924</v>
      </c>
      <c r="G567" s="232">
        <v>430082</v>
      </c>
      <c r="H567" s="220">
        <v>382674</v>
      </c>
      <c r="I567" s="232">
        <v>739758</v>
      </c>
      <c r="J567" s="231">
        <v>90687</v>
      </c>
      <c r="K567" s="88">
        <f t="shared" si="23"/>
        <v>1643201</v>
      </c>
      <c r="L567" s="50"/>
      <c r="M567" s="232">
        <v>14431</v>
      </c>
      <c r="N567" s="232">
        <v>0</v>
      </c>
      <c r="O567" s="231">
        <v>39863</v>
      </c>
      <c r="P567" s="88">
        <f t="shared" si="24"/>
        <v>54294</v>
      </c>
      <c r="Q567" s="50"/>
      <c r="R567" s="232">
        <v>774359</v>
      </c>
      <c r="S567" s="231">
        <v>10914</v>
      </c>
      <c r="T567" s="233">
        <v>785273</v>
      </c>
    </row>
    <row r="568" spans="1:20">
      <c r="A568" s="48">
        <v>96081</v>
      </c>
      <c r="B568" s="49" t="s">
        <v>2334</v>
      </c>
      <c r="C568" s="234">
        <v>5.4920000000000001E-4</v>
      </c>
      <c r="D568" s="234">
        <v>5.0900000000000001E-4</v>
      </c>
      <c r="E568" s="213">
        <v>1302890</v>
      </c>
      <c r="F568" s="213" t="s">
        <v>1924</v>
      </c>
      <c r="G568" s="232">
        <v>201005</v>
      </c>
      <c r="H568" s="220">
        <v>178848</v>
      </c>
      <c r="I568" s="232">
        <v>345737</v>
      </c>
      <c r="J568" s="231">
        <v>10068</v>
      </c>
      <c r="K568" s="88">
        <f t="shared" si="23"/>
        <v>735658</v>
      </c>
      <c r="L568" s="50"/>
      <c r="M568" s="232">
        <v>6745</v>
      </c>
      <c r="N568" s="232">
        <v>0</v>
      </c>
      <c r="O568" s="231">
        <v>1853</v>
      </c>
      <c r="P568" s="88">
        <f t="shared" si="24"/>
        <v>8598</v>
      </c>
      <c r="Q568" s="50"/>
      <c r="R568" s="232">
        <v>361908</v>
      </c>
      <c r="S568" s="231">
        <v>6768</v>
      </c>
      <c r="T568" s="233">
        <v>368676</v>
      </c>
    </row>
    <row r="569" spans="1:20">
      <c r="A569" s="48">
        <v>96101</v>
      </c>
      <c r="B569" s="49" t="s">
        <v>1265</v>
      </c>
      <c r="C569" s="234">
        <v>7.9739999999999998E-4</v>
      </c>
      <c r="D569" s="234">
        <v>7.6749999999999995E-4</v>
      </c>
      <c r="E569" s="213">
        <v>1891706</v>
      </c>
      <c r="F569" s="213" t="s">
        <v>1924</v>
      </c>
      <c r="G569" s="232">
        <v>291845</v>
      </c>
      <c r="H569" s="220">
        <v>259675</v>
      </c>
      <c r="I569" s="232">
        <v>501986</v>
      </c>
      <c r="J569" s="231">
        <v>54889</v>
      </c>
      <c r="K569" s="88">
        <f t="shared" si="23"/>
        <v>1108395</v>
      </c>
      <c r="L569" s="50"/>
      <c r="M569" s="232">
        <v>9793</v>
      </c>
      <c r="N569" s="232">
        <v>0</v>
      </c>
      <c r="O569" s="231">
        <v>2275</v>
      </c>
      <c r="P569" s="88">
        <f t="shared" si="24"/>
        <v>12068</v>
      </c>
      <c r="Q569" s="50"/>
      <c r="R569" s="232">
        <v>525465</v>
      </c>
      <c r="S569" s="231">
        <v>25672</v>
      </c>
      <c r="T569" s="233">
        <v>551137</v>
      </c>
    </row>
    <row r="570" spans="1:20">
      <c r="A570" s="48">
        <v>96102</v>
      </c>
      <c r="B570" s="49" t="s">
        <v>1266</v>
      </c>
      <c r="C570" s="234">
        <v>1.2999999999999999E-5</v>
      </c>
      <c r="D570" s="234">
        <v>1.36E-5</v>
      </c>
      <c r="E570" s="213">
        <v>30840</v>
      </c>
      <c r="F570" s="213" t="s">
        <v>1924</v>
      </c>
      <c r="G570" s="232">
        <v>4758</v>
      </c>
      <c r="H570" s="220">
        <v>4233</v>
      </c>
      <c r="I570" s="232">
        <v>8184</v>
      </c>
      <c r="J570" s="231">
        <v>0</v>
      </c>
      <c r="K570" s="88">
        <f t="shared" si="23"/>
        <v>17175</v>
      </c>
      <c r="L570" s="50"/>
      <c r="M570" s="232">
        <v>160</v>
      </c>
      <c r="N570" s="232">
        <v>0</v>
      </c>
      <c r="O570" s="231">
        <v>3870</v>
      </c>
      <c r="P570" s="88">
        <f t="shared" si="24"/>
        <v>4030</v>
      </c>
      <c r="Q570" s="50"/>
      <c r="R570" s="232">
        <v>8567</v>
      </c>
      <c r="S570" s="231">
        <v>-1972</v>
      </c>
      <c r="T570" s="233">
        <v>6595</v>
      </c>
    </row>
    <row r="571" spans="1:20">
      <c r="A571" s="48">
        <v>96111</v>
      </c>
      <c r="B571" s="49" t="s">
        <v>2335</v>
      </c>
      <c r="C571" s="234">
        <v>1.47E-4</v>
      </c>
      <c r="D571" s="234">
        <v>1.5349999999999999E-4</v>
      </c>
      <c r="E571" s="213">
        <v>348734</v>
      </c>
      <c r="F571" s="213" t="s">
        <v>1924</v>
      </c>
      <c r="G571" s="232">
        <v>53801</v>
      </c>
      <c r="H571" s="220">
        <v>47871</v>
      </c>
      <c r="I571" s="232">
        <v>92541</v>
      </c>
      <c r="J571" s="231">
        <v>11049</v>
      </c>
      <c r="K571" s="88">
        <f t="shared" si="23"/>
        <v>205262</v>
      </c>
      <c r="L571" s="50"/>
      <c r="M571" s="232">
        <v>1805</v>
      </c>
      <c r="N571" s="232">
        <v>0</v>
      </c>
      <c r="O571" s="231">
        <v>1261</v>
      </c>
      <c r="P571" s="88">
        <f t="shared" si="24"/>
        <v>3066</v>
      </c>
      <c r="Q571" s="50"/>
      <c r="R571" s="232">
        <v>96869</v>
      </c>
      <c r="S571" s="231">
        <v>8891</v>
      </c>
      <c r="T571" s="233">
        <v>105760</v>
      </c>
    </row>
    <row r="572" spans="1:20">
      <c r="A572" s="48">
        <v>96121</v>
      </c>
      <c r="B572" s="49" t="s">
        <v>2336</v>
      </c>
      <c r="C572" s="234">
        <v>2.1699999999999999E-5</v>
      </c>
      <c r="D572" s="234">
        <v>2.2500000000000001E-5</v>
      </c>
      <c r="E572" s="213">
        <v>51480</v>
      </c>
      <c r="F572" s="213" t="s">
        <v>1924</v>
      </c>
      <c r="G572" s="232">
        <v>7942</v>
      </c>
      <c r="H572" s="220">
        <v>7067</v>
      </c>
      <c r="I572" s="232">
        <v>13661</v>
      </c>
      <c r="J572" s="231">
        <v>258</v>
      </c>
      <c r="K572" s="88">
        <f t="shared" si="23"/>
        <v>28928</v>
      </c>
      <c r="L572" s="50"/>
      <c r="M572" s="232">
        <v>266</v>
      </c>
      <c r="N572" s="232">
        <v>0</v>
      </c>
      <c r="O572" s="231">
        <v>2114</v>
      </c>
      <c r="P572" s="88">
        <f t="shared" si="24"/>
        <v>2380</v>
      </c>
      <c r="Q572" s="50"/>
      <c r="R572" s="232">
        <v>14300</v>
      </c>
      <c r="S572" s="231">
        <v>-1295</v>
      </c>
      <c r="T572" s="233">
        <v>13005</v>
      </c>
    </row>
    <row r="573" spans="1:20">
      <c r="A573" s="48">
        <v>96201</v>
      </c>
      <c r="B573" s="49" t="s">
        <v>1269</v>
      </c>
      <c r="C573" s="234">
        <v>1.1052E-3</v>
      </c>
      <c r="D573" s="234">
        <v>1.1788E-3</v>
      </c>
      <c r="E573" s="213">
        <v>2621912</v>
      </c>
      <c r="F573" s="213" t="s">
        <v>1924</v>
      </c>
      <c r="G573" s="232">
        <v>404499</v>
      </c>
      <c r="H573" s="220">
        <v>359910</v>
      </c>
      <c r="I573" s="232">
        <v>695754</v>
      </c>
      <c r="J573" s="231">
        <v>0</v>
      </c>
      <c r="K573" s="88">
        <f t="shared" si="23"/>
        <v>1460163</v>
      </c>
      <c r="L573" s="50"/>
      <c r="M573" s="232">
        <v>13573</v>
      </c>
      <c r="N573" s="232">
        <v>0</v>
      </c>
      <c r="O573" s="231">
        <v>100519</v>
      </c>
      <c r="P573" s="88">
        <f t="shared" si="24"/>
        <v>114092</v>
      </c>
      <c r="Q573" s="50"/>
      <c r="R573" s="232">
        <v>728297</v>
      </c>
      <c r="S573" s="231">
        <v>-35895</v>
      </c>
      <c r="T573" s="233">
        <v>692402</v>
      </c>
    </row>
    <row r="574" spans="1:20">
      <c r="A574" s="48">
        <v>96204</v>
      </c>
      <c r="B574" s="49" t="s">
        <v>1270</v>
      </c>
      <c r="C574" s="234">
        <v>1.42E-5</v>
      </c>
      <c r="D574" s="234">
        <v>1.5099999999999999E-5</v>
      </c>
      <c r="E574" s="213">
        <v>33687</v>
      </c>
      <c r="F574" s="213" t="s">
        <v>1924</v>
      </c>
      <c r="G574" s="232">
        <v>5197</v>
      </c>
      <c r="H574" s="220">
        <v>4624</v>
      </c>
      <c r="I574" s="232">
        <v>8939</v>
      </c>
      <c r="J574" s="231">
        <v>3075</v>
      </c>
      <c r="K574" s="88">
        <f t="shared" si="23"/>
        <v>21835</v>
      </c>
      <c r="L574" s="50"/>
      <c r="M574" s="232">
        <v>174</v>
      </c>
      <c r="N574" s="232">
        <v>0</v>
      </c>
      <c r="O574" s="231">
        <v>0</v>
      </c>
      <c r="P574" s="88">
        <f t="shared" si="24"/>
        <v>174</v>
      </c>
      <c r="Q574" s="50"/>
      <c r="R574" s="232">
        <v>9357</v>
      </c>
      <c r="S574" s="231">
        <v>1951</v>
      </c>
      <c r="T574" s="233">
        <v>11308</v>
      </c>
    </row>
    <row r="575" spans="1:20">
      <c r="A575" s="48">
        <v>96211</v>
      </c>
      <c r="B575" s="49" t="s">
        <v>2337</v>
      </c>
      <c r="C575" s="234">
        <v>2.8099999999999999E-5</v>
      </c>
      <c r="D575" s="234">
        <v>2.62E-5</v>
      </c>
      <c r="E575" s="214">
        <v>66663</v>
      </c>
      <c r="F575" s="214" t="s">
        <v>1924</v>
      </c>
      <c r="G575" s="232">
        <v>10284</v>
      </c>
      <c r="H575" s="220">
        <v>9151</v>
      </c>
      <c r="I575" s="232">
        <v>17690</v>
      </c>
      <c r="J575" s="231">
        <v>7064</v>
      </c>
      <c r="K575" s="88">
        <f t="shared" si="23"/>
        <v>44189</v>
      </c>
      <c r="L575" s="50"/>
      <c r="M575" s="232">
        <v>345</v>
      </c>
      <c r="N575" s="232">
        <v>0</v>
      </c>
      <c r="O575" s="231">
        <v>0</v>
      </c>
      <c r="P575" s="88">
        <f t="shared" si="24"/>
        <v>345</v>
      </c>
      <c r="Q575" s="50"/>
      <c r="R575" s="232">
        <v>18517</v>
      </c>
      <c r="S575" s="231">
        <v>-1535</v>
      </c>
      <c r="T575" s="233">
        <v>16982</v>
      </c>
    </row>
    <row r="576" spans="1:20">
      <c r="A576" s="48">
        <v>96221</v>
      </c>
      <c r="B576" s="49" t="s">
        <v>2338</v>
      </c>
      <c r="C576" s="234">
        <v>2.2809999999999999E-4</v>
      </c>
      <c r="D576" s="234">
        <v>2.3350000000000001E-4</v>
      </c>
      <c r="E576" s="214">
        <v>541131</v>
      </c>
      <c r="F576" s="214" t="s">
        <v>1924</v>
      </c>
      <c r="G576" s="232">
        <v>83484</v>
      </c>
      <c r="H576" s="220">
        <v>74281</v>
      </c>
      <c r="I576" s="232">
        <v>143595</v>
      </c>
      <c r="J576" s="231">
        <v>0</v>
      </c>
      <c r="K576" s="88">
        <f t="shared" si="23"/>
        <v>301360</v>
      </c>
      <c r="L576" s="50"/>
      <c r="M576" s="232">
        <v>2801</v>
      </c>
      <c r="N576" s="232">
        <v>0</v>
      </c>
      <c r="O576" s="231">
        <v>17587</v>
      </c>
      <c r="P576" s="88">
        <f t="shared" si="24"/>
        <v>20388</v>
      </c>
      <c r="Q576" s="50"/>
      <c r="R576" s="232">
        <v>150312</v>
      </c>
      <c r="S576" s="231">
        <v>-5474</v>
      </c>
      <c r="T576" s="233">
        <v>144838</v>
      </c>
    </row>
    <row r="577" spans="1:20">
      <c r="A577" s="48">
        <v>96231</v>
      </c>
      <c r="B577" s="49" t="s">
        <v>2339</v>
      </c>
      <c r="C577" s="234">
        <v>1.2540000000000001E-4</v>
      </c>
      <c r="D577" s="234">
        <v>1.3339999999999999E-4</v>
      </c>
      <c r="E577" s="214">
        <v>297492</v>
      </c>
      <c r="F577" s="214" t="s">
        <v>1924</v>
      </c>
      <c r="G577" s="232">
        <v>45896</v>
      </c>
      <c r="H577" s="220">
        <v>40837</v>
      </c>
      <c r="I577" s="232">
        <v>78943</v>
      </c>
      <c r="J577" s="231">
        <v>1915</v>
      </c>
      <c r="K577" s="88">
        <f t="shared" si="23"/>
        <v>167591</v>
      </c>
      <c r="L577" s="50"/>
      <c r="M577" s="232">
        <v>1540</v>
      </c>
      <c r="N577" s="232">
        <v>0</v>
      </c>
      <c r="O577" s="231">
        <v>22322</v>
      </c>
      <c r="P577" s="88">
        <f t="shared" si="24"/>
        <v>23862</v>
      </c>
      <c r="Q577" s="50"/>
      <c r="R577" s="232">
        <v>82635</v>
      </c>
      <c r="S577" s="231">
        <v>-10839</v>
      </c>
      <c r="T577" s="233">
        <v>71796</v>
      </c>
    </row>
    <row r="578" spans="1:20">
      <c r="A578" s="48">
        <v>96241</v>
      </c>
      <c r="B578" s="49" t="s">
        <v>2340</v>
      </c>
      <c r="C578" s="234">
        <v>5.4299999999999998E-5</v>
      </c>
      <c r="D578" s="234">
        <v>4.4700000000000002E-5</v>
      </c>
      <c r="E578" s="214">
        <v>128818</v>
      </c>
      <c r="F578" s="214" t="s">
        <v>1924</v>
      </c>
      <c r="G578" s="232">
        <v>19874</v>
      </c>
      <c r="H578" s="220">
        <v>17683</v>
      </c>
      <c r="I578" s="232">
        <v>34183</v>
      </c>
      <c r="J578" s="231">
        <v>5386</v>
      </c>
      <c r="K578" s="88">
        <f t="shared" si="23"/>
        <v>77126</v>
      </c>
      <c r="L578" s="50"/>
      <c r="M578" s="232">
        <v>667</v>
      </c>
      <c r="N578" s="232">
        <v>0</v>
      </c>
      <c r="O578" s="231">
        <v>2843</v>
      </c>
      <c r="P578" s="88">
        <f t="shared" si="24"/>
        <v>3510</v>
      </c>
      <c r="Q578" s="50"/>
      <c r="R578" s="232">
        <v>35782</v>
      </c>
      <c r="S578" s="231">
        <v>3441</v>
      </c>
      <c r="T578" s="233">
        <v>39223</v>
      </c>
    </row>
    <row r="579" spans="1:20">
      <c r="A579" s="48">
        <v>96251</v>
      </c>
      <c r="B579" s="49" t="s">
        <v>2341</v>
      </c>
      <c r="C579" s="234">
        <v>1.011E-4</v>
      </c>
      <c r="D579" s="234">
        <v>9.3999999999999994E-5</v>
      </c>
      <c r="E579" s="214">
        <v>239844</v>
      </c>
      <c r="F579" s="214" t="s">
        <v>1924</v>
      </c>
      <c r="G579" s="232">
        <v>37002</v>
      </c>
      <c r="H579" s="220">
        <v>32924</v>
      </c>
      <c r="I579" s="232">
        <v>63645</v>
      </c>
      <c r="J579" s="231">
        <v>4649</v>
      </c>
      <c r="K579" s="88">
        <f t="shared" si="23"/>
        <v>138220</v>
      </c>
      <c r="L579" s="50"/>
      <c r="M579" s="232">
        <v>1242</v>
      </c>
      <c r="N579" s="232">
        <v>0</v>
      </c>
      <c r="O579" s="231">
        <v>10419</v>
      </c>
      <c r="P579" s="88">
        <f t="shared" si="24"/>
        <v>11661</v>
      </c>
      <c r="Q579" s="50"/>
      <c r="R579" s="232">
        <v>66622</v>
      </c>
      <c r="S579" s="231">
        <v>-7630</v>
      </c>
      <c r="T579" s="233">
        <v>58992</v>
      </c>
    </row>
    <row r="580" spans="1:20">
      <c r="A580" s="48">
        <v>96301</v>
      </c>
      <c r="B580" s="49" t="s">
        <v>1276</v>
      </c>
      <c r="C580" s="234">
        <v>4.4197999999999998E-3</v>
      </c>
      <c r="D580" s="234">
        <v>4.3712999999999998E-3</v>
      </c>
      <c r="E580" s="214">
        <v>10485277</v>
      </c>
      <c r="F580" s="214" t="s">
        <v>1924</v>
      </c>
      <c r="G580" s="232">
        <v>1617629</v>
      </c>
      <c r="H580" s="220">
        <v>1439316</v>
      </c>
      <c r="I580" s="232">
        <v>2782388</v>
      </c>
      <c r="J580" s="231">
        <v>27387</v>
      </c>
      <c r="K580" s="88">
        <f t="shared" si="23"/>
        <v>5866720</v>
      </c>
      <c r="L580" s="50"/>
      <c r="M580" s="232">
        <v>54280</v>
      </c>
      <c r="N580" s="232">
        <v>0</v>
      </c>
      <c r="O580" s="231">
        <v>127331</v>
      </c>
      <c r="P580" s="88">
        <f t="shared" si="24"/>
        <v>181611</v>
      </c>
      <c r="Q580" s="50"/>
      <c r="R580" s="232">
        <v>2912529</v>
      </c>
      <c r="S580" s="231">
        <v>-34571</v>
      </c>
      <c r="T580" s="233">
        <v>2877958</v>
      </c>
    </row>
    <row r="581" spans="1:20">
      <c r="A581" s="48">
        <v>96302</v>
      </c>
      <c r="B581" s="49" t="s">
        <v>2342</v>
      </c>
      <c r="C581" s="234">
        <v>2.3499999999999999E-5</v>
      </c>
      <c r="D581" s="234">
        <v>2.5199999999999999E-5</v>
      </c>
      <c r="E581" s="214">
        <v>55750</v>
      </c>
      <c r="F581" s="214" t="s">
        <v>1924</v>
      </c>
      <c r="G581" s="232">
        <v>8601</v>
      </c>
      <c r="H581" s="220">
        <v>7653</v>
      </c>
      <c r="I581" s="232">
        <v>14794</v>
      </c>
      <c r="J581" s="231">
        <v>4772</v>
      </c>
      <c r="K581" s="88">
        <f t="shared" si="23"/>
        <v>35820</v>
      </c>
      <c r="L581" s="50"/>
      <c r="M581" s="232">
        <v>289</v>
      </c>
      <c r="N581" s="232">
        <v>0</v>
      </c>
      <c r="O581" s="231">
        <v>746</v>
      </c>
      <c r="P581" s="88">
        <f t="shared" si="24"/>
        <v>1035</v>
      </c>
      <c r="Q581" s="50"/>
      <c r="R581" s="232">
        <v>15486</v>
      </c>
      <c r="S581" s="231">
        <v>2441</v>
      </c>
      <c r="T581" s="233">
        <v>17927</v>
      </c>
    </row>
    <row r="582" spans="1:20">
      <c r="A582" s="48">
        <v>96304</v>
      </c>
      <c r="B582" s="49" t="s">
        <v>1278</v>
      </c>
      <c r="C582" s="234">
        <v>4.7500000000000003E-5</v>
      </c>
      <c r="D582" s="234">
        <v>4.5500000000000001E-5</v>
      </c>
      <c r="E582" s="214">
        <v>112686</v>
      </c>
      <c r="F582" s="214" t="s">
        <v>1924</v>
      </c>
      <c r="G582" s="232">
        <v>17385</v>
      </c>
      <c r="H582" s="220">
        <v>15469</v>
      </c>
      <c r="I582" s="232">
        <v>29903</v>
      </c>
      <c r="J582" s="231">
        <v>9034</v>
      </c>
      <c r="K582" s="88">
        <f t="shared" si="23"/>
        <v>71791</v>
      </c>
      <c r="L582" s="50"/>
      <c r="M582" s="232">
        <v>583</v>
      </c>
      <c r="N582" s="232">
        <v>0</v>
      </c>
      <c r="O582" s="231">
        <v>733</v>
      </c>
      <c r="P582" s="88">
        <f t="shared" si="24"/>
        <v>1316</v>
      </c>
      <c r="Q582" s="50"/>
      <c r="R582" s="232">
        <v>31301</v>
      </c>
      <c r="S582" s="231">
        <v>3589</v>
      </c>
      <c r="T582" s="233">
        <v>34890</v>
      </c>
    </row>
    <row r="583" spans="1:20">
      <c r="A583" s="48">
        <v>96305</v>
      </c>
      <c r="B583" s="49" t="s">
        <v>1279</v>
      </c>
      <c r="C583" s="234">
        <v>4.1100000000000003E-5</v>
      </c>
      <c r="D583" s="234">
        <v>4.5500000000000001E-5</v>
      </c>
      <c r="E583" s="214">
        <v>97503</v>
      </c>
      <c r="F583" s="214" t="s">
        <v>1924</v>
      </c>
      <c r="G583" s="232">
        <v>15042</v>
      </c>
      <c r="H583" s="220">
        <v>13384</v>
      </c>
      <c r="I583" s="232">
        <v>25874</v>
      </c>
      <c r="J583" s="231">
        <v>16290</v>
      </c>
      <c r="K583" s="88">
        <f t="shared" si="23"/>
        <v>70590</v>
      </c>
      <c r="L583" s="50"/>
      <c r="M583" s="232">
        <v>505</v>
      </c>
      <c r="N583" s="232">
        <v>0</v>
      </c>
      <c r="O583" s="231">
        <v>0</v>
      </c>
      <c r="P583" s="88">
        <f t="shared" si="24"/>
        <v>505</v>
      </c>
      <c r="Q583" s="50"/>
      <c r="R583" s="232">
        <v>27084</v>
      </c>
      <c r="S583" s="231">
        <v>6681</v>
      </c>
      <c r="T583" s="233">
        <v>33765</v>
      </c>
    </row>
    <row r="584" spans="1:20">
      <c r="A584" s="48">
        <v>96310</v>
      </c>
      <c r="B584" s="49" t="s">
        <v>1280</v>
      </c>
      <c r="C584" s="234">
        <v>5.02E-5</v>
      </c>
      <c r="D584" s="234">
        <v>6.1099999999999994E-5</v>
      </c>
      <c r="E584" s="214">
        <v>119092</v>
      </c>
      <c r="F584" s="214" t="s">
        <v>1924</v>
      </c>
      <c r="G584" s="232">
        <v>18373</v>
      </c>
      <c r="H584" s="220">
        <v>16347</v>
      </c>
      <c r="I584" s="232">
        <v>31602</v>
      </c>
      <c r="J584" s="231">
        <v>5953</v>
      </c>
      <c r="K584" s="88">
        <f t="shared" si="23"/>
        <v>72275</v>
      </c>
      <c r="L584" s="50"/>
      <c r="M584" s="232">
        <v>617</v>
      </c>
      <c r="N584" s="232">
        <v>0</v>
      </c>
      <c r="O584" s="231">
        <v>5950</v>
      </c>
      <c r="P584" s="88">
        <f t="shared" si="24"/>
        <v>6567</v>
      </c>
      <c r="Q584" s="50"/>
      <c r="R584" s="232">
        <v>33080</v>
      </c>
      <c r="S584" s="231">
        <v>2495</v>
      </c>
      <c r="T584" s="233">
        <v>35575</v>
      </c>
    </row>
    <row r="585" spans="1:20">
      <c r="A585" s="48">
        <v>96311</v>
      </c>
      <c r="B585" s="49" t="s">
        <v>2343</v>
      </c>
      <c r="C585" s="234">
        <v>1.3328000000000001E-3</v>
      </c>
      <c r="D585" s="234">
        <v>1.3113000000000001E-3</v>
      </c>
      <c r="E585" s="214">
        <v>3161857</v>
      </c>
      <c r="F585" s="214" t="s">
        <v>1924</v>
      </c>
      <c r="G585" s="232">
        <v>487799</v>
      </c>
      <c r="H585" s="220">
        <v>434029</v>
      </c>
      <c r="I585" s="232">
        <v>839035</v>
      </c>
      <c r="J585" s="231">
        <v>0</v>
      </c>
      <c r="K585" s="88">
        <f t="shared" si="23"/>
        <v>1760863</v>
      </c>
      <c r="L585" s="50"/>
      <c r="M585" s="232">
        <v>16368</v>
      </c>
      <c r="N585" s="232">
        <v>0</v>
      </c>
      <c r="O585" s="231">
        <v>112780</v>
      </c>
      <c r="P585" s="88">
        <f t="shared" si="24"/>
        <v>129148</v>
      </c>
      <c r="Q585" s="50"/>
      <c r="R585" s="232">
        <v>878279</v>
      </c>
      <c r="S585" s="231">
        <v>-38768</v>
      </c>
      <c r="T585" s="233">
        <v>839511</v>
      </c>
    </row>
    <row r="586" spans="1:20">
      <c r="A586" s="48">
        <v>96312</v>
      </c>
      <c r="B586" s="49" t="s">
        <v>2344</v>
      </c>
      <c r="C586" s="234">
        <v>6.1E-6</v>
      </c>
      <c r="D586" s="234">
        <v>1.5999999999999999E-5</v>
      </c>
      <c r="E586" s="214">
        <v>14471</v>
      </c>
      <c r="F586" s="214" t="s">
        <v>1924</v>
      </c>
      <c r="G586" s="232">
        <v>2233</v>
      </c>
      <c r="H586" s="220">
        <v>1987</v>
      </c>
      <c r="I586" s="232">
        <v>3840</v>
      </c>
      <c r="J586" s="231">
        <v>5741</v>
      </c>
      <c r="K586" s="88">
        <f t="shared" si="23"/>
        <v>13801</v>
      </c>
      <c r="L586" s="50"/>
      <c r="M586" s="232">
        <v>75</v>
      </c>
      <c r="N586" s="232">
        <v>0</v>
      </c>
      <c r="O586" s="231">
        <v>7008</v>
      </c>
      <c r="P586" s="88">
        <f t="shared" si="24"/>
        <v>7083</v>
      </c>
      <c r="Q586" s="50"/>
      <c r="R586" s="232">
        <v>4020</v>
      </c>
      <c r="S586" s="231">
        <v>-1283</v>
      </c>
      <c r="T586" s="233">
        <v>2737</v>
      </c>
    </row>
    <row r="587" spans="1:20">
      <c r="A587" s="48">
        <v>96318</v>
      </c>
      <c r="B587" s="49" t="s">
        <v>1283</v>
      </c>
      <c r="C587" s="234">
        <v>2.2098999999999999E-3</v>
      </c>
      <c r="D587" s="234">
        <v>2.1684999999999999E-3</v>
      </c>
      <c r="E587" s="214">
        <v>5242639</v>
      </c>
      <c r="F587" s="214" t="s">
        <v>1924</v>
      </c>
      <c r="G587" s="232">
        <v>808815</v>
      </c>
      <c r="H587" s="220">
        <v>719659</v>
      </c>
      <c r="I587" s="232">
        <v>1391194</v>
      </c>
      <c r="J587" s="231">
        <v>5150573</v>
      </c>
      <c r="K587" s="88">
        <f t="shared" si="23"/>
        <v>8070241</v>
      </c>
      <c r="L587" s="50"/>
      <c r="M587" s="232">
        <v>27140</v>
      </c>
      <c r="N587" s="232">
        <v>0</v>
      </c>
      <c r="O587" s="231">
        <v>0</v>
      </c>
      <c r="P587" s="88">
        <f t="shared" si="24"/>
        <v>27140</v>
      </c>
      <c r="Q587" s="50"/>
      <c r="R587" s="232">
        <v>1456264</v>
      </c>
      <c r="S587" s="231">
        <v>2691083</v>
      </c>
      <c r="T587" s="233">
        <v>4147347</v>
      </c>
    </row>
    <row r="588" spans="1:20">
      <c r="A588" s="48">
        <v>96321</v>
      </c>
      <c r="B588" s="49" t="s">
        <v>2345</v>
      </c>
      <c r="C588" s="234">
        <v>3.7299999999999999E-5</v>
      </c>
      <c r="D588" s="234">
        <v>3.6900000000000002E-5</v>
      </c>
      <c r="E588" s="214">
        <v>88488</v>
      </c>
      <c r="F588" s="214" t="s">
        <v>1924</v>
      </c>
      <c r="G588" s="232">
        <v>13652</v>
      </c>
      <c r="H588" s="220">
        <v>12147</v>
      </c>
      <c r="I588" s="232">
        <v>23481</v>
      </c>
      <c r="J588" s="231">
        <v>2037</v>
      </c>
      <c r="K588" s="88">
        <f t="shared" si="23"/>
        <v>51317</v>
      </c>
      <c r="L588" s="50"/>
      <c r="M588" s="232">
        <v>458</v>
      </c>
      <c r="N588" s="232">
        <v>0</v>
      </c>
      <c r="O588" s="231">
        <v>1391</v>
      </c>
      <c r="P588" s="88">
        <f t="shared" si="24"/>
        <v>1849</v>
      </c>
      <c r="Q588" s="50"/>
      <c r="R588" s="232">
        <v>24580</v>
      </c>
      <c r="S588" s="231">
        <v>-243</v>
      </c>
      <c r="T588" s="233">
        <v>24337</v>
      </c>
    </row>
    <row r="589" spans="1:20">
      <c r="A589" s="48">
        <v>96331</v>
      </c>
      <c r="B589" s="49" t="s">
        <v>2346</v>
      </c>
      <c r="C589" s="234">
        <v>7.0220000000000005E-4</v>
      </c>
      <c r="D589" s="234">
        <v>7.0850000000000004E-4</v>
      </c>
      <c r="E589" s="214">
        <v>1665859</v>
      </c>
      <c r="F589" s="214" t="s">
        <v>1924</v>
      </c>
      <c r="G589" s="232">
        <v>257002</v>
      </c>
      <c r="H589" s="220">
        <v>228672</v>
      </c>
      <c r="I589" s="232">
        <v>442055</v>
      </c>
      <c r="J589" s="231">
        <v>1400</v>
      </c>
      <c r="K589" s="88">
        <f t="shared" si="23"/>
        <v>929129</v>
      </c>
      <c r="L589" s="50"/>
      <c r="M589" s="232">
        <v>8624</v>
      </c>
      <c r="N589" s="232">
        <v>0</v>
      </c>
      <c r="O589" s="231">
        <v>67389</v>
      </c>
      <c r="P589" s="88">
        <f t="shared" si="24"/>
        <v>76013</v>
      </c>
      <c r="Q589" s="50"/>
      <c r="R589" s="232">
        <v>462731</v>
      </c>
      <c r="S589" s="231">
        <v>-31677</v>
      </c>
      <c r="T589" s="233">
        <v>431054</v>
      </c>
    </row>
    <row r="590" spans="1:20">
      <c r="A590" s="48">
        <v>96341</v>
      </c>
      <c r="B590" s="49" t="s">
        <v>2347</v>
      </c>
      <c r="C590" s="234">
        <v>9.1399999999999999E-5</v>
      </c>
      <c r="D590" s="234">
        <v>8.3800000000000004E-5</v>
      </c>
      <c r="E590" s="214">
        <v>216832</v>
      </c>
      <c r="F590" s="214" t="s">
        <v>1924</v>
      </c>
      <c r="G590" s="232">
        <v>33452</v>
      </c>
      <c r="H590" s="220">
        <v>29765</v>
      </c>
      <c r="I590" s="232">
        <v>57539</v>
      </c>
      <c r="J590" s="231">
        <v>7342</v>
      </c>
      <c r="K590" s="88">
        <f t="shared" si="23"/>
        <v>128098</v>
      </c>
      <c r="L590" s="50"/>
      <c r="M590" s="232">
        <v>1122</v>
      </c>
      <c r="N590" s="232">
        <v>0</v>
      </c>
      <c r="O590" s="231">
        <v>5984</v>
      </c>
      <c r="P590" s="88">
        <f t="shared" si="24"/>
        <v>7106</v>
      </c>
      <c r="Q590" s="50"/>
      <c r="R590" s="232">
        <v>60230</v>
      </c>
      <c r="S590" s="231">
        <v>-2239</v>
      </c>
      <c r="T590" s="233">
        <v>57991</v>
      </c>
    </row>
    <row r="591" spans="1:20">
      <c r="A591" s="48">
        <v>96351</v>
      </c>
      <c r="B591" s="49" t="s">
        <v>2482</v>
      </c>
      <c r="C591" s="234">
        <v>1.0456E-3</v>
      </c>
      <c r="D591" s="234">
        <v>1.0616E-3</v>
      </c>
      <c r="E591" s="214">
        <v>2480521</v>
      </c>
      <c r="F591" s="214" t="s">
        <v>1924</v>
      </c>
      <c r="G591" s="232">
        <v>382685</v>
      </c>
      <c r="H591" s="220">
        <v>340501</v>
      </c>
      <c r="I591" s="232">
        <v>658234</v>
      </c>
      <c r="J591" s="231">
        <v>1398</v>
      </c>
      <c r="K591" s="88">
        <f t="shared" si="23"/>
        <v>1382818</v>
      </c>
      <c r="L591" s="50"/>
      <c r="M591" s="232">
        <v>12841</v>
      </c>
      <c r="N591" s="232">
        <v>0</v>
      </c>
      <c r="O591" s="231">
        <v>35067</v>
      </c>
      <c r="P591" s="88">
        <f t="shared" si="24"/>
        <v>47908</v>
      </c>
      <c r="Q591" s="50"/>
      <c r="R591" s="232">
        <v>689022</v>
      </c>
      <c r="S591" s="231">
        <v>-9188</v>
      </c>
      <c r="T591" s="233">
        <v>679834</v>
      </c>
    </row>
    <row r="592" spans="1:20">
      <c r="A592" s="48">
        <v>96361</v>
      </c>
      <c r="B592" s="49" t="s">
        <v>2348</v>
      </c>
      <c r="C592" s="234">
        <v>4.9400000000000001E-5</v>
      </c>
      <c r="D592" s="234">
        <v>5.5699999999999999E-5</v>
      </c>
      <c r="E592" s="214">
        <v>117194</v>
      </c>
      <c r="F592" s="214" t="s">
        <v>1924</v>
      </c>
      <c r="G592" s="232">
        <v>18080</v>
      </c>
      <c r="H592" s="220">
        <v>16088</v>
      </c>
      <c r="I592" s="232">
        <v>31099</v>
      </c>
      <c r="J592" s="231">
        <v>1546</v>
      </c>
      <c r="K592" s="88">
        <f t="shared" si="23"/>
        <v>66813</v>
      </c>
      <c r="L592" s="50"/>
      <c r="M592" s="232">
        <v>607</v>
      </c>
      <c r="N592" s="232">
        <v>0</v>
      </c>
      <c r="O592" s="231">
        <v>5439</v>
      </c>
      <c r="P592" s="88">
        <f t="shared" si="24"/>
        <v>6046</v>
      </c>
      <c r="Q592" s="50"/>
      <c r="R592" s="232">
        <v>32553</v>
      </c>
      <c r="S592" s="231">
        <v>190</v>
      </c>
      <c r="T592" s="233">
        <v>32743</v>
      </c>
    </row>
    <row r="593" spans="1:20">
      <c r="A593" s="48">
        <v>96371</v>
      </c>
      <c r="B593" s="49" t="s">
        <v>2483</v>
      </c>
      <c r="C593" s="234">
        <v>1.4200000000000001E-4</v>
      </c>
      <c r="D593" s="234">
        <v>1.5249999999999999E-4</v>
      </c>
      <c r="E593" s="214">
        <v>336873</v>
      </c>
      <c r="F593" s="214" t="s">
        <v>1924</v>
      </c>
      <c r="G593" s="232">
        <v>51971</v>
      </c>
      <c r="H593" s="220">
        <v>46242</v>
      </c>
      <c r="I593" s="232">
        <v>89393</v>
      </c>
      <c r="J593" s="231">
        <v>0</v>
      </c>
      <c r="K593" s="88">
        <f t="shared" si="23"/>
        <v>187606</v>
      </c>
      <c r="L593" s="50"/>
      <c r="M593" s="232">
        <v>1744</v>
      </c>
      <c r="N593" s="232">
        <v>0</v>
      </c>
      <c r="O593" s="231">
        <v>16072</v>
      </c>
      <c r="P593" s="88">
        <f t="shared" si="24"/>
        <v>17816</v>
      </c>
      <c r="Q593" s="50"/>
      <c r="R593" s="232">
        <v>93574</v>
      </c>
      <c r="S593" s="231">
        <v>-4573</v>
      </c>
      <c r="T593" s="233">
        <v>89001</v>
      </c>
    </row>
    <row r="594" spans="1:20">
      <c r="A594" s="48">
        <v>96381</v>
      </c>
      <c r="B594" s="49" t="s">
        <v>1290</v>
      </c>
      <c r="C594" s="234">
        <v>3.5200000000000002E-5</v>
      </c>
      <c r="D594" s="234">
        <v>3.2100000000000001E-5</v>
      </c>
      <c r="E594" s="214">
        <v>83506</v>
      </c>
      <c r="F594" s="214" t="s">
        <v>1924</v>
      </c>
      <c r="G594" s="232">
        <v>12883</v>
      </c>
      <c r="H594" s="220">
        <v>11463</v>
      </c>
      <c r="I594" s="232">
        <v>22159</v>
      </c>
      <c r="J594" s="231">
        <v>1710</v>
      </c>
      <c r="K594" s="88">
        <f t="shared" si="23"/>
        <v>48215</v>
      </c>
      <c r="L594" s="50"/>
      <c r="M594" s="232">
        <v>432</v>
      </c>
      <c r="N594" s="232">
        <v>0</v>
      </c>
      <c r="O594" s="231">
        <v>634</v>
      </c>
      <c r="P594" s="88">
        <f t="shared" si="24"/>
        <v>1066</v>
      </c>
      <c r="Q594" s="50"/>
      <c r="R594" s="232">
        <v>23196</v>
      </c>
      <c r="S594" s="231">
        <v>-775</v>
      </c>
      <c r="T594" s="233">
        <v>22421</v>
      </c>
    </row>
    <row r="595" spans="1:20">
      <c r="A595" s="48">
        <v>96391</v>
      </c>
      <c r="B595" s="49" t="s">
        <v>2349</v>
      </c>
      <c r="C595" s="234">
        <v>2.1350000000000001E-4</v>
      </c>
      <c r="D595" s="234">
        <v>2.029E-4</v>
      </c>
      <c r="E595" s="214">
        <v>506495</v>
      </c>
      <c r="F595" s="214" t="s">
        <v>1924</v>
      </c>
      <c r="G595" s="232">
        <v>78140</v>
      </c>
      <c r="H595" s="220">
        <v>69527</v>
      </c>
      <c r="I595" s="232">
        <v>134404</v>
      </c>
      <c r="J595" s="231">
        <v>0</v>
      </c>
      <c r="K595" s="88">
        <f t="shared" ref="K595:K659" si="25">G595+H595+I595+J595</f>
        <v>282071</v>
      </c>
      <c r="L595" s="50"/>
      <c r="M595" s="232">
        <v>2622</v>
      </c>
      <c r="N595" s="232">
        <v>0</v>
      </c>
      <c r="O595" s="231">
        <v>20575</v>
      </c>
      <c r="P595" s="88">
        <f t="shared" ref="P595:P659" si="26">M595+N595+O595</f>
        <v>23197</v>
      </c>
      <c r="Q595" s="50"/>
      <c r="R595" s="232">
        <v>140691</v>
      </c>
      <c r="S595" s="231">
        <v>-665</v>
      </c>
      <c r="T595" s="233">
        <v>140026</v>
      </c>
    </row>
    <row r="596" spans="1:20">
      <c r="A596" s="48">
        <v>96401</v>
      </c>
      <c r="B596" s="49" t="s">
        <v>1292</v>
      </c>
      <c r="C596" s="234">
        <v>4.4764999999999996E-3</v>
      </c>
      <c r="D596" s="234">
        <v>4.5672000000000004E-3</v>
      </c>
      <c r="E596" s="214">
        <v>10619789</v>
      </c>
      <c r="F596" s="214" t="s">
        <v>1924</v>
      </c>
      <c r="G596" s="232">
        <v>1638381</v>
      </c>
      <c r="H596" s="220">
        <v>1457781</v>
      </c>
      <c r="I596" s="232">
        <v>2818082</v>
      </c>
      <c r="J596" s="231">
        <v>0</v>
      </c>
      <c r="K596" s="88">
        <f t="shared" si="25"/>
        <v>5914244</v>
      </c>
      <c r="L596" s="50"/>
      <c r="M596" s="232">
        <v>54976</v>
      </c>
      <c r="N596" s="232">
        <v>0</v>
      </c>
      <c r="O596" s="231">
        <v>163892</v>
      </c>
      <c r="P596" s="88">
        <f t="shared" si="26"/>
        <v>218868</v>
      </c>
      <c r="Q596" s="50"/>
      <c r="R596" s="232">
        <v>2949893</v>
      </c>
      <c r="S596" s="231">
        <v>-37128</v>
      </c>
      <c r="T596" s="233">
        <v>2912765</v>
      </c>
    </row>
    <row r="597" spans="1:20">
      <c r="A597" s="48">
        <v>96404</v>
      </c>
      <c r="B597" s="49" t="s">
        <v>1293</v>
      </c>
      <c r="C597" s="234">
        <v>9.98E-5</v>
      </c>
      <c r="D597" s="234">
        <v>1.026E-4</v>
      </c>
      <c r="E597" s="214">
        <v>236760</v>
      </c>
      <c r="F597" s="214" t="s">
        <v>1924</v>
      </c>
      <c r="G597" s="232">
        <v>36526</v>
      </c>
      <c r="H597" s="220">
        <v>32500</v>
      </c>
      <c r="I597" s="232">
        <v>62827</v>
      </c>
      <c r="J597" s="231">
        <v>25677</v>
      </c>
      <c r="K597" s="88">
        <f t="shared" si="25"/>
        <v>157530</v>
      </c>
      <c r="L597" s="50"/>
      <c r="M597" s="232">
        <v>1226</v>
      </c>
      <c r="N597" s="232">
        <v>0</v>
      </c>
      <c r="O597" s="231">
        <v>0</v>
      </c>
      <c r="P597" s="88">
        <f t="shared" si="26"/>
        <v>1226</v>
      </c>
      <c r="Q597" s="50"/>
      <c r="R597" s="232">
        <v>65766</v>
      </c>
      <c r="S597" s="231">
        <v>12826</v>
      </c>
      <c r="T597" s="233">
        <v>78592</v>
      </c>
    </row>
    <row r="598" spans="1:20">
      <c r="A598" s="48">
        <v>96405</v>
      </c>
      <c r="B598" s="49" t="s">
        <v>1294</v>
      </c>
      <c r="C598" s="234">
        <v>1.3219999999999999E-4</v>
      </c>
      <c r="D598" s="234">
        <v>1.6139999999999999E-4</v>
      </c>
      <c r="E598" s="214">
        <v>313624</v>
      </c>
      <c r="F598" s="214" t="s">
        <v>1924</v>
      </c>
      <c r="G598" s="232">
        <v>48385</v>
      </c>
      <c r="H598" s="220">
        <v>43051</v>
      </c>
      <c r="I598" s="232">
        <v>83224</v>
      </c>
      <c r="J598" s="231">
        <v>4606</v>
      </c>
      <c r="K598" s="88">
        <f t="shared" si="25"/>
        <v>179266</v>
      </c>
      <c r="L598" s="50"/>
      <c r="M598" s="232">
        <v>1624</v>
      </c>
      <c r="N598" s="232">
        <v>0</v>
      </c>
      <c r="O598" s="231">
        <v>1578</v>
      </c>
      <c r="P598" s="88">
        <f t="shared" si="26"/>
        <v>3202</v>
      </c>
      <c r="Q598" s="50"/>
      <c r="R598" s="232">
        <v>87116</v>
      </c>
      <c r="S598" s="231">
        <v>4206</v>
      </c>
      <c r="T598" s="233">
        <v>91322</v>
      </c>
    </row>
    <row r="599" spans="1:20">
      <c r="A599" s="48">
        <v>96411</v>
      </c>
      <c r="B599" s="49" t="s">
        <v>2350</v>
      </c>
      <c r="C599" s="234">
        <v>7.1899999999999999E-5</v>
      </c>
      <c r="D599" s="234">
        <v>7.2299999999999996E-5</v>
      </c>
      <c r="E599" s="214">
        <v>170571</v>
      </c>
      <c r="F599" s="214" t="s">
        <v>1924</v>
      </c>
      <c r="G599" s="232">
        <v>26315</v>
      </c>
      <c r="H599" s="220">
        <v>23414</v>
      </c>
      <c r="I599" s="232">
        <v>45263</v>
      </c>
      <c r="J599" s="231">
        <v>7628</v>
      </c>
      <c r="K599" s="88">
        <f t="shared" si="25"/>
        <v>102620</v>
      </c>
      <c r="L599" s="50"/>
      <c r="M599" s="232">
        <v>883</v>
      </c>
      <c r="N599" s="232">
        <v>0</v>
      </c>
      <c r="O599" s="231">
        <v>5714</v>
      </c>
      <c r="P599" s="88">
        <f t="shared" si="26"/>
        <v>6597</v>
      </c>
      <c r="Q599" s="50"/>
      <c r="R599" s="232">
        <v>47380</v>
      </c>
      <c r="S599" s="231">
        <v>1584</v>
      </c>
      <c r="T599" s="233">
        <v>48964</v>
      </c>
    </row>
    <row r="600" spans="1:20">
      <c r="A600" s="48">
        <v>96421</v>
      </c>
      <c r="B600" s="49" t="s">
        <v>2351</v>
      </c>
      <c r="C600" s="234">
        <v>4.2880000000000001E-4</v>
      </c>
      <c r="D600" s="234">
        <v>4.2529999999999998E-4</v>
      </c>
      <c r="E600" s="214">
        <v>1017260</v>
      </c>
      <c r="F600" s="214" t="s">
        <v>1924</v>
      </c>
      <c r="G600" s="232">
        <v>156939</v>
      </c>
      <c r="H600" s="220">
        <v>139640</v>
      </c>
      <c r="I600" s="232">
        <v>269942</v>
      </c>
      <c r="J600" s="231">
        <v>0</v>
      </c>
      <c r="K600" s="88">
        <f t="shared" si="25"/>
        <v>566521</v>
      </c>
      <c r="L600" s="50"/>
      <c r="M600" s="232">
        <v>5266</v>
      </c>
      <c r="N600" s="232">
        <v>0</v>
      </c>
      <c r="O600" s="231">
        <v>60679</v>
      </c>
      <c r="P600" s="88">
        <f t="shared" si="26"/>
        <v>65945</v>
      </c>
      <c r="Q600" s="50"/>
      <c r="R600" s="232">
        <v>282568</v>
      </c>
      <c r="S600" s="231">
        <v>-39301</v>
      </c>
      <c r="T600" s="233">
        <v>243267</v>
      </c>
    </row>
    <row r="601" spans="1:20">
      <c r="A601" s="48">
        <v>96431</v>
      </c>
      <c r="B601" s="49" t="s">
        <v>2352</v>
      </c>
      <c r="C601" s="234">
        <v>3.0599999999999998E-5</v>
      </c>
      <c r="D601" s="234">
        <v>4.2799999999999997E-5</v>
      </c>
      <c r="E601" s="214">
        <v>72594</v>
      </c>
      <c r="F601" s="214" t="s">
        <v>1924</v>
      </c>
      <c r="G601" s="232">
        <v>11199</v>
      </c>
      <c r="H601" s="220">
        <v>9965</v>
      </c>
      <c r="I601" s="232">
        <v>19264</v>
      </c>
      <c r="J601" s="231">
        <v>4082</v>
      </c>
      <c r="K601" s="88">
        <f t="shared" si="25"/>
        <v>44510</v>
      </c>
      <c r="L601" s="50"/>
      <c r="M601" s="232">
        <v>376</v>
      </c>
      <c r="N601" s="232">
        <v>0</v>
      </c>
      <c r="O601" s="231">
        <v>9581</v>
      </c>
      <c r="P601" s="88">
        <f t="shared" si="26"/>
        <v>9957</v>
      </c>
      <c r="Q601" s="50"/>
      <c r="R601" s="232">
        <v>20165</v>
      </c>
      <c r="S601" s="231">
        <v>-2392</v>
      </c>
      <c r="T601" s="233">
        <v>17773</v>
      </c>
    </row>
    <row r="602" spans="1:20">
      <c r="A602" s="48">
        <v>96441</v>
      </c>
      <c r="B602" s="49" t="s">
        <v>2353</v>
      </c>
      <c r="C602" s="234">
        <v>2.8E-5</v>
      </c>
      <c r="D602" s="234">
        <v>2.97E-5</v>
      </c>
      <c r="E602" s="214">
        <v>66426</v>
      </c>
      <c r="F602" s="214" t="s">
        <v>1924</v>
      </c>
      <c r="G602" s="232">
        <v>10248</v>
      </c>
      <c r="H602" s="220">
        <v>9118</v>
      </c>
      <c r="I602" s="232">
        <v>17627</v>
      </c>
      <c r="J602" s="231">
        <v>4392</v>
      </c>
      <c r="K602" s="88">
        <f t="shared" si="25"/>
        <v>41385</v>
      </c>
      <c r="L602" s="50"/>
      <c r="M602" s="232">
        <v>344</v>
      </c>
      <c r="N602" s="232">
        <v>0</v>
      </c>
      <c r="O602" s="231">
        <v>57</v>
      </c>
      <c r="P602" s="88">
        <f t="shared" si="26"/>
        <v>401</v>
      </c>
      <c r="Q602" s="50"/>
      <c r="R602" s="232">
        <v>18451</v>
      </c>
      <c r="S602" s="231">
        <v>2845</v>
      </c>
      <c r="T602" s="233">
        <v>21296</v>
      </c>
    </row>
    <row r="603" spans="1:20">
      <c r="A603" s="48">
        <v>96451</v>
      </c>
      <c r="B603" s="49" t="s">
        <v>2354</v>
      </c>
      <c r="C603" s="234">
        <v>1.8700000000000001E-5</v>
      </c>
      <c r="D603" s="234">
        <v>2.0299999999999999E-5</v>
      </c>
      <c r="E603" s="214">
        <v>44363</v>
      </c>
      <c r="F603" s="214" t="s">
        <v>1924</v>
      </c>
      <c r="G603" s="232">
        <v>6844</v>
      </c>
      <c r="H603" s="220">
        <v>6089</v>
      </c>
      <c r="I603" s="232">
        <v>11772</v>
      </c>
      <c r="J603" s="231">
        <v>4558</v>
      </c>
      <c r="K603" s="88">
        <f t="shared" si="25"/>
        <v>29263</v>
      </c>
      <c r="L603" s="50"/>
      <c r="M603" s="232">
        <v>230</v>
      </c>
      <c r="N603" s="232">
        <v>0</v>
      </c>
      <c r="O603" s="231">
        <v>2079</v>
      </c>
      <c r="P603" s="88">
        <f t="shared" si="26"/>
        <v>2309</v>
      </c>
      <c r="Q603" s="50"/>
      <c r="R603" s="232">
        <v>12323</v>
      </c>
      <c r="S603" s="231">
        <v>588</v>
      </c>
      <c r="T603" s="233">
        <v>12911</v>
      </c>
    </row>
    <row r="604" spans="1:20">
      <c r="A604" s="48">
        <v>96461</v>
      </c>
      <c r="B604" s="49" t="s">
        <v>2355</v>
      </c>
      <c r="C604" s="234">
        <v>1.538E-4</v>
      </c>
      <c r="D604" s="234">
        <v>1.361E-4</v>
      </c>
      <c r="E604" s="214">
        <v>364866</v>
      </c>
      <c r="F604" s="214" t="s">
        <v>1924</v>
      </c>
      <c r="G604" s="232">
        <v>56290</v>
      </c>
      <c r="H604" s="220">
        <v>50085</v>
      </c>
      <c r="I604" s="232">
        <v>96821</v>
      </c>
      <c r="J604" s="231">
        <v>11947</v>
      </c>
      <c r="K604" s="88">
        <f t="shared" si="25"/>
        <v>215143</v>
      </c>
      <c r="L604" s="50"/>
      <c r="M604" s="232">
        <v>1889</v>
      </c>
      <c r="N604" s="232">
        <v>0</v>
      </c>
      <c r="O604" s="231">
        <v>9861</v>
      </c>
      <c r="P604" s="88">
        <f t="shared" si="26"/>
        <v>11750</v>
      </c>
      <c r="Q604" s="50"/>
      <c r="R604" s="232">
        <v>101350</v>
      </c>
      <c r="S604" s="231">
        <v>-1446</v>
      </c>
      <c r="T604" s="233">
        <v>99904</v>
      </c>
    </row>
    <row r="605" spans="1:20">
      <c r="A605" s="48">
        <v>96501</v>
      </c>
      <c r="B605" s="49" t="s">
        <v>1301</v>
      </c>
      <c r="C605" s="234">
        <v>1.453E-2</v>
      </c>
      <c r="D605" s="234">
        <v>1.44739E-2</v>
      </c>
      <c r="E605" s="214">
        <v>34470129</v>
      </c>
      <c r="F605" s="214" t="s">
        <v>1924</v>
      </c>
      <c r="G605" s="232">
        <v>5317922</v>
      </c>
      <c r="H605" s="220">
        <v>4731723</v>
      </c>
      <c r="I605" s="232">
        <v>9147042</v>
      </c>
      <c r="J605" s="231">
        <v>113402</v>
      </c>
      <c r="K605" s="88">
        <f t="shared" si="25"/>
        <v>19310089</v>
      </c>
      <c r="L605" s="50"/>
      <c r="M605" s="232">
        <v>178443</v>
      </c>
      <c r="N605" s="232">
        <v>0</v>
      </c>
      <c r="O605" s="231">
        <v>280861</v>
      </c>
      <c r="P605" s="88">
        <f t="shared" si="26"/>
        <v>459304</v>
      </c>
      <c r="Q605" s="50"/>
      <c r="R605" s="232">
        <v>9574878</v>
      </c>
      <c r="S605" s="231">
        <v>126655</v>
      </c>
      <c r="T605" s="233">
        <v>9701533</v>
      </c>
    </row>
    <row r="606" spans="1:20">
      <c r="A606" s="48">
        <v>96502</v>
      </c>
      <c r="B606" s="49" t="s">
        <v>2759</v>
      </c>
      <c r="C606" s="234">
        <v>4.059E-4</v>
      </c>
      <c r="D606" s="234">
        <v>4.2440000000000002E-4</v>
      </c>
      <c r="E606" s="214">
        <v>962934</v>
      </c>
      <c r="F606" s="214" t="s">
        <v>1924</v>
      </c>
      <c r="G606" s="232">
        <v>148558</v>
      </c>
      <c r="H606" s="220">
        <v>132183</v>
      </c>
      <c r="I606" s="232">
        <v>255525</v>
      </c>
      <c r="J606" s="231">
        <v>16491</v>
      </c>
      <c r="K606" s="88">
        <f t="shared" si="25"/>
        <v>552757</v>
      </c>
      <c r="L606" s="50"/>
      <c r="M606" s="232">
        <v>4985</v>
      </c>
      <c r="N606" s="232">
        <v>0</v>
      </c>
      <c r="O606" s="231">
        <v>0</v>
      </c>
      <c r="P606" s="88">
        <f t="shared" si="26"/>
        <v>4985</v>
      </c>
      <c r="Q606" s="50"/>
      <c r="R606" s="232">
        <v>267477</v>
      </c>
      <c r="S606" s="231">
        <v>23122</v>
      </c>
      <c r="T606" s="233">
        <v>290599</v>
      </c>
    </row>
    <row r="607" spans="1:20">
      <c r="A607" s="48">
        <v>96503</v>
      </c>
      <c r="B607" s="49" t="s">
        <v>1303</v>
      </c>
      <c r="C607" s="234">
        <v>2.856E-4</v>
      </c>
      <c r="D607" s="234">
        <v>3.0039999999999998E-4</v>
      </c>
      <c r="E607" s="214">
        <v>677541</v>
      </c>
      <c r="F607" s="214" t="s">
        <v>1924</v>
      </c>
      <c r="G607" s="232">
        <v>104528</v>
      </c>
      <c r="H607" s="220">
        <v>93006</v>
      </c>
      <c r="I607" s="232">
        <v>179793</v>
      </c>
      <c r="J607" s="231">
        <v>287738</v>
      </c>
      <c r="K607" s="88">
        <f t="shared" si="25"/>
        <v>665065</v>
      </c>
      <c r="L607" s="50"/>
      <c r="M607" s="232">
        <v>3507</v>
      </c>
      <c r="N607" s="232">
        <v>0</v>
      </c>
      <c r="O607" s="231">
        <v>0</v>
      </c>
      <c r="P607" s="88">
        <f t="shared" si="26"/>
        <v>3507</v>
      </c>
      <c r="Q607" s="50"/>
      <c r="R607" s="232">
        <v>188203</v>
      </c>
      <c r="S607" s="231">
        <v>104796</v>
      </c>
      <c r="T607" s="233">
        <v>292999</v>
      </c>
    </row>
    <row r="608" spans="1:20">
      <c r="A608" s="48">
        <v>96504</v>
      </c>
      <c r="B608" s="49" t="s">
        <v>1304</v>
      </c>
      <c r="C608" s="234">
        <v>4.0900000000000002E-4</v>
      </c>
      <c r="D608" s="234">
        <v>4.1760000000000001E-4</v>
      </c>
      <c r="E608" s="214">
        <v>970288</v>
      </c>
      <c r="F608" s="214" t="s">
        <v>1924</v>
      </c>
      <c r="G608" s="232">
        <v>149692</v>
      </c>
      <c r="H608" s="220">
        <v>133192</v>
      </c>
      <c r="I608" s="232">
        <v>257477</v>
      </c>
      <c r="J608" s="231">
        <v>30948</v>
      </c>
      <c r="K608" s="88">
        <f t="shared" si="25"/>
        <v>571309</v>
      </c>
      <c r="L608" s="50"/>
      <c r="M608" s="232">
        <v>5023</v>
      </c>
      <c r="N608" s="232">
        <v>0</v>
      </c>
      <c r="O608" s="231">
        <v>3438</v>
      </c>
      <c r="P608" s="88">
        <f t="shared" si="26"/>
        <v>8461</v>
      </c>
      <c r="Q608" s="50"/>
      <c r="R608" s="232">
        <v>269520</v>
      </c>
      <c r="S608" s="231">
        <v>11348</v>
      </c>
      <c r="T608" s="233">
        <v>280868</v>
      </c>
    </row>
    <row r="609" spans="1:20">
      <c r="A609" s="48">
        <v>96507</v>
      </c>
      <c r="B609" s="49" t="s">
        <v>1305</v>
      </c>
      <c r="C609" s="234">
        <v>2.2176000000000001E-3</v>
      </c>
      <c r="D609" s="234">
        <v>2.2147E-3</v>
      </c>
      <c r="E609" s="214">
        <v>5260906</v>
      </c>
      <c r="F609" s="214" t="s">
        <v>1924</v>
      </c>
      <c r="G609" s="232">
        <v>811633</v>
      </c>
      <c r="H609" s="220">
        <v>722166</v>
      </c>
      <c r="I609" s="232">
        <v>1396041</v>
      </c>
      <c r="J609" s="231">
        <v>85460</v>
      </c>
      <c r="K609" s="88">
        <f t="shared" si="25"/>
        <v>3015300</v>
      </c>
      <c r="L609" s="50"/>
      <c r="M609" s="232">
        <v>27234</v>
      </c>
      <c r="N609" s="232">
        <v>0</v>
      </c>
      <c r="O609" s="231">
        <v>17095</v>
      </c>
      <c r="P609" s="88">
        <f t="shared" si="26"/>
        <v>44329</v>
      </c>
      <c r="Q609" s="50"/>
      <c r="R609" s="232">
        <v>1461339</v>
      </c>
      <c r="S609" s="231">
        <v>67118</v>
      </c>
      <c r="T609" s="233">
        <v>1528457</v>
      </c>
    </row>
    <row r="610" spans="1:20">
      <c r="A610" s="48">
        <v>96508</v>
      </c>
      <c r="B610" s="49" t="s">
        <v>2760</v>
      </c>
      <c r="C610" s="234">
        <v>7.4000000000000003E-6</v>
      </c>
      <c r="D610" s="234">
        <v>8.6000000000000007E-6</v>
      </c>
      <c r="E610" s="215">
        <v>17555</v>
      </c>
      <c r="F610" s="215" t="s">
        <v>1924</v>
      </c>
      <c r="G610" s="232">
        <v>2708</v>
      </c>
      <c r="H610" s="220">
        <v>2410</v>
      </c>
      <c r="I610" s="232">
        <v>4659</v>
      </c>
      <c r="J610" s="231">
        <v>12344</v>
      </c>
      <c r="K610" s="88">
        <f t="shared" si="25"/>
        <v>22121</v>
      </c>
      <c r="L610" s="50"/>
      <c r="M610" s="232">
        <v>91</v>
      </c>
      <c r="N610" s="232">
        <v>0</v>
      </c>
      <c r="O610" s="231">
        <v>0</v>
      </c>
      <c r="P610" s="88">
        <f t="shared" si="26"/>
        <v>91</v>
      </c>
      <c r="Q610" s="50"/>
      <c r="R610" s="232">
        <v>4876</v>
      </c>
      <c r="S610" s="231">
        <v>5799</v>
      </c>
      <c r="T610" s="233">
        <v>10675</v>
      </c>
    </row>
    <row r="611" spans="1:20">
      <c r="A611" s="48">
        <v>96511</v>
      </c>
      <c r="B611" s="49" t="s">
        <v>2356</v>
      </c>
      <c r="C611" s="234">
        <v>6.1580000000000001E-4</v>
      </c>
      <c r="D611" s="234">
        <v>6.2069999999999996E-4</v>
      </c>
      <c r="E611" s="215">
        <v>1460888</v>
      </c>
      <c r="F611" s="215" t="s">
        <v>1924</v>
      </c>
      <c r="G611" s="232">
        <v>225380</v>
      </c>
      <c r="H611" s="220">
        <v>200536</v>
      </c>
      <c r="I611" s="232">
        <v>387663</v>
      </c>
      <c r="J611" s="231">
        <v>0</v>
      </c>
      <c r="K611" s="88">
        <f t="shared" si="25"/>
        <v>813579</v>
      </c>
      <c r="L611" s="50"/>
      <c r="M611" s="232">
        <v>7563</v>
      </c>
      <c r="N611" s="232">
        <v>0</v>
      </c>
      <c r="O611" s="231">
        <v>55836</v>
      </c>
      <c r="P611" s="88">
        <f t="shared" si="26"/>
        <v>63399</v>
      </c>
      <c r="Q611" s="50"/>
      <c r="R611" s="232">
        <v>405796</v>
      </c>
      <c r="S611" s="231">
        <v>-51447</v>
      </c>
      <c r="T611" s="233">
        <v>354349</v>
      </c>
    </row>
    <row r="612" spans="1:20">
      <c r="A612" s="48">
        <v>96512</v>
      </c>
      <c r="B612" s="49" t="s">
        <v>1308</v>
      </c>
      <c r="C612" s="234">
        <v>1.5899999999999999E-4</v>
      </c>
      <c r="D612" s="234">
        <v>1.5119999999999999E-4</v>
      </c>
      <c r="E612" s="215">
        <v>377202</v>
      </c>
      <c r="F612" s="215" t="s">
        <v>1924</v>
      </c>
      <c r="G612" s="232">
        <v>58193</v>
      </c>
      <c r="H612" s="220">
        <v>51778</v>
      </c>
      <c r="I612" s="232">
        <v>100095</v>
      </c>
      <c r="J612" s="231">
        <v>10002</v>
      </c>
      <c r="K612" s="88">
        <f t="shared" si="25"/>
        <v>220068</v>
      </c>
      <c r="L612" s="50"/>
      <c r="M612" s="232">
        <v>1953</v>
      </c>
      <c r="N612" s="232">
        <v>0</v>
      </c>
      <c r="O612" s="231">
        <v>7472</v>
      </c>
      <c r="P612" s="88">
        <f t="shared" si="26"/>
        <v>9425</v>
      </c>
      <c r="Q612" s="50"/>
      <c r="R612" s="232">
        <v>104777</v>
      </c>
      <c r="S612" s="231">
        <v>1973</v>
      </c>
      <c r="T612" s="233">
        <v>106750</v>
      </c>
    </row>
    <row r="614" spans="1:20">
      <c r="A614" s="48">
        <v>96521</v>
      </c>
      <c r="B614" s="49" t="s">
        <v>2357</v>
      </c>
      <c r="C614" s="234">
        <v>9.6719999999999998E-4</v>
      </c>
      <c r="D614" s="234">
        <v>9.881E-4</v>
      </c>
      <c r="E614" s="215">
        <v>2294529</v>
      </c>
      <c r="F614" s="215" t="s">
        <v>1924</v>
      </c>
      <c r="G614" s="232">
        <v>353991</v>
      </c>
      <c r="H614" s="220">
        <v>314971</v>
      </c>
      <c r="I614" s="232">
        <v>608879</v>
      </c>
      <c r="J614" s="231">
        <v>13526</v>
      </c>
      <c r="K614" s="88">
        <f t="shared" si="25"/>
        <v>1291367</v>
      </c>
      <c r="L614" s="50"/>
      <c r="M614" s="232">
        <v>11878</v>
      </c>
      <c r="N614" s="232">
        <v>0</v>
      </c>
      <c r="O614" s="231">
        <v>66754</v>
      </c>
      <c r="P614" s="88">
        <f t="shared" si="26"/>
        <v>78632</v>
      </c>
      <c r="Q614" s="50"/>
      <c r="R614" s="232">
        <v>637359</v>
      </c>
      <c r="S614" s="231">
        <v>-6086</v>
      </c>
      <c r="T614" s="233">
        <v>631273</v>
      </c>
    </row>
    <row r="615" spans="1:20">
      <c r="A615" s="48">
        <v>96531</v>
      </c>
      <c r="B615" s="49" t="s">
        <v>1310</v>
      </c>
      <c r="C615" s="234">
        <v>8.7183999999999994E-3</v>
      </c>
      <c r="D615" s="234">
        <v>8.5845000000000001E-3</v>
      </c>
      <c r="E615" s="215">
        <v>20683026</v>
      </c>
      <c r="F615" s="215" t="s">
        <v>1924</v>
      </c>
      <c r="G615" s="232">
        <v>3190900</v>
      </c>
      <c r="H615" s="220">
        <v>2839165</v>
      </c>
      <c r="I615" s="232">
        <v>5488477</v>
      </c>
      <c r="J615" s="231">
        <v>21971</v>
      </c>
      <c r="K615" s="88">
        <f t="shared" si="25"/>
        <v>11540513</v>
      </c>
      <c r="L615" s="50"/>
      <c r="M615" s="232">
        <v>107071</v>
      </c>
      <c r="N615" s="232">
        <v>0</v>
      </c>
      <c r="O615" s="231">
        <v>363715</v>
      </c>
      <c r="P615" s="88">
        <f t="shared" si="26"/>
        <v>470786</v>
      </c>
      <c r="Q615" s="50"/>
      <c r="R615" s="232">
        <v>5745190</v>
      </c>
      <c r="S615" s="231">
        <v>-139676</v>
      </c>
      <c r="T615" s="233">
        <v>5605514</v>
      </c>
    </row>
    <row r="616" spans="1:20">
      <c r="A616" s="48">
        <v>96541</v>
      </c>
      <c r="B616" s="49" t="s">
        <v>2358</v>
      </c>
      <c r="C616" s="234">
        <v>3.5780000000000002E-4</v>
      </c>
      <c r="D616" s="234">
        <v>3.5950000000000001E-4</v>
      </c>
      <c r="E616" s="215">
        <v>848824</v>
      </c>
      <c r="F616" s="215" t="s">
        <v>1924</v>
      </c>
      <c r="G616" s="232">
        <v>130953</v>
      </c>
      <c r="H616" s="220">
        <v>116518</v>
      </c>
      <c r="I616" s="232">
        <v>225245</v>
      </c>
      <c r="J616" s="231">
        <v>11846</v>
      </c>
      <c r="K616" s="88">
        <f t="shared" si="25"/>
        <v>484562</v>
      </c>
      <c r="L616" s="50"/>
      <c r="M616" s="232">
        <v>4394</v>
      </c>
      <c r="N616" s="232">
        <v>0</v>
      </c>
      <c r="O616" s="231">
        <v>5150</v>
      </c>
      <c r="P616" s="88">
        <f t="shared" si="26"/>
        <v>9544</v>
      </c>
      <c r="Q616" s="50"/>
      <c r="R616" s="232">
        <v>235781</v>
      </c>
      <c r="S616" s="231">
        <v>11668</v>
      </c>
      <c r="T616" s="233">
        <v>247449</v>
      </c>
    </row>
    <row r="617" spans="1:20">
      <c r="A617" s="48">
        <v>96601</v>
      </c>
      <c r="B617" s="49" t="s">
        <v>1312</v>
      </c>
      <c r="C617" s="234">
        <v>1.7382999999999999E-3</v>
      </c>
      <c r="D617" s="234">
        <v>1.8169E-3</v>
      </c>
      <c r="E617" s="215">
        <v>4123842</v>
      </c>
      <c r="F617" s="215" t="s">
        <v>1924</v>
      </c>
      <c r="G617" s="232">
        <v>636211</v>
      </c>
      <c r="H617" s="220">
        <v>566081</v>
      </c>
      <c r="I617" s="232">
        <v>1094309</v>
      </c>
      <c r="J617" s="231">
        <v>18007</v>
      </c>
      <c r="K617" s="88">
        <f t="shared" si="25"/>
        <v>2314608</v>
      </c>
      <c r="L617" s="50"/>
      <c r="M617" s="232">
        <v>21348</v>
      </c>
      <c r="N617" s="232">
        <v>0</v>
      </c>
      <c r="O617" s="231">
        <v>78122</v>
      </c>
      <c r="P617" s="88">
        <f t="shared" si="26"/>
        <v>99470</v>
      </c>
      <c r="Q617" s="50"/>
      <c r="R617" s="232">
        <v>1145493</v>
      </c>
      <c r="S617" s="231">
        <v>10810</v>
      </c>
      <c r="T617" s="233">
        <v>1156303</v>
      </c>
    </row>
    <row r="618" spans="1:20">
      <c r="A618" s="48">
        <v>96604</v>
      </c>
      <c r="B618" s="49" t="s">
        <v>1313</v>
      </c>
      <c r="C618" s="234">
        <v>5.5999999999999997E-6</v>
      </c>
      <c r="D618" s="234">
        <v>7.6000000000000001E-6</v>
      </c>
      <c r="E618" s="215">
        <v>13285</v>
      </c>
      <c r="F618" s="215" t="s">
        <v>1924</v>
      </c>
      <c r="G618" s="232">
        <v>2050</v>
      </c>
      <c r="H618" s="220">
        <v>1823</v>
      </c>
      <c r="I618" s="232">
        <v>3525</v>
      </c>
      <c r="J618" s="231">
        <v>1487</v>
      </c>
      <c r="K618" s="88">
        <f t="shared" si="25"/>
        <v>8885</v>
      </c>
      <c r="L618" s="50"/>
      <c r="M618" s="232">
        <v>69</v>
      </c>
      <c r="N618" s="232">
        <v>0</v>
      </c>
      <c r="O618" s="231">
        <v>31</v>
      </c>
      <c r="P618" s="88">
        <f t="shared" si="26"/>
        <v>100</v>
      </c>
      <c r="Q618" s="50"/>
      <c r="R618" s="232">
        <v>3690</v>
      </c>
      <c r="S618" s="231">
        <v>870</v>
      </c>
      <c r="T618" s="233">
        <v>4560</v>
      </c>
    </row>
    <row r="619" spans="1:20">
      <c r="A619" s="48">
        <v>96611</v>
      </c>
      <c r="B619" s="49" t="s">
        <v>2359</v>
      </c>
      <c r="C619" s="234">
        <v>2.41E-5</v>
      </c>
      <c r="D619" s="234">
        <v>2.83E-5</v>
      </c>
      <c r="E619" s="215">
        <v>57173</v>
      </c>
      <c r="F619" s="215" t="s">
        <v>1924</v>
      </c>
      <c r="G619" s="232">
        <v>8821</v>
      </c>
      <c r="H619" s="220">
        <v>7848</v>
      </c>
      <c r="I619" s="232">
        <v>15172</v>
      </c>
      <c r="J619" s="231">
        <v>263</v>
      </c>
      <c r="K619" s="88">
        <f t="shared" si="25"/>
        <v>32104</v>
      </c>
      <c r="L619" s="50"/>
      <c r="M619" s="232">
        <v>296</v>
      </c>
      <c r="N619" s="232">
        <v>0</v>
      </c>
      <c r="O619" s="231">
        <v>5198</v>
      </c>
      <c r="P619" s="88">
        <f t="shared" si="26"/>
        <v>5494</v>
      </c>
      <c r="Q619" s="50"/>
      <c r="R619" s="232">
        <v>15881</v>
      </c>
      <c r="S619" s="231">
        <v>-426</v>
      </c>
      <c r="T619" s="233">
        <v>15455</v>
      </c>
    </row>
    <row r="620" spans="1:20">
      <c r="A620" s="48">
        <v>96612</v>
      </c>
      <c r="B620" s="49" t="s">
        <v>2761</v>
      </c>
      <c r="C620" s="234">
        <v>5.4500000000000003E-5</v>
      </c>
      <c r="D620" s="234">
        <v>6.3299999999999994E-5</v>
      </c>
      <c r="E620" s="215">
        <v>129293</v>
      </c>
      <c r="F620" s="215" t="s">
        <v>1924</v>
      </c>
      <c r="G620" s="232">
        <v>19947</v>
      </c>
      <c r="H620" s="220">
        <v>17748</v>
      </c>
      <c r="I620" s="232">
        <v>34309</v>
      </c>
      <c r="J620" s="231">
        <v>4765</v>
      </c>
      <c r="K620" s="88">
        <f t="shared" si="25"/>
        <v>76769</v>
      </c>
      <c r="L620" s="50"/>
      <c r="M620" s="232">
        <v>669</v>
      </c>
      <c r="N620" s="232">
        <v>0</v>
      </c>
      <c r="O620" s="231">
        <v>2264</v>
      </c>
      <c r="P620" s="88">
        <f t="shared" si="26"/>
        <v>2933</v>
      </c>
      <c r="Q620" s="50"/>
      <c r="R620" s="232">
        <v>35914</v>
      </c>
      <c r="S620" s="231">
        <v>1711</v>
      </c>
      <c r="T620" s="233">
        <v>37625</v>
      </c>
    </row>
    <row r="621" spans="1:20">
      <c r="A621" s="48">
        <v>96621</v>
      </c>
      <c r="B621" s="49" t="s">
        <v>2360</v>
      </c>
      <c r="C621" s="234">
        <v>1.9199999999999999E-5</v>
      </c>
      <c r="D621" s="234">
        <v>2.5999999999999998E-5</v>
      </c>
      <c r="E621" s="215">
        <v>45549</v>
      </c>
      <c r="F621" s="215" t="s">
        <v>1924</v>
      </c>
      <c r="G621" s="232">
        <v>7027</v>
      </c>
      <c r="H621" s="220">
        <v>6253</v>
      </c>
      <c r="I621" s="232">
        <v>12087</v>
      </c>
      <c r="J621" s="231">
        <v>856</v>
      </c>
      <c r="K621" s="88">
        <f t="shared" si="25"/>
        <v>26223</v>
      </c>
      <c r="L621" s="50"/>
      <c r="M621" s="232">
        <v>236</v>
      </c>
      <c r="N621" s="232">
        <v>0</v>
      </c>
      <c r="O621" s="231">
        <v>4283</v>
      </c>
      <c r="P621" s="88">
        <f t="shared" si="26"/>
        <v>4519</v>
      </c>
      <c r="Q621" s="50"/>
      <c r="R621" s="232">
        <v>12652</v>
      </c>
      <c r="S621" s="231">
        <v>-2837</v>
      </c>
      <c r="T621" s="233">
        <v>9815</v>
      </c>
    </row>
    <row r="622" spans="1:20">
      <c r="A622" s="48">
        <v>96631</v>
      </c>
      <c r="B622" s="49" t="s">
        <v>2361</v>
      </c>
      <c r="C622" s="234">
        <v>2.3600000000000001E-5</v>
      </c>
      <c r="D622" s="234">
        <v>2.51E-5</v>
      </c>
      <c r="E622" s="215">
        <v>55987</v>
      </c>
      <c r="F622" s="215" t="s">
        <v>1924</v>
      </c>
      <c r="G622" s="232">
        <v>8638</v>
      </c>
      <c r="H622" s="220">
        <v>7685</v>
      </c>
      <c r="I622" s="232">
        <v>14857</v>
      </c>
      <c r="J622" s="231">
        <v>1094</v>
      </c>
      <c r="K622" s="88">
        <f t="shared" si="25"/>
        <v>32274</v>
      </c>
      <c r="L622" s="50"/>
      <c r="M622" s="232">
        <v>290</v>
      </c>
      <c r="N622" s="232">
        <v>0</v>
      </c>
      <c r="O622" s="231">
        <v>531</v>
      </c>
      <c r="P622" s="88">
        <f t="shared" si="26"/>
        <v>821</v>
      </c>
      <c r="Q622" s="50"/>
      <c r="R622" s="232">
        <v>15552</v>
      </c>
      <c r="S622" s="231">
        <v>2111</v>
      </c>
      <c r="T622" s="233">
        <v>17663</v>
      </c>
    </row>
    <row r="623" spans="1:20">
      <c r="A623" s="48">
        <v>96641</v>
      </c>
      <c r="B623" s="49" t="s">
        <v>2362</v>
      </c>
      <c r="C623" s="234">
        <v>3.2100000000000001E-5</v>
      </c>
      <c r="D623" s="234">
        <v>3.2199999999999997E-5</v>
      </c>
      <c r="E623" s="215">
        <v>76152</v>
      </c>
      <c r="F623" s="215" t="s">
        <v>1924</v>
      </c>
      <c r="G623" s="232">
        <v>11748</v>
      </c>
      <c r="H623" s="220">
        <v>10453</v>
      </c>
      <c r="I623" s="232">
        <v>20208</v>
      </c>
      <c r="J623" s="231">
        <v>14432</v>
      </c>
      <c r="K623" s="88">
        <f t="shared" si="25"/>
        <v>56841</v>
      </c>
      <c r="L623" s="50"/>
      <c r="M623" s="232">
        <v>394</v>
      </c>
      <c r="N623" s="232">
        <v>0</v>
      </c>
      <c r="O623" s="231">
        <v>0</v>
      </c>
      <c r="P623" s="88">
        <f t="shared" si="26"/>
        <v>394</v>
      </c>
      <c r="Q623" s="50"/>
      <c r="R623" s="232">
        <v>21153</v>
      </c>
      <c r="S623" s="231">
        <v>7161</v>
      </c>
      <c r="T623" s="233">
        <v>28314</v>
      </c>
    </row>
    <row r="624" spans="1:20">
      <c r="A624" s="48">
        <v>96651</v>
      </c>
      <c r="B624" s="49" t="s">
        <v>2363</v>
      </c>
      <c r="C624" s="234">
        <v>1.9400000000000001E-5</v>
      </c>
      <c r="D624" s="234">
        <v>1.7399999999999999E-5</v>
      </c>
      <c r="E624" s="215">
        <v>46023</v>
      </c>
      <c r="F624" s="215" t="s">
        <v>1924</v>
      </c>
      <c r="G624" s="232">
        <v>7100</v>
      </c>
      <c r="H624" s="220">
        <v>6317</v>
      </c>
      <c r="I624" s="232">
        <v>12213</v>
      </c>
      <c r="J624" s="231">
        <v>2918</v>
      </c>
      <c r="K624" s="88">
        <f t="shared" si="25"/>
        <v>28548</v>
      </c>
      <c r="L624" s="50"/>
      <c r="M624" s="232">
        <v>238</v>
      </c>
      <c r="N624" s="232">
        <v>0</v>
      </c>
      <c r="O624" s="231">
        <v>392</v>
      </c>
      <c r="P624" s="88">
        <f t="shared" si="26"/>
        <v>630</v>
      </c>
      <c r="Q624" s="50"/>
      <c r="R624" s="232">
        <v>12784</v>
      </c>
      <c r="S624" s="231">
        <v>12</v>
      </c>
      <c r="T624" s="233">
        <v>12796</v>
      </c>
    </row>
    <row r="625" spans="1:20">
      <c r="A625" s="48">
        <v>96661</v>
      </c>
      <c r="B625" s="49" t="s">
        <v>2364</v>
      </c>
      <c r="C625" s="234">
        <v>1.9000000000000001E-5</v>
      </c>
      <c r="D625" s="234">
        <v>1.9700000000000001E-5</v>
      </c>
      <c r="E625" s="215">
        <v>45074</v>
      </c>
      <c r="F625" s="215" t="s">
        <v>1924</v>
      </c>
      <c r="G625" s="232">
        <v>6954</v>
      </c>
      <c r="H625" s="220">
        <v>6187</v>
      </c>
      <c r="I625" s="232">
        <v>11961</v>
      </c>
      <c r="J625" s="231">
        <v>3696</v>
      </c>
      <c r="K625" s="88">
        <f t="shared" si="25"/>
        <v>28798</v>
      </c>
      <c r="L625" s="50"/>
      <c r="M625" s="232">
        <v>233</v>
      </c>
      <c r="N625" s="232">
        <v>0</v>
      </c>
      <c r="O625" s="231">
        <v>0</v>
      </c>
      <c r="P625" s="88">
        <f t="shared" si="26"/>
        <v>233</v>
      </c>
      <c r="Q625" s="50"/>
      <c r="R625" s="232">
        <v>12520</v>
      </c>
      <c r="S625" s="231">
        <v>2708</v>
      </c>
      <c r="T625" s="233">
        <v>15228</v>
      </c>
    </row>
    <row r="626" spans="1:20">
      <c r="A626" s="48">
        <v>96671</v>
      </c>
      <c r="B626" s="49" t="s">
        <v>2365</v>
      </c>
      <c r="C626" s="234">
        <v>1.3900000000000001E-5</v>
      </c>
      <c r="D626" s="234">
        <v>1.49E-5</v>
      </c>
      <c r="E626" s="215">
        <v>32976</v>
      </c>
      <c r="F626" s="215" t="s">
        <v>1924</v>
      </c>
      <c r="G626" s="232">
        <v>5087</v>
      </c>
      <c r="H626" s="220">
        <v>4527</v>
      </c>
      <c r="I626" s="232">
        <v>8750</v>
      </c>
      <c r="J626" s="231">
        <v>5736</v>
      </c>
      <c r="K626" s="88">
        <f t="shared" si="25"/>
        <v>24100</v>
      </c>
      <c r="L626" s="50"/>
      <c r="M626" s="232">
        <v>171</v>
      </c>
      <c r="N626" s="232">
        <v>0</v>
      </c>
      <c r="O626" s="231">
        <v>0</v>
      </c>
      <c r="P626" s="88">
        <f t="shared" si="26"/>
        <v>171</v>
      </c>
      <c r="Q626" s="50"/>
      <c r="R626" s="232">
        <v>9160</v>
      </c>
      <c r="S626" s="231">
        <v>3860</v>
      </c>
      <c r="T626" s="233">
        <v>13020</v>
      </c>
    </row>
    <row r="627" spans="1:20">
      <c r="A627" s="48">
        <v>96681</v>
      </c>
      <c r="B627" s="49" t="s">
        <v>2366</v>
      </c>
      <c r="C627" s="234">
        <v>2.0599999999999999E-5</v>
      </c>
      <c r="D627" s="234">
        <v>1.7499999999999998E-5</v>
      </c>
      <c r="E627" s="215">
        <v>48870</v>
      </c>
      <c r="F627" s="215" t="s">
        <v>1924</v>
      </c>
      <c r="G627" s="232">
        <v>7540</v>
      </c>
      <c r="H627" s="220">
        <v>6709</v>
      </c>
      <c r="I627" s="232">
        <v>12968</v>
      </c>
      <c r="J627" s="231">
        <v>13276</v>
      </c>
      <c r="K627" s="88">
        <f t="shared" si="25"/>
        <v>40493</v>
      </c>
      <c r="L627" s="50"/>
      <c r="M627" s="232">
        <v>253</v>
      </c>
      <c r="N627" s="232">
        <v>0</v>
      </c>
      <c r="O627" s="231">
        <v>6212</v>
      </c>
      <c r="P627" s="88">
        <f t="shared" si="26"/>
        <v>6465</v>
      </c>
      <c r="Q627" s="50"/>
      <c r="R627" s="232">
        <v>13575</v>
      </c>
      <c r="S627" s="231">
        <v>4774</v>
      </c>
      <c r="T627" s="233">
        <v>18349</v>
      </c>
    </row>
    <row r="628" spans="1:20">
      <c r="A628" s="48">
        <v>96701</v>
      </c>
      <c r="B628" s="49" t="s">
        <v>1323</v>
      </c>
      <c r="C628" s="234">
        <v>8.5999000000000006E-3</v>
      </c>
      <c r="D628" s="234">
        <v>8.4206000000000003E-3</v>
      </c>
      <c r="E628" s="215">
        <v>20401904</v>
      </c>
      <c r="F628" s="215" t="s">
        <v>1924</v>
      </c>
      <c r="G628" s="232">
        <v>3147529</v>
      </c>
      <c r="H628" s="220">
        <v>2800575</v>
      </c>
      <c r="I628" s="232">
        <v>5413878</v>
      </c>
      <c r="J628" s="231">
        <v>278573</v>
      </c>
      <c r="K628" s="88">
        <f t="shared" si="25"/>
        <v>11640555</v>
      </c>
      <c r="L628" s="50"/>
      <c r="M628" s="232">
        <v>105615</v>
      </c>
      <c r="N628" s="232">
        <v>0</v>
      </c>
      <c r="O628" s="231">
        <v>118719</v>
      </c>
      <c r="P628" s="88">
        <f t="shared" si="26"/>
        <v>224334</v>
      </c>
      <c r="Q628" s="50"/>
      <c r="R628" s="232">
        <v>5667102</v>
      </c>
      <c r="S628" s="231">
        <v>115986</v>
      </c>
      <c r="T628" s="233">
        <v>5783088</v>
      </c>
    </row>
    <row r="629" spans="1:20">
      <c r="A629" s="48">
        <v>96704</v>
      </c>
      <c r="B629" s="49" t="s">
        <v>1324</v>
      </c>
      <c r="C629" s="234">
        <v>1.7550000000000001E-4</v>
      </c>
      <c r="D629" s="234">
        <v>1.7259999999999999E-4</v>
      </c>
      <c r="E629" s="215">
        <v>416346</v>
      </c>
      <c r="F629" s="215" t="s">
        <v>1924</v>
      </c>
      <c r="G629" s="232">
        <v>64232</v>
      </c>
      <c r="H629" s="220">
        <v>57152</v>
      </c>
      <c r="I629" s="232">
        <v>110482</v>
      </c>
      <c r="J629" s="231">
        <v>38151</v>
      </c>
      <c r="K629" s="88">
        <f t="shared" si="25"/>
        <v>270017</v>
      </c>
      <c r="L629" s="50"/>
      <c r="M629" s="232">
        <v>2155</v>
      </c>
      <c r="N629" s="232">
        <v>0</v>
      </c>
      <c r="O629" s="231">
        <v>0</v>
      </c>
      <c r="P629" s="88">
        <f t="shared" si="26"/>
        <v>2155</v>
      </c>
      <c r="Q629" s="50"/>
      <c r="R629" s="232">
        <v>115650</v>
      </c>
      <c r="S629" s="231">
        <v>14330</v>
      </c>
      <c r="T629" s="233">
        <v>129980</v>
      </c>
    </row>
    <row r="630" spans="1:20">
      <c r="A630" s="48">
        <v>96708</v>
      </c>
      <c r="B630" s="49" t="s">
        <v>1325</v>
      </c>
      <c r="C630" s="234">
        <v>8.8579999999999996E-4</v>
      </c>
      <c r="D630" s="234">
        <v>9.031E-4</v>
      </c>
      <c r="E630" s="215">
        <v>2101421</v>
      </c>
      <c r="F630" s="215" t="s">
        <v>1924</v>
      </c>
      <c r="G630" s="232">
        <v>324199</v>
      </c>
      <c r="H630" s="220">
        <v>288462</v>
      </c>
      <c r="I630" s="232">
        <v>557636</v>
      </c>
      <c r="J630" s="231">
        <v>83209</v>
      </c>
      <c r="K630" s="88">
        <f t="shared" si="25"/>
        <v>1253506</v>
      </c>
      <c r="L630" s="50"/>
      <c r="M630" s="232">
        <v>10879</v>
      </c>
      <c r="N630" s="232">
        <v>0</v>
      </c>
      <c r="O630" s="231">
        <v>12940</v>
      </c>
      <c r="P630" s="88">
        <f t="shared" si="26"/>
        <v>23819</v>
      </c>
      <c r="Q630" s="50"/>
      <c r="R630" s="232">
        <v>583718</v>
      </c>
      <c r="S630" s="231">
        <v>35387</v>
      </c>
      <c r="T630" s="233">
        <v>619105</v>
      </c>
    </row>
    <row r="631" spans="1:20">
      <c r="A631" s="48">
        <v>96711</v>
      </c>
      <c r="B631" s="49" t="s">
        <v>1326</v>
      </c>
      <c r="C631" s="234">
        <v>3.9007999999999998E-3</v>
      </c>
      <c r="D631" s="234">
        <v>4.0464000000000003E-3</v>
      </c>
      <c r="E631" s="215">
        <v>9254032</v>
      </c>
      <c r="F631" s="215" t="s">
        <v>1924</v>
      </c>
      <c r="G631" s="232">
        <v>1427677</v>
      </c>
      <c r="H631" s="220">
        <v>1270303</v>
      </c>
      <c r="I631" s="232">
        <v>2455663</v>
      </c>
      <c r="J631" s="231">
        <v>0</v>
      </c>
      <c r="K631" s="88">
        <f t="shared" si="25"/>
        <v>5153643</v>
      </c>
      <c r="L631" s="50"/>
      <c r="M631" s="232">
        <v>47906</v>
      </c>
      <c r="N631" s="232">
        <v>0</v>
      </c>
      <c r="O631" s="231">
        <v>409014</v>
      </c>
      <c r="P631" s="88">
        <f t="shared" si="26"/>
        <v>456920</v>
      </c>
      <c r="Q631" s="50"/>
      <c r="R631" s="232">
        <v>2570522</v>
      </c>
      <c r="S631" s="231">
        <v>-194188</v>
      </c>
      <c r="T631" s="233">
        <v>2376334</v>
      </c>
    </row>
    <row r="632" spans="1:20">
      <c r="A632" s="48">
        <v>96721</v>
      </c>
      <c r="B632" s="49" t="s">
        <v>2367</v>
      </c>
      <c r="C632" s="234">
        <v>2.1790000000000001E-4</v>
      </c>
      <c r="D632" s="234">
        <v>2.1379999999999999E-4</v>
      </c>
      <c r="E632" s="215">
        <v>516933</v>
      </c>
      <c r="F632" s="215" t="s">
        <v>1924</v>
      </c>
      <c r="G632" s="232">
        <v>79751</v>
      </c>
      <c r="H632" s="220">
        <v>70959</v>
      </c>
      <c r="I632" s="232">
        <v>137174</v>
      </c>
      <c r="J632" s="231">
        <v>8328</v>
      </c>
      <c r="K632" s="88">
        <f t="shared" si="25"/>
        <v>296212</v>
      </c>
      <c r="L632" s="50"/>
      <c r="M632" s="232">
        <v>2676</v>
      </c>
      <c r="N632" s="232">
        <v>0</v>
      </c>
      <c r="O632" s="231">
        <v>16609</v>
      </c>
      <c r="P632" s="88">
        <f t="shared" si="26"/>
        <v>19285</v>
      </c>
      <c r="Q632" s="50"/>
      <c r="R632" s="232">
        <v>143590</v>
      </c>
      <c r="S632" s="231">
        <v>-991</v>
      </c>
      <c r="T632" s="233">
        <v>142599</v>
      </c>
    </row>
    <row r="633" spans="1:20">
      <c r="A633" s="48">
        <v>96731</v>
      </c>
      <c r="B633" s="49" t="s">
        <v>2368</v>
      </c>
      <c r="C633" s="234">
        <v>1.7019999999999999E-4</v>
      </c>
      <c r="D633" s="234">
        <v>1.697E-4</v>
      </c>
      <c r="E633" s="215">
        <v>403773</v>
      </c>
      <c r="F633" s="215" t="s">
        <v>1924</v>
      </c>
      <c r="G633" s="232">
        <v>62293</v>
      </c>
      <c r="H633" s="220">
        <v>55426</v>
      </c>
      <c r="I633" s="232">
        <v>107146</v>
      </c>
      <c r="J633" s="231">
        <v>13647</v>
      </c>
      <c r="K633" s="88">
        <f t="shared" si="25"/>
        <v>238512</v>
      </c>
      <c r="L633" s="50"/>
      <c r="M633" s="232">
        <v>2090</v>
      </c>
      <c r="N633" s="232">
        <v>0</v>
      </c>
      <c r="O633" s="231">
        <v>1770</v>
      </c>
      <c r="P633" s="88">
        <f t="shared" si="26"/>
        <v>3860</v>
      </c>
      <c r="Q633" s="50"/>
      <c r="R633" s="232">
        <v>112157</v>
      </c>
      <c r="S633" s="231">
        <v>6857</v>
      </c>
      <c r="T633" s="233">
        <v>119014</v>
      </c>
    </row>
    <row r="634" spans="1:20">
      <c r="A634" s="48">
        <v>96733</v>
      </c>
      <c r="B634" s="49" t="s">
        <v>1329</v>
      </c>
      <c r="C634" s="234">
        <v>1.1800000000000001E-5</v>
      </c>
      <c r="D634" s="234">
        <v>7.3000000000000004E-6</v>
      </c>
      <c r="E634" s="215">
        <v>27994</v>
      </c>
      <c r="F634" s="215" t="s">
        <v>1924</v>
      </c>
      <c r="G634" s="232">
        <v>4319</v>
      </c>
      <c r="H634" s="220">
        <v>3843</v>
      </c>
      <c r="I634" s="232">
        <v>7428</v>
      </c>
      <c r="J634" s="231">
        <v>4117</v>
      </c>
      <c r="K634" s="88">
        <f t="shared" si="25"/>
        <v>19707</v>
      </c>
      <c r="L634" s="50"/>
      <c r="M634" s="232">
        <v>145</v>
      </c>
      <c r="N634" s="232">
        <v>0</v>
      </c>
      <c r="O634" s="231">
        <v>705</v>
      </c>
      <c r="P634" s="88">
        <f t="shared" si="26"/>
        <v>850</v>
      </c>
      <c r="Q634" s="50"/>
      <c r="R634" s="232">
        <v>7776</v>
      </c>
      <c r="S634" s="231">
        <v>2113</v>
      </c>
      <c r="T634" s="233">
        <v>9889</v>
      </c>
    </row>
    <row r="635" spans="1:20">
      <c r="A635" s="48">
        <v>96741</v>
      </c>
      <c r="B635" s="49" t="s">
        <v>2369</v>
      </c>
      <c r="C635" s="234">
        <v>9.8900000000000005E-5</v>
      </c>
      <c r="D635" s="234">
        <v>9.0799999999999998E-5</v>
      </c>
      <c r="E635" s="215">
        <v>234625</v>
      </c>
      <c r="F635" s="215" t="s">
        <v>1924</v>
      </c>
      <c r="G635" s="232">
        <v>36197</v>
      </c>
      <c r="H635" s="220">
        <v>32207</v>
      </c>
      <c r="I635" s="232">
        <v>62260</v>
      </c>
      <c r="J635" s="231">
        <v>4092</v>
      </c>
      <c r="K635" s="88">
        <f t="shared" si="25"/>
        <v>134756</v>
      </c>
      <c r="L635" s="50"/>
      <c r="M635" s="232">
        <v>1215</v>
      </c>
      <c r="N635" s="232">
        <v>0</v>
      </c>
      <c r="O635" s="231">
        <v>1693</v>
      </c>
      <c r="P635" s="88">
        <f t="shared" si="26"/>
        <v>2908</v>
      </c>
      <c r="Q635" s="50"/>
      <c r="R635" s="232">
        <v>65172</v>
      </c>
      <c r="S635" s="231">
        <v>2903</v>
      </c>
      <c r="T635" s="233">
        <v>68075</v>
      </c>
    </row>
    <row r="636" spans="1:20">
      <c r="A636" s="48">
        <v>96751</v>
      </c>
      <c r="B636" s="49" t="s">
        <v>2370</v>
      </c>
      <c r="C636" s="234">
        <v>2.7920000000000001E-4</v>
      </c>
      <c r="D636" s="234">
        <v>2.5809999999999999E-4</v>
      </c>
      <c r="E636" s="215">
        <v>662358</v>
      </c>
      <c r="F636" s="215" t="s">
        <v>1924</v>
      </c>
      <c r="G636" s="232">
        <v>102186</v>
      </c>
      <c r="H636" s="220">
        <v>90922</v>
      </c>
      <c r="I636" s="232">
        <v>175764</v>
      </c>
      <c r="J636" s="231">
        <v>1710</v>
      </c>
      <c r="K636" s="88">
        <f t="shared" si="25"/>
        <v>370582</v>
      </c>
      <c r="L636" s="50"/>
      <c r="M636" s="232">
        <v>3429</v>
      </c>
      <c r="N636" s="232">
        <v>0</v>
      </c>
      <c r="O636" s="231">
        <v>19725</v>
      </c>
      <c r="P636" s="88">
        <f t="shared" si="26"/>
        <v>23154</v>
      </c>
      <c r="Q636" s="50"/>
      <c r="R636" s="232">
        <v>183985</v>
      </c>
      <c r="S636" s="231">
        <v>-418</v>
      </c>
      <c r="T636" s="233">
        <v>183567</v>
      </c>
    </row>
    <row r="637" spans="1:20">
      <c r="A637" s="48">
        <v>96801</v>
      </c>
      <c r="B637" s="49" t="s">
        <v>1332</v>
      </c>
      <c r="C637" s="234">
        <v>7.6252999999999998E-3</v>
      </c>
      <c r="D637" s="234">
        <v>7.5814000000000003E-3</v>
      </c>
      <c r="E637" s="215">
        <v>18089819</v>
      </c>
      <c r="F637" s="215" t="s">
        <v>1924</v>
      </c>
      <c r="G637" s="232">
        <v>2790829</v>
      </c>
      <c r="H637" s="220">
        <v>2483194</v>
      </c>
      <c r="I637" s="232">
        <v>4800340</v>
      </c>
      <c r="J637" s="231">
        <v>244257</v>
      </c>
      <c r="K637" s="88">
        <f t="shared" si="25"/>
        <v>10318620</v>
      </c>
      <c r="L637" s="50"/>
      <c r="M637" s="232">
        <v>93646</v>
      </c>
      <c r="N637" s="232">
        <v>0</v>
      </c>
      <c r="O637" s="231">
        <v>54881</v>
      </c>
      <c r="P637" s="88">
        <f t="shared" si="26"/>
        <v>148527</v>
      </c>
      <c r="Q637" s="50"/>
      <c r="R637" s="232">
        <v>5024867</v>
      </c>
      <c r="S637" s="231">
        <v>234375</v>
      </c>
      <c r="T637" s="233">
        <v>5259242</v>
      </c>
    </row>
    <row r="638" spans="1:20">
      <c r="A638" s="48">
        <v>96804</v>
      </c>
      <c r="B638" s="49" t="s">
        <v>1333</v>
      </c>
      <c r="C638" s="234">
        <v>2.5539999999999997E-4</v>
      </c>
      <c r="D638" s="234">
        <v>2.654E-4</v>
      </c>
      <c r="E638" s="215">
        <v>605896</v>
      </c>
      <c r="F638" s="215" t="s">
        <v>1924</v>
      </c>
      <c r="G638" s="232">
        <v>93475</v>
      </c>
      <c r="H638" s="220">
        <v>83171</v>
      </c>
      <c r="I638" s="232">
        <v>160781</v>
      </c>
      <c r="J638" s="231">
        <v>4075</v>
      </c>
      <c r="K638" s="88">
        <f t="shared" si="25"/>
        <v>341502</v>
      </c>
      <c r="L638" s="50"/>
      <c r="M638" s="232">
        <v>3137</v>
      </c>
      <c r="N638" s="232">
        <v>0</v>
      </c>
      <c r="O638" s="231">
        <v>20354</v>
      </c>
      <c r="P638" s="88">
        <f t="shared" si="26"/>
        <v>23491</v>
      </c>
      <c r="Q638" s="50"/>
      <c r="R638" s="232">
        <v>168302</v>
      </c>
      <c r="S638" s="231">
        <v>-2456</v>
      </c>
      <c r="T638" s="233">
        <v>165846</v>
      </c>
    </row>
    <row r="639" spans="1:20">
      <c r="A639" s="48">
        <v>96808</v>
      </c>
      <c r="B639" s="49" t="s">
        <v>1334</v>
      </c>
      <c r="C639" s="234">
        <v>1.2572E-3</v>
      </c>
      <c r="D639" s="234">
        <v>1.2711000000000001E-3</v>
      </c>
      <c r="E639" s="215">
        <v>2982508</v>
      </c>
      <c r="F639" s="215" t="s">
        <v>1924</v>
      </c>
      <c r="G639" s="232">
        <v>460130</v>
      </c>
      <c r="H639" s="220">
        <v>409410</v>
      </c>
      <c r="I639" s="232">
        <v>791443</v>
      </c>
      <c r="J639" s="231">
        <v>18089</v>
      </c>
      <c r="K639" s="88">
        <f t="shared" si="25"/>
        <v>1679072</v>
      </c>
      <c r="L639" s="50"/>
      <c r="M639" s="232">
        <v>15440</v>
      </c>
      <c r="N639" s="232">
        <v>0</v>
      </c>
      <c r="O639" s="231">
        <v>15050</v>
      </c>
      <c r="P639" s="88">
        <f t="shared" si="26"/>
        <v>30490</v>
      </c>
      <c r="Q639" s="50"/>
      <c r="R639" s="232">
        <v>828461</v>
      </c>
      <c r="S639" s="231">
        <v>20446</v>
      </c>
      <c r="T639" s="233">
        <v>848907</v>
      </c>
    </row>
    <row r="640" spans="1:20">
      <c r="A640" s="48">
        <v>96811</v>
      </c>
      <c r="B640" s="49" t="s">
        <v>2371</v>
      </c>
      <c r="C640" s="234">
        <v>6.1249E-3</v>
      </c>
      <c r="D640" s="234">
        <v>6.0096999999999998E-3</v>
      </c>
      <c r="E640" s="215">
        <v>14530358</v>
      </c>
      <c r="F640" s="215" t="s">
        <v>1924</v>
      </c>
      <c r="G640" s="232">
        <v>2241689</v>
      </c>
      <c r="H640" s="220">
        <v>1994586</v>
      </c>
      <c r="I640" s="232">
        <v>3855796</v>
      </c>
      <c r="J640" s="231">
        <v>28059</v>
      </c>
      <c r="K640" s="88">
        <f t="shared" si="25"/>
        <v>8120130</v>
      </c>
      <c r="L640" s="50"/>
      <c r="M640" s="232">
        <v>75220</v>
      </c>
      <c r="N640" s="232">
        <v>0</v>
      </c>
      <c r="O640" s="231">
        <v>73994</v>
      </c>
      <c r="P640" s="88">
        <f t="shared" si="26"/>
        <v>149214</v>
      </c>
      <c r="Q640" s="50"/>
      <c r="R640" s="232">
        <v>4036144</v>
      </c>
      <c r="S640" s="231">
        <v>-36406</v>
      </c>
      <c r="T640" s="233">
        <v>3999738</v>
      </c>
    </row>
    <row r="641" spans="1:20">
      <c r="A641" s="48">
        <v>96821</v>
      </c>
      <c r="B641" s="49" t="s">
        <v>2372</v>
      </c>
      <c r="C641" s="234">
        <v>1.1529999999999999E-3</v>
      </c>
      <c r="D641" s="234">
        <v>1.3247000000000001E-3</v>
      </c>
      <c r="E641" s="215">
        <v>2735310</v>
      </c>
      <c r="F641" s="215" t="s">
        <v>1924</v>
      </c>
      <c r="G641" s="232">
        <v>421993</v>
      </c>
      <c r="H641" s="220">
        <v>375477</v>
      </c>
      <c r="I641" s="232">
        <v>725846</v>
      </c>
      <c r="J641" s="231">
        <v>0</v>
      </c>
      <c r="K641" s="88">
        <f t="shared" si="25"/>
        <v>1523316</v>
      </c>
      <c r="L641" s="50"/>
      <c r="M641" s="232">
        <v>14160</v>
      </c>
      <c r="N641" s="232">
        <v>0</v>
      </c>
      <c r="O641" s="231">
        <v>169149</v>
      </c>
      <c r="P641" s="88">
        <f t="shared" si="26"/>
        <v>183309</v>
      </c>
      <c r="Q641" s="50"/>
      <c r="R641" s="232">
        <v>759796</v>
      </c>
      <c r="S641" s="231">
        <v>-77119</v>
      </c>
      <c r="T641" s="233">
        <v>682677</v>
      </c>
    </row>
    <row r="642" spans="1:20">
      <c r="A642" s="48">
        <v>96831</v>
      </c>
      <c r="B642" s="49" t="s">
        <v>2373</v>
      </c>
      <c r="C642" s="234">
        <v>9.3130000000000003E-4</v>
      </c>
      <c r="D642" s="234">
        <v>9.1929999999999996E-4</v>
      </c>
      <c r="E642" s="215">
        <v>2209362</v>
      </c>
      <c r="F642" s="215" t="s">
        <v>1924</v>
      </c>
      <c r="G642" s="232">
        <v>340852</v>
      </c>
      <c r="H642" s="220">
        <v>303280</v>
      </c>
      <c r="I642" s="232">
        <v>586279</v>
      </c>
      <c r="J642" s="231">
        <v>18400</v>
      </c>
      <c r="K642" s="88">
        <f t="shared" si="25"/>
        <v>1248811</v>
      </c>
      <c r="L642" s="50"/>
      <c r="M642" s="232">
        <v>11437</v>
      </c>
      <c r="N642" s="232">
        <v>0</v>
      </c>
      <c r="O642" s="231">
        <v>5806</v>
      </c>
      <c r="P642" s="88">
        <f t="shared" si="26"/>
        <v>17243</v>
      </c>
      <c r="Q642" s="50"/>
      <c r="R642" s="232">
        <v>613702</v>
      </c>
      <c r="S642" s="231">
        <v>17873</v>
      </c>
      <c r="T642" s="233">
        <v>631575</v>
      </c>
    </row>
    <row r="643" spans="1:20">
      <c r="A643" s="48">
        <v>96901</v>
      </c>
      <c r="B643" s="49" t="s">
        <v>1338</v>
      </c>
      <c r="C643" s="234">
        <v>9.1089999999999997E-4</v>
      </c>
      <c r="D643" s="234">
        <v>8.9820000000000004E-4</v>
      </c>
      <c r="E643" s="215">
        <v>2160966</v>
      </c>
      <c r="F643" s="215" t="s">
        <v>1924</v>
      </c>
      <c r="G643" s="232">
        <v>333386</v>
      </c>
      <c r="H643" s="220">
        <v>296636</v>
      </c>
      <c r="I643" s="232">
        <v>573437</v>
      </c>
      <c r="J643" s="231">
        <v>68835</v>
      </c>
      <c r="K643" s="88">
        <f t="shared" si="25"/>
        <v>1272294</v>
      </c>
      <c r="L643" s="50"/>
      <c r="M643" s="232">
        <v>11187</v>
      </c>
      <c r="N643" s="232">
        <v>0</v>
      </c>
      <c r="O643" s="231">
        <v>0</v>
      </c>
      <c r="P643" s="88">
        <f t="shared" si="26"/>
        <v>11187</v>
      </c>
      <c r="Q643" s="50"/>
      <c r="R643" s="232">
        <v>600259</v>
      </c>
      <c r="S643" s="231">
        <v>31901</v>
      </c>
      <c r="T643" s="233">
        <v>632160</v>
      </c>
    </row>
    <row r="644" spans="1:20">
      <c r="A644" s="48">
        <v>96911</v>
      </c>
      <c r="B644" s="49" t="s">
        <v>2374</v>
      </c>
      <c r="C644" s="234">
        <v>2.3E-6</v>
      </c>
      <c r="D644" s="234">
        <v>2.3999999999999999E-6</v>
      </c>
      <c r="E644" s="215">
        <v>5456</v>
      </c>
      <c r="F644" s="215" t="s">
        <v>1924</v>
      </c>
      <c r="G644" s="232">
        <v>842</v>
      </c>
      <c r="H644" s="220">
        <v>749</v>
      </c>
      <c r="I644" s="232">
        <v>1448</v>
      </c>
      <c r="J644" s="231">
        <v>1923</v>
      </c>
      <c r="K644" s="88">
        <f t="shared" si="25"/>
        <v>4962</v>
      </c>
      <c r="L644" s="50"/>
      <c r="M644" s="232">
        <v>28</v>
      </c>
      <c r="N644" s="232">
        <v>0</v>
      </c>
      <c r="O644" s="231">
        <v>1941</v>
      </c>
      <c r="P644" s="88">
        <f t="shared" si="26"/>
        <v>1969</v>
      </c>
      <c r="Q644" s="50"/>
      <c r="R644" s="232">
        <v>1516</v>
      </c>
      <c r="S644" s="231">
        <v>764</v>
      </c>
      <c r="T644" s="233">
        <v>2280</v>
      </c>
    </row>
    <row r="645" spans="1:20">
      <c r="A645" s="48">
        <v>96912</v>
      </c>
      <c r="B645" s="49" t="s">
        <v>2375</v>
      </c>
      <c r="C645" s="234">
        <v>6.8100000000000002E-5</v>
      </c>
      <c r="D645" s="234">
        <v>6.0099999999999997E-5</v>
      </c>
      <c r="E645" s="216">
        <v>161556</v>
      </c>
      <c r="F645" s="216" t="s">
        <v>1924</v>
      </c>
      <c r="G645" s="232">
        <v>24924</v>
      </c>
      <c r="H645" s="220">
        <v>22177</v>
      </c>
      <c r="I645" s="232">
        <v>42871</v>
      </c>
      <c r="J645" s="231">
        <v>1472</v>
      </c>
      <c r="K645" s="88">
        <f t="shared" si="25"/>
        <v>91444</v>
      </c>
      <c r="L645" s="50"/>
      <c r="M645" s="232">
        <v>836</v>
      </c>
      <c r="N645" s="232">
        <v>0</v>
      </c>
      <c r="O645" s="231">
        <v>2729</v>
      </c>
      <c r="P645" s="88">
        <f t="shared" si="26"/>
        <v>3565</v>
      </c>
      <c r="Q645" s="50"/>
      <c r="R645" s="232">
        <v>44876</v>
      </c>
      <c r="S645" s="231">
        <v>2396</v>
      </c>
      <c r="T645" s="233">
        <v>47272</v>
      </c>
    </row>
    <row r="646" spans="1:20">
      <c r="A646" s="48">
        <v>96918</v>
      </c>
      <c r="B646" s="49" t="s">
        <v>1341</v>
      </c>
      <c r="C646" s="234">
        <v>3.2299999999999999E-5</v>
      </c>
      <c r="D646" s="234">
        <v>3.8000000000000002E-5</v>
      </c>
      <c r="E646" s="216">
        <v>76627</v>
      </c>
      <c r="F646" s="216" t="s">
        <v>1924</v>
      </c>
      <c r="G646" s="232">
        <v>11822</v>
      </c>
      <c r="H646" s="220">
        <v>10519</v>
      </c>
      <c r="I646" s="232">
        <v>20334</v>
      </c>
      <c r="J646" s="231">
        <v>1798</v>
      </c>
      <c r="K646" s="88">
        <f t="shared" si="25"/>
        <v>44473</v>
      </c>
      <c r="L646" s="50"/>
      <c r="M646" s="232">
        <v>397</v>
      </c>
      <c r="N646" s="232">
        <v>0</v>
      </c>
      <c r="O646" s="231">
        <v>3897</v>
      </c>
      <c r="P646" s="88">
        <f t="shared" si="26"/>
        <v>4294</v>
      </c>
      <c r="Q646" s="50"/>
      <c r="R646" s="232">
        <v>21285</v>
      </c>
      <c r="S646" s="231">
        <v>4776</v>
      </c>
      <c r="T646" s="233">
        <v>26061</v>
      </c>
    </row>
    <row r="647" spans="1:20">
      <c r="A647" s="48">
        <v>97001</v>
      </c>
      <c r="B647" s="49" t="s">
        <v>1342</v>
      </c>
      <c r="C647" s="234">
        <v>1.3370999999999999E-3</v>
      </c>
      <c r="D647" s="234">
        <v>1.3778E-3</v>
      </c>
      <c r="E647" s="216">
        <v>3172058</v>
      </c>
      <c r="F647" s="216" t="s">
        <v>1924</v>
      </c>
      <c r="G647" s="232">
        <v>489373</v>
      </c>
      <c r="H647" s="220">
        <v>435430</v>
      </c>
      <c r="I647" s="232">
        <v>841742</v>
      </c>
      <c r="J647" s="231">
        <v>142216</v>
      </c>
      <c r="K647" s="88">
        <f t="shared" si="25"/>
        <v>1908761</v>
      </c>
      <c r="L647" s="50"/>
      <c r="M647" s="232">
        <v>16421</v>
      </c>
      <c r="N647" s="232">
        <v>0</v>
      </c>
      <c r="O647" s="231">
        <v>0</v>
      </c>
      <c r="P647" s="88">
        <f t="shared" si="26"/>
        <v>16421</v>
      </c>
      <c r="Q647" s="50"/>
      <c r="R647" s="232">
        <v>881113</v>
      </c>
      <c r="S647" s="231">
        <v>46843</v>
      </c>
      <c r="T647" s="233">
        <v>927956</v>
      </c>
    </row>
    <row r="648" spans="1:20">
      <c r="A648" s="48">
        <v>97002</v>
      </c>
      <c r="B648" s="49" t="s">
        <v>1343</v>
      </c>
      <c r="C648" s="234">
        <v>4.8569999999999999E-4</v>
      </c>
      <c r="D648" s="234">
        <v>5.2610000000000005E-4</v>
      </c>
      <c r="E648" s="216">
        <v>1152247</v>
      </c>
      <c r="F648" s="216" t="s">
        <v>1924</v>
      </c>
      <c r="G648" s="232">
        <v>177764</v>
      </c>
      <c r="H648" s="220">
        <v>158169</v>
      </c>
      <c r="I648" s="232">
        <v>305762</v>
      </c>
      <c r="J648" s="231">
        <v>5136</v>
      </c>
      <c r="K648" s="88">
        <f t="shared" si="25"/>
        <v>646831</v>
      </c>
      <c r="L648" s="50"/>
      <c r="M648" s="232">
        <v>5965</v>
      </c>
      <c r="N648" s="232">
        <v>0</v>
      </c>
      <c r="O648" s="231">
        <v>75548</v>
      </c>
      <c r="P648" s="88">
        <f t="shared" si="26"/>
        <v>81513</v>
      </c>
      <c r="Q648" s="50"/>
      <c r="R648" s="232">
        <v>320063</v>
      </c>
      <c r="S648" s="231">
        <v>-7630</v>
      </c>
      <c r="T648" s="233">
        <v>312433</v>
      </c>
    </row>
    <row r="649" spans="1:20">
      <c r="A649" s="48">
        <v>97004</v>
      </c>
      <c r="B649" s="49" t="s">
        <v>1344</v>
      </c>
      <c r="C649" s="234">
        <v>8.4999999999999999E-6</v>
      </c>
      <c r="D649" s="234">
        <v>9.7999999999999993E-6</v>
      </c>
      <c r="E649" s="216">
        <v>20165</v>
      </c>
      <c r="F649" s="216" t="s">
        <v>1924</v>
      </c>
      <c r="G649" s="232">
        <v>3111</v>
      </c>
      <c r="H649" s="220">
        <v>2768</v>
      </c>
      <c r="I649" s="232">
        <v>5351</v>
      </c>
      <c r="J649" s="231">
        <v>5157</v>
      </c>
      <c r="K649" s="88">
        <f t="shared" si="25"/>
        <v>16387</v>
      </c>
      <c r="L649" s="50"/>
      <c r="M649" s="232">
        <v>104</v>
      </c>
      <c r="N649" s="232">
        <v>0</v>
      </c>
      <c r="O649" s="231">
        <v>0</v>
      </c>
      <c r="P649" s="88">
        <f t="shared" si="26"/>
        <v>104</v>
      </c>
      <c r="Q649" s="50"/>
      <c r="R649" s="232">
        <v>5601</v>
      </c>
      <c r="S649" s="231">
        <v>2552</v>
      </c>
      <c r="T649" s="233">
        <v>8153</v>
      </c>
    </row>
    <row r="650" spans="1:20">
      <c r="A650" s="48">
        <v>97005</v>
      </c>
      <c r="B650" s="49" t="s">
        <v>1345</v>
      </c>
      <c r="C650" s="234">
        <v>2.7500000000000001E-5</v>
      </c>
      <c r="D650" s="234">
        <v>2.83E-5</v>
      </c>
      <c r="E650" s="216">
        <v>65239</v>
      </c>
      <c r="F650" s="216" t="s">
        <v>1924</v>
      </c>
      <c r="G650" s="232">
        <v>10065</v>
      </c>
      <c r="H650" s="220">
        <v>8955</v>
      </c>
      <c r="I650" s="232">
        <v>17312</v>
      </c>
      <c r="J650" s="231">
        <v>9886</v>
      </c>
      <c r="K650" s="88">
        <f t="shared" si="25"/>
        <v>46218</v>
      </c>
      <c r="L650" s="50"/>
      <c r="M650" s="232">
        <v>338</v>
      </c>
      <c r="N650" s="232">
        <v>0</v>
      </c>
      <c r="O650" s="231">
        <v>702</v>
      </c>
      <c r="P650" s="88">
        <f t="shared" si="26"/>
        <v>1040</v>
      </c>
      <c r="Q650" s="50"/>
      <c r="R650" s="232">
        <v>18122</v>
      </c>
      <c r="S650" s="231">
        <v>3372</v>
      </c>
      <c r="T650" s="233">
        <v>21494</v>
      </c>
    </row>
    <row r="651" spans="1:20">
      <c r="A651" s="48">
        <v>97008</v>
      </c>
      <c r="B651" s="49" t="s">
        <v>1346</v>
      </c>
      <c r="C651" s="234">
        <v>2.766E-4</v>
      </c>
      <c r="D651" s="234">
        <v>2.8659999999999997E-4</v>
      </c>
      <c r="E651" s="216">
        <v>656190</v>
      </c>
      <c r="F651" s="216" t="s">
        <v>1924</v>
      </c>
      <c r="G651" s="232">
        <v>101234</v>
      </c>
      <c r="H651" s="220">
        <v>90075</v>
      </c>
      <c r="I651" s="232">
        <v>174127</v>
      </c>
      <c r="J651" s="231">
        <v>3810</v>
      </c>
      <c r="K651" s="88">
        <f t="shared" si="25"/>
        <v>369246</v>
      </c>
      <c r="L651" s="50"/>
      <c r="M651" s="232">
        <v>3397</v>
      </c>
      <c r="N651" s="232">
        <v>0</v>
      </c>
      <c r="O651" s="231">
        <v>5294</v>
      </c>
      <c r="P651" s="88">
        <f t="shared" si="26"/>
        <v>8691</v>
      </c>
      <c r="Q651" s="50"/>
      <c r="R651" s="232">
        <v>182272</v>
      </c>
      <c r="S651" s="231">
        <v>6191</v>
      </c>
      <c r="T651" s="233">
        <v>188463</v>
      </c>
    </row>
    <row r="652" spans="1:20">
      <c r="A652" s="48">
        <v>97010</v>
      </c>
      <c r="B652" s="49" t="s">
        <v>1347</v>
      </c>
      <c r="C652" s="234">
        <v>0</v>
      </c>
      <c r="D652" s="234">
        <v>0</v>
      </c>
      <c r="E652" s="216">
        <v>0</v>
      </c>
      <c r="F652" s="216" t="s">
        <v>1924</v>
      </c>
      <c r="G652" s="232">
        <v>0</v>
      </c>
      <c r="H652" s="220">
        <v>0</v>
      </c>
      <c r="I652" s="232">
        <v>0</v>
      </c>
      <c r="J652" s="231">
        <v>0</v>
      </c>
      <c r="K652" s="88">
        <f t="shared" si="25"/>
        <v>0</v>
      </c>
      <c r="L652" s="50"/>
      <c r="M652" s="232">
        <v>0</v>
      </c>
      <c r="N652" s="232">
        <v>0</v>
      </c>
      <c r="O652" s="231">
        <v>777787</v>
      </c>
      <c r="P652" s="88">
        <f t="shared" si="26"/>
        <v>777787</v>
      </c>
      <c r="Q652" s="50"/>
      <c r="R652" s="232">
        <v>0</v>
      </c>
      <c r="S652" s="231">
        <v>-1279115</v>
      </c>
      <c r="T652" s="233">
        <v>-1279115</v>
      </c>
    </row>
    <row r="653" spans="1:20">
      <c r="A653" s="48">
        <v>97011</v>
      </c>
      <c r="B653" s="49" t="s">
        <v>1348</v>
      </c>
      <c r="C653" s="234">
        <v>1.9426999999999999E-3</v>
      </c>
      <c r="D653" s="234">
        <v>1.9166999999999999E-3</v>
      </c>
      <c r="E653" s="216">
        <v>4608749</v>
      </c>
      <c r="F653" s="216" t="s">
        <v>1924</v>
      </c>
      <c r="G653" s="232">
        <v>711020</v>
      </c>
      <c r="H653" s="220">
        <v>632644</v>
      </c>
      <c r="I653" s="232">
        <v>1222984</v>
      </c>
      <c r="J653" s="231">
        <v>0</v>
      </c>
      <c r="K653" s="88">
        <f t="shared" si="25"/>
        <v>2566648</v>
      </c>
      <c r="L653" s="50"/>
      <c r="M653" s="232">
        <v>23858</v>
      </c>
      <c r="N653" s="232">
        <v>0</v>
      </c>
      <c r="O653" s="231">
        <v>61009</v>
      </c>
      <c r="P653" s="88">
        <f t="shared" si="26"/>
        <v>84867</v>
      </c>
      <c r="Q653" s="50"/>
      <c r="R653" s="232">
        <v>1280187</v>
      </c>
      <c r="S653" s="231">
        <v>-40429</v>
      </c>
      <c r="T653" s="233">
        <v>1239758</v>
      </c>
    </row>
    <row r="654" spans="1:20">
      <c r="A654" s="48">
        <v>97012</v>
      </c>
      <c r="B654" s="49" t="s">
        <v>2762</v>
      </c>
      <c r="C654" s="234">
        <v>3.0700000000000001E-5</v>
      </c>
      <c r="D654" s="234">
        <v>2.9499999999999999E-5</v>
      </c>
      <c r="E654" s="216">
        <v>72831</v>
      </c>
      <c r="F654" s="216" t="s">
        <v>1924</v>
      </c>
      <c r="G654" s="232">
        <v>11236</v>
      </c>
      <c r="H654" s="220">
        <v>9997</v>
      </c>
      <c r="I654" s="232">
        <v>19327</v>
      </c>
      <c r="J654" s="231">
        <v>6719</v>
      </c>
      <c r="K654" s="88">
        <f t="shared" si="25"/>
        <v>47279</v>
      </c>
      <c r="L654" s="50"/>
      <c r="M654" s="232">
        <v>377</v>
      </c>
      <c r="N654" s="232">
        <v>0</v>
      </c>
      <c r="O654" s="231">
        <v>415</v>
      </c>
      <c r="P654" s="88">
        <f t="shared" si="26"/>
        <v>792</v>
      </c>
      <c r="Q654" s="50"/>
      <c r="R654" s="232">
        <v>20230</v>
      </c>
      <c r="S654" s="231">
        <v>1569</v>
      </c>
      <c r="T654" s="233">
        <v>21799</v>
      </c>
    </row>
    <row r="655" spans="1:20">
      <c r="A655" s="48">
        <v>97013</v>
      </c>
      <c r="B655" s="49" t="s">
        <v>1350</v>
      </c>
      <c r="C655" s="234">
        <v>2.19E-5</v>
      </c>
      <c r="D655" s="234">
        <v>1.8199999999999999E-5</v>
      </c>
      <c r="E655" s="216">
        <v>51954</v>
      </c>
      <c r="F655" s="216" t="s">
        <v>1924</v>
      </c>
      <c r="G655" s="232">
        <v>8015</v>
      </c>
      <c r="H655" s="220">
        <v>7132</v>
      </c>
      <c r="I655" s="232">
        <v>13787</v>
      </c>
      <c r="J655" s="231">
        <v>7375</v>
      </c>
      <c r="K655" s="88">
        <f t="shared" si="25"/>
        <v>36309</v>
      </c>
      <c r="L655" s="50"/>
      <c r="M655" s="232">
        <v>269</v>
      </c>
      <c r="N655" s="232">
        <v>0</v>
      </c>
      <c r="O655" s="231">
        <v>0</v>
      </c>
      <c r="P655" s="88">
        <f t="shared" si="26"/>
        <v>269</v>
      </c>
      <c r="Q655" s="50"/>
      <c r="R655" s="232">
        <v>14432</v>
      </c>
      <c r="S655" s="231">
        <v>2956</v>
      </c>
      <c r="T655" s="233">
        <v>17388</v>
      </c>
    </row>
    <row r="656" spans="1:20">
      <c r="A656" s="48">
        <v>97015</v>
      </c>
      <c r="B656" s="49" t="s">
        <v>1351</v>
      </c>
      <c r="C656" s="234">
        <v>5.1700000000000003E-5</v>
      </c>
      <c r="D656" s="234">
        <v>4.1499999999999999E-5</v>
      </c>
      <c r="E656" s="216">
        <v>122650</v>
      </c>
      <c r="F656" s="216" t="s">
        <v>1924</v>
      </c>
      <c r="G656" s="232">
        <v>18922</v>
      </c>
      <c r="H656" s="220">
        <v>16836</v>
      </c>
      <c r="I656" s="232">
        <v>32547</v>
      </c>
      <c r="J656" s="231">
        <v>9840</v>
      </c>
      <c r="K656" s="88">
        <f t="shared" si="25"/>
        <v>78145</v>
      </c>
      <c r="L656" s="50"/>
      <c r="M656" s="232">
        <v>635</v>
      </c>
      <c r="N656" s="232">
        <v>0</v>
      </c>
      <c r="O656" s="231">
        <v>3745</v>
      </c>
      <c r="P656" s="88">
        <f t="shared" si="26"/>
        <v>4380</v>
      </c>
      <c r="Q656" s="50"/>
      <c r="R656" s="232">
        <v>34069</v>
      </c>
      <c r="S656" s="231">
        <v>1860</v>
      </c>
      <c r="T656" s="233">
        <v>35929</v>
      </c>
    </row>
    <row r="657" spans="1:20">
      <c r="A657" s="48">
        <v>97018</v>
      </c>
      <c r="B657" s="49" t="s">
        <v>1352</v>
      </c>
      <c r="C657" s="234">
        <v>7.4000000000000003E-6</v>
      </c>
      <c r="D657" s="234">
        <v>8.6000000000000007E-6</v>
      </c>
      <c r="E657" s="216">
        <v>17555</v>
      </c>
      <c r="F657" s="216" t="s">
        <v>1924</v>
      </c>
      <c r="G657" s="232">
        <v>2708</v>
      </c>
      <c r="H657" s="220">
        <v>2410</v>
      </c>
      <c r="I657" s="232">
        <v>4659</v>
      </c>
      <c r="J657" s="231">
        <v>7148</v>
      </c>
      <c r="K657" s="88">
        <f t="shared" si="25"/>
        <v>16925</v>
      </c>
      <c r="L657" s="50"/>
      <c r="M657" s="232">
        <v>91</v>
      </c>
      <c r="N657" s="232">
        <v>0</v>
      </c>
      <c r="O657" s="231">
        <v>0</v>
      </c>
      <c r="P657" s="88">
        <f t="shared" si="26"/>
        <v>91</v>
      </c>
      <c r="Q657" s="50"/>
      <c r="R657" s="232">
        <v>4876</v>
      </c>
      <c r="S657" s="231">
        <v>3577</v>
      </c>
      <c r="T657" s="233">
        <v>8453</v>
      </c>
    </row>
    <row r="658" spans="1:20">
      <c r="A658" s="48">
        <v>97101</v>
      </c>
      <c r="B658" s="49" t="s">
        <v>1353</v>
      </c>
      <c r="C658" s="234">
        <v>2.4805000000000001E-3</v>
      </c>
      <c r="D658" s="234">
        <v>2.5790000000000001E-3</v>
      </c>
      <c r="E658" s="216">
        <v>5884594</v>
      </c>
      <c r="F658" s="216" t="s">
        <v>1924</v>
      </c>
      <c r="G658" s="232">
        <v>907853</v>
      </c>
      <c r="H658" s="220">
        <v>807780</v>
      </c>
      <c r="I658" s="232">
        <v>1561544</v>
      </c>
      <c r="J658" s="231">
        <v>35145</v>
      </c>
      <c r="K658" s="88">
        <f t="shared" si="25"/>
        <v>3312322</v>
      </c>
      <c r="L658" s="50"/>
      <c r="M658" s="232">
        <v>30463</v>
      </c>
      <c r="N658" s="232">
        <v>0</v>
      </c>
      <c r="O658" s="231">
        <v>0</v>
      </c>
      <c r="P658" s="88">
        <f t="shared" si="26"/>
        <v>30463</v>
      </c>
      <c r="Q658" s="50"/>
      <c r="R658" s="232">
        <v>1634583</v>
      </c>
      <c r="S658" s="231">
        <v>9399</v>
      </c>
      <c r="T658" s="233">
        <v>1643982</v>
      </c>
    </row>
    <row r="659" spans="1:20">
      <c r="A659" s="48">
        <v>97104</v>
      </c>
      <c r="B659" s="49" t="s">
        <v>1354</v>
      </c>
      <c r="C659" s="234">
        <v>5.6100000000000002E-5</v>
      </c>
      <c r="D659" s="234">
        <v>5.4299999999999998E-5</v>
      </c>
      <c r="E659" s="216">
        <v>133088</v>
      </c>
      <c r="F659" s="216" t="s">
        <v>1924</v>
      </c>
      <c r="G659" s="232">
        <v>20532</v>
      </c>
      <c r="H659" s="220">
        <v>18269</v>
      </c>
      <c r="I659" s="232">
        <v>35317</v>
      </c>
      <c r="J659" s="231">
        <v>11210</v>
      </c>
      <c r="K659" s="88">
        <f t="shared" si="25"/>
        <v>85328</v>
      </c>
      <c r="L659" s="50"/>
      <c r="M659" s="232">
        <v>689</v>
      </c>
      <c r="N659" s="232">
        <v>0</v>
      </c>
      <c r="O659" s="231">
        <v>0</v>
      </c>
      <c r="P659" s="88">
        <f t="shared" si="26"/>
        <v>689</v>
      </c>
      <c r="Q659" s="50"/>
      <c r="R659" s="232">
        <v>36968</v>
      </c>
      <c r="S659" s="231">
        <v>7518</v>
      </c>
      <c r="T659" s="233">
        <v>44486</v>
      </c>
    </row>
    <row r="660" spans="1:20">
      <c r="A660" s="48">
        <v>97111</v>
      </c>
      <c r="B660" s="49" t="s">
        <v>2376</v>
      </c>
      <c r="C660" s="234">
        <v>2.7779999999999998E-4</v>
      </c>
      <c r="D660" s="234">
        <v>2.8200000000000002E-4</v>
      </c>
      <c r="E660" s="216">
        <v>659037</v>
      </c>
      <c r="F660" s="216" t="s">
        <v>1924</v>
      </c>
      <c r="G660" s="232">
        <v>101674</v>
      </c>
      <c r="H660" s="220">
        <v>90466</v>
      </c>
      <c r="I660" s="232">
        <v>174883</v>
      </c>
      <c r="J660" s="231">
        <v>656</v>
      </c>
      <c r="K660" s="88">
        <f t="shared" ref="K660:K725" si="27">G660+H660+I660+J660</f>
        <v>367679</v>
      </c>
      <c r="L660" s="50"/>
      <c r="M660" s="232">
        <v>3412</v>
      </c>
      <c r="N660" s="232">
        <v>0</v>
      </c>
      <c r="O660" s="231">
        <v>19675</v>
      </c>
      <c r="P660" s="88">
        <f t="shared" ref="P660:P725" si="28">M660+N660+O660</f>
        <v>23087</v>
      </c>
      <c r="Q660" s="50"/>
      <c r="R660" s="232">
        <v>183063</v>
      </c>
      <c r="S660" s="231">
        <v>-3431</v>
      </c>
      <c r="T660" s="233">
        <v>179632</v>
      </c>
    </row>
    <row r="661" spans="1:20">
      <c r="A661" s="48">
        <v>97121</v>
      </c>
      <c r="B661" s="49" t="s">
        <v>2377</v>
      </c>
      <c r="C661" s="234">
        <v>1.2980000000000001E-4</v>
      </c>
      <c r="D661" s="234">
        <v>1.3640000000000001E-4</v>
      </c>
      <c r="E661" s="216">
        <v>307930</v>
      </c>
      <c r="F661" s="216" t="s">
        <v>1924</v>
      </c>
      <c r="G661" s="232">
        <v>47506</v>
      </c>
      <c r="H661" s="220">
        <v>42270</v>
      </c>
      <c r="I661" s="232">
        <v>81713</v>
      </c>
      <c r="J661" s="231">
        <v>15643</v>
      </c>
      <c r="K661" s="88">
        <f t="shared" si="27"/>
        <v>187132</v>
      </c>
      <c r="L661" s="50"/>
      <c r="M661" s="232">
        <v>1594</v>
      </c>
      <c r="N661" s="232">
        <v>0</v>
      </c>
      <c r="O661" s="231">
        <v>5525</v>
      </c>
      <c r="P661" s="88">
        <f t="shared" si="28"/>
        <v>7119</v>
      </c>
      <c r="Q661" s="50"/>
      <c r="R661" s="232">
        <v>85535</v>
      </c>
      <c r="S661" s="231">
        <v>263</v>
      </c>
      <c r="T661" s="233">
        <v>85798</v>
      </c>
    </row>
    <row r="662" spans="1:20">
      <c r="A662" s="48">
        <v>97131</v>
      </c>
      <c r="B662" s="49" t="s">
        <v>2378</v>
      </c>
      <c r="C662" s="234">
        <v>6.0749999999999997E-4</v>
      </c>
      <c r="D662" s="234">
        <v>7.358E-4</v>
      </c>
      <c r="E662" s="216">
        <v>1441198</v>
      </c>
      <c r="F662" s="216" t="s">
        <v>1924</v>
      </c>
      <c r="G662" s="232">
        <v>222343</v>
      </c>
      <c r="H662" s="220">
        <v>197834</v>
      </c>
      <c r="I662" s="232">
        <v>382438</v>
      </c>
      <c r="J662" s="231">
        <v>20955</v>
      </c>
      <c r="K662" s="88">
        <f t="shared" si="27"/>
        <v>823570</v>
      </c>
      <c r="L662" s="50"/>
      <c r="M662" s="232">
        <v>7461</v>
      </c>
      <c r="N662" s="232">
        <v>0</v>
      </c>
      <c r="O662" s="231">
        <v>118742</v>
      </c>
      <c r="P662" s="88">
        <f t="shared" si="28"/>
        <v>126203</v>
      </c>
      <c r="Q662" s="50"/>
      <c r="R662" s="232">
        <v>400326</v>
      </c>
      <c r="S662" s="231">
        <v>-21454</v>
      </c>
      <c r="T662" s="233">
        <v>378872</v>
      </c>
    </row>
    <row r="663" spans="1:20">
      <c r="A663" s="48">
        <v>97201</v>
      </c>
      <c r="B663" s="49" t="s">
        <v>1358</v>
      </c>
      <c r="C663" s="234">
        <v>5.1219999999999998E-4</v>
      </c>
      <c r="D663" s="234">
        <v>5.2689999999999996E-4</v>
      </c>
      <c r="E663" s="216">
        <v>1215114</v>
      </c>
      <c r="F663" s="216" t="s">
        <v>1924</v>
      </c>
      <c r="G663" s="232">
        <v>187463</v>
      </c>
      <c r="H663" s="220">
        <v>166799</v>
      </c>
      <c r="I663" s="232">
        <v>322444</v>
      </c>
      <c r="J663" s="231">
        <v>30683</v>
      </c>
      <c r="K663" s="88">
        <f t="shared" si="27"/>
        <v>707389</v>
      </c>
      <c r="L663" s="50"/>
      <c r="M663" s="232">
        <v>6290</v>
      </c>
      <c r="N663" s="232">
        <v>0</v>
      </c>
      <c r="O663" s="231">
        <v>1246</v>
      </c>
      <c r="P663" s="88">
        <f t="shared" si="28"/>
        <v>7536</v>
      </c>
      <c r="Q663" s="50"/>
      <c r="R663" s="232">
        <v>337526</v>
      </c>
      <c r="S663" s="231">
        <v>10658</v>
      </c>
      <c r="T663" s="233">
        <v>348184</v>
      </c>
    </row>
    <row r="664" spans="1:20">
      <c r="A664" s="48">
        <v>97211</v>
      </c>
      <c r="B664" s="49" t="s">
        <v>2379</v>
      </c>
      <c r="C664" s="234">
        <v>1.4569999999999999E-4</v>
      </c>
      <c r="D664" s="234">
        <v>1.5980000000000001E-4</v>
      </c>
      <c r="E664" s="216">
        <v>345650</v>
      </c>
      <c r="F664" s="216" t="s">
        <v>1924</v>
      </c>
      <c r="G664" s="232">
        <v>53326</v>
      </c>
      <c r="H664" s="220">
        <v>47448</v>
      </c>
      <c r="I664" s="232">
        <v>91722</v>
      </c>
      <c r="J664" s="231">
        <v>11315</v>
      </c>
      <c r="K664" s="88">
        <f t="shared" si="27"/>
        <v>203811</v>
      </c>
      <c r="L664" s="50"/>
      <c r="M664" s="232">
        <v>1789</v>
      </c>
      <c r="N664" s="232">
        <v>0</v>
      </c>
      <c r="O664" s="231">
        <v>12606</v>
      </c>
      <c r="P664" s="88">
        <f t="shared" si="28"/>
        <v>14395</v>
      </c>
      <c r="Q664" s="50"/>
      <c r="R664" s="232">
        <v>96012</v>
      </c>
      <c r="S664" s="231">
        <v>-859</v>
      </c>
      <c r="T664" s="233">
        <v>95153</v>
      </c>
    </row>
    <row r="665" spans="1:20">
      <c r="A665" s="48">
        <v>97213</v>
      </c>
      <c r="B665" s="49" t="s">
        <v>2763</v>
      </c>
      <c r="C665" s="234">
        <v>4.5599999999999997E-5</v>
      </c>
      <c r="D665" s="234">
        <v>3.9100000000000002E-5</v>
      </c>
      <c r="E665" s="216">
        <v>108179</v>
      </c>
      <c r="F665" s="216" t="s">
        <v>1924</v>
      </c>
      <c r="G665" s="232">
        <v>16689</v>
      </c>
      <c r="H665" s="220">
        <v>14849</v>
      </c>
      <c r="I665" s="232">
        <v>28706</v>
      </c>
      <c r="J665" s="231">
        <v>8617</v>
      </c>
      <c r="K665" s="88">
        <f t="shared" si="27"/>
        <v>68861</v>
      </c>
      <c r="L665" s="50"/>
      <c r="M665" s="232">
        <v>560</v>
      </c>
      <c r="N665" s="232">
        <v>0</v>
      </c>
      <c r="O665" s="231">
        <v>322</v>
      </c>
      <c r="P665" s="88">
        <f t="shared" si="28"/>
        <v>882</v>
      </c>
      <c r="Q665" s="50"/>
      <c r="R665" s="232">
        <v>30049</v>
      </c>
      <c r="S665" s="231">
        <v>3081</v>
      </c>
      <c r="T665" s="233">
        <v>33130</v>
      </c>
    </row>
    <row r="666" spans="1:20">
      <c r="A666" s="48">
        <v>97217</v>
      </c>
      <c r="B666" s="49" t="s">
        <v>2380</v>
      </c>
      <c r="C666" s="234">
        <v>4.8999999999999997E-6</v>
      </c>
      <c r="D666" s="234">
        <v>4.6E-6</v>
      </c>
      <c r="E666" s="216">
        <v>11624</v>
      </c>
      <c r="F666" s="216" t="s">
        <v>1924</v>
      </c>
      <c r="G666" s="232">
        <v>1793</v>
      </c>
      <c r="H666" s="220">
        <v>1596</v>
      </c>
      <c r="I666" s="232">
        <v>3085</v>
      </c>
      <c r="J666" s="231">
        <v>8394</v>
      </c>
      <c r="K666" s="88">
        <f t="shared" si="27"/>
        <v>14868</v>
      </c>
      <c r="L666" s="50"/>
      <c r="M666" s="232">
        <v>60</v>
      </c>
      <c r="N666" s="232">
        <v>0</v>
      </c>
      <c r="O666" s="231">
        <v>0</v>
      </c>
      <c r="P666" s="88">
        <f t="shared" si="28"/>
        <v>60</v>
      </c>
      <c r="Q666" s="50"/>
      <c r="R666" s="232">
        <v>3229</v>
      </c>
      <c r="S666" s="231">
        <v>4143</v>
      </c>
      <c r="T666" s="233">
        <v>7372</v>
      </c>
    </row>
    <row r="667" spans="1:20">
      <c r="A667" s="48">
        <v>97221</v>
      </c>
      <c r="B667" s="49" t="s">
        <v>2381</v>
      </c>
      <c r="C667" s="234">
        <v>3.9999999999999998E-6</v>
      </c>
      <c r="D667" s="234">
        <v>7.1999999999999997E-6</v>
      </c>
      <c r="E667" s="216">
        <v>9489</v>
      </c>
      <c r="F667" s="216" t="s">
        <v>1924</v>
      </c>
      <c r="G667" s="232">
        <v>1464</v>
      </c>
      <c r="H667" s="220">
        <v>1303</v>
      </c>
      <c r="I667" s="232">
        <v>2518</v>
      </c>
      <c r="J667" s="231">
        <v>6077</v>
      </c>
      <c r="K667" s="88">
        <f t="shared" si="27"/>
        <v>11362</v>
      </c>
      <c r="L667" s="50"/>
      <c r="M667" s="232">
        <v>49</v>
      </c>
      <c r="N667" s="232">
        <v>0</v>
      </c>
      <c r="O667" s="231">
        <v>0</v>
      </c>
      <c r="P667" s="88">
        <f t="shared" si="28"/>
        <v>49</v>
      </c>
      <c r="Q667" s="50"/>
      <c r="R667" s="232">
        <v>2636</v>
      </c>
      <c r="S667" s="231">
        <v>3385</v>
      </c>
      <c r="T667" s="233">
        <v>6021</v>
      </c>
    </row>
    <row r="668" spans="1:20">
      <c r="A668" s="48">
        <v>97301</v>
      </c>
      <c r="B668" s="49" t="s">
        <v>1363</v>
      </c>
      <c r="C668" s="234">
        <v>2.4616E-3</v>
      </c>
      <c r="D668" s="234">
        <v>2.5135999999999999E-3</v>
      </c>
      <c r="E668" s="216">
        <v>5839757</v>
      </c>
      <c r="F668" s="216" t="s">
        <v>1924</v>
      </c>
      <c r="G668" s="232">
        <v>900936</v>
      </c>
      <c r="H668" s="220">
        <v>801625</v>
      </c>
      <c r="I668" s="232">
        <v>1549646</v>
      </c>
      <c r="J668" s="231">
        <v>10684</v>
      </c>
      <c r="K668" s="88">
        <f t="shared" si="27"/>
        <v>3262891</v>
      </c>
      <c r="L668" s="50"/>
      <c r="M668" s="232">
        <v>30231</v>
      </c>
      <c r="N668" s="232">
        <v>0</v>
      </c>
      <c r="O668" s="231">
        <v>48917</v>
      </c>
      <c r="P668" s="88">
        <f t="shared" si="28"/>
        <v>79148</v>
      </c>
      <c r="Q668" s="50"/>
      <c r="R668" s="232">
        <v>1622128</v>
      </c>
      <c r="S668" s="231">
        <v>-14603</v>
      </c>
      <c r="T668" s="233">
        <v>1607525</v>
      </c>
    </row>
    <row r="669" spans="1:20">
      <c r="A669" s="48">
        <v>97304</v>
      </c>
      <c r="B669" s="49" t="s">
        <v>1364</v>
      </c>
      <c r="C669" s="234">
        <v>1.5299999999999999E-5</v>
      </c>
      <c r="D669" s="234">
        <v>1.6799999999999998E-5</v>
      </c>
      <c r="E669" s="216">
        <v>36297</v>
      </c>
      <c r="F669" s="216" t="s">
        <v>1924</v>
      </c>
      <c r="G669" s="232">
        <v>5600</v>
      </c>
      <c r="H669" s="220">
        <v>4983</v>
      </c>
      <c r="I669" s="232">
        <v>9632</v>
      </c>
      <c r="J669" s="231">
        <v>9181</v>
      </c>
      <c r="K669" s="88">
        <f t="shared" si="27"/>
        <v>29396</v>
      </c>
      <c r="L669" s="50"/>
      <c r="M669" s="232">
        <v>188</v>
      </c>
      <c r="N669" s="232">
        <v>0</v>
      </c>
      <c r="O669" s="231">
        <v>0</v>
      </c>
      <c r="P669" s="88">
        <f t="shared" si="28"/>
        <v>188</v>
      </c>
      <c r="Q669" s="50"/>
      <c r="R669" s="232">
        <v>10082</v>
      </c>
      <c r="S669" s="231">
        <v>4481</v>
      </c>
      <c r="T669" s="233">
        <v>14563</v>
      </c>
    </row>
    <row r="670" spans="1:20">
      <c r="A670" s="48">
        <v>97311</v>
      </c>
      <c r="B670" s="49" t="s">
        <v>1365</v>
      </c>
      <c r="C670" s="234">
        <v>8.8420000000000002E-4</v>
      </c>
      <c r="D670" s="234">
        <v>9.1799999999999998E-4</v>
      </c>
      <c r="E670" s="216">
        <v>2097625</v>
      </c>
      <c r="F670" s="216" t="s">
        <v>1924</v>
      </c>
      <c r="G670" s="232">
        <v>323614</v>
      </c>
      <c r="H670" s="220">
        <v>287942</v>
      </c>
      <c r="I670" s="232">
        <v>556629</v>
      </c>
      <c r="J670" s="231">
        <v>0</v>
      </c>
      <c r="K670" s="88">
        <f t="shared" si="27"/>
        <v>1168185</v>
      </c>
      <c r="L670" s="50"/>
      <c r="M670" s="232">
        <v>10859</v>
      </c>
      <c r="N670" s="232">
        <v>0</v>
      </c>
      <c r="O670" s="231">
        <v>82924</v>
      </c>
      <c r="P670" s="88">
        <f t="shared" si="28"/>
        <v>93783</v>
      </c>
      <c r="Q670" s="50"/>
      <c r="R670" s="232">
        <v>582664</v>
      </c>
      <c r="S670" s="231">
        <v>-48862</v>
      </c>
      <c r="T670" s="233">
        <v>533802</v>
      </c>
    </row>
    <row r="671" spans="1:20">
      <c r="A671" s="48">
        <v>97401</v>
      </c>
      <c r="B671" s="49" t="s">
        <v>1366</v>
      </c>
      <c r="C671" s="234">
        <v>7.1440000000000002E-3</v>
      </c>
      <c r="D671" s="234">
        <v>7.1303E-3</v>
      </c>
      <c r="E671" s="216">
        <v>16948011</v>
      </c>
      <c r="F671" s="216" t="s">
        <v>1924</v>
      </c>
      <c r="G671" s="232">
        <v>2614675</v>
      </c>
      <c r="H671" s="220">
        <v>2326458</v>
      </c>
      <c r="I671" s="232">
        <v>4497348</v>
      </c>
      <c r="J671" s="231">
        <v>194684</v>
      </c>
      <c r="K671" s="88">
        <f t="shared" si="27"/>
        <v>9633165</v>
      </c>
      <c r="L671" s="50"/>
      <c r="M671" s="232">
        <v>87735</v>
      </c>
      <c r="N671" s="232">
        <v>0</v>
      </c>
      <c r="O671" s="231">
        <v>24107</v>
      </c>
      <c r="P671" s="88">
        <f t="shared" si="28"/>
        <v>111842</v>
      </c>
      <c r="Q671" s="50"/>
      <c r="R671" s="232">
        <v>4707703</v>
      </c>
      <c r="S671" s="231">
        <v>-954</v>
      </c>
      <c r="T671" s="233">
        <v>4706749</v>
      </c>
    </row>
    <row r="672" spans="1:20">
      <c r="A672" s="48">
        <v>97402</v>
      </c>
      <c r="B672" s="49" t="s">
        <v>1367</v>
      </c>
      <c r="C672" s="234">
        <v>4.8399999999999997E-5</v>
      </c>
      <c r="D672" s="234">
        <v>4.8000000000000001E-5</v>
      </c>
      <c r="E672" s="216">
        <v>114821</v>
      </c>
      <c r="F672" s="216" t="s">
        <v>1924</v>
      </c>
      <c r="G672" s="232">
        <v>17714</v>
      </c>
      <c r="H672" s="220">
        <v>15761</v>
      </c>
      <c r="I672" s="232">
        <v>30469</v>
      </c>
      <c r="J672" s="231">
        <v>12911</v>
      </c>
      <c r="K672" s="88">
        <f t="shared" si="27"/>
        <v>76855</v>
      </c>
      <c r="L672" s="50"/>
      <c r="M672" s="232">
        <v>594</v>
      </c>
      <c r="N672" s="232">
        <v>0</v>
      </c>
      <c r="O672" s="231">
        <v>0</v>
      </c>
      <c r="P672" s="88">
        <f t="shared" si="28"/>
        <v>594</v>
      </c>
      <c r="Q672" s="50"/>
      <c r="R672" s="232">
        <v>31894</v>
      </c>
      <c r="S672" s="231">
        <v>5903</v>
      </c>
      <c r="T672" s="233">
        <v>37797</v>
      </c>
    </row>
    <row r="673" spans="1:20">
      <c r="A673" s="48">
        <v>97404</v>
      </c>
      <c r="B673" s="49" t="s">
        <v>1368</v>
      </c>
      <c r="C673" s="234">
        <v>2.0320000000000001E-4</v>
      </c>
      <c r="D673" s="234">
        <v>2.1010000000000001E-4</v>
      </c>
      <c r="E673" s="216">
        <v>482060</v>
      </c>
      <c r="F673" s="216" t="s">
        <v>1924</v>
      </c>
      <c r="G673" s="232">
        <v>74370</v>
      </c>
      <c r="H673" s="220">
        <v>66173</v>
      </c>
      <c r="I673" s="232">
        <v>127920</v>
      </c>
      <c r="J673" s="231">
        <v>0</v>
      </c>
      <c r="K673" s="88">
        <f t="shared" si="27"/>
        <v>268463</v>
      </c>
      <c r="L673" s="50"/>
      <c r="M673" s="232">
        <v>2495</v>
      </c>
      <c r="N673" s="232">
        <v>0</v>
      </c>
      <c r="O673" s="231">
        <v>26048</v>
      </c>
      <c r="P673" s="88">
        <f t="shared" si="28"/>
        <v>28543</v>
      </c>
      <c r="Q673" s="50"/>
      <c r="R673" s="232">
        <v>133903</v>
      </c>
      <c r="S673" s="231">
        <v>-9082</v>
      </c>
      <c r="T673" s="233">
        <v>124821</v>
      </c>
    </row>
    <row r="674" spans="1:20">
      <c r="A674" s="48">
        <v>97405</v>
      </c>
      <c r="B674" s="49" t="s">
        <v>1369</v>
      </c>
      <c r="C674" s="234">
        <v>1.156E-4</v>
      </c>
      <c r="D674" s="234">
        <v>1.091E-4</v>
      </c>
      <c r="E674" s="216">
        <v>274243</v>
      </c>
      <c r="F674" s="216" t="s">
        <v>1924</v>
      </c>
      <c r="G674" s="232">
        <v>42309</v>
      </c>
      <c r="H674" s="220">
        <v>37646</v>
      </c>
      <c r="I674" s="232">
        <v>72773</v>
      </c>
      <c r="J674" s="231">
        <v>33588</v>
      </c>
      <c r="K674" s="88">
        <f t="shared" si="27"/>
        <v>186316</v>
      </c>
      <c r="L674" s="50"/>
      <c r="M674" s="232">
        <v>1420</v>
      </c>
      <c r="N674" s="232">
        <v>0</v>
      </c>
      <c r="O674" s="231">
        <v>0</v>
      </c>
      <c r="P674" s="88">
        <f t="shared" si="28"/>
        <v>1420</v>
      </c>
      <c r="Q674" s="50"/>
      <c r="R674" s="232">
        <v>76177</v>
      </c>
      <c r="S674" s="231">
        <v>8872</v>
      </c>
      <c r="T674" s="233">
        <v>85049</v>
      </c>
    </row>
    <row r="675" spans="1:20">
      <c r="A675" s="48">
        <v>97408</v>
      </c>
      <c r="B675" s="49" t="s">
        <v>1370</v>
      </c>
      <c r="C675" s="234">
        <v>4.3000000000000002E-5</v>
      </c>
      <c r="D675" s="234">
        <v>4.4499999999999997E-5</v>
      </c>
      <c r="E675" s="216">
        <v>102011</v>
      </c>
      <c r="F675" s="216" t="s">
        <v>1924</v>
      </c>
      <c r="G675" s="232">
        <v>15738</v>
      </c>
      <c r="H675" s="220">
        <v>14003</v>
      </c>
      <c r="I675" s="232">
        <v>27070</v>
      </c>
      <c r="J675" s="231">
        <v>6868</v>
      </c>
      <c r="K675" s="88">
        <f t="shared" si="27"/>
        <v>63679</v>
      </c>
      <c r="L675" s="50"/>
      <c r="M675" s="232">
        <v>528</v>
      </c>
      <c r="N675" s="232">
        <v>0</v>
      </c>
      <c r="O675" s="231">
        <v>0</v>
      </c>
      <c r="P675" s="88">
        <f t="shared" si="28"/>
        <v>528</v>
      </c>
      <c r="Q675" s="50"/>
      <c r="R675" s="232">
        <v>28336</v>
      </c>
      <c r="S675" s="231">
        <v>3527</v>
      </c>
      <c r="T675" s="233">
        <v>31863</v>
      </c>
    </row>
    <row r="676" spans="1:20">
      <c r="A676" s="48">
        <v>97411</v>
      </c>
      <c r="B676" s="49" t="s">
        <v>1371</v>
      </c>
      <c r="C676" s="234">
        <v>6.2385000000000001E-3</v>
      </c>
      <c r="D676" s="234">
        <v>6.6379000000000004E-3</v>
      </c>
      <c r="E676" s="216">
        <v>14799856</v>
      </c>
      <c r="F676" s="216" t="s">
        <v>1924</v>
      </c>
      <c r="G676" s="232">
        <v>2283266</v>
      </c>
      <c r="H676" s="220">
        <v>2031580</v>
      </c>
      <c r="I676" s="232">
        <v>3927310</v>
      </c>
      <c r="J676" s="231">
        <v>0</v>
      </c>
      <c r="K676" s="88">
        <f t="shared" si="27"/>
        <v>8242156</v>
      </c>
      <c r="L676" s="50"/>
      <c r="M676" s="232">
        <v>76615</v>
      </c>
      <c r="N676" s="232">
        <v>0</v>
      </c>
      <c r="O676" s="231">
        <v>667530</v>
      </c>
      <c r="P676" s="88">
        <f t="shared" si="28"/>
        <v>744145</v>
      </c>
      <c r="Q676" s="50"/>
      <c r="R676" s="232">
        <v>4111003</v>
      </c>
      <c r="S676" s="231">
        <v>-393360</v>
      </c>
      <c r="T676" s="233">
        <v>3717643</v>
      </c>
    </row>
    <row r="677" spans="1:20">
      <c r="A677" s="48">
        <v>97412</v>
      </c>
      <c r="B677" s="49" t="s">
        <v>1372</v>
      </c>
      <c r="C677" s="234">
        <v>4.6245000000000001E-3</v>
      </c>
      <c r="D677" s="234">
        <v>4.5082000000000004E-3</v>
      </c>
      <c r="E677" s="216">
        <v>10970896</v>
      </c>
      <c r="F677" s="216" t="s">
        <v>1924</v>
      </c>
      <c r="G677" s="232">
        <v>1692549</v>
      </c>
      <c r="H677" s="220">
        <v>1505978</v>
      </c>
      <c r="I677" s="232">
        <v>2911252</v>
      </c>
      <c r="J677" s="231">
        <v>233378</v>
      </c>
      <c r="K677" s="88">
        <f t="shared" si="27"/>
        <v>6343157</v>
      </c>
      <c r="L677" s="50"/>
      <c r="M677" s="232">
        <v>56793</v>
      </c>
      <c r="N677" s="232">
        <v>0</v>
      </c>
      <c r="O677" s="231">
        <v>0</v>
      </c>
      <c r="P677" s="88">
        <f t="shared" si="28"/>
        <v>56793</v>
      </c>
      <c r="Q677" s="50"/>
      <c r="R677" s="232">
        <v>3047421</v>
      </c>
      <c r="S677" s="231">
        <v>107578</v>
      </c>
      <c r="T677" s="233">
        <v>3154999</v>
      </c>
    </row>
    <row r="678" spans="1:20">
      <c r="A678" s="48">
        <v>97413</v>
      </c>
      <c r="B678" s="49" t="s">
        <v>1373</v>
      </c>
      <c r="C678" s="234">
        <v>2.7E-4</v>
      </c>
      <c r="D678" s="234">
        <v>2.6570000000000001E-4</v>
      </c>
      <c r="E678" s="216">
        <v>640532</v>
      </c>
      <c r="F678" s="216" t="s">
        <v>1924</v>
      </c>
      <c r="G678" s="232">
        <v>98819</v>
      </c>
      <c r="H678" s="220">
        <v>87926</v>
      </c>
      <c r="I678" s="232">
        <v>169973</v>
      </c>
      <c r="J678" s="231">
        <v>21390</v>
      </c>
      <c r="K678" s="88">
        <f t="shared" si="27"/>
        <v>378108</v>
      </c>
      <c r="L678" s="50"/>
      <c r="M678" s="232">
        <v>3316</v>
      </c>
      <c r="N678" s="232">
        <v>0</v>
      </c>
      <c r="O678" s="231">
        <v>439</v>
      </c>
      <c r="P678" s="88">
        <f t="shared" si="28"/>
        <v>3755</v>
      </c>
      <c r="Q678" s="50"/>
      <c r="R678" s="232">
        <v>177923</v>
      </c>
      <c r="S678" s="231">
        <v>1118</v>
      </c>
      <c r="T678" s="233">
        <v>179041</v>
      </c>
    </row>
    <row r="679" spans="1:20">
      <c r="A679" s="48">
        <v>97421</v>
      </c>
      <c r="B679" s="49" t="s">
        <v>2382</v>
      </c>
      <c r="C679" s="234">
        <v>4.4739999999999998E-4</v>
      </c>
      <c r="D679" s="234">
        <v>4.2890000000000002E-4</v>
      </c>
      <c r="E679" s="216">
        <v>1061386</v>
      </c>
      <c r="F679" s="216" t="s">
        <v>1924</v>
      </c>
      <c r="G679" s="232">
        <v>163747</v>
      </c>
      <c r="H679" s="220">
        <v>145696</v>
      </c>
      <c r="I679" s="232">
        <v>281651</v>
      </c>
      <c r="J679" s="231">
        <v>12678</v>
      </c>
      <c r="K679" s="88">
        <f t="shared" si="27"/>
        <v>603772</v>
      </c>
      <c r="L679" s="50"/>
      <c r="M679" s="232">
        <v>5495</v>
      </c>
      <c r="N679" s="232">
        <v>0</v>
      </c>
      <c r="O679" s="231">
        <v>8104</v>
      </c>
      <c r="P679" s="88">
        <f t="shared" si="28"/>
        <v>13599</v>
      </c>
      <c r="Q679" s="50"/>
      <c r="R679" s="232">
        <v>294825</v>
      </c>
      <c r="S679" s="231">
        <v>-12344</v>
      </c>
      <c r="T679" s="233">
        <v>282481</v>
      </c>
    </row>
    <row r="680" spans="1:20">
      <c r="A680" s="48">
        <v>97423</v>
      </c>
      <c r="B680" s="49" t="s">
        <v>1375</v>
      </c>
      <c r="C680" s="234">
        <v>3.93E-5</v>
      </c>
      <c r="D680" s="234">
        <v>4.3600000000000003E-5</v>
      </c>
      <c r="E680" s="217">
        <v>93233</v>
      </c>
      <c r="F680" s="217" t="s">
        <v>1924</v>
      </c>
      <c r="G680" s="232">
        <v>14384</v>
      </c>
      <c r="H680" s="220">
        <v>12798</v>
      </c>
      <c r="I680" s="232">
        <v>24740</v>
      </c>
      <c r="J680" s="231">
        <v>37150</v>
      </c>
      <c r="K680" s="88">
        <f t="shared" si="27"/>
        <v>89072</v>
      </c>
      <c r="L680" s="50"/>
      <c r="M680" s="232">
        <v>483</v>
      </c>
      <c r="N680" s="232">
        <v>0</v>
      </c>
      <c r="O680" s="231">
        <v>0</v>
      </c>
      <c r="P680" s="88">
        <f t="shared" si="28"/>
        <v>483</v>
      </c>
      <c r="Q680" s="50"/>
      <c r="R680" s="232">
        <v>25898</v>
      </c>
      <c r="S680" s="231">
        <v>15711</v>
      </c>
      <c r="T680" s="233">
        <v>41609</v>
      </c>
    </row>
    <row r="681" spans="1:20">
      <c r="A681" s="48">
        <v>97431</v>
      </c>
      <c r="B681" s="49" t="s">
        <v>2383</v>
      </c>
      <c r="C681" s="234">
        <v>1.0349999999999999E-4</v>
      </c>
      <c r="D681" s="234">
        <v>8.5599999999999994E-5</v>
      </c>
      <c r="E681" s="217">
        <v>245537</v>
      </c>
      <c r="F681" s="217" t="s">
        <v>1924</v>
      </c>
      <c r="G681" s="232">
        <v>37881</v>
      </c>
      <c r="H681" s="220">
        <v>33705</v>
      </c>
      <c r="I681" s="232">
        <v>65156</v>
      </c>
      <c r="J681" s="231">
        <v>17263</v>
      </c>
      <c r="K681" s="88">
        <f t="shared" si="27"/>
        <v>154005</v>
      </c>
      <c r="L681" s="50"/>
      <c r="M681" s="232">
        <v>1271</v>
      </c>
      <c r="N681" s="232">
        <v>0</v>
      </c>
      <c r="O681" s="231">
        <v>0</v>
      </c>
      <c r="P681" s="88">
        <f t="shared" si="28"/>
        <v>1271</v>
      </c>
      <c r="Q681" s="50"/>
      <c r="R681" s="232">
        <v>68204</v>
      </c>
      <c r="S681" s="231">
        <v>5239</v>
      </c>
      <c r="T681" s="233">
        <v>73443</v>
      </c>
    </row>
    <row r="682" spans="1:20">
      <c r="A682" s="48">
        <v>97441</v>
      </c>
      <c r="B682" s="49" t="s">
        <v>2384</v>
      </c>
      <c r="C682" s="234">
        <v>5.2899999999999998E-5</v>
      </c>
      <c r="D682" s="234">
        <v>7.5799999999999999E-5</v>
      </c>
      <c r="E682" s="217">
        <v>125497</v>
      </c>
      <c r="F682" s="217" t="s">
        <v>1924</v>
      </c>
      <c r="G682" s="232">
        <v>19361</v>
      </c>
      <c r="H682" s="220">
        <v>17227</v>
      </c>
      <c r="I682" s="232">
        <v>33302</v>
      </c>
      <c r="J682" s="231">
        <v>0</v>
      </c>
      <c r="K682" s="88">
        <f t="shared" si="27"/>
        <v>69890</v>
      </c>
      <c r="L682" s="50"/>
      <c r="M682" s="232">
        <v>650</v>
      </c>
      <c r="N682" s="232">
        <v>0</v>
      </c>
      <c r="O682" s="231">
        <v>25076</v>
      </c>
      <c r="P682" s="88">
        <f t="shared" si="28"/>
        <v>25726</v>
      </c>
      <c r="Q682" s="50"/>
      <c r="R682" s="232">
        <v>34860</v>
      </c>
      <c r="S682" s="231">
        <v>-7198</v>
      </c>
      <c r="T682" s="233">
        <v>27662</v>
      </c>
    </row>
    <row r="683" spans="1:20">
      <c r="A683" s="48">
        <v>97451</v>
      </c>
      <c r="B683" s="49" t="s">
        <v>2385</v>
      </c>
      <c r="C683" s="234">
        <v>6.3380000000000001E-4</v>
      </c>
      <c r="D683" s="234">
        <v>5.5820000000000002E-4</v>
      </c>
      <c r="E683" s="217">
        <v>1503590</v>
      </c>
      <c r="F683" s="217" t="s">
        <v>1924</v>
      </c>
      <c r="G683" s="232">
        <v>231968</v>
      </c>
      <c r="H683" s="220">
        <v>206398</v>
      </c>
      <c r="I683" s="232">
        <v>398995</v>
      </c>
      <c r="J683" s="231">
        <v>21165</v>
      </c>
      <c r="K683" s="88">
        <f t="shared" si="27"/>
        <v>858526</v>
      </c>
      <c r="L683" s="50"/>
      <c r="M683" s="232">
        <v>7784</v>
      </c>
      <c r="N683" s="232">
        <v>0</v>
      </c>
      <c r="O683" s="231">
        <v>34586</v>
      </c>
      <c r="P683" s="88">
        <f t="shared" si="28"/>
        <v>42370</v>
      </c>
      <c r="Q683" s="50"/>
      <c r="R683" s="232">
        <v>417657</v>
      </c>
      <c r="S683" s="231">
        <v>81</v>
      </c>
      <c r="T683" s="233">
        <v>417738</v>
      </c>
    </row>
    <row r="684" spans="1:20" s="348" customFormat="1">
      <c r="A684" s="350" t="s">
        <v>3507</v>
      </c>
      <c r="B684" s="351" t="s">
        <v>2386</v>
      </c>
      <c r="C684" s="346">
        <v>5.3019999999999999E-4</v>
      </c>
      <c r="D684" s="346">
        <v>5.5650000000000003E-4</v>
      </c>
      <c r="E684" s="347">
        <v>1257816</v>
      </c>
      <c r="F684" s="347" t="s">
        <v>1924</v>
      </c>
      <c r="G684" s="352">
        <v>194051</v>
      </c>
      <c r="H684" s="352">
        <v>172661</v>
      </c>
      <c r="I684" s="352">
        <v>333776</v>
      </c>
      <c r="J684" s="347">
        <v>2730</v>
      </c>
      <c r="K684" s="352">
        <f t="shared" si="27"/>
        <v>703218</v>
      </c>
      <c r="L684" s="347"/>
      <c r="M684" s="352">
        <v>6511</v>
      </c>
      <c r="N684" s="352">
        <v>0</v>
      </c>
      <c r="O684" s="347">
        <v>55903</v>
      </c>
      <c r="P684" s="352">
        <f t="shared" si="28"/>
        <v>62414</v>
      </c>
      <c r="Q684" s="347"/>
      <c r="R684" s="352">
        <v>349387</v>
      </c>
      <c r="S684" s="347">
        <v>-21034</v>
      </c>
      <c r="T684" s="353">
        <v>328353</v>
      </c>
    </row>
    <row r="685" spans="1:20" s="348" customFormat="1">
      <c r="A685" s="350" t="s">
        <v>3508</v>
      </c>
      <c r="B685" s="351" t="s">
        <v>1380</v>
      </c>
      <c r="C685" s="346">
        <v>0</v>
      </c>
      <c r="D685" s="346">
        <v>4.1100000000000003E-5</v>
      </c>
      <c r="E685" s="347">
        <v>0</v>
      </c>
      <c r="F685" s="347" t="s">
        <v>1924</v>
      </c>
      <c r="G685" s="352">
        <v>0</v>
      </c>
      <c r="H685" s="352">
        <v>0</v>
      </c>
      <c r="I685" s="352">
        <v>0</v>
      </c>
      <c r="J685" s="347">
        <v>310</v>
      </c>
      <c r="K685" s="352">
        <f t="shared" si="27"/>
        <v>310</v>
      </c>
      <c r="L685" s="347"/>
      <c r="M685" s="352">
        <v>0</v>
      </c>
      <c r="N685" s="352">
        <v>0</v>
      </c>
      <c r="O685" s="347">
        <v>31362</v>
      </c>
      <c r="P685" s="352">
        <f t="shared" si="28"/>
        <v>31362</v>
      </c>
      <c r="Q685" s="347"/>
      <c r="R685" s="352">
        <v>0</v>
      </c>
      <c r="S685" s="347">
        <v>-8061</v>
      </c>
      <c r="T685" s="353">
        <v>-8061</v>
      </c>
    </row>
    <row r="686" spans="1:20" s="225" customFormat="1">
      <c r="A686" s="226">
        <v>97461</v>
      </c>
      <c r="B686" s="227" t="s">
        <v>2386</v>
      </c>
      <c r="C686" s="234">
        <f>SUM(C684:C685)</f>
        <v>5.3019999999999999E-4</v>
      </c>
      <c r="D686" s="234">
        <f t="shared" ref="D686:T686" si="29">SUM(D684:D685)</f>
        <v>5.976E-4</v>
      </c>
      <c r="E686" s="231">
        <f t="shared" si="29"/>
        <v>1257816</v>
      </c>
      <c r="F686" s="231"/>
      <c r="G686" s="232">
        <f t="shared" si="29"/>
        <v>194051</v>
      </c>
      <c r="H686" s="220">
        <f t="shared" si="29"/>
        <v>172661</v>
      </c>
      <c r="I686" s="232">
        <f t="shared" si="29"/>
        <v>333776</v>
      </c>
      <c r="J686" s="231">
        <f t="shared" si="29"/>
        <v>3040</v>
      </c>
      <c r="K686" s="220">
        <f t="shared" si="29"/>
        <v>703528</v>
      </c>
      <c r="L686" s="231"/>
      <c r="M686" s="232">
        <f t="shared" si="29"/>
        <v>6511</v>
      </c>
      <c r="N686" s="232">
        <f t="shared" si="29"/>
        <v>0</v>
      </c>
      <c r="O686" s="231">
        <f t="shared" si="29"/>
        <v>87265</v>
      </c>
      <c r="P686" s="220">
        <f t="shared" si="29"/>
        <v>93776</v>
      </c>
      <c r="Q686" s="231"/>
      <c r="R686" s="232">
        <f t="shared" si="29"/>
        <v>349387</v>
      </c>
      <c r="S686" s="231">
        <f t="shared" si="29"/>
        <v>-29095</v>
      </c>
      <c r="T686" s="233">
        <f t="shared" si="29"/>
        <v>320292</v>
      </c>
    </row>
    <row r="687" spans="1:20">
      <c r="A687" s="48">
        <v>97471</v>
      </c>
      <c r="B687" s="49" t="s">
        <v>2387</v>
      </c>
      <c r="C687" s="234">
        <v>1.66E-5</v>
      </c>
      <c r="D687" s="234">
        <v>1.22E-5</v>
      </c>
      <c r="E687" s="217">
        <v>39381</v>
      </c>
      <c r="F687" s="217" t="s">
        <v>1924</v>
      </c>
      <c r="G687" s="232">
        <v>6076</v>
      </c>
      <c r="H687" s="220">
        <v>5406</v>
      </c>
      <c r="I687" s="232">
        <v>10450</v>
      </c>
      <c r="J687" s="231">
        <v>10650</v>
      </c>
      <c r="K687" s="88">
        <f t="shared" si="27"/>
        <v>32582</v>
      </c>
      <c r="L687" s="50"/>
      <c r="M687" s="232">
        <v>204</v>
      </c>
      <c r="N687" s="232">
        <v>0</v>
      </c>
      <c r="O687" s="231">
        <v>0</v>
      </c>
      <c r="P687" s="88">
        <f t="shared" si="28"/>
        <v>204</v>
      </c>
      <c r="Q687" s="50"/>
      <c r="R687" s="232">
        <v>10939</v>
      </c>
      <c r="S687" s="231">
        <v>4239</v>
      </c>
      <c r="T687" s="233">
        <v>15178</v>
      </c>
    </row>
    <row r="688" spans="1:20">
      <c r="A688" s="48">
        <v>97481</v>
      </c>
      <c r="B688" s="49" t="s">
        <v>2484</v>
      </c>
      <c r="C688" s="234">
        <v>1.26E-5</v>
      </c>
      <c r="D688" s="234">
        <v>9.9000000000000001E-6</v>
      </c>
      <c r="E688" s="217">
        <v>29892</v>
      </c>
      <c r="F688" s="217" t="s">
        <v>1924</v>
      </c>
      <c r="G688" s="232">
        <v>4612</v>
      </c>
      <c r="H688" s="220">
        <v>4103</v>
      </c>
      <c r="I688" s="232">
        <v>7932</v>
      </c>
      <c r="J688" s="231">
        <v>1760</v>
      </c>
      <c r="K688" s="88">
        <f t="shared" si="27"/>
        <v>18407</v>
      </c>
      <c r="L688" s="50"/>
      <c r="M688" s="232">
        <v>155</v>
      </c>
      <c r="N688" s="232">
        <v>0</v>
      </c>
      <c r="O688" s="231">
        <v>2336</v>
      </c>
      <c r="P688" s="88">
        <f t="shared" si="28"/>
        <v>2491</v>
      </c>
      <c r="Q688" s="50"/>
      <c r="R688" s="232">
        <v>8303</v>
      </c>
      <c r="S688" s="231">
        <v>1709</v>
      </c>
      <c r="T688" s="233">
        <v>10012</v>
      </c>
    </row>
    <row r="689" spans="1:20">
      <c r="A689" s="48">
        <v>97491</v>
      </c>
      <c r="B689" s="49" t="s">
        <v>2388</v>
      </c>
      <c r="C689" s="234">
        <v>0</v>
      </c>
      <c r="D689" s="234">
        <v>0</v>
      </c>
      <c r="E689" s="217">
        <v>0</v>
      </c>
      <c r="F689" s="217" t="s">
        <v>1924</v>
      </c>
      <c r="G689" s="232">
        <v>0</v>
      </c>
      <c r="H689" s="220">
        <v>0</v>
      </c>
      <c r="I689" s="232">
        <v>0</v>
      </c>
      <c r="J689" s="231">
        <v>0</v>
      </c>
      <c r="K689" s="88">
        <f t="shared" si="27"/>
        <v>0</v>
      </c>
      <c r="L689" s="50"/>
      <c r="M689" s="232">
        <v>0</v>
      </c>
      <c r="N689" s="232">
        <v>0</v>
      </c>
      <c r="O689" s="231">
        <v>2921</v>
      </c>
      <c r="P689" s="88">
        <f t="shared" si="28"/>
        <v>2921</v>
      </c>
      <c r="Q689" s="50"/>
      <c r="R689" s="232">
        <v>0</v>
      </c>
      <c r="S689" s="231">
        <v>-4927</v>
      </c>
      <c r="T689" s="233">
        <v>-4927</v>
      </c>
    </row>
    <row r="690" spans="1:20">
      <c r="A690" s="48">
        <v>97501</v>
      </c>
      <c r="B690" s="49" t="s">
        <v>1384</v>
      </c>
      <c r="C690" s="234">
        <v>1.0767999999999999E-3</v>
      </c>
      <c r="D690" s="234">
        <v>1.1000999999999999E-3</v>
      </c>
      <c r="E690" s="217">
        <v>2554538</v>
      </c>
      <c r="F690" s="217" t="s">
        <v>1924</v>
      </c>
      <c r="G690" s="232">
        <v>394104</v>
      </c>
      <c r="H690" s="220">
        <v>350662</v>
      </c>
      <c r="I690" s="232">
        <v>677876</v>
      </c>
      <c r="J690" s="231">
        <v>80569</v>
      </c>
      <c r="K690" s="88">
        <f t="shared" si="27"/>
        <v>1503211</v>
      </c>
      <c r="L690" s="50"/>
      <c r="M690" s="232">
        <v>13224</v>
      </c>
      <c r="N690" s="232">
        <v>0</v>
      </c>
      <c r="O690" s="231">
        <v>3282</v>
      </c>
      <c r="P690" s="88">
        <f t="shared" si="28"/>
        <v>16506</v>
      </c>
      <c r="Q690" s="50"/>
      <c r="R690" s="232">
        <v>709582</v>
      </c>
      <c r="S690" s="231">
        <v>43661</v>
      </c>
      <c r="T690" s="233">
        <v>753243</v>
      </c>
    </row>
    <row r="691" spans="1:20">
      <c r="A691" s="48">
        <v>97511</v>
      </c>
      <c r="B691" s="49" t="s">
        <v>2389</v>
      </c>
      <c r="C691" s="234">
        <v>1.8090000000000001E-4</v>
      </c>
      <c r="D691" s="234">
        <v>2.3450000000000001E-4</v>
      </c>
      <c r="E691" s="217">
        <v>429157</v>
      </c>
      <c r="F691" s="217" t="s">
        <v>1924</v>
      </c>
      <c r="G691" s="232">
        <v>66209</v>
      </c>
      <c r="H691" s="220">
        <v>58911</v>
      </c>
      <c r="I691" s="232">
        <v>113882</v>
      </c>
      <c r="J691" s="231">
        <v>8581</v>
      </c>
      <c r="K691" s="88">
        <f t="shared" si="27"/>
        <v>247583</v>
      </c>
      <c r="L691" s="50"/>
      <c r="M691" s="232">
        <v>2222</v>
      </c>
      <c r="N691" s="232">
        <v>0</v>
      </c>
      <c r="O691" s="231">
        <v>27881</v>
      </c>
      <c r="P691" s="88">
        <f t="shared" si="28"/>
        <v>30103</v>
      </c>
      <c r="Q691" s="50"/>
      <c r="R691" s="232">
        <v>119208</v>
      </c>
      <c r="S691" s="231">
        <v>-3085</v>
      </c>
      <c r="T691" s="233">
        <v>116123</v>
      </c>
    </row>
    <row r="692" spans="1:20">
      <c r="A692" s="48">
        <v>97521</v>
      </c>
      <c r="B692" s="49" t="s">
        <v>2390</v>
      </c>
      <c r="C692" s="234">
        <v>1.2640000000000001E-4</v>
      </c>
      <c r="D692" s="234">
        <v>1.2870000000000001E-4</v>
      </c>
      <c r="E692" s="217">
        <v>299864</v>
      </c>
      <c r="F692" s="217" t="s">
        <v>1924</v>
      </c>
      <c r="G692" s="232">
        <v>46262</v>
      </c>
      <c r="H692" s="220">
        <v>41162</v>
      </c>
      <c r="I692" s="232">
        <v>79572</v>
      </c>
      <c r="J692" s="231">
        <v>0</v>
      </c>
      <c r="K692" s="88">
        <f t="shared" si="27"/>
        <v>166996</v>
      </c>
      <c r="L692" s="50"/>
      <c r="M692" s="232">
        <v>1552</v>
      </c>
      <c r="N692" s="232">
        <v>0</v>
      </c>
      <c r="O692" s="231">
        <v>13218</v>
      </c>
      <c r="P692" s="88">
        <f t="shared" si="28"/>
        <v>14770</v>
      </c>
      <c r="Q692" s="50"/>
      <c r="R692" s="232">
        <v>83294</v>
      </c>
      <c r="S692" s="231">
        <v>-4767</v>
      </c>
      <c r="T692" s="233">
        <v>78527</v>
      </c>
    </row>
    <row r="693" spans="1:20" s="180" customFormat="1">
      <c r="A693" s="178">
        <v>97527</v>
      </c>
      <c r="B693" s="179" t="s">
        <v>1637</v>
      </c>
      <c r="C693" s="234">
        <v>1.3999999999999999E-6</v>
      </c>
      <c r="D693" s="234">
        <v>0</v>
      </c>
      <c r="E693" s="217">
        <v>3321</v>
      </c>
      <c r="F693" s="217" t="s">
        <v>1924</v>
      </c>
      <c r="G693" s="232">
        <v>512</v>
      </c>
      <c r="H693" s="220">
        <v>456</v>
      </c>
      <c r="I693" s="232">
        <v>881</v>
      </c>
      <c r="J693" s="231">
        <v>3462</v>
      </c>
      <c r="K693" s="88">
        <f t="shared" si="27"/>
        <v>5311</v>
      </c>
      <c r="L693" s="177"/>
      <c r="M693" s="232">
        <v>17</v>
      </c>
      <c r="N693" s="232">
        <v>0</v>
      </c>
      <c r="O693" s="231">
        <v>0</v>
      </c>
      <c r="P693" s="88">
        <f t="shared" si="28"/>
        <v>17</v>
      </c>
      <c r="Q693" s="177"/>
      <c r="R693" s="232">
        <v>923</v>
      </c>
      <c r="S693" s="231">
        <v>866</v>
      </c>
      <c r="T693" s="233">
        <v>1789</v>
      </c>
    </row>
    <row r="694" spans="1:20">
      <c r="A694" s="48">
        <v>97531</v>
      </c>
      <c r="B694" s="49" t="s">
        <v>1387</v>
      </c>
      <c r="C694" s="234">
        <v>5.2800000000000003E-5</v>
      </c>
      <c r="D694" s="234">
        <v>4.32E-5</v>
      </c>
      <c r="E694" s="217">
        <v>125260</v>
      </c>
      <c r="F694" s="217" t="s">
        <v>1924</v>
      </c>
      <c r="G694" s="232">
        <v>19325</v>
      </c>
      <c r="H694" s="220">
        <v>17194</v>
      </c>
      <c r="I694" s="232">
        <v>33239</v>
      </c>
      <c r="J694" s="231">
        <v>18303</v>
      </c>
      <c r="K694" s="88">
        <f t="shared" si="27"/>
        <v>88061</v>
      </c>
      <c r="L694" s="50"/>
      <c r="M694" s="232">
        <v>648</v>
      </c>
      <c r="N694" s="232">
        <v>0</v>
      </c>
      <c r="O694" s="231">
        <v>3521</v>
      </c>
      <c r="P694" s="88">
        <f t="shared" si="28"/>
        <v>4169</v>
      </c>
      <c r="Q694" s="50"/>
      <c r="R694" s="232">
        <v>34794</v>
      </c>
      <c r="S694" s="231">
        <v>42</v>
      </c>
      <c r="T694" s="233">
        <v>34836</v>
      </c>
    </row>
    <row r="695" spans="1:20">
      <c r="A695" s="48">
        <v>97601</v>
      </c>
      <c r="B695" s="49" t="s">
        <v>1388</v>
      </c>
      <c r="C695" s="234">
        <v>5.2467E-3</v>
      </c>
      <c r="D695" s="234">
        <v>5.1672000000000003E-3</v>
      </c>
      <c r="E695" s="217">
        <v>12446967</v>
      </c>
      <c r="F695" s="217" t="s">
        <v>1924</v>
      </c>
      <c r="G695" s="232">
        <v>1920271</v>
      </c>
      <c r="H695" s="220">
        <v>1708599</v>
      </c>
      <c r="I695" s="232">
        <v>3302945</v>
      </c>
      <c r="J695" s="231">
        <v>143195</v>
      </c>
      <c r="K695" s="88">
        <f t="shared" si="27"/>
        <v>7075010</v>
      </c>
      <c r="L695" s="50"/>
      <c r="M695" s="232">
        <v>64435</v>
      </c>
      <c r="N695" s="232">
        <v>0</v>
      </c>
      <c r="O695" s="231">
        <v>56258</v>
      </c>
      <c r="P695" s="88">
        <f t="shared" si="28"/>
        <v>120693</v>
      </c>
      <c r="Q695" s="50"/>
      <c r="R695" s="232">
        <v>3457434</v>
      </c>
      <c r="S695" s="231">
        <v>-900</v>
      </c>
      <c r="T695" s="233">
        <v>3456534</v>
      </c>
    </row>
    <row r="696" spans="1:20">
      <c r="A696" s="48">
        <v>97607</v>
      </c>
      <c r="B696" s="49" t="s">
        <v>1389</v>
      </c>
      <c r="C696" s="234">
        <v>2.23E-5</v>
      </c>
      <c r="D696" s="234">
        <v>2.3200000000000001E-5</v>
      </c>
      <c r="E696" s="217">
        <v>52903</v>
      </c>
      <c r="F696" s="217" t="s">
        <v>1924</v>
      </c>
      <c r="G696" s="232">
        <v>8162</v>
      </c>
      <c r="H696" s="220">
        <v>7262</v>
      </c>
      <c r="I696" s="232">
        <v>14038</v>
      </c>
      <c r="J696" s="231">
        <v>13674</v>
      </c>
      <c r="K696" s="88">
        <f t="shared" si="27"/>
        <v>43136</v>
      </c>
      <c r="L696" s="50"/>
      <c r="M696" s="232">
        <v>274</v>
      </c>
      <c r="N696" s="232">
        <v>0</v>
      </c>
      <c r="O696" s="231">
        <v>0</v>
      </c>
      <c r="P696" s="88">
        <f t="shared" si="28"/>
        <v>274</v>
      </c>
      <c r="Q696" s="50"/>
      <c r="R696" s="232">
        <v>14695</v>
      </c>
      <c r="S696" s="231">
        <v>6841</v>
      </c>
      <c r="T696" s="233">
        <v>21536</v>
      </c>
    </row>
    <row r="697" spans="1:20">
      <c r="A697" s="48">
        <v>97611</v>
      </c>
      <c r="B697" s="49" t="s">
        <v>1390</v>
      </c>
      <c r="C697" s="234">
        <v>2.3620999999999998E-3</v>
      </c>
      <c r="D697" s="234">
        <v>2.4767999999999999E-3</v>
      </c>
      <c r="E697" s="217">
        <v>5603709</v>
      </c>
      <c r="F697" s="217" t="s">
        <v>1924</v>
      </c>
      <c r="G697" s="232">
        <v>864519</v>
      </c>
      <c r="H697" s="220">
        <v>769222</v>
      </c>
      <c r="I697" s="232">
        <v>1487008</v>
      </c>
      <c r="J697" s="231">
        <v>0</v>
      </c>
      <c r="K697" s="88">
        <f t="shared" si="27"/>
        <v>3120749</v>
      </c>
      <c r="L697" s="50"/>
      <c r="M697" s="232">
        <v>29009</v>
      </c>
      <c r="N697" s="232">
        <v>0</v>
      </c>
      <c r="O697" s="231">
        <v>262473</v>
      </c>
      <c r="P697" s="88">
        <f t="shared" si="28"/>
        <v>291482</v>
      </c>
      <c r="Q697" s="50"/>
      <c r="R697" s="232">
        <v>1556560</v>
      </c>
      <c r="S697" s="231">
        <v>-141266</v>
      </c>
      <c r="T697" s="233">
        <v>1415294</v>
      </c>
    </row>
    <row r="698" spans="1:20">
      <c r="A698" s="48">
        <v>97613</v>
      </c>
      <c r="B698" s="49" t="s">
        <v>2747</v>
      </c>
      <c r="C698" s="234">
        <v>1.155E-4</v>
      </c>
      <c r="D698" s="234">
        <v>1.1629999999999999E-4</v>
      </c>
      <c r="E698" s="217">
        <v>274006</v>
      </c>
      <c r="F698" s="217" t="s">
        <v>1924</v>
      </c>
      <c r="G698" s="232">
        <v>42273</v>
      </c>
      <c r="H698" s="220">
        <v>37613</v>
      </c>
      <c r="I698" s="232">
        <v>72710</v>
      </c>
      <c r="J698" s="231">
        <v>7279</v>
      </c>
      <c r="K698" s="88">
        <f t="shared" si="27"/>
        <v>159875</v>
      </c>
      <c r="L698" s="50"/>
      <c r="M698" s="232">
        <v>1418</v>
      </c>
      <c r="N698" s="232">
        <v>0</v>
      </c>
      <c r="O698" s="231">
        <v>1649</v>
      </c>
      <c r="P698" s="88">
        <f t="shared" si="28"/>
        <v>3067</v>
      </c>
      <c r="Q698" s="50"/>
      <c r="R698" s="232">
        <v>76111</v>
      </c>
      <c r="S698" s="231">
        <v>633</v>
      </c>
      <c r="T698" s="233">
        <v>76744</v>
      </c>
    </row>
    <row r="699" spans="1:20">
      <c r="A699" s="48">
        <v>97621</v>
      </c>
      <c r="B699" s="49" t="s">
        <v>1392</v>
      </c>
      <c r="C699" s="234">
        <v>4.4650000000000001E-4</v>
      </c>
      <c r="D699" s="234">
        <v>4.5179999999999998E-4</v>
      </c>
      <c r="E699" s="217">
        <v>1059251</v>
      </c>
      <c r="F699" s="217" t="s">
        <v>1924</v>
      </c>
      <c r="G699" s="232">
        <v>163417</v>
      </c>
      <c r="H699" s="220">
        <v>145404</v>
      </c>
      <c r="I699" s="232">
        <v>281084</v>
      </c>
      <c r="J699" s="231">
        <v>7112</v>
      </c>
      <c r="K699" s="88">
        <f t="shared" si="27"/>
        <v>597017</v>
      </c>
      <c r="L699" s="50"/>
      <c r="M699" s="232">
        <v>5483</v>
      </c>
      <c r="N699" s="232">
        <v>0</v>
      </c>
      <c r="O699" s="231">
        <v>77672</v>
      </c>
      <c r="P699" s="88">
        <f t="shared" si="28"/>
        <v>83155</v>
      </c>
      <c r="Q699" s="50"/>
      <c r="R699" s="232">
        <v>294231</v>
      </c>
      <c r="S699" s="231">
        <v>-19086</v>
      </c>
      <c r="T699" s="233">
        <v>275145</v>
      </c>
    </row>
    <row r="700" spans="1:20">
      <c r="A700" s="48">
        <v>97623</v>
      </c>
      <c r="B700" s="49" t="s">
        <v>1393</v>
      </c>
      <c r="C700" s="234">
        <v>2.4000000000000001E-5</v>
      </c>
      <c r="D700" s="234">
        <v>2.9499999999999999E-5</v>
      </c>
      <c r="E700" s="217">
        <v>56936</v>
      </c>
      <c r="F700" s="217" t="s">
        <v>1924</v>
      </c>
      <c r="G700" s="232">
        <v>8784</v>
      </c>
      <c r="H700" s="220">
        <v>7815</v>
      </c>
      <c r="I700" s="232">
        <v>15109</v>
      </c>
      <c r="J700" s="231">
        <v>2822</v>
      </c>
      <c r="K700" s="88">
        <f t="shared" si="27"/>
        <v>34530</v>
      </c>
      <c r="L700" s="50"/>
      <c r="M700" s="232">
        <v>295</v>
      </c>
      <c r="N700" s="232">
        <v>0</v>
      </c>
      <c r="O700" s="231">
        <v>5509</v>
      </c>
      <c r="P700" s="88">
        <f t="shared" si="28"/>
        <v>5804</v>
      </c>
      <c r="Q700" s="50"/>
      <c r="R700" s="232">
        <v>15815</v>
      </c>
      <c r="S700" s="231">
        <v>2196</v>
      </c>
      <c r="T700" s="233">
        <v>18011</v>
      </c>
    </row>
    <row r="701" spans="1:20">
      <c r="A701" s="48">
        <v>97627</v>
      </c>
      <c r="B701" s="49" t="s">
        <v>1394</v>
      </c>
      <c r="C701" s="234">
        <v>9.5000000000000005E-6</v>
      </c>
      <c r="D701" s="234">
        <v>9.7000000000000003E-6</v>
      </c>
      <c r="E701" s="217">
        <v>22537</v>
      </c>
      <c r="F701" s="217" t="s">
        <v>1924</v>
      </c>
      <c r="G701" s="232">
        <v>3477</v>
      </c>
      <c r="H701" s="220">
        <v>3094</v>
      </c>
      <c r="I701" s="232">
        <v>5981</v>
      </c>
      <c r="J701" s="231">
        <v>860</v>
      </c>
      <c r="K701" s="88">
        <f t="shared" si="27"/>
        <v>13412</v>
      </c>
      <c r="L701" s="50"/>
      <c r="M701" s="232">
        <v>117</v>
      </c>
      <c r="N701" s="232">
        <v>0</v>
      </c>
      <c r="O701" s="231">
        <v>455</v>
      </c>
      <c r="P701" s="88">
        <f t="shared" si="28"/>
        <v>572</v>
      </c>
      <c r="Q701" s="50"/>
      <c r="R701" s="232">
        <v>6260</v>
      </c>
      <c r="S701" s="231">
        <v>-64</v>
      </c>
      <c r="T701" s="233">
        <v>6196</v>
      </c>
    </row>
    <row r="702" spans="1:20">
      <c r="A702" s="48">
        <v>97631</v>
      </c>
      <c r="B702" s="49" t="s">
        <v>2391</v>
      </c>
      <c r="C702" s="234">
        <v>2.0909999999999999E-4</v>
      </c>
      <c r="D702" s="234">
        <v>2.051E-4</v>
      </c>
      <c r="E702" s="217">
        <v>496057</v>
      </c>
      <c r="F702" s="217" t="s">
        <v>1924</v>
      </c>
      <c r="G702" s="232">
        <v>76530</v>
      </c>
      <c r="H702" s="220">
        <v>68094</v>
      </c>
      <c r="I702" s="232">
        <v>131634</v>
      </c>
      <c r="J702" s="231">
        <v>3847</v>
      </c>
      <c r="K702" s="88">
        <f t="shared" si="27"/>
        <v>280105</v>
      </c>
      <c r="L702" s="50"/>
      <c r="M702" s="232">
        <v>2568</v>
      </c>
      <c r="N702" s="232">
        <v>0</v>
      </c>
      <c r="O702" s="231">
        <v>7878</v>
      </c>
      <c r="P702" s="88">
        <f t="shared" si="28"/>
        <v>10446</v>
      </c>
      <c r="Q702" s="50"/>
      <c r="R702" s="232">
        <v>137791</v>
      </c>
      <c r="S702" s="231">
        <v>3264</v>
      </c>
      <c r="T702" s="233">
        <v>141055</v>
      </c>
    </row>
    <row r="703" spans="1:20">
      <c r="A703" s="48">
        <v>97637</v>
      </c>
      <c r="B703" s="49" t="s">
        <v>1396</v>
      </c>
      <c r="C703" s="234">
        <v>3.7000000000000002E-6</v>
      </c>
      <c r="D703" s="234">
        <v>4.3000000000000003E-6</v>
      </c>
      <c r="E703" s="217">
        <v>8778</v>
      </c>
      <c r="F703" s="217" t="s">
        <v>1924</v>
      </c>
      <c r="G703" s="232">
        <v>1354</v>
      </c>
      <c r="H703" s="220">
        <v>1205</v>
      </c>
      <c r="I703" s="232">
        <v>2329</v>
      </c>
      <c r="J703" s="231">
        <v>1324</v>
      </c>
      <c r="K703" s="88">
        <f t="shared" si="27"/>
        <v>6212</v>
      </c>
      <c r="L703" s="50"/>
      <c r="M703" s="232">
        <v>45</v>
      </c>
      <c r="N703" s="232">
        <v>0</v>
      </c>
      <c r="O703" s="231">
        <v>20</v>
      </c>
      <c r="P703" s="88">
        <f t="shared" si="28"/>
        <v>65</v>
      </c>
      <c r="Q703" s="50"/>
      <c r="R703" s="232">
        <v>2438</v>
      </c>
      <c r="S703" s="231">
        <v>571</v>
      </c>
      <c r="T703" s="233">
        <v>3009</v>
      </c>
    </row>
    <row r="704" spans="1:20">
      <c r="A704" s="48">
        <v>97641</v>
      </c>
      <c r="B704" s="49" t="s">
        <v>2392</v>
      </c>
      <c r="C704" s="234">
        <v>5.1400000000000003E-5</v>
      </c>
      <c r="D704" s="234">
        <v>6.8899999999999994E-5</v>
      </c>
      <c r="E704" s="217">
        <v>121938</v>
      </c>
      <c r="F704" s="217" t="s">
        <v>1924</v>
      </c>
      <c r="G704" s="232">
        <v>18812</v>
      </c>
      <c r="H704" s="220">
        <v>16739</v>
      </c>
      <c r="I704" s="232">
        <v>32358</v>
      </c>
      <c r="J704" s="231">
        <v>8101</v>
      </c>
      <c r="K704" s="88">
        <f t="shared" si="27"/>
        <v>76010</v>
      </c>
      <c r="L704" s="50"/>
      <c r="M704" s="232">
        <v>631</v>
      </c>
      <c r="N704" s="232">
        <v>0</v>
      </c>
      <c r="O704" s="231">
        <v>8286</v>
      </c>
      <c r="P704" s="88">
        <f t="shared" si="28"/>
        <v>8917</v>
      </c>
      <c r="Q704" s="50"/>
      <c r="R704" s="232">
        <v>33871</v>
      </c>
      <c r="S704" s="231">
        <v>0</v>
      </c>
      <c r="T704" s="233">
        <v>33871</v>
      </c>
    </row>
    <row r="705" spans="1:20">
      <c r="A705" s="48">
        <v>97651</v>
      </c>
      <c r="B705" s="49" t="s">
        <v>1398</v>
      </c>
      <c r="C705" s="234">
        <v>5.1929999999999999E-4</v>
      </c>
      <c r="D705" s="234">
        <v>5.1979999999999995E-4</v>
      </c>
      <c r="E705" s="217">
        <v>1231957</v>
      </c>
      <c r="F705" s="217" t="s">
        <v>1924</v>
      </c>
      <c r="G705" s="232">
        <v>190062</v>
      </c>
      <c r="H705" s="220">
        <v>169112</v>
      </c>
      <c r="I705" s="232">
        <v>326914</v>
      </c>
      <c r="J705" s="231">
        <v>1180</v>
      </c>
      <c r="K705" s="88">
        <f t="shared" si="27"/>
        <v>687268</v>
      </c>
      <c r="L705" s="50"/>
      <c r="M705" s="232">
        <v>6378</v>
      </c>
      <c r="N705" s="232">
        <v>0</v>
      </c>
      <c r="O705" s="231">
        <v>40115</v>
      </c>
      <c r="P705" s="88">
        <f t="shared" si="28"/>
        <v>46493</v>
      </c>
      <c r="Q705" s="50"/>
      <c r="R705" s="232">
        <v>342205</v>
      </c>
      <c r="S705" s="231">
        <v>-23900</v>
      </c>
      <c r="T705" s="233">
        <v>318305</v>
      </c>
    </row>
    <row r="706" spans="1:20">
      <c r="A706" s="48">
        <v>97661</v>
      </c>
      <c r="B706" s="49" t="s">
        <v>1399</v>
      </c>
      <c r="C706" s="234">
        <v>4.3999999999999999E-5</v>
      </c>
      <c r="D706" s="234">
        <v>5.1600000000000001E-5</v>
      </c>
      <c r="E706" s="217">
        <v>104383</v>
      </c>
      <c r="F706" s="217" t="s">
        <v>1924</v>
      </c>
      <c r="G706" s="232">
        <v>16104</v>
      </c>
      <c r="H706" s="220">
        <v>14329</v>
      </c>
      <c r="I706" s="232">
        <v>27699</v>
      </c>
      <c r="J706" s="231">
        <v>7695</v>
      </c>
      <c r="K706" s="88">
        <f t="shared" si="27"/>
        <v>65827</v>
      </c>
      <c r="L706" s="50"/>
      <c r="M706" s="232">
        <v>540</v>
      </c>
      <c r="N706" s="232">
        <v>0</v>
      </c>
      <c r="O706" s="231">
        <v>2802</v>
      </c>
      <c r="P706" s="88">
        <f t="shared" si="28"/>
        <v>3342</v>
      </c>
      <c r="Q706" s="50"/>
      <c r="R706" s="232">
        <v>28995</v>
      </c>
      <c r="S706" s="231">
        <v>4350</v>
      </c>
      <c r="T706" s="233">
        <v>33345</v>
      </c>
    </row>
    <row r="707" spans="1:20">
      <c r="A707" s="48">
        <v>97701</v>
      </c>
      <c r="B707" s="49" t="s">
        <v>1400</v>
      </c>
      <c r="C707" s="234">
        <v>2.5590000000000001E-3</v>
      </c>
      <c r="D707" s="234">
        <v>2.4975000000000002E-3</v>
      </c>
      <c r="E707" s="217">
        <v>6070823</v>
      </c>
      <c r="F707" s="217" t="s">
        <v>1924</v>
      </c>
      <c r="G707" s="232">
        <v>936584</v>
      </c>
      <c r="H707" s="220">
        <v>833344</v>
      </c>
      <c r="I707" s="232">
        <v>1610962</v>
      </c>
      <c r="J707" s="231">
        <v>51260</v>
      </c>
      <c r="K707" s="88">
        <f t="shared" si="27"/>
        <v>3432150</v>
      </c>
      <c r="L707" s="50"/>
      <c r="M707" s="232">
        <v>31427</v>
      </c>
      <c r="N707" s="232">
        <v>0</v>
      </c>
      <c r="O707" s="231">
        <v>0</v>
      </c>
      <c r="P707" s="88">
        <f t="shared" si="28"/>
        <v>31427</v>
      </c>
      <c r="Q707" s="50"/>
      <c r="R707" s="232">
        <v>1686312</v>
      </c>
      <c r="S707" s="231">
        <v>10250</v>
      </c>
      <c r="T707" s="233">
        <v>1696562</v>
      </c>
    </row>
    <row r="708" spans="1:20">
      <c r="A708" s="48">
        <v>97705</v>
      </c>
      <c r="B708" s="49" t="s">
        <v>1401</v>
      </c>
      <c r="C708" s="234">
        <v>4.5500000000000001E-5</v>
      </c>
      <c r="D708" s="234">
        <v>4.7700000000000001E-5</v>
      </c>
      <c r="E708" s="217">
        <v>107942</v>
      </c>
      <c r="F708" s="217" t="s">
        <v>1924</v>
      </c>
      <c r="G708" s="232">
        <v>16653</v>
      </c>
      <c r="H708" s="220">
        <v>14818</v>
      </c>
      <c r="I708" s="232">
        <v>28644</v>
      </c>
      <c r="J708" s="231">
        <v>1548</v>
      </c>
      <c r="K708" s="88">
        <f t="shared" si="27"/>
        <v>61663</v>
      </c>
      <c r="L708" s="50"/>
      <c r="M708" s="232">
        <v>559</v>
      </c>
      <c r="N708" s="232">
        <v>0</v>
      </c>
      <c r="O708" s="231">
        <v>9592</v>
      </c>
      <c r="P708" s="88">
        <f t="shared" si="28"/>
        <v>10151</v>
      </c>
      <c r="Q708" s="50"/>
      <c r="R708" s="232">
        <v>29983</v>
      </c>
      <c r="S708" s="231">
        <v>-54</v>
      </c>
      <c r="T708" s="233">
        <v>29929</v>
      </c>
    </row>
    <row r="709" spans="1:20">
      <c r="A709" s="48">
        <v>97711</v>
      </c>
      <c r="B709" s="49" t="s">
        <v>1402</v>
      </c>
      <c r="C709" s="234">
        <v>9.1239999999999995E-4</v>
      </c>
      <c r="D709" s="234">
        <v>9.0879999999999997E-4</v>
      </c>
      <c r="E709" s="217">
        <v>2164525</v>
      </c>
      <c r="F709" s="217" t="s">
        <v>1924</v>
      </c>
      <c r="G709" s="232">
        <v>333935</v>
      </c>
      <c r="H709" s="220">
        <v>297125</v>
      </c>
      <c r="I709" s="232">
        <v>574381</v>
      </c>
      <c r="J709" s="231">
        <v>12495</v>
      </c>
      <c r="K709" s="88">
        <f t="shared" si="27"/>
        <v>1217936</v>
      </c>
      <c r="L709" s="50"/>
      <c r="M709" s="232">
        <v>11205</v>
      </c>
      <c r="N709" s="232">
        <v>0</v>
      </c>
      <c r="O709" s="231">
        <v>22125</v>
      </c>
      <c r="P709" s="88">
        <f t="shared" si="28"/>
        <v>33330</v>
      </c>
      <c r="Q709" s="50"/>
      <c r="R709" s="232">
        <v>601247</v>
      </c>
      <c r="S709" s="231">
        <v>1420</v>
      </c>
      <c r="T709" s="233">
        <v>602667</v>
      </c>
    </row>
    <row r="710" spans="1:20">
      <c r="A710" s="48">
        <v>97713</v>
      </c>
      <c r="B710" s="49" t="s">
        <v>1403</v>
      </c>
      <c r="C710" s="234">
        <v>5.0500000000000001E-5</v>
      </c>
      <c r="D710" s="234">
        <v>4.1199999999999999E-5</v>
      </c>
      <c r="E710" s="217">
        <v>119803</v>
      </c>
      <c r="F710" s="217" t="s">
        <v>1924</v>
      </c>
      <c r="G710" s="232">
        <v>18483</v>
      </c>
      <c r="H710" s="220">
        <v>16445</v>
      </c>
      <c r="I710" s="232">
        <v>31791</v>
      </c>
      <c r="J710" s="231">
        <v>4434</v>
      </c>
      <c r="K710" s="88">
        <f t="shared" si="27"/>
        <v>71153</v>
      </c>
      <c r="L710" s="50"/>
      <c r="M710" s="232">
        <v>620</v>
      </c>
      <c r="N710" s="232">
        <v>0</v>
      </c>
      <c r="O710" s="231">
        <v>11193</v>
      </c>
      <c r="P710" s="88">
        <f t="shared" si="28"/>
        <v>11813</v>
      </c>
      <c r="Q710" s="50"/>
      <c r="R710" s="232">
        <v>33278</v>
      </c>
      <c r="S710" s="231">
        <v>-3702</v>
      </c>
      <c r="T710" s="233">
        <v>29576</v>
      </c>
    </row>
    <row r="711" spans="1:20">
      <c r="A711" s="48">
        <v>97717</v>
      </c>
      <c r="B711" s="49" t="s">
        <v>1404</v>
      </c>
      <c r="C711" s="234">
        <v>5.3000000000000001E-6</v>
      </c>
      <c r="D711" s="234">
        <v>4.6999999999999999E-6</v>
      </c>
      <c r="E711" s="217">
        <v>12573</v>
      </c>
      <c r="F711" s="217" t="s">
        <v>1924</v>
      </c>
      <c r="G711" s="232">
        <v>1940</v>
      </c>
      <c r="H711" s="220">
        <v>1726</v>
      </c>
      <c r="I711" s="232">
        <v>3336</v>
      </c>
      <c r="J711" s="231">
        <v>1033</v>
      </c>
      <c r="K711" s="88">
        <f t="shared" si="27"/>
        <v>8035</v>
      </c>
      <c r="L711" s="50"/>
      <c r="M711" s="232">
        <v>65</v>
      </c>
      <c r="N711" s="232">
        <v>0</v>
      </c>
      <c r="O711" s="231">
        <v>1481</v>
      </c>
      <c r="P711" s="88">
        <f t="shared" si="28"/>
        <v>1546</v>
      </c>
      <c r="Q711" s="50"/>
      <c r="R711" s="232">
        <v>3493</v>
      </c>
      <c r="S711" s="231">
        <v>-1455</v>
      </c>
      <c r="T711" s="233">
        <v>2038</v>
      </c>
    </row>
    <row r="712" spans="1:20">
      <c r="A712" s="48">
        <v>97721</v>
      </c>
      <c r="B712" s="49" t="s">
        <v>1405</v>
      </c>
      <c r="C712" s="234">
        <v>5.9069999999999999E-4</v>
      </c>
      <c r="D712" s="234">
        <v>5.6599999999999999E-4</v>
      </c>
      <c r="E712" s="217">
        <v>1401342</v>
      </c>
      <c r="F712" s="217" t="s">
        <v>1924</v>
      </c>
      <c r="G712" s="232">
        <v>216194</v>
      </c>
      <c r="H712" s="220">
        <v>192363</v>
      </c>
      <c r="I712" s="232">
        <v>371862</v>
      </c>
      <c r="J712" s="231">
        <v>11194</v>
      </c>
      <c r="K712" s="88">
        <f t="shared" si="27"/>
        <v>791613</v>
      </c>
      <c r="L712" s="50"/>
      <c r="M712" s="232">
        <v>7254</v>
      </c>
      <c r="N712" s="232">
        <v>0</v>
      </c>
      <c r="O712" s="231">
        <v>16380</v>
      </c>
      <c r="P712" s="88">
        <f t="shared" si="28"/>
        <v>23634</v>
      </c>
      <c r="Q712" s="50"/>
      <c r="R712" s="232">
        <v>389255</v>
      </c>
      <c r="S712" s="231">
        <v>-8177</v>
      </c>
      <c r="T712" s="233">
        <v>381078</v>
      </c>
    </row>
    <row r="713" spans="1:20">
      <c r="A713" s="48">
        <v>97727</v>
      </c>
      <c r="B713" s="49" t="s">
        <v>1406</v>
      </c>
      <c r="C713" s="234">
        <v>2.0599999999999999E-5</v>
      </c>
      <c r="D713" s="234">
        <v>2.27E-5</v>
      </c>
      <c r="E713" s="217">
        <v>48870</v>
      </c>
      <c r="F713" s="217" t="s">
        <v>1924</v>
      </c>
      <c r="G713" s="232">
        <v>7540</v>
      </c>
      <c r="H713" s="220">
        <v>6709</v>
      </c>
      <c r="I713" s="232">
        <v>12968</v>
      </c>
      <c r="J713" s="231">
        <v>0</v>
      </c>
      <c r="K713" s="88">
        <f t="shared" si="27"/>
        <v>27217</v>
      </c>
      <c r="L713" s="50"/>
      <c r="M713" s="232">
        <v>253</v>
      </c>
      <c r="N713" s="232">
        <v>0</v>
      </c>
      <c r="O713" s="231">
        <v>1628</v>
      </c>
      <c r="P713" s="88">
        <f t="shared" si="28"/>
        <v>1881</v>
      </c>
      <c r="Q713" s="50"/>
      <c r="R713" s="232">
        <v>13575</v>
      </c>
      <c r="S713" s="231">
        <v>-1410</v>
      </c>
      <c r="T713" s="233">
        <v>12165</v>
      </c>
    </row>
    <row r="714" spans="1:20">
      <c r="A714" s="48">
        <v>97731</v>
      </c>
      <c r="B714" s="49" t="s">
        <v>2393</v>
      </c>
      <c r="C714" s="234">
        <v>3.3200000000000001E-5</v>
      </c>
      <c r="D714" s="234">
        <v>3.5500000000000002E-5</v>
      </c>
      <c r="E714" s="217">
        <v>78762</v>
      </c>
      <c r="F714" s="217" t="s">
        <v>1924</v>
      </c>
      <c r="G714" s="232">
        <v>12151</v>
      </c>
      <c r="H714" s="220">
        <v>10811</v>
      </c>
      <c r="I714" s="232">
        <v>20900</v>
      </c>
      <c r="J714" s="231">
        <v>4695</v>
      </c>
      <c r="K714" s="88">
        <f t="shared" si="27"/>
        <v>48557</v>
      </c>
      <c r="L714" s="50"/>
      <c r="M714" s="232">
        <v>408</v>
      </c>
      <c r="N714" s="232">
        <v>0</v>
      </c>
      <c r="O714" s="231">
        <v>0</v>
      </c>
      <c r="P714" s="88">
        <f t="shared" si="28"/>
        <v>408</v>
      </c>
      <c r="Q714" s="50"/>
      <c r="R714" s="232">
        <v>21878</v>
      </c>
      <c r="S714" s="231">
        <v>3280</v>
      </c>
      <c r="T714" s="233">
        <v>25158</v>
      </c>
    </row>
    <row r="715" spans="1:20">
      <c r="A715" s="48">
        <v>97801</v>
      </c>
      <c r="B715" s="49" t="s">
        <v>1408</v>
      </c>
      <c r="C715" s="234">
        <v>6.5702E-3</v>
      </c>
      <c r="D715" s="234">
        <v>6.9303000000000003E-3</v>
      </c>
      <c r="E715" s="217">
        <v>15586761</v>
      </c>
      <c r="F715" s="217" t="s">
        <v>1924</v>
      </c>
      <c r="G715" s="232">
        <v>2404667</v>
      </c>
      <c r="H715" s="220">
        <v>2139599</v>
      </c>
      <c r="I715" s="232">
        <v>4136125</v>
      </c>
      <c r="J715" s="231">
        <v>0</v>
      </c>
      <c r="K715" s="88">
        <f t="shared" si="27"/>
        <v>8680391</v>
      </c>
      <c r="L715" s="50"/>
      <c r="M715" s="232">
        <v>80689</v>
      </c>
      <c r="N715" s="232">
        <v>0</v>
      </c>
      <c r="O715" s="231">
        <v>508951</v>
      </c>
      <c r="P715" s="88">
        <f t="shared" si="28"/>
        <v>589640</v>
      </c>
      <c r="Q715" s="50"/>
      <c r="R715" s="232">
        <v>4329584</v>
      </c>
      <c r="S715" s="231">
        <v>-154797</v>
      </c>
      <c r="T715" s="233">
        <v>4174787</v>
      </c>
    </row>
    <row r="716" spans="1:20">
      <c r="A716" s="48">
        <v>97802</v>
      </c>
      <c r="B716" s="49" t="s">
        <v>1409</v>
      </c>
      <c r="C716" s="234">
        <v>1.684E-4</v>
      </c>
      <c r="D716" s="234">
        <v>1.5300000000000001E-4</v>
      </c>
      <c r="E716" s="218">
        <v>399502</v>
      </c>
      <c r="F716" s="218" t="s">
        <v>1924</v>
      </c>
      <c r="G716" s="232">
        <v>61634</v>
      </c>
      <c r="H716" s="220">
        <v>54840</v>
      </c>
      <c r="I716" s="232">
        <v>106013</v>
      </c>
      <c r="J716" s="231">
        <v>12750</v>
      </c>
      <c r="K716" s="88">
        <f t="shared" si="27"/>
        <v>235237</v>
      </c>
      <c r="L716" s="50"/>
      <c r="M716" s="232">
        <v>2068</v>
      </c>
      <c r="N716" s="232">
        <v>0</v>
      </c>
      <c r="O716" s="231">
        <v>17264</v>
      </c>
      <c r="P716" s="88">
        <f t="shared" si="28"/>
        <v>19332</v>
      </c>
      <c r="Q716" s="50"/>
      <c r="R716" s="232">
        <v>110971</v>
      </c>
      <c r="S716" s="231">
        <v>1914</v>
      </c>
      <c r="T716" s="233">
        <v>112885</v>
      </c>
    </row>
    <row r="717" spans="1:20">
      <c r="A717" s="48">
        <v>97803</v>
      </c>
      <c r="B717" s="49" t="s">
        <v>1410</v>
      </c>
      <c r="C717" s="234">
        <v>8.1699999999999994E-5</v>
      </c>
      <c r="D717" s="234">
        <v>7.5300000000000001E-5</v>
      </c>
      <c r="E717" s="218">
        <v>193820</v>
      </c>
      <c r="F717" s="218" t="s">
        <v>1924</v>
      </c>
      <c r="G717" s="232">
        <v>29902</v>
      </c>
      <c r="H717" s="220">
        <v>26605</v>
      </c>
      <c r="I717" s="232">
        <v>51432</v>
      </c>
      <c r="J717" s="231">
        <v>5367</v>
      </c>
      <c r="K717" s="88">
        <f t="shared" si="27"/>
        <v>113306</v>
      </c>
      <c r="L717" s="50"/>
      <c r="M717" s="232">
        <v>1003</v>
      </c>
      <c r="N717" s="232">
        <v>0</v>
      </c>
      <c r="O717" s="231">
        <v>685</v>
      </c>
      <c r="P717" s="88">
        <f t="shared" si="28"/>
        <v>1688</v>
      </c>
      <c r="Q717" s="50"/>
      <c r="R717" s="232">
        <v>53838</v>
      </c>
      <c r="S717" s="231">
        <v>4391</v>
      </c>
      <c r="T717" s="233">
        <v>58229</v>
      </c>
    </row>
    <row r="718" spans="1:20">
      <c r="A718" s="48">
        <v>97805</v>
      </c>
      <c r="B718" s="49" t="s">
        <v>1411</v>
      </c>
      <c r="C718" s="234">
        <v>8.2700000000000004E-5</v>
      </c>
      <c r="D718" s="234">
        <v>7.9400000000000006E-5</v>
      </c>
      <c r="E718" s="218">
        <v>196193</v>
      </c>
      <c r="F718" s="218" t="s">
        <v>1924</v>
      </c>
      <c r="G718" s="232">
        <v>30268</v>
      </c>
      <c r="H718" s="220">
        <v>26932</v>
      </c>
      <c r="I718" s="232">
        <v>52062</v>
      </c>
      <c r="J718" s="231">
        <v>9379</v>
      </c>
      <c r="K718" s="88">
        <f t="shared" si="27"/>
        <v>118641</v>
      </c>
      <c r="L718" s="50"/>
      <c r="M718" s="232">
        <v>1016</v>
      </c>
      <c r="N718" s="232">
        <v>0</v>
      </c>
      <c r="O718" s="231">
        <v>0</v>
      </c>
      <c r="P718" s="88">
        <f t="shared" si="28"/>
        <v>1016</v>
      </c>
      <c r="Q718" s="50"/>
      <c r="R718" s="232">
        <v>54497</v>
      </c>
      <c r="S718" s="231">
        <v>4756</v>
      </c>
      <c r="T718" s="233">
        <v>59253</v>
      </c>
    </row>
    <row r="719" spans="1:20">
      <c r="A719" s="48">
        <v>97811</v>
      </c>
      <c r="B719" s="49" t="s">
        <v>1412</v>
      </c>
      <c r="C719" s="234">
        <v>2.4342999999999999E-3</v>
      </c>
      <c r="D719" s="234">
        <v>2.4172E-3</v>
      </c>
      <c r="E719" s="218">
        <v>5774992</v>
      </c>
      <c r="F719" s="218" t="s">
        <v>1924</v>
      </c>
      <c r="G719" s="232">
        <v>890944</v>
      </c>
      <c r="H719" s="220">
        <v>792734</v>
      </c>
      <c r="I719" s="232">
        <v>1532460</v>
      </c>
      <c r="J719" s="231">
        <v>0</v>
      </c>
      <c r="K719" s="88">
        <f t="shared" si="27"/>
        <v>3216138</v>
      </c>
      <c r="L719" s="50"/>
      <c r="M719" s="232">
        <v>29896</v>
      </c>
      <c r="N719" s="232">
        <v>0</v>
      </c>
      <c r="O719" s="231">
        <v>95364</v>
      </c>
      <c r="P719" s="88">
        <f t="shared" si="28"/>
        <v>125260</v>
      </c>
      <c r="Q719" s="50"/>
      <c r="R719" s="232">
        <v>1604138</v>
      </c>
      <c r="S719" s="231">
        <v>-74364</v>
      </c>
      <c r="T719" s="233">
        <v>1529774</v>
      </c>
    </row>
    <row r="720" spans="1:20">
      <c r="A720" s="48">
        <v>97817</v>
      </c>
      <c r="B720" s="49" t="s">
        <v>1413</v>
      </c>
      <c r="C720" s="234">
        <v>1.8199999999999999E-5</v>
      </c>
      <c r="D720" s="234">
        <v>2.2200000000000001E-5</v>
      </c>
      <c r="E720" s="218">
        <v>43177</v>
      </c>
      <c r="F720" s="218" t="s">
        <v>1924</v>
      </c>
      <c r="G720" s="232">
        <v>6661</v>
      </c>
      <c r="H720" s="220">
        <v>5927</v>
      </c>
      <c r="I720" s="232">
        <v>11457</v>
      </c>
      <c r="J720" s="231">
        <v>13908</v>
      </c>
      <c r="K720" s="88">
        <f t="shared" si="27"/>
        <v>37953</v>
      </c>
      <c r="L720" s="50"/>
      <c r="M720" s="232">
        <v>224</v>
      </c>
      <c r="N720" s="232">
        <v>0</v>
      </c>
      <c r="O720" s="231">
        <v>1088</v>
      </c>
      <c r="P720" s="88">
        <f t="shared" si="28"/>
        <v>1312</v>
      </c>
      <c r="Q720" s="50"/>
      <c r="R720" s="232">
        <v>11993</v>
      </c>
      <c r="S720" s="231">
        <v>4171</v>
      </c>
      <c r="T720" s="233">
        <v>16164</v>
      </c>
    </row>
    <row r="721" spans="1:20">
      <c r="A721" s="48">
        <v>97818</v>
      </c>
      <c r="B721" s="49" t="s">
        <v>1414</v>
      </c>
      <c r="C721" s="234">
        <v>2.0299999999999999E-5</v>
      </c>
      <c r="D721" s="234">
        <v>2.1999999999999999E-5</v>
      </c>
      <c r="E721" s="218">
        <v>48159</v>
      </c>
      <c r="F721" s="218" t="s">
        <v>1924</v>
      </c>
      <c r="G721" s="232">
        <v>7430</v>
      </c>
      <c r="H721" s="220">
        <v>6611</v>
      </c>
      <c r="I721" s="232">
        <v>12779</v>
      </c>
      <c r="J721" s="231">
        <v>3906</v>
      </c>
      <c r="K721" s="88">
        <f t="shared" si="27"/>
        <v>30726</v>
      </c>
      <c r="L721" s="50"/>
      <c r="M721" s="232">
        <v>249</v>
      </c>
      <c r="N721" s="232">
        <v>0</v>
      </c>
      <c r="O721" s="231">
        <v>983</v>
      </c>
      <c r="P721" s="88">
        <f t="shared" si="28"/>
        <v>1232</v>
      </c>
      <c r="Q721" s="50"/>
      <c r="R721" s="232">
        <v>13377</v>
      </c>
      <c r="S721" s="231">
        <v>-89</v>
      </c>
      <c r="T721" s="233">
        <v>13288</v>
      </c>
    </row>
    <row r="722" spans="1:20">
      <c r="A722" s="48">
        <v>97821</v>
      </c>
      <c r="B722" s="49" t="s">
        <v>2394</v>
      </c>
      <c r="C722" s="234">
        <v>1.071E-4</v>
      </c>
      <c r="D722" s="234">
        <v>1.126E-4</v>
      </c>
      <c r="E722" s="218">
        <v>254078</v>
      </c>
      <c r="F722" s="218" t="s">
        <v>1924</v>
      </c>
      <c r="G722" s="232">
        <v>39198</v>
      </c>
      <c r="H722" s="220">
        <v>34878</v>
      </c>
      <c r="I722" s="232">
        <v>67422</v>
      </c>
      <c r="J722" s="231">
        <v>12602</v>
      </c>
      <c r="K722" s="88">
        <f t="shared" si="27"/>
        <v>154100</v>
      </c>
      <c r="L722" s="50"/>
      <c r="M722" s="232">
        <v>1315</v>
      </c>
      <c r="N722" s="232">
        <v>0</v>
      </c>
      <c r="O722" s="231">
        <v>5606</v>
      </c>
      <c r="P722" s="88">
        <f t="shared" si="28"/>
        <v>6921</v>
      </c>
      <c r="Q722" s="50"/>
      <c r="R722" s="232">
        <v>70576</v>
      </c>
      <c r="S722" s="231">
        <v>-7137</v>
      </c>
      <c r="T722" s="233">
        <v>63439</v>
      </c>
    </row>
    <row r="723" spans="1:20">
      <c r="A723" s="48">
        <v>97823</v>
      </c>
      <c r="B723" s="49" t="s">
        <v>1416</v>
      </c>
      <c r="C723" s="234">
        <v>1.7200000000000001E-5</v>
      </c>
      <c r="D723" s="234">
        <v>2.3300000000000001E-5</v>
      </c>
      <c r="E723" s="218">
        <v>40804</v>
      </c>
      <c r="F723" s="218" t="s">
        <v>1924</v>
      </c>
      <c r="G723" s="232">
        <v>6295</v>
      </c>
      <c r="H723" s="220">
        <v>5601</v>
      </c>
      <c r="I723" s="232">
        <v>10828</v>
      </c>
      <c r="J723" s="231">
        <v>1190</v>
      </c>
      <c r="K723" s="88">
        <f t="shared" si="27"/>
        <v>23914</v>
      </c>
      <c r="L723" s="50"/>
      <c r="M723" s="232">
        <v>211</v>
      </c>
      <c r="N723" s="232">
        <v>0</v>
      </c>
      <c r="O723" s="231">
        <v>2106</v>
      </c>
      <c r="P723" s="88">
        <f t="shared" si="28"/>
        <v>2317</v>
      </c>
      <c r="Q723" s="50"/>
      <c r="R723" s="232">
        <v>11334</v>
      </c>
      <c r="S723" s="231">
        <v>-598</v>
      </c>
      <c r="T723" s="233">
        <v>10736</v>
      </c>
    </row>
    <row r="724" spans="1:20">
      <c r="A724" s="48">
        <v>97831</v>
      </c>
      <c r="B724" s="49" t="s">
        <v>2395</v>
      </c>
      <c r="C724" s="234">
        <v>1.5200000000000001E-4</v>
      </c>
      <c r="D724" s="234">
        <v>1.7009999999999999E-4</v>
      </c>
      <c r="E724" s="218">
        <v>360596</v>
      </c>
      <c r="F724" s="218" t="s">
        <v>1924</v>
      </c>
      <c r="G724" s="232">
        <v>55631</v>
      </c>
      <c r="H724" s="220">
        <v>49499</v>
      </c>
      <c r="I724" s="232">
        <v>95688</v>
      </c>
      <c r="J724" s="231">
        <v>11447</v>
      </c>
      <c r="K724" s="88">
        <f t="shared" si="27"/>
        <v>212265</v>
      </c>
      <c r="L724" s="50"/>
      <c r="M724" s="232">
        <v>1867</v>
      </c>
      <c r="N724" s="232">
        <v>0</v>
      </c>
      <c r="O724" s="231">
        <v>5865</v>
      </c>
      <c r="P724" s="88">
        <f t="shared" si="28"/>
        <v>7732</v>
      </c>
      <c r="Q724" s="50"/>
      <c r="R724" s="232">
        <v>100164</v>
      </c>
      <c r="S724" s="231">
        <v>-2869</v>
      </c>
      <c r="T724" s="233">
        <v>97295</v>
      </c>
    </row>
    <row r="725" spans="1:20">
      <c r="A725" s="48">
        <v>97837</v>
      </c>
      <c r="B725" s="49" t="s">
        <v>1418</v>
      </c>
      <c r="C725" s="234">
        <v>9.3000000000000007E-6</v>
      </c>
      <c r="D725" s="234">
        <v>1.0200000000000001E-5</v>
      </c>
      <c r="E725" s="218">
        <v>22063</v>
      </c>
      <c r="F725" s="218" t="s">
        <v>1924</v>
      </c>
      <c r="G725" s="232">
        <v>3404</v>
      </c>
      <c r="H725" s="220">
        <v>3029</v>
      </c>
      <c r="I725" s="232">
        <v>5855</v>
      </c>
      <c r="J725" s="231">
        <v>3379</v>
      </c>
      <c r="K725" s="88">
        <f t="shared" si="27"/>
        <v>15667</v>
      </c>
      <c r="L725" s="50"/>
      <c r="M725" s="232">
        <v>114</v>
      </c>
      <c r="N725" s="232">
        <v>0</v>
      </c>
      <c r="O725" s="231">
        <v>139</v>
      </c>
      <c r="P725" s="88">
        <f t="shared" si="28"/>
        <v>253</v>
      </c>
      <c r="Q725" s="50"/>
      <c r="R725" s="232">
        <v>6128</v>
      </c>
      <c r="S725" s="231">
        <v>1610</v>
      </c>
      <c r="T725" s="233">
        <v>7738</v>
      </c>
    </row>
    <row r="726" spans="1:20">
      <c r="A726" s="48">
        <v>97840</v>
      </c>
      <c r="B726" s="49" t="s">
        <v>2396</v>
      </c>
      <c r="C726" s="234">
        <v>1.36E-4</v>
      </c>
      <c r="D726" s="234">
        <v>1.3190000000000001E-4</v>
      </c>
      <c r="E726" s="218">
        <v>322639</v>
      </c>
      <c r="F726" s="218" t="s">
        <v>1924</v>
      </c>
      <c r="G726" s="232">
        <v>49775</v>
      </c>
      <c r="H726" s="220">
        <v>44288</v>
      </c>
      <c r="I726" s="232">
        <v>85616</v>
      </c>
      <c r="J726" s="231">
        <v>90526</v>
      </c>
      <c r="K726" s="88">
        <f t="shared" ref="K726:K789" si="30">G726+H726+I726+J726</f>
        <v>270205</v>
      </c>
      <c r="L726" s="50"/>
      <c r="M726" s="232">
        <v>1670</v>
      </c>
      <c r="N726" s="232">
        <v>0</v>
      </c>
      <c r="O726" s="231">
        <v>0</v>
      </c>
      <c r="P726" s="88">
        <f t="shared" ref="P726:P789" si="31">M726+N726+O726</f>
        <v>1670</v>
      </c>
      <c r="Q726" s="50"/>
      <c r="R726" s="232">
        <v>89620</v>
      </c>
      <c r="S726" s="231">
        <v>37670</v>
      </c>
      <c r="T726" s="233">
        <v>127290</v>
      </c>
    </row>
    <row r="727" spans="1:20">
      <c r="A727" s="48">
        <v>97841</v>
      </c>
      <c r="B727" s="49" t="s">
        <v>2397</v>
      </c>
      <c r="C727" s="234">
        <v>1.2E-5</v>
      </c>
      <c r="D727" s="234">
        <v>1.31E-5</v>
      </c>
      <c r="E727" s="218">
        <v>28468</v>
      </c>
      <c r="F727" s="218" t="s">
        <v>1924</v>
      </c>
      <c r="G727" s="232">
        <v>4392</v>
      </c>
      <c r="H727" s="220">
        <v>3908</v>
      </c>
      <c r="I727" s="232">
        <v>7554</v>
      </c>
      <c r="J727" s="231">
        <v>186</v>
      </c>
      <c r="K727" s="88">
        <f t="shared" si="30"/>
        <v>16040</v>
      </c>
      <c r="L727" s="50"/>
      <c r="M727" s="232">
        <v>147</v>
      </c>
      <c r="N727" s="232">
        <v>0</v>
      </c>
      <c r="O727" s="231">
        <v>783</v>
      </c>
      <c r="P727" s="88">
        <f t="shared" si="31"/>
        <v>930</v>
      </c>
      <c r="Q727" s="50"/>
      <c r="R727" s="232">
        <v>7908</v>
      </c>
      <c r="S727" s="231">
        <v>-3836</v>
      </c>
      <c r="T727" s="233">
        <v>4072</v>
      </c>
    </row>
    <row r="728" spans="1:20">
      <c r="A728" s="48">
        <v>97847</v>
      </c>
      <c r="B728" s="49" t="s">
        <v>1421</v>
      </c>
      <c r="C728" s="234">
        <v>1.9999999999999999E-6</v>
      </c>
      <c r="D728" s="234">
        <v>2.0999999999999998E-6</v>
      </c>
      <c r="E728" s="218">
        <v>4745</v>
      </c>
      <c r="F728" s="218" t="s">
        <v>1924</v>
      </c>
      <c r="G728" s="232">
        <v>732</v>
      </c>
      <c r="H728" s="220">
        <v>651</v>
      </c>
      <c r="I728" s="232">
        <v>1259</v>
      </c>
      <c r="J728" s="231">
        <v>2019</v>
      </c>
      <c r="K728" s="88">
        <f t="shared" si="30"/>
        <v>4661</v>
      </c>
      <c r="L728" s="50"/>
      <c r="M728" s="232">
        <v>25</v>
      </c>
      <c r="N728" s="232">
        <v>0</v>
      </c>
      <c r="O728" s="231">
        <v>0</v>
      </c>
      <c r="P728" s="88">
        <f t="shared" si="31"/>
        <v>25</v>
      </c>
      <c r="Q728" s="50"/>
      <c r="R728" s="232">
        <v>1318</v>
      </c>
      <c r="S728" s="231">
        <v>610</v>
      </c>
      <c r="T728" s="233">
        <v>1928</v>
      </c>
    </row>
    <row r="729" spans="1:20">
      <c r="A729" s="48">
        <v>97851</v>
      </c>
      <c r="B729" s="49" t="s">
        <v>2398</v>
      </c>
      <c r="C729" s="234">
        <v>2.7750000000000002E-4</v>
      </c>
      <c r="D729" s="234">
        <v>2.7799999999999998E-4</v>
      </c>
      <c r="E729" s="218">
        <v>658325</v>
      </c>
      <c r="F729" s="218" t="s">
        <v>1924</v>
      </c>
      <c r="G729" s="232">
        <v>101564</v>
      </c>
      <c r="H729" s="220">
        <v>90369</v>
      </c>
      <c r="I729" s="232">
        <v>174694</v>
      </c>
      <c r="J729" s="231">
        <v>0</v>
      </c>
      <c r="K729" s="88">
        <f t="shared" si="30"/>
        <v>366627</v>
      </c>
      <c r="L729" s="50"/>
      <c r="M729" s="232">
        <v>3408</v>
      </c>
      <c r="N729" s="232">
        <v>0</v>
      </c>
      <c r="O729" s="231">
        <v>25332</v>
      </c>
      <c r="P729" s="88">
        <f t="shared" si="31"/>
        <v>28740</v>
      </c>
      <c r="Q729" s="50"/>
      <c r="R729" s="232">
        <v>182865</v>
      </c>
      <c r="S729" s="231">
        <v>-6676</v>
      </c>
      <c r="T729" s="233">
        <v>176189</v>
      </c>
    </row>
    <row r="730" spans="1:20">
      <c r="A730" s="48">
        <v>97853</v>
      </c>
      <c r="B730" s="49" t="s">
        <v>1423</v>
      </c>
      <c r="C730" s="234">
        <v>9.09E-5</v>
      </c>
      <c r="D730" s="234">
        <v>1.0289999999999999E-4</v>
      </c>
      <c r="E730" s="218">
        <v>215646</v>
      </c>
      <c r="F730" s="218" t="s">
        <v>1924</v>
      </c>
      <c r="G730" s="232">
        <v>33269</v>
      </c>
      <c r="H730" s="220">
        <v>29601</v>
      </c>
      <c r="I730" s="232">
        <v>57224</v>
      </c>
      <c r="J730" s="231">
        <v>4930</v>
      </c>
      <c r="K730" s="88">
        <f t="shared" si="30"/>
        <v>125024</v>
      </c>
      <c r="L730" s="50"/>
      <c r="M730" s="232">
        <v>1116</v>
      </c>
      <c r="N730" s="232">
        <v>0</v>
      </c>
      <c r="O730" s="231">
        <v>18002</v>
      </c>
      <c r="P730" s="88">
        <f t="shared" si="31"/>
        <v>19118</v>
      </c>
      <c r="Q730" s="50"/>
      <c r="R730" s="232">
        <v>59901</v>
      </c>
      <c r="S730" s="231">
        <v>-2497</v>
      </c>
      <c r="T730" s="233">
        <v>57404</v>
      </c>
    </row>
    <row r="731" spans="1:20">
      <c r="A731" s="48">
        <v>97861</v>
      </c>
      <c r="B731" s="49" t="s">
        <v>2399</v>
      </c>
      <c r="C731" s="234">
        <v>4.3000000000000002E-5</v>
      </c>
      <c r="D731" s="234">
        <v>6.7000000000000002E-5</v>
      </c>
      <c r="E731" s="218">
        <v>102011</v>
      </c>
      <c r="F731" s="218" t="s">
        <v>1924</v>
      </c>
      <c r="G731" s="232">
        <v>15738</v>
      </c>
      <c r="H731" s="220">
        <v>14003</v>
      </c>
      <c r="I731" s="232">
        <v>27070</v>
      </c>
      <c r="J731" s="231">
        <v>799</v>
      </c>
      <c r="K731" s="88">
        <f t="shared" si="30"/>
        <v>57610</v>
      </c>
      <c r="L731" s="50"/>
      <c r="M731" s="232">
        <v>528</v>
      </c>
      <c r="N731" s="232">
        <v>0</v>
      </c>
      <c r="O731" s="231">
        <v>15816</v>
      </c>
      <c r="P731" s="88">
        <f t="shared" si="31"/>
        <v>16344</v>
      </c>
      <c r="Q731" s="50"/>
      <c r="R731" s="232">
        <v>28336</v>
      </c>
      <c r="S731" s="231">
        <v>-6822</v>
      </c>
      <c r="T731" s="233">
        <v>21514</v>
      </c>
    </row>
    <row r="732" spans="1:20">
      <c r="A732" s="48">
        <v>97871</v>
      </c>
      <c r="B732" s="49" t="s">
        <v>2400</v>
      </c>
      <c r="C732" s="234">
        <v>3.1080000000000002E-4</v>
      </c>
      <c r="D732" s="234">
        <v>2.9930000000000001E-4</v>
      </c>
      <c r="E732" s="218">
        <v>737324</v>
      </c>
      <c r="F732" s="218" t="s">
        <v>1924</v>
      </c>
      <c r="G732" s="232">
        <v>113752</v>
      </c>
      <c r="H732" s="220">
        <v>101213</v>
      </c>
      <c r="I732" s="232">
        <v>195657</v>
      </c>
      <c r="J732" s="231">
        <v>260432</v>
      </c>
      <c r="K732" s="88">
        <f t="shared" si="30"/>
        <v>671054</v>
      </c>
      <c r="L732" s="50"/>
      <c r="M732" s="232">
        <v>3817</v>
      </c>
      <c r="N732" s="232">
        <v>0</v>
      </c>
      <c r="O732" s="231">
        <v>0</v>
      </c>
      <c r="P732" s="88">
        <f t="shared" si="31"/>
        <v>3817</v>
      </c>
      <c r="Q732" s="50"/>
      <c r="R732" s="232">
        <v>204809</v>
      </c>
      <c r="S732" s="231">
        <v>109999</v>
      </c>
      <c r="T732" s="233">
        <v>314808</v>
      </c>
    </row>
    <row r="733" spans="1:20">
      <c r="A733" s="48">
        <v>97877</v>
      </c>
      <c r="B733" s="49" t="s">
        <v>1426</v>
      </c>
      <c r="C733" s="234">
        <v>1.7999999999999999E-6</v>
      </c>
      <c r="D733" s="234">
        <v>1.9E-6</v>
      </c>
      <c r="E733" s="218">
        <v>4270</v>
      </c>
      <c r="F733" s="218" t="s">
        <v>1924</v>
      </c>
      <c r="G733" s="232">
        <v>659</v>
      </c>
      <c r="H733" s="220">
        <v>586</v>
      </c>
      <c r="I733" s="232">
        <v>1133</v>
      </c>
      <c r="J733" s="231">
        <v>2439</v>
      </c>
      <c r="K733" s="88">
        <f t="shared" si="30"/>
        <v>4817</v>
      </c>
      <c r="L733" s="50"/>
      <c r="M733" s="232">
        <v>22</v>
      </c>
      <c r="N733" s="232">
        <v>0</v>
      </c>
      <c r="O733" s="231">
        <v>0</v>
      </c>
      <c r="P733" s="88">
        <f t="shared" si="31"/>
        <v>22</v>
      </c>
      <c r="Q733" s="50"/>
      <c r="R733" s="232">
        <v>1186</v>
      </c>
      <c r="S733" s="231">
        <v>1008</v>
      </c>
      <c r="T733" s="233">
        <v>2194</v>
      </c>
    </row>
    <row r="734" spans="1:20">
      <c r="A734" s="48">
        <v>97901</v>
      </c>
      <c r="B734" s="49" t="s">
        <v>1427</v>
      </c>
      <c r="C734" s="234">
        <v>4.2154000000000002E-3</v>
      </c>
      <c r="D734" s="234">
        <v>4.2658000000000001E-3</v>
      </c>
      <c r="E734" s="218">
        <v>10000370</v>
      </c>
      <c r="F734" s="218" t="s">
        <v>1924</v>
      </c>
      <c r="G734" s="232">
        <v>1542820</v>
      </c>
      <c r="H734" s="220">
        <v>1372753</v>
      </c>
      <c r="I734" s="232">
        <v>2653712</v>
      </c>
      <c r="J734" s="231">
        <v>48144</v>
      </c>
      <c r="K734" s="88">
        <f t="shared" si="30"/>
        <v>5617429</v>
      </c>
      <c r="L734" s="50"/>
      <c r="M734" s="232">
        <v>51769</v>
      </c>
      <c r="N734" s="232">
        <v>0</v>
      </c>
      <c r="O734" s="231">
        <v>28304</v>
      </c>
      <c r="P734" s="88">
        <f t="shared" si="31"/>
        <v>80073</v>
      </c>
      <c r="Q734" s="50"/>
      <c r="R734" s="232">
        <v>2777835</v>
      </c>
      <c r="S734" s="231">
        <v>30359</v>
      </c>
      <c r="T734" s="233">
        <v>2808194</v>
      </c>
    </row>
    <row r="735" spans="1:20">
      <c r="A735" s="48">
        <v>97911</v>
      </c>
      <c r="B735" s="49" t="s">
        <v>1428</v>
      </c>
      <c r="C735" s="234">
        <v>1.2834000000000001E-3</v>
      </c>
      <c r="D735" s="234">
        <v>1.3005E-3</v>
      </c>
      <c r="E735" s="218">
        <v>3044664</v>
      </c>
      <c r="F735" s="218" t="s">
        <v>1924</v>
      </c>
      <c r="G735" s="232">
        <v>469719</v>
      </c>
      <c r="H735" s="220">
        <v>417942</v>
      </c>
      <c r="I735" s="232">
        <v>807936</v>
      </c>
      <c r="J735" s="231">
        <v>11320</v>
      </c>
      <c r="K735" s="88">
        <f t="shared" si="30"/>
        <v>1706917</v>
      </c>
      <c r="L735" s="50"/>
      <c r="M735" s="232">
        <v>15761</v>
      </c>
      <c r="N735" s="232">
        <v>0</v>
      </c>
      <c r="O735" s="231">
        <v>18493</v>
      </c>
      <c r="P735" s="88">
        <f t="shared" si="31"/>
        <v>34254</v>
      </c>
      <c r="Q735" s="50"/>
      <c r="R735" s="232">
        <v>845726</v>
      </c>
      <c r="S735" s="231">
        <v>10611</v>
      </c>
      <c r="T735" s="233">
        <v>856337</v>
      </c>
    </row>
    <row r="736" spans="1:20">
      <c r="A736" s="48">
        <v>97913</v>
      </c>
      <c r="B736" s="49" t="s">
        <v>2764</v>
      </c>
      <c r="C736" s="234">
        <v>3.3899999999999997E-5</v>
      </c>
      <c r="D736" s="234">
        <v>3.5899999999999998E-5</v>
      </c>
      <c r="E736" s="218">
        <v>80422</v>
      </c>
      <c r="F736" s="218" t="s">
        <v>1924</v>
      </c>
      <c r="G736" s="232">
        <v>12407</v>
      </c>
      <c r="H736" s="220">
        <v>11039</v>
      </c>
      <c r="I736" s="232">
        <v>21341</v>
      </c>
      <c r="J736" s="231">
        <v>17313</v>
      </c>
      <c r="K736" s="88">
        <f t="shared" si="30"/>
        <v>62100</v>
      </c>
      <c r="L736" s="50"/>
      <c r="M736" s="232">
        <v>416</v>
      </c>
      <c r="N736" s="232">
        <v>0</v>
      </c>
      <c r="O736" s="231">
        <v>0</v>
      </c>
      <c r="P736" s="88">
        <f t="shared" si="31"/>
        <v>416</v>
      </c>
      <c r="Q736" s="50"/>
      <c r="R736" s="232">
        <v>22339</v>
      </c>
      <c r="S736" s="231">
        <v>7130</v>
      </c>
      <c r="T736" s="233">
        <v>29469</v>
      </c>
    </row>
    <row r="737" spans="1:20">
      <c r="A737" s="48">
        <v>97917</v>
      </c>
      <c r="B737" s="49" t="s">
        <v>1430</v>
      </c>
      <c r="C737" s="234">
        <v>1.9700000000000001E-5</v>
      </c>
      <c r="D737" s="234">
        <v>2.0999999999999999E-5</v>
      </c>
      <c r="E737" s="218">
        <v>46735</v>
      </c>
      <c r="F737" s="218" t="s">
        <v>1924</v>
      </c>
      <c r="G737" s="232">
        <v>7210</v>
      </c>
      <c r="H737" s="220">
        <v>6415</v>
      </c>
      <c r="I737" s="232">
        <v>12402</v>
      </c>
      <c r="J737" s="231">
        <v>7021</v>
      </c>
      <c r="K737" s="88">
        <f t="shared" si="30"/>
        <v>33048</v>
      </c>
      <c r="L737" s="50"/>
      <c r="M737" s="232">
        <v>242</v>
      </c>
      <c r="N737" s="232">
        <v>0</v>
      </c>
      <c r="O737" s="231">
        <v>0</v>
      </c>
      <c r="P737" s="88">
        <f t="shared" si="31"/>
        <v>242</v>
      </c>
      <c r="Q737" s="50"/>
      <c r="R737" s="232">
        <v>12982</v>
      </c>
      <c r="S737" s="231">
        <v>3750</v>
      </c>
      <c r="T737" s="233">
        <v>16732</v>
      </c>
    </row>
    <row r="738" spans="1:20">
      <c r="A738" s="48">
        <v>97921</v>
      </c>
      <c r="B738" s="49" t="s">
        <v>2401</v>
      </c>
      <c r="C738" s="234">
        <v>2.2699999999999999E-4</v>
      </c>
      <c r="D738" s="234">
        <v>2.1699999999999999E-4</v>
      </c>
      <c r="E738" s="218">
        <v>538522</v>
      </c>
      <c r="F738" s="218" t="s">
        <v>1924</v>
      </c>
      <c r="G738" s="232">
        <v>83081</v>
      </c>
      <c r="H738" s="220">
        <v>73923</v>
      </c>
      <c r="I738" s="232">
        <v>142903</v>
      </c>
      <c r="J738" s="231">
        <v>12802</v>
      </c>
      <c r="K738" s="88">
        <f t="shared" si="30"/>
        <v>312709</v>
      </c>
      <c r="L738" s="50"/>
      <c r="M738" s="232">
        <v>2788</v>
      </c>
      <c r="N738" s="232">
        <v>0</v>
      </c>
      <c r="O738" s="231">
        <v>2898</v>
      </c>
      <c r="P738" s="88">
        <f t="shared" si="31"/>
        <v>5686</v>
      </c>
      <c r="Q738" s="50"/>
      <c r="R738" s="232">
        <v>149587</v>
      </c>
      <c r="S738" s="231">
        <v>5157</v>
      </c>
      <c r="T738" s="233">
        <v>154744</v>
      </c>
    </row>
    <row r="739" spans="1:20">
      <c r="A739" s="48">
        <v>97931</v>
      </c>
      <c r="B739" s="49" t="s">
        <v>2402</v>
      </c>
      <c r="C739" s="234">
        <v>6.7600000000000003E-5</v>
      </c>
      <c r="D739" s="234">
        <v>7.0199999999999999E-5</v>
      </c>
      <c r="E739" s="218">
        <v>160370</v>
      </c>
      <c r="F739" s="218" t="s">
        <v>1924</v>
      </c>
      <c r="G739" s="232">
        <v>24741</v>
      </c>
      <c r="H739" s="220">
        <v>22014</v>
      </c>
      <c r="I739" s="232">
        <v>42556</v>
      </c>
      <c r="J739" s="231">
        <v>9841</v>
      </c>
      <c r="K739" s="88">
        <f t="shared" si="30"/>
        <v>99152</v>
      </c>
      <c r="L739" s="50"/>
      <c r="M739" s="232">
        <v>830</v>
      </c>
      <c r="N739" s="232">
        <v>0</v>
      </c>
      <c r="O739" s="231">
        <v>3109</v>
      </c>
      <c r="P739" s="88">
        <f t="shared" si="31"/>
        <v>3939</v>
      </c>
      <c r="Q739" s="50"/>
      <c r="R739" s="232">
        <v>44547</v>
      </c>
      <c r="S739" s="231">
        <v>1729</v>
      </c>
      <c r="T739" s="233">
        <v>46276</v>
      </c>
    </row>
    <row r="740" spans="1:20">
      <c r="A740" s="48">
        <v>97941</v>
      </c>
      <c r="B740" s="49" t="s">
        <v>2403</v>
      </c>
      <c r="C740" s="234">
        <v>2.0159999999999999E-4</v>
      </c>
      <c r="D740" s="234">
        <v>2.0479999999999999E-4</v>
      </c>
      <c r="E740" s="218">
        <v>478264</v>
      </c>
      <c r="F740" s="218" t="s">
        <v>1924</v>
      </c>
      <c r="G740" s="232">
        <v>73785</v>
      </c>
      <c r="H740" s="220">
        <v>65651</v>
      </c>
      <c r="I740" s="232">
        <v>126913</v>
      </c>
      <c r="J740" s="231">
        <v>19522</v>
      </c>
      <c r="K740" s="88">
        <f t="shared" si="30"/>
        <v>285871</v>
      </c>
      <c r="L740" s="50"/>
      <c r="M740" s="232">
        <v>2476</v>
      </c>
      <c r="N740" s="232">
        <v>0</v>
      </c>
      <c r="O740" s="231">
        <v>6561</v>
      </c>
      <c r="P740" s="88">
        <f t="shared" si="31"/>
        <v>9037</v>
      </c>
      <c r="Q740" s="50"/>
      <c r="R740" s="232">
        <v>132849</v>
      </c>
      <c r="S740" s="231">
        <v>9717</v>
      </c>
      <c r="T740" s="233">
        <v>142566</v>
      </c>
    </row>
    <row r="741" spans="1:20">
      <c r="A741" s="48">
        <v>97947</v>
      </c>
      <c r="B741" s="49" t="s">
        <v>1434</v>
      </c>
      <c r="C741" s="234">
        <v>1.47E-5</v>
      </c>
      <c r="D741" s="234">
        <v>1.3900000000000001E-5</v>
      </c>
      <c r="E741" s="218">
        <v>34873</v>
      </c>
      <c r="F741" s="218" t="s">
        <v>1924</v>
      </c>
      <c r="G741" s="232">
        <v>5380</v>
      </c>
      <c r="H741" s="220">
        <v>4788</v>
      </c>
      <c r="I741" s="232">
        <v>9254</v>
      </c>
      <c r="J741" s="231">
        <v>11430</v>
      </c>
      <c r="K741" s="88">
        <f t="shared" si="30"/>
        <v>30852</v>
      </c>
      <c r="L741" s="50"/>
      <c r="M741" s="232">
        <v>181</v>
      </c>
      <c r="N741" s="232">
        <v>0</v>
      </c>
      <c r="O741" s="231">
        <v>0</v>
      </c>
      <c r="P741" s="88">
        <f t="shared" si="31"/>
        <v>181</v>
      </c>
      <c r="Q741" s="50"/>
      <c r="R741" s="232">
        <v>9687</v>
      </c>
      <c r="S741" s="231">
        <v>4453</v>
      </c>
      <c r="T741" s="233">
        <v>14140</v>
      </c>
    </row>
    <row r="742" spans="1:20">
      <c r="A742" s="48">
        <v>97948</v>
      </c>
      <c r="B742" s="49" t="s">
        <v>1435</v>
      </c>
      <c r="C742" s="234">
        <v>2.1299999999999999E-5</v>
      </c>
      <c r="D742" s="234">
        <v>2.2099999999999998E-5</v>
      </c>
      <c r="E742" s="218">
        <v>50531</v>
      </c>
      <c r="F742" s="218" t="s">
        <v>1924</v>
      </c>
      <c r="G742" s="232">
        <v>7796</v>
      </c>
      <c r="H742" s="220">
        <v>6936</v>
      </c>
      <c r="I742" s="232">
        <v>13409</v>
      </c>
      <c r="J742" s="231">
        <v>1178</v>
      </c>
      <c r="K742" s="88">
        <f t="shared" si="30"/>
        <v>29319</v>
      </c>
      <c r="L742" s="50"/>
      <c r="M742" s="232">
        <v>262</v>
      </c>
      <c r="N742" s="232">
        <v>0</v>
      </c>
      <c r="O742" s="231">
        <v>6237</v>
      </c>
      <c r="P742" s="88">
        <f t="shared" si="31"/>
        <v>6499</v>
      </c>
      <c r="Q742" s="50"/>
      <c r="R742" s="232">
        <v>14036</v>
      </c>
      <c r="S742" s="231">
        <v>-878</v>
      </c>
      <c r="T742" s="233">
        <v>13158</v>
      </c>
    </row>
    <row r="743" spans="1:20">
      <c r="A743" s="48">
        <v>97951</v>
      </c>
      <c r="B743" s="49" t="s">
        <v>1436</v>
      </c>
      <c r="C743" s="234">
        <v>1.1826E-3</v>
      </c>
      <c r="D743" s="234">
        <v>1.2440999999999999E-3</v>
      </c>
      <c r="E743" s="218">
        <v>2805532</v>
      </c>
      <c r="F743" s="218" t="s">
        <v>1924</v>
      </c>
      <c r="G743" s="232">
        <v>432827</v>
      </c>
      <c r="H743" s="220">
        <v>385116</v>
      </c>
      <c r="I743" s="232">
        <v>744480</v>
      </c>
      <c r="J743" s="231">
        <v>20429</v>
      </c>
      <c r="K743" s="88">
        <f t="shared" si="30"/>
        <v>1582852</v>
      </c>
      <c r="L743" s="50"/>
      <c r="M743" s="232">
        <v>14524</v>
      </c>
      <c r="N743" s="232">
        <v>0</v>
      </c>
      <c r="O743" s="231">
        <v>100</v>
      </c>
      <c r="P743" s="88">
        <f t="shared" si="31"/>
        <v>14624</v>
      </c>
      <c r="Q743" s="50"/>
      <c r="R743" s="232">
        <v>779301</v>
      </c>
      <c r="S743" s="231">
        <v>4342</v>
      </c>
      <c r="T743" s="233">
        <v>783643</v>
      </c>
    </row>
    <row r="744" spans="1:20">
      <c r="A744" s="48">
        <v>97957</v>
      </c>
      <c r="B744" s="49" t="s">
        <v>1437</v>
      </c>
      <c r="C744" s="234">
        <v>1.7200000000000001E-5</v>
      </c>
      <c r="D744" s="234">
        <v>1.8700000000000001E-5</v>
      </c>
      <c r="E744" s="218">
        <v>40804</v>
      </c>
      <c r="F744" s="218" t="s">
        <v>1924</v>
      </c>
      <c r="G744" s="232">
        <v>6295</v>
      </c>
      <c r="H744" s="220">
        <v>5601</v>
      </c>
      <c r="I744" s="232">
        <v>10828</v>
      </c>
      <c r="J744" s="231">
        <v>5813</v>
      </c>
      <c r="K744" s="88">
        <f t="shared" si="30"/>
        <v>28537</v>
      </c>
      <c r="L744" s="50"/>
      <c r="M744" s="232">
        <v>211</v>
      </c>
      <c r="N744" s="232">
        <v>0</v>
      </c>
      <c r="O744" s="231">
        <v>466</v>
      </c>
      <c r="P744" s="88">
        <f t="shared" si="31"/>
        <v>677</v>
      </c>
      <c r="Q744" s="50"/>
      <c r="R744" s="232">
        <v>11334</v>
      </c>
      <c r="S744" s="231">
        <v>1280</v>
      </c>
      <c r="T744" s="233">
        <v>12614</v>
      </c>
    </row>
    <row r="745" spans="1:20">
      <c r="A745" s="48">
        <v>98001</v>
      </c>
      <c r="B745" s="49" t="s">
        <v>1438</v>
      </c>
      <c r="C745" s="234">
        <v>5.3728999999999999E-3</v>
      </c>
      <c r="D745" s="234">
        <v>5.1148000000000001E-3</v>
      </c>
      <c r="E745" s="218">
        <v>12746356</v>
      </c>
      <c r="F745" s="218" t="s">
        <v>1924</v>
      </c>
      <c r="G745" s="232">
        <v>1966460</v>
      </c>
      <c r="H745" s="220">
        <v>1749696</v>
      </c>
      <c r="I745" s="232">
        <v>3382391</v>
      </c>
      <c r="J745" s="231">
        <v>275498</v>
      </c>
      <c r="K745" s="88">
        <f t="shared" si="30"/>
        <v>7374045</v>
      </c>
      <c r="L745" s="50"/>
      <c r="M745" s="232">
        <v>65985</v>
      </c>
      <c r="N745" s="232">
        <v>0</v>
      </c>
      <c r="O745" s="231">
        <v>0</v>
      </c>
      <c r="P745" s="88">
        <f t="shared" si="31"/>
        <v>65985</v>
      </c>
      <c r="Q745" s="50"/>
      <c r="R745" s="232">
        <v>3540596</v>
      </c>
      <c r="S745" s="231">
        <v>124587</v>
      </c>
      <c r="T745" s="233">
        <v>3665183</v>
      </c>
    </row>
    <row r="746" spans="1:20">
      <c r="A746" s="48">
        <v>98002</v>
      </c>
      <c r="B746" s="49" t="s">
        <v>1439</v>
      </c>
      <c r="C746" s="234">
        <v>6.4999999999999996E-6</v>
      </c>
      <c r="D746" s="234">
        <v>6.7000000000000002E-6</v>
      </c>
      <c r="E746" s="218">
        <v>15420</v>
      </c>
      <c r="F746" s="218" t="s">
        <v>1924</v>
      </c>
      <c r="G746" s="232">
        <v>2379</v>
      </c>
      <c r="H746" s="220">
        <v>2117</v>
      </c>
      <c r="I746" s="232">
        <v>4092</v>
      </c>
      <c r="J746" s="231">
        <v>1772</v>
      </c>
      <c r="K746" s="88">
        <f t="shared" si="30"/>
        <v>10360</v>
      </c>
      <c r="L746" s="50"/>
      <c r="M746" s="232">
        <v>80</v>
      </c>
      <c r="N746" s="232">
        <v>0</v>
      </c>
      <c r="O746" s="231">
        <v>0</v>
      </c>
      <c r="P746" s="88">
        <f t="shared" si="31"/>
        <v>80</v>
      </c>
      <c r="Q746" s="50"/>
      <c r="R746" s="232">
        <v>4283</v>
      </c>
      <c r="S746" s="231">
        <v>-5879</v>
      </c>
      <c r="T746" s="233">
        <v>-1596</v>
      </c>
    </row>
    <row r="747" spans="1:20">
      <c r="A747" s="48">
        <v>98003</v>
      </c>
      <c r="B747" s="49" t="s">
        <v>1440</v>
      </c>
      <c r="C747" s="234">
        <v>7.7000000000000001E-5</v>
      </c>
      <c r="D747" s="234">
        <v>7.9599999999999997E-5</v>
      </c>
      <c r="E747" s="218">
        <v>182670</v>
      </c>
      <c r="F747" s="218" t="s">
        <v>1924</v>
      </c>
      <c r="G747" s="232">
        <v>28182</v>
      </c>
      <c r="H747" s="220">
        <v>25075</v>
      </c>
      <c r="I747" s="232">
        <v>48474</v>
      </c>
      <c r="J747" s="231">
        <v>62655</v>
      </c>
      <c r="K747" s="88">
        <f t="shared" si="30"/>
        <v>164386</v>
      </c>
      <c r="L747" s="50"/>
      <c r="M747" s="232">
        <v>946</v>
      </c>
      <c r="N747" s="232">
        <v>0</v>
      </c>
      <c r="O747" s="231">
        <v>0</v>
      </c>
      <c r="P747" s="88">
        <f t="shared" si="31"/>
        <v>946</v>
      </c>
      <c r="Q747" s="50"/>
      <c r="R747" s="232">
        <v>50741</v>
      </c>
      <c r="S747" s="231">
        <v>25199</v>
      </c>
      <c r="T747" s="233">
        <v>75940</v>
      </c>
    </row>
    <row r="748" spans="1:20">
      <c r="A748" s="48">
        <v>98004</v>
      </c>
      <c r="B748" s="49" t="s">
        <v>1441</v>
      </c>
      <c r="C748" s="234">
        <v>1.189E-4</v>
      </c>
      <c r="D748" s="234">
        <v>1.182E-4</v>
      </c>
      <c r="E748" s="218">
        <v>282071</v>
      </c>
      <c r="F748" s="218" t="s">
        <v>1924</v>
      </c>
      <c r="G748" s="232">
        <v>43517</v>
      </c>
      <c r="H748" s="220">
        <v>38720</v>
      </c>
      <c r="I748" s="232">
        <v>74851</v>
      </c>
      <c r="J748" s="231">
        <v>41871</v>
      </c>
      <c r="K748" s="88">
        <f t="shared" si="30"/>
        <v>198959</v>
      </c>
      <c r="L748" s="50"/>
      <c r="M748" s="232">
        <v>1460</v>
      </c>
      <c r="N748" s="232">
        <v>0</v>
      </c>
      <c r="O748" s="231">
        <v>0</v>
      </c>
      <c r="P748" s="88">
        <f t="shared" si="31"/>
        <v>1460</v>
      </c>
      <c r="Q748" s="50"/>
      <c r="R748" s="232">
        <v>78352</v>
      </c>
      <c r="S748" s="231">
        <v>19024</v>
      </c>
      <c r="T748" s="233">
        <v>97376</v>
      </c>
    </row>
    <row r="749" spans="1:20">
      <c r="A749" s="48">
        <v>98008</v>
      </c>
      <c r="B749" s="49" t="s">
        <v>1442</v>
      </c>
      <c r="C749" s="234">
        <v>7.7000000000000008E-6</v>
      </c>
      <c r="D749" s="234">
        <v>7.9999999999999996E-6</v>
      </c>
      <c r="E749" s="218">
        <v>18267</v>
      </c>
      <c r="F749" s="218" t="s">
        <v>1924</v>
      </c>
      <c r="G749" s="232">
        <v>2818</v>
      </c>
      <c r="H749" s="220">
        <v>2507</v>
      </c>
      <c r="I749" s="232">
        <v>4847</v>
      </c>
      <c r="J749" s="231">
        <v>20</v>
      </c>
      <c r="K749" s="88">
        <f t="shared" si="30"/>
        <v>10192</v>
      </c>
      <c r="L749" s="50"/>
      <c r="M749" s="232">
        <v>95</v>
      </c>
      <c r="N749" s="232">
        <v>0</v>
      </c>
      <c r="O749" s="231">
        <v>556</v>
      </c>
      <c r="P749" s="88">
        <f t="shared" si="31"/>
        <v>651</v>
      </c>
      <c r="Q749" s="50"/>
      <c r="R749" s="232">
        <v>5074</v>
      </c>
      <c r="S749" s="231">
        <v>-548</v>
      </c>
      <c r="T749" s="233">
        <v>4526</v>
      </c>
    </row>
    <row r="750" spans="1:20">
      <c r="A750" s="48">
        <v>98011</v>
      </c>
      <c r="B750" s="49" t="s">
        <v>1443</v>
      </c>
      <c r="C750" s="234">
        <v>3.2946999999999998E-3</v>
      </c>
      <c r="D750" s="234">
        <v>3.1578999999999999E-3</v>
      </c>
      <c r="E750" s="218">
        <v>7816155</v>
      </c>
      <c r="F750" s="218" t="s">
        <v>1924</v>
      </c>
      <c r="G750" s="232">
        <v>1205847</v>
      </c>
      <c r="H750" s="220">
        <v>1072925</v>
      </c>
      <c r="I750" s="232">
        <v>2074106</v>
      </c>
      <c r="J750" s="231">
        <v>81290</v>
      </c>
      <c r="K750" s="88">
        <f t="shared" si="30"/>
        <v>4434168</v>
      </c>
      <c r="L750" s="50"/>
      <c r="M750" s="232">
        <v>40462</v>
      </c>
      <c r="N750" s="232">
        <v>0</v>
      </c>
      <c r="O750" s="231">
        <v>168657</v>
      </c>
      <c r="P750" s="88">
        <f t="shared" si="31"/>
        <v>209119</v>
      </c>
      <c r="Q750" s="50"/>
      <c r="R750" s="232">
        <v>2171118</v>
      </c>
      <c r="S750" s="231">
        <v>-126045</v>
      </c>
      <c r="T750" s="233">
        <v>2045073</v>
      </c>
    </row>
    <row r="751" spans="1:20">
      <c r="A751" s="48">
        <v>98013</v>
      </c>
      <c r="B751" s="49" t="s">
        <v>2765</v>
      </c>
      <c r="C751" s="234">
        <v>1.3439999999999999E-4</v>
      </c>
      <c r="D751" s="234">
        <v>1.415E-4</v>
      </c>
      <c r="E751" s="50">
        <v>318843</v>
      </c>
      <c r="F751" s="50"/>
      <c r="G751" s="232">
        <v>49190</v>
      </c>
      <c r="H751" s="220">
        <v>43768</v>
      </c>
      <c r="I751" s="232">
        <v>84609</v>
      </c>
      <c r="J751" s="231">
        <v>137928</v>
      </c>
      <c r="K751" s="88">
        <f t="shared" si="30"/>
        <v>315495</v>
      </c>
      <c r="L751" s="50"/>
      <c r="M751" s="232">
        <v>1651</v>
      </c>
      <c r="N751" s="232">
        <v>0</v>
      </c>
      <c r="O751" s="231">
        <v>0</v>
      </c>
      <c r="P751" s="88">
        <f t="shared" si="31"/>
        <v>1651</v>
      </c>
      <c r="Q751" s="50"/>
      <c r="R751" s="232">
        <v>88566</v>
      </c>
      <c r="S751" s="231">
        <v>55732</v>
      </c>
      <c r="T751" s="233">
        <v>144298</v>
      </c>
    </row>
    <row r="752" spans="1:20">
      <c r="A752" s="48">
        <v>98021</v>
      </c>
      <c r="B752" s="49" t="s">
        <v>2404</v>
      </c>
      <c r="C752" s="234">
        <v>3.6100000000000003E-5</v>
      </c>
      <c r="D752" s="234">
        <v>8.6199999999999995E-5</v>
      </c>
      <c r="E752" s="50">
        <v>85642</v>
      </c>
      <c r="F752" s="50"/>
      <c r="G752" s="232">
        <v>13212</v>
      </c>
      <c r="H752" s="220">
        <v>11756</v>
      </c>
      <c r="I752" s="232">
        <v>22726</v>
      </c>
      <c r="J752" s="231">
        <v>6068</v>
      </c>
      <c r="K752" s="88">
        <f t="shared" si="30"/>
        <v>53762</v>
      </c>
      <c r="L752" s="50"/>
      <c r="M752" s="232">
        <v>443</v>
      </c>
      <c r="N752" s="232">
        <v>0</v>
      </c>
      <c r="O752" s="231">
        <v>29951</v>
      </c>
      <c r="P752" s="88">
        <f t="shared" si="31"/>
        <v>30394</v>
      </c>
      <c r="Q752" s="50"/>
      <c r="R752" s="232">
        <v>23789</v>
      </c>
      <c r="S752" s="231">
        <v>-559</v>
      </c>
      <c r="T752" s="233">
        <v>23230</v>
      </c>
    </row>
    <row r="753" spans="1:20">
      <c r="A753" s="48">
        <v>98023</v>
      </c>
      <c r="B753" s="49" t="s">
        <v>1446</v>
      </c>
      <c r="C753" s="234">
        <v>1.88E-5</v>
      </c>
      <c r="D753" s="234">
        <v>1.43E-5</v>
      </c>
      <c r="E753" s="50">
        <v>44600</v>
      </c>
      <c r="F753" s="50"/>
      <c r="G753" s="232">
        <v>6881</v>
      </c>
      <c r="H753" s="220">
        <v>6122</v>
      </c>
      <c r="I753" s="232">
        <v>11835</v>
      </c>
      <c r="J753" s="231">
        <v>1700</v>
      </c>
      <c r="K753" s="88">
        <f t="shared" si="30"/>
        <v>26538</v>
      </c>
      <c r="L753" s="50"/>
      <c r="M753" s="232">
        <v>231</v>
      </c>
      <c r="N753" s="232">
        <v>0</v>
      </c>
      <c r="O753" s="231">
        <v>2588</v>
      </c>
      <c r="P753" s="88">
        <f t="shared" si="31"/>
        <v>2819</v>
      </c>
      <c r="Q753" s="50"/>
      <c r="R753" s="232">
        <v>12389</v>
      </c>
      <c r="S753" s="231">
        <v>-2200</v>
      </c>
      <c r="T753" s="233">
        <v>10189</v>
      </c>
    </row>
    <row r="754" spans="1:20">
      <c r="A754" s="48">
        <v>98031</v>
      </c>
      <c r="B754" s="49" t="s">
        <v>2405</v>
      </c>
      <c r="C754" s="234">
        <v>1.717E-4</v>
      </c>
      <c r="D754" s="234">
        <v>1.537E-4</v>
      </c>
      <c r="E754" s="50">
        <v>407331</v>
      </c>
      <c r="F754" s="50"/>
      <c r="G754" s="232">
        <v>62842</v>
      </c>
      <c r="H754" s="220">
        <v>55914</v>
      </c>
      <c r="I754" s="232">
        <v>108090</v>
      </c>
      <c r="J754" s="231">
        <v>7268</v>
      </c>
      <c r="K754" s="88">
        <f t="shared" si="30"/>
        <v>234114</v>
      </c>
      <c r="L754" s="50"/>
      <c r="M754" s="232">
        <v>2109</v>
      </c>
      <c r="N754" s="232">
        <v>0</v>
      </c>
      <c r="O754" s="231">
        <v>5245</v>
      </c>
      <c r="P754" s="88">
        <f t="shared" si="31"/>
        <v>7354</v>
      </c>
      <c r="Q754" s="50"/>
      <c r="R754" s="232">
        <v>113146</v>
      </c>
      <c r="S754" s="231">
        <v>-92</v>
      </c>
      <c r="T754" s="233">
        <v>113054</v>
      </c>
    </row>
    <row r="755" spans="1:20">
      <c r="A755" s="48">
        <v>98041</v>
      </c>
      <c r="B755" s="49" t="s">
        <v>2406</v>
      </c>
      <c r="C755" s="234">
        <v>2.242E-4</v>
      </c>
      <c r="D755" s="234">
        <v>1.9230000000000001E-4</v>
      </c>
      <c r="E755" s="50">
        <v>531879</v>
      </c>
      <c r="F755" s="50"/>
      <c r="G755" s="232">
        <v>82056</v>
      </c>
      <c r="H755" s="220">
        <v>73011</v>
      </c>
      <c r="I755" s="232">
        <v>141140</v>
      </c>
      <c r="J755" s="231">
        <v>23837</v>
      </c>
      <c r="K755" s="88">
        <f t="shared" si="30"/>
        <v>320044</v>
      </c>
      <c r="L755" s="50"/>
      <c r="M755" s="232">
        <v>2753</v>
      </c>
      <c r="N755" s="232">
        <v>0</v>
      </c>
      <c r="O755" s="231">
        <v>1903</v>
      </c>
      <c r="P755" s="88">
        <f t="shared" si="31"/>
        <v>4656</v>
      </c>
      <c r="Q755" s="50"/>
      <c r="R755" s="232">
        <v>147742</v>
      </c>
      <c r="S755" s="231">
        <v>3840</v>
      </c>
      <c r="T755" s="233">
        <v>151582</v>
      </c>
    </row>
    <row r="756" spans="1:20">
      <c r="A756" s="48">
        <v>98051</v>
      </c>
      <c r="B756" s="49" t="s">
        <v>2407</v>
      </c>
      <c r="C756" s="234">
        <v>2.699E-4</v>
      </c>
      <c r="D756" s="234">
        <v>2.8019999999999998E-4</v>
      </c>
      <c r="E756" s="50">
        <v>640295</v>
      </c>
      <c r="F756" s="50"/>
      <c r="G756" s="232">
        <v>98782</v>
      </c>
      <c r="H756" s="220">
        <v>87893</v>
      </c>
      <c r="I756" s="232">
        <v>169910</v>
      </c>
      <c r="J756" s="231">
        <v>12423</v>
      </c>
      <c r="K756" s="88">
        <f t="shared" si="30"/>
        <v>369008</v>
      </c>
      <c r="L756" s="50"/>
      <c r="M756" s="232">
        <v>3315</v>
      </c>
      <c r="N756" s="232">
        <v>0</v>
      </c>
      <c r="O756" s="231">
        <v>5552</v>
      </c>
      <c r="P756" s="88">
        <f t="shared" si="31"/>
        <v>8867</v>
      </c>
      <c r="Q756" s="50"/>
      <c r="R756" s="232">
        <v>177857</v>
      </c>
      <c r="S756" s="231">
        <v>7633</v>
      </c>
      <c r="T756" s="233">
        <v>185490</v>
      </c>
    </row>
    <row r="757" spans="1:20">
      <c r="A757" s="48">
        <v>98061</v>
      </c>
      <c r="B757" s="49" t="s">
        <v>2408</v>
      </c>
      <c r="C757" s="234">
        <v>1.3420000000000001E-4</v>
      </c>
      <c r="D757" s="234">
        <v>1.0670000000000001E-4</v>
      </c>
      <c r="E757" s="50">
        <v>318368</v>
      </c>
      <c r="F757" s="50"/>
      <c r="G757" s="232">
        <v>49117</v>
      </c>
      <c r="H757" s="220">
        <v>43702</v>
      </c>
      <c r="I757" s="232">
        <v>84483</v>
      </c>
      <c r="J757" s="231">
        <v>14234</v>
      </c>
      <c r="K757" s="88">
        <f t="shared" si="30"/>
        <v>191536</v>
      </c>
      <c r="L757" s="50"/>
      <c r="M757" s="232">
        <v>1648</v>
      </c>
      <c r="N757" s="232">
        <v>0</v>
      </c>
      <c r="O757" s="231">
        <v>10224</v>
      </c>
      <c r="P757" s="88">
        <f t="shared" si="31"/>
        <v>11872</v>
      </c>
      <c r="Q757" s="50"/>
      <c r="R757" s="232">
        <v>88434</v>
      </c>
      <c r="S757" s="231">
        <v>-3412</v>
      </c>
      <c r="T757" s="233">
        <v>85022</v>
      </c>
    </row>
    <row r="758" spans="1:20">
      <c r="A758" s="48">
        <v>98071</v>
      </c>
      <c r="B758" s="49" t="s">
        <v>2409</v>
      </c>
      <c r="C758" s="234">
        <v>3.5800000000000003E-5</v>
      </c>
      <c r="D758" s="234">
        <v>4.0099999999999999E-5</v>
      </c>
      <c r="E758" s="50">
        <v>84930</v>
      </c>
      <c r="F758" s="50"/>
      <c r="G758" s="232">
        <v>13103</v>
      </c>
      <c r="H758" s="220">
        <v>11658</v>
      </c>
      <c r="I758" s="232">
        <v>22537</v>
      </c>
      <c r="J758" s="231">
        <v>20473</v>
      </c>
      <c r="K758" s="88">
        <f t="shared" si="30"/>
        <v>67771</v>
      </c>
      <c r="L758" s="50"/>
      <c r="M758" s="232">
        <v>440</v>
      </c>
      <c r="N758" s="232">
        <v>0</v>
      </c>
      <c r="O758" s="231">
        <v>541</v>
      </c>
      <c r="P758" s="88">
        <f t="shared" si="31"/>
        <v>981</v>
      </c>
      <c r="Q758" s="50"/>
      <c r="R758" s="232">
        <v>23591</v>
      </c>
      <c r="S758" s="231">
        <v>6474</v>
      </c>
      <c r="T758" s="233">
        <v>30065</v>
      </c>
    </row>
    <row r="759" spans="1:20">
      <c r="A759" s="48">
        <v>98081</v>
      </c>
      <c r="B759" s="49" t="s">
        <v>2410</v>
      </c>
      <c r="C759" s="234">
        <v>1.7200000000000001E-5</v>
      </c>
      <c r="D759" s="234">
        <v>1.8300000000000001E-5</v>
      </c>
      <c r="E759" s="50">
        <v>40804</v>
      </c>
      <c r="F759" s="50"/>
      <c r="G759" s="232">
        <v>6295</v>
      </c>
      <c r="H759" s="220">
        <v>5601</v>
      </c>
      <c r="I759" s="232">
        <v>10828</v>
      </c>
      <c r="J759" s="231">
        <v>0</v>
      </c>
      <c r="K759" s="88">
        <f t="shared" si="30"/>
        <v>22724</v>
      </c>
      <c r="L759" s="50"/>
      <c r="M759" s="232">
        <v>211</v>
      </c>
      <c r="N759" s="232">
        <v>0</v>
      </c>
      <c r="O759" s="231">
        <v>3428</v>
      </c>
      <c r="P759" s="88">
        <f t="shared" si="31"/>
        <v>3639</v>
      </c>
      <c r="Q759" s="50"/>
      <c r="R759" s="232">
        <v>11334</v>
      </c>
      <c r="S759" s="231">
        <v>-2166</v>
      </c>
      <c r="T759" s="233">
        <v>9168</v>
      </c>
    </row>
    <row r="760" spans="1:20">
      <c r="A760" s="48">
        <v>98091</v>
      </c>
      <c r="B760" s="49" t="s">
        <v>2411</v>
      </c>
      <c r="C760" s="234">
        <v>5.1600000000000001E-5</v>
      </c>
      <c r="D760" s="234">
        <v>4.7500000000000003E-5</v>
      </c>
      <c r="E760" s="50">
        <v>122413</v>
      </c>
      <c r="F760" s="50"/>
      <c r="G760" s="232">
        <v>18885</v>
      </c>
      <c r="H760" s="220">
        <v>16803</v>
      </c>
      <c r="I760" s="232">
        <v>32484</v>
      </c>
      <c r="J760" s="231">
        <v>5795</v>
      </c>
      <c r="K760" s="88">
        <f t="shared" si="30"/>
        <v>73967</v>
      </c>
      <c r="L760" s="50"/>
      <c r="M760" s="232">
        <v>634</v>
      </c>
      <c r="N760" s="232">
        <v>0</v>
      </c>
      <c r="O760" s="231">
        <v>0</v>
      </c>
      <c r="P760" s="88">
        <f t="shared" si="31"/>
        <v>634</v>
      </c>
      <c r="Q760" s="50"/>
      <c r="R760" s="232">
        <v>34003</v>
      </c>
      <c r="S760" s="231">
        <v>976</v>
      </c>
      <c r="T760" s="233">
        <v>34979</v>
      </c>
    </row>
    <row r="761" spans="1:20">
      <c r="A761" s="48">
        <v>98101</v>
      </c>
      <c r="B761" s="49" t="s">
        <v>1454</v>
      </c>
      <c r="C761" s="234">
        <v>2.6497999999999999E-3</v>
      </c>
      <c r="D761" s="234">
        <v>2.8706999999999999E-3</v>
      </c>
      <c r="E761" s="50">
        <v>6286232</v>
      </c>
      <c r="F761" s="50"/>
      <c r="G761" s="232">
        <v>969816</v>
      </c>
      <c r="H761" s="220">
        <v>862912</v>
      </c>
      <c r="I761" s="232">
        <v>1668123</v>
      </c>
      <c r="J761" s="231">
        <v>13234</v>
      </c>
      <c r="K761" s="88">
        <f t="shared" si="30"/>
        <v>3514085</v>
      </c>
      <c r="L761" s="50"/>
      <c r="M761" s="232">
        <v>32542</v>
      </c>
      <c r="N761" s="232">
        <v>0</v>
      </c>
      <c r="O761" s="231">
        <v>206313</v>
      </c>
      <c r="P761" s="88">
        <f t="shared" si="31"/>
        <v>238855</v>
      </c>
      <c r="Q761" s="50"/>
      <c r="R761" s="232">
        <v>1746147</v>
      </c>
      <c r="S761" s="231">
        <v>-31729</v>
      </c>
      <c r="T761" s="233">
        <v>1714418</v>
      </c>
    </row>
    <row r="762" spans="1:20">
      <c r="A762" s="48">
        <v>98102</v>
      </c>
      <c r="B762" s="49" t="s">
        <v>1455</v>
      </c>
      <c r="C762" s="234">
        <v>1.496E-4</v>
      </c>
      <c r="D762" s="234">
        <v>1.5809999999999999E-4</v>
      </c>
      <c r="E762" s="50">
        <v>354902</v>
      </c>
      <c r="F762" s="50"/>
      <c r="G762" s="232">
        <v>54753</v>
      </c>
      <c r="H762" s="220">
        <v>48718</v>
      </c>
      <c r="I762" s="232">
        <v>94177</v>
      </c>
      <c r="J762" s="231">
        <v>0</v>
      </c>
      <c r="K762" s="88">
        <f t="shared" si="30"/>
        <v>197648</v>
      </c>
      <c r="L762" s="50"/>
      <c r="M762" s="232">
        <v>1837</v>
      </c>
      <c r="N762" s="232">
        <v>0</v>
      </c>
      <c r="O762" s="231">
        <v>13146</v>
      </c>
      <c r="P762" s="88">
        <f t="shared" si="31"/>
        <v>14983</v>
      </c>
      <c r="Q762" s="50"/>
      <c r="R762" s="232">
        <v>98582</v>
      </c>
      <c r="S762" s="231">
        <v>-6674</v>
      </c>
      <c r="T762" s="233">
        <v>91908</v>
      </c>
    </row>
    <row r="763" spans="1:20">
      <c r="A763" s="48">
        <v>98103</v>
      </c>
      <c r="B763" s="49" t="s">
        <v>1456</v>
      </c>
      <c r="C763" s="234">
        <v>4.8450000000000001E-4</v>
      </c>
      <c r="D763" s="234">
        <v>5.4410000000000005E-4</v>
      </c>
      <c r="E763" s="50">
        <v>1149400</v>
      </c>
      <c r="F763" s="50"/>
      <c r="G763" s="232">
        <v>177325</v>
      </c>
      <c r="H763" s="220">
        <v>157779</v>
      </c>
      <c r="I763" s="232">
        <v>305006</v>
      </c>
      <c r="J763" s="231">
        <v>7298</v>
      </c>
      <c r="K763" s="88">
        <f t="shared" si="30"/>
        <v>647408</v>
      </c>
      <c r="L763" s="50"/>
      <c r="M763" s="232">
        <v>5950</v>
      </c>
      <c r="N763" s="232">
        <v>0</v>
      </c>
      <c r="O763" s="231">
        <v>39675</v>
      </c>
      <c r="P763" s="88">
        <f t="shared" si="31"/>
        <v>45625</v>
      </c>
      <c r="Q763" s="50"/>
      <c r="R763" s="232">
        <v>319272</v>
      </c>
      <c r="S763" s="231">
        <v>-24913</v>
      </c>
      <c r="T763" s="233">
        <v>294359</v>
      </c>
    </row>
    <row r="764" spans="1:20">
      <c r="A764" s="48">
        <v>98107</v>
      </c>
      <c r="B764" s="49" t="s">
        <v>1457</v>
      </c>
      <c r="C764" s="234">
        <v>1.01E-5</v>
      </c>
      <c r="D764" s="234">
        <v>1.08E-5</v>
      </c>
      <c r="E764" s="50">
        <v>23961</v>
      </c>
      <c r="F764" s="50"/>
      <c r="G764" s="232">
        <v>3697</v>
      </c>
      <c r="H764" s="220">
        <v>3289</v>
      </c>
      <c r="I764" s="232">
        <v>6358</v>
      </c>
      <c r="J764" s="231">
        <v>7863</v>
      </c>
      <c r="K764" s="88">
        <f t="shared" si="30"/>
        <v>21207</v>
      </c>
      <c r="L764" s="50"/>
      <c r="M764" s="232">
        <v>124</v>
      </c>
      <c r="N764" s="232">
        <v>0</v>
      </c>
      <c r="O764" s="231">
        <v>0</v>
      </c>
      <c r="P764" s="88">
        <f t="shared" si="31"/>
        <v>124</v>
      </c>
      <c r="Q764" s="50"/>
      <c r="R764" s="232">
        <v>6656</v>
      </c>
      <c r="S764" s="231">
        <v>4229</v>
      </c>
      <c r="T764" s="233">
        <v>10885</v>
      </c>
    </row>
    <row r="765" spans="1:20">
      <c r="A765" s="48">
        <v>98109</v>
      </c>
      <c r="B765" s="49" t="s">
        <v>1458</v>
      </c>
      <c r="C765" s="234">
        <v>1.4310000000000001E-4</v>
      </c>
      <c r="D765" s="234">
        <v>1.573E-4</v>
      </c>
      <c r="E765" s="50">
        <v>339482</v>
      </c>
      <c r="F765" s="50"/>
      <c r="G765" s="232">
        <v>52374</v>
      </c>
      <c r="H765" s="220">
        <v>46601</v>
      </c>
      <c r="I765" s="232">
        <v>90085</v>
      </c>
      <c r="J765" s="231">
        <v>8985</v>
      </c>
      <c r="K765" s="88">
        <f t="shared" si="30"/>
        <v>198045</v>
      </c>
      <c r="L765" s="50"/>
      <c r="M765" s="232">
        <v>1757</v>
      </c>
      <c r="N765" s="232">
        <v>0</v>
      </c>
      <c r="O765" s="231">
        <v>13377</v>
      </c>
      <c r="P765" s="88">
        <f t="shared" si="31"/>
        <v>15134</v>
      </c>
      <c r="Q765" s="50"/>
      <c r="R765" s="232">
        <v>94299</v>
      </c>
      <c r="S765" s="231">
        <v>-7438</v>
      </c>
      <c r="T765" s="233">
        <v>86861</v>
      </c>
    </row>
    <row r="766" spans="1:20">
      <c r="A766" s="48">
        <v>98111</v>
      </c>
      <c r="B766" s="49" t="s">
        <v>2412</v>
      </c>
      <c r="C766" s="234">
        <v>1.0207E-3</v>
      </c>
      <c r="D766" s="234">
        <v>1.0143000000000001E-3</v>
      </c>
      <c r="E766" s="50">
        <v>2421449</v>
      </c>
      <c r="F766" s="50"/>
      <c r="G766" s="232">
        <v>373572</v>
      </c>
      <c r="H766" s="220">
        <v>332393</v>
      </c>
      <c r="I766" s="232">
        <v>642559</v>
      </c>
      <c r="J766" s="231">
        <v>0</v>
      </c>
      <c r="K766" s="88">
        <f t="shared" si="30"/>
        <v>1348524</v>
      </c>
      <c r="L766" s="50"/>
      <c r="M766" s="232">
        <v>12535</v>
      </c>
      <c r="N766" s="232">
        <v>0</v>
      </c>
      <c r="O766" s="231">
        <v>76213</v>
      </c>
      <c r="P766" s="88">
        <f t="shared" si="31"/>
        <v>88748</v>
      </c>
      <c r="Q766" s="50"/>
      <c r="R766" s="232">
        <v>672614</v>
      </c>
      <c r="S766" s="231">
        <v>-29272</v>
      </c>
      <c r="T766" s="233">
        <v>643342</v>
      </c>
    </row>
    <row r="767" spans="1:20">
      <c r="A767" s="48">
        <v>98113</v>
      </c>
      <c r="B767" s="49" t="s">
        <v>1460</v>
      </c>
      <c r="C767" s="234">
        <v>3.8999999999999999E-5</v>
      </c>
      <c r="D767" s="234">
        <v>4.6199999999999998E-5</v>
      </c>
      <c r="E767" s="50">
        <v>92521</v>
      </c>
      <c r="F767" s="50"/>
      <c r="G767" s="232">
        <v>14274</v>
      </c>
      <c r="H767" s="220">
        <v>12700</v>
      </c>
      <c r="I767" s="232">
        <v>24552</v>
      </c>
      <c r="J767" s="231">
        <v>7102</v>
      </c>
      <c r="K767" s="88">
        <f t="shared" si="30"/>
        <v>58628</v>
      </c>
      <c r="L767" s="50"/>
      <c r="M767" s="232">
        <v>479</v>
      </c>
      <c r="N767" s="232">
        <v>0</v>
      </c>
      <c r="O767" s="231">
        <v>416</v>
      </c>
      <c r="P767" s="88">
        <f t="shared" si="31"/>
        <v>895</v>
      </c>
      <c r="Q767" s="50"/>
      <c r="R767" s="232">
        <v>25700</v>
      </c>
      <c r="S767" s="231">
        <v>4533</v>
      </c>
      <c r="T767" s="233">
        <v>30233</v>
      </c>
    </row>
    <row r="768" spans="1:20">
      <c r="A768" s="48">
        <v>98121</v>
      </c>
      <c r="B768" s="49" t="s">
        <v>2413</v>
      </c>
      <c r="C768" s="234">
        <v>2.241E-4</v>
      </c>
      <c r="D768" s="234">
        <v>2.0100000000000001E-4</v>
      </c>
      <c r="E768" s="50">
        <v>531642</v>
      </c>
      <c r="F768" s="50"/>
      <c r="G768" s="232">
        <v>82020</v>
      </c>
      <c r="H768" s="220">
        <v>72979</v>
      </c>
      <c r="I768" s="232">
        <v>141077</v>
      </c>
      <c r="J768" s="231">
        <v>5555</v>
      </c>
      <c r="K768" s="88">
        <f t="shared" si="30"/>
        <v>301631</v>
      </c>
      <c r="L768" s="50"/>
      <c r="M768" s="232">
        <v>2752</v>
      </c>
      <c r="N768" s="232">
        <v>0</v>
      </c>
      <c r="O768" s="231">
        <v>17709</v>
      </c>
      <c r="P768" s="88">
        <f t="shared" si="31"/>
        <v>20461</v>
      </c>
      <c r="Q768" s="50"/>
      <c r="R768" s="232">
        <v>147676</v>
      </c>
      <c r="S768" s="231">
        <v>-4423</v>
      </c>
      <c r="T768" s="233">
        <v>143253</v>
      </c>
    </row>
    <row r="769" spans="1:20">
      <c r="A769" s="48">
        <v>98131</v>
      </c>
      <c r="B769" s="49" t="s">
        <v>2414</v>
      </c>
      <c r="C769" s="234">
        <v>2.297E-4</v>
      </c>
      <c r="D769" s="234">
        <v>2.5230000000000001E-4</v>
      </c>
      <c r="E769" s="50">
        <v>544927</v>
      </c>
      <c r="F769" s="50"/>
      <c r="G769" s="232">
        <v>84069</v>
      </c>
      <c r="H769" s="220">
        <v>74802</v>
      </c>
      <c r="I769" s="232">
        <v>144603</v>
      </c>
      <c r="J769" s="231">
        <v>0</v>
      </c>
      <c r="K769" s="88">
        <f t="shared" si="30"/>
        <v>303474</v>
      </c>
      <c r="L769" s="50"/>
      <c r="M769" s="232">
        <v>2821</v>
      </c>
      <c r="N769" s="232">
        <v>0</v>
      </c>
      <c r="O769" s="231">
        <v>41009</v>
      </c>
      <c r="P769" s="88">
        <f t="shared" si="31"/>
        <v>43830</v>
      </c>
      <c r="Q769" s="50"/>
      <c r="R769" s="232">
        <v>151366</v>
      </c>
      <c r="S769" s="231">
        <v>-26275</v>
      </c>
      <c r="T769" s="233">
        <v>125091</v>
      </c>
    </row>
    <row r="770" spans="1:20">
      <c r="A770" s="48">
        <v>98141</v>
      </c>
      <c r="B770" s="49" t="s">
        <v>2415</v>
      </c>
      <c r="C770" s="234">
        <v>3.0160000000000001E-4</v>
      </c>
      <c r="D770" s="234">
        <v>3.0360000000000001E-4</v>
      </c>
      <c r="E770" s="50">
        <v>715498</v>
      </c>
      <c r="F770" s="50"/>
      <c r="G770" s="232">
        <v>110384</v>
      </c>
      <c r="H770" s="220">
        <v>98217</v>
      </c>
      <c r="I770" s="232">
        <v>189866</v>
      </c>
      <c r="J770" s="231">
        <v>3632</v>
      </c>
      <c r="K770" s="88">
        <f t="shared" si="30"/>
        <v>402099</v>
      </c>
      <c r="L770" s="50"/>
      <c r="M770" s="232">
        <v>3704</v>
      </c>
      <c r="N770" s="232">
        <v>0</v>
      </c>
      <c r="O770" s="231">
        <v>20500</v>
      </c>
      <c r="P770" s="88">
        <f t="shared" si="31"/>
        <v>24204</v>
      </c>
      <c r="Q770" s="50"/>
      <c r="R770" s="232">
        <v>198746</v>
      </c>
      <c r="S770" s="231">
        <v>-14365</v>
      </c>
      <c r="T770" s="233">
        <v>184381</v>
      </c>
    </row>
    <row r="771" spans="1:20">
      <c r="A771" s="48">
        <v>98147</v>
      </c>
      <c r="B771" s="49" t="s">
        <v>2416</v>
      </c>
      <c r="C771" s="234">
        <v>1.15E-5</v>
      </c>
      <c r="D771" s="234">
        <v>1.29E-5</v>
      </c>
      <c r="E771" s="50">
        <v>27282</v>
      </c>
      <c r="F771" s="50"/>
      <c r="G771" s="232">
        <v>4209</v>
      </c>
      <c r="H771" s="220">
        <v>3745</v>
      </c>
      <c r="I771" s="232">
        <v>7240</v>
      </c>
      <c r="J771" s="231">
        <v>7998</v>
      </c>
      <c r="K771" s="88">
        <f t="shared" si="30"/>
        <v>23192</v>
      </c>
      <c r="L771" s="50"/>
      <c r="M771" s="232">
        <v>141</v>
      </c>
      <c r="N771" s="232">
        <v>0</v>
      </c>
      <c r="O771" s="231">
        <v>0</v>
      </c>
      <c r="P771" s="88">
        <f t="shared" si="31"/>
        <v>141</v>
      </c>
      <c r="Q771" s="50"/>
      <c r="R771" s="232">
        <v>7578</v>
      </c>
      <c r="S771" s="231">
        <v>4051</v>
      </c>
      <c r="T771" s="233">
        <v>11629</v>
      </c>
    </row>
    <row r="772" spans="1:20">
      <c r="A772" s="48">
        <v>98161</v>
      </c>
      <c r="B772" s="49" t="s">
        <v>2417</v>
      </c>
      <c r="C772" s="234">
        <v>6.7000000000000002E-6</v>
      </c>
      <c r="D772" s="234">
        <v>7.3000000000000004E-6</v>
      </c>
      <c r="E772" s="50">
        <v>15895</v>
      </c>
      <c r="F772" s="50"/>
      <c r="G772" s="232">
        <v>2452</v>
      </c>
      <c r="H772" s="220">
        <v>2182</v>
      </c>
      <c r="I772" s="232">
        <v>4218</v>
      </c>
      <c r="J772" s="231">
        <v>2865</v>
      </c>
      <c r="K772" s="88">
        <f t="shared" si="30"/>
        <v>11717</v>
      </c>
      <c r="L772" s="50"/>
      <c r="M772" s="232">
        <v>82</v>
      </c>
      <c r="N772" s="232">
        <v>0</v>
      </c>
      <c r="O772" s="231">
        <v>0</v>
      </c>
      <c r="P772" s="88">
        <f t="shared" si="31"/>
        <v>82</v>
      </c>
      <c r="Q772" s="50"/>
      <c r="R772" s="232">
        <v>4415</v>
      </c>
      <c r="S772" s="231">
        <v>1383</v>
      </c>
      <c r="T772" s="233">
        <v>5798</v>
      </c>
    </row>
    <row r="773" spans="1:20">
      <c r="A773" s="48">
        <v>98201</v>
      </c>
      <c r="B773" s="49" t="s">
        <v>1466</v>
      </c>
      <c r="C773" s="234">
        <v>3.1725E-3</v>
      </c>
      <c r="D773" s="234">
        <v>3.1664000000000002E-3</v>
      </c>
      <c r="E773" s="50">
        <v>7526255</v>
      </c>
      <c r="F773" s="50"/>
      <c r="G773" s="232">
        <v>1161122</v>
      </c>
      <c r="H773" s="220">
        <v>1033131</v>
      </c>
      <c r="I773" s="232">
        <v>1997178</v>
      </c>
      <c r="J773" s="231">
        <v>47695</v>
      </c>
      <c r="K773" s="88">
        <f t="shared" si="30"/>
        <v>4239126</v>
      </c>
      <c r="L773" s="50"/>
      <c r="M773" s="232">
        <v>38961</v>
      </c>
      <c r="N773" s="232">
        <v>0</v>
      </c>
      <c r="O773" s="231">
        <v>50438</v>
      </c>
      <c r="P773" s="88">
        <f t="shared" si="31"/>
        <v>89399</v>
      </c>
      <c r="Q773" s="50"/>
      <c r="R773" s="232">
        <v>2090592</v>
      </c>
      <c r="S773" s="231">
        <v>-13335</v>
      </c>
      <c r="T773" s="233">
        <v>2077257</v>
      </c>
    </row>
    <row r="774" spans="1:20">
      <c r="A774" s="48">
        <v>98205</v>
      </c>
      <c r="B774" s="49" t="s">
        <v>1467</v>
      </c>
      <c r="C774" s="234">
        <v>3.6100000000000003E-5</v>
      </c>
      <c r="D774" s="234">
        <v>4.6799999999999999E-5</v>
      </c>
      <c r="E774" s="50">
        <v>85642</v>
      </c>
      <c r="F774" s="50"/>
      <c r="G774" s="232">
        <v>13212</v>
      </c>
      <c r="H774" s="220">
        <v>11756</v>
      </c>
      <c r="I774" s="232">
        <v>22726</v>
      </c>
      <c r="J774" s="231">
        <v>1169</v>
      </c>
      <c r="K774" s="88">
        <f t="shared" si="30"/>
        <v>48863</v>
      </c>
      <c r="L774" s="50"/>
      <c r="M774" s="232">
        <v>443</v>
      </c>
      <c r="N774" s="232">
        <v>0</v>
      </c>
      <c r="O774" s="231">
        <v>6010</v>
      </c>
      <c r="P774" s="88">
        <f t="shared" si="31"/>
        <v>6453</v>
      </c>
      <c r="Q774" s="50"/>
      <c r="R774" s="232">
        <v>23789</v>
      </c>
      <c r="S774" s="231">
        <v>-1258</v>
      </c>
      <c r="T774" s="233">
        <v>22531</v>
      </c>
    </row>
    <row r="775" spans="1:20">
      <c r="A775" s="48">
        <v>98211</v>
      </c>
      <c r="B775" s="49" t="s">
        <v>1468</v>
      </c>
      <c r="C775" s="234">
        <v>8.5470000000000001E-4</v>
      </c>
      <c r="D775" s="234">
        <v>8.6689999999999998E-4</v>
      </c>
      <c r="E775" s="50">
        <v>2027641</v>
      </c>
      <c r="F775" s="50"/>
      <c r="G775" s="232">
        <v>312817</v>
      </c>
      <c r="H775" s="220">
        <v>278335</v>
      </c>
      <c r="I775" s="232">
        <v>538058</v>
      </c>
      <c r="J775" s="231">
        <v>0</v>
      </c>
      <c r="K775" s="88">
        <f t="shared" si="30"/>
        <v>1129210</v>
      </c>
      <c r="L775" s="50"/>
      <c r="M775" s="232">
        <v>10497</v>
      </c>
      <c r="N775" s="232">
        <v>0</v>
      </c>
      <c r="O775" s="231">
        <v>112320</v>
      </c>
      <c r="P775" s="88">
        <f t="shared" si="31"/>
        <v>122817</v>
      </c>
      <c r="Q775" s="50"/>
      <c r="R775" s="232">
        <v>563224</v>
      </c>
      <c r="S775" s="231">
        <v>-56480</v>
      </c>
      <c r="T775" s="233">
        <v>506744</v>
      </c>
    </row>
    <row r="776" spans="1:20">
      <c r="A776" s="48">
        <v>98218</v>
      </c>
      <c r="B776" s="49" t="s">
        <v>1469</v>
      </c>
      <c r="C776" s="234">
        <v>1.5500000000000001E-5</v>
      </c>
      <c r="D776" s="234">
        <v>1.3200000000000001E-5</v>
      </c>
      <c r="E776" s="50">
        <v>36771</v>
      </c>
      <c r="F776" s="50"/>
      <c r="G776" s="232">
        <v>5673</v>
      </c>
      <c r="H776" s="220">
        <v>5047</v>
      </c>
      <c r="I776" s="232">
        <v>9758</v>
      </c>
      <c r="J776" s="231">
        <v>3767</v>
      </c>
      <c r="K776" s="88">
        <f t="shared" si="30"/>
        <v>24245</v>
      </c>
      <c r="L776" s="50"/>
      <c r="M776" s="232">
        <v>190</v>
      </c>
      <c r="N776" s="232">
        <v>0</v>
      </c>
      <c r="O776" s="231">
        <v>285</v>
      </c>
      <c r="P776" s="88">
        <f t="shared" si="31"/>
        <v>475</v>
      </c>
      <c r="Q776" s="50"/>
      <c r="R776" s="232">
        <v>10214</v>
      </c>
      <c r="S776" s="231">
        <v>269</v>
      </c>
      <c r="T776" s="233">
        <v>10483</v>
      </c>
    </row>
    <row r="777" spans="1:20">
      <c r="A777" s="48">
        <v>98221</v>
      </c>
      <c r="B777" s="49" t="s">
        <v>2418</v>
      </c>
      <c r="C777" s="234">
        <v>1.8499999999999999E-5</v>
      </c>
      <c r="D777" s="234">
        <v>1.8899999999999999E-5</v>
      </c>
      <c r="E777" s="50">
        <v>43888</v>
      </c>
      <c r="F777" s="50"/>
      <c r="G777" s="232">
        <v>6771</v>
      </c>
      <c r="H777" s="220">
        <v>6025</v>
      </c>
      <c r="I777" s="232">
        <v>11646</v>
      </c>
      <c r="J777" s="231">
        <v>4486</v>
      </c>
      <c r="K777" s="88">
        <f t="shared" si="30"/>
        <v>28928</v>
      </c>
      <c r="L777" s="50"/>
      <c r="M777" s="232">
        <v>227</v>
      </c>
      <c r="N777" s="232">
        <v>0</v>
      </c>
      <c r="O777" s="231">
        <v>0</v>
      </c>
      <c r="P777" s="88">
        <f t="shared" si="31"/>
        <v>227</v>
      </c>
      <c r="Q777" s="50"/>
      <c r="R777" s="232">
        <v>12191</v>
      </c>
      <c r="S777" s="231">
        <v>1809</v>
      </c>
      <c r="T777" s="233">
        <v>14000</v>
      </c>
    </row>
    <row r="778" spans="1:20">
      <c r="A778" s="48">
        <v>98231</v>
      </c>
      <c r="B778" s="49" t="s">
        <v>2419</v>
      </c>
      <c r="C778" s="234">
        <v>3.1000000000000001E-5</v>
      </c>
      <c r="D778" s="234">
        <v>2.2799999999999999E-5</v>
      </c>
      <c r="E778" s="50">
        <v>73543</v>
      </c>
      <c r="F778" s="50"/>
      <c r="G778" s="232">
        <v>11346</v>
      </c>
      <c r="H778" s="220">
        <v>10096</v>
      </c>
      <c r="I778" s="232">
        <v>19515</v>
      </c>
      <c r="J778" s="231">
        <v>7747</v>
      </c>
      <c r="K778" s="88">
        <f t="shared" si="30"/>
        <v>48704</v>
      </c>
      <c r="L778" s="50"/>
      <c r="M778" s="232">
        <v>381</v>
      </c>
      <c r="N778" s="232">
        <v>0</v>
      </c>
      <c r="O778" s="231">
        <v>5129</v>
      </c>
      <c r="P778" s="88">
        <f t="shared" si="31"/>
        <v>5510</v>
      </c>
      <c r="Q778" s="50"/>
      <c r="R778" s="232">
        <v>20428</v>
      </c>
      <c r="S778" s="231">
        <v>-1821</v>
      </c>
      <c r="T778" s="233">
        <v>18607</v>
      </c>
    </row>
    <row r="779" spans="1:20">
      <c r="A779" s="48">
        <v>98237</v>
      </c>
      <c r="B779" s="49" t="s">
        <v>1472</v>
      </c>
      <c r="C779" s="234">
        <v>5.5999999999999997E-6</v>
      </c>
      <c r="D779" s="234">
        <v>5.9000000000000003E-6</v>
      </c>
      <c r="E779" s="50">
        <v>13285</v>
      </c>
      <c r="F779" s="50"/>
      <c r="G779" s="232">
        <v>2050</v>
      </c>
      <c r="H779" s="220">
        <v>1823</v>
      </c>
      <c r="I779" s="232">
        <v>3525</v>
      </c>
      <c r="J779" s="231">
        <v>4018</v>
      </c>
      <c r="K779" s="88">
        <f t="shared" si="30"/>
        <v>11416</v>
      </c>
      <c r="L779" s="50"/>
      <c r="M779" s="232">
        <v>69</v>
      </c>
      <c r="N779" s="232">
        <v>0</v>
      </c>
      <c r="O779" s="231">
        <v>0</v>
      </c>
      <c r="P779" s="88">
        <f t="shared" si="31"/>
        <v>69</v>
      </c>
      <c r="Q779" s="50"/>
      <c r="R779" s="232">
        <v>3690</v>
      </c>
      <c r="S779" s="231">
        <v>1826</v>
      </c>
      <c r="T779" s="233">
        <v>5516</v>
      </c>
    </row>
    <row r="780" spans="1:20">
      <c r="A780" s="48">
        <v>98241</v>
      </c>
      <c r="B780" s="49" t="s">
        <v>2420</v>
      </c>
      <c r="C780" s="234">
        <v>1.22E-5</v>
      </c>
      <c r="D780" s="234">
        <v>1.5099999999999999E-5</v>
      </c>
      <c r="E780" s="50">
        <v>28943</v>
      </c>
      <c r="F780" s="50"/>
      <c r="G780" s="232">
        <v>4465</v>
      </c>
      <c r="H780" s="220">
        <v>3973</v>
      </c>
      <c r="I780" s="232">
        <v>7680</v>
      </c>
      <c r="J780" s="231">
        <v>2352</v>
      </c>
      <c r="K780" s="88">
        <f t="shared" si="30"/>
        <v>18470</v>
      </c>
      <c r="L780" s="50"/>
      <c r="M780" s="232">
        <v>150</v>
      </c>
      <c r="N780" s="232">
        <v>0</v>
      </c>
      <c r="O780" s="231">
        <v>2460</v>
      </c>
      <c r="P780" s="88">
        <f t="shared" si="31"/>
        <v>2610</v>
      </c>
      <c r="Q780" s="50"/>
      <c r="R780" s="232">
        <v>8039</v>
      </c>
      <c r="S780" s="231">
        <v>2327</v>
      </c>
      <c r="T780" s="233">
        <v>10366</v>
      </c>
    </row>
    <row r="781" spans="1:20">
      <c r="A781" s="48">
        <v>98251</v>
      </c>
      <c r="B781" s="49" t="s">
        <v>2421</v>
      </c>
      <c r="C781" s="234">
        <v>2.7E-6</v>
      </c>
      <c r="D781" s="234">
        <v>3.0000000000000001E-6</v>
      </c>
      <c r="E781" s="50">
        <v>6405</v>
      </c>
      <c r="F781" s="50"/>
      <c r="G781" s="232">
        <v>988</v>
      </c>
      <c r="H781" s="220">
        <v>879</v>
      </c>
      <c r="I781" s="232">
        <v>1700</v>
      </c>
      <c r="J781" s="231">
        <v>1458</v>
      </c>
      <c r="K781" s="88">
        <f t="shared" si="30"/>
        <v>5025</v>
      </c>
      <c r="L781" s="50"/>
      <c r="M781" s="232">
        <v>33</v>
      </c>
      <c r="N781" s="232">
        <v>0</v>
      </c>
      <c r="O781" s="231">
        <v>0</v>
      </c>
      <c r="P781" s="88">
        <f t="shared" si="31"/>
        <v>33</v>
      </c>
      <c r="Q781" s="50"/>
      <c r="R781" s="232">
        <v>1779</v>
      </c>
      <c r="S781" s="231">
        <v>722</v>
      </c>
      <c r="T781" s="233">
        <v>2501</v>
      </c>
    </row>
    <row r="782" spans="1:20">
      <c r="A782" s="48">
        <v>98261</v>
      </c>
      <c r="B782" s="49" t="s">
        <v>2422</v>
      </c>
      <c r="C782" s="234">
        <v>3.3099999999999998E-5</v>
      </c>
      <c r="D782" s="234">
        <v>3.3200000000000001E-5</v>
      </c>
      <c r="E782" s="50">
        <v>78525</v>
      </c>
      <c r="F782" s="50"/>
      <c r="G782" s="232">
        <v>12114</v>
      </c>
      <c r="H782" s="220">
        <v>10779</v>
      </c>
      <c r="I782" s="232">
        <v>20837</v>
      </c>
      <c r="J782" s="231">
        <v>6529</v>
      </c>
      <c r="K782" s="88">
        <f t="shared" si="30"/>
        <v>50259</v>
      </c>
      <c r="L782" s="50"/>
      <c r="M782" s="232">
        <v>407</v>
      </c>
      <c r="N782" s="232">
        <v>0</v>
      </c>
      <c r="O782" s="231">
        <v>3201</v>
      </c>
      <c r="P782" s="88">
        <f t="shared" si="31"/>
        <v>3608</v>
      </c>
      <c r="Q782" s="50"/>
      <c r="R782" s="232">
        <v>21812</v>
      </c>
      <c r="S782" s="231">
        <v>1417</v>
      </c>
      <c r="T782" s="233">
        <v>23229</v>
      </c>
    </row>
    <row r="783" spans="1:20">
      <c r="A783" s="48">
        <v>98271</v>
      </c>
      <c r="B783" s="49" t="s">
        <v>2423</v>
      </c>
      <c r="C783" s="234">
        <v>5.3000000000000001E-6</v>
      </c>
      <c r="D783" s="234">
        <v>5.1000000000000003E-6</v>
      </c>
      <c r="E783" s="50">
        <v>12573</v>
      </c>
      <c r="F783" s="50"/>
      <c r="G783" s="232">
        <v>1940</v>
      </c>
      <c r="H783" s="220">
        <v>1726</v>
      </c>
      <c r="I783" s="232">
        <v>3336</v>
      </c>
      <c r="J783" s="231">
        <v>2879</v>
      </c>
      <c r="K783" s="88">
        <f t="shared" si="30"/>
        <v>9881</v>
      </c>
      <c r="L783" s="50"/>
      <c r="M783" s="232">
        <v>65</v>
      </c>
      <c r="N783" s="232">
        <v>0</v>
      </c>
      <c r="O783" s="231">
        <v>0</v>
      </c>
      <c r="P783" s="88">
        <f t="shared" si="31"/>
        <v>65</v>
      </c>
      <c r="Q783" s="50"/>
      <c r="R783" s="232">
        <v>3493</v>
      </c>
      <c r="S783" s="231">
        <v>1857</v>
      </c>
      <c r="T783" s="233">
        <v>5350</v>
      </c>
    </row>
    <row r="784" spans="1:20">
      <c r="A784" s="48">
        <v>98301</v>
      </c>
      <c r="B784" s="49" t="s">
        <v>1477</v>
      </c>
      <c r="C784" s="234">
        <v>1.7489999999999999E-3</v>
      </c>
      <c r="D784" s="234">
        <v>1.7542E-3</v>
      </c>
      <c r="E784" s="50">
        <v>4149226</v>
      </c>
      <c r="F784" s="50"/>
      <c r="G784" s="232">
        <v>640127</v>
      </c>
      <c r="H784" s="220">
        <v>569565</v>
      </c>
      <c r="I784" s="232">
        <v>1101044</v>
      </c>
      <c r="J784" s="231">
        <v>56900</v>
      </c>
      <c r="K784" s="88">
        <f t="shared" si="30"/>
        <v>2367636</v>
      </c>
      <c r="L784" s="50"/>
      <c r="M784" s="232">
        <v>21479</v>
      </c>
      <c r="N784" s="232">
        <v>0</v>
      </c>
      <c r="O784" s="231">
        <v>0</v>
      </c>
      <c r="P784" s="88">
        <f t="shared" si="31"/>
        <v>21479</v>
      </c>
      <c r="Q784" s="50"/>
      <c r="R784" s="232">
        <v>1152544</v>
      </c>
      <c r="S784" s="231">
        <v>25032</v>
      </c>
      <c r="T784" s="233">
        <v>1177576</v>
      </c>
    </row>
    <row r="785" spans="1:20">
      <c r="A785" s="48">
        <v>98304</v>
      </c>
      <c r="B785" s="49" t="s">
        <v>1478</v>
      </c>
      <c r="C785" s="234">
        <v>1.9300000000000002E-5</v>
      </c>
      <c r="D785" s="234">
        <v>2.0999999999999999E-5</v>
      </c>
      <c r="E785" s="50">
        <v>45786</v>
      </c>
      <c r="F785" s="50"/>
      <c r="G785" s="232">
        <v>7064</v>
      </c>
      <c r="H785" s="220">
        <v>6286</v>
      </c>
      <c r="I785" s="232">
        <v>12150</v>
      </c>
      <c r="J785" s="231">
        <v>3861</v>
      </c>
      <c r="K785" s="88">
        <f t="shared" si="30"/>
        <v>29361</v>
      </c>
      <c r="L785" s="50"/>
      <c r="M785" s="232">
        <v>237</v>
      </c>
      <c r="N785" s="232">
        <v>0</v>
      </c>
      <c r="O785" s="231">
        <v>0</v>
      </c>
      <c r="P785" s="88">
        <f t="shared" si="31"/>
        <v>237</v>
      </c>
      <c r="Q785" s="50"/>
      <c r="R785" s="232">
        <v>12718</v>
      </c>
      <c r="S785" s="231">
        <v>1416</v>
      </c>
      <c r="T785" s="233">
        <v>14134</v>
      </c>
    </row>
    <row r="786" spans="1:20">
      <c r="A786" s="48">
        <v>98308</v>
      </c>
      <c r="B786" s="49" t="s">
        <v>1479</v>
      </c>
      <c r="C786" s="234">
        <v>2.2399999999999999E-5</v>
      </c>
      <c r="D786" s="234">
        <v>2.37E-5</v>
      </c>
      <c r="E786" s="228">
        <v>53140</v>
      </c>
      <c r="F786" s="228" t="s">
        <v>1924</v>
      </c>
      <c r="G786" s="232">
        <v>8198</v>
      </c>
      <c r="H786" s="220">
        <v>7295</v>
      </c>
      <c r="I786" s="232">
        <v>14101</v>
      </c>
      <c r="J786" s="231">
        <v>7416</v>
      </c>
      <c r="K786" s="88">
        <f t="shared" si="30"/>
        <v>37010</v>
      </c>
      <c r="L786" s="50"/>
      <c r="M786" s="232">
        <v>275</v>
      </c>
      <c r="N786" s="232">
        <v>0</v>
      </c>
      <c r="O786" s="231">
        <v>0</v>
      </c>
      <c r="P786" s="88">
        <f t="shared" si="31"/>
        <v>275</v>
      </c>
      <c r="Q786" s="50"/>
      <c r="R786" s="232">
        <v>14761</v>
      </c>
      <c r="S786" s="231">
        <v>4258</v>
      </c>
      <c r="T786" s="233">
        <v>19019</v>
      </c>
    </row>
    <row r="787" spans="1:20">
      <c r="A787" s="48">
        <v>98311</v>
      </c>
      <c r="B787" s="49" t="s">
        <v>1480</v>
      </c>
      <c r="C787" s="234">
        <v>1.0931999999999999E-3</v>
      </c>
      <c r="D787" s="234">
        <v>1.1536000000000001E-3</v>
      </c>
      <c r="E787" s="228">
        <v>2593444</v>
      </c>
      <c r="F787" s="228" t="s">
        <v>1924</v>
      </c>
      <c r="G787" s="232">
        <v>400107</v>
      </c>
      <c r="H787" s="220">
        <v>356003</v>
      </c>
      <c r="I787" s="232">
        <v>688200</v>
      </c>
      <c r="J787" s="231">
        <v>0</v>
      </c>
      <c r="K787" s="88">
        <f t="shared" si="30"/>
        <v>1444310</v>
      </c>
      <c r="L787" s="50"/>
      <c r="M787" s="232">
        <v>13426</v>
      </c>
      <c r="N787" s="232">
        <v>0</v>
      </c>
      <c r="O787" s="231">
        <v>152880</v>
      </c>
      <c r="P787" s="88">
        <f t="shared" si="31"/>
        <v>166306</v>
      </c>
      <c r="Q787" s="50"/>
      <c r="R787" s="232">
        <v>720389</v>
      </c>
      <c r="S787" s="231">
        <v>-39908</v>
      </c>
      <c r="T787" s="233">
        <v>680481</v>
      </c>
    </row>
    <row r="788" spans="1:20">
      <c r="A788" s="48">
        <v>98313</v>
      </c>
      <c r="B788" s="49" t="s">
        <v>1481</v>
      </c>
      <c r="C788" s="234">
        <v>2.4240000000000001E-4</v>
      </c>
      <c r="D788" s="234">
        <v>2.3560000000000001E-4</v>
      </c>
      <c r="E788" s="228">
        <v>575056</v>
      </c>
      <c r="F788" s="228" t="s">
        <v>1924</v>
      </c>
      <c r="G788" s="232">
        <v>88717</v>
      </c>
      <c r="H788" s="220">
        <v>78938</v>
      </c>
      <c r="I788" s="232">
        <v>152598</v>
      </c>
      <c r="J788" s="231">
        <v>283623</v>
      </c>
      <c r="K788" s="88">
        <f t="shared" si="30"/>
        <v>603876</v>
      </c>
      <c r="L788" s="50"/>
      <c r="M788" s="232">
        <v>2977</v>
      </c>
      <c r="N788" s="232">
        <v>0</v>
      </c>
      <c r="O788" s="231">
        <v>0</v>
      </c>
      <c r="P788" s="88">
        <f t="shared" si="31"/>
        <v>2977</v>
      </c>
      <c r="Q788" s="50"/>
      <c r="R788" s="232">
        <v>159735</v>
      </c>
      <c r="S788" s="231">
        <v>109986</v>
      </c>
      <c r="T788" s="233">
        <v>269721</v>
      </c>
    </row>
    <row r="789" spans="1:20">
      <c r="A789" s="48">
        <v>98321</v>
      </c>
      <c r="B789" s="49" t="s">
        <v>2424</v>
      </c>
      <c r="C789" s="234">
        <v>1.9199999999999999E-5</v>
      </c>
      <c r="D789" s="234">
        <v>2.05E-5</v>
      </c>
      <c r="E789" s="228">
        <v>45549</v>
      </c>
      <c r="F789" s="228" t="s">
        <v>1924</v>
      </c>
      <c r="G789" s="232">
        <v>7027</v>
      </c>
      <c r="H789" s="220">
        <v>6253</v>
      </c>
      <c r="I789" s="232">
        <v>12087</v>
      </c>
      <c r="J789" s="231">
        <v>63</v>
      </c>
      <c r="K789" s="88">
        <f t="shared" si="30"/>
        <v>25430</v>
      </c>
      <c r="L789" s="50"/>
      <c r="M789" s="232">
        <v>236</v>
      </c>
      <c r="N789" s="232">
        <v>0</v>
      </c>
      <c r="O789" s="231">
        <v>1957</v>
      </c>
      <c r="P789" s="88">
        <f t="shared" si="31"/>
        <v>2193</v>
      </c>
      <c r="Q789" s="50"/>
      <c r="R789" s="232">
        <v>12652</v>
      </c>
      <c r="S789" s="231">
        <v>453</v>
      </c>
      <c r="T789" s="233">
        <v>13105</v>
      </c>
    </row>
    <row r="790" spans="1:20">
      <c r="A790" s="48">
        <v>98331</v>
      </c>
      <c r="B790" s="49" t="s">
        <v>2425</v>
      </c>
      <c r="C790" s="234">
        <v>9.3000000000000007E-6</v>
      </c>
      <c r="D790" s="234">
        <v>9.7999999999999993E-6</v>
      </c>
      <c r="E790" s="228">
        <v>22063</v>
      </c>
      <c r="F790" s="228" t="s">
        <v>1924</v>
      </c>
      <c r="G790" s="232">
        <v>3404</v>
      </c>
      <c r="H790" s="220">
        <v>3029</v>
      </c>
      <c r="I790" s="232">
        <v>5855</v>
      </c>
      <c r="J790" s="231">
        <v>3274</v>
      </c>
      <c r="K790" s="88">
        <f t="shared" ref="K790:K859" si="32">G790+H790+I790+J790</f>
        <v>15562</v>
      </c>
      <c r="L790" s="50"/>
      <c r="M790" s="232">
        <v>114</v>
      </c>
      <c r="N790" s="232">
        <v>0</v>
      </c>
      <c r="O790" s="231">
        <v>0</v>
      </c>
      <c r="P790" s="88">
        <f t="shared" ref="P790:P859" si="33">M790+N790+O790</f>
        <v>114</v>
      </c>
      <c r="Q790" s="50"/>
      <c r="R790" s="232">
        <v>6128</v>
      </c>
      <c r="S790" s="231">
        <v>1309</v>
      </c>
      <c r="T790" s="233">
        <v>7437</v>
      </c>
    </row>
    <row r="791" spans="1:20">
      <c r="A791" s="48">
        <v>98401</v>
      </c>
      <c r="B791" s="49" t="s">
        <v>1484</v>
      </c>
      <c r="C791" s="234">
        <v>2.7358E-3</v>
      </c>
      <c r="D791" s="234">
        <v>2.7655000000000002E-3</v>
      </c>
      <c r="E791" s="228">
        <v>6490253</v>
      </c>
      <c r="F791" s="228" t="s">
        <v>1924</v>
      </c>
      <c r="G791" s="232">
        <v>1001292</v>
      </c>
      <c r="H791" s="220">
        <v>890919</v>
      </c>
      <c r="I791" s="232">
        <v>1722263</v>
      </c>
      <c r="J791" s="231">
        <v>198418</v>
      </c>
      <c r="K791" s="88">
        <f t="shared" si="32"/>
        <v>3812892</v>
      </c>
      <c r="L791" s="50"/>
      <c r="M791" s="232">
        <v>33598</v>
      </c>
      <c r="N791" s="232">
        <v>0</v>
      </c>
      <c r="O791" s="231">
        <v>4093</v>
      </c>
      <c r="P791" s="88">
        <f t="shared" si="33"/>
        <v>37691</v>
      </c>
      <c r="Q791" s="50"/>
      <c r="R791" s="232">
        <v>1802818</v>
      </c>
      <c r="S791" s="231">
        <v>81533</v>
      </c>
      <c r="T791" s="233">
        <v>1884351</v>
      </c>
    </row>
    <row r="792" spans="1:20">
      <c r="A792" s="48">
        <v>98404</v>
      </c>
      <c r="B792" s="49" t="s">
        <v>1485</v>
      </c>
      <c r="C792" s="234">
        <v>1.5099999999999999E-5</v>
      </c>
      <c r="D792" s="234">
        <v>1.52E-5</v>
      </c>
      <c r="E792" s="228">
        <v>35822</v>
      </c>
      <c r="F792" s="228" t="s">
        <v>1924</v>
      </c>
      <c r="G792" s="232">
        <v>5527</v>
      </c>
      <c r="H792" s="220">
        <v>4917</v>
      </c>
      <c r="I792" s="232">
        <v>9506</v>
      </c>
      <c r="J792" s="231">
        <v>7686</v>
      </c>
      <c r="K792" s="88">
        <f t="shared" si="32"/>
        <v>27636</v>
      </c>
      <c r="L792" s="50"/>
      <c r="M792" s="232">
        <v>185</v>
      </c>
      <c r="N792" s="232">
        <v>0</v>
      </c>
      <c r="O792" s="231">
        <v>0</v>
      </c>
      <c r="P792" s="88">
        <f t="shared" si="33"/>
        <v>185</v>
      </c>
      <c r="Q792" s="50"/>
      <c r="R792" s="232">
        <v>9950</v>
      </c>
      <c r="S792" s="231">
        <v>2503</v>
      </c>
      <c r="T792" s="233">
        <v>12453</v>
      </c>
    </row>
    <row r="793" spans="1:20">
      <c r="A793" s="48">
        <v>98411</v>
      </c>
      <c r="B793" s="49" t="s">
        <v>1486</v>
      </c>
      <c r="C793" s="234">
        <v>1.9327000000000001E-3</v>
      </c>
      <c r="D793" s="234">
        <v>1.9816E-3</v>
      </c>
      <c r="E793" s="228">
        <v>4585025</v>
      </c>
      <c r="F793" s="228" t="s">
        <v>1924</v>
      </c>
      <c r="G793" s="232">
        <v>707360</v>
      </c>
      <c r="H793" s="220">
        <v>629388</v>
      </c>
      <c r="I793" s="232">
        <v>1216689</v>
      </c>
      <c r="J793" s="231">
        <v>0</v>
      </c>
      <c r="K793" s="88">
        <f t="shared" si="32"/>
        <v>2553437</v>
      </c>
      <c r="L793" s="50"/>
      <c r="M793" s="232">
        <v>23735</v>
      </c>
      <c r="N793" s="232">
        <v>0</v>
      </c>
      <c r="O793" s="231">
        <v>116454</v>
      </c>
      <c r="P793" s="88">
        <f t="shared" si="33"/>
        <v>140189</v>
      </c>
      <c r="Q793" s="50"/>
      <c r="R793" s="232">
        <v>1273597</v>
      </c>
      <c r="S793" s="231">
        <v>-35630</v>
      </c>
      <c r="T793" s="233">
        <v>1237967</v>
      </c>
    </row>
    <row r="794" spans="1:20" s="348" customFormat="1">
      <c r="A794" s="350" t="s">
        <v>3509</v>
      </c>
      <c r="B794" s="351" t="s">
        <v>2477</v>
      </c>
      <c r="C794" s="346">
        <v>4.1600000000000002E-5</v>
      </c>
      <c r="D794" s="346">
        <v>2.83E-5</v>
      </c>
      <c r="E794" s="347">
        <v>98689</v>
      </c>
      <c r="F794" s="347" t="s">
        <v>1924</v>
      </c>
      <c r="G794" s="352">
        <v>15225</v>
      </c>
      <c r="H794" s="352">
        <v>13548</v>
      </c>
      <c r="I794" s="352">
        <v>26188</v>
      </c>
      <c r="J794" s="347">
        <v>18529</v>
      </c>
      <c r="K794" s="352">
        <f t="shared" si="32"/>
        <v>73490</v>
      </c>
      <c r="L794" s="347"/>
      <c r="M794" s="352">
        <v>511</v>
      </c>
      <c r="N794" s="352">
        <v>0</v>
      </c>
      <c r="O794" s="347">
        <v>0</v>
      </c>
      <c r="P794" s="352">
        <f t="shared" si="33"/>
        <v>511</v>
      </c>
      <c r="Q794" s="347"/>
      <c r="R794" s="352">
        <v>27413</v>
      </c>
      <c r="S794" s="347">
        <v>5537</v>
      </c>
      <c r="T794" s="353">
        <v>32950</v>
      </c>
    </row>
    <row r="795" spans="1:20" s="348" customFormat="1">
      <c r="A795" s="350" t="s">
        <v>3510</v>
      </c>
      <c r="B795" s="351" t="s">
        <v>2477</v>
      </c>
      <c r="C795" s="346">
        <v>0</v>
      </c>
      <c r="D795" s="346">
        <v>1.0200000000000001E-5</v>
      </c>
      <c r="E795" s="347">
        <v>0</v>
      </c>
      <c r="F795" s="347" t="s">
        <v>1924</v>
      </c>
      <c r="G795" s="352">
        <v>0</v>
      </c>
      <c r="H795" s="352">
        <v>0</v>
      </c>
      <c r="I795" s="352">
        <v>0</v>
      </c>
      <c r="J795" s="347">
        <v>0</v>
      </c>
      <c r="K795" s="352">
        <v>0</v>
      </c>
      <c r="L795" s="347"/>
      <c r="M795" s="352">
        <v>0</v>
      </c>
      <c r="N795" s="352">
        <v>0</v>
      </c>
      <c r="O795" s="347">
        <v>24349</v>
      </c>
      <c r="P795" s="347">
        <v>24349</v>
      </c>
      <c r="R795" s="352">
        <v>0</v>
      </c>
      <c r="S795" s="347">
        <v>-9271</v>
      </c>
      <c r="T795" s="353">
        <v>-9271</v>
      </c>
    </row>
    <row r="796" spans="1:20" s="225" customFormat="1">
      <c r="A796" s="226">
        <v>98414</v>
      </c>
      <c r="B796" s="227" t="s">
        <v>2477</v>
      </c>
      <c r="C796" s="234">
        <f>SUM(C794:C795)</f>
        <v>4.1600000000000002E-5</v>
      </c>
      <c r="D796" s="234">
        <f t="shared" ref="D796:T796" si="34">SUM(D794:D795)</f>
        <v>3.8500000000000001E-5</v>
      </c>
      <c r="E796" s="231">
        <f t="shared" si="34"/>
        <v>98689</v>
      </c>
      <c r="F796" s="231"/>
      <c r="G796" s="232">
        <f t="shared" si="34"/>
        <v>15225</v>
      </c>
      <c r="H796" s="220">
        <f t="shared" si="34"/>
        <v>13548</v>
      </c>
      <c r="I796" s="232">
        <f t="shared" si="34"/>
        <v>26188</v>
      </c>
      <c r="J796" s="231">
        <f t="shared" si="34"/>
        <v>18529</v>
      </c>
      <c r="K796" s="220">
        <f t="shared" si="34"/>
        <v>73490</v>
      </c>
      <c r="L796" s="231"/>
      <c r="M796" s="232">
        <f t="shared" si="34"/>
        <v>511</v>
      </c>
      <c r="N796" s="232">
        <f t="shared" si="34"/>
        <v>0</v>
      </c>
      <c r="O796" s="231">
        <f t="shared" si="34"/>
        <v>24349</v>
      </c>
      <c r="P796" s="236">
        <f t="shared" si="34"/>
        <v>24860</v>
      </c>
      <c r="R796" s="232">
        <f t="shared" si="34"/>
        <v>27413</v>
      </c>
      <c r="S796" s="231">
        <f t="shared" si="34"/>
        <v>-3734</v>
      </c>
      <c r="T796" s="233">
        <f t="shared" si="34"/>
        <v>23679</v>
      </c>
    </row>
    <row r="797" spans="1:20">
      <c r="A797" s="48">
        <v>98417</v>
      </c>
      <c r="B797" s="49" t="s">
        <v>1488</v>
      </c>
      <c r="C797" s="234">
        <v>2.1500000000000001E-5</v>
      </c>
      <c r="D797" s="234">
        <v>2.2900000000000001E-5</v>
      </c>
      <c r="E797" s="228">
        <v>51005</v>
      </c>
      <c r="F797" s="228" t="s">
        <v>1924</v>
      </c>
      <c r="G797" s="232">
        <v>7869</v>
      </c>
      <c r="H797" s="220">
        <v>7001</v>
      </c>
      <c r="I797" s="232">
        <v>13535</v>
      </c>
      <c r="J797" s="231">
        <v>4701</v>
      </c>
      <c r="K797" s="88">
        <f t="shared" si="32"/>
        <v>33106</v>
      </c>
      <c r="L797" s="50"/>
      <c r="M797" s="232">
        <v>264</v>
      </c>
      <c r="N797" s="232">
        <v>0</v>
      </c>
      <c r="O797" s="231">
        <v>0</v>
      </c>
      <c r="P797" s="88">
        <f t="shared" si="33"/>
        <v>264</v>
      </c>
      <c r="Q797" s="50"/>
      <c r="R797" s="232">
        <v>14168</v>
      </c>
      <c r="S797" s="231">
        <v>1052</v>
      </c>
      <c r="T797" s="233">
        <v>15220</v>
      </c>
    </row>
    <row r="798" spans="1:20">
      <c r="A798" s="48">
        <v>98421</v>
      </c>
      <c r="B798" s="49" t="s">
        <v>2426</v>
      </c>
      <c r="C798" s="234">
        <v>1.06E-4</v>
      </c>
      <c r="D798" s="234">
        <v>8.2700000000000004E-5</v>
      </c>
      <c r="E798" s="228">
        <v>251468</v>
      </c>
      <c r="F798" s="228" t="s">
        <v>1924</v>
      </c>
      <c r="G798" s="232">
        <v>38796</v>
      </c>
      <c r="H798" s="220">
        <v>34519</v>
      </c>
      <c r="I798" s="232">
        <v>66730</v>
      </c>
      <c r="J798" s="231">
        <v>17902</v>
      </c>
      <c r="K798" s="88">
        <f t="shared" si="32"/>
        <v>157947</v>
      </c>
      <c r="L798" s="50"/>
      <c r="M798" s="232">
        <v>1302</v>
      </c>
      <c r="N798" s="232">
        <v>0</v>
      </c>
      <c r="O798" s="231">
        <v>9065</v>
      </c>
      <c r="P798" s="88">
        <f t="shared" si="33"/>
        <v>10367</v>
      </c>
      <c r="Q798" s="50"/>
      <c r="R798" s="232">
        <v>69851</v>
      </c>
      <c r="S798" s="231">
        <v>2976</v>
      </c>
      <c r="T798" s="233">
        <v>72827</v>
      </c>
    </row>
    <row r="799" spans="1:20">
      <c r="A799" s="48">
        <v>98427</v>
      </c>
      <c r="B799" s="49" t="s">
        <v>1490</v>
      </c>
      <c r="C799" s="234">
        <v>3.4000000000000001E-6</v>
      </c>
      <c r="D799" s="234">
        <v>3.9999999999999998E-6</v>
      </c>
      <c r="E799" s="228">
        <v>8066</v>
      </c>
      <c r="F799" s="228" t="s">
        <v>1924</v>
      </c>
      <c r="G799" s="232">
        <v>1244</v>
      </c>
      <c r="H799" s="220">
        <v>1107</v>
      </c>
      <c r="I799" s="232">
        <v>2140</v>
      </c>
      <c r="J799" s="231">
        <v>1747</v>
      </c>
      <c r="K799" s="88">
        <f t="shared" si="32"/>
        <v>6238</v>
      </c>
      <c r="L799" s="50"/>
      <c r="M799" s="232">
        <v>42</v>
      </c>
      <c r="N799" s="232">
        <v>0</v>
      </c>
      <c r="O799" s="231">
        <v>0</v>
      </c>
      <c r="P799" s="88">
        <f t="shared" si="33"/>
        <v>42</v>
      </c>
      <c r="Q799" s="50"/>
      <c r="R799" s="232">
        <v>2241</v>
      </c>
      <c r="S799" s="231">
        <v>707</v>
      </c>
      <c r="T799" s="233">
        <v>2948</v>
      </c>
    </row>
    <row r="800" spans="1:20">
      <c r="A800" s="48">
        <v>98431</v>
      </c>
      <c r="B800" s="49" t="s">
        <v>1491</v>
      </c>
      <c r="C800" s="234">
        <v>1.961E-4</v>
      </c>
      <c r="D800" s="234">
        <v>2.0589999999999999E-4</v>
      </c>
      <c r="E800" s="228">
        <v>465216</v>
      </c>
      <c r="F800" s="228" t="s">
        <v>1924</v>
      </c>
      <c r="G800" s="232">
        <v>71772</v>
      </c>
      <c r="H800" s="220">
        <v>63861</v>
      </c>
      <c r="I800" s="232">
        <v>123450</v>
      </c>
      <c r="J800" s="231">
        <v>0</v>
      </c>
      <c r="K800" s="88">
        <f t="shared" si="32"/>
        <v>259083</v>
      </c>
      <c r="L800" s="50"/>
      <c r="M800" s="232">
        <v>2408</v>
      </c>
      <c r="N800" s="232">
        <v>0</v>
      </c>
      <c r="O800" s="231">
        <v>33499</v>
      </c>
      <c r="P800" s="88">
        <f t="shared" si="33"/>
        <v>35907</v>
      </c>
      <c r="Q800" s="50"/>
      <c r="R800" s="232">
        <v>129225</v>
      </c>
      <c r="S800" s="231">
        <v>-12036</v>
      </c>
      <c r="T800" s="233">
        <v>117189</v>
      </c>
    </row>
    <row r="801" spans="1:20">
      <c r="A801" s="48">
        <v>98441</v>
      </c>
      <c r="B801" s="49" t="s">
        <v>2427</v>
      </c>
      <c r="C801" s="234">
        <v>1.0900000000000001E-4</v>
      </c>
      <c r="D801" s="234">
        <v>8.2700000000000004E-5</v>
      </c>
      <c r="E801" s="228">
        <v>258585</v>
      </c>
      <c r="F801" s="228" t="s">
        <v>1924</v>
      </c>
      <c r="G801" s="232">
        <v>39894</v>
      </c>
      <c r="H801" s="220">
        <v>35496</v>
      </c>
      <c r="I801" s="232">
        <v>68619</v>
      </c>
      <c r="J801" s="231">
        <v>12072</v>
      </c>
      <c r="K801" s="88">
        <f t="shared" si="32"/>
        <v>156081</v>
      </c>
      <c r="L801" s="50"/>
      <c r="M801" s="232">
        <v>1339</v>
      </c>
      <c r="N801" s="232">
        <v>0</v>
      </c>
      <c r="O801" s="231">
        <v>13805</v>
      </c>
      <c r="P801" s="88">
        <f t="shared" si="33"/>
        <v>15144</v>
      </c>
      <c r="Q801" s="50"/>
      <c r="R801" s="232">
        <v>71828</v>
      </c>
      <c r="S801" s="231">
        <v>-5014</v>
      </c>
      <c r="T801" s="233">
        <v>66814</v>
      </c>
    </row>
    <row r="802" spans="1:20">
      <c r="A802" s="48">
        <v>98451</v>
      </c>
      <c r="B802" s="49" t="s">
        <v>2428</v>
      </c>
      <c r="C802" s="234">
        <v>4.88E-5</v>
      </c>
      <c r="D802" s="234">
        <v>5.7000000000000003E-5</v>
      </c>
      <c r="E802" s="228">
        <v>115770</v>
      </c>
      <c r="F802" s="228" t="s">
        <v>1924</v>
      </c>
      <c r="G802" s="232">
        <v>17861</v>
      </c>
      <c r="H802" s="220">
        <v>15892</v>
      </c>
      <c r="I802" s="232">
        <v>30721</v>
      </c>
      <c r="J802" s="231">
        <v>380</v>
      </c>
      <c r="K802" s="88">
        <f t="shared" si="32"/>
        <v>64854</v>
      </c>
      <c r="L802" s="50"/>
      <c r="M802" s="232">
        <v>599</v>
      </c>
      <c r="N802" s="232">
        <v>0</v>
      </c>
      <c r="O802" s="231">
        <v>4433</v>
      </c>
      <c r="P802" s="88">
        <f t="shared" si="33"/>
        <v>5032</v>
      </c>
      <c r="Q802" s="50"/>
      <c r="R802" s="232">
        <v>32158</v>
      </c>
      <c r="S802" s="231">
        <v>-1432</v>
      </c>
      <c r="T802" s="233">
        <v>30726</v>
      </c>
    </row>
    <row r="803" spans="1:20" s="222" customFormat="1">
      <c r="A803" s="223">
        <v>98471</v>
      </c>
      <c r="B803" s="224" t="s">
        <v>2429</v>
      </c>
      <c r="C803" s="234">
        <v>6.1E-6</v>
      </c>
      <c r="D803" s="234">
        <v>0</v>
      </c>
      <c r="E803" s="228">
        <v>14471</v>
      </c>
      <c r="F803" s="228" t="s">
        <v>1924</v>
      </c>
      <c r="G803" s="232">
        <v>2233</v>
      </c>
      <c r="H803" s="220">
        <v>1987</v>
      </c>
      <c r="I803" s="232">
        <v>3840</v>
      </c>
      <c r="J803" s="231">
        <v>5121</v>
      </c>
      <c r="K803" s="220">
        <f t="shared" si="32"/>
        <v>13181</v>
      </c>
      <c r="L803" s="221"/>
      <c r="M803" s="232">
        <v>75</v>
      </c>
      <c r="N803" s="232">
        <v>0</v>
      </c>
      <c r="O803" s="231">
        <v>0</v>
      </c>
      <c r="P803" s="220">
        <f t="shared" si="33"/>
        <v>75</v>
      </c>
      <c r="Q803" s="221"/>
      <c r="R803" s="232">
        <v>4020</v>
      </c>
      <c r="S803" s="231">
        <v>1280</v>
      </c>
      <c r="T803" s="233">
        <v>5300</v>
      </c>
    </row>
    <row r="804" spans="1:20">
      <c r="A804" s="48">
        <v>98481</v>
      </c>
      <c r="B804" s="49" t="s">
        <v>2430</v>
      </c>
      <c r="C804" s="234">
        <v>7.2000000000000002E-5</v>
      </c>
      <c r="D804" s="234">
        <v>6.3899999999999995E-5</v>
      </c>
      <c r="E804" s="228">
        <v>170809</v>
      </c>
      <c r="F804" s="228" t="s">
        <v>1924</v>
      </c>
      <c r="G804" s="232">
        <v>26352</v>
      </c>
      <c r="H804" s="220">
        <v>23447</v>
      </c>
      <c r="I804" s="232">
        <v>45326</v>
      </c>
      <c r="J804" s="231">
        <v>2185</v>
      </c>
      <c r="K804" s="88">
        <f t="shared" si="32"/>
        <v>97310</v>
      </c>
      <c r="L804" s="50"/>
      <c r="M804" s="232">
        <v>884</v>
      </c>
      <c r="N804" s="232">
        <v>0</v>
      </c>
      <c r="O804" s="231">
        <v>4175</v>
      </c>
      <c r="P804" s="88">
        <f t="shared" si="33"/>
        <v>5059</v>
      </c>
      <c r="Q804" s="50"/>
      <c r="R804" s="232">
        <v>47446</v>
      </c>
      <c r="S804" s="231">
        <v>495</v>
      </c>
      <c r="T804" s="233">
        <v>47941</v>
      </c>
    </row>
    <row r="805" spans="1:20">
      <c r="A805" s="48">
        <v>98501</v>
      </c>
      <c r="B805" s="49" t="s">
        <v>1495</v>
      </c>
      <c r="C805" s="234">
        <v>1.6239E-3</v>
      </c>
      <c r="D805" s="234">
        <v>1.6022E-3</v>
      </c>
      <c r="E805" s="228">
        <v>3852446</v>
      </c>
      <c r="F805" s="228" t="s">
        <v>1924</v>
      </c>
      <c r="G805" s="232">
        <v>594341</v>
      </c>
      <c r="H805" s="220">
        <v>528826</v>
      </c>
      <c r="I805" s="232">
        <v>1022291</v>
      </c>
      <c r="J805" s="231">
        <v>103062</v>
      </c>
      <c r="K805" s="88">
        <f t="shared" si="32"/>
        <v>2248520</v>
      </c>
      <c r="L805" s="50"/>
      <c r="M805" s="232">
        <v>19943</v>
      </c>
      <c r="N805" s="232">
        <v>0</v>
      </c>
      <c r="O805" s="231">
        <v>0</v>
      </c>
      <c r="P805" s="88">
        <f t="shared" si="33"/>
        <v>19943</v>
      </c>
      <c r="Q805" s="50"/>
      <c r="R805" s="232">
        <v>1070106</v>
      </c>
      <c r="S805" s="231">
        <v>31738</v>
      </c>
      <c r="T805" s="233">
        <v>1101844</v>
      </c>
    </row>
    <row r="806" spans="1:20">
      <c r="A806" s="48">
        <v>98511</v>
      </c>
      <c r="B806" s="49" t="s">
        <v>2431</v>
      </c>
      <c r="C806" s="234">
        <v>4.0000000000000003E-5</v>
      </c>
      <c r="D806" s="234">
        <v>4.8000000000000001E-5</v>
      </c>
      <c r="E806" s="228">
        <v>94894</v>
      </c>
      <c r="F806" s="228" t="s">
        <v>1924</v>
      </c>
      <c r="G806" s="232">
        <v>14640</v>
      </c>
      <c r="H806" s="220">
        <v>13026</v>
      </c>
      <c r="I806" s="232">
        <v>25181</v>
      </c>
      <c r="J806" s="231">
        <v>4106</v>
      </c>
      <c r="K806" s="88">
        <f t="shared" si="32"/>
        <v>56953</v>
      </c>
      <c r="L806" s="50"/>
      <c r="M806" s="232">
        <v>491</v>
      </c>
      <c r="N806" s="232">
        <v>0</v>
      </c>
      <c r="O806" s="231">
        <v>3548</v>
      </c>
      <c r="P806" s="88">
        <f t="shared" si="33"/>
        <v>4039</v>
      </c>
      <c r="Q806" s="50"/>
      <c r="R806" s="232">
        <v>26359</v>
      </c>
      <c r="S806" s="231">
        <v>-9955</v>
      </c>
      <c r="T806" s="233">
        <v>16404</v>
      </c>
    </row>
    <row r="807" spans="1:20">
      <c r="A807" s="48">
        <v>98517</v>
      </c>
      <c r="B807" s="49" t="s">
        <v>1497</v>
      </c>
      <c r="C807" s="234">
        <v>2.3E-6</v>
      </c>
      <c r="D807" s="234">
        <v>2.3E-6</v>
      </c>
      <c r="E807" s="228">
        <v>5456</v>
      </c>
      <c r="F807" s="228" t="s">
        <v>1924</v>
      </c>
      <c r="G807" s="232">
        <v>842</v>
      </c>
      <c r="H807" s="220">
        <v>749</v>
      </c>
      <c r="I807" s="232">
        <v>1448</v>
      </c>
      <c r="J807" s="231">
        <v>2754</v>
      </c>
      <c r="K807" s="88">
        <f t="shared" si="32"/>
        <v>5793</v>
      </c>
      <c r="L807" s="50"/>
      <c r="M807" s="232">
        <v>28</v>
      </c>
      <c r="N807" s="232">
        <v>0</v>
      </c>
      <c r="O807" s="231">
        <v>0</v>
      </c>
      <c r="P807" s="88">
        <f t="shared" si="33"/>
        <v>28</v>
      </c>
      <c r="Q807" s="50"/>
      <c r="R807" s="232">
        <v>1516</v>
      </c>
      <c r="S807" s="231">
        <v>1018</v>
      </c>
      <c r="T807" s="233">
        <v>2534</v>
      </c>
    </row>
    <row r="808" spans="1:20">
      <c r="A808" s="48">
        <v>98521</v>
      </c>
      <c r="B808" s="49" t="s">
        <v>1498</v>
      </c>
      <c r="C808" s="234">
        <v>6.4780000000000003E-4</v>
      </c>
      <c r="D808" s="234">
        <v>6.6180000000000004E-4</v>
      </c>
      <c r="E808" s="228">
        <v>1536803</v>
      </c>
      <c r="F808" s="228" t="s">
        <v>1924</v>
      </c>
      <c r="G808" s="232">
        <v>237092</v>
      </c>
      <c r="H808" s="220">
        <v>210957</v>
      </c>
      <c r="I808" s="232">
        <v>407808</v>
      </c>
      <c r="J808" s="231">
        <v>26095</v>
      </c>
      <c r="K808" s="88">
        <f t="shared" si="32"/>
        <v>881952</v>
      </c>
      <c r="L808" s="50"/>
      <c r="M808" s="232">
        <v>7956</v>
      </c>
      <c r="N808" s="232">
        <v>0</v>
      </c>
      <c r="O808" s="231">
        <v>52330</v>
      </c>
      <c r="P808" s="88">
        <f t="shared" si="33"/>
        <v>60286</v>
      </c>
      <c r="Q808" s="50"/>
      <c r="R808" s="232">
        <v>426883</v>
      </c>
      <c r="S808" s="231">
        <v>-16971</v>
      </c>
      <c r="T808" s="233">
        <v>409912</v>
      </c>
    </row>
    <row r="809" spans="1:20">
      <c r="A809" s="48">
        <v>98601</v>
      </c>
      <c r="B809" s="49" t="s">
        <v>1499</v>
      </c>
      <c r="C809" s="234">
        <v>3.4765999999999998E-3</v>
      </c>
      <c r="D809" s="234">
        <v>3.4148E-3</v>
      </c>
      <c r="E809" s="228">
        <v>8247684</v>
      </c>
      <c r="F809" s="228" t="s">
        <v>1924</v>
      </c>
      <c r="G809" s="232">
        <v>1272422</v>
      </c>
      <c r="H809" s="220">
        <v>1132162</v>
      </c>
      <c r="I809" s="232">
        <v>2188617</v>
      </c>
      <c r="J809" s="231">
        <v>0</v>
      </c>
      <c r="K809" s="88">
        <f t="shared" si="32"/>
        <v>4593201</v>
      </c>
      <c r="L809" s="50"/>
      <c r="M809" s="232">
        <v>42696</v>
      </c>
      <c r="N809" s="232">
        <v>0</v>
      </c>
      <c r="O809" s="231">
        <v>132455</v>
      </c>
      <c r="P809" s="88">
        <f t="shared" si="33"/>
        <v>175151</v>
      </c>
      <c r="Q809" s="50"/>
      <c r="R809" s="232">
        <v>2290986</v>
      </c>
      <c r="S809" s="231">
        <v>-95496</v>
      </c>
      <c r="T809" s="233">
        <v>2195490</v>
      </c>
    </row>
    <row r="810" spans="1:20" s="348" customFormat="1">
      <c r="A810" s="350" t="s">
        <v>3511</v>
      </c>
      <c r="B810" s="351" t="s">
        <v>1500</v>
      </c>
      <c r="C810" s="346">
        <v>1.29E-5</v>
      </c>
      <c r="D810" s="346">
        <v>1.34E-5</v>
      </c>
      <c r="E810" s="347">
        <v>30603</v>
      </c>
      <c r="F810" s="347" t="s">
        <v>1924</v>
      </c>
      <c r="G810" s="352">
        <v>4721</v>
      </c>
      <c r="H810" s="352">
        <v>4201</v>
      </c>
      <c r="I810" s="352">
        <v>8121</v>
      </c>
      <c r="J810" s="347">
        <v>4763</v>
      </c>
      <c r="K810" s="352">
        <f t="shared" si="32"/>
        <v>21806</v>
      </c>
      <c r="L810" s="347"/>
      <c r="M810" s="352">
        <v>158</v>
      </c>
      <c r="N810" s="352">
        <v>0</v>
      </c>
      <c r="O810" s="347">
        <v>395</v>
      </c>
      <c r="P810" s="352">
        <f t="shared" si="33"/>
        <v>553</v>
      </c>
      <c r="Q810" s="347"/>
      <c r="R810" s="352">
        <v>8501</v>
      </c>
      <c r="S810" s="347">
        <v>2178</v>
      </c>
      <c r="T810" s="353">
        <v>10679</v>
      </c>
    </row>
    <row r="811" spans="1:20" s="348" customFormat="1">
      <c r="A811" s="350" t="s">
        <v>3512</v>
      </c>
      <c r="B811" s="351" t="s">
        <v>1616</v>
      </c>
      <c r="C811" s="346">
        <v>0</v>
      </c>
      <c r="D811" s="346">
        <v>0</v>
      </c>
      <c r="E811" s="347">
        <v>0</v>
      </c>
      <c r="F811" s="347" t="s">
        <v>1924</v>
      </c>
      <c r="G811" s="352">
        <v>0</v>
      </c>
      <c r="H811" s="352">
        <v>0</v>
      </c>
      <c r="I811" s="352">
        <v>0</v>
      </c>
      <c r="J811" s="347">
        <v>1056</v>
      </c>
      <c r="K811" s="352">
        <f>G811+H811+I811+J811</f>
        <v>1056</v>
      </c>
      <c r="L811" s="347"/>
      <c r="M811" s="352">
        <v>0</v>
      </c>
      <c r="N811" s="352">
        <v>0</v>
      </c>
      <c r="O811" s="347">
        <v>3238</v>
      </c>
      <c r="P811" s="352">
        <f>M811+N811+O811</f>
        <v>3238</v>
      </c>
      <c r="Q811" s="347"/>
      <c r="R811" s="352">
        <v>0</v>
      </c>
      <c r="S811" s="347">
        <v>171</v>
      </c>
      <c r="T811" s="353">
        <v>171</v>
      </c>
    </row>
    <row r="812" spans="1:20" s="225" customFormat="1">
      <c r="A812" s="226">
        <v>98604</v>
      </c>
      <c r="B812" s="227" t="s">
        <v>1500</v>
      </c>
      <c r="C812" s="234">
        <f>SUM(C810:C811)</f>
        <v>1.29E-5</v>
      </c>
      <c r="D812" s="234">
        <f t="shared" ref="D812:T812" si="35">SUM(D810:D811)</f>
        <v>1.34E-5</v>
      </c>
      <c r="E812" s="231">
        <f t="shared" si="35"/>
        <v>30603</v>
      </c>
      <c r="F812" s="231"/>
      <c r="G812" s="232">
        <f t="shared" si="35"/>
        <v>4721</v>
      </c>
      <c r="H812" s="220">
        <f t="shared" si="35"/>
        <v>4201</v>
      </c>
      <c r="I812" s="232">
        <f t="shared" si="35"/>
        <v>8121</v>
      </c>
      <c r="J812" s="231">
        <f t="shared" si="35"/>
        <v>5819</v>
      </c>
      <c r="K812" s="220">
        <f t="shared" si="35"/>
        <v>22862</v>
      </c>
      <c r="L812" s="231"/>
      <c r="M812" s="232">
        <f t="shared" si="35"/>
        <v>158</v>
      </c>
      <c r="N812" s="232">
        <f t="shared" si="35"/>
        <v>0</v>
      </c>
      <c r="O812" s="231">
        <f t="shared" si="35"/>
        <v>3633</v>
      </c>
      <c r="P812" s="220">
        <f t="shared" si="35"/>
        <v>3791</v>
      </c>
      <c r="Q812" s="231"/>
      <c r="R812" s="232">
        <f t="shared" si="35"/>
        <v>8501</v>
      </c>
      <c r="S812" s="231">
        <f t="shared" si="35"/>
        <v>2349</v>
      </c>
      <c r="T812" s="233">
        <f t="shared" si="35"/>
        <v>10850</v>
      </c>
    </row>
    <row r="813" spans="1:20">
      <c r="A813" s="48">
        <v>98607</v>
      </c>
      <c r="B813" s="49" t="s">
        <v>1501</v>
      </c>
      <c r="C813" s="234">
        <v>6.9E-6</v>
      </c>
      <c r="D813" s="234">
        <v>5.9000000000000003E-6</v>
      </c>
      <c r="E813" s="228">
        <v>16369</v>
      </c>
      <c r="F813" s="228" t="s">
        <v>1924</v>
      </c>
      <c r="G813" s="232">
        <v>2525</v>
      </c>
      <c r="H813" s="220">
        <v>2247</v>
      </c>
      <c r="I813" s="232">
        <v>4344</v>
      </c>
      <c r="J813" s="231">
        <v>1428</v>
      </c>
      <c r="K813" s="88">
        <f t="shared" si="32"/>
        <v>10544</v>
      </c>
      <c r="L813" s="50"/>
      <c r="M813" s="232">
        <v>85</v>
      </c>
      <c r="N813" s="232">
        <v>0</v>
      </c>
      <c r="O813" s="231">
        <v>602</v>
      </c>
      <c r="P813" s="88">
        <f t="shared" si="33"/>
        <v>687</v>
      </c>
      <c r="Q813" s="50"/>
      <c r="R813" s="232">
        <v>4547</v>
      </c>
      <c r="S813" s="231">
        <v>-512</v>
      </c>
      <c r="T813" s="233">
        <v>4035</v>
      </c>
    </row>
    <row r="814" spans="1:20">
      <c r="A814" s="48">
        <v>98608</v>
      </c>
      <c r="B814" s="49" t="s">
        <v>1502</v>
      </c>
      <c r="C814" s="234">
        <v>4.3099999999999997E-5</v>
      </c>
      <c r="D814" s="234">
        <v>4.9200000000000003E-5</v>
      </c>
      <c r="E814" s="228">
        <v>102248</v>
      </c>
      <c r="F814" s="228" t="s">
        <v>1924</v>
      </c>
      <c r="G814" s="232">
        <v>15774</v>
      </c>
      <c r="H814" s="220">
        <v>14035</v>
      </c>
      <c r="I814" s="232">
        <v>27133</v>
      </c>
      <c r="J814" s="231">
        <v>3440</v>
      </c>
      <c r="K814" s="88">
        <f t="shared" si="32"/>
        <v>60382</v>
      </c>
      <c r="L814" s="50"/>
      <c r="M814" s="232">
        <v>529</v>
      </c>
      <c r="N814" s="232">
        <v>0</v>
      </c>
      <c r="O814" s="231">
        <v>4498</v>
      </c>
      <c r="P814" s="88">
        <f t="shared" si="33"/>
        <v>5027</v>
      </c>
      <c r="Q814" s="50"/>
      <c r="R814" s="232">
        <v>28402</v>
      </c>
      <c r="S814" s="231">
        <v>961</v>
      </c>
      <c r="T814" s="233">
        <v>29363</v>
      </c>
    </row>
    <row r="815" spans="1:20">
      <c r="A815" s="48">
        <v>98611</v>
      </c>
      <c r="B815" s="49" t="s">
        <v>2432</v>
      </c>
      <c r="C815" s="234">
        <v>1.143E-4</v>
      </c>
      <c r="D815" s="234">
        <v>8.6899999999999998E-5</v>
      </c>
      <c r="E815" s="228">
        <v>271159</v>
      </c>
      <c r="F815" s="228" t="s">
        <v>1924</v>
      </c>
      <c r="G815" s="232">
        <v>41833</v>
      </c>
      <c r="H815" s="220">
        <v>37222</v>
      </c>
      <c r="I815" s="232">
        <v>71955</v>
      </c>
      <c r="J815" s="231">
        <v>27552</v>
      </c>
      <c r="K815" s="88">
        <f t="shared" si="32"/>
        <v>178562</v>
      </c>
      <c r="L815" s="50"/>
      <c r="M815" s="232">
        <v>1404</v>
      </c>
      <c r="N815" s="232">
        <v>0</v>
      </c>
      <c r="O815" s="231">
        <v>6191</v>
      </c>
      <c r="P815" s="88">
        <f t="shared" si="33"/>
        <v>7595</v>
      </c>
      <c r="Q815" s="50"/>
      <c r="R815" s="232">
        <v>75321</v>
      </c>
      <c r="S815" s="231">
        <v>6163</v>
      </c>
      <c r="T815" s="233">
        <v>81484</v>
      </c>
    </row>
    <row r="816" spans="1:20">
      <c r="A816" s="48">
        <v>98621</v>
      </c>
      <c r="B816" s="49" t="s">
        <v>2433</v>
      </c>
      <c r="C816" s="234">
        <v>1.371E-4</v>
      </c>
      <c r="D816" s="234">
        <v>1.314E-4</v>
      </c>
      <c r="E816" s="228">
        <v>325248</v>
      </c>
      <c r="F816" s="228" t="s">
        <v>1924</v>
      </c>
      <c r="G816" s="232">
        <v>50178</v>
      </c>
      <c r="H816" s="220">
        <v>44647</v>
      </c>
      <c r="I816" s="232">
        <v>86308</v>
      </c>
      <c r="J816" s="231">
        <v>229</v>
      </c>
      <c r="K816" s="88">
        <f t="shared" si="32"/>
        <v>181362</v>
      </c>
      <c r="L816" s="50"/>
      <c r="M816" s="232">
        <v>1684</v>
      </c>
      <c r="N816" s="232">
        <v>0</v>
      </c>
      <c r="O816" s="231">
        <v>6715</v>
      </c>
      <c r="P816" s="88">
        <f t="shared" si="33"/>
        <v>8399</v>
      </c>
      <c r="Q816" s="50"/>
      <c r="R816" s="232">
        <v>90345</v>
      </c>
      <c r="S816" s="231">
        <v>-3483</v>
      </c>
      <c r="T816" s="233">
        <v>86862</v>
      </c>
    </row>
    <row r="817" spans="1:20">
      <c r="A817" s="48">
        <v>98627</v>
      </c>
      <c r="B817" s="49" t="s">
        <v>1505</v>
      </c>
      <c r="C817" s="234">
        <v>8.3000000000000002E-6</v>
      </c>
      <c r="D817" s="234">
        <v>8.6999999999999997E-6</v>
      </c>
      <c r="E817" s="228">
        <v>19690</v>
      </c>
      <c r="F817" s="228" t="s">
        <v>1924</v>
      </c>
      <c r="G817" s="232">
        <v>3038</v>
      </c>
      <c r="H817" s="220">
        <v>2703</v>
      </c>
      <c r="I817" s="232">
        <v>5225</v>
      </c>
      <c r="J817" s="231">
        <v>206</v>
      </c>
      <c r="K817" s="88">
        <f t="shared" si="32"/>
        <v>11172</v>
      </c>
      <c r="L817" s="50"/>
      <c r="M817" s="232">
        <v>102</v>
      </c>
      <c r="N817" s="232">
        <v>0</v>
      </c>
      <c r="O817" s="231">
        <v>1443</v>
      </c>
      <c r="P817" s="88">
        <f t="shared" si="33"/>
        <v>1545</v>
      </c>
      <c r="Q817" s="50"/>
      <c r="R817" s="232">
        <v>5469</v>
      </c>
      <c r="S817" s="231">
        <v>-389</v>
      </c>
      <c r="T817" s="233">
        <v>5080</v>
      </c>
    </row>
    <row r="818" spans="1:20">
      <c r="A818" s="48">
        <v>98631</v>
      </c>
      <c r="B818" s="49" t="s">
        <v>1506</v>
      </c>
      <c r="C818" s="234">
        <v>1.0238000000000001E-3</v>
      </c>
      <c r="D818" s="234">
        <v>1.0051999999999999E-3</v>
      </c>
      <c r="E818" s="228">
        <v>2428804</v>
      </c>
      <c r="F818" s="228" t="s">
        <v>1924</v>
      </c>
      <c r="G818" s="232">
        <v>374707</v>
      </c>
      <c r="H818" s="220">
        <v>333403</v>
      </c>
      <c r="I818" s="232">
        <v>644511</v>
      </c>
      <c r="J818" s="231">
        <v>18991</v>
      </c>
      <c r="K818" s="88">
        <f t="shared" si="32"/>
        <v>1371612</v>
      </c>
      <c r="L818" s="50"/>
      <c r="M818" s="232">
        <v>12573</v>
      </c>
      <c r="N818" s="232">
        <v>0</v>
      </c>
      <c r="O818" s="231">
        <v>60399</v>
      </c>
      <c r="P818" s="88">
        <f t="shared" si="33"/>
        <v>72972</v>
      </c>
      <c r="Q818" s="50"/>
      <c r="R818" s="232">
        <v>674657</v>
      </c>
      <c r="S818" s="231">
        <v>-36968</v>
      </c>
      <c r="T818" s="233">
        <v>637689</v>
      </c>
    </row>
    <row r="819" spans="1:20">
      <c r="A819" s="48">
        <v>98637</v>
      </c>
      <c r="B819" s="49" t="s">
        <v>1507</v>
      </c>
      <c r="C819" s="234">
        <v>1.9000000000000001E-5</v>
      </c>
      <c r="D819" s="234">
        <v>2.0800000000000001E-5</v>
      </c>
      <c r="E819" s="228">
        <v>45074</v>
      </c>
      <c r="F819" s="228" t="s">
        <v>1924</v>
      </c>
      <c r="G819" s="232">
        <v>6954</v>
      </c>
      <c r="H819" s="220">
        <v>6187</v>
      </c>
      <c r="I819" s="232">
        <v>11961</v>
      </c>
      <c r="J819" s="231">
        <v>9802</v>
      </c>
      <c r="K819" s="88">
        <f t="shared" si="32"/>
        <v>34904</v>
      </c>
      <c r="L819" s="50"/>
      <c r="M819" s="232">
        <v>233</v>
      </c>
      <c r="N819" s="232">
        <v>0</v>
      </c>
      <c r="O819" s="231">
        <v>0</v>
      </c>
      <c r="P819" s="88">
        <f t="shared" si="33"/>
        <v>233</v>
      </c>
      <c r="Q819" s="50"/>
      <c r="R819" s="232">
        <v>12520</v>
      </c>
      <c r="S819" s="231">
        <v>4352</v>
      </c>
      <c r="T819" s="233">
        <v>16872</v>
      </c>
    </row>
    <row r="820" spans="1:20">
      <c r="A820" s="48">
        <v>98641</v>
      </c>
      <c r="B820" s="49" t="s">
        <v>2434</v>
      </c>
      <c r="C820" s="234">
        <v>2.9080000000000002E-4</v>
      </c>
      <c r="D820" s="234">
        <v>2.965E-4</v>
      </c>
      <c r="E820" s="228">
        <v>689877</v>
      </c>
      <c r="F820" s="228" t="s">
        <v>1924</v>
      </c>
      <c r="G820" s="232">
        <v>106432</v>
      </c>
      <c r="H820" s="220">
        <v>94699</v>
      </c>
      <c r="I820" s="232">
        <v>183067</v>
      </c>
      <c r="J820" s="231">
        <v>1967</v>
      </c>
      <c r="K820" s="88">
        <f t="shared" si="32"/>
        <v>386165</v>
      </c>
      <c r="L820" s="50"/>
      <c r="M820" s="232">
        <v>3571</v>
      </c>
      <c r="N820" s="232">
        <v>0</v>
      </c>
      <c r="O820" s="231">
        <v>5099</v>
      </c>
      <c r="P820" s="88">
        <f t="shared" si="33"/>
        <v>8670</v>
      </c>
      <c r="Q820" s="50"/>
      <c r="R820" s="232">
        <v>191629</v>
      </c>
      <c r="S820" s="231">
        <v>68</v>
      </c>
      <c r="T820" s="233">
        <v>191697</v>
      </c>
    </row>
    <row r="822" spans="1:20">
      <c r="A822" s="48">
        <v>98701</v>
      </c>
      <c r="B822" s="49" t="s">
        <v>1509</v>
      </c>
      <c r="C822" s="234">
        <v>1.0870000000000001E-3</v>
      </c>
      <c r="D822" s="234">
        <v>1.1333999999999999E-3</v>
      </c>
      <c r="E822" s="228">
        <v>2578736</v>
      </c>
      <c r="F822" s="228" t="s">
        <v>1924</v>
      </c>
      <c r="G822" s="232">
        <v>397838</v>
      </c>
      <c r="H822" s="220">
        <v>353983</v>
      </c>
      <c r="I822" s="232">
        <v>684297</v>
      </c>
      <c r="J822" s="231">
        <v>2231</v>
      </c>
      <c r="K822" s="88">
        <f t="shared" si="32"/>
        <v>1438349</v>
      </c>
      <c r="L822" s="50"/>
      <c r="M822" s="232">
        <v>13349</v>
      </c>
      <c r="N822" s="232">
        <v>0</v>
      </c>
      <c r="O822" s="231">
        <v>78824</v>
      </c>
      <c r="P822" s="88">
        <f t="shared" si="33"/>
        <v>92173</v>
      </c>
      <c r="Q822" s="50"/>
      <c r="R822" s="232">
        <v>716304</v>
      </c>
      <c r="S822" s="231">
        <v>-35842</v>
      </c>
      <c r="T822" s="233">
        <v>680462</v>
      </c>
    </row>
    <row r="823" spans="1:20">
      <c r="A823" s="48">
        <v>98711</v>
      </c>
      <c r="B823" s="49" t="s">
        <v>2435</v>
      </c>
      <c r="C823" s="234">
        <v>1.6679999999999999E-4</v>
      </c>
      <c r="D823" s="234">
        <v>1.8369999999999999E-4</v>
      </c>
      <c r="E823" s="228">
        <v>395707</v>
      </c>
      <c r="F823" s="228" t="s">
        <v>1924</v>
      </c>
      <c r="G823" s="232">
        <v>61048</v>
      </c>
      <c r="H823" s="220">
        <v>54318</v>
      </c>
      <c r="I823" s="232">
        <v>105005</v>
      </c>
      <c r="J823" s="231">
        <v>0</v>
      </c>
      <c r="K823" s="88">
        <f t="shared" si="32"/>
        <v>220371</v>
      </c>
      <c r="L823" s="50"/>
      <c r="M823" s="232">
        <v>2048</v>
      </c>
      <c r="N823" s="232">
        <v>0</v>
      </c>
      <c r="O823" s="231">
        <v>31195</v>
      </c>
      <c r="P823" s="88">
        <f t="shared" si="33"/>
        <v>33243</v>
      </c>
      <c r="Q823" s="50"/>
      <c r="R823" s="232">
        <v>109917</v>
      </c>
      <c r="S823" s="231">
        <v>-9096</v>
      </c>
      <c r="T823" s="233">
        <v>100821</v>
      </c>
    </row>
    <row r="824" spans="1:20">
      <c r="A824" s="48">
        <v>98717</v>
      </c>
      <c r="B824" s="49" t="s">
        <v>1511</v>
      </c>
      <c r="C824" s="234">
        <v>1.9599999999999999E-5</v>
      </c>
      <c r="D824" s="234">
        <v>2.1100000000000001E-5</v>
      </c>
      <c r="E824" s="228">
        <v>46498</v>
      </c>
      <c r="F824" s="228" t="s">
        <v>1924</v>
      </c>
      <c r="G824" s="232">
        <v>7174</v>
      </c>
      <c r="H824" s="220">
        <v>6383</v>
      </c>
      <c r="I824" s="232">
        <v>12339</v>
      </c>
      <c r="J824" s="231">
        <v>928</v>
      </c>
      <c r="K824" s="88">
        <f t="shared" si="32"/>
        <v>26824</v>
      </c>
      <c r="L824" s="50"/>
      <c r="M824" s="232">
        <v>241</v>
      </c>
      <c r="N824" s="232">
        <v>0</v>
      </c>
      <c r="O824" s="231">
        <v>2000</v>
      </c>
      <c r="P824" s="88">
        <f t="shared" si="33"/>
        <v>2241</v>
      </c>
      <c r="Q824" s="50"/>
      <c r="R824" s="232">
        <v>12916</v>
      </c>
      <c r="S824" s="231">
        <v>-184</v>
      </c>
      <c r="T824" s="233">
        <v>12732</v>
      </c>
    </row>
    <row r="825" spans="1:20">
      <c r="A825" s="48">
        <v>98801</v>
      </c>
      <c r="B825" s="49" t="s">
        <v>1512</v>
      </c>
      <c r="C825" s="234">
        <v>2.1394999999999999E-3</v>
      </c>
      <c r="D825" s="234">
        <v>2.2859E-3</v>
      </c>
      <c r="E825" s="229">
        <v>5075626</v>
      </c>
      <c r="F825" s="229" t="s">
        <v>1924</v>
      </c>
      <c r="G825" s="232">
        <v>783048</v>
      </c>
      <c r="H825" s="220">
        <v>696732</v>
      </c>
      <c r="I825" s="232">
        <v>1346875</v>
      </c>
      <c r="J825" s="231">
        <v>90601</v>
      </c>
      <c r="K825" s="88">
        <f t="shared" si="32"/>
        <v>2917256</v>
      </c>
      <c r="L825" s="50"/>
      <c r="M825" s="232">
        <v>26275</v>
      </c>
      <c r="N825" s="232">
        <v>0</v>
      </c>
      <c r="O825" s="231">
        <v>76084</v>
      </c>
      <c r="P825" s="88">
        <f t="shared" si="33"/>
        <v>102359</v>
      </c>
      <c r="Q825" s="50"/>
      <c r="R825" s="232">
        <v>1409873</v>
      </c>
      <c r="S825" s="231">
        <v>36447</v>
      </c>
      <c r="T825" s="233">
        <v>1446320</v>
      </c>
    </row>
    <row r="826" spans="1:20">
      <c r="A826" s="48">
        <v>98811</v>
      </c>
      <c r="B826" s="49" t="s">
        <v>1513</v>
      </c>
      <c r="C826" s="234">
        <v>6.332E-4</v>
      </c>
      <c r="D826" s="234">
        <v>6.5160000000000001E-4</v>
      </c>
      <c r="E826" s="229">
        <v>1502167</v>
      </c>
      <c r="F826" s="229" t="s">
        <v>1924</v>
      </c>
      <c r="G826" s="232">
        <v>231749</v>
      </c>
      <c r="H826" s="220">
        <v>206203</v>
      </c>
      <c r="I826" s="232">
        <v>398617</v>
      </c>
      <c r="J826" s="231">
        <v>10392</v>
      </c>
      <c r="K826" s="88">
        <f t="shared" si="32"/>
        <v>846961</v>
      </c>
      <c r="L826" s="50"/>
      <c r="M826" s="232">
        <v>7776</v>
      </c>
      <c r="N826" s="232">
        <v>0</v>
      </c>
      <c r="O826" s="231">
        <v>32558</v>
      </c>
      <c r="P826" s="88">
        <f t="shared" si="33"/>
        <v>40334</v>
      </c>
      <c r="Q826" s="50"/>
      <c r="R826" s="232">
        <v>417262</v>
      </c>
      <c r="S826" s="231">
        <v>1421</v>
      </c>
      <c r="T826" s="233">
        <v>418683</v>
      </c>
    </row>
    <row r="827" spans="1:20">
      <c r="A827" s="48">
        <v>98817</v>
      </c>
      <c r="B827" s="49" t="s">
        <v>1514</v>
      </c>
      <c r="C827" s="234">
        <v>2.4000000000000001E-5</v>
      </c>
      <c r="D827" s="234">
        <v>2.5199999999999999E-5</v>
      </c>
      <c r="E827" s="229">
        <v>56936</v>
      </c>
      <c r="F827" s="229" t="s">
        <v>1924</v>
      </c>
      <c r="G827" s="232">
        <v>8784</v>
      </c>
      <c r="H827" s="220">
        <v>7815</v>
      </c>
      <c r="I827" s="232">
        <v>15109</v>
      </c>
      <c r="J827" s="231">
        <v>3830</v>
      </c>
      <c r="K827" s="88">
        <f t="shared" si="32"/>
        <v>35538</v>
      </c>
      <c r="L827" s="50"/>
      <c r="M827" s="232">
        <v>295</v>
      </c>
      <c r="N827" s="232">
        <v>0</v>
      </c>
      <c r="O827" s="231">
        <v>0</v>
      </c>
      <c r="P827" s="88">
        <f t="shared" si="33"/>
        <v>295</v>
      </c>
      <c r="Q827" s="50"/>
      <c r="R827" s="232">
        <v>15815</v>
      </c>
      <c r="S827" s="231">
        <v>-955</v>
      </c>
      <c r="T827" s="233">
        <v>14860</v>
      </c>
    </row>
    <row r="828" spans="1:20">
      <c r="A828" s="48">
        <v>98901</v>
      </c>
      <c r="B828" s="49" t="s">
        <v>1515</v>
      </c>
      <c r="C828" s="234">
        <v>3.0289999999999999E-4</v>
      </c>
      <c r="D828" s="234">
        <v>3.5050000000000001E-4</v>
      </c>
      <c r="E828" s="229">
        <v>718582</v>
      </c>
      <c r="F828" s="229" t="s">
        <v>1924</v>
      </c>
      <c r="G828" s="232">
        <v>110860</v>
      </c>
      <c r="H828" s="220">
        <v>98640</v>
      </c>
      <c r="I828" s="232">
        <v>190684</v>
      </c>
      <c r="J828" s="231">
        <v>5223</v>
      </c>
      <c r="K828" s="88">
        <f t="shared" si="32"/>
        <v>405407</v>
      </c>
      <c r="L828" s="50"/>
      <c r="M828" s="232">
        <v>3720</v>
      </c>
      <c r="N828" s="232">
        <v>0</v>
      </c>
      <c r="O828" s="231">
        <v>23281</v>
      </c>
      <c r="P828" s="88">
        <f t="shared" si="33"/>
        <v>27001</v>
      </c>
      <c r="Q828" s="50"/>
      <c r="R828" s="232">
        <v>199603</v>
      </c>
      <c r="S828" s="231">
        <v>-4531</v>
      </c>
      <c r="T828" s="233">
        <v>195072</v>
      </c>
    </row>
    <row r="829" spans="1:20">
      <c r="A829" s="48">
        <v>98904</v>
      </c>
      <c r="B829" s="49" t="s">
        <v>1516</v>
      </c>
      <c r="C829" s="234">
        <v>3.9999999999999998E-6</v>
      </c>
      <c r="D829" s="234">
        <v>2.7999999999999999E-6</v>
      </c>
      <c r="E829" s="229">
        <v>9489</v>
      </c>
      <c r="F829" s="229" t="s">
        <v>1924</v>
      </c>
      <c r="G829" s="232">
        <v>1464</v>
      </c>
      <c r="H829" s="220">
        <v>1303</v>
      </c>
      <c r="I829" s="232">
        <v>2518</v>
      </c>
      <c r="J829" s="231">
        <v>762</v>
      </c>
      <c r="K829" s="88">
        <f t="shared" si="32"/>
        <v>6047</v>
      </c>
      <c r="L829" s="50"/>
      <c r="M829" s="232">
        <v>49</v>
      </c>
      <c r="N829" s="232">
        <v>0</v>
      </c>
      <c r="O829" s="231">
        <v>1361</v>
      </c>
      <c r="P829" s="88">
        <f t="shared" si="33"/>
        <v>1410</v>
      </c>
      <c r="Q829" s="50"/>
      <c r="R829" s="232">
        <v>2636</v>
      </c>
      <c r="S829" s="231">
        <v>-163</v>
      </c>
      <c r="T829" s="233">
        <v>2473</v>
      </c>
    </row>
    <row r="830" spans="1:20">
      <c r="A830" s="48">
        <v>98911</v>
      </c>
      <c r="B830" s="49" t="s">
        <v>2436</v>
      </c>
      <c r="C830" s="234">
        <v>2.8900000000000001E-5</v>
      </c>
      <c r="D830" s="234">
        <v>2.7900000000000001E-5</v>
      </c>
      <c r="E830" s="229">
        <v>68561</v>
      </c>
      <c r="F830" s="229" t="s">
        <v>1924</v>
      </c>
      <c r="G830" s="232">
        <v>10577</v>
      </c>
      <c r="H830" s="220">
        <v>9411</v>
      </c>
      <c r="I830" s="232">
        <v>18193</v>
      </c>
      <c r="J830" s="231">
        <v>12643</v>
      </c>
      <c r="K830" s="88">
        <f t="shared" si="32"/>
        <v>50824</v>
      </c>
      <c r="L830" s="50"/>
      <c r="M830" s="232">
        <v>355</v>
      </c>
      <c r="N830" s="232">
        <v>0</v>
      </c>
      <c r="O830" s="231">
        <v>0</v>
      </c>
      <c r="P830" s="88">
        <f t="shared" si="33"/>
        <v>355</v>
      </c>
      <c r="Q830" s="50"/>
      <c r="R830" s="232">
        <v>19044</v>
      </c>
      <c r="S830" s="231">
        <v>6908</v>
      </c>
      <c r="T830" s="233">
        <v>25952</v>
      </c>
    </row>
    <row r="831" spans="1:20">
      <c r="A831" s="48">
        <v>99001</v>
      </c>
      <c r="B831" s="49" t="s">
        <v>1518</v>
      </c>
      <c r="C831" s="234">
        <v>8.2226E-3</v>
      </c>
      <c r="D831" s="234">
        <v>8.0949000000000004E-3</v>
      </c>
      <c r="E831" s="229">
        <v>19506819</v>
      </c>
      <c r="F831" s="229" t="s">
        <v>1924</v>
      </c>
      <c r="G831" s="232">
        <v>3009439</v>
      </c>
      <c r="H831" s="220">
        <v>2677706</v>
      </c>
      <c r="I831" s="232">
        <v>5176357</v>
      </c>
      <c r="J831" s="231">
        <v>209363</v>
      </c>
      <c r="K831" s="88">
        <f t="shared" si="32"/>
        <v>11072865</v>
      </c>
      <c r="L831" s="50"/>
      <c r="M831" s="232">
        <v>100982</v>
      </c>
      <c r="N831" s="232">
        <v>0</v>
      </c>
      <c r="O831" s="231">
        <v>0</v>
      </c>
      <c r="P831" s="88">
        <f t="shared" si="33"/>
        <v>100982</v>
      </c>
      <c r="Q831" s="50"/>
      <c r="R831" s="232">
        <v>5418471</v>
      </c>
      <c r="S831" s="231">
        <v>195187</v>
      </c>
      <c r="T831" s="233">
        <v>5613658</v>
      </c>
    </row>
    <row r="832" spans="1:20">
      <c r="A832" s="48">
        <v>99011</v>
      </c>
      <c r="B832" s="49" t="s">
        <v>1519</v>
      </c>
      <c r="C832" s="234">
        <v>3.8665000000000001E-3</v>
      </c>
      <c r="D832" s="234">
        <v>3.8736999999999999E-3</v>
      </c>
      <c r="E832" s="229">
        <v>9172660</v>
      </c>
      <c r="F832" s="229" t="s">
        <v>1924</v>
      </c>
      <c r="G832" s="232">
        <v>1415124</v>
      </c>
      <c r="H832" s="220">
        <v>1259134</v>
      </c>
      <c r="I832" s="232">
        <v>2434070</v>
      </c>
      <c r="J832" s="231">
        <v>838</v>
      </c>
      <c r="K832" s="88">
        <f t="shared" si="32"/>
        <v>5109166</v>
      </c>
      <c r="L832" s="50"/>
      <c r="M832" s="232">
        <v>47484</v>
      </c>
      <c r="N832" s="232">
        <v>0</v>
      </c>
      <c r="O832" s="231">
        <v>184222</v>
      </c>
      <c r="P832" s="88">
        <f t="shared" si="33"/>
        <v>231706</v>
      </c>
      <c r="Q832" s="50"/>
      <c r="R832" s="232">
        <v>2547919</v>
      </c>
      <c r="S832" s="231">
        <v>-211857</v>
      </c>
      <c r="T832" s="233">
        <v>2336062</v>
      </c>
    </row>
    <row r="833" spans="1:20">
      <c r="A833" s="48">
        <v>99013</v>
      </c>
      <c r="B833" s="49" t="s">
        <v>1520</v>
      </c>
      <c r="C833" s="234">
        <v>4.8900000000000003E-5</v>
      </c>
      <c r="D833" s="234">
        <v>5.5999999999999999E-5</v>
      </c>
      <c r="E833" s="229">
        <v>116008</v>
      </c>
      <c r="F833" s="229" t="s">
        <v>1924</v>
      </c>
      <c r="G833" s="232">
        <v>17897</v>
      </c>
      <c r="H833" s="220">
        <v>15924</v>
      </c>
      <c r="I833" s="232">
        <v>30784</v>
      </c>
      <c r="J833" s="231">
        <v>0</v>
      </c>
      <c r="K833" s="88">
        <f t="shared" si="32"/>
        <v>64605</v>
      </c>
      <c r="L833" s="50"/>
      <c r="M833" s="232">
        <v>601</v>
      </c>
      <c r="N833" s="232">
        <v>0</v>
      </c>
      <c r="O833" s="231">
        <v>6685</v>
      </c>
      <c r="P833" s="88">
        <f t="shared" si="33"/>
        <v>7286</v>
      </c>
      <c r="Q833" s="50"/>
      <c r="R833" s="232">
        <v>32224</v>
      </c>
      <c r="S833" s="231">
        <v>-3150</v>
      </c>
      <c r="T833" s="233">
        <v>29074</v>
      </c>
    </row>
    <row r="834" spans="1:20">
      <c r="A834" s="48">
        <v>99014</v>
      </c>
      <c r="B834" s="49" t="s">
        <v>1521</v>
      </c>
      <c r="C834" s="234">
        <v>1.45E-5</v>
      </c>
      <c r="D834" s="234">
        <v>2.0100000000000001E-5</v>
      </c>
      <c r="E834" s="229">
        <v>34399</v>
      </c>
      <c r="F834" s="229" t="s">
        <v>1924</v>
      </c>
      <c r="G834" s="232">
        <v>5307</v>
      </c>
      <c r="H834" s="220">
        <v>4722</v>
      </c>
      <c r="I834" s="232">
        <v>9128</v>
      </c>
      <c r="J834" s="231">
        <v>8368</v>
      </c>
      <c r="K834" s="88">
        <f t="shared" si="32"/>
        <v>27525</v>
      </c>
      <c r="L834" s="50"/>
      <c r="M834" s="232">
        <v>178</v>
      </c>
      <c r="N834" s="232">
        <v>0</v>
      </c>
      <c r="O834" s="231">
        <v>225</v>
      </c>
      <c r="P834" s="88">
        <f t="shared" si="33"/>
        <v>403</v>
      </c>
      <c r="Q834" s="50"/>
      <c r="R834" s="232">
        <v>9555</v>
      </c>
      <c r="S834" s="231">
        <v>4279</v>
      </c>
      <c r="T834" s="233">
        <v>13834</v>
      </c>
    </row>
    <row r="835" spans="1:20">
      <c r="A835" s="48">
        <v>99017</v>
      </c>
      <c r="B835" s="49" t="s">
        <v>1522</v>
      </c>
      <c r="C835" s="234">
        <v>4.5599999999999997E-5</v>
      </c>
      <c r="D835" s="234">
        <v>5.13E-5</v>
      </c>
      <c r="E835" s="229">
        <v>108179</v>
      </c>
      <c r="F835" s="229" t="s">
        <v>1924</v>
      </c>
      <c r="G835" s="232">
        <v>16689</v>
      </c>
      <c r="H835" s="220">
        <v>14849</v>
      </c>
      <c r="I835" s="232">
        <v>28706</v>
      </c>
      <c r="J835" s="231">
        <v>5362</v>
      </c>
      <c r="K835" s="88">
        <f t="shared" si="32"/>
        <v>65606</v>
      </c>
      <c r="L835" s="50"/>
      <c r="M835" s="232">
        <v>560</v>
      </c>
      <c r="N835" s="232">
        <v>0</v>
      </c>
      <c r="O835" s="231">
        <v>3293</v>
      </c>
      <c r="P835" s="88">
        <f t="shared" si="33"/>
        <v>3853</v>
      </c>
      <c r="Q835" s="50"/>
      <c r="R835" s="232">
        <v>30049</v>
      </c>
      <c r="S835" s="231">
        <v>-1419</v>
      </c>
      <c r="T835" s="233">
        <v>28630</v>
      </c>
    </row>
    <row r="836" spans="1:20">
      <c r="A836" s="48">
        <v>99021</v>
      </c>
      <c r="B836" s="49" t="s">
        <v>2437</v>
      </c>
      <c r="C836" s="234">
        <v>1.3200000000000001E-4</v>
      </c>
      <c r="D836" s="234">
        <v>1.5249999999999999E-4</v>
      </c>
      <c r="E836" s="229">
        <v>313149</v>
      </c>
      <c r="F836" s="229" t="s">
        <v>1924</v>
      </c>
      <c r="G836" s="232">
        <v>48311</v>
      </c>
      <c r="H836" s="220">
        <v>42986</v>
      </c>
      <c r="I836" s="232">
        <v>83098</v>
      </c>
      <c r="J836" s="231">
        <v>7338</v>
      </c>
      <c r="K836" s="88">
        <f t="shared" si="32"/>
        <v>181733</v>
      </c>
      <c r="L836" s="50"/>
      <c r="M836" s="232">
        <v>1621</v>
      </c>
      <c r="N836" s="232">
        <v>0</v>
      </c>
      <c r="O836" s="231">
        <v>13687</v>
      </c>
      <c r="P836" s="88">
        <f t="shared" si="33"/>
        <v>15308</v>
      </c>
      <c r="Q836" s="50"/>
      <c r="R836" s="232">
        <v>86984</v>
      </c>
      <c r="S836" s="231">
        <v>669</v>
      </c>
      <c r="T836" s="233">
        <v>87653</v>
      </c>
    </row>
    <row r="837" spans="1:20">
      <c r="A837" s="48">
        <v>99022</v>
      </c>
      <c r="B837" s="49" t="s">
        <v>2438</v>
      </c>
      <c r="C837" s="234">
        <v>9.9000000000000001E-6</v>
      </c>
      <c r="D837" s="234">
        <v>1.08E-5</v>
      </c>
      <c r="E837" s="229">
        <v>23486</v>
      </c>
      <c r="F837" s="229" t="s">
        <v>1924</v>
      </c>
      <c r="G837" s="232">
        <v>3623</v>
      </c>
      <c r="H837" s="220">
        <v>3224</v>
      </c>
      <c r="I837" s="232">
        <v>6232</v>
      </c>
      <c r="J837" s="231">
        <v>10975</v>
      </c>
      <c r="K837" s="88">
        <f t="shared" si="32"/>
        <v>24054</v>
      </c>
      <c r="L837" s="50"/>
      <c r="M837" s="232">
        <v>122</v>
      </c>
      <c r="N837" s="232">
        <v>0</v>
      </c>
      <c r="O837" s="231">
        <v>0</v>
      </c>
      <c r="P837" s="88">
        <f t="shared" si="33"/>
        <v>122</v>
      </c>
      <c r="Q837" s="50"/>
      <c r="R837" s="232">
        <v>6524</v>
      </c>
      <c r="S837" s="231">
        <v>4162</v>
      </c>
      <c r="T837" s="233">
        <v>10686</v>
      </c>
    </row>
    <row r="838" spans="1:20">
      <c r="A838" s="48">
        <v>99031</v>
      </c>
      <c r="B838" s="49" t="s">
        <v>2439</v>
      </c>
      <c r="C838" s="234">
        <v>1.3669999999999999E-4</v>
      </c>
      <c r="D838" s="234">
        <v>1.518E-4</v>
      </c>
      <c r="E838" s="229">
        <v>324299</v>
      </c>
      <c r="F838" s="229" t="s">
        <v>1924</v>
      </c>
      <c r="G838" s="232">
        <v>50032</v>
      </c>
      <c r="H838" s="220">
        <v>44516</v>
      </c>
      <c r="I838" s="232">
        <v>86056</v>
      </c>
      <c r="J838" s="231">
        <v>1850</v>
      </c>
      <c r="K838" s="88">
        <f t="shared" si="32"/>
        <v>182454</v>
      </c>
      <c r="L838" s="50"/>
      <c r="M838" s="232">
        <v>1679</v>
      </c>
      <c r="N838" s="232">
        <v>0</v>
      </c>
      <c r="O838" s="231">
        <v>27900</v>
      </c>
      <c r="P838" s="88">
        <f t="shared" si="33"/>
        <v>29579</v>
      </c>
      <c r="Q838" s="50"/>
      <c r="R838" s="232">
        <v>90082</v>
      </c>
      <c r="S838" s="231">
        <v>-15810</v>
      </c>
      <c r="T838" s="233">
        <v>74272</v>
      </c>
    </row>
    <row r="839" spans="1:20">
      <c r="A839" s="48">
        <v>99041</v>
      </c>
      <c r="B839" s="49" t="s">
        <v>2440</v>
      </c>
      <c r="C839" s="234">
        <v>6.6399999999999999E-4</v>
      </c>
      <c r="D839" s="234">
        <v>6.3500000000000004E-4</v>
      </c>
      <c r="E839" s="229">
        <v>1575235</v>
      </c>
      <c r="F839" s="229" t="s">
        <v>1924</v>
      </c>
      <c r="G839" s="232">
        <v>243021</v>
      </c>
      <c r="H839" s="220">
        <v>216233</v>
      </c>
      <c r="I839" s="232">
        <v>418007</v>
      </c>
      <c r="J839" s="231">
        <v>24066</v>
      </c>
      <c r="K839" s="88">
        <f t="shared" si="32"/>
        <v>901327</v>
      </c>
      <c r="L839" s="50"/>
      <c r="M839" s="232">
        <v>8155</v>
      </c>
      <c r="N839" s="232">
        <v>0</v>
      </c>
      <c r="O839" s="231">
        <v>13122</v>
      </c>
      <c r="P839" s="88">
        <f t="shared" si="33"/>
        <v>21277</v>
      </c>
      <c r="Q839" s="50"/>
      <c r="R839" s="232">
        <v>437558</v>
      </c>
      <c r="S839" s="231">
        <v>25573</v>
      </c>
      <c r="T839" s="233">
        <v>463131</v>
      </c>
    </row>
    <row r="840" spans="1:20">
      <c r="A840" s="48">
        <v>99047</v>
      </c>
      <c r="B840" s="49" t="s">
        <v>1526</v>
      </c>
      <c r="C840" s="234">
        <v>1.56E-5</v>
      </c>
      <c r="D840" s="234">
        <v>1.42E-5</v>
      </c>
      <c r="E840" s="229">
        <v>37009</v>
      </c>
      <c r="F840" s="229" t="s">
        <v>1924</v>
      </c>
      <c r="G840" s="232">
        <v>5710</v>
      </c>
      <c r="H840" s="220">
        <v>5080</v>
      </c>
      <c r="I840" s="232">
        <v>9821</v>
      </c>
      <c r="J840" s="231">
        <v>6776</v>
      </c>
      <c r="K840" s="88">
        <f t="shared" si="32"/>
        <v>27387</v>
      </c>
      <c r="L840" s="50"/>
      <c r="M840" s="232">
        <v>192</v>
      </c>
      <c r="N840" s="232">
        <v>0</v>
      </c>
      <c r="O840" s="231">
        <v>0</v>
      </c>
      <c r="P840" s="88">
        <f t="shared" si="33"/>
        <v>192</v>
      </c>
      <c r="Q840" s="50"/>
      <c r="R840" s="232">
        <v>10280</v>
      </c>
      <c r="S840" s="231">
        <v>3015</v>
      </c>
      <c r="T840" s="233">
        <v>13295</v>
      </c>
    </row>
    <row r="841" spans="1:20">
      <c r="A841" s="48">
        <v>99051</v>
      </c>
      <c r="B841" s="49" t="s">
        <v>2441</v>
      </c>
      <c r="C841" s="234">
        <v>3.5330000000000002E-4</v>
      </c>
      <c r="D841" s="234">
        <v>3.5359999999999998E-4</v>
      </c>
      <c r="E841" s="229">
        <v>838148</v>
      </c>
      <c r="F841" s="229" t="s">
        <v>1924</v>
      </c>
      <c r="G841" s="232">
        <v>129306</v>
      </c>
      <c r="H841" s="220">
        <v>115053</v>
      </c>
      <c r="I841" s="232">
        <v>222412</v>
      </c>
      <c r="J841" s="231">
        <v>6035</v>
      </c>
      <c r="K841" s="88">
        <f t="shared" si="32"/>
        <v>472806</v>
      </c>
      <c r="L841" s="50"/>
      <c r="M841" s="232">
        <v>4339</v>
      </c>
      <c r="N841" s="232">
        <v>0</v>
      </c>
      <c r="O841" s="231">
        <v>13404</v>
      </c>
      <c r="P841" s="88">
        <f t="shared" si="33"/>
        <v>17743</v>
      </c>
      <c r="Q841" s="50"/>
      <c r="R841" s="232">
        <v>232815</v>
      </c>
      <c r="S841" s="231">
        <v>1887</v>
      </c>
      <c r="T841" s="233">
        <v>234702</v>
      </c>
    </row>
    <row r="842" spans="1:20">
      <c r="A842" s="48">
        <v>99061</v>
      </c>
      <c r="B842" s="49" t="s">
        <v>2442</v>
      </c>
      <c r="C842" s="234">
        <v>7.5000000000000002E-6</v>
      </c>
      <c r="D842" s="234">
        <v>8.1000000000000004E-6</v>
      </c>
      <c r="E842" s="229">
        <v>17793</v>
      </c>
      <c r="F842" s="229" t="s">
        <v>1924</v>
      </c>
      <c r="G842" s="232">
        <v>2745</v>
      </c>
      <c r="H842" s="220">
        <v>2443</v>
      </c>
      <c r="I842" s="232">
        <v>4721</v>
      </c>
      <c r="J842" s="231">
        <v>7969</v>
      </c>
      <c r="K842" s="88">
        <f t="shared" si="32"/>
        <v>17878</v>
      </c>
      <c r="L842" s="50"/>
      <c r="M842" s="232">
        <v>92</v>
      </c>
      <c r="N842" s="232">
        <v>0</v>
      </c>
      <c r="O842" s="231">
        <v>0</v>
      </c>
      <c r="P842" s="88">
        <f t="shared" si="33"/>
        <v>92</v>
      </c>
      <c r="Q842" s="50"/>
      <c r="R842" s="232">
        <v>4942</v>
      </c>
      <c r="S842" s="231">
        <v>3513</v>
      </c>
      <c r="T842" s="233">
        <v>8455</v>
      </c>
    </row>
    <row r="843" spans="1:20">
      <c r="A843" s="48">
        <v>99071</v>
      </c>
      <c r="B843" s="49" t="s">
        <v>2443</v>
      </c>
      <c r="C843" s="234">
        <v>2.2799999999999999E-5</v>
      </c>
      <c r="D843" s="234">
        <v>3.04E-5</v>
      </c>
      <c r="E843" s="229">
        <v>54089</v>
      </c>
      <c r="F843" s="229" t="s">
        <v>1924</v>
      </c>
      <c r="G843" s="232">
        <v>8345</v>
      </c>
      <c r="H843" s="220">
        <v>7425</v>
      </c>
      <c r="I843" s="232">
        <v>14353</v>
      </c>
      <c r="J843" s="231">
        <v>614</v>
      </c>
      <c r="K843" s="88">
        <f t="shared" si="32"/>
        <v>30737</v>
      </c>
      <c r="L843" s="50"/>
      <c r="M843" s="232">
        <v>280</v>
      </c>
      <c r="N843" s="232">
        <v>0</v>
      </c>
      <c r="O843" s="231">
        <v>4179</v>
      </c>
      <c r="P843" s="88">
        <f t="shared" si="33"/>
        <v>4459</v>
      </c>
      <c r="Q843" s="50"/>
      <c r="R843" s="232">
        <v>15025</v>
      </c>
      <c r="S843" s="231">
        <v>-1950</v>
      </c>
      <c r="T843" s="233">
        <v>13075</v>
      </c>
    </row>
    <row r="844" spans="1:20">
      <c r="A844" s="48">
        <v>99081</v>
      </c>
      <c r="B844" s="49" t="s">
        <v>2485</v>
      </c>
      <c r="C844" s="234">
        <v>1.4600000000000001E-5</v>
      </c>
      <c r="D844" s="234">
        <v>1.1E-5</v>
      </c>
      <c r="E844" s="229">
        <v>34636</v>
      </c>
      <c r="F844" s="229" t="s">
        <v>1924</v>
      </c>
      <c r="G844" s="232">
        <v>5344</v>
      </c>
      <c r="H844" s="220">
        <v>4755</v>
      </c>
      <c r="I844" s="232">
        <v>9191</v>
      </c>
      <c r="J844" s="231">
        <v>5866</v>
      </c>
      <c r="K844" s="88">
        <f t="shared" si="32"/>
        <v>25156</v>
      </c>
      <c r="L844" s="50"/>
      <c r="M844" s="232">
        <v>179</v>
      </c>
      <c r="N844" s="232">
        <v>0</v>
      </c>
      <c r="O844" s="231">
        <v>8362</v>
      </c>
      <c r="P844" s="88">
        <f t="shared" si="33"/>
        <v>8541</v>
      </c>
      <c r="Q844" s="50"/>
      <c r="R844" s="232">
        <v>9621</v>
      </c>
      <c r="S844" s="231">
        <v>-1818</v>
      </c>
      <c r="T844" s="233">
        <v>7803</v>
      </c>
    </row>
    <row r="845" spans="1:20">
      <c r="A845" s="48">
        <v>99091</v>
      </c>
      <c r="B845" s="49" t="s">
        <v>2486</v>
      </c>
      <c r="C845" s="234">
        <v>3.4999999999999999E-6</v>
      </c>
      <c r="D845" s="234">
        <v>3.9999999999999998E-6</v>
      </c>
      <c r="E845" s="229">
        <v>8303</v>
      </c>
      <c r="F845" s="229" t="s">
        <v>1924</v>
      </c>
      <c r="G845" s="232">
        <v>1281</v>
      </c>
      <c r="H845" s="220">
        <v>1140</v>
      </c>
      <c r="I845" s="232">
        <v>2203</v>
      </c>
      <c r="J845" s="231">
        <v>5036</v>
      </c>
      <c r="K845" s="88">
        <f t="shared" si="32"/>
        <v>9660</v>
      </c>
      <c r="L845" s="50"/>
      <c r="M845" s="232">
        <v>43</v>
      </c>
      <c r="N845" s="232">
        <v>0</v>
      </c>
      <c r="O845" s="231">
        <v>0</v>
      </c>
      <c r="P845" s="88">
        <f t="shared" si="33"/>
        <v>43</v>
      </c>
      <c r="Q845" s="50"/>
      <c r="R845" s="232">
        <v>2306</v>
      </c>
      <c r="S845" s="231">
        <v>-1327</v>
      </c>
      <c r="T845" s="233">
        <v>979</v>
      </c>
    </row>
    <row r="846" spans="1:20">
      <c r="A846" s="48">
        <v>99101</v>
      </c>
      <c r="B846" s="49" t="s">
        <v>1532</v>
      </c>
      <c r="C846" s="234">
        <v>2.1986000000000002E-3</v>
      </c>
      <c r="D846" s="234">
        <v>2.1724000000000001E-3</v>
      </c>
      <c r="E846" s="229">
        <v>5215831</v>
      </c>
      <c r="F846" s="229" t="s">
        <v>1924</v>
      </c>
      <c r="G846" s="232">
        <v>804679</v>
      </c>
      <c r="H846" s="220">
        <v>715979</v>
      </c>
      <c r="I846" s="232">
        <v>1384080</v>
      </c>
      <c r="J846" s="231">
        <v>34730</v>
      </c>
      <c r="K846" s="88">
        <f t="shared" si="32"/>
        <v>2939468</v>
      </c>
      <c r="L846" s="50"/>
      <c r="M846" s="232">
        <v>27001</v>
      </c>
      <c r="N846" s="232">
        <v>0</v>
      </c>
      <c r="O846" s="231">
        <v>54085</v>
      </c>
      <c r="P846" s="88">
        <f t="shared" si="33"/>
        <v>81086</v>
      </c>
      <c r="Q846" s="50"/>
      <c r="R846" s="232">
        <v>1448818</v>
      </c>
      <c r="S846" s="231">
        <v>-23157</v>
      </c>
      <c r="T846" s="233">
        <v>1425661</v>
      </c>
    </row>
    <row r="847" spans="1:20">
      <c r="A847" s="48">
        <v>99104</v>
      </c>
      <c r="B847" s="49" t="s">
        <v>1533</v>
      </c>
      <c r="C847" s="234">
        <v>3.4E-5</v>
      </c>
      <c r="D847" s="234">
        <v>3.3500000000000001E-5</v>
      </c>
      <c r="E847" s="229">
        <v>80660</v>
      </c>
      <c r="F847" s="229" t="s">
        <v>1924</v>
      </c>
      <c r="G847" s="232">
        <v>12444</v>
      </c>
      <c r="H847" s="220">
        <v>11072</v>
      </c>
      <c r="I847" s="232">
        <v>21404</v>
      </c>
      <c r="J847" s="231">
        <v>16545</v>
      </c>
      <c r="K847" s="88">
        <f t="shared" si="32"/>
        <v>61465</v>
      </c>
      <c r="L847" s="50"/>
      <c r="M847" s="232">
        <v>418</v>
      </c>
      <c r="N847" s="232">
        <v>0</v>
      </c>
      <c r="O847" s="231">
        <v>0</v>
      </c>
      <c r="P847" s="88">
        <f t="shared" si="33"/>
        <v>418</v>
      </c>
      <c r="Q847" s="50"/>
      <c r="R847" s="232">
        <v>22405</v>
      </c>
      <c r="S847" s="231">
        <v>8025</v>
      </c>
      <c r="T847" s="233">
        <v>30430</v>
      </c>
    </row>
    <row r="848" spans="1:20">
      <c r="A848" s="48">
        <v>99109</v>
      </c>
      <c r="B848" s="49" t="s">
        <v>1534</v>
      </c>
      <c r="C848" s="234">
        <v>1.194E-4</v>
      </c>
      <c r="D848" s="234">
        <v>1.2339999999999999E-4</v>
      </c>
      <c r="E848" s="229">
        <v>283258</v>
      </c>
      <c r="F848" s="229" t="s">
        <v>1924</v>
      </c>
      <c r="G848" s="232">
        <v>43700</v>
      </c>
      <c r="H848" s="220">
        <v>38883</v>
      </c>
      <c r="I848" s="232">
        <v>75166</v>
      </c>
      <c r="J848" s="231">
        <v>3815</v>
      </c>
      <c r="K848" s="88">
        <f t="shared" si="32"/>
        <v>161564</v>
      </c>
      <c r="L848" s="50"/>
      <c r="M848" s="232">
        <v>1466</v>
      </c>
      <c r="N848" s="232">
        <v>0</v>
      </c>
      <c r="O848" s="231">
        <v>8952</v>
      </c>
      <c r="P848" s="88">
        <f t="shared" si="33"/>
        <v>10418</v>
      </c>
      <c r="Q848" s="50"/>
      <c r="R848" s="232">
        <v>78681</v>
      </c>
      <c r="S848" s="231">
        <v>-6025</v>
      </c>
      <c r="T848" s="233">
        <v>72656</v>
      </c>
    </row>
    <row r="849" spans="1:20">
      <c r="A849" s="48">
        <v>99110</v>
      </c>
      <c r="B849" s="49" t="s">
        <v>1535</v>
      </c>
      <c r="C849" s="234">
        <v>1.75E-4</v>
      </c>
      <c r="D849" s="234">
        <v>1.7670000000000001E-4</v>
      </c>
      <c r="E849" s="229">
        <v>415160</v>
      </c>
      <c r="F849" s="229" t="s">
        <v>1924</v>
      </c>
      <c r="G849" s="232">
        <v>64049</v>
      </c>
      <c r="H849" s="220">
        <v>56989</v>
      </c>
      <c r="I849" s="232">
        <v>110167</v>
      </c>
      <c r="J849" s="231">
        <v>70943</v>
      </c>
      <c r="K849" s="88">
        <f t="shared" si="32"/>
        <v>302148</v>
      </c>
      <c r="L849" s="50"/>
      <c r="M849" s="232">
        <v>2149</v>
      </c>
      <c r="N849" s="232">
        <v>0</v>
      </c>
      <c r="O849" s="231">
        <v>0</v>
      </c>
      <c r="P849" s="88">
        <f t="shared" si="33"/>
        <v>2149</v>
      </c>
      <c r="Q849" s="50"/>
      <c r="R849" s="232">
        <v>115320</v>
      </c>
      <c r="S849" s="231">
        <v>34935</v>
      </c>
      <c r="T849" s="233">
        <v>150255</v>
      </c>
    </row>
    <row r="850" spans="1:20">
      <c r="A850" s="48">
        <v>99111</v>
      </c>
      <c r="B850" s="49" t="s">
        <v>1536</v>
      </c>
      <c r="C850" s="234">
        <v>1.3067E-3</v>
      </c>
      <c r="D850" s="234">
        <v>1.2618E-3</v>
      </c>
      <c r="E850" s="229">
        <v>3099939</v>
      </c>
      <c r="F850" s="229" t="s">
        <v>1924</v>
      </c>
      <c r="G850" s="232">
        <v>478247</v>
      </c>
      <c r="H850" s="220">
        <v>425529</v>
      </c>
      <c r="I850" s="232">
        <v>822604</v>
      </c>
      <c r="J850" s="231">
        <v>0</v>
      </c>
      <c r="K850" s="88">
        <f t="shared" si="32"/>
        <v>1726380</v>
      </c>
      <c r="L850" s="50"/>
      <c r="M850" s="232">
        <v>16048</v>
      </c>
      <c r="N850" s="232">
        <v>0</v>
      </c>
      <c r="O850" s="231">
        <v>85364</v>
      </c>
      <c r="P850" s="88">
        <f t="shared" si="33"/>
        <v>101412</v>
      </c>
      <c r="Q850" s="50"/>
      <c r="R850" s="232">
        <v>861080</v>
      </c>
      <c r="S850" s="231">
        <v>-70799</v>
      </c>
      <c r="T850" s="233">
        <v>790281</v>
      </c>
    </row>
    <row r="851" spans="1:20">
      <c r="A851" s="48">
        <v>99201</v>
      </c>
      <c r="B851" s="49" t="s">
        <v>1537</v>
      </c>
      <c r="C851" s="234">
        <v>3.4217999999999998E-2</v>
      </c>
      <c r="D851" s="234">
        <v>3.3297199999999999E-2</v>
      </c>
      <c r="E851" s="229">
        <v>81176799</v>
      </c>
      <c r="F851" s="229" t="s">
        <v>1924</v>
      </c>
      <c r="G851" s="232">
        <v>12523651</v>
      </c>
      <c r="H851" s="220">
        <v>11143160</v>
      </c>
      <c r="I851" s="232">
        <v>21541189</v>
      </c>
      <c r="J851" s="231">
        <v>1400637</v>
      </c>
      <c r="K851" s="88">
        <f t="shared" si="32"/>
        <v>46608637</v>
      </c>
      <c r="L851" s="50"/>
      <c r="M851" s="232">
        <v>420231</v>
      </c>
      <c r="N851" s="232">
        <v>0</v>
      </c>
      <c r="O851" s="231">
        <v>0</v>
      </c>
      <c r="P851" s="88">
        <f t="shared" si="33"/>
        <v>420231</v>
      </c>
      <c r="Q851" s="50"/>
      <c r="R851" s="232">
        <v>22548738</v>
      </c>
      <c r="S851" s="231">
        <v>386921</v>
      </c>
      <c r="T851" s="233">
        <v>22935659</v>
      </c>
    </row>
    <row r="852" spans="1:20">
      <c r="A852" s="48">
        <v>99202</v>
      </c>
      <c r="B852" s="49" t="s">
        <v>2444</v>
      </c>
      <c r="C852" s="234">
        <v>2.7011000000000001E-3</v>
      </c>
      <c r="D852" s="234">
        <v>2.5855000000000001E-3</v>
      </c>
      <c r="E852" s="229">
        <v>6407933</v>
      </c>
      <c r="F852" s="229" t="s">
        <v>1924</v>
      </c>
      <c r="G852" s="232">
        <v>988592</v>
      </c>
      <c r="H852" s="220">
        <v>879618</v>
      </c>
      <c r="I852" s="232">
        <v>1700418</v>
      </c>
      <c r="J852" s="231">
        <v>0</v>
      </c>
      <c r="K852" s="88">
        <f t="shared" si="32"/>
        <v>3568628</v>
      </c>
      <c r="L852" s="50"/>
      <c r="M852" s="232">
        <v>33172</v>
      </c>
      <c r="N852" s="232">
        <v>0</v>
      </c>
      <c r="O852" s="231">
        <v>120022</v>
      </c>
      <c r="P852" s="88">
        <f t="shared" si="33"/>
        <v>153194</v>
      </c>
      <c r="Q852" s="50"/>
      <c r="R852" s="232">
        <v>1779952</v>
      </c>
      <c r="S852" s="231">
        <v>-75166</v>
      </c>
      <c r="T852" s="233">
        <v>1704786</v>
      </c>
    </row>
    <row r="853" spans="1:20">
      <c r="A853" s="48">
        <v>99203</v>
      </c>
      <c r="B853" s="49" t="s">
        <v>2445</v>
      </c>
      <c r="C853" s="234">
        <v>2.9760000000000002E-4</v>
      </c>
      <c r="D853" s="234">
        <v>3.0410000000000002E-4</v>
      </c>
      <c r="E853" s="229">
        <v>706009</v>
      </c>
      <c r="F853" s="229" t="s">
        <v>1924</v>
      </c>
      <c r="G853" s="232">
        <v>108920</v>
      </c>
      <c r="H853" s="220">
        <v>96914</v>
      </c>
      <c r="I853" s="232">
        <v>187348</v>
      </c>
      <c r="J853" s="231">
        <v>8157</v>
      </c>
      <c r="K853" s="88">
        <f t="shared" si="32"/>
        <v>401339</v>
      </c>
      <c r="L853" s="50"/>
      <c r="M853" s="232">
        <v>3655</v>
      </c>
      <c r="N853" s="232">
        <v>0</v>
      </c>
      <c r="O853" s="231">
        <v>26201</v>
      </c>
      <c r="P853" s="88">
        <f t="shared" si="33"/>
        <v>29856</v>
      </c>
      <c r="Q853" s="50"/>
      <c r="R853" s="232">
        <v>196110</v>
      </c>
      <c r="S853" s="231">
        <v>8430</v>
      </c>
      <c r="T853" s="233">
        <v>204540</v>
      </c>
    </row>
    <row r="854" spans="1:20">
      <c r="A854" s="48">
        <v>99204</v>
      </c>
      <c r="B854" s="49" t="s">
        <v>1540</v>
      </c>
      <c r="C854" s="234">
        <v>9.2520000000000005E-4</v>
      </c>
      <c r="D854" s="234">
        <v>8.3549999999999998E-4</v>
      </c>
      <c r="E854" s="229">
        <v>2194891</v>
      </c>
      <c r="F854" s="229" t="s">
        <v>1924</v>
      </c>
      <c r="G854" s="232">
        <v>338619</v>
      </c>
      <c r="H854" s="220">
        <v>301293</v>
      </c>
      <c r="I854" s="232">
        <v>582439</v>
      </c>
      <c r="J854" s="231">
        <v>126160</v>
      </c>
      <c r="K854" s="88">
        <f t="shared" si="32"/>
        <v>1348511</v>
      </c>
      <c r="L854" s="50"/>
      <c r="M854" s="232">
        <v>11362</v>
      </c>
      <c r="N854" s="232">
        <v>0</v>
      </c>
      <c r="O854" s="231">
        <v>0</v>
      </c>
      <c r="P854" s="88">
        <f t="shared" si="33"/>
        <v>11362</v>
      </c>
      <c r="Q854" s="50"/>
      <c r="R854" s="232">
        <v>609682</v>
      </c>
      <c r="S854" s="231">
        <v>51409</v>
      </c>
      <c r="T854" s="233">
        <v>661091</v>
      </c>
    </row>
    <row r="855" spans="1:20">
      <c r="A855" s="48">
        <v>99206</v>
      </c>
      <c r="B855" s="49" t="s">
        <v>2446</v>
      </c>
      <c r="C855" s="234">
        <v>1.7377E-3</v>
      </c>
      <c r="D855" s="234">
        <v>1.6957999999999999E-3</v>
      </c>
      <c r="E855" s="229">
        <v>4122419</v>
      </c>
      <c r="F855" s="229" t="s">
        <v>1924</v>
      </c>
      <c r="G855" s="232">
        <v>635991</v>
      </c>
      <c r="H855" s="220">
        <v>565885</v>
      </c>
      <c r="I855" s="232">
        <v>1093931</v>
      </c>
      <c r="J855" s="231">
        <v>840347</v>
      </c>
      <c r="K855" s="88">
        <f t="shared" si="32"/>
        <v>3136154</v>
      </c>
      <c r="L855" s="50"/>
      <c r="M855" s="232">
        <v>21341</v>
      </c>
      <c r="N855" s="232">
        <v>0</v>
      </c>
      <c r="O855" s="231">
        <v>0</v>
      </c>
      <c r="P855" s="88">
        <f t="shared" si="33"/>
        <v>21341</v>
      </c>
      <c r="Q855" s="50"/>
      <c r="R855" s="232">
        <v>1145097</v>
      </c>
      <c r="S855" s="231">
        <v>312871</v>
      </c>
      <c r="T855" s="233">
        <v>1457968</v>
      </c>
    </row>
    <row r="856" spans="1:20">
      <c r="A856" s="48">
        <v>99207</v>
      </c>
      <c r="B856" s="49" t="s">
        <v>1542</v>
      </c>
      <c r="C856" s="234">
        <v>1.3990000000000001E-4</v>
      </c>
      <c r="D856" s="234">
        <v>1.3329999999999999E-4</v>
      </c>
      <c r="E856" s="229">
        <v>331891</v>
      </c>
      <c r="F856" s="229" t="s">
        <v>1924</v>
      </c>
      <c r="G856" s="232">
        <v>51203</v>
      </c>
      <c r="H856" s="220">
        <v>45559</v>
      </c>
      <c r="I856" s="232">
        <v>88071</v>
      </c>
      <c r="J856" s="231">
        <v>190835</v>
      </c>
      <c r="K856" s="88">
        <f t="shared" si="32"/>
        <v>375668</v>
      </c>
      <c r="L856" s="50"/>
      <c r="M856" s="232">
        <v>1718</v>
      </c>
      <c r="N856" s="232">
        <v>0</v>
      </c>
      <c r="O856" s="231">
        <v>0</v>
      </c>
      <c r="P856" s="88">
        <f t="shared" si="33"/>
        <v>1718</v>
      </c>
      <c r="Q856" s="50"/>
      <c r="R856" s="232">
        <v>92190</v>
      </c>
      <c r="S856" s="231">
        <v>69872</v>
      </c>
      <c r="T856" s="233">
        <v>162062</v>
      </c>
    </row>
    <row r="857" spans="1:20">
      <c r="A857" s="48">
        <v>99208</v>
      </c>
      <c r="B857" s="49" t="s">
        <v>1543</v>
      </c>
      <c r="C857" s="234">
        <v>2.3560000000000001E-4</v>
      </c>
      <c r="D857" s="234">
        <v>1.4569999999999999E-4</v>
      </c>
      <c r="E857" s="229">
        <v>558924</v>
      </c>
      <c r="F857" s="229" t="s">
        <v>1924</v>
      </c>
      <c r="G857" s="232">
        <v>86229</v>
      </c>
      <c r="H857" s="220">
        <v>76723</v>
      </c>
      <c r="I857" s="232">
        <v>148317</v>
      </c>
      <c r="J857" s="231">
        <v>50056</v>
      </c>
      <c r="K857" s="88">
        <f t="shared" si="32"/>
        <v>361325</v>
      </c>
      <c r="L857" s="50"/>
      <c r="M857" s="232">
        <v>2893</v>
      </c>
      <c r="N857" s="232">
        <v>0</v>
      </c>
      <c r="O857" s="231">
        <v>18070</v>
      </c>
      <c r="P857" s="88">
        <f t="shared" si="33"/>
        <v>20963</v>
      </c>
      <c r="Q857" s="50"/>
      <c r="R857" s="232">
        <v>155254</v>
      </c>
      <c r="S857" s="231">
        <v>-7938</v>
      </c>
      <c r="T857" s="233">
        <v>147316</v>
      </c>
    </row>
    <row r="858" spans="1:20">
      <c r="A858" s="48">
        <v>99210</v>
      </c>
      <c r="B858" s="49" t="s">
        <v>1544</v>
      </c>
      <c r="C858" s="234">
        <v>1.6613000000000001E-3</v>
      </c>
      <c r="D858" s="234">
        <v>1.5943999999999999E-3</v>
      </c>
      <c r="E858" s="229">
        <v>3941172</v>
      </c>
      <c r="F858" s="229" t="s">
        <v>1924</v>
      </c>
      <c r="G858" s="232">
        <v>608029</v>
      </c>
      <c r="H858" s="220">
        <v>541006</v>
      </c>
      <c r="I858" s="232">
        <v>1045835</v>
      </c>
      <c r="J858" s="231">
        <v>151956</v>
      </c>
      <c r="K858" s="88">
        <f t="shared" si="32"/>
        <v>2346826</v>
      </c>
      <c r="L858" s="50"/>
      <c r="M858" s="232">
        <v>20402</v>
      </c>
      <c r="N858" s="232">
        <v>0</v>
      </c>
      <c r="O858" s="231">
        <v>0</v>
      </c>
      <c r="P858" s="88">
        <f t="shared" si="33"/>
        <v>20402</v>
      </c>
      <c r="Q858" s="50"/>
      <c r="R858" s="232">
        <v>1094752</v>
      </c>
      <c r="S858" s="231">
        <v>62014</v>
      </c>
      <c r="T858" s="233">
        <v>1156766</v>
      </c>
    </row>
    <row r="859" spans="1:20">
      <c r="A859" s="48">
        <v>99211</v>
      </c>
      <c r="B859" s="49" t="s">
        <v>1545</v>
      </c>
      <c r="C859" s="234">
        <v>3.8652899999999997E-2</v>
      </c>
      <c r="D859" s="234">
        <v>3.7100599999999997E-2</v>
      </c>
      <c r="E859" s="229">
        <v>91697898</v>
      </c>
      <c r="F859" s="229" t="s">
        <v>1924</v>
      </c>
      <c r="G859" s="232">
        <v>14146807</v>
      </c>
      <c r="H859" s="220">
        <v>12587395</v>
      </c>
      <c r="I859" s="232">
        <v>24333083</v>
      </c>
      <c r="J859" s="231">
        <v>650029</v>
      </c>
      <c r="K859" s="88">
        <f t="shared" si="32"/>
        <v>51717314</v>
      </c>
      <c r="L859" s="50"/>
      <c r="M859" s="232">
        <v>474696</v>
      </c>
      <c r="N859" s="232">
        <v>0</v>
      </c>
      <c r="O859" s="231">
        <v>1116278</v>
      </c>
      <c r="P859" s="88">
        <f t="shared" si="33"/>
        <v>1590974</v>
      </c>
      <c r="Q859" s="50"/>
      <c r="R859" s="232">
        <v>25471217</v>
      </c>
      <c r="S859" s="231">
        <v>-560159</v>
      </c>
      <c r="T859" s="233">
        <v>24911058</v>
      </c>
    </row>
    <row r="860" spans="1:20">
      <c r="A860" s="48">
        <v>99212</v>
      </c>
      <c r="B860" s="49" t="s">
        <v>1546</v>
      </c>
      <c r="C860" s="234">
        <v>7.2200000000000007E-5</v>
      </c>
      <c r="D860" s="234">
        <v>8.14E-5</v>
      </c>
      <c r="E860" s="230">
        <v>171283</v>
      </c>
      <c r="F860" s="230" t="s">
        <v>1924</v>
      </c>
      <c r="G860" s="232">
        <v>26425</v>
      </c>
      <c r="H860" s="220">
        <v>23512</v>
      </c>
      <c r="I860" s="232">
        <v>45452</v>
      </c>
      <c r="J860" s="231">
        <v>181</v>
      </c>
      <c r="K860" s="88">
        <f t="shared" ref="K860:K923" si="36">G860+H860+I860+J860</f>
        <v>95570</v>
      </c>
      <c r="L860" s="50"/>
      <c r="M860" s="232">
        <v>887</v>
      </c>
      <c r="N860" s="232">
        <v>0</v>
      </c>
      <c r="O860" s="231">
        <v>27961</v>
      </c>
      <c r="P860" s="88">
        <f t="shared" ref="P860:P923" si="37">M860+N860+O860</f>
        <v>28848</v>
      </c>
      <c r="Q860" s="50"/>
      <c r="R860" s="232">
        <v>47578</v>
      </c>
      <c r="S860" s="231">
        <v>-17534</v>
      </c>
      <c r="T860" s="233">
        <v>30044</v>
      </c>
    </row>
    <row r="861" spans="1:20">
      <c r="A861" s="48">
        <v>99213</v>
      </c>
      <c r="B861" s="49" t="s">
        <v>1547</v>
      </c>
      <c r="C861" s="234">
        <v>7.6519999999999995E-4</v>
      </c>
      <c r="D861" s="234">
        <v>7.5159999999999995E-4</v>
      </c>
      <c r="E861" s="230">
        <v>1815316</v>
      </c>
      <c r="F861" s="230" t="s">
        <v>1924</v>
      </c>
      <c r="G861" s="232">
        <v>280060</v>
      </c>
      <c r="H861" s="220">
        <v>249189</v>
      </c>
      <c r="I861" s="232">
        <v>481715</v>
      </c>
      <c r="J861" s="231">
        <v>17354</v>
      </c>
      <c r="K861" s="88">
        <f t="shared" si="36"/>
        <v>1028318</v>
      </c>
      <c r="L861" s="50"/>
      <c r="M861" s="232">
        <v>9397</v>
      </c>
      <c r="N861" s="232">
        <v>0</v>
      </c>
      <c r="O861" s="231">
        <v>31841</v>
      </c>
      <c r="P861" s="88">
        <f t="shared" si="37"/>
        <v>41238</v>
      </c>
      <c r="Q861" s="50"/>
      <c r="R861" s="232">
        <v>504246</v>
      </c>
      <c r="S861" s="231">
        <v>-6642</v>
      </c>
      <c r="T861" s="233">
        <v>497604</v>
      </c>
    </row>
    <row r="862" spans="1:20">
      <c r="A862" s="48">
        <v>99218</v>
      </c>
      <c r="B862" s="49" t="s">
        <v>1548</v>
      </c>
      <c r="C862" s="234">
        <v>3.3276999999999998E-3</v>
      </c>
      <c r="D862" s="234">
        <v>3.1162E-3</v>
      </c>
      <c r="E862" s="230">
        <v>7894442</v>
      </c>
      <c r="F862" s="230" t="s">
        <v>1924</v>
      </c>
      <c r="G862" s="232">
        <v>1217925</v>
      </c>
      <c r="H862" s="220">
        <v>1083672</v>
      </c>
      <c r="I862" s="232">
        <v>2094880</v>
      </c>
      <c r="J862" s="231">
        <v>301160</v>
      </c>
      <c r="K862" s="88">
        <f t="shared" si="36"/>
        <v>4697637</v>
      </c>
      <c r="L862" s="50"/>
      <c r="M862" s="232">
        <v>40867</v>
      </c>
      <c r="N862" s="232">
        <v>0</v>
      </c>
      <c r="O862" s="231">
        <v>0</v>
      </c>
      <c r="P862" s="88">
        <f t="shared" si="37"/>
        <v>40867</v>
      </c>
      <c r="Q862" s="50"/>
      <c r="R862" s="232">
        <v>2192864</v>
      </c>
      <c r="S862" s="231">
        <v>113866</v>
      </c>
      <c r="T862" s="233">
        <v>2306730</v>
      </c>
    </row>
    <row r="863" spans="1:20">
      <c r="A863" s="48">
        <v>99221</v>
      </c>
      <c r="B863" s="49" t="s">
        <v>2447</v>
      </c>
      <c r="C863" s="234">
        <v>1.26885E-2</v>
      </c>
      <c r="D863" s="234">
        <v>1.27709E-2</v>
      </c>
      <c r="E863" s="230">
        <v>30101461</v>
      </c>
      <c r="F863" s="230" t="s">
        <v>1924</v>
      </c>
      <c r="G863" s="232">
        <v>4643940</v>
      </c>
      <c r="H863" s="220">
        <v>4132035</v>
      </c>
      <c r="I863" s="232">
        <v>7987766</v>
      </c>
      <c r="J863" s="231">
        <v>0</v>
      </c>
      <c r="K863" s="88">
        <f t="shared" si="36"/>
        <v>16763741</v>
      </c>
      <c r="L863" s="50"/>
      <c r="M863" s="232">
        <v>155827</v>
      </c>
      <c r="N863" s="232">
        <v>0</v>
      </c>
      <c r="O863" s="231">
        <v>578576</v>
      </c>
      <c r="P863" s="88">
        <f t="shared" si="37"/>
        <v>734403</v>
      </c>
      <c r="Q863" s="50"/>
      <c r="R863" s="232">
        <v>8361379</v>
      </c>
      <c r="S863" s="231">
        <v>-311894</v>
      </c>
      <c r="T863" s="233">
        <v>8049485</v>
      </c>
    </row>
    <row r="864" spans="1:20">
      <c r="A864" s="48">
        <v>99222</v>
      </c>
      <c r="B864" s="49" t="s">
        <v>1550</v>
      </c>
      <c r="C864" s="234">
        <v>3.7200000000000003E-5</v>
      </c>
      <c r="D864" s="234">
        <v>3.9100000000000002E-5</v>
      </c>
      <c r="E864" s="230">
        <v>88251</v>
      </c>
      <c r="F864" s="230" t="s">
        <v>1924</v>
      </c>
      <c r="G864" s="232">
        <v>13615</v>
      </c>
      <c r="H864" s="220">
        <v>12114</v>
      </c>
      <c r="I864" s="232">
        <v>23418</v>
      </c>
      <c r="J864" s="231">
        <v>1038</v>
      </c>
      <c r="K864" s="88">
        <f t="shared" si="36"/>
        <v>50185</v>
      </c>
      <c r="L864" s="50"/>
      <c r="M864" s="232">
        <v>457</v>
      </c>
      <c r="N864" s="232">
        <v>0</v>
      </c>
      <c r="O864" s="231">
        <v>5264</v>
      </c>
      <c r="P864" s="88">
        <f t="shared" si="37"/>
        <v>5721</v>
      </c>
      <c r="Q864" s="50"/>
      <c r="R864" s="232">
        <v>24514</v>
      </c>
      <c r="S864" s="231">
        <v>-385</v>
      </c>
      <c r="T864" s="233">
        <v>24129</v>
      </c>
    </row>
    <row r="865" spans="1:20">
      <c r="A865" s="48">
        <v>99231</v>
      </c>
      <c r="B865" s="49" t="s">
        <v>2448</v>
      </c>
      <c r="C865" s="234">
        <v>3.6329999999999999E-4</v>
      </c>
      <c r="D865" s="234">
        <v>3.7179999999999998E-4</v>
      </c>
      <c r="E865" s="230">
        <v>861872</v>
      </c>
      <c r="F865" s="230" t="s">
        <v>1924</v>
      </c>
      <c r="G865" s="232">
        <v>132966</v>
      </c>
      <c r="H865" s="220">
        <v>118310</v>
      </c>
      <c r="I865" s="232">
        <v>228708</v>
      </c>
      <c r="J865" s="231">
        <v>0</v>
      </c>
      <c r="K865" s="88">
        <f t="shared" si="36"/>
        <v>479984</v>
      </c>
      <c r="L865" s="50"/>
      <c r="M865" s="232">
        <v>4462</v>
      </c>
      <c r="N865" s="232">
        <v>0</v>
      </c>
      <c r="O865" s="231">
        <v>28617</v>
      </c>
      <c r="P865" s="88">
        <f t="shared" si="37"/>
        <v>33079</v>
      </c>
      <c r="Q865" s="50"/>
      <c r="R865" s="232">
        <v>239405</v>
      </c>
      <c r="S865" s="231">
        <v>-17866</v>
      </c>
      <c r="T865" s="233">
        <v>221539</v>
      </c>
    </row>
    <row r="866" spans="1:20">
      <c r="A866" s="48">
        <v>99241</v>
      </c>
      <c r="B866" s="49" t="s">
        <v>2449</v>
      </c>
      <c r="C866" s="234">
        <v>5.488E-4</v>
      </c>
      <c r="D866" s="234">
        <v>5.5329999999999995E-4</v>
      </c>
      <c r="E866" s="230">
        <v>1301941</v>
      </c>
      <c r="F866" s="230" t="s">
        <v>1924</v>
      </c>
      <c r="G866" s="232">
        <v>200859</v>
      </c>
      <c r="H866" s="220">
        <v>178718</v>
      </c>
      <c r="I866" s="232">
        <v>345485</v>
      </c>
      <c r="J866" s="231">
        <v>0</v>
      </c>
      <c r="K866" s="88">
        <f t="shared" si="36"/>
        <v>725062</v>
      </c>
      <c r="L866" s="50"/>
      <c r="M866" s="232">
        <v>6740</v>
      </c>
      <c r="N866" s="232">
        <v>0</v>
      </c>
      <c r="O866" s="231">
        <v>64351</v>
      </c>
      <c r="P866" s="88">
        <f t="shared" si="37"/>
        <v>71091</v>
      </c>
      <c r="Q866" s="50"/>
      <c r="R866" s="232">
        <v>361644</v>
      </c>
      <c r="S866" s="231">
        <v>-55208</v>
      </c>
      <c r="T866" s="233">
        <v>306436</v>
      </c>
    </row>
    <row r="867" spans="1:20">
      <c r="A867" s="48">
        <v>99251</v>
      </c>
      <c r="B867" s="49" t="s">
        <v>2450</v>
      </c>
      <c r="C867" s="234">
        <v>1.5935000000000001E-3</v>
      </c>
      <c r="D867" s="234">
        <v>1.6069000000000001E-3</v>
      </c>
      <c r="E867" s="230">
        <v>3780327</v>
      </c>
      <c r="F867" s="230" t="s">
        <v>1924</v>
      </c>
      <c r="G867" s="232">
        <v>583215</v>
      </c>
      <c r="H867" s="220">
        <v>518926</v>
      </c>
      <c r="I867" s="232">
        <v>1003153</v>
      </c>
      <c r="J867" s="231">
        <v>1524</v>
      </c>
      <c r="K867" s="88">
        <f t="shared" si="36"/>
        <v>2106818</v>
      </c>
      <c r="L867" s="50"/>
      <c r="M867" s="232">
        <v>19570</v>
      </c>
      <c r="N867" s="232">
        <v>0</v>
      </c>
      <c r="O867" s="231">
        <v>33789</v>
      </c>
      <c r="P867" s="88">
        <f t="shared" si="37"/>
        <v>53359</v>
      </c>
      <c r="Q867" s="50"/>
      <c r="R867" s="232">
        <v>1050073</v>
      </c>
      <c r="S867" s="231">
        <v>-15782</v>
      </c>
      <c r="T867" s="233">
        <v>1034291</v>
      </c>
    </row>
    <row r="868" spans="1:20">
      <c r="A868" s="48">
        <v>99252</v>
      </c>
      <c r="B868" s="49" t="s">
        <v>1554</v>
      </c>
      <c r="C868" s="234">
        <v>6.7239999999999997E-4</v>
      </c>
      <c r="D868" s="234">
        <v>6.1269999999999999E-4</v>
      </c>
      <c r="E868" s="230">
        <v>1595163</v>
      </c>
      <c r="F868" s="230" t="s">
        <v>1924</v>
      </c>
      <c r="G868" s="232">
        <v>246096</v>
      </c>
      <c r="H868" s="220">
        <v>218968</v>
      </c>
      <c r="I868" s="232">
        <v>423295</v>
      </c>
      <c r="J868" s="231">
        <v>0</v>
      </c>
      <c r="K868" s="88">
        <f t="shared" si="36"/>
        <v>888359</v>
      </c>
      <c r="L868" s="50"/>
      <c r="M868" s="232">
        <v>8258</v>
      </c>
      <c r="N868" s="232">
        <v>0</v>
      </c>
      <c r="O868" s="231">
        <v>146683</v>
      </c>
      <c r="P868" s="88">
        <f t="shared" si="37"/>
        <v>154941</v>
      </c>
      <c r="Q868" s="50"/>
      <c r="R868" s="232">
        <v>443093</v>
      </c>
      <c r="S868" s="231">
        <v>-93460</v>
      </c>
      <c r="T868" s="233">
        <v>349633</v>
      </c>
    </row>
    <row r="869" spans="1:20">
      <c r="A869" s="48">
        <v>99261</v>
      </c>
      <c r="B869" s="49" t="s">
        <v>2451</v>
      </c>
      <c r="C869" s="234">
        <v>2.0975999999999998E-3</v>
      </c>
      <c r="D869" s="234">
        <v>1.9938E-3</v>
      </c>
      <c r="E869" s="230">
        <v>4976225</v>
      </c>
      <c r="F869" s="230" t="s">
        <v>1924</v>
      </c>
      <c r="G869" s="232">
        <v>767713</v>
      </c>
      <c r="H869" s="220">
        <v>683088</v>
      </c>
      <c r="I869" s="232">
        <v>1320498</v>
      </c>
      <c r="J869" s="231">
        <v>0</v>
      </c>
      <c r="K869" s="88">
        <f t="shared" si="36"/>
        <v>2771299</v>
      </c>
      <c r="L869" s="50"/>
      <c r="M869" s="232">
        <v>25761</v>
      </c>
      <c r="N869" s="232">
        <v>0</v>
      </c>
      <c r="O869" s="231">
        <v>102016</v>
      </c>
      <c r="P869" s="88">
        <f t="shared" si="37"/>
        <v>127777</v>
      </c>
      <c r="Q869" s="50"/>
      <c r="R869" s="232">
        <v>1382262</v>
      </c>
      <c r="S869" s="231">
        <v>-74815</v>
      </c>
      <c r="T869" s="233">
        <v>1307447</v>
      </c>
    </row>
    <row r="870" spans="1:20">
      <c r="A870" s="48">
        <v>99271</v>
      </c>
      <c r="B870" s="49" t="s">
        <v>2452</v>
      </c>
      <c r="C870" s="234">
        <v>4.2411999999999997E-3</v>
      </c>
      <c r="D870" s="234">
        <v>4.0137000000000003E-3</v>
      </c>
      <c r="E870" s="230">
        <v>10061577</v>
      </c>
      <c r="F870" s="230" t="s">
        <v>1924</v>
      </c>
      <c r="G870" s="232">
        <v>1552262</v>
      </c>
      <c r="H870" s="220">
        <v>1381155</v>
      </c>
      <c r="I870" s="232">
        <v>2669954</v>
      </c>
      <c r="J870" s="231">
        <v>74425</v>
      </c>
      <c r="K870" s="88">
        <f t="shared" si="36"/>
        <v>5677796</v>
      </c>
      <c r="L870" s="50"/>
      <c r="M870" s="232">
        <v>52086</v>
      </c>
      <c r="N870" s="232">
        <v>0</v>
      </c>
      <c r="O870" s="231">
        <v>77503</v>
      </c>
      <c r="P870" s="88">
        <f t="shared" si="37"/>
        <v>129589</v>
      </c>
      <c r="Q870" s="50"/>
      <c r="R870" s="232">
        <v>2794836</v>
      </c>
      <c r="S870" s="231">
        <v>-26683</v>
      </c>
      <c r="T870" s="233">
        <v>2768153</v>
      </c>
    </row>
    <row r="871" spans="1:20">
      <c r="A871" s="48">
        <v>99281</v>
      </c>
      <c r="B871" s="49" t="s">
        <v>2453</v>
      </c>
      <c r="C871" s="234">
        <v>2.3770000000000002E-3</v>
      </c>
      <c r="D871" s="234">
        <v>2.2918999999999999E-3</v>
      </c>
      <c r="E871" s="230">
        <v>5639057</v>
      </c>
      <c r="F871" s="230" t="s">
        <v>1924</v>
      </c>
      <c r="G871" s="232">
        <v>869972</v>
      </c>
      <c r="H871" s="220">
        <v>774075</v>
      </c>
      <c r="I871" s="232">
        <v>1496388</v>
      </c>
      <c r="J871" s="231">
        <v>19048</v>
      </c>
      <c r="K871" s="88">
        <f t="shared" si="36"/>
        <v>3159483</v>
      </c>
      <c r="L871" s="50"/>
      <c r="M871" s="232">
        <v>29192</v>
      </c>
      <c r="N871" s="232">
        <v>0</v>
      </c>
      <c r="O871" s="231">
        <v>84495</v>
      </c>
      <c r="P871" s="88">
        <f t="shared" si="37"/>
        <v>113687</v>
      </c>
      <c r="Q871" s="50"/>
      <c r="R871" s="232">
        <v>1566379</v>
      </c>
      <c r="S871" s="231">
        <v>-32585</v>
      </c>
      <c r="T871" s="233">
        <v>1533794</v>
      </c>
    </row>
    <row r="872" spans="1:20">
      <c r="A872" s="48">
        <v>99291</v>
      </c>
      <c r="B872" s="49" t="s">
        <v>2454</v>
      </c>
      <c r="C872" s="234">
        <v>8.2370000000000002E-4</v>
      </c>
      <c r="D872" s="234">
        <v>7.3499999999999998E-4</v>
      </c>
      <c r="E872" s="230">
        <v>1954098</v>
      </c>
      <c r="F872" s="230" t="s">
        <v>1924</v>
      </c>
      <c r="G872" s="232">
        <v>301471</v>
      </c>
      <c r="H872" s="220">
        <v>268240</v>
      </c>
      <c r="I872" s="232">
        <v>518542</v>
      </c>
      <c r="J872" s="231">
        <v>12562</v>
      </c>
      <c r="K872" s="88">
        <f t="shared" si="36"/>
        <v>1100815</v>
      </c>
      <c r="L872" s="50"/>
      <c r="M872" s="232">
        <v>10116</v>
      </c>
      <c r="N872" s="232">
        <v>0</v>
      </c>
      <c r="O872" s="231">
        <v>82354</v>
      </c>
      <c r="P872" s="88">
        <f t="shared" si="37"/>
        <v>92470</v>
      </c>
      <c r="Q872" s="50"/>
      <c r="R872" s="232">
        <v>542796</v>
      </c>
      <c r="S872" s="231">
        <v>-52321</v>
      </c>
      <c r="T872" s="233">
        <v>490475</v>
      </c>
    </row>
    <row r="873" spans="1:20">
      <c r="A873" s="48">
        <v>99301</v>
      </c>
      <c r="B873" s="49" t="s">
        <v>1559</v>
      </c>
      <c r="C873" s="234">
        <v>1.7239E-3</v>
      </c>
      <c r="D873" s="234">
        <v>1.7879E-3</v>
      </c>
      <c r="E873" s="230">
        <v>4089680</v>
      </c>
      <c r="F873" s="230" t="s">
        <v>1924</v>
      </c>
      <c r="G873" s="232">
        <v>630941</v>
      </c>
      <c r="H873" s="220">
        <v>561391</v>
      </c>
      <c r="I873" s="232">
        <v>1085243</v>
      </c>
      <c r="J873" s="231">
        <v>12780</v>
      </c>
      <c r="K873" s="88">
        <f t="shared" si="36"/>
        <v>2290355</v>
      </c>
      <c r="L873" s="50"/>
      <c r="M873" s="232">
        <v>21171</v>
      </c>
      <c r="N873" s="232">
        <v>0</v>
      </c>
      <c r="O873" s="231">
        <v>110271</v>
      </c>
      <c r="P873" s="88">
        <f t="shared" si="37"/>
        <v>131442</v>
      </c>
      <c r="Q873" s="50"/>
      <c r="R873" s="232">
        <v>1136004</v>
      </c>
      <c r="S873" s="231">
        <v>22906</v>
      </c>
      <c r="T873" s="233">
        <v>1158910</v>
      </c>
    </row>
    <row r="874" spans="1:20">
      <c r="A874" s="48">
        <v>99304</v>
      </c>
      <c r="B874" s="49" t="s">
        <v>1560</v>
      </c>
      <c r="C874" s="234">
        <v>8.4999999999999999E-6</v>
      </c>
      <c r="D874" s="234">
        <v>9.2E-6</v>
      </c>
      <c r="E874" s="230">
        <v>20165</v>
      </c>
      <c r="F874" s="230" t="s">
        <v>1924</v>
      </c>
      <c r="G874" s="232">
        <v>3111</v>
      </c>
      <c r="H874" s="220">
        <v>2768</v>
      </c>
      <c r="I874" s="232">
        <v>5351</v>
      </c>
      <c r="J874" s="231">
        <v>5796</v>
      </c>
      <c r="K874" s="88">
        <f t="shared" si="36"/>
        <v>17026</v>
      </c>
      <c r="L874" s="50"/>
      <c r="M874" s="232">
        <v>104</v>
      </c>
      <c r="N874" s="232">
        <v>0</v>
      </c>
      <c r="O874" s="231">
        <v>0</v>
      </c>
      <c r="P874" s="88">
        <f t="shared" si="37"/>
        <v>104</v>
      </c>
      <c r="Q874" s="50"/>
      <c r="R874" s="232">
        <v>5601</v>
      </c>
      <c r="S874" s="231">
        <v>2064</v>
      </c>
      <c r="T874" s="233">
        <v>7665</v>
      </c>
    </row>
    <row r="875" spans="1:20">
      <c r="A875" s="48">
        <v>99311</v>
      </c>
      <c r="B875" s="49" t="s">
        <v>2455</v>
      </c>
      <c r="C875" s="234">
        <v>6.0699999999999998E-5</v>
      </c>
      <c r="D875" s="234">
        <v>5.4299999999999998E-5</v>
      </c>
      <c r="E875" s="230">
        <v>144001</v>
      </c>
      <c r="F875" s="230" t="s">
        <v>1924</v>
      </c>
      <c r="G875" s="232">
        <v>22216</v>
      </c>
      <c r="H875" s="220">
        <v>19767</v>
      </c>
      <c r="I875" s="232">
        <v>38212</v>
      </c>
      <c r="J875" s="231">
        <v>4078</v>
      </c>
      <c r="K875" s="88">
        <f t="shared" si="36"/>
        <v>84273</v>
      </c>
      <c r="L875" s="50"/>
      <c r="M875" s="232">
        <v>745</v>
      </c>
      <c r="N875" s="232">
        <v>0</v>
      </c>
      <c r="O875" s="231">
        <v>3557</v>
      </c>
      <c r="P875" s="88">
        <f t="shared" si="37"/>
        <v>4302</v>
      </c>
      <c r="Q875" s="50"/>
      <c r="R875" s="232">
        <v>40000</v>
      </c>
      <c r="S875" s="231">
        <v>-2182</v>
      </c>
      <c r="T875" s="233">
        <v>37818</v>
      </c>
    </row>
    <row r="876" spans="1:20">
      <c r="A876" s="48">
        <v>99321</v>
      </c>
      <c r="B876" s="49" t="s">
        <v>2456</v>
      </c>
      <c r="C876" s="234">
        <v>8.7000000000000001E-5</v>
      </c>
      <c r="D876" s="234">
        <v>1.1E-4</v>
      </c>
      <c r="E876" s="230">
        <v>206394</v>
      </c>
      <c r="F876" s="230" t="s">
        <v>1924</v>
      </c>
      <c r="G876" s="232">
        <v>31842</v>
      </c>
      <c r="H876" s="220">
        <v>28331</v>
      </c>
      <c r="I876" s="232">
        <v>54769</v>
      </c>
      <c r="J876" s="231">
        <v>80354</v>
      </c>
      <c r="K876" s="88">
        <f t="shared" si="36"/>
        <v>195296</v>
      </c>
      <c r="L876" s="50"/>
      <c r="M876" s="232">
        <v>1068</v>
      </c>
      <c r="N876" s="232">
        <v>0</v>
      </c>
      <c r="O876" s="231">
        <v>0</v>
      </c>
      <c r="P876" s="88">
        <f t="shared" si="37"/>
        <v>1068</v>
      </c>
      <c r="Q876" s="50"/>
      <c r="R876" s="232">
        <v>57331</v>
      </c>
      <c r="S876" s="231">
        <v>48383</v>
      </c>
      <c r="T876" s="233">
        <v>105714</v>
      </c>
    </row>
    <row r="877" spans="1:20">
      <c r="A877" s="48">
        <v>99401</v>
      </c>
      <c r="B877" s="49" t="s">
        <v>1563</v>
      </c>
      <c r="C877" s="234">
        <v>8.3949999999999997E-4</v>
      </c>
      <c r="D877" s="234">
        <v>9.2389999999999996E-4</v>
      </c>
      <c r="E877" s="230">
        <v>1991581</v>
      </c>
      <c r="F877" s="230" t="s">
        <v>1924</v>
      </c>
      <c r="G877" s="232">
        <v>307254</v>
      </c>
      <c r="H877" s="220">
        <v>273385</v>
      </c>
      <c r="I877" s="232">
        <v>528489</v>
      </c>
      <c r="J877" s="231">
        <v>7764</v>
      </c>
      <c r="K877" s="88">
        <f t="shared" si="36"/>
        <v>1116892</v>
      </c>
      <c r="L877" s="50"/>
      <c r="M877" s="232">
        <v>10310</v>
      </c>
      <c r="N877" s="232">
        <v>0</v>
      </c>
      <c r="O877" s="231">
        <v>71466</v>
      </c>
      <c r="P877" s="88">
        <f t="shared" si="37"/>
        <v>81776</v>
      </c>
      <c r="Q877" s="50"/>
      <c r="R877" s="232">
        <v>553208</v>
      </c>
      <c r="S877" s="231">
        <v>7509</v>
      </c>
      <c r="T877" s="233">
        <v>560717</v>
      </c>
    </row>
    <row r="878" spans="1:20">
      <c r="A878" s="48">
        <v>99404</v>
      </c>
      <c r="B878" s="49" t="s">
        <v>1564</v>
      </c>
      <c r="C878" s="234">
        <v>9.0999999999999993E-6</v>
      </c>
      <c r="D878" s="234">
        <v>9.3999999999999998E-6</v>
      </c>
      <c r="E878" s="230">
        <v>21588</v>
      </c>
      <c r="F878" s="230" t="s">
        <v>1924</v>
      </c>
      <c r="G878" s="232">
        <v>3331</v>
      </c>
      <c r="H878" s="220">
        <v>2963</v>
      </c>
      <c r="I878" s="232">
        <v>5729</v>
      </c>
      <c r="J878" s="231">
        <v>1629</v>
      </c>
      <c r="K878" s="88">
        <f t="shared" si="36"/>
        <v>13652</v>
      </c>
      <c r="L878" s="50"/>
      <c r="M878" s="232">
        <v>112</v>
      </c>
      <c r="N878" s="232">
        <v>0</v>
      </c>
      <c r="O878" s="231">
        <v>0</v>
      </c>
      <c r="P878" s="88">
        <f t="shared" si="37"/>
        <v>112</v>
      </c>
      <c r="Q878" s="50"/>
      <c r="R878" s="232">
        <v>5997</v>
      </c>
      <c r="S878" s="231">
        <v>655</v>
      </c>
      <c r="T878" s="233">
        <v>6652</v>
      </c>
    </row>
    <row r="879" spans="1:20">
      <c r="A879" s="48">
        <v>99405</v>
      </c>
      <c r="B879" s="49" t="s">
        <v>1565</v>
      </c>
      <c r="C879" s="234">
        <v>5.2200000000000002E-5</v>
      </c>
      <c r="D879" s="234">
        <v>6.2700000000000006E-5</v>
      </c>
      <c r="E879" s="230">
        <v>123836</v>
      </c>
      <c r="F879" s="230" t="s">
        <v>1924</v>
      </c>
      <c r="G879" s="232">
        <v>19105</v>
      </c>
      <c r="H879" s="220">
        <v>16999</v>
      </c>
      <c r="I879" s="232">
        <v>32861</v>
      </c>
      <c r="J879" s="231">
        <v>14217</v>
      </c>
      <c r="K879" s="88">
        <f t="shared" si="36"/>
        <v>83182</v>
      </c>
      <c r="L879" s="50"/>
      <c r="M879" s="232">
        <v>641</v>
      </c>
      <c r="N879" s="232">
        <v>0</v>
      </c>
      <c r="O879" s="231">
        <v>0</v>
      </c>
      <c r="P879" s="88">
        <f t="shared" si="37"/>
        <v>641</v>
      </c>
      <c r="Q879" s="50"/>
      <c r="R879" s="232">
        <v>34398</v>
      </c>
      <c r="S879" s="231">
        <v>6652</v>
      </c>
      <c r="T879" s="233">
        <v>41050</v>
      </c>
    </row>
    <row r="880" spans="1:20">
      <c r="A880" s="48">
        <v>99411</v>
      </c>
      <c r="B880" s="49" t="s">
        <v>2457</v>
      </c>
      <c r="C880" s="234">
        <v>1.7239999999999999E-4</v>
      </c>
      <c r="D880" s="234">
        <v>1.583E-4</v>
      </c>
      <c r="E880" s="230">
        <v>408992</v>
      </c>
      <c r="F880" s="230" t="s">
        <v>1924</v>
      </c>
      <c r="G880" s="232">
        <v>63098</v>
      </c>
      <c r="H880" s="220">
        <v>56142</v>
      </c>
      <c r="I880" s="232">
        <v>108531</v>
      </c>
      <c r="J880" s="231">
        <v>41315</v>
      </c>
      <c r="K880" s="88">
        <f t="shared" si="36"/>
        <v>269086</v>
      </c>
      <c r="L880" s="50"/>
      <c r="M880" s="232">
        <v>2117</v>
      </c>
      <c r="N880" s="232">
        <v>0</v>
      </c>
      <c r="O880" s="231">
        <v>0</v>
      </c>
      <c r="P880" s="88">
        <f t="shared" si="37"/>
        <v>2117</v>
      </c>
      <c r="Q880" s="50"/>
      <c r="R880" s="232">
        <v>113607</v>
      </c>
      <c r="S880" s="231">
        <v>11785</v>
      </c>
      <c r="T880" s="233">
        <v>125392</v>
      </c>
    </row>
    <row r="881" spans="1:20">
      <c r="A881" s="48">
        <v>99413</v>
      </c>
      <c r="B881" s="49" t="s">
        <v>1567</v>
      </c>
      <c r="C881" s="234">
        <v>1.98E-5</v>
      </c>
      <c r="D881" s="234">
        <v>3.1099999999999997E-5</v>
      </c>
      <c r="E881" s="230">
        <v>46972</v>
      </c>
      <c r="F881" s="230" t="s">
        <v>1924</v>
      </c>
      <c r="G881" s="232">
        <v>7247</v>
      </c>
      <c r="H881" s="220">
        <v>6448</v>
      </c>
      <c r="I881" s="232">
        <v>12465</v>
      </c>
      <c r="J881" s="231">
        <v>4311</v>
      </c>
      <c r="K881" s="88">
        <f t="shared" si="36"/>
        <v>30471</v>
      </c>
      <c r="L881" s="50"/>
      <c r="M881" s="232">
        <v>243</v>
      </c>
      <c r="N881" s="232">
        <v>0</v>
      </c>
      <c r="O881" s="231">
        <v>5202</v>
      </c>
      <c r="P881" s="88">
        <f t="shared" si="37"/>
        <v>5445</v>
      </c>
      <c r="Q881" s="50"/>
      <c r="R881" s="232">
        <v>13048</v>
      </c>
      <c r="S881" s="231">
        <v>-653</v>
      </c>
      <c r="T881" s="233">
        <v>12395</v>
      </c>
    </row>
    <row r="882" spans="1:20">
      <c r="A882" s="48">
        <v>99421</v>
      </c>
      <c r="B882" s="49" t="s">
        <v>2458</v>
      </c>
      <c r="C882" s="234">
        <v>1.24E-5</v>
      </c>
      <c r="D882" s="234">
        <v>1.04E-5</v>
      </c>
      <c r="E882" s="230">
        <v>29417</v>
      </c>
      <c r="F882" s="230" t="s">
        <v>1924</v>
      </c>
      <c r="G882" s="232">
        <v>4538</v>
      </c>
      <c r="H882" s="220">
        <v>4038</v>
      </c>
      <c r="I882" s="232">
        <v>7806</v>
      </c>
      <c r="J882" s="231">
        <v>917</v>
      </c>
      <c r="K882" s="88">
        <f t="shared" si="36"/>
        <v>17299</v>
      </c>
      <c r="L882" s="50"/>
      <c r="M882" s="232">
        <v>152</v>
      </c>
      <c r="N882" s="232">
        <v>0</v>
      </c>
      <c r="O882" s="231">
        <v>3553</v>
      </c>
      <c r="P882" s="88">
        <f t="shared" si="37"/>
        <v>3705</v>
      </c>
      <c r="Q882" s="50"/>
      <c r="R882" s="232">
        <v>8171</v>
      </c>
      <c r="S882" s="231">
        <v>-895</v>
      </c>
      <c r="T882" s="233">
        <v>7276</v>
      </c>
    </row>
    <row r="883" spans="1:20">
      <c r="A883" s="48">
        <v>99431</v>
      </c>
      <c r="B883" s="49" t="s">
        <v>2459</v>
      </c>
      <c r="C883" s="234">
        <v>2.1999999999999999E-5</v>
      </c>
      <c r="D883" s="234">
        <v>2.2200000000000001E-5</v>
      </c>
      <c r="E883" s="230">
        <v>52192</v>
      </c>
      <c r="F883" s="230" t="s">
        <v>1924</v>
      </c>
      <c r="G883" s="232">
        <v>8052</v>
      </c>
      <c r="H883" s="220">
        <v>7164</v>
      </c>
      <c r="I883" s="232">
        <v>13850</v>
      </c>
      <c r="J883" s="231">
        <v>0</v>
      </c>
      <c r="K883" s="88">
        <f t="shared" si="36"/>
        <v>29066</v>
      </c>
      <c r="L883" s="50"/>
      <c r="M883" s="232">
        <v>270</v>
      </c>
      <c r="N883" s="232">
        <v>0</v>
      </c>
      <c r="O883" s="231">
        <v>4208</v>
      </c>
      <c r="P883" s="88">
        <f t="shared" si="37"/>
        <v>4478</v>
      </c>
      <c r="Q883" s="50"/>
      <c r="R883" s="232">
        <v>14497</v>
      </c>
      <c r="S883" s="231">
        <v>-434</v>
      </c>
      <c r="T883" s="233">
        <v>14063</v>
      </c>
    </row>
    <row r="884" spans="1:20">
      <c r="A884" s="48">
        <v>99501</v>
      </c>
      <c r="B884" s="49" t="s">
        <v>1570</v>
      </c>
      <c r="C884" s="234">
        <v>1.6559000000000001E-3</v>
      </c>
      <c r="D884" s="234">
        <v>1.6785000000000001E-3</v>
      </c>
      <c r="E884" s="230">
        <v>3928361</v>
      </c>
      <c r="F884" s="230" t="s">
        <v>1924</v>
      </c>
      <c r="G884" s="232">
        <v>606053</v>
      </c>
      <c r="H884" s="220">
        <v>539247</v>
      </c>
      <c r="I884" s="232">
        <v>1042435</v>
      </c>
      <c r="J884" s="231">
        <v>26120</v>
      </c>
      <c r="K884" s="88">
        <f t="shared" si="36"/>
        <v>2213855</v>
      </c>
      <c r="L884" s="50"/>
      <c r="M884" s="232">
        <v>20336</v>
      </c>
      <c r="N884" s="232">
        <v>0</v>
      </c>
      <c r="O884" s="231">
        <v>16129</v>
      </c>
      <c r="P884" s="88">
        <f t="shared" si="37"/>
        <v>36465</v>
      </c>
      <c r="Q884" s="50"/>
      <c r="R884" s="232">
        <v>1091193</v>
      </c>
      <c r="S884" s="231">
        <v>2662</v>
      </c>
      <c r="T884" s="233">
        <v>1093855</v>
      </c>
    </row>
    <row r="885" spans="1:20">
      <c r="A885" s="48">
        <v>99502</v>
      </c>
      <c r="B885" s="49" t="s">
        <v>1571</v>
      </c>
      <c r="C885" s="234">
        <v>1.5699999999999999E-4</v>
      </c>
      <c r="D885" s="234">
        <v>1.373E-4</v>
      </c>
      <c r="E885" s="230">
        <v>372458</v>
      </c>
      <c r="F885" s="230" t="s">
        <v>1924</v>
      </c>
      <c r="G885" s="232">
        <v>57461</v>
      </c>
      <c r="H885" s="220">
        <v>51127</v>
      </c>
      <c r="I885" s="232">
        <v>98836</v>
      </c>
      <c r="J885" s="231">
        <v>20987</v>
      </c>
      <c r="K885" s="88">
        <f t="shared" si="36"/>
        <v>228411</v>
      </c>
      <c r="L885" s="50"/>
      <c r="M885" s="232">
        <v>1928</v>
      </c>
      <c r="N885" s="232">
        <v>0</v>
      </c>
      <c r="O885" s="231">
        <v>0</v>
      </c>
      <c r="P885" s="88">
        <f t="shared" si="37"/>
        <v>1928</v>
      </c>
      <c r="Q885" s="50"/>
      <c r="R885" s="232">
        <v>103459</v>
      </c>
      <c r="S885" s="231">
        <v>11737</v>
      </c>
      <c r="T885" s="233">
        <v>115196</v>
      </c>
    </row>
    <row r="886" spans="1:20">
      <c r="A886" s="48">
        <v>99508</v>
      </c>
      <c r="B886" s="49" t="s">
        <v>1572</v>
      </c>
      <c r="C886" s="234">
        <v>2.1699999999999999E-5</v>
      </c>
      <c r="D886" s="234">
        <v>2.2099999999999998E-5</v>
      </c>
      <c r="E886" s="230">
        <v>51480</v>
      </c>
      <c r="F886" s="230" t="s">
        <v>1924</v>
      </c>
      <c r="G886" s="232">
        <v>7942</v>
      </c>
      <c r="H886" s="220">
        <v>7067</v>
      </c>
      <c r="I886" s="232">
        <v>13661</v>
      </c>
      <c r="J886" s="231">
        <v>28</v>
      </c>
      <c r="K886" s="88">
        <f t="shared" si="36"/>
        <v>28698</v>
      </c>
      <c r="L886" s="50"/>
      <c r="M886" s="232">
        <v>266</v>
      </c>
      <c r="N886" s="232">
        <v>0</v>
      </c>
      <c r="O886" s="231">
        <v>834</v>
      </c>
      <c r="P886" s="88">
        <f t="shared" si="37"/>
        <v>1100</v>
      </c>
      <c r="Q886" s="50"/>
      <c r="R886" s="232">
        <v>14300</v>
      </c>
      <c r="S886" s="231">
        <v>-1042</v>
      </c>
      <c r="T886" s="233">
        <v>13258</v>
      </c>
    </row>
    <row r="887" spans="1:20">
      <c r="A887" s="48">
        <v>99509</v>
      </c>
      <c r="B887" s="49" t="s">
        <v>1573</v>
      </c>
      <c r="C887" s="234">
        <v>2.62E-5</v>
      </c>
      <c r="D887" s="234">
        <v>2.76E-5</v>
      </c>
      <c r="E887" s="230">
        <v>62155</v>
      </c>
      <c r="F887" s="230" t="s">
        <v>1924</v>
      </c>
      <c r="G887" s="232">
        <v>9589</v>
      </c>
      <c r="H887" s="220">
        <v>8532</v>
      </c>
      <c r="I887" s="232">
        <v>16494</v>
      </c>
      <c r="J887" s="231">
        <v>0</v>
      </c>
      <c r="K887" s="88">
        <f t="shared" si="36"/>
        <v>34615</v>
      </c>
      <c r="L887" s="50"/>
      <c r="M887" s="232">
        <v>322</v>
      </c>
      <c r="N887" s="232">
        <v>0</v>
      </c>
      <c r="O887" s="231">
        <v>3733</v>
      </c>
      <c r="P887" s="88">
        <f t="shared" si="37"/>
        <v>4055</v>
      </c>
      <c r="Q887" s="50"/>
      <c r="R887" s="232">
        <v>17265</v>
      </c>
      <c r="S887" s="231">
        <v>-4641</v>
      </c>
      <c r="T887" s="233">
        <v>12624</v>
      </c>
    </row>
    <row r="888" spans="1:20">
      <c r="A888" s="48">
        <v>99511</v>
      </c>
      <c r="B888" s="49" t="s">
        <v>2460</v>
      </c>
      <c r="C888" s="234">
        <v>1.3468E-3</v>
      </c>
      <c r="D888" s="234">
        <v>1.4048999999999999E-3</v>
      </c>
      <c r="E888" s="230">
        <v>3195070</v>
      </c>
      <c r="F888" s="230" t="s">
        <v>1924</v>
      </c>
      <c r="G888" s="232">
        <v>492923</v>
      </c>
      <c r="H888" s="220">
        <v>438588</v>
      </c>
      <c r="I888" s="232">
        <v>847848</v>
      </c>
      <c r="J888" s="231">
        <v>2027</v>
      </c>
      <c r="K888" s="88">
        <f t="shared" si="36"/>
        <v>1781386</v>
      </c>
      <c r="L888" s="50"/>
      <c r="M888" s="232">
        <v>16540</v>
      </c>
      <c r="N888" s="232">
        <v>0</v>
      </c>
      <c r="O888" s="231">
        <v>134401</v>
      </c>
      <c r="P888" s="88">
        <f t="shared" si="37"/>
        <v>150941</v>
      </c>
      <c r="Q888" s="50"/>
      <c r="R888" s="232">
        <v>887505</v>
      </c>
      <c r="S888" s="231">
        <v>-51080</v>
      </c>
      <c r="T888" s="233">
        <v>836425</v>
      </c>
    </row>
    <row r="889" spans="1:20">
      <c r="A889" s="48">
        <v>99521</v>
      </c>
      <c r="B889" s="49" t="s">
        <v>2461</v>
      </c>
      <c r="C889" s="234">
        <v>4.9669999999999998E-4</v>
      </c>
      <c r="D889" s="234">
        <v>4.2700000000000002E-4</v>
      </c>
      <c r="E889" s="230">
        <v>1178342</v>
      </c>
      <c r="F889" s="230" t="s">
        <v>1924</v>
      </c>
      <c r="G889" s="232">
        <v>181790</v>
      </c>
      <c r="H889" s="220">
        <v>161751</v>
      </c>
      <c r="I889" s="232">
        <v>312687</v>
      </c>
      <c r="J889" s="231">
        <v>22179</v>
      </c>
      <c r="K889" s="88">
        <f t="shared" si="36"/>
        <v>678407</v>
      </c>
      <c r="L889" s="50"/>
      <c r="M889" s="232">
        <v>6100</v>
      </c>
      <c r="N889" s="232">
        <v>0</v>
      </c>
      <c r="O889" s="231">
        <v>9436</v>
      </c>
      <c r="P889" s="88">
        <f t="shared" si="37"/>
        <v>15536</v>
      </c>
      <c r="Q889" s="50"/>
      <c r="R889" s="232">
        <v>327312</v>
      </c>
      <c r="S889" s="231">
        <v>211</v>
      </c>
      <c r="T889" s="233">
        <v>327523</v>
      </c>
    </row>
    <row r="890" spans="1:20">
      <c r="A890" s="48">
        <v>99527</v>
      </c>
      <c r="B890" s="49" t="s">
        <v>1576</v>
      </c>
      <c r="C890" s="234">
        <v>1.15E-5</v>
      </c>
      <c r="D890" s="234">
        <v>1.19E-5</v>
      </c>
      <c r="E890" s="230">
        <v>27282</v>
      </c>
      <c r="F890" s="230" t="s">
        <v>1924</v>
      </c>
      <c r="G890" s="232">
        <v>4209</v>
      </c>
      <c r="H890" s="220">
        <v>3745</v>
      </c>
      <c r="I890" s="232">
        <v>7240</v>
      </c>
      <c r="J890" s="231">
        <v>1078</v>
      </c>
      <c r="K890" s="88">
        <f t="shared" si="36"/>
        <v>16272</v>
      </c>
      <c r="L890" s="50"/>
      <c r="M890" s="232">
        <v>141</v>
      </c>
      <c r="N890" s="232">
        <v>0</v>
      </c>
      <c r="O890" s="231">
        <v>0</v>
      </c>
      <c r="P890" s="88">
        <f t="shared" si="37"/>
        <v>141</v>
      </c>
      <c r="Q890" s="50"/>
      <c r="R890" s="232">
        <v>7578</v>
      </c>
      <c r="S890" s="231">
        <v>724</v>
      </c>
      <c r="T890" s="233">
        <v>8302</v>
      </c>
    </row>
    <row r="891" spans="1:20">
      <c r="A891" s="48">
        <v>99531</v>
      </c>
      <c r="B891" s="49" t="s">
        <v>2462</v>
      </c>
      <c r="C891" s="234">
        <v>8.8800000000000004E-5</v>
      </c>
      <c r="D891" s="234">
        <v>9.3499999999999996E-5</v>
      </c>
      <c r="E891" s="230">
        <v>210664</v>
      </c>
      <c r="F891" s="230" t="s">
        <v>1924</v>
      </c>
      <c r="G891" s="232">
        <v>32500</v>
      </c>
      <c r="H891" s="220">
        <v>28917</v>
      </c>
      <c r="I891" s="232">
        <v>55902</v>
      </c>
      <c r="J891" s="231">
        <v>59872</v>
      </c>
      <c r="K891" s="88">
        <f t="shared" si="36"/>
        <v>177191</v>
      </c>
      <c r="L891" s="50"/>
      <c r="M891" s="232">
        <v>1091</v>
      </c>
      <c r="N891" s="232">
        <v>0</v>
      </c>
      <c r="O891" s="231">
        <v>0</v>
      </c>
      <c r="P891" s="88">
        <f t="shared" si="37"/>
        <v>1091</v>
      </c>
      <c r="Q891" s="50"/>
      <c r="R891" s="232">
        <v>58517</v>
      </c>
      <c r="S891" s="231">
        <v>24500</v>
      </c>
      <c r="T891" s="233">
        <v>83017</v>
      </c>
    </row>
    <row r="892" spans="1:20">
      <c r="A892" s="48">
        <v>99601</v>
      </c>
      <c r="B892" s="49" t="s">
        <v>1578</v>
      </c>
      <c r="C892" s="234">
        <v>5.9616000000000001E-3</v>
      </c>
      <c r="D892" s="234">
        <v>5.7812000000000002E-3</v>
      </c>
      <c r="E892" s="230">
        <v>14142954</v>
      </c>
      <c r="F892" s="230" t="s">
        <v>1924</v>
      </c>
      <c r="G892" s="232">
        <v>2181922</v>
      </c>
      <c r="H892" s="220">
        <v>1941407</v>
      </c>
      <c r="I892" s="232">
        <v>3752994</v>
      </c>
      <c r="J892" s="231">
        <v>210675</v>
      </c>
      <c r="K892" s="88">
        <f t="shared" si="36"/>
        <v>8086998</v>
      </c>
      <c r="L892" s="50"/>
      <c r="M892" s="232">
        <v>73214</v>
      </c>
      <c r="N892" s="232">
        <v>0</v>
      </c>
      <c r="O892" s="231">
        <v>44248</v>
      </c>
      <c r="P892" s="88">
        <f t="shared" si="37"/>
        <v>117462</v>
      </c>
      <c r="Q892" s="50"/>
      <c r="R892" s="232">
        <v>3928533</v>
      </c>
      <c r="S892" s="231">
        <v>56562</v>
      </c>
      <c r="T892" s="233">
        <v>3985095</v>
      </c>
    </row>
    <row r="893" spans="1:20">
      <c r="A893" s="48">
        <v>99602</v>
      </c>
      <c r="B893" s="49" t="s">
        <v>1579</v>
      </c>
      <c r="C893" s="234">
        <v>6.0800000000000001E-5</v>
      </c>
      <c r="D893" s="234">
        <v>6.19E-5</v>
      </c>
      <c r="E893" s="230">
        <v>144238</v>
      </c>
      <c r="F893" s="230" t="s">
        <v>1924</v>
      </c>
      <c r="G893" s="232">
        <v>22253</v>
      </c>
      <c r="H893" s="220">
        <v>19799</v>
      </c>
      <c r="I893" s="232">
        <v>38275</v>
      </c>
      <c r="J893" s="231">
        <v>6923</v>
      </c>
      <c r="K893" s="88">
        <f t="shared" si="36"/>
        <v>87250</v>
      </c>
      <c r="L893" s="50"/>
      <c r="M893" s="232">
        <v>747</v>
      </c>
      <c r="N893" s="232">
        <v>0</v>
      </c>
      <c r="O893" s="231">
        <v>422</v>
      </c>
      <c r="P893" s="88">
        <f t="shared" si="37"/>
        <v>1169</v>
      </c>
      <c r="Q893" s="50"/>
      <c r="R893" s="232">
        <v>40066</v>
      </c>
      <c r="S893" s="231">
        <v>1213</v>
      </c>
      <c r="T893" s="233">
        <v>41279</v>
      </c>
    </row>
    <row r="894" spans="1:20">
      <c r="A894" s="48">
        <v>99603</v>
      </c>
      <c r="B894" s="49" t="s">
        <v>2766</v>
      </c>
      <c r="C894" s="234">
        <v>1.7550000000000001E-4</v>
      </c>
      <c r="D894" s="234">
        <v>1.615E-4</v>
      </c>
      <c r="E894" s="230">
        <v>416346</v>
      </c>
      <c r="F894" s="230" t="s">
        <v>1924</v>
      </c>
      <c r="G894" s="232">
        <v>64232</v>
      </c>
      <c r="H894" s="220">
        <v>57152</v>
      </c>
      <c r="I894" s="232">
        <v>110482</v>
      </c>
      <c r="J894" s="231">
        <v>75872</v>
      </c>
      <c r="K894" s="88">
        <f t="shared" si="36"/>
        <v>307738</v>
      </c>
      <c r="L894" s="50"/>
      <c r="M894" s="232">
        <v>2155</v>
      </c>
      <c r="N894" s="232">
        <v>0</v>
      </c>
      <c r="O894" s="231">
        <v>0</v>
      </c>
      <c r="P894" s="88">
        <f t="shared" si="37"/>
        <v>2155</v>
      </c>
      <c r="Q894" s="50"/>
      <c r="R894" s="232">
        <v>115650</v>
      </c>
      <c r="S894" s="231">
        <v>41812</v>
      </c>
      <c r="T894" s="233">
        <v>157462</v>
      </c>
    </row>
    <row r="895" spans="1:20">
      <c r="A895" s="48">
        <v>99604</v>
      </c>
      <c r="B895" s="49" t="s">
        <v>1581</v>
      </c>
      <c r="C895" s="234">
        <v>1.02E-4</v>
      </c>
      <c r="D895" s="234">
        <v>1.009E-4</v>
      </c>
      <c r="E895" s="50">
        <v>241979</v>
      </c>
      <c r="F895" s="50"/>
      <c r="G895" s="232">
        <v>37332</v>
      </c>
      <c r="H895" s="220">
        <v>33216</v>
      </c>
      <c r="I895" s="232">
        <v>64212</v>
      </c>
      <c r="J895" s="231">
        <v>20727</v>
      </c>
      <c r="K895" s="88">
        <f t="shared" si="36"/>
        <v>155487</v>
      </c>
      <c r="L895" s="50"/>
      <c r="M895" s="232">
        <v>1253</v>
      </c>
      <c r="N895" s="232">
        <v>0</v>
      </c>
      <c r="O895" s="231">
        <v>0</v>
      </c>
      <c r="P895" s="88">
        <f t="shared" si="37"/>
        <v>1253</v>
      </c>
      <c r="Q895" s="50"/>
      <c r="R895" s="232">
        <v>67215</v>
      </c>
      <c r="S895" s="231">
        <v>11859</v>
      </c>
      <c r="T895" s="233">
        <v>79074</v>
      </c>
    </row>
    <row r="896" spans="1:20">
      <c r="A896" s="48">
        <v>99609</v>
      </c>
      <c r="B896" s="49" t="s">
        <v>1582</v>
      </c>
      <c r="C896" s="234">
        <v>2.0100000000000001E-5</v>
      </c>
      <c r="D896" s="234">
        <v>1.52E-5</v>
      </c>
      <c r="E896" s="50">
        <v>47684</v>
      </c>
      <c r="F896" s="50"/>
      <c r="G896" s="232">
        <v>7357</v>
      </c>
      <c r="H896" s="220">
        <v>6545</v>
      </c>
      <c r="I896" s="232">
        <v>12654</v>
      </c>
      <c r="J896" s="231">
        <v>5627</v>
      </c>
      <c r="K896" s="88">
        <f t="shared" si="36"/>
        <v>32183</v>
      </c>
      <c r="L896" s="50"/>
      <c r="M896" s="232">
        <v>247</v>
      </c>
      <c r="N896" s="232">
        <v>0</v>
      </c>
      <c r="O896" s="231">
        <v>1142</v>
      </c>
      <c r="P896" s="88">
        <f t="shared" si="37"/>
        <v>1389</v>
      </c>
      <c r="Q896" s="50"/>
      <c r="R896" s="232">
        <v>13245</v>
      </c>
      <c r="S896" s="231">
        <v>2717</v>
      </c>
      <c r="T896" s="233">
        <v>15962</v>
      </c>
    </row>
    <row r="897" spans="1:20">
      <c r="A897" s="48">
        <v>99610</v>
      </c>
      <c r="B897" s="49" t="s">
        <v>1583</v>
      </c>
      <c r="C897" s="234">
        <v>1.872E-4</v>
      </c>
      <c r="D897" s="234">
        <v>1.9440000000000001E-4</v>
      </c>
      <c r="E897" s="50">
        <v>444102</v>
      </c>
      <c r="F897" s="50"/>
      <c r="G897" s="232">
        <v>68514</v>
      </c>
      <c r="H897" s="220">
        <v>60962</v>
      </c>
      <c r="I897" s="232">
        <v>117848</v>
      </c>
      <c r="J897" s="231">
        <v>855</v>
      </c>
      <c r="K897" s="88">
        <f t="shared" si="36"/>
        <v>248179</v>
      </c>
      <c r="L897" s="50"/>
      <c r="M897" s="232">
        <v>2299</v>
      </c>
      <c r="N897" s="232">
        <v>0</v>
      </c>
      <c r="O897" s="231">
        <v>8068</v>
      </c>
      <c r="P897" s="88">
        <f t="shared" si="37"/>
        <v>10367</v>
      </c>
      <c r="Q897" s="50"/>
      <c r="R897" s="232">
        <v>123360</v>
      </c>
      <c r="S897" s="231">
        <v>-738</v>
      </c>
      <c r="T897" s="233">
        <v>122622</v>
      </c>
    </row>
    <row r="898" spans="1:20">
      <c r="A898" s="48">
        <v>99611</v>
      </c>
      <c r="B898" s="49" t="s">
        <v>1584</v>
      </c>
      <c r="C898" s="234">
        <v>3.2894E-3</v>
      </c>
      <c r="D898" s="234">
        <v>3.1959000000000002E-3</v>
      </c>
      <c r="E898" s="50">
        <v>7803582</v>
      </c>
      <c r="F898" s="50"/>
      <c r="G898" s="232">
        <v>1203907</v>
      </c>
      <c r="H898" s="220">
        <v>1071199</v>
      </c>
      <c r="I898" s="232">
        <v>2070769</v>
      </c>
      <c r="J898" s="231">
        <v>61818</v>
      </c>
      <c r="K898" s="88">
        <f t="shared" si="36"/>
        <v>4407693</v>
      </c>
      <c r="L898" s="50"/>
      <c r="M898" s="232">
        <v>40397</v>
      </c>
      <c r="N898" s="232">
        <v>0</v>
      </c>
      <c r="O898" s="231">
        <v>100389</v>
      </c>
      <c r="P898" s="88">
        <f t="shared" si="37"/>
        <v>140786</v>
      </c>
      <c r="Q898" s="50"/>
      <c r="R898" s="232">
        <v>2167626</v>
      </c>
      <c r="S898" s="231">
        <v>-79577</v>
      </c>
      <c r="T898" s="233">
        <v>2088049</v>
      </c>
    </row>
    <row r="899" spans="1:20">
      <c r="A899" s="48">
        <v>99613</v>
      </c>
      <c r="B899" s="49" t="s">
        <v>1585</v>
      </c>
      <c r="C899" s="234">
        <v>3.57E-4</v>
      </c>
      <c r="D899" s="234">
        <v>3.2909999999999998E-4</v>
      </c>
      <c r="E899" s="50">
        <v>846926</v>
      </c>
      <c r="F899" s="50"/>
      <c r="G899" s="232">
        <v>130661</v>
      </c>
      <c r="H899" s="220">
        <v>116258</v>
      </c>
      <c r="I899" s="232">
        <v>224741</v>
      </c>
      <c r="J899" s="231">
        <v>342685</v>
      </c>
      <c r="K899" s="88">
        <f t="shared" si="36"/>
        <v>814345</v>
      </c>
      <c r="L899" s="50"/>
      <c r="M899" s="232">
        <v>4384</v>
      </c>
      <c r="N899" s="232">
        <v>0</v>
      </c>
      <c r="O899" s="231">
        <v>0</v>
      </c>
      <c r="P899" s="88">
        <f t="shared" si="37"/>
        <v>4384</v>
      </c>
      <c r="Q899" s="50"/>
      <c r="R899" s="232">
        <v>235253</v>
      </c>
      <c r="S899" s="231">
        <v>135388</v>
      </c>
      <c r="T899" s="233">
        <v>370641</v>
      </c>
    </row>
    <row r="900" spans="1:20">
      <c r="A900" s="48">
        <v>99621</v>
      </c>
      <c r="B900" s="49" t="s">
        <v>2463</v>
      </c>
      <c r="C900" s="234">
        <v>3.7399999999999998E-4</v>
      </c>
      <c r="D900" s="234">
        <v>3.7060000000000001E-4</v>
      </c>
      <c r="E900" s="50">
        <v>887256</v>
      </c>
      <c r="F900" s="50"/>
      <c r="G900" s="232">
        <v>136883</v>
      </c>
      <c r="H900" s="220">
        <v>121794</v>
      </c>
      <c r="I900" s="232">
        <v>235443</v>
      </c>
      <c r="J900" s="231">
        <v>26836</v>
      </c>
      <c r="K900" s="88">
        <f t="shared" si="36"/>
        <v>520956</v>
      </c>
      <c r="L900" s="50"/>
      <c r="M900" s="232">
        <v>4593</v>
      </c>
      <c r="N900" s="232">
        <v>0</v>
      </c>
      <c r="O900" s="231">
        <v>3834</v>
      </c>
      <c r="P900" s="88">
        <f t="shared" si="37"/>
        <v>8427</v>
      </c>
      <c r="Q900" s="50"/>
      <c r="R900" s="232">
        <v>246456</v>
      </c>
      <c r="S900" s="231">
        <v>12349</v>
      </c>
      <c r="T900" s="233">
        <v>258805</v>
      </c>
    </row>
    <row r="901" spans="1:20">
      <c r="A901" s="48">
        <v>99623</v>
      </c>
      <c r="B901" s="49" t="s">
        <v>3498</v>
      </c>
      <c r="C901" s="234">
        <v>3.4799999999999999E-5</v>
      </c>
      <c r="D901" s="234">
        <v>2.6400000000000001E-5</v>
      </c>
      <c r="E901" s="50">
        <v>82558</v>
      </c>
      <c r="F901" s="50"/>
      <c r="G901" s="232">
        <v>12737</v>
      </c>
      <c r="H901" s="220">
        <v>11333</v>
      </c>
      <c r="I901" s="232">
        <v>21908</v>
      </c>
      <c r="J901" s="231">
        <v>1303</v>
      </c>
      <c r="K901" s="88">
        <f t="shared" si="36"/>
        <v>47281</v>
      </c>
      <c r="L901" s="50"/>
      <c r="M901" s="232">
        <v>427</v>
      </c>
      <c r="N901" s="232">
        <v>0</v>
      </c>
      <c r="O901" s="231">
        <v>2046</v>
      </c>
      <c r="P901" s="88">
        <f t="shared" si="37"/>
        <v>2473</v>
      </c>
      <c r="Q901" s="50"/>
      <c r="R901" s="232">
        <v>22932</v>
      </c>
      <c r="S901" s="231">
        <v>311</v>
      </c>
      <c r="T901" s="233">
        <v>23243</v>
      </c>
    </row>
    <row r="902" spans="1:20">
      <c r="A902" s="48">
        <v>99631</v>
      </c>
      <c r="B902" s="49" t="s">
        <v>2464</v>
      </c>
      <c r="C902" s="234">
        <v>1.11E-4</v>
      </c>
      <c r="D902" s="234">
        <v>1.102E-4</v>
      </c>
      <c r="E902" s="50">
        <v>263330</v>
      </c>
      <c r="F902" s="50"/>
      <c r="G902" s="232">
        <v>40626</v>
      </c>
      <c r="H902" s="220">
        <v>36148</v>
      </c>
      <c r="I902" s="232">
        <v>69878</v>
      </c>
      <c r="J902" s="231">
        <v>803</v>
      </c>
      <c r="K902" s="88">
        <f t="shared" si="36"/>
        <v>147455</v>
      </c>
      <c r="L902" s="50"/>
      <c r="M902" s="232">
        <v>1363</v>
      </c>
      <c r="N902" s="232">
        <v>0</v>
      </c>
      <c r="O902" s="231">
        <v>2497</v>
      </c>
      <c r="P902" s="88">
        <f t="shared" si="37"/>
        <v>3860</v>
      </c>
      <c r="Q902" s="50"/>
      <c r="R902" s="232">
        <v>73146</v>
      </c>
      <c r="S902" s="231">
        <v>-4302</v>
      </c>
      <c r="T902" s="233">
        <v>68844</v>
      </c>
    </row>
    <row r="903" spans="1:20">
      <c r="A903" s="48">
        <v>99651</v>
      </c>
      <c r="B903" s="49" t="s">
        <v>2465</v>
      </c>
      <c r="C903" s="234">
        <v>5.7000000000000003E-5</v>
      </c>
      <c r="D903" s="234">
        <v>6.7199999999999994E-5</v>
      </c>
      <c r="E903" s="50">
        <v>135223</v>
      </c>
      <c r="F903" s="50"/>
      <c r="G903" s="232">
        <v>20862</v>
      </c>
      <c r="H903" s="220">
        <v>18562</v>
      </c>
      <c r="I903" s="232">
        <v>35883</v>
      </c>
      <c r="J903" s="231">
        <v>3097</v>
      </c>
      <c r="K903" s="88">
        <f t="shared" si="36"/>
        <v>78404</v>
      </c>
      <c r="L903" s="50"/>
      <c r="M903" s="232">
        <v>700</v>
      </c>
      <c r="N903" s="232">
        <v>0</v>
      </c>
      <c r="O903" s="231">
        <v>6539</v>
      </c>
      <c r="P903" s="88">
        <f t="shared" si="37"/>
        <v>7239</v>
      </c>
      <c r="Q903" s="50"/>
      <c r="R903" s="232">
        <v>37561</v>
      </c>
      <c r="S903" s="231">
        <v>-227</v>
      </c>
      <c r="T903" s="233">
        <v>37334</v>
      </c>
    </row>
    <row r="904" spans="1:20">
      <c r="A904" s="48">
        <v>99661</v>
      </c>
      <c r="B904" s="49" t="s">
        <v>2487</v>
      </c>
      <c r="C904" s="234">
        <v>2.5999999999999998E-5</v>
      </c>
      <c r="D904" s="234">
        <v>3.26E-5</v>
      </c>
      <c r="E904" s="50">
        <v>61681</v>
      </c>
      <c r="F904" s="50"/>
      <c r="G904" s="232">
        <v>9516</v>
      </c>
      <c r="H904" s="220">
        <v>8467</v>
      </c>
      <c r="I904" s="232">
        <v>16368</v>
      </c>
      <c r="J904" s="231">
        <v>41516</v>
      </c>
      <c r="K904" s="88">
        <f t="shared" si="36"/>
        <v>75867</v>
      </c>
      <c r="L904" s="50"/>
      <c r="M904" s="232">
        <v>319</v>
      </c>
      <c r="N904" s="232">
        <v>0</v>
      </c>
      <c r="O904" s="231">
        <v>0</v>
      </c>
      <c r="P904" s="88">
        <f t="shared" si="37"/>
        <v>319</v>
      </c>
      <c r="Q904" s="50"/>
      <c r="R904" s="232">
        <v>17133</v>
      </c>
      <c r="S904" s="231">
        <v>17737</v>
      </c>
      <c r="T904" s="233">
        <v>34870</v>
      </c>
    </row>
    <row r="905" spans="1:20">
      <c r="A905" s="48">
        <v>99701</v>
      </c>
      <c r="B905" s="49" t="s">
        <v>1591</v>
      </c>
      <c r="C905" s="234">
        <v>2.9659E-3</v>
      </c>
      <c r="D905" s="234">
        <v>2.9190000000000002E-3</v>
      </c>
      <c r="E905" s="50">
        <v>7036129</v>
      </c>
      <c r="F905" s="50"/>
      <c r="G905" s="232">
        <v>1085508</v>
      </c>
      <c r="H905" s="220">
        <v>965851</v>
      </c>
      <c r="I905" s="232">
        <v>1867117</v>
      </c>
      <c r="J905" s="231">
        <v>11285</v>
      </c>
      <c r="K905" s="88">
        <f t="shared" si="36"/>
        <v>3929761</v>
      </c>
      <c r="L905" s="50"/>
      <c r="M905" s="232">
        <v>36424</v>
      </c>
      <c r="N905" s="232">
        <v>0</v>
      </c>
      <c r="O905" s="231">
        <v>20475</v>
      </c>
      <c r="P905" s="88">
        <f t="shared" si="37"/>
        <v>56899</v>
      </c>
      <c r="Q905" s="50"/>
      <c r="R905" s="232">
        <v>1954448</v>
      </c>
      <c r="S905" s="231">
        <v>-5521</v>
      </c>
      <c r="T905" s="233">
        <v>1948927</v>
      </c>
    </row>
    <row r="906" spans="1:20">
      <c r="A906" s="48">
        <v>99705</v>
      </c>
      <c r="B906" s="49" t="s">
        <v>1592</v>
      </c>
      <c r="C906" s="234">
        <v>1.6349999999999999E-4</v>
      </c>
      <c r="D906" s="234">
        <v>1.7229999999999999E-4</v>
      </c>
      <c r="E906" s="50">
        <v>387878</v>
      </c>
      <c r="F906" s="50"/>
      <c r="G906" s="232">
        <v>59840</v>
      </c>
      <c r="H906" s="220">
        <v>53244</v>
      </c>
      <c r="I906" s="232">
        <v>102928</v>
      </c>
      <c r="J906" s="231">
        <v>9123</v>
      </c>
      <c r="K906" s="88">
        <f t="shared" si="36"/>
        <v>225135</v>
      </c>
      <c r="L906" s="50"/>
      <c r="M906" s="232">
        <v>2008</v>
      </c>
      <c r="N906" s="232">
        <v>0</v>
      </c>
      <c r="O906" s="231">
        <v>244</v>
      </c>
      <c r="P906" s="88">
        <f t="shared" si="37"/>
        <v>2252</v>
      </c>
      <c r="Q906" s="50"/>
      <c r="R906" s="232">
        <v>107742</v>
      </c>
      <c r="S906" s="231">
        <v>6947</v>
      </c>
      <c r="T906" s="233">
        <v>114689</v>
      </c>
    </row>
    <row r="907" spans="1:20">
      <c r="A907" s="48">
        <v>99711</v>
      </c>
      <c r="B907" s="49" t="s">
        <v>2466</v>
      </c>
      <c r="C907" s="234">
        <v>4.462E-4</v>
      </c>
      <c r="D907" s="234">
        <v>4.5459999999999999E-4</v>
      </c>
      <c r="E907" s="50">
        <v>1058539</v>
      </c>
      <c r="F907" s="50"/>
      <c r="G907" s="232">
        <v>163307</v>
      </c>
      <c r="H907" s="220">
        <v>145306</v>
      </c>
      <c r="I907" s="232">
        <v>280895</v>
      </c>
      <c r="J907" s="231">
        <v>10132</v>
      </c>
      <c r="K907" s="88">
        <f t="shared" si="36"/>
        <v>599640</v>
      </c>
      <c r="L907" s="50"/>
      <c r="M907" s="232">
        <v>5480</v>
      </c>
      <c r="N907" s="232">
        <v>0</v>
      </c>
      <c r="O907" s="231">
        <v>5402</v>
      </c>
      <c r="P907" s="88">
        <f t="shared" si="37"/>
        <v>10882</v>
      </c>
      <c r="Q907" s="50"/>
      <c r="R907" s="232">
        <v>294034</v>
      </c>
      <c r="S907" s="231">
        <v>-1088</v>
      </c>
      <c r="T907" s="233">
        <v>292946</v>
      </c>
    </row>
    <row r="908" spans="1:20">
      <c r="A908" s="48">
        <v>99717</v>
      </c>
      <c r="B908" s="49" t="s">
        <v>2467</v>
      </c>
      <c r="C908" s="234">
        <v>2.1800000000000001E-5</v>
      </c>
      <c r="D908" s="234">
        <v>2.19E-5</v>
      </c>
      <c r="E908" s="50">
        <v>51717</v>
      </c>
      <c r="F908" s="50"/>
      <c r="G908" s="232">
        <v>7979</v>
      </c>
      <c r="H908" s="220">
        <v>7099</v>
      </c>
      <c r="I908" s="232">
        <v>13724</v>
      </c>
      <c r="J908" s="231">
        <v>0</v>
      </c>
      <c r="K908" s="88">
        <f t="shared" si="36"/>
        <v>28802</v>
      </c>
      <c r="L908" s="50"/>
      <c r="M908" s="232">
        <v>268</v>
      </c>
      <c r="N908" s="232">
        <v>0</v>
      </c>
      <c r="O908" s="231">
        <v>4093</v>
      </c>
      <c r="P908" s="88">
        <f t="shared" si="37"/>
        <v>4361</v>
      </c>
      <c r="Q908" s="50"/>
      <c r="R908" s="232">
        <v>14366</v>
      </c>
      <c r="S908" s="231">
        <v>-1627</v>
      </c>
      <c r="T908" s="233">
        <v>12739</v>
      </c>
    </row>
    <row r="909" spans="1:20">
      <c r="A909" s="48">
        <v>99721</v>
      </c>
      <c r="B909" s="49" t="s">
        <v>2468</v>
      </c>
      <c r="C909" s="234">
        <v>5.886E-4</v>
      </c>
      <c r="D909" s="234">
        <v>5.7779999999999995E-4</v>
      </c>
      <c r="E909" s="50">
        <v>1396361</v>
      </c>
      <c r="F909" s="50"/>
      <c r="G909" s="232">
        <v>215425</v>
      </c>
      <c r="H909" s="220">
        <v>191679</v>
      </c>
      <c r="I909" s="232">
        <v>370540</v>
      </c>
      <c r="J909" s="231">
        <v>0</v>
      </c>
      <c r="K909" s="88">
        <f t="shared" si="36"/>
        <v>777644</v>
      </c>
      <c r="L909" s="50"/>
      <c r="M909" s="232">
        <v>7229</v>
      </c>
      <c r="N909" s="232">
        <v>0</v>
      </c>
      <c r="O909" s="231">
        <v>40498</v>
      </c>
      <c r="P909" s="88">
        <f t="shared" si="37"/>
        <v>47727</v>
      </c>
      <c r="Q909" s="50"/>
      <c r="R909" s="232">
        <v>387872</v>
      </c>
      <c r="S909" s="231">
        <v>-15685</v>
      </c>
      <c r="T909" s="233">
        <v>372187</v>
      </c>
    </row>
    <row r="910" spans="1:20">
      <c r="A910" s="48">
        <v>99727</v>
      </c>
      <c r="B910" s="49" t="s">
        <v>1596</v>
      </c>
      <c r="C910" s="234">
        <v>2.2099999999999998E-5</v>
      </c>
      <c r="D910" s="234">
        <v>2.3900000000000002E-5</v>
      </c>
      <c r="E910" s="50">
        <v>52429</v>
      </c>
      <c r="F910" s="50"/>
      <c r="G910" s="232">
        <v>8089</v>
      </c>
      <c r="H910" s="220">
        <v>7197</v>
      </c>
      <c r="I910" s="232">
        <v>13913</v>
      </c>
      <c r="J910" s="231">
        <v>68017</v>
      </c>
      <c r="K910" s="88">
        <f t="shared" si="36"/>
        <v>97216</v>
      </c>
      <c r="L910" s="50"/>
      <c r="M910" s="232">
        <v>271</v>
      </c>
      <c r="N910" s="232">
        <v>0</v>
      </c>
      <c r="O910" s="231">
        <v>0</v>
      </c>
      <c r="P910" s="88">
        <f t="shared" si="37"/>
        <v>271</v>
      </c>
      <c r="Q910" s="50"/>
      <c r="R910" s="232">
        <v>14563</v>
      </c>
      <c r="S910" s="231">
        <v>28353</v>
      </c>
      <c r="T910" s="233">
        <v>42916</v>
      </c>
    </row>
    <row r="911" spans="1:20">
      <c r="A911" s="48">
        <v>99801</v>
      </c>
      <c r="B911" s="49" t="s">
        <v>1597</v>
      </c>
      <c r="C911" s="234">
        <v>4.9709000000000003E-3</v>
      </c>
      <c r="D911" s="234">
        <v>5.1866000000000004E-3</v>
      </c>
      <c r="E911" s="50">
        <v>11792675</v>
      </c>
      <c r="F911" s="50"/>
      <c r="G911" s="232">
        <v>1819330</v>
      </c>
      <c r="H911" s="220">
        <v>1618783</v>
      </c>
      <c r="I911" s="232">
        <v>3129321</v>
      </c>
      <c r="J911" s="231">
        <v>0</v>
      </c>
      <c r="K911" s="88">
        <f t="shared" si="36"/>
        <v>6567434</v>
      </c>
      <c r="L911" s="50"/>
      <c r="M911" s="232">
        <v>61048</v>
      </c>
      <c r="N911" s="232">
        <v>0</v>
      </c>
      <c r="O911" s="231">
        <v>343453</v>
      </c>
      <c r="P911" s="88">
        <f t="shared" si="37"/>
        <v>404501</v>
      </c>
      <c r="Q911" s="50"/>
      <c r="R911" s="232">
        <v>3275689</v>
      </c>
      <c r="S911" s="231">
        <v>-89773</v>
      </c>
      <c r="T911" s="233">
        <v>3185916</v>
      </c>
    </row>
    <row r="912" spans="1:20">
      <c r="A912" s="48">
        <v>99802</v>
      </c>
      <c r="B912" s="49" t="s">
        <v>2767</v>
      </c>
      <c r="C912" s="234">
        <v>1.19E-5</v>
      </c>
      <c r="D912" s="234">
        <v>6.0000000000000002E-6</v>
      </c>
      <c r="E912" s="50">
        <v>28231</v>
      </c>
      <c r="F912" s="50"/>
      <c r="G912" s="232">
        <v>4355</v>
      </c>
      <c r="H912" s="220">
        <v>3875</v>
      </c>
      <c r="I912" s="232">
        <v>7491</v>
      </c>
      <c r="J912" s="231">
        <v>5957</v>
      </c>
      <c r="K912" s="88">
        <f t="shared" si="36"/>
        <v>21678</v>
      </c>
      <c r="L912" s="50"/>
      <c r="M912" s="232">
        <v>146</v>
      </c>
      <c r="N912" s="232">
        <v>0</v>
      </c>
      <c r="O912" s="231">
        <v>0</v>
      </c>
      <c r="P912" s="88">
        <f t="shared" si="37"/>
        <v>146</v>
      </c>
      <c r="Q912" s="50"/>
      <c r="R912" s="232">
        <v>7842</v>
      </c>
      <c r="S912" s="231">
        <v>1575</v>
      </c>
      <c r="T912" s="233">
        <v>9417</v>
      </c>
    </row>
    <row r="913" spans="1:20">
      <c r="A913" s="48">
        <v>99804</v>
      </c>
      <c r="B913" s="49" t="s">
        <v>1599</v>
      </c>
      <c r="C913" s="234">
        <v>8.1000000000000004E-5</v>
      </c>
      <c r="D913" s="234">
        <v>9.0500000000000004E-5</v>
      </c>
      <c r="E913" s="50">
        <v>192160</v>
      </c>
      <c r="F913" s="50"/>
      <c r="G913" s="232">
        <v>29646</v>
      </c>
      <c r="H913" s="220">
        <v>26377</v>
      </c>
      <c r="I913" s="232">
        <v>50992</v>
      </c>
      <c r="J913" s="231">
        <v>8772</v>
      </c>
      <c r="K913" s="88">
        <f t="shared" si="36"/>
        <v>115787</v>
      </c>
      <c r="L913" s="50"/>
      <c r="M913" s="232">
        <v>995</v>
      </c>
      <c r="N913" s="232">
        <v>0</v>
      </c>
      <c r="O913" s="231">
        <v>129</v>
      </c>
      <c r="P913" s="88">
        <f t="shared" si="37"/>
        <v>1124</v>
      </c>
      <c r="Q913" s="50"/>
      <c r="R913" s="232">
        <v>53377</v>
      </c>
      <c r="S913" s="231">
        <v>4885</v>
      </c>
      <c r="T913" s="233">
        <v>58262</v>
      </c>
    </row>
    <row r="914" spans="1:20">
      <c r="A914" s="48">
        <v>99811</v>
      </c>
      <c r="B914" s="49" t="s">
        <v>2016</v>
      </c>
      <c r="C914" s="234">
        <v>6.4733000000000004E-3</v>
      </c>
      <c r="D914" s="234">
        <v>6.7026999999999998E-3</v>
      </c>
      <c r="E914" s="50">
        <v>15356881</v>
      </c>
      <c r="F914" s="50"/>
      <c r="G914" s="232">
        <v>2369202</v>
      </c>
      <c r="H914" s="220">
        <v>2108043</v>
      </c>
      <c r="I914" s="232">
        <v>4075124</v>
      </c>
      <c r="J914" s="231">
        <v>0</v>
      </c>
      <c r="K914" s="88">
        <f t="shared" si="36"/>
        <v>8552369</v>
      </c>
      <c r="L914" s="50"/>
      <c r="M914" s="232">
        <v>79499</v>
      </c>
      <c r="N914" s="232">
        <v>0</v>
      </c>
      <c r="O914" s="231">
        <v>605474</v>
      </c>
      <c r="P914" s="88">
        <f t="shared" si="37"/>
        <v>684973</v>
      </c>
      <c r="Q914" s="50"/>
      <c r="R914" s="232">
        <v>4265730</v>
      </c>
      <c r="S914" s="231">
        <v>-297315</v>
      </c>
      <c r="T914" s="233">
        <v>3968415</v>
      </c>
    </row>
    <row r="915" spans="1:20">
      <c r="A915" s="48">
        <v>99812</v>
      </c>
      <c r="B915" s="49" t="s">
        <v>1601</v>
      </c>
      <c r="C915" s="234">
        <v>1.9700000000000001E-5</v>
      </c>
      <c r="D915" s="234">
        <v>2.2099999999999998E-5</v>
      </c>
      <c r="E915" s="50">
        <v>46735</v>
      </c>
      <c r="F915" s="50"/>
      <c r="G915" s="232">
        <v>7210</v>
      </c>
      <c r="H915" s="220">
        <v>6415</v>
      </c>
      <c r="I915" s="232">
        <v>12402</v>
      </c>
      <c r="J915" s="231">
        <v>15128</v>
      </c>
      <c r="K915" s="88">
        <f t="shared" si="36"/>
        <v>41155</v>
      </c>
      <c r="L915" s="50"/>
      <c r="M915" s="232">
        <v>242</v>
      </c>
      <c r="N915" s="232">
        <v>0</v>
      </c>
      <c r="O915" s="231">
        <v>0</v>
      </c>
      <c r="P915" s="88">
        <f t="shared" si="37"/>
        <v>242</v>
      </c>
      <c r="Q915" s="50"/>
      <c r="R915" s="232">
        <v>12982</v>
      </c>
      <c r="S915" s="231">
        <v>6159</v>
      </c>
      <c r="T915" s="233">
        <v>19141</v>
      </c>
    </row>
    <row r="916" spans="1:20">
      <c r="A916" s="48">
        <v>99818</v>
      </c>
      <c r="B916" s="49" t="s">
        <v>2017</v>
      </c>
      <c r="C916" s="234">
        <v>3.3399999999999999E-5</v>
      </c>
      <c r="D916" s="234">
        <v>3.1600000000000002E-5</v>
      </c>
      <c r="E916" s="50">
        <v>79236</v>
      </c>
      <c r="F916" s="50"/>
      <c r="G916" s="232">
        <v>12224</v>
      </c>
      <c r="H916" s="220">
        <v>10877</v>
      </c>
      <c r="I916" s="232">
        <v>21026</v>
      </c>
      <c r="J916" s="231">
        <v>554</v>
      </c>
      <c r="K916" s="88">
        <f t="shared" si="36"/>
        <v>44681</v>
      </c>
      <c r="L916" s="50"/>
      <c r="M916" s="232">
        <v>410</v>
      </c>
      <c r="N916" s="232">
        <v>0</v>
      </c>
      <c r="O916" s="231">
        <v>5622</v>
      </c>
      <c r="P916" s="88">
        <f t="shared" si="37"/>
        <v>6032</v>
      </c>
      <c r="Q916" s="50"/>
      <c r="R916" s="232">
        <v>22010</v>
      </c>
      <c r="S916" s="231">
        <v>419</v>
      </c>
      <c r="T916" s="233">
        <v>22429</v>
      </c>
    </row>
    <row r="917" spans="1:20">
      <c r="A917" s="48">
        <v>99821</v>
      </c>
      <c r="B917" s="49" t="s">
        <v>2469</v>
      </c>
      <c r="C917" s="234">
        <v>9.2899999999999995E-5</v>
      </c>
      <c r="D917" s="234">
        <v>9.1100000000000005E-5</v>
      </c>
      <c r="E917" s="50">
        <v>220391</v>
      </c>
      <c r="F917" s="50"/>
      <c r="G917" s="232">
        <v>34001</v>
      </c>
      <c r="H917" s="220">
        <v>30253</v>
      </c>
      <c r="I917" s="232">
        <v>58483</v>
      </c>
      <c r="J917" s="231">
        <v>16591</v>
      </c>
      <c r="K917" s="88">
        <f t="shared" si="36"/>
        <v>139328</v>
      </c>
      <c r="L917" s="50"/>
      <c r="M917" s="232">
        <v>1141</v>
      </c>
      <c r="N917" s="232">
        <v>0</v>
      </c>
      <c r="O917" s="231">
        <v>250</v>
      </c>
      <c r="P917" s="88">
        <f t="shared" si="37"/>
        <v>1391</v>
      </c>
      <c r="Q917" s="50"/>
      <c r="R917" s="232">
        <v>61219</v>
      </c>
      <c r="S917" s="231">
        <v>11230</v>
      </c>
      <c r="T917" s="233">
        <v>72449</v>
      </c>
    </row>
    <row r="918" spans="1:20">
      <c r="A918" s="48">
        <v>99831</v>
      </c>
      <c r="B918" s="49" t="s">
        <v>2470</v>
      </c>
      <c r="C918" s="234">
        <v>4.9700000000000002E-5</v>
      </c>
      <c r="D918" s="234">
        <v>6.3299999999999994E-5</v>
      </c>
      <c r="E918" s="50">
        <v>117905</v>
      </c>
      <c r="F918" s="50"/>
      <c r="G918" s="232">
        <v>18190</v>
      </c>
      <c r="H918" s="220">
        <v>16185</v>
      </c>
      <c r="I918" s="232">
        <v>31288</v>
      </c>
      <c r="J918" s="231">
        <v>4819</v>
      </c>
      <c r="K918" s="88">
        <f t="shared" si="36"/>
        <v>70482</v>
      </c>
      <c r="L918" s="50"/>
      <c r="M918" s="232">
        <v>610</v>
      </c>
      <c r="N918" s="232">
        <v>0</v>
      </c>
      <c r="O918" s="231">
        <v>7455</v>
      </c>
      <c r="P918" s="88">
        <f t="shared" si="37"/>
        <v>8065</v>
      </c>
      <c r="Q918" s="50"/>
      <c r="R918" s="232">
        <v>32751</v>
      </c>
      <c r="S918" s="231">
        <v>103</v>
      </c>
      <c r="T918" s="233">
        <v>32854</v>
      </c>
    </row>
    <row r="919" spans="1:20">
      <c r="A919" s="48">
        <v>99841</v>
      </c>
      <c r="B919" s="49" t="s">
        <v>2471</v>
      </c>
      <c r="C919" s="234">
        <v>3.2199999999999997E-5</v>
      </c>
      <c r="D919" s="234">
        <v>4.3399999999999998E-5</v>
      </c>
      <c r="E919" s="50">
        <v>76389</v>
      </c>
      <c r="F919" s="50"/>
      <c r="G919" s="232">
        <v>11785</v>
      </c>
      <c r="H919" s="220">
        <v>10486</v>
      </c>
      <c r="I919" s="232">
        <v>20271</v>
      </c>
      <c r="J919" s="231">
        <v>574</v>
      </c>
      <c r="K919" s="88">
        <f t="shared" si="36"/>
        <v>43116</v>
      </c>
      <c r="L919" s="50"/>
      <c r="M919" s="232">
        <v>395</v>
      </c>
      <c r="N919" s="232">
        <v>0</v>
      </c>
      <c r="O919" s="231">
        <v>8879</v>
      </c>
      <c r="P919" s="88">
        <f t="shared" si="37"/>
        <v>9274</v>
      </c>
      <c r="Q919" s="50"/>
      <c r="R919" s="232">
        <v>21219</v>
      </c>
      <c r="S919" s="231">
        <v>-2883</v>
      </c>
      <c r="T919" s="233">
        <v>18336</v>
      </c>
    </row>
    <row r="920" spans="1:20">
      <c r="A920" s="48">
        <v>99851</v>
      </c>
      <c r="B920" s="49" t="s">
        <v>2472</v>
      </c>
      <c r="C920" s="234">
        <v>2.34E-5</v>
      </c>
      <c r="D920" s="234">
        <v>2.23E-5</v>
      </c>
      <c r="E920" s="50">
        <v>55513</v>
      </c>
      <c r="F920" s="50"/>
      <c r="G920" s="232">
        <v>8564</v>
      </c>
      <c r="H920" s="220">
        <v>7620</v>
      </c>
      <c r="I920" s="232">
        <v>14731</v>
      </c>
      <c r="J920" s="231">
        <v>65</v>
      </c>
      <c r="K920" s="88">
        <f t="shared" si="36"/>
        <v>30980</v>
      </c>
      <c r="L920" s="50"/>
      <c r="M920" s="232">
        <v>287</v>
      </c>
      <c r="N920" s="232">
        <v>0</v>
      </c>
      <c r="O920" s="231">
        <v>4221</v>
      </c>
      <c r="P920" s="88">
        <f t="shared" si="37"/>
        <v>4508</v>
      </c>
      <c r="Q920" s="50"/>
      <c r="R920" s="232">
        <v>15420</v>
      </c>
      <c r="S920" s="231">
        <v>-1336</v>
      </c>
      <c r="T920" s="233">
        <v>14084</v>
      </c>
    </row>
    <row r="921" spans="1:20">
      <c r="A921" s="48">
        <v>99901</v>
      </c>
      <c r="B921" s="49" t="s">
        <v>1607</v>
      </c>
      <c r="C921" s="234">
        <v>1.5693E-3</v>
      </c>
      <c r="D921" s="234">
        <v>1.6707E-3</v>
      </c>
      <c r="E921" s="50">
        <v>3722916</v>
      </c>
      <c r="F921" s="50"/>
      <c r="G921" s="232">
        <v>574358</v>
      </c>
      <c r="H921" s="220">
        <v>511045</v>
      </c>
      <c r="I921" s="232">
        <v>987918</v>
      </c>
      <c r="J921" s="231">
        <v>38150</v>
      </c>
      <c r="K921" s="88">
        <f t="shared" si="36"/>
        <v>2111471</v>
      </c>
      <c r="L921" s="50"/>
      <c r="M921" s="232">
        <v>19273</v>
      </c>
      <c r="N921" s="232">
        <v>0</v>
      </c>
      <c r="O921" s="231">
        <v>80037</v>
      </c>
      <c r="P921" s="88">
        <f t="shared" si="37"/>
        <v>99310</v>
      </c>
      <c r="Q921" s="50"/>
      <c r="R921" s="232">
        <v>1034126</v>
      </c>
      <c r="S921" s="231">
        <v>-6774</v>
      </c>
      <c r="T921" s="233">
        <v>1027352</v>
      </c>
    </row>
    <row r="922" spans="1:20">
      <c r="A922" s="48">
        <v>99911</v>
      </c>
      <c r="B922" s="49" t="s">
        <v>2473</v>
      </c>
      <c r="C922" s="234">
        <v>2.3900000000000001E-4</v>
      </c>
      <c r="D922" s="234">
        <v>2.5980000000000003E-4</v>
      </c>
      <c r="E922" s="50">
        <v>566990</v>
      </c>
      <c r="F922" s="50"/>
      <c r="G922" s="232">
        <v>87473</v>
      </c>
      <c r="H922" s="220">
        <v>77831</v>
      </c>
      <c r="I922" s="232">
        <v>150457</v>
      </c>
      <c r="J922" s="231">
        <v>4825</v>
      </c>
      <c r="K922" s="88">
        <f t="shared" si="36"/>
        <v>320586</v>
      </c>
      <c r="L922" s="50"/>
      <c r="M922" s="232">
        <v>2935</v>
      </c>
      <c r="N922" s="232">
        <v>0</v>
      </c>
      <c r="O922" s="231">
        <v>11799</v>
      </c>
      <c r="P922" s="88">
        <f t="shared" si="37"/>
        <v>14734</v>
      </c>
      <c r="Q922" s="50"/>
      <c r="R922" s="232">
        <v>157495</v>
      </c>
      <c r="S922" s="231">
        <v>-7207</v>
      </c>
      <c r="T922" s="233">
        <v>150288</v>
      </c>
    </row>
    <row r="923" spans="1:20">
      <c r="A923" s="48">
        <v>99921</v>
      </c>
      <c r="B923" s="49" t="s">
        <v>2474</v>
      </c>
      <c r="C923" s="234">
        <v>1.3119999999999999E-4</v>
      </c>
      <c r="D923" s="234">
        <v>1.506E-4</v>
      </c>
      <c r="E923" s="50">
        <v>311251</v>
      </c>
      <c r="F923" s="50"/>
      <c r="G923" s="232">
        <v>48019</v>
      </c>
      <c r="H923" s="220">
        <v>42726</v>
      </c>
      <c r="I923" s="232">
        <v>82594</v>
      </c>
      <c r="J923" s="231">
        <v>1708</v>
      </c>
      <c r="K923" s="88">
        <f t="shared" si="36"/>
        <v>175047</v>
      </c>
      <c r="L923" s="50"/>
      <c r="M923" s="232">
        <v>1611</v>
      </c>
      <c r="N923" s="232">
        <v>0</v>
      </c>
      <c r="O923" s="231">
        <v>19558</v>
      </c>
      <c r="P923" s="88">
        <f t="shared" si="37"/>
        <v>21169</v>
      </c>
      <c r="Q923" s="50"/>
      <c r="R923" s="232">
        <v>86457</v>
      </c>
      <c r="S923" s="231">
        <v>-7225</v>
      </c>
      <c r="T923" s="233">
        <v>79232</v>
      </c>
    </row>
    <row r="924" spans="1:20">
      <c r="A924" s="48">
        <v>99931</v>
      </c>
      <c r="B924" s="49" t="s">
        <v>2475</v>
      </c>
      <c r="C924" s="234">
        <v>1.52E-5</v>
      </c>
      <c r="D924" s="234">
        <v>1.5800000000000001E-5</v>
      </c>
      <c r="E924" s="50">
        <v>36060</v>
      </c>
      <c r="F924" s="50"/>
      <c r="G924" s="232">
        <v>5563</v>
      </c>
      <c r="H924" s="220">
        <v>4950</v>
      </c>
      <c r="I924" s="232">
        <v>9569</v>
      </c>
      <c r="J924" s="231">
        <v>1614</v>
      </c>
      <c r="K924" s="88">
        <f t="shared" ref="K924:K927" si="38">G924+H924+I924+J924</f>
        <v>21696</v>
      </c>
      <c r="L924" s="50"/>
      <c r="M924" s="232">
        <v>187</v>
      </c>
      <c r="N924" s="232">
        <v>0</v>
      </c>
      <c r="O924" s="231">
        <v>5213</v>
      </c>
      <c r="P924" s="88">
        <f t="shared" ref="P924:P927" si="39">M924+N924+O924</f>
        <v>5400</v>
      </c>
      <c r="Q924" s="50"/>
      <c r="R924" s="232">
        <v>10016</v>
      </c>
      <c r="S924" s="231">
        <v>-2861</v>
      </c>
      <c r="T924" s="233">
        <v>7155</v>
      </c>
    </row>
    <row r="925" spans="1:20">
      <c r="A925" s="48">
        <v>99941</v>
      </c>
      <c r="B925" s="49" t="s">
        <v>2476</v>
      </c>
      <c r="C925" s="234">
        <v>7.4200000000000001E-5</v>
      </c>
      <c r="D925" s="234">
        <v>7.5400000000000003E-5</v>
      </c>
      <c r="E925" s="50">
        <v>176028</v>
      </c>
      <c r="F925" s="50"/>
      <c r="G925" s="232">
        <v>27157</v>
      </c>
      <c r="H925" s="220">
        <v>24164</v>
      </c>
      <c r="I925" s="232">
        <v>46711</v>
      </c>
      <c r="J925" s="231">
        <v>0</v>
      </c>
      <c r="K925" s="88">
        <f t="shared" si="38"/>
        <v>98032</v>
      </c>
      <c r="L925" s="50"/>
      <c r="M925" s="232">
        <v>911</v>
      </c>
      <c r="N925" s="232">
        <v>0</v>
      </c>
      <c r="O925" s="231">
        <v>9131</v>
      </c>
      <c r="P925" s="88">
        <f t="shared" si="39"/>
        <v>10042</v>
      </c>
      <c r="Q925" s="50"/>
      <c r="R925" s="232">
        <v>48896</v>
      </c>
      <c r="S925" s="231">
        <v>-5026</v>
      </c>
      <c r="T925" s="233">
        <v>43870</v>
      </c>
    </row>
    <row r="926" spans="1:20">
      <c r="A926" s="48">
        <v>99991</v>
      </c>
      <c r="B926" s="49" t="s">
        <v>1612</v>
      </c>
      <c r="C926" s="234">
        <v>5.2700000000000002E-4</v>
      </c>
      <c r="D926" s="234">
        <v>5.3450000000000004E-4</v>
      </c>
      <c r="E926" s="50">
        <v>1250224</v>
      </c>
      <c r="F926" s="50"/>
      <c r="G926" s="232">
        <v>192880</v>
      </c>
      <c r="H926" s="220">
        <v>171619</v>
      </c>
      <c r="I926" s="232">
        <v>331761</v>
      </c>
      <c r="J926" s="231">
        <v>9601</v>
      </c>
      <c r="K926" s="88">
        <f t="shared" si="38"/>
        <v>705861</v>
      </c>
      <c r="L926" s="50"/>
      <c r="M926" s="232">
        <v>6472</v>
      </c>
      <c r="N926" s="232">
        <v>0</v>
      </c>
      <c r="O926" s="231">
        <v>27621</v>
      </c>
      <c r="P926" s="88">
        <f t="shared" si="39"/>
        <v>34093</v>
      </c>
      <c r="Q926" s="50"/>
      <c r="R926" s="232">
        <v>347279</v>
      </c>
      <c r="S926" s="231">
        <v>10622</v>
      </c>
      <c r="T926" s="233">
        <v>357901</v>
      </c>
    </row>
    <row r="927" spans="1:20">
      <c r="A927" s="48">
        <v>99999</v>
      </c>
      <c r="B927" s="49" t="s">
        <v>1613</v>
      </c>
      <c r="C927" s="234">
        <v>9.2020000000000003E-4</v>
      </c>
      <c r="D927" s="234">
        <v>8.7509999999999997E-4</v>
      </c>
      <c r="E927" s="50">
        <v>2183029</v>
      </c>
      <c r="F927" s="50"/>
      <c r="G927" s="232">
        <v>336790</v>
      </c>
      <c r="H927" s="220">
        <v>299665</v>
      </c>
      <c r="I927" s="232">
        <v>579292</v>
      </c>
      <c r="J927" s="231">
        <v>139284</v>
      </c>
      <c r="K927" s="88">
        <f t="shared" si="38"/>
        <v>1355031</v>
      </c>
      <c r="L927" s="50"/>
      <c r="M927" s="232">
        <v>11301</v>
      </c>
      <c r="N927" s="232">
        <v>0</v>
      </c>
      <c r="O927" s="231">
        <v>3425</v>
      </c>
      <c r="P927" s="88">
        <f t="shared" si="39"/>
        <v>14726</v>
      </c>
      <c r="Q927" s="50"/>
      <c r="R927" s="232">
        <v>606387</v>
      </c>
      <c r="S927" s="231">
        <v>34690</v>
      </c>
      <c r="T927" s="233">
        <v>641077</v>
      </c>
    </row>
    <row r="928" spans="1:20">
      <c r="A928" s="48"/>
      <c r="B928" s="49"/>
      <c r="C928" s="176"/>
      <c r="D928" s="91"/>
    </row>
    <row r="929" spans="1:20" s="95" customFormat="1">
      <c r="A929" s="90"/>
      <c r="B929" s="54"/>
      <c r="C929" s="176"/>
      <c r="D929" s="82"/>
      <c r="E929" s="92"/>
      <c r="F929" s="92"/>
      <c r="G929" s="93"/>
      <c r="H929" s="94"/>
      <c r="I929" s="93"/>
      <c r="J929" s="93"/>
      <c r="K929" s="94"/>
      <c r="L929" s="93"/>
      <c r="M929" s="93"/>
      <c r="N929" s="93"/>
      <c r="O929" s="93"/>
      <c r="P929" s="94"/>
      <c r="Q929" s="93"/>
      <c r="R929" s="93"/>
      <c r="S929" s="93"/>
      <c r="T929" s="93"/>
    </row>
    <row r="930" spans="1:20">
      <c r="B930" s="4" t="s">
        <v>690</v>
      </c>
      <c r="C930" s="253" t="s">
        <v>691</v>
      </c>
    </row>
    <row r="931" spans="1:20">
      <c r="A931" s="226"/>
      <c r="B931" s="131" t="s">
        <v>2021</v>
      </c>
      <c r="C931" s="226">
        <v>96331</v>
      </c>
      <c r="H931" s="82"/>
      <c r="K931" s="82"/>
      <c r="P931" s="82"/>
    </row>
    <row r="932" spans="1:20">
      <c r="A932" s="226"/>
      <c r="B932" s="131" t="s">
        <v>2022</v>
      </c>
      <c r="C932" s="226">
        <v>94611</v>
      </c>
      <c r="H932" s="82"/>
      <c r="K932" s="82"/>
      <c r="P932" s="82"/>
    </row>
    <row r="933" spans="1:20">
      <c r="A933" s="226"/>
      <c r="B933" s="131" t="s">
        <v>1037</v>
      </c>
      <c r="C933" s="226">
        <v>93402</v>
      </c>
      <c r="H933" s="82"/>
      <c r="K933" s="82"/>
      <c r="P933" s="82"/>
    </row>
    <row r="934" spans="1:20">
      <c r="A934" s="226"/>
      <c r="B934" s="131" t="s">
        <v>2493</v>
      </c>
      <c r="C934" s="226">
        <v>90151</v>
      </c>
      <c r="H934" s="82"/>
      <c r="K934" s="82"/>
      <c r="P934" s="82"/>
    </row>
    <row r="935" spans="1:20">
      <c r="A935" s="226"/>
      <c r="B935" s="131" t="s">
        <v>1101</v>
      </c>
      <c r="C935" s="48">
        <v>94109</v>
      </c>
      <c r="H935" s="82"/>
      <c r="K935" s="82"/>
      <c r="P935" s="82"/>
    </row>
    <row r="936" spans="1:20">
      <c r="A936" s="226"/>
      <c r="B936" s="131" t="s">
        <v>734</v>
      </c>
      <c r="C936" s="48">
        <v>90101</v>
      </c>
      <c r="H936" s="82"/>
      <c r="K936" s="82"/>
      <c r="P936" s="82"/>
    </row>
    <row r="937" spans="1:20">
      <c r="A937" s="226"/>
      <c r="B937" s="131" t="s">
        <v>737</v>
      </c>
      <c r="C937" s="48">
        <v>90117</v>
      </c>
      <c r="H937" s="82"/>
      <c r="K937" s="82"/>
      <c r="P937" s="82"/>
    </row>
    <row r="938" spans="1:20">
      <c r="A938" s="226"/>
      <c r="B938" s="131" t="s">
        <v>1942</v>
      </c>
      <c r="C938" s="48">
        <v>98411</v>
      </c>
      <c r="H938" s="82"/>
      <c r="K938" s="82"/>
      <c r="P938" s="82"/>
    </row>
    <row r="939" spans="1:20">
      <c r="A939" s="226"/>
      <c r="B939" s="131" t="s">
        <v>1488</v>
      </c>
      <c r="C939" s="48">
        <v>98417</v>
      </c>
      <c r="H939" s="82"/>
      <c r="K939" s="82"/>
      <c r="P939" s="82"/>
    </row>
    <row r="940" spans="1:20">
      <c r="A940" s="226"/>
      <c r="B940" s="131" t="s">
        <v>1346</v>
      </c>
      <c r="C940" s="48">
        <v>97008</v>
      </c>
      <c r="H940" s="82"/>
      <c r="K940" s="82"/>
      <c r="P940" s="82"/>
    </row>
    <row r="941" spans="1:20">
      <c r="A941" s="226"/>
      <c r="B941" s="131" t="s">
        <v>1347</v>
      </c>
      <c r="C941" s="48">
        <v>97010</v>
      </c>
      <c r="H941" s="82"/>
      <c r="K941" s="82"/>
      <c r="P941" s="82"/>
    </row>
    <row r="942" spans="1:20">
      <c r="A942" s="226"/>
      <c r="B942" s="131" t="s">
        <v>731</v>
      </c>
      <c r="C942" s="48">
        <v>90096</v>
      </c>
      <c r="H942" s="82"/>
      <c r="K942" s="82"/>
      <c r="P942" s="82"/>
    </row>
    <row r="943" spans="1:20">
      <c r="A943" s="226"/>
      <c r="B943" s="131" t="s">
        <v>782</v>
      </c>
      <c r="C943" s="48">
        <v>90805</v>
      </c>
      <c r="H943" s="82"/>
      <c r="K943" s="82"/>
      <c r="P943" s="82"/>
    </row>
    <row r="944" spans="1:20">
      <c r="A944" s="226"/>
      <c r="B944" s="131" t="s">
        <v>925</v>
      </c>
      <c r="C944" s="48">
        <v>92109</v>
      </c>
      <c r="H944" s="82"/>
      <c r="K944" s="82"/>
      <c r="P944" s="82"/>
    </row>
    <row r="945" spans="1:16">
      <c r="A945" s="226"/>
      <c r="B945" s="131" t="s">
        <v>743</v>
      </c>
      <c r="C945" s="48">
        <v>90201</v>
      </c>
      <c r="H945" s="82"/>
      <c r="K945" s="82"/>
      <c r="P945" s="82"/>
    </row>
    <row r="946" spans="1:16">
      <c r="A946" s="226"/>
      <c r="B946" s="131" t="s">
        <v>746</v>
      </c>
      <c r="C946" s="48">
        <v>90206</v>
      </c>
      <c r="H946" s="82"/>
      <c r="K946" s="82"/>
      <c r="P946" s="82"/>
    </row>
    <row r="947" spans="1:16">
      <c r="A947" s="226"/>
      <c r="B947" s="131" t="s">
        <v>744</v>
      </c>
      <c r="C947" s="48">
        <v>90203</v>
      </c>
      <c r="H947" s="82"/>
      <c r="K947" s="82"/>
      <c r="P947" s="82"/>
    </row>
    <row r="948" spans="1:16">
      <c r="A948" s="226"/>
      <c r="B948" s="131" t="s">
        <v>745</v>
      </c>
      <c r="C948" s="48">
        <v>90205</v>
      </c>
      <c r="H948" s="82"/>
      <c r="K948" s="82"/>
      <c r="P948" s="82"/>
    </row>
    <row r="949" spans="1:16">
      <c r="A949" s="226"/>
      <c r="B949" s="131" t="s">
        <v>748</v>
      </c>
      <c r="C949" s="48">
        <v>90301</v>
      </c>
      <c r="H949" s="82"/>
      <c r="K949" s="82"/>
      <c r="P949" s="82"/>
    </row>
    <row r="950" spans="1:16">
      <c r="A950" s="226"/>
      <c r="B950" s="131" t="s">
        <v>1020</v>
      </c>
      <c r="C950" s="48">
        <v>93209</v>
      </c>
      <c r="H950" s="82"/>
      <c r="K950" s="82"/>
      <c r="P950" s="82"/>
    </row>
    <row r="951" spans="1:16">
      <c r="A951" s="226"/>
      <c r="B951" s="131" t="s">
        <v>2023</v>
      </c>
      <c r="C951" s="48">
        <v>92021</v>
      </c>
      <c r="H951" s="82"/>
      <c r="K951" s="82"/>
      <c r="P951" s="82"/>
    </row>
    <row r="952" spans="1:16">
      <c r="A952" s="226"/>
      <c r="B952" s="131" t="s">
        <v>2024</v>
      </c>
      <c r="C952" s="48">
        <v>94351</v>
      </c>
      <c r="H952" s="82"/>
      <c r="K952" s="82"/>
      <c r="P952" s="82"/>
    </row>
    <row r="953" spans="1:16">
      <c r="A953" s="226"/>
      <c r="B953" s="131" t="s">
        <v>2025</v>
      </c>
      <c r="C953" s="48">
        <v>94347</v>
      </c>
      <c r="H953" s="82"/>
      <c r="K953" s="82"/>
      <c r="P953" s="82"/>
    </row>
    <row r="954" spans="1:16">
      <c r="A954" s="226"/>
      <c r="B954" s="131" t="s">
        <v>751</v>
      </c>
      <c r="C954" s="226">
        <v>90401</v>
      </c>
      <c r="H954" s="82"/>
      <c r="K954" s="82"/>
      <c r="P954" s="82"/>
    </row>
    <row r="955" spans="1:16">
      <c r="A955" s="226"/>
      <c r="B955" s="131" t="s">
        <v>2026</v>
      </c>
      <c r="C955" s="48">
        <v>90451</v>
      </c>
      <c r="H955" s="82"/>
      <c r="K955" s="82"/>
      <c r="P955" s="82"/>
    </row>
    <row r="956" spans="1:16">
      <c r="A956" s="226"/>
      <c r="B956" s="131" t="s">
        <v>2027</v>
      </c>
      <c r="C956" s="48">
        <v>99271</v>
      </c>
      <c r="H956" s="82"/>
      <c r="K956" s="82"/>
      <c r="P956" s="82"/>
    </row>
    <row r="957" spans="1:16">
      <c r="A957" s="226"/>
      <c r="B957" s="131" t="s">
        <v>733</v>
      </c>
      <c r="C957" s="48">
        <v>90099</v>
      </c>
      <c r="H957" s="82"/>
      <c r="K957" s="82"/>
      <c r="P957" s="82"/>
    </row>
    <row r="958" spans="1:16">
      <c r="A958" s="226"/>
      <c r="B958" s="131" t="s">
        <v>1592</v>
      </c>
      <c r="C958" s="48">
        <v>99705</v>
      </c>
      <c r="H958" s="82"/>
      <c r="K958" s="82"/>
      <c r="P958" s="82"/>
    </row>
    <row r="959" spans="1:16">
      <c r="A959" s="226"/>
      <c r="B959" s="131" t="s">
        <v>1943</v>
      </c>
      <c r="C959" s="226">
        <v>97651</v>
      </c>
      <c r="H959" s="82"/>
      <c r="K959" s="82"/>
      <c r="P959" s="82"/>
    </row>
    <row r="960" spans="1:16">
      <c r="A960" s="226"/>
      <c r="B960" s="131" t="s">
        <v>2028</v>
      </c>
      <c r="C960" s="48">
        <v>95106</v>
      </c>
      <c r="H960" s="82"/>
      <c r="K960" s="82"/>
      <c r="P960" s="82"/>
    </row>
    <row r="961" spans="1:16">
      <c r="A961" s="226"/>
      <c r="B961" s="131" t="s">
        <v>760</v>
      </c>
      <c r="C961" s="48">
        <v>90501</v>
      </c>
      <c r="H961" s="82"/>
      <c r="K961" s="82"/>
      <c r="P961" s="82"/>
    </row>
    <row r="962" spans="1:16">
      <c r="A962" s="226"/>
      <c r="B962" s="131" t="s">
        <v>1944</v>
      </c>
      <c r="C962" s="48">
        <v>97611</v>
      </c>
      <c r="H962" s="82"/>
      <c r="K962" s="82"/>
      <c r="P962" s="82"/>
    </row>
    <row r="963" spans="1:16">
      <c r="A963" s="226"/>
      <c r="B963" s="131" t="s">
        <v>1389</v>
      </c>
      <c r="C963" s="48">
        <v>97607</v>
      </c>
      <c r="H963" s="82"/>
      <c r="K963" s="82"/>
      <c r="P963" s="82"/>
    </row>
    <row r="964" spans="1:16">
      <c r="A964" s="226"/>
      <c r="B964" s="131" t="s">
        <v>2747</v>
      </c>
      <c r="C964" s="48">
        <v>97613</v>
      </c>
      <c r="H964" s="82"/>
      <c r="K964" s="82"/>
      <c r="P964" s="82"/>
    </row>
    <row r="965" spans="1:16">
      <c r="A965" s="226"/>
      <c r="B965" s="131" t="s">
        <v>1945</v>
      </c>
      <c r="C965" s="48">
        <v>91121</v>
      </c>
      <c r="H965" s="82"/>
      <c r="K965" s="82"/>
      <c r="P965" s="82"/>
    </row>
    <row r="966" spans="1:16">
      <c r="A966" s="226"/>
      <c r="B966" s="131" t="s">
        <v>834</v>
      </c>
      <c r="C966" s="51">
        <v>91127</v>
      </c>
      <c r="H966" s="82"/>
      <c r="K966" s="82"/>
      <c r="P966" s="82"/>
    </row>
    <row r="967" spans="1:16">
      <c r="A967" s="226"/>
      <c r="B967" s="131" t="s">
        <v>835</v>
      </c>
      <c r="C967" s="48">
        <v>91128</v>
      </c>
      <c r="H967" s="82"/>
      <c r="K967" s="82"/>
      <c r="P967" s="82"/>
    </row>
    <row r="968" spans="1:16">
      <c r="A968" s="226"/>
      <c r="B968" s="131" t="s">
        <v>2029</v>
      </c>
      <c r="C968" s="226">
        <v>91681</v>
      </c>
      <c r="H968" s="82"/>
      <c r="K968" s="82"/>
      <c r="P968" s="82"/>
    </row>
    <row r="969" spans="1:16">
      <c r="A969" s="226"/>
      <c r="B969" s="131" t="s">
        <v>2030</v>
      </c>
      <c r="C969" s="48">
        <v>90811</v>
      </c>
      <c r="H969" s="82"/>
      <c r="K969" s="82"/>
      <c r="P969" s="82"/>
    </row>
    <row r="970" spans="1:16">
      <c r="A970" s="226"/>
      <c r="B970" s="131" t="s">
        <v>2032</v>
      </c>
      <c r="C970" s="48">
        <v>90721</v>
      </c>
      <c r="H970" s="82"/>
      <c r="K970" s="82"/>
      <c r="P970" s="82"/>
    </row>
    <row r="971" spans="1:16">
      <c r="A971" s="226"/>
      <c r="B971" s="131" t="s">
        <v>2031</v>
      </c>
      <c r="C971" s="48">
        <v>98271</v>
      </c>
      <c r="H971" s="82"/>
      <c r="K971" s="82"/>
      <c r="P971" s="82"/>
    </row>
    <row r="972" spans="1:16">
      <c r="A972" s="226"/>
      <c r="B972" s="131" t="s">
        <v>763</v>
      </c>
      <c r="C972" s="48">
        <v>90601</v>
      </c>
      <c r="H972" s="82"/>
      <c r="K972" s="82"/>
      <c r="P972" s="82"/>
    </row>
    <row r="973" spans="1:16">
      <c r="A973" s="226"/>
      <c r="B973" s="131" t="s">
        <v>259</v>
      </c>
      <c r="C973" s="48">
        <v>90602</v>
      </c>
      <c r="H973" s="82"/>
      <c r="K973" s="82"/>
      <c r="P973" s="82"/>
    </row>
    <row r="974" spans="1:16">
      <c r="A974" s="226"/>
      <c r="B974" s="131" t="s">
        <v>764</v>
      </c>
      <c r="C974" s="48">
        <v>90605</v>
      </c>
      <c r="H974" s="82"/>
      <c r="K974" s="82"/>
      <c r="P974" s="82"/>
    </row>
    <row r="975" spans="1:16">
      <c r="A975" s="226"/>
      <c r="B975" s="131" t="s">
        <v>2033</v>
      </c>
      <c r="C975" s="48">
        <v>97461</v>
      </c>
      <c r="H975" s="82"/>
      <c r="K975" s="82"/>
      <c r="P975" s="82"/>
    </row>
    <row r="976" spans="1:16">
      <c r="A976" s="226"/>
      <c r="B976" s="131" t="s">
        <v>1380</v>
      </c>
      <c r="C976" s="48">
        <v>97463</v>
      </c>
      <c r="H976" s="82"/>
      <c r="K976" s="82"/>
      <c r="P976" s="82"/>
    </row>
    <row r="977" spans="1:16">
      <c r="A977" s="226"/>
      <c r="B977" s="131" t="s">
        <v>773</v>
      </c>
      <c r="C977" s="226">
        <v>90705</v>
      </c>
      <c r="H977" s="82"/>
      <c r="K977" s="82"/>
      <c r="P977" s="82"/>
    </row>
    <row r="978" spans="1:16">
      <c r="A978" s="226"/>
      <c r="B978" s="131" t="s">
        <v>2034</v>
      </c>
      <c r="C978" s="48">
        <v>98451</v>
      </c>
      <c r="H978" s="82"/>
      <c r="K978" s="82"/>
      <c r="P978" s="82"/>
    </row>
    <row r="979" spans="1:16">
      <c r="A979" s="226"/>
      <c r="B979" s="131" t="s">
        <v>2035</v>
      </c>
      <c r="C979" s="48">
        <v>96451</v>
      </c>
      <c r="H979" s="82"/>
      <c r="K979" s="82"/>
      <c r="P979" s="82"/>
    </row>
    <row r="980" spans="1:16">
      <c r="A980" s="226"/>
      <c r="B980" s="131" t="s">
        <v>2036</v>
      </c>
      <c r="C980" s="48">
        <v>96121</v>
      </c>
      <c r="H980" s="82"/>
      <c r="K980" s="82"/>
      <c r="P980" s="82"/>
    </row>
    <row r="981" spans="1:16">
      <c r="A981" s="226"/>
      <c r="B981" s="131" t="s">
        <v>2494</v>
      </c>
      <c r="C981" s="48">
        <v>91091</v>
      </c>
      <c r="H981" s="82"/>
      <c r="K981" s="82"/>
      <c r="P981" s="82"/>
    </row>
    <row r="982" spans="1:16">
      <c r="A982" s="226"/>
      <c r="B982" s="131" t="s">
        <v>2037</v>
      </c>
      <c r="C982" s="48">
        <v>90611</v>
      </c>
      <c r="H982" s="82"/>
      <c r="K982" s="82"/>
      <c r="P982" s="82"/>
    </row>
    <row r="983" spans="1:16">
      <c r="A983" s="226"/>
      <c r="B983" s="131" t="s">
        <v>1341</v>
      </c>
      <c r="C983" s="48">
        <v>96918</v>
      </c>
      <c r="H983" s="82"/>
      <c r="K983" s="82"/>
      <c r="P983" s="82"/>
    </row>
    <row r="984" spans="1:16">
      <c r="A984" s="226"/>
      <c r="B984" s="131" t="s">
        <v>2038</v>
      </c>
      <c r="C984" s="48">
        <v>96911</v>
      </c>
      <c r="H984" s="82"/>
      <c r="K984" s="82"/>
      <c r="P984" s="82"/>
    </row>
    <row r="985" spans="1:16">
      <c r="A985" s="226"/>
      <c r="B985" s="131" t="s">
        <v>1543</v>
      </c>
      <c r="C985" s="48">
        <v>99208</v>
      </c>
      <c r="H985" s="82"/>
      <c r="K985" s="82"/>
      <c r="P985" s="82"/>
    </row>
    <row r="986" spans="1:16">
      <c r="A986" s="226"/>
      <c r="B986" s="131" t="s">
        <v>2039</v>
      </c>
      <c r="C986" s="48">
        <v>91631</v>
      </c>
      <c r="H986" s="82"/>
      <c r="K986" s="82"/>
      <c r="P986" s="82"/>
    </row>
    <row r="987" spans="1:16">
      <c r="A987" s="226"/>
      <c r="B987" s="131" t="s">
        <v>771</v>
      </c>
      <c r="C987" s="48">
        <v>90701</v>
      </c>
      <c r="H987" s="82"/>
      <c r="K987" s="82"/>
      <c r="P987" s="82"/>
    </row>
    <row r="988" spans="1:16">
      <c r="A988" s="226"/>
      <c r="B988" s="131" t="s">
        <v>772</v>
      </c>
      <c r="C988" s="48">
        <v>90704</v>
      </c>
      <c r="H988" s="82"/>
      <c r="K988" s="82"/>
      <c r="P988" s="82"/>
    </row>
    <row r="989" spans="1:16">
      <c r="A989" s="226"/>
      <c r="B989" s="131" t="s">
        <v>2750</v>
      </c>
      <c r="C989" s="48">
        <v>91633</v>
      </c>
      <c r="H989" s="82"/>
      <c r="K989" s="82"/>
      <c r="P989" s="82"/>
    </row>
    <row r="990" spans="1:16">
      <c r="A990" s="226"/>
      <c r="B990" s="131" t="s">
        <v>2040</v>
      </c>
      <c r="C990" s="48">
        <v>90631</v>
      </c>
      <c r="H990" s="82"/>
      <c r="K990" s="82"/>
      <c r="P990" s="82"/>
    </row>
    <row r="991" spans="1:16">
      <c r="A991" s="226"/>
      <c r="B991" s="131" t="s">
        <v>2041</v>
      </c>
      <c r="C991" s="48">
        <v>90731</v>
      </c>
      <c r="H991" s="82"/>
      <c r="K991" s="82"/>
      <c r="P991" s="82"/>
    </row>
    <row r="992" spans="1:16">
      <c r="A992" s="226"/>
      <c r="B992" s="131" t="s">
        <v>1946</v>
      </c>
      <c r="C992" s="48">
        <v>93621</v>
      </c>
      <c r="H992" s="82"/>
      <c r="K992" s="82"/>
      <c r="P992" s="82"/>
    </row>
    <row r="993" spans="1:16">
      <c r="A993" s="226"/>
      <c r="B993" s="131" t="s">
        <v>1066</v>
      </c>
      <c r="C993" s="48">
        <v>93623</v>
      </c>
      <c r="H993" s="82"/>
      <c r="K993" s="82"/>
      <c r="P993" s="82"/>
    </row>
    <row r="994" spans="1:16">
      <c r="A994" s="226"/>
      <c r="B994" s="131" t="s">
        <v>2042</v>
      </c>
      <c r="C994" s="48">
        <v>91020</v>
      </c>
      <c r="H994" s="82"/>
      <c r="K994" s="82"/>
      <c r="P994" s="82"/>
    </row>
    <row r="995" spans="1:16">
      <c r="A995" s="226"/>
      <c r="B995" s="131" t="s">
        <v>2043</v>
      </c>
      <c r="C995" s="48">
        <v>95141</v>
      </c>
      <c r="H995" s="82"/>
      <c r="K995" s="82"/>
      <c r="P995" s="82"/>
    </row>
    <row r="996" spans="1:16">
      <c r="A996" s="226"/>
      <c r="B996" s="131" t="s">
        <v>1186</v>
      </c>
      <c r="C996" s="48">
        <v>95103</v>
      </c>
      <c r="H996" s="82"/>
      <c r="K996" s="82"/>
      <c r="P996" s="82"/>
    </row>
    <row r="997" spans="1:16">
      <c r="A997" s="226"/>
      <c r="B997" s="131" t="s">
        <v>2044</v>
      </c>
      <c r="C997" s="48">
        <v>93021</v>
      </c>
      <c r="H997" s="82"/>
      <c r="K997" s="82"/>
      <c r="P997" s="82"/>
    </row>
    <row r="998" spans="1:16">
      <c r="A998" s="226"/>
      <c r="B998" s="131" t="s">
        <v>780</v>
      </c>
      <c r="C998" s="48">
        <v>90801</v>
      </c>
      <c r="H998" s="82"/>
      <c r="K998" s="82"/>
      <c r="P998" s="82"/>
    </row>
    <row r="999" spans="1:16">
      <c r="A999" s="226"/>
      <c r="B999" s="131" t="s">
        <v>781</v>
      </c>
      <c r="C999" s="48">
        <v>90804</v>
      </c>
      <c r="H999" s="82"/>
      <c r="K999" s="82"/>
      <c r="P999" s="82"/>
    </row>
    <row r="1000" spans="1:16">
      <c r="A1000" s="226"/>
      <c r="B1000" s="131" t="s">
        <v>783</v>
      </c>
      <c r="C1000" s="48">
        <v>90808</v>
      </c>
      <c r="H1000" s="82"/>
      <c r="K1000" s="82"/>
      <c r="P1000" s="82"/>
    </row>
    <row r="1001" spans="1:16">
      <c r="A1001" s="226"/>
      <c r="B1001" s="131" t="s">
        <v>1072</v>
      </c>
      <c r="C1001" s="48">
        <v>93671</v>
      </c>
      <c r="H1001" s="82"/>
      <c r="K1001" s="82"/>
      <c r="P1001" s="82"/>
    </row>
    <row r="1002" spans="1:16">
      <c r="A1002" s="226"/>
      <c r="B1002" s="131" t="s">
        <v>2770</v>
      </c>
      <c r="C1002" s="48">
        <v>93677</v>
      </c>
      <c r="H1002" s="82"/>
      <c r="K1002" s="82"/>
      <c r="P1002" s="82"/>
    </row>
    <row r="1003" spans="1:16">
      <c r="A1003" s="226"/>
      <c r="B1003" s="131" t="s">
        <v>2045</v>
      </c>
      <c r="C1003" s="226">
        <v>97441</v>
      </c>
      <c r="H1003" s="82"/>
      <c r="K1003" s="82"/>
      <c r="P1003" s="82"/>
    </row>
    <row r="1004" spans="1:16">
      <c r="A1004" s="226"/>
      <c r="B1004" s="131" t="s">
        <v>2046</v>
      </c>
      <c r="C1004" s="48">
        <v>93111</v>
      </c>
      <c r="H1004" s="82"/>
      <c r="K1004" s="82"/>
      <c r="P1004" s="82"/>
    </row>
    <row r="1005" spans="1:16">
      <c r="A1005" s="226"/>
      <c r="B1005" s="131" t="s">
        <v>2047</v>
      </c>
      <c r="C1005" s="48">
        <v>91111</v>
      </c>
      <c r="H1005" s="82"/>
      <c r="K1005" s="82"/>
      <c r="P1005" s="82"/>
    </row>
    <row r="1006" spans="1:16">
      <c r="A1006" s="226"/>
      <c r="B1006" s="131" t="s">
        <v>2048</v>
      </c>
      <c r="C1006" s="48">
        <v>96231</v>
      </c>
      <c r="H1006" s="82"/>
      <c r="K1006" s="82"/>
      <c r="P1006" s="82"/>
    </row>
    <row r="1007" spans="1:16">
      <c r="A1007" s="226"/>
      <c r="B1007" s="131" t="s">
        <v>2049</v>
      </c>
      <c r="C1007" s="51">
        <v>99831</v>
      </c>
      <c r="H1007" s="82"/>
      <c r="K1007" s="82"/>
      <c r="P1007" s="82"/>
    </row>
    <row r="1008" spans="1:16">
      <c r="A1008" s="226"/>
      <c r="B1008" s="131" t="s">
        <v>2050</v>
      </c>
      <c r="C1008" s="48">
        <v>91151</v>
      </c>
      <c r="H1008" s="82"/>
      <c r="K1008" s="82"/>
      <c r="P1008" s="82"/>
    </row>
    <row r="1009" spans="1:16">
      <c r="A1009" s="226"/>
      <c r="B1009" s="131" t="s">
        <v>840</v>
      </c>
      <c r="C1009" s="226">
        <v>91154</v>
      </c>
      <c r="H1009" s="82"/>
      <c r="K1009" s="82"/>
      <c r="P1009" s="82"/>
    </row>
    <row r="1010" spans="1:16">
      <c r="A1010" s="226"/>
      <c r="B1010" s="131" t="s">
        <v>788</v>
      </c>
      <c r="C1010" s="48">
        <v>90901</v>
      </c>
      <c r="H1010" s="82"/>
      <c r="K1010" s="82"/>
      <c r="P1010" s="82"/>
    </row>
    <row r="1011" spans="1:16">
      <c r="A1011" s="226"/>
      <c r="B1011" s="131" t="s">
        <v>2051</v>
      </c>
      <c r="C1011" s="48">
        <v>90941</v>
      </c>
      <c r="H1011" s="82"/>
      <c r="K1011" s="82"/>
      <c r="P1011" s="82"/>
    </row>
    <row r="1012" spans="1:16">
      <c r="A1012" s="226"/>
      <c r="B1012" s="131" t="s">
        <v>2052</v>
      </c>
      <c r="C1012" s="48">
        <v>99521</v>
      </c>
      <c r="H1012" s="82"/>
      <c r="K1012" s="82"/>
      <c r="P1012" s="82"/>
    </row>
    <row r="1013" spans="1:16">
      <c r="A1013" s="226"/>
      <c r="B1013" s="131" t="s">
        <v>1576</v>
      </c>
      <c r="C1013" s="48">
        <v>99527</v>
      </c>
      <c r="H1013" s="82"/>
      <c r="K1013" s="82"/>
      <c r="P1013" s="82"/>
    </row>
    <row r="1014" spans="1:16">
      <c r="A1014" s="226"/>
      <c r="B1014" s="131" t="s">
        <v>1572</v>
      </c>
      <c r="C1014" s="48">
        <v>99508</v>
      </c>
      <c r="H1014" s="82"/>
      <c r="K1014" s="82"/>
      <c r="P1014" s="82"/>
    </row>
    <row r="1015" spans="1:16">
      <c r="A1015" s="226"/>
      <c r="B1015" s="131" t="s">
        <v>1152</v>
      </c>
      <c r="C1015" s="48">
        <v>94532</v>
      </c>
      <c r="H1015" s="82"/>
      <c r="K1015" s="82"/>
      <c r="P1015" s="82"/>
    </row>
    <row r="1016" spans="1:16">
      <c r="A1016" s="226"/>
      <c r="B1016" s="131" t="s">
        <v>1947</v>
      </c>
      <c r="C1016" s="48">
        <v>91071</v>
      </c>
      <c r="H1016" s="82"/>
      <c r="K1016" s="82"/>
      <c r="P1016" s="82"/>
    </row>
    <row r="1017" spans="1:16">
      <c r="A1017" s="226"/>
      <c r="B1017" s="131" t="s">
        <v>822</v>
      </c>
      <c r="C1017" s="48">
        <v>91077</v>
      </c>
      <c r="H1017" s="82"/>
      <c r="K1017" s="82"/>
      <c r="P1017" s="82"/>
    </row>
    <row r="1018" spans="1:16">
      <c r="A1018" s="226"/>
      <c r="B1018" s="131" t="s">
        <v>2053</v>
      </c>
      <c r="C1018" s="48">
        <v>92331</v>
      </c>
      <c r="H1018" s="82"/>
      <c r="K1018" s="82"/>
      <c r="P1018" s="82"/>
    </row>
    <row r="1019" spans="1:16">
      <c r="A1019" s="226"/>
      <c r="B1019" s="131" t="s">
        <v>2054</v>
      </c>
      <c r="C1019" s="48">
        <v>92414</v>
      </c>
      <c r="H1019" s="82"/>
      <c r="K1019" s="82"/>
      <c r="P1019" s="82"/>
    </row>
    <row r="1020" spans="1:16">
      <c r="A1020" s="226"/>
      <c r="B1020" s="131" t="s">
        <v>2055</v>
      </c>
      <c r="C1020" s="48">
        <v>99511</v>
      </c>
      <c r="H1020" s="82"/>
      <c r="K1020" s="82"/>
      <c r="P1020" s="82"/>
    </row>
    <row r="1021" spans="1:16">
      <c r="A1021" s="226"/>
      <c r="B1021" s="131" t="s">
        <v>2056</v>
      </c>
      <c r="C1021" s="51">
        <v>99941</v>
      </c>
      <c r="H1021" s="82"/>
      <c r="K1021" s="82"/>
      <c r="P1021" s="82"/>
    </row>
    <row r="1022" spans="1:16">
      <c r="A1022" s="226"/>
      <c r="B1022" s="131" t="s">
        <v>1294</v>
      </c>
      <c r="C1022" s="48">
        <v>96405</v>
      </c>
      <c r="H1022" s="82"/>
      <c r="K1022" s="82"/>
      <c r="P1022" s="82"/>
    </row>
    <row r="1023" spans="1:16">
      <c r="A1023" s="226"/>
      <c r="B1023" s="131" t="s">
        <v>1948</v>
      </c>
      <c r="C1023" s="226">
        <v>98811</v>
      </c>
      <c r="H1023" s="82"/>
      <c r="K1023" s="82"/>
      <c r="P1023" s="82"/>
    </row>
    <row r="1024" spans="1:16">
      <c r="A1024" s="226"/>
      <c r="B1024" s="131" t="s">
        <v>1514</v>
      </c>
      <c r="C1024" s="48">
        <v>98817</v>
      </c>
      <c r="H1024" s="82"/>
      <c r="K1024" s="82"/>
      <c r="P1024" s="82"/>
    </row>
    <row r="1025" spans="1:16">
      <c r="A1025" s="226"/>
      <c r="B1025" s="131" t="s">
        <v>2057</v>
      </c>
      <c r="C1025" s="48">
        <v>92561</v>
      </c>
      <c r="H1025" s="82"/>
      <c r="K1025" s="82"/>
      <c r="P1025" s="82"/>
    </row>
    <row r="1026" spans="1:16">
      <c r="A1026" s="226"/>
      <c r="B1026" s="131" t="s">
        <v>1455</v>
      </c>
      <c r="C1026" s="48">
        <v>98102</v>
      </c>
      <c r="H1026" s="82"/>
      <c r="K1026" s="82"/>
      <c r="P1026" s="82"/>
    </row>
    <row r="1027" spans="1:16">
      <c r="A1027" s="226"/>
      <c r="B1027" s="131" t="s">
        <v>2058</v>
      </c>
      <c r="C1027" s="48">
        <v>95321</v>
      </c>
      <c r="H1027" s="82"/>
      <c r="K1027" s="82"/>
      <c r="P1027" s="82"/>
    </row>
    <row r="1028" spans="1:16">
      <c r="A1028" s="226"/>
      <c r="B1028" s="131" t="s">
        <v>2059</v>
      </c>
      <c r="C1028" s="48">
        <v>91861</v>
      </c>
      <c r="H1028" s="82"/>
      <c r="K1028" s="82"/>
      <c r="P1028" s="82"/>
    </row>
    <row r="1029" spans="1:16">
      <c r="A1029" s="226"/>
      <c r="B1029" s="131" t="s">
        <v>2060</v>
      </c>
      <c r="C1029" s="48">
        <v>92421</v>
      </c>
      <c r="H1029" s="82"/>
      <c r="K1029" s="82"/>
      <c r="P1029" s="82"/>
    </row>
    <row r="1030" spans="1:16">
      <c r="A1030" s="226"/>
      <c r="B1030" s="131" t="s">
        <v>795</v>
      </c>
      <c r="C1030" s="48">
        <v>91001</v>
      </c>
      <c r="H1030" s="82"/>
      <c r="K1030" s="82"/>
      <c r="P1030" s="82"/>
    </row>
    <row r="1031" spans="1:16">
      <c r="A1031" s="226"/>
      <c r="B1031" s="131" t="s">
        <v>798</v>
      </c>
      <c r="C1031" s="48">
        <v>91004</v>
      </c>
      <c r="H1031" s="82"/>
      <c r="K1031" s="82"/>
      <c r="P1031" s="82"/>
    </row>
    <row r="1032" spans="1:16">
      <c r="A1032" s="226"/>
      <c r="B1032" s="131" t="s">
        <v>2771</v>
      </c>
      <c r="C1032" s="48">
        <v>91006</v>
      </c>
      <c r="H1032" s="82"/>
      <c r="K1032" s="82"/>
      <c r="P1032" s="82"/>
    </row>
    <row r="1033" spans="1:16">
      <c r="A1033" s="226"/>
      <c r="B1033" s="131" t="s">
        <v>2772</v>
      </c>
      <c r="C1033" s="48">
        <v>91003</v>
      </c>
      <c r="H1033" s="82"/>
      <c r="K1033" s="82"/>
      <c r="P1033" s="82"/>
    </row>
    <row r="1034" spans="1:16">
      <c r="A1034" s="226"/>
      <c r="B1034" s="131" t="s">
        <v>802</v>
      </c>
      <c r="C1034" s="48">
        <v>91009</v>
      </c>
      <c r="H1034" s="82"/>
      <c r="K1034" s="82"/>
      <c r="P1034" s="82"/>
    </row>
    <row r="1035" spans="1:16">
      <c r="A1035" s="226"/>
      <c r="B1035" s="131" t="s">
        <v>815</v>
      </c>
      <c r="C1035" s="48">
        <v>91042</v>
      </c>
      <c r="H1035" s="82"/>
      <c r="K1035" s="82"/>
      <c r="P1035" s="82"/>
    </row>
    <row r="1036" spans="1:16">
      <c r="A1036" s="226"/>
      <c r="B1036" s="131" t="s">
        <v>2061</v>
      </c>
      <c r="C1036" s="48">
        <v>98711</v>
      </c>
      <c r="H1036" s="82"/>
      <c r="K1036" s="82"/>
      <c r="P1036" s="82"/>
    </row>
    <row r="1037" spans="1:16">
      <c r="A1037" s="226"/>
      <c r="B1037" s="131" t="s">
        <v>1511</v>
      </c>
      <c r="C1037" s="48">
        <v>98717</v>
      </c>
      <c r="H1037" s="82"/>
      <c r="K1037" s="82"/>
      <c r="P1037" s="82"/>
    </row>
    <row r="1038" spans="1:16">
      <c r="A1038" s="226"/>
      <c r="B1038" s="131" t="s">
        <v>825</v>
      </c>
      <c r="C1038" s="48">
        <v>91101</v>
      </c>
      <c r="H1038" s="82"/>
      <c r="K1038" s="82"/>
      <c r="P1038" s="82"/>
    </row>
    <row r="1039" spans="1:16">
      <c r="A1039" s="226"/>
      <c r="B1039" s="131" t="s">
        <v>2062</v>
      </c>
      <c r="C1039" s="48">
        <v>93531</v>
      </c>
      <c r="H1039" s="82"/>
      <c r="K1039" s="82"/>
      <c r="P1039" s="82"/>
    </row>
    <row r="1040" spans="1:16">
      <c r="A1040" s="226"/>
      <c r="B1040" s="131" t="s">
        <v>2745</v>
      </c>
      <c r="C1040" s="48">
        <v>93537</v>
      </c>
      <c r="H1040" s="82"/>
      <c r="K1040" s="82"/>
      <c r="P1040" s="82"/>
    </row>
    <row r="1041" spans="1:16">
      <c r="A1041" s="226"/>
      <c r="B1041" s="131" t="s">
        <v>2063</v>
      </c>
      <c r="C1041" s="48">
        <v>97111</v>
      </c>
      <c r="H1041" s="82"/>
      <c r="K1041" s="82"/>
      <c r="P1041" s="82"/>
    </row>
    <row r="1042" spans="1:16">
      <c r="A1042" s="226"/>
      <c r="B1042" s="131" t="s">
        <v>843</v>
      </c>
      <c r="C1042" s="48">
        <v>91201</v>
      </c>
      <c r="H1042" s="82"/>
      <c r="K1042" s="82"/>
      <c r="P1042" s="82"/>
    </row>
    <row r="1043" spans="1:16">
      <c r="A1043" s="226"/>
      <c r="B1043" s="131" t="s">
        <v>2773</v>
      </c>
      <c r="C1043" s="48">
        <v>91206</v>
      </c>
      <c r="H1043" s="82"/>
      <c r="K1043" s="82"/>
      <c r="P1043" s="82"/>
    </row>
    <row r="1044" spans="1:16">
      <c r="A1044" s="226"/>
      <c r="B1044" s="131" t="s">
        <v>2774</v>
      </c>
      <c r="C1044" s="48">
        <v>91203</v>
      </c>
      <c r="H1044" s="82"/>
      <c r="K1044" s="82"/>
      <c r="P1044" s="82"/>
    </row>
    <row r="1045" spans="1:16">
      <c r="A1045" s="226"/>
      <c r="B1045" s="131" t="s">
        <v>847</v>
      </c>
      <c r="C1045" s="48">
        <v>91208</v>
      </c>
      <c r="H1045" s="82"/>
      <c r="K1045" s="82"/>
      <c r="P1045" s="82"/>
    </row>
    <row r="1046" spans="1:16">
      <c r="A1046" s="226"/>
      <c r="B1046" s="131" t="s">
        <v>844</v>
      </c>
      <c r="C1046" s="48">
        <v>91202</v>
      </c>
      <c r="H1046" s="82"/>
      <c r="K1046" s="82"/>
      <c r="P1046" s="82"/>
    </row>
    <row r="1047" spans="1:16">
      <c r="A1047" s="226"/>
      <c r="B1047" s="131" t="s">
        <v>1949</v>
      </c>
      <c r="C1047" s="48">
        <v>90111</v>
      </c>
      <c r="H1047" s="82"/>
      <c r="K1047" s="82"/>
      <c r="P1047" s="82"/>
    </row>
    <row r="1048" spans="1:16">
      <c r="A1048" s="226"/>
      <c r="B1048" s="131" t="s">
        <v>2064</v>
      </c>
      <c r="C1048" s="226">
        <v>90011</v>
      </c>
      <c r="H1048" s="82"/>
      <c r="K1048" s="82"/>
      <c r="P1048" s="82"/>
    </row>
    <row r="1049" spans="1:16">
      <c r="A1049" s="226"/>
      <c r="B1049" s="131" t="s">
        <v>2065</v>
      </c>
      <c r="C1049" s="48">
        <v>93931</v>
      </c>
      <c r="H1049" s="82"/>
      <c r="K1049" s="82"/>
      <c r="P1049" s="82"/>
    </row>
    <row r="1050" spans="1:16">
      <c r="A1050" s="226"/>
      <c r="B1050" s="131" t="s">
        <v>858</v>
      </c>
      <c r="C1050" s="226">
        <v>91301</v>
      </c>
      <c r="H1050" s="82"/>
      <c r="K1050" s="82"/>
      <c r="P1050" s="82"/>
    </row>
    <row r="1051" spans="1:16">
      <c r="A1051" s="226"/>
      <c r="B1051" s="131" t="s">
        <v>2775</v>
      </c>
      <c r="C1051" s="48">
        <v>91306</v>
      </c>
      <c r="H1051" s="82"/>
      <c r="K1051" s="82"/>
      <c r="P1051" s="82"/>
    </row>
    <row r="1052" spans="1:16">
      <c r="A1052" s="226"/>
      <c r="B1052" s="131" t="s">
        <v>861</v>
      </c>
      <c r="C1052" s="48">
        <v>91308</v>
      </c>
      <c r="H1052" s="82"/>
      <c r="K1052" s="82"/>
      <c r="P1052" s="82"/>
    </row>
    <row r="1053" spans="1:16">
      <c r="A1053" s="226"/>
      <c r="B1053" s="131" t="s">
        <v>2066</v>
      </c>
      <c r="C1053" s="48">
        <v>91461</v>
      </c>
      <c r="H1053" s="82"/>
      <c r="K1053" s="82"/>
      <c r="P1053" s="82"/>
    </row>
    <row r="1054" spans="1:16">
      <c r="A1054" s="226"/>
      <c r="B1054" s="131" t="s">
        <v>2067</v>
      </c>
      <c r="C1054" s="48">
        <v>91010</v>
      </c>
      <c r="H1054" s="82"/>
      <c r="K1054" s="82"/>
      <c r="P1054" s="82"/>
    </row>
    <row r="1055" spans="1:16">
      <c r="A1055" s="226"/>
      <c r="B1055" s="131" t="s">
        <v>800</v>
      </c>
      <c r="C1055" s="48">
        <v>91007</v>
      </c>
      <c r="H1055" s="82"/>
      <c r="K1055" s="82"/>
      <c r="P1055" s="82"/>
    </row>
    <row r="1056" spans="1:16">
      <c r="A1056" s="226"/>
      <c r="B1056" s="131" t="s">
        <v>868</v>
      </c>
      <c r="C1056" s="48">
        <v>91401</v>
      </c>
      <c r="H1056" s="82"/>
      <c r="K1056" s="82"/>
      <c r="P1056" s="82"/>
    </row>
    <row r="1057" spans="1:16">
      <c r="A1057" s="226"/>
      <c r="B1057" s="131" t="s">
        <v>2068</v>
      </c>
      <c r="C1057" s="48">
        <v>93171</v>
      </c>
      <c r="H1057" s="82"/>
      <c r="K1057" s="82"/>
      <c r="P1057" s="82"/>
    </row>
    <row r="1058" spans="1:16">
      <c r="A1058" s="226"/>
      <c r="B1058" s="131" t="s">
        <v>878</v>
      </c>
      <c r="C1058" s="48">
        <v>91501</v>
      </c>
      <c r="H1058" s="82"/>
      <c r="K1058" s="82"/>
      <c r="P1058" s="82"/>
    </row>
    <row r="1059" spans="1:16">
      <c r="A1059" s="226"/>
      <c r="B1059" s="131" t="s">
        <v>879</v>
      </c>
      <c r="C1059" s="48">
        <v>91504</v>
      </c>
      <c r="H1059" s="82"/>
      <c r="K1059" s="82"/>
      <c r="P1059" s="82"/>
    </row>
    <row r="1060" spans="1:16">
      <c r="A1060" s="226"/>
      <c r="B1060" s="131" t="s">
        <v>2069</v>
      </c>
      <c r="C1060" s="48">
        <v>96312</v>
      </c>
      <c r="H1060" s="82"/>
      <c r="K1060" s="82"/>
      <c r="P1060" s="82"/>
    </row>
    <row r="1061" spans="1:16">
      <c r="A1061" s="226"/>
      <c r="B1061" s="131" t="s">
        <v>2070</v>
      </c>
      <c r="C1061" s="48">
        <v>96241</v>
      </c>
      <c r="H1061" s="82"/>
      <c r="K1061" s="82"/>
      <c r="P1061" s="82"/>
    </row>
    <row r="1062" spans="1:16">
      <c r="A1062" s="226"/>
      <c r="B1062" s="131" t="s">
        <v>2071</v>
      </c>
      <c r="C1062" s="48">
        <v>94431</v>
      </c>
      <c r="H1062" s="82"/>
      <c r="K1062" s="82"/>
      <c r="P1062" s="82"/>
    </row>
    <row r="1063" spans="1:16">
      <c r="A1063" s="226"/>
      <c r="B1063" s="131" t="s">
        <v>1144</v>
      </c>
      <c r="C1063" s="48">
        <v>94437</v>
      </c>
      <c r="H1063" s="82"/>
      <c r="K1063" s="82"/>
      <c r="P1063" s="82"/>
    </row>
    <row r="1064" spans="1:16">
      <c r="A1064" s="226"/>
      <c r="B1064" s="131" t="s">
        <v>2072</v>
      </c>
      <c r="C1064" s="48">
        <v>91671</v>
      </c>
      <c r="H1064" s="82"/>
      <c r="K1064" s="82"/>
      <c r="P1064" s="82"/>
    </row>
    <row r="1065" spans="1:16">
      <c r="A1065" s="226"/>
      <c r="B1065" s="131" t="s">
        <v>801</v>
      </c>
      <c r="C1065" s="48">
        <v>91008</v>
      </c>
      <c r="H1065" s="82"/>
      <c r="K1065" s="82"/>
      <c r="P1065" s="82"/>
    </row>
    <row r="1066" spans="1:16">
      <c r="A1066" s="226"/>
      <c r="B1066" s="131" t="s">
        <v>1308</v>
      </c>
      <c r="C1066" s="48">
        <v>96512</v>
      </c>
      <c r="H1066" s="82"/>
      <c r="K1066" s="82"/>
      <c r="P1066" s="82"/>
    </row>
    <row r="1067" spans="1:16">
      <c r="A1067" s="226"/>
      <c r="B1067" s="131" t="s">
        <v>1305</v>
      </c>
      <c r="C1067" s="48">
        <v>96507</v>
      </c>
      <c r="H1067" s="82"/>
      <c r="K1067" s="82"/>
      <c r="P1067" s="82"/>
    </row>
    <row r="1068" spans="1:16">
      <c r="A1068" s="226"/>
      <c r="B1068" s="131" t="s">
        <v>1636</v>
      </c>
      <c r="C1068" s="48">
        <v>91015</v>
      </c>
      <c r="H1068" s="82"/>
      <c r="K1068" s="82"/>
      <c r="P1068" s="82"/>
    </row>
    <row r="1069" spans="1:16">
      <c r="A1069" s="226"/>
      <c r="B1069" s="131" t="s">
        <v>2073</v>
      </c>
      <c r="C1069" s="48">
        <v>96521</v>
      </c>
      <c r="H1069" s="82"/>
      <c r="K1069" s="82"/>
      <c r="P1069" s="82"/>
    </row>
    <row r="1070" spans="1:16">
      <c r="A1070" s="226"/>
      <c r="B1070" s="131" t="s">
        <v>2074</v>
      </c>
      <c r="C1070" s="48">
        <v>91024</v>
      </c>
      <c r="H1070" s="82"/>
      <c r="K1070" s="82"/>
      <c r="P1070" s="82"/>
    </row>
    <row r="1071" spans="1:16">
      <c r="A1071" s="226"/>
      <c r="B1071" s="131" t="s">
        <v>2075</v>
      </c>
      <c r="C1071" s="48">
        <v>96821</v>
      </c>
      <c r="H1071" s="82"/>
      <c r="K1071" s="82"/>
      <c r="P1071" s="82"/>
    </row>
    <row r="1072" spans="1:16">
      <c r="A1072" s="226"/>
      <c r="B1072" s="131" t="s">
        <v>880</v>
      </c>
      <c r="C1072" s="48">
        <v>91601</v>
      </c>
      <c r="H1072" s="82"/>
      <c r="K1072" s="82"/>
      <c r="P1072" s="82"/>
    </row>
    <row r="1073" spans="1:16">
      <c r="A1073" s="51"/>
      <c r="B1073" s="131" t="s">
        <v>881</v>
      </c>
      <c r="C1073" s="48">
        <v>91604</v>
      </c>
      <c r="H1073" s="82"/>
      <c r="K1073" s="82"/>
      <c r="P1073" s="82"/>
    </row>
    <row r="1074" spans="1:16">
      <c r="A1074" s="51"/>
      <c r="B1074" s="131" t="s">
        <v>2076</v>
      </c>
      <c r="C1074" s="48">
        <v>96391</v>
      </c>
      <c r="H1074" s="82"/>
      <c r="K1074" s="82"/>
      <c r="P1074" s="82"/>
    </row>
    <row r="1075" spans="1:16">
      <c r="A1075" s="51"/>
      <c r="B1075" s="131" t="s">
        <v>2077</v>
      </c>
      <c r="C1075" s="48">
        <v>99221</v>
      </c>
      <c r="H1075" s="82"/>
      <c r="K1075" s="82"/>
      <c r="P1075" s="82"/>
    </row>
    <row r="1076" spans="1:16">
      <c r="A1076" s="226"/>
      <c r="B1076" s="131" t="s">
        <v>2078</v>
      </c>
      <c r="C1076" s="48">
        <v>91051</v>
      </c>
      <c r="H1076" s="82"/>
      <c r="K1076" s="82"/>
      <c r="P1076" s="82"/>
    </row>
    <row r="1077" spans="1:16">
      <c r="A1077" s="226"/>
      <c r="B1077" s="131" t="s">
        <v>893</v>
      </c>
      <c r="C1077" s="48">
        <v>91701</v>
      </c>
      <c r="H1077" s="82"/>
      <c r="K1077" s="82"/>
      <c r="P1077" s="82"/>
    </row>
    <row r="1078" spans="1:16">
      <c r="A1078" s="226"/>
      <c r="B1078" s="131" t="s">
        <v>894</v>
      </c>
      <c r="C1078" s="48">
        <v>91704</v>
      </c>
      <c r="H1078" s="82"/>
      <c r="K1078" s="82"/>
      <c r="P1078" s="82"/>
    </row>
    <row r="1079" spans="1:16">
      <c r="A1079" s="226"/>
      <c r="B1079" s="131" t="s">
        <v>2776</v>
      </c>
      <c r="C1079" s="48">
        <v>91706</v>
      </c>
      <c r="H1079" s="82"/>
      <c r="K1079" s="82"/>
      <c r="P1079" s="82"/>
    </row>
    <row r="1080" spans="1:16">
      <c r="A1080" s="226"/>
      <c r="B1080" s="131" t="s">
        <v>2079</v>
      </c>
      <c r="C1080" s="48">
        <v>91881</v>
      </c>
      <c r="H1080" s="82"/>
      <c r="K1080" s="82"/>
      <c r="P1080" s="82"/>
    </row>
    <row r="1081" spans="1:16">
      <c r="A1081" s="226"/>
      <c r="B1081" s="131" t="s">
        <v>897</v>
      </c>
      <c r="C1081" s="48">
        <v>91801</v>
      </c>
      <c r="H1081" s="82"/>
      <c r="K1081" s="82"/>
      <c r="P1081" s="82"/>
    </row>
    <row r="1082" spans="1:16">
      <c r="A1082" s="226"/>
      <c r="B1082" s="131" t="s">
        <v>898</v>
      </c>
      <c r="C1082" s="48">
        <v>91804</v>
      </c>
      <c r="H1082" s="82"/>
      <c r="K1082" s="82"/>
      <c r="P1082" s="82"/>
    </row>
    <row r="1083" spans="1:16">
      <c r="A1083" s="226"/>
      <c r="B1083" s="131" t="s">
        <v>2080</v>
      </c>
      <c r="C1083" s="48">
        <v>91691</v>
      </c>
      <c r="H1083" s="82"/>
      <c r="K1083" s="82"/>
      <c r="P1083" s="82"/>
    </row>
    <row r="1084" spans="1:16">
      <c r="A1084" s="226"/>
      <c r="B1084" s="131" t="s">
        <v>1550</v>
      </c>
      <c r="C1084" s="48">
        <v>99222</v>
      </c>
      <c r="H1084" s="82"/>
      <c r="K1084" s="82"/>
      <c r="P1084" s="82"/>
    </row>
    <row r="1085" spans="1:16">
      <c r="A1085" s="226"/>
      <c r="B1085" s="131" t="s">
        <v>1039</v>
      </c>
      <c r="C1085" s="48">
        <v>93408</v>
      </c>
      <c r="H1085" s="82"/>
      <c r="K1085" s="82"/>
      <c r="P1085" s="82"/>
    </row>
    <row r="1086" spans="1:16">
      <c r="A1086" s="226"/>
      <c r="B1086" s="131" t="s">
        <v>1254</v>
      </c>
      <c r="C1086" s="48">
        <v>96009</v>
      </c>
      <c r="H1086" s="82"/>
      <c r="K1086" s="82"/>
      <c r="P1086" s="82"/>
    </row>
    <row r="1087" spans="1:16">
      <c r="A1087" s="226"/>
      <c r="B1087" s="131" t="s">
        <v>2081</v>
      </c>
      <c r="C1087" s="48">
        <v>92441</v>
      </c>
      <c r="H1087" s="82"/>
      <c r="K1087" s="82"/>
      <c r="P1087" s="82"/>
    </row>
    <row r="1088" spans="1:16">
      <c r="A1088" s="226"/>
      <c r="B1088" s="131" t="s">
        <v>2082</v>
      </c>
      <c r="C1088" s="48">
        <v>96811</v>
      </c>
      <c r="H1088" s="82"/>
      <c r="K1088" s="82"/>
      <c r="P1088" s="82"/>
    </row>
    <row r="1089" spans="1:16">
      <c r="A1089" s="226"/>
      <c r="B1089" s="131" t="s">
        <v>1950</v>
      </c>
      <c r="C1089" s="48">
        <v>96011</v>
      </c>
      <c r="H1089" s="82"/>
      <c r="K1089" s="82"/>
      <c r="P1089" s="82"/>
    </row>
    <row r="1090" spans="1:16">
      <c r="A1090" s="226"/>
      <c r="B1090" s="131" t="s">
        <v>1257</v>
      </c>
      <c r="C1090" s="48">
        <v>96018</v>
      </c>
      <c r="H1090" s="82"/>
      <c r="K1090" s="82"/>
      <c r="P1090" s="82"/>
    </row>
    <row r="1091" spans="1:16">
      <c r="A1091" s="226"/>
      <c r="B1091" s="131" t="s">
        <v>1250</v>
      </c>
      <c r="C1091" s="48">
        <v>96003</v>
      </c>
      <c r="H1091" s="82"/>
      <c r="K1091" s="82"/>
      <c r="P1091" s="82"/>
    </row>
    <row r="1092" spans="1:16">
      <c r="A1092" s="226"/>
      <c r="B1092" s="131" t="s">
        <v>1252</v>
      </c>
      <c r="C1092" s="48">
        <v>96005</v>
      </c>
      <c r="H1092" s="82"/>
      <c r="K1092" s="82"/>
      <c r="P1092" s="82"/>
    </row>
    <row r="1093" spans="1:16">
      <c r="A1093" s="226"/>
      <c r="B1093" s="131" t="s">
        <v>1256</v>
      </c>
      <c r="C1093" s="48">
        <v>96012</v>
      </c>
      <c r="H1093" s="82"/>
      <c r="K1093" s="82"/>
      <c r="P1093" s="82"/>
    </row>
    <row r="1094" spans="1:16">
      <c r="A1094" s="226"/>
      <c r="B1094" s="131" t="s">
        <v>911</v>
      </c>
      <c r="C1094" s="48">
        <v>91901</v>
      </c>
      <c r="H1094" s="82"/>
      <c r="K1094" s="82"/>
      <c r="P1094" s="82"/>
    </row>
    <row r="1095" spans="1:16">
      <c r="A1095" s="226"/>
      <c r="B1095" s="131" t="s">
        <v>913</v>
      </c>
      <c r="C1095" s="48">
        <v>91904</v>
      </c>
      <c r="H1095" s="82"/>
      <c r="K1095" s="82"/>
      <c r="P1095" s="82"/>
    </row>
    <row r="1096" spans="1:16">
      <c r="A1096" s="226"/>
      <c r="B1096" s="131" t="s">
        <v>2777</v>
      </c>
      <c r="C1096" s="48">
        <v>91903</v>
      </c>
      <c r="H1096" s="82"/>
      <c r="K1096" s="82"/>
      <c r="P1096" s="82"/>
    </row>
    <row r="1097" spans="1:16">
      <c r="A1097" s="226"/>
      <c r="B1097" s="131" t="s">
        <v>918</v>
      </c>
      <c r="C1097" s="48">
        <v>92001</v>
      </c>
      <c r="H1097" s="82"/>
      <c r="K1097" s="82"/>
      <c r="P1097" s="82"/>
    </row>
    <row r="1098" spans="1:16">
      <c r="A1098" s="226"/>
      <c r="B1098" s="131" t="s">
        <v>1951</v>
      </c>
      <c r="C1098" s="48">
        <v>93641</v>
      </c>
      <c r="H1098" s="82"/>
      <c r="K1098" s="82"/>
      <c r="P1098" s="82"/>
    </row>
    <row r="1099" spans="1:16">
      <c r="A1099" s="226"/>
      <c r="B1099" s="131" t="s">
        <v>1069</v>
      </c>
      <c r="C1099" s="226">
        <v>93647</v>
      </c>
      <c r="H1099" s="82"/>
      <c r="K1099" s="82"/>
      <c r="P1099" s="82"/>
    </row>
    <row r="1100" spans="1:16">
      <c r="A1100" s="226"/>
      <c r="B1100" s="131" t="s">
        <v>2083</v>
      </c>
      <c r="C1100" s="48">
        <v>98041</v>
      </c>
      <c r="H1100" s="82"/>
      <c r="K1100" s="82"/>
      <c r="P1100" s="82"/>
    </row>
    <row r="1101" spans="1:16">
      <c r="A1101" s="226"/>
      <c r="B1101" s="131" t="s">
        <v>2761</v>
      </c>
      <c r="C1101" s="48">
        <v>96612</v>
      </c>
      <c r="H1101" s="82"/>
      <c r="K1101" s="82"/>
      <c r="P1101" s="82"/>
    </row>
    <row r="1102" spans="1:16">
      <c r="A1102" s="226"/>
      <c r="B1102" s="131" t="s">
        <v>2084</v>
      </c>
      <c r="C1102" s="48">
        <v>90751</v>
      </c>
      <c r="H1102" s="82"/>
      <c r="K1102" s="82"/>
      <c r="P1102" s="82"/>
    </row>
    <row r="1103" spans="1:16">
      <c r="A1103" s="226"/>
      <c r="B1103" s="131" t="s">
        <v>923</v>
      </c>
      <c r="C1103" s="48">
        <v>92101</v>
      </c>
      <c r="H1103" s="82"/>
      <c r="K1103" s="82"/>
      <c r="P1103" s="82"/>
    </row>
    <row r="1104" spans="1:16">
      <c r="A1104" s="226"/>
      <c r="B1104" s="131" t="s">
        <v>924</v>
      </c>
      <c r="C1104" s="48">
        <v>92104</v>
      </c>
      <c r="H1104" s="82"/>
      <c r="K1104" s="82"/>
      <c r="P1104" s="82"/>
    </row>
    <row r="1105" spans="1:16">
      <c r="A1105" s="226"/>
      <c r="B1105" s="131" t="s">
        <v>1952</v>
      </c>
      <c r="C1105" s="48">
        <v>91821</v>
      </c>
      <c r="H1105" s="82"/>
      <c r="K1105" s="82"/>
      <c r="P1105" s="82"/>
    </row>
    <row r="1106" spans="1:16">
      <c r="A1106" s="226"/>
      <c r="B1106" s="131" t="s">
        <v>2085</v>
      </c>
      <c r="C1106" s="226">
        <v>90931</v>
      </c>
      <c r="H1106" s="82"/>
      <c r="K1106" s="82"/>
      <c r="P1106" s="82"/>
    </row>
    <row r="1107" spans="1:16">
      <c r="A1107" s="226"/>
      <c r="B1107" s="131" t="s">
        <v>928</v>
      </c>
      <c r="C1107" s="48">
        <v>92201</v>
      </c>
      <c r="H1107" s="82"/>
      <c r="K1107" s="82"/>
      <c r="P1107" s="82"/>
    </row>
    <row r="1108" spans="1:16">
      <c r="A1108" s="226"/>
      <c r="B1108" s="251" t="s">
        <v>1925</v>
      </c>
      <c r="C1108" s="48">
        <v>92214</v>
      </c>
      <c r="H1108" s="82"/>
      <c r="K1108" s="82"/>
      <c r="P1108" s="82"/>
    </row>
    <row r="1109" spans="1:16">
      <c r="A1109" s="226"/>
      <c r="B1109" s="131" t="s">
        <v>2086</v>
      </c>
      <c r="C1109" s="48">
        <v>95131</v>
      </c>
      <c r="H1109" s="82"/>
      <c r="K1109" s="82"/>
      <c r="P1109" s="82"/>
    </row>
    <row r="1110" spans="1:16">
      <c r="A1110" s="226"/>
      <c r="B1110" s="131" t="s">
        <v>2495</v>
      </c>
      <c r="C1110" s="48">
        <v>93441</v>
      </c>
      <c r="H1110" s="82"/>
      <c r="K1110" s="82"/>
      <c r="P1110" s="82"/>
    </row>
    <row r="1111" spans="1:16">
      <c r="A1111" s="226"/>
      <c r="B1111" s="131" t="s">
        <v>1046</v>
      </c>
      <c r="C1111" s="48">
        <v>93442</v>
      </c>
      <c r="H1111" s="82"/>
      <c r="K1111" s="82"/>
      <c r="P1111" s="82"/>
    </row>
    <row r="1112" spans="1:16">
      <c r="A1112" s="226"/>
      <c r="B1112" s="131" t="s">
        <v>2087</v>
      </c>
      <c r="C1112" s="48">
        <v>98091</v>
      </c>
      <c r="H1112" s="82"/>
      <c r="K1112" s="82"/>
      <c r="P1112" s="82"/>
    </row>
    <row r="1113" spans="1:16">
      <c r="A1113" s="226"/>
      <c r="B1113" s="131" t="s">
        <v>929</v>
      </c>
      <c r="C1113" s="48">
        <v>92301</v>
      </c>
      <c r="H1113" s="82"/>
      <c r="K1113" s="82"/>
      <c r="P1113" s="82"/>
    </row>
    <row r="1114" spans="1:16">
      <c r="A1114" s="226"/>
      <c r="B1114" s="131" t="s">
        <v>930</v>
      </c>
      <c r="C1114" s="48">
        <v>92302</v>
      </c>
      <c r="H1114" s="82"/>
      <c r="K1114" s="82"/>
      <c r="P1114" s="82"/>
    </row>
    <row r="1115" spans="1:16">
      <c r="A1115" s="226"/>
      <c r="B1115" s="131" t="s">
        <v>1953</v>
      </c>
      <c r="C1115" s="48">
        <v>98211</v>
      </c>
      <c r="H1115" s="82"/>
      <c r="K1115" s="82"/>
      <c r="P1115" s="82"/>
    </row>
    <row r="1116" spans="1:16">
      <c r="A1116" s="226"/>
      <c r="B1116" s="131" t="s">
        <v>1469</v>
      </c>
      <c r="C1116" s="48">
        <v>98218</v>
      </c>
      <c r="H1116" s="82"/>
      <c r="K1116" s="82"/>
      <c r="P1116" s="82"/>
    </row>
    <row r="1117" spans="1:16">
      <c r="A1117" s="226"/>
      <c r="B1117" s="131" t="s">
        <v>953</v>
      </c>
      <c r="C1117" s="48">
        <v>92506</v>
      </c>
      <c r="H1117" s="82"/>
      <c r="K1117" s="82"/>
      <c r="P1117" s="82"/>
    </row>
    <row r="1118" spans="1:16">
      <c r="A1118" s="226"/>
      <c r="B1118" s="131" t="s">
        <v>2754</v>
      </c>
      <c r="C1118" s="48">
        <v>92508</v>
      </c>
      <c r="H1118" s="82"/>
      <c r="K1118" s="82"/>
      <c r="P1118" s="82"/>
    </row>
    <row r="1119" spans="1:16">
      <c r="A1119" s="226"/>
      <c r="B1119" s="131" t="s">
        <v>1615</v>
      </c>
      <c r="C1119" s="48">
        <v>96519</v>
      </c>
      <c r="H1119" s="82"/>
      <c r="K1119" s="82"/>
      <c r="P1119" s="82"/>
    </row>
    <row r="1120" spans="1:16">
      <c r="A1120" s="226"/>
      <c r="B1120" s="131" t="s">
        <v>2088</v>
      </c>
      <c r="C1120" s="48">
        <v>94341</v>
      </c>
      <c r="H1120" s="82"/>
      <c r="K1120" s="82"/>
      <c r="P1120" s="82"/>
    </row>
    <row r="1121" spans="1:16">
      <c r="A1121" s="226"/>
      <c r="B1121" s="131" t="s">
        <v>2089</v>
      </c>
      <c r="C1121" s="48">
        <v>94641</v>
      </c>
      <c r="H1121" s="82"/>
      <c r="K1121" s="82"/>
      <c r="P1121" s="82"/>
    </row>
    <row r="1122" spans="1:16">
      <c r="A1122" s="226"/>
      <c r="B1122" s="131" t="s">
        <v>2090</v>
      </c>
      <c r="C1122" s="48">
        <v>90813</v>
      </c>
      <c r="H1122" s="82"/>
      <c r="K1122" s="82"/>
      <c r="P1122" s="82"/>
    </row>
    <row r="1123" spans="1:16">
      <c r="A1123" s="226"/>
      <c r="B1123" s="131" t="s">
        <v>1112</v>
      </c>
      <c r="C1123" s="226">
        <v>94168</v>
      </c>
      <c r="H1123" s="82"/>
      <c r="K1123" s="82"/>
      <c r="P1123" s="82"/>
    </row>
    <row r="1124" spans="1:16">
      <c r="A1124" s="226"/>
      <c r="B1124" s="131" t="s">
        <v>2091</v>
      </c>
      <c r="C1124" s="48">
        <v>98911</v>
      </c>
      <c r="H1124" s="82"/>
      <c r="K1124" s="82"/>
      <c r="P1124" s="82"/>
    </row>
    <row r="1125" spans="1:16">
      <c r="A1125" s="226"/>
      <c r="B1125" s="131" t="s">
        <v>2092</v>
      </c>
      <c r="C1125" s="48">
        <v>97521</v>
      </c>
      <c r="H1125" s="82"/>
      <c r="K1125" s="82"/>
      <c r="P1125" s="82"/>
    </row>
    <row r="1126" spans="1:16">
      <c r="A1126" s="226"/>
      <c r="B1126" s="131" t="s">
        <v>1637</v>
      </c>
      <c r="C1126" s="48">
        <v>97527</v>
      </c>
      <c r="H1126" s="82"/>
      <c r="K1126" s="82"/>
      <c r="P1126" s="82"/>
    </row>
    <row r="1127" spans="1:16">
      <c r="A1127" s="226"/>
      <c r="B1127" s="131" t="s">
        <v>938</v>
      </c>
      <c r="C1127" s="48">
        <v>92401</v>
      </c>
      <c r="H1127" s="82"/>
      <c r="K1127" s="82"/>
      <c r="P1127" s="82"/>
    </row>
    <row r="1128" spans="1:16">
      <c r="A1128" s="226"/>
      <c r="B1128" s="131" t="s">
        <v>1954</v>
      </c>
      <c r="C1128" s="48">
        <v>91311</v>
      </c>
      <c r="H1128" s="82"/>
      <c r="K1128" s="82"/>
      <c r="P1128" s="82"/>
    </row>
    <row r="1129" spans="1:16">
      <c r="A1129" s="226"/>
      <c r="B1129" s="131" t="s">
        <v>863</v>
      </c>
      <c r="C1129" s="48">
        <v>91317</v>
      </c>
      <c r="H1129" s="82"/>
      <c r="K1129" s="82"/>
      <c r="P1129" s="82"/>
    </row>
    <row r="1130" spans="1:16">
      <c r="A1130" s="226"/>
      <c r="B1130" s="131" t="s">
        <v>2093</v>
      </c>
      <c r="C1130" s="48">
        <v>91261</v>
      </c>
      <c r="H1130" s="82"/>
      <c r="K1130" s="82"/>
      <c r="P1130" s="82"/>
    </row>
    <row r="1131" spans="1:16">
      <c r="A1131" s="226"/>
      <c r="B1131" s="131" t="s">
        <v>2094</v>
      </c>
      <c r="C1131" s="48">
        <v>91851</v>
      </c>
      <c r="H1131" s="82"/>
      <c r="K1131" s="82"/>
      <c r="P1131" s="82"/>
    </row>
    <row r="1132" spans="1:16">
      <c r="A1132" s="226"/>
      <c r="B1132" s="131" t="s">
        <v>1370</v>
      </c>
      <c r="C1132" s="48">
        <v>97408</v>
      </c>
      <c r="H1132" s="82"/>
      <c r="K1132" s="82"/>
      <c r="P1132" s="82"/>
    </row>
    <row r="1133" spans="1:16">
      <c r="A1133" s="226"/>
      <c r="B1133" s="131" t="s">
        <v>2095</v>
      </c>
      <c r="C1133" s="48">
        <v>96641</v>
      </c>
      <c r="H1133" s="82"/>
      <c r="K1133" s="82"/>
      <c r="P1133" s="82"/>
    </row>
    <row r="1134" spans="1:16">
      <c r="A1134" s="226"/>
      <c r="B1134" s="131" t="s">
        <v>2096</v>
      </c>
      <c r="C1134" s="48">
        <v>93031</v>
      </c>
      <c r="H1134" s="82"/>
      <c r="K1134" s="82"/>
      <c r="P1134" s="82"/>
    </row>
    <row r="1135" spans="1:16">
      <c r="A1135" s="226"/>
      <c r="B1135" s="131" t="s">
        <v>1001</v>
      </c>
      <c r="C1135" s="48">
        <v>93027</v>
      </c>
      <c r="H1135" s="82"/>
      <c r="K1135" s="82"/>
      <c r="P1135" s="82"/>
    </row>
    <row r="1136" spans="1:16">
      <c r="A1136" s="226"/>
      <c r="B1136" s="131" t="s">
        <v>2097</v>
      </c>
      <c r="C1136" s="48">
        <v>96051</v>
      </c>
      <c r="H1136" s="82"/>
      <c r="K1136" s="82"/>
      <c r="P1136" s="82"/>
    </row>
    <row r="1137" spans="1:16">
      <c r="A1137" s="226"/>
      <c r="B1137" s="131" t="s">
        <v>2098</v>
      </c>
      <c r="C1137" s="48">
        <v>92571</v>
      </c>
      <c r="H1137" s="82"/>
      <c r="K1137" s="82"/>
      <c r="P1137" s="82"/>
    </row>
    <row r="1138" spans="1:16">
      <c r="A1138" s="226"/>
      <c r="B1138" s="131" t="s">
        <v>2099</v>
      </c>
      <c r="C1138" s="48">
        <v>93631</v>
      </c>
      <c r="H1138" s="82"/>
      <c r="K1138" s="82"/>
      <c r="P1138" s="82"/>
    </row>
    <row r="1139" spans="1:16">
      <c r="A1139" s="226"/>
      <c r="B1139" s="251" t="s">
        <v>1926</v>
      </c>
      <c r="C1139" s="48">
        <v>93604</v>
      </c>
      <c r="H1139" s="82"/>
      <c r="K1139" s="82"/>
      <c r="P1139" s="82"/>
    </row>
    <row r="1140" spans="1:16">
      <c r="A1140" s="226"/>
      <c r="B1140" s="131" t="s">
        <v>951</v>
      </c>
      <c r="C1140" s="48">
        <v>92504</v>
      </c>
      <c r="H1140" s="82"/>
      <c r="K1140" s="82"/>
      <c r="P1140" s="82"/>
    </row>
    <row r="1141" spans="1:16">
      <c r="A1141" s="226"/>
      <c r="B1141" s="131" t="s">
        <v>949</v>
      </c>
      <c r="C1141" s="48">
        <v>92501</v>
      </c>
      <c r="H1141" s="82"/>
      <c r="K1141" s="82"/>
      <c r="P1141" s="82"/>
    </row>
    <row r="1142" spans="1:16">
      <c r="A1142" s="226"/>
      <c r="B1142" s="131" t="s">
        <v>952</v>
      </c>
      <c r="C1142" s="48">
        <v>92505</v>
      </c>
      <c r="H1142" s="82"/>
      <c r="K1142" s="82"/>
      <c r="P1142" s="82"/>
    </row>
    <row r="1143" spans="1:16">
      <c r="A1143" s="226"/>
      <c r="B1143" s="131" t="s">
        <v>1955</v>
      </c>
      <c r="C1143" s="48">
        <v>93921</v>
      </c>
      <c r="H1143" s="82"/>
      <c r="K1143" s="82"/>
      <c r="P1143" s="82"/>
    </row>
    <row r="1144" spans="1:16">
      <c r="A1144" s="226"/>
      <c r="B1144" s="131" t="s">
        <v>2100</v>
      </c>
      <c r="C1144" s="48">
        <v>99431</v>
      </c>
      <c r="H1144" s="82"/>
      <c r="K1144" s="82"/>
      <c r="P1144" s="82"/>
    </row>
    <row r="1145" spans="1:16">
      <c r="A1145" s="226"/>
      <c r="B1145" s="131" t="s">
        <v>966</v>
      </c>
      <c r="C1145" s="48">
        <v>92604</v>
      </c>
      <c r="H1145" s="82"/>
      <c r="K1145" s="82"/>
      <c r="P1145" s="82"/>
    </row>
    <row r="1146" spans="1:16">
      <c r="A1146" s="226"/>
      <c r="B1146" s="131" t="s">
        <v>964</v>
      </c>
      <c r="C1146" s="48">
        <v>92601</v>
      </c>
      <c r="H1146" s="82"/>
      <c r="K1146" s="82"/>
      <c r="P1146" s="82"/>
    </row>
    <row r="1147" spans="1:16">
      <c r="A1147" s="226"/>
      <c r="B1147" s="131" t="s">
        <v>968</v>
      </c>
      <c r="C1147" s="48">
        <v>92608</v>
      </c>
      <c r="H1147" s="82"/>
      <c r="K1147" s="82"/>
      <c r="P1147" s="82"/>
    </row>
    <row r="1148" spans="1:16">
      <c r="A1148" s="226"/>
      <c r="B1148" s="131" t="s">
        <v>980</v>
      </c>
      <c r="C1148" s="48">
        <v>92704</v>
      </c>
      <c r="H1148" s="82"/>
      <c r="K1148" s="82"/>
      <c r="P1148" s="82"/>
    </row>
    <row r="1149" spans="1:16">
      <c r="A1149" s="226"/>
      <c r="B1149" s="131" t="s">
        <v>979</v>
      </c>
      <c r="C1149" s="48">
        <v>92701</v>
      </c>
      <c r="H1149" s="82"/>
      <c r="K1149" s="82"/>
      <c r="P1149" s="82"/>
    </row>
    <row r="1150" spans="1:16">
      <c r="A1150" s="226"/>
      <c r="B1150" s="131" t="s">
        <v>2101</v>
      </c>
      <c r="C1150" s="48">
        <v>93651</v>
      </c>
      <c r="H1150" s="82"/>
      <c r="K1150" s="82"/>
      <c r="P1150" s="82"/>
    </row>
    <row r="1151" spans="1:16">
      <c r="A1151" s="226"/>
      <c r="B1151" s="131" t="s">
        <v>981</v>
      </c>
      <c r="C1151" s="48">
        <v>92801</v>
      </c>
      <c r="H1151" s="82"/>
      <c r="K1151" s="82"/>
      <c r="P1151" s="82"/>
    </row>
    <row r="1152" spans="1:16">
      <c r="A1152" s="226"/>
      <c r="B1152" s="131" t="s">
        <v>983</v>
      </c>
      <c r="C1152" s="48">
        <v>92804</v>
      </c>
      <c r="H1152" s="82"/>
      <c r="K1152" s="82"/>
      <c r="P1152" s="82"/>
    </row>
    <row r="1153" spans="1:16">
      <c r="A1153" s="226"/>
      <c r="B1153" s="131" t="s">
        <v>982</v>
      </c>
      <c r="C1153" s="48">
        <v>92802</v>
      </c>
      <c r="H1153" s="82"/>
      <c r="K1153" s="82"/>
      <c r="P1153" s="82"/>
    </row>
    <row r="1154" spans="1:16">
      <c r="A1154" s="226"/>
      <c r="B1154" s="131" t="s">
        <v>2102</v>
      </c>
      <c r="C1154" s="48">
        <v>96081</v>
      </c>
      <c r="H1154" s="82"/>
      <c r="K1154" s="82"/>
      <c r="P1154" s="82"/>
    </row>
    <row r="1155" spans="1:16">
      <c r="A1155" s="226"/>
      <c r="B1155" s="131" t="s">
        <v>990</v>
      </c>
      <c r="C1155" s="48">
        <v>92901</v>
      </c>
      <c r="H1155" s="82"/>
      <c r="K1155" s="82"/>
      <c r="P1155" s="82"/>
    </row>
    <row r="1156" spans="1:16">
      <c r="A1156" s="226"/>
      <c r="B1156" s="131" t="s">
        <v>997</v>
      </c>
      <c r="C1156" s="48">
        <v>93001</v>
      </c>
      <c r="H1156" s="82"/>
      <c r="K1156" s="82"/>
      <c r="P1156" s="82"/>
    </row>
    <row r="1157" spans="1:16">
      <c r="A1157" s="226"/>
      <c r="B1157" s="131" t="s">
        <v>998</v>
      </c>
      <c r="C1157" s="48">
        <v>93009</v>
      </c>
      <c r="H1157" s="82"/>
      <c r="K1157" s="82"/>
      <c r="P1157" s="82"/>
    </row>
    <row r="1158" spans="1:16">
      <c r="A1158" s="226"/>
      <c r="B1158" s="131" t="s">
        <v>2103</v>
      </c>
      <c r="C1158" s="48">
        <v>92921</v>
      </c>
      <c r="H1158" s="82"/>
      <c r="K1158" s="82"/>
      <c r="P1158" s="82"/>
    </row>
    <row r="1159" spans="1:16">
      <c r="A1159" s="226"/>
      <c r="B1159" s="131" t="s">
        <v>2104</v>
      </c>
      <c r="C1159" s="48">
        <v>98621</v>
      </c>
      <c r="H1159" s="82"/>
      <c r="K1159" s="82"/>
      <c r="P1159" s="82"/>
    </row>
    <row r="1160" spans="1:16">
      <c r="A1160" s="226"/>
      <c r="B1160" s="131" t="s">
        <v>1505</v>
      </c>
      <c r="C1160" s="48">
        <v>98627</v>
      </c>
      <c r="H1160" s="82"/>
      <c r="K1160" s="82"/>
      <c r="P1160" s="82"/>
    </row>
    <row r="1161" spans="1:16">
      <c r="A1161" s="226"/>
      <c r="B1161" s="131" t="s">
        <v>2105</v>
      </c>
      <c r="C1161" s="48">
        <v>91221</v>
      </c>
      <c r="H1161" s="82"/>
      <c r="K1161" s="82"/>
      <c r="P1161" s="82"/>
    </row>
    <row r="1162" spans="1:16">
      <c r="A1162" s="226"/>
      <c r="B1162" s="131" t="s">
        <v>2106</v>
      </c>
      <c r="C1162" s="48">
        <v>92861</v>
      </c>
      <c r="H1162" s="82"/>
      <c r="K1162" s="82"/>
      <c r="P1162" s="82"/>
    </row>
    <row r="1163" spans="1:16">
      <c r="A1163" s="226"/>
      <c r="B1163" s="131" t="s">
        <v>1956</v>
      </c>
      <c r="C1163" s="48">
        <v>94311</v>
      </c>
      <c r="H1163" s="82"/>
      <c r="K1163" s="82"/>
      <c r="P1163" s="82"/>
    </row>
    <row r="1164" spans="1:16">
      <c r="A1164" s="226"/>
      <c r="B1164" s="131" t="s">
        <v>1128</v>
      </c>
      <c r="C1164" s="48">
        <v>94317</v>
      </c>
      <c r="H1164" s="82"/>
      <c r="K1164" s="82"/>
      <c r="P1164" s="82"/>
    </row>
    <row r="1165" spans="1:16">
      <c r="A1165" s="226"/>
      <c r="B1165" s="131" t="s">
        <v>1127</v>
      </c>
      <c r="C1165" s="48">
        <v>94313</v>
      </c>
      <c r="H1165" s="82"/>
      <c r="K1165" s="82"/>
      <c r="P1165" s="82"/>
    </row>
    <row r="1166" spans="1:16">
      <c r="A1166" s="226"/>
      <c r="B1166" s="131" t="s">
        <v>1003</v>
      </c>
      <c r="C1166" s="48">
        <v>93101</v>
      </c>
      <c r="H1166" s="82"/>
      <c r="K1166" s="82"/>
      <c r="P1166" s="82"/>
    </row>
    <row r="1167" spans="1:16">
      <c r="A1167" s="226"/>
      <c r="B1167" s="131" t="s">
        <v>260</v>
      </c>
      <c r="C1167" s="48">
        <v>93103</v>
      </c>
      <c r="H1167" s="82"/>
      <c r="K1167" s="82"/>
      <c r="P1167" s="82"/>
    </row>
    <row r="1168" spans="1:16">
      <c r="A1168" s="226"/>
      <c r="B1168" s="131" t="s">
        <v>1957</v>
      </c>
      <c r="C1168" s="48">
        <v>93211</v>
      </c>
      <c r="H1168" s="82"/>
      <c r="K1168" s="82"/>
      <c r="P1168" s="82"/>
    </row>
    <row r="1169" spans="1:16">
      <c r="A1169" s="226"/>
      <c r="B1169" s="131" t="s">
        <v>1022</v>
      </c>
      <c r="C1169" s="48">
        <v>93212</v>
      </c>
      <c r="H1169" s="82"/>
      <c r="K1169" s="82"/>
      <c r="P1169" s="82"/>
    </row>
    <row r="1170" spans="1:16">
      <c r="A1170" s="226"/>
      <c r="B1170" s="131" t="s">
        <v>1017</v>
      </c>
      <c r="C1170" s="48">
        <v>93201</v>
      </c>
      <c r="H1170" s="82"/>
      <c r="K1170" s="82"/>
      <c r="P1170" s="82"/>
    </row>
    <row r="1171" spans="1:16">
      <c r="A1171" s="226"/>
      <c r="B1171" s="131" t="s">
        <v>1019</v>
      </c>
      <c r="C1171" s="48">
        <v>93204</v>
      </c>
      <c r="H1171" s="82"/>
      <c r="K1171" s="82"/>
      <c r="P1171" s="82"/>
    </row>
    <row r="1172" spans="1:16">
      <c r="A1172" s="226"/>
      <c r="B1172" s="131" t="s">
        <v>1546</v>
      </c>
      <c r="C1172" s="48">
        <v>99212</v>
      </c>
      <c r="H1172" s="82"/>
      <c r="K1172" s="82"/>
      <c r="P1172" s="82"/>
    </row>
    <row r="1173" spans="1:16">
      <c r="A1173" s="226"/>
      <c r="B1173" s="131" t="s">
        <v>1345</v>
      </c>
      <c r="C1173" s="48">
        <v>97005</v>
      </c>
      <c r="H1173" s="82"/>
      <c r="K1173" s="82"/>
      <c r="P1173" s="82"/>
    </row>
    <row r="1174" spans="1:16">
      <c r="A1174" s="226"/>
      <c r="B1174" s="131" t="s">
        <v>2107</v>
      </c>
      <c r="C1174" s="51">
        <v>99931</v>
      </c>
      <c r="H1174" s="82"/>
      <c r="K1174" s="82"/>
      <c r="P1174" s="82"/>
    </row>
    <row r="1175" spans="1:16">
      <c r="A1175" s="226"/>
      <c r="B1175" s="131" t="s">
        <v>1614</v>
      </c>
      <c r="C1175" s="226">
        <v>92509</v>
      </c>
      <c r="H1175" s="82"/>
      <c r="K1175" s="82"/>
      <c r="P1175" s="82"/>
    </row>
    <row r="1176" spans="1:16">
      <c r="A1176" s="226"/>
      <c r="B1176" s="131" t="s">
        <v>2108</v>
      </c>
      <c r="C1176" s="48">
        <v>98021</v>
      </c>
      <c r="H1176" s="82"/>
      <c r="K1176" s="82"/>
      <c r="P1176" s="82"/>
    </row>
    <row r="1177" spans="1:16">
      <c r="A1177" s="226"/>
      <c r="B1177" s="131" t="s">
        <v>1446</v>
      </c>
      <c r="C1177" s="48">
        <v>98023</v>
      </c>
      <c r="H1177" s="82"/>
      <c r="K1177" s="82"/>
      <c r="P1177" s="82"/>
    </row>
    <row r="1178" spans="1:16">
      <c r="A1178" s="226"/>
      <c r="B1178" s="131" t="s">
        <v>2020</v>
      </c>
      <c r="C1178" s="219">
        <v>70505</v>
      </c>
      <c r="H1178" s="82"/>
      <c r="K1178" s="82"/>
      <c r="P1178" s="82"/>
    </row>
    <row r="1179" spans="1:16">
      <c r="A1179" s="226"/>
      <c r="B1179" s="131" t="s">
        <v>2766</v>
      </c>
      <c r="C1179" s="226">
        <v>99603</v>
      </c>
      <c r="H1179" s="82"/>
      <c r="K1179" s="82"/>
      <c r="P1179" s="82"/>
    </row>
    <row r="1180" spans="1:16">
      <c r="A1180" s="226"/>
      <c r="B1180" s="131" t="s">
        <v>1583</v>
      </c>
      <c r="C1180" s="48">
        <v>99610</v>
      </c>
      <c r="H1180" s="82"/>
      <c r="K1180" s="82"/>
      <c r="P1180" s="82"/>
    </row>
    <row r="1181" spans="1:16">
      <c r="A1181" s="226"/>
      <c r="B1181" s="131" t="s">
        <v>2109</v>
      </c>
      <c r="C1181" s="48">
        <v>92681</v>
      </c>
      <c r="H1181" s="82"/>
      <c r="K1181" s="82"/>
      <c r="P1181" s="82"/>
    </row>
    <row r="1182" spans="1:16">
      <c r="A1182" s="226"/>
      <c r="B1182" s="131" t="s">
        <v>1004</v>
      </c>
      <c r="C1182" s="48">
        <v>93108</v>
      </c>
      <c r="H1182" s="82"/>
      <c r="K1182" s="82"/>
      <c r="P1182" s="82"/>
    </row>
    <row r="1183" spans="1:16">
      <c r="A1183" s="226"/>
      <c r="B1183" s="131" t="s">
        <v>1958</v>
      </c>
      <c r="C1183" s="48">
        <v>97951</v>
      </c>
      <c r="H1183" s="82"/>
      <c r="K1183" s="82"/>
      <c r="P1183" s="82"/>
    </row>
    <row r="1184" spans="1:16">
      <c r="A1184" s="226"/>
      <c r="B1184" s="131" t="s">
        <v>1437</v>
      </c>
      <c r="C1184" s="48">
        <v>97957</v>
      </c>
      <c r="H1184" s="82"/>
      <c r="K1184" s="82"/>
      <c r="P1184" s="82"/>
    </row>
    <row r="1185" spans="1:16">
      <c r="A1185" s="226"/>
      <c r="B1185" s="131" t="s">
        <v>2110</v>
      </c>
      <c r="C1185" s="48">
        <v>92111</v>
      </c>
      <c r="H1185" s="82"/>
      <c r="K1185" s="82"/>
      <c r="P1185" s="82"/>
    </row>
    <row r="1186" spans="1:16">
      <c r="A1186" s="226"/>
      <c r="B1186" s="131" t="s">
        <v>1024</v>
      </c>
      <c r="C1186" s="226">
        <v>93301</v>
      </c>
      <c r="H1186" s="82"/>
      <c r="K1186" s="82"/>
      <c r="P1186" s="82"/>
    </row>
    <row r="1187" spans="1:16">
      <c r="A1187" s="226"/>
      <c r="B1187" s="131" t="s">
        <v>1025</v>
      </c>
      <c r="C1187" s="48">
        <v>93304</v>
      </c>
      <c r="H1187" s="82"/>
      <c r="K1187" s="82"/>
      <c r="P1187" s="82"/>
    </row>
    <row r="1188" spans="1:16">
      <c r="A1188" s="226"/>
      <c r="B1188" s="131" t="s">
        <v>1026</v>
      </c>
      <c r="C1188" s="48">
        <v>93305</v>
      </c>
      <c r="H1188" s="82"/>
      <c r="K1188" s="82"/>
      <c r="P1188" s="82"/>
    </row>
    <row r="1189" spans="1:16">
      <c r="A1189" s="226"/>
      <c r="B1189" s="131" t="s">
        <v>1544</v>
      </c>
      <c r="C1189" s="48">
        <v>99210</v>
      </c>
      <c r="H1189" s="82"/>
      <c r="K1189" s="82"/>
      <c r="P1189" s="82"/>
    </row>
    <row r="1190" spans="1:16">
      <c r="A1190" s="226"/>
      <c r="B1190" s="131" t="s">
        <v>1348</v>
      </c>
      <c r="C1190" s="48">
        <v>97011</v>
      </c>
      <c r="H1190" s="82"/>
      <c r="K1190" s="82"/>
      <c r="P1190" s="82"/>
    </row>
    <row r="1191" spans="1:16">
      <c r="A1191" s="226"/>
      <c r="B1191" s="131" t="s">
        <v>1350</v>
      </c>
      <c r="C1191" s="48">
        <v>97013</v>
      </c>
      <c r="H1191" s="82"/>
      <c r="K1191" s="82"/>
      <c r="P1191" s="82"/>
    </row>
    <row r="1192" spans="1:16">
      <c r="A1192" s="226"/>
      <c r="B1192" s="131" t="s">
        <v>2762</v>
      </c>
      <c r="C1192" s="48">
        <v>97012</v>
      </c>
      <c r="H1192" s="82"/>
      <c r="K1192" s="82"/>
      <c r="P1192" s="82"/>
    </row>
    <row r="1193" spans="1:16">
      <c r="A1193" s="226"/>
      <c r="B1193" s="131" t="s">
        <v>1352</v>
      </c>
      <c r="C1193" s="48">
        <v>97018</v>
      </c>
      <c r="H1193" s="82"/>
      <c r="K1193" s="82"/>
      <c r="P1193" s="82"/>
    </row>
    <row r="1194" spans="1:16">
      <c r="A1194" s="226"/>
      <c r="B1194" s="131" t="s">
        <v>2111</v>
      </c>
      <c r="C1194" s="48">
        <v>90911</v>
      </c>
      <c r="H1194" s="82"/>
      <c r="K1194" s="82"/>
      <c r="P1194" s="82"/>
    </row>
    <row r="1195" spans="1:16">
      <c r="A1195" s="226"/>
      <c r="B1195" s="131" t="s">
        <v>790</v>
      </c>
      <c r="C1195" s="48">
        <v>90917</v>
      </c>
      <c r="H1195" s="82"/>
      <c r="K1195" s="82"/>
      <c r="P1195" s="82"/>
    </row>
    <row r="1196" spans="1:16">
      <c r="A1196" s="226"/>
      <c r="B1196" s="131" t="s">
        <v>2112</v>
      </c>
      <c r="C1196" s="48">
        <v>90641</v>
      </c>
      <c r="H1196" s="82"/>
      <c r="K1196" s="82"/>
      <c r="P1196" s="82"/>
    </row>
    <row r="1197" spans="1:16">
      <c r="A1197" s="226"/>
      <c r="B1197" s="131" t="s">
        <v>2113</v>
      </c>
      <c r="C1197" s="48">
        <v>98641</v>
      </c>
      <c r="H1197" s="82"/>
      <c r="K1197" s="82"/>
      <c r="P1197" s="82"/>
    </row>
    <row r="1198" spans="1:16">
      <c r="A1198" s="226"/>
      <c r="B1198" s="131" t="s">
        <v>3514</v>
      </c>
      <c r="C1198" s="48" t="s">
        <v>3512</v>
      </c>
      <c r="H1198" s="82"/>
      <c r="K1198" s="82"/>
      <c r="P1198" s="82"/>
    </row>
    <row r="1199" spans="1:16">
      <c r="A1199" s="226"/>
      <c r="B1199" s="131" t="s">
        <v>2114</v>
      </c>
      <c r="C1199" s="48">
        <v>98161</v>
      </c>
      <c r="H1199" s="82"/>
      <c r="K1199" s="82"/>
      <c r="P1199" s="82"/>
    </row>
    <row r="1200" spans="1:16">
      <c r="A1200" s="226"/>
      <c r="B1200" s="131" t="s">
        <v>2115</v>
      </c>
      <c r="C1200" s="48">
        <v>97731</v>
      </c>
      <c r="H1200" s="82"/>
      <c r="K1200" s="82"/>
      <c r="P1200" s="82"/>
    </row>
    <row r="1201" spans="1:16">
      <c r="A1201" s="226"/>
      <c r="B1201" s="131" t="s">
        <v>2116</v>
      </c>
      <c r="C1201" s="51">
        <v>99851</v>
      </c>
      <c r="H1201" s="82"/>
      <c r="K1201" s="82"/>
      <c r="P1201" s="82"/>
    </row>
    <row r="1202" spans="1:16">
      <c r="A1202" s="226"/>
      <c r="B1202" s="131" t="s">
        <v>2117</v>
      </c>
      <c r="C1202" s="226">
        <v>90131</v>
      </c>
      <c r="H1202" s="82"/>
      <c r="K1202" s="82"/>
      <c r="P1202" s="82"/>
    </row>
    <row r="1203" spans="1:16">
      <c r="A1203" s="226"/>
      <c r="B1203" s="131" t="s">
        <v>2118</v>
      </c>
      <c r="C1203" s="48">
        <v>91651</v>
      </c>
      <c r="H1203" s="82"/>
      <c r="K1203" s="82"/>
      <c r="P1203" s="82"/>
    </row>
    <row r="1204" spans="1:16">
      <c r="A1204" s="226"/>
      <c r="B1204" s="131" t="s">
        <v>2119</v>
      </c>
      <c r="C1204" s="48">
        <v>94211</v>
      </c>
      <c r="H1204" s="82"/>
      <c r="K1204" s="82"/>
      <c r="P1204" s="82"/>
    </row>
    <row r="1205" spans="1:16">
      <c r="A1205" s="226"/>
      <c r="B1205" s="131" t="s">
        <v>2120</v>
      </c>
      <c r="C1205" s="48">
        <v>94331</v>
      </c>
      <c r="H1205" s="82"/>
      <c r="K1205" s="82"/>
      <c r="P1205" s="82"/>
    </row>
    <row r="1206" spans="1:16">
      <c r="A1206" s="226"/>
      <c r="B1206" s="131" t="s">
        <v>2121</v>
      </c>
      <c r="C1206" s="48">
        <v>92431</v>
      </c>
      <c r="H1206" s="82"/>
      <c r="K1206" s="82"/>
      <c r="P1206" s="82"/>
    </row>
    <row r="1207" spans="1:16">
      <c r="A1207" s="226"/>
      <c r="B1207" s="131" t="s">
        <v>2122</v>
      </c>
      <c r="C1207" s="48">
        <v>97821</v>
      </c>
      <c r="H1207" s="82"/>
      <c r="K1207" s="82"/>
      <c r="P1207" s="82"/>
    </row>
    <row r="1208" spans="1:16">
      <c r="A1208" s="226"/>
      <c r="B1208" s="131" t="s">
        <v>1416</v>
      </c>
      <c r="C1208" s="48">
        <v>97823</v>
      </c>
      <c r="H1208" s="82"/>
      <c r="K1208" s="82"/>
      <c r="P1208" s="82"/>
    </row>
    <row r="1209" spans="1:16">
      <c r="A1209" s="226"/>
      <c r="B1209" s="131" t="s">
        <v>2123</v>
      </c>
      <c r="C1209" s="48">
        <v>93141</v>
      </c>
      <c r="H1209" s="82"/>
      <c r="K1209" s="82"/>
      <c r="P1209" s="82"/>
    </row>
    <row r="1210" spans="1:16">
      <c r="A1210" s="226"/>
      <c r="B1210" s="131" t="s">
        <v>2124</v>
      </c>
      <c r="C1210" s="48">
        <v>98081</v>
      </c>
      <c r="H1210" s="82"/>
      <c r="K1210" s="82"/>
      <c r="P1210" s="82"/>
    </row>
    <row r="1211" spans="1:16">
      <c r="A1211" s="226"/>
      <c r="B1211" s="131" t="s">
        <v>2125</v>
      </c>
      <c r="C1211" s="48">
        <v>92671</v>
      </c>
      <c r="H1211" s="82"/>
      <c r="K1211" s="82"/>
      <c r="P1211" s="82"/>
    </row>
    <row r="1212" spans="1:16">
      <c r="A1212" s="226"/>
      <c r="B1212" s="131" t="s">
        <v>2126</v>
      </c>
      <c r="C1212" s="48">
        <v>97421</v>
      </c>
      <c r="H1212" s="82"/>
      <c r="K1212" s="82"/>
      <c r="P1212" s="82"/>
    </row>
    <row r="1213" spans="1:16">
      <c r="A1213" s="226"/>
      <c r="B1213" s="131" t="s">
        <v>1375</v>
      </c>
      <c r="C1213" s="48">
        <v>97423</v>
      </c>
      <c r="H1213" s="82"/>
      <c r="K1213" s="82"/>
      <c r="P1213" s="82"/>
    </row>
    <row r="1214" spans="1:16">
      <c r="A1214" s="226"/>
      <c r="B1214" s="131" t="s">
        <v>1959</v>
      </c>
      <c r="C1214" s="48">
        <v>92611</v>
      </c>
      <c r="H1214" s="82"/>
      <c r="K1214" s="82"/>
      <c r="P1214" s="82"/>
    </row>
    <row r="1215" spans="1:16">
      <c r="A1215" s="226"/>
      <c r="B1215" s="131" t="s">
        <v>2755</v>
      </c>
      <c r="C1215" s="48">
        <v>92613</v>
      </c>
      <c r="H1215" s="82"/>
      <c r="K1215" s="82"/>
      <c r="P1215" s="82"/>
    </row>
    <row r="1216" spans="1:16">
      <c r="A1216" s="226"/>
      <c r="B1216" s="131" t="s">
        <v>2788</v>
      </c>
      <c r="C1216" s="48">
        <v>92614</v>
      </c>
      <c r="H1216" s="82"/>
      <c r="K1216" s="82"/>
      <c r="P1216" s="82"/>
    </row>
    <row r="1217" spans="1:16">
      <c r="A1217" s="226"/>
      <c r="B1217" s="131" t="s">
        <v>950</v>
      </c>
      <c r="C1217" s="48">
        <v>92502</v>
      </c>
      <c r="H1217" s="82"/>
      <c r="K1217" s="82"/>
      <c r="P1217" s="82"/>
    </row>
    <row r="1218" spans="1:16">
      <c r="A1218" s="226"/>
      <c r="B1218" s="131" t="s">
        <v>2496</v>
      </c>
      <c r="C1218" s="48">
        <v>94531</v>
      </c>
      <c r="H1218" s="82"/>
      <c r="K1218" s="82"/>
      <c r="P1218" s="82"/>
    </row>
    <row r="1219" spans="1:16">
      <c r="A1219" s="226"/>
      <c r="B1219" s="131" t="s">
        <v>2497</v>
      </c>
      <c r="C1219" s="48">
        <v>94541</v>
      </c>
      <c r="H1219" s="82"/>
      <c r="K1219" s="82"/>
      <c r="P1219" s="82"/>
    </row>
    <row r="1220" spans="1:16">
      <c r="A1220" s="226"/>
      <c r="B1220" s="131" t="s">
        <v>1154</v>
      </c>
      <c r="C1220" s="48">
        <v>94547</v>
      </c>
      <c r="H1220" s="82"/>
      <c r="K1220" s="82"/>
      <c r="P1220" s="82"/>
    </row>
    <row r="1221" spans="1:16">
      <c r="A1221" s="226"/>
      <c r="B1221" s="131" t="s">
        <v>1180</v>
      </c>
      <c r="C1221" s="48">
        <v>95005</v>
      </c>
      <c r="H1221" s="82"/>
      <c r="K1221" s="82"/>
      <c r="P1221" s="82"/>
    </row>
    <row r="1222" spans="1:16">
      <c r="A1222" s="226"/>
      <c r="B1222" s="131" t="s">
        <v>2498</v>
      </c>
      <c r="C1222" s="48">
        <v>98111</v>
      </c>
      <c r="H1222" s="82"/>
      <c r="K1222" s="82"/>
      <c r="P1222" s="82"/>
    </row>
    <row r="1223" spans="1:16">
      <c r="A1223" s="226"/>
      <c r="B1223" s="131" t="s">
        <v>1457</v>
      </c>
      <c r="C1223" s="48">
        <v>98107</v>
      </c>
      <c r="H1223" s="82"/>
      <c r="K1223" s="82"/>
      <c r="P1223" s="82"/>
    </row>
    <row r="1224" spans="1:16">
      <c r="A1224" s="226"/>
      <c r="B1224" s="131" t="s">
        <v>1460</v>
      </c>
      <c r="C1224" s="48">
        <v>98113</v>
      </c>
      <c r="H1224" s="82"/>
      <c r="K1224" s="82"/>
      <c r="P1224" s="82"/>
    </row>
    <row r="1225" spans="1:16">
      <c r="A1225" s="226"/>
      <c r="B1225" s="131" t="s">
        <v>1579</v>
      </c>
      <c r="C1225" s="226">
        <v>99602</v>
      </c>
      <c r="H1225" s="82"/>
      <c r="K1225" s="82"/>
      <c r="P1225" s="82"/>
    </row>
    <row r="1226" spans="1:16">
      <c r="A1226" s="226"/>
      <c r="B1226" s="131" t="s">
        <v>1036</v>
      </c>
      <c r="C1226" s="48">
        <v>93401</v>
      </c>
      <c r="H1226" s="82"/>
      <c r="K1226" s="82"/>
      <c r="P1226" s="82"/>
    </row>
    <row r="1227" spans="1:16">
      <c r="A1227" s="226"/>
      <c r="B1227" s="131" t="s">
        <v>3500</v>
      </c>
      <c r="C1227" s="48">
        <v>97491</v>
      </c>
      <c r="H1227" s="82"/>
      <c r="K1227" s="82"/>
      <c r="P1227" s="82"/>
    </row>
    <row r="1228" spans="1:16">
      <c r="A1228" s="226"/>
      <c r="B1228" s="131" t="s">
        <v>2499</v>
      </c>
      <c r="C1228" s="48">
        <v>95151</v>
      </c>
      <c r="H1228" s="82"/>
      <c r="K1228" s="82"/>
      <c r="P1228" s="82"/>
    </row>
    <row r="1229" spans="1:16">
      <c r="A1229" s="226"/>
      <c r="B1229" s="131" t="s">
        <v>1290</v>
      </c>
      <c r="C1229" s="48">
        <v>96381</v>
      </c>
      <c r="H1229" s="82"/>
      <c r="K1229" s="82"/>
      <c r="P1229" s="82"/>
    </row>
    <row r="1230" spans="1:16">
      <c r="A1230" s="226"/>
      <c r="B1230" s="131" t="s">
        <v>2500</v>
      </c>
      <c r="C1230" s="48">
        <v>95611</v>
      </c>
      <c r="H1230" s="82"/>
      <c r="K1230" s="82"/>
      <c r="P1230" s="82"/>
    </row>
    <row r="1231" spans="1:16">
      <c r="A1231" s="226"/>
      <c r="B1231" s="131" t="s">
        <v>1050</v>
      </c>
      <c r="C1231" s="48">
        <v>93501</v>
      </c>
      <c r="H1231" s="82"/>
      <c r="K1231" s="82"/>
      <c r="P1231" s="82"/>
    </row>
    <row r="1232" spans="1:16">
      <c r="A1232" s="226"/>
      <c r="B1232" s="131" t="s">
        <v>2501</v>
      </c>
      <c r="C1232" s="48">
        <v>93511</v>
      </c>
      <c r="H1232" s="82"/>
      <c r="K1232" s="82"/>
      <c r="P1232" s="82"/>
    </row>
    <row r="1233" spans="1:16">
      <c r="A1233" s="226"/>
      <c r="B1233" s="131" t="s">
        <v>1052</v>
      </c>
      <c r="C1233" s="48">
        <v>93517</v>
      </c>
      <c r="H1233" s="82"/>
      <c r="K1233" s="82"/>
      <c r="P1233" s="82"/>
    </row>
    <row r="1234" spans="1:16">
      <c r="A1234" s="226"/>
      <c r="B1234" s="131" t="s">
        <v>2502</v>
      </c>
      <c r="C1234" s="48">
        <v>99631</v>
      </c>
      <c r="H1234" s="82"/>
      <c r="K1234" s="82"/>
      <c r="P1234" s="82"/>
    </row>
    <row r="1235" spans="1:16">
      <c r="A1235" s="226"/>
      <c r="B1235" s="131" t="s">
        <v>2503</v>
      </c>
      <c r="C1235" s="48">
        <v>99261</v>
      </c>
      <c r="H1235" s="82"/>
      <c r="K1235" s="82"/>
      <c r="P1235" s="82"/>
    </row>
    <row r="1236" spans="1:16">
      <c r="A1236" s="226"/>
      <c r="B1236" s="131" t="s">
        <v>2504</v>
      </c>
      <c r="C1236" s="48">
        <v>98241</v>
      </c>
      <c r="H1236" s="82"/>
      <c r="K1236" s="82"/>
      <c r="P1236" s="82"/>
    </row>
    <row r="1237" spans="1:16">
      <c r="A1237" s="226"/>
      <c r="B1237" s="131" t="s">
        <v>2505</v>
      </c>
      <c r="C1237" s="48">
        <v>99251</v>
      </c>
      <c r="H1237" s="82"/>
      <c r="K1237" s="82"/>
      <c r="P1237" s="82"/>
    </row>
    <row r="1238" spans="1:16">
      <c r="A1238" s="226"/>
      <c r="B1238" s="131" t="s">
        <v>1554</v>
      </c>
      <c r="C1238" s="48">
        <v>99252</v>
      </c>
      <c r="H1238" s="82"/>
      <c r="K1238" s="82"/>
      <c r="P1238" s="82"/>
    </row>
    <row r="1239" spans="1:16">
      <c r="A1239" s="226"/>
      <c r="B1239" s="131" t="s">
        <v>2506</v>
      </c>
      <c r="C1239" s="48">
        <v>96631</v>
      </c>
      <c r="H1239" s="82"/>
      <c r="K1239" s="82"/>
      <c r="P1239" s="82"/>
    </row>
    <row r="1240" spans="1:16">
      <c r="A1240" s="226"/>
      <c r="B1240" s="131" t="s">
        <v>2507</v>
      </c>
      <c r="C1240" s="48">
        <v>96651</v>
      </c>
      <c r="H1240" s="82"/>
      <c r="K1240" s="82"/>
      <c r="P1240" s="82"/>
    </row>
    <row r="1241" spans="1:16">
      <c r="A1241" s="226"/>
      <c r="B1241" s="131" t="s">
        <v>1058</v>
      </c>
      <c r="C1241" s="48">
        <v>93601</v>
      </c>
      <c r="H1241" s="82"/>
      <c r="K1241" s="82"/>
      <c r="P1241" s="82"/>
    </row>
    <row r="1242" spans="1:16">
      <c r="A1242" s="226"/>
      <c r="B1242" s="131" t="s">
        <v>1064</v>
      </c>
      <c r="C1242" s="48">
        <v>93618</v>
      </c>
      <c r="H1242" s="82"/>
      <c r="K1242" s="82"/>
      <c r="P1242" s="82"/>
    </row>
    <row r="1243" spans="1:16">
      <c r="A1243" s="226"/>
      <c r="B1243" s="131" t="s">
        <v>1960</v>
      </c>
      <c r="C1243" s="48">
        <v>93611</v>
      </c>
      <c r="H1243" s="82"/>
      <c r="K1243" s="82"/>
      <c r="P1243" s="82"/>
    </row>
    <row r="1244" spans="1:16">
      <c r="A1244" s="226"/>
      <c r="B1244" s="131" t="s">
        <v>1063</v>
      </c>
      <c r="C1244" s="48">
        <v>93617</v>
      </c>
      <c r="H1244" s="82"/>
      <c r="K1244" s="82"/>
      <c r="P1244" s="82"/>
    </row>
    <row r="1245" spans="1:16">
      <c r="A1245" s="226"/>
      <c r="B1245" s="131" t="s">
        <v>1075</v>
      </c>
      <c r="C1245" s="48">
        <v>93701</v>
      </c>
      <c r="H1245" s="82"/>
      <c r="K1245" s="82"/>
      <c r="P1245" s="82"/>
    </row>
    <row r="1246" spans="1:16">
      <c r="A1246" s="226"/>
      <c r="B1246" s="131" t="s">
        <v>1076</v>
      </c>
      <c r="C1246" s="48">
        <v>93704</v>
      </c>
      <c r="H1246" s="82"/>
      <c r="K1246" s="82"/>
      <c r="P1246" s="82"/>
    </row>
    <row r="1247" spans="1:16">
      <c r="A1247" s="226"/>
      <c r="B1247" s="131" t="s">
        <v>2508</v>
      </c>
      <c r="C1247" s="48">
        <v>98331</v>
      </c>
      <c r="H1247" s="82"/>
      <c r="K1247" s="82"/>
      <c r="P1247" s="82"/>
    </row>
    <row r="1248" spans="1:16">
      <c r="A1248" s="226"/>
      <c r="B1248" s="131" t="s">
        <v>2509</v>
      </c>
      <c r="C1248" s="48">
        <v>94151</v>
      </c>
      <c r="H1248" s="82"/>
      <c r="K1248" s="82"/>
      <c r="P1248" s="82"/>
    </row>
    <row r="1249" spans="1:16">
      <c r="A1249" s="226"/>
      <c r="B1249" s="131" t="s">
        <v>1110</v>
      </c>
      <c r="C1249" s="48">
        <v>94157</v>
      </c>
      <c r="H1249" s="82"/>
      <c r="K1249" s="82"/>
      <c r="P1249" s="82"/>
    </row>
    <row r="1250" spans="1:16">
      <c r="A1250" s="226"/>
      <c r="B1250" s="131" t="s">
        <v>2510</v>
      </c>
      <c r="C1250" s="48">
        <v>91241</v>
      </c>
      <c r="H1250" s="82"/>
      <c r="K1250" s="82"/>
      <c r="P1250" s="82"/>
    </row>
    <row r="1251" spans="1:16">
      <c r="A1251" s="226"/>
      <c r="B1251" s="131" t="s">
        <v>1216</v>
      </c>
      <c r="C1251" s="48">
        <v>95412</v>
      </c>
      <c r="H1251" s="82"/>
      <c r="K1251" s="82"/>
      <c r="P1251" s="82"/>
    </row>
    <row r="1252" spans="1:16">
      <c r="A1252" s="226"/>
      <c r="B1252" s="131" t="s">
        <v>1961</v>
      </c>
      <c r="C1252" s="48">
        <v>99611</v>
      </c>
      <c r="H1252" s="82"/>
      <c r="K1252" s="82"/>
      <c r="P1252" s="82"/>
    </row>
    <row r="1253" spans="1:16">
      <c r="A1253" s="226"/>
      <c r="B1253" s="131" t="s">
        <v>2804</v>
      </c>
      <c r="C1253" s="48">
        <v>99613</v>
      </c>
      <c r="H1253" s="82"/>
      <c r="K1253" s="82"/>
      <c r="P1253" s="82"/>
    </row>
    <row r="1254" spans="1:16">
      <c r="A1254" s="226"/>
      <c r="B1254" s="131" t="s">
        <v>914</v>
      </c>
      <c r="C1254" s="48">
        <v>91908</v>
      </c>
      <c r="H1254" s="82"/>
      <c r="K1254" s="82"/>
      <c r="P1254" s="82"/>
    </row>
    <row r="1255" spans="1:16">
      <c r="A1255" s="226"/>
      <c r="B1255" s="131" t="s">
        <v>1963</v>
      </c>
      <c r="C1255" s="48">
        <v>90121</v>
      </c>
      <c r="H1255" s="82"/>
      <c r="K1255" s="82"/>
      <c r="P1255" s="82"/>
    </row>
    <row r="1256" spans="1:16">
      <c r="A1256" s="226"/>
      <c r="B1256" s="131" t="s">
        <v>1078</v>
      </c>
      <c r="C1256" s="48">
        <v>93803</v>
      </c>
      <c r="H1256" s="82"/>
      <c r="K1256" s="82"/>
      <c r="P1256" s="82"/>
    </row>
    <row r="1257" spans="1:16">
      <c r="A1257" s="226"/>
      <c r="B1257" s="131" t="s">
        <v>1077</v>
      </c>
      <c r="C1257" s="48">
        <v>93801</v>
      </c>
      <c r="H1257" s="82"/>
      <c r="K1257" s="82"/>
      <c r="P1257" s="82"/>
    </row>
    <row r="1258" spans="1:16">
      <c r="A1258" s="226"/>
      <c r="B1258" s="131" t="s">
        <v>1079</v>
      </c>
      <c r="C1258" s="48">
        <v>93806</v>
      </c>
      <c r="H1258" s="82"/>
      <c r="K1258" s="82"/>
      <c r="P1258" s="82"/>
    </row>
    <row r="1259" spans="1:16">
      <c r="A1259" s="226"/>
      <c r="B1259" s="131" t="s">
        <v>2511</v>
      </c>
      <c r="C1259" s="48">
        <v>91411</v>
      </c>
      <c r="H1259" s="82"/>
      <c r="K1259" s="82"/>
      <c r="P1259" s="82"/>
    </row>
    <row r="1260" spans="1:16">
      <c r="A1260" s="226"/>
      <c r="B1260" s="131" t="s">
        <v>870</v>
      </c>
      <c r="C1260" s="48">
        <v>91417</v>
      </c>
      <c r="H1260" s="82"/>
      <c r="K1260" s="82"/>
      <c r="P1260" s="82"/>
    </row>
    <row r="1261" spans="1:16">
      <c r="A1261" s="226"/>
      <c r="B1261" s="131" t="s">
        <v>2512</v>
      </c>
      <c r="C1261" s="48">
        <v>98061</v>
      </c>
      <c r="H1261" s="82"/>
      <c r="K1261" s="82"/>
      <c r="P1261" s="82"/>
    </row>
    <row r="1262" spans="1:16">
      <c r="A1262" s="226"/>
      <c r="B1262" s="131" t="s">
        <v>2809</v>
      </c>
      <c r="C1262" s="48">
        <v>93904</v>
      </c>
      <c r="H1262" s="82"/>
      <c r="K1262" s="82"/>
      <c r="P1262" s="82"/>
    </row>
    <row r="1263" spans="1:16">
      <c r="A1263" s="226"/>
      <c r="B1263" s="131" t="s">
        <v>1081</v>
      </c>
      <c r="C1263" s="48">
        <v>93901</v>
      </c>
      <c r="H1263" s="82"/>
      <c r="K1263" s="82"/>
      <c r="P1263" s="82"/>
    </row>
    <row r="1264" spans="1:16">
      <c r="A1264" s="226"/>
      <c r="B1264" s="131" t="s">
        <v>1083</v>
      </c>
      <c r="C1264" s="48">
        <v>93906</v>
      </c>
      <c r="H1264" s="82"/>
      <c r="K1264" s="82"/>
      <c r="P1264" s="82"/>
    </row>
    <row r="1265" spans="1:16">
      <c r="A1265" s="226"/>
      <c r="B1265" s="131" t="s">
        <v>1084</v>
      </c>
      <c r="C1265" s="226">
        <v>93908</v>
      </c>
      <c r="H1265" s="82"/>
      <c r="K1265" s="82"/>
      <c r="P1265" s="82"/>
    </row>
    <row r="1266" spans="1:16">
      <c r="A1266" s="226"/>
      <c r="B1266" s="131" t="s">
        <v>1170</v>
      </c>
      <c r="C1266" s="48">
        <v>94908</v>
      </c>
      <c r="H1266" s="82"/>
      <c r="K1266" s="82"/>
      <c r="P1266" s="82"/>
    </row>
    <row r="1267" spans="1:16">
      <c r="A1267" s="226"/>
      <c r="B1267" s="131" t="s">
        <v>2513</v>
      </c>
      <c r="C1267" s="48">
        <v>90161</v>
      </c>
      <c r="H1267" s="82"/>
      <c r="K1267" s="82"/>
      <c r="P1267" s="82"/>
    </row>
    <row r="1268" spans="1:16">
      <c r="A1268" s="226"/>
      <c r="B1268" s="131" t="s">
        <v>1091</v>
      </c>
      <c r="C1268" s="48">
        <v>94001</v>
      </c>
      <c r="H1268" s="82"/>
      <c r="K1268" s="82"/>
      <c r="P1268" s="82"/>
    </row>
    <row r="1269" spans="1:16">
      <c r="A1269" s="226"/>
      <c r="B1269" s="131" t="s">
        <v>1093</v>
      </c>
      <c r="C1269" s="48">
        <v>94004</v>
      </c>
      <c r="H1269" s="82"/>
      <c r="K1269" s="82"/>
      <c r="P1269" s="82"/>
    </row>
    <row r="1270" spans="1:16">
      <c r="A1270" s="226"/>
      <c r="B1270" s="131" t="s">
        <v>1962</v>
      </c>
      <c r="C1270" s="48">
        <v>94111</v>
      </c>
      <c r="H1270" s="82"/>
      <c r="K1270" s="82"/>
      <c r="P1270" s="82"/>
    </row>
    <row r="1271" spans="1:16">
      <c r="A1271" s="226"/>
      <c r="B1271" s="131" t="s">
        <v>2808</v>
      </c>
      <c r="C1271" s="48">
        <v>94117</v>
      </c>
      <c r="H1271" s="82"/>
      <c r="K1271" s="82"/>
      <c r="P1271" s="82"/>
    </row>
    <row r="1272" spans="1:16">
      <c r="A1272" s="226"/>
      <c r="B1272" s="131" t="s">
        <v>1964</v>
      </c>
      <c r="C1272" s="48">
        <v>97411</v>
      </c>
      <c r="H1272" s="82"/>
      <c r="K1272" s="82"/>
      <c r="P1272" s="82"/>
    </row>
    <row r="1273" spans="1:16">
      <c r="A1273" s="226"/>
      <c r="B1273" s="131" t="s">
        <v>1373</v>
      </c>
      <c r="C1273" s="48">
        <v>97413</v>
      </c>
      <c r="H1273" s="82"/>
      <c r="K1273" s="82"/>
      <c r="P1273" s="82"/>
    </row>
    <row r="1274" spans="1:16">
      <c r="A1274" s="226"/>
      <c r="B1274" s="131" t="s">
        <v>1372</v>
      </c>
      <c r="C1274" s="48">
        <v>97412</v>
      </c>
      <c r="H1274" s="82"/>
      <c r="K1274" s="82"/>
      <c r="P1274" s="82"/>
    </row>
    <row r="1275" spans="1:16">
      <c r="A1275" s="226"/>
      <c r="B1275" s="131" t="s">
        <v>2514</v>
      </c>
      <c r="C1275" s="48">
        <v>97431</v>
      </c>
      <c r="H1275" s="82"/>
      <c r="K1275" s="82"/>
      <c r="P1275" s="82"/>
    </row>
    <row r="1276" spans="1:16">
      <c r="A1276" s="226"/>
      <c r="B1276" s="131" t="s">
        <v>2515</v>
      </c>
      <c r="C1276" s="48">
        <v>97471</v>
      </c>
      <c r="H1276" s="82"/>
      <c r="K1276" s="82"/>
      <c r="P1276" s="82"/>
    </row>
    <row r="1277" spans="1:16">
      <c r="A1277" s="226"/>
      <c r="B1277" s="131" t="s">
        <v>2516</v>
      </c>
      <c r="C1277" s="48">
        <v>92351</v>
      </c>
      <c r="H1277" s="82"/>
      <c r="K1277" s="82"/>
      <c r="P1277" s="82"/>
    </row>
    <row r="1278" spans="1:16">
      <c r="A1278" s="226"/>
      <c r="B1278" s="131" t="s">
        <v>1098</v>
      </c>
      <c r="C1278" s="226">
        <v>94101</v>
      </c>
      <c r="H1278" s="82"/>
      <c r="K1278" s="82"/>
      <c r="P1278" s="82"/>
    </row>
    <row r="1279" spans="1:16">
      <c r="A1279" s="226"/>
      <c r="B1279" s="131" t="s">
        <v>1105</v>
      </c>
      <c r="C1279" s="226">
        <v>94118</v>
      </c>
      <c r="H1279" s="82"/>
      <c r="K1279" s="82"/>
      <c r="P1279" s="82"/>
    </row>
    <row r="1280" spans="1:16">
      <c r="A1280" s="226"/>
      <c r="B1280" s="131" t="s">
        <v>1099</v>
      </c>
      <c r="C1280" s="48">
        <v>94102</v>
      </c>
      <c r="H1280" s="82"/>
      <c r="K1280" s="82"/>
      <c r="P1280" s="82"/>
    </row>
    <row r="1281" spans="1:16">
      <c r="A1281" s="226"/>
      <c r="B1281" s="131" t="s">
        <v>1115</v>
      </c>
      <c r="C1281" s="48">
        <v>94201</v>
      </c>
      <c r="H1281" s="82"/>
      <c r="K1281" s="82"/>
      <c r="P1281" s="82"/>
    </row>
    <row r="1282" spans="1:16">
      <c r="A1282" s="226"/>
      <c r="B1282" s="131" t="s">
        <v>1116</v>
      </c>
      <c r="C1282" s="48">
        <v>94204</v>
      </c>
      <c r="H1282" s="82"/>
      <c r="K1282" s="82"/>
      <c r="P1282" s="82"/>
    </row>
    <row r="1283" spans="1:16">
      <c r="A1283" s="226"/>
      <c r="B1283" s="131" t="s">
        <v>1117</v>
      </c>
      <c r="C1283" s="48">
        <v>94205</v>
      </c>
      <c r="H1283" s="82"/>
      <c r="K1283" s="82"/>
      <c r="P1283" s="82"/>
    </row>
    <row r="1284" spans="1:16">
      <c r="A1284" s="226"/>
      <c r="B1284" s="131" t="s">
        <v>2517</v>
      </c>
      <c r="C1284" s="48">
        <v>95831</v>
      </c>
      <c r="H1284" s="82"/>
      <c r="K1284" s="82"/>
      <c r="P1284" s="82"/>
    </row>
    <row r="1285" spans="1:16">
      <c r="A1285" s="226"/>
      <c r="B1285" s="131" t="s">
        <v>1965</v>
      </c>
      <c r="C1285" s="48">
        <v>97721</v>
      </c>
      <c r="H1285" s="82"/>
      <c r="K1285" s="82"/>
      <c r="P1285" s="82"/>
    </row>
    <row r="1286" spans="1:16">
      <c r="A1286" s="226"/>
      <c r="B1286" s="131" t="s">
        <v>1404</v>
      </c>
      <c r="C1286" s="48">
        <v>97717</v>
      </c>
      <c r="H1286" s="82"/>
      <c r="K1286" s="82"/>
      <c r="P1286" s="82"/>
    </row>
    <row r="1287" spans="1:16">
      <c r="A1287" s="226"/>
      <c r="B1287" s="131" t="s">
        <v>1125</v>
      </c>
      <c r="C1287" s="48">
        <v>94301</v>
      </c>
      <c r="H1287" s="82"/>
      <c r="K1287" s="82"/>
      <c r="P1287" s="82"/>
    </row>
    <row r="1288" spans="1:16">
      <c r="A1288" s="226"/>
      <c r="B1288" s="131" t="s">
        <v>2518</v>
      </c>
      <c r="C1288" s="48">
        <v>91441</v>
      </c>
      <c r="H1288" s="82"/>
      <c r="K1288" s="82"/>
      <c r="P1288" s="82"/>
    </row>
    <row r="1289" spans="1:16">
      <c r="A1289" s="226"/>
      <c r="B1289" s="131" t="s">
        <v>1966</v>
      </c>
      <c r="C1289" s="48">
        <v>92531</v>
      </c>
      <c r="H1289" s="82"/>
      <c r="K1289" s="82"/>
      <c r="P1289" s="82"/>
    </row>
    <row r="1290" spans="1:16">
      <c r="A1290" s="226"/>
      <c r="B1290" s="131" t="s">
        <v>2519</v>
      </c>
      <c r="C1290" s="48">
        <v>90141</v>
      </c>
      <c r="H1290" s="82"/>
      <c r="K1290" s="82"/>
      <c r="P1290" s="82"/>
    </row>
    <row r="1291" spans="1:16">
      <c r="A1291" s="226"/>
      <c r="B1291" s="131" t="s">
        <v>1134</v>
      </c>
      <c r="C1291" s="48">
        <v>94401</v>
      </c>
      <c r="H1291" s="82"/>
      <c r="K1291" s="82"/>
      <c r="P1291" s="82"/>
    </row>
    <row r="1292" spans="1:16">
      <c r="A1292" s="226"/>
      <c r="B1292" s="131" t="s">
        <v>1136</v>
      </c>
      <c r="C1292" s="48">
        <v>94403</v>
      </c>
      <c r="H1292" s="82"/>
      <c r="K1292" s="82"/>
      <c r="P1292" s="82"/>
    </row>
    <row r="1293" spans="1:16">
      <c r="A1293" s="226"/>
      <c r="B1293" s="131" t="s">
        <v>1135</v>
      </c>
      <c r="C1293" s="48">
        <v>94402</v>
      </c>
      <c r="H1293" s="82"/>
      <c r="K1293" s="82"/>
      <c r="P1293" s="82"/>
    </row>
    <row r="1294" spans="1:16">
      <c r="A1294" s="226"/>
      <c r="B1294" s="131" t="s">
        <v>1967</v>
      </c>
      <c r="C1294" s="48">
        <v>99111</v>
      </c>
      <c r="H1294" s="82"/>
      <c r="K1294" s="82"/>
      <c r="P1294" s="82"/>
    </row>
    <row r="1295" spans="1:16">
      <c r="A1295" s="226"/>
      <c r="B1295" s="131" t="s">
        <v>2019</v>
      </c>
      <c r="C1295" s="48">
        <v>94501</v>
      </c>
      <c r="H1295" s="82"/>
      <c r="K1295" s="82"/>
      <c r="P1295" s="82"/>
    </row>
    <row r="1296" spans="1:16">
      <c r="A1296" s="226"/>
      <c r="B1296" s="131" t="s">
        <v>1968</v>
      </c>
      <c r="C1296" s="48">
        <v>94511</v>
      </c>
      <c r="H1296" s="82"/>
      <c r="K1296" s="82"/>
      <c r="P1296" s="82"/>
    </row>
    <row r="1297" spans="1:16">
      <c r="A1297" s="226"/>
      <c r="B1297" s="131" t="s">
        <v>2807</v>
      </c>
      <c r="C1297" s="48">
        <v>94517</v>
      </c>
      <c r="H1297" s="82"/>
      <c r="K1297" s="82"/>
      <c r="P1297" s="82"/>
    </row>
    <row r="1298" spans="1:16">
      <c r="A1298" s="226"/>
      <c r="B1298" s="131" t="s">
        <v>1147</v>
      </c>
      <c r="C1298" s="48">
        <v>94512</v>
      </c>
      <c r="H1298" s="82"/>
      <c r="K1298" s="82"/>
      <c r="P1298" s="82"/>
    </row>
    <row r="1299" spans="1:16">
      <c r="A1299" s="226"/>
      <c r="B1299" s="131" t="s">
        <v>2520</v>
      </c>
      <c r="C1299" s="48">
        <v>97211</v>
      </c>
      <c r="H1299" s="82"/>
      <c r="K1299" s="82"/>
      <c r="P1299" s="82"/>
    </row>
    <row r="1300" spans="1:16">
      <c r="A1300" s="226"/>
      <c r="B1300" s="131" t="s">
        <v>2521</v>
      </c>
      <c r="C1300" s="48">
        <v>97217</v>
      </c>
      <c r="H1300" s="82"/>
      <c r="K1300" s="82"/>
      <c r="P1300" s="82"/>
    </row>
    <row r="1301" spans="1:16">
      <c r="A1301" s="226"/>
      <c r="B1301" s="131" t="s">
        <v>1156</v>
      </c>
      <c r="C1301" s="48">
        <v>94601</v>
      </c>
      <c r="H1301" s="82"/>
      <c r="K1301" s="82"/>
      <c r="P1301" s="82"/>
    </row>
    <row r="1302" spans="1:16">
      <c r="A1302" s="226"/>
      <c r="B1302" s="131" t="s">
        <v>1157</v>
      </c>
      <c r="C1302" s="48">
        <v>94604</v>
      </c>
      <c r="H1302" s="82"/>
      <c r="K1302" s="82"/>
      <c r="P1302" s="82"/>
    </row>
    <row r="1303" spans="1:16">
      <c r="A1303" s="226"/>
      <c r="B1303" s="131" t="s">
        <v>1158</v>
      </c>
      <c r="C1303" s="48">
        <v>94606</v>
      </c>
      <c r="H1303" s="82"/>
      <c r="K1303" s="82"/>
      <c r="P1303" s="82"/>
    </row>
    <row r="1304" spans="1:16">
      <c r="A1304" s="226"/>
      <c r="B1304" s="131" t="s">
        <v>2763</v>
      </c>
      <c r="C1304" s="48">
        <v>97213</v>
      </c>
      <c r="H1304" s="82"/>
      <c r="K1304" s="82"/>
      <c r="P1304" s="82"/>
    </row>
    <row r="1305" spans="1:16">
      <c r="A1305" s="226"/>
      <c r="B1305" s="131" t="s">
        <v>1969</v>
      </c>
      <c r="C1305" s="48">
        <v>91811</v>
      </c>
      <c r="H1305" s="82"/>
      <c r="K1305" s="82"/>
      <c r="P1305" s="82"/>
    </row>
    <row r="1306" spans="1:16">
      <c r="A1306" s="226"/>
      <c r="B1306" s="131" t="s">
        <v>2751</v>
      </c>
      <c r="C1306" s="48">
        <v>91812</v>
      </c>
      <c r="H1306" s="82"/>
      <c r="K1306" s="82"/>
      <c r="P1306" s="82"/>
    </row>
    <row r="1307" spans="1:16">
      <c r="A1307" s="226"/>
      <c r="B1307" s="131" t="s">
        <v>901</v>
      </c>
      <c r="C1307" s="48">
        <v>91813</v>
      </c>
      <c r="H1307" s="82"/>
      <c r="K1307" s="82"/>
      <c r="P1307" s="82"/>
    </row>
    <row r="1308" spans="1:16">
      <c r="A1308" s="226"/>
      <c r="B1308" s="131" t="s">
        <v>766</v>
      </c>
      <c r="C1308" s="226">
        <v>90617</v>
      </c>
      <c r="H1308" s="82"/>
      <c r="K1308" s="82"/>
      <c r="P1308" s="82"/>
    </row>
    <row r="1309" spans="1:16">
      <c r="A1309" s="226"/>
      <c r="B1309" s="131" t="s">
        <v>1970</v>
      </c>
      <c r="C1309" s="226">
        <v>94121</v>
      </c>
      <c r="H1309" s="82"/>
      <c r="K1309" s="82"/>
      <c r="P1309" s="82"/>
    </row>
    <row r="1310" spans="1:16">
      <c r="A1310" s="226"/>
      <c r="B1310" s="131" t="s">
        <v>2806</v>
      </c>
      <c r="C1310" s="48">
        <v>94127</v>
      </c>
      <c r="H1310" s="82"/>
      <c r="K1310" s="82"/>
      <c r="P1310" s="82"/>
    </row>
    <row r="1311" spans="1:16">
      <c r="A1311" s="226"/>
      <c r="B1311" s="131" t="s">
        <v>2522</v>
      </c>
      <c r="C1311" s="48">
        <v>95621</v>
      </c>
      <c r="H1311" s="82"/>
      <c r="K1311" s="82"/>
      <c r="P1311" s="82"/>
    </row>
    <row r="1312" spans="1:16">
      <c r="A1312" s="226"/>
      <c r="B1312" s="131" t="s">
        <v>1228</v>
      </c>
      <c r="C1312" s="48">
        <v>95617</v>
      </c>
      <c r="H1312" s="82"/>
      <c r="K1312" s="82"/>
      <c r="P1312" s="82"/>
    </row>
    <row r="1313" spans="1:16">
      <c r="A1313" s="226"/>
      <c r="B1313" s="131" t="s">
        <v>2523</v>
      </c>
      <c r="C1313" s="48">
        <v>91251</v>
      </c>
      <c r="H1313" s="82"/>
      <c r="K1313" s="82"/>
      <c r="P1313" s="82"/>
    </row>
    <row r="1314" spans="1:16">
      <c r="A1314" s="226"/>
      <c r="B1314" s="131" t="s">
        <v>2524</v>
      </c>
      <c r="C1314" s="48">
        <v>96831</v>
      </c>
      <c r="H1314" s="82"/>
      <c r="K1314" s="82"/>
      <c r="P1314" s="82"/>
    </row>
    <row r="1315" spans="1:16">
      <c r="A1315" s="226"/>
      <c r="B1315" s="131" t="s">
        <v>2525</v>
      </c>
      <c r="C1315" s="48">
        <v>94251</v>
      </c>
      <c r="H1315" s="82"/>
      <c r="K1315" s="82"/>
      <c r="P1315" s="82"/>
    </row>
    <row r="1316" spans="1:16">
      <c r="A1316" s="226"/>
      <c r="B1316" s="131" t="s">
        <v>1163</v>
      </c>
      <c r="C1316" s="48">
        <v>94701</v>
      </c>
      <c r="H1316" s="82"/>
      <c r="K1316" s="82"/>
      <c r="P1316" s="82"/>
    </row>
    <row r="1317" spans="1:16">
      <c r="A1317" s="226"/>
      <c r="B1317" s="131" t="s">
        <v>1164</v>
      </c>
      <c r="C1317" s="48">
        <v>94704</v>
      </c>
      <c r="H1317" s="82"/>
      <c r="K1317" s="82"/>
      <c r="P1317" s="82"/>
    </row>
    <row r="1318" spans="1:16">
      <c r="A1318" s="226"/>
      <c r="B1318" s="131" t="s">
        <v>2526</v>
      </c>
      <c r="C1318" s="48">
        <v>91014</v>
      </c>
      <c r="H1318" s="82"/>
      <c r="K1318" s="82"/>
      <c r="P1318" s="82"/>
    </row>
    <row r="1319" spans="1:16">
      <c r="A1319" s="226"/>
      <c r="B1319" s="131" t="s">
        <v>2527</v>
      </c>
      <c r="C1319" s="48">
        <v>96731</v>
      </c>
      <c r="H1319" s="82"/>
      <c r="K1319" s="82"/>
      <c r="P1319" s="82"/>
    </row>
    <row r="1320" spans="1:16">
      <c r="A1320" s="226"/>
      <c r="B1320" s="131" t="s">
        <v>1329</v>
      </c>
      <c r="C1320" s="48">
        <v>96733</v>
      </c>
      <c r="H1320" s="82"/>
      <c r="K1320" s="82"/>
      <c r="P1320" s="82"/>
    </row>
    <row r="1321" spans="1:16">
      <c r="A1321" s="226"/>
      <c r="B1321" s="131" t="s">
        <v>2528</v>
      </c>
      <c r="C1321" s="48">
        <v>99202</v>
      </c>
      <c r="H1321" s="82"/>
      <c r="K1321" s="82"/>
      <c r="P1321" s="82"/>
    </row>
    <row r="1322" spans="1:16">
      <c r="A1322" s="226"/>
      <c r="B1322" s="131" t="s">
        <v>2529</v>
      </c>
      <c r="C1322" s="226">
        <v>94011</v>
      </c>
      <c r="H1322" s="82"/>
      <c r="K1322" s="82"/>
      <c r="P1322" s="82"/>
    </row>
    <row r="1323" spans="1:16">
      <c r="A1323" s="226"/>
      <c r="B1323" s="131" t="s">
        <v>2530</v>
      </c>
      <c r="C1323" s="48">
        <v>92631</v>
      </c>
      <c r="H1323" s="82"/>
      <c r="K1323" s="82"/>
      <c r="P1323" s="82"/>
    </row>
    <row r="1324" spans="1:16">
      <c r="A1324" s="226"/>
      <c r="B1324" s="131" t="s">
        <v>1233</v>
      </c>
      <c r="C1324" s="48">
        <v>95733</v>
      </c>
      <c r="H1324" s="82"/>
      <c r="K1324" s="82"/>
      <c r="P1324" s="82"/>
    </row>
    <row r="1325" spans="1:16">
      <c r="A1325" s="226"/>
      <c r="B1325" s="131" t="s">
        <v>2531</v>
      </c>
      <c r="C1325" s="48">
        <v>91431</v>
      </c>
      <c r="H1325" s="82"/>
      <c r="K1325" s="82"/>
      <c r="P1325" s="82"/>
    </row>
    <row r="1326" spans="1:16">
      <c r="A1326" s="226"/>
      <c r="B1326" s="131" t="s">
        <v>2532</v>
      </c>
      <c r="C1326" s="48">
        <v>96041</v>
      </c>
      <c r="H1326" s="82"/>
      <c r="K1326" s="82"/>
      <c r="P1326" s="82"/>
    </row>
    <row r="1327" spans="1:16">
      <c r="A1327" s="226"/>
      <c r="B1327" s="131" t="s">
        <v>1166</v>
      </c>
      <c r="C1327" s="48">
        <v>94801</v>
      </c>
      <c r="H1327" s="82"/>
      <c r="K1327" s="82"/>
      <c r="P1327" s="82"/>
    </row>
    <row r="1328" spans="1:16">
      <c r="A1328" s="226"/>
      <c r="B1328" s="131" t="s">
        <v>1167</v>
      </c>
      <c r="C1328" s="48">
        <v>94804</v>
      </c>
      <c r="H1328" s="82"/>
      <c r="K1328" s="82"/>
      <c r="P1328" s="82"/>
    </row>
    <row r="1329" spans="1:16">
      <c r="A1329" s="226"/>
      <c r="B1329" s="131" t="s">
        <v>2533</v>
      </c>
      <c r="C1329" s="48">
        <v>91661</v>
      </c>
      <c r="H1329" s="82"/>
      <c r="K1329" s="82"/>
      <c r="P1329" s="82"/>
    </row>
    <row r="1330" spans="1:16">
      <c r="A1330" s="226"/>
      <c r="B1330" s="131" t="s">
        <v>2534</v>
      </c>
      <c r="C1330" s="48">
        <v>99051</v>
      </c>
      <c r="H1330" s="82"/>
      <c r="K1330" s="82"/>
      <c r="P1330" s="82"/>
    </row>
    <row r="1331" spans="1:16">
      <c r="A1331" s="226"/>
      <c r="B1331" s="131" t="s">
        <v>1521</v>
      </c>
      <c r="C1331" s="48">
        <v>99014</v>
      </c>
      <c r="H1331" s="82"/>
      <c r="K1331" s="82"/>
      <c r="P1331" s="82"/>
    </row>
    <row r="1332" spans="1:16">
      <c r="A1332" s="226"/>
      <c r="B1332" s="131" t="s">
        <v>1169</v>
      </c>
      <c r="C1332" s="48">
        <v>94901</v>
      </c>
      <c r="H1332" s="82"/>
      <c r="K1332" s="82"/>
      <c r="P1332" s="82"/>
    </row>
    <row r="1333" spans="1:16">
      <c r="A1333" s="226"/>
      <c r="B1333" s="131" t="s">
        <v>1458</v>
      </c>
      <c r="C1333" s="48">
        <v>98109</v>
      </c>
      <c r="H1333" s="82"/>
      <c r="K1333" s="82"/>
      <c r="P1333" s="82"/>
    </row>
    <row r="1334" spans="1:16">
      <c r="A1334" s="226"/>
      <c r="B1334" s="131" t="s">
        <v>2802</v>
      </c>
      <c r="C1334" s="48">
        <v>98205</v>
      </c>
      <c r="H1334" s="82"/>
      <c r="K1334" s="82"/>
      <c r="P1334" s="82"/>
    </row>
    <row r="1335" spans="1:16">
      <c r="A1335" s="226"/>
      <c r="B1335" s="131" t="s">
        <v>2535</v>
      </c>
      <c r="C1335" s="48">
        <v>96661</v>
      </c>
      <c r="H1335" s="82"/>
      <c r="K1335" s="82"/>
      <c r="P1335" s="82"/>
    </row>
    <row r="1336" spans="1:16">
      <c r="A1336" s="226"/>
      <c r="B1336" s="131" t="s">
        <v>1178</v>
      </c>
      <c r="C1336" s="48">
        <v>95001</v>
      </c>
      <c r="H1336" s="82"/>
      <c r="K1336" s="82"/>
      <c r="P1336" s="82"/>
    </row>
    <row r="1337" spans="1:16">
      <c r="A1337" s="226"/>
      <c r="B1337" s="131" t="s">
        <v>1184</v>
      </c>
      <c r="C1337" s="48">
        <v>95017</v>
      </c>
      <c r="H1337" s="82"/>
      <c r="K1337" s="82"/>
      <c r="P1337" s="82"/>
    </row>
    <row r="1338" spans="1:16">
      <c r="A1338" s="226"/>
      <c r="B1338" s="131" t="s">
        <v>1971</v>
      </c>
      <c r="C1338" s="48">
        <v>96711</v>
      </c>
      <c r="H1338" s="82"/>
      <c r="K1338" s="82"/>
      <c r="P1338" s="82"/>
    </row>
    <row r="1339" spans="1:16">
      <c r="A1339" s="226"/>
      <c r="B1339" s="131" t="s">
        <v>2536</v>
      </c>
      <c r="C1339" s="48">
        <v>94131</v>
      </c>
      <c r="H1339" s="82"/>
      <c r="K1339" s="82"/>
      <c r="P1339" s="82"/>
    </row>
    <row r="1340" spans="1:16">
      <c r="A1340" s="226"/>
      <c r="B1340" s="131" t="s">
        <v>2537</v>
      </c>
      <c r="C1340" s="48">
        <v>95841</v>
      </c>
      <c r="H1340" s="82"/>
      <c r="K1340" s="82"/>
      <c r="P1340" s="82"/>
    </row>
    <row r="1341" spans="1:16">
      <c r="A1341" s="226"/>
      <c r="B1341" s="131" t="s">
        <v>2538</v>
      </c>
      <c r="C1341" s="48">
        <v>90511</v>
      </c>
      <c r="H1341" s="82"/>
      <c r="K1341" s="82"/>
      <c r="P1341" s="82"/>
    </row>
    <row r="1342" spans="1:16">
      <c r="A1342" s="226"/>
      <c r="B1342" s="131" t="s">
        <v>1185</v>
      </c>
      <c r="C1342" s="48">
        <v>95101</v>
      </c>
      <c r="H1342" s="82"/>
      <c r="K1342" s="82"/>
      <c r="P1342" s="82"/>
    </row>
    <row r="1343" spans="1:16">
      <c r="A1343" s="226"/>
      <c r="B1343" s="131" t="s">
        <v>1187</v>
      </c>
      <c r="C1343" s="48">
        <v>95104</v>
      </c>
      <c r="H1343" s="82"/>
      <c r="K1343" s="82"/>
      <c r="P1343" s="82"/>
    </row>
    <row r="1344" spans="1:16">
      <c r="A1344" s="226"/>
      <c r="B1344" s="131" t="s">
        <v>1190</v>
      </c>
      <c r="C1344" s="48">
        <v>95110</v>
      </c>
      <c r="H1344" s="82"/>
      <c r="K1344" s="82"/>
      <c r="P1344" s="82"/>
    </row>
    <row r="1345" spans="1:16">
      <c r="A1345" s="226"/>
      <c r="B1345" s="131" t="s">
        <v>1203</v>
      </c>
      <c r="C1345" s="48">
        <v>95201</v>
      </c>
      <c r="H1345" s="82"/>
      <c r="K1345" s="82"/>
      <c r="P1345" s="82"/>
    </row>
    <row r="1346" spans="1:16">
      <c r="A1346" s="226"/>
      <c r="B1346" s="131" t="s">
        <v>1204</v>
      </c>
      <c r="C1346" s="48">
        <v>95204</v>
      </c>
      <c r="H1346" s="82"/>
      <c r="K1346" s="82"/>
      <c r="P1346" s="82"/>
    </row>
    <row r="1347" spans="1:16">
      <c r="A1347" s="226"/>
      <c r="B1347" s="131" t="s">
        <v>2539</v>
      </c>
      <c r="C1347" s="51">
        <v>99921</v>
      </c>
      <c r="H1347" s="82"/>
      <c r="K1347" s="82"/>
      <c r="P1347" s="82"/>
    </row>
    <row r="1348" spans="1:16">
      <c r="A1348" s="226"/>
      <c r="B1348" s="131" t="s">
        <v>1137</v>
      </c>
      <c r="C1348" s="226">
        <v>94408</v>
      </c>
      <c r="H1348" s="82"/>
      <c r="K1348" s="82"/>
      <c r="P1348" s="82"/>
    </row>
    <row r="1349" spans="1:16">
      <c r="A1349" s="226"/>
      <c r="B1349" s="131" t="s">
        <v>1972</v>
      </c>
      <c r="C1349" s="226">
        <v>91331</v>
      </c>
      <c r="H1349" s="82"/>
      <c r="K1349" s="82"/>
      <c r="P1349" s="82"/>
    </row>
    <row r="1350" spans="1:16">
      <c r="A1350" s="226"/>
      <c r="B1350" s="131" t="s">
        <v>2540</v>
      </c>
      <c r="C1350" s="48">
        <v>93121</v>
      </c>
      <c r="H1350" s="82"/>
      <c r="K1350" s="82"/>
      <c r="P1350" s="82"/>
    </row>
    <row r="1351" spans="1:16">
      <c r="A1351" s="226"/>
      <c r="B1351" s="131" t="s">
        <v>1007</v>
      </c>
      <c r="C1351" s="48">
        <v>93127</v>
      </c>
      <c r="H1351" s="82"/>
      <c r="K1351" s="82"/>
      <c r="P1351" s="82"/>
    </row>
    <row r="1352" spans="1:16">
      <c r="A1352" s="226"/>
      <c r="B1352" s="131" t="s">
        <v>2541</v>
      </c>
      <c r="C1352" s="48">
        <v>95171</v>
      </c>
      <c r="H1352" s="82"/>
      <c r="K1352" s="82"/>
      <c r="P1352" s="82"/>
    </row>
    <row r="1353" spans="1:16">
      <c r="A1353" s="226"/>
      <c r="B1353" s="131" t="s">
        <v>2542</v>
      </c>
      <c r="C1353" s="48">
        <v>93421</v>
      </c>
      <c r="H1353" s="82"/>
      <c r="K1353" s="82"/>
      <c r="P1353" s="82"/>
    </row>
    <row r="1354" spans="1:16">
      <c r="A1354" s="226"/>
      <c r="B1354" s="131" t="s">
        <v>1535</v>
      </c>
      <c r="C1354" s="48">
        <v>99110</v>
      </c>
      <c r="H1354" s="82"/>
      <c r="K1354" s="82"/>
      <c r="P1354" s="82"/>
    </row>
    <row r="1355" spans="1:16">
      <c r="A1355" s="226"/>
      <c r="B1355" s="131" t="s">
        <v>2801</v>
      </c>
      <c r="C1355" s="48">
        <v>99109</v>
      </c>
      <c r="H1355" s="82"/>
      <c r="K1355" s="82"/>
      <c r="P1355" s="82"/>
    </row>
    <row r="1356" spans="1:16">
      <c r="A1356" s="226"/>
      <c r="B1356" s="131" t="s">
        <v>2543</v>
      </c>
      <c r="C1356" s="48">
        <v>92821</v>
      </c>
      <c r="H1356" s="82"/>
      <c r="K1356" s="82"/>
      <c r="P1356" s="82"/>
    </row>
    <row r="1357" spans="1:16">
      <c r="A1357" s="226"/>
      <c r="B1357" s="131" t="s">
        <v>2544</v>
      </c>
      <c r="C1357" s="48">
        <v>98521</v>
      </c>
      <c r="H1357" s="82"/>
      <c r="K1357" s="82"/>
      <c r="P1357" s="82"/>
    </row>
    <row r="1358" spans="1:16">
      <c r="A1358" s="226"/>
      <c r="B1358" s="131" t="s">
        <v>1973</v>
      </c>
      <c r="C1358" s="48">
        <v>92321</v>
      </c>
      <c r="H1358" s="82"/>
      <c r="K1358" s="82"/>
      <c r="P1358" s="82"/>
    </row>
    <row r="1359" spans="1:16">
      <c r="A1359" s="226"/>
      <c r="B1359" s="131" t="s">
        <v>934</v>
      </c>
      <c r="C1359" s="48">
        <v>92327</v>
      </c>
      <c r="H1359" s="82"/>
      <c r="K1359" s="82"/>
      <c r="P1359" s="82"/>
    </row>
    <row r="1360" spans="1:16">
      <c r="A1360" s="226"/>
      <c r="B1360" s="131" t="s">
        <v>1974</v>
      </c>
      <c r="C1360" s="48">
        <v>95411</v>
      </c>
      <c r="H1360" s="82"/>
      <c r="K1360" s="82"/>
      <c r="P1360" s="82"/>
    </row>
    <row r="1361" spans="1:16">
      <c r="A1361" s="226"/>
      <c r="B1361" s="131" t="s">
        <v>2805</v>
      </c>
      <c r="C1361" s="48">
        <v>95413</v>
      </c>
      <c r="H1361" s="82"/>
      <c r="K1361" s="82"/>
      <c r="P1361" s="82"/>
    </row>
    <row r="1362" spans="1:16">
      <c r="A1362" s="226"/>
      <c r="B1362" s="131" t="s">
        <v>2800</v>
      </c>
      <c r="C1362" s="48">
        <v>95415</v>
      </c>
      <c r="H1362" s="82"/>
      <c r="K1362" s="82"/>
      <c r="P1362" s="82"/>
    </row>
    <row r="1363" spans="1:16">
      <c r="A1363" s="226"/>
      <c r="B1363" s="131" t="s">
        <v>2545</v>
      </c>
      <c r="C1363" s="48">
        <v>92851</v>
      </c>
      <c r="H1363" s="82"/>
      <c r="K1363" s="82"/>
      <c r="P1363" s="82"/>
    </row>
    <row r="1364" spans="1:16">
      <c r="A1364" s="226"/>
      <c r="B1364" s="131" t="s">
        <v>2546</v>
      </c>
      <c r="C1364" s="48">
        <v>99291</v>
      </c>
      <c r="H1364" s="82"/>
      <c r="K1364" s="82"/>
      <c r="P1364" s="82"/>
    </row>
    <row r="1365" spans="1:16">
      <c r="A1365" s="226"/>
      <c r="B1365" s="131" t="s">
        <v>2547</v>
      </c>
      <c r="C1365" s="48">
        <v>96541</v>
      </c>
      <c r="H1365" s="82"/>
      <c r="K1365" s="82"/>
      <c r="P1365" s="82"/>
    </row>
    <row r="1366" spans="1:16">
      <c r="A1366" s="226"/>
      <c r="B1366" s="131" t="s">
        <v>2548</v>
      </c>
      <c r="C1366" s="48">
        <v>95431</v>
      </c>
      <c r="H1366" s="82"/>
      <c r="K1366" s="82"/>
      <c r="P1366" s="82"/>
    </row>
    <row r="1367" spans="1:16">
      <c r="A1367" s="226"/>
      <c r="B1367" s="131" t="s">
        <v>2549</v>
      </c>
      <c r="C1367" s="48">
        <v>98131</v>
      </c>
      <c r="H1367" s="82"/>
      <c r="K1367" s="82"/>
      <c r="P1367" s="82"/>
    </row>
    <row r="1368" spans="1:16">
      <c r="A1368" s="226"/>
      <c r="B1368" s="131" t="s">
        <v>2550</v>
      </c>
      <c r="C1368" s="48">
        <v>92461</v>
      </c>
      <c r="H1368" s="82"/>
      <c r="K1368" s="82"/>
      <c r="P1368" s="82"/>
    </row>
    <row r="1369" spans="1:16">
      <c r="A1369" s="226"/>
      <c r="B1369" s="131" t="s">
        <v>943</v>
      </c>
      <c r="C1369" s="48">
        <v>92427</v>
      </c>
      <c r="H1369" s="82"/>
      <c r="K1369" s="82"/>
      <c r="P1369" s="82"/>
    </row>
    <row r="1370" spans="1:16">
      <c r="A1370" s="226"/>
      <c r="B1370" s="131" t="s">
        <v>2551</v>
      </c>
      <c r="C1370" s="48">
        <v>98051</v>
      </c>
      <c r="H1370" s="82"/>
      <c r="K1370" s="82"/>
      <c r="P1370" s="82"/>
    </row>
    <row r="1371" spans="1:16">
      <c r="A1371" s="226"/>
      <c r="B1371" s="131" t="s">
        <v>826</v>
      </c>
      <c r="C1371" s="48">
        <v>91102</v>
      </c>
      <c r="H1371" s="82"/>
      <c r="K1371" s="82"/>
      <c r="P1371" s="82"/>
    </row>
    <row r="1372" spans="1:16">
      <c r="A1372" s="226"/>
      <c r="B1372" s="131" t="s">
        <v>2552</v>
      </c>
      <c r="C1372" s="48">
        <v>94521</v>
      </c>
      <c r="H1372" s="82"/>
      <c r="K1372" s="82"/>
      <c r="P1372" s="82"/>
    </row>
    <row r="1373" spans="1:16">
      <c r="A1373" s="226"/>
      <c r="B1373" s="131" t="s">
        <v>1150</v>
      </c>
      <c r="C1373" s="48">
        <v>94527</v>
      </c>
      <c r="H1373" s="82"/>
      <c r="K1373" s="82"/>
      <c r="P1373" s="82"/>
    </row>
    <row r="1374" spans="1:16">
      <c r="A1374" s="226"/>
      <c r="B1374" s="131" t="s">
        <v>1975</v>
      </c>
      <c r="C1374" s="48">
        <v>98311</v>
      </c>
      <c r="H1374" s="82"/>
      <c r="K1374" s="82"/>
      <c r="P1374" s="82"/>
    </row>
    <row r="1375" spans="1:16">
      <c r="A1375" s="226"/>
      <c r="B1375" s="131" t="s">
        <v>1481</v>
      </c>
      <c r="C1375" s="48">
        <v>98313</v>
      </c>
      <c r="H1375" s="82"/>
      <c r="K1375" s="82"/>
      <c r="P1375" s="82"/>
    </row>
    <row r="1376" spans="1:16">
      <c r="A1376" s="226"/>
      <c r="B1376" s="131" t="s">
        <v>1479</v>
      </c>
      <c r="C1376" s="48">
        <v>98308</v>
      </c>
      <c r="H1376" s="82"/>
      <c r="K1376" s="82"/>
      <c r="P1376" s="82"/>
    </row>
    <row r="1377" spans="1:16">
      <c r="A1377" s="226"/>
      <c r="B1377" s="131" t="s">
        <v>2553</v>
      </c>
      <c r="C1377" s="48">
        <v>92341</v>
      </c>
      <c r="H1377" s="82"/>
      <c r="K1377" s="82"/>
      <c r="P1377" s="82"/>
    </row>
    <row r="1378" spans="1:16">
      <c r="A1378" s="226"/>
      <c r="B1378" s="131" t="s">
        <v>1208</v>
      </c>
      <c r="C1378" s="48">
        <v>95301</v>
      </c>
      <c r="H1378" s="82"/>
      <c r="K1378" s="82"/>
      <c r="P1378" s="82"/>
    </row>
    <row r="1379" spans="1:16">
      <c r="A1379" s="226"/>
      <c r="B1379" s="131" t="s">
        <v>2554</v>
      </c>
      <c r="C1379" s="48">
        <v>91002</v>
      </c>
      <c r="H1379" s="82"/>
      <c r="K1379" s="82"/>
      <c r="P1379" s="82"/>
    </row>
    <row r="1380" spans="1:16">
      <c r="A1380" s="226"/>
      <c r="B1380" s="131" t="s">
        <v>1976</v>
      </c>
      <c r="C1380" s="48">
        <v>91451</v>
      </c>
      <c r="H1380" s="82"/>
      <c r="K1380" s="82"/>
      <c r="P1380" s="82"/>
    </row>
    <row r="1381" spans="1:16">
      <c r="A1381" s="226"/>
      <c r="B1381" s="131" t="s">
        <v>2799</v>
      </c>
      <c r="C1381" s="48">
        <v>91457</v>
      </c>
      <c r="H1381" s="82"/>
      <c r="K1381" s="82"/>
      <c r="P1381" s="82"/>
    </row>
    <row r="1382" spans="1:16">
      <c r="A1382" s="226"/>
      <c r="B1382" s="131" t="s">
        <v>1212</v>
      </c>
      <c r="C1382" s="48">
        <v>95401</v>
      </c>
      <c r="H1382" s="82"/>
      <c r="K1382" s="82"/>
      <c r="P1382" s="82"/>
    </row>
    <row r="1383" spans="1:16">
      <c r="A1383" s="226"/>
      <c r="B1383" s="131" t="s">
        <v>1213</v>
      </c>
      <c r="C1383" s="48">
        <v>95404</v>
      </c>
      <c r="H1383" s="82"/>
      <c r="K1383" s="82"/>
      <c r="P1383" s="82"/>
    </row>
    <row r="1384" spans="1:16">
      <c r="A1384" s="226"/>
      <c r="B1384" s="131" t="s">
        <v>872</v>
      </c>
      <c r="C1384" s="226">
        <v>91423</v>
      </c>
      <c r="H1384" s="82"/>
      <c r="K1384" s="82"/>
      <c r="P1384" s="82"/>
    </row>
    <row r="1385" spans="1:16">
      <c r="A1385" s="226"/>
      <c r="B1385" s="131" t="s">
        <v>2555</v>
      </c>
      <c r="C1385" s="48">
        <v>90861</v>
      </c>
      <c r="H1385" s="82"/>
      <c r="K1385" s="82"/>
      <c r="P1385" s="82"/>
    </row>
    <row r="1386" spans="1:16">
      <c r="A1386" s="226"/>
      <c r="B1386" s="131" t="s">
        <v>2556</v>
      </c>
      <c r="C1386" s="48">
        <v>93451</v>
      </c>
      <c r="H1386" s="82"/>
      <c r="K1386" s="82"/>
      <c r="P1386" s="82"/>
    </row>
    <row r="1387" spans="1:16">
      <c r="A1387" s="226"/>
      <c r="B1387" s="131" t="s">
        <v>1977</v>
      </c>
      <c r="C1387" s="48">
        <v>92931</v>
      </c>
      <c r="H1387" s="82"/>
      <c r="K1387" s="82"/>
      <c r="P1387" s="82"/>
    </row>
    <row r="1388" spans="1:16">
      <c r="A1388" s="226"/>
      <c r="B1388" s="131" t="s">
        <v>994</v>
      </c>
      <c r="C1388" s="48">
        <v>92917</v>
      </c>
      <c r="H1388" s="82"/>
      <c r="K1388" s="82"/>
      <c r="P1388" s="82"/>
    </row>
    <row r="1389" spans="1:16">
      <c r="A1389" s="226"/>
      <c r="B1389" s="131" t="s">
        <v>2557</v>
      </c>
      <c r="C1389" s="48">
        <v>97631</v>
      </c>
      <c r="H1389" s="82"/>
      <c r="K1389" s="82"/>
      <c r="P1389" s="82"/>
    </row>
    <row r="1390" spans="1:16">
      <c r="A1390" s="226"/>
      <c r="B1390" s="131" t="s">
        <v>1396</v>
      </c>
      <c r="C1390" s="48">
        <v>97637</v>
      </c>
      <c r="H1390" s="82"/>
      <c r="K1390" s="82"/>
      <c r="P1390" s="82"/>
    </row>
    <row r="1391" spans="1:16">
      <c r="A1391" s="226"/>
      <c r="B1391" s="131" t="s">
        <v>2558</v>
      </c>
      <c r="C1391" s="48">
        <v>90421</v>
      </c>
      <c r="H1391" s="82"/>
      <c r="K1391" s="82"/>
      <c r="P1391" s="82"/>
    </row>
    <row r="1392" spans="1:16">
      <c r="A1392" s="226"/>
      <c r="B1392" s="131" t="s">
        <v>2559</v>
      </c>
      <c r="C1392" s="48">
        <v>94321</v>
      </c>
      <c r="H1392" s="82"/>
      <c r="K1392" s="82"/>
      <c r="P1392" s="82"/>
    </row>
    <row r="1393" spans="1:16">
      <c r="A1393" s="226"/>
      <c r="B1393" s="131" t="s">
        <v>1221</v>
      </c>
      <c r="C1393" s="48">
        <v>95501</v>
      </c>
      <c r="H1393" s="82"/>
      <c r="K1393" s="82"/>
      <c r="P1393" s="82"/>
    </row>
    <row r="1394" spans="1:16">
      <c r="A1394" s="226"/>
      <c r="B1394" s="131" t="s">
        <v>1222</v>
      </c>
      <c r="C1394" s="48">
        <v>95504</v>
      </c>
      <c r="H1394" s="82"/>
      <c r="K1394" s="82"/>
      <c r="P1394" s="82"/>
    </row>
    <row r="1395" spans="1:16">
      <c r="A1395" s="226"/>
      <c r="B1395" s="131" t="s">
        <v>1978</v>
      </c>
      <c r="C1395" s="226">
        <v>95511</v>
      </c>
      <c r="H1395" s="82"/>
      <c r="K1395" s="82"/>
      <c r="P1395" s="82"/>
    </row>
    <row r="1396" spans="1:16">
      <c r="A1396" s="226"/>
      <c r="B1396" s="131" t="s">
        <v>2560</v>
      </c>
      <c r="C1396" s="48">
        <v>95517</v>
      </c>
      <c r="H1396" s="82"/>
      <c r="K1396" s="82"/>
      <c r="P1396" s="82"/>
    </row>
    <row r="1397" spans="1:16">
      <c r="A1397" s="226"/>
      <c r="B1397" s="131" t="s">
        <v>1224</v>
      </c>
      <c r="C1397" s="48">
        <v>95513</v>
      </c>
      <c r="H1397" s="82"/>
      <c r="K1397" s="82"/>
      <c r="P1397" s="82"/>
    </row>
    <row r="1398" spans="1:16">
      <c r="A1398" s="226"/>
      <c r="B1398" s="131" t="s">
        <v>2561</v>
      </c>
      <c r="C1398" s="48">
        <v>92651</v>
      </c>
      <c r="H1398" s="82"/>
      <c r="K1398" s="82"/>
      <c r="P1398" s="82"/>
    </row>
    <row r="1399" spans="1:16">
      <c r="A1399" s="226"/>
      <c r="B1399" s="131" t="s">
        <v>2562</v>
      </c>
      <c r="C1399" s="48">
        <v>94261</v>
      </c>
      <c r="H1399" s="82"/>
      <c r="K1399" s="82"/>
      <c r="P1399" s="82"/>
    </row>
    <row r="1400" spans="1:16">
      <c r="A1400" s="226"/>
      <c r="B1400" s="131" t="s">
        <v>1979</v>
      </c>
      <c r="C1400" s="48">
        <v>98431</v>
      </c>
      <c r="H1400" s="82"/>
      <c r="K1400" s="82"/>
      <c r="P1400" s="82"/>
    </row>
    <row r="1401" spans="1:16">
      <c r="A1401" s="226"/>
      <c r="B1401" s="131" t="s">
        <v>1485</v>
      </c>
      <c r="C1401" s="48">
        <v>98404</v>
      </c>
      <c r="H1401" s="82"/>
      <c r="K1401" s="82"/>
      <c r="P1401" s="82"/>
    </row>
    <row r="1402" spans="1:16">
      <c r="A1402" s="226"/>
      <c r="B1402" s="131" t="s">
        <v>2563</v>
      </c>
      <c r="C1402" s="226">
        <v>91841</v>
      </c>
      <c r="H1402" s="82"/>
      <c r="K1402" s="82"/>
      <c r="P1402" s="82"/>
    </row>
    <row r="1403" spans="1:16">
      <c r="A1403" s="226"/>
      <c r="B1403" s="131" t="s">
        <v>2564</v>
      </c>
      <c r="C1403" s="48">
        <v>93521</v>
      </c>
      <c r="H1403" s="82"/>
      <c r="K1403" s="82"/>
      <c r="P1403" s="82"/>
    </row>
    <row r="1404" spans="1:16">
      <c r="A1404" s="226"/>
      <c r="B1404" s="131" t="s">
        <v>1054</v>
      </c>
      <c r="C1404" s="48">
        <v>93527</v>
      </c>
      <c r="H1404" s="82"/>
      <c r="K1404" s="82"/>
      <c r="P1404" s="82"/>
    </row>
    <row r="1405" spans="1:16">
      <c r="A1405" s="226"/>
      <c r="B1405" s="131" t="s">
        <v>1980</v>
      </c>
      <c r="C1405" s="48">
        <v>93661</v>
      </c>
      <c r="H1405" s="82"/>
      <c r="K1405" s="82"/>
      <c r="P1405" s="82"/>
    </row>
    <row r="1406" spans="1:16">
      <c r="A1406" s="226"/>
      <c r="B1406" s="131" t="s">
        <v>2760</v>
      </c>
      <c r="C1406" s="48">
        <v>96508</v>
      </c>
      <c r="H1406" s="82"/>
      <c r="K1406" s="82"/>
      <c r="P1406" s="82"/>
    </row>
    <row r="1407" spans="1:16">
      <c r="A1407" s="226"/>
      <c r="B1407" s="131" t="s">
        <v>2565</v>
      </c>
      <c r="C1407" s="51">
        <v>99841</v>
      </c>
      <c r="H1407" s="82"/>
      <c r="K1407" s="82"/>
      <c r="P1407" s="82"/>
    </row>
    <row r="1408" spans="1:16">
      <c r="A1408" s="226"/>
      <c r="B1408" s="131" t="s">
        <v>1409</v>
      </c>
      <c r="C1408" s="226">
        <v>97802</v>
      </c>
      <c r="H1408" s="82"/>
      <c r="K1408" s="82"/>
      <c r="P1408" s="82"/>
    </row>
    <row r="1409" spans="1:16">
      <c r="A1409" s="226"/>
      <c r="B1409" s="131" t="s">
        <v>1981</v>
      </c>
      <c r="C1409" s="48">
        <v>97811</v>
      </c>
      <c r="H1409" s="82"/>
      <c r="K1409" s="82"/>
      <c r="P1409" s="82"/>
    </row>
    <row r="1410" spans="1:16">
      <c r="A1410" s="226"/>
      <c r="B1410" s="131" t="s">
        <v>1413</v>
      </c>
      <c r="C1410" s="226">
        <v>97817</v>
      </c>
      <c r="H1410" s="82"/>
      <c r="K1410" s="82"/>
      <c r="P1410" s="82"/>
    </row>
    <row r="1411" spans="1:16">
      <c r="A1411" s="226"/>
      <c r="B1411" s="131" t="s">
        <v>2798</v>
      </c>
      <c r="C1411" s="48">
        <v>97818</v>
      </c>
      <c r="H1411" s="82"/>
      <c r="K1411" s="82"/>
      <c r="P1411" s="82"/>
    </row>
    <row r="1412" spans="1:16">
      <c r="A1412" s="226"/>
      <c r="B1412" s="131" t="s">
        <v>2566</v>
      </c>
      <c r="C1412" s="48">
        <v>93341</v>
      </c>
      <c r="H1412" s="82"/>
      <c r="K1412" s="82"/>
      <c r="P1412" s="82"/>
    </row>
    <row r="1413" spans="1:16">
      <c r="A1413" s="226"/>
      <c r="B1413" s="131" t="s">
        <v>1226</v>
      </c>
      <c r="C1413" s="48">
        <v>95601</v>
      </c>
      <c r="H1413" s="82"/>
      <c r="K1413" s="82"/>
      <c r="P1413" s="82"/>
    </row>
    <row r="1414" spans="1:16">
      <c r="A1414" s="226"/>
      <c r="B1414" s="131" t="s">
        <v>2567</v>
      </c>
      <c r="C1414" s="48">
        <v>97941</v>
      </c>
      <c r="H1414" s="82"/>
      <c r="K1414" s="82"/>
      <c r="P1414" s="82"/>
    </row>
    <row r="1415" spans="1:16">
      <c r="A1415" s="226"/>
      <c r="B1415" s="131" t="s">
        <v>1434</v>
      </c>
      <c r="C1415" s="48">
        <v>97947</v>
      </c>
      <c r="H1415" s="82"/>
      <c r="K1415" s="82"/>
      <c r="P1415" s="82"/>
    </row>
    <row r="1416" spans="1:16">
      <c r="A1416" s="226"/>
      <c r="B1416" s="131" t="s">
        <v>1230</v>
      </c>
      <c r="C1416" s="48">
        <v>95701</v>
      </c>
      <c r="H1416" s="82"/>
      <c r="K1416" s="82"/>
      <c r="P1416" s="82"/>
    </row>
    <row r="1417" spans="1:16">
      <c r="A1417" s="226"/>
      <c r="B1417" s="131" t="s">
        <v>1435</v>
      </c>
      <c r="C1417" s="48">
        <v>97948</v>
      </c>
      <c r="H1417" s="82"/>
      <c r="K1417" s="82"/>
      <c r="P1417" s="82"/>
    </row>
    <row r="1418" spans="1:16">
      <c r="A1418" s="226"/>
      <c r="B1418" s="131" t="s">
        <v>2568</v>
      </c>
      <c r="C1418" s="48">
        <v>94421</v>
      </c>
      <c r="H1418" s="82"/>
      <c r="K1418" s="82"/>
      <c r="P1418" s="82"/>
    </row>
    <row r="1419" spans="1:16">
      <c r="A1419" s="226"/>
      <c r="B1419" s="131" t="s">
        <v>1141</v>
      </c>
      <c r="C1419" s="48">
        <v>94427</v>
      </c>
      <c r="H1419" s="82"/>
      <c r="K1419" s="82"/>
      <c r="P1419" s="82"/>
    </row>
    <row r="1420" spans="1:16">
      <c r="A1420" s="226"/>
      <c r="B1420" s="131" t="s">
        <v>2797</v>
      </c>
      <c r="C1420" s="48">
        <v>94428</v>
      </c>
      <c r="H1420" s="82"/>
      <c r="K1420" s="82"/>
      <c r="P1420" s="82"/>
    </row>
    <row r="1421" spans="1:16">
      <c r="A1421" s="226"/>
      <c r="B1421" s="131" t="s">
        <v>2569</v>
      </c>
      <c r="C1421" s="48">
        <v>93191</v>
      </c>
      <c r="H1421" s="82"/>
      <c r="K1421" s="82"/>
      <c r="P1421" s="82"/>
    </row>
    <row r="1422" spans="1:16">
      <c r="A1422" s="226"/>
      <c r="B1422" s="131" t="s">
        <v>2570</v>
      </c>
      <c r="C1422" s="48">
        <v>91831</v>
      </c>
      <c r="H1422" s="82"/>
      <c r="K1422" s="82"/>
      <c r="P1422" s="82"/>
    </row>
    <row r="1423" spans="1:16">
      <c r="A1423" s="226"/>
      <c r="B1423" s="131" t="s">
        <v>2571</v>
      </c>
      <c r="C1423" s="48">
        <v>92831</v>
      </c>
      <c r="H1423" s="82"/>
      <c r="K1423" s="82"/>
      <c r="P1423" s="82"/>
    </row>
    <row r="1424" spans="1:16">
      <c r="A1424" s="226"/>
      <c r="B1424" s="131" t="s">
        <v>2572</v>
      </c>
      <c r="C1424" s="48">
        <v>95911</v>
      </c>
      <c r="H1424" s="82"/>
      <c r="K1424" s="82"/>
      <c r="P1424" s="82"/>
    </row>
    <row r="1425" spans="1:16">
      <c r="A1425" s="226"/>
      <c r="B1425" s="131" t="s">
        <v>1247</v>
      </c>
      <c r="C1425" s="48">
        <v>95917</v>
      </c>
      <c r="H1425" s="82"/>
      <c r="K1425" s="82"/>
      <c r="P1425" s="82"/>
    </row>
    <row r="1426" spans="1:16">
      <c r="A1426" s="226"/>
      <c r="B1426" s="131" t="s">
        <v>2573</v>
      </c>
      <c r="C1426" s="48">
        <v>95711</v>
      </c>
      <c r="H1426" s="82"/>
      <c r="K1426" s="82"/>
      <c r="P1426" s="82"/>
    </row>
    <row r="1427" spans="1:16">
      <c r="A1427" s="226"/>
      <c r="B1427" s="131" t="s">
        <v>2574</v>
      </c>
      <c r="C1427" s="48">
        <v>95721</v>
      </c>
      <c r="H1427" s="82"/>
      <c r="K1427" s="82"/>
      <c r="P1427" s="82"/>
    </row>
    <row r="1428" spans="1:16">
      <c r="A1428" s="226"/>
      <c r="B1428" s="131" t="s">
        <v>2575</v>
      </c>
      <c r="C1428" s="48">
        <v>99021</v>
      </c>
      <c r="H1428" s="82"/>
      <c r="K1428" s="82"/>
      <c r="P1428" s="82"/>
    </row>
    <row r="1429" spans="1:16">
      <c r="A1429" s="226"/>
      <c r="B1429" s="131" t="s">
        <v>2758</v>
      </c>
      <c r="C1429" s="48">
        <v>95802</v>
      </c>
      <c r="H1429" s="82"/>
      <c r="K1429" s="82"/>
      <c r="P1429" s="82"/>
    </row>
    <row r="1430" spans="1:16">
      <c r="A1430" s="226"/>
      <c r="B1430" s="131" t="s">
        <v>1234</v>
      </c>
      <c r="C1430" s="226">
        <v>95801</v>
      </c>
      <c r="H1430" s="82"/>
      <c r="K1430" s="82"/>
      <c r="P1430" s="82"/>
    </row>
    <row r="1431" spans="1:16">
      <c r="A1431" s="226"/>
      <c r="B1431" s="131" t="s">
        <v>1236</v>
      </c>
      <c r="C1431" s="48">
        <v>95804</v>
      </c>
      <c r="H1431" s="82"/>
      <c r="K1431" s="82"/>
      <c r="P1431" s="82"/>
    </row>
    <row r="1432" spans="1:16">
      <c r="A1432" s="226"/>
      <c r="B1432" s="131" t="s">
        <v>2796</v>
      </c>
      <c r="C1432" s="48">
        <v>90092</v>
      </c>
      <c r="H1432" s="82"/>
      <c r="K1432" s="82"/>
      <c r="P1432" s="82"/>
    </row>
    <row r="1433" spans="1:16">
      <c r="A1433" s="226"/>
      <c r="B1433" s="131" t="s">
        <v>2576</v>
      </c>
      <c r="C1433" s="48">
        <v>99081</v>
      </c>
      <c r="H1433" s="82"/>
      <c r="K1433" s="82"/>
      <c r="P1433" s="82"/>
    </row>
    <row r="1434" spans="1:16">
      <c r="A1434" s="226"/>
      <c r="B1434" s="131" t="s">
        <v>2577</v>
      </c>
      <c r="C1434" s="226">
        <v>96071</v>
      </c>
      <c r="H1434" s="82"/>
      <c r="K1434" s="82"/>
      <c r="P1434" s="82"/>
    </row>
    <row r="1435" spans="1:16">
      <c r="A1435" s="226"/>
      <c r="B1435" s="131" t="s">
        <v>1092</v>
      </c>
      <c r="C1435" s="48">
        <v>94002</v>
      </c>
      <c r="H1435" s="82"/>
      <c r="K1435" s="82"/>
      <c r="P1435" s="82"/>
    </row>
    <row r="1436" spans="1:16">
      <c r="A1436" s="226"/>
      <c r="B1436" s="131" t="s">
        <v>2578</v>
      </c>
      <c r="C1436" s="48">
        <v>97840</v>
      </c>
      <c r="H1436" s="82"/>
      <c r="K1436" s="82"/>
      <c r="P1436" s="82"/>
    </row>
    <row r="1437" spans="1:16">
      <c r="A1437" s="226"/>
      <c r="B1437" s="131" t="s">
        <v>1421</v>
      </c>
      <c r="C1437" s="48">
        <v>97847</v>
      </c>
      <c r="H1437" s="82"/>
      <c r="K1437" s="82"/>
      <c r="P1437" s="82"/>
    </row>
    <row r="1438" spans="1:16">
      <c r="A1438" s="226"/>
      <c r="B1438" s="131" t="s">
        <v>2579</v>
      </c>
      <c r="C1438" s="48">
        <v>97921</v>
      </c>
      <c r="H1438" s="82"/>
      <c r="K1438" s="82"/>
      <c r="P1438" s="82"/>
    </row>
    <row r="1439" spans="1:16">
      <c r="A1439" s="226"/>
      <c r="B1439" s="131" t="s">
        <v>2580</v>
      </c>
      <c r="C1439" s="226">
        <v>95221</v>
      </c>
      <c r="H1439" s="82"/>
      <c r="K1439" s="82"/>
      <c r="P1439" s="82"/>
    </row>
    <row r="1440" spans="1:16">
      <c r="A1440" s="226"/>
      <c r="B1440" s="131" t="s">
        <v>2581</v>
      </c>
      <c r="C1440" s="48">
        <v>93610</v>
      </c>
      <c r="H1440" s="82"/>
      <c r="K1440" s="82"/>
      <c r="P1440" s="82"/>
    </row>
    <row r="1441" spans="1:16">
      <c r="A1441" s="226"/>
      <c r="B1441" s="131" t="s">
        <v>1244</v>
      </c>
      <c r="C1441" s="48">
        <v>95901</v>
      </c>
      <c r="H1441" s="82"/>
      <c r="K1441" s="82"/>
      <c r="P1441" s="82"/>
    </row>
    <row r="1442" spans="1:16">
      <c r="A1442" s="226"/>
      <c r="B1442" s="131" t="s">
        <v>1982</v>
      </c>
      <c r="C1442" s="48">
        <v>90114</v>
      </c>
      <c r="H1442" s="82"/>
      <c r="K1442" s="82"/>
      <c r="P1442" s="82"/>
    </row>
    <row r="1443" spans="1:16">
      <c r="A1443" s="226"/>
      <c r="B1443" s="131" t="s">
        <v>1249</v>
      </c>
      <c r="C1443" s="48">
        <v>96001</v>
      </c>
      <c r="H1443" s="82"/>
      <c r="K1443" s="82"/>
      <c r="P1443" s="82"/>
    </row>
    <row r="1444" spans="1:16">
      <c r="A1444" s="226"/>
      <c r="B1444" s="131" t="s">
        <v>1251</v>
      </c>
      <c r="C1444" s="48">
        <v>96004</v>
      </c>
      <c r="H1444" s="82"/>
      <c r="K1444" s="82"/>
      <c r="P1444" s="82"/>
    </row>
    <row r="1445" spans="1:16">
      <c r="A1445" s="226"/>
      <c r="B1445" s="131" t="s">
        <v>2795</v>
      </c>
      <c r="C1445" s="48">
        <v>96008</v>
      </c>
      <c r="H1445" s="82"/>
      <c r="K1445" s="82"/>
      <c r="P1445" s="82"/>
    </row>
    <row r="1446" spans="1:16">
      <c r="A1446" s="226"/>
      <c r="B1446" s="131" t="s">
        <v>829</v>
      </c>
      <c r="C1446" s="226">
        <v>91108</v>
      </c>
      <c r="H1446" s="82"/>
      <c r="K1446" s="82"/>
      <c r="P1446" s="82"/>
    </row>
    <row r="1447" spans="1:16">
      <c r="A1447" s="226"/>
      <c r="B1447" s="131" t="s">
        <v>1177</v>
      </c>
      <c r="C1447" s="48">
        <v>94941</v>
      </c>
      <c r="H1447" s="82"/>
      <c r="K1447" s="82"/>
      <c r="P1447" s="82"/>
    </row>
    <row r="1448" spans="1:16">
      <c r="A1448" s="226"/>
      <c r="B1448" s="131" t="s">
        <v>2582</v>
      </c>
      <c r="C1448" s="48">
        <v>95122</v>
      </c>
      <c r="H1448" s="82"/>
      <c r="K1448" s="82"/>
      <c r="P1448" s="82"/>
    </row>
    <row r="1449" spans="1:16">
      <c r="A1449" s="226"/>
      <c r="B1449" s="131" t="s">
        <v>967</v>
      </c>
      <c r="C1449" s="48">
        <v>92607</v>
      </c>
      <c r="H1449" s="82"/>
      <c r="K1449" s="82"/>
      <c r="P1449" s="82"/>
    </row>
    <row r="1450" spans="1:16">
      <c r="A1450" s="226"/>
      <c r="B1450" s="131" t="s">
        <v>2583</v>
      </c>
      <c r="C1450" s="48">
        <v>96431</v>
      </c>
      <c r="H1450" s="82"/>
      <c r="K1450" s="82"/>
      <c r="P1450" s="82"/>
    </row>
    <row r="1451" spans="1:16">
      <c r="A1451" s="226"/>
      <c r="B1451" s="131" t="s">
        <v>774</v>
      </c>
      <c r="C1451" s="48">
        <v>90709</v>
      </c>
      <c r="H1451" s="82"/>
      <c r="K1451" s="82"/>
      <c r="P1451" s="82"/>
    </row>
    <row r="1452" spans="1:16">
      <c r="A1452" s="226"/>
      <c r="B1452" s="131" t="s">
        <v>2584</v>
      </c>
      <c r="C1452" s="48">
        <v>91341</v>
      </c>
      <c r="H1452" s="82"/>
      <c r="K1452" s="82"/>
      <c r="P1452" s="82"/>
    </row>
    <row r="1453" spans="1:16">
      <c r="A1453" s="226"/>
      <c r="B1453" s="131" t="s">
        <v>2585</v>
      </c>
      <c r="C1453" s="226">
        <v>92941</v>
      </c>
      <c r="H1453" s="82"/>
      <c r="K1453" s="82"/>
      <c r="P1453" s="82"/>
    </row>
    <row r="1454" spans="1:16">
      <c r="A1454" s="226"/>
      <c r="B1454" s="131" t="s">
        <v>2586</v>
      </c>
      <c r="C1454" s="48">
        <v>94551</v>
      </c>
      <c r="H1454" s="82"/>
      <c r="K1454" s="82"/>
      <c r="P1454" s="82"/>
    </row>
    <row r="1455" spans="1:16">
      <c r="A1455" s="226"/>
      <c r="B1455" s="131" t="s">
        <v>2587</v>
      </c>
      <c r="C1455" s="48">
        <v>99022</v>
      </c>
      <c r="H1455" s="82"/>
      <c r="K1455" s="82"/>
      <c r="P1455" s="82"/>
    </row>
    <row r="1456" spans="1:16">
      <c r="A1456" s="226"/>
      <c r="B1456" s="131" t="s">
        <v>2588</v>
      </c>
      <c r="C1456" s="48">
        <v>96031</v>
      </c>
      <c r="H1456" s="82"/>
      <c r="K1456" s="82"/>
      <c r="P1456" s="82"/>
    </row>
    <row r="1457" spans="1:16">
      <c r="A1457" s="226"/>
      <c r="B1457" s="131" t="s">
        <v>2589</v>
      </c>
      <c r="C1457" s="226">
        <v>98414</v>
      </c>
      <c r="H1457" s="82"/>
      <c r="K1457" s="82"/>
      <c r="P1457" s="82"/>
    </row>
    <row r="1458" spans="1:16">
      <c r="A1458" s="226"/>
      <c r="B1458" s="131" t="s">
        <v>1265</v>
      </c>
      <c r="C1458" s="48">
        <v>96101</v>
      </c>
      <c r="H1458" s="82"/>
      <c r="K1458" s="82"/>
      <c r="P1458" s="82"/>
    </row>
    <row r="1459" spans="1:16">
      <c r="A1459" s="226"/>
      <c r="B1459" s="131" t="s">
        <v>2794</v>
      </c>
      <c r="C1459" s="48">
        <v>96102</v>
      </c>
      <c r="H1459" s="82"/>
      <c r="K1459" s="82"/>
      <c r="P1459" s="82"/>
    </row>
    <row r="1460" spans="1:16">
      <c r="A1460" s="226"/>
      <c r="B1460" s="131" t="s">
        <v>2590</v>
      </c>
      <c r="C1460" s="48">
        <v>93011</v>
      </c>
      <c r="H1460" s="82"/>
      <c r="K1460" s="82"/>
      <c r="P1460" s="82"/>
    </row>
    <row r="1461" spans="1:16">
      <c r="A1461" s="226"/>
      <c r="B1461" s="131" t="s">
        <v>1983</v>
      </c>
      <c r="C1461" s="48">
        <v>99011</v>
      </c>
      <c r="H1461" s="82"/>
      <c r="K1461" s="82"/>
      <c r="P1461" s="82"/>
    </row>
    <row r="1462" spans="1:16">
      <c r="A1462" s="226"/>
      <c r="B1462" s="131" t="s">
        <v>1522</v>
      </c>
      <c r="C1462" s="48">
        <v>99017</v>
      </c>
      <c r="H1462" s="82"/>
      <c r="K1462" s="82"/>
      <c r="P1462" s="82"/>
    </row>
    <row r="1463" spans="1:16">
      <c r="A1463" s="226"/>
      <c r="B1463" s="131" t="s">
        <v>1984</v>
      </c>
      <c r="C1463" s="48">
        <v>99013</v>
      </c>
      <c r="H1463" s="82"/>
      <c r="K1463" s="82"/>
      <c r="P1463" s="82"/>
    </row>
    <row r="1464" spans="1:16">
      <c r="A1464" s="226"/>
      <c r="B1464" s="131" t="s">
        <v>1269</v>
      </c>
      <c r="C1464" s="48">
        <v>96201</v>
      </c>
      <c r="H1464" s="82"/>
      <c r="K1464" s="82"/>
      <c r="P1464" s="82"/>
    </row>
    <row r="1465" spans="1:16">
      <c r="A1465" s="226"/>
      <c r="B1465" s="131" t="s">
        <v>1270</v>
      </c>
      <c r="C1465" s="48">
        <v>96204</v>
      </c>
      <c r="H1465" s="82"/>
      <c r="K1465" s="82"/>
      <c r="P1465" s="82"/>
    </row>
    <row r="1466" spans="1:16">
      <c r="A1466" s="226"/>
      <c r="B1466" s="131" t="s">
        <v>2591</v>
      </c>
      <c r="C1466" s="48">
        <v>91161</v>
      </c>
      <c r="H1466" s="82"/>
      <c r="K1466" s="82"/>
      <c r="P1466" s="82"/>
    </row>
    <row r="1467" spans="1:16">
      <c r="A1467" s="226"/>
      <c r="B1467" s="131" t="s">
        <v>1276</v>
      </c>
      <c r="C1467" s="48">
        <v>96301</v>
      </c>
      <c r="H1467" s="82"/>
      <c r="K1467" s="82"/>
      <c r="P1467" s="82"/>
    </row>
    <row r="1468" spans="1:16">
      <c r="A1468" s="226"/>
      <c r="B1468" s="131" t="s">
        <v>1278</v>
      </c>
      <c r="C1468" s="48">
        <v>96304</v>
      </c>
      <c r="H1468" s="82"/>
      <c r="K1468" s="82"/>
      <c r="P1468" s="82"/>
    </row>
    <row r="1469" spans="1:16">
      <c r="A1469" s="226"/>
      <c r="B1469" s="131" t="s">
        <v>1280</v>
      </c>
      <c r="C1469" s="48">
        <v>96310</v>
      </c>
      <c r="H1469" s="82"/>
      <c r="K1469" s="82"/>
      <c r="P1469" s="82"/>
    </row>
    <row r="1470" spans="1:16">
      <c r="A1470" s="226"/>
      <c r="B1470" s="131" t="s">
        <v>1279</v>
      </c>
      <c r="C1470" s="48">
        <v>96305</v>
      </c>
      <c r="H1470" s="82"/>
      <c r="K1470" s="82"/>
      <c r="P1470" s="82"/>
    </row>
    <row r="1471" spans="1:16">
      <c r="A1471" s="226"/>
      <c r="B1471" s="131" t="s">
        <v>1985</v>
      </c>
      <c r="C1471" s="48">
        <v>94921</v>
      </c>
      <c r="H1471" s="82"/>
      <c r="K1471" s="82"/>
      <c r="P1471" s="82"/>
    </row>
    <row r="1472" spans="1:16">
      <c r="A1472" s="226"/>
      <c r="B1472" s="131" t="s">
        <v>1175</v>
      </c>
      <c r="C1472" s="48">
        <v>94927</v>
      </c>
      <c r="H1472" s="82"/>
      <c r="K1472" s="82"/>
      <c r="P1472" s="82"/>
    </row>
    <row r="1473" spans="1:16">
      <c r="A1473" s="226"/>
      <c r="B1473" s="131" t="s">
        <v>1174</v>
      </c>
      <c r="C1473" s="48">
        <v>94923</v>
      </c>
      <c r="H1473" s="82"/>
      <c r="K1473" s="82"/>
      <c r="P1473" s="82"/>
    </row>
    <row r="1474" spans="1:16">
      <c r="A1474" s="226"/>
      <c r="B1474" s="131" t="s">
        <v>2592</v>
      </c>
      <c r="C1474" s="48">
        <v>91611</v>
      </c>
      <c r="H1474" s="82"/>
      <c r="K1474" s="82"/>
      <c r="P1474" s="82"/>
    </row>
    <row r="1475" spans="1:16">
      <c r="A1475" s="226"/>
      <c r="B1475" s="131" t="s">
        <v>1986</v>
      </c>
      <c r="C1475" s="48">
        <v>91231</v>
      </c>
      <c r="H1475" s="82"/>
      <c r="K1475" s="82"/>
      <c r="P1475" s="82"/>
    </row>
    <row r="1476" spans="1:16">
      <c r="A1476" s="226"/>
      <c r="B1476" s="131" t="s">
        <v>851</v>
      </c>
      <c r="C1476" s="48">
        <v>91217</v>
      </c>
      <c r="H1476" s="82"/>
      <c r="K1476" s="82"/>
      <c r="P1476" s="82"/>
    </row>
    <row r="1477" spans="1:16">
      <c r="A1477" s="226"/>
      <c r="B1477" s="131" t="s">
        <v>854</v>
      </c>
      <c r="C1477" s="48">
        <v>91233</v>
      </c>
      <c r="H1477" s="82"/>
      <c r="K1477" s="82"/>
      <c r="P1477" s="82"/>
    </row>
    <row r="1478" spans="1:16">
      <c r="A1478" s="226"/>
      <c r="B1478" s="131" t="s">
        <v>2593</v>
      </c>
      <c r="C1478" s="48">
        <v>99206</v>
      </c>
      <c r="H1478" s="82"/>
      <c r="K1478" s="82"/>
      <c r="P1478" s="82"/>
    </row>
    <row r="1479" spans="1:16">
      <c r="A1479" s="226"/>
      <c r="B1479" s="131" t="s">
        <v>2594</v>
      </c>
      <c r="C1479" s="48">
        <v>90461</v>
      </c>
      <c r="H1479" s="82"/>
      <c r="K1479" s="82"/>
      <c r="P1479" s="82"/>
    </row>
    <row r="1480" spans="1:16">
      <c r="A1480" s="226"/>
      <c r="B1480" s="131" t="s">
        <v>1987</v>
      </c>
      <c r="C1480" s="48">
        <v>98631</v>
      </c>
      <c r="H1480" s="82"/>
      <c r="K1480" s="82"/>
      <c r="P1480" s="82"/>
    </row>
    <row r="1481" spans="1:16">
      <c r="A1481" s="226"/>
      <c r="B1481" s="131" t="s">
        <v>1507</v>
      </c>
      <c r="C1481" s="48">
        <v>98637</v>
      </c>
      <c r="H1481" s="82"/>
      <c r="K1481" s="82"/>
      <c r="P1481" s="82"/>
    </row>
    <row r="1482" spans="1:16">
      <c r="A1482" s="226"/>
      <c r="B1482" s="131" t="s">
        <v>2595</v>
      </c>
      <c r="C1482" s="48">
        <v>96251</v>
      </c>
      <c r="H1482" s="82"/>
      <c r="K1482" s="82"/>
      <c r="P1482" s="82"/>
    </row>
    <row r="1483" spans="1:16">
      <c r="A1483" s="226"/>
      <c r="B1483" s="131" t="s">
        <v>1988</v>
      </c>
      <c r="C1483" s="48">
        <v>93691</v>
      </c>
      <c r="H1483" s="82"/>
      <c r="K1483" s="82"/>
      <c r="P1483" s="82"/>
    </row>
    <row r="1484" spans="1:16">
      <c r="A1484" s="226"/>
      <c r="B1484" s="131" t="s">
        <v>2596</v>
      </c>
      <c r="C1484" s="48">
        <v>99621</v>
      </c>
      <c r="H1484" s="82"/>
      <c r="K1484" s="82"/>
      <c r="P1484" s="82"/>
    </row>
    <row r="1485" spans="1:16">
      <c r="A1485" s="226"/>
      <c r="B1485" s="131" t="s">
        <v>3498</v>
      </c>
      <c r="C1485" s="48">
        <v>99623</v>
      </c>
      <c r="H1485" s="82"/>
      <c r="K1485" s="82"/>
      <c r="P1485" s="82"/>
    </row>
    <row r="1486" spans="1:16">
      <c r="A1486" s="226"/>
      <c r="B1486" s="131" t="s">
        <v>2597</v>
      </c>
      <c r="C1486" s="48">
        <v>91321</v>
      </c>
      <c r="H1486" s="82"/>
      <c r="K1486" s="82"/>
      <c r="P1486" s="82"/>
    </row>
    <row r="1487" spans="1:16">
      <c r="A1487" s="226"/>
      <c r="B1487" s="131" t="s">
        <v>3499</v>
      </c>
      <c r="C1487" s="48">
        <v>91327</v>
      </c>
      <c r="H1487" s="82"/>
      <c r="K1487" s="82"/>
      <c r="P1487" s="82"/>
    </row>
    <row r="1488" spans="1:16">
      <c r="A1488" s="226"/>
      <c r="B1488" s="131" t="s">
        <v>2598</v>
      </c>
      <c r="C1488" s="48">
        <v>94621</v>
      </c>
      <c r="H1488" s="82"/>
      <c r="K1488" s="82"/>
      <c r="P1488" s="82"/>
    </row>
    <row r="1489" spans="1:16">
      <c r="A1489" s="226"/>
      <c r="B1489" s="131" t="s">
        <v>2599</v>
      </c>
      <c r="C1489" s="48">
        <v>92011</v>
      </c>
      <c r="H1489" s="82"/>
      <c r="K1489" s="82"/>
      <c r="P1489" s="82"/>
    </row>
    <row r="1490" spans="1:16">
      <c r="A1490" s="226"/>
      <c r="B1490" s="131" t="s">
        <v>921</v>
      </c>
      <c r="C1490" s="48">
        <v>92017</v>
      </c>
      <c r="H1490" s="82"/>
      <c r="K1490" s="82"/>
      <c r="P1490" s="82"/>
    </row>
    <row r="1491" spans="1:16">
      <c r="A1491" s="226"/>
      <c r="B1491" s="131" t="s">
        <v>1612</v>
      </c>
      <c r="C1491" s="51">
        <v>99991</v>
      </c>
      <c r="H1491" s="82"/>
      <c r="K1491" s="82"/>
      <c r="P1491" s="82"/>
    </row>
    <row r="1492" spans="1:16">
      <c r="A1492" s="226"/>
      <c r="B1492" s="131" t="s">
        <v>1613</v>
      </c>
      <c r="C1492" s="51">
        <v>99999</v>
      </c>
      <c r="H1492" s="82"/>
      <c r="K1492" s="82"/>
      <c r="P1492" s="82"/>
    </row>
    <row r="1493" spans="1:16">
      <c r="A1493" s="226"/>
      <c r="B1493" s="131" t="s">
        <v>2603</v>
      </c>
      <c r="C1493" s="226">
        <v>92811</v>
      </c>
      <c r="H1493" s="82"/>
      <c r="K1493" s="82"/>
      <c r="P1493" s="82"/>
    </row>
    <row r="1494" spans="1:16">
      <c r="A1494" s="226"/>
      <c r="B1494" s="131" t="s">
        <v>919</v>
      </c>
      <c r="C1494" s="48">
        <v>92005</v>
      </c>
      <c r="H1494" s="82"/>
      <c r="K1494" s="82"/>
      <c r="P1494" s="82"/>
    </row>
    <row r="1495" spans="1:16">
      <c r="A1495" s="226"/>
      <c r="B1495" s="131" t="s">
        <v>1292</v>
      </c>
      <c r="C1495" s="48">
        <v>96401</v>
      </c>
      <c r="H1495" s="82"/>
      <c r="K1495" s="82"/>
      <c r="P1495" s="82"/>
    </row>
    <row r="1496" spans="1:16">
      <c r="A1496" s="226"/>
      <c r="B1496" s="131" t="s">
        <v>1293</v>
      </c>
      <c r="C1496" s="48">
        <v>96404</v>
      </c>
      <c r="H1496" s="82"/>
      <c r="K1496" s="82"/>
      <c r="P1496" s="82"/>
    </row>
    <row r="1497" spans="1:16">
      <c r="A1497" s="226"/>
      <c r="B1497" s="131" t="s">
        <v>2604</v>
      </c>
      <c r="C1497" s="226">
        <v>96421</v>
      </c>
      <c r="H1497" s="82"/>
      <c r="K1497" s="82"/>
      <c r="P1497" s="82"/>
    </row>
    <row r="1498" spans="1:16">
      <c r="A1498" s="226"/>
      <c r="B1498" s="131" t="s">
        <v>2605</v>
      </c>
      <c r="C1498" s="48">
        <v>91026</v>
      </c>
      <c r="H1498" s="82"/>
      <c r="K1498" s="82"/>
      <c r="P1498" s="82"/>
    </row>
    <row r="1499" spans="1:16">
      <c r="A1499" s="226"/>
      <c r="B1499" s="131" t="s">
        <v>1214</v>
      </c>
      <c r="C1499" s="48">
        <v>95405</v>
      </c>
      <c r="H1499" s="82"/>
      <c r="K1499" s="82"/>
      <c r="P1499" s="82"/>
    </row>
    <row r="1500" spans="1:16">
      <c r="A1500" s="226"/>
      <c r="B1500" s="131" t="s">
        <v>1094</v>
      </c>
      <c r="C1500" s="48">
        <v>94005</v>
      </c>
      <c r="H1500" s="82"/>
      <c r="K1500" s="82"/>
      <c r="P1500" s="82"/>
    </row>
    <row r="1501" spans="1:16">
      <c r="A1501" s="226"/>
      <c r="B1501" s="131" t="s">
        <v>1205</v>
      </c>
      <c r="C1501" s="48">
        <v>95205</v>
      </c>
      <c r="H1501" s="82"/>
      <c r="K1501" s="82"/>
      <c r="P1501" s="82"/>
    </row>
    <row r="1502" spans="1:16">
      <c r="A1502" s="226"/>
      <c r="B1502" s="131" t="s">
        <v>954</v>
      </c>
      <c r="C1502" s="48">
        <v>92507</v>
      </c>
      <c r="H1502" s="82"/>
      <c r="K1502" s="82"/>
      <c r="P1502" s="82"/>
    </row>
    <row r="1503" spans="1:16">
      <c r="A1503" s="226"/>
      <c r="B1503" s="131" t="s">
        <v>1989</v>
      </c>
      <c r="C1503" s="48">
        <v>92511</v>
      </c>
      <c r="H1503" s="82"/>
      <c r="K1503" s="82"/>
      <c r="P1503" s="82"/>
    </row>
    <row r="1504" spans="1:16">
      <c r="A1504" s="226"/>
      <c r="B1504" s="131" t="s">
        <v>2768</v>
      </c>
      <c r="C1504" s="226">
        <v>92113</v>
      </c>
      <c r="H1504" s="82"/>
      <c r="K1504" s="82"/>
      <c r="P1504" s="82"/>
    </row>
    <row r="1505" spans="1:16">
      <c r="A1505" s="226"/>
      <c r="B1505" s="131" t="s">
        <v>2759</v>
      </c>
      <c r="C1505" s="48">
        <v>96502</v>
      </c>
      <c r="H1505" s="82"/>
      <c r="K1505" s="82"/>
      <c r="P1505" s="82"/>
    </row>
    <row r="1506" spans="1:16">
      <c r="A1506" s="226"/>
      <c r="B1506" s="131" t="s">
        <v>1301</v>
      </c>
      <c r="C1506" s="226">
        <v>96501</v>
      </c>
      <c r="H1506" s="82"/>
      <c r="K1506" s="82"/>
      <c r="P1506" s="82"/>
    </row>
    <row r="1507" spans="1:16">
      <c r="A1507" s="226"/>
      <c r="B1507" s="131" t="s">
        <v>1304</v>
      </c>
      <c r="C1507" s="48">
        <v>96504</v>
      </c>
      <c r="H1507" s="82"/>
      <c r="K1507" s="82"/>
      <c r="P1507" s="82"/>
    </row>
    <row r="1508" spans="1:16">
      <c r="A1508" s="226"/>
      <c r="B1508" s="254" t="s">
        <v>2606</v>
      </c>
      <c r="C1508" s="48">
        <v>98471</v>
      </c>
      <c r="H1508" s="82"/>
      <c r="K1508" s="82"/>
      <c r="P1508" s="82"/>
    </row>
    <row r="1509" spans="1:16">
      <c r="A1509" s="226"/>
      <c r="B1509" s="131" t="s">
        <v>2769</v>
      </c>
      <c r="C1509" s="48">
        <v>97913</v>
      </c>
      <c r="H1509" s="82"/>
      <c r="K1509" s="82"/>
      <c r="P1509" s="82"/>
    </row>
    <row r="1510" spans="1:16">
      <c r="A1510" s="226"/>
      <c r="B1510" s="131" t="s">
        <v>2607</v>
      </c>
      <c r="C1510" s="48">
        <v>90621</v>
      </c>
      <c r="H1510" s="82"/>
      <c r="K1510" s="82"/>
      <c r="P1510" s="82"/>
    </row>
    <row r="1511" spans="1:16">
      <c r="A1511" s="226"/>
      <c r="B1511" s="131" t="s">
        <v>2608</v>
      </c>
      <c r="C1511" s="48">
        <v>91621</v>
      </c>
      <c r="H1511" s="82"/>
      <c r="K1511" s="82"/>
      <c r="P1511" s="82"/>
    </row>
    <row r="1512" spans="1:16">
      <c r="A1512" s="226"/>
      <c r="B1512" s="131" t="s">
        <v>1990</v>
      </c>
      <c r="C1512" s="48">
        <v>91871</v>
      </c>
      <c r="H1512" s="82"/>
      <c r="K1512" s="82"/>
      <c r="P1512" s="82"/>
    </row>
    <row r="1513" spans="1:16">
      <c r="A1513" s="226"/>
      <c r="B1513" s="131" t="s">
        <v>2609</v>
      </c>
      <c r="C1513" s="226">
        <v>98231</v>
      </c>
      <c r="H1513" s="82"/>
      <c r="K1513" s="82"/>
      <c r="P1513" s="82"/>
    </row>
    <row r="1514" spans="1:16">
      <c r="A1514" s="226"/>
      <c r="B1514" s="131" t="s">
        <v>2610</v>
      </c>
      <c r="C1514" s="48">
        <v>99311</v>
      </c>
      <c r="H1514" s="82"/>
      <c r="K1514" s="82"/>
      <c r="P1514" s="82"/>
    </row>
    <row r="1515" spans="1:16">
      <c r="A1515" s="226"/>
      <c r="B1515" s="131" t="s">
        <v>2600</v>
      </c>
      <c r="C1515" s="48">
        <v>96751</v>
      </c>
      <c r="H1515" s="82"/>
      <c r="K1515" s="82"/>
      <c r="P1515" s="82"/>
    </row>
    <row r="1516" spans="1:16">
      <c r="A1516" s="226"/>
      <c r="B1516" s="131" t="s">
        <v>2601</v>
      </c>
      <c r="C1516" s="48">
        <v>99711</v>
      </c>
      <c r="H1516" s="82"/>
      <c r="K1516" s="82"/>
      <c r="P1516" s="82"/>
    </row>
    <row r="1517" spans="1:16">
      <c r="A1517" s="226"/>
      <c r="B1517" s="131" t="s">
        <v>2602</v>
      </c>
      <c r="C1517" s="48">
        <v>99717</v>
      </c>
      <c r="H1517" s="82"/>
      <c r="K1517" s="82"/>
      <c r="P1517" s="82"/>
    </row>
    <row r="1518" spans="1:16">
      <c r="A1518" s="226"/>
      <c r="B1518" s="131" t="s">
        <v>1312</v>
      </c>
      <c r="C1518" s="48">
        <v>96601</v>
      </c>
      <c r="H1518" s="82"/>
      <c r="K1518" s="82"/>
      <c r="P1518" s="82"/>
    </row>
    <row r="1519" spans="1:16">
      <c r="A1519" s="226"/>
      <c r="B1519" s="131" t="s">
        <v>1313</v>
      </c>
      <c r="C1519" s="48">
        <v>96604</v>
      </c>
      <c r="H1519" s="82"/>
      <c r="K1519" s="82"/>
      <c r="P1519" s="82"/>
    </row>
    <row r="1520" spans="1:16">
      <c r="A1520" s="226"/>
      <c r="B1520" s="131" t="s">
        <v>1991</v>
      </c>
      <c r="C1520" s="48">
        <v>91012</v>
      </c>
      <c r="H1520" s="82"/>
      <c r="K1520" s="82"/>
      <c r="P1520" s="82"/>
    </row>
    <row r="1521" spans="1:16">
      <c r="A1521" s="226"/>
      <c r="B1521" s="131" t="s">
        <v>749</v>
      </c>
      <c r="C1521" s="48">
        <v>90305</v>
      </c>
      <c r="H1521" s="82"/>
      <c r="K1521" s="82"/>
      <c r="P1521" s="82"/>
    </row>
    <row r="1522" spans="1:16">
      <c r="A1522" s="226"/>
      <c r="B1522" s="131" t="s">
        <v>2611</v>
      </c>
      <c r="C1522" s="48">
        <v>98421</v>
      </c>
      <c r="H1522" s="82"/>
      <c r="K1522" s="82"/>
      <c r="P1522" s="82"/>
    </row>
    <row r="1523" spans="1:16">
      <c r="A1523" s="226"/>
      <c r="B1523" s="131" t="s">
        <v>2793</v>
      </c>
      <c r="C1523" s="48">
        <v>98427</v>
      </c>
      <c r="H1523" s="82"/>
      <c r="K1523" s="82"/>
      <c r="P1523" s="82"/>
    </row>
    <row r="1524" spans="1:16">
      <c r="A1524" s="226"/>
      <c r="B1524" s="131" t="s">
        <v>2612</v>
      </c>
      <c r="C1524" s="48">
        <v>95821</v>
      </c>
      <c r="H1524" s="82"/>
      <c r="K1524" s="82"/>
      <c r="P1524" s="82"/>
    </row>
    <row r="1525" spans="1:16">
      <c r="A1525" s="226"/>
      <c r="B1525" s="131" t="s">
        <v>2613</v>
      </c>
      <c r="C1525" s="48">
        <v>91021</v>
      </c>
      <c r="H1525" s="82"/>
      <c r="K1525" s="82"/>
      <c r="P1525" s="82"/>
    </row>
    <row r="1526" spans="1:16">
      <c r="A1526" s="226"/>
      <c r="B1526" s="131" t="s">
        <v>2792</v>
      </c>
      <c r="C1526" s="48">
        <v>91027</v>
      </c>
      <c r="H1526" s="82"/>
      <c r="K1526" s="82"/>
      <c r="P1526" s="82"/>
    </row>
    <row r="1527" spans="1:16">
      <c r="A1527" s="226"/>
      <c r="B1527" s="131" t="s">
        <v>2614</v>
      </c>
      <c r="C1527" s="48">
        <v>94161</v>
      </c>
      <c r="H1527" s="82"/>
      <c r="K1527" s="82"/>
      <c r="P1527" s="82"/>
    </row>
    <row r="1528" spans="1:16">
      <c r="A1528" s="226"/>
      <c r="B1528" s="131" t="s">
        <v>2615</v>
      </c>
      <c r="C1528" s="48">
        <v>98441</v>
      </c>
      <c r="H1528" s="82"/>
      <c r="K1528" s="82"/>
      <c r="P1528" s="82"/>
    </row>
    <row r="1529" spans="1:16">
      <c r="A1529" s="226"/>
      <c r="B1529" s="131" t="s">
        <v>2616</v>
      </c>
      <c r="C1529" s="48">
        <v>91061</v>
      </c>
      <c r="H1529" s="82"/>
      <c r="K1529" s="82"/>
      <c r="P1529" s="82"/>
    </row>
    <row r="1530" spans="1:16">
      <c r="A1530" s="226"/>
      <c r="B1530" s="131" t="s">
        <v>820</v>
      </c>
      <c r="C1530" s="48">
        <v>91067</v>
      </c>
      <c r="H1530" s="82"/>
      <c r="K1530" s="82"/>
      <c r="P1530" s="82"/>
    </row>
    <row r="1531" spans="1:16">
      <c r="A1531" s="226"/>
      <c r="B1531" s="131" t="s">
        <v>2791</v>
      </c>
      <c r="C1531" s="48">
        <v>94812</v>
      </c>
      <c r="H1531" s="82"/>
      <c r="K1531" s="82"/>
      <c r="P1531" s="82"/>
    </row>
    <row r="1532" spans="1:16">
      <c r="A1532" s="226"/>
      <c r="B1532" s="131" t="s">
        <v>2617</v>
      </c>
      <c r="C1532" s="48">
        <v>95921</v>
      </c>
      <c r="H1532" s="82"/>
      <c r="K1532" s="82"/>
      <c r="P1532" s="82"/>
    </row>
    <row r="1533" spans="1:16">
      <c r="A1533" s="226"/>
      <c r="B1533" s="131" t="s">
        <v>1323</v>
      </c>
      <c r="C1533" s="48">
        <v>96701</v>
      </c>
      <c r="H1533" s="82"/>
      <c r="K1533" s="82"/>
      <c r="P1533" s="82"/>
    </row>
    <row r="1534" spans="1:16">
      <c r="A1534" s="226"/>
      <c r="B1534" s="131" t="s">
        <v>1324</v>
      </c>
      <c r="C1534" s="48">
        <v>96704</v>
      </c>
      <c r="H1534" s="82"/>
      <c r="K1534" s="82"/>
      <c r="P1534" s="82"/>
    </row>
    <row r="1535" spans="1:16">
      <c r="A1535" s="226"/>
      <c r="B1535" s="131" t="s">
        <v>1325</v>
      </c>
      <c r="C1535" s="48">
        <v>96708</v>
      </c>
      <c r="H1535" s="82"/>
      <c r="K1535" s="82"/>
      <c r="P1535" s="82"/>
    </row>
    <row r="1536" spans="1:16">
      <c r="A1536" s="226"/>
      <c r="B1536" s="131" t="s">
        <v>1332</v>
      </c>
      <c r="C1536" s="48">
        <v>96801</v>
      </c>
      <c r="H1536" s="82"/>
      <c r="K1536" s="82"/>
      <c r="P1536" s="82"/>
    </row>
    <row r="1537" spans="1:16">
      <c r="A1537" s="226"/>
      <c r="B1537" s="131" t="s">
        <v>1333</v>
      </c>
      <c r="C1537" s="48">
        <v>96804</v>
      </c>
      <c r="H1537" s="82"/>
      <c r="K1537" s="82"/>
      <c r="P1537" s="82"/>
    </row>
    <row r="1538" spans="1:16">
      <c r="A1538" s="226"/>
      <c r="B1538" s="131" t="s">
        <v>1334</v>
      </c>
      <c r="C1538" s="48">
        <v>96808</v>
      </c>
      <c r="H1538" s="82"/>
      <c r="K1538" s="82"/>
      <c r="P1538" s="82"/>
    </row>
    <row r="1539" spans="1:16">
      <c r="A1539" s="226"/>
      <c r="B1539" s="131" t="s">
        <v>2618</v>
      </c>
      <c r="C1539" s="48">
        <v>96912</v>
      </c>
      <c r="H1539" s="82"/>
      <c r="K1539" s="82"/>
      <c r="P1539" s="82"/>
    </row>
    <row r="1540" spans="1:16">
      <c r="A1540" s="226"/>
      <c r="B1540" s="131" t="s">
        <v>1992</v>
      </c>
      <c r="C1540" s="48">
        <v>93911</v>
      </c>
      <c r="H1540" s="82"/>
      <c r="K1540" s="82"/>
      <c r="P1540" s="82"/>
    </row>
    <row r="1541" spans="1:16">
      <c r="A1541" s="226"/>
      <c r="B1541" s="131" t="s">
        <v>1087</v>
      </c>
      <c r="C1541" s="48">
        <v>93913</v>
      </c>
      <c r="H1541" s="82"/>
      <c r="K1541" s="82"/>
      <c r="P1541" s="82"/>
    </row>
    <row r="1542" spans="1:16">
      <c r="A1542" s="226"/>
      <c r="B1542" s="131" t="s">
        <v>1338</v>
      </c>
      <c r="C1542" s="48">
        <v>96901</v>
      </c>
      <c r="H1542" s="82"/>
      <c r="K1542" s="82"/>
      <c r="P1542" s="82"/>
    </row>
    <row r="1543" spans="1:16">
      <c r="A1543" s="226"/>
      <c r="B1543" s="131" t="s">
        <v>2619</v>
      </c>
      <c r="C1543" s="48">
        <v>97841</v>
      </c>
      <c r="H1543" s="82"/>
      <c r="K1543" s="82"/>
      <c r="P1543" s="82"/>
    </row>
    <row r="1544" spans="1:16">
      <c r="A1544" s="226"/>
      <c r="B1544" s="131" t="s">
        <v>1018</v>
      </c>
      <c r="C1544" s="48">
        <v>93202</v>
      </c>
      <c r="H1544" s="82"/>
      <c r="K1544" s="82"/>
      <c r="P1544" s="82"/>
    </row>
    <row r="1545" spans="1:16">
      <c r="A1545" s="226"/>
      <c r="B1545" s="131" t="s">
        <v>1060</v>
      </c>
      <c r="C1545" s="48">
        <v>93609</v>
      </c>
      <c r="H1545" s="82"/>
      <c r="K1545" s="82"/>
      <c r="P1545" s="82"/>
    </row>
    <row r="1546" spans="1:16">
      <c r="A1546" s="226"/>
      <c r="B1546" s="131" t="s">
        <v>1344</v>
      </c>
      <c r="C1546" s="48">
        <v>97004</v>
      </c>
      <c r="H1546" s="82"/>
      <c r="K1546" s="82"/>
      <c r="P1546" s="82"/>
    </row>
    <row r="1547" spans="1:16">
      <c r="A1547" s="226"/>
      <c r="B1547" s="131" t="s">
        <v>1342</v>
      </c>
      <c r="C1547" s="48">
        <v>97001</v>
      </c>
      <c r="H1547" s="82"/>
      <c r="K1547" s="82"/>
      <c r="P1547" s="82"/>
    </row>
    <row r="1548" spans="1:16">
      <c r="A1548" s="226"/>
      <c r="B1548" s="131" t="s">
        <v>1343</v>
      </c>
      <c r="C1548" s="48">
        <v>97002</v>
      </c>
      <c r="H1548" s="82"/>
      <c r="K1548" s="82"/>
      <c r="P1548" s="82"/>
    </row>
    <row r="1549" spans="1:16">
      <c r="A1549" s="226"/>
      <c r="B1549" s="131" t="s">
        <v>1351</v>
      </c>
      <c r="C1549" s="48">
        <v>97015</v>
      </c>
      <c r="H1549" s="82"/>
      <c r="K1549" s="82"/>
      <c r="P1549" s="82"/>
    </row>
    <row r="1550" spans="1:16">
      <c r="A1550" s="226"/>
      <c r="B1550" s="131" t="s">
        <v>2620</v>
      </c>
      <c r="C1550" s="48">
        <v>90441</v>
      </c>
      <c r="H1550" s="82"/>
      <c r="K1550" s="82"/>
      <c r="P1550" s="82"/>
    </row>
    <row r="1551" spans="1:16">
      <c r="A1551" s="226"/>
      <c r="B1551" s="131" t="s">
        <v>2621</v>
      </c>
      <c r="C1551" s="48">
        <v>97851</v>
      </c>
      <c r="H1551" s="82"/>
      <c r="K1551" s="82"/>
      <c r="P1551" s="82"/>
    </row>
    <row r="1552" spans="1:16">
      <c r="A1552" s="226"/>
      <c r="B1552" s="131" t="s">
        <v>1423</v>
      </c>
      <c r="C1552" s="48">
        <v>97853</v>
      </c>
      <c r="H1552" s="82"/>
      <c r="K1552" s="82"/>
      <c r="P1552" s="82"/>
    </row>
    <row r="1553" spans="1:16">
      <c r="A1553" s="226"/>
      <c r="B1553" s="131" t="s">
        <v>1353</v>
      </c>
      <c r="C1553" s="48">
        <v>97101</v>
      </c>
      <c r="H1553" s="82"/>
      <c r="K1553" s="82"/>
      <c r="P1553" s="82"/>
    </row>
    <row r="1554" spans="1:16">
      <c r="A1554" s="226"/>
      <c r="B1554" s="131" t="s">
        <v>1354</v>
      </c>
      <c r="C1554" s="48">
        <v>97104</v>
      </c>
      <c r="H1554" s="82"/>
      <c r="K1554" s="82"/>
      <c r="P1554" s="82"/>
    </row>
    <row r="1555" spans="1:16">
      <c r="A1555" s="226"/>
      <c r="B1555" s="131" t="s">
        <v>1358</v>
      </c>
      <c r="C1555" s="48">
        <v>97201</v>
      </c>
      <c r="H1555" s="82"/>
      <c r="K1555" s="82"/>
      <c r="P1555" s="82"/>
    </row>
    <row r="1556" spans="1:16">
      <c r="A1556" s="226"/>
      <c r="B1556" s="131" t="s">
        <v>2790</v>
      </c>
      <c r="C1556" s="48">
        <v>97304</v>
      </c>
      <c r="H1556" s="82"/>
      <c r="K1556" s="82"/>
      <c r="P1556" s="82"/>
    </row>
    <row r="1557" spans="1:16">
      <c r="A1557" s="226"/>
      <c r="B1557" s="131" t="s">
        <v>1363</v>
      </c>
      <c r="C1557" s="48">
        <v>97301</v>
      </c>
      <c r="H1557" s="82"/>
      <c r="K1557" s="82"/>
      <c r="P1557" s="82"/>
    </row>
    <row r="1558" spans="1:16">
      <c r="A1558" s="226"/>
      <c r="B1558" s="131" t="s">
        <v>1565</v>
      </c>
      <c r="C1558" s="48">
        <v>99405</v>
      </c>
      <c r="H1558" s="82"/>
      <c r="K1558" s="82"/>
      <c r="P1558" s="82"/>
    </row>
    <row r="1559" spans="1:16">
      <c r="A1559" s="226"/>
      <c r="B1559" s="131" t="s">
        <v>724</v>
      </c>
      <c r="C1559" s="219">
        <v>72265</v>
      </c>
      <c r="H1559" s="82"/>
      <c r="K1559" s="82"/>
      <c r="P1559" s="82"/>
    </row>
    <row r="1560" spans="1:16">
      <c r="A1560" s="226"/>
      <c r="B1560" s="131" t="s">
        <v>2756</v>
      </c>
      <c r="C1560" s="226">
        <v>94112</v>
      </c>
      <c r="H1560" s="82"/>
      <c r="K1560" s="82"/>
      <c r="P1560" s="82"/>
    </row>
    <row r="1561" spans="1:16">
      <c r="A1561" s="226"/>
      <c r="B1561" s="131" t="s">
        <v>1038</v>
      </c>
      <c r="C1561" s="48">
        <v>93406</v>
      </c>
      <c r="H1561" s="82"/>
      <c r="K1561" s="82"/>
      <c r="P1561" s="82"/>
    </row>
    <row r="1562" spans="1:16">
      <c r="A1562" s="226"/>
      <c r="B1562" s="131" t="s">
        <v>2622</v>
      </c>
      <c r="C1562" s="48">
        <v>99651</v>
      </c>
      <c r="H1562" s="82"/>
      <c r="K1562" s="82"/>
      <c r="P1562" s="82"/>
    </row>
    <row r="1563" spans="1:16">
      <c r="A1563" s="226"/>
      <c r="B1563" s="131" t="s">
        <v>2623</v>
      </c>
      <c r="C1563" s="48">
        <v>98611</v>
      </c>
      <c r="H1563" s="82"/>
      <c r="K1563" s="82"/>
      <c r="P1563" s="82"/>
    </row>
    <row r="1564" spans="1:16">
      <c r="A1564" s="226"/>
      <c r="B1564" s="131" t="s">
        <v>1501</v>
      </c>
      <c r="C1564" s="48">
        <v>98607</v>
      </c>
      <c r="H1564" s="82"/>
      <c r="K1564" s="82"/>
      <c r="P1564" s="82"/>
    </row>
    <row r="1565" spans="1:16">
      <c r="A1565" s="226"/>
      <c r="B1565" s="131" t="s">
        <v>2624</v>
      </c>
      <c r="C1565" s="48">
        <v>91641</v>
      </c>
      <c r="H1565" s="82"/>
      <c r="K1565" s="82"/>
      <c r="P1565" s="82"/>
    </row>
    <row r="1566" spans="1:16">
      <c r="A1566" s="226"/>
      <c r="B1566" s="131" t="s">
        <v>2625</v>
      </c>
      <c r="C1566" s="226">
        <v>95161</v>
      </c>
      <c r="H1566" s="82"/>
      <c r="K1566" s="82"/>
      <c r="P1566" s="82"/>
    </row>
    <row r="1567" spans="1:16">
      <c r="A1567" s="226"/>
      <c r="B1567" s="131" t="s">
        <v>2626</v>
      </c>
      <c r="C1567" s="48">
        <v>96361</v>
      </c>
      <c r="H1567" s="82"/>
      <c r="K1567" s="82"/>
      <c r="P1567" s="82"/>
    </row>
    <row r="1568" spans="1:16">
      <c r="A1568" s="226"/>
      <c r="B1568" s="131" t="s">
        <v>1100</v>
      </c>
      <c r="C1568" s="48">
        <v>94108</v>
      </c>
      <c r="H1568" s="82"/>
      <c r="K1568" s="82"/>
      <c r="P1568" s="82"/>
    </row>
    <row r="1569" spans="1:16">
      <c r="A1569" s="226"/>
      <c r="B1569" s="131" t="s">
        <v>2627</v>
      </c>
      <c r="C1569" s="48">
        <v>96351</v>
      </c>
      <c r="H1569" s="82"/>
      <c r="K1569" s="82"/>
      <c r="P1569" s="82"/>
    </row>
    <row r="1570" spans="1:16">
      <c r="A1570" s="226"/>
      <c r="B1570" s="131" t="s">
        <v>2628</v>
      </c>
      <c r="C1570" s="48">
        <v>93331</v>
      </c>
      <c r="H1570" s="82"/>
      <c r="K1570" s="82"/>
      <c r="P1570" s="82"/>
    </row>
    <row r="1571" spans="1:16">
      <c r="A1571" s="226"/>
      <c r="B1571" s="131" t="s">
        <v>2629</v>
      </c>
      <c r="C1571" s="48">
        <v>96021</v>
      </c>
      <c r="H1571" s="82"/>
      <c r="K1571" s="82"/>
      <c r="P1571" s="82"/>
    </row>
    <row r="1572" spans="1:16">
      <c r="A1572" s="226"/>
      <c r="B1572" s="131" t="s">
        <v>2630</v>
      </c>
      <c r="C1572" s="48">
        <v>95421</v>
      </c>
      <c r="H1572" s="82"/>
      <c r="K1572" s="82"/>
      <c r="P1572" s="82"/>
    </row>
    <row r="1573" spans="1:16">
      <c r="A1573" s="226"/>
      <c r="B1573" s="131" t="s">
        <v>1366</v>
      </c>
      <c r="C1573" s="48">
        <v>97401</v>
      </c>
      <c r="H1573" s="82"/>
      <c r="K1573" s="82"/>
      <c r="P1573" s="82"/>
    </row>
    <row r="1574" spans="1:16">
      <c r="A1574" s="226"/>
      <c r="B1574" s="131" t="s">
        <v>1368</v>
      </c>
      <c r="C1574" s="48">
        <v>97404</v>
      </c>
      <c r="H1574" s="82"/>
      <c r="K1574" s="82"/>
      <c r="P1574" s="82"/>
    </row>
    <row r="1575" spans="1:16">
      <c r="A1575" s="226"/>
      <c r="B1575" s="131" t="s">
        <v>2789</v>
      </c>
      <c r="C1575" s="48">
        <v>97402</v>
      </c>
      <c r="H1575" s="82"/>
      <c r="K1575" s="82"/>
      <c r="P1575" s="82"/>
    </row>
    <row r="1576" spans="1:16">
      <c r="A1576" s="226"/>
      <c r="B1576" s="131" t="s">
        <v>2631</v>
      </c>
      <c r="C1576" s="48">
        <v>91921</v>
      </c>
      <c r="H1576" s="82"/>
      <c r="K1576" s="82"/>
      <c r="P1576" s="82"/>
    </row>
    <row r="1577" spans="1:16">
      <c r="A1577" s="226"/>
      <c r="B1577" s="131" t="s">
        <v>1245</v>
      </c>
      <c r="C1577" s="48">
        <v>95908</v>
      </c>
      <c r="H1577" s="82"/>
      <c r="K1577" s="82"/>
      <c r="P1577" s="82"/>
    </row>
    <row r="1578" spans="1:16">
      <c r="A1578" s="226"/>
      <c r="B1578" s="131" t="s">
        <v>2632</v>
      </c>
      <c r="C1578" s="48">
        <v>99411</v>
      </c>
      <c r="H1578" s="82"/>
      <c r="K1578" s="82"/>
      <c r="P1578" s="82"/>
    </row>
    <row r="1579" spans="1:16">
      <c r="A1579" s="226"/>
      <c r="B1579" s="131" t="s">
        <v>1567</v>
      </c>
      <c r="C1579" s="48">
        <v>99413</v>
      </c>
      <c r="H1579" s="82"/>
      <c r="K1579" s="82"/>
      <c r="P1579" s="82"/>
    </row>
    <row r="1580" spans="1:16">
      <c r="A1580" s="226"/>
      <c r="B1580" s="131" t="s">
        <v>1384</v>
      </c>
      <c r="C1580" s="48">
        <v>97501</v>
      </c>
      <c r="H1580" s="82"/>
      <c r="K1580" s="82"/>
      <c r="P1580" s="82"/>
    </row>
    <row r="1581" spans="1:16">
      <c r="A1581" s="226"/>
      <c r="B1581" s="131" t="s">
        <v>2633</v>
      </c>
      <c r="C1581" s="48">
        <v>90431</v>
      </c>
      <c r="H1581" s="82"/>
      <c r="K1581" s="82"/>
      <c r="P1581" s="82"/>
    </row>
    <row r="1582" spans="1:16">
      <c r="A1582" s="226"/>
      <c r="B1582" s="131" t="s">
        <v>2634</v>
      </c>
      <c r="C1582" s="48">
        <v>95211</v>
      </c>
      <c r="H1582" s="82"/>
      <c r="K1582" s="82"/>
      <c r="P1582" s="82"/>
    </row>
    <row r="1583" spans="1:16">
      <c r="A1583" s="226"/>
      <c r="B1583" s="131" t="s">
        <v>2635</v>
      </c>
      <c r="C1583" s="226">
        <v>95181</v>
      </c>
      <c r="H1583" s="82"/>
      <c r="K1583" s="82"/>
      <c r="P1583" s="82"/>
    </row>
    <row r="1584" spans="1:16">
      <c r="A1584" s="226"/>
      <c r="B1584" s="131" t="s">
        <v>2636</v>
      </c>
      <c r="C1584" s="48">
        <v>93351</v>
      </c>
      <c r="H1584" s="82"/>
      <c r="K1584" s="82"/>
      <c r="P1584" s="82"/>
    </row>
    <row r="1585" spans="1:16">
      <c r="A1585" s="226"/>
      <c r="B1585" s="131" t="s">
        <v>1188</v>
      </c>
      <c r="C1585" s="48">
        <v>95105</v>
      </c>
      <c r="H1585" s="82"/>
      <c r="K1585" s="82"/>
      <c r="P1585" s="82"/>
    </row>
    <row r="1586" spans="1:16">
      <c r="A1586" s="226"/>
      <c r="B1586" s="131" t="s">
        <v>2637</v>
      </c>
      <c r="C1586" s="48">
        <v>94711</v>
      </c>
      <c r="H1586" s="82"/>
      <c r="K1586" s="82"/>
      <c r="P1586" s="82"/>
    </row>
    <row r="1587" spans="1:16">
      <c r="A1587" s="226"/>
      <c r="B1587" s="131" t="s">
        <v>1993</v>
      </c>
      <c r="C1587" s="48">
        <v>99211</v>
      </c>
      <c r="H1587" s="82"/>
      <c r="K1587" s="82"/>
      <c r="P1587" s="82"/>
    </row>
    <row r="1588" spans="1:16">
      <c r="A1588" s="226"/>
      <c r="B1588" s="131" t="s">
        <v>1994</v>
      </c>
      <c r="C1588" s="48">
        <v>99213</v>
      </c>
      <c r="H1588" s="82"/>
      <c r="K1588" s="82"/>
      <c r="P1588" s="82"/>
    </row>
    <row r="1589" spans="1:16">
      <c r="A1589" s="226"/>
      <c r="B1589" s="131" t="s">
        <v>1548</v>
      </c>
      <c r="C1589" s="226">
        <v>99218</v>
      </c>
      <c r="H1589" s="82"/>
      <c r="K1589" s="82"/>
      <c r="P1589" s="82"/>
    </row>
    <row r="1590" spans="1:16">
      <c r="A1590" s="226"/>
      <c r="B1590" s="131" t="s">
        <v>2638</v>
      </c>
      <c r="C1590" s="226">
        <v>97641</v>
      </c>
      <c r="H1590" s="82"/>
      <c r="K1590" s="82"/>
      <c r="P1590" s="82"/>
    </row>
    <row r="1591" spans="1:16">
      <c r="A1591" s="226"/>
      <c r="B1591" s="131" t="s">
        <v>1995</v>
      </c>
      <c r="C1591" s="48">
        <v>97621</v>
      </c>
      <c r="H1591" s="82"/>
      <c r="K1591" s="82"/>
      <c r="P1591" s="82"/>
    </row>
    <row r="1592" spans="1:16">
      <c r="A1592" s="226"/>
      <c r="B1592" s="131" t="s">
        <v>1996</v>
      </c>
      <c r="C1592" s="48">
        <v>97627</v>
      </c>
      <c r="H1592" s="82"/>
      <c r="K1592" s="82"/>
      <c r="P1592" s="82"/>
    </row>
    <row r="1593" spans="1:16">
      <c r="A1593" s="226"/>
      <c r="B1593" s="131" t="s">
        <v>1997</v>
      </c>
      <c r="C1593" s="48">
        <v>97623</v>
      </c>
      <c r="H1593" s="82"/>
      <c r="K1593" s="82"/>
      <c r="P1593" s="82"/>
    </row>
    <row r="1594" spans="1:16">
      <c r="A1594" s="226"/>
      <c r="B1594" s="131" t="s">
        <v>1388</v>
      </c>
      <c r="C1594" s="48">
        <v>97601</v>
      </c>
      <c r="H1594" s="82"/>
      <c r="K1594" s="82"/>
      <c r="P1594" s="82"/>
    </row>
    <row r="1595" spans="1:16">
      <c r="A1595" s="226"/>
      <c r="B1595" s="131" t="s">
        <v>2639</v>
      </c>
      <c r="C1595" s="48">
        <v>93681</v>
      </c>
      <c r="H1595" s="82"/>
      <c r="K1595" s="82"/>
      <c r="P1595" s="82"/>
    </row>
    <row r="1596" spans="1:16">
      <c r="A1596" s="226"/>
      <c r="B1596" s="131" t="s">
        <v>2640</v>
      </c>
      <c r="C1596" s="48">
        <v>97871</v>
      </c>
      <c r="H1596" s="82"/>
      <c r="K1596" s="82"/>
      <c r="P1596" s="82"/>
    </row>
    <row r="1597" spans="1:16">
      <c r="A1597" s="226"/>
      <c r="B1597" s="131" t="s">
        <v>1426</v>
      </c>
      <c r="C1597" s="48">
        <v>97877</v>
      </c>
      <c r="H1597" s="82"/>
      <c r="K1597" s="82"/>
      <c r="P1597" s="82"/>
    </row>
    <row r="1598" spans="1:16">
      <c r="A1598" s="226"/>
      <c r="B1598" s="131" t="s">
        <v>1571</v>
      </c>
      <c r="C1598" s="48">
        <v>99502</v>
      </c>
      <c r="H1598" s="82"/>
      <c r="K1598" s="82"/>
      <c r="P1598" s="82"/>
    </row>
    <row r="1599" spans="1:16">
      <c r="A1599" s="226"/>
      <c r="B1599" s="131" t="s">
        <v>1998</v>
      </c>
      <c r="C1599" s="48">
        <v>97911</v>
      </c>
      <c r="H1599" s="82"/>
      <c r="K1599" s="82"/>
      <c r="P1599" s="82"/>
    </row>
    <row r="1600" spans="1:16">
      <c r="A1600" s="226"/>
      <c r="B1600" s="131" t="s">
        <v>1430</v>
      </c>
      <c r="C1600" s="48">
        <v>97917</v>
      </c>
      <c r="H1600" s="82"/>
      <c r="K1600" s="82"/>
      <c r="P1600" s="82"/>
    </row>
    <row r="1601" spans="1:16">
      <c r="A1601" s="226"/>
      <c r="B1601" s="131" t="s">
        <v>2641</v>
      </c>
      <c r="C1601" s="48">
        <v>96611</v>
      </c>
      <c r="H1601" s="82"/>
      <c r="K1601" s="82"/>
      <c r="P1601" s="82"/>
    </row>
    <row r="1602" spans="1:16">
      <c r="A1602" s="226"/>
      <c r="B1602" s="131" t="s">
        <v>2642</v>
      </c>
      <c r="C1602" s="48">
        <v>96741</v>
      </c>
      <c r="H1602" s="82"/>
      <c r="K1602" s="82"/>
      <c r="P1602" s="82"/>
    </row>
    <row r="1603" spans="1:16">
      <c r="A1603" s="226"/>
      <c r="B1603" s="131" t="s">
        <v>1400</v>
      </c>
      <c r="C1603" s="48">
        <v>97701</v>
      </c>
      <c r="H1603" s="82"/>
      <c r="K1603" s="82"/>
      <c r="P1603" s="82"/>
    </row>
    <row r="1604" spans="1:16">
      <c r="A1604" s="226"/>
      <c r="B1604" s="131" t="s">
        <v>2643</v>
      </c>
      <c r="C1604" s="48">
        <v>92541</v>
      </c>
      <c r="H1604" s="82"/>
      <c r="K1604" s="82"/>
      <c r="P1604" s="82"/>
    </row>
    <row r="1605" spans="1:16">
      <c r="A1605" s="226"/>
      <c r="B1605" s="131" t="s">
        <v>1999</v>
      </c>
      <c r="C1605" s="48">
        <v>94221</v>
      </c>
      <c r="H1605" s="82"/>
      <c r="K1605" s="82"/>
      <c r="P1605" s="82"/>
    </row>
    <row r="1606" spans="1:16">
      <c r="A1606" s="226"/>
      <c r="B1606" s="131" t="s">
        <v>1118</v>
      </c>
      <c r="C1606" s="48">
        <v>94209</v>
      </c>
      <c r="H1606" s="82"/>
      <c r="K1606" s="82"/>
      <c r="P1606" s="82"/>
    </row>
    <row r="1607" spans="1:16">
      <c r="A1607" s="226"/>
      <c r="B1607" s="131" t="s">
        <v>2644</v>
      </c>
      <c r="C1607" s="48">
        <v>96341</v>
      </c>
      <c r="H1607" s="82"/>
      <c r="K1607" s="82"/>
      <c r="P1607" s="82"/>
    </row>
    <row r="1608" spans="1:16">
      <c r="A1608" s="226"/>
      <c r="B1608" s="131" t="s">
        <v>2645</v>
      </c>
      <c r="C1608" s="48">
        <v>93821</v>
      </c>
      <c r="H1608" s="82"/>
      <c r="K1608" s="82"/>
      <c r="P1608" s="82"/>
    </row>
    <row r="1609" spans="1:16">
      <c r="A1609" s="226"/>
      <c r="B1609" s="131" t="s">
        <v>2646</v>
      </c>
      <c r="C1609" s="48">
        <v>95851</v>
      </c>
      <c r="H1609" s="82"/>
      <c r="K1609" s="82"/>
      <c r="P1609" s="82"/>
    </row>
    <row r="1610" spans="1:16">
      <c r="A1610" s="226"/>
      <c r="B1610" s="131" t="s">
        <v>1243</v>
      </c>
      <c r="C1610" s="48">
        <v>95853</v>
      </c>
      <c r="H1610" s="82"/>
      <c r="K1610" s="82"/>
      <c r="P1610" s="82"/>
    </row>
    <row r="1611" spans="1:16">
      <c r="A1611" s="226"/>
      <c r="B1611" s="131" t="s">
        <v>1408</v>
      </c>
      <c r="C1611" s="48">
        <v>97801</v>
      </c>
      <c r="H1611" s="82"/>
      <c r="K1611" s="82"/>
      <c r="P1611" s="82"/>
    </row>
    <row r="1612" spans="1:16">
      <c r="A1612" s="226"/>
      <c r="B1612" s="131" t="s">
        <v>1410</v>
      </c>
      <c r="C1612" s="48">
        <v>97803</v>
      </c>
      <c r="H1612" s="82"/>
      <c r="K1612" s="82"/>
      <c r="P1612" s="82"/>
    </row>
    <row r="1613" spans="1:16">
      <c r="A1613" s="226"/>
      <c r="B1613" s="131" t="s">
        <v>1411</v>
      </c>
      <c r="C1613" s="48">
        <v>97805</v>
      </c>
      <c r="H1613" s="82"/>
      <c r="K1613" s="82"/>
      <c r="P1613" s="82"/>
    </row>
    <row r="1614" spans="1:16">
      <c r="A1614" s="226"/>
      <c r="B1614" s="131" t="s">
        <v>2000</v>
      </c>
      <c r="C1614" s="48">
        <v>97711</v>
      </c>
      <c r="H1614" s="82"/>
      <c r="K1614" s="82"/>
      <c r="P1614" s="82"/>
    </row>
    <row r="1615" spans="1:16">
      <c r="A1615" s="226"/>
      <c r="B1615" s="131" t="s">
        <v>2001</v>
      </c>
      <c r="C1615" s="48">
        <v>97727</v>
      </c>
      <c r="H1615" s="82"/>
      <c r="K1615" s="82"/>
      <c r="P1615" s="82"/>
    </row>
    <row r="1616" spans="1:16">
      <c r="A1616" s="226"/>
      <c r="B1616" s="131" t="s">
        <v>1427</v>
      </c>
      <c r="C1616" s="48">
        <v>97901</v>
      </c>
      <c r="H1616" s="82"/>
      <c r="K1616" s="82"/>
      <c r="P1616" s="82"/>
    </row>
    <row r="1617" spans="1:16">
      <c r="A1617" s="226"/>
      <c r="B1617" s="131" t="s">
        <v>1403</v>
      </c>
      <c r="C1617" s="48">
        <v>97713</v>
      </c>
      <c r="H1617" s="82"/>
      <c r="K1617" s="82"/>
      <c r="P1617" s="82"/>
    </row>
    <row r="1618" spans="1:16">
      <c r="A1618" s="226"/>
      <c r="B1618" s="131" t="s">
        <v>2647</v>
      </c>
      <c r="C1618" s="48">
        <v>98071</v>
      </c>
      <c r="H1618" s="82"/>
      <c r="K1618" s="82"/>
      <c r="P1618" s="82"/>
    </row>
    <row r="1619" spans="1:16">
      <c r="A1619" s="226"/>
      <c r="B1619" s="131" t="s">
        <v>2002</v>
      </c>
      <c r="C1619" s="48">
        <v>93321</v>
      </c>
      <c r="H1619" s="82"/>
      <c r="K1619" s="82"/>
      <c r="P1619" s="82"/>
    </row>
    <row r="1620" spans="1:16">
      <c r="A1620" s="226"/>
      <c r="B1620" s="131" t="s">
        <v>1031</v>
      </c>
      <c r="C1620" s="48">
        <v>93323</v>
      </c>
      <c r="H1620" s="82"/>
      <c r="K1620" s="82"/>
      <c r="P1620" s="82"/>
    </row>
    <row r="1621" spans="1:16">
      <c r="A1621" s="226"/>
      <c r="B1621" s="131" t="s">
        <v>1033</v>
      </c>
      <c r="C1621" s="48">
        <v>93333</v>
      </c>
      <c r="H1621" s="82"/>
      <c r="K1621" s="82"/>
      <c r="P1621" s="82"/>
    </row>
    <row r="1622" spans="1:16">
      <c r="A1622" s="226"/>
      <c r="B1622" s="131" t="s">
        <v>2648</v>
      </c>
      <c r="C1622" s="48">
        <v>99203</v>
      </c>
      <c r="H1622" s="82"/>
      <c r="K1622" s="82"/>
      <c r="P1622" s="82"/>
    </row>
    <row r="1623" spans="1:16">
      <c r="A1623" s="226"/>
      <c r="B1623" s="131" t="s">
        <v>2649</v>
      </c>
      <c r="C1623" s="48">
        <v>99421</v>
      </c>
      <c r="H1623" s="82"/>
      <c r="K1623" s="82"/>
      <c r="P1623" s="82"/>
    </row>
    <row r="1624" spans="1:16">
      <c r="A1624" s="226"/>
      <c r="B1624" s="131" t="s">
        <v>2650</v>
      </c>
      <c r="C1624" s="48">
        <v>93161</v>
      </c>
      <c r="H1624" s="82"/>
      <c r="K1624" s="82"/>
      <c r="P1624" s="82"/>
    </row>
    <row r="1625" spans="1:16">
      <c r="A1625" s="226"/>
      <c r="B1625" s="131" t="s">
        <v>2651</v>
      </c>
      <c r="C1625" s="48">
        <v>98261</v>
      </c>
      <c r="H1625" s="82"/>
      <c r="K1625" s="82"/>
      <c r="P1625" s="82"/>
    </row>
    <row r="1626" spans="1:16">
      <c r="A1626" s="226"/>
      <c r="B1626" s="131" t="s">
        <v>1472</v>
      </c>
      <c r="C1626" s="48">
        <v>98237</v>
      </c>
      <c r="H1626" s="82"/>
      <c r="K1626" s="82"/>
      <c r="P1626" s="82"/>
    </row>
    <row r="1627" spans="1:16">
      <c r="A1627" s="226"/>
      <c r="B1627" s="131" t="s">
        <v>1440</v>
      </c>
      <c r="C1627" s="48">
        <v>98003</v>
      </c>
      <c r="H1627" s="82"/>
      <c r="K1627" s="82"/>
      <c r="P1627" s="82"/>
    </row>
    <row r="1628" spans="1:16">
      <c r="A1628" s="226"/>
      <c r="B1628" s="131" t="s">
        <v>2787</v>
      </c>
      <c r="C1628" s="48">
        <v>98008</v>
      </c>
      <c r="H1628" s="82"/>
      <c r="K1628" s="82"/>
      <c r="P1628" s="82"/>
    </row>
    <row r="1629" spans="1:16">
      <c r="A1629" s="226"/>
      <c r="B1629" s="131" t="s">
        <v>1439</v>
      </c>
      <c r="C1629" s="48">
        <v>98002</v>
      </c>
      <c r="H1629" s="82"/>
      <c r="K1629" s="82"/>
      <c r="P1629" s="82"/>
    </row>
    <row r="1630" spans="1:16">
      <c r="A1630" s="226"/>
      <c r="B1630" s="131" t="s">
        <v>1438</v>
      </c>
      <c r="C1630" s="48">
        <v>98001</v>
      </c>
      <c r="H1630" s="82"/>
      <c r="K1630" s="82"/>
      <c r="P1630" s="82"/>
    </row>
    <row r="1631" spans="1:16">
      <c r="A1631" s="226"/>
      <c r="B1631" s="131" t="s">
        <v>1441</v>
      </c>
      <c r="C1631" s="48">
        <v>98004</v>
      </c>
      <c r="H1631" s="82"/>
      <c r="K1631" s="82"/>
      <c r="P1631" s="82"/>
    </row>
    <row r="1632" spans="1:16">
      <c r="A1632" s="226"/>
      <c r="B1632" s="131" t="s">
        <v>2652</v>
      </c>
      <c r="C1632" s="48">
        <v>97861</v>
      </c>
      <c r="H1632" s="82"/>
      <c r="K1632" s="82"/>
      <c r="P1632" s="82"/>
    </row>
    <row r="1633" spans="1:16">
      <c r="A1633" s="226"/>
      <c r="B1633" s="131" t="s">
        <v>2003</v>
      </c>
      <c r="C1633" s="48">
        <v>97311</v>
      </c>
      <c r="H1633" s="82"/>
      <c r="K1633" s="82"/>
      <c r="P1633" s="82"/>
    </row>
    <row r="1634" spans="1:16">
      <c r="A1634" s="226"/>
      <c r="B1634" s="131" t="s">
        <v>2653</v>
      </c>
      <c r="C1634" s="48">
        <v>93431</v>
      </c>
      <c r="H1634" s="82"/>
      <c r="K1634" s="82"/>
      <c r="P1634" s="82"/>
    </row>
    <row r="1635" spans="1:16">
      <c r="A1635" s="226"/>
      <c r="B1635" s="131" t="s">
        <v>2654</v>
      </c>
      <c r="C1635" s="48">
        <v>91214</v>
      </c>
      <c r="H1635" s="82"/>
      <c r="K1635" s="82"/>
      <c r="P1635" s="82"/>
    </row>
    <row r="1636" spans="1:16">
      <c r="A1636" s="226"/>
      <c r="B1636" s="131" t="s">
        <v>1454</v>
      </c>
      <c r="C1636" s="48">
        <v>98101</v>
      </c>
      <c r="H1636" s="82"/>
      <c r="K1636" s="82"/>
      <c r="P1636" s="82"/>
    </row>
    <row r="1637" spans="1:16">
      <c r="A1637" s="226"/>
      <c r="B1637" s="131" t="s">
        <v>2786</v>
      </c>
      <c r="C1637" s="48">
        <v>98103</v>
      </c>
      <c r="H1637" s="82"/>
      <c r="K1637" s="82"/>
      <c r="P1637" s="82"/>
    </row>
    <row r="1638" spans="1:16">
      <c r="A1638" s="226"/>
      <c r="B1638" s="131" t="s">
        <v>2655</v>
      </c>
      <c r="C1638" s="48">
        <v>98141</v>
      </c>
      <c r="H1638" s="82"/>
      <c r="K1638" s="82"/>
      <c r="P1638" s="82"/>
    </row>
    <row r="1639" spans="1:16">
      <c r="A1639" s="226"/>
      <c r="B1639" s="131" t="s">
        <v>2785</v>
      </c>
      <c r="C1639" s="48">
        <v>98147</v>
      </c>
      <c r="H1639" s="82"/>
      <c r="K1639" s="82"/>
      <c r="P1639" s="82"/>
    </row>
    <row r="1640" spans="1:16">
      <c r="A1640" s="226"/>
      <c r="B1640" s="131" t="s">
        <v>2679</v>
      </c>
      <c r="C1640" s="48">
        <v>91032</v>
      </c>
      <c r="H1640" s="82"/>
      <c r="K1640" s="82"/>
      <c r="P1640" s="82"/>
    </row>
    <row r="1641" spans="1:16">
      <c r="A1641" s="226"/>
      <c r="B1641" s="131" t="s">
        <v>2680</v>
      </c>
      <c r="C1641" s="48">
        <v>97831</v>
      </c>
      <c r="H1641" s="82"/>
      <c r="K1641" s="82"/>
      <c r="P1641" s="82"/>
    </row>
    <row r="1642" spans="1:16">
      <c r="A1642" s="226"/>
      <c r="B1642" s="131" t="s">
        <v>2784</v>
      </c>
      <c r="C1642" s="48">
        <v>97837</v>
      </c>
      <c r="H1642" s="82"/>
      <c r="K1642" s="82"/>
      <c r="P1642" s="82"/>
    </row>
    <row r="1643" spans="1:16">
      <c r="A1643" s="226"/>
      <c r="B1643" s="131" t="s">
        <v>2656</v>
      </c>
      <c r="C1643" s="226">
        <v>98221</v>
      </c>
      <c r="H1643" s="82"/>
      <c r="K1643" s="82"/>
      <c r="P1643" s="82"/>
    </row>
    <row r="1644" spans="1:16">
      <c r="A1644" s="226"/>
      <c r="B1644" s="131" t="s">
        <v>2004</v>
      </c>
      <c r="C1644" s="226">
        <v>98011</v>
      </c>
      <c r="H1644" s="82"/>
      <c r="K1644" s="82"/>
      <c r="P1644" s="82"/>
    </row>
    <row r="1645" spans="1:16">
      <c r="A1645" s="226"/>
      <c r="B1645" s="131" t="s">
        <v>2803</v>
      </c>
      <c r="C1645" s="48">
        <v>98013</v>
      </c>
      <c r="H1645" s="82"/>
      <c r="K1645" s="82"/>
      <c r="P1645" s="82"/>
    </row>
    <row r="1646" spans="1:16">
      <c r="A1646" s="226"/>
      <c r="B1646" s="131" t="s">
        <v>2005</v>
      </c>
      <c r="C1646" s="48">
        <v>97531</v>
      </c>
      <c r="H1646" s="82"/>
      <c r="K1646" s="82"/>
      <c r="P1646" s="82"/>
    </row>
    <row r="1647" spans="1:16">
      <c r="A1647" s="226"/>
      <c r="B1647" s="131" t="s">
        <v>1466</v>
      </c>
      <c r="C1647" s="48">
        <v>98201</v>
      </c>
      <c r="H1647" s="82"/>
      <c r="K1647" s="82"/>
      <c r="P1647" s="82"/>
    </row>
    <row r="1648" spans="1:16">
      <c r="A1648" s="226"/>
      <c r="B1648" s="131" t="s">
        <v>1401</v>
      </c>
      <c r="C1648" s="48">
        <v>97705</v>
      </c>
      <c r="H1648" s="82"/>
      <c r="K1648" s="82"/>
      <c r="P1648" s="82"/>
    </row>
    <row r="1649" spans="1:16">
      <c r="A1649" s="226"/>
      <c r="B1649" s="131" t="s">
        <v>1283</v>
      </c>
      <c r="C1649" s="48">
        <v>96318</v>
      </c>
      <c r="H1649" s="82"/>
      <c r="K1649" s="82"/>
      <c r="P1649" s="82"/>
    </row>
    <row r="1650" spans="1:16">
      <c r="A1650" s="226"/>
      <c r="B1650" s="131" t="s">
        <v>2006</v>
      </c>
      <c r="C1650" s="48">
        <v>95311</v>
      </c>
      <c r="H1650" s="82"/>
      <c r="K1650" s="82"/>
      <c r="P1650" s="82"/>
    </row>
    <row r="1651" spans="1:16">
      <c r="A1651" s="226"/>
      <c r="B1651" s="131" t="s">
        <v>1210</v>
      </c>
      <c r="C1651" s="48">
        <v>95317</v>
      </c>
      <c r="H1651" s="82"/>
      <c r="K1651" s="82"/>
      <c r="P1651" s="82"/>
    </row>
    <row r="1652" spans="1:16">
      <c r="A1652" s="226"/>
      <c r="B1652" s="131" t="s">
        <v>2657</v>
      </c>
      <c r="C1652" s="48">
        <v>91421</v>
      </c>
      <c r="H1652" s="82"/>
      <c r="K1652" s="82"/>
      <c r="P1652" s="82"/>
    </row>
    <row r="1653" spans="1:16">
      <c r="A1653" s="226"/>
      <c r="B1653" s="131" t="s">
        <v>1477</v>
      </c>
      <c r="C1653" s="48">
        <v>98301</v>
      </c>
      <c r="H1653" s="82"/>
      <c r="K1653" s="82"/>
      <c r="P1653" s="82"/>
    </row>
    <row r="1654" spans="1:16">
      <c r="A1654" s="226"/>
      <c r="B1654" s="131" t="s">
        <v>1478</v>
      </c>
      <c r="C1654" s="48">
        <v>98304</v>
      </c>
      <c r="H1654" s="82"/>
      <c r="K1654" s="82"/>
      <c r="P1654" s="82"/>
    </row>
    <row r="1655" spans="1:16">
      <c r="A1655" s="226"/>
      <c r="B1655" s="131" t="s">
        <v>2658</v>
      </c>
      <c r="C1655" s="48">
        <v>94241</v>
      </c>
      <c r="H1655" s="82"/>
      <c r="K1655" s="82"/>
      <c r="P1655" s="82"/>
    </row>
    <row r="1656" spans="1:16">
      <c r="A1656" s="226"/>
      <c r="B1656" s="131" t="s">
        <v>2659</v>
      </c>
      <c r="C1656" s="226">
        <v>96681</v>
      </c>
      <c r="H1656" s="82"/>
      <c r="K1656" s="82"/>
      <c r="P1656" s="82"/>
    </row>
    <row r="1657" spans="1:16">
      <c r="A1657" s="226"/>
      <c r="B1657" s="131" t="s">
        <v>2660</v>
      </c>
      <c r="C1657" s="219">
        <v>72593</v>
      </c>
      <c r="H1657" s="82"/>
      <c r="K1657" s="82"/>
      <c r="P1657" s="82"/>
    </row>
    <row r="1658" spans="1:16">
      <c r="A1658" s="226"/>
      <c r="B1658" s="131" t="s">
        <v>2661</v>
      </c>
      <c r="C1658" s="48">
        <v>95121</v>
      </c>
      <c r="H1658" s="82"/>
      <c r="K1658" s="82"/>
      <c r="P1658" s="82"/>
    </row>
    <row r="1659" spans="1:16">
      <c r="A1659" s="226"/>
      <c r="B1659" s="131" t="s">
        <v>1195</v>
      </c>
      <c r="C1659" s="48">
        <v>95123</v>
      </c>
      <c r="H1659" s="82"/>
      <c r="K1659" s="82"/>
      <c r="P1659" s="82"/>
    </row>
    <row r="1660" spans="1:16">
      <c r="A1660" s="226"/>
      <c r="B1660" s="131" t="s">
        <v>2662</v>
      </c>
      <c r="C1660" s="48">
        <v>99531</v>
      </c>
      <c r="H1660" s="82"/>
      <c r="K1660" s="82"/>
      <c r="P1660" s="82"/>
    </row>
    <row r="1661" spans="1:16">
      <c r="A1661" s="226"/>
      <c r="B1661" s="131" t="s">
        <v>2663</v>
      </c>
      <c r="C1661" s="48">
        <v>96671</v>
      </c>
      <c r="H1661" s="82"/>
      <c r="K1661" s="82"/>
      <c r="P1661" s="82"/>
    </row>
    <row r="1662" spans="1:16">
      <c r="A1662" s="226"/>
      <c r="B1662" s="131" t="s">
        <v>2664</v>
      </c>
      <c r="C1662" s="48">
        <v>91081</v>
      </c>
      <c r="H1662" s="82"/>
      <c r="K1662" s="82"/>
      <c r="P1662" s="82"/>
    </row>
    <row r="1663" spans="1:16">
      <c r="A1663" s="226"/>
      <c r="B1663" s="131" t="s">
        <v>818</v>
      </c>
      <c r="C1663" s="48">
        <v>91057</v>
      </c>
      <c r="H1663" s="82"/>
      <c r="K1663" s="82"/>
      <c r="P1663" s="82"/>
    </row>
    <row r="1664" spans="1:16">
      <c r="A1664" s="226"/>
      <c r="B1664" s="131" t="s">
        <v>2665</v>
      </c>
      <c r="C1664" s="48">
        <v>96461</v>
      </c>
      <c r="H1664" s="82"/>
      <c r="K1664" s="82"/>
      <c r="P1664" s="82"/>
    </row>
    <row r="1665" spans="1:16">
      <c r="A1665" s="226"/>
      <c r="B1665" s="131" t="s">
        <v>2007</v>
      </c>
      <c r="C1665" s="48">
        <v>92311</v>
      </c>
      <c r="H1665" s="82"/>
      <c r="K1665" s="82"/>
      <c r="P1665" s="82"/>
    </row>
    <row r="1666" spans="1:16">
      <c r="A1666" s="226"/>
      <c r="B1666" s="131" t="s">
        <v>932</v>
      </c>
      <c r="C1666" s="48">
        <v>92317</v>
      </c>
      <c r="H1666" s="82"/>
      <c r="K1666" s="82"/>
      <c r="P1666" s="82"/>
    </row>
    <row r="1667" spans="1:16">
      <c r="A1667" s="226"/>
      <c r="B1667" s="131" t="s">
        <v>1369</v>
      </c>
      <c r="C1667" s="48">
        <v>97405</v>
      </c>
      <c r="H1667" s="82"/>
      <c r="K1667" s="82"/>
      <c r="P1667" s="82"/>
    </row>
    <row r="1668" spans="1:16">
      <c r="A1668" s="226"/>
      <c r="B1668" s="131" t="s">
        <v>2666</v>
      </c>
      <c r="C1668" s="48">
        <v>91911</v>
      </c>
      <c r="H1668" s="82"/>
      <c r="K1668" s="82"/>
      <c r="P1668" s="82"/>
    </row>
    <row r="1669" spans="1:16">
      <c r="A1669" s="226"/>
      <c r="B1669" s="131" t="s">
        <v>916</v>
      </c>
      <c r="C1669" s="48">
        <v>91917</v>
      </c>
      <c r="H1669" s="82"/>
      <c r="K1669" s="82"/>
      <c r="P1669" s="82"/>
    </row>
    <row r="1670" spans="1:16">
      <c r="A1670" s="226"/>
      <c r="B1670" s="131" t="s">
        <v>2667</v>
      </c>
      <c r="C1670" s="226">
        <v>97481</v>
      </c>
      <c r="H1670" s="82"/>
      <c r="K1670" s="82"/>
      <c r="P1670" s="82"/>
    </row>
    <row r="1671" spans="1:16">
      <c r="A1671" s="226"/>
      <c r="B1671" s="131" t="s">
        <v>836</v>
      </c>
      <c r="C1671" s="51">
        <v>91138</v>
      </c>
      <c r="H1671" s="82"/>
      <c r="K1671" s="82"/>
      <c r="P1671" s="82"/>
    </row>
    <row r="1672" spans="1:16">
      <c r="A1672" s="226"/>
      <c r="B1672" s="131" t="s">
        <v>2668</v>
      </c>
      <c r="C1672" s="48">
        <v>95111</v>
      </c>
      <c r="H1672" s="82"/>
      <c r="K1672" s="82"/>
      <c r="P1672" s="82"/>
    </row>
    <row r="1673" spans="1:16">
      <c r="A1673" s="226"/>
      <c r="B1673" s="131" t="s">
        <v>1192</v>
      </c>
      <c r="C1673" s="48">
        <v>95113</v>
      </c>
      <c r="H1673" s="82"/>
      <c r="K1673" s="82"/>
      <c r="P1673" s="82"/>
    </row>
    <row r="1674" spans="1:16">
      <c r="A1674" s="226"/>
      <c r="B1674" s="131" t="s">
        <v>2669</v>
      </c>
      <c r="C1674" s="48">
        <v>94021</v>
      </c>
      <c r="H1674" s="82"/>
      <c r="K1674" s="82"/>
      <c r="P1674" s="82"/>
    </row>
    <row r="1675" spans="1:16">
      <c r="A1675" s="226"/>
      <c r="B1675" s="131" t="s">
        <v>791</v>
      </c>
      <c r="C1675" s="48">
        <v>90918</v>
      </c>
      <c r="H1675" s="82"/>
      <c r="K1675" s="82"/>
      <c r="P1675" s="82"/>
    </row>
    <row r="1676" spans="1:16">
      <c r="A1676" s="226"/>
      <c r="B1676" s="131" t="s">
        <v>1085</v>
      </c>
      <c r="C1676" s="226">
        <v>93910</v>
      </c>
      <c r="H1676" s="82"/>
      <c r="K1676" s="82"/>
      <c r="P1676" s="82"/>
    </row>
    <row r="1677" spans="1:16">
      <c r="A1677" s="226"/>
      <c r="B1677" s="131" t="s">
        <v>806</v>
      </c>
      <c r="C1677" s="48">
        <v>91013</v>
      </c>
      <c r="H1677" s="82"/>
      <c r="K1677" s="82"/>
      <c r="P1677" s="82"/>
    </row>
    <row r="1678" spans="1:16">
      <c r="A1678" s="226"/>
      <c r="B1678" s="131" t="s">
        <v>2670</v>
      </c>
      <c r="C1678" s="48">
        <v>96311</v>
      </c>
      <c r="H1678" s="82"/>
      <c r="K1678" s="82"/>
      <c r="P1678" s="82"/>
    </row>
    <row r="1679" spans="1:16">
      <c r="A1679" s="226"/>
      <c r="B1679" s="131" t="s">
        <v>2671</v>
      </c>
      <c r="C1679" s="48">
        <v>92841</v>
      </c>
      <c r="H1679" s="82"/>
      <c r="K1679" s="82"/>
      <c r="P1679" s="82"/>
    </row>
    <row r="1680" spans="1:16">
      <c r="A1680" s="226"/>
      <c r="B1680" s="131" t="s">
        <v>1582</v>
      </c>
      <c r="C1680" s="48">
        <v>99609</v>
      </c>
      <c r="H1680" s="82"/>
      <c r="K1680" s="82"/>
      <c r="P1680" s="82"/>
    </row>
    <row r="1681" spans="1:16">
      <c r="A1681" s="226"/>
      <c r="B1681" s="131" t="s">
        <v>2008</v>
      </c>
      <c r="C1681" s="48">
        <v>91011</v>
      </c>
      <c r="H1681" s="82"/>
      <c r="K1681" s="82"/>
      <c r="P1681" s="82"/>
    </row>
    <row r="1682" spans="1:16">
      <c r="A1682" s="226"/>
      <c r="B1682" s="131" t="s">
        <v>2009</v>
      </c>
      <c r="C1682" s="48">
        <v>91017</v>
      </c>
      <c r="H1682" s="82"/>
      <c r="K1682" s="82"/>
      <c r="P1682" s="82"/>
    </row>
    <row r="1683" spans="1:16">
      <c r="A1683" s="226"/>
      <c r="B1683" s="131" t="s">
        <v>1181</v>
      </c>
      <c r="C1683" s="226">
        <v>95008</v>
      </c>
      <c r="H1683" s="82"/>
      <c r="K1683" s="82"/>
      <c r="P1683" s="82"/>
    </row>
    <row r="1684" spans="1:16">
      <c r="A1684" s="226"/>
      <c r="B1684" s="131" t="s">
        <v>2672</v>
      </c>
      <c r="C1684" s="48">
        <v>72657</v>
      </c>
      <c r="H1684" s="82"/>
      <c r="K1684" s="82"/>
      <c r="P1684" s="82"/>
    </row>
    <row r="1685" spans="1:16">
      <c r="A1685" s="226"/>
      <c r="B1685" s="131" t="s">
        <v>2673</v>
      </c>
      <c r="C1685" s="48">
        <v>90307</v>
      </c>
      <c r="H1685" s="82"/>
      <c r="K1685" s="82"/>
      <c r="P1685" s="82"/>
    </row>
    <row r="1686" spans="1:16">
      <c r="A1686" s="226"/>
      <c r="B1686" s="131" t="s">
        <v>2674</v>
      </c>
      <c r="C1686" s="48">
        <v>98031</v>
      </c>
      <c r="H1686" s="82"/>
      <c r="K1686" s="82"/>
      <c r="P1686" s="82"/>
    </row>
    <row r="1687" spans="1:16">
      <c r="A1687" s="226"/>
      <c r="B1687" s="131" t="s">
        <v>2675</v>
      </c>
      <c r="C1687" s="48">
        <v>98121</v>
      </c>
      <c r="H1687" s="82"/>
      <c r="K1687" s="82"/>
      <c r="P1687" s="82"/>
    </row>
    <row r="1688" spans="1:16">
      <c r="A1688" s="226"/>
      <c r="B1688" s="131" t="s">
        <v>2676</v>
      </c>
      <c r="C1688" s="48">
        <v>96411</v>
      </c>
      <c r="H1688" s="82"/>
      <c r="K1688" s="82"/>
      <c r="P1688" s="82"/>
    </row>
    <row r="1689" spans="1:16">
      <c r="A1689" s="226"/>
      <c r="B1689" s="131" t="s">
        <v>2677</v>
      </c>
      <c r="C1689" s="226">
        <v>92661</v>
      </c>
      <c r="H1689" s="82"/>
      <c r="K1689" s="82"/>
      <c r="P1689" s="82"/>
    </row>
    <row r="1690" spans="1:16">
      <c r="A1690" s="226"/>
      <c r="B1690" s="131" t="s">
        <v>2678</v>
      </c>
      <c r="C1690" s="48">
        <v>96111</v>
      </c>
      <c r="H1690" s="82"/>
      <c r="K1690" s="82"/>
      <c r="P1690" s="82"/>
    </row>
    <row r="1691" spans="1:16">
      <c r="A1691" s="226"/>
      <c r="B1691" s="131" t="s">
        <v>2681</v>
      </c>
      <c r="C1691" s="48">
        <v>96061</v>
      </c>
      <c r="H1691" s="82"/>
      <c r="K1691" s="82"/>
      <c r="P1691" s="82"/>
    </row>
    <row r="1692" spans="1:16">
      <c r="A1692" s="226"/>
      <c r="B1692" s="131" t="s">
        <v>2682</v>
      </c>
      <c r="C1692" s="48">
        <v>98481</v>
      </c>
      <c r="H1692" s="82"/>
      <c r="K1692" s="82"/>
      <c r="P1692" s="82"/>
    </row>
    <row r="1693" spans="1:16">
      <c r="A1693" s="226"/>
      <c r="B1693" s="131" t="s">
        <v>2683</v>
      </c>
      <c r="C1693" s="48">
        <v>93602</v>
      </c>
      <c r="H1693" s="82"/>
      <c r="K1693" s="82"/>
      <c r="P1693" s="82"/>
    </row>
    <row r="1694" spans="1:16">
      <c r="A1694" s="226"/>
      <c r="B1694" s="131" t="s">
        <v>1484</v>
      </c>
      <c r="C1694" s="48">
        <v>98401</v>
      </c>
      <c r="H1694" s="82"/>
      <c r="K1694" s="82"/>
      <c r="P1694" s="82"/>
    </row>
    <row r="1695" spans="1:16">
      <c r="A1695" s="226"/>
      <c r="B1695" s="131" t="s">
        <v>2684</v>
      </c>
      <c r="C1695" s="51">
        <v>99821</v>
      </c>
      <c r="H1695" s="82"/>
      <c r="K1695" s="82"/>
      <c r="P1695" s="82"/>
    </row>
    <row r="1696" spans="1:16">
      <c r="A1696" s="226"/>
      <c r="B1696" s="131" t="s">
        <v>2685</v>
      </c>
      <c r="C1696" s="226">
        <v>96211</v>
      </c>
      <c r="H1696" s="82"/>
      <c r="K1696" s="82"/>
      <c r="P1696" s="82"/>
    </row>
    <row r="1697" spans="1:16">
      <c r="A1697" s="226"/>
      <c r="B1697" s="131" t="s">
        <v>2010</v>
      </c>
      <c r="C1697" s="48">
        <v>94911</v>
      </c>
      <c r="H1697" s="82"/>
      <c r="K1697" s="82"/>
      <c r="P1697" s="82"/>
    </row>
    <row r="1698" spans="1:16">
      <c r="A1698" s="226"/>
      <c r="B1698" s="131" t="s">
        <v>1172</v>
      </c>
      <c r="C1698" s="48">
        <v>94917</v>
      </c>
      <c r="H1698" s="82"/>
      <c r="K1698" s="82"/>
      <c r="P1698" s="82"/>
    </row>
    <row r="1699" spans="1:16">
      <c r="A1699" s="226"/>
      <c r="B1699" s="131" t="s">
        <v>2686</v>
      </c>
      <c r="C1699" s="226">
        <v>92621</v>
      </c>
      <c r="H1699" s="82"/>
      <c r="K1699" s="82"/>
      <c r="P1699" s="82"/>
    </row>
    <row r="1700" spans="1:16">
      <c r="A1700" s="226"/>
      <c r="B1700" s="131" t="s">
        <v>1495</v>
      </c>
      <c r="C1700" s="48">
        <v>98501</v>
      </c>
      <c r="H1700" s="82"/>
      <c r="K1700" s="82"/>
      <c r="P1700" s="82"/>
    </row>
    <row r="1701" spans="1:16">
      <c r="A1701" s="226"/>
      <c r="B1701" s="131" t="s">
        <v>2687</v>
      </c>
      <c r="C1701" s="48">
        <v>97931</v>
      </c>
      <c r="H1701" s="82"/>
      <c r="K1701" s="82"/>
      <c r="P1701" s="82"/>
    </row>
    <row r="1702" spans="1:16">
      <c r="A1702" s="226"/>
      <c r="B1702" s="131" t="s">
        <v>2688</v>
      </c>
      <c r="C1702" s="48">
        <v>93914</v>
      </c>
      <c r="H1702" s="82"/>
      <c r="K1702" s="82"/>
      <c r="P1702" s="82"/>
    </row>
    <row r="1703" spans="1:16">
      <c r="A1703" s="226"/>
      <c r="B1703" s="131" t="s">
        <v>2689</v>
      </c>
      <c r="C1703" s="48">
        <v>90651</v>
      </c>
      <c r="H1703" s="82"/>
      <c r="K1703" s="82"/>
      <c r="P1703" s="82"/>
    </row>
    <row r="1704" spans="1:16">
      <c r="A1704" s="226"/>
      <c r="B1704" s="131" t="s">
        <v>2690</v>
      </c>
      <c r="C1704" s="48">
        <v>94171</v>
      </c>
      <c r="H1704" s="82"/>
      <c r="K1704" s="82"/>
      <c r="P1704" s="82"/>
    </row>
    <row r="1705" spans="1:16">
      <c r="A1705" s="226"/>
      <c r="B1705" s="131" t="s">
        <v>1114</v>
      </c>
      <c r="C1705" s="48">
        <v>94172</v>
      </c>
      <c r="H1705" s="82"/>
      <c r="K1705" s="82"/>
      <c r="P1705" s="82"/>
    </row>
    <row r="1706" spans="1:16">
      <c r="A1706" s="226"/>
      <c r="B1706" s="131" t="s">
        <v>2691</v>
      </c>
      <c r="C1706" s="226">
        <v>91041</v>
      </c>
      <c r="H1706" s="82"/>
      <c r="K1706" s="82"/>
      <c r="P1706" s="82"/>
    </row>
    <row r="1707" spans="1:16">
      <c r="A1707" s="226"/>
      <c r="B1707" s="131" t="s">
        <v>2692</v>
      </c>
      <c r="C1707" s="48">
        <v>91047</v>
      </c>
      <c r="H1707" s="82"/>
      <c r="K1707" s="82"/>
      <c r="P1707" s="82"/>
    </row>
    <row r="1708" spans="1:16">
      <c r="A1708" s="226"/>
      <c r="B1708" s="131" t="s">
        <v>2693</v>
      </c>
      <c r="C1708" s="48">
        <v>97131</v>
      </c>
      <c r="H1708" s="82"/>
      <c r="K1708" s="82"/>
      <c r="P1708" s="82"/>
    </row>
    <row r="1709" spans="1:16">
      <c r="A1709" s="226"/>
      <c r="B1709" s="131" t="s">
        <v>1499</v>
      </c>
      <c r="C1709" s="48">
        <v>98601</v>
      </c>
      <c r="H1709" s="82"/>
      <c r="K1709" s="82"/>
      <c r="P1709" s="82"/>
    </row>
    <row r="1710" spans="1:16">
      <c r="A1710" s="226"/>
      <c r="B1710" s="131" t="s">
        <v>1509</v>
      </c>
      <c r="C1710" s="48">
        <v>98701</v>
      </c>
      <c r="H1710" s="82"/>
      <c r="K1710" s="82"/>
      <c r="P1710" s="82"/>
    </row>
    <row r="1711" spans="1:16">
      <c r="A1711" s="226"/>
      <c r="B1711" s="131" t="s">
        <v>2694</v>
      </c>
      <c r="C1711" s="48">
        <v>96721</v>
      </c>
      <c r="H1711" s="82"/>
      <c r="K1711" s="82"/>
      <c r="P1711" s="82"/>
    </row>
    <row r="1712" spans="1:16">
      <c r="A1712" s="226"/>
      <c r="B1712" s="131" t="s">
        <v>2695</v>
      </c>
      <c r="C1712" s="48">
        <v>95011</v>
      </c>
      <c r="H1712" s="82"/>
      <c r="K1712" s="82"/>
      <c r="P1712" s="82"/>
    </row>
    <row r="1713" spans="1:16">
      <c r="A1713" s="226"/>
      <c r="B1713" s="131" t="s">
        <v>2696</v>
      </c>
      <c r="C1713" s="48">
        <v>92451</v>
      </c>
      <c r="H1713" s="82"/>
      <c r="K1713" s="82"/>
      <c r="P1713" s="82"/>
    </row>
    <row r="1714" spans="1:16">
      <c r="A1714" s="226"/>
      <c r="B1714" s="131" t="s">
        <v>2697</v>
      </c>
      <c r="C1714" s="48">
        <v>93311</v>
      </c>
      <c r="H1714" s="82"/>
      <c r="K1714" s="82"/>
      <c r="P1714" s="82"/>
    </row>
    <row r="1715" spans="1:16">
      <c r="A1715" s="226"/>
      <c r="B1715" s="131" t="s">
        <v>1029</v>
      </c>
      <c r="C1715" s="48">
        <v>93317</v>
      </c>
      <c r="H1715" s="82"/>
      <c r="K1715" s="82"/>
      <c r="P1715" s="82"/>
    </row>
    <row r="1716" spans="1:16">
      <c r="A1716" s="226"/>
      <c r="B1716" s="131" t="s">
        <v>2698</v>
      </c>
      <c r="C1716" s="48">
        <v>90211</v>
      </c>
      <c r="H1716" s="82"/>
      <c r="K1716" s="82"/>
      <c r="P1716" s="82"/>
    </row>
    <row r="1717" spans="1:16">
      <c r="A1717" s="226"/>
      <c r="B1717" s="131" t="s">
        <v>2699</v>
      </c>
      <c r="C1717" s="48">
        <v>96302</v>
      </c>
      <c r="H1717" s="82"/>
      <c r="K1717" s="82"/>
      <c r="P1717" s="82"/>
    </row>
    <row r="1718" spans="1:16">
      <c r="A1718" s="226"/>
      <c r="B1718" s="131" t="s">
        <v>2700</v>
      </c>
      <c r="C1718" s="48">
        <v>93181</v>
      </c>
      <c r="H1718" s="82"/>
      <c r="K1718" s="82"/>
      <c r="P1718" s="82"/>
    </row>
    <row r="1719" spans="1:16">
      <c r="A1719" s="226"/>
      <c r="B1719" s="131" t="s">
        <v>2011</v>
      </c>
      <c r="C1719" s="48">
        <v>92911</v>
      </c>
      <c r="H1719" s="82"/>
      <c r="K1719" s="82"/>
      <c r="P1719" s="82"/>
    </row>
    <row r="1720" spans="1:16">
      <c r="A1720" s="226"/>
      <c r="B1720" s="131" t="s">
        <v>993</v>
      </c>
      <c r="C1720" s="48">
        <v>92914</v>
      </c>
      <c r="H1720" s="82"/>
      <c r="K1720" s="82"/>
      <c r="P1720" s="82"/>
    </row>
    <row r="1721" spans="1:16">
      <c r="A1721" s="226"/>
      <c r="B1721" s="131" t="s">
        <v>992</v>
      </c>
      <c r="C1721" s="48">
        <v>92913</v>
      </c>
      <c r="H1721" s="82"/>
      <c r="K1721" s="82"/>
      <c r="P1721" s="82"/>
    </row>
    <row r="1722" spans="1:16">
      <c r="A1722" s="226"/>
      <c r="B1722" s="131" t="s">
        <v>2701</v>
      </c>
      <c r="C1722" s="48">
        <v>93471</v>
      </c>
      <c r="H1722" s="82"/>
      <c r="K1722" s="82"/>
      <c r="P1722" s="82"/>
    </row>
    <row r="1723" spans="1:16">
      <c r="A1723" s="226"/>
      <c r="B1723" s="131" t="s">
        <v>732</v>
      </c>
      <c r="C1723" s="48">
        <v>90098</v>
      </c>
      <c r="H1723" s="82"/>
      <c r="K1723" s="82"/>
      <c r="P1723" s="82"/>
    </row>
    <row r="1724" spans="1:16">
      <c r="A1724" s="226"/>
      <c r="B1724" s="131" t="s">
        <v>2702</v>
      </c>
      <c r="C1724" s="48">
        <v>97121</v>
      </c>
      <c r="H1724" s="82"/>
      <c r="K1724" s="82"/>
      <c r="P1724" s="82"/>
    </row>
    <row r="1725" spans="1:16">
      <c r="A1725" s="226"/>
      <c r="B1725" s="131" t="s">
        <v>1512</v>
      </c>
      <c r="C1725" s="48">
        <v>98801</v>
      </c>
      <c r="H1725" s="82"/>
      <c r="K1725" s="82"/>
      <c r="P1725" s="82"/>
    </row>
    <row r="1726" spans="1:16">
      <c r="A1726" s="226"/>
      <c r="B1726" s="131" t="s">
        <v>2703</v>
      </c>
      <c r="C1726" s="48">
        <v>92521</v>
      </c>
      <c r="H1726" s="82"/>
      <c r="K1726" s="82"/>
      <c r="P1726" s="82"/>
    </row>
    <row r="1727" spans="1:16">
      <c r="A1727" s="226"/>
      <c r="B1727" s="131" t="s">
        <v>1042</v>
      </c>
      <c r="C1727" s="48">
        <v>93417</v>
      </c>
      <c r="H1727" s="82"/>
      <c r="K1727" s="82"/>
      <c r="P1727" s="82"/>
    </row>
    <row r="1728" spans="1:16">
      <c r="A1728" s="226"/>
      <c r="B1728" s="131" t="s">
        <v>1023</v>
      </c>
      <c r="C1728" s="48">
        <v>93219</v>
      </c>
      <c r="H1728" s="82"/>
      <c r="K1728" s="82"/>
      <c r="P1728" s="82"/>
    </row>
    <row r="1729" spans="1:16">
      <c r="A1729" s="226"/>
      <c r="B1729" s="131" t="s">
        <v>957</v>
      </c>
      <c r="C1729" s="48">
        <v>92513</v>
      </c>
      <c r="H1729" s="82"/>
      <c r="K1729" s="82"/>
      <c r="P1729" s="82"/>
    </row>
    <row r="1730" spans="1:16">
      <c r="A1730" s="226"/>
      <c r="B1730" s="131" t="s">
        <v>2012</v>
      </c>
      <c r="C1730" s="48">
        <v>97661</v>
      </c>
      <c r="H1730" s="82"/>
      <c r="K1730" s="82"/>
      <c r="P1730" s="82"/>
    </row>
    <row r="1731" spans="1:16">
      <c r="A1731" s="226"/>
      <c r="B1731" s="131" t="s">
        <v>2704</v>
      </c>
      <c r="C1731" s="48">
        <v>94931</v>
      </c>
      <c r="H1731" s="82"/>
      <c r="K1731" s="82"/>
      <c r="P1731" s="82"/>
    </row>
    <row r="1732" spans="1:16">
      <c r="A1732" s="226"/>
      <c r="B1732" s="255" t="s">
        <v>2705</v>
      </c>
      <c r="C1732" s="48">
        <v>94937</v>
      </c>
      <c r="H1732" s="82"/>
      <c r="K1732" s="82"/>
      <c r="P1732" s="82"/>
    </row>
    <row r="1733" spans="1:16">
      <c r="A1733" s="226"/>
      <c r="B1733" s="131" t="s">
        <v>2706</v>
      </c>
      <c r="C1733" s="48">
        <v>96221</v>
      </c>
      <c r="H1733" s="82"/>
      <c r="K1733" s="82"/>
      <c r="P1733" s="82"/>
    </row>
    <row r="1734" spans="1:16">
      <c r="A1734" s="226"/>
      <c r="B1734" s="131" t="s">
        <v>2707</v>
      </c>
      <c r="C1734" s="48">
        <v>97511</v>
      </c>
      <c r="H1734" s="82"/>
      <c r="K1734" s="82"/>
      <c r="P1734" s="82"/>
    </row>
    <row r="1735" spans="1:16">
      <c r="A1735" s="226"/>
      <c r="B1735" s="131" t="s">
        <v>1179</v>
      </c>
      <c r="C1735" s="48">
        <v>95002</v>
      </c>
      <c r="H1735" s="82"/>
      <c r="K1735" s="82"/>
      <c r="P1735" s="82"/>
    </row>
    <row r="1736" spans="1:16">
      <c r="A1736" s="226"/>
      <c r="B1736" s="131" t="s">
        <v>2708</v>
      </c>
      <c r="C1736" s="48">
        <v>98251</v>
      </c>
      <c r="H1736" s="82"/>
      <c r="K1736" s="82"/>
      <c r="P1736" s="82"/>
    </row>
    <row r="1737" spans="1:16">
      <c r="A1737" s="226"/>
      <c r="B1737" s="131" t="s">
        <v>1515</v>
      </c>
      <c r="C1737" s="48">
        <v>98901</v>
      </c>
      <c r="H1737" s="82"/>
      <c r="K1737" s="82"/>
      <c r="P1737" s="82"/>
    </row>
    <row r="1738" spans="1:16">
      <c r="A1738" s="226"/>
      <c r="B1738" s="131" t="s">
        <v>2783</v>
      </c>
      <c r="C1738" s="48">
        <v>98904</v>
      </c>
      <c r="H1738" s="82"/>
      <c r="K1738" s="82"/>
      <c r="P1738" s="82"/>
    </row>
    <row r="1739" spans="1:16">
      <c r="A1739" s="226"/>
      <c r="B1739" s="131" t="s">
        <v>1518</v>
      </c>
      <c r="C1739" s="48">
        <v>99001</v>
      </c>
      <c r="H1739" s="82"/>
      <c r="K1739" s="82"/>
      <c r="P1739" s="82"/>
    </row>
    <row r="1740" spans="1:16">
      <c r="A1740" s="226"/>
      <c r="B1740" s="131" t="s">
        <v>2746</v>
      </c>
      <c r="C1740" s="48">
        <v>99061</v>
      </c>
      <c r="H1740" s="82"/>
      <c r="K1740" s="82"/>
      <c r="P1740" s="82"/>
    </row>
    <row r="1741" spans="1:16">
      <c r="A1741" s="226"/>
      <c r="B1741" s="131" t="s">
        <v>1027</v>
      </c>
      <c r="C1741" s="48">
        <v>93309</v>
      </c>
      <c r="H1741" s="82"/>
      <c r="K1741" s="82"/>
      <c r="P1741" s="82"/>
    </row>
    <row r="1742" spans="1:16">
      <c r="A1742" s="226"/>
      <c r="B1742" s="131" t="s">
        <v>2709</v>
      </c>
      <c r="C1742" s="48">
        <v>91211</v>
      </c>
      <c r="H1742" s="82"/>
      <c r="K1742" s="82"/>
      <c r="P1742" s="82"/>
    </row>
    <row r="1743" spans="1:16">
      <c r="A1743" s="226"/>
      <c r="B1743" s="251" t="s">
        <v>1928</v>
      </c>
      <c r="C1743" s="48">
        <v>94947</v>
      </c>
      <c r="H1743" s="82"/>
      <c r="K1743" s="82"/>
      <c r="P1743" s="82"/>
    </row>
    <row r="1744" spans="1:16">
      <c r="A1744" s="226"/>
      <c r="B1744" s="131" t="s">
        <v>849</v>
      </c>
      <c r="C1744" s="48">
        <v>91213</v>
      </c>
      <c r="H1744" s="82"/>
      <c r="K1744" s="82"/>
      <c r="P1744" s="82"/>
    </row>
    <row r="1745" spans="1:16">
      <c r="A1745" s="226"/>
      <c r="B1745" s="131" t="s">
        <v>1532</v>
      </c>
      <c r="C1745" s="48">
        <v>99101</v>
      </c>
      <c r="H1745" s="82"/>
      <c r="K1745" s="82"/>
      <c r="P1745" s="82"/>
    </row>
    <row r="1746" spans="1:16">
      <c r="A1746" s="226"/>
      <c r="B1746" s="131" t="s">
        <v>2782</v>
      </c>
      <c r="C1746" s="48">
        <v>99104</v>
      </c>
      <c r="H1746" s="82"/>
      <c r="K1746" s="82"/>
      <c r="P1746" s="82"/>
    </row>
    <row r="1747" spans="1:16">
      <c r="A1747" s="226"/>
      <c r="B1747" s="131" t="s">
        <v>2710</v>
      </c>
      <c r="C1747" s="48">
        <v>92551</v>
      </c>
      <c r="H1747" s="82"/>
      <c r="K1747" s="82"/>
      <c r="P1747" s="82"/>
    </row>
    <row r="1748" spans="1:16">
      <c r="A1748" s="226"/>
      <c r="B1748" s="131" t="s">
        <v>2711</v>
      </c>
      <c r="C1748" s="48">
        <v>96321</v>
      </c>
      <c r="H1748" s="82"/>
      <c r="K1748" s="82"/>
      <c r="P1748" s="82"/>
    </row>
    <row r="1749" spans="1:16">
      <c r="A1749" s="226"/>
      <c r="B1749" s="131" t="s">
        <v>1182</v>
      </c>
      <c r="C1749" s="48">
        <v>95009</v>
      </c>
      <c r="H1749" s="82"/>
      <c r="K1749" s="82"/>
      <c r="P1749" s="82"/>
    </row>
    <row r="1750" spans="1:16">
      <c r="A1750" s="226"/>
      <c r="B1750" s="131" t="s">
        <v>2712</v>
      </c>
      <c r="C1750" s="48">
        <v>92641</v>
      </c>
      <c r="H1750" s="82"/>
      <c r="K1750" s="82"/>
      <c r="P1750" s="82"/>
    </row>
    <row r="1751" spans="1:16">
      <c r="A1751" s="226"/>
      <c r="B1751" s="131" t="s">
        <v>2713</v>
      </c>
      <c r="C1751" s="226">
        <v>90411</v>
      </c>
      <c r="H1751" s="82"/>
      <c r="K1751" s="82"/>
      <c r="P1751" s="82"/>
    </row>
    <row r="1752" spans="1:16">
      <c r="A1752" s="226"/>
      <c r="B1752" s="131" t="s">
        <v>754</v>
      </c>
      <c r="C1752" s="48">
        <v>90417</v>
      </c>
      <c r="H1752" s="82"/>
      <c r="K1752" s="82"/>
      <c r="P1752" s="82"/>
    </row>
    <row r="1753" spans="1:16">
      <c r="A1753" s="226"/>
      <c r="B1753" s="131" t="s">
        <v>753</v>
      </c>
      <c r="C1753" s="48">
        <v>90413</v>
      </c>
      <c r="H1753" s="82"/>
      <c r="K1753" s="82"/>
      <c r="P1753" s="82"/>
    </row>
    <row r="1754" spans="1:16">
      <c r="A1754" s="226"/>
      <c r="B1754" s="131" t="s">
        <v>2714</v>
      </c>
      <c r="C1754" s="48">
        <v>98321</v>
      </c>
      <c r="H1754" s="82"/>
      <c r="K1754" s="82"/>
      <c r="P1754" s="82"/>
    </row>
    <row r="1755" spans="1:16">
      <c r="A1755" s="226"/>
      <c r="B1755" s="131" t="s">
        <v>1537</v>
      </c>
      <c r="C1755" s="51">
        <v>99201</v>
      </c>
      <c r="H1755" s="82"/>
      <c r="K1755" s="82"/>
      <c r="P1755" s="82"/>
    </row>
    <row r="1756" spans="1:16">
      <c r="A1756" s="226"/>
      <c r="B1756" s="131" t="s">
        <v>1540</v>
      </c>
      <c r="C1756" s="48">
        <v>99204</v>
      </c>
      <c r="H1756" s="82"/>
      <c r="K1756" s="82"/>
      <c r="P1756" s="82"/>
    </row>
    <row r="1757" spans="1:16">
      <c r="A1757" s="226"/>
      <c r="B1757" s="131" t="s">
        <v>1542</v>
      </c>
      <c r="C1757" s="48">
        <v>99207</v>
      </c>
      <c r="H1757" s="82"/>
      <c r="K1757" s="82"/>
      <c r="P1757" s="82"/>
    </row>
    <row r="1758" spans="1:16">
      <c r="A1758" s="226"/>
      <c r="B1758" s="131" t="s">
        <v>2715</v>
      </c>
      <c r="C1758" s="226">
        <v>99281</v>
      </c>
      <c r="H1758" s="82"/>
      <c r="K1758" s="82"/>
      <c r="P1758" s="82"/>
    </row>
    <row r="1759" spans="1:16">
      <c r="A1759" s="226"/>
      <c r="B1759" s="131" t="s">
        <v>2716</v>
      </c>
      <c r="C1759" s="48">
        <v>93461</v>
      </c>
      <c r="H1759" s="82"/>
      <c r="K1759" s="82"/>
      <c r="P1759" s="82"/>
    </row>
    <row r="1760" spans="1:16">
      <c r="A1760" s="226"/>
      <c r="B1760" s="131" t="s">
        <v>2717</v>
      </c>
      <c r="C1760" s="48">
        <v>93151</v>
      </c>
      <c r="H1760" s="82"/>
      <c r="K1760" s="82"/>
      <c r="P1760" s="82"/>
    </row>
    <row r="1761" spans="1:16">
      <c r="A1761" s="226"/>
      <c r="B1761" s="131" t="s">
        <v>1012</v>
      </c>
      <c r="C1761" s="48">
        <v>93157</v>
      </c>
      <c r="H1761" s="82"/>
      <c r="K1761" s="82"/>
      <c r="P1761" s="82"/>
    </row>
    <row r="1762" spans="1:16">
      <c r="A1762" s="226"/>
      <c r="B1762" s="131" t="s">
        <v>2718</v>
      </c>
      <c r="C1762" s="48">
        <v>98511</v>
      </c>
      <c r="H1762" s="82"/>
      <c r="K1762" s="82"/>
      <c r="P1762" s="82"/>
    </row>
    <row r="1763" spans="1:16">
      <c r="A1763" s="226"/>
      <c r="B1763" s="131" t="s">
        <v>1497</v>
      </c>
      <c r="C1763" s="48">
        <v>98517</v>
      </c>
      <c r="H1763" s="82"/>
      <c r="K1763" s="82"/>
      <c r="P1763" s="82"/>
    </row>
    <row r="1764" spans="1:16">
      <c r="A1764" s="226"/>
      <c r="B1764" s="131" t="s">
        <v>2719</v>
      </c>
      <c r="C1764" s="48">
        <v>99661</v>
      </c>
      <c r="H1764" s="82"/>
      <c r="K1764" s="82"/>
      <c r="P1764" s="82"/>
    </row>
    <row r="1765" spans="1:16">
      <c r="A1765" s="226"/>
      <c r="B1765" s="131" t="s">
        <v>2720</v>
      </c>
      <c r="C1765" s="226">
        <v>94031</v>
      </c>
      <c r="H1765" s="82"/>
      <c r="K1765" s="82"/>
      <c r="P1765" s="82"/>
    </row>
    <row r="1766" spans="1:16">
      <c r="A1766" s="226"/>
      <c r="B1766" s="131" t="s">
        <v>1559</v>
      </c>
      <c r="C1766" s="48">
        <v>99301</v>
      </c>
      <c r="H1766" s="82"/>
      <c r="K1766" s="82"/>
      <c r="P1766" s="82"/>
    </row>
    <row r="1767" spans="1:16">
      <c r="A1767" s="226"/>
      <c r="B1767" s="131" t="s">
        <v>1560</v>
      </c>
      <c r="C1767" s="48">
        <v>99304</v>
      </c>
      <c r="H1767" s="82"/>
      <c r="K1767" s="82"/>
      <c r="P1767" s="82"/>
    </row>
    <row r="1768" spans="1:16">
      <c r="A1768" s="226"/>
      <c r="B1768" s="131" t="s">
        <v>2721</v>
      </c>
      <c r="C1768" s="48">
        <v>99321</v>
      </c>
      <c r="H1768" s="82"/>
      <c r="K1768" s="82"/>
      <c r="P1768" s="82"/>
    </row>
    <row r="1769" spans="1:16">
      <c r="A1769" s="226"/>
      <c r="B1769" s="131" t="s">
        <v>2722</v>
      </c>
      <c r="C1769" s="48">
        <v>93131</v>
      </c>
      <c r="H1769" s="82"/>
      <c r="K1769" s="82"/>
      <c r="P1769" s="82"/>
    </row>
    <row r="1770" spans="1:16">
      <c r="A1770" s="226"/>
      <c r="B1770" s="131" t="s">
        <v>1009</v>
      </c>
      <c r="C1770" s="48">
        <v>93137</v>
      </c>
      <c r="H1770" s="82"/>
      <c r="K1770" s="82"/>
      <c r="P1770" s="82"/>
    </row>
    <row r="1771" spans="1:16">
      <c r="A1771" s="226"/>
      <c r="B1771" s="131" t="s">
        <v>2013</v>
      </c>
      <c r="C1771" s="48">
        <v>90711</v>
      </c>
      <c r="H1771" s="82"/>
      <c r="K1771" s="82"/>
      <c r="P1771" s="82"/>
    </row>
    <row r="1772" spans="1:16">
      <c r="A1772" s="226"/>
      <c r="B1772" s="131" t="s">
        <v>1563</v>
      </c>
      <c r="C1772" s="48">
        <v>99401</v>
      </c>
      <c r="H1772" s="82"/>
      <c r="K1772" s="82"/>
      <c r="P1772" s="82"/>
    </row>
    <row r="1773" spans="1:16">
      <c r="A1773" s="226"/>
      <c r="B1773" s="131" t="s">
        <v>1564</v>
      </c>
      <c r="C1773" s="48">
        <v>99404</v>
      </c>
      <c r="H1773" s="82"/>
      <c r="K1773" s="82"/>
      <c r="P1773" s="82"/>
    </row>
    <row r="1774" spans="1:16">
      <c r="A1774" s="226"/>
      <c r="B1774" s="131" t="s">
        <v>2723</v>
      </c>
      <c r="C1774" s="48">
        <v>90741</v>
      </c>
      <c r="H1774" s="82"/>
      <c r="K1774" s="82"/>
      <c r="P1774" s="82"/>
    </row>
    <row r="1775" spans="1:16">
      <c r="A1775" s="226"/>
      <c r="B1775" s="131" t="s">
        <v>1570</v>
      </c>
      <c r="C1775" s="48">
        <v>99501</v>
      </c>
      <c r="H1775" s="82"/>
      <c r="K1775" s="82"/>
      <c r="P1775" s="82"/>
    </row>
    <row r="1776" spans="1:16">
      <c r="A1776" s="226"/>
      <c r="B1776" s="131" t="s">
        <v>1573</v>
      </c>
      <c r="C1776" s="48">
        <v>99509</v>
      </c>
      <c r="H1776" s="82"/>
      <c r="K1776" s="82"/>
      <c r="P1776" s="82"/>
    </row>
    <row r="1777" spans="1:16">
      <c r="A1777" s="226"/>
      <c r="B1777" s="131" t="s">
        <v>2781</v>
      </c>
      <c r="C1777" s="48">
        <v>91302</v>
      </c>
      <c r="H1777" s="82"/>
      <c r="K1777" s="82"/>
      <c r="P1777" s="82"/>
    </row>
    <row r="1778" spans="1:16">
      <c r="A1778" s="226"/>
      <c r="B1778" s="131" t="s">
        <v>2724</v>
      </c>
      <c r="C1778" s="48">
        <v>99041</v>
      </c>
      <c r="H1778" s="82"/>
      <c r="K1778" s="82"/>
      <c r="P1778" s="82"/>
    </row>
    <row r="1779" spans="1:16">
      <c r="A1779" s="226"/>
      <c r="B1779" s="131" t="s">
        <v>1526</v>
      </c>
      <c r="C1779" s="48">
        <v>99047</v>
      </c>
      <c r="H1779" s="82"/>
      <c r="K1779" s="82"/>
      <c r="P1779" s="82"/>
    </row>
    <row r="1780" spans="1:16">
      <c r="A1780" s="226"/>
      <c r="B1780" s="131" t="s">
        <v>1578</v>
      </c>
      <c r="C1780" s="48">
        <v>99601</v>
      </c>
      <c r="H1780" s="82"/>
      <c r="K1780" s="82"/>
      <c r="P1780" s="82"/>
    </row>
    <row r="1781" spans="1:16">
      <c r="A1781" s="226"/>
      <c r="B1781" s="131" t="s">
        <v>1581</v>
      </c>
      <c r="C1781" s="48">
        <v>99604</v>
      </c>
      <c r="H1781" s="82"/>
      <c r="K1781" s="82"/>
      <c r="P1781" s="82"/>
    </row>
    <row r="1782" spans="1:16">
      <c r="A1782" s="226"/>
      <c r="B1782" s="131" t="s">
        <v>2725</v>
      </c>
      <c r="C1782" s="48">
        <v>94411</v>
      </c>
      <c r="H1782" s="82"/>
      <c r="K1782" s="82"/>
      <c r="P1782" s="82"/>
    </row>
    <row r="1783" spans="1:16">
      <c r="A1783" s="226"/>
      <c r="B1783" s="131" t="s">
        <v>1139</v>
      </c>
      <c r="C1783" s="48">
        <v>94412</v>
      </c>
      <c r="H1783" s="82"/>
      <c r="K1783" s="82"/>
      <c r="P1783" s="82"/>
    </row>
    <row r="1784" spans="1:16">
      <c r="A1784" s="226"/>
      <c r="B1784" s="131" t="s">
        <v>2726</v>
      </c>
      <c r="C1784" s="48">
        <v>91141</v>
      </c>
      <c r="H1784" s="82"/>
      <c r="K1784" s="82"/>
      <c r="P1784" s="82"/>
    </row>
    <row r="1785" spans="1:16">
      <c r="A1785" s="226"/>
      <c r="B1785" s="131" t="s">
        <v>838</v>
      </c>
      <c r="C1785" s="48">
        <v>91147</v>
      </c>
      <c r="H1785" s="82"/>
      <c r="K1785" s="82"/>
      <c r="P1785" s="82"/>
    </row>
    <row r="1786" spans="1:16">
      <c r="A1786" s="226"/>
      <c r="B1786" s="131" t="s">
        <v>2727</v>
      </c>
      <c r="C1786" s="48">
        <v>99071</v>
      </c>
      <c r="H1786" s="82"/>
      <c r="K1786" s="82"/>
      <c r="P1786" s="82"/>
    </row>
    <row r="1787" spans="1:16">
      <c r="A1787" s="226"/>
      <c r="B1787" s="131" t="s">
        <v>2728</v>
      </c>
      <c r="C1787" s="48">
        <v>94231</v>
      </c>
      <c r="H1787" s="82"/>
      <c r="K1787" s="82"/>
      <c r="P1787" s="82"/>
    </row>
    <row r="1788" spans="1:16">
      <c r="A1788" s="226"/>
      <c r="B1788" s="131" t="s">
        <v>2729</v>
      </c>
      <c r="C1788" s="48">
        <v>99231</v>
      </c>
      <c r="H1788" s="82"/>
      <c r="K1788" s="82"/>
      <c r="P1788" s="82"/>
    </row>
    <row r="1789" spans="1:16">
      <c r="A1789" s="226"/>
      <c r="B1789" s="131" t="s">
        <v>2730</v>
      </c>
      <c r="C1789" s="48">
        <v>99091</v>
      </c>
      <c r="H1789" s="82"/>
      <c r="K1789" s="82"/>
      <c r="P1789" s="82"/>
    </row>
    <row r="1790" spans="1:16">
      <c r="A1790" s="226"/>
      <c r="B1790" s="131" t="s">
        <v>832</v>
      </c>
      <c r="C1790" s="226">
        <v>91120</v>
      </c>
      <c r="H1790" s="82"/>
      <c r="K1790" s="82"/>
      <c r="P1790" s="82"/>
    </row>
    <row r="1791" spans="1:16">
      <c r="A1791" s="226"/>
      <c r="B1791" s="131" t="s">
        <v>946</v>
      </c>
      <c r="C1791" s="48">
        <v>92444</v>
      </c>
      <c r="H1791" s="82"/>
      <c r="K1791" s="82"/>
      <c r="P1791" s="82"/>
    </row>
    <row r="1792" spans="1:16">
      <c r="A1792" s="226"/>
      <c r="B1792" s="131" t="s">
        <v>2731</v>
      </c>
      <c r="C1792" s="48">
        <v>90521</v>
      </c>
      <c r="H1792" s="82"/>
      <c r="K1792" s="82"/>
      <c r="P1792" s="82"/>
    </row>
    <row r="1793" spans="1:16">
      <c r="A1793" s="226"/>
      <c r="B1793" s="131" t="s">
        <v>34</v>
      </c>
      <c r="C1793" s="48">
        <v>90507</v>
      </c>
      <c r="H1793" s="82"/>
      <c r="K1793" s="82"/>
      <c r="P1793" s="82"/>
    </row>
    <row r="1794" spans="1:16">
      <c r="A1794" s="226"/>
      <c r="B1794" s="131" t="s">
        <v>965</v>
      </c>
      <c r="C1794" s="48">
        <v>92602</v>
      </c>
      <c r="H1794" s="82"/>
      <c r="K1794" s="82"/>
      <c r="P1794" s="82"/>
    </row>
    <row r="1795" spans="1:16">
      <c r="A1795" s="226"/>
      <c r="B1795" s="131" t="s">
        <v>882</v>
      </c>
      <c r="C1795" s="48">
        <v>91608</v>
      </c>
      <c r="H1795" s="82"/>
      <c r="K1795" s="82"/>
      <c r="P1795" s="82"/>
    </row>
    <row r="1796" spans="1:16">
      <c r="A1796" s="226"/>
      <c r="B1796" s="131" t="s">
        <v>48</v>
      </c>
      <c r="C1796" s="226">
        <v>91119</v>
      </c>
      <c r="H1796" s="82"/>
      <c r="K1796" s="82"/>
      <c r="P1796" s="82"/>
    </row>
    <row r="1797" spans="1:16">
      <c r="A1797" s="226"/>
      <c r="B1797" s="131" t="s">
        <v>828</v>
      </c>
      <c r="C1797" s="48">
        <v>91107</v>
      </c>
      <c r="H1797" s="82"/>
      <c r="K1797" s="82"/>
      <c r="P1797" s="82"/>
    </row>
    <row r="1798" spans="1:16">
      <c r="A1798" s="226"/>
      <c r="B1798" s="131" t="s">
        <v>2780</v>
      </c>
      <c r="C1798" s="48">
        <v>91818</v>
      </c>
      <c r="H1798" s="82"/>
      <c r="K1798" s="82"/>
      <c r="P1798" s="82"/>
    </row>
    <row r="1799" spans="1:16">
      <c r="A1799" s="226"/>
      <c r="B1799" s="131" t="s">
        <v>903</v>
      </c>
      <c r="C1799" s="48">
        <v>91819</v>
      </c>
      <c r="H1799" s="82"/>
      <c r="K1799" s="82"/>
      <c r="P1799" s="82"/>
    </row>
    <row r="1800" spans="1:16">
      <c r="A1800" s="226"/>
      <c r="B1800" s="131" t="s">
        <v>2732</v>
      </c>
      <c r="C1800" s="48">
        <v>96371</v>
      </c>
      <c r="H1800" s="82"/>
      <c r="K1800" s="82"/>
      <c r="P1800" s="82"/>
    </row>
    <row r="1801" spans="1:16">
      <c r="A1801" s="226"/>
      <c r="B1801" s="131" t="s">
        <v>2733</v>
      </c>
      <c r="C1801" s="48">
        <v>96441</v>
      </c>
      <c r="H1801" s="82"/>
      <c r="K1801" s="82"/>
      <c r="P1801" s="82"/>
    </row>
    <row r="1802" spans="1:16">
      <c r="A1802" s="226"/>
      <c r="B1802" s="131" t="s">
        <v>2734</v>
      </c>
      <c r="C1802" s="48">
        <v>90921</v>
      </c>
      <c r="H1802" s="82"/>
      <c r="K1802" s="82"/>
      <c r="P1802" s="82"/>
    </row>
    <row r="1803" spans="1:16">
      <c r="A1803" s="226"/>
      <c r="B1803" s="131" t="s">
        <v>2014</v>
      </c>
      <c r="C1803" s="48">
        <v>92411</v>
      </c>
      <c r="H1803" s="82"/>
      <c r="K1803" s="82"/>
      <c r="P1803" s="82"/>
    </row>
    <row r="1804" spans="1:16">
      <c r="A1804" s="226"/>
      <c r="B1804" s="131" t="s">
        <v>941</v>
      </c>
      <c r="C1804" s="48">
        <v>92417</v>
      </c>
      <c r="H1804" s="82"/>
      <c r="K1804" s="82"/>
      <c r="P1804" s="82"/>
    </row>
    <row r="1805" spans="1:16">
      <c r="A1805" s="226"/>
      <c r="B1805" s="131" t="s">
        <v>939</v>
      </c>
      <c r="C1805" s="48">
        <v>92403</v>
      </c>
      <c r="H1805" s="82"/>
      <c r="K1805" s="82"/>
      <c r="P1805" s="82"/>
    </row>
    <row r="1806" spans="1:16">
      <c r="A1806" s="226"/>
      <c r="B1806" s="131" t="s">
        <v>1591</v>
      </c>
      <c r="C1806" s="48">
        <v>99701</v>
      </c>
      <c r="H1806" s="82"/>
      <c r="K1806" s="82"/>
      <c r="P1806" s="82"/>
    </row>
    <row r="1807" spans="1:16">
      <c r="A1807" s="226"/>
      <c r="B1807" s="131" t="s">
        <v>2735</v>
      </c>
      <c r="C1807" s="48">
        <v>99721</v>
      </c>
      <c r="H1807" s="82"/>
      <c r="K1807" s="82"/>
      <c r="P1807" s="82"/>
    </row>
    <row r="1808" spans="1:16">
      <c r="A1808" s="226"/>
      <c r="B1808" s="131" t="s">
        <v>1596</v>
      </c>
      <c r="C1808" s="48">
        <v>99727</v>
      </c>
      <c r="H1808" s="82"/>
      <c r="K1808" s="82"/>
      <c r="P1808" s="82"/>
    </row>
    <row r="1809" spans="1:16">
      <c r="A1809" s="226"/>
      <c r="B1809" s="131" t="s">
        <v>2736</v>
      </c>
      <c r="C1809" s="48">
        <v>95811</v>
      </c>
      <c r="H1809" s="82"/>
      <c r="K1809" s="82"/>
      <c r="P1809" s="82"/>
    </row>
    <row r="1810" spans="1:16">
      <c r="A1810" s="226"/>
      <c r="B1810" s="131" t="s">
        <v>1238</v>
      </c>
      <c r="C1810" s="48">
        <v>95813</v>
      </c>
      <c r="H1810" s="82"/>
      <c r="K1810" s="82"/>
      <c r="P1810" s="82"/>
    </row>
    <row r="1811" spans="1:16">
      <c r="A1811" s="226"/>
      <c r="B1811" s="131" t="s">
        <v>2015</v>
      </c>
      <c r="C1811" s="48">
        <v>96531</v>
      </c>
      <c r="H1811" s="82"/>
      <c r="K1811" s="82"/>
      <c r="P1811" s="82"/>
    </row>
    <row r="1812" spans="1:16">
      <c r="A1812" s="226"/>
      <c r="B1812" s="131" t="s">
        <v>1303</v>
      </c>
      <c r="C1812" s="48">
        <v>96503</v>
      </c>
      <c r="H1812" s="82"/>
      <c r="K1812" s="82"/>
      <c r="P1812" s="82"/>
    </row>
    <row r="1813" spans="1:16">
      <c r="A1813" s="226"/>
      <c r="B1813" s="131" t="s">
        <v>2016</v>
      </c>
      <c r="C1813" s="48">
        <v>99811</v>
      </c>
      <c r="H1813" s="82"/>
      <c r="K1813" s="82"/>
      <c r="P1813" s="82"/>
    </row>
    <row r="1814" spans="1:16">
      <c r="A1814" s="226"/>
      <c r="B1814" s="131" t="s">
        <v>2017</v>
      </c>
      <c r="C1814" s="51">
        <v>99818</v>
      </c>
      <c r="H1814" s="82"/>
      <c r="K1814" s="82"/>
      <c r="P1814" s="82"/>
    </row>
    <row r="1815" spans="1:16">
      <c r="A1815" s="226"/>
      <c r="B1815" s="131" t="s">
        <v>1597</v>
      </c>
      <c r="C1815" s="48">
        <v>99801</v>
      </c>
      <c r="H1815" s="82"/>
      <c r="K1815" s="82"/>
      <c r="P1815" s="82"/>
    </row>
    <row r="1816" spans="1:16">
      <c r="A1816" s="226"/>
      <c r="B1816" s="131" t="s">
        <v>1599</v>
      </c>
      <c r="C1816" s="48">
        <v>99804</v>
      </c>
      <c r="H1816" s="82"/>
      <c r="K1816" s="82"/>
      <c r="P1816" s="82"/>
    </row>
    <row r="1817" spans="1:16">
      <c r="A1817" s="226"/>
      <c r="B1817" s="131" t="s">
        <v>2767</v>
      </c>
      <c r="C1817" s="48">
        <v>99802</v>
      </c>
      <c r="H1817" s="82"/>
      <c r="K1817" s="82"/>
      <c r="P1817" s="82"/>
    </row>
    <row r="1818" spans="1:16">
      <c r="A1818" s="226"/>
      <c r="B1818" s="131" t="s">
        <v>1601</v>
      </c>
      <c r="C1818" s="51">
        <v>99812</v>
      </c>
      <c r="H1818" s="82"/>
      <c r="K1818" s="82"/>
      <c r="P1818" s="82"/>
    </row>
    <row r="1819" spans="1:16">
      <c r="A1819" s="226"/>
      <c r="B1819" s="131" t="s">
        <v>2737</v>
      </c>
      <c r="C1819" s="48">
        <v>95191</v>
      </c>
      <c r="H1819" s="82"/>
      <c r="K1819" s="82"/>
      <c r="P1819" s="82"/>
    </row>
    <row r="1820" spans="1:16">
      <c r="A1820" s="226"/>
      <c r="B1820" s="131" t="s">
        <v>2738</v>
      </c>
      <c r="C1820" s="48">
        <v>90812</v>
      </c>
      <c r="H1820" s="82"/>
      <c r="K1820" s="82"/>
      <c r="P1820" s="82"/>
    </row>
    <row r="1821" spans="1:16">
      <c r="A1821" s="226"/>
      <c r="B1821" s="131" t="s">
        <v>2739</v>
      </c>
      <c r="C1821" s="48">
        <v>97221</v>
      </c>
      <c r="H1821" s="82"/>
      <c r="K1821" s="82"/>
      <c r="P1821" s="82"/>
    </row>
    <row r="1822" spans="1:16">
      <c r="A1822" s="226"/>
      <c r="B1822" s="131" t="s">
        <v>2740</v>
      </c>
      <c r="C1822" s="48">
        <v>99031</v>
      </c>
      <c r="H1822" s="82"/>
      <c r="K1822" s="82"/>
      <c r="P1822" s="82"/>
    </row>
    <row r="1823" spans="1:16">
      <c r="A1823" s="226"/>
      <c r="B1823" s="131" t="s">
        <v>2018</v>
      </c>
      <c r="C1823" s="48">
        <v>93411</v>
      </c>
      <c r="H1823" s="82"/>
      <c r="K1823" s="82"/>
      <c r="P1823" s="82"/>
    </row>
    <row r="1824" spans="1:16">
      <c r="A1824" s="226"/>
      <c r="B1824" s="131" t="s">
        <v>1041</v>
      </c>
      <c r="C1824" s="48">
        <v>93413</v>
      </c>
      <c r="H1824" s="82"/>
      <c r="K1824" s="82"/>
      <c r="P1824" s="82"/>
    </row>
    <row r="1825" spans="1:16">
      <c r="A1825" s="226"/>
      <c r="B1825" s="131" t="s">
        <v>2741</v>
      </c>
      <c r="C1825" s="48">
        <v>97451</v>
      </c>
      <c r="H1825" s="82"/>
      <c r="K1825" s="82"/>
      <c r="P1825" s="82"/>
    </row>
    <row r="1826" spans="1:16">
      <c r="A1826" s="226"/>
      <c r="B1826" s="131" t="s">
        <v>2742</v>
      </c>
      <c r="C1826" s="48">
        <v>94631</v>
      </c>
      <c r="H1826" s="82"/>
      <c r="K1826" s="82"/>
      <c r="P1826" s="82"/>
    </row>
    <row r="1827" spans="1:16">
      <c r="A1827" s="226"/>
      <c r="B1827" s="131" t="s">
        <v>2743</v>
      </c>
      <c r="C1827" s="226">
        <v>91171</v>
      </c>
      <c r="H1827" s="82"/>
      <c r="K1827" s="82"/>
      <c r="P1827" s="82"/>
    </row>
    <row r="1828" spans="1:16">
      <c r="A1828" s="226"/>
      <c r="B1828" s="131" t="s">
        <v>827</v>
      </c>
      <c r="C1828" s="226">
        <v>91104</v>
      </c>
      <c r="H1828" s="82"/>
      <c r="K1828" s="82"/>
      <c r="P1828" s="82"/>
    </row>
    <row r="1829" spans="1:16">
      <c r="A1829" s="226"/>
      <c r="B1829" s="131" t="s">
        <v>2779</v>
      </c>
      <c r="C1829" s="226">
        <v>91109</v>
      </c>
      <c r="H1829" s="82"/>
      <c r="K1829" s="82"/>
      <c r="P1829" s="82"/>
    </row>
    <row r="1830" spans="1:16">
      <c r="A1830" s="226"/>
      <c r="B1830" s="131" t="s">
        <v>2744</v>
      </c>
      <c r="C1830" s="226">
        <v>96621</v>
      </c>
      <c r="H1830" s="82"/>
      <c r="K1830" s="82"/>
      <c r="P1830" s="82"/>
    </row>
    <row r="1831" spans="1:16">
      <c r="A1831" s="226"/>
      <c r="B1831" s="131" t="s">
        <v>2492</v>
      </c>
      <c r="C1831" s="226">
        <v>96511</v>
      </c>
      <c r="H1831" s="82"/>
      <c r="K1831" s="82"/>
      <c r="P1831" s="82"/>
    </row>
    <row r="1832" spans="1:16">
      <c r="A1832" s="226"/>
      <c r="B1832" s="131" t="s">
        <v>1607</v>
      </c>
      <c r="C1832" s="51">
        <v>99901</v>
      </c>
      <c r="H1832" s="82"/>
      <c r="K1832" s="82"/>
      <c r="P1832" s="82"/>
    </row>
    <row r="1833" spans="1:16">
      <c r="A1833" s="226"/>
      <c r="B1833" s="131" t="s">
        <v>3515</v>
      </c>
      <c r="C1833" s="226">
        <v>98604</v>
      </c>
      <c r="H1833" s="82"/>
      <c r="K1833" s="82"/>
      <c r="P1833" s="82"/>
    </row>
    <row r="1834" spans="1:16">
      <c r="A1834" s="226"/>
      <c r="B1834" s="131" t="s">
        <v>1502</v>
      </c>
      <c r="C1834" s="226">
        <v>98608</v>
      </c>
      <c r="H1834" s="82"/>
      <c r="K1834" s="82"/>
      <c r="P1834" s="82"/>
    </row>
    <row r="1835" spans="1:16">
      <c r="A1835" s="226"/>
      <c r="B1835" s="131" t="s">
        <v>2491</v>
      </c>
      <c r="C1835" s="51">
        <v>99911</v>
      </c>
      <c r="H1835" s="82"/>
      <c r="K1835" s="82"/>
      <c r="P1835" s="82"/>
    </row>
    <row r="1836" spans="1:16">
      <c r="A1836" s="226"/>
      <c r="B1836" s="131" t="s">
        <v>727</v>
      </c>
      <c r="C1836" s="226">
        <v>90001</v>
      </c>
      <c r="H1836" s="82"/>
      <c r="K1836" s="82"/>
      <c r="P1836" s="82"/>
    </row>
    <row r="1837" spans="1:16">
      <c r="A1837" s="226"/>
      <c r="B1837" s="131" t="s">
        <v>2778</v>
      </c>
      <c r="C1837" s="226">
        <v>90002</v>
      </c>
      <c r="H1837" s="82"/>
      <c r="K1837" s="82"/>
      <c r="P1837" s="82"/>
    </row>
    <row r="1838" spans="1:16">
      <c r="A1838" s="226"/>
      <c r="B1838" s="131" t="s">
        <v>2490</v>
      </c>
      <c r="C1838" s="226">
        <v>91719</v>
      </c>
      <c r="H1838" s="82"/>
      <c r="K1838" s="82"/>
      <c r="P1838" s="82"/>
    </row>
    <row r="1839" spans="1:16">
      <c r="A1839" s="226"/>
      <c r="B1839" s="131" t="s">
        <v>2488</v>
      </c>
      <c r="C1839" s="226">
        <v>93541</v>
      </c>
      <c r="H1839" s="82"/>
      <c r="K1839" s="82"/>
      <c r="P1839" s="82"/>
    </row>
    <row r="1840" spans="1:16">
      <c r="A1840" s="226"/>
      <c r="B1840" s="131" t="s">
        <v>2489</v>
      </c>
      <c r="C1840" s="226">
        <v>99241</v>
      </c>
      <c r="H1840" s="82"/>
      <c r="K1840" s="82"/>
      <c r="P1840" s="82"/>
    </row>
    <row r="1841" spans="1:16">
      <c r="A1841" s="226"/>
      <c r="B1841" s="252"/>
      <c r="H1841" s="82"/>
      <c r="K1841" s="82"/>
      <c r="P1841" s="82"/>
    </row>
    <row r="1842" spans="1:16">
      <c r="B1842" s="252"/>
      <c r="H1842" s="82"/>
      <c r="K1842" s="82"/>
      <c r="P1842" s="82"/>
    </row>
    <row r="1843" spans="1:16">
      <c r="B1843" s="252"/>
      <c r="H1843" s="82"/>
      <c r="K1843" s="82"/>
      <c r="P1843" s="82"/>
    </row>
    <row r="1844" spans="1:16">
      <c r="B1844" s="252"/>
      <c r="H1844" s="82"/>
      <c r="K1844" s="82"/>
      <c r="P1844" s="82"/>
    </row>
    <row r="1845" spans="1:16">
      <c r="B1845" s="252"/>
      <c r="H1845" s="82"/>
      <c r="K1845" s="82"/>
      <c r="P1845" s="82"/>
    </row>
    <row r="1846" spans="1:16">
      <c r="B1846" s="252"/>
      <c r="H1846" s="82"/>
      <c r="K1846" s="82"/>
      <c r="P1846" s="82"/>
    </row>
    <row r="1847" spans="1:16">
      <c r="B1847" s="252"/>
      <c r="H1847" s="82"/>
      <c r="K1847" s="82"/>
      <c r="P1847" s="82"/>
    </row>
    <row r="1848" spans="1:16">
      <c r="B1848" s="252"/>
      <c r="H1848" s="82"/>
      <c r="K1848" s="82"/>
      <c r="P1848" s="82"/>
    </row>
    <row r="1849" spans="1:16">
      <c r="B1849" s="252"/>
      <c r="H1849" s="82"/>
      <c r="K1849" s="82"/>
      <c r="P1849" s="82"/>
    </row>
    <row r="1850" spans="1:16">
      <c r="B1850" s="252"/>
      <c r="H1850" s="82"/>
      <c r="K1850" s="82"/>
      <c r="P1850" s="82"/>
    </row>
    <row r="1851" spans="1:16">
      <c r="B1851" s="252"/>
      <c r="H1851" s="82"/>
      <c r="K1851" s="82"/>
      <c r="P1851" s="82"/>
    </row>
    <row r="1852" spans="1:16">
      <c r="B1852" s="252"/>
      <c r="H1852" s="82"/>
      <c r="K1852" s="82"/>
      <c r="P1852" s="82"/>
    </row>
    <row r="1853" spans="1:16">
      <c r="B1853" s="252"/>
      <c r="H1853" s="82"/>
      <c r="K1853" s="82"/>
      <c r="P1853" s="82"/>
    </row>
    <row r="1854" spans="1:16">
      <c r="B1854" s="252"/>
      <c r="H1854" s="82"/>
      <c r="K1854" s="82"/>
      <c r="P1854" s="82"/>
    </row>
    <row r="1855" spans="1:16">
      <c r="B1855" s="252"/>
      <c r="H1855" s="82"/>
      <c r="K1855" s="82"/>
      <c r="P1855" s="82"/>
    </row>
    <row r="1856" spans="1:16">
      <c r="B1856" s="252"/>
      <c r="H1856" s="82"/>
      <c r="K1856" s="82"/>
      <c r="P1856" s="82"/>
    </row>
    <row r="1857" spans="2:16">
      <c r="B1857" s="252"/>
      <c r="H1857" s="82"/>
      <c r="K1857" s="82"/>
      <c r="P1857" s="82"/>
    </row>
    <row r="1858" spans="2:16">
      <c r="B1858" s="252"/>
      <c r="H1858" s="82"/>
      <c r="K1858" s="82"/>
      <c r="P1858" s="82"/>
    </row>
    <row r="1859" spans="2:16">
      <c r="B1859" s="252"/>
      <c r="H1859" s="82"/>
      <c r="K1859" s="82"/>
      <c r="P1859" s="82"/>
    </row>
    <row r="1860" spans="2:16">
      <c r="B1860" s="252"/>
      <c r="H1860" s="82"/>
      <c r="K1860" s="82"/>
      <c r="P1860" s="82"/>
    </row>
    <row r="1861" spans="2:16">
      <c r="B1861" s="252"/>
      <c r="H1861" s="82"/>
      <c r="K1861" s="82"/>
      <c r="P1861" s="82"/>
    </row>
    <row r="1862" spans="2:16">
      <c r="B1862" s="252"/>
      <c r="H1862" s="82"/>
      <c r="K1862" s="82"/>
      <c r="P1862" s="82"/>
    </row>
    <row r="1863" spans="2:16">
      <c r="B1863" s="252"/>
      <c r="H1863" s="82"/>
      <c r="K1863" s="82"/>
      <c r="P1863" s="82"/>
    </row>
    <row r="1864" spans="2:16">
      <c r="B1864" s="252"/>
      <c r="H1864" s="82"/>
      <c r="K1864" s="82"/>
      <c r="P1864" s="82"/>
    </row>
    <row r="1865" spans="2:16">
      <c r="B1865" s="252"/>
      <c r="H1865" s="82"/>
      <c r="K1865" s="82"/>
      <c r="P1865" s="82"/>
    </row>
    <row r="1866" spans="2:16">
      <c r="B1866" s="252"/>
      <c r="H1866" s="82"/>
      <c r="K1866" s="82"/>
      <c r="P1866" s="82"/>
    </row>
    <row r="1867" spans="2:16">
      <c r="B1867" s="252"/>
      <c r="H1867" s="82"/>
      <c r="K1867" s="82"/>
      <c r="P1867" s="82"/>
    </row>
    <row r="1868" spans="2:16">
      <c r="B1868" s="252"/>
      <c r="H1868" s="82"/>
      <c r="K1868" s="82"/>
      <c r="P1868" s="82"/>
    </row>
    <row r="1869" spans="2:16">
      <c r="B1869" s="252"/>
      <c r="H1869" s="82"/>
      <c r="K1869" s="82"/>
      <c r="P1869" s="82"/>
    </row>
    <row r="1870" spans="2:16">
      <c r="B1870" s="252"/>
      <c r="H1870" s="82"/>
      <c r="K1870" s="82"/>
      <c r="P1870" s="82"/>
    </row>
    <row r="1871" spans="2:16">
      <c r="B1871" s="252"/>
      <c r="H1871" s="82"/>
      <c r="K1871" s="82"/>
      <c r="P1871" s="82"/>
    </row>
    <row r="1872" spans="2:16">
      <c r="B1872" s="252"/>
      <c r="H1872" s="82"/>
      <c r="K1872" s="82"/>
      <c r="P1872" s="82"/>
    </row>
    <row r="1873" spans="2:16">
      <c r="B1873" s="252"/>
      <c r="H1873" s="82"/>
      <c r="K1873" s="82"/>
      <c r="P1873" s="82"/>
    </row>
    <row r="1874" spans="2:16">
      <c r="B1874" s="252"/>
      <c r="H1874" s="82"/>
      <c r="K1874" s="82"/>
      <c r="P1874" s="82"/>
    </row>
    <row r="1875" spans="2:16">
      <c r="B1875" s="252"/>
      <c r="H1875" s="82"/>
      <c r="K1875" s="82"/>
      <c r="P1875" s="82"/>
    </row>
    <row r="1876" spans="2:16">
      <c r="B1876" s="252"/>
      <c r="H1876" s="82"/>
      <c r="K1876" s="82"/>
      <c r="P1876" s="82"/>
    </row>
    <row r="1877" spans="2:16">
      <c r="B1877" s="252"/>
      <c r="H1877" s="82"/>
      <c r="K1877" s="82"/>
      <c r="P1877" s="82"/>
    </row>
    <row r="1878" spans="2:16">
      <c r="B1878" s="252"/>
      <c r="H1878" s="82"/>
      <c r="K1878" s="82"/>
      <c r="P1878" s="82"/>
    </row>
    <row r="1879" spans="2:16">
      <c r="B1879" s="252"/>
      <c r="H1879" s="82"/>
      <c r="K1879" s="82"/>
      <c r="P1879" s="82"/>
    </row>
    <row r="1880" spans="2:16">
      <c r="B1880" s="252"/>
      <c r="H1880" s="82"/>
      <c r="K1880" s="82"/>
      <c r="P1880" s="82"/>
    </row>
    <row r="1881" spans="2:16">
      <c r="B1881" s="252"/>
      <c r="H1881" s="82"/>
      <c r="K1881" s="82"/>
      <c r="P1881" s="82"/>
    </row>
    <row r="1882" spans="2:16">
      <c r="B1882" s="252"/>
      <c r="H1882" s="82"/>
      <c r="K1882" s="82"/>
      <c r="P1882" s="82"/>
    </row>
    <row r="1883" spans="2:16">
      <c r="B1883" s="252"/>
      <c r="H1883" s="82"/>
      <c r="K1883" s="82"/>
      <c r="P1883" s="82"/>
    </row>
    <row r="1884" spans="2:16">
      <c r="B1884" s="252"/>
      <c r="H1884" s="82"/>
      <c r="K1884" s="82"/>
      <c r="P1884" s="82"/>
    </row>
    <row r="1885" spans="2:16">
      <c r="B1885" s="252"/>
      <c r="H1885" s="82"/>
      <c r="K1885" s="82"/>
      <c r="P1885" s="82"/>
    </row>
    <row r="1886" spans="2:16">
      <c r="B1886" s="252"/>
      <c r="H1886" s="82"/>
      <c r="K1886" s="82"/>
      <c r="P1886" s="82"/>
    </row>
    <row r="1887" spans="2:16">
      <c r="B1887" s="252"/>
      <c r="H1887" s="82"/>
      <c r="K1887" s="82"/>
      <c r="P1887" s="82"/>
    </row>
    <row r="1888" spans="2:16">
      <c r="B1888" s="252"/>
      <c r="H1888" s="82"/>
      <c r="K1888" s="82"/>
      <c r="P1888" s="82"/>
    </row>
    <row r="1889" spans="2:16">
      <c r="B1889" s="252"/>
      <c r="H1889" s="82"/>
      <c r="K1889" s="82"/>
      <c r="P1889" s="82"/>
    </row>
    <row r="1890" spans="2:16">
      <c r="B1890" s="252"/>
      <c r="H1890" s="82"/>
      <c r="K1890" s="82"/>
      <c r="P1890" s="82"/>
    </row>
    <row r="1891" spans="2:16">
      <c r="B1891" s="252"/>
      <c r="H1891" s="82"/>
      <c r="K1891" s="82"/>
      <c r="P1891" s="82"/>
    </row>
    <row r="1892" spans="2:16">
      <c r="B1892" s="252"/>
      <c r="H1892" s="82"/>
      <c r="K1892" s="82"/>
      <c r="P1892" s="82"/>
    </row>
    <row r="1893" spans="2:16">
      <c r="B1893" s="252"/>
      <c r="H1893" s="82"/>
      <c r="K1893" s="82"/>
      <c r="P1893" s="82"/>
    </row>
    <row r="1894" spans="2:16">
      <c r="B1894" s="252"/>
      <c r="H1894" s="82"/>
      <c r="K1894" s="82"/>
      <c r="P1894" s="82"/>
    </row>
    <row r="1895" spans="2:16">
      <c r="B1895" s="252"/>
      <c r="H1895" s="82"/>
      <c r="K1895" s="82"/>
      <c r="P1895" s="82"/>
    </row>
    <row r="1896" spans="2:16">
      <c r="B1896" s="252"/>
      <c r="H1896" s="82"/>
      <c r="K1896" s="82"/>
      <c r="P1896" s="82"/>
    </row>
    <row r="1897" spans="2:16">
      <c r="B1897" s="252"/>
      <c r="H1897" s="82"/>
      <c r="K1897" s="82"/>
      <c r="P1897" s="82"/>
    </row>
    <row r="1898" spans="2:16">
      <c r="B1898" s="252"/>
      <c r="H1898" s="82"/>
      <c r="K1898" s="82"/>
      <c r="P1898" s="82"/>
    </row>
    <row r="1899" spans="2:16">
      <c r="B1899" s="252"/>
      <c r="H1899" s="82"/>
      <c r="K1899" s="82"/>
      <c r="P1899" s="82"/>
    </row>
    <row r="1900" spans="2:16">
      <c r="B1900" s="252"/>
      <c r="H1900" s="82"/>
      <c r="K1900" s="82"/>
      <c r="P1900" s="82"/>
    </row>
    <row r="1901" spans="2:16">
      <c r="B1901" s="252"/>
      <c r="H1901" s="82"/>
      <c r="K1901" s="82"/>
      <c r="P1901" s="82"/>
    </row>
    <row r="1902" spans="2:16">
      <c r="B1902" s="252"/>
      <c r="H1902" s="82"/>
      <c r="K1902" s="82"/>
      <c r="P1902" s="82"/>
    </row>
    <row r="1903" spans="2:16">
      <c r="B1903" s="252"/>
      <c r="H1903" s="82"/>
      <c r="K1903" s="82"/>
      <c r="P1903" s="82"/>
    </row>
    <row r="1904" spans="2:16">
      <c r="B1904" s="252"/>
      <c r="H1904" s="82"/>
      <c r="K1904" s="82"/>
      <c r="P1904" s="82"/>
    </row>
    <row r="1905" spans="2:16">
      <c r="B1905" s="252"/>
      <c r="H1905" s="82"/>
      <c r="K1905" s="82"/>
      <c r="P1905" s="82"/>
    </row>
    <row r="1906" spans="2:16">
      <c r="B1906" s="252"/>
      <c r="H1906" s="82"/>
      <c r="K1906" s="82"/>
      <c r="P1906" s="82"/>
    </row>
    <row r="1907" spans="2:16">
      <c r="B1907" s="252"/>
      <c r="H1907" s="82"/>
      <c r="K1907" s="82"/>
      <c r="P1907" s="82"/>
    </row>
    <row r="1908" spans="2:16">
      <c r="B1908" s="252"/>
      <c r="H1908" s="82"/>
      <c r="K1908" s="82"/>
      <c r="P1908" s="82"/>
    </row>
    <row r="1909" spans="2:16">
      <c r="B1909" s="252"/>
      <c r="H1909" s="82"/>
      <c r="K1909" s="82"/>
      <c r="P1909" s="82"/>
    </row>
    <row r="1910" spans="2:16">
      <c r="B1910" s="252"/>
      <c r="H1910" s="82"/>
      <c r="K1910" s="82"/>
      <c r="P1910" s="82"/>
    </row>
  </sheetData>
  <autoFilter ref="A7:T927" xr:uid="{00000000-0009-0000-0000-000008000000}"/>
  <sortState xmlns:xlrd2="http://schemas.microsoft.com/office/spreadsheetml/2017/richdata2" ref="B931:C1840">
    <sortCondition ref="B931:B1840"/>
  </sortState>
  <pageMargins left="0.7" right="0.7" top="0.75" bottom="0.75" header="0.3" footer="0.3"/>
  <pageSetup paperSize="5" scale="4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1814"/>
  <sheetViews>
    <sheetView topLeftCell="D1" zoomScaleNormal="100" workbookViewId="0">
      <pane ySplit="4320" topLeftCell="A905"/>
      <selection pane="bottomLeft"/>
    </sheetView>
  </sheetViews>
  <sheetFormatPr defaultColWidth="9.140625" defaultRowHeight="15"/>
  <cols>
    <col min="1" max="1" width="10.5703125" style="225" customWidth="1"/>
    <col min="2" max="2" width="43.7109375" style="225" customWidth="1"/>
    <col min="3" max="4" width="13.85546875" style="225" customWidth="1"/>
    <col min="5" max="5" width="18.28515625" style="225" customWidth="1"/>
    <col min="6" max="6" width="3.85546875" style="225" customWidth="1"/>
    <col min="7" max="7" width="18.28515625" style="225" customWidth="1"/>
    <col min="8" max="8" width="20" style="89" customWidth="1"/>
    <col min="9" max="9" width="14.42578125" style="225" customWidth="1"/>
    <col min="10" max="10" width="19.42578125" style="225" customWidth="1"/>
    <col min="11" max="11" width="20" style="89" customWidth="1"/>
    <col min="12" max="12" width="3.85546875" style="225" customWidth="1"/>
    <col min="13" max="13" width="18.28515625" style="225" customWidth="1"/>
    <col min="14" max="14" width="11.85546875" style="225" customWidth="1"/>
    <col min="15" max="15" width="19.42578125" style="225" customWidth="1"/>
    <col min="16" max="16" width="20" style="89" customWidth="1"/>
    <col min="17" max="17" width="3.85546875" style="225" customWidth="1"/>
    <col min="18" max="18" width="13.85546875" style="225" customWidth="1"/>
    <col min="19" max="19" width="22.42578125" style="225" customWidth="1"/>
    <col min="20" max="20" width="14.85546875" style="225" bestFit="1" customWidth="1"/>
    <col min="21" max="16384" width="9.140625" style="225"/>
  </cols>
  <sheetData>
    <row r="1" spans="1:20">
      <c r="A1" s="225" t="s">
        <v>1917</v>
      </c>
      <c r="H1" s="225"/>
    </row>
    <row r="2" spans="1:20">
      <c r="A2" s="225" t="s">
        <v>1920</v>
      </c>
      <c r="H2" s="225"/>
    </row>
    <row r="3" spans="1:20" s="95" customFormat="1">
      <c r="A3" s="90"/>
      <c r="B3" s="54" t="s">
        <v>3516</v>
      </c>
      <c r="C3" s="91">
        <v>1</v>
      </c>
      <c r="D3" s="91">
        <v>1</v>
      </c>
      <c r="E3" s="92">
        <f>SUM(E9:E911)-SUM(E673,E674)</f>
        <v>1527723006</v>
      </c>
      <c r="F3" s="92"/>
      <c r="G3" s="92">
        <f>SUM(G9:G911)-SUM(G673,G674)</f>
        <v>88010998</v>
      </c>
      <c r="H3" s="92">
        <f>SUM(H9:H911)-SUM(H673,H674)</f>
        <v>370932998</v>
      </c>
      <c r="I3" s="92">
        <f>SUM(I9:I911)-SUM(I673,I674)</f>
        <v>218179990</v>
      </c>
      <c r="J3" s="92">
        <f>SUM(J9:J911)-SUM(J673,J674)</f>
        <v>44399345</v>
      </c>
      <c r="K3" s="92">
        <f>SUM(K9:K911)-SUM(K673,K674)</f>
        <v>721523331</v>
      </c>
      <c r="L3" s="92"/>
      <c r="M3" s="92">
        <f>SUM(M9:M911)-SUM(M673,M674)</f>
        <v>43245007</v>
      </c>
      <c r="N3" s="92">
        <f>SUM(N9:N911)-SUM(N673,N674)</f>
        <v>0</v>
      </c>
      <c r="O3" s="92">
        <f>SUM(O9:O911)-SUM(O673,O674)</f>
        <v>44399369</v>
      </c>
      <c r="P3" s="92">
        <f>SUM(P9:P911)-SUM(P673,P674)</f>
        <v>87644376</v>
      </c>
      <c r="Q3" s="92"/>
      <c r="R3" s="92">
        <f>SUM(R9:R911)-SUM(R673,R674)</f>
        <v>514844016</v>
      </c>
      <c r="S3" s="92">
        <f>SUM(S9:S911)-SUM(S673,S674)</f>
        <v>36</v>
      </c>
      <c r="T3" s="92">
        <f>SUM(T9:T911)-SUM(T673,T674)</f>
        <v>514844052</v>
      </c>
    </row>
    <row r="4" spans="1:20" s="95" customFormat="1">
      <c r="A4" s="90"/>
      <c r="B4" s="54"/>
      <c r="C4" s="91">
        <v>1</v>
      </c>
      <c r="D4" s="91">
        <v>1</v>
      </c>
      <c r="E4" s="92">
        <v>1527723006</v>
      </c>
      <c r="F4" s="92"/>
      <c r="G4" s="93">
        <v>88010998</v>
      </c>
      <c r="H4" s="94">
        <v>370932998</v>
      </c>
      <c r="I4" s="93">
        <v>218179990</v>
      </c>
      <c r="J4" s="93">
        <v>44399345</v>
      </c>
      <c r="K4" s="94">
        <v>721523331</v>
      </c>
      <c r="L4" s="93"/>
      <c r="M4" s="93">
        <v>43245007</v>
      </c>
      <c r="N4" s="93">
        <v>0</v>
      </c>
      <c r="O4" s="93">
        <v>44399369</v>
      </c>
      <c r="P4" s="94">
        <v>87644376</v>
      </c>
      <c r="Q4" s="93"/>
      <c r="R4" s="93">
        <v>514844016</v>
      </c>
      <c r="S4" s="93">
        <v>36</v>
      </c>
      <c r="T4" s="93">
        <v>514844052</v>
      </c>
    </row>
    <row r="5" spans="1:20">
      <c r="H5" s="225"/>
    </row>
    <row r="6" spans="1:20">
      <c r="G6" s="83" t="s">
        <v>2</v>
      </c>
      <c r="H6" s="83"/>
      <c r="I6" s="83"/>
      <c r="J6" s="83"/>
      <c r="K6" s="84"/>
      <c r="M6" s="83" t="s">
        <v>3</v>
      </c>
      <c r="N6" s="83"/>
      <c r="O6" s="83"/>
      <c r="P6" s="84"/>
      <c r="R6" s="83" t="s">
        <v>4</v>
      </c>
      <c r="S6" s="83"/>
      <c r="T6" s="83"/>
    </row>
    <row r="7" spans="1:20" ht="120">
      <c r="A7" s="85" t="s">
        <v>0</v>
      </c>
      <c r="B7" s="85" t="s">
        <v>1</v>
      </c>
      <c r="C7" s="85" t="s">
        <v>262</v>
      </c>
      <c r="D7" s="85" t="s">
        <v>263</v>
      </c>
      <c r="E7" s="85" t="s">
        <v>720</v>
      </c>
      <c r="F7" s="85"/>
      <c r="G7" s="85" t="s">
        <v>5</v>
      </c>
      <c r="H7" s="86" t="s">
        <v>6</v>
      </c>
      <c r="I7" s="85" t="s">
        <v>7</v>
      </c>
      <c r="J7" s="85" t="s">
        <v>8</v>
      </c>
      <c r="K7" s="86" t="s">
        <v>721</v>
      </c>
      <c r="L7" s="85"/>
      <c r="M7" s="85" t="s">
        <v>5</v>
      </c>
      <c r="N7" s="85" t="s">
        <v>7</v>
      </c>
      <c r="O7" s="85" t="s">
        <v>8</v>
      </c>
      <c r="P7" s="86" t="s">
        <v>722</v>
      </c>
      <c r="Q7" s="85"/>
      <c r="R7" s="85" t="s">
        <v>9</v>
      </c>
      <c r="S7" s="85" t="s">
        <v>10</v>
      </c>
      <c r="T7" s="85" t="s">
        <v>11</v>
      </c>
    </row>
    <row r="8" spans="1:20">
      <c r="A8" s="7" t="s">
        <v>691</v>
      </c>
      <c r="B8" s="60" t="s">
        <v>690</v>
      </c>
      <c r="C8" s="85"/>
      <c r="D8" s="85"/>
      <c r="E8" s="85"/>
      <c r="F8" s="85"/>
      <c r="G8" s="85"/>
      <c r="H8" s="86"/>
      <c r="I8" s="85"/>
      <c r="J8" s="85"/>
      <c r="K8" s="86"/>
      <c r="L8" s="85"/>
      <c r="M8" s="85"/>
      <c r="N8" s="85"/>
      <c r="O8" s="85"/>
      <c r="P8" s="86"/>
      <c r="Q8" s="85"/>
      <c r="R8" s="85"/>
      <c r="S8" s="85"/>
      <c r="T8" s="85"/>
    </row>
    <row r="9" spans="1:20">
      <c r="A9" s="226">
        <v>70505</v>
      </c>
      <c r="B9" s="227" t="s">
        <v>723</v>
      </c>
      <c r="C9" s="87">
        <v>4.147E-4</v>
      </c>
      <c r="D9" s="87">
        <v>4.6880000000000001E-4</v>
      </c>
      <c r="E9" s="231">
        <v>633547</v>
      </c>
      <c r="F9" s="231"/>
      <c r="G9" s="232">
        <v>36498</v>
      </c>
      <c r="H9" s="220">
        <v>153826</v>
      </c>
      <c r="I9" s="232">
        <v>90479</v>
      </c>
      <c r="J9" s="231">
        <v>0</v>
      </c>
      <c r="K9" s="220">
        <f t="shared" ref="K9:K72" si="0">G9+H9+I9+J9</f>
        <v>280803</v>
      </c>
      <c r="L9" s="231"/>
      <c r="M9" s="232">
        <v>17934</v>
      </c>
      <c r="N9" s="232">
        <v>0</v>
      </c>
      <c r="O9" s="231">
        <v>53472</v>
      </c>
      <c r="P9" s="220">
        <f t="shared" ref="P9:P72" si="1">M9+N9+O9</f>
        <v>71406</v>
      </c>
      <c r="Q9" s="231"/>
      <c r="R9" s="232">
        <v>213506</v>
      </c>
      <c r="S9" s="233">
        <v>-18259</v>
      </c>
      <c r="T9" s="233">
        <v>195247</v>
      </c>
    </row>
    <row r="10" spans="1:20">
      <c r="A10" s="226">
        <v>72265</v>
      </c>
      <c r="B10" s="227" t="s">
        <v>724</v>
      </c>
      <c r="C10" s="87">
        <v>1.4009999999999999E-4</v>
      </c>
      <c r="D10" s="87">
        <v>1.327E-4</v>
      </c>
      <c r="E10" s="231">
        <v>214034</v>
      </c>
      <c r="F10" s="231"/>
      <c r="G10" s="232">
        <v>12330</v>
      </c>
      <c r="H10" s="220">
        <v>51967</v>
      </c>
      <c r="I10" s="232">
        <v>30567</v>
      </c>
      <c r="J10" s="231">
        <v>6550</v>
      </c>
      <c r="K10" s="220">
        <f t="shared" si="0"/>
        <v>101414</v>
      </c>
      <c r="L10" s="231"/>
      <c r="M10" s="232">
        <v>6059</v>
      </c>
      <c r="N10" s="232">
        <v>0</v>
      </c>
      <c r="O10" s="231">
        <v>3729</v>
      </c>
      <c r="P10" s="220">
        <f t="shared" si="1"/>
        <v>9788</v>
      </c>
      <c r="Q10" s="231"/>
      <c r="R10" s="232">
        <v>72130</v>
      </c>
      <c r="S10" s="233">
        <v>3031</v>
      </c>
      <c r="T10" s="233">
        <v>75161</v>
      </c>
    </row>
    <row r="11" spans="1:20">
      <c r="A11" s="226">
        <v>72593</v>
      </c>
      <c r="B11" s="227" t="s">
        <v>725</v>
      </c>
      <c r="C11" s="87">
        <v>5.9000000000000003E-6</v>
      </c>
      <c r="D11" s="87">
        <v>0</v>
      </c>
      <c r="E11" s="231">
        <v>9014</v>
      </c>
      <c r="F11" s="231"/>
      <c r="G11" s="232">
        <v>519</v>
      </c>
      <c r="H11" s="220">
        <v>2188</v>
      </c>
      <c r="I11" s="232">
        <v>1287</v>
      </c>
      <c r="J11" s="231">
        <v>3014</v>
      </c>
      <c r="K11" s="220">
        <f t="shared" si="0"/>
        <v>7008</v>
      </c>
      <c r="L11" s="231"/>
      <c r="M11" s="232">
        <v>255</v>
      </c>
      <c r="N11" s="232">
        <v>0</v>
      </c>
      <c r="O11" s="231">
        <v>0</v>
      </c>
      <c r="P11" s="220">
        <f t="shared" si="1"/>
        <v>255</v>
      </c>
      <c r="Q11" s="231"/>
      <c r="R11" s="232">
        <v>3038</v>
      </c>
      <c r="S11" s="233">
        <v>753</v>
      </c>
      <c r="T11" s="233">
        <v>3791</v>
      </c>
    </row>
    <row r="12" spans="1:20">
      <c r="A12" s="226">
        <v>72657</v>
      </c>
      <c r="B12" s="227" t="s">
        <v>726</v>
      </c>
      <c r="C12" s="87">
        <v>3.9900000000000001E-5</v>
      </c>
      <c r="D12" s="87">
        <v>4.2799999999999997E-5</v>
      </c>
      <c r="E12" s="231">
        <v>60956</v>
      </c>
      <c r="F12" s="231"/>
      <c r="G12" s="232">
        <v>3512</v>
      </c>
      <c r="H12" s="220">
        <v>14801</v>
      </c>
      <c r="I12" s="232">
        <v>8705</v>
      </c>
      <c r="J12" s="231">
        <v>3272</v>
      </c>
      <c r="K12" s="220">
        <f t="shared" si="0"/>
        <v>30290</v>
      </c>
      <c r="L12" s="231"/>
      <c r="M12" s="232">
        <v>1725</v>
      </c>
      <c r="N12" s="232">
        <v>0</v>
      </c>
      <c r="O12" s="231">
        <v>6366</v>
      </c>
      <c r="P12" s="220">
        <f t="shared" si="1"/>
        <v>8091</v>
      </c>
      <c r="Q12" s="231"/>
      <c r="R12" s="232">
        <v>20542</v>
      </c>
      <c r="S12" s="233">
        <v>900</v>
      </c>
      <c r="T12" s="233">
        <v>21442</v>
      </c>
    </row>
    <row r="13" spans="1:20">
      <c r="A13" s="226">
        <v>90001</v>
      </c>
      <c r="B13" s="227" t="s">
        <v>727</v>
      </c>
      <c r="C13" s="87">
        <v>8.6030000000000004E-4</v>
      </c>
      <c r="D13" s="87">
        <v>8.6910000000000004E-4</v>
      </c>
      <c r="E13" s="231">
        <v>1314300</v>
      </c>
      <c r="F13" s="231"/>
      <c r="G13" s="232">
        <v>75716</v>
      </c>
      <c r="H13" s="220">
        <v>319114</v>
      </c>
      <c r="I13" s="232">
        <v>187700</v>
      </c>
      <c r="J13" s="231">
        <v>11972</v>
      </c>
      <c r="K13" s="220">
        <f t="shared" si="0"/>
        <v>594502</v>
      </c>
      <c r="L13" s="231"/>
      <c r="M13" s="232">
        <v>37204</v>
      </c>
      <c r="N13" s="232">
        <v>0</v>
      </c>
      <c r="O13" s="231">
        <v>15474</v>
      </c>
      <c r="P13" s="220">
        <f t="shared" si="1"/>
        <v>52678</v>
      </c>
      <c r="Q13" s="231"/>
      <c r="R13" s="232">
        <v>442920</v>
      </c>
      <c r="S13" s="233">
        <v>891</v>
      </c>
      <c r="T13" s="233">
        <f>443812-1</f>
        <v>443811</v>
      </c>
    </row>
    <row r="14" spans="1:20">
      <c r="A14" s="226">
        <v>90002</v>
      </c>
      <c r="B14" s="227" t="s">
        <v>728</v>
      </c>
      <c r="C14" s="87">
        <v>1.06E-5</v>
      </c>
      <c r="D14" s="87">
        <v>1.15E-5</v>
      </c>
      <c r="E14" s="231">
        <v>16194</v>
      </c>
      <c r="F14" s="231"/>
      <c r="G14" s="232">
        <v>933</v>
      </c>
      <c r="H14" s="220">
        <v>3932</v>
      </c>
      <c r="I14" s="232">
        <v>2313</v>
      </c>
      <c r="J14" s="231">
        <v>1497</v>
      </c>
      <c r="K14" s="220">
        <f t="shared" si="0"/>
        <v>8675</v>
      </c>
      <c r="L14" s="231"/>
      <c r="M14" s="232">
        <v>458</v>
      </c>
      <c r="N14" s="232">
        <v>0</v>
      </c>
      <c r="O14" s="231">
        <v>0</v>
      </c>
      <c r="P14" s="220">
        <f t="shared" si="1"/>
        <v>458</v>
      </c>
      <c r="Q14" s="231"/>
      <c r="R14" s="232">
        <v>5457</v>
      </c>
      <c r="S14" s="233">
        <v>563</v>
      </c>
      <c r="T14" s="233">
        <v>6020</v>
      </c>
    </row>
    <row r="15" spans="1:20">
      <c r="A15" s="226">
        <v>90011</v>
      </c>
      <c r="B15" s="227" t="s">
        <v>729</v>
      </c>
      <c r="C15" s="87">
        <v>1.974E-4</v>
      </c>
      <c r="D15" s="87">
        <v>2.0819999999999999E-4</v>
      </c>
      <c r="E15" s="231">
        <v>301573</v>
      </c>
      <c r="F15" s="231"/>
      <c r="G15" s="232">
        <v>17373</v>
      </c>
      <c r="H15" s="220">
        <v>73222</v>
      </c>
      <c r="I15" s="232">
        <v>43069</v>
      </c>
      <c r="J15" s="231">
        <v>2300</v>
      </c>
      <c r="K15" s="220">
        <f t="shared" si="0"/>
        <v>135964</v>
      </c>
      <c r="L15" s="231"/>
      <c r="M15" s="232">
        <v>8537</v>
      </c>
      <c r="N15" s="232">
        <v>0</v>
      </c>
      <c r="O15" s="231">
        <v>30094</v>
      </c>
      <c r="P15" s="220">
        <f t="shared" si="1"/>
        <v>38631</v>
      </c>
      <c r="Q15" s="231"/>
      <c r="R15" s="232">
        <v>101630</v>
      </c>
      <c r="S15" s="233">
        <v>-7615</v>
      </c>
      <c r="T15" s="233">
        <v>94015</v>
      </c>
    </row>
    <row r="16" spans="1:20">
      <c r="A16" s="226">
        <v>90092</v>
      </c>
      <c r="B16" s="227" t="s">
        <v>730</v>
      </c>
      <c r="C16" s="87">
        <v>3.5349999999999997E-4</v>
      </c>
      <c r="D16" s="87">
        <v>3.946E-4</v>
      </c>
      <c r="E16" s="231">
        <v>540050</v>
      </c>
      <c r="F16" s="231"/>
      <c r="G16" s="232">
        <v>31112</v>
      </c>
      <c r="H16" s="220">
        <v>131125</v>
      </c>
      <c r="I16" s="232">
        <v>77127</v>
      </c>
      <c r="J16" s="231">
        <v>0</v>
      </c>
      <c r="K16" s="220">
        <f t="shared" si="0"/>
        <v>239364</v>
      </c>
      <c r="L16" s="231"/>
      <c r="M16" s="232">
        <v>15287</v>
      </c>
      <c r="N16" s="232">
        <v>0</v>
      </c>
      <c r="O16" s="231">
        <v>83168</v>
      </c>
      <c r="P16" s="220">
        <f t="shared" si="1"/>
        <v>98455</v>
      </c>
      <c r="Q16" s="231"/>
      <c r="R16" s="232">
        <v>181997</v>
      </c>
      <c r="S16" s="233">
        <v>-42793</v>
      </c>
      <c r="T16" s="233">
        <f>139205-1</f>
        <v>139204</v>
      </c>
    </row>
    <row r="17" spans="1:20">
      <c r="A17" s="226">
        <v>90096</v>
      </c>
      <c r="B17" s="227" t="s">
        <v>731</v>
      </c>
      <c r="C17" s="87">
        <v>9.7559999999999997E-4</v>
      </c>
      <c r="D17" s="87">
        <v>1.3860999999999999E-3</v>
      </c>
      <c r="E17" s="231">
        <v>1490447</v>
      </c>
      <c r="F17" s="231"/>
      <c r="G17" s="232">
        <v>85864</v>
      </c>
      <c r="H17" s="220">
        <v>361882</v>
      </c>
      <c r="I17" s="232">
        <v>212856</v>
      </c>
      <c r="J17" s="231">
        <v>43597</v>
      </c>
      <c r="K17" s="220">
        <f t="shared" si="0"/>
        <v>704199</v>
      </c>
      <c r="L17" s="231"/>
      <c r="M17" s="232">
        <v>42190</v>
      </c>
      <c r="N17" s="232">
        <v>0</v>
      </c>
      <c r="O17" s="231">
        <v>238564</v>
      </c>
      <c r="P17" s="220">
        <f t="shared" si="1"/>
        <v>280754</v>
      </c>
      <c r="Q17" s="231"/>
      <c r="R17" s="232">
        <v>502282</v>
      </c>
      <c r="S17" s="233">
        <v>-27538</v>
      </c>
      <c r="T17" s="233">
        <v>474744</v>
      </c>
    </row>
    <row r="18" spans="1:20">
      <c r="A18" s="226">
        <v>90098</v>
      </c>
      <c r="B18" s="227" t="s">
        <v>732</v>
      </c>
      <c r="C18" s="87">
        <v>2.9599999999999998E-4</v>
      </c>
      <c r="D18" s="87">
        <v>2.9280000000000002E-4</v>
      </c>
      <c r="E18" s="231">
        <v>452206</v>
      </c>
      <c r="F18" s="231"/>
      <c r="G18" s="232">
        <v>26051</v>
      </c>
      <c r="H18" s="220">
        <v>109796</v>
      </c>
      <c r="I18" s="232">
        <v>64581</v>
      </c>
      <c r="J18" s="231">
        <v>5581</v>
      </c>
      <c r="K18" s="220">
        <f t="shared" si="0"/>
        <v>206009</v>
      </c>
      <c r="L18" s="231"/>
      <c r="M18" s="232">
        <v>12801</v>
      </c>
      <c r="N18" s="232">
        <v>0</v>
      </c>
      <c r="O18" s="231">
        <v>110893</v>
      </c>
      <c r="P18" s="220">
        <f t="shared" si="1"/>
        <v>123694</v>
      </c>
      <c r="Q18" s="231"/>
      <c r="R18" s="232">
        <v>152394</v>
      </c>
      <c r="S18" s="233">
        <v>-51374</v>
      </c>
      <c r="T18" s="233">
        <v>101020</v>
      </c>
    </row>
    <row r="19" spans="1:20">
      <c r="A19" s="226">
        <v>90099</v>
      </c>
      <c r="B19" s="227" t="s">
        <v>733</v>
      </c>
      <c r="C19" s="87">
        <v>6.6330000000000002E-4</v>
      </c>
      <c r="D19" s="87">
        <v>4.9330000000000001E-4</v>
      </c>
      <c r="E19" s="231">
        <v>1013339</v>
      </c>
      <c r="F19" s="231"/>
      <c r="G19" s="232">
        <v>58378</v>
      </c>
      <c r="H19" s="220">
        <v>246040</v>
      </c>
      <c r="I19" s="232">
        <v>144719</v>
      </c>
      <c r="J19" s="231">
        <v>89744</v>
      </c>
      <c r="K19" s="220">
        <f t="shared" si="0"/>
        <v>538881</v>
      </c>
      <c r="L19" s="231"/>
      <c r="M19" s="232">
        <v>28684</v>
      </c>
      <c r="N19" s="232">
        <v>0</v>
      </c>
      <c r="O19" s="231">
        <v>44006</v>
      </c>
      <c r="P19" s="220">
        <f t="shared" si="1"/>
        <v>72690</v>
      </c>
      <c r="Q19" s="231"/>
      <c r="R19" s="232">
        <v>341496</v>
      </c>
      <c r="S19" s="233">
        <v>7780</v>
      </c>
      <c r="T19" s="233">
        <v>349276</v>
      </c>
    </row>
    <row r="20" spans="1:20">
      <c r="A20" s="226">
        <v>90101</v>
      </c>
      <c r="B20" s="227" t="s">
        <v>734</v>
      </c>
      <c r="C20" s="87">
        <v>6.6312000000000003E-3</v>
      </c>
      <c r="D20" s="87">
        <v>6.3996000000000001E-3</v>
      </c>
      <c r="E20" s="231">
        <v>10130637</v>
      </c>
      <c r="F20" s="231"/>
      <c r="G20" s="232">
        <v>583619</v>
      </c>
      <c r="H20" s="220">
        <v>2459731</v>
      </c>
      <c r="I20" s="232">
        <v>1446795</v>
      </c>
      <c r="J20" s="231">
        <v>245836</v>
      </c>
      <c r="K20" s="220">
        <f t="shared" si="0"/>
        <v>4735981</v>
      </c>
      <c r="L20" s="231"/>
      <c r="M20" s="232">
        <v>286766</v>
      </c>
      <c r="N20" s="232">
        <v>0</v>
      </c>
      <c r="O20" s="231">
        <v>25616</v>
      </c>
      <c r="P20" s="220">
        <f t="shared" si="1"/>
        <v>312382</v>
      </c>
      <c r="Q20" s="231"/>
      <c r="R20" s="232">
        <v>3414034</v>
      </c>
      <c r="S20" s="233">
        <v>67895</v>
      </c>
      <c r="T20" s="233">
        <f>3481928+1</f>
        <v>3481929</v>
      </c>
    </row>
    <row r="21" spans="1:20">
      <c r="A21" s="226">
        <v>90111</v>
      </c>
      <c r="B21" s="227" t="s">
        <v>735</v>
      </c>
      <c r="C21" s="87">
        <v>4.9740000000000001E-3</v>
      </c>
      <c r="D21" s="87">
        <v>4.8874000000000001E-3</v>
      </c>
      <c r="E21" s="231">
        <v>7598894</v>
      </c>
      <c r="F21" s="231"/>
      <c r="G21" s="232">
        <v>437767</v>
      </c>
      <c r="H21" s="220">
        <v>1845021</v>
      </c>
      <c r="I21" s="232">
        <v>1085227</v>
      </c>
      <c r="J21" s="231">
        <v>15088</v>
      </c>
      <c r="K21" s="220">
        <f t="shared" si="0"/>
        <v>3383103</v>
      </c>
      <c r="L21" s="231"/>
      <c r="M21" s="232">
        <v>215101</v>
      </c>
      <c r="N21" s="232">
        <v>0</v>
      </c>
      <c r="O21" s="231">
        <v>106602</v>
      </c>
      <c r="P21" s="220">
        <f t="shared" si="1"/>
        <v>321703</v>
      </c>
      <c r="Q21" s="231"/>
      <c r="R21" s="232">
        <v>2560834</v>
      </c>
      <c r="S21" s="233">
        <v>-53609</v>
      </c>
      <c r="T21" s="233">
        <v>2507225</v>
      </c>
    </row>
    <row r="22" spans="1:20">
      <c r="A22" s="226">
        <v>90114</v>
      </c>
      <c r="B22" s="227" t="s">
        <v>736</v>
      </c>
      <c r="C22" s="87">
        <v>1.0919E-3</v>
      </c>
      <c r="D22" s="87">
        <v>1.0681E-3</v>
      </c>
      <c r="E22" s="231">
        <v>1668121</v>
      </c>
      <c r="F22" s="231"/>
      <c r="G22" s="232">
        <v>96099</v>
      </c>
      <c r="H22" s="220">
        <v>405022</v>
      </c>
      <c r="I22" s="232">
        <v>238231</v>
      </c>
      <c r="J22" s="231">
        <v>1077044</v>
      </c>
      <c r="K22" s="220">
        <f t="shared" si="0"/>
        <v>1816396</v>
      </c>
      <c r="L22" s="231"/>
      <c r="M22" s="232">
        <v>47219</v>
      </c>
      <c r="N22" s="232">
        <v>0</v>
      </c>
      <c r="O22" s="231">
        <v>0</v>
      </c>
      <c r="P22" s="220">
        <f t="shared" si="1"/>
        <v>47219</v>
      </c>
      <c r="Q22" s="231"/>
      <c r="R22" s="232">
        <v>562158</v>
      </c>
      <c r="S22" s="233">
        <v>371192</v>
      </c>
      <c r="T22" s="233">
        <v>933350</v>
      </c>
    </row>
    <row r="23" spans="1:20">
      <c r="A23" s="226">
        <v>90117</v>
      </c>
      <c r="B23" s="227" t="s">
        <v>737</v>
      </c>
      <c r="C23" s="87">
        <v>1.407E-4</v>
      </c>
      <c r="D23" s="87">
        <v>1.35E-4</v>
      </c>
      <c r="E23" s="231">
        <v>214951</v>
      </c>
      <c r="F23" s="231"/>
      <c r="G23" s="232">
        <v>12383</v>
      </c>
      <c r="H23" s="220">
        <v>52190</v>
      </c>
      <c r="I23" s="232">
        <v>30698</v>
      </c>
      <c r="J23" s="231">
        <v>44526</v>
      </c>
      <c r="K23" s="220">
        <f t="shared" si="0"/>
        <v>139797</v>
      </c>
      <c r="L23" s="231"/>
      <c r="M23" s="232">
        <v>6085</v>
      </c>
      <c r="N23" s="232">
        <v>0</v>
      </c>
      <c r="O23" s="231">
        <v>0</v>
      </c>
      <c r="P23" s="220">
        <f t="shared" si="1"/>
        <v>6085</v>
      </c>
      <c r="Q23" s="231"/>
      <c r="R23" s="232">
        <v>72439</v>
      </c>
      <c r="S23" s="233">
        <v>18359</v>
      </c>
      <c r="T23" s="233">
        <f>90797+1</f>
        <v>90798</v>
      </c>
    </row>
    <row r="24" spans="1:20">
      <c r="A24" s="226">
        <v>90121</v>
      </c>
      <c r="B24" s="227" t="s">
        <v>738</v>
      </c>
      <c r="C24" s="87">
        <v>1.0991E-3</v>
      </c>
      <c r="D24" s="87">
        <v>1.0789E-3</v>
      </c>
      <c r="E24" s="231">
        <v>1679120</v>
      </c>
      <c r="F24" s="231"/>
      <c r="G24" s="232">
        <v>96733</v>
      </c>
      <c r="H24" s="220">
        <v>407692</v>
      </c>
      <c r="I24" s="232">
        <v>239802</v>
      </c>
      <c r="J24" s="231">
        <v>3244</v>
      </c>
      <c r="K24" s="220">
        <f t="shared" si="0"/>
        <v>747471</v>
      </c>
      <c r="L24" s="231"/>
      <c r="M24" s="232">
        <v>47531</v>
      </c>
      <c r="N24" s="232">
        <v>0</v>
      </c>
      <c r="O24" s="231">
        <v>81552</v>
      </c>
      <c r="P24" s="220">
        <f t="shared" si="1"/>
        <v>129083</v>
      </c>
      <c r="Q24" s="231"/>
      <c r="R24" s="232">
        <v>565865</v>
      </c>
      <c r="S24" s="233">
        <v>-25049</v>
      </c>
      <c r="T24" s="233">
        <v>540816</v>
      </c>
    </row>
    <row r="25" spans="1:20">
      <c r="A25" s="226">
        <v>90131</v>
      </c>
      <c r="B25" s="227" t="s">
        <v>739</v>
      </c>
      <c r="C25" s="87">
        <v>4.7639999999999998E-4</v>
      </c>
      <c r="D25" s="87">
        <v>5.0440000000000001E-4</v>
      </c>
      <c r="E25" s="231">
        <v>727807</v>
      </c>
      <c r="F25" s="231"/>
      <c r="G25" s="232">
        <v>41928</v>
      </c>
      <c r="H25" s="220">
        <v>176712</v>
      </c>
      <c r="I25" s="232">
        <v>103941</v>
      </c>
      <c r="J25" s="231">
        <v>0</v>
      </c>
      <c r="K25" s="220">
        <f t="shared" si="0"/>
        <v>322581</v>
      </c>
      <c r="L25" s="231"/>
      <c r="M25" s="232">
        <v>20602</v>
      </c>
      <c r="N25" s="232">
        <v>0</v>
      </c>
      <c r="O25" s="231">
        <v>42066</v>
      </c>
      <c r="P25" s="220">
        <f t="shared" si="1"/>
        <v>62668</v>
      </c>
      <c r="Q25" s="231"/>
      <c r="R25" s="232">
        <v>245272</v>
      </c>
      <c r="S25" s="233">
        <v>-15937</v>
      </c>
      <c r="T25" s="233">
        <v>229335</v>
      </c>
    </row>
    <row r="26" spans="1:20">
      <c r="A26" s="226">
        <v>90141</v>
      </c>
      <c r="B26" s="227" t="s">
        <v>740</v>
      </c>
      <c r="C26" s="87">
        <v>1.4779999999999999E-4</v>
      </c>
      <c r="D26" s="87">
        <v>1.306E-4</v>
      </c>
      <c r="E26" s="231">
        <v>225797</v>
      </c>
      <c r="F26" s="231"/>
      <c r="G26" s="232">
        <v>13008</v>
      </c>
      <c r="H26" s="220">
        <v>54824</v>
      </c>
      <c r="I26" s="232">
        <v>32247</v>
      </c>
      <c r="J26" s="231">
        <v>8660</v>
      </c>
      <c r="K26" s="220">
        <f t="shared" si="0"/>
        <v>108739</v>
      </c>
      <c r="L26" s="231"/>
      <c r="M26" s="232">
        <v>6392</v>
      </c>
      <c r="N26" s="232">
        <v>0</v>
      </c>
      <c r="O26" s="231">
        <v>10174</v>
      </c>
      <c r="P26" s="220">
        <f t="shared" si="1"/>
        <v>16566</v>
      </c>
      <c r="Q26" s="231"/>
      <c r="R26" s="232">
        <v>76094</v>
      </c>
      <c r="S26" s="233">
        <v>-857</v>
      </c>
      <c r="T26" s="233">
        <v>75237</v>
      </c>
    </row>
    <row r="27" spans="1:20">
      <c r="A27" s="226">
        <v>90151</v>
      </c>
      <c r="B27" s="227" t="s">
        <v>741</v>
      </c>
      <c r="C27" s="87">
        <v>9.9000000000000001E-6</v>
      </c>
      <c r="D27" s="87">
        <v>1.0000000000000001E-5</v>
      </c>
      <c r="E27" s="231">
        <v>15124</v>
      </c>
      <c r="F27" s="231"/>
      <c r="G27" s="232">
        <v>871</v>
      </c>
      <c r="H27" s="220">
        <v>3672</v>
      </c>
      <c r="I27" s="232">
        <v>2160</v>
      </c>
      <c r="J27" s="231">
        <v>0</v>
      </c>
      <c r="K27" s="220">
        <f t="shared" si="0"/>
        <v>6703</v>
      </c>
      <c r="L27" s="231"/>
      <c r="M27" s="232">
        <v>428</v>
      </c>
      <c r="N27" s="232">
        <v>0</v>
      </c>
      <c r="O27" s="231">
        <v>2719</v>
      </c>
      <c r="P27" s="220">
        <f t="shared" si="1"/>
        <v>3147</v>
      </c>
      <c r="Q27" s="231"/>
      <c r="R27" s="232">
        <v>5097</v>
      </c>
      <c r="S27" s="233">
        <v>-1090</v>
      </c>
      <c r="T27" s="233">
        <v>4007</v>
      </c>
    </row>
    <row r="28" spans="1:20">
      <c r="A28" s="226">
        <v>90161</v>
      </c>
      <c r="B28" s="227" t="s">
        <v>742</v>
      </c>
      <c r="C28" s="87">
        <v>3.4199999999999998E-5</v>
      </c>
      <c r="D28" s="87">
        <v>3.4799999999999999E-5</v>
      </c>
      <c r="E28" s="231">
        <v>52248</v>
      </c>
      <c r="F28" s="231"/>
      <c r="G28" s="232">
        <v>3010</v>
      </c>
      <c r="H28" s="220">
        <v>12686</v>
      </c>
      <c r="I28" s="232">
        <v>7462</v>
      </c>
      <c r="J28" s="231">
        <v>4022</v>
      </c>
      <c r="K28" s="220">
        <f t="shared" si="0"/>
        <v>27180</v>
      </c>
      <c r="L28" s="231"/>
      <c r="M28" s="232">
        <v>1479</v>
      </c>
      <c r="N28" s="232">
        <v>0</v>
      </c>
      <c r="O28" s="231">
        <v>462</v>
      </c>
      <c r="P28" s="220">
        <f t="shared" si="1"/>
        <v>1941</v>
      </c>
      <c r="Q28" s="231"/>
      <c r="R28" s="232">
        <v>17608</v>
      </c>
      <c r="S28" s="233">
        <v>1591</v>
      </c>
      <c r="T28" s="233">
        <v>19199</v>
      </c>
    </row>
    <row r="29" spans="1:20">
      <c r="A29" s="226">
        <v>90201</v>
      </c>
      <c r="B29" s="227" t="s">
        <v>743</v>
      </c>
      <c r="C29" s="87">
        <v>1.2126999999999999E-3</v>
      </c>
      <c r="D29" s="87">
        <v>1.2419E-3</v>
      </c>
      <c r="E29" s="231">
        <v>1852670</v>
      </c>
      <c r="F29" s="231"/>
      <c r="G29" s="232">
        <v>106731</v>
      </c>
      <c r="H29" s="220">
        <v>449830</v>
      </c>
      <c r="I29" s="232">
        <v>264587</v>
      </c>
      <c r="J29" s="231">
        <v>36621</v>
      </c>
      <c r="K29" s="220">
        <f t="shared" si="0"/>
        <v>857769</v>
      </c>
      <c r="L29" s="231"/>
      <c r="M29" s="232">
        <v>52443</v>
      </c>
      <c r="N29" s="232">
        <v>0</v>
      </c>
      <c r="O29" s="231">
        <v>36396</v>
      </c>
      <c r="P29" s="220">
        <f t="shared" si="1"/>
        <v>88839</v>
      </c>
      <c r="Q29" s="231"/>
      <c r="R29" s="232">
        <v>624351</v>
      </c>
      <c r="S29" s="233">
        <v>24941</v>
      </c>
      <c r="T29" s="233">
        <v>649292</v>
      </c>
    </row>
    <row r="30" spans="1:20">
      <c r="A30" s="226">
        <v>90203</v>
      </c>
      <c r="B30" s="227" t="s">
        <v>744</v>
      </c>
      <c r="C30" s="87">
        <v>1.994E-4</v>
      </c>
      <c r="D30" s="87">
        <v>2.3680000000000001E-4</v>
      </c>
      <c r="E30" s="231">
        <v>304628</v>
      </c>
      <c r="F30" s="231"/>
      <c r="G30" s="232">
        <v>17549</v>
      </c>
      <c r="H30" s="220">
        <v>73964</v>
      </c>
      <c r="I30" s="232">
        <v>43505</v>
      </c>
      <c r="J30" s="231">
        <v>2154</v>
      </c>
      <c r="K30" s="220">
        <f t="shared" si="0"/>
        <v>137172</v>
      </c>
      <c r="L30" s="231"/>
      <c r="M30" s="232">
        <v>8623</v>
      </c>
      <c r="N30" s="232">
        <v>0</v>
      </c>
      <c r="O30" s="231">
        <v>49077</v>
      </c>
      <c r="P30" s="220">
        <f t="shared" si="1"/>
        <v>57700</v>
      </c>
      <c r="Q30" s="231"/>
      <c r="R30" s="232">
        <v>102660</v>
      </c>
      <c r="S30" s="233">
        <v>-18026</v>
      </c>
      <c r="T30" s="233">
        <v>84634</v>
      </c>
    </row>
    <row r="31" spans="1:20">
      <c r="A31" s="226">
        <v>90205</v>
      </c>
      <c r="B31" s="227" t="s">
        <v>745</v>
      </c>
      <c r="C31" s="87">
        <v>3.0000000000000001E-5</v>
      </c>
      <c r="D31" s="87">
        <v>3.3599999999999997E-5</v>
      </c>
      <c r="E31" s="231">
        <v>45832</v>
      </c>
      <c r="F31" s="231"/>
      <c r="G31" s="232">
        <v>2640</v>
      </c>
      <c r="H31" s="220">
        <v>11128</v>
      </c>
      <c r="I31" s="232">
        <v>6545</v>
      </c>
      <c r="J31" s="231">
        <v>769</v>
      </c>
      <c r="K31" s="220">
        <f t="shared" si="0"/>
        <v>21082</v>
      </c>
      <c r="L31" s="231"/>
      <c r="M31" s="232">
        <v>1297</v>
      </c>
      <c r="N31" s="232">
        <v>0</v>
      </c>
      <c r="O31" s="231">
        <v>2625</v>
      </c>
      <c r="P31" s="220">
        <f t="shared" si="1"/>
        <v>3922</v>
      </c>
      <c r="Q31" s="231"/>
      <c r="R31" s="232">
        <v>15445</v>
      </c>
      <c r="S31" s="233">
        <v>-105</v>
      </c>
      <c r="T31" s="233">
        <v>15340</v>
      </c>
    </row>
    <row r="32" spans="1:20">
      <c r="A32" s="226">
        <v>90206</v>
      </c>
      <c r="B32" s="227" t="s">
        <v>746</v>
      </c>
      <c r="C32" s="87">
        <v>4.2069999999999998E-4</v>
      </c>
      <c r="D32" s="87">
        <v>4.347E-4</v>
      </c>
      <c r="E32" s="231">
        <v>642713</v>
      </c>
      <c r="F32" s="231"/>
      <c r="G32" s="232">
        <v>37026</v>
      </c>
      <c r="H32" s="220">
        <v>156051</v>
      </c>
      <c r="I32" s="232">
        <v>91788</v>
      </c>
      <c r="J32" s="231">
        <v>8978</v>
      </c>
      <c r="K32" s="220">
        <f t="shared" si="0"/>
        <v>293843</v>
      </c>
      <c r="L32" s="231"/>
      <c r="M32" s="232">
        <v>18193</v>
      </c>
      <c r="N32" s="232">
        <v>0</v>
      </c>
      <c r="O32" s="231">
        <v>25382</v>
      </c>
      <c r="P32" s="220">
        <f t="shared" si="1"/>
        <v>43575</v>
      </c>
      <c r="Q32" s="231"/>
      <c r="R32" s="232">
        <v>216595</v>
      </c>
      <c r="S32" s="233">
        <v>1315</v>
      </c>
      <c r="T32" s="233">
        <v>217910</v>
      </c>
    </row>
    <row r="33" spans="1:20">
      <c r="A33" s="226">
        <v>90211</v>
      </c>
      <c r="B33" s="227" t="s">
        <v>747</v>
      </c>
      <c r="C33" s="87">
        <v>1.4799999999999999E-4</v>
      </c>
      <c r="D33" s="87">
        <v>1.5689999999999999E-4</v>
      </c>
      <c r="E33" s="231">
        <v>226103</v>
      </c>
      <c r="F33" s="231"/>
      <c r="G33" s="232">
        <v>13026</v>
      </c>
      <c r="H33" s="220">
        <v>54898</v>
      </c>
      <c r="I33" s="232">
        <v>32291</v>
      </c>
      <c r="J33" s="231">
        <v>0</v>
      </c>
      <c r="K33" s="220">
        <f t="shared" si="0"/>
        <v>100215</v>
      </c>
      <c r="L33" s="231"/>
      <c r="M33" s="232">
        <v>6400</v>
      </c>
      <c r="N33" s="232">
        <v>0</v>
      </c>
      <c r="O33" s="231">
        <v>15344</v>
      </c>
      <c r="P33" s="220">
        <f t="shared" si="1"/>
        <v>21744</v>
      </c>
      <c r="Q33" s="231"/>
      <c r="R33" s="232">
        <v>76197</v>
      </c>
      <c r="S33" s="233">
        <v>-6134</v>
      </c>
      <c r="T33" s="233">
        <v>70063</v>
      </c>
    </row>
    <row r="34" spans="1:20">
      <c r="A34" s="226">
        <v>90301</v>
      </c>
      <c r="B34" s="227" t="s">
        <v>748</v>
      </c>
      <c r="C34" s="87">
        <v>6.7040000000000003E-4</v>
      </c>
      <c r="D34" s="87">
        <v>6.4000000000000005E-4</v>
      </c>
      <c r="E34" s="231">
        <v>1024185</v>
      </c>
      <c r="F34" s="231"/>
      <c r="G34" s="232">
        <v>59003</v>
      </c>
      <c r="H34" s="220">
        <v>248673</v>
      </c>
      <c r="I34" s="232">
        <v>146268</v>
      </c>
      <c r="J34" s="231">
        <v>4314</v>
      </c>
      <c r="K34" s="220">
        <f t="shared" si="0"/>
        <v>458258</v>
      </c>
      <c r="L34" s="231"/>
      <c r="M34" s="232">
        <v>28991</v>
      </c>
      <c r="N34" s="232">
        <v>0</v>
      </c>
      <c r="O34" s="231">
        <v>13341</v>
      </c>
      <c r="P34" s="220">
        <f t="shared" si="1"/>
        <v>42332</v>
      </c>
      <c r="Q34" s="231"/>
      <c r="R34" s="232">
        <v>345151</v>
      </c>
      <c r="S34" s="233">
        <v>-5567</v>
      </c>
      <c r="T34" s="233">
        <v>339584</v>
      </c>
    </row>
    <row r="35" spans="1:20">
      <c r="A35" s="226">
        <v>90305</v>
      </c>
      <c r="B35" s="227" t="s">
        <v>749</v>
      </c>
      <c r="C35" s="87">
        <v>1.617E-4</v>
      </c>
      <c r="D35" s="87">
        <v>1.7009999999999999E-4</v>
      </c>
      <c r="E35" s="231">
        <v>247033</v>
      </c>
      <c r="F35" s="231"/>
      <c r="G35" s="232">
        <v>14231</v>
      </c>
      <c r="H35" s="220">
        <v>59980</v>
      </c>
      <c r="I35" s="232">
        <v>35280</v>
      </c>
      <c r="J35" s="231">
        <v>20715</v>
      </c>
      <c r="K35" s="220">
        <f t="shared" si="0"/>
        <v>130206</v>
      </c>
      <c r="L35" s="231"/>
      <c r="M35" s="232">
        <v>6993</v>
      </c>
      <c r="N35" s="232">
        <v>0</v>
      </c>
      <c r="O35" s="231">
        <v>0</v>
      </c>
      <c r="P35" s="220">
        <f t="shared" si="1"/>
        <v>6993</v>
      </c>
      <c r="Q35" s="231"/>
      <c r="R35" s="232">
        <v>83250</v>
      </c>
      <c r="S35" s="233">
        <v>10025</v>
      </c>
      <c r="T35" s="233">
        <v>93275</v>
      </c>
    </row>
    <row r="36" spans="1:20">
      <c r="A36" s="226">
        <v>90307</v>
      </c>
      <c r="B36" s="227" t="s">
        <v>750</v>
      </c>
      <c r="C36" s="87">
        <v>7.7999999999999999E-6</v>
      </c>
      <c r="D36" s="87">
        <v>7.7000000000000008E-6</v>
      </c>
      <c r="E36" s="231">
        <v>11916</v>
      </c>
      <c r="F36" s="231"/>
      <c r="G36" s="232">
        <v>686</v>
      </c>
      <c r="H36" s="220">
        <v>2893</v>
      </c>
      <c r="I36" s="232">
        <v>1702</v>
      </c>
      <c r="J36" s="231">
        <v>647</v>
      </c>
      <c r="K36" s="220">
        <f t="shared" si="0"/>
        <v>5928</v>
      </c>
      <c r="L36" s="231"/>
      <c r="M36" s="232">
        <v>337</v>
      </c>
      <c r="N36" s="232">
        <v>0</v>
      </c>
      <c r="O36" s="231">
        <v>40</v>
      </c>
      <c r="P36" s="220">
        <f t="shared" si="1"/>
        <v>377</v>
      </c>
      <c r="Q36" s="231"/>
      <c r="R36" s="232">
        <v>4016</v>
      </c>
      <c r="S36" s="233">
        <v>160</v>
      </c>
      <c r="T36" s="233">
        <v>4176</v>
      </c>
    </row>
    <row r="37" spans="1:20">
      <c r="A37" s="226">
        <v>90401</v>
      </c>
      <c r="B37" s="227" t="s">
        <v>751</v>
      </c>
      <c r="C37" s="87">
        <v>1.3270999999999999E-3</v>
      </c>
      <c r="D37" s="87">
        <v>1.3626999999999999E-3</v>
      </c>
      <c r="E37" s="231">
        <v>2027441</v>
      </c>
      <c r="F37" s="231"/>
      <c r="G37" s="232">
        <v>116799</v>
      </c>
      <c r="H37" s="220">
        <v>492266</v>
      </c>
      <c r="I37" s="232">
        <v>289547</v>
      </c>
      <c r="J37" s="231">
        <v>44019</v>
      </c>
      <c r="K37" s="220">
        <f t="shared" si="0"/>
        <v>942631</v>
      </c>
      <c r="L37" s="231"/>
      <c r="M37" s="232">
        <v>57390</v>
      </c>
      <c r="N37" s="232">
        <v>0</v>
      </c>
      <c r="O37" s="231">
        <v>11305</v>
      </c>
      <c r="P37" s="220">
        <f t="shared" si="1"/>
        <v>68695</v>
      </c>
      <c r="Q37" s="231"/>
      <c r="R37" s="232">
        <v>683249</v>
      </c>
      <c r="S37" s="233">
        <v>23981</v>
      </c>
      <c r="T37" s="233">
        <v>707230</v>
      </c>
    </row>
    <row r="38" spans="1:20">
      <c r="A38" s="226">
        <v>90411</v>
      </c>
      <c r="B38" s="227" t="s">
        <v>752</v>
      </c>
      <c r="C38" s="87">
        <v>3.5100000000000002E-4</v>
      </c>
      <c r="D38" s="87">
        <v>3.5490000000000001E-4</v>
      </c>
      <c r="E38" s="231">
        <v>536231</v>
      </c>
      <c r="F38" s="231"/>
      <c r="G38" s="232">
        <v>30892</v>
      </c>
      <c r="H38" s="220">
        <v>130197</v>
      </c>
      <c r="I38" s="232">
        <v>76581</v>
      </c>
      <c r="J38" s="231">
        <v>0</v>
      </c>
      <c r="K38" s="220">
        <f t="shared" si="0"/>
        <v>237670</v>
      </c>
      <c r="L38" s="231"/>
      <c r="M38" s="232">
        <v>15179</v>
      </c>
      <c r="N38" s="232">
        <v>0</v>
      </c>
      <c r="O38" s="231">
        <v>41985</v>
      </c>
      <c r="P38" s="220">
        <f t="shared" si="1"/>
        <v>57164</v>
      </c>
      <c r="Q38" s="231"/>
      <c r="R38" s="232">
        <v>180710</v>
      </c>
      <c r="S38" s="233">
        <v>-15971</v>
      </c>
      <c r="T38" s="233">
        <v>164739</v>
      </c>
    </row>
    <row r="39" spans="1:20">
      <c r="A39" s="226">
        <v>90413</v>
      </c>
      <c r="B39" s="227" t="s">
        <v>753</v>
      </c>
      <c r="C39" s="87">
        <v>3.4600000000000001E-5</v>
      </c>
      <c r="D39" s="87">
        <v>3.7299999999999999E-5</v>
      </c>
      <c r="E39" s="231">
        <v>52859</v>
      </c>
      <c r="F39" s="231"/>
      <c r="G39" s="232">
        <v>3045</v>
      </c>
      <c r="H39" s="220">
        <v>12834</v>
      </c>
      <c r="I39" s="232">
        <v>7549</v>
      </c>
      <c r="J39" s="231">
        <v>5923</v>
      </c>
      <c r="K39" s="220">
        <f t="shared" si="0"/>
        <v>29351</v>
      </c>
      <c r="L39" s="231"/>
      <c r="M39" s="232">
        <v>1496</v>
      </c>
      <c r="N39" s="232">
        <v>0</v>
      </c>
      <c r="O39" s="231">
        <v>916</v>
      </c>
      <c r="P39" s="220">
        <f t="shared" si="1"/>
        <v>2412</v>
      </c>
      <c r="Q39" s="231"/>
      <c r="R39" s="232">
        <v>17814</v>
      </c>
      <c r="S39" s="233">
        <v>3416</v>
      </c>
      <c r="T39" s="233">
        <v>21230</v>
      </c>
    </row>
    <row r="40" spans="1:20">
      <c r="A40" s="226">
        <v>90417</v>
      </c>
      <c r="B40" s="227" t="s">
        <v>754</v>
      </c>
      <c r="C40" s="87">
        <v>1.17E-5</v>
      </c>
      <c r="D40" s="87">
        <v>1.2099999999999999E-5</v>
      </c>
      <c r="E40" s="231">
        <v>17874</v>
      </c>
      <c r="F40" s="231"/>
      <c r="G40" s="232">
        <v>1030</v>
      </c>
      <c r="H40" s="220">
        <v>4340</v>
      </c>
      <c r="I40" s="232">
        <v>2553</v>
      </c>
      <c r="J40" s="231">
        <v>3477</v>
      </c>
      <c r="K40" s="220">
        <f t="shared" si="0"/>
        <v>11400</v>
      </c>
      <c r="L40" s="231"/>
      <c r="M40" s="232">
        <v>506</v>
      </c>
      <c r="N40" s="232">
        <v>0</v>
      </c>
      <c r="O40" s="231">
        <v>0</v>
      </c>
      <c r="P40" s="220">
        <f t="shared" si="1"/>
        <v>506</v>
      </c>
      <c r="Q40" s="231"/>
      <c r="R40" s="232">
        <v>6024</v>
      </c>
      <c r="S40" s="233">
        <v>1221</v>
      </c>
      <c r="T40" s="233">
        <f>7244+1</f>
        <v>7245</v>
      </c>
    </row>
    <row r="41" spans="1:20">
      <c r="A41" s="226">
        <v>90421</v>
      </c>
      <c r="B41" s="227" t="s">
        <v>755</v>
      </c>
      <c r="C41" s="87">
        <v>2.19E-5</v>
      </c>
      <c r="D41" s="87">
        <v>2.3600000000000001E-5</v>
      </c>
      <c r="E41" s="231">
        <v>33457</v>
      </c>
      <c r="F41" s="231"/>
      <c r="G41" s="232">
        <v>1927</v>
      </c>
      <c r="H41" s="220">
        <v>8123</v>
      </c>
      <c r="I41" s="232">
        <v>4778</v>
      </c>
      <c r="J41" s="231">
        <v>0</v>
      </c>
      <c r="K41" s="220">
        <f t="shared" si="0"/>
        <v>14828</v>
      </c>
      <c r="L41" s="231"/>
      <c r="M41" s="232">
        <v>947</v>
      </c>
      <c r="N41" s="232">
        <v>0</v>
      </c>
      <c r="O41" s="231">
        <v>4721</v>
      </c>
      <c r="P41" s="220">
        <f t="shared" si="1"/>
        <v>5668</v>
      </c>
      <c r="Q41" s="231"/>
      <c r="R41" s="232">
        <v>11275</v>
      </c>
      <c r="S41" s="233">
        <v>-1814</v>
      </c>
      <c r="T41" s="233">
        <v>9461</v>
      </c>
    </row>
    <row r="42" spans="1:20">
      <c r="A42" s="226">
        <v>90431</v>
      </c>
      <c r="B42" s="227" t="s">
        <v>756</v>
      </c>
      <c r="C42" s="87">
        <v>4.8300000000000002E-5</v>
      </c>
      <c r="D42" s="87">
        <v>4.2799999999999997E-5</v>
      </c>
      <c r="E42" s="231">
        <v>73789</v>
      </c>
      <c r="F42" s="231"/>
      <c r="G42" s="232">
        <v>4251</v>
      </c>
      <c r="H42" s="220">
        <v>17916</v>
      </c>
      <c r="I42" s="232">
        <v>10538</v>
      </c>
      <c r="J42" s="231">
        <v>8663</v>
      </c>
      <c r="K42" s="220">
        <f t="shared" si="0"/>
        <v>41368</v>
      </c>
      <c r="L42" s="231"/>
      <c r="M42" s="232">
        <v>2089</v>
      </c>
      <c r="N42" s="232">
        <v>0</v>
      </c>
      <c r="O42" s="231">
        <v>1273</v>
      </c>
      <c r="P42" s="220">
        <f t="shared" si="1"/>
        <v>3362</v>
      </c>
      <c r="Q42" s="231"/>
      <c r="R42" s="232">
        <v>24867</v>
      </c>
      <c r="S42" s="233">
        <v>3649</v>
      </c>
      <c r="T42" s="233">
        <v>28516</v>
      </c>
    </row>
    <row r="43" spans="1:20">
      <c r="A43" s="226">
        <v>90441</v>
      </c>
      <c r="B43" s="227" t="s">
        <v>757</v>
      </c>
      <c r="C43" s="87">
        <v>8.3999999999999992E-6</v>
      </c>
      <c r="D43" s="87">
        <v>9.3999999999999998E-6</v>
      </c>
      <c r="E43" s="231">
        <v>12833</v>
      </c>
      <c r="F43" s="231"/>
      <c r="G43" s="232">
        <v>739</v>
      </c>
      <c r="H43" s="220">
        <v>3115</v>
      </c>
      <c r="I43" s="232">
        <v>1833</v>
      </c>
      <c r="J43" s="231">
        <v>890</v>
      </c>
      <c r="K43" s="220">
        <f t="shared" si="0"/>
        <v>6577</v>
      </c>
      <c r="L43" s="231"/>
      <c r="M43" s="232">
        <v>363</v>
      </c>
      <c r="N43" s="232">
        <v>0</v>
      </c>
      <c r="O43" s="231">
        <v>129</v>
      </c>
      <c r="P43" s="220">
        <f t="shared" si="1"/>
        <v>492</v>
      </c>
      <c r="Q43" s="231"/>
      <c r="R43" s="232">
        <v>4325</v>
      </c>
      <c r="S43" s="233">
        <v>621</v>
      </c>
      <c r="T43" s="233">
        <v>4946</v>
      </c>
    </row>
    <row r="44" spans="1:20">
      <c r="A44" s="226">
        <v>90451</v>
      </c>
      <c r="B44" s="227" t="s">
        <v>758</v>
      </c>
      <c r="C44" s="87">
        <v>1.6699999999999999E-5</v>
      </c>
      <c r="D44" s="87">
        <v>1.7900000000000001E-5</v>
      </c>
      <c r="E44" s="231">
        <v>25513</v>
      </c>
      <c r="F44" s="231"/>
      <c r="G44" s="232">
        <v>1470</v>
      </c>
      <c r="H44" s="220">
        <v>6194</v>
      </c>
      <c r="I44" s="232">
        <v>3644</v>
      </c>
      <c r="J44" s="231">
        <v>2202</v>
      </c>
      <c r="K44" s="220">
        <f t="shared" si="0"/>
        <v>13510</v>
      </c>
      <c r="L44" s="231"/>
      <c r="M44" s="232">
        <v>722</v>
      </c>
      <c r="N44" s="232">
        <v>0</v>
      </c>
      <c r="O44" s="231">
        <v>903</v>
      </c>
      <c r="P44" s="220">
        <f t="shared" si="1"/>
        <v>1625</v>
      </c>
      <c r="Q44" s="231"/>
      <c r="R44" s="232">
        <v>8598</v>
      </c>
      <c r="S44" s="233">
        <v>635</v>
      </c>
      <c r="T44" s="233">
        <f>9232+1</f>
        <v>9233</v>
      </c>
    </row>
    <row r="45" spans="1:20">
      <c r="A45" s="226">
        <v>90461</v>
      </c>
      <c r="B45" s="227" t="s">
        <v>759</v>
      </c>
      <c r="C45" s="87">
        <v>7.4000000000000003E-6</v>
      </c>
      <c r="D45" s="87">
        <v>1.7200000000000001E-5</v>
      </c>
      <c r="E45" s="231">
        <v>11305</v>
      </c>
      <c r="F45" s="231"/>
      <c r="G45" s="232">
        <v>651</v>
      </c>
      <c r="H45" s="220">
        <v>2745</v>
      </c>
      <c r="I45" s="232">
        <v>1615</v>
      </c>
      <c r="J45" s="231">
        <v>3066</v>
      </c>
      <c r="K45" s="220">
        <f t="shared" si="0"/>
        <v>8077</v>
      </c>
      <c r="L45" s="231"/>
      <c r="M45" s="232">
        <v>320</v>
      </c>
      <c r="N45" s="232">
        <v>0</v>
      </c>
      <c r="O45" s="231">
        <v>7660</v>
      </c>
      <c r="P45" s="220">
        <f t="shared" si="1"/>
        <v>7980</v>
      </c>
      <c r="Q45" s="231"/>
      <c r="R45" s="232">
        <v>3810</v>
      </c>
      <c r="S45" s="233">
        <v>-1001</v>
      </c>
      <c r="T45" s="233">
        <f>2808+1</f>
        <v>2809</v>
      </c>
    </row>
    <row r="46" spans="1:20">
      <c r="A46" s="226">
        <v>90501</v>
      </c>
      <c r="B46" s="227" t="s">
        <v>760</v>
      </c>
      <c r="C46" s="87">
        <v>1.4176E-3</v>
      </c>
      <c r="D46" s="87">
        <v>1.4001E-3</v>
      </c>
      <c r="E46" s="231">
        <v>2165700</v>
      </c>
      <c r="F46" s="231"/>
      <c r="G46" s="232">
        <v>124764</v>
      </c>
      <c r="H46" s="220">
        <v>525835</v>
      </c>
      <c r="I46" s="232">
        <v>309292</v>
      </c>
      <c r="J46" s="231">
        <v>53925</v>
      </c>
      <c r="K46" s="220">
        <f t="shared" si="0"/>
        <v>1013816</v>
      </c>
      <c r="L46" s="231"/>
      <c r="M46" s="232">
        <v>61304</v>
      </c>
      <c r="N46" s="232">
        <v>0</v>
      </c>
      <c r="O46" s="231">
        <v>0</v>
      </c>
      <c r="P46" s="220">
        <f t="shared" si="1"/>
        <v>61304</v>
      </c>
      <c r="Q46" s="231"/>
      <c r="R46" s="232">
        <v>729843</v>
      </c>
      <c r="S46" s="233">
        <v>27148</v>
      </c>
      <c r="T46" s="233">
        <v>756991</v>
      </c>
    </row>
    <row r="47" spans="1:20">
      <c r="A47" s="226">
        <v>90507</v>
      </c>
      <c r="B47" s="227" t="s">
        <v>34</v>
      </c>
      <c r="C47" s="87">
        <v>6.6000000000000003E-6</v>
      </c>
      <c r="D47" s="87">
        <v>7.3000000000000004E-6</v>
      </c>
      <c r="E47" s="231">
        <v>10083</v>
      </c>
      <c r="F47" s="231"/>
      <c r="G47" s="232">
        <v>581</v>
      </c>
      <c r="H47" s="220">
        <v>2448</v>
      </c>
      <c r="I47" s="232">
        <v>1440</v>
      </c>
      <c r="J47" s="231">
        <v>11545</v>
      </c>
      <c r="K47" s="220">
        <f t="shared" si="0"/>
        <v>16014</v>
      </c>
      <c r="L47" s="231"/>
      <c r="M47" s="232">
        <v>285</v>
      </c>
      <c r="N47" s="232">
        <v>0</v>
      </c>
      <c r="O47" s="231">
        <v>0</v>
      </c>
      <c r="P47" s="220">
        <f t="shared" si="1"/>
        <v>285</v>
      </c>
      <c r="Q47" s="231"/>
      <c r="R47" s="232">
        <v>3398</v>
      </c>
      <c r="S47" s="233">
        <v>4117</v>
      </c>
      <c r="T47" s="233">
        <v>7515</v>
      </c>
    </row>
    <row r="48" spans="1:20">
      <c r="A48" s="226">
        <v>90511</v>
      </c>
      <c r="B48" s="227" t="s">
        <v>761</v>
      </c>
      <c r="C48" s="87">
        <v>8.7000000000000001E-5</v>
      </c>
      <c r="D48" s="87">
        <v>9.5500000000000004E-5</v>
      </c>
      <c r="E48" s="231">
        <v>132912</v>
      </c>
      <c r="F48" s="231"/>
      <c r="G48" s="232">
        <v>7657</v>
      </c>
      <c r="H48" s="220">
        <v>32271</v>
      </c>
      <c r="I48" s="232">
        <v>18982</v>
      </c>
      <c r="J48" s="231">
        <v>14433</v>
      </c>
      <c r="K48" s="220">
        <f t="shared" si="0"/>
        <v>73343</v>
      </c>
      <c r="L48" s="231"/>
      <c r="M48" s="232">
        <v>3762</v>
      </c>
      <c r="N48" s="232">
        <v>0</v>
      </c>
      <c r="O48" s="231">
        <v>0</v>
      </c>
      <c r="P48" s="220">
        <f t="shared" si="1"/>
        <v>3762</v>
      </c>
      <c r="Q48" s="231"/>
      <c r="R48" s="232">
        <v>44791</v>
      </c>
      <c r="S48" s="233">
        <v>6485</v>
      </c>
      <c r="T48" s="233">
        <f>51277-1</f>
        <v>51276</v>
      </c>
    </row>
    <row r="49" spans="1:20">
      <c r="A49" s="226">
        <v>90521</v>
      </c>
      <c r="B49" s="227" t="s">
        <v>762</v>
      </c>
      <c r="C49" s="87">
        <v>1.3880000000000001E-4</v>
      </c>
      <c r="D49" s="87">
        <v>1.395E-4</v>
      </c>
      <c r="E49" s="231">
        <v>212048</v>
      </c>
      <c r="F49" s="231"/>
      <c r="G49" s="232">
        <v>12216</v>
      </c>
      <c r="H49" s="220">
        <v>51485</v>
      </c>
      <c r="I49" s="232">
        <v>30283</v>
      </c>
      <c r="J49" s="231">
        <v>0</v>
      </c>
      <c r="K49" s="220">
        <f t="shared" si="0"/>
        <v>93984</v>
      </c>
      <c r="L49" s="231"/>
      <c r="M49" s="232">
        <v>6002</v>
      </c>
      <c r="N49" s="232">
        <v>0</v>
      </c>
      <c r="O49" s="231">
        <v>18446</v>
      </c>
      <c r="P49" s="220">
        <f t="shared" si="1"/>
        <v>24448</v>
      </c>
      <c r="Q49" s="231"/>
      <c r="R49" s="232">
        <v>71460</v>
      </c>
      <c r="S49" s="233">
        <v>-7131</v>
      </c>
      <c r="T49" s="233">
        <v>64329</v>
      </c>
    </row>
    <row r="50" spans="1:20">
      <c r="A50" s="226">
        <v>90601</v>
      </c>
      <c r="B50" s="227" t="s">
        <v>763</v>
      </c>
      <c r="C50" s="87">
        <v>1.1888000000000001E-3</v>
      </c>
      <c r="D50" s="87">
        <v>1.1785999999999999E-3</v>
      </c>
      <c r="E50" s="231">
        <v>1816157</v>
      </c>
      <c r="F50" s="231"/>
      <c r="G50" s="232">
        <v>104627</v>
      </c>
      <c r="H50" s="220">
        <v>440965</v>
      </c>
      <c r="I50" s="232">
        <v>259372</v>
      </c>
      <c r="J50" s="231">
        <v>20795</v>
      </c>
      <c r="K50" s="220">
        <f t="shared" si="0"/>
        <v>825759</v>
      </c>
      <c r="L50" s="231"/>
      <c r="M50" s="232">
        <v>51410</v>
      </c>
      <c r="N50" s="232">
        <v>0</v>
      </c>
      <c r="O50" s="231">
        <v>19784</v>
      </c>
      <c r="P50" s="220">
        <f t="shared" si="1"/>
        <v>71194</v>
      </c>
      <c r="Q50" s="231"/>
      <c r="R50" s="232">
        <v>612047</v>
      </c>
      <c r="S50" s="233">
        <v>8359</v>
      </c>
      <c r="T50" s="233">
        <v>620406</v>
      </c>
    </row>
    <row r="51" spans="1:20">
      <c r="A51" s="226">
        <v>90602</v>
      </c>
      <c r="B51" s="227" t="s">
        <v>259</v>
      </c>
      <c r="C51" s="87">
        <v>6.3899999999999995E-5</v>
      </c>
      <c r="D51" s="87">
        <v>6.3299999999999994E-5</v>
      </c>
      <c r="E51" s="231">
        <v>97621</v>
      </c>
      <c r="F51" s="231"/>
      <c r="G51" s="232">
        <v>5624</v>
      </c>
      <c r="H51" s="220">
        <v>23703</v>
      </c>
      <c r="I51" s="232">
        <v>13942</v>
      </c>
      <c r="J51" s="231">
        <v>38810</v>
      </c>
      <c r="K51" s="220">
        <f t="shared" si="0"/>
        <v>82079</v>
      </c>
      <c r="L51" s="231"/>
      <c r="M51" s="232">
        <v>2763</v>
      </c>
      <c r="N51" s="232">
        <v>0</v>
      </c>
      <c r="O51" s="231">
        <v>0</v>
      </c>
      <c r="P51" s="220">
        <f t="shared" si="1"/>
        <v>2763</v>
      </c>
      <c r="Q51" s="231"/>
      <c r="R51" s="232">
        <v>32899</v>
      </c>
      <c r="S51" s="233">
        <v>14161</v>
      </c>
      <c r="T51" s="233">
        <f>47059+1</f>
        <v>47060</v>
      </c>
    </row>
    <row r="52" spans="1:20">
      <c r="A52" s="226">
        <v>90605</v>
      </c>
      <c r="B52" s="227" t="s">
        <v>764</v>
      </c>
      <c r="C52" s="87">
        <v>4.1999999999999998E-5</v>
      </c>
      <c r="D52" s="87">
        <v>3.8399999999999998E-5</v>
      </c>
      <c r="E52" s="231">
        <v>64164</v>
      </c>
      <c r="F52" s="231"/>
      <c r="G52" s="232">
        <v>3696</v>
      </c>
      <c r="H52" s="220">
        <v>15579</v>
      </c>
      <c r="I52" s="232">
        <v>9164</v>
      </c>
      <c r="J52" s="231">
        <v>15425</v>
      </c>
      <c r="K52" s="220">
        <f t="shared" si="0"/>
        <v>43864</v>
      </c>
      <c r="L52" s="231"/>
      <c r="M52" s="232">
        <v>1816</v>
      </c>
      <c r="N52" s="232">
        <v>0</v>
      </c>
      <c r="O52" s="231">
        <v>0</v>
      </c>
      <c r="P52" s="220">
        <f t="shared" si="1"/>
        <v>1816</v>
      </c>
      <c r="Q52" s="231"/>
      <c r="R52" s="232">
        <v>21623</v>
      </c>
      <c r="S52" s="233">
        <v>5623</v>
      </c>
      <c r="T52" s="233">
        <f>27247-1</f>
        <v>27246</v>
      </c>
    </row>
    <row r="53" spans="1:20">
      <c r="A53" s="226">
        <v>90611</v>
      </c>
      <c r="B53" s="227" t="s">
        <v>765</v>
      </c>
      <c r="C53" s="87">
        <v>1.4880000000000001E-4</v>
      </c>
      <c r="D53" s="87">
        <v>1.5669999999999999E-4</v>
      </c>
      <c r="E53" s="231">
        <v>227325</v>
      </c>
      <c r="F53" s="231"/>
      <c r="G53" s="232">
        <v>13096</v>
      </c>
      <c r="H53" s="220">
        <v>55195</v>
      </c>
      <c r="I53" s="232">
        <v>32465</v>
      </c>
      <c r="J53" s="231">
        <v>2524</v>
      </c>
      <c r="K53" s="220">
        <f t="shared" si="0"/>
        <v>103280</v>
      </c>
      <c r="L53" s="231"/>
      <c r="M53" s="232">
        <v>6435</v>
      </c>
      <c r="N53" s="232">
        <v>0</v>
      </c>
      <c r="O53" s="231">
        <v>18006</v>
      </c>
      <c r="P53" s="220">
        <f t="shared" si="1"/>
        <v>24441</v>
      </c>
      <c r="Q53" s="231"/>
      <c r="R53" s="232">
        <v>76609</v>
      </c>
      <c r="S53" s="233">
        <v>-3082</v>
      </c>
      <c r="T53" s="233">
        <v>73527</v>
      </c>
    </row>
    <row r="54" spans="1:20">
      <c r="A54" s="226">
        <v>90617</v>
      </c>
      <c r="B54" s="227" t="s">
        <v>766</v>
      </c>
      <c r="C54" s="87">
        <v>2.5999999999999998E-5</v>
      </c>
      <c r="D54" s="87">
        <v>2.6800000000000001E-5</v>
      </c>
      <c r="E54" s="231">
        <v>39721</v>
      </c>
      <c r="F54" s="231"/>
      <c r="G54" s="232">
        <v>2288</v>
      </c>
      <c r="H54" s="220">
        <v>9644</v>
      </c>
      <c r="I54" s="232">
        <v>5673</v>
      </c>
      <c r="J54" s="231">
        <v>7632</v>
      </c>
      <c r="K54" s="220">
        <f t="shared" si="0"/>
        <v>25237</v>
      </c>
      <c r="L54" s="231"/>
      <c r="M54" s="232">
        <v>1124</v>
      </c>
      <c r="N54" s="232">
        <v>0</v>
      </c>
      <c r="O54" s="231">
        <v>0</v>
      </c>
      <c r="P54" s="220">
        <f t="shared" si="1"/>
        <v>1124</v>
      </c>
      <c r="Q54" s="231"/>
      <c r="R54" s="232">
        <v>13386</v>
      </c>
      <c r="S54" s="233">
        <v>4087</v>
      </c>
      <c r="T54" s="233">
        <v>17473</v>
      </c>
    </row>
    <row r="55" spans="1:20">
      <c r="A55" s="226">
        <v>90621</v>
      </c>
      <c r="B55" s="227" t="s">
        <v>767</v>
      </c>
      <c r="C55" s="87">
        <v>6.3999999999999997E-5</v>
      </c>
      <c r="D55" s="87">
        <v>8.2100000000000003E-5</v>
      </c>
      <c r="E55" s="231">
        <v>97774</v>
      </c>
      <c r="F55" s="231"/>
      <c r="G55" s="232">
        <v>5633</v>
      </c>
      <c r="H55" s="220">
        <v>23740</v>
      </c>
      <c r="I55" s="232">
        <v>13964</v>
      </c>
      <c r="J55" s="231">
        <v>588</v>
      </c>
      <c r="K55" s="220">
        <f t="shared" si="0"/>
        <v>43925</v>
      </c>
      <c r="L55" s="231"/>
      <c r="M55" s="232">
        <v>2768</v>
      </c>
      <c r="N55" s="232">
        <v>0</v>
      </c>
      <c r="O55" s="231">
        <v>19000</v>
      </c>
      <c r="P55" s="220">
        <f t="shared" si="1"/>
        <v>21768</v>
      </c>
      <c r="Q55" s="231"/>
      <c r="R55" s="232">
        <v>32950</v>
      </c>
      <c r="S55" s="233">
        <v>-5337</v>
      </c>
      <c r="T55" s="233">
        <v>27613</v>
      </c>
    </row>
    <row r="56" spans="1:20">
      <c r="A56" s="226">
        <v>90631</v>
      </c>
      <c r="B56" s="227" t="s">
        <v>768</v>
      </c>
      <c r="C56" s="87">
        <v>3.9560000000000002E-4</v>
      </c>
      <c r="D56" s="87">
        <v>3.8000000000000002E-4</v>
      </c>
      <c r="E56" s="231">
        <v>604367</v>
      </c>
      <c r="F56" s="231"/>
      <c r="G56" s="232">
        <v>34817</v>
      </c>
      <c r="H56" s="220">
        <v>146742</v>
      </c>
      <c r="I56" s="232">
        <v>86312</v>
      </c>
      <c r="J56" s="231">
        <v>17764</v>
      </c>
      <c r="K56" s="220">
        <f t="shared" si="0"/>
        <v>285635</v>
      </c>
      <c r="L56" s="231"/>
      <c r="M56" s="232">
        <v>17108</v>
      </c>
      <c r="N56" s="232">
        <v>0</v>
      </c>
      <c r="O56" s="231">
        <v>8233</v>
      </c>
      <c r="P56" s="220">
        <f t="shared" si="1"/>
        <v>25341</v>
      </c>
      <c r="Q56" s="231"/>
      <c r="R56" s="232">
        <v>203672</v>
      </c>
      <c r="S56" s="233">
        <v>-484</v>
      </c>
      <c r="T56" s="233">
        <f>203189-1</f>
        <v>203188</v>
      </c>
    </row>
    <row r="57" spans="1:20">
      <c r="A57" s="226">
        <v>90641</v>
      </c>
      <c r="B57" s="227" t="s">
        <v>769</v>
      </c>
      <c r="C57" s="87">
        <v>1.38E-5</v>
      </c>
      <c r="D57" s="87">
        <v>1.4399999999999999E-5</v>
      </c>
      <c r="E57" s="231">
        <v>21083</v>
      </c>
      <c r="F57" s="231"/>
      <c r="G57" s="232">
        <v>1215</v>
      </c>
      <c r="H57" s="220">
        <v>5118</v>
      </c>
      <c r="I57" s="232">
        <v>3011</v>
      </c>
      <c r="J57" s="231">
        <v>304</v>
      </c>
      <c r="K57" s="220">
        <f t="shared" si="0"/>
        <v>9648</v>
      </c>
      <c r="L57" s="231"/>
      <c r="M57" s="232">
        <v>597</v>
      </c>
      <c r="N57" s="232">
        <v>0</v>
      </c>
      <c r="O57" s="231">
        <v>517</v>
      </c>
      <c r="P57" s="220">
        <f t="shared" si="1"/>
        <v>1114</v>
      </c>
      <c r="Q57" s="231"/>
      <c r="R57" s="232">
        <v>7105</v>
      </c>
      <c r="S57" s="233">
        <v>-123</v>
      </c>
      <c r="T57" s="233">
        <v>6982</v>
      </c>
    </row>
    <row r="58" spans="1:20">
      <c r="A58" s="226">
        <v>90651</v>
      </c>
      <c r="B58" s="227" t="s">
        <v>770</v>
      </c>
      <c r="C58" s="87">
        <v>1E-4</v>
      </c>
      <c r="D58" s="87">
        <v>1.108E-4</v>
      </c>
      <c r="E58" s="231">
        <v>152772</v>
      </c>
      <c r="F58" s="231"/>
      <c r="G58" s="232">
        <v>8801</v>
      </c>
      <c r="H58" s="220">
        <v>37093</v>
      </c>
      <c r="I58" s="232">
        <v>21818</v>
      </c>
      <c r="J58" s="231">
        <v>85885</v>
      </c>
      <c r="K58" s="220">
        <f t="shared" si="0"/>
        <v>153597</v>
      </c>
      <c r="L58" s="231"/>
      <c r="M58" s="232">
        <v>4325</v>
      </c>
      <c r="N58" s="232">
        <v>0</v>
      </c>
      <c r="O58" s="231">
        <v>4659</v>
      </c>
      <c r="P58" s="220">
        <f t="shared" si="1"/>
        <v>8984</v>
      </c>
      <c r="Q58" s="231"/>
      <c r="R58" s="232">
        <v>51484</v>
      </c>
      <c r="S58" s="233">
        <v>25671</v>
      </c>
      <c r="T58" s="233">
        <f>77156-1</f>
        <v>77155</v>
      </c>
    </row>
    <row r="59" spans="1:20">
      <c r="A59" s="226">
        <v>90701</v>
      </c>
      <c r="B59" s="227" t="s">
        <v>771</v>
      </c>
      <c r="C59" s="87">
        <v>2.6581E-3</v>
      </c>
      <c r="D59" s="87">
        <v>2.3587E-3</v>
      </c>
      <c r="E59" s="231">
        <v>4060841</v>
      </c>
      <c r="F59" s="231"/>
      <c r="G59" s="232">
        <v>233942</v>
      </c>
      <c r="H59" s="220">
        <v>985977</v>
      </c>
      <c r="I59" s="232">
        <v>579944</v>
      </c>
      <c r="J59" s="231">
        <v>130818</v>
      </c>
      <c r="K59" s="220">
        <f t="shared" si="0"/>
        <v>1930681</v>
      </c>
      <c r="L59" s="231"/>
      <c r="M59" s="232">
        <v>114950</v>
      </c>
      <c r="N59" s="232">
        <v>0</v>
      </c>
      <c r="O59" s="231">
        <v>31847</v>
      </c>
      <c r="P59" s="220">
        <f t="shared" si="1"/>
        <v>146797</v>
      </c>
      <c r="Q59" s="231"/>
      <c r="R59" s="232">
        <v>1368507</v>
      </c>
      <c r="S59" s="233">
        <v>33872</v>
      </c>
      <c r="T59" s="233">
        <v>1402379</v>
      </c>
    </row>
    <row r="60" spans="1:20">
      <c r="A60" s="226">
        <v>90704</v>
      </c>
      <c r="B60" s="227" t="s">
        <v>772</v>
      </c>
      <c r="C60" s="87">
        <v>3.3300000000000003E-5</v>
      </c>
      <c r="D60" s="87">
        <v>3.4900000000000001E-5</v>
      </c>
      <c r="E60" s="231">
        <v>50873</v>
      </c>
      <c r="F60" s="231"/>
      <c r="G60" s="232">
        <v>2931</v>
      </c>
      <c r="H60" s="220">
        <v>12352</v>
      </c>
      <c r="I60" s="232">
        <v>7265</v>
      </c>
      <c r="J60" s="231">
        <v>14629</v>
      </c>
      <c r="K60" s="220">
        <f t="shared" si="0"/>
        <v>37177</v>
      </c>
      <c r="L60" s="231"/>
      <c r="M60" s="232">
        <v>1440</v>
      </c>
      <c r="N60" s="232">
        <v>0</v>
      </c>
      <c r="O60" s="231">
        <v>0</v>
      </c>
      <c r="P60" s="220">
        <f t="shared" si="1"/>
        <v>1440</v>
      </c>
      <c r="Q60" s="231"/>
      <c r="R60" s="232">
        <v>17144</v>
      </c>
      <c r="S60" s="233">
        <v>5643</v>
      </c>
      <c r="T60" s="233">
        <f>22788-1</f>
        <v>22787</v>
      </c>
    </row>
    <row r="61" spans="1:20">
      <c r="A61" s="226">
        <v>90705</v>
      </c>
      <c r="B61" s="227" t="s">
        <v>773</v>
      </c>
      <c r="C61" s="87">
        <v>5.3000000000000001E-5</v>
      </c>
      <c r="D61" s="87">
        <v>3.3899999999999997E-5</v>
      </c>
      <c r="E61" s="231">
        <v>80969</v>
      </c>
      <c r="F61" s="231"/>
      <c r="G61" s="232">
        <v>4665</v>
      </c>
      <c r="H61" s="220">
        <v>19659</v>
      </c>
      <c r="I61" s="232">
        <v>11564</v>
      </c>
      <c r="J61" s="231">
        <v>18366</v>
      </c>
      <c r="K61" s="220">
        <f t="shared" si="0"/>
        <v>54254</v>
      </c>
      <c r="L61" s="231"/>
      <c r="M61" s="232">
        <v>2292</v>
      </c>
      <c r="N61" s="232">
        <v>0</v>
      </c>
      <c r="O61" s="231">
        <v>0</v>
      </c>
      <c r="P61" s="220">
        <f t="shared" si="1"/>
        <v>2292</v>
      </c>
      <c r="Q61" s="231"/>
      <c r="R61" s="232">
        <v>27287</v>
      </c>
      <c r="S61" s="233">
        <v>6194</v>
      </c>
      <c r="T61" s="233">
        <v>33481</v>
      </c>
    </row>
    <row r="62" spans="1:20">
      <c r="A62" s="226">
        <v>90709</v>
      </c>
      <c r="B62" s="227" t="s">
        <v>774</v>
      </c>
      <c r="C62" s="87">
        <v>1.2650000000000001E-4</v>
      </c>
      <c r="D62" s="87">
        <v>1.4569999999999999E-4</v>
      </c>
      <c r="E62" s="231">
        <v>193257</v>
      </c>
      <c r="F62" s="231"/>
      <c r="G62" s="232">
        <v>11133</v>
      </c>
      <c r="H62" s="220">
        <v>46924</v>
      </c>
      <c r="I62" s="232">
        <v>27600</v>
      </c>
      <c r="J62" s="231">
        <v>5085</v>
      </c>
      <c r="K62" s="220">
        <f t="shared" si="0"/>
        <v>90742</v>
      </c>
      <c r="L62" s="231"/>
      <c r="M62" s="232">
        <v>5470</v>
      </c>
      <c r="N62" s="232">
        <v>0</v>
      </c>
      <c r="O62" s="231">
        <v>42511</v>
      </c>
      <c r="P62" s="220">
        <f t="shared" si="1"/>
        <v>47981</v>
      </c>
      <c r="Q62" s="231"/>
      <c r="R62" s="232">
        <v>65128</v>
      </c>
      <c r="S62" s="233">
        <v>-9374</v>
      </c>
      <c r="T62" s="233">
        <v>55754</v>
      </c>
    </row>
    <row r="63" spans="1:20">
      <c r="A63" s="226">
        <v>90711</v>
      </c>
      <c r="B63" s="227" t="s">
        <v>775</v>
      </c>
      <c r="C63" s="87">
        <v>1.6877000000000001E-3</v>
      </c>
      <c r="D63" s="87">
        <v>1.7302000000000001E-3</v>
      </c>
      <c r="E63" s="231">
        <v>2578338</v>
      </c>
      <c r="F63" s="231"/>
      <c r="G63" s="232">
        <v>148536</v>
      </c>
      <c r="H63" s="220">
        <v>626023</v>
      </c>
      <c r="I63" s="232">
        <v>368222</v>
      </c>
      <c r="J63" s="231">
        <v>0</v>
      </c>
      <c r="K63" s="220">
        <f t="shared" si="0"/>
        <v>1142781</v>
      </c>
      <c r="L63" s="231"/>
      <c r="M63" s="232">
        <v>72985</v>
      </c>
      <c r="N63" s="232">
        <v>0</v>
      </c>
      <c r="O63" s="231">
        <v>160849</v>
      </c>
      <c r="P63" s="220">
        <f t="shared" si="1"/>
        <v>233834</v>
      </c>
      <c r="Q63" s="231"/>
      <c r="R63" s="232">
        <v>868902</v>
      </c>
      <c r="S63" s="233">
        <v>-68798</v>
      </c>
      <c r="T63" s="233">
        <v>800104</v>
      </c>
    </row>
    <row r="64" spans="1:20">
      <c r="A64" s="226">
        <v>90721</v>
      </c>
      <c r="B64" s="227" t="s">
        <v>776</v>
      </c>
      <c r="C64" s="87">
        <v>2.8600000000000001E-5</v>
      </c>
      <c r="D64" s="87">
        <v>3.7299999999999999E-5</v>
      </c>
      <c r="E64" s="231">
        <v>43693</v>
      </c>
      <c r="F64" s="231"/>
      <c r="G64" s="232">
        <v>2517</v>
      </c>
      <c r="H64" s="220">
        <v>10608</v>
      </c>
      <c r="I64" s="232">
        <v>6240</v>
      </c>
      <c r="J64" s="231">
        <v>2956</v>
      </c>
      <c r="K64" s="220">
        <f t="shared" si="0"/>
        <v>22321</v>
      </c>
      <c r="L64" s="231"/>
      <c r="M64" s="232">
        <v>1237</v>
      </c>
      <c r="N64" s="232">
        <v>0</v>
      </c>
      <c r="O64" s="231">
        <v>4943</v>
      </c>
      <c r="P64" s="220">
        <f t="shared" si="1"/>
        <v>6180</v>
      </c>
      <c r="Q64" s="231"/>
      <c r="R64" s="232">
        <v>14725</v>
      </c>
      <c r="S64" s="233">
        <v>1072</v>
      </c>
      <c r="T64" s="233">
        <f>15796+1</f>
        <v>15797</v>
      </c>
    </row>
    <row r="65" spans="1:20">
      <c r="A65" s="226">
        <v>90731</v>
      </c>
      <c r="B65" s="227" t="s">
        <v>777</v>
      </c>
      <c r="C65" s="87">
        <v>1.741E-4</v>
      </c>
      <c r="D65" s="87">
        <v>1.917E-4</v>
      </c>
      <c r="E65" s="231">
        <v>265977</v>
      </c>
      <c r="F65" s="231"/>
      <c r="G65" s="232">
        <v>15323</v>
      </c>
      <c r="H65" s="220">
        <v>64580</v>
      </c>
      <c r="I65" s="232">
        <v>37985</v>
      </c>
      <c r="J65" s="231">
        <v>0</v>
      </c>
      <c r="K65" s="220">
        <f t="shared" si="0"/>
        <v>117888</v>
      </c>
      <c r="L65" s="231"/>
      <c r="M65" s="232">
        <v>7529</v>
      </c>
      <c r="N65" s="232">
        <v>0</v>
      </c>
      <c r="O65" s="231">
        <v>18148</v>
      </c>
      <c r="P65" s="220">
        <f t="shared" si="1"/>
        <v>25677</v>
      </c>
      <c r="Q65" s="231"/>
      <c r="R65" s="232">
        <v>89634</v>
      </c>
      <c r="S65" s="233">
        <v>-7025</v>
      </c>
      <c r="T65" s="233">
        <v>82609</v>
      </c>
    </row>
    <row r="66" spans="1:20">
      <c r="A66" s="226">
        <v>90741</v>
      </c>
      <c r="B66" s="227" t="s">
        <v>778</v>
      </c>
      <c r="C66" s="87">
        <v>9.0999999999999993E-6</v>
      </c>
      <c r="D66" s="87">
        <v>1.2099999999999999E-5</v>
      </c>
      <c r="E66" s="231">
        <v>13902</v>
      </c>
      <c r="F66" s="231"/>
      <c r="G66" s="232">
        <v>801</v>
      </c>
      <c r="H66" s="220">
        <v>3375</v>
      </c>
      <c r="I66" s="232">
        <v>1985</v>
      </c>
      <c r="J66" s="231">
        <v>2169</v>
      </c>
      <c r="K66" s="220">
        <f t="shared" si="0"/>
        <v>8330</v>
      </c>
      <c r="L66" s="231"/>
      <c r="M66" s="232">
        <v>394</v>
      </c>
      <c r="N66" s="232">
        <v>0</v>
      </c>
      <c r="O66" s="231">
        <v>952</v>
      </c>
      <c r="P66" s="220">
        <f t="shared" si="1"/>
        <v>1346</v>
      </c>
      <c r="Q66" s="231"/>
      <c r="R66" s="232">
        <v>4685</v>
      </c>
      <c r="S66" s="233">
        <v>235</v>
      </c>
      <c r="T66" s="233">
        <v>4920</v>
      </c>
    </row>
    <row r="67" spans="1:20">
      <c r="A67" s="226">
        <v>90751</v>
      </c>
      <c r="B67" s="227" t="s">
        <v>779</v>
      </c>
      <c r="C67" s="87">
        <v>6.8700000000000003E-5</v>
      </c>
      <c r="D67" s="87">
        <v>6.5599999999999995E-5</v>
      </c>
      <c r="E67" s="231">
        <v>104955</v>
      </c>
      <c r="F67" s="231"/>
      <c r="G67" s="232">
        <v>6046</v>
      </c>
      <c r="H67" s="220">
        <v>25483</v>
      </c>
      <c r="I67" s="232">
        <v>14989</v>
      </c>
      <c r="J67" s="231">
        <v>4940</v>
      </c>
      <c r="K67" s="220">
        <f t="shared" si="0"/>
        <v>51458</v>
      </c>
      <c r="L67" s="231"/>
      <c r="M67" s="232">
        <v>2971</v>
      </c>
      <c r="N67" s="232">
        <v>0</v>
      </c>
      <c r="O67" s="231">
        <v>1080</v>
      </c>
      <c r="P67" s="220">
        <f t="shared" si="1"/>
        <v>4051</v>
      </c>
      <c r="Q67" s="231"/>
      <c r="R67" s="232">
        <v>35370</v>
      </c>
      <c r="S67" s="233">
        <v>3400</v>
      </c>
      <c r="T67" s="233">
        <v>38770</v>
      </c>
    </row>
    <row r="68" spans="1:20">
      <c r="A68" s="226">
        <v>90801</v>
      </c>
      <c r="B68" s="227" t="s">
        <v>780</v>
      </c>
      <c r="C68" s="87">
        <v>1.3064000000000001E-3</v>
      </c>
      <c r="D68" s="87">
        <v>1.1404E-3</v>
      </c>
      <c r="E68" s="231">
        <v>1995817</v>
      </c>
      <c r="F68" s="231"/>
      <c r="G68" s="232">
        <v>114978</v>
      </c>
      <c r="H68" s="220">
        <v>484586</v>
      </c>
      <c r="I68" s="232">
        <v>285030</v>
      </c>
      <c r="J68" s="231">
        <v>151641</v>
      </c>
      <c r="K68" s="220">
        <f t="shared" si="0"/>
        <v>1036235</v>
      </c>
      <c r="L68" s="231"/>
      <c r="M68" s="232">
        <v>56495</v>
      </c>
      <c r="N68" s="232">
        <v>0</v>
      </c>
      <c r="O68" s="231">
        <v>0</v>
      </c>
      <c r="P68" s="220">
        <f t="shared" si="1"/>
        <v>56495</v>
      </c>
      <c r="Q68" s="231"/>
      <c r="R68" s="232">
        <v>672592</v>
      </c>
      <c r="S68" s="233">
        <v>65370</v>
      </c>
      <c r="T68" s="233">
        <v>737962</v>
      </c>
    </row>
    <row r="69" spans="1:20">
      <c r="A69" s="226">
        <v>90804</v>
      </c>
      <c r="B69" s="227" t="s">
        <v>781</v>
      </c>
      <c r="C69" s="87">
        <v>6.1999999999999999E-6</v>
      </c>
      <c r="D69" s="87">
        <v>6.0000000000000002E-6</v>
      </c>
      <c r="E69" s="231">
        <v>9472</v>
      </c>
      <c r="F69" s="231"/>
      <c r="G69" s="232">
        <v>546</v>
      </c>
      <c r="H69" s="220">
        <v>2300</v>
      </c>
      <c r="I69" s="232">
        <v>1353</v>
      </c>
      <c r="J69" s="231">
        <v>1462</v>
      </c>
      <c r="K69" s="220">
        <f t="shared" si="0"/>
        <v>5661</v>
      </c>
      <c r="L69" s="231"/>
      <c r="M69" s="232">
        <v>268</v>
      </c>
      <c r="N69" s="232">
        <v>0</v>
      </c>
      <c r="O69" s="231">
        <v>0</v>
      </c>
      <c r="P69" s="220">
        <f t="shared" si="1"/>
        <v>268</v>
      </c>
      <c r="Q69" s="231"/>
      <c r="R69" s="232">
        <v>3192</v>
      </c>
      <c r="S69" s="233">
        <v>893</v>
      </c>
      <c r="T69" s="233">
        <v>4085</v>
      </c>
    </row>
    <row r="70" spans="1:20">
      <c r="A70" s="226">
        <v>90805</v>
      </c>
      <c r="B70" s="227" t="s">
        <v>782</v>
      </c>
      <c r="C70" s="87">
        <v>5.1900000000000001E-5</v>
      </c>
      <c r="D70" s="87">
        <v>5.5099999999999998E-5</v>
      </c>
      <c r="E70" s="231">
        <v>79289</v>
      </c>
      <c r="F70" s="231"/>
      <c r="G70" s="232">
        <v>4568</v>
      </c>
      <c r="H70" s="220">
        <v>19252</v>
      </c>
      <c r="I70" s="232">
        <v>11324</v>
      </c>
      <c r="J70" s="231">
        <v>22022</v>
      </c>
      <c r="K70" s="220">
        <f t="shared" si="0"/>
        <v>57166</v>
      </c>
      <c r="L70" s="231"/>
      <c r="M70" s="232">
        <v>2244</v>
      </c>
      <c r="N70" s="232">
        <v>0</v>
      </c>
      <c r="O70" s="231">
        <v>0</v>
      </c>
      <c r="P70" s="220">
        <f t="shared" si="1"/>
        <v>2244</v>
      </c>
      <c r="Q70" s="231"/>
      <c r="R70" s="232">
        <v>26720</v>
      </c>
      <c r="S70" s="233">
        <v>9443</v>
      </c>
      <c r="T70" s="233">
        <v>36163</v>
      </c>
    </row>
    <row r="71" spans="1:20">
      <c r="A71" s="226">
        <v>90808</v>
      </c>
      <c r="B71" s="227" t="s">
        <v>783</v>
      </c>
      <c r="C71" s="87">
        <v>1.131E-4</v>
      </c>
      <c r="D71" s="87">
        <v>1.109E-4</v>
      </c>
      <c r="E71" s="231">
        <v>172785</v>
      </c>
      <c r="F71" s="231"/>
      <c r="G71" s="232">
        <v>9954</v>
      </c>
      <c r="H71" s="220">
        <v>41952</v>
      </c>
      <c r="I71" s="232">
        <v>24676</v>
      </c>
      <c r="J71" s="231">
        <v>5678</v>
      </c>
      <c r="K71" s="220">
        <f t="shared" si="0"/>
        <v>82260</v>
      </c>
      <c r="L71" s="231"/>
      <c r="M71" s="232">
        <v>4891</v>
      </c>
      <c r="N71" s="232">
        <v>0</v>
      </c>
      <c r="O71" s="231">
        <v>2008</v>
      </c>
      <c r="P71" s="220">
        <f t="shared" si="1"/>
        <v>6899</v>
      </c>
      <c r="Q71" s="231"/>
      <c r="R71" s="232">
        <v>58229</v>
      </c>
      <c r="S71" s="233">
        <v>731</v>
      </c>
      <c r="T71" s="233">
        <f>58959+1</f>
        <v>58960</v>
      </c>
    </row>
    <row r="72" spans="1:20">
      <c r="A72" s="226">
        <v>90811</v>
      </c>
      <c r="B72" s="227" t="s">
        <v>784</v>
      </c>
      <c r="C72" s="87">
        <v>3.3599999999999997E-5</v>
      </c>
      <c r="D72" s="87">
        <v>4.0000000000000003E-5</v>
      </c>
      <c r="E72" s="231">
        <v>51331</v>
      </c>
      <c r="F72" s="231"/>
      <c r="G72" s="232">
        <v>2957</v>
      </c>
      <c r="H72" s="220">
        <v>12463</v>
      </c>
      <c r="I72" s="232">
        <v>7331</v>
      </c>
      <c r="J72" s="231">
        <v>471</v>
      </c>
      <c r="K72" s="220">
        <f t="shared" si="0"/>
        <v>23222</v>
      </c>
      <c r="L72" s="231"/>
      <c r="M72" s="232">
        <v>1453</v>
      </c>
      <c r="N72" s="232">
        <v>0</v>
      </c>
      <c r="O72" s="231">
        <v>8846</v>
      </c>
      <c r="P72" s="220">
        <f t="shared" si="1"/>
        <v>10299</v>
      </c>
      <c r="Q72" s="231"/>
      <c r="R72" s="232">
        <v>17299</v>
      </c>
      <c r="S72" s="233">
        <v>-1986</v>
      </c>
      <c r="T72" s="233">
        <v>15313</v>
      </c>
    </row>
    <row r="73" spans="1:20">
      <c r="A73" s="226">
        <v>90812</v>
      </c>
      <c r="B73" s="227" t="s">
        <v>785</v>
      </c>
      <c r="C73" s="87">
        <v>2.2900000000000001E-4</v>
      </c>
      <c r="D73" s="87">
        <v>2.13E-4</v>
      </c>
      <c r="E73" s="231">
        <v>349849</v>
      </c>
      <c r="F73" s="231"/>
      <c r="G73" s="232">
        <v>20155</v>
      </c>
      <c r="H73" s="220">
        <v>84944</v>
      </c>
      <c r="I73" s="232">
        <v>49963</v>
      </c>
      <c r="J73" s="231">
        <v>15087</v>
      </c>
      <c r="K73" s="220">
        <f t="shared" ref="K73:K136" si="2">G73+H73+I73+J73</f>
        <v>170149</v>
      </c>
      <c r="L73" s="231"/>
      <c r="M73" s="232">
        <v>9903</v>
      </c>
      <c r="N73" s="232">
        <v>0</v>
      </c>
      <c r="O73" s="231">
        <v>10549</v>
      </c>
      <c r="P73" s="220">
        <f t="shared" ref="P73:P136" si="3">M73+N73+O73</f>
        <v>20452</v>
      </c>
      <c r="Q73" s="231"/>
      <c r="R73" s="232">
        <v>117899</v>
      </c>
      <c r="S73" s="233">
        <v>3117</v>
      </c>
      <c r="T73" s="233">
        <v>121016</v>
      </c>
    </row>
    <row r="74" spans="1:20">
      <c r="A74" s="226">
        <v>90813</v>
      </c>
      <c r="B74" s="227" t="s">
        <v>786</v>
      </c>
      <c r="C74" s="87">
        <v>5.3000000000000001E-6</v>
      </c>
      <c r="D74" s="87">
        <v>5.4999999999999999E-6</v>
      </c>
      <c r="E74" s="231">
        <v>8097</v>
      </c>
      <c r="F74" s="231"/>
      <c r="G74" s="232">
        <v>466</v>
      </c>
      <c r="H74" s="220">
        <v>1966</v>
      </c>
      <c r="I74" s="232">
        <v>1156</v>
      </c>
      <c r="J74" s="231">
        <v>0</v>
      </c>
      <c r="K74" s="220">
        <f t="shared" si="2"/>
        <v>3588</v>
      </c>
      <c r="L74" s="231"/>
      <c r="M74" s="232">
        <v>229</v>
      </c>
      <c r="N74" s="232">
        <v>0</v>
      </c>
      <c r="O74" s="231">
        <v>1124</v>
      </c>
      <c r="P74" s="220">
        <f t="shared" si="3"/>
        <v>1353</v>
      </c>
      <c r="Q74" s="231"/>
      <c r="R74" s="232">
        <v>2729</v>
      </c>
      <c r="S74" s="233">
        <v>-505</v>
      </c>
      <c r="T74" s="233">
        <f>2223+1</f>
        <v>2224</v>
      </c>
    </row>
    <row r="75" spans="1:20">
      <c r="A75" s="226">
        <v>90861</v>
      </c>
      <c r="B75" s="227" t="s">
        <v>787</v>
      </c>
      <c r="C75" s="87">
        <v>4.1999999999999996E-6</v>
      </c>
      <c r="D75" s="87">
        <v>4.7999999999999998E-6</v>
      </c>
      <c r="E75" s="231">
        <v>6416</v>
      </c>
      <c r="F75" s="231"/>
      <c r="G75" s="232">
        <v>370</v>
      </c>
      <c r="H75" s="220">
        <v>1558</v>
      </c>
      <c r="I75" s="232">
        <v>916</v>
      </c>
      <c r="J75" s="231">
        <v>3211</v>
      </c>
      <c r="K75" s="220">
        <f t="shared" si="2"/>
        <v>6055</v>
      </c>
      <c r="L75" s="231"/>
      <c r="M75" s="232">
        <v>182</v>
      </c>
      <c r="N75" s="232">
        <v>0</v>
      </c>
      <c r="O75" s="231">
        <v>1117</v>
      </c>
      <c r="P75" s="220">
        <f t="shared" si="3"/>
        <v>1299</v>
      </c>
      <c r="Q75" s="231"/>
      <c r="R75" s="232">
        <v>2162</v>
      </c>
      <c r="S75" s="233">
        <v>191</v>
      </c>
      <c r="T75" s="233">
        <v>2353</v>
      </c>
    </row>
    <row r="76" spans="1:20">
      <c r="A76" s="226">
        <v>90901</v>
      </c>
      <c r="B76" s="227" t="s">
        <v>788</v>
      </c>
      <c r="C76" s="87">
        <v>2.1814999999999998E-3</v>
      </c>
      <c r="D76" s="87">
        <v>2.1302999999999999E-3</v>
      </c>
      <c r="E76" s="231">
        <v>3332728</v>
      </c>
      <c r="F76" s="231"/>
      <c r="G76" s="232">
        <v>191996</v>
      </c>
      <c r="H76" s="220">
        <v>809191</v>
      </c>
      <c r="I76" s="232">
        <v>475960</v>
      </c>
      <c r="J76" s="231">
        <v>22389</v>
      </c>
      <c r="K76" s="220">
        <f t="shared" si="2"/>
        <v>1499536</v>
      </c>
      <c r="L76" s="231"/>
      <c r="M76" s="232">
        <v>94339</v>
      </c>
      <c r="N76" s="232">
        <v>0</v>
      </c>
      <c r="O76" s="231">
        <v>38005</v>
      </c>
      <c r="P76" s="220">
        <f t="shared" si="3"/>
        <v>132344</v>
      </c>
      <c r="Q76" s="231"/>
      <c r="R76" s="232">
        <v>1123132</v>
      </c>
      <c r="S76" s="233">
        <v>-5969</v>
      </c>
      <c r="T76" s="233">
        <v>1117163</v>
      </c>
    </row>
    <row r="77" spans="1:20">
      <c r="A77" s="226">
        <v>90911</v>
      </c>
      <c r="B77" s="227" t="s">
        <v>789</v>
      </c>
      <c r="C77" s="87">
        <v>3.9780000000000002E-4</v>
      </c>
      <c r="D77" s="87">
        <v>3.6010000000000003E-4</v>
      </c>
      <c r="E77" s="231">
        <v>607728</v>
      </c>
      <c r="F77" s="231"/>
      <c r="G77" s="232">
        <v>35011</v>
      </c>
      <c r="H77" s="220">
        <v>147557</v>
      </c>
      <c r="I77" s="232">
        <v>86792</v>
      </c>
      <c r="J77" s="231">
        <v>6806</v>
      </c>
      <c r="K77" s="220">
        <f t="shared" si="2"/>
        <v>276166</v>
      </c>
      <c r="L77" s="231"/>
      <c r="M77" s="232">
        <v>17203</v>
      </c>
      <c r="N77" s="232">
        <v>0</v>
      </c>
      <c r="O77" s="231">
        <v>31482</v>
      </c>
      <c r="P77" s="220">
        <f t="shared" si="3"/>
        <v>48685</v>
      </c>
      <c r="Q77" s="231"/>
      <c r="R77" s="232">
        <v>204805</v>
      </c>
      <c r="S77" s="233">
        <v>-18326</v>
      </c>
      <c r="T77" s="233">
        <v>186479</v>
      </c>
    </row>
    <row r="78" spans="1:20">
      <c r="A78" s="226">
        <v>90917</v>
      </c>
      <c r="B78" s="227" t="s">
        <v>790</v>
      </c>
      <c r="C78" s="87">
        <v>1.4399999999999999E-5</v>
      </c>
      <c r="D78" s="87">
        <v>1.42E-5</v>
      </c>
      <c r="E78" s="231">
        <v>21999</v>
      </c>
      <c r="F78" s="231"/>
      <c r="G78" s="232">
        <v>1267</v>
      </c>
      <c r="H78" s="220">
        <v>5342</v>
      </c>
      <c r="I78" s="232">
        <v>3142</v>
      </c>
      <c r="J78" s="231">
        <v>1461</v>
      </c>
      <c r="K78" s="220">
        <f t="shared" si="2"/>
        <v>11212</v>
      </c>
      <c r="L78" s="231"/>
      <c r="M78" s="232">
        <v>623</v>
      </c>
      <c r="N78" s="232">
        <v>0</v>
      </c>
      <c r="O78" s="231">
        <v>966</v>
      </c>
      <c r="P78" s="220">
        <f t="shared" si="3"/>
        <v>1589</v>
      </c>
      <c r="Q78" s="231"/>
      <c r="R78" s="232">
        <v>7414</v>
      </c>
      <c r="S78" s="233">
        <v>-22</v>
      </c>
      <c r="T78" s="233">
        <v>7392</v>
      </c>
    </row>
    <row r="79" spans="1:20">
      <c r="A79" s="226">
        <v>90918</v>
      </c>
      <c r="B79" s="227" t="s">
        <v>791</v>
      </c>
      <c r="C79" s="87">
        <v>1.19E-5</v>
      </c>
      <c r="D79" s="87">
        <v>1.24E-5</v>
      </c>
      <c r="E79" s="231">
        <v>18180</v>
      </c>
      <c r="F79" s="231"/>
      <c r="G79" s="232">
        <v>1047</v>
      </c>
      <c r="H79" s="220">
        <v>4414</v>
      </c>
      <c r="I79" s="232">
        <v>2596</v>
      </c>
      <c r="J79" s="231">
        <v>0</v>
      </c>
      <c r="K79" s="220">
        <f t="shared" si="2"/>
        <v>8057</v>
      </c>
      <c r="L79" s="231"/>
      <c r="M79" s="232">
        <v>515</v>
      </c>
      <c r="N79" s="232">
        <v>0</v>
      </c>
      <c r="O79" s="231">
        <v>2553</v>
      </c>
      <c r="P79" s="220">
        <f t="shared" si="3"/>
        <v>3068</v>
      </c>
      <c r="Q79" s="231"/>
      <c r="R79" s="232">
        <v>6127</v>
      </c>
      <c r="S79" s="233">
        <v>-1087</v>
      </c>
      <c r="T79" s="233">
        <f>5039+1</f>
        <v>5040</v>
      </c>
    </row>
    <row r="80" spans="1:20">
      <c r="A80" s="226">
        <v>90921</v>
      </c>
      <c r="B80" s="227" t="s">
        <v>792</v>
      </c>
      <c r="C80" s="87">
        <v>1.2970000000000001E-4</v>
      </c>
      <c r="D80" s="87">
        <v>8.7399999999999997E-5</v>
      </c>
      <c r="E80" s="231">
        <v>198146</v>
      </c>
      <c r="F80" s="231"/>
      <c r="G80" s="232">
        <v>11415</v>
      </c>
      <c r="H80" s="220">
        <v>48110</v>
      </c>
      <c r="I80" s="232">
        <v>28298</v>
      </c>
      <c r="J80" s="231">
        <v>31212</v>
      </c>
      <c r="K80" s="220">
        <f t="shared" si="2"/>
        <v>119035</v>
      </c>
      <c r="L80" s="231"/>
      <c r="M80" s="232">
        <v>5609</v>
      </c>
      <c r="N80" s="232">
        <v>0</v>
      </c>
      <c r="O80" s="231">
        <v>7007</v>
      </c>
      <c r="P80" s="220">
        <f t="shared" si="3"/>
        <v>12616</v>
      </c>
      <c r="Q80" s="231"/>
      <c r="R80" s="232">
        <v>66775</v>
      </c>
      <c r="S80" s="233">
        <v>5102</v>
      </c>
      <c r="T80" s="233">
        <v>71877</v>
      </c>
    </row>
    <row r="81" spans="1:20">
      <c r="A81" s="226">
        <v>90931</v>
      </c>
      <c r="B81" s="227" t="s">
        <v>793</v>
      </c>
      <c r="C81" s="87">
        <v>4.07E-5</v>
      </c>
      <c r="D81" s="87">
        <v>5.1900000000000001E-5</v>
      </c>
      <c r="E81" s="231">
        <v>62178</v>
      </c>
      <c r="F81" s="231"/>
      <c r="G81" s="232">
        <v>3582</v>
      </c>
      <c r="H81" s="220">
        <v>15097</v>
      </c>
      <c r="I81" s="232">
        <v>8880</v>
      </c>
      <c r="J81" s="231">
        <v>3743</v>
      </c>
      <c r="K81" s="220">
        <f t="shared" si="2"/>
        <v>31302</v>
      </c>
      <c r="L81" s="231"/>
      <c r="M81" s="232">
        <v>1760</v>
      </c>
      <c r="N81" s="232">
        <v>0</v>
      </c>
      <c r="O81" s="231">
        <v>14137</v>
      </c>
      <c r="P81" s="220">
        <f t="shared" si="3"/>
        <v>15897</v>
      </c>
      <c r="Q81" s="231"/>
      <c r="R81" s="232">
        <v>20954</v>
      </c>
      <c r="S81" s="233">
        <v>-1298</v>
      </c>
      <c r="T81" s="233">
        <v>19656</v>
      </c>
    </row>
    <row r="82" spans="1:20">
      <c r="A82" s="226">
        <v>90941</v>
      </c>
      <c r="B82" s="227" t="s">
        <v>794</v>
      </c>
      <c r="C82" s="87">
        <v>7.0300000000000001E-5</v>
      </c>
      <c r="D82" s="87">
        <v>9.0799999999999998E-5</v>
      </c>
      <c r="E82" s="231">
        <v>107399</v>
      </c>
      <c r="F82" s="231"/>
      <c r="G82" s="232">
        <v>6187</v>
      </c>
      <c r="H82" s="220">
        <v>26076</v>
      </c>
      <c r="I82" s="232">
        <v>15338</v>
      </c>
      <c r="J82" s="231">
        <v>1686</v>
      </c>
      <c r="K82" s="220">
        <f t="shared" si="2"/>
        <v>49287</v>
      </c>
      <c r="L82" s="231"/>
      <c r="M82" s="232">
        <v>3040</v>
      </c>
      <c r="N82" s="232">
        <v>0</v>
      </c>
      <c r="O82" s="231">
        <v>16031</v>
      </c>
      <c r="P82" s="220">
        <f t="shared" si="3"/>
        <v>19071</v>
      </c>
      <c r="Q82" s="231"/>
      <c r="R82" s="232">
        <v>36194</v>
      </c>
      <c r="S82" s="233">
        <v>-4988</v>
      </c>
      <c r="T82" s="233">
        <f>31205+1</f>
        <v>31206</v>
      </c>
    </row>
    <row r="83" spans="1:20">
      <c r="A83" s="226">
        <v>91001</v>
      </c>
      <c r="B83" s="227" t="s">
        <v>795</v>
      </c>
      <c r="C83" s="87">
        <v>6.6703999999999999E-3</v>
      </c>
      <c r="D83" s="87">
        <v>6.6189999999999999E-3</v>
      </c>
      <c r="E83" s="231">
        <v>10190523</v>
      </c>
      <c r="F83" s="231"/>
      <c r="G83" s="232">
        <v>587069</v>
      </c>
      <c r="H83" s="220">
        <v>2474271</v>
      </c>
      <c r="I83" s="232">
        <v>1455348</v>
      </c>
      <c r="J83" s="231">
        <v>35831</v>
      </c>
      <c r="K83" s="220">
        <f t="shared" si="2"/>
        <v>4552519</v>
      </c>
      <c r="L83" s="231"/>
      <c r="M83" s="232">
        <v>288461</v>
      </c>
      <c r="N83" s="232">
        <v>0</v>
      </c>
      <c r="O83" s="231">
        <v>269013</v>
      </c>
      <c r="P83" s="220">
        <f t="shared" si="3"/>
        <v>557474</v>
      </c>
      <c r="Q83" s="231"/>
      <c r="R83" s="232">
        <v>3434215</v>
      </c>
      <c r="S83" s="233">
        <v>-50061</v>
      </c>
      <c r="T83" s="233">
        <v>3384154</v>
      </c>
    </row>
    <row r="84" spans="1:20">
      <c r="A84" s="226">
        <v>91002</v>
      </c>
      <c r="B84" s="227" t="s">
        <v>796</v>
      </c>
      <c r="C84" s="87">
        <v>6.8860000000000004E-4</v>
      </c>
      <c r="D84" s="87">
        <v>5.6360000000000004E-4</v>
      </c>
      <c r="E84" s="231">
        <v>1051990</v>
      </c>
      <c r="F84" s="231"/>
      <c r="G84" s="232">
        <v>60604</v>
      </c>
      <c r="H84" s="220">
        <v>255424</v>
      </c>
      <c r="I84" s="232">
        <v>150239</v>
      </c>
      <c r="J84" s="231">
        <v>39390</v>
      </c>
      <c r="K84" s="220">
        <f t="shared" si="2"/>
        <v>505657</v>
      </c>
      <c r="L84" s="231"/>
      <c r="M84" s="232">
        <v>29779</v>
      </c>
      <c r="N84" s="232">
        <v>0</v>
      </c>
      <c r="O84" s="231">
        <v>48600</v>
      </c>
      <c r="P84" s="220">
        <f t="shared" si="3"/>
        <v>78379</v>
      </c>
      <c r="Q84" s="231"/>
      <c r="R84" s="232">
        <v>354522</v>
      </c>
      <c r="S84" s="233">
        <v>-8849</v>
      </c>
      <c r="T84" s="233">
        <v>345673</v>
      </c>
    </row>
    <row r="85" spans="1:20">
      <c r="A85" s="226">
        <v>91003</v>
      </c>
      <c r="B85" s="227" t="s">
        <v>797</v>
      </c>
      <c r="C85" s="87">
        <v>5.7260000000000004E-4</v>
      </c>
      <c r="D85" s="87">
        <v>5.6550000000000003E-4</v>
      </c>
      <c r="E85" s="231">
        <v>874774</v>
      </c>
      <c r="F85" s="231"/>
      <c r="G85" s="232">
        <v>50395</v>
      </c>
      <c r="H85" s="220">
        <v>212396</v>
      </c>
      <c r="I85" s="232">
        <v>124930</v>
      </c>
      <c r="J85" s="231">
        <v>27734</v>
      </c>
      <c r="K85" s="220">
        <f t="shared" si="2"/>
        <v>415455</v>
      </c>
      <c r="L85" s="231"/>
      <c r="M85" s="232">
        <v>24762</v>
      </c>
      <c r="N85" s="232">
        <v>0</v>
      </c>
      <c r="O85" s="231">
        <v>28524</v>
      </c>
      <c r="P85" s="220">
        <f t="shared" si="3"/>
        <v>53286</v>
      </c>
      <c r="Q85" s="231"/>
      <c r="R85" s="232">
        <v>294800</v>
      </c>
      <c r="S85" s="233">
        <v>7266</v>
      </c>
      <c r="T85" s="233">
        <v>302066</v>
      </c>
    </row>
    <row r="86" spans="1:20">
      <c r="A86" s="226">
        <v>91004</v>
      </c>
      <c r="B86" s="227" t="s">
        <v>798</v>
      </c>
      <c r="C86" s="87">
        <v>2.58E-5</v>
      </c>
      <c r="D86" s="87">
        <v>1.7499999999999998E-5</v>
      </c>
      <c r="E86" s="231">
        <v>39415</v>
      </c>
      <c r="F86" s="231"/>
      <c r="G86" s="232">
        <v>2271</v>
      </c>
      <c r="H86" s="220">
        <v>9571</v>
      </c>
      <c r="I86" s="232">
        <v>5629</v>
      </c>
      <c r="J86" s="231">
        <v>12153</v>
      </c>
      <c r="K86" s="220">
        <f t="shared" si="2"/>
        <v>29624</v>
      </c>
      <c r="L86" s="231"/>
      <c r="M86" s="232">
        <v>1116</v>
      </c>
      <c r="N86" s="232">
        <v>0</v>
      </c>
      <c r="O86" s="231">
        <v>108</v>
      </c>
      <c r="P86" s="220">
        <f t="shared" si="3"/>
        <v>1224</v>
      </c>
      <c r="Q86" s="231"/>
      <c r="R86" s="232">
        <v>13283</v>
      </c>
      <c r="S86" s="233">
        <v>4277</v>
      </c>
      <c r="T86" s="233">
        <v>17560</v>
      </c>
    </row>
    <row r="87" spans="1:20">
      <c r="A87" s="226">
        <v>91006</v>
      </c>
      <c r="B87" s="227" t="s">
        <v>799</v>
      </c>
      <c r="C87" s="87">
        <v>1.0317E-3</v>
      </c>
      <c r="D87" s="87">
        <v>1.0096E-3</v>
      </c>
      <c r="E87" s="231">
        <v>1576152</v>
      </c>
      <c r="F87" s="231"/>
      <c r="G87" s="232">
        <v>90801</v>
      </c>
      <c r="H87" s="220">
        <v>382692</v>
      </c>
      <c r="I87" s="232">
        <v>225096</v>
      </c>
      <c r="J87" s="231">
        <v>18199</v>
      </c>
      <c r="K87" s="220">
        <f t="shared" si="2"/>
        <v>716788</v>
      </c>
      <c r="L87" s="231"/>
      <c r="M87" s="232">
        <v>44616</v>
      </c>
      <c r="N87" s="232">
        <v>0</v>
      </c>
      <c r="O87" s="231">
        <v>22958</v>
      </c>
      <c r="P87" s="220">
        <f t="shared" si="3"/>
        <v>67574</v>
      </c>
      <c r="Q87" s="231"/>
      <c r="R87" s="232">
        <v>531165</v>
      </c>
      <c r="S87" s="233">
        <v>3230</v>
      </c>
      <c r="T87" s="233">
        <v>534395</v>
      </c>
    </row>
    <row r="88" spans="1:20">
      <c r="A88" s="226">
        <v>91007</v>
      </c>
      <c r="B88" s="227" t="s">
        <v>800</v>
      </c>
      <c r="C88" s="87">
        <v>9.5000000000000005E-6</v>
      </c>
      <c r="D88" s="87">
        <v>1.2500000000000001E-5</v>
      </c>
      <c r="E88" s="231">
        <v>14513</v>
      </c>
      <c r="F88" s="231"/>
      <c r="G88" s="232">
        <v>836</v>
      </c>
      <c r="H88" s="220">
        <v>3524</v>
      </c>
      <c r="I88" s="232">
        <v>2073</v>
      </c>
      <c r="J88" s="231">
        <v>7476</v>
      </c>
      <c r="K88" s="220">
        <f t="shared" si="2"/>
        <v>13909</v>
      </c>
      <c r="L88" s="231"/>
      <c r="M88" s="232">
        <v>411</v>
      </c>
      <c r="N88" s="232">
        <v>0</v>
      </c>
      <c r="O88" s="231">
        <v>507</v>
      </c>
      <c r="P88" s="220">
        <f t="shared" si="3"/>
        <v>918</v>
      </c>
      <c r="Q88" s="231"/>
      <c r="R88" s="232">
        <v>4891</v>
      </c>
      <c r="S88" s="233">
        <v>2150</v>
      </c>
      <c r="T88" s="233">
        <v>7041</v>
      </c>
    </row>
    <row r="89" spans="1:20">
      <c r="A89" s="226">
        <v>91008</v>
      </c>
      <c r="B89" s="227" t="s">
        <v>801</v>
      </c>
      <c r="C89" s="87">
        <v>1.236E-4</v>
      </c>
      <c r="D89" s="87">
        <v>1.273E-4</v>
      </c>
      <c r="E89" s="231">
        <v>188827</v>
      </c>
      <c r="F89" s="231"/>
      <c r="G89" s="232">
        <v>10878</v>
      </c>
      <c r="H89" s="220">
        <v>45847</v>
      </c>
      <c r="I89" s="232">
        <v>26967</v>
      </c>
      <c r="J89" s="231">
        <v>37042</v>
      </c>
      <c r="K89" s="220">
        <f t="shared" si="2"/>
        <v>120734</v>
      </c>
      <c r="L89" s="231"/>
      <c r="M89" s="232">
        <v>5345</v>
      </c>
      <c r="N89" s="232">
        <v>0</v>
      </c>
      <c r="O89" s="231">
        <v>0</v>
      </c>
      <c r="P89" s="220">
        <f t="shared" si="3"/>
        <v>5345</v>
      </c>
      <c r="Q89" s="231"/>
      <c r="R89" s="232">
        <v>63635</v>
      </c>
      <c r="S89" s="233">
        <v>17548</v>
      </c>
      <c r="T89" s="233">
        <v>81183</v>
      </c>
    </row>
    <row r="90" spans="1:20">
      <c r="A90" s="226">
        <v>91009</v>
      </c>
      <c r="B90" s="227" t="s">
        <v>802</v>
      </c>
      <c r="C90" s="87">
        <v>1.7499999999999998E-5</v>
      </c>
      <c r="D90" s="87">
        <v>1.8700000000000001E-5</v>
      </c>
      <c r="E90" s="231">
        <v>26735</v>
      </c>
      <c r="F90" s="231"/>
      <c r="G90" s="232">
        <v>1540</v>
      </c>
      <c r="H90" s="220">
        <v>6491</v>
      </c>
      <c r="I90" s="232">
        <v>3818</v>
      </c>
      <c r="J90" s="231">
        <v>4951</v>
      </c>
      <c r="K90" s="220">
        <f t="shared" si="2"/>
        <v>16800</v>
      </c>
      <c r="L90" s="231"/>
      <c r="M90" s="232">
        <v>757</v>
      </c>
      <c r="N90" s="232">
        <v>0</v>
      </c>
      <c r="O90" s="231">
        <v>2458</v>
      </c>
      <c r="P90" s="220">
        <f t="shared" si="3"/>
        <v>3215</v>
      </c>
      <c r="Q90" s="231"/>
      <c r="R90" s="232">
        <v>9010</v>
      </c>
      <c r="S90" s="233">
        <v>187</v>
      </c>
      <c r="T90" s="233">
        <v>9197</v>
      </c>
    </row>
    <row r="91" spans="1:20">
      <c r="A91" s="226">
        <v>91010</v>
      </c>
      <c r="B91" s="227" t="s">
        <v>803</v>
      </c>
      <c r="C91" s="87">
        <v>7.0099999999999996E-5</v>
      </c>
      <c r="D91" s="87">
        <v>6.8399999999999996E-5</v>
      </c>
      <c r="E91" s="231">
        <v>107093</v>
      </c>
      <c r="F91" s="231"/>
      <c r="G91" s="232">
        <v>6170</v>
      </c>
      <c r="H91" s="220">
        <v>26003</v>
      </c>
      <c r="I91" s="232">
        <v>15294</v>
      </c>
      <c r="J91" s="231">
        <v>7603</v>
      </c>
      <c r="K91" s="220">
        <f t="shared" si="2"/>
        <v>55070</v>
      </c>
      <c r="L91" s="231"/>
      <c r="M91" s="232">
        <v>3031</v>
      </c>
      <c r="N91" s="232">
        <v>0</v>
      </c>
      <c r="O91" s="231">
        <v>296</v>
      </c>
      <c r="P91" s="220">
        <f t="shared" si="3"/>
        <v>3327</v>
      </c>
      <c r="Q91" s="231"/>
      <c r="R91" s="232">
        <v>36091</v>
      </c>
      <c r="S91" s="233">
        <v>4736</v>
      </c>
      <c r="T91" s="233">
        <v>40827</v>
      </c>
    </row>
    <row r="92" spans="1:20">
      <c r="A92" s="226">
        <v>91011</v>
      </c>
      <c r="B92" s="227" t="s">
        <v>804</v>
      </c>
      <c r="C92" s="87">
        <v>3.5760000000000002E-4</v>
      </c>
      <c r="D92" s="87">
        <v>3.1789999999999998E-4</v>
      </c>
      <c r="E92" s="231">
        <v>546314</v>
      </c>
      <c r="F92" s="231"/>
      <c r="G92" s="232">
        <v>31473</v>
      </c>
      <c r="H92" s="220">
        <v>132645</v>
      </c>
      <c r="I92" s="232">
        <v>78021</v>
      </c>
      <c r="J92" s="231">
        <v>43643</v>
      </c>
      <c r="K92" s="220">
        <f t="shared" si="2"/>
        <v>285782</v>
      </c>
      <c r="L92" s="231"/>
      <c r="M92" s="232">
        <v>15464</v>
      </c>
      <c r="N92" s="232">
        <v>0</v>
      </c>
      <c r="O92" s="231">
        <v>0</v>
      </c>
      <c r="P92" s="220">
        <f t="shared" si="3"/>
        <v>15464</v>
      </c>
      <c r="Q92" s="231"/>
      <c r="R92" s="232">
        <v>184108</v>
      </c>
      <c r="S92" s="233">
        <v>16126</v>
      </c>
      <c r="T92" s="233">
        <v>200234</v>
      </c>
    </row>
    <row r="93" spans="1:20">
      <c r="A93" s="226">
        <v>91012</v>
      </c>
      <c r="B93" s="227" t="s">
        <v>805</v>
      </c>
      <c r="C93" s="87">
        <v>1.9300000000000002E-5</v>
      </c>
      <c r="D93" s="87">
        <v>1.49E-5</v>
      </c>
      <c r="E93" s="231">
        <v>29485</v>
      </c>
      <c r="F93" s="231"/>
      <c r="G93" s="232">
        <v>1699</v>
      </c>
      <c r="H93" s="220">
        <v>7159</v>
      </c>
      <c r="I93" s="232">
        <v>4211</v>
      </c>
      <c r="J93" s="231">
        <v>5400</v>
      </c>
      <c r="K93" s="220">
        <f t="shared" si="2"/>
        <v>18469</v>
      </c>
      <c r="L93" s="231"/>
      <c r="M93" s="232">
        <v>835</v>
      </c>
      <c r="N93" s="232">
        <v>0</v>
      </c>
      <c r="O93" s="231">
        <v>2458</v>
      </c>
      <c r="P93" s="220">
        <f t="shared" si="3"/>
        <v>3293</v>
      </c>
      <c r="Q93" s="231"/>
      <c r="R93" s="232">
        <v>9936</v>
      </c>
      <c r="S93" s="233">
        <v>-662</v>
      </c>
      <c r="T93" s="233">
        <f>9275-1</f>
        <v>9274</v>
      </c>
    </row>
    <row r="94" spans="1:20">
      <c r="A94" s="226">
        <v>91013</v>
      </c>
      <c r="B94" s="227" t="s">
        <v>806</v>
      </c>
      <c r="C94" s="87">
        <v>2.34E-5</v>
      </c>
      <c r="D94" s="87">
        <v>2.1800000000000001E-5</v>
      </c>
      <c r="E94" s="231">
        <v>35749</v>
      </c>
      <c r="F94" s="231"/>
      <c r="G94" s="232">
        <v>2059</v>
      </c>
      <c r="H94" s="220">
        <v>8680</v>
      </c>
      <c r="I94" s="232">
        <v>5105</v>
      </c>
      <c r="J94" s="231">
        <v>31764</v>
      </c>
      <c r="K94" s="220">
        <f t="shared" si="2"/>
        <v>47608</v>
      </c>
      <c r="L94" s="231"/>
      <c r="M94" s="232">
        <v>1012</v>
      </c>
      <c r="N94" s="232">
        <v>0</v>
      </c>
      <c r="O94" s="231">
        <v>0</v>
      </c>
      <c r="P94" s="220">
        <f t="shared" si="3"/>
        <v>1012</v>
      </c>
      <c r="Q94" s="231"/>
      <c r="R94" s="232">
        <v>12047</v>
      </c>
      <c r="S94" s="233">
        <v>9518</v>
      </c>
      <c r="T94" s="233">
        <v>21565</v>
      </c>
    </row>
    <row r="95" spans="1:20">
      <c r="A95" s="226">
        <v>91014</v>
      </c>
      <c r="B95" s="227" t="s">
        <v>807</v>
      </c>
      <c r="C95" s="87">
        <v>2.22E-4</v>
      </c>
      <c r="D95" s="87">
        <v>2.1499999999999999E-4</v>
      </c>
      <c r="E95" s="231">
        <v>339155</v>
      </c>
      <c r="F95" s="231"/>
      <c r="G95" s="232">
        <v>19538</v>
      </c>
      <c r="H95" s="220">
        <v>82347</v>
      </c>
      <c r="I95" s="232">
        <v>48436</v>
      </c>
      <c r="J95" s="231">
        <v>1313</v>
      </c>
      <c r="K95" s="220">
        <f t="shared" si="2"/>
        <v>151634</v>
      </c>
      <c r="L95" s="231"/>
      <c r="M95" s="232">
        <v>9600</v>
      </c>
      <c r="N95" s="232">
        <v>0</v>
      </c>
      <c r="O95" s="231">
        <v>11287</v>
      </c>
      <c r="P95" s="220">
        <f t="shared" si="3"/>
        <v>20887</v>
      </c>
      <c r="Q95" s="231"/>
      <c r="R95" s="232">
        <v>114295</v>
      </c>
      <c r="S95" s="233">
        <v>-6129</v>
      </c>
      <c r="T95" s="233">
        <f>108167-1</f>
        <v>108166</v>
      </c>
    </row>
    <row r="96" spans="1:20">
      <c r="A96" s="226">
        <v>91017</v>
      </c>
      <c r="B96" s="227" t="s">
        <v>808</v>
      </c>
      <c r="C96" s="87">
        <v>2.4300000000000001E-5</v>
      </c>
      <c r="D96" s="87">
        <v>2.3E-5</v>
      </c>
      <c r="E96" s="231">
        <v>37124</v>
      </c>
      <c r="F96" s="231"/>
      <c r="G96" s="232">
        <v>2139</v>
      </c>
      <c r="H96" s="220">
        <v>9014</v>
      </c>
      <c r="I96" s="232">
        <v>5302</v>
      </c>
      <c r="J96" s="231">
        <v>10242</v>
      </c>
      <c r="K96" s="220">
        <f t="shared" si="2"/>
        <v>26697</v>
      </c>
      <c r="L96" s="231"/>
      <c r="M96" s="232">
        <v>1051</v>
      </c>
      <c r="N96" s="232">
        <v>0</v>
      </c>
      <c r="O96" s="231">
        <v>0</v>
      </c>
      <c r="P96" s="220">
        <f t="shared" si="3"/>
        <v>1051</v>
      </c>
      <c r="Q96" s="231"/>
      <c r="R96" s="232">
        <v>12511</v>
      </c>
      <c r="S96" s="233">
        <v>4025</v>
      </c>
      <c r="T96" s="233">
        <v>16536</v>
      </c>
    </row>
    <row r="97" spans="1:20">
      <c r="A97" s="226">
        <v>91020</v>
      </c>
      <c r="B97" s="227" t="s">
        <v>809</v>
      </c>
      <c r="C97" s="87">
        <v>2.27E-5</v>
      </c>
      <c r="D97" s="87">
        <v>1.9899999999999999E-5</v>
      </c>
      <c r="E97" s="231">
        <v>34679</v>
      </c>
      <c r="F97" s="231"/>
      <c r="G97" s="232">
        <v>1998</v>
      </c>
      <c r="H97" s="220">
        <v>8420</v>
      </c>
      <c r="I97" s="232">
        <v>4953</v>
      </c>
      <c r="J97" s="231">
        <v>4064</v>
      </c>
      <c r="K97" s="220">
        <f t="shared" si="2"/>
        <v>19435</v>
      </c>
      <c r="L97" s="231"/>
      <c r="M97" s="232">
        <v>982</v>
      </c>
      <c r="N97" s="232">
        <v>0</v>
      </c>
      <c r="O97" s="231">
        <v>376</v>
      </c>
      <c r="P97" s="220">
        <f t="shared" si="3"/>
        <v>1358</v>
      </c>
      <c r="Q97" s="231"/>
      <c r="R97" s="232">
        <v>11687</v>
      </c>
      <c r="S97" s="233">
        <v>1259</v>
      </c>
      <c r="T97" s="233">
        <v>12946</v>
      </c>
    </row>
    <row r="98" spans="1:20">
      <c r="A98" s="226">
        <v>91021</v>
      </c>
      <c r="B98" s="227" t="s">
        <v>810</v>
      </c>
      <c r="C98" s="87">
        <v>8.6450000000000003E-4</v>
      </c>
      <c r="D98" s="87">
        <v>8.6989999999999995E-4</v>
      </c>
      <c r="E98" s="231">
        <v>1320717</v>
      </c>
      <c r="F98" s="231"/>
      <c r="G98" s="232">
        <v>76086</v>
      </c>
      <c r="H98" s="220">
        <v>320672</v>
      </c>
      <c r="I98" s="232">
        <v>188617</v>
      </c>
      <c r="J98" s="231">
        <v>0</v>
      </c>
      <c r="K98" s="220">
        <f t="shared" si="2"/>
        <v>585375</v>
      </c>
      <c r="L98" s="231"/>
      <c r="M98" s="232">
        <v>37385</v>
      </c>
      <c r="N98" s="232">
        <v>0</v>
      </c>
      <c r="O98" s="231">
        <v>82677</v>
      </c>
      <c r="P98" s="220">
        <f t="shared" si="3"/>
        <v>120062</v>
      </c>
      <c r="Q98" s="231"/>
      <c r="R98" s="232">
        <v>445083</v>
      </c>
      <c r="S98" s="233">
        <v>-48679</v>
      </c>
      <c r="T98" s="233">
        <v>396404</v>
      </c>
    </row>
    <row r="99" spans="1:20">
      <c r="A99" s="226">
        <v>91024</v>
      </c>
      <c r="B99" s="227" t="s">
        <v>811</v>
      </c>
      <c r="C99" s="87">
        <v>7.2999999999999999E-5</v>
      </c>
      <c r="D99" s="87">
        <v>6.6299999999999999E-5</v>
      </c>
      <c r="E99" s="231">
        <v>111524</v>
      </c>
      <c r="F99" s="231"/>
      <c r="G99" s="232">
        <v>6425</v>
      </c>
      <c r="H99" s="220">
        <v>27078</v>
      </c>
      <c r="I99" s="232">
        <v>15927</v>
      </c>
      <c r="J99" s="231">
        <v>24081</v>
      </c>
      <c r="K99" s="220">
        <f t="shared" si="2"/>
        <v>73511</v>
      </c>
      <c r="L99" s="231"/>
      <c r="M99" s="232">
        <v>3157</v>
      </c>
      <c r="N99" s="232">
        <v>0</v>
      </c>
      <c r="O99" s="231">
        <v>0</v>
      </c>
      <c r="P99" s="220">
        <f t="shared" si="3"/>
        <v>3157</v>
      </c>
      <c r="Q99" s="231"/>
      <c r="R99" s="232">
        <v>37584</v>
      </c>
      <c r="S99" s="233">
        <v>10843</v>
      </c>
      <c r="T99" s="233">
        <f>48426+1</f>
        <v>48427</v>
      </c>
    </row>
    <row r="100" spans="1:20">
      <c r="A100" s="226">
        <v>91026</v>
      </c>
      <c r="B100" s="227" t="s">
        <v>43</v>
      </c>
      <c r="C100" s="87">
        <v>4.18E-5</v>
      </c>
      <c r="D100" s="87">
        <v>6.0900000000000003E-5</v>
      </c>
      <c r="E100" s="231">
        <v>63859</v>
      </c>
      <c r="F100" s="231"/>
      <c r="G100" s="232">
        <v>3679</v>
      </c>
      <c r="H100" s="220">
        <v>15505</v>
      </c>
      <c r="I100" s="232">
        <v>9120</v>
      </c>
      <c r="J100" s="231">
        <v>34468</v>
      </c>
      <c r="K100" s="220">
        <f t="shared" si="2"/>
        <v>62772</v>
      </c>
      <c r="L100" s="231"/>
      <c r="M100" s="232">
        <v>1808</v>
      </c>
      <c r="N100" s="232">
        <v>0</v>
      </c>
      <c r="O100" s="231">
        <v>3103</v>
      </c>
      <c r="P100" s="220">
        <f t="shared" si="3"/>
        <v>4911</v>
      </c>
      <c r="Q100" s="231"/>
      <c r="R100" s="232">
        <v>21520</v>
      </c>
      <c r="S100" s="233">
        <v>11546</v>
      </c>
      <c r="T100" s="233">
        <v>33066</v>
      </c>
    </row>
    <row r="101" spans="1:20">
      <c r="A101" s="226">
        <v>91027</v>
      </c>
      <c r="B101" s="227" t="s">
        <v>812</v>
      </c>
      <c r="C101" s="87">
        <v>1.4E-5</v>
      </c>
      <c r="D101" s="87">
        <v>1.6099999999999998E-5</v>
      </c>
      <c r="E101" s="231">
        <v>21388</v>
      </c>
      <c r="F101" s="231"/>
      <c r="G101" s="232">
        <v>1232</v>
      </c>
      <c r="H101" s="220">
        <v>5193</v>
      </c>
      <c r="I101" s="232">
        <v>3055</v>
      </c>
      <c r="J101" s="231">
        <v>16343</v>
      </c>
      <c r="K101" s="220">
        <f t="shared" si="2"/>
        <v>25823</v>
      </c>
      <c r="L101" s="231"/>
      <c r="M101" s="232">
        <v>605</v>
      </c>
      <c r="N101" s="232">
        <v>0</v>
      </c>
      <c r="O101" s="231">
        <v>0</v>
      </c>
      <c r="P101" s="220">
        <f t="shared" si="3"/>
        <v>605</v>
      </c>
      <c r="Q101" s="231"/>
      <c r="R101" s="232">
        <v>7208</v>
      </c>
      <c r="S101" s="233">
        <v>6601</v>
      </c>
      <c r="T101" s="233">
        <f>13808+1</f>
        <v>13809</v>
      </c>
    </row>
    <row r="102" spans="1:20">
      <c r="A102" s="226">
        <v>91032</v>
      </c>
      <c r="B102" s="227" t="s">
        <v>813</v>
      </c>
      <c r="C102" s="87">
        <v>1.8E-5</v>
      </c>
      <c r="D102" s="87">
        <v>1.8600000000000001E-5</v>
      </c>
      <c r="E102" s="231">
        <v>27499</v>
      </c>
      <c r="F102" s="231"/>
      <c r="G102" s="232">
        <v>1584</v>
      </c>
      <c r="H102" s="220">
        <v>6677</v>
      </c>
      <c r="I102" s="232">
        <v>3927</v>
      </c>
      <c r="J102" s="231">
        <v>14996</v>
      </c>
      <c r="K102" s="220">
        <f t="shared" si="2"/>
        <v>27184</v>
      </c>
      <c r="L102" s="231"/>
      <c r="M102" s="232">
        <v>778</v>
      </c>
      <c r="N102" s="232">
        <v>0</v>
      </c>
      <c r="O102" s="231">
        <v>0</v>
      </c>
      <c r="P102" s="220">
        <f t="shared" si="3"/>
        <v>778</v>
      </c>
      <c r="Q102" s="231"/>
      <c r="R102" s="232">
        <v>9267</v>
      </c>
      <c r="S102" s="233">
        <v>6458</v>
      </c>
      <c r="T102" s="233">
        <v>15725</v>
      </c>
    </row>
    <row r="103" spans="1:20">
      <c r="A103" s="226">
        <v>91041</v>
      </c>
      <c r="B103" s="227" t="s">
        <v>814</v>
      </c>
      <c r="C103" s="87">
        <v>4.0400000000000001E-4</v>
      </c>
      <c r="D103" s="87">
        <v>4.3609999999999998E-4</v>
      </c>
      <c r="E103" s="231">
        <v>617200</v>
      </c>
      <c r="F103" s="231"/>
      <c r="G103" s="232">
        <v>35556</v>
      </c>
      <c r="H103" s="220">
        <v>149857</v>
      </c>
      <c r="I103" s="232">
        <v>88145</v>
      </c>
      <c r="J103" s="231">
        <v>0</v>
      </c>
      <c r="K103" s="220">
        <f t="shared" si="2"/>
        <v>273558</v>
      </c>
      <c r="L103" s="231"/>
      <c r="M103" s="232">
        <v>17471</v>
      </c>
      <c r="N103" s="232">
        <v>0</v>
      </c>
      <c r="O103" s="231">
        <v>109443</v>
      </c>
      <c r="P103" s="220">
        <f t="shared" si="3"/>
        <v>126914</v>
      </c>
      <c r="Q103" s="231"/>
      <c r="R103" s="232">
        <v>207997</v>
      </c>
      <c r="S103" s="233">
        <v>-39088</v>
      </c>
      <c r="T103" s="233">
        <v>168909</v>
      </c>
    </row>
    <row r="104" spans="1:20">
      <c r="A104" s="226">
        <v>91042</v>
      </c>
      <c r="B104" s="227" t="s">
        <v>815</v>
      </c>
      <c r="C104" s="87">
        <v>2.3360000000000001E-4</v>
      </c>
      <c r="D104" s="87">
        <v>2.062E-4</v>
      </c>
      <c r="E104" s="231">
        <v>356876</v>
      </c>
      <c r="F104" s="231"/>
      <c r="G104" s="232">
        <v>20559</v>
      </c>
      <c r="H104" s="220">
        <v>86650</v>
      </c>
      <c r="I104" s="232">
        <v>50967</v>
      </c>
      <c r="J104" s="231">
        <v>12354</v>
      </c>
      <c r="K104" s="220">
        <f t="shared" si="2"/>
        <v>170530</v>
      </c>
      <c r="L104" s="231"/>
      <c r="M104" s="232">
        <v>10102</v>
      </c>
      <c r="N104" s="232">
        <v>0</v>
      </c>
      <c r="O104" s="231">
        <v>6985</v>
      </c>
      <c r="P104" s="220">
        <f t="shared" si="3"/>
        <v>17087</v>
      </c>
      <c r="Q104" s="231"/>
      <c r="R104" s="232">
        <v>120268</v>
      </c>
      <c r="S104" s="233">
        <v>717</v>
      </c>
      <c r="T104" s="233">
        <f>120984+1</f>
        <v>120985</v>
      </c>
    </row>
    <row r="105" spans="1:20">
      <c r="A105" s="226">
        <v>91047</v>
      </c>
      <c r="B105" s="227" t="s">
        <v>816</v>
      </c>
      <c r="C105" s="87">
        <v>1.31E-5</v>
      </c>
      <c r="D105" s="87">
        <v>1.3200000000000001E-5</v>
      </c>
      <c r="E105" s="231">
        <v>20013</v>
      </c>
      <c r="F105" s="231"/>
      <c r="G105" s="232">
        <v>1153</v>
      </c>
      <c r="H105" s="220">
        <v>4859</v>
      </c>
      <c r="I105" s="232">
        <v>2858</v>
      </c>
      <c r="J105" s="231">
        <v>20507</v>
      </c>
      <c r="K105" s="220">
        <f t="shared" si="2"/>
        <v>29377</v>
      </c>
      <c r="L105" s="231"/>
      <c r="M105" s="232">
        <v>567</v>
      </c>
      <c r="N105" s="232">
        <v>0</v>
      </c>
      <c r="O105" s="231">
        <v>0</v>
      </c>
      <c r="P105" s="220">
        <f t="shared" si="3"/>
        <v>567</v>
      </c>
      <c r="Q105" s="231"/>
      <c r="R105" s="232">
        <v>6744</v>
      </c>
      <c r="S105" s="233">
        <v>7559</v>
      </c>
      <c r="T105" s="233">
        <v>14303</v>
      </c>
    </row>
    <row r="106" spans="1:20">
      <c r="A106" s="226">
        <v>91051</v>
      </c>
      <c r="B106" s="227" t="s">
        <v>817</v>
      </c>
      <c r="C106" s="87">
        <v>6.6400000000000001E-5</v>
      </c>
      <c r="D106" s="87">
        <v>7.6600000000000005E-5</v>
      </c>
      <c r="E106" s="231">
        <v>101441</v>
      </c>
      <c r="F106" s="231"/>
      <c r="G106" s="232">
        <v>5844</v>
      </c>
      <c r="H106" s="220">
        <v>24630</v>
      </c>
      <c r="I106" s="232">
        <v>14487</v>
      </c>
      <c r="J106" s="231">
        <v>1619</v>
      </c>
      <c r="K106" s="220">
        <f t="shared" si="2"/>
        <v>46580</v>
      </c>
      <c r="L106" s="231"/>
      <c r="M106" s="232">
        <v>2871</v>
      </c>
      <c r="N106" s="232">
        <v>0</v>
      </c>
      <c r="O106" s="231">
        <v>8430</v>
      </c>
      <c r="P106" s="220">
        <f t="shared" si="3"/>
        <v>11301</v>
      </c>
      <c r="Q106" s="231"/>
      <c r="R106" s="232">
        <v>34186</v>
      </c>
      <c r="S106" s="233">
        <v>-1576</v>
      </c>
      <c r="T106" s="233">
        <f>32609+1</f>
        <v>32610</v>
      </c>
    </row>
    <row r="107" spans="1:20">
      <c r="A107" s="226">
        <v>91057</v>
      </c>
      <c r="B107" s="227" t="s">
        <v>818</v>
      </c>
      <c r="C107" s="87">
        <v>1.4399999999999999E-5</v>
      </c>
      <c r="D107" s="87">
        <v>1.5E-5</v>
      </c>
      <c r="E107" s="231">
        <v>21999</v>
      </c>
      <c r="F107" s="231"/>
      <c r="G107" s="232">
        <v>1267</v>
      </c>
      <c r="H107" s="220">
        <v>5342</v>
      </c>
      <c r="I107" s="232">
        <v>3142</v>
      </c>
      <c r="J107" s="231">
        <v>5805</v>
      </c>
      <c r="K107" s="220">
        <f t="shared" si="2"/>
        <v>15556</v>
      </c>
      <c r="L107" s="231"/>
      <c r="M107" s="232">
        <v>623</v>
      </c>
      <c r="N107" s="232">
        <v>0</v>
      </c>
      <c r="O107" s="231">
        <v>0</v>
      </c>
      <c r="P107" s="220">
        <f t="shared" si="3"/>
        <v>623</v>
      </c>
      <c r="Q107" s="231"/>
      <c r="R107" s="232">
        <v>7414</v>
      </c>
      <c r="S107" s="233">
        <v>2191</v>
      </c>
      <c r="T107" s="233">
        <v>9605</v>
      </c>
    </row>
    <row r="108" spans="1:20">
      <c r="A108" s="226">
        <v>91061</v>
      </c>
      <c r="B108" s="227" t="s">
        <v>819</v>
      </c>
      <c r="C108" s="87">
        <v>4.104E-4</v>
      </c>
      <c r="D108" s="87">
        <v>3.7730000000000001E-4</v>
      </c>
      <c r="E108" s="231">
        <v>626978</v>
      </c>
      <c r="F108" s="231"/>
      <c r="G108" s="232">
        <v>36120</v>
      </c>
      <c r="H108" s="220">
        <v>152231</v>
      </c>
      <c r="I108" s="232">
        <v>89541</v>
      </c>
      <c r="J108" s="231">
        <v>19267</v>
      </c>
      <c r="K108" s="220">
        <f t="shared" si="2"/>
        <v>297159</v>
      </c>
      <c r="L108" s="231"/>
      <c r="M108" s="232">
        <v>17748</v>
      </c>
      <c r="N108" s="232">
        <v>0</v>
      </c>
      <c r="O108" s="231">
        <v>27800</v>
      </c>
      <c r="P108" s="220">
        <f t="shared" si="3"/>
        <v>45548</v>
      </c>
      <c r="Q108" s="231"/>
      <c r="R108" s="232">
        <v>211292</v>
      </c>
      <c r="S108" s="233">
        <v>-13384</v>
      </c>
      <c r="T108" s="233">
        <v>197908</v>
      </c>
    </row>
    <row r="109" spans="1:20">
      <c r="A109" s="226">
        <v>91067</v>
      </c>
      <c r="B109" s="227" t="s">
        <v>820</v>
      </c>
      <c r="C109" s="87">
        <v>1.5699999999999999E-5</v>
      </c>
      <c r="D109" s="87">
        <v>1.8499999999999999E-5</v>
      </c>
      <c r="E109" s="231">
        <v>23985</v>
      </c>
      <c r="F109" s="231"/>
      <c r="G109" s="232">
        <v>1382</v>
      </c>
      <c r="H109" s="220">
        <v>5824</v>
      </c>
      <c r="I109" s="232">
        <v>3425</v>
      </c>
      <c r="J109" s="231">
        <v>2413</v>
      </c>
      <c r="K109" s="220">
        <f t="shared" si="2"/>
        <v>13044</v>
      </c>
      <c r="L109" s="231"/>
      <c r="M109" s="232">
        <v>679</v>
      </c>
      <c r="N109" s="232">
        <v>0</v>
      </c>
      <c r="O109" s="231">
        <v>406</v>
      </c>
      <c r="P109" s="220">
        <f t="shared" si="3"/>
        <v>1085</v>
      </c>
      <c r="Q109" s="231"/>
      <c r="R109" s="232">
        <v>8083</v>
      </c>
      <c r="S109" s="233">
        <v>1156</v>
      </c>
      <c r="T109" s="233">
        <v>9239</v>
      </c>
    </row>
    <row r="110" spans="1:20">
      <c r="A110" s="226">
        <v>91071</v>
      </c>
      <c r="B110" s="227" t="s">
        <v>821</v>
      </c>
      <c r="C110" s="87">
        <v>2.2770000000000001E-4</v>
      </c>
      <c r="D110" s="87">
        <v>2.4379999999999999E-4</v>
      </c>
      <c r="E110" s="231">
        <v>347863</v>
      </c>
      <c r="F110" s="231"/>
      <c r="G110" s="232">
        <v>20040</v>
      </c>
      <c r="H110" s="220">
        <v>84462</v>
      </c>
      <c r="I110" s="232">
        <v>49680</v>
      </c>
      <c r="J110" s="231">
        <v>8372</v>
      </c>
      <c r="K110" s="220">
        <f t="shared" si="2"/>
        <v>162554</v>
      </c>
      <c r="L110" s="231"/>
      <c r="M110" s="232">
        <v>9847</v>
      </c>
      <c r="N110" s="232">
        <v>0</v>
      </c>
      <c r="O110" s="231">
        <v>22478</v>
      </c>
      <c r="P110" s="220">
        <f t="shared" si="3"/>
        <v>32325</v>
      </c>
      <c r="Q110" s="231"/>
      <c r="R110" s="232">
        <v>117230</v>
      </c>
      <c r="S110" s="233">
        <v>2353</v>
      </c>
      <c r="T110" s="233">
        <v>119583</v>
      </c>
    </row>
    <row r="111" spans="1:20">
      <c r="A111" s="226">
        <v>91077</v>
      </c>
      <c r="B111" s="227" t="s">
        <v>822</v>
      </c>
      <c r="C111" s="87">
        <v>3.5999999999999998E-6</v>
      </c>
      <c r="D111" s="87">
        <v>3.9999999999999998E-6</v>
      </c>
      <c r="E111" s="231">
        <v>5500</v>
      </c>
      <c r="F111" s="231"/>
      <c r="G111" s="232">
        <v>317</v>
      </c>
      <c r="H111" s="220">
        <v>1336</v>
      </c>
      <c r="I111" s="232">
        <v>785</v>
      </c>
      <c r="J111" s="231">
        <v>1826</v>
      </c>
      <c r="K111" s="220">
        <f t="shared" si="2"/>
        <v>4264</v>
      </c>
      <c r="L111" s="231"/>
      <c r="M111" s="232">
        <v>156</v>
      </c>
      <c r="N111" s="232">
        <v>0</v>
      </c>
      <c r="O111" s="231">
        <v>51</v>
      </c>
      <c r="P111" s="220">
        <f t="shared" si="3"/>
        <v>207</v>
      </c>
      <c r="Q111" s="231"/>
      <c r="R111" s="232">
        <v>1853</v>
      </c>
      <c r="S111" s="233">
        <v>551</v>
      </c>
      <c r="T111" s="233">
        <f>2405-1</f>
        <v>2404</v>
      </c>
    </row>
    <row r="112" spans="1:20">
      <c r="A112" s="226">
        <v>91081</v>
      </c>
      <c r="B112" s="227" t="s">
        <v>823</v>
      </c>
      <c r="C112" s="87">
        <v>3.6240000000000003E-4</v>
      </c>
      <c r="D112" s="87">
        <v>3.6499999999999998E-4</v>
      </c>
      <c r="E112" s="231">
        <v>553647</v>
      </c>
      <c r="F112" s="231"/>
      <c r="G112" s="232">
        <v>31895</v>
      </c>
      <c r="H112" s="220">
        <v>134426</v>
      </c>
      <c r="I112" s="232">
        <v>79068</v>
      </c>
      <c r="J112" s="231">
        <v>1618</v>
      </c>
      <c r="K112" s="220">
        <f t="shared" si="2"/>
        <v>247007</v>
      </c>
      <c r="L112" s="231"/>
      <c r="M112" s="232">
        <v>15672</v>
      </c>
      <c r="N112" s="232">
        <v>0</v>
      </c>
      <c r="O112" s="231">
        <v>13549</v>
      </c>
      <c r="P112" s="220">
        <f t="shared" si="3"/>
        <v>29221</v>
      </c>
      <c r="Q112" s="231"/>
      <c r="R112" s="232">
        <v>186579</v>
      </c>
      <c r="S112" s="233">
        <v>-13101</v>
      </c>
      <c r="T112" s="233">
        <v>173478</v>
      </c>
    </row>
    <row r="113" spans="1:20">
      <c r="A113" s="226">
        <v>91091</v>
      </c>
      <c r="B113" s="227" t="s">
        <v>824</v>
      </c>
      <c r="C113" s="87">
        <v>5.3790000000000001E-4</v>
      </c>
      <c r="D113" s="87">
        <v>5.6380000000000004E-4</v>
      </c>
      <c r="E113" s="231">
        <v>821762</v>
      </c>
      <c r="F113" s="231"/>
      <c r="G113" s="232">
        <v>47341</v>
      </c>
      <c r="H113" s="220">
        <v>199525</v>
      </c>
      <c r="I113" s="232">
        <v>117359</v>
      </c>
      <c r="J113" s="231">
        <v>0</v>
      </c>
      <c r="K113" s="220">
        <f t="shared" si="2"/>
        <v>364225</v>
      </c>
      <c r="L113" s="231"/>
      <c r="M113" s="232">
        <v>23261</v>
      </c>
      <c r="N113" s="232">
        <v>0</v>
      </c>
      <c r="O113" s="231">
        <v>66212</v>
      </c>
      <c r="P113" s="220">
        <f t="shared" si="3"/>
        <v>89473</v>
      </c>
      <c r="Q113" s="231"/>
      <c r="R113" s="232">
        <v>276935</v>
      </c>
      <c r="S113" s="233">
        <v>-30835</v>
      </c>
      <c r="T113" s="233">
        <f>246099+1</f>
        <v>246100</v>
      </c>
    </row>
    <row r="114" spans="1:20">
      <c r="A114" s="226">
        <v>91101</v>
      </c>
      <c r="B114" s="227" t="s">
        <v>825</v>
      </c>
      <c r="C114" s="87">
        <v>1.35581E-2</v>
      </c>
      <c r="D114" s="87">
        <v>1.36685E-2</v>
      </c>
      <c r="E114" s="231">
        <v>20713021</v>
      </c>
      <c r="F114" s="231"/>
      <c r="G114" s="232">
        <v>1193262</v>
      </c>
      <c r="H114" s="220">
        <v>5029146</v>
      </c>
      <c r="I114" s="232">
        <v>2958106</v>
      </c>
      <c r="J114" s="231">
        <v>471609</v>
      </c>
      <c r="K114" s="220">
        <f t="shared" si="2"/>
        <v>9652123</v>
      </c>
      <c r="L114" s="231"/>
      <c r="M114" s="232">
        <v>586320</v>
      </c>
      <c r="N114" s="232">
        <v>0</v>
      </c>
      <c r="O114" s="231">
        <v>587664</v>
      </c>
      <c r="P114" s="220">
        <f t="shared" si="3"/>
        <v>1173984</v>
      </c>
      <c r="Q114" s="231"/>
      <c r="R114" s="232">
        <v>6980306</v>
      </c>
      <c r="S114" s="233">
        <v>147859</v>
      </c>
      <c r="T114" s="233">
        <v>7128165</v>
      </c>
    </row>
    <row r="115" spans="1:20">
      <c r="A115" s="226">
        <v>91102</v>
      </c>
      <c r="B115" s="227" t="s">
        <v>826</v>
      </c>
      <c r="C115" s="87">
        <v>3.2919999999999998E-4</v>
      </c>
      <c r="D115" s="87">
        <v>3.034E-4</v>
      </c>
      <c r="E115" s="231">
        <v>502926</v>
      </c>
      <c r="F115" s="231"/>
      <c r="G115" s="232">
        <v>28973</v>
      </c>
      <c r="H115" s="220">
        <v>122111</v>
      </c>
      <c r="I115" s="232">
        <v>71825</v>
      </c>
      <c r="J115" s="231">
        <v>35240</v>
      </c>
      <c r="K115" s="220">
        <f t="shared" si="2"/>
        <v>258149</v>
      </c>
      <c r="L115" s="231"/>
      <c r="M115" s="232">
        <v>14236</v>
      </c>
      <c r="N115" s="232">
        <v>0</v>
      </c>
      <c r="O115" s="231">
        <v>33978</v>
      </c>
      <c r="P115" s="220">
        <f t="shared" si="3"/>
        <v>48214</v>
      </c>
      <c r="Q115" s="231"/>
      <c r="R115" s="232">
        <v>169487</v>
      </c>
      <c r="S115" s="233">
        <v>-8323</v>
      </c>
      <c r="T115" s="233">
        <f>161163+1</f>
        <v>161164</v>
      </c>
    </row>
    <row r="116" spans="1:20">
      <c r="A116" s="226">
        <v>91104</v>
      </c>
      <c r="B116" s="227" t="s">
        <v>827</v>
      </c>
      <c r="C116" s="87">
        <v>7.9000000000000006E-6</v>
      </c>
      <c r="D116" s="87">
        <v>8.1999999999999994E-6</v>
      </c>
      <c r="E116" s="231">
        <v>12069</v>
      </c>
      <c r="F116" s="231"/>
      <c r="G116" s="232">
        <v>695</v>
      </c>
      <c r="H116" s="220">
        <v>2930</v>
      </c>
      <c r="I116" s="232">
        <v>1724</v>
      </c>
      <c r="J116" s="231">
        <v>2115</v>
      </c>
      <c r="K116" s="220">
        <f t="shared" si="2"/>
        <v>7464</v>
      </c>
      <c r="L116" s="231"/>
      <c r="M116" s="232">
        <v>342</v>
      </c>
      <c r="N116" s="232">
        <v>0</v>
      </c>
      <c r="O116" s="231">
        <v>39</v>
      </c>
      <c r="P116" s="220">
        <f t="shared" si="3"/>
        <v>381</v>
      </c>
      <c r="Q116" s="231"/>
      <c r="R116" s="232">
        <v>4067</v>
      </c>
      <c r="S116" s="233">
        <v>589</v>
      </c>
      <c r="T116" s="233">
        <v>4656</v>
      </c>
    </row>
    <row r="117" spans="1:20">
      <c r="A117" s="226">
        <v>91107</v>
      </c>
      <c r="B117" s="227" t="s">
        <v>828</v>
      </c>
      <c r="C117" s="87">
        <v>7.08E-5</v>
      </c>
      <c r="D117" s="87">
        <v>6.7899999999999997E-5</v>
      </c>
      <c r="E117" s="231">
        <v>108163</v>
      </c>
      <c r="F117" s="231"/>
      <c r="G117" s="232">
        <v>6231</v>
      </c>
      <c r="H117" s="220">
        <v>26263</v>
      </c>
      <c r="I117" s="232">
        <v>15447</v>
      </c>
      <c r="J117" s="231">
        <v>13143</v>
      </c>
      <c r="K117" s="220">
        <f t="shared" si="2"/>
        <v>61084</v>
      </c>
      <c r="L117" s="231"/>
      <c r="M117" s="232">
        <v>3062</v>
      </c>
      <c r="N117" s="232">
        <v>0</v>
      </c>
      <c r="O117" s="231">
        <v>0</v>
      </c>
      <c r="P117" s="220">
        <f t="shared" si="3"/>
        <v>3062</v>
      </c>
      <c r="Q117" s="231"/>
      <c r="R117" s="232">
        <v>36451</v>
      </c>
      <c r="S117" s="233">
        <v>5162</v>
      </c>
      <c r="T117" s="233">
        <v>41613</v>
      </c>
    </row>
    <row r="118" spans="1:20">
      <c r="A118" s="226">
        <v>91108</v>
      </c>
      <c r="B118" s="227" t="s">
        <v>829</v>
      </c>
      <c r="C118" s="87">
        <v>1.2413999999999999E-3</v>
      </c>
      <c r="D118" s="87">
        <v>1.2622E-3</v>
      </c>
      <c r="E118" s="231">
        <v>1896515</v>
      </c>
      <c r="F118" s="231"/>
      <c r="G118" s="232">
        <v>109257</v>
      </c>
      <c r="H118" s="220">
        <v>460476</v>
      </c>
      <c r="I118" s="232">
        <v>270849</v>
      </c>
      <c r="J118" s="231">
        <v>74887</v>
      </c>
      <c r="K118" s="220">
        <f t="shared" si="2"/>
        <v>915469</v>
      </c>
      <c r="L118" s="231"/>
      <c r="M118" s="232">
        <v>53684</v>
      </c>
      <c r="N118" s="232">
        <v>0</v>
      </c>
      <c r="O118" s="231">
        <v>0</v>
      </c>
      <c r="P118" s="220">
        <f t="shared" si="3"/>
        <v>53684</v>
      </c>
      <c r="Q118" s="231"/>
      <c r="R118" s="232">
        <v>639127</v>
      </c>
      <c r="S118" s="233">
        <v>34876</v>
      </c>
      <c r="T118" s="233">
        <v>674003</v>
      </c>
    </row>
    <row r="119" spans="1:20">
      <c r="A119" s="226">
        <v>91109</v>
      </c>
      <c r="B119" s="227" t="s">
        <v>830</v>
      </c>
      <c r="C119" s="87">
        <v>9.9599999999999995E-5</v>
      </c>
      <c r="D119" s="87">
        <v>9.2100000000000003E-5</v>
      </c>
      <c r="E119" s="231">
        <v>152161</v>
      </c>
      <c r="F119" s="231"/>
      <c r="G119" s="232">
        <v>8766</v>
      </c>
      <c r="H119" s="220">
        <v>36945</v>
      </c>
      <c r="I119" s="232">
        <v>21731</v>
      </c>
      <c r="J119" s="231">
        <v>5921</v>
      </c>
      <c r="K119" s="220">
        <f t="shared" si="2"/>
        <v>73363</v>
      </c>
      <c r="L119" s="231"/>
      <c r="M119" s="232">
        <v>4307</v>
      </c>
      <c r="N119" s="232">
        <v>0</v>
      </c>
      <c r="O119" s="231">
        <v>920</v>
      </c>
      <c r="P119" s="220">
        <f t="shared" si="3"/>
        <v>5227</v>
      </c>
      <c r="Q119" s="231"/>
      <c r="R119" s="232">
        <v>51278</v>
      </c>
      <c r="S119" s="233">
        <v>1215</v>
      </c>
      <c r="T119" s="233">
        <v>52493</v>
      </c>
    </row>
    <row r="120" spans="1:20">
      <c r="A120" s="226">
        <v>91111</v>
      </c>
      <c r="B120" s="227" t="s">
        <v>831</v>
      </c>
      <c r="C120" s="87">
        <v>2.2719999999999999E-4</v>
      </c>
      <c r="D120" s="87">
        <v>2.2359999999999999E-4</v>
      </c>
      <c r="E120" s="231">
        <v>347099</v>
      </c>
      <c r="F120" s="231"/>
      <c r="G120" s="232">
        <v>19996</v>
      </c>
      <c r="H120" s="220">
        <v>84276</v>
      </c>
      <c r="I120" s="232">
        <v>49570</v>
      </c>
      <c r="J120" s="231">
        <v>25492</v>
      </c>
      <c r="K120" s="220">
        <f t="shared" si="2"/>
        <v>179334</v>
      </c>
      <c r="L120" s="231"/>
      <c r="M120" s="232">
        <v>9825</v>
      </c>
      <c r="N120" s="232">
        <v>0</v>
      </c>
      <c r="O120" s="231">
        <v>0</v>
      </c>
      <c r="P120" s="220">
        <f t="shared" si="3"/>
        <v>9825</v>
      </c>
      <c r="Q120" s="231"/>
      <c r="R120" s="232">
        <v>116973</v>
      </c>
      <c r="S120" s="233">
        <v>10793</v>
      </c>
      <c r="T120" s="233">
        <v>127766</v>
      </c>
    </row>
    <row r="121" spans="1:20">
      <c r="A121" s="226">
        <v>91119</v>
      </c>
      <c r="B121" s="227" t="s">
        <v>48</v>
      </c>
      <c r="C121" s="87">
        <v>0</v>
      </c>
      <c r="D121" s="87">
        <v>0</v>
      </c>
      <c r="E121" s="231">
        <v>0</v>
      </c>
      <c r="F121" s="231"/>
      <c r="G121" s="232">
        <v>0</v>
      </c>
      <c r="H121" s="220">
        <v>0</v>
      </c>
      <c r="I121" s="232">
        <v>0</v>
      </c>
      <c r="J121" s="231">
        <v>0</v>
      </c>
      <c r="K121" s="220">
        <f t="shared" si="2"/>
        <v>0</v>
      </c>
      <c r="L121" s="231"/>
      <c r="M121" s="232">
        <v>0</v>
      </c>
      <c r="N121" s="232">
        <v>0</v>
      </c>
      <c r="O121" s="231">
        <v>321091</v>
      </c>
      <c r="P121" s="220">
        <f t="shared" si="3"/>
        <v>321091</v>
      </c>
      <c r="Q121" s="231"/>
      <c r="R121" s="232">
        <v>0</v>
      </c>
      <c r="S121" s="233">
        <v>-324334</v>
      </c>
      <c r="T121" s="233">
        <v>-324334</v>
      </c>
    </row>
    <row r="122" spans="1:20">
      <c r="A122" s="226">
        <v>91120</v>
      </c>
      <c r="B122" s="227" t="s">
        <v>832</v>
      </c>
      <c r="C122" s="87">
        <v>1.3019999999999999E-4</v>
      </c>
      <c r="D122" s="87">
        <v>1.184E-4</v>
      </c>
      <c r="E122" s="231">
        <v>198910</v>
      </c>
      <c r="F122" s="231"/>
      <c r="G122" s="232">
        <v>11459</v>
      </c>
      <c r="H122" s="220">
        <v>48295</v>
      </c>
      <c r="I122" s="232">
        <v>28407</v>
      </c>
      <c r="J122" s="231">
        <v>0</v>
      </c>
      <c r="K122" s="220">
        <f t="shared" si="2"/>
        <v>88161</v>
      </c>
      <c r="L122" s="231"/>
      <c r="M122" s="232">
        <v>5630</v>
      </c>
      <c r="N122" s="232">
        <v>0</v>
      </c>
      <c r="O122" s="231">
        <v>21939</v>
      </c>
      <c r="P122" s="220">
        <f t="shared" si="3"/>
        <v>27569</v>
      </c>
      <c r="Q122" s="231"/>
      <c r="R122" s="232">
        <v>67033</v>
      </c>
      <c r="S122" s="233">
        <v>-12131</v>
      </c>
      <c r="T122" s="233">
        <v>54902</v>
      </c>
    </row>
    <row r="123" spans="1:20">
      <c r="A123" s="226">
        <v>91121</v>
      </c>
      <c r="B123" s="227" t="s">
        <v>833</v>
      </c>
      <c r="C123" s="87">
        <v>9.9927999999999996E-3</v>
      </c>
      <c r="D123" s="87">
        <v>9.7842999999999992E-3</v>
      </c>
      <c r="E123" s="231">
        <v>15266230</v>
      </c>
      <c r="F123" s="231"/>
      <c r="G123" s="232">
        <v>879476</v>
      </c>
      <c r="H123" s="220">
        <v>3706660</v>
      </c>
      <c r="I123" s="232">
        <v>2180229</v>
      </c>
      <c r="J123" s="231">
        <v>0</v>
      </c>
      <c r="K123" s="220">
        <f t="shared" si="2"/>
        <v>6766365</v>
      </c>
      <c r="L123" s="231"/>
      <c r="M123" s="232">
        <v>432139</v>
      </c>
      <c r="N123" s="232">
        <v>0</v>
      </c>
      <c r="O123" s="231">
        <v>650994</v>
      </c>
      <c r="P123" s="220">
        <f t="shared" si="3"/>
        <v>1083133</v>
      </c>
      <c r="Q123" s="231"/>
      <c r="R123" s="232">
        <v>5144733</v>
      </c>
      <c r="S123" s="233">
        <v>-324255</v>
      </c>
      <c r="T123" s="233">
        <f>4820479-1</f>
        <v>4820478</v>
      </c>
    </row>
    <row r="124" spans="1:20">
      <c r="A124" s="226">
        <v>91127</v>
      </c>
      <c r="B124" s="227" t="s">
        <v>834</v>
      </c>
      <c r="C124" s="87">
        <v>2.6879999999999997E-4</v>
      </c>
      <c r="D124" s="87">
        <v>2.8229999999999998E-4</v>
      </c>
      <c r="E124" s="231">
        <v>410652</v>
      </c>
      <c r="F124" s="231"/>
      <c r="G124" s="232">
        <v>23657</v>
      </c>
      <c r="H124" s="220">
        <v>99706</v>
      </c>
      <c r="I124" s="232">
        <v>58647</v>
      </c>
      <c r="J124" s="231">
        <v>46863</v>
      </c>
      <c r="K124" s="220">
        <f t="shared" si="2"/>
        <v>228873</v>
      </c>
      <c r="L124" s="231"/>
      <c r="M124" s="232">
        <v>11624</v>
      </c>
      <c r="N124" s="232">
        <v>0</v>
      </c>
      <c r="O124" s="231">
        <v>0</v>
      </c>
      <c r="P124" s="220">
        <f t="shared" si="3"/>
        <v>11624</v>
      </c>
      <c r="Q124" s="231"/>
      <c r="R124" s="232">
        <v>138390</v>
      </c>
      <c r="S124" s="233">
        <v>25061</v>
      </c>
      <c r="T124" s="233">
        <v>163451</v>
      </c>
    </row>
    <row r="125" spans="1:20">
      <c r="A125" s="226">
        <v>91128</v>
      </c>
      <c r="B125" s="227" t="s">
        <v>835</v>
      </c>
      <c r="C125" s="87">
        <v>5.2380000000000005E-4</v>
      </c>
      <c r="D125" s="87">
        <v>5.0929999999999997E-4</v>
      </c>
      <c r="E125" s="231">
        <v>800221</v>
      </c>
      <c r="F125" s="231"/>
      <c r="G125" s="232">
        <v>46100</v>
      </c>
      <c r="H125" s="220">
        <v>194295</v>
      </c>
      <c r="I125" s="232">
        <v>114283</v>
      </c>
      <c r="J125" s="231">
        <v>15169</v>
      </c>
      <c r="K125" s="220">
        <f t="shared" si="2"/>
        <v>369847</v>
      </c>
      <c r="L125" s="231"/>
      <c r="M125" s="232">
        <v>22652</v>
      </c>
      <c r="N125" s="232">
        <v>0</v>
      </c>
      <c r="O125" s="231">
        <v>6263</v>
      </c>
      <c r="P125" s="220">
        <f t="shared" si="3"/>
        <v>28915</v>
      </c>
      <c r="Q125" s="231"/>
      <c r="R125" s="232">
        <v>269675</v>
      </c>
      <c r="S125" s="233">
        <v>-679</v>
      </c>
      <c r="T125" s="233">
        <v>268996</v>
      </c>
    </row>
    <row r="126" spans="1:20">
      <c r="A126" s="226">
        <v>91138</v>
      </c>
      <c r="B126" s="227" t="s">
        <v>836</v>
      </c>
      <c r="C126" s="87">
        <v>6.2629999999999999E-4</v>
      </c>
      <c r="D126" s="87">
        <v>6.2350000000000003E-4</v>
      </c>
      <c r="E126" s="231">
        <v>956813</v>
      </c>
      <c r="F126" s="231"/>
      <c r="G126" s="232">
        <v>55121</v>
      </c>
      <c r="H126" s="220">
        <v>232316</v>
      </c>
      <c r="I126" s="232">
        <v>136646</v>
      </c>
      <c r="J126" s="231">
        <v>0</v>
      </c>
      <c r="K126" s="220">
        <f t="shared" si="2"/>
        <v>424083</v>
      </c>
      <c r="L126" s="231"/>
      <c r="M126" s="232">
        <v>27084</v>
      </c>
      <c r="N126" s="232">
        <v>0</v>
      </c>
      <c r="O126" s="231">
        <v>127984</v>
      </c>
      <c r="P126" s="220">
        <f t="shared" si="3"/>
        <v>155068</v>
      </c>
      <c r="Q126" s="231"/>
      <c r="R126" s="232">
        <v>322447</v>
      </c>
      <c r="S126" s="233">
        <v>-48531</v>
      </c>
      <c r="T126" s="233">
        <v>273916</v>
      </c>
    </row>
    <row r="127" spans="1:20">
      <c r="A127" s="226">
        <v>91141</v>
      </c>
      <c r="B127" s="227" t="s">
        <v>837</v>
      </c>
      <c r="C127" s="87">
        <v>5.7569999999999995E-4</v>
      </c>
      <c r="D127" s="87">
        <v>5.5679999999999998E-4</v>
      </c>
      <c r="E127" s="231">
        <v>879510</v>
      </c>
      <c r="F127" s="231"/>
      <c r="G127" s="232">
        <v>50668</v>
      </c>
      <c r="H127" s="220">
        <v>213546</v>
      </c>
      <c r="I127" s="232">
        <v>125606</v>
      </c>
      <c r="J127" s="231">
        <v>0</v>
      </c>
      <c r="K127" s="220">
        <f t="shared" si="2"/>
        <v>389820</v>
      </c>
      <c r="L127" s="231"/>
      <c r="M127" s="232">
        <v>24896</v>
      </c>
      <c r="N127" s="232">
        <v>0</v>
      </c>
      <c r="O127" s="231">
        <v>80393</v>
      </c>
      <c r="P127" s="220">
        <f t="shared" si="3"/>
        <v>105289</v>
      </c>
      <c r="Q127" s="231"/>
      <c r="R127" s="232">
        <v>296396</v>
      </c>
      <c r="S127" s="233">
        <v>-38126</v>
      </c>
      <c r="T127" s="233">
        <v>258270</v>
      </c>
    </row>
    <row r="128" spans="1:20">
      <c r="A128" s="226">
        <v>91147</v>
      </c>
      <c r="B128" s="227" t="s">
        <v>838</v>
      </c>
      <c r="C128" s="87">
        <v>2.6699999999999998E-5</v>
      </c>
      <c r="D128" s="87">
        <v>2.4199999999999999E-5</v>
      </c>
      <c r="E128" s="231">
        <v>40790</v>
      </c>
      <c r="F128" s="231"/>
      <c r="G128" s="232">
        <v>2350</v>
      </c>
      <c r="H128" s="220">
        <v>9904</v>
      </c>
      <c r="I128" s="232">
        <v>5825</v>
      </c>
      <c r="J128" s="231">
        <v>8489</v>
      </c>
      <c r="K128" s="220">
        <f t="shared" si="2"/>
        <v>26568</v>
      </c>
      <c r="L128" s="231"/>
      <c r="M128" s="232">
        <v>1155</v>
      </c>
      <c r="N128" s="232">
        <v>0</v>
      </c>
      <c r="O128" s="231">
        <v>0</v>
      </c>
      <c r="P128" s="220">
        <f t="shared" si="3"/>
        <v>1155</v>
      </c>
      <c r="Q128" s="231"/>
      <c r="R128" s="232">
        <v>13746</v>
      </c>
      <c r="S128" s="233">
        <v>4333</v>
      </c>
      <c r="T128" s="233">
        <f>18080-1</f>
        <v>18079</v>
      </c>
    </row>
    <row r="129" spans="1:20">
      <c r="A129" s="226">
        <v>91151</v>
      </c>
      <c r="B129" s="227" t="s">
        <v>839</v>
      </c>
      <c r="C129" s="87">
        <v>6.3409999999999996E-4</v>
      </c>
      <c r="D129" s="87">
        <v>6.1180000000000002E-4</v>
      </c>
      <c r="E129" s="231">
        <v>968729</v>
      </c>
      <c r="F129" s="231"/>
      <c r="G129" s="232">
        <v>55808</v>
      </c>
      <c r="H129" s="220">
        <v>235208</v>
      </c>
      <c r="I129" s="232">
        <v>138348</v>
      </c>
      <c r="J129" s="231">
        <v>6907</v>
      </c>
      <c r="K129" s="220">
        <f t="shared" si="2"/>
        <v>436271</v>
      </c>
      <c r="L129" s="231"/>
      <c r="M129" s="232">
        <v>27422</v>
      </c>
      <c r="N129" s="232">
        <v>0</v>
      </c>
      <c r="O129" s="231">
        <v>49311</v>
      </c>
      <c r="P129" s="220">
        <f t="shared" si="3"/>
        <v>76733</v>
      </c>
      <c r="Q129" s="231"/>
      <c r="R129" s="232">
        <v>326463</v>
      </c>
      <c r="S129" s="233">
        <v>-15290</v>
      </c>
      <c r="T129" s="233">
        <f>311172+1</f>
        <v>311173</v>
      </c>
    </row>
    <row r="130" spans="1:20">
      <c r="A130" s="226">
        <v>91154</v>
      </c>
      <c r="B130" s="227" t="s">
        <v>840</v>
      </c>
      <c r="C130" s="87">
        <v>2.6299999999999999E-5</v>
      </c>
      <c r="D130" s="87">
        <v>1.9599999999999999E-5</v>
      </c>
      <c r="E130" s="231">
        <v>40179</v>
      </c>
      <c r="F130" s="231"/>
      <c r="G130" s="232">
        <v>2315</v>
      </c>
      <c r="H130" s="220">
        <v>9756</v>
      </c>
      <c r="I130" s="232">
        <v>5738</v>
      </c>
      <c r="J130" s="231">
        <v>7326</v>
      </c>
      <c r="K130" s="220">
        <f t="shared" si="2"/>
        <v>25135</v>
      </c>
      <c r="L130" s="231"/>
      <c r="M130" s="232">
        <v>1137</v>
      </c>
      <c r="N130" s="232">
        <v>0</v>
      </c>
      <c r="O130" s="231">
        <v>0</v>
      </c>
      <c r="P130" s="220">
        <f t="shared" si="3"/>
        <v>1137</v>
      </c>
      <c r="Q130" s="231"/>
      <c r="R130" s="232">
        <v>13540</v>
      </c>
      <c r="S130" s="233">
        <v>2962</v>
      </c>
      <c r="T130" s="233">
        <f>16503-1</f>
        <v>16502</v>
      </c>
    </row>
    <row r="131" spans="1:20">
      <c r="A131" s="226">
        <v>91161</v>
      </c>
      <c r="B131" s="227" t="s">
        <v>841</v>
      </c>
      <c r="C131" s="87">
        <v>9.2600000000000001E-5</v>
      </c>
      <c r="D131" s="87">
        <v>9.4599999999999996E-5</v>
      </c>
      <c r="E131" s="231">
        <v>141467</v>
      </c>
      <c r="F131" s="231"/>
      <c r="G131" s="232">
        <v>8150</v>
      </c>
      <c r="H131" s="220">
        <v>34348</v>
      </c>
      <c r="I131" s="232">
        <v>20203</v>
      </c>
      <c r="J131" s="231">
        <v>5327</v>
      </c>
      <c r="K131" s="220">
        <f t="shared" si="2"/>
        <v>68028</v>
      </c>
      <c r="L131" s="231"/>
      <c r="M131" s="232">
        <v>4004</v>
      </c>
      <c r="N131" s="232">
        <v>0</v>
      </c>
      <c r="O131" s="231">
        <v>3079</v>
      </c>
      <c r="P131" s="220">
        <f t="shared" si="3"/>
        <v>7083</v>
      </c>
      <c r="Q131" s="231"/>
      <c r="R131" s="232">
        <v>47675</v>
      </c>
      <c r="S131" s="233">
        <v>935</v>
      </c>
      <c r="T131" s="233">
        <v>48610</v>
      </c>
    </row>
    <row r="132" spans="1:20">
      <c r="A132" s="226">
        <v>91171</v>
      </c>
      <c r="B132" s="227" t="s">
        <v>842</v>
      </c>
      <c r="C132" s="87">
        <v>1.95E-4</v>
      </c>
      <c r="D132" s="87">
        <v>2.5589999999999999E-4</v>
      </c>
      <c r="E132" s="231">
        <v>297906</v>
      </c>
      <c r="F132" s="231"/>
      <c r="G132" s="232">
        <v>17162</v>
      </c>
      <c r="H132" s="220">
        <v>72331</v>
      </c>
      <c r="I132" s="232">
        <v>42545</v>
      </c>
      <c r="J132" s="231">
        <v>0</v>
      </c>
      <c r="K132" s="220">
        <f t="shared" si="2"/>
        <v>132038</v>
      </c>
      <c r="L132" s="231"/>
      <c r="M132" s="232">
        <v>8433</v>
      </c>
      <c r="N132" s="232">
        <v>0</v>
      </c>
      <c r="O132" s="231">
        <v>58020</v>
      </c>
      <c r="P132" s="220">
        <f t="shared" si="3"/>
        <v>66453</v>
      </c>
      <c r="Q132" s="231"/>
      <c r="R132" s="232">
        <v>100395</v>
      </c>
      <c r="S132" s="233">
        <v>-21400</v>
      </c>
      <c r="T132" s="233">
        <f>78994+1</f>
        <v>78995</v>
      </c>
    </row>
    <row r="133" spans="1:20">
      <c r="A133" s="226">
        <v>91201</v>
      </c>
      <c r="B133" s="227" t="s">
        <v>843</v>
      </c>
      <c r="C133" s="87">
        <v>2.2878E-3</v>
      </c>
      <c r="D133" s="87">
        <v>2.3127999999999998E-3</v>
      </c>
      <c r="E133" s="231">
        <v>3495125</v>
      </c>
      <c r="F133" s="231"/>
      <c r="G133" s="232">
        <v>201352</v>
      </c>
      <c r="H133" s="220">
        <v>848620</v>
      </c>
      <c r="I133" s="232">
        <v>499152</v>
      </c>
      <c r="J133" s="231">
        <v>40348</v>
      </c>
      <c r="K133" s="220">
        <f t="shared" si="2"/>
        <v>1589472</v>
      </c>
      <c r="L133" s="231"/>
      <c r="M133" s="232">
        <v>98936</v>
      </c>
      <c r="N133" s="232">
        <v>0</v>
      </c>
      <c r="O133" s="231">
        <v>96428</v>
      </c>
      <c r="P133" s="220">
        <f t="shared" si="3"/>
        <v>195364</v>
      </c>
      <c r="Q133" s="231"/>
      <c r="R133" s="232">
        <v>1177860</v>
      </c>
      <c r="S133" s="233">
        <v>-568</v>
      </c>
      <c r="T133" s="233">
        <v>1177292</v>
      </c>
    </row>
    <row r="134" spans="1:20">
      <c r="A134" s="226">
        <v>91202</v>
      </c>
      <c r="B134" s="227" t="s">
        <v>844</v>
      </c>
      <c r="C134" s="87">
        <v>1.9330000000000001E-4</v>
      </c>
      <c r="D134" s="87">
        <v>1.897E-4</v>
      </c>
      <c r="E134" s="231">
        <v>295309</v>
      </c>
      <c r="F134" s="231"/>
      <c r="G134" s="232">
        <v>17013</v>
      </c>
      <c r="H134" s="220">
        <v>71701</v>
      </c>
      <c r="I134" s="232">
        <v>42174</v>
      </c>
      <c r="J134" s="231">
        <v>27893</v>
      </c>
      <c r="K134" s="220">
        <f t="shared" si="2"/>
        <v>158781</v>
      </c>
      <c r="L134" s="231"/>
      <c r="M134" s="232">
        <v>8359</v>
      </c>
      <c r="N134" s="232">
        <v>0</v>
      </c>
      <c r="O134" s="231">
        <v>0</v>
      </c>
      <c r="P134" s="220">
        <f t="shared" si="3"/>
        <v>8359</v>
      </c>
      <c r="Q134" s="231"/>
      <c r="R134" s="232">
        <v>99519</v>
      </c>
      <c r="S134" s="233">
        <v>12367</v>
      </c>
      <c r="T134" s="233">
        <v>111886</v>
      </c>
    </row>
    <row r="135" spans="1:20">
      <c r="A135" s="226">
        <v>91203</v>
      </c>
      <c r="B135" s="227" t="s">
        <v>845</v>
      </c>
      <c r="C135" s="87">
        <v>2.1939999999999999E-4</v>
      </c>
      <c r="D135" s="87">
        <v>2.4479999999999999E-4</v>
      </c>
      <c r="E135" s="231">
        <v>335182</v>
      </c>
      <c r="F135" s="231"/>
      <c r="G135" s="232">
        <v>19310</v>
      </c>
      <c r="H135" s="220">
        <v>81383</v>
      </c>
      <c r="I135" s="232">
        <v>47869</v>
      </c>
      <c r="J135" s="231">
        <v>25236</v>
      </c>
      <c r="K135" s="220">
        <f t="shared" si="2"/>
        <v>173798</v>
      </c>
      <c r="L135" s="231"/>
      <c r="M135" s="232">
        <v>9488</v>
      </c>
      <c r="N135" s="232">
        <v>0</v>
      </c>
      <c r="O135" s="231">
        <v>0</v>
      </c>
      <c r="P135" s="220">
        <f t="shared" si="3"/>
        <v>9488</v>
      </c>
      <c r="Q135" s="231"/>
      <c r="R135" s="232">
        <v>112957</v>
      </c>
      <c r="S135" s="233">
        <v>12508</v>
      </c>
      <c r="T135" s="233">
        <f>125464+1</f>
        <v>125465</v>
      </c>
    </row>
    <row r="136" spans="1:20">
      <c r="A136" s="226">
        <v>91206</v>
      </c>
      <c r="B136" s="227" t="s">
        <v>846</v>
      </c>
      <c r="C136" s="87">
        <v>8.6450000000000003E-4</v>
      </c>
      <c r="D136" s="87">
        <v>8.2129999999999996E-4</v>
      </c>
      <c r="E136" s="231">
        <v>1320717</v>
      </c>
      <c r="F136" s="231"/>
      <c r="G136" s="232">
        <v>76086</v>
      </c>
      <c r="H136" s="220">
        <v>320672</v>
      </c>
      <c r="I136" s="232">
        <v>188617</v>
      </c>
      <c r="J136" s="231">
        <v>32943</v>
      </c>
      <c r="K136" s="220">
        <f t="shared" si="2"/>
        <v>618318</v>
      </c>
      <c r="L136" s="231"/>
      <c r="M136" s="232">
        <v>37385</v>
      </c>
      <c r="N136" s="232">
        <v>0</v>
      </c>
      <c r="O136" s="231">
        <v>1131</v>
      </c>
      <c r="P136" s="220">
        <f t="shared" si="3"/>
        <v>38516</v>
      </c>
      <c r="Q136" s="231"/>
      <c r="R136" s="232">
        <v>445083</v>
      </c>
      <c r="S136" s="233">
        <v>15708</v>
      </c>
      <c r="T136" s="233">
        <v>460791</v>
      </c>
    </row>
    <row r="137" spans="1:20">
      <c r="A137" s="226">
        <v>91208</v>
      </c>
      <c r="B137" s="227" t="s">
        <v>847</v>
      </c>
      <c r="C137" s="87">
        <v>1.42E-5</v>
      </c>
      <c r="D137" s="87">
        <v>1.3699999999999999E-5</v>
      </c>
      <c r="E137" s="231">
        <v>21694</v>
      </c>
      <c r="F137" s="231"/>
      <c r="G137" s="232">
        <v>1250</v>
      </c>
      <c r="H137" s="220">
        <v>5267</v>
      </c>
      <c r="I137" s="232">
        <v>3098</v>
      </c>
      <c r="J137" s="231">
        <v>3961</v>
      </c>
      <c r="K137" s="220">
        <f t="shared" ref="K137:K200" si="4">G137+H137+I137+J137</f>
        <v>13576</v>
      </c>
      <c r="L137" s="231"/>
      <c r="M137" s="232">
        <v>614</v>
      </c>
      <c r="N137" s="232">
        <v>0</v>
      </c>
      <c r="O137" s="231">
        <v>0</v>
      </c>
      <c r="P137" s="220">
        <f t="shared" ref="P137:P200" si="5">M137+N137+O137</f>
        <v>614</v>
      </c>
      <c r="Q137" s="231"/>
      <c r="R137" s="232">
        <v>7311</v>
      </c>
      <c r="S137" s="233">
        <v>3460</v>
      </c>
      <c r="T137" s="233">
        <v>10771</v>
      </c>
    </row>
    <row r="138" spans="1:20">
      <c r="A138" s="226">
        <v>91211</v>
      </c>
      <c r="B138" s="227" t="s">
        <v>848</v>
      </c>
      <c r="C138" s="87">
        <v>4.5530000000000001E-4</v>
      </c>
      <c r="D138" s="87">
        <v>4.6789999999999999E-4</v>
      </c>
      <c r="E138" s="231">
        <v>695572</v>
      </c>
      <c r="F138" s="231"/>
      <c r="G138" s="232">
        <v>40071</v>
      </c>
      <c r="H138" s="220">
        <v>168886</v>
      </c>
      <c r="I138" s="232">
        <v>99337</v>
      </c>
      <c r="J138" s="231">
        <v>6745</v>
      </c>
      <c r="K138" s="220">
        <f t="shared" si="4"/>
        <v>315039</v>
      </c>
      <c r="L138" s="231"/>
      <c r="M138" s="232">
        <v>19689</v>
      </c>
      <c r="N138" s="232">
        <v>0</v>
      </c>
      <c r="O138" s="231">
        <v>3315</v>
      </c>
      <c r="P138" s="220">
        <f t="shared" si="5"/>
        <v>23004</v>
      </c>
      <c r="Q138" s="231"/>
      <c r="R138" s="232">
        <v>234408</v>
      </c>
      <c r="S138" s="233">
        <v>1355</v>
      </c>
      <c r="T138" s="233">
        <v>235763</v>
      </c>
    </row>
    <row r="139" spans="1:20">
      <c r="A139" s="226">
        <v>91213</v>
      </c>
      <c r="B139" s="227" t="s">
        <v>849</v>
      </c>
      <c r="C139" s="87">
        <v>3.2499999999999997E-5</v>
      </c>
      <c r="D139" s="87">
        <v>3.57E-5</v>
      </c>
      <c r="E139" s="231">
        <v>49651</v>
      </c>
      <c r="F139" s="231"/>
      <c r="G139" s="232">
        <v>2860</v>
      </c>
      <c r="H139" s="220">
        <v>12056</v>
      </c>
      <c r="I139" s="232">
        <v>7091</v>
      </c>
      <c r="J139" s="231">
        <v>0</v>
      </c>
      <c r="K139" s="220">
        <f t="shared" si="4"/>
        <v>22007</v>
      </c>
      <c r="L139" s="231"/>
      <c r="M139" s="232">
        <v>1405</v>
      </c>
      <c r="N139" s="232">
        <v>0</v>
      </c>
      <c r="O139" s="231">
        <v>7680</v>
      </c>
      <c r="P139" s="220">
        <f t="shared" si="5"/>
        <v>9085</v>
      </c>
      <c r="Q139" s="231"/>
      <c r="R139" s="232">
        <v>16732</v>
      </c>
      <c r="S139" s="233">
        <v>-2660</v>
      </c>
      <c r="T139" s="233">
        <v>14072</v>
      </c>
    </row>
    <row r="140" spans="1:20">
      <c r="A140" s="226">
        <v>91214</v>
      </c>
      <c r="B140" s="227" t="s">
        <v>850</v>
      </c>
      <c r="C140" s="87">
        <v>2.9300000000000001E-5</v>
      </c>
      <c r="D140" s="87">
        <v>2.8200000000000001E-5</v>
      </c>
      <c r="E140" s="231">
        <v>44762</v>
      </c>
      <c r="F140" s="231"/>
      <c r="G140" s="232">
        <v>2579</v>
      </c>
      <c r="H140" s="220">
        <v>10868</v>
      </c>
      <c r="I140" s="232">
        <v>6393</v>
      </c>
      <c r="J140" s="231">
        <v>1300</v>
      </c>
      <c r="K140" s="220">
        <f t="shared" si="4"/>
        <v>21140</v>
      </c>
      <c r="L140" s="231"/>
      <c r="M140" s="232">
        <v>1267</v>
      </c>
      <c r="N140" s="232">
        <v>0</v>
      </c>
      <c r="O140" s="231">
        <v>3669</v>
      </c>
      <c r="P140" s="220">
        <f t="shared" si="5"/>
        <v>4936</v>
      </c>
      <c r="Q140" s="231"/>
      <c r="R140" s="232">
        <v>15085</v>
      </c>
      <c r="S140" s="233">
        <v>-283</v>
      </c>
      <c r="T140" s="233">
        <v>14802</v>
      </c>
    </row>
    <row r="141" spans="1:20">
      <c r="A141" s="226">
        <v>91217</v>
      </c>
      <c r="B141" s="227" t="s">
        <v>851</v>
      </c>
      <c r="C141" s="87">
        <v>2.8799999999999999E-5</v>
      </c>
      <c r="D141" s="87">
        <v>2.6699999999999998E-5</v>
      </c>
      <c r="E141" s="231">
        <v>43998</v>
      </c>
      <c r="F141" s="231"/>
      <c r="G141" s="232">
        <v>2535</v>
      </c>
      <c r="H141" s="220">
        <v>10683</v>
      </c>
      <c r="I141" s="232">
        <v>6284</v>
      </c>
      <c r="J141" s="231">
        <v>10784</v>
      </c>
      <c r="K141" s="220">
        <f t="shared" si="4"/>
        <v>30286</v>
      </c>
      <c r="L141" s="231"/>
      <c r="M141" s="232">
        <v>1245</v>
      </c>
      <c r="N141" s="232">
        <v>0</v>
      </c>
      <c r="O141" s="231">
        <v>0</v>
      </c>
      <c r="P141" s="220">
        <f t="shared" si="5"/>
        <v>1245</v>
      </c>
      <c r="Q141" s="231"/>
      <c r="R141" s="232">
        <v>14828</v>
      </c>
      <c r="S141" s="233">
        <v>4311</v>
      </c>
      <c r="T141" s="233">
        <v>19139</v>
      </c>
    </row>
    <row r="142" spans="1:20">
      <c r="A142" s="226">
        <v>91221</v>
      </c>
      <c r="B142" s="227" t="s">
        <v>852</v>
      </c>
      <c r="C142" s="87">
        <v>1.3359999999999999E-4</v>
      </c>
      <c r="D142" s="87">
        <v>1.294E-4</v>
      </c>
      <c r="E142" s="231">
        <v>204104</v>
      </c>
      <c r="F142" s="231"/>
      <c r="G142" s="232">
        <v>11758</v>
      </c>
      <c r="H142" s="220">
        <v>49557</v>
      </c>
      <c r="I142" s="232">
        <v>29149</v>
      </c>
      <c r="J142" s="231">
        <v>5038</v>
      </c>
      <c r="K142" s="220">
        <f t="shared" si="4"/>
        <v>95502</v>
      </c>
      <c r="L142" s="231"/>
      <c r="M142" s="232">
        <v>5778</v>
      </c>
      <c r="N142" s="232">
        <v>0</v>
      </c>
      <c r="O142" s="231">
        <v>7113</v>
      </c>
      <c r="P142" s="220">
        <f t="shared" si="5"/>
        <v>12891</v>
      </c>
      <c r="Q142" s="231"/>
      <c r="R142" s="232">
        <v>68783</v>
      </c>
      <c r="S142" s="233">
        <v>1397</v>
      </c>
      <c r="T142" s="233">
        <v>70180</v>
      </c>
    </row>
    <row r="143" spans="1:20">
      <c r="A143" s="226">
        <v>91231</v>
      </c>
      <c r="B143" s="227" t="s">
        <v>853</v>
      </c>
      <c r="C143" s="87">
        <v>1.8856000000000001E-3</v>
      </c>
      <c r="D143" s="87">
        <v>1.9957E-3</v>
      </c>
      <c r="E143" s="231">
        <v>2880674</v>
      </c>
      <c r="F143" s="231"/>
      <c r="G143" s="232">
        <v>165954</v>
      </c>
      <c r="H143" s="220">
        <v>699431</v>
      </c>
      <c r="I143" s="232">
        <v>411400</v>
      </c>
      <c r="J143" s="231">
        <v>10587</v>
      </c>
      <c r="K143" s="220">
        <f t="shared" si="4"/>
        <v>1287372</v>
      </c>
      <c r="L143" s="231"/>
      <c r="M143" s="232">
        <v>81543</v>
      </c>
      <c r="N143" s="232">
        <v>0</v>
      </c>
      <c r="O143" s="231">
        <v>132995</v>
      </c>
      <c r="P143" s="220">
        <f t="shared" si="5"/>
        <v>214538</v>
      </c>
      <c r="Q143" s="231"/>
      <c r="R143" s="232">
        <v>970790</v>
      </c>
      <c r="S143" s="233">
        <v>-32073</v>
      </c>
      <c r="T143" s="233">
        <v>938717</v>
      </c>
    </row>
    <row r="144" spans="1:20">
      <c r="A144" s="226">
        <v>91233</v>
      </c>
      <c r="B144" s="227" t="s">
        <v>854</v>
      </c>
      <c r="C144" s="87">
        <v>5.8100000000000003E-5</v>
      </c>
      <c r="D144" s="87">
        <v>4.5599999999999997E-5</v>
      </c>
      <c r="E144" s="231">
        <v>88761</v>
      </c>
      <c r="F144" s="231"/>
      <c r="G144" s="232">
        <v>5113</v>
      </c>
      <c r="H144" s="220">
        <v>21551</v>
      </c>
      <c r="I144" s="232">
        <v>12676</v>
      </c>
      <c r="J144" s="231">
        <v>9544</v>
      </c>
      <c r="K144" s="220">
        <f t="shared" si="4"/>
        <v>48884</v>
      </c>
      <c r="L144" s="231"/>
      <c r="M144" s="232">
        <v>2513</v>
      </c>
      <c r="N144" s="232">
        <v>0</v>
      </c>
      <c r="O144" s="231">
        <v>117</v>
      </c>
      <c r="P144" s="220">
        <f t="shared" si="5"/>
        <v>2630</v>
      </c>
      <c r="Q144" s="231"/>
      <c r="R144" s="232">
        <v>29912</v>
      </c>
      <c r="S144" s="233">
        <v>4289</v>
      </c>
      <c r="T144" s="233">
        <f>34202-1</f>
        <v>34201</v>
      </c>
    </row>
    <row r="145" spans="1:20">
      <c r="A145" s="226">
        <v>91241</v>
      </c>
      <c r="B145" s="227" t="s">
        <v>855</v>
      </c>
      <c r="C145" s="87">
        <v>3.5500000000000002E-5</v>
      </c>
      <c r="D145" s="87">
        <v>3.68E-5</v>
      </c>
      <c r="E145" s="231">
        <v>54234</v>
      </c>
      <c r="F145" s="231"/>
      <c r="G145" s="232">
        <v>3124</v>
      </c>
      <c r="H145" s="220">
        <v>13168</v>
      </c>
      <c r="I145" s="232">
        <v>7745</v>
      </c>
      <c r="J145" s="231">
        <v>0</v>
      </c>
      <c r="K145" s="220">
        <f t="shared" si="4"/>
        <v>24037</v>
      </c>
      <c r="L145" s="231"/>
      <c r="M145" s="232">
        <v>1535</v>
      </c>
      <c r="N145" s="232">
        <v>0</v>
      </c>
      <c r="O145" s="231">
        <v>4391</v>
      </c>
      <c r="P145" s="220">
        <f t="shared" si="5"/>
        <v>5926</v>
      </c>
      <c r="Q145" s="231"/>
      <c r="R145" s="232">
        <v>18277</v>
      </c>
      <c r="S145" s="233">
        <v>-2564</v>
      </c>
      <c r="T145" s="233">
        <v>15713</v>
      </c>
    </row>
    <row r="146" spans="1:20">
      <c r="A146" s="226">
        <v>91251</v>
      </c>
      <c r="B146" s="227" t="s">
        <v>856</v>
      </c>
      <c r="C146" s="87">
        <v>1.9899999999999999E-5</v>
      </c>
      <c r="D146" s="87">
        <v>2.65E-5</v>
      </c>
      <c r="E146" s="231">
        <v>30402</v>
      </c>
      <c r="F146" s="231"/>
      <c r="G146" s="232">
        <v>1751</v>
      </c>
      <c r="H146" s="220">
        <v>7381</v>
      </c>
      <c r="I146" s="232">
        <v>4342</v>
      </c>
      <c r="J146" s="231">
        <v>2341</v>
      </c>
      <c r="K146" s="220">
        <f t="shared" si="4"/>
        <v>15815</v>
      </c>
      <c r="L146" s="231"/>
      <c r="M146" s="232">
        <v>861</v>
      </c>
      <c r="N146" s="232">
        <v>0</v>
      </c>
      <c r="O146" s="231">
        <v>3540</v>
      </c>
      <c r="P146" s="220">
        <f t="shared" si="5"/>
        <v>4401</v>
      </c>
      <c r="Q146" s="231"/>
      <c r="R146" s="232">
        <v>10245</v>
      </c>
      <c r="S146" s="233">
        <v>1340</v>
      </c>
      <c r="T146" s="233">
        <f>11586-1</f>
        <v>11585</v>
      </c>
    </row>
    <row r="147" spans="1:20">
      <c r="A147" s="226">
        <v>91261</v>
      </c>
      <c r="B147" s="227" t="s">
        <v>857</v>
      </c>
      <c r="C147" s="87">
        <v>1.03E-5</v>
      </c>
      <c r="D147" s="87">
        <v>9.5000000000000005E-6</v>
      </c>
      <c r="E147" s="231">
        <v>15736</v>
      </c>
      <c r="F147" s="231"/>
      <c r="G147" s="232">
        <v>907</v>
      </c>
      <c r="H147" s="220">
        <v>3821</v>
      </c>
      <c r="I147" s="232">
        <v>2247</v>
      </c>
      <c r="J147" s="231">
        <v>1784</v>
      </c>
      <c r="K147" s="220">
        <f t="shared" si="4"/>
        <v>8759</v>
      </c>
      <c r="L147" s="231"/>
      <c r="M147" s="232">
        <v>445</v>
      </c>
      <c r="N147" s="232">
        <v>0</v>
      </c>
      <c r="O147" s="231">
        <v>0</v>
      </c>
      <c r="P147" s="220">
        <f t="shared" si="5"/>
        <v>445</v>
      </c>
      <c r="Q147" s="231"/>
      <c r="R147" s="232">
        <v>5303</v>
      </c>
      <c r="S147" s="233">
        <v>850</v>
      </c>
      <c r="T147" s="233">
        <v>6153</v>
      </c>
    </row>
    <row r="148" spans="1:20">
      <c r="A148" s="226">
        <v>91301</v>
      </c>
      <c r="B148" s="227" t="s">
        <v>858</v>
      </c>
      <c r="C148" s="87">
        <v>7.6985999999999999E-3</v>
      </c>
      <c r="D148" s="87">
        <v>7.7765000000000004E-3</v>
      </c>
      <c r="E148" s="231">
        <v>11761328</v>
      </c>
      <c r="F148" s="231"/>
      <c r="G148" s="232">
        <v>677561</v>
      </c>
      <c r="H148" s="220">
        <v>2855665</v>
      </c>
      <c r="I148" s="232">
        <v>1679681</v>
      </c>
      <c r="J148" s="231">
        <v>19915</v>
      </c>
      <c r="K148" s="220">
        <f t="shared" si="4"/>
        <v>5232822</v>
      </c>
      <c r="L148" s="231"/>
      <c r="M148" s="232">
        <v>332926</v>
      </c>
      <c r="N148" s="232">
        <v>0</v>
      </c>
      <c r="O148" s="231">
        <v>249856</v>
      </c>
      <c r="P148" s="220">
        <f t="shared" si="5"/>
        <v>582782</v>
      </c>
      <c r="Q148" s="231"/>
      <c r="R148" s="232">
        <v>3963578</v>
      </c>
      <c r="S148" s="233">
        <v>-98741</v>
      </c>
      <c r="T148" s="233">
        <v>3864837</v>
      </c>
    </row>
    <row r="149" spans="1:20">
      <c r="A149" s="51">
        <v>91302</v>
      </c>
      <c r="B149" s="227" t="s">
        <v>859</v>
      </c>
      <c r="C149" s="87">
        <v>6.0300000000000002E-4</v>
      </c>
      <c r="D149" s="87">
        <v>5.9190000000000002E-4</v>
      </c>
      <c r="E149" s="231">
        <v>921217</v>
      </c>
      <c r="F149" s="231"/>
      <c r="G149" s="232">
        <v>53071</v>
      </c>
      <c r="H149" s="220">
        <v>223673</v>
      </c>
      <c r="I149" s="232">
        <v>131563</v>
      </c>
      <c r="J149" s="231">
        <v>32897</v>
      </c>
      <c r="K149" s="220">
        <f t="shared" si="4"/>
        <v>441204</v>
      </c>
      <c r="L149" s="231"/>
      <c r="M149" s="232">
        <v>26077</v>
      </c>
      <c r="N149" s="232">
        <v>0</v>
      </c>
      <c r="O149" s="231">
        <v>6670</v>
      </c>
      <c r="P149" s="220">
        <f t="shared" si="5"/>
        <v>32747</v>
      </c>
      <c r="Q149" s="231"/>
      <c r="R149" s="232">
        <v>310451</v>
      </c>
      <c r="S149" s="233">
        <v>18435</v>
      </c>
      <c r="T149" s="233">
        <v>328886</v>
      </c>
    </row>
    <row r="150" spans="1:20">
      <c r="A150" s="51">
        <v>91306</v>
      </c>
      <c r="B150" s="227" t="s">
        <v>860</v>
      </c>
      <c r="C150" s="87">
        <v>1.6412E-3</v>
      </c>
      <c r="D150" s="87">
        <v>1.6676E-3</v>
      </c>
      <c r="E150" s="231">
        <v>2507299</v>
      </c>
      <c r="F150" s="231"/>
      <c r="G150" s="232">
        <v>144444</v>
      </c>
      <c r="H150" s="220">
        <v>608776</v>
      </c>
      <c r="I150" s="232">
        <v>358077</v>
      </c>
      <c r="J150" s="231">
        <v>113707</v>
      </c>
      <c r="K150" s="220">
        <f t="shared" si="4"/>
        <v>1225004</v>
      </c>
      <c r="L150" s="231"/>
      <c r="M150" s="232">
        <v>70974</v>
      </c>
      <c r="N150" s="232">
        <v>0</v>
      </c>
      <c r="O150" s="231">
        <v>7101</v>
      </c>
      <c r="P150" s="220">
        <f t="shared" si="5"/>
        <v>78075</v>
      </c>
      <c r="Q150" s="231"/>
      <c r="R150" s="232">
        <v>844962</v>
      </c>
      <c r="S150" s="233">
        <v>59215</v>
      </c>
      <c r="T150" s="233">
        <v>904177</v>
      </c>
    </row>
    <row r="151" spans="1:20">
      <c r="A151" s="51">
        <v>91308</v>
      </c>
      <c r="B151" s="227" t="s">
        <v>861</v>
      </c>
      <c r="C151" s="87">
        <v>1.8009999999999999E-4</v>
      </c>
      <c r="D151" s="87">
        <v>2.05E-4</v>
      </c>
      <c r="E151" s="231">
        <v>275143</v>
      </c>
      <c r="F151" s="231"/>
      <c r="G151" s="232">
        <v>15851</v>
      </c>
      <c r="H151" s="220">
        <v>66805</v>
      </c>
      <c r="I151" s="232">
        <v>39294</v>
      </c>
      <c r="J151" s="231">
        <v>2442</v>
      </c>
      <c r="K151" s="220">
        <f t="shared" si="4"/>
        <v>124392</v>
      </c>
      <c r="L151" s="231"/>
      <c r="M151" s="232">
        <v>7788</v>
      </c>
      <c r="N151" s="232">
        <v>0</v>
      </c>
      <c r="O151" s="231">
        <v>21144</v>
      </c>
      <c r="P151" s="220">
        <f t="shared" si="5"/>
        <v>28932</v>
      </c>
      <c r="Q151" s="231"/>
      <c r="R151" s="232">
        <v>92723</v>
      </c>
      <c r="S151" s="233">
        <v>-3684</v>
      </c>
      <c r="T151" s="233">
        <f>89040-1</f>
        <v>89039</v>
      </c>
    </row>
    <row r="152" spans="1:20">
      <c r="A152" s="226">
        <v>91311</v>
      </c>
      <c r="B152" s="227" t="s">
        <v>862</v>
      </c>
      <c r="C152" s="87">
        <v>7.6685E-3</v>
      </c>
      <c r="D152" s="87">
        <v>7.6649999999999999E-3</v>
      </c>
      <c r="E152" s="231">
        <v>11715344</v>
      </c>
      <c r="F152" s="231"/>
      <c r="G152" s="232">
        <v>674912</v>
      </c>
      <c r="H152" s="220">
        <v>2844500</v>
      </c>
      <c r="I152" s="232">
        <v>1673113</v>
      </c>
      <c r="J152" s="231">
        <v>78345</v>
      </c>
      <c r="K152" s="220">
        <f t="shared" si="4"/>
        <v>5270870</v>
      </c>
      <c r="L152" s="231"/>
      <c r="M152" s="232">
        <v>331624</v>
      </c>
      <c r="N152" s="232">
        <v>0</v>
      </c>
      <c r="O152" s="231">
        <v>516736</v>
      </c>
      <c r="P152" s="220">
        <f t="shared" si="5"/>
        <v>848360</v>
      </c>
      <c r="Q152" s="231"/>
      <c r="R152" s="232">
        <v>3948081</v>
      </c>
      <c r="S152" s="233">
        <v>-187514</v>
      </c>
      <c r="T152" s="233">
        <v>3760567</v>
      </c>
    </row>
    <row r="153" spans="1:20">
      <c r="A153" s="226">
        <v>91317</v>
      </c>
      <c r="B153" s="227" t="s">
        <v>863</v>
      </c>
      <c r="C153" s="87">
        <v>1.016E-4</v>
      </c>
      <c r="D153" s="87">
        <v>9.0500000000000004E-5</v>
      </c>
      <c r="E153" s="231">
        <v>155217</v>
      </c>
      <c r="F153" s="231"/>
      <c r="G153" s="232">
        <v>8942</v>
      </c>
      <c r="H153" s="220">
        <v>37687</v>
      </c>
      <c r="I153" s="232">
        <v>22167</v>
      </c>
      <c r="J153" s="231">
        <v>13159</v>
      </c>
      <c r="K153" s="220">
        <f t="shared" si="4"/>
        <v>81955</v>
      </c>
      <c r="L153" s="231"/>
      <c r="M153" s="232">
        <v>4394</v>
      </c>
      <c r="N153" s="232">
        <v>0</v>
      </c>
      <c r="O153" s="231">
        <v>1760</v>
      </c>
      <c r="P153" s="220">
        <f t="shared" si="5"/>
        <v>6154</v>
      </c>
      <c r="Q153" s="231"/>
      <c r="R153" s="232">
        <v>52308</v>
      </c>
      <c r="S153" s="233">
        <v>2823</v>
      </c>
      <c r="T153" s="233">
        <f>55132-1</f>
        <v>55131</v>
      </c>
    </row>
    <row r="154" spans="1:20">
      <c r="A154" s="226">
        <v>91321</v>
      </c>
      <c r="B154" s="227" t="s">
        <v>864</v>
      </c>
      <c r="C154" s="87">
        <v>4.2799999999999997E-5</v>
      </c>
      <c r="D154" s="87">
        <v>4.1999999999999998E-5</v>
      </c>
      <c r="E154" s="231">
        <v>65387</v>
      </c>
      <c r="F154" s="231"/>
      <c r="G154" s="232">
        <v>3767</v>
      </c>
      <c r="H154" s="220">
        <v>15876</v>
      </c>
      <c r="I154" s="232">
        <v>9338</v>
      </c>
      <c r="J154" s="231">
        <v>18992</v>
      </c>
      <c r="K154" s="220">
        <f t="shared" si="4"/>
        <v>47973</v>
      </c>
      <c r="L154" s="231"/>
      <c r="M154" s="232">
        <v>1851</v>
      </c>
      <c r="N154" s="232">
        <v>0</v>
      </c>
      <c r="O154" s="231">
        <v>3760</v>
      </c>
      <c r="P154" s="220">
        <f t="shared" si="5"/>
        <v>5611</v>
      </c>
      <c r="Q154" s="231"/>
      <c r="R154" s="232">
        <v>22035</v>
      </c>
      <c r="S154" s="233">
        <v>3437</v>
      </c>
      <c r="T154" s="233">
        <v>25472</v>
      </c>
    </row>
    <row r="155" spans="1:20">
      <c r="A155" s="226">
        <v>91327</v>
      </c>
      <c r="B155" s="227" t="s">
        <v>865</v>
      </c>
      <c r="C155" s="87">
        <v>8.1999999999999994E-6</v>
      </c>
      <c r="D155" s="87">
        <v>1.03E-5</v>
      </c>
      <c r="E155" s="231">
        <v>12527</v>
      </c>
      <c r="F155" s="231"/>
      <c r="G155" s="232">
        <v>722</v>
      </c>
      <c r="H155" s="220">
        <v>3042</v>
      </c>
      <c r="I155" s="232">
        <v>1789</v>
      </c>
      <c r="J155" s="231">
        <v>36</v>
      </c>
      <c r="K155" s="220">
        <f t="shared" si="4"/>
        <v>5589</v>
      </c>
      <c r="L155" s="231"/>
      <c r="M155" s="232">
        <v>355</v>
      </c>
      <c r="N155" s="232">
        <v>0</v>
      </c>
      <c r="O155" s="231">
        <v>1563</v>
      </c>
      <c r="P155" s="220">
        <f t="shared" si="5"/>
        <v>1918</v>
      </c>
      <c r="Q155" s="231"/>
      <c r="R155" s="232">
        <v>4222</v>
      </c>
      <c r="S155" s="233">
        <v>-481</v>
      </c>
      <c r="T155" s="233">
        <v>3741</v>
      </c>
    </row>
    <row r="156" spans="1:20">
      <c r="A156" s="226">
        <v>91331</v>
      </c>
      <c r="B156" s="227" t="s">
        <v>866</v>
      </c>
      <c r="C156" s="87">
        <v>3.0033E-3</v>
      </c>
      <c r="D156" s="87">
        <v>2.8509999999999998E-3</v>
      </c>
      <c r="E156" s="231">
        <v>4588210</v>
      </c>
      <c r="F156" s="231"/>
      <c r="G156" s="232">
        <v>264323</v>
      </c>
      <c r="H156" s="220">
        <v>1114023</v>
      </c>
      <c r="I156" s="232">
        <v>655260</v>
      </c>
      <c r="J156" s="231">
        <v>0</v>
      </c>
      <c r="K156" s="220">
        <f t="shared" si="4"/>
        <v>2033606</v>
      </c>
      <c r="L156" s="231"/>
      <c r="M156" s="232">
        <v>129878</v>
      </c>
      <c r="N156" s="232">
        <v>0</v>
      </c>
      <c r="O156" s="231">
        <v>342951</v>
      </c>
      <c r="P156" s="220">
        <f t="shared" si="5"/>
        <v>472829</v>
      </c>
      <c r="Q156" s="231"/>
      <c r="R156" s="232">
        <v>1546231</v>
      </c>
      <c r="S156" s="233">
        <v>-176510</v>
      </c>
      <c r="T156" s="233">
        <v>1369721</v>
      </c>
    </row>
    <row r="157" spans="1:20">
      <c r="A157" s="226">
        <v>91341</v>
      </c>
      <c r="B157" s="227" t="s">
        <v>867</v>
      </c>
      <c r="C157" s="87">
        <v>2.51E-5</v>
      </c>
      <c r="D157" s="87">
        <v>1.4399999999999999E-5</v>
      </c>
      <c r="E157" s="231">
        <v>38346</v>
      </c>
      <c r="F157" s="231"/>
      <c r="G157" s="232">
        <v>2209</v>
      </c>
      <c r="H157" s="220">
        <v>9311</v>
      </c>
      <c r="I157" s="232">
        <v>5476</v>
      </c>
      <c r="J157" s="231">
        <v>5566</v>
      </c>
      <c r="K157" s="220">
        <f t="shared" si="4"/>
        <v>22562</v>
      </c>
      <c r="L157" s="231"/>
      <c r="M157" s="232">
        <v>1085</v>
      </c>
      <c r="N157" s="232">
        <v>0</v>
      </c>
      <c r="O157" s="231">
        <v>1759</v>
      </c>
      <c r="P157" s="220">
        <f t="shared" si="5"/>
        <v>2844</v>
      </c>
      <c r="Q157" s="231"/>
      <c r="R157" s="232">
        <v>12923</v>
      </c>
      <c r="S157" s="233">
        <v>939</v>
      </c>
      <c r="T157" s="233">
        <f>13861+1</f>
        <v>13862</v>
      </c>
    </row>
    <row r="158" spans="1:20">
      <c r="A158" s="226">
        <v>91401</v>
      </c>
      <c r="B158" s="227" t="s">
        <v>868</v>
      </c>
      <c r="C158" s="87">
        <v>3.5885000000000001E-3</v>
      </c>
      <c r="D158" s="87">
        <v>3.6841E-3</v>
      </c>
      <c r="E158" s="231">
        <v>5482234</v>
      </c>
      <c r="F158" s="231"/>
      <c r="G158" s="232">
        <v>315827</v>
      </c>
      <c r="H158" s="220">
        <v>1331093</v>
      </c>
      <c r="I158" s="232">
        <v>782939</v>
      </c>
      <c r="J158" s="231">
        <v>17446</v>
      </c>
      <c r="K158" s="220">
        <f t="shared" si="4"/>
        <v>2447305</v>
      </c>
      <c r="L158" s="231"/>
      <c r="M158" s="232">
        <v>155185</v>
      </c>
      <c r="N158" s="232">
        <v>0</v>
      </c>
      <c r="O158" s="231">
        <v>142927</v>
      </c>
      <c r="P158" s="220">
        <f t="shared" si="5"/>
        <v>298112</v>
      </c>
      <c r="Q158" s="231"/>
      <c r="R158" s="232">
        <v>1847518</v>
      </c>
      <c r="S158" s="233">
        <v>-23160</v>
      </c>
      <c r="T158" s="233">
        <v>1824358</v>
      </c>
    </row>
    <row r="159" spans="1:20">
      <c r="A159" s="226">
        <v>91411</v>
      </c>
      <c r="B159" s="227" t="s">
        <v>869</v>
      </c>
      <c r="C159" s="87">
        <v>3.7829999999999998E-4</v>
      </c>
      <c r="D159" s="87">
        <v>3.5379999999999998E-4</v>
      </c>
      <c r="E159" s="231">
        <v>577938</v>
      </c>
      <c r="F159" s="231"/>
      <c r="G159" s="232">
        <v>33295</v>
      </c>
      <c r="H159" s="220">
        <v>140324</v>
      </c>
      <c r="I159" s="232">
        <v>82537</v>
      </c>
      <c r="J159" s="231">
        <v>28581</v>
      </c>
      <c r="K159" s="220">
        <f t="shared" si="4"/>
        <v>284737</v>
      </c>
      <c r="L159" s="231"/>
      <c r="M159" s="232">
        <v>16360</v>
      </c>
      <c r="N159" s="232">
        <v>0</v>
      </c>
      <c r="O159" s="231">
        <v>1394</v>
      </c>
      <c r="P159" s="220">
        <f t="shared" si="5"/>
        <v>17754</v>
      </c>
      <c r="Q159" s="231"/>
      <c r="R159" s="232">
        <v>194765</v>
      </c>
      <c r="S159" s="233">
        <v>7766</v>
      </c>
      <c r="T159" s="233">
        <v>202531</v>
      </c>
    </row>
    <row r="160" spans="1:20">
      <c r="A160" s="226">
        <v>91417</v>
      </c>
      <c r="B160" s="227" t="s">
        <v>870</v>
      </c>
      <c r="C160" s="87">
        <v>9.3000000000000007E-6</v>
      </c>
      <c r="D160" s="87">
        <v>9.9000000000000001E-6</v>
      </c>
      <c r="E160" s="231">
        <v>14208</v>
      </c>
      <c r="F160" s="231"/>
      <c r="G160" s="232">
        <v>819</v>
      </c>
      <c r="H160" s="220">
        <v>3450</v>
      </c>
      <c r="I160" s="232">
        <v>2029</v>
      </c>
      <c r="J160" s="231">
        <v>2388</v>
      </c>
      <c r="K160" s="220">
        <f t="shared" si="4"/>
        <v>8686</v>
      </c>
      <c r="L160" s="231"/>
      <c r="M160" s="232">
        <v>402</v>
      </c>
      <c r="N160" s="232">
        <v>0</v>
      </c>
      <c r="O160" s="231">
        <v>0</v>
      </c>
      <c r="P160" s="220">
        <f t="shared" si="5"/>
        <v>402</v>
      </c>
      <c r="Q160" s="231"/>
      <c r="R160" s="232">
        <v>4788</v>
      </c>
      <c r="S160" s="233">
        <v>1814</v>
      </c>
      <c r="T160" s="233">
        <v>6602</v>
      </c>
    </row>
    <row r="161" spans="1:20">
      <c r="A161" s="226">
        <v>91421</v>
      </c>
      <c r="B161" s="227" t="s">
        <v>871</v>
      </c>
      <c r="C161" s="87">
        <v>6.9499999999999995E-5</v>
      </c>
      <c r="D161" s="87">
        <v>7.0400000000000004E-5</v>
      </c>
      <c r="E161" s="231">
        <v>106177</v>
      </c>
      <c r="F161" s="231"/>
      <c r="G161" s="232">
        <v>6117</v>
      </c>
      <c r="H161" s="220">
        <v>25779</v>
      </c>
      <c r="I161" s="232">
        <v>15164</v>
      </c>
      <c r="J161" s="231">
        <v>4339</v>
      </c>
      <c r="K161" s="220">
        <f t="shared" si="4"/>
        <v>51399</v>
      </c>
      <c r="L161" s="231"/>
      <c r="M161" s="232">
        <v>3006</v>
      </c>
      <c r="N161" s="232">
        <v>0</v>
      </c>
      <c r="O161" s="231">
        <v>3143</v>
      </c>
      <c r="P161" s="220">
        <f t="shared" si="5"/>
        <v>6149</v>
      </c>
      <c r="Q161" s="231"/>
      <c r="R161" s="232">
        <v>35782</v>
      </c>
      <c r="S161" s="233">
        <v>365</v>
      </c>
      <c r="T161" s="233">
        <v>36147</v>
      </c>
    </row>
    <row r="162" spans="1:20">
      <c r="A162" s="226">
        <v>91423</v>
      </c>
      <c r="B162" s="227" t="s">
        <v>872</v>
      </c>
      <c r="C162" s="87">
        <v>5.38E-5</v>
      </c>
      <c r="D162" s="87">
        <v>3.8699999999999999E-5</v>
      </c>
      <c r="E162" s="231">
        <v>82191</v>
      </c>
      <c r="F162" s="231"/>
      <c r="G162" s="232">
        <v>4735</v>
      </c>
      <c r="H162" s="220">
        <v>19956</v>
      </c>
      <c r="I162" s="232">
        <v>11738</v>
      </c>
      <c r="J162" s="231">
        <v>13454</v>
      </c>
      <c r="K162" s="220">
        <f t="shared" si="4"/>
        <v>49883</v>
      </c>
      <c r="L162" s="231"/>
      <c r="M162" s="232">
        <v>2327</v>
      </c>
      <c r="N162" s="232">
        <v>0</v>
      </c>
      <c r="O162" s="231">
        <v>2026</v>
      </c>
      <c r="P162" s="220">
        <f t="shared" si="5"/>
        <v>4353</v>
      </c>
      <c r="Q162" s="231"/>
      <c r="R162" s="232">
        <v>27699</v>
      </c>
      <c r="S162" s="233">
        <v>3208</v>
      </c>
      <c r="T162" s="233">
        <f>30906+1</f>
        <v>30907</v>
      </c>
    </row>
    <row r="163" spans="1:20">
      <c r="A163" s="226">
        <v>91431</v>
      </c>
      <c r="B163" s="227" t="s">
        <v>873</v>
      </c>
      <c r="C163" s="87">
        <v>1.562E-4</v>
      </c>
      <c r="D163" s="87">
        <v>1.417E-4</v>
      </c>
      <c r="E163" s="231">
        <v>238630</v>
      </c>
      <c r="F163" s="231"/>
      <c r="G163" s="232">
        <v>13747</v>
      </c>
      <c r="H163" s="220">
        <v>57939</v>
      </c>
      <c r="I163" s="232">
        <v>34080</v>
      </c>
      <c r="J163" s="231">
        <v>17694</v>
      </c>
      <c r="K163" s="220">
        <f t="shared" si="4"/>
        <v>123460</v>
      </c>
      <c r="L163" s="231"/>
      <c r="M163" s="232">
        <v>6755</v>
      </c>
      <c r="N163" s="232">
        <v>0</v>
      </c>
      <c r="O163" s="231">
        <v>1767</v>
      </c>
      <c r="P163" s="220">
        <f t="shared" si="5"/>
        <v>8522</v>
      </c>
      <c r="Q163" s="231"/>
      <c r="R163" s="232">
        <v>80419</v>
      </c>
      <c r="S163" s="233">
        <v>4026</v>
      </c>
      <c r="T163" s="233">
        <v>84445</v>
      </c>
    </row>
    <row r="164" spans="1:20">
      <c r="A164" s="226">
        <v>91441</v>
      </c>
      <c r="B164" s="227" t="s">
        <v>874</v>
      </c>
      <c r="C164" s="87">
        <v>9.5140000000000003E-4</v>
      </c>
      <c r="D164" s="87">
        <v>7.3800000000000005E-4</v>
      </c>
      <c r="E164" s="231">
        <v>1453476</v>
      </c>
      <c r="F164" s="231"/>
      <c r="G164" s="232">
        <v>83734</v>
      </c>
      <c r="H164" s="220">
        <v>352905</v>
      </c>
      <c r="I164" s="232">
        <v>207576</v>
      </c>
      <c r="J164" s="231">
        <v>46954</v>
      </c>
      <c r="K164" s="220">
        <f t="shared" si="4"/>
        <v>691169</v>
      </c>
      <c r="L164" s="231"/>
      <c r="M164" s="232">
        <v>41143</v>
      </c>
      <c r="N164" s="232">
        <v>0</v>
      </c>
      <c r="O164" s="231">
        <v>103301</v>
      </c>
      <c r="P164" s="220">
        <f t="shared" si="5"/>
        <v>144444</v>
      </c>
      <c r="Q164" s="231"/>
      <c r="R164" s="232">
        <v>489823</v>
      </c>
      <c r="S164" s="233">
        <v>-39929</v>
      </c>
      <c r="T164" s="233">
        <v>449894</v>
      </c>
    </row>
    <row r="165" spans="1:20">
      <c r="A165" s="226">
        <v>91451</v>
      </c>
      <c r="B165" s="227" t="s">
        <v>875</v>
      </c>
      <c r="C165" s="87">
        <v>1.4760000000000001E-3</v>
      </c>
      <c r="D165" s="87">
        <v>1.5629000000000001E-3</v>
      </c>
      <c r="E165" s="231">
        <v>2254919</v>
      </c>
      <c r="F165" s="231"/>
      <c r="G165" s="232">
        <v>129904</v>
      </c>
      <c r="H165" s="220">
        <v>547497</v>
      </c>
      <c r="I165" s="232">
        <v>322034</v>
      </c>
      <c r="J165" s="231">
        <v>0</v>
      </c>
      <c r="K165" s="220">
        <f t="shared" si="4"/>
        <v>999435</v>
      </c>
      <c r="L165" s="231"/>
      <c r="M165" s="232">
        <v>63830</v>
      </c>
      <c r="N165" s="232">
        <v>0</v>
      </c>
      <c r="O165" s="231">
        <v>199933</v>
      </c>
      <c r="P165" s="220">
        <f t="shared" si="5"/>
        <v>263763</v>
      </c>
      <c r="Q165" s="231"/>
      <c r="R165" s="232">
        <v>759910</v>
      </c>
      <c r="S165" s="233">
        <v>-85072</v>
      </c>
      <c r="T165" s="233">
        <v>674838</v>
      </c>
    </row>
    <row r="166" spans="1:20">
      <c r="A166" s="226">
        <v>91457</v>
      </c>
      <c r="B166" s="227" t="s">
        <v>876</v>
      </c>
      <c r="C166" s="87">
        <v>2.23E-5</v>
      </c>
      <c r="D166" s="87">
        <v>2.58E-5</v>
      </c>
      <c r="E166" s="231">
        <v>34068</v>
      </c>
      <c r="F166" s="231"/>
      <c r="G166" s="232">
        <v>1963</v>
      </c>
      <c r="H166" s="220">
        <v>8272</v>
      </c>
      <c r="I166" s="232">
        <v>4865</v>
      </c>
      <c r="J166" s="231">
        <v>30858</v>
      </c>
      <c r="K166" s="220">
        <f t="shared" si="4"/>
        <v>45958</v>
      </c>
      <c r="L166" s="231"/>
      <c r="M166" s="232">
        <v>964</v>
      </c>
      <c r="N166" s="232">
        <v>0</v>
      </c>
      <c r="O166" s="231">
        <v>0</v>
      </c>
      <c r="P166" s="220">
        <f t="shared" si="5"/>
        <v>964</v>
      </c>
      <c r="Q166" s="231"/>
      <c r="R166" s="232">
        <v>11481</v>
      </c>
      <c r="S166" s="233">
        <v>10929</v>
      </c>
      <c r="T166" s="233">
        <v>22410</v>
      </c>
    </row>
    <row r="167" spans="1:20">
      <c r="A167" s="226">
        <v>91461</v>
      </c>
      <c r="B167" s="227" t="s">
        <v>877</v>
      </c>
      <c r="C167" s="87">
        <v>9.3999999999999998E-6</v>
      </c>
      <c r="D167" s="87">
        <v>8.6999999999999997E-6</v>
      </c>
      <c r="E167" s="231">
        <v>14361</v>
      </c>
      <c r="F167" s="231"/>
      <c r="G167" s="232">
        <v>827</v>
      </c>
      <c r="H167" s="220">
        <v>3487</v>
      </c>
      <c r="I167" s="232">
        <v>2051</v>
      </c>
      <c r="J167" s="231">
        <v>2052</v>
      </c>
      <c r="K167" s="220">
        <f t="shared" si="4"/>
        <v>8417</v>
      </c>
      <c r="L167" s="231"/>
      <c r="M167" s="232">
        <v>407</v>
      </c>
      <c r="N167" s="232">
        <v>0</v>
      </c>
      <c r="O167" s="231">
        <v>637</v>
      </c>
      <c r="P167" s="220">
        <f t="shared" si="5"/>
        <v>1044</v>
      </c>
      <c r="Q167" s="231"/>
      <c r="R167" s="232">
        <v>4840</v>
      </c>
      <c r="S167" s="233">
        <v>945</v>
      </c>
      <c r="T167" s="233">
        <f>5784+1</f>
        <v>5785</v>
      </c>
    </row>
    <row r="168" spans="1:20">
      <c r="A168" s="226">
        <v>91501</v>
      </c>
      <c r="B168" s="227" t="s">
        <v>878</v>
      </c>
      <c r="C168" s="87">
        <v>4.9700000000000005E-4</v>
      </c>
      <c r="D168" s="87">
        <v>5.1099999999999995E-4</v>
      </c>
      <c r="E168" s="231">
        <v>759278</v>
      </c>
      <c r="F168" s="231"/>
      <c r="G168" s="232">
        <v>43741</v>
      </c>
      <c r="H168" s="220">
        <v>184353</v>
      </c>
      <c r="I168" s="232">
        <v>108435</v>
      </c>
      <c r="J168" s="231">
        <v>24430</v>
      </c>
      <c r="K168" s="220">
        <f t="shared" si="4"/>
        <v>360959</v>
      </c>
      <c r="L168" s="231"/>
      <c r="M168" s="232">
        <v>21493</v>
      </c>
      <c r="N168" s="232">
        <v>0</v>
      </c>
      <c r="O168" s="231">
        <v>6922</v>
      </c>
      <c r="P168" s="220">
        <f t="shared" si="5"/>
        <v>28415</v>
      </c>
      <c r="Q168" s="231"/>
      <c r="R168" s="232">
        <v>255877</v>
      </c>
      <c r="S168" s="233">
        <v>15592</v>
      </c>
      <c r="T168" s="233">
        <v>271469</v>
      </c>
    </row>
    <row r="169" spans="1:20">
      <c r="A169" s="226">
        <v>91504</v>
      </c>
      <c r="B169" s="227" t="s">
        <v>879</v>
      </c>
      <c r="C169" s="87">
        <v>9.7000000000000003E-6</v>
      </c>
      <c r="D169" s="87">
        <v>1.0200000000000001E-5</v>
      </c>
      <c r="E169" s="231">
        <v>14819</v>
      </c>
      <c r="F169" s="231"/>
      <c r="G169" s="232">
        <v>854</v>
      </c>
      <c r="H169" s="220">
        <v>3599</v>
      </c>
      <c r="I169" s="232">
        <v>2116</v>
      </c>
      <c r="J169" s="231">
        <v>5620</v>
      </c>
      <c r="K169" s="220">
        <f t="shared" si="4"/>
        <v>12189</v>
      </c>
      <c r="L169" s="231"/>
      <c r="M169" s="232">
        <v>419</v>
      </c>
      <c r="N169" s="232">
        <v>0</v>
      </c>
      <c r="O169" s="231">
        <v>0</v>
      </c>
      <c r="P169" s="220">
        <f t="shared" si="5"/>
        <v>419</v>
      </c>
      <c r="Q169" s="231"/>
      <c r="R169" s="232">
        <v>4994</v>
      </c>
      <c r="S169" s="233">
        <v>2602</v>
      </c>
      <c r="T169" s="233">
        <v>7596</v>
      </c>
    </row>
    <row r="170" spans="1:20">
      <c r="A170" s="226">
        <v>91601</v>
      </c>
      <c r="B170" s="227" t="s">
        <v>880</v>
      </c>
      <c r="C170" s="87">
        <v>2.8040000000000001E-3</v>
      </c>
      <c r="D170" s="87">
        <v>2.9077999999999999E-3</v>
      </c>
      <c r="E170" s="231">
        <v>4283735</v>
      </c>
      <c r="F170" s="231"/>
      <c r="G170" s="232">
        <v>246783</v>
      </c>
      <c r="H170" s="220">
        <v>1040096</v>
      </c>
      <c r="I170" s="232">
        <v>611777</v>
      </c>
      <c r="J170" s="231">
        <v>168530</v>
      </c>
      <c r="K170" s="220">
        <f t="shared" si="4"/>
        <v>2067186</v>
      </c>
      <c r="L170" s="231"/>
      <c r="M170" s="232">
        <v>121259</v>
      </c>
      <c r="N170" s="232">
        <v>0</v>
      </c>
      <c r="O170" s="231">
        <v>40367</v>
      </c>
      <c r="P170" s="220">
        <f t="shared" si="5"/>
        <v>161626</v>
      </c>
      <c r="Q170" s="231"/>
      <c r="R170" s="232">
        <v>1443623</v>
      </c>
      <c r="S170" s="233">
        <v>76132</v>
      </c>
      <c r="T170" s="233">
        <v>1519755</v>
      </c>
    </row>
    <row r="171" spans="1:20">
      <c r="A171" s="226">
        <v>91604</v>
      </c>
      <c r="B171" s="227" t="s">
        <v>881</v>
      </c>
      <c r="C171" s="87">
        <v>8.8499999999999996E-5</v>
      </c>
      <c r="D171" s="87">
        <v>8.6799999999999996E-5</v>
      </c>
      <c r="E171" s="231">
        <v>135203</v>
      </c>
      <c r="F171" s="231"/>
      <c r="G171" s="232">
        <v>7789</v>
      </c>
      <c r="H171" s="220">
        <v>32827</v>
      </c>
      <c r="I171" s="232">
        <v>19309</v>
      </c>
      <c r="J171" s="231">
        <v>20977</v>
      </c>
      <c r="K171" s="220">
        <f t="shared" si="4"/>
        <v>80902</v>
      </c>
      <c r="L171" s="231"/>
      <c r="M171" s="232">
        <v>3827</v>
      </c>
      <c r="N171" s="232">
        <v>0</v>
      </c>
      <c r="O171" s="231">
        <v>0</v>
      </c>
      <c r="P171" s="220">
        <f t="shared" si="5"/>
        <v>3827</v>
      </c>
      <c r="Q171" s="231"/>
      <c r="R171" s="232">
        <v>45564</v>
      </c>
      <c r="S171" s="233">
        <v>7680</v>
      </c>
      <c r="T171" s="233">
        <v>53244</v>
      </c>
    </row>
    <row r="172" spans="1:20">
      <c r="A172" s="226">
        <v>91608</v>
      </c>
      <c r="B172" s="227" t="s">
        <v>882</v>
      </c>
      <c r="C172" s="87">
        <v>1.5349999999999999E-4</v>
      </c>
      <c r="D172" s="87">
        <v>1.208E-4</v>
      </c>
      <c r="E172" s="231">
        <v>234505</v>
      </c>
      <c r="F172" s="231"/>
      <c r="G172" s="232">
        <v>13510</v>
      </c>
      <c r="H172" s="220">
        <v>56938</v>
      </c>
      <c r="I172" s="232">
        <v>33491</v>
      </c>
      <c r="J172" s="231">
        <v>2430</v>
      </c>
      <c r="K172" s="220">
        <f t="shared" si="4"/>
        <v>106369</v>
      </c>
      <c r="L172" s="231"/>
      <c r="M172" s="232">
        <v>6638</v>
      </c>
      <c r="N172" s="232">
        <v>0</v>
      </c>
      <c r="O172" s="231">
        <v>28763</v>
      </c>
      <c r="P172" s="220">
        <f t="shared" si="5"/>
        <v>35401</v>
      </c>
      <c r="Q172" s="231"/>
      <c r="R172" s="232">
        <v>79029</v>
      </c>
      <c r="S172" s="233">
        <v>-12888</v>
      </c>
      <c r="T172" s="233">
        <f>66140+1</f>
        <v>66141</v>
      </c>
    </row>
    <row r="173" spans="1:20">
      <c r="A173" s="226">
        <v>91611</v>
      </c>
      <c r="B173" s="227" t="s">
        <v>883</v>
      </c>
      <c r="C173" s="87">
        <v>1.4708E-3</v>
      </c>
      <c r="D173" s="87">
        <v>1.4345E-3</v>
      </c>
      <c r="E173" s="231">
        <v>2246975</v>
      </c>
      <c r="F173" s="231"/>
      <c r="G173" s="232">
        <v>129447</v>
      </c>
      <c r="H173" s="220">
        <v>545569</v>
      </c>
      <c r="I173" s="232">
        <v>320899</v>
      </c>
      <c r="J173" s="231">
        <v>19333</v>
      </c>
      <c r="K173" s="220">
        <f t="shared" si="4"/>
        <v>1015248</v>
      </c>
      <c r="L173" s="231"/>
      <c r="M173" s="232">
        <v>63605</v>
      </c>
      <c r="N173" s="232">
        <v>0</v>
      </c>
      <c r="O173" s="231">
        <v>53335</v>
      </c>
      <c r="P173" s="220">
        <f t="shared" si="5"/>
        <v>116940</v>
      </c>
      <c r="Q173" s="231"/>
      <c r="R173" s="232">
        <v>757233</v>
      </c>
      <c r="S173" s="233">
        <v>2483</v>
      </c>
      <c r="T173" s="233">
        <f>759715+1</f>
        <v>759716</v>
      </c>
    </row>
    <row r="174" spans="1:20">
      <c r="A174" s="226">
        <v>91621</v>
      </c>
      <c r="B174" s="227" t="s">
        <v>884</v>
      </c>
      <c r="C174" s="87">
        <v>2.7050000000000002E-4</v>
      </c>
      <c r="D174" s="87">
        <v>2.5240000000000001E-4</v>
      </c>
      <c r="E174" s="231">
        <v>413249</v>
      </c>
      <c r="F174" s="231"/>
      <c r="G174" s="232">
        <v>23807</v>
      </c>
      <c r="H174" s="220">
        <v>100337</v>
      </c>
      <c r="I174" s="232">
        <v>59018</v>
      </c>
      <c r="J174" s="231">
        <v>13260</v>
      </c>
      <c r="K174" s="220">
        <f t="shared" si="4"/>
        <v>196422</v>
      </c>
      <c r="L174" s="231"/>
      <c r="M174" s="232">
        <v>11698</v>
      </c>
      <c r="N174" s="232">
        <v>0</v>
      </c>
      <c r="O174" s="231">
        <v>14620</v>
      </c>
      <c r="P174" s="220">
        <f t="shared" si="5"/>
        <v>26318</v>
      </c>
      <c r="Q174" s="231"/>
      <c r="R174" s="232">
        <v>139265</v>
      </c>
      <c r="S174" s="233">
        <v>-4185</v>
      </c>
      <c r="T174" s="233">
        <v>135080</v>
      </c>
    </row>
    <row r="175" spans="1:20">
      <c r="A175" s="226">
        <v>91631</v>
      </c>
      <c r="B175" s="227" t="s">
        <v>885</v>
      </c>
      <c r="C175" s="87">
        <v>5.2249999999999996E-4</v>
      </c>
      <c r="D175" s="87">
        <v>5.3870000000000003E-4</v>
      </c>
      <c r="E175" s="231">
        <v>798235</v>
      </c>
      <c r="F175" s="231"/>
      <c r="G175" s="232">
        <v>45986</v>
      </c>
      <c r="H175" s="220">
        <v>193812</v>
      </c>
      <c r="I175" s="232">
        <v>113999</v>
      </c>
      <c r="J175" s="231">
        <v>0</v>
      </c>
      <c r="K175" s="220">
        <f t="shared" si="4"/>
        <v>353797</v>
      </c>
      <c r="L175" s="231"/>
      <c r="M175" s="232">
        <v>22596</v>
      </c>
      <c r="N175" s="232">
        <v>0</v>
      </c>
      <c r="O175" s="231">
        <v>52272</v>
      </c>
      <c r="P175" s="220">
        <f t="shared" si="5"/>
        <v>74868</v>
      </c>
      <c r="Q175" s="231"/>
      <c r="R175" s="232">
        <v>269006</v>
      </c>
      <c r="S175" s="233">
        <v>-16747</v>
      </c>
      <c r="T175" s="233">
        <v>252259</v>
      </c>
    </row>
    <row r="176" spans="1:20">
      <c r="A176" s="226">
        <v>91633</v>
      </c>
      <c r="B176" s="227" t="s">
        <v>886</v>
      </c>
      <c r="C176" s="87">
        <v>2.51E-5</v>
      </c>
      <c r="D176" s="87">
        <v>2.3799999999999999E-5</v>
      </c>
      <c r="E176" s="231">
        <v>38346</v>
      </c>
      <c r="F176" s="231"/>
      <c r="G176" s="232">
        <v>2209</v>
      </c>
      <c r="H176" s="220">
        <v>9311</v>
      </c>
      <c r="I176" s="232">
        <v>5476</v>
      </c>
      <c r="J176" s="231">
        <v>1513</v>
      </c>
      <c r="K176" s="220">
        <f t="shared" si="4"/>
        <v>18509</v>
      </c>
      <c r="L176" s="231"/>
      <c r="M176" s="232">
        <v>1085</v>
      </c>
      <c r="N176" s="232">
        <v>0</v>
      </c>
      <c r="O176" s="231">
        <v>3215</v>
      </c>
      <c r="P176" s="220">
        <f t="shared" si="5"/>
        <v>4300</v>
      </c>
      <c r="Q176" s="231"/>
      <c r="R176" s="232">
        <v>12923</v>
      </c>
      <c r="S176" s="233">
        <v>-1367</v>
      </c>
      <c r="T176" s="233">
        <f>11555+1</f>
        <v>11556</v>
      </c>
    </row>
    <row r="177" spans="1:20">
      <c r="A177" s="226">
        <v>91641</v>
      </c>
      <c r="B177" s="227" t="s">
        <v>887</v>
      </c>
      <c r="C177" s="87">
        <v>3.1139999999999998E-4</v>
      </c>
      <c r="D177" s="87">
        <v>2.742E-4</v>
      </c>
      <c r="E177" s="231">
        <v>475733</v>
      </c>
      <c r="F177" s="231"/>
      <c r="G177" s="232">
        <v>27407</v>
      </c>
      <c r="H177" s="220">
        <v>115509</v>
      </c>
      <c r="I177" s="232">
        <v>67941</v>
      </c>
      <c r="J177" s="231">
        <v>0</v>
      </c>
      <c r="K177" s="220">
        <f t="shared" si="4"/>
        <v>210857</v>
      </c>
      <c r="L177" s="231"/>
      <c r="M177" s="232">
        <v>13466</v>
      </c>
      <c r="N177" s="232">
        <v>0</v>
      </c>
      <c r="O177" s="231">
        <v>55139</v>
      </c>
      <c r="P177" s="220">
        <f t="shared" si="5"/>
        <v>68605</v>
      </c>
      <c r="Q177" s="231"/>
      <c r="R177" s="232">
        <v>160322</v>
      </c>
      <c r="S177" s="233">
        <v>-25877</v>
      </c>
      <c r="T177" s="233">
        <v>134445</v>
      </c>
    </row>
    <row r="178" spans="1:20">
      <c r="A178" s="226">
        <v>91651</v>
      </c>
      <c r="B178" s="227" t="s">
        <v>888</v>
      </c>
      <c r="C178" s="87">
        <v>4.4440000000000001E-4</v>
      </c>
      <c r="D178" s="87">
        <v>4.6099999999999998E-4</v>
      </c>
      <c r="E178" s="231">
        <v>678920</v>
      </c>
      <c r="F178" s="231"/>
      <c r="G178" s="232">
        <v>39112</v>
      </c>
      <c r="H178" s="220">
        <v>164843</v>
      </c>
      <c r="I178" s="232">
        <v>96959</v>
      </c>
      <c r="J178" s="231">
        <v>0</v>
      </c>
      <c r="K178" s="220">
        <f t="shared" si="4"/>
        <v>300914</v>
      </c>
      <c r="L178" s="231"/>
      <c r="M178" s="232">
        <v>19218</v>
      </c>
      <c r="N178" s="232">
        <v>0</v>
      </c>
      <c r="O178" s="231">
        <v>30696</v>
      </c>
      <c r="P178" s="220">
        <f t="shared" si="5"/>
        <v>49914</v>
      </c>
      <c r="Q178" s="231"/>
      <c r="R178" s="232">
        <v>228797</v>
      </c>
      <c r="S178" s="233">
        <v>-12407</v>
      </c>
      <c r="T178" s="233">
        <v>216390</v>
      </c>
    </row>
    <row r="179" spans="1:20">
      <c r="A179" s="226">
        <v>91661</v>
      </c>
      <c r="B179" s="227" t="s">
        <v>889</v>
      </c>
      <c r="C179" s="87">
        <v>1.673E-4</v>
      </c>
      <c r="D179" s="87">
        <v>1.6750000000000001E-4</v>
      </c>
      <c r="E179" s="231">
        <v>255588</v>
      </c>
      <c r="F179" s="231"/>
      <c r="G179" s="232">
        <v>14724</v>
      </c>
      <c r="H179" s="220">
        <v>62057</v>
      </c>
      <c r="I179" s="232">
        <v>36502</v>
      </c>
      <c r="J179" s="231">
        <v>0</v>
      </c>
      <c r="K179" s="220">
        <f t="shared" si="4"/>
        <v>113283</v>
      </c>
      <c r="L179" s="231"/>
      <c r="M179" s="232">
        <v>7235</v>
      </c>
      <c r="N179" s="232">
        <v>0</v>
      </c>
      <c r="O179" s="231">
        <v>45519</v>
      </c>
      <c r="P179" s="220">
        <f t="shared" si="5"/>
        <v>52754</v>
      </c>
      <c r="Q179" s="231"/>
      <c r="R179" s="232">
        <v>86133</v>
      </c>
      <c r="S179" s="233">
        <v>-16188</v>
      </c>
      <c r="T179" s="233">
        <v>69945</v>
      </c>
    </row>
    <row r="180" spans="1:20">
      <c r="A180" s="226">
        <v>91671</v>
      </c>
      <c r="B180" s="227" t="s">
        <v>890</v>
      </c>
      <c r="C180" s="87">
        <v>9.6700000000000006E-5</v>
      </c>
      <c r="D180" s="87">
        <v>9.7600000000000001E-5</v>
      </c>
      <c r="E180" s="231">
        <v>147731</v>
      </c>
      <c r="F180" s="231"/>
      <c r="G180" s="232">
        <v>8511</v>
      </c>
      <c r="H180" s="220">
        <v>35869</v>
      </c>
      <c r="I180" s="232">
        <v>21098</v>
      </c>
      <c r="J180" s="231">
        <v>11497</v>
      </c>
      <c r="K180" s="220">
        <f t="shared" si="4"/>
        <v>76975</v>
      </c>
      <c r="L180" s="231"/>
      <c r="M180" s="232">
        <v>4182</v>
      </c>
      <c r="N180" s="232">
        <v>0</v>
      </c>
      <c r="O180" s="231">
        <v>1197</v>
      </c>
      <c r="P180" s="220">
        <f t="shared" si="5"/>
        <v>5379</v>
      </c>
      <c r="Q180" s="231"/>
      <c r="R180" s="232">
        <v>49785</v>
      </c>
      <c r="S180" s="233">
        <v>5725</v>
      </c>
      <c r="T180" s="233">
        <v>55510</v>
      </c>
    </row>
    <row r="181" spans="1:20">
      <c r="A181" s="226">
        <v>91681</v>
      </c>
      <c r="B181" s="227" t="s">
        <v>891</v>
      </c>
      <c r="C181" s="87">
        <v>4.728E-4</v>
      </c>
      <c r="D181" s="87">
        <v>4.7130000000000002E-4</v>
      </c>
      <c r="E181" s="231">
        <v>722307</v>
      </c>
      <c r="F181" s="231"/>
      <c r="G181" s="232">
        <v>41612</v>
      </c>
      <c r="H181" s="220">
        <v>175378</v>
      </c>
      <c r="I181" s="232">
        <v>103156</v>
      </c>
      <c r="J181" s="231">
        <v>274278</v>
      </c>
      <c r="K181" s="220">
        <f t="shared" si="4"/>
        <v>594424</v>
      </c>
      <c r="L181" s="231"/>
      <c r="M181" s="232">
        <v>20446</v>
      </c>
      <c r="N181" s="232">
        <v>0</v>
      </c>
      <c r="O181" s="231">
        <v>4516</v>
      </c>
      <c r="P181" s="220">
        <f t="shared" si="5"/>
        <v>24962</v>
      </c>
      <c r="Q181" s="231"/>
      <c r="R181" s="232">
        <v>243418</v>
      </c>
      <c r="S181" s="233">
        <v>89641</v>
      </c>
      <c r="T181" s="233">
        <v>333059</v>
      </c>
    </row>
    <row r="182" spans="1:20">
      <c r="A182" s="226">
        <v>91691</v>
      </c>
      <c r="B182" s="227" t="s">
        <v>892</v>
      </c>
      <c r="C182" s="87">
        <v>2.3200000000000001E-5</v>
      </c>
      <c r="D182" s="87">
        <v>2.4199999999999999E-5</v>
      </c>
      <c r="E182" s="231">
        <v>35443</v>
      </c>
      <c r="F182" s="231"/>
      <c r="G182" s="232">
        <v>2042</v>
      </c>
      <c r="H182" s="220">
        <v>8605</v>
      </c>
      <c r="I182" s="232">
        <v>5062</v>
      </c>
      <c r="J182" s="231">
        <v>1782</v>
      </c>
      <c r="K182" s="220">
        <f t="shared" si="4"/>
        <v>17491</v>
      </c>
      <c r="L182" s="231"/>
      <c r="M182" s="232">
        <v>1003</v>
      </c>
      <c r="N182" s="232">
        <v>0</v>
      </c>
      <c r="O182" s="231">
        <v>1533</v>
      </c>
      <c r="P182" s="220">
        <f t="shared" si="5"/>
        <v>2536</v>
      </c>
      <c r="Q182" s="231"/>
      <c r="R182" s="232">
        <v>11944</v>
      </c>
      <c r="S182" s="233">
        <v>129</v>
      </c>
      <c r="T182" s="233">
        <f>12074-1</f>
        <v>12073</v>
      </c>
    </row>
    <row r="183" spans="1:20">
      <c r="A183" s="226">
        <v>91701</v>
      </c>
      <c r="B183" s="227" t="s">
        <v>893</v>
      </c>
      <c r="C183" s="87">
        <v>1.2451999999999999E-3</v>
      </c>
      <c r="D183" s="87">
        <v>1.0897000000000001E-3</v>
      </c>
      <c r="E183" s="231">
        <v>1902321</v>
      </c>
      <c r="F183" s="231"/>
      <c r="G183" s="232">
        <v>109591</v>
      </c>
      <c r="H183" s="220">
        <v>461886</v>
      </c>
      <c r="I183" s="232">
        <v>271678</v>
      </c>
      <c r="J183" s="231">
        <v>95964</v>
      </c>
      <c r="K183" s="220">
        <f t="shared" si="4"/>
        <v>939119</v>
      </c>
      <c r="L183" s="231"/>
      <c r="M183" s="232">
        <v>53849</v>
      </c>
      <c r="N183" s="232">
        <v>0</v>
      </c>
      <c r="O183" s="231">
        <v>6949</v>
      </c>
      <c r="P183" s="220">
        <f t="shared" si="5"/>
        <v>60798</v>
      </c>
      <c r="Q183" s="231"/>
      <c r="R183" s="232">
        <v>641084</v>
      </c>
      <c r="S183" s="233">
        <v>18725</v>
      </c>
      <c r="T183" s="233">
        <v>659809</v>
      </c>
    </row>
    <row r="184" spans="1:20">
      <c r="A184" s="226">
        <v>91704</v>
      </c>
      <c r="B184" s="227" t="s">
        <v>894</v>
      </c>
      <c r="C184" s="87">
        <v>1.73E-5</v>
      </c>
      <c r="D184" s="87">
        <v>1.6699999999999999E-5</v>
      </c>
      <c r="E184" s="231">
        <v>26430</v>
      </c>
      <c r="F184" s="231"/>
      <c r="G184" s="232">
        <v>1523</v>
      </c>
      <c r="H184" s="220">
        <v>6417</v>
      </c>
      <c r="I184" s="232">
        <v>3775</v>
      </c>
      <c r="J184" s="231">
        <v>1084</v>
      </c>
      <c r="K184" s="220">
        <f t="shared" si="4"/>
        <v>12799</v>
      </c>
      <c r="L184" s="231"/>
      <c r="M184" s="232">
        <v>748</v>
      </c>
      <c r="N184" s="232">
        <v>0</v>
      </c>
      <c r="O184" s="231">
        <v>0</v>
      </c>
      <c r="P184" s="220">
        <f t="shared" si="5"/>
        <v>748</v>
      </c>
      <c r="Q184" s="231"/>
      <c r="R184" s="232">
        <v>8907</v>
      </c>
      <c r="S184" s="233">
        <v>641</v>
      </c>
      <c r="T184" s="233">
        <v>9548</v>
      </c>
    </row>
    <row r="185" spans="1:20">
      <c r="A185" s="226">
        <v>91706</v>
      </c>
      <c r="B185" s="227" t="s">
        <v>895</v>
      </c>
      <c r="C185" s="87">
        <v>2.4340000000000001E-4</v>
      </c>
      <c r="D185" s="87">
        <v>2.4279999999999999E-4</v>
      </c>
      <c r="E185" s="231">
        <v>371848</v>
      </c>
      <c r="F185" s="231"/>
      <c r="G185" s="232">
        <v>21422</v>
      </c>
      <c r="H185" s="220">
        <v>90285</v>
      </c>
      <c r="I185" s="232">
        <v>53105</v>
      </c>
      <c r="J185" s="231">
        <v>9101</v>
      </c>
      <c r="K185" s="220">
        <f t="shared" si="4"/>
        <v>173913</v>
      </c>
      <c r="L185" s="231"/>
      <c r="M185" s="232">
        <v>10526</v>
      </c>
      <c r="N185" s="232">
        <v>0</v>
      </c>
      <c r="O185" s="231">
        <v>8271</v>
      </c>
      <c r="P185" s="220">
        <f t="shared" si="5"/>
        <v>18797</v>
      </c>
      <c r="Q185" s="231"/>
      <c r="R185" s="232">
        <v>125313</v>
      </c>
      <c r="S185" s="233">
        <v>-4120</v>
      </c>
      <c r="T185" s="233">
        <v>121193</v>
      </c>
    </row>
    <row r="186" spans="1:20">
      <c r="A186" s="226">
        <v>91719</v>
      </c>
      <c r="B186" s="227" t="s">
        <v>896</v>
      </c>
      <c r="C186" s="87">
        <v>4.9700000000000002E-5</v>
      </c>
      <c r="D186" s="87">
        <v>4.9299999999999999E-5</v>
      </c>
      <c r="E186" s="231">
        <v>75928</v>
      </c>
      <c r="F186" s="231"/>
      <c r="G186" s="232">
        <v>4374</v>
      </c>
      <c r="H186" s="220">
        <v>18435</v>
      </c>
      <c r="I186" s="232">
        <v>10844</v>
      </c>
      <c r="J186" s="231">
        <v>4395</v>
      </c>
      <c r="K186" s="220">
        <f t="shared" si="4"/>
        <v>38048</v>
      </c>
      <c r="L186" s="231"/>
      <c r="M186" s="232">
        <v>2149</v>
      </c>
      <c r="N186" s="232">
        <v>0</v>
      </c>
      <c r="O186" s="231">
        <v>4419</v>
      </c>
      <c r="P186" s="220">
        <f t="shared" si="5"/>
        <v>6568</v>
      </c>
      <c r="Q186" s="231"/>
      <c r="R186" s="232">
        <v>25588</v>
      </c>
      <c r="S186" s="233">
        <v>37</v>
      </c>
      <c r="T186" s="233">
        <v>25625</v>
      </c>
    </row>
    <row r="187" spans="1:20">
      <c r="A187" s="226">
        <v>91801</v>
      </c>
      <c r="B187" s="227" t="s">
        <v>897</v>
      </c>
      <c r="C187" s="87">
        <v>8.0961000000000002E-3</v>
      </c>
      <c r="D187" s="87">
        <v>8.3853999999999995E-3</v>
      </c>
      <c r="E187" s="231">
        <v>12368598</v>
      </c>
      <c r="F187" s="231"/>
      <c r="G187" s="232">
        <v>712546</v>
      </c>
      <c r="H187" s="220">
        <v>3003111</v>
      </c>
      <c r="I187" s="232">
        <v>1766407</v>
      </c>
      <c r="J187" s="231">
        <v>0</v>
      </c>
      <c r="K187" s="220">
        <f t="shared" si="4"/>
        <v>5482064</v>
      </c>
      <c r="L187" s="231"/>
      <c r="M187" s="232">
        <v>350116</v>
      </c>
      <c r="N187" s="232">
        <v>0</v>
      </c>
      <c r="O187" s="231">
        <v>242225</v>
      </c>
      <c r="P187" s="220">
        <f t="shared" si="5"/>
        <v>592341</v>
      </c>
      <c r="Q187" s="231"/>
      <c r="R187" s="232">
        <v>4168229</v>
      </c>
      <c r="S187" s="233">
        <v>-87031</v>
      </c>
      <c r="T187" s="233">
        <f>4081197+1</f>
        <v>4081198</v>
      </c>
    </row>
    <row r="188" spans="1:20">
      <c r="A188" s="226">
        <v>91804</v>
      </c>
      <c r="B188" s="227" t="s">
        <v>898</v>
      </c>
      <c r="C188" s="87">
        <v>1.3439999999999999E-4</v>
      </c>
      <c r="D188" s="87">
        <v>1.462E-4</v>
      </c>
      <c r="E188" s="231">
        <v>205326</v>
      </c>
      <c r="F188" s="231"/>
      <c r="G188" s="232">
        <v>11829</v>
      </c>
      <c r="H188" s="220">
        <v>49854</v>
      </c>
      <c r="I188" s="232">
        <v>29323</v>
      </c>
      <c r="J188" s="231">
        <v>55699</v>
      </c>
      <c r="K188" s="220">
        <f t="shared" si="4"/>
        <v>146705</v>
      </c>
      <c r="L188" s="231"/>
      <c r="M188" s="232">
        <v>5812</v>
      </c>
      <c r="N188" s="232">
        <v>0</v>
      </c>
      <c r="O188" s="231">
        <v>0</v>
      </c>
      <c r="P188" s="220">
        <f t="shared" si="5"/>
        <v>5812</v>
      </c>
      <c r="Q188" s="231"/>
      <c r="R188" s="232">
        <v>69195</v>
      </c>
      <c r="S188" s="233">
        <v>23621</v>
      </c>
      <c r="T188" s="233">
        <v>92816</v>
      </c>
    </row>
    <row r="189" spans="1:20">
      <c r="A189" s="226">
        <v>91811</v>
      </c>
      <c r="B189" s="227" t="s">
        <v>899</v>
      </c>
      <c r="C189" s="87">
        <v>4.5555999999999999E-3</v>
      </c>
      <c r="D189" s="87">
        <v>4.6454000000000001E-3</v>
      </c>
      <c r="E189" s="231">
        <v>6959695</v>
      </c>
      <c r="F189" s="231"/>
      <c r="G189" s="232">
        <v>400943</v>
      </c>
      <c r="H189" s="220">
        <v>1689822</v>
      </c>
      <c r="I189" s="232">
        <v>993941</v>
      </c>
      <c r="J189" s="231">
        <v>0</v>
      </c>
      <c r="K189" s="220">
        <f t="shared" si="4"/>
        <v>3084706</v>
      </c>
      <c r="L189" s="231"/>
      <c r="M189" s="232">
        <v>197007</v>
      </c>
      <c r="N189" s="232">
        <v>0</v>
      </c>
      <c r="O189" s="231">
        <v>519421</v>
      </c>
      <c r="P189" s="220">
        <f t="shared" si="5"/>
        <v>716428</v>
      </c>
      <c r="Q189" s="231"/>
      <c r="R189" s="232">
        <v>2345423</v>
      </c>
      <c r="S189" s="233">
        <v>-197590</v>
      </c>
      <c r="T189" s="233">
        <v>2147833</v>
      </c>
    </row>
    <row r="190" spans="1:20">
      <c r="A190" s="226">
        <v>91812</v>
      </c>
      <c r="B190" s="227" t="s">
        <v>900</v>
      </c>
      <c r="C190" s="87">
        <v>5.0800000000000002E-5</v>
      </c>
      <c r="D190" s="87">
        <v>5.8199999999999998E-5</v>
      </c>
      <c r="E190" s="231">
        <v>77608</v>
      </c>
      <c r="F190" s="231"/>
      <c r="G190" s="232">
        <v>4471</v>
      </c>
      <c r="H190" s="220">
        <v>18843</v>
      </c>
      <c r="I190" s="232">
        <v>11084</v>
      </c>
      <c r="J190" s="231">
        <v>11326</v>
      </c>
      <c r="K190" s="220">
        <f t="shared" si="4"/>
        <v>45724</v>
      </c>
      <c r="L190" s="231"/>
      <c r="M190" s="232">
        <v>2197</v>
      </c>
      <c r="N190" s="232">
        <v>0</v>
      </c>
      <c r="O190" s="231">
        <v>2710</v>
      </c>
      <c r="P190" s="220">
        <f t="shared" si="5"/>
        <v>4907</v>
      </c>
      <c r="Q190" s="231"/>
      <c r="R190" s="232">
        <v>26154</v>
      </c>
      <c r="S190" s="233">
        <v>4584</v>
      </c>
      <c r="T190" s="233">
        <v>30738</v>
      </c>
    </row>
    <row r="191" spans="1:20">
      <c r="A191" s="226">
        <v>91813</v>
      </c>
      <c r="B191" s="227" t="s">
        <v>901</v>
      </c>
      <c r="C191" s="87">
        <v>8.6100000000000006E-5</v>
      </c>
      <c r="D191" s="87">
        <v>1.083E-4</v>
      </c>
      <c r="E191" s="231">
        <v>131537</v>
      </c>
      <c r="F191" s="231"/>
      <c r="G191" s="232">
        <v>7578</v>
      </c>
      <c r="H191" s="220">
        <v>31938</v>
      </c>
      <c r="I191" s="232">
        <v>18785</v>
      </c>
      <c r="J191" s="231">
        <v>10986</v>
      </c>
      <c r="K191" s="220">
        <f t="shared" si="4"/>
        <v>69287</v>
      </c>
      <c r="L191" s="231"/>
      <c r="M191" s="232">
        <v>3723</v>
      </c>
      <c r="N191" s="232">
        <v>0</v>
      </c>
      <c r="O191" s="231">
        <v>13565</v>
      </c>
      <c r="P191" s="220">
        <f t="shared" si="5"/>
        <v>17288</v>
      </c>
      <c r="Q191" s="231"/>
      <c r="R191" s="232">
        <v>44328</v>
      </c>
      <c r="S191" s="233">
        <v>-155</v>
      </c>
      <c r="T191" s="233">
        <v>44173</v>
      </c>
    </row>
    <row r="192" spans="1:20">
      <c r="A192" s="226">
        <v>91818</v>
      </c>
      <c r="B192" s="227" t="s">
        <v>902</v>
      </c>
      <c r="C192" s="87">
        <v>4.0079999999999998E-4</v>
      </c>
      <c r="D192" s="87">
        <v>3.8559999999999999E-4</v>
      </c>
      <c r="E192" s="231">
        <v>612311</v>
      </c>
      <c r="F192" s="231"/>
      <c r="G192" s="232">
        <v>35275</v>
      </c>
      <c r="H192" s="220">
        <v>148670</v>
      </c>
      <c r="I192" s="232">
        <v>87447</v>
      </c>
      <c r="J192" s="231">
        <v>469231</v>
      </c>
      <c r="K192" s="220">
        <f t="shared" si="4"/>
        <v>740623</v>
      </c>
      <c r="L192" s="231"/>
      <c r="M192" s="232">
        <v>17333</v>
      </c>
      <c r="N192" s="232">
        <v>0</v>
      </c>
      <c r="O192" s="231">
        <v>5024</v>
      </c>
      <c r="P192" s="220">
        <f t="shared" si="5"/>
        <v>22357</v>
      </c>
      <c r="Q192" s="231"/>
      <c r="R192" s="232">
        <v>206349</v>
      </c>
      <c r="S192" s="233">
        <v>155106</v>
      </c>
      <c r="T192" s="233">
        <f>361456-1</f>
        <v>361455</v>
      </c>
    </row>
    <row r="193" spans="1:20">
      <c r="A193" s="226">
        <v>91819</v>
      </c>
      <c r="B193" s="227" t="s">
        <v>903</v>
      </c>
      <c r="C193" s="87">
        <v>2.8489999999999999E-4</v>
      </c>
      <c r="D193" s="87">
        <v>2.8200000000000002E-4</v>
      </c>
      <c r="E193" s="231">
        <v>435248</v>
      </c>
      <c r="F193" s="231"/>
      <c r="G193" s="232">
        <v>25074</v>
      </c>
      <c r="H193" s="220">
        <v>105678</v>
      </c>
      <c r="I193" s="232">
        <v>62159</v>
      </c>
      <c r="J193" s="231">
        <v>15073</v>
      </c>
      <c r="K193" s="220">
        <f t="shared" si="4"/>
        <v>207984</v>
      </c>
      <c r="L193" s="231"/>
      <c r="M193" s="232">
        <v>12321</v>
      </c>
      <c r="N193" s="232">
        <v>0</v>
      </c>
      <c r="O193" s="231">
        <v>8276</v>
      </c>
      <c r="P193" s="220">
        <f t="shared" si="5"/>
        <v>20597</v>
      </c>
      <c r="Q193" s="231"/>
      <c r="R193" s="232">
        <v>146679</v>
      </c>
      <c r="S193" s="233">
        <v>5278</v>
      </c>
      <c r="T193" s="233">
        <v>151957</v>
      </c>
    </row>
    <row r="194" spans="1:20">
      <c r="A194" s="226">
        <v>91821</v>
      </c>
      <c r="B194" s="227" t="s">
        <v>904</v>
      </c>
      <c r="C194" s="87">
        <v>1.7330000000000001E-4</v>
      </c>
      <c r="D194" s="87">
        <v>1.63E-4</v>
      </c>
      <c r="E194" s="231">
        <v>264754</v>
      </c>
      <c r="F194" s="231"/>
      <c r="G194" s="232">
        <v>15252</v>
      </c>
      <c r="H194" s="220">
        <v>64283</v>
      </c>
      <c r="I194" s="232">
        <v>37811</v>
      </c>
      <c r="J194" s="231">
        <v>2434</v>
      </c>
      <c r="K194" s="220">
        <f t="shared" si="4"/>
        <v>119780</v>
      </c>
      <c r="L194" s="231"/>
      <c r="M194" s="232">
        <v>7494</v>
      </c>
      <c r="N194" s="232">
        <v>0</v>
      </c>
      <c r="O194" s="231">
        <v>1112</v>
      </c>
      <c r="P194" s="220">
        <f t="shared" si="5"/>
        <v>8606</v>
      </c>
      <c r="Q194" s="231"/>
      <c r="R194" s="232">
        <v>89222</v>
      </c>
      <c r="S194" s="233">
        <v>1572</v>
      </c>
      <c r="T194" s="233">
        <f>90795-1</f>
        <v>90794</v>
      </c>
    </row>
    <row r="195" spans="1:20">
      <c r="A195" s="226">
        <v>91831</v>
      </c>
      <c r="B195" s="227" t="s">
        <v>905</v>
      </c>
      <c r="C195" s="87">
        <v>3.366E-4</v>
      </c>
      <c r="D195" s="87">
        <v>3.414E-4</v>
      </c>
      <c r="E195" s="231">
        <v>514232</v>
      </c>
      <c r="F195" s="231"/>
      <c r="G195" s="232">
        <v>29625</v>
      </c>
      <c r="H195" s="220">
        <v>124856</v>
      </c>
      <c r="I195" s="232">
        <v>73439</v>
      </c>
      <c r="J195" s="231">
        <v>7847</v>
      </c>
      <c r="K195" s="220">
        <f t="shared" si="4"/>
        <v>235767</v>
      </c>
      <c r="L195" s="231"/>
      <c r="M195" s="232">
        <v>14556</v>
      </c>
      <c r="N195" s="232">
        <v>0</v>
      </c>
      <c r="O195" s="231">
        <v>13475</v>
      </c>
      <c r="P195" s="220">
        <f t="shared" si="5"/>
        <v>28031</v>
      </c>
      <c r="Q195" s="231"/>
      <c r="R195" s="232">
        <v>173296</v>
      </c>
      <c r="S195" s="233">
        <v>520</v>
      </c>
      <c r="T195" s="233">
        <v>173816</v>
      </c>
    </row>
    <row r="196" spans="1:20">
      <c r="A196" s="226">
        <v>91841</v>
      </c>
      <c r="B196" s="227" t="s">
        <v>906</v>
      </c>
      <c r="C196" s="87">
        <v>2.5339999999999998E-4</v>
      </c>
      <c r="D196" s="87">
        <v>2.63E-4</v>
      </c>
      <c r="E196" s="231">
        <v>387125</v>
      </c>
      <c r="F196" s="231"/>
      <c r="G196" s="232">
        <v>22302</v>
      </c>
      <c r="H196" s="220">
        <v>93994</v>
      </c>
      <c r="I196" s="232">
        <v>55287</v>
      </c>
      <c r="J196" s="231">
        <v>1681</v>
      </c>
      <c r="K196" s="220">
        <f t="shared" si="4"/>
        <v>173264</v>
      </c>
      <c r="L196" s="231"/>
      <c r="M196" s="232">
        <v>10958</v>
      </c>
      <c r="N196" s="232">
        <v>0</v>
      </c>
      <c r="O196" s="231">
        <v>14711</v>
      </c>
      <c r="P196" s="220">
        <f t="shared" si="5"/>
        <v>25669</v>
      </c>
      <c r="Q196" s="231"/>
      <c r="R196" s="232">
        <v>130461</v>
      </c>
      <c r="S196" s="233">
        <v>-9727</v>
      </c>
      <c r="T196" s="233">
        <v>120734</v>
      </c>
    </row>
    <row r="197" spans="1:20">
      <c r="A197" s="226">
        <v>91851</v>
      </c>
      <c r="B197" s="227" t="s">
        <v>907</v>
      </c>
      <c r="C197" s="87">
        <v>7.4910000000000005E-4</v>
      </c>
      <c r="D197" s="87">
        <v>7.2059999999999995E-4</v>
      </c>
      <c r="E197" s="231">
        <v>1144417</v>
      </c>
      <c r="F197" s="231"/>
      <c r="G197" s="232">
        <v>65929</v>
      </c>
      <c r="H197" s="220">
        <v>277866</v>
      </c>
      <c r="I197" s="232">
        <v>163439</v>
      </c>
      <c r="J197" s="231">
        <v>9030</v>
      </c>
      <c r="K197" s="220">
        <f t="shared" si="4"/>
        <v>516264</v>
      </c>
      <c r="L197" s="231"/>
      <c r="M197" s="232">
        <v>32395</v>
      </c>
      <c r="N197" s="232">
        <v>0</v>
      </c>
      <c r="O197" s="231">
        <v>44287</v>
      </c>
      <c r="P197" s="220">
        <f t="shared" si="5"/>
        <v>76682</v>
      </c>
      <c r="Q197" s="231"/>
      <c r="R197" s="232">
        <v>385670</v>
      </c>
      <c r="S197" s="233">
        <v>-13424</v>
      </c>
      <c r="T197" s="233">
        <v>372246</v>
      </c>
    </row>
    <row r="198" spans="1:20">
      <c r="A198" s="226">
        <v>91861</v>
      </c>
      <c r="B198" s="227" t="s">
        <v>908</v>
      </c>
      <c r="C198" s="87">
        <v>1.9700000000000001E-5</v>
      </c>
      <c r="D198" s="87">
        <v>1.9899999999999999E-5</v>
      </c>
      <c r="E198" s="231">
        <v>30096</v>
      </c>
      <c r="F198" s="231"/>
      <c r="G198" s="232">
        <v>1734</v>
      </c>
      <c r="H198" s="220">
        <v>7308</v>
      </c>
      <c r="I198" s="232">
        <v>4298</v>
      </c>
      <c r="J198" s="231">
        <v>2050</v>
      </c>
      <c r="K198" s="220">
        <f t="shared" si="4"/>
        <v>15390</v>
      </c>
      <c r="L198" s="231"/>
      <c r="M198" s="232">
        <v>852</v>
      </c>
      <c r="N198" s="232">
        <v>0</v>
      </c>
      <c r="O198" s="231">
        <v>1061</v>
      </c>
      <c r="P198" s="220">
        <f t="shared" si="5"/>
        <v>1913</v>
      </c>
      <c r="Q198" s="231"/>
      <c r="R198" s="232">
        <v>10142</v>
      </c>
      <c r="S198" s="233">
        <v>692</v>
      </c>
      <c r="T198" s="233">
        <f>10835-1</f>
        <v>10834</v>
      </c>
    </row>
    <row r="199" spans="1:20">
      <c r="A199" s="226">
        <v>91871</v>
      </c>
      <c r="B199" s="227" t="s">
        <v>909</v>
      </c>
      <c r="C199" s="87">
        <v>1.3319E-3</v>
      </c>
      <c r="D199" s="87">
        <v>1.2712000000000001E-3</v>
      </c>
      <c r="E199" s="231">
        <v>2034774</v>
      </c>
      <c r="F199" s="231"/>
      <c r="G199" s="232">
        <v>117222</v>
      </c>
      <c r="H199" s="220">
        <v>494045</v>
      </c>
      <c r="I199" s="232">
        <v>290594</v>
      </c>
      <c r="J199" s="231">
        <v>22538</v>
      </c>
      <c r="K199" s="220">
        <f t="shared" si="4"/>
        <v>924399</v>
      </c>
      <c r="L199" s="231"/>
      <c r="M199" s="232">
        <v>57598</v>
      </c>
      <c r="N199" s="232">
        <v>0</v>
      </c>
      <c r="O199" s="231">
        <v>73797</v>
      </c>
      <c r="P199" s="220">
        <f t="shared" si="5"/>
        <v>131395</v>
      </c>
      <c r="Q199" s="231"/>
      <c r="R199" s="232">
        <v>685721</v>
      </c>
      <c r="S199" s="233">
        <v>-28802</v>
      </c>
      <c r="T199" s="233">
        <v>656919</v>
      </c>
    </row>
    <row r="200" spans="1:20">
      <c r="A200" s="226">
        <v>91881</v>
      </c>
      <c r="B200" s="227" t="s">
        <v>910</v>
      </c>
      <c r="C200" s="87">
        <v>9.3000000000000007E-6</v>
      </c>
      <c r="D200" s="87">
        <v>1.01E-5</v>
      </c>
      <c r="E200" s="231">
        <v>14208</v>
      </c>
      <c r="F200" s="231"/>
      <c r="G200" s="232">
        <v>819</v>
      </c>
      <c r="H200" s="220">
        <v>3450</v>
      </c>
      <c r="I200" s="232">
        <v>2029</v>
      </c>
      <c r="J200" s="231">
        <v>1155</v>
      </c>
      <c r="K200" s="220">
        <f t="shared" si="4"/>
        <v>7453</v>
      </c>
      <c r="L200" s="231"/>
      <c r="M200" s="232">
        <v>402</v>
      </c>
      <c r="N200" s="232">
        <v>0</v>
      </c>
      <c r="O200" s="231">
        <v>8809</v>
      </c>
      <c r="P200" s="220">
        <f t="shared" si="5"/>
        <v>9211</v>
      </c>
      <c r="Q200" s="231"/>
      <c r="R200" s="232">
        <v>4788</v>
      </c>
      <c r="S200" s="233">
        <v>-5615</v>
      </c>
      <c r="T200" s="233">
        <v>-827</v>
      </c>
    </row>
    <row r="201" spans="1:20">
      <c r="A201" s="226">
        <v>91901</v>
      </c>
      <c r="B201" s="227" t="s">
        <v>911</v>
      </c>
      <c r="C201" s="87">
        <v>3.6706999999999998E-3</v>
      </c>
      <c r="D201" s="87">
        <v>3.6564000000000002E-3</v>
      </c>
      <c r="E201" s="231">
        <v>5607813</v>
      </c>
      <c r="F201" s="231"/>
      <c r="G201" s="232">
        <v>323062</v>
      </c>
      <c r="H201" s="220">
        <v>1361584</v>
      </c>
      <c r="I201" s="232">
        <v>800873</v>
      </c>
      <c r="J201" s="231">
        <v>89719</v>
      </c>
      <c r="K201" s="220">
        <f t="shared" ref="K201:K264" si="6">G201+H201+I201+J201</f>
        <v>2575238</v>
      </c>
      <c r="L201" s="231"/>
      <c r="M201" s="232">
        <v>158739</v>
      </c>
      <c r="N201" s="232">
        <v>0</v>
      </c>
      <c r="O201" s="231">
        <v>16546</v>
      </c>
      <c r="P201" s="220">
        <f t="shared" ref="P201:P264" si="7">M201+N201+O201</f>
        <v>175285</v>
      </c>
      <c r="Q201" s="231"/>
      <c r="R201" s="232">
        <v>1889838</v>
      </c>
      <c r="S201" s="233">
        <v>53714</v>
      </c>
      <c r="T201" s="233">
        <v>1943552</v>
      </c>
    </row>
    <row r="202" spans="1:20">
      <c r="A202" s="226">
        <v>91903</v>
      </c>
      <c r="B202" s="227" t="s">
        <v>912</v>
      </c>
      <c r="C202" s="87">
        <v>8.6999999999999997E-6</v>
      </c>
      <c r="D202" s="87">
        <v>8.3999999999999992E-6</v>
      </c>
      <c r="E202" s="231">
        <v>13291</v>
      </c>
      <c r="F202" s="231"/>
      <c r="G202" s="232">
        <v>766</v>
      </c>
      <c r="H202" s="220">
        <v>3227</v>
      </c>
      <c r="I202" s="232">
        <v>1898</v>
      </c>
      <c r="J202" s="231">
        <v>2037</v>
      </c>
      <c r="K202" s="220">
        <f t="shared" si="6"/>
        <v>7928</v>
      </c>
      <c r="L202" s="231"/>
      <c r="M202" s="232">
        <v>376</v>
      </c>
      <c r="N202" s="232">
        <v>0</v>
      </c>
      <c r="O202" s="231">
        <v>3011</v>
      </c>
      <c r="P202" s="220">
        <f t="shared" si="7"/>
        <v>3387</v>
      </c>
      <c r="Q202" s="231"/>
      <c r="R202" s="232">
        <v>4479</v>
      </c>
      <c r="S202" s="233">
        <v>-2426</v>
      </c>
      <c r="T202" s="233">
        <v>2053</v>
      </c>
    </row>
    <row r="203" spans="1:20">
      <c r="A203" s="226">
        <v>91904</v>
      </c>
      <c r="B203" s="227" t="s">
        <v>913</v>
      </c>
      <c r="C203" s="87">
        <v>3.3399999999999999E-5</v>
      </c>
      <c r="D203" s="87">
        <v>2.3300000000000001E-5</v>
      </c>
      <c r="E203" s="231">
        <v>51026</v>
      </c>
      <c r="F203" s="231"/>
      <c r="G203" s="232">
        <v>2940</v>
      </c>
      <c r="H203" s="220">
        <v>12389</v>
      </c>
      <c r="I203" s="232">
        <v>7287</v>
      </c>
      <c r="J203" s="231">
        <v>11190</v>
      </c>
      <c r="K203" s="220">
        <f t="shared" si="6"/>
        <v>33806</v>
      </c>
      <c r="L203" s="231"/>
      <c r="M203" s="232">
        <v>1444</v>
      </c>
      <c r="N203" s="232">
        <v>0</v>
      </c>
      <c r="O203" s="231">
        <v>0</v>
      </c>
      <c r="P203" s="220">
        <f t="shared" si="7"/>
        <v>1444</v>
      </c>
      <c r="Q203" s="231"/>
      <c r="R203" s="232">
        <v>17196</v>
      </c>
      <c r="S203" s="233">
        <v>4334</v>
      </c>
      <c r="T203" s="233">
        <v>21530</v>
      </c>
    </row>
    <row r="204" spans="1:20">
      <c r="A204" s="226">
        <v>91908</v>
      </c>
      <c r="B204" s="227" t="s">
        <v>914</v>
      </c>
      <c r="C204" s="87">
        <v>1.6900000000000001E-5</v>
      </c>
      <c r="D204" s="87">
        <v>1.3699999999999999E-5</v>
      </c>
      <c r="E204" s="231">
        <v>25819</v>
      </c>
      <c r="F204" s="231"/>
      <c r="G204" s="232">
        <v>1487</v>
      </c>
      <c r="H204" s="220">
        <v>6269</v>
      </c>
      <c r="I204" s="232">
        <v>3687</v>
      </c>
      <c r="J204" s="231">
        <v>935</v>
      </c>
      <c r="K204" s="220">
        <f t="shared" si="6"/>
        <v>12378</v>
      </c>
      <c r="L204" s="231"/>
      <c r="M204" s="232">
        <v>731</v>
      </c>
      <c r="N204" s="232">
        <v>0</v>
      </c>
      <c r="O204" s="231">
        <v>2553</v>
      </c>
      <c r="P204" s="220">
        <f t="shared" si="7"/>
        <v>3284</v>
      </c>
      <c r="Q204" s="231"/>
      <c r="R204" s="232">
        <v>8701</v>
      </c>
      <c r="S204" s="233">
        <v>-56</v>
      </c>
      <c r="T204" s="233">
        <v>8645</v>
      </c>
    </row>
    <row r="205" spans="1:20">
      <c r="A205" s="226">
        <v>91911</v>
      </c>
      <c r="B205" s="227" t="s">
        <v>915</v>
      </c>
      <c r="C205" s="87">
        <v>4.5580000000000002E-4</v>
      </c>
      <c r="D205" s="87">
        <v>4.639E-4</v>
      </c>
      <c r="E205" s="231">
        <v>696336</v>
      </c>
      <c r="F205" s="231"/>
      <c r="G205" s="232">
        <v>40115</v>
      </c>
      <c r="H205" s="220">
        <v>169071</v>
      </c>
      <c r="I205" s="232">
        <v>99446</v>
      </c>
      <c r="J205" s="231">
        <v>13510</v>
      </c>
      <c r="K205" s="220">
        <f t="shared" si="6"/>
        <v>322142</v>
      </c>
      <c r="L205" s="231"/>
      <c r="M205" s="232">
        <v>19711</v>
      </c>
      <c r="N205" s="232">
        <v>0</v>
      </c>
      <c r="O205" s="231">
        <v>5011</v>
      </c>
      <c r="P205" s="220">
        <f t="shared" si="7"/>
        <v>24722</v>
      </c>
      <c r="Q205" s="231"/>
      <c r="R205" s="232">
        <v>234666</v>
      </c>
      <c r="S205" s="233">
        <v>598</v>
      </c>
      <c r="T205" s="233">
        <v>235264</v>
      </c>
    </row>
    <row r="206" spans="1:20">
      <c r="A206" s="226">
        <v>91917</v>
      </c>
      <c r="B206" s="227" t="s">
        <v>916</v>
      </c>
      <c r="C206" s="87">
        <v>1.22E-5</v>
      </c>
      <c r="D206" s="87">
        <v>1.36E-5</v>
      </c>
      <c r="E206" s="231">
        <v>18638</v>
      </c>
      <c r="F206" s="231"/>
      <c r="G206" s="232">
        <v>1074</v>
      </c>
      <c r="H206" s="220">
        <v>4526</v>
      </c>
      <c r="I206" s="232">
        <v>2662</v>
      </c>
      <c r="J206" s="231">
        <v>527</v>
      </c>
      <c r="K206" s="220">
        <f t="shared" si="6"/>
        <v>8789</v>
      </c>
      <c r="L206" s="231"/>
      <c r="M206" s="232">
        <v>528</v>
      </c>
      <c r="N206" s="232">
        <v>0</v>
      </c>
      <c r="O206" s="231">
        <v>310</v>
      </c>
      <c r="P206" s="220">
        <f t="shared" si="7"/>
        <v>838</v>
      </c>
      <c r="Q206" s="231"/>
      <c r="R206" s="232">
        <v>6281</v>
      </c>
      <c r="S206" s="233">
        <v>126</v>
      </c>
      <c r="T206" s="233">
        <v>6407</v>
      </c>
    </row>
    <row r="207" spans="1:20">
      <c r="A207" s="226">
        <v>91921</v>
      </c>
      <c r="B207" s="227" t="s">
        <v>917</v>
      </c>
      <c r="C207" s="87">
        <v>3.769E-4</v>
      </c>
      <c r="D207" s="87">
        <v>3.6600000000000001E-4</v>
      </c>
      <c r="E207" s="231">
        <v>575799</v>
      </c>
      <c r="F207" s="231"/>
      <c r="G207" s="232">
        <v>33171</v>
      </c>
      <c r="H207" s="220">
        <v>139804</v>
      </c>
      <c r="I207" s="232">
        <v>82232</v>
      </c>
      <c r="J207" s="231">
        <v>0</v>
      </c>
      <c r="K207" s="220">
        <f t="shared" si="6"/>
        <v>255207</v>
      </c>
      <c r="L207" s="231"/>
      <c r="M207" s="232">
        <v>16299</v>
      </c>
      <c r="N207" s="232">
        <v>0</v>
      </c>
      <c r="O207" s="231">
        <v>10651</v>
      </c>
      <c r="P207" s="220">
        <f t="shared" si="7"/>
        <v>26950</v>
      </c>
      <c r="Q207" s="231"/>
      <c r="R207" s="232">
        <v>194045</v>
      </c>
      <c r="S207" s="233">
        <v>-5316</v>
      </c>
      <c r="T207" s="233">
        <v>188729</v>
      </c>
    </row>
    <row r="208" spans="1:20">
      <c r="A208" s="226">
        <v>92001</v>
      </c>
      <c r="B208" s="227" t="s">
        <v>918</v>
      </c>
      <c r="C208" s="87">
        <v>1.8143E-3</v>
      </c>
      <c r="D208" s="87">
        <v>1.9604000000000002E-3</v>
      </c>
      <c r="E208" s="231">
        <v>2771748</v>
      </c>
      <c r="F208" s="231"/>
      <c r="G208" s="232">
        <v>159678</v>
      </c>
      <c r="H208" s="220">
        <v>672984</v>
      </c>
      <c r="I208" s="232">
        <v>395844</v>
      </c>
      <c r="J208" s="231">
        <v>48219</v>
      </c>
      <c r="K208" s="220">
        <f t="shared" si="6"/>
        <v>1276725</v>
      </c>
      <c r="L208" s="231"/>
      <c r="M208" s="232">
        <v>78459</v>
      </c>
      <c r="N208" s="232">
        <v>0</v>
      </c>
      <c r="O208" s="231">
        <v>157894</v>
      </c>
      <c r="P208" s="220">
        <f t="shared" si="7"/>
        <v>236353</v>
      </c>
      <c r="Q208" s="231"/>
      <c r="R208" s="232">
        <v>934081</v>
      </c>
      <c r="S208" s="233">
        <v>-42009</v>
      </c>
      <c r="T208" s="233">
        <f>892073-1</f>
        <v>892072</v>
      </c>
    </row>
    <row r="209" spans="1:20">
      <c r="A209" s="226">
        <v>92005</v>
      </c>
      <c r="B209" s="227" t="s">
        <v>919</v>
      </c>
      <c r="C209" s="87">
        <v>4.1399999999999997E-5</v>
      </c>
      <c r="D209" s="87">
        <v>4.6499999999999999E-5</v>
      </c>
      <c r="E209" s="231">
        <v>63248</v>
      </c>
      <c r="F209" s="231"/>
      <c r="G209" s="232">
        <v>3644</v>
      </c>
      <c r="H209" s="220">
        <v>15356</v>
      </c>
      <c r="I209" s="232">
        <v>9033</v>
      </c>
      <c r="J209" s="231">
        <v>1741</v>
      </c>
      <c r="K209" s="220">
        <f t="shared" si="6"/>
        <v>29774</v>
      </c>
      <c r="L209" s="231"/>
      <c r="M209" s="232">
        <v>1790</v>
      </c>
      <c r="N209" s="232">
        <v>0</v>
      </c>
      <c r="O209" s="231">
        <v>2252</v>
      </c>
      <c r="P209" s="220">
        <f t="shared" si="7"/>
        <v>4042</v>
      </c>
      <c r="Q209" s="231"/>
      <c r="R209" s="232">
        <v>21315</v>
      </c>
      <c r="S209" s="233">
        <v>208</v>
      </c>
      <c r="T209" s="233">
        <f>21522+1</f>
        <v>21523</v>
      </c>
    </row>
    <row r="210" spans="1:20">
      <c r="A210" s="226">
        <v>92011</v>
      </c>
      <c r="B210" s="227" t="s">
        <v>920</v>
      </c>
      <c r="C210" s="87">
        <v>2.0049999999999999E-4</v>
      </c>
      <c r="D210" s="87">
        <v>1.8660000000000001E-4</v>
      </c>
      <c r="E210" s="231">
        <v>306308</v>
      </c>
      <c r="F210" s="231"/>
      <c r="G210" s="232">
        <v>17646</v>
      </c>
      <c r="H210" s="220">
        <v>74372</v>
      </c>
      <c r="I210" s="232">
        <v>43745</v>
      </c>
      <c r="J210" s="231">
        <v>17614</v>
      </c>
      <c r="K210" s="220">
        <f t="shared" si="6"/>
        <v>153377</v>
      </c>
      <c r="L210" s="231"/>
      <c r="M210" s="232">
        <v>8671</v>
      </c>
      <c r="N210" s="232">
        <v>0</v>
      </c>
      <c r="O210" s="231">
        <v>0</v>
      </c>
      <c r="P210" s="220">
        <f t="shared" si="7"/>
        <v>8671</v>
      </c>
      <c r="Q210" s="231"/>
      <c r="R210" s="232">
        <v>103226</v>
      </c>
      <c r="S210" s="233">
        <v>9780</v>
      </c>
      <c r="T210" s="233">
        <v>113006</v>
      </c>
    </row>
    <row r="211" spans="1:20">
      <c r="A211" s="226">
        <v>92017</v>
      </c>
      <c r="B211" s="227" t="s">
        <v>921</v>
      </c>
      <c r="C211" s="87">
        <v>3.4199999999999998E-5</v>
      </c>
      <c r="D211" s="87">
        <v>3.5099999999999999E-5</v>
      </c>
      <c r="E211" s="231">
        <v>52248</v>
      </c>
      <c r="F211" s="231"/>
      <c r="G211" s="232">
        <v>3010</v>
      </c>
      <c r="H211" s="220">
        <v>12686</v>
      </c>
      <c r="I211" s="232">
        <v>7462</v>
      </c>
      <c r="J211" s="231">
        <v>639</v>
      </c>
      <c r="K211" s="220">
        <f t="shared" si="6"/>
        <v>23797</v>
      </c>
      <c r="L211" s="231"/>
      <c r="M211" s="232">
        <v>1479</v>
      </c>
      <c r="N211" s="232">
        <v>0</v>
      </c>
      <c r="O211" s="231">
        <v>1257</v>
      </c>
      <c r="P211" s="220">
        <f t="shared" si="7"/>
        <v>2736</v>
      </c>
      <c r="Q211" s="231"/>
      <c r="R211" s="232">
        <v>17608</v>
      </c>
      <c r="S211" s="233">
        <v>-668</v>
      </c>
      <c r="T211" s="233">
        <f>16939+1</f>
        <v>16940</v>
      </c>
    </row>
    <row r="212" spans="1:20">
      <c r="A212" s="226">
        <v>92021</v>
      </c>
      <c r="B212" s="227" t="s">
        <v>922</v>
      </c>
      <c r="C212" s="87">
        <v>1.5779999999999999E-4</v>
      </c>
      <c r="D212" s="87">
        <v>1.4249999999999999E-4</v>
      </c>
      <c r="E212" s="231">
        <v>241075</v>
      </c>
      <c r="F212" s="231"/>
      <c r="G212" s="232">
        <v>13888</v>
      </c>
      <c r="H212" s="220">
        <v>58533</v>
      </c>
      <c r="I212" s="232">
        <v>34429</v>
      </c>
      <c r="J212" s="231">
        <v>30504</v>
      </c>
      <c r="K212" s="220">
        <f t="shared" si="6"/>
        <v>137354</v>
      </c>
      <c r="L212" s="231"/>
      <c r="M212" s="232">
        <v>6824</v>
      </c>
      <c r="N212" s="232">
        <v>0</v>
      </c>
      <c r="O212" s="231">
        <v>11142</v>
      </c>
      <c r="P212" s="220">
        <f t="shared" si="7"/>
        <v>17966</v>
      </c>
      <c r="Q212" s="231"/>
      <c r="R212" s="232">
        <v>81242</v>
      </c>
      <c r="S212" s="233">
        <v>1771</v>
      </c>
      <c r="T212" s="233">
        <f>83014-1</f>
        <v>83013</v>
      </c>
    </row>
    <row r="213" spans="1:20">
      <c r="A213" s="226">
        <v>92101</v>
      </c>
      <c r="B213" s="227" t="s">
        <v>923</v>
      </c>
      <c r="C213" s="87">
        <v>8.5209999999999995E-4</v>
      </c>
      <c r="D213" s="87">
        <v>8.6870000000000003E-4</v>
      </c>
      <c r="E213" s="231">
        <v>1301773</v>
      </c>
      <c r="F213" s="231"/>
      <c r="G213" s="232">
        <v>74994</v>
      </c>
      <c r="H213" s="220">
        <v>316072</v>
      </c>
      <c r="I213" s="232">
        <v>185911</v>
      </c>
      <c r="J213" s="231">
        <v>9505</v>
      </c>
      <c r="K213" s="220">
        <f t="shared" si="6"/>
        <v>586482</v>
      </c>
      <c r="L213" s="231"/>
      <c r="M213" s="232">
        <v>36849</v>
      </c>
      <c r="N213" s="232">
        <v>0</v>
      </c>
      <c r="O213" s="231">
        <v>63189</v>
      </c>
      <c r="P213" s="220">
        <f t="shared" si="7"/>
        <v>100038</v>
      </c>
      <c r="Q213" s="231"/>
      <c r="R213" s="232">
        <v>438699</v>
      </c>
      <c r="S213" s="233">
        <v>-10164</v>
      </c>
      <c r="T213" s="233">
        <v>428535</v>
      </c>
    </row>
    <row r="214" spans="1:20">
      <c r="A214" s="226">
        <v>92104</v>
      </c>
      <c r="B214" s="227" t="s">
        <v>924</v>
      </c>
      <c r="C214" s="87">
        <v>8.6000000000000007E-6</v>
      </c>
      <c r="D214" s="87">
        <v>8.8000000000000004E-6</v>
      </c>
      <c r="E214" s="231">
        <v>13138</v>
      </c>
      <c r="F214" s="231"/>
      <c r="G214" s="232">
        <v>757</v>
      </c>
      <c r="H214" s="220">
        <v>3190</v>
      </c>
      <c r="I214" s="232">
        <v>1876</v>
      </c>
      <c r="J214" s="231">
        <v>3377</v>
      </c>
      <c r="K214" s="220">
        <f t="shared" si="6"/>
        <v>9200</v>
      </c>
      <c r="L214" s="231"/>
      <c r="M214" s="232">
        <v>372</v>
      </c>
      <c r="N214" s="232">
        <v>0</v>
      </c>
      <c r="O214" s="231">
        <v>0</v>
      </c>
      <c r="P214" s="220">
        <f t="shared" si="7"/>
        <v>372</v>
      </c>
      <c r="Q214" s="231"/>
      <c r="R214" s="232">
        <v>4428</v>
      </c>
      <c r="S214" s="233">
        <v>1850</v>
      </c>
      <c r="T214" s="233">
        <f>6277+1</f>
        <v>6278</v>
      </c>
    </row>
    <row r="215" spans="1:20">
      <c r="A215" s="226">
        <v>92109</v>
      </c>
      <c r="B215" s="227" t="s">
        <v>925</v>
      </c>
      <c r="C215" s="87">
        <v>1.8809999999999999E-4</v>
      </c>
      <c r="D215" s="87">
        <v>1.7909999999999999E-4</v>
      </c>
      <c r="E215" s="231">
        <v>287365</v>
      </c>
      <c r="F215" s="231"/>
      <c r="G215" s="232">
        <v>16555</v>
      </c>
      <c r="H215" s="220">
        <v>69773</v>
      </c>
      <c r="I215" s="232">
        <v>41040</v>
      </c>
      <c r="J215" s="231">
        <v>2067</v>
      </c>
      <c r="K215" s="220">
        <f t="shared" si="6"/>
        <v>129435</v>
      </c>
      <c r="L215" s="231"/>
      <c r="M215" s="232">
        <v>8134</v>
      </c>
      <c r="N215" s="232">
        <v>0</v>
      </c>
      <c r="O215" s="231">
        <v>12612</v>
      </c>
      <c r="P215" s="220">
        <f t="shared" si="7"/>
        <v>20746</v>
      </c>
      <c r="Q215" s="231"/>
      <c r="R215" s="232">
        <v>96842</v>
      </c>
      <c r="S215" s="233">
        <v>-5396</v>
      </c>
      <c r="T215" s="233">
        <v>91446</v>
      </c>
    </row>
    <row r="216" spans="1:20">
      <c r="A216" s="226">
        <v>92111</v>
      </c>
      <c r="B216" s="227" t="s">
        <v>926</v>
      </c>
      <c r="C216" s="87">
        <v>5.0460000000000001E-4</v>
      </c>
      <c r="D216" s="87">
        <v>5.0009999999999996E-4</v>
      </c>
      <c r="E216" s="231">
        <v>770889</v>
      </c>
      <c r="F216" s="231"/>
      <c r="G216" s="232">
        <v>44410</v>
      </c>
      <c r="H216" s="220">
        <v>187173</v>
      </c>
      <c r="I216" s="232">
        <v>110094</v>
      </c>
      <c r="J216" s="231">
        <v>10602</v>
      </c>
      <c r="K216" s="220">
        <f t="shared" si="6"/>
        <v>352279</v>
      </c>
      <c r="L216" s="231"/>
      <c r="M216" s="232">
        <v>21821</v>
      </c>
      <c r="N216" s="232">
        <v>0</v>
      </c>
      <c r="O216" s="231">
        <v>13269</v>
      </c>
      <c r="P216" s="220">
        <f t="shared" si="7"/>
        <v>35090</v>
      </c>
      <c r="Q216" s="231"/>
      <c r="R216" s="232">
        <v>259790</v>
      </c>
      <c r="S216" s="233">
        <v>2449</v>
      </c>
      <c r="T216" s="233">
        <v>262239</v>
      </c>
    </row>
    <row r="217" spans="1:20">
      <c r="A217" s="226">
        <v>92113</v>
      </c>
      <c r="B217" s="227" t="s">
        <v>927</v>
      </c>
      <c r="C217" s="87">
        <v>1.4399999999999999E-5</v>
      </c>
      <c r="D217" s="87">
        <v>2.2099999999999998E-5</v>
      </c>
      <c r="E217" s="231">
        <v>21999</v>
      </c>
      <c r="F217" s="231"/>
      <c r="G217" s="232">
        <v>1267</v>
      </c>
      <c r="H217" s="220">
        <v>5342</v>
      </c>
      <c r="I217" s="232">
        <v>3142</v>
      </c>
      <c r="J217" s="231">
        <v>17604</v>
      </c>
      <c r="K217" s="220">
        <f t="shared" si="6"/>
        <v>27355</v>
      </c>
      <c r="L217" s="231"/>
      <c r="M217" s="232">
        <v>623</v>
      </c>
      <c r="N217" s="232">
        <v>0</v>
      </c>
      <c r="O217" s="231">
        <v>2179</v>
      </c>
      <c r="P217" s="220">
        <f t="shared" si="7"/>
        <v>2802</v>
      </c>
      <c r="Q217" s="231"/>
      <c r="R217" s="232">
        <v>7414</v>
      </c>
      <c r="S217" s="233">
        <v>7173</v>
      </c>
      <c r="T217" s="233">
        <v>14587</v>
      </c>
    </row>
    <row r="218" spans="1:20">
      <c r="A218" s="226">
        <v>92201</v>
      </c>
      <c r="B218" s="227" t="s">
        <v>928</v>
      </c>
      <c r="C218" s="87">
        <v>9.3389999999999999E-4</v>
      </c>
      <c r="D218" s="87">
        <v>1.0267E-3</v>
      </c>
      <c r="E218" s="231">
        <v>1426741</v>
      </c>
      <c r="F218" s="231"/>
      <c r="G218" s="232">
        <v>82193</v>
      </c>
      <c r="H218" s="220">
        <v>346414</v>
      </c>
      <c r="I218" s="232">
        <v>203758</v>
      </c>
      <c r="J218" s="231">
        <v>36804</v>
      </c>
      <c r="K218" s="220">
        <f t="shared" si="6"/>
        <v>669169</v>
      </c>
      <c r="L218" s="231"/>
      <c r="M218" s="232">
        <v>40387</v>
      </c>
      <c r="N218" s="232">
        <v>0</v>
      </c>
      <c r="O218" s="231">
        <v>43356</v>
      </c>
      <c r="P218" s="220">
        <f t="shared" si="7"/>
        <v>83743</v>
      </c>
      <c r="Q218" s="231"/>
      <c r="R218" s="232">
        <v>480813</v>
      </c>
      <c r="S218" s="233">
        <v>13056</v>
      </c>
      <c r="T218" s="233">
        <v>493869</v>
      </c>
    </row>
    <row r="219" spans="1:20">
      <c r="A219" s="226">
        <v>92301</v>
      </c>
      <c r="B219" s="227" t="s">
        <v>929</v>
      </c>
      <c r="C219" s="87">
        <v>5.2129999999999998E-3</v>
      </c>
      <c r="D219" s="87">
        <v>5.2411000000000003E-3</v>
      </c>
      <c r="E219" s="231">
        <v>7964020</v>
      </c>
      <c r="F219" s="231"/>
      <c r="G219" s="232">
        <v>458801</v>
      </c>
      <c r="H219" s="220">
        <v>1933674</v>
      </c>
      <c r="I219" s="232">
        <v>1137372</v>
      </c>
      <c r="J219" s="231">
        <v>53669</v>
      </c>
      <c r="K219" s="220">
        <f t="shared" si="6"/>
        <v>3583516</v>
      </c>
      <c r="L219" s="231"/>
      <c r="M219" s="232">
        <v>225436</v>
      </c>
      <c r="N219" s="232">
        <v>0</v>
      </c>
      <c r="O219" s="231">
        <v>40357</v>
      </c>
      <c r="P219" s="220">
        <f t="shared" si="7"/>
        <v>265793</v>
      </c>
      <c r="Q219" s="231"/>
      <c r="R219" s="232">
        <v>2683882</v>
      </c>
      <c r="S219" s="233">
        <v>7360</v>
      </c>
      <c r="T219" s="233">
        <v>2691242</v>
      </c>
    </row>
    <row r="220" spans="1:20">
      <c r="A220" s="226">
        <v>92302</v>
      </c>
      <c r="B220" s="227" t="s">
        <v>930</v>
      </c>
      <c r="C220" s="87">
        <v>2.9740000000000002E-4</v>
      </c>
      <c r="D220" s="87">
        <v>3.168E-4</v>
      </c>
      <c r="E220" s="231">
        <v>454345</v>
      </c>
      <c r="F220" s="231"/>
      <c r="G220" s="232">
        <v>26174</v>
      </c>
      <c r="H220" s="220">
        <v>110316</v>
      </c>
      <c r="I220" s="232">
        <v>64887</v>
      </c>
      <c r="J220" s="231">
        <v>0</v>
      </c>
      <c r="K220" s="220">
        <f t="shared" si="6"/>
        <v>201377</v>
      </c>
      <c r="L220" s="231"/>
      <c r="M220" s="232">
        <v>12861</v>
      </c>
      <c r="N220" s="232">
        <v>0</v>
      </c>
      <c r="O220" s="231">
        <v>28639</v>
      </c>
      <c r="P220" s="220">
        <f t="shared" si="7"/>
        <v>41500</v>
      </c>
      <c r="Q220" s="231"/>
      <c r="R220" s="232">
        <v>153115</v>
      </c>
      <c r="S220" s="233">
        <v>-9739</v>
      </c>
      <c r="T220" s="233">
        <v>143376</v>
      </c>
    </row>
    <row r="221" spans="1:20">
      <c r="A221" s="226">
        <v>92311</v>
      </c>
      <c r="B221" s="227" t="s">
        <v>931</v>
      </c>
      <c r="C221" s="87">
        <v>2.2504999999999999E-3</v>
      </c>
      <c r="D221" s="87">
        <v>2.1857000000000001E-3</v>
      </c>
      <c r="E221" s="231">
        <v>3438141</v>
      </c>
      <c r="F221" s="231"/>
      <c r="G221" s="232">
        <v>198069</v>
      </c>
      <c r="H221" s="220">
        <v>834785</v>
      </c>
      <c r="I221" s="232">
        <v>491014</v>
      </c>
      <c r="J221" s="231">
        <v>8358</v>
      </c>
      <c r="K221" s="220">
        <f t="shared" si="6"/>
        <v>1532226</v>
      </c>
      <c r="L221" s="231"/>
      <c r="M221" s="232">
        <v>97323</v>
      </c>
      <c r="N221" s="232">
        <v>0</v>
      </c>
      <c r="O221" s="231">
        <v>54246</v>
      </c>
      <c r="P221" s="220">
        <f t="shared" si="7"/>
        <v>151569</v>
      </c>
      <c r="Q221" s="231"/>
      <c r="R221" s="232">
        <v>1158656</v>
      </c>
      <c r="S221" s="233">
        <v>-36529</v>
      </c>
      <c r="T221" s="233">
        <v>1122127</v>
      </c>
    </row>
    <row r="222" spans="1:20">
      <c r="A222" s="226">
        <v>92317</v>
      </c>
      <c r="B222" s="227" t="s">
        <v>932</v>
      </c>
      <c r="C222" s="87">
        <v>2.94E-5</v>
      </c>
      <c r="D222" s="87">
        <v>2.9600000000000001E-5</v>
      </c>
      <c r="E222" s="231">
        <v>44915</v>
      </c>
      <c r="F222" s="231"/>
      <c r="G222" s="232">
        <v>2588</v>
      </c>
      <c r="H222" s="220">
        <v>10905</v>
      </c>
      <c r="I222" s="232">
        <v>6414</v>
      </c>
      <c r="J222" s="231">
        <v>15615</v>
      </c>
      <c r="K222" s="220">
        <f t="shared" si="6"/>
        <v>35522</v>
      </c>
      <c r="L222" s="231"/>
      <c r="M222" s="232">
        <v>1271</v>
      </c>
      <c r="N222" s="232">
        <v>0</v>
      </c>
      <c r="O222" s="231">
        <v>0</v>
      </c>
      <c r="P222" s="220">
        <f t="shared" si="7"/>
        <v>1271</v>
      </c>
      <c r="Q222" s="231"/>
      <c r="R222" s="232">
        <v>15136</v>
      </c>
      <c r="S222" s="233">
        <v>6218</v>
      </c>
      <c r="T222" s="233">
        <v>21354</v>
      </c>
    </row>
    <row r="223" spans="1:20">
      <c r="A223" s="226">
        <v>92321</v>
      </c>
      <c r="B223" s="227" t="s">
        <v>933</v>
      </c>
      <c r="C223" s="87">
        <v>1.1773E-3</v>
      </c>
      <c r="D223" s="87">
        <v>1.2218999999999999E-3</v>
      </c>
      <c r="E223" s="231">
        <v>1798588</v>
      </c>
      <c r="F223" s="231"/>
      <c r="G223" s="232">
        <v>103615</v>
      </c>
      <c r="H223" s="220">
        <v>436700</v>
      </c>
      <c r="I223" s="232">
        <v>256863</v>
      </c>
      <c r="J223" s="231">
        <v>35464</v>
      </c>
      <c r="K223" s="220">
        <f t="shared" si="6"/>
        <v>832642</v>
      </c>
      <c r="L223" s="231"/>
      <c r="M223" s="232">
        <v>50912</v>
      </c>
      <c r="N223" s="232">
        <v>0</v>
      </c>
      <c r="O223" s="231">
        <v>20669</v>
      </c>
      <c r="P223" s="220">
        <f t="shared" si="7"/>
        <v>71581</v>
      </c>
      <c r="Q223" s="231"/>
      <c r="R223" s="232">
        <v>606126</v>
      </c>
      <c r="S223" s="233">
        <v>20498</v>
      </c>
      <c r="T223" s="233">
        <v>626624</v>
      </c>
    </row>
    <row r="224" spans="1:20">
      <c r="A224" s="226">
        <v>92327</v>
      </c>
      <c r="B224" s="227" t="s">
        <v>934</v>
      </c>
      <c r="C224" s="87">
        <v>5.6999999999999996E-6</v>
      </c>
      <c r="D224" s="87">
        <v>7.6000000000000001E-6</v>
      </c>
      <c r="E224" s="231">
        <v>8708</v>
      </c>
      <c r="F224" s="231"/>
      <c r="G224" s="232">
        <v>502</v>
      </c>
      <c r="H224" s="220">
        <v>2115</v>
      </c>
      <c r="I224" s="232">
        <v>1244</v>
      </c>
      <c r="J224" s="231">
        <v>2932</v>
      </c>
      <c r="K224" s="220">
        <f t="shared" si="6"/>
        <v>6793</v>
      </c>
      <c r="L224" s="231"/>
      <c r="M224" s="232">
        <v>246</v>
      </c>
      <c r="N224" s="232">
        <v>0</v>
      </c>
      <c r="O224" s="231">
        <v>0</v>
      </c>
      <c r="P224" s="220">
        <f t="shared" si="7"/>
        <v>246</v>
      </c>
      <c r="Q224" s="231"/>
      <c r="R224" s="232">
        <v>2935</v>
      </c>
      <c r="S224" s="233">
        <v>1142</v>
      </c>
      <c r="T224" s="233">
        <v>4077</v>
      </c>
    </row>
    <row r="225" spans="1:20">
      <c r="A225" s="226">
        <v>92331</v>
      </c>
      <c r="B225" s="227" t="s">
        <v>935</v>
      </c>
      <c r="C225" s="87">
        <v>1.3970000000000001E-4</v>
      </c>
      <c r="D225" s="87">
        <v>1.393E-4</v>
      </c>
      <c r="E225" s="231">
        <v>213423</v>
      </c>
      <c r="F225" s="231"/>
      <c r="G225" s="232">
        <v>12295</v>
      </c>
      <c r="H225" s="220">
        <v>51819</v>
      </c>
      <c r="I225" s="232">
        <v>30480</v>
      </c>
      <c r="J225" s="231">
        <v>2070</v>
      </c>
      <c r="K225" s="220">
        <f t="shared" si="6"/>
        <v>96664</v>
      </c>
      <c r="L225" s="231"/>
      <c r="M225" s="232">
        <v>6041</v>
      </c>
      <c r="N225" s="232">
        <v>0</v>
      </c>
      <c r="O225" s="231">
        <v>7559</v>
      </c>
      <c r="P225" s="220">
        <f t="shared" si="7"/>
        <v>13600</v>
      </c>
      <c r="Q225" s="231"/>
      <c r="R225" s="232">
        <v>71924</v>
      </c>
      <c r="S225" s="233">
        <v>-755</v>
      </c>
      <c r="T225" s="233">
        <v>71169</v>
      </c>
    </row>
    <row r="226" spans="1:20">
      <c r="A226" s="226">
        <v>92341</v>
      </c>
      <c r="B226" s="227" t="s">
        <v>936</v>
      </c>
      <c r="C226" s="87">
        <v>9.7999999999999993E-6</v>
      </c>
      <c r="D226" s="87">
        <v>7.9000000000000006E-6</v>
      </c>
      <c r="E226" s="231">
        <v>14972</v>
      </c>
      <c r="F226" s="231"/>
      <c r="G226" s="232">
        <v>863</v>
      </c>
      <c r="H226" s="220">
        <v>3635</v>
      </c>
      <c r="I226" s="232">
        <v>2138</v>
      </c>
      <c r="J226" s="231">
        <v>523</v>
      </c>
      <c r="K226" s="220">
        <f t="shared" si="6"/>
        <v>7159</v>
      </c>
      <c r="L226" s="231"/>
      <c r="M226" s="232">
        <v>424</v>
      </c>
      <c r="N226" s="232">
        <v>0</v>
      </c>
      <c r="O226" s="231">
        <v>1977</v>
      </c>
      <c r="P226" s="220">
        <f t="shared" si="7"/>
        <v>2401</v>
      </c>
      <c r="Q226" s="231"/>
      <c r="R226" s="232">
        <v>5045</v>
      </c>
      <c r="S226" s="233">
        <v>-859</v>
      </c>
      <c r="T226" s="233">
        <f>4187-1</f>
        <v>4186</v>
      </c>
    </row>
    <row r="227" spans="1:20">
      <c r="A227" s="226">
        <v>92351</v>
      </c>
      <c r="B227" s="227" t="s">
        <v>937</v>
      </c>
      <c r="C227" s="87">
        <v>1.8600000000000001E-5</v>
      </c>
      <c r="D227" s="87">
        <v>1.95E-5</v>
      </c>
      <c r="E227" s="231">
        <v>28416</v>
      </c>
      <c r="F227" s="231"/>
      <c r="G227" s="232">
        <v>1637</v>
      </c>
      <c r="H227" s="220">
        <v>6899</v>
      </c>
      <c r="I227" s="232">
        <v>4058</v>
      </c>
      <c r="J227" s="231">
        <v>746</v>
      </c>
      <c r="K227" s="220">
        <f t="shared" si="6"/>
        <v>13340</v>
      </c>
      <c r="L227" s="231"/>
      <c r="M227" s="232">
        <v>804</v>
      </c>
      <c r="N227" s="232">
        <v>0</v>
      </c>
      <c r="O227" s="231">
        <v>4166</v>
      </c>
      <c r="P227" s="220">
        <f t="shared" si="7"/>
        <v>4970</v>
      </c>
      <c r="Q227" s="231"/>
      <c r="R227" s="232">
        <v>9576</v>
      </c>
      <c r="S227" s="233">
        <v>-1010</v>
      </c>
      <c r="T227" s="233">
        <f>8567-1</f>
        <v>8566</v>
      </c>
    </row>
    <row r="228" spans="1:20">
      <c r="A228" s="226">
        <v>92401</v>
      </c>
      <c r="B228" s="227" t="s">
        <v>938</v>
      </c>
      <c r="C228" s="87">
        <v>2.6890999999999998E-3</v>
      </c>
      <c r="D228" s="87">
        <v>2.7449000000000002E-3</v>
      </c>
      <c r="E228" s="231">
        <v>4108200</v>
      </c>
      <c r="F228" s="231"/>
      <c r="G228" s="232">
        <v>236670</v>
      </c>
      <c r="H228" s="220">
        <v>997476</v>
      </c>
      <c r="I228" s="232">
        <v>586708</v>
      </c>
      <c r="J228" s="231">
        <v>34938</v>
      </c>
      <c r="K228" s="220">
        <f t="shared" si="6"/>
        <v>1855792</v>
      </c>
      <c r="L228" s="231"/>
      <c r="M228" s="232">
        <v>116290</v>
      </c>
      <c r="N228" s="232">
        <v>0</v>
      </c>
      <c r="O228" s="231">
        <v>3448</v>
      </c>
      <c r="P228" s="220">
        <f t="shared" si="7"/>
        <v>119738</v>
      </c>
      <c r="Q228" s="231"/>
      <c r="R228" s="232">
        <v>1384467</v>
      </c>
      <c r="S228" s="233">
        <v>19009</v>
      </c>
      <c r="T228" s="233">
        <v>1403476</v>
      </c>
    </row>
    <row r="229" spans="1:20">
      <c r="A229" s="226">
        <v>92403</v>
      </c>
      <c r="B229" s="227" t="s">
        <v>939</v>
      </c>
      <c r="C229" s="87">
        <v>1.11E-5</v>
      </c>
      <c r="D229" s="87">
        <v>9.7999999999999993E-6</v>
      </c>
      <c r="E229" s="231">
        <v>16958</v>
      </c>
      <c r="F229" s="231"/>
      <c r="G229" s="232">
        <v>977</v>
      </c>
      <c r="H229" s="220">
        <v>4117</v>
      </c>
      <c r="I229" s="232">
        <v>2422</v>
      </c>
      <c r="J229" s="231">
        <v>1858</v>
      </c>
      <c r="K229" s="220">
        <f t="shared" si="6"/>
        <v>9374</v>
      </c>
      <c r="L229" s="231"/>
      <c r="M229" s="232">
        <v>480</v>
      </c>
      <c r="N229" s="232">
        <v>0</v>
      </c>
      <c r="O229" s="231">
        <v>1307</v>
      </c>
      <c r="P229" s="220">
        <f t="shared" si="7"/>
        <v>1787</v>
      </c>
      <c r="Q229" s="231"/>
      <c r="R229" s="232">
        <v>5715</v>
      </c>
      <c r="S229" s="233">
        <v>135</v>
      </c>
      <c r="T229" s="233">
        <f>5849+1</f>
        <v>5850</v>
      </c>
    </row>
    <row r="230" spans="1:20">
      <c r="A230" s="226">
        <v>92411</v>
      </c>
      <c r="B230" s="227" t="s">
        <v>940</v>
      </c>
      <c r="C230" s="87">
        <v>5.0469999999999996E-4</v>
      </c>
      <c r="D230" s="87">
        <v>4.8030000000000002E-4</v>
      </c>
      <c r="E230" s="231">
        <v>771042</v>
      </c>
      <c r="F230" s="231"/>
      <c r="G230" s="232">
        <v>44419</v>
      </c>
      <c r="H230" s="220">
        <v>187210</v>
      </c>
      <c r="I230" s="232">
        <v>110115</v>
      </c>
      <c r="J230" s="231">
        <v>369</v>
      </c>
      <c r="K230" s="220">
        <f t="shared" si="6"/>
        <v>342113</v>
      </c>
      <c r="L230" s="231"/>
      <c r="M230" s="232">
        <v>21826</v>
      </c>
      <c r="N230" s="232">
        <v>0</v>
      </c>
      <c r="O230" s="231">
        <v>44165</v>
      </c>
      <c r="P230" s="220">
        <f t="shared" si="7"/>
        <v>65991</v>
      </c>
      <c r="Q230" s="231"/>
      <c r="R230" s="232">
        <v>259842</v>
      </c>
      <c r="S230" s="233">
        <v>-17900</v>
      </c>
      <c r="T230" s="233">
        <v>241942</v>
      </c>
    </row>
    <row r="231" spans="1:20">
      <c r="A231" s="226">
        <v>92414</v>
      </c>
      <c r="B231" s="227" t="s">
        <v>70</v>
      </c>
      <c r="C231" s="87">
        <v>0</v>
      </c>
      <c r="D231" s="87">
        <v>0</v>
      </c>
      <c r="E231" s="231">
        <v>0</v>
      </c>
      <c r="F231" s="231"/>
      <c r="G231" s="232">
        <v>0</v>
      </c>
      <c r="H231" s="220">
        <v>0</v>
      </c>
      <c r="I231" s="232">
        <v>0</v>
      </c>
      <c r="J231" s="231">
        <v>0</v>
      </c>
      <c r="K231" s="220">
        <f t="shared" si="6"/>
        <v>0</v>
      </c>
      <c r="L231" s="231"/>
      <c r="M231" s="232">
        <v>0</v>
      </c>
      <c r="N231" s="232">
        <v>0</v>
      </c>
      <c r="O231" s="231">
        <v>5712</v>
      </c>
      <c r="P231" s="220">
        <f t="shared" si="7"/>
        <v>5712</v>
      </c>
      <c r="Q231" s="231"/>
      <c r="R231" s="232">
        <v>0</v>
      </c>
      <c r="S231" s="233">
        <v>-2445</v>
      </c>
      <c r="T231" s="233">
        <v>-2445</v>
      </c>
    </row>
    <row r="232" spans="1:20">
      <c r="A232" s="226">
        <v>92417</v>
      </c>
      <c r="B232" s="227" t="s">
        <v>941</v>
      </c>
      <c r="C232" s="87">
        <v>1.8300000000000001E-5</v>
      </c>
      <c r="D232" s="87">
        <v>1.77E-5</v>
      </c>
      <c r="E232" s="231">
        <v>27957</v>
      </c>
      <c r="F232" s="231"/>
      <c r="G232" s="232">
        <v>1611</v>
      </c>
      <c r="H232" s="220">
        <v>6788</v>
      </c>
      <c r="I232" s="232">
        <v>3993</v>
      </c>
      <c r="J232" s="231">
        <v>0</v>
      </c>
      <c r="K232" s="220">
        <f t="shared" si="6"/>
        <v>12392</v>
      </c>
      <c r="L232" s="231"/>
      <c r="M232" s="232">
        <v>791</v>
      </c>
      <c r="N232" s="232">
        <v>0</v>
      </c>
      <c r="O232" s="231">
        <v>2726</v>
      </c>
      <c r="P232" s="220">
        <f t="shared" si="7"/>
        <v>3517</v>
      </c>
      <c r="Q232" s="231"/>
      <c r="R232" s="232">
        <v>9422</v>
      </c>
      <c r="S232" s="233">
        <v>-895</v>
      </c>
      <c r="T232" s="233">
        <v>8527</v>
      </c>
    </row>
    <row r="233" spans="1:20">
      <c r="A233" s="226">
        <v>92421</v>
      </c>
      <c r="B233" s="227" t="s">
        <v>942</v>
      </c>
      <c r="C233" s="87">
        <v>8.8000000000000004E-6</v>
      </c>
      <c r="D233" s="87">
        <v>9.0000000000000002E-6</v>
      </c>
      <c r="E233" s="231">
        <v>13444</v>
      </c>
      <c r="F233" s="231"/>
      <c r="G233" s="232">
        <v>774</v>
      </c>
      <c r="H233" s="220">
        <v>3264</v>
      </c>
      <c r="I233" s="232">
        <v>1920</v>
      </c>
      <c r="J233" s="231">
        <v>3546</v>
      </c>
      <c r="K233" s="220">
        <f t="shared" si="6"/>
        <v>9504</v>
      </c>
      <c r="L233" s="231"/>
      <c r="M233" s="232">
        <v>381</v>
      </c>
      <c r="N233" s="232">
        <v>0</v>
      </c>
      <c r="O233" s="231">
        <v>1149</v>
      </c>
      <c r="P233" s="220">
        <f t="shared" si="7"/>
        <v>1530</v>
      </c>
      <c r="Q233" s="231"/>
      <c r="R233" s="232">
        <v>4531</v>
      </c>
      <c r="S233" s="233">
        <v>935</v>
      </c>
      <c r="T233" s="233">
        <v>5466</v>
      </c>
    </row>
    <row r="234" spans="1:20">
      <c r="A234" s="226">
        <v>92427</v>
      </c>
      <c r="B234" s="227" t="s">
        <v>943</v>
      </c>
      <c r="C234" s="87">
        <v>3.9999999999999998E-7</v>
      </c>
      <c r="D234" s="87">
        <v>6.9999999999999997E-7</v>
      </c>
      <c r="E234" s="231">
        <v>611</v>
      </c>
      <c r="F234" s="231"/>
      <c r="G234" s="232">
        <v>35</v>
      </c>
      <c r="H234" s="220">
        <v>148</v>
      </c>
      <c r="I234" s="232">
        <v>87</v>
      </c>
      <c r="J234" s="231">
        <v>1998</v>
      </c>
      <c r="K234" s="220">
        <f t="shared" si="6"/>
        <v>2268</v>
      </c>
      <c r="L234" s="231"/>
      <c r="M234" s="232">
        <v>17</v>
      </c>
      <c r="N234" s="232">
        <v>0</v>
      </c>
      <c r="O234" s="231">
        <v>0</v>
      </c>
      <c r="P234" s="220">
        <f t="shared" si="7"/>
        <v>17</v>
      </c>
      <c r="Q234" s="231"/>
      <c r="R234" s="232">
        <v>206</v>
      </c>
      <c r="S234" s="233">
        <v>841</v>
      </c>
      <c r="T234" s="233">
        <v>1047</v>
      </c>
    </row>
    <row r="235" spans="1:20">
      <c r="A235" s="226">
        <v>92431</v>
      </c>
      <c r="B235" s="227" t="s">
        <v>944</v>
      </c>
      <c r="C235" s="87">
        <v>3.0800000000000003E-5</v>
      </c>
      <c r="D235" s="87">
        <v>1.8499999999999999E-5</v>
      </c>
      <c r="E235" s="231">
        <v>47054</v>
      </c>
      <c r="F235" s="231"/>
      <c r="G235" s="232">
        <v>2711</v>
      </c>
      <c r="H235" s="220">
        <v>11425</v>
      </c>
      <c r="I235" s="232">
        <v>6720</v>
      </c>
      <c r="J235" s="231">
        <v>18832</v>
      </c>
      <c r="K235" s="220">
        <f t="shared" si="6"/>
        <v>39688</v>
      </c>
      <c r="L235" s="231"/>
      <c r="M235" s="232">
        <v>1332</v>
      </c>
      <c r="N235" s="232">
        <v>0</v>
      </c>
      <c r="O235" s="231">
        <v>3766</v>
      </c>
      <c r="P235" s="220">
        <f t="shared" si="7"/>
        <v>5098</v>
      </c>
      <c r="Q235" s="231"/>
      <c r="R235" s="232">
        <v>15857</v>
      </c>
      <c r="S235" s="233">
        <v>4147</v>
      </c>
      <c r="T235" s="233">
        <v>20004</v>
      </c>
    </row>
    <row r="236" spans="1:20">
      <c r="A236" s="226">
        <v>92441</v>
      </c>
      <c r="B236" s="227" t="s">
        <v>945</v>
      </c>
      <c r="C236" s="87">
        <v>7.7999999999999999E-5</v>
      </c>
      <c r="D236" s="87">
        <v>9.2299999999999994E-5</v>
      </c>
      <c r="E236" s="231">
        <v>119162</v>
      </c>
      <c r="F236" s="231"/>
      <c r="G236" s="232">
        <v>6865</v>
      </c>
      <c r="H236" s="220">
        <v>28933</v>
      </c>
      <c r="I236" s="232">
        <v>17018</v>
      </c>
      <c r="J236" s="231">
        <v>0</v>
      </c>
      <c r="K236" s="220">
        <f t="shared" si="6"/>
        <v>52816</v>
      </c>
      <c r="L236" s="231"/>
      <c r="M236" s="232">
        <v>3373</v>
      </c>
      <c r="N236" s="232">
        <v>0</v>
      </c>
      <c r="O236" s="231">
        <v>15306</v>
      </c>
      <c r="P236" s="220">
        <f t="shared" si="7"/>
        <v>18679</v>
      </c>
      <c r="Q236" s="231"/>
      <c r="R236" s="232">
        <v>40158</v>
      </c>
      <c r="S236" s="233">
        <v>-6990</v>
      </c>
      <c r="T236" s="233">
        <f>33167+1</f>
        <v>33168</v>
      </c>
    </row>
    <row r="237" spans="1:20">
      <c r="A237" s="226">
        <v>92444</v>
      </c>
      <c r="B237" s="227" t="s">
        <v>946</v>
      </c>
      <c r="C237" s="87">
        <v>1.7999999999999999E-6</v>
      </c>
      <c r="D237" s="87">
        <v>1.9999999999999999E-6</v>
      </c>
      <c r="E237" s="231">
        <v>2750</v>
      </c>
      <c r="F237" s="231"/>
      <c r="G237" s="232">
        <v>158</v>
      </c>
      <c r="H237" s="220">
        <v>667</v>
      </c>
      <c r="I237" s="232">
        <v>393</v>
      </c>
      <c r="J237" s="231">
        <v>2573</v>
      </c>
      <c r="K237" s="220">
        <f t="shared" si="6"/>
        <v>3791</v>
      </c>
      <c r="L237" s="231"/>
      <c r="M237" s="232">
        <v>78</v>
      </c>
      <c r="N237" s="232">
        <v>0</v>
      </c>
      <c r="O237" s="231">
        <v>0</v>
      </c>
      <c r="P237" s="220">
        <f t="shared" si="7"/>
        <v>78</v>
      </c>
      <c r="Q237" s="231"/>
      <c r="R237" s="232">
        <v>927</v>
      </c>
      <c r="S237" s="233">
        <v>1194</v>
      </c>
      <c r="T237" s="233">
        <v>2121</v>
      </c>
    </row>
    <row r="238" spans="1:20">
      <c r="A238" s="226">
        <v>92451</v>
      </c>
      <c r="B238" s="227" t="s">
        <v>947</v>
      </c>
      <c r="C238" s="87">
        <v>1.3070000000000001E-4</v>
      </c>
      <c r="D238" s="87">
        <v>1.4559999999999999E-4</v>
      </c>
      <c r="E238" s="231">
        <v>199673</v>
      </c>
      <c r="F238" s="231"/>
      <c r="G238" s="232">
        <v>11503</v>
      </c>
      <c r="H238" s="220">
        <v>48481</v>
      </c>
      <c r="I238" s="232">
        <v>28516</v>
      </c>
      <c r="J238" s="231">
        <v>29255</v>
      </c>
      <c r="K238" s="220">
        <f t="shared" si="6"/>
        <v>117755</v>
      </c>
      <c r="L238" s="231"/>
      <c r="M238" s="232">
        <v>5652</v>
      </c>
      <c r="N238" s="232">
        <v>0</v>
      </c>
      <c r="O238" s="231">
        <v>0</v>
      </c>
      <c r="P238" s="220">
        <f t="shared" si="7"/>
        <v>5652</v>
      </c>
      <c r="Q238" s="231"/>
      <c r="R238" s="232">
        <v>67290</v>
      </c>
      <c r="S238" s="233">
        <v>12363</v>
      </c>
      <c r="T238" s="233">
        <v>79653</v>
      </c>
    </row>
    <row r="239" spans="1:20">
      <c r="A239" s="226">
        <v>92461</v>
      </c>
      <c r="B239" s="227" t="s">
        <v>948</v>
      </c>
      <c r="C239" s="87">
        <v>7.1099999999999994E-5</v>
      </c>
      <c r="D239" s="87">
        <v>7.2999999999999999E-5</v>
      </c>
      <c r="E239" s="231">
        <v>108621</v>
      </c>
      <c r="F239" s="231"/>
      <c r="G239" s="232">
        <v>6258</v>
      </c>
      <c r="H239" s="220">
        <v>26373</v>
      </c>
      <c r="I239" s="232">
        <v>15513</v>
      </c>
      <c r="J239" s="231">
        <v>12982</v>
      </c>
      <c r="K239" s="220">
        <f t="shared" si="6"/>
        <v>61126</v>
      </c>
      <c r="L239" s="231"/>
      <c r="M239" s="232">
        <v>3075</v>
      </c>
      <c r="N239" s="232">
        <v>0</v>
      </c>
      <c r="O239" s="231">
        <v>4965</v>
      </c>
      <c r="P239" s="220">
        <f t="shared" si="7"/>
        <v>8040</v>
      </c>
      <c r="Q239" s="231"/>
      <c r="R239" s="232">
        <v>36605</v>
      </c>
      <c r="S239" s="233">
        <v>1157</v>
      </c>
      <c r="T239" s="233">
        <f>37763-1</f>
        <v>37762</v>
      </c>
    </row>
    <row r="240" spans="1:20">
      <c r="A240" s="226">
        <v>92501</v>
      </c>
      <c r="B240" s="227" t="s">
        <v>949</v>
      </c>
      <c r="C240" s="87">
        <v>3.8252E-3</v>
      </c>
      <c r="D240" s="87">
        <v>3.8141E-3</v>
      </c>
      <c r="E240" s="231">
        <v>5843846</v>
      </c>
      <c r="F240" s="231"/>
      <c r="G240" s="232">
        <v>336660</v>
      </c>
      <c r="H240" s="220">
        <v>1418892</v>
      </c>
      <c r="I240" s="232">
        <v>834582</v>
      </c>
      <c r="J240" s="231">
        <v>137822</v>
      </c>
      <c r="K240" s="220">
        <f t="shared" si="6"/>
        <v>2727956</v>
      </c>
      <c r="L240" s="231"/>
      <c r="M240" s="232">
        <v>165421</v>
      </c>
      <c r="N240" s="232">
        <v>0</v>
      </c>
      <c r="O240" s="231">
        <v>9032</v>
      </c>
      <c r="P240" s="220">
        <f t="shared" si="7"/>
        <v>174453</v>
      </c>
      <c r="Q240" s="231"/>
      <c r="R240" s="232">
        <v>1969381</v>
      </c>
      <c r="S240" s="233">
        <v>45362</v>
      </c>
      <c r="T240" s="233">
        <v>2014743</v>
      </c>
    </row>
    <row r="241" spans="1:20">
      <c r="A241" s="226">
        <v>92502</v>
      </c>
      <c r="B241" s="227" t="s">
        <v>950</v>
      </c>
      <c r="C241" s="87">
        <v>2.7500000000000001E-5</v>
      </c>
      <c r="D241" s="87">
        <v>2.8799999999999999E-5</v>
      </c>
      <c r="E241" s="231">
        <v>42012</v>
      </c>
      <c r="F241" s="231"/>
      <c r="G241" s="232">
        <v>2420</v>
      </c>
      <c r="H241" s="220">
        <v>10201</v>
      </c>
      <c r="I241" s="232">
        <v>6000</v>
      </c>
      <c r="J241" s="231">
        <v>3940</v>
      </c>
      <c r="K241" s="220">
        <f t="shared" si="6"/>
        <v>22561</v>
      </c>
      <c r="L241" s="231"/>
      <c r="M241" s="232">
        <v>1189</v>
      </c>
      <c r="N241" s="232">
        <v>0</v>
      </c>
      <c r="O241" s="231">
        <v>2154</v>
      </c>
      <c r="P241" s="220">
        <f t="shared" si="7"/>
        <v>3343</v>
      </c>
      <c r="Q241" s="231"/>
      <c r="R241" s="232">
        <v>14158</v>
      </c>
      <c r="S241" s="233">
        <v>-13</v>
      </c>
      <c r="T241" s="233">
        <v>14145</v>
      </c>
    </row>
    <row r="242" spans="1:20">
      <c r="A242" s="226">
        <v>92504</v>
      </c>
      <c r="B242" s="227" t="s">
        <v>951</v>
      </c>
      <c r="C242" s="87">
        <v>8.4300000000000003E-5</v>
      </c>
      <c r="D242" s="87">
        <v>7.2799999999999994E-5</v>
      </c>
      <c r="E242" s="231">
        <v>128787</v>
      </c>
      <c r="F242" s="231"/>
      <c r="G242" s="232">
        <v>7419</v>
      </c>
      <c r="H242" s="220">
        <v>31269</v>
      </c>
      <c r="I242" s="232">
        <v>18393</v>
      </c>
      <c r="J242" s="231">
        <v>29049</v>
      </c>
      <c r="K242" s="220">
        <f t="shared" si="6"/>
        <v>86130</v>
      </c>
      <c r="L242" s="231"/>
      <c r="M242" s="232">
        <v>3646</v>
      </c>
      <c r="N242" s="232">
        <v>0</v>
      </c>
      <c r="O242" s="231">
        <v>27</v>
      </c>
      <c r="P242" s="220">
        <f t="shared" si="7"/>
        <v>3673</v>
      </c>
      <c r="Q242" s="231"/>
      <c r="R242" s="232">
        <v>43401</v>
      </c>
      <c r="S242" s="233">
        <v>10026</v>
      </c>
      <c r="T242" s="233">
        <v>53427</v>
      </c>
    </row>
    <row r="243" spans="1:20">
      <c r="A243" s="226">
        <v>92505</v>
      </c>
      <c r="B243" s="227" t="s">
        <v>952</v>
      </c>
      <c r="C243" s="87">
        <v>1.9239999999999999E-4</v>
      </c>
      <c r="D243" s="87">
        <v>1.8709999999999999E-4</v>
      </c>
      <c r="E243" s="231">
        <v>293934</v>
      </c>
      <c r="F243" s="231"/>
      <c r="G243" s="232">
        <v>16933</v>
      </c>
      <c r="H243" s="220">
        <v>71367</v>
      </c>
      <c r="I243" s="232">
        <v>41978</v>
      </c>
      <c r="J243" s="231">
        <v>59108</v>
      </c>
      <c r="K243" s="220">
        <f t="shared" si="6"/>
        <v>189386</v>
      </c>
      <c r="L243" s="231"/>
      <c r="M243" s="232">
        <v>8320</v>
      </c>
      <c r="N243" s="232">
        <v>0</v>
      </c>
      <c r="O243" s="231">
        <v>0</v>
      </c>
      <c r="P243" s="220">
        <f t="shared" si="7"/>
        <v>8320</v>
      </c>
      <c r="Q243" s="231"/>
      <c r="R243" s="232">
        <v>99056</v>
      </c>
      <c r="S243" s="233">
        <v>23320</v>
      </c>
      <c r="T243" s="233">
        <v>122376</v>
      </c>
    </row>
    <row r="244" spans="1:20">
      <c r="A244" s="226">
        <v>92506</v>
      </c>
      <c r="B244" s="227" t="s">
        <v>953</v>
      </c>
      <c r="C244" s="87">
        <v>4.7500000000000003E-5</v>
      </c>
      <c r="D244" s="87">
        <v>4.3699999999999998E-5</v>
      </c>
      <c r="E244" s="231">
        <v>72567</v>
      </c>
      <c r="F244" s="231"/>
      <c r="G244" s="232">
        <v>4181</v>
      </c>
      <c r="H244" s="220">
        <v>17619</v>
      </c>
      <c r="I244" s="232">
        <v>10364</v>
      </c>
      <c r="J244" s="231">
        <v>17893</v>
      </c>
      <c r="K244" s="220">
        <f t="shared" si="6"/>
        <v>50057</v>
      </c>
      <c r="L244" s="231"/>
      <c r="M244" s="232">
        <v>2054</v>
      </c>
      <c r="N244" s="232">
        <v>0</v>
      </c>
      <c r="O244" s="231">
        <v>0</v>
      </c>
      <c r="P244" s="220">
        <f t="shared" si="7"/>
        <v>2054</v>
      </c>
      <c r="Q244" s="231"/>
      <c r="R244" s="232">
        <v>24455</v>
      </c>
      <c r="S244" s="233">
        <v>7399</v>
      </c>
      <c r="T244" s="233">
        <v>31854</v>
      </c>
    </row>
    <row r="245" spans="1:20">
      <c r="A245" s="226">
        <v>92507</v>
      </c>
      <c r="B245" s="227" t="s">
        <v>954</v>
      </c>
      <c r="C245" s="87">
        <v>9.5699999999999995E-5</v>
      </c>
      <c r="D245" s="87">
        <v>7.6799999999999997E-5</v>
      </c>
      <c r="E245" s="231">
        <v>146203</v>
      </c>
      <c r="F245" s="231"/>
      <c r="G245" s="232">
        <v>8423</v>
      </c>
      <c r="H245" s="220">
        <v>35498</v>
      </c>
      <c r="I245" s="232">
        <v>20880</v>
      </c>
      <c r="J245" s="231">
        <v>10349</v>
      </c>
      <c r="K245" s="220">
        <f t="shared" si="6"/>
        <v>75150</v>
      </c>
      <c r="L245" s="231"/>
      <c r="M245" s="232">
        <v>4139</v>
      </c>
      <c r="N245" s="232">
        <v>0</v>
      </c>
      <c r="O245" s="231">
        <v>14283</v>
      </c>
      <c r="P245" s="220">
        <f t="shared" si="7"/>
        <v>18422</v>
      </c>
      <c r="Q245" s="231"/>
      <c r="R245" s="232">
        <v>49271</v>
      </c>
      <c r="S245" s="233">
        <v>-5512</v>
      </c>
      <c r="T245" s="233">
        <f>43758+1</f>
        <v>43759</v>
      </c>
    </row>
    <row r="246" spans="1:20">
      <c r="A246" s="226">
        <v>92508</v>
      </c>
      <c r="B246" s="227" t="s">
        <v>955</v>
      </c>
      <c r="C246" s="87">
        <v>3.1E-4</v>
      </c>
      <c r="D246" s="87">
        <v>3.1930000000000001E-4</v>
      </c>
      <c r="E246" s="231">
        <v>473594</v>
      </c>
      <c r="F246" s="231"/>
      <c r="G246" s="232">
        <v>27283</v>
      </c>
      <c r="H246" s="220">
        <v>114989</v>
      </c>
      <c r="I246" s="232">
        <v>67636</v>
      </c>
      <c r="J246" s="231">
        <v>5884</v>
      </c>
      <c r="K246" s="220">
        <f t="shared" si="6"/>
        <v>215792</v>
      </c>
      <c r="L246" s="231"/>
      <c r="M246" s="232">
        <v>13406</v>
      </c>
      <c r="N246" s="232">
        <v>0</v>
      </c>
      <c r="O246" s="231">
        <v>1407</v>
      </c>
      <c r="P246" s="220">
        <f t="shared" si="7"/>
        <v>14813</v>
      </c>
      <c r="Q246" s="231"/>
      <c r="R246" s="232">
        <v>159602</v>
      </c>
      <c r="S246" s="233">
        <v>3411</v>
      </c>
      <c r="T246" s="233">
        <v>163013</v>
      </c>
    </row>
    <row r="247" spans="1:20">
      <c r="A247" s="226">
        <v>92511</v>
      </c>
      <c r="B247" s="227" t="s">
        <v>956</v>
      </c>
      <c r="C247" s="87">
        <v>3.3240000000000001E-3</v>
      </c>
      <c r="D247" s="87">
        <v>3.4164E-3</v>
      </c>
      <c r="E247" s="231">
        <v>5078151</v>
      </c>
      <c r="F247" s="231"/>
      <c r="G247" s="232">
        <v>292549</v>
      </c>
      <c r="H247" s="220">
        <v>1232981</v>
      </c>
      <c r="I247" s="232">
        <v>725230</v>
      </c>
      <c r="J247" s="231">
        <v>12146</v>
      </c>
      <c r="K247" s="220">
        <f t="shared" si="6"/>
        <v>2262906</v>
      </c>
      <c r="L247" s="231"/>
      <c r="M247" s="232">
        <v>143746</v>
      </c>
      <c r="N247" s="232">
        <v>0</v>
      </c>
      <c r="O247" s="231">
        <v>237633</v>
      </c>
      <c r="P247" s="220">
        <f t="shared" si="7"/>
        <v>381379</v>
      </c>
      <c r="Q247" s="231"/>
      <c r="R247" s="232">
        <v>1711341</v>
      </c>
      <c r="S247" s="233">
        <v>-72839</v>
      </c>
      <c r="T247" s="233">
        <f>1638503-1</f>
        <v>1638502</v>
      </c>
    </row>
    <row r="248" spans="1:20">
      <c r="A248" s="226">
        <v>92513</v>
      </c>
      <c r="B248" s="227" t="s">
        <v>957</v>
      </c>
      <c r="C248" s="87">
        <v>4.0328999999999999E-3</v>
      </c>
      <c r="D248" s="87">
        <v>3.9753000000000002E-3</v>
      </c>
      <c r="E248" s="231">
        <v>6161154</v>
      </c>
      <c r="F248" s="231"/>
      <c r="G248" s="232">
        <v>354940</v>
      </c>
      <c r="H248" s="220">
        <v>1495936</v>
      </c>
      <c r="I248" s="232">
        <v>879898</v>
      </c>
      <c r="J248" s="231">
        <f>1481541+87063+162533</f>
        <v>1731137</v>
      </c>
      <c r="K248" s="220">
        <f t="shared" si="6"/>
        <v>4461911</v>
      </c>
      <c r="L248" s="231"/>
      <c r="M248" s="232">
        <v>174403</v>
      </c>
      <c r="N248" s="232">
        <v>0</v>
      </c>
      <c r="O248" s="231">
        <f>106570+867533+690246</f>
        <v>1664349</v>
      </c>
      <c r="P248" s="220">
        <f t="shared" si="7"/>
        <v>1838752</v>
      </c>
      <c r="Q248" s="231"/>
      <c r="R248" s="232">
        <v>2076314</v>
      </c>
      <c r="S248" s="233">
        <f>491379-223763-102954</f>
        <v>164662</v>
      </c>
      <c r="T248" s="233">
        <f>2567693-223763-102954</f>
        <v>2240976</v>
      </c>
    </row>
    <row r="249" spans="1:20">
      <c r="A249" s="226">
        <v>92521</v>
      </c>
      <c r="B249" s="227" t="s">
        <v>958</v>
      </c>
      <c r="C249" s="87">
        <v>8.6899999999999998E-5</v>
      </c>
      <c r="D249" s="87">
        <v>8.9800000000000001E-5</v>
      </c>
      <c r="E249" s="231">
        <v>132759</v>
      </c>
      <c r="F249" s="231"/>
      <c r="G249" s="232">
        <v>7648</v>
      </c>
      <c r="H249" s="220">
        <v>32235</v>
      </c>
      <c r="I249" s="232">
        <v>18960</v>
      </c>
      <c r="J249" s="231">
        <v>3168</v>
      </c>
      <c r="K249" s="220">
        <f t="shared" si="6"/>
        <v>62011</v>
      </c>
      <c r="L249" s="231"/>
      <c r="M249" s="232">
        <v>3758</v>
      </c>
      <c r="N249" s="232">
        <v>0</v>
      </c>
      <c r="O249" s="231">
        <v>10611</v>
      </c>
      <c r="P249" s="220">
        <f t="shared" si="7"/>
        <v>14369</v>
      </c>
      <c r="Q249" s="231"/>
      <c r="R249" s="232">
        <v>44740</v>
      </c>
      <c r="S249" s="233">
        <v>-2554</v>
      </c>
      <c r="T249" s="233">
        <v>42186</v>
      </c>
    </row>
    <row r="250" spans="1:20">
      <c r="A250" s="226">
        <v>92531</v>
      </c>
      <c r="B250" s="227" t="s">
        <v>959</v>
      </c>
      <c r="C250" s="87">
        <v>8.6490000000000004E-4</v>
      </c>
      <c r="D250" s="87">
        <v>8.3779999999999998E-4</v>
      </c>
      <c r="E250" s="231">
        <v>1321328</v>
      </c>
      <c r="F250" s="231"/>
      <c r="G250" s="232">
        <v>76121</v>
      </c>
      <c r="H250" s="220">
        <v>320820</v>
      </c>
      <c r="I250" s="232">
        <v>188704</v>
      </c>
      <c r="J250" s="231">
        <v>0</v>
      </c>
      <c r="K250" s="220">
        <f t="shared" si="6"/>
        <v>585645</v>
      </c>
      <c r="L250" s="231"/>
      <c r="M250" s="232">
        <v>37403</v>
      </c>
      <c r="N250" s="232">
        <v>0</v>
      </c>
      <c r="O250" s="231">
        <v>124043</v>
      </c>
      <c r="P250" s="220">
        <f t="shared" si="7"/>
        <v>161446</v>
      </c>
      <c r="Q250" s="231"/>
      <c r="R250" s="232">
        <v>445289</v>
      </c>
      <c r="S250" s="233">
        <v>-61397</v>
      </c>
      <c r="T250" s="233">
        <v>383892</v>
      </c>
    </row>
    <row r="251" spans="1:20">
      <c r="A251" s="226">
        <v>92541</v>
      </c>
      <c r="B251" s="227" t="s">
        <v>960</v>
      </c>
      <c r="C251" s="87">
        <v>1.4469999999999999E-4</v>
      </c>
      <c r="D251" s="87">
        <v>1.4300000000000001E-4</v>
      </c>
      <c r="E251" s="231">
        <v>221062</v>
      </c>
      <c r="F251" s="231"/>
      <c r="G251" s="232">
        <v>12735</v>
      </c>
      <c r="H251" s="220">
        <v>53674</v>
      </c>
      <c r="I251" s="232">
        <v>31571</v>
      </c>
      <c r="J251" s="231">
        <v>7292</v>
      </c>
      <c r="K251" s="220">
        <f t="shared" si="6"/>
        <v>105272</v>
      </c>
      <c r="L251" s="231"/>
      <c r="M251" s="232">
        <v>6258</v>
      </c>
      <c r="N251" s="232">
        <v>0</v>
      </c>
      <c r="O251" s="231">
        <v>7300</v>
      </c>
      <c r="P251" s="220">
        <f t="shared" si="7"/>
        <v>13558</v>
      </c>
      <c r="Q251" s="231"/>
      <c r="R251" s="232">
        <v>74498</v>
      </c>
      <c r="S251" s="233">
        <v>2019</v>
      </c>
      <c r="T251" s="233">
        <v>76517</v>
      </c>
    </row>
    <row r="252" spans="1:20">
      <c r="A252" s="226">
        <v>92551</v>
      </c>
      <c r="B252" s="227" t="s">
        <v>961</v>
      </c>
      <c r="C252" s="87">
        <v>5.3300000000000001E-5</v>
      </c>
      <c r="D252" s="87">
        <v>4.18E-5</v>
      </c>
      <c r="E252" s="231">
        <v>81428</v>
      </c>
      <c r="F252" s="231"/>
      <c r="G252" s="232">
        <v>4691</v>
      </c>
      <c r="H252" s="220">
        <v>19771</v>
      </c>
      <c r="I252" s="232">
        <v>11629</v>
      </c>
      <c r="J252" s="231">
        <v>7529</v>
      </c>
      <c r="K252" s="220">
        <f t="shared" si="6"/>
        <v>43620</v>
      </c>
      <c r="L252" s="231"/>
      <c r="M252" s="232">
        <v>2305</v>
      </c>
      <c r="N252" s="232">
        <v>0</v>
      </c>
      <c r="O252" s="231">
        <v>8359</v>
      </c>
      <c r="P252" s="220">
        <f t="shared" si="7"/>
        <v>10664</v>
      </c>
      <c r="Q252" s="231"/>
      <c r="R252" s="232">
        <v>27441</v>
      </c>
      <c r="S252" s="233">
        <v>961</v>
      </c>
      <c r="T252" s="233">
        <v>28402</v>
      </c>
    </row>
    <row r="253" spans="1:20">
      <c r="A253" s="226">
        <v>92561</v>
      </c>
      <c r="B253" s="227" t="s">
        <v>962</v>
      </c>
      <c r="C253" s="87">
        <v>2.2200000000000001E-5</v>
      </c>
      <c r="D253" s="87">
        <v>2.2900000000000001E-5</v>
      </c>
      <c r="E253" s="231">
        <v>33915</v>
      </c>
      <c r="F253" s="231"/>
      <c r="G253" s="232">
        <v>1954</v>
      </c>
      <c r="H253" s="220">
        <v>8235</v>
      </c>
      <c r="I253" s="232">
        <v>4844</v>
      </c>
      <c r="J253" s="231">
        <v>5369</v>
      </c>
      <c r="K253" s="220">
        <f t="shared" si="6"/>
        <v>20402</v>
      </c>
      <c r="L253" s="231"/>
      <c r="M253" s="232">
        <v>960</v>
      </c>
      <c r="N253" s="232">
        <v>0</v>
      </c>
      <c r="O253" s="231">
        <v>0</v>
      </c>
      <c r="P253" s="220">
        <f t="shared" si="7"/>
        <v>960</v>
      </c>
      <c r="Q253" s="231"/>
      <c r="R253" s="232">
        <v>11430</v>
      </c>
      <c r="S253" s="233">
        <v>2639</v>
      </c>
      <c r="T253" s="233">
        <f>14068+1</f>
        <v>14069</v>
      </c>
    </row>
    <row r="254" spans="1:20">
      <c r="A254" s="226">
        <v>92571</v>
      </c>
      <c r="B254" s="227" t="s">
        <v>963</v>
      </c>
      <c r="C254" s="87">
        <v>1.01E-5</v>
      </c>
      <c r="D254" s="87">
        <v>3.1E-6</v>
      </c>
      <c r="E254" s="231">
        <v>15430</v>
      </c>
      <c r="F254" s="231"/>
      <c r="G254" s="232">
        <v>889</v>
      </c>
      <c r="H254" s="220">
        <v>3746</v>
      </c>
      <c r="I254" s="232">
        <v>2204</v>
      </c>
      <c r="J254" s="231">
        <v>9367</v>
      </c>
      <c r="K254" s="220">
        <f t="shared" si="6"/>
        <v>16206</v>
      </c>
      <c r="L254" s="231"/>
      <c r="M254" s="232">
        <v>437</v>
      </c>
      <c r="N254" s="232">
        <v>0</v>
      </c>
      <c r="O254" s="231">
        <v>100</v>
      </c>
      <c r="P254" s="220">
        <f t="shared" si="7"/>
        <v>537</v>
      </c>
      <c r="Q254" s="231"/>
      <c r="R254" s="232">
        <v>5200</v>
      </c>
      <c r="S254" s="233">
        <v>2687</v>
      </c>
      <c r="T254" s="233">
        <v>7887</v>
      </c>
    </row>
    <row r="255" spans="1:20">
      <c r="A255" s="226">
        <v>92601</v>
      </c>
      <c r="B255" s="227" t="s">
        <v>964</v>
      </c>
      <c r="C255" s="87">
        <v>1.51874E-2</v>
      </c>
      <c r="D255" s="87">
        <v>1.54185E-2</v>
      </c>
      <c r="E255" s="231">
        <v>23202140</v>
      </c>
      <c r="F255" s="231"/>
      <c r="G255" s="232">
        <v>1336658</v>
      </c>
      <c r="H255" s="220">
        <v>5633508</v>
      </c>
      <c r="I255" s="232">
        <v>3313587</v>
      </c>
      <c r="J255" s="231">
        <v>134811</v>
      </c>
      <c r="K255" s="220">
        <f t="shared" si="6"/>
        <v>10418564</v>
      </c>
      <c r="L255" s="231"/>
      <c r="M255" s="232">
        <v>656779</v>
      </c>
      <c r="N255" s="232">
        <v>0</v>
      </c>
      <c r="O255" s="231">
        <v>46060</v>
      </c>
      <c r="P255" s="220">
        <f t="shared" si="7"/>
        <v>702839</v>
      </c>
      <c r="Q255" s="231"/>
      <c r="R255" s="232">
        <v>7819142</v>
      </c>
      <c r="S255" s="233">
        <v>112074</v>
      </c>
      <c r="T255" s="233">
        <f>7931215+1</f>
        <v>7931216</v>
      </c>
    </row>
    <row r="256" spans="1:20">
      <c r="A256" s="226">
        <v>92602</v>
      </c>
      <c r="B256" s="227" t="s">
        <v>965</v>
      </c>
      <c r="C256" s="87">
        <v>8.3000000000000002E-6</v>
      </c>
      <c r="D256" s="87">
        <v>8.1999999999999994E-6</v>
      </c>
      <c r="E256" s="231">
        <v>12680</v>
      </c>
      <c r="F256" s="231"/>
      <c r="G256" s="232">
        <v>730</v>
      </c>
      <c r="H256" s="220">
        <v>3079</v>
      </c>
      <c r="I256" s="232">
        <v>1811</v>
      </c>
      <c r="J256" s="231">
        <v>352</v>
      </c>
      <c r="K256" s="220">
        <f t="shared" si="6"/>
        <v>5972</v>
      </c>
      <c r="L256" s="231"/>
      <c r="M256" s="232">
        <v>359</v>
      </c>
      <c r="N256" s="232">
        <v>0</v>
      </c>
      <c r="O256" s="231">
        <v>927</v>
      </c>
      <c r="P256" s="220">
        <f t="shared" si="7"/>
        <v>1286</v>
      </c>
      <c r="Q256" s="231"/>
      <c r="R256" s="232">
        <v>4273</v>
      </c>
      <c r="S256" s="233">
        <v>-99</v>
      </c>
      <c r="T256" s="233">
        <v>4174</v>
      </c>
    </row>
    <row r="257" spans="1:20">
      <c r="A257" s="226">
        <v>92604</v>
      </c>
      <c r="B257" s="227" t="s">
        <v>966</v>
      </c>
      <c r="C257" s="87">
        <v>3.4099999999999999E-4</v>
      </c>
      <c r="D257" s="87">
        <v>3.4380000000000001E-4</v>
      </c>
      <c r="E257" s="231">
        <v>520954</v>
      </c>
      <c r="F257" s="231"/>
      <c r="G257" s="232">
        <v>30012</v>
      </c>
      <c r="H257" s="220">
        <v>126488</v>
      </c>
      <c r="I257" s="232">
        <v>74399</v>
      </c>
      <c r="J257" s="231">
        <v>52760</v>
      </c>
      <c r="K257" s="220">
        <f t="shared" si="6"/>
        <v>283659</v>
      </c>
      <c r="L257" s="231"/>
      <c r="M257" s="232">
        <v>14747</v>
      </c>
      <c r="N257" s="232">
        <v>0</v>
      </c>
      <c r="O257" s="231">
        <v>0</v>
      </c>
      <c r="P257" s="220">
        <f t="shared" si="7"/>
        <v>14747</v>
      </c>
      <c r="Q257" s="231"/>
      <c r="R257" s="232">
        <v>175562</v>
      </c>
      <c r="S257" s="233">
        <v>23975</v>
      </c>
      <c r="T257" s="233">
        <v>199537</v>
      </c>
    </row>
    <row r="258" spans="1:20">
      <c r="A258" s="226">
        <v>92607</v>
      </c>
      <c r="B258" s="227" t="s">
        <v>967</v>
      </c>
      <c r="C258" s="87">
        <v>6.6400000000000001E-5</v>
      </c>
      <c r="D258" s="87">
        <v>7.0400000000000004E-5</v>
      </c>
      <c r="E258" s="231">
        <v>101441</v>
      </c>
      <c r="F258" s="231"/>
      <c r="G258" s="232">
        <v>5844</v>
      </c>
      <c r="H258" s="220">
        <v>24630</v>
      </c>
      <c r="I258" s="232">
        <v>14487</v>
      </c>
      <c r="J258" s="231">
        <v>9416</v>
      </c>
      <c r="K258" s="220">
        <f t="shared" si="6"/>
        <v>54377</v>
      </c>
      <c r="L258" s="231"/>
      <c r="M258" s="232">
        <v>2871</v>
      </c>
      <c r="N258" s="232">
        <v>0</v>
      </c>
      <c r="O258" s="231">
        <v>0</v>
      </c>
      <c r="P258" s="220">
        <f t="shared" si="7"/>
        <v>2871</v>
      </c>
      <c r="Q258" s="231"/>
      <c r="R258" s="232">
        <v>34186</v>
      </c>
      <c r="S258" s="233">
        <v>4781</v>
      </c>
      <c r="T258" s="233">
        <f>38966+1</f>
        <v>38967</v>
      </c>
    </row>
    <row r="259" spans="1:20">
      <c r="A259" s="226">
        <v>92608</v>
      </c>
      <c r="B259" s="227" t="s">
        <v>968</v>
      </c>
      <c r="C259" s="87">
        <v>0</v>
      </c>
      <c r="D259" s="87">
        <v>0</v>
      </c>
      <c r="E259" s="231">
        <v>0</v>
      </c>
      <c r="F259" s="231"/>
      <c r="G259" s="232">
        <v>0</v>
      </c>
      <c r="H259" s="220">
        <v>0</v>
      </c>
      <c r="I259" s="232">
        <v>0</v>
      </c>
      <c r="J259" s="231">
        <v>0</v>
      </c>
      <c r="K259" s="220">
        <f t="shared" si="6"/>
        <v>0</v>
      </c>
      <c r="L259" s="231"/>
      <c r="M259" s="232">
        <v>0</v>
      </c>
      <c r="N259" s="232">
        <v>0</v>
      </c>
      <c r="O259" s="231">
        <v>69935</v>
      </c>
      <c r="P259" s="220">
        <f t="shared" si="7"/>
        <v>69935</v>
      </c>
      <c r="Q259" s="231"/>
      <c r="R259" s="232">
        <v>0</v>
      </c>
      <c r="S259" s="233">
        <v>-69872</v>
      </c>
      <c r="T259" s="233">
        <v>-69872</v>
      </c>
    </row>
    <row r="260" spans="1:20">
      <c r="A260" s="226">
        <v>92611</v>
      </c>
      <c r="B260" s="227" t="s">
        <v>969</v>
      </c>
      <c r="C260" s="87">
        <v>1.3080899999999999E-2</v>
      </c>
      <c r="D260" s="87">
        <v>1.3650799999999999E-2</v>
      </c>
      <c r="E260" s="231">
        <v>19983992</v>
      </c>
      <c r="F260" s="231"/>
      <c r="G260" s="232">
        <v>1151263</v>
      </c>
      <c r="H260" s="220">
        <v>4852137</v>
      </c>
      <c r="I260" s="232">
        <v>2853991</v>
      </c>
      <c r="J260" s="231">
        <v>10109</v>
      </c>
      <c r="K260" s="220">
        <f t="shared" si="6"/>
        <v>8867500</v>
      </c>
      <c r="L260" s="231"/>
      <c r="M260" s="232">
        <v>565684</v>
      </c>
      <c r="N260" s="232">
        <v>0</v>
      </c>
      <c r="O260" s="231">
        <v>976593</v>
      </c>
      <c r="P260" s="220">
        <f t="shared" si="7"/>
        <v>1542277</v>
      </c>
      <c r="Q260" s="231"/>
      <c r="R260" s="232">
        <v>6734623</v>
      </c>
      <c r="S260" s="233">
        <v>-313138</v>
      </c>
      <c r="T260" s="233">
        <v>6421485</v>
      </c>
    </row>
    <row r="261" spans="1:20">
      <c r="A261" s="226">
        <v>92613</v>
      </c>
      <c r="B261" s="227" t="s">
        <v>970</v>
      </c>
      <c r="C261" s="87">
        <v>2.6439999999999998E-4</v>
      </c>
      <c r="D261" s="87">
        <v>2.81E-4</v>
      </c>
      <c r="E261" s="231">
        <v>403930</v>
      </c>
      <c r="F261" s="231"/>
      <c r="G261" s="232">
        <v>23270</v>
      </c>
      <c r="H261" s="220">
        <v>98075</v>
      </c>
      <c r="I261" s="232">
        <v>57687</v>
      </c>
      <c r="J261" s="231">
        <v>84489</v>
      </c>
      <c r="K261" s="220">
        <f t="shared" si="6"/>
        <v>263521</v>
      </c>
      <c r="L261" s="231"/>
      <c r="M261" s="232">
        <v>11434</v>
      </c>
      <c r="N261" s="232">
        <v>0</v>
      </c>
      <c r="O261" s="231">
        <v>941</v>
      </c>
      <c r="P261" s="220">
        <f t="shared" si="7"/>
        <v>12375</v>
      </c>
      <c r="Q261" s="231"/>
      <c r="R261" s="232">
        <v>136125</v>
      </c>
      <c r="S261" s="233">
        <v>41506</v>
      </c>
      <c r="T261" s="233">
        <v>177631</v>
      </c>
    </row>
    <row r="262" spans="1:20">
      <c r="A262" s="226">
        <v>92614</v>
      </c>
      <c r="B262" s="227" t="s">
        <v>971</v>
      </c>
      <c r="C262" s="87">
        <v>5.7273000000000003E-3</v>
      </c>
      <c r="D262" s="87">
        <v>5.6468000000000004E-3</v>
      </c>
      <c r="E262" s="231">
        <v>8749728</v>
      </c>
      <c r="F262" s="231"/>
      <c r="G262" s="232">
        <v>504065</v>
      </c>
      <c r="H262" s="220">
        <v>2124444</v>
      </c>
      <c r="I262" s="232">
        <v>1249582</v>
      </c>
      <c r="J262" s="231">
        <v>3908054</v>
      </c>
      <c r="K262" s="220">
        <f t="shared" si="6"/>
        <v>7786145</v>
      </c>
      <c r="L262" s="231"/>
      <c r="M262" s="232">
        <v>247677</v>
      </c>
      <c r="N262" s="232">
        <v>0</v>
      </c>
      <c r="O262" s="231">
        <v>0</v>
      </c>
      <c r="P262" s="220">
        <f t="shared" si="7"/>
        <v>247677</v>
      </c>
      <c r="Q262" s="231"/>
      <c r="R262" s="232">
        <v>2948666</v>
      </c>
      <c r="S262" s="233">
        <v>1416067</v>
      </c>
      <c r="T262" s="233">
        <v>4364733</v>
      </c>
    </row>
    <row r="263" spans="1:20">
      <c r="A263" s="226">
        <v>92621</v>
      </c>
      <c r="B263" s="227" t="s">
        <v>972</v>
      </c>
      <c r="C263" s="87">
        <v>2.72E-5</v>
      </c>
      <c r="D263" s="87">
        <v>3.2799999999999998E-5</v>
      </c>
      <c r="E263" s="231">
        <v>41554</v>
      </c>
      <c r="F263" s="231"/>
      <c r="G263" s="232">
        <v>2394</v>
      </c>
      <c r="H263" s="220">
        <v>10089</v>
      </c>
      <c r="I263" s="232">
        <v>5934</v>
      </c>
      <c r="J263" s="231">
        <v>872</v>
      </c>
      <c r="K263" s="220">
        <f t="shared" si="6"/>
        <v>19289</v>
      </c>
      <c r="L263" s="231"/>
      <c r="M263" s="232">
        <v>1176</v>
      </c>
      <c r="N263" s="232">
        <v>0</v>
      </c>
      <c r="O263" s="231">
        <v>6521</v>
      </c>
      <c r="P263" s="220">
        <f t="shared" si="7"/>
        <v>7697</v>
      </c>
      <c r="Q263" s="231"/>
      <c r="R263" s="232">
        <v>14004</v>
      </c>
      <c r="S263" s="233">
        <v>-1988</v>
      </c>
      <c r="T263" s="233">
        <v>12016</v>
      </c>
    </row>
    <row r="264" spans="1:20">
      <c r="A264" s="226">
        <v>92631</v>
      </c>
      <c r="B264" s="227" t="s">
        <v>973</v>
      </c>
      <c r="C264" s="87">
        <v>9.2710000000000004E-4</v>
      </c>
      <c r="D264" s="87">
        <v>1.0068E-3</v>
      </c>
      <c r="E264" s="231">
        <v>1416352</v>
      </c>
      <c r="F264" s="231"/>
      <c r="G264" s="232">
        <v>81595</v>
      </c>
      <c r="H264" s="220">
        <v>343892</v>
      </c>
      <c r="I264" s="232">
        <v>202275</v>
      </c>
      <c r="J264" s="231">
        <v>0</v>
      </c>
      <c r="K264" s="220">
        <f t="shared" si="6"/>
        <v>627762</v>
      </c>
      <c r="L264" s="231"/>
      <c r="M264" s="232">
        <v>40092</v>
      </c>
      <c r="N264" s="232">
        <v>0</v>
      </c>
      <c r="O264" s="231">
        <v>146834</v>
      </c>
      <c r="P264" s="220">
        <f t="shared" si="7"/>
        <v>186926</v>
      </c>
      <c r="Q264" s="231"/>
      <c r="R264" s="232">
        <v>477312</v>
      </c>
      <c r="S264" s="233">
        <v>-49734</v>
      </c>
      <c r="T264" s="233">
        <v>427578</v>
      </c>
    </row>
    <row r="265" spans="1:20">
      <c r="A265" s="226">
        <v>92641</v>
      </c>
      <c r="B265" s="227" t="s">
        <v>974</v>
      </c>
      <c r="C265" s="87">
        <v>1.0200000000000001E-5</v>
      </c>
      <c r="D265" s="87">
        <v>1.03E-5</v>
      </c>
      <c r="E265" s="231">
        <v>15583</v>
      </c>
      <c r="F265" s="231"/>
      <c r="G265" s="232">
        <v>898</v>
      </c>
      <c r="H265" s="220">
        <v>3784</v>
      </c>
      <c r="I265" s="232">
        <v>2225</v>
      </c>
      <c r="J265" s="231">
        <v>2556</v>
      </c>
      <c r="K265" s="220">
        <f t="shared" ref="K265:K328" si="8">G265+H265+I265+J265</f>
        <v>9463</v>
      </c>
      <c r="L265" s="231"/>
      <c r="M265" s="232">
        <v>441</v>
      </c>
      <c r="N265" s="232">
        <v>0</v>
      </c>
      <c r="O265" s="231">
        <v>945</v>
      </c>
      <c r="P265" s="220">
        <f t="shared" ref="P265:P328" si="9">M265+N265+O265</f>
        <v>1386</v>
      </c>
      <c r="Q265" s="231"/>
      <c r="R265" s="232">
        <v>5251</v>
      </c>
      <c r="S265" s="233">
        <v>173</v>
      </c>
      <c r="T265" s="233">
        <v>5424</v>
      </c>
    </row>
    <row r="266" spans="1:20">
      <c r="A266" s="226">
        <v>92651</v>
      </c>
      <c r="B266" s="227" t="s">
        <v>975</v>
      </c>
      <c r="C266" s="87">
        <v>2.6000000000000001E-6</v>
      </c>
      <c r="D266" s="87">
        <v>2.6000000000000001E-6</v>
      </c>
      <c r="E266" s="231">
        <v>3972</v>
      </c>
      <c r="F266" s="231"/>
      <c r="G266" s="232">
        <v>229</v>
      </c>
      <c r="H266" s="220">
        <v>964</v>
      </c>
      <c r="I266" s="232">
        <v>567</v>
      </c>
      <c r="J266" s="231">
        <v>3432</v>
      </c>
      <c r="K266" s="220">
        <f t="shared" si="8"/>
        <v>5192</v>
      </c>
      <c r="L266" s="231"/>
      <c r="M266" s="232">
        <v>112</v>
      </c>
      <c r="N266" s="232">
        <v>0</v>
      </c>
      <c r="O266" s="231">
        <v>0</v>
      </c>
      <c r="P266" s="220">
        <f t="shared" si="9"/>
        <v>112</v>
      </c>
      <c r="Q266" s="231"/>
      <c r="R266" s="232">
        <v>1339</v>
      </c>
      <c r="S266" s="233">
        <v>1345</v>
      </c>
      <c r="T266" s="233">
        <f>2683+1</f>
        <v>2684</v>
      </c>
    </row>
    <row r="267" spans="1:20">
      <c r="A267" s="226">
        <v>92661</v>
      </c>
      <c r="B267" s="227" t="s">
        <v>976</v>
      </c>
      <c r="C267" s="87">
        <v>6.9999999999999999E-4</v>
      </c>
      <c r="D267" s="87">
        <v>6.6299999999999996E-4</v>
      </c>
      <c r="E267" s="231">
        <v>1069406</v>
      </c>
      <c r="F267" s="231"/>
      <c r="G267" s="232">
        <v>61608</v>
      </c>
      <c r="H267" s="220">
        <v>259653</v>
      </c>
      <c r="I267" s="232">
        <v>152726</v>
      </c>
      <c r="J267" s="231">
        <v>446841</v>
      </c>
      <c r="K267" s="220">
        <f t="shared" si="8"/>
        <v>920828</v>
      </c>
      <c r="L267" s="231"/>
      <c r="M267" s="232">
        <v>30272</v>
      </c>
      <c r="N267" s="232">
        <v>0</v>
      </c>
      <c r="O267" s="231">
        <v>16877</v>
      </c>
      <c r="P267" s="220">
        <f t="shared" si="9"/>
        <v>47149</v>
      </c>
      <c r="Q267" s="231"/>
      <c r="R267" s="232">
        <v>360391</v>
      </c>
      <c r="S267" s="233">
        <v>130287</v>
      </c>
      <c r="T267" s="233">
        <v>490678</v>
      </c>
    </row>
    <row r="268" spans="1:20">
      <c r="A268" s="226">
        <v>92671</v>
      </c>
      <c r="B268" s="227" t="s">
        <v>977</v>
      </c>
      <c r="C268" s="87">
        <v>2.6000000000000001E-6</v>
      </c>
      <c r="D268" s="87">
        <v>2.9000000000000002E-6</v>
      </c>
      <c r="E268" s="231">
        <v>3972</v>
      </c>
      <c r="F268" s="231"/>
      <c r="G268" s="232">
        <v>229</v>
      </c>
      <c r="H268" s="220">
        <v>964</v>
      </c>
      <c r="I268" s="232">
        <v>567</v>
      </c>
      <c r="J268" s="231">
        <v>6237</v>
      </c>
      <c r="K268" s="220">
        <f t="shared" si="8"/>
        <v>7997</v>
      </c>
      <c r="L268" s="231"/>
      <c r="M268" s="232">
        <v>112</v>
      </c>
      <c r="N268" s="232">
        <v>0</v>
      </c>
      <c r="O268" s="231">
        <v>0</v>
      </c>
      <c r="P268" s="220">
        <f t="shared" si="9"/>
        <v>112</v>
      </c>
      <c r="Q268" s="231"/>
      <c r="R268" s="232">
        <v>1339</v>
      </c>
      <c r="S268" s="233">
        <v>2205</v>
      </c>
      <c r="T268" s="233">
        <f>3543+1</f>
        <v>3544</v>
      </c>
    </row>
    <row r="269" spans="1:20">
      <c r="A269" s="226">
        <v>92681</v>
      </c>
      <c r="B269" s="227" t="s">
        <v>978</v>
      </c>
      <c r="C269" s="87">
        <v>1.17E-5</v>
      </c>
      <c r="D269" s="87">
        <v>1.01E-5</v>
      </c>
      <c r="E269" s="231">
        <v>17874</v>
      </c>
      <c r="F269" s="231"/>
      <c r="G269" s="232">
        <v>1030</v>
      </c>
      <c r="H269" s="220">
        <v>4340</v>
      </c>
      <c r="I269" s="232">
        <v>2553</v>
      </c>
      <c r="J269" s="231">
        <v>13621</v>
      </c>
      <c r="K269" s="220">
        <f t="shared" si="8"/>
        <v>21544</v>
      </c>
      <c r="L269" s="231"/>
      <c r="M269" s="232">
        <v>506</v>
      </c>
      <c r="N269" s="232">
        <v>0</v>
      </c>
      <c r="O269" s="231">
        <v>0</v>
      </c>
      <c r="P269" s="220">
        <f t="shared" si="9"/>
        <v>506</v>
      </c>
      <c r="Q269" s="231"/>
      <c r="R269" s="232">
        <v>6024</v>
      </c>
      <c r="S269" s="233">
        <v>4960</v>
      </c>
      <c r="T269" s="233">
        <v>10984</v>
      </c>
    </row>
    <row r="270" spans="1:20">
      <c r="A270" s="226">
        <v>92701</v>
      </c>
      <c r="B270" s="227" t="s">
        <v>979</v>
      </c>
      <c r="C270" s="87">
        <v>3.0777000000000001E-3</v>
      </c>
      <c r="D270" s="87">
        <v>2.9588000000000001E-3</v>
      </c>
      <c r="E270" s="231">
        <v>4701873</v>
      </c>
      <c r="F270" s="231"/>
      <c r="G270" s="232">
        <v>270871</v>
      </c>
      <c r="H270" s="220">
        <v>1141620</v>
      </c>
      <c r="I270" s="232">
        <v>671493</v>
      </c>
      <c r="J270" s="231">
        <v>48990</v>
      </c>
      <c r="K270" s="220">
        <f t="shared" si="8"/>
        <v>2132974</v>
      </c>
      <c r="L270" s="231"/>
      <c r="M270" s="232">
        <v>133095</v>
      </c>
      <c r="N270" s="232">
        <v>0</v>
      </c>
      <c r="O270" s="231">
        <v>42924</v>
      </c>
      <c r="P270" s="220">
        <f t="shared" si="9"/>
        <v>176019</v>
      </c>
      <c r="Q270" s="231"/>
      <c r="R270" s="232">
        <v>1584535</v>
      </c>
      <c r="S270" s="233">
        <v>-25139</v>
      </c>
      <c r="T270" s="233">
        <f>1559397-1</f>
        <v>1559396</v>
      </c>
    </row>
    <row r="271" spans="1:20">
      <c r="A271" s="226">
        <v>92704</v>
      </c>
      <c r="B271" s="227" t="s">
        <v>980</v>
      </c>
      <c r="C271" s="87">
        <v>4.1600000000000002E-5</v>
      </c>
      <c r="D271" s="87">
        <v>4.7700000000000001E-5</v>
      </c>
      <c r="E271" s="231">
        <v>63553</v>
      </c>
      <c r="F271" s="231"/>
      <c r="G271" s="232">
        <v>3661</v>
      </c>
      <c r="H271" s="220">
        <v>15431</v>
      </c>
      <c r="I271" s="232">
        <v>9076</v>
      </c>
      <c r="J271" s="231">
        <v>1560</v>
      </c>
      <c r="K271" s="220">
        <f t="shared" si="8"/>
        <v>29728</v>
      </c>
      <c r="L271" s="231"/>
      <c r="M271" s="232">
        <v>1799</v>
      </c>
      <c r="N271" s="232">
        <v>0</v>
      </c>
      <c r="O271" s="231">
        <v>5674</v>
      </c>
      <c r="P271" s="220">
        <f t="shared" si="9"/>
        <v>7473</v>
      </c>
      <c r="Q271" s="231"/>
      <c r="R271" s="232">
        <v>21418</v>
      </c>
      <c r="S271" s="233">
        <v>-706</v>
      </c>
      <c r="T271" s="233">
        <f>20711+1</f>
        <v>20712</v>
      </c>
    </row>
    <row r="272" spans="1:20">
      <c r="A272" s="226">
        <v>92801</v>
      </c>
      <c r="B272" s="227" t="s">
        <v>981</v>
      </c>
      <c r="C272" s="87">
        <v>5.0951E-3</v>
      </c>
      <c r="D272" s="87">
        <v>5.1701000000000004E-3</v>
      </c>
      <c r="E272" s="231">
        <v>7783901</v>
      </c>
      <c r="F272" s="231"/>
      <c r="G272" s="232">
        <v>448425</v>
      </c>
      <c r="H272" s="220">
        <v>1889940</v>
      </c>
      <c r="I272" s="232">
        <v>1111649</v>
      </c>
      <c r="J272" s="231">
        <v>152907</v>
      </c>
      <c r="K272" s="220">
        <f t="shared" si="8"/>
        <v>3602921</v>
      </c>
      <c r="L272" s="231"/>
      <c r="M272" s="232">
        <v>220338</v>
      </c>
      <c r="N272" s="232">
        <v>0</v>
      </c>
      <c r="O272" s="231">
        <v>0</v>
      </c>
      <c r="P272" s="220">
        <f t="shared" si="9"/>
        <v>220338</v>
      </c>
      <c r="Q272" s="231"/>
      <c r="R272" s="232">
        <v>2623182</v>
      </c>
      <c r="S272" s="233">
        <v>81450</v>
      </c>
      <c r="T272" s="233">
        <f>2704631+1</f>
        <v>2704632</v>
      </c>
    </row>
    <row r="273" spans="1:20">
      <c r="A273" s="226">
        <v>92802</v>
      </c>
      <c r="B273" s="227" t="s">
        <v>982</v>
      </c>
      <c r="C273" s="87">
        <v>1.2970000000000001E-4</v>
      </c>
      <c r="D273" s="87">
        <v>1.3410000000000001E-4</v>
      </c>
      <c r="E273" s="231">
        <v>198146</v>
      </c>
      <c r="F273" s="231"/>
      <c r="G273" s="232">
        <v>11415</v>
      </c>
      <c r="H273" s="220">
        <v>48110</v>
      </c>
      <c r="I273" s="232">
        <v>28298</v>
      </c>
      <c r="J273" s="231">
        <v>0</v>
      </c>
      <c r="K273" s="220">
        <f t="shared" si="8"/>
        <v>87823</v>
      </c>
      <c r="L273" s="231"/>
      <c r="M273" s="232">
        <v>5609</v>
      </c>
      <c r="N273" s="232">
        <v>0</v>
      </c>
      <c r="O273" s="231">
        <v>17517</v>
      </c>
      <c r="P273" s="220">
        <f t="shared" si="9"/>
        <v>23126</v>
      </c>
      <c r="Q273" s="231"/>
      <c r="R273" s="232">
        <v>66775</v>
      </c>
      <c r="S273" s="233">
        <v>-6938</v>
      </c>
      <c r="T273" s="233">
        <v>59837</v>
      </c>
    </row>
    <row r="274" spans="1:20">
      <c r="A274" s="226">
        <v>92804</v>
      </c>
      <c r="B274" s="227" t="s">
        <v>983</v>
      </c>
      <c r="C274" s="87">
        <v>1.36E-4</v>
      </c>
      <c r="D274" s="87">
        <v>1.47E-4</v>
      </c>
      <c r="E274" s="231">
        <v>207770</v>
      </c>
      <c r="F274" s="231"/>
      <c r="G274" s="232">
        <v>11969</v>
      </c>
      <c r="H274" s="220">
        <v>50447</v>
      </c>
      <c r="I274" s="232">
        <v>29672</v>
      </c>
      <c r="J274" s="231">
        <v>8730</v>
      </c>
      <c r="K274" s="220">
        <f t="shared" si="8"/>
        <v>100818</v>
      </c>
      <c r="L274" s="231"/>
      <c r="M274" s="232">
        <v>5881</v>
      </c>
      <c r="N274" s="232">
        <v>0</v>
      </c>
      <c r="O274" s="231">
        <v>12427</v>
      </c>
      <c r="P274" s="220">
        <f t="shared" si="9"/>
        <v>18308</v>
      </c>
      <c r="Q274" s="231"/>
      <c r="R274" s="232">
        <v>70019</v>
      </c>
      <c r="S274" s="233">
        <v>-172</v>
      </c>
      <c r="T274" s="233">
        <v>69847</v>
      </c>
    </row>
    <row r="275" spans="1:20">
      <c r="A275" s="226">
        <v>92811</v>
      </c>
      <c r="B275" s="227" t="s">
        <v>984</v>
      </c>
      <c r="C275" s="87">
        <v>1.0036000000000001E-3</v>
      </c>
      <c r="D275" s="87">
        <v>9.8569999999999994E-4</v>
      </c>
      <c r="E275" s="231">
        <v>1533223</v>
      </c>
      <c r="F275" s="231"/>
      <c r="G275" s="232">
        <v>88328</v>
      </c>
      <c r="H275" s="220">
        <v>372269</v>
      </c>
      <c r="I275" s="232">
        <v>218965</v>
      </c>
      <c r="J275" s="231">
        <v>0</v>
      </c>
      <c r="K275" s="220">
        <f t="shared" si="8"/>
        <v>679562</v>
      </c>
      <c r="L275" s="231"/>
      <c r="M275" s="232">
        <v>43401</v>
      </c>
      <c r="N275" s="232">
        <v>0</v>
      </c>
      <c r="O275" s="231">
        <v>85272</v>
      </c>
      <c r="P275" s="220">
        <f t="shared" si="9"/>
        <v>128673</v>
      </c>
      <c r="Q275" s="231"/>
      <c r="R275" s="232">
        <v>516697</v>
      </c>
      <c r="S275" s="233">
        <v>-36667</v>
      </c>
      <c r="T275" s="233">
        <v>480030</v>
      </c>
    </row>
    <row r="276" spans="1:20">
      <c r="A276" s="226">
        <v>92821</v>
      </c>
      <c r="B276" s="227" t="s">
        <v>985</v>
      </c>
      <c r="C276" s="87">
        <v>9.9400000000000009E-4</v>
      </c>
      <c r="D276" s="87">
        <v>1.0139999999999999E-3</v>
      </c>
      <c r="E276" s="231">
        <v>1518557</v>
      </c>
      <c r="F276" s="231"/>
      <c r="G276" s="232">
        <v>87483</v>
      </c>
      <c r="H276" s="220">
        <v>368707</v>
      </c>
      <c r="I276" s="232">
        <v>216871</v>
      </c>
      <c r="J276" s="231">
        <v>24870</v>
      </c>
      <c r="K276" s="220">
        <f t="shared" si="8"/>
        <v>697931</v>
      </c>
      <c r="L276" s="231"/>
      <c r="M276" s="232">
        <v>42986</v>
      </c>
      <c r="N276" s="232">
        <v>0</v>
      </c>
      <c r="O276" s="231">
        <v>0</v>
      </c>
      <c r="P276" s="220">
        <f t="shared" si="9"/>
        <v>42986</v>
      </c>
      <c r="Q276" s="231"/>
      <c r="R276" s="232">
        <v>511755</v>
      </c>
      <c r="S276" s="233">
        <v>10495</v>
      </c>
      <c r="T276" s="233">
        <v>522250</v>
      </c>
    </row>
    <row r="277" spans="1:20">
      <c r="A277" s="226">
        <v>92831</v>
      </c>
      <c r="B277" s="227" t="s">
        <v>986</v>
      </c>
      <c r="C277" s="87">
        <v>2.1829999999999999E-4</v>
      </c>
      <c r="D277" s="87">
        <v>2.476E-4</v>
      </c>
      <c r="E277" s="231">
        <v>333502</v>
      </c>
      <c r="F277" s="231"/>
      <c r="G277" s="232">
        <v>19213</v>
      </c>
      <c r="H277" s="220">
        <v>80975</v>
      </c>
      <c r="I277" s="232">
        <v>47629</v>
      </c>
      <c r="J277" s="231">
        <v>19156</v>
      </c>
      <c r="K277" s="220">
        <f t="shared" si="8"/>
        <v>166973</v>
      </c>
      <c r="L277" s="231"/>
      <c r="M277" s="232">
        <v>9440</v>
      </c>
      <c r="N277" s="232">
        <v>0</v>
      </c>
      <c r="O277" s="231">
        <v>2159</v>
      </c>
      <c r="P277" s="220">
        <f t="shared" si="9"/>
        <v>11599</v>
      </c>
      <c r="Q277" s="231"/>
      <c r="R277" s="232">
        <v>112390</v>
      </c>
      <c r="S277" s="233">
        <v>9503</v>
      </c>
      <c r="T277" s="233">
        <f>121894-1</f>
        <v>121893</v>
      </c>
    </row>
    <row r="278" spans="1:20">
      <c r="A278" s="226">
        <v>92841</v>
      </c>
      <c r="B278" s="227" t="s">
        <v>987</v>
      </c>
      <c r="C278" s="87">
        <v>2.7809999999999998E-4</v>
      </c>
      <c r="D278" s="87">
        <v>2.8160000000000001E-4</v>
      </c>
      <c r="E278" s="231">
        <v>424860</v>
      </c>
      <c r="F278" s="231"/>
      <c r="G278" s="232">
        <v>24476</v>
      </c>
      <c r="H278" s="220">
        <v>103157</v>
      </c>
      <c r="I278" s="232">
        <v>60676</v>
      </c>
      <c r="J278" s="231">
        <v>5821</v>
      </c>
      <c r="K278" s="220">
        <f t="shared" si="8"/>
        <v>194130</v>
      </c>
      <c r="L278" s="231"/>
      <c r="M278" s="232">
        <v>12026</v>
      </c>
      <c r="N278" s="232">
        <v>0</v>
      </c>
      <c r="O278" s="231">
        <v>13149</v>
      </c>
      <c r="P278" s="220">
        <f t="shared" si="9"/>
        <v>25175</v>
      </c>
      <c r="Q278" s="231"/>
      <c r="R278" s="232">
        <v>143178</v>
      </c>
      <c r="S278" s="233">
        <v>2288</v>
      </c>
      <c r="T278" s="233">
        <v>145466</v>
      </c>
    </row>
    <row r="279" spans="1:20">
      <c r="A279" s="226">
        <v>92851</v>
      </c>
      <c r="B279" s="227" t="s">
        <v>988</v>
      </c>
      <c r="C279" s="87">
        <v>4.6079999999999998E-4</v>
      </c>
      <c r="D279" s="87">
        <v>4.3909999999999999E-4</v>
      </c>
      <c r="E279" s="231">
        <v>703975</v>
      </c>
      <c r="F279" s="231"/>
      <c r="G279" s="232">
        <v>40555</v>
      </c>
      <c r="H279" s="220">
        <v>170926</v>
      </c>
      <c r="I279" s="232">
        <v>100537</v>
      </c>
      <c r="J279" s="231">
        <v>0</v>
      </c>
      <c r="K279" s="220">
        <f t="shared" si="8"/>
        <v>312018</v>
      </c>
      <c r="L279" s="231"/>
      <c r="M279" s="232">
        <v>19927</v>
      </c>
      <c r="N279" s="232">
        <v>0</v>
      </c>
      <c r="O279" s="231">
        <v>62664</v>
      </c>
      <c r="P279" s="220">
        <f t="shared" si="9"/>
        <v>82591</v>
      </c>
      <c r="Q279" s="231"/>
      <c r="R279" s="232">
        <v>237240</v>
      </c>
      <c r="S279" s="233">
        <v>-35531</v>
      </c>
      <c r="T279" s="233">
        <v>201709</v>
      </c>
    </row>
    <row r="280" spans="1:20">
      <c r="A280" s="226">
        <v>92861</v>
      </c>
      <c r="B280" s="227" t="s">
        <v>989</v>
      </c>
      <c r="C280" s="87">
        <v>3.6010000000000003E-4</v>
      </c>
      <c r="D280" s="87">
        <v>3.3629999999999999E-4</v>
      </c>
      <c r="E280" s="231">
        <v>550133</v>
      </c>
      <c r="F280" s="231"/>
      <c r="G280" s="232">
        <v>31693</v>
      </c>
      <c r="H280" s="220">
        <v>133573</v>
      </c>
      <c r="I280" s="232">
        <v>78567</v>
      </c>
      <c r="J280" s="231">
        <v>0</v>
      </c>
      <c r="K280" s="220">
        <f t="shared" si="8"/>
        <v>243833</v>
      </c>
      <c r="L280" s="231"/>
      <c r="M280" s="232">
        <v>15573</v>
      </c>
      <c r="N280" s="232">
        <v>0</v>
      </c>
      <c r="O280" s="231">
        <v>83092</v>
      </c>
      <c r="P280" s="220">
        <f t="shared" si="9"/>
        <v>98665</v>
      </c>
      <c r="Q280" s="231"/>
      <c r="R280" s="232">
        <v>185395</v>
      </c>
      <c r="S280" s="233">
        <v>-36908</v>
      </c>
      <c r="T280" s="233">
        <f>148488-1</f>
        <v>148487</v>
      </c>
    </row>
    <row r="281" spans="1:20">
      <c r="A281" s="226">
        <v>92901</v>
      </c>
      <c r="B281" s="227" t="s">
        <v>990</v>
      </c>
      <c r="C281" s="87">
        <v>5.5082999999999998E-3</v>
      </c>
      <c r="D281" s="87">
        <v>5.7581000000000004E-3</v>
      </c>
      <c r="E281" s="231">
        <v>8415157</v>
      </c>
      <c r="F281" s="231"/>
      <c r="G281" s="232">
        <v>484791</v>
      </c>
      <c r="H281" s="220">
        <v>2043211</v>
      </c>
      <c r="I281" s="232">
        <v>1201801</v>
      </c>
      <c r="J281" s="231">
        <v>65697</v>
      </c>
      <c r="K281" s="220">
        <f t="shared" si="8"/>
        <v>3795500</v>
      </c>
      <c r="L281" s="231"/>
      <c r="M281" s="232">
        <v>238206</v>
      </c>
      <c r="N281" s="232">
        <v>0</v>
      </c>
      <c r="O281" s="231">
        <v>124949</v>
      </c>
      <c r="P281" s="220">
        <f t="shared" si="9"/>
        <v>363155</v>
      </c>
      <c r="Q281" s="231"/>
      <c r="R281" s="232">
        <v>2835915</v>
      </c>
      <c r="S281" s="233">
        <v>6522</v>
      </c>
      <c r="T281" s="233">
        <f>2842438-1</f>
        <v>2842437</v>
      </c>
    </row>
    <row r="282" spans="1:20">
      <c r="A282" s="226">
        <v>92911</v>
      </c>
      <c r="B282" s="227" t="s">
        <v>991</v>
      </c>
      <c r="C282" s="87">
        <v>1.9548999999999999E-3</v>
      </c>
      <c r="D282" s="87">
        <v>1.9442999999999999E-3</v>
      </c>
      <c r="E282" s="231">
        <v>2986546</v>
      </c>
      <c r="F282" s="231"/>
      <c r="G282" s="232">
        <v>172053</v>
      </c>
      <c r="H282" s="220">
        <v>725137</v>
      </c>
      <c r="I282" s="232">
        <v>426520</v>
      </c>
      <c r="J282" s="231">
        <v>28442</v>
      </c>
      <c r="K282" s="220">
        <f t="shared" si="8"/>
        <v>1352152</v>
      </c>
      <c r="L282" s="231"/>
      <c r="M282" s="232">
        <v>84540</v>
      </c>
      <c r="N282" s="232">
        <v>0</v>
      </c>
      <c r="O282" s="231">
        <v>113525</v>
      </c>
      <c r="P282" s="220">
        <f t="shared" si="9"/>
        <v>198065</v>
      </c>
      <c r="Q282" s="231"/>
      <c r="R282" s="232">
        <v>1006469</v>
      </c>
      <c r="S282" s="233">
        <v>-55041</v>
      </c>
      <c r="T282" s="233">
        <v>951428</v>
      </c>
    </row>
    <row r="283" spans="1:20">
      <c r="A283" s="226">
        <v>92913</v>
      </c>
      <c r="B283" s="227" t="s">
        <v>992</v>
      </c>
      <c r="C283" s="87">
        <v>2.1999999999999999E-5</v>
      </c>
      <c r="D283" s="87">
        <v>2.37E-5</v>
      </c>
      <c r="E283" s="231">
        <v>33610</v>
      </c>
      <c r="F283" s="231"/>
      <c r="G283" s="232">
        <v>1936</v>
      </c>
      <c r="H283" s="220">
        <v>8160</v>
      </c>
      <c r="I283" s="232">
        <v>4800</v>
      </c>
      <c r="J283" s="231">
        <v>79442</v>
      </c>
      <c r="K283" s="220">
        <f t="shared" si="8"/>
        <v>94338</v>
      </c>
      <c r="L283" s="231"/>
      <c r="M283" s="232">
        <v>951</v>
      </c>
      <c r="N283" s="232">
        <v>0</v>
      </c>
      <c r="O283" s="231">
        <v>2047</v>
      </c>
      <c r="P283" s="220">
        <f t="shared" si="9"/>
        <v>2998</v>
      </c>
      <c r="Q283" s="231"/>
      <c r="R283" s="232">
        <v>11327</v>
      </c>
      <c r="S283" s="233">
        <v>25513</v>
      </c>
      <c r="T283" s="233">
        <v>36840</v>
      </c>
    </row>
    <row r="284" spans="1:20">
      <c r="A284" s="226">
        <v>92914</v>
      </c>
      <c r="B284" s="227" t="s">
        <v>993</v>
      </c>
      <c r="C284" s="87">
        <v>2.8900000000000001E-5</v>
      </c>
      <c r="D284" s="87">
        <v>0</v>
      </c>
      <c r="E284" s="231">
        <v>44151</v>
      </c>
      <c r="F284" s="231"/>
      <c r="G284" s="232">
        <v>2544</v>
      </c>
      <c r="H284" s="220">
        <v>10720</v>
      </c>
      <c r="I284" s="232">
        <v>6305</v>
      </c>
      <c r="J284" s="231">
        <v>17173</v>
      </c>
      <c r="K284" s="220">
        <f t="shared" si="8"/>
        <v>36742</v>
      </c>
      <c r="L284" s="231"/>
      <c r="M284" s="232">
        <v>1250</v>
      </c>
      <c r="N284" s="232">
        <v>0</v>
      </c>
      <c r="O284" s="231">
        <v>0</v>
      </c>
      <c r="P284" s="220">
        <f t="shared" si="9"/>
        <v>1250</v>
      </c>
      <c r="Q284" s="231"/>
      <c r="R284" s="232">
        <v>14879</v>
      </c>
      <c r="S284" s="233">
        <v>4293</v>
      </c>
      <c r="T284" s="233">
        <v>19172</v>
      </c>
    </row>
    <row r="285" spans="1:20">
      <c r="A285" s="226">
        <v>92917</v>
      </c>
      <c r="B285" s="227" t="s">
        <v>994</v>
      </c>
      <c r="C285" s="87">
        <v>1.4800000000000001E-5</v>
      </c>
      <c r="D285" s="87">
        <v>2.0000000000000002E-5</v>
      </c>
      <c r="E285" s="231">
        <v>22610</v>
      </c>
      <c r="F285" s="231"/>
      <c r="G285" s="232">
        <v>1303</v>
      </c>
      <c r="H285" s="220">
        <v>5490</v>
      </c>
      <c r="I285" s="232">
        <v>3229</v>
      </c>
      <c r="J285" s="231">
        <v>13223</v>
      </c>
      <c r="K285" s="220">
        <f t="shared" si="8"/>
        <v>23245</v>
      </c>
      <c r="L285" s="231"/>
      <c r="M285" s="232">
        <v>640</v>
      </c>
      <c r="N285" s="232">
        <v>0</v>
      </c>
      <c r="O285" s="231">
        <v>0</v>
      </c>
      <c r="P285" s="220">
        <f t="shared" si="9"/>
        <v>640</v>
      </c>
      <c r="Q285" s="231"/>
      <c r="R285" s="232">
        <v>7620</v>
      </c>
      <c r="S285" s="233">
        <v>6352</v>
      </c>
      <c r="T285" s="233">
        <f>13971+1</f>
        <v>13972</v>
      </c>
    </row>
    <row r="286" spans="1:20">
      <c r="A286" s="226">
        <v>92921</v>
      </c>
      <c r="B286" s="227" t="s">
        <v>995</v>
      </c>
      <c r="C286" s="87">
        <v>7.4400000000000006E-5</v>
      </c>
      <c r="D286" s="87">
        <v>6.2899999999999997E-5</v>
      </c>
      <c r="E286" s="231">
        <v>113663</v>
      </c>
      <c r="F286" s="231"/>
      <c r="G286" s="232">
        <v>6548</v>
      </c>
      <c r="H286" s="220">
        <v>27597</v>
      </c>
      <c r="I286" s="232">
        <v>16233</v>
      </c>
      <c r="J286" s="231">
        <v>13244</v>
      </c>
      <c r="K286" s="220">
        <f t="shared" si="8"/>
        <v>63622</v>
      </c>
      <c r="L286" s="231"/>
      <c r="M286" s="232">
        <v>3217</v>
      </c>
      <c r="N286" s="232">
        <v>0</v>
      </c>
      <c r="O286" s="231">
        <v>7831</v>
      </c>
      <c r="P286" s="220">
        <f t="shared" si="9"/>
        <v>11048</v>
      </c>
      <c r="Q286" s="231"/>
      <c r="R286" s="232">
        <v>38304</v>
      </c>
      <c r="S286" s="233">
        <v>-2914</v>
      </c>
      <c r="T286" s="233">
        <v>35390</v>
      </c>
    </row>
    <row r="287" spans="1:20">
      <c r="A287" s="226">
        <v>92931</v>
      </c>
      <c r="B287" s="227" t="s">
        <v>996</v>
      </c>
      <c r="C287" s="87">
        <v>2.3996E-3</v>
      </c>
      <c r="D287" s="87">
        <v>2.5048000000000002E-3</v>
      </c>
      <c r="E287" s="231">
        <v>3665924</v>
      </c>
      <c r="F287" s="231"/>
      <c r="G287" s="232">
        <v>211191</v>
      </c>
      <c r="H287" s="220">
        <v>890091</v>
      </c>
      <c r="I287" s="232">
        <v>523545</v>
      </c>
      <c r="J287" s="231">
        <v>7721</v>
      </c>
      <c r="K287" s="220">
        <f t="shared" si="8"/>
        <v>1632548</v>
      </c>
      <c r="L287" s="231"/>
      <c r="M287" s="232">
        <v>103771</v>
      </c>
      <c r="N287" s="232">
        <v>0</v>
      </c>
      <c r="O287" s="231">
        <v>147858</v>
      </c>
      <c r="P287" s="220">
        <f t="shared" si="9"/>
        <v>251629</v>
      </c>
      <c r="Q287" s="231"/>
      <c r="R287" s="232">
        <v>1235420</v>
      </c>
      <c r="S287" s="233">
        <v>-41276</v>
      </c>
      <c r="T287" s="233">
        <v>1194144</v>
      </c>
    </row>
    <row r="288" spans="1:20">
      <c r="A288" s="226">
        <v>92941</v>
      </c>
      <c r="B288" s="227" t="s">
        <v>81</v>
      </c>
      <c r="C288" s="87">
        <v>1.2300000000000001E-5</v>
      </c>
      <c r="D288" s="87">
        <v>1.84E-5</v>
      </c>
      <c r="E288" s="231">
        <v>18791</v>
      </c>
      <c r="F288" s="231"/>
      <c r="G288" s="232">
        <v>1083</v>
      </c>
      <c r="H288" s="220">
        <v>4563</v>
      </c>
      <c r="I288" s="232">
        <v>2684</v>
      </c>
      <c r="J288" s="231">
        <v>6612</v>
      </c>
      <c r="K288" s="220">
        <f t="shared" si="8"/>
        <v>14942</v>
      </c>
      <c r="L288" s="231"/>
      <c r="M288" s="232">
        <v>532</v>
      </c>
      <c r="N288" s="232">
        <v>0</v>
      </c>
      <c r="O288" s="231">
        <v>1770</v>
      </c>
      <c r="P288" s="220">
        <f t="shared" si="9"/>
        <v>2302</v>
      </c>
      <c r="Q288" s="231"/>
      <c r="R288" s="232">
        <v>6333</v>
      </c>
      <c r="S288" s="233">
        <v>3162</v>
      </c>
      <c r="T288" s="233">
        <v>9495</v>
      </c>
    </row>
    <row r="289" spans="1:20">
      <c r="A289" s="226">
        <v>93001</v>
      </c>
      <c r="B289" s="227" t="s">
        <v>997</v>
      </c>
      <c r="C289" s="87">
        <v>2.2227000000000002E-3</v>
      </c>
      <c r="D289" s="87">
        <v>2.2739000000000001E-3</v>
      </c>
      <c r="E289" s="231">
        <v>3395670</v>
      </c>
      <c r="F289" s="231"/>
      <c r="G289" s="232">
        <v>195622</v>
      </c>
      <c r="H289" s="220">
        <v>824473</v>
      </c>
      <c r="I289" s="232">
        <v>484949</v>
      </c>
      <c r="J289" s="231">
        <v>8733</v>
      </c>
      <c r="K289" s="220">
        <f t="shared" si="8"/>
        <v>1513777</v>
      </c>
      <c r="L289" s="231"/>
      <c r="M289" s="232">
        <v>96121</v>
      </c>
      <c r="N289" s="232">
        <v>0</v>
      </c>
      <c r="O289" s="231">
        <v>123729</v>
      </c>
      <c r="P289" s="220">
        <f t="shared" si="9"/>
        <v>219850</v>
      </c>
      <c r="Q289" s="231"/>
      <c r="R289" s="232">
        <v>1144344</v>
      </c>
      <c r="S289" s="233">
        <v>-57358</v>
      </c>
      <c r="T289" s="233">
        <v>1086986</v>
      </c>
    </row>
    <row r="290" spans="1:20">
      <c r="A290" s="226">
        <v>93009</v>
      </c>
      <c r="B290" s="227" t="s">
        <v>998</v>
      </c>
      <c r="C290" s="87">
        <v>1.47E-5</v>
      </c>
      <c r="D290" s="87">
        <v>1.5400000000000002E-5</v>
      </c>
      <c r="E290" s="231">
        <v>22458</v>
      </c>
      <c r="F290" s="231"/>
      <c r="G290" s="232">
        <v>1294</v>
      </c>
      <c r="H290" s="220">
        <v>5453</v>
      </c>
      <c r="I290" s="232">
        <v>3207</v>
      </c>
      <c r="J290" s="231">
        <v>0</v>
      </c>
      <c r="K290" s="220">
        <f t="shared" si="8"/>
        <v>9954</v>
      </c>
      <c r="L290" s="231"/>
      <c r="M290" s="232">
        <v>636</v>
      </c>
      <c r="N290" s="232">
        <v>0</v>
      </c>
      <c r="O290" s="231">
        <v>4280</v>
      </c>
      <c r="P290" s="220">
        <f t="shared" si="9"/>
        <v>4916</v>
      </c>
      <c r="Q290" s="231"/>
      <c r="R290" s="232">
        <v>7568</v>
      </c>
      <c r="S290" s="233">
        <v>-1918</v>
      </c>
      <c r="T290" s="233">
        <v>5650</v>
      </c>
    </row>
    <row r="291" spans="1:20">
      <c r="A291" s="226">
        <v>93011</v>
      </c>
      <c r="B291" s="227" t="s">
        <v>999</v>
      </c>
      <c r="C291" s="87">
        <v>2.2699999999999999E-4</v>
      </c>
      <c r="D291" s="87">
        <v>2.6160000000000002E-4</v>
      </c>
      <c r="E291" s="231">
        <v>346793</v>
      </c>
      <c r="F291" s="231"/>
      <c r="G291" s="232">
        <v>19978</v>
      </c>
      <c r="H291" s="220">
        <v>84202</v>
      </c>
      <c r="I291" s="232">
        <v>49527</v>
      </c>
      <c r="J291" s="231">
        <v>1542</v>
      </c>
      <c r="K291" s="220">
        <f t="shared" si="8"/>
        <v>155249</v>
      </c>
      <c r="L291" s="231"/>
      <c r="M291" s="232">
        <v>9817</v>
      </c>
      <c r="N291" s="232">
        <v>0</v>
      </c>
      <c r="O291" s="231">
        <v>15019</v>
      </c>
      <c r="P291" s="220">
        <f t="shared" si="9"/>
        <v>24836</v>
      </c>
      <c r="Q291" s="231"/>
      <c r="R291" s="232">
        <v>116870</v>
      </c>
      <c r="S291" s="233">
        <v>-3863</v>
      </c>
      <c r="T291" s="233">
        <v>113007</v>
      </c>
    </row>
    <row r="292" spans="1:20">
      <c r="A292" s="226">
        <v>93021</v>
      </c>
      <c r="B292" s="227" t="s">
        <v>1000</v>
      </c>
      <c r="C292" s="87">
        <v>3.4199999999999998E-5</v>
      </c>
      <c r="D292" s="87">
        <v>2.8900000000000001E-5</v>
      </c>
      <c r="E292" s="231">
        <v>52248</v>
      </c>
      <c r="F292" s="231"/>
      <c r="G292" s="232">
        <v>3010</v>
      </c>
      <c r="H292" s="220">
        <v>12686</v>
      </c>
      <c r="I292" s="232">
        <v>7462</v>
      </c>
      <c r="J292" s="231">
        <v>3788</v>
      </c>
      <c r="K292" s="220">
        <f t="shared" si="8"/>
        <v>26946</v>
      </c>
      <c r="L292" s="231"/>
      <c r="M292" s="232">
        <v>1479</v>
      </c>
      <c r="N292" s="232">
        <v>0</v>
      </c>
      <c r="O292" s="231">
        <v>4978</v>
      </c>
      <c r="P292" s="220">
        <f t="shared" si="9"/>
        <v>6457</v>
      </c>
      <c r="Q292" s="231"/>
      <c r="R292" s="232">
        <v>17608</v>
      </c>
      <c r="S292" s="233">
        <v>260</v>
      </c>
      <c r="T292" s="233">
        <v>17868</v>
      </c>
    </row>
    <row r="293" spans="1:20">
      <c r="A293" s="226">
        <v>93027</v>
      </c>
      <c r="B293" s="227" t="s">
        <v>1001</v>
      </c>
      <c r="C293" s="87">
        <v>1.6699999999999999E-5</v>
      </c>
      <c r="D293" s="87">
        <v>1.6699999999999999E-5</v>
      </c>
      <c r="E293" s="231">
        <v>25513</v>
      </c>
      <c r="F293" s="231"/>
      <c r="G293" s="232">
        <v>1470</v>
      </c>
      <c r="H293" s="220">
        <v>6194</v>
      </c>
      <c r="I293" s="232">
        <v>3644</v>
      </c>
      <c r="J293" s="231">
        <v>1152</v>
      </c>
      <c r="K293" s="220">
        <f t="shared" si="8"/>
        <v>12460</v>
      </c>
      <c r="L293" s="231"/>
      <c r="M293" s="232">
        <v>722</v>
      </c>
      <c r="N293" s="232">
        <v>0</v>
      </c>
      <c r="O293" s="231">
        <v>834</v>
      </c>
      <c r="P293" s="220">
        <f t="shared" si="9"/>
        <v>1556</v>
      </c>
      <c r="Q293" s="231"/>
      <c r="R293" s="232">
        <v>8598</v>
      </c>
      <c r="S293" s="233">
        <v>-308</v>
      </c>
      <c r="T293" s="233">
        <v>8290</v>
      </c>
    </row>
    <row r="294" spans="1:20">
      <c r="A294" s="226">
        <v>93031</v>
      </c>
      <c r="B294" s="227" t="s">
        <v>1002</v>
      </c>
      <c r="C294" s="87">
        <v>2.1699999999999999E-5</v>
      </c>
      <c r="D294" s="87">
        <v>2.2399999999999999E-5</v>
      </c>
      <c r="E294" s="231">
        <v>33152</v>
      </c>
      <c r="F294" s="231"/>
      <c r="G294" s="232">
        <v>1910</v>
      </c>
      <c r="H294" s="220">
        <v>8050</v>
      </c>
      <c r="I294" s="232">
        <v>4735</v>
      </c>
      <c r="J294" s="231">
        <v>18910</v>
      </c>
      <c r="K294" s="220">
        <f t="shared" si="8"/>
        <v>33605</v>
      </c>
      <c r="L294" s="231"/>
      <c r="M294" s="232">
        <v>938</v>
      </c>
      <c r="N294" s="232">
        <v>0</v>
      </c>
      <c r="O294" s="231">
        <v>221</v>
      </c>
      <c r="P294" s="220">
        <f t="shared" si="9"/>
        <v>1159</v>
      </c>
      <c r="Q294" s="231"/>
      <c r="R294" s="232">
        <v>11172</v>
      </c>
      <c r="S294" s="233">
        <v>5880</v>
      </c>
      <c r="T294" s="233">
        <v>17052</v>
      </c>
    </row>
    <row r="295" spans="1:20">
      <c r="A295" s="226">
        <v>93101</v>
      </c>
      <c r="B295" s="227" t="s">
        <v>1003</v>
      </c>
      <c r="C295" s="87">
        <v>3.5159000000000002E-3</v>
      </c>
      <c r="D295" s="87">
        <v>3.5771000000000002E-3</v>
      </c>
      <c r="E295" s="231">
        <v>5371321</v>
      </c>
      <c r="F295" s="231"/>
      <c r="G295" s="232">
        <v>309438</v>
      </c>
      <c r="H295" s="220">
        <v>1304163</v>
      </c>
      <c r="I295" s="232">
        <v>767099</v>
      </c>
      <c r="J295" s="231">
        <v>104257</v>
      </c>
      <c r="K295" s="220">
        <f t="shared" si="8"/>
        <v>2484957</v>
      </c>
      <c r="L295" s="231"/>
      <c r="M295" s="232">
        <v>152045</v>
      </c>
      <c r="N295" s="232">
        <v>0</v>
      </c>
      <c r="O295" s="231">
        <v>115334</v>
      </c>
      <c r="P295" s="220">
        <f t="shared" si="9"/>
        <v>267379</v>
      </c>
      <c r="Q295" s="231"/>
      <c r="R295" s="232">
        <v>1810140</v>
      </c>
      <c r="S295" s="233">
        <v>39451</v>
      </c>
      <c r="T295" s="233">
        <v>1849591</v>
      </c>
    </row>
    <row r="296" spans="1:20">
      <c r="A296" s="226">
        <v>93103</v>
      </c>
      <c r="B296" s="227" t="s">
        <v>260</v>
      </c>
      <c r="C296" s="87">
        <v>1.7099999999999999E-5</v>
      </c>
      <c r="D296" s="87">
        <v>1.7200000000000001E-5</v>
      </c>
      <c r="E296" s="231">
        <v>26124</v>
      </c>
      <c r="F296" s="231"/>
      <c r="G296" s="232">
        <v>1505</v>
      </c>
      <c r="H296" s="220">
        <v>6343</v>
      </c>
      <c r="I296" s="232">
        <v>3731</v>
      </c>
      <c r="J296" s="231">
        <v>6718</v>
      </c>
      <c r="K296" s="220">
        <f t="shared" si="8"/>
        <v>18297</v>
      </c>
      <c r="L296" s="231"/>
      <c r="M296" s="232">
        <v>739</v>
      </c>
      <c r="N296" s="232">
        <v>0</v>
      </c>
      <c r="O296" s="231">
        <v>1798</v>
      </c>
      <c r="P296" s="220">
        <f t="shared" si="9"/>
        <v>2537</v>
      </c>
      <c r="Q296" s="231"/>
      <c r="R296" s="232">
        <v>8804</v>
      </c>
      <c r="S296" s="233">
        <v>2085</v>
      </c>
      <c r="T296" s="233">
        <v>10889</v>
      </c>
    </row>
    <row r="297" spans="1:20">
      <c r="A297" s="226">
        <v>93108</v>
      </c>
      <c r="B297" s="227" t="s">
        <v>1004</v>
      </c>
      <c r="C297" s="87">
        <v>2.6624999999999999E-3</v>
      </c>
      <c r="D297" s="87">
        <v>2.5661999999999998E-3</v>
      </c>
      <c r="E297" s="231">
        <v>4067562</v>
      </c>
      <c r="F297" s="231"/>
      <c r="G297" s="232">
        <v>234329</v>
      </c>
      <c r="H297" s="220">
        <v>987609</v>
      </c>
      <c r="I297" s="232">
        <v>580904</v>
      </c>
      <c r="J297" s="231">
        <v>274861</v>
      </c>
      <c r="K297" s="220">
        <f t="shared" si="8"/>
        <v>2077703</v>
      </c>
      <c r="L297" s="231"/>
      <c r="M297" s="232">
        <v>115140</v>
      </c>
      <c r="N297" s="232">
        <v>0</v>
      </c>
      <c r="O297" s="231">
        <v>0</v>
      </c>
      <c r="P297" s="220">
        <f t="shared" si="9"/>
        <v>115140</v>
      </c>
      <c r="Q297" s="231"/>
      <c r="R297" s="232">
        <v>1370772</v>
      </c>
      <c r="S297" s="233">
        <v>189775</v>
      </c>
      <c r="T297" s="233">
        <v>1560547</v>
      </c>
    </row>
    <row r="298" spans="1:20">
      <c r="A298" s="226">
        <v>93111</v>
      </c>
      <c r="B298" s="227" t="s">
        <v>1005</v>
      </c>
      <c r="C298" s="87">
        <v>5.8499999999999999E-5</v>
      </c>
      <c r="D298" s="87">
        <v>7.08E-5</v>
      </c>
      <c r="E298" s="231">
        <v>89372</v>
      </c>
      <c r="F298" s="231"/>
      <c r="G298" s="232">
        <v>5149</v>
      </c>
      <c r="H298" s="220">
        <v>21700</v>
      </c>
      <c r="I298" s="232">
        <v>12764</v>
      </c>
      <c r="J298" s="231">
        <v>0</v>
      </c>
      <c r="K298" s="220">
        <f t="shared" si="8"/>
        <v>39613</v>
      </c>
      <c r="L298" s="231"/>
      <c r="M298" s="232">
        <v>2530</v>
      </c>
      <c r="N298" s="232">
        <v>0</v>
      </c>
      <c r="O298" s="231">
        <v>15463</v>
      </c>
      <c r="P298" s="220">
        <f t="shared" si="9"/>
        <v>17993</v>
      </c>
      <c r="Q298" s="231"/>
      <c r="R298" s="232">
        <v>30118</v>
      </c>
      <c r="S298" s="233">
        <v>-5541</v>
      </c>
      <c r="T298" s="233">
        <f>24578-1</f>
        <v>24577</v>
      </c>
    </row>
    <row r="299" spans="1:20">
      <c r="A299" s="226">
        <v>93121</v>
      </c>
      <c r="B299" s="227" t="s">
        <v>1006</v>
      </c>
      <c r="C299" s="87">
        <v>6.2299999999999996E-5</v>
      </c>
      <c r="D299" s="87">
        <v>5.8900000000000002E-5</v>
      </c>
      <c r="E299" s="231">
        <v>95177</v>
      </c>
      <c r="F299" s="231"/>
      <c r="G299" s="232">
        <v>5483</v>
      </c>
      <c r="H299" s="220">
        <v>23109</v>
      </c>
      <c r="I299" s="232">
        <v>13593</v>
      </c>
      <c r="J299" s="231">
        <v>2043</v>
      </c>
      <c r="K299" s="220">
        <f t="shared" si="8"/>
        <v>44228</v>
      </c>
      <c r="L299" s="231"/>
      <c r="M299" s="232">
        <v>2694</v>
      </c>
      <c r="N299" s="232">
        <v>0</v>
      </c>
      <c r="O299" s="231">
        <v>9059</v>
      </c>
      <c r="P299" s="220">
        <f t="shared" si="9"/>
        <v>11753</v>
      </c>
      <c r="Q299" s="231"/>
      <c r="R299" s="232">
        <v>32075</v>
      </c>
      <c r="S299" s="233">
        <v>-3552</v>
      </c>
      <c r="T299" s="233">
        <f>28522+1</f>
        <v>28523</v>
      </c>
    </row>
    <row r="300" spans="1:20">
      <c r="A300" s="226">
        <v>93127</v>
      </c>
      <c r="B300" s="227" t="s">
        <v>1007</v>
      </c>
      <c r="C300" s="87">
        <v>6.9E-6</v>
      </c>
      <c r="D300" s="87">
        <v>6.8000000000000001E-6</v>
      </c>
      <c r="E300" s="231">
        <v>10541</v>
      </c>
      <c r="F300" s="231"/>
      <c r="G300" s="232">
        <v>607</v>
      </c>
      <c r="H300" s="220">
        <v>2560</v>
      </c>
      <c r="I300" s="232">
        <v>1505</v>
      </c>
      <c r="J300" s="231">
        <v>124</v>
      </c>
      <c r="K300" s="220">
        <f t="shared" si="8"/>
        <v>4796</v>
      </c>
      <c r="L300" s="231"/>
      <c r="M300" s="232">
        <v>298</v>
      </c>
      <c r="N300" s="232">
        <v>0</v>
      </c>
      <c r="O300" s="231">
        <v>731</v>
      </c>
      <c r="P300" s="220">
        <f t="shared" si="9"/>
        <v>1029</v>
      </c>
      <c r="Q300" s="231"/>
      <c r="R300" s="232">
        <v>3552</v>
      </c>
      <c r="S300" s="233">
        <v>-369</v>
      </c>
      <c r="T300" s="233">
        <v>3183</v>
      </c>
    </row>
    <row r="301" spans="1:20">
      <c r="A301" s="226">
        <v>93131</v>
      </c>
      <c r="B301" s="227" t="s">
        <v>1008</v>
      </c>
      <c r="C301" s="87">
        <v>2.218E-4</v>
      </c>
      <c r="D301" s="87">
        <v>2.3939999999999999E-4</v>
      </c>
      <c r="E301" s="231">
        <v>338849</v>
      </c>
      <c r="F301" s="231"/>
      <c r="G301" s="232">
        <v>19521</v>
      </c>
      <c r="H301" s="220">
        <v>82273</v>
      </c>
      <c r="I301" s="232">
        <v>48392</v>
      </c>
      <c r="J301" s="231">
        <v>7888</v>
      </c>
      <c r="K301" s="220">
        <f t="shared" si="8"/>
        <v>158074</v>
      </c>
      <c r="L301" s="231"/>
      <c r="M301" s="232">
        <v>9592</v>
      </c>
      <c r="N301" s="232">
        <v>0</v>
      </c>
      <c r="O301" s="231">
        <v>21906</v>
      </c>
      <c r="P301" s="220">
        <f t="shared" si="9"/>
        <v>31498</v>
      </c>
      <c r="Q301" s="231"/>
      <c r="R301" s="232">
        <v>114192</v>
      </c>
      <c r="S301" s="233">
        <v>-530</v>
      </c>
      <c r="T301" s="233">
        <v>113662</v>
      </c>
    </row>
    <row r="302" spans="1:20">
      <c r="A302" s="226">
        <v>93137</v>
      </c>
      <c r="B302" s="227" t="s">
        <v>1009</v>
      </c>
      <c r="C302" s="87">
        <v>3.3000000000000002E-6</v>
      </c>
      <c r="D302" s="87">
        <v>1.9E-6</v>
      </c>
      <c r="E302" s="231">
        <v>5041</v>
      </c>
      <c r="F302" s="231"/>
      <c r="G302" s="232">
        <v>290</v>
      </c>
      <c r="H302" s="220">
        <v>1224</v>
      </c>
      <c r="I302" s="232">
        <v>720</v>
      </c>
      <c r="J302" s="231">
        <v>2709</v>
      </c>
      <c r="K302" s="220">
        <f t="shared" si="8"/>
        <v>4943</v>
      </c>
      <c r="L302" s="231"/>
      <c r="M302" s="232">
        <v>143</v>
      </c>
      <c r="N302" s="232">
        <v>0</v>
      </c>
      <c r="O302" s="231">
        <v>0</v>
      </c>
      <c r="P302" s="220">
        <f t="shared" si="9"/>
        <v>143</v>
      </c>
      <c r="Q302" s="231"/>
      <c r="R302" s="232">
        <v>1699</v>
      </c>
      <c r="S302" s="233">
        <v>839</v>
      </c>
      <c r="T302" s="233">
        <v>2538</v>
      </c>
    </row>
    <row r="303" spans="1:20">
      <c r="A303" s="226">
        <v>93141</v>
      </c>
      <c r="B303" s="227" t="s">
        <v>1010</v>
      </c>
      <c r="C303" s="87">
        <v>4.1100000000000003E-5</v>
      </c>
      <c r="D303" s="87">
        <v>4.5500000000000001E-5</v>
      </c>
      <c r="E303" s="231">
        <v>62789</v>
      </c>
      <c r="F303" s="231"/>
      <c r="G303" s="232">
        <v>3617</v>
      </c>
      <c r="H303" s="220">
        <v>15246</v>
      </c>
      <c r="I303" s="232">
        <v>8967</v>
      </c>
      <c r="J303" s="231">
        <v>2083</v>
      </c>
      <c r="K303" s="220">
        <f t="shared" si="8"/>
        <v>29913</v>
      </c>
      <c r="L303" s="231"/>
      <c r="M303" s="232">
        <v>1777</v>
      </c>
      <c r="N303" s="232">
        <v>0</v>
      </c>
      <c r="O303" s="231">
        <v>7408</v>
      </c>
      <c r="P303" s="220">
        <f t="shared" si="9"/>
        <v>9185</v>
      </c>
      <c r="Q303" s="231"/>
      <c r="R303" s="232">
        <v>21160</v>
      </c>
      <c r="S303" s="233">
        <v>-351</v>
      </c>
      <c r="T303" s="233">
        <v>20809</v>
      </c>
    </row>
    <row r="304" spans="1:20">
      <c r="A304" s="226">
        <v>93151</v>
      </c>
      <c r="B304" s="227" t="s">
        <v>1011</v>
      </c>
      <c r="C304" s="87">
        <v>3.4279999999999998E-4</v>
      </c>
      <c r="D304" s="87">
        <v>3.6539999999999999E-4</v>
      </c>
      <c r="E304" s="231">
        <v>523703</v>
      </c>
      <c r="F304" s="231"/>
      <c r="G304" s="232">
        <v>30170</v>
      </c>
      <c r="H304" s="220">
        <v>127156</v>
      </c>
      <c r="I304" s="232">
        <v>74792</v>
      </c>
      <c r="J304" s="231">
        <v>3795</v>
      </c>
      <c r="K304" s="220">
        <f t="shared" si="8"/>
        <v>235913</v>
      </c>
      <c r="L304" s="231"/>
      <c r="M304" s="232">
        <v>14824</v>
      </c>
      <c r="N304" s="232">
        <v>0</v>
      </c>
      <c r="O304" s="231">
        <v>19989</v>
      </c>
      <c r="P304" s="220">
        <f t="shared" si="9"/>
        <v>34813</v>
      </c>
      <c r="Q304" s="231"/>
      <c r="R304" s="232">
        <v>176489</v>
      </c>
      <c r="S304" s="233">
        <v>-4355</v>
      </c>
      <c r="T304" s="233">
        <f>172133+1</f>
        <v>172134</v>
      </c>
    </row>
    <row r="305" spans="1:20">
      <c r="A305" s="226">
        <v>93157</v>
      </c>
      <c r="B305" s="227" t="s">
        <v>1012</v>
      </c>
      <c r="C305" s="87">
        <v>3.5999999999999998E-6</v>
      </c>
      <c r="D305" s="87">
        <v>3.8E-6</v>
      </c>
      <c r="E305" s="231">
        <v>5500</v>
      </c>
      <c r="F305" s="231"/>
      <c r="G305" s="232">
        <v>317</v>
      </c>
      <c r="H305" s="220">
        <v>1336</v>
      </c>
      <c r="I305" s="232">
        <v>785</v>
      </c>
      <c r="J305" s="231">
        <v>6931</v>
      </c>
      <c r="K305" s="220">
        <f t="shared" si="8"/>
        <v>9369</v>
      </c>
      <c r="L305" s="231"/>
      <c r="M305" s="232">
        <v>156</v>
      </c>
      <c r="N305" s="232">
        <v>0</v>
      </c>
      <c r="O305" s="231">
        <v>340</v>
      </c>
      <c r="P305" s="220">
        <f t="shared" si="9"/>
        <v>496</v>
      </c>
      <c r="Q305" s="231"/>
      <c r="R305" s="232">
        <v>1853</v>
      </c>
      <c r="S305" s="233">
        <v>2783</v>
      </c>
      <c r="T305" s="233">
        <f>4637-1</f>
        <v>4636</v>
      </c>
    </row>
    <row r="306" spans="1:20">
      <c r="A306" s="226">
        <v>93161</v>
      </c>
      <c r="B306" s="227" t="s">
        <v>1013</v>
      </c>
      <c r="C306" s="87">
        <v>1.038E-4</v>
      </c>
      <c r="D306" s="87">
        <v>6.2500000000000001E-5</v>
      </c>
      <c r="E306" s="231">
        <v>158578</v>
      </c>
      <c r="F306" s="231"/>
      <c r="G306" s="232">
        <v>9136</v>
      </c>
      <c r="H306" s="220">
        <v>38503</v>
      </c>
      <c r="I306" s="232">
        <v>22647</v>
      </c>
      <c r="J306" s="231">
        <v>35990</v>
      </c>
      <c r="K306" s="220">
        <f t="shared" si="8"/>
        <v>106276</v>
      </c>
      <c r="L306" s="231"/>
      <c r="M306" s="232">
        <v>4489</v>
      </c>
      <c r="N306" s="232">
        <v>0</v>
      </c>
      <c r="O306" s="231">
        <v>0</v>
      </c>
      <c r="P306" s="220">
        <f t="shared" si="9"/>
        <v>4489</v>
      </c>
      <c r="Q306" s="231"/>
      <c r="R306" s="232">
        <v>53441</v>
      </c>
      <c r="S306" s="233">
        <v>13001</v>
      </c>
      <c r="T306" s="233">
        <v>66442</v>
      </c>
    </row>
    <row r="307" spans="1:20">
      <c r="A307" s="226">
        <v>93171</v>
      </c>
      <c r="B307" s="227" t="s">
        <v>1014</v>
      </c>
      <c r="C307" s="87">
        <v>5.2000000000000002E-6</v>
      </c>
      <c r="D307" s="87">
        <v>5.8000000000000004E-6</v>
      </c>
      <c r="E307" s="231">
        <v>7944</v>
      </c>
      <c r="F307" s="231"/>
      <c r="G307" s="232">
        <v>458</v>
      </c>
      <c r="H307" s="220">
        <v>1929</v>
      </c>
      <c r="I307" s="232">
        <v>1135</v>
      </c>
      <c r="J307" s="231">
        <v>1960</v>
      </c>
      <c r="K307" s="220">
        <f t="shared" si="8"/>
        <v>5482</v>
      </c>
      <c r="L307" s="231"/>
      <c r="M307" s="232">
        <v>225</v>
      </c>
      <c r="N307" s="232">
        <v>0</v>
      </c>
      <c r="O307" s="231">
        <v>0</v>
      </c>
      <c r="P307" s="220">
        <f t="shared" si="9"/>
        <v>225</v>
      </c>
      <c r="Q307" s="231"/>
      <c r="R307" s="232">
        <v>2677</v>
      </c>
      <c r="S307" s="233">
        <v>791</v>
      </c>
      <c r="T307" s="233">
        <v>3468</v>
      </c>
    </row>
    <row r="308" spans="1:20">
      <c r="A308" s="226">
        <v>93181</v>
      </c>
      <c r="B308" s="227" t="s">
        <v>1015</v>
      </c>
      <c r="C308" s="87">
        <v>1.13E-5</v>
      </c>
      <c r="D308" s="87">
        <v>1.1E-5</v>
      </c>
      <c r="E308" s="231">
        <v>17263</v>
      </c>
      <c r="F308" s="231"/>
      <c r="G308" s="232">
        <v>995</v>
      </c>
      <c r="H308" s="220">
        <v>4191</v>
      </c>
      <c r="I308" s="232">
        <v>2465</v>
      </c>
      <c r="J308" s="231">
        <v>772</v>
      </c>
      <c r="K308" s="220">
        <f t="shared" si="8"/>
        <v>8423</v>
      </c>
      <c r="L308" s="231"/>
      <c r="M308" s="232">
        <v>489</v>
      </c>
      <c r="N308" s="232">
        <v>0</v>
      </c>
      <c r="O308" s="231">
        <v>28</v>
      </c>
      <c r="P308" s="220">
        <f t="shared" si="9"/>
        <v>517</v>
      </c>
      <c r="Q308" s="231"/>
      <c r="R308" s="232">
        <v>5818</v>
      </c>
      <c r="S308" s="233">
        <v>412</v>
      </c>
      <c r="T308" s="233">
        <v>6230</v>
      </c>
    </row>
    <row r="309" spans="1:20">
      <c r="A309" s="226">
        <v>93191</v>
      </c>
      <c r="B309" s="227" t="s">
        <v>1016</v>
      </c>
      <c r="C309" s="87">
        <v>2.4600000000000002E-5</v>
      </c>
      <c r="D309" s="87">
        <v>3.3000000000000003E-5</v>
      </c>
      <c r="E309" s="231">
        <v>37582</v>
      </c>
      <c r="F309" s="231"/>
      <c r="G309" s="232">
        <v>2165</v>
      </c>
      <c r="H309" s="220">
        <v>9125</v>
      </c>
      <c r="I309" s="232">
        <v>5367</v>
      </c>
      <c r="J309" s="231">
        <v>1713</v>
      </c>
      <c r="K309" s="220">
        <f t="shared" si="8"/>
        <v>18370</v>
      </c>
      <c r="L309" s="231"/>
      <c r="M309" s="232">
        <v>1064</v>
      </c>
      <c r="N309" s="232">
        <v>0</v>
      </c>
      <c r="O309" s="231">
        <v>2443</v>
      </c>
      <c r="P309" s="220">
        <f t="shared" si="9"/>
        <v>3507</v>
      </c>
      <c r="Q309" s="231"/>
      <c r="R309" s="232">
        <v>12665</v>
      </c>
      <c r="S309" s="233">
        <v>-169</v>
      </c>
      <c r="T309" s="233">
        <v>12496</v>
      </c>
    </row>
    <row r="310" spans="1:20">
      <c r="A310" s="226">
        <v>93201</v>
      </c>
      <c r="B310" s="227" t="s">
        <v>1017</v>
      </c>
      <c r="C310" s="87">
        <v>1.5517E-2</v>
      </c>
      <c r="D310" s="87">
        <v>1.5819699999999999E-2</v>
      </c>
      <c r="E310" s="231">
        <v>23705678</v>
      </c>
      <c r="F310" s="231"/>
      <c r="G310" s="232">
        <v>1365667</v>
      </c>
      <c r="H310" s="220">
        <v>5755768</v>
      </c>
      <c r="I310" s="232">
        <v>3385499</v>
      </c>
      <c r="J310" s="231">
        <v>809545</v>
      </c>
      <c r="K310" s="220">
        <f t="shared" si="8"/>
        <v>11316479</v>
      </c>
      <c r="L310" s="231"/>
      <c r="M310" s="232">
        <v>671033</v>
      </c>
      <c r="N310" s="232">
        <v>0</v>
      </c>
      <c r="O310" s="231">
        <v>206420</v>
      </c>
      <c r="P310" s="220">
        <f t="shared" si="9"/>
        <v>877453</v>
      </c>
      <c r="Q310" s="231"/>
      <c r="R310" s="232">
        <v>7988834</v>
      </c>
      <c r="S310" s="233">
        <v>397964</v>
      </c>
      <c r="T310" s="233">
        <f>8386799-1</f>
        <v>8386798</v>
      </c>
    </row>
    <row r="311" spans="1:20">
      <c r="A311" s="226">
        <v>93202</v>
      </c>
      <c r="B311" s="227" t="s">
        <v>1018</v>
      </c>
      <c r="C311" s="87">
        <v>0</v>
      </c>
      <c r="D311" s="87">
        <v>0</v>
      </c>
      <c r="E311" s="231">
        <v>0</v>
      </c>
      <c r="F311" s="231"/>
      <c r="G311" s="232">
        <v>0</v>
      </c>
      <c r="H311" s="220">
        <v>0</v>
      </c>
      <c r="I311" s="232">
        <v>0</v>
      </c>
      <c r="J311" s="231">
        <v>0</v>
      </c>
      <c r="K311" s="220">
        <f t="shared" si="8"/>
        <v>0</v>
      </c>
      <c r="L311" s="231"/>
      <c r="M311" s="232">
        <v>0</v>
      </c>
      <c r="N311" s="232">
        <v>0</v>
      </c>
      <c r="O311" s="231">
        <v>212519</v>
      </c>
      <c r="P311" s="220">
        <f t="shared" si="9"/>
        <v>212519</v>
      </c>
      <c r="Q311" s="231"/>
      <c r="R311" s="232">
        <v>0</v>
      </c>
      <c r="S311" s="233">
        <v>-109544</v>
      </c>
      <c r="T311" s="233">
        <v>-109544</v>
      </c>
    </row>
    <row r="312" spans="1:20">
      <c r="A312" s="226">
        <v>93204</v>
      </c>
      <c r="B312" s="227" t="s">
        <v>1019</v>
      </c>
      <c r="C312" s="87">
        <v>3.0279999999999999E-4</v>
      </c>
      <c r="D312" s="87">
        <v>2.9480000000000001E-4</v>
      </c>
      <c r="E312" s="231">
        <v>462595</v>
      </c>
      <c r="F312" s="231"/>
      <c r="G312" s="232">
        <v>26650</v>
      </c>
      <c r="H312" s="220">
        <v>112319</v>
      </c>
      <c r="I312" s="232">
        <v>66065</v>
      </c>
      <c r="J312" s="231">
        <v>24167</v>
      </c>
      <c r="K312" s="220">
        <f t="shared" si="8"/>
        <v>229201</v>
      </c>
      <c r="L312" s="231"/>
      <c r="M312" s="232">
        <v>13095</v>
      </c>
      <c r="N312" s="232">
        <v>0</v>
      </c>
      <c r="O312" s="231">
        <v>9452</v>
      </c>
      <c r="P312" s="220">
        <f t="shared" si="9"/>
        <v>22547</v>
      </c>
      <c r="Q312" s="231"/>
      <c r="R312" s="232">
        <v>155895</v>
      </c>
      <c r="S312" s="233">
        <v>782</v>
      </c>
      <c r="T312" s="233">
        <v>156677</v>
      </c>
    </row>
    <row r="313" spans="1:20">
      <c r="A313" s="226">
        <v>93209</v>
      </c>
      <c r="B313" s="227" t="s">
        <v>1020</v>
      </c>
      <c r="C313" s="87">
        <v>4.6693999999999998E-3</v>
      </c>
      <c r="D313" s="87">
        <v>4.5113999999999996E-3</v>
      </c>
      <c r="E313" s="231">
        <v>7133550</v>
      </c>
      <c r="F313" s="231"/>
      <c r="G313" s="232">
        <v>410959</v>
      </c>
      <c r="H313" s="220">
        <v>1732035</v>
      </c>
      <c r="I313" s="232">
        <v>1018770</v>
      </c>
      <c r="J313" s="231">
        <v>838336</v>
      </c>
      <c r="K313" s="220">
        <f t="shared" si="8"/>
        <v>4000100</v>
      </c>
      <c r="L313" s="231"/>
      <c r="M313" s="232">
        <v>201928</v>
      </c>
      <c r="N313" s="232">
        <v>0</v>
      </c>
      <c r="O313" s="231">
        <v>0</v>
      </c>
      <c r="P313" s="220">
        <f t="shared" si="9"/>
        <v>201928</v>
      </c>
      <c r="Q313" s="231"/>
      <c r="R313" s="232">
        <v>2404013</v>
      </c>
      <c r="S313" s="233">
        <v>551077</v>
      </c>
      <c r="T313" s="233">
        <v>2955090</v>
      </c>
    </row>
    <row r="314" spans="1:20">
      <c r="A314" s="226">
        <v>93211</v>
      </c>
      <c r="B314" s="227" t="s">
        <v>1021</v>
      </c>
      <c r="C314" s="87">
        <v>2.0374099999999999E-2</v>
      </c>
      <c r="D314" s="87">
        <v>2.0456800000000001E-2</v>
      </c>
      <c r="E314" s="231">
        <v>31125981</v>
      </c>
      <c r="F314" s="231"/>
      <c r="G314" s="232">
        <v>1793145</v>
      </c>
      <c r="H314" s="220">
        <v>7557426</v>
      </c>
      <c r="I314" s="232">
        <v>4445221</v>
      </c>
      <c r="J314" s="231">
        <v>0</v>
      </c>
      <c r="K314" s="220">
        <f t="shared" si="8"/>
        <v>13795792</v>
      </c>
      <c r="L314" s="231"/>
      <c r="M314" s="232">
        <v>881078</v>
      </c>
      <c r="N314" s="232">
        <v>0</v>
      </c>
      <c r="O314" s="231">
        <v>991023</v>
      </c>
      <c r="P314" s="220">
        <f t="shared" si="9"/>
        <v>1872101</v>
      </c>
      <c r="Q314" s="231"/>
      <c r="R314" s="232">
        <v>10489483</v>
      </c>
      <c r="S314" s="233">
        <v>-507236</v>
      </c>
      <c r="T314" s="233">
        <v>9982247</v>
      </c>
    </row>
    <row r="315" spans="1:20">
      <c r="A315" s="226">
        <v>93212</v>
      </c>
      <c r="B315" s="227" t="s">
        <v>1022</v>
      </c>
      <c r="C315" s="87">
        <v>2.2130000000000001E-4</v>
      </c>
      <c r="D315" s="87">
        <v>2.052E-4</v>
      </c>
      <c r="E315" s="231">
        <v>338085</v>
      </c>
      <c r="F315" s="231"/>
      <c r="G315" s="232">
        <v>19477</v>
      </c>
      <c r="H315" s="220">
        <v>82087</v>
      </c>
      <c r="I315" s="232">
        <v>48283</v>
      </c>
      <c r="J315" s="231">
        <v>158429</v>
      </c>
      <c r="K315" s="220">
        <f t="shared" si="8"/>
        <v>308276</v>
      </c>
      <c r="L315" s="231"/>
      <c r="M315" s="232">
        <v>9570</v>
      </c>
      <c r="N315" s="232">
        <v>0</v>
      </c>
      <c r="O315" s="231">
        <v>0</v>
      </c>
      <c r="P315" s="220">
        <f t="shared" si="9"/>
        <v>9570</v>
      </c>
      <c r="Q315" s="231"/>
      <c r="R315" s="232">
        <v>113935</v>
      </c>
      <c r="S315" s="233">
        <v>53448</v>
      </c>
      <c r="T315" s="233">
        <v>167383</v>
      </c>
    </row>
    <row r="316" spans="1:20">
      <c r="A316" s="226">
        <v>93219</v>
      </c>
      <c r="B316" s="227" t="s">
        <v>1023</v>
      </c>
      <c r="C316" s="87">
        <v>2.6289999999999999E-4</v>
      </c>
      <c r="D316" s="87">
        <v>2.286E-4</v>
      </c>
      <c r="E316" s="231">
        <v>401638</v>
      </c>
      <c r="F316" s="231"/>
      <c r="G316" s="232">
        <v>23138</v>
      </c>
      <c r="H316" s="220">
        <v>97518</v>
      </c>
      <c r="I316" s="232">
        <v>57360</v>
      </c>
      <c r="J316" s="231">
        <v>22706</v>
      </c>
      <c r="K316" s="220">
        <f t="shared" si="8"/>
        <v>200722</v>
      </c>
      <c r="L316" s="231"/>
      <c r="M316" s="232">
        <v>11369</v>
      </c>
      <c r="N316" s="232">
        <v>0</v>
      </c>
      <c r="O316" s="231">
        <v>9094</v>
      </c>
      <c r="P316" s="220">
        <f t="shared" si="9"/>
        <v>20463</v>
      </c>
      <c r="Q316" s="231"/>
      <c r="R316" s="232">
        <v>135352</v>
      </c>
      <c r="S316" s="233">
        <v>1456</v>
      </c>
      <c r="T316" s="233">
        <f>136809-1</f>
        <v>136808</v>
      </c>
    </row>
    <row r="317" spans="1:20">
      <c r="A317" s="226">
        <v>93301</v>
      </c>
      <c r="B317" s="227" t="s">
        <v>1024</v>
      </c>
      <c r="C317" s="87">
        <v>2.5243000000000002E-3</v>
      </c>
      <c r="D317" s="87">
        <v>2.5330999999999999E-3</v>
      </c>
      <c r="E317" s="231">
        <v>3856431</v>
      </c>
      <c r="F317" s="231"/>
      <c r="G317" s="232">
        <v>222166</v>
      </c>
      <c r="H317" s="220">
        <v>936346</v>
      </c>
      <c r="I317" s="232">
        <v>550752</v>
      </c>
      <c r="J317" s="231">
        <v>47371</v>
      </c>
      <c r="K317" s="220">
        <f t="shared" si="8"/>
        <v>1756635</v>
      </c>
      <c r="L317" s="231"/>
      <c r="M317" s="232">
        <v>109163</v>
      </c>
      <c r="N317" s="232">
        <v>0</v>
      </c>
      <c r="O317" s="231">
        <v>61692</v>
      </c>
      <c r="P317" s="220">
        <f t="shared" si="9"/>
        <v>170855</v>
      </c>
      <c r="Q317" s="231"/>
      <c r="R317" s="232">
        <v>1299621</v>
      </c>
      <c r="S317" s="233">
        <v>-19789</v>
      </c>
      <c r="T317" s="233">
        <f>1279831+1</f>
        <v>1279832</v>
      </c>
    </row>
    <row r="318" spans="1:20">
      <c r="A318" s="226">
        <v>93304</v>
      </c>
      <c r="B318" s="227" t="s">
        <v>1025</v>
      </c>
      <c r="C318" s="87">
        <v>3.0300000000000001E-5</v>
      </c>
      <c r="D318" s="87">
        <v>3.4400000000000003E-5</v>
      </c>
      <c r="E318" s="231">
        <v>46290</v>
      </c>
      <c r="F318" s="231"/>
      <c r="G318" s="232">
        <v>2667</v>
      </c>
      <c r="H318" s="220">
        <v>11239</v>
      </c>
      <c r="I318" s="232">
        <v>6611</v>
      </c>
      <c r="J318" s="231">
        <v>9418</v>
      </c>
      <c r="K318" s="220">
        <f t="shared" si="8"/>
        <v>29935</v>
      </c>
      <c r="L318" s="231"/>
      <c r="M318" s="232">
        <v>1310</v>
      </c>
      <c r="N318" s="232">
        <v>0</v>
      </c>
      <c r="O318" s="231">
        <v>0</v>
      </c>
      <c r="P318" s="220">
        <f t="shared" si="9"/>
        <v>1310</v>
      </c>
      <c r="Q318" s="231"/>
      <c r="R318" s="232">
        <v>15600</v>
      </c>
      <c r="S318" s="233">
        <v>5129</v>
      </c>
      <c r="T318" s="233">
        <v>20729</v>
      </c>
    </row>
    <row r="319" spans="1:20">
      <c r="A319" s="226">
        <v>93305</v>
      </c>
      <c r="B319" s="227" t="s">
        <v>1026</v>
      </c>
      <c r="C319" s="87">
        <v>4.6999999999999997E-5</v>
      </c>
      <c r="D319" s="87">
        <v>4.9400000000000001E-5</v>
      </c>
      <c r="E319" s="231">
        <v>71803</v>
      </c>
      <c r="F319" s="231"/>
      <c r="G319" s="232">
        <v>4137</v>
      </c>
      <c r="H319" s="220">
        <v>17434</v>
      </c>
      <c r="I319" s="232">
        <v>10254</v>
      </c>
      <c r="J319" s="231">
        <v>0</v>
      </c>
      <c r="K319" s="220">
        <f t="shared" si="8"/>
        <v>31825</v>
      </c>
      <c r="L319" s="231"/>
      <c r="M319" s="232">
        <v>2033</v>
      </c>
      <c r="N319" s="232">
        <v>0</v>
      </c>
      <c r="O319" s="231">
        <v>5631</v>
      </c>
      <c r="P319" s="220">
        <f t="shared" si="9"/>
        <v>7664</v>
      </c>
      <c r="Q319" s="231"/>
      <c r="R319" s="232">
        <v>24198</v>
      </c>
      <c r="S319" s="233">
        <v>-1929</v>
      </c>
      <c r="T319" s="233">
        <v>22269</v>
      </c>
    </row>
    <row r="320" spans="1:20">
      <c r="A320" s="226">
        <v>93309</v>
      </c>
      <c r="B320" s="227" t="s">
        <v>1027</v>
      </c>
      <c r="C320" s="87">
        <v>1.63E-4</v>
      </c>
      <c r="D320" s="87">
        <v>1.716E-4</v>
      </c>
      <c r="E320" s="231">
        <v>249019</v>
      </c>
      <c r="F320" s="231"/>
      <c r="G320" s="232">
        <v>14346</v>
      </c>
      <c r="H320" s="220">
        <v>60462</v>
      </c>
      <c r="I320" s="232">
        <v>35563</v>
      </c>
      <c r="J320" s="231">
        <v>22457</v>
      </c>
      <c r="K320" s="220">
        <f t="shared" si="8"/>
        <v>132828</v>
      </c>
      <c r="L320" s="231"/>
      <c r="M320" s="232">
        <v>7049</v>
      </c>
      <c r="N320" s="232">
        <v>0</v>
      </c>
      <c r="O320" s="231">
        <v>981</v>
      </c>
      <c r="P320" s="220">
        <f t="shared" si="9"/>
        <v>8030</v>
      </c>
      <c r="Q320" s="231"/>
      <c r="R320" s="232">
        <v>83920</v>
      </c>
      <c r="S320" s="233">
        <v>7147</v>
      </c>
      <c r="T320" s="233">
        <v>91067</v>
      </c>
    </row>
    <row r="321" spans="1:20">
      <c r="A321" s="226">
        <v>93311</v>
      </c>
      <c r="B321" s="227" t="s">
        <v>1028</v>
      </c>
      <c r="C321" s="87">
        <v>1.1665E-3</v>
      </c>
      <c r="D321" s="87">
        <v>1.1567000000000001E-3</v>
      </c>
      <c r="E321" s="231">
        <v>1782089</v>
      </c>
      <c r="F321" s="231"/>
      <c r="G321" s="232">
        <v>102665</v>
      </c>
      <c r="H321" s="220">
        <v>432693</v>
      </c>
      <c r="I321" s="232">
        <v>254507</v>
      </c>
      <c r="J321" s="231">
        <v>1699</v>
      </c>
      <c r="K321" s="220">
        <f t="shared" si="8"/>
        <v>791564</v>
      </c>
      <c r="L321" s="231"/>
      <c r="M321" s="232">
        <v>50445</v>
      </c>
      <c r="N321" s="232">
        <v>0</v>
      </c>
      <c r="O321" s="231">
        <v>83745</v>
      </c>
      <c r="P321" s="220">
        <f t="shared" si="9"/>
        <v>134190</v>
      </c>
      <c r="Q321" s="231"/>
      <c r="R321" s="232">
        <v>600566</v>
      </c>
      <c r="S321" s="233">
        <v>-37677</v>
      </c>
      <c r="T321" s="233">
        <v>562889</v>
      </c>
    </row>
    <row r="322" spans="1:20">
      <c r="A322" s="226">
        <v>93317</v>
      </c>
      <c r="B322" s="227" t="s">
        <v>1029</v>
      </c>
      <c r="C322" s="87">
        <v>5.0099999999999998E-5</v>
      </c>
      <c r="D322" s="87">
        <v>4.8099999999999997E-5</v>
      </c>
      <c r="E322" s="231">
        <v>76539</v>
      </c>
      <c r="F322" s="231"/>
      <c r="G322" s="232">
        <v>4409</v>
      </c>
      <c r="H322" s="220">
        <v>18583</v>
      </c>
      <c r="I322" s="232">
        <v>10931</v>
      </c>
      <c r="J322" s="231">
        <v>805</v>
      </c>
      <c r="K322" s="220">
        <f t="shared" si="8"/>
        <v>34728</v>
      </c>
      <c r="L322" s="231"/>
      <c r="M322" s="232">
        <v>2167</v>
      </c>
      <c r="N322" s="232">
        <v>0</v>
      </c>
      <c r="O322" s="231">
        <v>277</v>
      </c>
      <c r="P322" s="220">
        <f t="shared" si="9"/>
        <v>2444</v>
      </c>
      <c r="Q322" s="231"/>
      <c r="R322" s="232">
        <v>25794</v>
      </c>
      <c r="S322" s="233">
        <v>-23</v>
      </c>
      <c r="T322" s="233">
        <f>25770+1</f>
        <v>25771</v>
      </c>
    </row>
    <row r="323" spans="1:20">
      <c r="A323" s="226">
        <v>93321</v>
      </c>
      <c r="B323" s="227" t="s">
        <v>1030</v>
      </c>
      <c r="C323" s="87">
        <v>7.3600000000000002E-3</v>
      </c>
      <c r="D323" s="87">
        <v>7.4706E-3</v>
      </c>
      <c r="E323" s="231">
        <v>11244041</v>
      </c>
      <c r="F323" s="231"/>
      <c r="G323" s="232">
        <v>647761</v>
      </c>
      <c r="H323" s="220">
        <v>2730067</v>
      </c>
      <c r="I323" s="232">
        <v>1605805</v>
      </c>
      <c r="J323" s="231">
        <v>0</v>
      </c>
      <c r="K323" s="220">
        <f t="shared" si="8"/>
        <v>4983633</v>
      </c>
      <c r="L323" s="231"/>
      <c r="M323" s="232">
        <v>318283</v>
      </c>
      <c r="N323" s="232">
        <v>0</v>
      </c>
      <c r="O323" s="231">
        <v>681688</v>
      </c>
      <c r="P323" s="220">
        <f t="shared" si="9"/>
        <v>999971</v>
      </c>
      <c r="Q323" s="231"/>
      <c r="R323" s="232">
        <v>3789252</v>
      </c>
      <c r="S323" s="233">
        <v>-330030</v>
      </c>
      <c r="T323" s="233">
        <f>3459221+1</f>
        <v>3459222</v>
      </c>
    </row>
    <row r="324" spans="1:20">
      <c r="A324" s="226">
        <v>93323</v>
      </c>
      <c r="B324" s="227" t="s">
        <v>1031</v>
      </c>
      <c r="C324" s="87">
        <v>2.19E-5</v>
      </c>
      <c r="D324" s="87">
        <v>1.0200000000000001E-5</v>
      </c>
      <c r="E324" s="231">
        <v>33457</v>
      </c>
      <c r="F324" s="231"/>
      <c r="G324" s="232">
        <v>1927</v>
      </c>
      <c r="H324" s="220">
        <v>8123</v>
      </c>
      <c r="I324" s="232">
        <v>4778</v>
      </c>
      <c r="J324" s="231">
        <v>8607</v>
      </c>
      <c r="K324" s="220">
        <f t="shared" si="8"/>
        <v>23435</v>
      </c>
      <c r="L324" s="231"/>
      <c r="M324" s="232">
        <v>947</v>
      </c>
      <c r="N324" s="232">
        <v>0</v>
      </c>
      <c r="O324" s="231">
        <v>1100</v>
      </c>
      <c r="P324" s="220">
        <f t="shared" si="9"/>
        <v>2047</v>
      </c>
      <c r="Q324" s="231"/>
      <c r="R324" s="232">
        <v>11275</v>
      </c>
      <c r="S324" s="233">
        <v>2519</v>
      </c>
      <c r="T324" s="233">
        <v>13794</v>
      </c>
    </row>
    <row r="325" spans="1:20">
      <c r="A325" s="226">
        <v>93331</v>
      </c>
      <c r="B325" s="227" t="s">
        <v>1032</v>
      </c>
      <c r="C325" s="87">
        <v>1.208E-4</v>
      </c>
      <c r="D325" s="87">
        <v>1.3090000000000001E-4</v>
      </c>
      <c r="E325" s="231">
        <v>184549</v>
      </c>
      <c r="F325" s="231"/>
      <c r="G325" s="232">
        <v>10632</v>
      </c>
      <c r="H325" s="220">
        <v>44809</v>
      </c>
      <c r="I325" s="232">
        <v>26356</v>
      </c>
      <c r="J325" s="231">
        <v>2512</v>
      </c>
      <c r="K325" s="220">
        <f t="shared" si="8"/>
        <v>84309</v>
      </c>
      <c r="L325" s="231"/>
      <c r="M325" s="232">
        <v>5224</v>
      </c>
      <c r="N325" s="232">
        <v>0</v>
      </c>
      <c r="O325" s="231">
        <v>11531</v>
      </c>
      <c r="P325" s="220">
        <f t="shared" si="9"/>
        <v>16755</v>
      </c>
      <c r="Q325" s="231"/>
      <c r="R325" s="232">
        <v>62193</v>
      </c>
      <c r="S325" s="233">
        <v>-2506</v>
      </c>
      <c r="T325" s="233">
        <v>59687</v>
      </c>
    </row>
    <row r="326" spans="1:20">
      <c r="A326" s="226">
        <v>93333</v>
      </c>
      <c r="B326" s="227" t="s">
        <v>1033</v>
      </c>
      <c r="C326" s="87">
        <v>1.796E-4</v>
      </c>
      <c r="D326" s="87">
        <v>1.9990000000000001E-4</v>
      </c>
      <c r="E326" s="231">
        <v>274379</v>
      </c>
      <c r="F326" s="231"/>
      <c r="G326" s="232">
        <v>15807</v>
      </c>
      <c r="H326" s="220">
        <v>66619</v>
      </c>
      <c r="I326" s="232">
        <v>39185</v>
      </c>
      <c r="J326" s="231">
        <v>194737</v>
      </c>
      <c r="K326" s="220">
        <f t="shared" si="8"/>
        <v>316348</v>
      </c>
      <c r="L326" s="231"/>
      <c r="M326" s="232">
        <v>7767</v>
      </c>
      <c r="N326" s="232">
        <v>0</v>
      </c>
      <c r="O326" s="231">
        <v>0</v>
      </c>
      <c r="P326" s="220">
        <f t="shared" si="9"/>
        <v>7767</v>
      </c>
      <c r="Q326" s="231"/>
      <c r="R326" s="232">
        <v>92466</v>
      </c>
      <c r="S326" s="233">
        <v>74695</v>
      </c>
      <c r="T326" s="233">
        <v>167161</v>
      </c>
    </row>
    <row r="327" spans="1:20">
      <c r="A327" s="226">
        <v>93341</v>
      </c>
      <c r="B327" s="227" t="s">
        <v>1034</v>
      </c>
      <c r="C327" s="87">
        <v>2.34E-5</v>
      </c>
      <c r="D327" s="87">
        <v>2.73E-5</v>
      </c>
      <c r="E327" s="231">
        <v>35749</v>
      </c>
      <c r="F327" s="231"/>
      <c r="G327" s="232">
        <v>2059</v>
      </c>
      <c r="H327" s="220">
        <v>8680</v>
      </c>
      <c r="I327" s="232">
        <v>5105</v>
      </c>
      <c r="J327" s="231">
        <v>1866</v>
      </c>
      <c r="K327" s="220">
        <f t="shared" si="8"/>
        <v>17710</v>
      </c>
      <c r="L327" s="231"/>
      <c r="M327" s="232">
        <v>1012</v>
      </c>
      <c r="N327" s="232">
        <v>0</v>
      </c>
      <c r="O327" s="231">
        <v>863</v>
      </c>
      <c r="P327" s="220">
        <f t="shared" si="9"/>
        <v>1875</v>
      </c>
      <c r="Q327" s="231"/>
      <c r="R327" s="232">
        <v>12047</v>
      </c>
      <c r="S327" s="233">
        <v>708</v>
      </c>
      <c r="T327" s="233">
        <v>12755</v>
      </c>
    </row>
    <row r="328" spans="1:20">
      <c r="A328" s="226">
        <v>93351</v>
      </c>
      <c r="B328" s="227" t="s">
        <v>1035</v>
      </c>
      <c r="C328" s="87">
        <v>3.4E-5</v>
      </c>
      <c r="D328" s="87">
        <v>1.5999999999999999E-5</v>
      </c>
      <c r="E328" s="231">
        <v>51943</v>
      </c>
      <c r="F328" s="231"/>
      <c r="G328" s="232">
        <v>2992</v>
      </c>
      <c r="H328" s="220">
        <v>12611</v>
      </c>
      <c r="I328" s="232">
        <v>7418</v>
      </c>
      <c r="J328" s="231">
        <v>18867</v>
      </c>
      <c r="K328" s="220">
        <f t="shared" si="8"/>
        <v>41888</v>
      </c>
      <c r="L328" s="231"/>
      <c r="M328" s="232">
        <v>1470</v>
      </c>
      <c r="N328" s="232">
        <v>0</v>
      </c>
      <c r="O328" s="231">
        <v>4169</v>
      </c>
      <c r="P328" s="220">
        <f t="shared" si="9"/>
        <v>5639</v>
      </c>
      <c r="Q328" s="231"/>
      <c r="R328" s="232">
        <v>17505</v>
      </c>
      <c r="S328" s="233">
        <v>2906</v>
      </c>
      <c r="T328" s="233">
        <f>20410+1</f>
        <v>20411</v>
      </c>
    </row>
    <row r="329" spans="1:20">
      <c r="A329" s="226">
        <v>93401</v>
      </c>
      <c r="B329" s="227" t="s">
        <v>1036</v>
      </c>
      <c r="C329" s="87">
        <v>1.3834900000000001E-2</v>
      </c>
      <c r="D329" s="87">
        <v>1.37997E-2</v>
      </c>
      <c r="E329" s="231">
        <v>21135895</v>
      </c>
      <c r="F329" s="231"/>
      <c r="G329" s="232">
        <v>1217623</v>
      </c>
      <c r="H329" s="220">
        <v>5131821</v>
      </c>
      <c r="I329" s="232">
        <v>3018498</v>
      </c>
      <c r="J329" s="231">
        <v>99926</v>
      </c>
      <c r="K329" s="220">
        <f t="shared" ref="K329:K392" si="10">G329+H329+I329+J329</f>
        <v>9467868</v>
      </c>
      <c r="L329" s="231"/>
      <c r="M329" s="232">
        <v>598290</v>
      </c>
      <c r="N329" s="232">
        <v>0</v>
      </c>
      <c r="O329" s="231">
        <v>186001</v>
      </c>
      <c r="P329" s="220">
        <f t="shared" ref="P329:P392" si="11">M329+N329+O329</f>
        <v>784291</v>
      </c>
      <c r="Q329" s="231"/>
      <c r="R329" s="232">
        <v>7122815</v>
      </c>
      <c r="S329" s="233">
        <v>-76616</v>
      </c>
      <c r="T329" s="233">
        <v>7046199</v>
      </c>
    </row>
    <row r="330" spans="1:20">
      <c r="A330" s="226">
        <v>93402</v>
      </c>
      <c r="B330" s="227" t="s">
        <v>1037</v>
      </c>
      <c r="C330" s="87">
        <v>9.8800000000000003E-5</v>
      </c>
      <c r="D330" s="87">
        <v>9.2999999999999997E-5</v>
      </c>
      <c r="E330" s="231">
        <v>150939</v>
      </c>
      <c r="F330" s="231"/>
      <c r="G330" s="232">
        <v>8695</v>
      </c>
      <c r="H330" s="220">
        <v>36648</v>
      </c>
      <c r="I330" s="232">
        <v>21556</v>
      </c>
      <c r="J330" s="231">
        <v>5545</v>
      </c>
      <c r="K330" s="220">
        <f t="shared" si="10"/>
        <v>72444</v>
      </c>
      <c r="L330" s="231"/>
      <c r="M330" s="232">
        <v>4273</v>
      </c>
      <c r="N330" s="232">
        <v>0</v>
      </c>
      <c r="O330" s="231">
        <v>3446</v>
      </c>
      <c r="P330" s="220">
        <f t="shared" si="11"/>
        <v>7719</v>
      </c>
      <c r="Q330" s="231"/>
      <c r="R330" s="232">
        <v>50867</v>
      </c>
      <c r="S330" s="233">
        <v>3029</v>
      </c>
      <c r="T330" s="233">
        <f>53895+1</f>
        <v>53896</v>
      </c>
    </row>
    <row r="331" spans="1:20">
      <c r="A331" s="226">
        <v>93406</v>
      </c>
      <c r="B331" s="227" t="s">
        <v>1038</v>
      </c>
      <c r="C331" s="87">
        <v>6.5059999999999998E-4</v>
      </c>
      <c r="D331" s="87">
        <v>7.1170000000000001E-4</v>
      </c>
      <c r="E331" s="231">
        <v>993937</v>
      </c>
      <c r="F331" s="231"/>
      <c r="G331" s="232">
        <v>57260</v>
      </c>
      <c r="H331" s="220">
        <v>241329</v>
      </c>
      <c r="I331" s="232">
        <v>141948</v>
      </c>
      <c r="J331" s="231">
        <v>26056</v>
      </c>
      <c r="K331" s="220">
        <f t="shared" si="10"/>
        <v>466593</v>
      </c>
      <c r="L331" s="231"/>
      <c r="M331" s="232">
        <v>28135</v>
      </c>
      <c r="N331" s="232">
        <v>0</v>
      </c>
      <c r="O331" s="231">
        <v>48133</v>
      </c>
      <c r="P331" s="220">
        <f t="shared" si="11"/>
        <v>76268</v>
      </c>
      <c r="Q331" s="231"/>
      <c r="R331" s="232">
        <v>334958</v>
      </c>
      <c r="S331" s="233">
        <v>7011</v>
      </c>
      <c r="T331" s="233">
        <f>341968+1</f>
        <v>341969</v>
      </c>
    </row>
    <row r="332" spans="1:20">
      <c r="A332" s="226">
        <v>93408</v>
      </c>
      <c r="B332" s="227" t="s">
        <v>1039</v>
      </c>
      <c r="C332" s="87">
        <v>0</v>
      </c>
      <c r="D332" s="87">
        <v>1.8967999999999999E-3</v>
      </c>
      <c r="E332" s="231">
        <v>0</v>
      </c>
      <c r="F332" s="231"/>
      <c r="G332" s="232">
        <v>0</v>
      </c>
      <c r="H332" s="220">
        <v>0</v>
      </c>
      <c r="I332" s="232">
        <v>0</v>
      </c>
      <c r="J332" s="231">
        <v>173575</v>
      </c>
      <c r="K332" s="220">
        <f t="shared" si="10"/>
        <v>173575</v>
      </c>
      <c r="L332" s="231"/>
      <c r="M332" s="232">
        <v>0</v>
      </c>
      <c r="N332" s="232">
        <v>0</v>
      </c>
      <c r="O332" s="231">
        <v>1605024</v>
      </c>
      <c r="P332" s="220">
        <f t="shared" si="11"/>
        <v>1605024</v>
      </c>
      <c r="Q332" s="231"/>
      <c r="R332" s="232">
        <v>0</v>
      </c>
      <c r="S332" s="233">
        <v>-292149</v>
      </c>
      <c r="T332" s="233">
        <v>-292149</v>
      </c>
    </row>
    <row r="333" spans="1:20">
      <c r="A333" s="226">
        <v>93411</v>
      </c>
      <c r="B333" s="227" t="s">
        <v>1040</v>
      </c>
      <c r="C333" s="87">
        <v>1.7454999999999998E-2</v>
      </c>
      <c r="D333" s="87">
        <v>1.73309E-2</v>
      </c>
      <c r="E333" s="231">
        <v>26666405</v>
      </c>
      <c r="F333" s="231"/>
      <c r="G333" s="232">
        <v>1536232</v>
      </c>
      <c r="H333" s="220">
        <v>6474635</v>
      </c>
      <c r="I333" s="232">
        <v>3808332</v>
      </c>
      <c r="J333" s="231">
        <v>250711</v>
      </c>
      <c r="K333" s="220">
        <f t="shared" si="10"/>
        <v>12069910</v>
      </c>
      <c r="L333" s="231"/>
      <c r="M333" s="232">
        <v>754841</v>
      </c>
      <c r="N333" s="232">
        <v>0</v>
      </c>
      <c r="O333" s="231">
        <v>594754</v>
      </c>
      <c r="P333" s="220">
        <f t="shared" si="11"/>
        <v>1349595</v>
      </c>
      <c r="Q333" s="231"/>
      <c r="R333" s="232">
        <v>8986602</v>
      </c>
      <c r="S333" s="233">
        <v>-306468</v>
      </c>
      <c r="T333" s="233">
        <v>8680134</v>
      </c>
    </row>
    <row r="334" spans="1:20">
      <c r="A334" s="226">
        <v>93413</v>
      </c>
      <c r="B334" s="227" t="s">
        <v>1041</v>
      </c>
      <c r="C334" s="87">
        <v>7.7070000000000003E-4</v>
      </c>
      <c r="D334" s="87">
        <v>8.0130000000000002E-4</v>
      </c>
      <c r="E334" s="231">
        <v>1177416</v>
      </c>
      <c r="F334" s="231"/>
      <c r="G334" s="232">
        <v>67830</v>
      </c>
      <c r="H334" s="220">
        <v>285878</v>
      </c>
      <c r="I334" s="232">
        <v>168151</v>
      </c>
      <c r="J334" s="231">
        <v>0</v>
      </c>
      <c r="K334" s="220">
        <f t="shared" si="10"/>
        <v>521859</v>
      </c>
      <c r="L334" s="231"/>
      <c r="M334" s="232">
        <v>33329</v>
      </c>
      <c r="N334" s="232">
        <v>0</v>
      </c>
      <c r="O334" s="231">
        <v>35372</v>
      </c>
      <c r="P334" s="220">
        <f t="shared" si="11"/>
        <v>68701</v>
      </c>
      <c r="Q334" s="231"/>
      <c r="R334" s="232">
        <v>396790</v>
      </c>
      <c r="S334" s="233">
        <v>-17507</v>
      </c>
      <c r="T334" s="233">
        <v>379283</v>
      </c>
    </row>
    <row r="335" spans="1:20">
      <c r="A335" s="226">
        <v>93417</v>
      </c>
      <c r="B335" s="227" t="s">
        <v>1042</v>
      </c>
      <c r="C335" s="87">
        <v>3.4430000000000002E-4</v>
      </c>
      <c r="D335" s="87">
        <v>4.1130000000000002E-4</v>
      </c>
      <c r="E335" s="231">
        <v>525995</v>
      </c>
      <c r="F335" s="231"/>
      <c r="G335" s="232">
        <v>30302</v>
      </c>
      <c r="H335" s="220">
        <v>127712</v>
      </c>
      <c r="I335" s="232">
        <v>75119</v>
      </c>
      <c r="J335" s="231">
        <v>15432</v>
      </c>
      <c r="K335" s="220">
        <f t="shared" si="10"/>
        <v>248565</v>
      </c>
      <c r="L335" s="231"/>
      <c r="M335" s="232">
        <v>14889</v>
      </c>
      <c r="N335" s="232">
        <v>0</v>
      </c>
      <c r="O335" s="231">
        <v>33069</v>
      </c>
      <c r="P335" s="220">
        <f t="shared" si="11"/>
        <v>47958</v>
      </c>
      <c r="Q335" s="231"/>
      <c r="R335" s="232">
        <v>177261</v>
      </c>
      <c r="S335" s="233">
        <v>5883</v>
      </c>
      <c r="T335" s="233">
        <v>183144</v>
      </c>
    </row>
    <row r="336" spans="1:20">
      <c r="A336" s="226">
        <v>93421</v>
      </c>
      <c r="B336" s="227" t="s">
        <v>1043</v>
      </c>
      <c r="C336" s="87">
        <v>2.1294999999999999E-3</v>
      </c>
      <c r="D336" s="87">
        <v>2.1646E-3</v>
      </c>
      <c r="E336" s="231">
        <v>3253286</v>
      </c>
      <c r="F336" s="231"/>
      <c r="G336" s="232">
        <v>187419</v>
      </c>
      <c r="H336" s="220">
        <v>789902</v>
      </c>
      <c r="I336" s="232">
        <v>464614</v>
      </c>
      <c r="J336" s="231">
        <v>0</v>
      </c>
      <c r="K336" s="220">
        <f t="shared" si="10"/>
        <v>1441935</v>
      </c>
      <c r="L336" s="231"/>
      <c r="M336" s="232">
        <v>92090</v>
      </c>
      <c r="N336" s="232">
        <v>0</v>
      </c>
      <c r="O336" s="231">
        <v>273225</v>
      </c>
      <c r="P336" s="220">
        <f t="shared" si="11"/>
        <v>365315</v>
      </c>
      <c r="Q336" s="231"/>
      <c r="R336" s="232">
        <v>1096360</v>
      </c>
      <c r="S336" s="233">
        <v>-126565</v>
      </c>
      <c r="T336" s="233">
        <v>969795</v>
      </c>
    </row>
    <row r="337" spans="1:20">
      <c r="A337" s="226">
        <v>93431</v>
      </c>
      <c r="B337" s="227" t="s">
        <v>1044</v>
      </c>
      <c r="C337" s="87">
        <v>1.2689999999999999E-4</v>
      </c>
      <c r="D337" s="87">
        <v>1.127E-4</v>
      </c>
      <c r="E337" s="231">
        <v>193868</v>
      </c>
      <c r="F337" s="231"/>
      <c r="G337" s="232">
        <v>11169</v>
      </c>
      <c r="H337" s="220">
        <v>47071</v>
      </c>
      <c r="I337" s="232">
        <v>27687</v>
      </c>
      <c r="J337" s="231">
        <v>12612</v>
      </c>
      <c r="K337" s="220">
        <f t="shared" si="10"/>
        <v>98539</v>
      </c>
      <c r="L337" s="231"/>
      <c r="M337" s="232">
        <v>5488</v>
      </c>
      <c r="N337" s="232">
        <v>0</v>
      </c>
      <c r="O337" s="231">
        <v>5397</v>
      </c>
      <c r="P337" s="220">
        <f t="shared" si="11"/>
        <v>10885</v>
      </c>
      <c r="Q337" s="231"/>
      <c r="R337" s="232">
        <v>65334</v>
      </c>
      <c r="S337" s="233">
        <v>1734</v>
      </c>
      <c r="T337" s="233">
        <v>67068</v>
      </c>
    </row>
    <row r="338" spans="1:20">
      <c r="A338" s="226">
        <v>93441</v>
      </c>
      <c r="B338" s="227" t="s">
        <v>1045</v>
      </c>
      <c r="C338" s="87">
        <v>1.54E-4</v>
      </c>
      <c r="D338" s="87">
        <v>1.4970000000000001E-4</v>
      </c>
      <c r="E338" s="231">
        <v>235269</v>
      </c>
      <c r="F338" s="231"/>
      <c r="G338" s="232">
        <v>13554</v>
      </c>
      <c r="H338" s="220">
        <v>57124</v>
      </c>
      <c r="I338" s="232">
        <v>33600</v>
      </c>
      <c r="J338" s="231">
        <v>30786</v>
      </c>
      <c r="K338" s="220">
        <f t="shared" si="10"/>
        <v>135064</v>
      </c>
      <c r="L338" s="231"/>
      <c r="M338" s="232">
        <v>6660</v>
      </c>
      <c r="N338" s="232">
        <v>0</v>
      </c>
      <c r="O338" s="231">
        <v>0</v>
      </c>
      <c r="P338" s="220">
        <f t="shared" si="11"/>
        <v>6660</v>
      </c>
      <c r="Q338" s="231"/>
      <c r="R338" s="232">
        <v>79286</v>
      </c>
      <c r="S338" s="233">
        <v>14822</v>
      </c>
      <c r="T338" s="233">
        <v>94108</v>
      </c>
    </row>
    <row r="339" spans="1:20">
      <c r="A339" s="226">
        <v>93442</v>
      </c>
      <c r="B339" s="227" t="s">
        <v>1046</v>
      </c>
      <c r="C339" s="87">
        <v>1.505E-4</v>
      </c>
      <c r="D339" s="87">
        <v>1.3540000000000001E-4</v>
      </c>
      <c r="E339" s="231">
        <v>229922</v>
      </c>
      <c r="F339" s="231"/>
      <c r="G339" s="232">
        <v>13246</v>
      </c>
      <c r="H339" s="220">
        <v>55826</v>
      </c>
      <c r="I339" s="232">
        <v>32836</v>
      </c>
      <c r="J339" s="231">
        <v>5191</v>
      </c>
      <c r="K339" s="220">
        <f t="shared" si="10"/>
        <v>107099</v>
      </c>
      <c r="L339" s="231"/>
      <c r="M339" s="232">
        <v>6508</v>
      </c>
      <c r="N339" s="232">
        <v>0</v>
      </c>
      <c r="O339" s="231">
        <v>20988</v>
      </c>
      <c r="P339" s="220">
        <f t="shared" si="11"/>
        <v>27496</v>
      </c>
      <c r="Q339" s="231"/>
      <c r="R339" s="232">
        <v>77484</v>
      </c>
      <c r="S339" s="233">
        <v>-6353</v>
      </c>
      <c r="T339" s="233">
        <v>71131</v>
      </c>
    </row>
    <row r="340" spans="1:20">
      <c r="A340" s="226">
        <v>93451</v>
      </c>
      <c r="B340" s="227" t="s">
        <v>1047</v>
      </c>
      <c r="C340" s="87">
        <v>7.0900000000000002E-5</v>
      </c>
      <c r="D340" s="87">
        <v>7.6899999999999999E-5</v>
      </c>
      <c r="E340" s="231">
        <v>108316</v>
      </c>
      <c r="F340" s="231"/>
      <c r="G340" s="232">
        <v>6240</v>
      </c>
      <c r="H340" s="220">
        <v>26299</v>
      </c>
      <c r="I340" s="232">
        <v>15469</v>
      </c>
      <c r="J340" s="231">
        <v>16242</v>
      </c>
      <c r="K340" s="220">
        <f t="shared" si="10"/>
        <v>64250</v>
      </c>
      <c r="L340" s="231"/>
      <c r="M340" s="232">
        <v>3066</v>
      </c>
      <c r="N340" s="232">
        <v>0</v>
      </c>
      <c r="O340" s="231">
        <v>1492</v>
      </c>
      <c r="P340" s="220">
        <f t="shared" si="11"/>
        <v>4558</v>
      </c>
      <c r="Q340" s="231"/>
      <c r="R340" s="232">
        <v>36502</v>
      </c>
      <c r="S340" s="233">
        <v>5181</v>
      </c>
      <c r="T340" s="233">
        <f>41684-1</f>
        <v>41683</v>
      </c>
    </row>
    <row r="341" spans="1:20">
      <c r="A341" s="226">
        <v>93461</v>
      </c>
      <c r="B341" s="227" t="s">
        <v>1048</v>
      </c>
      <c r="C341" s="87">
        <v>1.66E-5</v>
      </c>
      <c r="D341" s="87">
        <v>1.7200000000000001E-5</v>
      </c>
      <c r="E341" s="231">
        <v>25360</v>
      </c>
      <c r="F341" s="231"/>
      <c r="G341" s="232">
        <v>1461</v>
      </c>
      <c r="H341" s="220">
        <v>6157</v>
      </c>
      <c r="I341" s="232">
        <v>3622</v>
      </c>
      <c r="J341" s="231">
        <v>580</v>
      </c>
      <c r="K341" s="220">
        <f t="shared" si="10"/>
        <v>11820</v>
      </c>
      <c r="L341" s="231"/>
      <c r="M341" s="232">
        <v>718</v>
      </c>
      <c r="N341" s="232">
        <v>0</v>
      </c>
      <c r="O341" s="231">
        <v>0</v>
      </c>
      <c r="P341" s="220">
        <f t="shared" si="11"/>
        <v>718</v>
      </c>
      <c r="Q341" s="231"/>
      <c r="R341" s="232">
        <v>8546</v>
      </c>
      <c r="S341" s="233">
        <v>254</v>
      </c>
      <c r="T341" s="233">
        <f>8801-1</f>
        <v>8800</v>
      </c>
    </row>
    <row r="342" spans="1:20">
      <c r="A342" s="226">
        <v>93471</v>
      </c>
      <c r="B342" s="227" t="s">
        <v>1049</v>
      </c>
      <c r="C342" s="87">
        <v>1.31E-5</v>
      </c>
      <c r="D342" s="87">
        <v>1.1800000000000001E-5</v>
      </c>
      <c r="E342" s="231">
        <v>20013</v>
      </c>
      <c r="F342" s="231"/>
      <c r="G342" s="232">
        <v>1153</v>
      </c>
      <c r="H342" s="220">
        <v>4859</v>
      </c>
      <c r="I342" s="232">
        <v>2858</v>
      </c>
      <c r="J342" s="231">
        <v>4280</v>
      </c>
      <c r="K342" s="220">
        <f t="shared" si="10"/>
        <v>13150</v>
      </c>
      <c r="L342" s="231"/>
      <c r="M342" s="232">
        <v>567</v>
      </c>
      <c r="N342" s="232">
        <v>0</v>
      </c>
      <c r="O342" s="231">
        <v>63</v>
      </c>
      <c r="P342" s="220">
        <f t="shared" si="11"/>
        <v>630</v>
      </c>
      <c r="Q342" s="231"/>
      <c r="R342" s="232">
        <v>6744</v>
      </c>
      <c r="S342" s="233">
        <v>1243</v>
      </c>
      <c r="T342" s="233">
        <v>7987</v>
      </c>
    </row>
    <row r="343" spans="1:20">
      <c r="A343" s="226">
        <v>93501</v>
      </c>
      <c r="B343" s="227" t="s">
        <v>1050</v>
      </c>
      <c r="C343" s="87">
        <v>3.6113999999999999E-3</v>
      </c>
      <c r="D343" s="87">
        <v>3.4039000000000001E-3</v>
      </c>
      <c r="E343" s="231">
        <v>5517219</v>
      </c>
      <c r="F343" s="231"/>
      <c r="G343" s="232">
        <v>317843</v>
      </c>
      <c r="H343" s="220">
        <v>1339587</v>
      </c>
      <c r="I343" s="232">
        <v>787935</v>
      </c>
      <c r="J343" s="231">
        <v>233815</v>
      </c>
      <c r="K343" s="220">
        <f t="shared" si="10"/>
        <v>2679180</v>
      </c>
      <c r="L343" s="231"/>
      <c r="M343" s="232">
        <v>156175</v>
      </c>
      <c r="N343" s="232">
        <v>0</v>
      </c>
      <c r="O343" s="231">
        <v>57589</v>
      </c>
      <c r="P343" s="220">
        <f t="shared" si="11"/>
        <v>213764</v>
      </c>
      <c r="Q343" s="231"/>
      <c r="R343" s="232">
        <v>1859308</v>
      </c>
      <c r="S343" s="233">
        <v>88331</v>
      </c>
      <c r="T343" s="233">
        <v>1947639</v>
      </c>
    </row>
    <row r="344" spans="1:20">
      <c r="A344" s="226">
        <v>93511</v>
      </c>
      <c r="B344" s="227" t="s">
        <v>1051</v>
      </c>
      <c r="C344" s="87">
        <v>8.8300000000000005E-5</v>
      </c>
      <c r="D344" s="87">
        <v>9.8999999999999994E-5</v>
      </c>
      <c r="E344" s="231">
        <v>134898</v>
      </c>
      <c r="F344" s="231"/>
      <c r="G344" s="232">
        <v>7771</v>
      </c>
      <c r="H344" s="220">
        <v>32753</v>
      </c>
      <c r="I344" s="232">
        <v>19265</v>
      </c>
      <c r="J344" s="231">
        <v>2589</v>
      </c>
      <c r="K344" s="220">
        <f t="shared" si="10"/>
        <v>62378</v>
      </c>
      <c r="L344" s="231"/>
      <c r="M344" s="232">
        <v>3819</v>
      </c>
      <c r="N344" s="232">
        <v>0</v>
      </c>
      <c r="O344" s="231">
        <v>13801</v>
      </c>
      <c r="P344" s="220">
        <f t="shared" si="11"/>
        <v>17620</v>
      </c>
      <c r="Q344" s="231"/>
      <c r="R344" s="232">
        <v>45461</v>
      </c>
      <c r="S344" s="233">
        <v>-2683</v>
      </c>
      <c r="T344" s="233">
        <v>42778</v>
      </c>
    </row>
    <row r="345" spans="1:20">
      <c r="A345" s="226">
        <v>93517</v>
      </c>
      <c r="B345" s="227" t="s">
        <v>1052</v>
      </c>
      <c r="C345" s="87">
        <v>6.0000000000000002E-6</v>
      </c>
      <c r="D345" s="87">
        <v>6.4999999999999996E-6</v>
      </c>
      <c r="E345" s="231">
        <v>9166</v>
      </c>
      <c r="F345" s="231"/>
      <c r="G345" s="232">
        <v>528</v>
      </c>
      <c r="H345" s="220">
        <v>2226</v>
      </c>
      <c r="I345" s="232">
        <v>1309</v>
      </c>
      <c r="J345" s="231">
        <v>3133</v>
      </c>
      <c r="K345" s="220">
        <f t="shared" si="10"/>
        <v>7196</v>
      </c>
      <c r="L345" s="231"/>
      <c r="M345" s="232">
        <v>259</v>
      </c>
      <c r="N345" s="232">
        <v>0</v>
      </c>
      <c r="O345" s="231">
        <v>503</v>
      </c>
      <c r="P345" s="220">
        <f t="shared" si="11"/>
        <v>762</v>
      </c>
      <c r="Q345" s="231"/>
      <c r="R345" s="232">
        <v>3089</v>
      </c>
      <c r="S345" s="233">
        <v>771</v>
      </c>
      <c r="T345" s="233">
        <v>3860</v>
      </c>
    </row>
    <row r="346" spans="1:20">
      <c r="A346" s="226">
        <v>93521</v>
      </c>
      <c r="B346" s="227" t="s">
        <v>1053</v>
      </c>
      <c r="C346" s="87">
        <v>4.5649999999999998E-4</v>
      </c>
      <c r="D346" s="87">
        <v>5.6389999999999999E-4</v>
      </c>
      <c r="E346" s="231">
        <v>697406</v>
      </c>
      <c r="F346" s="231"/>
      <c r="G346" s="232">
        <v>40177</v>
      </c>
      <c r="H346" s="220">
        <v>169331</v>
      </c>
      <c r="I346" s="232">
        <v>99599</v>
      </c>
      <c r="J346" s="231">
        <v>7159</v>
      </c>
      <c r="K346" s="220">
        <f t="shared" si="10"/>
        <v>316266</v>
      </c>
      <c r="L346" s="231"/>
      <c r="M346" s="232">
        <v>19741</v>
      </c>
      <c r="N346" s="232">
        <v>0</v>
      </c>
      <c r="O346" s="231">
        <v>74583</v>
      </c>
      <c r="P346" s="220">
        <f t="shared" si="11"/>
        <v>94324</v>
      </c>
      <c r="Q346" s="231"/>
      <c r="R346" s="232">
        <v>235026</v>
      </c>
      <c r="S346" s="233">
        <v>-19847</v>
      </c>
      <c r="T346" s="233">
        <f>215180-1</f>
        <v>215179</v>
      </c>
    </row>
    <row r="347" spans="1:20">
      <c r="A347" s="226">
        <v>93527</v>
      </c>
      <c r="B347" s="227" t="s">
        <v>1054</v>
      </c>
      <c r="C347" s="87">
        <v>1.2099999999999999E-5</v>
      </c>
      <c r="D347" s="87">
        <v>5.4E-6</v>
      </c>
      <c r="E347" s="231">
        <v>18485</v>
      </c>
      <c r="F347" s="231"/>
      <c r="G347" s="232">
        <v>1065</v>
      </c>
      <c r="H347" s="220">
        <v>4488</v>
      </c>
      <c r="I347" s="232">
        <v>2640</v>
      </c>
      <c r="J347" s="231">
        <v>15016</v>
      </c>
      <c r="K347" s="220">
        <f t="shared" si="10"/>
        <v>23209</v>
      </c>
      <c r="L347" s="231"/>
      <c r="M347" s="232">
        <v>523</v>
      </c>
      <c r="N347" s="232">
        <v>0</v>
      </c>
      <c r="O347" s="231">
        <v>0</v>
      </c>
      <c r="P347" s="220">
        <f t="shared" si="11"/>
        <v>523</v>
      </c>
      <c r="Q347" s="231"/>
      <c r="R347" s="232">
        <v>6230</v>
      </c>
      <c r="S347" s="233">
        <v>5872</v>
      </c>
      <c r="T347" s="233">
        <f>12101+1</f>
        <v>12102</v>
      </c>
    </row>
    <row r="348" spans="1:20">
      <c r="A348" s="226">
        <v>93531</v>
      </c>
      <c r="B348" s="227" t="s">
        <v>1055</v>
      </c>
      <c r="C348" s="87">
        <v>1.7E-5</v>
      </c>
      <c r="D348" s="87">
        <v>2.4000000000000001E-5</v>
      </c>
      <c r="E348" s="231">
        <v>25971</v>
      </c>
      <c r="F348" s="231"/>
      <c r="G348" s="232">
        <v>1496</v>
      </c>
      <c r="H348" s="220">
        <v>6306</v>
      </c>
      <c r="I348" s="232">
        <v>3709</v>
      </c>
      <c r="J348" s="231">
        <v>791</v>
      </c>
      <c r="K348" s="220">
        <f t="shared" si="10"/>
        <v>12302</v>
      </c>
      <c r="L348" s="231"/>
      <c r="M348" s="232">
        <v>735</v>
      </c>
      <c r="N348" s="232">
        <v>0</v>
      </c>
      <c r="O348" s="231">
        <v>2743</v>
      </c>
      <c r="P348" s="220">
        <f t="shared" si="11"/>
        <v>3478</v>
      </c>
      <c r="Q348" s="231"/>
      <c r="R348" s="232">
        <v>8752</v>
      </c>
      <c r="S348" s="233">
        <v>-1210</v>
      </c>
      <c r="T348" s="233">
        <v>7542</v>
      </c>
    </row>
    <row r="349" spans="1:20">
      <c r="A349" s="226">
        <v>93537</v>
      </c>
      <c r="B349" s="227" t="s">
        <v>1056</v>
      </c>
      <c r="C349" s="87">
        <v>1.1199999999999999E-5</v>
      </c>
      <c r="D349" s="87">
        <v>1.17E-5</v>
      </c>
      <c r="E349" s="231">
        <v>17110</v>
      </c>
      <c r="F349" s="231"/>
      <c r="G349" s="232">
        <v>986</v>
      </c>
      <c r="H349" s="220">
        <v>4154</v>
      </c>
      <c r="I349" s="232">
        <v>2444</v>
      </c>
      <c r="J349" s="231">
        <v>0</v>
      </c>
      <c r="K349" s="220">
        <f t="shared" si="10"/>
        <v>7584</v>
      </c>
      <c r="L349" s="231"/>
      <c r="M349" s="232">
        <v>484</v>
      </c>
      <c r="N349" s="232">
        <v>0</v>
      </c>
      <c r="O349" s="231">
        <v>1898</v>
      </c>
      <c r="P349" s="220">
        <f t="shared" si="11"/>
        <v>2382</v>
      </c>
      <c r="Q349" s="231"/>
      <c r="R349" s="232">
        <v>5766</v>
      </c>
      <c r="S349" s="233">
        <v>-575</v>
      </c>
      <c r="T349" s="233">
        <v>5191</v>
      </c>
    </row>
    <row r="350" spans="1:20">
      <c r="A350" s="226">
        <v>93541</v>
      </c>
      <c r="B350" s="227" t="s">
        <v>1057</v>
      </c>
      <c r="C350" s="87">
        <v>1.0560000000000001E-4</v>
      </c>
      <c r="D350" s="87">
        <v>1.061E-4</v>
      </c>
      <c r="E350" s="231">
        <v>161328</v>
      </c>
      <c r="F350" s="231"/>
      <c r="G350" s="232">
        <v>9294</v>
      </c>
      <c r="H350" s="220">
        <v>39171</v>
      </c>
      <c r="I350" s="232">
        <v>23040</v>
      </c>
      <c r="J350" s="231">
        <v>4560</v>
      </c>
      <c r="K350" s="220">
        <f t="shared" si="10"/>
        <v>76065</v>
      </c>
      <c r="L350" s="231"/>
      <c r="M350" s="232">
        <v>4567</v>
      </c>
      <c r="N350" s="232">
        <v>0</v>
      </c>
      <c r="O350" s="231">
        <v>781</v>
      </c>
      <c r="P350" s="220">
        <f t="shared" si="11"/>
        <v>5348</v>
      </c>
      <c r="Q350" s="231"/>
      <c r="R350" s="232">
        <v>54368</v>
      </c>
      <c r="S350" s="233">
        <v>4003</v>
      </c>
      <c r="T350" s="233">
        <f>58370+1</f>
        <v>58371</v>
      </c>
    </row>
    <row r="351" spans="1:20">
      <c r="A351" s="226">
        <v>93601</v>
      </c>
      <c r="B351" s="227" t="s">
        <v>1058</v>
      </c>
      <c r="C351" s="87">
        <v>1.0721400000000001E-2</v>
      </c>
      <c r="D351" s="87">
        <v>1.1139899999999999E-2</v>
      </c>
      <c r="E351" s="231">
        <v>16379329</v>
      </c>
      <c r="F351" s="231"/>
      <c r="G351" s="232">
        <v>943601</v>
      </c>
      <c r="H351" s="220">
        <v>3976921</v>
      </c>
      <c r="I351" s="232">
        <v>2339195</v>
      </c>
      <c r="J351" s="231">
        <v>65732</v>
      </c>
      <c r="K351" s="220">
        <f t="shared" si="10"/>
        <v>7325449</v>
      </c>
      <c r="L351" s="231"/>
      <c r="M351" s="232">
        <v>463647</v>
      </c>
      <c r="N351" s="232">
        <v>0</v>
      </c>
      <c r="O351" s="231">
        <v>282932</v>
      </c>
      <c r="P351" s="220">
        <f t="shared" si="11"/>
        <v>746579</v>
      </c>
      <c r="Q351" s="231"/>
      <c r="R351" s="232">
        <v>5519848</v>
      </c>
      <c r="S351" s="233">
        <v>-87424</v>
      </c>
      <c r="T351" s="233">
        <f>5432425-1</f>
        <v>5432424</v>
      </c>
    </row>
    <row r="352" spans="1:20">
      <c r="A352" s="226">
        <v>93602</v>
      </c>
      <c r="B352" s="227" t="s">
        <v>1059</v>
      </c>
      <c r="C352" s="87">
        <v>1.7540000000000001E-4</v>
      </c>
      <c r="D352" s="87">
        <v>1.7200000000000001E-4</v>
      </c>
      <c r="E352" s="231">
        <v>267963</v>
      </c>
      <c r="F352" s="231"/>
      <c r="G352" s="232">
        <v>15437</v>
      </c>
      <c r="H352" s="220">
        <v>65062</v>
      </c>
      <c r="I352" s="232">
        <v>38269</v>
      </c>
      <c r="J352" s="231">
        <v>4381</v>
      </c>
      <c r="K352" s="220">
        <f t="shared" si="10"/>
        <v>123149</v>
      </c>
      <c r="L352" s="231"/>
      <c r="M352" s="232">
        <v>7585</v>
      </c>
      <c r="N352" s="232">
        <v>0</v>
      </c>
      <c r="O352" s="231">
        <v>10262</v>
      </c>
      <c r="P352" s="220">
        <f t="shared" si="11"/>
        <v>17847</v>
      </c>
      <c r="Q352" s="231"/>
      <c r="R352" s="232">
        <v>90304</v>
      </c>
      <c r="S352" s="233">
        <v>-2871</v>
      </c>
      <c r="T352" s="233">
        <v>87433</v>
      </c>
    </row>
    <row r="353" spans="1:20">
      <c r="A353" s="226">
        <v>93609</v>
      </c>
      <c r="B353" s="227" t="s">
        <v>1060</v>
      </c>
      <c r="C353" s="87">
        <v>3.7629999999999999E-3</v>
      </c>
      <c r="D353" s="87">
        <v>3.0569E-3</v>
      </c>
      <c r="E353" s="231">
        <v>5748822</v>
      </c>
      <c r="F353" s="231"/>
      <c r="G353" s="232">
        <v>331185</v>
      </c>
      <c r="H353" s="220">
        <v>1395821</v>
      </c>
      <c r="I353" s="232">
        <v>821011</v>
      </c>
      <c r="J353" s="231">
        <v>823315</v>
      </c>
      <c r="K353" s="220">
        <f t="shared" si="10"/>
        <v>3371332</v>
      </c>
      <c r="L353" s="231"/>
      <c r="M353" s="232">
        <v>162731</v>
      </c>
      <c r="N353" s="232">
        <v>0</v>
      </c>
      <c r="O353" s="231">
        <v>0</v>
      </c>
      <c r="P353" s="220">
        <f t="shared" si="11"/>
        <v>162731</v>
      </c>
      <c r="Q353" s="231"/>
      <c r="R353" s="232">
        <v>1937358</v>
      </c>
      <c r="S353" s="233">
        <v>360052</v>
      </c>
      <c r="T353" s="233">
        <v>2297410</v>
      </c>
    </row>
    <row r="354" spans="1:20">
      <c r="A354" s="226">
        <v>93610</v>
      </c>
      <c r="B354" s="227" t="s">
        <v>1061</v>
      </c>
      <c r="C354" s="87">
        <v>1.33E-5</v>
      </c>
      <c r="D354" s="87">
        <v>6.4999999999999996E-6</v>
      </c>
      <c r="E354" s="231">
        <v>20319</v>
      </c>
      <c r="F354" s="231"/>
      <c r="G354" s="232">
        <v>1171</v>
      </c>
      <c r="H354" s="220">
        <v>4933</v>
      </c>
      <c r="I354" s="232">
        <v>2902</v>
      </c>
      <c r="J354" s="231">
        <v>6303</v>
      </c>
      <c r="K354" s="220">
        <f t="shared" si="10"/>
        <v>15309</v>
      </c>
      <c r="L354" s="231"/>
      <c r="M354" s="232">
        <v>575</v>
      </c>
      <c r="N354" s="232">
        <v>0</v>
      </c>
      <c r="O354" s="231">
        <v>3373</v>
      </c>
      <c r="P354" s="220">
        <f t="shared" si="11"/>
        <v>3948</v>
      </c>
      <c r="Q354" s="231"/>
      <c r="R354" s="232">
        <v>6847</v>
      </c>
      <c r="S354" s="233">
        <v>1242</v>
      </c>
      <c r="T354" s="233">
        <f>8090-1</f>
        <v>8089</v>
      </c>
    </row>
    <row r="355" spans="1:20">
      <c r="A355" s="226">
        <v>93611</v>
      </c>
      <c r="B355" s="227" t="s">
        <v>1062</v>
      </c>
      <c r="C355" s="87">
        <v>6.9544000000000003E-3</v>
      </c>
      <c r="D355" s="87">
        <v>6.9325000000000003E-3</v>
      </c>
      <c r="E355" s="231">
        <v>10624397</v>
      </c>
      <c r="F355" s="231"/>
      <c r="G355" s="232">
        <v>612064</v>
      </c>
      <c r="H355" s="220">
        <v>2579617</v>
      </c>
      <c r="I355" s="232">
        <v>1517311</v>
      </c>
      <c r="J355" s="231">
        <v>61146</v>
      </c>
      <c r="K355" s="220">
        <f t="shared" si="10"/>
        <v>4770138</v>
      </c>
      <c r="L355" s="231"/>
      <c r="M355" s="232">
        <v>300743</v>
      </c>
      <c r="N355" s="232">
        <v>0</v>
      </c>
      <c r="O355" s="231">
        <v>153061</v>
      </c>
      <c r="P355" s="220">
        <f t="shared" si="11"/>
        <v>453804</v>
      </c>
      <c r="Q355" s="231"/>
      <c r="R355" s="232">
        <v>3580431</v>
      </c>
      <c r="S355" s="233">
        <v>-98066</v>
      </c>
      <c r="T355" s="233">
        <v>3482365</v>
      </c>
    </row>
    <row r="356" spans="1:20">
      <c r="A356" s="226">
        <v>93617</v>
      </c>
      <c r="B356" s="227" t="s">
        <v>1063</v>
      </c>
      <c r="C356" s="87">
        <v>8.2799999999999993E-5</v>
      </c>
      <c r="D356" s="87">
        <v>9.5000000000000005E-5</v>
      </c>
      <c r="E356" s="231">
        <v>126495</v>
      </c>
      <c r="F356" s="231"/>
      <c r="G356" s="232">
        <v>7287</v>
      </c>
      <c r="H356" s="220">
        <v>30714</v>
      </c>
      <c r="I356" s="232">
        <v>18065</v>
      </c>
      <c r="J356" s="231">
        <v>19622</v>
      </c>
      <c r="K356" s="220">
        <f t="shared" si="10"/>
        <v>75688</v>
      </c>
      <c r="L356" s="231"/>
      <c r="M356" s="232">
        <v>3581</v>
      </c>
      <c r="N356" s="232">
        <v>0</v>
      </c>
      <c r="O356" s="231">
        <v>0</v>
      </c>
      <c r="P356" s="220">
        <f t="shared" si="11"/>
        <v>3581</v>
      </c>
      <c r="Q356" s="231"/>
      <c r="R356" s="232">
        <v>42629</v>
      </c>
      <c r="S356" s="233">
        <v>10180</v>
      </c>
      <c r="T356" s="233">
        <v>52809</v>
      </c>
    </row>
    <row r="357" spans="1:20">
      <c r="A357" s="226">
        <v>93618</v>
      </c>
      <c r="B357" s="227" t="s">
        <v>1064</v>
      </c>
      <c r="C357" s="87">
        <v>1.11E-5</v>
      </c>
      <c r="D357" s="87">
        <v>1.17E-5</v>
      </c>
      <c r="E357" s="231">
        <v>16958</v>
      </c>
      <c r="F357" s="231"/>
      <c r="G357" s="232">
        <v>977</v>
      </c>
      <c r="H357" s="220">
        <v>4117</v>
      </c>
      <c r="I357" s="232">
        <v>2422</v>
      </c>
      <c r="J357" s="231">
        <v>33625</v>
      </c>
      <c r="K357" s="220">
        <f t="shared" si="10"/>
        <v>41141</v>
      </c>
      <c r="L357" s="231"/>
      <c r="M357" s="232">
        <v>480</v>
      </c>
      <c r="N357" s="232">
        <v>0</v>
      </c>
      <c r="O357" s="231">
        <v>0</v>
      </c>
      <c r="P357" s="220">
        <f t="shared" si="11"/>
        <v>480</v>
      </c>
      <c r="Q357" s="231"/>
      <c r="R357" s="232">
        <v>5715</v>
      </c>
      <c r="S357" s="233">
        <v>12182</v>
      </c>
      <c r="T357" s="233">
        <v>17897</v>
      </c>
    </row>
    <row r="358" spans="1:20">
      <c r="A358" s="226">
        <v>93621</v>
      </c>
      <c r="B358" s="227" t="s">
        <v>1065</v>
      </c>
      <c r="C358" s="87">
        <v>9.5719999999999996E-4</v>
      </c>
      <c r="D358" s="87">
        <v>8.5320000000000003E-4</v>
      </c>
      <c r="E358" s="231">
        <v>1462336</v>
      </c>
      <c r="F358" s="231"/>
      <c r="G358" s="232">
        <v>84244</v>
      </c>
      <c r="H358" s="220">
        <v>355057</v>
      </c>
      <c r="I358" s="232">
        <v>208842</v>
      </c>
      <c r="J358" s="231">
        <v>48292</v>
      </c>
      <c r="K358" s="220">
        <f t="shared" si="10"/>
        <v>696435</v>
      </c>
      <c r="L358" s="231"/>
      <c r="M358" s="232">
        <v>41394</v>
      </c>
      <c r="N358" s="232">
        <v>0</v>
      </c>
      <c r="O358" s="231">
        <v>79767</v>
      </c>
      <c r="P358" s="220">
        <f t="shared" si="11"/>
        <v>121161</v>
      </c>
      <c r="Q358" s="231"/>
      <c r="R358" s="232">
        <v>492809</v>
      </c>
      <c r="S358" s="233">
        <v>-26570</v>
      </c>
      <c r="T358" s="233">
        <f>466238+1</f>
        <v>466239</v>
      </c>
    </row>
    <row r="359" spans="1:20">
      <c r="A359" s="226">
        <v>93623</v>
      </c>
      <c r="B359" s="227" t="s">
        <v>1066</v>
      </c>
      <c r="C359" s="87">
        <v>1.2799999999999999E-5</v>
      </c>
      <c r="D359" s="87">
        <v>1.2500000000000001E-5</v>
      </c>
      <c r="E359" s="231">
        <v>19555</v>
      </c>
      <c r="F359" s="231"/>
      <c r="G359" s="232">
        <v>1127</v>
      </c>
      <c r="H359" s="220">
        <v>4748</v>
      </c>
      <c r="I359" s="232">
        <v>2793</v>
      </c>
      <c r="J359" s="231">
        <v>5501</v>
      </c>
      <c r="K359" s="220">
        <f t="shared" si="10"/>
        <v>14169</v>
      </c>
      <c r="L359" s="231"/>
      <c r="M359" s="232">
        <v>554</v>
      </c>
      <c r="N359" s="232">
        <v>0</v>
      </c>
      <c r="O359" s="231">
        <v>1</v>
      </c>
      <c r="P359" s="220">
        <f t="shared" si="11"/>
        <v>555</v>
      </c>
      <c r="Q359" s="231"/>
      <c r="R359" s="232">
        <v>6590</v>
      </c>
      <c r="S359" s="233">
        <v>1908</v>
      </c>
      <c r="T359" s="233">
        <v>8498</v>
      </c>
    </row>
    <row r="360" spans="1:20">
      <c r="A360" s="226">
        <v>93631</v>
      </c>
      <c r="B360" s="227" t="s">
        <v>1067</v>
      </c>
      <c r="C360" s="87">
        <v>2.252E-4</v>
      </c>
      <c r="D360" s="87">
        <v>2.3440000000000001E-4</v>
      </c>
      <c r="E360" s="231">
        <v>344043</v>
      </c>
      <c r="F360" s="231"/>
      <c r="G360" s="232">
        <v>19820</v>
      </c>
      <c r="H360" s="220">
        <v>83534</v>
      </c>
      <c r="I360" s="232">
        <v>49134</v>
      </c>
      <c r="J360" s="231">
        <v>435</v>
      </c>
      <c r="K360" s="220">
        <f t="shared" si="10"/>
        <v>152923</v>
      </c>
      <c r="L360" s="231"/>
      <c r="M360" s="232">
        <v>9739</v>
      </c>
      <c r="N360" s="232">
        <v>0</v>
      </c>
      <c r="O360" s="231">
        <v>20459</v>
      </c>
      <c r="P360" s="220">
        <f t="shared" si="11"/>
        <v>30198</v>
      </c>
      <c r="Q360" s="231"/>
      <c r="R360" s="232">
        <v>115943</v>
      </c>
      <c r="S360" s="233">
        <v>-7001</v>
      </c>
      <c r="T360" s="233">
        <v>108942</v>
      </c>
    </row>
    <row r="361" spans="1:20">
      <c r="A361" s="226">
        <v>93641</v>
      </c>
      <c r="B361" s="227" t="s">
        <v>1068</v>
      </c>
      <c r="C361" s="87">
        <v>4.0450000000000002E-4</v>
      </c>
      <c r="D361" s="87">
        <v>4.3550000000000001E-4</v>
      </c>
      <c r="E361" s="231">
        <v>617964</v>
      </c>
      <c r="F361" s="231"/>
      <c r="G361" s="232">
        <v>35600</v>
      </c>
      <c r="H361" s="220">
        <v>150042</v>
      </c>
      <c r="I361" s="232">
        <v>88254</v>
      </c>
      <c r="J361" s="231">
        <v>14033</v>
      </c>
      <c r="K361" s="220">
        <f t="shared" si="10"/>
        <v>287929</v>
      </c>
      <c r="L361" s="231"/>
      <c r="M361" s="232">
        <v>17493</v>
      </c>
      <c r="N361" s="232">
        <v>0</v>
      </c>
      <c r="O361" s="231">
        <v>11062</v>
      </c>
      <c r="P361" s="220">
        <f t="shared" si="11"/>
        <v>28555</v>
      </c>
      <c r="Q361" s="231"/>
      <c r="R361" s="232">
        <v>208254</v>
      </c>
      <c r="S361" s="233">
        <v>4772</v>
      </c>
      <c r="T361" s="233">
        <v>213026</v>
      </c>
    </row>
    <row r="362" spans="1:20">
      <c r="A362" s="226">
        <v>93647</v>
      </c>
      <c r="B362" s="227" t="s">
        <v>1069</v>
      </c>
      <c r="C362" s="87">
        <v>6.0000000000000002E-6</v>
      </c>
      <c r="D362" s="87">
        <v>6.1E-6</v>
      </c>
      <c r="E362" s="231">
        <v>9166</v>
      </c>
      <c r="F362" s="231"/>
      <c r="G362" s="232">
        <v>528</v>
      </c>
      <c r="H362" s="220">
        <v>2226</v>
      </c>
      <c r="I362" s="232">
        <v>1309</v>
      </c>
      <c r="J362" s="231">
        <v>12039</v>
      </c>
      <c r="K362" s="220">
        <f t="shared" si="10"/>
        <v>16102</v>
      </c>
      <c r="L362" s="231"/>
      <c r="M362" s="232">
        <v>259</v>
      </c>
      <c r="N362" s="232">
        <v>0</v>
      </c>
      <c r="O362" s="231">
        <v>0</v>
      </c>
      <c r="P362" s="220">
        <f t="shared" si="11"/>
        <v>259</v>
      </c>
      <c r="Q362" s="231"/>
      <c r="R362" s="232">
        <v>3089</v>
      </c>
      <c r="S362" s="233">
        <v>4642</v>
      </c>
      <c r="T362" s="233">
        <v>7731</v>
      </c>
    </row>
    <row r="363" spans="1:20">
      <c r="A363" s="226">
        <v>93651</v>
      </c>
      <c r="B363" s="227" t="s">
        <v>1070</v>
      </c>
      <c r="C363" s="87">
        <v>4.3800000000000002E-4</v>
      </c>
      <c r="D363" s="87">
        <v>4.282E-4</v>
      </c>
      <c r="E363" s="231">
        <v>669143</v>
      </c>
      <c r="F363" s="231"/>
      <c r="G363" s="232">
        <v>38549</v>
      </c>
      <c r="H363" s="220">
        <v>162468</v>
      </c>
      <c r="I363" s="232">
        <v>95563</v>
      </c>
      <c r="J363" s="231">
        <v>5830</v>
      </c>
      <c r="K363" s="220">
        <f t="shared" si="10"/>
        <v>302410</v>
      </c>
      <c r="L363" s="231"/>
      <c r="M363" s="232">
        <v>18941</v>
      </c>
      <c r="N363" s="232">
        <v>0</v>
      </c>
      <c r="O363" s="231">
        <v>13910</v>
      </c>
      <c r="P363" s="220">
        <f t="shared" si="11"/>
        <v>32851</v>
      </c>
      <c r="Q363" s="231"/>
      <c r="R363" s="232">
        <v>225502</v>
      </c>
      <c r="S363" s="233">
        <v>-1521</v>
      </c>
      <c r="T363" s="233">
        <f>223980+1</f>
        <v>223981</v>
      </c>
    </row>
    <row r="364" spans="1:20">
      <c r="A364" s="226">
        <v>93661</v>
      </c>
      <c r="B364" s="227" t="s">
        <v>1071</v>
      </c>
      <c r="C364" s="87">
        <v>1.3410000000000001E-4</v>
      </c>
      <c r="D364" s="87">
        <v>1.3420000000000001E-4</v>
      </c>
      <c r="E364" s="231">
        <v>204868</v>
      </c>
      <c r="F364" s="231"/>
      <c r="G364" s="232">
        <v>11802</v>
      </c>
      <c r="H364" s="220">
        <v>49742</v>
      </c>
      <c r="I364" s="232">
        <v>29258</v>
      </c>
      <c r="J364" s="231">
        <v>11769</v>
      </c>
      <c r="K364" s="220">
        <f t="shared" si="10"/>
        <v>102571</v>
      </c>
      <c r="L364" s="231"/>
      <c r="M364" s="232">
        <v>5799</v>
      </c>
      <c r="N364" s="232">
        <v>0</v>
      </c>
      <c r="O364" s="231">
        <v>0</v>
      </c>
      <c r="P364" s="220">
        <f t="shared" si="11"/>
        <v>5799</v>
      </c>
      <c r="Q364" s="231"/>
      <c r="R364" s="232">
        <v>69041</v>
      </c>
      <c r="S364" s="233">
        <v>4842</v>
      </c>
      <c r="T364" s="233">
        <v>73883</v>
      </c>
    </row>
    <row r="365" spans="1:20">
      <c r="A365" s="226">
        <v>93671</v>
      </c>
      <c r="B365" s="227" t="s">
        <v>1072</v>
      </c>
      <c r="C365" s="87">
        <v>3.5530000000000002E-4</v>
      </c>
      <c r="D365" s="87">
        <v>3.6900000000000002E-4</v>
      </c>
      <c r="E365" s="231">
        <v>542800</v>
      </c>
      <c r="F365" s="231"/>
      <c r="G365" s="232">
        <v>31270</v>
      </c>
      <c r="H365" s="220">
        <v>131793</v>
      </c>
      <c r="I365" s="232">
        <v>77519</v>
      </c>
      <c r="J365" s="231">
        <v>38666</v>
      </c>
      <c r="K365" s="220">
        <f t="shared" si="10"/>
        <v>279248</v>
      </c>
      <c r="L365" s="231"/>
      <c r="M365" s="232">
        <v>15365</v>
      </c>
      <c r="N365" s="232">
        <v>0</v>
      </c>
      <c r="O365" s="231">
        <v>2899</v>
      </c>
      <c r="P365" s="220">
        <f t="shared" si="11"/>
        <v>18264</v>
      </c>
      <c r="Q365" s="231"/>
      <c r="R365" s="232">
        <v>182924</v>
      </c>
      <c r="S365" s="233">
        <v>28467</v>
      </c>
      <c r="T365" s="233">
        <v>211391</v>
      </c>
    </row>
    <row r="366" spans="1:20">
      <c r="A366" s="226">
        <v>93677</v>
      </c>
      <c r="B366" s="227" t="s">
        <v>98</v>
      </c>
      <c r="C366" s="87">
        <v>0</v>
      </c>
      <c r="D366" s="87">
        <v>0</v>
      </c>
      <c r="E366" s="231">
        <v>0</v>
      </c>
      <c r="F366" s="231"/>
      <c r="G366" s="232">
        <v>0</v>
      </c>
      <c r="H366" s="220">
        <v>0</v>
      </c>
      <c r="I366" s="232">
        <v>0</v>
      </c>
      <c r="J366" s="231">
        <v>0</v>
      </c>
      <c r="K366" s="220">
        <f t="shared" si="10"/>
        <v>0</v>
      </c>
      <c r="L366" s="231"/>
      <c r="M366" s="232">
        <v>0</v>
      </c>
      <c r="N366" s="232">
        <v>0</v>
      </c>
      <c r="O366" s="231">
        <v>718</v>
      </c>
      <c r="P366" s="220">
        <f t="shared" si="11"/>
        <v>718</v>
      </c>
      <c r="Q366" s="231"/>
      <c r="R366" s="232">
        <v>0</v>
      </c>
      <c r="S366" s="233">
        <v>-725</v>
      </c>
      <c r="T366" s="233">
        <v>-725</v>
      </c>
    </row>
    <row r="367" spans="1:20">
      <c r="A367" s="226">
        <v>93681</v>
      </c>
      <c r="B367" s="227" t="s">
        <v>1073</v>
      </c>
      <c r="C367" s="87">
        <v>1.1179999999999999E-4</v>
      </c>
      <c r="D367" s="87">
        <v>1.1010000000000001E-4</v>
      </c>
      <c r="E367" s="231">
        <v>170799</v>
      </c>
      <c r="F367" s="231"/>
      <c r="G367" s="232">
        <v>9840</v>
      </c>
      <c r="H367" s="220">
        <v>41470</v>
      </c>
      <c r="I367" s="232">
        <v>24393</v>
      </c>
      <c r="J367" s="231">
        <v>264</v>
      </c>
      <c r="K367" s="220">
        <f t="shared" si="10"/>
        <v>75967</v>
      </c>
      <c r="L367" s="231"/>
      <c r="M367" s="232">
        <v>4835</v>
      </c>
      <c r="N367" s="232">
        <v>0</v>
      </c>
      <c r="O367" s="231">
        <v>12629</v>
      </c>
      <c r="P367" s="220">
        <f t="shared" si="11"/>
        <v>17464</v>
      </c>
      <c r="Q367" s="231"/>
      <c r="R367" s="232">
        <v>57560</v>
      </c>
      <c r="S367" s="233">
        <v>-6498</v>
      </c>
      <c r="T367" s="233">
        <f>51061+1</f>
        <v>51062</v>
      </c>
    </row>
    <row r="368" spans="1:20">
      <c r="A368" s="226">
        <v>93691</v>
      </c>
      <c r="B368" s="227" t="s">
        <v>1074</v>
      </c>
      <c r="C368" s="87">
        <v>1.0858E-3</v>
      </c>
      <c r="D368" s="87">
        <v>1.1251E-3</v>
      </c>
      <c r="E368" s="231">
        <v>1658802</v>
      </c>
      <c r="F368" s="231"/>
      <c r="G368" s="232">
        <v>95562</v>
      </c>
      <c r="H368" s="220">
        <v>402759</v>
      </c>
      <c r="I368" s="232">
        <v>236900</v>
      </c>
      <c r="J368" s="231">
        <v>0</v>
      </c>
      <c r="K368" s="220">
        <f t="shared" si="10"/>
        <v>735221</v>
      </c>
      <c r="L368" s="231"/>
      <c r="M368" s="232">
        <v>46955</v>
      </c>
      <c r="N368" s="232">
        <v>0</v>
      </c>
      <c r="O368" s="231">
        <v>115438</v>
      </c>
      <c r="P368" s="220">
        <f t="shared" si="11"/>
        <v>162393</v>
      </c>
      <c r="Q368" s="231"/>
      <c r="R368" s="232">
        <v>559018</v>
      </c>
      <c r="S368" s="233">
        <v>-42411</v>
      </c>
      <c r="T368" s="233">
        <v>516607</v>
      </c>
    </row>
    <row r="369" spans="1:20">
      <c r="A369" s="226">
        <v>93701</v>
      </c>
      <c r="B369" s="227" t="s">
        <v>1075</v>
      </c>
      <c r="C369" s="87">
        <v>4.5800000000000002E-4</v>
      </c>
      <c r="D369" s="87">
        <v>4.6200000000000001E-4</v>
      </c>
      <c r="E369" s="231">
        <v>699697</v>
      </c>
      <c r="F369" s="231"/>
      <c r="G369" s="232">
        <v>40309</v>
      </c>
      <c r="H369" s="220">
        <v>169888</v>
      </c>
      <c r="I369" s="232">
        <v>99926</v>
      </c>
      <c r="J369" s="231">
        <v>7923</v>
      </c>
      <c r="K369" s="220">
        <f t="shared" si="10"/>
        <v>318046</v>
      </c>
      <c r="L369" s="231"/>
      <c r="M369" s="232">
        <v>19806</v>
      </c>
      <c r="N369" s="232">
        <v>0</v>
      </c>
      <c r="O369" s="231">
        <v>17631</v>
      </c>
      <c r="P369" s="220">
        <f t="shared" si="11"/>
        <v>37437</v>
      </c>
      <c r="Q369" s="231"/>
      <c r="R369" s="232">
        <v>235799</v>
      </c>
      <c r="S369" s="233">
        <v>566</v>
      </c>
      <c r="T369" s="233">
        <v>236365</v>
      </c>
    </row>
    <row r="370" spans="1:20">
      <c r="A370" s="226">
        <v>93704</v>
      </c>
      <c r="B370" s="227" t="s">
        <v>1076</v>
      </c>
      <c r="C370" s="87">
        <v>3.0000000000000001E-6</v>
      </c>
      <c r="D370" s="87">
        <v>3.3000000000000002E-6</v>
      </c>
      <c r="E370" s="231">
        <v>4583</v>
      </c>
      <c r="F370" s="231"/>
      <c r="G370" s="232">
        <v>264</v>
      </c>
      <c r="H370" s="220">
        <v>1113</v>
      </c>
      <c r="I370" s="232">
        <v>655</v>
      </c>
      <c r="J370" s="231">
        <v>578</v>
      </c>
      <c r="K370" s="220">
        <f t="shared" si="10"/>
        <v>2610</v>
      </c>
      <c r="L370" s="231"/>
      <c r="M370" s="232">
        <v>130</v>
      </c>
      <c r="N370" s="232">
        <v>0</v>
      </c>
      <c r="O370" s="231">
        <v>49</v>
      </c>
      <c r="P370" s="220">
        <f t="shared" si="11"/>
        <v>179</v>
      </c>
      <c r="Q370" s="231"/>
      <c r="R370" s="232">
        <v>1545</v>
      </c>
      <c r="S370" s="233">
        <v>136</v>
      </c>
      <c r="T370" s="233">
        <v>1681</v>
      </c>
    </row>
    <row r="371" spans="1:20">
      <c r="A371" s="226">
        <v>93801</v>
      </c>
      <c r="B371" s="227" t="s">
        <v>1077</v>
      </c>
      <c r="C371" s="87">
        <v>4.7889999999999999E-4</v>
      </c>
      <c r="D371" s="87">
        <v>5.4180000000000005E-4</v>
      </c>
      <c r="E371" s="231">
        <v>731627</v>
      </c>
      <c r="F371" s="231"/>
      <c r="G371" s="232">
        <v>42148</v>
      </c>
      <c r="H371" s="220">
        <v>177639</v>
      </c>
      <c r="I371" s="232">
        <v>104486</v>
      </c>
      <c r="J371" s="231">
        <v>113630</v>
      </c>
      <c r="K371" s="220">
        <f t="shared" si="10"/>
        <v>437903</v>
      </c>
      <c r="L371" s="231"/>
      <c r="M371" s="232">
        <v>20710</v>
      </c>
      <c r="N371" s="232">
        <v>0</v>
      </c>
      <c r="O371" s="231">
        <v>54734</v>
      </c>
      <c r="P371" s="220">
        <f t="shared" si="11"/>
        <v>75444</v>
      </c>
      <c r="Q371" s="231"/>
      <c r="R371" s="232">
        <v>246559</v>
      </c>
      <c r="S371" s="233">
        <v>28052</v>
      </c>
      <c r="T371" s="233">
        <v>274611</v>
      </c>
    </row>
    <row r="372" spans="1:20">
      <c r="A372" s="226">
        <v>93803</v>
      </c>
      <c r="B372" s="227" t="s">
        <v>1078</v>
      </c>
      <c r="C372" s="87">
        <v>1.1900000000000001E-4</v>
      </c>
      <c r="D372" s="87">
        <v>1.4469999999999999E-4</v>
      </c>
      <c r="E372" s="231">
        <v>181799</v>
      </c>
      <c r="F372" s="231"/>
      <c r="G372" s="232">
        <v>10473</v>
      </c>
      <c r="H372" s="220">
        <v>44141</v>
      </c>
      <c r="I372" s="232">
        <v>25963</v>
      </c>
      <c r="J372" s="231">
        <v>0</v>
      </c>
      <c r="K372" s="220">
        <f t="shared" si="10"/>
        <v>80577</v>
      </c>
      <c r="L372" s="231"/>
      <c r="M372" s="232">
        <v>5146</v>
      </c>
      <c r="N372" s="232">
        <v>0</v>
      </c>
      <c r="O372" s="231">
        <v>42594</v>
      </c>
      <c r="P372" s="220">
        <f t="shared" si="11"/>
        <v>47740</v>
      </c>
      <c r="Q372" s="231"/>
      <c r="R372" s="232">
        <v>61266</v>
      </c>
      <c r="S372" s="233">
        <v>-17510</v>
      </c>
      <c r="T372" s="233">
        <v>43756</v>
      </c>
    </row>
    <row r="373" spans="1:20">
      <c r="A373" s="226">
        <v>93806</v>
      </c>
      <c r="B373" s="227" t="s">
        <v>1079</v>
      </c>
      <c r="C373" s="87">
        <v>9.3900000000000006E-5</v>
      </c>
      <c r="D373" s="87">
        <v>7.3700000000000002E-5</v>
      </c>
      <c r="E373" s="231">
        <v>143453</v>
      </c>
      <c r="F373" s="231"/>
      <c r="G373" s="232">
        <v>8264</v>
      </c>
      <c r="H373" s="220">
        <v>34831</v>
      </c>
      <c r="I373" s="232">
        <v>20487</v>
      </c>
      <c r="J373" s="231">
        <v>13283</v>
      </c>
      <c r="K373" s="220">
        <f t="shared" si="10"/>
        <v>76865</v>
      </c>
      <c r="L373" s="231"/>
      <c r="M373" s="232">
        <v>4061</v>
      </c>
      <c r="N373" s="232">
        <v>0</v>
      </c>
      <c r="O373" s="231">
        <v>10049</v>
      </c>
      <c r="P373" s="220">
        <f t="shared" si="11"/>
        <v>14110</v>
      </c>
      <c r="Q373" s="231"/>
      <c r="R373" s="232">
        <v>48344</v>
      </c>
      <c r="S373" s="233">
        <v>-6121</v>
      </c>
      <c r="T373" s="233">
        <v>42223</v>
      </c>
    </row>
    <row r="374" spans="1:20">
      <c r="A374" s="226">
        <v>93821</v>
      </c>
      <c r="B374" s="227" t="s">
        <v>1080</v>
      </c>
      <c r="C374" s="87">
        <v>2.9899999999999998E-5</v>
      </c>
      <c r="D374" s="87">
        <v>5.7200000000000001E-5</v>
      </c>
      <c r="E374" s="231">
        <v>45679</v>
      </c>
      <c r="F374" s="231"/>
      <c r="G374" s="232">
        <v>2632</v>
      </c>
      <c r="H374" s="220">
        <v>11090</v>
      </c>
      <c r="I374" s="232">
        <v>6524</v>
      </c>
      <c r="J374" s="231">
        <v>18424</v>
      </c>
      <c r="K374" s="220">
        <f t="shared" si="10"/>
        <v>38670</v>
      </c>
      <c r="L374" s="231"/>
      <c r="M374" s="232">
        <v>1293</v>
      </c>
      <c r="N374" s="232">
        <v>0</v>
      </c>
      <c r="O374" s="231">
        <v>343</v>
      </c>
      <c r="P374" s="220">
        <f t="shared" si="11"/>
        <v>1636</v>
      </c>
      <c r="Q374" s="231"/>
      <c r="R374" s="232">
        <v>15394</v>
      </c>
      <c r="S374" s="233">
        <v>7633</v>
      </c>
      <c r="T374" s="233">
        <f>23026+1</f>
        <v>23027</v>
      </c>
    </row>
    <row r="375" spans="1:20">
      <c r="A375" s="226">
        <v>93901</v>
      </c>
      <c r="B375" s="227" t="s">
        <v>1081</v>
      </c>
      <c r="C375" s="87">
        <v>1.7974E-3</v>
      </c>
      <c r="D375" s="87">
        <v>1.8059E-3</v>
      </c>
      <c r="E375" s="231">
        <v>2745929</v>
      </c>
      <c r="F375" s="231"/>
      <c r="G375" s="232">
        <v>158191</v>
      </c>
      <c r="H375" s="220">
        <v>666715</v>
      </c>
      <c r="I375" s="232">
        <v>392157</v>
      </c>
      <c r="J375" s="231">
        <v>89069</v>
      </c>
      <c r="K375" s="220">
        <f t="shared" si="10"/>
        <v>1306132</v>
      </c>
      <c r="L375" s="231"/>
      <c r="M375" s="232">
        <v>77729</v>
      </c>
      <c r="N375" s="232">
        <v>0</v>
      </c>
      <c r="O375" s="231">
        <v>0</v>
      </c>
      <c r="P375" s="220">
        <f t="shared" si="11"/>
        <v>77729</v>
      </c>
      <c r="Q375" s="231"/>
      <c r="R375" s="232">
        <v>925381</v>
      </c>
      <c r="S375" s="233">
        <v>32657</v>
      </c>
      <c r="T375" s="233">
        <v>958038</v>
      </c>
    </row>
    <row r="376" spans="1:20">
      <c r="A376" s="226">
        <v>93904</v>
      </c>
      <c r="B376" s="227" t="s">
        <v>1082</v>
      </c>
      <c r="C376" s="87">
        <v>3.0000000000000001E-5</v>
      </c>
      <c r="D376" s="87">
        <v>2.4700000000000001E-5</v>
      </c>
      <c r="E376" s="231">
        <v>45832</v>
      </c>
      <c r="F376" s="231"/>
      <c r="G376" s="232">
        <v>2640</v>
      </c>
      <c r="H376" s="220">
        <v>11128</v>
      </c>
      <c r="I376" s="232">
        <v>6545</v>
      </c>
      <c r="J376" s="231">
        <v>9710</v>
      </c>
      <c r="K376" s="220">
        <f t="shared" si="10"/>
        <v>30023</v>
      </c>
      <c r="L376" s="231"/>
      <c r="M376" s="232">
        <v>1297</v>
      </c>
      <c r="N376" s="232">
        <v>0</v>
      </c>
      <c r="O376" s="231">
        <v>28</v>
      </c>
      <c r="P376" s="220">
        <f t="shared" si="11"/>
        <v>1325</v>
      </c>
      <c r="Q376" s="231"/>
      <c r="R376" s="232">
        <v>15445</v>
      </c>
      <c r="S376" s="233">
        <v>3144</v>
      </c>
      <c r="T376" s="233">
        <v>18589</v>
      </c>
    </row>
    <row r="377" spans="1:20">
      <c r="A377" s="226">
        <v>93906</v>
      </c>
      <c r="B377" s="227" t="s">
        <v>1083</v>
      </c>
      <c r="C377" s="87">
        <v>3.3882000000000001E-3</v>
      </c>
      <c r="D377" s="87">
        <v>3.4513E-3</v>
      </c>
      <c r="E377" s="231">
        <v>5176231</v>
      </c>
      <c r="F377" s="231"/>
      <c r="G377" s="232">
        <v>298199</v>
      </c>
      <c r="H377" s="220">
        <v>1256796</v>
      </c>
      <c r="I377" s="232">
        <v>739237</v>
      </c>
      <c r="J377" s="231">
        <v>14983</v>
      </c>
      <c r="K377" s="220">
        <f t="shared" si="10"/>
        <v>2309215</v>
      </c>
      <c r="L377" s="231"/>
      <c r="M377" s="232">
        <v>146523</v>
      </c>
      <c r="N377" s="232">
        <v>0</v>
      </c>
      <c r="O377" s="231">
        <v>222323</v>
      </c>
      <c r="P377" s="220">
        <f t="shared" si="11"/>
        <v>368846</v>
      </c>
      <c r="Q377" s="231"/>
      <c r="R377" s="232">
        <v>1744394</v>
      </c>
      <c r="S377" s="233">
        <v>-70525</v>
      </c>
      <c r="T377" s="233">
        <v>1673869</v>
      </c>
    </row>
    <row r="378" spans="1:20">
      <c r="A378" s="226">
        <v>93908</v>
      </c>
      <c r="B378" s="227" t="s">
        <v>1084</v>
      </c>
      <c r="C378" s="87">
        <v>5.1219999999999998E-4</v>
      </c>
      <c r="D378" s="87">
        <v>5.0239999999999996E-4</v>
      </c>
      <c r="E378" s="231">
        <v>782500</v>
      </c>
      <c r="F378" s="231"/>
      <c r="G378" s="232">
        <v>45079</v>
      </c>
      <c r="H378" s="220">
        <v>189992</v>
      </c>
      <c r="I378" s="232">
        <v>111752</v>
      </c>
      <c r="J378" s="231">
        <v>12340</v>
      </c>
      <c r="K378" s="220">
        <f t="shared" si="10"/>
        <v>359163</v>
      </c>
      <c r="L378" s="231"/>
      <c r="M378" s="232">
        <v>22150</v>
      </c>
      <c r="N378" s="232">
        <v>0</v>
      </c>
      <c r="O378" s="231">
        <v>16479</v>
      </c>
      <c r="P378" s="220">
        <f t="shared" si="11"/>
        <v>38629</v>
      </c>
      <c r="Q378" s="231"/>
      <c r="R378" s="232">
        <v>263703</v>
      </c>
      <c r="S378" s="233">
        <v>-2302</v>
      </c>
      <c r="T378" s="233">
        <v>261401</v>
      </c>
    </row>
    <row r="379" spans="1:20">
      <c r="A379" s="226">
        <v>93910</v>
      </c>
      <c r="B379" s="227" t="s">
        <v>1085</v>
      </c>
      <c r="C379" s="87">
        <v>2.786E-4</v>
      </c>
      <c r="D379" s="87">
        <v>2.9129999999999998E-4</v>
      </c>
      <c r="E379" s="231">
        <v>425624</v>
      </c>
      <c r="F379" s="231"/>
      <c r="G379" s="232">
        <v>24520</v>
      </c>
      <c r="H379" s="220">
        <v>103342</v>
      </c>
      <c r="I379" s="232">
        <v>60785</v>
      </c>
      <c r="J379" s="231">
        <v>0</v>
      </c>
      <c r="K379" s="220">
        <f t="shared" si="10"/>
        <v>188647</v>
      </c>
      <c r="L379" s="231"/>
      <c r="M379" s="232">
        <v>12048</v>
      </c>
      <c r="N379" s="232">
        <v>0</v>
      </c>
      <c r="O379" s="231">
        <v>34002</v>
      </c>
      <c r="P379" s="220">
        <f t="shared" si="11"/>
        <v>46050</v>
      </c>
      <c r="Q379" s="231"/>
      <c r="R379" s="232">
        <v>143436</v>
      </c>
      <c r="S379" s="233">
        <v>-14513</v>
      </c>
      <c r="T379" s="233">
        <v>128923</v>
      </c>
    </row>
    <row r="380" spans="1:20">
      <c r="A380" s="226">
        <v>93911</v>
      </c>
      <c r="B380" s="227" t="s">
        <v>1086</v>
      </c>
      <c r="C380" s="87">
        <v>6.3429999999999997E-4</v>
      </c>
      <c r="D380" s="87">
        <v>6.9890000000000002E-4</v>
      </c>
      <c r="E380" s="231">
        <v>969035</v>
      </c>
      <c r="F380" s="231"/>
      <c r="G380" s="232">
        <v>55825</v>
      </c>
      <c r="H380" s="220">
        <v>235283</v>
      </c>
      <c r="I380" s="232">
        <v>138392</v>
      </c>
      <c r="J380" s="231">
        <v>13175</v>
      </c>
      <c r="K380" s="220">
        <f t="shared" si="10"/>
        <v>442675</v>
      </c>
      <c r="L380" s="231"/>
      <c r="M380" s="232">
        <v>27430</v>
      </c>
      <c r="N380" s="232">
        <v>0</v>
      </c>
      <c r="O380" s="231">
        <v>54353</v>
      </c>
      <c r="P380" s="220">
        <f t="shared" si="11"/>
        <v>81783</v>
      </c>
      <c r="Q380" s="231"/>
      <c r="R380" s="232">
        <v>326566</v>
      </c>
      <c r="S380" s="233">
        <v>-6922</v>
      </c>
      <c r="T380" s="233">
        <v>319644</v>
      </c>
    </row>
    <row r="381" spans="1:20">
      <c r="A381" s="226">
        <v>93913</v>
      </c>
      <c r="B381" s="227" t="s">
        <v>1087</v>
      </c>
      <c r="C381" s="87">
        <v>5.8799999999999999E-5</v>
      </c>
      <c r="D381" s="87">
        <v>6.2600000000000004E-5</v>
      </c>
      <c r="E381" s="231">
        <v>89830</v>
      </c>
      <c r="F381" s="231"/>
      <c r="G381" s="232">
        <v>5175</v>
      </c>
      <c r="H381" s="220">
        <v>21810</v>
      </c>
      <c r="I381" s="232">
        <v>12829</v>
      </c>
      <c r="J381" s="231">
        <v>2902</v>
      </c>
      <c r="K381" s="220">
        <f t="shared" si="10"/>
        <v>42716</v>
      </c>
      <c r="L381" s="231"/>
      <c r="M381" s="232">
        <v>2543</v>
      </c>
      <c r="N381" s="232">
        <v>0</v>
      </c>
      <c r="O381" s="231">
        <v>1064</v>
      </c>
      <c r="P381" s="220">
        <f t="shared" si="11"/>
        <v>3607</v>
      </c>
      <c r="Q381" s="231"/>
      <c r="R381" s="232">
        <v>30273</v>
      </c>
      <c r="S381" s="233">
        <v>476</v>
      </c>
      <c r="T381" s="233">
        <v>30749</v>
      </c>
    </row>
    <row r="382" spans="1:20">
      <c r="A382" s="226">
        <v>93914</v>
      </c>
      <c r="B382" s="227" t="s">
        <v>1088</v>
      </c>
      <c r="C382" s="87">
        <v>8.1000000000000004E-6</v>
      </c>
      <c r="D382" s="87">
        <v>9.0999999999999993E-6</v>
      </c>
      <c r="E382" s="231">
        <v>12375</v>
      </c>
      <c r="F382" s="231"/>
      <c r="G382" s="232">
        <v>713</v>
      </c>
      <c r="H382" s="220">
        <v>3005</v>
      </c>
      <c r="I382" s="232">
        <v>1767</v>
      </c>
      <c r="J382" s="231">
        <v>3568</v>
      </c>
      <c r="K382" s="220">
        <f t="shared" si="10"/>
        <v>9053</v>
      </c>
      <c r="L382" s="231"/>
      <c r="M382" s="232">
        <v>350</v>
      </c>
      <c r="N382" s="232">
        <v>0</v>
      </c>
      <c r="O382" s="231">
        <v>0</v>
      </c>
      <c r="P382" s="220">
        <f t="shared" si="11"/>
        <v>350</v>
      </c>
      <c r="Q382" s="231"/>
      <c r="R382" s="232">
        <v>4170</v>
      </c>
      <c r="S382" s="233">
        <v>1520</v>
      </c>
      <c r="T382" s="233">
        <v>5690</v>
      </c>
    </row>
    <row r="383" spans="1:20">
      <c r="A383" s="226">
        <v>93921</v>
      </c>
      <c r="B383" s="227" t="s">
        <v>1089</v>
      </c>
      <c r="C383" s="87">
        <v>2.9020000000000001E-4</v>
      </c>
      <c r="D383" s="87">
        <v>2.7139999999999998E-4</v>
      </c>
      <c r="E383" s="231">
        <v>443345</v>
      </c>
      <c r="F383" s="231"/>
      <c r="G383" s="232">
        <v>25541</v>
      </c>
      <c r="H383" s="220">
        <v>107645</v>
      </c>
      <c r="I383" s="232">
        <v>63316</v>
      </c>
      <c r="J383" s="231">
        <v>16222</v>
      </c>
      <c r="K383" s="220">
        <f t="shared" si="10"/>
        <v>212724</v>
      </c>
      <c r="L383" s="231"/>
      <c r="M383" s="232">
        <v>12550</v>
      </c>
      <c r="N383" s="232">
        <v>0</v>
      </c>
      <c r="O383" s="231">
        <v>5036</v>
      </c>
      <c r="P383" s="220">
        <f t="shared" si="11"/>
        <v>17586</v>
      </c>
      <c r="Q383" s="231"/>
      <c r="R383" s="232">
        <v>149408</v>
      </c>
      <c r="S383" s="233">
        <v>6326</v>
      </c>
      <c r="T383" s="233">
        <v>155734</v>
      </c>
    </row>
    <row r="384" spans="1:20">
      <c r="A384" s="226">
        <v>93931</v>
      </c>
      <c r="B384" s="227" t="s">
        <v>1090</v>
      </c>
      <c r="C384" s="87">
        <v>5.0029999999999996E-4</v>
      </c>
      <c r="D384" s="87">
        <v>5.2260000000000002E-4</v>
      </c>
      <c r="E384" s="231">
        <v>764320</v>
      </c>
      <c r="F384" s="231"/>
      <c r="G384" s="232">
        <v>44032</v>
      </c>
      <c r="H384" s="220">
        <v>185578</v>
      </c>
      <c r="I384" s="232">
        <v>109155</v>
      </c>
      <c r="J384" s="231">
        <v>107572</v>
      </c>
      <c r="K384" s="220">
        <f t="shared" si="10"/>
        <v>446337</v>
      </c>
      <c r="L384" s="231"/>
      <c r="M384" s="232">
        <v>21635</v>
      </c>
      <c r="N384" s="232">
        <v>0</v>
      </c>
      <c r="O384" s="231">
        <v>39017</v>
      </c>
      <c r="P384" s="220">
        <f t="shared" si="11"/>
        <v>60652</v>
      </c>
      <c r="Q384" s="231"/>
      <c r="R384" s="232">
        <v>257576</v>
      </c>
      <c r="S384" s="233">
        <v>79129</v>
      </c>
      <c r="T384" s="233">
        <v>336705</v>
      </c>
    </row>
    <row r="385" spans="1:20">
      <c r="A385" s="226">
        <v>94001</v>
      </c>
      <c r="B385" s="227" t="s">
        <v>1091</v>
      </c>
      <c r="C385" s="87">
        <v>9.209E-4</v>
      </c>
      <c r="D385" s="87">
        <v>9.0240000000000003E-4</v>
      </c>
      <c r="E385" s="231">
        <v>1406880</v>
      </c>
      <c r="F385" s="231"/>
      <c r="G385" s="232">
        <v>81049</v>
      </c>
      <c r="H385" s="220">
        <v>341592</v>
      </c>
      <c r="I385" s="232">
        <v>200922</v>
      </c>
      <c r="J385" s="231">
        <v>45532</v>
      </c>
      <c r="K385" s="220">
        <f t="shared" si="10"/>
        <v>669095</v>
      </c>
      <c r="L385" s="231"/>
      <c r="M385" s="232">
        <v>39824</v>
      </c>
      <c r="N385" s="232">
        <v>0</v>
      </c>
      <c r="O385" s="231">
        <v>27168</v>
      </c>
      <c r="P385" s="220">
        <f t="shared" si="11"/>
        <v>66992</v>
      </c>
      <c r="Q385" s="231"/>
      <c r="R385" s="232">
        <v>474120</v>
      </c>
      <c r="S385" s="233">
        <v>-12411</v>
      </c>
      <c r="T385" s="233">
        <v>461709</v>
      </c>
    </row>
    <row r="386" spans="1:20">
      <c r="A386" s="226">
        <v>94002</v>
      </c>
      <c r="B386" s="227" t="s">
        <v>1092</v>
      </c>
      <c r="C386" s="87">
        <v>7.0999999999999998E-6</v>
      </c>
      <c r="D386" s="87">
        <v>7.6000000000000001E-6</v>
      </c>
      <c r="E386" s="231">
        <v>10847</v>
      </c>
      <c r="F386" s="231"/>
      <c r="G386" s="232">
        <v>625</v>
      </c>
      <c r="H386" s="220">
        <v>2633</v>
      </c>
      <c r="I386" s="232">
        <v>1549</v>
      </c>
      <c r="J386" s="231">
        <v>1428</v>
      </c>
      <c r="K386" s="220">
        <f t="shared" si="10"/>
        <v>6235</v>
      </c>
      <c r="L386" s="231"/>
      <c r="M386" s="232">
        <v>307</v>
      </c>
      <c r="N386" s="232">
        <v>0</v>
      </c>
      <c r="O386" s="231">
        <v>214</v>
      </c>
      <c r="P386" s="220">
        <f t="shared" si="11"/>
        <v>521</v>
      </c>
      <c r="Q386" s="231"/>
      <c r="R386" s="232">
        <v>3655</v>
      </c>
      <c r="S386" s="233">
        <v>237</v>
      </c>
      <c r="T386" s="233">
        <v>3892</v>
      </c>
    </row>
    <row r="387" spans="1:20">
      <c r="A387" s="226">
        <v>94004</v>
      </c>
      <c r="B387" s="227" t="s">
        <v>1093</v>
      </c>
      <c r="C387" s="87">
        <v>7.3000000000000004E-6</v>
      </c>
      <c r="D387" s="87">
        <v>2.7999999999999999E-6</v>
      </c>
      <c r="E387" s="231">
        <v>11152</v>
      </c>
      <c r="F387" s="231"/>
      <c r="G387" s="232">
        <v>642</v>
      </c>
      <c r="H387" s="220">
        <v>2708</v>
      </c>
      <c r="I387" s="232">
        <v>1593</v>
      </c>
      <c r="J387" s="231">
        <v>4768</v>
      </c>
      <c r="K387" s="220">
        <f t="shared" si="10"/>
        <v>9711</v>
      </c>
      <c r="L387" s="231"/>
      <c r="M387" s="232">
        <v>316</v>
      </c>
      <c r="N387" s="232">
        <v>0</v>
      </c>
      <c r="O387" s="231">
        <v>626</v>
      </c>
      <c r="P387" s="220">
        <f t="shared" si="11"/>
        <v>942</v>
      </c>
      <c r="Q387" s="231"/>
      <c r="R387" s="232">
        <v>3758</v>
      </c>
      <c r="S387" s="233">
        <v>706</v>
      </c>
      <c r="T387" s="233">
        <v>4464</v>
      </c>
    </row>
    <row r="388" spans="1:20">
      <c r="A388" s="226">
        <v>94005</v>
      </c>
      <c r="B388" s="227" t="s">
        <v>1094</v>
      </c>
      <c r="C388" s="87">
        <v>0</v>
      </c>
      <c r="D388" s="87">
        <v>5.4999999999999999E-6</v>
      </c>
      <c r="E388" s="231">
        <v>0</v>
      </c>
      <c r="F388" s="231"/>
      <c r="G388" s="232">
        <v>0</v>
      </c>
      <c r="H388" s="220">
        <v>0</v>
      </c>
      <c r="I388" s="232">
        <v>0</v>
      </c>
      <c r="J388" s="231">
        <v>0</v>
      </c>
      <c r="K388" s="220">
        <f t="shared" si="10"/>
        <v>0</v>
      </c>
      <c r="L388" s="231"/>
      <c r="M388" s="232">
        <v>0</v>
      </c>
      <c r="N388" s="232">
        <v>0</v>
      </c>
      <c r="O388" s="231">
        <v>5864</v>
      </c>
      <c r="P388" s="220">
        <f t="shared" si="11"/>
        <v>5864</v>
      </c>
      <c r="Q388" s="231"/>
      <c r="R388" s="232">
        <v>0</v>
      </c>
      <c r="S388" s="233">
        <v>-1984</v>
      </c>
      <c r="T388" s="233">
        <v>-1984</v>
      </c>
    </row>
    <row r="389" spans="1:20">
      <c r="A389" s="226">
        <v>94011</v>
      </c>
      <c r="B389" s="227" t="s">
        <v>1095</v>
      </c>
      <c r="C389" s="87">
        <v>2.3600000000000001E-5</v>
      </c>
      <c r="D389" s="87">
        <v>2.5599999999999999E-5</v>
      </c>
      <c r="E389" s="231">
        <v>36054</v>
      </c>
      <c r="F389" s="231"/>
      <c r="G389" s="232">
        <v>2077</v>
      </c>
      <c r="H389" s="220">
        <v>8754</v>
      </c>
      <c r="I389" s="232">
        <v>5149</v>
      </c>
      <c r="J389" s="231">
        <v>3216</v>
      </c>
      <c r="K389" s="220">
        <f t="shared" si="10"/>
        <v>19196</v>
      </c>
      <c r="L389" s="231"/>
      <c r="M389" s="232">
        <v>1021</v>
      </c>
      <c r="N389" s="232">
        <v>0</v>
      </c>
      <c r="O389" s="231">
        <v>3156</v>
      </c>
      <c r="P389" s="220">
        <f t="shared" si="11"/>
        <v>4177</v>
      </c>
      <c r="Q389" s="231"/>
      <c r="R389" s="232">
        <v>12150</v>
      </c>
      <c r="S389" s="233">
        <v>-16</v>
      </c>
      <c r="T389" s="233">
        <v>12134</v>
      </c>
    </row>
    <row r="390" spans="1:20">
      <c r="A390" s="226">
        <v>94021</v>
      </c>
      <c r="B390" s="227" t="s">
        <v>1096</v>
      </c>
      <c r="C390" s="87">
        <v>9.3399999999999993E-5</v>
      </c>
      <c r="D390" s="87">
        <v>8.1699999999999994E-5</v>
      </c>
      <c r="E390" s="231">
        <v>142689</v>
      </c>
      <c r="F390" s="231"/>
      <c r="G390" s="232">
        <v>8220</v>
      </c>
      <c r="H390" s="220">
        <v>34645</v>
      </c>
      <c r="I390" s="232">
        <v>20378</v>
      </c>
      <c r="J390" s="231">
        <v>20025</v>
      </c>
      <c r="K390" s="220">
        <f t="shared" si="10"/>
        <v>83268</v>
      </c>
      <c r="L390" s="231"/>
      <c r="M390" s="232">
        <v>4039</v>
      </c>
      <c r="N390" s="232">
        <v>0</v>
      </c>
      <c r="O390" s="231">
        <v>0</v>
      </c>
      <c r="P390" s="220">
        <f t="shared" si="11"/>
        <v>4039</v>
      </c>
      <c r="Q390" s="231"/>
      <c r="R390" s="232">
        <v>48086</v>
      </c>
      <c r="S390" s="233">
        <v>8567</v>
      </c>
      <c r="T390" s="233">
        <v>56653</v>
      </c>
    </row>
    <row r="391" spans="1:20">
      <c r="A391" s="226">
        <v>94031</v>
      </c>
      <c r="B391" s="227" t="s">
        <v>1097</v>
      </c>
      <c r="C391" s="87">
        <v>5.4E-6</v>
      </c>
      <c r="D391" s="87">
        <v>8.1000000000000004E-6</v>
      </c>
      <c r="E391" s="231">
        <v>8250</v>
      </c>
      <c r="F391" s="231"/>
      <c r="G391" s="232">
        <v>475</v>
      </c>
      <c r="H391" s="220">
        <v>2003</v>
      </c>
      <c r="I391" s="232">
        <v>1178</v>
      </c>
      <c r="J391" s="231">
        <v>7232</v>
      </c>
      <c r="K391" s="220">
        <f t="shared" si="10"/>
        <v>10888</v>
      </c>
      <c r="L391" s="231"/>
      <c r="M391" s="232">
        <v>234</v>
      </c>
      <c r="N391" s="232">
        <v>0</v>
      </c>
      <c r="O391" s="231">
        <v>41</v>
      </c>
      <c r="P391" s="220">
        <f t="shared" si="11"/>
        <v>275</v>
      </c>
      <c r="Q391" s="231"/>
      <c r="R391" s="232">
        <v>2780</v>
      </c>
      <c r="S391" s="233">
        <v>2829</v>
      </c>
      <c r="T391" s="233">
        <v>5609</v>
      </c>
    </row>
    <row r="392" spans="1:20">
      <c r="A392" s="226">
        <v>94101</v>
      </c>
      <c r="B392" s="227" t="s">
        <v>1098</v>
      </c>
      <c r="C392" s="87">
        <v>1.8321799999999999E-2</v>
      </c>
      <c r="D392" s="87">
        <v>1.85028E-2</v>
      </c>
      <c r="E392" s="231">
        <v>27990635</v>
      </c>
      <c r="F392" s="231"/>
      <c r="G392" s="232">
        <v>1612520</v>
      </c>
      <c r="H392" s="220">
        <v>6796161</v>
      </c>
      <c r="I392" s="232">
        <v>3997450</v>
      </c>
      <c r="J392" s="231">
        <v>271577</v>
      </c>
      <c r="K392" s="220">
        <f t="shared" si="10"/>
        <v>12677708</v>
      </c>
      <c r="L392" s="231"/>
      <c r="M392" s="232">
        <v>792326</v>
      </c>
      <c r="N392" s="232">
        <v>0</v>
      </c>
      <c r="O392" s="231">
        <v>721969</v>
      </c>
      <c r="P392" s="220">
        <f t="shared" si="11"/>
        <v>1514295</v>
      </c>
      <c r="Q392" s="231"/>
      <c r="R392" s="232">
        <v>9432869</v>
      </c>
      <c r="S392" s="233">
        <v>-270678</v>
      </c>
      <c r="T392" s="233">
        <v>9162191</v>
      </c>
    </row>
    <row r="393" spans="1:20">
      <c r="A393" s="226">
        <v>94102</v>
      </c>
      <c r="B393" s="227" t="s">
        <v>1099</v>
      </c>
      <c r="C393" s="87">
        <v>2.965E-4</v>
      </c>
      <c r="D393" s="87">
        <v>2.7569999999999998E-4</v>
      </c>
      <c r="E393" s="231">
        <v>452970</v>
      </c>
      <c r="F393" s="231"/>
      <c r="G393" s="232">
        <v>26095</v>
      </c>
      <c r="H393" s="220">
        <v>109981</v>
      </c>
      <c r="I393" s="232">
        <v>64690</v>
      </c>
      <c r="J393" s="231">
        <v>2570</v>
      </c>
      <c r="K393" s="220">
        <f t="shared" ref="K393:K456" si="12">G393+H393+I393+J393</f>
        <v>203336</v>
      </c>
      <c r="L393" s="231"/>
      <c r="M393" s="232">
        <v>12822</v>
      </c>
      <c r="N393" s="232">
        <v>0</v>
      </c>
      <c r="O393" s="231">
        <v>36856</v>
      </c>
      <c r="P393" s="220">
        <f t="shared" ref="P393:P456" si="13">M393+N393+O393</f>
        <v>49678</v>
      </c>
      <c r="Q393" s="231"/>
      <c r="R393" s="232">
        <v>152651</v>
      </c>
      <c r="S393" s="233">
        <v>-11311</v>
      </c>
      <c r="T393" s="233">
        <v>141340</v>
      </c>
    </row>
    <row r="394" spans="1:20">
      <c r="A394" s="226">
        <v>94108</v>
      </c>
      <c r="B394" s="227" t="s">
        <v>1100</v>
      </c>
      <c r="C394" s="87">
        <v>3.1389999999999999E-4</v>
      </c>
      <c r="D394" s="87">
        <v>3.1809999999999998E-4</v>
      </c>
      <c r="E394" s="231">
        <v>479552</v>
      </c>
      <c r="F394" s="231"/>
      <c r="G394" s="232">
        <v>27627</v>
      </c>
      <c r="H394" s="220">
        <v>116436</v>
      </c>
      <c r="I394" s="232">
        <v>68487</v>
      </c>
      <c r="J394" s="231">
        <v>0</v>
      </c>
      <c r="K394" s="220">
        <f t="shared" si="12"/>
        <v>212550</v>
      </c>
      <c r="L394" s="231"/>
      <c r="M394" s="232">
        <v>13575</v>
      </c>
      <c r="N394" s="232">
        <v>0</v>
      </c>
      <c r="O394" s="231">
        <v>108607</v>
      </c>
      <c r="P394" s="220">
        <f t="shared" si="13"/>
        <v>122182</v>
      </c>
      <c r="Q394" s="231"/>
      <c r="R394" s="232">
        <v>161610</v>
      </c>
      <c r="S394" s="233">
        <v>-47459</v>
      </c>
      <c r="T394" s="233">
        <v>114151</v>
      </c>
    </row>
    <row r="395" spans="1:20">
      <c r="A395" s="226">
        <v>94109</v>
      </c>
      <c r="B395" s="227" t="s">
        <v>1101</v>
      </c>
      <c r="C395" s="87">
        <v>9.09E-5</v>
      </c>
      <c r="D395" s="87">
        <v>1.0399999999999999E-4</v>
      </c>
      <c r="E395" s="231">
        <v>138870</v>
      </c>
      <c r="F395" s="231"/>
      <c r="G395" s="232">
        <v>8000</v>
      </c>
      <c r="H395" s="220">
        <v>33718</v>
      </c>
      <c r="I395" s="232">
        <v>19833</v>
      </c>
      <c r="J395" s="231">
        <v>796</v>
      </c>
      <c r="K395" s="220">
        <f t="shared" si="12"/>
        <v>62347</v>
      </c>
      <c r="L395" s="231"/>
      <c r="M395" s="232">
        <v>3931</v>
      </c>
      <c r="N395" s="232">
        <v>0</v>
      </c>
      <c r="O395" s="231">
        <v>41294</v>
      </c>
      <c r="P395" s="220">
        <f t="shared" si="13"/>
        <v>45225</v>
      </c>
      <c r="Q395" s="231"/>
      <c r="R395" s="232">
        <v>46799</v>
      </c>
      <c r="S395" s="233">
        <v>-12890</v>
      </c>
      <c r="T395" s="233">
        <v>33909</v>
      </c>
    </row>
    <row r="396" spans="1:20">
      <c r="A396" s="226">
        <v>94111</v>
      </c>
      <c r="B396" s="227" t="s">
        <v>1102</v>
      </c>
      <c r="C396" s="87">
        <v>2.5682300000000002E-2</v>
      </c>
      <c r="D396" s="87">
        <v>2.5623300000000002E-2</v>
      </c>
      <c r="E396" s="231">
        <v>39235440</v>
      </c>
      <c r="F396" s="231"/>
      <c r="G396" s="232">
        <v>2260325</v>
      </c>
      <c r="H396" s="220">
        <v>9526412</v>
      </c>
      <c r="I396" s="232">
        <v>5603364</v>
      </c>
      <c r="J396" s="231">
        <v>7528</v>
      </c>
      <c r="K396" s="220">
        <f t="shared" si="12"/>
        <v>17397629</v>
      </c>
      <c r="L396" s="231"/>
      <c r="M396" s="232">
        <v>1110631</v>
      </c>
      <c r="N396" s="232">
        <v>0</v>
      </c>
      <c r="O396" s="231">
        <v>1491627</v>
      </c>
      <c r="P396" s="220">
        <f t="shared" si="13"/>
        <v>2602258</v>
      </c>
      <c r="Q396" s="231"/>
      <c r="R396" s="232">
        <v>13222378</v>
      </c>
      <c r="S396" s="233">
        <v>-524586</v>
      </c>
      <c r="T396" s="233">
        <v>12697792</v>
      </c>
    </row>
    <row r="397" spans="1:20">
      <c r="A397" s="226">
        <v>94112</v>
      </c>
      <c r="B397" s="227" t="s">
        <v>1103</v>
      </c>
      <c r="C397" s="87">
        <v>1.6699999999999999E-4</v>
      </c>
      <c r="D397" s="87">
        <v>1.6530000000000001E-4</v>
      </c>
      <c r="E397" s="231">
        <v>255130</v>
      </c>
      <c r="F397" s="231"/>
      <c r="G397" s="232">
        <v>14698</v>
      </c>
      <c r="H397" s="220">
        <v>61946</v>
      </c>
      <c r="I397" s="232">
        <v>36436</v>
      </c>
      <c r="J397" s="231">
        <v>0</v>
      </c>
      <c r="K397" s="220">
        <f t="shared" si="12"/>
        <v>113080</v>
      </c>
      <c r="L397" s="231"/>
      <c r="M397" s="232">
        <v>7222</v>
      </c>
      <c r="N397" s="232">
        <v>0</v>
      </c>
      <c r="O397" s="231">
        <v>18973</v>
      </c>
      <c r="P397" s="220">
        <f t="shared" si="13"/>
        <v>26195</v>
      </c>
      <c r="Q397" s="231"/>
      <c r="R397" s="232">
        <v>85979</v>
      </c>
      <c r="S397" s="233">
        <v>-8534</v>
      </c>
      <c r="T397" s="233">
        <v>77445</v>
      </c>
    </row>
    <row r="398" spans="1:20">
      <c r="A398" s="226">
        <v>94117</v>
      </c>
      <c r="B398" s="227" t="s">
        <v>1104</v>
      </c>
      <c r="C398" s="87">
        <v>3.9809999999999997E-4</v>
      </c>
      <c r="D398" s="87">
        <v>4.0709999999999997E-4</v>
      </c>
      <c r="E398" s="231">
        <v>608187</v>
      </c>
      <c r="F398" s="231"/>
      <c r="G398" s="232">
        <v>35037</v>
      </c>
      <c r="H398" s="220">
        <v>147669</v>
      </c>
      <c r="I398" s="232">
        <v>86857</v>
      </c>
      <c r="J398" s="231">
        <v>8133</v>
      </c>
      <c r="K398" s="220">
        <f t="shared" si="12"/>
        <v>277696</v>
      </c>
      <c r="L398" s="231"/>
      <c r="M398" s="232">
        <v>17216</v>
      </c>
      <c r="N398" s="232">
        <v>0</v>
      </c>
      <c r="O398" s="231">
        <v>15587</v>
      </c>
      <c r="P398" s="220">
        <f t="shared" si="13"/>
        <v>32803</v>
      </c>
      <c r="Q398" s="231"/>
      <c r="R398" s="232">
        <v>204959</v>
      </c>
      <c r="S398" s="233">
        <v>-79</v>
      </c>
      <c r="T398" s="233">
        <v>204880</v>
      </c>
    </row>
    <row r="399" spans="1:20">
      <c r="A399" s="226">
        <v>94118</v>
      </c>
      <c r="B399" s="227" t="s">
        <v>1105</v>
      </c>
      <c r="C399" s="87">
        <v>1.494E-4</v>
      </c>
      <c r="D399" s="87">
        <v>1.63E-4</v>
      </c>
      <c r="E399" s="231">
        <v>228242</v>
      </c>
      <c r="F399" s="231"/>
      <c r="G399" s="232">
        <v>13149</v>
      </c>
      <c r="H399" s="220">
        <v>55417</v>
      </c>
      <c r="I399" s="232">
        <v>32596</v>
      </c>
      <c r="J399" s="231">
        <v>0</v>
      </c>
      <c r="K399" s="220">
        <f t="shared" si="12"/>
        <v>101162</v>
      </c>
      <c r="L399" s="231"/>
      <c r="M399" s="232">
        <v>6461</v>
      </c>
      <c r="N399" s="232">
        <v>0</v>
      </c>
      <c r="O399" s="231">
        <v>56599</v>
      </c>
      <c r="P399" s="220">
        <f t="shared" si="13"/>
        <v>63060</v>
      </c>
      <c r="Q399" s="231"/>
      <c r="R399" s="232">
        <v>76918</v>
      </c>
      <c r="S399" s="233">
        <v>-24768</v>
      </c>
      <c r="T399" s="233">
        <v>52150</v>
      </c>
    </row>
    <row r="400" spans="1:20">
      <c r="A400" s="226">
        <v>94121</v>
      </c>
      <c r="B400" s="227" t="s">
        <v>1106</v>
      </c>
      <c r="C400" s="87">
        <v>1.1246000000000001E-2</v>
      </c>
      <c r="D400" s="87">
        <v>1.12823E-2</v>
      </c>
      <c r="E400" s="231">
        <v>17180773</v>
      </c>
      <c r="F400" s="231"/>
      <c r="G400" s="232">
        <v>989772</v>
      </c>
      <c r="H400" s="220">
        <v>4171512</v>
      </c>
      <c r="I400" s="232">
        <v>2453652</v>
      </c>
      <c r="J400" s="231">
        <v>65556</v>
      </c>
      <c r="K400" s="220">
        <f t="shared" si="12"/>
        <v>7680492</v>
      </c>
      <c r="L400" s="231"/>
      <c r="M400" s="232">
        <v>486333</v>
      </c>
      <c r="N400" s="232">
        <v>0</v>
      </c>
      <c r="O400" s="231">
        <v>276825</v>
      </c>
      <c r="P400" s="220">
        <f t="shared" si="13"/>
        <v>763158</v>
      </c>
      <c r="Q400" s="231"/>
      <c r="R400" s="232">
        <v>5789936</v>
      </c>
      <c r="S400" s="233">
        <v>-128084</v>
      </c>
      <c r="T400" s="233">
        <v>5661852</v>
      </c>
    </row>
    <row r="401" spans="1:20">
      <c r="A401" s="226">
        <v>94127</v>
      </c>
      <c r="B401" s="227" t="s">
        <v>1107</v>
      </c>
      <c r="C401" s="87">
        <v>1.7310000000000001E-4</v>
      </c>
      <c r="D401" s="87">
        <v>1.528E-4</v>
      </c>
      <c r="E401" s="231">
        <v>264449</v>
      </c>
      <c r="F401" s="231"/>
      <c r="G401" s="232">
        <v>15235</v>
      </c>
      <c r="H401" s="220">
        <v>64208</v>
      </c>
      <c r="I401" s="232">
        <v>37767</v>
      </c>
      <c r="J401" s="231">
        <v>8697</v>
      </c>
      <c r="K401" s="220">
        <f t="shared" si="12"/>
        <v>125907</v>
      </c>
      <c r="L401" s="231"/>
      <c r="M401" s="232">
        <v>7486</v>
      </c>
      <c r="N401" s="232">
        <v>0</v>
      </c>
      <c r="O401" s="231">
        <v>398</v>
      </c>
      <c r="P401" s="220">
        <f t="shared" si="13"/>
        <v>7884</v>
      </c>
      <c r="Q401" s="231"/>
      <c r="R401" s="232">
        <v>89119</v>
      </c>
      <c r="S401" s="233">
        <v>2605</v>
      </c>
      <c r="T401" s="233">
        <v>91724</v>
      </c>
    </row>
    <row r="402" spans="1:20">
      <c r="A402" s="226">
        <v>94131</v>
      </c>
      <c r="B402" s="227" t="s">
        <v>1108</v>
      </c>
      <c r="C402" s="87">
        <v>1.7479999999999999E-4</v>
      </c>
      <c r="D402" s="87">
        <v>2.0049999999999999E-4</v>
      </c>
      <c r="E402" s="231">
        <v>267046</v>
      </c>
      <c r="F402" s="231"/>
      <c r="G402" s="232">
        <v>15384</v>
      </c>
      <c r="H402" s="220">
        <v>64840</v>
      </c>
      <c r="I402" s="232">
        <v>38138</v>
      </c>
      <c r="J402" s="231">
        <v>3004</v>
      </c>
      <c r="K402" s="220">
        <f t="shared" si="12"/>
        <v>121366</v>
      </c>
      <c r="L402" s="231"/>
      <c r="M402" s="232">
        <v>7559</v>
      </c>
      <c r="N402" s="232">
        <v>0</v>
      </c>
      <c r="O402" s="231">
        <v>9062</v>
      </c>
      <c r="P402" s="220">
        <f t="shared" si="13"/>
        <v>16621</v>
      </c>
      <c r="Q402" s="231"/>
      <c r="R402" s="232">
        <v>89995</v>
      </c>
      <c r="S402" s="233">
        <v>-1148</v>
      </c>
      <c r="T402" s="233">
        <v>88847</v>
      </c>
    </row>
    <row r="403" spans="1:20">
      <c r="A403" s="226">
        <v>94151</v>
      </c>
      <c r="B403" s="227" t="s">
        <v>1109</v>
      </c>
      <c r="C403" s="87">
        <v>4.1590000000000003E-4</v>
      </c>
      <c r="D403" s="87">
        <v>4.2870000000000001E-4</v>
      </c>
      <c r="E403" s="231">
        <v>635380</v>
      </c>
      <c r="F403" s="231"/>
      <c r="G403" s="232">
        <v>36604</v>
      </c>
      <c r="H403" s="220">
        <v>154271</v>
      </c>
      <c r="I403" s="232">
        <v>90741</v>
      </c>
      <c r="J403" s="231">
        <v>0</v>
      </c>
      <c r="K403" s="220">
        <f t="shared" si="12"/>
        <v>281616</v>
      </c>
      <c r="L403" s="231"/>
      <c r="M403" s="232">
        <v>17986</v>
      </c>
      <c r="N403" s="232">
        <v>0</v>
      </c>
      <c r="O403" s="231">
        <v>36672</v>
      </c>
      <c r="P403" s="220">
        <f t="shared" si="13"/>
        <v>54658</v>
      </c>
      <c r="Q403" s="231"/>
      <c r="R403" s="232">
        <v>214124</v>
      </c>
      <c r="S403" s="233">
        <v>-12878</v>
      </c>
      <c r="T403" s="233">
        <v>201246</v>
      </c>
    </row>
    <row r="404" spans="1:20">
      <c r="A404" s="226">
        <v>94157</v>
      </c>
      <c r="B404" s="227" t="s">
        <v>1110</v>
      </c>
      <c r="C404" s="87">
        <v>8.8999999999999995E-6</v>
      </c>
      <c r="D404" s="87">
        <v>9.3999999999999998E-6</v>
      </c>
      <c r="E404" s="231">
        <v>13597</v>
      </c>
      <c r="F404" s="231"/>
      <c r="G404" s="232">
        <v>783</v>
      </c>
      <c r="H404" s="220">
        <v>3302</v>
      </c>
      <c r="I404" s="232">
        <v>1942</v>
      </c>
      <c r="J404" s="231">
        <v>3748</v>
      </c>
      <c r="K404" s="220">
        <f t="shared" si="12"/>
        <v>9775</v>
      </c>
      <c r="L404" s="231"/>
      <c r="M404" s="232">
        <v>385</v>
      </c>
      <c r="N404" s="232">
        <v>0</v>
      </c>
      <c r="O404" s="231">
        <v>0</v>
      </c>
      <c r="P404" s="220">
        <f t="shared" si="13"/>
        <v>385</v>
      </c>
      <c r="Q404" s="231"/>
      <c r="R404" s="232">
        <v>4582</v>
      </c>
      <c r="S404" s="233">
        <v>2084</v>
      </c>
      <c r="T404" s="233">
        <v>6666</v>
      </c>
    </row>
    <row r="405" spans="1:20">
      <c r="A405" s="226">
        <v>94161</v>
      </c>
      <c r="B405" s="227" t="s">
        <v>1111</v>
      </c>
      <c r="C405" s="87">
        <v>5.1900000000000001E-5</v>
      </c>
      <c r="D405" s="87">
        <v>5.7899999999999998E-5</v>
      </c>
      <c r="E405" s="231">
        <v>79289</v>
      </c>
      <c r="F405" s="231"/>
      <c r="G405" s="232">
        <v>4568</v>
      </c>
      <c r="H405" s="220">
        <v>19252</v>
      </c>
      <c r="I405" s="232">
        <v>11324</v>
      </c>
      <c r="J405" s="231">
        <v>5455</v>
      </c>
      <c r="K405" s="220">
        <f t="shared" si="12"/>
        <v>40599</v>
      </c>
      <c r="L405" s="231"/>
      <c r="M405" s="232">
        <v>2244</v>
      </c>
      <c r="N405" s="232">
        <v>0</v>
      </c>
      <c r="O405" s="231">
        <v>3144</v>
      </c>
      <c r="P405" s="220">
        <f t="shared" si="13"/>
        <v>5388</v>
      </c>
      <c r="Q405" s="231"/>
      <c r="R405" s="232">
        <v>26720</v>
      </c>
      <c r="S405" s="233">
        <v>2302</v>
      </c>
      <c r="T405" s="233">
        <v>29022</v>
      </c>
    </row>
    <row r="406" spans="1:20">
      <c r="A406" s="226">
        <v>94168</v>
      </c>
      <c r="B406" s="227" t="s">
        <v>1112</v>
      </c>
      <c r="C406" s="87">
        <v>2.5899999999999999E-5</v>
      </c>
      <c r="D406" s="87">
        <v>3.4E-5</v>
      </c>
      <c r="E406" s="231">
        <v>39568</v>
      </c>
      <c r="F406" s="231"/>
      <c r="G406" s="232">
        <v>2279</v>
      </c>
      <c r="H406" s="220">
        <v>9607</v>
      </c>
      <c r="I406" s="232">
        <v>5651</v>
      </c>
      <c r="J406" s="231">
        <v>0</v>
      </c>
      <c r="K406" s="220">
        <f t="shared" si="12"/>
        <v>17537</v>
      </c>
      <c r="L406" s="231"/>
      <c r="M406" s="232">
        <v>1120</v>
      </c>
      <c r="N406" s="232">
        <v>0</v>
      </c>
      <c r="O406" s="231">
        <v>11664</v>
      </c>
      <c r="P406" s="220">
        <f t="shared" si="13"/>
        <v>12784</v>
      </c>
      <c r="Q406" s="231"/>
      <c r="R406" s="232">
        <v>13334</v>
      </c>
      <c r="S406" s="233">
        <v>-5442</v>
      </c>
      <c r="T406" s="233">
        <v>7892</v>
      </c>
    </row>
    <row r="407" spans="1:20">
      <c r="A407" s="226">
        <v>94171</v>
      </c>
      <c r="B407" s="227" t="s">
        <v>1113</v>
      </c>
      <c r="C407" s="87">
        <v>6.9800000000000003E-5</v>
      </c>
      <c r="D407" s="87">
        <v>5.5000000000000002E-5</v>
      </c>
      <c r="E407" s="231">
        <v>106635</v>
      </c>
      <c r="F407" s="231"/>
      <c r="G407" s="232">
        <v>6143</v>
      </c>
      <c r="H407" s="220">
        <v>25891</v>
      </c>
      <c r="I407" s="232">
        <v>15229</v>
      </c>
      <c r="J407" s="231">
        <v>10026</v>
      </c>
      <c r="K407" s="220">
        <f t="shared" si="12"/>
        <v>57289</v>
      </c>
      <c r="L407" s="231"/>
      <c r="M407" s="232">
        <v>3019</v>
      </c>
      <c r="N407" s="232">
        <v>0</v>
      </c>
      <c r="O407" s="231">
        <v>862</v>
      </c>
      <c r="P407" s="220">
        <f t="shared" si="13"/>
        <v>3881</v>
      </c>
      <c r="Q407" s="231"/>
      <c r="R407" s="232">
        <v>35936</v>
      </c>
      <c r="S407" s="233">
        <v>2780</v>
      </c>
      <c r="T407" s="233">
        <v>38716</v>
      </c>
    </row>
    <row r="408" spans="1:20">
      <c r="A408" s="226">
        <v>94172</v>
      </c>
      <c r="B408" s="227" t="s">
        <v>1114</v>
      </c>
      <c r="C408" s="87">
        <v>2.6289999999999999E-4</v>
      </c>
      <c r="D408" s="87">
        <v>2.6699999999999998E-4</v>
      </c>
      <c r="E408" s="231">
        <v>401638</v>
      </c>
      <c r="F408" s="231"/>
      <c r="G408" s="232">
        <v>23138</v>
      </c>
      <c r="H408" s="220">
        <v>97518</v>
      </c>
      <c r="I408" s="232">
        <v>57360</v>
      </c>
      <c r="J408" s="231">
        <v>0</v>
      </c>
      <c r="K408" s="220">
        <f t="shared" si="12"/>
        <v>178016</v>
      </c>
      <c r="L408" s="231"/>
      <c r="M408" s="232">
        <v>11369</v>
      </c>
      <c r="N408" s="232">
        <v>0</v>
      </c>
      <c r="O408" s="231">
        <v>90059</v>
      </c>
      <c r="P408" s="220">
        <f t="shared" si="13"/>
        <v>101428</v>
      </c>
      <c r="Q408" s="231"/>
      <c r="R408" s="232">
        <v>135352</v>
      </c>
      <c r="S408" s="233">
        <v>-41178</v>
      </c>
      <c r="T408" s="233">
        <v>94174</v>
      </c>
    </row>
    <row r="409" spans="1:20">
      <c r="A409" s="226">
        <v>94201</v>
      </c>
      <c r="B409" s="227" t="s">
        <v>1115</v>
      </c>
      <c r="C409" s="87">
        <v>3.3658999999999998E-3</v>
      </c>
      <c r="D409" s="87">
        <v>3.4813000000000001E-3</v>
      </c>
      <c r="E409" s="231">
        <v>5142163</v>
      </c>
      <c r="F409" s="231"/>
      <c r="G409" s="232">
        <v>296236</v>
      </c>
      <c r="H409" s="220">
        <v>1248524</v>
      </c>
      <c r="I409" s="232">
        <v>734372</v>
      </c>
      <c r="J409" s="231">
        <v>37947</v>
      </c>
      <c r="K409" s="220">
        <f t="shared" si="12"/>
        <v>2317079</v>
      </c>
      <c r="L409" s="231"/>
      <c r="M409" s="232">
        <v>145558</v>
      </c>
      <c r="N409" s="232">
        <v>0</v>
      </c>
      <c r="O409" s="231">
        <v>70514</v>
      </c>
      <c r="P409" s="220">
        <f t="shared" si="13"/>
        <v>216072</v>
      </c>
      <c r="Q409" s="231"/>
      <c r="R409" s="232">
        <v>1732913</v>
      </c>
      <c r="S409" s="233">
        <v>-942</v>
      </c>
      <c r="T409" s="233">
        <v>1731971</v>
      </c>
    </row>
    <row r="410" spans="1:20">
      <c r="A410" s="226">
        <v>94204</v>
      </c>
      <c r="B410" s="227" t="s">
        <v>1116</v>
      </c>
      <c r="C410" s="87">
        <v>2.5899999999999999E-5</v>
      </c>
      <c r="D410" s="87">
        <v>2.4899999999999999E-5</v>
      </c>
      <c r="E410" s="231">
        <v>39568</v>
      </c>
      <c r="F410" s="231"/>
      <c r="G410" s="232">
        <v>2279</v>
      </c>
      <c r="H410" s="220">
        <v>9607</v>
      </c>
      <c r="I410" s="232">
        <v>5651</v>
      </c>
      <c r="J410" s="231">
        <v>12190</v>
      </c>
      <c r="K410" s="220">
        <f t="shared" si="12"/>
        <v>29727</v>
      </c>
      <c r="L410" s="231"/>
      <c r="M410" s="232">
        <v>1120</v>
      </c>
      <c r="N410" s="232">
        <v>0</v>
      </c>
      <c r="O410" s="231">
        <v>0</v>
      </c>
      <c r="P410" s="220">
        <f t="shared" si="13"/>
        <v>1120</v>
      </c>
      <c r="Q410" s="231"/>
      <c r="R410" s="232">
        <v>13334</v>
      </c>
      <c r="S410" s="233">
        <v>4996</v>
      </c>
      <c r="T410" s="233">
        <v>18330</v>
      </c>
    </row>
    <row r="411" spans="1:20">
      <c r="A411" s="226">
        <v>94205</v>
      </c>
      <c r="B411" s="227" t="s">
        <v>1117</v>
      </c>
      <c r="C411" s="87">
        <v>2.0699999999999998E-5</v>
      </c>
      <c r="D411" s="87">
        <v>2.6100000000000001E-5</v>
      </c>
      <c r="E411" s="231">
        <v>31624</v>
      </c>
      <c r="F411" s="231"/>
      <c r="G411" s="232">
        <v>1822</v>
      </c>
      <c r="H411" s="220">
        <v>7678</v>
      </c>
      <c r="I411" s="232">
        <v>4516</v>
      </c>
      <c r="J411" s="231">
        <v>1652</v>
      </c>
      <c r="K411" s="220">
        <f t="shared" si="12"/>
        <v>15668</v>
      </c>
      <c r="L411" s="231"/>
      <c r="M411" s="232">
        <v>895</v>
      </c>
      <c r="N411" s="232">
        <v>0</v>
      </c>
      <c r="O411" s="231">
        <v>5048</v>
      </c>
      <c r="P411" s="220">
        <f t="shared" si="13"/>
        <v>5943</v>
      </c>
      <c r="Q411" s="231"/>
      <c r="R411" s="232">
        <v>10657</v>
      </c>
      <c r="S411" s="233">
        <v>-3026</v>
      </c>
      <c r="T411" s="233">
        <v>7631</v>
      </c>
    </row>
    <row r="412" spans="1:20">
      <c r="A412" s="226">
        <v>94209</v>
      </c>
      <c r="B412" s="227" t="s">
        <v>1118</v>
      </c>
      <c r="C412" s="87">
        <v>3.4190000000000002E-4</v>
      </c>
      <c r="D412" s="87">
        <v>3.2909999999999998E-4</v>
      </c>
      <c r="E412" s="231">
        <v>522328</v>
      </c>
      <c r="F412" s="231"/>
      <c r="G412" s="232">
        <v>30091</v>
      </c>
      <c r="H412" s="220">
        <v>126822</v>
      </c>
      <c r="I412" s="232">
        <v>74596</v>
      </c>
      <c r="J412" s="231">
        <v>23431</v>
      </c>
      <c r="K412" s="220">
        <f t="shared" si="12"/>
        <v>254940</v>
      </c>
      <c r="L412" s="231"/>
      <c r="M412" s="232">
        <v>14785</v>
      </c>
      <c r="N412" s="232">
        <v>0</v>
      </c>
      <c r="O412" s="231">
        <v>7196</v>
      </c>
      <c r="P412" s="220">
        <f t="shared" si="13"/>
        <v>21981</v>
      </c>
      <c r="Q412" s="231"/>
      <c r="R412" s="232">
        <v>176025</v>
      </c>
      <c r="S412" s="233">
        <v>9128</v>
      </c>
      <c r="T412" s="233">
        <v>185153</v>
      </c>
    </row>
    <row r="413" spans="1:20">
      <c r="A413" s="226">
        <v>94211</v>
      </c>
      <c r="B413" s="227" t="s">
        <v>1119</v>
      </c>
      <c r="C413" s="87">
        <v>1.3660000000000001E-4</v>
      </c>
      <c r="D413" s="87">
        <v>1.2400000000000001E-4</v>
      </c>
      <c r="E413" s="231">
        <v>208687</v>
      </c>
      <c r="F413" s="231"/>
      <c r="G413" s="232">
        <v>12022</v>
      </c>
      <c r="H413" s="220">
        <v>50669</v>
      </c>
      <c r="I413" s="232">
        <v>29803</v>
      </c>
      <c r="J413" s="231">
        <v>7857</v>
      </c>
      <c r="K413" s="220">
        <f t="shared" si="12"/>
        <v>100351</v>
      </c>
      <c r="L413" s="231"/>
      <c r="M413" s="232">
        <v>5907</v>
      </c>
      <c r="N413" s="232">
        <v>0</v>
      </c>
      <c r="O413" s="231">
        <v>17326</v>
      </c>
      <c r="P413" s="220">
        <f t="shared" si="13"/>
        <v>23233</v>
      </c>
      <c r="Q413" s="231"/>
      <c r="R413" s="232">
        <v>70328</v>
      </c>
      <c r="S413" s="233">
        <v>-11553</v>
      </c>
      <c r="T413" s="233">
        <v>58775</v>
      </c>
    </row>
    <row r="414" spans="1:20">
      <c r="A414" s="226">
        <v>94221</v>
      </c>
      <c r="B414" s="227" t="s">
        <v>1120</v>
      </c>
      <c r="C414" s="87">
        <v>1.0436E-3</v>
      </c>
      <c r="D414" s="87">
        <v>1.0705999999999999E-3</v>
      </c>
      <c r="E414" s="231">
        <v>1594332</v>
      </c>
      <c r="F414" s="231"/>
      <c r="G414" s="232">
        <v>91848</v>
      </c>
      <c r="H414" s="220">
        <v>387106</v>
      </c>
      <c r="I414" s="232">
        <v>227693</v>
      </c>
      <c r="J414" s="231">
        <v>63725</v>
      </c>
      <c r="K414" s="220">
        <f t="shared" si="12"/>
        <v>770372</v>
      </c>
      <c r="L414" s="231"/>
      <c r="M414" s="232">
        <v>45130</v>
      </c>
      <c r="N414" s="232">
        <v>0</v>
      </c>
      <c r="O414" s="231">
        <v>120971</v>
      </c>
      <c r="P414" s="220">
        <f t="shared" si="13"/>
        <v>166101</v>
      </c>
      <c r="Q414" s="231"/>
      <c r="R414" s="232">
        <v>537291</v>
      </c>
      <c r="S414" s="233">
        <v>-24799</v>
      </c>
      <c r="T414" s="233">
        <v>512492</v>
      </c>
    </row>
    <row r="415" spans="1:20">
      <c r="A415" s="226">
        <v>94231</v>
      </c>
      <c r="B415" s="227" t="s">
        <v>1121</v>
      </c>
      <c r="C415" s="87">
        <v>2.2609999999999999E-4</v>
      </c>
      <c r="D415" s="87">
        <v>2.1269999999999999E-4</v>
      </c>
      <c r="E415" s="231">
        <v>345418</v>
      </c>
      <c r="F415" s="231"/>
      <c r="G415" s="232">
        <v>19899</v>
      </c>
      <c r="H415" s="220">
        <v>83868</v>
      </c>
      <c r="I415" s="232">
        <v>49330</v>
      </c>
      <c r="J415" s="231">
        <v>8354</v>
      </c>
      <c r="K415" s="220">
        <f t="shared" si="12"/>
        <v>161451</v>
      </c>
      <c r="L415" s="231"/>
      <c r="M415" s="232">
        <v>9778</v>
      </c>
      <c r="N415" s="232">
        <v>0</v>
      </c>
      <c r="O415" s="231">
        <v>6714</v>
      </c>
      <c r="P415" s="220">
        <f t="shared" si="13"/>
        <v>16492</v>
      </c>
      <c r="Q415" s="231"/>
      <c r="R415" s="232">
        <v>116406</v>
      </c>
      <c r="S415" s="233">
        <v>-2799</v>
      </c>
      <c r="T415" s="233">
        <v>113607</v>
      </c>
    </row>
    <row r="416" spans="1:20">
      <c r="A416" s="226">
        <v>94241</v>
      </c>
      <c r="B416" s="227" t="s">
        <v>1122</v>
      </c>
      <c r="C416" s="87">
        <v>1.2669999999999999E-4</v>
      </c>
      <c r="D416" s="87">
        <v>8.4099999999999998E-5</v>
      </c>
      <c r="E416" s="231">
        <v>193563</v>
      </c>
      <c r="F416" s="231"/>
      <c r="G416" s="232">
        <v>11151</v>
      </c>
      <c r="H416" s="220">
        <v>46997</v>
      </c>
      <c r="I416" s="232">
        <v>27643</v>
      </c>
      <c r="J416" s="231">
        <v>26711</v>
      </c>
      <c r="K416" s="220">
        <f t="shared" si="12"/>
        <v>112502</v>
      </c>
      <c r="L416" s="231"/>
      <c r="M416" s="232">
        <v>5479</v>
      </c>
      <c r="N416" s="232">
        <v>0</v>
      </c>
      <c r="O416" s="231">
        <v>856</v>
      </c>
      <c r="P416" s="220">
        <f t="shared" si="13"/>
        <v>6335</v>
      </c>
      <c r="Q416" s="231"/>
      <c r="R416" s="232">
        <v>65231</v>
      </c>
      <c r="S416" s="233">
        <v>6835</v>
      </c>
      <c r="T416" s="233">
        <v>72066</v>
      </c>
    </row>
    <row r="417" spans="1:20">
      <c r="A417" s="226">
        <v>94251</v>
      </c>
      <c r="B417" s="227" t="s">
        <v>1123</v>
      </c>
      <c r="C417" s="87">
        <v>1.95E-5</v>
      </c>
      <c r="D417" s="87">
        <v>1.4E-5</v>
      </c>
      <c r="E417" s="231">
        <v>29791</v>
      </c>
      <c r="F417" s="231"/>
      <c r="G417" s="232">
        <v>1716</v>
      </c>
      <c r="H417" s="220">
        <v>7233</v>
      </c>
      <c r="I417" s="232">
        <v>4255</v>
      </c>
      <c r="J417" s="231">
        <v>3290</v>
      </c>
      <c r="K417" s="220">
        <f t="shared" si="12"/>
        <v>16494</v>
      </c>
      <c r="L417" s="231"/>
      <c r="M417" s="232">
        <v>843</v>
      </c>
      <c r="N417" s="232">
        <v>0</v>
      </c>
      <c r="O417" s="231">
        <v>6508</v>
      </c>
      <c r="P417" s="220">
        <f t="shared" si="13"/>
        <v>7351</v>
      </c>
      <c r="Q417" s="231"/>
      <c r="R417" s="232">
        <v>10039</v>
      </c>
      <c r="S417" s="233">
        <v>-2297</v>
      </c>
      <c r="T417" s="233">
        <v>7742</v>
      </c>
    </row>
    <row r="418" spans="1:20">
      <c r="A418" s="226">
        <v>94261</v>
      </c>
      <c r="B418" s="227" t="s">
        <v>1124</v>
      </c>
      <c r="C418" s="87">
        <v>3.9199999999999997E-5</v>
      </c>
      <c r="D418" s="87">
        <v>2.9499999999999999E-5</v>
      </c>
      <c r="E418" s="231">
        <v>59887</v>
      </c>
      <c r="F418" s="231"/>
      <c r="G418" s="232">
        <v>3450</v>
      </c>
      <c r="H418" s="220">
        <v>14541</v>
      </c>
      <c r="I418" s="232">
        <v>8553</v>
      </c>
      <c r="J418" s="231">
        <v>15518</v>
      </c>
      <c r="K418" s="220">
        <f t="shared" si="12"/>
        <v>42062</v>
      </c>
      <c r="L418" s="231"/>
      <c r="M418" s="232">
        <v>1695</v>
      </c>
      <c r="N418" s="232">
        <v>0</v>
      </c>
      <c r="O418" s="231">
        <v>0</v>
      </c>
      <c r="P418" s="220">
        <f t="shared" si="13"/>
        <v>1695</v>
      </c>
      <c r="Q418" s="231"/>
      <c r="R418" s="232">
        <v>20182</v>
      </c>
      <c r="S418" s="233">
        <v>5508</v>
      </c>
      <c r="T418" s="233">
        <v>25690</v>
      </c>
    </row>
    <row r="419" spans="1:20">
      <c r="A419" s="226">
        <v>94301</v>
      </c>
      <c r="B419" s="227" t="s">
        <v>1125</v>
      </c>
      <c r="C419" s="87">
        <v>6.2988999999999996E-3</v>
      </c>
      <c r="D419" s="87">
        <v>6.0746999999999997E-3</v>
      </c>
      <c r="E419" s="231">
        <v>9622974</v>
      </c>
      <c r="F419" s="231"/>
      <c r="G419" s="232">
        <v>554372</v>
      </c>
      <c r="H419" s="220">
        <v>2336470</v>
      </c>
      <c r="I419" s="232">
        <v>1374294</v>
      </c>
      <c r="J419" s="231">
        <v>85982</v>
      </c>
      <c r="K419" s="220">
        <f t="shared" si="12"/>
        <v>4351118</v>
      </c>
      <c r="L419" s="231"/>
      <c r="M419" s="232">
        <v>272396</v>
      </c>
      <c r="N419" s="232">
        <v>0</v>
      </c>
      <c r="O419" s="231">
        <v>117980</v>
      </c>
      <c r="P419" s="220">
        <f t="shared" si="13"/>
        <v>390376</v>
      </c>
      <c r="Q419" s="231"/>
      <c r="R419" s="232">
        <v>3242951</v>
      </c>
      <c r="S419" s="233">
        <v>-22710</v>
      </c>
      <c r="T419" s="233">
        <v>3220241</v>
      </c>
    </row>
    <row r="420" spans="1:20">
      <c r="A420" s="226">
        <v>94311</v>
      </c>
      <c r="B420" s="227" t="s">
        <v>1126</v>
      </c>
      <c r="C420" s="87">
        <v>7.8540000000000001E-4</v>
      </c>
      <c r="D420" s="87">
        <v>7.4399999999999998E-4</v>
      </c>
      <c r="E420" s="231">
        <v>1199874</v>
      </c>
      <c r="F420" s="231"/>
      <c r="G420" s="232">
        <v>69124</v>
      </c>
      <c r="H420" s="220">
        <v>291331</v>
      </c>
      <c r="I420" s="232">
        <v>171359</v>
      </c>
      <c r="J420" s="231">
        <v>26150</v>
      </c>
      <c r="K420" s="220">
        <f t="shared" si="12"/>
        <v>557964</v>
      </c>
      <c r="L420" s="231"/>
      <c r="M420" s="232">
        <v>33965</v>
      </c>
      <c r="N420" s="232">
        <v>0</v>
      </c>
      <c r="O420" s="231">
        <v>52115</v>
      </c>
      <c r="P420" s="220">
        <f t="shared" si="13"/>
        <v>86080</v>
      </c>
      <c r="Q420" s="231"/>
      <c r="R420" s="232">
        <v>404358</v>
      </c>
      <c r="S420" s="233">
        <v>-13365</v>
      </c>
      <c r="T420" s="233">
        <v>390993</v>
      </c>
    </row>
    <row r="421" spans="1:20">
      <c r="A421" s="226">
        <v>94313</v>
      </c>
      <c r="B421" s="227" t="s">
        <v>1127</v>
      </c>
      <c r="C421" s="87">
        <v>1.8700000000000001E-5</v>
      </c>
      <c r="D421" s="87">
        <v>2.0299999999999999E-5</v>
      </c>
      <c r="E421" s="231">
        <v>28568</v>
      </c>
      <c r="F421" s="231"/>
      <c r="G421" s="232">
        <v>1646</v>
      </c>
      <c r="H421" s="220">
        <v>6936</v>
      </c>
      <c r="I421" s="232">
        <v>4080</v>
      </c>
      <c r="J421" s="231">
        <v>7421</v>
      </c>
      <c r="K421" s="220">
        <f t="shared" si="12"/>
        <v>20083</v>
      </c>
      <c r="L421" s="231"/>
      <c r="M421" s="232">
        <v>809</v>
      </c>
      <c r="N421" s="232">
        <v>0</v>
      </c>
      <c r="O421" s="231">
        <v>0</v>
      </c>
      <c r="P421" s="220">
        <f t="shared" si="13"/>
        <v>809</v>
      </c>
      <c r="Q421" s="231"/>
      <c r="R421" s="232">
        <v>9628</v>
      </c>
      <c r="S421" s="233">
        <v>3124</v>
      </c>
      <c r="T421" s="233">
        <v>12752</v>
      </c>
    </row>
    <row r="422" spans="1:20">
      <c r="A422" s="226">
        <v>94317</v>
      </c>
      <c r="B422" s="227" t="s">
        <v>1128</v>
      </c>
      <c r="C422" s="87">
        <v>1.2E-5</v>
      </c>
      <c r="D422" s="87">
        <v>1.2099999999999999E-5</v>
      </c>
      <c r="E422" s="231">
        <v>18333</v>
      </c>
      <c r="F422" s="231"/>
      <c r="G422" s="232">
        <v>1056</v>
      </c>
      <c r="H422" s="220">
        <v>4451</v>
      </c>
      <c r="I422" s="232">
        <v>2618</v>
      </c>
      <c r="J422" s="231">
        <v>7663</v>
      </c>
      <c r="K422" s="220">
        <f t="shared" si="12"/>
        <v>15788</v>
      </c>
      <c r="L422" s="231"/>
      <c r="M422" s="232">
        <v>519</v>
      </c>
      <c r="N422" s="232">
        <v>0</v>
      </c>
      <c r="O422" s="231">
        <v>0</v>
      </c>
      <c r="P422" s="220">
        <f t="shared" si="13"/>
        <v>519</v>
      </c>
      <c r="Q422" s="231"/>
      <c r="R422" s="232">
        <v>6178</v>
      </c>
      <c r="S422" s="233">
        <v>3130</v>
      </c>
      <c r="T422" s="233">
        <v>9308</v>
      </c>
    </row>
    <row r="423" spans="1:20">
      <c r="A423" s="226">
        <v>94321</v>
      </c>
      <c r="B423" s="227" t="s">
        <v>1129</v>
      </c>
      <c r="C423" s="87">
        <v>2.7760000000000003E-4</v>
      </c>
      <c r="D423" s="87">
        <v>2.7070000000000002E-4</v>
      </c>
      <c r="E423" s="231">
        <v>424096</v>
      </c>
      <c r="F423" s="231"/>
      <c r="G423" s="232">
        <v>24432</v>
      </c>
      <c r="H423" s="220">
        <v>102971</v>
      </c>
      <c r="I423" s="232">
        <v>60567</v>
      </c>
      <c r="J423" s="231">
        <v>1692</v>
      </c>
      <c r="K423" s="220">
        <f t="shared" si="12"/>
        <v>189662</v>
      </c>
      <c r="L423" s="231"/>
      <c r="M423" s="232">
        <v>12005</v>
      </c>
      <c r="N423" s="232">
        <v>0</v>
      </c>
      <c r="O423" s="231">
        <v>19924</v>
      </c>
      <c r="P423" s="220">
        <f t="shared" si="13"/>
        <v>31929</v>
      </c>
      <c r="Q423" s="231"/>
      <c r="R423" s="232">
        <v>142921</v>
      </c>
      <c r="S423" s="233">
        <v>-5646</v>
      </c>
      <c r="T423" s="233">
        <v>137275</v>
      </c>
    </row>
    <row r="424" spans="1:20">
      <c r="A424" s="226">
        <v>94331</v>
      </c>
      <c r="B424" s="227" t="s">
        <v>1130</v>
      </c>
      <c r="C424" s="87">
        <v>1.3569999999999999E-4</v>
      </c>
      <c r="D424" s="87">
        <v>1.517E-4</v>
      </c>
      <c r="E424" s="231">
        <v>207312</v>
      </c>
      <c r="F424" s="231"/>
      <c r="G424" s="232">
        <v>11943</v>
      </c>
      <c r="H424" s="220">
        <v>50336</v>
      </c>
      <c r="I424" s="232">
        <v>29607</v>
      </c>
      <c r="J424" s="231">
        <v>7715</v>
      </c>
      <c r="K424" s="220">
        <f t="shared" si="12"/>
        <v>99601</v>
      </c>
      <c r="L424" s="231"/>
      <c r="M424" s="232">
        <v>5868</v>
      </c>
      <c r="N424" s="232">
        <v>0</v>
      </c>
      <c r="O424" s="231">
        <v>10557</v>
      </c>
      <c r="P424" s="220">
        <f t="shared" si="13"/>
        <v>16425</v>
      </c>
      <c r="Q424" s="231"/>
      <c r="R424" s="232">
        <v>69864</v>
      </c>
      <c r="S424" s="233">
        <v>2981</v>
      </c>
      <c r="T424" s="233">
        <v>72845</v>
      </c>
    </row>
    <row r="425" spans="1:20">
      <c r="A425" s="226">
        <v>94341</v>
      </c>
      <c r="B425" s="227" t="s">
        <v>1131</v>
      </c>
      <c r="C425" s="87">
        <v>9.4699999999999998E-5</v>
      </c>
      <c r="D425" s="87">
        <v>8.1000000000000004E-5</v>
      </c>
      <c r="E425" s="231">
        <v>144675</v>
      </c>
      <c r="F425" s="231"/>
      <c r="G425" s="232">
        <v>8335</v>
      </c>
      <c r="H425" s="220">
        <v>35127</v>
      </c>
      <c r="I425" s="232">
        <v>20662</v>
      </c>
      <c r="J425" s="231">
        <v>5564</v>
      </c>
      <c r="K425" s="220">
        <f t="shared" si="12"/>
        <v>69688</v>
      </c>
      <c r="L425" s="231"/>
      <c r="M425" s="232">
        <v>4095</v>
      </c>
      <c r="N425" s="232">
        <v>0</v>
      </c>
      <c r="O425" s="231">
        <v>5713</v>
      </c>
      <c r="P425" s="220">
        <f t="shared" si="13"/>
        <v>9808</v>
      </c>
      <c r="Q425" s="231"/>
      <c r="R425" s="232">
        <v>48756</v>
      </c>
      <c r="S425" s="233">
        <v>-1783</v>
      </c>
      <c r="T425" s="233">
        <v>46973</v>
      </c>
    </row>
    <row r="426" spans="1:20">
      <c r="A426" s="226">
        <v>94347</v>
      </c>
      <c r="B426" s="227" t="s">
        <v>1132</v>
      </c>
      <c r="C426" s="87">
        <v>1.22E-5</v>
      </c>
      <c r="D426" s="87">
        <v>1.2300000000000001E-5</v>
      </c>
      <c r="E426" s="231">
        <v>18638</v>
      </c>
      <c r="F426" s="231"/>
      <c r="G426" s="232">
        <v>1074</v>
      </c>
      <c r="H426" s="220">
        <v>4526</v>
      </c>
      <c r="I426" s="232">
        <v>2662</v>
      </c>
      <c r="J426" s="231">
        <v>4271</v>
      </c>
      <c r="K426" s="220">
        <f t="shared" si="12"/>
        <v>12533</v>
      </c>
      <c r="L426" s="231"/>
      <c r="M426" s="232">
        <v>528</v>
      </c>
      <c r="N426" s="232">
        <v>0</v>
      </c>
      <c r="O426" s="231">
        <v>0</v>
      </c>
      <c r="P426" s="220">
        <f t="shared" si="13"/>
        <v>528</v>
      </c>
      <c r="Q426" s="231"/>
      <c r="R426" s="232">
        <v>6281</v>
      </c>
      <c r="S426" s="233">
        <v>1892</v>
      </c>
      <c r="T426" s="233">
        <v>8173</v>
      </c>
    </row>
    <row r="427" spans="1:20">
      <c r="A427" s="226">
        <v>94351</v>
      </c>
      <c r="B427" s="227" t="s">
        <v>1133</v>
      </c>
      <c r="C427" s="87">
        <v>2.433E-4</v>
      </c>
      <c r="D427" s="87">
        <v>2.377E-4</v>
      </c>
      <c r="E427" s="231">
        <v>371695</v>
      </c>
      <c r="F427" s="231"/>
      <c r="G427" s="232">
        <v>21413</v>
      </c>
      <c r="H427" s="220">
        <v>90248</v>
      </c>
      <c r="I427" s="232">
        <v>53083</v>
      </c>
      <c r="J427" s="231">
        <v>1592</v>
      </c>
      <c r="K427" s="220">
        <f t="shared" si="12"/>
        <v>166336</v>
      </c>
      <c r="L427" s="231"/>
      <c r="M427" s="232">
        <v>10522</v>
      </c>
      <c r="N427" s="232">
        <v>0</v>
      </c>
      <c r="O427" s="231">
        <v>4723</v>
      </c>
      <c r="P427" s="220">
        <f t="shared" si="13"/>
        <v>15245</v>
      </c>
      <c r="Q427" s="231"/>
      <c r="R427" s="232">
        <v>125262</v>
      </c>
      <c r="S427" s="233">
        <v>-1683</v>
      </c>
      <c r="T427" s="233">
        <v>123579</v>
      </c>
    </row>
    <row r="428" spans="1:20">
      <c r="A428" s="226">
        <v>94401</v>
      </c>
      <c r="B428" s="227" t="s">
        <v>1134</v>
      </c>
      <c r="C428" s="87">
        <v>3.2718000000000001E-3</v>
      </c>
      <c r="D428" s="87">
        <v>3.4548999999999999E-3</v>
      </c>
      <c r="E428" s="231">
        <v>4998404</v>
      </c>
      <c r="F428" s="231"/>
      <c r="G428" s="232">
        <v>287954</v>
      </c>
      <c r="H428" s="220">
        <v>1213619</v>
      </c>
      <c r="I428" s="232">
        <v>713841</v>
      </c>
      <c r="J428" s="231">
        <v>20795</v>
      </c>
      <c r="K428" s="220">
        <f t="shared" si="12"/>
        <v>2236209</v>
      </c>
      <c r="L428" s="231"/>
      <c r="M428" s="232">
        <v>141489</v>
      </c>
      <c r="N428" s="232">
        <v>0</v>
      </c>
      <c r="O428" s="231">
        <v>83776</v>
      </c>
      <c r="P428" s="220">
        <f t="shared" si="13"/>
        <v>225265</v>
      </c>
      <c r="Q428" s="231"/>
      <c r="R428" s="232">
        <v>1684467</v>
      </c>
      <c r="S428" s="233">
        <v>-11283</v>
      </c>
      <c r="T428" s="233">
        <v>1673184</v>
      </c>
    </row>
    <row r="429" spans="1:20">
      <c r="A429" s="226">
        <v>94402</v>
      </c>
      <c r="B429" s="227" t="s">
        <v>1135</v>
      </c>
      <c r="C429" s="87">
        <v>0</v>
      </c>
      <c r="D429" s="87">
        <v>0</v>
      </c>
      <c r="E429" s="231">
        <v>0</v>
      </c>
      <c r="F429" s="231"/>
      <c r="G429" s="232">
        <v>0</v>
      </c>
      <c r="H429" s="220">
        <v>0</v>
      </c>
      <c r="I429" s="232">
        <v>0</v>
      </c>
      <c r="J429" s="231">
        <v>0</v>
      </c>
      <c r="K429" s="220">
        <f t="shared" si="12"/>
        <v>0</v>
      </c>
      <c r="L429" s="231"/>
      <c r="M429" s="232">
        <v>0</v>
      </c>
      <c r="N429" s="232">
        <v>0</v>
      </c>
      <c r="O429" s="231">
        <v>1774367</v>
      </c>
      <c r="P429" s="220">
        <f t="shared" si="13"/>
        <v>1774367</v>
      </c>
      <c r="Q429" s="231"/>
      <c r="R429" s="232">
        <v>0</v>
      </c>
      <c r="S429" s="233">
        <v>-1007431</v>
      </c>
      <c r="T429" s="233">
        <v>-1007431</v>
      </c>
    </row>
    <row r="430" spans="1:20">
      <c r="A430" s="226">
        <v>94403</v>
      </c>
      <c r="B430" s="227" t="s">
        <v>1136</v>
      </c>
      <c r="C430" s="87">
        <v>2.2099999999999998E-5</v>
      </c>
      <c r="D430" s="87">
        <v>0</v>
      </c>
      <c r="E430" s="231">
        <v>33763</v>
      </c>
      <c r="F430" s="231"/>
      <c r="G430" s="232">
        <v>1945</v>
      </c>
      <c r="H430" s="220">
        <v>8198</v>
      </c>
      <c r="I430" s="232">
        <v>4822</v>
      </c>
      <c r="J430" s="231">
        <v>14624</v>
      </c>
      <c r="K430" s="220">
        <f t="shared" si="12"/>
        <v>29589</v>
      </c>
      <c r="L430" s="231"/>
      <c r="M430" s="232">
        <v>956</v>
      </c>
      <c r="N430" s="232">
        <v>0</v>
      </c>
      <c r="O430" s="231">
        <v>0</v>
      </c>
      <c r="P430" s="220">
        <f t="shared" si="13"/>
        <v>956</v>
      </c>
      <c r="Q430" s="231"/>
      <c r="R430" s="232">
        <v>11378</v>
      </c>
      <c r="S430" s="233">
        <v>3656</v>
      </c>
      <c r="T430" s="233">
        <v>15034</v>
      </c>
    </row>
    <row r="431" spans="1:20">
      <c r="A431" s="226">
        <v>94408</v>
      </c>
      <c r="B431" s="227" t="s">
        <v>1137</v>
      </c>
      <c r="C431" s="87">
        <v>4.2400000000000001E-5</v>
      </c>
      <c r="D431" s="87">
        <v>4.0099999999999999E-5</v>
      </c>
      <c r="E431" s="231">
        <v>64775</v>
      </c>
      <c r="F431" s="231"/>
      <c r="G431" s="232">
        <v>3732</v>
      </c>
      <c r="H431" s="220">
        <v>15728</v>
      </c>
      <c r="I431" s="232">
        <v>9251</v>
      </c>
      <c r="J431" s="231">
        <v>7577</v>
      </c>
      <c r="K431" s="220">
        <f t="shared" si="12"/>
        <v>36288</v>
      </c>
      <c r="L431" s="231"/>
      <c r="M431" s="232">
        <v>1834</v>
      </c>
      <c r="N431" s="232">
        <v>0</v>
      </c>
      <c r="O431" s="231">
        <v>4064</v>
      </c>
      <c r="P431" s="220">
        <f t="shared" si="13"/>
        <v>5898</v>
      </c>
      <c r="Q431" s="231"/>
      <c r="R431" s="232">
        <v>21829</v>
      </c>
      <c r="S431" s="233">
        <v>382</v>
      </c>
      <c r="T431" s="233">
        <v>22211</v>
      </c>
    </row>
    <row r="432" spans="1:20">
      <c r="A432" s="226">
        <v>94411</v>
      </c>
      <c r="B432" s="227" t="s">
        <v>1138</v>
      </c>
      <c r="C432" s="87">
        <v>1.2672E-3</v>
      </c>
      <c r="D432" s="87">
        <v>1.1592E-3</v>
      </c>
      <c r="E432" s="231">
        <v>1935931</v>
      </c>
      <c r="F432" s="231"/>
      <c r="G432" s="232">
        <v>111528</v>
      </c>
      <c r="H432" s="220">
        <v>470046</v>
      </c>
      <c r="I432" s="232">
        <v>276478</v>
      </c>
      <c r="J432" s="231">
        <v>63511</v>
      </c>
      <c r="K432" s="220">
        <f t="shared" si="12"/>
        <v>921563</v>
      </c>
      <c r="L432" s="231"/>
      <c r="M432" s="232">
        <v>54800</v>
      </c>
      <c r="N432" s="232">
        <v>0</v>
      </c>
      <c r="O432" s="231">
        <v>4125</v>
      </c>
      <c r="P432" s="220">
        <f t="shared" si="13"/>
        <v>58925</v>
      </c>
      <c r="Q432" s="231"/>
      <c r="R432" s="232">
        <v>652410</v>
      </c>
      <c r="S432" s="233">
        <v>18114</v>
      </c>
      <c r="T432" s="233">
        <v>670524</v>
      </c>
    </row>
    <row r="433" spans="1:20">
      <c r="A433" s="226">
        <v>94412</v>
      </c>
      <c r="B433" s="227" t="s">
        <v>1139</v>
      </c>
      <c r="C433" s="87">
        <v>1.5099999999999999E-5</v>
      </c>
      <c r="D433" s="87">
        <v>1.63E-5</v>
      </c>
      <c r="E433" s="231">
        <v>23069</v>
      </c>
      <c r="F433" s="231"/>
      <c r="G433" s="232">
        <v>1329</v>
      </c>
      <c r="H433" s="220">
        <v>5602</v>
      </c>
      <c r="I433" s="232">
        <v>3295</v>
      </c>
      <c r="J433" s="231">
        <v>12533</v>
      </c>
      <c r="K433" s="220">
        <f t="shared" si="12"/>
        <v>22759</v>
      </c>
      <c r="L433" s="231"/>
      <c r="M433" s="232">
        <v>653</v>
      </c>
      <c r="N433" s="232">
        <v>0</v>
      </c>
      <c r="O433" s="231">
        <v>0</v>
      </c>
      <c r="P433" s="220">
        <f t="shared" si="13"/>
        <v>653</v>
      </c>
      <c r="Q433" s="231"/>
      <c r="R433" s="232">
        <v>7774</v>
      </c>
      <c r="S433" s="233">
        <v>5893</v>
      </c>
      <c r="T433" s="233">
        <v>13667</v>
      </c>
    </row>
    <row r="434" spans="1:20">
      <c r="A434" s="226">
        <v>94421</v>
      </c>
      <c r="B434" s="227" t="s">
        <v>1140</v>
      </c>
      <c r="C434" s="87">
        <v>1.6679999999999999E-4</v>
      </c>
      <c r="D434" s="87">
        <v>1.6899999999999999E-4</v>
      </c>
      <c r="E434" s="231">
        <v>254824</v>
      </c>
      <c r="F434" s="231"/>
      <c r="G434" s="232">
        <v>14680</v>
      </c>
      <c r="H434" s="220">
        <v>61871</v>
      </c>
      <c r="I434" s="232">
        <v>36392</v>
      </c>
      <c r="J434" s="231">
        <v>4157</v>
      </c>
      <c r="K434" s="220">
        <f t="shared" si="12"/>
        <v>117100</v>
      </c>
      <c r="L434" s="231"/>
      <c r="M434" s="232">
        <v>7213</v>
      </c>
      <c r="N434" s="232">
        <v>0</v>
      </c>
      <c r="O434" s="231">
        <v>6763</v>
      </c>
      <c r="P434" s="220">
        <f t="shared" si="13"/>
        <v>13976</v>
      </c>
      <c r="Q434" s="231"/>
      <c r="R434" s="232">
        <v>85876</v>
      </c>
      <c r="S434" s="233">
        <v>-3870</v>
      </c>
      <c r="T434" s="233">
        <v>82006</v>
      </c>
    </row>
    <row r="435" spans="1:20">
      <c r="A435" s="226">
        <v>94427</v>
      </c>
      <c r="B435" s="227" t="s">
        <v>1141</v>
      </c>
      <c r="C435" s="87">
        <v>1.5699999999999999E-5</v>
      </c>
      <c r="D435" s="87">
        <v>1.29E-5</v>
      </c>
      <c r="E435" s="231">
        <v>23985</v>
      </c>
      <c r="F435" s="231"/>
      <c r="G435" s="232">
        <v>1382</v>
      </c>
      <c r="H435" s="220">
        <v>5824</v>
      </c>
      <c r="I435" s="232">
        <v>3425</v>
      </c>
      <c r="J435" s="231">
        <v>4090</v>
      </c>
      <c r="K435" s="220">
        <f t="shared" si="12"/>
        <v>14721</v>
      </c>
      <c r="L435" s="231"/>
      <c r="M435" s="232">
        <v>679</v>
      </c>
      <c r="N435" s="232">
        <v>0</v>
      </c>
      <c r="O435" s="231">
        <v>478</v>
      </c>
      <c r="P435" s="220">
        <f t="shared" si="13"/>
        <v>1157</v>
      </c>
      <c r="Q435" s="231"/>
      <c r="R435" s="232">
        <v>8083</v>
      </c>
      <c r="S435" s="233">
        <v>943</v>
      </c>
      <c r="T435" s="233">
        <v>9026</v>
      </c>
    </row>
    <row r="436" spans="1:20">
      <c r="A436" s="226">
        <v>94428</v>
      </c>
      <c r="B436" s="227" t="s">
        <v>1142</v>
      </c>
      <c r="C436" s="87">
        <v>6.5199999999999999E-5</v>
      </c>
      <c r="D436" s="87">
        <v>7.4400000000000006E-5</v>
      </c>
      <c r="E436" s="231">
        <v>99608</v>
      </c>
      <c r="F436" s="231"/>
      <c r="G436" s="232">
        <v>5738</v>
      </c>
      <c r="H436" s="220">
        <v>24185</v>
      </c>
      <c r="I436" s="232">
        <v>14225</v>
      </c>
      <c r="J436" s="231">
        <v>2315</v>
      </c>
      <c r="K436" s="220">
        <f t="shared" si="12"/>
        <v>46463</v>
      </c>
      <c r="L436" s="231"/>
      <c r="M436" s="232">
        <v>2820</v>
      </c>
      <c r="N436" s="232">
        <v>0</v>
      </c>
      <c r="O436" s="231">
        <v>3346</v>
      </c>
      <c r="P436" s="220">
        <f t="shared" si="13"/>
        <v>6166</v>
      </c>
      <c r="Q436" s="231"/>
      <c r="R436" s="232">
        <v>33568</v>
      </c>
      <c r="S436" s="233">
        <v>366</v>
      </c>
      <c r="T436" s="233">
        <v>33934</v>
      </c>
    </row>
    <row r="437" spans="1:20">
      <c r="A437" s="226">
        <v>94431</v>
      </c>
      <c r="B437" s="227" t="s">
        <v>1143</v>
      </c>
      <c r="C437" s="87">
        <v>4.2440000000000002E-4</v>
      </c>
      <c r="D437" s="87">
        <v>3.7589999999999998E-4</v>
      </c>
      <c r="E437" s="231">
        <v>648366</v>
      </c>
      <c r="F437" s="231"/>
      <c r="G437" s="232">
        <v>37352</v>
      </c>
      <c r="H437" s="220">
        <v>157424</v>
      </c>
      <c r="I437" s="232">
        <v>92596</v>
      </c>
      <c r="J437" s="231">
        <v>210809</v>
      </c>
      <c r="K437" s="220">
        <f t="shared" si="12"/>
        <v>498181</v>
      </c>
      <c r="L437" s="231"/>
      <c r="M437" s="232">
        <v>18353</v>
      </c>
      <c r="N437" s="232">
        <v>0</v>
      </c>
      <c r="O437" s="231">
        <v>611</v>
      </c>
      <c r="P437" s="220">
        <f t="shared" si="13"/>
        <v>18964</v>
      </c>
      <c r="Q437" s="231"/>
      <c r="R437" s="232">
        <v>218500</v>
      </c>
      <c r="S437" s="233">
        <v>68328</v>
      </c>
      <c r="T437" s="233">
        <v>286828</v>
      </c>
    </row>
    <row r="438" spans="1:20">
      <c r="A438" s="226">
        <v>94437</v>
      </c>
      <c r="B438" s="227" t="s">
        <v>1144</v>
      </c>
      <c r="C438" s="87">
        <v>1.5299999999999999E-5</v>
      </c>
      <c r="D438" s="87">
        <v>1.34E-5</v>
      </c>
      <c r="E438" s="231">
        <v>23374</v>
      </c>
      <c r="F438" s="231"/>
      <c r="G438" s="232">
        <v>1347</v>
      </c>
      <c r="H438" s="220">
        <v>5675</v>
      </c>
      <c r="I438" s="232">
        <v>3338</v>
      </c>
      <c r="J438" s="231">
        <v>13868</v>
      </c>
      <c r="K438" s="220">
        <f t="shared" si="12"/>
        <v>24228</v>
      </c>
      <c r="L438" s="231"/>
      <c r="M438" s="232">
        <v>662</v>
      </c>
      <c r="N438" s="232">
        <v>0</v>
      </c>
      <c r="O438" s="231">
        <v>0</v>
      </c>
      <c r="P438" s="220">
        <f t="shared" si="13"/>
        <v>662</v>
      </c>
      <c r="Q438" s="231"/>
      <c r="R438" s="232">
        <v>7877</v>
      </c>
      <c r="S438" s="233">
        <v>5640</v>
      </c>
      <c r="T438" s="233">
        <v>13517</v>
      </c>
    </row>
    <row r="439" spans="1:20">
      <c r="A439" s="226">
        <v>94501</v>
      </c>
      <c r="B439" s="227" t="s">
        <v>1145</v>
      </c>
      <c r="C439" s="87">
        <v>5.6991000000000003E-3</v>
      </c>
      <c r="D439" s="87">
        <v>5.8474E-3</v>
      </c>
      <c r="E439" s="231">
        <v>8706646</v>
      </c>
      <c r="F439" s="231"/>
      <c r="G439" s="232">
        <v>501583</v>
      </c>
      <c r="H439" s="220">
        <v>2113984</v>
      </c>
      <c r="I439" s="232">
        <v>1243430</v>
      </c>
      <c r="J439" s="231">
        <v>145440</v>
      </c>
      <c r="K439" s="220">
        <f t="shared" si="12"/>
        <v>4004437</v>
      </c>
      <c r="L439" s="231"/>
      <c r="M439" s="232">
        <v>246458</v>
      </c>
      <c r="N439" s="232">
        <v>0</v>
      </c>
      <c r="O439" s="231">
        <v>11569</v>
      </c>
      <c r="P439" s="220">
        <f t="shared" si="13"/>
        <v>258027</v>
      </c>
      <c r="Q439" s="231"/>
      <c r="R439" s="232">
        <v>2934147</v>
      </c>
      <c r="S439" s="233">
        <v>99795</v>
      </c>
      <c r="T439" s="233">
        <v>3033942</v>
      </c>
    </row>
    <row r="440" spans="1:20">
      <c r="A440" s="226">
        <v>94511</v>
      </c>
      <c r="B440" s="227" t="s">
        <v>1146</v>
      </c>
      <c r="C440" s="87">
        <v>1.8538999999999999E-3</v>
      </c>
      <c r="D440" s="87">
        <v>1.7432000000000001E-3</v>
      </c>
      <c r="E440" s="231">
        <v>2832246</v>
      </c>
      <c r="F440" s="231"/>
      <c r="G440" s="232">
        <v>163164</v>
      </c>
      <c r="H440" s="220">
        <v>687673</v>
      </c>
      <c r="I440" s="232">
        <v>404484</v>
      </c>
      <c r="J440" s="231">
        <v>155537</v>
      </c>
      <c r="K440" s="220">
        <f t="shared" si="12"/>
        <v>1410858</v>
      </c>
      <c r="L440" s="231"/>
      <c r="M440" s="232">
        <v>80172</v>
      </c>
      <c r="N440" s="232">
        <v>0</v>
      </c>
      <c r="O440" s="231">
        <v>31633</v>
      </c>
      <c r="P440" s="220">
        <f t="shared" si="13"/>
        <v>111805</v>
      </c>
      <c r="Q440" s="231"/>
      <c r="R440" s="232">
        <v>954469</v>
      </c>
      <c r="S440" s="233">
        <v>72914</v>
      </c>
      <c r="T440" s="233">
        <v>1027383</v>
      </c>
    </row>
    <row r="441" spans="1:20">
      <c r="A441" s="226">
        <v>94512</v>
      </c>
      <c r="B441" s="227" t="s">
        <v>1147</v>
      </c>
      <c r="C441" s="87">
        <v>0</v>
      </c>
      <c r="D441" s="87">
        <v>0</v>
      </c>
      <c r="E441" s="231">
        <v>0</v>
      </c>
      <c r="F441" s="231"/>
      <c r="G441" s="232">
        <v>0</v>
      </c>
      <c r="H441" s="220">
        <v>0</v>
      </c>
      <c r="I441" s="232">
        <v>0</v>
      </c>
      <c r="J441" s="231">
        <v>0</v>
      </c>
      <c r="K441" s="220">
        <f t="shared" si="12"/>
        <v>0</v>
      </c>
      <c r="L441" s="231"/>
      <c r="M441" s="232">
        <v>0</v>
      </c>
      <c r="N441" s="232">
        <v>0</v>
      </c>
      <c r="O441" s="231">
        <v>138579</v>
      </c>
      <c r="P441" s="220">
        <f t="shared" si="13"/>
        <v>138579</v>
      </c>
      <c r="Q441" s="231"/>
      <c r="R441" s="232">
        <v>0</v>
      </c>
      <c r="S441" s="233">
        <v>-78713</v>
      </c>
      <c r="T441" s="233">
        <v>-78713</v>
      </c>
    </row>
    <row r="442" spans="1:20">
      <c r="A442" s="226">
        <v>94517</v>
      </c>
      <c r="B442" s="227" t="s">
        <v>1148</v>
      </c>
      <c r="C442" s="87">
        <v>4.7599999999999998E-5</v>
      </c>
      <c r="D442" s="87">
        <v>4.9599999999999999E-5</v>
      </c>
      <c r="E442" s="231">
        <v>72720</v>
      </c>
      <c r="F442" s="231"/>
      <c r="G442" s="232">
        <v>4189</v>
      </c>
      <c r="H442" s="220">
        <v>17656</v>
      </c>
      <c r="I442" s="232">
        <v>10385</v>
      </c>
      <c r="J442" s="231">
        <v>18702</v>
      </c>
      <c r="K442" s="220">
        <f t="shared" si="12"/>
        <v>50932</v>
      </c>
      <c r="L442" s="231"/>
      <c r="M442" s="232">
        <v>2058</v>
      </c>
      <c r="N442" s="232">
        <v>0</v>
      </c>
      <c r="O442" s="231">
        <v>0</v>
      </c>
      <c r="P442" s="220">
        <f t="shared" si="13"/>
        <v>2058</v>
      </c>
      <c r="Q442" s="231"/>
      <c r="R442" s="232">
        <v>24507</v>
      </c>
      <c r="S442" s="233">
        <v>9021</v>
      </c>
      <c r="T442" s="233">
        <v>33528</v>
      </c>
    </row>
    <row r="443" spans="1:20">
      <c r="A443" s="226">
        <v>94521</v>
      </c>
      <c r="B443" s="227" t="s">
        <v>1149</v>
      </c>
      <c r="C443" s="87">
        <v>1.517E-4</v>
      </c>
      <c r="D443" s="87">
        <v>1.2410000000000001E-4</v>
      </c>
      <c r="E443" s="231">
        <v>231756</v>
      </c>
      <c r="F443" s="231"/>
      <c r="G443" s="232">
        <v>13351</v>
      </c>
      <c r="H443" s="220">
        <v>56271</v>
      </c>
      <c r="I443" s="232">
        <v>33098</v>
      </c>
      <c r="J443" s="231">
        <v>15354</v>
      </c>
      <c r="K443" s="220">
        <f t="shared" si="12"/>
        <v>118074</v>
      </c>
      <c r="L443" s="231"/>
      <c r="M443" s="232">
        <v>6560</v>
      </c>
      <c r="N443" s="232">
        <v>0</v>
      </c>
      <c r="O443" s="231">
        <v>13856</v>
      </c>
      <c r="P443" s="220">
        <f t="shared" si="13"/>
        <v>20416</v>
      </c>
      <c r="Q443" s="231"/>
      <c r="R443" s="232">
        <v>78102</v>
      </c>
      <c r="S443" s="233">
        <v>429</v>
      </c>
      <c r="T443" s="233">
        <v>78531</v>
      </c>
    </row>
    <row r="444" spans="1:20">
      <c r="A444" s="226">
        <v>94527</v>
      </c>
      <c r="B444" s="227" t="s">
        <v>1150</v>
      </c>
      <c r="C444" s="87">
        <v>5.4E-6</v>
      </c>
      <c r="D444" s="87">
        <v>6.3999999999999997E-6</v>
      </c>
      <c r="E444" s="231">
        <v>8250</v>
      </c>
      <c r="F444" s="231"/>
      <c r="G444" s="232">
        <v>475</v>
      </c>
      <c r="H444" s="220">
        <v>2003</v>
      </c>
      <c r="I444" s="232">
        <v>1178</v>
      </c>
      <c r="J444" s="231">
        <v>308</v>
      </c>
      <c r="K444" s="220">
        <f t="shared" si="12"/>
        <v>3964</v>
      </c>
      <c r="L444" s="231"/>
      <c r="M444" s="232">
        <v>234</v>
      </c>
      <c r="N444" s="232">
        <v>0</v>
      </c>
      <c r="O444" s="231">
        <v>3369</v>
      </c>
      <c r="P444" s="220">
        <f t="shared" si="13"/>
        <v>3603</v>
      </c>
      <c r="Q444" s="231"/>
      <c r="R444" s="232">
        <v>2780</v>
      </c>
      <c r="S444" s="233">
        <v>-953</v>
      </c>
      <c r="T444" s="233">
        <v>1827</v>
      </c>
    </row>
    <row r="445" spans="1:20">
      <c r="A445" s="226">
        <v>94531</v>
      </c>
      <c r="B445" s="227" t="s">
        <v>1151</v>
      </c>
      <c r="C445" s="87">
        <v>1.5E-5</v>
      </c>
      <c r="D445" s="87">
        <v>1.5500000000000001E-5</v>
      </c>
      <c r="E445" s="231">
        <v>22916</v>
      </c>
      <c r="F445" s="231"/>
      <c r="G445" s="232">
        <v>1320</v>
      </c>
      <c r="H445" s="220">
        <v>5564</v>
      </c>
      <c r="I445" s="232">
        <v>3273</v>
      </c>
      <c r="J445" s="231">
        <v>6665</v>
      </c>
      <c r="K445" s="220">
        <f t="shared" si="12"/>
        <v>16822</v>
      </c>
      <c r="L445" s="231"/>
      <c r="M445" s="232">
        <v>649</v>
      </c>
      <c r="N445" s="232">
        <v>0</v>
      </c>
      <c r="O445" s="231">
        <v>0</v>
      </c>
      <c r="P445" s="220">
        <f t="shared" si="13"/>
        <v>649</v>
      </c>
      <c r="Q445" s="231"/>
      <c r="R445" s="232">
        <v>7723</v>
      </c>
      <c r="S445" s="233">
        <v>2681</v>
      </c>
      <c r="T445" s="233">
        <v>10404</v>
      </c>
    </row>
    <row r="446" spans="1:20">
      <c r="A446" s="226">
        <v>94532</v>
      </c>
      <c r="B446" s="227" t="s">
        <v>1152</v>
      </c>
      <c r="C446" s="87">
        <v>8.7800000000000006E-5</v>
      </c>
      <c r="D446" s="87">
        <v>9.4099999999999997E-5</v>
      </c>
      <c r="E446" s="231">
        <v>134134</v>
      </c>
      <c r="F446" s="231"/>
      <c r="G446" s="232">
        <v>7727</v>
      </c>
      <c r="H446" s="220">
        <v>32568</v>
      </c>
      <c r="I446" s="232">
        <v>19156</v>
      </c>
      <c r="J446" s="231">
        <v>0</v>
      </c>
      <c r="K446" s="220">
        <f t="shared" si="12"/>
        <v>59451</v>
      </c>
      <c r="L446" s="231"/>
      <c r="M446" s="232">
        <v>3797</v>
      </c>
      <c r="N446" s="232">
        <v>0</v>
      </c>
      <c r="O446" s="231">
        <v>10367</v>
      </c>
      <c r="P446" s="220">
        <f t="shared" si="13"/>
        <v>14164</v>
      </c>
      <c r="Q446" s="231"/>
      <c r="R446" s="232">
        <v>45203</v>
      </c>
      <c r="S446" s="233">
        <v>-5525</v>
      </c>
      <c r="T446" s="233">
        <v>39678</v>
      </c>
    </row>
    <row r="447" spans="1:20">
      <c r="A447" s="226">
        <v>94541</v>
      </c>
      <c r="B447" s="227" t="s">
        <v>1153</v>
      </c>
      <c r="C447" s="87">
        <v>2.9300000000000002E-4</v>
      </c>
      <c r="D447" s="87">
        <v>2.9839999999999999E-4</v>
      </c>
      <c r="E447" s="231">
        <v>447623</v>
      </c>
      <c r="F447" s="231"/>
      <c r="G447" s="232">
        <v>25787</v>
      </c>
      <c r="H447" s="220">
        <v>108683</v>
      </c>
      <c r="I447" s="232">
        <v>63927</v>
      </c>
      <c r="J447" s="231">
        <v>0</v>
      </c>
      <c r="K447" s="220">
        <f t="shared" si="12"/>
        <v>198397</v>
      </c>
      <c r="L447" s="231"/>
      <c r="M447" s="232">
        <v>12671</v>
      </c>
      <c r="N447" s="232">
        <v>0</v>
      </c>
      <c r="O447" s="231">
        <v>27614</v>
      </c>
      <c r="P447" s="220">
        <f t="shared" si="13"/>
        <v>40285</v>
      </c>
      <c r="Q447" s="231"/>
      <c r="R447" s="232">
        <v>150849</v>
      </c>
      <c r="S447" s="233">
        <v>-10625</v>
      </c>
      <c r="T447" s="233">
        <v>140224</v>
      </c>
    </row>
    <row r="448" spans="1:20">
      <c r="A448" s="226">
        <v>94547</v>
      </c>
      <c r="B448" s="227" t="s">
        <v>1154</v>
      </c>
      <c r="C448" s="87">
        <v>1.08E-5</v>
      </c>
      <c r="D448" s="87">
        <v>1.24E-5</v>
      </c>
      <c r="E448" s="231">
        <v>16499</v>
      </c>
      <c r="F448" s="231"/>
      <c r="G448" s="232">
        <v>951</v>
      </c>
      <c r="H448" s="220">
        <v>4006</v>
      </c>
      <c r="I448" s="232">
        <v>2356</v>
      </c>
      <c r="J448" s="231">
        <v>2853</v>
      </c>
      <c r="K448" s="220">
        <f t="shared" si="12"/>
        <v>10166</v>
      </c>
      <c r="L448" s="231"/>
      <c r="M448" s="232">
        <v>467</v>
      </c>
      <c r="N448" s="232">
        <v>0</v>
      </c>
      <c r="O448" s="231">
        <v>0</v>
      </c>
      <c r="P448" s="220">
        <f t="shared" si="13"/>
        <v>467</v>
      </c>
      <c r="Q448" s="231"/>
      <c r="R448" s="232">
        <v>5560</v>
      </c>
      <c r="S448" s="233">
        <v>1000</v>
      </c>
      <c r="T448" s="233">
        <v>6560</v>
      </c>
    </row>
    <row r="449" spans="1:20">
      <c r="A449" s="226">
        <v>94551</v>
      </c>
      <c r="B449" s="227" t="s">
        <v>1155</v>
      </c>
      <c r="C449" s="87">
        <v>4.1900000000000002E-5</v>
      </c>
      <c r="D449" s="87">
        <v>4.5899999999999998E-5</v>
      </c>
      <c r="E449" s="231">
        <v>64012</v>
      </c>
      <c r="F449" s="231"/>
      <c r="G449" s="232">
        <v>3688</v>
      </c>
      <c r="H449" s="220">
        <v>15543</v>
      </c>
      <c r="I449" s="232">
        <v>9142</v>
      </c>
      <c r="J449" s="231">
        <v>11600</v>
      </c>
      <c r="K449" s="220">
        <f t="shared" si="12"/>
        <v>39973</v>
      </c>
      <c r="L449" s="231"/>
      <c r="M449" s="232">
        <v>1812</v>
      </c>
      <c r="N449" s="232">
        <v>0</v>
      </c>
      <c r="O449" s="231">
        <v>1576</v>
      </c>
      <c r="P449" s="220">
        <f t="shared" si="13"/>
        <v>3388</v>
      </c>
      <c r="Q449" s="231"/>
      <c r="R449" s="232">
        <v>21572</v>
      </c>
      <c r="S449" s="233">
        <v>4116</v>
      </c>
      <c r="T449" s="233">
        <v>25688</v>
      </c>
    </row>
    <row r="450" spans="1:20">
      <c r="A450" s="226">
        <v>94601</v>
      </c>
      <c r="B450" s="227" t="s">
        <v>1156</v>
      </c>
      <c r="C450" s="87">
        <v>1.0602999999999999E-3</v>
      </c>
      <c r="D450" s="87">
        <v>1.0011E-3</v>
      </c>
      <c r="E450" s="231">
        <v>1619845</v>
      </c>
      <c r="F450" s="231"/>
      <c r="G450" s="232">
        <v>93318</v>
      </c>
      <c r="H450" s="220">
        <v>393300</v>
      </c>
      <c r="I450" s="232">
        <v>231336</v>
      </c>
      <c r="J450" s="231">
        <v>77480</v>
      </c>
      <c r="K450" s="220">
        <f t="shared" si="12"/>
        <v>795434</v>
      </c>
      <c r="L450" s="231"/>
      <c r="M450" s="232">
        <v>45853</v>
      </c>
      <c r="N450" s="232">
        <v>0</v>
      </c>
      <c r="O450" s="231">
        <v>2182</v>
      </c>
      <c r="P450" s="220">
        <f t="shared" si="13"/>
        <v>48035</v>
      </c>
      <c r="Q450" s="231"/>
      <c r="R450" s="232">
        <v>545889</v>
      </c>
      <c r="S450" s="233">
        <v>21640</v>
      </c>
      <c r="T450" s="233">
        <v>567529</v>
      </c>
    </row>
    <row r="451" spans="1:20">
      <c r="A451" s="226">
        <v>94604</v>
      </c>
      <c r="B451" s="227" t="s">
        <v>1157</v>
      </c>
      <c r="C451" s="87">
        <v>2.62E-5</v>
      </c>
      <c r="D451" s="87">
        <v>2.65E-5</v>
      </c>
      <c r="E451" s="231">
        <v>40026</v>
      </c>
      <c r="F451" s="231"/>
      <c r="G451" s="232">
        <v>2306</v>
      </c>
      <c r="H451" s="220">
        <v>9718</v>
      </c>
      <c r="I451" s="232">
        <v>5716</v>
      </c>
      <c r="J451" s="231">
        <v>2471</v>
      </c>
      <c r="K451" s="220">
        <f t="shared" si="12"/>
        <v>20211</v>
      </c>
      <c r="L451" s="231"/>
      <c r="M451" s="232">
        <v>1133</v>
      </c>
      <c r="N451" s="232">
        <v>0</v>
      </c>
      <c r="O451" s="231">
        <v>26</v>
      </c>
      <c r="P451" s="220">
        <f t="shared" si="13"/>
        <v>1159</v>
      </c>
      <c r="Q451" s="231"/>
      <c r="R451" s="232">
        <v>13489</v>
      </c>
      <c r="S451" s="233">
        <v>697</v>
      </c>
      <c r="T451" s="233">
        <v>14186</v>
      </c>
    </row>
    <row r="452" spans="1:20">
      <c r="A452" s="226">
        <v>94606</v>
      </c>
      <c r="B452" s="227" t="s">
        <v>1158</v>
      </c>
      <c r="C452" s="87">
        <v>2.3550000000000001E-4</v>
      </c>
      <c r="D452" s="87">
        <v>2.6229999999999998E-4</v>
      </c>
      <c r="E452" s="231">
        <v>359779</v>
      </c>
      <c r="F452" s="231"/>
      <c r="G452" s="232">
        <v>20727</v>
      </c>
      <c r="H452" s="220">
        <v>87355</v>
      </c>
      <c r="I452" s="232">
        <v>51381</v>
      </c>
      <c r="J452" s="231">
        <v>0</v>
      </c>
      <c r="K452" s="220">
        <f t="shared" si="12"/>
        <v>159463</v>
      </c>
      <c r="L452" s="231"/>
      <c r="M452" s="232">
        <v>10184</v>
      </c>
      <c r="N452" s="232">
        <v>0</v>
      </c>
      <c r="O452" s="231">
        <v>51703</v>
      </c>
      <c r="P452" s="220">
        <f t="shared" si="13"/>
        <v>61887</v>
      </c>
      <c r="Q452" s="231"/>
      <c r="R452" s="232">
        <v>121246</v>
      </c>
      <c r="S452" s="233">
        <v>-24169</v>
      </c>
      <c r="T452" s="233">
        <v>97077</v>
      </c>
    </row>
    <row r="453" spans="1:20">
      <c r="A453" s="226">
        <v>94611</v>
      </c>
      <c r="B453" s="227" t="s">
        <v>1159</v>
      </c>
      <c r="C453" s="87">
        <v>3.6850000000000001E-4</v>
      </c>
      <c r="D453" s="87">
        <v>4.4450000000000002E-4</v>
      </c>
      <c r="E453" s="231">
        <v>562966</v>
      </c>
      <c r="F453" s="231"/>
      <c r="G453" s="232">
        <v>32432</v>
      </c>
      <c r="H453" s="220">
        <v>136689</v>
      </c>
      <c r="I453" s="232">
        <v>80399</v>
      </c>
      <c r="J453" s="231">
        <v>2567</v>
      </c>
      <c r="K453" s="220">
        <f t="shared" si="12"/>
        <v>252087</v>
      </c>
      <c r="L453" s="231"/>
      <c r="M453" s="232">
        <v>15936</v>
      </c>
      <c r="N453" s="232">
        <v>0</v>
      </c>
      <c r="O453" s="231">
        <v>35426</v>
      </c>
      <c r="P453" s="220">
        <f t="shared" si="13"/>
        <v>51362</v>
      </c>
      <c r="Q453" s="231"/>
      <c r="R453" s="232">
        <v>189720</v>
      </c>
      <c r="S453" s="233">
        <v>-9323</v>
      </c>
      <c r="T453" s="233">
        <v>180397</v>
      </c>
    </row>
    <row r="454" spans="1:20">
      <c r="A454" s="226">
        <v>94621</v>
      </c>
      <c r="B454" s="227" t="s">
        <v>1160</v>
      </c>
      <c r="C454" s="87">
        <v>9.7600000000000001E-5</v>
      </c>
      <c r="D454" s="87">
        <v>1.3119999999999999E-4</v>
      </c>
      <c r="E454" s="231">
        <v>149106</v>
      </c>
      <c r="F454" s="231"/>
      <c r="G454" s="232">
        <v>8590</v>
      </c>
      <c r="H454" s="220">
        <v>36203</v>
      </c>
      <c r="I454" s="232">
        <v>21294</v>
      </c>
      <c r="J454" s="231">
        <v>6585</v>
      </c>
      <c r="K454" s="220">
        <f t="shared" si="12"/>
        <v>72672</v>
      </c>
      <c r="L454" s="231"/>
      <c r="M454" s="232">
        <v>4221</v>
      </c>
      <c r="N454" s="232">
        <v>0</v>
      </c>
      <c r="O454" s="231">
        <v>18055</v>
      </c>
      <c r="P454" s="220">
        <f t="shared" si="13"/>
        <v>22276</v>
      </c>
      <c r="Q454" s="231"/>
      <c r="R454" s="232">
        <v>50249</v>
      </c>
      <c r="S454" s="233">
        <v>-1288</v>
      </c>
      <c r="T454" s="233">
        <v>48961</v>
      </c>
    </row>
    <row r="455" spans="1:20">
      <c r="A455" s="226">
        <v>94631</v>
      </c>
      <c r="B455" s="227" t="s">
        <v>1161</v>
      </c>
      <c r="C455" s="87">
        <v>3.9100000000000002E-5</v>
      </c>
      <c r="D455" s="87">
        <v>3.9799999999999998E-5</v>
      </c>
      <c r="E455" s="231">
        <v>59734</v>
      </c>
      <c r="F455" s="231"/>
      <c r="G455" s="232">
        <v>3441</v>
      </c>
      <c r="H455" s="220">
        <v>14504</v>
      </c>
      <c r="I455" s="232">
        <v>8531</v>
      </c>
      <c r="J455" s="231">
        <v>6569</v>
      </c>
      <c r="K455" s="220">
        <f t="shared" si="12"/>
        <v>33045</v>
      </c>
      <c r="L455" s="231"/>
      <c r="M455" s="232">
        <v>1691</v>
      </c>
      <c r="N455" s="232">
        <v>0</v>
      </c>
      <c r="O455" s="231">
        <v>0</v>
      </c>
      <c r="P455" s="220">
        <f t="shared" si="13"/>
        <v>1691</v>
      </c>
      <c r="Q455" s="231"/>
      <c r="R455" s="232">
        <v>20130</v>
      </c>
      <c r="S455" s="233">
        <v>2517</v>
      </c>
      <c r="T455" s="233">
        <v>22647</v>
      </c>
    </row>
    <row r="456" spans="1:20">
      <c r="A456" s="226">
        <v>94641</v>
      </c>
      <c r="B456" s="227" t="s">
        <v>1162</v>
      </c>
      <c r="C456" s="87">
        <v>3.8999999999999999E-6</v>
      </c>
      <c r="D456" s="87">
        <v>4.6999999999999999E-6</v>
      </c>
      <c r="E456" s="231">
        <v>5958</v>
      </c>
      <c r="F456" s="231"/>
      <c r="G456" s="232">
        <v>343</v>
      </c>
      <c r="H456" s="220">
        <v>1446</v>
      </c>
      <c r="I456" s="232">
        <v>851</v>
      </c>
      <c r="J456" s="231">
        <v>5156</v>
      </c>
      <c r="K456" s="220">
        <f t="shared" si="12"/>
        <v>7796</v>
      </c>
      <c r="L456" s="231"/>
      <c r="M456" s="232">
        <v>169</v>
      </c>
      <c r="N456" s="232">
        <v>0</v>
      </c>
      <c r="O456" s="231">
        <v>0</v>
      </c>
      <c r="P456" s="220">
        <f t="shared" si="13"/>
        <v>169</v>
      </c>
      <c r="Q456" s="231"/>
      <c r="R456" s="232">
        <v>2008</v>
      </c>
      <c r="S456" s="233">
        <v>2187</v>
      </c>
      <c r="T456" s="233">
        <v>4195</v>
      </c>
    </row>
    <row r="457" spans="1:20">
      <c r="A457" s="226">
        <v>94701</v>
      </c>
      <c r="B457" s="227" t="s">
        <v>1163</v>
      </c>
      <c r="C457" s="87">
        <v>2.5446000000000002E-3</v>
      </c>
      <c r="D457" s="87">
        <v>2.5636000000000001E-3</v>
      </c>
      <c r="E457" s="231">
        <v>3887444</v>
      </c>
      <c r="F457" s="231"/>
      <c r="G457" s="232">
        <v>223953</v>
      </c>
      <c r="H457" s="220">
        <v>943877</v>
      </c>
      <c r="I457" s="232">
        <v>555181</v>
      </c>
      <c r="J457" s="231">
        <v>45251</v>
      </c>
      <c r="K457" s="220">
        <f t="shared" ref="K457:K520" si="14">G457+H457+I457+J457</f>
        <v>1768262</v>
      </c>
      <c r="L457" s="231"/>
      <c r="M457" s="232">
        <v>110041</v>
      </c>
      <c r="N457" s="232">
        <v>0</v>
      </c>
      <c r="O457" s="231">
        <v>103182</v>
      </c>
      <c r="P457" s="220">
        <f t="shared" ref="P457:P520" si="15">M457+N457+O457</f>
        <v>213223</v>
      </c>
      <c r="Q457" s="231"/>
      <c r="R457" s="232">
        <v>1310072</v>
      </c>
      <c r="S457" s="233">
        <v>-2731</v>
      </c>
      <c r="T457" s="233">
        <v>1307341</v>
      </c>
    </row>
    <row r="458" spans="1:20">
      <c r="A458" s="226">
        <v>94704</v>
      </c>
      <c r="B458" s="227" t="s">
        <v>1164</v>
      </c>
      <c r="C458" s="87">
        <v>9.5000000000000005E-6</v>
      </c>
      <c r="D458" s="87">
        <v>1.04E-5</v>
      </c>
      <c r="E458" s="231">
        <v>14513</v>
      </c>
      <c r="F458" s="231"/>
      <c r="G458" s="232">
        <v>836</v>
      </c>
      <c r="H458" s="220">
        <v>3524</v>
      </c>
      <c r="I458" s="232">
        <v>2073</v>
      </c>
      <c r="J458" s="231">
        <v>77</v>
      </c>
      <c r="K458" s="220">
        <f t="shared" si="14"/>
        <v>6510</v>
      </c>
      <c r="L458" s="231"/>
      <c r="M458" s="232">
        <v>411</v>
      </c>
      <c r="N458" s="232">
        <v>0</v>
      </c>
      <c r="O458" s="231">
        <v>100</v>
      </c>
      <c r="P458" s="220">
        <f t="shared" si="15"/>
        <v>511</v>
      </c>
      <c r="Q458" s="231"/>
      <c r="R458" s="232">
        <v>4891</v>
      </c>
      <c r="S458" s="233">
        <v>38</v>
      </c>
      <c r="T458" s="233">
        <v>4929</v>
      </c>
    </row>
    <row r="459" spans="1:20">
      <c r="A459" s="226">
        <v>94711</v>
      </c>
      <c r="B459" s="227" t="s">
        <v>1165</v>
      </c>
      <c r="C459" s="87">
        <v>3.3599999999999998E-4</v>
      </c>
      <c r="D459" s="87">
        <v>3.5110000000000002E-4</v>
      </c>
      <c r="E459" s="231">
        <v>513315</v>
      </c>
      <c r="F459" s="231"/>
      <c r="G459" s="232">
        <v>29572</v>
      </c>
      <c r="H459" s="220">
        <v>124633</v>
      </c>
      <c r="I459" s="232">
        <v>73308</v>
      </c>
      <c r="J459" s="231">
        <v>9113</v>
      </c>
      <c r="K459" s="220">
        <f t="shared" si="14"/>
        <v>236626</v>
      </c>
      <c r="L459" s="231"/>
      <c r="M459" s="232">
        <v>14530</v>
      </c>
      <c r="N459" s="232">
        <v>0</v>
      </c>
      <c r="O459" s="231">
        <v>6693</v>
      </c>
      <c r="P459" s="220">
        <f t="shared" si="15"/>
        <v>21223</v>
      </c>
      <c r="Q459" s="231"/>
      <c r="R459" s="232">
        <v>172988</v>
      </c>
      <c r="S459" s="233">
        <v>1163</v>
      </c>
      <c r="T459" s="233">
        <v>174151</v>
      </c>
    </row>
    <row r="460" spans="1:20">
      <c r="A460" s="226">
        <v>94801</v>
      </c>
      <c r="B460" s="227" t="s">
        <v>1166</v>
      </c>
      <c r="C460" s="87">
        <v>7.2440000000000004E-4</v>
      </c>
      <c r="D460" s="87">
        <v>7.6539999999999996E-4</v>
      </c>
      <c r="E460" s="231">
        <v>1106683</v>
      </c>
      <c r="F460" s="231"/>
      <c r="G460" s="232">
        <v>63755</v>
      </c>
      <c r="H460" s="220">
        <v>268704</v>
      </c>
      <c r="I460" s="232">
        <v>158050</v>
      </c>
      <c r="J460" s="231">
        <v>40380</v>
      </c>
      <c r="K460" s="220">
        <f t="shared" si="14"/>
        <v>530889</v>
      </c>
      <c r="L460" s="231"/>
      <c r="M460" s="232">
        <v>31327</v>
      </c>
      <c r="N460" s="232">
        <v>0</v>
      </c>
      <c r="O460" s="231">
        <v>19605</v>
      </c>
      <c r="P460" s="220">
        <f t="shared" si="15"/>
        <v>50932</v>
      </c>
      <c r="Q460" s="231"/>
      <c r="R460" s="232">
        <v>372953</v>
      </c>
      <c r="S460" s="233">
        <v>17711</v>
      </c>
      <c r="T460" s="233">
        <v>390664</v>
      </c>
    </row>
    <row r="461" spans="1:20">
      <c r="A461" s="226">
        <v>94804</v>
      </c>
      <c r="B461" s="227" t="s">
        <v>1167</v>
      </c>
      <c r="C461" s="87">
        <v>3.8E-6</v>
      </c>
      <c r="D461" s="87">
        <v>3.8E-6</v>
      </c>
      <c r="E461" s="231">
        <v>5805</v>
      </c>
      <c r="F461" s="231"/>
      <c r="G461" s="232">
        <v>334</v>
      </c>
      <c r="H461" s="220">
        <v>1409</v>
      </c>
      <c r="I461" s="232">
        <v>829</v>
      </c>
      <c r="J461" s="231">
        <v>2556</v>
      </c>
      <c r="K461" s="220">
        <f t="shared" si="14"/>
        <v>5128</v>
      </c>
      <c r="L461" s="231"/>
      <c r="M461" s="232">
        <v>164</v>
      </c>
      <c r="N461" s="232">
        <v>0</v>
      </c>
      <c r="O461" s="231">
        <v>218</v>
      </c>
      <c r="P461" s="220">
        <f t="shared" si="15"/>
        <v>382</v>
      </c>
      <c r="Q461" s="231"/>
      <c r="R461" s="232">
        <v>1956</v>
      </c>
      <c r="S461" s="233">
        <v>1879</v>
      </c>
      <c r="T461" s="233">
        <v>3835</v>
      </c>
    </row>
    <row r="462" spans="1:20">
      <c r="A462" s="226">
        <v>94812</v>
      </c>
      <c r="B462" s="227" t="s">
        <v>1168</v>
      </c>
      <c r="C462" s="87">
        <v>3.3000000000000003E-5</v>
      </c>
      <c r="D462" s="87">
        <v>3.3500000000000001E-5</v>
      </c>
      <c r="E462" s="231">
        <v>50415</v>
      </c>
      <c r="F462" s="231"/>
      <c r="G462" s="232">
        <v>2904</v>
      </c>
      <c r="H462" s="220">
        <v>12241</v>
      </c>
      <c r="I462" s="232">
        <v>7200</v>
      </c>
      <c r="J462" s="231">
        <v>10442</v>
      </c>
      <c r="K462" s="220">
        <f t="shared" si="14"/>
        <v>32787</v>
      </c>
      <c r="L462" s="231"/>
      <c r="M462" s="232">
        <v>1427</v>
      </c>
      <c r="N462" s="232">
        <v>0</v>
      </c>
      <c r="O462" s="231">
        <v>0</v>
      </c>
      <c r="P462" s="220">
        <f t="shared" si="15"/>
        <v>1427</v>
      </c>
      <c r="Q462" s="231"/>
      <c r="R462" s="232">
        <v>16990</v>
      </c>
      <c r="S462" s="233">
        <v>4040</v>
      </c>
      <c r="T462" s="233">
        <v>21030</v>
      </c>
    </row>
    <row r="463" spans="1:20">
      <c r="A463" s="226">
        <v>94901</v>
      </c>
      <c r="B463" s="227" t="s">
        <v>1169</v>
      </c>
      <c r="C463" s="87">
        <v>6.7841999999999998E-3</v>
      </c>
      <c r="D463" s="87">
        <v>7.0014999999999999E-3</v>
      </c>
      <c r="E463" s="231">
        <v>10364378</v>
      </c>
      <c r="F463" s="231"/>
      <c r="G463" s="232">
        <v>597084</v>
      </c>
      <c r="H463" s="220">
        <v>2516484</v>
      </c>
      <c r="I463" s="232">
        <v>1480177</v>
      </c>
      <c r="J463" s="231">
        <v>16760</v>
      </c>
      <c r="K463" s="220">
        <f t="shared" si="14"/>
        <v>4610505</v>
      </c>
      <c r="L463" s="231"/>
      <c r="M463" s="232">
        <v>293383</v>
      </c>
      <c r="N463" s="232">
        <v>0</v>
      </c>
      <c r="O463" s="231">
        <v>129476</v>
      </c>
      <c r="P463" s="220">
        <f t="shared" si="15"/>
        <v>422859</v>
      </c>
      <c r="Q463" s="231"/>
      <c r="R463" s="232">
        <v>3492805</v>
      </c>
      <c r="S463" s="233">
        <v>-36324</v>
      </c>
      <c r="T463" s="233">
        <v>3456481</v>
      </c>
    </row>
    <row r="464" spans="1:20">
      <c r="A464" s="226">
        <v>94908</v>
      </c>
      <c r="B464" s="227" t="s">
        <v>1170</v>
      </c>
      <c r="C464" s="87">
        <v>7.7000000000000008E-6</v>
      </c>
      <c r="D464" s="87">
        <v>3.9799999999999998E-5</v>
      </c>
      <c r="E464" s="231">
        <v>11763</v>
      </c>
      <c r="F464" s="231"/>
      <c r="G464" s="232">
        <v>678</v>
      </c>
      <c r="H464" s="220">
        <v>2857</v>
      </c>
      <c r="I464" s="232">
        <v>1680</v>
      </c>
      <c r="J464" s="231">
        <v>0</v>
      </c>
      <c r="K464" s="220">
        <f t="shared" si="14"/>
        <v>5215</v>
      </c>
      <c r="L464" s="231"/>
      <c r="M464" s="232">
        <v>333</v>
      </c>
      <c r="N464" s="232">
        <v>0</v>
      </c>
      <c r="O464" s="231">
        <v>21664</v>
      </c>
      <c r="P464" s="220">
        <f t="shared" si="15"/>
        <v>21997</v>
      </c>
      <c r="Q464" s="231"/>
      <c r="R464" s="232">
        <v>3964</v>
      </c>
      <c r="S464" s="233">
        <v>-6783</v>
      </c>
      <c r="T464" s="233">
        <v>-2819</v>
      </c>
    </row>
    <row r="465" spans="1:20">
      <c r="A465" s="226">
        <v>94911</v>
      </c>
      <c r="B465" s="227" t="s">
        <v>1171</v>
      </c>
      <c r="C465" s="87">
        <v>2.8311E-3</v>
      </c>
      <c r="D465" s="87">
        <v>2.7745999999999999E-3</v>
      </c>
      <c r="E465" s="231">
        <v>4325137</v>
      </c>
      <c r="F465" s="231"/>
      <c r="G465" s="232">
        <v>249168</v>
      </c>
      <c r="H465" s="220">
        <v>1050149</v>
      </c>
      <c r="I465" s="232">
        <v>617689</v>
      </c>
      <c r="J465" s="231">
        <v>39747</v>
      </c>
      <c r="K465" s="220">
        <f t="shared" si="14"/>
        <v>1956753</v>
      </c>
      <c r="L465" s="231"/>
      <c r="M465" s="232">
        <v>122431</v>
      </c>
      <c r="N465" s="232">
        <v>0</v>
      </c>
      <c r="O465" s="231">
        <v>40147</v>
      </c>
      <c r="P465" s="220">
        <f t="shared" si="15"/>
        <v>162578</v>
      </c>
      <c r="Q465" s="231"/>
      <c r="R465" s="232">
        <v>1457575</v>
      </c>
      <c r="S465" s="233">
        <v>-7457</v>
      </c>
      <c r="T465" s="233">
        <v>1450118</v>
      </c>
    </row>
    <row r="466" spans="1:20">
      <c r="A466" s="226">
        <v>94917</v>
      </c>
      <c r="B466" s="227" t="s">
        <v>1172</v>
      </c>
      <c r="C466" s="87">
        <v>3.5099999999999999E-5</v>
      </c>
      <c r="D466" s="87">
        <v>3.7400000000000001E-5</v>
      </c>
      <c r="E466" s="231">
        <v>53623</v>
      </c>
      <c r="F466" s="231"/>
      <c r="G466" s="232">
        <v>3089</v>
      </c>
      <c r="H466" s="220">
        <v>13020</v>
      </c>
      <c r="I466" s="232">
        <v>7658</v>
      </c>
      <c r="J466" s="231">
        <v>16574</v>
      </c>
      <c r="K466" s="220">
        <f t="shared" si="14"/>
        <v>40341</v>
      </c>
      <c r="L466" s="231"/>
      <c r="M466" s="232">
        <v>1518</v>
      </c>
      <c r="N466" s="232">
        <v>0</v>
      </c>
      <c r="O466" s="231">
        <v>0</v>
      </c>
      <c r="P466" s="220">
        <f t="shared" si="15"/>
        <v>1518</v>
      </c>
      <c r="Q466" s="231"/>
      <c r="R466" s="232">
        <v>18071</v>
      </c>
      <c r="S466" s="233">
        <v>7114</v>
      </c>
      <c r="T466" s="233">
        <v>25185</v>
      </c>
    </row>
    <row r="467" spans="1:20">
      <c r="A467" s="226">
        <v>94921</v>
      </c>
      <c r="B467" s="227" t="s">
        <v>1173</v>
      </c>
      <c r="C467" s="87">
        <v>3.9515000000000002E-3</v>
      </c>
      <c r="D467" s="87">
        <v>3.7063E-3</v>
      </c>
      <c r="E467" s="231">
        <v>6036797</v>
      </c>
      <c r="F467" s="231"/>
      <c r="G467" s="232">
        <v>347775</v>
      </c>
      <c r="H467" s="220">
        <v>1465741</v>
      </c>
      <c r="I467" s="232">
        <v>862138</v>
      </c>
      <c r="J467" s="231">
        <v>19200</v>
      </c>
      <c r="K467" s="220">
        <f t="shared" si="14"/>
        <v>2694854</v>
      </c>
      <c r="L467" s="231"/>
      <c r="M467" s="232">
        <v>170883</v>
      </c>
      <c r="N467" s="232">
        <v>0</v>
      </c>
      <c r="O467" s="231">
        <v>350239</v>
      </c>
      <c r="P467" s="220">
        <f t="shared" si="15"/>
        <v>521122</v>
      </c>
      <c r="Q467" s="231"/>
      <c r="R467" s="232">
        <v>2034406</v>
      </c>
      <c r="S467" s="233">
        <v>-150626</v>
      </c>
      <c r="T467" s="233">
        <v>1883780</v>
      </c>
    </row>
    <row r="468" spans="1:20">
      <c r="A468" s="226">
        <v>94923</v>
      </c>
      <c r="B468" s="227" t="s">
        <v>1174</v>
      </c>
      <c r="C468" s="87">
        <v>3.0700000000000001E-5</v>
      </c>
      <c r="D468" s="87">
        <v>2.4499999999999999E-5</v>
      </c>
      <c r="E468" s="231">
        <v>46901</v>
      </c>
      <c r="F468" s="231"/>
      <c r="G468" s="232">
        <v>2702</v>
      </c>
      <c r="H468" s="220">
        <v>11387</v>
      </c>
      <c r="I468" s="232">
        <v>6698</v>
      </c>
      <c r="J468" s="231">
        <v>5727</v>
      </c>
      <c r="K468" s="220">
        <f t="shared" si="14"/>
        <v>26514</v>
      </c>
      <c r="L468" s="231"/>
      <c r="M468" s="232">
        <v>1328</v>
      </c>
      <c r="N468" s="232">
        <v>0</v>
      </c>
      <c r="O468" s="231">
        <v>86</v>
      </c>
      <c r="P468" s="220">
        <f t="shared" si="15"/>
        <v>1414</v>
      </c>
      <c r="Q468" s="231"/>
      <c r="R468" s="232">
        <v>15806</v>
      </c>
      <c r="S468" s="233">
        <v>1556</v>
      </c>
      <c r="T468" s="233">
        <v>17362</v>
      </c>
    </row>
    <row r="469" spans="1:20">
      <c r="A469" s="226">
        <v>94927</v>
      </c>
      <c r="B469" s="227" t="s">
        <v>1175</v>
      </c>
      <c r="C469" s="87">
        <v>3.0599999999999998E-5</v>
      </c>
      <c r="D469" s="87">
        <v>3.3899999999999997E-5</v>
      </c>
      <c r="E469" s="231">
        <v>46748</v>
      </c>
      <c r="F469" s="231"/>
      <c r="G469" s="232">
        <v>2693</v>
      </c>
      <c r="H469" s="220">
        <v>11350</v>
      </c>
      <c r="I469" s="232">
        <v>6676</v>
      </c>
      <c r="J469" s="231">
        <v>2683</v>
      </c>
      <c r="K469" s="220">
        <f t="shared" si="14"/>
        <v>23402</v>
      </c>
      <c r="L469" s="231"/>
      <c r="M469" s="232">
        <v>1323</v>
      </c>
      <c r="N469" s="232">
        <v>0</v>
      </c>
      <c r="O469" s="231">
        <v>26</v>
      </c>
      <c r="P469" s="220">
        <f t="shared" si="15"/>
        <v>1349</v>
      </c>
      <c r="Q469" s="231"/>
      <c r="R469" s="232">
        <v>15754</v>
      </c>
      <c r="S469" s="233">
        <v>911</v>
      </c>
      <c r="T469" s="233">
        <v>16665</v>
      </c>
    </row>
    <row r="470" spans="1:20">
      <c r="A470" s="226">
        <v>94931</v>
      </c>
      <c r="B470" s="227" t="s">
        <v>1176</v>
      </c>
      <c r="C470" s="87">
        <v>2.163E-4</v>
      </c>
      <c r="D470" s="87">
        <v>2.1130000000000001E-4</v>
      </c>
      <c r="E470" s="231">
        <v>330446</v>
      </c>
      <c r="F470" s="231"/>
      <c r="G470" s="232">
        <v>19037</v>
      </c>
      <c r="H470" s="220">
        <v>80233</v>
      </c>
      <c r="I470" s="232">
        <v>47192</v>
      </c>
      <c r="J470" s="231">
        <v>954</v>
      </c>
      <c r="K470" s="220">
        <f t="shared" si="14"/>
        <v>147416</v>
      </c>
      <c r="L470" s="231"/>
      <c r="M470" s="232">
        <v>9354</v>
      </c>
      <c r="N470" s="232">
        <v>0</v>
      </c>
      <c r="O470" s="231">
        <v>15740</v>
      </c>
      <c r="P470" s="220">
        <f t="shared" si="15"/>
        <v>25094</v>
      </c>
      <c r="Q470" s="231"/>
      <c r="R470" s="232">
        <v>111361</v>
      </c>
      <c r="S470" s="233">
        <v>-7901</v>
      </c>
      <c r="T470" s="233">
        <v>103460</v>
      </c>
    </row>
    <row r="471" spans="1:20">
      <c r="A471" s="226">
        <v>94941</v>
      </c>
      <c r="B471" s="227" t="s">
        <v>1177</v>
      </c>
      <c r="C471" s="87">
        <v>5.7879999999999997E-4</v>
      </c>
      <c r="D471" s="87">
        <v>5.2959999999999997E-4</v>
      </c>
      <c r="E471" s="231">
        <v>884246</v>
      </c>
      <c r="F471" s="231"/>
      <c r="G471" s="232">
        <v>50941</v>
      </c>
      <c r="H471" s="220">
        <v>214696</v>
      </c>
      <c r="I471" s="232">
        <v>126283</v>
      </c>
      <c r="J471" s="231">
        <v>68775</v>
      </c>
      <c r="K471" s="220">
        <f t="shared" si="14"/>
        <v>460695</v>
      </c>
      <c r="L471" s="231"/>
      <c r="M471" s="232">
        <v>25030</v>
      </c>
      <c r="N471" s="232">
        <v>0</v>
      </c>
      <c r="O471" s="231">
        <v>0</v>
      </c>
      <c r="P471" s="220">
        <f t="shared" si="15"/>
        <v>25030</v>
      </c>
      <c r="Q471" s="231"/>
      <c r="R471" s="232">
        <v>297992</v>
      </c>
      <c r="S471" s="233">
        <v>46151</v>
      </c>
      <c r="T471" s="233">
        <v>344143</v>
      </c>
    </row>
    <row r="472" spans="1:20">
      <c r="A472" s="226">
        <v>95001</v>
      </c>
      <c r="B472" s="227" t="s">
        <v>1178</v>
      </c>
      <c r="C472" s="87">
        <v>2.4867000000000001E-3</v>
      </c>
      <c r="D472" s="87">
        <v>2.3779000000000001E-3</v>
      </c>
      <c r="E472" s="231">
        <v>3798989</v>
      </c>
      <c r="F472" s="231"/>
      <c r="G472" s="232">
        <v>218857</v>
      </c>
      <c r="H472" s="220">
        <v>922399</v>
      </c>
      <c r="I472" s="232">
        <v>542548</v>
      </c>
      <c r="J472" s="231">
        <v>176888</v>
      </c>
      <c r="K472" s="220">
        <f t="shared" si="14"/>
        <v>1860692</v>
      </c>
      <c r="L472" s="231"/>
      <c r="M472" s="232">
        <v>107537</v>
      </c>
      <c r="N472" s="232">
        <v>0</v>
      </c>
      <c r="O472" s="231">
        <v>3991</v>
      </c>
      <c r="P472" s="220">
        <f t="shared" si="15"/>
        <v>111528</v>
      </c>
      <c r="Q472" s="231"/>
      <c r="R472" s="232">
        <v>1280263</v>
      </c>
      <c r="S472" s="233">
        <v>51652</v>
      </c>
      <c r="T472" s="233">
        <v>1331915</v>
      </c>
    </row>
    <row r="473" spans="1:20">
      <c r="A473" s="226">
        <v>95002</v>
      </c>
      <c r="B473" s="227" t="s">
        <v>1179</v>
      </c>
      <c r="C473" s="87">
        <v>1.907E-4</v>
      </c>
      <c r="D473" s="87">
        <v>2.0120000000000001E-4</v>
      </c>
      <c r="E473" s="231">
        <v>291337</v>
      </c>
      <c r="F473" s="231"/>
      <c r="G473" s="232">
        <v>16784</v>
      </c>
      <c r="H473" s="220">
        <v>70737</v>
      </c>
      <c r="I473" s="232">
        <v>41607</v>
      </c>
      <c r="J473" s="231">
        <v>15647</v>
      </c>
      <c r="K473" s="220">
        <f t="shared" si="14"/>
        <v>144775</v>
      </c>
      <c r="L473" s="231"/>
      <c r="M473" s="232">
        <v>8247</v>
      </c>
      <c r="N473" s="232">
        <v>0</v>
      </c>
      <c r="O473" s="231">
        <v>0</v>
      </c>
      <c r="P473" s="220">
        <f t="shared" si="15"/>
        <v>8247</v>
      </c>
      <c r="Q473" s="231"/>
      <c r="R473" s="232">
        <v>98181</v>
      </c>
      <c r="S473" s="233">
        <v>6293</v>
      </c>
      <c r="T473" s="233">
        <v>104474</v>
      </c>
    </row>
    <row r="474" spans="1:20">
      <c r="A474" s="226">
        <v>95005</v>
      </c>
      <c r="B474" s="227" t="s">
        <v>1180</v>
      </c>
      <c r="C474" s="87">
        <v>2.2949999999999999E-4</v>
      </c>
      <c r="D474" s="87">
        <v>2.3829999999999999E-4</v>
      </c>
      <c r="E474" s="231">
        <v>350612</v>
      </c>
      <c r="F474" s="231"/>
      <c r="G474" s="232">
        <v>20199</v>
      </c>
      <c r="H474" s="220">
        <v>85129</v>
      </c>
      <c r="I474" s="232">
        <v>50072</v>
      </c>
      <c r="J474" s="231">
        <v>13727</v>
      </c>
      <c r="K474" s="220">
        <f t="shared" si="14"/>
        <v>169127</v>
      </c>
      <c r="L474" s="231"/>
      <c r="M474" s="232">
        <v>9925</v>
      </c>
      <c r="N474" s="232">
        <v>0</v>
      </c>
      <c r="O474" s="231">
        <v>1630</v>
      </c>
      <c r="P474" s="220">
        <f t="shared" si="15"/>
        <v>11555</v>
      </c>
      <c r="Q474" s="231"/>
      <c r="R474" s="232">
        <v>118157</v>
      </c>
      <c r="S474" s="233">
        <v>9042</v>
      </c>
      <c r="T474" s="233">
        <v>127199</v>
      </c>
    </row>
    <row r="475" spans="1:20">
      <c r="A475" s="226">
        <v>95008</v>
      </c>
      <c r="B475" s="227" t="s">
        <v>1181</v>
      </c>
      <c r="C475" s="87">
        <v>1.1519999999999999E-4</v>
      </c>
      <c r="D475" s="87">
        <v>1.169E-4</v>
      </c>
      <c r="E475" s="231">
        <v>175994</v>
      </c>
      <c r="F475" s="231"/>
      <c r="G475" s="232">
        <v>10139</v>
      </c>
      <c r="H475" s="220">
        <v>42731</v>
      </c>
      <c r="I475" s="232">
        <v>25134</v>
      </c>
      <c r="J475" s="231">
        <v>19189</v>
      </c>
      <c r="K475" s="220">
        <f t="shared" si="14"/>
        <v>97193</v>
      </c>
      <c r="L475" s="231"/>
      <c r="M475" s="232">
        <v>4982</v>
      </c>
      <c r="N475" s="232">
        <v>0</v>
      </c>
      <c r="O475" s="231">
        <v>6239</v>
      </c>
      <c r="P475" s="220">
        <f t="shared" si="15"/>
        <v>11221</v>
      </c>
      <c r="Q475" s="231"/>
      <c r="R475" s="232">
        <v>59310</v>
      </c>
      <c r="S475" s="233">
        <v>9098</v>
      </c>
      <c r="T475" s="233">
        <v>68408</v>
      </c>
    </row>
    <row r="476" spans="1:20">
      <c r="A476" s="226">
        <v>95009</v>
      </c>
      <c r="B476" s="227" t="s">
        <v>1182</v>
      </c>
      <c r="C476" s="87">
        <v>4.2208999999999997E-3</v>
      </c>
      <c r="D476" s="87">
        <v>3.9902000000000002E-3</v>
      </c>
      <c r="E476" s="231">
        <v>6448366</v>
      </c>
      <c r="F476" s="231"/>
      <c r="G476" s="232">
        <v>371486</v>
      </c>
      <c r="H476" s="220">
        <v>1565671</v>
      </c>
      <c r="I476" s="232">
        <v>920916</v>
      </c>
      <c r="J476" s="231">
        <v>897451</v>
      </c>
      <c r="K476" s="220">
        <f t="shared" si="14"/>
        <v>3755524</v>
      </c>
      <c r="L476" s="231"/>
      <c r="M476" s="232">
        <v>182533</v>
      </c>
      <c r="N476" s="232">
        <v>0</v>
      </c>
      <c r="O476" s="231">
        <v>0</v>
      </c>
      <c r="P476" s="220">
        <f t="shared" si="15"/>
        <v>182533</v>
      </c>
      <c r="Q476" s="231"/>
      <c r="R476" s="232">
        <v>2173105</v>
      </c>
      <c r="S476" s="233">
        <v>582135</v>
      </c>
      <c r="T476" s="233">
        <v>2755240</v>
      </c>
    </row>
    <row r="477" spans="1:20">
      <c r="A477" s="226">
        <v>95011</v>
      </c>
      <c r="B477" s="227" t="s">
        <v>1183</v>
      </c>
      <c r="C477" s="87">
        <v>1.8000000000000001E-4</v>
      </c>
      <c r="D477" s="87">
        <v>1.707E-4</v>
      </c>
      <c r="E477" s="231">
        <v>274990</v>
      </c>
      <c r="F477" s="231"/>
      <c r="G477" s="232">
        <v>15842</v>
      </c>
      <c r="H477" s="220">
        <v>66768</v>
      </c>
      <c r="I477" s="232">
        <v>39272</v>
      </c>
      <c r="J477" s="231">
        <v>3275</v>
      </c>
      <c r="K477" s="220">
        <f t="shared" si="14"/>
        <v>125157</v>
      </c>
      <c r="L477" s="231"/>
      <c r="M477" s="232">
        <v>7784</v>
      </c>
      <c r="N477" s="232">
        <v>0</v>
      </c>
      <c r="O477" s="231">
        <v>8909</v>
      </c>
      <c r="P477" s="220">
        <f t="shared" si="15"/>
        <v>16693</v>
      </c>
      <c r="Q477" s="231"/>
      <c r="R477" s="232">
        <v>92672</v>
      </c>
      <c r="S477" s="233">
        <v>-3840</v>
      </c>
      <c r="T477" s="233">
        <v>88832</v>
      </c>
    </row>
    <row r="478" spans="1:20">
      <c r="A478" s="226">
        <v>95017</v>
      </c>
      <c r="B478" s="227" t="s">
        <v>1184</v>
      </c>
      <c r="C478" s="87">
        <v>3.8800000000000001E-5</v>
      </c>
      <c r="D478" s="87">
        <v>3.5800000000000003E-5</v>
      </c>
      <c r="E478" s="231">
        <v>59276</v>
      </c>
      <c r="F478" s="231"/>
      <c r="G478" s="232">
        <v>3415</v>
      </c>
      <c r="H478" s="220">
        <v>14392</v>
      </c>
      <c r="I478" s="232">
        <v>8465</v>
      </c>
      <c r="J478" s="231">
        <v>13339</v>
      </c>
      <c r="K478" s="220">
        <f t="shared" si="14"/>
        <v>39611</v>
      </c>
      <c r="L478" s="231"/>
      <c r="M478" s="232">
        <v>1678</v>
      </c>
      <c r="N478" s="232">
        <v>0</v>
      </c>
      <c r="O478" s="231">
        <v>0</v>
      </c>
      <c r="P478" s="220">
        <f t="shared" si="15"/>
        <v>1678</v>
      </c>
      <c r="Q478" s="231"/>
      <c r="R478" s="232">
        <v>19976</v>
      </c>
      <c r="S478" s="233">
        <v>7635</v>
      </c>
      <c r="T478" s="233">
        <v>27611</v>
      </c>
    </row>
    <row r="479" spans="1:20">
      <c r="A479" s="226">
        <v>95101</v>
      </c>
      <c r="B479" s="227" t="s">
        <v>1185</v>
      </c>
      <c r="C479" s="87">
        <v>8.3750999999999999E-3</v>
      </c>
      <c r="D479" s="87">
        <v>8.0955999999999997E-3</v>
      </c>
      <c r="E479" s="231">
        <v>12794833</v>
      </c>
      <c r="F479" s="231"/>
      <c r="G479" s="232">
        <v>737101</v>
      </c>
      <c r="H479" s="220">
        <v>3106601</v>
      </c>
      <c r="I479" s="232">
        <v>1827279</v>
      </c>
      <c r="J479" s="231">
        <v>39562</v>
      </c>
      <c r="K479" s="220">
        <f t="shared" si="14"/>
        <v>5710543</v>
      </c>
      <c r="L479" s="231"/>
      <c r="M479" s="232">
        <v>362181</v>
      </c>
      <c r="N479" s="232">
        <v>0</v>
      </c>
      <c r="O479" s="231">
        <v>114122</v>
      </c>
      <c r="P479" s="220">
        <f t="shared" si="15"/>
        <v>476303</v>
      </c>
      <c r="Q479" s="231"/>
      <c r="R479" s="232">
        <v>4311870</v>
      </c>
      <c r="S479" s="233">
        <v>1978</v>
      </c>
      <c r="T479" s="233">
        <v>4313848</v>
      </c>
    </row>
    <row r="480" spans="1:20">
      <c r="A480" s="226">
        <v>95103</v>
      </c>
      <c r="B480" s="227" t="s">
        <v>1186</v>
      </c>
      <c r="C480" s="87">
        <v>4.9100000000000001E-5</v>
      </c>
      <c r="D480" s="87">
        <v>6.02E-5</v>
      </c>
      <c r="E480" s="231">
        <v>75011</v>
      </c>
      <c r="F480" s="231"/>
      <c r="G480" s="232">
        <v>4321</v>
      </c>
      <c r="H480" s="220">
        <v>18213</v>
      </c>
      <c r="I480" s="232">
        <v>10713</v>
      </c>
      <c r="J480" s="231">
        <v>24203</v>
      </c>
      <c r="K480" s="220">
        <f t="shared" si="14"/>
        <v>57450</v>
      </c>
      <c r="L480" s="231"/>
      <c r="M480" s="232">
        <v>2123</v>
      </c>
      <c r="N480" s="232">
        <v>0</v>
      </c>
      <c r="O480" s="231">
        <v>0</v>
      </c>
      <c r="P480" s="220">
        <f t="shared" si="15"/>
        <v>2123</v>
      </c>
      <c r="Q480" s="231"/>
      <c r="R480" s="232">
        <v>25279</v>
      </c>
      <c r="S480" s="233">
        <v>18053</v>
      </c>
      <c r="T480" s="233">
        <v>43332</v>
      </c>
    </row>
    <row r="481" spans="1:20">
      <c r="A481" s="226">
        <v>95104</v>
      </c>
      <c r="B481" s="227" t="s">
        <v>1187</v>
      </c>
      <c r="C481" s="87">
        <v>1.02E-4</v>
      </c>
      <c r="D481" s="87">
        <v>1.011E-4</v>
      </c>
      <c r="E481" s="231">
        <v>155828</v>
      </c>
      <c r="F481" s="231"/>
      <c r="G481" s="232">
        <v>8977</v>
      </c>
      <c r="H481" s="220">
        <v>37835</v>
      </c>
      <c r="I481" s="232">
        <v>22254</v>
      </c>
      <c r="J481" s="231">
        <v>19729</v>
      </c>
      <c r="K481" s="220">
        <f t="shared" si="14"/>
        <v>88795</v>
      </c>
      <c r="L481" s="231"/>
      <c r="M481" s="232">
        <v>4411</v>
      </c>
      <c r="N481" s="232">
        <v>0</v>
      </c>
      <c r="O481" s="231">
        <v>0</v>
      </c>
      <c r="P481" s="220">
        <f t="shared" si="15"/>
        <v>4411</v>
      </c>
      <c r="Q481" s="231"/>
      <c r="R481" s="232">
        <v>52514</v>
      </c>
      <c r="S481" s="233">
        <v>8399</v>
      </c>
      <c r="T481" s="233">
        <v>60913</v>
      </c>
    </row>
    <row r="482" spans="1:20">
      <c r="A482" s="226">
        <v>95105</v>
      </c>
      <c r="B482" s="227" t="s">
        <v>1188</v>
      </c>
      <c r="C482" s="87">
        <v>6.1099999999999994E-5</v>
      </c>
      <c r="D482" s="87">
        <v>6.3700000000000003E-5</v>
      </c>
      <c r="E482" s="231">
        <v>93344</v>
      </c>
      <c r="F482" s="231"/>
      <c r="G482" s="232">
        <v>5377</v>
      </c>
      <c r="H482" s="220">
        <v>22664</v>
      </c>
      <c r="I482" s="232">
        <v>13331</v>
      </c>
      <c r="J482" s="231">
        <v>8129</v>
      </c>
      <c r="K482" s="220">
        <f t="shared" si="14"/>
        <v>49501</v>
      </c>
      <c r="L482" s="231"/>
      <c r="M482" s="232">
        <v>2642</v>
      </c>
      <c r="N482" s="232">
        <v>0</v>
      </c>
      <c r="O482" s="231">
        <v>0</v>
      </c>
      <c r="P482" s="220">
        <f t="shared" si="15"/>
        <v>2642</v>
      </c>
      <c r="Q482" s="231"/>
      <c r="R482" s="232">
        <v>31457</v>
      </c>
      <c r="S482" s="233">
        <v>4018</v>
      </c>
      <c r="T482" s="233">
        <v>35475</v>
      </c>
    </row>
    <row r="483" spans="1:20">
      <c r="A483" s="226">
        <v>95106</v>
      </c>
      <c r="B483" s="227" t="s">
        <v>1189</v>
      </c>
      <c r="C483" s="87">
        <v>1.2099999999999999E-5</v>
      </c>
      <c r="D483" s="87">
        <v>1.3900000000000001E-5</v>
      </c>
      <c r="E483" s="231">
        <v>18485</v>
      </c>
      <c r="F483" s="231"/>
      <c r="G483" s="232">
        <v>1065</v>
      </c>
      <c r="H483" s="220">
        <v>4488</v>
      </c>
      <c r="I483" s="232">
        <v>2640</v>
      </c>
      <c r="J483" s="231">
        <v>4918</v>
      </c>
      <c r="K483" s="220">
        <f t="shared" si="14"/>
        <v>13111</v>
      </c>
      <c r="L483" s="231"/>
      <c r="M483" s="232">
        <v>523</v>
      </c>
      <c r="N483" s="232">
        <v>0</v>
      </c>
      <c r="O483" s="231">
        <v>1433</v>
      </c>
      <c r="P483" s="220">
        <f t="shared" si="15"/>
        <v>1956</v>
      </c>
      <c r="Q483" s="231"/>
      <c r="R483" s="232">
        <v>6230</v>
      </c>
      <c r="S483" s="233">
        <v>2234</v>
      </c>
      <c r="T483" s="233">
        <v>8464</v>
      </c>
    </row>
    <row r="484" spans="1:20">
      <c r="A484" s="226">
        <v>95110</v>
      </c>
      <c r="B484" s="227" t="s">
        <v>1190</v>
      </c>
      <c r="C484" s="87">
        <v>4.2902000000000001E-3</v>
      </c>
      <c r="D484" s="87">
        <v>4.4609000000000003E-3</v>
      </c>
      <c r="E484" s="231">
        <v>6554237</v>
      </c>
      <c r="F484" s="231"/>
      <c r="G484" s="232">
        <v>377585</v>
      </c>
      <c r="H484" s="220">
        <v>1591377</v>
      </c>
      <c r="I484" s="232">
        <v>936036</v>
      </c>
      <c r="J484" s="231">
        <v>0</v>
      </c>
      <c r="K484" s="220">
        <f t="shared" si="14"/>
        <v>2904998</v>
      </c>
      <c r="L484" s="231"/>
      <c r="M484" s="232">
        <v>185530</v>
      </c>
      <c r="N484" s="232">
        <v>0</v>
      </c>
      <c r="O484" s="231">
        <v>1097124</v>
      </c>
      <c r="P484" s="220">
        <f t="shared" si="15"/>
        <v>1282654</v>
      </c>
      <c r="Q484" s="231"/>
      <c r="R484" s="232">
        <v>2208784</v>
      </c>
      <c r="S484" s="233">
        <v>-636198</v>
      </c>
      <c r="T484" s="233">
        <v>1572586</v>
      </c>
    </row>
    <row r="485" spans="1:20">
      <c r="A485" s="226">
        <v>95111</v>
      </c>
      <c r="B485" s="227" t="s">
        <v>1191</v>
      </c>
      <c r="C485" s="87">
        <v>1.0778999999999999E-3</v>
      </c>
      <c r="D485" s="87">
        <v>1.0709000000000001E-3</v>
      </c>
      <c r="E485" s="231">
        <v>1646733</v>
      </c>
      <c r="F485" s="231"/>
      <c r="G485" s="232">
        <v>94867</v>
      </c>
      <c r="H485" s="220">
        <v>399829</v>
      </c>
      <c r="I485" s="232">
        <v>235176</v>
      </c>
      <c r="J485" s="231">
        <v>0</v>
      </c>
      <c r="K485" s="220">
        <f t="shared" si="14"/>
        <v>729872</v>
      </c>
      <c r="L485" s="231"/>
      <c r="M485" s="232">
        <v>46614</v>
      </c>
      <c r="N485" s="232">
        <v>0</v>
      </c>
      <c r="O485" s="231">
        <v>120462</v>
      </c>
      <c r="P485" s="220">
        <f t="shared" si="15"/>
        <v>167076</v>
      </c>
      <c r="Q485" s="231"/>
      <c r="R485" s="232">
        <v>554950</v>
      </c>
      <c r="S485" s="233">
        <v>-59518</v>
      </c>
      <c r="T485" s="233">
        <v>495432</v>
      </c>
    </row>
    <row r="486" spans="1:20">
      <c r="A486" s="226">
        <v>95113</v>
      </c>
      <c r="B486" s="227" t="s">
        <v>1192</v>
      </c>
      <c r="C486" s="87">
        <v>4.6699999999999997E-5</v>
      </c>
      <c r="D486" s="87">
        <v>4.7500000000000003E-5</v>
      </c>
      <c r="E486" s="231">
        <v>71345</v>
      </c>
      <c r="F486" s="231"/>
      <c r="G486" s="232">
        <v>4110</v>
      </c>
      <c r="H486" s="220">
        <v>17322</v>
      </c>
      <c r="I486" s="232">
        <v>10189</v>
      </c>
      <c r="J486" s="231">
        <v>82563</v>
      </c>
      <c r="K486" s="220">
        <f t="shared" si="14"/>
        <v>114184</v>
      </c>
      <c r="L486" s="231"/>
      <c r="M486" s="232">
        <v>2020</v>
      </c>
      <c r="N486" s="232">
        <v>0</v>
      </c>
      <c r="O486" s="231">
        <v>0</v>
      </c>
      <c r="P486" s="220">
        <f t="shared" si="15"/>
        <v>2020</v>
      </c>
      <c r="Q486" s="231"/>
      <c r="R486" s="232">
        <v>24043</v>
      </c>
      <c r="S486" s="233">
        <v>31359</v>
      </c>
      <c r="T486" s="233">
        <v>55402</v>
      </c>
    </row>
    <row r="487" spans="1:20">
      <c r="A487" s="226">
        <v>95121</v>
      </c>
      <c r="B487" s="227" t="s">
        <v>1193</v>
      </c>
      <c r="C487" s="87">
        <v>4.9770000000000001E-4</v>
      </c>
      <c r="D487" s="87">
        <v>4.9580000000000002E-4</v>
      </c>
      <c r="E487" s="231">
        <v>760348</v>
      </c>
      <c r="F487" s="231"/>
      <c r="G487" s="232">
        <v>43803</v>
      </c>
      <c r="H487" s="220">
        <v>184613</v>
      </c>
      <c r="I487" s="232">
        <v>108588</v>
      </c>
      <c r="J487" s="231">
        <v>12640</v>
      </c>
      <c r="K487" s="220">
        <f t="shared" si="14"/>
        <v>349644</v>
      </c>
      <c r="L487" s="231"/>
      <c r="M487" s="232">
        <v>21523</v>
      </c>
      <c r="N487" s="232">
        <v>0</v>
      </c>
      <c r="O487" s="231">
        <v>14371</v>
      </c>
      <c r="P487" s="220">
        <f t="shared" si="15"/>
        <v>35894</v>
      </c>
      <c r="Q487" s="231"/>
      <c r="R487" s="232">
        <v>256238</v>
      </c>
      <c r="S487" s="233">
        <v>-7628</v>
      </c>
      <c r="T487" s="233">
        <v>248610</v>
      </c>
    </row>
    <row r="488" spans="1:20">
      <c r="A488" s="226">
        <v>95122</v>
      </c>
      <c r="B488" s="227" t="s">
        <v>1194</v>
      </c>
      <c r="C488" s="87">
        <v>6.4999999999999996E-6</v>
      </c>
      <c r="D488" s="87">
        <v>2.7999999999999999E-6</v>
      </c>
      <c r="E488" s="231">
        <v>9930</v>
      </c>
      <c r="F488" s="231"/>
      <c r="G488" s="232">
        <v>572</v>
      </c>
      <c r="H488" s="220">
        <v>2411</v>
      </c>
      <c r="I488" s="232">
        <v>1418</v>
      </c>
      <c r="J488" s="231">
        <v>3675</v>
      </c>
      <c r="K488" s="220">
        <f t="shared" si="14"/>
        <v>8076</v>
      </c>
      <c r="L488" s="231"/>
      <c r="M488" s="232">
        <v>281</v>
      </c>
      <c r="N488" s="232">
        <v>0</v>
      </c>
      <c r="O488" s="231">
        <v>0</v>
      </c>
      <c r="P488" s="220">
        <f t="shared" si="15"/>
        <v>281</v>
      </c>
      <c r="Q488" s="231"/>
      <c r="R488" s="232">
        <v>3346</v>
      </c>
      <c r="S488" s="233">
        <v>1103</v>
      </c>
      <c r="T488" s="233">
        <v>4449</v>
      </c>
    </row>
    <row r="489" spans="1:20">
      <c r="A489" s="226">
        <v>95123</v>
      </c>
      <c r="B489" s="227" t="s">
        <v>1195</v>
      </c>
      <c r="C489" s="87">
        <v>5.7399999999999999E-5</v>
      </c>
      <c r="D489" s="87">
        <v>5.6700000000000003E-5</v>
      </c>
      <c r="E489" s="231">
        <v>87691</v>
      </c>
      <c r="F489" s="231"/>
      <c r="G489" s="232">
        <v>5052</v>
      </c>
      <c r="H489" s="220">
        <v>21291</v>
      </c>
      <c r="I489" s="232">
        <v>12524</v>
      </c>
      <c r="J489" s="231">
        <v>8811</v>
      </c>
      <c r="K489" s="220">
        <f t="shared" si="14"/>
        <v>47678</v>
      </c>
      <c r="L489" s="231"/>
      <c r="M489" s="232">
        <v>2482</v>
      </c>
      <c r="N489" s="232">
        <v>0</v>
      </c>
      <c r="O489" s="231">
        <v>1459</v>
      </c>
      <c r="P489" s="220">
        <f t="shared" si="15"/>
        <v>3941</v>
      </c>
      <c r="Q489" s="231"/>
      <c r="R489" s="232">
        <v>29552</v>
      </c>
      <c r="S489" s="233">
        <v>1830</v>
      </c>
      <c r="T489" s="233">
        <v>31382</v>
      </c>
    </row>
    <row r="490" spans="1:20">
      <c r="A490" s="226">
        <v>95131</v>
      </c>
      <c r="B490" s="227" t="s">
        <v>1196</v>
      </c>
      <c r="C490" s="87">
        <v>1.6682999999999999E-3</v>
      </c>
      <c r="D490" s="87">
        <v>1.5451E-3</v>
      </c>
      <c r="E490" s="231">
        <v>2548700</v>
      </c>
      <c r="F490" s="231"/>
      <c r="G490" s="232">
        <v>146829</v>
      </c>
      <c r="H490" s="220">
        <v>618827</v>
      </c>
      <c r="I490" s="232">
        <v>363990</v>
      </c>
      <c r="J490" s="231">
        <v>105945</v>
      </c>
      <c r="K490" s="220">
        <f t="shared" si="14"/>
        <v>1235591</v>
      </c>
      <c r="L490" s="231"/>
      <c r="M490" s="232">
        <v>72146</v>
      </c>
      <c r="N490" s="232">
        <v>0</v>
      </c>
      <c r="O490" s="231">
        <v>846</v>
      </c>
      <c r="P490" s="220">
        <f t="shared" si="15"/>
        <v>72992</v>
      </c>
      <c r="Q490" s="231"/>
      <c r="R490" s="232">
        <v>858914</v>
      </c>
      <c r="S490" s="233">
        <v>33842</v>
      </c>
      <c r="T490" s="233">
        <v>892756</v>
      </c>
    </row>
    <row r="491" spans="1:20">
      <c r="A491" s="226">
        <v>95141</v>
      </c>
      <c r="B491" s="227" t="s">
        <v>1197</v>
      </c>
      <c r="C491" s="87">
        <v>3.2220000000000003E-4</v>
      </c>
      <c r="D491" s="87">
        <v>3.1819999999999998E-4</v>
      </c>
      <c r="E491" s="231">
        <v>492232</v>
      </c>
      <c r="F491" s="231"/>
      <c r="G491" s="232">
        <v>28357</v>
      </c>
      <c r="H491" s="220">
        <v>119515</v>
      </c>
      <c r="I491" s="232">
        <v>70298</v>
      </c>
      <c r="J491" s="231">
        <v>1251</v>
      </c>
      <c r="K491" s="220">
        <f t="shared" si="14"/>
        <v>219421</v>
      </c>
      <c r="L491" s="231"/>
      <c r="M491" s="232">
        <v>13934</v>
      </c>
      <c r="N491" s="232">
        <v>0</v>
      </c>
      <c r="O491" s="231">
        <v>29129</v>
      </c>
      <c r="P491" s="220">
        <f t="shared" si="15"/>
        <v>43063</v>
      </c>
      <c r="Q491" s="231"/>
      <c r="R491" s="232">
        <v>165883</v>
      </c>
      <c r="S491" s="233">
        <v>-11233</v>
      </c>
      <c r="T491" s="233">
        <v>154650</v>
      </c>
    </row>
    <row r="492" spans="1:20">
      <c r="A492" s="226">
        <v>95151</v>
      </c>
      <c r="B492" s="227" t="s">
        <v>1198</v>
      </c>
      <c r="C492" s="87">
        <v>1.092E-4</v>
      </c>
      <c r="D492" s="87">
        <v>1.158E-4</v>
      </c>
      <c r="E492" s="231">
        <v>166827</v>
      </c>
      <c r="F492" s="231"/>
      <c r="G492" s="232">
        <v>9611</v>
      </c>
      <c r="H492" s="220">
        <v>40506</v>
      </c>
      <c r="I492" s="232">
        <v>23825</v>
      </c>
      <c r="J492" s="231">
        <v>364</v>
      </c>
      <c r="K492" s="220">
        <f t="shared" si="14"/>
        <v>74306</v>
      </c>
      <c r="L492" s="231"/>
      <c r="M492" s="232">
        <v>4722</v>
      </c>
      <c r="N492" s="232">
        <v>0</v>
      </c>
      <c r="O492" s="231">
        <v>10802</v>
      </c>
      <c r="P492" s="220">
        <f t="shared" si="15"/>
        <v>15524</v>
      </c>
      <c r="Q492" s="231"/>
      <c r="R492" s="232">
        <v>56221</v>
      </c>
      <c r="S492" s="233">
        <v>-3332</v>
      </c>
      <c r="T492" s="233">
        <v>52889</v>
      </c>
    </row>
    <row r="493" spans="1:20">
      <c r="A493" s="226">
        <v>95161</v>
      </c>
      <c r="B493" s="227" t="s">
        <v>1199</v>
      </c>
      <c r="C493" s="87">
        <v>6.8100000000000002E-5</v>
      </c>
      <c r="D493" s="87">
        <v>7.4800000000000002E-5</v>
      </c>
      <c r="E493" s="231">
        <v>104038</v>
      </c>
      <c r="F493" s="231"/>
      <c r="G493" s="232">
        <v>5994</v>
      </c>
      <c r="H493" s="220">
        <v>25261</v>
      </c>
      <c r="I493" s="232">
        <v>14858</v>
      </c>
      <c r="J493" s="231">
        <v>5468</v>
      </c>
      <c r="K493" s="220">
        <f t="shared" si="14"/>
        <v>51581</v>
      </c>
      <c r="L493" s="231"/>
      <c r="M493" s="232">
        <v>2945</v>
      </c>
      <c r="N493" s="232">
        <v>0</v>
      </c>
      <c r="O493" s="231">
        <v>1353</v>
      </c>
      <c r="P493" s="220">
        <f t="shared" si="15"/>
        <v>4298</v>
      </c>
      <c r="Q493" s="231"/>
      <c r="R493" s="232">
        <v>35061</v>
      </c>
      <c r="S493" s="233">
        <v>1287</v>
      </c>
      <c r="T493" s="233">
        <v>36348</v>
      </c>
    </row>
    <row r="494" spans="1:20">
      <c r="A494" s="226">
        <v>95171</v>
      </c>
      <c r="B494" s="227" t="s">
        <v>1200</v>
      </c>
      <c r="C494" s="87">
        <v>1.0459999999999999E-4</v>
      </c>
      <c r="D494" s="87">
        <v>1.2300000000000001E-4</v>
      </c>
      <c r="E494" s="231">
        <v>159800</v>
      </c>
      <c r="F494" s="231"/>
      <c r="G494" s="232">
        <v>9206</v>
      </c>
      <c r="H494" s="220">
        <v>38799</v>
      </c>
      <c r="I494" s="232">
        <v>22822</v>
      </c>
      <c r="J494" s="231">
        <v>6705</v>
      </c>
      <c r="K494" s="220">
        <f t="shared" si="14"/>
        <v>77532</v>
      </c>
      <c r="L494" s="231"/>
      <c r="M494" s="232">
        <v>4523</v>
      </c>
      <c r="N494" s="232">
        <v>0</v>
      </c>
      <c r="O494" s="231">
        <v>14987</v>
      </c>
      <c r="P494" s="220">
        <f t="shared" si="15"/>
        <v>19510</v>
      </c>
      <c r="Q494" s="231"/>
      <c r="R494" s="232">
        <v>53853</v>
      </c>
      <c r="S494" s="233">
        <v>-3646</v>
      </c>
      <c r="T494" s="233">
        <v>50207</v>
      </c>
    </row>
    <row r="495" spans="1:20">
      <c r="A495" s="226">
        <v>95181</v>
      </c>
      <c r="B495" s="227" t="s">
        <v>1201</v>
      </c>
      <c r="C495" s="87">
        <v>7.7100000000000004E-5</v>
      </c>
      <c r="D495" s="87">
        <v>7.7899999999999996E-5</v>
      </c>
      <c r="E495" s="231">
        <v>117787</v>
      </c>
      <c r="F495" s="231"/>
      <c r="G495" s="232">
        <v>6786</v>
      </c>
      <c r="H495" s="220">
        <v>28599</v>
      </c>
      <c r="I495" s="232">
        <v>16822</v>
      </c>
      <c r="J495" s="231">
        <v>1069</v>
      </c>
      <c r="K495" s="220">
        <f t="shared" si="14"/>
        <v>53276</v>
      </c>
      <c r="L495" s="231"/>
      <c r="M495" s="232">
        <v>3334</v>
      </c>
      <c r="N495" s="232">
        <v>0</v>
      </c>
      <c r="O495" s="231">
        <v>9474</v>
      </c>
      <c r="P495" s="220">
        <f t="shared" si="15"/>
        <v>12808</v>
      </c>
      <c r="Q495" s="231"/>
      <c r="R495" s="232">
        <v>39694</v>
      </c>
      <c r="S495" s="233">
        <v>-2444</v>
      </c>
      <c r="T495" s="233">
        <v>37250</v>
      </c>
    </row>
    <row r="496" spans="1:20">
      <c r="A496" s="226">
        <v>95191</v>
      </c>
      <c r="B496" s="227" t="s">
        <v>1202</v>
      </c>
      <c r="C496" s="87">
        <v>5.3999999999999998E-5</v>
      </c>
      <c r="D496" s="87">
        <v>5.3999999999999998E-5</v>
      </c>
      <c r="E496" s="231">
        <v>82497</v>
      </c>
      <c r="F496" s="231"/>
      <c r="G496" s="232">
        <v>4753</v>
      </c>
      <c r="H496" s="220">
        <v>20031</v>
      </c>
      <c r="I496" s="232">
        <v>11782</v>
      </c>
      <c r="J496" s="231">
        <v>12522</v>
      </c>
      <c r="K496" s="220">
        <f t="shared" si="14"/>
        <v>49088</v>
      </c>
      <c r="L496" s="231"/>
      <c r="M496" s="232">
        <v>2335</v>
      </c>
      <c r="N496" s="232">
        <v>0</v>
      </c>
      <c r="O496" s="231">
        <v>5293</v>
      </c>
      <c r="P496" s="220">
        <f t="shared" si="15"/>
        <v>7628</v>
      </c>
      <c r="Q496" s="231"/>
      <c r="R496" s="232">
        <v>27802</v>
      </c>
      <c r="S496" s="233">
        <v>4438</v>
      </c>
      <c r="T496" s="233">
        <v>32240</v>
      </c>
    </row>
    <row r="497" spans="1:20">
      <c r="A497" s="226">
        <v>95201</v>
      </c>
      <c r="B497" s="227" t="s">
        <v>1203</v>
      </c>
      <c r="C497" s="87">
        <v>7.0969999999999996E-4</v>
      </c>
      <c r="D497" s="87">
        <v>6.8329999999999997E-4</v>
      </c>
      <c r="E497" s="231">
        <v>1084225</v>
      </c>
      <c r="F497" s="231"/>
      <c r="G497" s="232">
        <v>62461</v>
      </c>
      <c r="H497" s="220">
        <v>263252</v>
      </c>
      <c r="I497" s="232">
        <v>154842</v>
      </c>
      <c r="J497" s="231">
        <v>6474</v>
      </c>
      <c r="K497" s="220">
        <f t="shared" si="14"/>
        <v>487029</v>
      </c>
      <c r="L497" s="231"/>
      <c r="M497" s="232">
        <v>30691</v>
      </c>
      <c r="N497" s="232">
        <v>0</v>
      </c>
      <c r="O497" s="231">
        <v>21158</v>
      </c>
      <c r="P497" s="220">
        <f t="shared" si="15"/>
        <v>51849</v>
      </c>
      <c r="Q497" s="231"/>
      <c r="R497" s="232">
        <v>365385</v>
      </c>
      <c r="S497" s="233">
        <v>-9663</v>
      </c>
      <c r="T497" s="233">
        <v>355722</v>
      </c>
    </row>
    <row r="498" spans="1:20">
      <c r="A498" s="226">
        <v>95204</v>
      </c>
      <c r="B498" s="227" t="s">
        <v>1204</v>
      </c>
      <c r="C498" s="87">
        <v>1.26E-5</v>
      </c>
      <c r="D498" s="87">
        <v>1.1600000000000001E-5</v>
      </c>
      <c r="E498" s="231">
        <v>19249</v>
      </c>
      <c r="F498" s="231"/>
      <c r="G498" s="232">
        <v>1109</v>
      </c>
      <c r="H498" s="220">
        <v>4674</v>
      </c>
      <c r="I498" s="232">
        <v>2749</v>
      </c>
      <c r="J498" s="231">
        <v>1824</v>
      </c>
      <c r="K498" s="220">
        <f t="shared" si="14"/>
        <v>10356</v>
      </c>
      <c r="L498" s="231"/>
      <c r="M498" s="232">
        <v>545</v>
      </c>
      <c r="N498" s="232">
        <v>0</v>
      </c>
      <c r="O498" s="231">
        <v>1143</v>
      </c>
      <c r="P498" s="220">
        <f t="shared" si="15"/>
        <v>1688</v>
      </c>
      <c r="Q498" s="231"/>
      <c r="R498" s="232">
        <v>6487</v>
      </c>
      <c r="S498" s="233">
        <v>-195</v>
      </c>
      <c r="T498" s="233">
        <v>6292</v>
      </c>
    </row>
    <row r="499" spans="1:20">
      <c r="A499" s="226">
        <v>95205</v>
      </c>
      <c r="B499" s="227" t="s">
        <v>1205</v>
      </c>
      <c r="C499" s="87">
        <v>4.5000000000000001E-6</v>
      </c>
      <c r="D499" s="87">
        <v>4.7999999999999998E-6</v>
      </c>
      <c r="E499" s="231">
        <v>6875</v>
      </c>
      <c r="F499" s="231"/>
      <c r="G499" s="232">
        <v>396</v>
      </c>
      <c r="H499" s="220">
        <v>1669</v>
      </c>
      <c r="I499" s="232">
        <v>982</v>
      </c>
      <c r="J499" s="231">
        <v>605</v>
      </c>
      <c r="K499" s="220">
        <f t="shared" si="14"/>
        <v>3652</v>
      </c>
      <c r="L499" s="231"/>
      <c r="M499" s="232">
        <v>195</v>
      </c>
      <c r="N499" s="232">
        <v>0</v>
      </c>
      <c r="O499" s="231">
        <v>0</v>
      </c>
      <c r="P499" s="220">
        <f t="shared" si="15"/>
        <v>195</v>
      </c>
      <c r="Q499" s="231"/>
      <c r="R499" s="232">
        <v>2317</v>
      </c>
      <c r="S499" s="233">
        <v>311</v>
      </c>
      <c r="T499" s="233">
        <v>2628</v>
      </c>
    </row>
    <row r="500" spans="1:20">
      <c r="A500" s="226">
        <v>95211</v>
      </c>
      <c r="B500" s="227" t="s">
        <v>1206</v>
      </c>
      <c r="C500" s="87">
        <v>8.3999999999999992E-6</v>
      </c>
      <c r="D500" s="87">
        <v>9.2E-6</v>
      </c>
      <c r="E500" s="231">
        <v>12833</v>
      </c>
      <c r="F500" s="231"/>
      <c r="G500" s="232">
        <v>739</v>
      </c>
      <c r="H500" s="220">
        <v>3115</v>
      </c>
      <c r="I500" s="232">
        <v>1833</v>
      </c>
      <c r="J500" s="231">
        <v>1455</v>
      </c>
      <c r="K500" s="220">
        <f t="shared" si="14"/>
        <v>7142</v>
      </c>
      <c r="L500" s="231"/>
      <c r="M500" s="232">
        <v>363</v>
      </c>
      <c r="N500" s="232">
        <v>0</v>
      </c>
      <c r="O500" s="231">
        <v>1231</v>
      </c>
      <c r="P500" s="220">
        <f t="shared" si="15"/>
        <v>1594</v>
      </c>
      <c r="Q500" s="231"/>
      <c r="R500" s="232">
        <v>4325</v>
      </c>
      <c r="S500" s="233">
        <v>-523</v>
      </c>
      <c r="T500" s="233">
        <v>3802</v>
      </c>
    </row>
    <row r="501" spans="1:20">
      <c r="A501" s="226">
        <v>95221</v>
      </c>
      <c r="B501" s="227" t="s">
        <v>1207</v>
      </c>
      <c r="C501" s="87">
        <v>4.4100000000000001E-5</v>
      </c>
      <c r="D501" s="87">
        <v>1.6900000000000001E-5</v>
      </c>
      <c r="E501" s="231">
        <v>67373</v>
      </c>
      <c r="F501" s="231"/>
      <c r="G501" s="232">
        <v>3881</v>
      </c>
      <c r="H501" s="220">
        <v>16358</v>
      </c>
      <c r="I501" s="232">
        <v>9622</v>
      </c>
      <c r="J501" s="231">
        <v>21037</v>
      </c>
      <c r="K501" s="220">
        <f t="shared" si="14"/>
        <v>50898</v>
      </c>
      <c r="L501" s="231"/>
      <c r="M501" s="232">
        <v>1907</v>
      </c>
      <c r="N501" s="232">
        <v>0</v>
      </c>
      <c r="O501" s="231">
        <v>11299</v>
      </c>
      <c r="P501" s="220">
        <f t="shared" si="15"/>
        <v>13206</v>
      </c>
      <c r="Q501" s="231"/>
      <c r="R501" s="232">
        <v>22705</v>
      </c>
      <c r="S501" s="233">
        <v>2535</v>
      </c>
      <c r="T501" s="233">
        <v>25240</v>
      </c>
    </row>
    <row r="502" spans="1:20">
      <c r="A502" s="226">
        <v>95301</v>
      </c>
      <c r="B502" s="227" t="s">
        <v>1208</v>
      </c>
      <c r="C502" s="87">
        <v>2.3917999999999999E-3</v>
      </c>
      <c r="D502" s="87">
        <v>2.4063999999999999E-3</v>
      </c>
      <c r="E502" s="231">
        <v>3654008</v>
      </c>
      <c r="F502" s="231"/>
      <c r="G502" s="232">
        <v>210505</v>
      </c>
      <c r="H502" s="220">
        <v>887197</v>
      </c>
      <c r="I502" s="232">
        <v>521843</v>
      </c>
      <c r="J502" s="231">
        <v>73478</v>
      </c>
      <c r="K502" s="220">
        <f t="shared" si="14"/>
        <v>1693023</v>
      </c>
      <c r="L502" s="231"/>
      <c r="M502" s="232">
        <v>103433</v>
      </c>
      <c r="N502" s="232">
        <v>0</v>
      </c>
      <c r="O502" s="231">
        <v>11228</v>
      </c>
      <c r="P502" s="220">
        <f t="shared" si="15"/>
        <v>114661</v>
      </c>
      <c r="Q502" s="231"/>
      <c r="R502" s="232">
        <v>1231404</v>
      </c>
      <c r="S502" s="233">
        <v>19362</v>
      </c>
      <c r="T502" s="233">
        <f>1250765+1</f>
        <v>1250766</v>
      </c>
    </row>
    <row r="503" spans="1:20">
      <c r="A503" s="226">
        <v>95311</v>
      </c>
      <c r="B503" s="227" t="s">
        <v>1209</v>
      </c>
      <c r="C503" s="87">
        <v>2.6873999999999999E-3</v>
      </c>
      <c r="D503" s="87">
        <v>2.6841999999999999E-3</v>
      </c>
      <c r="E503" s="231">
        <v>4105603</v>
      </c>
      <c r="F503" s="231"/>
      <c r="G503" s="232">
        <v>236521</v>
      </c>
      <c r="H503" s="220">
        <v>996846</v>
      </c>
      <c r="I503" s="232">
        <v>586337</v>
      </c>
      <c r="J503" s="231">
        <v>41083</v>
      </c>
      <c r="K503" s="220">
        <f t="shared" si="14"/>
        <v>1860787</v>
      </c>
      <c r="L503" s="231"/>
      <c r="M503" s="232">
        <v>116217</v>
      </c>
      <c r="N503" s="232">
        <v>0</v>
      </c>
      <c r="O503" s="231">
        <v>117171</v>
      </c>
      <c r="P503" s="220">
        <f t="shared" si="15"/>
        <v>233388</v>
      </c>
      <c r="Q503" s="231"/>
      <c r="R503" s="232">
        <v>1383592</v>
      </c>
      <c r="S503" s="233">
        <v>-46704</v>
      </c>
      <c r="T503" s="233">
        <v>1336888</v>
      </c>
    </row>
    <row r="504" spans="1:20">
      <c r="A504" s="226">
        <v>95317</v>
      </c>
      <c r="B504" s="227" t="s">
        <v>1210</v>
      </c>
      <c r="C504" s="87">
        <v>4.8900000000000003E-5</v>
      </c>
      <c r="D504" s="87">
        <v>5.1400000000000003E-5</v>
      </c>
      <c r="E504" s="231">
        <v>74706</v>
      </c>
      <c r="F504" s="231"/>
      <c r="G504" s="232">
        <v>4304</v>
      </c>
      <c r="H504" s="220">
        <v>18138</v>
      </c>
      <c r="I504" s="232">
        <v>10669</v>
      </c>
      <c r="J504" s="231">
        <v>6328</v>
      </c>
      <c r="K504" s="220">
        <f t="shared" si="14"/>
        <v>39439</v>
      </c>
      <c r="L504" s="231"/>
      <c r="M504" s="232">
        <v>2115</v>
      </c>
      <c r="N504" s="232">
        <v>0</v>
      </c>
      <c r="O504" s="231">
        <v>38</v>
      </c>
      <c r="P504" s="220">
        <f t="shared" si="15"/>
        <v>2153</v>
      </c>
      <c r="Q504" s="231"/>
      <c r="R504" s="232">
        <v>25176</v>
      </c>
      <c r="S504" s="233">
        <v>2474</v>
      </c>
      <c r="T504" s="233">
        <v>27650</v>
      </c>
    </row>
    <row r="505" spans="1:20">
      <c r="A505" s="226">
        <v>95321</v>
      </c>
      <c r="B505" s="227" t="s">
        <v>1211</v>
      </c>
      <c r="C505" s="87">
        <v>4.71E-5</v>
      </c>
      <c r="D505" s="87">
        <v>5.7000000000000003E-5</v>
      </c>
      <c r="E505" s="231">
        <v>71956</v>
      </c>
      <c r="F505" s="231"/>
      <c r="G505" s="232">
        <v>4145</v>
      </c>
      <c r="H505" s="220">
        <v>17471</v>
      </c>
      <c r="I505" s="232">
        <v>10276</v>
      </c>
      <c r="J505" s="231">
        <v>3087</v>
      </c>
      <c r="K505" s="220">
        <f t="shared" si="14"/>
        <v>34979</v>
      </c>
      <c r="L505" s="231"/>
      <c r="M505" s="232">
        <v>2037</v>
      </c>
      <c r="N505" s="232">
        <v>0</v>
      </c>
      <c r="O505" s="231">
        <v>2158</v>
      </c>
      <c r="P505" s="220">
        <f t="shared" si="15"/>
        <v>4195</v>
      </c>
      <c r="Q505" s="231"/>
      <c r="R505" s="232">
        <v>24249</v>
      </c>
      <c r="S505" s="233">
        <v>1089</v>
      </c>
      <c r="T505" s="233">
        <v>25338</v>
      </c>
    </row>
    <row r="506" spans="1:20">
      <c r="A506" s="226">
        <v>95401</v>
      </c>
      <c r="B506" s="227" t="s">
        <v>1212</v>
      </c>
      <c r="C506" s="87">
        <v>2.9992E-3</v>
      </c>
      <c r="D506" s="87">
        <v>2.9979999999999998E-3</v>
      </c>
      <c r="E506" s="231">
        <v>4581947</v>
      </c>
      <c r="F506" s="231"/>
      <c r="G506" s="232">
        <v>263963</v>
      </c>
      <c r="H506" s="220">
        <v>1112502</v>
      </c>
      <c r="I506" s="232">
        <v>654365</v>
      </c>
      <c r="J506" s="231">
        <v>27695</v>
      </c>
      <c r="K506" s="220">
        <f t="shared" si="14"/>
        <v>2058525</v>
      </c>
      <c r="L506" s="231"/>
      <c r="M506" s="232">
        <v>129700</v>
      </c>
      <c r="N506" s="232">
        <v>0</v>
      </c>
      <c r="O506" s="231">
        <v>19902</v>
      </c>
      <c r="P506" s="220">
        <f t="shared" si="15"/>
        <v>149602</v>
      </c>
      <c r="Q506" s="231"/>
      <c r="R506" s="232">
        <v>1544120</v>
      </c>
      <c r="S506" s="233">
        <v>10089</v>
      </c>
      <c r="T506" s="233">
        <v>1554209</v>
      </c>
    </row>
    <row r="507" spans="1:20">
      <c r="A507" s="226">
        <v>95404</v>
      </c>
      <c r="B507" s="227" t="s">
        <v>1213</v>
      </c>
      <c r="C507" s="87">
        <v>5.3100000000000003E-5</v>
      </c>
      <c r="D507" s="87">
        <v>4.9799999999999998E-5</v>
      </c>
      <c r="E507" s="231">
        <v>81122</v>
      </c>
      <c r="F507" s="231"/>
      <c r="G507" s="232">
        <v>4673</v>
      </c>
      <c r="H507" s="220">
        <v>19697</v>
      </c>
      <c r="I507" s="232">
        <v>11585</v>
      </c>
      <c r="J507" s="231">
        <v>5158</v>
      </c>
      <c r="K507" s="220">
        <f t="shared" si="14"/>
        <v>41113</v>
      </c>
      <c r="L507" s="231"/>
      <c r="M507" s="232">
        <v>2296</v>
      </c>
      <c r="N507" s="232">
        <v>0</v>
      </c>
      <c r="O507" s="231">
        <v>0</v>
      </c>
      <c r="P507" s="220">
        <f t="shared" si="15"/>
        <v>2296</v>
      </c>
      <c r="Q507" s="231"/>
      <c r="R507" s="232">
        <v>27338</v>
      </c>
      <c r="S507" s="233">
        <v>1949</v>
      </c>
      <c r="T507" s="233">
        <v>29287</v>
      </c>
    </row>
    <row r="508" spans="1:20">
      <c r="A508" s="226">
        <v>95405</v>
      </c>
      <c r="B508" s="227" t="s">
        <v>1214</v>
      </c>
      <c r="C508" s="87">
        <v>1.84E-5</v>
      </c>
      <c r="D508" s="87">
        <v>1.84E-5</v>
      </c>
      <c r="E508" s="231">
        <v>28110</v>
      </c>
      <c r="F508" s="231"/>
      <c r="G508" s="232">
        <v>1619</v>
      </c>
      <c r="H508" s="220">
        <v>6826</v>
      </c>
      <c r="I508" s="232">
        <v>4015</v>
      </c>
      <c r="J508" s="231">
        <v>15544</v>
      </c>
      <c r="K508" s="220">
        <f t="shared" si="14"/>
        <v>28004</v>
      </c>
      <c r="L508" s="231"/>
      <c r="M508" s="232">
        <v>796</v>
      </c>
      <c r="N508" s="232">
        <v>0</v>
      </c>
      <c r="O508" s="231">
        <v>0</v>
      </c>
      <c r="P508" s="220">
        <f t="shared" si="15"/>
        <v>796</v>
      </c>
      <c r="Q508" s="231"/>
      <c r="R508" s="232">
        <v>9473</v>
      </c>
      <c r="S508" s="233">
        <v>5475</v>
      </c>
      <c r="T508" s="233">
        <v>14948</v>
      </c>
    </row>
    <row r="509" spans="1:20">
      <c r="A509" s="226">
        <v>95411</v>
      </c>
      <c r="B509" s="227" t="s">
        <v>1215</v>
      </c>
      <c r="C509" s="87">
        <v>2.2173000000000002E-3</v>
      </c>
      <c r="D509" s="87">
        <v>2.3272000000000002E-3</v>
      </c>
      <c r="E509" s="231">
        <v>3387420</v>
      </c>
      <c r="F509" s="231"/>
      <c r="G509" s="232">
        <v>195147</v>
      </c>
      <c r="H509" s="220">
        <v>822470</v>
      </c>
      <c r="I509" s="232">
        <v>483771</v>
      </c>
      <c r="J509" s="231">
        <v>14015</v>
      </c>
      <c r="K509" s="220">
        <f t="shared" si="14"/>
        <v>1515403</v>
      </c>
      <c r="L509" s="231"/>
      <c r="M509" s="232">
        <v>95887</v>
      </c>
      <c r="N509" s="232">
        <v>0</v>
      </c>
      <c r="O509" s="231">
        <v>60237</v>
      </c>
      <c r="P509" s="220">
        <f t="shared" si="15"/>
        <v>156124</v>
      </c>
      <c r="Q509" s="231"/>
      <c r="R509" s="232">
        <v>1141564</v>
      </c>
      <c r="S509" s="233">
        <v>-23907</v>
      </c>
      <c r="T509" s="233">
        <f>1117656+1</f>
        <v>1117657</v>
      </c>
    </row>
    <row r="510" spans="1:20">
      <c r="A510" s="226">
        <v>95412</v>
      </c>
      <c r="B510" s="227" t="s">
        <v>1216</v>
      </c>
      <c r="C510" s="87">
        <v>0</v>
      </c>
      <c r="D510" s="87">
        <v>0</v>
      </c>
      <c r="E510" s="231">
        <v>0</v>
      </c>
      <c r="F510" s="231"/>
      <c r="G510" s="232">
        <v>0</v>
      </c>
      <c r="H510" s="220">
        <v>0</v>
      </c>
      <c r="I510" s="232">
        <v>0</v>
      </c>
      <c r="J510" s="231">
        <v>0</v>
      </c>
      <c r="K510" s="220">
        <f t="shared" si="14"/>
        <v>0</v>
      </c>
      <c r="L510" s="231"/>
      <c r="M510" s="232">
        <v>0</v>
      </c>
      <c r="N510" s="232">
        <v>0</v>
      </c>
      <c r="O510" s="231">
        <v>27831</v>
      </c>
      <c r="P510" s="220">
        <f t="shared" si="15"/>
        <v>27831</v>
      </c>
      <c r="Q510" s="231"/>
      <c r="R510" s="232">
        <v>0</v>
      </c>
      <c r="S510" s="233">
        <v>-18518</v>
      </c>
      <c r="T510" s="233">
        <v>-18518</v>
      </c>
    </row>
    <row r="511" spans="1:20">
      <c r="A511" s="226">
        <v>95413</v>
      </c>
      <c r="B511" s="227" t="s">
        <v>1217</v>
      </c>
      <c r="C511" s="87">
        <v>2.5809999999999999E-4</v>
      </c>
      <c r="D511" s="87">
        <v>2.945E-4</v>
      </c>
      <c r="E511" s="231">
        <v>394305</v>
      </c>
      <c r="F511" s="231"/>
      <c r="G511" s="232">
        <v>22716</v>
      </c>
      <c r="H511" s="220">
        <v>95737</v>
      </c>
      <c r="I511" s="232">
        <v>56312</v>
      </c>
      <c r="J511" s="231">
        <v>247679</v>
      </c>
      <c r="K511" s="220">
        <f t="shared" si="14"/>
        <v>422444</v>
      </c>
      <c r="L511" s="231"/>
      <c r="M511" s="232">
        <v>11162</v>
      </c>
      <c r="N511" s="232">
        <v>0</v>
      </c>
      <c r="O511" s="231">
        <v>9401</v>
      </c>
      <c r="P511" s="220">
        <f t="shared" si="15"/>
        <v>20563</v>
      </c>
      <c r="Q511" s="231"/>
      <c r="R511" s="232">
        <v>132881</v>
      </c>
      <c r="S511" s="233">
        <v>77340</v>
      </c>
      <c r="T511" s="233">
        <v>210221</v>
      </c>
    </row>
    <row r="512" spans="1:20">
      <c r="A512" s="226">
        <v>95415</v>
      </c>
      <c r="B512" s="227" t="s">
        <v>1218</v>
      </c>
      <c r="C512" s="87">
        <v>6.2899999999999997E-5</v>
      </c>
      <c r="D512" s="87">
        <v>7.9499999999999994E-5</v>
      </c>
      <c r="E512" s="231">
        <v>96094</v>
      </c>
      <c r="F512" s="231"/>
      <c r="G512" s="232">
        <v>5536</v>
      </c>
      <c r="H512" s="220">
        <v>23331</v>
      </c>
      <c r="I512" s="232">
        <v>13724</v>
      </c>
      <c r="J512" s="231">
        <v>5301</v>
      </c>
      <c r="K512" s="220">
        <f t="shared" si="14"/>
        <v>47892</v>
      </c>
      <c r="L512" s="231"/>
      <c r="M512" s="232">
        <v>2720</v>
      </c>
      <c r="N512" s="232">
        <v>0</v>
      </c>
      <c r="O512" s="231">
        <v>16874</v>
      </c>
      <c r="P512" s="220">
        <f t="shared" si="15"/>
        <v>19594</v>
      </c>
      <c r="Q512" s="231"/>
      <c r="R512" s="232">
        <v>32384</v>
      </c>
      <c r="S512" s="233">
        <v>-165</v>
      </c>
      <c r="T512" s="233">
        <v>32219</v>
      </c>
    </row>
    <row r="513" spans="1:20">
      <c r="A513" s="226">
        <v>95421</v>
      </c>
      <c r="B513" s="227" t="s">
        <v>1219</v>
      </c>
      <c r="C513" s="87">
        <v>3.8699999999999999E-5</v>
      </c>
      <c r="D513" s="87">
        <v>3.9100000000000002E-5</v>
      </c>
      <c r="E513" s="231">
        <v>59123</v>
      </c>
      <c r="F513" s="231"/>
      <c r="G513" s="232">
        <v>3406</v>
      </c>
      <c r="H513" s="220">
        <v>14355</v>
      </c>
      <c r="I513" s="232">
        <v>8444</v>
      </c>
      <c r="J513" s="231">
        <v>226</v>
      </c>
      <c r="K513" s="220">
        <f t="shared" si="14"/>
        <v>26431</v>
      </c>
      <c r="L513" s="231"/>
      <c r="M513" s="232">
        <v>1674</v>
      </c>
      <c r="N513" s="232">
        <v>0</v>
      </c>
      <c r="O513" s="231">
        <v>9353</v>
      </c>
      <c r="P513" s="220">
        <f t="shared" si="15"/>
        <v>11027</v>
      </c>
      <c r="Q513" s="231"/>
      <c r="R513" s="232">
        <v>19924</v>
      </c>
      <c r="S513" s="233">
        <v>-4913</v>
      </c>
      <c r="T513" s="233">
        <f>15012-1</f>
        <v>15011</v>
      </c>
    </row>
    <row r="514" spans="1:20">
      <c r="A514" s="226">
        <v>95431</v>
      </c>
      <c r="B514" s="227" t="s">
        <v>1220</v>
      </c>
      <c r="C514" s="87">
        <v>1.5300000000000001E-4</v>
      </c>
      <c r="D514" s="87">
        <v>1.8009999999999999E-4</v>
      </c>
      <c r="E514" s="231">
        <v>233742</v>
      </c>
      <c r="F514" s="231"/>
      <c r="G514" s="232">
        <v>13466</v>
      </c>
      <c r="H514" s="220">
        <v>56753</v>
      </c>
      <c r="I514" s="232">
        <v>33382</v>
      </c>
      <c r="J514" s="231">
        <v>224</v>
      </c>
      <c r="K514" s="220">
        <f t="shared" si="14"/>
        <v>103825</v>
      </c>
      <c r="L514" s="231"/>
      <c r="M514" s="232">
        <v>6616</v>
      </c>
      <c r="N514" s="232">
        <v>0</v>
      </c>
      <c r="O514" s="231">
        <v>34003</v>
      </c>
      <c r="P514" s="220">
        <f t="shared" si="15"/>
        <v>40619</v>
      </c>
      <c r="Q514" s="231"/>
      <c r="R514" s="232">
        <v>78771</v>
      </c>
      <c r="S514" s="233">
        <v>-9919</v>
      </c>
      <c r="T514" s="233">
        <v>68852</v>
      </c>
    </row>
    <row r="515" spans="1:20">
      <c r="A515" s="226">
        <v>95501</v>
      </c>
      <c r="B515" s="227" t="s">
        <v>1221</v>
      </c>
      <c r="C515" s="87">
        <v>4.8764999999999998E-3</v>
      </c>
      <c r="D515" s="87">
        <v>4.7917999999999997E-3</v>
      </c>
      <c r="E515" s="231">
        <v>7449941</v>
      </c>
      <c r="F515" s="231"/>
      <c r="G515" s="232">
        <v>429186</v>
      </c>
      <c r="H515" s="220">
        <v>1808855</v>
      </c>
      <c r="I515" s="232">
        <v>1063955</v>
      </c>
      <c r="J515" s="231">
        <v>31695</v>
      </c>
      <c r="K515" s="220">
        <f t="shared" si="14"/>
        <v>3333691</v>
      </c>
      <c r="L515" s="231"/>
      <c r="M515" s="232">
        <v>210884</v>
      </c>
      <c r="N515" s="232">
        <v>0</v>
      </c>
      <c r="O515" s="231">
        <v>124610</v>
      </c>
      <c r="P515" s="220">
        <f t="shared" si="15"/>
        <v>335494</v>
      </c>
      <c r="Q515" s="231"/>
      <c r="R515" s="232">
        <v>2510637</v>
      </c>
      <c r="S515" s="233">
        <v>-8646</v>
      </c>
      <c r="T515" s="233">
        <v>2501991</v>
      </c>
    </row>
    <row r="516" spans="1:20">
      <c r="A516" s="226">
        <v>95504</v>
      </c>
      <c r="B516" s="227" t="s">
        <v>1222</v>
      </c>
      <c r="C516" s="87">
        <v>9.3999999999999998E-6</v>
      </c>
      <c r="D516" s="87">
        <v>8.8999999999999995E-6</v>
      </c>
      <c r="E516" s="231">
        <v>14361</v>
      </c>
      <c r="F516" s="231"/>
      <c r="G516" s="232">
        <v>827</v>
      </c>
      <c r="H516" s="220">
        <v>3487</v>
      </c>
      <c r="I516" s="232">
        <v>2051</v>
      </c>
      <c r="J516" s="231">
        <v>7912</v>
      </c>
      <c r="K516" s="220">
        <f t="shared" si="14"/>
        <v>14277</v>
      </c>
      <c r="L516" s="231"/>
      <c r="M516" s="232">
        <v>407</v>
      </c>
      <c r="N516" s="232">
        <v>0</v>
      </c>
      <c r="O516" s="231">
        <v>0</v>
      </c>
      <c r="P516" s="220">
        <f t="shared" si="15"/>
        <v>407</v>
      </c>
      <c r="Q516" s="231"/>
      <c r="R516" s="232">
        <v>4840</v>
      </c>
      <c r="S516" s="233">
        <v>2952</v>
      </c>
      <c r="T516" s="233">
        <f>7791+1</f>
        <v>7792</v>
      </c>
    </row>
    <row r="517" spans="1:20">
      <c r="A517" s="226">
        <v>95511</v>
      </c>
      <c r="B517" s="227" t="s">
        <v>1223</v>
      </c>
      <c r="C517" s="87">
        <v>9.7460000000000005E-4</v>
      </c>
      <c r="D517" s="87">
        <v>9.6049999999999998E-4</v>
      </c>
      <c r="E517" s="231">
        <v>1488919</v>
      </c>
      <c r="F517" s="231"/>
      <c r="G517" s="232">
        <v>85776</v>
      </c>
      <c r="H517" s="220">
        <v>361511</v>
      </c>
      <c r="I517" s="232">
        <v>212638</v>
      </c>
      <c r="J517" s="231">
        <v>44242</v>
      </c>
      <c r="K517" s="220">
        <f t="shared" si="14"/>
        <v>704167</v>
      </c>
      <c r="L517" s="231"/>
      <c r="M517" s="232">
        <v>42147</v>
      </c>
      <c r="N517" s="232">
        <v>0</v>
      </c>
      <c r="O517" s="231">
        <v>52155</v>
      </c>
      <c r="P517" s="220">
        <f t="shared" si="15"/>
        <v>94302</v>
      </c>
      <c r="Q517" s="231"/>
      <c r="R517" s="232">
        <v>501767</v>
      </c>
      <c r="S517" s="233">
        <v>-4607</v>
      </c>
      <c r="T517" s="233">
        <v>497160</v>
      </c>
    </row>
    <row r="518" spans="1:20">
      <c r="A518" s="226">
        <v>95513</v>
      </c>
      <c r="B518" s="227" t="s">
        <v>1224</v>
      </c>
      <c r="C518" s="87">
        <v>4.6699999999999997E-5</v>
      </c>
      <c r="D518" s="87">
        <v>4.5500000000000001E-5</v>
      </c>
      <c r="E518" s="231">
        <v>71345</v>
      </c>
      <c r="F518" s="231"/>
      <c r="G518" s="232">
        <v>4110</v>
      </c>
      <c r="H518" s="220">
        <v>17322</v>
      </c>
      <c r="I518" s="232">
        <v>10189</v>
      </c>
      <c r="J518" s="231">
        <v>21773</v>
      </c>
      <c r="K518" s="220">
        <f t="shared" si="14"/>
        <v>53394</v>
      </c>
      <c r="L518" s="231"/>
      <c r="M518" s="232">
        <v>2020</v>
      </c>
      <c r="N518" s="232">
        <v>0</v>
      </c>
      <c r="O518" s="231">
        <v>0</v>
      </c>
      <c r="P518" s="220">
        <f t="shared" si="15"/>
        <v>2020</v>
      </c>
      <c r="Q518" s="231"/>
      <c r="R518" s="232">
        <v>24043</v>
      </c>
      <c r="S518" s="233">
        <v>9103</v>
      </c>
      <c r="T518" s="233">
        <v>33146</v>
      </c>
    </row>
    <row r="519" spans="1:20">
      <c r="A519" s="226">
        <v>95517</v>
      </c>
      <c r="B519" s="227" t="s">
        <v>1225</v>
      </c>
      <c r="C519" s="87">
        <v>2.4499999999999999E-5</v>
      </c>
      <c r="D519" s="87">
        <v>1.66E-5</v>
      </c>
      <c r="E519" s="231">
        <v>37429</v>
      </c>
      <c r="F519" s="231"/>
      <c r="G519" s="232">
        <v>2156</v>
      </c>
      <c r="H519" s="220">
        <v>9087</v>
      </c>
      <c r="I519" s="232">
        <v>5345</v>
      </c>
      <c r="J519" s="231">
        <v>17989</v>
      </c>
      <c r="K519" s="220">
        <f t="shared" si="14"/>
        <v>34577</v>
      </c>
      <c r="L519" s="231"/>
      <c r="M519" s="232">
        <v>1060</v>
      </c>
      <c r="N519" s="232">
        <v>0</v>
      </c>
      <c r="O519" s="231">
        <v>0</v>
      </c>
      <c r="P519" s="220">
        <f t="shared" si="15"/>
        <v>1060</v>
      </c>
      <c r="Q519" s="231"/>
      <c r="R519" s="232">
        <v>12614</v>
      </c>
      <c r="S519" s="233">
        <v>6544</v>
      </c>
      <c r="T519" s="233">
        <v>19158</v>
      </c>
    </row>
    <row r="520" spans="1:20">
      <c r="A520" s="226">
        <v>95601</v>
      </c>
      <c r="B520" s="227" t="s">
        <v>1226</v>
      </c>
      <c r="C520" s="87">
        <v>2.6280000000000001E-3</v>
      </c>
      <c r="D520" s="87">
        <v>2.6592999999999999E-3</v>
      </c>
      <c r="E520" s="231">
        <v>4014856</v>
      </c>
      <c r="F520" s="231"/>
      <c r="G520" s="232">
        <v>231293</v>
      </c>
      <c r="H520" s="220">
        <v>974812</v>
      </c>
      <c r="I520" s="232">
        <v>573377</v>
      </c>
      <c r="J520" s="231">
        <v>85590</v>
      </c>
      <c r="K520" s="220">
        <f t="shared" si="14"/>
        <v>1865072</v>
      </c>
      <c r="L520" s="231"/>
      <c r="M520" s="232">
        <v>113648</v>
      </c>
      <c r="N520" s="232">
        <v>0</v>
      </c>
      <c r="O520" s="231">
        <v>19082</v>
      </c>
      <c r="P520" s="220">
        <f t="shared" si="15"/>
        <v>132730</v>
      </c>
      <c r="Q520" s="231"/>
      <c r="R520" s="232">
        <v>1353010</v>
      </c>
      <c r="S520" s="233">
        <v>47697</v>
      </c>
      <c r="T520" s="233">
        <v>1400707</v>
      </c>
    </row>
    <row r="521" spans="1:20">
      <c r="A521" s="226">
        <v>95611</v>
      </c>
      <c r="B521" s="227" t="s">
        <v>1227</v>
      </c>
      <c r="C521" s="87">
        <v>4.0660000000000002E-4</v>
      </c>
      <c r="D521" s="87">
        <v>3.9540000000000002E-4</v>
      </c>
      <c r="E521" s="231">
        <v>621172</v>
      </c>
      <c r="F521" s="231"/>
      <c r="G521" s="232">
        <v>35785</v>
      </c>
      <c r="H521" s="220">
        <v>150821</v>
      </c>
      <c r="I521" s="232">
        <v>88712</v>
      </c>
      <c r="J521" s="231">
        <v>8653</v>
      </c>
      <c r="K521" s="220">
        <f t="shared" ref="K521:K584" si="16">G521+H521+I521+J521</f>
        <v>283971</v>
      </c>
      <c r="L521" s="231"/>
      <c r="M521" s="232">
        <v>17583</v>
      </c>
      <c r="N521" s="232">
        <v>0</v>
      </c>
      <c r="O521" s="231">
        <v>3649</v>
      </c>
      <c r="P521" s="220">
        <f t="shared" ref="P521:P584" si="17">M521+N521+O521</f>
        <v>21232</v>
      </c>
      <c r="Q521" s="231"/>
      <c r="R521" s="232">
        <v>209336</v>
      </c>
      <c r="S521" s="233">
        <v>1212</v>
      </c>
      <c r="T521" s="233">
        <f>210547+1</f>
        <v>210548</v>
      </c>
    </row>
    <row r="522" spans="1:20">
      <c r="A522" s="226">
        <v>95617</v>
      </c>
      <c r="B522" s="227" t="s">
        <v>1228</v>
      </c>
      <c r="C522" s="87">
        <v>1.6399999999999999E-5</v>
      </c>
      <c r="D522" s="87">
        <v>1.6500000000000001E-5</v>
      </c>
      <c r="E522" s="231">
        <v>25055</v>
      </c>
      <c r="F522" s="231"/>
      <c r="G522" s="232">
        <v>1443</v>
      </c>
      <c r="H522" s="220">
        <v>6084</v>
      </c>
      <c r="I522" s="232">
        <v>3578</v>
      </c>
      <c r="J522" s="231">
        <v>722</v>
      </c>
      <c r="K522" s="220">
        <f t="shared" si="16"/>
        <v>11827</v>
      </c>
      <c r="L522" s="231"/>
      <c r="M522" s="232">
        <v>709</v>
      </c>
      <c r="N522" s="232">
        <v>0</v>
      </c>
      <c r="O522" s="231">
        <v>1277</v>
      </c>
      <c r="P522" s="220">
        <f t="shared" si="17"/>
        <v>1986</v>
      </c>
      <c r="Q522" s="231"/>
      <c r="R522" s="232">
        <v>8443</v>
      </c>
      <c r="S522" s="233">
        <v>-659</v>
      </c>
      <c r="T522" s="233">
        <v>7784</v>
      </c>
    </row>
    <row r="523" spans="1:20">
      <c r="A523" s="226">
        <v>95621</v>
      </c>
      <c r="B523" s="227" t="s">
        <v>1229</v>
      </c>
      <c r="C523" s="87">
        <v>4.5360000000000002E-4</v>
      </c>
      <c r="D523" s="87">
        <v>4.8020000000000002E-4</v>
      </c>
      <c r="E523" s="231">
        <v>692975</v>
      </c>
      <c r="F523" s="231"/>
      <c r="G523" s="232">
        <v>39922</v>
      </c>
      <c r="H523" s="220">
        <v>168255</v>
      </c>
      <c r="I523" s="232">
        <v>98966</v>
      </c>
      <c r="J523" s="231">
        <v>3166</v>
      </c>
      <c r="K523" s="220">
        <f t="shared" si="16"/>
        <v>310309</v>
      </c>
      <c r="L523" s="231"/>
      <c r="M523" s="232">
        <v>19616</v>
      </c>
      <c r="N523" s="232">
        <v>0</v>
      </c>
      <c r="O523" s="231">
        <v>4423</v>
      </c>
      <c r="P523" s="220">
        <f t="shared" si="17"/>
        <v>24039</v>
      </c>
      <c r="Q523" s="231"/>
      <c r="R523" s="232">
        <v>233533</v>
      </c>
      <c r="S523" s="233">
        <v>1481</v>
      </c>
      <c r="T523" s="233">
        <f>235015-1</f>
        <v>235014</v>
      </c>
    </row>
    <row r="524" spans="1:20">
      <c r="A524" s="226">
        <v>95701</v>
      </c>
      <c r="B524" s="227" t="s">
        <v>1230</v>
      </c>
      <c r="C524" s="87">
        <v>1.3747E-3</v>
      </c>
      <c r="D524" s="87">
        <v>1.291E-3</v>
      </c>
      <c r="E524" s="231">
        <v>2100161</v>
      </c>
      <c r="F524" s="231"/>
      <c r="G524" s="232">
        <v>120989</v>
      </c>
      <c r="H524" s="220">
        <v>509922</v>
      </c>
      <c r="I524" s="232">
        <v>299932</v>
      </c>
      <c r="J524" s="231">
        <v>62898</v>
      </c>
      <c r="K524" s="220">
        <f t="shared" si="16"/>
        <v>993741</v>
      </c>
      <c r="L524" s="231"/>
      <c r="M524" s="232">
        <v>59449</v>
      </c>
      <c r="N524" s="232">
        <v>0</v>
      </c>
      <c r="O524" s="231">
        <v>0</v>
      </c>
      <c r="P524" s="220">
        <f t="shared" si="17"/>
        <v>59449</v>
      </c>
      <c r="Q524" s="231"/>
      <c r="R524" s="232">
        <v>707756</v>
      </c>
      <c r="S524" s="233">
        <v>28646</v>
      </c>
      <c r="T524" s="233">
        <v>736402</v>
      </c>
    </row>
    <row r="525" spans="1:20">
      <c r="A525" s="226">
        <v>95711</v>
      </c>
      <c r="B525" s="227" t="s">
        <v>1231</v>
      </c>
      <c r="C525" s="87">
        <v>1.394E-4</v>
      </c>
      <c r="D525" s="87">
        <v>1.382E-4</v>
      </c>
      <c r="E525" s="231">
        <v>212965</v>
      </c>
      <c r="F525" s="231"/>
      <c r="G525" s="232">
        <v>12269</v>
      </c>
      <c r="H525" s="220">
        <v>51708</v>
      </c>
      <c r="I525" s="232">
        <v>30414</v>
      </c>
      <c r="J525" s="231">
        <v>6056</v>
      </c>
      <c r="K525" s="220">
        <f t="shared" si="16"/>
        <v>100447</v>
      </c>
      <c r="L525" s="231"/>
      <c r="M525" s="232">
        <v>6028</v>
      </c>
      <c r="N525" s="232">
        <v>0</v>
      </c>
      <c r="O525" s="231">
        <v>5836</v>
      </c>
      <c r="P525" s="220">
        <f t="shared" si="17"/>
        <v>11864</v>
      </c>
      <c r="Q525" s="231"/>
      <c r="R525" s="232">
        <v>71769</v>
      </c>
      <c r="S525" s="233">
        <v>1663</v>
      </c>
      <c r="T525" s="233">
        <v>73432</v>
      </c>
    </row>
    <row r="526" spans="1:20">
      <c r="A526" s="226">
        <v>95721</v>
      </c>
      <c r="B526" s="227" t="s">
        <v>1232</v>
      </c>
      <c r="C526" s="87">
        <v>6.7600000000000003E-5</v>
      </c>
      <c r="D526" s="87">
        <v>6.6199999999999996E-5</v>
      </c>
      <c r="E526" s="231">
        <v>103274</v>
      </c>
      <c r="F526" s="231"/>
      <c r="G526" s="232">
        <v>5950</v>
      </c>
      <c r="H526" s="220">
        <v>25075</v>
      </c>
      <c r="I526" s="232">
        <v>14749</v>
      </c>
      <c r="J526" s="231">
        <v>0</v>
      </c>
      <c r="K526" s="220">
        <f t="shared" si="16"/>
        <v>45774</v>
      </c>
      <c r="L526" s="231"/>
      <c r="M526" s="232">
        <v>2923</v>
      </c>
      <c r="N526" s="232">
        <v>0</v>
      </c>
      <c r="O526" s="231">
        <v>9622</v>
      </c>
      <c r="P526" s="220">
        <f t="shared" si="17"/>
        <v>12545</v>
      </c>
      <c r="Q526" s="231"/>
      <c r="R526" s="232">
        <v>34803</v>
      </c>
      <c r="S526" s="233">
        <v>-4619</v>
      </c>
      <c r="T526" s="233">
        <f>30185-1</f>
        <v>30184</v>
      </c>
    </row>
    <row r="527" spans="1:20">
      <c r="A527" s="226">
        <v>95733</v>
      </c>
      <c r="B527" s="227" t="s">
        <v>1233</v>
      </c>
      <c r="C527" s="87">
        <v>1.5400000000000002E-5</v>
      </c>
      <c r="D527" s="87">
        <v>1.56E-5</v>
      </c>
      <c r="E527" s="231">
        <v>23527</v>
      </c>
      <c r="F527" s="231"/>
      <c r="G527" s="232">
        <v>1355</v>
      </c>
      <c r="H527" s="220">
        <v>5712</v>
      </c>
      <c r="I527" s="232">
        <v>3360</v>
      </c>
      <c r="J527" s="231">
        <v>581</v>
      </c>
      <c r="K527" s="220">
        <f t="shared" si="16"/>
        <v>11008</v>
      </c>
      <c r="L527" s="231"/>
      <c r="M527" s="232">
        <v>666</v>
      </c>
      <c r="N527" s="232">
        <v>0</v>
      </c>
      <c r="O527" s="231">
        <v>464</v>
      </c>
      <c r="P527" s="220">
        <f t="shared" si="17"/>
        <v>1130</v>
      </c>
      <c r="Q527" s="231"/>
      <c r="R527" s="232">
        <v>7929</v>
      </c>
      <c r="S527" s="233">
        <v>209</v>
      </c>
      <c r="T527" s="233">
        <v>8138</v>
      </c>
    </row>
    <row r="528" spans="1:20">
      <c r="A528" s="226">
        <v>95801</v>
      </c>
      <c r="B528" s="227" t="s">
        <v>1234</v>
      </c>
      <c r="C528" s="87">
        <v>9.6310000000000005E-4</v>
      </c>
      <c r="D528" s="87">
        <v>8.9349999999999998E-4</v>
      </c>
      <c r="E528" s="231">
        <v>1471350</v>
      </c>
      <c r="F528" s="231"/>
      <c r="G528" s="232">
        <v>84763</v>
      </c>
      <c r="H528" s="220">
        <v>357246</v>
      </c>
      <c r="I528" s="232">
        <v>210129</v>
      </c>
      <c r="J528" s="231">
        <v>62205</v>
      </c>
      <c r="K528" s="220">
        <f t="shared" si="16"/>
        <v>714343</v>
      </c>
      <c r="L528" s="231"/>
      <c r="M528" s="232">
        <v>41649</v>
      </c>
      <c r="N528" s="232">
        <v>0</v>
      </c>
      <c r="O528" s="231">
        <v>4103</v>
      </c>
      <c r="P528" s="220">
        <f t="shared" si="17"/>
        <v>45752</v>
      </c>
      <c r="Q528" s="231"/>
      <c r="R528" s="232">
        <v>495846</v>
      </c>
      <c r="S528" s="233">
        <v>14399</v>
      </c>
      <c r="T528" s="233">
        <v>510245</v>
      </c>
    </row>
    <row r="529" spans="1:20">
      <c r="A529" s="226">
        <v>95802</v>
      </c>
      <c r="B529" s="227" t="s">
        <v>1235</v>
      </c>
      <c r="C529" s="87">
        <v>6.1E-6</v>
      </c>
      <c r="D529" s="87">
        <v>6.8000000000000001E-6</v>
      </c>
      <c r="E529" s="231">
        <v>9319</v>
      </c>
      <c r="F529" s="231"/>
      <c r="G529" s="232">
        <v>537</v>
      </c>
      <c r="H529" s="220">
        <v>2263</v>
      </c>
      <c r="I529" s="232">
        <v>1331</v>
      </c>
      <c r="J529" s="231">
        <v>3297</v>
      </c>
      <c r="K529" s="220">
        <f t="shared" si="16"/>
        <v>7428</v>
      </c>
      <c r="L529" s="231"/>
      <c r="M529" s="232">
        <v>264</v>
      </c>
      <c r="N529" s="232">
        <v>0</v>
      </c>
      <c r="O529" s="231">
        <v>1248</v>
      </c>
      <c r="P529" s="220">
        <f t="shared" si="17"/>
        <v>1512</v>
      </c>
      <c r="Q529" s="231"/>
      <c r="R529" s="232">
        <v>3141</v>
      </c>
      <c r="S529" s="233">
        <v>-81</v>
      </c>
      <c r="T529" s="233">
        <v>3060</v>
      </c>
    </row>
    <row r="530" spans="1:20">
      <c r="A530" s="226">
        <v>95804</v>
      </c>
      <c r="B530" s="227" t="s">
        <v>1236</v>
      </c>
      <c r="C530" s="87">
        <v>2.19E-5</v>
      </c>
      <c r="D530" s="87">
        <v>1.63E-5</v>
      </c>
      <c r="E530" s="231">
        <v>33457</v>
      </c>
      <c r="F530" s="231"/>
      <c r="G530" s="232">
        <v>1927</v>
      </c>
      <c r="H530" s="220">
        <v>8123</v>
      </c>
      <c r="I530" s="232">
        <v>4778</v>
      </c>
      <c r="J530" s="231">
        <v>3631</v>
      </c>
      <c r="K530" s="220">
        <f t="shared" si="16"/>
        <v>18459</v>
      </c>
      <c r="L530" s="231"/>
      <c r="M530" s="232">
        <v>947</v>
      </c>
      <c r="N530" s="232">
        <v>0</v>
      </c>
      <c r="O530" s="231">
        <v>0</v>
      </c>
      <c r="P530" s="220">
        <f t="shared" si="17"/>
        <v>947</v>
      </c>
      <c r="Q530" s="231"/>
      <c r="R530" s="232">
        <v>11275</v>
      </c>
      <c r="S530" s="233">
        <v>1628</v>
      </c>
      <c r="T530" s="233">
        <f>12904-1</f>
        <v>12903</v>
      </c>
    </row>
    <row r="531" spans="1:20">
      <c r="A531" s="226">
        <v>95811</v>
      </c>
      <c r="B531" s="227" t="s">
        <v>1237</v>
      </c>
      <c r="C531" s="87">
        <v>5.3129999999999996E-4</v>
      </c>
      <c r="D531" s="87">
        <v>5.3410000000000003E-4</v>
      </c>
      <c r="E531" s="231">
        <v>811679</v>
      </c>
      <c r="F531" s="231"/>
      <c r="G531" s="232">
        <v>46760</v>
      </c>
      <c r="H531" s="220">
        <v>197076</v>
      </c>
      <c r="I531" s="232">
        <v>115919</v>
      </c>
      <c r="J531" s="231">
        <v>1678</v>
      </c>
      <c r="K531" s="220">
        <f t="shared" si="16"/>
        <v>361433</v>
      </c>
      <c r="L531" s="231"/>
      <c r="M531" s="232">
        <v>22976</v>
      </c>
      <c r="N531" s="232">
        <v>0</v>
      </c>
      <c r="O531" s="231">
        <v>5329</v>
      </c>
      <c r="P531" s="220">
        <f t="shared" si="17"/>
        <v>28305</v>
      </c>
      <c r="Q531" s="231"/>
      <c r="R531" s="232">
        <v>273537</v>
      </c>
      <c r="S531" s="233">
        <v>-1501</v>
      </c>
      <c r="T531" s="233">
        <f>272035+1</f>
        <v>272036</v>
      </c>
    </row>
    <row r="532" spans="1:20">
      <c r="A532" s="226">
        <v>95813</v>
      </c>
      <c r="B532" s="227" t="s">
        <v>1238</v>
      </c>
      <c r="C532" s="87">
        <v>4.88E-5</v>
      </c>
      <c r="D532" s="87">
        <v>4.4400000000000002E-5</v>
      </c>
      <c r="E532" s="231">
        <v>74553</v>
      </c>
      <c r="F532" s="231"/>
      <c r="G532" s="232">
        <v>4295</v>
      </c>
      <c r="H532" s="220">
        <v>18101</v>
      </c>
      <c r="I532" s="232">
        <v>10647</v>
      </c>
      <c r="J532" s="231">
        <v>72000</v>
      </c>
      <c r="K532" s="220">
        <f t="shared" si="16"/>
        <v>105043</v>
      </c>
      <c r="L532" s="231"/>
      <c r="M532" s="232">
        <v>2110</v>
      </c>
      <c r="N532" s="232">
        <v>0</v>
      </c>
      <c r="O532" s="231">
        <v>0</v>
      </c>
      <c r="P532" s="220">
        <f t="shared" si="17"/>
        <v>2110</v>
      </c>
      <c r="Q532" s="231"/>
      <c r="R532" s="232">
        <v>25124</v>
      </c>
      <c r="S532" s="233">
        <v>24457</v>
      </c>
      <c r="T532" s="233">
        <v>49581</v>
      </c>
    </row>
    <row r="533" spans="1:20">
      <c r="A533" s="226">
        <v>95821</v>
      </c>
      <c r="B533" s="227" t="s">
        <v>1239</v>
      </c>
      <c r="C533" s="87">
        <v>0</v>
      </c>
      <c r="D533" s="87">
        <v>1.7E-6</v>
      </c>
      <c r="E533" s="231">
        <v>0</v>
      </c>
      <c r="F533" s="231"/>
      <c r="G533" s="232">
        <v>0</v>
      </c>
      <c r="H533" s="220">
        <v>0</v>
      </c>
      <c r="I533" s="232">
        <v>0</v>
      </c>
      <c r="J533" s="231">
        <v>1293</v>
      </c>
      <c r="K533" s="220">
        <f t="shared" si="16"/>
        <v>1293</v>
      </c>
      <c r="L533" s="231"/>
      <c r="M533" s="232">
        <v>0</v>
      </c>
      <c r="N533" s="232">
        <v>0</v>
      </c>
      <c r="O533" s="231">
        <v>652</v>
      </c>
      <c r="P533" s="220">
        <f t="shared" si="17"/>
        <v>652</v>
      </c>
      <c r="Q533" s="231"/>
      <c r="R533" s="232">
        <v>0</v>
      </c>
      <c r="S533" s="233">
        <v>460</v>
      </c>
      <c r="T533" s="233">
        <v>460</v>
      </c>
    </row>
    <row r="534" spans="1:20">
      <c r="A534" s="226">
        <v>95831</v>
      </c>
      <c r="B534" s="227" t="s">
        <v>1240</v>
      </c>
      <c r="C534" s="87">
        <v>1.6799999999999998E-5</v>
      </c>
      <c r="D534" s="87">
        <v>1.36E-5</v>
      </c>
      <c r="E534" s="231">
        <v>25666</v>
      </c>
      <c r="F534" s="231"/>
      <c r="G534" s="232">
        <v>1479</v>
      </c>
      <c r="H534" s="220">
        <v>6232</v>
      </c>
      <c r="I534" s="232">
        <v>3665</v>
      </c>
      <c r="J534" s="231">
        <v>23962</v>
      </c>
      <c r="K534" s="220">
        <f t="shared" si="16"/>
        <v>35338</v>
      </c>
      <c r="L534" s="231"/>
      <c r="M534" s="232">
        <v>727</v>
      </c>
      <c r="N534" s="232">
        <v>0</v>
      </c>
      <c r="O534" s="231">
        <v>0</v>
      </c>
      <c r="P534" s="220">
        <f t="shared" si="17"/>
        <v>727</v>
      </c>
      <c r="Q534" s="231"/>
      <c r="R534" s="232">
        <v>8649</v>
      </c>
      <c r="S534" s="233">
        <v>8068</v>
      </c>
      <c r="T534" s="233">
        <v>16717</v>
      </c>
    </row>
    <row r="535" spans="1:20">
      <c r="A535" s="226">
        <v>95841</v>
      </c>
      <c r="B535" s="227" t="s">
        <v>1241</v>
      </c>
      <c r="C535" s="87">
        <v>2.0999999999999999E-5</v>
      </c>
      <c r="D535" s="87">
        <v>2.1100000000000001E-5</v>
      </c>
      <c r="E535" s="231">
        <v>32082</v>
      </c>
      <c r="F535" s="231"/>
      <c r="G535" s="232">
        <v>1848</v>
      </c>
      <c r="H535" s="220">
        <v>7790</v>
      </c>
      <c r="I535" s="232">
        <v>4582</v>
      </c>
      <c r="J535" s="231">
        <v>2103</v>
      </c>
      <c r="K535" s="220">
        <f t="shared" si="16"/>
        <v>16323</v>
      </c>
      <c r="L535" s="231"/>
      <c r="M535" s="232">
        <v>908</v>
      </c>
      <c r="N535" s="232">
        <v>0</v>
      </c>
      <c r="O535" s="231">
        <v>0</v>
      </c>
      <c r="P535" s="220">
        <f t="shared" si="17"/>
        <v>908</v>
      </c>
      <c r="Q535" s="231"/>
      <c r="R535" s="232">
        <v>10812</v>
      </c>
      <c r="S535" s="233">
        <v>817</v>
      </c>
      <c r="T535" s="233">
        <v>11629</v>
      </c>
    </row>
    <row r="536" spans="1:20">
      <c r="A536" s="226">
        <v>95851</v>
      </c>
      <c r="B536" s="227" t="s">
        <v>1242</v>
      </c>
      <c r="C536" s="87">
        <v>1.327E-4</v>
      </c>
      <c r="D536" s="87">
        <v>1.3009999999999999E-4</v>
      </c>
      <c r="E536" s="231">
        <v>202729</v>
      </c>
      <c r="F536" s="231"/>
      <c r="G536" s="232">
        <v>11679</v>
      </c>
      <c r="H536" s="220">
        <v>49223</v>
      </c>
      <c r="I536" s="232">
        <v>28952</v>
      </c>
      <c r="J536" s="231">
        <v>130637</v>
      </c>
      <c r="K536" s="220">
        <f t="shared" si="16"/>
        <v>220491</v>
      </c>
      <c r="L536" s="231"/>
      <c r="M536" s="232">
        <v>5739</v>
      </c>
      <c r="N536" s="232">
        <v>0</v>
      </c>
      <c r="O536" s="231">
        <v>4180</v>
      </c>
      <c r="P536" s="220">
        <f t="shared" si="17"/>
        <v>9919</v>
      </c>
      <c r="Q536" s="231"/>
      <c r="R536" s="232">
        <v>68320</v>
      </c>
      <c r="S536" s="233">
        <v>39831</v>
      </c>
      <c r="T536" s="233">
        <v>108151</v>
      </c>
    </row>
    <row r="537" spans="1:20">
      <c r="A537" s="226">
        <v>95853</v>
      </c>
      <c r="B537" s="227" t="s">
        <v>1243</v>
      </c>
      <c r="C537" s="87">
        <v>2.69E-5</v>
      </c>
      <c r="D537" s="87">
        <v>2.4000000000000001E-5</v>
      </c>
      <c r="E537" s="231">
        <v>41096</v>
      </c>
      <c r="F537" s="231"/>
      <c r="G537" s="232">
        <v>2367</v>
      </c>
      <c r="H537" s="220">
        <v>9978</v>
      </c>
      <c r="I537" s="232">
        <v>5869</v>
      </c>
      <c r="J537" s="231">
        <v>8793</v>
      </c>
      <c r="K537" s="220">
        <f t="shared" si="16"/>
        <v>27007</v>
      </c>
      <c r="L537" s="231"/>
      <c r="M537" s="232">
        <v>1163</v>
      </c>
      <c r="N537" s="232">
        <v>0</v>
      </c>
      <c r="O537" s="231">
        <v>0</v>
      </c>
      <c r="P537" s="220">
        <f t="shared" si="17"/>
        <v>1163</v>
      </c>
      <c r="Q537" s="231"/>
      <c r="R537" s="232">
        <v>13849</v>
      </c>
      <c r="S537" s="233">
        <v>3675</v>
      </c>
      <c r="T537" s="233">
        <f>17525-1</f>
        <v>17524</v>
      </c>
    </row>
    <row r="538" spans="1:20">
      <c r="A538" s="226">
        <v>95901</v>
      </c>
      <c r="B538" s="227" t="s">
        <v>1244</v>
      </c>
      <c r="C538" s="87">
        <v>1.8714999999999999E-3</v>
      </c>
      <c r="D538" s="87">
        <v>1.8266999999999999E-3</v>
      </c>
      <c r="E538" s="231">
        <v>2859134</v>
      </c>
      <c r="F538" s="231"/>
      <c r="G538" s="232">
        <v>164713</v>
      </c>
      <c r="H538" s="220">
        <v>694201</v>
      </c>
      <c r="I538" s="232">
        <v>408324</v>
      </c>
      <c r="J538" s="231">
        <v>36652</v>
      </c>
      <c r="K538" s="220">
        <f t="shared" si="16"/>
        <v>1303890</v>
      </c>
      <c r="L538" s="231"/>
      <c r="M538" s="232">
        <v>80933</v>
      </c>
      <c r="N538" s="232">
        <v>0</v>
      </c>
      <c r="O538" s="231">
        <v>13191</v>
      </c>
      <c r="P538" s="220">
        <f t="shared" si="17"/>
        <v>94124</v>
      </c>
      <c r="Q538" s="231"/>
      <c r="R538" s="232">
        <v>963531</v>
      </c>
      <c r="S538" s="233">
        <v>28466</v>
      </c>
      <c r="T538" s="233">
        <v>991997</v>
      </c>
    </row>
    <row r="539" spans="1:20">
      <c r="A539" s="226">
        <v>95908</v>
      </c>
      <c r="B539" s="227" t="s">
        <v>1245</v>
      </c>
      <c r="C539" s="87">
        <v>7.2200000000000007E-5</v>
      </c>
      <c r="D539" s="87">
        <v>7.2000000000000002E-5</v>
      </c>
      <c r="E539" s="231">
        <v>110302</v>
      </c>
      <c r="F539" s="231"/>
      <c r="G539" s="232">
        <v>6354</v>
      </c>
      <c r="H539" s="220">
        <v>26781</v>
      </c>
      <c r="I539" s="232">
        <v>15753</v>
      </c>
      <c r="J539" s="231">
        <v>0</v>
      </c>
      <c r="K539" s="220">
        <f t="shared" si="16"/>
        <v>48888</v>
      </c>
      <c r="L539" s="231"/>
      <c r="M539" s="232">
        <v>3122</v>
      </c>
      <c r="N539" s="232">
        <v>0</v>
      </c>
      <c r="O539" s="231">
        <v>22164</v>
      </c>
      <c r="P539" s="220">
        <f t="shared" si="17"/>
        <v>25286</v>
      </c>
      <c r="Q539" s="231"/>
      <c r="R539" s="232">
        <v>37172</v>
      </c>
      <c r="S539" s="233">
        <v>-10736</v>
      </c>
      <c r="T539" s="233">
        <v>26436</v>
      </c>
    </row>
    <row r="540" spans="1:20">
      <c r="A540" s="226">
        <v>95911</v>
      </c>
      <c r="B540" s="227" t="s">
        <v>1246</v>
      </c>
      <c r="C540" s="87">
        <v>5.7450000000000003E-4</v>
      </c>
      <c r="D540" s="87">
        <v>5.6979999999999997E-4</v>
      </c>
      <c r="E540" s="231">
        <v>877677</v>
      </c>
      <c r="F540" s="231"/>
      <c r="G540" s="232">
        <v>50562</v>
      </c>
      <c r="H540" s="220">
        <v>213101</v>
      </c>
      <c r="I540" s="232">
        <v>125344</v>
      </c>
      <c r="J540" s="231">
        <v>2898</v>
      </c>
      <c r="K540" s="220">
        <f t="shared" si="16"/>
        <v>391905</v>
      </c>
      <c r="L540" s="231"/>
      <c r="M540" s="232">
        <v>24844</v>
      </c>
      <c r="N540" s="232">
        <v>0</v>
      </c>
      <c r="O540" s="231">
        <v>40952</v>
      </c>
      <c r="P540" s="220">
        <f t="shared" si="17"/>
        <v>65796</v>
      </c>
      <c r="Q540" s="231"/>
      <c r="R540" s="232">
        <v>295778</v>
      </c>
      <c r="S540" s="233">
        <v>-14076</v>
      </c>
      <c r="T540" s="233">
        <v>281702</v>
      </c>
    </row>
    <row r="541" spans="1:20">
      <c r="A541" s="226">
        <v>95917</v>
      </c>
      <c r="B541" s="227" t="s">
        <v>1247</v>
      </c>
      <c r="C541" s="87">
        <v>2.6699999999999998E-5</v>
      </c>
      <c r="D541" s="87">
        <v>2.2399999999999999E-5</v>
      </c>
      <c r="E541" s="231">
        <v>40790</v>
      </c>
      <c r="F541" s="231"/>
      <c r="G541" s="232">
        <v>2350</v>
      </c>
      <c r="H541" s="220">
        <v>9904</v>
      </c>
      <c r="I541" s="232">
        <v>5825</v>
      </c>
      <c r="J541" s="231">
        <v>4378</v>
      </c>
      <c r="K541" s="220">
        <f t="shared" si="16"/>
        <v>22457</v>
      </c>
      <c r="L541" s="231"/>
      <c r="M541" s="232">
        <v>1155</v>
      </c>
      <c r="N541" s="232">
        <v>0</v>
      </c>
      <c r="O541" s="231">
        <v>501</v>
      </c>
      <c r="P541" s="220">
        <f t="shared" si="17"/>
        <v>1656</v>
      </c>
      <c r="Q541" s="231"/>
      <c r="R541" s="232">
        <v>13746</v>
      </c>
      <c r="S541" s="233">
        <v>2216</v>
      </c>
      <c r="T541" s="233">
        <v>15962</v>
      </c>
    </row>
    <row r="542" spans="1:20">
      <c r="A542" s="226">
        <v>95921</v>
      </c>
      <c r="B542" s="227" t="s">
        <v>1248</v>
      </c>
      <c r="C542" s="87">
        <v>4.7500000000000003E-5</v>
      </c>
      <c r="D542" s="87">
        <v>4.4700000000000002E-5</v>
      </c>
      <c r="E542" s="231">
        <v>72567</v>
      </c>
      <c r="F542" s="231"/>
      <c r="G542" s="232">
        <v>4181</v>
      </c>
      <c r="H542" s="220">
        <v>17619</v>
      </c>
      <c r="I542" s="232">
        <v>10364</v>
      </c>
      <c r="J542" s="231">
        <v>3925</v>
      </c>
      <c r="K542" s="220">
        <f t="shared" si="16"/>
        <v>36089</v>
      </c>
      <c r="L542" s="231"/>
      <c r="M542" s="232">
        <v>2054</v>
      </c>
      <c r="N542" s="232">
        <v>0</v>
      </c>
      <c r="O542" s="231">
        <v>948</v>
      </c>
      <c r="P542" s="220">
        <f t="shared" si="17"/>
        <v>3002</v>
      </c>
      <c r="Q542" s="231"/>
      <c r="R542" s="232">
        <v>24455</v>
      </c>
      <c r="S542" s="233">
        <v>526</v>
      </c>
      <c r="T542" s="233">
        <v>24981</v>
      </c>
    </row>
    <row r="543" spans="1:20">
      <c r="A543" s="226">
        <v>96001</v>
      </c>
      <c r="B543" s="227" t="s">
        <v>1249</v>
      </c>
      <c r="C543" s="87">
        <v>4.4386399999999999E-2</v>
      </c>
      <c r="D543" s="87">
        <v>4.43519E-2</v>
      </c>
      <c r="E543" s="231">
        <v>67810124</v>
      </c>
      <c r="F543" s="231"/>
      <c r="G543" s="232">
        <v>3906491</v>
      </c>
      <c r="H543" s="220">
        <v>16464380</v>
      </c>
      <c r="I543" s="232">
        <v>9684225</v>
      </c>
      <c r="J543" s="231">
        <v>1457342</v>
      </c>
      <c r="K543" s="220">
        <f t="shared" si="16"/>
        <v>31512438</v>
      </c>
      <c r="L543" s="231"/>
      <c r="M543" s="232">
        <v>1919490</v>
      </c>
      <c r="N543" s="232">
        <v>0</v>
      </c>
      <c r="O543" s="231">
        <v>477903</v>
      </c>
      <c r="P543" s="220">
        <f t="shared" si="17"/>
        <v>2397393</v>
      </c>
      <c r="Q543" s="231"/>
      <c r="R543" s="232">
        <v>22852072</v>
      </c>
      <c r="S543" s="233">
        <v>1208760</v>
      </c>
      <c r="T543" s="233">
        <v>24060832</v>
      </c>
    </row>
    <row r="544" spans="1:20">
      <c r="A544" s="226">
        <v>96003</v>
      </c>
      <c r="B544" s="227" t="s">
        <v>1250</v>
      </c>
      <c r="C544" s="87">
        <v>1.6523E-3</v>
      </c>
      <c r="D544" s="87">
        <v>1.7309000000000001E-3</v>
      </c>
      <c r="E544" s="231">
        <v>2524257</v>
      </c>
      <c r="F544" s="231"/>
      <c r="G544" s="232">
        <v>145421</v>
      </c>
      <c r="H544" s="220">
        <v>612893</v>
      </c>
      <c r="I544" s="232">
        <v>360499</v>
      </c>
      <c r="J544" s="231">
        <v>3089</v>
      </c>
      <c r="K544" s="220">
        <f t="shared" si="16"/>
        <v>1121902</v>
      </c>
      <c r="L544" s="231"/>
      <c r="M544" s="232">
        <v>71454</v>
      </c>
      <c r="N544" s="232">
        <v>0</v>
      </c>
      <c r="O544" s="231">
        <v>135978</v>
      </c>
      <c r="P544" s="220">
        <f t="shared" si="17"/>
        <v>207432</v>
      </c>
      <c r="Q544" s="231"/>
      <c r="R544" s="232">
        <v>850677</v>
      </c>
      <c r="S544" s="233">
        <v>-56030</v>
      </c>
      <c r="T544" s="233">
        <v>794647</v>
      </c>
    </row>
    <row r="545" spans="1:20">
      <c r="A545" s="226">
        <v>96004</v>
      </c>
      <c r="B545" s="227" t="s">
        <v>1251</v>
      </c>
      <c r="C545" s="87">
        <v>8.9439999999999995E-4</v>
      </c>
      <c r="D545" s="87">
        <v>8.7699999999999996E-4</v>
      </c>
      <c r="E545" s="231">
        <v>1366395</v>
      </c>
      <c r="F545" s="231"/>
      <c r="G545" s="232">
        <v>78717</v>
      </c>
      <c r="H545" s="220">
        <v>331762</v>
      </c>
      <c r="I545" s="232">
        <v>195140</v>
      </c>
      <c r="J545" s="231">
        <v>149546</v>
      </c>
      <c r="K545" s="220">
        <f t="shared" si="16"/>
        <v>755165</v>
      </c>
      <c r="L545" s="231"/>
      <c r="M545" s="232">
        <v>38678</v>
      </c>
      <c r="N545" s="232">
        <v>0</v>
      </c>
      <c r="O545" s="231">
        <v>0</v>
      </c>
      <c r="P545" s="220">
        <f t="shared" si="17"/>
        <v>38678</v>
      </c>
      <c r="Q545" s="231"/>
      <c r="R545" s="232">
        <v>460476</v>
      </c>
      <c r="S545" s="233">
        <v>65505</v>
      </c>
      <c r="T545" s="233">
        <f>525982-1</f>
        <v>525981</v>
      </c>
    </row>
    <row r="546" spans="1:20">
      <c r="A546" s="226">
        <v>96005</v>
      </c>
      <c r="B546" s="227" t="s">
        <v>1252</v>
      </c>
      <c r="C546" s="87">
        <v>2.6733999999999998E-3</v>
      </c>
      <c r="D546" s="87">
        <v>2.6457E-3</v>
      </c>
      <c r="E546" s="231">
        <v>4084215</v>
      </c>
      <c r="F546" s="231"/>
      <c r="G546" s="232">
        <v>235289</v>
      </c>
      <c r="H546" s="220">
        <v>991653</v>
      </c>
      <c r="I546" s="232">
        <v>583282</v>
      </c>
      <c r="J546" s="231">
        <v>222285</v>
      </c>
      <c r="K546" s="220">
        <f t="shared" si="16"/>
        <v>2032509</v>
      </c>
      <c r="L546" s="231"/>
      <c r="M546" s="232">
        <v>115611</v>
      </c>
      <c r="N546" s="232">
        <v>0</v>
      </c>
      <c r="O546" s="231">
        <v>0</v>
      </c>
      <c r="P546" s="220">
        <f t="shared" si="17"/>
        <v>115611</v>
      </c>
      <c r="Q546" s="231"/>
      <c r="R546" s="232">
        <v>1376384</v>
      </c>
      <c r="S546" s="233">
        <v>159087</v>
      </c>
      <c r="T546" s="233">
        <v>1535471</v>
      </c>
    </row>
    <row r="547" spans="1:20">
      <c r="A547" s="226">
        <v>96008</v>
      </c>
      <c r="B547" s="227" t="s">
        <v>1253</v>
      </c>
      <c r="C547" s="87">
        <v>5.9955E-3</v>
      </c>
      <c r="D547" s="87">
        <v>5.9388000000000002E-3</v>
      </c>
      <c r="E547" s="231">
        <v>9159463</v>
      </c>
      <c r="F547" s="231"/>
      <c r="G547" s="232">
        <v>527670</v>
      </c>
      <c r="H547" s="220">
        <v>2223929</v>
      </c>
      <c r="I547" s="232">
        <v>1308098</v>
      </c>
      <c r="J547" s="231">
        <v>0</v>
      </c>
      <c r="K547" s="220">
        <f t="shared" si="16"/>
        <v>4059697</v>
      </c>
      <c r="L547" s="231"/>
      <c r="M547" s="232">
        <v>259275</v>
      </c>
      <c r="N547" s="232">
        <v>0</v>
      </c>
      <c r="O547" s="231">
        <v>767021</v>
      </c>
      <c r="P547" s="220">
        <f t="shared" si="17"/>
        <v>1026296</v>
      </c>
      <c r="Q547" s="231"/>
      <c r="R547" s="232">
        <v>3086747</v>
      </c>
      <c r="S547" s="233">
        <v>-274630</v>
      </c>
      <c r="T547" s="233">
        <v>2812117</v>
      </c>
    </row>
    <row r="548" spans="1:20">
      <c r="A548" s="226">
        <v>96009</v>
      </c>
      <c r="B548" s="227" t="s">
        <v>1254</v>
      </c>
      <c r="C548" s="87">
        <v>3.7609999999999998E-4</v>
      </c>
      <c r="D548" s="87">
        <v>3.5980000000000002E-4</v>
      </c>
      <c r="E548" s="231">
        <v>574577</v>
      </c>
      <c r="F548" s="231"/>
      <c r="G548" s="232">
        <v>33101</v>
      </c>
      <c r="H548" s="220">
        <v>139508</v>
      </c>
      <c r="I548" s="232">
        <v>82057</v>
      </c>
      <c r="J548" s="231">
        <v>33181</v>
      </c>
      <c r="K548" s="220">
        <f t="shared" si="16"/>
        <v>287847</v>
      </c>
      <c r="L548" s="231"/>
      <c r="M548" s="232">
        <v>16264</v>
      </c>
      <c r="N548" s="232">
        <v>0</v>
      </c>
      <c r="O548" s="231">
        <v>2595</v>
      </c>
      <c r="P548" s="220">
        <f t="shared" si="17"/>
        <v>18859</v>
      </c>
      <c r="Q548" s="231"/>
      <c r="R548" s="232">
        <v>193633</v>
      </c>
      <c r="S548" s="233">
        <v>11508</v>
      </c>
      <c r="T548" s="233">
        <v>205141</v>
      </c>
    </row>
    <row r="549" spans="1:20">
      <c r="A549" s="226">
        <v>96011</v>
      </c>
      <c r="B549" s="227" t="s">
        <v>1255</v>
      </c>
      <c r="C549" s="87">
        <v>6.1150400000000001E-2</v>
      </c>
      <c r="D549" s="87">
        <v>6.0489000000000001E-2</v>
      </c>
      <c r="E549" s="231">
        <v>93420873</v>
      </c>
      <c r="F549" s="231"/>
      <c r="G549" s="232">
        <v>5381908</v>
      </c>
      <c r="H549" s="220">
        <v>22682701</v>
      </c>
      <c r="I549" s="232">
        <v>13341794</v>
      </c>
      <c r="J549" s="231">
        <v>796221</v>
      </c>
      <c r="K549" s="220">
        <f t="shared" si="16"/>
        <v>42202624</v>
      </c>
      <c r="L549" s="231"/>
      <c r="M549" s="232">
        <v>2644449</v>
      </c>
      <c r="N549" s="232">
        <v>0</v>
      </c>
      <c r="O549" s="231">
        <v>51460</v>
      </c>
      <c r="P549" s="220">
        <f t="shared" si="17"/>
        <v>2695909</v>
      </c>
      <c r="Q549" s="231"/>
      <c r="R549" s="232">
        <v>31482917</v>
      </c>
      <c r="S549" s="233">
        <v>212508</v>
      </c>
      <c r="T549" s="233">
        <v>31695425</v>
      </c>
    </row>
    <row r="550" spans="1:20">
      <c r="A550" s="226">
        <v>96012</v>
      </c>
      <c r="B550" s="227" t="s">
        <v>1256</v>
      </c>
      <c r="C550" s="87">
        <v>2.4417000000000002E-3</v>
      </c>
      <c r="D550" s="87">
        <v>2.4095000000000002E-3</v>
      </c>
      <c r="E550" s="231">
        <v>3730241</v>
      </c>
      <c r="F550" s="231"/>
      <c r="G550" s="232">
        <v>214896</v>
      </c>
      <c r="H550" s="220">
        <v>905707</v>
      </c>
      <c r="I550" s="232">
        <v>532730</v>
      </c>
      <c r="J550" s="231">
        <v>77080</v>
      </c>
      <c r="K550" s="220">
        <f t="shared" si="16"/>
        <v>1730413</v>
      </c>
      <c r="L550" s="231"/>
      <c r="M550" s="232">
        <v>105591</v>
      </c>
      <c r="N550" s="232">
        <v>0</v>
      </c>
      <c r="O550" s="231">
        <v>937</v>
      </c>
      <c r="P550" s="220">
        <f t="shared" si="17"/>
        <v>106528</v>
      </c>
      <c r="Q550" s="231"/>
      <c r="R550" s="232">
        <v>1257095</v>
      </c>
      <c r="S550" s="233">
        <v>35595</v>
      </c>
      <c r="T550" s="233">
        <v>1292690</v>
      </c>
    </row>
    <row r="551" spans="1:20">
      <c r="A551" s="226">
        <v>96018</v>
      </c>
      <c r="B551" s="227" t="s">
        <v>1257</v>
      </c>
      <c r="C551" s="87">
        <v>4.3600000000000003E-5</v>
      </c>
      <c r="D551" s="87">
        <v>3.6199999999999999E-5</v>
      </c>
      <c r="E551" s="231">
        <v>66609</v>
      </c>
      <c r="F551" s="231"/>
      <c r="G551" s="232">
        <v>3837</v>
      </c>
      <c r="H551" s="220">
        <v>16173</v>
      </c>
      <c r="I551" s="232">
        <v>9513</v>
      </c>
      <c r="J551" s="231">
        <v>9704</v>
      </c>
      <c r="K551" s="220">
        <f t="shared" si="16"/>
        <v>39227</v>
      </c>
      <c r="L551" s="231"/>
      <c r="M551" s="232">
        <v>1885</v>
      </c>
      <c r="N551" s="232">
        <v>0</v>
      </c>
      <c r="O551" s="231">
        <v>0</v>
      </c>
      <c r="P551" s="220">
        <f t="shared" si="17"/>
        <v>1885</v>
      </c>
      <c r="Q551" s="231"/>
      <c r="R551" s="232">
        <v>22447</v>
      </c>
      <c r="S551" s="233">
        <v>5913</v>
      </c>
      <c r="T551" s="233">
        <v>28360</v>
      </c>
    </row>
    <row r="552" spans="1:20">
      <c r="A552" s="226">
        <v>96021</v>
      </c>
      <c r="B552" s="227" t="s">
        <v>1258</v>
      </c>
      <c r="C552" s="87">
        <v>7.2090000000000001E-4</v>
      </c>
      <c r="D552" s="87">
        <v>8.5829999999999999E-4</v>
      </c>
      <c r="E552" s="231">
        <v>1101336</v>
      </c>
      <c r="F552" s="231"/>
      <c r="G552" s="232">
        <v>63447</v>
      </c>
      <c r="H552" s="220">
        <v>267406</v>
      </c>
      <c r="I552" s="232">
        <v>157286</v>
      </c>
      <c r="J552" s="231">
        <v>31959</v>
      </c>
      <c r="K552" s="220">
        <f t="shared" si="16"/>
        <v>520098</v>
      </c>
      <c r="L552" s="231"/>
      <c r="M552" s="232">
        <v>31175</v>
      </c>
      <c r="N552" s="232">
        <v>0</v>
      </c>
      <c r="O552" s="231">
        <v>119309</v>
      </c>
      <c r="P552" s="220">
        <f t="shared" si="17"/>
        <v>150484</v>
      </c>
      <c r="Q552" s="231"/>
      <c r="R552" s="232">
        <v>371151</v>
      </c>
      <c r="S552" s="233">
        <v>-13869</v>
      </c>
      <c r="T552" s="233">
        <v>357282</v>
      </c>
    </row>
    <row r="553" spans="1:20">
      <c r="A553" s="226">
        <v>96031</v>
      </c>
      <c r="B553" s="227" t="s">
        <v>1259</v>
      </c>
      <c r="C553" s="87">
        <v>8.2580000000000001E-4</v>
      </c>
      <c r="D553" s="87">
        <v>9.0189999999999997E-4</v>
      </c>
      <c r="E553" s="231">
        <v>1261594</v>
      </c>
      <c r="F553" s="231"/>
      <c r="G553" s="232">
        <v>72679</v>
      </c>
      <c r="H553" s="220">
        <v>306317</v>
      </c>
      <c r="I553" s="232">
        <v>180173</v>
      </c>
      <c r="J553" s="231">
        <v>0</v>
      </c>
      <c r="K553" s="220">
        <f t="shared" si="16"/>
        <v>559169</v>
      </c>
      <c r="L553" s="231"/>
      <c r="M553" s="232">
        <v>35712</v>
      </c>
      <c r="N553" s="232">
        <v>0</v>
      </c>
      <c r="O553" s="231">
        <v>179263</v>
      </c>
      <c r="P553" s="220">
        <f t="shared" si="17"/>
        <v>214975</v>
      </c>
      <c r="Q553" s="231"/>
      <c r="R553" s="232">
        <v>425158</v>
      </c>
      <c r="S553" s="233">
        <v>-74461</v>
      </c>
      <c r="T553" s="233">
        <v>350697</v>
      </c>
    </row>
    <row r="554" spans="1:20">
      <c r="A554" s="226">
        <v>96041</v>
      </c>
      <c r="B554" s="227" t="s">
        <v>1260</v>
      </c>
      <c r="C554" s="87">
        <v>1.7361E-3</v>
      </c>
      <c r="D554" s="87">
        <v>1.7323E-3</v>
      </c>
      <c r="E554" s="231">
        <v>2652280</v>
      </c>
      <c r="F554" s="231"/>
      <c r="G554" s="232">
        <v>152796</v>
      </c>
      <c r="H554" s="220">
        <v>643977</v>
      </c>
      <c r="I554" s="232">
        <v>378782</v>
      </c>
      <c r="J554" s="231">
        <v>0</v>
      </c>
      <c r="K554" s="220">
        <f t="shared" si="16"/>
        <v>1175555</v>
      </c>
      <c r="L554" s="231"/>
      <c r="M554" s="232">
        <v>75078</v>
      </c>
      <c r="N554" s="232">
        <v>0</v>
      </c>
      <c r="O554" s="231">
        <v>139404</v>
      </c>
      <c r="P554" s="220">
        <f t="shared" si="17"/>
        <v>214482</v>
      </c>
      <c r="Q554" s="231"/>
      <c r="R554" s="232">
        <v>893821</v>
      </c>
      <c r="S554" s="233">
        <v>-60075</v>
      </c>
      <c r="T554" s="233">
        <v>833746</v>
      </c>
    </row>
    <row r="555" spans="1:20">
      <c r="A555" s="226">
        <v>96051</v>
      </c>
      <c r="B555" s="227" t="s">
        <v>1261</v>
      </c>
      <c r="C555" s="87">
        <v>1.0062000000000001E-3</v>
      </c>
      <c r="D555" s="87">
        <v>1.0258000000000001E-3</v>
      </c>
      <c r="E555" s="231">
        <v>1537195</v>
      </c>
      <c r="F555" s="231"/>
      <c r="G555" s="232">
        <v>88557</v>
      </c>
      <c r="H555" s="220">
        <v>373233</v>
      </c>
      <c r="I555" s="232">
        <v>219533</v>
      </c>
      <c r="J555" s="231">
        <v>0</v>
      </c>
      <c r="K555" s="220">
        <f t="shared" si="16"/>
        <v>681323</v>
      </c>
      <c r="L555" s="231"/>
      <c r="M555" s="232">
        <v>43513</v>
      </c>
      <c r="N555" s="232">
        <v>0</v>
      </c>
      <c r="O555" s="231">
        <v>109605</v>
      </c>
      <c r="P555" s="220">
        <f t="shared" si="17"/>
        <v>153118</v>
      </c>
      <c r="Q555" s="231"/>
      <c r="R555" s="232">
        <v>518036</v>
      </c>
      <c r="S555" s="233">
        <v>-44751</v>
      </c>
      <c r="T555" s="233">
        <v>473285</v>
      </c>
    </row>
    <row r="556" spans="1:20">
      <c r="A556" s="226">
        <v>96061</v>
      </c>
      <c r="B556" s="227" t="s">
        <v>1262</v>
      </c>
      <c r="C556" s="87">
        <v>3.3950000000000001E-4</v>
      </c>
      <c r="D556" s="87">
        <v>3.0800000000000001E-4</v>
      </c>
      <c r="E556" s="231">
        <v>518662</v>
      </c>
      <c r="F556" s="231"/>
      <c r="G556" s="232">
        <v>29880</v>
      </c>
      <c r="H556" s="220">
        <v>125932</v>
      </c>
      <c r="I556" s="232">
        <v>74072</v>
      </c>
      <c r="J556" s="231">
        <v>21868</v>
      </c>
      <c r="K556" s="220">
        <f t="shared" si="16"/>
        <v>251752</v>
      </c>
      <c r="L556" s="231"/>
      <c r="M556" s="232">
        <v>14682</v>
      </c>
      <c r="N556" s="232">
        <v>0</v>
      </c>
      <c r="O556" s="231">
        <v>7447</v>
      </c>
      <c r="P556" s="220">
        <f t="shared" si="17"/>
        <v>22129</v>
      </c>
      <c r="Q556" s="231"/>
      <c r="R556" s="232">
        <v>174790</v>
      </c>
      <c r="S556" s="233">
        <v>2241</v>
      </c>
      <c r="T556" s="233">
        <v>177031</v>
      </c>
    </row>
    <row r="557" spans="1:20">
      <c r="A557" s="226">
        <v>96071</v>
      </c>
      <c r="B557" s="227" t="s">
        <v>1263</v>
      </c>
      <c r="C557" s="87">
        <v>1.1367E-3</v>
      </c>
      <c r="D557" s="87">
        <v>1.1280999999999999E-3</v>
      </c>
      <c r="E557" s="231">
        <v>1736563</v>
      </c>
      <c r="F557" s="231"/>
      <c r="G557" s="232">
        <v>100042</v>
      </c>
      <c r="H557" s="220">
        <v>421639</v>
      </c>
      <c r="I557" s="232">
        <v>248005</v>
      </c>
      <c r="J557" s="231">
        <v>72999</v>
      </c>
      <c r="K557" s="220">
        <f t="shared" si="16"/>
        <v>842685</v>
      </c>
      <c r="L557" s="231"/>
      <c r="M557" s="232">
        <v>49157</v>
      </c>
      <c r="N557" s="232">
        <v>0</v>
      </c>
      <c r="O557" s="231">
        <v>71715</v>
      </c>
      <c r="P557" s="220">
        <f t="shared" si="17"/>
        <v>120872</v>
      </c>
      <c r="Q557" s="231"/>
      <c r="R557" s="232">
        <v>585223</v>
      </c>
      <c r="S557" s="233">
        <v>-1282</v>
      </c>
      <c r="T557" s="233">
        <v>583941</v>
      </c>
    </row>
    <row r="558" spans="1:20">
      <c r="A558" s="226">
        <v>96081</v>
      </c>
      <c r="B558" s="227" t="s">
        <v>1264</v>
      </c>
      <c r="C558" s="87">
        <v>5.0900000000000001E-4</v>
      </c>
      <c r="D558" s="87">
        <v>4.7820000000000002E-4</v>
      </c>
      <c r="E558" s="231">
        <v>777611</v>
      </c>
      <c r="F558" s="231"/>
      <c r="G558" s="232">
        <v>44798</v>
      </c>
      <c r="H558" s="220">
        <v>188805</v>
      </c>
      <c r="I558" s="232">
        <v>111054</v>
      </c>
      <c r="J558" s="231">
        <v>10640</v>
      </c>
      <c r="K558" s="220">
        <f t="shared" si="16"/>
        <v>355297</v>
      </c>
      <c r="L558" s="231"/>
      <c r="M558" s="232">
        <v>22012</v>
      </c>
      <c r="N558" s="232">
        <v>0</v>
      </c>
      <c r="O558" s="231">
        <v>4115</v>
      </c>
      <c r="P558" s="220">
        <f t="shared" si="17"/>
        <v>26127</v>
      </c>
      <c r="Q558" s="231"/>
      <c r="R558" s="232">
        <v>262056</v>
      </c>
      <c r="S558" s="233">
        <v>5137</v>
      </c>
      <c r="T558" s="233">
        <v>267193</v>
      </c>
    </row>
    <row r="559" spans="1:20">
      <c r="A559" s="226">
        <v>96101</v>
      </c>
      <c r="B559" s="227" t="s">
        <v>1265</v>
      </c>
      <c r="C559" s="87">
        <v>7.6749999999999995E-4</v>
      </c>
      <c r="D559" s="87">
        <v>7.5860000000000001E-4</v>
      </c>
      <c r="E559" s="231">
        <v>1172527</v>
      </c>
      <c r="F559" s="231"/>
      <c r="G559" s="232">
        <v>67548</v>
      </c>
      <c r="H559" s="220">
        <v>284691</v>
      </c>
      <c r="I559" s="232">
        <v>167453</v>
      </c>
      <c r="J559" s="231">
        <v>39221</v>
      </c>
      <c r="K559" s="220">
        <f t="shared" si="16"/>
        <v>558913</v>
      </c>
      <c r="L559" s="231"/>
      <c r="M559" s="232">
        <v>33191</v>
      </c>
      <c r="N559" s="232">
        <v>0</v>
      </c>
      <c r="O559" s="231">
        <v>3498</v>
      </c>
      <c r="P559" s="220">
        <f t="shared" si="17"/>
        <v>36689</v>
      </c>
      <c r="Q559" s="231"/>
      <c r="R559" s="232">
        <v>395143</v>
      </c>
      <c r="S559" s="233">
        <v>17230</v>
      </c>
      <c r="T559" s="233">
        <v>412373</v>
      </c>
    </row>
    <row r="560" spans="1:20">
      <c r="A560" s="226">
        <v>96102</v>
      </c>
      <c r="B560" s="227" t="s">
        <v>1266</v>
      </c>
      <c r="C560" s="87">
        <v>1.36E-5</v>
      </c>
      <c r="D560" s="87">
        <v>1.42E-5</v>
      </c>
      <c r="E560" s="231">
        <v>20777</v>
      </c>
      <c r="F560" s="231"/>
      <c r="G560" s="232">
        <v>1197</v>
      </c>
      <c r="H560" s="220">
        <v>5045</v>
      </c>
      <c r="I560" s="232">
        <v>2967</v>
      </c>
      <c r="J560" s="231">
        <v>0</v>
      </c>
      <c r="K560" s="220">
        <f t="shared" si="16"/>
        <v>9209</v>
      </c>
      <c r="L560" s="231"/>
      <c r="M560" s="232">
        <v>588</v>
      </c>
      <c r="N560" s="232">
        <v>0</v>
      </c>
      <c r="O560" s="231">
        <v>3137</v>
      </c>
      <c r="P560" s="220">
        <f t="shared" si="17"/>
        <v>3725</v>
      </c>
      <c r="Q560" s="231"/>
      <c r="R560" s="232">
        <v>7002</v>
      </c>
      <c r="S560" s="233">
        <v>-1435</v>
      </c>
      <c r="T560" s="233">
        <v>5567</v>
      </c>
    </row>
    <row r="561" spans="1:20">
      <c r="A561" s="226">
        <v>96111</v>
      </c>
      <c r="B561" s="227" t="s">
        <v>1267</v>
      </c>
      <c r="C561" s="87">
        <v>1.5349999999999999E-4</v>
      </c>
      <c r="D561" s="87">
        <v>1.6119999999999999E-4</v>
      </c>
      <c r="E561" s="231">
        <v>234505</v>
      </c>
      <c r="F561" s="231"/>
      <c r="G561" s="232">
        <v>13510</v>
      </c>
      <c r="H561" s="220">
        <v>56938</v>
      </c>
      <c r="I561" s="232">
        <v>33491</v>
      </c>
      <c r="J561" s="231">
        <v>9403</v>
      </c>
      <c r="K561" s="220">
        <f t="shared" si="16"/>
        <v>113342</v>
      </c>
      <c r="L561" s="231"/>
      <c r="M561" s="232">
        <v>6638</v>
      </c>
      <c r="N561" s="232">
        <v>0</v>
      </c>
      <c r="O561" s="231">
        <v>1683</v>
      </c>
      <c r="P561" s="220">
        <f t="shared" si="17"/>
        <v>8321</v>
      </c>
      <c r="Q561" s="231"/>
      <c r="R561" s="232">
        <v>79029</v>
      </c>
      <c r="S561" s="233">
        <v>6754</v>
      </c>
      <c r="T561" s="233">
        <v>85783</v>
      </c>
    </row>
    <row r="562" spans="1:20">
      <c r="A562" s="226">
        <v>96121</v>
      </c>
      <c r="B562" s="227" t="s">
        <v>1268</v>
      </c>
      <c r="C562" s="87">
        <v>2.2500000000000001E-5</v>
      </c>
      <c r="D562" s="87">
        <v>2.2099999999999998E-5</v>
      </c>
      <c r="E562" s="231">
        <v>34374</v>
      </c>
      <c r="F562" s="231"/>
      <c r="G562" s="232">
        <v>1980</v>
      </c>
      <c r="H562" s="220">
        <v>8346</v>
      </c>
      <c r="I562" s="232">
        <v>4909</v>
      </c>
      <c r="J562" s="231">
        <v>397</v>
      </c>
      <c r="K562" s="220">
        <f t="shared" si="16"/>
        <v>15632</v>
      </c>
      <c r="L562" s="231"/>
      <c r="M562" s="232">
        <v>973</v>
      </c>
      <c r="N562" s="232">
        <v>0</v>
      </c>
      <c r="O562" s="231">
        <v>1764</v>
      </c>
      <c r="P562" s="220">
        <f t="shared" si="17"/>
        <v>2737</v>
      </c>
      <c r="Q562" s="231"/>
      <c r="R562" s="232">
        <v>11584</v>
      </c>
      <c r="S562" s="233">
        <v>-946</v>
      </c>
      <c r="T562" s="233">
        <v>10638</v>
      </c>
    </row>
    <row r="563" spans="1:20">
      <c r="A563" s="226">
        <v>96201</v>
      </c>
      <c r="B563" s="227" t="s">
        <v>1269</v>
      </c>
      <c r="C563" s="87">
        <v>1.1788E-3</v>
      </c>
      <c r="D563" s="87">
        <v>1.2302999999999999E-3</v>
      </c>
      <c r="E563" s="231">
        <v>1800880</v>
      </c>
      <c r="F563" s="231"/>
      <c r="G563" s="232">
        <v>103747</v>
      </c>
      <c r="H563" s="220">
        <v>437256</v>
      </c>
      <c r="I563" s="232">
        <v>257191</v>
      </c>
      <c r="J563" s="231">
        <v>0</v>
      </c>
      <c r="K563" s="220">
        <f t="shared" si="16"/>
        <v>798194</v>
      </c>
      <c r="L563" s="231"/>
      <c r="M563" s="232">
        <v>50977</v>
      </c>
      <c r="N563" s="232">
        <v>0</v>
      </c>
      <c r="O563" s="231">
        <v>73119</v>
      </c>
      <c r="P563" s="220">
        <f t="shared" si="17"/>
        <v>124096</v>
      </c>
      <c r="Q563" s="231"/>
      <c r="R563" s="232">
        <v>606898</v>
      </c>
      <c r="S563" s="233">
        <v>-23257</v>
      </c>
      <c r="T563" s="233">
        <v>583641</v>
      </c>
    </row>
    <row r="564" spans="1:20">
      <c r="A564" s="226">
        <v>96204</v>
      </c>
      <c r="B564" s="227" t="s">
        <v>1270</v>
      </c>
      <c r="C564" s="87">
        <v>1.5099999999999999E-5</v>
      </c>
      <c r="D564" s="87">
        <v>1.5400000000000002E-5</v>
      </c>
      <c r="E564" s="231">
        <v>23069</v>
      </c>
      <c r="F564" s="231"/>
      <c r="G564" s="232">
        <v>1329</v>
      </c>
      <c r="H564" s="220">
        <v>5602</v>
      </c>
      <c r="I564" s="232">
        <v>3295</v>
      </c>
      <c r="J564" s="231">
        <v>3517</v>
      </c>
      <c r="K564" s="220">
        <f t="shared" si="16"/>
        <v>13743</v>
      </c>
      <c r="L564" s="231"/>
      <c r="M564" s="232">
        <v>653</v>
      </c>
      <c r="N564" s="232">
        <v>0</v>
      </c>
      <c r="O564" s="231">
        <v>0</v>
      </c>
      <c r="P564" s="220">
        <f t="shared" si="17"/>
        <v>653</v>
      </c>
      <c r="Q564" s="231"/>
      <c r="R564" s="232">
        <v>7774</v>
      </c>
      <c r="S564" s="233">
        <v>1655</v>
      </c>
      <c r="T564" s="233">
        <f>9430-1</f>
        <v>9429</v>
      </c>
    </row>
    <row r="565" spans="1:20">
      <c r="A565" s="226">
        <v>96211</v>
      </c>
      <c r="B565" s="227" t="s">
        <v>1271</v>
      </c>
      <c r="C565" s="87">
        <v>2.62E-5</v>
      </c>
      <c r="D565" s="87">
        <v>3.0700000000000001E-5</v>
      </c>
      <c r="E565" s="231">
        <v>40026</v>
      </c>
      <c r="F565" s="231"/>
      <c r="G565" s="232">
        <v>2306</v>
      </c>
      <c r="H565" s="220">
        <v>9718</v>
      </c>
      <c r="I565" s="232">
        <v>5716</v>
      </c>
      <c r="J565" s="231">
        <v>4494</v>
      </c>
      <c r="K565" s="220">
        <f t="shared" si="16"/>
        <v>22234</v>
      </c>
      <c r="L565" s="231"/>
      <c r="M565" s="232">
        <v>1133</v>
      </c>
      <c r="N565" s="232">
        <v>0</v>
      </c>
      <c r="O565" s="231">
        <v>4462</v>
      </c>
      <c r="P565" s="220">
        <f t="shared" si="17"/>
        <v>5595</v>
      </c>
      <c r="Q565" s="231"/>
      <c r="R565" s="232">
        <v>13489</v>
      </c>
      <c r="S565" s="233">
        <v>-2681</v>
      </c>
      <c r="T565" s="233">
        <v>10808</v>
      </c>
    </row>
    <row r="566" spans="1:20">
      <c r="A566" s="226">
        <v>96221</v>
      </c>
      <c r="B566" s="227" t="s">
        <v>1272</v>
      </c>
      <c r="C566" s="87">
        <v>2.3350000000000001E-4</v>
      </c>
      <c r="D566" s="87">
        <v>2.287E-4</v>
      </c>
      <c r="E566" s="231">
        <v>356723</v>
      </c>
      <c r="F566" s="231"/>
      <c r="G566" s="232">
        <v>20551</v>
      </c>
      <c r="H566" s="220">
        <v>86613</v>
      </c>
      <c r="I566" s="232">
        <v>50945</v>
      </c>
      <c r="J566" s="231">
        <v>2439</v>
      </c>
      <c r="K566" s="220">
        <f t="shared" si="16"/>
        <v>160548</v>
      </c>
      <c r="L566" s="231"/>
      <c r="M566" s="232">
        <v>10098</v>
      </c>
      <c r="N566" s="232">
        <v>0</v>
      </c>
      <c r="O566" s="231">
        <v>15042</v>
      </c>
      <c r="P566" s="220">
        <f t="shared" si="17"/>
        <v>25140</v>
      </c>
      <c r="Q566" s="231"/>
      <c r="R566" s="232">
        <v>120216</v>
      </c>
      <c r="S566" s="233">
        <v>-3357</v>
      </c>
      <c r="T566" s="233">
        <f>116860-1</f>
        <v>116859</v>
      </c>
    </row>
    <row r="567" spans="1:20">
      <c r="A567" s="226">
        <v>96231</v>
      </c>
      <c r="B567" s="227" t="s">
        <v>1273</v>
      </c>
      <c r="C567" s="87">
        <v>1.3339999999999999E-4</v>
      </c>
      <c r="D567" s="87">
        <v>1.145E-4</v>
      </c>
      <c r="E567" s="231">
        <v>203798</v>
      </c>
      <c r="F567" s="231"/>
      <c r="G567" s="232">
        <v>11741</v>
      </c>
      <c r="H567" s="220">
        <v>49482</v>
      </c>
      <c r="I567" s="232">
        <v>29105</v>
      </c>
      <c r="J567" s="231">
        <v>2554</v>
      </c>
      <c r="K567" s="220">
        <f t="shared" si="16"/>
        <v>92882</v>
      </c>
      <c r="L567" s="231"/>
      <c r="M567" s="232">
        <v>5769</v>
      </c>
      <c r="N567" s="232">
        <v>0</v>
      </c>
      <c r="O567" s="231">
        <v>14959</v>
      </c>
      <c r="P567" s="220">
        <f t="shared" si="17"/>
        <v>20728</v>
      </c>
      <c r="Q567" s="231"/>
      <c r="R567" s="232">
        <v>68680</v>
      </c>
      <c r="S567" s="233">
        <v>-7094</v>
      </c>
      <c r="T567" s="233">
        <v>61586</v>
      </c>
    </row>
    <row r="568" spans="1:20">
      <c r="A568" s="226">
        <v>96241</v>
      </c>
      <c r="B568" s="227" t="s">
        <v>1274</v>
      </c>
      <c r="C568" s="87">
        <v>4.4700000000000002E-5</v>
      </c>
      <c r="D568" s="87">
        <v>4.6100000000000002E-5</v>
      </c>
      <c r="E568" s="231">
        <v>68289</v>
      </c>
      <c r="F568" s="231"/>
      <c r="G568" s="232">
        <v>3934</v>
      </c>
      <c r="H568" s="220">
        <v>16580</v>
      </c>
      <c r="I568" s="232">
        <v>9753</v>
      </c>
      <c r="J568" s="231">
        <v>5027</v>
      </c>
      <c r="K568" s="220">
        <f t="shared" si="16"/>
        <v>35294</v>
      </c>
      <c r="L568" s="231"/>
      <c r="M568" s="232">
        <v>1933</v>
      </c>
      <c r="N568" s="232">
        <v>0</v>
      </c>
      <c r="O568" s="231">
        <v>4371</v>
      </c>
      <c r="P568" s="220">
        <f t="shared" si="17"/>
        <v>6304</v>
      </c>
      <c r="Q568" s="231"/>
      <c r="R568" s="232">
        <v>23014</v>
      </c>
      <c r="S568" s="233">
        <v>2407</v>
      </c>
      <c r="T568" s="233">
        <f>25420+1</f>
        <v>25421</v>
      </c>
    </row>
    <row r="569" spans="1:20">
      <c r="A569" s="226">
        <v>96251</v>
      </c>
      <c r="B569" s="227" t="s">
        <v>1275</v>
      </c>
      <c r="C569" s="87">
        <v>9.3999999999999994E-5</v>
      </c>
      <c r="D569" s="87">
        <v>7.7100000000000004E-5</v>
      </c>
      <c r="E569" s="231">
        <v>143606</v>
      </c>
      <c r="F569" s="231"/>
      <c r="G569" s="232">
        <v>8273</v>
      </c>
      <c r="H569" s="220">
        <v>34868</v>
      </c>
      <c r="I569" s="232">
        <v>20509</v>
      </c>
      <c r="J569" s="231">
        <v>6198</v>
      </c>
      <c r="K569" s="220">
        <f t="shared" si="16"/>
        <v>69848</v>
      </c>
      <c r="L569" s="231"/>
      <c r="M569" s="232">
        <v>4065</v>
      </c>
      <c r="N569" s="232">
        <v>0</v>
      </c>
      <c r="O569" s="231">
        <v>16886</v>
      </c>
      <c r="P569" s="220">
        <f t="shared" si="17"/>
        <v>20951</v>
      </c>
      <c r="Q569" s="231"/>
      <c r="R569" s="232">
        <v>48395</v>
      </c>
      <c r="S569" s="233">
        <v>-7102</v>
      </c>
      <c r="T569" s="233">
        <v>41293</v>
      </c>
    </row>
    <row r="570" spans="1:20">
      <c r="A570" s="226">
        <v>96301</v>
      </c>
      <c r="B570" s="227" t="s">
        <v>1276</v>
      </c>
      <c r="C570" s="87">
        <v>4.3712999999999998E-3</v>
      </c>
      <c r="D570" s="87">
        <v>4.3785999999999999E-3</v>
      </c>
      <c r="E570" s="231">
        <v>6678136</v>
      </c>
      <c r="F570" s="231"/>
      <c r="G570" s="232">
        <v>384722</v>
      </c>
      <c r="H570" s="220">
        <v>1621460</v>
      </c>
      <c r="I570" s="232">
        <v>953730</v>
      </c>
      <c r="J570" s="231">
        <v>60786</v>
      </c>
      <c r="K570" s="220">
        <f t="shared" si="16"/>
        <v>3020698</v>
      </c>
      <c r="L570" s="231"/>
      <c r="M570" s="232">
        <v>189037</v>
      </c>
      <c r="N570" s="232">
        <v>0</v>
      </c>
      <c r="O570" s="231">
        <v>160488</v>
      </c>
      <c r="P570" s="220">
        <f t="shared" si="17"/>
        <v>349525</v>
      </c>
      <c r="Q570" s="231"/>
      <c r="R570" s="232">
        <v>2250538</v>
      </c>
      <c r="S570" s="233">
        <v>-27776</v>
      </c>
      <c r="T570" s="233">
        <v>2222762</v>
      </c>
    </row>
    <row r="571" spans="1:20">
      <c r="A571" s="226">
        <v>96302</v>
      </c>
      <c r="B571" s="227" t="s">
        <v>1277</v>
      </c>
      <c r="C571" s="87">
        <v>2.5199999999999999E-5</v>
      </c>
      <c r="D571" s="87">
        <v>1.9199999999999999E-5</v>
      </c>
      <c r="E571" s="231">
        <v>38499</v>
      </c>
      <c r="F571" s="231"/>
      <c r="G571" s="232">
        <v>2218</v>
      </c>
      <c r="H571" s="220">
        <v>9347</v>
      </c>
      <c r="I571" s="232">
        <v>5498</v>
      </c>
      <c r="J571" s="231">
        <v>7399</v>
      </c>
      <c r="K571" s="220">
        <f t="shared" si="16"/>
        <v>24462</v>
      </c>
      <c r="L571" s="231"/>
      <c r="M571" s="232">
        <v>1090</v>
      </c>
      <c r="N571" s="232">
        <v>0</v>
      </c>
      <c r="O571" s="231">
        <v>0</v>
      </c>
      <c r="P571" s="220">
        <f t="shared" si="17"/>
        <v>1090</v>
      </c>
      <c r="Q571" s="231"/>
      <c r="R571" s="232">
        <v>12974</v>
      </c>
      <c r="S571" s="233">
        <v>2631</v>
      </c>
      <c r="T571" s="233">
        <v>15605</v>
      </c>
    </row>
    <row r="572" spans="1:20">
      <c r="A572" s="226">
        <v>96304</v>
      </c>
      <c r="B572" s="227" t="s">
        <v>1278</v>
      </c>
      <c r="C572" s="87">
        <v>4.5500000000000001E-5</v>
      </c>
      <c r="D572" s="87">
        <v>5.4599999999999999E-5</v>
      </c>
      <c r="E572" s="231">
        <v>69511</v>
      </c>
      <c r="F572" s="231"/>
      <c r="G572" s="232">
        <v>4005</v>
      </c>
      <c r="H572" s="220">
        <v>16877</v>
      </c>
      <c r="I572" s="232">
        <v>9927</v>
      </c>
      <c r="J572" s="231">
        <v>5469</v>
      </c>
      <c r="K572" s="220">
        <f t="shared" si="16"/>
        <v>36278</v>
      </c>
      <c r="L572" s="231"/>
      <c r="M572" s="232">
        <v>1968</v>
      </c>
      <c r="N572" s="232">
        <v>0</v>
      </c>
      <c r="O572" s="231">
        <v>1092</v>
      </c>
      <c r="P572" s="220">
        <f t="shared" si="17"/>
        <v>3060</v>
      </c>
      <c r="Q572" s="231"/>
      <c r="R572" s="232">
        <v>23425</v>
      </c>
      <c r="S572" s="233">
        <v>2085</v>
      </c>
      <c r="T572" s="233">
        <v>25510</v>
      </c>
    </row>
    <row r="573" spans="1:20">
      <c r="A573" s="226">
        <v>96305</v>
      </c>
      <c r="B573" s="227" t="s">
        <v>1279</v>
      </c>
      <c r="C573" s="87">
        <v>4.5500000000000001E-5</v>
      </c>
      <c r="D573" s="87">
        <v>4.8199999999999999E-5</v>
      </c>
      <c r="E573" s="231">
        <v>69511</v>
      </c>
      <c r="F573" s="231"/>
      <c r="G573" s="232">
        <v>4005</v>
      </c>
      <c r="H573" s="220">
        <v>16877</v>
      </c>
      <c r="I573" s="232">
        <v>9927</v>
      </c>
      <c r="J573" s="231">
        <v>13328</v>
      </c>
      <c r="K573" s="220">
        <f t="shared" si="16"/>
        <v>44137</v>
      </c>
      <c r="L573" s="231"/>
      <c r="M573" s="232">
        <v>1968</v>
      </c>
      <c r="N573" s="232">
        <v>0</v>
      </c>
      <c r="O573" s="231">
        <v>0</v>
      </c>
      <c r="P573" s="220">
        <f t="shared" si="17"/>
        <v>1968</v>
      </c>
      <c r="Q573" s="231"/>
      <c r="R573" s="232">
        <v>23425</v>
      </c>
      <c r="S573" s="233">
        <v>4752</v>
      </c>
      <c r="T573" s="233">
        <v>28177</v>
      </c>
    </row>
    <row r="574" spans="1:20">
      <c r="A574" s="226">
        <v>96310</v>
      </c>
      <c r="B574" s="227" t="s">
        <v>1280</v>
      </c>
      <c r="C574" s="87">
        <v>6.1099999999999994E-5</v>
      </c>
      <c r="D574" s="87">
        <v>4.88E-5</v>
      </c>
      <c r="E574" s="231">
        <v>93344</v>
      </c>
      <c r="F574" s="231"/>
      <c r="G574" s="232">
        <v>5377</v>
      </c>
      <c r="H574" s="220">
        <v>22664</v>
      </c>
      <c r="I574" s="232">
        <v>13331</v>
      </c>
      <c r="J574" s="231">
        <v>10507</v>
      </c>
      <c r="K574" s="220">
        <f t="shared" si="16"/>
        <v>51879</v>
      </c>
      <c r="L574" s="231"/>
      <c r="M574" s="232">
        <v>2642</v>
      </c>
      <c r="N574" s="232">
        <v>0</v>
      </c>
      <c r="O574" s="231">
        <v>3055</v>
      </c>
      <c r="P574" s="220">
        <f t="shared" si="17"/>
        <v>5697</v>
      </c>
      <c r="Q574" s="231"/>
      <c r="R574" s="232">
        <v>31457</v>
      </c>
      <c r="S574" s="233">
        <v>3506</v>
      </c>
      <c r="T574" s="233">
        <v>34963</v>
      </c>
    </row>
    <row r="575" spans="1:20">
      <c r="A575" s="226">
        <v>96311</v>
      </c>
      <c r="B575" s="227" t="s">
        <v>1281</v>
      </c>
      <c r="C575" s="87">
        <v>1.3113000000000001E-3</v>
      </c>
      <c r="D575" s="87">
        <v>1.4082999999999999E-3</v>
      </c>
      <c r="E575" s="231">
        <v>2003303</v>
      </c>
      <c r="F575" s="231"/>
      <c r="G575" s="232">
        <v>115409</v>
      </c>
      <c r="H575" s="220">
        <v>486404</v>
      </c>
      <c r="I575" s="232">
        <v>286099</v>
      </c>
      <c r="J575" s="231">
        <v>11041</v>
      </c>
      <c r="K575" s="220">
        <f t="shared" si="16"/>
        <v>898953</v>
      </c>
      <c r="L575" s="231"/>
      <c r="M575" s="232">
        <v>56707</v>
      </c>
      <c r="N575" s="232">
        <v>0</v>
      </c>
      <c r="O575" s="231">
        <v>139297</v>
      </c>
      <c r="P575" s="220">
        <f t="shared" si="17"/>
        <v>196004</v>
      </c>
      <c r="Q575" s="231"/>
      <c r="R575" s="232">
        <v>675115</v>
      </c>
      <c r="S575" s="233">
        <v>-33999</v>
      </c>
      <c r="T575" s="233">
        <v>641116</v>
      </c>
    </row>
    <row r="576" spans="1:20">
      <c r="A576" s="226">
        <v>96312</v>
      </c>
      <c r="B576" s="227" t="s">
        <v>1282</v>
      </c>
      <c r="C576" s="87">
        <v>1.5999999999999999E-5</v>
      </c>
      <c r="D576" s="87">
        <v>1.5999999999999999E-6</v>
      </c>
      <c r="E576" s="231">
        <v>24444</v>
      </c>
      <c r="F576" s="231"/>
      <c r="G576" s="232">
        <v>1408</v>
      </c>
      <c r="H576" s="220">
        <v>5935</v>
      </c>
      <c r="I576" s="232">
        <v>3491</v>
      </c>
      <c r="J576" s="231">
        <v>7668</v>
      </c>
      <c r="K576" s="220">
        <f t="shared" si="16"/>
        <v>18502</v>
      </c>
      <c r="L576" s="231"/>
      <c r="M576" s="232">
        <v>692</v>
      </c>
      <c r="N576" s="232">
        <v>0</v>
      </c>
      <c r="O576" s="231">
        <v>1864</v>
      </c>
      <c r="P576" s="220">
        <f t="shared" si="17"/>
        <v>2556</v>
      </c>
      <c r="Q576" s="231"/>
      <c r="R576" s="232">
        <v>8238</v>
      </c>
      <c r="S576" s="233">
        <v>374</v>
      </c>
      <c r="T576" s="233">
        <v>8612</v>
      </c>
    </row>
    <row r="577" spans="1:20">
      <c r="A577" s="226">
        <v>96318</v>
      </c>
      <c r="B577" s="227" t="s">
        <v>1283</v>
      </c>
      <c r="C577" s="87">
        <v>2.1684999999999999E-3</v>
      </c>
      <c r="D577" s="87">
        <v>1.7782E-3</v>
      </c>
      <c r="E577" s="231">
        <v>3312867</v>
      </c>
      <c r="F577" s="231"/>
      <c r="G577" s="232">
        <v>190852</v>
      </c>
      <c r="H577" s="220">
        <v>804368</v>
      </c>
      <c r="I577" s="232">
        <v>473123</v>
      </c>
      <c r="J577" s="231">
        <v>7711758</v>
      </c>
      <c r="K577" s="220">
        <f t="shared" si="16"/>
        <v>9180101</v>
      </c>
      <c r="L577" s="231"/>
      <c r="M577" s="232">
        <v>93777</v>
      </c>
      <c r="N577" s="232">
        <v>0</v>
      </c>
      <c r="O577" s="231">
        <v>0</v>
      </c>
      <c r="P577" s="220">
        <f t="shared" si="17"/>
        <v>93777</v>
      </c>
      <c r="Q577" s="231"/>
      <c r="R577" s="232">
        <v>1116439</v>
      </c>
      <c r="S577" s="233">
        <v>2665103</v>
      </c>
      <c r="T577" s="233">
        <v>3781542</v>
      </c>
    </row>
    <row r="578" spans="1:20">
      <c r="A578" s="226">
        <v>96321</v>
      </c>
      <c r="B578" s="227" t="s">
        <v>1284</v>
      </c>
      <c r="C578" s="87">
        <v>3.6900000000000002E-5</v>
      </c>
      <c r="D578" s="87">
        <v>3.7400000000000001E-5</v>
      </c>
      <c r="E578" s="231">
        <v>56373</v>
      </c>
      <c r="F578" s="231"/>
      <c r="G578" s="232">
        <v>3248</v>
      </c>
      <c r="H578" s="220">
        <v>13687</v>
      </c>
      <c r="I578" s="232">
        <v>8051</v>
      </c>
      <c r="J578" s="231">
        <v>1642</v>
      </c>
      <c r="K578" s="220">
        <f t="shared" si="16"/>
        <v>26628</v>
      </c>
      <c r="L578" s="231"/>
      <c r="M578" s="232">
        <v>1596</v>
      </c>
      <c r="N578" s="232">
        <v>0</v>
      </c>
      <c r="O578" s="231">
        <v>2449</v>
      </c>
      <c r="P578" s="220">
        <f t="shared" si="17"/>
        <v>4045</v>
      </c>
      <c r="Q578" s="231"/>
      <c r="R578" s="232">
        <v>18998</v>
      </c>
      <c r="S578" s="233">
        <v>-489</v>
      </c>
      <c r="T578" s="233">
        <v>18509</v>
      </c>
    </row>
    <row r="579" spans="1:20" s="269" customFormat="1">
      <c r="A579" s="263">
        <v>96331</v>
      </c>
      <c r="B579" s="264" t="s">
        <v>1285</v>
      </c>
      <c r="C579" s="265">
        <v>7.0850000000000004E-4</v>
      </c>
      <c r="D579" s="265">
        <v>7.1699999999999997E-4</v>
      </c>
      <c r="E579" s="266">
        <v>1082392</v>
      </c>
      <c r="F579" s="266"/>
      <c r="G579" s="267">
        <v>62356</v>
      </c>
      <c r="H579" s="267">
        <v>262806</v>
      </c>
      <c r="I579" s="267">
        <v>154581</v>
      </c>
      <c r="J579" s="266">
        <v>3107</v>
      </c>
      <c r="K579" s="267">
        <f t="shared" si="16"/>
        <v>482850</v>
      </c>
      <c r="L579" s="266"/>
      <c r="M579" s="267">
        <v>30639</v>
      </c>
      <c r="N579" s="267">
        <v>0</v>
      </c>
      <c r="O579" s="266">
        <v>53524</v>
      </c>
      <c r="P579" s="267">
        <f t="shared" si="17"/>
        <v>84163</v>
      </c>
      <c r="Q579" s="266"/>
      <c r="R579" s="267">
        <v>364767</v>
      </c>
      <c r="S579" s="268">
        <v>-22322</v>
      </c>
      <c r="T579" s="268">
        <v>342445</v>
      </c>
    </row>
    <row r="580" spans="1:20">
      <c r="A580" s="226">
        <v>96341</v>
      </c>
      <c r="B580" s="227" t="s">
        <v>1286</v>
      </c>
      <c r="C580" s="87">
        <v>8.3800000000000004E-5</v>
      </c>
      <c r="D580" s="87">
        <v>9.1600000000000004E-5</v>
      </c>
      <c r="E580" s="231">
        <v>128023</v>
      </c>
      <c r="F580" s="231"/>
      <c r="G580" s="232">
        <v>7375</v>
      </c>
      <c r="H580" s="220">
        <v>31084</v>
      </c>
      <c r="I580" s="232">
        <v>18283</v>
      </c>
      <c r="J580" s="231">
        <v>8694</v>
      </c>
      <c r="K580" s="220">
        <f t="shared" si="16"/>
        <v>65436</v>
      </c>
      <c r="L580" s="231"/>
      <c r="M580" s="232">
        <v>3624</v>
      </c>
      <c r="N580" s="232">
        <v>0</v>
      </c>
      <c r="O580" s="231">
        <v>13544</v>
      </c>
      <c r="P580" s="220">
        <f t="shared" si="17"/>
        <v>17168</v>
      </c>
      <c r="Q580" s="231"/>
      <c r="R580" s="232">
        <v>43144</v>
      </c>
      <c r="S580" s="233">
        <v>-3090</v>
      </c>
      <c r="T580" s="233">
        <v>40054</v>
      </c>
    </row>
    <row r="581" spans="1:20">
      <c r="A581" s="226">
        <v>96351</v>
      </c>
      <c r="B581" s="227" t="s">
        <v>1287</v>
      </c>
      <c r="C581" s="87">
        <v>1.0616E-3</v>
      </c>
      <c r="D581" s="87">
        <v>1.0736000000000001E-3</v>
      </c>
      <c r="E581" s="231">
        <v>1621831</v>
      </c>
      <c r="F581" s="231"/>
      <c r="G581" s="232">
        <v>93432</v>
      </c>
      <c r="H581" s="220">
        <v>393782</v>
      </c>
      <c r="I581" s="232">
        <v>231620</v>
      </c>
      <c r="J581" s="231">
        <v>5421</v>
      </c>
      <c r="K581" s="220">
        <f t="shared" si="16"/>
        <v>724255</v>
      </c>
      <c r="L581" s="231"/>
      <c r="M581" s="232">
        <v>45909</v>
      </c>
      <c r="N581" s="232">
        <v>0</v>
      </c>
      <c r="O581" s="231">
        <v>28542</v>
      </c>
      <c r="P581" s="220">
        <f t="shared" si="17"/>
        <v>74451</v>
      </c>
      <c r="Q581" s="231"/>
      <c r="R581" s="232">
        <v>546558</v>
      </c>
      <c r="S581" s="233">
        <v>-5218</v>
      </c>
      <c r="T581" s="233">
        <v>541340</v>
      </c>
    </row>
    <row r="582" spans="1:20">
      <c r="A582" s="226">
        <v>96361</v>
      </c>
      <c r="B582" s="227" t="s">
        <v>1288</v>
      </c>
      <c r="C582" s="87">
        <v>5.5699999999999999E-5</v>
      </c>
      <c r="D582" s="87">
        <v>5.8900000000000002E-5</v>
      </c>
      <c r="E582" s="231">
        <v>85094</v>
      </c>
      <c r="F582" s="231"/>
      <c r="G582" s="232">
        <v>4902</v>
      </c>
      <c r="H582" s="220">
        <v>20661</v>
      </c>
      <c r="I582" s="232">
        <v>12153</v>
      </c>
      <c r="J582" s="231">
        <v>3403</v>
      </c>
      <c r="K582" s="220">
        <f t="shared" si="16"/>
        <v>41119</v>
      </c>
      <c r="L582" s="231"/>
      <c r="M582" s="232">
        <v>2409</v>
      </c>
      <c r="N582" s="232">
        <v>0</v>
      </c>
      <c r="O582" s="231">
        <v>3423</v>
      </c>
      <c r="P582" s="220">
        <f t="shared" si="17"/>
        <v>5832</v>
      </c>
      <c r="Q582" s="231"/>
      <c r="R582" s="232">
        <v>28677</v>
      </c>
      <c r="S582" s="233">
        <v>936</v>
      </c>
      <c r="T582" s="233">
        <f>29612+1</f>
        <v>29613</v>
      </c>
    </row>
    <row r="583" spans="1:20">
      <c r="A583" s="226">
        <v>96371</v>
      </c>
      <c r="B583" s="227" t="s">
        <v>1289</v>
      </c>
      <c r="C583" s="87">
        <v>1.5249999999999999E-4</v>
      </c>
      <c r="D583" s="87">
        <v>1.6359999999999999E-4</v>
      </c>
      <c r="E583" s="231">
        <v>232978</v>
      </c>
      <c r="F583" s="231"/>
      <c r="G583" s="232">
        <v>13422</v>
      </c>
      <c r="H583" s="220">
        <v>56568</v>
      </c>
      <c r="I583" s="232">
        <v>33272</v>
      </c>
      <c r="J583" s="231">
        <v>1335</v>
      </c>
      <c r="K583" s="220">
        <f t="shared" si="16"/>
        <v>104597</v>
      </c>
      <c r="L583" s="231"/>
      <c r="M583" s="232">
        <v>6595</v>
      </c>
      <c r="N583" s="232">
        <v>0</v>
      </c>
      <c r="O583" s="231">
        <v>14966</v>
      </c>
      <c r="P583" s="220">
        <f t="shared" si="17"/>
        <v>21561</v>
      </c>
      <c r="Q583" s="231"/>
      <c r="R583" s="232">
        <v>78514</v>
      </c>
      <c r="S583" s="233">
        <v>-3158</v>
      </c>
      <c r="T583" s="233">
        <v>75356</v>
      </c>
    </row>
    <row r="584" spans="1:20">
      <c r="A584" s="226">
        <v>96381</v>
      </c>
      <c r="B584" s="227" t="s">
        <v>1290</v>
      </c>
      <c r="C584" s="87">
        <v>3.2100000000000001E-5</v>
      </c>
      <c r="D584" s="87">
        <v>3.26E-5</v>
      </c>
      <c r="E584" s="231">
        <v>49040</v>
      </c>
      <c r="F584" s="231"/>
      <c r="G584" s="232">
        <v>2825</v>
      </c>
      <c r="H584" s="220">
        <v>11907</v>
      </c>
      <c r="I584" s="232">
        <v>7004</v>
      </c>
      <c r="J584" s="231">
        <v>235</v>
      </c>
      <c r="K584" s="220">
        <f t="shared" si="16"/>
        <v>21971</v>
      </c>
      <c r="L584" s="231"/>
      <c r="M584" s="232">
        <v>1388</v>
      </c>
      <c r="N584" s="232">
        <v>0</v>
      </c>
      <c r="O584" s="231">
        <v>1858</v>
      </c>
      <c r="P584" s="220">
        <f t="shared" si="17"/>
        <v>3246</v>
      </c>
      <c r="Q584" s="231"/>
      <c r="R584" s="232">
        <v>16526</v>
      </c>
      <c r="S584" s="233">
        <v>-1164</v>
      </c>
      <c r="T584" s="233">
        <v>15362</v>
      </c>
    </row>
    <row r="585" spans="1:20">
      <c r="A585" s="226">
        <v>96391</v>
      </c>
      <c r="B585" s="227" t="s">
        <v>1291</v>
      </c>
      <c r="C585" s="87">
        <v>2.029E-4</v>
      </c>
      <c r="D585" s="87">
        <v>1.807E-4</v>
      </c>
      <c r="E585" s="231">
        <v>309975</v>
      </c>
      <c r="F585" s="231"/>
      <c r="G585" s="232">
        <v>17857</v>
      </c>
      <c r="H585" s="220">
        <v>75263</v>
      </c>
      <c r="I585" s="232">
        <v>44269</v>
      </c>
      <c r="J585" s="231">
        <v>9831</v>
      </c>
      <c r="K585" s="220">
        <f t="shared" ref="K585:K648" si="18">G585+H585+I585+J585</f>
        <v>147220</v>
      </c>
      <c r="L585" s="231"/>
      <c r="M585" s="232">
        <v>8774</v>
      </c>
      <c r="N585" s="232">
        <v>0</v>
      </c>
      <c r="O585" s="231">
        <v>18208</v>
      </c>
      <c r="P585" s="220">
        <f t="shared" ref="P585:P648" si="19">M585+N585+O585</f>
        <v>26982</v>
      </c>
      <c r="Q585" s="231"/>
      <c r="R585" s="232">
        <v>104462</v>
      </c>
      <c r="S585" s="233">
        <v>2008</v>
      </c>
      <c r="T585" s="233">
        <v>106470</v>
      </c>
    </row>
    <row r="586" spans="1:20">
      <c r="A586" s="226">
        <v>96401</v>
      </c>
      <c r="B586" s="227" t="s">
        <v>1292</v>
      </c>
      <c r="C586" s="87">
        <v>4.5672000000000004E-3</v>
      </c>
      <c r="D586" s="87">
        <v>4.5900000000000003E-3</v>
      </c>
      <c r="E586" s="231">
        <v>6977416</v>
      </c>
      <c r="F586" s="231"/>
      <c r="G586" s="232">
        <v>401964</v>
      </c>
      <c r="H586" s="220">
        <v>1694125</v>
      </c>
      <c r="I586" s="232">
        <v>996472</v>
      </c>
      <c r="J586" s="231">
        <v>15869</v>
      </c>
      <c r="K586" s="220">
        <f t="shared" si="18"/>
        <v>3108430</v>
      </c>
      <c r="L586" s="231"/>
      <c r="M586" s="232">
        <v>197509</v>
      </c>
      <c r="N586" s="232">
        <v>0</v>
      </c>
      <c r="O586" s="231">
        <v>86285</v>
      </c>
      <c r="P586" s="220">
        <f t="shared" si="19"/>
        <v>283794</v>
      </c>
      <c r="Q586" s="231"/>
      <c r="R586" s="232">
        <v>2351396</v>
      </c>
      <c r="S586" s="233">
        <v>-10848</v>
      </c>
      <c r="T586" s="233">
        <v>2340548</v>
      </c>
    </row>
    <row r="587" spans="1:20">
      <c r="A587" s="226">
        <v>96404</v>
      </c>
      <c r="B587" s="227" t="s">
        <v>1293</v>
      </c>
      <c r="C587" s="87">
        <v>1.026E-4</v>
      </c>
      <c r="D587" s="87">
        <v>9.8800000000000003E-5</v>
      </c>
      <c r="E587" s="231">
        <v>156744</v>
      </c>
      <c r="F587" s="231"/>
      <c r="G587" s="232">
        <v>9030</v>
      </c>
      <c r="H587" s="220">
        <v>38058</v>
      </c>
      <c r="I587" s="232">
        <v>22385</v>
      </c>
      <c r="J587" s="231">
        <v>26983</v>
      </c>
      <c r="K587" s="220">
        <f t="shared" si="18"/>
        <v>96456</v>
      </c>
      <c r="L587" s="231"/>
      <c r="M587" s="232">
        <v>4437</v>
      </c>
      <c r="N587" s="232">
        <v>0</v>
      </c>
      <c r="O587" s="231">
        <v>0</v>
      </c>
      <c r="P587" s="220">
        <f t="shared" si="19"/>
        <v>4437</v>
      </c>
      <c r="Q587" s="231"/>
      <c r="R587" s="232">
        <v>52823</v>
      </c>
      <c r="S587" s="233">
        <v>10540</v>
      </c>
      <c r="T587" s="233">
        <v>63363</v>
      </c>
    </row>
    <row r="588" spans="1:20">
      <c r="A588" s="226">
        <v>96405</v>
      </c>
      <c r="B588" s="227" t="s">
        <v>1294</v>
      </c>
      <c r="C588" s="87">
        <v>1.6139999999999999E-4</v>
      </c>
      <c r="D588" s="87">
        <v>1.7760000000000001E-4</v>
      </c>
      <c r="E588" s="231">
        <v>246574</v>
      </c>
      <c r="F588" s="231"/>
      <c r="G588" s="232">
        <v>14205</v>
      </c>
      <c r="H588" s="220">
        <v>59869</v>
      </c>
      <c r="I588" s="232">
        <v>35214</v>
      </c>
      <c r="J588" s="231">
        <v>10221</v>
      </c>
      <c r="K588" s="220">
        <f t="shared" si="18"/>
        <v>119509</v>
      </c>
      <c r="L588" s="231"/>
      <c r="M588" s="232">
        <v>6980</v>
      </c>
      <c r="N588" s="232">
        <v>0</v>
      </c>
      <c r="O588" s="231">
        <v>2204</v>
      </c>
      <c r="P588" s="220">
        <f t="shared" si="19"/>
        <v>9184</v>
      </c>
      <c r="Q588" s="231"/>
      <c r="R588" s="232">
        <v>83096</v>
      </c>
      <c r="S588" s="233">
        <v>4354</v>
      </c>
      <c r="T588" s="233">
        <v>87450</v>
      </c>
    </row>
    <row r="589" spans="1:20">
      <c r="A589" s="226">
        <v>96411</v>
      </c>
      <c r="B589" s="227" t="s">
        <v>1295</v>
      </c>
      <c r="C589" s="87">
        <v>7.2299999999999996E-5</v>
      </c>
      <c r="D589" s="87">
        <v>5.66E-5</v>
      </c>
      <c r="E589" s="231">
        <v>110454</v>
      </c>
      <c r="F589" s="231"/>
      <c r="G589" s="232">
        <v>6363</v>
      </c>
      <c r="H589" s="220">
        <v>26818</v>
      </c>
      <c r="I589" s="232">
        <v>15774</v>
      </c>
      <c r="J589" s="231">
        <v>12280</v>
      </c>
      <c r="K589" s="220">
        <f t="shared" si="18"/>
        <v>61235</v>
      </c>
      <c r="L589" s="231"/>
      <c r="M589" s="232">
        <v>3127</v>
      </c>
      <c r="N589" s="232">
        <v>0</v>
      </c>
      <c r="O589" s="231">
        <v>4004</v>
      </c>
      <c r="P589" s="220">
        <f t="shared" si="19"/>
        <v>7131</v>
      </c>
      <c r="Q589" s="231"/>
      <c r="R589" s="232">
        <v>37223</v>
      </c>
      <c r="S589" s="233">
        <v>2528</v>
      </c>
      <c r="T589" s="233">
        <v>39751</v>
      </c>
    </row>
    <row r="590" spans="1:20">
      <c r="A590" s="226">
        <v>96421</v>
      </c>
      <c r="B590" s="227" t="s">
        <v>1296</v>
      </c>
      <c r="C590" s="87">
        <v>4.2529999999999998E-4</v>
      </c>
      <c r="D590" s="87">
        <v>4.2860000000000001E-4</v>
      </c>
      <c r="E590" s="231">
        <v>649741</v>
      </c>
      <c r="F590" s="231"/>
      <c r="G590" s="232">
        <v>37431</v>
      </c>
      <c r="H590" s="220">
        <v>157758</v>
      </c>
      <c r="I590" s="232">
        <v>92792</v>
      </c>
      <c r="J590" s="231">
        <v>0</v>
      </c>
      <c r="K590" s="220">
        <f t="shared" si="18"/>
        <v>287981</v>
      </c>
      <c r="L590" s="231"/>
      <c r="M590" s="232">
        <v>18392</v>
      </c>
      <c r="N590" s="232">
        <v>0</v>
      </c>
      <c r="O590" s="231">
        <v>78762</v>
      </c>
      <c r="P590" s="220">
        <f t="shared" si="19"/>
        <v>97154</v>
      </c>
      <c r="Q590" s="231"/>
      <c r="R590" s="232">
        <v>218963</v>
      </c>
      <c r="S590" s="233">
        <v>-35149</v>
      </c>
      <c r="T590" s="233">
        <v>183814</v>
      </c>
    </row>
    <row r="591" spans="1:20">
      <c r="A591" s="226">
        <v>96431</v>
      </c>
      <c r="B591" s="227" t="s">
        <v>1297</v>
      </c>
      <c r="C591" s="87">
        <v>4.2799999999999997E-5</v>
      </c>
      <c r="D591" s="87">
        <v>5.6100000000000002E-5</v>
      </c>
      <c r="E591" s="231">
        <v>65387</v>
      </c>
      <c r="F591" s="231"/>
      <c r="G591" s="232">
        <v>3767</v>
      </c>
      <c r="H591" s="220">
        <v>15876</v>
      </c>
      <c r="I591" s="232">
        <v>9338</v>
      </c>
      <c r="J591" s="231">
        <v>6277</v>
      </c>
      <c r="K591" s="220">
        <f t="shared" si="18"/>
        <v>35258</v>
      </c>
      <c r="L591" s="231"/>
      <c r="M591" s="232">
        <v>1851</v>
      </c>
      <c r="N591" s="232">
        <v>0</v>
      </c>
      <c r="O591" s="231">
        <v>10135</v>
      </c>
      <c r="P591" s="220">
        <f t="shared" si="19"/>
        <v>11986</v>
      </c>
      <c r="Q591" s="231"/>
      <c r="R591" s="232">
        <v>22035</v>
      </c>
      <c r="S591" s="233">
        <v>-1596</v>
      </c>
      <c r="T591" s="233">
        <v>20439</v>
      </c>
    </row>
    <row r="592" spans="1:20">
      <c r="A592" s="226">
        <v>96441</v>
      </c>
      <c r="B592" s="227" t="s">
        <v>1298</v>
      </c>
      <c r="C592" s="87">
        <v>2.97E-5</v>
      </c>
      <c r="D592" s="87">
        <v>3.1199999999999999E-5</v>
      </c>
      <c r="E592" s="231">
        <v>45373</v>
      </c>
      <c r="F592" s="231"/>
      <c r="G592" s="232">
        <v>2614</v>
      </c>
      <c r="H592" s="220">
        <v>11017</v>
      </c>
      <c r="I592" s="232">
        <v>6480</v>
      </c>
      <c r="J592" s="231">
        <v>7489</v>
      </c>
      <c r="K592" s="220">
        <f t="shared" si="18"/>
        <v>27600</v>
      </c>
      <c r="L592" s="231"/>
      <c r="M592" s="232">
        <v>1284</v>
      </c>
      <c r="N592" s="232">
        <v>0</v>
      </c>
      <c r="O592" s="231">
        <v>440</v>
      </c>
      <c r="P592" s="220">
        <f t="shared" si="19"/>
        <v>1724</v>
      </c>
      <c r="Q592" s="231"/>
      <c r="R592" s="232">
        <v>15291</v>
      </c>
      <c r="S592" s="233">
        <v>2815</v>
      </c>
      <c r="T592" s="233">
        <v>18106</v>
      </c>
    </row>
    <row r="593" spans="1:20">
      <c r="A593" s="226">
        <v>96451</v>
      </c>
      <c r="B593" s="227" t="s">
        <v>1299</v>
      </c>
      <c r="C593" s="87">
        <v>2.0299999999999999E-5</v>
      </c>
      <c r="D593" s="87">
        <v>1.38E-5</v>
      </c>
      <c r="E593" s="231">
        <v>31013</v>
      </c>
      <c r="F593" s="231"/>
      <c r="G593" s="232">
        <v>1787</v>
      </c>
      <c r="H593" s="220">
        <v>7530</v>
      </c>
      <c r="I593" s="232">
        <v>4429</v>
      </c>
      <c r="J593" s="231">
        <v>6431</v>
      </c>
      <c r="K593" s="220">
        <f t="shared" si="18"/>
        <v>20177</v>
      </c>
      <c r="L593" s="231"/>
      <c r="M593" s="232">
        <v>878</v>
      </c>
      <c r="N593" s="232">
        <v>0</v>
      </c>
      <c r="O593" s="231">
        <v>1319</v>
      </c>
      <c r="P593" s="220">
        <f t="shared" si="19"/>
        <v>2197</v>
      </c>
      <c r="Q593" s="231"/>
      <c r="R593" s="232">
        <v>10451</v>
      </c>
      <c r="S593" s="233">
        <v>994</v>
      </c>
      <c r="T593" s="233">
        <v>11445</v>
      </c>
    </row>
    <row r="594" spans="1:20">
      <c r="A594" s="226">
        <v>96461</v>
      </c>
      <c r="B594" s="227" t="s">
        <v>1300</v>
      </c>
      <c r="C594" s="87">
        <v>1.361E-4</v>
      </c>
      <c r="D594" s="87">
        <v>1.3410000000000001E-4</v>
      </c>
      <c r="E594" s="231">
        <v>207923</v>
      </c>
      <c r="F594" s="231"/>
      <c r="G594" s="232">
        <v>11978</v>
      </c>
      <c r="H594" s="220">
        <v>50484</v>
      </c>
      <c r="I594" s="232">
        <v>29694</v>
      </c>
      <c r="J594" s="231">
        <v>6504</v>
      </c>
      <c r="K594" s="220">
        <f t="shared" si="18"/>
        <v>98660</v>
      </c>
      <c r="L594" s="231"/>
      <c r="M594" s="232">
        <v>5886</v>
      </c>
      <c r="N594" s="232">
        <v>0</v>
      </c>
      <c r="O594" s="231">
        <v>18452</v>
      </c>
      <c r="P594" s="220">
        <f t="shared" si="19"/>
        <v>24338</v>
      </c>
      <c r="Q594" s="231"/>
      <c r="R594" s="232">
        <v>70070</v>
      </c>
      <c r="S594" s="233">
        <v>-3923</v>
      </c>
      <c r="T594" s="233">
        <f>66148-1</f>
        <v>66147</v>
      </c>
    </row>
    <row r="595" spans="1:20">
      <c r="A595" s="226">
        <v>96501</v>
      </c>
      <c r="B595" s="227" t="s">
        <v>1301</v>
      </c>
      <c r="C595" s="87">
        <v>1.44739E-2</v>
      </c>
      <c r="D595" s="87">
        <v>1.4156999999999999E-2</v>
      </c>
      <c r="E595" s="231">
        <v>22112110</v>
      </c>
      <c r="F595" s="231"/>
      <c r="G595" s="232">
        <v>1273862</v>
      </c>
      <c r="H595" s="220">
        <v>5368847</v>
      </c>
      <c r="I595" s="232">
        <v>3157916</v>
      </c>
      <c r="J595" s="231">
        <v>365065</v>
      </c>
      <c r="K595" s="220">
        <f t="shared" si="18"/>
        <v>10165690</v>
      </c>
      <c r="L595" s="231"/>
      <c r="M595" s="232">
        <v>625924</v>
      </c>
      <c r="N595" s="232">
        <v>0</v>
      </c>
      <c r="O595" s="231">
        <v>292930</v>
      </c>
      <c r="P595" s="220">
        <f t="shared" si="19"/>
        <v>918854</v>
      </c>
      <c r="Q595" s="231"/>
      <c r="R595" s="232">
        <v>7451801</v>
      </c>
      <c r="S595" s="233">
        <v>150498</v>
      </c>
      <c r="T595" s="233">
        <f>7602298+1</f>
        <v>7602299</v>
      </c>
    </row>
    <row r="596" spans="1:20">
      <c r="A596" s="226">
        <v>96502</v>
      </c>
      <c r="B596" s="227" t="s">
        <v>1302</v>
      </c>
      <c r="C596" s="87">
        <v>4.2440000000000002E-4</v>
      </c>
      <c r="D596" s="87">
        <v>4.2309999999999998E-4</v>
      </c>
      <c r="E596" s="231">
        <v>648366</v>
      </c>
      <c r="F596" s="231"/>
      <c r="G596" s="232">
        <v>37352</v>
      </c>
      <c r="H596" s="220">
        <v>157424</v>
      </c>
      <c r="I596" s="232">
        <v>92596</v>
      </c>
      <c r="J596" s="231">
        <v>39317</v>
      </c>
      <c r="K596" s="220">
        <f t="shared" si="18"/>
        <v>326689</v>
      </c>
      <c r="L596" s="231"/>
      <c r="M596" s="232">
        <v>18353</v>
      </c>
      <c r="N596" s="232">
        <v>0</v>
      </c>
      <c r="O596" s="231">
        <v>0</v>
      </c>
      <c r="P596" s="220">
        <f t="shared" si="19"/>
        <v>18353</v>
      </c>
      <c r="Q596" s="231"/>
      <c r="R596" s="232">
        <v>218500</v>
      </c>
      <c r="S596" s="233">
        <v>23185</v>
      </c>
      <c r="T596" s="233">
        <v>241685</v>
      </c>
    </row>
    <row r="597" spans="1:20">
      <c r="A597" s="226">
        <v>96503</v>
      </c>
      <c r="B597" s="227" t="s">
        <v>1303</v>
      </c>
      <c r="C597" s="87">
        <v>3.0039999999999998E-4</v>
      </c>
      <c r="D597" s="87">
        <v>3.3700000000000001E-4</v>
      </c>
      <c r="E597" s="231">
        <v>458928</v>
      </c>
      <c r="F597" s="231"/>
      <c r="G597" s="232">
        <v>26439</v>
      </c>
      <c r="H597" s="220">
        <v>111428</v>
      </c>
      <c r="I597" s="232">
        <v>65541</v>
      </c>
      <c r="J597" s="231">
        <v>240013</v>
      </c>
      <c r="K597" s="220">
        <f t="shared" si="18"/>
        <v>443421</v>
      </c>
      <c r="L597" s="231"/>
      <c r="M597" s="232">
        <v>12991</v>
      </c>
      <c r="N597" s="232">
        <v>0</v>
      </c>
      <c r="O597" s="231">
        <v>14874</v>
      </c>
      <c r="P597" s="220">
        <f t="shared" si="19"/>
        <v>27865</v>
      </c>
      <c r="Q597" s="231"/>
      <c r="R597" s="232">
        <v>154659</v>
      </c>
      <c r="S597" s="233">
        <v>71167</v>
      </c>
      <c r="T597" s="233">
        <v>225826</v>
      </c>
    </row>
    <row r="598" spans="1:20">
      <c r="A598" s="226">
        <v>96504</v>
      </c>
      <c r="B598" s="227" t="s">
        <v>1304</v>
      </c>
      <c r="C598" s="87">
        <v>4.1760000000000001E-4</v>
      </c>
      <c r="D598" s="87">
        <v>3.6039999999999998E-4</v>
      </c>
      <c r="E598" s="231">
        <v>637977</v>
      </c>
      <c r="F598" s="231"/>
      <c r="G598" s="232">
        <v>36753</v>
      </c>
      <c r="H598" s="220">
        <v>154902</v>
      </c>
      <c r="I598" s="232">
        <v>91112</v>
      </c>
      <c r="J598" s="231">
        <v>44166</v>
      </c>
      <c r="K598" s="220">
        <f t="shared" si="18"/>
        <v>326933</v>
      </c>
      <c r="L598" s="231"/>
      <c r="M598" s="232">
        <v>18059</v>
      </c>
      <c r="N598" s="232">
        <v>0</v>
      </c>
      <c r="O598" s="231">
        <v>4428</v>
      </c>
      <c r="P598" s="220">
        <f t="shared" si="19"/>
        <v>22487</v>
      </c>
      <c r="Q598" s="231"/>
      <c r="R598" s="232">
        <v>214999</v>
      </c>
      <c r="S598" s="233">
        <v>11523</v>
      </c>
      <c r="T598" s="233">
        <f>226521+1</f>
        <v>226522</v>
      </c>
    </row>
    <row r="599" spans="1:20">
      <c r="A599" s="226">
        <v>96507</v>
      </c>
      <c r="B599" s="227" t="s">
        <v>1305</v>
      </c>
      <c r="C599" s="87">
        <v>2.2147E-3</v>
      </c>
      <c r="D599" s="87">
        <v>2.2604999999999999E-3</v>
      </c>
      <c r="E599" s="231">
        <v>3383448</v>
      </c>
      <c r="F599" s="231"/>
      <c r="G599" s="232">
        <v>194918</v>
      </c>
      <c r="H599" s="220">
        <v>821505</v>
      </c>
      <c r="I599" s="232">
        <v>483203</v>
      </c>
      <c r="J599" s="231">
        <v>115759</v>
      </c>
      <c r="K599" s="220">
        <f t="shared" si="18"/>
        <v>1615385</v>
      </c>
      <c r="L599" s="231"/>
      <c r="M599" s="232">
        <v>95775</v>
      </c>
      <c r="N599" s="232">
        <v>0</v>
      </c>
      <c r="O599" s="231">
        <v>22795</v>
      </c>
      <c r="P599" s="220">
        <f t="shared" si="19"/>
        <v>118570</v>
      </c>
      <c r="Q599" s="231"/>
      <c r="R599" s="232">
        <v>1140225</v>
      </c>
      <c r="S599" s="233">
        <v>58867</v>
      </c>
      <c r="T599" s="233">
        <v>1199092</v>
      </c>
    </row>
    <row r="600" spans="1:20">
      <c r="A600" s="226">
        <v>96508</v>
      </c>
      <c r="B600" s="227" t="s">
        <v>1306</v>
      </c>
      <c r="C600" s="87">
        <v>8.6000000000000007E-6</v>
      </c>
      <c r="D600" s="87">
        <v>9.7999999999999993E-6</v>
      </c>
      <c r="E600" s="231">
        <v>13138</v>
      </c>
      <c r="F600" s="231"/>
      <c r="G600" s="232">
        <v>757</v>
      </c>
      <c r="H600" s="220">
        <v>3190</v>
      </c>
      <c r="I600" s="232">
        <v>1876</v>
      </c>
      <c r="J600" s="231">
        <v>11113</v>
      </c>
      <c r="K600" s="220">
        <f t="shared" si="18"/>
        <v>16936</v>
      </c>
      <c r="L600" s="231"/>
      <c r="M600" s="232">
        <v>372</v>
      </c>
      <c r="N600" s="232">
        <v>0</v>
      </c>
      <c r="O600" s="231">
        <v>0</v>
      </c>
      <c r="P600" s="220">
        <f t="shared" si="19"/>
        <v>372</v>
      </c>
      <c r="Q600" s="231"/>
      <c r="R600" s="232">
        <v>4428</v>
      </c>
      <c r="S600" s="233">
        <v>4402</v>
      </c>
      <c r="T600" s="233">
        <v>8830</v>
      </c>
    </row>
    <row r="601" spans="1:20">
      <c r="A601" s="226">
        <v>96511</v>
      </c>
      <c r="B601" s="227" t="s">
        <v>1307</v>
      </c>
      <c r="C601" s="87">
        <v>6.2069999999999996E-4</v>
      </c>
      <c r="D601" s="87">
        <v>6.221E-4</v>
      </c>
      <c r="E601" s="231">
        <v>948258</v>
      </c>
      <c r="F601" s="231"/>
      <c r="G601" s="232">
        <v>54628</v>
      </c>
      <c r="H601" s="220">
        <v>230238</v>
      </c>
      <c r="I601" s="232">
        <v>135424</v>
      </c>
      <c r="J601" s="231">
        <v>0</v>
      </c>
      <c r="K601" s="220">
        <f t="shared" si="18"/>
        <v>420290</v>
      </c>
      <c r="L601" s="231"/>
      <c r="M601" s="232">
        <v>26842</v>
      </c>
      <c r="N601" s="232">
        <v>0</v>
      </c>
      <c r="O601" s="231">
        <v>95843</v>
      </c>
      <c r="P601" s="220">
        <f t="shared" si="19"/>
        <v>122685</v>
      </c>
      <c r="Q601" s="231"/>
      <c r="R601" s="232">
        <v>319564</v>
      </c>
      <c r="S601" s="233">
        <v>-49396</v>
      </c>
      <c r="T601" s="233">
        <v>270168</v>
      </c>
    </row>
    <row r="602" spans="1:20">
      <c r="A602" s="226">
        <v>96512</v>
      </c>
      <c r="B602" s="227" t="s">
        <v>1308</v>
      </c>
      <c r="C602" s="87">
        <v>1.5119999999999999E-4</v>
      </c>
      <c r="D602" s="87">
        <v>1.7000000000000001E-4</v>
      </c>
      <c r="E602" s="231">
        <v>230992</v>
      </c>
      <c r="F602" s="231"/>
      <c r="G602" s="232">
        <v>13307</v>
      </c>
      <c r="H602" s="220">
        <v>56085</v>
      </c>
      <c r="I602" s="232">
        <v>32989</v>
      </c>
      <c r="J602" s="231">
        <v>5578</v>
      </c>
      <c r="K602" s="220">
        <f t="shared" si="18"/>
        <v>107959</v>
      </c>
      <c r="L602" s="231"/>
      <c r="M602" s="232">
        <v>6539</v>
      </c>
      <c r="N602" s="232">
        <v>0</v>
      </c>
      <c r="O602" s="231">
        <v>9964</v>
      </c>
      <c r="P602" s="220">
        <f t="shared" si="19"/>
        <v>16503</v>
      </c>
      <c r="Q602" s="231"/>
      <c r="R602" s="232">
        <v>77844</v>
      </c>
      <c r="S602" s="233">
        <v>198</v>
      </c>
      <c r="T602" s="233">
        <v>78042</v>
      </c>
    </row>
    <row r="603" spans="1:20">
      <c r="A603" s="226">
        <v>96521</v>
      </c>
      <c r="B603" s="227" t="s">
        <v>1309</v>
      </c>
      <c r="C603" s="87">
        <v>9.881E-4</v>
      </c>
      <c r="D603" s="87">
        <v>9.4240000000000003E-4</v>
      </c>
      <c r="E603" s="231">
        <v>1509543</v>
      </c>
      <c r="F603" s="231"/>
      <c r="G603" s="232">
        <v>86964</v>
      </c>
      <c r="H603" s="220">
        <v>366519</v>
      </c>
      <c r="I603" s="232">
        <v>215584</v>
      </c>
      <c r="J603" s="231">
        <v>30024</v>
      </c>
      <c r="K603" s="220">
        <f t="shared" si="18"/>
        <v>699091</v>
      </c>
      <c r="L603" s="231"/>
      <c r="M603" s="232">
        <v>42730</v>
      </c>
      <c r="N603" s="232">
        <v>0</v>
      </c>
      <c r="O603" s="231">
        <v>25241</v>
      </c>
      <c r="P603" s="220">
        <f t="shared" si="19"/>
        <v>67971</v>
      </c>
      <c r="Q603" s="231"/>
      <c r="R603" s="232">
        <v>508717</v>
      </c>
      <c r="S603" s="233">
        <v>6710</v>
      </c>
      <c r="T603" s="233">
        <f>515428-1</f>
        <v>515427</v>
      </c>
    </row>
    <row r="604" spans="1:20">
      <c r="A604" s="226">
        <v>96531</v>
      </c>
      <c r="B604" s="227" t="s">
        <v>1310</v>
      </c>
      <c r="C604" s="87">
        <v>8.5845000000000001E-3</v>
      </c>
      <c r="D604" s="87">
        <v>8.6088999999999992E-3</v>
      </c>
      <c r="E604" s="231">
        <v>13114738</v>
      </c>
      <c r="F604" s="231"/>
      <c r="G604" s="232">
        <v>755530</v>
      </c>
      <c r="H604" s="220">
        <v>3184274</v>
      </c>
      <c r="I604" s="232">
        <v>1872966</v>
      </c>
      <c r="J604" s="231">
        <v>48765</v>
      </c>
      <c r="K604" s="220">
        <f t="shared" si="18"/>
        <v>5861535</v>
      </c>
      <c r="L604" s="231"/>
      <c r="M604" s="232">
        <v>371237</v>
      </c>
      <c r="N604" s="232">
        <v>0</v>
      </c>
      <c r="O604" s="231">
        <v>418860</v>
      </c>
      <c r="P604" s="220">
        <f t="shared" si="19"/>
        <v>790097</v>
      </c>
      <c r="Q604" s="231"/>
      <c r="R604" s="232">
        <v>4419678</v>
      </c>
      <c r="S604" s="233">
        <v>-117601</v>
      </c>
      <c r="T604" s="233">
        <v>4302077</v>
      </c>
    </row>
    <row r="605" spans="1:20">
      <c r="A605" s="226">
        <v>96541</v>
      </c>
      <c r="B605" s="227" t="s">
        <v>1311</v>
      </c>
      <c r="C605" s="87">
        <v>3.5950000000000001E-4</v>
      </c>
      <c r="D605" s="87">
        <v>3.3169999999999999E-4</v>
      </c>
      <c r="E605" s="231">
        <v>549216</v>
      </c>
      <c r="F605" s="231"/>
      <c r="G605" s="232">
        <v>31640</v>
      </c>
      <c r="H605" s="220">
        <v>133350</v>
      </c>
      <c r="I605" s="232">
        <v>78436</v>
      </c>
      <c r="J605" s="231">
        <v>24801</v>
      </c>
      <c r="K605" s="220">
        <f t="shared" si="18"/>
        <v>268227</v>
      </c>
      <c r="L605" s="231"/>
      <c r="M605" s="232">
        <v>15547</v>
      </c>
      <c r="N605" s="232">
        <v>0</v>
      </c>
      <c r="O605" s="231">
        <v>0</v>
      </c>
      <c r="P605" s="220">
        <f t="shared" si="19"/>
        <v>15547</v>
      </c>
      <c r="Q605" s="231"/>
      <c r="R605" s="232">
        <v>185086</v>
      </c>
      <c r="S605" s="233">
        <v>13028</v>
      </c>
      <c r="T605" s="233">
        <f>198115-1</f>
        <v>198114</v>
      </c>
    </row>
    <row r="606" spans="1:20">
      <c r="A606" s="226">
        <v>96601</v>
      </c>
      <c r="B606" s="227" t="s">
        <v>1312</v>
      </c>
      <c r="C606" s="87">
        <v>1.8169E-3</v>
      </c>
      <c r="D606" s="87">
        <v>1.8416000000000001E-3</v>
      </c>
      <c r="E606" s="231">
        <v>2775720</v>
      </c>
      <c r="F606" s="231"/>
      <c r="G606" s="232">
        <v>159907</v>
      </c>
      <c r="H606" s="220">
        <v>673948</v>
      </c>
      <c r="I606" s="232">
        <v>396411</v>
      </c>
      <c r="J606" s="231">
        <v>50154</v>
      </c>
      <c r="K606" s="220">
        <f t="shared" si="18"/>
        <v>1280420</v>
      </c>
      <c r="L606" s="231"/>
      <c r="M606" s="232">
        <v>78572</v>
      </c>
      <c r="N606" s="232">
        <v>0</v>
      </c>
      <c r="O606" s="231">
        <v>4139</v>
      </c>
      <c r="P606" s="220">
        <f t="shared" si="19"/>
        <v>82711</v>
      </c>
      <c r="Q606" s="231"/>
      <c r="R606" s="232">
        <v>935420</v>
      </c>
      <c r="S606" s="233">
        <v>30132</v>
      </c>
      <c r="T606" s="233">
        <v>965552</v>
      </c>
    </row>
    <row r="607" spans="1:20">
      <c r="A607" s="226">
        <v>96604</v>
      </c>
      <c r="B607" s="227" t="s">
        <v>1313</v>
      </c>
      <c r="C607" s="87">
        <v>7.6000000000000001E-6</v>
      </c>
      <c r="D607" s="87">
        <v>7.9000000000000006E-6</v>
      </c>
      <c r="E607" s="231">
        <v>11611</v>
      </c>
      <c r="F607" s="231"/>
      <c r="G607" s="232">
        <v>669</v>
      </c>
      <c r="H607" s="220">
        <v>2819</v>
      </c>
      <c r="I607" s="232">
        <v>1658</v>
      </c>
      <c r="J607" s="231">
        <v>2027</v>
      </c>
      <c r="K607" s="220">
        <f t="shared" si="18"/>
        <v>7173</v>
      </c>
      <c r="L607" s="231"/>
      <c r="M607" s="232">
        <v>329</v>
      </c>
      <c r="N607" s="232">
        <v>0</v>
      </c>
      <c r="O607" s="231">
        <v>70</v>
      </c>
      <c r="P607" s="220">
        <f t="shared" si="19"/>
        <v>399</v>
      </c>
      <c r="Q607" s="231"/>
      <c r="R607" s="232">
        <v>3913</v>
      </c>
      <c r="S607" s="233">
        <v>799</v>
      </c>
      <c r="T607" s="233">
        <v>4712</v>
      </c>
    </row>
    <row r="608" spans="1:20">
      <c r="A608" s="226">
        <v>96611</v>
      </c>
      <c r="B608" s="227" t="s">
        <v>1314</v>
      </c>
      <c r="C608" s="87">
        <v>2.83E-5</v>
      </c>
      <c r="D608" s="87">
        <v>3.29E-5</v>
      </c>
      <c r="E608" s="231">
        <v>43235</v>
      </c>
      <c r="F608" s="231"/>
      <c r="G608" s="232">
        <v>2491</v>
      </c>
      <c r="H608" s="220">
        <v>10498</v>
      </c>
      <c r="I608" s="232">
        <v>6174</v>
      </c>
      <c r="J608" s="231">
        <v>1561</v>
      </c>
      <c r="K608" s="220">
        <f t="shared" si="18"/>
        <v>20724</v>
      </c>
      <c r="L608" s="231"/>
      <c r="M608" s="232">
        <v>1224</v>
      </c>
      <c r="N608" s="232">
        <v>0</v>
      </c>
      <c r="O608" s="231">
        <v>4284</v>
      </c>
      <c r="P608" s="220">
        <f t="shared" si="19"/>
        <v>5508</v>
      </c>
      <c r="Q608" s="231"/>
      <c r="R608" s="232">
        <v>14570</v>
      </c>
      <c r="S608" s="233">
        <v>112</v>
      </c>
      <c r="T608" s="233">
        <f>14683-1</f>
        <v>14682</v>
      </c>
    </row>
    <row r="609" spans="1:20">
      <c r="A609" s="226">
        <v>96612</v>
      </c>
      <c r="B609" s="227" t="s">
        <v>1315</v>
      </c>
      <c r="C609" s="87">
        <v>6.3299999999999994E-5</v>
      </c>
      <c r="D609" s="87">
        <v>6.3899999999999995E-5</v>
      </c>
      <c r="E609" s="231">
        <v>96705</v>
      </c>
      <c r="F609" s="231"/>
      <c r="G609" s="232">
        <v>5571</v>
      </c>
      <c r="H609" s="220">
        <v>23480</v>
      </c>
      <c r="I609" s="232">
        <v>13811</v>
      </c>
      <c r="J609" s="231">
        <v>7699</v>
      </c>
      <c r="K609" s="220">
        <f t="shared" si="18"/>
        <v>50561</v>
      </c>
      <c r="L609" s="231"/>
      <c r="M609" s="232">
        <v>2737</v>
      </c>
      <c r="N609" s="232">
        <v>0</v>
      </c>
      <c r="O609" s="231">
        <v>658</v>
      </c>
      <c r="P609" s="220">
        <f t="shared" si="19"/>
        <v>3395</v>
      </c>
      <c r="Q609" s="231"/>
      <c r="R609" s="232">
        <v>32590</v>
      </c>
      <c r="S609" s="233">
        <v>2270</v>
      </c>
      <c r="T609" s="233">
        <f>34859+1</f>
        <v>34860</v>
      </c>
    </row>
    <row r="610" spans="1:20">
      <c r="A610" s="226">
        <v>96621</v>
      </c>
      <c r="B610" s="227" t="s">
        <v>1316</v>
      </c>
      <c r="C610" s="87">
        <v>2.5999999999999998E-5</v>
      </c>
      <c r="D610" s="87">
        <v>2.65E-5</v>
      </c>
      <c r="E610" s="231">
        <v>39721</v>
      </c>
      <c r="F610" s="231"/>
      <c r="G610" s="232">
        <v>2288</v>
      </c>
      <c r="H610" s="220">
        <v>9644</v>
      </c>
      <c r="I610" s="232">
        <v>5673</v>
      </c>
      <c r="J610" s="231">
        <v>1435</v>
      </c>
      <c r="K610" s="220">
        <f t="shared" si="18"/>
        <v>19040</v>
      </c>
      <c r="L610" s="231"/>
      <c r="M610" s="232">
        <v>1124</v>
      </c>
      <c r="N610" s="232">
        <v>0</v>
      </c>
      <c r="O610" s="231">
        <v>4828</v>
      </c>
      <c r="P610" s="220">
        <f t="shared" si="19"/>
        <v>5952</v>
      </c>
      <c r="Q610" s="231"/>
      <c r="R610" s="232">
        <v>13386</v>
      </c>
      <c r="S610" s="233">
        <v>-2281</v>
      </c>
      <c r="T610" s="233">
        <v>11105</v>
      </c>
    </row>
    <row r="611" spans="1:20">
      <c r="A611" s="226">
        <v>96631</v>
      </c>
      <c r="B611" s="227" t="s">
        <v>1317</v>
      </c>
      <c r="C611" s="87">
        <v>2.51E-5</v>
      </c>
      <c r="D611" s="87">
        <v>2.5899999999999999E-5</v>
      </c>
      <c r="E611" s="231">
        <v>38346</v>
      </c>
      <c r="F611" s="231"/>
      <c r="G611" s="232">
        <v>2209</v>
      </c>
      <c r="H611" s="220">
        <v>9311</v>
      </c>
      <c r="I611" s="232">
        <v>5476</v>
      </c>
      <c r="J611" s="231">
        <v>3375</v>
      </c>
      <c r="K611" s="220">
        <f t="shared" si="18"/>
        <v>20371</v>
      </c>
      <c r="L611" s="231"/>
      <c r="M611" s="232">
        <v>1085</v>
      </c>
      <c r="N611" s="232">
        <v>0</v>
      </c>
      <c r="O611" s="231">
        <v>345</v>
      </c>
      <c r="P611" s="220">
        <f t="shared" si="19"/>
        <v>1430</v>
      </c>
      <c r="Q611" s="231"/>
      <c r="R611" s="232">
        <v>12923</v>
      </c>
      <c r="S611" s="233">
        <v>2192</v>
      </c>
      <c r="T611" s="233">
        <f>15114+1</f>
        <v>15115</v>
      </c>
    </row>
    <row r="612" spans="1:20">
      <c r="A612" s="226">
        <v>96641</v>
      </c>
      <c r="B612" s="227" t="s">
        <v>1318</v>
      </c>
      <c r="C612" s="87">
        <v>3.2199999999999997E-5</v>
      </c>
      <c r="D612" s="87">
        <v>2.6999999999999999E-5</v>
      </c>
      <c r="E612" s="231">
        <v>49193</v>
      </c>
      <c r="F612" s="231"/>
      <c r="G612" s="232">
        <v>2834</v>
      </c>
      <c r="H612" s="220">
        <v>11944</v>
      </c>
      <c r="I612" s="232">
        <v>7025</v>
      </c>
      <c r="J612" s="231">
        <v>15380</v>
      </c>
      <c r="K612" s="220">
        <f t="shared" si="18"/>
        <v>37183</v>
      </c>
      <c r="L612" s="231"/>
      <c r="M612" s="232">
        <v>1392</v>
      </c>
      <c r="N612" s="232">
        <v>0</v>
      </c>
      <c r="O612" s="231">
        <v>0</v>
      </c>
      <c r="P612" s="220">
        <f t="shared" si="19"/>
        <v>1392</v>
      </c>
      <c r="Q612" s="231"/>
      <c r="R612" s="232">
        <v>16578</v>
      </c>
      <c r="S612" s="233">
        <v>5934</v>
      </c>
      <c r="T612" s="233">
        <v>22512</v>
      </c>
    </row>
    <row r="613" spans="1:20">
      <c r="A613" s="226">
        <v>96651</v>
      </c>
      <c r="B613" s="227" t="s">
        <v>1319</v>
      </c>
      <c r="C613" s="87">
        <v>1.7399999999999999E-5</v>
      </c>
      <c r="D613" s="87">
        <v>1.9400000000000001E-5</v>
      </c>
      <c r="E613" s="231">
        <v>26582</v>
      </c>
      <c r="F613" s="231"/>
      <c r="G613" s="232">
        <v>1531</v>
      </c>
      <c r="H613" s="220">
        <v>6454</v>
      </c>
      <c r="I613" s="232">
        <v>3796</v>
      </c>
      <c r="J613" s="231">
        <v>1983</v>
      </c>
      <c r="K613" s="220">
        <f t="shared" si="18"/>
        <v>13764</v>
      </c>
      <c r="L613" s="231"/>
      <c r="M613" s="232">
        <v>752</v>
      </c>
      <c r="N613" s="232">
        <v>0</v>
      </c>
      <c r="O613" s="231">
        <v>1305</v>
      </c>
      <c r="P613" s="220">
        <f t="shared" si="19"/>
        <v>2057</v>
      </c>
      <c r="Q613" s="231"/>
      <c r="R613" s="232">
        <v>8958</v>
      </c>
      <c r="S613" s="233">
        <v>-364</v>
      </c>
      <c r="T613" s="233">
        <f>8595-1</f>
        <v>8594</v>
      </c>
    </row>
    <row r="614" spans="1:20">
      <c r="A614" s="226">
        <v>96661</v>
      </c>
      <c r="B614" s="227" t="s">
        <v>1320</v>
      </c>
      <c r="C614" s="87">
        <v>1.9700000000000001E-5</v>
      </c>
      <c r="D614" s="87">
        <v>1.9000000000000001E-5</v>
      </c>
      <c r="E614" s="231">
        <v>30096</v>
      </c>
      <c r="F614" s="231"/>
      <c r="G614" s="232">
        <v>1734</v>
      </c>
      <c r="H614" s="220">
        <v>7308</v>
      </c>
      <c r="I614" s="232">
        <v>4298</v>
      </c>
      <c r="J614" s="231">
        <v>5449</v>
      </c>
      <c r="K614" s="220">
        <f t="shared" si="18"/>
        <v>18789</v>
      </c>
      <c r="L614" s="231"/>
      <c r="M614" s="232">
        <v>852</v>
      </c>
      <c r="N614" s="232">
        <v>0</v>
      </c>
      <c r="O614" s="231">
        <v>0</v>
      </c>
      <c r="P614" s="220">
        <f t="shared" si="19"/>
        <v>852</v>
      </c>
      <c r="Q614" s="231"/>
      <c r="R614" s="232">
        <v>10142</v>
      </c>
      <c r="S614" s="233">
        <v>2525</v>
      </c>
      <c r="T614" s="233">
        <f>12668-1</f>
        <v>12667</v>
      </c>
    </row>
    <row r="615" spans="1:20">
      <c r="A615" s="226">
        <v>96671</v>
      </c>
      <c r="B615" s="227" t="s">
        <v>1321</v>
      </c>
      <c r="C615" s="87">
        <v>1.49E-5</v>
      </c>
      <c r="D615" s="87">
        <v>1.5500000000000001E-5</v>
      </c>
      <c r="E615" s="231">
        <v>22763</v>
      </c>
      <c r="F615" s="231"/>
      <c r="G615" s="232">
        <v>1311</v>
      </c>
      <c r="H615" s="220">
        <v>5527</v>
      </c>
      <c r="I615" s="232">
        <v>3251</v>
      </c>
      <c r="J615" s="231">
        <v>8612</v>
      </c>
      <c r="K615" s="220">
        <f t="shared" si="18"/>
        <v>18701</v>
      </c>
      <c r="L615" s="231"/>
      <c r="M615" s="232">
        <v>644</v>
      </c>
      <c r="N615" s="232">
        <v>0</v>
      </c>
      <c r="O615" s="231">
        <v>208</v>
      </c>
      <c r="P615" s="220">
        <f t="shared" si="19"/>
        <v>852</v>
      </c>
      <c r="Q615" s="231"/>
      <c r="R615" s="232">
        <v>7671</v>
      </c>
      <c r="S615" s="233">
        <v>3620</v>
      </c>
      <c r="T615" s="233">
        <v>11291</v>
      </c>
    </row>
    <row r="616" spans="1:20">
      <c r="A616" s="226">
        <v>96681</v>
      </c>
      <c r="B616" s="227" t="s">
        <v>1322</v>
      </c>
      <c r="C616" s="87">
        <v>1.7499999999999998E-5</v>
      </c>
      <c r="D616" s="87">
        <v>3.4799999999999999E-5</v>
      </c>
      <c r="E616" s="231">
        <v>26735</v>
      </c>
      <c r="F616" s="231"/>
      <c r="G616" s="232">
        <v>1540</v>
      </c>
      <c r="H616" s="220">
        <v>6491</v>
      </c>
      <c r="I616" s="232">
        <v>3818</v>
      </c>
      <c r="J616" s="231">
        <v>12682</v>
      </c>
      <c r="K616" s="220">
        <f t="shared" si="18"/>
        <v>24531</v>
      </c>
      <c r="L616" s="231"/>
      <c r="M616" s="232">
        <v>757</v>
      </c>
      <c r="N616" s="232">
        <v>0</v>
      </c>
      <c r="O616" s="231">
        <v>9027</v>
      </c>
      <c r="P616" s="220">
        <f t="shared" si="19"/>
        <v>9784</v>
      </c>
      <c r="Q616" s="231"/>
      <c r="R616" s="232">
        <v>9010</v>
      </c>
      <c r="S616" s="233">
        <v>3129</v>
      </c>
      <c r="T616" s="233">
        <v>12139</v>
      </c>
    </row>
    <row r="617" spans="1:20">
      <c r="A617" s="226">
        <v>96701</v>
      </c>
      <c r="B617" s="227" t="s">
        <v>1323</v>
      </c>
      <c r="C617" s="87">
        <v>8.4206000000000003E-3</v>
      </c>
      <c r="D617" s="87">
        <v>7.7850000000000003E-3</v>
      </c>
      <c r="E617" s="231">
        <v>12864344</v>
      </c>
      <c r="F617" s="231"/>
      <c r="G617" s="232">
        <v>741105</v>
      </c>
      <c r="H617" s="220">
        <v>3123478</v>
      </c>
      <c r="I617" s="232">
        <v>1837207</v>
      </c>
      <c r="J617" s="231">
        <v>445953</v>
      </c>
      <c r="K617" s="220">
        <f t="shared" si="18"/>
        <v>6147743</v>
      </c>
      <c r="L617" s="231"/>
      <c r="M617" s="232">
        <v>364149</v>
      </c>
      <c r="N617" s="232">
        <v>0</v>
      </c>
      <c r="O617" s="231">
        <v>51464</v>
      </c>
      <c r="P617" s="220">
        <f t="shared" si="19"/>
        <v>415613</v>
      </c>
      <c r="Q617" s="231"/>
      <c r="R617" s="232">
        <v>4335295</v>
      </c>
      <c r="S617" s="233">
        <v>139565</v>
      </c>
      <c r="T617" s="233">
        <f>4474861-1</f>
        <v>4474860</v>
      </c>
    </row>
    <row r="618" spans="1:20">
      <c r="A618" s="226">
        <v>96704</v>
      </c>
      <c r="B618" s="227" t="s">
        <v>1324</v>
      </c>
      <c r="C618" s="87">
        <v>1.7259999999999999E-4</v>
      </c>
      <c r="D618" s="87">
        <v>1.5330000000000001E-4</v>
      </c>
      <c r="E618" s="231">
        <v>263685</v>
      </c>
      <c r="F618" s="231"/>
      <c r="G618" s="232">
        <v>15191</v>
      </c>
      <c r="H618" s="220">
        <v>64023</v>
      </c>
      <c r="I618" s="232">
        <v>37658</v>
      </c>
      <c r="J618" s="231">
        <v>28813</v>
      </c>
      <c r="K618" s="220">
        <f t="shared" si="18"/>
        <v>145685</v>
      </c>
      <c r="L618" s="231"/>
      <c r="M618" s="232">
        <v>7464</v>
      </c>
      <c r="N618" s="232">
        <v>0</v>
      </c>
      <c r="O618" s="231">
        <v>0</v>
      </c>
      <c r="P618" s="220">
        <f t="shared" si="19"/>
        <v>7464</v>
      </c>
      <c r="Q618" s="231"/>
      <c r="R618" s="232">
        <v>88862</v>
      </c>
      <c r="S618" s="233">
        <v>9625</v>
      </c>
      <c r="T618" s="233">
        <v>98487</v>
      </c>
    </row>
    <row r="619" spans="1:20">
      <c r="A619" s="226">
        <v>96708</v>
      </c>
      <c r="B619" s="227" t="s">
        <v>1325</v>
      </c>
      <c r="C619" s="87">
        <v>9.031E-4</v>
      </c>
      <c r="D619" s="87">
        <v>8.4590000000000002E-4</v>
      </c>
      <c r="E619" s="231">
        <v>1379687</v>
      </c>
      <c r="F619" s="231"/>
      <c r="G619" s="232">
        <v>79483</v>
      </c>
      <c r="H619" s="220">
        <v>334989</v>
      </c>
      <c r="I619" s="232">
        <v>197038</v>
      </c>
      <c r="J619" s="231">
        <v>93931</v>
      </c>
      <c r="K619" s="220">
        <f t="shared" si="18"/>
        <v>705441</v>
      </c>
      <c r="L619" s="231"/>
      <c r="M619" s="232">
        <v>39055</v>
      </c>
      <c r="N619" s="232">
        <v>0</v>
      </c>
      <c r="O619" s="231">
        <v>19895</v>
      </c>
      <c r="P619" s="220">
        <f t="shared" si="19"/>
        <v>58950</v>
      </c>
      <c r="Q619" s="231"/>
      <c r="R619" s="232">
        <v>464956</v>
      </c>
      <c r="S619" s="233">
        <v>29117</v>
      </c>
      <c r="T619" s="233">
        <v>494073</v>
      </c>
    </row>
    <row r="620" spans="1:20">
      <c r="A620" s="226">
        <v>96711</v>
      </c>
      <c r="B620" s="227" t="s">
        <v>1326</v>
      </c>
      <c r="C620" s="87">
        <v>4.0464000000000003E-3</v>
      </c>
      <c r="D620" s="87">
        <v>4.4140000000000004E-3</v>
      </c>
      <c r="E620" s="231">
        <v>6181778</v>
      </c>
      <c r="F620" s="231"/>
      <c r="G620" s="232">
        <v>356128</v>
      </c>
      <c r="H620" s="220">
        <v>1500943</v>
      </c>
      <c r="I620" s="232">
        <v>882844</v>
      </c>
      <c r="J620" s="231">
        <v>10323</v>
      </c>
      <c r="K620" s="220">
        <f t="shared" si="18"/>
        <v>2750238</v>
      </c>
      <c r="L620" s="231"/>
      <c r="M620" s="232">
        <v>174987</v>
      </c>
      <c r="N620" s="232">
        <v>0</v>
      </c>
      <c r="O620" s="231">
        <v>468550</v>
      </c>
      <c r="P620" s="220">
        <f t="shared" si="19"/>
        <v>643537</v>
      </c>
      <c r="Q620" s="231"/>
      <c r="R620" s="232">
        <v>2083265</v>
      </c>
      <c r="S620" s="233">
        <v>-165088</v>
      </c>
      <c r="T620" s="233">
        <v>1918177</v>
      </c>
    </row>
    <row r="621" spans="1:20">
      <c r="A621" s="226">
        <v>96721</v>
      </c>
      <c r="B621" s="227" t="s">
        <v>1327</v>
      </c>
      <c r="C621" s="87">
        <v>2.1379999999999999E-4</v>
      </c>
      <c r="D621" s="87">
        <v>1.9780000000000001E-4</v>
      </c>
      <c r="E621" s="231">
        <v>326627</v>
      </c>
      <c r="F621" s="231"/>
      <c r="G621" s="232">
        <v>18817</v>
      </c>
      <c r="H621" s="220">
        <v>79305</v>
      </c>
      <c r="I621" s="232">
        <v>46647</v>
      </c>
      <c r="J621" s="231">
        <v>14615</v>
      </c>
      <c r="K621" s="220">
        <f t="shared" si="18"/>
        <v>159384</v>
      </c>
      <c r="L621" s="231"/>
      <c r="M621" s="232">
        <v>9246</v>
      </c>
      <c r="N621" s="232">
        <v>0</v>
      </c>
      <c r="O621" s="231">
        <v>25539</v>
      </c>
      <c r="P621" s="220">
        <f t="shared" si="19"/>
        <v>34785</v>
      </c>
      <c r="Q621" s="231"/>
      <c r="R621" s="232">
        <v>110074</v>
      </c>
      <c r="S621" s="233">
        <v>-1269</v>
      </c>
      <c r="T621" s="233">
        <v>108805</v>
      </c>
    </row>
    <row r="622" spans="1:20">
      <c r="A622" s="226">
        <v>96731</v>
      </c>
      <c r="B622" s="227" t="s">
        <v>1328</v>
      </c>
      <c r="C622" s="87">
        <v>1.697E-4</v>
      </c>
      <c r="D622" s="87">
        <v>1.5090000000000001E-4</v>
      </c>
      <c r="E622" s="231">
        <v>259255</v>
      </c>
      <c r="F622" s="231"/>
      <c r="G622" s="232">
        <v>14935</v>
      </c>
      <c r="H622" s="220">
        <v>62947</v>
      </c>
      <c r="I622" s="232">
        <v>37025</v>
      </c>
      <c r="J622" s="231">
        <v>20951</v>
      </c>
      <c r="K622" s="220">
        <f t="shared" si="18"/>
        <v>135858</v>
      </c>
      <c r="L622" s="231"/>
      <c r="M622" s="232">
        <v>7339</v>
      </c>
      <c r="N622" s="232">
        <v>0</v>
      </c>
      <c r="O622" s="231">
        <v>6</v>
      </c>
      <c r="P622" s="220">
        <f t="shared" si="19"/>
        <v>7345</v>
      </c>
      <c r="Q622" s="231"/>
      <c r="R622" s="232">
        <v>87369</v>
      </c>
      <c r="S622" s="233">
        <v>7300</v>
      </c>
      <c r="T622" s="233">
        <v>94669</v>
      </c>
    </row>
    <row r="623" spans="1:20">
      <c r="A623" s="226">
        <v>96733</v>
      </c>
      <c r="B623" s="227" t="s">
        <v>1329</v>
      </c>
      <c r="C623" s="87">
        <v>7.3000000000000004E-6</v>
      </c>
      <c r="D623" s="87">
        <v>9.2E-6</v>
      </c>
      <c r="E623" s="231">
        <v>11152</v>
      </c>
      <c r="F623" s="231"/>
      <c r="G623" s="232">
        <v>642</v>
      </c>
      <c r="H623" s="220">
        <v>2708</v>
      </c>
      <c r="I623" s="232">
        <v>1593</v>
      </c>
      <c r="J623" s="231">
        <v>3988</v>
      </c>
      <c r="K623" s="220">
        <f t="shared" si="18"/>
        <v>8931</v>
      </c>
      <c r="L623" s="231"/>
      <c r="M623" s="232">
        <v>316</v>
      </c>
      <c r="N623" s="232">
        <v>0</v>
      </c>
      <c r="O623" s="231">
        <v>1209</v>
      </c>
      <c r="P623" s="220">
        <f t="shared" si="19"/>
        <v>1525</v>
      </c>
      <c r="Q623" s="231"/>
      <c r="R623" s="232">
        <v>3758</v>
      </c>
      <c r="S623" s="233">
        <v>1574</v>
      </c>
      <c r="T623" s="233">
        <v>5332</v>
      </c>
    </row>
    <row r="624" spans="1:20">
      <c r="A624" s="226">
        <v>96741</v>
      </c>
      <c r="B624" s="227" t="s">
        <v>1330</v>
      </c>
      <c r="C624" s="87">
        <v>9.0799999999999998E-5</v>
      </c>
      <c r="D624" s="87">
        <v>9.2399999999999996E-5</v>
      </c>
      <c r="E624" s="231">
        <v>138717</v>
      </c>
      <c r="F624" s="231"/>
      <c r="G624" s="232">
        <v>7991</v>
      </c>
      <c r="H624" s="220">
        <v>33681</v>
      </c>
      <c r="I624" s="232">
        <v>19811</v>
      </c>
      <c r="J624" s="231">
        <v>4204</v>
      </c>
      <c r="K624" s="220">
        <f t="shared" si="18"/>
        <v>65687</v>
      </c>
      <c r="L624" s="231"/>
      <c r="M624" s="232">
        <v>3927</v>
      </c>
      <c r="N624" s="232">
        <v>0</v>
      </c>
      <c r="O624" s="231">
        <v>2410</v>
      </c>
      <c r="P624" s="220">
        <f t="shared" si="19"/>
        <v>6337</v>
      </c>
      <c r="Q624" s="231"/>
      <c r="R624" s="232">
        <v>46748</v>
      </c>
      <c r="S624" s="233">
        <v>2215</v>
      </c>
      <c r="T624" s="233">
        <v>48963</v>
      </c>
    </row>
    <row r="625" spans="1:20">
      <c r="A625" s="226">
        <v>96751</v>
      </c>
      <c r="B625" s="227" t="s">
        <v>1331</v>
      </c>
      <c r="C625" s="87">
        <v>2.5809999999999999E-4</v>
      </c>
      <c r="D625" s="87">
        <v>2.6120000000000001E-4</v>
      </c>
      <c r="E625" s="231">
        <v>394305</v>
      </c>
      <c r="F625" s="231"/>
      <c r="G625" s="232">
        <v>22716</v>
      </c>
      <c r="H625" s="220">
        <v>95737</v>
      </c>
      <c r="I625" s="232">
        <v>56312</v>
      </c>
      <c r="J625" s="231">
        <v>10810</v>
      </c>
      <c r="K625" s="220">
        <f t="shared" si="18"/>
        <v>185575</v>
      </c>
      <c r="L625" s="231"/>
      <c r="M625" s="232">
        <v>11162</v>
      </c>
      <c r="N625" s="232">
        <v>0</v>
      </c>
      <c r="O625" s="231">
        <v>31380</v>
      </c>
      <c r="P625" s="220">
        <f t="shared" si="19"/>
        <v>42542</v>
      </c>
      <c r="Q625" s="231"/>
      <c r="R625" s="232">
        <v>132881</v>
      </c>
      <c r="S625" s="233">
        <v>-737</v>
      </c>
      <c r="T625" s="233">
        <v>132144</v>
      </c>
    </row>
    <row r="626" spans="1:20">
      <c r="A626" s="226">
        <v>96801</v>
      </c>
      <c r="B626" s="227" t="s">
        <v>1332</v>
      </c>
      <c r="C626" s="87">
        <v>7.5814000000000003E-3</v>
      </c>
      <c r="D626" s="87">
        <v>7.8463999999999999E-3</v>
      </c>
      <c r="E626" s="231">
        <v>11582279</v>
      </c>
      <c r="F626" s="231"/>
      <c r="G626" s="232">
        <v>667247</v>
      </c>
      <c r="H626" s="220">
        <v>2812192</v>
      </c>
      <c r="I626" s="232">
        <v>1654110</v>
      </c>
      <c r="J626" s="231">
        <v>406857</v>
      </c>
      <c r="K626" s="220">
        <f t="shared" si="18"/>
        <v>5540406</v>
      </c>
      <c r="L626" s="231"/>
      <c r="M626" s="232">
        <v>327858</v>
      </c>
      <c r="N626" s="232">
        <v>0</v>
      </c>
      <c r="O626" s="231">
        <v>73178</v>
      </c>
      <c r="P626" s="220">
        <f t="shared" si="19"/>
        <v>401036</v>
      </c>
      <c r="Q626" s="231"/>
      <c r="R626" s="232">
        <v>3903238</v>
      </c>
      <c r="S626" s="233">
        <v>217480</v>
      </c>
      <c r="T626" s="233">
        <v>4120718</v>
      </c>
    </row>
    <row r="627" spans="1:20">
      <c r="A627" s="226">
        <v>96804</v>
      </c>
      <c r="B627" s="227" t="s">
        <v>1333</v>
      </c>
      <c r="C627" s="87">
        <v>2.654E-4</v>
      </c>
      <c r="D627" s="87">
        <v>2.4230000000000001E-4</v>
      </c>
      <c r="E627" s="231">
        <v>405458</v>
      </c>
      <c r="F627" s="231"/>
      <c r="G627" s="232">
        <v>23358</v>
      </c>
      <c r="H627" s="220">
        <v>98446</v>
      </c>
      <c r="I627" s="232">
        <v>57905</v>
      </c>
      <c r="J627" s="231">
        <v>7601</v>
      </c>
      <c r="K627" s="220">
        <f t="shared" si="18"/>
        <v>187310</v>
      </c>
      <c r="L627" s="231"/>
      <c r="M627" s="232">
        <v>11477</v>
      </c>
      <c r="N627" s="232">
        <v>0</v>
      </c>
      <c r="O627" s="231">
        <v>2044</v>
      </c>
      <c r="P627" s="220">
        <f t="shared" si="19"/>
        <v>13521</v>
      </c>
      <c r="Q627" s="231"/>
      <c r="R627" s="232">
        <v>136640</v>
      </c>
      <c r="S627" s="233">
        <v>2424</v>
      </c>
      <c r="T627" s="233">
        <v>139064</v>
      </c>
    </row>
    <row r="628" spans="1:20">
      <c r="A628" s="226">
        <v>96808</v>
      </c>
      <c r="B628" s="227" t="s">
        <v>1334</v>
      </c>
      <c r="C628" s="87">
        <v>1.2711000000000001E-3</v>
      </c>
      <c r="D628" s="87">
        <v>1.2882E-3</v>
      </c>
      <c r="E628" s="231">
        <v>1941889</v>
      </c>
      <c r="F628" s="231"/>
      <c r="G628" s="232">
        <v>111871</v>
      </c>
      <c r="H628" s="220">
        <v>471493</v>
      </c>
      <c r="I628" s="232">
        <v>277329</v>
      </c>
      <c r="J628" s="231">
        <v>42529</v>
      </c>
      <c r="K628" s="220">
        <f t="shared" si="18"/>
        <v>903222</v>
      </c>
      <c r="L628" s="231"/>
      <c r="M628" s="232">
        <v>54969</v>
      </c>
      <c r="N628" s="232">
        <v>0</v>
      </c>
      <c r="O628" s="231">
        <v>3699</v>
      </c>
      <c r="P628" s="220">
        <f t="shared" si="19"/>
        <v>58668</v>
      </c>
      <c r="Q628" s="231"/>
      <c r="R628" s="232">
        <v>654418</v>
      </c>
      <c r="S628" s="233">
        <v>23633</v>
      </c>
      <c r="T628" s="233">
        <v>678051</v>
      </c>
    </row>
    <row r="629" spans="1:20">
      <c r="A629" s="226">
        <v>96811</v>
      </c>
      <c r="B629" s="227" t="s">
        <v>1335</v>
      </c>
      <c r="C629" s="87">
        <v>6.0096999999999998E-3</v>
      </c>
      <c r="D629" s="87">
        <v>5.9861999999999997E-3</v>
      </c>
      <c r="E629" s="231">
        <v>9181157</v>
      </c>
      <c r="F629" s="231"/>
      <c r="G629" s="232">
        <v>528920</v>
      </c>
      <c r="H629" s="220">
        <v>2229197</v>
      </c>
      <c r="I629" s="232">
        <v>1311196</v>
      </c>
      <c r="J629" s="231">
        <v>37410</v>
      </c>
      <c r="K629" s="220">
        <f t="shared" si="18"/>
        <v>4106723</v>
      </c>
      <c r="L629" s="231"/>
      <c r="M629" s="232">
        <v>259889</v>
      </c>
      <c r="N629" s="232">
        <v>0</v>
      </c>
      <c r="O629" s="231">
        <v>53500</v>
      </c>
      <c r="P629" s="220">
        <f t="shared" si="19"/>
        <v>313389</v>
      </c>
      <c r="Q629" s="231"/>
      <c r="R629" s="232">
        <v>3094058</v>
      </c>
      <c r="S629" s="233">
        <v>-23369</v>
      </c>
      <c r="T629" s="233">
        <v>3070689</v>
      </c>
    </row>
    <row r="630" spans="1:20">
      <c r="A630" s="226">
        <v>96821</v>
      </c>
      <c r="B630" s="227" t="s">
        <v>1336</v>
      </c>
      <c r="C630" s="87">
        <v>1.3247000000000001E-3</v>
      </c>
      <c r="D630" s="87">
        <v>1.3630999999999999E-3</v>
      </c>
      <c r="E630" s="231">
        <v>2023775</v>
      </c>
      <c r="F630" s="231"/>
      <c r="G630" s="232">
        <v>116588</v>
      </c>
      <c r="H630" s="220">
        <v>491375</v>
      </c>
      <c r="I630" s="232">
        <v>289023</v>
      </c>
      <c r="J630" s="231">
        <v>0</v>
      </c>
      <c r="K630" s="220">
        <f t="shared" si="18"/>
        <v>896986</v>
      </c>
      <c r="L630" s="231"/>
      <c r="M630" s="232">
        <v>57287</v>
      </c>
      <c r="N630" s="232">
        <v>0</v>
      </c>
      <c r="O630" s="231">
        <v>134629</v>
      </c>
      <c r="P630" s="220">
        <f t="shared" si="19"/>
        <v>191916</v>
      </c>
      <c r="Q630" s="231"/>
      <c r="R630" s="232">
        <v>682014</v>
      </c>
      <c r="S630" s="233">
        <v>-54878</v>
      </c>
      <c r="T630" s="233">
        <v>627136</v>
      </c>
    </row>
    <row r="631" spans="1:20">
      <c r="A631" s="226">
        <v>96831</v>
      </c>
      <c r="B631" s="227" t="s">
        <v>1337</v>
      </c>
      <c r="C631" s="87">
        <v>9.1929999999999996E-4</v>
      </c>
      <c r="D631" s="87">
        <v>9.2400000000000002E-4</v>
      </c>
      <c r="E631" s="231">
        <v>1404436</v>
      </c>
      <c r="F631" s="231"/>
      <c r="G631" s="232">
        <v>80909</v>
      </c>
      <c r="H631" s="220">
        <v>340998</v>
      </c>
      <c r="I631" s="232">
        <v>200573</v>
      </c>
      <c r="J631" s="231">
        <v>37726</v>
      </c>
      <c r="K631" s="220">
        <f t="shared" si="18"/>
        <v>660206</v>
      </c>
      <c r="L631" s="231"/>
      <c r="M631" s="232">
        <v>39755</v>
      </c>
      <c r="N631" s="232">
        <v>0</v>
      </c>
      <c r="O631" s="231">
        <v>0</v>
      </c>
      <c r="P631" s="220">
        <f t="shared" si="19"/>
        <v>39755</v>
      </c>
      <c r="Q631" s="231"/>
      <c r="R631" s="232">
        <v>473296</v>
      </c>
      <c r="S631" s="233">
        <v>19380</v>
      </c>
      <c r="T631" s="233">
        <v>492676</v>
      </c>
    </row>
    <row r="632" spans="1:20">
      <c r="A632" s="226">
        <v>96901</v>
      </c>
      <c r="B632" s="227" t="s">
        <v>1338</v>
      </c>
      <c r="C632" s="87">
        <v>8.9820000000000004E-4</v>
      </c>
      <c r="D632" s="87">
        <v>8.1610000000000005E-4</v>
      </c>
      <c r="E632" s="231">
        <v>1372201</v>
      </c>
      <c r="F632" s="231"/>
      <c r="G632" s="232">
        <v>79051</v>
      </c>
      <c r="H632" s="220">
        <v>333172</v>
      </c>
      <c r="I632" s="232">
        <v>195969</v>
      </c>
      <c r="J632" s="231">
        <v>85745</v>
      </c>
      <c r="K632" s="220">
        <f t="shared" si="18"/>
        <v>693937</v>
      </c>
      <c r="L632" s="231"/>
      <c r="M632" s="232">
        <v>38843</v>
      </c>
      <c r="N632" s="232">
        <v>0</v>
      </c>
      <c r="O632" s="231">
        <v>0</v>
      </c>
      <c r="P632" s="220">
        <f t="shared" si="19"/>
        <v>38843</v>
      </c>
      <c r="Q632" s="231"/>
      <c r="R632" s="232">
        <v>462433</v>
      </c>
      <c r="S632" s="233">
        <v>28927</v>
      </c>
      <c r="T632" s="233">
        <v>491360</v>
      </c>
    </row>
    <row r="633" spans="1:20">
      <c r="A633" s="226">
        <v>96911</v>
      </c>
      <c r="B633" s="227" t="s">
        <v>1339</v>
      </c>
      <c r="C633" s="87">
        <v>2.3999999999999999E-6</v>
      </c>
      <c r="D633" s="87">
        <v>3.7000000000000002E-6</v>
      </c>
      <c r="E633" s="231">
        <v>3667</v>
      </c>
      <c r="F633" s="231"/>
      <c r="G633" s="232">
        <v>211</v>
      </c>
      <c r="H633" s="220">
        <v>890</v>
      </c>
      <c r="I633" s="232">
        <v>524</v>
      </c>
      <c r="J633" s="231">
        <v>2464</v>
      </c>
      <c r="K633" s="220">
        <f t="shared" si="18"/>
        <v>4089</v>
      </c>
      <c r="L633" s="231"/>
      <c r="M633" s="232">
        <v>104</v>
      </c>
      <c r="N633" s="232">
        <v>0</v>
      </c>
      <c r="O633" s="231">
        <v>2953</v>
      </c>
      <c r="P633" s="220">
        <f t="shared" si="19"/>
        <v>3057</v>
      </c>
      <c r="Q633" s="231"/>
      <c r="R633" s="232">
        <v>1236</v>
      </c>
      <c r="S633" s="233">
        <v>521</v>
      </c>
      <c r="T633" s="233">
        <f>1756+1</f>
        <v>1757</v>
      </c>
    </row>
    <row r="634" spans="1:20">
      <c r="A634" s="226">
        <v>96912</v>
      </c>
      <c r="B634" s="227" t="s">
        <v>1340</v>
      </c>
      <c r="C634" s="87">
        <v>6.0099999999999997E-5</v>
      </c>
      <c r="D634" s="87">
        <v>6.0999999999999999E-5</v>
      </c>
      <c r="E634" s="231">
        <v>91816</v>
      </c>
      <c r="F634" s="231"/>
      <c r="G634" s="232">
        <v>5289</v>
      </c>
      <c r="H634" s="220">
        <v>22293</v>
      </c>
      <c r="I634" s="232">
        <v>13113</v>
      </c>
      <c r="J634" s="231">
        <v>4325</v>
      </c>
      <c r="K634" s="220">
        <f t="shared" si="18"/>
        <v>45020</v>
      </c>
      <c r="L634" s="231"/>
      <c r="M634" s="232">
        <v>2599</v>
      </c>
      <c r="N634" s="232">
        <v>0</v>
      </c>
      <c r="O634" s="231">
        <v>3739</v>
      </c>
      <c r="P634" s="220">
        <f t="shared" si="19"/>
        <v>6338</v>
      </c>
      <c r="Q634" s="231"/>
      <c r="R634" s="232">
        <v>30942</v>
      </c>
      <c r="S634" s="233">
        <v>2307</v>
      </c>
      <c r="T634" s="233">
        <v>33249</v>
      </c>
    </row>
    <row r="635" spans="1:20">
      <c r="A635" s="226">
        <v>96918</v>
      </c>
      <c r="B635" s="227" t="s">
        <v>1341</v>
      </c>
      <c r="C635" s="87">
        <v>3.8000000000000002E-5</v>
      </c>
      <c r="D635" s="87">
        <v>4.0500000000000002E-5</v>
      </c>
      <c r="E635" s="231">
        <v>58053</v>
      </c>
      <c r="F635" s="231"/>
      <c r="G635" s="232">
        <v>3344</v>
      </c>
      <c r="H635" s="220">
        <v>14095</v>
      </c>
      <c r="I635" s="232">
        <v>8291</v>
      </c>
      <c r="J635" s="231">
        <v>7713</v>
      </c>
      <c r="K635" s="220">
        <f t="shared" si="18"/>
        <v>33443</v>
      </c>
      <c r="L635" s="231"/>
      <c r="M635" s="232">
        <v>1643</v>
      </c>
      <c r="N635" s="232">
        <v>0</v>
      </c>
      <c r="O635" s="231">
        <v>884</v>
      </c>
      <c r="P635" s="220">
        <f t="shared" si="19"/>
        <v>2527</v>
      </c>
      <c r="Q635" s="231"/>
      <c r="R635" s="232">
        <v>19564</v>
      </c>
      <c r="S635" s="233">
        <v>5648</v>
      </c>
      <c r="T635" s="233">
        <v>25212</v>
      </c>
    </row>
    <row r="636" spans="1:20">
      <c r="A636" s="226">
        <v>97001</v>
      </c>
      <c r="B636" s="227" t="s">
        <v>1342</v>
      </c>
      <c r="C636" s="87">
        <v>1.3778E-3</v>
      </c>
      <c r="D636" s="87">
        <v>1.3641E-3</v>
      </c>
      <c r="E636" s="231">
        <v>2104897</v>
      </c>
      <c r="F636" s="231"/>
      <c r="G636" s="232">
        <v>121262</v>
      </c>
      <c r="H636" s="220">
        <v>511071</v>
      </c>
      <c r="I636" s="232">
        <v>300608</v>
      </c>
      <c r="J636" s="231">
        <v>148744</v>
      </c>
      <c r="K636" s="220">
        <f t="shared" si="18"/>
        <v>1081685</v>
      </c>
      <c r="L636" s="231"/>
      <c r="M636" s="232">
        <v>59583</v>
      </c>
      <c r="N636" s="232">
        <v>0</v>
      </c>
      <c r="O636" s="231">
        <v>11523</v>
      </c>
      <c r="P636" s="220">
        <f t="shared" si="19"/>
        <v>71106</v>
      </c>
      <c r="Q636" s="231"/>
      <c r="R636" s="232">
        <v>709352</v>
      </c>
      <c r="S636" s="233">
        <v>36360</v>
      </c>
      <c r="T636" s="233">
        <v>745712</v>
      </c>
    </row>
    <row r="637" spans="1:20">
      <c r="A637" s="226">
        <v>97002</v>
      </c>
      <c r="B637" s="227" t="s">
        <v>1343</v>
      </c>
      <c r="C637" s="87">
        <v>5.2610000000000005E-4</v>
      </c>
      <c r="D637" s="87">
        <v>4.6589999999999999E-4</v>
      </c>
      <c r="E637" s="231">
        <v>803735</v>
      </c>
      <c r="F637" s="231"/>
      <c r="G637" s="232">
        <v>46303</v>
      </c>
      <c r="H637" s="220">
        <v>195148</v>
      </c>
      <c r="I637" s="232">
        <v>114784</v>
      </c>
      <c r="J637" s="231">
        <v>16832</v>
      </c>
      <c r="K637" s="220">
        <f t="shared" si="18"/>
        <v>373067</v>
      </c>
      <c r="L637" s="231"/>
      <c r="M637" s="232">
        <v>22751</v>
      </c>
      <c r="N637" s="232">
        <v>0</v>
      </c>
      <c r="O637" s="231">
        <v>7002</v>
      </c>
      <c r="P637" s="220">
        <f t="shared" si="19"/>
        <v>29753</v>
      </c>
      <c r="Q637" s="231"/>
      <c r="R637" s="232">
        <v>270859</v>
      </c>
      <c r="S637" s="233">
        <v>10025</v>
      </c>
      <c r="T637" s="233">
        <f>280885-1</f>
        <v>280884</v>
      </c>
    </row>
    <row r="638" spans="1:20">
      <c r="A638" s="226">
        <v>97004</v>
      </c>
      <c r="B638" s="227" t="s">
        <v>1344</v>
      </c>
      <c r="C638" s="87">
        <v>9.7999999999999993E-6</v>
      </c>
      <c r="D638" s="87">
        <v>1.0900000000000001E-5</v>
      </c>
      <c r="E638" s="231">
        <v>14972</v>
      </c>
      <c r="F638" s="231"/>
      <c r="G638" s="232">
        <v>863</v>
      </c>
      <c r="H638" s="220">
        <v>3635</v>
      </c>
      <c r="I638" s="232">
        <v>2138</v>
      </c>
      <c r="J638" s="231">
        <v>4225</v>
      </c>
      <c r="K638" s="220">
        <f t="shared" si="18"/>
        <v>10861</v>
      </c>
      <c r="L638" s="231"/>
      <c r="M638" s="232">
        <v>424</v>
      </c>
      <c r="N638" s="232">
        <v>0</v>
      </c>
      <c r="O638" s="231">
        <v>0</v>
      </c>
      <c r="P638" s="220">
        <f t="shared" si="19"/>
        <v>424</v>
      </c>
      <c r="Q638" s="231"/>
      <c r="R638" s="232">
        <v>5045</v>
      </c>
      <c r="S638" s="233">
        <v>1862</v>
      </c>
      <c r="T638" s="233">
        <f>6908-1</f>
        <v>6907</v>
      </c>
    </row>
    <row r="639" spans="1:20">
      <c r="A639" s="226">
        <v>97005</v>
      </c>
      <c r="B639" s="227" t="s">
        <v>1345</v>
      </c>
      <c r="C639" s="87">
        <v>2.83E-5</v>
      </c>
      <c r="D639" s="87">
        <v>1.42E-5</v>
      </c>
      <c r="E639" s="231">
        <v>43235</v>
      </c>
      <c r="F639" s="231"/>
      <c r="G639" s="232">
        <v>2491</v>
      </c>
      <c r="H639" s="220">
        <v>10498</v>
      </c>
      <c r="I639" s="232">
        <v>6174</v>
      </c>
      <c r="J639" s="231">
        <v>13129</v>
      </c>
      <c r="K639" s="220">
        <f t="shared" si="18"/>
        <v>32292</v>
      </c>
      <c r="L639" s="231"/>
      <c r="M639" s="232">
        <v>1224</v>
      </c>
      <c r="N639" s="232">
        <v>0</v>
      </c>
      <c r="O639" s="231">
        <v>1368</v>
      </c>
      <c r="P639" s="220">
        <f t="shared" si="19"/>
        <v>2592</v>
      </c>
      <c r="Q639" s="231"/>
      <c r="R639" s="232">
        <v>14570</v>
      </c>
      <c r="S639" s="233">
        <v>3211</v>
      </c>
      <c r="T639" s="233">
        <v>17781</v>
      </c>
    </row>
    <row r="640" spans="1:20">
      <c r="A640" s="226">
        <v>97008</v>
      </c>
      <c r="B640" s="227" t="s">
        <v>1346</v>
      </c>
      <c r="C640" s="87">
        <v>2.8659999999999997E-4</v>
      </c>
      <c r="D640" s="87">
        <v>2.7530000000000002E-4</v>
      </c>
      <c r="E640" s="231">
        <v>437845</v>
      </c>
      <c r="F640" s="231"/>
      <c r="G640" s="232">
        <v>25224</v>
      </c>
      <c r="H640" s="220">
        <v>106309</v>
      </c>
      <c r="I640" s="232">
        <v>62530</v>
      </c>
      <c r="J640" s="231">
        <v>12387</v>
      </c>
      <c r="K640" s="220">
        <f t="shared" si="18"/>
        <v>206450</v>
      </c>
      <c r="L640" s="231"/>
      <c r="M640" s="232">
        <v>12394</v>
      </c>
      <c r="N640" s="232">
        <v>0</v>
      </c>
      <c r="O640" s="231">
        <v>3127</v>
      </c>
      <c r="P640" s="220">
        <f t="shared" si="19"/>
        <v>15521</v>
      </c>
      <c r="Q640" s="231"/>
      <c r="R640" s="232">
        <v>147554</v>
      </c>
      <c r="S640" s="233">
        <v>7175</v>
      </c>
      <c r="T640" s="233">
        <v>154729</v>
      </c>
    </row>
    <row r="641" spans="1:20">
      <c r="A641" s="226">
        <v>97010</v>
      </c>
      <c r="B641" s="227" t="s">
        <v>1347</v>
      </c>
      <c r="C641" s="87">
        <v>0</v>
      </c>
      <c r="D641" s="87">
        <v>0</v>
      </c>
      <c r="E641" s="231">
        <v>0</v>
      </c>
      <c r="F641" s="231"/>
      <c r="G641" s="232">
        <v>0</v>
      </c>
      <c r="H641" s="220">
        <v>0</v>
      </c>
      <c r="I641" s="232">
        <v>0</v>
      </c>
      <c r="J641" s="231">
        <v>0</v>
      </c>
      <c r="K641" s="220">
        <f t="shared" si="18"/>
        <v>0</v>
      </c>
      <c r="L641" s="231"/>
      <c r="M641" s="232">
        <v>0</v>
      </c>
      <c r="N641" s="232">
        <v>0</v>
      </c>
      <c r="O641" s="231">
        <v>2056902</v>
      </c>
      <c r="P641" s="220">
        <f t="shared" si="19"/>
        <v>2056902</v>
      </c>
      <c r="Q641" s="231"/>
      <c r="R641" s="232">
        <v>0</v>
      </c>
      <c r="S641" s="233">
        <v>-1282454</v>
      </c>
      <c r="T641" s="233">
        <v>-1282454</v>
      </c>
    </row>
    <row r="642" spans="1:20">
      <c r="A642" s="226">
        <v>97011</v>
      </c>
      <c r="B642" s="227" t="s">
        <v>1348</v>
      </c>
      <c r="C642" s="87">
        <v>1.9166999999999999E-3</v>
      </c>
      <c r="D642" s="87">
        <v>1.9522999999999999E-3</v>
      </c>
      <c r="E642" s="231">
        <v>2928187</v>
      </c>
      <c r="F642" s="231"/>
      <c r="G642" s="232">
        <v>168691</v>
      </c>
      <c r="H642" s="220">
        <v>710967</v>
      </c>
      <c r="I642" s="232">
        <v>418186</v>
      </c>
      <c r="J642" s="231">
        <v>0</v>
      </c>
      <c r="K642" s="220">
        <f t="shared" si="18"/>
        <v>1297844</v>
      </c>
      <c r="L642" s="231"/>
      <c r="M642" s="232">
        <v>82888</v>
      </c>
      <c r="N642" s="232">
        <v>0</v>
      </c>
      <c r="O642" s="231">
        <v>92552</v>
      </c>
      <c r="P642" s="220">
        <f t="shared" si="19"/>
        <v>175440</v>
      </c>
      <c r="Q642" s="231"/>
      <c r="R642" s="232">
        <v>986801</v>
      </c>
      <c r="S642" s="233">
        <v>-38711</v>
      </c>
      <c r="T642" s="233">
        <v>948090</v>
      </c>
    </row>
    <row r="643" spans="1:20">
      <c r="A643" s="226">
        <v>97012</v>
      </c>
      <c r="B643" s="227" t="s">
        <v>1349</v>
      </c>
      <c r="C643" s="87">
        <v>2.9499999999999999E-5</v>
      </c>
      <c r="D643" s="87">
        <v>2.4499999999999999E-5</v>
      </c>
      <c r="E643" s="231">
        <v>45068</v>
      </c>
      <c r="F643" s="231"/>
      <c r="G643" s="232">
        <v>2596</v>
      </c>
      <c r="H643" s="220">
        <v>10942</v>
      </c>
      <c r="I643" s="232">
        <v>6436</v>
      </c>
      <c r="J643" s="231">
        <v>4949</v>
      </c>
      <c r="K643" s="220">
        <f t="shared" si="18"/>
        <v>24923</v>
      </c>
      <c r="L643" s="231"/>
      <c r="M643" s="232">
        <v>1276</v>
      </c>
      <c r="N643" s="232">
        <v>0</v>
      </c>
      <c r="O643" s="231">
        <v>1149</v>
      </c>
      <c r="P643" s="220">
        <f t="shared" si="19"/>
        <v>2425</v>
      </c>
      <c r="Q643" s="231"/>
      <c r="R643" s="232">
        <v>15188</v>
      </c>
      <c r="S643" s="233">
        <v>752</v>
      </c>
      <c r="T643" s="233">
        <v>15940</v>
      </c>
    </row>
    <row r="644" spans="1:20">
      <c r="A644" s="226">
        <v>97013</v>
      </c>
      <c r="B644" s="227" t="s">
        <v>1350</v>
      </c>
      <c r="C644" s="87">
        <v>1.8199999999999999E-5</v>
      </c>
      <c r="D644" s="87">
        <v>2.0699999999999998E-5</v>
      </c>
      <c r="E644" s="231">
        <v>27805</v>
      </c>
      <c r="F644" s="231"/>
      <c r="G644" s="232">
        <v>1602</v>
      </c>
      <c r="H644" s="220">
        <v>6751</v>
      </c>
      <c r="I644" s="232">
        <v>3971</v>
      </c>
      <c r="J644" s="231">
        <v>6233</v>
      </c>
      <c r="K644" s="220">
        <f t="shared" si="18"/>
        <v>18557</v>
      </c>
      <c r="L644" s="231"/>
      <c r="M644" s="232">
        <v>787</v>
      </c>
      <c r="N644" s="232">
        <v>0</v>
      </c>
      <c r="O644" s="231">
        <v>431</v>
      </c>
      <c r="P644" s="220">
        <f t="shared" si="19"/>
        <v>1218</v>
      </c>
      <c r="Q644" s="231"/>
      <c r="R644" s="232">
        <v>9370</v>
      </c>
      <c r="S644" s="233">
        <v>2046</v>
      </c>
      <c r="T644" s="233">
        <v>11416</v>
      </c>
    </row>
    <row r="645" spans="1:20">
      <c r="A645" s="226">
        <v>97015</v>
      </c>
      <c r="B645" s="227" t="s">
        <v>1351</v>
      </c>
      <c r="C645" s="87">
        <v>4.1499999999999999E-5</v>
      </c>
      <c r="D645" s="87">
        <v>5.3699999999999997E-5</v>
      </c>
      <c r="E645" s="231">
        <v>63401</v>
      </c>
      <c r="F645" s="231"/>
      <c r="G645" s="232">
        <v>3652</v>
      </c>
      <c r="H645" s="220">
        <v>15394</v>
      </c>
      <c r="I645" s="232">
        <v>9054</v>
      </c>
      <c r="J645" s="231">
        <v>4608</v>
      </c>
      <c r="K645" s="220">
        <f t="shared" si="18"/>
        <v>32708</v>
      </c>
      <c r="L645" s="231"/>
      <c r="M645" s="232">
        <v>1795</v>
      </c>
      <c r="N645" s="232">
        <v>0</v>
      </c>
      <c r="O645" s="231">
        <v>5783</v>
      </c>
      <c r="P645" s="220">
        <f t="shared" si="19"/>
        <v>7578</v>
      </c>
      <c r="Q645" s="231"/>
      <c r="R645" s="232">
        <v>21366</v>
      </c>
      <c r="S645" s="233">
        <v>26</v>
      </c>
      <c r="T645" s="233">
        <v>21392</v>
      </c>
    </row>
    <row r="646" spans="1:20">
      <c r="A646" s="226">
        <v>97018</v>
      </c>
      <c r="B646" s="227" t="s">
        <v>1352</v>
      </c>
      <c r="C646" s="87">
        <v>8.6000000000000007E-6</v>
      </c>
      <c r="D646" s="87">
        <v>9.3999999999999998E-6</v>
      </c>
      <c r="E646" s="231">
        <v>13138</v>
      </c>
      <c r="F646" s="231"/>
      <c r="G646" s="232">
        <v>757</v>
      </c>
      <c r="H646" s="220">
        <v>3190</v>
      </c>
      <c r="I646" s="232">
        <v>1876</v>
      </c>
      <c r="J646" s="231">
        <v>6833</v>
      </c>
      <c r="K646" s="220">
        <f t="shared" si="18"/>
        <v>12656</v>
      </c>
      <c r="L646" s="231"/>
      <c r="M646" s="232">
        <v>372</v>
      </c>
      <c r="N646" s="232">
        <v>0</v>
      </c>
      <c r="O646" s="231">
        <v>0</v>
      </c>
      <c r="P646" s="220">
        <f t="shared" si="19"/>
        <v>372</v>
      </c>
      <c r="Q646" s="231"/>
      <c r="R646" s="232">
        <v>4428</v>
      </c>
      <c r="S646" s="233">
        <v>2806</v>
      </c>
      <c r="T646" s="233">
        <v>7234</v>
      </c>
    </row>
    <row r="647" spans="1:20">
      <c r="A647" s="226">
        <v>97101</v>
      </c>
      <c r="B647" s="227" t="s">
        <v>1353</v>
      </c>
      <c r="C647" s="87">
        <v>2.5790000000000001E-3</v>
      </c>
      <c r="D647" s="87">
        <v>2.6029E-3</v>
      </c>
      <c r="E647" s="231">
        <v>3939998</v>
      </c>
      <c r="F647" s="231"/>
      <c r="G647" s="232">
        <v>226980</v>
      </c>
      <c r="H647" s="220">
        <v>956636</v>
      </c>
      <c r="I647" s="232">
        <v>562686</v>
      </c>
      <c r="J647" s="231">
        <v>22549</v>
      </c>
      <c r="K647" s="220">
        <f t="shared" si="18"/>
        <v>1768851</v>
      </c>
      <c r="L647" s="231"/>
      <c r="M647" s="232">
        <v>111529</v>
      </c>
      <c r="N647" s="232">
        <v>0</v>
      </c>
      <c r="O647" s="231">
        <v>6937</v>
      </c>
      <c r="P647" s="220">
        <f t="shared" si="19"/>
        <v>118466</v>
      </c>
      <c r="Q647" s="231"/>
      <c r="R647" s="232">
        <v>1327783</v>
      </c>
      <c r="S647" s="233">
        <v>3541</v>
      </c>
      <c r="T647" s="233">
        <v>1331324</v>
      </c>
    </row>
    <row r="648" spans="1:20">
      <c r="A648" s="226">
        <v>97104</v>
      </c>
      <c r="B648" s="227" t="s">
        <v>1354</v>
      </c>
      <c r="C648" s="87">
        <v>5.4299999999999998E-5</v>
      </c>
      <c r="D648" s="87">
        <v>5.6799999999999998E-5</v>
      </c>
      <c r="E648" s="231">
        <v>82955</v>
      </c>
      <c r="F648" s="231"/>
      <c r="G648" s="232">
        <v>4779</v>
      </c>
      <c r="H648" s="220">
        <v>20142</v>
      </c>
      <c r="I648" s="232">
        <v>11847</v>
      </c>
      <c r="J648" s="231">
        <v>11700</v>
      </c>
      <c r="K648" s="220">
        <f t="shared" si="18"/>
        <v>48468</v>
      </c>
      <c r="L648" s="231"/>
      <c r="M648" s="232">
        <v>2348</v>
      </c>
      <c r="N648" s="232">
        <v>0</v>
      </c>
      <c r="O648" s="231">
        <v>0</v>
      </c>
      <c r="P648" s="220">
        <f t="shared" si="19"/>
        <v>2348</v>
      </c>
      <c r="Q648" s="231"/>
      <c r="R648" s="232">
        <v>27956</v>
      </c>
      <c r="S648" s="233">
        <v>6133</v>
      </c>
      <c r="T648" s="233">
        <v>34089</v>
      </c>
    </row>
    <row r="649" spans="1:20">
      <c r="A649" s="226">
        <v>97111</v>
      </c>
      <c r="B649" s="227" t="s">
        <v>1355</v>
      </c>
      <c r="C649" s="87">
        <v>2.8200000000000002E-4</v>
      </c>
      <c r="D649" s="87">
        <v>2.7099999999999997E-4</v>
      </c>
      <c r="E649" s="231">
        <v>430818</v>
      </c>
      <c r="F649" s="231"/>
      <c r="G649" s="232">
        <v>24819</v>
      </c>
      <c r="H649" s="220">
        <v>104603</v>
      </c>
      <c r="I649" s="232">
        <v>61527</v>
      </c>
      <c r="J649" s="231">
        <v>7621</v>
      </c>
      <c r="K649" s="220">
        <f t="shared" ref="K649:K713" si="20">G649+H649+I649+J649</f>
        <v>198570</v>
      </c>
      <c r="L649" s="231"/>
      <c r="M649" s="232">
        <v>12195</v>
      </c>
      <c r="N649" s="232">
        <v>0</v>
      </c>
      <c r="O649" s="231">
        <v>20335</v>
      </c>
      <c r="P649" s="220">
        <f t="shared" ref="P649:P713" si="21">M649+N649+O649</f>
        <v>32530</v>
      </c>
      <c r="Q649" s="231"/>
      <c r="R649" s="232">
        <v>145186</v>
      </c>
      <c r="S649" s="233">
        <v>-1416</v>
      </c>
      <c r="T649" s="233">
        <v>143770</v>
      </c>
    </row>
    <row r="650" spans="1:20">
      <c r="A650" s="226">
        <v>97121</v>
      </c>
      <c r="B650" s="227" t="s">
        <v>1356</v>
      </c>
      <c r="C650" s="87">
        <v>1.3640000000000001E-4</v>
      </c>
      <c r="D650" s="87">
        <v>1.2070000000000001E-4</v>
      </c>
      <c r="E650" s="231">
        <v>208381</v>
      </c>
      <c r="F650" s="231"/>
      <c r="G650" s="232">
        <v>12005</v>
      </c>
      <c r="H650" s="220">
        <v>50595</v>
      </c>
      <c r="I650" s="232">
        <v>29760</v>
      </c>
      <c r="J650" s="231">
        <v>13649</v>
      </c>
      <c r="K650" s="220">
        <f t="shared" si="20"/>
        <v>106009</v>
      </c>
      <c r="L650" s="231"/>
      <c r="M650" s="232">
        <v>5899</v>
      </c>
      <c r="N650" s="232">
        <v>0</v>
      </c>
      <c r="O650" s="231">
        <v>10026</v>
      </c>
      <c r="P650" s="220">
        <f t="shared" si="21"/>
        <v>15925</v>
      </c>
      <c r="Q650" s="231"/>
      <c r="R650" s="232">
        <v>70225</v>
      </c>
      <c r="S650" s="233">
        <v>-1103</v>
      </c>
      <c r="T650" s="233">
        <v>69122</v>
      </c>
    </row>
    <row r="651" spans="1:20">
      <c r="A651" s="226">
        <v>97131</v>
      </c>
      <c r="B651" s="227" t="s">
        <v>1357</v>
      </c>
      <c r="C651" s="87">
        <v>7.358E-4</v>
      </c>
      <c r="D651" s="87">
        <v>6.2969999999999996E-4</v>
      </c>
      <c r="E651" s="231">
        <v>1124099</v>
      </c>
      <c r="F651" s="231"/>
      <c r="G651" s="232">
        <v>64758</v>
      </c>
      <c r="H651" s="220">
        <v>272933</v>
      </c>
      <c r="I651" s="232">
        <v>160537</v>
      </c>
      <c r="J651" s="231">
        <v>29703</v>
      </c>
      <c r="K651" s="220">
        <f t="shared" si="20"/>
        <v>527931</v>
      </c>
      <c r="L651" s="231"/>
      <c r="M651" s="232">
        <v>31820</v>
      </c>
      <c r="N651" s="232">
        <v>0</v>
      </c>
      <c r="O651" s="231">
        <v>2383</v>
      </c>
      <c r="P651" s="220">
        <f t="shared" si="21"/>
        <v>34203</v>
      </c>
      <c r="Q651" s="231"/>
      <c r="R651" s="232">
        <v>378822</v>
      </c>
      <c r="S651" s="233">
        <v>7857</v>
      </c>
      <c r="T651" s="233">
        <v>386679</v>
      </c>
    </row>
    <row r="652" spans="1:20">
      <c r="A652" s="226">
        <v>97201</v>
      </c>
      <c r="B652" s="227" t="s">
        <v>1358</v>
      </c>
      <c r="C652" s="87">
        <v>5.2689999999999996E-4</v>
      </c>
      <c r="D652" s="87">
        <v>4.9439999999999998E-4</v>
      </c>
      <c r="E652" s="231">
        <v>804957</v>
      </c>
      <c r="F652" s="231"/>
      <c r="G652" s="232">
        <v>46373</v>
      </c>
      <c r="H652" s="220">
        <v>195445</v>
      </c>
      <c r="I652" s="232">
        <v>114959</v>
      </c>
      <c r="J652" s="231">
        <v>43529</v>
      </c>
      <c r="K652" s="220">
        <f t="shared" si="20"/>
        <v>400306</v>
      </c>
      <c r="L652" s="231"/>
      <c r="M652" s="232">
        <v>22786</v>
      </c>
      <c r="N652" s="232">
        <v>0</v>
      </c>
      <c r="O652" s="231">
        <v>1877</v>
      </c>
      <c r="P652" s="220">
        <f t="shared" si="21"/>
        <v>24663</v>
      </c>
      <c r="Q652" s="231"/>
      <c r="R652" s="232">
        <v>271271</v>
      </c>
      <c r="S652" s="233">
        <v>10950</v>
      </c>
      <c r="T652" s="233">
        <f>282222-1</f>
        <v>282221</v>
      </c>
    </row>
    <row r="653" spans="1:20">
      <c r="A653" s="226">
        <v>97211</v>
      </c>
      <c r="B653" s="227" t="s">
        <v>1359</v>
      </c>
      <c r="C653" s="87">
        <v>1.5980000000000001E-4</v>
      </c>
      <c r="D653" s="87">
        <v>1.4119999999999999E-4</v>
      </c>
      <c r="E653" s="231">
        <v>244130</v>
      </c>
      <c r="F653" s="231"/>
      <c r="G653" s="232">
        <v>14064</v>
      </c>
      <c r="H653" s="220">
        <v>59275</v>
      </c>
      <c r="I653" s="232">
        <v>34865</v>
      </c>
      <c r="J653" s="231">
        <v>16009</v>
      </c>
      <c r="K653" s="220">
        <f t="shared" si="20"/>
        <v>124213</v>
      </c>
      <c r="L653" s="231"/>
      <c r="M653" s="232">
        <v>6911</v>
      </c>
      <c r="N653" s="232">
        <v>0</v>
      </c>
      <c r="O653" s="231">
        <v>12120</v>
      </c>
      <c r="P653" s="220">
        <f t="shared" si="21"/>
        <v>19031</v>
      </c>
      <c r="Q653" s="231"/>
      <c r="R653" s="232">
        <v>82272</v>
      </c>
      <c r="S653" s="233">
        <v>347</v>
      </c>
      <c r="T653" s="233">
        <v>82619</v>
      </c>
    </row>
    <row r="654" spans="1:20">
      <c r="A654" s="226">
        <v>97213</v>
      </c>
      <c r="B654" s="227" t="s">
        <v>1360</v>
      </c>
      <c r="C654" s="87">
        <v>3.9100000000000002E-5</v>
      </c>
      <c r="D654" s="87">
        <v>3.8300000000000003E-5</v>
      </c>
      <c r="E654" s="231">
        <v>59734</v>
      </c>
      <c r="F654" s="231"/>
      <c r="G654" s="232">
        <v>3441</v>
      </c>
      <c r="H654" s="220">
        <v>14504</v>
      </c>
      <c r="I654" s="232">
        <v>8531</v>
      </c>
      <c r="J654" s="231">
        <v>6715</v>
      </c>
      <c r="K654" s="220">
        <f t="shared" si="20"/>
        <v>33191</v>
      </c>
      <c r="L654" s="231"/>
      <c r="M654" s="232">
        <v>1691</v>
      </c>
      <c r="N654" s="232">
        <v>0</v>
      </c>
      <c r="O654" s="231">
        <v>495</v>
      </c>
      <c r="P654" s="220">
        <f t="shared" si="21"/>
        <v>2186</v>
      </c>
      <c r="Q654" s="231"/>
      <c r="R654" s="232">
        <v>20130</v>
      </c>
      <c r="S654" s="233">
        <v>2057</v>
      </c>
      <c r="T654" s="233">
        <v>22187</v>
      </c>
    </row>
    <row r="655" spans="1:20">
      <c r="A655" s="226">
        <v>97217</v>
      </c>
      <c r="B655" s="227" t="s">
        <v>1361</v>
      </c>
      <c r="C655" s="87">
        <v>4.6E-6</v>
      </c>
      <c r="D655" s="87">
        <v>4.8999999999999997E-6</v>
      </c>
      <c r="E655" s="231">
        <v>7028</v>
      </c>
      <c r="F655" s="231"/>
      <c r="G655" s="232">
        <v>405</v>
      </c>
      <c r="H655" s="220">
        <v>1706</v>
      </c>
      <c r="I655" s="232">
        <v>1004</v>
      </c>
      <c r="J655" s="231">
        <v>8215</v>
      </c>
      <c r="K655" s="220">
        <f t="shared" si="20"/>
        <v>11330</v>
      </c>
      <c r="L655" s="231"/>
      <c r="M655" s="232">
        <v>199</v>
      </c>
      <c r="N655" s="232">
        <v>0</v>
      </c>
      <c r="O655" s="231">
        <v>0</v>
      </c>
      <c r="P655" s="220">
        <f t="shared" si="21"/>
        <v>199</v>
      </c>
      <c r="Q655" s="231"/>
      <c r="R655" s="232">
        <v>2368</v>
      </c>
      <c r="S655" s="233">
        <v>3286</v>
      </c>
      <c r="T655" s="233">
        <v>5654</v>
      </c>
    </row>
    <row r="656" spans="1:20">
      <c r="A656" s="226">
        <v>97221</v>
      </c>
      <c r="B656" s="227" t="s">
        <v>1362</v>
      </c>
      <c r="C656" s="87">
        <v>7.1999999999999997E-6</v>
      </c>
      <c r="D656" s="87">
        <v>6.1999999999999999E-6</v>
      </c>
      <c r="E656" s="231">
        <v>11000</v>
      </c>
      <c r="F656" s="231"/>
      <c r="G656" s="232">
        <v>634</v>
      </c>
      <c r="H656" s="220">
        <v>2670</v>
      </c>
      <c r="I656" s="232">
        <v>1571</v>
      </c>
      <c r="J656" s="231">
        <v>8086</v>
      </c>
      <c r="K656" s="220">
        <f t="shared" si="20"/>
        <v>12961</v>
      </c>
      <c r="L656" s="231"/>
      <c r="M656" s="232">
        <v>311</v>
      </c>
      <c r="N656" s="232">
        <v>0</v>
      </c>
      <c r="O656" s="231">
        <v>0</v>
      </c>
      <c r="P656" s="220">
        <f t="shared" si="21"/>
        <v>311</v>
      </c>
      <c r="Q656" s="231"/>
      <c r="R656" s="232">
        <v>3707</v>
      </c>
      <c r="S656" s="233">
        <v>3119</v>
      </c>
      <c r="T656" s="233">
        <v>6826</v>
      </c>
    </row>
    <row r="657" spans="1:20">
      <c r="A657" s="226">
        <v>97301</v>
      </c>
      <c r="B657" s="227" t="s">
        <v>1363</v>
      </c>
      <c r="C657" s="87">
        <v>2.5135999999999999E-3</v>
      </c>
      <c r="D657" s="87">
        <v>2.5742E-3</v>
      </c>
      <c r="E657" s="231">
        <v>3840085</v>
      </c>
      <c r="F657" s="231"/>
      <c r="G657" s="232">
        <v>221224</v>
      </c>
      <c r="H657" s="220">
        <v>932377</v>
      </c>
      <c r="I657" s="232">
        <v>548417</v>
      </c>
      <c r="J657" s="231">
        <v>23710</v>
      </c>
      <c r="K657" s="220">
        <f t="shared" si="20"/>
        <v>1725728</v>
      </c>
      <c r="L657" s="231"/>
      <c r="M657" s="232">
        <v>108701</v>
      </c>
      <c r="N657" s="232">
        <v>0</v>
      </c>
      <c r="O657" s="231">
        <v>56463</v>
      </c>
      <c r="P657" s="220">
        <f t="shared" si="21"/>
        <v>165164</v>
      </c>
      <c r="Q657" s="231"/>
      <c r="R657" s="232">
        <v>1294112</v>
      </c>
      <c r="S657" s="233">
        <v>-10667</v>
      </c>
      <c r="T657" s="233">
        <v>1283445</v>
      </c>
    </row>
    <row r="658" spans="1:20">
      <c r="A658" s="226">
        <v>97304</v>
      </c>
      <c r="B658" s="227" t="s">
        <v>1364</v>
      </c>
      <c r="C658" s="87">
        <v>1.6799999999999998E-5</v>
      </c>
      <c r="D658" s="87">
        <v>1.7600000000000001E-5</v>
      </c>
      <c r="E658" s="231">
        <v>25666</v>
      </c>
      <c r="F658" s="231"/>
      <c r="G658" s="232">
        <v>1479</v>
      </c>
      <c r="H658" s="220">
        <v>6232</v>
      </c>
      <c r="I658" s="232">
        <v>3665</v>
      </c>
      <c r="J658" s="231">
        <v>8739</v>
      </c>
      <c r="K658" s="220">
        <f t="shared" si="20"/>
        <v>20115</v>
      </c>
      <c r="L658" s="231"/>
      <c r="M658" s="232">
        <v>727</v>
      </c>
      <c r="N658" s="232">
        <v>0</v>
      </c>
      <c r="O658" s="231">
        <v>0</v>
      </c>
      <c r="P658" s="220">
        <f t="shared" si="21"/>
        <v>727</v>
      </c>
      <c r="Q658" s="231"/>
      <c r="R658" s="232">
        <v>8649</v>
      </c>
      <c r="S658" s="233">
        <v>3503</v>
      </c>
      <c r="T658" s="233">
        <f>12153-1</f>
        <v>12152</v>
      </c>
    </row>
    <row r="659" spans="1:20">
      <c r="A659" s="226">
        <v>97311</v>
      </c>
      <c r="B659" s="227" t="s">
        <v>1365</v>
      </c>
      <c r="C659" s="87">
        <v>9.1799999999999998E-4</v>
      </c>
      <c r="D659" s="87">
        <v>9.5E-4</v>
      </c>
      <c r="E659" s="231">
        <v>1402450</v>
      </c>
      <c r="F659" s="231"/>
      <c r="G659" s="232">
        <v>80794</v>
      </c>
      <c r="H659" s="220">
        <v>340516</v>
      </c>
      <c r="I659" s="232">
        <v>200289</v>
      </c>
      <c r="J659" s="231">
        <v>0</v>
      </c>
      <c r="K659" s="220">
        <f t="shared" si="20"/>
        <v>621599</v>
      </c>
      <c r="L659" s="231"/>
      <c r="M659" s="232">
        <v>39699</v>
      </c>
      <c r="N659" s="232">
        <v>0</v>
      </c>
      <c r="O659" s="231">
        <v>96844</v>
      </c>
      <c r="P659" s="220">
        <f t="shared" si="21"/>
        <v>136543</v>
      </c>
      <c r="Q659" s="231"/>
      <c r="R659" s="232">
        <v>472627</v>
      </c>
      <c r="S659" s="233">
        <v>-42048</v>
      </c>
      <c r="T659" s="233">
        <v>430579</v>
      </c>
    </row>
    <row r="660" spans="1:20">
      <c r="A660" s="226">
        <v>97401</v>
      </c>
      <c r="B660" s="227" t="s">
        <v>1366</v>
      </c>
      <c r="C660" s="87">
        <v>7.1303E-3</v>
      </c>
      <c r="D660" s="87">
        <v>6.9633000000000004E-3</v>
      </c>
      <c r="E660" s="231">
        <v>10893123</v>
      </c>
      <c r="F660" s="231"/>
      <c r="G660" s="232">
        <v>627545</v>
      </c>
      <c r="H660" s="220">
        <v>2644864</v>
      </c>
      <c r="I660" s="232">
        <v>1555689</v>
      </c>
      <c r="J660" s="231">
        <v>151378</v>
      </c>
      <c r="K660" s="220">
        <f t="shared" si="20"/>
        <v>4979476</v>
      </c>
      <c r="L660" s="231"/>
      <c r="M660" s="232">
        <v>308350</v>
      </c>
      <c r="N660" s="232">
        <v>0</v>
      </c>
      <c r="O660" s="231">
        <v>83194</v>
      </c>
      <c r="P660" s="220">
        <f t="shared" si="21"/>
        <v>391544</v>
      </c>
      <c r="Q660" s="231"/>
      <c r="R660" s="232">
        <v>3670992</v>
      </c>
      <c r="S660" s="233">
        <v>-21617</v>
      </c>
      <c r="T660" s="233">
        <v>3649375</v>
      </c>
    </row>
    <row r="661" spans="1:20">
      <c r="A661" s="226">
        <v>97402</v>
      </c>
      <c r="B661" s="227" t="s">
        <v>1367</v>
      </c>
      <c r="C661" s="87">
        <v>4.8000000000000001E-5</v>
      </c>
      <c r="D661" s="87">
        <v>4.4700000000000002E-5</v>
      </c>
      <c r="E661" s="231">
        <v>73331</v>
      </c>
      <c r="F661" s="231"/>
      <c r="G661" s="232">
        <v>4225</v>
      </c>
      <c r="H661" s="220">
        <v>17804</v>
      </c>
      <c r="I661" s="232">
        <v>10473</v>
      </c>
      <c r="J661" s="231">
        <v>15704</v>
      </c>
      <c r="K661" s="220">
        <f t="shared" si="20"/>
        <v>48206</v>
      </c>
      <c r="L661" s="231"/>
      <c r="M661" s="232">
        <v>2076</v>
      </c>
      <c r="N661" s="232">
        <v>0</v>
      </c>
      <c r="O661" s="231">
        <v>0</v>
      </c>
      <c r="P661" s="220">
        <f t="shared" si="21"/>
        <v>2076</v>
      </c>
      <c r="Q661" s="231"/>
      <c r="R661" s="232">
        <v>24713</v>
      </c>
      <c r="S661" s="233">
        <v>5283</v>
      </c>
      <c r="T661" s="233">
        <f>29995+1</f>
        <v>29996</v>
      </c>
    </row>
    <row r="662" spans="1:20">
      <c r="A662" s="226">
        <v>97404</v>
      </c>
      <c r="B662" s="227" t="s">
        <v>1368</v>
      </c>
      <c r="C662" s="87">
        <v>2.1010000000000001E-4</v>
      </c>
      <c r="D662" s="87">
        <v>2.1049999999999999E-4</v>
      </c>
      <c r="E662" s="231">
        <v>320975</v>
      </c>
      <c r="F662" s="231"/>
      <c r="G662" s="232">
        <v>18491</v>
      </c>
      <c r="H662" s="220">
        <v>77933</v>
      </c>
      <c r="I662" s="232">
        <v>45840</v>
      </c>
      <c r="J662" s="231">
        <v>983</v>
      </c>
      <c r="K662" s="220">
        <f t="shared" si="20"/>
        <v>143247</v>
      </c>
      <c r="L662" s="231"/>
      <c r="M662" s="232">
        <v>9086</v>
      </c>
      <c r="N662" s="232">
        <v>0</v>
      </c>
      <c r="O662" s="231">
        <v>21173</v>
      </c>
      <c r="P662" s="220">
        <f t="shared" si="21"/>
        <v>30259</v>
      </c>
      <c r="Q662" s="231"/>
      <c r="R662" s="232">
        <v>108169</v>
      </c>
      <c r="S662" s="233">
        <v>-6084</v>
      </c>
      <c r="T662" s="233">
        <f>102084+1</f>
        <v>102085</v>
      </c>
    </row>
    <row r="663" spans="1:20">
      <c r="A663" s="226">
        <v>97405</v>
      </c>
      <c r="B663" s="227" t="s">
        <v>1369</v>
      </c>
      <c r="C663" s="87">
        <v>1.091E-4</v>
      </c>
      <c r="D663" s="87">
        <v>1.087E-4</v>
      </c>
      <c r="E663" s="231">
        <v>166675</v>
      </c>
      <c r="F663" s="231"/>
      <c r="G663" s="232">
        <v>9602</v>
      </c>
      <c r="H663" s="220">
        <v>40468</v>
      </c>
      <c r="I663" s="232">
        <v>23803</v>
      </c>
      <c r="J663" s="231">
        <v>26973</v>
      </c>
      <c r="K663" s="220">
        <f t="shared" si="20"/>
        <v>100846</v>
      </c>
      <c r="L663" s="231"/>
      <c r="M663" s="232">
        <v>4718</v>
      </c>
      <c r="N663" s="232">
        <v>0</v>
      </c>
      <c r="O663" s="231">
        <v>4890</v>
      </c>
      <c r="P663" s="220">
        <f t="shared" si="21"/>
        <v>9608</v>
      </c>
      <c r="Q663" s="231"/>
      <c r="R663" s="232">
        <v>56169</v>
      </c>
      <c r="S663" s="233">
        <v>4747</v>
      </c>
      <c r="T663" s="233">
        <v>60916</v>
      </c>
    </row>
    <row r="664" spans="1:20">
      <c r="A664" s="226">
        <v>97408</v>
      </c>
      <c r="B664" s="227" t="s">
        <v>1370</v>
      </c>
      <c r="C664" s="87">
        <v>4.4499999999999997E-5</v>
      </c>
      <c r="D664" s="87">
        <v>4.9299999999999999E-5</v>
      </c>
      <c r="E664" s="231">
        <v>67984</v>
      </c>
      <c r="F664" s="231"/>
      <c r="G664" s="232">
        <v>3916</v>
      </c>
      <c r="H664" s="220">
        <v>16507</v>
      </c>
      <c r="I664" s="232">
        <v>9709</v>
      </c>
      <c r="J664" s="231">
        <v>7648</v>
      </c>
      <c r="K664" s="220">
        <f t="shared" si="20"/>
        <v>37780</v>
      </c>
      <c r="L664" s="231"/>
      <c r="M664" s="232">
        <v>1924</v>
      </c>
      <c r="N664" s="232">
        <v>0</v>
      </c>
      <c r="O664" s="231">
        <v>0</v>
      </c>
      <c r="P664" s="220">
        <f t="shared" si="21"/>
        <v>1924</v>
      </c>
      <c r="Q664" s="231"/>
      <c r="R664" s="232">
        <v>22911</v>
      </c>
      <c r="S664" s="233">
        <v>2984</v>
      </c>
      <c r="T664" s="233">
        <v>25895</v>
      </c>
    </row>
    <row r="665" spans="1:20">
      <c r="A665" s="226">
        <v>97411</v>
      </c>
      <c r="B665" s="227" t="s">
        <v>1371</v>
      </c>
      <c r="C665" s="87">
        <v>6.6379000000000004E-3</v>
      </c>
      <c r="D665" s="87">
        <v>6.7269000000000001E-3</v>
      </c>
      <c r="E665" s="231">
        <v>10140873</v>
      </c>
      <c r="F665" s="231"/>
      <c r="G665" s="232">
        <v>584208</v>
      </c>
      <c r="H665" s="220">
        <v>2462217</v>
      </c>
      <c r="I665" s="232">
        <v>1448257</v>
      </c>
      <c r="J665" s="231">
        <v>0</v>
      </c>
      <c r="K665" s="220">
        <f t="shared" si="20"/>
        <v>4494682</v>
      </c>
      <c r="L665" s="231"/>
      <c r="M665" s="232">
        <v>287056</v>
      </c>
      <c r="N665" s="232">
        <v>0</v>
      </c>
      <c r="O665" s="231">
        <v>679489</v>
      </c>
      <c r="P665" s="220">
        <f t="shared" si="21"/>
        <v>966545</v>
      </c>
      <c r="Q665" s="231"/>
      <c r="R665" s="232">
        <v>3417483</v>
      </c>
      <c r="S665" s="233">
        <v>-317873</v>
      </c>
      <c r="T665" s="233">
        <v>3099610</v>
      </c>
    </row>
    <row r="666" spans="1:20">
      <c r="A666" s="226">
        <v>97412</v>
      </c>
      <c r="B666" s="227" t="s">
        <v>1372</v>
      </c>
      <c r="C666" s="87">
        <v>4.5082000000000004E-3</v>
      </c>
      <c r="D666" s="87">
        <v>4.424E-3</v>
      </c>
      <c r="E666" s="231">
        <v>6887281</v>
      </c>
      <c r="F666" s="231"/>
      <c r="G666" s="232">
        <v>396771</v>
      </c>
      <c r="H666" s="220">
        <v>1672240</v>
      </c>
      <c r="I666" s="232">
        <v>983599</v>
      </c>
      <c r="J666" s="231">
        <v>229685</v>
      </c>
      <c r="K666" s="220">
        <f t="shared" si="20"/>
        <v>3282295</v>
      </c>
      <c r="L666" s="231"/>
      <c r="M666" s="232">
        <v>194957</v>
      </c>
      <c r="N666" s="232">
        <v>0</v>
      </c>
      <c r="O666" s="231">
        <v>0</v>
      </c>
      <c r="P666" s="220">
        <f t="shared" si="21"/>
        <v>194957</v>
      </c>
      <c r="Q666" s="231"/>
      <c r="R666" s="232">
        <v>2321020</v>
      </c>
      <c r="S666" s="233">
        <v>85525</v>
      </c>
      <c r="T666" s="233">
        <v>2406545</v>
      </c>
    </row>
    <row r="667" spans="1:20">
      <c r="A667" s="226">
        <v>97413</v>
      </c>
      <c r="B667" s="227" t="s">
        <v>1373</v>
      </c>
      <c r="C667" s="87">
        <v>2.6570000000000001E-4</v>
      </c>
      <c r="D667" s="87">
        <v>2.7910000000000001E-4</v>
      </c>
      <c r="E667" s="231">
        <v>405916</v>
      </c>
      <c r="F667" s="231"/>
      <c r="G667" s="232">
        <v>23385</v>
      </c>
      <c r="H667" s="220">
        <v>98557</v>
      </c>
      <c r="I667" s="232">
        <v>57970</v>
      </c>
      <c r="J667" s="231">
        <v>7437</v>
      </c>
      <c r="K667" s="220">
        <f t="shared" si="20"/>
        <v>187349</v>
      </c>
      <c r="L667" s="231"/>
      <c r="M667" s="232">
        <v>11490</v>
      </c>
      <c r="N667" s="232">
        <v>0</v>
      </c>
      <c r="O667" s="231">
        <v>5304</v>
      </c>
      <c r="P667" s="220">
        <f t="shared" si="21"/>
        <v>16794</v>
      </c>
      <c r="Q667" s="231"/>
      <c r="R667" s="232">
        <v>136794</v>
      </c>
      <c r="S667" s="233">
        <v>-2913</v>
      </c>
      <c r="T667" s="233">
        <v>133881</v>
      </c>
    </row>
    <row r="668" spans="1:20">
      <c r="A668" s="226">
        <v>97421</v>
      </c>
      <c r="B668" s="227" t="s">
        <v>1374</v>
      </c>
      <c r="C668" s="87">
        <v>4.2890000000000002E-4</v>
      </c>
      <c r="D668" s="87">
        <v>4.1120000000000002E-4</v>
      </c>
      <c r="E668" s="231">
        <v>655240</v>
      </c>
      <c r="F668" s="231"/>
      <c r="G668" s="232">
        <v>37748</v>
      </c>
      <c r="H668" s="220">
        <v>159093</v>
      </c>
      <c r="I668" s="232">
        <v>93577</v>
      </c>
      <c r="J668" s="231">
        <v>8155</v>
      </c>
      <c r="K668" s="220">
        <f t="shared" si="20"/>
        <v>298573</v>
      </c>
      <c r="L668" s="231"/>
      <c r="M668" s="232">
        <v>18548</v>
      </c>
      <c r="N668" s="232">
        <v>0</v>
      </c>
      <c r="O668" s="231">
        <v>24127</v>
      </c>
      <c r="P668" s="220">
        <f t="shared" si="21"/>
        <v>42675</v>
      </c>
      <c r="Q668" s="231"/>
      <c r="R668" s="232">
        <v>220817</v>
      </c>
      <c r="S668" s="233">
        <v>-14066</v>
      </c>
      <c r="T668" s="233">
        <v>206751</v>
      </c>
    </row>
    <row r="669" spans="1:20">
      <c r="A669" s="226">
        <v>97423</v>
      </c>
      <c r="B669" s="227" t="s">
        <v>1375</v>
      </c>
      <c r="C669" s="87">
        <v>4.3600000000000003E-5</v>
      </c>
      <c r="D669" s="87">
        <v>4.5800000000000002E-5</v>
      </c>
      <c r="E669" s="231">
        <v>66609</v>
      </c>
      <c r="F669" s="231"/>
      <c r="G669" s="232">
        <v>3837</v>
      </c>
      <c r="H669" s="220">
        <v>16173</v>
      </c>
      <c r="I669" s="232">
        <v>9513</v>
      </c>
      <c r="J669" s="231">
        <v>35421</v>
      </c>
      <c r="K669" s="220">
        <f t="shared" si="20"/>
        <v>64944</v>
      </c>
      <c r="L669" s="231"/>
      <c r="M669" s="232">
        <v>1885</v>
      </c>
      <c r="N669" s="232">
        <v>0</v>
      </c>
      <c r="O669" s="231">
        <v>0</v>
      </c>
      <c r="P669" s="220">
        <f t="shared" si="21"/>
        <v>1885</v>
      </c>
      <c r="Q669" s="231"/>
      <c r="R669" s="232">
        <v>22447</v>
      </c>
      <c r="S669" s="233">
        <v>12225</v>
      </c>
      <c r="T669" s="233">
        <v>34672</v>
      </c>
    </row>
    <row r="670" spans="1:20">
      <c r="A670" s="226">
        <v>97431</v>
      </c>
      <c r="B670" s="227" t="s">
        <v>1376</v>
      </c>
      <c r="C670" s="87">
        <v>8.5599999999999994E-5</v>
      </c>
      <c r="D670" s="87">
        <v>8.5199999999999997E-5</v>
      </c>
      <c r="E670" s="231">
        <v>130773</v>
      </c>
      <c r="F670" s="231"/>
      <c r="G670" s="232">
        <v>7534</v>
      </c>
      <c r="H670" s="220">
        <v>31751</v>
      </c>
      <c r="I670" s="232">
        <v>18676</v>
      </c>
      <c r="J670" s="231">
        <v>6440</v>
      </c>
      <c r="K670" s="220">
        <f t="shared" si="20"/>
        <v>64401</v>
      </c>
      <c r="L670" s="231"/>
      <c r="M670" s="232">
        <v>3702</v>
      </c>
      <c r="N670" s="232">
        <v>0</v>
      </c>
      <c r="O670" s="231">
        <v>0</v>
      </c>
      <c r="P670" s="220">
        <f t="shared" si="21"/>
        <v>3702</v>
      </c>
      <c r="Q670" s="231"/>
      <c r="R670" s="232">
        <v>44071</v>
      </c>
      <c r="S670" s="233">
        <v>2026</v>
      </c>
      <c r="T670" s="233">
        <v>46097</v>
      </c>
    </row>
    <row r="671" spans="1:20">
      <c r="A671" s="226">
        <v>97441</v>
      </c>
      <c r="B671" s="227" t="s">
        <v>1377</v>
      </c>
      <c r="C671" s="87">
        <v>7.5799999999999999E-5</v>
      </c>
      <c r="D671" s="87">
        <v>7.0500000000000006E-5</v>
      </c>
      <c r="E671" s="231">
        <v>115801</v>
      </c>
      <c r="F671" s="231"/>
      <c r="G671" s="232">
        <v>6671</v>
      </c>
      <c r="H671" s="220">
        <v>28117</v>
      </c>
      <c r="I671" s="232">
        <v>16538</v>
      </c>
      <c r="J671" s="231">
        <v>202</v>
      </c>
      <c r="K671" s="220">
        <f t="shared" si="20"/>
        <v>51528</v>
      </c>
      <c r="L671" s="231"/>
      <c r="M671" s="232">
        <v>3278</v>
      </c>
      <c r="N671" s="232">
        <v>0</v>
      </c>
      <c r="O671" s="231">
        <v>7671</v>
      </c>
      <c r="P671" s="220">
        <f t="shared" si="21"/>
        <v>10949</v>
      </c>
      <c r="Q671" s="231"/>
      <c r="R671" s="232">
        <v>39025</v>
      </c>
      <c r="S671" s="233">
        <v>-2235</v>
      </c>
      <c r="T671" s="233">
        <v>36790</v>
      </c>
    </row>
    <row r="672" spans="1:20">
      <c r="A672" s="226">
        <v>97451</v>
      </c>
      <c r="B672" s="227" t="s">
        <v>1378</v>
      </c>
      <c r="C672" s="87">
        <v>5.5820000000000002E-4</v>
      </c>
      <c r="D672" s="87">
        <v>6.1039999999999998E-4</v>
      </c>
      <c r="E672" s="231">
        <v>852775</v>
      </c>
      <c r="F672" s="231"/>
      <c r="G672" s="232">
        <v>49128</v>
      </c>
      <c r="H672" s="220">
        <v>207055</v>
      </c>
      <c r="I672" s="232">
        <v>121788</v>
      </c>
      <c r="J672" s="231">
        <v>19770</v>
      </c>
      <c r="K672" s="220">
        <f t="shared" si="20"/>
        <v>397741</v>
      </c>
      <c r="L672" s="231"/>
      <c r="M672" s="232">
        <v>24139</v>
      </c>
      <c r="N672" s="232">
        <v>0</v>
      </c>
      <c r="O672" s="231">
        <v>47630</v>
      </c>
      <c r="P672" s="220">
        <f t="shared" si="21"/>
        <v>71769</v>
      </c>
      <c r="Q672" s="231"/>
      <c r="R672" s="232">
        <v>287386</v>
      </c>
      <c r="S672" s="233">
        <v>-2772</v>
      </c>
      <c r="T672" s="233">
        <v>284614</v>
      </c>
    </row>
    <row r="673" spans="1:20">
      <c r="A673" s="226" t="s">
        <v>3507</v>
      </c>
      <c r="B673" s="227" t="s">
        <v>1379</v>
      </c>
      <c r="C673" s="87">
        <v>5.5650000000000003E-4</v>
      </c>
      <c r="D673" s="87">
        <v>5.1869999999999998E-4</v>
      </c>
      <c r="E673" s="231">
        <v>850178</v>
      </c>
      <c r="F673" s="231"/>
      <c r="G673" s="232">
        <v>48978</v>
      </c>
      <c r="H673" s="220">
        <v>206424</v>
      </c>
      <c r="I673" s="232">
        <v>121417</v>
      </c>
      <c r="J673" s="231">
        <v>5855</v>
      </c>
      <c r="K673" s="220">
        <f t="shared" si="20"/>
        <v>382674</v>
      </c>
      <c r="L673" s="231"/>
      <c r="M673" s="232">
        <v>24066</v>
      </c>
      <c r="N673" s="232">
        <v>0</v>
      </c>
      <c r="O673" s="231">
        <v>31609</v>
      </c>
      <c r="P673" s="220">
        <f t="shared" si="21"/>
        <v>55675</v>
      </c>
      <c r="Q673" s="231"/>
      <c r="R673" s="232">
        <v>286511</v>
      </c>
      <c r="S673" s="233">
        <v>-11321</v>
      </c>
      <c r="T673" s="233">
        <v>275190</v>
      </c>
    </row>
    <row r="674" spans="1:20">
      <c r="A674" s="226" t="s">
        <v>3508</v>
      </c>
      <c r="B674" s="227" t="s">
        <v>1380</v>
      </c>
      <c r="C674" s="87">
        <v>4.1100000000000003E-5</v>
      </c>
      <c r="D674" s="87">
        <v>5.0099999999999998E-5</v>
      </c>
      <c r="E674" s="231">
        <v>62789</v>
      </c>
      <c r="F674" s="231"/>
      <c r="G674" s="232">
        <v>3617</v>
      </c>
      <c r="H674" s="220">
        <v>15246</v>
      </c>
      <c r="I674" s="232">
        <v>8967</v>
      </c>
      <c r="J674" s="231">
        <v>1420</v>
      </c>
      <c r="K674" s="220">
        <f t="shared" si="20"/>
        <v>29250</v>
      </c>
      <c r="L674" s="231"/>
      <c r="M674" s="232">
        <v>1777</v>
      </c>
      <c r="N674" s="232">
        <v>0</v>
      </c>
      <c r="O674" s="231">
        <v>12499</v>
      </c>
      <c r="P674" s="220">
        <f t="shared" si="21"/>
        <v>14276</v>
      </c>
      <c r="Q674" s="231"/>
      <c r="R674" s="232">
        <v>21160</v>
      </c>
      <c r="S674" s="233">
        <v>-2447</v>
      </c>
      <c r="T674" s="233">
        <v>18713</v>
      </c>
    </row>
    <row r="675" spans="1:20">
      <c r="A675" s="226">
        <v>97461</v>
      </c>
      <c r="B675" s="227" t="s">
        <v>1379</v>
      </c>
      <c r="C675" s="87">
        <f>SUM(C673:C674)</f>
        <v>5.976E-4</v>
      </c>
      <c r="D675" s="87">
        <f t="shared" ref="D675:T675" si="22">SUM(D673:D674)</f>
        <v>5.6879999999999995E-4</v>
      </c>
      <c r="E675" s="231">
        <f t="shared" si="22"/>
        <v>912967</v>
      </c>
      <c r="F675" s="231"/>
      <c r="G675" s="232">
        <f t="shared" si="22"/>
        <v>52595</v>
      </c>
      <c r="H675" s="220">
        <f t="shared" si="22"/>
        <v>221670</v>
      </c>
      <c r="I675" s="232">
        <f t="shared" si="22"/>
        <v>130384</v>
      </c>
      <c r="J675" s="231">
        <f t="shared" si="22"/>
        <v>7275</v>
      </c>
      <c r="K675" s="220">
        <f t="shared" si="22"/>
        <v>411924</v>
      </c>
      <c r="L675" s="231"/>
      <c r="M675" s="232">
        <f t="shared" si="22"/>
        <v>25843</v>
      </c>
      <c r="N675" s="232">
        <f t="shared" si="22"/>
        <v>0</v>
      </c>
      <c r="O675" s="231">
        <f t="shared" si="22"/>
        <v>44108</v>
      </c>
      <c r="P675" s="220">
        <f t="shared" si="22"/>
        <v>69951</v>
      </c>
      <c r="Q675" s="231"/>
      <c r="R675" s="232">
        <f t="shared" si="22"/>
        <v>307671</v>
      </c>
      <c r="S675" s="233">
        <f t="shared" si="22"/>
        <v>-13768</v>
      </c>
      <c r="T675" s="233">
        <f t="shared" si="22"/>
        <v>293903</v>
      </c>
    </row>
    <row r="676" spans="1:20">
      <c r="A676" s="226">
        <v>97471</v>
      </c>
      <c r="B676" s="227" t="s">
        <v>1381</v>
      </c>
      <c r="C676" s="87">
        <v>1.22E-5</v>
      </c>
      <c r="D676" s="87">
        <v>1.27E-5</v>
      </c>
      <c r="E676" s="231">
        <v>18638</v>
      </c>
      <c r="F676" s="231"/>
      <c r="G676" s="232">
        <v>1074</v>
      </c>
      <c r="H676" s="220">
        <v>4526</v>
      </c>
      <c r="I676" s="232">
        <v>2662</v>
      </c>
      <c r="J676" s="231">
        <v>6770</v>
      </c>
      <c r="K676" s="220">
        <f t="shared" si="20"/>
        <v>15032</v>
      </c>
      <c r="L676" s="231"/>
      <c r="M676" s="232">
        <v>528</v>
      </c>
      <c r="N676" s="232">
        <v>0</v>
      </c>
      <c r="O676" s="231">
        <v>0</v>
      </c>
      <c r="P676" s="220">
        <f t="shared" si="21"/>
        <v>528</v>
      </c>
      <c r="Q676" s="231"/>
      <c r="R676" s="232">
        <v>6281</v>
      </c>
      <c r="S676" s="233">
        <v>2621</v>
      </c>
      <c r="T676" s="233">
        <v>8902</v>
      </c>
    </row>
    <row r="677" spans="1:20">
      <c r="A677" s="226">
        <v>97481</v>
      </c>
      <c r="B677" s="227" t="s">
        <v>1382</v>
      </c>
      <c r="C677" s="87">
        <v>9.9000000000000001E-6</v>
      </c>
      <c r="D677" s="87">
        <v>1.63E-5</v>
      </c>
      <c r="E677" s="231">
        <v>15124</v>
      </c>
      <c r="F677" s="231"/>
      <c r="G677" s="232">
        <v>871</v>
      </c>
      <c r="H677" s="220">
        <v>3672</v>
      </c>
      <c r="I677" s="232">
        <v>2160</v>
      </c>
      <c r="J677" s="231">
        <v>3592</v>
      </c>
      <c r="K677" s="220">
        <f t="shared" si="20"/>
        <v>10295</v>
      </c>
      <c r="L677" s="231"/>
      <c r="M677" s="232">
        <v>428</v>
      </c>
      <c r="N677" s="232">
        <v>0</v>
      </c>
      <c r="O677" s="231">
        <v>3115</v>
      </c>
      <c r="P677" s="220">
        <f t="shared" si="21"/>
        <v>3543</v>
      </c>
      <c r="Q677" s="231"/>
      <c r="R677" s="232">
        <v>5097</v>
      </c>
      <c r="S677" s="233">
        <v>1594</v>
      </c>
      <c r="T677" s="233">
        <v>6691</v>
      </c>
    </row>
    <row r="678" spans="1:20">
      <c r="A678" s="226">
        <v>97491</v>
      </c>
      <c r="B678" s="227" t="s">
        <v>1383</v>
      </c>
      <c r="C678" s="87">
        <v>0</v>
      </c>
      <c r="D678" s="87">
        <v>0</v>
      </c>
      <c r="E678" s="231">
        <v>0</v>
      </c>
      <c r="F678" s="231"/>
      <c r="G678" s="232">
        <v>0</v>
      </c>
      <c r="H678" s="220">
        <v>0</v>
      </c>
      <c r="I678" s="232">
        <v>0</v>
      </c>
      <c r="J678" s="231">
        <v>0</v>
      </c>
      <c r="K678" s="220">
        <f t="shared" si="20"/>
        <v>0</v>
      </c>
      <c r="L678" s="231"/>
      <c r="M678" s="232">
        <v>0</v>
      </c>
      <c r="N678" s="232">
        <v>0</v>
      </c>
      <c r="O678" s="231">
        <v>7849</v>
      </c>
      <c r="P678" s="220">
        <f t="shared" si="21"/>
        <v>7849</v>
      </c>
      <c r="Q678" s="231"/>
      <c r="R678" s="232">
        <v>0</v>
      </c>
      <c r="S678" s="233">
        <v>-4941</v>
      </c>
      <c r="T678" s="233">
        <v>-4941</v>
      </c>
    </row>
    <row r="679" spans="1:20">
      <c r="A679" s="226">
        <v>97501</v>
      </c>
      <c r="B679" s="227" t="s">
        <v>1384</v>
      </c>
      <c r="C679" s="87">
        <v>1.1000999999999999E-3</v>
      </c>
      <c r="D679" s="87">
        <v>9.6730000000000004E-4</v>
      </c>
      <c r="E679" s="231">
        <v>1680648</v>
      </c>
      <c r="F679" s="231"/>
      <c r="G679" s="232">
        <v>96821</v>
      </c>
      <c r="H679" s="220">
        <v>408064</v>
      </c>
      <c r="I679" s="232">
        <v>240020</v>
      </c>
      <c r="J679" s="231">
        <v>125050</v>
      </c>
      <c r="K679" s="220">
        <f t="shared" si="20"/>
        <v>869955</v>
      </c>
      <c r="L679" s="231"/>
      <c r="M679" s="232">
        <v>47574</v>
      </c>
      <c r="N679" s="232">
        <v>0</v>
      </c>
      <c r="O679" s="231">
        <v>0</v>
      </c>
      <c r="P679" s="220">
        <f t="shared" si="21"/>
        <v>47574</v>
      </c>
      <c r="Q679" s="231"/>
      <c r="R679" s="232">
        <v>566380</v>
      </c>
      <c r="S679" s="233">
        <v>44629</v>
      </c>
      <c r="T679" s="233">
        <v>611009</v>
      </c>
    </row>
    <row r="680" spans="1:20">
      <c r="A680" s="226">
        <v>97511</v>
      </c>
      <c r="B680" s="227" t="s">
        <v>1385</v>
      </c>
      <c r="C680" s="87">
        <v>2.3450000000000001E-4</v>
      </c>
      <c r="D680" s="87">
        <v>2.3220000000000001E-4</v>
      </c>
      <c r="E680" s="231">
        <v>358251</v>
      </c>
      <c r="F680" s="231"/>
      <c r="G680" s="232">
        <v>20639</v>
      </c>
      <c r="H680" s="220">
        <v>86984</v>
      </c>
      <c r="I680" s="232">
        <v>51163</v>
      </c>
      <c r="J680" s="231">
        <v>12835</v>
      </c>
      <c r="K680" s="220">
        <f t="shared" si="20"/>
        <v>171621</v>
      </c>
      <c r="L680" s="231"/>
      <c r="M680" s="232">
        <v>10141</v>
      </c>
      <c r="N680" s="232">
        <v>0</v>
      </c>
      <c r="O680" s="231">
        <v>844</v>
      </c>
      <c r="P680" s="220">
        <f t="shared" si="21"/>
        <v>10985</v>
      </c>
      <c r="Q680" s="231"/>
      <c r="R680" s="232">
        <v>120731</v>
      </c>
      <c r="S680" s="233">
        <v>3795</v>
      </c>
      <c r="T680" s="233">
        <v>124526</v>
      </c>
    </row>
    <row r="681" spans="1:20">
      <c r="A681" s="226">
        <v>97521</v>
      </c>
      <c r="B681" s="227" t="s">
        <v>1386</v>
      </c>
      <c r="C681" s="87">
        <v>1.2870000000000001E-4</v>
      </c>
      <c r="D681" s="87">
        <v>1.293E-4</v>
      </c>
      <c r="E681" s="231">
        <v>196618</v>
      </c>
      <c r="F681" s="231"/>
      <c r="G681" s="232">
        <v>11327</v>
      </c>
      <c r="H681" s="220">
        <v>47739</v>
      </c>
      <c r="I681" s="232">
        <v>28080</v>
      </c>
      <c r="J681" s="231">
        <v>2190</v>
      </c>
      <c r="K681" s="220">
        <f t="shared" si="20"/>
        <v>89336</v>
      </c>
      <c r="L681" s="231"/>
      <c r="M681" s="232">
        <v>5566</v>
      </c>
      <c r="N681" s="232">
        <v>0</v>
      </c>
      <c r="O681" s="231">
        <v>14589</v>
      </c>
      <c r="P681" s="220">
        <f t="shared" si="21"/>
        <v>20155</v>
      </c>
      <c r="Q681" s="231"/>
      <c r="R681" s="232">
        <v>66260</v>
      </c>
      <c r="S681" s="233">
        <v>-3628</v>
      </c>
      <c r="T681" s="233">
        <v>62632</v>
      </c>
    </row>
    <row r="682" spans="1:20">
      <c r="A682" s="226">
        <v>97531</v>
      </c>
      <c r="B682" s="227" t="s">
        <v>1387</v>
      </c>
      <c r="C682" s="87">
        <v>4.32E-5</v>
      </c>
      <c r="D682" s="87">
        <v>3.6300000000000001E-5</v>
      </c>
      <c r="E682" s="231">
        <v>65998</v>
      </c>
      <c r="F682" s="231"/>
      <c r="G682" s="232">
        <v>3802</v>
      </c>
      <c r="H682" s="220">
        <v>16025</v>
      </c>
      <c r="I682" s="232">
        <v>9425</v>
      </c>
      <c r="J682" s="231">
        <v>11185</v>
      </c>
      <c r="K682" s="220">
        <f t="shared" si="20"/>
        <v>40437</v>
      </c>
      <c r="L682" s="231"/>
      <c r="M682" s="232">
        <v>1868</v>
      </c>
      <c r="N682" s="232">
        <v>0</v>
      </c>
      <c r="O682" s="231">
        <v>9052</v>
      </c>
      <c r="P682" s="220">
        <f t="shared" si="21"/>
        <v>10920</v>
      </c>
      <c r="Q682" s="231"/>
      <c r="R682" s="232">
        <v>22241</v>
      </c>
      <c r="S682" s="233">
        <v>-2508</v>
      </c>
      <c r="T682" s="233">
        <f>19734-1</f>
        <v>19733</v>
      </c>
    </row>
    <row r="683" spans="1:20">
      <c r="A683" s="226">
        <v>97601</v>
      </c>
      <c r="B683" s="227" t="s">
        <v>1388</v>
      </c>
      <c r="C683" s="87">
        <v>5.1672000000000003E-3</v>
      </c>
      <c r="D683" s="87">
        <v>4.7808E-3</v>
      </c>
      <c r="E683" s="231">
        <v>7894050</v>
      </c>
      <c r="F683" s="231"/>
      <c r="G683" s="232">
        <v>454770</v>
      </c>
      <c r="H683" s="220">
        <v>1916685</v>
      </c>
      <c r="I683" s="232">
        <v>1127380</v>
      </c>
      <c r="J683" s="231">
        <v>190925</v>
      </c>
      <c r="K683" s="220">
        <f t="shared" si="20"/>
        <v>3689760</v>
      </c>
      <c r="L683" s="231"/>
      <c r="M683" s="232">
        <v>223456</v>
      </c>
      <c r="N683" s="232">
        <v>0</v>
      </c>
      <c r="O683" s="231">
        <v>91443</v>
      </c>
      <c r="P683" s="220">
        <f t="shared" si="21"/>
        <v>314899</v>
      </c>
      <c r="Q683" s="231"/>
      <c r="R683" s="232">
        <v>2660302</v>
      </c>
      <c r="S683" s="233">
        <v>1665</v>
      </c>
      <c r="T683" s="233">
        <v>2661967</v>
      </c>
    </row>
    <row r="684" spans="1:20">
      <c r="A684" s="226">
        <v>97607</v>
      </c>
      <c r="B684" s="227" t="s">
        <v>1389</v>
      </c>
      <c r="C684" s="87">
        <v>2.3200000000000001E-5</v>
      </c>
      <c r="D684" s="87">
        <v>1.9199999999999999E-5</v>
      </c>
      <c r="E684" s="231">
        <v>35443</v>
      </c>
      <c r="F684" s="231"/>
      <c r="G684" s="232">
        <v>2042</v>
      </c>
      <c r="H684" s="220">
        <v>8605</v>
      </c>
      <c r="I684" s="232">
        <v>5062</v>
      </c>
      <c r="J684" s="231">
        <v>13349</v>
      </c>
      <c r="K684" s="220">
        <f t="shared" si="20"/>
        <v>29058</v>
      </c>
      <c r="L684" s="231"/>
      <c r="M684" s="232">
        <v>1003</v>
      </c>
      <c r="N684" s="232">
        <v>0</v>
      </c>
      <c r="O684" s="231">
        <v>0</v>
      </c>
      <c r="P684" s="220">
        <f t="shared" si="21"/>
        <v>1003</v>
      </c>
      <c r="Q684" s="231"/>
      <c r="R684" s="232">
        <v>11944</v>
      </c>
      <c r="S684" s="233">
        <v>5427</v>
      </c>
      <c r="T684" s="233">
        <v>17371</v>
      </c>
    </row>
    <row r="685" spans="1:20">
      <c r="A685" s="226">
        <v>97611</v>
      </c>
      <c r="B685" s="227" t="s">
        <v>1390</v>
      </c>
      <c r="C685" s="87">
        <v>2.4767999999999999E-3</v>
      </c>
      <c r="D685" s="87">
        <v>2.5750999999999999E-3</v>
      </c>
      <c r="E685" s="231">
        <v>3783864</v>
      </c>
      <c r="F685" s="231"/>
      <c r="G685" s="232">
        <v>217986</v>
      </c>
      <c r="H685" s="220">
        <v>918727</v>
      </c>
      <c r="I685" s="232">
        <v>540388</v>
      </c>
      <c r="J685" s="231">
        <v>0</v>
      </c>
      <c r="K685" s="220">
        <f t="shared" si="20"/>
        <v>1677101</v>
      </c>
      <c r="L685" s="231"/>
      <c r="M685" s="232">
        <v>107109</v>
      </c>
      <c r="N685" s="232">
        <v>0</v>
      </c>
      <c r="O685" s="231">
        <v>276084</v>
      </c>
      <c r="P685" s="220">
        <f t="shared" si="21"/>
        <v>383193</v>
      </c>
      <c r="Q685" s="231"/>
      <c r="R685" s="232">
        <v>1275166</v>
      </c>
      <c r="S685" s="233">
        <v>-116051</v>
      </c>
      <c r="T685" s="233">
        <v>1159115</v>
      </c>
    </row>
    <row r="686" spans="1:20">
      <c r="A686" s="226">
        <v>97613</v>
      </c>
      <c r="B686" s="227" t="s">
        <v>1391</v>
      </c>
      <c r="C686" s="87">
        <v>1.1629999999999999E-4</v>
      </c>
      <c r="D686" s="87">
        <v>1.2459999999999999E-4</v>
      </c>
      <c r="E686" s="231">
        <v>177674</v>
      </c>
      <c r="F686" s="231"/>
      <c r="G686" s="232">
        <v>10236</v>
      </c>
      <c r="H686" s="220">
        <v>43140</v>
      </c>
      <c r="I686" s="232">
        <v>25374</v>
      </c>
      <c r="J686" s="231">
        <v>3969</v>
      </c>
      <c r="K686" s="220">
        <f t="shared" si="20"/>
        <v>82719</v>
      </c>
      <c r="L686" s="231"/>
      <c r="M686" s="232">
        <v>5029</v>
      </c>
      <c r="N686" s="232">
        <v>0</v>
      </c>
      <c r="O686" s="231">
        <v>3579</v>
      </c>
      <c r="P686" s="220">
        <f t="shared" si="21"/>
        <v>8608</v>
      </c>
      <c r="Q686" s="231"/>
      <c r="R686" s="232">
        <v>59876</v>
      </c>
      <c r="S686" s="233">
        <v>-543</v>
      </c>
      <c r="T686" s="233">
        <f>59334-1</f>
        <v>59333</v>
      </c>
    </row>
    <row r="687" spans="1:20">
      <c r="A687" s="226">
        <v>97621</v>
      </c>
      <c r="B687" s="227" t="s">
        <v>1392</v>
      </c>
      <c r="C687" s="87">
        <v>4.5179999999999998E-4</v>
      </c>
      <c r="D687" s="87">
        <v>4.7429999999999998E-4</v>
      </c>
      <c r="E687" s="231">
        <v>690225</v>
      </c>
      <c r="F687" s="231"/>
      <c r="G687" s="232">
        <v>39763</v>
      </c>
      <c r="H687" s="220">
        <v>167588</v>
      </c>
      <c r="I687" s="232">
        <v>98574</v>
      </c>
      <c r="J687" s="231">
        <v>15836</v>
      </c>
      <c r="K687" s="220">
        <f t="shared" si="20"/>
        <v>321761</v>
      </c>
      <c r="L687" s="231"/>
      <c r="M687" s="232">
        <v>19538</v>
      </c>
      <c r="N687" s="232">
        <v>0</v>
      </c>
      <c r="O687" s="231">
        <v>70017</v>
      </c>
      <c r="P687" s="220">
        <f t="shared" si="21"/>
        <v>89555</v>
      </c>
      <c r="Q687" s="231"/>
      <c r="R687" s="232">
        <v>232607</v>
      </c>
      <c r="S687" s="233">
        <v>-11992</v>
      </c>
      <c r="T687" s="233">
        <v>220615</v>
      </c>
    </row>
    <row r="688" spans="1:20">
      <c r="A688" s="226">
        <v>97623</v>
      </c>
      <c r="B688" s="227" t="s">
        <v>1393</v>
      </c>
      <c r="C688" s="87">
        <v>2.9499999999999999E-5</v>
      </c>
      <c r="D688" s="87">
        <v>2.9200000000000002E-5</v>
      </c>
      <c r="E688" s="231">
        <v>45068</v>
      </c>
      <c r="F688" s="231"/>
      <c r="G688" s="232">
        <v>2596</v>
      </c>
      <c r="H688" s="220">
        <v>10942</v>
      </c>
      <c r="I688" s="232">
        <v>6436</v>
      </c>
      <c r="J688" s="231">
        <v>6505</v>
      </c>
      <c r="K688" s="220">
        <f t="shared" si="20"/>
        <v>26479</v>
      </c>
      <c r="L688" s="231"/>
      <c r="M688" s="232">
        <v>1276</v>
      </c>
      <c r="N688" s="232">
        <v>0</v>
      </c>
      <c r="O688" s="231">
        <v>1742</v>
      </c>
      <c r="P688" s="220">
        <f t="shared" si="21"/>
        <v>3018</v>
      </c>
      <c r="Q688" s="231"/>
      <c r="R688" s="232">
        <v>15188</v>
      </c>
      <c r="S688" s="233">
        <v>3252</v>
      </c>
      <c r="T688" s="233">
        <v>18440</v>
      </c>
    </row>
    <row r="689" spans="1:20">
      <c r="A689" s="226">
        <v>97627</v>
      </c>
      <c r="B689" s="227" t="s">
        <v>1394</v>
      </c>
      <c r="C689" s="87">
        <v>9.7000000000000003E-6</v>
      </c>
      <c r="D689" s="87">
        <v>1.0200000000000001E-5</v>
      </c>
      <c r="E689" s="231">
        <v>14819</v>
      </c>
      <c r="F689" s="231"/>
      <c r="G689" s="232">
        <v>854</v>
      </c>
      <c r="H689" s="220">
        <v>3599</v>
      </c>
      <c r="I689" s="232">
        <v>2116</v>
      </c>
      <c r="J689" s="231">
        <v>714</v>
      </c>
      <c r="K689" s="220">
        <f t="shared" si="20"/>
        <v>7283</v>
      </c>
      <c r="L689" s="231"/>
      <c r="M689" s="232">
        <v>419</v>
      </c>
      <c r="N689" s="232">
        <v>0</v>
      </c>
      <c r="O689" s="231">
        <v>1008</v>
      </c>
      <c r="P689" s="220">
        <f t="shared" si="21"/>
        <v>1427</v>
      </c>
      <c r="Q689" s="231"/>
      <c r="R689" s="232">
        <v>4994</v>
      </c>
      <c r="S689" s="233">
        <v>-190</v>
      </c>
      <c r="T689" s="233">
        <v>4804</v>
      </c>
    </row>
    <row r="690" spans="1:20">
      <c r="A690" s="226">
        <v>97631</v>
      </c>
      <c r="B690" s="227" t="s">
        <v>1395</v>
      </c>
      <c r="C690" s="87">
        <v>2.051E-4</v>
      </c>
      <c r="D690" s="87">
        <v>2.009E-4</v>
      </c>
      <c r="E690" s="231">
        <v>313336</v>
      </c>
      <c r="F690" s="231"/>
      <c r="G690" s="232">
        <v>18051</v>
      </c>
      <c r="H690" s="220">
        <v>76078</v>
      </c>
      <c r="I690" s="232">
        <v>44749</v>
      </c>
      <c r="J690" s="231">
        <v>9311</v>
      </c>
      <c r="K690" s="220">
        <f t="shared" si="20"/>
        <v>148189</v>
      </c>
      <c r="L690" s="231"/>
      <c r="M690" s="232">
        <v>8870</v>
      </c>
      <c r="N690" s="232">
        <v>0</v>
      </c>
      <c r="O690" s="231">
        <v>3711</v>
      </c>
      <c r="P690" s="220">
        <f t="shared" si="21"/>
        <v>12581</v>
      </c>
      <c r="Q690" s="231"/>
      <c r="R690" s="232">
        <v>105595</v>
      </c>
      <c r="S690" s="233">
        <v>4564</v>
      </c>
      <c r="T690" s="233">
        <f>110158+1</f>
        <v>110159</v>
      </c>
    </row>
    <row r="691" spans="1:20">
      <c r="A691" s="226">
        <v>97637</v>
      </c>
      <c r="B691" s="227" t="s">
        <v>1396</v>
      </c>
      <c r="C691" s="87">
        <v>4.3000000000000003E-6</v>
      </c>
      <c r="D691" s="87">
        <v>4.7999999999999998E-6</v>
      </c>
      <c r="E691" s="231">
        <v>6569</v>
      </c>
      <c r="F691" s="231"/>
      <c r="G691" s="232">
        <v>378</v>
      </c>
      <c r="H691" s="220">
        <v>1595</v>
      </c>
      <c r="I691" s="232">
        <v>938</v>
      </c>
      <c r="J691" s="231">
        <v>944</v>
      </c>
      <c r="K691" s="220">
        <f t="shared" si="20"/>
        <v>3855</v>
      </c>
      <c r="L691" s="231"/>
      <c r="M691" s="232">
        <v>186</v>
      </c>
      <c r="N691" s="232">
        <v>0</v>
      </c>
      <c r="O691" s="231">
        <v>30</v>
      </c>
      <c r="P691" s="220">
        <f t="shared" si="21"/>
        <v>216</v>
      </c>
      <c r="Q691" s="231"/>
      <c r="R691" s="232">
        <v>2214</v>
      </c>
      <c r="S691" s="233">
        <v>380</v>
      </c>
      <c r="T691" s="233">
        <v>2594</v>
      </c>
    </row>
    <row r="692" spans="1:20">
      <c r="A692" s="226">
        <v>97641</v>
      </c>
      <c r="B692" s="227" t="s">
        <v>1397</v>
      </c>
      <c r="C692" s="87">
        <v>6.8899999999999994E-5</v>
      </c>
      <c r="D692" s="87">
        <v>6.9999999999999994E-5</v>
      </c>
      <c r="E692" s="231">
        <v>105260</v>
      </c>
      <c r="F692" s="231"/>
      <c r="G692" s="232">
        <v>6064</v>
      </c>
      <c r="H692" s="220">
        <v>25557</v>
      </c>
      <c r="I692" s="232">
        <v>15033</v>
      </c>
      <c r="J692" s="231">
        <v>13063</v>
      </c>
      <c r="K692" s="220">
        <f t="shared" si="20"/>
        <v>59717</v>
      </c>
      <c r="L692" s="231"/>
      <c r="M692" s="232">
        <v>2980</v>
      </c>
      <c r="N692" s="232">
        <v>0</v>
      </c>
      <c r="O692" s="231">
        <v>2889</v>
      </c>
      <c r="P692" s="220">
        <f t="shared" si="21"/>
        <v>5869</v>
      </c>
      <c r="Q692" s="231"/>
      <c r="R692" s="232">
        <v>35473</v>
      </c>
      <c r="S692" s="233">
        <v>2041</v>
      </c>
      <c r="T692" s="233">
        <v>37514</v>
      </c>
    </row>
    <row r="693" spans="1:20">
      <c r="A693" s="226">
        <v>97651</v>
      </c>
      <c r="B693" s="227" t="s">
        <v>1398</v>
      </c>
      <c r="C693" s="87">
        <v>5.1979999999999995E-4</v>
      </c>
      <c r="D693" s="87">
        <v>5.1579999999999996E-4</v>
      </c>
      <c r="E693" s="231">
        <v>794110</v>
      </c>
      <c r="F693" s="231"/>
      <c r="G693" s="232">
        <v>45748</v>
      </c>
      <c r="H693" s="220">
        <v>192810</v>
      </c>
      <c r="I693" s="232">
        <v>113410</v>
      </c>
      <c r="J693" s="231">
        <v>2621</v>
      </c>
      <c r="K693" s="220">
        <f t="shared" si="20"/>
        <v>354589</v>
      </c>
      <c r="L693" s="231"/>
      <c r="M693" s="232">
        <v>22479</v>
      </c>
      <c r="N693" s="232">
        <v>0</v>
      </c>
      <c r="O693" s="231">
        <v>43572</v>
      </c>
      <c r="P693" s="220">
        <f t="shared" si="21"/>
        <v>66051</v>
      </c>
      <c r="Q693" s="231"/>
      <c r="R693" s="232">
        <v>267616</v>
      </c>
      <c r="S693" s="233">
        <v>-19628</v>
      </c>
      <c r="T693" s="233">
        <v>247988</v>
      </c>
    </row>
    <row r="694" spans="1:20">
      <c r="A694" s="226">
        <v>97661</v>
      </c>
      <c r="B694" s="227" t="s">
        <v>1399</v>
      </c>
      <c r="C694" s="87">
        <v>5.1600000000000001E-5</v>
      </c>
      <c r="D694" s="87">
        <v>4.3900000000000003E-5</v>
      </c>
      <c r="E694" s="231">
        <v>78831</v>
      </c>
      <c r="F694" s="231"/>
      <c r="G694" s="232">
        <v>4541</v>
      </c>
      <c r="H694" s="220">
        <v>19140</v>
      </c>
      <c r="I694" s="232">
        <v>11258</v>
      </c>
      <c r="J694" s="231">
        <v>13582</v>
      </c>
      <c r="K694" s="220">
        <f t="shared" si="20"/>
        <v>48521</v>
      </c>
      <c r="L694" s="231"/>
      <c r="M694" s="232">
        <v>2231</v>
      </c>
      <c r="N694" s="232">
        <v>0</v>
      </c>
      <c r="O694" s="231">
        <v>1913</v>
      </c>
      <c r="P694" s="220">
        <f t="shared" si="21"/>
        <v>4144</v>
      </c>
      <c r="Q694" s="231"/>
      <c r="R694" s="232">
        <v>26566</v>
      </c>
      <c r="S694" s="233">
        <v>4861</v>
      </c>
      <c r="T694" s="233">
        <v>31427</v>
      </c>
    </row>
    <row r="695" spans="1:20">
      <c r="A695" s="226">
        <v>97701</v>
      </c>
      <c r="B695" s="227" t="s">
        <v>1400</v>
      </c>
      <c r="C695" s="87">
        <v>2.4975000000000002E-3</v>
      </c>
      <c r="D695" s="87">
        <v>2.5081000000000001E-3</v>
      </c>
      <c r="E695" s="231">
        <v>3815488</v>
      </c>
      <c r="F695" s="231"/>
      <c r="G695" s="232">
        <v>219807</v>
      </c>
      <c r="H695" s="220">
        <v>926405</v>
      </c>
      <c r="I695" s="232">
        <v>544905</v>
      </c>
      <c r="J695" s="231">
        <v>22724</v>
      </c>
      <c r="K695" s="220">
        <f t="shared" si="20"/>
        <v>1713841</v>
      </c>
      <c r="L695" s="231"/>
      <c r="M695" s="232">
        <v>108004</v>
      </c>
      <c r="N695" s="232">
        <v>0</v>
      </c>
      <c r="O695" s="231">
        <v>8673</v>
      </c>
      <c r="P695" s="220">
        <f t="shared" si="21"/>
        <v>116677</v>
      </c>
      <c r="Q695" s="231"/>
      <c r="R695" s="232">
        <v>1285823</v>
      </c>
      <c r="S695" s="233">
        <v>670</v>
      </c>
      <c r="T695" s="233">
        <v>1286493</v>
      </c>
    </row>
    <row r="696" spans="1:20">
      <c r="A696" s="226">
        <v>97705</v>
      </c>
      <c r="B696" s="227" t="s">
        <v>1401</v>
      </c>
      <c r="C696" s="87">
        <v>4.7700000000000001E-5</v>
      </c>
      <c r="D696" s="87">
        <v>6.41E-5</v>
      </c>
      <c r="E696" s="231">
        <v>72872</v>
      </c>
      <c r="F696" s="231"/>
      <c r="G696" s="232">
        <v>4198</v>
      </c>
      <c r="H696" s="220">
        <v>17694</v>
      </c>
      <c r="I696" s="232">
        <v>10407</v>
      </c>
      <c r="J696" s="231">
        <v>5558</v>
      </c>
      <c r="K696" s="220">
        <f t="shared" si="20"/>
        <v>37857</v>
      </c>
      <c r="L696" s="231"/>
      <c r="M696" s="232">
        <v>2063</v>
      </c>
      <c r="N696" s="232">
        <v>0</v>
      </c>
      <c r="O696" s="231">
        <v>13023</v>
      </c>
      <c r="P696" s="220">
        <f t="shared" si="21"/>
        <v>15086</v>
      </c>
      <c r="Q696" s="231"/>
      <c r="R696" s="232">
        <v>24558</v>
      </c>
      <c r="S696" s="233">
        <v>105</v>
      </c>
      <c r="T696" s="233">
        <v>24663</v>
      </c>
    </row>
    <row r="697" spans="1:20">
      <c r="A697" s="226">
        <v>97711</v>
      </c>
      <c r="B697" s="227" t="s">
        <v>1402</v>
      </c>
      <c r="C697" s="87">
        <v>9.0879999999999997E-4</v>
      </c>
      <c r="D697" s="87">
        <v>9.3789999999999998E-4</v>
      </c>
      <c r="E697" s="231">
        <v>1388395</v>
      </c>
      <c r="F697" s="231"/>
      <c r="G697" s="232">
        <v>79984</v>
      </c>
      <c r="H697" s="220">
        <v>337104</v>
      </c>
      <c r="I697" s="232">
        <v>198282</v>
      </c>
      <c r="J697" s="231">
        <v>9966</v>
      </c>
      <c r="K697" s="220">
        <f t="shared" si="20"/>
        <v>625336</v>
      </c>
      <c r="L697" s="231"/>
      <c r="M697" s="232">
        <v>39301</v>
      </c>
      <c r="N697" s="232">
        <v>0</v>
      </c>
      <c r="O697" s="231">
        <v>31902</v>
      </c>
      <c r="P697" s="220">
        <f t="shared" si="21"/>
        <v>71203</v>
      </c>
      <c r="Q697" s="231"/>
      <c r="R697" s="232">
        <v>467890</v>
      </c>
      <c r="S697" s="233">
        <v>-1258</v>
      </c>
      <c r="T697" s="233">
        <v>466632</v>
      </c>
    </row>
    <row r="698" spans="1:20">
      <c r="A698" s="226">
        <v>97713</v>
      </c>
      <c r="B698" s="227" t="s">
        <v>1403</v>
      </c>
      <c r="C698" s="87">
        <v>4.1199999999999999E-5</v>
      </c>
      <c r="D698" s="87">
        <v>5.3699999999999997E-5</v>
      </c>
      <c r="E698" s="231">
        <v>62942</v>
      </c>
      <c r="F698" s="231"/>
      <c r="G698" s="232">
        <v>3626</v>
      </c>
      <c r="H698" s="220">
        <v>15283</v>
      </c>
      <c r="I698" s="232">
        <v>8989</v>
      </c>
      <c r="J698" s="231">
        <v>927</v>
      </c>
      <c r="K698" s="220">
        <f t="shared" si="20"/>
        <v>28825</v>
      </c>
      <c r="L698" s="231"/>
      <c r="M698" s="232">
        <v>1782</v>
      </c>
      <c r="N698" s="232">
        <v>0</v>
      </c>
      <c r="O698" s="231">
        <v>16932</v>
      </c>
      <c r="P698" s="220">
        <f t="shared" si="21"/>
        <v>18714</v>
      </c>
      <c r="Q698" s="231"/>
      <c r="R698" s="232">
        <v>21212</v>
      </c>
      <c r="S698" s="233">
        <v>-4802</v>
      </c>
      <c r="T698" s="233">
        <v>16410</v>
      </c>
    </row>
    <row r="699" spans="1:20">
      <c r="A699" s="226">
        <v>97717</v>
      </c>
      <c r="B699" s="227" t="s">
        <v>1404</v>
      </c>
      <c r="C699" s="87">
        <v>4.6999999999999999E-6</v>
      </c>
      <c r="D699" s="87">
        <v>7.5000000000000002E-6</v>
      </c>
      <c r="E699" s="231">
        <v>7180</v>
      </c>
      <c r="F699" s="231"/>
      <c r="G699" s="232">
        <v>414</v>
      </c>
      <c r="H699" s="220">
        <v>1743</v>
      </c>
      <c r="I699" s="232">
        <v>1025</v>
      </c>
      <c r="J699" s="231">
        <v>1078</v>
      </c>
      <c r="K699" s="220">
        <f t="shared" si="20"/>
        <v>4260</v>
      </c>
      <c r="L699" s="231"/>
      <c r="M699" s="232">
        <v>203</v>
      </c>
      <c r="N699" s="232">
        <v>0</v>
      </c>
      <c r="O699" s="231">
        <v>3394</v>
      </c>
      <c r="P699" s="220">
        <f t="shared" si="21"/>
        <v>3597</v>
      </c>
      <c r="Q699" s="231"/>
      <c r="R699" s="232">
        <v>2420</v>
      </c>
      <c r="S699" s="233">
        <v>-1550</v>
      </c>
      <c r="T699" s="233">
        <f>869+1</f>
        <v>870</v>
      </c>
    </row>
    <row r="700" spans="1:20">
      <c r="A700" s="226">
        <v>97721</v>
      </c>
      <c r="B700" s="227" t="s">
        <v>1405</v>
      </c>
      <c r="C700" s="87">
        <v>5.6599999999999999E-4</v>
      </c>
      <c r="D700" s="87">
        <v>5.7249999999999998E-4</v>
      </c>
      <c r="E700" s="231">
        <v>864691</v>
      </c>
      <c r="F700" s="231"/>
      <c r="G700" s="232">
        <v>49814</v>
      </c>
      <c r="H700" s="220">
        <v>209948</v>
      </c>
      <c r="I700" s="232">
        <v>123490</v>
      </c>
      <c r="J700" s="231">
        <v>13608</v>
      </c>
      <c r="K700" s="220">
        <f t="shared" si="20"/>
        <v>396860</v>
      </c>
      <c r="L700" s="231"/>
      <c r="M700" s="232">
        <v>24477</v>
      </c>
      <c r="N700" s="232">
        <v>0</v>
      </c>
      <c r="O700" s="231">
        <v>31303</v>
      </c>
      <c r="P700" s="220">
        <f t="shared" si="21"/>
        <v>55780</v>
      </c>
      <c r="Q700" s="231"/>
      <c r="R700" s="232">
        <v>291402</v>
      </c>
      <c r="S700" s="233">
        <v>-9026</v>
      </c>
      <c r="T700" s="233">
        <v>282376</v>
      </c>
    </row>
    <row r="701" spans="1:20">
      <c r="A701" s="226">
        <v>97727</v>
      </c>
      <c r="B701" s="227" t="s">
        <v>1406</v>
      </c>
      <c r="C701" s="87">
        <v>2.27E-5</v>
      </c>
      <c r="D701" s="87">
        <v>2.37E-5</v>
      </c>
      <c r="E701" s="231">
        <v>34679</v>
      </c>
      <c r="F701" s="231"/>
      <c r="G701" s="232">
        <v>1998</v>
      </c>
      <c r="H701" s="220">
        <v>8420</v>
      </c>
      <c r="I701" s="232">
        <v>4953</v>
      </c>
      <c r="J701" s="231">
        <v>0</v>
      </c>
      <c r="K701" s="220">
        <f t="shared" si="20"/>
        <v>15371</v>
      </c>
      <c r="L701" s="231"/>
      <c r="M701" s="232">
        <v>982</v>
      </c>
      <c r="N701" s="232">
        <v>0</v>
      </c>
      <c r="O701" s="231">
        <v>2260</v>
      </c>
      <c r="P701" s="220">
        <f t="shared" si="21"/>
        <v>3242</v>
      </c>
      <c r="Q701" s="231"/>
      <c r="R701" s="232">
        <v>11687</v>
      </c>
      <c r="S701" s="233">
        <v>-1260</v>
      </c>
      <c r="T701" s="233">
        <v>10427</v>
      </c>
    </row>
    <row r="702" spans="1:20">
      <c r="A702" s="226">
        <v>97731</v>
      </c>
      <c r="B702" s="227" t="s">
        <v>1407</v>
      </c>
      <c r="C702" s="87">
        <v>3.5500000000000002E-5</v>
      </c>
      <c r="D702" s="87">
        <v>3.7100000000000001E-5</v>
      </c>
      <c r="E702" s="231">
        <v>54234</v>
      </c>
      <c r="F702" s="231"/>
      <c r="G702" s="232">
        <v>3124</v>
      </c>
      <c r="H702" s="220">
        <v>13168</v>
      </c>
      <c r="I702" s="232">
        <v>7745</v>
      </c>
      <c r="J702" s="231">
        <v>6361</v>
      </c>
      <c r="K702" s="220">
        <f t="shared" si="20"/>
        <v>30398</v>
      </c>
      <c r="L702" s="231"/>
      <c r="M702" s="232">
        <v>1535</v>
      </c>
      <c r="N702" s="232">
        <v>0</v>
      </c>
      <c r="O702" s="231">
        <v>0</v>
      </c>
      <c r="P702" s="220">
        <f t="shared" si="21"/>
        <v>1535</v>
      </c>
      <c r="Q702" s="231"/>
      <c r="R702" s="232">
        <v>18277</v>
      </c>
      <c r="S702" s="233">
        <v>2961</v>
      </c>
      <c r="T702" s="233">
        <v>21238</v>
      </c>
    </row>
    <row r="703" spans="1:20">
      <c r="A703" s="226">
        <v>97801</v>
      </c>
      <c r="B703" s="227" t="s">
        <v>1408</v>
      </c>
      <c r="C703" s="87">
        <v>6.9303000000000003E-3</v>
      </c>
      <c r="D703" s="87">
        <v>7.3343000000000002E-3</v>
      </c>
      <c r="E703" s="231">
        <v>10587579</v>
      </c>
      <c r="F703" s="231"/>
      <c r="G703" s="232">
        <v>609943</v>
      </c>
      <c r="H703" s="220">
        <v>2570677</v>
      </c>
      <c r="I703" s="232">
        <v>1512053</v>
      </c>
      <c r="J703" s="231">
        <v>27764</v>
      </c>
      <c r="K703" s="220">
        <f t="shared" si="20"/>
        <v>4720437</v>
      </c>
      <c r="L703" s="231"/>
      <c r="M703" s="232">
        <v>299701</v>
      </c>
      <c r="N703" s="232">
        <v>0</v>
      </c>
      <c r="O703" s="231">
        <v>406805</v>
      </c>
      <c r="P703" s="220">
        <f t="shared" si="21"/>
        <v>706506</v>
      </c>
      <c r="Q703" s="231"/>
      <c r="R703" s="232">
        <v>3568023</v>
      </c>
      <c r="S703" s="233">
        <v>-97576</v>
      </c>
      <c r="T703" s="233">
        <v>3470447</v>
      </c>
    </row>
    <row r="704" spans="1:20">
      <c r="A704" s="226">
        <v>97802</v>
      </c>
      <c r="B704" s="227" t="s">
        <v>1409</v>
      </c>
      <c r="C704" s="87">
        <v>1.5300000000000001E-4</v>
      </c>
      <c r="D704" s="87">
        <v>1.8120000000000001E-4</v>
      </c>
      <c r="E704" s="231">
        <v>233742</v>
      </c>
      <c r="F704" s="231"/>
      <c r="G704" s="232">
        <v>13466</v>
      </c>
      <c r="H704" s="220">
        <v>56753</v>
      </c>
      <c r="I704" s="232">
        <v>33382</v>
      </c>
      <c r="J704" s="231">
        <v>9696</v>
      </c>
      <c r="K704" s="220">
        <f t="shared" si="20"/>
        <v>113297</v>
      </c>
      <c r="L704" s="231"/>
      <c r="M704" s="232">
        <v>6616</v>
      </c>
      <c r="N704" s="232">
        <v>0</v>
      </c>
      <c r="O704" s="231">
        <v>28235</v>
      </c>
      <c r="P704" s="220">
        <f t="shared" si="21"/>
        <v>34851</v>
      </c>
      <c r="Q704" s="231"/>
      <c r="R704" s="232">
        <v>78771</v>
      </c>
      <c r="S704" s="233">
        <v>-1176</v>
      </c>
      <c r="T704" s="233">
        <v>77595</v>
      </c>
    </row>
    <row r="705" spans="1:20">
      <c r="A705" s="226">
        <v>97803</v>
      </c>
      <c r="B705" s="227" t="s">
        <v>1410</v>
      </c>
      <c r="C705" s="87">
        <v>7.5300000000000001E-5</v>
      </c>
      <c r="D705" s="87">
        <v>7.9099999999999998E-5</v>
      </c>
      <c r="E705" s="231">
        <v>115038</v>
      </c>
      <c r="F705" s="231"/>
      <c r="G705" s="232">
        <v>6627</v>
      </c>
      <c r="H705" s="220">
        <v>27931</v>
      </c>
      <c r="I705" s="232">
        <v>16429</v>
      </c>
      <c r="J705" s="231">
        <v>5581</v>
      </c>
      <c r="K705" s="220">
        <f t="shared" si="20"/>
        <v>56568</v>
      </c>
      <c r="L705" s="231"/>
      <c r="M705" s="232">
        <v>3256</v>
      </c>
      <c r="N705" s="232">
        <v>0</v>
      </c>
      <c r="O705" s="231">
        <v>1522</v>
      </c>
      <c r="P705" s="220">
        <f t="shared" si="21"/>
        <v>4778</v>
      </c>
      <c r="Q705" s="231"/>
      <c r="R705" s="232">
        <v>38768</v>
      </c>
      <c r="S705" s="233">
        <v>3424</v>
      </c>
      <c r="T705" s="233">
        <v>42192</v>
      </c>
    </row>
    <row r="706" spans="1:20">
      <c r="A706" s="226">
        <v>97805</v>
      </c>
      <c r="B706" s="227" t="s">
        <v>1411</v>
      </c>
      <c r="C706" s="87">
        <v>7.9400000000000006E-5</v>
      </c>
      <c r="D706" s="87">
        <v>8.2600000000000002E-5</v>
      </c>
      <c r="E706" s="231">
        <v>121301</v>
      </c>
      <c r="F706" s="231"/>
      <c r="G706" s="232">
        <v>6988</v>
      </c>
      <c r="H706" s="220">
        <v>29452</v>
      </c>
      <c r="I706" s="232">
        <v>17323</v>
      </c>
      <c r="J706" s="231">
        <v>9711</v>
      </c>
      <c r="K706" s="220">
        <f t="shared" si="20"/>
        <v>63474</v>
      </c>
      <c r="L706" s="231"/>
      <c r="M706" s="232">
        <v>3434</v>
      </c>
      <c r="N706" s="232">
        <v>0</v>
      </c>
      <c r="O706" s="231">
        <v>226</v>
      </c>
      <c r="P706" s="220">
        <f t="shared" si="21"/>
        <v>3660</v>
      </c>
      <c r="Q706" s="231"/>
      <c r="R706" s="232">
        <v>40879</v>
      </c>
      <c r="S706" s="233">
        <v>3824</v>
      </c>
      <c r="T706" s="233">
        <v>44703</v>
      </c>
    </row>
    <row r="707" spans="1:20">
      <c r="A707" s="226">
        <v>97811</v>
      </c>
      <c r="B707" s="227" t="s">
        <v>1412</v>
      </c>
      <c r="C707" s="87">
        <v>2.4172E-3</v>
      </c>
      <c r="D707" s="87">
        <v>2.4088E-3</v>
      </c>
      <c r="E707" s="231">
        <v>3692812</v>
      </c>
      <c r="F707" s="231"/>
      <c r="G707" s="232">
        <v>212740</v>
      </c>
      <c r="H707" s="220">
        <v>896619</v>
      </c>
      <c r="I707" s="232">
        <v>527385</v>
      </c>
      <c r="J707" s="231">
        <v>0</v>
      </c>
      <c r="K707" s="220">
        <f t="shared" si="20"/>
        <v>1636744</v>
      </c>
      <c r="L707" s="231"/>
      <c r="M707" s="232">
        <v>104532</v>
      </c>
      <c r="N707" s="232">
        <v>0</v>
      </c>
      <c r="O707" s="231">
        <v>164062</v>
      </c>
      <c r="P707" s="220">
        <f t="shared" si="21"/>
        <v>268594</v>
      </c>
      <c r="Q707" s="231"/>
      <c r="R707" s="232">
        <v>1244481</v>
      </c>
      <c r="S707" s="233">
        <v>-73272</v>
      </c>
      <c r="T707" s="233">
        <v>1171209</v>
      </c>
    </row>
    <row r="708" spans="1:20">
      <c r="A708" s="226">
        <v>97817</v>
      </c>
      <c r="B708" s="227" t="s">
        <v>1413</v>
      </c>
      <c r="C708" s="87">
        <v>2.2200000000000001E-5</v>
      </c>
      <c r="D708" s="87">
        <v>3.9999999999999998E-6</v>
      </c>
      <c r="E708" s="231">
        <v>33915</v>
      </c>
      <c r="F708" s="231"/>
      <c r="G708" s="232">
        <v>1954</v>
      </c>
      <c r="H708" s="220">
        <v>8235</v>
      </c>
      <c r="I708" s="232">
        <v>4844</v>
      </c>
      <c r="J708" s="231">
        <v>18101</v>
      </c>
      <c r="K708" s="220">
        <f t="shared" si="20"/>
        <v>33134</v>
      </c>
      <c r="L708" s="231"/>
      <c r="M708" s="232">
        <v>960</v>
      </c>
      <c r="N708" s="232">
        <v>0</v>
      </c>
      <c r="O708" s="231">
        <v>2418</v>
      </c>
      <c r="P708" s="220">
        <f t="shared" si="21"/>
        <v>3378</v>
      </c>
      <c r="Q708" s="231"/>
      <c r="R708" s="232">
        <v>11430</v>
      </c>
      <c r="S708" s="233">
        <v>3916</v>
      </c>
      <c r="T708" s="233">
        <f>15345+1</f>
        <v>15346</v>
      </c>
    </row>
    <row r="709" spans="1:20">
      <c r="A709" s="226">
        <v>97818</v>
      </c>
      <c r="B709" s="227" t="s">
        <v>1414</v>
      </c>
      <c r="C709" s="87">
        <v>2.1999999999999999E-5</v>
      </c>
      <c r="D709" s="87">
        <v>2.12E-5</v>
      </c>
      <c r="E709" s="231">
        <v>33610</v>
      </c>
      <c r="F709" s="231"/>
      <c r="G709" s="232">
        <v>1936</v>
      </c>
      <c r="H709" s="220">
        <v>8160</v>
      </c>
      <c r="I709" s="232">
        <v>4800</v>
      </c>
      <c r="J709" s="231">
        <v>6200</v>
      </c>
      <c r="K709" s="220">
        <f t="shared" si="20"/>
        <v>21096</v>
      </c>
      <c r="L709" s="231"/>
      <c r="M709" s="232">
        <v>951</v>
      </c>
      <c r="N709" s="232">
        <v>0</v>
      </c>
      <c r="O709" s="231">
        <v>2136</v>
      </c>
      <c r="P709" s="220">
        <f t="shared" si="21"/>
        <v>3087</v>
      </c>
      <c r="Q709" s="231"/>
      <c r="R709" s="232">
        <v>11327</v>
      </c>
      <c r="S709" s="233">
        <v>134</v>
      </c>
      <c r="T709" s="233">
        <v>11461</v>
      </c>
    </row>
    <row r="710" spans="1:20">
      <c r="A710" s="226">
        <v>97821</v>
      </c>
      <c r="B710" s="227" t="s">
        <v>1415</v>
      </c>
      <c r="C710" s="87">
        <v>1.126E-4</v>
      </c>
      <c r="D710" s="87">
        <v>1.1620000000000001E-4</v>
      </c>
      <c r="E710" s="231">
        <v>172022</v>
      </c>
      <c r="F710" s="231"/>
      <c r="G710" s="232">
        <v>9910</v>
      </c>
      <c r="H710" s="220">
        <v>41767</v>
      </c>
      <c r="I710" s="232">
        <v>24567</v>
      </c>
      <c r="J710" s="231">
        <v>5355</v>
      </c>
      <c r="K710" s="220">
        <f t="shared" si="20"/>
        <v>81599</v>
      </c>
      <c r="L710" s="231"/>
      <c r="M710" s="232">
        <v>4869</v>
      </c>
      <c r="N710" s="232">
        <v>0</v>
      </c>
      <c r="O710" s="231">
        <v>16228</v>
      </c>
      <c r="P710" s="220">
        <f t="shared" si="21"/>
        <v>21097</v>
      </c>
      <c r="Q710" s="231"/>
      <c r="R710" s="232">
        <v>57971</v>
      </c>
      <c r="S710" s="233">
        <v>-9342</v>
      </c>
      <c r="T710" s="233">
        <f>48630-1</f>
        <v>48629</v>
      </c>
    </row>
    <row r="711" spans="1:20">
      <c r="A711" s="226">
        <v>97823</v>
      </c>
      <c r="B711" s="227" t="s">
        <v>1416</v>
      </c>
      <c r="C711" s="87">
        <v>2.3300000000000001E-5</v>
      </c>
      <c r="D711" s="87">
        <v>2.4600000000000002E-5</v>
      </c>
      <c r="E711" s="231">
        <v>35596</v>
      </c>
      <c r="F711" s="231"/>
      <c r="G711" s="232">
        <v>2051</v>
      </c>
      <c r="H711" s="220">
        <v>8642</v>
      </c>
      <c r="I711" s="232">
        <v>5084</v>
      </c>
      <c r="J711" s="231">
        <v>1711</v>
      </c>
      <c r="K711" s="220">
        <f t="shared" si="20"/>
        <v>17488</v>
      </c>
      <c r="L711" s="231"/>
      <c r="M711" s="232">
        <v>1008</v>
      </c>
      <c r="N711" s="232">
        <v>0</v>
      </c>
      <c r="O711" s="231">
        <v>591</v>
      </c>
      <c r="P711" s="220">
        <f t="shared" si="21"/>
        <v>1599</v>
      </c>
      <c r="Q711" s="231"/>
      <c r="R711" s="232">
        <v>11996</v>
      </c>
      <c r="S711" s="233">
        <v>-77</v>
      </c>
      <c r="T711" s="233">
        <v>11919</v>
      </c>
    </row>
    <row r="712" spans="1:20">
      <c r="A712" s="226">
        <v>97831</v>
      </c>
      <c r="B712" s="227" t="s">
        <v>1417</v>
      </c>
      <c r="C712" s="87">
        <v>1.7009999999999999E-4</v>
      </c>
      <c r="D712" s="87">
        <v>1.482E-4</v>
      </c>
      <c r="E712" s="231">
        <v>259866</v>
      </c>
      <c r="F712" s="231"/>
      <c r="G712" s="232">
        <v>14971</v>
      </c>
      <c r="H712" s="220">
        <v>63096</v>
      </c>
      <c r="I712" s="232">
        <v>37112</v>
      </c>
      <c r="J712" s="231">
        <v>15261</v>
      </c>
      <c r="K712" s="220">
        <f t="shared" si="20"/>
        <v>130440</v>
      </c>
      <c r="L712" s="231"/>
      <c r="M712" s="232">
        <v>7356</v>
      </c>
      <c r="N712" s="232">
        <v>0</v>
      </c>
      <c r="O712" s="231">
        <v>8418</v>
      </c>
      <c r="P712" s="220">
        <f t="shared" si="21"/>
        <v>15774</v>
      </c>
      <c r="Q712" s="231"/>
      <c r="R712" s="232">
        <v>87575</v>
      </c>
      <c r="S712" s="233">
        <v>-2075</v>
      </c>
      <c r="T712" s="233">
        <v>85500</v>
      </c>
    </row>
    <row r="713" spans="1:20">
      <c r="A713" s="226">
        <v>97837</v>
      </c>
      <c r="B713" s="227" t="s">
        <v>1418</v>
      </c>
      <c r="C713" s="87">
        <v>1.0200000000000001E-5</v>
      </c>
      <c r="D713" s="87">
        <v>8.8000000000000004E-6</v>
      </c>
      <c r="E713" s="231">
        <v>15583</v>
      </c>
      <c r="F713" s="231"/>
      <c r="G713" s="232">
        <v>898</v>
      </c>
      <c r="H713" s="220">
        <v>3784</v>
      </c>
      <c r="I713" s="232">
        <v>2225</v>
      </c>
      <c r="J713" s="231">
        <v>3302</v>
      </c>
      <c r="K713" s="220">
        <f t="shared" si="20"/>
        <v>10209</v>
      </c>
      <c r="L713" s="231"/>
      <c r="M713" s="232">
        <v>441</v>
      </c>
      <c r="N713" s="232">
        <v>0</v>
      </c>
      <c r="O713" s="231">
        <v>214</v>
      </c>
      <c r="P713" s="220">
        <f t="shared" si="21"/>
        <v>655</v>
      </c>
      <c r="Q713" s="231"/>
      <c r="R713" s="232">
        <v>5251</v>
      </c>
      <c r="S713" s="233">
        <v>1260</v>
      </c>
      <c r="T713" s="233">
        <v>6511</v>
      </c>
    </row>
    <row r="714" spans="1:20">
      <c r="A714" s="226">
        <v>97840</v>
      </c>
      <c r="B714" s="227" t="s">
        <v>1419</v>
      </c>
      <c r="C714" s="87">
        <v>1.3190000000000001E-4</v>
      </c>
      <c r="D714" s="87">
        <v>1.403E-4</v>
      </c>
      <c r="E714" s="231">
        <v>201507</v>
      </c>
      <c r="F714" s="231"/>
      <c r="G714" s="232">
        <v>11609</v>
      </c>
      <c r="H714" s="220">
        <v>48926</v>
      </c>
      <c r="I714" s="232">
        <v>28778</v>
      </c>
      <c r="J714" s="231">
        <v>76227</v>
      </c>
      <c r="K714" s="220">
        <f t="shared" ref="K714:K777" si="23">G714+H714+I714+J714</f>
        <v>165540</v>
      </c>
      <c r="L714" s="231"/>
      <c r="M714" s="232">
        <v>5704</v>
      </c>
      <c r="N714" s="232">
        <v>0</v>
      </c>
      <c r="O714" s="231">
        <v>964</v>
      </c>
      <c r="P714" s="220">
        <f t="shared" ref="P714:P777" si="24">M714+N714+O714</f>
        <v>6668</v>
      </c>
      <c r="Q714" s="231"/>
      <c r="R714" s="232">
        <v>67908</v>
      </c>
      <c r="S714" s="233">
        <v>27073</v>
      </c>
      <c r="T714" s="233">
        <v>94981</v>
      </c>
    </row>
    <row r="715" spans="1:20">
      <c r="A715" s="226">
        <v>97841</v>
      </c>
      <c r="B715" s="227" t="s">
        <v>1420</v>
      </c>
      <c r="C715" s="87">
        <v>1.31E-5</v>
      </c>
      <c r="D715" s="87">
        <v>1.45E-5</v>
      </c>
      <c r="E715" s="231">
        <v>20013</v>
      </c>
      <c r="F715" s="231"/>
      <c r="G715" s="232">
        <v>1153</v>
      </c>
      <c r="H715" s="220">
        <v>4859</v>
      </c>
      <c r="I715" s="232">
        <v>2858</v>
      </c>
      <c r="J715" s="231">
        <v>410</v>
      </c>
      <c r="K715" s="220">
        <f t="shared" si="23"/>
        <v>9280</v>
      </c>
      <c r="L715" s="231"/>
      <c r="M715" s="232">
        <v>567</v>
      </c>
      <c r="N715" s="232">
        <v>0</v>
      </c>
      <c r="O715" s="231">
        <v>4768</v>
      </c>
      <c r="P715" s="220">
        <f t="shared" si="24"/>
        <v>5335</v>
      </c>
      <c r="Q715" s="231"/>
      <c r="R715" s="232">
        <v>6744</v>
      </c>
      <c r="S715" s="233">
        <v>-3859</v>
      </c>
      <c r="T715" s="233">
        <v>2885</v>
      </c>
    </row>
    <row r="716" spans="1:20">
      <c r="A716" s="226">
        <v>97847</v>
      </c>
      <c r="B716" s="227" t="s">
        <v>1421</v>
      </c>
      <c r="C716" s="87">
        <v>2.0999999999999998E-6</v>
      </c>
      <c r="D716" s="87">
        <v>2.2000000000000001E-6</v>
      </c>
      <c r="E716" s="231">
        <v>3208</v>
      </c>
      <c r="F716" s="231"/>
      <c r="G716" s="232">
        <v>185</v>
      </c>
      <c r="H716" s="220">
        <v>779</v>
      </c>
      <c r="I716" s="232">
        <v>458</v>
      </c>
      <c r="J716" s="231">
        <v>1433</v>
      </c>
      <c r="K716" s="220">
        <f t="shared" si="23"/>
        <v>2855</v>
      </c>
      <c r="L716" s="231"/>
      <c r="M716" s="232">
        <v>91</v>
      </c>
      <c r="N716" s="232">
        <v>0</v>
      </c>
      <c r="O716" s="231">
        <v>72</v>
      </c>
      <c r="P716" s="220">
        <f t="shared" si="24"/>
        <v>163</v>
      </c>
      <c r="Q716" s="231"/>
      <c r="R716" s="232">
        <v>1081</v>
      </c>
      <c r="S716" s="233">
        <v>355</v>
      </c>
      <c r="T716" s="233">
        <v>1436</v>
      </c>
    </row>
    <row r="717" spans="1:20">
      <c r="A717" s="226">
        <v>97851</v>
      </c>
      <c r="B717" s="227" t="s">
        <v>1422</v>
      </c>
      <c r="C717" s="87">
        <v>2.7799999999999998E-4</v>
      </c>
      <c r="D717" s="87">
        <v>2.7460000000000001E-4</v>
      </c>
      <c r="E717" s="231">
        <v>424707</v>
      </c>
      <c r="F717" s="231"/>
      <c r="G717" s="232">
        <v>24467</v>
      </c>
      <c r="H717" s="220">
        <v>103120</v>
      </c>
      <c r="I717" s="232">
        <v>60654</v>
      </c>
      <c r="J717" s="231">
        <v>1448</v>
      </c>
      <c r="K717" s="220">
        <f t="shared" si="23"/>
        <v>189689</v>
      </c>
      <c r="L717" s="231"/>
      <c r="M717" s="232">
        <v>12022</v>
      </c>
      <c r="N717" s="232">
        <v>0</v>
      </c>
      <c r="O717" s="231">
        <v>12710</v>
      </c>
      <c r="P717" s="220">
        <f t="shared" si="24"/>
        <v>24732</v>
      </c>
      <c r="Q717" s="231"/>
      <c r="R717" s="232">
        <v>143127</v>
      </c>
      <c r="S717" s="233">
        <v>-2512</v>
      </c>
      <c r="T717" s="233">
        <v>140615</v>
      </c>
    </row>
    <row r="718" spans="1:20">
      <c r="A718" s="226">
        <v>97853</v>
      </c>
      <c r="B718" s="227" t="s">
        <v>1423</v>
      </c>
      <c r="C718" s="87">
        <v>1.0289999999999999E-4</v>
      </c>
      <c r="D718" s="87">
        <v>9.1600000000000004E-5</v>
      </c>
      <c r="E718" s="231">
        <v>157203</v>
      </c>
      <c r="F718" s="231"/>
      <c r="G718" s="232">
        <v>9056</v>
      </c>
      <c r="H718" s="220">
        <v>38169</v>
      </c>
      <c r="I718" s="232">
        <v>22451</v>
      </c>
      <c r="J718" s="231">
        <v>8759</v>
      </c>
      <c r="K718" s="220">
        <f t="shared" si="23"/>
        <v>78435</v>
      </c>
      <c r="L718" s="231"/>
      <c r="M718" s="232">
        <v>4450</v>
      </c>
      <c r="N718" s="232">
        <v>0</v>
      </c>
      <c r="O718" s="231">
        <v>9750</v>
      </c>
      <c r="P718" s="220">
        <f t="shared" si="24"/>
        <v>14200</v>
      </c>
      <c r="Q718" s="231"/>
      <c r="R718" s="232">
        <v>52977</v>
      </c>
      <c r="S718" s="233">
        <v>429</v>
      </c>
      <c r="T718" s="233">
        <f>53407-1</f>
        <v>53406</v>
      </c>
    </row>
    <row r="719" spans="1:20">
      <c r="A719" s="226">
        <v>97861</v>
      </c>
      <c r="B719" s="227" t="s">
        <v>1424</v>
      </c>
      <c r="C719" s="87">
        <v>6.7000000000000002E-5</v>
      </c>
      <c r="D719" s="87">
        <v>6.8499999999999998E-5</v>
      </c>
      <c r="E719" s="231">
        <v>102357</v>
      </c>
      <c r="F719" s="231"/>
      <c r="G719" s="232">
        <v>5897</v>
      </c>
      <c r="H719" s="220">
        <v>24852</v>
      </c>
      <c r="I719" s="232">
        <v>14618</v>
      </c>
      <c r="J719" s="231">
        <v>1771</v>
      </c>
      <c r="K719" s="220">
        <f t="shared" si="23"/>
        <v>47138</v>
      </c>
      <c r="L719" s="231"/>
      <c r="M719" s="232">
        <v>2897</v>
      </c>
      <c r="N719" s="232">
        <v>0</v>
      </c>
      <c r="O719" s="231">
        <v>7954</v>
      </c>
      <c r="P719" s="220">
        <f t="shared" si="24"/>
        <v>10851</v>
      </c>
      <c r="Q719" s="231"/>
      <c r="R719" s="232">
        <v>34495</v>
      </c>
      <c r="S719" s="233">
        <v>-3725</v>
      </c>
      <c r="T719" s="233">
        <f>30769+1</f>
        <v>30770</v>
      </c>
    </row>
    <row r="720" spans="1:20">
      <c r="A720" s="226">
        <v>97871</v>
      </c>
      <c r="B720" s="227" t="s">
        <v>1425</v>
      </c>
      <c r="C720" s="87">
        <v>2.9930000000000001E-4</v>
      </c>
      <c r="D720" s="87">
        <v>3.1500000000000001E-4</v>
      </c>
      <c r="E720" s="231">
        <v>457247</v>
      </c>
      <c r="F720" s="231"/>
      <c r="G720" s="232">
        <v>26342</v>
      </c>
      <c r="H720" s="220">
        <v>111020</v>
      </c>
      <c r="I720" s="232">
        <v>65301</v>
      </c>
      <c r="J720" s="231">
        <v>217143</v>
      </c>
      <c r="K720" s="220">
        <f t="shared" si="23"/>
        <v>419806</v>
      </c>
      <c r="L720" s="231"/>
      <c r="M720" s="232">
        <v>12943</v>
      </c>
      <c r="N720" s="232">
        <v>0</v>
      </c>
      <c r="O720" s="231">
        <v>0</v>
      </c>
      <c r="P720" s="220">
        <f t="shared" si="24"/>
        <v>12943</v>
      </c>
      <c r="Q720" s="231"/>
      <c r="R720" s="232">
        <v>154093</v>
      </c>
      <c r="S720" s="233">
        <v>79417</v>
      </c>
      <c r="T720" s="233">
        <f>233509+1</f>
        <v>233510</v>
      </c>
    </row>
    <row r="721" spans="1:20">
      <c r="A721" s="226">
        <v>97877</v>
      </c>
      <c r="B721" s="227" t="s">
        <v>1426</v>
      </c>
      <c r="C721" s="87">
        <v>1.9E-6</v>
      </c>
      <c r="D721" s="87">
        <v>2.2000000000000001E-6</v>
      </c>
      <c r="E721" s="231">
        <v>2903</v>
      </c>
      <c r="F721" s="231"/>
      <c r="G721" s="232">
        <v>167</v>
      </c>
      <c r="H721" s="220">
        <v>705</v>
      </c>
      <c r="I721" s="232">
        <v>415</v>
      </c>
      <c r="J721" s="231">
        <v>1638</v>
      </c>
      <c r="K721" s="220">
        <f t="shared" si="23"/>
        <v>2925</v>
      </c>
      <c r="L721" s="231"/>
      <c r="M721" s="232">
        <v>82</v>
      </c>
      <c r="N721" s="232">
        <v>0</v>
      </c>
      <c r="O721" s="231">
        <v>0</v>
      </c>
      <c r="P721" s="220">
        <f t="shared" si="24"/>
        <v>82</v>
      </c>
      <c r="Q721" s="231"/>
      <c r="R721" s="232">
        <v>978</v>
      </c>
      <c r="S721" s="233">
        <v>648</v>
      </c>
      <c r="T721" s="233">
        <f>1627-1</f>
        <v>1626</v>
      </c>
    </row>
    <row r="722" spans="1:20">
      <c r="A722" s="226">
        <v>97901</v>
      </c>
      <c r="B722" s="227" t="s">
        <v>1427</v>
      </c>
      <c r="C722" s="87">
        <v>4.2658000000000001E-3</v>
      </c>
      <c r="D722" s="87">
        <v>4.3616999999999996E-3</v>
      </c>
      <c r="E722" s="231">
        <v>6516961</v>
      </c>
      <c r="F722" s="231"/>
      <c r="G722" s="232">
        <v>375437</v>
      </c>
      <c r="H722" s="220">
        <v>1582326</v>
      </c>
      <c r="I722" s="232">
        <v>930712</v>
      </c>
      <c r="J722" s="231">
        <v>88360</v>
      </c>
      <c r="K722" s="220">
        <f t="shared" si="23"/>
        <v>2976835</v>
      </c>
      <c r="L722" s="231"/>
      <c r="M722" s="232">
        <v>184475</v>
      </c>
      <c r="N722" s="232">
        <v>0</v>
      </c>
      <c r="O722" s="231">
        <v>14865</v>
      </c>
      <c r="P722" s="220">
        <f t="shared" si="24"/>
        <v>199340</v>
      </c>
      <c r="Q722" s="231"/>
      <c r="R722" s="232">
        <v>2196222</v>
      </c>
      <c r="S722" s="233">
        <v>35112</v>
      </c>
      <c r="T722" s="233">
        <v>2231334</v>
      </c>
    </row>
    <row r="723" spans="1:20">
      <c r="A723" s="226">
        <v>97911</v>
      </c>
      <c r="B723" s="227" t="s">
        <v>1428</v>
      </c>
      <c r="C723" s="87">
        <v>1.3005E-3</v>
      </c>
      <c r="D723" s="87">
        <v>1.3190000000000001E-3</v>
      </c>
      <c r="E723" s="231">
        <v>1986804</v>
      </c>
      <c r="F723" s="231"/>
      <c r="G723" s="232">
        <v>114458</v>
      </c>
      <c r="H723" s="220">
        <v>482398</v>
      </c>
      <c r="I723" s="232">
        <v>283743</v>
      </c>
      <c r="J723" s="231">
        <v>31167</v>
      </c>
      <c r="K723" s="220">
        <f t="shared" si="23"/>
        <v>911766</v>
      </c>
      <c r="L723" s="231"/>
      <c r="M723" s="232">
        <v>56240</v>
      </c>
      <c r="N723" s="232">
        <v>0</v>
      </c>
      <c r="O723" s="231">
        <v>28435</v>
      </c>
      <c r="P723" s="220">
        <f t="shared" si="24"/>
        <v>84675</v>
      </c>
      <c r="Q723" s="231"/>
      <c r="R723" s="232">
        <v>669555</v>
      </c>
      <c r="S723" s="233">
        <v>10548</v>
      </c>
      <c r="T723" s="233">
        <v>680103</v>
      </c>
    </row>
    <row r="724" spans="1:20">
      <c r="A724" s="226">
        <v>97913</v>
      </c>
      <c r="B724" s="227" t="s">
        <v>1429</v>
      </c>
      <c r="C724" s="87">
        <v>3.5899999999999998E-5</v>
      </c>
      <c r="D724" s="87">
        <v>3.7400000000000001E-5</v>
      </c>
      <c r="E724" s="231">
        <v>54845</v>
      </c>
      <c r="F724" s="231"/>
      <c r="G724" s="232">
        <v>3160</v>
      </c>
      <c r="H724" s="220">
        <v>13317</v>
      </c>
      <c r="I724" s="232">
        <v>7833</v>
      </c>
      <c r="J724" s="231">
        <v>15616</v>
      </c>
      <c r="K724" s="220">
        <f t="shared" si="23"/>
        <v>39926</v>
      </c>
      <c r="L724" s="231"/>
      <c r="M724" s="232">
        <v>1552</v>
      </c>
      <c r="N724" s="232">
        <v>0</v>
      </c>
      <c r="O724" s="231">
        <v>0</v>
      </c>
      <c r="P724" s="220">
        <f t="shared" si="24"/>
        <v>1552</v>
      </c>
      <c r="Q724" s="231"/>
      <c r="R724" s="232">
        <v>18483</v>
      </c>
      <c r="S724" s="233">
        <v>5369</v>
      </c>
      <c r="T724" s="233">
        <f>23851+1</f>
        <v>23852</v>
      </c>
    </row>
    <row r="725" spans="1:20">
      <c r="A725" s="226">
        <v>97917</v>
      </c>
      <c r="B725" s="227" t="s">
        <v>1430</v>
      </c>
      <c r="C725" s="87">
        <v>2.0999999999999999E-5</v>
      </c>
      <c r="D725" s="87">
        <v>1.98E-5</v>
      </c>
      <c r="E725" s="231">
        <v>32082</v>
      </c>
      <c r="F725" s="231"/>
      <c r="G725" s="232">
        <v>1848</v>
      </c>
      <c r="H725" s="220">
        <v>7790</v>
      </c>
      <c r="I725" s="232">
        <v>4582</v>
      </c>
      <c r="J725" s="231">
        <v>7811</v>
      </c>
      <c r="K725" s="220">
        <f t="shared" si="23"/>
        <v>22031</v>
      </c>
      <c r="L725" s="231"/>
      <c r="M725" s="232">
        <v>908</v>
      </c>
      <c r="N725" s="232">
        <v>0</v>
      </c>
      <c r="O725" s="231">
        <v>0</v>
      </c>
      <c r="P725" s="220">
        <f t="shared" si="24"/>
        <v>908</v>
      </c>
      <c r="Q725" s="231"/>
      <c r="R725" s="232">
        <v>10812</v>
      </c>
      <c r="S725" s="233">
        <v>3168</v>
      </c>
      <c r="T725" s="233">
        <f>13979+1</f>
        <v>13980</v>
      </c>
    </row>
    <row r="726" spans="1:20">
      <c r="A726" s="226">
        <v>97921</v>
      </c>
      <c r="B726" s="227" t="s">
        <v>1431</v>
      </c>
      <c r="C726" s="87">
        <v>2.1699999999999999E-4</v>
      </c>
      <c r="D726" s="87">
        <v>2.2169999999999999E-4</v>
      </c>
      <c r="E726" s="231">
        <v>331516</v>
      </c>
      <c r="F726" s="231"/>
      <c r="G726" s="232">
        <v>19098</v>
      </c>
      <c r="H726" s="220">
        <v>80493</v>
      </c>
      <c r="I726" s="232">
        <v>47345</v>
      </c>
      <c r="J726" s="231">
        <v>11562</v>
      </c>
      <c r="K726" s="220">
        <f t="shared" si="23"/>
        <v>158498</v>
      </c>
      <c r="L726" s="231"/>
      <c r="M726" s="232">
        <v>9384</v>
      </c>
      <c r="N726" s="232">
        <v>0</v>
      </c>
      <c r="O726" s="231">
        <v>5992</v>
      </c>
      <c r="P726" s="220">
        <f t="shared" si="24"/>
        <v>15376</v>
      </c>
      <c r="Q726" s="231"/>
      <c r="R726" s="232">
        <v>111721</v>
      </c>
      <c r="S726" s="233">
        <v>3241</v>
      </c>
      <c r="T726" s="233">
        <v>114962</v>
      </c>
    </row>
    <row r="727" spans="1:20">
      <c r="A727" s="226">
        <v>97931</v>
      </c>
      <c r="B727" s="227" t="s">
        <v>1432</v>
      </c>
      <c r="C727" s="87">
        <v>7.0199999999999999E-5</v>
      </c>
      <c r="D727" s="87">
        <v>6.1600000000000007E-5</v>
      </c>
      <c r="E727" s="231">
        <v>107246</v>
      </c>
      <c r="F727" s="231"/>
      <c r="G727" s="232">
        <v>6178</v>
      </c>
      <c r="H727" s="220">
        <v>26039</v>
      </c>
      <c r="I727" s="232">
        <v>15316</v>
      </c>
      <c r="J727" s="231">
        <v>18162</v>
      </c>
      <c r="K727" s="220">
        <f t="shared" si="23"/>
        <v>65695</v>
      </c>
      <c r="L727" s="231"/>
      <c r="M727" s="232">
        <v>3036</v>
      </c>
      <c r="N727" s="232">
        <v>0</v>
      </c>
      <c r="O727" s="231">
        <v>7492</v>
      </c>
      <c r="P727" s="220">
        <f t="shared" si="24"/>
        <v>10528</v>
      </c>
      <c r="Q727" s="231"/>
      <c r="R727" s="232">
        <v>36142</v>
      </c>
      <c r="S727" s="233">
        <v>2117</v>
      </c>
      <c r="T727" s="233">
        <v>38259</v>
      </c>
    </row>
    <row r="728" spans="1:20">
      <c r="A728" s="226">
        <v>97941</v>
      </c>
      <c r="B728" s="227" t="s">
        <v>1433</v>
      </c>
      <c r="C728" s="87">
        <v>2.0479999999999999E-4</v>
      </c>
      <c r="D728" s="87">
        <v>2.3330000000000001E-4</v>
      </c>
      <c r="E728" s="231">
        <v>312878</v>
      </c>
      <c r="F728" s="231"/>
      <c r="G728" s="232">
        <v>18025</v>
      </c>
      <c r="H728" s="220">
        <v>75967</v>
      </c>
      <c r="I728" s="232">
        <v>44683</v>
      </c>
      <c r="J728" s="231">
        <v>17999</v>
      </c>
      <c r="K728" s="220">
        <f t="shared" si="23"/>
        <v>156674</v>
      </c>
      <c r="L728" s="231"/>
      <c r="M728" s="232">
        <v>8857</v>
      </c>
      <c r="N728" s="232">
        <v>0</v>
      </c>
      <c r="O728" s="231">
        <v>8897</v>
      </c>
      <c r="P728" s="220">
        <f t="shared" si="24"/>
        <v>17754</v>
      </c>
      <c r="Q728" s="231"/>
      <c r="R728" s="232">
        <v>105440</v>
      </c>
      <c r="S728" s="233">
        <v>7001</v>
      </c>
      <c r="T728" s="233">
        <v>112441</v>
      </c>
    </row>
    <row r="729" spans="1:20">
      <c r="A729" s="226">
        <v>97947</v>
      </c>
      <c r="B729" s="227" t="s">
        <v>1434</v>
      </c>
      <c r="C729" s="87">
        <v>1.3900000000000001E-5</v>
      </c>
      <c r="D729" s="87">
        <v>1.5500000000000001E-5</v>
      </c>
      <c r="E729" s="231">
        <v>21235</v>
      </c>
      <c r="F729" s="231"/>
      <c r="G729" s="232">
        <v>1223</v>
      </c>
      <c r="H729" s="220">
        <v>5156</v>
      </c>
      <c r="I729" s="232">
        <v>3033</v>
      </c>
      <c r="J729" s="231">
        <v>9518</v>
      </c>
      <c r="K729" s="220">
        <f t="shared" si="23"/>
        <v>18930</v>
      </c>
      <c r="L729" s="231"/>
      <c r="M729" s="232">
        <v>601</v>
      </c>
      <c r="N729" s="232">
        <v>0</v>
      </c>
      <c r="O729" s="231">
        <v>306</v>
      </c>
      <c r="P729" s="220">
        <f t="shared" si="24"/>
        <v>907</v>
      </c>
      <c r="Q729" s="231"/>
      <c r="R729" s="232">
        <v>7156</v>
      </c>
      <c r="S729" s="233">
        <v>3116</v>
      </c>
      <c r="T729" s="233">
        <v>10272</v>
      </c>
    </row>
    <row r="730" spans="1:20">
      <c r="A730" s="226">
        <v>97948</v>
      </c>
      <c r="B730" s="227" t="s">
        <v>1435</v>
      </c>
      <c r="C730" s="87">
        <v>2.2099999999999998E-5</v>
      </c>
      <c r="D730" s="87">
        <v>3.5200000000000002E-5</v>
      </c>
      <c r="E730" s="231">
        <v>33763</v>
      </c>
      <c r="F730" s="231"/>
      <c r="G730" s="232">
        <v>1945</v>
      </c>
      <c r="H730" s="220">
        <v>8198</v>
      </c>
      <c r="I730" s="232">
        <v>4822</v>
      </c>
      <c r="J730" s="231">
        <v>1909</v>
      </c>
      <c r="K730" s="220">
        <f t="shared" si="23"/>
        <v>16874</v>
      </c>
      <c r="L730" s="231"/>
      <c r="M730" s="232">
        <v>956</v>
      </c>
      <c r="N730" s="232">
        <v>0</v>
      </c>
      <c r="O730" s="231">
        <v>8330</v>
      </c>
      <c r="P730" s="220">
        <f t="shared" si="24"/>
        <v>9286</v>
      </c>
      <c r="Q730" s="231"/>
      <c r="R730" s="232">
        <v>11378</v>
      </c>
      <c r="S730" s="233">
        <v>-972</v>
      </c>
      <c r="T730" s="233">
        <v>10406</v>
      </c>
    </row>
    <row r="731" spans="1:20">
      <c r="A731" s="226">
        <v>97951</v>
      </c>
      <c r="B731" s="227" t="s">
        <v>1436</v>
      </c>
      <c r="C731" s="87">
        <v>1.2440999999999999E-3</v>
      </c>
      <c r="D731" s="87">
        <v>1.2497000000000001E-3</v>
      </c>
      <c r="E731" s="231">
        <v>1900640</v>
      </c>
      <c r="F731" s="231"/>
      <c r="G731" s="232">
        <v>109494</v>
      </c>
      <c r="H731" s="220">
        <v>461477</v>
      </c>
      <c r="I731" s="232">
        <v>271438</v>
      </c>
      <c r="J731" s="231">
        <v>31864</v>
      </c>
      <c r="K731" s="220">
        <f t="shared" si="23"/>
        <v>874273</v>
      </c>
      <c r="L731" s="231"/>
      <c r="M731" s="232">
        <v>53801</v>
      </c>
      <c r="N731" s="232">
        <v>0</v>
      </c>
      <c r="O731" s="231">
        <v>7067</v>
      </c>
      <c r="P731" s="220">
        <f t="shared" si="24"/>
        <v>60868</v>
      </c>
      <c r="Q731" s="231"/>
      <c r="R731" s="232">
        <v>640517</v>
      </c>
      <c r="S731" s="233">
        <v>4295</v>
      </c>
      <c r="T731" s="233">
        <f>644813-1</f>
        <v>644812</v>
      </c>
    </row>
    <row r="732" spans="1:20">
      <c r="A732" s="226">
        <v>97957</v>
      </c>
      <c r="B732" s="227" t="s">
        <v>1437</v>
      </c>
      <c r="C732" s="87">
        <v>1.8700000000000001E-5</v>
      </c>
      <c r="D732" s="87">
        <v>1.9599999999999999E-5</v>
      </c>
      <c r="E732" s="231">
        <v>28568</v>
      </c>
      <c r="F732" s="231"/>
      <c r="G732" s="232">
        <v>1646</v>
      </c>
      <c r="H732" s="220">
        <v>6936</v>
      </c>
      <c r="I732" s="232">
        <v>4080</v>
      </c>
      <c r="J732" s="231">
        <v>4456</v>
      </c>
      <c r="K732" s="220">
        <f t="shared" si="23"/>
        <v>17118</v>
      </c>
      <c r="L732" s="231"/>
      <c r="M732" s="232">
        <v>809</v>
      </c>
      <c r="N732" s="232">
        <v>0</v>
      </c>
      <c r="O732" s="231">
        <v>1123</v>
      </c>
      <c r="P732" s="220">
        <f t="shared" si="24"/>
        <v>1932</v>
      </c>
      <c r="Q732" s="231"/>
      <c r="R732" s="232">
        <v>9628</v>
      </c>
      <c r="S732" s="233">
        <v>620</v>
      </c>
      <c r="T732" s="233">
        <f>10247+1</f>
        <v>10248</v>
      </c>
    </row>
    <row r="733" spans="1:20">
      <c r="A733" s="226">
        <v>98001</v>
      </c>
      <c r="B733" s="227" t="s">
        <v>1438</v>
      </c>
      <c r="C733" s="87">
        <v>5.1148000000000001E-3</v>
      </c>
      <c r="D733" s="87">
        <v>4.9659999999999999E-3</v>
      </c>
      <c r="E733" s="231">
        <v>7813998</v>
      </c>
      <c r="F733" s="231"/>
      <c r="G733" s="232">
        <v>450159</v>
      </c>
      <c r="H733" s="220">
        <v>1897248</v>
      </c>
      <c r="I733" s="232">
        <v>1115947</v>
      </c>
      <c r="J733" s="231">
        <v>181889</v>
      </c>
      <c r="K733" s="220">
        <f t="shared" si="23"/>
        <v>3645243</v>
      </c>
      <c r="L733" s="231"/>
      <c r="M733" s="232">
        <v>221190</v>
      </c>
      <c r="N733" s="232">
        <v>0</v>
      </c>
      <c r="O733" s="231">
        <v>0</v>
      </c>
      <c r="P733" s="220">
        <f t="shared" si="24"/>
        <v>221190</v>
      </c>
      <c r="Q733" s="231"/>
      <c r="R733" s="232">
        <v>2633324</v>
      </c>
      <c r="S733" s="233">
        <v>81305</v>
      </c>
      <c r="T733" s="233">
        <v>2714629</v>
      </c>
    </row>
    <row r="734" spans="1:20">
      <c r="A734" s="226">
        <v>98002</v>
      </c>
      <c r="B734" s="227" t="s">
        <v>1439</v>
      </c>
      <c r="C734" s="87">
        <v>6.7000000000000002E-6</v>
      </c>
      <c r="D734" s="87">
        <v>7.3000000000000004E-6</v>
      </c>
      <c r="E734" s="231">
        <v>10236</v>
      </c>
      <c r="F734" s="231"/>
      <c r="G734" s="232">
        <v>590</v>
      </c>
      <c r="H734" s="220">
        <v>2485</v>
      </c>
      <c r="I734" s="232">
        <v>1462</v>
      </c>
      <c r="J734" s="231">
        <v>1007</v>
      </c>
      <c r="K734" s="220">
        <f t="shared" si="23"/>
        <v>5544</v>
      </c>
      <c r="L734" s="231"/>
      <c r="M734" s="232">
        <v>290</v>
      </c>
      <c r="N734" s="232">
        <v>0</v>
      </c>
      <c r="O734" s="231">
        <v>6492</v>
      </c>
      <c r="P734" s="220">
        <f t="shared" si="24"/>
        <v>6782</v>
      </c>
      <c r="Q734" s="231"/>
      <c r="R734" s="232">
        <v>3449</v>
      </c>
      <c r="S734" s="233">
        <v>-6219</v>
      </c>
      <c r="T734" s="233">
        <v>-2770</v>
      </c>
    </row>
    <row r="735" spans="1:20">
      <c r="A735" s="226">
        <v>98003</v>
      </c>
      <c r="B735" s="227" t="s">
        <v>1440</v>
      </c>
      <c r="C735" s="87">
        <v>7.9599999999999997E-5</v>
      </c>
      <c r="D735" s="87">
        <v>8.1600000000000005E-5</v>
      </c>
      <c r="E735" s="231">
        <v>121607</v>
      </c>
      <c r="F735" s="231"/>
      <c r="G735" s="232">
        <v>7006</v>
      </c>
      <c r="H735" s="220">
        <v>29526</v>
      </c>
      <c r="I735" s="232">
        <v>17367</v>
      </c>
      <c r="J735" s="231">
        <v>54986</v>
      </c>
      <c r="K735" s="220">
        <f t="shared" si="23"/>
        <v>108885</v>
      </c>
      <c r="L735" s="231"/>
      <c r="M735" s="232">
        <v>3442</v>
      </c>
      <c r="N735" s="232">
        <v>0</v>
      </c>
      <c r="O735" s="231">
        <v>0</v>
      </c>
      <c r="P735" s="220">
        <f t="shared" si="24"/>
        <v>3442</v>
      </c>
      <c r="Q735" s="231"/>
      <c r="R735" s="232">
        <v>40982</v>
      </c>
      <c r="S735" s="233">
        <v>18634</v>
      </c>
      <c r="T735" s="233">
        <v>59616</v>
      </c>
    </row>
    <row r="736" spans="1:20">
      <c r="A736" s="226">
        <v>98004</v>
      </c>
      <c r="B736" s="227" t="s">
        <v>1441</v>
      </c>
      <c r="C736" s="87">
        <v>1.182E-4</v>
      </c>
      <c r="D736" s="87">
        <v>1.209E-4</v>
      </c>
      <c r="E736" s="231">
        <v>180577</v>
      </c>
      <c r="F736" s="231"/>
      <c r="G736" s="232">
        <v>10403</v>
      </c>
      <c r="H736" s="220">
        <v>43844</v>
      </c>
      <c r="I736" s="232">
        <v>25789</v>
      </c>
      <c r="J736" s="231">
        <v>36575</v>
      </c>
      <c r="K736" s="220">
        <f t="shared" si="23"/>
        <v>116611</v>
      </c>
      <c r="L736" s="231"/>
      <c r="M736" s="232">
        <v>5112</v>
      </c>
      <c r="N736" s="232">
        <v>0</v>
      </c>
      <c r="O736" s="231">
        <v>0</v>
      </c>
      <c r="P736" s="220">
        <f t="shared" si="24"/>
        <v>5112</v>
      </c>
      <c r="Q736" s="231"/>
      <c r="R736" s="232">
        <v>60855</v>
      </c>
      <c r="S736" s="233">
        <v>14190</v>
      </c>
      <c r="T736" s="233">
        <f>75044+1</f>
        <v>75045</v>
      </c>
    </row>
    <row r="737" spans="1:20">
      <c r="A737" s="226">
        <v>98008</v>
      </c>
      <c r="B737" s="227" t="s">
        <v>1442</v>
      </c>
      <c r="C737" s="87">
        <v>7.9999999999999996E-6</v>
      </c>
      <c r="D737" s="87">
        <v>7.7999999999999999E-6</v>
      </c>
      <c r="E737" s="231">
        <v>12222</v>
      </c>
      <c r="F737" s="231"/>
      <c r="G737" s="232">
        <v>704</v>
      </c>
      <c r="H737" s="220">
        <v>2967</v>
      </c>
      <c r="I737" s="232">
        <v>1745</v>
      </c>
      <c r="J737" s="231">
        <v>25</v>
      </c>
      <c r="K737" s="220">
        <f t="shared" si="23"/>
        <v>5441</v>
      </c>
      <c r="L737" s="231"/>
      <c r="M737" s="232">
        <v>346</v>
      </c>
      <c r="N737" s="232">
        <v>0</v>
      </c>
      <c r="O737" s="231">
        <v>804</v>
      </c>
      <c r="P737" s="220">
        <f t="shared" si="24"/>
        <v>1150</v>
      </c>
      <c r="Q737" s="231"/>
      <c r="R737" s="232">
        <v>4119</v>
      </c>
      <c r="S737" s="233">
        <v>-490</v>
      </c>
      <c r="T737" s="233">
        <v>3629</v>
      </c>
    </row>
    <row r="738" spans="1:20">
      <c r="A738" s="226">
        <v>98011</v>
      </c>
      <c r="B738" s="227" t="s">
        <v>1443</v>
      </c>
      <c r="C738" s="87">
        <v>3.1578999999999999E-3</v>
      </c>
      <c r="D738" s="87">
        <v>3.1795E-3</v>
      </c>
      <c r="E738" s="231">
        <v>4824396</v>
      </c>
      <c r="F738" s="231"/>
      <c r="G738" s="232">
        <v>277930</v>
      </c>
      <c r="H738" s="220">
        <v>1171370</v>
      </c>
      <c r="I738" s="232">
        <v>688991</v>
      </c>
      <c r="J738" s="231">
        <v>0</v>
      </c>
      <c r="K738" s="220">
        <f t="shared" si="23"/>
        <v>2138291</v>
      </c>
      <c r="L738" s="231"/>
      <c r="M738" s="232">
        <v>136563</v>
      </c>
      <c r="N738" s="232">
        <v>0</v>
      </c>
      <c r="O738" s="231">
        <v>315025</v>
      </c>
      <c r="P738" s="220">
        <f t="shared" si="24"/>
        <v>451588</v>
      </c>
      <c r="Q738" s="231"/>
      <c r="R738" s="232">
        <v>1625826</v>
      </c>
      <c r="S738" s="233">
        <v>-146862</v>
      </c>
      <c r="T738" s="233">
        <v>1478964</v>
      </c>
    </row>
    <row r="739" spans="1:20">
      <c r="A739" s="226">
        <v>98013</v>
      </c>
      <c r="B739" s="227" t="s">
        <v>1444</v>
      </c>
      <c r="C739" s="87">
        <v>1.415E-4</v>
      </c>
      <c r="D739" s="87">
        <v>1.426E-4</v>
      </c>
      <c r="E739" s="231">
        <v>216173</v>
      </c>
      <c r="F739" s="231"/>
      <c r="G739" s="232">
        <v>12454</v>
      </c>
      <c r="H739" s="220">
        <v>52487</v>
      </c>
      <c r="I739" s="232">
        <v>30872</v>
      </c>
      <c r="J739" s="231">
        <v>126104</v>
      </c>
      <c r="K739" s="220">
        <f t="shared" si="23"/>
        <v>221917</v>
      </c>
      <c r="L739" s="231"/>
      <c r="M739" s="232">
        <v>6119</v>
      </c>
      <c r="N739" s="232">
        <v>0</v>
      </c>
      <c r="O739" s="231">
        <v>2073</v>
      </c>
      <c r="P739" s="220">
        <f t="shared" si="24"/>
        <v>8192</v>
      </c>
      <c r="Q739" s="231"/>
      <c r="R739" s="232">
        <v>72850</v>
      </c>
      <c r="S739" s="233">
        <v>41784</v>
      </c>
      <c r="T739" s="233">
        <f>114635-1</f>
        <v>114634</v>
      </c>
    </row>
    <row r="740" spans="1:20">
      <c r="A740" s="226">
        <v>98021</v>
      </c>
      <c r="B740" s="227" t="s">
        <v>1445</v>
      </c>
      <c r="C740" s="87">
        <v>8.6199999999999995E-5</v>
      </c>
      <c r="D740" s="87">
        <v>7.5099999999999996E-5</v>
      </c>
      <c r="E740" s="231">
        <v>131690</v>
      </c>
      <c r="F740" s="231"/>
      <c r="G740" s="232">
        <v>7587</v>
      </c>
      <c r="H740" s="220">
        <v>31975</v>
      </c>
      <c r="I740" s="232">
        <v>18807</v>
      </c>
      <c r="J740" s="231">
        <v>13468</v>
      </c>
      <c r="K740" s="220">
        <f t="shared" si="23"/>
        <v>71837</v>
      </c>
      <c r="L740" s="231"/>
      <c r="M740" s="232">
        <v>3728</v>
      </c>
      <c r="N740" s="232">
        <v>0</v>
      </c>
      <c r="O740" s="231">
        <v>2708</v>
      </c>
      <c r="P740" s="220">
        <f t="shared" si="24"/>
        <v>6436</v>
      </c>
      <c r="Q740" s="231"/>
      <c r="R740" s="232">
        <v>44380</v>
      </c>
      <c r="S740" s="233">
        <v>6479</v>
      </c>
      <c r="T740" s="233">
        <v>50859</v>
      </c>
    </row>
    <row r="741" spans="1:20">
      <c r="A741" s="226">
        <v>98023</v>
      </c>
      <c r="B741" s="227" t="s">
        <v>1446</v>
      </c>
      <c r="C741" s="87">
        <v>1.43E-5</v>
      </c>
      <c r="D741" s="87">
        <v>1.45E-5</v>
      </c>
      <c r="E741" s="231">
        <v>21846</v>
      </c>
      <c r="F741" s="231"/>
      <c r="G741" s="232">
        <v>1259</v>
      </c>
      <c r="H741" s="220">
        <v>5305</v>
      </c>
      <c r="I741" s="232">
        <v>3120</v>
      </c>
      <c r="J741" s="231">
        <v>109</v>
      </c>
      <c r="K741" s="220">
        <f t="shared" si="23"/>
        <v>9793</v>
      </c>
      <c r="L741" s="231"/>
      <c r="M741" s="232">
        <v>618</v>
      </c>
      <c r="N741" s="232">
        <v>0</v>
      </c>
      <c r="O741" s="231">
        <v>5220</v>
      </c>
      <c r="P741" s="220">
        <f t="shared" si="24"/>
        <v>5838</v>
      </c>
      <c r="Q741" s="231"/>
      <c r="R741" s="232">
        <v>7362</v>
      </c>
      <c r="S741" s="233">
        <v>-2611</v>
      </c>
      <c r="T741" s="233">
        <v>4751</v>
      </c>
    </row>
    <row r="742" spans="1:20">
      <c r="A742" s="226">
        <v>98031</v>
      </c>
      <c r="B742" s="227" t="s">
        <v>1447</v>
      </c>
      <c r="C742" s="87">
        <v>1.537E-4</v>
      </c>
      <c r="D742" s="87">
        <v>1.5530000000000001E-4</v>
      </c>
      <c r="E742" s="231">
        <v>234811</v>
      </c>
      <c r="F742" s="231"/>
      <c r="G742" s="232">
        <v>13527</v>
      </c>
      <c r="H742" s="220">
        <v>57012</v>
      </c>
      <c r="I742" s="232">
        <v>33534</v>
      </c>
      <c r="J742" s="231">
        <v>4651</v>
      </c>
      <c r="K742" s="220">
        <f t="shared" si="23"/>
        <v>108724</v>
      </c>
      <c r="L742" s="231"/>
      <c r="M742" s="232">
        <v>6647</v>
      </c>
      <c r="N742" s="232">
        <v>0</v>
      </c>
      <c r="O742" s="231">
        <v>9184</v>
      </c>
      <c r="P742" s="220">
        <f t="shared" si="24"/>
        <v>15831</v>
      </c>
      <c r="Q742" s="231"/>
      <c r="R742" s="232">
        <v>79132</v>
      </c>
      <c r="S742" s="233">
        <v>-1401</v>
      </c>
      <c r="T742" s="233">
        <f>77730+1</f>
        <v>77731</v>
      </c>
    </row>
    <row r="743" spans="1:20">
      <c r="A743" s="226">
        <v>98041</v>
      </c>
      <c r="B743" s="227" t="s">
        <v>1448</v>
      </c>
      <c r="C743" s="87">
        <v>1.9230000000000001E-4</v>
      </c>
      <c r="D743" s="87">
        <v>1.6559999999999999E-4</v>
      </c>
      <c r="E743" s="231">
        <v>293781</v>
      </c>
      <c r="F743" s="231"/>
      <c r="G743" s="232">
        <v>16925</v>
      </c>
      <c r="H743" s="220">
        <v>71330</v>
      </c>
      <c r="I743" s="232">
        <v>41956</v>
      </c>
      <c r="J743" s="231">
        <v>17154</v>
      </c>
      <c r="K743" s="220">
        <f t="shared" si="23"/>
        <v>147365</v>
      </c>
      <c r="L743" s="231"/>
      <c r="M743" s="232">
        <v>8316</v>
      </c>
      <c r="N743" s="232">
        <v>0</v>
      </c>
      <c r="O743" s="231">
        <v>5779</v>
      </c>
      <c r="P743" s="220">
        <f t="shared" si="24"/>
        <v>14095</v>
      </c>
      <c r="Q743" s="231"/>
      <c r="R743" s="232">
        <v>99005</v>
      </c>
      <c r="S743" s="233">
        <v>943</v>
      </c>
      <c r="T743" s="233">
        <v>99948</v>
      </c>
    </row>
    <row r="744" spans="1:20">
      <c r="A744" s="226">
        <v>98051</v>
      </c>
      <c r="B744" s="227" t="s">
        <v>1449</v>
      </c>
      <c r="C744" s="87">
        <v>2.8019999999999998E-4</v>
      </c>
      <c r="D744" s="87">
        <v>3.0019999999999998E-4</v>
      </c>
      <c r="E744" s="231">
        <v>428068</v>
      </c>
      <c r="F744" s="231"/>
      <c r="G744" s="232">
        <v>24661</v>
      </c>
      <c r="H744" s="220">
        <v>103936</v>
      </c>
      <c r="I744" s="232">
        <v>61134</v>
      </c>
      <c r="J744" s="231">
        <v>21691</v>
      </c>
      <c r="K744" s="220">
        <f t="shared" si="23"/>
        <v>211422</v>
      </c>
      <c r="L744" s="231"/>
      <c r="M744" s="232">
        <v>12117</v>
      </c>
      <c r="N744" s="232">
        <v>0</v>
      </c>
      <c r="O744" s="231">
        <v>7516</v>
      </c>
      <c r="P744" s="220">
        <f t="shared" si="24"/>
        <v>19633</v>
      </c>
      <c r="Q744" s="231"/>
      <c r="R744" s="232">
        <v>144259</v>
      </c>
      <c r="S744" s="233">
        <v>7566</v>
      </c>
      <c r="T744" s="233">
        <v>151825</v>
      </c>
    </row>
    <row r="745" spans="1:20">
      <c r="A745" s="226">
        <v>98061</v>
      </c>
      <c r="B745" s="227" t="s">
        <v>1450</v>
      </c>
      <c r="C745" s="87">
        <v>1.0670000000000001E-4</v>
      </c>
      <c r="D745" s="87">
        <v>9.9099999999999996E-5</v>
      </c>
      <c r="E745" s="231">
        <v>163008</v>
      </c>
      <c r="F745" s="231"/>
      <c r="G745" s="232">
        <v>9391</v>
      </c>
      <c r="H745" s="220">
        <v>39579</v>
      </c>
      <c r="I745" s="232">
        <v>23280</v>
      </c>
      <c r="J745" s="231">
        <v>3820</v>
      </c>
      <c r="K745" s="220">
        <f t="shared" si="23"/>
        <v>76070</v>
      </c>
      <c r="L745" s="231"/>
      <c r="M745" s="232">
        <v>4614</v>
      </c>
      <c r="N745" s="232">
        <v>0</v>
      </c>
      <c r="O745" s="231">
        <v>17433</v>
      </c>
      <c r="P745" s="220">
        <f t="shared" si="24"/>
        <v>22047</v>
      </c>
      <c r="Q745" s="231"/>
      <c r="R745" s="232">
        <v>54934</v>
      </c>
      <c r="S745" s="233">
        <v>-6260</v>
      </c>
      <c r="T745" s="233">
        <v>48674</v>
      </c>
    </row>
    <row r="746" spans="1:20">
      <c r="A746" s="226">
        <v>98071</v>
      </c>
      <c r="B746" s="227" t="s">
        <v>1451</v>
      </c>
      <c r="C746" s="87">
        <v>4.0099999999999999E-5</v>
      </c>
      <c r="D746" s="87">
        <v>3.4400000000000003E-5</v>
      </c>
      <c r="E746" s="231">
        <v>61262</v>
      </c>
      <c r="F746" s="231"/>
      <c r="G746" s="232">
        <v>3529</v>
      </c>
      <c r="H746" s="220">
        <v>14874</v>
      </c>
      <c r="I746" s="232">
        <v>8749</v>
      </c>
      <c r="J746" s="231">
        <v>18505</v>
      </c>
      <c r="K746" s="220">
        <f t="shared" si="23"/>
        <v>45657</v>
      </c>
      <c r="L746" s="231"/>
      <c r="M746" s="232">
        <v>1734</v>
      </c>
      <c r="N746" s="232">
        <v>0</v>
      </c>
      <c r="O746" s="231">
        <v>1200</v>
      </c>
      <c r="P746" s="220">
        <f t="shared" si="24"/>
        <v>2934</v>
      </c>
      <c r="Q746" s="231"/>
      <c r="R746" s="232">
        <v>20645</v>
      </c>
      <c r="S746" s="233">
        <v>4654</v>
      </c>
      <c r="T746" s="233">
        <v>25299</v>
      </c>
    </row>
    <row r="747" spans="1:20">
      <c r="A747" s="226">
        <v>98081</v>
      </c>
      <c r="B747" s="227" t="s">
        <v>1452</v>
      </c>
      <c r="C747" s="87">
        <v>1.8300000000000001E-5</v>
      </c>
      <c r="D747" s="87">
        <v>1.9400000000000001E-5</v>
      </c>
      <c r="E747" s="231">
        <v>27957</v>
      </c>
      <c r="F747" s="231"/>
      <c r="G747" s="232">
        <v>1611</v>
      </c>
      <c r="H747" s="220">
        <v>6788</v>
      </c>
      <c r="I747" s="232">
        <v>3993</v>
      </c>
      <c r="J747" s="231">
        <v>0</v>
      </c>
      <c r="K747" s="220">
        <f t="shared" si="23"/>
        <v>12392</v>
      </c>
      <c r="L747" s="231"/>
      <c r="M747" s="232">
        <v>791</v>
      </c>
      <c r="N747" s="232">
        <v>0</v>
      </c>
      <c r="O747" s="231">
        <v>4207</v>
      </c>
      <c r="P747" s="220">
        <f t="shared" si="24"/>
        <v>4998</v>
      </c>
      <c r="Q747" s="231"/>
      <c r="R747" s="232">
        <v>9422</v>
      </c>
      <c r="S747" s="233">
        <v>-1896</v>
      </c>
      <c r="T747" s="233">
        <v>7526</v>
      </c>
    </row>
    <row r="748" spans="1:20">
      <c r="A748" s="226">
        <v>98091</v>
      </c>
      <c r="B748" s="227" t="s">
        <v>1453</v>
      </c>
      <c r="C748" s="87">
        <v>4.7500000000000003E-5</v>
      </c>
      <c r="D748" s="87">
        <v>5.0899999999999997E-5</v>
      </c>
      <c r="E748" s="231">
        <v>72567</v>
      </c>
      <c r="F748" s="231"/>
      <c r="G748" s="232">
        <v>4181</v>
      </c>
      <c r="H748" s="220">
        <v>17619</v>
      </c>
      <c r="I748" s="232">
        <v>10364</v>
      </c>
      <c r="J748" s="231">
        <v>1261</v>
      </c>
      <c r="K748" s="220">
        <f t="shared" si="23"/>
        <v>33425</v>
      </c>
      <c r="L748" s="231"/>
      <c r="M748" s="232">
        <v>2054</v>
      </c>
      <c r="N748" s="232">
        <v>0</v>
      </c>
      <c r="O748" s="231">
        <v>807</v>
      </c>
      <c r="P748" s="220">
        <f t="shared" si="24"/>
        <v>2861</v>
      </c>
      <c r="Q748" s="231"/>
      <c r="R748" s="232">
        <v>24455</v>
      </c>
      <c r="S748" s="233">
        <v>-295</v>
      </c>
      <c r="T748" s="233">
        <v>24160</v>
      </c>
    </row>
    <row r="749" spans="1:20">
      <c r="A749" s="226">
        <v>98101</v>
      </c>
      <c r="B749" s="227" t="s">
        <v>1454</v>
      </c>
      <c r="C749" s="87">
        <v>2.8706999999999999E-3</v>
      </c>
      <c r="D749" s="87">
        <v>2.7642999999999999E-3</v>
      </c>
      <c r="E749" s="231">
        <v>4385634</v>
      </c>
      <c r="F749" s="231"/>
      <c r="G749" s="232">
        <v>252653</v>
      </c>
      <c r="H749" s="220">
        <v>1064838</v>
      </c>
      <c r="I749" s="232">
        <v>626329</v>
      </c>
      <c r="J749" s="231">
        <v>37308</v>
      </c>
      <c r="K749" s="220">
        <f t="shared" si="23"/>
        <v>1981128</v>
      </c>
      <c r="L749" s="231"/>
      <c r="M749" s="232">
        <v>124143</v>
      </c>
      <c r="N749" s="232">
        <v>0</v>
      </c>
      <c r="O749" s="231">
        <v>32438</v>
      </c>
      <c r="P749" s="220">
        <f t="shared" si="24"/>
        <v>156581</v>
      </c>
      <c r="Q749" s="231"/>
      <c r="R749" s="232">
        <v>1477963</v>
      </c>
      <c r="S749" s="233">
        <v>14286</v>
      </c>
      <c r="T749" s="233">
        <f>1492248+1</f>
        <v>1492249</v>
      </c>
    </row>
    <row r="750" spans="1:20">
      <c r="A750" s="226">
        <v>98102</v>
      </c>
      <c r="B750" s="227" t="s">
        <v>1455</v>
      </c>
      <c r="C750" s="87">
        <v>1.5809999999999999E-4</v>
      </c>
      <c r="D750" s="87">
        <v>1.683E-4</v>
      </c>
      <c r="E750" s="231">
        <v>241533</v>
      </c>
      <c r="F750" s="231"/>
      <c r="G750" s="232">
        <v>13915</v>
      </c>
      <c r="H750" s="220">
        <v>58644</v>
      </c>
      <c r="I750" s="232">
        <v>34494</v>
      </c>
      <c r="J750" s="231">
        <v>0</v>
      </c>
      <c r="K750" s="220">
        <f t="shared" si="23"/>
        <v>107053</v>
      </c>
      <c r="L750" s="231"/>
      <c r="M750" s="232">
        <v>6837</v>
      </c>
      <c r="N750" s="232">
        <v>0</v>
      </c>
      <c r="O750" s="231">
        <v>14329</v>
      </c>
      <c r="P750" s="220">
        <f t="shared" si="24"/>
        <v>21166</v>
      </c>
      <c r="Q750" s="231"/>
      <c r="R750" s="232">
        <v>81397</v>
      </c>
      <c r="S750" s="233">
        <v>-5584</v>
      </c>
      <c r="T750" s="233">
        <v>75813</v>
      </c>
    </row>
    <row r="751" spans="1:20">
      <c r="A751" s="226">
        <v>98103</v>
      </c>
      <c r="B751" s="227" t="s">
        <v>1456</v>
      </c>
      <c r="C751" s="87">
        <v>5.4410000000000005E-4</v>
      </c>
      <c r="D751" s="87">
        <v>5.3600000000000002E-4</v>
      </c>
      <c r="E751" s="231">
        <v>831234</v>
      </c>
      <c r="F751" s="231"/>
      <c r="G751" s="232">
        <v>47887</v>
      </c>
      <c r="H751" s="220">
        <v>201824</v>
      </c>
      <c r="I751" s="232">
        <v>118712</v>
      </c>
      <c r="J751" s="231">
        <v>9730</v>
      </c>
      <c r="K751" s="220">
        <f t="shared" si="23"/>
        <v>378153</v>
      </c>
      <c r="L751" s="231"/>
      <c r="M751" s="232">
        <v>23530</v>
      </c>
      <c r="N751" s="232">
        <v>0</v>
      </c>
      <c r="O751" s="231">
        <v>27055</v>
      </c>
      <c r="P751" s="220">
        <f t="shared" si="24"/>
        <v>50585</v>
      </c>
      <c r="Q751" s="231"/>
      <c r="R751" s="232">
        <v>280127</v>
      </c>
      <c r="S751" s="233">
        <v>-17051</v>
      </c>
      <c r="T751" s="233">
        <v>263076</v>
      </c>
    </row>
    <row r="752" spans="1:20">
      <c r="A752" s="226">
        <v>98107</v>
      </c>
      <c r="B752" s="227" t="s">
        <v>1457</v>
      </c>
      <c r="C752" s="87">
        <v>1.08E-5</v>
      </c>
      <c r="D752" s="87">
        <v>1.08E-5</v>
      </c>
      <c r="E752" s="231">
        <v>16499</v>
      </c>
      <c r="F752" s="231"/>
      <c r="G752" s="232">
        <v>951</v>
      </c>
      <c r="H752" s="220">
        <v>4006</v>
      </c>
      <c r="I752" s="232">
        <v>2356</v>
      </c>
      <c r="J752" s="231">
        <v>8237</v>
      </c>
      <c r="K752" s="220">
        <f t="shared" si="23"/>
        <v>15550</v>
      </c>
      <c r="L752" s="231"/>
      <c r="M752" s="232">
        <v>467</v>
      </c>
      <c r="N752" s="232">
        <v>0</v>
      </c>
      <c r="O752" s="231">
        <v>0</v>
      </c>
      <c r="P752" s="220">
        <f t="shared" si="24"/>
        <v>467</v>
      </c>
      <c r="Q752" s="231"/>
      <c r="R752" s="232">
        <v>5560</v>
      </c>
      <c r="S752" s="233">
        <v>3467</v>
      </c>
      <c r="T752" s="233">
        <v>9027</v>
      </c>
    </row>
    <row r="753" spans="1:20">
      <c r="A753" s="226">
        <v>98109</v>
      </c>
      <c r="B753" s="227" t="s">
        <v>1458</v>
      </c>
      <c r="C753" s="87">
        <v>1.573E-4</v>
      </c>
      <c r="D753" s="87">
        <v>1.4660000000000001E-4</v>
      </c>
      <c r="E753" s="231">
        <v>240311</v>
      </c>
      <c r="F753" s="231"/>
      <c r="G753" s="232">
        <v>13844</v>
      </c>
      <c r="H753" s="220">
        <v>58348</v>
      </c>
      <c r="I753" s="232">
        <v>34320</v>
      </c>
      <c r="J753" s="231">
        <v>12163</v>
      </c>
      <c r="K753" s="220">
        <f t="shared" si="23"/>
        <v>118675</v>
      </c>
      <c r="L753" s="231"/>
      <c r="M753" s="232">
        <v>6802</v>
      </c>
      <c r="N753" s="232">
        <v>0</v>
      </c>
      <c r="O753" s="231">
        <v>24551</v>
      </c>
      <c r="P753" s="220">
        <f t="shared" si="24"/>
        <v>31353</v>
      </c>
      <c r="Q753" s="231"/>
      <c r="R753" s="232">
        <v>80985</v>
      </c>
      <c r="S753" s="233">
        <v>-7590</v>
      </c>
      <c r="T753" s="233">
        <v>73395</v>
      </c>
    </row>
    <row r="754" spans="1:20">
      <c r="A754" s="226">
        <v>98111</v>
      </c>
      <c r="B754" s="227" t="s">
        <v>1459</v>
      </c>
      <c r="C754" s="87">
        <v>1.0143000000000001E-3</v>
      </c>
      <c r="D754" s="87">
        <v>1.0191E-3</v>
      </c>
      <c r="E754" s="231">
        <v>1549569</v>
      </c>
      <c r="F754" s="231"/>
      <c r="G754" s="232">
        <v>89270</v>
      </c>
      <c r="H754" s="220">
        <v>376238</v>
      </c>
      <c r="I754" s="232">
        <v>221300</v>
      </c>
      <c r="J754" s="231">
        <v>0</v>
      </c>
      <c r="K754" s="220">
        <f t="shared" si="23"/>
        <v>686808</v>
      </c>
      <c r="L754" s="231"/>
      <c r="M754" s="232">
        <v>43863</v>
      </c>
      <c r="N754" s="232">
        <v>0</v>
      </c>
      <c r="O754" s="231">
        <v>66610</v>
      </c>
      <c r="P754" s="220">
        <f t="shared" si="24"/>
        <v>110473</v>
      </c>
      <c r="Q754" s="231"/>
      <c r="R754" s="232">
        <v>522206</v>
      </c>
      <c r="S754" s="233">
        <v>-21506</v>
      </c>
      <c r="T754" s="233">
        <v>500700</v>
      </c>
    </row>
    <row r="755" spans="1:20">
      <c r="A755" s="226">
        <v>98113</v>
      </c>
      <c r="B755" s="227" t="s">
        <v>1460</v>
      </c>
      <c r="C755" s="87">
        <v>4.6199999999999998E-5</v>
      </c>
      <c r="D755" s="87">
        <v>3.8999999999999999E-5</v>
      </c>
      <c r="E755" s="231">
        <v>70581</v>
      </c>
      <c r="F755" s="231"/>
      <c r="G755" s="232">
        <v>4066</v>
      </c>
      <c r="H755" s="220">
        <v>17137</v>
      </c>
      <c r="I755" s="232">
        <v>10080</v>
      </c>
      <c r="J755" s="231">
        <v>11739</v>
      </c>
      <c r="K755" s="220">
        <f t="shared" si="23"/>
        <v>43022</v>
      </c>
      <c r="L755" s="231"/>
      <c r="M755" s="232">
        <v>1998</v>
      </c>
      <c r="N755" s="232">
        <v>0</v>
      </c>
      <c r="O755" s="231">
        <v>0</v>
      </c>
      <c r="P755" s="220">
        <f t="shared" si="24"/>
        <v>1998</v>
      </c>
      <c r="Q755" s="231"/>
      <c r="R755" s="232">
        <v>23786</v>
      </c>
      <c r="S755" s="233">
        <v>4647</v>
      </c>
      <c r="T755" s="233">
        <f>28432+1</f>
        <v>28433</v>
      </c>
    </row>
    <row r="756" spans="1:20">
      <c r="A756" s="226">
        <v>98121</v>
      </c>
      <c r="B756" s="227" t="s">
        <v>1461</v>
      </c>
      <c r="C756" s="87">
        <v>2.0100000000000001E-4</v>
      </c>
      <c r="D756" s="87">
        <v>2.2910000000000001E-4</v>
      </c>
      <c r="E756" s="231">
        <v>307072</v>
      </c>
      <c r="F756" s="231"/>
      <c r="G756" s="232">
        <v>17690</v>
      </c>
      <c r="H756" s="220">
        <v>74558</v>
      </c>
      <c r="I756" s="232">
        <v>43854</v>
      </c>
      <c r="J756" s="231">
        <v>2134</v>
      </c>
      <c r="K756" s="220">
        <f t="shared" si="23"/>
        <v>138236</v>
      </c>
      <c r="L756" s="231"/>
      <c r="M756" s="232">
        <v>8692</v>
      </c>
      <c r="N756" s="232">
        <v>0</v>
      </c>
      <c r="O756" s="231">
        <v>25239</v>
      </c>
      <c r="P756" s="220">
        <f t="shared" si="24"/>
        <v>33931</v>
      </c>
      <c r="Q756" s="231"/>
      <c r="R756" s="232">
        <v>103484</v>
      </c>
      <c r="S756" s="233">
        <v>-5712</v>
      </c>
      <c r="T756" s="233">
        <f>97771+1</f>
        <v>97772</v>
      </c>
    </row>
    <row r="757" spans="1:20">
      <c r="A757" s="226">
        <v>98131</v>
      </c>
      <c r="B757" s="227" t="s">
        <v>1462</v>
      </c>
      <c r="C757" s="87">
        <v>2.5230000000000001E-4</v>
      </c>
      <c r="D757" s="87">
        <v>2.9569999999999998E-4</v>
      </c>
      <c r="E757" s="231">
        <v>385445</v>
      </c>
      <c r="F757" s="231"/>
      <c r="G757" s="232">
        <v>22205</v>
      </c>
      <c r="H757" s="220">
        <v>93586</v>
      </c>
      <c r="I757" s="232">
        <v>55047</v>
      </c>
      <c r="J757" s="231">
        <v>0</v>
      </c>
      <c r="K757" s="220">
        <f t="shared" si="23"/>
        <v>170838</v>
      </c>
      <c r="L757" s="231"/>
      <c r="M757" s="232">
        <v>10911</v>
      </c>
      <c r="N757" s="232">
        <v>0</v>
      </c>
      <c r="O757" s="231">
        <v>53749</v>
      </c>
      <c r="P757" s="220">
        <f t="shared" si="24"/>
        <v>64660</v>
      </c>
      <c r="Q757" s="231"/>
      <c r="R757" s="232">
        <v>129895</v>
      </c>
      <c r="S757" s="233">
        <v>-23653</v>
      </c>
      <c r="T757" s="233">
        <v>106242</v>
      </c>
    </row>
    <row r="758" spans="1:20">
      <c r="A758" s="226">
        <v>98141</v>
      </c>
      <c r="B758" s="227" t="s">
        <v>1463</v>
      </c>
      <c r="C758" s="87">
        <v>3.0360000000000001E-4</v>
      </c>
      <c r="D758" s="87">
        <v>2.9030000000000001E-4</v>
      </c>
      <c r="E758" s="231">
        <v>463817</v>
      </c>
      <c r="F758" s="231"/>
      <c r="G758" s="232">
        <v>26720</v>
      </c>
      <c r="H758" s="220">
        <v>112616</v>
      </c>
      <c r="I758" s="232">
        <v>66239</v>
      </c>
      <c r="J758" s="231">
        <v>5226</v>
      </c>
      <c r="K758" s="220">
        <f t="shared" si="23"/>
        <v>210801</v>
      </c>
      <c r="L758" s="231"/>
      <c r="M758" s="232">
        <v>13129</v>
      </c>
      <c r="N758" s="232">
        <v>0</v>
      </c>
      <c r="O758" s="231">
        <v>22375</v>
      </c>
      <c r="P758" s="220">
        <f t="shared" si="24"/>
        <v>35504</v>
      </c>
      <c r="Q758" s="231"/>
      <c r="R758" s="232">
        <v>156307</v>
      </c>
      <c r="S758" s="233">
        <v>-11630</v>
      </c>
      <c r="T758" s="233">
        <v>144677</v>
      </c>
    </row>
    <row r="759" spans="1:20">
      <c r="A759" s="226">
        <v>98147</v>
      </c>
      <c r="B759" s="227" t="s">
        <v>1464</v>
      </c>
      <c r="C759" s="87">
        <v>1.29E-5</v>
      </c>
      <c r="D759" s="87">
        <v>1.29E-5</v>
      </c>
      <c r="E759" s="231">
        <v>19708</v>
      </c>
      <c r="F759" s="231"/>
      <c r="G759" s="232">
        <v>1135</v>
      </c>
      <c r="H759" s="220">
        <v>4785</v>
      </c>
      <c r="I759" s="232">
        <v>2815</v>
      </c>
      <c r="J759" s="231">
        <v>8231</v>
      </c>
      <c r="K759" s="220">
        <f t="shared" si="23"/>
        <v>16966</v>
      </c>
      <c r="L759" s="231"/>
      <c r="M759" s="232">
        <v>558</v>
      </c>
      <c r="N759" s="232">
        <v>0</v>
      </c>
      <c r="O759" s="231">
        <v>0</v>
      </c>
      <c r="P759" s="220">
        <f t="shared" si="24"/>
        <v>558</v>
      </c>
      <c r="Q759" s="231"/>
      <c r="R759" s="232">
        <v>6641</v>
      </c>
      <c r="S759" s="233">
        <v>3295</v>
      </c>
      <c r="T759" s="233">
        <f>9937-1</f>
        <v>9936</v>
      </c>
    </row>
    <row r="760" spans="1:20">
      <c r="A760" s="226">
        <v>98161</v>
      </c>
      <c r="B760" s="227" t="s">
        <v>1465</v>
      </c>
      <c r="C760" s="87">
        <v>7.3000000000000004E-6</v>
      </c>
      <c r="D760" s="87">
        <v>7.4000000000000003E-6</v>
      </c>
      <c r="E760" s="231">
        <v>11152</v>
      </c>
      <c r="F760" s="231"/>
      <c r="G760" s="232">
        <v>642</v>
      </c>
      <c r="H760" s="220">
        <v>2708</v>
      </c>
      <c r="I760" s="232">
        <v>1593</v>
      </c>
      <c r="J760" s="231">
        <v>2689</v>
      </c>
      <c r="K760" s="220">
        <f t="shared" si="23"/>
        <v>7632</v>
      </c>
      <c r="L760" s="231"/>
      <c r="M760" s="232">
        <v>316</v>
      </c>
      <c r="N760" s="232">
        <v>0</v>
      </c>
      <c r="O760" s="231">
        <v>0</v>
      </c>
      <c r="P760" s="220">
        <f t="shared" si="24"/>
        <v>316</v>
      </c>
      <c r="Q760" s="231"/>
      <c r="R760" s="232">
        <v>3758</v>
      </c>
      <c r="S760" s="233">
        <v>1075</v>
      </c>
      <c r="T760" s="233">
        <v>4833</v>
      </c>
    </row>
    <row r="761" spans="1:20">
      <c r="A761" s="226">
        <v>98201</v>
      </c>
      <c r="B761" s="227" t="s">
        <v>1466</v>
      </c>
      <c r="C761" s="87">
        <v>3.1664000000000002E-3</v>
      </c>
      <c r="D761" s="87">
        <v>3.0368999999999999E-3</v>
      </c>
      <c r="E761" s="231">
        <v>4837382</v>
      </c>
      <c r="F761" s="231"/>
      <c r="G761" s="232">
        <v>278678</v>
      </c>
      <c r="H761" s="220">
        <v>1174522</v>
      </c>
      <c r="I761" s="232">
        <v>690845</v>
      </c>
      <c r="J761" s="231">
        <v>63594</v>
      </c>
      <c r="K761" s="220">
        <f t="shared" si="23"/>
        <v>2207639</v>
      </c>
      <c r="L761" s="231"/>
      <c r="M761" s="232">
        <v>136931</v>
      </c>
      <c r="N761" s="232">
        <v>0</v>
      </c>
      <c r="O761" s="231">
        <v>39608</v>
      </c>
      <c r="P761" s="220">
        <f t="shared" si="24"/>
        <v>176539</v>
      </c>
      <c r="Q761" s="231"/>
      <c r="R761" s="232">
        <v>1630202</v>
      </c>
      <c r="S761" s="233">
        <v>-5370</v>
      </c>
      <c r="T761" s="233">
        <v>1624832</v>
      </c>
    </row>
    <row r="762" spans="1:20">
      <c r="A762" s="226">
        <v>98205</v>
      </c>
      <c r="B762" s="227" t="s">
        <v>1467</v>
      </c>
      <c r="C762" s="87">
        <v>4.6799999999999999E-5</v>
      </c>
      <c r="D762" s="87">
        <v>5.13E-5</v>
      </c>
      <c r="E762" s="231">
        <v>71497</v>
      </c>
      <c r="F762" s="231"/>
      <c r="G762" s="232">
        <v>4119</v>
      </c>
      <c r="H762" s="220">
        <v>17359</v>
      </c>
      <c r="I762" s="232">
        <v>10211</v>
      </c>
      <c r="J762" s="231">
        <v>1985</v>
      </c>
      <c r="K762" s="220">
        <f t="shared" si="23"/>
        <v>33674</v>
      </c>
      <c r="L762" s="231"/>
      <c r="M762" s="232">
        <v>2024</v>
      </c>
      <c r="N762" s="232">
        <v>0</v>
      </c>
      <c r="O762" s="231">
        <v>2510</v>
      </c>
      <c r="P762" s="220">
        <f t="shared" si="24"/>
        <v>4534</v>
      </c>
      <c r="Q762" s="231"/>
      <c r="R762" s="232">
        <v>24095</v>
      </c>
      <c r="S762" s="233">
        <v>-141</v>
      </c>
      <c r="T762" s="233">
        <f>23953+1</f>
        <v>23954</v>
      </c>
    </row>
    <row r="763" spans="1:20">
      <c r="A763" s="226">
        <v>98211</v>
      </c>
      <c r="B763" s="227" t="s">
        <v>1468</v>
      </c>
      <c r="C763" s="87">
        <v>8.6689999999999998E-4</v>
      </c>
      <c r="D763" s="87">
        <v>9.1609999999999999E-4</v>
      </c>
      <c r="E763" s="231">
        <v>1324383</v>
      </c>
      <c r="F763" s="231"/>
      <c r="G763" s="232">
        <v>76297</v>
      </c>
      <c r="H763" s="220">
        <v>321561</v>
      </c>
      <c r="I763" s="232">
        <v>189140</v>
      </c>
      <c r="J763" s="231">
        <v>0</v>
      </c>
      <c r="K763" s="220">
        <f t="shared" si="23"/>
        <v>586998</v>
      </c>
      <c r="L763" s="231"/>
      <c r="M763" s="232">
        <v>37489</v>
      </c>
      <c r="N763" s="232">
        <v>0</v>
      </c>
      <c r="O763" s="231">
        <v>136830</v>
      </c>
      <c r="P763" s="220">
        <f t="shared" si="24"/>
        <v>174319</v>
      </c>
      <c r="Q763" s="231"/>
      <c r="R763" s="232">
        <v>446318</v>
      </c>
      <c r="S763" s="233">
        <v>-50136</v>
      </c>
      <c r="T763" s="233">
        <v>396182</v>
      </c>
    </row>
    <row r="764" spans="1:20">
      <c r="A764" s="226">
        <v>98218</v>
      </c>
      <c r="B764" s="227" t="s">
        <v>1469</v>
      </c>
      <c r="C764" s="87">
        <v>1.3200000000000001E-5</v>
      </c>
      <c r="D764" s="87">
        <v>1.0200000000000001E-5</v>
      </c>
      <c r="E764" s="231">
        <v>20166</v>
      </c>
      <c r="F764" s="231"/>
      <c r="G764" s="232">
        <v>1162</v>
      </c>
      <c r="H764" s="220">
        <v>4896</v>
      </c>
      <c r="I764" s="232">
        <v>2880</v>
      </c>
      <c r="J764" s="231">
        <v>1827</v>
      </c>
      <c r="K764" s="220">
        <f t="shared" si="23"/>
        <v>10765</v>
      </c>
      <c r="L764" s="231"/>
      <c r="M764" s="232">
        <v>571</v>
      </c>
      <c r="N764" s="232">
        <v>0</v>
      </c>
      <c r="O764" s="231">
        <v>1072</v>
      </c>
      <c r="P764" s="220">
        <f t="shared" si="24"/>
        <v>1643</v>
      </c>
      <c r="Q764" s="231"/>
      <c r="R764" s="232">
        <v>6796</v>
      </c>
      <c r="S764" s="233">
        <v>-336</v>
      </c>
      <c r="T764" s="233">
        <v>6460</v>
      </c>
    </row>
    <row r="765" spans="1:20">
      <c r="A765" s="226">
        <v>98221</v>
      </c>
      <c r="B765" s="227" t="s">
        <v>1470</v>
      </c>
      <c r="C765" s="87">
        <v>1.8899999999999999E-5</v>
      </c>
      <c r="D765" s="87">
        <v>1.6799999999999998E-5</v>
      </c>
      <c r="E765" s="231">
        <v>28874</v>
      </c>
      <c r="F765" s="231"/>
      <c r="G765" s="232">
        <v>1663</v>
      </c>
      <c r="H765" s="220">
        <v>7011</v>
      </c>
      <c r="I765" s="232">
        <v>4124</v>
      </c>
      <c r="J765" s="231">
        <v>4593</v>
      </c>
      <c r="K765" s="220">
        <f t="shared" si="23"/>
        <v>17391</v>
      </c>
      <c r="L765" s="231"/>
      <c r="M765" s="232">
        <v>817</v>
      </c>
      <c r="N765" s="232">
        <v>0</v>
      </c>
      <c r="O765" s="231">
        <v>0</v>
      </c>
      <c r="P765" s="220">
        <f t="shared" si="24"/>
        <v>817</v>
      </c>
      <c r="Q765" s="231"/>
      <c r="R765" s="232">
        <v>9731</v>
      </c>
      <c r="S765" s="233">
        <v>1469</v>
      </c>
      <c r="T765" s="233">
        <v>11200</v>
      </c>
    </row>
    <row r="766" spans="1:20">
      <c r="A766" s="226">
        <v>98231</v>
      </c>
      <c r="B766" s="227" t="s">
        <v>1471</v>
      </c>
      <c r="C766" s="87">
        <v>2.2799999999999999E-5</v>
      </c>
      <c r="D766" s="87">
        <v>3.1999999999999999E-5</v>
      </c>
      <c r="E766" s="231">
        <v>34832</v>
      </c>
      <c r="F766" s="231"/>
      <c r="G766" s="232">
        <v>2007</v>
      </c>
      <c r="H766" s="220">
        <v>8457</v>
      </c>
      <c r="I766" s="232">
        <v>4975</v>
      </c>
      <c r="J766" s="231">
        <v>1705</v>
      </c>
      <c r="K766" s="220">
        <f t="shared" si="23"/>
        <v>17144</v>
      </c>
      <c r="L766" s="231"/>
      <c r="M766" s="232">
        <v>986</v>
      </c>
      <c r="N766" s="232">
        <v>0</v>
      </c>
      <c r="O766" s="231">
        <v>9632</v>
      </c>
      <c r="P766" s="220">
        <f t="shared" si="24"/>
        <v>10618</v>
      </c>
      <c r="Q766" s="231"/>
      <c r="R766" s="232">
        <v>11738</v>
      </c>
      <c r="S766" s="233">
        <v>-3592</v>
      </c>
      <c r="T766" s="233">
        <v>8146</v>
      </c>
    </row>
    <row r="767" spans="1:20">
      <c r="A767" s="226">
        <v>98237</v>
      </c>
      <c r="B767" s="227" t="s">
        <v>1472</v>
      </c>
      <c r="C767" s="87">
        <v>5.9000000000000003E-6</v>
      </c>
      <c r="D767" s="87">
        <v>2.7E-6</v>
      </c>
      <c r="E767" s="231">
        <v>9014</v>
      </c>
      <c r="F767" s="231"/>
      <c r="G767" s="232">
        <v>519</v>
      </c>
      <c r="H767" s="220">
        <v>2188</v>
      </c>
      <c r="I767" s="232">
        <v>1287</v>
      </c>
      <c r="J767" s="231">
        <v>5034</v>
      </c>
      <c r="K767" s="220">
        <f t="shared" si="23"/>
        <v>9028</v>
      </c>
      <c r="L767" s="231"/>
      <c r="M767" s="232">
        <v>255</v>
      </c>
      <c r="N767" s="232">
        <v>0</v>
      </c>
      <c r="O767" s="231">
        <v>0</v>
      </c>
      <c r="P767" s="220">
        <f t="shared" si="24"/>
        <v>255</v>
      </c>
      <c r="Q767" s="231"/>
      <c r="R767" s="232">
        <v>3038</v>
      </c>
      <c r="S767" s="233">
        <v>1666</v>
      </c>
      <c r="T767" s="233">
        <v>4704</v>
      </c>
    </row>
    <row r="768" spans="1:20">
      <c r="A768" s="226">
        <v>98241</v>
      </c>
      <c r="B768" s="227" t="s">
        <v>1473</v>
      </c>
      <c r="C768" s="87">
        <v>1.5099999999999999E-5</v>
      </c>
      <c r="D768" s="87">
        <v>1.98E-5</v>
      </c>
      <c r="E768" s="231">
        <v>23069</v>
      </c>
      <c r="F768" s="231"/>
      <c r="G768" s="232">
        <v>1329</v>
      </c>
      <c r="H768" s="220">
        <v>5602</v>
      </c>
      <c r="I768" s="232">
        <v>3295</v>
      </c>
      <c r="J768" s="231">
        <v>5512</v>
      </c>
      <c r="K768" s="220">
        <f t="shared" si="23"/>
        <v>15738</v>
      </c>
      <c r="L768" s="231"/>
      <c r="M768" s="232">
        <v>653</v>
      </c>
      <c r="N768" s="232">
        <v>0</v>
      </c>
      <c r="O768" s="231">
        <v>2200</v>
      </c>
      <c r="P768" s="220">
        <f t="shared" si="24"/>
        <v>2853</v>
      </c>
      <c r="Q768" s="231"/>
      <c r="R768" s="232">
        <v>7774</v>
      </c>
      <c r="S768" s="233">
        <v>2564</v>
      </c>
      <c r="T768" s="233">
        <f>10339-1</f>
        <v>10338</v>
      </c>
    </row>
    <row r="769" spans="1:20">
      <c r="A769" s="226">
        <v>98251</v>
      </c>
      <c r="B769" s="227" t="s">
        <v>1474</v>
      </c>
      <c r="C769" s="87">
        <v>3.0000000000000001E-6</v>
      </c>
      <c r="D769" s="87">
        <v>3.1E-6</v>
      </c>
      <c r="E769" s="231">
        <v>4583</v>
      </c>
      <c r="F769" s="231"/>
      <c r="G769" s="232">
        <v>264</v>
      </c>
      <c r="H769" s="220">
        <v>1113</v>
      </c>
      <c r="I769" s="232">
        <v>655</v>
      </c>
      <c r="J769" s="231">
        <v>1375</v>
      </c>
      <c r="K769" s="220">
        <f t="shared" si="23"/>
        <v>3407</v>
      </c>
      <c r="L769" s="231"/>
      <c r="M769" s="232">
        <v>130</v>
      </c>
      <c r="N769" s="232">
        <v>0</v>
      </c>
      <c r="O769" s="231">
        <v>0</v>
      </c>
      <c r="P769" s="220">
        <f t="shared" si="24"/>
        <v>130</v>
      </c>
      <c r="Q769" s="231"/>
      <c r="R769" s="232">
        <v>1545</v>
      </c>
      <c r="S769" s="233">
        <v>561</v>
      </c>
      <c r="T769" s="233">
        <v>2106</v>
      </c>
    </row>
    <row r="770" spans="1:20">
      <c r="A770" s="226">
        <v>98261</v>
      </c>
      <c r="B770" s="227" t="s">
        <v>1475</v>
      </c>
      <c r="C770" s="87">
        <v>3.3200000000000001E-5</v>
      </c>
      <c r="D770" s="87">
        <v>2.97E-5</v>
      </c>
      <c r="E770" s="231">
        <v>50720</v>
      </c>
      <c r="F770" s="231"/>
      <c r="G770" s="232">
        <v>2922</v>
      </c>
      <c r="H770" s="220">
        <v>12315</v>
      </c>
      <c r="I770" s="232">
        <v>7244</v>
      </c>
      <c r="J770" s="231">
        <v>6546</v>
      </c>
      <c r="K770" s="220">
        <f t="shared" si="23"/>
        <v>29027</v>
      </c>
      <c r="L770" s="231"/>
      <c r="M770" s="232">
        <v>1436</v>
      </c>
      <c r="N770" s="232">
        <v>0</v>
      </c>
      <c r="O770" s="231">
        <v>4922</v>
      </c>
      <c r="P770" s="220">
        <f t="shared" si="24"/>
        <v>6358</v>
      </c>
      <c r="Q770" s="231"/>
      <c r="R770" s="232">
        <v>17093</v>
      </c>
      <c r="S770" s="233">
        <v>793</v>
      </c>
      <c r="T770" s="233">
        <v>17886</v>
      </c>
    </row>
    <row r="771" spans="1:20">
      <c r="A771" s="226">
        <v>98271</v>
      </c>
      <c r="B771" s="227" t="s">
        <v>1476</v>
      </c>
      <c r="C771" s="87">
        <v>5.1000000000000003E-6</v>
      </c>
      <c r="D771" s="87">
        <v>4.5000000000000001E-6</v>
      </c>
      <c r="E771" s="231">
        <v>7791</v>
      </c>
      <c r="F771" s="231"/>
      <c r="G771" s="232">
        <v>449</v>
      </c>
      <c r="H771" s="220">
        <v>1891</v>
      </c>
      <c r="I771" s="232">
        <v>1113</v>
      </c>
      <c r="J771" s="231">
        <v>3229</v>
      </c>
      <c r="K771" s="220">
        <f t="shared" si="23"/>
        <v>6682</v>
      </c>
      <c r="L771" s="231"/>
      <c r="M771" s="232">
        <v>221</v>
      </c>
      <c r="N771" s="232">
        <v>0</v>
      </c>
      <c r="O771" s="231">
        <v>0</v>
      </c>
      <c r="P771" s="220">
        <f t="shared" si="24"/>
        <v>221</v>
      </c>
      <c r="Q771" s="231"/>
      <c r="R771" s="232">
        <v>2626</v>
      </c>
      <c r="S771" s="233">
        <v>1560</v>
      </c>
      <c r="T771" s="233">
        <f>4185+1</f>
        <v>4186</v>
      </c>
    </row>
    <row r="772" spans="1:20">
      <c r="A772" s="226">
        <v>98301</v>
      </c>
      <c r="B772" s="227" t="s">
        <v>1477</v>
      </c>
      <c r="C772" s="87">
        <v>1.7542E-3</v>
      </c>
      <c r="D772" s="87">
        <v>1.7776999999999999E-3</v>
      </c>
      <c r="E772" s="231">
        <v>2679932</v>
      </c>
      <c r="F772" s="231"/>
      <c r="G772" s="232">
        <v>154389</v>
      </c>
      <c r="H772" s="220">
        <v>650690</v>
      </c>
      <c r="I772" s="232">
        <v>382731</v>
      </c>
      <c r="J772" s="231">
        <v>51704</v>
      </c>
      <c r="K772" s="220">
        <f t="shared" si="23"/>
        <v>1239514</v>
      </c>
      <c r="L772" s="231"/>
      <c r="M772" s="232">
        <v>75860</v>
      </c>
      <c r="N772" s="232">
        <v>0</v>
      </c>
      <c r="O772" s="231">
        <v>7816</v>
      </c>
      <c r="P772" s="220">
        <f t="shared" si="24"/>
        <v>83676</v>
      </c>
      <c r="Q772" s="231"/>
      <c r="R772" s="232">
        <v>903139</v>
      </c>
      <c r="S772" s="233">
        <v>17344</v>
      </c>
      <c r="T772" s="233">
        <v>920483</v>
      </c>
    </row>
    <row r="773" spans="1:20">
      <c r="A773" s="226">
        <v>98304</v>
      </c>
      <c r="B773" s="227" t="s">
        <v>1478</v>
      </c>
      <c r="C773" s="87">
        <v>2.0999999999999999E-5</v>
      </c>
      <c r="D773" s="87">
        <v>2.2900000000000001E-5</v>
      </c>
      <c r="E773" s="231">
        <v>32082</v>
      </c>
      <c r="F773" s="231"/>
      <c r="G773" s="232">
        <v>1848</v>
      </c>
      <c r="H773" s="220">
        <v>7790</v>
      </c>
      <c r="I773" s="232">
        <v>4582</v>
      </c>
      <c r="J773" s="231">
        <v>2290</v>
      </c>
      <c r="K773" s="220">
        <f t="shared" si="23"/>
        <v>16510</v>
      </c>
      <c r="L773" s="231"/>
      <c r="M773" s="232">
        <v>908</v>
      </c>
      <c r="N773" s="232">
        <v>0</v>
      </c>
      <c r="O773" s="231">
        <v>0</v>
      </c>
      <c r="P773" s="220">
        <f t="shared" si="24"/>
        <v>908</v>
      </c>
      <c r="Q773" s="231"/>
      <c r="R773" s="232">
        <v>10812</v>
      </c>
      <c r="S773" s="233">
        <v>818</v>
      </c>
      <c r="T773" s="233">
        <f>11629+1</f>
        <v>11630</v>
      </c>
    </row>
    <row r="774" spans="1:20">
      <c r="A774" s="226">
        <v>98308</v>
      </c>
      <c r="B774" s="227" t="s">
        <v>1479</v>
      </c>
      <c r="C774" s="87">
        <v>2.37E-5</v>
      </c>
      <c r="D774" s="87">
        <v>2.55E-5</v>
      </c>
      <c r="E774" s="231">
        <v>36207</v>
      </c>
      <c r="F774" s="231"/>
      <c r="G774" s="232">
        <v>2086</v>
      </c>
      <c r="H774" s="220">
        <v>8791</v>
      </c>
      <c r="I774" s="232">
        <v>5171</v>
      </c>
      <c r="J774" s="231">
        <v>7272</v>
      </c>
      <c r="K774" s="220">
        <f t="shared" si="23"/>
        <v>23320</v>
      </c>
      <c r="L774" s="231"/>
      <c r="M774" s="232">
        <v>1025</v>
      </c>
      <c r="N774" s="232">
        <v>0</v>
      </c>
      <c r="O774" s="231">
        <v>0</v>
      </c>
      <c r="P774" s="220">
        <f t="shared" si="24"/>
        <v>1025</v>
      </c>
      <c r="Q774" s="231"/>
      <c r="R774" s="232">
        <v>12202</v>
      </c>
      <c r="S774" s="233">
        <v>3390</v>
      </c>
      <c r="T774" s="233">
        <v>15592</v>
      </c>
    </row>
    <row r="775" spans="1:20">
      <c r="A775" s="226">
        <v>98311</v>
      </c>
      <c r="B775" s="227" t="s">
        <v>1480</v>
      </c>
      <c r="C775" s="87">
        <v>1.1536000000000001E-3</v>
      </c>
      <c r="D775" s="87">
        <v>1.1441999999999999E-3</v>
      </c>
      <c r="E775" s="231">
        <v>1762381</v>
      </c>
      <c r="F775" s="231"/>
      <c r="G775" s="232">
        <v>101529</v>
      </c>
      <c r="H775" s="220">
        <v>427908</v>
      </c>
      <c r="I775" s="232">
        <v>251692</v>
      </c>
      <c r="J775" s="231">
        <v>12653</v>
      </c>
      <c r="K775" s="220">
        <f t="shared" si="23"/>
        <v>793782</v>
      </c>
      <c r="L775" s="231"/>
      <c r="M775" s="232">
        <v>49887</v>
      </c>
      <c r="N775" s="232">
        <v>0</v>
      </c>
      <c r="O775" s="231">
        <v>98661</v>
      </c>
      <c r="P775" s="220">
        <f t="shared" si="24"/>
        <v>148548</v>
      </c>
      <c r="Q775" s="231"/>
      <c r="R775" s="232">
        <v>593924</v>
      </c>
      <c r="S775" s="233">
        <v>-18424</v>
      </c>
      <c r="T775" s="233">
        <f>575501-1</f>
        <v>575500</v>
      </c>
    </row>
    <row r="776" spans="1:20">
      <c r="A776" s="226">
        <v>98313</v>
      </c>
      <c r="B776" s="227" t="s">
        <v>1481</v>
      </c>
      <c r="C776" s="87">
        <v>2.3560000000000001E-4</v>
      </c>
      <c r="D776" s="87">
        <v>2.4240000000000001E-4</v>
      </c>
      <c r="E776" s="231">
        <v>359932</v>
      </c>
      <c r="F776" s="231"/>
      <c r="G776" s="232">
        <v>20735</v>
      </c>
      <c r="H776" s="220">
        <v>87392</v>
      </c>
      <c r="I776" s="232">
        <v>51403</v>
      </c>
      <c r="J776" s="231">
        <v>233571</v>
      </c>
      <c r="K776" s="220">
        <f t="shared" si="23"/>
        <v>393101</v>
      </c>
      <c r="L776" s="231"/>
      <c r="M776" s="232">
        <v>10189</v>
      </c>
      <c r="N776" s="232">
        <v>0</v>
      </c>
      <c r="O776" s="231">
        <v>59</v>
      </c>
      <c r="P776" s="220">
        <f t="shared" si="24"/>
        <v>10248</v>
      </c>
      <c r="Q776" s="231"/>
      <c r="R776" s="232">
        <v>121297</v>
      </c>
      <c r="S776" s="233">
        <v>77966</v>
      </c>
      <c r="T776" s="233">
        <v>199263</v>
      </c>
    </row>
    <row r="777" spans="1:20">
      <c r="A777" s="226">
        <v>98321</v>
      </c>
      <c r="B777" s="227" t="s">
        <v>1482</v>
      </c>
      <c r="C777" s="87">
        <v>2.05E-5</v>
      </c>
      <c r="D777" s="87">
        <v>2.1399999999999998E-5</v>
      </c>
      <c r="E777" s="231">
        <v>31318</v>
      </c>
      <c r="F777" s="231"/>
      <c r="G777" s="232">
        <v>1804</v>
      </c>
      <c r="H777" s="220">
        <v>7604</v>
      </c>
      <c r="I777" s="232">
        <v>4473</v>
      </c>
      <c r="J777" s="231">
        <v>1639</v>
      </c>
      <c r="K777" s="220">
        <f t="shared" si="23"/>
        <v>15520</v>
      </c>
      <c r="L777" s="231"/>
      <c r="M777" s="232">
        <v>887</v>
      </c>
      <c r="N777" s="232">
        <v>0</v>
      </c>
      <c r="O777" s="231">
        <v>3066</v>
      </c>
      <c r="P777" s="220">
        <f t="shared" si="24"/>
        <v>3953</v>
      </c>
      <c r="Q777" s="231"/>
      <c r="R777" s="232">
        <v>10554</v>
      </c>
      <c r="S777" s="233">
        <v>472</v>
      </c>
      <c r="T777" s="233">
        <v>11026</v>
      </c>
    </row>
    <row r="778" spans="1:20">
      <c r="A778" s="226">
        <v>98331</v>
      </c>
      <c r="B778" s="227" t="s">
        <v>1483</v>
      </c>
      <c r="C778" s="87">
        <v>9.7999999999999993E-6</v>
      </c>
      <c r="D778" s="87">
        <v>1.03E-5</v>
      </c>
      <c r="E778" s="231">
        <v>14972</v>
      </c>
      <c r="F778" s="231"/>
      <c r="G778" s="232">
        <v>863</v>
      </c>
      <c r="H778" s="220">
        <v>3635</v>
      </c>
      <c r="I778" s="232">
        <v>2138</v>
      </c>
      <c r="J778" s="231">
        <v>3035</v>
      </c>
      <c r="K778" s="220">
        <f t="shared" ref="K778:K841" si="25">G778+H778+I778+J778</f>
        <v>9671</v>
      </c>
      <c r="L778" s="231"/>
      <c r="M778" s="232">
        <v>424</v>
      </c>
      <c r="N778" s="232">
        <v>0</v>
      </c>
      <c r="O778" s="231">
        <v>132</v>
      </c>
      <c r="P778" s="220">
        <f t="shared" ref="P778:P841" si="26">M778+N778+O778</f>
        <v>556</v>
      </c>
      <c r="Q778" s="231"/>
      <c r="R778" s="232">
        <v>5045</v>
      </c>
      <c r="S778" s="233">
        <v>972</v>
      </c>
      <c r="T778" s="233">
        <f>6018-1</f>
        <v>6017</v>
      </c>
    </row>
    <row r="779" spans="1:20">
      <c r="A779" s="226">
        <v>98401</v>
      </c>
      <c r="B779" s="227" t="s">
        <v>1484</v>
      </c>
      <c r="C779" s="87">
        <v>2.7655000000000002E-3</v>
      </c>
      <c r="D779" s="87">
        <v>2.7567999999999998E-3</v>
      </c>
      <c r="E779" s="231">
        <v>4224918</v>
      </c>
      <c r="F779" s="231"/>
      <c r="G779" s="232">
        <v>243394</v>
      </c>
      <c r="H779" s="220">
        <v>1025815</v>
      </c>
      <c r="I779" s="232">
        <v>603377</v>
      </c>
      <c r="J779" s="231">
        <v>168129</v>
      </c>
      <c r="K779" s="220">
        <f t="shared" si="25"/>
        <v>2040715</v>
      </c>
      <c r="L779" s="231"/>
      <c r="M779" s="232">
        <v>119594</v>
      </c>
      <c r="N779" s="232">
        <v>0</v>
      </c>
      <c r="O779" s="231">
        <v>6292</v>
      </c>
      <c r="P779" s="220">
        <f t="shared" si="26"/>
        <v>125886</v>
      </c>
      <c r="Q779" s="231"/>
      <c r="R779" s="232">
        <v>1423801</v>
      </c>
      <c r="S779" s="233">
        <v>58759</v>
      </c>
      <c r="T779" s="233">
        <v>1482560</v>
      </c>
    </row>
    <row r="780" spans="1:20">
      <c r="A780" s="226">
        <v>98404</v>
      </c>
      <c r="B780" s="227" t="s">
        <v>1485</v>
      </c>
      <c r="C780" s="87">
        <v>1.52E-5</v>
      </c>
      <c r="D780" s="87">
        <v>0</v>
      </c>
      <c r="E780" s="231">
        <v>23221</v>
      </c>
      <c r="F780" s="231"/>
      <c r="G780" s="232">
        <v>1338</v>
      </c>
      <c r="H780" s="220">
        <v>5638</v>
      </c>
      <c r="I780" s="232">
        <v>3316</v>
      </c>
      <c r="J780" s="231">
        <v>9290</v>
      </c>
      <c r="K780" s="220">
        <f t="shared" si="25"/>
        <v>19582</v>
      </c>
      <c r="L780" s="231"/>
      <c r="M780" s="232">
        <v>657</v>
      </c>
      <c r="N780" s="232">
        <v>0</v>
      </c>
      <c r="O780" s="231">
        <v>0</v>
      </c>
      <c r="P780" s="220">
        <f t="shared" si="26"/>
        <v>657</v>
      </c>
      <c r="Q780" s="231"/>
      <c r="R780" s="232">
        <v>7826</v>
      </c>
      <c r="S780" s="233">
        <v>2323</v>
      </c>
      <c r="T780" s="233">
        <f>10148+1</f>
        <v>10149</v>
      </c>
    </row>
    <row r="781" spans="1:20">
      <c r="A781" s="226">
        <v>98411</v>
      </c>
      <c r="B781" s="227" t="s">
        <v>1486</v>
      </c>
      <c r="C781" s="87">
        <v>1.9816E-3</v>
      </c>
      <c r="D781" s="87">
        <v>2.0076999999999998E-3</v>
      </c>
      <c r="E781" s="231">
        <v>3027336</v>
      </c>
      <c r="F781" s="231"/>
      <c r="G781" s="232">
        <v>174403</v>
      </c>
      <c r="H781" s="220">
        <v>735040</v>
      </c>
      <c r="I781" s="232">
        <v>432345</v>
      </c>
      <c r="J781" s="231">
        <v>3986</v>
      </c>
      <c r="K781" s="220">
        <f t="shared" si="25"/>
        <v>1345774</v>
      </c>
      <c r="L781" s="231"/>
      <c r="M781" s="232">
        <v>85694</v>
      </c>
      <c r="N781" s="232">
        <v>0</v>
      </c>
      <c r="O781" s="231">
        <v>73699</v>
      </c>
      <c r="P781" s="220">
        <f t="shared" si="26"/>
        <v>159393</v>
      </c>
      <c r="Q781" s="231"/>
      <c r="R781" s="232">
        <v>1020215</v>
      </c>
      <c r="S781" s="233">
        <v>-19116</v>
      </c>
      <c r="T781" s="233">
        <v>1001099</v>
      </c>
    </row>
    <row r="782" spans="1:20">
      <c r="A782" s="226">
        <v>98414</v>
      </c>
      <c r="B782" s="227" t="s">
        <v>1487</v>
      </c>
      <c r="C782" s="238">
        <f>0.00283%+0.00102%</f>
        <v>3.8500000000000001E-5</v>
      </c>
      <c r="D782" s="87">
        <v>4.3600000000000003E-5</v>
      </c>
      <c r="E782" s="231">
        <f>43235+15583</f>
        <v>58818</v>
      </c>
      <c r="F782" s="231"/>
      <c r="G782" s="232">
        <f>2491+898</f>
        <v>3389</v>
      </c>
      <c r="H782" s="220">
        <v>14282</v>
      </c>
      <c r="I782" s="232">
        <f>6174+2225</f>
        <v>8399</v>
      </c>
      <c r="J782" s="231">
        <v>14474</v>
      </c>
      <c r="K782" s="220">
        <f t="shared" si="25"/>
        <v>40544</v>
      </c>
      <c r="L782" s="231"/>
      <c r="M782" s="232">
        <f>1224+441</f>
        <v>1665</v>
      </c>
      <c r="N782" s="232">
        <v>0</v>
      </c>
      <c r="O782" s="231">
        <f>0+24505</f>
        <v>24505</v>
      </c>
      <c r="P782" s="220">
        <f t="shared" si="26"/>
        <v>26170</v>
      </c>
      <c r="Q782" s="231"/>
      <c r="R782" s="232">
        <f>14570+5251</f>
        <v>19821</v>
      </c>
      <c r="S782" s="233">
        <f>3619-7460</f>
        <v>-3841</v>
      </c>
      <c r="T782" s="233">
        <f>18189-2209</f>
        <v>15980</v>
      </c>
    </row>
    <row r="783" spans="1:20">
      <c r="A783" s="226">
        <v>98417</v>
      </c>
      <c r="B783" s="227" t="s">
        <v>1488</v>
      </c>
      <c r="C783" s="87">
        <v>2.2900000000000001E-5</v>
      </c>
      <c r="D783" s="87">
        <v>2.4899999999999999E-5</v>
      </c>
      <c r="E783" s="231">
        <v>34985</v>
      </c>
      <c r="F783" s="231"/>
      <c r="G783" s="232">
        <v>2015</v>
      </c>
      <c r="H783" s="220">
        <v>8494</v>
      </c>
      <c r="I783" s="232">
        <v>4996</v>
      </c>
      <c r="J783" s="231">
        <v>2511</v>
      </c>
      <c r="K783" s="220">
        <f t="shared" si="25"/>
        <v>18016</v>
      </c>
      <c r="L783" s="231"/>
      <c r="M783" s="232">
        <v>990</v>
      </c>
      <c r="N783" s="232">
        <v>0</v>
      </c>
      <c r="O783" s="231">
        <v>424</v>
      </c>
      <c r="P783" s="220">
        <f t="shared" si="26"/>
        <v>1414</v>
      </c>
      <c r="Q783" s="231"/>
      <c r="R783" s="232">
        <v>11790</v>
      </c>
      <c r="S783" s="233">
        <v>315</v>
      </c>
      <c r="T783" s="233">
        <v>12105</v>
      </c>
    </row>
    <row r="784" spans="1:20">
      <c r="A784" s="226">
        <v>98421</v>
      </c>
      <c r="B784" s="227" t="s">
        <v>1489</v>
      </c>
      <c r="C784" s="87">
        <v>8.2700000000000004E-5</v>
      </c>
      <c r="D784" s="87">
        <v>1.0840000000000001E-4</v>
      </c>
      <c r="E784" s="231">
        <v>126343</v>
      </c>
      <c r="F784" s="231"/>
      <c r="G784" s="232">
        <v>7279</v>
      </c>
      <c r="H784" s="220">
        <v>30676</v>
      </c>
      <c r="I784" s="232">
        <v>18043</v>
      </c>
      <c r="J784" s="231">
        <v>5132</v>
      </c>
      <c r="K784" s="220">
        <f t="shared" si="25"/>
        <v>61130</v>
      </c>
      <c r="L784" s="231"/>
      <c r="M784" s="232">
        <v>3576</v>
      </c>
      <c r="N784" s="232">
        <v>0</v>
      </c>
      <c r="O784" s="231">
        <v>12725</v>
      </c>
      <c r="P784" s="220">
        <f t="shared" si="26"/>
        <v>16301</v>
      </c>
      <c r="Q784" s="231"/>
      <c r="R784" s="232">
        <v>42578</v>
      </c>
      <c r="S784" s="233">
        <v>-911</v>
      </c>
      <c r="T784" s="233">
        <v>41667</v>
      </c>
    </row>
    <row r="785" spans="1:20">
      <c r="A785" s="226">
        <v>98427</v>
      </c>
      <c r="B785" s="227" t="s">
        <v>1490</v>
      </c>
      <c r="C785" s="87">
        <v>3.9999999999999998E-6</v>
      </c>
      <c r="D785" s="87">
        <v>4.6E-6</v>
      </c>
      <c r="E785" s="231">
        <v>6111</v>
      </c>
      <c r="F785" s="231"/>
      <c r="G785" s="232">
        <v>352</v>
      </c>
      <c r="H785" s="220">
        <v>1484</v>
      </c>
      <c r="I785" s="232">
        <v>873</v>
      </c>
      <c r="J785" s="231">
        <v>1351</v>
      </c>
      <c r="K785" s="220">
        <f t="shared" si="25"/>
        <v>4060</v>
      </c>
      <c r="L785" s="231"/>
      <c r="M785" s="232">
        <v>173</v>
      </c>
      <c r="N785" s="232">
        <v>0</v>
      </c>
      <c r="O785" s="231">
        <v>0</v>
      </c>
      <c r="P785" s="220">
        <f t="shared" si="26"/>
        <v>173</v>
      </c>
      <c r="Q785" s="231"/>
      <c r="R785" s="232">
        <v>2059</v>
      </c>
      <c r="S785" s="233">
        <v>487</v>
      </c>
      <c r="T785" s="233">
        <f>2547-1</f>
        <v>2546</v>
      </c>
    </row>
    <row r="786" spans="1:20">
      <c r="A786" s="226">
        <v>98431</v>
      </c>
      <c r="B786" s="227" t="s">
        <v>1491</v>
      </c>
      <c r="C786" s="87">
        <v>2.0589999999999999E-4</v>
      </c>
      <c r="D786" s="87">
        <v>2.0010000000000001E-4</v>
      </c>
      <c r="E786" s="231">
        <v>314558</v>
      </c>
      <c r="F786" s="231"/>
      <c r="G786" s="232">
        <v>18121</v>
      </c>
      <c r="H786" s="220">
        <v>76375</v>
      </c>
      <c r="I786" s="232">
        <v>44923</v>
      </c>
      <c r="J786" s="231">
        <v>1246</v>
      </c>
      <c r="K786" s="220">
        <f t="shared" si="25"/>
        <v>140665</v>
      </c>
      <c r="L786" s="231"/>
      <c r="M786" s="232">
        <v>8904</v>
      </c>
      <c r="N786" s="232">
        <v>0</v>
      </c>
      <c r="O786" s="231">
        <v>24844</v>
      </c>
      <c r="P786" s="220">
        <f t="shared" si="26"/>
        <v>33748</v>
      </c>
      <c r="Q786" s="231"/>
      <c r="R786" s="232">
        <v>106006</v>
      </c>
      <c r="S786" s="233">
        <v>-7635</v>
      </c>
      <c r="T786" s="233">
        <f>98372-1</f>
        <v>98371</v>
      </c>
    </row>
    <row r="787" spans="1:20">
      <c r="A787" s="226">
        <v>98441</v>
      </c>
      <c r="B787" s="227" t="s">
        <v>1492</v>
      </c>
      <c r="C787" s="87">
        <v>8.2700000000000004E-5</v>
      </c>
      <c r="D787" s="87">
        <v>9.1000000000000003E-5</v>
      </c>
      <c r="E787" s="231">
        <v>126343</v>
      </c>
      <c r="F787" s="231"/>
      <c r="G787" s="232">
        <v>7279</v>
      </c>
      <c r="H787" s="220">
        <v>30676</v>
      </c>
      <c r="I787" s="232">
        <v>18043</v>
      </c>
      <c r="J787" s="231">
        <v>570</v>
      </c>
      <c r="K787" s="220">
        <f t="shared" si="25"/>
        <v>56568</v>
      </c>
      <c r="L787" s="231"/>
      <c r="M787" s="232">
        <v>3576</v>
      </c>
      <c r="N787" s="232">
        <v>0</v>
      </c>
      <c r="O787" s="231">
        <v>22406</v>
      </c>
      <c r="P787" s="220">
        <f t="shared" si="26"/>
        <v>25982</v>
      </c>
      <c r="Q787" s="231"/>
      <c r="R787" s="232">
        <v>42578</v>
      </c>
      <c r="S787" s="233">
        <v>-8026</v>
      </c>
      <c r="T787" s="233">
        <v>34552</v>
      </c>
    </row>
    <row r="788" spans="1:20">
      <c r="A788" s="226">
        <v>98451</v>
      </c>
      <c r="B788" s="227" t="s">
        <v>1493</v>
      </c>
      <c r="C788" s="87">
        <v>5.7000000000000003E-5</v>
      </c>
      <c r="D788" s="87">
        <v>5.6199999999999997E-5</v>
      </c>
      <c r="E788" s="231">
        <v>87080</v>
      </c>
      <c r="F788" s="231"/>
      <c r="G788" s="232">
        <v>5017</v>
      </c>
      <c r="H788" s="220">
        <v>21143</v>
      </c>
      <c r="I788" s="232">
        <v>12436</v>
      </c>
      <c r="J788" s="231">
        <v>508</v>
      </c>
      <c r="K788" s="220">
        <f t="shared" si="25"/>
        <v>39104</v>
      </c>
      <c r="L788" s="231"/>
      <c r="M788" s="232">
        <v>2465</v>
      </c>
      <c r="N788" s="232">
        <v>0</v>
      </c>
      <c r="O788" s="231">
        <v>1478</v>
      </c>
      <c r="P788" s="220">
        <f t="shared" si="26"/>
        <v>3943</v>
      </c>
      <c r="Q788" s="231"/>
      <c r="R788" s="232">
        <v>29346</v>
      </c>
      <c r="S788" s="233">
        <v>-530</v>
      </c>
      <c r="T788" s="233">
        <v>28816</v>
      </c>
    </row>
    <row r="789" spans="1:20">
      <c r="A789" s="226">
        <v>98481</v>
      </c>
      <c r="B789" s="227" t="s">
        <v>1494</v>
      </c>
      <c r="C789" s="87">
        <v>6.3899999999999995E-5</v>
      </c>
      <c r="D789" s="87">
        <v>6.7700000000000006E-5</v>
      </c>
      <c r="E789" s="231">
        <v>97621</v>
      </c>
      <c r="F789" s="231"/>
      <c r="G789" s="232">
        <v>5624</v>
      </c>
      <c r="H789" s="220">
        <v>23703</v>
      </c>
      <c r="I789" s="232">
        <v>13942</v>
      </c>
      <c r="J789" s="231">
        <v>1545</v>
      </c>
      <c r="K789" s="220">
        <f t="shared" si="25"/>
        <v>44814</v>
      </c>
      <c r="L789" s="231"/>
      <c r="M789" s="232">
        <v>2763</v>
      </c>
      <c r="N789" s="232">
        <v>0</v>
      </c>
      <c r="O789" s="231">
        <v>5772</v>
      </c>
      <c r="P789" s="220">
        <f t="shared" si="26"/>
        <v>8535</v>
      </c>
      <c r="Q789" s="231"/>
      <c r="R789" s="232">
        <v>32899</v>
      </c>
      <c r="S789" s="233">
        <v>-35</v>
      </c>
      <c r="T789" s="233">
        <f>32863+1</f>
        <v>32864</v>
      </c>
    </row>
    <row r="790" spans="1:20">
      <c r="A790" s="226">
        <v>98501</v>
      </c>
      <c r="B790" s="227" t="s">
        <v>1495</v>
      </c>
      <c r="C790" s="87">
        <v>1.6022E-3</v>
      </c>
      <c r="D790" s="87">
        <v>1.5690999999999999E-3</v>
      </c>
      <c r="E790" s="231">
        <v>2447718</v>
      </c>
      <c r="F790" s="231"/>
      <c r="G790" s="232">
        <v>141011</v>
      </c>
      <c r="H790" s="220">
        <v>594309</v>
      </c>
      <c r="I790" s="232">
        <v>349568</v>
      </c>
      <c r="J790" s="231">
        <v>75098</v>
      </c>
      <c r="K790" s="220">
        <f t="shared" si="25"/>
        <v>1159986</v>
      </c>
      <c r="L790" s="231"/>
      <c r="M790" s="232">
        <v>69287</v>
      </c>
      <c r="N790" s="232">
        <v>0</v>
      </c>
      <c r="O790" s="231">
        <v>2932</v>
      </c>
      <c r="P790" s="220">
        <f t="shared" si="26"/>
        <v>72219</v>
      </c>
      <c r="Q790" s="231"/>
      <c r="R790" s="232">
        <v>824883</v>
      </c>
      <c r="S790" s="233">
        <v>19182</v>
      </c>
      <c r="T790" s="233">
        <v>844065</v>
      </c>
    </row>
    <row r="791" spans="1:20">
      <c r="A791" s="226">
        <v>98511</v>
      </c>
      <c r="B791" s="227" t="s">
        <v>1496</v>
      </c>
      <c r="C791" s="87">
        <v>4.8000000000000001E-5</v>
      </c>
      <c r="D791" s="87">
        <v>4.5800000000000002E-5</v>
      </c>
      <c r="E791" s="231">
        <v>73331</v>
      </c>
      <c r="F791" s="231"/>
      <c r="G791" s="232">
        <v>4225</v>
      </c>
      <c r="H791" s="220">
        <v>17804</v>
      </c>
      <c r="I791" s="232">
        <v>10473</v>
      </c>
      <c r="J791" s="231">
        <v>5918</v>
      </c>
      <c r="K791" s="220">
        <f t="shared" si="25"/>
        <v>38420</v>
      </c>
      <c r="L791" s="231"/>
      <c r="M791" s="232">
        <v>2076</v>
      </c>
      <c r="N791" s="232">
        <v>0</v>
      </c>
      <c r="O791" s="231">
        <v>11919</v>
      </c>
      <c r="P791" s="220">
        <f t="shared" si="26"/>
        <v>13995</v>
      </c>
      <c r="Q791" s="231"/>
      <c r="R791" s="232">
        <v>24713</v>
      </c>
      <c r="S791" s="233">
        <v>-9378</v>
      </c>
      <c r="T791" s="233">
        <f>15334+1</f>
        <v>15335</v>
      </c>
    </row>
    <row r="792" spans="1:20">
      <c r="A792" s="226">
        <v>98517</v>
      </c>
      <c r="B792" s="227" t="s">
        <v>1497</v>
      </c>
      <c r="C792" s="87">
        <v>2.3E-6</v>
      </c>
      <c r="D792" s="87">
        <v>2.6000000000000001E-6</v>
      </c>
      <c r="E792" s="231">
        <v>3514</v>
      </c>
      <c r="F792" s="231"/>
      <c r="G792" s="232">
        <v>202</v>
      </c>
      <c r="H792" s="220">
        <v>854</v>
      </c>
      <c r="I792" s="232">
        <v>502</v>
      </c>
      <c r="J792" s="231">
        <v>1623</v>
      </c>
      <c r="K792" s="220">
        <f t="shared" si="25"/>
        <v>3181</v>
      </c>
      <c r="L792" s="231"/>
      <c r="M792" s="232">
        <v>99</v>
      </c>
      <c r="N792" s="232">
        <v>0</v>
      </c>
      <c r="O792" s="231">
        <v>0</v>
      </c>
      <c r="P792" s="220">
        <f t="shared" si="26"/>
        <v>99</v>
      </c>
      <c r="Q792" s="231"/>
      <c r="R792" s="232">
        <v>1184</v>
      </c>
      <c r="S792" s="233">
        <v>589</v>
      </c>
      <c r="T792" s="233">
        <v>1773</v>
      </c>
    </row>
    <row r="793" spans="1:20">
      <c r="A793" s="226">
        <v>98521</v>
      </c>
      <c r="B793" s="227" t="s">
        <v>1498</v>
      </c>
      <c r="C793" s="87">
        <v>6.6180000000000004E-4</v>
      </c>
      <c r="D793" s="87">
        <v>5.7059999999999999E-4</v>
      </c>
      <c r="E793" s="231">
        <v>1011047</v>
      </c>
      <c r="F793" s="231"/>
      <c r="G793" s="232">
        <v>58246</v>
      </c>
      <c r="H793" s="220">
        <v>245484</v>
      </c>
      <c r="I793" s="232">
        <v>144392</v>
      </c>
      <c r="J793" s="231">
        <v>34795</v>
      </c>
      <c r="K793" s="220">
        <f t="shared" si="25"/>
        <v>482917</v>
      </c>
      <c r="L793" s="231"/>
      <c r="M793" s="232">
        <v>28620</v>
      </c>
      <c r="N793" s="232">
        <v>0</v>
      </c>
      <c r="O793" s="231">
        <v>43967</v>
      </c>
      <c r="P793" s="220">
        <f t="shared" si="26"/>
        <v>72587</v>
      </c>
      <c r="Q793" s="231"/>
      <c r="R793" s="232">
        <v>340724</v>
      </c>
      <c r="S793" s="233">
        <v>-10201</v>
      </c>
      <c r="T793" s="233">
        <v>330523</v>
      </c>
    </row>
    <row r="794" spans="1:20">
      <c r="A794" s="226">
        <v>98601</v>
      </c>
      <c r="B794" s="227" t="s">
        <v>1499</v>
      </c>
      <c r="C794" s="87">
        <v>3.4148E-3</v>
      </c>
      <c r="D794" s="87">
        <v>3.5065999999999999E-3</v>
      </c>
      <c r="E794" s="231">
        <v>5216869</v>
      </c>
      <c r="F794" s="231"/>
      <c r="G794" s="232">
        <v>300540</v>
      </c>
      <c r="H794" s="220">
        <v>1266662</v>
      </c>
      <c r="I794" s="232">
        <v>745041</v>
      </c>
      <c r="J794" s="231">
        <v>0</v>
      </c>
      <c r="K794" s="220">
        <f t="shared" si="25"/>
        <v>2312243</v>
      </c>
      <c r="L794" s="231"/>
      <c r="M794" s="232">
        <v>147673</v>
      </c>
      <c r="N794" s="232">
        <v>0</v>
      </c>
      <c r="O794" s="231">
        <v>216693</v>
      </c>
      <c r="P794" s="220">
        <f t="shared" si="26"/>
        <v>364366</v>
      </c>
      <c r="Q794" s="231"/>
      <c r="R794" s="232">
        <v>1758089</v>
      </c>
      <c r="S794" s="233">
        <v>-93549</v>
      </c>
      <c r="T794" s="233">
        <v>1664540</v>
      </c>
    </row>
    <row r="795" spans="1:20">
      <c r="A795" s="226">
        <v>98604</v>
      </c>
      <c r="B795" s="227" t="s">
        <v>1500</v>
      </c>
      <c r="C795" s="87">
        <v>1.34E-5</v>
      </c>
      <c r="D795" s="87">
        <v>1.59E-5</v>
      </c>
      <c r="E795" s="231">
        <v>20471</v>
      </c>
      <c r="F795" s="231"/>
      <c r="G795" s="232">
        <v>1179</v>
      </c>
      <c r="H795" s="220">
        <v>4970</v>
      </c>
      <c r="I795" s="232">
        <v>2924</v>
      </c>
      <c r="J795" s="231">
        <f>5979+2967</f>
        <v>8946</v>
      </c>
      <c r="K795" s="220">
        <f t="shared" si="25"/>
        <v>18019</v>
      </c>
      <c r="L795" s="231"/>
      <c r="M795" s="232">
        <v>579</v>
      </c>
      <c r="N795" s="232">
        <v>0</v>
      </c>
      <c r="O795" s="231">
        <f>527+4977</f>
        <v>5504</v>
      </c>
      <c r="P795" s="220">
        <f t="shared" si="26"/>
        <v>6083</v>
      </c>
      <c r="Q795" s="231"/>
      <c r="R795" s="232">
        <v>6899</v>
      </c>
      <c r="S795" s="233">
        <f>1959+178</f>
        <v>2137</v>
      </c>
      <c r="T795" s="233">
        <f>8857+1+178</f>
        <v>9036</v>
      </c>
    </row>
    <row r="796" spans="1:20">
      <c r="A796" s="226">
        <v>98607</v>
      </c>
      <c r="B796" s="227" t="s">
        <v>1501</v>
      </c>
      <c r="C796" s="87">
        <v>5.9000000000000003E-6</v>
      </c>
      <c r="D796" s="87">
        <v>5.9000000000000003E-6</v>
      </c>
      <c r="E796" s="231">
        <v>9014</v>
      </c>
      <c r="F796" s="231"/>
      <c r="G796" s="232">
        <v>519</v>
      </c>
      <c r="H796" s="220">
        <v>2188</v>
      </c>
      <c r="I796" s="232">
        <v>1287</v>
      </c>
      <c r="J796" s="231">
        <v>52</v>
      </c>
      <c r="K796" s="220">
        <f t="shared" si="25"/>
        <v>4046</v>
      </c>
      <c r="L796" s="231"/>
      <c r="M796" s="232">
        <v>255</v>
      </c>
      <c r="N796" s="232">
        <v>0</v>
      </c>
      <c r="O796" s="231">
        <v>1474</v>
      </c>
      <c r="P796" s="220">
        <f t="shared" si="26"/>
        <v>1729</v>
      </c>
      <c r="Q796" s="231"/>
      <c r="R796" s="232">
        <v>3038</v>
      </c>
      <c r="S796" s="233">
        <v>-861</v>
      </c>
      <c r="T796" s="233">
        <v>2177</v>
      </c>
    </row>
    <row r="797" spans="1:20">
      <c r="A797" s="226">
        <v>98608</v>
      </c>
      <c r="B797" s="227" t="s">
        <v>1502</v>
      </c>
      <c r="C797" s="87">
        <v>4.9200000000000003E-5</v>
      </c>
      <c r="D797" s="87">
        <v>4.2299999999999998E-5</v>
      </c>
      <c r="E797" s="231">
        <v>75164</v>
      </c>
      <c r="F797" s="231"/>
      <c r="G797" s="232">
        <v>4330</v>
      </c>
      <c r="H797" s="220">
        <v>18250</v>
      </c>
      <c r="I797" s="232">
        <v>10734</v>
      </c>
      <c r="J797" s="231">
        <v>6529</v>
      </c>
      <c r="K797" s="220">
        <f t="shared" si="25"/>
        <v>39843</v>
      </c>
      <c r="L797" s="231"/>
      <c r="M797" s="232">
        <v>2128</v>
      </c>
      <c r="N797" s="232">
        <v>0</v>
      </c>
      <c r="O797" s="231">
        <v>5369</v>
      </c>
      <c r="P797" s="220">
        <f t="shared" si="26"/>
        <v>7497</v>
      </c>
      <c r="Q797" s="231"/>
      <c r="R797" s="232">
        <v>25330</v>
      </c>
      <c r="S797" s="233">
        <v>1217</v>
      </c>
      <c r="T797" s="233">
        <v>26547</v>
      </c>
    </row>
    <row r="798" spans="1:20">
      <c r="A798" s="226">
        <v>98611</v>
      </c>
      <c r="B798" s="227" t="s">
        <v>1503</v>
      </c>
      <c r="C798" s="87">
        <v>8.6899999999999998E-5</v>
      </c>
      <c r="D798" s="87">
        <v>8.6700000000000007E-5</v>
      </c>
      <c r="E798" s="231">
        <v>132759</v>
      </c>
      <c r="F798" s="231"/>
      <c r="G798" s="232">
        <v>7648</v>
      </c>
      <c r="H798" s="220">
        <v>32235</v>
      </c>
      <c r="I798" s="232">
        <v>18960</v>
      </c>
      <c r="J798" s="231">
        <v>10690</v>
      </c>
      <c r="K798" s="220">
        <f t="shared" si="25"/>
        <v>69533</v>
      </c>
      <c r="L798" s="231"/>
      <c r="M798" s="232">
        <v>3758</v>
      </c>
      <c r="N798" s="232">
        <v>0</v>
      </c>
      <c r="O798" s="231">
        <v>9519</v>
      </c>
      <c r="P798" s="220">
        <f t="shared" si="26"/>
        <v>13277</v>
      </c>
      <c r="Q798" s="231"/>
      <c r="R798" s="232">
        <v>44740</v>
      </c>
      <c r="S798" s="233">
        <v>910</v>
      </c>
      <c r="T798" s="233">
        <f>45649+1</f>
        <v>45650</v>
      </c>
    </row>
    <row r="799" spans="1:20">
      <c r="A799" s="226">
        <v>98621</v>
      </c>
      <c r="B799" s="227" t="s">
        <v>1504</v>
      </c>
      <c r="C799" s="87">
        <v>1.314E-4</v>
      </c>
      <c r="D799" s="87">
        <v>1.3239999999999999E-4</v>
      </c>
      <c r="E799" s="231">
        <v>200743</v>
      </c>
      <c r="F799" s="231"/>
      <c r="G799" s="232">
        <v>11565</v>
      </c>
      <c r="H799" s="220">
        <v>48740</v>
      </c>
      <c r="I799" s="232">
        <v>28669</v>
      </c>
      <c r="J799" s="231">
        <v>473</v>
      </c>
      <c r="K799" s="220">
        <f t="shared" si="25"/>
        <v>89447</v>
      </c>
      <c r="L799" s="231"/>
      <c r="M799" s="232">
        <v>5682</v>
      </c>
      <c r="N799" s="232">
        <v>0</v>
      </c>
      <c r="O799" s="231">
        <v>10727</v>
      </c>
      <c r="P799" s="220">
        <f t="shared" si="26"/>
        <v>16409</v>
      </c>
      <c r="Q799" s="231"/>
      <c r="R799" s="232">
        <v>67651</v>
      </c>
      <c r="S799" s="233">
        <v>-3535</v>
      </c>
      <c r="T799" s="233">
        <f>64115+1</f>
        <v>64116</v>
      </c>
    </row>
    <row r="800" spans="1:20">
      <c r="A800" s="226">
        <v>98627</v>
      </c>
      <c r="B800" s="227" t="s">
        <v>1505</v>
      </c>
      <c r="C800" s="87">
        <v>8.6999999999999997E-6</v>
      </c>
      <c r="D800" s="87">
        <v>9.3999999999999998E-6</v>
      </c>
      <c r="E800" s="231">
        <v>13291</v>
      </c>
      <c r="F800" s="231"/>
      <c r="G800" s="232">
        <v>766</v>
      </c>
      <c r="H800" s="220">
        <v>3227</v>
      </c>
      <c r="I800" s="232">
        <v>1898</v>
      </c>
      <c r="J800" s="231">
        <v>316</v>
      </c>
      <c r="K800" s="220">
        <f t="shared" si="25"/>
        <v>6207</v>
      </c>
      <c r="L800" s="231"/>
      <c r="M800" s="232">
        <v>376</v>
      </c>
      <c r="N800" s="232">
        <v>0</v>
      </c>
      <c r="O800" s="231">
        <v>1098</v>
      </c>
      <c r="P800" s="220">
        <f t="shared" si="26"/>
        <v>1474</v>
      </c>
      <c r="Q800" s="231"/>
      <c r="R800" s="232">
        <v>4479</v>
      </c>
      <c r="S800" s="233">
        <v>-220</v>
      </c>
      <c r="T800" s="233">
        <v>4259</v>
      </c>
    </row>
    <row r="801" spans="1:20">
      <c r="A801" s="226">
        <v>98631</v>
      </c>
      <c r="B801" s="227" t="s">
        <v>1506</v>
      </c>
      <c r="C801" s="87">
        <v>1.0051999999999999E-3</v>
      </c>
      <c r="D801" s="87">
        <v>1.0415000000000001E-3</v>
      </c>
      <c r="E801" s="231">
        <v>1535667</v>
      </c>
      <c r="F801" s="231"/>
      <c r="G801" s="232">
        <v>88469</v>
      </c>
      <c r="H801" s="220">
        <v>372862</v>
      </c>
      <c r="I801" s="232">
        <v>219315</v>
      </c>
      <c r="J801" s="231">
        <v>0</v>
      </c>
      <c r="K801" s="220">
        <f t="shared" si="25"/>
        <v>680646</v>
      </c>
      <c r="L801" s="231"/>
      <c r="M801" s="232">
        <v>43470</v>
      </c>
      <c r="N801" s="232">
        <v>0</v>
      </c>
      <c r="O801" s="231">
        <v>102113</v>
      </c>
      <c r="P801" s="220">
        <f t="shared" si="26"/>
        <v>145583</v>
      </c>
      <c r="Q801" s="231"/>
      <c r="R801" s="232">
        <v>517521</v>
      </c>
      <c r="S801" s="233">
        <v>-41744</v>
      </c>
      <c r="T801" s="233">
        <v>475777</v>
      </c>
    </row>
    <row r="802" spans="1:20">
      <c r="A802" s="226">
        <v>98637</v>
      </c>
      <c r="B802" s="227" t="s">
        <v>1507</v>
      </c>
      <c r="C802" s="87">
        <v>2.0800000000000001E-5</v>
      </c>
      <c r="D802" s="87">
        <v>2.2200000000000001E-5</v>
      </c>
      <c r="E802" s="231">
        <v>31777</v>
      </c>
      <c r="F802" s="231"/>
      <c r="G802" s="232">
        <v>1831</v>
      </c>
      <c r="H802" s="220">
        <v>7715</v>
      </c>
      <c r="I802" s="232">
        <v>4538</v>
      </c>
      <c r="J802" s="231">
        <v>8386</v>
      </c>
      <c r="K802" s="220">
        <f t="shared" si="25"/>
        <v>22470</v>
      </c>
      <c r="L802" s="231"/>
      <c r="M802" s="232">
        <v>899</v>
      </c>
      <c r="N802" s="232">
        <v>0</v>
      </c>
      <c r="O802" s="231">
        <v>0</v>
      </c>
      <c r="P802" s="220">
        <f t="shared" si="26"/>
        <v>899</v>
      </c>
      <c r="Q802" s="231"/>
      <c r="R802" s="232">
        <v>10709</v>
      </c>
      <c r="S802" s="233">
        <v>3206</v>
      </c>
      <c r="T802" s="233">
        <f>13914+1</f>
        <v>13915</v>
      </c>
    </row>
    <row r="803" spans="1:20">
      <c r="A803" s="226">
        <v>98641</v>
      </c>
      <c r="B803" s="227" t="s">
        <v>1508</v>
      </c>
      <c r="C803" s="87">
        <v>2.965E-4</v>
      </c>
      <c r="D803" s="87">
        <v>3.0019999999999998E-4</v>
      </c>
      <c r="E803" s="231">
        <v>452970</v>
      </c>
      <c r="F803" s="231"/>
      <c r="G803" s="232">
        <v>26095</v>
      </c>
      <c r="H803" s="220">
        <v>109981</v>
      </c>
      <c r="I803" s="232">
        <v>64690</v>
      </c>
      <c r="J803" s="231">
        <v>3407</v>
      </c>
      <c r="K803" s="220">
        <f t="shared" si="25"/>
        <v>204173</v>
      </c>
      <c r="L803" s="231"/>
      <c r="M803" s="232">
        <v>12822</v>
      </c>
      <c r="N803" s="232">
        <v>0</v>
      </c>
      <c r="O803" s="231">
        <v>7840</v>
      </c>
      <c r="P803" s="220">
        <f t="shared" si="26"/>
        <v>20662</v>
      </c>
      <c r="Q803" s="231"/>
      <c r="R803" s="232">
        <v>152651</v>
      </c>
      <c r="S803" s="233">
        <v>-183</v>
      </c>
      <c r="T803" s="233">
        <v>152468</v>
      </c>
    </row>
    <row r="804" spans="1:20">
      <c r="A804" s="226">
        <v>98701</v>
      </c>
      <c r="B804" s="227" t="s">
        <v>1509</v>
      </c>
      <c r="C804" s="87">
        <v>1.1333999999999999E-3</v>
      </c>
      <c r="D804" s="87">
        <v>1.1793000000000001E-3</v>
      </c>
      <c r="E804" s="231">
        <v>1731521</v>
      </c>
      <c r="F804" s="231"/>
      <c r="G804" s="232">
        <v>99752</v>
      </c>
      <c r="H804" s="220">
        <v>420415</v>
      </c>
      <c r="I804" s="232">
        <v>247285</v>
      </c>
      <c r="J804" s="231">
        <v>3431</v>
      </c>
      <c r="K804" s="220">
        <f t="shared" si="25"/>
        <v>770883</v>
      </c>
      <c r="L804" s="231"/>
      <c r="M804" s="232">
        <v>49014</v>
      </c>
      <c r="N804" s="232">
        <v>0</v>
      </c>
      <c r="O804" s="231">
        <v>66380</v>
      </c>
      <c r="P804" s="220">
        <f t="shared" si="26"/>
        <v>115394</v>
      </c>
      <c r="Q804" s="231"/>
      <c r="R804" s="232">
        <v>583524</v>
      </c>
      <c r="S804" s="233">
        <v>-25976</v>
      </c>
      <c r="T804" s="233">
        <v>557548</v>
      </c>
    </row>
    <row r="805" spans="1:20">
      <c r="A805" s="226">
        <v>98711</v>
      </c>
      <c r="B805" s="227" t="s">
        <v>1510</v>
      </c>
      <c r="C805" s="87">
        <v>1.8369999999999999E-4</v>
      </c>
      <c r="D805" s="87">
        <v>1.8039999999999999E-4</v>
      </c>
      <c r="E805" s="231">
        <v>280643</v>
      </c>
      <c r="F805" s="231"/>
      <c r="G805" s="232">
        <v>16168</v>
      </c>
      <c r="H805" s="220">
        <v>68140</v>
      </c>
      <c r="I805" s="232">
        <v>40080</v>
      </c>
      <c r="J805" s="231">
        <v>1238</v>
      </c>
      <c r="K805" s="220">
        <f t="shared" si="25"/>
        <v>125626</v>
      </c>
      <c r="L805" s="231"/>
      <c r="M805" s="232">
        <v>7944</v>
      </c>
      <c r="N805" s="232">
        <v>0</v>
      </c>
      <c r="O805" s="231">
        <v>16374</v>
      </c>
      <c r="P805" s="220">
        <f t="shared" si="26"/>
        <v>24318</v>
      </c>
      <c r="Q805" s="231"/>
      <c r="R805" s="232">
        <v>94577</v>
      </c>
      <c r="S805" s="233">
        <v>-4053</v>
      </c>
      <c r="T805" s="233">
        <v>90524</v>
      </c>
    </row>
    <row r="806" spans="1:20">
      <c r="A806" s="226">
        <v>98717</v>
      </c>
      <c r="B806" s="227" t="s">
        <v>1511</v>
      </c>
      <c r="C806" s="87">
        <v>2.1100000000000001E-5</v>
      </c>
      <c r="D806" s="87">
        <v>1.8600000000000001E-5</v>
      </c>
      <c r="E806" s="231">
        <v>32235</v>
      </c>
      <c r="F806" s="231"/>
      <c r="G806" s="232">
        <v>1857</v>
      </c>
      <c r="H806" s="220">
        <v>7827</v>
      </c>
      <c r="I806" s="232">
        <v>4604</v>
      </c>
      <c r="J806" s="231">
        <v>1439</v>
      </c>
      <c r="K806" s="220">
        <f t="shared" si="25"/>
        <v>15727</v>
      </c>
      <c r="L806" s="231"/>
      <c r="M806" s="232">
        <v>912</v>
      </c>
      <c r="N806" s="232">
        <v>0</v>
      </c>
      <c r="O806" s="231">
        <v>534</v>
      </c>
      <c r="P806" s="220">
        <f t="shared" si="26"/>
        <v>1446</v>
      </c>
      <c r="Q806" s="231"/>
      <c r="R806" s="232">
        <v>10863</v>
      </c>
      <c r="S806" s="233">
        <v>247</v>
      </c>
      <c r="T806" s="233">
        <v>11110</v>
      </c>
    </row>
    <row r="807" spans="1:20">
      <c r="A807" s="226">
        <v>98801</v>
      </c>
      <c r="B807" s="227" t="s">
        <v>1512</v>
      </c>
      <c r="C807" s="87">
        <v>2.2859E-3</v>
      </c>
      <c r="D807" s="87">
        <v>2.1771999999999998E-3</v>
      </c>
      <c r="E807" s="231">
        <v>3492222</v>
      </c>
      <c r="F807" s="231"/>
      <c r="G807" s="232">
        <v>201184</v>
      </c>
      <c r="H807" s="220">
        <v>847916</v>
      </c>
      <c r="I807" s="232">
        <v>498738</v>
      </c>
      <c r="J807" s="231">
        <v>146068</v>
      </c>
      <c r="K807" s="220">
        <f t="shared" si="25"/>
        <v>1693906</v>
      </c>
      <c r="L807" s="231"/>
      <c r="M807" s="232">
        <v>98854</v>
      </c>
      <c r="N807" s="232">
        <v>0</v>
      </c>
      <c r="O807" s="231">
        <v>0</v>
      </c>
      <c r="P807" s="220">
        <f t="shared" si="26"/>
        <v>98854</v>
      </c>
      <c r="Q807" s="231"/>
      <c r="R807" s="232">
        <v>1176882</v>
      </c>
      <c r="S807" s="233">
        <v>55567</v>
      </c>
      <c r="T807" s="233">
        <v>1232449</v>
      </c>
    </row>
    <row r="808" spans="1:20">
      <c r="A808" s="226">
        <v>98811</v>
      </c>
      <c r="B808" s="227" t="s">
        <v>1513</v>
      </c>
      <c r="C808" s="87">
        <v>6.5160000000000001E-4</v>
      </c>
      <c r="D808" s="87">
        <v>7.1120000000000005E-4</v>
      </c>
      <c r="E808" s="231">
        <v>995464</v>
      </c>
      <c r="F808" s="231"/>
      <c r="G808" s="232">
        <v>57348</v>
      </c>
      <c r="H808" s="220">
        <v>241700</v>
      </c>
      <c r="I808" s="232">
        <v>142166</v>
      </c>
      <c r="J808" s="231">
        <v>16975</v>
      </c>
      <c r="K808" s="220">
        <f t="shared" si="25"/>
        <v>458189</v>
      </c>
      <c r="L808" s="231"/>
      <c r="M808" s="232">
        <v>28178</v>
      </c>
      <c r="N808" s="232">
        <v>0</v>
      </c>
      <c r="O808" s="231">
        <v>46894</v>
      </c>
      <c r="P808" s="220">
        <f t="shared" si="26"/>
        <v>75072</v>
      </c>
      <c r="Q808" s="231"/>
      <c r="R808" s="232">
        <v>335472</v>
      </c>
      <c r="S808" s="233">
        <v>-312</v>
      </c>
      <c r="T808" s="233">
        <f>335161-1</f>
        <v>335160</v>
      </c>
    </row>
    <row r="809" spans="1:20">
      <c r="A809" s="226">
        <v>98817</v>
      </c>
      <c r="B809" s="227" t="s">
        <v>1514</v>
      </c>
      <c r="C809" s="87">
        <v>2.5199999999999999E-5</v>
      </c>
      <c r="D809" s="87">
        <v>2.34E-5</v>
      </c>
      <c r="E809" s="231">
        <v>38499</v>
      </c>
      <c r="F809" s="231"/>
      <c r="G809" s="232">
        <v>2218</v>
      </c>
      <c r="H809" s="220">
        <v>9347</v>
      </c>
      <c r="I809" s="232">
        <v>5498</v>
      </c>
      <c r="J809" s="231">
        <v>3862</v>
      </c>
      <c r="K809" s="220">
        <f t="shared" si="25"/>
        <v>20925</v>
      </c>
      <c r="L809" s="231"/>
      <c r="M809" s="232">
        <v>1090</v>
      </c>
      <c r="N809" s="232">
        <v>0</v>
      </c>
      <c r="O809" s="231">
        <v>2179</v>
      </c>
      <c r="P809" s="220">
        <f t="shared" si="26"/>
        <v>3269</v>
      </c>
      <c r="Q809" s="231"/>
      <c r="R809" s="232">
        <v>12974</v>
      </c>
      <c r="S809" s="233">
        <v>-1216</v>
      </c>
      <c r="T809" s="233">
        <v>11758</v>
      </c>
    </row>
    <row r="810" spans="1:20">
      <c r="A810" s="226">
        <v>98901</v>
      </c>
      <c r="B810" s="227" t="s">
        <v>1515</v>
      </c>
      <c r="C810" s="87">
        <v>3.5050000000000001E-4</v>
      </c>
      <c r="D810" s="87">
        <v>3.392E-4</v>
      </c>
      <c r="E810" s="231">
        <v>535467</v>
      </c>
      <c r="F810" s="231"/>
      <c r="G810" s="232">
        <v>30848</v>
      </c>
      <c r="H810" s="220">
        <v>130012</v>
      </c>
      <c r="I810" s="232">
        <v>76472</v>
      </c>
      <c r="J810" s="231">
        <v>7505</v>
      </c>
      <c r="K810" s="220">
        <f t="shared" si="25"/>
        <v>244837</v>
      </c>
      <c r="L810" s="231"/>
      <c r="M810" s="232">
        <v>15157</v>
      </c>
      <c r="N810" s="232">
        <v>0</v>
      </c>
      <c r="O810" s="231">
        <v>2530</v>
      </c>
      <c r="P810" s="220">
        <f t="shared" si="26"/>
        <v>17687</v>
      </c>
      <c r="Q810" s="231"/>
      <c r="R810" s="232">
        <v>180453</v>
      </c>
      <c r="S810" s="233">
        <v>975</v>
      </c>
      <c r="T810" s="233">
        <v>181428</v>
      </c>
    </row>
    <row r="811" spans="1:20">
      <c r="A811" s="226">
        <v>98904</v>
      </c>
      <c r="B811" s="227" t="s">
        <v>1516</v>
      </c>
      <c r="C811" s="87">
        <v>2.7999999999999999E-6</v>
      </c>
      <c r="D811" s="87">
        <v>5.2000000000000002E-6</v>
      </c>
      <c r="E811" s="231">
        <v>4278</v>
      </c>
      <c r="F811" s="231"/>
      <c r="G811" s="232">
        <v>246</v>
      </c>
      <c r="H811" s="220">
        <v>1039</v>
      </c>
      <c r="I811" s="232">
        <v>611</v>
      </c>
      <c r="J811" s="231">
        <v>365</v>
      </c>
      <c r="K811" s="220">
        <f t="shared" si="25"/>
        <v>2261</v>
      </c>
      <c r="L811" s="231"/>
      <c r="M811" s="232">
        <v>121</v>
      </c>
      <c r="N811" s="232">
        <v>0</v>
      </c>
      <c r="O811" s="231">
        <v>1887</v>
      </c>
      <c r="P811" s="220">
        <f t="shared" si="26"/>
        <v>2008</v>
      </c>
      <c r="Q811" s="231"/>
      <c r="R811" s="232">
        <v>1442</v>
      </c>
      <c r="S811" s="233">
        <v>-315</v>
      </c>
      <c r="T811" s="233">
        <f>1126+1</f>
        <v>1127</v>
      </c>
    </row>
    <row r="812" spans="1:20">
      <c r="A812" s="226">
        <v>98911</v>
      </c>
      <c r="B812" s="227" t="s">
        <v>1517</v>
      </c>
      <c r="C812" s="87">
        <v>2.7900000000000001E-5</v>
      </c>
      <c r="D812" s="87">
        <v>2.8600000000000001E-5</v>
      </c>
      <c r="E812" s="231">
        <v>42623</v>
      </c>
      <c r="F812" s="231"/>
      <c r="G812" s="232">
        <v>2456</v>
      </c>
      <c r="H812" s="220">
        <v>10349</v>
      </c>
      <c r="I812" s="232">
        <v>6087</v>
      </c>
      <c r="J812" s="231">
        <v>12780</v>
      </c>
      <c r="K812" s="220">
        <f t="shared" si="25"/>
        <v>31672</v>
      </c>
      <c r="L812" s="231"/>
      <c r="M812" s="232">
        <v>1207</v>
      </c>
      <c r="N812" s="232">
        <v>0</v>
      </c>
      <c r="O812" s="231">
        <v>0</v>
      </c>
      <c r="P812" s="220">
        <f t="shared" si="26"/>
        <v>1207</v>
      </c>
      <c r="Q812" s="231"/>
      <c r="R812" s="232">
        <v>14364</v>
      </c>
      <c r="S812" s="233">
        <v>5565</v>
      </c>
      <c r="T812" s="233">
        <v>19929</v>
      </c>
    </row>
    <row r="813" spans="1:20">
      <c r="A813" s="226">
        <v>99001</v>
      </c>
      <c r="B813" s="227" t="s">
        <v>1518</v>
      </c>
      <c r="C813" s="87">
        <v>8.0949000000000004E-3</v>
      </c>
      <c r="D813" s="87">
        <v>7.8098999999999998E-3</v>
      </c>
      <c r="E813" s="231">
        <v>12366765</v>
      </c>
      <c r="F813" s="231"/>
      <c r="G813" s="232">
        <v>712440</v>
      </c>
      <c r="H813" s="220">
        <v>3002666</v>
      </c>
      <c r="I813" s="232">
        <v>1766145</v>
      </c>
      <c r="J813" s="231">
        <v>355732</v>
      </c>
      <c r="K813" s="220">
        <f t="shared" si="25"/>
        <v>5836983</v>
      </c>
      <c r="L813" s="231"/>
      <c r="M813" s="232">
        <v>350064</v>
      </c>
      <c r="N813" s="232">
        <v>0</v>
      </c>
      <c r="O813" s="231">
        <v>0</v>
      </c>
      <c r="P813" s="220">
        <f t="shared" si="26"/>
        <v>350064</v>
      </c>
      <c r="Q813" s="231"/>
      <c r="R813" s="232">
        <v>4167611</v>
      </c>
      <c r="S813" s="233">
        <v>186049</v>
      </c>
      <c r="T813" s="233">
        <v>4353660</v>
      </c>
    </row>
    <row r="814" spans="1:20">
      <c r="A814" s="226">
        <v>99011</v>
      </c>
      <c r="B814" s="227" t="s">
        <v>1519</v>
      </c>
      <c r="C814" s="87">
        <v>3.8736999999999999E-3</v>
      </c>
      <c r="D814" s="87">
        <v>3.9039000000000001E-3</v>
      </c>
      <c r="E814" s="231">
        <v>5917941</v>
      </c>
      <c r="F814" s="231"/>
      <c r="G814" s="232">
        <v>340928</v>
      </c>
      <c r="H814" s="220">
        <v>1436883</v>
      </c>
      <c r="I814" s="232">
        <v>845164</v>
      </c>
      <c r="J814" s="231">
        <v>0</v>
      </c>
      <c r="K814" s="220">
        <f t="shared" si="25"/>
        <v>2622975</v>
      </c>
      <c r="L814" s="231"/>
      <c r="M814" s="232">
        <v>167518</v>
      </c>
      <c r="N814" s="232">
        <v>0</v>
      </c>
      <c r="O814" s="231">
        <v>396289</v>
      </c>
      <c r="P814" s="220">
        <f t="shared" si="26"/>
        <v>563807</v>
      </c>
      <c r="Q814" s="231"/>
      <c r="R814" s="232">
        <v>1994351</v>
      </c>
      <c r="S814" s="233">
        <v>-212974</v>
      </c>
      <c r="T814" s="233">
        <v>1781377</v>
      </c>
    </row>
    <row r="815" spans="1:20">
      <c r="A815" s="226">
        <v>99013</v>
      </c>
      <c r="B815" s="227" t="s">
        <v>1520</v>
      </c>
      <c r="C815" s="87">
        <v>5.5999999999999999E-5</v>
      </c>
      <c r="D815" s="87">
        <v>6.02E-5</v>
      </c>
      <c r="E815" s="231">
        <v>85552</v>
      </c>
      <c r="F815" s="231"/>
      <c r="G815" s="232">
        <v>4929</v>
      </c>
      <c r="H815" s="220">
        <v>20773</v>
      </c>
      <c r="I815" s="232">
        <v>12218</v>
      </c>
      <c r="J815" s="231">
        <v>10</v>
      </c>
      <c r="K815" s="220">
        <f t="shared" si="25"/>
        <v>37930</v>
      </c>
      <c r="L815" s="231"/>
      <c r="M815" s="232">
        <v>2422</v>
      </c>
      <c r="N815" s="232">
        <v>0</v>
      </c>
      <c r="O815" s="231">
        <v>8046</v>
      </c>
      <c r="P815" s="220">
        <f t="shared" si="26"/>
        <v>10468</v>
      </c>
      <c r="Q815" s="231"/>
      <c r="R815" s="232">
        <v>28831</v>
      </c>
      <c r="S815" s="233">
        <v>-2790</v>
      </c>
      <c r="T815" s="233">
        <f>26042-1</f>
        <v>26041</v>
      </c>
    </row>
    <row r="816" spans="1:20">
      <c r="A816" s="226">
        <v>99014</v>
      </c>
      <c r="B816" s="227" t="s">
        <v>1521</v>
      </c>
      <c r="C816" s="87">
        <v>2.0100000000000001E-5</v>
      </c>
      <c r="D816" s="87">
        <v>2.4199999999999999E-5</v>
      </c>
      <c r="E816" s="231">
        <v>30707</v>
      </c>
      <c r="F816" s="231"/>
      <c r="G816" s="232">
        <v>1769</v>
      </c>
      <c r="H816" s="220">
        <v>7456</v>
      </c>
      <c r="I816" s="232">
        <v>4385</v>
      </c>
      <c r="J816" s="231">
        <v>12703</v>
      </c>
      <c r="K816" s="220">
        <f t="shared" si="25"/>
        <v>26313</v>
      </c>
      <c r="L816" s="231"/>
      <c r="M816" s="232">
        <v>869</v>
      </c>
      <c r="N816" s="232">
        <v>0</v>
      </c>
      <c r="O816" s="231">
        <v>0</v>
      </c>
      <c r="P816" s="220">
        <f t="shared" si="26"/>
        <v>869</v>
      </c>
      <c r="Q816" s="231"/>
      <c r="R816" s="232">
        <v>10348</v>
      </c>
      <c r="S816" s="233">
        <v>4335</v>
      </c>
      <c r="T816" s="233">
        <v>14683</v>
      </c>
    </row>
    <row r="817" spans="1:20">
      <c r="A817" s="226">
        <v>99017</v>
      </c>
      <c r="B817" s="227" t="s">
        <v>1522</v>
      </c>
      <c r="C817" s="87">
        <v>5.13E-5</v>
      </c>
      <c r="D817" s="87">
        <v>4.6999999999999997E-5</v>
      </c>
      <c r="E817" s="231">
        <v>78372</v>
      </c>
      <c r="F817" s="231"/>
      <c r="G817" s="232">
        <v>4515</v>
      </c>
      <c r="H817" s="220">
        <v>19029</v>
      </c>
      <c r="I817" s="232">
        <v>11193</v>
      </c>
      <c r="J817" s="231">
        <v>8072</v>
      </c>
      <c r="K817" s="220">
        <f t="shared" si="25"/>
        <v>42809</v>
      </c>
      <c r="L817" s="231"/>
      <c r="M817" s="232">
        <v>2218</v>
      </c>
      <c r="N817" s="232">
        <v>0</v>
      </c>
      <c r="O817" s="231">
        <v>3306</v>
      </c>
      <c r="P817" s="220">
        <f t="shared" si="26"/>
        <v>5524</v>
      </c>
      <c r="Q817" s="231"/>
      <c r="R817" s="232">
        <v>26411</v>
      </c>
      <c r="S817" s="233">
        <v>-629</v>
      </c>
      <c r="T817" s="233">
        <v>25782</v>
      </c>
    </row>
    <row r="818" spans="1:20">
      <c r="A818" s="226">
        <v>99021</v>
      </c>
      <c r="B818" s="227" t="s">
        <v>1523</v>
      </c>
      <c r="C818" s="87">
        <v>1.5249999999999999E-4</v>
      </c>
      <c r="D818" s="87">
        <v>1.3420000000000001E-4</v>
      </c>
      <c r="E818" s="231">
        <v>232978</v>
      </c>
      <c r="F818" s="231"/>
      <c r="G818" s="232">
        <v>13422</v>
      </c>
      <c r="H818" s="220">
        <v>56568</v>
      </c>
      <c r="I818" s="232">
        <v>33272</v>
      </c>
      <c r="J818" s="231">
        <v>11565</v>
      </c>
      <c r="K818" s="220">
        <f t="shared" si="25"/>
        <v>114827</v>
      </c>
      <c r="L818" s="231"/>
      <c r="M818" s="232">
        <v>6595</v>
      </c>
      <c r="N818" s="232">
        <v>0</v>
      </c>
      <c r="O818" s="231">
        <v>728</v>
      </c>
      <c r="P818" s="220">
        <f t="shared" si="26"/>
        <v>7323</v>
      </c>
      <c r="Q818" s="231"/>
      <c r="R818" s="232">
        <v>78514</v>
      </c>
      <c r="S818" s="233">
        <v>3978</v>
      </c>
      <c r="T818" s="233">
        <f>82491+1</f>
        <v>82492</v>
      </c>
    </row>
    <row r="819" spans="1:20">
      <c r="A819" s="226">
        <v>99022</v>
      </c>
      <c r="B819" s="227" t="s">
        <v>211</v>
      </c>
      <c r="C819" s="87">
        <v>1.08E-5</v>
      </c>
      <c r="D819" s="87">
        <v>1.1800000000000001E-5</v>
      </c>
      <c r="E819" s="231">
        <v>16499</v>
      </c>
      <c r="F819" s="231"/>
      <c r="G819" s="232">
        <v>951</v>
      </c>
      <c r="H819" s="220">
        <v>4006</v>
      </c>
      <c r="I819" s="232">
        <v>2356</v>
      </c>
      <c r="J819" s="231">
        <v>8944</v>
      </c>
      <c r="K819" s="220">
        <f t="shared" si="25"/>
        <v>16257</v>
      </c>
      <c r="L819" s="231"/>
      <c r="M819" s="232">
        <v>467</v>
      </c>
      <c r="N819" s="232">
        <v>0</v>
      </c>
      <c r="O819" s="231">
        <v>132</v>
      </c>
      <c r="P819" s="220">
        <f t="shared" si="26"/>
        <v>599</v>
      </c>
      <c r="Q819" s="231"/>
      <c r="R819" s="232">
        <v>5560</v>
      </c>
      <c r="S819" s="233">
        <v>2896</v>
      </c>
      <c r="T819" s="233">
        <v>8456</v>
      </c>
    </row>
    <row r="820" spans="1:20">
      <c r="A820" s="226">
        <v>99031</v>
      </c>
      <c r="B820" s="227" t="s">
        <v>1524</v>
      </c>
      <c r="C820" s="87">
        <v>1.518E-4</v>
      </c>
      <c r="D820" s="87">
        <v>1.5970000000000001E-4</v>
      </c>
      <c r="E820" s="231">
        <v>231908</v>
      </c>
      <c r="F820" s="231"/>
      <c r="G820" s="232">
        <v>13360</v>
      </c>
      <c r="H820" s="220">
        <v>56308</v>
      </c>
      <c r="I820" s="232">
        <v>33120</v>
      </c>
      <c r="J820" s="231">
        <v>2845</v>
      </c>
      <c r="K820" s="220">
        <f t="shared" si="25"/>
        <v>105633</v>
      </c>
      <c r="L820" s="231"/>
      <c r="M820" s="232">
        <v>6565</v>
      </c>
      <c r="N820" s="232">
        <v>0</v>
      </c>
      <c r="O820" s="231">
        <v>23907</v>
      </c>
      <c r="P820" s="220">
        <f t="shared" si="26"/>
        <v>30472</v>
      </c>
      <c r="Q820" s="231"/>
      <c r="R820" s="232">
        <v>78153</v>
      </c>
      <c r="S820" s="233">
        <v>-11727</v>
      </c>
      <c r="T820" s="233">
        <v>66426</v>
      </c>
    </row>
    <row r="821" spans="1:20">
      <c r="A821" s="226">
        <v>99041</v>
      </c>
      <c r="B821" s="227" t="s">
        <v>1525</v>
      </c>
      <c r="C821" s="87">
        <v>6.3500000000000004E-4</v>
      </c>
      <c r="D821" s="87">
        <v>5.6289999999999997E-4</v>
      </c>
      <c r="E821" s="231">
        <v>970104</v>
      </c>
      <c r="F821" s="231"/>
      <c r="G821" s="232">
        <v>55887</v>
      </c>
      <c r="H821" s="220">
        <v>235543</v>
      </c>
      <c r="I821" s="232">
        <v>138544</v>
      </c>
      <c r="J821" s="231">
        <v>52920</v>
      </c>
      <c r="K821" s="220">
        <f t="shared" si="25"/>
        <v>482894</v>
      </c>
      <c r="L821" s="231"/>
      <c r="M821" s="232">
        <v>27461</v>
      </c>
      <c r="N821" s="232">
        <v>0</v>
      </c>
      <c r="O821" s="231">
        <v>0</v>
      </c>
      <c r="P821" s="220">
        <f t="shared" si="26"/>
        <v>27461</v>
      </c>
      <c r="Q821" s="231"/>
      <c r="R821" s="232">
        <v>326926</v>
      </c>
      <c r="S821" s="233">
        <v>28997</v>
      </c>
      <c r="T821" s="233">
        <v>355923</v>
      </c>
    </row>
    <row r="822" spans="1:20">
      <c r="A822" s="226">
        <v>99047</v>
      </c>
      <c r="B822" s="227" t="s">
        <v>1526</v>
      </c>
      <c r="C822" s="87">
        <v>1.42E-5</v>
      </c>
      <c r="D822" s="87">
        <v>9.2E-6</v>
      </c>
      <c r="E822" s="231">
        <v>21694</v>
      </c>
      <c r="F822" s="231"/>
      <c r="G822" s="232">
        <v>1250</v>
      </c>
      <c r="H822" s="220">
        <v>5267</v>
      </c>
      <c r="I822" s="232">
        <v>3098</v>
      </c>
      <c r="J822" s="231">
        <v>6410</v>
      </c>
      <c r="K822" s="220">
        <f t="shared" si="25"/>
        <v>16025</v>
      </c>
      <c r="L822" s="231"/>
      <c r="M822" s="232">
        <v>614</v>
      </c>
      <c r="N822" s="232">
        <v>0</v>
      </c>
      <c r="O822" s="231">
        <v>0</v>
      </c>
      <c r="P822" s="220">
        <f t="shared" si="26"/>
        <v>614</v>
      </c>
      <c r="Q822" s="231"/>
      <c r="R822" s="232">
        <v>7311</v>
      </c>
      <c r="S822" s="233">
        <v>2345</v>
      </c>
      <c r="T822" s="233">
        <f>9655+1</f>
        <v>9656</v>
      </c>
    </row>
    <row r="823" spans="1:20">
      <c r="A823" s="226">
        <v>99051</v>
      </c>
      <c r="B823" s="227" t="s">
        <v>1527</v>
      </c>
      <c r="C823" s="87">
        <v>3.5359999999999998E-4</v>
      </c>
      <c r="D823" s="87">
        <v>3.3349999999999997E-4</v>
      </c>
      <c r="E823" s="231">
        <v>540203</v>
      </c>
      <c r="F823" s="231"/>
      <c r="G823" s="232">
        <v>31121</v>
      </c>
      <c r="H823" s="220">
        <v>131162</v>
      </c>
      <c r="I823" s="232">
        <v>77148</v>
      </c>
      <c r="J823" s="231">
        <v>11433</v>
      </c>
      <c r="K823" s="220">
        <f t="shared" si="25"/>
        <v>250864</v>
      </c>
      <c r="L823" s="231"/>
      <c r="M823" s="232">
        <v>15291</v>
      </c>
      <c r="N823" s="232">
        <v>0</v>
      </c>
      <c r="O823" s="231">
        <v>2536</v>
      </c>
      <c r="P823" s="220">
        <f t="shared" si="26"/>
        <v>17827</v>
      </c>
      <c r="Q823" s="231"/>
      <c r="R823" s="232">
        <v>182049</v>
      </c>
      <c r="S823" s="233">
        <v>4776</v>
      </c>
      <c r="T823" s="233">
        <f>186824+1</f>
        <v>186825</v>
      </c>
    </row>
    <row r="824" spans="1:20">
      <c r="A824" s="226">
        <v>99061</v>
      </c>
      <c r="B824" s="227" t="s">
        <v>1528</v>
      </c>
      <c r="C824" s="87">
        <v>8.1000000000000004E-6</v>
      </c>
      <c r="D824" s="87">
        <v>8.3999999999999992E-6</v>
      </c>
      <c r="E824" s="231">
        <v>12375</v>
      </c>
      <c r="F824" s="231"/>
      <c r="G824" s="232">
        <v>713</v>
      </c>
      <c r="H824" s="220">
        <v>3005</v>
      </c>
      <c r="I824" s="232">
        <v>1767</v>
      </c>
      <c r="J824" s="231">
        <v>7276</v>
      </c>
      <c r="K824" s="220">
        <f t="shared" si="25"/>
        <v>12761</v>
      </c>
      <c r="L824" s="231"/>
      <c r="M824" s="232">
        <v>350</v>
      </c>
      <c r="N824" s="232">
        <v>0</v>
      </c>
      <c r="O824" s="231">
        <v>0</v>
      </c>
      <c r="P824" s="220">
        <f t="shared" si="26"/>
        <v>350</v>
      </c>
      <c r="Q824" s="231"/>
      <c r="R824" s="232">
        <v>4170</v>
      </c>
      <c r="S824" s="233">
        <v>2674</v>
      </c>
      <c r="T824" s="233">
        <v>6844</v>
      </c>
    </row>
    <row r="825" spans="1:20">
      <c r="A825" s="226">
        <v>99071</v>
      </c>
      <c r="B825" s="227" t="s">
        <v>1529</v>
      </c>
      <c r="C825" s="87">
        <v>3.04E-5</v>
      </c>
      <c r="D825" s="87">
        <v>3.0499999999999999E-5</v>
      </c>
      <c r="E825" s="231">
        <v>46443</v>
      </c>
      <c r="F825" s="231"/>
      <c r="G825" s="232">
        <v>2676</v>
      </c>
      <c r="H825" s="220">
        <v>11277</v>
      </c>
      <c r="I825" s="232">
        <v>6633</v>
      </c>
      <c r="J825" s="231">
        <v>818</v>
      </c>
      <c r="K825" s="220">
        <f t="shared" si="25"/>
        <v>21404</v>
      </c>
      <c r="L825" s="231"/>
      <c r="M825" s="232">
        <v>1315</v>
      </c>
      <c r="N825" s="232">
        <v>0</v>
      </c>
      <c r="O825" s="231">
        <v>2093</v>
      </c>
      <c r="P825" s="220">
        <f t="shared" si="26"/>
        <v>3408</v>
      </c>
      <c r="Q825" s="231"/>
      <c r="R825" s="232">
        <v>15651</v>
      </c>
      <c r="S825" s="233">
        <v>-1107</v>
      </c>
      <c r="T825" s="233">
        <v>14544</v>
      </c>
    </row>
    <row r="826" spans="1:20">
      <c r="A826" s="226">
        <v>99081</v>
      </c>
      <c r="B826" s="227" t="s">
        <v>1530</v>
      </c>
      <c r="C826" s="87">
        <v>1.1E-5</v>
      </c>
      <c r="D826" s="87">
        <v>2.9600000000000001E-5</v>
      </c>
      <c r="E826" s="231">
        <v>16805</v>
      </c>
      <c r="F826" s="231"/>
      <c r="G826" s="232">
        <v>968</v>
      </c>
      <c r="H826" s="220">
        <v>4081</v>
      </c>
      <c r="I826" s="232">
        <v>2400</v>
      </c>
      <c r="J826" s="231">
        <v>3587</v>
      </c>
      <c r="K826" s="220">
        <f t="shared" si="25"/>
        <v>11036</v>
      </c>
      <c r="L826" s="231"/>
      <c r="M826" s="232">
        <v>476</v>
      </c>
      <c r="N826" s="232">
        <v>0</v>
      </c>
      <c r="O826" s="231">
        <v>13215</v>
      </c>
      <c r="P826" s="220">
        <f t="shared" si="26"/>
        <v>13691</v>
      </c>
      <c r="Q826" s="231"/>
      <c r="R826" s="232">
        <v>5663</v>
      </c>
      <c r="S826" s="233">
        <v>-2898</v>
      </c>
      <c r="T826" s="233">
        <f>2766-1</f>
        <v>2765</v>
      </c>
    </row>
    <row r="827" spans="1:20">
      <c r="A827" s="226">
        <v>99091</v>
      </c>
      <c r="B827" s="227" t="s">
        <v>1531</v>
      </c>
      <c r="C827" s="87">
        <v>3.9999999999999998E-6</v>
      </c>
      <c r="D827" s="87">
        <v>4.1999999999999996E-6</v>
      </c>
      <c r="E827" s="231">
        <v>6111</v>
      </c>
      <c r="F827" s="231"/>
      <c r="G827" s="232">
        <v>352</v>
      </c>
      <c r="H827" s="220">
        <v>1484</v>
      </c>
      <c r="I827" s="232">
        <v>873</v>
      </c>
      <c r="J827" s="231">
        <v>4105</v>
      </c>
      <c r="K827" s="220">
        <f t="shared" si="25"/>
        <v>6814</v>
      </c>
      <c r="L827" s="231"/>
      <c r="M827" s="232">
        <v>173</v>
      </c>
      <c r="N827" s="232">
        <v>0</v>
      </c>
      <c r="O827" s="231">
        <v>3232</v>
      </c>
      <c r="P827" s="220">
        <f t="shared" si="26"/>
        <v>3405</v>
      </c>
      <c r="Q827" s="231"/>
      <c r="R827" s="232">
        <v>2059</v>
      </c>
      <c r="S827" s="233">
        <v>-1926</v>
      </c>
      <c r="T827" s="233">
        <f>134-1</f>
        <v>133</v>
      </c>
    </row>
    <row r="828" spans="1:20">
      <c r="A828" s="226">
        <v>99101</v>
      </c>
      <c r="B828" s="227" t="s">
        <v>1532</v>
      </c>
      <c r="C828" s="87">
        <v>2.1724000000000001E-3</v>
      </c>
      <c r="D828" s="87">
        <v>2.0087999999999998E-3</v>
      </c>
      <c r="E828" s="231">
        <v>3318825</v>
      </c>
      <c r="F828" s="231"/>
      <c r="G828" s="232">
        <v>191195</v>
      </c>
      <c r="H828" s="220">
        <v>805815</v>
      </c>
      <c r="I828" s="232">
        <v>473974</v>
      </c>
      <c r="J828" s="231">
        <v>48335</v>
      </c>
      <c r="K828" s="220">
        <f t="shared" si="25"/>
        <v>1519319</v>
      </c>
      <c r="L828" s="231"/>
      <c r="M828" s="232">
        <v>93945</v>
      </c>
      <c r="N828" s="232">
        <v>0</v>
      </c>
      <c r="O828" s="231">
        <v>44900</v>
      </c>
      <c r="P828" s="220">
        <f t="shared" si="26"/>
        <v>138845</v>
      </c>
      <c r="Q828" s="231"/>
      <c r="R828" s="232">
        <v>1118447</v>
      </c>
      <c r="S828" s="233">
        <v>-14151</v>
      </c>
      <c r="T828" s="233">
        <v>1104296</v>
      </c>
    </row>
    <row r="829" spans="1:20">
      <c r="A829" s="226">
        <v>99104</v>
      </c>
      <c r="B829" s="227" t="s">
        <v>1533</v>
      </c>
      <c r="C829" s="87">
        <v>3.3500000000000001E-5</v>
      </c>
      <c r="D829" s="87">
        <v>3.4799999999999999E-5</v>
      </c>
      <c r="E829" s="231">
        <v>51179</v>
      </c>
      <c r="F829" s="231"/>
      <c r="G829" s="232">
        <v>2948</v>
      </c>
      <c r="H829" s="220">
        <v>12426</v>
      </c>
      <c r="I829" s="232">
        <v>7309</v>
      </c>
      <c r="J829" s="231">
        <v>15217</v>
      </c>
      <c r="K829" s="220">
        <f t="shared" si="25"/>
        <v>37900</v>
      </c>
      <c r="L829" s="231"/>
      <c r="M829" s="232">
        <v>1449</v>
      </c>
      <c r="N829" s="232">
        <v>0</v>
      </c>
      <c r="O829" s="231">
        <v>0</v>
      </c>
      <c r="P829" s="220">
        <f t="shared" si="26"/>
        <v>1449</v>
      </c>
      <c r="Q829" s="231"/>
      <c r="R829" s="232">
        <v>17247</v>
      </c>
      <c r="S829" s="233">
        <v>6167</v>
      </c>
      <c r="T829" s="233">
        <f>23415-1</f>
        <v>23414</v>
      </c>
    </row>
    <row r="830" spans="1:20">
      <c r="A830" s="226">
        <v>99109</v>
      </c>
      <c r="B830" s="227" t="s">
        <v>1534</v>
      </c>
      <c r="C830" s="87">
        <v>1.2339999999999999E-4</v>
      </c>
      <c r="D830" s="87">
        <v>1.1849999999999999E-4</v>
      </c>
      <c r="E830" s="231">
        <v>188521</v>
      </c>
      <c r="F830" s="231"/>
      <c r="G830" s="232">
        <v>10861</v>
      </c>
      <c r="H830" s="220">
        <v>45773</v>
      </c>
      <c r="I830" s="232">
        <v>26923</v>
      </c>
      <c r="J830" s="231">
        <v>6454</v>
      </c>
      <c r="K830" s="220">
        <f t="shared" si="25"/>
        <v>90011</v>
      </c>
      <c r="L830" s="231"/>
      <c r="M830" s="232">
        <v>5336</v>
      </c>
      <c r="N830" s="232">
        <v>0</v>
      </c>
      <c r="O830" s="231">
        <v>14208</v>
      </c>
      <c r="P830" s="220">
        <f t="shared" si="26"/>
        <v>19544</v>
      </c>
      <c r="Q830" s="231"/>
      <c r="R830" s="232">
        <v>63532</v>
      </c>
      <c r="S830" s="233">
        <v>-5391</v>
      </c>
      <c r="T830" s="233">
        <f>58140+1</f>
        <v>58141</v>
      </c>
    </row>
    <row r="831" spans="1:20">
      <c r="A831" s="226">
        <v>99110</v>
      </c>
      <c r="B831" s="227" t="s">
        <v>1535</v>
      </c>
      <c r="C831" s="87">
        <v>1.7670000000000001E-4</v>
      </c>
      <c r="D831" s="87">
        <v>1.8369999999999999E-4</v>
      </c>
      <c r="E831" s="231">
        <v>269949</v>
      </c>
      <c r="F831" s="231"/>
      <c r="G831" s="232">
        <v>15552</v>
      </c>
      <c r="H831" s="220">
        <v>65544</v>
      </c>
      <c r="I831" s="232">
        <v>38552</v>
      </c>
      <c r="J831" s="231">
        <v>69046</v>
      </c>
      <c r="K831" s="220">
        <f t="shared" si="25"/>
        <v>188694</v>
      </c>
      <c r="L831" s="231"/>
      <c r="M831" s="232">
        <v>7641</v>
      </c>
      <c r="N831" s="232">
        <v>0</v>
      </c>
      <c r="O831" s="231">
        <v>0</v>
      </c>
      <c r="P831" s="220">
        <f t="shared" si="26"/>
        <v>7641</v>
      </c>
      <c r="Q831" s="231"/>
      <c r="R831" s="232">
        <v>90973</v>
      </c>
      <c r="S831" s="233">
        <v>27602</v>
      </c>
      <c r="T831" s="233">
        <v>118575</v>
      </c>
    </row>
    <row r="832" spans="1:20">
      <c r="A832" s="226">
        <v>99111</v>
      </c>
      <c r="B832" s="227" t="s">
        <v>1536</v>
      </c>
      <c r="C832" s="87">
        <v>1.2618E-3</v>
      </c>
      <c r="D832" s="87">
        <v>1.2757000000000001E-3</v>
      </c>
      <c r="E832" s="231">
        <v>1927681</v>
      </c>
      <c r="F832" s="231"/>
      <c r="G832" s="232">
        <v>111052</v>
      </c>
      <c r="H832" s="220">
        <v>468043</v>
      </c>
      <c r="I832" s="232">
        <v>275300</v>
      </c>
      <c r="J832" s="231">
        <v>0</v>
      </c>
      <c r="K832" s="220">
        <f t="shared" si="25"/>
        <v>854395</v>
      </c>
      <c r="L832" s="231"/>
      <c r="M832" s="232">
        <v>54567</v>
      </c>
      <c r="N832" s="232">
        <v>0</v>
      </c>
      <c r="O832" s="231">
        <v>143900</v>
      </c>
      <c r="P832" s="220">
        <f t="shared" si="26"/>
        <v>198467</v>
      </c>
      <c r="Q832" s="231"/>
      <c r="R832" s="232">
        <v>649630</v>
      </c>
      <c r="S832" s="233">
        <v>-68554</v>
      </c>
      <c r="T832" s="233">
        <v>581076</v>
      </c>
    </row>
    <row r="833" spans="1:20">
      <c r="A833" s="226">
        <v>99201</v>
      </c>
      <c r="B833" s="227" t="s">
        <v>1537</v>
      </c>
      <c r="C833" s="87">
        <v>3.3297199999999999E-2</v>
      </c>
      <c r="D833" s="87">
        <v>3.22145E-2</v>
      </c>
      <c r="E833" s="231">
        <v>50868898</v>
      </c>
      <c r="F833" s="231"/>
      <c r="G833" s="232">
        <v>2930520</v>
      </c>
      <c r="H833" s="220">
        <v>12351030</v>
      </c>
      <c r="I833" s="232">
        <v>7264783</v>
      </c>
      <c r="J833" s="231">
        <v>1320745</v>
      </c>
      <c r="K833" s="220">
        <f t="shared" si="25"/>
        <v>23867078</v>
      </c>
      <c r="L833" s="231"/>
      <c r="M833" s="232">
        <v>1439937</v>
      </c>
      <c r="N833" s="232">
        <v>0</v>
      </c>
      <c r="O833" s="231">
        <v>241517</v>
      </c>
      <c r="P833" s="220">
        <f t="shared" si="26"/>
        <v>1681454</v>
      </c>
      <c r="Q833" s="231"/>
      <c r="R833" s="232">
        <v>17142864</v>
      </c>
      <c r="S833" s="233">
        <v>242815</v>
      </c>
      <c r="T833" s="233">
        <v>17385679</v>
      </c>
    </row>
    <row r="834" spans="1:20">
      <c r="A834" s="226">
        <v>99202</v>
      </c>
      <c r="B834" s="227" t="s">
        <v>1538</v>
      </c>
      <c r="C834" s="87">
        <v>2.5855000000000001E-3</v>
      </c>
      <c r="D834" s="87">
        <v>2.5138000000000001E-3</v>
      </c>
      <c r="E834" s="231">
        <v>3949928</v>
      </c>
      <c r="F834" s="231"/>
      <c r="G834" s="232">
        <v>227552</v>
      </c>
      <c r="H834" s="220">
        <v>959048</v>
      </c>
      <c r="I834" s="232">
        <v>564104</v>
      </c>
      <c r="J834" s="231">
        <v>0</v>
      </c>
      <c r="K834" s="220">
        <f t="shared" si="25"/>
        <v>1750704</v>
      </c>
      <c r="L834" s="231"/>
      <c r="M834" s="232">
        <v>111810</v>
      </c>
      <c r="N834" s="232">
        <v>0</v>
      </c>
      <c r="O834" s="231">
        <v>184130</v>
      </c>
      <c r="P834" s="220">
        <f t="shared" si="26"/>
        <v>295940</v>
      </c>
      <c r="Q834" s="231"/>
      <c r="R834" s="232">
        <v>1331129</v>
      </c>
      <c r="S834" s="233">
        <v>-73084</v>
      </c>
      <c r="T834" s="233">
        <v>1258045</v>
      </c>
    </row>
    <row r="835" spans="1:20">
      <c r="A835" s="226">
        <v>99203</v>
      </c>
      <c r="B835" s="227" t="s">
        <v>1539</v>
      </c>
      <c r="C835" s="87">
        <v>3.0410000000000002E-4</v>
      </c>
      <c r="D835" s="87">
        <v>3.1990000000000002E-4</v>
      </c>
      <c r="E835" s="231">
        <v>464581</v>
      </c>
      <c r="F835" s="231"/>
      <c r="G835" s="232">
        <v>26764</v>
      </c>
      <c r="H835" s="220">
        <v>112801</v>
      </c>
      <c r="I835" s="232">
        <v>66349</v>
      </c>
      <c r="J835" s="231">
        <v>24433</v>
      </c>
      <c r="K835" s="220">
        <f t="shared" si="25"/>
        <v>230347</v>
      </c>
      <c r="L835" s="231"/>
      <c r="M835" s="232">
        <v>13151</v>
      </c>
      <c r="N835" s="232">
        <v>0</v>
      </c>
      <c r="O835" s="231">
        <v>20730</v>
      </c>
      <c r="P835" s="220">
        <f t="shared" si="26"/>
        <v>33881</v>
      </c>
      <c r="Q835" s="231"/>
      <c r="R835" s="232">
        <v>156564</v>
      </c>
      <c r="S835" s="233">
        <v>11213</v>
      </c>
      <c r="T835" s="233">
        <v>167777</v>
      </c>
    </row>
    <row r="836" spans="1:20">
      <c r="A836" s="226">
        <v>99204</v>
      </c>
      <c r="B836" s="227" t="s">
        <v>1540</v>
      </c>
      <c r="C836" s="87">
        <v>8.3549999999999998E-4</v>
      </c>
      <c r="D836" s="87">
        <v>7.4910000000000005E-4</v>
      </c>
      <c r="E836" s="231">
        <v>1276413</v>
      </c>
      <c r="F836" s="231"/>
      <c r="G836" s="232">
        <v>73533</v>
      </c>
      <c r="H836" s="220">
        <v>309914</v>
      </c>
      <c r="I836" s="232">
        <v>182289</v>
      </c>
      <c r="J836" s="231">
        <v>108607</v>
      </c>
      <c r="K836" s="220">
        <f t="shared" si="25"/>
        <v>674343</v>
      </c>
      <c r="L836" s="231"/>
      <c r="M836" s="232">
        <v>36131</v>
      </c>
      <c r="N836" s="232">
        <v>0</v>
      </c>
      <c r="O836" s="231">
        <v>0</v>
      </c>
      <c r="P836" s="220">
        <f t="shared" si="26"/>
        <v>36131</v>
      </c>
      <c r="Q836" s="231"/>
      <c r="R836" s="232">
        <v>430152</v>
      </c>
      <c r="S836" s="233">
        <v>37657</v>
      </c>
      <c r="T836" s="233">
        <v>467809</v>
      </c>
    </row>
    <row r="837" spans="1:20">
      <c r="A837" s="226">
        <v>99206</v>
      </c>
      <c r="B837" s="227" t="s">
        <v>1541</v>
      </c>
      <c r="C837" s="87">
        <v>1.6957999999999999E-3</v>
      </c>
      <c r="D837" s="87">
        <v>1.6665E-3</v>
      </c>
      <c r="E837" s="231">
        <v>2590713</v>
      </c>
      <c r="F837" s="231"/>
      <c r="G837" s="232">
        <v>149249</v>
      </c>
      <c r="H837" s="220">
        <v>629028</v>
      </c>
      <c r="I837" s="232">
        <v>369990</v>
      </c>
      <c r="J837" s="231">
        <v>641271</v>
      </c>
      <c r="K837" s="220">
        <f t="shared" si="25"/>
        <v>1789538</v>
      </c>
      <c r="L837" s="231"/>
      <c r="M837" s="232">
        <v>73335</v>
      </c>
      <c r="N837" s="232">
        <v>0</v>
      </c>
      <c r="O837" s="231">
        <v>6741</v>
      </c>
      <c r="P837" s="220">
        <f t="shared" si="26"/>
        <v>80076</v>
      </c>
      <c r="Q837" s="231"/>
      <c r="R837" s="232">
        <v>873072</v>
      </c>
      <c r="S837" s="233">
        <v>209066</v>
      </c>
      <c r="T837" s="233">
        <f>1082139-1</f>
        <v>1082138</v>
      </c>
    </row>
    <row r="838" spans="1:20">
      <c r="A838" s="226">
        <v>99207</v>
      </c>
      <c r="B838" s="227" t="s">
        <v>1542</v>
      </c>
      <c r="C838" s="87">
        <v>1.3329999999999999E-4</v>
      </c>
      <c r="D838" s="87">
        <v>1.3430000000000001E-4</v>
      </c>
      <c r="E838" s="231">
        <v>203645</v>
      </c>
      <c r="F838" s="231"/>
      <c r="G838" s="232">
        <v>11732</v>
      </c>
      <c r="H838" s="220">
        <v>49445</v>
      </c>
      <c r="I838" s="232">
        <v>29083</v>
      </c>
      <c r="J838" s="231">
        <v>145724</v>
      </c>
      <c r="K838" s="220">
        <f t="shared" si="25"/>
        <v>235984</v>
      </c>
      <c r="L838" s="231"/>
      <c r="M838" s="232">
        <v>5765</v>
      </c>
      <c r="N838" s="232">
        <v>0</v>
      </c>
      <c r="O838" s="231">
        <v>0</v>
      </c>
      <c r="P838" s="220">
        <f t="shared" si="26"/>
        <v>5765</v>
      </c>
      <c r="Q838" s="231"/>
      <c r="R838" s="232">
        <v>68629</v>
      </c>
      <c r="S838" s="233">
        <v>46901</v>
      </c>
      <c r="T838" s="233">
        <v>115530</v>
      </c>
    </row>
    <row r="839" spans="1:20">
      <c r="A839" s="226">
        <v>99208</v>
      </c>
      <c r="B839" s="227" t="s">
        <v>1543</v>
      </c>
      <c r="C839" s="87">
        <v>1.4569999999999999E-4</v>
      </c>
      <c r="D839" s="87">
        <v>1.3669999999999999E-4</v>
      </c>
      <c r="E839" s="231">
        <v>222589</v>
      </c>
      <c r="F839" s="231"/>
      <c r="G839" s="232">
        <v>12823</v>
      </c>
      <c r="H839" s="220">
        <v>54045</v>
      </c>
      <c r="I839" s="232">
        <v>31789</v>
      </c>
      <c r="J839" s="231">
        <v>0</v>
      </c>
      <c r="K839" s="220">
        <f t="shared" si="25"/>
        <v>98657</v>
      </c>
      <c r="L839" s="231"/>
      <c r="M839" s="232">
        <v>6301</v>
      </c>
      <c r="N839" s="232">
        <v>0</v>
      </c>
      <c r="O839" s="231">
        <v>38521</v>
      </c>
      <c r="P839" s="220">
        <f t="shared" si="26"/>
        <v>44822</v>
      </c>
      <c r="Q839" s="231"/>
      <c r="R839" s="232">
        <v>75013</v>
      </c>
      <c r="S839" s="233">
        <v>-20543</v>
      </c>
      <c r="T839" s="233">
        <v>54470</v>
      </c>
    </row>
    <row r="840" spans="1:20">
      <c r="A840" s="226">
        <v>99210</v>
      </c>
      <c r="B840" s="227" t="s">
        <v>1544</v>
      </c>
      <c r="C840" s="87">
        <v>1.5943999999999999E-3</v>
      </c>
      <c r="D840" s="87">
        <v>1.5945E-3</v>
      </c>
      <c r="E840" s="231">
        <v>2435802</v>
      </c>
      <c r="F840" s="231"/>
      <c r="G840" s="232">
        <v>140325</v>
      </c>
      <c r="H840" s="220">
        <v>591415</v>
      </c>
      <c r="I840" s="232">
        <v>347866</v>
      </c>
      <c r="J840" s="231">
        <v>99237</v>
      </c>
      <c r="K840" s="220">
        <f t="shared" si="25"/>
        <v>1178843</v>
      </c>
      <c r="L840" s="231"/>
      <c r="M840" s="232">
        <v>68950</v>
      </c>
      <c r="N840" s="232">
        <v>0</v>
      </c>
      <c r="O840" s="231">
        <v>0</v>
      </c>
      <c r="P840" s="220">
        <f t="shared" si="26"/>
        <v>68950</v>
      </c>
      <c r="Q840" s="231"/>
      <c r="R840" s="232">
        <v>820867</v>
      </c>
      <c r="S840" s="233">
        <v>39106</v>
      </c>
      <c r="T840" s="233">
        <f>859974-1</f>
        <v>859973</v>
      </c>
    </row>
    <row r="841" spans="1:20">
      <c r="A841" s="226">
        <v>99211</v>
      </c>
      <c r="B841" s="227" t="s">
        <v>1545</v>
      </c>
      <c r="C841" s="87">
        <v>3.7100599999999997E-2</v>
      </c>
      <c r="D841" s="87">
        <v>3.8233999999999997E-2</v>
      </c>
      <c r="E841" s="231">
        <v>56679440</v>
      </c>
      <c r="F841" s="231"/>
      <c r="G841" s="232">
        <v>3265261</v>
      </c>
      <c r="H841" s="220">
        <v>13761837</v>
      </c>
      <c r="I841" s="232">
        <v>8094609</v>
      </c>
      <c r="J841" s="231">
        <v>0</v>
      </c>
      <c r="K841" s="220">
        <f t="shared" si="25"/>
        <v>25121707</v>
      </c>
      <c r="L841" s="231"/>
      <c r="M841" s="232">
        <v>1604415</v>
      </c>
      <c r="N841" s="232">
        <v>0</v>
      </c>
      <c r="O841" s="231">
        <v>1838947</v>
      </c>
      <c r="P841" s="220">
        <f t="shared" si="26"/>
        <v>3443362</v>
      </c>
      <c r="Q841" s="231"/>
      <c r="R841" s="232">
        <v>19101021</v>
      </c>
      <c r="S841" s="233">
        <v>-724653</v>
      </c>
      <c r="T841" s="233">
        <f>18376369-1</f>
        <v>18376368</v>
      </c>
    </row>
    <row r="842" spans="1:20">
      <c r="A842" s="226">
        <v>99212</v>
      </c>
      <c r="B842" s="227" t="s">
        <v>1546</v>
      </c>
      <c r="C842" s="87">
        <v>8.14E-5</v>
      </c>
      <c r="D842" s="87">
        <v>7.4400000000000006E-5</v>
      </c>
      <c r="E842" s="231">
        <v>124357</v>
      </c>
      <c r="F842" s="231"/>
      <c r="G842" s="232">
        <v>7164</v>
      </c>
      <c r="H842" s="220">
        <v>30194</v>
      </c>
      <c r="I842" s="232">
        <v>17760</v>
      </c>
      <c r="J842" s="231">
        <v>242</v>
      </c>
      <c r="K842" s="220">
        <f t="shared" ref="K842:K905" si="27">G842+H842+I842+J842</f>
        <v>55360</v>
      </c>
      <c r="L842" s="231"/>
      <c r="M842" s="232">
        <v>3520</v>
      </c>
      <c r="N842" s="232">
        <v>0</v>
      </c>
      <c r="O842" s="231">
        <v>34044</v>
      </c>
      <c r="P842" s="220">
        <f t="shared" ref="P842:P905" si="28">M842+N842+O842</f>
        <v>37564</v>
      </c>
      <c r="Q842" s="231"/>
      <c r="R842" s="232">
        <v>41908</v>
      </c>
      <c r="S842" s="233">
        <v>-15261</v>
      </c>
      <c r="T842" s="233">
        <v>26647</v>
      </c>
    </row>
    <row r="843" spans="1:20">
      <c r="A843" s="226">
        <v>99213</v>
      </c>
      <c r="B843" s="227" t="s">
        <v>1547</v>
      </c>
      <c r="C843" s="87">
        <v>7.5159999999999995E-4</v>
      </c>
      <c r="D843" s="87">
        <v>8.0730000000000005E-4</v>
      </c>
      <c r="E843" s="231">
        <v>1148237</v>
      </c>
      <c r="F843" s="231"/>
      <c r="G843" s="232">
        <v>66149</v>
      </c>
      <c r="H843" s="220">
        <v>278793</v>
      </c>
      <c r="I843" s="232">
        <v>163984</v>
      </c>
      <c r="J843" s="231">
        <v>6057</v>
      </c>
      <c r="K843" s="220">
        <f t="shared" si="27"/>
        <v>514983</v>
      </c>
      <c r="L843" s="231"/>
      <c r="M843" s="232">
        <v>32503</v>
      </c>
      <c r="N843" s="232">
        <v>0</v>
      </c>
      <c r="O843" s="231">
        <v>45468</v>
      </c>
      <c r="P843" s="220">
        <f t="shared" si="28"/>
        <v>77971</v>
      </c>
      <c r="Q843" s="231"/>
      <c r="R843" s="232">
        <v>386957</v>
      </c>
      <c r="S843" s="233">
        <v>-10310</v>
      </c>
      <c r="T843" s="233">
        <f>376646+1</f>
        <v>376647</v>
      </c>
    </row>
    <row r="844" spans="1:20">
      <c r="A844" s="226">
        <v>99218</v>
      </c>
      <c r="B844" s="227" t="s">
        <v>1548</v>
      </c>
      <c r="C844" s="87">
        <v>3.1162E-3</v>
      </c>
      <c r="D844" s="87">
        <v>3.1227999999999998E-3</v>
      </c>
      <c r="E844" s="231">
        <v>4760690</v>
      </c>
      <c r="F844" s="231"/>
      <c r="G844" s="232">
        <v>274260</v>
      </c>
      <c r="H844" s="220">
        <v>1155902</v>
      </c>
      <c r="I844" s="232">
        <v>679893</v>
      </c>
      <c r="J844" s="231">
        <v>179789</v>
      </c>
      <c r="K844" s="220">
        <f t="shared" si="27"/>
        <v>2289844</v>
      </c>
      <c r="L844" s="231"/>
      <c r="M844" s="232">
        <v>134760</v>
      </c>
      <c r="N844" s="232">
        <v>0</v>
      </c>
      <c r="O844" s="231">
        <v>0</v>
      </c>
      <c r="P844" s="220">
        <f t="shared" si="28"/>
        <v>134760</v>
      </c>
      <c r="Q844" s="231"/>
      <c r="R844" s="232">
        <v>1604357</v>
      </c>
      <c r="S844" s="233">
        <v>66860</v>
      </c>
      <c r="T844" s="233">
        <v>1671217</v>
      </c>
    </row>
    <row r="845" spans="1:20">
      <c r="A845" s="226">
        <v>99221</v>
      </c>
      <c r="B845" s="227" t="s">
        <v>1549</v>
      </c>
      <c r="C845" s="87">
        <v>1.27709E-2</v>
      </c>
      <c r="D845" s="87">
        <v>1.3092700000000001E-2</v>
      </c>
      <c r="E845" s="231">
        <v>19510398</v>
      </c>
      <c r="F845" s="231"/>
      <c r="G845" s="232">
        <v>1123980</v>
      </c>
      <c r="H845" s="220">
        <v>4737148</v>
      </c>
      <c r="I845" s="232">
        <v>2786355</v>
      </c>
      <c r="J845" s="231">
        <v>0</v>
      </c>
      <c r="K845" s="220">
        <f t="shared" si="27"/>
        <v>8647483</v>
      </c>
      <c r="L845" s="231"/>
      <c r="M845" s="232">
        <v>552278</v>
      </c>
      <c r="N845" s="232">
        <v>0</v>
      </c>
      <c r="O845" s="231">
        <v>687802</v>
      </c>
      <c r="P845" s="220">
        <f t="shared" si="28"/>
        <v>1240080</v>
      </c>
      <c r="Q845" s="231"/>
      <c r="R845" s="232">
        <v>6575021</v>
      </c>
      <c r="S845" s="233">
        <v>-271922</v>
      </c>
      <c r="T845" s="233">
        <v>6303099</v>
      </c>
    </row>
    <row r="846" spans="1:20">
      <c r="A846" s="226">
        <v>99222</v>
      </c>
      <c r="B846" s="227" t="s">
        <v>1550</v>
      </c>
      <c r="C846" s="87">
        <v>3.9100000000000002E-5</v>
      </c>
      <c r="D846" s="87">
        <v>4.0099999999999999E-5</v>
      </c>
      <c r="E846" s="231">
        <v>59734</v>
      </c>
      <c r="F846" s="231"/>
      <c r="G846" s="232">
        <v>3441</v>
      </c>
      <c r="H846" s="220">
        <v>14504</v>
      </c>
      <c r="I846" s="232">
        <v>8531</v>
      </c>
      <c r="J846" s="231">
        <v>2307</v>
      </c>
      <c r="K846" s="220">
        <f t="shared" si="27"/>
        <v>28783</v>
      </c>
      <c r="L846" s="231"/>
      <c r="M846" s="232">
        <v>1691</v>
      </c>
      <c r="N846" s="232">
        <v>0</v>
      </c>
      <c r="O846" s="231">
        <v>3585</v>
      </c>
      <c r="P846" s="220">
        <f t="shared" si="28"/>
        <v>5276</v>
      </c>
      <c r="Q846" s="231"/>
      <c r="R846" s="232">
        <v>20130</v>
      </c>
      <c r="S846" s="233">
        <v>281</v>
      </c>
      <c r="T846" s="233">
        <v>20411</v>
      </c>
    </row>
    <row r="847" spans="1:20">
      <c r="A847" s="226">
        <v>99231</v>
      </c>
      <c r="B847" s="227" t="s">
        <v>1551</v>
      </c>
      <c r="C847" s="87">
        <v>3.7179999999999998E-4</v>
      </c>
      <c r="D847" s="87">
        <v>3.7869999999999999E-4</v>
      </c>
      <c r="E847" s="231">
        <v>568007</v>
      </c>
      <c r="F847" s="231"/>
      <c r="G847" s="232">
        <v>32722</v>
      </c>
      <c r="H847" s="220">
        <v>137913</v>
      </c>
      <c r="I847" s="232">
        <v>81119</v>
      </c>
      <c r="J847" s="231">
        <v>0</v>
      </c>
      <c r="K847" s="220">
        <f t="shared" si="27"/>
        <v>251754</v>
      </c>
      <c r="L847" s="231"/>
      <c r="M847" s="232">
        <v>16078</v>
      </c>
      <c r="N847" s="232">
        <v>0</v>
      </c>
      <c r="O847" s="231">
        <v>31773</v>
      </c>
      <c r="P847" s="220">
        <f t="shared" si="28"/>
        <v>47851</v>
      </c>
      <c r="Q847" s="231"/>
      <c r="R847" s="232">
        <v>191419</v>
      </c>
      <c r="S847" s="233">
        <v>-14995</v>
      </c>
      <c r="T847" s="233">
        <v>176424</v>
      </c>
    </row>
    <row r="848" spans="1:20">
      <c r="A848" s="226">
        <v>99241</v>
      </c>
      <c r="B848" s="227" t="s">
        <v>1552</v>
      </c>
      <c r="C848" s="87">
        <v>5.5329999999999995E-4</v>
      </c>
      <c r="D848" s="87">
        <v>5.6039999999999996E-4</v>
      </c>
      <c r="E848" s="231">
        <v>845289</v>
      </c>
      <c r="F848" s="231"/>
      <c r="G848" s="232">
        <v>48696</v>
      </c>
      <c r="H848" s="220">
        <v>205238</v>
      </c>
      <c r="I848" s="232">
        <v>120719</v>
      </c>
      <c r="J848" s="231">
        <v>0</v>
      </c>
      <c r="K848" s="220">
        <f t="shared" si="27"/>
        <v>374653</v>
      </c>
      <c r="L848" s="231"/>
      <c r="M848" s="232">
        <v>23927</v>
      </c>
      <c r="N848" s="232">
        <v>0</v>
      </c>
      <c r="O848" s="231">
        <v>103885</v>
      </c>
      <c r="P848" s="220">
        <f t="shared" si="28"/>
        <v>127812</v>
      </c>
      <c r="Q848" s="231"/>
      <c r="R848" s="232">
        <v>284863</v>
      </c>
      <c r="S848" s="233">
        <v>-52289</v>
      </c>
      <c r="T848" s="233">
        <f>232575-1</f>
        <v>232574</v>
      </c>
    </row>
    <row r="849" spans="1:20">
      <c r="A849" s="226">
        <v>99251</v>
      </c>
      <c r="B849" s="227" t="s">
        <v>1553</v>
      </c>
      <c r="C849" s="87">
        <v>1.6069000000000001E-3</v>
      </c>
      <c r="D849" s="87">
        <v>1.6521000000000001E-3</v>
      </c>
      <c r="E849" s="231">
        <v>2454898</v>
      </c>
      <c r="F849" s="231"/>
      <c r="G849" s="232">
        <v>141425</v>
      </c>
      <c r="H849" s="220">
        <v>596053</v>
      </c>
      <c r="I849" s="232">
        <v>350593</v>
      </c>
      <c r="J849" s="231">
        <v>2758</v>
      </c>
      <c r="K849" s="220">
        <f t="shared" si="27"/>
        <v>1090829</v>
      </c>
      <c r="L849" s="231"/>
      <c r="M849" s="232">
        <v>69490</v>
      </c>
      <c r="N849" s="232">
        <v>0</v>
      </c>
      <c r="O849" s="231">
        <v>31200</v>
      </c>
      <c r="P849" s="220">
        <f t="shared" si="28"/>
        <v>100690</v>
      </c>
      <c r="Q849" s="231"/>
      <c r="R849" s="232">
        <v>827303</v>
      </c>
      <c r="S849" s="233">
        <v>-11932</v>
      </c>
      <c r="T849" s="233">
        <v>815371</v>
      </c>
    </row>
    <row r="850" spans="1:20">
      <c r="A850" s="226">
        <v>99252</v>
      </c>
      <c r="B850" s="227" t="s">
        <v>1554</v>
      </c>
      <c r="C850" s="87">
        <v>6.1269999999999999E-4</v>
      </c>
      <c r="D850" s="87">
        <v>5.8279999999999996E-4</v>
      </c>
      <c r="E850" s="231">
        <v>936036</v>
      </c>
      <c r="F850" s="231"/>
      <c r="G850" s="232">
        <v>53924</v>
      </c>
      <c r="H850" s="220">
        <v>227271</v>
      </c>
      <c r="I850" s="232">
        <v>133679</v>
      </c>
      <c r="J850" s="231">
        <v>0</v>
      </c>
      <c r="K850" s="220">
        <f t="shared" si="27"/>
        <v>414874</v>
      </c>
      <c r="L850" s="231"/>
      <c r="M850" s="232">
        <v>26496</v>
      </c>
      <c r="N850" s="232">
        <v>0</v>
      </c>
      <c r="O850" s="231">
        <v>202059</v>
      </c>
      <c r="P850" s="220">
        <f t="shared" si="28"/>
        <v>228555</v>
      </c>
      <c r="Q850" s="231"/>
      <c r="R850" s="232">
        <v>315445</v>
      </c>
      <c r="S850" s="233">
        <v>-85968</v>
      </c>
      <c r="T850" s="233">
        <v>229477</v>
      </c>
    </row>
    <row r="851" spans="1:20">
      <c r="A851" s="226">
        <v>99261</v>
      </c>
      <c r="B851" s="227" t="s">
        <v>1555</v>
      </c>
      <c r="C851" s="87">
        <v>1.9938E-3</v>
      </c>
      <c r="D851" s="87">
        <v>1.9145E-3</v>
      </c>
      <c r="E851" s="231">
        <v>3045974</v>
      </c>
      <c r="F851" s="231"/>
      <c r="G851" s="232">
        <v>175476</v>
      </c>
      <c r="H851" s="220">
        <v>739566</v>
      </c>
      <c r="I851" s="232">
        <v>435007</v>
      </c>
      <c r="J851" s="231">
        <v>0</v>
      </c>
      <c r="K851" s="220">
        <f t="shared" si="27"/>
        <v>1350049</v>
      </c>
      <c r="L851" s="231"/>
      <c r="M851" s="232">
        <v>86222</v>
      </c>
      <c r="N851" s="232">
        <v>0</v>
      </c>
      <c r="O851" s="231">
        <v>148472</v>
      </c>
      <c r="P851" s="220">
        <f t="shared" si="28"/>
        <v>234694</v>
      </c>
      <c r="Q851" s="231"/>
      <c r="R851" s="232">
        <v>1026496</v>
      </c>
      <c r="S851" s="233">
        <v>-69364</v>
      </c>
      <c r="T851" s="233">
        <v>957132</v>
      </c>
    </row>
    <row r="852" spans="1:20">
      <c r="A852" s="226">
        <v>99271</v>
      </c>
      <c r="B852" s="227" t="s">
        <v>1556</v>
      </c>
      <c r="C852" s="87">
        <v>4.0137000000000003E-3</v>
      </c>
      <c r="D852" s="87">
        <v>3.9248E-3</v>
      </c>
      <c r="E852" s="231">
        <v>6131822</v>
      </c>
      <c r="F852" s="231"/>
      <c r="G852" s="232">
        <v>353250</v>
      </c>
      <c r="H852" s="220">
        <v>1488814</v>
      </c>
      <c r="I852" s="232">
        <v>875709</v>
      </c>
      <c r="J852" s="231">
        <v>0</v>
      </c>
      <c r="K852" s="220">
        <f t="shared" si="27"/>
        <v>2717773</v>
      </c>
      <c r="L852" s="231"/>
      <c r="M852" s="232">
        <v>173572</v>
      </c>
      <c r="N852" s="232">
        <v>0</v>
      </c>
      <c r="O852" s="231">
        <v>122792</v>
      </c>
      <c r="P852" s="220">
        <f t="shared" si="28"/>
        <v>296364</v>
      </c>
      <c r="Q852" s="231"/>
      <c r="R852" s="232">
        <v>2066429</v>
      </c>
      <c r="S852" s="233">
        <v>-45302</v>
      </c>
      <c r="T852" s="233">
        <v>2021127</v>
      </c>
    </row>
    <row r="853" spans="1:20">
      <c r="A853" s="226">
        <v>99281</v>
      </c>
      <c r="B853" s="227" t="s">
        <v>1557</v>
      </c>
      <c r="C853" s="87">
        <v>2.2918999999999999E-3</v>
      </c>
      <c r="D853" s="87">
        <v>2.2824E-3</v>
      </c>
      <c r="E853" s="231">
        <v>3501388</v>
      </c>
      <c r="F853" s="231"/>
      <c r="G853" s="232">
        <v>201712</v>
      </c>
      <c r="H853" s="220">
        <v>850141</v>
      </c>
      <c r="I853" s="232">
        <v>500047</v>
      </c>
      <c r="J853" s="231">
        <v>6743</v>
      </c>
      <c r="K853" s="220">
        <f t="shared" si="27"/>
        <v>1558643</v>
      </c>
      <c r="L853" s="231"/>
      <c r="M853" s="232">
        <v>99113</v>
      </c>
      <c r="N853" s="232">
        <v>0</v>
      </c>
      <c r="O853" s="231">
        <v>128585</v>
      </c>
      <c r="P853" s="220">
        <f t="shared" si="28"/>
        <v>227698</v>
      </c>
      <c r="Q853" s="231"/>
      <c r="R853" s="232">
        <v>1179971</v>
      </c>
      <c r="S853" s="233">
        <v>-37280</v>
      </c>
      <c r="T853" s="233">
        <v>1142691</v>
      </c>
    </row>
    <row r="854" spans="1:20">
      <c r="A854" s="226">
        <v>99291</v>
      </c>
      <c r="B854" s="227" t="s">
        <v>1558</v>
      </c>
      <c r="C854" s="87">
        <v>7.3499999999999998E-4</v>
      </c>
      <c r="D854" s="87">
        <v>7.7260000000000002E-4</v>
      </c>
      <c r="E854" s="231">
        <v>1122876</v>
      </c>
      <c r="F854" s="231"/>
      <c r="G854" s="232">
        <v>64688</v>
      </c>
      <c r="H854" s="220">
        <v>272636</v>
      </c>
      <c r="I854" s="232">
        <v>160362</v>
      </c>
      <c r="J854" s="231">
        <v>0</v>
      </c>
      <c r="K854" s="220">
        <f t="shared" si="27"/>
        <v>497686</v>
      </c>
      <c r="L854" s="231"/>
      <c r="M854" s="232">
        <v>31785</v>
      </c>
      <c r="N854" s="232">
        <v>0</v>
      </c>
      <c r="O854" s="231">
        <v>137813</v>
      </c>
      <c r="P854" s="220">
        <f t="shared" si="28"/>
        <v>169598</v>
      </c>
      <c r="Q854" s="231"/>
      <c r="R854" s="232">
        <v>378410</v>
      </c>
      <c r="S854" s="233">
        <v>-55575</v>
      </c>
      <c r="T854" s="233">
        <v>322835</v>
      </c>
    </row>
    <row r="855" spans="1:20">
      <c r="A855" s="226">
        <v>99301</v>
      </c>
      <c r="B855" s="227" t="s">
        <v>1559</v>
      </c>
      <c r="C855" s="87">
        <v>1.7879E-3</v>
      </c>
      <c r="D855" s="87">
        <v>1.8458000000000001E-3</v>
      </c>
      <c r="E855" s="231">
        <v>2731416</v>
      </c>
      <c r="F855" s="231"/>
      <c r="G855" s="232">
        <v>157355</v>
      </c>
      <c r="H855" s="220">
        <v>663191</v>
      </c>
      <c r="I855" s="232">
        <v>390084</v>
      </c>
      <c r="J855" s="231">
        <v>67408</v>
      </c>
      <c r="K855" s="220">
        <f t="shared" si="27"/>
        <v>1278038</v>
      </c>
      <c r="L855" s="231"/>
      <c r="M855" s="232">
        <v>77318</v>
      </c>
      <c r="N855" s="232">
        <v>0</v>
      </c>
      <c r="O855" s="231">
        <v>65062</v>
      </c>
      <c r="P855" s="220">
        <f t="shared" si="28"/>
        <v>142380</v>
      </c>
      <c r="Q855" s="231"/>
      <c r="R855" s="232">
        <v>920490</v>
      </c>
      <c r="S855" s="233">
        <v>38686</v>
      </c>
      <c r="T855" s="233">
        <f>959175+1</f>
        <v>959176</v>
      </c>
    </row>
    <row r="856" spans="1:20">
      <c r="A856" s="226">
        <v>99304</v>
      </c>
      <c r="B856" s="227" t="s">
        <v>1560</v>
      </c>
      <c r="C856" s="87">
        <v>9.2E-6</v>
      </c>
      <c r="D856" s="87">
        <v>9.9000000000000001E-6</v>
      </c>
      <c r="E856" s="231">
        <v>14055</v>
      </c>
      <c r="F856" s="231"/>
      <c r="G856" s="232">
        <v>810</v>
      </c>
      <c r="H856" s="220">
        <v>3412</v>
      </c>
      <c r="I856" s="232">
        <v>2007</v>
      </c>
      <c r="J856" s="231">
        <v>4659</v>
      </c>
      <c r="K856" s="220">
        <f t="shared" si="27"/>
        <v>10888</v>
      </c>
      <c r="L856" s="231"/>
      <c r="M856" s="232">
        <v>398</v>
      </c>
      <c r="N856" s="232">
        <v>0</v>
      </c>
      <c r="O856" s="231">
        <v>248</v>
      </c>
      <c r="P856" s="220">
        <f t="shared" si="28"/>
        <v>646</v>
      </c>
      <c r="Q856" s="231"/>
      <c r="R856" s="232">
        <v>4737</v>
      </c>
      <c r="S856" s="233">
        <v>1371</v>
      </c>
      <c r="T856" s="233">
        <f>6107+1</f>
        <v>6108</v>
      </c>
    </row>
    <row r="857" spans="1:20">
      <c r="A857" s="226">
        <v>99311</v>
      </c>
      <c r="B857" s="227" t="s">
        <v>1561</v>
      </c>
      <c r="C857" s="87">
        <v>5.4299999999999998E-5</v>
      </c>
      <c r="D857" s="87">
        <v>5.7599999999999997E-5</v>
      </c>
      <c r="E857" s="231">
        <v>82955</v>
      </c>
      <c r="F857" s="231"/>
      <c r="G857" s="232">
        <v>4779</v>
      </c>
      <c r="H857" s="220">
        <v>20142</v>
      </c>
      <c r="I857" s="232">
        <v>11847</v>
      </c>
      <c r="J857" s="231">
        <v>0</v>
      </c>
      <c r="K857" s="220">
        <f t="shared" si="27"/>
        <v>36768</v>
      </c>
      <c r="L857" s="231"/>
      <c r="M857" s="232">
        <v>2348</v>
      </c>
      <c r="N857" s="232">
        <v>0</v>
      </c>
      <c r="O857" s="231">
        <v>6758</v>
      </c>
      <c r="P857" s="220">
        <f t="shared" si="28"/>
        <v>9106</v>
      </c>
      <c r="Q857" s="231"/>
      <c r="R857" s="232">
        <v>27956</v>
      </c>
      <c r="S857" s="233">
        <v>-3216</v>
      </c>
      <c r="T857" s="233">
        <v>24740</v>
      </c>
    </row>
    <row r="858" spans="1:20">
      <c r="A858" s="226">
        <v>99321</v>
      </c>
      <c r="B858" s="227" t="s">
        <v>1562</v>
      </c>
      <c r="C858" s="87">
        <v>1.1E-4</v>
      </c>
      <c r="D858" s="87">
        <v>1.1909999999999999E-4</v>
      </c>
      <c r="E858" s="231">
        <v>168050</v>
      </c>
      <c r="F858" s="231"/>
      <c r="G858" s="232">
        <v>9681</v>
      </c>
      <c r="H858" s="220">
        <v>40803</v>
      </c>
      <c r="I858" s="232">
        <v>24000</v>
      </c>
      <c r="J858" s="231">
        <v>96146</v>
      </c>
      <c r="K858" s="220">
        <f t="shared" si="27"/>
        <v>170630</v>
      </c>
      <c r="L858" s="231"/>
      <c r="M858" s="232">
        <v>4757</v>
      </c>
      <c r="N858" s="232">
        <v>0</v>
      </c>
      <c r="O858" s="231">
        <v>0</v>
      </c>
      <c r="P858" s="220">
        <f t="shared" si="28"/>
        <v>4757</v>
      </c>
      <c r="Q858" s="231"/>
      <c r="R858" s="232">
        <v>56633</v>
      </c>
      <c r="S858" s="233">
        <v>41980</v>
      </c>
      <c r="T858" s="233">
        <v>98613</v>
      </c>
    </row>
    <row r="859" spans="1:20">
      <c r="A859" s="226">
        <v>99401</v>
      </c>
      <c r="B859" s="227" t="s">
        <v>1563</v>
      </c>
      <c r="C859" s="87">
        <v>9.2389999999999996E-4</v>
      </c>
      <c r="D859" s="87">
        <v>9.3869999999999999E-4</v>
      </c>
      <c r="E859" s="231">
        <v>1411463</v>
      </c>
      <c r="F859" s="231"/>
      <c r="G859" s="232">
        <v>81313</v>
      </c>
      <c r="H859" s="220">
        <v>342705</v>
      </c>
      <c r="I859" s="232">
        <v>201577</v>
      </c>
      <c r="J859" s="231">
        <v>34240</v>
      </c>
      <c r="K859" s="220">
        <f t="shared" si="27"/>
        <v>659835</v>
      </c>
      <c r="L859" s="231"/>
      <c r="M859" s="232">
        <v>39954</v>
      </c>
      <c r="N859" s="232">
        <v>0</v>
      </c>
      <c r="O859" s="231">
        <v>17589</v>
      </c>
      <c r="P859" s="220">
        <f t="shared" si="28"/>
        <v>57543</v>
      </c>
      <c r="Q859" s="231"/>
      <c r="R859" s="232">
        <v>475664</v>
      </c>
      <c r="S859" s="233">
        <v>22297</v>
      </c>
      <c r="T859" s="233">
        <v>497961</v>
      </c>
    </row>
    <row r="860" spans="1:20">
      <c r="A860" s="226">
        <v>99404</v>
      </c>
      <c r="B860" s="227" t="s">
        <v>1564</v>
      </c>
      <c r="C860" s="87">
        <v>9.3999999999999998E-6</v>
      </c>
      <c r="D860" s="87">
        <v>9.5999999999999996E-6</v>
      </c>
      <c r="E860" s="231">
        <v>14361</v>
      </c>
      <c r="F860" s="231"/>
      <c r="G860" s="232">
        <v>827</v>
      </c>
      <c r="H860" s="220">
        <v>3487</v>
      </c>
      <c r="I860" s="232">
        <v>2051</v>
      </c>
      <c r="J860" s="231">
        <v>1334</v>
      </c>
      <c r="K860" s="220">
        <f t="shared" si="27"/>
        <v>7699</v>
      </c>
      <c r="L860" s="231"/>
      <c r="M860" s="232">
        <v>407</v>
      </c>
      <c r="N860" s="232">
        <v>0</v>
      </c>
      <c r="O860" s="231">
        <v>0</v>
      </c>
      <c r="P860" s="220">
        <f t="shared" si="28"/>
        <v>407</v>
      </c>
      <c r="Q860" s="231"/>
      <c r="R860" s="232">
        <v>4840</v>
      </c>
      <c r="S860" s="233">
        <v>466</v>
      </c>
      <c r="T860" s="233">
        <v>5306</v>
      </c>
    </row>
    <row r="861" spans="1:20">
      <c r="A861" s="226">
        <v>99405</v>
      </c>
      <c r="B861" s="227" t="s">
        <v>1565</v>
      </c>
      <c r="C861" s="87">
        <v>6.2700000000000006E-5</v>
      </c>
      <c r="D861" s="87">
        <v>5.8100000000000003E-5</v>
      </c>
      <c r="E861" s="231">
        <v>95788</v>
      </c>
      <c r="F861" s="231"/>
      <c r="G861" s="232">
        <v>5518</v>
      </c>
      <c r="H861" s="220">
        <v>23258</v>
      </c>
      <c r="I861" s="232">
        <v>13680</v>
      </c>
      <c r="J861" s="231">
        <v>18380</v>
      </c>
      <c r="K861" s="220">
        <f t="shared" si="27"/>
        <v>60836</v>
      </c>
      <c r="L861" s="231"/>
      <c r="M861" s="232">
        <v>2711</v>
      </c>
      <c r="N861" s="232">
        <v>0</v>
      </c>
      <c r="O861" s="231">
        <v>336</v>
      </c>
      <c r="P861" s="220">
        <f t="shared" si="28"/>
        <v>3047</v>
      </c>
      <c r="Q861" s="231"/>
      <c r="R861" s="232">
        <v>32281</v>
      </c>
      <c r="S861" s="233">
        <v>6084</v>
      </c>
      <c r="T861" s="233">
        <f>38364+1</f>
        <v>38365</v>
      </c>
    </row>
    <row r="862" spans="1:20">
      <c r="A862" s="226">
        <v>99411</v>
      </c>
      <c r="B862" s="227" t="s">
        <v>1566</v>
      </c>
      <c r="C862" s="87">
        <v>1.583E-4</v>
      </c>
      <c r="D862" s="87">
        <v>1.2510000000000001E-4</v>
      </c>
      <c r="E862" s="231">
        <v>241839</v>
      </c>
      <c r="F862" s="231"/>
      <c r="G862" s="232">
        <v>13932</v>
      </c>
      <c r="H862" s="220">
        <v>58719</v>
      </c>
      <c r="I862" s="232">
        <v>34538</v>
      </c>
      <c r="J862" s="231">
        <v>41924</v>
      </c>
      <c r="K862" s="220">
        <f t="shared" si="27"/>
        <v>149113</v>
      </c>
      <c r="L862" s="231"/>
      <c r="M862" s="232">
        <v>6846</v>
      </c>
      <c r="N862" s="232">
        <v>0</v>
      </c>
      <c r="O862" s="231">
        <v>4400</v>
      </c>
      <c r="P862" s="220">
        <f t="shared" si="28"/>
        <v>11246</v>
      </c>
      <c r="Q862" s="231"/>
      <c r="R862" s="232">
        <v>81500</v>
      </c>
      <c r="S862" s="233">
        <v>8626</v>
      </c>
      <c r="T862" s="233">
        <v>90126</v>
      </c>
    </row>
    <row r="863" spans="1:20">
      <c r="A863" s="226">
        <v>99413</v>
      </c>
      <c r="B863" s="227" t="s">
        <v>1567</v>
      </c>
      <c r="C863" s="87">
        <v>3.1099999999999997E-5</v>
      </c>
      <c r="D863" s="87">
        <v>2.76E-5</v>
      </c>
      <c r="E863" s="231">
        <v>47512</v>
      </c>
      <c r="F863" s="231"/>
      <c r="G863" s="232">
        <v>2737</v>
      </c>
      <c r="H863" s="220">
        <v>11536</v>
      </c>
      <c r="I863" s="232">
        <v>6785</v>
      </c>
      <c r="J863" s="231">
        <v>5754</v>
      </c>
      <c r="K863" s="220">
        <f t="shared" si="27"/>
        <v>26812</v>
      </c>
      <c r="L863" s="231"/>
      <c r="M863" s="232">
        <v>1345</v>
      </c>
      <c r="N863" s="232">
        <v>0</v>
      </c>
      <c r="O863" s="231">
        <v>3024</v>
      </c>
      <c r="P863" s="220">
        <f t="shared" si="28"/>
        <v>4369</v>
      </c>
      <c r="Q863" s="231"/>
      <c r="R863" s="232">
        <v>16012</v>
      </c>
      <c r="S863" s="233">
        <v>202</v>
      </c>
      <c r="T863" s="233">
        <v>16214</v>
      </c>
    </row>
    <row r="864" spans="1:20">
      <c r="A864" s="226">
        <v>99421</v>
      </c>
      <c r="B864" s="227" t="s">
        <v>1568</v>
      </c>
      <c r="C864" s="87">
        <v>1.04E-5</v>
      </c>
      <c r="D864" s="87">
        <v>1.5E-5</v>
      </c>
      <c r="E864" s="231">
        <v>15888</v>
      </c>
      <c r="F864" s="231"/>
      <c r="G864" s="232">
        <v>915</v>
      </c>
      <c r="H864" s="220">
        <v>3858</v>
      </c>
      <c r="I864" s="232">
        <v>2269</v>
      </c>
      <c r="J864" s="231">
        <v>764</v>
      </c>
      <c r="K864" s="220">
        <f t="shared" si="27"/>
        <v>7806</v>
      </c>
      <c r="L864" s="231"/>
      <c r="M864" s="232">
        <v>450</v>
      </c>
      <c r="N864" s="232">
        <v>0</v>
      </c>
      <c r="O864" s="231">
        <v>5440</v>
      </c>
      <c r="P864" s="220">
        <f t="shared" si="28"/>
        <v>5890</v>
      </c>
      <c r="Q864" s="231"/>
      <c r="R864" s="232">
        <v>5354</v>
      </c>
      <c r="S864" s="233">
        <v>-1116</v>
      </c>
      <c r="T864" s="233">
        <v>4238</v>
      </c>
    </row>
    <row r="865" spans="1:20">
      <c r="A865" s="226">
        <v>99431</v>
      </c>
      <c r="B865" s="227" t="s">
        <v>1569</v>
      </c>
      <c r="C865" s="87">
        <v>2.2200000000000001E-5</v>
      </c>
      <c r="D865" s="87">
        <v>2.16E-5</v>
      </c>
      <c r="E865" s="231">
        <v>33915</v>
      </c>
      <c r="F865" s="231"/>
      <c r="G865" s="232">
        <v>1954</v>
      </c>
      <c r="H865" s="220">
        <v>8235</v>
      </c>
      <c r="I865" s="232">
        <v>4844</v>
      </c>
      <c r="J865" s="231">
        <v>1071</v>
      </c>
      <c r="K865" s="220">
        <f t="shared" si="27"/>
        <v>16104</v>
      </c>
      <c r="L865" s="231"/>
      <c r="M865" s="232">
        <v>960</v>
      </c>
      <c r="N865" s="232">
        <v>0</v>
      </c>
      <c r="O865" s="231">
        <v>3001</v>
      </c>
      <c r="P865" s="220">
        <f t="shared" si="28"/>
        <v>3961</v>
      </c>
      <c r="Q865" s="231"/>
      <c r="R865" s="232">
        <v>11430</v>
      </c>
      <c r="S865" s="233">
        <v>119</v>
      </c>
      <c r="T865" s="233">
        <v>11549</v>
      </c>
    </row>
    <row r="866" spans="1:20">
      <c r="A866" s="226">
        <v>99501</v>
      </c>
      <c r="B866" s="227" t="s">
        <v>1570</v>
      </c>
      <c r="C866" s="87">
        <v>1.6785000000000001E-3</v>
      </c>
      <c r="D866" s="87">
        <v>1.7390000000000001E-3</v>
      </c>
      <c r="E866" s="231">
        <v>2564283</v>
      </c>
      <c r="F866" s="231"/>
      <c r="G866" s="232">
        <v>147726</v>
      </c>
      <c r="H866" s="220">
        <v>622611</v>
      </c>
      <c r="I866" s="232">
        <v>366215</v>
      </c>
      <c r="J866" s="231">
        <v>3764</v>
      </c>
      <c r="K866" s="220">
        <f t="shared" si="27"/>
        <v>1140316</v>
      </c>
      <c r="L866" s="231"/>
      <c r="M866" s="232">
        <v>72587</v>
      </c>
      <c r="N866" s="232">
        <v>0</v>
      </c>
      <c r="O866" s="231">
        <v>21505</v>
      </c>
      <c r="P866" s="220">
        <f t="shared" si="28"/>
        <v>94092</v>
      </c>
      <c r="Q866" s="231"/>
      <c r="R866" s="232">
        <v>864166</v>
      </c>
      <c r="S866" s="233">
        <v>-3415</v>
      </c>
      <c r="T866" s="233">
        <f>860750+1</f>
        <v>860751</v>
      </c>
    </row>
    <row r="867" spans="1:20">
      <c r="A867" s="226">
        <v>99502</v>
      </c>
      <c r="B867" s="227" t="s">
        <v>1571</v>
      </c>
      <c r="C867" s="87">
        <v>1.373E-4</v>
      </c>
      <c r="D867" s="87">
        <v>1.3779999999999999E-4</v>
      </c>
      <c r="E867" s="231">
        <v>209756</v>
      </c>
      <c r="F867" s="231"/>
      <c r="G867" s="232">
        <v>12084</v>
      </c>
      <c r="H867" s="220">
        <v>50929</v>
      </c>
      <c r="I867" s="232">
        <v>29956</v>
      </c>
      <c r="J867" s="231">
        <v>21393</v>
      </c>
      <c r="K867" s="220">
        <f t="shared" si="27"/>
        <v>114362</v>
      </c>
      <c r="L867" s="231"/>
      <c r="M867" s="232">
        <v>5938</v>
      </c>
      <c r="N867" s="232">
        <v>0</v>
      </c>
      <c r="O867" s="231">
        <v>71</v>
      </c>
      <c r="P867" s="220">
        <f t="shared" si="28"/>
        <v>6009</v>
      </c>
      <c r="Q867" s="231"/>
      <c r="R867" s="232">
        <v>70688</v>
      </c>
      <c r="S867" s="233">
        <v>9456</v>
      </c>
      <c r="T867" s="233">
        <v>80144</v>
      </c>
    </row>
    <row r="868" spans="1:20">
      <c r="A868" s="226">
        <v>99508</v>
      </c>
      <c r="B868" s="227" t="s">
        <v>1572</v>
      </c>
      <c r="C868" s="87">
        <v>2.2099999999999998E-5</v>
      </c>
      <c r="D868" s="87">
        <v>2.1699999999999999E-5</v>
      </c>
      <c r="E868" s="231">
        <v>33763</v>
      </c>
      <c r="F868" s="231"/>
      <c r="G868" s="232">
        <v>1945</v>
      </c>
      <c r="H868" s="220">
        <v>8198</v>
      </c>
      <c r="I868" s="232">
        <v>4822</v>
      </c>
      <c r="J868" s="231">
        <v>37</v>
      </c>
      <c r="K868" s="220">
        <f t="shared" si="27"/>
        <v>15002</v>
      </c>
      <c r="L868" s="231"/>
      <c r="M868" s="232">
        <v>956</v>
      </c>
      <c r="N868" s="232">
        <v>0</v>
      </c>
      <c r="O868" s="231">
        <v>1571</v>
      </c>
      <c r="P868" s="220">
        <f t="shared" si="28"/>
        <v>2527</v>
      </c>
      <c r="Q868" s="231"/>
      <c r="R868" s="232">
        <v>11378</v>
      </c>
      <c r="S868" s="233">
        <v>-984</v>
      </c>
      <c r="T868" s="233">
        <v>10394</v>
      </c>
    </row>
    <row r="869" spans="1:20">
      <c r="A869" s="226">
        <v>99509</v>
      </c>
      <c r="B869" s="227" t="s">
        <v>1573</v>
      </c>
      <c r="C869" s="87">
        <v>2.76E-5</v>
      </c>
      <c r="D869" s="87">
        <v>2.8900000000000001E-5</v>
      </c>
      <c r="E869" s="231">
        <v>42165</v>
      </c>
      <c r="F869" s="231"/>
      <c r="G869" s="232">
        <v>2429</v>
      </c>
      <c r="H869" s="220">
        <v>10238</v>
      </c>
      <c r="I869" s="232">
        <v>6022</v>
      </c>
      <c r="J869" s="231">
        <v>0</v>
      </c>
      <c r="K869" s="220">
        <f t="shared" si="27"/>
        <v>18689</v>
      </c>
      <c r="L869" s="231"/>
      <c r="M869" s="232">
        <v>1194</v>
      </c>
      <c r="N869" s="232">
        <v>0</v>
      </c>
      <c r="O869" s="231">
        <v>6512</v>
      </c>
      <c r="P869" s="220">
        <f t="shared" si="28"/>
        <v>7706</v>
      </c>
      <c r="Q869" s="231"/>
      <c r="R869" s="232">
        <v>14210</v>
      </c>
      <c r="S869" s="233">
        <v>-4301</v>
      </c>
      <c r="T869" s="233">
        <v>9909</v>
      </c>
    </row>
    <row r="870" spans="1:20">
      <c r="A870" s="226">
        <v>99511</v>
      </c>
      <c r="B870" s="227" t="s">
        <v>1574</v>
      </c>
      <c r="C870" s="87">
        <v>1.4048999999999999E-3</v>
      </c>
      <c r="D870" s="87">
        <v>1.3638000000000001E-3</v>
      </c>
      <c r="E870" s="231">
        <v>2146298</v>
      </c>
      <c r="F870" s="231"/>
      <c r="G870" s="232">
        <v>123647</v>
      </c>
      <c r="H870" s="220">
        <v>521124</v>
      </c>
      <c r="I870" s="232">
        <v>306521</v>
      </c>
      <c r="J870" s="231">
        <v>4500</v>
      </c>
      <c r="K870" s="220">
        <f t="shared" si="27"/>
        <v>955792</v>
      </c>
      <c r="L870" s="231"/>
      <c r="M870" s="232">
        <v>60755</v>
      </c>
      <c r="N870" s="232">
        <v>0</v>
      </c>
      <c r="O870" s="231">
        <v>85381</v>
      </c>
      <c r="P870" s="220">
        <f t="shared" si="28"/>
        <v>146136</v>
      </c>
      <c r="Q870" s="231"/>
      <c r="R870" s="232">
        <v>723304</v>
      </c>
      <c r="S870" s="233">
        <v>-30654</v>
      </c>
      <c r="T870" s="233">
        <v>692650</v>
      </c>
    </row>
    <row r="871" spans="1:20">
      <c r="A871" s="226">
        <v>99521</v>
      </c>
      <c r="B871" s="227" t="s">
        <v>1575</v>
      </c>
      <c r="C871" s="87">
        <v>4.2700000000000002E-4</v>
      </c>
      <c r="D871" s="87">
        <v>4.0180000000000001E-4</v>
      </c>
      <c r="E871" s="231">
        <v>652338</v>
      </c>
      <c r="F871" s="231"/>
      <c r="G871" s="232">
        <v>37581</v>
      </c>
      <c r="H871" s="220">
        <v>158389</v>
      </c>
      <c r="I871" s="232">
        <v>93163</v>
      </c>
      <c r="J871" s="231">
        <v>2015</v>
      </c>
      <c r="K871" s="220">
        <f t="shared" si="27"/>
        <v>291148</v>
      </c>
      <c r="L871" s="231"/>
      <c r="M871" s="232">
        <v>18466</v>
      </c>
      <c r="N871" s="232">
        <v>0</v>
      </c>
      <c r="O871" s="231">
        <v>15563</v>
      </c>
      <c r="P871" s="220">
        <f t="shared" si="28"/>
        <v>34029</v>
      </c>
      <c r="Q871" s="231"/>
      <c r="R871" s="232">
        <v>219838</v>
      </c>
      <c r="S871" s="233">
        <v>-5081</v>
      </c>
      <c r="T871" s="233">
        <v>214757</v>
      </c>
    </row>
    <row r="872" spans="1:20">
      <c r="A872" s="226">
        <v>99527</v>
      </c>
      <c r="B872" s="227" t="s">
        <v>1576</v>
      </c>
      <c r="C872" s="87">
        <v>1.19E-5</v>
      </c>
      <c r="D872" s="87">
        <v>1.2099999999999999E-5</v>
      </c>
      <c r="E872" s="231">
        <v>18180</v>
      </c>
      <c r="F872" s="231"/>
      <c r="G872" s="232">
        <v>1047</v>
      </c>
      <c r="H872" s="220">
        <v>4414</v>
      </c>
      <c r="I872" s="232">
        <v>2596</v>
      </c>
      <c r="J872" s="231">
        <v>1124</v>
      </c>
      <c r="K872" s="220">
        <f t="shared" si="27"/>
        <v>9181</v>
      </c>
      <c r="L872" s="231"/>
      <c r="M872" s="232">
        <v>515</v>
      </c>
      <c r="N872" s="232">
        <v>0</v>
      </c>
      <c r="O872" s="231">
        <v>0</v>
      </c>
      <c r="P872" s="220">
        <f t="shared" si="28"/>
        <v>515</v>
      </c>
      <c r="Q872" s="231"/>
      <c r="R872" s="232">
        <v>6127</v>
      </c>
      <c r="S872" s="233">
        <v>591</v>
      </c>
      <c r="T872" s="233">
        <v>6718</v>
      </c>
    </row>
    <row r="873" spans="1:20">
      <c r="A873" s="226">
        <v>99531</v>
      </c>
      <c r="B873" s="227" t="s">
        <v>1577</v>
      </c>
      <c r="C873" s="87">
        <v>9.3499999999999996E-5</v>
      </c>
      <c r="D873" s="87">
        <v>8.7600000000000002E-5</v>
      </c>
      <c r="E873" s="231">
        <v>142842</v>
      </c>
      <c r="F873" s="231"/>
      <c r="G873" s="232">
        <v>8229</v>
      </c>
      <c r="H873" s="220">
        <v>34683</v>
      </c>
      <c r="I873" s="232">
        <v>20400</v>
      </c>
      <c r="J873" s="231">
        <v>55453</v>
      </c>
      <c r="K873" s="220">
        <f t="shared" si="27"/>
        <v>118765</v>
      </c>
      <c r="L873" s="231"/>
      <c r="M873" s="232">
        <v>4043</v>
      </c>
      <c r="N873" s="232">
        <v>0</v>
      </c>
      <c r="O873" s="231">
        <v>0</v>
      </c>
      <c r="P873" s="220">
        <f t="shared" si="28"/>
        <v>4043</v>
      </c>
      <c r="Q873" s="231"/>
      <c r="R873" s="232">
        <v>48138</v>
      </c>
      <c r="S873" s="233">
        <v>18721</v>
      </c>
      <c r="T873" s="233">
        <v>66859</v>
      </c>
    </row>
    <row r="874" spans="1:20">
      <c r="A874" s="226">
        <v>99601</v>
      </c>
      <c r="B874" s="227" t="s">
        <v>1578</v>
      </c>
      <c r="C874" s="87">
        <v>5.7812000000000002E-3</v>
      </c>
      <c r="D874" s="87">
        <v>5.2824999999999999E-3</v>
      </c>
      <c r="E874" s="231">
        <v>8832072</v>
      </c>
      <c r="F874" s="231"/>
      <c r="G874" s="232">
        <v>508809</v>
      </c>
      <c r="H874" s="220">
        <v>2144438</v>
      </c>
      <c r="I874" s="232">
        <v>1261342</v>
      </c>
      <c r="J874" s="231">
        <v>289372</v>
      </c>
      <c r="K874" s="220">
        <f t="shared" si="27"/>
        <v>4203961</v>
      </c>
      <c r="L874" s="231"/>
      <c r="M874" s="232">
        <v>250008</v>
      </c>
      <c r="N874" s="232">
        <v>0</v>
      </c>
      <c r="O874" s="231">
        <v>73071</v>
      </c>
      <c r="P874" s="220">
        <f t="shared" si="28"/>
        <v>323079</v>
      </c>
      <c r="Q874" s="231"/>
      <c r="R874" s="232">
        <v>2976416</v>
      </c>
      <c r="S874" s="233">
        <v>55175</v>
      </c>
      <c r="T874" s="233">
        <f>3031592-1</f>
        <v>3031591</v>
      </c>
    </row>
    <row r="875" spans="1:20">
      <c r="A875" s="226">
        <v>99602</v>
      </c>
      <c r="B875" s="227" t="s">
        <v>1579</v>
      </c>
      <c r="C875" s="87">
        <v>6.19E-5</v>
      </c>
      <c r="D875" s="87">
        <v>5.1700000000000003E-5</v>
      </c>
      <c r="E875" s="231">
        <v>94566</v>
      </c>
      <c r="F875" s="231"/>
      <c r="G875" s="232">
        <v>5448</v>
      </c>
      <c r="H875" s="220">
        <v>22961</v>
      </c>
      <c r="I875" s="232">
        <v>13505</v>
      </c>
      <c r="J875" s="231">
        <v>10306</v>
      </c>
      <c r="K875" s="220">
        <f t="shared" si="27"/>
        <v>52220</v>
      </c>
      <c r="L875" s="231"/>
      <c r="M875" s="232">
        <v>2677</v>
      </c>
      <c r="N875" s="232">
        <v>0</v>
      </c>
      <c r="O875" s="231">
        <v>2067</v>
      </c>
      <c r="P875" s="220">
        <f t="shared" si="28"/>
        <v>4744</v>
      </c>
      <c r="Q875" s="231"/>
      <c r="R875" s="232">
        <v>31869</v>
      </c>
      <c r="S875" s="233">
        <v>1298</v>
      </c>
      <c r="T875" s="233">
        <v>33167</v>
      </c>
    </row>
    <row r="876" spans="1:20">
      <c r="A876" s="226">
        <v>99603</v>
      </c>
      <c r="B876" s="227" t="s">
        <v>1580</v>
      </c>
      <c r="C876" s="87">
        <v>1.615E-4</v>
      </c>
      <c r="D876" s="87">
        <v>1.4219999999999999E-4</v>
      </c>
      <c r="E876" s="231">
        <v>246727</v>
      </c>
      <c r="F876" s="231"/>
      <c r="G876" s="232">
        <v>14214</v>
      </c>
      <c r="H876" s="220">
        <v>59905</v>
      </c>
      <c r="I876" s="232">
        <v>35236</v>
      </c>
      <c r="J876" s="231">
        <v>95435</v>
      </c>
      <c r="K876" s="220">
        <f t="shared" si="27"/>
        <v>204790</v>
      </c>
      <c r="L876" s="231"/>
      <c r="M876" s="232">
        <v>6984</v>
      </c>
      <c r="N876" s="232">
        <v>0</v>
      </c>
      <c r="O876" s="231">
        <v>0</v>
      </c>
      <c r="P876" s="220">
        <f t="shared" si="28"/>
        <v>6984</v>
      </c>
      <c r="Q876" s="231"/>
      <c r="R876" s="232">
        <v>83147</v>
      </c>
      <c r="S876" s="233">
        <v>37380</v>
      </c>
      <c r="T876" s="233">
        <v>120527</v>
      </c>
    </row>
    <row r="877" spans="1:20">
      <c r="A877" s="226">
        <v>99604</v>
      </c>
      <c r="B877" s="227" t="s">
        <v>1581</v>
      </c>
      <c r="C877" s="87">
        <v>1.009E-4</v>
      </c>
      <c r="D877" s="87">
        <v>9.6899999999999997E-5</v>
      </c>
      <c r="E877" s="231">
        <v>154147</v>
      </c>
      <c r="F877" s="231"/>
      <c r="G877" s="232">
        <v>8880</v>
      </c>
      <c r="H877" s="220">
        <v>37427</v>
      </c>
      <c r="I877" s="232">
        <v>22014</v>
      </c>
      <c r="J877" s="231">
        <v>20530</v>
      </c>
      <c r="K877" s="220">
        <f t="shared" si="27"/>
        <v>88851</v>
      </c>
      <c r="L877" s="231"/>
      <c r="M877" s="232">
        <v>4363</v>
      </c>
      <c r="N877" s="232">
        <v>0</v>
      </c>
      <c r="O877" s="231">
        <v>0</v>
      </c>
      <c r="P877" s="220">
        <f t="shared" si="28"/>
        <v>4363</v>
      </c>
      <c r="Q877" s="231"/>
      <c r="R877" s="232">
        <v>51948</v>
      </c>
      <c r="S877" s="233">
        <v>9479</v>
      </c>
      <c r="T877" s="233">
        <v>61427</v>
      </c>
    </row>
    <row r="878" spans="1:20">
      <c r="A878" s="226">
        <v>99609</v>
      </c>
      <c r="B878" s="227" t="s">
        <v>1582</v>
      </c>
      <c r="C878" s="87">
        <v>1.52E-5</v>
      </c>
      <c r="D878" s="87">
        <v>2.0999999999999999E-5</v>
      </c>
      <c r="E878" s="231">
        <v>23221</v>
      </c>
      <c r="F878" s="231"/>
      <c r="G878" s="232">
        <v>1338</v>
      </c>
      <c r="H878" s="220">
        <v>5638</v>
      </c>
      <c r="I878" s="232">
        <v>3316</v>
      </c>
      <c r="J878" s="231">
        <v>3555</v>
      </c>
      <c r="K878" s="220">
        <f t="shared" si="27"/>
        <v>13847</v>
      </c>
      <c r="L878" s="231"/>
      <c r="M878" s="232">
        <v>657</v>
      </c>
      <c r="N878" s="232">
        <v>0</v>
      </c>
      <c r="O878" s="231">
        <v>1523</v>
      </c>
      <c r="P878" s="220">
        <f t="shared" si="28"/>
        <v>2180</v>
      </c>
      <c r="Q878" s="231"/>
      <c r="R878" s="232">
        <v>7826</v>
      </c>
      <c r="S878" s="233">
        <v>1693</v>
      </c>
      <c r="T878" s="233">
        <v>9519</v>
      </c>
    </row>
    <row r="879" spans="1:20">
      <c r="A879" s="226">
        <v>99610</v>
      </c>
      <c r="B879" s="227" t="s">
        <v>1583</v>
      </c>
      <c r="C879" s="87">
        <v>1.9440000000000001E-4</v>
      </c>
      <c r="D879" s="87">
        <v>1.9440000000000001E-4</v>
      </c>
      <c r="E879" s="231">
        <v>296989</v>
      </c>
      <c r="F879" s="231"/>
      <c r="G879" s="232">
        <v>17109</v>
      </c>
      <c r="H879" s="220">
        <v>72109</v>
      </c>
      <c r="I879" s="232">
        <v>42414</v>
      </c>
      <c r="J879" s="231">
        <v>2712</v>
      </c>
      <c r="K879" s="220">
        <f t="shared" si="27"/>
        <v>134344</v>
      </c>
      <c r="L879" s="231"/>
      <c r="M879" s="232">
        <v>8407</v>
      </c>
      <c r="N879" s="232">
        <v>0</v>
      </c>
      <c r="O879" s="231">
        <v>4164</v>
      </c>
      <c r="P879" s="220">
        <f t="shared" si="28"/>
        <v>12571</v>
      </c>
      <c r="Q879" s="231"/>
      <c r="R879" s="232">
        <v>100086</v>
      </c>
      <c r="S879" s="233">
        <v>576</v>
      </c>
      <c r="T879" s="233">
        <v>100662</v>
      </c>
    </row>
    <row r="880" spans="1:20">
      <c r="A880" s="226">
        <v>99611</v>
      </c>
      <c r="B880" s="227" t="s">
        <v>1584</v>
      </c>
      <c r="C880" s="87">
        <v>3.1959000000000002E-3</v>
      </c>
      <c r="D880" s="87">
        <v>3.1495999999999998E-3</v>
      </c>
      <c r="E880" s="231">
        <v>4882450</v>
      </c>
      <c r="F880" s="231"/>
      <c r="G880" s="232">
        <v>281274</v>
      </c>
      <c r="H880" s="220">
        <v>1185465</v>
      </c>
      <c r="I880" s="232">
        <v>697281</v>
      </c>
      <c r="J880" s="231">
        <v>36523</v>
      </c>
      <c r="K880" s="220">
        <f t="shared" si="27"/>
        <v>2200543</v>
      </c>
      <c r="L880" s="231"/>
      <c r="M880" s="232">
        <v>138207</v>
      </c>
      <c r="N880" s="232">
        <v>0</v>
      </c>
      <c r="O880" s="231">
        <v>197702</v>
      </c>
      <c r="P880" s="220">
        <f t="shared" si="28"/>
        <v>335909</v>
      </c>
      <c r="Q880" s="231"/>
      <c r="R880" s="232">
        <v>1645390</v>
      </c>
      <c r="S880" s="233">
        <v>-88518</v>
      </c>
      <c r="T880" s="233">
        <v>1556872</v>
      </c>
    </row>
    <row r="881" spans="1:20">
      <c r="A881" s="226">
        <v>99613</v>
      </c>
      <c r="B881" s="227" t="s">
        <v>1585</v>
      </c>
      <c r="C881" s="87">
        <v>3.2909999999999998E-4</v>
      </c>
      <c r="D881" s="87">
        <v>3.369E-4</v>
      </c>
      <c r="E881" s="231">
        <v>502774</v>
      </c>
      <c r="F881" s="231"/>
      <c r="G881" s="232">
        <v>28964</v>
      </c>
      <c r="H881" s="220">
        <v>122074</v>
      </c>
      <c r="I881" s="232">
        <v>71803</v>
      </c>
      <c r="J881" s="231">
        <v>283917</v>
      </c>
      <c r="K881" s="220">
        <f t="shared" si="27"/>
        <v>506758</v>
      </c>
      <c r="L881" s="231"/>
      <c r="M881" s="232">
        <v>14232</v>
      </c>
      <c r="N881" s="232">
        <v>0</v>
      </c>
      <c r="O881" s="231">
        <v>0</v>
      </c>
      <c r="P881" s="220">
        <f t="shared" si="28"/>
        <v>14232</v>
      </c>
      <c r="Q881" s="231"/>
      <c r="R881" s="232">
        <v>169435</v>
      </c>
      <c r="S881" s="233">
        <v>96572</v>
      </c>
      <c r="T881" s="233">
        <v>266007</v>
      </c>
    </row>
    <row r="882" spans="1:20">
      <c r="A882" s="226">
        <v>99621</v>
      </c>
      <c r="B882" s="227" t="s">
        <v>1586</v>
      </c>
      <c r="C882" s="87">
        <v>3.7060000000000001E-4</v>
      </c>
      <c r="D882" s="87">
        <v>3.2850000000000002E-4</v>
      </c>
      <c r="E882" s="231">
        <v>566174</v>
      </c>
      <c r="F882" s="231"/>
      <c r="G882" s="232">
        <v>32617</v>
      </c>
      <c r="H882" s="220">
        <v>137468</v>
      </c>
      <c r="I882" s="232">
        <v>80858</v>
      </c>
      <c r="J882" s="231">
        <v>42182</v>
      </c>
      <c r="K882" s="220">
        <f t="shared" si="27"/>
        <v>293125</v>
      </c>
      <c r="L882" s="231"/>
      <c r="M882" s="232">
        <v>16027</v>
      </c>
      <c r="N882" s="232">
        <v>0</v>
      </c>
      <c r="O882" s="231">
        <v>4670</v>
      </c>
      <c r="P882" s="220">
        <f t="shared" si="28"/>
        <v>20697</v>
      </c>
      <c r="Q882" s="231"/>
      <c r="R882" s="232">
        <v>190801</v>
      </c>
      <c r="S882" s="233">
        <v>12829</v>
      </c>
      <c r="T882" s="233">
        <v>203630</v>
      </c>
    </row>
    <row r="883" spans="1:20">
      <c r="A883" s="226">
        <v>99623</v>
      </c>
      <c r="B883" s="227" t="s">
        <v>1587</v>
      </c>
      <c r="C883" s="87">
        <v>2.6400000000000001E-5</v>
      </c>
      <c r="D883" s="87">
        <v>2.9200000000000002E-5</v>
      </c>
      <c r="E883" s="231">
        <v>40332</v>
      </c>
      <c r="F883" s="231"/>
      <c r="G883" s="232">
        <v>2323</v>
      </c>
      <c r="H883" s="220">
        <v>9793</v>
      </c>
      <c r="I883" s="232">
        <v>5760</v>
      </c>
      <c r="J883" s="231">
        <v>2450</v>
      </c>
      <c r="K883" s="220">
        <f t="shared" si="27"/>
        <v>20326</v>
      </c>
      <c r="L883" s="231"/>
      <c r="M883" s="232">
        <v>1142</v>
      </c>
      <c r="N883" s="232">
        <v>0</v>
      </c>
      <c r="O883" s="231">
        <v>2848</v>
      </c>
      <c r="P883" s="220">
        <f t="shared" si="28"/>
        <v>3990</v>
      </c>
      <c r="Q883" s="231"/>
      <c r="R883" s="232">
        <v>13592</v>
      </c>
      <c r="S883" s="233">
        <v>317</v>
      </c>
      <c r="T883" s="233">
        <f>13908+1</f>
        <v>13909</v>
      </c>
    </row>
    <row r="884" spans="1:20">
      <c r="A884" s="226">
        <v>99631</v>
      </c>
      <c r="B884" s="227" t="s">
        <v>1588</v>
      </c>
      <c r="C884" s="87">
        <v>1.102E-4</v>
      </c>
      <c r="D884" s="87">
        <v>1.0340000000000001E-4</v>
      </c>
      <c r="E884" s="231">
        <v>168355</v>
      </c>
      <c r="F884" s="231"/>
      <c r="G884" s="232">
        <v>9699</v>
      </c>
      <c r="H884" s="220">
        <v>40877</v>
      </c>
      <c r="I884" s="232">
        <v>24043</v>
      </c>
      <c r="J884" s="231">
        <v>1071</v>
      </c>
      <c r="K884" s="220">
        <f t="shared" si="27"/>
        <v>75690</v>
      </c>
      <c r="L884" s="231"/>
      <c r="M884" s="232">
        <v>4766</v>
      </c>
      <c r="N884" s="232">
        <v>0</v>
      </c>
      <c r="O884" s="231">
        <v>5159</v>
      </c>
      <c r="P884" s="220">
        <f t="shared" si="28"/>
        <v>9925</v>
      </c>
      <c r="Q884" s="231"/>
      <c r="R884" s="232">
        <v>56736</v>
      </c>
      <c r="S884" s="233">
        <v>-3954</v>
      </c>
      <c r="T884" s="233">
        <f>52781+1</f>
        <v>52782</v>
      </c>
    </row>
    <row r="885" spans="1:20">
      <c r="A885" s="226">
        <v>99651</v>
      </c>
      <c r="B885" s="227" t="s">
        <v>1589</v>
      </c>
      <c r="C885" s="87">
        <v>6.7199999999999994E-5</v>
      </c>
      <c r="D885" s="87">
        <v>6.7100000000000005E-5</v>
      </c>
      <c r="E885" s="231">
        <v>102663</v>
      </c>
      <c r="F885" s="231"/>
      <c r="G885" s="232">
        <v>5914</v>
      </c>
      <c r="H885" s="220">
        <v>24927</v>
      </c>
      <c r="I885" s="232">
        <v>14662</v>
      </c>
      <c r="J885" s="231">
        <v>5944</v>
      </c>
      <c r="K885" s="220">
        <f t="shared" si="27"/>
        <v>51447</v>
      </c>
      <c r="L885" s="231"/>
      <c r="M885" s="232">
        <v>2906</v>
      </c>
      <c r="N885" s="232">
        <v>0</v>
      </c>
      <c r="O885" s="231">
        <v>1841</v>
      </c>
      <c r="P885" s="220">
        <f t="shared" si="28"/>
        <v>4747</v>
      </c>
      <c r="Q885" s="231"/>
      <c r="R885" s="232">
        <v>34598</v>
      </c>
      <c r="S885" s="233">
        <v>1312</v>
      </c>
      <c r="T885" s="233">
        <v>35910</v>
      </c>
    </row>
    <row r="886" spans="1:20">
      <c r="A886" s="226">
        <v>99661</v>
      </c>
      <c r="B886" s="227" t="s">
        <v>1590</v>
      </c>
      <c r="C886" s="87">
        <v>3.26E-5</v>
      </c>
      <c r="D886" s="87">
        <v>3.5500000000000002E-5</v>
      </c>
      <c r="E886" s="231">
        <v>49804</v>
      </c>
      <c r="F886" s="231"/>
      <c r="G886" s="232">
        <v>2869</v>
      </c>
      <c r="H886" s="220">
        <v>12092</v>
      </c>
      <c r="I886" s="232">
        <v>7113</v>
      </c>
      <c r="J886" s="231">
        <v>34726</v>
      </c>
      <c r="K886" s="220">
        <f t="shared" si="27"/>
        <v>56800</v>
      </c>
      <c r="L886" s="231"/>
      <c r="M886" s="232">
        <v>1410</v>
      </c>
      <c r="N886" s="232">
        <v>0</v>
      </c>
      <c r="O886" s="231">
        <v>0</v>
      </c>
      <c r="P886" s="220">
        <f t="shared" si="28"/>
        <v>1410</v>
      </c>
      <c r="Q886" s="231"/>
      <c r="R886" s="232">
        <v>16784</v>
      </c>
      <c r="S886" s="233">
        <v>12838</v>
      </c>
      <c r="T886" s="233">
        <v>29622</v>
      </c>
    </row>
    <row r="887" spans="1:20">
      <c r="A887" s="226">
        <v>99701</v>
      </c>
      <c r="B887" s="227" t="s">
        <v>1591</v>
      </c>
      <c r="C887" s="87">
        <v>2.9190000000000002E-3</v>
      </c>
      <c r="D887" s="87">
        <v>2.8774E-3</v>
      </c>
      <c r="E887" s="231">
        <v>4459423</v>
      </c>
      <c r="F887" s="231"/>
      <c r="G887" s="232">
        <v>256904</v>
      </c>
      <c r="H887" s="220">
        <v>1082754</v>
      </c>
      <c r="I887" s="232">
        <v>636867</v>
      </c>
      <c r="J887" s="231">
        <v>21162</v>
      </c>
      <c r="K887" s="220">
        <f t="shared" si="27"/>
        <v>1997687</v>
      </c>
      <c r="L887" s="231"/>
      <c r="M887" s="232">
        <v>126232</v>
      </c>
      <c r="N887" s="232">
        <v>0</v>
      </c>
      <c r="O887" s="231">
        <v>17651</v>
      </c>
      <c r="P887" s="220">
        <f t="shared" si="28"/>
        <v>143883</v>
      </c>
      <c r="Q887" s="231"/>
      <c r="R887" s="232">
        <v>1502830</v>
      </c>
      <c r="S887" s="233">
        <v>-1976</v>
      </c>
      <c r="T887" s="233">
        <f>1500853+1</f>
        <v>1500854</v>
      </c>
    </row>
    <row r="888" spans="1:20">
      <c r="A888" s="226">
        <v>99705</v>
      </c>
      <c r="B888" s="227" t="s">
        <v>1592</v>
      </c>
      <c r="C888" s="87">
        <v>1.7229999999999999E-4</v>
      </c>
      <c r="D888" s="87">
        <v>1.7259999999999999E-4</v>
      </c>
      <c r="E888" s="231">
        <v>263227</v>
      </c>
      <c r="F888" s="231"/>
      <c r="G888" s="232">
        <v>15164</v>
      </c>
      <c r="H888" s="220">
        <v>63911</v>
      </c>
      <c r="I888" s="232">
        <v>37592</v>
      </c>
      <c r="J888" s="231">
        <v>10978</v>
      </c>
      <c r="K888" s="220">
        <f t="shared" si="27"/>
        <v>127645</v>
      </c>
      <c r="L888" s="231"/>
      <c r="M888" s="232">
        <v>7451</v>
      </c>
      <c r="N888" s="232">
        <v>0</v>
      </c>
      <c r="O888" s="231">
        <v>544</v>
      </c>
      <c r="P888" s="220">
        <f t="shared" si="28"/>
        <v>7995</v>
      </c>
      <c r="Q888" s="231"/>
      <c r="R888" s="232">
        <v>88708</v>
      </c>
      <c r="S888" s="233">
        <v>5913</v>
      </c>
      <c r="T888" s="233">
        <v>94621</v>
      </c>
    </row>
    <row r="889" spans="1:20">
      <c r="A889" s="226">
        <v>99711</v>
      </c>
      <c r="B889" s="227" t="s">
        <v>1593</v>
      </c>
      <c r="C889" s="87">
        <v>4.5459999999999999E-4</v>
      </c>
      <c r="D889" s="87">
        <v>4.3540000000000001E-4</v>
      </c>
      <c r="E889" s="231">
        <v>694503</v>
      </c>
      <c r="F889" s="231"/>
      <c r="G889" s="232">
        <v>40010</v>
      </c>
      <c r="H889" s="220">
        <v>168626</v>
      </c>
      <c r="I889" s="232">
        <v>99185</v>
      </c>
      <c r="J889" s="231">
        <v>14449</v>
      </c>
      <c r="K889" s="220">
        <f t="shared" si="27"/>
        <v>322270</v>
      </c>
      <c r="L889" s="231"/>
      <c r="M889" s="232">
        <v>19659</v>
      </c>
      <c r="N889" s="232">
        <v>0</v>
      </c>
      <c r="O889" s="231">
        <v>10625</v>
      </c>
      <c r="P889" s="220">
        <f t="shared" si="28"/>
        <v>30284</v>
      </c>
      <c r="Q889" s="231"/>
      <c r="R889" s="232">
        <v>234048</v>
      </c>
      <c r="S889" s="233">
        <v>-1042</v>
      </c>
      <c r="T889" s="233">
        <v>233006</v>
      </c>
    </row>
    <row r="890" spans="1:20">
      <c r="A890" s="226">
        <v>99717</v>
      </c>
      <c r="B890" s="227" t="s">
        <v>1594</v>
      </c>
      <c r="C890" s="87">
        <v>2.19E-5</v>
      </c>
      <c r="D890" s="87">
        <v>2.3200000000000001E-5</v>
      </c>
      <c r="E890" s="231">
        <v>33457</v>
      </c>
      <c r="F890" s="231"/>
      <c r="G890" s="232">
        <v>1927</v>
      </c>
      <c r="H890" s="220">
        <v>8123</v>
      </c>
      <c r="I890" s="232">
        <v>4778</v>
      </c>
      <c r="J890" s="231">
        <v>0</v>
      </c>
      <c r="K890" s="220">
        <f t="shared" si="27"/>
        <v>14828</v>
      </c>
      <c r="L890" s="231"/>
      <c r="M890" s="232">
        <v>947</v>
      </c>
      <c r="N890" s="232">
        <v>0</v>
      </c>
      <c r="O890" s="231">
        <v>3936</v>
      </c>
      <c r="P890" s="220">
        <f t="shared" si="28"/>
        <v>4883</v>
      </c>
      <c r="Q890" s="231"/>
      <c r="R890" s="232">
        <v>11275</v>
      </c>
      <c r="S890" s="233">
        <v>-1270</v>
      </c>
      <c r="T890" s="233">
        <v>10005</v>
      </c>
    </row>
    <row r="891" spans="1:20">
      <c r="A891" s="226">
        <v>99721</v>
      </c>
      <c r="B891" s="227" t="s">
        <v>1595</v>
      </c>
      <c r="C891" s="87">
        <v>5.7779999999999995E-4</v>
      </c>
      <c r="D891" s="87">
        <v>6.2449999999999995E-4</v>
      </c>
      <c r="E891" s="231">
        <v>882718</v>
      </c>
      <c r="F891" s="231"/>
      <c r="G891" s="232">
        <v>50853</v>
      </c>
      <c r="H891" s="220">
        <v>214325</v>
      </c>
      <c r="I891" s="232">
        <v>126064</v>
      </c>
      <c r="J891" s="231">
        <v>0</v>
      </c>
      <c r="K891" s="220">
        <f t="shared" si="27"/>
        <v>391242</v>
      </c>
      <c r="L891" s="231"/>
      <c r="M891" s="232">
        <v>24987</v>
      </c>
      <c r="N891" s="232">
        <v>0</v>
      </c>
      <c r="O891" s="231">
        <v>48789</v>
      </c>
      <c r="P891" s="220">
        <f t="shared" si="28"/>
        <v>73776</v>
      </c>
      <c r="Q891" s="231"/>
      <c r="R891" s="232">
        <v>297477</v>
      </c>
      <c r="S891" s="233">
        <v>-14223</v>
      </c>
      <c r="T891" s="233">
        <v>283254</v>
      </c>
    </row>
    <row r="892" spans="1:20">
      <c r="A892" s="226">
        <v>99727</v>
      </c>
      <c r="B892" s="227" t="s">
        <v>1596</v>
      </c>
      <c r="C892" s="87">
        <v>2.3900000000000002E-5</v>
      </c>
      <c r="D892" s="87">
        <v>2.5299999999999998E-5</v>
      </c>
      <c r="E892" s="231">
        <v>36513</v>
      </c>
      <c r="F892" s="231"/>
      <c r="G892" s="232">
        <v>2103</v>
      </c>
      <c r="H892" s="220">
        <v>8865</v>
      </c>
      <c r="I892" s="232">
        <v>5215</v>
      </c>
      <c r="J892" s="231">
        <v>59484</v>
      </c>
      <c r="K892" s="220">
        <f t="shared" si="27"/>
        <v>75667</v>
      </c>
      <c r="L892" s="231"/>
      <c r="M892" s="232">
        <v>1034</v>
      </c>
      <c r="N892" s="232">
        <v>0</v>
      </c>
      <c r="O892" s="231">
        <v>0</v>
      </c>
      <c r="P892" s="220">
        <f t="shared" si="28"/>
        <v>1034</v>
      </c>
      <c r="Q892" s="231"/>
      <c r="R892" s="232">
        <v>12305</v>
      </c>
      <c r="S892" s="233">
        <v>20983</v>
      </c>
      <c r="T892" s="233">
        <v>33288</v>
      </c>
    </row>
    <row r="893" spans="1:20">
      <c r="A893" s="226">
        <v>99801</v>
      </c>
      <c r="B893" s="227" t="s">
        <v>1597</v>
      </c>
      <c r="C893" s="87">
        <v>5.1866000000000004E-3</v>
      </c>
      <c r="D893" s="87">
        <v>5.1954999999999996E-3</v>
      </c>
      <c r="E893" s="231">
        <v>7923688</v>
      </c>
      <c r="F893" s="231"/>
      <c r="G893" s="232">
        <v>456478</v>
      </c>
      <c r="H893" s="220">
        <v>1923881</v>
      </c>
      <c r="I893" s="232">
        <v>1131612</v>
      </c>
      <c r="J893" s="231">
        <v>17042</v>
      </c>
      <c r="K893" s="220">
        <f t="shared" si="27"/>
        <v>3529013</v>
      </c>
      <c r="L893" s="231"/>
      <c r="M893" s="232">
        <v>224295</v>
      </c>
      <c r="N893" s="232">
        <v>0</v>
      </c>
      <c r="O893" s="231">
        <v>150042</v>
      </c>
      <c r="P893" s="220">
        <f t="shared" si="28"/>
        <v>374337</v>
      </c>
      <c r="Q893" s="231"/>
      <c r="R893" s="232">
        <v>2670290</v>
      </c>
      <c r="S893" s="233">
        <v>-29556</v>
      </c>
      <c r="T893" s="233">
        <f>2640733+1</f>
        <v>2640734</v>
      </c>
    </row>
    <row r="894" spans="1:20">
      <c r="A894" s="226">
        <v>99802</v>
      </c>
      <c r="B894" s="227" t="s">
        <v>1598</v>
      </c>
      <c r="C894" s="87">
        <v>6.0000000000000002E-6</v>
      </c>
      <c r="D894" s="87">
        <v>6.4999999999999996E-6</v>
      </c>
      <c r="E894" s="231">
        <v>9166</v>
      </c>
      <c r="F894" s="231"/>
      <c r="G894" s="232">
        <v>528</v>
      </c>
      <c r="H894" s="220">
        <v>2226</v>
      </c>
      <c r="I894" s="232">
        <v>1309</v>
      </c>
      <c r="J894" s="231">
        <v>1378</v>
      </c>
      <c r="K894" s="220">
        <f t="shared" si="27"/>
        <v>5441</v>
      </c>
      <c r="L894" s="231"/>
      <c r="M894" s="232">
        <v>259</v>
      </c>
      <c r="N894" s="232">
        <v>0</v>
      </c>
      <c r="O894" s="231">
        <v>53</v>
      </c>
      <c r="P894" s="220">
        <f t="shared" si="28"/>
        <v>312</v>
      </c>
      <c r="Q894" s="231"/>
      <c r="R894" s="232">
        <v>3089</v>
      </c>
      <c r="S894" s="233">
        <v>334</v>
      </c>
      <c r="T894" s="233">
        <v>3423</v>
      </c>
    </row>
    <row r="895" spans="1:20">
      <c r="A895" s="226">
        <v>99804</v>
      </c>
      <c r="B895" s="227" t="s">
        <v>1599</v>
      </c>
      <c r="C895" s="87">
        <v>9.0500000000000004E-5</v>
      </c>
      <c r="D895" s="87">
        <v>8.6600000000000004E-5</v>
      </c>
      <c r="E895" s="231">
        <v>138259</v>
      </c>
      <c r="F895" s="231"/>
      <c r="G895" s="232">
        <v>7965</v>
      </c>
      <c r="H895" s="220">
        <v>33569</v>
      </c>
      <c r="I895" s="232">
        <v>19745</v>
      </c>
      <c r="J895" s="231">
        <v>13689</v>
      </c>
      <c r="K895" s="220">
        <f t="shared" si="27"/>
        <v>74968</v>
      </c>
      <c r="L895" s="231"/>
      <c r="M895" s="232">
        <v>3914</v>
      </c>
      <c r="N895" s="232">
        <v>0</v>
      </c>
      <c r="O895" s="231">
        <v>0</v>
      </c>
      <c r="P895" s="220">
        <f t="shared" si="28"/>
        <v>3914</v>
      </c>
      <c r="Q895" s="231"/>
      <c r="R895" s="232">
        <v>46593</v>
      </c>
      <c r="S895" s="233">
        <v>4917</v>
      </c>
      <c r="T895" s="233">
        <v>51510</v>
      </c>
    </row>
    <row r="896" spans="1:20">
      <c r="A896" s="226">
        <v>99811</v>
      </c>
      <c r="B896" s="227" t="s">
        <v>1600</v>
      </c>
      <c r="C896" s="87">
        <v>6.7026999999999998E-3</v>
      </c>
      <c r="D896" s="87">
        <v>6.8415000000000004E-3</v>
      </c>
      <c r="E896" s="231">
        <v>10239869</v>
      </c>
      <c r="F896" s="231"/>
      <c r="G896" s="232">
        <v>589911</v>
      </c>
      <c r="H896" s="220">
        <v>2486253</v>
      </c>
      <c r="I896" s="232">
        <v>1462395</v>
      </c>
      <c r="J896" s="231">
        <v>0</v>
      </c>
      <c r="K896" s="220">
        <f t="shared" si="27"/>
        <v>4538559</v>
      </c>
      <c r="L896" s="231"/>
      <c r="M896" s="232">
        <v>289858</v>
      </c>
      <c r="N896" s="232">
        <v>0</v>
      </c>
      <c r="O896" s="231">
        <v>598680</v>
      </c>
      <c r="P896" s="220">
        <f t="shared" si="28"/>
        <v>888538</v>
      </c>
      <c r="Q896" s="231"/>
      <c r="R896" s="232">
        <v>3450845</v>
      </c>
      <c r="S896" s="233">
        <v>-236953</v>
      </c>
      <c r="T896" s="233">
        <f>3213891+1</f>
        <v>3213892</v>
      </c>
    </row>
    <row r="897" spans="1:20">
      <c r="A897" s="226">
        <v>99812</v>
      </c>
      <c r="B897" s="227" t="s">
        <v>1601</v>
      </c>
      <c r="C897" s="87">
        <v>2.2099999999999998E-5</v>
      </c>
      <c r="D897" s="87">
        <v>2.5599999999999999E-5</v>
      </c>
      <c r="E897" s="231">
        <v>33763</v>
      </c>
      <c r="F897" s="231"/>
      <c r="G897" s="232">
        <v>1945</v>
      </c>
      <c r="H897" s="220">
        <v>8198</v>
      </c>
      <c r="I897" s="232">
        <v>4822</v>
      </c>
      <c r="J897" s="231">
        <v>11652</v>
      </c>
      <c r="K897" s="220">
        <f t="shared" si="27"/>
        <v>26617</v>
      </c>
      <c r="L897" s="231"/>
      <c r="M897" s="232">
        <v>956</v>
      </c>
      <c r="N897" s="232">
        <v>0</v>
      </c>
      <c r="O897" s="231">
        <v>0</v>
      </c>
      <c r="P897" s="220">
        <f t="shared" si="28"/>
        <v>956</v>
      </c>
      <c r="Q897" s="231"/>
      <c r="R897" s="232">
        <v>11378</v>
      </c>
      <c r="S897" s="233">
        <v>4237</v>
      </c>
      <c r="T897" s="233">
        <v>15615</v>
      </c>
    </row>
    <row r="898" spans="1:20">
      <c r="A898" s="226">
        <v>99818</v>
      </c>
      <c r="B898" s="227" t="s">
        <v>1602</v>
      </c>
      <c r="C898" s="87">
        <v>3.1600000000000002E-5</v>
      </c>
      <c r="D898" s="87">
        <v>3.7700000000000002E-5</v>
      </c>
      <c r="E898" s="231">
        <v>48276</v>
      </c>
      <c r="F898" s="231"/>
      <c r="G898" s="232">
        <v>2781</v>
      </c>
      <c r="H898" s="220">
        <v>11722</v>
      </c>
      <c r="I898" s="232">
        <v>6894</v>
      </c>
      <c r="J898" s="231">
        <v>3054</v>
      </c>
      <c r="K898" s="220">
        <f t="shared" si="27"/>
        <v>24451</v>
      </c>
      <c r="L898" s="231"/>
      <c r="M898" s="232">
        <v>1367</v>
      </c>
      <c r="N898" s="232">
        <v>0</v>
      </c>
      <c r="O898" s="231">
        <v>6414</v>
      </c>
      <c r="P898" s="220">
        <f t="shared" si="28"/>
        <v>7781</v>
      </c>
      <c r="Q898" s="231"/>
      <c r="R898" s="232">
        <v>16269</v>
      </c>
      <c r="S898" s="233">
        <v>695</v>
      </c>
      <c r="T898" s="233">
        <v>16964</v>
      </c>
    </row>
    <row r="899" spans="1:20">
      <c r="A899" s="226">
        <v>99821</v>
      </c>
      <c r="B899" s="227" t="s">
        <v>1603</v>
      </c>
      <c r="C899" s="87">
        <v>9.1100000000000005E-5</v>
      </c>
      <c r="D899" s="87">
        <v>8.2899999999999996E-5</v>
      </c>
      <c r="E899" s="231">
        <v>139176</v>
      </c>
      <c r="F899" s="231"/>
      <c r="G899" s="232">
        <v>8018</v>
      </c>
      <c r="H899" s="220">
        <v>33792</v>
      </c>
      <c r="I899" s="232">
        <v>19876</v>
      </c>
      <c r="J899" s="231">
        <v>21459</v>
      </c>
      <c r="K899" s="220">
        <f t="shared" si="27"/>
        <v>83145</v>
      </c>
      <c r="L899" s="231"/>
      <c r="M899" s="232">
        <v>3940</v>
      </c>
      <c r="N899" s="232">
        <v>0</v>
      </c>
      <c r="O899" s="231">
        <v>555</v>
      </c>
      <c r="P899" s="220">
        <f t="shared" si="28"/>
        <v>4495</v>
      </c>
      <c r="Q899" s="231"/>
      <c r="R899" s="232">
        <v>46902</v>
      </c>
      <c r="S899" s="233">
        <v>9955</v>
      </c>
      <c r="T899" s="233">
        <v>56857</v>
      </c>
    </row>
    <row r="900" spans="1:20">
      <c r="A900" s="226">
        <v>99831</v>
      </c>
      <c r="B900" s="227" t="s">
        <v>1604</v>
      </c>
      <c r="C900" s="87">
        <v>6.3299999999999994E-5</v>
      </c>
      <c r="D900" s="87">
        <v>5.5899999999999997E-5</v>
      </c>
      <c r="E900" s="231">
        <v>96705</v>
      </c>
      <c r="F900" s="231"/>
      <c r="G900" s="232">
        <v>5571</v>
      </c>
      <c r="H900" s="220">
        <v>23480</v>
      </c>
      <c r="I900" s="232">
        <v>13811</v>
      </c>
      <c r="J900" s="231">
        <v>7030</v>
      </c>
      <c r="K900" s="220">
        <f t="shared" si="27"/>
        <v>49892</v>
      </c>
      <c r="L900" s="231"/>
      <c r="M900" s="232">
        <v>2737</v>
      </c>
      <c r="N900" s="232">
        <v>0</v>
      </c>
      <c r="O900" s="231">
        <v>564</v>
      </c>
      <c r="P900" s="220">
        <f t="shared" si="28"/>
        <v>3301</v>
      </c>
      <c r="Q900" s="231"/>
      <c r="R900" s="232">
        <v>32590</v>
      </c>
      <c r="S900" s="233">
        <v>1906</v>
      </c>
      <c r="T900" s="233">
        <f>34495+1</f>
        <v>34496</v>
      </c>
    </row>
    <row r="901" spans="1:20">
      <c r="A901" s="226">
        <v>99841</v>
      </c>
      <c r="B901" s="227" t="s">
        <v>1605</v>
      </c>
      <c r="C901" s="87">
        <v>4.3399999999999998E-5</v>
      </c>
      <c r="D901" s="87">
        <v>4.6E-5</v>
      </c>
      <c r="E901" s="231">
        <v>66303</v>
      </c>
      <c r="F901" s="231"/>
      <c r="G901" s="232">
        <v>3820</v>
      </c>
      <c r="H901" s="220">
        <v>16098</v>
      </c>
      <c r="I901" s="232">
        <v>9469</v>
      </c>
      <c r="J901" s="231">
        <v>1271</v>
      </c>
      <c r="K901" s="220">
        <f t="shared" si="27"/>
        <v>30658</v>
      </c>
      <c r="L901" s="231"/>
      <c r="M901" s="232">
        <v>1877</v>
      </c>
      <c r="N901" s="232">
        <v>0</v>
      </c>
      <c r="O901" s="231">
        <v>4060</v>
      </c>
      <c r="P901" s="220">
        <f t="shared" si="28"/>
        <v>5937</v>
      </c>
      <c r="Q901" s="231"/>
      <c r="R901" s="232">
        <v>22344</v>
      </c>
      <c r="S901" s="233">
        <v>-1214</v>
      </c>
      <c r="T901" s="233">
        <v>21130</v>
      </c>
    </row>
    <row r="902" spans="1:20">
      <c r="A902" s="226">
        <v>99851</v>
      </c>
      <c r="B902" s="227" t="s">
        <v>1606</v>
      </c>
      <c r="C902" s="87">
        <v>2.23E-5</v>
      </c>
      <c r="D902" s="87">
        <v>2.1999999999999999E-5</v>
      </c>
      <c r="E902" s="231">
        <v>34068</v>
      </c>
      <c r="F902" s="231"/>
      <c r="G902" s="232">
        <v>1963</v>
      </c>
      <c r="H902" s="220">
        <v>8272</v>
      </c>
      <c r="I902" s="232">
        <v>4865</v>
      </c>
      <c r="J902" s="231">
        <v>142</v>
      </c>
      <c r="K902" s="220">
        <f t="shared" si="27"/>
        <v>15242</v>
      </c>
      <c r="L902" s="231"/>
      <c r="M902" s="232">
        <v>964</v>
      </c>
      <c r="N902" s="232">
        <v>0</v>
      </c>
      <c r="O902" s="231">
        <v>3191</v>
      </c>
      <c r="P902" s="220">
        <f t="shared" si="28"/>
        <v>4155</v>
      </c>
      <c r="Q902" s="231"/>
      <c r="R902" s="232">
        <v>11481</v>
      </c>
      <c r="S902" s="233">
        <v>-847</v>
      </c>
      <c r="T902" s="233">
        <v>10634</v>
      </c>
    </row>
    <row r="903" spans="1:20">
      <c r="A903" s="226">
        <v>99901</v>
      </c>
      <c r="B903" s="227" t="s">
        <v>1607</v>
      </c>
      <c r="C903" s="87">
        <v>1.6707E-3</v>
      </c>
      <c r="D903" s="87">
        <v>1.6371999999999999E-3</v>
      </c>
      <c r="E903" s="231">
        <v>2552367</v>
      </c>
      <c r="F903" s="231"/>
      <c r="G903" s="232">
        <v>147040</v>
      </c>
      <c r="H903" s="220">
        <v>619718</v>
      </c>
      <c r="I903" s="232">
        <v>364513</v>
      </c>
      <c r="J903" s="231">
        <v>63407</v>
      </c>
      <c r="K903" s="220">
        <f t="shared" si="27"/>
        <v>1194678</v>
      </c>
      <c r="L903" s="231"/>
      <c r="M903" s="232">
        <v>72249</v>
      </c>
      <c r="N903" s="232">
        <v>0</v>
      </c>
      <c r="O903" s="231">
        <v>12021</v>
      </c>
      <c r="P903" s="220">
        <f t="shared" si="28"/>
        <v>84270</v>
      </c>
      <c r="Q903" s="231"/>
      <c r="R903" s="232">
        <v>860150</v>
      </c>
      <c r="S903" s="233">
        <v>13114</v>
      </c>
      <c r="T903" s="233">
        <v>873264</v>
      </c>
    </row>
    <row r="904" spans="1:20">
      <c r="A904" s="226">
        <v>99911</v>
      </c>
      <c r="B904" s="227" t="s">
        <v>1608</v>
      </c>
      <c r="C904" s="87">
        <v>2.5980000000000003E-4</v>
      </c>
      <c r="D904" s="87">
        <v>2.5520000000000002E-4</v>
      </c>
      <c r="E904" s="231">
        <v>396902</v>
      </c>
      <c r="F904" s="231"/>
      <c r="G904" s="232">
        <v>22865</v>
      </c>
      <c r="H904" s="220">
        <v>96368</v>
      </c>
      <c r="I904" s="232">
        <v>56683</v>
      </c>
      <c r="J904" s="231">
        <v>7168</v>
      </c>
      <c r="K904" s="220">
        <f t="shared" si="27"/>
        <v>183084</v>
      </c>
      <c r="L904" s="231"/>
      <c r="M904" s="232">
        <v>11235</v>
      </c>
      <c r="N904" s="232">
        <v>0</v>
      </c>
      <c r="O904" s="231">
        <v>12661</v>
      </c>
      <c r="P904" s="220">
        <f t="shared" si="28"/>
        <v>23896</v>
      </c>
      <c r="Q904" s="231"/>
      <c r="R904" s="232">
        <v>133756</v>
      </c>
      <c r="S904" s="233">
        <v>-5521</v>
      </c>
      <c r="T904" s="233">
        <v>128235</v>
      </c>
    </row>
    <row r="905" spans="1:20">
      <c r="A905" s="226">
        <v>99921</v>
      </c>
      <c r="B905" s="227" t="s">
        <v>1609</v>
      </c>
      <c r="C905" s="87">
        <v>1.506E-4</v>
      </c>
      <c r="D905" s="87">
        <v>1.5129999999999999E-4</v>
      </c>
      <c r="E905" s="231">
        <v>230075</v>
      </c>
      <c r="F905" s="231"/>
      <c r="G905" s="232">
        <v>13254</v>
      </c>
      <c r="H905" s="220">
        <v>55863</v>
      </c>
      <c r="I905" s="232">
        <v>32858</v>
      </c>
      <c r="J905" s="231">
        <v>3258</v>
      </c>
      <c r="K905" s="220">
        <f t="shared" si="27"/>
        <v>105233</v>
      </c>
      <c r="L905" s="231"/>
      <c r="M905" s="232">
        <v>6513</v>
      </c>
      <c r="N905" s="232">
        <v>0</v>
      </c>
      <c r="O905" s="231">
        <v>7306</v>
      </c>
      <c r="P905" s="220">
        <f t="shared" si="28"/>
        <v>13819</v>
      </c>
      <c r="Q905" s="231"/>
      <c r="R905" s="232">
        <v>77536</v>
      </c>
      <c r="S905" s="233">
        <v>-3057</v>
      </c>
      <c r="T905" s="233">
        <v>74479</v>
      </c>
    </row>
    <row r="906" spans="1:20">
      <c r="A906" s="226">
        <v>99931</v>
      </c>
      <c r="B906" s="227" t="s">
        <v>1610</v>
      </c>
      <c r="C906" s="87">
        <v>1.5800000000000001E-5</v>
      </c>
      <c r="D906" s="87">
        <v>2.51E-5</v>
      </c>
      <c r="E906" s="231">
        <v>24138</v>
      </c>
      <c r="F906" s="231"/>
      <c r="G906" s="232">
        <v>1391</v>
      </c>
      <c r="H906" s="220">
        <v>5860</v>
      </c>
      <c r="I906" s="232">
        <v>3447</v>
      </c>
      <c r="J906" s="231">
        <v>0</v>
      </c>
      <c r="K906" s="220">
        <f t="shared" ref="K906:K911" si="29">G906+H906+I906+J906</f>
        <v>10698</v>
      </c>
      <c r="L906" s="231"/>
      <c r="M906" s="232">
        <v>683</v>
      </c>
      <c r="N906" s="232">
        <v>0</v>
      </c>
      <c r="O906" s="231">
        <v>8477</v>
      </c>
      <c r="P906" s="220">
        <f t="shared" ref="P906:P911" si="30">M906+N906+O906</f>
        <v>9160</v>
      </c>
      <c r="Q906" s="231"/>
      <c r="R906" s="232">
        <v>8135</v>
      </c>
      <c r="S906" s="233">
        <v>-3271</v>
      </c>
      <c r="T906" s="233">
        <v>4864</v>
      </c>
    </row>
    <row r="907" spans="1:20">
      <c r="A907" s="226">
        <v>99941</v>
      </c>
      <c r="B907" s="227" t="s">
        <v>1611</v>
      </c>
      <c r="C907" s="87">
        <v>7.5400000000000003E-5</v>
      </c>
      <c r="D907" s="87">
        <v>7.8200000000000003E-5</v>
      </c>
      <c r="E907" s="231">
        <v>115190</v>
      </c>
      <c r="F907" s="231"/>
      <c r="G907" s="232">
        <v>6636</v>
      </c>
      <c r="H907" s="220">
        <v>27969</v>
      </c>
      <c r="I907" s="232">
        <v>16451</v>
      </c>
      <c r="J907" s="231">
        <v>0</v>
      </c>
      <c r="K907" s="220">
        <f t="shared" si="29"/>
        <v>51056</v>
      </c>
      <c r="L907" s="231"/>
      <c r="M907" s="232">
        <v>3261</v>
      </c>
      <c r="N907" s="232">
        <v>0</v>
      </c>
      <c r="O907" s="231">
        <v>11647</v>
      </c>
      <c r="P907" s="220">
        <f t="shared" si="30"/>
        <v>14908</v>
      </c>
      <c r="Q907" s="231"/>
      <c r="R907" s="232">
        <v>38819</v>
      </c>
      <c r="S907" s="233">
        <v>-4535</v>
      </c>
      <c r="T907" s="233">
        <f>34285-1</f>
        <v>34284</v>
      </c>
    </row>
    <row r="908" spans="1:20">
      <c r="A908" s="226">
        <v>99991</v>
      </c>
      <c r="B908" s="227" t="s">
        <v>1612</v>
      </c>
      <c r="C908" s="87">
        <v>5.3450000000000004E-4</v>
      </c>
      <c r="D908" s="87">
        <v>5.6990000000000003E-4</v>
      </c>
      <c r="E908" s="231">
        <v>816568</v>
      </c>
      <c r="F908" s="231"/>
      <c r="G908" s="232">
        <v>47042</v>
      </c>
      <c r="H908" s="220">
        <v>198264</v>
      </c>
      <c r="I908" s="232">
        <v>116617</v>
      </c>
      <c r="J908" s="231">
        <v>28891</v>
      </c>
      <c r="K908" s="220">
        <f t="shared" si="29"/>
        <v>390814</v>
      </c>
      <c r="L908" s="231"/>
      <c r="M908" s="232">
        <v>23114</v>
      </c>
      <c r="N908" s="232">
        <v>0</v>
      </c>
      <c r="O908" s="231">
        <v>28214</v>
      </c>
      <c r="P908" s="220">
        <f t="shared" si="30"/>
        <v>51328</v>
      </c>
      <c r="Q908" s="231"/>
      <c r="R908" s="232">
        <v>275184</v>
      </c>
      <c r="S908" s="233">
        <v>12361</v>
      </c>
      <c r="T908" s="233">
        <v>287545</v>
      </c>
    </row>
    <row r="909" spans="1:20">
      <c r="A909" s="226">
        <v>99999</v>
      </c>
      <c r="B909" s="227" t="s">
        <v>1613</v>
      </c>
      <c r="C909" s="87">
        <v>8.7509999999999997E-4</v>
      </c>
      <c r="D909" s="87">
        <v>1.0101000000000001E-3</v>
      </c>
      <c r="E909" s="231">
        <v>1336910</v>
      </c>
      <c r="F909" s="231"/>
      <c r="G909" s="232">
        <v>77018</v>
      </c>
      <c r="H909" s="220">
        <v>324603</v>
      </c>
      <c r="I909" s="232">
        <v>190929</v>
      </c>
      <c r="J909" s="231">
        <v>77711</v>
      </c>
      <c r="K909" s="220">
        <f t="shared" si="29"/>
        <v>670261</v>
      </c>
      <c r="L909" s="231"/>
      <c r="M909" s="232">
        <v>37844</v>
      </c>
      <c r="N909" s="232">
        <v>0</v>
      </c>
      <c r="O909" s="231">
        <v>26259</v>
      </c>
      <c r="P909" s="220">
        <f t="shared" si="30"/>
        <v>64103</v>
      </c>
      <c r="Q909" s="231"/>
      <c r="R909" s="232">
        <v>450540</v>
      </c>
      <c r="S909" s="233">
        <v>10651</v>
      </c>
      <c r="T909" s="233">
        <v>461191</v>
      </c>
    </row>
    <row r="910" spans="1:20">
      <c r="A910" s="226">
        <v>94937</v>
      </c>
      <c r="B910" s="227" t="s">
        <v>2705</v>
      </c>
      <c r="C910" s="87">
        <v>0</v>
      </c>
      <c r="D910" s="87">
        <v>0</v>
      </c>
      <c r="E910" s="231">
        <v>0</v>
      </c>
      <c r="F910" s="231"/>
      <c r="G910" s="231">
        <v>0</v>
      </c>
      <c r="H910" s="231">
        <v>0</v>
      </c>
      <c r="I910" s="231">
        <v>0</v>
      </c>
      <c r="J910" s="231">
        <v>0</v>
      </c>
      <c r="K910" s="220">
        <f t="shared" si="29"/>
        <v>0</v>
      </c>
      <c r="L910" s="231"/>
      <c r="M910" s="232">
        <v>0</v>
      </c>
      <c r="N910" s="232">
        <v>0</v>
      </c>
      <c r="O910" s="231">
        <v>0</v>
      </c>
      <c r="P910" s="220">
        <f t="shared" si="30"/>
        <v>0</v>
      </c>
      <c r="Q910" s="231"/>
      <c r="R910" s="232">
        <v>0</v>
      </c>
      <c r="S910" s="233">
        <v>0</v>
      </c>
      <c r="T910" s="233">
        <v>0</v>
      </c>
    </row>
    <row r="911" spans="1:20">
      <c r="A911" s="226">
        <v>94947</v>
      </c>
      <c r="B911" s="227" t="s">
        <v>1928</v>
      </c>
      <c r="C911" s="87">
        <v>0</v>
      </c>
      <c r="D911" s="87">
        <v>0</v>
      </c>
      <c r="E911" s="231">
        <v>0</v>
      </c>
      <c r="F911" s="231"/>
      <c r="G911" s="232">
        <v>0</v>
      </c>
      <c r="H911" s="220">
        <v>0</v>
      </c>
      <c r="I911" s="232">
        <v>0</v>
      </c>
      <c r="J911" s="231">
        <v>0</v>
      </c>
      <c r="K911" s="220">
        <f t="shared" si="29"/>
        <v>0</v>
      </c>
      <c r="L911" s="231"/>
      <c r="M911" s="232">
        <v>0</v>
      </c>
      <c r="N911" s="232">
        <v>0</v>
      </c>
      <c r="O911" s="231">
        <v>0</v>
      </c>
      <c r="P911" s="220">
        <f t="shared" si="30"/>
        <v>0</v>
      </c>
      <c r="Q911" s="231"/>
      <c r="R911" s="232">
        <v>0</v>
      </c>
      <c r="S911" s="233">
        <v>0</v>
      </c>
      <c r="T911" s="233">
        <v>0</v>
      </c>
    </row>
    <row r="912" spans="1:20">
      <c r="A912" s="226"/>
      <c r="B912" s="227"/>
      <c r="C912" s="87"/>
      <c r="D912" s="87"/>
    </row>
    <row r="913" spans="1:20" s="95" customFormat="1">
      <c r="A913" s="90"/>
      <c r="B913" s="54"/>
      <c r="C913" s="91"/>
      <c r="D913" s="91"/>
      <c r="E913" s="92"/>
      <c r="F913" s="92"/>
      <c r="G913" s="93"/>
      <c r="H913" s="94"/>
      <c r="I913" s="93"/>
      <c r="J913" s="93"/>
      <c r="K913" s="94"/>
      <c r="L913" s="93"/>
      <c r="M913" s="93"/>
      <c r="N913" s="93"/>
      <c r="O913" s="93"/>
      <c r="P913" s="94"/>
      <c r="Q913" s="93"/>
      <c r="R913" s="93"/>
      <c r="S913" s="93"/>
      <c r="T913" s="93"/>
    </row>
    <row r="914" spans="1:20">
      <c r="B914" s="209" t="s">
        <v>690</v>
      </c>
      <c r="C914" s="7" t="s">
        <v>691</v>
      </c>
    </row>
    <row r="915" spans="1:20">
      <c r="B915" s="131" t="s">
        <v>496</v>
      </c>
      <c r="C915" s="226">
        <v>96331</v>
      </c>
    </row>
    <row r="916" spans="1:20">
      <c r="B916" s="131" t="s">
        <v>446</v>
      </c>
      <c r="C916" s="226">
        <v>94611</v>
      </c>
    </row>
    <row r="917" spans="1:20">
      <c r="B917" s="131" t="s">
        <v>91</v>
      </c>
      <c r="C917" s="226">
        <v>93402</v>
      </c>
    </row>
    <row r="918" spans="1:20">
      <c r="B918" s="131" t="s">
        <v>277</v>
      </c>
      <c r="C918" s="226">
        <v>90151</v>
      </c>
    </row>
    <row r="919" spans="1:20">
      <c r="B919" s="131" t="s">
        <v>1639</v>
      </c>
      <c r="C919" s="226">
        <v>94109</v>
      </c>
    </row>
    <row r="920" spans="1:20">
      <c r="B920" s="131" t="s">
        <v>27</v>
      </c>
      <c r="C920" s="226">
        <v>90101</v>
      </c>
    </row>
    <row r="921" spans="1:20">
      <c r="B921" s="131" t="s">
        <v>1617</v>
      </c>
      <c r="C921" s="226">
        <v>90117</v>
      </c>
    </row>
    <row r="922" spans="1:20">
      <c r="B922" s="131" t="s">
        <v>668</v>
      </c>
      <c r="C922" s="226">
        <v>98411</v>
      </c>
    </row>
    <row r="923" spans="1:20">
      <c r="B923" s="131" t="s">
        <v>1770</v>
      </c>
      <c r="C923" s="226">
        <v>98417</v>
      </c>
    </row>
    <row r="924" spans="1:20">
      <c r="B924" s="131" t="s">
        <v>167</v>
      </c>
      <c r="C924" s="226">
        <v>97008</v>
      </c>
    </row>
    <row r="925" spans="1:20">
      <c r="B925" s="131" t="s">
        <v>168</v>
      </c>
      <c r="C925" s="226">
        <v>97010</v>
      </c>
    </row>
    <row r="926" spans="1:20">
      <c r="B926" s="131" t="s">
        <v>1618</v>
      </c>
      <c r="C926" s="226">
        <v>90096</v>
      </c>
    </row>
    <row r="927" spans="1:20">
      <c r="B927" s="131" t="s">
        <v>38</v>
      </c>
      <c r="C927" s="226">
        <v>90805</v>
      </c>
    </row>
    <row r="928" spans="1:20">
      <c r="B928" s="131" t="s">
        <v>1640</v>
      </c>
      <c r="C928" s="226">
        <v>92109</v>
      </c>
    </row>
    <row r="929" spans="2:3">
      <c r="B929" s="131" t="s">
        <v>28</v>
      </c>
      <c r="C929" s="226">
        <v>90201</v>
      </c>
    </row>
    <row r="930" spans="2:3">
      <c r="B930" s="131" t="s">
        <v>1641</v>
      </c>
      <c r="C930" s="226">
        <v>90206</v>
      </c>
    </row>
    <row r="931" spans="2:3">
      <c r="B931" s="131" t="s">
        <v>1642</v>
      </c>
      <c r="C931" s="226">
        <v>90203</v>
      </c>
    </row>
    <row r="932" spans="2:3">
      <c r="B932" s="131" t="s">
        <v>1643</v>
      </c>
      <c r="C932" s="226">
        <v>90205</v>
      </c>
    </row>
    <row r="933" spans="2:3">
      <c r="B933" s="131" t="s">
        <v>29</v>
      </c>
      <c r="C933" s="226">
        <v>90301</v>
      </c>
    </row>
    <row r="934" spans="2:3">
      <c r="B934" s="131" t="s">
        <v>1644</v>
      </c>
      <c r="C934" s="226">
        <v>93209</v>
      </c>
    </row>
    <row r="935" spans="2:3">
      <c r="B935" s="131" t="s">
        <v>362</v>
      </c>
      <c r="C935" s="226">
        <v>92021</v>
      </c>
    </row>
    <row r="936" spans="2:3">
      <c r="B936" s="131" t="s">
        <v>439</v>
      </c>
      <c r="C936" s="226">
        <v>94351</v>
      </c>
    </row>
    <row r="937" spans="2:3">
      <c r="B937" s="131" t="s">
        <v>1871</v>
      </c>
      <c r="C937" s="226">
        <v>94347</v>
      </c>
    </row>
    <row r="938" spans="2:3">
      <c r="B938" s="131" t="s">
        <v>31</v>
      </c>
      <c r="C938" s="226">
        <v>90401</v>
      </c>
    </row>
    <row r="939" spans="2:3">
      <c r="B939" s="131" t="s">
        <v>296</v>
      </c>
      <c r="C939" s="226">
        <v>90451</v>
      </c>
    </row>
    <row r="940" spans="2:3">
      <c r="B940" s="131" t="s">
        <v>595</v>
      </c>
      <c r="C940" s="226">
        <v>99271</v>
      </c>
    </row>
    <row r="941" spans="2:3">
      <c r="B941" s="131" t="s">
        <v>1645</v>
      </c>
      <c r="C941" s="226">
        <v>90099</v>
      </c>
    </row>
    <row r="942" spans="2:3">
      <c r="B942" s="131" t="s">
        <v>227</v>
      </c>
      <c r="C942" s="226">
        <v>99705</v>
      </c>
    </row>
    <row r="943" spans="2:3">
      <c r="B943" s="131" t="s">
        <v>659</v>
      </c>
      <c r="C943" s="226">
        <v>97651</v>
      </c>
    </row>
    <row r="944" spans="2:3">
      <c r="B944" s="131" t="s">
        <v>453</v>
      </c>
      <c r="C944" s="226">
        <v>95106</v>
      </c>
    </row>
    <row r="945" spans="2:3">
      <c r="B945" s="131" t="s">
        <v>33</v>
      </c>
      <c r="C945" s="226">
        <v>90501</v>
      </c>
    </row>
    <row r="946" spans="2:3">
      <c r="B946" s="131" t="s">
        <v>657</v>
      </c>
      <c r="C946" s="226">
        <v>97611</v>
      </c>
    </row>
    <row r="947" spans="2:3">
      <c r="B947" s="131" t="s">
        <v>1771</v>
      </c>
      <c r="C947" s="226">
        <v>97607</v>
      </c>
    </row>
    <row r="948" spans="2:3">
      <c r="B948" s="131" t="s">
        <v>1646</v>
      </c>
      <c r="C948" s="226">
        <v>97613</v>
      </c>
    </row>
    <row r="949" spans="2:3">
      <c r="B949" s="131" t="s">
        <v>624</v>
      </c>
      <c r="C949" s="226">
        <v>91121</v>
      </c>
    </row>
    <row r="950" spans="2:3">
      <c r="B950" s="131" t="s">
        <v>1772</v>
      </c>
      <c r="C950" s="226">
        <v>91127</v>
      </c>
    </row>
    <row r="951" spans="2:3">
      <c r="B951" s="131" t="s">
        <v>49</v>
      </c>
      <c r="C951" s="226">
        <v>91128</v>
      </c>
    </row>
    <row r="952" spans="2:3">
      <c r="B952" s="131" t="s">
        <v>350</v>
      </c>
      <c r="C952" s="226">
        <v>91681</v>
      </c>
    </row>
    <row r="953" spans="2:3">
      <c r="B953" s="131" t="s">
        <v>309</v>
      </c>
      <c r="C953" s="226">
        <v>90811</v>
      </c>
    </row>
    <row r="954" spans="2:3">
      <c r="B954" s="131" t="s">
        <v>305</v>
      </c>
      <c r="C954" s="226">
        <v>90721</v>
      </c>
    </row>
    <row r="955" spans="2:3">
      <c r="B955" s="131" t="s">
        <v>567</v>
      </c>
      <c r="C955" s="226">
        <v>98271</v>
      </c>
    </row>
    <row r="956" spans="2:3">
      <c r="B956" s="131" t="s">
        <v>35</v>
      </c>
      <c r="C956" s="226">
        <v>90601</v>
      </c>
    </row>
    <row r="957" spans="2:3">
      <c r="B957" s="131" t="s">
        <v>1647</v>
      </c>
      <c r="C957" s="226">
        <v>90602</v>
      </c>
    </row>
    <row r="958" spans="2:3">
      <c r="B958" s="131" t="s">
        <v>1648</v>
      </c>
      <c r="C958" s="226">
        <v>90605</v>
      </c>
    </row>
    <row r="959" spans="2:3">
      <c r="B959" s="131" t="s">
        <v>533</v>
      </c>
      <c r="C959" s="226">
        <v>97461</v>
      </c>
    </row>
    <row r="960" spans="2:3">
      <c r="B960" s="131" t="s">
        <v>180</v>
      </c>
      <c r="C960" s="226">
        <v>97463</v>
      </c>
    </row>
    <row r="961" spans="2:3">
      <c r="B961" s="131" t="s">
        <v>1649</v>
      </c>
      <c r="C961" s="226">
        <v>90705</v>
      </c>
    </row>
    <row r="962" spans="2:3">
      <c r="B962" s="131" t="s">
        <v>572</v>
      </c>
      <c r="C962" s="226">
        <v>98451</v>
      </c>
    </row>
    <row r="963" spans="2:3">
      <c r="B963" s="131" t="s">
        <v>504</v>
      </c>
      <c r="C963" s="226">
        <v>96451</v>
      </c>
    </row>
    <row r="964" spans="2:3">
      <c r="B964" s="131" t="s">
        <v>486</v>
      </c>
      <c r="C964" s="226">
        <v>96121</v>
      </c>
    </row>
    <row r="965" spans="2:3">
      <c r="B965" s="131" t="s">
        <v>278</v>
      </c>
      <c r="C965" s="226">
        <v>91091</v>
      </c>
    </row>
    <row r="966" spans="2:3">
      <c r="B966" s="131" t="s">
        <v>300</v>
      </c>
      <c r="C966" s="226">
        <v>90611</v>
      </c>
    </row>
    <row r="967" spans="2:3">
      <c r="B967" s="131" t="s">
        <v>163</v>
      </c>
      <c r="C967" s="226">
        <v>96918</v>
      </c>
    </row>
    <row r="968" spans="2:3">
      <c r="B968" s="131" t="s">
        <v>524</v>
      </c>
      <c r="C968" s="226">
        <v>96911</v>
      </c>
    </row>
    <row r="969" spans="2:3">
      <c r="B969" s="131" t="s">
        <v>215</v>
      </c>
      <c r="C969" s="226">
        <v>99208</v>
      </c>
    </row>
    <row r="970" spans="2:3">
      <c r="B970" s="131" t="s">
        <v>345</v>
      </c>
      <c r="C970" s="226">
        <v>91631</v>
      </c>
    </row>
    <row r="971" spans="2:3">
      <c r="B971" s="131" t="s">
        <v>36</v>
      </c>
      <c r="C971" s="226">
        <v>90701</v>
      </c>
    </row>
    <row r="972" spans="2:3">
      <c r="B972" s="131" t="s">
        <v>1773</v>
      </c>
      <c r="C972" s="226">
        <v>90704</v>
      </c>
    </row>
    <row r="973" spans="2:3">
      <c r="B973" s="131" t="s">
        <v>1650</v>
      </c>
      <c r="C973" s="226">
        <v>91633</v>
      </c>
    </row>
    <row r="974" spans="2:3">
      <c r="B974" s="131" t="s">
        <v>302</v>
      </c>
      <c r="C974" s="226">
        <v>90631</v>
      </c>
    </row>
    <row r="975" spans="2:3">
      <c r="B975" s="131" t="s">
        <v>306</v>
      </c>
      <c r="C975" s="226">
        <v>90731</v>
      </c>
    </row>
    <row r="976" spans="2:3">
      <c r="B976" s="131" t="s">
        <v>638</v>
      </c>
      <c r="C976" s="226">
        <v>93621</v>
      </c>
    </row>
    <row r="977" spans="2:3">
      <c r="B977" s="131" t="s">
        <v>97</v>
      </c>
      <c r="C977" s="226">
        <v>93623</v>
      </c>
    </row>
    <row r="978" spans="2:3">
      <c r="B978" s="131" t="s">
        <v>319</v>
      </c>
      <c r="C978" s="226">
        <v>91020</v>
      </c>
    </row>
    <row r="979" spans="2:3">
      <c r="B979" s="131" t="s">
        <v>458</v>
      </c>
      <c r="C979" s="226">
        <v>95141</v>
      </c>
    </row>
    <row r="980" spans="2:3">
      <c r="B980" s="131" t="s">
        <v>128</v>
      </c>
      <c r="C980" s="226">
        <v>95103</v>
      </c>
    </row>
    <row r="981" spans="2:3">
      <c r="B981" s="131" t="s">
        <v>391</v>
      </c>
      <c r="C981" s="226">
        <v>93021</v>
      </c>
    </row>
    <row r="982" spans="2:3">
      <c r="B982" s="131" t="s">
        <v>37</v>
      </c>
      <c r="C982" s="226">
        <v>90801</v>
      </c>
    </row>
    <row r="983" spans="2:3">
      <c r="B983" s="131" t="s">
        <v>1774</v>
      </c>
      <c r="C983" s="226">
        <v>90804</v>
      </c>
    </row>
    <row r="984" spans="2:3">
      <c r="B984" s="131" t="s">
        <v>39</v>
      </c>
      <c r="C984" s="226">
        <v>90808</v>
      </c>
    </row>
    <row r="985" spans="2:3">
      <c r="B985" s="131" t="s">
        <v>640</v>
      </c>
      <c r="C985" s="226">
        <v>93671</v>
      </c>
    </row>
    <row r="986" spans="2:3">
      <c r="B986" s="131" t="s">
        <v>683</v>
      </c>
      <c r="C986" s="226">
        <v>93677</v>
      </c>
    </row>
    <row r="987" spans="2:3">
      <c r="B987" s="131" t="s">
        <v>531</v>
      </c>
      <c r="C987" s="226">
        <v>97441</v>
      </c>
    </row>
    <row r="988" spans="2:3">
      <c r="B988" s="131" t="s">
        <v>393</v>
      </c>
      <c r="C988" s="226">
        <v>93111</v>
      </c>
    </row>
    <row r="989" spans="2:3">
      <c r="B989" s="131" t="s">
        <v>326</v>
      </c>
      <c r="C989" s="226">
        <v>91111</v>
      </c>
    </row>
    <row r="990" spans="2:3">
      <c r="B990" s="131" t="s">
        <v>489</v>
      </c>
      <c r="C990" s="226">
        <v>96231</v>
      </c>
    </row>
    <row r="991" spans="2:3">
      <c r="B991" s="131" t="s">
        <v>612</v>
      </c>
      <c r="C991" s="226">
        <v>99831</v>
      </c>
    </row>
    <row r="992" spans="2:3">
      <c r="B992" s="131" t="s">
        <v>328</v>
      </c>
      <c r="C992" s="226">
        <v>91151</v>
      </c>
    </row>
    <row r="993" spans="2:3">
      <c r="B993" s="131" t="s">
        <v>1775</v>
      </c>
      <c r="C993" s="226">
        <v>91154</v>
      </c>
    </row>
    <row r="994" spans="2:3">
      <c r="B994" s="131" t="s">
        <v>40</v>
      </c>
      <c r="C994" s="226">
        <v>90901</v>
      </c>
    </row>
    <row r="995" spans="2:3">
      <c r="B995" s="131" t="s">
        <v>315</v>
      </c>
      <c r="C995" s="226">
        <v>90941</v>
      </c>
    </row>
    <row r="996" spans="2:3">
      <c r="B996" s="131" t="s">
        <v>604</v>
      </c>
      <c r="C996" s="226">
        <v>99521</v>
      </c>
    </row>
    <row r="997" spans="2:3">
      <c r="B997" s="131" t="s">
        <v>1776</v>
      </c>
      <c r="C997" s="226">
        <v>99527</v>
      </c>
    </row>
    <row r="998" spans="2:3">
      <c r="B998" s="131" t="s">
        <v>223</v>
      </c>
      <c r="C998" s="226">
        <v>99508</v>
      </c>
    </row>
    <row r="999" spans="2:3">
      <c r="B999" s="131" t="s">
        <v>118</v>
      </c>
      <c r="C999" s="226">
        <v>94532</v>
      </c>
    </row>
    <row r="1000" spans="2:3">
      <c r="B1000" s="131" t="s">
        <v>1899</v>
      </c>
      <c r="C1000" s="226">
        <v>91071</v>
      </c>
    </row>
    <row r="1001" spans="2:3">
      <c r="B1001" s="131" t="s">
        <v>1778</v>
      </c>
      <c r="C1001" s="226">
        <v>91077</v>
      </c>
    </row>
    <row r="1002" spans="2:3">
      <c r="B1002" s="131" t="s">
        <v>364</v>
      </c>
      <c r="C1002" s="226">
        <v>92331</v>
      </c>
    </row>
    <row r="1003" spans="2:3">
      <c r="B1003" s="131" t="s">
        <v>678</v>
      </c>
      <c r="C1003" s="226">
        <v>92414</v>
      </c>
    </row>
    <row r="1004" spans="2:3">
      <c r="B1004" s="131" t="s">
        <v>603</v>
      </c>
      <c r="C1004" s="226">
        <v>99511</v>
      </c>
    </row>
    <row r="1005" spans="2:3">
      <c r="B1005" s="131" t="s">
        <v>618</v>
      </c>
      <c r="C1005" s="226">
        <v>99941</v>
      </c>
    </row>
    <row r="1006" spans="2:3">
      <c r="B1006" s="131" t="s">
        <v>152</v>
      </c>
      <c r="C1006" s="226">
        <v>96405</v>
      </c>
    </row>
    <row r="1007" spans="2:3">
      <c r="B1007" s="131" t="s">
        <v>670</v>
      </c>
      <c r="C1007" s="226">
        <v>98811</v>
      </c>
    </row>
    <row r="1008" spans="2:3">
      <c r="B1008" s="131" t="s">
        <v>1777</v>
      </c>
      <c r="C1008" s="226">
        <v>98817</v>
      </c>
    </row>
    <row r="1009" spans="2:3">
      <c r="B1009" s="131" t="s">
        <v>374</v>
      </c>
      <c r="C1009" s="226">
        <v>92561</v>
      </c>
    </row>
    <row r="1010" spans="2:3">
      <c r="B1010" s="131" t="s">
        <v>197</v>
      </c>
      <c r="C1010" s="226">
        <v>98102</v>
      </c>
    </row>
    <row r="1011" spans="2:3">
      <c r="B1011" s="131" t="s">
        <v>465</v>
      </c>
      <c r="C1011" s="226">
        <v>95321</v>
      </c>
    </row>
    <row r="1012" spans="2:3">
      <c r="B1012" s="131" t="s">
        <v>356</v>
      </c>
      <c r="C1012" s="226">
        <v>91861</v>
      </c>
    </row>
    <row r="1013" spans="2:3">
      <c r="B1013" s="131" t="s">
        <v>367</v>
      </c>
      <c r="C1013" s="226">
        <v>92421</v>
      </c>
    </row>
    <row r="1014" spans="2:3">
      <c r="B1014" s="131" t="s">
        <v>1651</v>
      </c>
      <c r="C1014" s="226">
        <v>91006</v>
      </c>
    </row>
    <row r="1015" spans="2:3">
      <c r="B1015" s="131" t="s">
        <v>1652</v>
      </c>
      <c r="C1015" s="226">
        <v>91003</v>
      </c>
    </row>
    <row r="1016" spans="2:3">
      <c r="B1016" s="131" t="s">
        <v>41</v>
      </c>
      <c r="C1016" s="226">
        <v>91001</v>
      </c>
    </row>
    <row r="1017" spans="2:3">
      <c r="B1017" s="131" t="s">
        <v>1779</v>
      </c>
      <c r="C1017" s="226">
        <v>91004</v>
      </c>
    </row>
    <row r="1018" spans="2:3">
      <c r="B1018" s="131" t="s">
        <v>1653</v>
      </c>
      <c r="C1018" s="226">
        <v>91009</v>
      </c>
    </row>
    <row r="1019" spans="2:3">
      <c r="B1019" s="131" t="s">
        <v>1654</v>
      </c>
      <c r="C1019" s="226">
        <v>91042</v>
      </c>
    </row>
    <row r="1020" spans="2:3">
      <c r="B1020" s="131" t="s">
        <v>579</v>
      </c>
      <c r="C1020" s="226">
        <v>98711</v>
      </c>
    </row>
    <row r="1021" spans="2:3">
      <c r="B1021" s="131" t="s">
        <v>1780</v>
      </c>
      <c r="C1021" s="226">
        <v>98717</v>
      </c>
    </row>
    <row r="1022" spans="2:3">
      <c r="B1022" s="131" t="s">
        <v>44</v>
      </c>
      <c r="C1022" s="226">
        <v>91101</v>
      </c>
    </row>
    <row r="1023" spans="2:3">
      <c r="B1023" s="131" t="s">
        <v>412</v>
      </c>
      <c r="C1023" s="226">
        <v>93531</v>
      </c>
    </row>
    <row r="1024" spans="2:3">
      <c r="B1024" s="131" t="s">
        <v>1769</v>
      </c>
      <c r="C1024" s="226">
        <v>93537</v>
      </c>
    </row>
    <row r="1025" spans="2:3">
      <c r="B1025" s="131" t="s">
        <v>526</v>
      </c>
      <c r="C1025" s="226">
        <v>97111</v>
      </c>
    </row>
    <row r="1026" spans="2:3">
      <c r="B1026" s="131" t="s">
        <v>1655</v>
      </c>
      <c r="C1026" s="226">
        <v>91206</v>
      </c>
    </row>
    <row r="1027" spans="2:3">
      <c r="B1027" s="131" t="s">
        <v>1656</v>
      </c>
      <c r="C1027" s="226">
        <v>91203</v>
      </c>
    </row>
    <row r="1028" spans="2:3">
      <c r="B1028" s="131" t="s">
        <v>50</v>
      </c>
      <c r="C1028" s="226">
        <v>91201</v>
      </c>
    </row>
    <row r="1029" spans="2:3">
      <c r="B1029" s="131" t="s">
        <v>1657</v>
      </c>
      <c r="C1029" s="226">
        <v>91208</v>
      </c>
    </row>
    <row r="1030" spans="2:3">
      <c r="B1030" s="131" t="s">
        <v>1658</v>
      </c>
      <c r="C1030" s="226">
        <v>91202</v>
      </c>
    </row>
    <row r="1031" spans="2:3">
      <c r="B1031" s="131" t="s">
        <v>619</v>
      </c>
      <c r="C1031" s="226">
        <v>90111</v>
      </c>
    </row>
    <row r="1032" spans="2:3">
      <c r="B1032" s="131" t="s">
        <v>287</v>
      </c>
      <c r="C1032" s="226">
        <v>90011</v>
      </c>
    </row>
    <row r="1033" spans="2:3">
      <c r="B1033" s="131" t="s">
        <v>422</v>
      </c>
      <c r="C1033" s="226">
        <v>93931</v>
      </c>
    </row>
    <row r="1034" spans="2:3">
      <c r="B1034" s="131" t="s">
        <v>1659</v>
      </c>
      <c r="C1034" s="51">
        <v>91306</v>
      </c>
    </row>
    <row r="1035" spans="2:3">
      <c r="B1035" s="131" t="s">
        <v>53</v>
      </c>
      <c r="C1035" s="226">
        <v>91301</v>
      </c>
    </row>
    <row r="1036" spans="2:3">
      <c r="B1036" s="131" t="s">
        <v>1660</v>
      </c>
      <c r="C1036" s="51">
        <v>91308</v>
      </c>
    </row>
    <row r="1037" spans="2:3">
      <c r="B1037" s="131" t="s">
        <v>1745</v>
      </c>
      <c r="C1037" s="226">
        <v>91461</v>
      </c>
    </row>
    <row r="1038" spans="2:3">
      <c r="B1038" s="131" t="s">
        <v>317</v>
      </c>
      <c r="C1038" s="226">
        <v>91010</v>
      </c>
    </row>
    <row r="1039" spans="2:3">
      <c r="B1039" s="131" t="s">
        <v>1781</v>
      </c>
      <c r="C1039" s="226">
        <v>91007</v>
      </c>
    </row>
    <row r="1040" spans="2:3">
      <c r="B1040" s="131" t="s">
        <v>54</v>
      </c>
      <c r="C1040" s="226">
        <v>91401</v>
      </c>
    </row>
    <row r="1041" spans="2:3">
      <c r="B1041" s="131" t="s">
        <v>399</v>
      </c>
      <c r="C1041" s="226">
        <v>93171</v>
      </c>
    </row>
    <row r="1042" spans="2:3">
      <c r="B1042" s="131" t="s">
        <v>56</v>
      </c>
      <c r="C1042" s="226">
        <v>91501</v>
      </c>
    </row>
    <row r="1043" spans="2:3">
      <c r="B1043" s="131" t="s">
        <v>1782</v>
      </c>
      <c r="C1043" s="226">
        <v>91504</v>
      </c>
    </row>
    <row r="1044" spans="2:3">
      <c r="B1044" s="131" t="s">
        <v>494</v>
      </c>
      <c r="C1044" s="226">
        <v>96312</v>
      </c>
    </row>
    <row r="1045" spans="2:3">
      <c r="B1045" s="131" t="s">
        <v>490</v>
      </c>
      <c r="C1045" s="226">
        <v>96241</v>
      </c>
    </row>
    <row r="1046" spans="2:3">
      <c r="B1046" s="131" t="s">
        <v>442</v>
      </c>
      <c r="C1046" s="226">
        <v>94431</v>
      </c>
    </row>
    <row r="1047" spans="2:3">
      <c r="B1047" s="131" t="s">
        <v>1783</v>
      </c>
      <c r="C1047" s="226">
        <v>94437</v>
      </c>
    </row>
    <row r="1048" spans="2:3">
      <c r="B1048" s="131" t="s">
        <v>349</v>
      </c>
      <c r="C1048" s="226">
        <v>91671</v>
      </c>
    </row>
    <row r="1049" spans="2:3">
      <c r="B1049" s="131" t="s">
        <v>42</v>
      </c>
      <c r="C1049" s="226">
        <v>91008</v>
      </c>
    </row>
    <row r="1050" spans="2:3">
      <c r="B1050" s="131" t="s">
        <v>157</v>
      </c>
      <c r="C1050" s="226">
        <v>96512</v>
      </c>
    </row>
    <row r="1051" spans="2:3">
      <c r="B1051" s="131" t="s">
        <v>155</v>
      </c>
      <c r="C1051" s="226">
        <v>96507</v>
      </c>
    </row>
    <row r="1052" spans="2:3">
      <c r="B1052" s="131" t="s">
        <v>507</v>
      </c>
      <c r="C1052" s="226">
        <v>96521</v>
      </c>
    </row>
    <row r="1053" spans="2:3">
      <c r="B1053" s="131" t="s">
        <v>321</v>
      </c>
      <c r="C1053" s="226">
        <v>91024</v>
      </c>
    </row>
    <row r="1054" spans="2:3">
      <c r="B1054" s="131" t="s">
        <v>522</v>
      </c>
      <c r="C1054" s="226">
        <v>96821</v>
      </c>
    </row>
    <row r="1055" spans="2:3">
      <c r="B1055" s="131" t="s">
        <v>57</v>
      </c>
      <c r="C1055" s="226">
        <v>91601</v>
      </c>
    </row>
    <row r="1056" spans="2:3">
      <c r="B1056" s="131" t="s">
        <v>1784</v>
      </c>
      <c r="C1056" s="226">
        <v>91604</v>
      </c>
    </row>
    <row r="1057" spans="2:3">
      <c r="B1057" s="131" t="s">
        <v>499</v>
      </c>
      <c r="C1057" s="226">
        <v>96391</v>
      </c>
    </row>
    <row r="1058" spans="2:3">
      <c r="B1058" s="131" t="s">
        <v>590</v>
      </c>
      <c r="C1058" s="226">
        <v>99221</v>
      </c>
    </row>
    <row r="1059" spans="2:3">
      <c r="B1059" s="131" t="s">
        <v>323</v>
      </c>
      <c r="C1059" s="226">
        <v>91051</v>
      </c>
    </row>
    <row r="1060" spans="2:3">
      <c r="B1060" s="131" t="s">
        <v>1661</v>
      </c>
      <c r="C1060" s="226">
        <v>91706</v>
      </c>
    </row>
    <row r="1061" spans="2:3">
      <c r="B1061" s="131" t="s">
        <v>58</v>
      </c>
      <c r="C1061" s="226">
        <v>91701</v>
      </c>
    </row>
    <row r="1062" spans="2:3">
      <c r="B1062" s="131" t="s">
        <v>1785</v>
      </c>
      <c r="C1062" s="226">
        <v>91704</v>
      </c>
    </row>
    <row r="1063" spans="2:3">
      <c r="B1063" s="131" t="s">
        <v>358</v>
      </c>
      <c r="C1063" s="226">
        <v>91881</v>
      </c>
    </row>
    <row r="1064" spans="2:3">
      <c r="B1064" s="131" t="s">
        <v>59</v>
      </c>
      <c r="C1064" s="226">
        <v>91801</v>
      </c>
    </row>
    <row r="1065" spans="2:3">
      <c r="B1065" s="131" t="s">
        <v>1786</v>
      </c>
      <c r="C1065" s="226">
        <v>91804</v>
      </c>
    </row>
    <row r="1066" spans="2:3">
      <c r="B1066" s="131" t="s">
        <v>351</v>
      </c>
      <c r="C1066" s="226">
        <v>91691</v>
      </c>
    </row>
    <row r="1067" spans="2:3">
      <c r="B1067" s="131" t="s">
        <v>1662</v>
      </c>
      <c r="C1067" s="226">
        <v>99222</v>
      </c>
    </row>
    <row r="1068" spans="2:3">
      <c r="B1068" s="131" t="s">
        <v>1619</v>
      </c>
      <c r="C1068" s="226">
        <v>93408</v>
      </c>
    </row>
    <row r="1069" spans="2:3">
      <c r="B1069" s="131" t="s">
        <v>145</v>
      </c>
      <c r="C1069" s="226">
        <v>96009</v>
      </c>
    </row>
    <row r="1070" spans="2:3">
      <c r="B1070" s="131" t="s">
        <v>369</v>
      </c>
      <c r="C1070" s="226">
        <v>92441</v>
      </c>
    </row>
    <row r="1071" spans="2:3">
      <c r="B1071" s="131" t="s">
        <v>521</v>
      </c>
      <c r="C1071" s="226">
        <v>96811</v>
      </c>
    </row>
    <row r="1072" spans="2:3">
      <c r="B1072" s="131" t="s">
        <v>651</v>
      </c>
      <c r="C1072" s="226">
        <v>96011</v>
      </c>
    </row>
    <row r="1073" spans="2:3">
      <c r="B1073" s="131" t="s">
        <v>1663</v>
      </c>
      <c r="C1073" s="226">
        <v>96018</v>
      </c>
    </row>
    <row r="1074" spans="2:3">
      <c r="B1074" s="131" t="s">
        <v>1664</v>
      </c>
      <c r="C1074" s="226">
        <v>96003</v>
      </c>
    </row>
    <row r="1075" spans="2:3">
      <c r="B1075" s="131" t="s">
        <v>1665</v>
      </c>
      <c r="C1075" s="226">
        <v>96005</v>
      </c>
    </row>
    <row r="1076" spans="2:3">
      <c r="B1076" s="131" t="s">
        <v>1620</v>
      </c>
      <c r="C1076" s="226">
        <v>96012</v>
      </c>
    </row>
    <row r="1077" spans="2:3">
      <c r="B1077" s="131" t="s">
        <v>1666</v>
      </c>
      <c r="C1077" s="226">
        <v>91903</v>
      </c>
    </row>
    <row r="1078" spans="2:3">
      <c r="B1078" s="131" t="s">
        <v>61</v>
      </c>
      <c r="C1078" s="226">
        <v>91901</v>
      </c>
    </row>
    <row r="1079" spans="2:3">
      <c r="B1079" s="131" t="s">
        <v>1787</v>
      </c>
      <c r="C1079" s="226">
        <v>91904</v>
      </c>
    </row>
    <row r="1080" spans="2:3">
      <c r="B1080" s="131" t="s">
        <v>63</v>
      </c>
      <c r="C1080" s="226">
        <v>92001</v>
      </c>
    </row>
    <row r="1081" spans="2:3">
      <c r="B1081" s="131" t="s">
        <v>639</v>
      </c>
      <c r="C1081" s="226">
        <v>93641</v>
      </c>
    </row>
    <row r="1082" spans="2:3">
      <c r="B1082" s="131" t="s">
        <v>1788</v>
      </c>
      <c r="C1082" s="226">
        <v>93647</v>
      </c>
    </row>
    <row r="1083" spans="2:3">
      <c r="B1083" s="131" t="s">
        <v>552</v>
      </c>
      <c r="C1083" s="226">
        <v>98041</v>
      </c>
    </row>
    <row r="1084" spans="2:3">
      <c r="B1084" s="131" t="s">
        <v>1667</v>
      </c>
      <c r="C1084" s="226">
        <v>96612</v>
      </c>
    </row>
    <row r="1085" spans="2:3">
      <c r="B1085" s="131" t="s">
        <v>308</v>
      </c>
      <c r="C1085" s="226">
        <v>90751</v>
      </c>
    </row>
    <row r="1086" spans="2:3">
      <c r="B1086" s="131" t="s">
        <v>65</v>
      </c>
      <c r="C1086" s="226">
        <v>92101</v>
      </c>
    </row>
    <row r="1087" spans="2:3">
      <c r="B1087" s="131" t="s">
        <v>1668</v>
      </c>
      <c r="C1087" s="226">
        <v>92104</v>
      </c>
    </row>
    <row r="1088" spans="2:3">
      <c r="B1088" s="131" t="s">
        <v>353</v>
      </c>
      <c r="C1088" s="226">
        <v>91821</v>
      </c>
    </row>
    <row r="1089" spans="2:3">
      <c r="B1089" s="131" t="s">
        <v>314</v>
      </c>
      <c r="C1089" s="226">
        <v>90931</v>
      </c>
    </row>
    <row r="1090" spans="2:3">
      <c r="B1090" s="131" t="s">
        <v>66</v>
      </c>
      <c r="C1090" s="226">
        <v>92201</v>
      </c>
    </row>
    <row r="1091" spans="2:3">
      <c r="B1091" s="131" t="s">
        <v>457</v>
      </c>
      <c r="C1091" s="226">
        <v>95131</v>
      </c>
    </row>
    <row r="1092" spans="2:3">
      <c r="B1092" s="131" t="s">
        <v>681</v>
      </c>
      <c r="C1092" s="226">
        <v>93441</v>
      </c>
    </row>
    <row r="1093" spans="2:3">
      <c r="B1093" s="131" t="s">
        <v>94</v>
      </c>
      <c r="C1093" s="226">
        <v>93442</v>
      </c>
    </row>
    <row r="1094" spans="2:3">
      <c r="B1094" s="131" t="s">
        <v>557</v>
      </c>
      <c r="C1094" s="226">
        <v>98091</v>
      </c>
    </row>
    <row r="1095" spans="2:3">
      <c r="B1095" s="131" t="s">
        <v>67</v>
      </c>
      <c r="C1095" s="226">
        <v>92301</v>
      </c>
    </row>
    <row r="1096" spans="2:3">
      <c r="B1096" s="131" t="s">
        <v>1669</v>
      </c>
      <c r="C1096" s="226">
        <v>92302</v>
      </c>
    </row>
    <row r="1097" spans="2:3">
      <c r="B1097" s="131" t="s">
        <v>666</v>
      </c>
      <c r="C1097" s="226">
        <v>98211</v>
      </c>
    </row>
    <row r="1098" spans="2:3">
      <c r="B1098" s="131" t="s">
        <v>1789</v>
      </c>
      <c r="C1098" s="226">
        <v>98218</v>
      </c>
    </row>
    <row r="1099" spans="2:3">
      <c r="B1099" s="131" t="s">
        <v>1670</v>
      </c>
      <c r="C1099" s="226">
        <v>92506</v>
      </c>
    </row>
    <row r="1100" spans="2:3">
      <c r="B1100" s="131" t="s">
        <v>1671</v>
      </c>
      <c r="C1100" s="226">
        <v>92508</v>
      </c>
    </row>
    <row r="1101" spans="2:3">
      <c r="B1101" s="131" t="s">
        <v>438</v>
      </c>
      <c r="C1101" s="226">
        <v>94341</v>
      </c>
    </row>
    <row r="1102" spans="2:3">
      <c r="B1102" s="131" t="s">
        <v>449</v>
      </c>
      <c r="C1102" s="226">
        <v>94641</v>
      </c>
    </row>
    <row r="1103" spans="2:3">
      <c r="B1103" s="131" t="s">
        <v>311</v>
      </c>
      <c r="C1103" s="226">
        <v>90813</v>
      </c>
    </row>
    <row r="1104" spans="2:3">
      <c r="B1104" s="131" t="s">
        <v>107</v>
      </c>
      <c r="C1104" s="226">
        <v>94168</v>
      </c>
    </row>
    <row r="1105" spans="2:3">
      <c r="B1105" s="131" t="s">
        <v>580</v>
      </c>
      <c r="C1105" s="226">
        <v>98911</v>
      </c>
    </row>
    <row r="1106" spans="2:3">
      <c r="B1106" s="131" t="s">
        <v>536</v>
      </c>
      <c r="C1106" s="226">
        <v>97521</v>
      </c>
    </row>
    <row r="1107" spans="2:3">
      <c r="B1107" s="131" t="s">
        <v>68</v>
      </c>
      <c r="C1107" s="226">
        <v>92401</v>
      </c>
    </row>
    <row r="1108" spans="2:3">
      <c r="B1108" s="131" t="s">
        <v>626</v>
      </c>
      <c r="C1108" s="226">
        <v>91311</v>
      </c>
    </row>
    <row r="1109" spans="2:3">
      <c r="B1109" s="131" t="s">
        <v>1790</v>
      </c>
      <c r="C1109" s="226">
        <v>91317</v>
      </c>
    </row>
    <row r="1110" spans="2:3">
      <c r="B1110" s="131" t="s">
        <v>335</v>
      </c>
      <c r="C1110" s="226">
        <v>91261</v>
      </c>
    </row>
    <row r="1111" spans="2:3">
      <c r="B1111" s="131" t="s">
        <v>355</v>
      </c>
      <c r="C1111" s="226">
        <v>91851</v>
      </c>
    </row>
    <row r="1112" spans="2:3">
      <c r="B1112" s="131" t="s">
        <v>1672</v>
      </c>
      <c r="C1112" s="226">
        <v>97408</v>
      </c>
    </row>
    <row r="1113" spans="2:3">
      <c r="B1113" s="131" t="s">
        <v>512</v>
      </c>
      <c r="C1113" s="226">
        <v>96641</v>
      </c>
    </row>
    <row r="1114" spans="2:3">
      <c r="B1114" s="131" t="s">
        <v>392</v>
      </c>
      <c r="C1114" s="226">
        <v>93031</v>
      </c>
    </row>
    <row r="1115" spans="2:3">
      <c r="B1115" s="131" t="s">
        <v>1791</v>
      </c>
      <c r="C1115" s="226">
        <v>93027</v>
      </c>
    </row>
    <row r="1116" spans="2:3">
      <c r="B1116" s="131" t="s">
        <v>481</v>
      </c>
      <c r="C1116" s="226">
        <v>96051</v>
      </c>
    </row>
    <row r="1117" spans="2:3">
      <c r="B1117" s="131" t="s">
        <v>1673</v>
      </c>
      <c r="C1117" s="226">
        <v>94501</v>
      </c>
    </row>
    <row r="1118" spans="2:3">
      <c r="B1118" s="131" t="s">
        <v>375</v>
      </c>
      <c r="C1118" s="226">
        <v>92571</v>
      </c>
    </row>
    <row r="1119" spans="2:3">
      <c r="B1119" s="131" t="s">
        <v>416</v>
      </c>
      <c r="C1119" s="226">
        <v>93631</v>
      </c>
    </row>
    <row r="1120" spans="2:3">
      <c r="B1120" s="131" t="s">
        <v>1792</v>
      </c>
      <c r="C1120" s="226">
        <v>92504</v>
      </c>
    </row>
    <row r="1121" spans="2:3">
      <c r="B1121" s="131" t="s">
        <v>71</v>
      </c>
      <c r="C1121" s="226">
        <v>92501</v>
      </c>
    </row>
    <row r="1122" spans="2:3">
      <c r="B1122" s="131" t="s">
        <v>72</v>
      </c>
      <c r="C1122" s="226">
        <v>92505</v>
      </c>
    </row>
    <row r="1123" spans="2:3">
      <c r="B1123" s="131" t="s">
        <v>642</v>
      </c>
      <c r="C1123" s="226">
        <v>93921</v>
      </c>
    </row>
    <row r="1124" spans="2:3">
      <c r="B1124" s="131" t="s">
        <v>602</v>
      </c>
      <c r="C1124" s="226">
        <v>99431</v>
      </c>
    </row>
    <row r="1125" spans="2:3">
      <c r="B1125" s="131" t="s">
        <v>1793</v>
      </c>
      <c r="C1125" s="226">
        <v>92604</v>
      </c>
    </row>
    <row r="1126" spans="2:3">
      <c r="B1126" s="131" t="s">
        <v>74</v>
      </c>
      <c r="C1126" s="226">
        <v>92601</v>
      </c>
    </row>
    <row r="1127" spans="2:3">
      <c r="B1127" s="131" t="s">
        <v>75</v>
      </c>
      <c r="C1127" s="226">
        <v>92608</v>
      </c>
    </row>
    <row r="1128" spans="2:3">
      <c r="B1128" s="131" t="s">
        <v>1794</v>
      </c>
      <c r="C1128" s="226">
        <v>92704</v>
      </c>
    </row>
    <row r="1129" spans="2:3">
      <c r="B1129" s="131" t="s">
        <v>76</v>
      </c>
      <c r="C1129" s="226">
        <v>92701</v>
      </c>
    </row>
    <row r="1130" spans="2:3">
      <c r="B1130" s="131" t="s">
        <v>417</v>
      </c>
      <c r="C1130" s="226">
        <v>93651</v>
      </c>
    </row>
    <row r="1131" spans="2:3">
      <c r="B1131" s="131" t="s">
        <v>77</v>
      </c>
      <c r="C1131" s="226">
        <v>92801</v>
      </c>
    </row>
    <row r="1132" spans="2:3">
      <c r="B1132" s="131" t="s">
        <v>1795</v>
      </c>
      <c r="C1132" s="226">
        <v>92804</v>
      </c>
    </row>
    <row r="1133" spans="2:3">
      <c r="B1133" s="131" t="s">
        <v>78</v>
      </c>
      <c r="C1133" s="226">
        <v>92802</v>
      </c>
    </row>
    <row r="1134" spans="2:3">
      <c r="B1134" s="131" t="s">
        <v>484</v>
      </c>
      <c r="C1134" s="226">
        <v>96081</v>
      </c>
    </row>
    <row r="1135" spans="2:3">
      <c r="B1135" s="131" t="s">
        <v>79</v>
      </c>
      <c r="C1135" s="226">
        <v>92901</v>
      </c>
    </row>
    <row r="1136" spans="2:3">
      <c r="B1136" s="131" t="s">
        <v>82</v>
      </c>
      <c r="C1136" s="226">
        <v>93001</v>
      </c>
    </row>
    <row r="1137" spans="2:3">
      <c r="B1137" s="131" t="s">
        <v>1674</v>
      </c>
      <c r="C1137" s="226">
        <v>93009</v>
      </c>
    </row>
    <row r="1138" spans="2:3">
      <c r="B1138" s="131" t="s">
        <v>389</v>
      </c>
      <c r="C1138" s="226">
        <v>92921</v>
      </c>
    </row>
    <row r="1139" spans="2:3">
      <c r="B1139" s="131" t="s">
        <v>577</v>
      </c>
      <c r="C1139" s="226">
        <v>98621</v>
      </c>
    </row>
    <row r="1140" spans="2:3">
      <c r="B1140" s="131" t="s">
        <v>1796</v>
      </c>
      <c r="C1140" s="226">
        <v>98627</v>
      </c>
    </row>
    <row r="1141" spans="2:3">
      <c r="B1141" s="131" t="s">
        <v>333</v>
      </c>
      <c r="C1141" s="226">
        <v>91221</v>
      </c>
    </row>
    <row r="1142" spans="2:3">
      <c r="B1142" s="131" t="s">
        <v>388</v>
      </c>
      <c r="C1142" s="226">
        <v>92861</v>
      </c>
    </row>
    <row r="1143" spans="2:3">
      <c r="B1143" s="131" t="s">
        <v>435</v>
      </c>
      <c r="C1143" s="226">
        <v>94311</v>
      </c>
    </row>
    <row r="1144" spans="2:3">
      <c r="B1144" s="131" t="s">
        <v>1797</v>
      </c>
      <c r="C1144" s="226">
        <v>94317</v>
      </c>
    </row>
    <row r="1145" spans="2:3">
      <c r="B1145" s="131" t="s">
        <v>113</v>
      </c>
      <c r="C1145" s="226">
        <v>94313</v>
      </c>
    </row>
    <row r="1146" spans="2:3">
      <c r="B1146" s="131" t="s">
        <v>83</v>
      </c>
      <c r="C1146" s="226">
        <v>93101</v>
      </c>
    </row>
    <row r="1147" spans="2:3">
      <c r="B1147" s="131" t="s">
        <v>680</v>
      </c>
      <c r="C1147" s="226">
        <v>93103</v>
      </c>
    </row>
    <row r="1148" spans="2:3">
      <c r="B1148" s="131" t="s">
        <v>635</v>
      </c>
      <c r="C1148" s="226">
        <v>93211</v>
      </c>
    </row>
    <row r="1149" spans="2:3">
      <c r="B1149" s="131" t="s">
        <v>1675</v>
      </c>
      <c r="C1149" s="226">
        <v>93212</v>
      </c>
    </row>
    <row r="1150" spans="2:3">
      <c r="B1150" s="131" t="s">
        <v>84</v>
      </c>
      <c r="C1150" s="226">
        <v>93201</v>
      </c>
    </row>
    <row r="1151" spans="2:3">
      <c r="B1151" s="131" t="s">
        <v>1798</v>
      </c>
      <c r="C1151" s="226">
        <v>93204</v>
      </c>
    </row>
    <row r="1152" spans="2:3">
      <c r="B1152" s="131" t="s">
        <v>1676</v>
      </c>
      <c r="C1152" s="226">
        <v>99212</v>
      </c>
    </row>
    <row r="1153" spans="2:3">
      <c r="B1153" s="131" t="s">
        <v>166</v>
      </c>
      <c r="C1153" s="226">
        <v>97005</v>
      </c>
    </row>
    <row r="1154" spans="2:3">
      <c r="B1154" s="131" t="s">
        <v>617</v>
      </c>
      <c r="C1154" s="226">
        <v>99931</v>
      </c>
    </row>
    <row r="1155" spans="2:3">
      <c r="B1155" s="131" t="s">
        <v>550</v>
      </c>
      <c r="C1155" s="226">
        <v>98021</v>
      </c>
    </row>
    <row r="1156" spans="2:3">
      <c r="B1156" s="131" t="s">
        <v>195</v>
      </c>
      <c r="C1156" s="226">
        <v>98023</v>
      </c>
    </row>
    <row r="1157" spans="2:3">
      <c r="B1157" s="131" t="s">
        <v>24</v>
      </c>
      <c r="C1157" s="226">
        <v>70505</v>
      </c>
    </row>
    <row r="1158" spans="2:3">
      <c r="B1158" s="131" t="s">
        <v>1677</v>
      </c>
      <c r="C1158" s="226">
        <v>99603</v>
      </c>
    </row>
    <row r="1159" spans="2:3">
      <c r="B1159" s="131" t="s">
        <v>1678</v>
      </c>
      <c r="C1159" s="226">
        <v>99610</v>
      </c>
    </row>
    <row r="1160" spans="2:3">
      <c r="B1160" s="131" t="s">
        <v>382</v>
      </c>
      <c r="C1160" s="226">
        <v>92681</v>
      </c>
    </row>
    <row r="1161" spans="2:3">
      <c r="B1161" s="131" t="s">
        <v>1621</v>
      </c>
      <c r="C1161" s="226">
        <v>93108</v>
      </c>
    </row>
    <row r="1162" spans="2:3">
      <c r="B1162" s="131" t="s">
        <v>664</v>
      </c>
      <c r="C1162" s="226">
        <v>97951</v>
      </c>
    </row>
    <row r="1163" spans="2:3">
      <c r="B1163" s="131" t="s">
        <v>1799</v>
      </c>
      <c r="C1163" s="226">
        <v>97957</v>
      </c>
    </row>
    <row r="1164" spans="2:3">
      <c r="B1164" s="131" t="s">
        <v>363</v>
      </c>
      <c r="C1164" s="226">
        <v>92111</v>
      </c>
    </row>
    <row r="1165" spans="2:3">
      <c r="B1165" s="131" t="s">
        <v>87</v>
      </c>
      <c r="C1165" s="226">
        <v>93301</v>
      </c>
    </row>
    <row r="1166" spans="2:3">
      <c r="B1166" s="131" t="s">
        <v>1800</v>
      </c>
      <c r="C1166" s="226">
        <v>93304</v>
      </c>
    </row>
    <row r="1167" spans="2:3">
      <c r="B1167" s="131" t="s">
        <v>1679</v>
      </c>
      <c r="C1167" s="226">
        <v>93305</v>
      </c>
    </row>
    <row r="1168" spans="2:3">
      <c r="B1168" s="131" t="s">
        <v>1680</v>
      </c>
      <c r="C1168" s="226">
        <v>99210</v>
      </c>
    </row>
    <row r="1169" spans="2:3">
      <c r="B1169" s="131" t="s">
        <v>169</v>
      </c>
      <c r="C1169" s="226">
        <v>97011</v>
      </c>
    </row>
    <row r="1170" spans="2:3">
      <c r="B1170" s="131" t="s">
        <v>1681</v>
      </c>
      <c r="C1170" s="226">
        <v>97013</v>
      </c>
    </row>
    <row r="1171" spans="2:3">
      <c r="B1171" s="131" t="s">
        <v>1682</v>
      </c>
      <c r="C1171" s="226">
        <v>97012</v>
      </c>
    </row>
    <row r="1172" spans="2:3">
      <c r="B1172" s="131" t="s">
        <v>1683</v>
      </c>
      <c r="C1172" s="226">
        <v>97018</v>
      </c>
    </row>
    <row r="1173" spans="2:3">
      <c r="B1173" s="131" t="s">
        <v>312</v>
      </c>
      <c r="C1173" s="226">
        <v>90911</v>
      </c>
    </row>
    <row r="1174" spans="2:3">
      <c r="B1174" s="131" t="s">
        <v>1801</v>
      </c>
      <c r="C1174" s="226">
        <v>90917</v>
      </c>
    </row>
    <row r="1175" spans="2:3">
      <c r="B1175" s="131" t="s">
        <v>303</v>
      </c>
      <c r="C1175" s="226">
        <v>90641</v>
      </c>
    </row>
    <row r="1176" spans="2:3">
      <c r="B1176" s="131" t="s">
        <v>578</v>
      </c>
      <c r="C1176" s="226">
        <v>98641</v>
      </c>
    </row>
    <row r="1177" spans="2:3">
      <c r="B1177" s="131" t="s">
        <v>561</v>
      </c>
      <c r="C1177" s="226">
        <v>98161</v>
      </c>
    </row>
    <row r="1178" spans="2:3">
      <c r="B1178" s="131" t="s">
        <v>540</v>
      </c>
      <c r="C1178" s="226">
        <v>97731</v>
      </c>
    </row>
    <row r="1179" spans="2:3">
      <c r="B1179" s="131" t="s">
        <v>614</v>
      </c>
      <c r="C1179" s="226">
        <v>99851</v>
      </c>
    </row>
    <row r="1180" spans="2:3">
      <c r="B1180" s="131" t="s">
        <v>1746</v>
      </c>
      <c r="C1180" s="226">
        <v>90131</v>
      </c>
    </row>
    <row r="1181" spans="2:3">
      <c r="B1181" s="131" t="s">
        <v>347</v>
      </c>
      <c r="C1181" s="226">
        <v>91651</v>
      </c>
    </row>
    <row r="1182" spans="2:3">
      <c r="B1182" s="131" t="s">
        <v>430</v>
      </c>
      <c r="C1182" s="226">
        <v>94211</v>
      </c>
    </row>
    <row r="1183" spans="2:3">
      <c r="B1183" s="131" t="s">
        <v>437</v>
      </c>
      <c r="C1183" s="226">
        <v>94331</v>
      </c>
    </row>
    <row r="1184" spans="2:3">
      <c r="B1184" s="131" t="s">
        <v>368</v>
      </c>
      <c r="C1184" s="226">
        <v>92431</v>
      </c>
    </row>
    <row r="1185" spans="2:3">
      <c r="B1185" s="131" t="s">
        <v>541</v>
      </c>
      <c r="C1185" s="226">
        <v>97821</v>
      </c>
    </row>
    <row r="1186" spans="2:3">
      <c r="B1186" s="131" t="s">
        <v>190</v>
      </c>
      <c r="C1186" s="226">
        <v>97823</v>
      </c>
    </row>
    <row r="1187" spans="2:3">
      <c r="B1187" s="131" t="s">
        <v>396</v>
      </c>
      <c r="C1187" s="226">
        <v>93141</v>
      </c>
    </row>
    <row r="1188" spans="2:3">
      <c r="B1188" s="131" t="s">
        <v>556</v>
      </c>
      <c r="C1188" s="226">
        <v>98081</v>
      </c>
    </row>
    <row r="1189" spans="2:3">
      <c r="B1189" s="131" t="s">
        <v>381</v>
      </c>
      <c r="C1189" s="226">
        <v>92671</v>
      </c>
    </row>
    <row r="1190" spans="2:3">
      <c r="B1190" s="131" t="s">
        <v>656</v>
      </c>
      <c r="C1190" s="226">
        <v>97421</v>
      </c>
    </row>
    <row r="1191" spans="2:3">
      <c r="B1191" s="131" t="s">
        <v>179</v>
      </c>
      <c r="C1191" s="226">
        <v>97423</v>
      </c>
    </row>
    <row r="1192" spans="2:3">
      <c r="B1192" s="131" t="s">
        <v>632</v>
      </c>
      <c r="C1192" s="226">
        <v>92611</v>
      </c>
    </row>
    <row r="1193" spans="2:3">
      <c r="B1193" s="131" t="s">
        <v>1684</v>
      </c>
      <c r="C1193" s="226">
        <v>92613</v>
      </c>
    </row>
    <row r="1194" spans="2:3">
      <c r="B1194" s="131" t="s">
        <v>1685</v>
      </c>
      <c r="C1194" s="226">
        <v>92502</v>
      </c>
    </row>
    <row r="1195" spans="2:3">
      <c r="B1195" s="131" t="s">
        <v>279</v>
      </c>
      <c r="C1195" s="226">
        <v>94531</v>
      </c>
    </row>
    <row r="1196" spans="2:3">
      <c r="B1196" s="131" t="s">
        <v>444</v>
      </c>
      <c r="C1196" s="226">
        <v>94541</v>
      </c>
    </row>
    <row r="1197" spans="2:3">
      <c r="B1197" s="131" t="s">
        <v>1802</v>
      </c>
      <c r="C1197" s="226">
        <v>94547</v>
      </c>
    </row>
    <row r="1198" spans="2:3">
      <c r="B1198" s="131" t="s">
        <v>126</v>
      </c>
      <c r="C1198" s="226">
        <v>95005</v>
      </c>
    </row>
    <row r="1199" spans="2:3">
      <c r="B1199" s="131" t="s">
        <v>198</v>
      </c>
      <c r="C1199" s="226">
        <v>98111</v>
      </c>
    </row>
    <row r="1200" spans="2:3">
      <c r="B1200" s="131" t="s">
        <v>1803</v>
      </c>
      <c r="C1200" s="226">
        <v>98107</v>
      </c>
    </row>
    <row r="1201" spans="2:3">
      <c r="B1201" s="131" t="s">
        <v>199</v>
      </c>
      <c r="C1201" s="226">
        <v>98113</v>
      </c>
    </row>
    <row r="1202" spans="2:3">
      <c r="B1202" s="131" t="s">
        <v>1686</v>
      </c>
      <c r="C1202" s="226">
        <v>99602</v>
      </c>
    </row>
    <row r="1203" spans="2:3">
      <c r="B1203" s="131" t="s">
        <v>90</v>
      </c>
      <c r="C1203" s="226">
        <v>93401</v>
      </c>
    </row>
    <row r="1204" spans="2:3">
      <c r="B1204" s="131" t="s">
        <v>1687</v>
      </c>
      <c r="C1204" s="226">
        <v>97491</v>
      </c>
    </row>
    <row r="1205" spans="2:3">
      <c r="B1205" s="131" t="s">
        <v>459</v>
      </c>
      <c r="C1205" s="226">
        <v>95151</v>
      </c>
    </row>
    <row r="1206" spans="2:3">
      <c r="B1206" s="131" t="s">
        <v>150</v>
      </c>
      <c r="C1206" s="226">
        <v>96381</v>
      </c>
    </row>
    <row r="1207" spans="2:3">
      <c r="B1207" s="131" t="s">
        <v>468</v>
      </c>
      <c r="C1207" s="226">
        <v>95611</v>
      </c>
    </row>
    <row r="1208" spans="2:3">
      <c r="B1208" s="131" t="s">
        <v>95</v>
      </c>
      <c r="C1208" s="226">
        <v>93501</v>
      </c>
    </row>
    <row r="1209" spans="2:3">
      <c r="B1209" s="131" t="s">
        <v>410</v>
      </c>
      <c r="C1209" s="226">
        <v>93511</v>
      </c>
    </row>
    <row r="1210" spans="2:3">
      <c r="B1210" s="131" t="s">
        <v>1804</v>
      </c>
      <c r="C1210" s="226">
        <v>93517</v>
      </c>
    </row>
    <row r="1211" spans="2:3">
      <c r="B1211" s="131" t="s">
        <v>607</v>
      </c>
      <c r="C1211" s="226">
        <v>99631</v>
      </c>
    </row>
    <row r="1212" spans="2:3">
      <c r="B1212" s="131" t="s">
        <v>594</v>
      </c>
      <c r="C1212" s="226">
        <v>99261</v>
      </c>
    </row>
    <row r="1213" spans="2:3">
      <c r="B1213" s="131" t="s">
        <v>564</v>
      </c>
      <c r="C1213" s="226">
        <v>98241</v>
      </c>
    </row>
    <row r="1214" spans="2:3">
      <c r="B1214" s="131" t="s">
        <v>593</v>
      </c>
      <c r="C1214" s="226">
        <v>99251</v>
      </c>
    </row>
    <row r="1215" spans="2:3">
      <c r="B1215" s="131" t="s">
        <v>1688</v>
      </c>
      <c r="C1215" s="226">
        <v>99252</v>
      </c>
    </row>
    <row r="1216" spans="2:3">
      <c r="B1216" s="131" t="s">
        <v>511</v>
      </c>
      <c r="C1216" s="226">
        <v>96631</v>
      </c>
    </row>
    <row r="1217" spans="2:3">
      <c r="B1217" s="131" t="s">
        <v>513</v>
      </c>
      <c r="C1217" s="226">
        <v>96651</v>
      </c>
    </row>
    <row r="1218" spans="2:3">
      <c r="B1218" s="131" t="s">
        <v>96</v>
      </c>
      <c r="C1218" s="226">
        <v>93601</v>
      </c>
    </row>
    <row r="1219" spans="2:3">
      <c r="B1219" s="131" t="s">
        <v>1689</v>
      </c>
      <c r="C1219" s="226">
        <v>93618</v>
      </c>
    </row>
    <row r="1220" spans="2:3">
      <c r="B1220" s="131" t="s">
        <v>637</v>
      </c>
      <c r="C1220" s="226">
        <v>93611</v>
      </c>
    </row>
    <row r="1221" spans="2:3">
      <c r="B1221" s="131" t="s">
        <v>1805</v>
      </c>
      <c r="C1221" s="226">
        <v>93617</v>
      </c>
    </row>
    <row r="1222" spans="2:3">
      <c r="B1222" s="131" t="s">
        <v>99</v>
      </c>
      <c r="C1222" s="226">
        <v>93701</v>
      </c>
    </row>
    <row r="1223" spans="2:3">
      <c r="B1223" s="131" t="s">
        <v>1806</v>
      </c>
      <c r="C1223" s="226">
        <v>93704</v>
      </c>
    </row>
    <row r="1224" spans="2:3">
      <c r="B1224" s="131" t="s">
        <v>569</v>
      </c>
      <c r="C1224" s="226">
        <v>98331</v>
      </c>
    </row>
    <row r="1225" spans="2:3">
      <c r="B1225" s="131" t="s">
        <v>427</v>
      </c>
      <c r="C1225" s="226">
        <v>94151</v>
      </c>
    </row>
    <row r="1226" spans="2:3">
      <c r="B1226" s="131" t="s">
        <v>1807</v>
      </c>
      <c r="C1226" s="226">
        <v>94157</v>
      </c>
    </row>
    <row r="1227" spans="2:3">
      <c r="B1227" s="131" t="s">
        <v>334</v>
      </c>
      <c r="C1227" s="226">
        <v>91241</v>
      </c>
    </row>
    <row r="1228" spans="2:3">
      <c r="B1228" s="131" t="s">
        <v>135</v>
      </c>
      <c r="C1228" s="226">
        <v>95412</v>
      </c>
    </row>
    <row r="1229" spans="2:3">
      <c r="B1229" s="131" t="s">
        <v>674</v>
      </c>
      <c r="C1229" s="226">
        <v>99611</v>
      </c>
    </row>
    <row r="1230" spans="2:3">
      <c r="B1230" s="131" t="s">
        <v>62</v>
      </c>
      <c r="C1230" s="226">
        <v>91908</v>
      </c>
    </row>
    <row r="1231" spans="2:3">
      <c r="B1231" s="131" t="s">
        <v>620</v>
      </c>
      <c r="C1231" s="226">
        <v>90121</v>
      </c>
    </row>
    <row r="1232" spans="2:3">
      <c r="B1232" s="131" t="s">
        <v>1690</v>
      </c>
      <c r="C1232" s="226">
        <v>93803</v>
      </c>
    </row>
    <row r="1233" spans="2:3">
      <c r="B1233" s="131" t="s">
        <v>100</v>
      </c>
      <c r="C1233" s="226">
        <v>93801</v>
      </c>
    </row>
    <row r="1234" spans="2:3">
      <c r="B1234" s="131" t="s">
        <v>1691</v>
      </c>
      <c r="C1234" s="226">
        <v>93806</v>
      </c>
    </row>
    <row r="1235" spans="2:3">
      <c r="B1235" s="131" t="s">
        <v>339</v>
      </c>
      <c r="C1235" s="226">
        <v>91411</v>
      </c>
    </row>
    <row r="1236" spans="2:3">
      <c r="B1236" s="131" t="s">
        <v>1808</v>
      </c>
      <c r="C1236" s="226">
        <v>91417</v>
      </c>
    </row>
    <row r="1237" spans="2:3">
      <c r="B1237" s="131" t="s">
        <v>554</v>
      </c>
      <c r="C1237" s="226">
        <v>98061</v>
      </c>
    </row>
    <row r="1238" spans="2:3">
      <c r="B1238" s="131" t="s">
        <v>1809</v>
      </c>
      <c r="C1238" s="226">
        <v>93904</v>
      </c>
    </row>
    <row r="1239" spans="2:3">
      <c r="B1239" s="131" t="s">
        <v>101</v>
      </c>
      <c r="C1239" s="226">
        <v>93901</v>
      </c>
    </row>
    <row r="1240" spans="2:3">
      <c r="B1240" s="131" t="s">
        <v>102</v>
      </c>
      <c r="C1240" s="226">
        <v>93906</v>
      </c>
    </row>
    <row r="1241" spans="2:3">
      <c r="B1241" s="131" t="s">
        <v>1692</v>
      </c>
      <c r="C1241" s="226">
        <v>93908</v>
      </c>
    </row>
    <row r="1242" spans="2:3">
      <c r="B1242" s="131" t="s">
        <v>1693</v>
      </c>
      <c r="C1242" s="226">
        <v>94908</v>
      </c>
    </row>
    <row r="1243" spans="2:3">
      <c r="B1243" s="131" t="s">
        <v>290</v>
      </c>
      <c r="C1243" s="226">
        <v>90161</v>
      </c>
    </row>
    <row r="1244" spans="2:3">
      <c r="B1244" s="131" t="s">
        <v>104</v>
      </c>
      <c r="C1244" s="226">
        <v>94001</v>
      </c>
    </row>
    <row r="1245" spans="2:3">
      <c r="B1245" s="131" t="s">
        <v>1810</v>
      </c>
      <c r="C1245" s="226">
        <v>94004</v>
      </c>
    </row>
    <row r="1246" spans="2:3">
      <c r="B1246" s="131" t="s">
        <v>643</v>
      </c>
      <c r="C1246" s="226">
        <v>94111</v>
      </c>
    </row>
    <row r="1247" spans="2:3">
      <c r="B1247" s="131" t="s">
        <v>1811</v>
      </c>
      <c r="C1247" s="226">
        <v>94117</v>
      </c>
    </row>
    <row r="1248" spans="2:3">
      <c r="B1248" s="131" t="s">
        <v>655</v>
      </c>
      <c r="C1248" s="226">
        <v>97411</v>
      </c>
    </row>
    <row r="1249" spans="2:3">
      <c r="B1249" s="131" t="s">
        <v>178</v>
      </c>
      <c r="C1249" s="226">
        <v>97413</v>
      </c>
    </row>
    <row r="1250" spans="2:3">
      <c r="B1250" s="131" t="s">
        <v>177</v>
      </c>
      <c r="C1250" s="226">
        <v>97412</v>
      </c>
    </row>
    <row r="1251" spans="2:3">
      <c r="B1251" s="131" t="s">
        <v>530</v>
      </c>
      <c r="C1251" s="226">
        <v>97431</v>
      </c>
    </row>
    <row r="1252" spans="2:3">
      <c r="B1252" s="131" t="s">
        <v>534</v>
      </c>
      <c r="C1252" s="226">
        <v>97471</v>
      </c>
    </row>
    <row r="1253" spans="2:3">
      <c r="B1253" s="131" t="s">
        <v>366</v>
      </c>
      <c r="C1253" s="226">
        <v>92351</v>
      </c>
    </row>
    <row r="1254" spans="2:3">
      <c r="B1254" s="131" t="s">
        <v>684</v>
      </c>
      <c r="C1254" s="226">
        <v>94101</v>
      </c>
    </row>
    <row r="1255" spans="2:3">
      <c r="B1255" s="131" t="s">
        <v>1694</v>
      </c>
      <c r="C1255" s="226">
        <v>94118</v>
      </c>
    </row>
    <row r="1256" spans="2:3">
      <c r="B1256" s="131" t="s">
        <v>106</v>
      </c>
      <c r="C1256" s="226">
        <v>94102</v>
      </c>
    </row>
    <row r="1257" spans="2:3">
      <c r="B1257" s="131" t="s">
        <v>109</v>
      </c>
      <c r="C1257" s="226">
        <v>94201</v>
      </c>
    </row>
    <row r="1258" spans="2:3">
      <c r="B1258" s="131" t="s">
        <v>1812</v>
      </c>
      <c r="C1258" s="226">
        <v>94204</v>
      </c>
    </row>
    <row r="1259" spans="2:3">
      <c r="B1259" s="131" t="s">
        <v>110</v>
      </c>
      <c r="C1259" s="226">
        <v>94205</v>
      </c>
    </row>
    <row r="1260" spans="2:3">
      <c r="B1260" s="131" t="s">
        <v>473</v>
      </c>
      <c r="C1260" s="226">
        <v>95831</v>
      </c>
    </row>
    <row r="1261" spans="2:3">
      <c r="B1261" s="131" t="s">
        <v>662</v>
      </c>
      <c r="C1261" s="226">
        <v>97721</v>
      </c>
    </row>
    <row r="1262" spans="2:3">
      <c r="B1262" s="131" t="s">
        <v>1813</v>
      </c>
      <c r="C1262" s="226">
        <v>97717</v>
      </c>
    </row>
    <row r="1263" spans="2:3">
      <c r="B1263" s="131" t="s">
        <v>112</v>
      </c>
      <c r="C1263" s="226">
        <v>94301</v>
      </c>
    </row>
    <row r="1264" spans="2:3">
      <c r="B1264" s="131" t="s">
        <v>342</v>
      </c>
      <c r="C1264" s="226">
        <v>91441</v>
      </c>
    </row>
    <row r="1265" spans="2:3">
      <c r="B1265" s="131" t="s">
        <v>631</v>
      </c>
      <c r="C1265" s="226">
        <v>92531</v>
      </c>
    </row>
    <row r="1266" spans="2:3">
      <c r="B1266" s="131" t="s">
        <v>289</v>
      </c>
      <c r="C1266" s="226">
        <v>90141</v>
      </c>
    </row>
    <row r="1267" spans="2:3">
      <c r="B1267" s="131" t="s">
        <v>114</v>
      </c>
      <c r="C1267" s="226">
        <v>94401</v>
      </c>
    </row>
    <row r="1268" spans="2:3">
      <c r="B1268" s="131" t="s">
        <v>1695</v>
      </c>
      <c r="C1268" s="226">
        <v>94403</v>
      </c>
    </row>
    <row r="1269" spans="2:3">
      <c r="B1269" s="131" t="s">
        <v>115</v>
      </c>
      <c r="C1269" s="226">
        <v>94402</v>
      </c>
    </row>
    <row r="1270" spans="2:3">
      <c r="B1270" s="131" t="s">
        <v>672</v>
      </c>
      <c r="C1270" s="226">
        <v>99111</v>
      </c>
    </row>
    <row r="1271" spans="2:3">
      <c r="B1271" s="131" t="s">
        <v>644</v>
      </c>
      <c r="C1271" s="226">
        <v>94511</v>
      </c>
    </row>
    <row r="1272" spans="2:3">
      <c r="B1272" s="131" t="s">
        <v>1814</v>
      </c>
      <c r="C1272" s="226">
        <v>94517</v>
      </c>
    </row>
    <row r="1273" spans="2:3">
      <c r="B1273" s="131" t="s">
        <v>117</v>
      </c>
      <c r="C1273" s="226">
        <v>94512</v>
      </c>
    </row>
    <row r="1274" spans="2:3">
      <c r="B1274" s="131" t="s">
        <v>528</v>
      </c>
      <c r="C1274" s="226">
        <v>97211</v>
      </c>
    </row>
    <row r="1275" spans="2:3">
      <c r="B1275" s="131" t="s">
        <v>1872</v>
      </c>
      <c r="C1275" s="226">
        <v>97217</v>
      </c>
    </row>
    <row r="1276" spans="2:3">
      <c r="B1276" s="131" t="s">
        <v>119</v>
      </c>
      <c r="C1276" s="226">
        <v>94601</v>
      </c>
    </row>
    <row r="1277" spans="2:3">
      <c r="B1277" s="131" t="s">
        <v>1815</v>
      </c>
      <c r="C1277" s="226">
        <v>94604</v>
      </c>
    </row>
    <row r="1278" spans="2:3">
      <c r="B1278" s="131" t="s">
        <v>120</v>
      </c>
      <c r="C1278" s="226">
        <v>94606</v>
      </c>
    </row>
    <row r="1279" spans="2:3">
      <c r="B1279" s="131" t="s">
        <v>1696</v>
      </c>
      <c r="C1279" s="226">
        <v>97213</v>
      </c>
    </row>
    <row r="1280" spans="2:3">
      <c r="B1280" s="131" t="s">
        <v>628</v>
      </c>
      <c r="C1280" s="226">
        <v>91811</v>
      </c>
    </row>
    <row r="1281" spans="2:3">
      <c r="B1281" s="131" t="s">
        <v>1697</v>
      </c>
      <c r="C1281" s="226">
        <v>91812</v>
      </c>
    </row>
    <row r="1282" spans="2:3">
      <c r="B1282" s="131" t="s">
        <v>1698</v>
      </c>
      <c r="C1282" s="226">
        <v>91813</v>
      </c>
    </row>
    <row r="1283" spans="2:3">
      <c r="B1283" s="131" t="s">
        <v>1816</v>
      </c>
      <c r="C1283" s="226">
        <v>90617</v>
      </c>
    </row>
    <row r="1284" spans="2:3">
      <c r="B1284" s="131" t="s">
        <v>1817</v>
      </c>
      <c r="C1284" s="226">
        <v>94127</v>
      </c>
    </row>
    <row r="1285" spans="2:3">
      <c r="B1285" s="131" t="s">
        <v>469</v>
      </c>
      <c r="C1285" s="226">
        <v>95621</v>
      </c>
    </row>
    <row r="1286" spans="2:3">
      <c r="B1286" s="131" t="s">
        <v>1818</v>
      </c>
      <c r="C1286" s="226">
        <v>95617</v>
      </c>
    </row>
    <row r="1287" spans="2:3">
      <c r="B1287" s="131" t="s">
        <v>1900</v>
      </c>
      <c r="C1287" s="226">
        <v>94121</v>
      </c>
    </row>
    <row r="1288" spans="2:3">
      <c r="B1288" s="131" t="s">
        <v>1747</v>
      </c>
      <c r="C1288" s="226">
        <v>91251</v>
      </c>
    </row>
    <row r="1289" spans="2:3">
      <c r="B1289" s="131" t="s">
        <v>523</v>
      </c>
      <c r="C1289" s="226">
        <v>96831</v>
      </c>
    </row>
    <row r="1290" spans="2:3">
      <c r="B1290" s="131" t="s">
        <v>433</v>
      </c>
      <c r="C1290" s="226">
        <v>94251</v>
      </c>
    </row>
    <row r="1291" spans="2:3">
      <c r="B1291" s="131" t="s">
        <v>121</v>
      </c>
      <c r="C1291" s="226">
        <v>94701</v>
      </c>
    </row>
    <row r="1292" spans="2:3">
      <c r="B1292" s="131" t="s">
        <v>1819</v>
      </c>
      <c r="C1292" s="226">
        <v>94704</v>
      </c>
    </row>
    <row r="1293" spans="2:3">
      <c r="B1293" s="131" t="s">
        <v>318</v>
      </c>
      <c r="C1293" s="226">
        <v>91014</v>
      </c>
    </row>
    <row r="1294" spans="2:3">
      <c r="B1294" s="131" t="s">
        <v>518</v>
      </c>
      <c r="C1294" s="226">
        <v>96731</v>
      </c>
    </row>
    <row r="1295" spans="2:3">
      <c r="B1295" s="131" t="s">
        <v>160</v>
      </c>
      <c r="C1295" s="226">
        <v>96733</v>
      </c>
    </row>
    <row r="1296" spans="2:3">
      <c r="B1296" s="131" t="s">
        <v>587</v>
      </c>
      <c r="C1296" s="226">
        <v>99202</v>
      </c>
    </row>
    <row r="1297" spans="2:3">
      <c r="B1297" s="131" t="s">
        <v>423</v>
      </c>
      <c r="C1297" s="226">
        <v>94011</v>
      </c>
    </row>
    <row r="1298" spans="2:3">
      <c r="B1298" s="131" t="s">
        <v>377</v>
      </c>
      <c r="C1298" s="226">
        <v>92631</v>
      </c>
    </row>
    <row r="1299" spans="2:3">
      <c r="B1299" s="131" t="s">
        <v>140</v>
      </c>
      <c r="C1299" s="226">
        <v>95733</v>
      </c>
    </row>
    <row r="1300" spans="2:3">
      <c r="B1300" s="131" t="s">
        <v>1699</v>
      </c>
      <c r="C1300" s="226">
        <v>95413</v>
      </c>
    </row>
    <row r="1301" spans="2:3">
      <c r="B1301" s="131" t="s">
        <v>1700</v>
      </c>
      <c r="C1301" s="226">
        <v>98013</v>
      </c>
    </row>
    <row r="1302" spans="2:3">
      <c r="B1302" s="131" t="s">
        <v>1701</v>
      </c>
      <c r="C1302" s="226">
        <v>99613</v>
      </c>
    </row>
    <row r="1303" spans="2:3">
      <c r="B1303" s="131" t="s">
        <v>341</v>
      </c>
      <c r="C1303" s="226">
        <v>91431</v>
      </c>
    </row>
    <row r="1304" spans="2:3">
      <c r="B1304" s="131" t="s">
        <v>480</v>
      </c>
      <c r="C1304" s="226">
        <v>96041</v>
      </c>
    </row>
    <row r="1305" spans="2:3">
      <c r="B1305" s="131" t="s">
        <v>122</v>
      </c>
      <c r="C1305" s="226">
        <v>94801</v>
      </c>
    </row>
    <row r="1306" spans="2:3">
      <c r="B1306" s="131" t="s">
        <v>1820</v>
      </c>
      <c r="C1306" s="226">
        <v>94804</v>
      </c>
    </row>
    <row r="1307" spans="2:3">
      <c r="B1307" s="131" t="s">
        <v>348</v>
      </c>
      <c r="C1307" s="226">
        <v>91661</v>
      </c>
    </row>
    <row r="1308" spans="2:3">
      <c r="B1308" s="131" t="s">
        <v>584</v>
      </c>
      <c r="C1308" s="226">
        <v>99051</v>
      </c>
    </row>
    <row r="1309" spans="2:3">
      <c r="B1309" s="131" t="s">
        <v>1622</v>
      </c>
      <c r="C1309" s="226">
        <v>99014</v>
      </c>
    </row>
    <row r="1310" spans="2:3">
      <c r="B1310" s="131" t="s">
        <v>123</v>
      </c>
      <c r="C1310" s="226">
        <v>94901</v>
      </c>
    </row>
    <row r="1311" spans="2:3">
      <c r="B1311" s="131" t="s">
        <v>1702</v>
      </c>
      <c r="C1311" s="226">
        <v>98109</v>
      </c>
    </row>
    <row r="1312" spans="2:3">
      <c r="B1312" s="131" t="s">
        <v>1703</v>
      </c>
      <c r="C1312" s="226">
        <v>98205</v>
      </c>
    </row>
    <row r="1313" spans="2:3">
      <c r="B1313" s="131" t="s">
        <v>514</v>
      </c>
      <c r="C1313" s="226">
        <v>96661</v>
      </c>
    </row>
    <row r="1314" spans="2:3">
      <c r="B1314" s="131" t="s">
        <v>125</v>
      </c>
      <c r="C1314" s="226">
        <v>95001</v>
      </c>
    </row>
    <row r="1315" spans="2:3">
      <c r="B1315" s="131" t="s">
        <v>1623</v>
      </c>
      <c r="C1315" s="226">
        <v>95017</v>
      </c>
    </row>
    <row r="1316" spans="2:3">
      <c r="B1316" s="131" t="s">
        <v>653</v>
      </c>
      <c r="C1316" s="226">
        <v>96711</v>
      </c>
    </row>
    <row r="1317" spans="2:3">
      <c r="B1317" s="131" t="s">
        <v>426</v>
      </c>
      <c r="C1317" s="226">
        <v>94131</v>
      </c>
    </row>
    <row r="1318" spans="2:3">
      <c r="B1318" s="131" t="s">
        <v>474</v>
      </c>
      <c r="C1318" s="226">
        <v>95841</v>
      </c>
    </row>
    <row r="1319" spans="2:3">
      <c r="B1319" s="131" t="s">
        <v>298</v>
      </c>
      <c r="C1319" s="226">
        <v>90511</v>
      </c>
    </row>
    <row r="1320" spans="2:3">
      <c r="B1320" s="131" t="s">
        <v>127</v>
      </c>
      <c r="C1320" s="226">
        <v>95101</v>
      </c>
    </row>
    <row r="1321" spans="2:3">
      <c r="B1321" s="131" t="s">
        <v>1821</v>
      </c>
      <c r="C1321" s="226">
        <v>95104</v>
      </c>
    </row>
    <row r="1322" spans="2:3">
      <c r="B1322" s="131" t="s">
        <v>1624</v>
      </c>
      <c r="C1322" s="226">
        <v>95110</v>
      </c>
    </row>
    <row r="1323" spans="2:3">
      <c r="B1323" s="131" t="s">
        <v>131</v>
      </c>
      <c r="C1323" s="226">
        <v>95201</v>
      </c>
    </row>
    <row r="1324" spans="2:3">
      <c r="B1324" s="131" t="s">
        <v>1822</v>
      </c>
      <c r="C1324" s="226">
        <v>95204</v>
      </c>
    </row>
    <row r="1325" spans="2:3">
      <c r="B1325" s="131" t="s">
        <v>616</v>
      </c>
      <c r="C1325" s="226">
        <v>99921</v>
      </c>
    </row>
    <row r="1326" spans="2:3">
      <c r="B1326" s="131" t="s">
        <v>116</v>
      </c>
      <c r="C1326" s="226">
        <v>94408</v>
      </c>
    </row>
    <row r="1327" spans="2:3">
      <c r="B1327" s="131" t="s">
        <v>337</v>
      </c>
      <c r="C1327" s="226">
        <v>91331</v>
      </c>
    </row>
    <row r="1328" spans="2:3">
      <c r="B1328" s="131" t="s">
        <v>394</v>
      </c>
      <c r="C1328" s="226">
        <v>93121</v>
      </c>
    </row>
    <row r="1329" spans="2:3">
      <c r="B1329" s="131" t="s">
        <v>1823</v>
      </c>
      <c r="C1329" s="226">
        <v>93127</v>
      </c>
    </row>
    <row r="1330" spans="2:3">
      <c r="B1330" s="131" t="s">
        <v>461</v>
      </c>
      <c r="C1330" s="226">
        <v>95171</v>
      </c>
    </row>
    <row r="1331" spans="2:3">
      <c r="B1331" s="131" t="s">
        <v>406</v>
      </c>
      <c r="C1331" s="226">
        <v>93421</v>
      </c>
    </row>
    <row r="1332" spans="2:3">
      <c r="B1332" s="131" t="s">
        <v>1704</v>
      </c>
      <c r="C1332" s="226">
        <v>99110</v>
      </c>
    </row>
    <row r="1333" spans="2:3">
      <c r="B1333" s="131" t="s">
        <v>1705</v>
      </c>
      <c r="C1333" s="226">
        <v>99109</v>
      </c>
    </row>
    <row r="1334" spans="2:3">
      <c r="B1334" s="131" t="s">
        <v>384</v>
      </c>
      <c r="C1334" s="226">
        <v>92821</v>
      </c>
    </row>
    <row r="1335" spans="2:3">
      <c r="B1335" s="131" t="s">
        <v>575</v>
      </c>
      <c r="C1335" s="226">
        <v>98521</v>
      </c>
    </row>
    <row r="1336" spans="2:3">
      <c r="B1336" s="131" t="s">
        <v>1824</v>
      </c>
      <c r="C1336" s="226">
        <v>92327</v>
      </c>
    </row>
    <row r="1337" spans="2:3">
      <c r="B1337" s="131" t="s">
        <v>1901</v>
      </c>
      <c r="C1337" s="226">
        <v>92321</v>
      </c>
    </row>
    <row r="1338" spans="2:3">
      <c r="B1338" s="131" t="s">
        <v>648</v>
      </c>
      <c r="C1338" s="226">
        <v>95411</v>
      </c>
    </row>
    <row r="1339" spans="2:3">
      <c r="B1339" s="131" t="s">
        <v>1706</v>
      </c>
      <c r="C1339" s="226">
        <v>95415</v>
      </c>
    </row>
    <row r="1340" spans="2:3">
      <c r="B1340" s="131" t="s">
        <v>387</v>
      </c>
      <c r="C1340" s="226">
        <v>92851</v>
      </c>
    </row>
    <row r="1341" spans="2:3">
      <c r="B1341" s="131" t="s">
        <v>597</v>
      </c>
      <c r="C1341" s="226">
        <v>99291</v>
      </c>
    </row>
    <row r="1342" spans="2:3">
      <c r="B1342" s="131" t="s">
        <v>508</v>
      </c>
      <c r="C1342" s="226">
        <v>96541</v>
      </c>
    </row>
    <row r="1343" spans="2:3">
      <c r="B1343" s="131" t="s">
        <v>467</v>
      </c>
      <c r="C1343" s="226">
        <v>95431</v>
      </c>
    </row>
    <row r="1344" spans="2:3">
      <c r="B1344" s="131" t="s">
        <v>559</v>
      </c>
      <c r="C1344" s="226">
        <v>98131</v>
      </c>
    </row>
    <row r="1345" spans="2:3">
      <c r="B1345" s="131" t="s">
        <v>1748</v>
      </c>
      <c r="C1345" s="226">
        <v>92461</v>
      </c>
    </row>
    <row r="1346" spans="2:3">
      <c r="B1346" s="131" t="s">
        <v>1825</v>
      </c>
      <c r="C1346" s="226">
        <v>92427</v>
      </c>
    </row>
    <row r="1347" spans="2:3">
      <c r="B1347" s="131" t="s">
        <v>553</v>
      </c>
      <c r="C1347" s="226">
        <v>98051</v>
      </c>
    </row>
    <row r="1348" spans="2:3">
      <c r="B1348" s="131" t="s">
        <v>45</v>
      </c>
      <c r="C1348" s="226">
        <v>91102</v>
      </c>
    </row>
    <row r="1349" spans="2:3">
      <c r="B1349" s="131" t="s">
        <v>443</v>
      </c>
      <c r="C1349" s="226">
        <v>94521</v>
      </c>
    </row>
    <row r="1350" spans="2:3">
      <c r="B1350" s="131" t="s">
        <v>1826</v>
      </c>
      <c r="C1350" s="226">
        <v>94527</v>
      </c>
    </row>
    <row r="1351" spans="2:3">
      <c r="B1351" s="131" t="s">
        <v>667</v>
      </c>
      <c r="C1351" s="226">
        <v>98311</v>
      </c>
    </row>
    <row r="1352" spans="2:3">
      <c r="B1352" s="131" t="s">
        <v>1707</v>
      </c>
      <c r="C1352" s="226">
        <v>98313</v>
      </c>
    </row>
    <row r="1353" spans="2:3">
      <c r="B1353" s="131" t="s">
        <v>202</v>
      </c>
      <c r="C1353" s="226">
        <v>98308</v>
      </c>
    </row>
    <row r="1354" spans="2:3">
      <c r="B1354" s="131" t="s">
        <v>365</v>
      </c>
      <c r="C1354" s="226">
        <v>92341</v>
      </c>
    </row>
    <row r="1355" spans="2:3">
      <c r="B1355" s="131" t="s">
        <v>132</v>
      </c>
      <c r="C1355" s="226">
        <v>95301</v>
      </c>
    </row>
    <row r="1356" spans="2:3">
      <c r="B1356" s="131" t="s">
        <v>316</v>
      </c>
      <c r="C1356" s="226">
        <v>91002</v>
      </c>
    </row>
    <row r="1357" spans="2:3">
      <c r="B1357" s="131" t="s">
        <v>627</v>
      </c>
      <c r="C1357" s="226">
        <v>91451</v>
      </c>
    </row>
    <row r="1358" spans="2:3">
      <c r="B1358" s="131" t="s">
        <v>133</v>
      </c>
      <c r="C1358" s="226">
        <v>95401</v>
      </c>
    </row>
    <row r="1359" spans="2:3">
      <c r="B1359" s="131" t="s">
        <v>1827</v>
      </c>
      <c r="C1359" s="226">
        <v>95404</v>
      </c>
    </row>
    <row r="1360" spans="2:3">
      <c r="B1360" s="131" t="s">
        <v>55</v>
      </c>
      <c r="C1360" s="226">
        <v>91423</v>
      </c>
    </row>
    <row r="1361" spans="2:3">
      <c r="B1361" s="131" t="s">
        <v>1902</v>
      </c>
      <c r="C1361" s="226">
        <v>91457</v>
      </c>
    </row>
    <row r="1362" spans="2:3">
      <c r="B1362" s="131" t="s">
        <v>1749</v>
      </c>
      <c r="C1362" s="226">
        <v>90861</v>
      </c>
    </row>
    <row r="1363" spans="2:3">
      <c r="B1363" s="131" t="s">
        <v>408</v>
      </c>
      <c r="C1363" s="226">
        <v>93451</v>
      </c>
    </row>
    <row r="1364" spans="2:3">
      <c r="B1364" s="131" t="s">
        <v>634</v>
      </c>
      <c r="C1364" s="226">
        <v>92931</v>
      </c>
    </row>
    <row r="1365" spans="2:3">
      <c r="B1365" s="131" t="s">
        <v>1828</v>
      </c>
      <c r="C1365" s="226">
        <v>92917</v>
      </c>
    </row>
    <row r="1366" spans="2:3">
      <c r="B1366" s="131" t="s">
        <v>538</v>
      </c>
      <c r="C1366" s="226">
        <v>97631</v>
      </c>
    </row>
    <row r="1367" spans="2:3">
      <c r="B1367" s="131" t="s">
        <v>1829</v>
      </c>
      <c r="C1367" s="226">
        <v>97637</v>
      </c>
    </row>
    <row r="1368" spans="2:3">
      <c r="B1368" s="131" t="s">
        <v>293</v>
      </c>
      <c r="C1368" s="226">
        <v>90421</v>
      </c>
    </row>
    <row r="1369" spans="2:3">
      <c r="B1369" s="131" t="s">
        <v>436</v>
      </c>
      <c r="C1369" s="226">
        <v>94321</v>
      </c>
    </row>
    <row r="1370" spans="2:3">
      <c r="B1370" s="131" t="s">
        <v>136</v>
      </c>
      <c r="C1370" s="226">
        <v>95501</v>
      </c>
    </row>
    <row r="1371" spans="2:3">
      <c r="B1371" s="131" t="s">
        <v>1830</v>
      </c>
      <c r="C1371" s="226">
        <v>95504</v>
      </c>
    </row>
    <row r="1372" spans="2:3">
      <c r="B1372" s="131" t="s">
        <v>649</v>
      </c>
      <c r="C1372" s="226">
        <v>95511</v>
      </c>
    </row>
    <row r="1373" spans="2:3">
      <c r="B1373" s="131" t="s">
        <v>1873</v>
      </c>
      <c r="C1373" s="226">
        <v>95517</v>
      </c>
    </row>
    <row r="1374" spans="2:3">
      <c r="B1374" s="131" t="s">
        <v>137</v>
      </c>
      <c r="C1374" s="226">
        <v>95513</v>
      </c>
    </row>
    <row r="1375" spans="2:3">
      <c r="B1375" s="131" t="s">
        <v>379</v>
      </c>
      <c r="C1375" s="226">
        <v>92651</v>
      </c>
    </row>
    <row r="1376" spans="2:3">
      <c r="B1376" s="131" t="s">
        <v>434</v>
      </c>
      <c r="C1376" s="226">
        <v>94261</v>
      </c>
    </row>
    <row r="1377" spans="2:3">
      <c r="B1377" s="131" t="s">
        <v>669</v>
      </c>
      <c r="C1377" s="226">
        <v>98431</v>
      </c>
    </row>
    <row r="1378" spans="2:3">
      <c r="B1378" s="131" t="s">
        <v>1831</v>
      </c>
      <c r="C1378" s="226">
        <v>98404</v>
      </c>
    </row>
    <row r="1379" spans="2:3">
      <c r="B1379" s="131" t="s">
        <v>1897</v>
      </c>
      <c r="C1379" s="226">
        <v>91841</v>
      </c>
    </row>
    <row r="1380" spans="2:3">
      <c r="B1380" s="131" t="s">
        <v>411</v>
      </c>
      <c r="C1380" s="226">
        <v>93521</v>
      </c>
    </row>
    <row r="1381" spans="2:3">
      <c r="B1381" s="131" t="s">
        <v>1832</v>
      </c>
      <c r="C1381" s="226">
        <v>93527</v>
      </c>
    </row>
    <row r="1382" spans="2:3">
      <c r="B1382" s="131" t="s">
        <v>418</v>
      </c>
      <c r="C1382" s="226">
        <v>93661</v>
      </c>
    </row>
    <row r="1383" spans="2:3">
      <c r="B1383" s="131" t="s">
        <v>156</v>
      </c>
      <c r="C1383" s="226">
        <v>96508</v>
      </c>
    </row>
    <row r="1384" spans="2:3">
      <c r="B1384" s="131" t="s">
        <v>613</v>
      </c>
      <c r="C1384" s="226">
        <v>99841</v>
      </c>
    </row>
    <row r="1385" spans="2:3">
      <c r="B1385" s="131" t="s">
        <v>187</v>
      </c>
      <c r="C1385" s="226">
        <v>97802</v>
      </c>
    </row>
    <row r="1386" spans="2:3">
      <c r="B1386" s="131" t="s">
        <v>663</v>
      </c>
      <c r="C1386" s="226">
        <v>97811</v>
      </c>
    </row>
    <row r="1387" spans="2:3">
      <c r="B1387" s="131" t="s">
        <v>1833</v>
      </c>
      <c r="C1387" s="226">
        <v>97817</v>
      </c>
    </row>
    <row r="1388" spans="2:3">
      <c r="B1388" s="131" t="s">
        <v>1708</v>
      </c>
      <c r="C1388" s="226">
        <v>97818</v>
      </c>
    </row>
    <row r="1389" spans="2:3">
      <c r="B1389" s="131" t="s">
        <v>404</v>
      </c>
      <c r="C1389" s="226">
        <v>93341</v>
      </c>
    </row>
    <row r="1390" spans="2:3">
      <c r="B1390" s="131" t="s">
        <v>138</v>
      </c>
      <c r="C1390" s="226">
        <v>95601</v>
      </c>
    </row>
    <row r="1391" spans="2:3">
      <c r="B1391" s="131" t="s">
        <v>549</v>
      </c>
      <c r="C1391" s="226">
        <v>97941</v>
      </c>
    </row>
    <row r="1392" spans="2:3">
      <c r="B1392" s="131" t="s">
        <v>1834</v>
      </c>
      <c r="C1392" s="226">
        <v>97947</v>
      </c>
    </row>
    <row r="1393" spans="2:3">
      <c r="B1393" s="131" t="s">
        <v>139</v>
      </c>
      <c r="C1393" s="226">
        <v>95701</v>
      </c>
    </row>
    <row r="1394" spans="2:3">
      <c r="B1394" s="131" t="s">
        <v>193</v>
      </c>
      <c r="C1394" s="226">
        <v>97948</v>
      </c>
    </row>
    <row r="1395" spans="2:3">
      <c r="B1395" s="131" t="s">
        <v>441</v>
      </c>
      <c r="C1395" s="226">
        <v>94421</v>
      </c>
    </row>
    <row r="1396" spans="2:3">
      <c r="B1396" s="131" t="s">
        <v>1835</v>
      </c>
      <c r="C1396" s="226">
        <v>94427</v>
      </c>
    </row>
    <row r="1397" spans="2:3">
      <c r="B1397" s="131" t="s">
        <v>1709</v>
      </c>
      <c r="C1397" s="226">
        <v>94428</v>
      </c>
    </row>
    <row r="1398" spans="2:3">
      <c r="B1398" s="131" t="s">
        <v>401</v>
      </c>
      <c r="C1398" s="226">
        <v>93191</v>
      </c>
    </row>
    <row r="1399" spans="2:3">
      <c r="B1399" s="131" t="s">
        <v>354</v>
      </c>
      <c r="C1399" s="226">
        <v>91831</v>
      </c>
    </row>
    <row r="1400" spans="2:3">
      <c r="B1400" s="131" t="s">
        <v>385</v>
      </c>
      <c r="C1400" s="226">
        <v>92831</v>
      </c>
    </row>
    <row r="1401" spans="2:3">
      <c r="B1401" s="131" t="s">
        <v>476</v>
      </c>
      <c r="C1401" s="226">
        <v>95911</v>
      </c>
    </row>
    <row r="1402" spans="2:3">
      <c r="B1402" s="131" t="s">
        <v>1836</v>
      </c>
      <c r="C1402" s="226">
        <v>95917</v>
      </c>
    </row>
    <row r="1403" spans="2:3">
      <c r="B1403" s="131" t="s">
        <v>470</v>
      </c>
      <c r="C1403" s="226">
        <v>95711</v>
      </c>
    </row>
    <row r="1404" spans="2:3">
      <c r="B1404" s="131" t="s">
        <v>471</v>
      </c>
      <c r="C1404" s="226">
        <v>95721</v>
      </c>
    </row>
    <row r="1405" spans="2:3">
      <c r="B1405" s="131" t="s">
        <v>581</v>
      </c>
      <c r="C1405" s="226">
        <v>99021</v>
      </c>
    </row>
    <row r="1406" spans="2:3">
      <c r="B1406" s="131" t="s">
        <v>1710</v>
      </c>
      <c r="C1406" s="226">
        <v>95802</v>
      </c>
    </row>
    <row r="1407" spans="2:3">
      <c r="B1407" s="131" t="s">
        <v>141</v>
      </c>
      <c r="C1407" s="226">
        <v>95801</v>
      </c>
    </row>
    <row r="1408" spans="2:3">
      <c r="B1408" s="131" t="s">
        <v>1837</v>
      </c>
      <c r="C1408" s="226">
        <v>95804</v>
      </c>
    </row>
    <row r="1409" spans="2:3">
      <c r="B1409" s="131" t="s">
        <v>1711</v>
      </c>
      <c r="C1409" s="226">
        <v>90092</v>
      </c>
    </row>
    <row r="1410" spans="2:3">
      <c r="B1410" s="131" t="s">
        <v>283</v>
      </c>
      <c r="C1410" s="226">
        <v>99081</v>
      </c>
    </row>
    <row r="1411" spans="2:3">
      <c r="B1411" s="131" t="s">
        <v>483</v>
      </c>
      <c r="C1411" s="226">
        <v>96071</v>
      </c>
    </row>
    <row r="1412" spans="2:3">
      <c r="B1412" s="131" t="s">
        <v>105</v>
      </c>
      <c r="C1412" s="226">
        <v>94002</v>
      </c>
    </row>
    <row r="1413" spans="2:3">
      <c r="B1413" s="131" t="s">
        <v>542</v>
      </c>
      <c r="C1413" s="226">
        <v>97840</v>
      </c>
    </row>
    <row r="1414" spans="2:3">
      <c r="B1414" s="131" t="s">
        <v>1838</v>
      </c>
      <c r="C1414" s="226">
        <v>97847</v>
      </c>
    </row>
    <row r="1415" spans="2:3">
      <c r="B1415" s="131" t="s">
        <v>547</v>
      </c>
      <c r="C1415" s="226">
        <v>97921</v>
      </c>
    </row>
    <row r="1416" spans="2:3">
      <c r="B1416" s="131" t="s">
        <v>464</v>
      </c>
      <c r="C1416" s="226">
        <v>95221</v>
      </c>
    </row>
    <row r="1417" spans="2:3">
      <c r="B1417" s="131" t="s">
        <v>415</v>
      </c>
      <c r="C1417" s="226">
        <v>93610</v>
      </c>
    </row>
    <row r="1418" spans="2:3">
      <c r="B1418" s="131" t="s">
        <v>1712</v>
      </c>
      <c r="C1418" s="226">
        <v>95901</v>
      </c>
    </row>
    <row r="1419" spans="2:3">
      <c r="B1419" s="131" t="s">
        <v>288</v>
      </c>
      <c r="C1419" s="226">
        <v>90114</v>
      </c>
    </row>
    <row r="1420" spans="2:3">
      <c r="B1420" s="131" t="s">
        <v>144</v>
      </c>
      <c r="C1420" s="226">
        <v>96001</v>
      </c>
    </row>
    <row r="1421" spans="2:3">
      <c r="B1421" s="131" t="s">
        <v>1839</v>
      </c>
      <c r="C1421" s="226">
        <v>96004</v>
      </c>
    </row>
    <row r="1422" spans="2:3">
      <c r="B1422" s="131" t="s">
        <v>1713</v>
      </c>
      <c r="C1422" s="226">
        <v>96008</v>
      </c>
    </row>
    <row r="1423" spans="2:3">
      <c r="B1423" s="131" t="s">
        <v>47</v>
      </c>
      <c r="C1423" s="226">
        <v>91108</v>
      </c>
    </row>
    <row r="1424" spans="2:3">
      <c r="B1424" s="131" t="s">
        <v>1714</v>
      </c>
      <c r="C1424" s="226">
        <v>94941</v>
      </c>
    </row>
    <row r="1425" spans="2:3">
      <c r="B1425" s="131" t="s">
        <v>456</v>
      </c>
      <c r="C1425" s="226">
        <v>95122</v>
      </c>
    </row>
    <row r="1426" spans="2:3">
      <c r="B1426" s="131" t="s">
        <v>1715</v>
      </c>
      <c r="C1426" s="226">
        <v>92607</v>
      </c>
    </row>
    <row r="1427" spans="2:3">
      <c r="B1427" s="131" t="s">
        <v>502</v>
      </c>
      <c r="C1427" s="226">
        <v>96431</v>
      </c>
    </row>
    <row r="1428" spans="2:3">
      <c r="B1428" s="131" t="s">
        <v>1625</v>
      </c>
      <c r="C1428" s="226">
        <v>90709</v>
      </c>
    </row>
    <row r="1429" spans="2:3">
      <c r="B1429" s="131" t="s">
        <v>338</v>
      </c>
      <c r="C1429" s="226">
        <v>91341</v>
      </c>
    </row>
    <row r="1430" spans="2:3">
      <c r="B1430" s="131" t="s">
        <v>679</v>
      </c>
      <c r="C1430" s="226">
        <v>92941</v>
      </c>
    </row>
    <row r="1431" spans="2:3">
      <c r="B1431" s="131" t="s">
        <v>445</v>
      </c>
      <c r="C1431" s="226">
        <v>94551</v>
      </c>
    </row>
    <row r="1432" spans="2:3">
      <c r="B1432" s="131" t="s">
        <v>685</v>
      </c>
      <c r="C1432" s="226">
        <v>99022</v>
      </c>
    </row>
    <row r="1433" spans="2:3">
      <c r="B1433" s="131" t="s">
        <v>479</v>
      </c>
      <c r="C1433" s="226">
        <v>96031</v>
      </c>
    </row>
    <row r="1434" spans="2:3">
      <c r="B1434" s="131" t="s">
        <v>276</v>
      </c>
      <c r="C1434" s="226">
        <v>98414</v>
      </c>
    </row>
    <row r="1435" spans="2:3">
      <c r="B1435" s="131" t="s">
        <v>146</v>
      </c>
      <c r="C1435" s="226">
        <v>96101</v>
      </c>
    </row>
    <row r="1436" spans="2:3">
      <c r="B1436" s="131" t="s">
        <v>1716</v>
      </c>
      <c r="C1436" s="226">
        <v>96102</v>
      </c>
    </row>
    <row r="1437" spans="2:3">
      <c r="B1437" s="131" t="s">
        <v>390</v>
      </c>
      <c r="C1437" s="226">
        <v>93011</v>
      </c>
    </row>
    <row r="1438" spans="2:3">
      <c r="B1438" s="131" t="s">
        <v>671</v>
      </c>
      <c r="C1438" s="226">
        <v>99011</v>
      </c>
    </row>
    <row r="1439" spans="2:3">
      <c r="B1439" s="131" t="s">
        <v>1840</v>
      </c>
      <c r="C1439" s="226">
        <v>99017</v>
      </c>
    </row>
    <row r="1440" spans="2:3">
      <c r="B1440" s="131" t="s">
        <v>1903</v>
      </c>
      <c r="C1440" s="226">
        <v>99013</v>
      </c>
    </row>
    <row r="1441" spans="2:3">
      <c r="B1441" s="131" t="s">
        <v>147</v>
      </c>
      <c r="C1441" s="226">
        <v>96201</v>
      </c>
    </row>
    <row r="1442" spans="2:3">
      <c r="B1442" s="131" t="s">
        <v>1841</v>
      </c>
      <c r="C1442" s="226">
        <v>96204</v>
      </c>
    </row>
    <row r="1443" spans="2:3">
      <c r="B1443" s="131" t="s">
        <v>329</v>
      </c>
      <c r="C1443" s="226">
        <v>91161</v>
      </c>
    </row>
    <row r="1444" spans="2:3">
      <c r="B1444" s="131" t="s">
        <v>148</v>
      </c>
      <c r="C1444" s="226">
        <v>96301</v>
      </c>
    </row>
    <row r="1445" spans="2:3">
      <c r="B1445" s="131" t="s">
        <v>1842</v>
      </c>
      <c r="C1445" s="226">
        <v>96304</v>
      </c>
    </row>
    <row r="1446" spans="2:3">
      <c r="B1446" s="131" t="s">
        <v>149</v>
      </c>
      <c r="C1446" s="226">
        <v>96310</v>
      </c>
    </row>
    <row r="1447" spans="2:3">
      <c r="B1447" s="131" t="s">
        <v>1717</v>
      </c>
      <c r="C1447" s="226">
        <v>96305</v>
      </c>
    </row>
    <row r="1448" spans="2:3">
      <c r="B1448" s="131" t="s">
        <v>646</v>
      </c>
      <c r="C1448" s="226">
        <v>94921</v>
      </c>
    </row>
    <row r="1449" spans="2:3">
      <c r="B1449" s="131" t="s">
        <v>1843</v>
      </c>
      <c r="C1449" s="226">
        <v>94927</v>
      </c>
    </row>
    <row r="1450" spans="2:3">
      <c r="B1450" s="131" t="s">
        <v>124</v>
      </c>
      <c r="C1450" s="226">
        <v>94923</v>
      </c>
    </row>
    <row r="1451" spans="2:3">
      <c r="B1451" s="131" t="s">
        <v>343</v>
      </c>
      <c r="C1451" s="226">
        <v>91611</v>
      </c>
    </row>
    <row r="1452" spans="2:3">
      <c r="B1452" s="131" t="s">
        <v>625</v>
      </c>
      <c r="C1452" s="226">
        <v>91231</v>
      </c>
    </row>
    <row r="1453" spans="2:3">
      <c r="B1453" s="131" t="s">
        <v>1844</v>
      </c>
      <c r="C1453" s="226">
        <v>91217</v>
      </c>
    </row>
    <row r="1454" spans="2:3">
      <c r="B1454" s="131" t="s">
        <v>52</v>
      </c>
      <c r="C1454" s="226">
        <v>91233</v>
      </c>
    </row>
    <row r="1455" spans="2:3">
      <c r="B1455" s="131" t="s">
        <v>589</v>
      </c>
      <c r="C1455" s="226">
        <v>99206</v>
      </c>
    </row>
    <row r="1456" spans="2:3">
      <c r="B1456" s="131" t="s">
        <v>297</v>
      </c>
      <c r="C1456" s="226">
        <v>90461</v>
      </c>
    </row>
    <row r="1457" spans="2:3">
      <c r="B1457" s="131" t="s">
        <v>1718</v>
      </c>
      <c r="C1457" s="226">
        <v>98637</v>
      </c>
    </row>
    <row r="1458" spans="2:3">
      <c r="B1458" s="131" t="s">
        <v>491</v>
      </c>
      <c r="C1458" s="226">
        <v>96251</v>
      </c>
    </row>
    <row r="1459" spans="2:3">
      <c r="B1459" s="131" t="s">
        <v>606</v>
      </c>
      <c r="C1459" s="226">
        <v>99621</v>
      </c>
    </row>
    <row r="1460" spans="2:3">
      <c r="B1460" s="131" t="s">
        <v>336</v>
      </c>
      <c r="C1460" s="226">
        <v>91321</v>
      </c>
    </row>
    <row r="1461" spans="2:3">
      <c r="B1461" s="131" t="s">
        <v>1904</v>
      </c>
      <c r="C1461" s="226">
        <v>98631</v>
      </c>
    </row>
    <row r="1462" spans="2:3">
      <c r="B1462" s="131" t="s">
        <v>1905</v>
      </c>
      <c r="C1462" s="226">
        <v>93691</v>
      </c>
    </row>
    <row r="1463" spans="2:3">
      <c r="B1463" s="131" t="s">
        <v>1719</v>
      </c>
      <c r="C1463" s="226">
        <v>99623</v>
      </c>
    </row>
    <row r="1464" spans="2:3">
      <c r="B1464" s="131" t="s">
        <v>1845</v>
      </c>
      <c r="C1464" s="226">
        <v>91327</v>
      </c>
    </row>
    <row r="1465" spans="2:3">
      <c r="B1465" s="131" t="s">
        <v>447</v>
      </c>
      <c r="C1465" s="226">
        <v>94621</v>
      </c>
    </row>
    <row r="1466" spans="2:3">
      <c r="B1466" s="131" t="s">
        <v>361</v>
      </c>
      <c r="C1466" s="226">
        <v>92011</v>
      </c>
    </row>
    <row r="1467" spans="2:3">
      <c r="B1467" s="131" t="s">
        <v>1846</v>
      </c>
      <c r="C1467" s="226">
        <v>92017</v>
      </c>
    </row>
    <row r="1468" spans="2:3">
      <c r="B1468" s="131" t="s">
        <v>1720</v>
      </c>
      <c r="C1468" s="226">
        <v>99991</v>
      </c>
    </row>
    <row r="1469" spans="2:3">
      <c r="B1469" s="131" t="s">
        <v>1721</v>
      </c>
      <c r="C1469" s="226">
        <v>99999</v>
      </c>
    </row>
    <row r="1470" spans="2:3">
      <c r="B1470" s="131" t="s">
        <v>383</v>
      </c>
      <c r="C1470" s="226">
        <v>92811</v>
      </c>
    </row>
    <row r="1471" spans="2:3">
      <c r="B1471" s="131" t="s">
        <v>64</v>
      </c>
      <c r="C1471" s="226">
        <v>92005</v>
      </c>
    </row>
    <row r="1472" spans="2:3">
      <c r="B1472" s="131" t="s">
        <v>151</v>
      </c>
      <c r="C1472" s="226">
        <v>96401</v>
      </c>
    </row>
    <row r="1473" spans="2:3">
      <c r="B1473" s="131" t="s">
        <v>1847</v>
      </c>
      <c r="C1473" s="226">
        <v>96404</v>
      </c>
    </row>
    <row r="1474" spans="2:3">
      <c r="B1474" s="131" t="s">
        <v>501</v>
      </c>
      <c r="C1474" s="226">
        <v>96421</v>
      </c>
    </row>
    <row r="1475" spans="2:3">
      <c r="B1475" s="131" t="s">
        <v>676</v>
      </c>
      <c r="C1475" s="226">
        <v>91026</v>
      </c>
    </row>
    <row r="1476" spans="2:3">
      <c r="B1476" s="131" t="s">
        <v>134</v>
      </c>
      <c r="C1476" s="226">
        <v>95405</v>
      </c>
    </row>
    <row r="1477" spans="2:3">
      <c r="B1477" s="131" t="s">
        <v>1722</v>
      </c>
      <c r="C1477" s="226">
        <v>94005</v>
      </c>
    </row>
    <row r="1478" spans="2:3">
      <c r="B1478" s="131" t="s">
        <v>1723</v>
      </c>
      <c r="C1478" s="226">
        <v>95205</v>
      </c>
    </row>
    <row r="1479" spans="2:3">
      <c r="B1479" s="131" t="s">
        <v>73</v>
      </c>
      <c r="C1479" s="226">
        <v>92507</v>
      </c>
    </row>
    <row r="1480" spans="2:3">
      <c r="B1480" s="131" t="s">
        <v>1895</v>
      </c>
      <c r="C1480" s="226">
        <v>92113</v>
      </c>
    </row>
    <row r="1481" spans="2:3">
      <c r="B1481" s="131" t="s">
        <v>1724</v>
      </c>
      <c r="C1481" s="226">
        <v>96502</v>
      </c>
    </row>
    <row r="1482" spans="2:3">
      <c r="B1482" s="131" t="s">
        <v>153</v>
      </c>
      <c r="C1482" s="226">
        <v>96501</v>
      </c>
    </row>
    <row r="1483" spans="2:3">
      <c r="B1483" s="131" t="s">
        <v>1848</v>
      </c>
      <c r="C1483" s="226">
        <v>96504</v>
      </c>
    </row>
    <row r="1484" spans="2:3">
      <c r="B1484" s="131" t="s">
        <v>1896</v>
      </c>
      <c r="C1484" s="226">
        <v>97913</v>
      </c>
    </row>
    <row r="1485" spans="2:3">
      <c r="B1485" s="131" t="s">
        <v>1906</v>
      </c>
      <c r="C1485" s="226">
        <v>92511</v>
      </c>
    </row>
    <row r="1486" spans="2:3">
      <c r="B1486" s="131" t="s">
        <v>301</v>
      </c>
      <c r="C1486" s="226">
        <v>90621</v>
      </c>
    </row>
    <row r="1487" spans="2:3">
      <c r="B1487" s="131" t="s">
        <v>344</v>
      </c>
      <c r="C1487" s="226">
        <v>91621</v>
      </c>
    </row>
    <row r="1488" spans="2:3">
      <c r="B1488" s="131" t="s">
        <v>357</v>
      </c>
      <c r="C1488" s="226">
        <v>91871</v>
      </c>
    </row>
    <row r="1489" spans="2:3">
      <c r="B1489" s="131" t="s">
        <v>563</v>
      </c>
      <c r="C1489" s="226">
        <v>98231</v>
      </c>
    </row>
    <row r="1490" spans="2:3">
      <c r="B1490" s="131" t="s">
        <v>598</v>
      </c>
      <c r="C1490" s="226">
        <v>99311</v>
      </c>
    </row>
    <row r="1491" spans="2:3">
      <c r="B1491" s="131" t="s">
        <v>520</v>
      </c>
      <c r="C1491" s="226">
        <v>96751</v>
      </c>
    </row>
    <row r="1492" spans="2:3">
      <c r="B1492" s="131" t="s">
        <v>609</v>
      </c>
      <c r="C1492" s="226">
        <v>99711</v>
      </c>
    </row>
    <row r="1493" spans="2:3">
      <c r="B1493" s="131" t="s">
        <v>1874</v>
      </c>
      <c r="C1493" s="226">
        <v>99717</v>
      </c>
    </row>
    <row r="1494" spans="2:3">
      <c r="B1494" s="131" t="s">
        <v>158</v>
      </c>
      <c r="C1494" s="226">
        <v>96601</v>
      </c>
    </row>
    <row r="1495" spans="2:3">
      <c r="B1495" s="131" t="s">
        <v>1849</v>
      </c>
      <c r="C1495" s="226">
        <v>96604</v>
      </c>
    </row>
    <row r="1496" spans="2:3">
      <c r="B1496" s="131" t="s">
        <v>623</v>
      </c>
      <c r="C1496" s="226">
        <v>91012</v>
      </c>
    </row>
    <row r="1497" spans="2:3">
      <c r="B1497" s="131" t="s">
        <v>30</v>
      </c>
      <c r="C1497" s="226">
        <v>90305</v>
      </c>
    </row>
    <row r="1498" spans="2:3">
      <c r="B1498" s="131" t="s">
        <v>570</v>
      </c>
      <c r="C1498" s="226">
        <v>98421</v>
      </c>
    </row>
    <row r="1499" spans="2:3">
      <c r="B1499" s="131" t="s">
        <v>1850</v>
      </c>
      <c r="C1499" s="226">
        <v>98427</v>
      </c>
    </row>
    <row r="1500" spans="2:3">
      <c r="B1500" s="131" t="s">
        <v>472</v>
      </c>
      <c r="C1500" s="226">
        <v>95821</v>
      </c>
    </row>
    <row r="1501" spans="2:3">
      <c r="B1501" s="131" t="s">
        <v>320</v>
      </c>
      <c r="C1501" s="226">
        <v>91021</v>
      </c>
    </row>
    <row r="1502" spans="2:3">
      <c r="B1502" s="131" t="s">
        <v>1851</v>
      </c>
      <c r="C1502" s="226">
        <v>91027</v>
      </c>
    </row>
    <row r="1503" spans="2:3">
      <c r="B1503" s="131" t="s">
        <v>428</v>
      </c>
      <c r="C1503" s="226">
        <v>94161</v>
      </c>
    </row>
    <row r="1504" spans="2:3">
      <c r="B1504" s="131" t="s">
        <v>571</v>
      </c>
      <c r="C1504" s="226">
        <v>98441</v>
      </c>
    </row>
    <row r="1505" spans="2:3">
      <c r="B1505" s="131" t="s">
        <v>324</v>
      </c>
      <c r="C1505" s="226">
        <v>91061</v>
      </c>
    </row>
    <row r="1506" spans="2:3">
      <c r="B1506" s="131" t="s">
        <v>1852</v>
      </c>
      <c r="C1506" s="226">
        <v>91067</v>
      </c>
    </row>
    <row r="1507" spans="2:3">
      <c r="B1507" s="131" t="s">
        <v>1725</v>
      </c>
      <c r="C1507" s="226">
        <v>94812</v>
      </c>
    </row>
    <row r="1508" spans="2:3">
      <c r="B1508" s="131" t="s">
        <v>477</v>
      </c>
      <c r="C1508" s="226">
        <v>95921</v>
      </c>
    </row>
    <row r="1509" spans="2:3">
      <c r="B1509" s="131" t="s">
        <v>159</v>
      </c>
      <c r="C1509" s="226">
        <v>96701</v>
      </c>
    </row>
    <row r="1510" spans="2:3">
      <c r="B1510" s="131" t="s">
        <v>1853</v>
      </c>
      <c r="C1510" s="226">
        <v>96704</v>
      </c>
    </row>
    <row r="1511" spans="2:3">
      <c r="B1511" s="131" t="s">
        <v>1726</v>
      </c>
      <c r="C1511" s="226">
        <v>96708</v>
      </c>
    </row>
    <row r="1512" spans="2:3">
      <c r="B1512" s="131" t="s">
        <v>161</v>
      </c>
      <c r="C1512" s="226">
        <v>96801</v>
      </c>
    </row>
    <row r="1513" spans="2:3">
      <c r="B1513" s="131" t="s">
        <v>1854</v>
      </c>
      <c r="C1513" s="226">
        <v>96804</v>
      </c>
    </row>
    <row r="1514" spans="2:3">
      <c r="B1514" s="131" t="s">
        <v>1727</v>
      </c>
      <c r="C1514" s="226">
        <v>96808</v>
      </c>
    </row>
    <row r="1515" spans="2:3">
      <c r="B1515" s="131" t="s">
        <v>525</v>
      </c>
      <c r="C1515" s="226">
        <v>96912</v>
      </c>
    </row>
    <row r="1516" spans="2:3">
      <c r="B1516" s="131" t="s">
        <v>641</v>
      </c>
      <c r="C1516" s="226">
        <v>93911</v>
      </c>
    </row>
    <row r="1517" spans="2:3">
      <c r="B1517" s="131" t="s">
        <v>103</v>
      </c>
      <c r="C1517" s="226">
        <v>93913</v>
      </c>
    </row>
    <row r="1518" spans="2:3">
      <c r="B1518" s="131" t="s">
        <v>162</v>
      </c>
      <c r="C1518" s="226">
        <v>96901</v>
      </c>
    </row>
    <row r="1519" spans="2:3">
      <c r="B1519" s="131" t="s">
        <v>1750</v>
      </c>
      <c r="C1519" s="226">
        <v>97841</v>
      </c>
    </row>
    <row r="1520" spans="2:3">
      <c r="B1520" s="131" t="s">
        <v>85</v>
      </c>
      <c r="C1520" s="226">
        <v>93202</v>
      </c>
    </row>
    <row r="1521" spans="2:3">
      <c r="B1521" s="131" t="s">
        <v>1626</v>
      </c>
      <c r="C1521" s="226">
        <v>93609</v>
      </c>
    </row>
    <row r="1522" spans="2:3">
      <c r="B1522" s="131" t="s">
        <v>1855</v>
      </c>
      <c r="C1522" s="226">
        <v>97004</v>
      </c>
    </row>
    <row r="1523" spans="2:3">
      <c r="B1523" s="131" t="s">
        <v>164</v>
      </c>
      <c r="C1523" s="226">
        <v>97001</v>
      </c>
    </row>
    <row r="1524" spans="2:3">
      <c r="B1524" s="131" t="s">
        <v>165</v>
      </c>
      <c r="C1524" s="226">
        <v>97002</v>
      </c>
    </row>
    <row r="1525" spans="2:3">
      <c r="B1525" s="131" t="s">
        <v>170</v>
      </c>
      <c r="C1525" s="226">
        <v>97015</v>
      </c>
    </row>
    <row r="1526" spans="2:3">
      <c r="B1526" s="131" t="s">
        <v>295</v>
      </c>
      <c r="C1526" s="226">
        <v>90441</v>
      </c>
    </row>
    <row r="1527" spans="2:3">
      <c r="B1527" s="131" t="s">
        <v>543</v>
      </c>
      <c r="C1527" s="226">
        <v>97851</v>
      </c>
    </row>
    <row r="1528" spans="2:3">
      <c r="B1528" s="131" t="s">
        <v>191</v>
      </c>
      <c r="C1528" s="226">
        <v>97853</v>
      </c>
    </row>
    <row r="1529" spans="2:3">
      <c r="B1529" s="131" t="s">
        <v>171</v>
      </c>
      <c r="C1529" s="226">
        <v>97101</v>
      </c>
    </row>
    <row r="1530" spans="2:3">
      <c r="B1530" s="131" t="s">
        <v>1856</v>
      </c>
      <c r="C1530" s="226">
        <v>97104</v>
      </c>
    </row>
    <row r="1531" spans="2:3">
      <c r="B1531" s="131" t="s">
        <v>173</v>
      </c>
      <c r="C1531" s="226">
        <v>97201</v>
      </c>
    </row>
    <row r="1532" spans="2:3">
      <c r="B1532" s="131" t="s">
        <v>1857</v>
      </c>
      <c r="C1532" s="226">
        <v>97304</v>
      </c>
    </row>
    <row r="1533" spans="2:3">
      <c r="B1533" s="131" t="s">
        <v>174</v>
      </c>
      <c r="C1533" s="226">
        <v>97301</v>
      </c>
    </row>
    <row r="1534" spans="2:3">
      <c r="B1534" s="131" t="s">
        <v>219</v>
      </c>
      <c r="C1534" s="226">
        <v>99405</v>
      </c>
    </row>
    <row r="1535" spans="2:3">
      <c r="B1535" s="131" t="s">
        <v>25</v>
      </c>
      <c r="C1535" s="226">
        <v>72265</v>
      </c>
    </row>
    <row r="1536" spans="2:3">
      <c r="B1536" s="131" t="s">
        <v>1728</v>
      </c>
      <c r="C1536" s="226">
        <v>94112</v>
      </c>
    </row>
    <row r="1537" spans="2:3">
      <c r="B1537" s="131" t="s">
        <v>92</v>
      </c>
      <c r="C1537" s="226">
        <v>93406</v>
      </c>
    </row>
    <row r="1538" spans="2:3">
      <c r="B1538" s="131" t="s">
        <v>608</v>
      </c>
      <c r="C1538" s="226">
        <v>99651</v>
      </c>
    </row>
    <row r="1539" spans="2:3">
      <c r="B1539" s="131" t="s">
        <v>576</v>
      </c>
      <c r="C1539" s="226">
        <v>98611</v>
      </c>
    </row>
    <row r="1540" spans="2:3">
      <c r="B1540" s="131" t="s">
        <v>1858</v>
      </c>
      <c r="C1540" s="226">
        <v>98607</v>
      </c>
    </row>
    <row r="1541" spans="2:3">
      <c r="B1541" s="131" t="s">
        <v>346</v>
      </c>
      <c r="C1541" s="226">
        <v>91641</v>
      </c>
    </row>
    <row r="1542" spans="2:3">
      <c r="B1542" s="131" t="s">
        <v>460</v>
      </c>
      <c r="C1542" s="226">
        <v>95161</v>
      </c>
    </row>
    <row r="1543" spans="2:3">
      <c r="B1543" s="131" t="s">
        <v>498</v>
      </c>
      <c r="C1543" s="226">
        <v>96361</v>
      </c>
    </row>
    <row r="1544" spans="2:3">
      <c r="B1544" s="131" t="s">
        <v>1729</v>
      </c>
      <c r="C1544" s="226">
        <v>94108</v>
      </c>
    </row>
    <row r="1545" spans="2:3">
      <c r="B1545" s="131" t="s">
        <v>280</v>
      </c>
      <c r="C1545" s="226">
        <v>96351</v>
      </c>
    </row>
    <row r="1546" spans="2:3">
      <c r="B1546" s="131" t="s">
        <v>403</v>
      </c>
      <c r="C1546" s="226">
        <v>93331</v>
      </c>
    </row>
    <row r="1547" spans="2:3">
      <c r="B1547" s="131" t="s">
        <v>478</v>
      </c>
      <c r="C1547" s="226">
        <v>96021</v>
      </c>
    </row>
    <row r="1548" spans="2:3">
      <c r="B1548" s="131" t="s">
        <v>466</v>
      </c>
      <c r="C1548" s="226">
        <v>95421</v>
      </c>
    </row>
    <row r="1549" spans="2:3">
      <c r="B1549" s="131" t="s">
        <v>175</v>
      </c>
      <c r="C1549" s="226">
        <v>97401</v>
      </c>
    </row>
    <row r="1550" spans="2:3">
      <c r="B1550" s="131" t="s">
        <v>1859</v>
      </c>
      <c r="C1550" s="226">
        <v>97404</v>
      </c>
    </row>
    <row r="1551" spans="2:3">
      <c r="B1551" s="131" t="s">
        <v>1730</v>
      </c>
      <c r="C1551" s="226">
        <v>97402</v>
      </c>
    </row>
    <row r="1552" spans="2:3">
      <c r="B1552" s="131" t="s">
        <v>360</v>
      </c>
      <c r="C1552" s="226">
        <v>91921</v>
      </c>
    </row>
    <row r="1553" spans="2:3">
      <c r="B1553" s="131" t="s">
        <v>1731</v>
      </c>
      <c r="C1553" s="226">
        <v>95908</v>
      </c>
    </row>
    <row r="1554" spans="2:3">
      <c r="B1554" s="131" t="s">
        <v>600</v>
      </c>
      <c r="C1554" s="226">
        <v>99411</v>
      </c>
    </row>
    <row r="1555" spans="2:3">
      <c r="B1555" s="131" t="s">
        <v>220</v>
      </c>
      <c r="C1555" s="226">
        <v>99413</v>
      </c>
    </row>
    <row r="1556" spans="2:3">
      <c r="B1556" s="131" t="s">
        <v>181</v>
      </c>
      <c r="C1556" s="226">
        <v>97501</v>
      </c>
    </row>
    <row r="1557" spans="2:3">
      <c r="B1557" s="131" t="s">
        <v>294</v>
      </c>
      <c r="C1557" s="226">
        <v>90431</v>
      </c>
    </row>
    <row r="1558" spans="2:3">
      <c r="B1558" s="131" t="s">
        <v>463</v>
      </c>
      <c r="C1558" s="226">
        <v>95211</v>
      </c>
    </row>
    <row r="1559" spans="2:3">
      <c r="B1559" s="131" t="s">
        <v>462</v>
      </c>
      <c r="C1559" s="226">
        <v>95181</v>
      </c>
    </row>
    <row r="1560" spans="2:3">
      <c r="B1560" s="131" t="s">
        <v>405</v>
      </c>
      <c r="C1560" s="226">
        <v>93351</v>
      </c>
    </row>
    <row r="1561" spans="2:3">
      <c r="B1561" s="131" t="s">
        <v>1732</v>
      </c>
      <c r="C1561" s="226">
        <v>95105</v>
      </c>
    </row>
    <row r="1562" spans="2:3">
      <c r="B1562" s="131" t="s">
        <v>1733</v>
      </c>
      <c r="C1562" s="226">
        <v>92614</v>
      </c>
    </row>
    <row r="1563" spans="2:3">
      <c r="B1563" s="131" t="s">
        <v>450</v>
      </c>
      <c r="C1563" s="226">
        <v>94711</v>
      </c>
    </row>
    <row r="1564" spans="2:3">
      <c r="B1564" s="131" t="s">
        <v>673</v>
      </c>
      <c r="C1564" s="226">
        <v>99211</v>
      </c>
    </row>
    <row r="1565" spans="2:3">
      <c r="B1565" s="131" t="s">
        <v>216</v>
      </c>
      <c r="C1565" s="226">
        <v>99218</v>
      </c>
    </row>
    <row r="1566" spans="2:3">
      <c r="B1566" s="131" t="s">
        <v>1907</v>
      </c>
      <c r="C1566" s="226">
        <v>99213</v>
      </c>
    </row>
    <row r="1567" spans="2:3">
      <c r="B1567" s="131" t="s">
        <v>539</v>
      </c>
      <c r="C1567" s="226">
        <v>97641</v>
      </c>
    </row>
    <row r="1568" spans="2:3">
      <c r="B1568" s="131" t="s">
        <v>658</v>
      </c>
      <c r="C1568" s="226">
        <v>97621</v>
      </c>
    </row>
    <row r="1569" spans="2:3">
      <c r="B1569" s="131" t="s">
        <v>1908</v>
      </c>
      <c r="C1569" s="226">
        <v>97627</v>
      </c>
    </row>
    <row r="1570" spans="2:3">
      <c r="B1570" s="131" t="s">
        <v>1909</v>
      </c>
      <c r="C1570" s="226">
        <v>97623</v>
      </c>
    </row>
    <row r="1571" spans="2:3">
      <c r="B1571" s="131" t="s">
        <v>182</v>
      </c>
      <c r="C1571" s="226">
        <v>97601</v>
      </c>
    </row>
    <row r="1572" spans="2:3">
      <c r="B1572" s="131" t="s">
        <v>419</v>
      </c>
      <c r="C1572" s="226">
        <v>93681</v>
      </c>
    </row>
    <row r="1573" spans="2:3">
      <c r="B1573" s="131" t="s">
        <v>545</v>
      </c>
      <c r="C1573" s="226">
        <v>97871</v>
      </c>
    </row>
    <row r="1574" spans="2:3">
      <c r="B1574" s="131" t="s">
        <v>1860</v>
      </c>
      <c r="C1574" s="226">
        <v>97877</v>
      </c>
    </row>
    <row r="1575" spans="2:3">
      <c r="B1575" s="131" t="s">
        <v>222</v>
      </c>
      <c r="C1575" s="226">
        <v>99502</v>
      </c>
    </row>
    <row r="1576" spans="2:3">
      <c r="B1576" s="131" t="s">
        <v>546</v>
      </c>
      <c r="C1576" s="226">
        <v>97911</v>
      </c>
    </row>
    <row r="1577" spans="2:3">
      <c r="B1577" s="131" t="s">
        <v>1861</v>
      </c>
      <c r="C1577" s="226">
        <v>97917</v>
      </c>
    </row>
    <row r="1578" spans="2:3">
      <c r="B1578" s="131" t="s">
        <v>509</v>
      </c>
      <c r="C1578" s="226">
        <v>96611</v>
      </c>
    </row>
    <row r="1579" spans="2:3">
      <c r="B1579" s="131" t="s">
        <v>519</v>
      </c>
      <c r="C1579" s="226">
        <v>96741</v>
      </c>
    </row>
    <row r="1580" spans="2:3">
      <c r="B1580" s="131" t="s">
        <v>183</v>
      </c>
      <c r="C1580" s="226">
        <v>97701</v>
      </c>
    </row>
    <row r="1581" spans="2:3">
      <c r="B1581" s="131" t="s">
        <v>372</v>
      </c>
      <c r="C1581" s="226">
        <v>92541</v>
      </c>
    </row>
    <row r="1582" spans="2:3">
      <c r="B1582" s="131" t="s">
        <v>111</v>
      </c>
      <c r="C1582" s="226">
        <v>94209</v>
      </c>
    </row>
    <row r="1583" spans="2:3">
      <c r="B1583" s="131" t="s">
        <v>1910</v>
      </c>
      <c r="C1583" s="226">
        <v>94221</v>
      </c>
    </row>
    <row r="1584" spans="2:3">
      <c r="B1584" s="131" t="s">
        <v>497</v>
      </c>
      <c r="C1584" s="226">
        <v>96341</v>
      </c>
    </row>
    <row r="1585" spans="2:3">
      <c r="B1585" s="131" t="s">
        <v>420</v>
      </c>
      <c r="C1585" s="226">
        <v>93821</v>
      </c>
    </row>
    <row r="1586" spans="2:3">
      <c r="B1586" s="131" t="s">
        <v>475</v>
      </c>
      <c r="C1586" s="226">
        <v>95851</v>
      </c>
    </row>
    <row r="1587" spans="2:3">
      <c r="B1587" s="131" t="s">
        <v>143</v>
      </c>
      <c r="C1587" s="226">
        <v>95853</v>
      </c>
    </row>
    <row r="1588" spans="2:3">
      <c r="B1588" s="131" t="s">
        <v>186</v>
      </c>
      <c r="C1588" s="226">
        <v>97801</v>
      </c>
    </row>
    <row r="1589" spans="2:3">
      <c r="B1589" s="131" t="s">
        <v>188</v>
      </c>
      <c r="C1589" s="226">
        <v>97803</v>
      </c>
    </row>
    <row r="1590" spans="2:3">
      <c r="B1590" s="131" t="s">
        <v>189</v>
      </c>
      <c r="C1590" s="226">
        <v>97805</v>
      </c>
    </row>
    <row r="1591" spans="2:3">
      <c r="B1591" s="131" t="s">
        <v>661</v>
      </c>
      <c r="C1591" s="226">
        <v>97711</v>
      </c>
    </row>
    <row r="1592" spans="2:3">
      <c r="B1592" s="131" t="s">
        <v>192</v>
      </c>
      <c r="C1592" s="226">
        <v>97901</v>
      </c>
    </row>
    <row r="1593" spans="2:3">
      <c r="B1593" s="131" t="s">
        <v>185</v>
      </c>
      <c r="C1593" s="226">
        <v>97713</v>
      </c>
    </row>
    <row r="1594" spans="2:3">
      <c r="B1594" s="131" t="s">
        <v>1911</v>
      </c>
      <c r="C1594" s="226">
        <v>97727</v>
      </c>
    </row>
    <row r="1595" spans="2:3">
      <c r="B1595" s="131" t="s">
        <v>555</v>
      </c>
      <c r="C1595" s="226">
        <v>98071</v>
      </c>
    </row>
    <row r="1596" spans="2:3">
      <c r="B1596" s="131" t="s">
        <v>89</v>
      </c>
      <c r="C1596" s="226">
        <v>93323</v>
      </c>
    </row>
    <row r="1597" spans="2:3">
      <c r="B1597" s="131" t="s">
        <v>1734</v>
      </c>
      <c r="C1597" s="226">
        <v>93333</v>
      </c>
    </row>
    <row r="1598" spans="2:3">
      <c r="B1598" s="131" t="s">
        <v>1912</v>
      </c>
      <c r="C1598" s="226">
        <v>93321</v>
      </c>
    </row>
    <row r="1599" spans="2:3">
      <c r="B1599" s="131" t="s">
        <v>588</v>
      </c>
      <c r="C1599" s="226">
        <v>99203</v>
      </c>
    </row>
    <row r="1600" spans="2:3">
      <c r="B1600" s="131" t="s">
        <v>601</v>
      </c>
      <c r="C1600" s="226">
        <v>99421</v>
      </c>
    </row>
    <row r="1601" spans="2:3">
      <c r="B1601" s="131" t="s">
        <v>398</v>
      </c>
      <c r="C1601" s="226">
        <v>93161</v>
      </c>
    </row>
    <row r="1602" spans="2:3">
      <c r="B1602" s="131" t="s">
        <v>566</v>
      </c>
      <c r="C1602" s="226">
        <v>98261</v>
      </c>
    </row>
    <row r="1603" spans="2:3">
      <c r="B1603" s="131" t="s">
        <v>1862</v>
      </c>
      <c r="C1603" s="226">
        <v>98237</v>
      </c>
    </row>
    <row r="1604" spans="2:3">
      <c r="B1604" s="131" t="s">
        <v>1735</v>
      </c>
      <c r="C1604" s="226">
        <v>98003</v>
      </c>
    </row>
    <row r="1605" spans="2:3">
      <c r="B1605" s="131" t="s">
        <v>1736</v>
      </c>
      <c r="C1605" s="226">
        <v>98008</v>
      </c>
    </row>
    <row r="1606" spans="2:3">
      <c r="B1606" s="131" t="s">
        <v>1737</v>
      </c>
      <c r="C1606" s="226">
        <v>98002</v>
      </c>
    </row>
    <row r="1607" spans="2:3">
      <c r="B1607" s="131" t="s">
        <v>194</v>
      </c>
      <c r="C1607" s="226">
        <v>98001</v>
      </c>
    </row>
    <row r="1608" spans="2:3">
      <c r="B1608" s="131" t="s">
        <v>1863</v>
      </c>
      <c r="C1608" s="226">
        <v>98004</v>
      </c>
    </row>
    <row r="1609" spans="2:3">
      <c r="B1609" s="131" t="s">
        <v>544</v>
      </c>
      <c r="C1609" s="226">
        <v>97861</v>
      </c>
    </row>
    <row r="1610" spans="2:3">
      <c r="B1610" s="131" t="s">
        <v>654</v>
      </c>
      <c r="C1610" s="226">
        <v>97311</v>
      </c>
    </row>
    <row r="1611" spans="2:3">
      <c r="B1611" s="131" t="s">
        <v>407</v>
      </c>
      <c r="C1611" s="226">
        <v>93431</v>
      </c>
    </row>
    <row r="1612" spans="2:3">
      <c r="B1612" s="131" t="s">
        <v>332</v>
      </c>
      <c r="C1612" s="226">
        <v>91214</v>
      </c>
    </row>
    <row r="1613" spans="2:3">
      <c r="B1613" s="131" t="s">
        <v>196</v>
      </c>
      <c r="C1613" s="226">
        <v>98101</v>
      </c>
    </row>
    <row r="1614" spans="2:3">
      <c r="B1614" s="131" t="s">
        <v>1738</v>
      </c>
      <c r="C1614" s="226">
        <v>98103</v>
      </c>
    </row>
    <row r="1615" spans="2:3">
      <c r="B1615" s="131" t="s">
        <v>560</v>
      </c>
      <c r="C1615" s="226">
        <v>98141</v>
      </c>
    </row>
    <row r="1616" spans="2:3">
      <c r="B1616" s="131" t="s">
        <v>1875</v>
      </c>
      <c r="C1616" s="226">
        <v>98147</v>
      </c>
    </row>
    <row r="1617" spans="2:3">
      <c r="B1617" s="131" t="s">
        <v>562</v>
      </c>
      <c r="C1617" s="226">
        <v>98221</v>
      </c>
    </row>
    <row r="1618" spans="2:3">
      <c r="B1618" s="131" t="s">
        <v>665</v>
      </c>
      <c r="C1618" s="226">
        <v>98011</v>
      </c>
    </row>
    <row r="1619" spans="2:3">
      <c r="B1619" s="131" t="s">
        <v>537</v>
      </c>
      <c r="C1619" s="226">
        <v>97531</v>
      </c>
    </row>
    <row r="1620" spans="2:3">
      <c r="B1620" s="131" t="s">
        <v>200</v>
      </c>
      <c r="C1620" s="226">
        <v>98201</v>
      </c>
    </row>
    <row r="1621" spans="2:3">
      <c r="B1621" s="131" t="s">
        <v>184</v>
      </c>
      <c r="C1621" s="226">
        <v>97705</v>
      </c>
    </row>
    <row r="1622" spans="2:3">
      <c r="B1622" s="131" t="s">
        <v>1627</v>
      </c>
      <c r="C1622" s="226">
        <v>96318</v>
      </c>
    </row>
    <row r="1623" spans="2:3">
      <c r="B1623" s="131" t="s">
        <v>647</v>
      </c>
      <c r="C1623" s="226">
        <v>95311</v>
      </c>
    </row>
    <row r="1624" spans="2:3">
      <c r="B1624" s="131" t="s">
        <v>1864</v>
      </c>
      <c r="C1624" s="226">
        <v>95317</v>
      </c>
    </row>
    <row r="1625" spans="2:3">
      <c r="B1625" s="131" t="s">
        <v>340</v>
      </c>
      <c r="C1625" s="226">
        <v>91421</v>
      </c>
    </row>
    <row r="1626" spans="2:3">
      <c r="B1626" s="131" t="s">
        <v>201</v>
      </c>
      <c r="C1626" s="226">
        <v>98301</v>
      </c>
    </row>
    <row r="1627" spans="2:3">
      <c r="B1627" s="131" t="s">
        <v>1865</v>
      </c>
      <c r="C1627" s="226">
        <v>98304</v>
      </c>
    </row>
    <row r="1628" spans="2:3">
      <c r="B1628" s="131" t="s">
        <v>432</v>
      </c>
      <c r="C1628" s="226">
        <v>94241</v>
      </c>
    </row>
    <row r="1629" spans="2:3">
      <c r="B1629" s="131" t="s">
        <v>516</v>
      </c>
      <c r="C1629" s="226">
        <v>96681</v>
      </c>
    </row>
    <row r="1630" spans="2:3">
      <c r="B1630" s="131" t="s">
        <v>1751</v>
      </c>
      <c r="C1630" s="226">
        <v>72593</v>
      </c>
    </row>
    <row r="1631" spans="2:3">
      <c r="B1631" s="131" t="s">
        <v>455</v>
      </c>
      <c r="C1631" s="226">
        <v>95121</v>
      </c>
    </row>
    <row r="1632" spans="2:3">
      <c r="B1632" s="131" t="s">
        <v>130</v>
      </c>
      <c r="C1632" s="226">
        <v>95123</v>
      </c>
    </row>
    <row r="1633" spans="2:3">
      <c r="B1633" s="131" t="s">
        <v>605</v>
      </c>
      <c r="C1633" s="226">
        <v>99531</v>
      </c>
    </row>
    <row r="1634" spans="2:3">
      <c r="B1634" s="131" t="s">
        <v>515</v>
      </c>
      <c r="C1634" s="226">
        <v>96671</v>
      </c>
    </row>
    <row r="1635" spans="2:3">
      <c r="B1635" s="131" t="s">
        <v>325</v>
      </c>
      <c r="C1635" s="226">
        <v>91081</v>
      </c>
    </row>
    <row r="1636" spans="2:3">
      <c r="B1636" s="131" t="s">
        <v>1866</v>
      </c>
      <c r="C1636" s="226">
        <v>91057</v>
      </c>
    </row>
    <row r="1637" spans="2:3">
      <c r="B1637" s="131" t="s">
        <v>505</v>
      </c>
      <c r="C1637" s="226">
        <v>96461</v>
      </c>
    </row>
    <row r="1638" spans="2:3">
      <c r="B1638" s="131" t="s">
        <v>629</v>
      </c>
      <c r="C1638" s="226">
        <v>92311</v>
      </c>
    </row>
    <row r="1639" spans="2:3">
      <c r="B1639" s="131" t="s">
        <v>1867</v>
      </c>
      <c r="C1639" s="226">
        <v>92317</v>
      </c>
    </row>
    <row r="1640" spans="2:3">
      <c r="B1640" s="131" t="s">
        <v>176</v>
      </c>
      <c r="C1640" s="226">
        <v>97405</v>
      </c>
    </row>
    <row r="1641" spans="2:3">
      <c r="B1641" s="131" t="s">
        <v>359</v>
      </c>
      <c r="C1641" s="226">
        <v>91911</v>
      </c>
    </row>
    <row r="1642" spans="2:3">
      <c r="B1642" s="131" t="s">
        <v>1868</v>
      </c>
      <c r="C1642" s="226">
        <v>91917</v>
      </c>
    </row>
    <row r="1643" spans="2:3">
      <c r="B1643" s="131" t="s">
        <v>282</v>
      </c>
      <c r="C1643" s="226">
        <v>97481</v>
      </c>
    </row>
    <row r="1644" spans="2:3">
      <c r="B1644" s="131" t="s">
        <v>1739</v>
      </c>
      <c r="C1644" s="226">
        <v>91138</v>
      </c>
    </row>
    <row r="1645" spans="2:3">
      <c r="B1645" s="131" t="s">
        <v>454</v>
      </c>
      <c r="C1645" s="226">
        <v>95111</v>
      </c>
    </row>
    <row r="1646" spans="2:3">
      <c r="B1646" s="131" t="s">
        <v>129</v>
      </c>
      <c r="C1646" s="226">
        <v>95113</v>
      </c>
    </row>
    <row r="1647" spans="2:3">
      <c r="B1647" s="131" t="s">
        <v>424</v>
      </c>
      <c r="C1647" s="226">
        <v>94021</v>
      </c>
    </row>
    <row r="1648" spans="2:3">
      <c r="B1648" s="131" t="s">
        <v>1740</v>
      </c>
      <c r="C1648" s="226">
        <v>90918</v>
      </c>
    </row>
    <row r="1649" spans="2:3">
      <c r="B1649" s="131" t="s">
        <v>1741</v>
      </c>
      <c r="C1649" s="226">
        <v>93910</v>
      </c>
    </row>
    <row r="1650" spans="2:3">
      <c r="B1650" s="131" t="s">
        <v>1628</v>
      </c>
      <c r="C1650" s="226">
        <v>91013</v>
      </c>
    </row>
    <row r="1651" spans="2:3">
      <c r="B1651" s="131" t="s">
        <v>493</v>
      </c>
      <c r="C1651" s="226">
        <v>96311</v>
      </c>
    </row>
    <row r="1652" spans="2:3">
      <c r="B1652" s="131" t="s">
        <v>386</v>
      </c>
      <c r="C1652" s="226">
        <v>92841</v>
      </c>
    </row>
    <row r="1653" spans="2:3">
      <c r="B1653" s="131" t="s">
        <v>225</v>
      </c>
      <c r="C1653" s="226">
        <v>99609</v>
      </c>
    </row>
    <row r="1654" spans="2:3">
      <c r="B1654" s="131" t="s">
        <v>622</v>
      </c>
      <c r="C1654" s="226">
        <v>91011</v>
      </c>
    </row>
    <row r="1655" spans="2:3">
      <c r="B1655" s="131" t="s">
        <v>1913</v>
      </c>
      <c r="C1655" s="226">
        <v>91017</v>
      </c>
    </row>
    <row r="1656" spans="2:3">
      <c r="B1656" s="131" t="s">
        <v>1742</v>
      </c>
      <c r="C1656" s="226">
        <v>95008</v>
      </c>
    </row>
    <row r="1657" spans="2:3">
      <c r="B1657" s="131" t="s">
        <v>286</v>
      </c>
      <c r="C1657" s="226">
        <v>72657</v>
      </c>
    </row>
    <row r="1658" spans="2:3">
      <c r="B1658" s="131" t="s">
        <v>1876</v>
      </c>
      <c r="C1658" s="226">
        <v>90307</v>
      </c>
    </row>
    <row r="1659" spans="2:3">
      <c r="B1659" s="131" t="s">
        <v>551</v>
      </c>
      <c r="C1659" s="226">
        <v>98031</v>
      </c>
    </row>
    <row r="1660" spans="2:3">
      <c r="B1660" s="131" t="s">
        <v>558</v>
      </c>
      <c r="C1660" s="226">
        <v>98121</v>
      </c>
    </row>
    <row r="1661" spans="2:3">
      <c r="B1661" s="131" t="s">
        <v>500</v>
      </c>
      <c r="C1661" s="226">
        <v>96411</v>
      </c>
    </row>
    <row r="1662" spans="2:3">
      <c r="B1662" s="131" t="s">
        <v>380</v>
      </c>
      <c r="C1662" s="226">
        <v>92661</v>
      </c>
    </row>
    <row r="1663" spans="2:3">
      <c r="B1663" s="131" t="s">
        <v>485</v>
      </c>
      <c r="C1663" s="226">
        <v>96111</v>
      </c>
    </row>
    <row r="1664" spans="2:3">
      <c r="B1664" s="131" t="s">
        <v>1752</v>
      </c>
      <c r="C1664" s="226">
        <v>91032</v>
      </c>
    </row>
    <row r="1665" spans="2:3">
      <c r="B1665" s="131" t="s">
        <v>1753</v>
      </c>
      <c r="C1665" s="226">
        <v>97831</v>
      </c>
    </row>
    <row r="1666" spans="2:3">
      <c r="B1666" s="131" t="s">
        <v>1743</v>
      </c>
      <c r="C1666" s="226">
        <v>97837</v>
      </c>
    </row>
    <row r="1667" spans="2:3">
      <c r="B1667" s="131" t="s">
        <v>482</v>
      </c>
      <c r="C1667" s="226">
        <v>96061</v>
      </c>
    </row>
    <row r="1668" spans="2:3">
      <c r="B1668" s="131" t="s">
        <v>573</v>
      </c>
      <c r="C1668" s="226">
        <v>98481</v>
      </c>
    </row>
    <row r="1669" spans="2:3">
      <c r="B1669" s="131" t="s">
        <v>414</v>
      </c>
      <c r="C1669" s="226">
        <v>93602</v>
      </c>
    </row>
    <row r="1670" spans="2:3">
      <c r="B1670" s="131" t="s">
        <v>203</v>
      </c>
      <c r="C1670" s="226">
        <v>98401</v>
      </c>
    </row>
    <row r="1671" spans="2:3">
      <c r="B1671" s="131" t="s">
        <v>611</v>
      </c>
      <c r="C1671" s="226">
        <v>99821</v>
      </c>
    </row>
    <row r="1672" spans="2:3">
      <c r="B1672" s="131" t="s">
        <v>487</v>
      </c>
      <c r="C1672" s="226">
        <v>96211</v>
      </c>
    </row>
    <row r="1673" spans="2:3">
      <c r="B1673" s="131" t="s">
        <v>645</v>
      </c>
      <c r="C1673" s="226">
        <v>94911</v>
      </c>
    </row>
    <row r="1674" spans="2:3">
      <c r="B1674" s="131" t="s">
        <v>1869</v>
      </c>
      <c r="C1674" s="226">
        <v>94917</v>
      </c>
    </row>
    <row r="1675" spans="2:3">
      <c r="B1675" s="131" t="s">
        <v>376</v>
      </c>
      <c r="C1675" s="226">
        <v>92621</v>
      </c>
    </row>
    <row r="1676" spans="2:3">
      <c r="B1676" s="131" t="s">
        <v>204</v>
      </c>
      <c r="C1676" s="226">
        <v>98501</v>
      </c>
    </row>
    <row r="1677" spans="2:3">
      <c r="B1677" s="131" t="s">
        <v>548</v>
      </c>
      <c r="C1677" s="226">
        <v>97931</v>
      </c>
    </row>
    <row r="1678" spans="2:3">
      <c r="B1678" s="131" t="s">
        <v>421</v>
      </c>
      <c r="C1678" s="226">
        <v>93914</v>
      </c>
    </row>
    <row r="1679" spans="2:3">
      <c r="B1679" s="131" t="s">
        <v>304</v>
      </c>
      <c r="C1679" s="226">
        <v>90651</v>
      </c>
    </row>
    <row r="1680" spans="2:3">
      <c r="B1680" s="131" t="s">
        <v>429</v>
      </c>
      <c r="C1680" s="226">
        <v>94171</v>
      </c>
    </row>
    <row r="1681" spans="2:3">
      <c r="B1681" s="131" t="s">
        <v>108</v>
      </c>
      <c r="C1681" s="226">
        <v>94172</v>
      </c>
    </row>
    <row r="1682" spans="2:3">
      <c r="B1682" s="131" t="s">
        <v>322</v>
      </c>
      <c r="C1682" s="226">
        <v>91041</v>
      </c>
    </row>
    <row r="1683" spans="2:3">
      <c r="B1683" s="131" t="s">
        <v>1877</v>
      </c>
      <c r="C1683" s="226">
        <v>91047</v>
      </c>
    </row>
    <row r="1684" spans="2:3">
      <c r="B1684" s="131" t="s">
        <v>172</v>
      </c>
      <c r="C1684" s="226">
        <v>97131</v>
      </c>
    </row>
    <row r="1685" spans="2:3">
      <c r="B1685" s="131" t="s">
        <v>205</v>
      </c>
      <c r="C1685" s="226">
        <v>98601</v>
      </c>
    </row>
    <row r="1686" spans="2:3">
      <c r="B1686" s="131" t="s">
        <v>207</v>
      </c>
      <c r="C1686" s="226">
        <v>98701</v>
      </c>
    </row>
    <row r="1687" spans="2:3">
      <c r="B1687" s="131" t="s">
        <v>517</v>
      </c>
      <c r="C1687" s="226">
        <v>96721</v>
      </c>
    </row>
    <row r="1688" spans="2:3">
      <c r="B1688" s="131" t="s">
        <v>452</v>
      </c>
      <c r="C1688" s="226">
        <v>95011</v>
      </c>
    </row>
    <row r="1689" spans="2:3">
      <c r="B1689" s="131" t="s">
        <v>370</v>
      </c>
      <c r="C1689" s="226">
        <v>92451</v>
      </c>
    </row>
    <row r="1690" spans="2:3">
      <c r="B1690" s="131" t="s">
        <v>402</v>
      </c>
      <c r="C1690" s="226">
        <v>93311</v>
      </c>
    </row>
    <row r="1691" spans="2:3">
      <c r="B1691" s="131" t="s">
        <v>88</v>
      </c>
      <c r="C1691" s="226">
        <v>93317</v>
      </c>
    </row>
    <row r="1692" spans="2:3">
      <c r="B1692" s="131" t="s">
        <v>291</v>
      </c>
      <c r="C1692" s="226">
        <v>90211</v>
      </c>
    </row>
    <row r="1693" spans="2:3">
      <c r="B1693" s="131" t="s">
        <v>492</v>
      </c>
      <c r="C1693" s="226">
        <v>96302</v>
      </c>
    </row>
    <row r="1694" spans="2:3">
      <c r="B1694" s="131" t="s">
        <v>400</v>
      </c>
      <c r="C1694" s="226">
        <v>93181</v>
      </c>
    </row>
    <row r="1695" spans="2:3">
      <c r="B1695" s="131" t="s">
        <v>633</v>
      </c>
      <c r="C1695" s="226">
        <v>92911</v>
      </c>
    </row>
    <row r="1696" spans="2:3">
      <c r="B1696" s="131" t="s">
        <v>1870</v>
      </c>
      <c r="C1696" s="226">
        <v>92914</v>
      </c>
    </row>
    <row r="1697" spans="2:3">
      <c r="B1697" s="131" t="s">
        <v>80</v>
      </c>
      <c r="C1697" s="226">
        <v>92913</v>
      </c>
    </row>
    <row r="1698" spans="2:3">
      <c r="B1698" s="131" t="s">
        <v>682</v>
      </c>
      <c r="C1698" s="226">
        <v>93471</v>
      </c>
    </row>
    <row r="1699" spans="2:3">
      <c r="B1699" s="131" t="s">
        <v>1744</v>
      </c>
      <c r="C1699" s="226">
        <v>90098</v>
      </c>
    </row>
    <row r="1700" spans="2:3">
      <c r="B1700" s="131" t="s">
        <v>527</v>
      </c>
      <c r="C1700" s="226">
        <v>97121</v>
      </c>
    </row>
    <row r="1701" spans="2:3">
      <c r="B1701" s="131" t="s">
        <v>208</v>
      </c>
      <c r="C1701" s="226">
        <v>98801</v>
      </c>
    </row>
    <row r="1702" spans="2:3">
      <c r="B1702" s="131" t="s">
        <v>371</v>
      </c>
      <c r="C1702" s="226">
        <v>92521</v>
      </c>
    </row>
    <row r="1703" spans="2:3">
      <c r="B1703" s="131" t="s">
        <v>1629</v>
      </c>
      <c r="C1703" s="226">
        <v>93417</v>
      </c>
    </row>
    <row r="1704" spans="2:3">
      <c r="B1704" s="131" t="s">
        <v>86</v>
      </c>
      <c r="C1704" s="226">
        <v>93219</v>
      </c>
    </row>
    <row r="1705" spans="2:3">
      <c r="B1705" s="131" t="s">
        <v>1630</v>
      </c>
      <c r="C1705" s="226">
        <v>92513</v>
      </c>
    </row>
    <row r="1706" spans="2:3">
      <c r="B1706" s="131" t="s">
        <v>660</v>
      </c>
      <c r="C1706" s="226">
        <v>97661</v>
      </c>
    </row>
    <row r="1707" spans="2:3">
      <c r="B1707" s="131" t="s">
        <v>451</v>
      </c>
      <c r="C1707" s="226">
        <v>94931</v>
      </c>
    </row>
    <row r="1708" spans="2:3">
      <c r="B1708" s="131" t="s">
        <v>488</v>
      </c>
      <c r="C1708" s="226">
        <v>96221</v>
      </c>
    </row>
    <row r="1709" spans="2:3">
      <c r="B1709" s="131" t="s">
        <v>535</v>
      </c>
      <c r="C1709" s="226">
        <v>97511</v>
      </c>
    </row>
    <row r="1710" spans="2:3">
      <c r="B1710" s="131" t="s">
        <v>1755</v>
      </c>
      <c r="C1710" s="226">
        <v>95002</v>
      </c>
    </row>
    <row r="1711" spans="2:3">
      <c r="B1711" s="131" t="s">
        <v>565</v>
      </c>
      <c r="C1711" s="226">
        <v>98251</v>
      </c>
    </row>
    <row r="1712" spans="2:3">
      <c r="B1712" s="131" t="s">
        <v>1878</v>
      </c>
      <c r="C1712" s="226">
        <v>98904</v>
      </c>
    </row>
    <row r="1713" spans="2:3">
      <c r="B1713" s="131" t="s">
        <v>209</v>
      </c>
      <c r="C1713" s="226">
        <v>98901</v>
      </c>
    </row>
    <row r="1714" spans="2:3">
      <c r="B1714" s="131" t="s">
        <v>210</v>
      </c>
      <c r="C1714" s="226">
        <v>99001</v>
      </c>
    </row>
    <row r="1715" spans="2:3">
      <c r="B1715" s="131" t="s">
        <v>585</v>
      </c>
      <c r="C1715" s="226">
        <v>99061</v>
      </c>
    </row>
    <row r="1716" spans="2:3">
      <c r="B1716" s="131" t="s">
        <v>1756</v>
      </c>
      <c r="C1716" s="226">
        <v>93309</v>
      </c>
    </row>
    <row r="1717" spans="2:3">
      <c r="B1717" s="131" t="s">
        <v>331</v>
      </c>
      <c r="C1717" s="226">
        <v>91211</v>
      </c>
    </row>
    <row r="1718" spans="2:3">
      <c r="B1718" s="131" t="s">
        <v>51</v>
      </c>
      <c r="C1718" s="226">
        <v>91213</v>
      </c>
    </row>
    <row r="1719" spans="2:3">
      <c r="B1719" s="131" t="s">
        <v>212</v>
      </c>
      <c r="C1719" s="226">
        <v>99101</v>
      </c>
    </row>
    <row r="1720" spans="2:3">
      <c r="B1720" s="131" t="s">
        <v>1879</v>
      </c>
      <c r="C1720" s="226">
        <v>99104</v>
      </c>
    </row>
    <row r="1721" spans="2:3">
      <c r="B1721" s="131" t="s">
        <v>373</v>
      </c>
      <c r="C1721" s="226">
        <v>92551</v>
      </c>
    </row>
    <row r="1722" spans="2:3">
      <c r="B1722" s="131" t="s">
        <v>495</v>
      </c>
      <c r="C1722" s="226">
        <v>96321</v>
      </c>
    </row>
    <row r="1723" spans="2:3">
      <c r="B1723" s="131" t="s">
        <v>1757</v>
      </c>
      <c r="C1723" s="226">
        <v>95009</v>
      </c>
    </row>
    <row r="1724" spans="2:3">
      <c r="B1724" s="131" t="s">
        <v>378</v>
      </c>
      <c r="C1724" s="226">
        <v>92641</v>
      </c>
    </row>
    <row r="1725" spans="2:3">
      <c r="B1725" s="131" t="s">
        <v>292</v>
      </c>
      <c r="C1725" s="226">
        <v>90411</v>
      </c>
    </row>
    <row r="1726" spans="2:3">
      <c r="B1726" s="131" t="s">
        <v>1880</v>
      </c>
      <c r="C1726" s="226">
        <v>90417</v>
      </c>
    </row>
    <row r="1727" spans="2:3">
      <c r="B1727" s="131" t="s">
        <v>32</v>
      </c>
      <c r="C1727" s="226">
        <v>90413</v>
      </c>
    </row>
    <row r="1728" spans="2:3">
      <c r="B1728" s="131" t="s">
        <v>568</v>
      </c>
      <c r="C1728" s="226">
        <v>98321</v>
      </c>
    </row>
    <row r="1729" spans="2:3">
      <c r="B1729" s="131" t="s">
        <v>213</v>
      </c>
      <c r="C1729" s="226">
        <v>99201</v>
      </c>
    </row>
    <row r="1730" spans="2:3">
      <c r="B1730" s="131" t="s">
        <v>1881</v>
      </c>
      <c r="C1730" s="226">
        <v>99204</v>
      </c>
    </row>
    <row r="1731" spans="2:3">
      <c r="B1731" s="131" t="s">
        <v>214</v>
      </c>
      <c r="C1731" s="226">
        <v>99207</v>
      </c>
    </row>
    <row r="1732" spans="2:3">
      <c r="B1732" s="131" t="s">
        <v>596</v>
      </c>
      <c r="C1732" s="226">
        <v>99281</v>
      </c>
    </row>
    <row r="1733" spans="2:3">
      <c r="B1733" s="131" t="s">
        <v>409</v>
      </c>
      <c r="C1733" s="226">
        <v>93461</v>
      </c>
    </row>
    <row r="1734" spans="2:3">
      <c r="B1734" s="131" t="s">
        <v>397</v>
      </c>
      <c r="C1734" s="226">
        <v>93151</v>
      </c>
    </row>
    <row r="1735" spans="2:3">
      <c r="B1735" s="131" t="s">
        <v>1882</v>
      </c>
      <c r="C1735" s="226">
        <v>93157</v>
      </c>
    </row>
    <row r="1736" spans="2:3">
      <c r="B1736" s="131" t="s">
        <v>574</v>
      </c>
      <c r="C1736" s="226">
        <v>98511</v>
      </c>
    </row>
    <row r="1737" spans="2:3">
      <c r="B1737" s="131" t="s">
        <v>1883</v>
      </c>
      <c r="C1737" s="226">
        <v>98517</v>
      </c>
    </row>
    <row r="1738" spans="2:3">
      <c r="B1738" s="131" t="s">
        <v>285</v>
      </c>
      <c r="C1738" s="226">
        <v>99661</v>
      </c>
    </row>
    <row r="1739" spans="2:3">
      <c r="B1739" s="131" t="s">
        <v>425</v>
      </c>
      <c r="C1739" s="226">
        <v>94031</v>
      </c>
    </row>
    <row r="1740" spans="2:3">
      <c r="B1740" s="131" t="s">
        <v>217</v>
      </c>
      <c r="C1740" s="226">
        <v>99301</v>
      </c>
    </row>
    <row r="1741" spans="2:3">
      <c r="B1741" s="131" t="s">
        <v>1884</v>
      </c>
      <c r="C1741" s="226">
        <v>99304</v>
      </c>
    </row>
    <row r="1742" spans="2:3">
      <c r="B1742" s="131" t="s">
        <v>599</v>
      </c>
      <c r="C1742" s="226">
        <v>99321</v>
      </c>
    </row>
    <row r="1743" spans="2:3">
      <c r="B1743" s="131" t="s">
        <v>395</v>
      </c>
      <c r="C1743" s="226">
        <v>93131</v>
      </c>
    </row>
    <row r="1744" spans="2:3">
      <c r="B1744" s="131" t="s">
        <v>1885</v>
      </c>
      <c r="C1744" s="226">
        <v>93137</v>
      </c>
    </row>
    <row r="1745" spans="2:3">
      <c r="B1745" s="131" t="s">
        <v>621</v>
      </c>
      <c r="C1745" s="226">
        <v>90711</v>
      </c>
    </row>
    <row r="1746" spans="2:3">
      <c r="B1746" s="131" t="s">
        <v>218</v>
      </c>
      <c r="C1746" s="226">
        <v>99401</v>
      </c>
    </row>
    <row r="1747" spans="2:3">
      <c r="B1747" s="131" t="s">
        <v>1886</v>
      </c>
      <c r="C1747" s="226">
        <v>99404</v>
      </c>
    </row>
    <row r="1748" spans="2:3">
      <c r="B1748" s="131" t="s">
        <v>307</v>
      </c>
      <c r="C1748" s="226">
        <v>90741</v>
      </c>
    </row>
    <row r="1749" spans="2:3">
      <c r="B1749" s="131" t="s">
        <v>221</v>
      </c>
      <c r="C1749" s="226">
        <v>99501</v>
      </c>
    </row>
    <row r="1750" spans="2:3">
      <c r="B1750" s="131" t="s">
        <v>1758</v>
      </c>
      <c r="C1750" s="226">
        <v>99509</v>
      </c>
    </row>
    <row r="1751" spans="2:3">
      <c r="B1751" s="131" t="s">
        <v>1759</v>
      </c>
      <c r="C1751" s="51">
        <v>91302</v>
      </c>
    </row>
    <row r="1752" spans="2:3">
      <c r="B1752" s="131" t="s">
        <v>583</v>
      </c>
      <c r="C1752" s="226">
        <v>99041</v>
      </c>
    </row>
    <row r="1753" spans="2:3">
      <c r="B1753" s="131" t="s">
        <v>1887</v>
      </c>
      <c r="C1753" s="226">
        <v>99047</v>
      </c>
    </row>
    <row r="1754" spans="2:3">
      <c r="B1754" s="131" t="s">
        <v>224</v>
      </c>
      <c r="C1754" s="226">
        <v>99601</v>
      </c>
    </row>
    <row r="1755" spans="2:3">
      <c r="B1755" s="131" t="s">
        <v>1888</v>
      </c>
      <c r="C1755" s="226">
        <v>99604</v>
      </c>
    </row>
    <row r="1756" spans="2:3">
      <c r="B1756" s="131" t="s">
        <v>440</v>
      </c>
      <c r="C1756" s="226">
        <v>94411</v>
      </c>
    </row>
    <row r="1757" spans="2:3">
      <c r="B1757" s="131" t="s">
        <v>1889</v>
      </c>
      <c r="C1757" s="226">
        <v>94412</v>
      </c>
    </row>
    <row r="1758" spans="2:3">
      <c r="B1758" s="131" t="s">
        <v>327</v>
      </c>
      <c r="C1758" s="226">
        <v>91141</v>
      </c>
    </row>
    <row r="1759" spans="2:3">
      <c r="B1759" s="131" t="s">
        <v>1890</v>
      </c>
      <c r="C1759" s="226">
        <v>91147</v>
      </c>
    </row>
    <row r="1760" spans="2:3">
      <c r="B1760" s="131" t="s">
        <v>586</v>
      </c>
      <c r="C1760" s="226">
        <v>99071</v>
      </c>
    </row>
    <row r="1761" spans="2:3">
      <c r="B1761" s="131" t="s">
        <v>431</v>
      </c>
      <c r="C1761" s="226">
        <v>94231</v>
      </c>
    </row>
    <row r="1762" spans="2:3">
      <c r="B1762" s="131" t="s">
        <v>591</v>
      </c>
      <c r="C1762" s="226">
        <v>99231</v>
      </c>
    </row>
    <row r="1763" spans="2:3">
      <c r="B1763" s="131" t="s">
        <v>284</v>
      </c>
      <c r="C1763" s="226">
        <v>99091</v>
      </c>
    </row>
    <row r="1764" spans="2:3">
      <c r="B1764" s="131" t="s">
        <v>1760</v>
      </c>
      <c r="C1764" s="226">
        <v>91120</v>
      </c>
    </row>
    <row r="1765" spans="2:3">
      <c r="B1765" s="131" t="s">
        <v>1631</v>
      </c>
      <c r="C1765" s="226">
        <v>92444</v>
      </c>
    </row>
    <row r="1766" spans="2:3">
      <c r="B1766" s="131" t="s">
        <v>299</v>
      </c>
      <c r="C1766" s="226">
        <v>90521</v>
      </c>
    </row>
    <row r="1767" spans="2:3">
      <c r="B1767" s="131" t="s">
        <v>1891</v>
      </c>
      <c r="C1767" s="226">
        <v>90507</v>
      </c>
    </row>
    <row r="1768" spans="2:3">
      <c r="B1768" s="131" t="s">
        <v>1761</v>
      </c>
      <c r="C1768" s="226">
        <v>92602</v>
      </c>
    </row>
    <row r="1769" spans="2:3">
      <c r="B1769" s="131" t="s">
        <v>1762</v>
      </c>
      <c r="C1769" s="226">
        <v>91608</v>
      </c>
    </row>
    <row r="1770" spans="2:3">
      <c r="B1770" s="131" t="s">
        <v>677</v>
      </c>
      <c r="C1770" s="226">
        <v>91119</v>
      </c>
    </row>
    <row r="1771" spans="2:3">
      <c r="B1771" s="131" t="s">
        <v>1763</v>
      </c>
      <c r="C1771" s="226">
        <v>91107</v>
      </c>
    </row>
    <row r="1772" spans="2:3">
      <c r="B1772" s="131" t="s">
        <v>1764</v>
      </c>
      <c r="C1772" s="226">
        <v>91818</v>
      </c>
    </row>
    <row r="1773" spans="2:3">
      <c r="B1773" s="131" t="s">
        <v>60</v>
      </c>
      <c r="C1773" s="226">
        <v>91819</v>
      </c>
    </row>
    <row r="1774" spans="2:3">
      <c r="B1774" s="131" t="s">
        <v>281</v>
      </c>
      <c r="C1774" s="226">
        <v>96371</v>
      </c>
    </row>
    <row r="1775" spans="2:3">
      <c r="B1775" s="131" t="s">
        <v>503</v>
      </c>
      <c r="C1775" s="226">
        <v>96441</v>
      </c>
    </row>
    <row r="1776" spans="2:3">
      <c r="B1776" s="131" t="s">
        <v>313</v>
      </c>
      <c r="C1776" s="226">
        <v>90921</v>
      </c>
    </row>
    <row r="1777" spans="2:3">
      <c r="B1777" s="131" t="s">
        <v>630</v>
      </c>
      <c r="C1777" s="226">
        <v>92411</v>
      </c>
    </row>
    <row r="1778" spans="2:3">
      <c r="B1778" s="131" t="s">
        <v>1892</v>
      </c>
      <c r="C1778" s="226">
        <v>92417</v>
      </c>
    </row>
    <row r="1779" spans="2:3">
      <c r="B1779" s="131" t="s">
        <v>69</v>
      </c>
      <c r="C1779" s="226">
        <v>92403</v>
      </c>
    </row>
    <row r="1780" spans="2:3">
      <c r="B1780" s="131" t="s">
        <v>226</v>
      </c>
      <c r="C1780" s="226">
        <v>99701</v>
      </c>
    </row>
    <row r="1781" spans="2:3">
      <c r="B1781" s="131" t="s">
        <v>610</v>
      </c>
      <c r="C1781" s="226">
        <v>99721</v>
      </c>
    </row>
    <row r="1782" spans="2:3">
      <c r="B1782" s="131" t="s">
        <v>1893</v>
      </c>
      <c r="C1782" s="226">
        <v>99727</v>
      </c>
    </row>
    <row r="1783" spans="2:3">
      <c r="B1783" s="131" t="s">
        <v>650</v>
      </c>
      <c r="C1783" s="226">
        <v>95811</v>
      </c>
    </row>
    <row r="1784" spans="2:3">
      <c r="B1784" s="131" t="s">
        <v>142</v>
      </c>
      <c r="C1784" s="226">
        <v>95813</v>
      </c>
    </row>
    <row r="1785" spans="2:3">
      <c r="B1785" s="131" t="s">
        <v>652</v>
      </c>
      <c r="C1785" s="226">
        <v>96531</v>
      </c>
    </row>
    <row r="1786" spans="2:3">
      <c r="B1786" s="131" t="s">
        <v>154</v>
      </c>
      <c r="C1786" s="226">
        <v>96503</v>
      </c>
    </row>
    <row r="1787" spans="2:3">
      <c r="B1787" s="131" t="s">
        <v>675</v>
      </c>
      <c r="C1787" s="226">
        <v>99811</v>
      </c>
    </row>
    <row r="1788" spans="2:3">
      <c r="B1788" s="131" t="s">
        <v>1898</v>
      </c>
      <c r="C1788" s="226">
        <v>99818</v>
      </c>
    </row>
    <row r="1789" spans="2:3">
      <c r="B1789" s="131" t="s">
        <v>228</v>
      </c>
      <c r="C1789" s="226">
        <v>99801</v>
      </c>
    </row>
    <row r="1790" spans="2:3">
      <c r="B1790" s="131" t="s">
        <v>1894</v>
      </c>
      <c r="C1790" s="226">
        <v>99804</v>
      </c>
    </row>
    <row r="1791" spans="2:3">
      <c r="B1791" s="131" t="s">
        <v>1765</v>
      </c>
      <c r="C1791" s="226">
        <v>99802</v>
      </c>
    </row>
    <row r="1792" spans="2:3">
      <c r="B1792" s="131" t="s">
        <v>1766</v>
      </c>
      <c r="C1792" s="226">
        <v>99812</v>
      </c>
    </row>
    <row r="1793" spans="2:3">
      <c r="B1793" s="131" t="s">
        <v>1754</v>
      </c>
      <c r="C1793" s="226">
        <v>95191</v>
      </c>
    </row>
    <row r="1794" spans="2:3">
      <c r="B1794" s="131" t="s">
        <v>310</v>
      </c>
      <c r="C1794" s="226">
        <v>90812</v>
      </c>
    </row>
    <row r="1795" spans="2:3">
      <c r="B1795" s="131" t="s">
        <v>529</v>
      </c>
      <c r="C1795" s="226">
        <v>97221</v>
      </c>
    </row>
    <row r="1796" spans="2:3">
      <c r="B1796" s="131" t="s">
        <v>582</v>
      </c>
      <c r="C1796" s="226">
        <v>99031</v>
      </c>
    </row>
    <row r="1797" spans="2:3">
      <c r="B1797" s="131" t="s">
        <v>636</v>
      </c>
      <c r="C1797" s="226">
        <v>93411</v>
      </c>
    </row>
    <row r="1798" spans="2:3">
      <c r="B1798" s="131" t="s">
        <v>93</v>
      </c>
      <c r="C1798" s="226">
        <v>93413</v>
      </c>
    </row>
    <row r="1799" spans="2:3">
      <c r="B1799" s="131" t="s">
        <v>532</v>
      </c>
      <c r="C1799" s="226">
        <v>97451</v>
      </c>
    </row>
    <row r="1800" spans="2:3">
      <c r="B1800" s="131" t="s">
        <v>448</v>
      </c>
      <c r="C1800" s="226">
        <v>94631</v>
      </c>
    </row>
    <row r="1801" spans="2:3">
      <c r="B1801" s="131" t="s">
        <v>330</v>
      </c>
      <c r="C1801" s="226">
        <v>91171</v>
      </c>
    </row>
    <row r="1802" spans="2:3">
      <c r="B1802" s="131" t="s">
        <v>46</v>
      </c>
      <c r="C1802" s="226">
        <v>91104</v>
      </c>
    </row>
    <row r="1803" spans="2:3">
      <c r="B1803" s="131" t="s">
        <v>1767</v>
      </c>
      <c r="C1803" s="226">
        <v>91109</v>
      </c>
    </row>
    <row r="1804" spans="2:3">
      <c r="B1804" s="131" t="s">
        <v>510</v>
      </c>
      <c r="C1804" s="226">
        <v>96621</v>
      </c>
    </row>
    <row r="1805" spans="2:3">
      <c r="B1805" s="131" t="s">
        <v>506</v>
      </c>
      <c r="C1805" s="226">
        <v>96511</v>
      </c>
    </row>
    <row r="1806" spans="2:3">
      <c r="B1806" s="131" t="s">
        <v>229</v>
      </c>
      <c r="C1806" s="226">
        <v>99901</v>
      </c>
    </row>
    <row r="1807" spans="2:3">
      <c r="B1807" s="131" t="s">
        <v>1632</v>
      </c>
      <c r="C1807" s="226">
        <v>98604</v>
      </c>
    </row>
    <row r="1808" spans="2:3">
      <c r="B1808" s="131" t="s">
        <v>206</v>
      </c>
      <c r="C1808" s="226">
        <v>98608</v>
      </c>
    </row>
    <row r="1809" spans="2:3">
      <c r="B1809" s="131" t="s">
        <v>615</v>
      </c>
      <c r="C1809" s="226">
        <v>99911</v>
      </c>
    </row>
    <row r="1810" spans="2:3">
      <c r="B1810" s="131" t="s">
        <v>26</v>
      </c>
      <c r="C1810" s="226">
        <v>90001</v>
      </c>
    </row>
    <row r="1811" spans="2:3">
      <c r="B1811" s="131" t="s">
        <v>1768</v>
      </c>
      <c r="C1811" s="226">
        <v>90002</v>
      </c>
    </row>
    <row r="1812" spans="2:3">
      <c r="B1812" s="131" t="s">
        <v>352</v>
      </c>
      <c r="C1812" s="226">
        <v>91719</v>
      </c>
    </row>
    <row r="1813" spans="2:3">
      <c r="B1813" s="131" t="s">
        <v>413</v>
      </c>
      <c r="C1813" s="226">
        <v>93541</v>
      </c>
    </row>
    <row r="1814" spans="2:3">
      <c r="B1814" s="131" t="s">
        <v>592</v>
      </c>
      <c r="C1814" s="226">
        <v>99241</v>
      </c>
    </row>
  </sheetData>
  <pageMargins left="0" right="0" top="0.75" bottom="0.75" header="0.3" footer="0.3"/>
  <pageSetup scale="46" fitToHeight="0"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811"/>
  <sheetViews>
    <sheetView zoomScaleNormal="100" workbookViewId="0">
      <pane ySplit="7" topLeftCell="A8" activePane="bottomLeft" state="frozen"/>
      <selection pane="bottomLeft"/>
    </sheetView>
  </sheetViews>
  <sheetFormatPr defaultColWidth="9.140625" defaultRowHeight="15"/>
  <cols>
    <col min="1" max="1" width="15.28515625" style="209" customWidth="1"/>
    <col min="2" max="2" width="39.5703125" style="209" customWidth="1"/>
    <col min="3" max="5" width="13.85546875" style="209" customWidth="1"/>
    <col min="6" max="6" width="13.42578125" style="209" customWidth="1"/>
    <col min="7" max="7" width="18.28515625" style="209" customWidth="1"/>
    <col min="8" max="8" width="1.5703125" style="209" customWidth="1"/>
    <col min="9" max="9" width="18.28515625" style="209" customWidth="1"/>
    <col min="10" max="10" width="20" style="209" customWidth="1"/>
    <col min="11" max="11" width="14.42578125" style="209" customWidth="1"/>
    <col min="12" max="12" width="19.42578125" style="209" customWidth="1"/>
    <col min="13" max="13" width="3" style="209" customWidth="1"/>
    <col min="14" max="14" width="18.28515625" style="209" customWidth="1"/>
    <col min="15" max="15" width="20" style="209" customWidth="1"/>
    <col min="16" max="16" width="9.140625" style="209" customWidth="1"/>
    <col min="17" max="17" width="19.42578125" style="209" customWidth="1"/>
    <col min="18" max="18" width="14" style="209" customWidth="1"/>
    <col min="19" max="19" width="2.42578125" style="209" customWidth="1"/>
    <col min="20" max="20" width="13.85546875" style="209" customWidth="1"/>
    <col min="21" max="21" width="22.42578125" style="209" customWidth="1"/>
    <col min="22" max="22" width="14.28515625" style="209" customWidth="1"/>
    <col min="23" max="16384" width="9.140625" style="209"/>
  </cols>
  <sheetData>
    <row r="1" spans="1:22">
      <c r="A1" s="209" t="s">
        <v>2810</v>
      </c>
    </row>
    <row r="2" spans="1:22">
      <c r="A2" s="209" t="s">
        <v>2811</v>
      </c>
    </row>
    <row r="3" spans="1:22">
      <c r="B3" s="54" t="s">
        <v>2818</v>
      </c>
      <c r="C3" s="260">
        <f>SUM(C9:C907)</f>
        <v>1</v>
      </c>
      <c r="D3" s="260">
        <f>SUM(D9:D907)</f>
        <v>1</v>
      </c>
      <c r="E3" s="246">
        <f>SUM(E9:E907)</f>
        <v>411243352.90999979</v>
      </c>
      <c r="F3" s="246">
        <f>SUM(F9:F907)</f>
        <v>448793978.815</v>
      </c>
      <c r="G3" s="246">
        <f>SUM(G9:G907)</f>
        <v>2122335001.9649999</v>
      </c>
      <c r="H3" s="246"/>
      <c r="I3" s="246">
        <f>SUM(I9:I907)</f>
        <v>39875005.324999996</v>
      </c>
      <c r="J3" s="246">
        <f>SUM(J9:J907)</f>
        <v>1859842000.4500003</v>
      </c>
      <c r="K3" s="246">
        <f>SUM(K9:K907)</f>
        <v>145360990.26999998</v>
      </c>
      <c r="L3" s="246">
        <f>SUM(L9:L907)</f>
        <v>47059866.95000001</v>
      </c>
      <c r="M3" s="246"/>
      <c r="N3" s="246">
        <f>SUM(N9:N907)</f>
        <v>74369002.819999993</v>
      </c>
      <c r="O3" s="246">
        <f>SUM(O9:O907)</f>
        <v>686457998.14499998</v>
      </c>
      <c r="P3" s="246">
        <f>SUM(P9:P907)</f>
        <v>0</v>
      </c>
      <c r="Q3" s="246">
        <f>SUM(Q9:Q907)</f>
        <v>47059539.410000004</v>
      </c>
      <c r="R3" s="246"/>
      <c r="S3" s="246"/>
      <c r="T3" s="246">
        <f>SUM(T9:T907)</f>
        <v>567268992.93000007</v>
      </c>
      <c r="U3" s="246">
        <f>SUM(U9:U907)</f>
        <v>95</v>
      </c>
      <c r="V3" s="246">
        <f>SUM(V9:V907)</f>
        <v>567269105</v>
      </c>
    </row>
    <row r="4" spans="1:22">
      <c r="C4" s="260">
        <v>1</v>
      </c>
      <c r="D4" s="260">
        <v>1</v>
      </c>
      <c r="E4" s="246">
        <v>411243352.90999979</v>
      </c>
      <c r="F4" s="246">
        <v>448793978.815</v>
      </c>
      <c r="G4" s="246">
        <v>2122335001.9649999</v>
      </c>
      <c r="H4" s="246"/>
      <c r="I4" s="246">
        <v>39875005.324999996</v>
      </c>
      <c r="J4" s="246">
        <v>1859842000.4500003</v>
      </c>
      <c r="K4" s="246">
        <v>145360990.26999998</v>
      </c>
      <c r="L4" s="246">
        <v>47059866.95000001</v>
      </c>
      <c r="M4" s="246"/>
      <c r="N4" s="246">
        <v>74369002.819999993</v>
      </c>
      <c r="O4" s="246">
        <v>686457998.14499998</v>
      </c>
      <c r="P4" s="246">
        <v>0</v>
      </c>
      <c r="Q4" s="246">
        <v>47059539.410000004</v>
      </c>
      <c r="R4" s="246"/>
      <c r="S4" s="246"/>
      <c r="T4" s="246">
        <v>567268992.93000007</v>
      </c>
      <c r="U4" s="246">
        <v>95</v>
      </c>
      <c r="V4" s="246">
        <v>567269105</v>
      </c>
    </row>
    <row r="6" spans="1:22">
      <c r="A6" s="47" t="s">
        <v>2812</v>
      </c>
      <c r="I6" s="256" t="s">
        <v>2</v>
      </c>
      <c r="J6" s="256"/>
      <c r="K6" s="256"/>
      <c r="L6" s="256"/>
      <c r="N6" s="256" t="s">
        <v>3</v>
      </c>
      <c r="O6" s="256"/>
      <c r="P6" s="256"/>
      <c r="Q6" s="256"/>
      <c r="T6" s="256" t="s">
        <v>4</v>
      </c>
      <c r="U6" s="256"/>
      <c r="V6" s="256"/>
    </row>
    <row r="7" spans="1:22" ht="165">
      <c r="A7" s="7" t="s">
        <v>2813</v>
      </c>
      <c r="B7" s="7" t="s">
        <v>1</v>
      </c>
      <c r="C7" s="7" t="s">
        <v>262</v>
      </c>
      <c r="D7" s="7" t="s">
        <v>263</v>
      </c>
      <c r="E7" s="7" t="s">
        <v>2814</v>
      </c>
      <c r="F7" s="7" t="s">
        <v>2815</v>
      </c>
      <c r="G7" s="7" t="s">
        <v>2816</v>
      </c>
      <c r="H7" s="7"/>
      <c r="I7" s="7" t="s">
        <v>5</v>
      </c>
      <c r="J7" s="7" t="s">
        <v>6</v>
      </c>
      <c r="K7" s="7" t="s">
        <v>7</v>
      </c>
      <c r="L7" s="7" t="s">
        <v>8</v>
      </c>
      <c r="M7" s="7"/>
      <c r="N7" s="7" t="s">
        <v>5</v>
      </c>
      <c r="O7" s="7" t="s">
        <v>6</v>
      </c>
      <c r="P7" s="7" t="s">
        <v>7</v>
      </c>
      <c r="Q7" s="7" t="s">
        <v>8</v>
      </c>
      <c r="R7" s="7" t="s">
        <v>2817</v>
      </c>
      <c r="S7" s="7"/>
      <c r="T7" s="7" t="s">
        <v>9</v>
      </c>
      <c r="U7" s="7" t="s">
        <v>10</v>
      </c>
      <c r="V7" s="7" t="s">
        <v>11</v>
      </c>
    </row>
    <row r="8" spans="1:22">
      <c r="A8" s="7" t="s">
        <v>691</v>
      </c>
      <c r="B8" s="60" t="s">
        <v>690</v>
      </c>
      <c r="C8" s="232"/>
      <c r="D8" s="232"/>
      <c r="E8" s="232"/>
      <c r="F8" s="232"/>
      <c r="G8" s="232"/>
      <c r="H8" s="7"/>
      <c r="I8" s="232"/>
      <c r="J8" s="232"/>
      <c r="K8" s="232"/>
      <c r="L8" s="232"/>
      <c r="M8" s="257"/>
      <c r="N8" s="232"/>
      <c r="O8" s="232"/>
      <c r="P8" s="232"/>
      <c r="Q8" s="232"/>
      <c r="R8" s="232">
        <f>IF(J8&gt;O8,J8-O8,O8-J8)</f>
        <v>0</v>
      </c>
      <c r="S8" s="232"/>
      <c r="T8" s="232"/>
      <c r="U8" s="232"/>
      <c r="V8" s="232"/>
    </row>
    <row r="9" spans="1:22">
      <c r="A9" s="226">
        <v>70505</v>
      </c>
      <c r="B9" s="227" t="s">
        <v>723</v>
      </c>
      <c r="C9" s="87">
        <v>4.6880000000000001E-4</v>
      </c>
      <c r="D9" s="87">
        <v>5.0319999999999998E-4</v>
      </c>
      <c r="E9" s="231">
        <v>186822.36000000002</v>
      </c>
      <c r="F9" s="231">
        <v>225833</v>
      </c>
      <c r="G9" s="231">
        <v>994951</v>
      </c>
      <c r="H9" s="231"/>
      <c r="I9" s="232">
        <v>18693</v>
      </c>
      <c r="J9" s="232">
        <v>871894</v>
      </c>
      <c r="K9" s="232">
        <v>68145</v>
      </c>
      <c r="L9" s="231">
        <v>0</v>
      </c>
      <c r="M9" s="231"/>
      <c r="N9" s="232">
        <v>34864</v>
      </c>
      <c r="O9" s="232">
        <v>321812</v>
      </c>
      <c r="P9" s="232">
        <v>0</v>
      </c>
      <c r="Q9" s="231">
        <v>31773</v>
      </c>
      <c r="R9" s="232">
        <f t="shared" ref="R9:R72" si="0">IF(J9&gt;O9,J9-O9,O9-J9)</f>
        <v>550082</v>
      </c>
      <c r="S9" s="231"/>
      <c r="T9" s="232">
        <v>265936</v>
      </c>
      <c r="U9" s="233">
        <v>-10267</v>
      </c>
      <c r="V9" s="233">
        <v>255668</v>
      </c>
    </row>
    <row r="10" spans="1:22">
      <c r="A10" s="226">
        <v>98414</v>
      </c>
      <c r="B10" s="227" t="s">
        <v>1487</v>
      </c>
      <c r="C10" s="87">
        <v>4.3600000000000003E-5</v>
      </c>
      <c r="D10" s="87">
        <v>4.3699999999999998E-5</v>
      </c>
      <c r="E10" s="231">
        <v>14646.29</v>
      </c>
      <c r="F10" s="231">
        <v>19612</v>
      </c>
      <c r="G10" s="231">
        <v>92534</v>
      </c>
      <c r="H10" s="231"/>
      <c r="I10" s="232">
        <v>1739</v>
      </c>
      <c r="J10" s="232">
        <v>81089</v>
      </c>
      <c r="K10" s="232">
        <v>6338</v>
      </c>
      <c r="L10" s="231">
        <v>0</v>
      </c>
      <c r="M10" s="231"/>
      <c r="N10" s="232">
        <v>3242</v>
      </c>
      <c r="O10" s="232">
        <v>29930</v>
      </c>
      <c r="P10" s="232">
        <v>0</v>
      </c>
      <c r="Q10" s="231">
        <v>6350</v>
      </c>
      <c r="R10" s="232">
        <f t="shared" si="0"/>
        <v>51159</v>
      </c>
      <c r="S10" s="231"/>
      <c r="T10" s="232">
        <v>24733</v>
      </c>
      <c r="U10" s="233">
        <v>-2337</v>
      </c>
      <c r="V10" s="233">
        <v>22396</v>
      </c>
    </row>
    <row r="11" spans="1:22">
      <c r="A11" s="226">
        <v>72265</v>
      </c>
      <c r="B11" s="227" t="s">
        <v>724</v>
      </c>
      <c r="C11" s="87">
        <v>1.327E-4</v>
      </c>
      <c r="D11" s="87">
        <v>1.3329999999999999E-4</v>
      </c>
      <c r="E11" s="231">
        <v>48904.860000000008</v>
      </c>
      <c r="F11" s="231">
        <v>59824</v>
      </c>
      <c r="G11" s="231">
        <v>281634</v>
      </c>
      <c r="H11" s="231"/>
      <c r="I11" s="232">
        <v>5291</v>
      </c>
      <c r="J11" s="232">
        <v>246801</v>
      </c>
      <c r="K11" s="232">
        <v>19289</v>
      </c>
      <c r="L11" s="231">
        <v>7214</v>
      </c>
      <c r="M11" s="231"/>
      <c r="N11" s="232">
        <v>9869</v>
      </c>
      <c r="O11" s="232">
        <v>91093</v>
      </c>
      <c r="P11" s="232">
        <v>0</v>
      </c>
      <c r="Q11" s="231">
        <v>5063</v>
      </c>
      <c r="R11" s="232">
        <f t="shared" si="0"/>
        <v>155708</v>
      </c>
      <c r="S11" s="231"/>
      <c r="T11" s="232">
        <v>75277</v>
      </c>
      <c r="U11" s="233">
        <v>2291</v>
      </c>
      <c r="V11" s="233">
        <v>77567</v>
      </c>
    </row>
    <row r="12" spans="1:22">
      <c r="A12" s="226">
        <v>72657</v>
      </c>
      <c r="B12" s="227" t="s">
        <v>726</v>
      </c>
      <c r="C12" s="87">
        <v>4.2799999999999997E-5</v>
      </c>
      <c r="D12" s="87">
        <v>4.0800000000000002E-5</v>
      </c>
      <c r="E12" s="231">
        <v>15356.17</v>
      </c>
      <c r="F12" s="231">
        <v>18311</v>
      </c>
      <c r="G12" s="231">
        <v>90836</v>
      </c>
      <c r="H12" s="231"/>
      <c r="I12" s="232">
        <v>1707</v>
      </c>
      <c r="J12" s="232">
        <v>79601</v>
      </c>
      <c r="K12" s="232">
        <v>6221</v>
      </c>
      <c r="L12" s="231">
        <v>6577</v>
      </c>
      <c r="M12" s="231"/>
      <c r="N12" s="232">
        <v>3183</v>
      </c>
      <c r="O12" s="232">
        <v>29380</v>
      </c>
      <c r="P12" s="232">
        <v>0</v>
      </c>
      <c r="Q12" s="231">
        <v>4643</v>
      </c>
      <c r="R12" s="232">
        <f t="shared" si="0"/>
        <v>50221</v>
      </c>
      <c r="S12" s="231"/>
      <c r="T12" s="232">
        <v>24279</v>
      </c>
      <c r="U12" s="233">
        <v>1725</v>
      </c>
      <c r="V12" s="233">
        <v>26005</v>
      </c>
    </row>
    <row r="13" spans="1:22">
      <c r="A13" s="226">
        <v>90001</v>
      </c>
      <c r="B13" s="227" t="s">
        <v>727</v>
      </c>
      <c r="C13" s="87">
        <v>8.6910000000000004E-4</v>
      </c>
      <c r="D13" s="87">
        <v>8.2339999999999996E-4</v>
      </c>
      <c r="E13" s="231">
        <v>342847.56999999995</v>
      </c>
      <c r="F13" s="231">
        <v>369537</v>
      </c>
      <c r="G13" s="231">
        <v>1844521</v>
      </c>
      <c r="H13" s="231"/>
      <c r="I13" s="232">
        <v>34655</v>
      </c>
      <c r="J13" s="232">
        <v>1616389</v>
      </c>
      <c r="K13" s="232">
        <v>126333</v>
      </c>
      <c r="L13" s="231">
        <v>17611</v>
      </c>
      <c r="M13" s="231"/>
      <c r="N13" s="232">
        <v>64634</v>
      </c>
      <c r="O13" s="232">
        <v>596601</v>
      </c>
      <c r="P13" s="232">
        <v>0</v>
      </c>
      <c r="Q13" s="231">
        <v>4549</v>
      </c>
      <c r="R13" s="232">
        <f t="shared" si="0"/>
        <v>1019788</v>
      </c>
      <c r="S13" s="231"/>
      <c r="T13" s="232">
        <v>493013</v>
      </c>
      <c r="U13" s="233">
        <v>4026</v>
      </c>
      <c r="V13" s="233">
        <v>497039</v>
      </c>
    </row>
    <row r="14" spans="1:22">
      <c r="A14" s="226">
        <v>90002</v>
      </c>
      <c r="B14" s="227" t="s">
        <v>728</v>
      </c>
      <c r="C14" s="87">
        <v>1.15E-5</v>
      </c>
      <c r="D14" s="87">
        <v>1.15E-5</v>
      </c>
      <c r="E14" s="231">
        <v>5944.7300000000005</v>
      </c>
      <c r="F14" s="231">
        <v>5161</v>
      </c>
      <c r="G14" s="231">
        <v>24407</v>
      </c>
      <c r="H14" s="231"/>
      <c r="I14" s="232">
        <v>458.5625</v>
      </c>
      <c r="J14" s="232">
        <v>21388</v>
      </c>
      <c r="K14" s="232">
        <v>1672</v>
      </c>
      <c r="L14" s="231">
        <v>1428</v>
      </c>
      <c r="M14" s="231"/>
      <c r="N14" s="232">
        <v>855</v>
      </c>
      <c r="O14" s="232">
        <v>7894</v>
      </c>
      <c r="P14" s="232">
        <v>0</v>
      </c>
      <c r="Q14" s="231">
        <v>0</v>
      </c>
      <c r="R14" s="232">
        <f t="shared" si="0"/>
        <v>13494</v>
      </c>
      <c r="S14" s="231"/>
      <c r="T14" s="232">
        <v>6524</v>
      </c>
      <c r="U14" s="233">
        <v>436</v>
      </c>
      <c r="V14" s="233">
        <v>6960</v>
      </c>
    </row>
    <row r="15" spans="1:22">
      <c r="A15" s="226">
        <v>90011</v>
      </c>
      <c r="B15" s="227" t="s">
        <v>729</v>
      </c>
      <c r="C15" s="87">
        <v>2.0819999999999999E-4</v>
      </c>
      <c r="D15" s="87">
        <v>2.2800000000000001E-4</v>
      </c>
      <c r="E15" s="231">
        <v>74533.509999999995</v>
      </c>
      <c r="F15" s="231">
        <v>102325</v>
      </c>
      <c r="G15" s="231">
        <v>441870</v>
      </c>
      <c r="H15" s="231"/>
      <c r="I15" s="232">
        <v>8302</v>
      </c>
      <c r="J15" s="232">
        <v>387219</v>
      </c>
      <c r="K15" s="232">
        <v>30264</v>
      </c>
      <c r="L15" s="231">
        <v>4623</v>
      </c>
      <c r="M15" s="231"/>
      <c r="N15" s="232">
        <v>15484</v>
      </c>
      <c r="O15" s="232">
        <v>142921</v>
      </c>
      <c r="P15" s="232">
        <v>0</v>
      </c>
      <c r="Q15" s="231">
        <v>24562</v>
      </c>
      <c r="R15" s="232">
        <f t="shared" si="0"/>
        <v>244298</v>
      </c>
      <c r="S15" s="231"/>
      <c r="T15" s="232">
        <v>118105</v>
      </c>
      <c r="U15" s="233">
        <v>-4521</v>
      </c>
      <c r="V15" s="233">
        <v>113585</v>
      </c>
    </row>
    <row r="16" spans="1:22">
      <c r="A16" s="226">
        <v>90092</v>
      </c>
      <c r="B16" s="227" t="s">
        <v>730</v>
      </c>
      <c r="C16" s="87">
        <v>3.946E-4</v>
      </c>
      <c r="D16" s="87">
        <v>4.8670000000000001E-4</v>
      </c>
      <c r="E16" s="231">
        <v>169426.22</v>
      </c>
      <c r="F16" s="231">
        <v>218428</v>
      </c>
      <c r="G16" s="231">
        <v>837473</v>
      </c>
      <c r="H16" s="231"/>
      <c r="I16" s="232">
        <v>15735</v>
      </c>
      <c r="J16" s="232">
        <v>733894</v>
      </c>
      <c r="K16" s="232">
        <v>57359</v>
      </c>
      <c r="L16" s="231">
        <v>0</v>
      </c>
      <c r="M16" s="231"/>
      <c r="N16" s="232">
        <v>29346</v>
      </c>
      <c r="O16" s="232">
        <v>270876</v>
      </c>
      <c r="P16" s="232">
        <v>0</v>
      </c>
      <c r="Q16" s="231">
        <v>115870</v>
      </c>
      <c r="R16" s="232">
        <f t="shared" si="0"/>
        <v>463018</v>
      </c>
      <c r="S16" s="231"/>
      <c r="T16" s="232">
        <v>223844</v>
      </c>
      <c r="U16" s="233">
        <v>-40775</v>
      </c>
      <c r="V16" s="233">
        <v>183070</v>
      </c>
    </row>
    <row r="17" spans="1:22">
      <c r="A17" s="226">
        <v>90096</v>
      </c>
      <c r="B17" s="227" t="s">
        <v>731</v>
      </c>
      <c r="C17" s="87">
        <v>1.3860999999999999E-3</v>
      </c>
      <c r="D17" s="87">
        <v>1.4866E-3</v>
      </c>
      <c r="E17" s="231">
        <v>582268.12000000011</v>
      </c>
      <c r="F17" s="231">
        <v>667177</v>
      </c>
      <c r="G17" s="231">
        <v>2941769</v>
      </c>
      <c r="H17" s="231"/>
      <c r="I17" s="232">
        <v>55271</v>
      </c>
      <c r="J17" s="232">
        <v>2577927</v>
      </c>
      <c r="K17" s="232">
        <v>201485</v>
      </c>
      <c r="L17" s="231">
        <v>79002</v>
      </c>
      <c r="M17" s="231"/>
      <c r="N17" s="232">
        <v>103083</v>
      </c>
      <c r="O17" s="232">
        <v>951499</v>
      </c>
      <c r="P17" s="232">
        <v>0</v>
      </c>
      <c r="Q17" s="231">
        <v>44718</v>
      </c>
      <c r="R17" s="232">
        <f t="shared" si="0"/>
        <v>1626428</v>
      </c>
      <c r="S17" s="231"/>
      <c r="T17" s="232">
        <v>786292</v>
      </c>
      <c r="U17" s="233">
        <v>23820</v>
      </c>
      <c r="V17" s="233">
        <v>810111</v>
      </c>
    </row>
    <row r="18" spans="1:22">
      <c r="A18" s="226">
        <v>90098</v>
      </c>
      <c r="B18" s="227" t="s">
        <v>732</v>
      </c>
      <c r="C18" s="87">
        <v>2.9280000000000002E-4</v>
      </c>
      <c r="D18" s="87">
        <v>5.0869999999999995E-4</v>
      </c>
      <c r="E18" s="231">
        <v>129330.10999999997</v>
      </c>
      <c r="F18" s="231">
        <v>228302</v>
      </c>
      <c r="G18" s="231">
        <v>621420</v>
      </c>
      <c r="H18" s="231"/>
      <c r="I18" s="232">
        <v>11675</v>
      </c>
      <c r="J18" s="232">
        <v>544562</v>
      </c>
      <c r="K18" s="232">
        <v>42562</v>
      </c>
      <c r="L18" s="231">
        <v>0</v>
      </c>
      <c r="M18" s="231"/>
      <c r="N18" s="232">
        <v>21775</v>
      </c>
      <c r="O18" s="232">
        <v>200995</v>
      </c>
      <c r="P18" s="232">
        <v>0</v>
      </c>
      <c r="Q18" s="231">
        <v>163662</v>
      </c>
      <c r="R18" s="232">
        <f t="shared" si="0"/>
        <v>343567</v>
      </c>
      <c r="S18" s="231"/>
      <c r="T18" s="232">
        <v>166096</v>
      </c>
      <c r="U18" s="233">
        <v>-52769</v>
      </c>
      <c r="V18" s="233">
        <v>113327</v>
      </c>
    </row>
    <row r="19" spans="1:22">
      <c r="A19" s="226">
        <v>90099</v>
      </c>
      <c r="B19" s="227" t="s">
        <v>733</v>
      </c>
      <c r="C19" s="87">
        <v>4.9330000000000001E-4</v>
      </c>
      <c r="D19" s="87">
        <v>5.9599999999999996E-4</v>
      </c>
      <c r="E19" s="231">
        <v>207476.25</v>
      </c>
      <c r="F19" s="231">
        <v>267481</v>
      </c>
      <c r="G19" s="231">
        <v>1046948</v>
      </c>
      <c r="H19" s="231"/>
      <c r="I19" s="232">
        <v>19670</v>
      </c>
      <c r="J19" s="232">
        <v>917460</v>
      </c>
      <c r="K19" s="232">
        <v>71707</v>
      </c>
      <c r="L19" s="231">
        <v>4838</v>
      </c>
      <c r="M19" s="231"/>
      <c r="N19" s="232">
        <v>36686</v>
      </c>
      <c r="O19" s="232">
        <v>338630</v>
      </c>
      <c r="P19" s="232">
        <v>0</v>
      </c>
      <c r="Q19" s="231">
        <v>60491</v>
      </c>
      <c r="R19" s="232">
        <f t="shared" si="0"/>
        <v>578830</v>
      </c>
      <c r="S19" s="231"/>
      <c r="T19" s="232">
        <v>279834</v>
      </c>
      <c r="U19" s="233">
        <v>-14054</v>
      </c>
      <c r="V19" s="233">
        <v>265780</v>
      </c>
    </row>
    <row r="20" spans="1:22">
      <c r="A20" s="226">
        <v>90101</v>
      </c>
      <c r="B20" s="227" t="s">
        <v>734</v>
      </c>
      <c r="C20" s="87">
        <v>6.3996000000000001E-3</v>
      </c>
      <c r="D20" s="87">
        <v>6.1599000000000003E-3</v>
      </c>
      <c r="E20" s="231">
        <v>2594375.06</v>
      </c>
      <c r="F20" s="231">
        <v>2764526</v>
      </c>
      <c r="G20" s="231">
        <v>13582095</v>
      </c>
      <c r="H20" s="231"/>
      <c r="I20" s="232">
        <v>255184</v>
      </c>
      <c r="J20" s="232">
        <v>11902245</v>
      </c>
      <c r="K20" s="232">
        <v>930252</v>
      </c>
      <c r="L20" s="231">
        <v>229062</v>
      </c>
      <c r="M20" s="231"/>
      <c r="N20" s="232">
        <v>475932</v>
      </c>
      <c r="O20" s="232">
        <v>4393057</v>
      </c>
      <c r="P20" s="232">
        <v>0</v>
      </c>
      <c r="Q20" s="231">
        <v>51491</v>
      </c>
      <c r="R20" s="232">
        <f t="shared" si="0"/>
        <v>7509188</v>
      </c>
      <c r="S20" s="231"/>
      <c r="T20" s="232">
        <v>3630295</v>
      </c>
      <c r="U20" s="233">
        <v>45786</v>
      </c>
      <c r="V20" s="233">
        <v>3676081</v>
      </c>
    </row>
    <row r="21" spans="1:22">
      <c r="A21" s="226">
        <v>90111</v>
      </c>
      <c r="B21" s="227" t="s">
        <v>735</v>
      </c>
      <c r="C21" s="87">
        <v>4.8874000000000001E-3</v>
      </c>
      <c r="D21" s="87">
        <v>4.9893000000000003E-3</v>
      </c>
      <c r="E21" s="231">
        <v>1973481.4</v>
      </c>
      <c r="F21" s="231">
        <v>2239168</v>
      </c>
      <c r="G21" s="231">
        <v>10372700</v>
      </c>
      <c r="H21" s="231"/>
      <c r="I21" s="232">
        <v>194885</v>
      </c>
      <c r="J21" s="232">
        <v>9089792</v>
      </c>
      <c r="K21" s="232">
        <v>710437</v>
      </c>
      <c r="L21" s="231">
        <v>0</v>
      </c>
      <c r="M21" s="231"/>
      <c r="N21" s="232">
        <v>363471</v>
      </c>
      <c r="O21" s="232">
        <v>3354995</v>
      </c>
      <c r="P21" s="232">
        <v>0</v>
      </c>
      <c r="Q21" s="231">
        <v>163983</v>
      </c>
      <c r="R21" s="232">
        <f t="shared" si="0"/>
        <v>5734797</v>
      </c>
      <c r="S21" s="231"/>
      <c r="T21" s="232">
        <v>2772471</v>
      </c>
      <c r="U21" s="233">
        <v>-57381</v>
      </c>
      <c r="V21" s="233">
        <v>2715090</v>
      </c>
    </row>
    <row r="22" spans="1:22">
      <c r="A22" s="226">
        <v>90114</v>
      </c>
      <c r="B22" s="227" t="s">
        <v>736</v>
      </c>
      <c r="C22" s="87">
        <v>1.0681E-3</v>
      </c>
      <c r="D22" s="87">
        <v>1.0043000000000001E-3</v>
      </c>
      <c r="E22" s="231">
        <v>1022991.7599999999</v>
      </c>
      <c r="F22" s="231">
        <v>450724</v>
      </c>
      <c r="G22" s="231">
        <v>2266866</v>
      </c>
      <c r="H22" s="231"/>
      <c r="I22" s="232">
        <v>42590</v>
      </c>
      <c r="J22" s="232">
        <v>1986497</v>
      </c>
      <c r="K22" s="232">
        <v>155260</v>
      </c>
      <c r="L22" s="231">
        <v>821100</v>
      </c>
      <c r="M22" s="231"/>
      <c r="N22" s="232">
        <v>79434</v>
      </c>
      <c r="O22" s="232">
        <v>733206</v>
      </c>
      <c r="P22" s="232">
        <v>0</v>
      </c>
      <c r="Q22" s="231">
        <v>0</v>
      </c>
      <c r="R22" s="232">
        <f t="shared" si="0"/>
        <v>1253291</v>
      </c>
      <c r="S22" s="231"/>
      <c r="T22" s="232">
        <v>605900</v>
      </c>
      <c r="U22" s="233">
        <v>245765</v>
      </c>
      <c r="V22" s="233">
        <v>851665</v>
      </c>
    </row>
    <row r="23" spans="1:22">
      <c r="A23" s="226">
        <v>90117</v>
      </c>
      <c r="B23" s="227" t="s">
        <v>737</v>
      </c>
      <c r="C23" s="87">
        <v>1.35E-4</v>
      </c>
      <c r="D23" s="87">
        <v>1.3019999999999999E-4</v>
      </c>
      <c r="E23" s="231">
        <v>78954.289999999994</v>
      </c>
      <c r="F23" s="231">
        <v>58433</v>
      </c>
      <c r="G23" s="231">
        <v>286515</v>
      </c>
      <c r="H23" s="231"/>
      <c r="I23" s="232">
        <v>5383.125</v>
      </c>
      <c r="J23" s="232">
        <v>251078.67</v>
      </c>
      <c r="K23" s="232">
        <v>19624</v>
      </c>
      <c r="L23" s="231">
        <v>42554</v>
      </c>
      <c r="M23" s="231"/>
      <c r="N23" s="232">
        <v>10040</v>
      </c>
      <c r="O23" s="232">
        <v>92671.83</v>
      </c>
      <c r="P23" s="232">
        <v>0</v>
      </c>
      <c r="Q23" s="231">
        <v>0</v>
      </c>
      <c r="R23" s="232">
        <f t="shared" si="0"/>
        <v>158406.84000000003</v>
      </c>
      <c r="S23" s="231"/>
      <c r="T23" s="232">
        <v>76581</v>
      </c>
      <c r="U23" s="233">
        <v>14293</v>
      </c>
      <c r="V23" s="233">
        <v>90874</v>
      </c>
    </row>
    <row r="24" spans="1:22">
      <c r="A24" s="226">
        <v>90121</v>
      </c>
      <c r="B24" s="227" t="s">
        <v>738</v>
      </c>
      <c r="C24" s="87">
        <v>1.0789E-3</v>
      </c>
      <c r="D24" s="87">
        <v>1.1057E-3</v>
      </c>
      <c r="E24" s="231">
        <v>394125.90000000008</v>
      </c>
      <c r="F24" s="231">
        <v>496232</v>
      </c>
      <c r="G24" s="231">
        <v>2289787</v>
      </c>
      <c r="H24" s="231"/>
      <c r="I24" s="232">
        <v>43021</v>
      </c>
      <c r="J24" s="232">
        <v>2006584</v>
      </c>
      <c r="K24" s="232">
        <v>156830</v>
      </c>
      <c r="L24" s="231">
        <v>6521</v>
      </c>
      <c r="M24" s="231"/>
      <c r="N24" s="232">
        <v>80237</v>
      </c>
      <c r="O24" s="232">
        <v>740620</v>
      </c>
      <c r="P24" s="232">
        <v>0</v>
      </c>
      <c r="Q24" s="231">
        <v>74370</v>
      </c>
      <c r="R24" s="232">
        <f t="shared" si="0"/>
        <v>1265964</v>
      </c>
      <c r="S24" s="231"/>
      <c r="T24" s="232">
        <v>612027</v>
      </c>
      <c r="U24" s="233">
        <v>-17947</v>
      </c>
      <c r="V24" s="233">
        <v>594079</v>
      </c>
    </row>
    <row r="25" spans="1:22">
      <c r="A25" s="226">
        <v>90131</v>
      </c>
      <c r="B25" s="227" t="s">
        <v>739</v>
      </c>
      <c r="C25" s="87">
        <v>5.0440000000000001E-4</v>
      </c>
      <c r="D25" s="87">
        <v>4.727E-4</v>
      </c>
      <c r="E25" s="231">
        <v>173703.08999999997</v>
      </c>
      <c r="F25" s="231">
        <v>212145</v>
      </c>
      <c r="G25" s="231">
        <v>1070506</v>
      </c>
      <c r="H25" s="231"/>
      <c r="I25" s="232">
        <v>20112.95</v>
      </c>
      <c r="J25" s="232">
        <v>938104</v>
      </c>
      <c r="K25" s="232">
        <v>73320</v>
      </c>
      <c r="L25" s="231">
        <v>0</v>
      </c>
      <c r="M25" s="231"/>
      <c r="N25" s="232">
        <v>37512</v>
      </c>
      <c r="O25" s="232">
        <v>346249</v>
      </c>
      <c r="P25" s="232">
        <v>0</v>
      </c>
      <c r="Q25" s="231">
        <v>23072</v>
      </c>
      <c r="R25" s="232">
        <f t="shared" si="0"/>
        <v>591855</v>
      </c>
      <c r="S25" s="231"/>
      <c r="T25" s="232">
        <v>286130</v>
      </c>
      <c r="U25" s="233">
        <v>-8951</v>
      </c>
      <c r="V25" s="233">
        <v>277180</v>
      </c>
    </row>
    <row r="26" spans="1:22">
      <c r="A26" s="226">
        <v>90141</v>
      </c>
      <c r="B26" s="227" t="s">
        <v>740</v>
      </c>
      <c r="C26" s="87">
        <v>1.306E-4</v>
      </c>
      <c r="D26" s="87">
        <v>1.5919999999999999E-4</v>
      </c>
      <c r="E26" s="231">
        <v>55925.87</v>
      </c>
      <c r="F26" s="231">
        <v>71448</v>
      </c>
      <c r="G26" s="231">
        <v>277177</v>
      </c>
      <c r="H26" s="231"/>
      <c r="I26" s="232">
        <v>5208</v>
      </c>
      <c r="J26" s="232">
        <v>242895</v>
      </c>
      <c r="K26" s="232">
        <v>18984</v>
      </c>
      <c r="L26" s="231">
        <v>2143</v>
      </c>
      <c r="M26" s="231"/>
      <c r="N26" s="232">
        <v>9713</v>
      </c>
      <c r="O26" s="232">
        <v>89651</v>
      </c>
      <c r="P26" s="232">
        <v>0</v>
      </c>
      <c r="Q26" s="231">
        <v>13732</v>
      </c>
      <c r="R26" s="232">
        <f t="shared" si="0"/>
        <v>153244</v>
      </c>
      <c r="S26" s="231"/>
      <c r="T26" s="232">
        <v>74085</v>
      </c>
      <c r="U26" s="233">
        <v>-2701</v>
      </c>
      <c r="V26" s="233">
        <v>71385</v>
      </c>
    </row>
    <row r="27" spans="1:22">
      <c r="A27" s="226">
        <v>90151</v>
      </c>
      <c r="B27" s="227" t="s">
        <v>741</v>
      </c>
      <c r="C27" s="87">
        <v>1.0000000000000001E-5</v>
      </c>
      <c r="D27" s="87">
        <v>9.7999999999999993E-6</v>
      </c>
      <c r="E27" s="231">
        <v>2703</v>
      </c>
      <c r="F27" s="231">
        <v>4398</v>
      </c>
      <c r="G27" s="231">
        <v>21223</v>
      </c>
      <c r="H27" s="231"/>
      <c r="I27" s="232">
        <v>399</v>
      </c>
      <c r="J27" s="232">
        <v>18598</v>
      </c>
      <c r="K27" s="232">
        <v>1454</v>
      </c>
      <c r="L27" s="231">
        <v>0</v>
      </c>
      <c r="M27" s="231"/>
      <c r="N27" s="232">
        <v>743.69</v>
      </c>
      <c r="O27" s="232">
        <v>6865</v>
      </c>
      <c r="P27" s="232">
        <v>0</v>
      </c>
      <c r="Q27" s="231">
        <v>2266</v>
      </c>
      <c r="R27" s="232">
        <f t="shared" si="0"/>
        <v>11733</v>
      </c>
      <c r="S27" s="231"/>
      <c r="T27" s="232">
        <v>5673</v>
      </c>
      <c r="U27" s="233">
        <v>-782</v>
      </c>
      <c r="V27" s="233">
        <v>4891</v>
      </c>
    </row>
    <row r="28" spans="1:22">
      <c r="A28" s="226">
        <v>90161</v>
      </c>
      <c r="B28" s="227" t="s">
        <v>742</v>
      </c>
      <c r="C28" s="87">
        <v>3.4799999999999999E-5</v>
      </c>
      <c r="D28" s="87">
        <v>2.6299999999999999E-5</v>
      </c>
      <c r="E28" s="231">
        <v>13115.62</v>
      </c>
      <c r="F28" s="231">
        <v>11803</v>
      </c>
      <c r="G28" s="231">
        <v>73857</v>
      </c>
      <c r="H28" s="231"/>
      <c r="I28" s="232">
        <v>1388</v>
      </c>
      <c r="J28" s="232">
        <v>64723</v>
      </c>
      <c r="K28" s="232">
        <v>5059</v>
      </c>
      <c r="L28" s="231">
        <v>5728</v>
      </c>
      <c r="M28" s="231"/>
      <c r="N28" s="232">
        <v>2588</v>
      </c>
      <c r="O28" s="232">
        <v>23889</v>
      </c>
      <c r="P28" s="232">
        <v>0</v>
      </c>
      <c r="Q28" s="231">
        <v>0</v>
      </c>
      <c r="R28" s="232">
        <f t="shared" si="0"/>
        <v>40834</v>
      </c>
      <c r="S28" s="231"/>
      <c r="T28" s="232">
        <v>19741</v>
      </c>
      <c r="U28" s="233">
        <v>1706</v>
      </c>
      <c r="V28" s="233">
        <v>21447</v>
      </c>
    </row>
    <row r="29" spans="1:22">
      <c r="A29" s="226">
        <v>90201</v>
      </c>
      <c r="B29" s="227" t="s">
        <v>743</v>
      </c>
      <c r="C29" s="87">
        <v>1.2419E-3</v>
      </c>
      <c r="D29" s="87">
        <v>1.1842999999999999E-3</v>
      </c>
      <c r="E29" s="231">
        <v>470870.10999999993</v>
      </c>
      <c r="F29" s="231">
        <v>531507</v>
      </c>
      <c r="G29" s="231">
        <v>2635728</v>
      </c>
      <c r="H29" s="231"/>
      <c r="I29" s="232">
        <v>49521</v>
      </c>
      <c r="J29" s="232">
        <v>2309738</v>
      </c>
      <c r="K29" s="232">
        <v>180524</v>
      </c>
      <c r="L29" s="231">
        <v>70694</v>
      </c>
      <c r="M29" s="231"/>
      <c r="N29" s="232">
        <v>92359</v>
      </c>
      <c r="O29" s="232">
        <v>852512</v>
      </c>
      <c r="P29" s="232">
        <v>0</v>
      </c>
      <c r="Q29" s="231">
        <v>450</v>
      </c>
      <c r="R29" s="232">
        <f t="shared" si="0"/>
        <v>1457226</v>
      </c>
      <c r="S29" s="231"/>
      <c r="T29" s="232">
        <v>704491</v>
      </c>
      <c r="U29" s="233">
        <v>33957</v>
      </c>
      <c r="V29" s="233">
        <v>738448</v>
      </c>
    </row>
    <row r="30" spans="1:22">
      <c r="A30" s="226">
        <v>90203</v>
      </c>
      <c r="B30" s="227" t="s">
        <v>744</v>
      </c>
      <c r="C30" s="87">
        <v>2.3680000000000001E-4</v>
      </c>
      <c r="D30" s="87">
        <v>2.7530000000000002E-4</v>
      </c>
      <c r="E30" s="231">
        <v>95317.989999999991</v>
      </c>
      <c r="F30" s="231">
        <v>123553</v>
      </c>
      <c r="G30" s="231">
        <v>502569</v>
      </c>
      <c r="H30" s="231"/>
      <c r="I30" s="232">
        <v>9442.4</v>
      </c>
      <c r="J30" s="232">
        <v>440411</v>
      </c>
      <c r="K30" s="232">
        <v>34421</v>
      </c>
      <c r="L30" s="231">
        <v>3338</v>
      </c>
      <c r="M30" s="231"/>
      <c r="N30" s="232">
        <v>17611</v>
      </c>
      <c r="O30" s="232">
        <v>162553</v>
      </c>
      <c r="P30" s="232">
        <v>0</v>
      </c>
      <c r="Q30" s="231">
        <v>36458</v>
      </c>
      <c r="R30" s="232">
        <f t="shared" si="0"/>
        <v>277858</v>
      </c>
      <c r="S30" s="231"/>
      <c r="T30" s="232">
        <v>134329</v>
      </c>
      <c r="U30" s="233">
        <v>-11660</v>
      </c>
      <c r="V30" s="233">
        <v>122669</v>
      </c>
    </row>
    <row r="31" spans="1:22">
      <c r="A31" s="226">
        <v>90205</v>
      </c>
      <c r="B31" s="227" t="s">
        <v>745</v>
      </c>
      <c r="C31" s="87">
        <v>3.3599999999999997E-5</v>
      </c>
      <c r="D31" s="87">
        <v>3.5299999999999997E-5</v>
      </c>
      <c r="E31" s="231">
        <v>13992.72</v>
      </c>
      <c r="F31" s="231">
        <v>15842</v>
      </c>
      <c r="G31" s="231">
        <v>71310</v>
      </c>
      <c r="H31" s="231"/>
      <c r="I31" s="232">
        <v>1339.8</v>
      </c>
      <c r="J31" s="232">
        <v>62491</v>
      </c>
      <c r="K31" s="232">
        <v>4884</v>
      </c>
      <c r="L31" s="231">
        <v>1378</v>
      </c>
      <c r="M31" s="231"/>
      <c r="N31" s="232">
        <v>2499</v>
      </c>
      <c r="O31" s="232">
        <v>23065</v>
      </c>
      <c r="P31" s="232">
        <v>0</v>
      </c>
      <c r="Q31" s="231">
        <v>782</v>
      </c>
      <c r="R31" s="232">
        <f t="shared" si="0"/>
        <v>39426</v>
      </c>
      <c r="S31" s="231"/>
      <c r="T31" s="232">
        <v>19060</v>
      </c>
      <c r="U31" s="233">
        <v>406</v>
      </c>
      <c r="V31" s="233">
        <v>19467</v>
      </c>
    </row>
    <row r="32" spans="1:22">
      <c r="A32" s="226">
        <v>90206</v>
      </c>
      <c r="B32" s="227" t="s">
        <v>746</v>
      </c>
      <c r="C32" s="87">
        <v>4.347E-4</v>
      </c>
      <c r="D32" s="87">
        <v>4.3810000000000002E-4</v>
      </c>
      <c r="E32" s="231">
        <v>170440.57</v>
      </c>
      <c r="F32" s="231">
        <v>196617</v>
      </c>
      <c r="G32" s="231">
        <v>922579</v>
      </c>
      <c r="H32" s="231"/>
      <c r="I32" s="232">
        <v>17334</v>
      </c>
      <c r="J32" s="232">
        <v>808473</v>
      </c>
      <c r="K32" s="232">
        <v>63188</v>
      </c>
      <c r="L32" s="231">
        <v>18047</v>
      </c>
      <c r="M32" s="231"/>
      <c r="N32" s="232">
        <v>32328</v>
      </c>
      <c r="O32" s="232">
        <v>298403</v>
      </c>
      <c r="P32" s="232">
        <v>0</v>
      </c>
      <c r="Q32" s="231">
        <v>12515</v>
      </c>
      <c r="R32" s="232">
        <f t="shared" si="0"/>
        <v>510070</v>
      </c>
      <c r="S32" s="231"/>
      <c r="T32" s="232">
        <v>246592</v>
      </c>
      <c r="U32" s="233">
        <v>5439</v>
      </c>
      <c r="V32" s="233">
        <v>252031</v>
      </c>
    </row>
    <row r="33" spans="1:22">
      <c r="A33" s="226">
        <v>90211</v>
      </c>
      <c r="B33" s="227" t="s">
        <v>747</v>
      </c>
      <c r="C33" s="87">
        <v>1.5689999999999999E-4</v>
      </c>
      <c r="D33" s="87">
        <v>1.708E-4</v>
      </c>
      <c r="E33" s="231">
        <v>58969.799999999996</v>
      </c>
      <c r="F33" s="231">
        <v>76654</v>
      </c>
      <c r="G33" s="231">
        <v>332994</v>
      </c>
      <c r="H33" s="231"/>
      <c r="I33" s="232">
        <v>6256</v>
      </c>
      <c r="J33" s="232">
        <v>291809</v>
      </c>
      <c r="K33" s="232">
        <v>22807</v>
      </c>
      <c r="L33" s="231">
        <v>0</v>
      </c>
      <c r="M33" s="231"/>
      <c r="N33" s="232">
        <v>11668</v>
      </c>
      <c r="O33" s="232">
        <v>107705</v>
      </c>
      <c r="P33" s="232">
        <v>0</v>
      </c>
      <c r="Q33" s="231">
        <v>17335</v>
      </c>
      <c r="R33" s="232">
        <f t="shared" si="0"/>
        <v>184104</v>
      </c>
      <c r="S33" s="231"/>
      <c r="T33" s="232">
        <v>89005</v>
      </c>
      <c r="U33" s="233">
        <v>-5305</v>
      </c>
      <c r="V33" s="233">
        <v>83699</v>
      </c>
    </row>
    <row r="34" spans="1:22">
      <c r="A34" s="226">
        <v>90301</v>
      </c>
      <c r="B34" s="227" t="s">
        <v>748</v>
      </c>
      <c r="C34" s="87">
        <v>6.4000000000000005E-4</v>
      </c>
      <c r="D34" s="87">
        <v>6.2489999999999996E-4</v>
      </c>
      <c r="E34" s="231">
        <v>241334.31</v>
      </c>
      <c r="F34" s="231">
        <v>280451</v>
      </c>
      <c r="G34" s="231">
        <v>1358294</v>
      </c>
      <c r="H34" s="231"/>
      <c r="I34" s="232">
        <v>25520</v>
      </c>
      <c r="J34" s="232">
        <v>1190299</v>
      </c>
      <c r="K34" s="232">
        <v>93031</v>
      </c>
      <c r="L34" s="231">
        <v>6684</v>
      </c>
      <c r="M34" s="231"/>
      <c r="N34" s="232">
        <v>47596.160000000003</v>
      </c>
      <c r="O34" s="232">
        <v>439333</v>
      </c>
      <c r="P34" s="232">
        <v>0</v>
      </c>
      <c r="Q34" s="231">
        <v>19561</v>
      </c>
      <c r="R34" s="232">
        <f t="shared" si="0"/>
        <v>750966</v>
      </c>
      <c r="S34" s="231"/>
      <c r="T34" s="232">
        <v>363052</v>
      </c>
      <c r="U34" s="233">
        <v>-5224</v>
      </c>
      <c r="V34" s="233">
        <v>357828</v>
      </c>
    </row>
    <row r="35" spans="1:22">
      <c r="A35" s="226">
        <v>90305</v>
      </c>
      <c r="B35" s="227" t="s">
        <v>749</v>
      </c>
      <c r="C35" s="87">
        <v>1.7009999999999999E-4</v>
      </c>
      <c r="D35" s="87">
        <v>1.773E-4</v>
      </c>
      <c r="E35" s="231">
        <v>84901.17</v>
      </c>
      <c r="F35" s="231">
        <v>79571</v>
      </c>
      <c r="G35" s="231">
        <v>361009</v>
      </c>
      <c r="H35" s="231"/>
      <c r="I35" s="232">
        <v>6783</v>
      </c>
      <c r="J35" s="232">
        <v>316359</v>
      </c>
      <c r="K35" s="232">
        <v>24726</v>
      </c>
      <c r="L35" s="231">
        <v>26122</v>
      </c>
      <c r="M35" s="231"/>
      <c r="N35" s="232">
        <v>12650</v>
      </c>
      <c r="O35" s="232">
        <v>116767</v>
      </c>
      <c r="P35" s="232">
        <v>0</v>
      </c>
      <c r="Q35" s="231">
        <v>0</v>
      </c>
      <c r="R35" s="232">
        <f t="shared" si="0"/>
        <v>199592</v>
      </c>
      <c r="S35" s="231"/>
      <c r="T35" s="232">
        <v>96492</v>
      </c>
      <c r="U35" s="233">
        <v>9101</v>
      </c>
      <c r="V35" s="233">
        <v>105594</v>
      </c>
    </row>
    <row r="36" spans="1:22">
      <c r="A36" s="226">
        <v>90307</v>
      </c>
      <c r="B36" s="227" t="s">
        <v>750</v>
      </c>
      <c r="C36" s="87">
        <v>7.7000000000000008E-6</v>
      </c>
      <c r="D36" s="87">
        <v>8.4999999999999999E-6</v>
      </c>
      <c r="E36" s="231">
        <v>3744.0999999999995</v>
      </c>
      <c r="F36" s="231">
        <v>3815</v>
      </c>
      <c r="G36" s="231">
        <v>16342</v>
      </c>
      <c r="H36" s="231"/>
      <c r="I36" s="232">
        <v>307</v>
      </c>
      <c r="J36" s="232">
        <v>14321</v>
      </c>
      <c r="K36" s="232">
        <v>1119</v>
      </c>
      <c r="L36" s="231">
        <v>213</v>
      </c>
      <c r="M36" s="231"/>
      <c r="N36" s="232">
        <v>573</v>
      </c>
      <c r="O36" s="232">
        <v>5286</v>
      </c>
      <c r="P36" s="232">
        <v>0</v>
      </c>
      <c r="Q36" s="231">
        <v>80</v>
      </c>
      <c r="R36" s="232">
        <f t="shared" si="0"/>
        <v>9035</v>
      </c>
      <c r="S36" s="231"/>
      <c r="T36" s="232">
        <v>4368</v>
      </c>
      <c r="U36" s="233">
        <v>33</v>
      </c>
      <c r="V36" s="233">
        <v>4401</v>
      </c>
    </row>
    <row r="37" spans="1:22">
      <c r="A37" s="226">
        <v>90401</v>
      </c>
      <c r="B37" s="227" t="s">
        <v>751</v>
      </c>
      <c r="C37" s="87">
        <v>1.3626999999999999E-3</v>
      </c>
      <c r="D37" s="87">
        <v>1.359E-3</v>
      </c>
      <c r="E37" s="231">
        <v>569788.09</v>
      </c>
      <c r="F37" s="231">
        <v>609911</v>
      </c>
      <c r="G37" s="231">
        <v>2892106</v>
      </c>
      <c r="H37" s="231"/>
      <c r="I37" s="232">
        <v>54338</v>
      </c>
      <c r="J37" s="232">
        <v>2534407</v>
      </c>
      <c r="K37" s="232">
        <v>198083</v>
      </c>
      <c r="L37" s="231">
        <v>70826</v>
      </c>
      <c r="M37" s="231"/>
      <c r="N37" s="232">
        <v>101343</v>
      </c>
      <c r="O37" s="232">
        <v>935436</v>
      </c>
      <c r="P37" s="232">
        <v>0</v>
      </c>
      <c r="Q37" s="231">
        <v>0</v>
      </c>
      <c r="R37" s="232">
        <f t="shared" si="0"/>
        <v>1598971</v>
      </c>
      <c r="S37" s="231"/>
      <c r="T37" s="232">
        <v>773017</v>
      </c>
      <c r="U37" s="233">
        <v>26807</v>
      </c>
      <c r="V37" s="233">
        <v>799824</v>
      </c>
    </row>
    <row r="38" spans="1:22">
      <c r="A38" s="226">
        <v>90411</v>
      </c>
      <c r="B38" s="227" t="s">
        <v>752</v>
      </c>
      <c r="C38" s="87">
        <v>3.5490000000000001E-4</v>
      </c>
      <c r="D38" s="87">
        <v>4.0069999999999998E-4</v>
      </c>
      <c r="E38" s="231">
        <v>139271.16</v>
      </c>
      <c r="F38" s="231">
        <v>179832</v>
      </c>
      <c r="G38" s="231">
        <v>753217</v>
      </c>
      <c r="H38" s="231"/>
      <c r="I38" s="232">
        <v>14152</v>
      </c>
      <c r="J38" s="232">
        <v>660058</v>
      </c>
      <c r="K38" s="232">
        <v>51589</v>
      </c>
      <c r="L38" s="231">
        <v>0</v>
      </c>
      <c r="M38" s="231"/>
      <c r="N38" s="232">
        <v>26394</v>
      </c>
      <c r="O38" s="232">
        <v>243624</v>
      </c>
      <c r="P38" s="232">
        <v>0</v>
      </c>
      <c r="Q38" s="231">
        <v>45866</v>
      </c>
      <c r="R38" s="232">
        <f t="shared" si="0"/>
        <v>416434</v>
      </c>
      <c r="S38" s="231"/>
      <c r="T38" s="232">
        <v>201324</v>
      </c>
      <c r="U38" s="233">
        <v>-13553</v>
      </c>
      <c r="V38" s="233">
        <v>187770</v>
      </c>
    </row>
    <row r="39" spans="1:22">
      <c r="A39" s="226">
        <v>90413</v>
      </c>
      <c r="B39" s="227" t="s">
        <v>753</v>
      </c>
      <c r="C39" s="87">
        <v>3.7299999999999999E-5</v>
      </c>
      <c r="D39" s="87">
        <v>3.6399999999999997E-5</v>
      </c>
      <c r="E39" s="231">
        <v>16559.900000000001</v>
      </c>
      <c r="F39" s="231">
        <v>16336</v>
      </c>
      <c r="G39" s="231">
        <v>79163</v>
      </c>
      <c r="H39" s="231"/>
      <c r="I39" s="232">
        <v>1487</v>
      </c>
      <c r="J39" s="232">
        <v>69372</v>
      </c>
      <c r="K39" s="232">
        <v>5422</v>
      </c>
      <c r="L39" s="231">
        <v>9568</v>
      </c>
      <c r="M39" s="231"/>
      <c r="N39" s="232">
        <v>2774</v>
      </c>
      <c r="O39" s="232">
        <v>25605</v>
      </c>
      <c r="P39" s="232">
        <v>0</v>
      </c>
      <c r="Q39" s="231">
        <v>0</v>
      </c>
      <c r="R39" s="232">
        <f t="shared" si="0"/>
        <v>43767</v>
      </c>
      <c r="S39" s="231"/>
      <c r="T39" s="232">
        <v>21159</v>
      </c>
      <c r="U39" s="233">
        <v>3645</v>
      </c>
      <c r="V39" s="233">
        <v>24804</v>
      </c>
    </row>
    <row r="40" spans="1:22">
      <c r="A40" s="226">
        <v>90417</v>
      </c>
      <c r="B40" s="227" t="s">
        <v>754</v>
      </c>
      <c r="C40" s="87">
        <v>1.2099999999999999E-5</v>
      </c>
      <c r="D40" s="87">
        <v>1.38E-5</v>
      </c>
      <c r="E40" s="231">
        <v>7491.5899999999983</v>
      </c>
      <c r="F40" s="231">
        <v>6193</v>
      </c>
      <c r="G40" s="231">
        <v>25680</v>
      </c>
      <c r="H40" s="231"/>
      <c r="I40" s="232">
        <v>482</v>
      </c>
      <c r="J40" s="232">
        <v>22504</v>
      </c>
      <c r="K40" s="232">
        <v>1759</v>
      </c>
      <c r="L40" s="231">
        <v>2032</v>
      </c>
      <c r="M40" s="231"/>
      <c r="N40" s="232">
        <v>900</v>
      </c>
      <c r="O40" s="232">
        <v>8306</v>
      </c>
      <c r="P40" s="232">
        <v>0</v>
      </c>
      <c r="Q40" s="231">
        <v>0</v>
      </c>
      <c r="R40" s="232">
        <f t="shared" si="0"/>
        <v>14198</v>
      </c>
      <c r="S40" s="231"/>
      <c r="T40" s="232">
        <v>6864</v>
      </c>
      <c r="U40" s="233">
        <v>687</v>
      </c>
      <c r="V40" s="233">
        <v>7551</v>
      </c>
    </row>
    <row r="41" spans="1:22">
      <c r="A41" s="226">
        <v>90421</v>
      </c>
      <c r="B41" s="227" t="s">
        <v>755</v>
      </c>
      <c r="C41" s="87">
        <v>2.3600000000000001E-5</v>
      </c>
      <c r="D41" s="87">
        <v>2.4700000000000001E-5</v>
      </c>
      <c r="E41" s="231">
        <v>7745.31</v>
      </c>
      <c r="F41" s="231">
        <v>11085</v>
      </c>
      <c r="G41" s="231">
        <v>50087</v>
      </c>
      <c r="H41" s="231"/>
      <c r="I41" s="232">
        <v>941</v>
      </c>
      <c r="J41" s="232">
        <v>43892</v>
      </c>
      <c r="K41" s="232">
        <v>3431</v>
      </c>
      <c r="L41" s="231">
        <v>0</v>
      </c>
      <c r="M41" s="231"/>
      <c r="N41" s="232">
        <v>1755</v>
      </c>
      <c r="O41" s="232">
        <v>16200</v>
      </c>
      <c r="P41" s="232">
        <v>0</v>
      </c>
      <c r="Q41" s="231">
        <v>3590</v>
      </c>
      <c r="R41" s="232">
        <f t="shared" si="0"/>
        <v>27692</v>
      </c>
      <c r="S41" s="231"/>
      <c r="T41" s="232">
        <v>13388</v>
      </c>
      <c r="U41" s="233">
        <v>-1226</v>
      </c>
      <c r="V41" s="233">
        <v>12162</v>
      </c>
    </row>
    <row r="42" spans="1:22">
      <c r="A42" s="226">
        <v>90431</v>
      </c>
      <c r="B42" s="227" t="s">
        <v>756</v>
      </c>
      <c r="C42" s="87">
        <v>4.2799999999999997E-5</v>
      </c>
      <c r="D42" s="87">
        <v>4.7599999999999998E-5</v>
      </c>
      <c r="E42" s="231">
        <v>18711.07</v>
      </c>
      <c r="F42" s="231">
        <v>21363</v>
      </c>
      <c r="G42" s="231">
        <v>90836</v>
      </c>
      <c r="H42" s="231"/>
      <c r="I42" s="232">
        <v>1707</v>
      </c>
      <c r="J42" s="232">
        <v>79601</v>
      </c>
      <c r="K42" s="232">
        <v>6221</v>
      </c>
      <c r="L42" s="231">
        <v>8478</v>
      </c>
      <c r="M42" s="231"/>
      <c r="N42" s="232">
        <v>3183</v>
      </c>
      <c r="O42" s="232">
        <v>29380</v>
      </c>
      <c r="P42" s="232">
        <v>0</v>
      </c>
      <c r="Q42" s="231">
        <v>1719</v>
      </c>
      <c r="R42" s="232">
        <f t="shared" si="0"/>
        <v>50221</v>
      </c>
      <c r="S42" s="231"/>
      <c r="T42" s="232">
        <v>24279</v>
      </c>
      <c r="U42" s="233">
        <v>2793</v>
      </c>
      <c r="V42" s="233">
        <v>27072</v>
      </c>
    </row>
    <row r="43" spans="1:22">
      <c r="A43" s="226">
        <v>90441</v>
      </c>
      <c r="B43" s="227" t="s">
        <v>757</v>
      </c>
      <c r="C43" s="87">
        <v>9.3999999999999998E-6</v>
      </c>
      <c r="D43" s="87">
        <v>1.03E-5</v>
      </c>
      <c r="E43" s="231">
        <v>4675.0599999999995</v>
      </c>
      <c r="F43" s="231">
        <v>4623</v>
      </c>
      <c r="G43" s="231">
        <v>19950</v>
      </c>
      <c r="H43" s="231"/>
      <c r="I43" s="232">
        <v>374.82499999999999</v>
      </c>
      <c r="J43" s="232">
        <v>17483</v>
      </c>
      <c r="K43" s="232">
        <v>1366</v>
      </c>
      <c r="L43" s="231">
        <v>1367</v>
      </c>
      <c r="M43" s="231"/>
      <c r="N43" s="232">
        <v>699</v>
      </c>
      <c r="O43" s="232">
        <v>6453</v>
      </c>
      <c r="P43" s="232">
        <v>0</v>
      </c>
      <c r="Q43" s="231">
        <v>200</v>
      </c>
      <c r="R43" s="232">
        <f t="shared" si="0"/>
        <v>11030</v>
      </c>
      <c r="S43" s="231"/>
      <c r="T43" s="232">
        <v>5332</v>
      </c>
      <c r="U43" s="233">
        <v>578</v>
      </c>
      <c r="V43" s="233">
        <v>5911</v>
      </c>
    </row>
    <row r="44" spans="1:22">
      <c r="A44" s="226">
        <v>90451</v>
      </c>
      <c r="B44" s="227" t="s">
        <v>758</v>
      </c>
      <c r="C44" s="87">
        <v>1.7900000000000001E-5</v>
      </c>
      <c r="D44" s="87">
        <v>1.2099999999999999E-5</v>
      </c>
      <c r="E44" s="231">
        <v>6772.25</v>
      </c>
      <c r="F44" s="231">
        <v>5430</v>
      </c>
      <c r="G44" s="231">
        <v>37990</v>
      </c>
      <c r="H44" s="231"/>
      <c r="I44" s="232">
        <v>713.76250000000005</v>
      </c>
      <c r="J44" s="232">
        <v>33291</v>
      </c>
      <c r="K44" s="232">
        <v>2602</v>
      </c>
      <c r="L44" s="231">
        <v>3118</v>
      </c>
      <c r="M44" s="231"/>
      <c r="N44" s="232">
        <v>1331</v>
      </c>
      <c r="O44" s="232">
        <v>12288</v>
      </c>
      <c r="P44" s="232">
        <v>0</v>
      </c>
      <c r="Q44" s="231">
        <v>288</v>
      </c>
      <c r="R44" s="232">
        <f t="shared" si="0"/>
        <v>21003</v>
      </c>
      <c r="S44" s="231"/>
      <c r="T44" s="232">
        <v>10154</v>
      </c>
      <c r="U44" s="233">
        <v>814</v>
      </c>
      <c r="V44" s="233">
        <v>10968</v>
      </c>
    </row>
    <row r="45" spans="1:22">
      <c r="A45" s="226">
        <v>90461</v>
      </c>
      <c r="B45" s="227" t="s">
        <v>759</v>
      </c>
      <c r="C45" s="87">
        <v>1.7200000000000001E-5</v>
      </c>
      <c r="D45" s="87">
        <v>1.7200000000000001E-5</v>
      </c>
      <c r="E45" s="231">
        <v>6466.34</v>
      </c>
      <c r="F45" s="231">
        <v>7719</v>
      </c>
      <c r="G45" s="231">
        <v>36504</v>
      </c>
      <c r="H45" s="231"/>
      <c r="I45" s="232">
        <v>685.85</v>
      </c>
      <c r="J45" s="232">
        <v>31989</v>
      </c>
      <c r="K45" s="232">
        <v>2500</v>
      </c>
      <c r="L45" s="231">
        <v>4750</v>
      </c>
      <c r="M45" s="231"/>
      <c r="N45" s="232">
        <v>1279</v>
      </c>
      <c r="O45" s="232">
        <v>11807</v>
      </c>
      <c r="P45" s="232">
        <v>0</v>
      </c>
      <c r="Q45" s="231">
        <v>2426</v>
      </c>
      <c r="R45" s="232">
        <f t="shared" si="0"/>
        <v>20182</v>
      </c>
      <c r="S45" s="231"/>
      <c r="T45" s="232">
        <v>9757</v>
      </c>
      <c r="U45" s="233">
        <v>583</v>
      </c>
      <c r="V45" s="233">
        <v>10340</v>
      </c>
    </row>
    <row r="46" spans="1:22">
      <c r="A46" s="226">
        <v>90501</v>
      </c>
      <c r="B46" s="227" t="s">
        <v>760</v>
      </c>
      <c r="C46" s="87">
        <v>1.4001E-3</v>
      </c>
      <c r="D46" s="87">
        <v>1.4352E-3</v>
      </c>
      <c r="E46" s="231">
        <v>603983.42999999993</v>
      </c>
      <c r="F46" s="231">
        <v>644109</v>
      </c>
      <c r="G46" s="231">
        <v>2971481</v>
      </c>
      <c r="H46" s="231"/>
      <c r="I46" s="232">
        <v>55829</v>
      </c>
      <c r="J46" s="232">
        <v>2603965</v>
      </c>
      <c r="K46" s="232">
        <v>203520</v>
      </c>
      <c r="L46" s="231">
        <v>46994</v>
      </c>
      <c r="M46" s="231"/>
      <c r="N46" s="232">
        <v>104124</v>
      </c>
      <c r="O46" s="232">
        <v>961110</v>
      </c>
      <c r="P46" s="232">
        <v>0</v>
      </c>
      <c r="Q46" s="231">
        <v>0</v>
      </c>
      <c r="R46" s="232">
        <f t="shared" si="0"/>
        <v>1642855</v>
      </c>
      <c r="S46" s="231"/>
      <c r="T46" s="232">
        <v>794233</v>
      </c>
      <c r="U46" s="233">
        <v>20332</v>
      </c>
      <c r="V46" s="233">
        <v>814566</v>
      </c>
    </row>
    <row r="47" spans="1:22">
      <c r="A47" s="226">
        <v>90507</v>
      </c>
      <c r="B47" s="227" t="s">
        <v>34</v>
      </c>
      <c r="C47" s="87">
        <v>7.3000000000000004E-6</v>
      </c>
      <c r="D47" s="87">
        <v>7.7000000000000008E-6</v>
      </c>
      <c r="E47" s="231">
        <v>9534.18</v>
      </c>
      <c r="F47" s="231">
        <v>3456</v>
      </c>
      <c r="G47" s="231">
        <v>15493</v>
      </c>
      <c r="H47" s="231"/>
      <c r="I47" s="232">
        <v>291</v>
      </c>
      <c r="J47" s="232">
        <v>13577</v>
      </c>
      <c r="K47" s="232">
        <v>1061</v>
      </c>
      <c r="L47" s="231">
        <v>8871</v>
      </c>
      <c r="M47" s="231"/>
      <c r="N47" s="232">
        <v>543</v>
      </c>
      <c r="O47" s="232">
        <v>5011</v>
      </c>
      <c r="P47" s="232">
        <v>0</v>
      </c>
      <c r="Q47" s="231">
        <v>0</v>
      </c>
      <c r="R47" s="232">
        <f t="shared" si="0"/>
        <v>8566</v>
      </c>
      <c r="S47" s="231"/>
      <c r="T47" s="232">
        <v>4141</v>
      </c>
      <c r="U47" s="233">
        <v>2759</v>
      </c>
      <c r="V47" s="233">
        <v>6900</v>
      </c>
    </row>
    <row r="48" spans="1:22">
      <c r="A48" s="226">
        <v>90511</v>
      </c>
      <c r="B48" s="227" t="s">
        <v>761</v>
      </c>
      <c r="C48" s="87">
        <v>9.5500000000000004E-5</v>
      </c>
      <c r="D48" s="87">
        <v>9.0699999999999996E-5</v>
      </c>
      <c r="E48" s="231">
        <v>45634.76</v>
      </c>
      <c r="F48" s="231">
        <v>40706</v>
      </c>
      <c r="G48" s="231">
        <v>202683</v>
      </c>
      <c r="H48" s="231"/>
      <c r="I48" s="232">
        <v>3808.0625</v>
      </c>
      <c r="J48" s="232">
        <v>177615</v>
      </c>
      <c r="K48" s="232">
        <v>13882</v>
      </c>
      <c r="L48" s="231">
        <v>15579</v>
      </c>
      <c r="M48" s="231"/>
      <c r="N48" s="232">
        <v>7102</v>
      </c>
      <c r="O48" s="232">
        <v>65557</v>
      </c>
      <c r="P48" s="232">
        <v>0</v>
      </c>
      <c r="Q48" s="231">
        <v>0</v>
      </c>
      <c r="R48" s="232">
        <f t="shared" si="0"/>
        <v>112058</v>
      </c>
      <c r="S48" s="231"/>
      <c r="T48" s="232">
        <v>54174</v>
      </c>
      <c r="U48" s="233">
        <v>5418</v>
      </c>
      <c r="V48" s="233">
        <v>59592</v>
      </c>
    </row>
    <row r="49" spans="1:22">
      <c r="A49" s="226">
        <v>90521</v>
      </c>
      <c r="B49" s="227" t="s">
        <v>762</v>
      </c>
      <c r="C49" s="87">
        <v>1.395E-4</v>
      </c>
      <c r="D49" s="87">
        <v>1.451E-4</v>
      </c>
      <c r="E49" s="231">
        <v>47723.41</v>
      </c>
      <c r="F49" s="231">
        <v>65120</v>
      </c>
      <c r="G49" s="231">
        <v>296066</v>
      </c>
      <c r="H49" s="231"/>
      <c r="I49" s="232">
        <v>5562.5625</v>
      </c>
      <c r="J49" s="232">
        <v>259448</v>
      </c>
      <c r="K49" s="232">
        <v>20278</v>
      </c>
      <c r="L49" s="231">
        <v>0</v>
      </c>
      <c r="M49" s="231"/>
      <c r="N49" s="232">
        <v>10374</v>
      </c>
      <c r="O49" s="232">
        <v>95761</v>
      </c>
      <c r="P49" s="232">
        <v>0</v>
      </c>
      <c r="Q49" s="231">
        <v>17468</v>
      </c>
      <c r="R49" s="232">
        <f t="shared" si="0"/>
        <v>163687</v>
      </c>
      <c r="S49" s="231"/>
      <c r="T49" s="232">
        <v>79134</v>
      </c>
      <c r="U49" s="233">
        <v>-5509</v>
      </c>
      <c r="V49" s="233">
        <v>73625</v>
      </c>
    </row>
    <row r="50" spans="1:22">
      <c r="A50" s="226">
        <v>90601</v>
      </c>
      <c r="B50" s="227" t="s">
        <v>763</v>
      </c>
      <c r="C50" s="87">
        <v>1.1785999999999999E-3</v>
      </c>
      <c r="D50" s="87">
        <v>1.2051E-3</v>
      </c>
      <c r="E50" s="231">
        <v>469146.06</v>
      </c>
      <c r="F50" s="231">
        <v>540842</v>
      </c>
      <c r="G50" s="231">
        <v>2501384</v>
      </c>
      <c r="H50" s="231"/>
      <c r="I50" s="232">
        <v>46997</v>
      </c>
      <c r="J50" s="232">
        <v>2192010</v>
      </c>
      <c r="K50" s="232">
        <v>171322</v>
      </c>
      <c r="L50" s="231">
        <v>32298</v>
      </c>
      <c r="M50" s="231"/>
      <c r="N50" s="232">
        <v>87651</v>
      </c>
      <c r="O50" s="232">
        <v>809059</v>
      </c>
      <c r="P50" s="232">
        <v>0</v>
      </c>
      <c r="Q50" s="231">
        <v>26702</v>
      </c>
      <c r="R50" s="232">
        <f t="shared" si="0"/>
        <v>1382951</v>
      </c>
      <c r="S50" s="231"/>
      <c r="T50" s="232">
        <v>668583</v>
      </c>
      <c r="U50" s="233">
        <v>7604</v>
      </c>
      <c r="V50" s="233">
        <v>676188</v>
      </c>
    </row>
    <row r="51" spans="1:22">
      <c r="A51" s="226">
        <v>90602</v>
      </c>
      <c r="B51" s="227" t="s">
        <v>259</v>
      </c>
      <c r="C51" s="87">
        <v>6.3299999999999994E-5</v>
      </c>
      <c r="D51" s="87">
        <v>0</v>
      </c>
      <c r="E51" s="231">
        <v>31566.720000000001</v>
      </c>
      <c r="F51" s="231">
        <v>0</v>
      </c>
      <c r="G51" s="231">
        <v>134344</v>
      </c>
      <c r="H51" s="231"/>
      <c r="I51" s="232">
        <v>2524</v>
      </c>
      <c r="J51" s="232">
        <v>117728</v>
      </c>
      <c r="K51" s="232">
        <v>9201</v>
      </c>
      <c r="L51" s="231">
        <v>46975</v>
      </c>
      <c r="M51" s="231"/>
      <c r="N51" s="232">
        <v>4708</v>
      </c>
      <c r="O51" s="232">
        <v>43453</v>
      </c>
      <c r="P51" s="232">
        <v>0</v>
      </c>
      <c r="Q51" s="231">
        <v>0</v>
      </c>
      <c r="R51" s="232">
        <f t="shared" si="0"/>
        <v>74275</v>
      </c>
      <c r="S51" s="231"/>
      <c r="T51" s="232">
        <v>35908</v>
      </c>
      <c r="U51" s="233">
        <v>12962</v>
      </c>
      <c r="V51" s="233">
        <v>48870</v>
      </c>
    </row>
    <row r="52" spans="1:22">
      <c r="A52" s="226">
        <v>90605</v>
      </c>
      <c r="B52" s="227" t="s">
        <v>764</v>
      </c>
      <c r="C52" s="87">
        <v>3.8399999999999998E-5</v>
      </c>
      <c r="D52" s="87">
        <v>3.6399999999999997E-5</v>
      </c>
      <c r="E52" s="231">
        <v>22332.880000000001</v>
      </c>
      <c r="F52" s="231">
        <v>16336</v>
      </c>
      <c r="G52" s="231">
        <v>81498</v>
      </c>
      <c r="H52" s="231"/>
      <c r="I52" s="232">
        <v>1531</v>
      </c>
      <c r="J52" s="232">
        <v>71418</v>
      </c>
      <c r="K52" s="232">
        <v>5582</v>
      </c>
      <c r="L52" s="231">
        <v>11852</v>
      </c>
      <c r="M52" s="231"/>
      <c r="N52" s="232">
        <v>2856</v>
      </c>
      <c r="O52" s="232">
        <v>26360</v>
      </c>
      <c r="P52" s="232">
        <v>0</v>
      </c>
      <c r="Q52" s="231">
        <v>0</v>
      </c>
      <c r="R52" s="232">
        <f t="shared" si="0"/>
        <v>45058</v>
      </c>
      <c r="S52" s="231"/>
      <c r="T52" s="232">
        <v>21783</v>
      </c>
      <c r="U52" s="233">
        <v>3784</v>
      </c>
      <c r="V52" s="233">
        <v>25567</v>
      </c>
    </row>
    <row r="53" spans="1:22">
      <c r="A53" s="226">
        <v>90611</v>
      </c>
      <c r="B53" s="227" t="s">
        <v>765</v>
      </c>
      <c r="C53" s="87">
        <v>1.5669999999999999E-4</v>
      </c>
      <c r="D53" s="87">
        <v>1.663E-4</v>
      </c>
      <c r="E53" s="231">
        <v>56254.44000000001</v>
      </c>
      <c r="F53" s="231">
        <v>74634</v>
      </c>
      <c r="G53" s="231">
        <v>332570</v>
      </c>
      <c r="H53" s="231"/>
      <c r="I53" s="232">
        <v>6248</v>
      </c>
      <c r="J53" s="232">
        <v>291437</v>
      </c>
      <c r="K53" s="232">
        <v>22778</v>
      </c>
      <c r="L53" s="231">
        <v>5072.51</v>
      </c>
      <c r="M53" s="231"/>
      <c r="N53" s="232">
        <v>11654</v>
      </c>
      <c r="O53" s="232">
        <v>107568</v>
      </c>
      <c r="P53" s="232">
        <v>0</v>
      </c>
      <c r="Q53" s="231">
        <v>13074</v>
      </c>
      <c r="R53" s="232">
        <f t="shared" si="0"/>
        <v>183869</v>
      </c>
      <c r="S53" s="231"/>
      <c r="T53" s="232">
        <v>88891</v>
      </c>
      <c r="U53" s="233">
        <v>-969</v>
      </c>
      <c r="V53" s="233">
        <v>87922</v>
      </c>
    </row>
    <row r="54" spans="1:22">
      <c r="A54" s="226">
        <v>90617</v>
      </c>
      <c r="B54" s="227" t="s">
        <v>766</v>
      </c>
      <c r="C54" s="87">
        <v>2.6800000000000001E-5</v>
      </c>
      <c r="D54" s="87">
        <v>2.6599999999999999E-5</v>
      </c>
      <c r="E54" s="231">
        <v>14103.199999999999</v>
      </c>
      <c r="F54" s="231">
        <v>11938</v>
      </c>
      <c r="G54" s="231">
        <v>56879</v>
      </c>
      <c r="H54" s="231"/>
      <c r="I54" s="232">
        <v>1069</v>
      </c>
      <c r="J54" s="232">
        <v>49844</v>
      </c>
      <c r="K54" s="232">
        <v>3896</v>
      </c>
      <c r="L54" s="231">
        <v>8505</v>
      </c>
      <c r="M54" s="231"/>
      <c r="N54" s="232">
        <v>1993</v>
      </c>
      <c r="O54" s="232">
        <v>18397</v>
      </c>
      <c r="P54" s="232">
        <v>0</v>
      </c>
      <c r="Q54" s="231">
        <v>0</v>
      </c>
      <c r="R54" s="232">
        <f t="shared" si="0"/>
        <v>31447</v>
      </c>
      <c r="S54" s="231"/>
      <c r="T54" s="232">
        <v>15203</v>
      </c>
      <c r="U54" s="233">
        <v>3445</v>
      </c>
      <c r="V54" s="233">
        <v>18647</v>
      </c>
    </row>
    <row r="55" spans="1:22">
      <c r="A55" s="226">
        <v>90621</v>
      </c>
      <c r="B55" s="227" t="s">
        <v>767</v>
      </c>
      <c r="C55" s="87">
        <v>8.2100000000000003E-5</v>
      </c>
      <c r="D55" s="87">
        <v>7.9400000000000006E-5</v>
      </c>
      <c r="E55" s="231">
        <v>28251.890000000003</v>
      </c>
      <c r="F55" s="231">
        <v>35634</v>
      </c>
      <c r="G55" s="231">
        <v>174244</v>
      </c>
      <c r="H55" s="231"/>
      <c r="I55" s="232">
        <v>3274</v>
      </c>
      <c r="J55" s="232">
        <v>152693</v>
      </c>
      <c r="K55" s="232">
        <v>11934</v>
      </c>
      <c r="L55" s="231">
        <v>1182</v>
      </c>
      <c r="M55" s="231"/>
      <c r="N55" s="232">
        <v>6106</v>
      </c>
      <c r="O55" s="232">
        <v>56358</v>
      </c>
      <c r="P55" s="232">
        <v>0</v>
      </c>
      <c r="Q55" s="231">
        <v>7913</v>
      </c>
      <c r="R55" s="232">
        <f t="shared" si="0"/>
        <v>96335</v>
      </c>
      <c r="S55" s="231"/>
      <c r="T55" s="232">
        <v>46573</v>
      </c>
      <c r="U55" s="233">
        <v>-1933</v>
      </c>
      <c r="V55" s="233">
        <v>44639</v>
      </c>
    </row>
    <row r="56" spans="1:22">
      <c r="A56" s="226">
        <v>90631</v>
      </c>
      <c r="B56" s="227" t="s">
        <v>768</v>
      </c>
      <c r="C56" s="87">
        <v>3.8000000000000002E-4</v>
      </c>
      <c r="D56" s="87">
        <v>3.4539999999999999E-4</v>
      </c>
      <c r="E56" s="231">
        <v>153531.72</v>
      </c>
      <c r="F56" s="231">
        <v>155013</v>
      </c>
      <c r="G56" s="231">
        <v>806487.3</v>
      </c>
      <c r="H56" s="231"/>
      <c r="I56" s="232">
        <v>15152.5</v>
      </c>
      <c r="J56" s="232">
        <v>706740</v>
      </c>
      <c r="K56" s="232">
        <v>55237.18</v>
      </c>
      <c r="L56" s="231">
        <v>16567</v>
      </c>
      <c r="M56" s="231"/>
      <c r="N56" s="232">
        <v>28260.22</v>
      </c>
      <c r="O56" s="232">
        <v>260854.04</v>
      </c>
      <c r="P56" s="232">
        <v>0</v>
      </c>
      <c r="Q56" s="231">
        <v>14381</v>
      </c>
      <c r="R56" s="232">
        <f t="shared" si="0"/>
        <v>445885.95999999996</v>
      </c>
      <c r="S56" s="231"/>
      <c r="T56" s="232">
        <v>215562.22</v>
      </c>
      <c r="U56" s="233">
        <v>-1856</v>
      </c>
      <c r="V56" s="233">
        <v>213706</v>
      </c>
    </row>
    <row r="57" spans="1:22">
      <c r="A57" s="226">
        <v>90641</v>
      </c>
      <c r="B57" s="227" t="s">
        <v>769</v>
      </c>
      <c r="C57" s="87">
        <v>1.4399999999999999E-5</v>
      </c>
      <c r="D57" s="87">
        <v>1.5400000000000002E-5</v>
      </c>
      <c r="E57" s="231">
        <v>5940.04</v>
      </c>
      <c r="F57" s="231">
        <v>6911</v>
      </c>
      <c r="G57" s="231">
        <v>30562</v>
      </c>
      <c r="H57" s="231"/>
      <c r="I57" s="232">
        <v>574</v>
      </c>
      <c r="J57" s="232">
        <v>26782</v>
      </c>
      <c r="K57" s="232">
        <v>2093</v>
      </c>
      <c r="L57" s="231">
        <v>340</v>
      </c>
      <c r="M57" s="231"/>
      <c r="N57" s="232">
        <v>1071</v>
      </c>
      <c r="O57" s="232">
        <v>9885</v>
      </c>
      <c r="P57" s="232">
        <v>0</v>
      </c>
      <c r="Q57" s="231">
        <v>782</v>
      </c>
      <c r="R57" s="232">
        <f t="shared" si="0"/>
        <v>16897</v>
      </c>
      <c r="S57" s="231"/>
      <c r="T57" s="232">
        <v>8169</v>
      </c>
      <c r="U57" s="233">
        <v>-144</v>
      </c>
      <c r="V57" s="233">
        <v>8025</v>
      </c>
    </row>
    <row r="58" spans="1:22">
      <c r="A58" s="226">
        <v>90651</v>
      </c>
      <c r="B58" s="227" t="s">
        <v>770</v>
      </c>
      <c r="C58" s="87">
        <v>1.108E-4</v>
      </c>
      <c r="D58" s="87">
        <v>1.042E-4</v>
      </c>
      <c r="E58" s="231">
        <v>96248</v>
      </c>
      <c r="F58" s="231">
        <v>46764</v>
      </c>
      <c r="G58" s="231">
        <v>235155</v>
      </c>
      <c r="H58" s="231"/>
      <c r="I58" s="232">
        <v>4418</v>
      </c>
      <c r="J58" s="232">
        <v>206070</v>
      </c>
      <c r="K58" s="232">
        <v>16106</v>
      </c>
      <c r="L58" s="231">
        <v>73167</v>
      </c>
      <c r="M58" s="231"/>
      <c r="N58" s="232">
        <v>8240</v>
      </c>
      <c r="O58" s="232">
        <v>76060</v>
      </c>
      <c r="P58" s="232">
        <v>0</v>
      </c>
      <c r="Q58" s="231">
        <v>9364.94</v>
      </c>
      <c r="R58" s="232">
        <f t="shared" si="0"/>
        <v>130010</v>
      </c>
      <c r="S58" s="231"/>
      <c r="T58" s="232">
        <v>62853</v>
      </c>
      <c r="U58" s="233">
        <v>17052</v>
      </c>
      <c r="V58" s="233">
        <v>79906</v>
      </c>
    </row>
    <row r="59" spans="1:22">
      <c r="A59" s="226">
        <v>90701</v>
      </c>
      <c r="B59" s="227" t="s">
        <v>1931</v>
      </c>
      <c r="C59" s="87">
        <v>2.3587E-3</v>
      </c>
      <c r="D59" s="87">
        <v>2.3326000000000002E-3</v>
      </c>
      <c r="E59" s="231">
        <v>908617.53</v>
      </c>
      <c r="F59" s="231">
        <v>1046857</v>
      </c>
      <c r="G59" s="231">
        <v>5005952</v>
      </c>
      <c r="H59" s="231"/>
      <c r="I59" s="232">
        <v>94053</v>
      </c>
      <c r="J59" s="232">
        <v>4386809</v>
      </c>
      <c r="K59" s="232">
        <v>342863</v>
      </c>
      <c r="L59" s="231">
        <v>35812.04</v>
      </c>
      <c r="M59" s="231"/>
      <c r="N59" s="232">
        <v>175414</v>
      </c>
      <c r="O59" s="232">
        <v>1619148</v>
      </c>
      <c r="P59" s="232">
        <v>0</v>
      </c>
      <c r="Q59" s="231">
        <v>44222</v>
      </c>
      <c r="R59" s="232">
        <f t="shared" si="0"/>
        <v>2767661</v>
      </c>
      <c r="S59" s="231"/>
      <c r="T59" s="232">
        <v>1338017</v>
      </c>
      <c r="U59" s="233">
        <v>5621</v>
      </c>
      <c r="V59" s="233">
        <v>1343639</v>
      </c>
    </row>
    <row r="60" spans="1:22">
      <c r="A60" s="226">
        <v>90704</v>
      </c>
      <c r="B60" s="227" t="s">
        <v>772</v>
      </c>
      <c r="C60" s="87">
        <v>3.4900000000000001E-5</v>
      </c>
      <c r="D60" s="87">
        <v>3.3300000000000003E-5</v>
      </c>
      <c r="E60" s="231">
        <v>22787.940000000006</v>
      </c>
      <c r="F60" s="231">
        <v>14945</v>
      </c>
      <c r="G60" s="231">
        <v>74069</v>
      </c>
      <c r="H60" s="231"/>
      <c r="I60" s="232">
        <v>1392</v>
      </c>
      <c r="J60" s="232">
        <v>64908</v>
      </c>
      <c r="K60" s="232">
        <v>5073</v>
      </c>
      <c r="L60" s="231">
        <v>13042</v>
      </c>
      <c r="M60" s="231"/>
      <c r="N60" s="232">
        <v>2595</v>
      </c>
      <c r="O60" s="232">
        <v>23957</v>
      </c>
      <c r="P60" s="232">
        <v>0</v>
      </c>
      <c r="Q60" s="231">
        <v>0</v>
      </c>
      <c r="R60" s="232">
        <f t="shared" si="0"/>
        <v>40951</v>
      </c>
      <c r="S60" s="231"/>
      <c r="T60" s="232">
        <v>19798</v>
      </c>
      <c r="U60" s="233">
        <v>4197</v>
      </c>
      <c r="V60" s="233">
        <v>23995</v>
      </c>
    </row>
    <row r="61" spans="1:22">
      <c r="A61" s="226">
        <v>90705</v>
      </c>
      <c r="B61" s="227" t="s">
        <v>773</v>
      </c>
      <c r="C61" s="87">
        <v>3.3899999999999997E-5</v>
      </c>
      <c r="D61" s="87">
        <v>3.0599999999999998E-5</v>
      </c>
      <c r="E61" s="231">
        <v>17670.240000000002</v>
      </c>
      <c r="F61" s="231">
        <v>13733</v>
      </c>
      <c r="G61" s="231">
        <v>71947</v>
      </c>
      <c r="H61" s="231"/>
      <c r="I61" s="232">
        <v>1352</v>
      </c>
      <c r="J61" s="232">
        <v>63049</v>
      </c>
      <c r="K61" s="232">
        <v>4928</v>
      </c>
      <c r="L61" s="231">
        <v>9785</v>
      </c>
      <c r="M61" s="231"/>
      <c r="N61" s="232">
        <v>2521</v>
      </c>
      <c r="O61" s="232">
        <v>23271</v>
      </c>
      <c r="P61" s="232">
        <v>0</v>
      </c>
      <c r="Q61" s="231">
        <v>0</v>
      </c>
      <c r="R61" s="232">
        <f t="shared" si="0"/>
        <v>39778</v>
      </c>
      <c r="S61" s="231"/>
      <c r="T61" s="232">
        <v>19230</v>
      </c>
      <c r="U61" s="233">
        <v>3239</v>
      </c>
      <c r="V61" s="233">
        <v>22470</v>
      </c>
    </row>
    <row r="62" spans="1:22">
      <c r="A62" s="226">
        <v>90709</v>
      </c>
      <c r="B62" s="227" t="s">
        <v>774</v>
      </c>
      <c r="C62" s="87">
        <v>1.4569999999999999E-4</v>
      </c>
      <c r="D62" s="87">
        <v>2.1790000000000001E-4</v>
      </c>
      <c r="E62" s="231">
        <v>59289.13</v>
      </c>
      <c r="F62" s="231">
        <v>97792</v>
      </c>
      <c r="G62" s="231">
        <v>309224</v>
      </c>
      <c r="H62" s="231"/>
      <c r="I62" s="232">
        <v>5810</v>
      </c>
      <c r="J62" s="232">
        <v>270979</v>
      </c>
      <c r="K62" s="232">
        <v>21179</v>
      </c>
      <c r="L62" s="231">
        <v>10221</v>
      </c>
      <c r="M62" s="231"/>
      <c r="N62" s="232">
        <v>10836</v>
      </c>
      <c r="O62" s="232">
        <v>100017</v>
      </c>
      <c r="P62" s="232">
        <v>0</v>
      </c>
      <c r="Q62" s="231">
        <v>44565</v>
      </c>
      <c r="R62" s="232">
        <f t="shared" si="0"/>
        <v>170962</v>
      </c>
      <c r="S62" s="231"/>
      <c r="T62" s="232">
        <v>82651</v>
      </c>
      <c r="U62" s="233">
        <v>-6883</v>
      </c>
      <c r="V62" s="233">
        <v>75769</v>
      </c>
    </row>
    <row r="63" spans="1:22">
      <c r="A63" s="226">
        <v>90711</v>
      </c>
      <c r="B63" s="227" t="s">
        <v>775</v>
      </c>
      <c r="C63" s="87">
        <v>1.7302000000000001E-3</v>
      </c>
      <c r="D63" s="87">
        <v>1.8802000000000001E-3</v>
      </c>
      <c r="E63" s="231">
        <v>667293.38</v>
      </c>
      <c r="F63" s="231">
        <v>843822</v>
      </c>
      <c r="G63" s="231">
        <v>3672064</v>
      </c>
      <c r="H63" s="231"/>
      <c r="I63" s="232">
        <v>68992</v>
      </c>
      <c r="J63" s="232">
        <v>3217899</v>
      </c>
      <c r="K63" s="232">
        <v>251504</v>
      </c>
      <c r="L63" s="231">
        <v>0</v>
      </c>
      <c r="M63" s="231"/>
      <c r="N63" s="232">
        <v>128673</v>
      </c>
      <c r="O63" s="232">
        <v>1187710</v>
      </c>
      <c r="P63" s="232">
        <v>0</v>
      </c>
      <c r="Q63" s="231">
        <v>193488</v>
      </c>
      <c r="R63" s="232">
        <f t="shared" si="0"/>
        <v>2030189</v>
      </c>
      <c r="S63" s="231"/>
      <c r="T63" s="232">
        <v>981489</v>
      </c>
      <c r="U63" s="233">
        <v>-61566</v>
      </c>
      <c r="V63" s="233">
        <v>919922</v>
      </c>
    </row>
    <row r="64" spans="1:22">
      <c r="A64" s="226">
        <v>90721</v>
      </c>
      <c r="B64" s="227" t="s">
        <v>776</v>
      </c>
      <c r="C64" s="87">
        <v>3.7299999999999999E-5</v>
      </c>
      <c r="D64" s="87">
        <v>3.82E-5</v>
      </c>
      <c r="E64" s="231">
        <v>14531.46</v>
      </c>
      <c r="F64" s="231">
        <v>17144</v>
      </c>
      <c r="G64" s="231">
        <v>79163</v>
      </c>
      <c r="H64" s="231"/>
      <c r="I64" s="232">
        <v>1487</v>
      </c>
      <c r="J64" s="232">
        <v>69372</v>
      </c>
      <c r="K64" s="232">
        <v>5422</v>
      </c>
      <c r="L64" s="231">
        <v>5347</v>
      </c>
      <c r="M64" s="231"/>
      <c r="N64" s="232">
        <v>2774</v>
      </c>
      <c r="O64" s="232">
        <v>25605</v>
      </c>
      <c r="P64" s="232">
        <v>0</v>
      </c>
      <c r="Q64" s="231">
        <v>1129</v>
      </c>
      <c r="R64" s="232">
        <f t="shared" si="0"/>
        <v>43767</v>
      </c>
      <c r="S64" s="231"/>
      <c r="T64" s="232">
        <v>21159</v>
      </c>
      <c r="U64" s="233">
        <v>2098</v>
      </c>
      <c r="V64" s="233">
        <v>23258</v>
      </c>
    </row>
    <row r="65" spans="1:22">
      <c r="A65" s="226">
        <v>90731</v>
      </c>
      <c r="B65" s="227" t="s">
        <v>777</v>
      </c>
      <c r="C65" s="87">
        <v>1.917E-4</v>
      </c>
      <c r="D65" s="87">
        <v>1.9459999999999999E-4</v>
      </c>
      <c r="E65" s="231">
        <v>77065.560000000012</v>
      </c>
      <c r="F65" s="231">
        <v>87335</v>
      </c>
      <c r="G65" s="231">
        <v>406852</v>
      </c>
      <c r="H65" s="231"/>
      <c r="I65" s="232">
        <v>7644</v>
      </c>
      <c r="J65" s="232">
        <v>356532</v>
      </c>
      <c r="K65" s="232">
        <v>27866</v>
      </c>
      <c r="L65" s="231">
        <v>0</v>
      </c>
      <c r="M65" s="231"/>
      <c r="N65" s="232">
        <v>14257</v>
      </c>
      <c r="O65" s="232">
        <v>131594</v>
      </c>
      <c r="P65" s="232">
        <v>0</v>
      </c>
      <c r="Q65" s="231">
        <v>10037</v>
      </c>
      <c r="R65" s="232">
        <f t="shared" si="0"/>
        <v>224938</v>
      </c>
      <c r="S65" s="231"/>
      <c r="T65" s="232">
        <v>108745</v>
      </c>
      <c r="U65" s="233">
        <v>-3998</v>
      </c>
      <c r="V65" s="233">
        <v>104747</v>
      </c>
    </row>
    <row r="66" spans="1:22">
      <c r="A66" s="226">
        <v>90741</v>
      </c>
      <c r="B66" s="227" t="s">
        <v>778</v>
      </c>
      <c r="C66" s="87">
        <v>1.2099999999999999E-5</v>
      </c>
      <c r="D66" s="87">
        <v>1.2799999999999999E-5</v>
      </c>
      <c r="E66" s="231">
        <v>6754.4100000000008</v>
      </c>
      <c r="F66" s="231">
        <v>5745</v>
      </c>
      <c r="G66" s="231">
        <v>25680</v>
      </c>
      <c r="H66" s="231"/>
      <c r="I66" s="232">
        <v>482</v>
      </c>
      <c r="J66" s="232">
        <v>22504</v>
      </c>
      <c r="K66" s="232">
        <v>1759</v>
      </c>
      <c r="L66" s="231">
        <v>3208</v>
      </c>
      <c r="M66" s="231"/>
      <c r="N66" s="232">
        <v>900</v>
      </c>
      <c r="O66" s="232">
        <v>8306</v>
      </c>
      <c r="P66" s="232">
        <v>0</v>
      </c>
      <c r="Q66" s="231">
        <v>1496</v>
      </c>
      <c r="R66" s="232">
        <f t="shared" si="0"/>
        <v>14198</v>
      </c>
      <c r="S66" s="231"/>
      <c r="T66" s="232">
        <v>6864</v>
      </c>
      <c r="U66" s="233">
        <v>287</v>
      </c>
      <c r="V66" s="233">
        <v>7151</v>
      </c>
    </row>
    <row r="67" spans="1:22">
      <c r="A67" s="226">
        <v>90751</v>
      </c>
      <c r="B67" s="227" t="s">
        <v>779</v>
      </c>
      <c r="C67" s="87">
        <v>6.5599999999999995E-5</v>
      </c>
      <c r="D67" s="87">
        <v>6.2000000000000003E-5</v>
      </c>
      <c r="E67" s="231">
        <v>24796.57</v>
      </c>
      <c r="F67" s="231">
        <v>27825</v>
      </c>
      <c r="G67" s="231">
        <v>139225</v>
      </c>
      <c r="H67" s="231"/>
      <c r="I67" s="232">
        <v>2616</v>
      </c>
      <c r="J67" s="232">
        <v>122006</v>
      </c>
      <c r="K67" s="232">
        <v>9536</v>
      </c>
      <c r="L67" s="231">
        <v>8610</v>
      </c>
      <c r="M67" s="231"/>
      <c r="N67" s="232">
        <v>4879</v>
      </c>
      <c r="O67" s="232">
        <v>45032</v>
      </c>
      <c r="P67" s="232">
        <v>0</v>
      </c>
      <c r="Q67" s="231">
        <v>0</v>
      </c>
      <c r="R67" s="232">
        <f t="shared" si="0"/>
        <v>76974</v>
      </c>
      <c r="S67" s="231"/>
      <c r="T67" s="232">
        <v>37213</v>
      </c>
      <c r="U67" s="233">
        <v>3670</v>
      </c>
      <c r="V67" s="233">
        <v>40883</v>
      </c>
    </row>
    <row r="68" spans="1:22">
      <c r="A68" s="226">
        <v>90801</v>
      </c>
      <c r="B68" s="227" t="s">
        <v>780</v>
      </c>
      <c r="C68" s="87">
        <v>1.1404E-3</v>
      </c>
      <c r="D68" s="87">
        <v>1.0472000000000001E-3</v>
      </c>
      <c r="E68" s="231">
        <v>442982.95</v>
      </c>
      <c r="F68" s="231">
        <v>469977</v>
      </c>
      <c r="G68" s="231">
        <v>2420311</v>
      </c>
      <c r="H68" s="231"/>
      <c r="I68" s="232">
        <v>45473.45</v>
      </c>
      <c r="J68" s="232">
        <v>2120964</v>
      </c>
      <c r="K68" s="232">
        <v>165770</v>
      </c>
      <c r="L68" s="231">
        <v>156481</v>
      </c>
      <c r="M68" s="231"/>
      <c r="N68" s="232">
        <v>84810</v>
      </c>
      <c r="O68" s="232">
        <v>782837</v>
      </c>
      <c r="P68" s="232">
        <v>0</v>
      </c>
      <c r="Q68" s="231">
        <v>0</v>
      </c>
      <c r="R68" s="232">
        <f t="shared" si="0"/>
        <v>1338127</v>
      </c>
      <c r="S68" s="231"/>
      <c r="T68" s="232">
        <v>646914</v>
      </c>
      <c r="U68" s="233">
        <v>53264</v>
      </c>
      <c r="V68" s="233">
        <v>700177</v>
      </c>
    </row>
    <row r="69" spans="1:22">
      <c r="A69" s="226">
        <v>90804</v>
      </c>
      <c r="B69" s="227" t="s">
        <v>781</v>
      </c>
      <c r="C69" s="87">
        <v>6.0000000000000002E-6</v>
      </c>
      <c r="D69" s="87">
        <v>4.6999999999999999E-6</v>
      </c>
      <c r="E69" s="231">
        <v>2490.12</v>
      </c>
      <c r="F69" s="231">
        <v>2109</v>
      </c>
      <c r="G69" s="231">
        <v>12734.01</v>
      </c>
      <c r="H69" s="231"/>
      <c r="I69" s="232">
        <v>239.25</v>
      </c>
      <c r="J69" s="232">
        <v>11159</v>
      </c>
      <c r="K69" s="232">
        <v>872</v>
      </c>
      <c r="L69" s="231">
        <v>2282</v>
      </c>
      <c r="M69" s="231"/>
      <c r="N69" s="232">
        <v>446</v>
      </c>
      <c r="O69" s="232">
        <v>4119</v>
      </c>
      <c r="P69" s="232">
        <v>0</v>
      </c>
      <c r="Q69" s="231">
        <v>0</v>
      </c>
      <c r="R69" s="232">
        <f t="shared" si="0"/>
        <v>7040</v>
      </c>
      <c r="S69" s="231"/>
      <c r="T69" s="232">
        <v>3404</v>
      </c>
      <c r="U69" s="233">
        <v>878</v>
      </c>
      <c r="V69" s="233">
        <v>4282</v>
      </c>
    </row>
    <row r="70" spans="1:22">
      <c r="A70" s="226">
        <v>90805</v>
      </c>
      <c r="B70" s="227" t="s">
        <v>782</v>
      </c>
      <c r="C70" s="87">
        <v>5.5099999999999998E-5</v>
      </c>
      <c r="D70" s="87">
        <v>5.2800000000000003E-5</v>
      </c>
      <c r="E70" s="231">
        <v>34302.799999999996</v>
      </c>
      <c r="F70" s="231">
        <v>23696</v>
      </c>
      <c r="G70" s="231">
        <v>116941</v>
      </c>
      <c r="H70" s="231"/>
      <c r="I70" s="232">
        <v>2197</v>
      </c>
      <c r="J70" s="232">
        <v>102477</v>
      </c>
      <c r="K70" s="232">
        <v>8009</v>
      </c>
      <c r="L70" s="231">
        <v>22372</v>
      </c>
      <c r="M70" s="231"/>
      <c r="N70" s="232">
        <v>4098</v>
      </c>
      <c r="O70" s="232">
        <v>37824</v>
      </c>
      <c r="P70" s="232">
        <v>0</v>
      </c>
      <c r="Q70" s="231">
        <v>0</v>
      </c>
      <c r="R70" s="232">
        <f t="shared" si="0"/>
        <v>64653</v>
      </c>
      <c r="S70" s="231"/>
      <c r="T70" s="232">
        <v>31257</v>
      </c>
      <c r="U70" s="233">
        <v>7625</v>
      </c>
      <c r="V70" s="233">
        <v>38881</v>
      </c>
    </row>
    <row r="71" spans="1:22">
      <c r="A71" s="226">
        <v>90808</v>
      </c>
      <c r="B71" s="227" t="s">
        <v>783</v>
      </c>
      <c r="C71" s="87">
        <v>1.109E-4</v>
      </c>
      <c r="D71" s="87">
        <v>1.176E-4</v>
      </c>
      <c r="E71" s="231">
        <v>47437.34</v>
      </c>
      <c r="F71" s="231">
        <v>52778</v>
      </c>
      <c r="G71" s="231">
        <v>235367</v>
      </c>
      <c r="H71" s="231"/>
      <c r="I71" s="232">
        <v>4422</v>
      </c>
      <c r="J71" s="232">
        <v>206256</v>
      </c>
      <c r="K71" s="232">
        <v>16121</v>
      </c>
      <c r="L71" s="231">
        <v>1422</v>
      </c>
      <c r="M71" s="231"/>
      <c r="N71" s="232">
        <v>8248</v>
      </c>
      <c r="O71" s="232">
        <v>76128</v>
      </c>
      <c r="P71" s="232">
        <v>0</v>
      </c>
      <c r="Q71" s="231">
        <v>2972</v>
      </c>
      <c r="R71" s="232">
        <f t="shared" si="0"/>
        <v>130128</v>
      </c>
      <c r="S71" s="231"/>
      <c r="T71" s="232">
        <v>62910</v>
      </c>
      <c r="U71" s="233">
        <v>-460</v>
      </c>
      <c r="V71" s="233">
        <v>62451</v>
      </c>
    </row>
    <row r="72" spans="1:22">
      <c r="A72" s="226">
        <v>90811</v>
      </c>
      <c r="B72" s="227" t="s">
        <v>784</v>
      </c>
      <c r="C72" s="87">
        <v>4.0000000000000003E-5</v>
      </c>
      <c r="D72" s="87">
        <v>3.6199999999999999E-5</v>
      </c>
      <c r="E72" s="231">
        <v>12069.34</v>
      </c>
      <c r="F72" s="231">
        <v>16246</v>
      </c>
      <c r="G72" s="231">
        <v>84893</v>
      </c>
      <c r="H72" s="231"/>
      <c r="I72" s="232">
        <v>1595</v>
      </c>
      <c r="J72" s="232">
        <v>74394</v>
      </c>
      <c r="K72" s="232">
        <v>5814</v>
      </c>
      <c r="L72" s="231">
        <v>947</v>
      </c>
      <c r="M72" s="231"/>
      <c r="N72" s="232">
        <v>2974.76</v>
      </c>
      <c r="O72" s="232">
        <v>27458</v>
      </c>
      <c r="P72" s="232">
        <v>0</v>
      </c>
      <c r="Q72" s="231">
        <v>2175</v>
      </c>
      <c r="R72" s="232">
        <f t="shared" si="0"/>
        <v>46936</v>
      </c>
      <c r="S72" s="231"/>
      <c r="T72" s="232">
        <v>22691</v>
      </c>
      <c r="U72" s="233">
        <v>-159</v>
      </c>
      <c r="V72" s="233">
        <v>22531</v>
      </c>
    </row>
    <row r="73" spans="1:22">
      <c r="A73" s="226">
        <v>90812</v>
      </c>
      <c r="B73" s="227" t="s">
        <v>785</v>
      </c>
      <c r="C73" s="87">
        <v>2.13E-4</v>
      </c>
      <c r="D73" s="87">
        <v>2.409E-4</v>
      </c>
      <c r="E73" s="231">
        <v>88699.09</v>
      </c>
      <c r="F73" s="231">
        <v>108114</v>
      </c>
      <c r="G73" s="231">
        <v>452057</v>
      </c>
      <c r="H73" s="231"/>
      <c r="I73" s="232">
        <v>8493.375</v>
      </c>
      <c r="J73" s="232">
        <v>396146</v>
      </c>
      <c r="K73" s="232">
        <v>30962</v>
      </c>
      <c r="L73" s="231">
        <v>8573</v>
      </c>
      <c r="M73" s="231"/>
      <c r="N73" s="232">
        <v>15841</v>
      </c>
      <c r="O73" s="232">
        <v>146216</v>
      </c>
      <c r="P73" s="232">
        <v>0</v>
      </c>
      <c r="Q73" s="231">
        <v>14237</v>
      </c>
      <c r="R73" s="232">
        <f t="shared" ref="R73:R136" si="1">IF(J73&gt;O73,J73-O73,O73-J73)</f>
        <v>249930</v>
      </c>
      <c r="S73" s="231"/>
      <c r="T73" s="232">
        <v>120828</v>
      </c>
      <c r="U73" s="233">
        <v>453</v>
      </c>
      <c r="V73" s="233">
        <v>121281</v>
      </c>
    </row>
    <row r="74" spans="1:22">
      <c r="A74" s="226">
        <v>90813</v>
      </c>
      <c r="B74" s="227" t="s">
        <v>786</v>
      </c>
      <c r="C74" s="87">
        <v>5.4999999999999999E-6</v>
      </c>
      <c r="D74" s="87">
        <v>5.4E-6</v>
      </c>
      <c r="E74" s="231">
        <v>1840.5500000000002</v>
      </c>
      <c r="F74" s="231">
        <v>2423</v>
      </c>
      <c r="G74" s="231">
        <v>11673</v>
      </c>
      <c r="H74" s="231"/>
      <c r="I74" s="232">
        <v>219.3125</v>
      </c>
      <c r="J74" s="232">
        <v>10229</v>
      </c>
      <c r="K74" s="232">
        <v>799</v>
      </c>
      <c r="L74" s="231">
        <v>0</v>
      </c>
      <c r="M74" s="231"/>
      <c r="N74" s="232">
        <v>409</v>
      </c>
      <c r="O74" s="232">
        <v>3776</v>
      </c>
      <c r="P74" s="232">
        <v>0</v>
      </c>
      <c r="Q74" s="231">
        <v>1089</v>
      </c>
      <c r="R74" s="232">
        <f t="shared" si="1"/>
        <v>6453</v>
      </c>
      <c r="S74" s="231"/>
      <c r="T74" s="232">
        <v>3120</v>
      </c>
      <c r="U74" s="233">
        <v>-397</v>
      </c>
      <c r="V74" s="233">
        <v>2723</v>
      </c>
    </row>
    <row r="75" spans="1:22">
      <c r="A75" s="226">
        <v>90861</v>
      </c>
      <c r="B75" s="227" t="s">
        <v>787</v>
      </c>
      <c r="C75" s="87">
        <v>4.7999999999999998E-6</v>
      </c>
      <c r="D75" s="87">
        <v>5.3000000000000001E-6</v>
      </c>
      <c r="E75" s="231">
        <v>3509.6600000000008</v>
      </c>
      <c r="F75" s="231">
        <v>2379</v>
      </c>
      <c r="G75" s="231">
        <v>10187</v>
      </c>
      <c r="H75" s="231"/>
      <c r="I75" s="232">
        <v>191</v>
      </c>
      <c r="J75" s="232">
        <v>8927</v>
      </c>
      <c r="K75" s="232">
        <v>698</v>
      </c>
      <c r="L75" s="231">
        <v>3258</v>
      </c>
      <c r="M75" s="231"/>
      <c r="N75" s="232">
        <v>357</v>
      </c>
      <c r="O75" s="232">
        <v>3295</v>
      </c>
      <c r="P75" s="232">
        <v>0</v>
      </c>
      <c r="Q75" s="231">
        <v>2245</v>
      </c>
      <c r="R75" s="232">
        <f t="shared" si="1"/>
        <v>5632</v>
      </c>
      <c r="S75" s="231"/>
      <c r="T75" s="232">
        <v>2723</v>
      </c>
      <c r="U75" s="233">
        <v>-63</v>
      </c>
      <c r="V75" s="233">
        <v>2659</v>
      </c>
    </row>
    <row r="76" spans="1:22">
      <c r="A76" s="226">
        <v>90901</v>
      </c>
      <c r="B76" s="227" t="s">
        <v>788</v>
      </c>
      <c r="C76" s="87">
        <v>2.1302999999999999E-3</v>
      </c>
      <c r="D76" s="87">
        <v>2.2187000000000001E-3</v>
      </c>
      <c r="E76" s="231">
        <v>886462.80000000016</v>
      </c>
      <c r="F76" s="231">
        <v>995739</v>
      </c>
      <c r="G76" s="231">
        <v>4521210</v>
      </c>
      <c r="H76" s="231"/>
      <c r="I76" s="232">
        <v>84946</v>
      </c>
      <c r="J76" s="232">
        <v>3962021</v>
      </c>
      <c r="K76" s="232">
        <v>309663</v>
      </c>
      <c r="L76" s="231">
        <v>9118.18</v>
      </c>
      <c r="M76" s="231"/>
      <c r="N76" s="232">
        <v>158428</v>
      </c>
      <c r="O76" s="232">
        <v>1462361</v>
      </c>
      <c r="P76" s="232">
        <v>0</v>
      </c>
      <c r="Q76" s="231">
        <v>53019</v>
      </c>
      <c r="R76" s="232">
        <f t="shared" si="1"/>
        <v>2499660</v>
      </c>
      <c r="S76" s="231"/>
      <c r="T76" s="232">
        <v>1208453</v>
      </c>
      <c r="U76" s="233">
        <v>-10432</v>
      </c>
      <c r="V76" s="233">
        <v>1198021</v>
      </c>
    </row>
    <row r="77" spans="1:22">
      <c r="A77" s="226">
        <v>90911</v>
      </c>
      <c r="B77" s="227" t="s">
        <v>789</v>
      </c>
      <c r="C77" s="87">
        <v>3.6010000000000003E-4</v>
      </c>
      <c r="D77" s="87">
        <v>3.6860000000000001E-4</v>
      </c>
      <c r="E77" s="231">
        <v>130625.3</v>
      </c>
      <c r="F77" s="231">
        <v>165425</v>
      </c>
      <c r="G77" s="231">
        <v>764253</v>
      </c>
      <c r="H77" s="231"/>
      <c r="I77" s="232">
        <v>14359</v>
      </c>
      <c r="J77" s="232">
        <v>669729</v>
      </c>
      <c r="K77" s="232">
        <v>52344</v>
      </c>
      <c r="L77" s="231">
        <v>0</v>
      </c>
      <c r="M77" s="231"/>
      <c r="N77" s="232">
        <v>26780</v>
      </c>
      <c r="O77" s="232">
        <v>247194</v>
      </c>
      <c r="P77" s="232">
        <v>0</v>
      </c>
      <c r="Q77" s="231">
        <v>51509</v>
      </c>
      <c r="R77" s="232">
        <f t="shared" si="1"/>
        <v>422535</v>
      </c>
      <c r="S77" s="231"/>
      <c r="T77" s="232">
        <v>204274</v>
      </c>
      <c r="U77" s="233">
        <v>-20027</v>
      </c>
      <c r="V77" s="233">
        <v>184246</v>
      </c>
    </row>
    <row r="78" spans="1:22">
      <c r="A78" s="226">
        <v>90917</v>
      </c>
      <c r="B78" s="227" t="s">
        <v>790</v>
      </c>
      <c r="C78" s="87">
        <v>1.42E-5</v>
      </c>
      <c r="D78" s="87">
        <v>1.01E-5</v>
      </c>
      <c r="E78" s="231">
        <v>5168.6200000000008</v>
      </c>
      <c r="F78" s="231">
        <v>4533</v>
      </c>
      <c r="G78" s="231">
        <v>30137</v>
      </c>
      <c r="H78" s="231"/>
      <c r="I78" s="232">
        <v>566.22500000000002</v>
      </c>
      <c r="J78" s="232">
        <v>26410</v>
      </c>
      <c r="K78" s="232">
        <v>2064</v>
      </c>
      <c r="L78" s="231">
        <v>2014</v>
      </c>
      <c r="M78" s="231"/>
      <c r="N78" s="232">
        <v>1056</v>
      </c>
      <c r="O78" s="232">
        <v>9748</v>
      </c>
      <c r="P78" s="232">
        <v>0</v>
      </c>
      <c r="Q78" s="231">
        <v>881.57</v>
      </c>
      <c r="R78" s="232">
        <f t="shared" si="1"/>
        <v>16662</v>
      </c>
      <c r="S78" s="231"/>
      <c r="T78" s="232">
        <v>8055</v>
      </c>
      <c r="U78" s="233">
        <v>110</v>
      </c>
      <c r="V78" s="233">
        <v>8165</v>
      </c>
    </row>
    <row r="79" spans="1:22">
      <c r="A79" s="226">
        <v>90918</v>
      </c>
      <c r="B79" s="227" t="s">
        <v>791</v>
      </c>
      <c r="C79" s="87">
        <v>1.24E-5</v>
      </c>
      <c r="D79" s="87">
        <v>1.3499999999999999E-5</v>
      </c>
      <c r="E79" s="231">
        <v>4291.66</v>
      </c>
      <c r="F79" s="231">
        <v>6059</v>
      </c>
      <c r="G79" s="231">
        <v>26317</v>
      </c>
      <c r="H79" s="231"/>
      <c r="I79" s="232">
        <v>494.45</v>
      </c>
      <c r="J79" s="232">
        <v>23062</v>
      </c>
      <c r="K79" s="232">
        <v>1802</v>
      </c>
      <c r="L79" s="231">
        <v>0</v>
      </c>
      <c r="M79" s="231"/>
      <c r="N79" s="232">
        <v>922</v>
      </c>
      <c r="O79" s="232">
        <v>8512</v>
      </c>
      <c r="P79" s="232">
        <v>0</v>
      </c>
      <c r="Q79" s="231">
        <v>2531</v>
      </c>
      <c r="R79" s="232">
        <f t="shared" si="1"/>
        <v>14550</v>
      </c>
      <c r="S79" s="231"/>
      <c r="T79" s="232">
        <v>7034</v>
      </c>
      <c r="U79" s="233">
        <v>-865</v>
      </c>
      <c r="V79" s="233">
        <v>6169</v>
      </c>
    </row>
    <row r="80" spans="1:22">
      <c r="A80" s="226">
        <v>90921</v>
      </c>
      <c r="B80" s="227" t="s">
        <v>792</v>
      </c>
      <c r="C80" s="87">
        <v>8.7399999999999997E-5</v>
      </c>
      <c r="D80" s="87">
        <v>1.149E-4</v>
      </c>
      <c r="E80" s="231">
        <v>45670.59</v>
      </c>
      <c r="F80" s="231">
        <v>51566</v>
      </c>
      <c r="G80" s="231">
        <v>185492</v>
      </c>
      <c r="H80" s="231"/>
      <c r="I80" s="232">
        <v>3485</v>
      </c>
      <c r="J80" s="232">
        <v>162550</v>
      </c>
      <c r="K80" s="232">
        <v>12705</v>
      </c>
      <c r="L80" s="231">
        <v>4488</v>
      </c>
      <c r="M80" s="231"/>
      <c r="N80" s="232">
        <v>6500</v>
      </c>
      <c r="O80" s="232">
        <v>59996</v>
      </c>
      <c r="P80" s="232">
        <v>0</v>
      </c>
      <c r="Q80" s="231">
        <v>10576</v>
      </c>
      <c r="R80" s="232">
        <f t="shared" si="1"/>
        <v>102554</v>
      </c>
      <c r="S80" s="231"/>
      <c r="T80" s="232">
        <v>49579</v>
      </c>
      <c r="U80" s="233">
        <v>-1977</v>
      </c>
      <c r="V80" s="233">
        <v>47602</v>
      </c>
    </row>
    <row r="81" spans="1:22">
      <c r="A81" s="226">
        <v>90931</v>
      </c>
      <c r="B81" s="227" t="s">
        <v>793</v>
      </c>
      <c r="C81" s="87">
        <v>5.1900000000000001E-5</v>
      </c>
      <c r="D81" s="87">
        <v>6.2700000000000006E-5</v>
      </c>
      <c r="E81" s="231">
        <v>20869.29</v>
      </c>
      <c r="F81" s="231">
        <v>28139</v>
      </c>
      <c r="G81" s="231">
        <v>110149</v>
      </c>
      <c r="H81" s="231"/>
      <c r="I81" s="232">
        <v>2070</v>
      </c>
      <c r="J81" s="232">
        <v>96526</v>
      </c>
      <c r="K81" s="232">
        <v>7544</v>
      </c>
      <c r="L81" s="231">
        <v>6439</v>
      </c>
      <c r="M81" s="231"/>
      <c r="N81" s="232">
        <v>3860</v>
      </c>
      <c r="O81" s="232">
        <v>35627</v>
      </c>
      <c r="P81" s="232">
        <v>0</v>
      </c>
      <c r="Q81" s="231">
        <v>6227</v>
      </c>
      <c r="R81" s="232">
        <f t="shared" si="1"/>
        <v>60899</v>
      </c>
      <c r="S81" s="231"/>
      <c r="T81" s="232">
        <v>29441</v>
      </c>
      <c r="U81" s="233">
        <v>1082</v>
      </c>
      <c r="V81" s="233">
        <v>30524</v>
      </c>
    </row>
    <row r="82" spans="1:22">
      <c r="A82" s="226">
        <v>90941</v>
      </c>
      <c r="B82" s="227" t="s">
        <v>794</v>
      </c>
      <c r="C82" s="87">
        <v>9.0799999999999998E-5</v>
      </c>
      <c r="D82" s="87">
        <v>8.1199999999999995E-5</v>
      </c>
      <c r="E82" s="231">
        <v>33657.32</v>
      </c>
      <c r="F82" s="231">
        <v>36442</v>
      </c>
      <c r="G82" s="231">
        <v>192708</v>
      </c>
      <c r="H82" s="231"/>
      <c r="I82" s="232">
        <v>3620.65</v>
      </c>
      <c r="J82" s="232">
        <v>168874</v>
      </c>
      <c r="K82" s="232">
        <v>13199</v>
      </c>
      <c r="L82" s="231">
        <v>2275</v>
      </c>
      <c r="M82" s="231"/>
      <c r="N82" s="232">
        <v>6753</v>
      </c>
      <c r="O82" s="232">
        <v>62330</v>
      </c>
      <c r="P82" s="232">
        <v>0</v>
      </c>
      <c r="Q82" s="231">
        <v>7609</v>
      </c>
      <c r="R82" s="232">
        <f t="shared" si="1"/>
        <v>106544</v>
      </c>
      <c r="S82" s="231"/>
      <c r="T82" s="232">
        <v>51508</v>
      </c>
      <c r="U82" s="233">
        <v>-2188</v>
      </c>
      <c r="V82" s="233">
        <v>49320</v>
      </c>
    </row>
    <row r="83" spans="1:22">
      <c r="A83" s="226">
        <v>91001</v>
      </c>
      <c r="B83" s="227" t="s">
        <v>795</v>
      </c>
      <c r="C83" s="87">
        <v>6.6189999999999999E-3</v>
      </c>
      <c r="D83" s="87">
        <v>6.5719999999999997E-3</v>
      </c>
      <c r="E83" s="231">
        <v>2476167.31</v>
      </c>
      <c r="F83" s="231">
        <v>2949474</v>
      </c>
      <c r="G83" s="231">
        <v>14047735</v>
      </c>
      <c r="H83" s="231"/>
      <c r="I83" s="232">
        <v>263933</v>
      </c>
      <c r="J83" s="232">
        <v>12310294</v>
      </c>
      <c r="K83" s="232">
        <v>962144</v>
      </c>
      <c r="L83" s="231">
        <v>72024</v>
      </c>
      <c r="M83" s="231"/>
      <c r="N83" s="232">
        <v>492248</v>
      </c>
      <c r="O83" s="232">
        <v>4543666</v>
      </c>
      <c r="P83" s="232">
        <v>0</v>
      </c>
      <c r="Q83" s="231">
        <v>203248</v>
      </c>
      <c r="R83" s="232">
        <f t="shared" si="1"/>
        <v>7766628</v>
      </c>
      <c r="S83" s="231"/>
      <c r="T83" s="232">
        <v>3754754</v>
      </c>
      <c r="U83" s="233">
        <v>-19657</v>
      </c>
      <c r="V83" s="233">
        <v>3735096</v>
      </c>
    </row>
    <row r="84" spans="1:22">
      <c r="A84" s="226">
        <v>91002</v>
      </c>
      <c r="B84" s="227" t="s">
        <v>796</v>
      </c>
      <c r="C84" s="87">
        <v>5.6360000000000004E-4</v>
      </c>
      <c r="D84" s="87">
        <v>5.8929999999999996E-4</v>
      </c>
      <c r="E84" s="231">
        <v>198213.95</v>
      </c>
      <c r="F84" s="231">
        <v>264474</v>
      </c>
      <c r="G84" s="231">
        <v>1196148</v>
      </c>
      <c r="H84" s="231"/>
      <c r="I84" s="232">
        <v>22474</v>
      </c>
      <c r="J84" s="232">
        <v>1048207</v>
      </c>
      <c r="K84" s="232">
        <v>81925</v>
      </c>
      <c r="L84" s="231">
        <v>5287.43</v>
      </c>
      <c r="M84" s="231"/>
      <c r="N84" s="232">
        <v>41914</v>
      </c>
      <c r="O84" s="232">
        <v>386888</v>
      </c>
      <c r="P84" s="232">
        <v>0</v>
      </c>
      <c r="Q84" s="231">
        <v>69296</v>
      </c>
      <c r="R84" s="232">
        <f t="shared" si="1"/>
        <v>661319</v>
      </c>
      <c r="S84" s="231"/>
      <c r="T84" s="232">
        <v>319713</v>
      </c>
      <c r="U84" s="233">
        <v>-18039</v>
      </c>
      <c r="V84" s="233">
        <v>301674</v>
      </c>
    </row>
    <row r="85" spans="1:22">
      <c r="A85" s="226">
        <v>91003</v>
      </c>
      <c r="B85" s="227" t="s">
        <v>797</v>
      </c>
      <c r="C85" s="87">
        <v>5.6550000000000003E-4</v>
      </c>
      <c r="D85" s="87">
        <v>6.4320000000000002E-4</v>
      </c>
      <c r="E85" s="231">
        <v>237082.57000000004</v>
      </c>
      <c r="F85" s="231">
        <v>288664</v>
      </c>
      <c r="G85" s="231">
        <v>1200180</v>
      </c>
      <c r="H85" s="231"/>
      <c r="I85" s="232">
        <v>22549.3125</v>
      </c>
      <c r="J85" s="232">
        <v>1051741</v>
      </c>
      <c r="K85" s="232">
        <v>82202</v>
      </c>
      <c r="L85" s="231">
        <v>33107</v>
      </c>
      <c r="M85" s="231"/>
      <c r="N85" s="232">
        <v>42056</v>
      </c>
      <c r="O85" s="232">
        <v>388192</v>
      </c>
      <c r="P85" s="232">
        <v>0</v>
      </c>
      <c r="Q85" s="231">
        <v>38498</v>
      </c>
      <c r="R85" s="232">
        <f t="shared" si="1"/>
        <v>663549</v>
      </c>
      <c r="S85" s="231"/>
      <c r="T85" s="232">
        <v>320791</v>
      </c>
      <c r="U85" s="233">
        <v>4893</v>
      </c>
      <c r="V85" s="233">
        <v>325683</v>
      </c>
    </row>
    <row r="86" spans="1:22">
      <c r="A86" s="226">
        <v>91004</v>
      </c>
      <c r="B86" s="227" t="s">
        <v>798</v>
      </c>
      <c r="C86" s="87">
        <v>1.7499999999999998E-5</v>
      </c>
      <c r="D86" s="87">
        <v>1.8199999999999999E-5</v>
      </c>
      <c r="E86" s="231">
        <v>9479.5499999999993</v>
      </c>
      <c r="F86" s="231">
        <v>8168</v>
      </c>
      <c r="G86" s="231">
        <v>37141</v>
      </c>
      <c r="H86" s="231"/>
      <c r="I86" s="232">
        <v>698</v>
      </c>
      <c r="J86" s="232">
        <v>32547</v>
      </c>
      <c r="K86" s="232">
        <v>2544</v>
      </c>
      <c r="L86" s="231">
        <v>7859</v>
      </c>
      <c r="M86" s="231"/>
      <c r="N86" s="232">
        <v>1301.4575</v>
      </c>
      <c r="O86" s="232">
        <v>12013</v>
      </c>
      <c r="P86" s="232">
        <v>0</v>
      </c>
      <c r="Q86" s="231">
        <v>217</v>
      </c>
      <c r="R86" s="232">
        <f t="shared" si="1"/>
        <v>20534</v>
      </c>
      <c r="S86" s="231"/>
      <c r="T86" s="232">
        <v>9927</v>
      </c>
      <c r="U86" s="233">
        <v>2541</v>
      </c>
      <c r="V86" s="233">
        <v>12468</v>
      </c>
    </row>
    <row r="87" spans="1:22">
      <c r="A87" s="226">
        <v>91006</v>
      </c>
      <c r="B87" s="227" t="s">
        <v>799</v>
      </c>
      <c r="C87" s="87">
        <v>1.0096E-3</v>
      </c>
      <c r="D87" s="87">
        <v>1.0097000000000001E-3</v>
      </c>
      <c r="E87" s="231">
        <v>387783.48000000004</v>
      </c>
      <c r="F87" s="231">
        <v>453147</v>
      </c>
      <c r="G87" s="231">
        <v>2142709</v>
      </c>
      <c r="H87" s="231"/>
      <c r="I87" s="232">
        <v>40258</v>
      </c>
      <c r="J87" s="232">
        <v>1877696</v>
      </c>
      <c r="K87" s="232">
        <v>146756</v>
      </c>
      <c r="L87" s="231">
        <v>28780</v>
      </c>
      <c r="M87" s="231"/>
      <c r="N87" s="232">
        <v>75083</v>
      </c>
      <c r="O87" s="232">
        <v>693048</v>
      </c>
      <c r="P87" s="232">
        <v>0</v>
      </c>
      <c r="Q87" s="231">
        <v>21822</v>
      </c>
      <c r="R87" s="232">
        <f t="shared" si="1"/>
        <v>1184648</v>
      </c>
      <c r="S87" s="231"/>
      <c r="T87" s="232">
        <v>572715</v>
      </c>
      <c r="U87" s="233">
        <v>4927</v>
      </c>
      <c r="V87" s="233">
        <v>577642</v>
      </c>
    </row>
    <row r="88" spans="1:22">
      <c r="A88" s="226">
        <v>91007</v>
      </c>
      <c r="B88" s="227" t="s">
        <v>800</v>
      </c>
      <c r="C88" s="87">
        <v>1.2500000000000001E-5</v>
      </c>
      <c r="D88" s="87">
        <v>9.5999999999999996E-6</v>
      </c>
      <c r="E88" s="231">
        <v>10106.58</v>
      </c>
      <c r="F88" s="231">
        <v>4308</v>
      </c>
      <c r="G88" s="231">
        <v>26529.1875</v>
      </c>
      <c r="H88" s="231"/>
      <c r="I88" s="232">
        <v>498.4375</v>
      </c>
      <c r="J88" s="232">
        <v>23248</v>
      </c>
      <c r="K88" s="232">
        <v>1817</v>
      </c>
      <c r="L88" s="231">
        <v>7512</v>
      </c>
      <c r="M88" s="231"/>
      <c r="N88" s="232">
        <v>930</v>
      </c>
      <c r="O88" s="232">
        <v>8581</v>
      </c>
      <c r="P88" s="232">
        <v>0</v>
      </c>
      <c r="Q88" s="231">
        <v>1019</v>
      </c>
      <c r="R88" s="232">
        <f t="shared" si="1"/>
        <v>14667</v>
      </c>
      <c r="S88" s="231"/>
      <c r="T88" s="232">
        <v>7091</v>
      </c>
      <c r="U88" s="233">
        <v>1625</v>
      </c>
      <c r="V88" s="233">
        <v>8716</v>
      </c>
    </row>
    <row r="89" spans="1:22">
      <c r="A89" s="226">
        <v>91008</v>
      </c>
      <c r="B89" s="227" t="s">
        <v>801</v>
      </c>
      <c r="C89" s="87">
        <v>1.273E-4</v>
      </c>
      <c r="D89" s="87">
        <v>1.1629999999999999E-4</v>
      </c>
      <c r="E89" s="231">
        <v>64142.909999999996</v>
      </c>
      <c r="F89" s="231">
        <v>52195</v>
      </c>
      <c r="G89" s="231">
        <v>270173</v>
      </c>
      <c r="H89" s="231"/>
      <c r="I89" s="232">
        <v>5076</v>
      </c>
      <c r="J89" s="232">
        <v>236758</v>
      </c>
      <c r="K89" s="232">
        <v>18504</v>
      </c>
      <c r="L89" s="231">
        <v>45460</v>
      </c>
      <c r="M89" s="231"/>
      <c r="N89" s="232">
        <v>9467</v>
      </c>
      <c r="O89" s="232">
        <v>87386</v>
      </c>
      <c r="P89" s="232">
        <v>0</v>
      </c>
      <c r="Q89" s="231">
        <v>0</v>
      </c>
      <c r="R89" s="232">
        <f t="shared" si="1"/>
        <v>149372</v>
      </c>
      <c r="S89" s="231"/>
      <c r="T89" s="232">
        <v>72213</v>
      </c>
      <c r="U89" s="233">
        <v>15722</v>
      </c>
      <c r="V89" s="233">
        <v>87935</v>
      </c>
    </row>
    <row r="90" spans="1:22">
      <c r="A90" s="226">
        <v>91009</v>
      </c>
      <c r="B90" s="227" t="s">
        <v>802</v>
      </c>
      <c r="C90" s="87">
        <v>1.8700000000000001E-5</v>
      </c>
      <c r="D90" s="87">
        <v>1.5099999999999999E-5</v>
      </c>
      <c r="E90" s="231">
        <v>10450.36</v>
      </c>
      <c r="F90" s="231">
        <v>6777</v>
      </c>
      <c r="G90" s="231">
        <v>39688</v>
      </c>
      <c r="H90" s="231"/>
      <c r="I90" s="232">
        <v>745.66250000000002</v>
      </c>
      <c r="J90" s="232">
        <v>34779</v>
      </c>
      <c r="K90" s="232">
        <v>2718</v>
      </c>
      <c r="L90" s="231">
        <v>4142</v>
      </c>
      <c r="M90" s="231"/>
      <c r="N90" s="232">
        <v>1391</v>
      </c>
      <c r="O90" s="232">
        <v>12837</v>
      </c>
      <c r="P90" s="232">
        <v>0</v>
      </c>
      <c r="Q90" s="231">
        <v>3815</v>
      </c>
      <c r="R90" s="232">
        <f t="shared" si="1"/>
        <v>21942</v>
      </c>
      <c r="S90" s="231"/>
      <c r="T90" s="232">
        <v>10608</v>
      </c>
      <c r="U90" s="233">
        <v>-284</v>
      </c>
      <c r="V90" s="233">
        <v>10324</v>
      </c>
    </row>
    <row r="91" spans="1:22">
      <c r="A91" s="226">
        <v>91010</v>
      </c>
      <c r="B91" s="227" t="s">
        <v>803</v>
      </c>
      <c r="C91" s="87">
        <v>6.8399999999999996E-5</v>
      </c>
      <c r="D91" s="87">
        <v>7.08E-5</v>
      </c>
      <c r="E91" s="231">
        <v>29262.219999999998</v>
      </c>
      <c r="F91" s="231">
        <v>31775</v>
      </c>
      <c r="G91" s="231">
        <v>145168</v>
      </c>
      <c r="H91" s="231"/>
      <c r="I91" s="232">
        <v>2727.45</v>
      </c>
      <c r="J91" s="232">
        <v>127213</v>
      </c>
      <c r="K91" s="232">
        <v>9943</v>
      </c>
      <c r="L91" s="231">
        <v>10683</v>
      </c>
      <c r="M91" s="231"/>
      <c r="N91" s="232">
        <v>5087</v>
      </c>
      <c r="O91" s="232">
        <v>46954</v>
      </c>
      <c r="P91" s="232">
        <v>0</v>
      </c>
      <c r="Q91" s="231">
        <v>400</v>
      </c>
      <c r="R91" s="232">
        <f t="shared" si="1"/>
        <v>80259</v>
      </c>
      <c r="S91" s="231"/>
      <c r="T91" s="232">
        <v>38801</v>
      </c>
      <c r="U91" s="233">
        <v>4384</v>
      </c>
      <c r="V91" s="233">
        <v>43185</v>
      </c>
    </row>
    <row r="92" spans="1:22">
      <c r="A92" s="226">
        <v>91011</v>
      </c>
      <c r="B92" s="227" t="s">
        <v>804</v>
      </c>
      <c r="C92" s="87">
        <v>3.1789999999999998E-4</v>
      </c>
      <c r="D92" s="87">
        <v>3.0249999999999998E-4</v>
      </c>
      <c r="E92" s="231">
        <v>134881.49</v>
      </c>
      <c r="F92" s="231">
        <v>135760</v>
      </c>
      <c r="G92" s="231">
        <v>674690</v>
      </c>
      <c r="H92" s="231"/>
      <c r="I92" s="232">
        <v>12676</v>
      </c>
      <c r="J92" s="232">
        <v>591244</v>
      </c>
      <c r="K92" s="232">
        <v>46210</v>
      </c>
      <c r="L92" s="231">
        <v>30818</v>
      </c>
      <c r="M92" s="231"/>
      <c r="N92" s="232">
        <v>23642</v>
      </c>
      <c r="O92" s="232">
        <v>218225</v>
      </c>
      <c r="P92" s="232">
        <v>0</v>
      </c>
      <c r="Q92" s="231">
        <v>0</v>
      </c>
      <c r="R92" s="232">
        <f t="shared" si="1"/>
        <v>373019</v>
      </c>
      <c r="S92" s="231"/>
      <c r="T92" s="232">
        <v>180335</v>
      </c>
      <c r="U92" s="233">
        <v>10335</v>
      </c>
      <c r="V92" s="233">
        <v>190670</v>
      </c>
    </row>
    <row r="93" spans="1:22">
      <c r="A93" s="226">
        <v>91012</v>
      </c>
      <c r="B93" s="227" t="s">
        <v>805</v>
      </c>
      <c r="C93" s="87">
        <v>1.49E-5</v>
      </c>
      <c r="D93" s="87">
        <v>1.08E-5</v>
      </c>
      <c r="E93" s="231">
        <v>7817.43</v>
      </c>
      <c r="F93" s="231">
        <v>4847</v>
      </c>
      <c r="G93" s="231">
        <v>31623</v>
      </c>
      <c r="H93" s="231"/>
      <c r="I93" s="232">
        <v>594</v>
      </c>
      <c r="J93" s="232">
        <v>27712</v>
      </c>
      <c r="K93" s="232">
        <v>2166</v>
      </c>
      <c r="L93" s="231">
        <v>3563</v>
      </c>
      <c r="M93" s="231"/>
      <c r="N93" s="232">
        <v>1108</v>
      </c>
      <c r="O93" s="232">
        <v>10228</v>
      </c>
      <c r="P93" s="232">
        <v>0</v>
      </c>
      <c r="Q93" s="231">
        <v>4733</v>
      </c>
      <c r="R93" s="232">
        <f t="shared" si="1"/>
        <v>17484</v>
      </c>
      <c r="S93" s="231"/>
      <c r="T93" s="232">
        <v>8452</v>
      </c>
      <c r="U93" s="233">
        <v>-1352</v>
      </c>
      <c r="V93" s="233">
        <v>7100</v>
      </c>
    </row>
    <row r="94" spans="1:22">
      <c r="A94" s="226">
        <v>91013</v>
      </c>
      <c r="B94" s="227" t="s">
        <v>806</v>
      </c>
      <c r="C94" s="87">
        <v>2.1800000000000001E-5</v>
      </c>
      <c r="D94" s="87">
        <v>0</v>
      </c>
      <c r="E94" s="231">
        <v>20992.21</v>
      </c>
      <c r="F94" s="231">
        <v>0</v>
      </c>
      <c r="G94" s="231">
        <v>46267</v>
      </c>
      <c r="H94" s="231"/>
      <c r="I94" s="232">
        <v>869</v>
      </c>
      <c r="J94" s="232">
        <v>40545</v>
      </c>
      <c r="K94" s="232">
        <v>3169</v>
      </c>
      <c r="L94" s="231">
        <v>21362</v>
      </c>
      <c r="M94" s="231"/>
      <c r="N94" s="232">
        <v>1621</v>
      </c>
      <c r="O94" s="232">
        <v>14965</v>
      </c>
      <c r="P94" s="232">
        <v>0</v>
      </c>
      <c r="Q94" s="231">
        <v>0</v>
      </c>
      <c r="R94" s="232">
        <f t="shared" si="1"/>
        <v>25580</v>
      </c>
      <c r="S94" s="231"/>
      <c r="T94" s="232">
        <v>12366</v>
      </c>
      <c r="U94" s="233">
        <v>5534</v>
      </c>
      <c r="V94" s="233">
        <v>17901</v>
      </c>
    </row>
    <row r="95" spans="1:22">
      <c r="A95" s="226">
        <v>91014</v>
      </c>
      <c r="B95" s="227" t="s">
        <v>807</v>
      </c>
      <c r="C95" s="87">
        <v>2.1499999999999999E-4</v>
      </c>
      <c r="D95" s="87">
        <v>2.241E-4</v>
      </c>
      <c r="E95" s="231">
        <v>84391.47</v>
      </c>
      <c r="F95" s="231">
        <v>100575</v>
      </c>
      <c r="G95" s="231">
        <v>456302</v>
      </c>
      <c r="H95" s="231"/>
      <c r="I95" s="232">
        <v>8573.125</v>
      </c>
      <c r="J95" s="232">
        <v>399866</v>
      </c>
      <c r="K95" s="232">
        <v>31253</v>
      </c>
      <c r="L95" s="231">
        <v>0</v>
      </c>
      <c r="M95" s="231"/>
      <c r="N95" s="232">
        <v>15989</v>
      </c>
      <c r="O95" s="232">
        <v>147588.47</v>
      </c>
      <c r="P95" s="232">
        <v>0</v>
      </c>
      <c r="Q95" s="231">
        <v>17744</v>
      </c>
      <c r="R95" s="232">
        <f t="shared" si="1"/>
        <v>252277.53</v>
      </c>
      <c r="S95" s="231"/>
      <c r="T95" s="232">
        <v>121963</v>
      </c>
      <c r="U95" s="233">
        <v>-6457</v>
      </c>
      <c r="V95" s="233">
        <v>115506</v>
      </c>
    </row>
    <row r="96" spans="1:22">
      <c r="A96" s="226">
        <v>91017</v>
      </c>
      <c r="B96" s="227" t="s">
        <v>808</v>
      </c>
      <c r="C96" s="87">
        <v>2.3E-5</v>
      </c>
      <c r="D96" s="87">
        <v>1.01E-5</v>
      </c>
      <c r="E96" s="231">
        <v>10837.78</v>
      </c>
      <c r="F96" s="231">
        <v>4533</v>
      </c>
      <c r="G96" s="231">
        <v>48814</v>
      </c>
      <c r="H96" s="231"/>
      <c r="I96" s="232">
        <v>917.125</v>
      </c>
      <c r="J96" s="232">
        <v>42776</v>
      </c>
      <c r="K96" s="232">
        <v>3343</v>
      </c>
      <c r="L96" s="231">
        <v>11872</v>
      </c>
      <c r="M96" s="231"/>
      <c r="N96" s="232">
        <v>1710</v>
      </c>
      <c r="O96" s="232">
        <v>15789</v>
      </c>
      <c r="P96" s="232">
        <v>0</v>
      </c>
      <c r="Q96" s="231">
        <v>0</v>
      </c>
      <c r="R96" s="232">
        <f t="shared" si="1"/>
        <v>26987</v>
      </c>
      <c r="S96" s="231"/>
      <c r="T96" s="232">
        <v>13047</v>
      </c>
      <c r="U96" s="233">
        <v>3546</v>
      </c>
      <c r="V96" s="233">
        <v>16593</v>
      </c>
    </row>
    <row r="97" spans="1:22">
      <c r="A97" s="226">
        <v>91020</v>
      </c>
      <c r="B97" s="227" t="s">
        <v>809</v>
      </c>
      <c r="C97" s="87">
        <v>1.9899999999999999E-5</v>
      </c>
      <c r="D97" s="87">
        <v>1.7E-5</v>
      </c>
      <c r="E97" s="231">
        <v>8500.07</v>
      </c>
      <c r="F97" s="231">
        <v>7629</v>
      </c>
      <c r="G97" s="231">
        <v>42234</v>
      </c>
      <c r="H97" s="231"/>
      <c r="I97" s="232">
        <v>794</v>
      </c>
      <c r="J97" s="232">
        <v>37011</v>
      </c>
      <c r="K97" s="232">
        <v>2893</v>
      </c>
      <c r="L97" s="231">
        <v>2656</v>
      </c>
      <c r="M97" s="231"/>
      <c r="N97" s="232">
        <v>1480</v>
      </c>
      <c r="O97" s="232">
        <v>13661</v>
      </c>
      <c r="P97" s="232">
        <v>0</v>
      </c>
      <c r="Q97" s="231">
        <v>582</v>
      </c>
      <c r="R97" s="232">
        <f t="shared" si="1"/>
        <v>23350</v>
      </c>
      <c r="S97" s="231"/>
      <c r="T97" s="232">
        <v>11289</v>
      </c>
      <c r="U97" s="233">
        <v>685</v>
      </c>
      <c r="V97" s="233">
        <v>11973</v>
      </c>
    </row>
    <row r="98" spans="1:22">
      <c r="A98" s="226">
        <v>91021</v>
      </c>
      <c r="B98" s="227" t="s">
        <v>810</v>
      </c>
      <c r="C98" s="87">
        <v>8.6989999999999995E-4</v>
      </c>
      <c r="D98" s="87">
        <v>9.4979999999999999E-4</v>
      </c>
      <c r="E98" s="231">
        <v>366474.75</v>
      </c>
      <c r="F98" s="231">
        <v>426265</v>
      </c>
      <c r="G98" s="231">
        <v>1846219</v>
      </c>
      <c r="H98" s="231"/>
      <c r="I98" s="232">
        <v>34687</v>
      </c>
      <c r="J98" s="232">
        <v>1617877</v>
      </c>
      <c r="K98" s="232">
        <v>126450</v>
      </c>
      <c r="L98" s="231">
        <v>0</v>
      </c>
      <c r="M98" s="231"/>
      <c r="N98" s="232">
        <v>64694</v>
      </c>
      <c r="O98" s="232">
        <v>597150</v>
      </c>
      <c r="P98" s="232">
        <v>0</v>
      </c>
      <c r="Q98" s="231">
        <v>117733</v>
      </c>
      <c r="R98" s="232">
        <f t="shared" si="1"/>
        <v>1020727</v>
      </c>
      <c r="S98" s="231"/>
      <c r="T98" s="232">
        <v>493467</v>
      </c>
      <c r="U98" s="233">
        <v>-45954</v>
      </c>
      <c r="V98" s="233">
        <v>447513</v>
      </c>
    </row>
    <row r="99" spans="1:22">
      <c r="A99" s="226">
        <v>91024</v>
      </c>
      <c r="B99" s="227" t="s">
        <v>811</v>
      </c>
      <c r="C99" s="87">
        <v>6.6299999999999999E-5</v>
      </c>
      <c r="D99" s="87">
        <v>4.3800000000000001E-5</v>
      </c>
      <c r="E99" s="231">
        <v>26295.57</v>
      </c>
      <c r="F99" s="231">
        <v>19657</v>
      </c>
      <c r="G99" s="231">
        <v>140711</v>
      </c>
      <c r="H99" s="231"/>
      <c r="I99" s="232">
        <v>2644</v>
      </c>
      <c r="J99" s="232">
        <v>123308</v>
      </c>
      <c r="K99" s="232">
        <v>9637</v>
      </c>
      <c r="L99" s="231">
        <v>28363</v>
      </c>
      <c r="M99" s="231"/>
      <c r="N99" s="232">
        <v>4931</v>
      </c>
      <c r="O99" s="232">
        <v>45512</v>
      </c>
      <c r="P99" s="232">
        <v>0</v>
      </c>
      <c r="Q99" s="231">
        <v>0</v>
      </c>
      <c r="R99" s="232">
        <f t="shared" si="1"/>
        <v>77796</v>
      </c>
      <c r="S99" s="231"/>
      <c r="T99" s="232">
        <v>37610</v>
      </c>
      <c r="U99" s="233">
        <v>9531</v>
      </c>
      <c r="V99" s="233">
        <v>47141</v>
      </c>
    </row>
    <row r="100" spans="1:22">
      <c r="A100" s="226">
        <v>91026</v>
      </c>
      <c r="B100" s="227" t="s">
        <v>43</v>
      </c>
      <c r="C100" s="87">
        <v>6.0900000000000003E-5</v>
      </c>
      <c r="D100" s="87">
        <v>5.4700000000000001E-5</v>
      </c>
      <c r="E100" s="231">
        <v>45660.320000000007</v>
      </c>
      <c r="F100" s="231">
        <v>24549</v>
      </c>
      <c r="G100" s="231">
        <v>129250</v>
      </c>
      <c r="H100" s="231"/>
      <c r="I100" s="232">
        <v>2428</v>
      </c>
      <c r="J100" s="232">
        <v>113264</v>
      </c>
      <c r="K100" s="232">
        <v>8852</v>
      </c>
      <c r="L100" s="231">
        <v>43564</v>
      </c>
      <c r="M100" s="231"/>
      <c r="N100" s="232">
        <v>4529</v>
      </c>
      <c r="O100" s="232">
        <v>41805</v>
      </c>
      <c r="P100" s="232">
        <v>0</v>
      </c>
      <c r="Q100" s="231">
        <v>6237</v>
      </c>
      <c r="R100" s="232">
        <f t="shared" si="1"/>
        <v>71459</v>
      </c>
      <c r="S100" s="231"/>
      <c r="T100" s="232">
        <v>34547</v>
      </c>
      <c r="U100" s="233">
        <v>10429</v>
      </c>
      <c r="V100" s="233">
        <v>44976</v>
      </c>
    </row>
    <row r="101" spans="1:22">
      <c r="A101" s="226">
        <v>91027</v>
      </c>
      <c r="B101" s="227" t="s">
        <v>812</v>
      </c>
      <c r="C101" s="87">
        <v>1.6099999999999998E-5</v>
      </c>
      <c r="D101" s="87">
        <v>1.6099999999999998E-5</v>
      </c>
      <c r="E101" s="231">
        <v>15581.259999999998</v>
      </c>
      <c r="F101" s="231">
        <v>7226</v>
      </c>
      <c r="G101" s="231">
        <v>34170</v>
      </c>
      <c r="H101" s="231"/>
      <c r="I101" s="232">
        <v>642</v>
      </c>
      <c r="J101" s="232">
        <v>29943</v>
      </c>
      <c r="K101" s="232">
        <v>2340</v>
      </c>
      <c r="L101" s="231">
        <v>15162</v>
      </c>
      <c r="M101" s="231"/>
      <c r="N101" s="232">
        <v>1197</v>
      </c>
      <c r="O101" s="232">
        <v>11052</v>
      </c>
      <c r="P101" s="232">
        <v>0</v>
      </c>
      <c r="Q101" s="231">
        <v>0</v>
      </c>
      <c r="R101" s="232">
        <f t="shared" si="1"/>
        <v>18891</v>
      </c>
      <c r="S101" s="231"/>
      <c r="T101" s="232">
        <v>9133</v>
      </c>
      <c r="U101" s="233">
        <v>5044</v>
      </c>
      <c r="V101" s="233">
        <v>14177</v>
      </c>
    </row>
    <row r="102" spans="1:22">
      <c r="A102" s="226">
        <v>91032</v>
      </c>
      <c r="B102" s="227" t="s">
        <v>813</v>
      </c>
      <c r="C102" s="87">
        <v>1.8600000000000001E-5</v>
      </c>
      <c r="D102" s="87">
        <v>2.12E-5</v>
      </c>
      <c r="E102" s="231">
        <v>14204.55</v>
      </c>
      <c r="F102" s="231">
        <v>9514</v>
      </c>
      <c r="G102" s="231">
        <v>39475</v>
      </c>
      <c r="H102" s="231"/>
      <c r="I102" s="232">
        <v>742</v>
      </c>
      <c r="J102" s="232">
        <v>34593</v>
      </c>
      <c r="K102" s="232">
        <v>2704</v>
      </c>
      <c r="L102" s="231">
        <v>14052</v>
      </c>
      <c r="M102" s="231"/>
      <c r="N102" s="232">
        <v>1383</v>
      </c>
      <c r="O102" s="232">
        <v>12768</v>
      </c>
      <c r="P102" s="232">
        <v>0</v>
      </c>
      <c r="Q102" s="231">
        <v>0</v>
      </c>
      <c r="R102" s="232">
        <f t="shared" si="1"/>
        <v>21825</v>
      </c>
      <c r="S102" s="231"/>
      <c r="T102" s="232">
        <v>10551</v>
      </c>
      <c r="U102" s="233">
        <v>4978</v>
      </c>
      <c r="V102" s="233">
        <v>15529</v>
      </c>
    </row>
    <row r="103" spans="1:22">
      <c r="A103" s="226">
        <v>91041</v>
      </c>
      <c r="B103" s="227" t="s">
        <v>814</v>
      </c>
      <c r="C103" s="87">
        <v>4.3609999999999998E-4</v>
      </c>
      <c r="D103" s="87">
        <v>4.8910000000000002E-4</v>
      </c>
      <c r="E103" s="231">
        <v>143841.5</v>
      </c>
      <c r="F103" s="231">
        <v>219505</v>
      </c>
      <c r="G103" s="231">
        <v>925550</v>
      </c>
      <c r="H103" s="231"/>
      <c r="I103" s="232">
        <v>17389</v>
      </c>
      <c r="J103" s="232">
        <v>811077</v>
      </c>
      <c r="K103" s="232">
        <v>63392</v>
      </c>
      <c r="L103" s="231">
        <v>0</v>
      </c>
      <c r="M103" s="231"/>
      <c r="N103" s="232">
        <v>32432</v>
      </c>
      <c r="O103" s="232">
        <v>299364</v>
      </c>
      <c r="P103" s="232">
        <v>0</v>
      </c>
      <c r="Q103" s="231">
        <v>93669</v>
      </c>
      <c r="R103" s="232">
        <f t="shared" si="1"/>
        <v>511713</v>
      </c>
      <c r="S103" s="231"/>
      <c r="T103" s="232">
        <v>247386</v>
      </c>
      <c r="U103" s="233">
        <v>-28115</v>
      </c>
      <c r="V103" s="233">
        <v>219271</v>
      </c>
    </row>
    <row r="104" spans="1:22">
      <c r="A104" s="226">
        <v>91042</v>
      </c>
      <c r="B104" s="227" t="s">
        <v>815</v>
      </c>
      <c r="C104" s="87">
        <v>2.062E-4</v>
      </c>
      <c r="D104" s="87">
        <v>2.1579999999999999E-4</v>
      </c>
      <c r="E104" s="231">
        <v>79476.37000000001</v>
      </c>
      <c r="F104" s="231">
        <v>96850</v>
      </c>
      <c r="G104" s="231">
        <v>437625</v>
      </c>
      <c r="H104" s="231"/>
      <c r="I104" s="232">
        <v>8222</v>
      </c>
      <c r="J104" s="232">
        <v>383499</v>
      </c>
      <c r="K104" s="232">
        <v>29973</v>
      </c>
      <c r="L104" s="231">
        <v>241</v>
      </c>
      <c r="M104" s="231"/>
      <c r="N104" s="232">
        <v>15335</v>
      </c>
      <c r="O104" s="232">
        <v>141548</v>
      </c>
      <c r="P104" s="232">
        <v>0</v>
      </c>
      <c r="Q104" s="231">
        <v>9427</v>
      </c>
      <c r="R104" s="232">
        <f t="shared" si="1"/>
        <v>241951</v>
      </c>
      <c r="S104" s="231"/>
      <c r="T104" s="232">
        <v>116971</v>
      </c>
      <c r="U104" s="233">
        <v>-2338</v>
      </c>
      <c r="V104" s="233">
        <v>114633</v>
      </c>
    </row>
    <row r="105" spans="1:22">
      <c r="A105" s="226">
        <v>91047</v>
      </c>
      <c r="B105" s="227" t="s">
        <v>816</v>
      </c>
      <c r="C105" s="87">
        <v>1.3200000000000001E-5</v>
      </c>
      <c r="D105" s="87">
        <v>1.29E-5</v>
      </c>
      <c r="E105" s="231">
        <v>17711.78</v>
      </c>
      <c r="F105" s="231">
        <v>5789</v>
      </c>
      <c r="G105" s="231">
        <v>28015</v>
      </c>
      <c r="H105" s="231"/>
      <c r="I105" s="232">
        <v>526.35</v>
      </c>
      <c r="J105" s="232">
        <v>24550</v>
      </c>
      <c r="K105" s="232">
        <v>1919</v>
      </c>
      <c r="L105" s="231">
        <v>17767</v>
      </c>
      <c r="M105" s="231"/>
      <c r="N105" s="232">
        <v>982</v>
      </c>
      <c r="O105" s="232">
        <v>9061</v>
      </c>
      <c r="P105" s="232">
        <v>0</v>
      </c>
      <c r="Q105" s="231">
        <v>0</v>
      </c>
      <c r="R105" s="232">
        <f t="shared" si="1"/>
        <v>15489</v>
      </c>
      <c r="S105" s="231"/>
      <c r="T105" s="232">
        <v>7488</v>
      </c>
      <c r="U105" s="233">
        <v>5499</v>
      </c>
      <c r="V105" s="233">
        <v>12987</v>
      </c>
    </row>
    <row r="106" spans="1:22">
      <c r="A106" s="226">
        <v>91051</v>
      </c>
      <c r="B106" s="227" t="s">
        <v>817</v>
      </c>
      <c r="C106" s="87">
        <v>7.6600000000000005E-5</v>
      </c>
      <c r="D106" s="87">
        <v>8.14E-5</v>
      </c>
      <c r="E106" s="231">
        <v>31832.510000000002</v>
      </c>
      <c r="F106" s="231">
        <v>36532</v>
      </c>
      <c r="G106" s="231">
        <v>162571</v>
      </c>
      <c r="H106" s="231"/>
      <c r="I106" s="232">
        <v>3054</v>
      </c>
      <c r="J106" s="232">
        <v>142464</v>
      </c>
      <c r="K106" s="232">
        <v>11135</v>
      </c>
      <c r="L106" s="231">
        <v>2509</v>
      </c>
      <c r="M106" s="231"/>
      <c r="N106" s="232">
        <v>5697</v>
      </c>
      <c r="O106" s="232">
        <v>52583</v>
      </c>
      <c r="P106" s="232">
        <v>0</v>
      </c>
      <c r="Q106" s="231">
        <v>2829</v>
      </c>
      <c r="R106" s="232">
        <f t="shared" si="1"/>
        <v>89881</v>
      </c>
      <c r="S106" s="231"/>
      <c r="T106" s="232">
        <v>43453</v>
      </c>
      <c r="U106" s="233">
        <v>37</v>
      </c>
      <c r="V106" s="233">
        <v>43490</v>
      </c>
    </row>
    <row r="107" spans="1:22">
      <c r="A107" s="226">
        <v>91057</v>
      </c>
      <c r="B107" s="227" t="s">
        <v>818</v>
      </c>
      <c r="C107" s="87">
        <v>1.5E-5</v>
      </c>
      <c r="D107" s="87">
        <v>1.49E-5</v>
      </c>
      <c r="E107" s="231">
        <v>9524.76</v>
      </c>
      <c r="F107" s="231">
        <v>6687</v>
      </c>
      <c r="G107" s="231">
        <v>31835</v>
      </c>
      <c r="H107" s="231"/>
      <c r="I107" s="232">
        <v>598.125</v>
      </c>
      <c r="J107" s="232">
        <v>27897.63</v>
      </c>
      <c r="K107" s="232">
        <v>2180.415</v>
      </c>
      <c r="L107" s="231">
        <v>5494</v>
      </c>
      <c r="M107" s="231"/>
      <c r="N107" s="232">
        <v>1116</v>
      </c>
      <c r="O107" s="232">
        <v>10297</v>
      </c>
      <c r="P107" s="232">
        <v>0</v>
      </c>
      <c r="Q107" s="231">
        <v>0</v>
      </c>
      <c r="R107" s="232">
        <f t="shared" si="1"/>
        <v>17600.63</v>
      </c>
      <c r="S107" s="231"/>
      <c r="T107" s="232">
        <v>8509</v>
      </c>
      <c r="U107" s="233">
        <v>1691</v>
      </c>
      <c r="V107" s="233">
        <v>10200</v>
      </c>
    </row>
    <row r="108" spans="1:22">
      <c r="A108" s="226">
        <v>91061</v>
      </c>
      <c r="B108" s="227" t="s">
        <v>819</v>
      </c>
      <c r="C108" s="87">
        <v>3.7730000000000001E-4</v>
      </c>
      <c r="D108" s="87">
        <v>3.322E-4</v>
      </c>
      <c r="E108" s="231">
        <v>141049.84</v>
      </c>
      <c r="F108" s="231">
        <v>149089</v>
      </c>
      <c r="G108" s="231">
        <v>800757</v>
      </c>
      <c r="H108" s="231"/>
      <c r="I108" s="232">
        <v>15045</v>
      </c>
      <c r="J108" s="232">
        <v>701718</v>
      </c>
      <c r="K108" s="232">
        <v>54845</v>
      </c>
      <c r="L108" s="231">
        <v>13223</v>
      </c>
      <c r="M108" s="231"/>
      <c r="N108" s="232">
        <v>28059</v>
      </c>
      <c r="O108" s="232">
        <v>259001</v>
      </c>
      <c r="P108" s="232">
        <v>0</v>
      </c>
      <c r="Q108" s="231">
        <v>46977</v>
      </c>
      <c r="R108" s="232">
        <f t="shared" si="1"/>
        <v>442717</v>
      </c>
      <c r="S108" s="231"/>
      <c r="T108" s="232">
        <v>214031</v>
      </c>
      <c r="U108" s="233">
        <v>-15751</v>
      </c>
      <c r="V108" s="233">
        <v>198279</v>
      </c>
    </row>
    <row r="109" spans="1:22">
      <c r="A109" s="226">
        <v>91067</v>
      </c>
      <c r="B109" s="227" t="s">
        <v>820</v>
      </c>
      <c r="C109" s="87">
        <v>1.8499999999999999E-5</v>
      </c>
      <c r="D109" s="87">
        <v>1.7099999999999999E-5</v>
      </c>
      <c r="E109" s="231">
        <v>8476.0800000000017</v>
      </c>
      <c r="F109" s="231">
        <v>7674</v>
      </c>
      <c r="G109" s="231">
        <v>39263</v>
      </c>
      <c r="H109" s="231"/>
      <c r="I109" s="232">
        <v>737.6875</v>
      </c>
      <c r="J109" s="232">
        <v>34407</v>
      </c>
      <c r="K109" s="232">
        <v>2689</v>
      </c>
      <c r="L109" s="231">
        <v>3670</v>
      </c>
      <c r="M109" s="231"/>
      <c r="N109" s="232">
        <v>1376</v>
      </c>
      <c r="O109" s="232">
        <v>12699</v>
      </c>
      <c r="P109" s="232">
        <v>0</v>
      </c>
      <c r="Q109" s="231">
        <v>0</v>
      </c>
      <c r="R109" s="232">
        <f t="shared" si="1"/>
        <v>21708</v>
      </c>
      <c r="S109" s="231"/>
      <c r="T109" s="232">
        <v>10494</v>
      </c>
      <c r="U109" s="233">
        <v>1258</v>
      </c>
      <c r="V109" s="233">
        <v>11752</v>
      </c>
    </row>
    <row r="110" spans="1:22">
      <c r="A110" s="226">
        <v>91071</v>
      </c>
      <c r="B110" s="227" t="s">
        <v>821</v>
      </c>
      <c r="C110" s="87">
        <v>2.4379999999999999E-4</v>
      </c>
      <c r="D110" s="87">
        <v>2.321E-4</v>
      </c>
      <c r="E110" s="231">
        <v>89647.999999999985</v>
      </c>
      <c r="F110" s="231">
        <v>104165</v>
      </c>
      <c r="G110" s="231">
        <v>517425</v>
      </c>
      <c r="H110" s="231"/>
      <c r="I110" s="232">
        <v>9722</v>
      </c>
      <c r="J110" s="232">
        <v>453429</v>
      </c>
      <c r="K110" s="232">
        <v>35439</v>
      </c>
      <c r="L110" s="231">
        <v>16829.43</v>
      </c>
      <c r="M110" s="231"/>
      <c r="N110" s="232">
        <v>18131</v>
      </c>
      <c r="O110" s="232">
        <v>167358</v>
      </c>
      <c r="P110" s="232">
        <v>0</v>
      </c>
      <c r="Q110" s="231">
        <v>3799</v>
      </c>
      <c r="R110" s="232">
        <f t="shared" si="1"/>
        <v>286071</v>
      </c>
      <c r="S110" s="231"/>
      <c r="T110" s="232">
        <v>138300</v>
      </c>
      <c r="U110" s="233">
        <v>7310</v>
      </c>
      <c r="V110" s="233">
        <v>145610</v>
      </c>
    </row>
    <row r="111" spans="1:22">
      <c r="A111" s="226">
        <v>91077</v>
      </c>
      <c r="B111" s="227" t="s">
        <v>822</v>
      </c>
      <c r="C111" s="87">
        <v>3.9999999999999998E-6</v>
      </c>
      <c r="D111" s="87">
        <v>4.7999999999999998E-6</v>
      </c>
      <c r="E111" s="231">
        <v>2964.42</v>
      </c>
      <c r="F111" s="231">
        <v>2154</v>
      </c>
      <c r="G111" s="231">
        <v>8489.34</v>
      </c>
      <c r="H111" s="231"/>
      <c r="I111" s="232">
        <v>159.5</v>
      </c>
      <c r="J111" s="232">
        <v>7439</v>
      </c>
      <c r="K111" s="232">
        <v>581</v>
      </c>
      <c r="L111" s="231">
        <v>1140</v>
      </c>
      <c r="M111" s="231"/>
      <c r="N111" s="232">
        <v>297</v>
      </c>
      <c r="O111" s="232">
        <v>2746</v>
      </c>
      <c r="P111" s="232">
        <v>0</v>
      </c>
      <c r="Q111" s="231">
        <v>103</v>
      </c>
      <c r="R111" s="232">
        <f t="shared" si="1"/>
        <v>4693</v>
      </c>
      <c r="S111" s="231"/>
      <c r="T111" s="232">
        <v>2269</v>
      </c>
      <c r="U111" s="233">
        <v>294</v>
      </c>
      <c r="V111" s="233">
        <v>2563</v>
      </c>
    </row>
    <row r="112" spans="1:22">
      <c r="A112" s="226">
        <v>91081</v>
      </c>
      <c r="B112" s="227" t="s">
        <v>823</v>
      </c>
      <c r="C112" s="87">
        <v>3.6499999999999998E-4</v>
      </c>
      <c r="D112" s="87">
        <v>3.5750000000000002E-4</v>
      </c>
      <c r="E112" s="231">
        <v>146435.68000000002</v>
      </c>
      <c r="F112" s="231">
        <v>160444</v>
      </c>
      <c r="G112" s="231">
        <v>774652</v>
      </c>
      <c r="H112" s="231"/>
      <c r="I112" s="232">
        <v>14554.375</v>
      </c>
      <c r="J112" s="232">
        <v>678842.33</v>
      </c>
      <c r="K112" s="232">
        <v>53057</v>
      </c>
      <c r="L112" s="231">
        <v>1642</v>
      </c>
      <c r="M112" s="231"/>
      <c r="N112" s="232">
        <v>27145</v>
      </c>
      <c r="O112" s="232">
        <v>250557</v>
      </c>
      <c r="P112" s="232">
        <v>0</v>
      </c>
      <c r="Q112" s="231">
        <v>27235</v>
      </c>
      <c r="R112" s="232">
        <f t="shared" si="1"/>
        <v>428285.32999999996</v>
      </c>
      <c r="S112" s="231"/>
      <c r="T112" s="232">
        <v>207053</v>
      </c>
      <c r="U112" s="233">
        <v>-13214</v>
      </c>
      <c r="V112" s="233">
        <v>193840</v>
      </c>
    </row>
    <row r="113" spans="1:22">
      <c r="A113" s="226">
        <v>91091</v>
      </c>
      <c r="B113" s="227" t="s">
        <v>824</v>
      </c>
      <c r="C113" s="87">
        <v>5.6380000000000004E-4</v>
      </c>
      <c r="D113" s="87">
        <v>5.3359999999999996E-4</v>
      </c>
      <c r="E113" s="231">
        <v>203382.8</v>
      </c>
      <c r="F113" s="231">
        <v>239476</v>
      </c>
      <c r="G113" s="231">
        <v>1196572</v>
      </c>
      <c r="H113" s="231"/>
      <c r="I113" s="232">
        <v>22482</v>
      </c>
      <c r="J113" s="232">
        <v>1048579</v>
      </c>
      <c r="K113" s="232">
        <v>81955</v>
      </c>
      <c r="L113" s="231">
        <v>0</v>
      </c>
      <c r="M113" s="231"/>
      <c r="N113" s="232">
        <v>41929</v>
      </c>
      <c r="O113" s="232">
        <v>387025</v>
      </c>
      <c r="P113" s="232">
        <v>0</v>
      </c>
      <c r="Q113" s="231">
        <v>54149</v>
      </c>
      <c r="R113" s="232">
        <f t="shared" si="1"/>
        <v>661554</v>
      </c>
      <c r="S113" s="231"/>
      <c r="T113" s="232">
        <v>319826</v>
      </c>
      <c r="U113" s="233">
        <v>-22256</v>
      </c>
      <c r="V113" s="233">
        <v>297571</v>
      </c>
    </row>
    <row r="114" spans="1:22">
      <c r="A114" s="226">
        <v>91101</v>
      </c>
      <c r="B114" s="227" t="s">
        <v>825</v>
      </c>
      <c r="C114" s="87">
        <v>1.36685E-2</v>
      </c>
      <c r="D114" s="87">
        <v>1.3700499999999999E-2</v>
      </c>
      <c r="E114" s="231">
        <v>5218348.8699999992</v>
      </c>
      <c r="F114" s="231">
        <v>6148702</v>
      </c>
      <c r="G114" s="231">
        <v>29009136</v>
      </c>
      <c r="H114" s="231"/>
      <c r="I114" s="232">
        <v>545031</v>
      </c>
      <c r="J114" s="232">
        <v>25421250</v>
      </c>
      <c r="K114" s="232">
        <v>1986867</v>
      </c>
      <c r="L114" s="231">
        <v>791280</v>
      </c>
      <c r="M114" s="231"/>
      <c r="N114" s="232">
        <v>1016513</v>
      </c>
      <c r="O114" s="232">
        <v>9382851</v>
      </c>
      <c r="P114" s="232">
        <v>0</v>
      </c>
      <c r="Q114" s="231">
        <v>337196</v>
      </c>
      <c r="R114" s="232">
        <f t="shared" si="1"/>
        <v>16038399</v>
      </c>
      <c r="S114" s="231"/>
      <c r="T114" s="232">
        <v>7753716</v>
      </c>
      <c r="U114" s="233">
        <v>232315</v>
      </c>
      <c r="V114" s="233">
        <v>7986031</v>
      </c>
    </row>
    <row r="115" spans="1:22">
      <c r="A115" s="226">
        <v>91102</v>
      </c>
      <c r="B115" s="227" t="s">
        <v>826</v>
      </c>
      <c r="C115" s="87">
        <v>3.034E-4</v>
      </c>
      <c r="D115" s="87">
        <v>2.834E-4</v>
      </c>
      <c r="E115" s="231">
        <v>133771.11000000002</v>
      </c>
      <c r="F115" s="231">
        <v>127188</v>
      </c>
      <c r="G115" s="231">
        <v>643916</v>
      </c>
      <c r="H115" s="231"/>
      <c r="I115" s="232">
        <v>12098</v>
      </c>
      <c r="J115" s="232">
        <v>564276</v>
      </c>
      <c r="K115" s="232">
        <v>44103</v>
      </c>
      <c r="L115" s="231">
        <v>18534</v>
      </c>
      <c r="M115" s="231"/>
      <c r="N115" s="232">
        <v>22564</v>
      </c>
      <c r="O115" s="232">
        <v>208271</v>
      </c>
      <c r="P115" s="232">
        <v>0</v>
      </c>
      <c r="Q115" s="231">
        <v>52648</v>
      </c>
      <c r="R115" s="232">
        <f t="shared" si="1"/>
        <v>356005</v>
      </c>
      <c r="S115" s="231"/>
      <c r="T115" s="232">
        <v>172109</v>
      </c>
      <c r="U115" s="233">
        <v>-13734</v>
      </c>
      <c r="V115" s="233">
        <v>158376</v>
      </c>
    </row>
    <row r="116" spans="1:22">
      <c r="A116" s="226">
        <v>91104</v>
      </c>
      <c r="B116" s="227" t="s">
        <v>827</v>
      </c>
      <c r="C116" s="87">
        <v>8.1999999999999994E-6</v>
      </c>
      <c r="D116" s="87">
        <v>9.2E-6</v>
      </c>
      <c r="E116" s="231">
        <v>5034.29</v>
      </c>
      <c r="F116" s="231">
        <v>4129</v>
      </c>
      <c r="G116" s="231">
        <v>17403</v>
      </c>
      <c r="H116" s="231"/>
      <c r="I116" s="232">
        <v>327</v>
      </c>
      <c r="J116" s="232">
        <v>15251</v>
      </c>
      <c r="K116" s="232">
        <v>1192</v>
      </c>
      <c r="L116" s="231">
        <v>993</v>
      </c>
      <c r="M116" s="231"/>
      <c r="N116" s="232">
        <v>610</v>
      </c>
      <c r="O116" s="232">
        <v>5629</v>
      </c>
      <c r="P116" s="232">
        <v>0</v>
      </c>
      <c r="Q116" s="231">
        <v>78</v>
      </c>
      <c r="R116" s="232">
        <f t="shared" si="1"/>
        <v>9622</v>
      </c>
      <c r="S116" s="231"/>
      <c r="T116" s="232">
        <v>4652</v>
      </c>
      <c r="U116" s="233">
        <v>239</v>
      </c>
      <c r="V116" s="233">
        <v>4890</v>
      </c>
    </row>
    <row r="117" spans="1:22">
      <c r="A117" s="226">
        <v>91107</v>
      </c>
      <c r="B117" s="227" t="s">
        <v>1932</v>
      </c>
      <c r="C117" s="87">
        <v>6.7899999999999997E-5</v>
      </c>
      <c r="D117" s="87">
        <v>6.3999999999999997E-5</v>
      </c>
      <c r="E117" s="231">
        <v>34872.559999999998</v>
      </c>
      <c r="F117" s="231">
        <v>28723</v>
      </c>
      <c r="G117" s="231">
        <v>144107</v>
      </c>
      <c r="H117" s="231"/>
      <c r="I117" s="232">
        <v>2708</v>
      </c>
      <c r="J117" s="232">
        <v>126283</v>
      </c>
      <c r="K117" s="232">
        <v>9870</v>
      </c>
      <c r="L117" s="231">
        <v>11761</v>
      </c>
      <c r="M117" s="231"/>
      <c r="N117" s="232">
        <v>5050</v>
      </c>
      <c r="O117" s="232">
        <v>46610</v>
      </c>
      <c r="P117" s="232">
        <v>0</v>
      </c>
      <c r="Q117" s="231">
        <v>0</v>
      </c>
      <c r="R117" s="232">
        <f t="shared" si="1"/>
        <v>79673</v>
      </c>
      <c r="S117" s="231"/>
      <c r="T117" s="232">
        <v>38518</v>
      </c>
      <c r="U117" s="233">
        <v>3853</v>
      </c>
      <c r="V117" s="233">
        <v>42371</v>
      </c>
    </row>
    <row r="118" spans="1:22">
      <c r="A118" s="226">
        <v>91108</v>
      </c>
      <c r="B118" s="227" t="s">
        <v>829</v>
      </c>
      <c r="C118" s="87">
        <v>1.2622E-3</v>
      </c>
      <c r="D118" s="87">
        <v>1.2565E-3</v>
      </c>
      <c r="E118" s="231">
        <v>552346.72</v>
      </c>
      <c r="F118" s="231">
        <v>563910</v>
      </c>
      <c r="G118" s="231">
        <v>2678811</v>
      </c>
      <c r="H118" s="231"/>
      <c r="I118" s="232">
        <v>50330</v>
      </c>
      <c r="J118" s="232">
        <v>2347493</v>
      </c>
      <c r="K118" s="232">
        <v>183475</v>
      </c>
      <c r="L118" s="231">
        <v>83626</v>
      </c>
      <c r="M118" s="231"/>
      <c r="N118" s="232">
        <v>93869</v>
      </c>
      <c r="O118" s="232">
        <v>866447</v>
      </c>
      <c r="P118" s="232">
        <v>0</v>
      </c>
      <c r="Q118" s="231">
        <v>0</v>
      </c>
      <c r="R118" s="232">
        <f t="shared" si="1"/>
        <v>1481046</v>
      </c>
      <c r="S118" s="231"/>
      <c r="T118" s="232">
        <v>716007</v>
      </c>
      <c r="U118" s="233">
        <v>29649</v>
      </c>
      <c r="V118" s="233">
        <v>745656</v>
      </c>
    </row>
    <row r="119" spans="1:22">
      <c r="A119" s="226">
        <v>91109</v>
      </c>
      <c r="B119" s="227" t="s">
        <v>830</v>
      </c>
      <c r="C119" s="87">
        <v>9.2100000000000003E-5</v>
      </c>
      <c r="D119" s="87">
        <v>9.6600000000000003E-5</v>
      </c>
      <c r="E119" s="231">
        <v>40329.650000000009</v>
      </c>
      <c r="F119" s="231">
        <v>43354</v>
      </c>
      <c r="G119" s="231">
        <v>195467</v>
      </c>
      <c r="H119" s="231"/>
      <c r="I119" s="232">
        <v>3672</v>
      </c>
      <c r="J119" s="232">
        <v>171291</v>
      </c>
      <c r="K119" s="232">
        <v>13388</v>
      </c>
      <c r="L119" s="231">
        <v>2200</v>
      </c>
      <c r="M119" s="231"/>
      <c r="N119" s="232">
        <v>6849</v>
      </c>
      <c r="O119" s="232">
        <v>63223</v>
      </c>
      <c r="P119" s="232">
        <v>0</v>
      </c>
      <c r="Q119" s="231">
        <v>1611</v>
      </c>
      <c r="R119" s="232">
        <f t="shared" si="1"/>
        <v>108068</v>
      </c>
      <c r="S119" s="231"/>
      <c r="T119" s="232">
        <v>52245</v>
      </c>
      <c r="U119" s="233">
        <v>89</v>
      </c>
      <c r="V119" s="233">
        <v>52335</v>
      </c>
    </row>
    <row r="120" spans="1:22">
      <c r="A120" s="226">
        <v>91111</v>
      </c>
      <c r="B120" s="227" t="s">
        <v>831</v>
      </c>
      <c r="C120" s="87">
        <v>2.2359999999999999E-4</v>
      </c>
      <c r="D120" s="87">
        <v>2.2049999999999999E-4</v>
      </c>
      <c r="E120" s="231">
        <v>98685.249999999985</v>
      </c>
      <c r="F120" s="231">
        <v>98959</v>
      </c>
      <c r="G120" s="231">
        <v>474554</v>
      </c>
      <c r="H120" s="231"/>
      <c r="I120" s="232">
        <v>8916</v>
      </c>
      <c r="J120" s="232">
        <v>415861</v>
      </c>
      <c r="K120" s="232">
        <v>32503</v>
      </c>
      <c r="L120" s="231">
        <v>26669</v>
      </c>
      <c r="M120" s="231"/>
      <c r="N120" s="232">
        <v>16629</v>
      </c>
      <c r="O120" s="232">
        <v>153492</v>
      </c>
      <c r="P120" s="232">
        <v>0</v>
      </c>
      <c r="Q120" s="231">
        <v>0</v>
      </c>
      <c r="R120" s="232">
        <f t="shared" si="1"/>
        <v>262369</v>
      </c>
      <c r="S120" s="231"/>
      <c r="T120" s="232">
        <v>126841</v>
      </c>
      <c r="U120" s="233">
        <v>8870</v>
      </c>
      <c r="V120" s="233">
        <v>135711</v>
      </c>
    </row>
    <row r="121" spans="1:22">
      <c r="A121" s="226">
        <v>91119</v>
      </c>
      <c r="B121" s="227" t="s">
        <v>48</v>
      </c>
      <c r="C121" s="87">
        <v>0</v>
      </c>
      <c r="D121" s="87">
        <v>0</v>
      </c>
      <c r="E121" s="231">
        <v>0</v>
      </c>
      <c r="F121" s="231">
        <v>0</v>
      </c>
      <c r="G121" s="231">
        <v>0</v>
      </c>
      <c r="H121" s="231"/>
      <c r="I121" s="232">
        <v>0</v>
      </c>
      <c r="J121" s="232">
        <v>0</v>
      </c>
      <c r="K121" s="232">
        <v>0</v>
      </c>
      <c r="L121" s="231">
        <v>0</v>
      </c>
      <c r="M121" s="231"/>
      <c r="N121" s="232">
        <v>0</v>
      </c>
      <c r="O121" s="232">
        <v>0</v>
      </c>
      <c r="P121" s="232">
        <v>0</v>
      </c>
      <c r="Q121" s="231">
        <v>645424.66</v>
      </c>
      <c r="R121" s="232">
        <f t="shared" si="1"/>
        <v>0</v>
      </c>
      <c r="S121" s="231"/>
      <c r="T121" s="232">
        <v>0</v>
      </c>
      <c r="U121" s="233">
        <v>-324334</v>
      </c>
      <c r="V121" s="233">
        <v>-324334</v>
      </c>
    </row>
    <row r="122" spans="1:22">
      <c r="A122" s="226">
        <v>91120</v>
      </c>
      <c r="B122" s="227" t="s">
        <v>832</v>
      </c>
      <c r="C122" s="87">
        <v>1.184E-4</v>
      </c>
      <c r="D122" s="87">
        <v>1.161E-4</v>
      </c>
      <c r="E122" s="231">
        <v>42592.1</v>
      </c>
      <c r="F122" s="231">
        <v>52105</v>
      </c>
      <c r="G122" s="231">
        <v>251284</v>
      </c>
      <c r="H122" s="231"/>
      <c r="I122" s="232">
        <v>4721.2</v>
      </c>
      <c r="J122" s="232">
        <v>220205</v>
      </c>
      <c r="K122" s="232">
        <v>17211</v>
      </c>
      <c r="L122" s="231">
        <v>0</v>
      </c>
      <c r="M122" s="231"/>
      <c r="N122" s="232">
        <v>8805</v>
      </c>
      <c r="O122" s="232">
        <v>81277</v>
      </c>
      <c r="P122" s="232">
        <v>0</v>
      </c>
      <c r="Q122" s="231">
        <v>29635</v>
      </c>
      <c r="R122" s="232">
        <f t="shared" si="1"/>
        <v>138928</v>
      </c>
      <c r="S122" s="231"/>
      <c r="T122" s="232">
        <v>67165</v>
      </c>
      <c r="U122" s="233">
        <v>-11244</v>
      </c>
      <c r="V122" s="233">
        <v>55921</v>
      </c>
    </row>
    <row r="123" spans="1:22">
      <c r="A123" s="226">
        <v>91121</v>
      </c>
      <c r="B123" s="227" t="s">
        <v>833</v>
      </c>
      <c r="C123" s="87">
        <v>9.7842999999999992E-3</v>
      </c>
      <c r="D123" s="87">
        <v>1.0167600000000001E-2</v>
      </c>
      <c r="E123" s="231">
        <v>3705845.4499999997</v>
      </c>
      <c r="F123" s="231">
        <v>4563158</v>
      </c>
      <c r="G123" s="231">
        <v>20765562</v>
      </c>
      <c r="H123" s="231"/>
      <c r="I123" s="232">
        <v>390149</v>
      </c>
      <c r="J123" s="232">
        <v>18197252</v>
      </c>
      <c r="K123" s="232">
        <v>1422256</v>
      </c>
      <c r="L123" s="231">
        <v>0</v>
      </c>
      <c r="M123" s="231"/>
      <c r="N123" s="232">
        <v>727649</v>
      </c>
      <c r="O123" s="232">
        <v>6716511</v>
      </c>
      <c r="P123" s="232">
        <v>0</v>
      </c>
      <c r="Q123" s="231">
        <v>834506</v>
      </c>
      <c r="R123" s="232">
        <f t="shared" si="1"/>
        <v>11480741</v>
      </c>
      <c r="S123" s="231"/>
      <c r="T123" s="232">
        <v>5550330</v>
      </c>
      <c r="U123" s="233">
        <v>-296106</v>
      </c>
      <c r="V123" s="233">
        <v>5254224</v>
      </c>
    </row>
    <row r="124" spans="1:22">
      <c r="A124" s="226">
        <v>91127</v>
      </c>
      <c r="B124" s="227" t="s">
        <v>834</v>
      </c>
      <c r="C124" s="87">
        <v>2.8229999999999998E-4</v>
      </c>
      <c r="D124" s="87">
        <v>2.7680000000000001E-4</v>
      </c>
      <c r="E124" s="231">
        <v>136472.58999999997</v>
      </c>
      <c r="F124" s="231">
        <v>124226</v>
      </c>
      <c r="G124" s="231">
        <v>599135</v>
      </c>
      <c r="H124" s="231"/>
      <c r="I124" s="232">
        <v>11257</v>
      </c>
      <c r="J124" s="232">
        <v>525033</v>
      </c>
      <c r="K124" s="232">
        <v>41035</v>
      </c>
      <c r="L124" s="231">
        <v>59704</v>
      </c>
      <c r="M124" s="231"/>
      <c r="N124" s="232">
        <v>20994</v>
      </c>
      <c r="O124" s="232">
        <v>193787</v>
      </c>
      <c r="P124" s="232">
        <v>0</v>
      </c>
      <c r="Q124" s="231">
        <v>0</v>
      </c>
      <c r="R124" s="232">
        <f t="shared" si="1"/>
        <v>331246</v>
      </c>
      <c r="S124" s="231"/>
      <c r="T124" s="232">
        <v>160140</v>
      </c>
      <c r="U124" s="233">
        <v>22617</v>
      </c>
      <c r="V124" s="233">
        <v>182757</v>
      </c>
    </row>
    <row r="125" spans="1:22">
      <c r="A125" s="226">
        <v>91128</v>
      </c>
      <c r="B125" s="227" t="s">
        <v>835</v>
      </c>
      <c r="C125" s="87">
        <v>5.0929999999999997E-4</v>
      </c>
      <c r="D125" s="87">
        <v>5.042E-4</v>
      </c>
      <c r="E125" s="231">
        <v>208473.93999999997</v>
      </c>
      <c r="F125" s="231">
        <v>226282</v>
      </c>
      <c r="G125" s="231">
        <v>1080905</v>
      </c>
      <c r="H125" s="231"/>
      <c r="I125" s="232">
        <v>20308</v>
      </c>
      <c r="J125" s="232">
        <v>947218</v>
      </c>
      <c r="K125" s="232">
        <v>74032</v>
      </c>
      <c r="L125" s="231">
        <v>10827</v>
      </c>
      <c r="M125" s="231"/>
      <c r="N125" s="232">
        <v>37876</v>
      </c>
      <c r="O125" s="232">
        <v>349613</v>
      </c>
      <c r="P125" s="232">
        <v>0</v>
      </c>
      <c r="Q125" s="231">
        <v>12589</v>
      </c>
      <c r="R125" s="232">
        <f t="shared" si="1"/>
        <v>597605</v>
      </c>
      <c r="S125" s="231"/>
      <c r="T125" s="232">
        <v>288910</v>
      </c>
      <c r="U125" s="233">
        <v>-2677</v>
      </c>
      <c r="V125" s="233">
        <v>286233</v>
      </c>
    </row>
    <row r="126" spans="1:22">
      <c r="A126" s="226">
        <v>91138</v>
      </c>
      <c r="B126" s="227" t="s">
        <v>836</v>
      </c>
      <c r="C126" s="87">
        <v>6.2350000000000003E-4</v>
      </c>
      <c r="D126" s="87">
        <v>6.6279999999999996E-4</v>
      </c>
      <c r="E126" s="231">
        <v>190650.29999999996</v>
      </c>
      <c r="F126" s="231">
        <v>297461</v>
      </c>
      <c r="G126" s="231">
        <v>1323276</v>
      </c>
      <c r="H126" s="231"/>
      <c r="I126" s="232">
        <v>24862.0625</v>
      </c>
      <c r="J126" s="232">
        <v>1159611</v>
      </c>
      <c r="K126" s="232">
        <v>90633</v>
      </c>
      <c r="L126" s="231">
        <v>0</v>
      </c>
      <c r="M126" s="231"/>
      <c r="N126" s="232">
        <v>46369</v>
      </c>
      <c r="O126" s="232">
        <v>428007</v>
      </c>
      <c r="P126" s="232">
        <v>0</v>
      </c>
      <c r="Q126" s="231">
        <v>111983</v>
      </c>
      <c r="R126" s="232">
        <f t="shared" si="1"/>
        <v>731604</v>
      </c>
      <c r="S126" s="231"/>
      <c r="T126" s="232">
        <v>353692</v>
      </c>
      <c r="U126" s="233">
        <v>-35624</v>
      </c>
      <c r="V126" s="233">
        <v>318068</v>
      </c>
    </row>
    <row r="127" spans="1:22">
      <c r="A127" s="226">
        <v>91141</v>
      </c>
      <c r="B127" s="227" t="s">
        <v>837</v>
      </c>
      <c r="C127" s="87">
        <v>5.5679999999999998E-4</v>
      </c>
      <c r="D127" s="87">
        <v>6.2560000000000003E-4</v>
      </c>
      <c r="E127" s="231">
        <v>214309.96</v>
      </c>
      <c r="F127" s="231">
        <v>280766</v>
      </c>
      <c r="G127" s="231">
        <v>1181716</v>
      </c>
      <c r="H127" s="231"/>
      <c r="I127" s="232">
        <v>22202</v>
      </c>
      <c r="J127" s="232">
        <v>1035560</v>
      </c>
      <c r="K127" s="232">
        <v>80937</v>
      </c>
      <c r="L127" s="231">
        <v>0</v>
      </c>
      <c r="M127" s="231"/>
      <c r="N127" s="232">
        <v>41409</v>
      </c>
      <c r="O127" s="232">
        <v>382220</v>
      </c>
      <c r="P127" s="232">
        <v>0</v>
      </c>
      <c r="Q127" s="231">
        <v>106380</v>
      </c>
      <c r="R127" s="232">
        <f t="shared" si="1"/>
        <v>653340</v>
      </c>
      <c r="S127" s="231"/>
      <c r="T127" s="232">
        <v>315855</v>
      </c>
      <c r="U127" s="233">
        <v>-35698</v>
      </c>
      <c r="V127" s="233">
        <v>280157</v>
      </c>
    </row>
    <row r="128" spans="1:22">
      <c r="A128" s="226">
        <v>91147</v>
      </c>
      <c r="B128" s="227" t="s">
        <v>838</v>
      </c>
      <c r="C128" s="87">
        <v>2.4199999999999999E-5</v>
      </c>
      <c r="D128" s="87">
        <v>2.1399999999999998E-5</v>
      </c>
      <c r="E128" s="231">
        <v>10370.969999999999</v>
      </c>
      <c r="F128" s="231">
        <v>9604</v>
      </c>
      <c r="G128" s="231">
        <v>51361</v>
      </c>
      <c r="H128" s="231"/>
      <c r="I128" s="232">
        <v>965</v>
      </c>
      <c r="J128" s="232">
        <v>45008</v>
      </c>
      <c r="K128" s="232">
        <v>3518</v>
      </c>
      <c r="L128" s="231">
        <v>10859</v>
      </c>
      <c r="M128" s="231"/>
      <c r="N128" s="232">
        <v>1800</v>
      </c>
      <c r="O128" s="232">
        <v>16612</v>
      </c>
      <c r="P128" s="232">
        <v>0</v>
      </c>
      <c r="Q128" s="231">
        <v>0</v>
      </c>
      <c r="R128" s="232">
        <f t="shared" si="1"/>
        <v>28396</v>
      </c>
      <c r="S128" s="231"/>
      <c r="T128" s="232">
        <v>13728</v>
      </c>
      <c r="U128" s="233">
        <v>3941</v>
      </c>
      <c r="V128" s="233">
        <v>17669</v>
      </c>
    </row>
    <row r="129" spans="1:22">
      <c r="A129" s="226">
        <v>91151</v>
      </c>
      <c r="B129" s="227" t="s">
        <v>839</v>
      </c>
      <c r="C129" s="87">
        <v>6.1180000000000002E-4</v>
      </c>
      <c r="D129" s="87">
        <v>6.4479999999999995E-4</v>
      </c>
      <c r="E129" s="231">
        <v>222681.43</v>
      </c>
      <c r="F129" s="231">
        <v>289382</v>
      </c>
      <c r="G129" s="231">
        <v>1298445</v>
      </c>
      <c r="H129" s="231"/>
      <c r="I129" s="232">
        <v>24396</v>
      </c>
      <c r="J129" s="232">
        <v>1137851</v>
      </c>
      <c r="K129" s="232">
        <v>88932</v>
      </c>
      <c r="L129" s="231">
        <v>10702</v>
      </c>
      <c r="M129" s="231"/>
      <c r="N129" s="232">
        <v>45499</v>
      </c>
      <c r="O129" s="232">
        <v>419975</v>
      </c>
      <c r="P129" s="232">
        <v>0</v>
      </c>
      <c r="Q129" s="231">
        <v>50740</v>
      </c>
      <c r="R129" s="232">
        <f t="shared" si="1"/>
        <v>717876</v>
      </c>
      <c r="S129" s="231"/>
      <c r="T129" s="232">
        <v>347055</v>
      </c>
      <c r="U129" s="233">
        <v>-11759</v>
      </c>
      <c r="V129" s="233">
        <v>335296</v>
      </c>
    </row>
    <row r="130" spans="1:22">
      <c r="A130" s="226">
        <v>91154</v>
      </c>
      <c r="B130" s="227" t="s">
        <v>840</v>
      </c>
      <c r="C130" s="87">
        <v>1.9599999999999999E-5</v>
      </c>
      <c r="D130" s="87">
        <v>1.59E-5</v>
      </c>
      <c r="E130" s="231">
        <v>8048.64</v>
      </c>
      <c r="F130" s="231">
        <v>7136</v>
      </c>
      <c r="G130" s="231">
        <v>41598</v>
      </c>
      <c r="H130" s="231"/>
      <c r="I130" s="232">
        <v>781.55</v>
      </c>
      <c r="J130" s="232">
        <v>36453</v>
      </c>
      <c r="K130" s="232">
        <v>2849</v>
      </c>
      <c r="L130" s="231">
        <v>5846</v>
      </c>
      <c r="M130" s="231"/>
      <c r="N130" s="232">
        <v>1458</v>
      </c>
      <c r="O130" s="232">
        <v>13455</v>
      </c>
      <c r="P130" s="232">
        <v>0</v>
      </c>
      <c r="Q130" s="231">
        <v>0</v>
      </c>
      <c r="R130" s="232">
        <f t="shared" si="1"/>
        <v>22998</v>
      </c>
      <c r="S130" s="231"/>
      <c r="T130" s="232">
        <v>11118</v>
      </c>
      <c r="U130" s="233">
        <v>2074</v>
      </c>
      <c r="V130" s="233">
        <v>13192</v>
      </c>
    </row>
    <row r="131" spans="1:22">
      <c r="A131" s="226">
        <v>91161</v>
      </c>
      <c r="B131" s="227" t="s">
        <v>841</v>
      </c>
      <c r="C131" s="87">
        <v>9.4599999999999996E-5</v>
      </c>
      <c r="D131" s="87">
        <v>1.0670000000000001E-4</v>
      </c>
      <c r="E131" s="231">
        <v>44113.630000000005</v>
      </c>
      <c r="F131" s="231">
        <v>47886</v>
      </c>
      <c r="G131" s="231">
        <v>200773</v>
      </c>
      <c r="H131" s="231"/>
      <c r="I131" s="232">
        <v>3772</v>
      </c>
      <c r="J131" s="232">
        <v>175941</v>
      </c>
      <c r="K131" s="232">
        <v>13751</v>
      </c>
      <c r="L131" s="231">
        <v>7920</v>
      </c>
      <c r="M131" s="231"/>
      <c r="N131" s="232">
        <v>7035</v>
      </c>
      <c r="O131" s="232">
        <v>64939</v>
      </c>
      <c r="P131" s="232">
        <v>0</v>
      </c>
      <c r="Q131" s="231">
        <v>5006</v>
      </c>
      <c r="R131" s="232">
        <f t="shared" si="1"/>
        <v>111002</v>
      </c>
      <c r="S131" s="231"/>
      <c r="T131" s="232">
        <v>53664</v>
      </c>
      <c r="U131" s="233">
        <v>881</v>
      </c>
      <c r="V131" s="233">
        <v>54545</v>
      </c>
    </row>
    <row r="132" spans="1:22">
      <c r="A132" s="226">
        <v>91171</v>
      </c>
      <c r="B132" s="227" t="s">
        <v>842</v>
      </c>
      <c r="C132" s="87">
        <v>2.5589999999999999E-4</v>
      </c>
      <c r="D132" s="87">
        <v>2.5240000000000001E-4</v>
      </c>
      <c r="E132" s="231">
        <v>90093.88</v>
      </c>
      <c r="F132" s="231">
        <v>113276</v>
      </c>
      <c r="G132" s="231">
        <v>543106</v>
      </c>
      <c r="H132" s="231"/>
      <c r="I132" s="232">
        <v>10204</v>
      </c>
      <c r="J132" s="232">
        <v>475934</v>
      </c>
      <c r="K132" s="232">
        <v>37198</v>
      </c>
      <c r="L132" s="231">
        <v>0</v>
      </c>
      <c r="M132" s="231"/>
      <c r="N132" s="232">
        <v>19031</v>
      </c>
      <c r="O132" s="232">
        <v>175665</v>
      </c>
      <c r="P132" s="232">
        <v>0</v>
      </c>
      <c r="Q132" s="231">
        <v>32510</v>
      </c>
      <c r="R132" s="232">
        <f t="shared" si="1"/>
        <v>300269</v>
      </c>
      <c r="S132" s="231"/>
      <c r="T132" s="232">
        <v>145164</v>
      </c>
      <c r="U132" s="233">
        <v>-12018</v>
      </c>
      <c r="V132" s="233">
        <v>133146</v>
      </c>
    </row>
    <row r="133" spans="1:22">
      <c r="A133" s="226">
        <v>91201</v>
      </c>
      <c r="B133" s="227" t="s">
        <v>843</v>
      </c>
      <c r="C133" s="87">
        <v>2.3127999999999998E-3</v>
      </c>
      <c r="D133" s="87">
        <v>2.2309000000000001E-3</v>
      </c>
      <c r="E133" s="231">
        <v>868643.54000000015</v>
      </c>
      <c r="F133" s="231">
        <v>1001215</v>
      </c>
      <c r="G133" s="231">
        <v>4908536</v>
      </c>
      <c r="H133" s="231"/>
      <c r="I133" s="232">
        <v>92222.9</v>
      </c>
      <c r="J133" s="232">
        <v>4301443</v>
      </c>
      <c r="K133" s="232">
        <v>336191</v>
      </c>
      <c r="L133" s="231">
        <v>65448</v>
      </c>
      <c r="M133" s="231"/>
      <c r="N133" s="232">
        <v>172001</v>
      </c>
      <c r="O133" s="232">
        <v>1587640</v>
      </c>
      <c r="P133" s="232">
        <v>0</v>
      </c>
      <c r="Q133" s="231">
        <v>21142</v>
      </c>
      <c r="R133" s="232">
        <f t="shared" si="1"/>
        <v>2713803</v>
      </c>
      <c r="S133" s="231"/>
      <c r="T133" s="232">
        <v>1311980</v>
      </c>
      <c r="U133" s="233">
        <v>19623</v>
      </c>
      <c r="V133" s="233">
        <v>1331603</v>
      </c>
    </row>
    <row r="134" spans="1:22">
      <c r="A134" s="226">
        <v>91202</v>
      </c>
      <c r="B134" s="227" t="s">
        <v>844</v>
      </c>
      <c r="C134" s="87">
        <v>1.897E-4</v>
      </c>
      <c r="D134" s="87">
        <v>1.7560000000000001E-4</v>
      </c>
      <c r="E134" s="231">
        <v>85259.9</v>
      </c>
      <c r="F134" s="231">
        <v>78808</v>
      </c>
      <c r="G134" s="231">
        <v>402607</v>
      </c>
      <c r="H134" s="231"/>
      <c r="I134" s="232">
        <v>7564</v>
      </c>
      <c r="J134" s="232">
        <v>352812</v>
      </c>
      <c r="K134" s="232">
        <v>27575</v>
      </c>
      <c r="L134" s="231">
        <v>29505</v>
      </c>
      <c r="M134" s="231"/>
      <c r="N134" s="232">
        <v>14108</v>
      </c>
      <c r="O134" s="232">
        <v>130221</v>
      </c>
      <c r="P134" s="232">
        <v>0</v>
      </c>
      <c r="Q134" s="231">
        <v>0</v>
      </c>
      <c r="R134" s="232">
        <f t="shared" si="1"/>
        <v>222591</v>
      </c>
      <c r="S134" s="231"/>
      <c r="T134" s="232">
        <v>107611</v>
      </c>
      <c r="U134" s="233">
        <v>10216</v>
      </c>
      <c r="V134" s="233">
        <v>117827</v>
      </c>
    </row>
    <row r="135" spans="1:22">
      <c r="A135" s="226">
        <v>91203</v>
      </c>
      <c r="B135" s="227" t="s">
        <v>845</v>
      </c>
      <c r="C135" s="87">
        <v>2.4479999999999999E-4</v>
      </c>
      <c r="D135" s="87">
        <v>2.4909999999999998E-4</v>
      </c>
      <c r="E135" s="231">
        <v>123805.24999999999</v>
      </c>
      <c r="F135" s="231">
        <v>111795</v>
      </c>
      <c r="G135" s="231">
        <v>519548</v>
      </c>
      <c r="H135" s="231"/>
      <c r="I135" s="232">
        <v>9761.4</v>
      </c>
      <c r="J135" s="232">
        <v>455289</v>
      </c>
      <c r="K135" s="232">
        <v>35584</v>
      </c>
      <c r="L135" s="231">
        <v>32505</v>
      </c>
      <c r="M135" s="231"/>
      <c r="N135" s="232">
        <v>18206</v>
      </c>
      <c r="O135" s="232">
        <v>168045</v>
      </c>
      <c r="P135" s="232">
        <v>0</v>
      </c>
      <c r="Q135" s="231">
        <v>0</v>
      </c>
      <c r="R135" s="232">
        <f t="shared" si="1"/>
        <v>287244</v>
      </c>
      <c r="S135" s="231"/>
      <c r="T135" s="232">
        <v>138867</v>
      </c>
      <c r="U135" s="233">
        <v>11460</v>
      </c>
      <c r="V135" s="233">
        <v>150327</v>
      </c>
    </row>
    <row r="136" spans="1:22">
      <c r="A136" s="226">
        <v>91206</v>
      </c>
      <c r="B136" s="227" t="s">
        <v>846</v>
      </c>
      <c r="C136" s="87">
        <v>8.2129999999999996E-4</v>
      </c>
      <c r="D136" s="87">
        <v>8.1959999999999997E-4</v>
      </c>
      <c r="E136" s="231">
        <v>334673.01</v>
      </c>
      <c r="F136" s="231">
        <v>367832</v>
      </c>
      <c r="G136" s="231">
        <v>1743074</v>
      </c>
      <c r="H136" s="231"/>
      <c r="I136" s="232">
        <v>32749</v>
      </c>
      <c r="J136" s="232">
        <v>1527488</v>
      </c>
      <c r="K136" s="232">
        <v>119385</v>
      </c>
      <c r="L136" s="231">
        <v>21519</v>
      </c>
      <c r="M136" s="231"/>
      <c r="N136" s="232">
        <v>61079</v>
      </c>
      <c r="O136" s="232">
        <v>563788</v>
      </c>
      <c r="P136" s="232">
        <v>0</v>
      </c>
      <c r="Q136" s="231">
        <v>1526</v>
      </c>
      <c r="R136" s="232">
        <f t="shared" si="1"/>
        <v>963700</v>
      </c>
      <c r="S136" s="231"/>
      <c r="T136" s="232">
        <v>465898</v>
      </c>
      <c r="U136" s="233">
        <v>10203</v>
      </c>
      <c r="V136" s="233">
        <v>476101</v>
      </c>
    </row>
    <row r="137" spans="1:22">
      <c r="A137" s="226">
        <v>91208</v>
      </c>
      <c r="B137" s="227" t="s">
        <v>847</v>
      </c>
      <c r="C137" s="87">
        <v>1.3699999999999999E-5</v>
      </c>
      <c r="D137" s="87">
        <v>1.2999999999999999E-5</v>
      </c>
      <c r="E137" s="231">
        <v>5593.1099999999988</v>
      </c>
      <c r="F137" s="231">
        <v>5834</v>
      </c>
      <c r="G137" s="231">
        <v>29076</v>
      </c>
      <c r="H137" s="231"/>
      <c r="I137" s="232">
        <v>546.28750000000002</v>
      </c>
      <c r="J137" s="232">
        <v>25480</v>
      </c>
      <c r="K137" s="232">
        <v>1991</v>
      </c>
      <c r="L137" s="231">
        <v>7123</v>
      </c>
      <c r="M137" s="231"/>
      <c r="N137" s="232">
        <v>1019</v>
      </c>
      <c r="O137" s="232">
        <v>9404</v>
      </c>
      <c r="P137" s="232">
        <v>0</v>
      </c>
      <c r="Q137" s="231">
        <v>0</v>
      </c>
      <c r="R137" s="232">
        <f t="shared" ref="R137:R200" si="2">IF(J137&gt;O137,J137-O137,O137-J137)</f>
        <v>16076</v>
      </c>
      <c r="S137" s="231"/>
      <c r="T137" s="232">
        <v>7772</v>
      </c>
      <c r="U137" s="233">
        <v>3401</v>
      </c>
      <c r="V137" s="233">
        <v>11172</v>
      </c>
    </row>
    <row r="138" spans="1:22">
      <c r="A138" s="226">
        <v>91211</v>
      </c>
      <c r="B138" s="227" t="s">
        <v>848</v>
      </c>
      <c r="C138" s="87">
        <v>4.6789999999999999E-4</v>
      </c>
      <c r="D138" s="87">
        <v>4.6260000000000002E-4</v>
      </c>
      <c r="E138" s="231">
        <v>192012.00000000003</v>
      </c>
      <c r="F138" s="231">
        <v>207612</v>
      </c>
      <c r="G138" s="231">
        <v>993041</v>
      </c>
      <c r="H138" s="231"/>
      <c r="I138" s="232">
        <v>18658</v>
      </c>
      <c r="J138" s="232">
        <v>870220</v>
      </c>
      <c r="K138" s="232">
        <v>68014</v>
      </c>
      <c r="L138" s="231">
        <v>5989</v>
      </c>
      <c r="M138" s="231"/>
      <c r="N138" s="232">
        <v>34797</v>
      </c>
      <c r="O138" s="232">
        <v>321194</v>
      </c>
      <c r="P138" s="232">
        <v>0</v>
      </c>
      <c r="Q138" s="231">
        <v>5137</v>
      </c>
      <c r="R138" s="232">
        <f t="shared" si="2"/>
        <v>549026</v>
      </c>
      <c r="S138" s="231"/>
      <c r="T138" s="232">
        <v>265425</v>
      </c>
      <c r="U138" s="233">
        <v>568</v>
      </c>
      <c r="V138" s="233">
        <v>265993</v>
      </c>
    </row>
    <row r="139" spans="1:22">
      <c r="A139" s="226">
        <v>91213</v>
      </c>
      <c r="B139" s="227" t="s">
        <v>849</v>
      </c>
      <c r="C139" s="87">
        <v>3.57E-5</v>
      </c>
      <c r="D139" s="87">
        <v>3.5500000000000002E-5</v>
      </c>
      <c r="E139" s="231">
        <v>11312.460000000003</v>
      </c>
      <c r="F139" s="231">
        <v>15932</v>
      </c>
      <c r="G139" s="231">
        <v>75767</v>
      </c>
      <c r="H139" s="231"/>
      <c r="I139" s="232">
        <v>1424</v>
      </c>
      <c r="J139" s="232">
        <v>66396</v>
      </c>
      <c r="K139" s="232">
        <v>5189</v>
      </c>
      <c r="L139" s="231">
        <v>0</v>
      </c>
      <c r="M139" s="231"/>
      <c r="N139" s="232">
        <v>2655</v>
      </c>
      <c r="O139" s="232">
        <v>24507</v>
      </c>
      <c r="P139" s="232">
        <v>0</v>
      </c>
      <c r="Q139" s="231">
        <v>4828</v>
      </c>
      <c r="R139" s="232">
        <f t="shared" si="2"/>
        <v>41889</v>
      </c>
      <c r="S139" s="231"/>
      <c r="T139" s="232">
        <v>20252</v>
      </c>
      <c r="U139" s="233">
        <v>-1558</v>
      </c>
      <c r="V139" s="233">
        <v>18694</v>
      </c>
    </row>
    <row r="140" spans="1:22">
      <c r="A140" s="226">
        <v>91214</v>
      </c>
      <c r="B140" s="227" t="s">
        <v>850</v>
      </c>
      <c r="C140" s="87">
        <v>2.8200000000000001E-5</v>
      </c>
      <c r="D140" s="87">
        <v>2.6800000000000001E-5</v>
      </c>
      <c r="E140" s="231">
        <v>8296.9500000000007</v>
      </c>
      <c r="F140" s="231">
        <v>12028</v>
      </c>
      <c r="G140" s="231">
        <v>59850</v>
      </c>
      <c r="H140" s="231"/>
      <c r="I140" s="232">
        <v>1124</v>
      </c>
      <c r="J140" s="232">
        <v>52448</v>
      </c>
      <c r="K140" s="232">
        <v>4099</v>
      </c>
      <c r="L140" s="231">
        <v>2071</v>
      </c>
      <c r="M140" s="231"/>
      <c r="N140" s="232">
        <v>2097</v>
      </c>
      <c r="O140" s="232">
        <v>19358</v>
      </c>
      <c r="P140" s="232">
        <v>0</v>
      </c>
      <c r="Q140" s="231">
        <v>1863</v>
      </c>
      <c r="R140" s="232">
        <f t="shared" si="2"/>
        <v>33090</v>
      </c>
      <c r="S140" s="231"/>
      <c r="T140" s="232">
        <v>15997</v>
      </c>
      <c r="U140" s="233">
        <v>289</v>
      </c>
      <c r="V140" s="233">
        <v>16286</v>
      </c>
    </row>
    <row r="141" spans="1:22">
      <c r="A141" s="226">
        <v>91217</v>
      </c>
      <c r="B141" s="227" t="s">
        <v>851</v>
      </c>
      <c r="C141" s="87">
        <v>2.6699999999999998E-5</v>
      </c>
      <c r="D141" s="87">
        <v>1.8700000000000001E-5</v>
      </c>
      <c r="E141" s="231">
        <v>15053.92</v>
      </c>
      <c r="F141" s="231">
        <v>8392</v>
      </c>
      <c r="G141" s="231">
        <v>56666</v>
      </c>
      <c r="H141" s="231"/>
      <c r="I141" s="232">
        <v>1065</v>
      </c>
      <c r="J141" s="232">
        <v>49658</v>
      </c>
      <c r="K141" s="232">
        <v>3881</v>
      </c>
      <c r="L141" s="231">
        <v>11622</v>
      </c>
      <c r="M141" s="231"/>
      <c r="N141" s="232">
        <v>1986</v>
      </c>
      <c r="O141" s="232">
        <v>18328</v>
      </c>
      <c r="P141" s="232">
        <v>0</v>
      </c>
      <c r="Q141" s="231">
        <v>0</v>
      </c>
      <c r="R141" s="232">
        <f t="shared" si="2"/>
        <v>31330</v>
      </c>
      <c r="S141" s="231"/>
      <c r="T141" s="232">
        <v>15146</v>
      </c>
      <c r="U141" s="233">
        <v>3617</v>
      </c>
      <c r="V141" s="233">
        <v>18763</v>
      </c>
    </row>
    <row r="142" spans="1:22">
      <c r="A142" s="226">
        <v>91221</v>
      </c>
      <c r="B142" s="227" t="s">
        <v>852</v>
      </c>
      <c r="C142" s="87">
        <v>1.294E-4</v>
      </c>
      <c r="D142" s="87">
        <v>1.404E-4</v>
      </c>
      <c r="E142" s="231">
        <v>50416</v>
      </c>
      <c r="F142" s="231">
        <v>63011</v>
      </c>
      <c r="G142" s="231">
        <v>274630</v>
      </c>
      <c r="H142" s="231"/>
      <c r="I142" s="232">
        <v>5160</v>
      </c>
      <c r="J142" s="232">
        <v>240664</v>
      </c>
      <c r="K142" s="232">
        <v>18810</v>
      </c>
      <c r="L142" s="231">
        <v>7496</v>
      </c>
      <c r="M142" s="231"/>
      <c r="N142" s="232">
        <v>9623</v>
      </c>
      <c r="O142" s="232">
        <v>88828</v>
      </c>
      <c r="P142" s="232">
        <v>0</v>
      </c>
      <c r="Q142" s="231">
        <v>9810</v>
      </c>
      <c r="R142" s="232">
        <f t="shared" si="2"/>
        <v>151836</v>
      </c>
      <c r="S142" s="231"/>
      <c r="T142" s="232">
        <v>73405</v>
      </c>
      <c r="U142" s="233">
        <v>1070</v>
      </c>
      <c r="V142" s="233">
        <v>74475</v>
      </c>
    </row>
    <row r="143" spans="1:22">
      <c r="A143" s="226">
        <v>91231</v>
      </c>
      <c r="B143" s="227" t="s">
        <v>853</v>
      </c>
      <c r="C143" s="87">
        <v>1.9957E-3</v>
      </c>
      <c r="D143" s="87">
        <v>2.0203999999999999E-3</v>
      </c>
      <c r="E143" s="231">
        <v>763104.33</v>
      </c>
      <c r="F143" s="231">
        <v>906743</v>
      </c>
      <c r="G143" s="231">
        <v>4235544</v>
      </c>
      <c r="H143" s="231"/>
      <c r="I143" s="232">
        <v>79579</v>
      </c>
      <c r="J143" s="232">
        <v>3711687</v>
      </c>
      <c r="K143" s="232">
        <v>290097</v>
      </c>
      <c r="L143" s="231">
        <v>21281.06</v>
      </c>
      <c r="M143" s="231"/>
      <c r="N143" s="232">
        <v>148418</v>
      </c>
      <c r="O143" s="232">
        <v>1369964</v>
      </c>
      <c r="P143" s="232">
        <v>0</v>
      </c>
      <c r="Q143" s="231">
        <v>85796</v>
      </c>
      <c r="R143" s="232">
        <f t="shared" si="2"/>
        <v>2341723</v>
      </c>
      <c r="S143" s="231"/>
      <c r="T143" s="232">
        <v>1132099</v>
      </c>
      <c r="U143" s="233">
        <v>-14080</v>
      </c>
      <c r="V143" s="233">
        <v>1118019</v>
      </c>
    </row>
    <row r="144" spans="1:22">
      <c r="A144" s="226">
        <v>91233</v>
      </c>
      <c r="B144" s="227" t="s">
        <v>854</v>
      </c>
      <c r="C144" s="87">
        <v>4.5599999999999997E-5</v>
      </c>
      <c r="D144" s="87">
        <v>4.3399999999999998E-5</v>
      </c>
      <c r="E144" s="231">
        <v>17052.530000000002</v>
      </c>
      <c r="F144" s="231">
        <v>19478</v>
      </c>
      <c r="G144" s="231">
        <v>96778</v>
      </c>
      <c r="H144" s="231"/>
      <c r="I144" s="232">
        <v>1818.3</v>
      </c>
      <c r="J144" s="232">
        <v>84809</v>
      </c>
      <c r="K144" s="232">
        <v>6628</v>
      </c>
      <c r="L144" s="231">
        <v>8243</v>
      </c>
      <c r="M144" s="231"/>
      <c r="N144" s="232">
        <v>3391</v>
      </c>
      <c r="O144" s="232">
        <v>31302</v>
      </c>
      <c r="P144" s="232">
        <v>0</v>
      </c>
      <c r="Q144" s="231">
        <v>159</v>
      </c>
      <c r="R144" s="232">
        <f t="shared" si="2"/>
        <v>53507</v>
      </c>
      <c r="S144" s="231"/>
      <c r="T144" s="232">
        <v>25867</v>
      </c>
      <c r="U144" s="233">
        <v>3163</v>
      </c>
      <c r="V144" s="233">
        <v>29031</v>
      </c>
    </row>
    <row r="145" spans="1:22">
      <c r="A145" s="226">
        <v>91241</v>
      </c>
      <c r="B145" s="227" t="s">
        <v>855</v>
      </c>
      <c r="C145" s="87">
        <v>3.68E-5</v>
      </c>
      <c r="D145" s="87">
        <v>4.0800000000000002E-5</v>
      </c>
      <c r="E145" s="231">
        <v>13967.480000000001</v>
      </c>
      <c r="F145" s="231">
        <v>18311</v>
      </c>
      <c r="G145" s="231">
        <v>78102</v>
      </c>
      <c r="H145" s="231"/>
      <c r="I145" s="232">
        <v>1467.4</v>
      </c>
      <c r="J145" s="232">
        <v>68442</v>
      </c>
      <c r="K145" s="232">
        <v>5349</v>
      </c>
      <c r="L145" s="231">
        <v>0</v>
      </c>
      <c r="M145" s="231"/>
      <c r="N145" s="232">
        <v>2737</v>
      </c>
      <c r="O145" s="232">
        <v>25262</v>
      </c>
      <c r="P145" s="232">
        <v>0</v>
      </c>
      <c r="Q145" s="231">
        <v>6784</v>
      </c>
      <c r="R145" s="232">
        <f t="shared" si="2"/>
        <v>43180</v>
      </c>
      <c r="S145" s="231"/>
      <c r="T145" s="232">
        <v>20875</v>
      </c>
      <c r="U145" s="233">
        <v>-2529</v>
      </c>
      <c r="V145" s="233">
        <v>18346</v>
      </c>
    </row>
    <row r="146" spans="1:22">
      <c r="A146" s="226">
        <v>91251</v>
      </c>
      <c r="B146" s="227" t="s">
        <v>856</v>
      </c>
      <c r="C146" s="87">
        <v>2.65E-5</v>
      </c>
      <c r="D146" s="87">
        <v>2.6699999999999998E-5</v>
      </c>
      <c r="E146" s="231">
        <v>9988.5700000000015</v>
      </c>
      <c r="F146" s="231">
        <v>11983</v>
      </c>
      <c r="G146" s="231">
        <v>56242</v>
      </c>
      <c r="H146" s="231"/>
      <c r="I146" s="232">
        <v>1056.6875</v>
      </c>
      <c r="J146" s="232">
        <v>49286</v>
      </c>
      <c r="K146" s="232">
        <v>3852</v>
      </c>
      <c r="L146" s="231">
        <v>4706</v>
      </c>
      <c r="M146" s="231"/>
      <c r="N146" s="232">
        <v>1971</v>
      </c>
      <c r="O146" s="232">
        <v>18191</v>
      </c>
      <c r="P146" s="232">
        <v>0</v>
      </c>
      <c r="Q146" s="231">
        <v>1236</v>
      </c>
      <c r="R146" s="232">
        <f t="shared" si="2"/>
        <v>31095</v>
      </c>
      <c r="S146" s="231"/>
      <c r="T146" s="232">
        <v>15033</v>
      </c>
      <c r="U146" s="233">
        <v>2006</v>
      </c>
      <c r="V146" s="233">
        <v>17039</v>
      </c>
    </row>
    <row r="147" spans="1:22">
      <c r="A147" s="226">
        <v>91261</v>
      </c>
      <c r="B147" s="227" t="s">
        <v>857</v>
      </c>
      <c r="C147" s="87">
        <v>9.5000000000000005E-6</v>
      </c>
      <c r="D147" s="87">
        <v>8.8000000000000004E-6</v>
      </c>
      <c r="E147" s="231">
        <v>4130.1899999999996</v>
      </c>
      <c r="F147" s="231">
        <v>3949</v>
      </c>
      <c r="G147" s="231">
        <v>20162</v>
      </c>
      <c r="H147" s="231"/>
      <c r="I147" s="232">
        <v>378.8125</v>
      </c>
      <c r="J147" s="232">
        <v>17668</v>
      </c>
      <c r="K147" s="232">
        <v>1381</v>
      </c>
      <c r="L147" s="231">
        <v>2027</v>
      </c>
      <c r="M147" s="231"/>
      <c r="N147" s="232">
        <v>707</v>
      </c>
      <c r="O147" s="232">
        <v>6521</v>
      </c>
      <c r="P147" s="232">
        <v>0</v>
      </c>
      <c r="Q147" s="231">
        <v>0</v>
      </c>
      <c r="R147" s="232">
        <f t="shared" si="2"/>
        <v>11147</v>
      </c>
      <c r="S147" s="231"/>
      <c r="T147" s="232">
        <v>5389</v>
      </c>
      <c r="U147" s="233">
        <v>729</v>
      </c>
      <c r="V147" s="233">
        <v>6118</v>
      </c>
    </row>
    <row r="148" spans="1:22">
      <c r="A148" s="51">
        <v>91301</v>
      </c>
      <c r="B148" s="227" t="s">
        <v>858</v>
      </c>
      <c r="C148" s="87">
        <v>7.7765000000000004E-3</v>
      </c>
      <c r="D148" s="87">
        <v>7.2360999999999997E-3</v>
      </c>
      <c r="E148" s="231">
        <v>2863288.1999999997</v>
      </c>
      <c r="F148" s="231">
        <v>3247518</v>
      </c>
      <c r="G148" s="231">
        <v>16504338</v>
      </c>
      <c r="H148" s="231"/>
      <c r="I148" s="232">
        <v>310088</v>
      </c>
      <c r="J148" s="232">
        <v>14463061</v>
      </c>
      <c r="K148" s="232">
        <v>1130400</v>
      </c>
      <c r="L148" s="231">
        <v>26878</v>
      </c>
      <c r="M148" s="231"/>
      <c r="N148" s="232">
        <v>578331</v>
      </c>
      <c r="O148" s="232">
        <v>5338241</v>
      </c>
      <c r="P148" s="232">
        <v>0</v>
      </c>
      <c r="Q148" s="231">
        <v>184573</v>
      </c>
      <c r="R148" s="232">
        <f t="shared" si="2"/>
        <v>9124820</v>
      </c>
      <c r="S148" s="231"/>
      <c r="T148" s="232">
        <v>4411367</v>
      </c>
      <c r="U148" s="233">
        <v>-64544</v>
      </c>
      <c r="V148" s="233">
        <v>4346824</v>
      </c>
    </row>
    <row r="149" spans="1:22">
      <c r="A149" s="51">
        <v>91302</v>
      </c>
      <c r="B149" s="227" t="s">
        <v>1933</v>
      </c>
      <c r="C149" s="87">
        <v>5.9190000000000002E-4</v>
      </c>
      <c r="D149" s="87">
        <v>5.8169999999999999E-4</v>
      </c>
      <c r="E149" s="231">
        <v>242052.32</v>
      </c>
      <c r="F149" s="231">
        <v>261063</v>
      </c>
      <c r="G149" s="231">
        <v>1256210</v>
      </c>
      <c r="H149" s="231"/>
      <c r="I149" s="232">
        <v>23602</v>
      </c>
      <c r="J149" s="232">
        <v>1100840</v>
      </c>
      <c r="K149" s="232">
        <v>86039</v>
      </c>
      <c r="L149" s="231">
        <v>53000</v>
      </c>
      <c r="M149" s="231"/>
      <c r="N149" s="232">
        <v>44019</v>
      </c>
      <c r="O149" s="232">
        <v>406314</v>
      </c>
      <c r="P149" s="232">
        <v>0</v>
      </c>
      <c r="Q149" s="231">
        <v>0</v>
      </c>
      <c r="R149" s="232">
        <f t="shared" si="2"/>
        <v>694526</v>
      </c>
      <c r="S149" s="231"/>
      <c r="T149" s="232">
        <v>335767</v>
      </c>
      <c r="U149" s="233">
        <v>20102</v>
      </c>
      <c r="V149" s="233">
        <v>355869</v>
      </c>
    </row>
    <row r="150" spans="1:22">
      <c r="A150" s="51">
        <v>91306</v>
      </c>
      <c r="B150" s="227" t="s">
        <v>860</v>
      </c>
      <c r="C150" s="87">
        <v>1.6676E-3</v>
      </c>
      <c r="D150" s="87">
        <v>1.5539E-3</v>
      </c>
      <c r="E150" s="231">
        <v>693270.79999999993</v>
      </c>
      <c r="F150" s="231">
        <v>697381</v>
      </c>
      <c r="G150" s="231">
        <v>3539206</v>
      </c>
      <c r="H150" s="231"/>
      <c r="I150" s="232">
        <v>66495.55</v>
      </c>
      <c r="J150" s="232">
        <v>3101473</v>
      </c>
      <c r="K150" s="232">
        <v>242404</v>
      </c>
      <c r="L150" s="231">
        <v>174697</v>
      </c>
      <c r="M150" s="231"/>
      <c r="N150" s="232">
        <v>124018</v>
      </c>
      <c r="O150" s="232">
        <v>1144737</v>
      </c>
      <c r="P150" s="232">
        <v>0</v>
      </c>
      <c r="Q150" s="231">
        <v>0</v>
      </c>
      <c r="R150" s="232">
        <f t="shared" si="2"/>
        <v>1956736</v>
      </c>
      <c r="S150" s="231"/>
      <c r="T150" s="232">
        <v>945978</v>
      </c>
      <c r="U150" s="233">
        <v>60990</v>
      </c>
      <c r="V150" s="233">
        <v>1006968</v>
      </c>
    </row>
    <row r="151" spans="1:22">
      <c r="A151" s="226">
        <v>91308</v>
      </c>
      <c r="B151" s="227" t="s">
        <v>861</v>
      </c>
      <c r="C151" s="87">
        <v>2.05E-4</v>
      </c>
      <c r="D151" s="87">
        <v>1.8650000000000001E-4</v>
      </c>
      <c r="E151" s="231">
        <v>71992.33</v>
      </c>
      <c r="F151" s="231">
        <v>83700</v>
      </c>
      <c r="G151" s="231">
        <v>435079</v>
      </c>
      <c r="H151" s="231"/>
      <c r="I151" s="232">
        <v>8174.375</v>
      </c>
      <c r="J151" s="232">
        <v>381267.61</v>
      </c>
      <c r="K151" s="232">
        <v>29799</v>
      </c>
      <c r="L151" s="231">
        <v>4790</v>
      </c>
      <c r="M151" s="231"/>
      <c r="N151" s="232">
        <v>15246</v>
      </c>
      <c r="O151" s="232">
        <v>140724</v>
      </c>
      <c r="P151" s="232">
        <v>0</v>
      </c>
      <c r="Q151" s="231">
        <v>3858</v>
      </c>
      <c r="R151" s="232">
        <f t="shared" si="2"/>
        <v>240543.61</v>
      </c>
      <c r="S151" s="231"/>
      <c r="T151" s="232">
        <v>116290</v>
      </c>
      <c r="U151" s="233">
        <v>980</v>
      </c>
      <c r="V151" s="233">
        <v>117270</v>
      </c>
    </row>
    <row r="152" spans="1:22">
      <c r="A152" s="226">
        <v>91311</v>
      </c>
      <c r="B152" s="227" t="s">
        <v>862</v>
      </c>
      <c r="C152" s="87">
        <v>7.6649999999999999E-3</v>
      </c>
      <c r="D152" s="87">
        <v>7.9313999999999999E-3</v>
      </c>
      <c r="E152" s="231">
        <v>2915494.2899999996</v>
      </c>
      <c r="F152" s="231">
        <v>3559565</v>
      </c>
      <c r="G152" s="231">
        <v>16267698</v>
      </c>
      <c r="H152" s="231"/>
      <c r="I152" s="232">
        <v>305642</v>
      </c>
      <c r="J152" s="232">
        <v>14255689</v>
      </c>
      <c r="K152" s="232">
        <v>1114192</v>
      </c>
      <c r="L152" s="231">
        <v>121391</v>
      </c>
      <c r="M152" s="231"/>
      <c r="N152" s="232">
        <v>570038</v>
      </c>
      <c r="O152" s="232">
        <v>5261700.57</v>
      </c>
      <c r="P152" s="232">
        <v>0</v>
      </c>
      <c r="Q152" s="231">
        <v>535505</v>
      </c>
      <c r="R152" s="232">
        <f t="shared" si="2"/>
        <v>8993988.4299999997</v>
      </c>
      <c r="S152" s="231"/>
      <c r="T152" s="232">
        <v>4348117</v>
      </c>
      <c r="U152" s="233">
        <v>-145156</v>
      </c>
      <c r="V152" s="233">
        <v>4202961</v>
      </c>
    </row>
    <row r="153" spans="1:22">
      <c r="A153" s="226">
        <v>91317</v>
      </c>
      <c r="B153" s="227" t="s">
        <v>863</v>
      </c>
      <c r="C153" s="87">
        <v>9.0500000000000004E-5</v>
      </c>
      <c r="D153" s="87">
        <v>9.59E-5</v>
      </c>
      <c r="E153" s="231">
        <v>39328.85</v>
      </c>
      <c r="F153" s="231">
        <v>43039</v>
      </c>
      <c r="G153" s="231">
        <v>192071</v>
      </c>
      <c r="H153" s="231"/>
      <c r="I153" s="232">
        <v>3608.6875</v>
      </c>
      <c r="J153" s="232">
        <v>168316</v>
      </c>
      <c r="K153" s="232">
        <v>13155</v>
      </c>
      <c r="L153" s="231">
        <v>3623</v>
      </c>
      <c r="M153" s="231"/>
      <c r="N153" s="232">
        <v>6730</v>
      </c>
      <c r="O153" s="232">
        <v>62124</v>
      </c>
      <c r="P153" s="232">
        <v>0</v>
      </c>
      <c r="Q153" s="231">
        <v>2926</v>
      </c>
      <c r="R153" s="232">
        <f t="shared" si="2"/>
        <v>106192</v>
      </c>
      <c r="S153" s="231"/>
      <c r="T153" s="232">
        <v>51338</v>
      </c>
      <c r="U153" s="233">
        <v>118</v>
      </c>
      <c r="V153" s="233">
        <v>51456</v>
      </c>
    </row>
    <row r="154" spans="1:22">
      <c r="A154" s="226">
        <v>91321</v>
      </c>
      <c r="B154" s="227" t="s">
        <v>864</v>
      </c>
      <c r="C154" s="87">
        <v>4.1999999999999998E-5</v>
      </c>
      <c r="D154" s="87">
        <v>3.1999999999999999E-5</v>
      </c>
      <c r="E154" s="231">
        <v>17122.889999999996</v>
      </c>
      <c r="F154" s="231">
        <v>14361</v>
      </c>
      <c r="G154" s="231">
        <v>89138</v>
      </c>
      <c r="H154" s="231"/>
      <c r="I154" s="232">
        <v>1674.75</v>
      </c>
      <c r="J154" s="232">
        <v>78113</v>
      </c>
      <c r="K154" s="232">
        <v>6105</v>
      </c>
      <c r="L154" s="231">
        <v>6260</v>
      </c>
      <c r="M154" s="231"/>
      <c r="N154" s="232">
        <v>3123</v>
      </c>
      <c r="O154" s="232">
        <v>28831</v>
      </c>
      <c r="P154" s="232">
        <v>0</v>
      </c>
      <c r="Q154" s="231">
        <v>5826</v>
      </c>
      <c r="R154" s="232">
        <f t="shared" si="2"/>
        <v>49282</v>
      </c>
      <c r="S154" s="231"/>
      <c r="T154" s="232">
        <v>23825</v>
      </c>
      <c r="U154" s="233">
        <v>-210</v>
      </c>
      <c r="V154" s="233">
        <v>23615</v>
      </c>
    </row>
    <row r="155" spans="1:22">
      <c r="A155" s="226">
        <v>91327</v>
      </c>
      <c r="B155" s="227" t="s">
        <v>865</v>
      </c>
      <c r="C155" s="87">
        <v>1.03E-5</v>
      </c>
      <c r="D155" s="87">
        <v>1.13E-5</v>
      </c>
      <c r="E155" s="231">
        <v>4111.5200000000004</v>
      </c>
      <c r="F155" s="231">
        <v>5071</v>
      </c>
      <c r="G155" s="231">
        <v>21860</v>
      </c>
      <c r="H155" s="231"/>
      <c r="I155" s="232">
        <v>410.71249999999998</v>
      </c>
      <c r="J155" s="232">
        <v>19156</v>
      </c>
      <c r="K155" s="232">
        <v>1497</v>
      </c>
      <c r="L155" s="231">
        <v>72</v>
      </c>
      <c r="M155" s="231"/>
      <c r="N155" s="232">
        <v>766</v>
      </c>
      <c r="O155" s="232">
        <v>7071</v>
      </c>
      <c r="P155" s="232">
        <v>0</v>
      </c>
      <c r="Q155" s="231">
        <v>1050</v>
      </c>
      <c r="R155" s="232">
        <f t="shared" si="2"/>
        <v>12085</v>
      </c>
      <c r="S155" s="231"/>
      <c r="T155" s="232">
        <v>5843</v>
      </c>
      <c r="U155" s="233">
        <v>-275</v>
      </c>
      <c r="V155" s="233">
        <v>5568</v>
      </c>
    </row>
    <row r="156" spans="1:22">
      <c r="A156" s="226">
        <v>91331</v>
      </c>
      <c r="B156" s="227" t="s">
        <v>866</v>
      </c>
      <c r="C156" s="87">
        <v>2.8509999999999998E-3</v>
      </c>
      <c r="D156" s="87">
        <v>3.0317E-3</v>
      </c>
      <c r="E156" s="231">
        <v>1040695.76</v>
      </c>
      <c r="F156" s="231">
        <v>1360609</v>
      </c>
      <c r="G156" s="231">
        <v>6050777</v>
      </c>
      <c r="H156" s="231"/>
      <c r="I156" s="232">
        <v>113684</v>
      </c>
      <c r="J156" s="232">
        <v>5302410</v>
      </c>
      <c r="K156" s="232">
        <v>414424</v>
      </c>
      <c r="L156" s="231">
        <v>0</v>
      </c>
      <c r="M156" s="231"/>
      <c r="N156" s="232">
        <v>212026</v>
      </c>
      <c r="O156" s="232">
        <v>1957092</v>
      </c>
      <c r="P156" s="232">
        <v>0</v>
      </c>
      <c r="Q156" s="231">
        <v>459221</v>
      </c>
      <c r="R156" s="232">
        <f t="shared" si="2"/>
        <v>3345318</v>
      </c>
      <c r="S156" s="231"/>
      <c r="T156" s="232">
        <v>1617284</v>
      </c>
      <c r="U156" s="233">
        <v>-164462</v>
      </c>
      <c r="V156" s="233">
        <v>1452822</v>
      </c>
    </row>
    <row r="157" spans="1:22">
      <c r="A157" s="226">
        <v>91341</v>
      </c>
      <c r="B157" s="227" t="s">
        <v>867</v>
      </c>
      <c r="C157" s="87">
        <v>1.4399999999999999E-5</v>
      </c>
      <c r="D157" s="87">
        <v>2.1299999999999999E-5</v>
      </c>
      <c r="E157" s="231">
        <v>7639.09</v>
      </c>
      <c r="F157" s="231">
        <v>9559</v>
      </c>
      <c r="G157" s="231">
        <v>30562</v>
      </c>
      <c r="H157" s="231"/>
      <c r="I157" s="232">
        <v>574</v>
      </c>
      <c r="J157" s="232">
        <v>26782</v>
      </c>
      <c r="K157" s="232">
        <v>2093</v>
      </c>
      <c r="L157" s="231">
        <v>514</v>
      </c>
      <c r="M157" s="231"/>
      <c r="N157" s="232">
        <v>1071</v>
      </c>
      <c r="O157" s="232">
        <v>9885</v>
      </c>
      <c r="P157" s="232">
        <v>0</v>
      </c>
      <c r="Q157" s="231">
        <v>2374</v>
      </c>
      <c r="R157" s="232">
        <f t="shared" si="2"/>
        <v>16897</v>
      </c>
      <c r="S157" s="231"/>
      <c r="T157" s="232">
        <v>8169</v>
      </c>
      <c r="U157" s="233">
        <v>-382</v>
      </c>
      <c r="V157" s="233">
        <v>7786</v>
      </c>
    </row>
    <row r="158" spans="1:22">
      <c r="A158" s="226">
        <v>91401</v>
      </c>
      <c r="B158" s="227" t="s">
        <v>868</v>
      </c>
      <c r="C158" s="87">
        <v>3.6841E-3</v>
      </c>
      <c r="D158" s="87">
        <v>3.5414999999999999E-3</v>
      </c>
      <c r="E158" s="231">
        <v>1403464.74</v>
      </c>
      <c r="F158" s="231">
        <v>1589404</v>
      </c>
      <c r="G158" s="231">
        <v>7818894</v>
      </c>
      <c r="H158" s="231"/>
      <c r="I158" s="232">
        <v>146903</v>
      </c>
      <c r="J158" s="232">
        <v>6851844</v>
      </c>
      <c r="K158" s="232">
        <v>535524</v>
      </c>
      <c r="L158" s="231">
        <v>30858</v>
      </c>
      <c r="M158" s="231"/>
      <c r="N158" s="232">
        <v>273983</v>
      </c>
      <c r="O158" s="232">
        <v>2528980</v>
      </c>
      <c r="P158" s="232">
        <v>0</v>
      </c>
      <c r="Q158" s="231">
        <v>11385</v>
      </c>
      <c r="R158" s="232">
        <f t="shared" si="2"/>
        <v>4322864</v>
      </c>
      <c r="S158" s="231"/>
      <c r="T158" s="232">
        <v>2089876</v>
      </c>
      <c r="U158" s="233">
        <v>10463</v>
      </c>
      <c r="V158" s="233">
        <v>2100338</v>
      </c>
    </row>
    <row r="159" spans="1:22">
      <c r="A159" s="226">
        <v>91411</v>
      </c>
      <c r="B159" s="227" t="s">
        <v>869</v>
      </c>
      <c r="C159" s="87">
        <v>3.5379999999999998E-4</v>
      </c>
      <c r="D159" s="87">
        <v>3.1189999999999999E-4</v>
      </c>
      <c r="E159" s="231">
        <v>141435.49</v>
      </c>
      <c r="F159" s="231">
        <v>139979</v>
      </c>
      <c r="G159" s="231">
        <v>750882</v>
      </c>
      <c r="H159" s="231"/>
      <c r="I159" s="232">
        <v>14108</v>
      </c>
      <c r="J159" s="232">
        <v>658012</v>
      </c>
      <c r="K159" s="232">
        <v>51429</v>
      </c>
      <c r="L159" s="231">
        <v>22528</v>
      </c>
      <c r="M159" s="231"/>
      <c r="N159" s="232">
        <v>26312</v>
      </c>
      <c r="O159" s="232">
        <v>242869</v>
      </c>
      <c r="P159" s="232">
        <v>0</v>
      </c>
      <c r="Q159" s="231">
        <v>2801.92</v>
      </c>
      <c r="R159" s="232">
        <f t="shared" si="2"/>
        <v>415143</v>
      </c>
      <c r="S159" s="231"/>
      <c r="T159" s="232">
        <v>200700</v>
      </c>
      <c r="U159" s="233">
        <v>4720</v>
      </c>
      <c r="V159" s="233">
        <v>205420</v>
      </c>
    </row>
    <row r="160" spans="1:22">
      <c r="A160" s="226">
        <v>91417</v>
      </c>
      <c r="B160" s="227" t="s">
        <v>870</v>
      </c>
      <c r="C160" s="87">
        <v>9.9000000000000001E-6</v>
      </c>
      <c r="D160" s="87">
        <v>1.04E-5</v>
      </c>
      <c r="E160" s="231">
        <v>4800.1900000000005</v>
      </c>
      <c r="F160" s="231">
        <v>4667</v>
      </c>
      <c r="G160" s="231">
        <v>21011</v>
      </c>
      <c r="H160" s="231"/>
      <c r="I160" s="232">
        <v>394.76249999999999</v>
      </c>
      <c r="J160" s="232">
        <v>18412</v>
      </c>
      <c r="K160" s="232">
        <v>1439</v>
      </c>
      <c r="L160" s="231">
        <v>3686</v>
      </c>
      <c r="M160" s="231"/>
      <c r="N160" s="232">
        <v>736</v>
      </c>
      <c r="O160" s="232">
        <v>6796</v>
      </c>
      <c r="P160" s="232">
        <v>0</v>
      </c>
      <c r="Q160" s="231">
        <v>0</v>
      </c>
      <c r="R160" s="232">
        <f t="shared" si="2"/>
        <v>11616</v>
      </c>
      <c r="S160" s="231"/>
      <c r="T160" s="232">
        <v>5616</v>
      </c>
      <c r="U160" s="233">
        <v>1711</v>
      </c>
      <c r="V160" s="233">
        <v>7327</v>
      </c>
    </row>
    <row r="161" spans="1:22">
      <c r="A161" s="226">
        <v>91421</v>
      </c>
      <c r="B161" s="227" t="s">
        <v>871</v>
      </c>
      <c r="C161" s="87">
        <v>7.0400000000000004E-5</v>
      </c>
      <c r="D161" s="87">
        <v>7.3399999999999995E-5</v>
      </c>
      <c r="E161" s="231">
        <v>30682.670000000006</v>
      </c>
      <c r="F161" s="231">
        <v>32941</v>
      </c>
      <c r="G161" s="231">
        <v>149412</v>
      </c>
      <c r="H161" s="231"/>
      <c r="I161" s="232">
        <v>2807</v>
      </c>
      <c r="J161" s="232">
        <v>130933</v>
      </c>
      <c r="K161" s="232">
        <v>10233</v>
      </c>
      <c r="L161" s="231">
        <v>2567</v>
      </c>
      <c r="M161" s="231"/>
      <c r="N161" s="232">
        <v>5236</v>
      </c>
      <c r="O161" s="232">
        <v>48327</v>
      </c>
      <c r="P161" s="232">
        <v>0</v>
      </c>
      <c r="Q161" s="231">
        <v>4833</v>
      </c>
      <c r="R161" s="232">
        <f t="shared" si="2"/>
        <v>82606</v>
      </c>
      <c r="S161" s="231"/>
      <c r="T161" s="232">
        <v>39936</v>
      </c>
      <c r="U161" s="233">
        <v>-400</v>
      </c>
      <c r="V161" s="233">
        <v>39536</v>
      </c>
    </row>
    <row r="162" spans="1:22">
      <c r="A162" s="226">
        <v>91423</v>
      </c>
      <c r="B162" s="227" t="s">
        <v>872</v>
      </c>
      <c r="C162" s="87">
        <v>3.8699999999999999E-5</v>
      </c>
      <c r="D162" s="87">
        <v>3.9499999999999998E-5</v>
      </c>
      <c r="E162" s="231">
        <v>17177.96</v>
      </c>
      <c r="F162" s="231">
        <v>17727</v>
      </c>
      <c r="G162" s="231">
        <v>82134</v>
      </c>
      <c r="H162" s="231"/>
      <c r="I162" s="232">
        <v>1543</v>
      </c>
      <c r="J162" s="232">
        <v>71976</v>
      </c>
      <c r="K162" s="232">
        <v>5625</v>
      </c>
      <c r="L162" s="231">
        <v>10132</v>
      </c>
      <c r="M162" s="231"/>
      <c r="N162" s="232">
        <v>2878</v>
      </c>
      <c r="O162" s="232">
        <v>26566</v>
      </c>
      <c r="P162" s="232">
        <v>0</v>
      </c>
      <c r="Q162" s="231">
        <v>4072</v>
      </c>
      <c r="R162" s="232">
        <f t="shared" si="2"/>
        <v>45410</v>
      </c>
      <c r="S162" s="231"/>
      <c r="T162" s="232">
        <v>21953</v>
      </c>
      <c r="U162" s="233">
        <v>1493</v>
      </c>
      <c r="V162" s="233">
        <v>23446</v>
      </c>
    </row>
    <row r="163" spans="1:22">
      <c r="A163" s="226">
        <v>91431</v>
      </c>
      <c r="B163" s="227" t="s">
        <v>873</v>
      </c>
      <c r="C163" s="87">
        <v>1.417E-4</v>
      </c>
      <c r="D163" s="87">
        <v>1.606E-4</v>
      </c>
      <c r="E163" s="231">
        <v>68459.420000000013</v>
      </c>
      <c r="F163" s="231">
        <v>72076</v>
      </c>
      <c r="G163" s="231">
        <v>300735</v>
      </c>
      <c r="H163" s="231"/>
      <c r="I163" s="232">
        <v>5650</v>
      </c>
      <c r="J163" s="232">
        <v>263540</v>
      </c>
      <c r="K163" s="232">
        <v>20598</v>
      </c>
      <c r="L163" s="231">
        <v>1741</v>
      </c>
      <c r="M163" s="231"/>
      <c r="N163" s="232">
        <v>10538</v>
      </c>
      <c r="O163" s="232">
        <v>97271</v>
      </c>
      <c r="P163" s="232">
        <v>0</v>
      </c>
      <c r="Q163" s="231">
        <v>2500</v>
      </c>
      <c r="R163" s="232">
        <f t="shared" si="2"/>
        <v>166269</v>
      </c>
      <c r="S163" s="231"/>
      <c r="T163" s="232">
        <v>80382</v>
      </c>
      <c r="U163" s="233">
        <v>-116</v>
      </c>
      <c r="V163" s="233">
        <v>80266</v>
      </c>
    </row>
    <row r="164" spans="1:22">
      <c r="A164" s="226">
        <v>91441</v>
      </c>
      <c r="B164" s="227" t="s">
        <v>874</v>
      </c>
      <c r="C164" s="87">
        <v>7.3800000000000005E-4</v>
      </c>
      <c r="D164" s="87">
        <v>8.0199999999999998E-4</v>
      </c>
      <c r="E164" s="231">
        <v>243177.92</v>
      </c>
      <c r="F164" s="231">
        <v>359933</v>
      </c>
      <c r="G164" s="231">
        <v>1566283</v>
      </c>
      <c r="H164" s="231"/>
      <c r="I164" s="232">
        <v>29428</v>
      </c>
      <c r="J164" s="232">
        <v>1372563</v>
      </c>
      <c r="K164" s="232">
        <v>107276</v>
      </c>
      <c r="L164" s="231">
        <v>0</v>
      </c>
      <c r="M164" s="231"/>
      <c r="N164" s="232">
        <v>54884</v>
      </c>
      <c r="O164" s="232">
        <v>506606</v>
      </c>
      <c r="P164" s="232">
        <v>0</v>
      </c>
      <c r="Q164" s="231">
        <v>154968</v>
      </c>
      <c r="R164" s="232">
        <f t="shared" si="2"/>
        <v>865957</v>
      </c>
      <c r="S164" s="231"/>
      <c r="T164" s="232">
        <v>418645</v>
      </c>
      <c r="U164" s="233">
        <v>-51667</v>
      </c>
      <c r="V164" s="233">
        <v>366977</v>
      </c>
    </row>
    <row r="165" spans="1:22">
      <c r="A165" s="226">
        <v>91451</v>
      </c>
      <c r="B165" s="227" t="s">
        <v>875</v>
      </c>
      <c r="C165" s="87">
        <v>1.5629000000000001E-3</v>
      </c>
      <c r="D165" s="87">
        <v>1.7028E-3</v>
      </c>
      <c r="E165" s="231">
        <v>596684.65999999992</v>
      </c>
      <c r="F165" s="231">
        <v>764206</v>
      </c>
      <c r="G165" s="231">
        <v>3316997</v>
      </c>
      <c r="H165" s="231"/>
      <c r="I165" s="232">
        <v>62321</v>
      </c>
      <c r="J165" s="232">
        <v>2906747</v>
      </c>
      <c r="K165" s="232">
        <v>227185</v>
      </c>
      <c r="L165" s="231">
        <v>0</v>
      </c>
      <c r="M165" s="231"/>
      <c r="N165" s="232">
        <v>116231</v>
      </c>
      <c r="O165" s="232">
        <v>1072865</v>
      </c>
      <c r="P165" s="232">
        <v>0</v>
      </c>
      <c r="Q165" s="231">
        <v>204791</v>
      </c>
      <c r="R165" s="232">
        <f t="shared" si="2"/>
        <v>1833882</v>
      </c>
      <c r="S165" s="231"/>
      <c r="T165" s="232">
        <v>886585</v>
      </c>
      <c r="U165" s="233">
        <v>-69029</v>
      </c>
      <c r="V165" s="233">
        <v>817556</v>
      </c>
    </row>
    <row r="166" spans="1:22">
      <c r="A166" s="226">
        <v>91457</v>
      </c>
      <c r="B166" s="227" t="s">
        <v>876</v>
      </c>
      <c r="C166" s="87">
        <v>2.58E-5</v>
      </c>
      <c r="D166" s="87">
        <v>2.7500000000000001E-5</v>
      </c>
      <c r="E166" s="231">
        <v>28420.840000000004</v>
      </c>
      <c r="F166" s="231">
        <v>12342</v>
      </c>
      <c r="G166" s="231">
        <v>54756</v>
      </c>
      <c r="H166" s="231"/>
      <c r="I166" s="232">
        <v>1029</v>
      </c>
      <c r="J166" s="232">
        <v>47984</v>
      </c>
      <c r="K166" s="232">
        <v>3750</v>
      </c>
      <c r="L166" s="231">
        <v>24288</v>
      </c>
      <c r="M166" s="231"/>
      <c r="N166" s="232">
        <v>1919</v>
      </c>
      <c r="O166" s="232">
        <v>17711</v>
      </c>
      <c r="P166" s="232">
        <v>0</v>
      </c>
      <c r="Q166" s="231">
        <v>0</v>
      </c>
      <c r="R166" s="232">
        <f t="shared" si="2"/>
        <v>30273</v>
      </c>
      <c r="S166" s="231"/>
      <c r="T166" s="232">
        <v>14636</v>
      </c>
      <c r="U166" s="233">
        <v>7429</v>
      </c>
      <c r="V166" s="233">
        <v>22065</v>
      </c>
    </row>
    <row r="167" spans="1:22">
      <c r="A167" s="226">
        <v>91461</v>
      </c>
      <c r="B167" s="227" t="s">
        <v>877</v>
      </c>
      <c r="C167" s="87">
        <v>8.6999999999999997E-6</v>
      </c>
      <c r="D167" s="87">
        <v>6.3999999999999997E-6</v>
      </c>
      <c r="E167" s="231">
        <v>2697.2400000000002</v>
      </c>
      <c r="F167" s="231">
        <v>2872</v>
      </c>
      <c r="G167" s="231">
        <v>18464</v>
      </c>
      <c r="H167" s="231"/>
      <c r="I167" s="232">
        <v>347</v>
      </c>
      <c r="J167" s="232">
        <v>16181</v>
      </c>
      <c r="K167" s="232">
        <v>1265</v>
      </c>
      <c r="L167" s="231">
        <v>3156</v>
      </c>
      <c r="M167" s="231"/>
      <c r="N167" s="232">
        <v>647</v>
      </c>
      <c r="O167" s="232">
        <v>5972</v>
      </c>
      <c r="P167" s="232">
        <v>0</v>
      </c>
      <c r="Q167" s="231">
        <v>0</v>
      </c>
      <c r="R167" s="232">
        <f t="shared" si="2"/>
        <v>10209</v>
      </c>
      <c r="S167" s="231"/>
      <c r="T167" s="232">
        <v>4935</v>
      </c>
      <c r="U167" s="233">
        <v>1104</v>
      </c>
      <c r="V167" s="233">
        <v>6039</v>
      </c>
    </row>
    <row r="168" spans="1:22">
      <c r="A168" s="226">
        <v>91501</v>
      </c>
      <c r="B168" s="227" t="s">
        <v>878</v>
      </c>
      <c r="C168" s="87">
        <v>5.1099999999999995E-4</v>
      </c>
      <c r="D168" s="87">
        <v>4.8660000000000001E-4</v>
      </c>
      <c r="E168" s="231">
        <v>207395.53999999998</v>
      </c>
      <c r="F168" s="231">
        <v>218383</v>
      </c>
      <c r="G168" s="231">
        <v>1084513</v>
      </c>
      <c r="H168" s="231"/>
      <c r="I168" s="232">
        <v>20376</v>
      </c>
      <c r="J168" s="232">
        <v>950379</v>
      </c>
      <c r="K168" s="232">
        <v>74279</v>
      </c>
      <c r="L168" s="231">
        <v>41752</v>
      </c>
      <c r="M168" s="231"/>
      <c r="N168" s="232">
        <v>38003</v>
      </c>
      <c r="O168" s="232">
        <v>350780</v>
      </c>
      <c r="P168" s="232">
        <v>0</v>
      </c>
      <c r="Q168" s="231">
        <v>0</v>
      </c>
      <c r="R168" s="232">
        <f t="shared" si="2"/>
        <v>599599</v>
      </c>
      <c r="S168" s="231"/>
      <c r="T168" s="232">
        <v>289874</v>
      </c>
      <c r="U168" s="233">
        <v>17322</v>
      </c>
      <c r="V168" s="233">
        <v>307197</v>
      </c>
    </row>
    <row r="169" spans="1:22">
      <c r="A169" s="226">
        <v>91504</v>
      </c>
      <c r="B169" s="227" t="s">
        <v>879</v>
      </c>
      <c r="C169" s="87">
        <v>1.0200000000000001E-5</v>
      </c>
      <c r="D169" s="87">
        <v>9.7999999999999993E-6</v>
      </c>
      <c r="E169" s="231">
        <v>5951.380000000001</v>
      </c>
      <c r="F169" s="231">
        <v>4398</v>
      </c>
      <c r="G169" s="231">
        <v>21648</v>
      </c>
      <c r="H169" s="231"/>
      <c r="I169" s="232">
        <v>406.72500000000002</v>
      </c>
      <c r="J169" s="232">
        <v>18970</v>
      </c>
      <c r="K169" s="232">
        <v>1483</v>
      </c>
      <c r="L169" s="231">
        <v>6563</v>
      </c>
      <c r="M169" s="231"/>
      <c r="N169" s="232">
        <v>759</v>
      </c>
      <c r="O169" s="232">
        <v>7002</v>
      </c>
      <c r="P169" s="232">
        <v>0</v>
      </c>
      <c r="Q169" s="231">
        <v>0</v>
      </c>
      <c r="R169" s="232">
        <f t="shared" si="2"/>
        <v>11968</v>
      </c>
      <c r="S169" s="231"/>
      <c r="T169" s="232">
        <v>5786</v>
      </c>
      <c r="U169" s="233">
        <v>2270</v>
      </c>
      <c r="V169" s="233">
        <v>8056</v>
      </c>
    </row>
    <row r="170" spans="1:22">
      <c r="A170" s="226">
        <v>91601</v>
      </c>
      <c r="B170" s="227" t="s">
        <v>880</v>
      </c>
      <c r="C170" s="87">
        <v>2.9077999999999999E-3</v>
      </c>
      <c r="D170" s="87">
        <v>2.5893000000000001E-3</v>
      </c>
      <c r="E170" s="231">
        <v>1153048.76</v>
      </c>
      <c r="F170" s="231">
        <v>1162062</v>
      </c>
      <c r="G170" s="231">
        <v>6171326</v>
      </c>
      <c r="H170" s="231"/>
      <c r="I170" s="232">
        <v>115949</v>
      </c>
      <c r="J170" s="232">
        <v>5408049</v>
      </c>
      <c r="K170" s="232">
        <v>422681</v>
      </c>
      <c r="L170" s="231">
        <v>254754</v>
      </c>
      <c r="M170" s="231"/>
      <c r="N170" s="232">
        <v>216250</v>
      </c>
      <c r="O170" s="232">
        <v>1996083</v>
      </c>
      <c r="P170" s="232">
        <v>0</v>
      </c>
      <c r="Q170" s="231">
        <v>0</v>
      </c>
      <c r="R170" s="232">
        <f t="shared" si="2"/>
        <v>3411966</v>
      </c>
      <c r="S170" s="231"/>
      <c r="T170" s="232">
        <v>1649505</v>
      </c>
      <c r="U170" s="233">
        <v>86224</v>
      </c>
      <c r="V170" s="233">
        <v>1735729</v>
      </c>
    </row>
    <row r="171" spans="1:22">
      <c r="A171" s="226">
        <v>91604</v>
      </c>
      <c r="B171" s="227" t="s">
        <v>881</v>
      </c>
      <c r="C171" s="87">
        <v>8.6799999999999996E-5</v>
      </c>
      <c r="D171" s="87">
        <v>8.5000000000000006E-5</v>
      </c>
      <c r="E171" s="231">
        <v>47160.30999999999</v>
      </c>
      <c r="F171" s="231">
        <v>38147</v>
      </c>
      <c r="G171" s="231">
        <v>184219</v>
      </c>
      <c r="H171" s="231"/>
      <c r="I171" s="232">
        <v>3461</v>
      </c>
      <c r="J171" s="232">
        <v>161434</v>
      </c>
      <c r="K171" s="232">
        <v>12617</v>
      </c>
      <c r="L171" s="231">
        <v>17354</v>
      </c>
      <c r="M171" s="231"/>
      <c r="N171" s="232">
        <v>6455</v>
      </c>
      <c r="O171" s="232">
        <v>59585</v>
      </c>
      <c r="P171" s="232">
        <v>0</v>
      </c>
      <c r="Q171" s="231">
        <v>0</v>
      </c>
      <c r="R171" s="232">
        <f t="shared" si="2"/>
        <v>101849</v>
      </c>
      <c r="S171" s="231"/>
      <c r="T171" s="232">
        <v>49239</v>
      </c>
      <c r="U171" s="233">
        <v>5419</v>
      </c>
      <c r="V171" s="233">
        <v>54658</v>
      </c>
    </row>
    <row r="172" spans="1:22">
      <c r="A172" s="226">
        <v>91608</v>
      </c>
      <c r="B172" s="227" t="s">
        <v>882</v>
      </c>
      <c r="C172" s="87">
        <v>1.208E-4</v>
      </c>
      <c r="D172" s="87">
        <v>1.178E-4</v>
      </c>
      <c r="E172" s="231">
        <v>33633.730000000003</v>
      </c>
      <c r="F172" s="231">
        <v>52868</v>
      </c>
      <c r="G172" s="231">
        <v>256378</v>
      </c>
      <c r="H172" s="231"/>
      <c r="I172" s="232">
        <v>4817</v>
      </c>
      <c r="J172" s="232">
        <v>224669</v>
      </c>
      <c r="K172" s="232">
        <v>17560</v>
      </c>
      <c r="L172" s="231">
        <v>1751</v>
      </c>
      <c r="M172" s="231"/>
      <c r="N172" s="232">
        <v>8984</v>
      </c>
      <c r="O172" s="232">
        <v>82924</v>
      </c>
      <c r="P172" s="232">
        <v>0</v>
      </c>
      <c r="Q172" s="231">
        <v>42921</v>
      </c>
      <c r="R172" s="232">
        <f t="shared" si="2"/>
        <v>141745</v>
      </c>
      <c r="S172" s="231"/>
      <c r="T172" s="232">
        <v>68526</v>
      </c>
      <c r="U172" s="233">
        <v>-13278</v>
      </c>
      <c r="V172" s="233">
        <v>55248</v>
      </c>
    </row>
    <row r="173" spans="1:22">
      <c r="A173" s="226">
        <v>91611</v>
      </c>
      <c r="B173" s="227" t="s">
        <v>883</v>
      </c>
      <c r="C173" s="87">
        <v>1.4345E-3</v>
      </c>
      <c r="D173" s="87">
        <v>1.3361E-3</v>
      </c>
      <c r="E173" s="231">
        <v>495191.63999999996</v>
      </c>
      <c r="F173" s="231">
        <v>599634</v>
      </c>
      <c r="G173" s="231">
        <v>3044490</v>
      </c>
      <c r="H173" s="231"/>
      <c r="I173" s="232">
        <v>57201</v>
      </c>
      <c r="J173" s="232">
        <v>2667943</v>
      </c>
      <c r="K173" s="232">
        <v>208520</v>
      </c>
      <c r="L173" s="231">
        <v>36769</v>
      </c>
      <c r="M173" s="231"/>
      <c r="N173" s="232">
        <v>106682</v>
      </c>
      <c r="O173" s="232">
        <v>984724</v>
      </c>
      <c r="P173" s="232">
        <v>0</v>
      </c>
      <c r="Q173" s="231">
        <v>21938</v>
      </c>
      <c r="R173" s="232">
        <f t="shared" si="2"/>
        <v>1683219</v>
      </c>
      <c r="S173" s="231"/>
      <c r="T173" s="232">
        <v>813747</v>
      </c>
      <c r="U173" s="233">
        <v>11752</v>
      </c>
      <c r="V173" s="233">
        <v>825500</v>
      </c>
    </row>
    <row r="174" spans="1:22">
      <c r="A174" s="226">
        <v>91621</v>
      </c>
      <c r="B174" s="227" t="s">
        <v>884</v>
      </c>
      <c r="C174" s="87">
        <v>2.5240000000000001E-4</v>
      </c>
      <c r="D174" s="87">
        <v>2.6200000000000003E-4</v>
      </c>
      <c r="E174" s="231">
        <v>102643.69999999998</v>
      </c>
      <c r="F174" s="231">
        <v>117584</v>
      </c>
      <c r="G174" s="231">
        <v>535677</v>
      </c>
      <c r="H174" s="231"/>
      <c r="I174" s="232">
        <v>10064</v>
      </c>
      <c r="J174" s="232">
        <v>469424</v>
      </c>
      <c r="K174" s="232">
        <v>36689</v>
      </c>
      <c r="L174" s="231">
        <v>20545</v>
      </c>
      <c r="M174" s="231"/>
      <c r="N174" s="232">
        <v>18771</v>
      </c>
      <c r="O174" s="232">
        <v>173262</v>
      </c>
      <c r="P174" s="232">
        <v>0</v>
      </c>
      <c r="Q174" s="231">
        <v>25591</v>
      </c>
      <c r="R174" s="232">
        <f t="shared" si="2"/>
        <v>296162</v>
      </c>
      <c r="S174" s="231"/>
      <c r="T174" s="232">
        <v>143179</v>
      </c>
      <c r="U174" s="233">
        <v>-4085</v>
      </c>
      <c r="V174" s="233">
        <v>139094</v>
      </c>
    </row>
    <row r="175" spans="1:22">
      <c r="A175" s="226">
        <v>91631</v>
      </c>
      <c r="B175" s="227" t="s">
        <v>885</v>
      </c>
      <c r="C175" s="87">
        <v>5.3870000000000003E-4</v>
      </c>
      <c r="D175" s="87">
        <v>5.4830000000000005E-4</v>
      </c>
      <c r="E175" s="231">
        <v>189554.94</v>
      </c>
      <c r="F175" s="231">
        <v>246074</v>
      </c>
      <c r="G175" s="231">
        <v>1143302</v>
      </c>
      <c r="H175" s="231"/>
      <c r="I175" s="232">
        <v>21481</v>
      </c>
      <c r="J175" s="232">
        <v>1001897</v>
      </c>
      <c r="K175" s="232">
        <v>78306</v>
      </c>
      <c r="L175" s="231">
        <v>0</v>
      </c>
      <c r="M175" s="231"/>
      <c r="N175" s="232">
        <v>40063</v>
      </c>
      <c r="O175" s="232">
        <v>369795</v>
      </c>
      <c r="P175" s="232">
        <v>0</v>
      </c>
      <c r="Q175" s="231">
        <v>35292</v>
      </c>
      <c r="R175" s="232">
        <f t="shared" si="2"/>
        <v>632102</v>
      </c>
      <c r="S175" s="231"/>
      <c r="T175" s="232">
        <v>305588</v>
      </c>
      <c r="U175" s="233">
        <v>-10001</v>
      </c>
      <c r="V175" s="233">
        <v>295587</v>
      </c>
    </row>
    <row r="176" spans="1:22">
      <c r="A176" s="226">
        <v>91633</v>
      </c>
      <c r="B176" s="227" t="s">
        <v>886</v>
      </c>
      <c r="C176" s="87">
        <v>2.3799999999999999E-5</v>
      </c>
      <c r="D176" s="87">
        <v>2.3200000000000001E-5</v>
      </c>
      <c r="E176" s="231">
        <v>11149.369999999999</v>
      </c>
      <c r="F176" s="231">
        <v>10412</v>
      </c>
      <c r="G176" s="231">
        <v>50512</v>
      </c>
      <c r="H176" s="231"/>
      <c r="I176" s="232">
        <v>949.02499999999998</v>
      </c>
      <c r="J176" s="232">
        <v>44264</v>
      </c>
      <c r="K176" s="232">
        <v>3460</v>
      </c>
      <c r="L176" s="231">
        <v>1407</v>
      </c>
      <c r="M176" s="231"/>
      <c r="N176" s="232">
        <v>1770</v>
      </c>
      <c r="O176" s="232">
        <v>16338</v>
      </c>
      <c r="P176" s="232">
        <v>0</v>
      </c>
      <c r="Q176" s="231">
        <v>5064</v>
      </c>
      <c r="R176" s="232">
        <f t="shared" si="2"/>
        <v>27926</v>
      </c>
      <c r="S176" s="231"/>
      <c r="T176" s="232">
        <v>13501</v>
      </c>
      <c r="U176" s="233">
        <v>-1485</v>
      </c>
      <c r="V176" s="233">
        <v>12016</v>
      </c>
    </row>
    <row r="177" spans="1:22">
      <c r="A177" s="226">
        <v>91641</v>
      </c>
      <c r="B177" s="227" t="s">
        <v>887</v>
      </c>
      <c r="C177" s="87">
        <v>2.742E-4</v>
      </c>
      <c r="D177" s="87">
        <v>3.1080000000000002E-4</v>
      </c>
      <c r="E177" s="231">
        <v>90324.84</v>
      </c>
      <c r="F177" s="231">
        <v>139485</v>
      </c>
      <c r="G177" s="231">
        <v>581944</v>
      </c>
      <c r="H177" s="231"/>
      <c r="I177" s="232">
        <v>10934</v>
      </c>
      <c r="J177" s="232">
        <v>509969</v>
      </c>
      <c r="K177" s="232">
        <v>39858</v>
      </c>
      <c r="L177" s="231">
        <v>0</v>
      </c>
      <c r="M177" s="231"/>
      <c r="N177" s="232">
        <v>20392</v>
      </c>
      <c r="O177" s="232">
        <v>188227</v>
      </c>
      <c r="P177" s="232">
        <v>0</v>
      </c>
      <c r="Q177" s="231">
        <v>73613</v>
      </c>
      <c r="R177" s="232">
        <f t="shared" si="2"/>
        <v>321742</v>
      </c>
      <c r="S177" s="231"/>
      <c r="T177" s="232">
        <v>155545</v>
      </c>
      <c r="U177" s="233">
        <v>-24397</v>
      </c>
      <c r="V177" s="233">
        <v>131148</v>
      </c>
    </row>
    <row r="178" spans="1:22">
      <c r="A178" s="226">
        <v>91651</v>
      </c>
      <c r="B178" s="227" t="s">
        <v>888</v>
      </c>
      <c r="C178" s="87">
        <v>4.6099999999999998E-4</v>
      </c>
      <c r="D178" s="87">
        <v>4.797E-4</v>
      </c>
      <c r="E178" s="231">
        <v>182169.7</v>
      </c>
      <c r="F178" s="231">
        <v>215286</v>
      </c>
      <c r="G178" s="231">
        <v>978396</v>
      </c>
      <c r="H178" s="231"/>
      <c r="I178" s="232">
        <v>18382.375</v>
      </c>
      <c r="J178" s="232">
        <v>857387</v>
      </c>
      <c r="K178" s="232">
        <v>67011</v>
      </c>
      <c r="L178" s="231">
        <v>0</v>
      </c>
      <c r="M178" s="231"/>
      <c r="N178" s="232">
        <v>34284</v>
      </c>
      <c r="O178" s="232">
        <v>316457</v>
      </c>
      <c r="P178" s="232">
        <v>0</v>
      </c>
      <c r="Q178" s="231">
        <v>30276</v>
      </c>
      <c r="R178" s="232">
        <f t="shared" si="2"/>
        <v>540930</v>
      </c>
      <c r="S178" s="231"/>
      <c r="T178" s="232">
        <v>261511</v>
      </c>
      <c r="U178" s="233">
        <v>-9842</v>
      </c>
      <c r="V178" s="233">
        <v>251669</v>
      </c>
    </row>
    <row r="179" spans="1:22">
      <c r="A179" s="226">
        <v>91661</v>
      </c>
      <c r="B179" s="227" t="s">
        <v>889</v>
      </c>
      <c r="C179" s="87">
        <v>1.6750000000000001E-4</v>
      </c>
      <c r="D179" s="87">
        <v>1.9149999999999999E-4</v>
      </c>
      <c r="E179" s="231">
        <v>50933.13</v>
      </c>
      <c r="F179" s="231">
        <v>85944</v>
      </c>
      <c r="G179" s="231">
        <v>355491</v>
      </c>
      <c r="H179" s="231"/>
      <c r="I179" s="232">
        <v>6679.0625</v>
      </c>
      <c r="J179" s="232">
        <v>311524</v>
      </c>
      <c r="K179" s="232">
        <v>24348</v>
      </c>
      <c r="L179" s="231">
        <v>0</v>
      </c>
      <c r="M179" s="231"/>
      <c r="N179" s="232">
        <v>12457</v>
      </c>
      <c r="O179" s="232">
        <v>114982</v>
      </c>
      <c r="P179" s="232">
        <v>0</v>
      </c>
      <c r="Q179" s="231">
        <v>40976</v>
      </c>
      <c r="R179" s="232">
        <f t="shared" si="2"/>
        <v>196542</v>
      </c>
      <c r="S179" s="231"/>
      <c r="T179" s="232">
        <v>95018</v>
      </c>
      <c r="U179" s="233">
        <v>-12042</v>
      </c>
      <c r="V179" s="233">
        <v>82975</v>
      </c>
    </row>
    <row r="180" spans="1:22">
      <c r="A180" s="226">
        <v>91671</v>
      </c>
      <c r="B180" s="227" t="s">
        <v>890</v>
      </c>
      <c r="C180" s="87">
        <v>9.7600000000000001E-5</v>
      </c>
      <c r="D180" s="87">
        <v>9.0000000000000006E-5</v>
      </c>
      <c r="E180" s="231">
        <v>40599.14</v>
      </c>
      <c r="F180" s="231">
        <v>40391.46</v>
      </c>
      <c r="G180" s="231">
        <v>207140</v>
      </c>
      <c r="H180" s="231"/>
      <c r="I180" s="232">
        <v>3891.8</v>
      </c>
      <c r="J180" s="232">
        <v>181521</v>
      </c>
      <c r="K180" s="232">
        <v>14187</v>
      </c>
      <c r="L180" s="231">
        <v>17521</v>
      </c>
      <c r="M180" s="231"/>
      <c r="N180" s="232">
        <v>7258</v>
      </c>
      <c r="O180" s="232">
        <v>66998</v>
      </c>
      <c r="P180" s="232">
        <v>0</v>
      </c>
      <c r="Q180" s="231">
        <v>0</v>
      </c>
      <c r="R180" s="232">
        <f t="shared" si="2"/>
        <v>114523</v>
      </c>
      <c r="S180" s="231"/>
      <c r="T180" s="232">
        <v>55365</v>
      </c>
      <c r="U180" s="233">
        <v>6024</v>
      </c>
      <c r="V180" s="233">
        <v>61390</v>
      </c>
    </row>
    <row r="181" spans="1:22">
      <c r="A181" s="226">
        <v>91681</v>
      </c>
      <c r="B181" s="227" t="s">
        <v>891</v>
      </c>
      <c r="C181" s="87">
        <v>4.7130000000000002E-4</v>
      </c>
      <c r="D181" s="87">
        <v>5.2590000000000004E-4</v>
      </c>
      <c r="E181" s="231">
        <v>361073.65</v>
      </c>
      <c r="F181" s="231">
        <v>236021</v>
      </c>
      <c r="G181" s="231">
        <v>1000256</v>
      </c>
      <c r="H181" s="231"/>
      <c r="I181" s="232">
        <v>18793</v>
      </c>
      <c r="J181" s="232">
        <v>876544</v>
      </c>
      <c r="K181" s="232">
        <v>68509</v>
      </c>
      <c r="L181" s="231">
        <v>196447</v>
      </c>
      <c r="M181" s="231"/>
      <c r="N181" s="232">
        <v>35050</v>
      </c>
      <c r="O181" s="232">
        <v>323528</v>
      </c>
      <c r="P181" s="232">
        <v>0</v>
      </c>
      <c r="Q181" s="231">
        <v>9078</v>
      </c>
      <c r="R181" s="232">
        <f t="shared" si="2"/>
        <v>553016</v>
      </c>
      <c r="S181" s="231"/>
      <c r="T181" s="232">
        <v>267354</v>
      </c>
      <c r="U181" s="233">
        <v>55234</v>
      </c>
      <c r="V181" s="233">
        <v>322588</v>
      </c>
    </row>
    <row r="182" spans="1:22">
      <c r="A182" s="226">
        <v>91691</v>
      </c>
      <c r="B182" s="227" t="s">
        <v>892</v>
      </c>
      <c r="C182" s="87">
        <v>2.4199999999999999E-5</v>
      </c>
      <c r="D182" s="87">
        <v>1.8700000000000001E-5</v>
      </c>
      <c r="E182" s="231">
        <v>9113.6699999999983</v>
      </c>
      <c r="F182" s="231">
        <v>8392</v>
      </c>
      <c r="G182" s="231">
        <v>51361</v>
      </c>
      <c r="H182" s="231"/>
      <c r="I182" s="232">
        <v>965</v>
      </c>
      <c r="J182" s="232">
        <v>45008</v>
      </c>
      <c r="K182" s="232">
        <v>3518</v>
      </c>
      <c r="L182" s="231">
        <v>2449</v>
      </c>
      <c r="M182" s="231"/>
      <c r="N182" s="232">
        <v>1800</v>
      </c>
      <c r="O182" s="232">
        <v>16612</v>
      </c>
      <c r="P182" s="232">
        <v>0</v>
      </c>
      <c r="Q182" s="231">
        <v>801</v>
      </c>
      <c r="R182" s="232">
        <f t="shared" si="2"/>
        <v>28396</v>
      </c>
      <c r="S182" s="231"/>
      <c r="T182" s="232">
        <v>13728</v>
      </c>
      <c r="U182" s="233">
        <v>383</v>
      </c>
      <c r="V182" s="233">
        <v>14111</v>
      </c>
    </row>
    <row r="183" spans="1:22">
      <c r="A183" s="226">
        <v>91701</v>
      </c>
      <c r="B183" s="227" t="s">
        <v>893</v>
      </c>
      <c r="C183" s="87">
        <v>1.0897000000000001E-3</v>
      </c>
      <c r="D183" s="87">
        <v>1.0575999999999999E-3</v>
      </c>
      <c r="E183" s="231">
        <v>448773.31999999995</v>
      </c>
      <c r="F183" s="231">
        <v>474645</v>
      </c>
      <c r="G183" s="231">
        <v>2312708</v>
      </c>
      <c r="H183" s="231"/>
      <c r="I183" s="232">
        <v>43452</v>
      </c>
      <c r="J183" s="232">
        <v>2026670</v>
      </c>
      <c r="K183" s="232">
        <v>158400</v>
      </c>
      <c r="L183" s="231">
        <v>20132</v>
      </c>
      <c r="M183" s="231"/>
      <c r="N183" s="232">
        <v>81040</v>
      </c>
      <c r="O183" s="232">
        <v>748033</v>
      </c>
      <c r="P183" s="232">
        <v>0</v>
      </c>
      <c r="Q183" s="231">
        <v>13968</v>
      </c>
      <c r="R183" s="232">
        <f t="shared" si="2"/>
        <v>1278637</v>
      </c>
      <c r="S183" s="231"/>
      <c r="T183" s="232">
        <v>618153</v>
      </c>
      <c r="U183" s="233">
        <v>-1590</v>
      </c>
      <c r="V183" s="233">
        <v>616563</v>
      </c>
    </row>
    <row r="184" spans="1:22">
      <c r="A184" s="226">
        <v>91704</v>
      </c>
      <c r="B184" s="227" t="s">
        <v>894</v>
      </c>
      <c r="C184" s="87">
        <v>1.6699999999999999E-5</v>
      </c>
      <c r="D184" s="87">
        <v>1.66E-5</v>
      </c>
      <c r="E184" s="231">
        <v>6924.2000000000016</v>
      </c>
      <c r="F184" s="231">
        <v>7450</v>
      </c>
      <c r="G184" s="231">
        <v>35443</v>
      </c>
      <c r="H184" s="231"/>
      <c r="I184" s="232">
        <v>665.91250000000002</v>
      </c>
      <c r="J184" s="232">
        <v>31059</v>
      </c>
      <c r="K184" s="232">
        <v>2428</v>
      </c>
      <c r="L184" s="231">
        <v>1658</v>
      </c>
      <c r="M184" s="231"/>
      <c r="N184" s="232">
        <v>1242</v>
      </c>
      <c r="O184" s="232">
        <v>11464</v>
      </c>
      <c r="P184" s="232">
        <v>0</v>
      </c>
      <c r="Q184" s="231">
        <v>0</v>
      </c>
      <c r="R184" s="232">
        <f t="shared" si="2"/>
        <v>19595</v>
      </c>
      <c r="S184" s="231"/>
      <c r="T184" s="232">
        <v>9473</v>
      </c>
      <c r="U184" s="233">
        <v>628</v>
      </c>
      <c r="V184" s="233">
        <v>10101</v>
      </c>
    </row>
    <row r="185" spans="1:22">
      <c r="A185" s="226">
        <v>91706</v>
      </c>
      <c r="B185" s="227" t="s">
        <v>895</v>
      </c>
      <c r="C185" s="87">
        <v>2.4279999999999999E-4</v>
      </c>
      <c r="D185" s="87">
        <v>2.565E-4</v>
      </c>
      <c r="E185" s="231">
        <v>104554.31999999999</v>
      </c>
      <c r="F185" s="231">
        <v>115116</v>
      </c>
      <c r="G185" s="231">
        <v>515303</v>
      </c>
      <c r="H185" s="231"/>
      <c r="I185" s="232">
        <v>9681.65</v>
      </c>
      <c r="J185" s="232">
        <v>451570</v>
      </c>
      <c r="K185" s="232">
        <v>35294</v>
      </c>
      <c r="L185" s="231">
        <v>807</v>
      </c>
      <c r="M185" s="231"/>
      <c r="N185" s="232">
        <v>18057</v>
      </c>
      <c r="O185" s="232">
        <v>166672</v>
      </c>
      <c r="P185" s="232">
        <v>0</v>
      </c>
      <c r="Q185" s="231">
        <v>14823</v>
      </c>
      <c r="R185" s="232">
        <f t="shared" si="2"/>
        <v>284898</v>
      </c>
      <c r="S185" s="231"/>
      <c r="T185" s="232">
        <v>137733</v>
      </c>
      <c r="U185" s="233">
        <v>-6265</v>
      </c>
      <c r="V185" s="233">
        <v>131468</v>
      </c>
    </row>
    <row r="186" spans="1:22">
      <c r="A186" s="226">
        <v>91719</v>
      </c>
      <c r="B186" s="227" t="s">
        <v>896</v>
      </c>
      <c r="C186" s="87">
        <v>4.9299999999999999E-5</v>
      </c>
      <c r="D186" s="87">
        <v>4.4199999999999997E-5</v>
      </c>
      <c r="E186" s="231">
        <v>15848.369999999997</v>
      </c>
      <c r="F186" s="231">
        <v>19837</v>
      </c>
      <c r="G186" s="231">
        <v>104631</v>
      </c>
      <c r="H186" s="231"/>
      <c r="I186" s="232">
        <v>1966</v>
      </c>
      <c r="J186" s="232">
        <v>91690</v>
      </c>
      <c r="K186" s="232">
        <v>7166</v>
      </c>
      <c r="L186" s="231">
        <v>6810</v>
      </c>
      <c r="M186" s="231"/>
      <c r="N186" s="232">
        <v>3666</v>
      </c>
      <c r="O186" s="232">
        <v>33842</v>
      </c>
      <c r="P186" s="232">
        <v>0</v>
      </c>
      <c r="Q186" s="231">
        <v>3972</v>
      </c>
      <c r="R186" s="232">
        <f t="shared" si="2"/>
        <v>57848</v>
      </c>
      <c r="S186" s="231"/>
      <c r="T186" s="232">
        <v>27966</v>
      </c>
      <c r="U186" s="233">
        <v>602</v>
      </c>
      <c r="V186" s="233">
        <v>28568</v>
      </c>
    </row>
    <row r="187" spans="1:22">
      <c r="A187" s="226">
        <v>91801</v>
      </c>
      <c r="B187" s="227" t="s">
        <v>897</v>
      </c>
      <c r="C187" s="87">
        <v>8.3853999999999995E-3</v>
      </c>
      <c r="D187" s="87">
        <v>8.1784000000000006E-3</v>
      </c>
      <c r="E187" s="231">
        <v>3229080.93</v>
      </c>
      <c r="F187" s="231">
        <v>3670417</v>
      </c>
      <c r="G187" s="231">
        <v>17796628</v>
      </c>
      <c r="H187" s="231"/>
      <c r="I187" s="232">
        <v>334368</v>
      </c>
      <c r="J187" s="232">
        <v>15595519</v>
      </c>
      <c r="K187" s="232">
        <v>1218910</v>
      </c>
      <c r="L187" s="231">
        <v>0</v>
      </c>
      <c r="M187" s="231"/>
      <c r="N187" s="232">
        <v>623614</v>
      </c>
      <c r="O187" s="232">
        <v>5756225</v>
      </c>
      <c r="P187" s="232">
        <v>0</v>
      </c>
      <c r="Q187" s="231">
        <v>122778</v>
      </c>
      <c r="R187" s="232">
        <f t="shared" si="2"/>
        <v>9839294</v>
      </c>
      <c r="S187" s="231"/>
      <c r="T187" s="232">
        <v>4756777</v>
      </c>
      <c r="U187" s="233">
        <v>-45736</v>
      </c>
      <c r="V187" s="233">
        <v>4711042</v>
      </c>
    </row>
    <row r="188" spans="1:22">
      <c r="A188" s="226">
        <v>91804</v>
      </c>
      <c r="B188" s="227" t="s">
        <v>898</v>
      </c>
      <c r="C188" s="87">
        <v>1.462E-4</v>
      </c>
      <c r="D188" s="87">
        <v>1.4349999999999999E-4</v>
      </c>
      <c r="E188" s="231">
        <v>90420.56</v>
      </c>
      <c r="F188" s="231">
        <v>64402</v>
      </c>
      <c r="G188" s="231">
        <v>310285</v>
      </c>
      <c r="H188" s="231"/>
      <c r="I188" s="232">
        <v>5830</v>
      </c>
      <c r="J188" s="232">
        <v>271909</v>
      </c>
      <c r="K188" s="232">
        <v>21252</v>
      </c>
      <c r="L188" s="231">
        <v>55024</v>
      </c>
      <c r="M188" s="231"/>
      <c r="N188" s="232">
        <v>10873</v>
      </c>
      <c r="O188" s="232">
        <v>100360</v>
      </c>
      <c r="P188" s="232">
        <v>0</v>
      </c>
      <c r="Q188" s="231">
        <v>0</v>
      </c>
      <c r="R188" s="232">
        <f t="shared" si="2"/>
        <v>171549</v>
      </c>
      <c r="S188" s="231"/>
      <c r="T188" s="232">
        <v>82935</v>
      </c>
      <c r="U188" s="233">
        <v>18762</v>
      </c>
      <c r="V188" s="233">
        <v>101697</v>
      </c>
    </row>
    <row r="189" spans="1:22">
      <c r="A189" s="226">
        <v>91811</v>
      </c>
      <c r="B189" s="227" t="s">
        <v>899</v>
      </c>
      <c r="C189" s="87">
        <v>4.6454000000000001E-3</v>
      </c>
      <c r="D189" s="87">
        <v>5.0266E-3</v>
      </c>
      <c r="E189" s="231">
        <v>1763087.8699999999</v>
      </c>
      <c r="F189" s="231">
        <v>2255908</v>
      </c>
      <c r="G189" s="231">
        <v>9859095</v>
      </c>
      <c r="H189" s="231"/>
      <c r="I189" s="232">
        <v>185235</v>
      </c>
      <c r="J189" s="232">
        <v>8639710</v>
      </c>
      <c r="K189" s="232">
        <v>675260</v>
      </c>
      <c r="L189" s="231">
        <v>0</v>
      </c>
      <c r="M189" s="231"/>
      <c r="N189" s="232">
        <v>345474</v>
      </c>
      <c r="O189" s="232">
        <v>3188872</v>
      </c>
      <c r="P189" s="232">
        <v>0</v>
      </c>
      <c r="Q189" s="231">
        <v>514506</v>
      </c>
      <c r="R189" s="232">
        <f t="shared" si="2"/>
        <v>5450838</v>
      </c>
      <c r="S189" s="231"/>
      <c r="T189" s="232">
        <v>2635191</v>
      </c>
      <c r="U189" s="233">
        <v>-157089</v>
      </c>
      <c r="V189" s="233">
        <v>2478102</v>
      </c>
    </row>
    <row r="190" spans="1:22">
      <c r="A190" s="226">
        <v>91812</v>
      </c>
      <c r="B190" s="227" t="s">
        <v>900</v>
      </c>
      <c r="C190" s="87">
        <v>5.8199999999999998E-5</v>
      </c>
      <c r="D190" s="87">
        <v>4.1499999999999999E-5</v>
      </c>
      <c r="E190" s="231">
        <v>24707.129999999997</v>
      </c>
      <c r="F190" s="231">
        <v>18625</v>
      </c>
      <c r="G190" s="231">
        <v>123520</v>
      </c>
      <c r="H190" s="231"/>
      <c r="I190" s="232">
        <v>2320.7249999999999</v>
      </c>
      <c r="J190" s="232">
        <v>108243</v>
      </c>
      <c r="K190" s="232">
        <v>8460</v>
      </c>
      <c r="L190" s="231">
        <v>16587</v>
      </c>
      <c r="M190" s="231"/>
      <c r="N190" s="232">
        <v>4328</v>
      </c>
      <c r="O190" s="232">
        <v>39952</v>
      </c>
      <c r="P190" s="232">
        <v>0</v>
      </c>
      <c r="Q190" s="231">
        <v>0</v>
      </c>
      <c r="R190" s="232">
        <f t="shared" si="2"/>
        <v>68291</v>
      </c>
      <c r="S190" s="231"/>
      <c r="T190" s="232">
        <v>33015</v>
      </c>
      <c r="U190" s="233">
        <v>5261</v>
      </c>
      <c r="V190" s="233">
        <v>38276</v>
      </c>
    </row>
    <row r="191" spans="1:22">
      <c r="A191" s="226">
        <v>91813</v>
      </c>
      <c r="B191" s="227" t="s">
        <v>901</v>
      </c>
      <c r="C191" s="87">
        <v>1.083E-4</v>
      </c>
      <c r="D191" s="87">
        <v>9.6100000000000005E-5</v>
      </c>
      <c r="E191" s="231">
        <v>43088.72</v>
      </c>
      <c r="F191" s="231">
        <v>43129</v>
      </c>
      <c r="G191" s="231">
        <v>229849</v>
      </c>
      <c r="H191" s="231"/>
      <c r="I191" s="232">
        <v>4318</v>
      </c>
      <c r="J191" s="232">
        <v>201421</v>
      </c>
      <c r="K191" s="232">
        <v>15743</v>
      </c>
      <c r="L191" s="231">
        <v>16214</v>
      </c>
      <c r="M191" s="231"/>
      <c r="N191" s="232">
        <v>8054</v>
      </c>
      <c r="O191" s="232">
        <v>74343</v>
      </c>
      <c r="P191" s="232">
        <v>0</v>
      </c>
      <c r="Q191" s="231">
        <v>5268</v>
      </c>
      <c r="R191" s="232">
        <f t="shared" si="2"/>
        <v>127078</v>
      </c>
      <c r="S191" s="231"/>
      <c r="T191" s="232">
        <v>61435</v>
      </c>
      <c r="U191" s="233">
        <v>2581</v>
      </c>
      <c r="V191" s="233">
        <v>64016</v>
      </c>
    </row>
    <row r="192" spans="1:22">
      <c r="A192" s="226">
        <v>91818</v>
      </c>
      <c r="B192" s="227" t="s">
        <v>902</v>
      </c>
      <c r="C192" s="87">
        <v>3.8559999999999999E-4</v>
      </c>
      <c r="D192" s="87">
        <v>3.8890000000000002E-4</v>
      </c>
      <c r="E192" s="231">
        <v>416376.07000000007</v>
      </c>
      <c r="F192" s="231">
        <v>174536</v>
      </c>
      <c r="G192" s="231">
        <v>818372</v>
      </c>
      <c r="H192" s="231"/>
      <c r="I192" s="232">
        <v>15375.8</v>
      </c>
      <c r="J192" s="232">
        <v>717155</v>
      </c>
      <c r="K192" s="232">
        <v>56051</v>
      </c>
      <c r="L192" s="231">
        <v>347266</v>
      </c>
      <c r="M192" s="231"/>
      <c r="N192" s="232">
        <v>28677</v>
      </c>
      <c r="O192" s="232">
        <v>264698</v>
      </c>
      <c r="P192" s="232">
        <v>0</v>
      </c>
      <c r="Q192" s="231">
        <v>10099</v>
      </c>
      <c r="R192" s="232">
        <f t="shared" si="2"/>
        <v>452457</v>
      </c>
      <c r="S192" s="231"/>
      <c r="T192" s="232">
        <v>218739</v>
      </c>
      <c r="U192" s="233">
        <v>98677</v>
      </c>
      <c r="V192" s="233">
        <v>317416</v>
      </c>
    </row>
    <row r="193" spans="1:22">
      <c r="A193" s="226">
        <v>91819</v>
      </c>
      <c r="B193" s="227" t="s">
        <v>903</v>
      </c>
      <c r="C193" s="87">
        <v>2.8200000000000002E-4</v>
      </c>
      <c r="D193" s="87">
        <v>2.9609999999999999E-4</v>
      </c>
      <c r="E193" s="231">
        <v>118267.02</v>
      </c>
      <c r="F193" s="231">
        <v>132888</v>
      </c>
      <c r="G193" s="231">
        <v>598498</v>
      </c>
      <c r="H193" s="231"/>
      <c r="I193" s="232">
        <v>11245</v>
      </c>
      <c r="J193" s="232">
        <v>524475</v>
      </c>
      <c r="K193" s="232">
        <v>40992</v>
      </c>
      <c r="L193" s="231">
        <v>13743</v>
      </c>
      <c r="M193" s="231"/>
      <c r="N193" s="232">
        <v>20972</v>
      </c>
      <c r="O193" s="232">
        <v>193581</v>
      </c>
      <c r="P193" s="232">
        <v>0</v>
      </c>
      <c r="Q193" s="231">
        <v>11963</v>
      </c>
      <c r="R193" s="232">
        <f t="shared" si="2"/>
        <v>330894</v>
      </c>
      <c r="S193" s="231"/>
      <c r="T193" s="232">
        <v>159970</v>
      </c>
      <c r="U193" s="233">
        <v>3219</v>
      </c>
      <c r="V193" s="233">
        <v>163189</v>
      </c>
    </row>
    <row r="194" spans="1:22">
      <c r="A194" s="226">
        <v>91821</v>
      </c>
      <c r="B194" s="227" t="s">
        <v>904</v>
      </c>
      <c r="C194" s="87">
        <v>1.63E-4</v>
      </c>
      <c r="D194" s="87">
        <v>1.5799999999999999E-4</v>
      </c>
      <c r="E194" s="231">
        <v>61732.91</v>
      </c>
      <c r="F194" s="231">
        <v>70909</v>
      </c>
      <c r="G194" s="231">
        <v>345941</v>
      </c>
      <c r="H194" s="231"/>
      <c r="I194" s="232">
        <v>6499.625</v>
      </c>
      <c r="J194" s="232">
        <v>303154</v>
      </c>
      <c r="K194" s="232">
        <v>23694</v>
      </c>
      <c r="L194" s="231">
        <v>4196</v>
      </c>
      <c r="M194" s="231"/>
      <c r="N194" s="232">
        <v>12122</v>
      </c>
      <c r="O194" s="232">
        <v>111893</v>
      </c>
      <c r="P194" s="232">
        <v>0</v>
      </c>
      <c r="Q194" s="231">
        <v>1501</v>
      </c>
      <c r="R194" s="232">
        <f t="shared" si="2"/>
        <v>191261</v>
      </c>
      <c r="S194" s="231"/>
      <c r="T194" s="232">
        <v>92465</v>
      </c>
      <c r="U194" s="233">
        <v>1532</v>
      </c>
      <c r="V194" s="233">
        <v>93997</v>
      </c>
    </row>
    <row r="195" spans="1:22">
      <c r="A195" s="226">
        <v>91831</v>
      </c>
      <c r="B195" s="227" t="s">
        <v>905</v>
      </c>
      <c r="C195" s="87">
        <v>3.414E-4</v>
      </c>
      <c r="D195" s="87">
        <v>3.344E-4</v>
      </c>
      <c r="E195" s="231">
        <v>124107.91</v>
      </c>
      <c r="F195" s="231">
        <v>150077</v>
      </c>
      <c r="G195" s="231">
        <v>724565</v>
      </c>
      <c r="H195" s="231"/>
      <c r="I195" s="232">
        <v>13613</v>
      </c>
      <c r="J195" s="232">
        <v>634950</v>
      </c>
      <c r="K195" s="232">
        <v>49626</v>
      </c>
      <c r="L195" s="231">
        <v>12411</v>
      </c>
      <c r="M195" s="231"/>
      <c r="N195" s="232">
        <v>25390</v>
      </c>
      <c r="O195" s="232">
        <v>234357</v>
      </c>
      <c r="P195" s="232">
        <v>0</v>
      </c>
      <c r="Q195" s="231">
        <v>9146</v>
      </c>
      <c r="R195" s="232">
        <f t="shared" si="2"/>
        <v>400593</v>
      </c>
      <c r="S195" s="231"/>
      <c r="T195" s="232">
        <v>193666</v>
      </c>
      <c r="U195" s="233">
        <v>2194</v>
      </c>
      <c r="V195" s="233">
        <v>195860</v>
      </c>
    </row>
    <row r="196" spans="1:22">
      <c r="A196" s="226">
        <v>91841</v>
      </c>
      <c r="B196" s="227" t="s">
        <v>906</v>
      </c>
      <c r="C196" s="87">
        <v>2.63E-4</v>
      </c>
      <c r="D196" s="87">
        <v>2.7290000000000002E-4</v>
      </c>
      <c r="E196" s="231">
        <v>112188.05</v>
      </c>
      <c r="F196" s="231">
        <v>122476</v>
      </c>
      <c r="G196" s="231">
        <v>558174</v>
      </c>
      <c r="H196" s="231"/>
      <c r="I196" s="232">
        <v>10487.125</v>
      </c>
      <c r="J196" s="232">
        <v>489138</v>
      </c>
      <c r="K196" s="232">
        <v>38230</v>
      </c>
      <c r="L196" s="231">
        <v>0</v>
      </c>
      <c r="M196" s="231"/>
      <c r="N196" s="232">
        <v>19559</v>
      </c>
      <c r="O196" s="232">
        <v>180538</v>
      </c>
      <c r="P196" s="232">
        <v>0</v>
      </c>
      <c r="Q196" s="231">
        <v>24859</v>
      </c>
      <c r="R196" s="232">
        <f t="shared" si="2"/>
        <v>308600</v>
      </c>
      <c r="S196" s="231"/>
      <c r="T196" s="232">
        <v>149192</v>
      </c>
      <c r="U196" s="233">
        <v>-10148</v>
      </c>
      <c r="V196" s="233">
        <v>139044</v>
      </c>
    </row>
    <row r="197" spans="1:22">
      <c r="A197" s="226">
        <v>91851</v>
      </c>
      <c r="B197" s="227" t="s">
        <v>907</v>
      </c>
      <c r="C197" s="87">
        <v>7.2059999999999995E-4</v>
      </c>
      <c r="D197" s="87">
        <v>7.8410000000000003E-4</v>
      </c>
      <c r="E197" s="231">
        <v>289167.15999999997</v>
      </c>
      <c r="F197" s="231">
        <v>351899</v>
      </c>
      <c r="G197" s="231">
        <v>1529355</v>
      </c>
      <c r="H197" s="231"/>
      <c r="I197" s="232">
        <v>28734</v>
      </c>
      <c r="J197" s="232">
        <v>1340202</v>
      </c>
      <c r="K197" s="232">
        <v>104747</v>
      </c>
      <c r="L197" s="231">
        <v>7182</v>
      </c>
      <c r="M197" s="231"/>
      <c r="N197" s="232">
        <v>53590</v>
      </c>
      <c r="O197" s="232">
        <v>494662</v>
      </c>
      <c r="P197" s="232">
        <v>0</v>
      </c>
      <c r="Q197" s="231">
        <v>62684</v>
      </c>
      <c r="R197" s="232">
        <f t="shared" si="2"/>
        <v>845540</v>
      </c>
      <c r="S197" s="231"/>
      <c r="T197" s="232">
        <v>408774</v>
      </c>
      <c r="U197" s="233">
        <v>-14788</v>
      </c>
      <c r="V197" s="233">
        <v>393986</v>
      </c>
    </row>
    <row r="198" spans="1:22">
      <c r="A198" s="226">
        <v>91861</v>
      </c>
      <c r="B198" s="227" t="s">
        <v>908</v>
      </c>
      <c r="C198" s="87">
        <v>1.9899999999999999E-5</v>
      </c>
      <c r="D198" s="87">
        <v>1.8499999999999999E-5</v>
      </c>
      <c r="E198" s="231">
        <v>7957.7099999999991</v>
      </c>
      <c r="F198" s="231">
        <v>8303</v>
      </c>
      <c r="G198" s="231">
        <v>42234</v>
      </c>
      <c r="H198" s="231"/>
      <c r="I198" s="232">
        <v>794</v>
      </c>
      <c r="J198" s="232">
        <v>37011</v>
      </c>
      <c r="K198" s="232">
        <v>2893</v>
      </c>
      <c r="L198" s="231">
        <v>3091</v>
      </c>
      <c r="M198" s="231"/>
      <c r="N198" s="232">
        <v>1480</v>
      </c>
      <c r="O198" s="232">
        <v>13661</v>
      </c>
      <c r="P198" s="232">
        <v>0</v>
      </c>
      <c r="Q198" s="231">
        <v>221</v>
      </c>
      <c r="R198" s="232">
        <f t="shared" si="2"/>
        <v>23350</v>
      </c>
      <c r="S198" s="231"/>
      <c r="T198" s="232">
        <v>11289</v>
      </c>
      <c r="U198" s="233">
        <v>930</v>
      </c>
      <c r="V198" s="233">
        <v>12219</v>
      </c>
    </row>
    <row r="199" spans="1:22">
      <c r="A199" s="226">
        <v>91871</v>
      </c>
      <c r="B199" s="227" t="s">
        <v>909</v>
      </c>
      <c r="C199" s="87">
        <v>1.2712000000000001E-3</v>
      </c>
      <c r="D199" s="87">
        <v>1.3523000000000001E-3</v>
      </c>
      <c r="E199" s="231">
        <v>508749.63</v>
      </c>
      <c r="F199" s="231">
        <v>606904</v>
      </c>
      <c r="G199" s="231">
        <v>2697912</v>
      </c>
      <c r="H199" s="231"/>
      <c r="I199" s="232">
        <v>50689</v>
      </c>
      <c r="J199" s="232">
        <v>2364231</v>
      </c>
      <c r="K199" s="232">
        <v>184783</v>
      </c>
      <c r="L199" s="231">
        <v>0</v>
      </c>
      <c r="M199" s="231"/>
      <c r="N199" s="232">
        <v>94538</v>
      </c>
      <c r="O199" s="232">
        <v>872625</v>
      </c>
      <c r="P199" s="232">
        <v>0</v>
      </c>
      <c r="Q199" s="231">
        <v>108234</v>
      </c>
      <c r="R199" s="232">
        <f t="shared" si="2"/>
        <v>1491606</v>
      </c>
      <c r="S199" s="231"/>
      <c r="T199" s="232">
        <v>721112</v>
      </c>
      <c r="U199" s="233">
        <v>-34437</v>
      </c>
      <c r="V199" s="233">
        <v>686676</v>
      </c>
    </row>
    <row r="200" spans="1:22">
      <c r="A200" s="226">
        <v>91881</v>
      </c>
      <c r="B200" s="227" t="s">
        <v>910</v>
      </c>
      <c r="C200" s="87">
        <v>1.01E-5</v>
      </c>
      <c r="D200" s="87">
        <v>2.1399999999999998E-5</v>
      </c>
      <c r="E200" s="231">
        <v>5881.13</v>
      </c>
      <c r="F200" s="231">
        <v>9604</v>
      </c>
      <c r="G200" s="231">
        <v>21436</v>
      </c>
      <c r="H200" s="231"/>
      <c r="I200" s="232">
        <v>402.73750000000001</v>
      </c>
      <c r="J200" s="232">
        <v>18784</v>
      </c>
      <c r="K200" s="232">
        <v>1468</v>
      </c>
      <c r="L200" s="231">
        <v>0</v>
      </c>
      <c r="M200" s="231"/>
      <c r="N200" s="232">
        <v>751</v>
      </c>
      <c r="O200" s="232">
        <v>6933</v>
      </c>
      <c r="P200" s="232">
        <v>0</v>
      </c>
      <c r="Q200" s="231">
        <v>14714</v>
      </c>
      <c r="R200" s="232">
        <f t="shared" si="2"/>
        <v>11851</v>
      </c>
      <c r="S200" s="231"/>
      <c r="T200" s="232">
        <v>5729</v>
      </c>
      <c r="U200" s="233">
        <v>-5904</v>
      </c>
      <c r="V200" s="233">
        <v>-175</v>
      </c>
    </row>
    <row r="201" spans="1:22">
      <c r="A201" s="226">
        <v>91901</v>
      </c>
      <c r="B201" s="227" t="s">
        <v>911</v>
      </c>
      <c r="C201" s="87">
        <v>3.6564000000000002E-3</v>
      </c>
      <c r="D201" s="87">
        <v>3.4198000000000002E-3</v>
      </c>
      <c r="E201" s="231">
        <v>1388384.1</v>
      </c>
      <c r="F201" s="231">
        <v>1534786</v>
      </c>
      <c r="G201" s="231">
        <v>7760106</v>
      </c>
      <c r="H201" s="231"/>
      <c r="I201" s="232">
        <v>145799</v>
      </c>
      <c r="J201" s="232">
        <v>6800326</v>
      </c>
      <c r="K201" s="232">
        <v>531498</v>
      </c>
      <c r="L201" s="231">
        <v>147570</v>
      </c>
      <c r="M201" s="231"/>
      <c r="N201" s="232">
        <v>271923</v>
      </c>
      <c r="O201" s="232">
        <v>2509965</v>
      </c>
      <c r="P201" s="232">
        <v>0</v>
      </c>
      <c r="Q201" s="231">
        <v>0</v>
      </c>
      <c r="R201" s="232">
        <f t="shared" ref="R201:R264" si="3">IF(J201&gt;O201,J201-O201,O201-J201)</f>
        <v>4290361</v>
      </c>
      <c r="S201" s="231"/>
      <c r="T201" s="232">
        <v>2074162</v>
      </c>
      <c r="U201" s="233">
        <v>57850</v>
      </c>
      <c r="V201" s="233">
        <v>2132013</v>
      </c>
    </row>
    <row r="202" spans="1:22">
      <c r="A202" s="226">
        <v>91903</v>
      </c>
      <c r="B202" s="227" t="s">
        <v>912</v>
      </c>
      <c r="C202" s="87">
        <v>8.3999999999999992E-6</v>
      </c>
      <c r="D202" s="87">
        <v>9.5000000000000005E-6</v>
      </c>
      <c r="E202" s="231">
        <v>4422.4000000000005</v>
      </c>
      <c r="F202" s="231">
        <v>4264</v>
      </c>
      <c r="G202" s="231">
        <v>17828</v>
      </c>
      <c r="H202" s="231"/>
      <c r="I202" s="232">
        <v>334.95</v>
      </c>
      <c r="J202" s="232">
        <v>15623</v>
      </c>
      <c r="K202" s="232">
        <v>1221</v>
      </c>
      <c r="L202" s="231">
        <v>656</v>
      </c>
      <c r="M202" s="231"/>
      <c r="N202" s="232">
        <v>625</v>
      </c>
      <c r="O202" s="232">
        <v>5766</v>
      </c>
      <c r="P202" s="232">
        <v>0</v>
      </c>
      <c r="Q202" s="231">
        <v>6052</v>
      </c>
      <c r="R202" s="232">
        <f t="shared" si="3"/>
        <v>9857</v>
      </c>
      <c r="S202" s="231"/>
      <c r="T202" s="232">
        <v>4765</v>
      </c>
      <c r="U202" s="233">
        <v>-2825</v>
      </c>
      <c r="V202" s="233">
        <v>1940</v>
      </c>
    </row>
    <row r="203" spans="1:22">
      <c r="A203" s="226">
        <v>91904</v>
      </c>
      <c r="B203" s="227" t="s">
        <v>913</v>
      </c>
      <c r="C203" s="87">
        <v>2.3300000000000001E-5</v>
      </c>
      <c r="D203" s="87">
        <v>1.1600000000000001E-5</v>
      </c>
      <c r="E203" s="231">
        <v>9195.409999999998</v>
      </c>
      <c r="F203" s="231">
        <v>5206</v>
      </c>
      <c r="G203" s="231">
        <v>49450</v>
      </c>
      <c r="H203" s="231"/>
      <c r="I203" s="232">
        <v>929.08749999999998</v>
      </c>
      <c r="J203" s="232">
        <v>43334</v>
      </c>
      <c r="K203" s="232">
        <v>3387</v>
      </c>
      <c r="L203" s="231">
        <v>9161</v>
      </c>
      <c r="M203" s="231"/>
      <c r="N203" s="232">
        <v>1733</v>
      </c>
      <c r="O203" s="232">
        <v>15994</v>
      </c>
      <c r="P203" s="232">
        <v>0</v>
      </c>
      <c r="Q203" s="231">
        <v>0</v>
      </c>
      <c r="R203" s="232">
        <f t="shared" si="3"/>
        <v>27340</v>
      </c>
      <c r="S203" s="231"/>
      <c r="T203" s="232">
        <v>13217</v>
      </c>
      <c r="U203" s="233">
        <v>3062</v>
      </c>
      <c r="V203" s="233">
        <v>16279</v>
      </c>
    </row>
    <row r="204" spans="1:22">
      <c r="A204" s="226">
        <v>91908</v>
      </c>
      <c r="B204" s="227" t="s">
        <v>914</v>
      </c>
      <c r="C204" s="87">
        <v>1.3699999999999999E-5</v>
      </c>
      <c r="D204" s="87">
        <v>1.73E-5</v>
      </c>
      <c r="E204" s="231">
        <v>3751.2</v>
      </c>
      <c r="F204" s="231">
        <v>7764</v>
      </c>
      <c r="G204" s="231">
        <v>29076</v>
      </c>
      <c r="H204" s="231"/>
      <c r="I204" s="232">
        <v>546.28750000000002</v>
      </c>
      <c r="J204" s="232">
        <v>25480</v>
      </c>
      <c r="K204" s="232">
        <v>1991</v>
      </c>
      <c r="L204" s="231">
        <v>1638</v>
      </c>
      <c r="M204" s="231"/>
      <c r="N204" s="232">
        <v>1019</v>
      </c>
      <c r="O204" s="232">
        <v>9404</v>
      </c>
      <c r="P204" s="232">
        <v>0</v>
      </c>
      <c r="Q204" s="231">
        <v>3446</v>
      </c>
      <c r="R204" s="232">
        <f t="shared" si="3"/>
        <v>16076</v>
      </c>
      <c r="S204" s="231"/>
      <c r="T204" s="232">
        <v>7772</v>
      </c>
      <c r="U204" s="233">
        <v>-83</v>
      </c>
      <c r="V204" s="233">
        <v>7689</v>
      </c>
    </row>
    <row r="205" spans="1:22">
      <c r="A205" s="226">
        <v>91911</v>
      </c>
      <c r="B205" s="227" t="s">
        <v>915</v>
      </c>
      <c r="C205" s="87">
        <v>4.639E-4</v>
      </c>
      <c r="D205" s="87">
        <v>4.4079999999999998E-4</v>
      </c>
      <c r="E205" s="231">
        <v>186806.7</v>
      </c>
      <c r="F205" s="231">
        <v>197828</v>
      </c>
      <c r="G205" s="231">
        <v>984551</v>
      </c>
      <c r="H205" s="231"/>
      <c r="I205" s="232">
        <v>18498</v>
      </c>
      <c r="J205" s="232">
        <v>862781</v>
      </c>
      <c r="K205" s="232">
        <v>67433</v>
      </c>
      <c r="L205" s="231">
        <v>9361</v>
      </c>
      <c r="M205" s="231"/>
      <c r="N205" s="232">
        <v>34500</v>
      </c>
      <c r="O205" s="232">
        <v>318448</v>
      </c>
      <c r="P205" s="232">
        <v>0</v>
      </c>
      <c r="Q205" s="231">
        <v>8482</v>
      </c>
      <c r="R205" s="232">
        <f t="shared" si="3"/>
        <v>544333</v>
      </c>
      <c r="S205" s="231"/>
      <c r="T205" s="232">
        <v>263156</v>
      </c>
      <c r="U205" s="233">
        <v>-1046</v>
      </c>
      <c r="V205" s="233">
        <v>262110</v>
      </c>
    </row>
    <row r="206" spans="1:22">
      <c r="A206" s="226">
        <v>91917</v>
      </c>
      <c r="B206" s="227" t="s">
        <v>916</v>
      </c>
      <c r="C206" s="87">
        <v>1.36E-5</v>
      </c>
      <c r="D206" s="87">
        <v>1.42E-5</v>
      </c>
      <c r="E206" s="231">
        <v>6743.42</v>
      </c>
      <c r="F206" s="231">
        <v>6373</v>
      </c>
      <c r="G206" s="231">
        <v>28864</v>
      </c>
      <c r="H206" s="231"/>
      <c r="I206" s="232">
        <v>542</v>
      </c>
      <c r="J206" s="232">
        <v>25294</v>
      </c>
      <c r="K206" s="232">
        <v>1977</v>
      </c>
      <c r="L206" s="231">
        <v>731</v>
      </c>
      <c r="M206" s="231"/>
      <c r="N206" s="232">
        <v>1011</v>
      </c>
      <c r="O206" s="232">
        <v>9336</v>
      </c>
      <c r="P206" s="232">
        <v>0</v>
      </c>
      <c r="Q206" s="231">
        <v>0</v>
      </c>
      <c r="R206" s="232">
        <f t="shared" si="3"/>
        <v>15958</v>
      </c>
      <c r="S206" s="231"/>
      <c r="T206" s="232">
        <v>7715</v>
      </c>
      <c r="U206" s="233">
        <v>203</v>
      </c>
      <c r="V206" s="233">
        <v>7918</v>
      </c>
    </row>
    <row r="207" spans="1:22">
      <c r="A207" s="226">
        <v>91921</v>
      </c>
      <c r="B207" s="227" t="s">
        <v>917</v>
      </c>
      <c r="C207" s="87">
        <v>3.6600000000000001E-4</v>
      </c>
      <c r="D207" s="87">
        <v>3.4840000000000001E-4</v>
      </c>
      <c r="E207" s="231">
        <v>136994.49</v>
      </c>
      <c r="F207" s="231">
        <v>156360</v>
      </c>
      <c r="G207" s="231">
        <v>776774.61</v>
      </c>
      <c r="H207" s="231"/>
      <c r="I207" s="232">
        <v>14594.25</v>
      </c>
      <c r="J207" s="232">
        <v>680702</v>
      </c>
      <c r="K207" s="232">
        <v>53202</v>
      </c>
      <c r="L207" s="231">
        <v>0</v>
      </c>
      <c r="M207" s="231"/>
      <c r="N207" s="232">
        <v>27219</v>
      </c>
      <c r="O207" s="232">
        <v>251244</v>
      </c>
      <c r="P207" s="232">
        <v>0</v>
      </c>
      <c r="Q207" s="231">
        <v>12578</v>
      </c>
      <c r="R207" s="232">
        <f t="shared" si="3"/>
        <v>429458</v>
      </c>
      <c r="S207" s="231"/>
      <c r="T207" s="232">
        <v>207620</v>
      </c>
      <c r="U207" s="233">
        <v>-4638</v>
      </c>
      <c r="V207" s="233">
        <v>202982</v>
      </c>
    </row>
    <row r="208" spans="1:22">
      <c r="A208" s="226">
        <v>92001</v>
      </c>
      <c r="B208" s="227" t="s">
        <v>918</v>
      </c>
      <c r="C208" s="87">
        <v>1.9604000000000002E-3</v>
      </c>
      <c r="D208" s="87">
        <v>1.7531000000000001E-3</v>
      </c>
      <c r="E208" s="231">
        <v>743048.49</v>
      </c>
      <c r="F208" s="231">
        <v>786781</v>
      </c>
      <c r="G208" s="231">
        <v>4160626</v>
      </c>
      <c r="H208" s="231"/>
      <c r="I208" s="232">
        <v>78171</v>
      </c>
      <c r="J208" s="232">
        <v>3646034</v>
      </c>
      <c r="K208" s="232">
        <v>284966</v>
      </c>
      <c r="L208" s="231">
        <v>65513</v>
      </c>
      <c r="M208" s="231"/>
      <c r="N208" s="232">
        <v>145793</v>
      </c>
      <c r="O208" s="232">
        <v>1345732</v>
      </c>
      <c r="P208" s="232">
        <v>0</v>
      </c>
      <c r="Q208" s="231">
        <v>52440.480000000003</v>
      </c>
      <c r="R208" s="232">
        <f t="shared" si="3"/>
        <v>2300302</v>
      </c>
      <c r="S208" s="231"/>
      <c r="T208" s="232">
        <v>1112074</v>
      </c>
      <c r="U208" s="233">
        <v>-9057</v>
      </c>
      <c r="V208" s="233">
        <v>1103017</v>
      </c>
    </row>
    <row r="209" spans="1:22">
      <c r="A209" s="226">
        <v>92005</v>
      </c>
      <c r="B209" s="227" t="s">
        <v>919</v>
      </c>
      <c r="C209" s="87">
        <v>4.6499999999999999E-5</v>
      </c>
      <c r="D209" s="87">
        <v>4.5800000000000002E-5</v>
      </c>
      <c r="E209" s="231">
        <v>20891.13</v>
      </c>
      <c r="F209" s="231">
        <v>20555</v>
      </c>
      <c r="G209" s="231">
        <v>98689</v>
      </c>
      <c r="H209" s="231"/>
      <c r="I209" s="232">
        <v>1854.1875</v>
      </c>
      <c r="J209" s="232">
        <v>86483</v>
      </c>
      <c r="K209" s="232">
        <v>6759</v>
      </c>
      <c r="L209" s="231">
        <v>2627</v>
      </c>
      <c r="M209" s="231"/>
      <c r="N209" s="232">
        <v>3458</v>
      </c>
      <c r="O209" s="232">
        <v>31920</v>
      </c>
      <c r="P209" s="232">
        <v>0</v>
      </c>
      <c r="Q209" s="231">
        <v>597</v>
      </c>
      <c r="R209" s="232">
        <f t="shared" si="3"/>
        <v>54563</v>
      </c>
      <c r="S209" s="231"/>
      <c r="T209" s="232">
        <v>26378</v>
      </c>
      <c r="U209" s="233">
        <v>674</v>
      </c>
      <c r="V209" s="233">
        <v>27053</v>
      </c>
    </row>
    <row r="210" spans="1:22">
      <c r="A210" s="226">
        <v>92011</v>
      </c>
      <c r="B210" s="227" t="s">
        <v>920</v>
      </c>
      <c r="C210" s="87">
        <v>1.8660000000000001E-4</v>
      </c>
      <c r="D210" s="87">
        <v>1.8230000000000001E-4</v>
      </c>
      <c r="E210" s="231">
        <v>77715.649999999994</v>
      </c>
      <c r="F210" s="231">
        <v>81815</v>
      </c>
      <c r="G210" s="231">
        <v>396028</v>
      </c>
      <c r="H210" s="231"/>
      <c r="I210" s="232">
        <v>7441</v>
      </c>
      <c r="J210" s="232">
        <v>347047</v>
      </c>
      <c r="K210" s="232">
        <v>27124</v>
      </c>
      <c r="L210" s="231">
        <v>17408</v>
      </c>
      <c r="M210" s="231"/>
      <c r="N210" s="232">
        <v>13877</v>
      </c>
      <c r="O210" s="232">
        <v>128093</v>
      </c>
      <c r="P210" s="232">
        <v>0</v>
      </c>
      <c r="Q210" s="231">
        <v>0</v>
      </c>
      <c r="R210" s="232">
        <f t="shared" si="3"/>
        <v>218954</v>
      </c>
      <c r="S210" s="231"/>
      <c r="T210" s="232">
        <v>105852</v>
      </c>
      <c r="U210" s="233">
        <v>7783</v>
      </c>
      <c r="V210" s="233">
        <v>113635</v>
      </c>
    </row>
    <row r="211" spans="1:22">
      <c r="A211" s="226">
        <v>92017</v>
      </c>
      <c r="B211" s="227" t="s">
        <v>921</v>
      </c>
      <c r="C211" s="87">
        <v>3.5099999999999999E-5</v>
      </c>
      <c r="D211" s="87">
        <v>3.7100000000000001E-5</v>
      </c>
      <c r="E211" s="231">
        <v>14855.15</v>
      </c>
      <c r="F211" s="231">
        <v>16650</v>
      </c>
      <c r="G211" s="231">
        <v>74494</v>
      </c>
      <c r="H211" s="231"/>
      <c r="I211" s="232">
        <v>1400</v>
      </c>
      <c r="J211" s="232">
        <v>65280</v>
      </c>
      <c r="K211" s="232">
        <v>5102</v>
      </c>
      <c r="L211" s="231">
        <v>388</v>
      </c>
      <c r="M211" s="231"/>
      <c r="N211" s="232">
        <v>2610</v>
      </c>
      <c r="O211" s="232">
        <v>24095</v>
      </c>
      <c r="P211" s="232">
        <v>0</v>
      </c>
      <c r="Q211" s="231">
        <v>2160</v>
      </c>
      <c r="R211" s="232">
        <f t="shared" si="3"/>
        <v>41185</v>
      </c>
      <c r="S211" s="231"/>
      <c r="T211" s="232">
        <v>19911</v>
      </c>
      <c r="U211" s="233">
        <v>-766</v>
      </c>
      <c r="V211" s="233">
        <v>19146</v>
      </c>
    </row>
    <row r="212" spans="1:22">
      <c r="A212" s="226">
        <v>92021</v>
      </c>
      <c r="B212" s="227" t="s">
        <v>922</v>
      </c>
      <c r="C212" s="87">
        <v>1.4249999999999999E-4</v>
      </c>
      <c r="D212" s="87">
        <v>9.8999999999999994E-5</v>
      </c>
      <c r="E212" s="231">
        <v>63076.850000000006</v>
      </c>
      <c r="F212" s="231">
        <v>44431</v>
      </c>
      <c r="G212" s="231">
        <v>302433</v>
      </c>
      <c r="H212" s="231"/>
      <c r="I212" s="232">
        <v>5682.1875</v>
      </c>
      <c r="J212" s="232">
        <v>265027</v>
      </c>
      <c r="K212" s="232">
        <v>20714</v>
      </c>
      <c r="L212" s="231">
        <v>27119</v>
      </c>
      <c r="M212" s="231"/>
      <c r="N212" s="232">
        <v>10598</v>
      </c>
      <c r="O212" s="232">
        <v>97820</v>
      </c>
      <c r="P212" s="232">
        <v>0</v>
      </c>
      <c r="Q212" s="231">
        <v>18999</v>
      </c>
      <c r="R212" s="232">
        <f t="shared" si="3"/>
        <v>167207</v>
      </c>
      <c r="S212" s="231"/>
      <c r="T212" s="232">
        <v>80836</v>
      </c>
      <c r="U212" s="233">
        <v>-831</v>
      </c>
      <c r="V212" s="233">
        <v>80004</v>
      </c>
    </row>
    <row r="213" spans="1:22">
      <c r="A213" s="226">
        <v>92101</v>
      </c>
      <c r="B213" s="227" t="s">
        <v>923</v>
      </c>
      <c r="C213" s="87">
        <v>8.6870000000000003E-4</v>
      </c>
      <c r="D213" s="87">
        <v>9.1750000000000002E-4</v>
      </c>
      <c r="E213" s="231">
        <v>332881.28999999998</v>
      </c>
      <c r="F213" s="231">
        <v>411768</v>
      </c>
      <c r="G213" s="231">
        <v>1843672</v>
      </c>
      <c r="H213" s="231"/>
      <c r="I213" s="232">
        <v>34639</v>
      </c>
      <c r="J213" s="232">
        <v>1615645</v>
      </c>
      <c r="K213" s="232">
        <v>126275</v>
      </c>
      <c r="L213" s="231">
        <v>18519</v>
      </c>
      <c r="M213" s="231"/>
      <c r="N213" s="232">
        <v>64604</v>
      </c>
      <c r="O213" s="232">
        <v>596326</v>
      </c>
      <c r="P213" s="232">
        <v>0</v>
      </c>
      <c r="Q213" s="231">
        <v>45788</v>
      </c>
      <c r="R213" s="232">
        <f t="shared" si="3"/>
        <v>1019319</v>
      </c>
      <c r="S213" s="231"/>
      <c r="T213" s="232">
        <v>492787</v>
      </c>
      <c r="U213" s="233">
        <v>-2848</v>
      </c>
      <c r="V213" s="233">
        <v>489939</v>
      </c>
    </row>
    <row r="214" spans="1:22">
      <c r="A214" s="226">
        <v>92104</v>
      </c>
      <c r="B214" s="227" t="s">
        <v>924</v>
      </c>
      <c r="C214" s="87">
        <v>8.8000000000000004E-6</v>
      </c>
      <c r="D214" s="87">
        <v>8.1000000000000004E-6</v>
      </c>
      <c r="E214" s="231">
        <v>4595.5199999999995</v>
      </c>
      <c r="F214" s="231">
        <v>3635</v>
      </c>
      <c r="G214" s="231">
        <v>18677</v>
      </c>
      <c r="H214" s="231"/>
      <c r="I214" s="232">
        <v>351</v>
      </c>
      <c r="J214" s="232">
        <v>16367</v>
      </c>
      <c r="K214" s="232">
        <v>1279</v>
      </c>
      <c r="L214" s="231">
        <v>4163</v>
      </c>
      <c r="M214" s="231"/>
      <c r="N214" s="232">
        <v>654</v>
      </c>
      <c r="O214" s="232">
        <v>6041</v>
      </c>
      <c r="P214" s="232">
        <v>0</v>
      </c>
      <c r="Q214" s="231">
        <v>0</v>
      </c>
      <c r="R214" s="232">
        <f t="shared" si="3"/>
        <v>10326</v>
      </c>
      <c r="S214" s="231"/>
      <c r="T214" s="232">
        <v>4992</v>
      </c>
      <c r="U214" s="233">
        <v>1637</v>
      </c>
      <c r="V214" s="233">
        <v>6629</v>
      </c>
    </row>
    <row r="215" spans="1:22">
      <c r="A215" s="226">
        <v>92109</v>
      </c>
      <c r="B215" s="227" t="s">
        <v>925</v>
      </c>
      <c r="C215" s="87">
        <v>1.7909999999999999E-4</v>
      </c>
      <c r="D215" s="87">
        <v>1.7310000000000001E-4</v>
      </c>
      <c r="E215" s="231">
        <v>70342.320000000007</v>
      </c>
      <c r="F215" s="231">
        <v>77686</v>
      </c>
      <c r="G215" s="231">
        <v>380110</v>
      </c>
      <c r="H215" s="231"/>
      <c r="I215" s="232">
        <v>7142</v>
      </c>
      <c r="J215" s="232">
        <v>333098</v>
      </c>
      <c r="K215" s="232">
        <v>26034</v>
      </c>
      <c r="L215" s="231">
        <v>3189</v>
      </c>
      <c r="M215" s="231"/>
      <c r="N215" s="232">
        <v>13319</v>
      </c>
      <c r="O215" s="232">
        <v>122945</v>
      </c>
      <c r="P215" s="232">
        <v>0</v>
      </c>
      <c r="Q215" s="231">
        <v>19542</v>
      </c>
      <c r="R215" s="232">
        <f t="shared" si="3"/>
        <v>210153</v>
      </c>
      <c r="S215" s="231"/>
      <c r="T215" s="232">
        <v>101598</v>
      </c>
      <c r="U215" s="233">
        <v>-5478</v>
      </c>
      <c r="V215" s="233">
        <v>96120</v>
      </c>
    </row>
    <row r="216" spans="1:22">
      <c r="A216" s="226">
        <v>92111</v>
      </c>
      <c r="B216" s="227" t="s">
        <v>926</v>
      </c>
      <c r="C216" s="87">
        <v>5.0009999999999996E-4</v>
      </c>
      <c r="D216" s="87">
        <v>5.3319999999999995E-4</v>
      </c>
      <c r="E216" s="231">
        <v>205690.42</v>
      </c>
      <c r="F216" s="231">
        <v>239297</v>
      </c>
      <c r="G216" s="231">
        <v>1061380</v>
      </c>
      <c r="H216" s="231"/>
      <c r="I216" s="232">
        <v>19941</v>
      </c>
      <c r="J216" s="232">
        <v>930107</v>
      </c>
      <c r="K216" s="232">
        <v>72695</v>
      </c>
      <c r="L216" s="231">
        <v>14524</v>
      </c>
      <c r="M216" s="231"/>
      <c r="N216" s="232">
        <v>37192</v>
      </c>
      <c r="O216" s="232">
        <v>343298</v>
      </c>
      <c r="P216" s="232">
        <v>0</v>
      </c>
      <c r="Q216" s="231">
        <v>17909</v>
      </c>
      <c r="R216" s="232">
        <f t="shared" si="3"/>
        <v>586809</v>
      </c>
      <c r="S216" s="231"/>
      <c r="T216" s="232">
        <v>283691</v>
      </c>
      <c r="U216" s="233">
        <v>1816</v>
      </c>
      <c r="V216" s="233">
        <v>285507</v>
      </c>
    </row>
    <row r="217" spans="1:22">
      <c r="A217" s="226">
        <v>92113</v>
      </c>
      <c r="B217" s="227" t="s">
        <v>927</v>
      </c>
      <c r="C217" s="87">
        <v>2.2099999999999998E-5</v>
      </c>
      <c r="D217" s="87">
        <v>2.2900000000000001E-5</v>
      </c>
      <c r="E217" s="231">
        <v>27799.939999999995</v>
      </c>
      <c r="F217" s="231">
        <v>10277</v>
      </c>
      <c r="G217" s="231">
        <v>46904</v>
      </c>
      <c r="H217" s="231"/>
      <c r="I217" s="232">
        <v>881.23749999999995</v>
      </c>
      <c r="J217" s="232">
        <v>41103</v>
      </c>
      <c r="K217" s="232">
        <v>3212</v>
      </c>
      <c r="L217" s="231">
        <v>25322</v>
      </c>
      <c r="M217" s="231"/>
      <c r="N217" s="232">
        <v>1644</v>
      </c>
      <c r="O217" s="232">
        <v>15171</v>
      </c>
      <c r="P217" s="232">
        <v>0</v>
      </c>
      <c r="Q217" s="231">
        <v>0</v>
      </c>
      <c r="R217" s="232">
        <f t="shared" si="3"/>
        <v>25932</v>
      </c>
      <c r="S217" s="231"/>
      <c r="T217" s="232">
        <v>12537</v>
      </c>
      <c r="U217" s="233">
        <v>7718</v>
      </c>
      <c r="V217" s="233">
        <v>20255</v>
      </c>
    </row>
    <row r="218" spans="1:22">
      <c r="A218" s="226">
        <v>92201</v>
      </c>
      <c r="B218" s="227" t="s">
        <v>928</v>
      </c>
      <c r="C218" s="87">
        <v>1.0267E-3</v>
      </c>
      <c r="D218" s="87">
        <v>9.8930000000000003E-4</v>
      </c>
      <c r="E218" s="231">
        <v>411544.93999999994</v>
      </c>
      <c r="F218" s="231">
        <v>443992</v>
      </c>
      <c r="G218" s="231">
        <v>2179001</v>
      </c>
      <c r="H218" s="231"/>
      <c r="I218" s="232">
        <v>40940</v>
      </c>
      <c r="J218" s="232">
        <v>1909500</v>
      </c>
      <c r="K218" s="232">
        <v>149242</v>
      </c>
      <c r="L218" s="231">
        <v>60698</v>
      </c>
      <c r="M218" s="231"/>
      <c r="N218" s="232">
        <v>76355</v>
      </c>
      <c r="O218" s="232">
        <v>704786</v>
      </c>
      <c r="P218" s="232">
        <v>0</v>
      </c>
      <c r="Q218" s="231">
        <v>0</v>
      </c>
      <c r="R218" s="232">
        <f t="shared" si="3"/>
        <v>1204714</v>
      </c>
      <c r="S218" s="231"/>
      <c r="T218" s="232">
        <v>582415</v>
      </c>
      <c r="U218" s="233">
        <v>23895</v>
      </c>
      <c r="V218" s="233">
        <v>606310</v>
      </c>
    </row>
    <row r="219" spans="1:22">
      <c r="A219" s="226">
        <v>92301</v>
      </c>
      <c r="B219" s="227" t="s">
        <v>929</v>
      </c>
      <c r="C219" s="87">
        <v>5.2411000000000003E-3</v>
      </c>
      <c r="D219" s="87">
        <v>5.0804999999999999E-3</v>
      </c>
      <c r="E219" s="231">
        <v>2094643.33</v>
      </c>
      <c r="F219" s="231">
        <v>2280098</v>
      </c>
      <c r="G219" s="231">
        <v>11123370</v>
      </c>
      <c r="H219" s="231"/>
      <c r="I219" s="232">
        <v>208989</v>
      </c>
      <c r="J219" s="232">
        <v>9747618</v>
      </c>
      <c r="K219" s="232">
        <v>761852</v>
      </c>
      <c r="L219" s="231">
        <v>77417</v>
      </c>
      <c r="M219" s="231"/>
      <c r="N219" s="232">
        <v>389775</v>
      </c>
      <c r="O219" s="232">
        <v>3597795</v>
      </c>
      <c r="P219" s="232">
        <v>0</v>
      </c>
      <c r="Q219" s="231">
        <v>16658.29</v>
      </c>
      <c r="R219" s="232">
        <f t="shared" si="3"/>
        <v>6149823</v>
      </c>
      <c r="S219" s="231"/>
      <c r="T219" s="232">
        <v>2973114</v>
      </c>
      <c r="U219" s="233">
        <v>15378</v>
      </c>
      <c r="V219" s="233">
        <v>2988491</v>
      </c>
    </row>
    <row r="220" spans="1:22">
      <c r="A220" s="226">
        <v>92302</v>
      </c>
      <c r="B220" s="227" t="s">
        <v>1934</v>
      </c>
      <c r="C220" s="87">
        <v>3.168E-4</v>
      </c>
      <c r="D220" s="87">
        <v>2.9910000000000001E-4</v>
      </c>
      <c r="E220" s="231">
        <v>116637.46000000002</v>
      </c>
      <c r="F220" s="231">
        <v>134234</v>
      </c>
      <c r="G220" s="231">
        <v>672356</v>
      </c>
      <c r="H220" s="231"/>
      <c r="I220" s="232">
        <v>12632.4</v>
      </c>
      <c r="J220" s="232">
        <v>589198</v>
      </c>
      <c r="K220" s="232">
        <v>46050</v>
      </c>
      <c r="L220" s="231">
        <v>0</v>
      </c>
      <c r="M220" s="231"/>
      <c r="N220" s="232">
        <v>23560</v>
      </c>
      <c r="O220" s="232">
        <v>217470</v>
      </c>
      <c r="P220" s="232">
        <v>0</v>
      </c>
      <c r="Q220" s="231">
        <v>9658</v>
      </c>
      <c r="R220" s="232">
        <f t="shared" si="3"/>
        <v>371728</v>
      </c>
      <c r="S220" s="231"/>
      <c r="T220" s="232">
        <v>179711</v>
      </c>
      <c r="U220" s="233">
        <v>-3995</v>
      </c>
      <c r="V220" s="233">
        <v>175716</v>
      </c>
    </row>
    <row r="221" spans="1:22">
      <c r="A221" s="226">
        <v>92311</v>
      </c>
      <c r="B221" s="227" t="s">
        <v>931</v>
      </c>
      <c r="C221" s="87">
        <v>2.1857000000000001E-3</v>
      </c>
      <c r="D221" s="87">
        <v>2.1316E-3</v>
      </c>
      <c r="E221" s="231">
        <v>841005.71</v>
      </c>
      <c r="F221" s="231">
        <v>956649</v>
      </c>
      <c r="G221" s="231">
        <v>4638788</v>
      </c>
      <c r="H221" s="231"/>
      <c r="I221" s="232">
        <v>87155</v>
      </c>
      <c r="J221" s="232">
        <v>4065057</v>
      </c>
      <c r="K221" s="232">
        <v>317716</v>
      </c>
      <c r="L221" s="231">
        <v>0</v>
      </c>
      <c r="M221" s="231"/>
      <c r="N221" s="232">
        <v>162548</v>
      </c>
      <c r="O221" s="232">
        <v>1500391</v>
      </c>
      <c r="P221" s="232">
        <v>0</v>
      </c>
      <c r="Q221" s="231">
        <v>92864</v>
      </c>
      <c r="R221" s="232">
        <f t="shared" si="3"/>
        <v>2564666</v>
      </c>
      <c r="S221" s="231"/>
      <c r="T221" s="232">
        <v>1239880</v>
      </c>
      <c r="U221" s="233">
        <v>-38618</v>
      </c>
      <c r="V221" s="233">
        <v>1201261</v>
      </c>
    </row>
    <row r="222" spans="1:22">
      <c r="A222" s="226">
        <v>92317</v>
      </c>
      <c r="B222" s="227" t="s">
        <v>932</v>
      </c>
      <c r="C222" s="87">
        <v>2.9600000000000001E-5</v>
      </c>
      <c r="D222" s="87">
        <v>3.3300000000000003E-5</v>
      </c>
      <c r="E222" s="231">
        <v>20481.990000000002</v>
      </c>
      <c r="F222" s="231">
        <v>14945</v>
      </c>
      <c r="G222" s="231">
        <v>62821</v>
      </c>
      <c r="H222" s="231"/>
      <c r="I222" s="232">
        <v>1180.3</v>
      </c>
      <c r="J222" s="232">
        <v>55051</v>
      </c>
      <c r="K222" s="232">
        <v>4303</v>
      </c>
      <c r="L222" s="231">
        <v>12749</v>
      </c>
      <c r="M222" s="231"/>
      <c r="N222" s="232">
        <v>2201</v>
      </c>
      <c r="O222" s="232">
        <v>20319</v>
      </c>
      <c r="P222" s="232">
        <v>0</v>
      </c>
      <c r="Q222" s="231">
        <v>0</v>
      </c>
      <c r="R222" s="232">
        <f t="shared" si="3"/>
        <v>34732</v>
      </c>
      <c r="S222" s="231"/>
      <c r="T222" s="232">
        <v>16791</v>
      </c>
      <c r="U222" s="233">
        <v>4401</v>
      </c>
      <c r="V222" s="233">
        <v>21192</v>
      </c>
    </row>
    <row r="223" spans="1:22">
      <c r="A223" s="226">
        <v>92321</v>
      </c>
      <c r="B223" s="227" t="s">
        <v>933</v>
      </c>
      <c r="C223" s="87">
        <v>1.2218999999999999E-3</v>
      </c>
      <c r="D223" s="87">
        <v>1.1936E-3</v>
      </c>
      <c r="E223" s="231">
        <v>481504.52</v>
      </c>
      <c r="F223" s="231">
        <v>535681</v>
      </c>
      <c r="G223" s="231">
        <v>2593281</v>
      </c>
      <c r="H223" s="231"/>
      <c r="I223" s="232">
        <v>48723</v>
      </c>
      <c r="J223" s="232">
        <v>2272541</v>
      </c>
      <c r="K223" s="232">
        <v>177617</v>
      </c>
      <c r="L223" s="231">
        <v>61228</v>
      </c>
      <c r="M223" s="231"/>
      <c r="N223" s="232">
        <v>90871</v>
      </c>
      <c r="O223" s="232">
        <v>838783</v>
      </c>
      <c r="P223" s="232">
        <v>0</v>
      </c>
      <c r="Q223" s="231">
        <v>1343</v>
      </c>
      <c r="R223" s="232">
        <f t="shared" si="3"/>
        <v>1433758</v>
      </c>
      <c r="S223" s="231"/>
      <c r="T223" s="232">
        <v>693146</v>
      </c>
      <c r="U223" s="233">
        <v>25416</v>
      </c>
      <c r="V223" s="233">
        <v>718562</v>
      </c>
    </row>
    <row r="224" spans="1:22">
      <c r="A224" s="226">
        <v>92327</v>
      </c>
      <c r="B224" s="227" t="s">
        <v>934</v>
      </c>
      <c r="C224" s="87">
        <v>7.6000000000000001E-6</v>
      </c>
      <c r="D224" s="87">
        <v>7.7999999999999999E-6</v>
      </c>
      <c r="E224" s="231">
        <v>5004.42</v>
      </c>
      <c r="F224" s="231">
        <v>3501</v>
      </c>
      <c r="G224" s="231">
        <v>16130</v>
      </c>
      <c r="H224" s="231"/>
      <c r="I224" s="232">
        <v>303.05</v>
      </c>
      <c r="J224" s="232">
        <v>14135</v>
      </c>
      <c r="K224" s="232">
        <v>1105</v>
      </c>
      <c r="L224" s="231">
        <v>2630</v>
      </c>
      <c r="M224" s="231"/>
      <c r="N224" s="232">
        <v>565</v>
      </c>
      <c r="O224" s="232">
        <v>5217</v>
      </c>
      <c r="P224" s="232">
        <v>0</v>
      </c>
      <c r="Q224" s="231">
        <v>0</v>
      </c>
      <c r="R224" s="232">
        <f t="shared" si="3"/>
        <v>8918</v>
      </c>
      <c r="S224" s="231"/>
      <c r="T224" s="232">
        <v>4311</v>
      </c>
      <c r="U224" s="233">
        <v>853</v>
      </c>
      <c r="V224" s="233">
        <v>5165</v>
      </c>
    </row>
    <row r="225" spans="1:22">
      <c r="A225" s="226">
        <v>92331</v>
      </c>
      <c r="B225" s="227" t="s">
        <v>935</v>
      </c>
      <c r="C225" s="87">
        <v>1.393E-4</v>
      </c>
      <c r="D225" s="87">
        <v>1.4789999999999999E-4</v>
      </c>
      <c r="E225" s="231">
        <v>54278.720000000001</v>
      </c>
      <c r="F225" s="231">
        <v>66377</v>
      </c>
      <c r="G225" s="231">
        <v>295641</v>
      </c>
      <c r="H225" s="231"/>
      <c r="I225" s="232">
        <v>5555</v>
      </c>
      <c r="J225" s="232">
        <v>259076</v>
      </c>
      <c r="K225" s="232">
        <v>20249</v>
      </c>
      <c r="L225" s="231">
        <v>3725</v>
      </c>
      <c r="M225" s="231"/>
      <c r="N225" s="232">
        <v>10360</v>
      </c>
      <c r="O225" s="232">
        <v>95624</v>
      </c>
      <c r="P225" s="232">
        <v>0</v>
      </c>
      <c r="Q225" s="231">
        <v>7047</v>
      </c>
      <c r="R225" s="232">
        <f t="shared" si="3"/>
        <v>163452</v>
      </c>
      <c r="S225" s="231"/>
      <c r="T225" s="232">
        <v>79021</v>
      </c>
      <c r="U225" s="233">
        <v>-171</v>
      </c>
      <c r="V225" s="233">
        <v>78850</v>
      </c>
    </row>
    <row r="226" spans="1:22">
      <c r="A226" s="226">
        <v>92341</v>
      </c>
      <c r="B226" s="227" t="s">
        <v>936</v>
      </c>
      <c r="C226" s="87">
        <v>7.9000000000000006E-6</v>
      </c>
      <c r="D226" s="87">
        <v>6.3999999999999997E-6</v>
      </c>
      <c r="E226" s="231">
        <v>2572.1800000000003</v>
      </c>
      <c r="F226" s="231">
        <v>2872</v>
      </c>
      <c r="G226" s="231">
        <v>16766</v>
      </c>
      <c r="H226" s="231"/>
      <c r="I226" s="232">
        <v>315</v>
      </c>
      <c r="J226" s="232">
        <v>14693</v>
      </c>
      <c r="K226" s="232">
        <v>1148</v>
      </c>
      <c r="L226" s="231">
        <v>478</v>
      </c>
      <c r="M226" s="231"/>
      <c r="N226" s="232">
        <v>588</v>
      </c>
      <c r="O226" s="232">
        <v>5423</v>
      </c>
      <c r="P226" s="232">
        <v>0</v>
      </c>
      <c r="Q226" s="231">
        <v>3063</v>
      </c>
      <c r="R226" s="232">
        <f t="shared" si="3"/>
        <v>9270</v>
      </c>
      <c r="S226" s="231"/>
      <c r="T226" s="232">
        <v>4481</v>
      </c>
      <c r="U226" s="233">
        <v>-913</v>
      </c>
      <c r="V226" s="233">
        <v>3568</v>
      </c>
    </row>
    <row r="227" spans="1:22">
      <c r="A227" s="226">
        <v>92351</v>
      </c>
      <c r="B227" s="227" t="s">
        <v>937</v>
      </c>
      <c r="C227" s="87">
        <v>1.95E-5</v>
      </c>
      <c r="D227" s="87">
        <v>2.8399999999999999E-5</v>
      </c>
      <c r="E227" s="231">
        <v>8511.8499999999985</v>
      </c>
      <c r="F227" s="231">
        <v>12746</v>
      </c>
      <c r="G227" s="231">
        <v>41386</v>
      </c>
      <c r="H227" s="231"/>
      <c r="I227" s="232">
        <v>777.5625</v>
      </c>
      <c r="J227" s="232">
        <v>36267</v>
      </c>
      <c r="K227" s="232">
        <v>2835</v>
      </c>
      <c r="L227" s="231">
        <v>1156.19</v>
      </c>
      <c r="M227" s="231"/>
      <c r="N227" s="232">
        <v>1450</v>
      </c>
      <c r="O227" s="232">
        <v>13386</v>
      </c>
      <c r="P227" s="232">
        <v>0</v>
      </c>
      <c r="Q227" s="231">
        <v>5799</v>
      </c>
      <c r="R227" s="232">
        <f t="shared" si="3"/>
        <v>22881</v>
      </c>
      <c r="S227" s="231"/>
      <c r="T227" s="232">
        <v>11062</v>
      </c>
      <c r="U227" s="233">
        <v>-1052</v>
      </c>
      <c r="V227" s="233">
        <v>10010</v>
      </c>
    </row>
    <row r="228" spans="1:22">
      <c r="A228" s="226">
        <v>92401</v>
      </c>
      <c r="B228" s="227" t="s">
        <v>938</v>
      </c>
      <c r="C228" s="87">
        <v>2.7449000000000002E-3</v>
      </c>
      <c r="D228" s="87">
        <v>2.7921999999999999E-3</v>
      </c>
      <c r="E228" s="231">
        <v>1162718.6200000001</v>
      </c>
      <c r="F228" s="231">
        <v>1253123</v>
      </c>
      <c r="G228" s="231">
        <v>5825597</v>
      </c>
      <c r="H228" s="231"/>
      <c r="I228" s="232">
        <v>109453</v>
      </c>
      <c r="J228" s="232">
        <v>5105080</v>
      </c>
      <c r="K228" s="232">
        <v>399001</v>
      </c>
      <c r="L228" s="231">
        <v>33227</v>
      </c>
      <c r="M228" s="231"/>
      <c r="N228" s="232">
        <v>204135</v>
      </c>
      <c r="O228" s="232">
        <v>1884259</v>
      </c>
      <c r="P228" s="232">
        <v>0</v>
      </c>
      <c r="Q228" s="231">
        <v>5343</v>
      </c>
      <c r="R228" s="232">
        <f t="shared" si="3"/>
        <v>3220821</v>
      </c>
      <c r="S228" s="231"/>
      <c r="T228" s="232">
        <v>1557097</v>
      </c>
      <c r="U228" s="233">
        <v>14486</v>
      </c>
      <c r="V228" s="233">
        <v>1571583</v>
      </c>
    </row>
    <row r="229" spans="1:22">
      <c r="A229" s="226">
        <v>92403</v>
      </c>
      <c r="B229" s="227" t="s">
        <v>939</v>
      </c>
      <c r="C229" s="87">
        <v>9.7999999999999993E-6</v>
      </c>
      <c r="D229" s="87">
        <v>1.59E-5</v>
      </c>
      <c r="E229" s="231">
        <v>5969.3199999999988</v>
      </c>
      <c r="F229" s="231">
        <v>7136</v>
      </c>
      <c r="G229" s="231">
        <v>20799</v>
      </c>
      <c r="H229" s="231"/>
      <c r="I229" s="232">
        <v>390.77499999999998</v>
      </c>
      <c r="J229" s="232">
        <v>18226</v>
      </c>
      <c r="K229" s="232">
        <v>1425</v>
      </c>
      <c r="L229" s="231">
        <v>564</v>
      </c>
      <c r="M229" s="231"/>
      <c r="N229" s="232">
        <v>729</v>
      </c>
      <c r="O229" s="232">
        <v>6727</v>
      </c>
      <c r="P229" s="232">
        <v>0</v>
      </c>
      <c r="Q229" s="231">
        <v>1764</v>
      </c>
      <c r="R229" s="232">
        <f t="shared" si="3"/>
        <v>11499</v>
      </c>
      <c r="S229" s="231"/>
      <c r="T229" s="232">
        <v>5559</v>
      </c>
      <c r="U229" s="233">
        <v>-243</v>
      </c>
      <c r="V229" s="233">
        <v>5317</v>
      </c>
    </row>
    <row r="230" spans="1:22">
      <c r="A230" s="226">
        <v>92411</v>
      </c>
      <c r="B230" s="227" t="s">
        <v>940</v>
      </c>
      <c r="C230" s="87">
        <v>4.8030000000000002E-4</v>
      </c>
      <c r="D230" s="87">
        <v>5.2820000000000005E-4</v>
      </c>
      <c r="E230" s="231">
        <v>173749.71</v>
      </c>
      <c r="F230" s="231">
        <v>237053</v>
      </c>
      <c r="G230" s="231">
        <v>1019358</v>
      </c>
      <c r="H230" s="231"/>
      <c r="I230" s="232">
        <v>19152</v>
      </c>
      <c r="J230" s="232">
        <v>893282</v>
      </c>
      <c r="K230" s="232">
        <v>69817</v>
      </c>
      <c r="L230" s="231">
        <v>572</v>
      </c>
      <c r="M230" s="231"/>
      <c r="N230" s="232">
        <v>35719</v>
      </c>
      <c r="O230" s="232">
        <v>329706</v>
      </c>
      <c r="P230" s="232">
        <v>0</v>
      </c>
      <c r="Q230" s="231">
        <v>54750</v>
      </c>
      <c r="R230" s="232">
        <f t="shared" si="3"/>
        <v>563576</v>
      </c>
      <c r="S230" s="231"/>
      <c r="T230" s="232">
        <v>272459</v>
      </c>
      <c r="U230" s="233">
        <v>-16396</v>
      </c>
      <c r="V230" s="233">
        <v>256063</v>
      </c>
    </row>
    <row r="231" spans="1:22">
      <c r="A231" s="226">
        <v>92414</v>
      </c>
      <c r="B231" s="227" t="s">
        <v>70</v>
      </c>
      <c r="C231" s="87">
        <v>0</v>
      </c>
      <c r="D231" s="87">
        <v>9.7999999999999993E-6</v>
      </c>
      <c r="E231" s="231">
        <v>0</v>
      </c>
      <c r="F231" s="231">
        <v>4398</v>
      </c>
      <c r="G231" s="231">
        <v>0</v>
      </c>
      <c r="H231" s="231"/>
      <c r="I231" s="232">
        <v>0</v>
      </c>
      <c r="J231" s="232">
        <v>0</v>
      </c>
      <c r="K231" s="232">
        <v>0</v>
      </c>
      <c r="L231" s="231">
        <v>0</v>
      </c>
      <c r="M231" s="231"/>
      <c r="N231" s="232">
        <v>0</v>
      </c>
      <c r="O231" s="232">
        <v>0</v>
      </c>
      <c r="P231" s="232">
        <v>0</v>
      </c>
      <c r="Q231" s="231">
        <v>8157</v>
      </c>
      <c r="R231" s="232">
        <f t="shared" si="3"/>
        <v>0</v>
      </c>
      <c r="S231" s="231"/>
      <c r="T231" s="232">
        <v>0</v>
      </c>
      <c r="U231" s="233">
        <v>-2445</v>
      </c>
      <c r="V231" s="233">
        <v>-2445</v>
      </c>
    </row>
    <row r="232" spans="1:22">
      <c r="A232" s="226">
        <v>92417</v>
      </c>
      <c r="B232" s="227" t="s">
        <v>941</v>
      </c>
      <c r="C232" s="87">
        <v>1.77E-5</v>
      </c>
      <c r="D232" s="87">
        <v>1.6699999999999999E-5</v>
      </c>
      <c r="E232" s="231">
        <v>5354.85</v>
      </c>
      <c r="F232" s="231">
        <v>7495</v>
      </c>
      <c r="G232" s="231">
        <v>37565</v>
      </c>
      <c r="H232" s="231"/>
      <c r="I232" s="232">
        <v>705.78750000000002</v>
      </c>
      <c r="J232" s="232">
        <v>32919</v>
      </c>
      <c r="K232" s="232">
        <v>2573</v>
      </c>
      <c r="L232" s="231">
        <v>0</v>
      </c>
      <c r="M232" s="231"/>
      <c r="N232" s="232">
        <v>1316</v>
      </c>
      <c r="O232" s="232">
        <v>12150</v>
      </c>
      <c r="P232" s="232">
        <v>0</v>
      </c>
      <c r="Q232" s="231">
        <v>1694</v>
      </c>
      <c r="R232" s="232">
        <f t="shared" si="3"/>
        <v>20769</v>
      </c>
      <c r="S232" s="231"/>
      <c r="T232" s="232">
        <v>10041</v>
      </c>
      <c r="U232" s="233">
        <v>-509</v>
      </c>
      <c r="V232" s="233">
        <v>9531</v>
      </c>
    </row>
    <row r="233" spans="1:22">
      <c r="A233" s="226">
        <v>92421</v>
      </c>
      <c r="B233" s="227" t="s">
        <v>942</v>
      </c>
      <c r="C233" s="87">
        <v>9.0000000000000002E-6</v>
      </c>
      <c r="D233" s="87">
        <v>1.98E-5</v>
      </c>
      <c r="E233" s="231">
        <v>9114.76</v>
      </c>
      <c r="F233" s="231">
        <v>8886</v>
      </c>
      <c r="G233" s="231">
        <v>19101</v>
      </c>
      <c r="H233" s="231"/>
      <c r="I233" s="232">
        <v>358.875</v>
      </c>
      <c r="J233" s="232">
        <v>16739</v>
      </c>
      <c r="K233" s="232">
        <v>1308</v>
      </c>
      <c r="L233" s="231">
        <v>1510</v>
      </c>
      <c r="M233" s="231"/>
      <c r="N233" s="232">
        <v>669</v>
      </c>
      <c r="O233" s="232">
        <v>6178</v>
      </c>
      <c r="P233" s="232">
        <v>0</v>
      </c>
      <c r="Q233" s="231">
        <v>1551</v>
      </c>
      <c r="R233" s="232">
        <f t="shared" si="3"/>
        <v>10561</v>
      </c>
      <c r="S233" s="231"/>
      <c r="T233" s="232">
        <v>5105</v>
      </c>
      <c r="U233" s="233">
        <v>261</v>
      </c>
      <c r="V233" s="233">
        <v>5366</v>
      </c>
    </row>
    <row r="234" spans="1:22">
      <c r="A234" s="226">
        <v>92427</v>
      </c>
      <c r="B234" s="227" t="s">
        <v>943</v>
      </c>
      <c r="C234" s="87">
        <v>6.9999999999999997E-7</v>
      </c>
      <c r="D234" s="87">
        <v>8.9999999999999996E-7</v>
      </c>
      <c r="E234" s="231">
        <v>1425.53</v>
      </c>
      <c r="F234" s="231">
        <v>404</v>
      </c>
      <c r="G234" s="231">
        <v>1486</v>
      </c>
      <c r="H234" s="231"/>
      <c r="I234" s="232">
        <v>28</v>
      </c>
      <c r="J234" s="232">
        <v>1302</v>
      </c>
      <c r="K234" s="232">
        <v>102</v>
      </c>
      <c r="L234" s="231">
        <v>1812</v>
      </c>
      <c r="M234" s="231"/>
      <c r="N234" s="232">
        <v>52</v>
      </c>
      <c r="O234" s="232">
        <v>481</v>
      </c>
      <c r="P234" s="232">
        <v>0</v>
      </c>
      <c r="Q234" s="231">
        <v>0</v>
      </c>
      <c r="R234" s="232">
        <f t="shared" si="3"/>
        <v>821</v>
      </c>
      <c r="S234" s="231"/>
      <c r="T234" s="232">
        <v>397</v>
      </c>
      <c r="U234" s="233">
        <v>636</v>
      </c>
      <c r="V234" s="233">
        <v>1033</v>
      </c>
    </row>
    <row r="235" spans="1:22">
      <c r="A235" s="226">
        <v>92431</v>
      </c>
      <c r="B235" s="227" t="s">
        <v>944</v>
      </c>
      <c r="C235" s="87">
        <v>1.8499999999999999E-5</v>
      </c>
      <c r="D235" s="87">
        <v>4.0800000000000002E-5</v>
      </c>
      <c r="E235" s="231">
        <v>17502.95</v>
      </c>
      <c r="F235" s="231">
        <v>18311</v>
      </c>
      <c r="G235" s="231">
        <v>39263</v>
      </c>
      <c r="H235" s="231"/>
      <c r="I235" s="232">
        <v>737.6875</v>
      </c>
      <c r="J235" s="232">
        <v>34407</v>
      </c>
      <c r="K235" s="232">
        <v>2689</v>
      </c>
      <c r="L235" s="231">
        <v>6093</v>
      </c>
      <c r="M235" s="231"/>
      <c r="N235" s="232">
        <v>1376</v>
      </c>
      <c r="O235" s="232">
        <v>12699</v>
      </c>
      <c r="P235" s="232">
        <v>0</v>
      </c>
      <c r="Q235" s="231">
        <v>5505</v>
      </c>
      <c r="R235" s="232">
        <f t="shared" si="3"/>
        <v>21708</v>
      </c>
      <c r="S235" s="231"/>
      <c r="T235" s="232">
        <v>10494</v>
      </c>
      <c r="U235" s="233">
        <v>422</v>
      </c>
      <c r="V235" s="233">
        <v>10917</v>
      </c>
    </row>
    <row r="236" spans="1:22">
      <c r="A236" s="226">
        <v>92441</v>
      </c>
      <c r="B236" s="227" t="s">
        <v>945</v>
      </c>
      <c r="C236" s="87">
        <v>9.2299999999999994E-5</v>
      </c>
      <c r="D236" s="87">
        <v>1.0170000000000001E-4</v>
      </c>
      <c r="E236" s="231">
        <v>38127.360000000001</v>
      </c>
      <c r="F236" s="231">
        <v>45642</v>
      </c>
      <c r="G236" s="231">
        <v>195892</v>
      </c>
      <c r="H236" s="231"/>
      <c r="I236" s="232">
        <v>3680</v>
      </c>
      <c r="J236" s="232">
        <v>171663</v>
      </c>
      <c r="K236" s="232">
        <v>13417</v>
      </c>
      <c r="L236" s="231">
        <v>0</v>
      </c>
      <c r="M236" s="231"/>
      <c r="N236" s="232">
        <v>6864</v>
      </c>
      <c r="O236" s="232">
        <v>63360</v>
      </c>
      <c r="P236" s="232">
        <v>0</v>
      </c>
      <c r="Q236" s="231">
        <v>12688</v>
      </c>
      <c r="R236" s="232">
        <f t="shared" si="3"/>
        <v>108303</v>
      </c>
      <c r="S236" s="231"/>
      <c r="T236" s="232">
        <v>52359</v>
      </c>
      <c r="U236" s="233">
        <v>-5069</v>
      </c>
      <c r="V236" s="233">
        <v>47290</v>
      </c>
    </row>
    <row r="237" spans="1:22">
      <c r="A237" s="226">
        <v>92444</v>
      </c>
      <c r="B237" s="227" t="s">
        <v>946</v>
      </c>
      <c r="C237" s="87">
        <v>1.9999999999999999E-6</v>
      </c>
      <c r="D237" s="87">
        <v>1.7999999999999999E-6</v>
      </c>
      <c r="E237" s="231">
        <v>1966.0700000000004</v>
      </c>
      <c r="F237" s="231">
        <v>808</v>
      </c>
      <c r="G237" s="231">
        <v>4244.67</v>
      </c>
      <c r="H237" s="231"/>
      <c r="I237" s="232">
        <v>79.75</v>
      </c>
      <c r="J237" s="232">
        <v>3720</v>
      </c>
      <c r="K237" s="232">
        <v>291</v>
      </c>
      <c r="L237" s="231">
        <v>2653</v>
      </c>
      <c r="M237" s="231"/>
      <c r="N237" s="232">
        <v>149</v>
      </c>
      <c r="O237" s="232">
        <v>1373</v>
      </c>
      <c r="P237" s="232">
        <v>0</v>
      </c>
      <c r="Q237" s="231">
        <v>0</v>
      </c>
      <c r="R237" s="232">
        <f t="shared" si="3"/>
        <v>2347</v>
      </c>
      <c r="S237" s="231"/>
      <c r="T237" s="232">
        <v>1135</v>
      </c>
      <c r="U237" s="233">
        <v>971</v>
      </c>
      <c r="V237" s="233">
        <v>2106</v>
      </c>
    </row>
    <row r="238" spans="1:22">
      <c r="A238" s="226">
        <v>92451</v>
      </c>
      <c r="B238" s="227" t="s">
        <v>947</v>
      </c>
      <c r="C238" s="87">
        <v>1.4559999999999999E-4</v>
      </c>
      <c r="D238" s="87">
        <v>1.132E-4</v>
      </c>
      <c r="E238" s="231">
        <v>67281.149999999994</v>
      </c>
      <c r="F238" s="231">
        <v>50803</v>
      </c>
      <c r="G238" s="231">
        <v>309012</v>
      </c>
      <c r="H238" s="231"/>
      <c r="I238" s="232">
        <v>5806</v>
      </c>
      <c r="J238" s="232">
        <v>270793</v>
      </c>
      <c r="K238" s="232">
        <v>21165</v>
      </c>
      <c r="L238" s="231">
        <v>36170</v>
      </c>
      <c r="M238" s="231"/>
      <c r="N238" s="232">
        <v>10828</v>
      </c>
      <c r="O238" s="232">
        <v>99948</v>
      </c>
      <c r="P238" s="232">
        <v>0</v>
      </c>
      <c r="Q238" s="231">
        <v>0</v>
      </c>
      <c r="R238" s="232">
        <f t="shared" si="3"/>
        <v>170845</v>
      </c>
      <c r="S238" s="231"/>
      <c r="T238" s="232">
        <v>82594</v>
      </c>
      <c r="U238" s="233">
        <v>11273</v>
      </c>
      <c r="V238" s="233">
        <v>93868</v>
      </c>
    </row>
    <row r="239" spans="1:22">
      <c r="A239" s="226">
        <v>92461</v>
      </c>
      <c r="B239" s="227" t="s">
        <v>948</v>
      </c>
      <c r="C239" s="87">
        <v>7.2999999999999999E-5</v>
      </c>
      <c r="D239" s="87">
        <v>6.3499999999999999E-5</v>
      </c>
      <c r="E239" s="231">
        <v>36576.240000000005</v>
      </c>
      <c r="F239" s="231">
        <v>28498</v>
      </c>
      <c r="G239" s="231">
        <v>154930</v>
      </c>
      <c r="H239" s="231"/>
      <c r="I239" s="232">
        <v>2910.875</v>
      </c>
      <c r="J239" s="232">
        <v>135768</v>
      </c>
      <c r="K239" s="232">
        <v>10611</v>
      </c>
      <c r="L239" s="231">
        <v>10353</v>
      </c>
      <c r="M239" s="231"/>
      <c r="N239" s="232">
        <v>5429</v>
      </c>
      <c r="O239" s="232">
        <v>50111</v>
      </c>
      <c r="P239" s="232">
        <v>0</v>
      </c>
      <c r="Q239" s="231">
        <v>7817</v>
      </c>
      <c r="R239" s="232">
        <f t="shared" si="3"/>
        <v>85657</v>
      </c>
      <c r="S239" s="231"/>
      <c r="T239" s="232">
        <v>41411</v>
      </c>
      <c r="U239" s="233">
        <v>-170</v>
      </c>
      <c r="V239" s="233">
        <v>41240</v>
      </c>
    </row>
    <row r="240" spans="1:22">
      <c r="A240" s="226">
        <v>92501</v>
      </c>
      <c r="B240" s="227" t="s">
        <v>949</v>
      </c>
      <c r="C240" s="87">
        <v>3.8141E-3</v>
      </c>
      <c r="D240" s="87">
        <v>3.8955999999999999E-3</v>
      </c>
      <c r="E240" s="231">
        <v>1660692.83</v>
      </c>
      <c r="F240" s="231">
        <v>1748322</v>
      </c>
      <c r="G240" s="231">
        <v>8094798</v>
      </c>
      <c r="H240" s="231"/>
      <c r="I240" s="232">
        <v>152087</v>
      </c>
      <c r="J240" s="232">
        <v>7093623</v>
      </c>
      <c r="K240" s="232">
        <v>554421</v>
      </c>
      <c r="L240" s="231">
        <v>65347</v>
      </c>
      <c r="M240" s="231"/>
      <c r="N240" s="232">
        <v>283651</v>
      </c>
      <c r="O240" s="232">
        <v>2618219</v>
      </c>
      <c r="P240" s="232">
        <v>0</v>
      </c>
      <c r="Q240" s="231">
        <v>13995</v>
      </c>
      <c r="R240" s="232">
        <f t="shared" si="3"/>
        <v>4475404</v>
      </c>
      <c r="S240" s="231"/>
      <c r="T240" s="232">
        <v>2163621</v>
      </c>
      <c r="U240" s="233">
        <v>20802</v>
      </c>
      <c r="V240" s="233">
        <v>2184422</v>
      </c>
    </row>
    <row r="241" spans="1:22">
      <c r="A241" s="226">
        <v>92502</v>
      </c>
      <c r="B241" s="227" t="s">
        <v>950</v>
      </c>
      <c r="C241" s="87">
        <v>2.8799999999999999E-5</v>
      </c>
      <c r="D241" s="87">
        <v>2.1399999999999998E-5</v>
      </c>
      <c r="E241" s="231">
        <v>12881.239999999998</v>
      </c>
      <c r="F241" s="231">
        <v>9604</v>
      </c>
      <c r="G241" s="231">
        <v>61123</v>
      </c>
      <c r="H241" s="231"/>
      <c r="I241" s="232">
        <v>1148</v>
      </c>
      <c r="J241" s="232">
        <v>53563</v>
      </c>
      <c r="K241" s="232">
        <v>4186</v>
      </c>
      <c r="L241" s="231">
        <v>4833</v>
      </c>
      <c r="M241" s="231"/>
      <c r="N241" s="232">
        <v>2142</v>
      </c>
      <c r="O241" s="232">
        <v>19770</v>
      </c>
      <c r="P241" s="232">
        <v>0</v>
      </c>
      <c r="Q241" s="231">
        <v>3509</v>
      </c>
      <c r="R241" s="232">
        <f t="shared" si="3"/>
        <v>33793</v>
      </c>
      <c r="S241" s="231"/>
      <c r="T241" s="232">
        <v>16337</v>
      </c>
      <c r="U241" s="233">
        <v>-103</v>
      </c>
      <c r="V241" s="233">
        <v>16234</v>
      </c>
    </row>
    <row r="242" spans="1:22">
      <c r="A242" s="226">
        <v>92504</v>
      </c>
      <c r="B242" s="227" t="s">
        <v>951</v>
      </c>
      <c r="C242" s="87">
        <v>7.2799999999999994E-5</v>
      </c>
      <c r="D242" s="87">
        <v>7.3499999999999998E-5</v>
      </c>
      <c r="E242" s="231">
        <v>38688.999999999993</v>
      </c>
      <c r="F242" s="231">
        <v>32986</v>
      </c>
      <c r="G242" s="231">
        <v>154506</v>
      </c>
      <c r="H242" s="231"/>
      <c r="I242" s="232">
        <v>2903</v>
      </c>
      <c r="J242" s="232">
        <v>135396</v>
      </c>
      <c r="K242" s="232">
        <v>10582</v>
      </c>
      <c r="L242" s="231">
        <v>18501</v>
      </c>
      <c r="M242" s="231"/>
      <c r="N242" s="232">
        <v>5414</v>
      </c>
      <c r="O242" s="232">
        <v>49974</v>
      </c>
      <c r="P242" s="232">
        <v>0</v>
      </c>
      <c r="Q242" s="231">
        <v>54</v>
      </c>
      <c r="R242" s="232">
        <f t="shared" si="3"/>
        <v>85422</v>
      </c>
      <c r="S242" s="231"/>
      <c r="T242" s="232">
        <v>41297</v>
      </c>
      <c r="U242" s="233">
        <v>5906</v>
      </c>
      <c r="V242" s="233">
        <v>47203</v>
      </c>
    </row>
    <row r="243" spans="1:22">
      <c r="A243" s="226">
        <v>92505</v>
      </c>
      <c r="B243" s="227" t="s">
        <v>952</v>
      </c>
      <c r="C243" s="87">
        <v>1.8709999999999999E-4</v>
      </c>
      <c r="D243" s="87">
        <v>1.9699999999999999E-4</v>
      </c>
      <c r="E243" s="231">
        <v>106739.73</v>
      </c>
      <c r="F243" s="231">
        <v>88412</v>
      </c>
      <c r="G243" s="231">
        <v>397089</v>
      </c>
      <c r="H243" s="231"/>
      <c r="I243" s="232">
        <v>7461</v>
      </c>
      <c r="J243" s="232">
        <v>347976</v>
      </c>
      <c r="K243" s="232">
        <v>27197</v>
      </c>
      <c r="L243" s="231">
        <v>47178</v>
      </c>
      <c r="M243" s="231"/>
      <c r="N243" s="232">
        <v>13914</v>
      </c>
      <c r="O243" s="232">
        <v>128436</v>
      </c>
      <c r="P243" s="232">
        <v>0</v>
      </c>
      <c r="Q243" s="231">
        <v>0</v>
      </c>
      <c r="R243" s="232">
        <f t="shared" si="3"/>
        <v>219540</v>
      </c>
      <c r="S243" s="231"/>
      <c r="T243" s="232">
        <v>106136</v>
      </c>
      <c r="U243" s="233">
        <v>16270</v>
      </c>
      <c r="V243" s="233">
        <v>122406</v>
      </c>
    </row>
    <row r="244" spans="1:22">
      <c r="A244" s="226">
        <v>92506</v>
      </c>
      <c r="B244" s="227" t="s">
        <v>953</v>
      </c>
      <c r="C244" s="87">
        <v>4.3699999999999998E-5</v>
      </c>
      <c r="D244" s="87">
        <v>3.8999999999999999E-5</v>
      </c>
      <c r="E244" s="231">
        <v>23625.559999999998</v>
      </c>
      <c r="F244" s="231">
        <v>17503</v>
      </c>
      <c r="G244" s="231">
        <v>92746</v>
      </c>
      <c r="H244" s="231"/>
      <c r="I244" s="232">
        <v>1743</v>
      </c>
      <c r="J244" s="232">
        <v>81275</v>
      </c>
      <c r="K244" s="232">
        <v>6352</v>
      </c>
      <c r="L244" s="231">
        <v>17344</v>
      </c>
      <c r="M244" s="231"/>
      <c r="N244" s="232">
        <v>3250</v>
      </c>
      <c r="O244" s="232">
        <v>29998</v>
      </c>
      <c r="P244" s="232">
        <v>0</v>
      </c>
      <c r="Q244" s="231">
        <v>0</v>
      </c>
      <c r="R244" s="232">
        <f t="shared" si="3"/>
        <v>51277</v>
      </c>
      <c r="S244" s="231"/>
      <c r="T244" s="232">
        <v>24790</v>
      </c>
      <c r="U244" s="233">
        <v>5809</v>
      </c>
      <c r="V244" s="233">
        <v>30599</v>
      </c>
    </row>
    <row r="245" spans="1:22">
      <c r="A245" s="226">
        <v>92507</v>
      </c>
      <c r="B245" s="227" t="s">
        <v>954</v>
      </c>
      <c r="C245" s="87">
        <v>7.6799999999999997E-5</v>
      </c>
      <c r="D245" s="87">
        <v>1.032E-4</v>
      </c>
      <c r="E245" s="231">
        <v>33480.47</v>
      </c>
      <c r="F245" s="231">
        <v>46316</v>
      </c>
      <c r="G245" s="231">
        <v>162995</v>
      </c>
      <c r="H245" s="231"/>
      <c r="I245" s="232">
        <v>3062</v>
      </c>
      <c r="J245" s="232">
        <v>142836</v>
      </c>
      <c r="K245" s="232">
        <v>11164</v>
      </c>
      <c r="L245" s="231">
        <v>348</v>
      </c>
      <c r="M245" s="231"/>
      <c r="N245" s="232">
        <v>5712</v>
      </c>
      <c r="O245" s="232">
        <v>52720</v>
      </c>
      <c r="P245" s="232">
        <v>0</v>
      </c>
      <c r="Q245" s="231">
        <v>22450</v>
      </c>
      <c r="R245" s="232">
        <f t="shared" si="3"/>
        <v>90116</v>
      </c>
      <c r="S245" s="231"/>
      <c r="T245" s="232">
        <v>43566</v>
      </c>
      <c r="U245" s="233">
        <v>-8043</v>
      </c>
      <c r="V245" s="233">
        <v>35523</v>
      </c>
    </row>
    <row r="246" spans="1:22">
      <c r="A246" s="226">
        <v>92508</v>
      </c>
      <c r="B246" s="227" t="s">
        <v>955</v>
      </c>
      <c r="C246" s="87">
        <v>3.1930000000000001E-4</v>
      </c>
      <c r="D246" s="87">
        <v>3.2959999999999999E-4</v>
      </c>
      <c r="E246" s="231">
        <v>135944.95000000001</v>
      </c>
      <c r="F246" s="231">
        <v>147923</v>
      </c>
      <c r="G246" s="231">
        <v>677662</v>
      </c>
      <c r="H246" s="231"/>
      <c r="I246" s="232">
        <v>12732</v>
      </c>
      <c r="J246" s="232">
        <v>593848</v>
      </c>
      <c r="K246" s="232">
        <v>46414</v>
      </c>
      <c r="L246" s="231">
        <v>7876</v>
      </c>
      <c r="M246" s="231"/>
      <c r="N246" s="232">
        <v>23746</v>
      </c>
      <c r="O246" s="232">
        <v>219186</v>
      </c>
      <c r="P246" s="232">
        <v>0</v>
      </c>
      <c r="Q246" s="231">
        <v>1898</v>
      </c>
      <c r="R246" s="232">
        <f t="shared" si="3"/>
        <v>374662</v>
      </c>
      <c r="S246" s="231"/>
      <c r="T246" s="232">
        <v>181129</v>
      </c>
      <c r="U246" s="233">
        <v>3029</v>
      </c>
      <c r="V246" s="233">
        <v>184158</v>
      </c>
    </row>
    <row r="247" spans="1:22">
      <c r="A247" s="226">
        <v>92509</v>
      </c>
      <c r="B247" s="227" t="s">
        <v>1614</v>
      </c>
      <c r="C247" s="87">
        <v>0</v>
      </c>
      <c r="D247" s="87">
        <v>2.1614E-3</v>
      </c>
      <c r="E247" s="231">
        <v>0</v>
      </c>
      <c r="F247" s="231">
        <v>970023</v>
      </c>
      <c r="G247" s="231">
        <v>0</v>
      </c>
      <c r="H247" s="231"/>
      <c r="I247" s="232">
        <v>0</v>
      </c>
      <c r="J247" s="232">
        <v>0</v>
      </c>
      <c r="K247" s="232">
        <v>0</v>
      </c>
      <c r="L247" s="231">
        <v>166634</v>
      </c>
      <c r="M247" s="231"/>
      <c r="N247" s="232">
        <v>0</v>
      </c>
      <c r="O247" s="232">
        <v>0</v>
      </c>
      <c r="P247" s="232">
        <v>0</v>
      </c>
      <c r="Q247" s="231">
        <v>1170867</v>
      </c>
      <c r="R247" s="232">
        <f t="shared" si="3"/>
        <v>0</v>
      </c>
      <c r="S247" s="231"/>
      <c r="T247" s="232">
        <v>0</v>
      </c>
      <c r="U247" s="233">
        <v>-223763</v>
      </c>
      <c r="V247" s="233">
        <v>-223763</v>
      </c>
    </row>
    <row r="248" spans="1:22">
      <c r="A248" s="226">
        <v>92511</v>
      </c>
      <c r="B248" s="227" t="s">
        <v>956</v>
      </c>
      <c r="C248" s="87">
        <v>3.4164E-3</v>
      </c>
      <c r="D248" s="87">
        <v>3.6713000000000002E-3</v>
      </c>
      <c r="E248" s="231">
        <v>1353008.7800000003</v>
      </c>
      <c r="F248" s="231">
        <v>1647657</v>
      </c>
      <c r="G248" s="231">
        <v>7250745</v>
      </c>
      <c r="H248" s="231"/>
      <c r="I248" s="232">
        <v>136229</v>
      </c>
      <c r="J248" s="232">
        <v>6353964</v>
      </c>
      <c r="K248" s="232">
        <v>496611</v>
      </c>
      <c r="L248" s="231">
        <v>24415.31</v>
      </c>
      <c r="M248" s="231"/>
      <c r="N248" s="232">
        <v>254074</v>
      </c>
      <c r="O248" s="232">
        <v>2345215</v>
      </c>
      <c r="P248" s="232">
        <v>0</v>
      </c>
      <c r="Q248" s="231">
        <v>243809</v>
      </c>
      <c r="R248" s="232">
        <f t="shared" si="3"/>
        <v>4008749</v>
      </c>
      <c r="S248" s="231"/>
      <c r="T248" s="232">
        <v>1938018</v>
      </c>
      <c r="U248" s="233">
        <v>-57052</v>
      </c>
      <c r="V248" s="233">
        <v>1880965</v>
      </c>
    </row>
    <row r="249" spans="1:22">
      <c r="A249" s="226">
        <v>92513</v>
      </c>
      <c r="B249" s="227" t="s">
        <v>957</v>
      </c>
      <c r="C249" s="87">
        <v>3.9753000000000002E-3</v>
      </c>
      <c r="D249" s="87">
        <v>0</v>
      </c>
      <c r="E249" s="231">
        <v>1441012.6800000002</v>
      </c>
      <c r="F249" s="231">
        <v>0</v>
      </c>
      <c r="G249" s="231">
        <v>8436918</v>
      </c>
      <c r="H249" s="231"/>
      <c r="I249" s="232">
        <v>158515</v>
      </c>
      <c r="J249" s="232">
        <v>7393430</v>
      </c>
      <c r="K249" s="232">
        <v>577854</v>
      </c>
      <c r="L249" s="231">
        <v>1999562</v>
      </c>
      <c r="M249" s="231"/>
      <c r="N249" s="232">
        <v>295639</v>
      </c>
      <c r="O249" s="232">
        <v>2728876</v>
      </c>
      <c r="P249" s="232">
        <v>0</v>
      </c>
      <c r="Q249" s="231">
        <v>0</v>
      </c>
      <c r="R249" s="232">
        <f t="shared" si="3"/>
        <v>4664554</v>
      </c>
      <c r="S249" s="231"/>
      <c r="T249" s="232">
        <v>2255064</v>
      </c>
      <c r="U249" s="233">
        <v>518021</v>
      </c>
      <c r="V249" s="233">
        <v>2773086</v>
      </c>
    </row>
    <row r="250" spans="1:22">
      <c r="A250" s="226">
        <v>92521</v>
      </c>
      <c r="B250" s="227" t="s">
        <v>958</v>
      </c>
      <c r="C250" s="87">
        <v>8.9800000000000001E-5</v>
      </c>
      <c r="D250" s="87">
        <v>9.59E-5</v>
      </c>
      <c r="E250" s="231">
        <v>32294.23</v>
      </c>
      <c r="F250" s="231">
        <v>43039</v>
      </c>
      <c r="G250" s="231">
        <v>190586</v>
      </c>
      <c r="H250" s="231"/>
      <c r="I250" s="232">
        <v>3581</v>
      </c>
      <c r="J250" s="232">
        <v>167014</v>
      </c>
      <c r="K250" s="232">
        <v>13053</v>
      </c>
      <c r="L250" s="231">
        <v>4908</v>
      </c>
      <c r="M250" s="231"/>
      <c r="N250" s="232">
        <v>6678</v>
      </c>
      <c r="O250" s="232">
        <v>61644</v>
      </c>
      <c r="P250" s="232">
        <v>0</v>
      </c>
      <c r="Q250" s="231">
        <v>9965</v>
      </c>
      <c r="R250" s="232">
        <f t="shared" si="3"/>
        <v>105370</v>
      </c>
      <c r="S250" s="231"/>
      <c r="T250" s="232">
        <v>50941</v>
      </c>
      <c r="U250" s="233">
        <v>-1566</v>
      </c>
      <c r="V250" s="233">
        <v>49374</v>
      </c>
    </row>
    <row r="251" spans="1:22">
      <c r="A251" s="226">
        <v>92531</v>
      </c>
      <c r="B251" s="227" t="s">
        <v>959</v>
      </c>
      <c r="C251" s="87">
        <v>8.3779999999999998E-4</v>
      </c>
      <c r="D251" s="87">
        <v>9.3610000000000004E-4</v>
      </c>
      <c r="E251" s="231">
        <v>310253.15000000002</v>
      </c>
      <c r="F251" s="231">
        <v>420116</v>
      </c>
      <c r="G251" s="231">
        <v>1778092</v>
      </c>
      <c r="H251" s="231"/>
      <c r="I251" s="232">
        <v>33407</v>
      </c>
      <c r="J251" s="232">
        <v>1558176</v>
      </c>
      <c r="K251" s="232">
        <v>121783</v>
      </c>
      <c r="L251" s="231">
        <v>0</v>
      </c>
      <c r="M251" s="231"/>
      <c r="N251" s="232">
        <v>62306</v>
      </c>
      <c r="O251" s="232">
        <v>575115</v>
      </c>
      <c r="P251" s="232">
        <v>0</v>
      </c>
      <c r="Q251" s="231">
        <v>169554</v>
      </c>
      <c r="R251" s="232">
        <f t="shared" si="3"/>
        <v>983061</v>
      </c>
      <c r="S251" s="231"/>
      <c r="T251" s="232">
        <v>475258</v>
      </c>
      <c r="U251" s="233">
        <v>-58220</v>
      </c>
      <c r="V251" s="233">
        <v>417038</v>
      </c>
    </row>
    <row r="252" spans="1:22">
      <c r="A252" s="226">
        <v>92541</v>
      </c>
      <c r="B252" s="227" t="s">
        <v>960</v>
      </c>
      <c r="C252" s="87">
        <v>1.4300000000000001E-4</v>
      </c>
      <c r="D252" s="87">
        <v>1.2679999999999999E-4</v>
      </c>
      <c r="E252" s="231">
        <v>54919.090000000004</v>
      </c>
      <c r="F252" s="231">
        <v>56907</v>
      </c>
      <c r="G252" s="231">
        <v>303494</v>
      </c>
      <c r="H252" s="231"/>
      <c r="I252" s="232">
        <v>5702.125</v>
      </c>
      <c r="J252" s="232">
        <v>265957</v>
      </c>
      <c r="K252" s="232">
        <v>20787</v>
      </c>
      <c r="L252" s="231">
        <v>11874</v>
      </c>
      <c r="M252" s="231"/>
      <c r="N252" s="232">
        <v>10635</v>
      </c>
      <c r="O252" s="232">
        <v>98163</v>
      </c>
      <c r="P252" s="232">
        <v>0</v>
      </c>
      <c r="Q252" s="231">
        <v>3822</v>
      </c>
      <c r="R252" s="232">
        <f t="shared" si="3"/>
        <v>167794</v>
      </c>
      <c r="S252" s="231"/>
      <c r="T252" s="232">
        <v>81119</v>
      </c>
      <c r="U252" s="233">
        <v>3227</v>
      </c>
      <c r="V252" s="233">
        <v>84346</v>
      </c>
    </row>
    <row r="253" spans="1:22">
      <c r="A253" s="226">
        <v>92551</v>
      </c>
      <c r="B253" s="227" t="s">
        <v>961</v>
      </c>
      <c r="C253" s="87">
        <v>4.18E-5</v>
      </c>
      <c r="D253" s="87">
        <v>5.4799999999999997E-5</v>
      </c>
      <c r="E253" s="231">
        <v>16805.93</v>
      </c>
      <c r="F253" s="231">
        <v>24594</v>
      </c>
      <c r="G253" s="231">
        <v>88714</v>
      </c>
      <c r="H253" s="231"/>
      <c r="I253" s="232">
        <v>1666.7750000000001</v>
      </c>
      <c r="J253" s="232">
        <v>77741</v>
      </c>
      <c r="K253" s="232">
        <v>6076</v>
      </c>
      <c r="L253" s="231">
        <v>6834</v>
      </c>
      <c r="M253" s="231"/>
      <c r="N253" s="232">
        <v>3109</v>
      </c>
      <c r="O253" s="232">
        <v>28694</v>
      </c>
      <c r="P253" s="232">
        <v>0</v>
      </c>
      <c r="Q253" s="231">
        <v>11864</v>
      </c>
      <c r="R253" s="232">
        <f t="shared" si="3"/>
        <v>49047</v>
      </c>
      <c r="S253" s="231"/>
      <c r="T253" s="232">
        <v>23712</v>
      </c>
      <c r="U253" s="233">
        <v>-71</v>
      </c>
      <c r="V253" s="233">
        <v>23641</v>
      </c>
    </row>
    <row r="254" spans="1:22">
      <c r="A254" s="226">
        <v>92561</v>
      </c>
      <c r="B254" s="227" t="s">
        <v>962</v>
      </c>
      <c r="C254" s="87">
        <v>2.2900000000000001E-5</v>
      </c>
      <c r="D254" s="87">
        <v>2.1800000000000001E-5</v>
      </c>
      <c r="E254" s="231">
        <v>12865.05</v>
      </c>
      <c r="F254" s="231">
        <v>9784</v>
      </c>
      <c r="G254" s="231">
        <v>48601</v>
      </c>
      <c r="H254" s="231"/>
      <c r="I254" s="232">
        <v>913.13750000000005</v>
      </c>
      <c r="J254" s="232">
        <v>42590</v>
      </c>
      <c r="K254" s="232">
        <v>3329</v>
      </c>
      <c r="L254" s="231">
        <v>7071</v>
      </c>
      <c r="M254" s="231"/>
      <c r="N254" s="232">
        <v>1703</v>
      </c>
      <c r="O254" s="232">
        <v>15720</v>
      </c>
      <c r="P254" s="232">
        <v>0</v>
      </c>
      <c r="Q254" s="231">
        <v>0</v>
      </c>
      <c r="R254" s="232">
        <f t="shared" si="3"/>
        <v>26870</v>
      </c>
      <c r="S254" s="231"/>
      <c r="T254" s="232">
        <v>12990</v>
      </c>
      <c r="U254" s="233">
        <v>2451</v>
      </c>
      <c r="V254" s="233">
        <v>15442</v>
      </c>
    </row>
    <row r="255" spans="1:22">
      <c r="A255" s="226">
        <v>92571</v>
      </c>
      <c r="B255" s="227" t="s">
        <v>963</v>
      </c>
      <c r="C255" s="87">
        <v>3.1E-6</v>
      </c>
      <c r="D255" s="87">
        <v>3.8E-6</v>
      </c>
      <c r="E255" s="231">
        <v>6092.6399999999994</v>
      </c>
      <c r="F255" s="231">
        <v>1705</v>
      </c>
      <c r="G255" s="231">
        <v>6579</v>
      </c>
      <c r="H255" s="231"/>
      <c r="I255" s="232">
        <v>123.6125</v>
      </c>
      <c r="J255" s="232">
        <v>5766</v>
      </c>
      <c r="K255" s="232">
        <v>451</v>
      </c>
      <c r="L255" s="231">
        <v>4439</v>
      </c>
      <c r="M255" s="231"/>
      <c r="N255" s="232">
        <v>231</v>
      </c>
      <c r="O255" s="232">
        <v>2128</v>
      </c>
      <c r="P255" s="232">
        <v>0</v>
      </c>
      <c r="Q255" s="231">
        <v>200.99</v>
      </c>
      <c r="R255" s="232">
        <f t="shared" si="3"/>
        <v>3638</v>
      </c>
      <c r="S255" s="231"/>
      <c r="T255" s="232">
        <v>1759</v>
      </c>
      <c r="U255" s="233">
        <v>1144</v>
      </c>
      <c r="V255" s="233">
        <v>2902</v>
      </c>
    </row>
    <row r="256" spans="1:22">
      <c r="A256" s="226">
        <v>92601</v>
      </c>
      <c r="B256" s="227" t="s">
        <v>964</v>
      </c>
      <c r="C256" s="87">
        <v>1.54185E-2</v>
      </c>
      <c r="D256" s="87">
        <v>1.5052899999999999E-2</v>
      </c>
      <c r="E256" s="231">
        <v>6115435.6399999997</v>
      </c>
      <c r="F256" s="231">
        <v>6755651</v>
      </c>
      <c r="G256" s="231">
        <v>32723222</v>
      </c>
      <c r="H256" s="231"/>
      <c r="I256" s="232">
        <v>614813</v>
      </c>
      <c r="J256" s="232">
        <v>28675974</v>
      </c>
      <c r="K256" s="232">
        <v>2241249</v>
      </c>
      <c r="L256" s="231">
        <v>258399</v>
      </c>
      <c r="M256" s="231"/>
      <c r="N256" s="232">
        <v>1146658</v>
      </c>
      <c r="O256" s="232">
        <v>10584153</v>
      </c>
      <c r="P256" s="232">
        <v>0</v>
      </c>
      <c r="Q256" s="231">
        <v>0</v>
      </c>
      <c r="R256" s="232">
        <f t="shared" si="3"/>
        <v>18091821</v>
      </c>
      <c r="S256" s="231"/>
      <c r="T256" s="232">
        <v>8746437</v>
      </c>
      <c r="U256" s="233">
        <v>123589</v>
      </c>
      <c r="V256" s="233">
        <v>8870026</v>
      </c>
    </row>
    <row r="257" spans="1:22">
      <c r="A257" s="226">
        <v>92602</v>
      </c>
      <c r="B257" s="227" t="s">
        <v>965</v>
      </c>
      <c r="C257" s="87">
        <v>8.1999999999999994E-6</v>
      </c>
      <c r="D257" s="87">
        <v>8.3999999999999992E-6</v>
      </c>
      <c r="E257" s="231">
        <v>3297.75</v>
      </c>
      <c r="F257" s="231">
        <v>3770</v>
      </c>
      <c r="G257" s="231">
        <v>17403</v>
      </c>
      <c r="H257" s="231"/>
      <c r="I257" s="232">
        <v>327</v>
      </c>
      <c r="J257" s="232">
        <v>15251</v>
      </c>
      <c r="K257" s="232">
        <v>1192</v>
      </c>
      <c r="L257" s="231">
        <v>708.44</v>
      </c>
      <c r="M257" s="231"/>
      <c r="N257" s="232">
        <v>610</v>
      </c>
      <c r="O257" s="232">
        <v>5629</v>
      </c>
      <c r="P257" s="232">
        <v>0</v>
      </c>
      <c r="Q257" s="231">
        <v>1260</v>
      </c>
      <c r="R257" s="232">
        <f t="shared" si="3"/>
        <v>9622</v>
      </c>
      <c r="S257" s="231"/>
      <c r="T257" s="232">
        <v>4652</v>
      </c>
      <c r="U257" s="233">
        <v>-75</v>
      </c>
      <c r="V257" s="233">
        <v>4577</v>
      </c>
    </row>
    <row r="258" spans="1:22">
      <c r="A258" s="226">
        <v>92604</v>
      </c>
      <c r="B258" s="227" t="s">
        <v>966</v>
      </c>
      <c r="C258" s="87">
        <v>3.4380000000000001E-4</v>
      </c>
      <c r="D258" s="87">
        <v>3.2019999999999998E-4</v>
      </c>
      <c r="E258" s="231">
        <v>164085.82999999996</v>
      </c>
      <c r="F258" s="231">
        <v>143704</v>
      </c>
      <c r="G258" s="231">
        <v>729659</v>
      </c>
      <c r="H258" s="231"/>
      <c r="I258" s="232">
        <v>13709</v>
      </c>
      <c r="J258" s="232">
        <v>639414</v>
      </c>
      <c r="K258" s="232">
        <v>49975</v>
      </c>
      <c r="L258" s="231">
        <v>56939</v>
      </c>
      <c r="M258" s="231"/>
      <c r="N258" s="232">
        <v>25568</v>
      </c>
      <c r="O258" s="232">
        <v>236004</v>
      </c>
      <c r="P258" s="232">
        <v>0</v>
      </c>
      <c r="Q258" s="231">
        <v>0</v>
      </c>
      <c r="R258" s="232">
        <f t="shared" si="3"/>
        <v>403410</v>
      </c>
      <c r="S258" s="231"/>
      <c r="T258" s="232">
        <v>195027</v>
      </c>
      <c r="U258" s="233">
        <v>20016</v>
      </c>
      <c r="V258" s="233">
        <v>215043</v>
      </c>
    </row>
    <row r="259" spans="1:22">
      <c r="A259" s="226">
        <v>92607</v>
      </c>
      <c r="B259" s="227" t="s">
        <v>967</v>
      </c>
      <c r="C259" s="87">
        <v>7.0400000000000004E-5</v>
      </c>
      <c r="D259" s="87">
        <v>7.4099999999999999E-5</v>
      </c>
      <c r="E259" s="231">
        <v>34299.630000000005</v>
      </c>
      <c r="F259" s="231">
        <v>33256</v>
      </c>
      <c r="G259" s="231">
        <v>149412</v>
      </c>
      <c r="H259" s="231"/>
      <c r="I259" s="232">
        <v>2807</v>
      </c>
      <c r="J259" s="232">
        <v>130933</v>
      </c>
      <c r="K259" s="232">
        <v>10233</v>
      </c>
      <c r="L259" s="231">
        <v>9606</v>
      </c>
      <c r="M259" s="231"/>
      <c r="N259" s="232">
        <v>5236</v>
      </c>
      <c r="O259" s="232">
        <v>48327</v>
      </c>
      <c r="P259" s="232">
        <v>0</v>
      </c>
      <c r="Q259" s="231">
        <v>0</v>
      </c>
      <c r="R259" s="232">
        <f t="shared" si="3"/>
        <v>82606</v>
      </c>
      <c r="S259" s="231"/>
      <c r="T259" s="232">
        <v>39936</v>
      </c>
      <c r="U259" s="233">
        <v>3862</v>
      </c>
      <c r="V259" s="233">
        <v>43798</v>
      </c>
    </row>
    <row r="260" spans="1:22">
      <c r="A260" s="226">
        <v>92608</v>
      </c>
      <c r="B260" s="227" t="s">
        <v>968</v>
      </c>
      <c r="C260" s="87">
        <v>0</v>
      </c>
      <c r="D260" s="87">
        <v>0</v>
      </c>
      <c r="E260" s="231">
        <v>0</v>
      </c>
      <c r="F260" s="231">
        <v>0</v>
      </c>
      <c r="G260" s="231">
        <v>0</v>
      </c>
      <c r="H260" s="231"/>
      <c r="I260" s="232">
        <v>0</v>
      </c>
      <c r="J260" s="232">
        <v>0</v>
      </c>
      <c r="K260" s="232">
        <v>0</v>
      </c>
      <c r="L260" s="231">
        <v>0</v>
      </c>
      <c r="M260" s="231"/>
      <c r="N260" s="232">
        <v>0</v>
      </c>
      <c r="O260" s="232">
        <v>0</v>
      </c>
      <c r="P260" s="232">
        <v>0</v>
      </c>
      <c r="Q260" s="231">
        <v>139807</v>
      </c>
      <c r="R260" s="232">
        <f t="shared" si="3"/>
        <v>0</v>
      </c>
      <c r="S260" s="231"/>
      <c r="T260" s="232">
        <v>0</v>
      </c>
      <c r="U260" s="233">
        <v>-69872</v>
      </c>
      <c r="V260" s="233">
        <v>-69872</v>
      </c>
    </row>
    <row r="261" spans="1:22">
      <c r="A261" s="226">
        <v>92611</v>
      </c>
      <c r="B261" s="227" t="s">
        <v>969</v>
      </c>
      <c r="C261" s="87">
        <v>1.3650799999999999E-2</v>
      </c>
      <c r="D261" s="87">
        <v>1.3731999999999999E-2</v>
      </c>
      <c r="E261" s="231">
        <v>5062641.3499999996</v>
      </c>
      <c r="F261" s="231">
        <v>6162839</v>
      </c>
      <c r="G261" s="231">
        <v>28971571</v>
      </c>
      <c r="H261" s="231"/>
      <c r="I261" s="232">
        <v>544325.65</v>
      </c>
      <c r="J261" s="232">
        <v>25388331</v>
      </c>
      <c r="K261" s="232">
        <v>1984294</v>
      </c>
      <c r="L261" s="231">
        <v>20320</v>
      </c>
      <c r="M261" s="231"/>
      <c r="N261" s="232">
        <v>1015196</v>
      </c>
      <c r="O261" s="232">
        <v>9370701</v>
      </c>
      <c r="P261" s="232">
        <v>0</v>
      </c>
      <c r="Q261" s="231">
        <v>707501</v>
      </c>
      <c r="R261" s="232">
        <f t="shared" si="3"/>
        <v>16017630</v>
      </c>
      <c r="S261" s="231"/>
      <c r="T261" s="232">
        <v>7743676</v>
      </c>
      <c r="U261" s="233">
        <v>-194650</v>
      </c>
      <c r="V261" s="233">
        <v>7549026</v>
      </c>
    </row>
    <row r="262" spans="1:22">
      <c r="A262" s="226">
        <v>92613</v>
      </c>
      <c r="B262" s="227" t="s">
        <v>970</v>
      </c>
      <c r="C262" s="87">
        <v>2.81E-4</v>
      </c>
      <c r="D262" s="87">
        <v>2.9250000000000001E-4</v>
      </c>
      <c r="E262" s="231">
        <v>141183.12999999998</v>
      </c>
      <c r="F262" s="231">
        <v>131272</v>
      </c>
      <c r="G262" s="231">
        <v>596376</v>
      </c>
      <c r="H262" s="231"/>
      <c r="I262" s="232">
        <v>11204.875</v>
      </c>
      <c r="J262" s="232">
        <v>522616</v>
      </c>
      <c r="K262" s="232">
        <v>40846</v>
      </c>
      <c r="L262" s="231">
        <v>119119</v>
      </c>
      <c r="M262" s="231"/>
      <c r="N262" s="232">
        <v>20898</v>
      </c>
      <c r="O262" s="232">
        <v>192895</v>
      </c>
      <c r="P262" s="232">
        <v>0</v>
      </c>
      <c r="Q262" s="231">
        <v>1892</v>
      </c>
      <c r="R262" s="232">
        <f t="shared" si="3"/>
        <v>329721</v>
      </c>
      <c r="S262" s="231"/>
      <c r="T262" s="232">
        <v>159403</v>
      </c>
      <c r="U262" s="233">
        <v>39940</v>
      </c>
      <c r="V262" s="233">
        <v>199343</v>
      </c>
    </row>
    <row r="263" spans="1:22">
      <c r="A263" s="226">
        <v>92614</v>
      </c>
      <c r="B263" s="227" t="s">
        <v>971</v>
      </c>
      <c r="C263" s="87">
        <v>5.6468000000000004E-3</v>
      </c>
      <c r="D263" s="87">
        <v>5.6173999999999998E-3</v>
      </c>
      <c r="E263" s="231">
        <v>4370417.1500000004</v>
      </c>
      <c r="F263" s="231">
        <v>2521055</v>
      </c>
      <c r="G263" s="231">
        <v>11984401</v>
      </c>
      <c r="H263" s="231"/>
      <c r="I263" s="232">
        <v>225166</v>
      </c>
      <c r="J263" s="232">
        <v>10502156</v>
      </c>
      <c r="K263" s="232">
        <v>820824</v>
      </c>
      <c r="L263" s="231">
        <v>3097959</v>
      </c>
      <c r="M263" s="231"/>
      <c r="N263" s="232">
        <v>419947</v>
      </c>
      <c r="O263" s="232">
        <v>3876291</v>
      </c>
      <c r="P263" s="232">
        <v>0</v>
      </c>
      <c r="Q263" s="231">
        <v>0</v>
      </c>
      <c r="R263" s="232">
        <f t="shared" si="3"/>
        <v>6625865</v>
      </c>
      <c r="S263" s="231"/>
      <c r="T263" s="232">
        <v>3203255</v>
      </c>
      <c r="U263" s="233">
        <v>970834</v>
      </c>
      <c r="V263" s="233">
        <v>4174089</v>
      </c>
    </row>
    <row r="264" spans="1:22">
      <c r="A264" s="226">
        <v>92621</v>
      </c>
      <c r="B264" s="227" t="s">
        <v>972</v>
      </c>
      <c r="C264" s="87">
        <v>3.2799999999999998E-5</v>
      </c>
      <c r="D264" s="87">
        <v>3.3099999999999998E-5</v>
      </c>
      <c r="E264" s="231">
        <v>12383.630000000001</v>
      </c>
      <c r="F264" s="231">
        <v>14855</v>
      </c>
      <c r="G264" s="231">
        <v>69613</v>
      </c>
      <c r="H264" s="231"/>
      <c r="I264" s="232">
        <v>1308</v>
      </c>
      <c r="J264" s="232">
        <v>61003</v>
      </c>
      <c r="K264" s="232">
        <v>4768</v>
      </c>
      <c r="L264" s="231">
        <v>1351</v>
      </c>
      <c r="M264" s="231"/>
      <c r="N264" s="232">
        <v>2439</v>
      </c>
      <c r="O264" s="232">
        <v>22516</v>
      </c>
      <c r="P264" s="232">
        <v>0</v>
      </c>
      <c r="Q264" s="231">
        <v>3050</v>
      </c>
      <c r="R264" s="232">
        <f t="shared" si="3"/>
        <v>38487</v>
      </c>
      <c r="S264" s="231"/>
      <c r="T264" s="232">
        <v>18606</v>
      </c>
      <c r="U264" s="233">
        <v>-800</v>
      </c>
      <c r="V264" s="233">
        <v>17806</v>
      </c>
    </row>
    <row r="265" spans="1:22">
      <c r="A265" s="226">
        <v>92631</v>
      </c>
      <c r="B265" s="227" t="s">
        <v>973</v>
      </c>
      <c r="C265" s="87">
        <v>1.0068E-3</v>
      </c>
      <c r="D265" s="87">
        <v>1.0248E-3</v>
      </c>
      <c r="E265" s="231">
        <v>343817.77</v>
      </c>
      <c r="F265" s="231">
        <v>459924</v>
      </c>
      <c r="G265" s="231">
        <v>2136767</v>
      </c>
      <c r="H265" s="231"/>
      <c r="I265" s="232">
        <v>40146.15</v>
      </c>
      <c r="J265" s="232">
        <v>1872489</v>
      </c>
      <c r="K265" s="232">
        <v>146349</v>
      </c>
      <c r="L265" s="231">
        <v>0</v>
      </c>
      <c r="M265" s="231"/>
      <c r="N265" s="232">
        <v>74875</v>
      </c>
      <c r="O265" s="232">
        <v>691126</v>
      </c>
      <c r="P265" s="232">
        <v>0</v>
      </c>
      <c r="Q265" s="231">
        <v>101284</v>
      </c>
      <c r="R265" s="232">
        <f t="shared" ref="R265:R328" si="4">IF(J265&gt;O265,J265-O265,O265-J265)</f>
        <v>1181363</v>
      </c>
      <c r="S265" s="231"/>
      <c r="T265" s="232">
        <v>571126</v>
      </c>
      <c r="U265" s="233">
        <v>-30677</v>
      </c>
      <c r="V265" s="233">
        <v>540449</v>
      </c>
    </row>
    <row r="266" spans="1:22">
      <c r="A266" s="226">
        <v>92641</v>
      </c>
      <c r="B266" s="227" t="s">
        <v>974</v>
      </c>
      <c r="C266" s="87">
        <v>1.03E-5</v>
      </c>
      <c r="D266" s="87">
        <v>1.0699999999999999E-5</v>
      </c>
      <c r="E266" s="231">
        <v>4921.7</v>
      </c>
      <c r="F266" s="231">
        <v>4802</v>
      </c>
      <c r="G266" s="231">
        <v>21860</v>
      </c>
      <c r="H266" s="231"/>
      <c r="I266" s="232">
        <v>410.71249999999998</v>
      </c>
      <c r="J266" s="232">
        <v>19156</v>
      </c>
      <c r="K266" s="232">
        <v>1497</v>
      </c>
      <c r="L266" s="231">
        <v>2730</v>
      </c>
      <c r="M266" s="231"/>
      <c r="N266" s="232">
        <v>766</v>
      </c>
      <c r="O266" s="232">
        <v>7071</v>
      </c>
      <c r="P266" s="232">
        <v>0</v>
      </c>
      <c r="Q266" s="231">
        <v>1900</v>
      </c>
      <c r="R266" s="232">
        <f t="shared" si="4"/>
        <v>12085</v>
      </c>
      <c r="S266" s="231"/>
      <c r="T266" s="232">
        <v>5843</v>
      </c>
      <c r="U266" s="233">
        <v>-18</v>
      </c>
      <c r="V266" s="233">
        <v>5825</v>
      </c>
    </row>
    <row r="267" spans="1:22">
      <c r="A267" s="226">
        <v>92651</v>
      </c>
      <c r="B267" s="227" t="s">
        <v>975</v>
      </c>
      <c r="C267" s="87">
        <v>2.6000000000000001E-6</v>
      </c>
      <c r="D267" s="87">
        <v>2.3999999999999999E-6</v>
      </c>
      <c r="E267" s="231">
        <v>2706.64</v>
      </c>
      <c r="F267" s="231">
        <v>1077</v>
      </c>
      <c r="G267" s="231">
        <v>5518</v>
      </c>
      <c r="H267" s="231"/>
      <c r="I267" s="232">
        <v>103.675</v>
      </c>
      <c r="J267" s="232">
        <v>4836</v>
      </c>
      <c r="K267" s="232">
        <v>378</v>
      </c>
      <c r="L267" s="231">
        <v>2819</v>
      </c>
      <c r="M267" s="231"/>
      <c r="N267" s="232">
        <v>193</v>
      </c>
      <c r="O267" s="232">
        <v>1785</v>
      </c>
      <c r="P267" s="232">
        <v>0</v>
      </c>
      <c r="Q267" s="231">
        <v>0</v>
      </c>
      <c r="R267" s="232">
        <f t="shared" si="4"/>
        <v>3051</v>
      </c>
      <c r="S267" s="231"/>
      <c r="T267" s="232">
        <v>1475</v>
      </c>
      <c r="U267" s="233">
        <v>953</v>
      </c>
      <c r="V267" s="233">
        <v>2428</v>
      </c>
    </row>
    <row r="268" spans="1:22">
      <c r="A268" s="226">
        <v>92661</v>
      </c>
      <c r="B268" s="227" t="s">
        <v>976</v>
      </c>
      <c r="C268" s="87">
        <v>6.6299999999999996E-4</v>
      </c>
      <c r="D268" s="87">
        <v>6.7860000000000001E-4</v>
      </c>
      <c r="E268" s="231">
        <v>505437.85000000003</v>
      </c>
      <c r="F268" s="231">
        <v>304552</v>
      </c>
      <c r="G268" s="231">
        <v>1407108</v>
      </c>
      <c r="H268" s="231"/>
      <c r="I268" s="232">
        <v>26437.125</v>
      </c>
      <c r="J268" s="232">
        <v>1233075</v>
      </c>
      <c r="K268" s="232">
        <v>96374</v>
      </c>
      <c r="L268" s="231">
        <v>293360</v>
      </c>
      <c r="M268" s="231"/>
      <c r="N268" s="232">
        <v>49307</v>
      </c>
      <c r="O268" s="232">
        <v>455122</v>
      </c>
      <c r="P268" s="232">
        <v>0</v>
      </c>
      <c r="Q268" s="231">
        <v>33924</v>
      </c>
      <c r="R268" s="232">
        <f t="shared" si="4"/>
        <v>777953</v>
      </c>
      <c r="S268" s="231"/>
      <c r="T268" s="232">
        <v>376099</v>
      </c>
      <c r="U268" s="233">
        <v>70124</v>
      </c>
      <c r="V268" s="233">
        <v>446224</v>
      </c>
    </row>
    <row r="269" spans="1:22">
      <c r="A269" s="226">
        <v>92671</v>
      </c>
      <c r="B269" s="227" t="s">
        <v>977</v>
      </c>
      <c r="C269" s="87">
        <v>2.9000000000000002E-6</v>
      </c>
      <c r="D269" s="87">
        <v>3.4999999999999999E-6</v>
      </c>
      <c r="E269" s="231">
        <v>4773.75</v>
      </c>
      <c r="F269" s="231">
        <v>1571</v>
      </c>
      <c r="G269" s="231">
        <v>6155</v>
      </c>
      <c r="H269" s="231"/>
      <c r="I269" s="232">
        <v>115.6375</v>
      </c>
      <c r="J269" s="232">
        <v>5394</v>
      </c>
      <c r="K269" s="232">
        <v>422</v>
      </c>
      <c r="L269" s="231">
        <v>4608</v>
      </c>
      <c r="M269" s="231"/>
      <c r="N269" s="232">
        <v>216</v>
      </c>
      <c r="O269" s="232">
        <v>1991</v>
      </c>
      <c r="P269" s="232">
        <v>0</v>
      </c>
      <c r="Q269" s="231">
        <v>0</v>
      </c>
      <c r="R269" s="232">
        <f t="shared" si="4"/>
        <v>3403</v>
      </c>
      <c r="S269" s="231"/>
      <c r="T269" s="232">
        <v>1645</v>
      </c>
      <c r="U269" s="233">
        <v>1438</v>
      </c>
      <c r="V269" s="233">
        <v>3083</v>
      </c>
    </row>
    <row r="270" spans="1:22">
      <c r="A270" s="226">
        <v>92681</v>
      </c>
      <c r="B270" s="227" t="s">
        <v>978</v>
      </c>
      <c r="C270" s="87">
        <v>1.01E-5</v>
      </c>
      <c r="D270" s="87">
        <v>5.4E-6</v>
      </c>
      <c r="E270" s="231">
        <v>9613.7899999999991</v>
      </c>
      <c r="F270" s="231">
        <v>2423</v>
      </c>
      <c r="G270" s="231">
        <v>21436</v>
      </c>
      <c r="H270" s="231"/>
      <c r="I270" s="232">
        <v>402.73750000000001</v>
      </c>
      <c r="J270" s="232">
        <v>18784</v>
      </c>
      <c r="K270" s="232">
        <v>1468</v>
      </c>
      <c r="L270" s="231">
        <v>11040</v>
      </c>
      <c r="M270" s="231"/>
      <c r="N270" s="232">
        <v>751</v>
      </c>
      <c r="O270" s="232">
        <v>6933</v>
      </c>
      <c r="P270" s="232">
        <v>0</v>
      </c>
      <c r="Q270" s="231">
        <v>0</v>
      </c>
      <c r="R270" s="232">
        <f t="shared" si="4"/>
        <v>11851</v>
      </c>
      <c r="S270" s="231"/>
      <c r="T270" s="232">
        <v>5729</v>
      </c>
      <c r="U270" s="233">
        <v>3452</v>
      </c>
      <c r="V270" s="233">
        <v>9181</v>
      </c>
    </row>
    <row r="271" spans="1:22">
      <c r="A271" s="226">
        <v>92701</v>
      </c>
      <c r="B271" s="227" t="s">
        <v>979</v>
      </c>
      <c r="C271" s="87">
        <v>2.9588000000000001E-3</v>
      </c>
      <c r="D271" s="87">
        <v>2.8249999999999998E-3</v>
      </c>
      <c r="E271" s="231">
        <v>1147170.26</v>
      </c>
      <c r="F271" s="231">
        <v>1267843</v>
      </c>
      <c r="G271" s="231">
        <v>6279565</v>
      </c>
      <c r="H271" s="231"/>
      <c r="I271" s="232">
        <v>117982</v>
      </c>
      <c r="J271" s="232">
        <v>5502901</v>
      </c>
      <c r="K271" s="232">
        <v>430094</v>
      </c>
      <c r="L271" s="231">
        <v>17190</v>
      </c>
      <c r="M271" s="231"/>
      <c r="N271" s="232">
        <v>220043</v>
      </c>
      <c r="O271" s="232">
        <v>2031092</v>
      </c>
      <c r="P271" s="232">
        <v>0</v>
      </c>
      <c r="Q271" s="231">
        <v>81579</v>
      </c>
      <c r="R271" s="232">
        <f t="shared" si="4"/>
        <v>3471809</v>
      </c>
      <c r="S271" s="231"/>
      <c r="T271" s="232">
        <v>1678436</v>
      </c>
      <c r="U271" s="233">
        <v>-34202</v>
      </c>
      <c r="V271" s="233">
        <v>1644234</v>
      </c>
    </row>
    <row r="272" spans="1:22">
      <c r="A272" s="226">
        <v>92704</v>
      </c>
      <c r="B272" s="227" t="s">
        <v>980</v>
      </c>
      <c r="C272" s="87">
        <v>4.7700000000000001E-5</v>
      </c>
      <c r="D272" s="87">
        <v>4.8000000000000001E-5</v>
      </c>
      <c r="E272" s="231">
        <v>17416.48</v>
      </c>
      <c r="F272" s="231">
        <v>21542</v>
      </c>
      <c r="G272" s="231">
        <v>101235</v>
      </c>
      <c r="H272" s="231"/>
      <c r="I272" s="232">
        <v>1902</v>
      </c>
      <c r="J272" s="232">
        <v>88714</v>
      </c>
      <c r="K272" s="232">
        <v>6934</v>
      </c>
      <c r="L272" s="231">
        <v>2418</v>
      </c>
      <c r="M272" s="231"/>
      <c r="N272" s="232">
        <v>3547</v>
      </c>
      <c r="O272" s="232">
        <v>32744</v>
      </c>
      <c r="P272" s="232">
        <v>0</v>
      </c>
      <c r="Q272" s="231">
        <v>1922</v>
      </c>
      <c r="R272" s="232">
        <f t="shared" si="4"/>
        <v>55970</v>
      </c>
      <c r="S272" s="231"/>
      <c r="T272" s="232">
        <v>27059</v>
      </c>
      <c r="U272" s="233">
        <v>357</v>
      </c>
      <c r="V272" s="233">
        <v>27415</v>
      </c>
    </row>
    <row r="273" spans="1:22">
      <c r="A273" s="226">
        <v>92801</v>
      </c>
      <c r="B273" s="227" t="s">
        <v>981</v>
      </c>
      <c r="C273" s="87">
        <v>5.1701000000000004E-3</v>
      </c>
      <c r="D273" s="87">
        <v>5.1633E-3</v>
      </c>
      <c r="E273" s="231">
        <v>2172949.21</v>
      </c>
      <c r="F273" s="231">
        <v>2317258</v>
      </c>
      <c r="G273" s="231">
        <v>10972684</v>
      </c>
      <c r="H273" s="231"/>
      <c r="I273" s="232">
        <v>206158</v>
      </c>
      <c r="J273" s="232">
        <v>9615569</v>
      </c>
      <c r="K273" s="232">
        <v>751531</v>
      </c>
      <c r="L273" s="231">
        <v>219271</v>
      </c>
      <c r="M273" s="231"/>
      <c r="N273" s="232">
        <v>384495</v>
      </c>
      <c r="O273" s="232">
        <v>3549057</v>
      </c>
      <c r="P273" s="232">
        <v>0</v>
      </c>
      <c r="Q273" s="231">
        <v>0</v>
      </c>
      <c r="R273" s="232">
        <f t="shared" si="4"/>
        <v>6066512</v>
      </c>
      <c r="S273" s="231"/>
      <c r="T273" s="232">
        <v>2932837</v>
      </c>
      <c r="U273" s="233">
        <v>78433</v>
      </c>
      <c r="V273" s="233">
        <v>3011270</v>
      </c>
    </row>
    <row r="274" spans="1:22">
      <c r="A274" s="226">
        <v>92802</v>
      </c>
      <c r="B274" s="227" t="s">
        <v>982</v>
      </c>
      <c r="C274" s="87">
        <v>1.3410000000000001E-4</v>
      </c>
      <c r="D274" s="87">
        <v>1.4359999999999999E-4</v>
      </c>
      <c r="E274" s="231">
        <v>49243.25</v>
      </c>
      <c r="F274" s="231">
        <v>64447</v>
      </c>
      <c r="G274" s="231">
        <v>284605</v>
      </c>
      <c r="H274" s="231"/>
      <c r="I274" s="232">
        <v>5347</v>
      </c>
      <c r="J274" s="232">
        <v>249405</v>
      </c>
      <c r="K274" s="232">
        <v>19493</v>
      </c>
      <c r="L274" s="231">
        <v>0</v>
      </c>
      <c r="M274" s="231"/>
      <c r="N274" s="232">
        <v>9973</v>
      </c>
      <c r="O274" s="232">
        <v>92054</v>
      </c>
      <c r="P274" s="232">
        <v>0</v>
      </c>
      <c r="Q274" s="231">
        <v>17052</v>
      </c>
      <c r="R274" s="232">
        <f t="shared" si="4"/>
        <v>157351</v>
      </c>
      <c r="S274" s="231"/>
      <c r="T274" s="232">
        <v>76071</v>
      </c>
      <c r="U274" s="233">
        <v>-5458</v>
      </c>
      <c r="V274" s="233">
        <v>70613</v>
      </c>
    </row>
    <row r="275" spans="1:22">
      <c r="A275" s="226">
        <v>92804</v>
      </c>
      <c r="B275" s="227" t="s">
        <v>983</v>
      </c>
      <c r="C275" s="87">
        <v>1.47E-4</v>
      </c>
      <c r="D275" s="87">
        <v>1.217E-4</v>
      </c>
      <c r="E275" s="231">
        <v>50468.480000000003</v>
      </c>
      <c r="F275" s="231">
        <v>54618</v>
      </c>
      <c r="G275" s="231">
        <v>311983</v>
      </c>
      <c r="H275" s="231"/>
      <c r="I275" s="232">
        <v>5861.625</v>
      </c>
      <c r="J275" s="232">
        <v>273397</v>
      </c>
      <c r="K275" s="232">
        <v>21368</v>
      </c>
      <c r="L275" s="231">
        <v>12672</v>
      </c>
      <c r="M275" s="231"/>
      <c r="N275" s="232">
        <v>10932</v>
      </c>
      <c r="O275" s="232">
        <v>100909</v>
      </c>
      <c r="P275" s="232">
        <v>0</v>
      </c>
      <c r="Q275" s="231">
        <v>2663</v>
      </c>
      <c r="R275" s="232">
        <f t="shared" si="4"/>
        <v>172488</v>
      </c>
      <c r="S275" s="231"/>
      <c r="T275" s="232">
        <v>83389</v>
      </c>
      <c r="U275" s="233">
        <v>2604</v>
      </c>
      <c r="V275" s="233">
        <v>85992</v>
      </c>
    </row>
    <row r="276" spans="1:22">
      <c r="A276" s="226">
        <v>92811</v>
      </c>
      <c r="B276" s="227" t="s">
        <v>984</v>
      </c>
      <c r="C276" s="87">
        <v>9.8569999999999994E-4</v>
      </c>
      <c r="D276" s="87">
        <v>1.1405E-3</v>
      </c>
      <c r="E276" s="231">
        <v>390969.39999999997</v>
      </c>
      <c r="F276" s="231">
        <v>511850</v>
      </c>
      <c r="G276" s="231">
        <v>2091986</v>
      </c>
      <c r="H276" s="231"/>
      <c r="I276" s="232">
        <v>39305</v>
      </c>
      <c r="J276" s="232">
        <v>1833246</v>
      </c>
      <c r="K276" s="232">
        <v>143282</v>
      </c>
      <c r="L276" s="231">
        <v>0</v>
      </c>
      <c r="M276" s="231"/>
      <c r="N276" s="232">
        <v>73306</v>
      </c>
      <c r="O276" s="232">
        <v>676642</v>
      </c>
      <c r="P276" s="232">
        <v>0</v>
      </c>
      <c r="Q276" s="231">
        <v>118839</v>
      </c>
      <c r="R276" s="232">
        <f t="shared" si="4"/>
        <v>1156604</v>
      </c>
      <c r="S276" s="231"/>
      <c r="T276" s="232">
        <v>559157</v>
      </c>
      <c r="U276" s="233">
        <v>-36047</v>
      </c>
      <c r="V276" s="233">
        <v>523110</v>
      </c>
    </row>
    <row r="277" spans="1:22">
      <c r="A277" s="226">
        <v>92821</v>
      </c>
      <c r="B277" s="227" t="s">
        <v>985</v>
      </c>
      <c r="C277" s="87">
        <v>1.0139999999999999E-3</v>
      </c>
      <c r="D277" s="87">
        <v>9.8010000000000002E-4</v>
      </c>
      <c r="E277" s="231">
        <v>411903.12999999995</v>
      </c>
      <c r="F277" s="231">
        <v>439863</v>
      </c>
      <c r="G277" s="231">
        <v>2152047.69</v>
      </c>
      <c r="H277" s="231"/>
      <c r="I277" s="232">
        <v>40433.25</v>
      </c>
      <c r="J277" s="232">
        <v>1885880</v>
      </c>
      <c r="K277" s="232">
        <v>147396</v>
      </c>
      <c r="L277" s="231">
        <v>27408</v>
      </c>
      <c r="M277" s="231"/>
      <c r="N277" s="232">
        <v>75410</v>
      </c>
      <c r="O277" s="232">
        <v>696068</v>
      </c>
      <c r="P277" s="232">
        <v>0</v>
      </c>
      <c r="Q277" s="231">
        <v>0</v>
      </c>
      <c r="R277" s="232">
        <f t="shared" si="4"/>
        <v>1189812</v>
      </c>
      <c r="S277" s="231"/>
      <c r="T277" s="232">
        <v>575211</v>
      </c>
      <c r="U277" s="233">
        <v>8904</v>
      </c>
      <c r="V277" s="233">
        <v>584115</v>
      </c>
    </row>
    <row r="278" spans="1:22">
      <c r="A278" s="226">
        <v>92831</v>
      </c>
      <c r="B278" s="227" t="s">
        <v>986</v>
      </c>
      <c r="C278" s="87">
        <v>2.476E-4</v>
      </c>
      <c r="D278" s="87">
        <v>2.4049999999999999E-4</v>
      </c>
      <c r="E278" s="231">
        <v>117070.46</v>
      </c>
      <c r="F278" s="231">
        <v>107935</v>
      </c>
      <c r="G278" s="231">
        <v>525490</v>
      </c>
      <c r="H278" s="231"/>
      <c r="I278" s="232">
        <v>9873</v>
      </c>
      <c r="J278" s="232">
        <v>460497</v>
      </c>
      <c r="K278" s="232">
        <v>35991</v>
      </c>
      <c r="L278" s="231">
        <v>29199</v>
      </c>
      <c r="M278" s="231"/>
      <c r="N278" s="232">
        <v>18414</v>
      </c>
      <c r="O278" s="232">
        <v>169967</v>
      </c>
      <c r="P278" s="232">
        <v>0</v>
      </c>
      <c r="Q278" s="231">
        <v>0</v>
      </c>
      <c r="R278" s="232">
        <f t="shared" si="4"/>
        <v>290530</v>
      </c>
      <c r="S278" s="231"/>
      <c r="T278" s="232">
        <v>140456</v>
      </c>
      <c r="U278" s="233">
        <v>10043</v>
      </c>
      <c r="V278" s="233">
        <v>150499</v>
      </c>
    </row>
    <row r="279" spans="1:22">
      <c r="A279" s="226">
        <v>92841</v>
      </c>
      <c r="B279" s="227" t="s">
        <v>987</v>
      </c>
      <c r="C279" s="87">
        <v>2.8160000000000001E-4</v>
      </c>
      <c r="D279" s="87">
        <v>2.7070000000000002E-4</v>
      </c>
      <c r="E279" s="231">
        <v>105224.13999999998</v>
      </c>
      <c r="F279" s="231">
        <v>121489</v>
      </c>
      <c r="G279" s="231">
        <v>597650</v>
      </c>
      <c r="H279" s="231"/>
      <c r="I279" s="232">
        <v>11229</v>
      </c>
      <c r="J279" s="232">
        <v>523732</v>
      </c>
      <c r="K279" s="232">
        <v>40934</v>
      </c>
      <c r="L279" s="231">
        <v>11701.2</v>
      </c>
      <c r="M279" s="231"/>
      <c r="N279" s="232">
        <v>20942</v>
      </c>
      <c r="O279" s="232">
        <v>193307</v>
      </c>
      <c r="P279" s="232">
        <v>0</v>
      </c>
      <c r="Q279" s="231">
        <v>3120</v>
      </c>
      <c r="R279" s="232">
        <f t="shared" si="4"/>
        <v>330425</v>
      </c>
      <c r="S279" s="231"/>
      <c r="T279" s="232">
        <v>159743</v>
      </c>
      <c r="U279" s="233">
        <v>5013</v>
      </c>
      <c r="V279" s="233">
        <v>164756</v>
      </c>
    </row>
    <row r="280" spans="1:22">
      <c r="A280" s="226">
        <v>92851</v>
      </c>
      <c r="B280" s="227" t="s">
        <v>988</v>
      </c>
      <c r="C280" s="87">
        <v>4.3909999999999999E-4</v>
      </c>
      <c r="D280" s="87">
        <v>4.6690000000000002E-4</v>
      </c>
      <c r="E280" s="231">
        <v>157592.29999999999</v>
      </c>
      <c r="F280" s="231">
        <v>209542</v>
      </c>
      <c r="G280" s="231">
        <v>931917</v>
      </c>
      <c r="H280" s="231"/>
      <c r="I280" s="232">
        <v>17509</v>
      </c>
      <c r="J280" s="232">
        <v>816657</v>
      </c>
      <c r="K280" s="232">
        <v>63828</v>
      </c>
      <c r="L280" s="231">
        <v>0</v>
      </c>
      <c r="M280" s="231"/>
      <c r="N280" s="232">
        <v>32655</v>
      </c>
      <c r="O280" s="232">
        <v>301424</v>
      </c>
      <c r="P280" s="232">
        <v>0</v>
      </c>
      <c r="Q280" s="231">
        <v>92000</v>
      </c>
      <c r="R280" s="232">
        <f t="shared" si="4"/>
        <v>515233</v>
      </c>
      <c r="S280" s="231"/>
      <c r="T280" s="232">
        <v>249088</v>
      </c>
      <c r="U280" s="233">
        <v>-34292</v>
      </c>
      <c r="V280" s="233">
        <v>214796</v>
      </c>
    </row>
    <row r="281" spans="1:22">
      <c r="A281" s="226">
        <v>92861</v>
      </c>
      <c r="B281" s="227" t="s">
        <v>989</v>
      </c>
      <c r="C281" s="87">
        <v>3.3629999999999999E-4</v>
      </c>
      <c r="D281" s="87">
        <v>3.7750000000000001E-4</v>
      </c>
      <c r="E281" s="231">
        <v>101705.39000000001</v>
      </c>
      <c r="F281" s="231">
        <v>169420</v>
      </c>
      <c r="G281" s="231">
        <v>713741</v>
      </c>
      <c r="H281" s="231"/>
      <c r="I281" s="232">
        <v>13410</v>
      </c>
      <c r="J281" s="232">
        <v>625465</v>
      </c>
      <c r="K281" s="232">
        <v>48885</v>
      </c>
      <c r="L281" s="231">
        <v>0</v>
      </c>
      <c r="M281" s="231"/>
      <c r="N281" s="232">
        <v>25010</v>
      </c>
      <c r="O281" s="232">
        <v>230856</v>
      </c>
      <c r="P281" s="232">
        <v>0</v>
      </c>
      <c r="Q281" s="231">
        <v>96581</v>
      </c>
      <c r="R281" s="232">
        <f t="shared" si="4"/>
        <v>394609</v>
      </c>
      <c r="S281" s="231"/>
      <c r="T281" s="232">
        <v>190773</v>
      </c>
      <c r="U281" s="233">
        <v>-32224</v>
      </c>
      <c r="V281" s="233">
        <v>158549</v>
      </c>
    </row>
    <row r="282" spans="1:22">
      <c r="A282" s="226">
        <v>92901</v>
      </c>
      <c r="B282" s="227" t="s">
        <v>990</v>
      </c>
      <c r="C282" s="87">
        <v>5.7581000000000004E-3</v>
      </c>
      <c r="D282" s="87">
        <v>5.7428999999999996E-3</v>
      </c>
      <c r="E282" s="231">
        <v>2270580.9300000002</v>
      </c>
      <c r="F282" s="231">
        <v>2577379</v>
      </c>
      <c r="G282" s="231">
        <v>12220617</v>
      </c>
      <c r="H282" s="231"/>
      <c r="I282" s="232">
        <v>229604</v>
      </c>
      <c r="J282" s="232">
        <v>10709156</v>
      </c>
      <c r="K282" s="232">
        <v>837003</v>
      </c>
      <c r="L282" s="231">
        <v>108561</v>
      </c>
      <c r="M282" s="231"/>
      <c r="N282" s="232">
        <v>428224</v>
      </c>
      <c r="O282" s="232">
        <v>3952694</v>
      </c>
      <c r="P282" s="232">
        <v>0</v>
      </c>
      <c r="Q282" s="231">
        <v>69123</v>
      </c>
      <c r="R282" s="232">
        <f t="shared" si="4"/>
        <v>6756462</v>
      </c>
      <c r="S282" s="231"/>
      <c r="T282" s="232">
        <v>3266392</v>
      </c>
      <c r="U282" s="233">
        <v>24956</v>
      </c>
      <c r="V282" s="233">
        <v>3291348</v>
      </c>
    </row>
    <row r="283" spans="1:22">
      <c r="A283" s="226">
        <v>92911</v>
      </c>
      <c r="B283" s="227" t="s">
        <v>991</v>
      </c>
      <c r="C283" s="87">
        <v>1.9442999999999999E-3</v>
      </c>
      <c r="D283" s="87">
        <v>2.0665000000000002E-3</v>
      </c>
      <c r="E283" s="231">
        <v>811710.22</v>
      </c>
      <c r="F283" s="231">
        <v>927433</v>
      </c>
      <c r="G283" s="231">
        <v>4126456</v>
      </c>
      <c r="H283" s="231"/>
      <c r="I283" s="232">
        <v>77529</v>
      </c>
      <c r="J283" s="232">
        <v>3616091</v>
      </c>
      <c r="K283" s="232">
        <v>282625</v>
      </c>
      <c r="L283" s="231">
        <v>0</v>
      </c>
      <c r="M283" s="231"/>
      <c r="N283" s="232">
        <v>144596</v>
      </c>
      <c r="O283" s="232">
        <v>1334680</v>
      </c>
      <c r="P283" s="232">
        <v>0</v>
      </c>
      <c r="Q283" s="231">
        <v>175676</v>
      </c>
      <c r="R283" s="232">
        <f t="shared" si="4"/>
        <v>2281411</v>
      </c>
      <c r="S283" s="231"/>
      <c r="T283" s="232">
        <v>1102941</v>
      </c>
      <c r="U283" s="233">
        <v>-62151</v>
      </c>
      <c r="V283" s="233">
        <v>1040790</v>
      </c>
    </row>
    <row r="284" spans="1:22">
      <c r="A284" s="226">
        <v>92913</v>
      </c>
      <c r="B284" s="227" t="s">
        <v>992</v>
      </c>
      <c r="C284" s="87">
        <v>2.37E-5</v>
      </c>
      <c r="D284" s="87">
        <v>2.97E-5</v>
      </c>
      <c r="E284" s="231">
        <v>56296.04</v>
      </c>
      <c r="F284" s="231">
        <v>13329</v>
      </c>
      <c r="G284" s="231">
        <v>50299</v>
      </c>
      <c r="H284" s="231"/>
      <c r="I284" s="232">
        <v>945.03750000000002</v>
      </c>
      <c r="J284" s="232">
        <v>44078</v>
      </c>
      <c r="K284" s="232">
        <v>3445</v>
      </c>
      <c r="L284" s="231">
        <v>60788</v>
      </c>
      <c r="M284" s="231"/>
      <c r="N284" s="232">
        <v>1763</v>
      </c>
      <c r="O284" s="232">
        <v>16269</v>
      </c>
      <c r="P284" s="232">
        <v>0</v>
      </c>
      <c r="Q284" s="231">
        <v>4115</v>
      </c>
      <c r="R284" s="232">
        <f t="shared" si="4"/>
        <v>27809</v>
      </c>
      <c r="S284" s="231"/>
      <c r="T284" s="232">
        <v>13444</v>
      </c>
      <c r="U284" s="233">
        <v>16266</v>
      </c>
      <c r="V284" s="233">
        <v>29711</v>
      </c>
    </row>
    <row r="285" spans="1:22">
      <c r="A285" s="226">
        <v>92917</v>
      </c>
      <c r="B285" s="227" t="s">
        <v>994</v>
      </c>
      <c r="C285" s="87">
        <v>2.0000000000000002E-5</v>
      </c>
      <c r="D285" s="87">
        <v>1.9599999999999999E-5</v>
      </c>
      <c r="E285" s="231">
        <v>15741.650000000001</v>
      </c>
      <c r="F285" s="231">
        <v>8796</v>
      </c>
      <c r="G285" s="231">
        <v>42447</v>
      </c>
      <c r="H285" s="231"/>
      <c r="I285" s="232">
        <v>798</v>
      </c>
      <c r="J285" s="232">
        <v>37197</v>
      </c>
      <c r="K285" s="232">
        <v>2907</v>
      </c>
      <c r="L285" s="231">
        <v>14645</v>
      </c>
      <c r="M285" s="231"/>
      <c r="N285" s="232">
        <v>1487.38</v>
      </c>
      <c r="O285" s="232">
        <v>13729</v>
      </c>
      <c r="P285" s="232">
        <v>0</v>
      </c>
      <c r="Q285" s="231">
        <v>0</v>
      </c>
      <c r="R285" s="232">
        <f t="shared" si="4"/>
        <v>23468</v>
      </c>
      <c r="S285" s="231"/>
      <c r="T285" s="232">
        <v>11345</v>
      </c>
      <c r="U285" s="233">
        <v>5366</v>
      </c>
      <c r="V285" s="233">
        <v>16711</v>
      </c>
    </row>
    <row r="286" spans="1:22">
      <c r="A286" s="226">
        <v>92921</v>
      </c>
      <c r="B286" s="227" t="s">
        <v>995</v>
      </c>
      <c r="C286" s="87">
        <v>6.2899999999999997E-5</v>
      </c>
      <c r="D286" s="87">
        <v>8.1500000000000002E-5</v>
      </c>
      <c r="E286" s="231">
        <v>34231.150000000009</v>
      </c>
      <c r="F286" s="231">
        <v>36577</v>
      </c>
      <c r="G286" s="231">
        <v>133495</v>
      </c>
      <c r="H286" s="231"/>
      <c r="I286" s="232">
        <v>2508</v>
      </c>
      <c r="J286" s="232">
        <v>116984</v>
      </c>
      <c r="K286" s="232">
        <v>9143</v>
      </c>
      <c r="L286" s="231">
        <v>0</v>
      </c>
      <c r="M286" s="231"/>
      <c r="N286" s="232">
        <v>4678</v>
      </c>
      <c r="O286" s="232">
        <v>43178</v>
      </c>
      <c r="P286" s="232">
        <v>0</v>
      </c>
      <c r="Q286" s="231">
        <v>14056</v>
      </c>
      <c r="R286" s="232">
        <f t="shared" si="4"/>
        <v>73806</v>
      </c>
      <c r="S286" s="231"/>
      <c r="T286" s="232">
        <v>35681</v>
      </c>
      <c r="U286" s="233">
        <v>-6225</v>
      </c>
      <c r="V286" s="233">
        <v>29456</v>
      </c>
    </row>
    <row r="287" spans="1:22">
      <c r="A287" s="226">
        <v>92931</v>
      </c>
      <c r="B287" s="227" t="s">
        <v>996</v>
      </c>
      <c r="C287" s="87">
        <v>2.5048000000000002E-3</v>
      </c>
      <c r="D287" s="87">
        <v>2.5463E-3</v>
      </c>
      <c r="E287" s="231">
        <v>948741.12999999989</v>
      </c>
      <c r="F287" s="231">
        <v>1142764</v>
      </c>
      <c r="G287" s="231">
        <v>5316025</v>
      </c>
      <c r="H287" s="231"/>
      <c r="I287" s="232">
        <v>99879</v>
      </c>
      <c r="J287" s="232">
        <v>4658532</v>
      </c>
      <c r="K287" s="232">
        <v>364100</v>
      </c>
      <c r="L287" s="231">
        <v>15520</v>
      </c>
      <c r="M287" s="231"/>
      <c r="N287" s="232">
        <v>186279</v>
      </c>
      <c r="O287" s="232">
        <v>1719440</v>
      </c>
      <c r="P287" s="232">
        <v>0</v>
      </c>
      <c r="Q287" s="231">
        <v>116480</v>
      </c>
      <c r="R287" s="232">
        <f t="shared" si="4"/>
        <v>2939092</v>
      </c>
      <c r="S287" s="231"/>
      <c r="T287" s="232">
        <v>1420895</v>
      </c>
      <c r="U287" s="233">
        <v>-25186</v>
      </c>
      <c r="V287" s="233">
        <v>1395710</v>
      </c>
    </row>
    <row r="288" spans="1:22">
      <c r="A288" s="226">
        <v>92941</v>
      </c>
      <c r="B288" s="227" t="s">
        <v>81</v>
      </c>
      <c r="C288" s="87">
        <v>1.84E-5</v>
      </c>
      <c r="D288" s="87">
        <v>1.5999999999999999E-5</v>
      </c>
      <c r="E288" s="231">
        <v>7189.9199999999992</v>
      </c>
      <c r="F288" s="231">
        <v>7181</v>
      </c>
      <c r="G288" s="231">
        <v>39051</v>
      </c>
      <c r="H288" s="231"/>
      <c r="I288" s="232">
        <v>733.7</v>
      </c>
      <c r="J288" s="232">
        <v>34221</v>
      </c>
      <c r="K288" s="232">
        <v>2675</v>
      </c>
      <c r="L288" s="231">
        <v>10216</v>
      </c>
      <c r="M288" s="231"/>
      <c r="N288" s="232">
        <v>1368</v>
      </c>
      <c r="O288" s="232">
        <v>12631</v>
      </c>
      <c r="P288" s="232">
        <v>0</v>
      </c>
      <c r="Q288" s="231">
        <v>0</v>
      </c>
      <c r="R288" s="232">
        <f t="shared" si="4"/>
        <v>21590</v>
      </c>
      <c r="S288" s="231"/>
      <c r="T288" s="232">
        <v>10438</v>
      </c>
      <c r="U288" s="233">
        <v>3605</v>
      </c>
      <c r="V288" s="233">
        <v>14042</v>
      </c>
    </row>
    <row r="289" spans="1:22">
      <c r="A289" s="226">
        <v>93001</v>
      </c>
      <c r="B289" s="227" t="s">
        <v>997</v>
      </c>
      <c r="C289" s="87">
        <v>2.2739000000000001E-3</v>
      </c>
      <c r="D289" s="87">
        <v>2.2177999999999998E-3</v>
      </c>
      <c r="E289" s="231">
        <v>863907.18</v>
      </c>
      <c r="F289" s="231">
        <v>995335</v>
      </c>
      <c r="G289" s="231">
        <v>4825978</v>
      </c>
      <c r="H289" s="231"/>
      <c r="I289" s="232">
        <v>90672</v>
      </c>
      <c r="J289" s="232">
        <v>4229095</v>
      </c>
      <c r="K289" s="232">
        <v>330536</v>
      </c>
      <c r="L289" s="231">
        <v>13531</v>
      </c>
      <c r="M289" s="231"/>
      <c r="N289" s="232">
        <v>169108</v>
      </c>
      <c r="O289" s="232">
        <v>1560937</v>
      </c>
      <c r="P289" s="232">
        <v>0</v>
      </c>
      <c r="Q289" s="231">
        <v>103635</v>
      </c>
      <c r="R289" s="232">
        <f t="shared" si="4"/>
        <v>2668158</v>
      </c>
      <c r="S289" s="231"/>
      <c r="T289" s="232">
        <v>1289913</v>
      </c>
      <c r="U289" s="233">
        <v>-40908</v>
      </c>
      <c r="V289" s="233">
        <v>1249005</v>
      </c>
    </row>
    <row r="290" spans="1:22">
      <c r="A290" s="226">
        <v>93009</v>
      </c>
      <c r="B290" s="227" t="s">
        <v>998</v>
      </c>
      <c r="C290" s="87">
        <v>1.5400000000000002E-5</v>
      </c>
      <c r="D290" s="87">
        <v>1.6399999999999999E-5</v>
      </c>
      <c r="E290" s="231">
        <v>4865.2100000000009</v>
      </c>
      <c r="F290" s="231">
        <v>7360</v>
      </c>
      <c r="G290" s="231">
        <v>32684</v>
      </c>
      <c r="H290" s="231"/>
      <c r="I290" s="232">
        <v>614</v>
      </c>
      <c r="J290" s="232">
        <v>28642</v>
      </c>
      <c r="K290" s="232">
        <v>2239</v>
      </c>
      <c r="L290" s="231">
        <v>0</v>
      </c>
      <c r="M290" s="231"/>
      <c r="N290" s="232">
        <v>1145</v>
      </c>
      <c r="O290" s="232">
        <v>10571</v>
      </c>
      <c r="P290" s="232">
        <v>0</v>
      </c>
      <c r="Q290" s="231">
        <v>4210</v>
      </c>
      <c r="R290" s="232">
        <f t="shared" si="4"/>
        <v>18071</v>
      </c>
      <c r="S290" s="231"/>
      <c r="T290" s="232">
        <v>8736</v>
      </c>
      <c r="U290" s="233">
        <v>-1521</v>
      </c>
      <c r="V290" s="233">
        <v>7215</v>
      </c>
    </row>
    <row r="291" spans="1:22">
      <c r="A291" s="226">
        <v>93011</v>
      </c>
      <c r="B291" s="227" t="s">
        <v>999</v>
      </c>
      <c r="C291" s="87">
        <v>2.6160000000000002E-4</v>
      </c>
      <c r="D291" s="87">
        <v>2.9179999999999999E-4</v>
      </c>
      <c r="E291" s="231">
        <v>124242.32999999999</v>
      </c>
      <c r="F291" s="231">
        <v>130958</v>
      </c>
      <c r="G291" s="231">
        <v>555203</v>
      </c>
      <c r="H291" s="231"/>
      <c r="I291" s="232">
        <v>10431</v>
      </c>
      <c r="J291" s="232">
        <v>486535</v>
      </c>
      <c r="K291" s="232">
        <v>38026</v>
      </c>
      <c r="L291" s="231">
        <v>2390</v>
      </c>
      <c r="M291" s="231"/>
      <c r="N291" s="232">
        <v>19455</v>
      </c>
      <c r="O291" s="232">
        <v>179577</v>
      </c>
      <c r="P291" s="232">
        <v>0</v>
      </c>
      <c r="Q291" s="231">
        <v>5043</v>
      </c>
      <c r="R291" s="232">
        <f t="shared" si="4"/>
        <v>306958</v>
      </c>
      <c r="S291" s="231"/>
      <c r="T291" s="232">
        <v>148398</v>
      </c>
      <c r="U291" s="233">
        <v>-926</v>
      </c>
      <c r="V291" s="233">
        <v>147472</v>
      </c>
    </row>
    <row r="292" spans="1:22">
      <c r="A292" s="226">
        <v>93021</v>
      </c>
      <c r="B292" s="227" t="s">
        <v>1000</v>
      </c>
      <c r="C292" s="87">
        <v>2.8900000000000001E-5</v>
      </c>
      <c r="D292" s="87">
        <v>3.7200000000000003E-5</v>
      </c>
      <c r="E292" s="231">
        <v>9086.3100000000013</v>
      </c>
      <c r="F292" s="231">
        <v>16695</v>
      </c>
      <c r="G292" s="231">
        <v>61335</v>
      </c>
      <c r="H292" s="231"/>
      <c r="I292" s="232">
        <v>1152.3875</v>
      </c>
      <c r="J292" s="232">
        <v>53749</v>
      </c>
      <c r="K292" s="232">
        <v>4201</v>
      </c>
      <c r="L292" s="231">
        <v>4054</v>
      </c>
      <c r="M292" s="231"/>
      <c r="N292" s="232">
        <v>2149</v>
      </c>
      <c r="O292" s="232">
        <v>19839</v>
      </c>
      <c r="P292" s="232">
        <v>0</v>
      </c>
      <c r="Q292" s="231">
        <v>6719</v>
      </c>
      <c r="R292" s="232">
        <f t="shared" si="4"/>
        <v>33910</v>
      </c>
      <c r="S292" s="231"/>
      <c r="T292" s="232">
        <v>16394</v>
      </c>
      <c r="U292" s="233">
        <v>-87</v>
      </c>
      <c r="V292" s="233">
        <v>16307</v>
      </c>
    </row>
    <row r="293" spans="1:22">
      <c r="A293" s="226">
        <v>93027</v>
      </c>
      <c r="B293" s="227" t="s">
        <v>1001</v>
      </c>
      <c r="C293" s="87">
        <v>1.6699999999999999E-5</v>
      </c>
      <c r="D293" s="87">
        <v>1.49E-5</v>
      </c>
      <c r="E293" s="231">
        <v>6776.7999999999993</v>
      </c>
      <c r="F293" s="231">
        <v>6687</v>
      </c>
      <c r="G293" s="231">
        <v>35443</v>
      </c>
      <c r="H293" s="231"/>
      <c r="I293" s="232">
        <v>665.91250000000002</v>
      </c>
      <c r="J293" s="232">
        <v>31059</v>
      </c>
      <c r="K293" s="232">
        <v>2428</v>
      </c>
      <c r="L293" s="231">
        <v>903</v>
      </c>
      <c r="M293" s="231"/>
      <c r="N293" s="232">
        <v>1242</v>
      </c>
      <c r="O293" s="232">
        <v>11464</v>
      </c>
      <c r="P293" s="232">
        <v>0</v>
      </c>
      <c r="Q293" s="231">
        <v>1496</v>
      </c>
      <c r="R293" s="232">
        <f t="shared" si="4"/>
        <v>19595</v>
      </c>
      <c r="S293" s="231"/>
      <c r="T293" s="232">
        <v>9473</v>
      </c>
      <c r="U293" s="233">
        <v>-429</v>
      </c>
      <c r="V293" s="233">
        <v>9045</v>
      </c>
    </row>
    <row r="294" spans="1:22">
      <c r="A294" s="226">
        <v>93031</v>
      </c>
      <c r="B294" s="227" t="s">
        <v>1002</v>
      </c>
      <c r="C294" s="87">
        <v>2.2399999999999999E-5</v>
      </c>
      <c r="D294" s="87">
        <v>1.4399999999999999E-5</v>
      </c>
      <c r="E294" s="231">
        <v>20148.699999999997</v>
      </c>
      <c r="F294" s="231">
        <v>6463</v>
      </c>
      <c r="G294" s="231">
        <v>47540</v>
      </c>
      <c r="H294" s="231"/>
      <c r="I294" s="232">
        <v>893</v>
      </c>
      <c r="J294" s="232">
        <v>41660</v>
      </c>
      <c r="K294" s="232">
        <v>3256</v>
      </c>
      <c r="L294" s="231">
        <v>15165</v>
      </c>
      <c r="M294" s="231"/>
      <c r="N294" s="232">
        <v>1666</v>
      </c>
      <c r="O294" s="232">
        <v>15377</v>
      </c>
      <c r="P294" s="232">
        <v>0</v>
      </c>
      <c r="Q294" s="231">
        <v>444</v>
      </c>
      <c r="R294" s="232">
        <f t="shared" si="4"/>
        <v>26283</v>
      </c>
      <c r="S294" s="231"/>
      <c r="T294" s="232">
        <v>12707</v>
      </c>
      <c r="U294" s="233">
        <v>3911</v>
      </c>
      <c r="V294" s="233">
        <v>16617</v>
      </c>
    </row>
    <row r="295" spans="1:22">
      <c r="A295" s="226">
        <v>93101</v>
      </c>
      <c r="B295" s="227" t="s">
        <v>1003</v>
      </c>
      <c r="C295" s="87">
        <v>3.5771000000000002E-3</v>
      </c>
      <c r="D295" s="87">
        <v>3.2972000000000001E-3</v>
      </c>
      <c r="E295" s="231">
        <v>1332692.0400000003</v>
      </c>
      <c r="F295" s="231">
        <v>1479764</v>
      </c>
      <c r="G295" s="231">
        <v>7591805</v>
      </c>
      <c r="H295" s="231"/>
      <c r="I295" s="232">
        <v>142637</v>
      </c>
      <c r="J295" s="232">
        <v>6652841</v>
      </c>
      <c r="K295" s="232">
        <v>519971</v>
      </c>
      <c r="L295" s="231">
        <v>172542</v>
      </c>
      <c r="M295" s="231"/>
      <c r="N295" s="232">
        <v>266025</v>
      </c>
      <c r="O295" s="232">
        <v>2455529</v>
      </c>
      <c r="P295" s="232">
        <v>0</v>
      </c>
      <c r="Q295" s="231">
        <v>0</v>
      </c>
      <c r="R295" s="232">
        <f t="shared" si="4"/>
        <v>4197312</v>
      </c>
      <c r="S295" s="231"/>
      <c r="T295" s="232">
        <v>2029178</v>
      </c>
      <c r="U295" s="233">
        <v>68285</v>
      </c>
      <c r="V295" s="233">
        <v>2097463</v>
      </c>
    </row>
    <row r="296" spans="1:22">
      <c r="A296" s="226">
        <v>93103</v>
      </c>
      <c r="B296" s="227" t="s">
        <v>260</v>
      </c>
      <c r="C296" s="87">
        <v>1.7200000000000001E-5</v>
      </c>
      <c r="D296" s="87">
        <v>0</v>
      </c>
      <c r="E296" s="231">
        <v>5178.82</v>
      </c>
      <c r="F296" s="231">
        <v>0</v>
      </c>
      <c r="G296" s="231">
        <v>36504</v>
      </c>
      <c r="H296" s="231"/>
      <c r="I296" s="232">
        <v>685.85</v>
      </c>
      <c r="J296" s="232">
        <v>31989</v>
      </c>
      <c r="K296" s="232">
        <v>2500</v>
      </c>
      <c r="L296" s="231">
        <v>9253</v>
      </c>
      <c r="M296" s="231"/>
      <c r="N296" s="232">
        <v>1279</v>
      </c>
      <c r="O296" s="232">
        <v>11807</v>
      </c>
      <c r="P296" s="232">
        <v>0</v>
      </c>
      <c r="Q296" s="231">
        <v>0</v>
      </c>
      <c r="R296" s="232">
        <f t="shared" si="4"/>
        <v>20182</v>
      </c>
      <c r="S296" s="231"/>
      <c r="T296" s="232">
        <v>9757</v>
      </c>
      <c r="U296" s="233">
        <v>2535</v>
      </c>
      <c r="V296" s="233">
        <v>12292</v>
      </c>
    </row>
    <row r="297" spans="1:22">
      <c r="A297" s="226">
        <v>93108</v>
      </c>
      <c r="B297" s="227" t="s">
        <v>1004</v>
      </c>
      <c r="C297" s="87">
        <v>2.5661999999999998E-3</v>
      </c>
      <c r="D297" s="87">
        <v>2.4540999999999999E-3</v>
      </c>
      <c r="E297" s="231">
        <v>1060594.6199999999</v>
      </c>
      <c r="F297" s="231">
        <v>1101385</v>
      </c>
      <c r="G297" s="231">
        <v>5446336</v>
      </c>
      <c r="H297" s="231"/>
      <c r="I297" s="232">
        <v>102327</v>
      </c>
      <c r="J297" s="232">
        <v>4772727</v>
      </c>
      <c r="K297" s="232">
        <v>373025</v>
      </c>
      <c r="L297" s="231">
        <v>417043</v>
      </c>
      <c r="M297" s="231"/>
      <c r="N297" s="232">
        <v>190846</v>
      </c>
      <c r="O297" s="232">
        <v>1761589</v>
      </c>
      <c r="P297" s="232">
        <v>0</v>
      </c>
      <c r="Q297" s="231">
        <v>0</v>
      </c>
      <c r="R297" s="232">
        <f t="shared" si="4"/>
        <v>3011138</v>
      </c>
      <c r="S297" s="231"/>
      <c r="T297" s="232">
        <v>1455726</v>
      </c>
      <c r="U297" s="233">
        <v>180256</v>
      </c>
      <c r="V297" s="233">
        <v>1635982</v>
      </c>
    </row>
    <row r="298" spans="1:22">
      <c r="A298" s="226">
        <v>93111</v>
      </c>
      <c r="B298" s="227" t="s">
        <v>1005</v>
      </c>
      <c r="C298" s="87">
        <v>7.08E-5</v>
      </c>
      <c r="D298" s="87">
        <v>7.3700000000000002E-5</v>
      </c>
      <c r="E298" s="231">
        <v>24671.1</v>
      </c>
      <c r="F298" s="231">
        <v>33076</v>
      </c>
      <c r="G298" s="231">
        <v>150261</v>
      </c>
      <c r="H298" s="231"/>
      <c r="I298" s="232">
        <v>2823.15</v>
      </c>
      <c r="J298" s="232">
        <v>131677</v>
      </c>
      <c r="K298" s="232">
        <v>10292</v>
      </c>
      <c r="L298" s="231">
        <v>0</v>
      </c>
      <c r="M298" s="231"/>
      <c r="N298" s="232">
        <v>5265</v>
      </c>
      <c r="O298" s="232">
        <v>48601</v>
      </c>
      <c r="P298" s="232">
        <v>0</v>
      </c>
      <c r="Q298" s="231">
        <v>10981</v>
      </c>
      <c r="R298" s="232">
        <f t="shared" si="4"/>
        <v>83076</v>
      </c>
      <c r="S298" s="231"/>
      <c r="T298" s="232">
        <v>40163</v>
      </c>
      <c r="U298" s="233">
        <v>-3536</v>
      </c>
      <c r="V298" s="233">
        <v>36626</v>
      </c>
    </row>
    <row r="299" spans="1:22">
      <c r="A299" s="226">
        <v>93121</v>
      </c>
      <c r="B299" s="227" t="s">
        <v>1006</v>
      </c>
      <c r="C299" s="87">
        <v>5.8900000000000002E-5</v>
      </c>
      <c r="D299" s="87">
        <v>7.4900000000000005E-5</v>
      </c>
      <c r="E299" s="231">
        <v>22115.179999999997</v>
      </c>
      <c r="F299" s="231">
        <v>33615</v>
      </c>
      <c r="G299" s="231">
        <v>125006</v>
      </c>
      <c r="H299" s="231"/>
      <c r="I299" s="232">
        <v>2349</v>
      </c>
      <c r="J299" s="232">
        <v>109545</v>
      </c>
      <c r="K299" s="232">
        <v>8562</v>
      </c>
      <c r="L299" s="231">
        <v>0</v>
      </c>
      <c r="M299" s="231"/>
      <c r="N299" s="232">
        <v>4380</v>
      </c>
      <c r="O299" s="232">
        <v>40432</v>
      </c>
      <c r="P299" s="232">
        <v>0</v>
      </c>
      <c r="Q299" s="231">
        <v>13122</v>
      </c>
      <c r="R299" s="232">
        <f t="shared" si="4"/>
        <v>69113</v>
      </c>
      <c r="S299" s="231"/>
      <c r="T299" s="232">
        <v>33412</v>
      </c>
      <c r="U299" s="233">
        <v>-4063</v>
      </c>
      <c r="V299" s="233">
        <v>29349</v>
      </c>
    </row>
    <row r="300" spans="1:22">
      <c r="A300" s="226">
        <v>93127</v>
      </c>
      <c r="B300" s="227" t="s">
        <v>1007</v>
      </c>
      <c r="C300" s="87">
        <v>6.8000000000000001E-6</v>
      </c>
      <c r="D300" s="87">
        <v>7.7999999999999999E-6</v>
      </c>
      <c r="E300" s="231">
        <v>2814.9600000000005</v>
      </c>
      <c r="F300" s="231">
        <v>3501</v>
      </c>
      <c r="G300" s="231">
        <v>14432</v>
      </c>
      <c r="H300" s="231"/>
      <c r="I300" s="232">
        <v>271</v>
      </c>
      <c r="J300" s="232">
        <v>12647</v>
      </c>
      <c r="K300" s="232">
        <v>988</v>
      </c>
      <c r="L300" s="231">
        <v>0</v>
      </c>
      <c r="M300" s="231"/>
      <c r="N300" s="232">
        <v>506</v>
      </c>
      <c r="O300" s="232">
        <v>4668</v>
      </c>
      <c r="P300" s="232">
        <v>0</v>
      </c>
      <c r="Q300" s="231">
        <v>1132</v>
      </c>
      <c r="R300" s="232">
        <f t="shared" si="4"/>
        <v>7979</v>
      </c>
      <c r="S300" s="231"/>
      <c r="T300" s="232">
        <v>3857</v>
      </c>
      <c r="U300" s="233">
        <v>-400</v>
      </c>
      <c r="V300" s="233">
        <v>3457</v>
      </c>
    </row>
    <row r="301" spans="1:22">
      <c r="A301" s="226">
        <v>93131</v>
      </c>
      <c r="B301" s="227" t="s">
        <v>1008</v>
      </c>
      <c r="C301" s="87">
        <v>2.3939999999999999E-4</v>
      </c>
      <c r="D301" s="87">
        <v>2.3680000000000001E-4</v>
      </c>
      <c r="E301" s="231">
        <v>88659.549999999988</v>
      </c>
      <c r="F301" s="231">
        <v>106274</v>
      </c>
      <c r="G301" s="231">
        <v>508087</v>
      </c>
      <c r="H301" s="231"/>
      <c r="I301" s="232">
        <v>9546</v>
      </c>
      <c r="J301" s="232">
        <v>445246</v>
      </c>
      <c r="K301" s="232">
        <v>34799</v>
      </c>
      <c r="L301" s="231">
        <v>13305</v>
      </c>
      <c r="M301" s="231"/>
      <c r="N301" s="232">
        <v>17804</v>
      </c>
      <c r="O301" s="232">
        <v>164338</v>
      </c>
      <c r="P301" s="232">
        <v>0</v>
      </c>
      <c r="Q301" s="231">
        <v>6369</v>
      </c>
      <c r="R301" s="232">
        <f t="shared" si="4"/>
        <v>280908</v>
      </c>
      <c r="S301" s="231"/>
      <c r="T301" s="232">
        <v>135804</v>
      </c>
      <c r="U301" s="233">
        <v>3767</v>
      </c>
      <c r="V301" s="233">
        <v>139571</v>
      </c>
    </row>
    <row r="302" spans="1:22">
      <c r="A302" s="226">
        <v>93137</v>
      </c>
      <c r="B302" s="227" t="s">
        <v>1009</v>
      </c>
      <c r="C302" s="87">
        <v>1.9E-6</v>
      </c>
      <c r="D302" s="87">
        <v>2.0999999999999998E-6</v>
      </c>
      <c r="E302" s="231">
        <v>1986.6299999999999</v>
      </c>
      <c r="F302" s="231">
        <v>942</v>
      </c>
      <c r="G302" s="231">
        <v>4032</v>
      </c>
      <c r="H302" s="231"/>
      <c r="I302" s="232">
        <v>75.762500000000003</v>
      </c>
      <c r="J302" s="232">
        <v>3534</v>
      </c>
      <c r="K302" s="232">
        <v>276</v>
      </c>
      <c r="L302" s="231">
        <v>1359</v>
      </c>
      <c r="M302" s="231"/>
      <c r="N302" s="232">
        <v>141</v>
      </c>
      <c r="O302" s="232">
        <v>1304</v>
      </c>
      <c r="P302" s="232">
        <v>0</v>
      </c>
      <c r="Q302" s="231">
        <v>0</v>
      </c>
      <c r="R302" s="232">
        <f t="shared" si="4"/>
        <v>2230</v>
      </c>
      <c r="S302" s="231"/>
      <c r="T302" s="232">
        <v>1078</v>
      </c>
      <c r="U302" s="233">
        <v>401</v>
      </c>
      <c r="V302" s="233">
        <v>1479</v>
      </c>
    </row>
    <row r="303" spans="1:22">
      <c r="A303" s="226">
        <v>93141</v>
      </c>
      <c r="B303" s="227" t="s">
        <v>1010</v>
      </c>
      <c r="C303" s="87">
        <v>4.5500000000000001E-5</v>
      </c>
      <c r="D303" s="87">
        <v>4.3399999999999998E-5</v>
      </c>
      <c r="E303" s="231">
        <v>16495.23</v>
      </c>
      <c r="F303" s="231">
        <v>19478</v>
      </c>
      <c r="G303" s="231">
        <v>96566</v>
      </c>
      <c r="H303" s="231"/>
      <c r="I303" s="232">
        <v>1814.3125</v>
      </c>
      <c r="J303" s="232">
        <v>84623</v>
      </c>
      <c r="K303" s="232">
        <v>6614</v>
      </c>
      <c r="L303" s="231">
        <v>4186.96</v>
      </c>
      <c r="M303" s="231"/>
      <c r="N303" s="232">
        <v>3384</v>
      </c>
      <c r="O303" s="232">
        <v>31234</v>
      </c>
      <c r="P303" s="232">
        <v>0</v>
      </c>
      <c r="Q303" s="231">
        <v>3505</v>
      </c>
      <c r="R303" s="232">
        <f t="shared" si="4"/>
        <v>53389</v>
      </c>
      <c r="S303" s="231"/>
      <c r="T303" s="232">
        <v>25811</v>
      </c>
      <c r="U303" s="233">
        <v>920</v>
      </c>
      <c r="V303" s="233">
        <v>26731</v>
      </c>
    </row>
    <row r="304" spans="1:22">
      <c r="A304" s="226">
        <v>93151</v>
      </c>
      <c r="B304" s="227" t="s">
        <v>1011</v>
      </c>
      <c r="C304" s="87">
        <v>3.6539999999999999E-4</v>
      </c>
      <c r="D304" s="87">
        <v>3.524E-4</v>
      </c>
      <c r="E304" s="231">
        <v>137522.13</v>
      </c>
      <c r="F304" s="231">
        <v>158155</v>
      </c>
      <c r="G304" s="231">
        <v>775501</v>
      </c>
      <c r="H304" s="231"/>
      <c r="I304" s="232">
        <v>14570</v>
      </c>
      <c r="J304" s="232">
        <v>679586</v>
      </c>
      <c r="K304" s="232">
        <v>53115</v>
      </c>
      <c r="L304" s="231">
        <v>5881</v>
      </c>
      <c r="M304" s="231"/>
      <c r="N304" s="232">
        <v>27174</v>
      </c>
      <c r="O304" s="232">
        <v>250832</v>
      </c>
      <c r="P304" s="232">
        <v>0</v>
      </c>
      <c r="Q304" s="231">
        <v>6297</v>
      </c>
      <c r="R304" s="232">
        <f t="shared" si="4"/>
        <v>428754</v>
      </c>
      <c r="S304" s="231"/>
      <c r="T304" s="232">
        <v>207280</v>
      </c>
      <c r="U304" s="233">
        <v>-329</v>
      </c>
      <c r="V304" s="233">
        <v>206951</v>
      </c>
    </row>
    <row r="305" spans="1:22">
      <c r="A305" s="226">
        <v>93157</v>
      </c>
      <c r="B305" s="227" t="s">
        <v>1012</v>
      </c>
      <c r="C305" s="87">
        <v>3.8E-6</v>
      </c>
      <c r="D305" s="87">
        <v>2.3999999999999999E-6</v>
      </c>
      <c r="E305" s="231">
        <v>4368.87</v>
      </c>
      <c r="F305" s="231">
        <v>1077</v>
      </c>
      <c r="G305" s="231">
        <v>8065</v>
      </c>
      <c r="H305" s="231"/>
      <c r="I305" s="232">
        <v>151.52500000000001</v>
      </c>
      <c r="J305" s="232">
        <v>7067</v>
      </c>
      <c r="K305" s="232">
        <v>552</v>
      </c>
      <c r="L305" s="231">
        <v>5676</v>
      </c>
      <c r="M305" s="231"/>
      <c r="N305" s="232">
        <v>283</v>
      </c>
      <c r="O305" s="232">
        <v>2609</v>
      </c>
      <c r="P305" s="232">
        <v>0</v>
      </c>
      <c r="Q305" s="231">
        <v>526</v>
      </c>
      <c r="R305" s="232">
        <f t="shared" si="4"/>
        <v>4458</v>
      </c>
      <c r="S305" s="231"/>
      <c r="T305" s="232">
        <v>2156</v>
      </c>
      <c r="U305" s="233">
        <v>1938</v>
      </c>
      <c r="V305" s="233">
        <v>4094</v>
      </c>
    </row>
    <row r="306" spans="1:22">
      <c r="A306" s="226">
        <v>93161</v>
      </c>
      <c r="B306" s="227" t="s">
        <v>1013</v>
      </c>
      <c r="C306" s="87">
        <v>6.2500000000000001E-5</v>
      </c>
      <c r="D306" s="87">
        <v>7.4400000000000006E-5</v>
      </c>
      <c r="E306" s="231">
        <v>37835.030000000006</v>
      </c>
      <c r="F306" s="231">
        <v>33390</v>
      </c>
      <c r="G306" s="231">
        <v>132646</v>
      </c>
      <c r="H306" s="231"/>
      <c r="I306" s="232">
        <v>2492.1875</v>
      </c>
      <c r="J306" s="232">
        <v>116240</v>
      </c>
      <c r="K306" s="232">
        <v>9085.0625</v>
      </c>
      <c r="L306" s="231">
        <v>14075</v>
      </c>
      <c r="M306" s="231"/>
      <c r="N306" s="232">
        <v>4648.0625</v>
      </c>
      <c r="O306" s="232">
        <v>42903.625</v>
      </c>
      <c r="P306" s="232">
        <v>0</v>
      </c>
      <c r="Q306" s="231">
        <v>0</v>
      </c>
      <c r="R306" s="232">
        <f t="shared" si="4"/>
        <v>73336.375</v>
      </c>
      <c r="S306" s="231"/>
      <c r="T306" s="232">
        <v>35454</v>
      </c>
      <c r="U306" s="233">
        <v>6018</v>
      </c>
      <c r="V306" s="233">
        <v>41472</v>
      </c>
    </row>
    <row r="307" spans="1:22">
      <c r="A307" s="226">
        <v>93171</v>
      </c>
      <c r="B307" s="227" t="s">
        <v>1014</v>
      </c>
      <c r="C307" s="87">
        <v>5.8000000000000004E-6</v>
      </c>
      <c r="D307" s="87">
        <v>6.1999999999999999E-6</v>
      </c>
      <c r="E307" s="231">
        <v>3823.8999999999996</v>
      </c>
      <c r="F307" s="231">
        <v>2783</v>
      </c>
      <c r="G307" s="231">
        <v>12310</v>
      </c>
      <c r="H307" s="231"/>
      <c r="I307" s="232">
        <v>231.27500000000001</v>
      </c>
      <c r="J307" s="232">
        <v>10787</v>
      </c>
      <c r="K307" s="232">
        <v>843</v>
      </c>
      <c r="L307" s="231">
        <v>1752</v>
      </c>
      <c r="M307" s="231"/>
      <c r="N307" s="232">
        <v>431</v>
      </c>
      <c r="O307" s="232">
        <v>3981</v>
      </c>
      <c r="P307" s="232">
        <v>0</v>
      </c>
      <c r="Q307" s="231">
        <v>0</v>
      </c>
      <c r="R307" s="232">
        <f t="shared" si="4"/>
        <v>6806</v>
      </c>
      <c r="S307" s="231"/>
      <c r="T307" s="232">
        <v>3290</v>
      </c>
      <c r="U307" s="233">
        <v>591</v>
      </c>
      <c r="V307" s="233">
        <v>3881</v>
      </c>
    </row>
    <row r="308" spans="1:22">
      <c r="A308" s="226">
        <v>93181</v>
      </c>
      <c r="B308" s="227" t="s">
        <v>1015</v>
      </c>
      <c r="C308" s="87">
        <v>1.1E-5</v>
      </c>
      <c r="D308" s="87">
        <v>1.0499999999999999E-5</v>
      </c>
      <c r="E308" s="231">
        <v>4374.0300000000007</v>
      </c>
      <c r="F308" s="231">
        <v>4712</v>
      </c>
      <c r="G308" s="231">
        <v>23346</v>
      </c>
      <c r="H308" s="231"/>
      <c r="I308" s="232">
        <v>438.625</v>
      </c>
      <c r="J308" s="232">
        <v>20458</v>
      </c>
      <c r="K308" s="232">
        <v>1599</v>
      </c>
      <c r="L308" s="231">
        <v>743</v>
      </c>
      <c r="M308" s="231"/>
      <c r="N308" s="232">
        <v>818</v>
      </c>
      <c r="O308" s="232">
        <v>7551</v>
      </c>
      <c r="P308" s="232">
        <v>0</v>
      </c>
      <c r="Q308" s="231">
        <v>44</v>
      </c>
      <c r="R308" s="232">
        <f t="shared" si="4"/>
        <v>12907</v>
      </c>
      <c r="S308" s="231"/>
      <c r="T308" s="232">
        <v>6240</v>
      </c>
      <c r="U308" s="233">
        <v>321</v>
      </c>
      <c r="V308" s="233">
        <v>6561</v>
      </c>
    </row>
    <row r="309" spans="1:22">
      <c r="A309" s="226">
        <v>93191</v>
      </c>
      <c r="B309" s="227" t="s">
        <v>1016</v>
      </c>
      <c r="C309" s="87">
        <v>3.3000000000000003E-5</v>
      </c>
      <c r="D309" s="87">
        <v>3.65E-5</v>
      </c>
      <c r="E309" s="231">
        <v>16019.919999999998</v>
      </c>
      <c r="F309" s="231">
        <v>16381</v>
      </c>
      <c r="G309" s="231">
        <v>70037</v>
      </c>
      <c r="H309" s="231"/>
      <c r="I309" s="232">
        <v>1315.875</v>
      </c>
      <c r="J309" s="232">
        <v>61375</v>
      </c>
      <c r="K309" s="232">
        <v>4797</v>
      </c>
      <c r="L309" s="231">
        <v>2648</v>
      </c>
      <c r="M309" s="231"/>
      <c r="N309" s="232">
        <v>2454</v>
      </c>
      <c r="O309" s="232">
        <v>22653</v>
      </c>
      <c r="P309" s="232">
        <v>0</v>
      </c>
      <c r="Q309" s="231">
        <v>1301.46</v>
      </c>
      <c r="R309" s="232">
        <f t="shared" si="4"/>
        <v>38722</v>
      </c>
      <c r="S309" s="231"/>
      <c r="T309" s="232">
        <v>18720</v>
      </c>
      <c r="U309" s="233">
        <v>280</v>
      </c>
      <c r="V309" s="233">
        <v>19000</v>
      </c>
    </row>
    <row r="310" spans="1:22">
      <c r="A310" s="226">
        <v>93201</v>
      </c>
      <c r="B310" s="227" t="s">
        <v>1017</v>
      </c>
      <c r="C310" s="87">
        <v>1.5819699999999999E-2</v>
      </c>
      <c r="D310" s="87">
        <v>1.50364E-2</v>
      </c>
      <c r="E310" s="231">
        <v>6525566.7400000002</v>
      </c>
      <c r="F310" s="231">
        <v>6748246</v>
      </c>
      <c r="G310" s="231">
        <v>33574703</v>
      </c>
      <c r="H310" s="231"/>
      <c r="I310" s="232">
        <v>630811</v>
      </c>
      <c r="J310" s="232">
        <v>29422142</v>
      </c>
      <c r="K310" s="232">
        <v>2299567</v>
      </c>
      <c r="L310" s="231">
        <v>1259115</v>
      </c>
      <c r="M310" s="231"/>
      <c r="N310" s="232">
        <v>1176495</v>
      </c>
      <c r="O310" s="232">
        <v>10859560</v>
      </c>
      <c r="P310" s="232">
        <v>0</v>
      </c>
      <c r="Q310" s="231">
        <v>0</v>
      </c>
      <c r="R310" s="232">
        <f t="shared" si="4"/>
        <v>18562582</v>
      </c>
      <c r="S310" s="231"/>
      <c r="T310" s="232">
        <v>8974025</v>
      </c>
      <c r="U310" s="233">
        <v>449569</v>
      </c>
      <c r="V310" s="233">
        <v>9423595</v>
      </c>
    </row>
    <row r="311" spans="1:22">
      <c r="A311" s="226">
        <v>93202</v>
      </c>
      <c r="B311" s="227" t="s">
        <v>1018</v>
      </c>
      <c r="C311" s="87">
        <v>0</v>
      </c>
      <c r="D311" s="87">
        <v>2.076E-4</v>
      </c>
      <c r="E311" s="231">
        <v>0</v>
      </c>
      <c r="F311" s="231">
        <v>93170</v>
      </c>
      <c r="G311" s="231">
        <v>0</v>
      </c>
      <c r="H311" s="231"/>
      <c r="I311" s="232">
        <v>0</v>
      </c>
      <c r="J311" s="232">
        <v>0</v>
      </c>
      <c r="K311" s="232">
        <v>0</v>
      </c>
      <c r="L311" s="231">
        <v>0</v>
      </c>
      <c r="M311" s="231"/>
      <c r="N311" s="232">
        <v>0</v>
      </c>
      <c r="O311" s="232">
        <v>0</v>
      </c>
      <c r="P311" s="232">
        <v>0</v>
      </c>
      <c r="Q311" s="231">
        <v>322063</v>
      </c>
      <c r="R311" s="232">
        <f t="shared" si="4"/>
        <v>0</v>
      </c>
      <c r="S311" s="231"/>
      <c r="T311" s="232">
        <v>0</v>
      </c>
      <c r="U311" s="233">
        <v>-109544</v>
      </c>
      <c r="V311" s="233">
        <v>-109544</v>
      </c>
    </row>
    <row r="312" spans="1:22">
      <c r="A312" s="226">
        <v>93204</v>
      </c>
      <c r="B312" s="227" t="s">
        <v>1019</v>
      </c>
      <c r="C312" s="87">
        <v>2.9480000000000001E-4</v>
      </c>
      <c r="D312" s="87">
        <v>3.168E-4</v>
      </c>
      <c r="E312" s="231">
        <v>128269.05999999998</v>
      </c>
      <c r="F312" s="231">
        <v>142178</v>
      </c>
      <c r="G312" s="231">
        <v>625664</v>
      </c>
      <c r="H312" s="231"/>
      <c r="I312" s="232">
        <v>11755.15</v>
      </c>
      <c r="J312" s="232">
        <v>548281</v>
      </c>
      <c r="K312" s="232">
        <v>42852</v>
      </c>
      <c r="L312" s="231">
        <v>6159</v>
      </c>
      <c r="M312" s="231"/>
      <c r="N312" s="232">
        <v>21924</v>
      </c>
      <c r="O312" s="232">
        <v>202368</v>
      </c>
      <c r="P312" s="232">
        <v>0</v>
      </c>
      <c r="Q312" s="231">
        <v>15903</v>
      </c>
      <c r="R312" s="232">
        <f t="shared" si="4"/>
        <v>345913</v>
      </c>
      <c r="S312" s="231"/>
      <c r="T312" s="232">
        <v>167231</v>
      </c>
      <c r="U312" s="233">
        <v>-4266</v>
      </c>
      <c r="V312" s="233">
        <v>162965</v>
      </c>
    </row>
    <row r="313" spans="1:22">
      <c r="A313" s="226">
        <v>93209</v>
      </c>
      <c r="B313" s="227" t="s">
        <v>1020</v>
      </c>
      <c r="C313" s="87">
        <v>4.5113999999999996E-3</v>
      </c>
      <c r="D313" s="87">
        <v>3.4578999999999999E-3</v>
      </c>
      <c r="E313" s="231">
        <v>1625225.44</v>
      </c>
      <c r="F313" s="231">
        <v>1551885</v>
      </c>
      <c r="G313" s="231">
        <v>9574702</v>
      </c>
      <c r="H313" s="231"/>
      <c r="I313" s="232">
        <v>179892</v>
      </c>
      <c r="J313" s="232">
        <v>8390491</v>
      </c>
      <c r="K313" s="232">
        <v>655782</v>
      </c>
      <c r="L313" s="231">
        <v>1306118</v>
      </c>
      <c r="M313" s="231"/>
      <c r="N313" s="232">
        <v>335508</v>
      </c>
      <c r="O313" s="232">
        <v>3096887</v>
      </c>
      <c r="P313" s="232">
        <v>0</v>
      </c>
      <c r="Q313" s="231">
        <v>0</v>
      </c>
      <c r="R313" s="232">
        <f t="shared" si="4"/>
        <v>5293604</v>
      </c>
      <c r="S313" s="231"/>
      <c r="T313" s="232">
        <v>2559177</v>
      </c>
      <c r="U313" s="233">
        <v>534418</v>
      </c>
      <c r="V313" s="233">
        <v>3093596</v>
      </c>
    </row>
    <row r="314" spans="1:22">
      <c r="A314" s="226">
        <v>93211</v>
      </c>
      <c r="B314" s="227" t="s">
        <v>1021</v>
      </c>
      <c r="C314" s="87">
        <v>2.0456800000000001E-2</v>
      </c>
      <c r="D314" s="87">
        <v>2.1372599999999999E-2</v>
      </c>
      <c r="E314" s="231">
        <v>8152807.0799999982</v>
      </c>
      <c r="F314" s="231">
        <v>9591895</v>
      </c>
      <c r="G314" s="231">
        <v>43416183</v>
      </c>
      <c r="H314" s="231"/>
      <c r="I314" s="232">
        <v>815714.9</v>
      </c>
      <c r="J314" s="232">
        <v>38046416</v>
      </c>
      <c r="K314" s="232">
        <v>2973621</v>
      </c>
      <c r="L314" s="231">
        <v>0</v>
      </c>
      <c r="M314" s="231"/>
      <c r="N314" s="232">
        <v>1521352</v>
      </c>
      <c r="O314" s="232">
        <v>14042734</v>
      </c>
      <c r="P314" s="232">
        <v>0</v>
      </c>
      <c r="Q314" s="231">
        <v>1405603</v>
      </c>
      <c r="R314" s="232">
        <f t="shared" si="4"/>
        <v>24003682</v>
      </c>
      <c r="S314" s="231"/>
      <c r="T314" s="232">
        <v>11604508</v>
      </c>
      <c r="U314" s="233">
        <v>-488705</v>
      </c>
      <c r="V314" s="233">
        <v>11115804</v>
      </c>
    </row>
    <row r="315" spans="1:22">
      <c r="A315" s="226">
        <v>93212</v>
      </c>
      <c r="B315" s="227" t="s">
        <v>1022</v>
      </c>
      <c r="C315" s="87">
        <v>2.052E-4</v>
      </c>
      <c r="D315" s="87">
        <v>2.129E-4</v>
      </c>
      <c r="E315" s="231">
        <v>169265.99</v>
      </c>
      <c r="F315" s="231">
        <v>95548</v>
      </c>
      <c r="G315" s="231">
        <v>435503</v>
      </c>
      <c r="H315" s="231"/>
      <c r="I315" s="232">
        <v>8182.35</v>
      </c>
      <c r="J315" s="232">
        <v>381640</v>
      </c>
      <c r="K315" s="232">
        <v>29828</v>
      </c>
      <c r="L315" s="231">
        <v>106395</v>
      </c>
      <c r="M315" s="231"/>
      <c r="N315" s="232">
        <v>15261</v>
      </c>
      <c r="O315" s="232">
        <v>140861</v>
      </c>
      <c r="P315" s="232">
        <v>0</v>
      </c>
      <c r="Q315" s="231">
        <v>0</v>
      </c>
      <c r="R315" s="232">
        <f t="shared" si="4"/>
        <v>240779</v>
      </c>
      <c r="S315" s="231"/>
      <c r="T315" s="232">
        <v>116404</v>
      </c>
      <c r="U315" s="233">
        <v>32351</v>
      </c>
      <c r="V315" s="233">
        <v>148755</v>
      </c>
    </row>
    <row r="316" spans="1:22">
      <c r="A316" s="226">
        <v>93219</v>
      </c>
      <c r="B316" s="227" t="s">
        <v>1023</v>
      </c>
      <c r="C316" s="87">
        <v>2.286E-4</v>
      </c>
      <c r="D316" s="87">
        <v>2.41E-4</v>
      </c>
      <c r="E316" s="231">
        <v>96646.59</v>
      </c>
      <c r="F316" s="231">
        <v>108159</v>
      </c>
      <c r="G316" s="231">
        <v>485166</v>
      </c>
      <c r="H316" s="231"/>
      <c r="I316" s="232">
        <v>9115</v>
      </c>
      <c r="J316" s="232">
        <v>425160</v>
      </c>
      <c r="K316" s="232">
        <v>33230</v>
      </c>
      <c r="L316" s="231">
        <v>243</v>
      </c>
      <c r="M316" s="231"/>
      <c r="N316" s="232">
        <v>17001</v>
      </c>
      <c r="O316" s="232">
        <v>156924</v>
      </c>
      <c r="P316" s="232">
        <v>0</v>
      </c>
      <c r="Q316" s="231">
        <v>13406</v>
      </c>
      <c r="R316" s="232">
        <f t="shared" si="4"/>
        <v>268236</v>
      </c>
      <c r="S316" s="231"/>
      <c r="T316" s="232">
        <v>129678</v>
      </c>
      <c r="U316" s="233">
        <v>-4190</v>
      </c>
      <c r="V316" s="233">
        <v>125487</v>
      </c>
    </row>
    <row r="317" spans="1:22">
      <c r="A317" s="226">
        <v>93301</v>
      </c>
      <c r="B317" s="227" t="s">
        <v>1024</v>
      </c>
      <c r="C317" s="87">
        <v>2.5330999999999999E-3</v>
      </c>
      <c r="D317" s="87">
        <v>2.4084000000000002E-3</v>
      </c>
      <c r="E317" s="231">
        <v>1037164.56</v>
      </c>
      <c r="F317" s="231">
        <v>1080875</v>
      </c>
      <c r="G317" s="231">
        <v>5376087</v>
      </c>
      <c r="H317" s="231"/>
      <c r="I317" s="232">
        <v>101007</v>
      </c>
      <c r="J317" s="232">
        <v>4711166</v>
      </c>
      <c r="K317" s="232">
        <v>368214</v>
      </c>
      <c r="L317" s="231">
        <v>63934</v>
      </c>
      <c r="M317" s="231"/>
      <c r="N317" s="232">
        <v>188384</v>
      </c>
      <c r="O317" s="232">
        <v>1738867</v>
      </c>
      <c r="P317" s="232">
        <v>0</v>
      </c>
      <c r="Q317" s="231">
        <v>85549</v>
      </c>
      <c r="R317" s="232">
        <f t="shared" si="4"/>
        <v>2972299</v>
      </c>
      <c r="S317" s="231"/>
      <c r="T317" s="232">
        <v>1436949</v>
      </c>
      <c r="U317" s="233">
        <v>-17290</v>
      </c>
      <c r="V317" s="233">
        <v>1419659</v>
      </c>
    </row>
    <row r="318" spans="1:22">
      <c r="A318" s="226">
        <v>93304</v>
      </c>
      <c r="B318" s="227" t="s">
        <v>1025</v>
      </c>
      <c r="C318" s="87">
        <v>3.4400000000000003E-5</v>
      </c>
      <c r="D318" s="87">
        <v>3.3399999999999999E-5</v>
      </c>
      <c r="E318" s="231">
        <v>16338.839999999998</v>
      </c>
      <c r="F318" s="231">
        <v>14990</v>
      </c>
      <c r="G318" s="231">
        <v>73008</v>
      </c>
      <c r="H318" s="231"/>
      <c r="I318" s="232">
        <v>1371.7</v>
      </c>
      <c r="J318" s="232">
        <v>63979</v>
      </c>
      <c r="K318" s="232">
        <v>5000</v>
      </c>
      <c r="L318" s="231">
        <v>13604</v>
      </c>
      <c r="M318" s="231"/>
      <c r="N318" s="232">
        <v>2558</v>
      </c>
      <c r="O318" s="232">
        <v>23614</v>
      </c>
      <c r="P318" s="232">
        <v>0</v>
      </c>
      <c r="Q318" s="231">
        <v>0</v>
      </c>
      <c r="R318" s="232">
        <f t="shared" si="4"/>
        <v>40365</v>
      </c>
      <c r="S318" s="231"/>
      <c r="T318" s="232">
        <v>19514</v>
      </c>
      <c r="U318" s="233">
        <v>4940</v>
      </c>
      <c r="V318" s="233">
        <v>24454</v>
      </c>
    </row>
    <row r="319" spans="1:22">
      <c r="A319" s="226">
        <v>93305</v>
      </c>
      <c r="B319" s="227" t="s">
        <v>1026</v>
      </c>
      <c r="C319" s="87">
        <v>4.9400000000000001E-5</v>
      </c>
      <c r="D319" s="87">
        <v>5.13E-5</v>
      </c>
      <c r="E319" s="231">
        <v>18489</v>
      </c>
      <c r="F319" s="231">
        <v>23023</v>
      </c>
      <c r="G319" s="231">
        <v>104843</v>
      </c>
      <c r="H319" s="231"/>
      <c r="I319" s="232">
        <v>1969.825</v>
      </c>
      <c r="J319" s="232">
        <v>91876</v>
      </c>
      <c r="K319" s="232">
        <v>7181</v>
      </c>
      <c r="L319" s="231">
        <v>0</v>
      </c>
      <c r="M319" s="231"/>
      <c r="N319" s="232">
        <v>3674</v>
      </c>
      <c r="O319" s="232">
        <v>33911</v>
      </c>
      <c r="P319" s="232">
        <v>0</v>
      </c>
      <c r="Q319" s="231">
        <v>3536</v>
      </c>
      <c r="R319" s="232">
        <f t="shared" si="4"/>
        <v>57965</v>
      </c>
      <c r="S319" s="231"/>
      <c r="T319" s="232">
        <v>28023</v>
      </c>
      <c r="U319" s="233">
        <v>-1124</v>
      </c>
      <c r="V319" s="233">
        <v>26899</v>
      </c>
    </row>
    <row r="320" spans="1:22">
      <c r="A320" s="226">
        <v>93309</v>
      </c>
      <c r="B320" s="227" t="s">
        <v>1027</v>
      </c>
      <c r="C320" s="87">
        <v>1.716E-4</v>
      </c>
      <c r="D320" s="87">
        <v>1.5359999999999999E-4</v>
      </c>
      <c r="E320" s="231">
        <v>79731.47</v>
      </c>
      <c r="F320" s="231">
        <v>68935</v>
      </c>
      <c r="G320" s="231">
        <v>364193</v>
      </c>
      <c r="H320" s="231"/>
      <c r="I320" s="232">
        <v>6842.55</v>
      </c>
      <c r="J320" s="232">
        <v>319149</v>
      </c>
      <c r="K320" s="232">
        <v>24944</v>
      </c>
      <c r="L320" s="231">
        <v>23583</v>
      </c>
      <c r="M320" s="231"/>
      <c r="N320" s="232">
        <v>12762</v>
      </c>
      <c r="O320" s="232">
        <v>117796</v>
      </c>
      <c r="P320" s="232">
        <v>0</v>
      </c>
      <c r="Q320" s="231">
        <v>1972</v>
      </c>
      <c r="R320" s="232">
        <f t="shared" si="4"/>
        <v>201353</v>
      </c>
      <c r="S320" s="231"/>
      <c r="T320" s="232">
        <v>97343</v>
      </c>
      <c r="U320" s="233">
        <v>5745</v>
      </c>
      <c r="V320" s="233">
        <v>103088</v>
      </c>
    </row>
    <row r="321" spans="1:22">
      <c r="A321" s="226">
        <v>93311</v>
      </c>
      <c r="B321" s="227" t="s">
        <v>1028</v>
      </c>
      <c r="C321" s="87">
        <v>1.1567000000000001E-3</v>
      </c>
      <c r="D321" s="87">
        <v>1.2727000000000001E-3</v>
      </c>
      <c r="E321" s="231">
        <v>452858.55</v>
      </c>
      <c r="F321" s="231">
        <v>571180</v>
      </c>
      <c r="G321" s="231">
        <v>2454905</v>
      </c>
      <c r="H321" s="231"/>
      <c r="I321" s="232">
        <v>46123</v>
      </c>
      <c r="J321" s="232">
        <v>2151279</v>
      </c>
      <c r="K321" s="232">
        <v>168139</v>
      </c>
      <c r="L321" s="231">
        <v>0</v>
      </c>
      <c r="M321" s="231"/>
      <c r="N321" s="232">
        <v>86023</v>
      </c>
      <c r="O321" s="232">
        <v>794026</v>
      </c>
      <c r="P321" s="232">
        <v>0</v>
      </c>
      <c r="Q321" s="231">
        <v>121847</v>
      </c>
      <c r="R321" s="232">
        <f t="shared" si="4"/>
        <v>1357253</v>
      </c>
      <c r="S321" s="231"/>
      <c r="T321" s="232">
        <v>656160</v>
      </c>
      <c r="U321" s="233">
        <v>-38102</v>
      </c>
      <c r="V321" s="233">
        <v>618058</v>
      </c>
    </row>
    <row r="322" spans="1:22">
      <c r="A322" s="226">
        <v>93317</v>
      </c>
      <c r="B322" s="227" t="s">
        <v>1029</v>
      </c>
      <c r="C322" s="87">
        <v>4.8099999999999997E-5</v>
      </c>
      <c r="D322" s="87">
        <v>4.6600000000000001E-5</v>
      </c>
      <c r="E322" s="231">
        <v>19408.619999999995</v>
      </c>
      <c r="F322" s="231">
        <v>20914</v>
      </c>
      <c r="G322" s="231">
        <v>102084</v>
      </c>
      <c r="H322" s="231"/>
      <c r="I322" s="232">
        <v>1918</v>
      </c>
      <c r="J322" s="232">
        <v>89458</v>
      </c>
      <c r="K322" s="232">
        <v>6992</v>
      </c>
      <c r="L322" s="231">
        <v>606</v>
      </c>
      <c r="M322" s="231"/>
      <c r="N322" s="232">
        <v>3577</v>
      </c>
      <c r="O322" s="232">
        <v>33019</v>
      </c>
      <c r="P322" s="232">
        <v>0</v>
      </c>
      <c r="Q322" s="231">
        <v>557</v>
      </c>
      <c r="R322" s="232">
        <f t="shared" si="4"/>
        <v>56439</v>
      </c>
      <c r="S322" s="231"/>
      <c r="T322" s="232">
        <v>27286</v>
      </c>
      <c r="U322" s="233">
        <v>-115</v>
      </c>
      <c r="V322" s="233">
        <v>27171</v>
      </c>
    </row>
    <row r="323" spans="1:22">
      <c r="A323" s="226">
        <v>93321</v>
      </c>
      <c r="B323" s="227" t="s">
        <v>1030</v>
      </c>
      <c r="C323" s="87">
        <v>7.4706E-3</v>
      </c>
      <c r="D323" s="87">
        <v>7.7070000000000003E-3</v>
      </c>
      <c r="E323" s="231">
        <v>2840093.51</v>
      </c>
      <c r="F323" s="231">
        <v>3458855</v>
      </c>
      <c r="G323" s="231">
        <v>15855116</v>
      </c>
      <c r="H323" s="231"/>
      <c r="I323" s="232">
        <v>297890</v>
      </c>
      <c r="J323" s="232">
        <v>13894136</v>
      </c>
      <c r="K323" s="232">
        <v>1085934</v>
      </c>
      <c r="L323" s="231">
        <v>0</v>
      </c>
      <c r="M323" s="231"/>
      <c r="N323" s="232">
        <v>555581</v>
      </c>
      <c r="O323" s="232">
        <v>5128253</v>
      </c>
      <c r="P323" s="232">
        <v>0</v>
      </c>
      <c r="Q323" s="231">
        <v>746070</v>
      </c>
      <c r="R323" s="232">
        <f t="shared" si="4"/>
        <v>8765883</v>
      </c>
      <c r="S323" s="231"/>
      <c r="T323" s="232">
        <v>4237840</v>
      </c>
      <c r="U323" s="233">
        <v>-276901</v>
      </c>
      <c r="V323" s="233">
        <v>3960939</v>
      </c>
    </row>
    <row r="324" spans="1:22">
      <c r="A324" s="226">
        <v>93323</v>
      </c>
      <c r="B324" s="227" t="s">
        <v>1031</v>
      </c>
      <c r="C324" s="87">
        <v>1.0200000000000001E-5</v>
      </c>
      <c r="D324" s="87">
        <v>1.4600000000000001E-5</v>
      </c>
      <c r="E324" s="231">
        <v>5325.71</v>
      </c>
      <c r="F324" s="231">
        <v>6552</v>
      </c>
      <c r="G324" s="231">
        <v>21648</v>
      </c>
      <c r="H324" s="231"/>
      <c r="I324" s="232">
        <v>406.72500000000002</v>
      </c>
      <c r="J324" s="232">
        <v>18970</v>
      </c>
      <c r="K324" s="232">
        <v>1483</v>
      </c>
      <c r="L324" s="231">
        <v>2836</v>
      </c>
      <c r="M324" s="231"/>
      <c r="N324" s="232">
        <v>759</v>
      </c>
      <c r="O324" s="232">
        <v>7002</v>
      </c>
      <c r="P324" s="232">
        <v>0</v>
      </c>
      <c r="Q324" s="231">
        <v>1485</v>
      </c>
      <c r="R324" s="232">
        <f t="shared" si="4"/>
        <v>11968</v>
      </c>
      <c r="S324" s="231"/>
      <c r="T324" s="232">
        <v>5786</v>
      </c>
      <c r="U324" s="233">
        <v>784</v>
      </c>
      <c r="V324" s="233">
        <v>6570</v>
      </c>
    </row>
    <row r="325" spans="1:22">
      <c r="A325" s="226">
        <v>93331</v>
      </c>
      <c r="B325" s="227" t="s">
        <v>1032</v>
      </c>
      <c r="C325" s="87">
        <v>1.3090000000000001E-4</v>
      </c>
      <c r="D325" s="87">
        <v>1.1909999999999999E-4</v>
      </c>
      <c r="E325" s="231">
        <v>46762.55</v>
      </c>
      <c r="F325" s="231">
        <v>53451</v>
      </c>
      <c r="G325" s="231">
        <v>277814</v>
      </c>
      <c r="H325" s="231"/>
      <c r="I325" s="232">
        <v>5220</v>
      </c>
      <c r="J325" s="232">
        <v>243453</v>
      </c>
      <c r="K325" s="232">
        <v>19028</v>
      </c>
      <c r="L325" s="231">
        <v>4668</v>
      </c>
      <c r="M325" s="231"/>
      <c r="N325" s="232">
        <v>9735</v>
      </c>
      <c r="O325" s="232">
        <v>89857</v>
      </c>
      <c r="P325" s="232">
        <v>0</v>
      </c>
      <c r="Q325" s="231">
        <v>9208</v>
      </c>
      <c r="R325" s="232">
        <f t="shared" si="4"/>
        <v>153596</v>
      </c>
      <c r="S325" s="231"/>
      <c r="T325" s="232">
        <v>74256</v>
      </c>
      <c r="U325" s="233">
        <v>-1109</v>
      </c>
      <c r="V325" s="233">
        <v>73147</v>
      </c>
    </row>
    <row r="326" spans="1:22">
      <c r="A326" s="226">
        <v>93333</v>
      </c>
      <c r="B326" s="227" t="s">
        <v>1033</v>
      </c>
      <c r="C326" s="87">
        <v>1.9990000000000001E-4</v>
      </c>
      <c r="D326" s="87">
        <v>2.1479999999999999E-4</v>
      </c>
      <c r="E326" s="231">
        <v>201284.12</v>
      </c>
      <c r="F326" s="231">
        <v>96401</v>
      </c>
      <c r="G326" s="231">
        <v>424255</v>
      </c>
      <c r="H326" s="231"/>
      <c r="I326" s="232">
        <v>7971</v>
      </c>
      <c r="J326" s="232">
        <v>371782</v>
      </c>
      <c r="K326" s="232">
        <v>29058</v>
      </c>
      <c r="L326" s="231">
        <v>178353</v>
      </c>
      <c r="M326" s="231"/>
      <c r="N326" s="232">
        <v>14866</v>
      </c>
      <c r="O326" s="232">
        <v>137223</v>
      </c>
      <c r="P326" s="232">
        <v>0</v>
      </c>
      <c r="Q326" s="231">
        <v>0</v>
      </c>
      <c r="R326" s="232">
        <f t="shared" si="4"/>
        <v>234559</v>
      </c>
      <c r="S326" s="231"/>
      <c r="T326" s="232">
        <v>113397</v>
      </c>
      <c r="U326" s="233">
        <v>56479</v>
      </c>
      <c r="V326" s="233">
        <v>169876</v>
      </c>
    </row>
    <row r="327" spans="1:22">
      <c r="A327" s="226">
        <v>93341</v>
      </c>
      <c r="B327" s="227" t="s">
        <v>1034</v>
      </c>
      <c r="C327" s="87">
        <v>2.73E-5</v>
      </c>
      <c r="D327" s="87">
        <v>2.6699999999999998E-5</v>
      </c>
      <c r="E327" s="231">
        <v>12880.649999999998</v>
      </c>
      <c r="F327" s="231">
        <v>11983</v>
      </c>
      <c r="G327" s="231">
        <v>57940</v>
      </c>
      <c r="H327" s="231"/>
      <c r="I327" s="232">
        <v>1089</v>
      </c>
      <c r="J327" s="232">
        <v>50774</v>
      </c>
      <c r="K327" s="232">
        <v>3968</v>
      </c>
      <c r="L327" s="231">
        <v>2789</v>
      </c>
      <c r="M327" s="231"/>
      <c r="N327" s="232">
        <v>2030</v>
      </c>
      <c r="O327" s="232">
        <v>18740</v>
      </c>
      <c r="P327" s="232">
        <v>0</v>
      </c>
      <c r="Q327" s="231">
        <v>0</v>
      </c>
      <c r="R327" s="232">
        <f t="shared" si="4"/>
        <v>32034</v>
      </c>
      <c r="S327" s="231"/>
      <c r="T327" s="232">
        <v>15486</v>
      </c>
      <c r="U327" s="233">
        <v>923</v>
      </c>
      <c r="V327" s="233">
        <v>16410</v>
      </c>
    </row>
    <row r="328" spans="1:22">
      <c r="A328" s="226">
        <v>93351</v>
      </c>
      <c r="B328" s="227" t="s">
        <v>1035</v>
      </c>
      <c r="C328" s="87">
        <v>1.5999999999999999E-5</v>
      </c>
      <c r="D328" s="87">
        <v>5.4999999999999999E-6</v>
      </c>
      <c r="E328" s="231">
        <v>10006.02</v>
      </c>
      <c r="F328" s="231">
        <v>2468</v>
      </c>
      <c r="G328" s="231">
        <v>33957.360000000001</v>
      </c>
      <c r="H328" s="231"/>
      <c r="I328" s="232">
        <v>638</v>
      </c>
      <c r="J328" s="232">
        <v>29757</v>
      </c>
      <c r="K328" s="232">
        <v>2326</v>
      </c>
      <c r="L328" s="231">
        <v>8409</v>
      </c>
      <c r="M328" s="231"/>
      <c r="N328" s="232">
        <v>1190</v>
      </c>
      <c r="O328" s="232">
        <v>10983</v>
      </c>
      <c r="P328" s="232">
        <v>0</v>
      </c>
      <c r="Q328" s="231">
        <v>6601</v>
      </c>
      <c r="R328" s="232">
        <f t="shared" si="4"/>
        <v>18774</v>
      </c>
      <c r="S328" s="231"/>
      <c r="T328" s="232">
        <v>9076</v>
      </c>
      <c r="U328" s="233">
        <v>-253</v>
      </c>
      <c r="V328" s="233">
        <v>8823</v>
      </c>
    </row>
    <row r="329" spans="1:22">
      <c r="A329" s="226">
        <v>93401</v>
      </c>
      <c r="B329" s="227" t="s">
        <v>1036</v>
      </c>
      <c r="C329" s="87">
        <v>1.37997E-2</v>
      </c>
      <c r="D329" s="87">
        <v>1.4001899999999999E-2</v>
      </c>
      <c r="E329" s="231">
        <v>5646375.2899999991</v>
      </c>
      <c r="F329" s="231">
        <v>6283969</v>
      </c>
      <c r="G329" s="231">
        <v>29287586</v>
      </c>
      <c r="H329" s="231"/>
      <c r="I329" s="232">
        <v>550263</v>
      </c>
      <c r="J329" s="232">
        <v>25665262</v>
      </c>
      <c r="K329" s="232">
        <v>2005938</v>
      </c>
      <c r="L329" s="231">
        <v>111475</v>
      </c>
      <c r="M329" s="231"/>
      <c r="N329" s="232">
        <v>1026270</v>
      </c>
      <c r="O329" s="232">
        <v>9472914</v>
      </c>
      <c r="P329" s="232">
        <v>0</v>
      </c>
      <c r="Q329" s="231">
        <v>309143</v>
      </c>
      <c r="R329" s="232">
        <f t="shared" ref="R329:R392" si="5">IF(J329&gt;O329,J329-O329,O329-J329)</f>
        <v>16192348</v>
      </c>
      <c r="S329" s="231"/>
      <c r="T329" s="232">
        <v>7828142</v>
      </c>
      <c r="U329" s="233">
        <v>-83612</v>
      </c>
      <c r="V329" s="233">
        <v>7744530</v>
      </c>
    </row>
    <row r="330" spans="1:22">
      <c r="A330" s="226">
        <v>93402</v>
      </c>
      <c r="B330" s="227" t="s">
        <v>1037</v>
      </c>
      <c r="C330" s="87">
        <v>9.2999999999999997E-5</v>
      </c>
      <c r="D330" s="87">
        <v>9.4400000000000004E-5</v>
      </c>
      <c r="E330" s="231">
        <v>35918.379999999997</v>
      </c>
      <c r="F330" s="231">
        <v>42366</v>
      </c>
      <c r="G330" s="231">
        <v>197377</v>
      </c>
      <c r="H330" s="231"/>
      <c r="I330" s="232">
        <v>3708.375</v>
      </c>
      <c r="J330" s="232">
        <v>172965</v>
      </c>
      <c r="K330" s="232">
        <v>13519</v>
      </c>
      <c r="L330" s="231">
        <v>9628</v>
      </c>
      <c r="M330" s="231"/>
      <c r="N330" s="232">
        <v>6916</v>
      </c>
      <c r="O330" s="232">
        <v>63841</v>
      </c>
      <c r="P330" s="232">
        <v>0</v>
      </c>
      <c r="Q330" s="231">
        <v>2607</v>
      </c>
      <c r="R330" s="232">
        <f t="shared" si="5"/>
        <v>109124</v>
      </c>
      <c r="S330" s="231"/>
      <c r="T330" s="232">
        <v>52756</v>
      </c>
      <c r="U330" s="233">
        <v>3407</v>
      </c>
      <c r="V330" s="233">
        <v>56163</v>
      </c>
    </row>
    <row r="331" spans="1:22">
      <c r="A331" s="226">
        <v>93406</v>
      </c>
      <c r="B331" s="227" t="s">
        <v>1038</v>
      </c>
      <c r="C331" s="87">
        <v>7.1170000000000001E-4</v>
      </c>
      <c r="D331" s="87">
        <v>7.0850000000000004E-4</v>
      </c>
      <c r="E331" s="231">
        <v>298926.93</v>
      </c>
      <c r="F331" s="231">
        <v>317971</v>
      </c>
      <c r="G331" s="231">
        <v>1510466</v>
      </c>
      <c r="H331" s="231"/>
      <c r="I331" s="232">
        <v>28379</v>
      </c>
      <c r="J331" s="232">
        <v>1323650</v>
      </c>
      <c r="K331" s="232">
        <v>103453</v>
      </c>
      <c r="L331" s="231">
        <v>45100</v>
      </c>
      <c r="M331" s="231"/>
      <c r="N331" s="232">
        <v>52928</v>
      </c>
      <c r="O331" s="232">
        <v>488552</v>
      </c>
      <c r="P331" s="232">
        <v>0</v>
      </c>
      <c r="Q331" s="231">
        <v>0</v>
      </c>
      <c r="R331" s="232">
        <f t="shared" si="5"/>
        <v>835098</v>
      </c>
      <c r="S331" s="231"/>
      <c r="T331" s="232">
        <v>403725</v>
      </c>
      <c r="U331" s="233">
        <v>19044</v>
      </c>
      <c r="V331" s="233">
        <v>422769</v>
      </c>
    </row>
    <row r="332" spans="1:22">
      <c r="A332" s="226">
        <v>93408</v>
      </c>
      <c r="B332" s="227" t="s">
        <v>1039</v>
      </c>
      <c r="C332" s="87">
        <v>1.8967999999999999E-3</v>
      </c>
      <c r="D332" s="87">
        <v>1.7309000000000001E-3</v>
      </c>
      <c r="E332" s="231">
        <v>0</v>
      </c>
      <c r="F332" s="231">
        <v>776818</v>
      </c>
      <c r="G332" s="231">
        <v>4025645</v>
      </c>
      <c r="H332" s="231"/>
      <c r="I332" s="232">
        <v>75635</v>
      </c>
      <c r="J332" s="232">
        <v>3527748</v>
      </c>
      <c r="K332" s="232">
        <v>275721</v>
      </c>
      <c r="L332" s="231">
        <v>321789</v>
      </c>
      <c r="M332" s="231"/>
      <c r="N332" s="232">
        <v>141063</v>
      </c>
      <c r="O332" s="232">
        <v>1302074</v>
      </c>
      <c r="P332" s="232">
        <v>0</v>
      </c>
      <c r="Q332" s="231">
        <v>529672</v>
      </c>
      <c r="R332" s="232">
        <f t="shared" si="5"/>
        <v>2225674</v>
      </c>
      <c r="S332" s="231"/>
      <c r="T332" s="232">
        <v>1075996</v>
      </c>
      <c r="U332" s="233">
        <v>10994</v>
      </c>
      <c r="V332" s="233">
        <v>1086990</v>
      </c>
    </row>
    <row r="333" spans="1:22">
      <c r="A333" s="226">
        <v>93411</v>
      </c>
      <c r="B333" s="227" t="s">
        <v>1040</v>
      </c>
      <c r="C333" s="87">
        <v>1.73309E-2</v>
      </c>
      <c r="D333" s="87">
        <v>1.8002500000000001E-2</v>
      </c>
      <c r="E333" s="231">
        <v>7066227.2200000007</v>
      </c>
      <c r="F333" s="231">
        <v>8079414</v>
      </c>
      <c r="G333" s="231">
        <v>36781976</v>
      </c>
      <c r="H333" s="231"/>
      <c r="I333" s="232">
        <v>691070</v>
      </c>
      <c r="J333" s="232">
        <v>32232736</v>
      </c>
      <c r="K333" s="232">
        <v>2519237</v>
      </c>
      <c r="L333" s="231">
        <v>0</v>
      </c>
      <c r="M333" s="231"/>
      <c r="N333" s="232">
        <v>1288882</v>
      </c>
      <c r="O333" s="232">
        <v>11896935</v>
      </c>
      <c r="P333" s="232">
        <v>0</v>
      </c>
      <c r="Q333" s="231">
        <v>963900</v>
      </c>
      <c r="R333" s="232">
        <f t="shared" si="5"/>
        <v>20335801</v>
      </c>
      <c r="S333" s="231"/>
      <c r="T333" s="232">
        <v>9831282</v>
      </c>
      <c r="U333" s="233">
        <v>-369146</v>
      </c>
      <c r="V333" s="233">
        <v>9462137</v>
      </c>
    </row>
    <row r="334" spans="1:22">
      <c r="A334" s="226">
        <v>93413</v>
      </c>
      <c r="B334" s="227" t="s">
        <v>1041</v>
      </c>
      <c r="C334" s="87">
        <v>8.0130000000000002E-4</v>
      </c>
      <c r="D334" s="87">
        <v>8.6039999999999999E-4</v>
      </c>
      <c r="E334" s="231">
        <v>344103.62</v>
      </c>
      <c r="F334" s="231">
        <v>386142</v>
      </c>
      <c r="G334" s="231">
        <v>1700627</v>
      </c>
      <c r="H334" s="231"/>
      <c r="I334" s="232">
        <v>31952</v>
      </c>
      <c r="J334" s="232">
        <v>1490291</v>
      </c>
      <c r="K334" s="232">
        <v>116478</v>
      </c>
      <c r="L334" s="231">
        <v>0</v>
      </c>
      <c r="M334" s="231"/>
      <c r="N334" s="232">
        <v>59592</v>
      </c>
      <c r="O334" s="232">
        <v>550059</v>
      </c>
      <c r="P334" s="232">
        <v>0</v>
      </c>
      <c r="Q334" s="231">
        <v>52213</v>
      </c>
      <c r="R334" s="232">
        <f t="shared" si="5"/>
        <v>940232</v>
      </c>
      <c r="S334" s="231"/>
      <c r="T334" s="232">
        <v>454553</v>
      </c>
      <c r="U334" s="233">
        <v>-17374</v>
      </c>
      <c r="V334" s="233">
        <v>437179</v>
      </c>
    </row>
    <row r="335" spans="1:22">
      <c r="A335" s="226">
        <v>93417</v>
      </c>
      <c r="B335" s="227" t="s">
        <v>1042</v>
      </c>
      <c r="C335" s="87">
        <v>4.1130000000000002E-4</v>
      </c>
      <c r="D335" s="87">
        <v>4.2470000000000002E-4</v>
      </c>
      <c r="E335" s="231">
        <v>180698.52000000002</v>
      </c>
      <c r="F335" s="231">
        <v>190603</v>
      </c>
      <c r="G335" s="231">
        <v>872916</v>
      </c>
      <c r="H335" s="231"/>
      <c r="I335" s="232">
        <v>16401</v>
      </c>
      <c r="J335" s="232">
        <v>764953</v>
      </c>
      <c r="K335" s="232">
        <v>59787</v>
      </c>
      <c r="L335" s="231">
        <v>29582</v>
      </c>
      <c r="M335" s="231"/>
      <c r="N335" s="232">
        <v>30588</v>
      </c>
      <c r="O335" s="232">
        <v>282340</v>
      </c>
      <c r="P335" s="232">
        <v>0</v>
      </c>
      <c r="Q335" s="231">
        <v>0</v>
      </c>
      <c r="R335" s="232">
        <f t="shared" si="5"/>
        <v>482613</v>
      </c>
      <c r="S335" s="231"/>
      <c r="T335" s="232">
        <v>233318</v>
      </c>
      <c r="U335" s="233">
        <v>14150</v>
      </c>
      <c r="V335" s="233">
        <v>247468</v>
      </c>
    </row>
    <row r="336" spans="1:22">
      <c r="A336" s="226">
        <v>93421</v>
      </c>
      <c r="B336" s="227" t="s">
        <v>1043</v>
      </c>
      <c r="C336" s="87">
        <v>2.1646E-3</v>
      </c>
      <c r="D336" s="87">
        <v>2.2629E-3</v>
      </c>
      <c r="E336" s="231">
        <v>806585.66999999993</v>
      </c>
      <c r="F336" s="231">
        <v>1015576</v>
      </c>
      <c r="G336" s="231">
        <v>4594006</v>
      </c>
      <c r="H336" s="231"/>
      <c r="I336" s="232">
        <v>86313</v>
      </c>
      <c r="J336" s="232">
        <v>4025814</v>
      </c>
      <c r="K336" s="232">
        <v>314648</v>
      </c>
      <c r="L336" s="231">
        <v>0</v>
      </c>
      <c r="M336" s="231"/>
      <c r="N336" s="232">
        <v>160979</v>
      </c>
      <c r="O336" s="232">
        <v>1485907</v>
      </c>
      <c r="P336" s="232">
        <v>0</v>
      </c>
      <c r="Q336" s="231">
        <v>286111</v>
      </c>
      <c r="R336" s="232">
        <f t="shared" si="5"/>
        <v>2539907</v>
      </c>
      <c r="S336" s="231"/>
      <c r="T336" s="232">
        <v>1227910</v>
      </c>
      <c r="U336" s="233">
        <v>-103829</v>
      </c>
      <c r="V336" s="233">
        <v>1124081</v>
      </c>
    </row>
    <row r="337" spans="1:22">
      <c r="A337" s="226">
        <v>93431</v>
      </c>
      <c r="B337" s="227" t="s">
        <v>1044</v>
      </c>
      <c r="C337" s="87">
        <v>1.127E-4</v>
      </c>
      <c r="D337" s="87">
        <v>1.3469999999999999E-4</v>
      </c>
      <c r="E337" s="231">
        <v>53587.649999999994</v>
      </c>
      <c r="F337" s="231">
        <v>60453</v>
      </c>
      <c r="G337" s="231">
        <v>239187</v>
      </c>
      <c r="H337" s="231"/>
      <c r="I337" s="232">
        <v>4494</v>
      </c>
      <c r="J337" s="232">
        <v>209604</v>
      </c>
      <c r="K337" s="232">
        <v>16382</v>
      </c>
      <c r="L337" s="231">
        <v>1676</v>
      </c>
      <c r="M337" s="231"/>
      <c r="N337" s="232">
        <v>8381</v>
      </c>
      <c r="O337" s="232">
        <v>77364</v>
      </c>
      <c r="P337" s="232">
        <v>0</v>
      </c>
      <c r="Q337" s="231">
        <v>7450</v>
      </c>
      <c r="R337" s="232">
        <f t="shared" si="5"/>
        <v>132240</v>
      </c>
      <c r="S337" s="231"/>
      <c r="T337" s="232">
        <v>63931</v>
      </c>
      <c r="U337" s="233">
        <v>-1211</v>
      </c>
      <c r="V337" s="233">
        <v>62721</v>
      </c>
    </row>
    <row r="338" spans="1:22">
      <c r="A338" s="226">
        <v>93441</v>
      </c>
      <c r="B338" s="227" t="s">
        <v>1045</v>
      </c>
      <c r="C338" s="87">
        <v>1.4970000000000001E-4</v>
      </c>
      <c r="D338" s="87">
        <v>1.3239999999999999E-4</v>
      </c>
      <c r="E338" s="231">
        <v>71652.759999999995</v>
      </c>
      <c r="F338" s="231">
        <v>59420</v>
      </c>
      <c r="G338" s="231">
        <v>317714</v>
      </c>
      <c r="H338" s="231"/>
      <c r="I338" s="232">
        <v>5969</v>
      </c>
      <c r="J338" s="232">
        <v>278418</v>
      </c>
      <c r="K338" s="232">
        <v>21761</v>
      </c>
      <c r="L338" s="231">
        <v>34771</v>
      </c>
      <c r="M338" s="231"/>
      <c r="N338" s="232">
        <v>11133</v>
      </c>
      <c r="O338" s="232">
        <v>102763</v>
      </c>
      <c r="P338" s="232">
        <v>0</v>
      </c>
      <c r="Q338" s="231">
        <v>0</v>
      </c>
      <c r="R338" s="232">
        <f t="shared" si="5"/>
        <v>175655</v>
      </c>
      <c r="S338" s="231"/>
      <c r="T338" s="232">
        <v>84920</v>
      </c>
      <c r="U338" s="233">
        <v>12654</v>
      </c>
      <c r="V338" s="233">
        <v>97574</v>
      </c>
    </row>
    <row r="339" spans="1:22">
      <c r="A339" s="226">
        <v>93442</v>
      </c>
      <c r="B339" s="227" t="s">
        <v>1046</v>
      </c>
      <c r="C339" s="87">
        <v>1.3540000000000001E-4</v>
      </c>
      <c r="D339" s="87">
        <v>1.7799999999999999E-4</v>
      </c>
      <c r="E339" s="231">
        <v>53217.95</v>
      </c>
      <c r="F339" s="231">
        <v>79885</v>
      </c>
      <c r="G339" s="231">
        <v>287364</v>
      </c>
      <c r="H339" s="231"/>
      <c r="I339" s="232">
        <v>5399</v>
      </c>
      <c r="J339" s="232">
        <v>251823</v>
      </c>
      <c r="K339" s="232">
        <v>19682</v>
      </c>
      <c r="L339" s="231">
        <v>6718</v>
      </c>
      <c r="M339" s="231"/>
      <c r="N339" s="232">
        <v>10070</v>
      </c>
      <c r="O339" s="232">
        <v>92946</v>
      </c>
      <c r="P339" s="232">
        <v>0</v>
      </c>
      <c r="Q339" s="231">
        <v>29938</v>
      </c>
      <c r="R339" s="232">
        <f t="shared" si="5"/>
        <v>158877</v>
      </c>
      <c r="S339" s="231"/>
      <c r="T339" s="232">
        <v>76808</v>
      </c>
      <c r="U339" s="233">
        <v>-6567</v>
      </c>
      <c r="V339" s="233">
        <v>70241</v>
      </c>
    </row>
    <row r="340" spans="1:22">
      <c r="A340" s="226">
        <v>93451</v>
      </c>
      <c r="B340" s="227" t="s">
        <v>1047</v>
      </c>
      <c r="C340" s="87">
        <v>7.6899999999999999E-5</v>
      </c>
      <c r="D340" s="87">
        <v>7.6699999999999994E-5</v>
      </c>
      <c r="E340" s="231">
        <v>41952.18</v>
      </c>
      <c r="F340" s="231">
        <v>34422</v>
      </c>
      <c r="G340" s="231">
        <v>163208</v>
      </c>
      <c r="H340" s="231"/>
      <c r="I340" s="232">
        <v>3066</v>
      </c>
      <c r="J340" s="232">
        <v>143022</v>
      </c>
      <c r="K340" s="232">
        <v>11178</v>
      </c>
      <c r="L340" s="231">
        <v>18732</v>
      </c>
      <c r="M340" s="231"/>
      <c r="N340" s="232">
        <v>5719</v>
      </c>
      <c r="O340" s="232">
        <v>52789</v>
      </c>
      <c r="P340" s="232">
        <v>0</v>
      </c>
      <c r="Q340" s="231">
        <v>2999</v>
      </c>
      <c r="R340" s="232">
        <f t="shared" si="5"/>
        <v>90233</v>
      </c>
      <c r="S340" s="231"/>
      <c r="T340" s="232">
        <v>43623</v>
      </c>
      <c r="U340" s="233">
        <v>4342</v>
      </c>
      <c r="V340" s="233">
        <v>47965</v>
      </c>
    </row>
    <row r="341" spans="1:22">
      <c r="A341" s="226">
        <v>93461</v>
      </c>
      <c r="B341" s="227" t="s">
        <v>1048</v>
      </c>
      <c r="C341" s="87">
        <v>1.7200000000000001E-5</v>
      </c>
      <c r="D341" s="87">
        <v>1.7200000000000001E-5</v>
      </c>
      <c r="E341" s="231">
        <v>7470.840000000002</v>
      </c>
      <c r="F341" s="231">
        <v>7719</v>
      </c>
      <c r="G341" s="231">
        <v>36504</v>
      </c>
      <c r="H341" s="231"/>
      <c r="I341" s="232">
        <v>685.85</v>
      </c>
      <c r="J341" s="232">
        <v>31989</v>
      </c>
      <c r="K341" s="232">
        <v>2500</v>
      </c>
      <c r="L341" s="231">
        <v>695</v>
      </c>
      <c r="M341" s="231"/>
      <c r="N341" s="232">
        <v>1279</v>
      </c>
      <c r="O341" s="232">
        <v>11807</v>
      </c>
      <c r="P341" s="232">
        <v>0</v>
      </c>
      <c r="Q341" s="231">
        <v>0</v>
      </c>
      <c r="R341" s="232">
        <f t="shared" si="5"/>
        <v>20182</v>
      </c>
      <c r="S341" s="231"/>
      <c r="T341" s="232">
        <v>9757</v>
      </c>
      <c r="U341" s="233">
        <v>226</v>
      </c>
      <c r="V341" s="233">
        <v>9983</v>
      </c>
    </row>
    <row r="342" spans="1:22">
      <c r="A342" s="226">
        <v>93471</v>
      </c>
      <c r="B342" s="227" t="s">
        <v>1049</v>
      </c>
      <c r="C342" s="87">
        <v>1.1800000000000001E-5</v>
      </c>
      <c r="D342" s="87">
        <v>1.34E-5</v>
      </c>
      <c r="E342" s="231">
        <v>7905.1299999999992</v>
      </c>
      <c r="F342" s="231">
        <v>6014</v>
      </c>
      <c r="G342" s="231">
        <v>25044</v>
      </c>
      <c r="H342" s="231"/>
      <c r="I342" s="232">
        <v>471</v>
      </c>
      <c r="J342" s="232">
        <v>21946</v>
      </c>
      <c r="K342" s="232">
        <v>1715</v>
      </c>
      <c r="L342" s="231">
        <v>2187</v>
      </c>
      <c r="M342" s="231"/>
      <c r="N342" s="232">
        <v>878</v>
      </c>
      <c r="O342" s="232">
        <v>8100</v>
      </c>
      <c r="P342" s="232">
        <v>0</v>
      </c>
      <c r="Q342" s="231">
        <v>127</v>
      </c>
      <c r="R342" s="232">
        <f t="shared" si="5"/>
        <v>13846</v>
      </c>
      <c r="S342" s="231"/>
      <c r="T342" s="232">
        <v>6694</v>
      </c>
      <c r="U342" s="233">
        <v>563</v>
      </c>
      <c r="V342" s="233">
        <v>7256</v>
      </c>
    </row>
    <row r="343" spans="1:22">
      <c r="A343" s="226">
        <v>93501</v>
      </c>
      <c r="B343" s="227" t="s">
        <v>1050</v>
      </c>
      <c r="C343" s="87">
        <v>3.4039000000000001E-3</v>
      </c>
      <c r="D343" s="87">
        <v>3.4708E-3</v>
      </c>
      <c r="E343" s="231">
        <v>1347598.72</v>
      </c>
      <c r="F343" s="231">
        <v>1557674</v>
      </c>
      <c r="G343" s="231">
        <v>7224216</v>
      </c>
      <c r="H343" s="231"/>
      <c r="I343" s="232">
        <v>135731</v>
      </c>
      <c r="J343" s="232">
        <v>6330716</v>
      </c>
      <c r="K343" s="232">
        <v>494794</v>
      </c>
      <c r="L343" s="231">
        <v>165283</v>
      </c>
      <c r="M343" s="231"/>
      <c r="N343" s="232">
        <v>253145</v>
      </c>
      <c r="O343" s="232">
        <v>2336634</v>
      </c>
      <c r="P343" s="232">
        <v>0</v>
      </c>
      <c r="Q343" s="231">
        <v>77725</v>
      </c>
      <c r="R343" s="232">
        <f t="shared" si="5"/>
        <v>3994082</v>
      </c>
      <c r="S343" s="231"/>
      <c r="T343" s="232">
        <v>1930927</v>
      </c>
      <c r="U343" s="233">
        <v>52932</v>
      </c>
      <c r="V343" s="233">
        <v>1983859</v>
      </c>
    </row>
    <row r="344" spans="1:22">
      <c r="A344" s="226">
        <v>93511</v>
      </c>
      <c r="B344" s="227" t="s">
        <v>1051</v>
      </c>
      <c r="C344" s="87">
        <v>9.8999999999999994E-5</v>
      </c>
      <c r="D344" s="87">
        <v>1.142E-4</v>
      </c>
      <c r="E344" s="231">
        <v>40720.79</v>
      </c>
      <c r="F344" s="231">
        <v>51252</v>
      </c>
      <c r="G344" s="231">
        <v>210111</v>
      </c>
      <c r="H344" s="231"/>
      <c r="I344" s="232">
        <v>3948</v>
      </c>
      <c r="J344" s="232">
        <v>184124</v>
      </c>
      <c r="K344" s="232">
        <v>14391</v>
      </c>
      <c r="L344" s="231">
        <v>5204</v>
      </c>
      <c r="M344" s="231"/>
      <c r="N344" s="232">
        <v>7363</v>
      </c>
      <c r="O344" s="232">
        <v>67959</v>
      </c>
      <c r="P344" s="232">
        <v>0</v>
      </c>
      <c r="Q344" s="231">
        <v>14645</v>
      </c>
      <c r="R344" s="232">
        <f t="shared" si="5"/>
        <v>116165</v>
      </c>
      <c r="S344" s="231"/>
      <c r="T344" s="232">
        <v>56160</v>
      </c>
      <c r="U344" s="233">
        <v>-1792</v>
      </c>
      <c r="V344" s="233">
        <v>54368</v>
      </c>
    </row>
    <row r="345" spans="1:22">
      <c r="A345" s="226">
        <v>93517</v>
      </c>
      <c r="B345" s="227" t="s">
        <v>1052</v>
      </c>
      <c r="C345" s="87">
        <v>6.4999999999999996E-6</v>
      </c>
      <c r="D345" s="87">
        <v>6.6000000000000003E-6</v>
      </c>
      <c r="E345" s="231">
        <v>4035.72</v>
      </c>
      <c r="F345" s="231">
        <v>2962</v>
      </c>
      <c r="G345" s="231">
        <v>13795</v>
      </c>
      <c r="H345" s="231"/>
      <c r="I345" s="232">
        <v>259.1875</v>
      </c>
      <c r="J345" s="232">
        <v>12089</v>
      </c>
      <c r="K345" s="232">
        <v>945</v>
      </c>
      <c r="L345" s="231">
        <v>3198</v>
      </c>
      <c r="M345" s="231"/>
      <c r="N345" s="232">
        <v>483</v>
      </c>
      <c r="O345" s="232">
        <v>4462</v>
      </c>
      <c r="P345" s="232">
        <v>0</v>
      </c>
      <c r="Q345" s="231">
        <v>1011</v>
      </c>
      <c r="R345" s="232">
        <f t="shared" si="5"/>
        <v>7627</v>
      </c>
      <c r="S345" s="231"/>
      <c r="T345" s="232">
        <v>3687</v>
      </c>
      <c r="U345" s="233">
        <v>528</v>
      </c>
      <c r="V345" s="233">
        <v>4215</v>
      </c>
    </row>
    <row r="346" spans="1:22">
      <c r="A346" s="226">
        <v>93521</v>
      </c>
      <c r="B346" s="227" t="s">
        <v>1053</v>
      </c>
      <c r="C346" s="87">
        <v>5.6389999999999999E-4</v>
      </c>
      <c r="D346" s="87">
        <v>4.75E-4</v>
      </c>
      <c r="E346" s="231">
        <v>183430.59999999998</v>
      </c>
      <c r="F346" s="231">
        <v>213177.15</v>
      </c>
      <c r="G346" s="231">
        <v>1196785</v>
      </c>
      <c r="H346" s="231"/>
      <c r="I346" s="232">
        <v>22486</v>
      </c>
      <c r="J346" s="232">
        <v>1048765</v>
      </c>
      <c r="K346" s="232">
        <v>81969</v>
      </c>
      <c r="L346" s="231">
        <v>9662</v>
      </c>
      <c r="M346" s="231"/>
      <c r="N346" s="232">
        <v>41937</v>
      </c>
      <c r="O346" s="232">
        <v>387094</v>
      </c>
      <c r="P346" s="232">
        <v>0</v>
      </c>
      <c r="Q346" s="231">
        <v>10656</v>
      </c>
      <c r="R346" s="232">
        <f t="shared" si="5"/>
        <v>661671</v>
      </c>
      <c r="S346" s="231"/>
      <c r="T346" s="232">
        <v>319883</v>
      </c>
      <c r="U346" s="233">
        <v>-2591</v>
      </c>
      <c r="V346" s="233">
        <v>317292</v>
      </c>
    </row>
    <row r="347" spans="1:22">
      <c r="A347" s="226">
        <v>93527</v>
      </c>
      <c r="B347" s="227" t="s">
        <v>1054</v>
      </c>
      <c r="C347" s="87">
        <v>5.4E-6</v>
      </c>
      <c r="D347" s="87">
        <v>5.4E-6</v>
      </c>
      <c r="E347" s="231">
        <v>8301.4599999999991</v>
      </c>
      <c r="F347" s="231">
        <v>2423</v>
      </c>
      <c r="G347" s="231">
        <v>11461</v>
      </c>
      <c r="H347" s="231"/>
      <c r="I347" s="232">
        <v>215.32499999999999</v>
      </c>
      <c r="J347" s="232">
        <v>10043</v>
      </c>
      <c r="K347" s="232">
        <v>785</v>
      </c>
      <c r="L347" s="231">
        <v>11237</v>
      </c>
      <c r="M347" s="231"/>
      <c r="N347" s="232">
        <v>402</v>
      </c>
      <c r="O347" s="232">
        <v>3707</v>
      </c>
      <c r="P347" s="232">
        <v>0</v>
      </c>
      <c r="Q347" s="231">
        <v>0</v>
      </c>
      <c r="R347" s="232">
        <f t="shared" si="5"/>
        <v>6336</v>
      </c>
      <c r="S347" s="231"/>
      <c r="T347" s="232">
        <v>3063</v>
      </c>
      <c r="U347" s="233">
        <v>3941</v>
      </c>
      <c r="V347" s="233">
        <v>7005</v>
      </c>
    </row>
    <row r="348" spans="1:22">
      <c r="A348" s="226">
        <v>93531</v>
      </c>
      <c r="B348" s="227" t="s">
        <v>1055</v>
      </c>
      <c r="C348" s="87">
        <v>2.4000000000000001E-5</v>
      </c>
      <c r="D348" s="87">
        <v>2.4700000000000001E-5</v>
      </c>
      <c r="E348" s="231">
        <v>11692.23</v>
      </c>
      <c r="F348" s="231">
        <v>11085</v>
      </c>
      <c r="G348" s="231">
        <v>50936.04</v>
      </c>
      <c r="H348" s="231"/>
      <c r="I348" s="232">
        <v>957</v>
      </c>
      <c r="J348" s="232">
        <v>44636</v>
      </c>
      <c r="K348" s="232">
        <v>3489</v>
      </c>
      <c r="L348" s="231">
        <v>1068</v>
      </c>
      <c r="M348" s="231"/>
      <c r="N348" s="232">
        <v>1785</v>
      </c>
      <c r="O348" s="232">
        <v>16475</v>
      </c>
      <c r="P348" s="232">
        <v>0</v>
      </c>
      <c r="Q348" s="231">
        <v>2182</v>
      </c>
      <c r="R348" s="232">
        <f t="shared" si="5"/>
        <v>28161</v>
      </c>
      <c r="S348" s="231"/>
      <c r="T348" s="232">
        <v>13614</v>
      </c>
      <c r="U348" s="233">
        <v>-801</v>
      </c>
      <c r="V348" s="233">
        <v>12814</v>
      </c>
    </row>
    <row r="349" spans="1:22">
      <c r="A349" s="226">
        <v>93537</v>
      </c>
      <c r="B349" s="227" t="s">
        <v>1056</v>
      </c>
      <c r="C349" s="87">
        <v>1.17E-5</v>
      </c>
      <c r="D349" s="87">
        <v>1.13E-5</v>
      </c>
      <c r="E349" s="231">
        <v>3538.9599999999996</v>
      </c>
      <c r="F349" s="231">
        <v>5071</v>
      </c>
      <c r="G349" s="231">
        <v>24831</v>
      </c>
      <c r="H349" s="231"/>
      <c r="I349" s="232">
        <v>467</v>
      </c>
      <c r="J349" s="232">
        <v>21760</v>
      </c>
      <c r="K349" s="232">
        <v>1701</v>
      </c>
      <c r="L349" s="231">
        <v>0</v>
      </c>
      <c r="M349" s="231"/>
      <c r="N349" s="232">
        <v>870</v>
      </c>
      <c r="O349" s="232">
        <v>8032</v>
      </c>
      <c r="P349" s="232">
        <v>0</v>
      </c>
      <c r="Q349" s="231">
        <v>976</v>
      </c>
      <c r="R349" s="232">
        <f t="shared" si="5"/>
        <v>13728</v>
      </c>
      <c r="S349" s="231"/>
      <c r="T349" s="232">
        <v>6637</v>
      </c>
      <c r="U349" s="233">
        <v>-276</v>
      </c>
      <c r="V349" s="233">
        <v>6361</v>
      </c>
    </row>
    <row r="350" spans="1:22">
      <c r="A350" s="226">
        <v>93541</v>
      </c>
      <c r="B350" s="227" t="s">
        <v>1057</v>
      </c>
      <c r="C350" s="87">
        <v>1.061E-4</v>
      </c>
      <c r="D350" s="87">
        <v>1.069E-4</v>
      </c>
      <c r="E350" s="231">
        <v>43705.780000000006</v>
      </c>
      <c r="F350" s="231">
        <v>47976</v>
      </c>
      <c r="G350" s="231">
        <v>225180</v>
      </c>
      <c r="H350" s="231"/>
      <c r="I350" s="232">
        <v>4231</v>
      </c>
      <c r="J350" s="232">
        <v>197329</v>
      </c>
      <c r="K350" s="232">
        <v>15423</v>
      </c>
      <c r="L350" s="231">
        <v>8559</v>
      </c>
      <c r="M350" s="231"/>
      <c r="N350" s="232">
        <v>7891</v>
      </c>
      <c r="O350" s="232">
        <v>72833</v>
      </c>
      <c r="P350" s="232">
        <v>0</v>
      </c>
      <c r="Q350" s="231">
        <v>1155</v>
      </c>
      <c r="R350" s="232">
        <f t="shared" si="5"/>
        <v>124496</v>
      </c>
      <c r="S350" s="231"/>
      <c r="T350" s="232">
        <v>60187</v>
      </c>
      <c r="U350" s="233">
        <v>3927</v>
      </c>
      <c r="V350" s="233">
        <v>64114</v>
      </c>
    </row>
    <row r="351" spans="1:22">
      <c r="A351" s="226">
        <v>93601</v>
      </c>
      <c r="B351" s="227" t="s">
        <v>1058</v>
      </c>
      <c r="C351" s="87">
        <v>1.1139899999999999E-2</v>
      </c>
      <c r="D351" s="87">
        <v>1.09906E-2</v>
      </c>
      <c r="E351" s="231">
        <v>4591072.71</v>
      </c>
      <c r="F351" s="231">
        <v>4932515</v>
      </c>
      <c r="G351" s="231">
        <v>23642600</v>
      </c>
      <c r="H351" s="231"/>
      <c r="I351" s="232">
        <v>444204</v>
      </c>
      <c r="J351" s="232">
        <v>20718454</v>
      </c>
      <c r="K351" s="232">
        <v>1619307</v>
      </c>
      <c r="L351" s="231">
        <v>88715</v>
      </c>
      <c r="M351" s="231"/>
      <c r="N351" s="232">
        <v>828463</v>
      </c>
      <c r="O351" s="232">
        <v>7647073</v>
      </c>
      <c r="P351" s="232">
        <v>0</v>
      </c>
      <c r="Q351" s="231">
        <v>158818</v>
      </c>
      <c r="R351" s="232">
        <f t="shared" si="5"/>
        <v>13071381</v>
      </c>
      <c r="S351" s="231"/>
      <c r="T351" s="232">
        <v>6319320</v>
      </c>
      <c r="U351" s="233">
        <v>-40519</v>
      </c>
      <c r="V351" s="233">
        <v>6278801</v>
      </c>
    </row>
    <row r="352" spans="1:22">
      <c r="A352" s="226">
        <v>93602</v>
      </c>
      <c r="B352" s="227" t="s">
        <v>1059</v>
      </c>
      <c r="C352" s="87">
        <v>1.7200000000000001E-4</v>
      </c>
      <c r="D352" s="87">
        <v>1.873E-4</v>
      </c>
      <c r="E352" s="231">
        <v>65294.78</v>
      </c>
      <c r="F352" s="231">
        <v>84059</v>
      </c>
      <c r="G352" s="231">
        <v>365041.62</v>
      </c>
      <c r="H352" s="231"/>
      <c r="I352" s="232">
        <v>6858.5</v>
      </c>
      <c r="J352" s="232">
        <v>319893</v>
      </c>
      <c r="K352" s="232">
        <v>25002</v>
      </c>
      <c r="L352" s="231">
        <v>1192</v>
      </c>
      <c r="M352" s="231"/>
      <c r="N352" s="232">
        <v>12791</v>
      </c>
      <c r="O352" s="232">
        <v>118071</v>
      </c>
      <c r="P352" s="232">
        <v>0</v>
      </c>
      <c r="Q352" s="231">
        <v>14459</v>
      </c>
      <c r="R352" s="232">
        <f t="shared" si="5"/>
        <v>201822</v>
      </c>
      <c r="S352" s="231"/>
      <c r="T352" s="232">
        <v>97570</v>
      </c>
      <c r="U352" s="233">
        <v>-3774</v>
      </c>
      <c r="V352" s="233">
        <v>93797</v>
      </c>
    </row>
    <row r="353" spans="1:22">
      <c r="A353" s="226">
        <v>93609</v>
      </c>
      <c r="B353" s="227" t="s">
        <v>1060</v>
      </c>
      <c r="C353" s="87">
        <v>3.0569E-3</v>
      </c>
      <c r="D353" s="87">
        <v>2.777E-3</v>
      </c>
      <c r="E353" s="231">
        <v>1250738.1199999999</v>
      </c>
      <c r="F353" s="231">
        <v>1246301</v>
      </c>
      <c r="G353" s="231">
        <v>6487766</v>
      </c>
      <c r="H353" s="231"/>
      <c r="I353" s="232">
        <v>121894</v>
      </c>
      <c r="J353" s="232">
        <v>5685351</v>
      </c>
      <c r="K353" s="232">
        <v>444354</v>
      </c>
      <c r="L353" s="231">
        <v>575194</v>
      </c>
      <c r="M353" s="231"/>
      <c r="N353" s="232">
        <v>227339</v>
      </c>
      <c r="O353" s="232">
        <v>2098433</v>
      </c>
      <c r="P353" s="232">
        <v>0</v>
      </c>
      <c r="Q353" s="231">
        <v>0</v>
      </c>
      <c r="R353" s="232">
        <f t="shared" si="5"/>
        <v>3586918</v>
      </c>
      <c r="S353" s="231"/>
      <c r="T353" s="232">
        <v>1734085</v>
      </c>
      <c r="U353" s="233">
        <v>238417</v>
      </c>
      <c r="V353" s="233">
        <v>1972502</v>
      </c>
    </row>
    <row r="354" spans="1:22">
      <c r="A354" s="226">
        <v>93610</v>
      </c>
      <c r="B354" s="227" t="s">
        <v>1061</v>
      </c>
      <c r="C354" s="87">
        <v>6.4999999999999996E-6</v>
      </c>
      <c r="D354" s="87">
        <v>1.84E-5</v>
      </c>
      <c r="E354" s="231">
        <v>5057.0400000000009</v>
      </c>
      <c r="F354" s="231">
        <v>8258</v>
      </c>
      <c r="G354" s="231">
        <v>13795</v>
      </c>
      <c r="H354" s="231"/>
      <c r="I354" s="232">
        <v>259.1875</v>
      </c>
      <c r="J354" s="232">
        <v>12089</v>
      </c>
      <c r="K354" s="232">
        <v>945</v>
      </c>
      <c r="L354" s="231">
        <v>3285</v>
      </c>
      <c r="M354" s="231"/>
      <c r="N354" s="232">
        <v>483</v>
      </c>
      <c r="O354" s="232">
        <v>4462</v>
      </c>
      <c r="P354" s="232">
        <v>0</v>
      </c>
      <c r="Q354" s="231">
        <v>4553</v>
      </c>
      <c r="R354" s="232">
        <f t="shared" si="5"/>
        <v>7627</v>
      </c>
      <c r="S354" s="231"/>
      <c r="T354" s="232">
        <v>3687</v>
      </c>
      <c r="U354" s="233">
        <v>154</v>
      </c>
      <c r="V354" s="233">
        <v>3842</v>
      </c>
    </row>
    <row r="355" spans="1:22">
      <c r="A355" s="226">
        <v>93611</v>
      </c>
      <c r="B355" s="227" t="s">
        <v>1062</v>
      </c>
      <c r="C355" s="87">
        <v>6.9325000000000003E-3</v>
      </c>
      <c r="D355" s="87">
        <v>6.9034999999999999E-3</v>
      </c>
      <c r="E355" s="231">
        <v>2795516.27</v>
      </c>
      <c r="F355" s="231">
        <v>3098249</v>
      </c>
      <c r="G355" s="231">
        <v>14713087</v>
      </c>
      <c r="H355" s="231"/>
      <c r="I355" s="232">
        <v>276433</v>
      </c>
      <c r="J355" s="232">
        <v>12893355</v>
      </c>
      <c r="K355" s="232">
        <v>1007715</v>
      </c>
      <c r="L355" s="231">
        <v>0</v>
      </c>
      <c r="M355" s="231"/>
      <c r="N355" s="232">
        <v>515563</v>
      </c>
      <c r="O355" s="232">
        <v>4758870</v>
      </c>
      <c r="P355" s="232">
        <v>0</v>
      </c>
      <c r="Q355" s="231">
        <v>266414</v>
      </c>
      <c r="R355" s="232">
        <f t="shared" si="5"/>
        <v>8134485</v>
      </c>
      <c r="S355" s="231"/>
      <c r="T355" s="232">
        <v>3932592</v>
      </c>
      <c r="U355" s="233">
        <v>-113352</v>
      </c>
      <c r="V355" s="233">
        <v>3819240</v>
      </c>
    </row>
    <row r="356" spans="1:22">
      <c r="A356" s="226">
        <v>93617</v>
      </c>
      <c r="B356" s="227" t="s">
        <v>1063</v>
      </c>
      <c r="C356" s="87">
        <v>9.5000000000000005E-5</v>
      </c>
      <c r="D356" s="87">
        <v>7.9200000000000001E-5</v>
      </c>
      <c r="E356" s="231">
        <v>46064</v>
      </c>
      <c r="F356" s="231">
        <v>35544</v>
      </c>
      <c r="G356" s="231">
        <v>201622</v>
      </c>
      <c r="H356" s="231"/>
      <c r="I356" s="232">
        <v>3788.125</v>
      </c>
      <c r="J356" s="232">
        <v>176685</v>
      </c>
      <c r="K356" s="232">
        <v>13809</v>
      </c>
      <c r="L356" s="231">
        <v>28939</v>
      </c>
      <c r="M356" s="231"/>
      <c r="N356" s="232">
        <v>7065</v>
      </c>
      <c r="O356" s="232">
        <v>65213.51</v>
      </c>
      <c r="P356" s="232">
        <v>0</v>
      </c>
      <c r="Q356" s="231">
        <v>0</v>
      </c>
      <c r="R356" s="232">
        <f t="shared" si="5"/>
        <v>111471.48999999999</v>
      </c>
      <c r="S356" s="231"/>
      <c r="T356" s="232">
        <v>53891</v>
      </c>
      <c r="U356" s="233">
        <v>10007</v>
      </c>
      <c r="V356" s="233">
        <v>63898</v>
      </c>
    </row>
    <row r="357" spans="1:22">
      <c r="A357" s="226">
        <v>93618</v>
      </c>
      <c r="B357" s="227" t="s">
        <v>1064</v>
      </c>
      <c r="C357" s="87">
        <v>1.17E-5</v>
      </c>
      <c r="D357" s="87">
        <v>1.0200000000000001E-5</v>
      </c>
      <c r="E357" s="231">
        <v>22628.949999999997</v>
      </c>
      <c r="F357" s="231">
        <v>4578</v>
      </c>
      <c r="G357" s="231">
        <v>24831</v>
      </c>
      <c r="H357" s="231"/>
      <c r="I357" s="232">
        <v>467</v>
      </c>
      <c r="J357" s="232">
        <v>21760</v>
      </c>
      <c r="K357" s="232">
        <v>1701</v>
      </c>
      <c r="L357" s="231">
        <v>27424</v>
      </c>
      <c r="M357" s="231"/>
      <c r="N357" s="232">
        <v>870</v>
      </c>
      <c r="O357" s="232">
        <v>8032</v>
      </c>
      <c r="P357" s="232">
        <v>0</v>
      </c>
      <c r="Q357" s="231">
        <v>0</v>
      </c>
      <c r="R357" s="232">
        <f t="shared" si="5"/>
        <v>13728</v>
      </c>
      <c r="S357" s="231"/>
      <c r="T357" s="232">
        <v>6637</v>
      </c>
      <c r="U357" s="233">
        <v>8505</v>
      </c>
      <c r="V357" s="233">
        <v>15142</v>
      </c>
    </row>
    <row r="358" spans="1:22">
      <c r="A358" s="226">
        <v>93621</v>
      </c>
      <c r="B358" s="227" t="s">
        <v>1065</v>
      </c>
      <c r="C358" s="87">
        <v>8.5320000000000003E-4</v>
      </c>
      <c r="D358" s="87">
        <v>9.5949999999999996E-4</v>
      </c>
      <c r="E358" s="231">
        <v>330203.31</v>
      </c>
      <c r="F358" s="231">
        <v>430618</v>
      </c>
      <c r="G358" s="231">
        <v>1810776</v>
      </c>
      <c r="H358" s="231"/>
      <c r="I358" s="232">
        <v>34021.35</v>
      </c>
      <c r="J358" s="232">
        <v>1586817</v>
      </c>
      <c r="K358" s="232">
        <v>124022</v>
      </c>
      <c r="L358" s="231">
        <v>0</v>
      </c>
      <c r="M358" s="231"/>
      <c r="N358" s="232">
        <v>63452</v>
      </c>
      <c r="O358" s="232">
        <v>585686</v>
      </c>
      <c r="P358" s="232">
        <v>0</v>
      </c>
      <c r="Q358" s="231">
        <v>118410</v>
      </c>
      <c r="R358" s="232">
        <f t="shared" si="5"/>
        <v>1001131</v>
      </c>
      <c r="S358" s="231"/>
      <c r="T358" s="232">
        <v>483994</v>
      </c>
      <c r="U358" s="233">
        <v>-38643</v>
      </c>
      <c r="V358" s="233">
        <v>445351</v>
      </c>
    </row>
    <row r="359" spans="1:22">
      <c r="A359" s="226">
        <v>93623</v>
      </c>
      <c r="B359" s="227" t="s">
        <v>1066</v>
      </c>
      <c r="C359" s="87">
        <v>1.2500000000000001E-5</v>
      </c>
      <c r="D359" s="87">
        <v>1.24E-5</v>
      </c>
      <c r="E359" s="231">
        <v>8240.5799999999981</v>
      </c>
      <c r="F359" s="231">
        <v>5565</v>
      </c>
      <c r="G359" s="231">
        <v>26529.1875</v>
      </c>
      <c r="H359" s="231"/>
      <c r="I359" s="232">
        <v>498.4375</v>
      </c>
      <c r="J359" s="232">
        <v>23248</v>
      </c>
      <c r="K359" s="232">
        <v>1817</v>
      </c>
      <c r="L359" s="231">
        <v>4315</v>
      </c>
      <c r="M359" s="231"/>
      <c r="N359" s="232">
        <v>930</v>
      </c>
      <c r="O359" s="232">
        <v>8581</v>
      </c>
      <c r="P359" s="232">
        <v>0</v>
      </c>
      <c r="Q359" s="231">
        <v>2</v>
      </c>
      <c r="R359" s="232">
        <f t="shared" si="5"/>
        <v>14667</v>
      </c>
      <c r="S359" s="231"/>
      <c r="T359" s="232">
        <v>7091</v>
      </c>
      <c r="U359" s="233">
        <v>1289</v>
      </c>
      <c r="V359" s="233">
        <v>8380</v>
      </c>
    </row>
    <row r="360" spans="1:22">
      <c r="A360" s="226">
        <v>93631</v>
      </c>
      <c r="B360" s="227" t="s">
        <v>1067</v>
      </c>
      <c r="C360" s="87">
        <v>2.3440000000000001E-4</v>
      </c>
      <c r="D360" s="87">
        <v>2.3680000000000001E-4</v>
      </c>
      <c r="E360" s="231">
        <v>87285.229999999981</v>
      </c>
      <c r="F360" s="231">
        <v>106274</v>
      </c>
      <c r="G360" s="231">
        <v>497475</v>
      </c>
      <c r="H360" s="231"/>
      <c r="I360" s="232">
        <v>9347</v>
      </c>
      <c r="J360" s="232">
        <v>435947</v>
      </c>
      <c r="K360" s="232">
        <v>34073</v>
      </c>
      <c r="L360" s="231">
        <v>874</v>
      </c>
      <c r="M360" s="231"/>
      <c r="N360" s="232">
        <v>17432</v>
      </c>
      <c r="O360" s="232">
        <v>160906</v>
      </c>
      <c r="P360" s="232">
        <v>0</v>
      </c>
      <c r="Q360" s="231">
        <v>17303</v>
      </c>
      <c r="R360" s="232">
        <f t="shared" si="5"/>
        <v>275041</v>
      </c>
      <c r="S360" s="231"/>
      <c r="T360" s="232">
        <v>132968</v>
      </c>
      <c r="U360" s="233">
        <v>-4881</v>
      </c>
      <c r="V360" s="233">
        <v>128086</v>
      </c>
    </row>
    <row r="361" spans="1:22">
      <c r="A361" s="226">
        <v>93641</v>
      </c>
      <c r="B361" s="227" t="s">
        <v>1068</v>
      </c>
      <c r="C361" s="87">
        <v>4.3550000000000001E-4</v>
      </c>
      <c r="D361" s="87">
        <v>4.3100000000000001E-4</v>
      </c>
      <c r="E361" s="231">
        <v>182885.7</v>
      </c>
      <c r="F361" s="231">
        <v>193430</v>
      </c>
      <c r="G361" s="231">
        <v>924277</v>
      </c>
      <c r="H361" s="231"/>
      <c r="I361" s="232">
        <v>17365.5625</v>
      </c>
      <c r="J361" s="232">
        <v>809961</v>
      </c>
      <c r="K361" s="232">
        <v>63305</v>
      </c>
      <c r="L361" s="231">
        <v>21571</v>
      </c>
      <c r="M361" s="231"/>
      <c r="N361" s="232">
        <v>32388</v>
      </c>
      <c r="O361" s="232">
        <v>298952</v>
      </c>
      <c r="P361" s="232">
        <v>0</v>
      </c>
      <c r="Q361" s="231">
        <v>0</v>
      </c>
      <c r="R361" s="232">
        <f t="shared" si="5"/>
        <v>511009</v>
      </c>
      <c r="S361" s="231"/>
      <c r="T361" s="232">
        <v>247046</v>
      </c>
      <c r="U361" s="233">
        <v>7537</v>
      </c>
      <c r="V361" s="233">
        <v>254583</v>
      </c>
    </row>
    <row r="362" spans="1:22">
      <c r="A362" s="226">
        <v>93647</v>
      </c>
      <c r="B362" s="227" t="s">
        <v>1069</v>
      </c>
      <c r="C362" s="87">
        <v>6.1E-6</v>
      </c>
      <c r="D362" s="87">
        <v>6.0000000000000002E-6</v>
      </c>
      <c r="E362" s="231">
        <v>7779.1400000000012</v>
      </c>
      <c r="F362" s="231">
        <v>2693</v>
      </c>
      <c r="G362" s="231">
        <v>12946</v>
      </c>
      <c r="H362" s="231"/>
      <c r="I362" s="232">
        <v>243.23750000000001</v>
      </c>
      <c r="J362" s="232">
        <v>11345</v>
      </c>
      <c r="K362" s="232">
        <v>887</v>
      </c>
      <c r="L362" s="231">
        <v>10457</v>
      </c>
      <c r="M362" s="231"/>
      <c r="N362" s="232">
        <v>454</v>
      </c>
      <c r="O362" s="232">
        <v>4187</v>
      </c>
      <c r="P362" s="232">
        <v>0</v>
      </c>
      <c r="Q362" s="231">
        <v>0</v>
      </c>
      <c r="R362" s="232">
        <f t="shared" si="5"/>
        <v>7158</v>
      </c>
      <c r="S362" s="231"/>
      <c r="T362" s="232">
        <v>3460</v>
      </c>
      <c r="U362" s="233">
        <v>3397</v>
      </c>
      <c r="V362" s="233">
        <v>6857</v>
      </c>
    </row>
    <row r="363" spans="1:22">
      <c r="A363" s="226">
        <v>93651</v>
      </c>
      <c r="B363" s="227" t="s">
        <v>1070</v>
      </c>
      <c r="C363" s="87">
        <v>4.282E-4</v>
      </c>
      <c r="D363" s="87">
        <v>4.216E-4</v>
      </c>
      <c r="E363" s="231">
        <v>158412.88</v>
      </c>
      <c r="F363" s="231">
        <v>189212</v>
      </c>
      <c r="G363" s="231">
        <v>908784</v>
      </c>
      <c r="H363" s="231"/>
      <c r="I363" s="232">
        <v>17074</v>
      </c>
      <c r="J363" s="232">
        <v>796384</v>
      </c>
      <c r="K363" s="232">
        <v>62244</v>
      </c>
      <c r="L363" s="231">
        <v>9033</v>
      </c>
      <c r="M363" s="231"/>
      <c r="N363" s="232">
        <v>31845</v>
      </c>
      <c r="O363" s="232">
        <v>293941</v>
      </c>
      <c r="P363" s="232">
        <v>0</v>
      </c>
      <c r="Q363" s="231">
        <v>11722</v>
      </c>
      <c r="R363" s="232">
        <f t="shared" si="5"/>
        <v>502443</v>
      </c>
      <c r="S363" s="231"/>
      <c r="T363" s="232">
        <v>242905</v>
      </c>
      <c r="U363" s="233">
        <v>-139</v>
      </c>
      <c r="V363" s="233">
        <v>242766</v>
      </c>
    </row>
    <row r="364" spans="1:22">
      <c r="A364" s="226">
        <v>93661</v>
      </c>
      <c r="B364" s="227" t="s">
        <v>1071</v>
      </c>
      <c r="C364" s="87">
        <v>1.3420000000000001E-4</v>
      </c>
      <c r="D364" s="87">
        <v>1.2750000000000001E-4</v>
      </c>
      <c r="E364" s="231">
        <v>60285.130000000005</v>
      </c>
      <c r="F364" s="231">
        <v>57221</v>
      </c>
      <c r="G364" s="231">
        <v>284817</v>
      </c>
      <c r="H364" s="231"/>
      <c r="I364" s="232">
        <v>5351</v>
      </c>
      <c r="J364" s="232">
        <v>249591</v>
      </c>
      <c r="K364" s="232">
        <v>19507</v>
      </c>
      <c r="L364" s="231">
        <v>12174</v>
      </c>
      <c r="M364" s="231"/>
      <c r="N364" s="232">
        <v>9980</v>
      </c>
      <c r="O364" s="232">
        <v>92123</v>
      </c>
      <c r="P364" s="232">
        <v>0</v>
      </c>
      <c r="Q364" s="231">
        <v>0</v>
      </c>
      <c r="R364" s="232">
        <f t="shared" si="5"/>
        <v>157468</v>
      </c>
      <c r="S364" s="231"/>
      <c r="T364" s="232">
        <v>76127</v>
      </c>
      <c r="U364" s="233">
        <v>3955</v>
      </c>
      <c r="V364" s="233">
        <v>80082</v>
      </c>
    </row>
    <row r="365" spans="1:22">
      <c r="A365" s="226">
        <v>93671</v>
      </c>
      <c r="B365" s="227" t="s">
        <v>1072</v>
      </c>
      <c r="C365" s="87">
        <v>3.6900000000000002E-4</v>
      </c>
      <c r="D365" s="87">
        <v>3.5710000000000001E-4</v>
      </c>
      <c r="E365" s="231">
        <v>141320.09</v>
      </c>
      <c r="F365" s="231">
        <v>160264</v>
      </c>
      <c r="G365" s="231">
        <v>783142</v>
      </c>
      <c r="H365" s="231"/>
      <c r="I365" s="232">
        <v>14714</v>
      </c>
      <c r="J365" s="232">
        <v>686282</v>
      </c>
      <c r="K365" s="232">
        <v>53638</v>
      </c>
      <c r="L365" s="231">
        <v>67993</v>
      </c>
      <c r="M365" s="231"/>
      <c r="N365" s="232">
        <v>27442</v>
      </c>
      <c r="O365" s="232">
        <v>253303</v>
      </c>
      <c r="P365" s="232">
        <v>0</v>
      </c>
      <c r="Q365" s="231">
        <v>1836</v>
      </c>
      <c r="R365" s="232">
        <f t="shared" si="5"/>
        <v>432979</v>
      </c>
      <c r="S365" s="231"/>
      <c r="T365" s="232">
        <v>209322</v>
      </c>
      <c r="U365" s="233">
        <v>28852</v>
      </c>
      <c r="V365" s="233">
        <v>238174</v>
      </c>
    </row>
    <row r="366" spans="1:22">
      <c r="A366" s="226">
        <v>93677</v>
      </c>
      <c r="B366" s="227" t="s">
        <v>98</v>
      </c>
      <c r="C366" s="87">
        <v>0</v>
      </c>
      <c r="D366" s="87">
        <v>0</v>
      </c>
      <c r="E366" s="231">
        <v>0</v>
      </c>
      <c r="F366" s="231">
        <v>0</v>
      </c>
      <c r="G366" s="231">
        <v>0</v>
      </c>
      <c r="H366" s="231"/>
      <c r="I366" s="232">
        <v>0</v>
      </c>
      <c r="J366" s="232">
        <v>0</v>
      </c>
      <c r="K366" s="232">
        <v>0</v>
      </c>
      <c r="L366" s="231">
        <v>0</v>
      </c>
      <c r="M366" s="231"/>
      <c r="N366" s="232">
        <v>0</v>
      </c>
      <c r="O366" s="232">
        <v>0</v>
      </c>
      <c r="P366" s="232">
        <v>0</v>
      </c>
      <c r="Q366" s="231">
        <v>1443</v>
      </c>
      <c r="R366" s="232">
        <f t="shared" si="5"/>
        <v>0</v>
      </c>
      <c r="S366" s="231"/>
      <c r="T366" s="232">
        <v>0</v>
      </c>
      <c r="U366" s="233">
        <v>-725</v>
      </c>
      <c r="V366" s="233">
        <v>-725</v>
      </c>
    </row>
    <row r="367" spans="1:22">
      <c r="A367" s="226">
        <v>93681</v>
      </c>
      <c r="B367" s="227" t="s">
        <v>1073</v>
      </c>
      <c r="C367" s="87">
        <v>1.1010000000000001E-4</v>
      </c>
      <c r="D367" s="87">
        <v>1.2769999999999999E-4</v>
      </c>
      <c r="E367" s="231">
        <v>44347.75</v>
      </c>
      <c r="F367" s="231">
        <v>57311</v>
      </c>
      <c r="G367" s="231">
        <v>233669</v>
      </c>
      <c r="H367" s="231"/>
      <c r="I367" s="232">
        <v>4390</v>
      </c>
      <c r="J367" s="232">
        <v>204769</v>
      </c>
      <c r="K367" s="232">
        <v>16004</v>
      </c>
      <c r="L367" s="231">
        <v>409</v>
      </c>
      <c r="M367" s="231"/>
      <c r="N367" s="232">
        <v>8188</v>
      </c>
      <c r="O367" s="232">
        <v>75579</v>
      </c>
      <c r="P367" s="232">
        <v>0</v>
      </c>
      <c r="Q367" s="231">
        <v>17487</v>
      </c>
      <c r="R367" s="232">
        <f t="shared" si="5"/>
        <v>129190</v>
      </c>
      <c r="S367" s="231"/>
      <c r="T367" s="232">
        <v>62456</v>
      </c>
      <c r="U367" s="233">
        <v>-6141</v>
      </c>
      <c r="V367" s="233">
        <v>56315</v>
      </c>
    </row>
    <row r="368" spans="1:22">
      <c r="A368" s="226">
        <v>93691</v>
      </c>
      <c r="B368" s="227" t="s">
        <v>1074</v>
      </c>
      <c r="C368" s="87">
        <v>1.1251E-3</v>
      </c>
      <c r="D368" s="87">
        <v>1.1314999999999999E-3</v>
      </c>
      <c r="E368" s="231">
        <v>407119.95</v>
      </c>
      <c r="F368" s="231">
        <v>507810</v>
      </c>
      <c r="G368" s="231">
        <v>2387839</v>
      </c>
      <c r="H368" s="231"/>
      <c r="I368" s="232">
        <v>44863</v>
      </c>
      <c r="J368" s="232">
        <v>2092508</v>
      </c>
      <c r="K368" s="232">
        <v>163546</v>
      </c>
      <c r="L368" s="231">
        <v>0</v>
      </c>
      <c r="M368" s="231"/>
      <c r="N368" s="232">
        <v>83673</v>
      </c>
      <c r="O368" s="232">
        <v>772334</v>
      </c>
      <c r="P368" s="232">
        <v>0</v>
      </c>
      <c r="Q368" s="231">
        <v>90621</v>
      </c>
      <c r="R368" s="232">
        <f t="shared" si="5"/>
        <v>1320174</v>
      </c>
      <c r="S368" s="231"/>
      <c r="T368" s="232">
        <v>638234</v>
      </c>
      <c r="U368" s="233">
        <v>-28965</v>
      </c>
      <c r="V368" s="233">
        <v>609269</v>
      </c>
    </row>
    <row r="369" spans="1:22">
      <c r="A369" s="226">
        <v>93701</v>
      </c>
      <c r="B369" s="227" t="s">
        <v>1935</v>
      </c>
      <c r="C369" s="87">
        <v>4.6200000000000001E-4</v>
      </c>
      <c r="D369" s="87">
        <v>4.7169999999999997E-4</v>
      </c>
      <c r="E369" s="231">
        <v>182681.63</v>
      </c>
      <c r="F369" s="231">
        <v>211696</v>
      </c>
      <c r="G369" s="231">
        <v>980518.77</v>
      </c>
      <c r="H369" s="231"/>
      <c r="I369" s="232">
        <v>18422.25</v>
      </c>
      <c r="J369" s="232">
        <v>859247</v>
      </c>
      <c r="K369" s="232">
        <v>67157</v>
      </c>
      <c r="L369" s="231">
        <v>13714</v>
      </c>
      <c r="M369" s="231"/>
      <c r="N369" s="232">
        <v>34358</v>
      </c>
      <c r="O369" s="232">
        <v>317144</v>
      </c>
      <c r="P369" s="232">
        <v>0</v>
      </c>
      <c r="Q369" s="231">
        <v>11063</v>
      </c>
      <c r="R369" s="232">
        <f t="shared" si="5"/>
        <v>542103</v>
      </c>
      <c r="S369" s="231"/>
      <c r="T369" s="232">
        <v>262078</v>
      </c>
      <c r="U369" s="233">
        <v>2925</v>
      </c>
      <c r="V369" s="233">
        <v>265003</v>
      </c>
    </row>
    <row r="370" spans="1:22">
      <c r="A370" s="226">
        <v>93704</v>
      </c>
      <c r="B370" s="227" t="s">
        <v>1076</v>
      </c>
      <c r="C370" s="87">
        <v>3.3000000000000002E-6</v>
      </c>
      <c r="D370" s="87">
        <v>3.3000000000000002E-6</v>
      </c>
      <c r="E370" s="231">
        <v>1805.1600000000005</v>
      </c>
      <c r="F370" s="231">
        <v>1481</v>
      </c>
      <c r="G370" s="231">
        <v>7004</v>
      </c>
      <c r="H370" s="231"/>
      <c r="I370" s="232">
        <v>131.58750000000001</v>
      </c>
      <c r="J370" s="232">
        <v>6137</v>
      </c>
      <c r="K370" s="232">
        <v>480</v>
      </c>
      <c r="L370" s="231">
        <v>430</v>
      </c>
      <c r="M370" s="231"/>
      <c r="N370" s="232">
        <v>245</v>
      </c>
      <c r="O370" s="232">
        <v>2265</v>
      </c>
      <c r="P370" s="232">
        <v>0</v>
      </c>
      <c r="Q370" s="231">
        <v>97.51</v>
      </c>
      <c r="R370" s="232">
        <f t="shared" si="5"/>
        <v>3872</v>
      </c>
      <c r="S370" s="231"/>
      <c r="T370" s="232">
        <v>1872</v>
      </c>
      <c r="U370" s="233">
        <v>69</v>
      </c>
      <c r="V370" s="233">
        <v>1941</v>
      </c>
    </row>
    <row r="371" spans="1:22">
      <c r="A371" s="226">
        <v>93801</v>
      </c>
      <c r="B371" s="227" t="s">
        <v>1077</v>
      </c>
      <c r="C371" s="87">
        <v>5.4180000000000005E-4</v>
      </c>
      <c r="D371" s="87">
        <v>4.4959999999999998E-4</v>
      </c>
      <c r="E371" s="231">
        <v>326497.91999999998</v>
      </c>
      <c r="F371" s="231">
        <v>201778</v>
      </c>
      <c r="G371" s="231">
        <v>1149881</v>
      </c>
      <c r="H371" s="231"/>
      <c r="I371" s="232">
        <v>21604</v>
      </c>
      <c r="J371" s="232">
        <v>1007662</v>
      </c>
      <c r="K371" s="232">
        <v>78757</v>
      </c>
      <c r="L371" s="231">
        <v>156479</v>
      </c>
      <c r="M371" s="231"/>
      <c r="N371" s="232">
        <v>40293</v>
      </c>
      <c r="O371" s="232">
        <v>371923</v>
      </c>
      <c r="P371" s="232">
        <v>0</v>
      </c>
      <c r="Q371" s="231">
        <v>2943</v>
      </c>
      <c r="R371" s="232">
        <f t="shared" si="5"/>
        <v>635739</v>
      </c>
      <c r="S371" s="231"/>
      <c r="T371" s="232">
        <v>307346</v>
      </c>
      <c r="U371" s="233">
        <v>41370</v>
      </c>
      <c r="V371" s="233">
        <v>348716</v>
      </c>
    </row>
    <row r="372" spans="1:22">
      <c r="A372" s="226">
        <v>93803</v>
      </c>
      <c r="B372" s="227" t="s">
        <v>1078</v>
      </c>
      <c r="C372" s="87">
        <v>1.4469999999999999E-4</v>
      </c>
      <c r="D372" s="87">
        <v>1.582E-4</v>
      </c>
      <c r="E372" s="231">
        <v>49766.119999999995</v>
      </c>
      <c r="F372" s="231">
        <v>70999</v>
      </c>
      <c r="G372" s="231">
        <v>307102</v>
      </c>
      <c r="H372" s="231"/>
      <c r="I372" s="232">
        <v>5770</v>
      </c>
      <c r="J372" s="232">
        <v>269119</v>
      </c>
      <c r="K372" s="232">
        <v>21034</v>
      </c>
      <c r="L372" s="231">
        <v>0</v>
      </c>
      <c r="M372" s="231"/>
      <c r="N372" s="232">
        <v>10761</v>
      </c>
      <c r="O372" s="232">
        <v>99330</v>
      </c>
      <c r="P372" s="232">
        <v>0</v>
      </c>
      <c r="Q372" s="231">
        <v>34507</v>
      </c>
      <c r="R372" s="232">
        <f t="shared" si="5"/>
        <v>169789</v>
      </c>
      <c r="S372" s="231"/>
      <c r="T372" s="232">
        <v>82084</v>
      </c>
      <c r="U372" s="233">
        <v>-12391</v>
      </c>
      <c r="V372" s="233">
        <v>69693</v>
      </c>
    </row>
    <row r="373" spans="1:22">
      <c r="A373" s="226">
        <v>93806</v>
      </c>
      <c r="B373" s="227" t="s">
        <v>1079</v>
      </c>
      <c r="C373" s="87">
        <v>7.3700000000000002E-5</v>
      </c>
      <c r="D373" s="87">
        <v>7.7899999999999996E-5</v>
      </c>
      <c r="E373" s="231">
        <v>32242.28</v>
      </c>
      <c r="F373" s="231">
        <v>34961</v>
      </c>
      <c r="G373" s="231">
        <v>156416</v>
      </c>
      <c r="H373" s="231"/>
      <c r="I373" s="232">
        <v>2939</v>
      </c>
      <c r="J373" s="232">
        <v>137070</v>
      </c>
      <c r="K373" s="232">
        <v>10713</v>
      </c>
      <c r="L373" s="231">
        <v>1793</v>
      </c>
      <c r="M373" s="231"/>
      <c r="N373" s="232">
        <v>5481</v>
      </c>
      <c r="O373" s="232">
        <v>50592</v>
      </c>
      <c r="P373" s="232">
        <v>0</v>
      </c>
      <c r="Q373" s="231">
        <v>19837</v>
      </c>
      <c r="R373" s="232">
        <f t="shared" si="5"/>
        <v>86478</v>
      </c>
      <c r="S373" s="231"/>
      <c r="T373" s="232">
        <v>41808</v>
      </c>
      <c r="U373" s="233">
        <v>-9153</v>
      </c>
      <c r="V373" s="233">
        <v>32655</v>
      </c>
    </row>
    <row r="374" spans="1:22">
      <c r="A374" s="226">
        <v>93821</v>
      </c>
      <c r="B374" s="227" t="s">
        <v>1080</v>
      </c>
      <c r="C374" s="87">
        <v>5.7200000000000001E-5</v>
      </c>
      <c r="D374" s="87">
        <v>5.2899999999999998E-5</v>
      </c>
      <c r="E374" s="231">
        <v>45354.71</v>
      </c>
      <c r="F374" s="231">
        <v>23741</v>
      </c>
      <c r="G374" s="231">
        <v>121398</v>
      </c>
      <c r="H374" s="231"/>
      <c r="I374" s="232">
        <v>2280.85</v>
      </c>
      <c r="J374" s="232">
        <v>106383</v>
      </c>
      <c r="K374" s="232">
        <v>8315</v>
      </c>
      <c r="L374" s="231">
        <v>26142</v>
      </c>
      <c r="M374" s="231"/>
      <c r="N374" s="232">
        <v>4254</v>
      </c>
      <c r="O374" s="232">
        <v>39265</v>
      </c>
      <c r="P374" s="232">
        <v>0</v>
      </c>
      <c r="Q374" s="231">
        <v>0</v>
      </c>
      <c r="R374" s="232">
        <f t="shared" si="5"/>
        <v>67118</v>
      </c>
      <c r="S374" s="231"/>
      <c r="T374" s="232">
        <v>32448</v>
      </c>
      <c r="U374" s="233">
        <v>7718</v>
      </c>
      <c r="V374" s="233">
        <v>40166</v>
      </c>
    </row>
    <row r="375" spans="1:22">
      <c r="A375" s="226">
        <v>93901</v>
      </c>
      <c r="B375" s="227" t="s">
        <v>1081</v>
      </c>
      <c r="C375" s="87">
        <v>1.8059E-3</v>
      </c>
      <c r="D375" s="87">
        <v>1.7983999999999999E-3</v>
      </c>
      <c r="E375" s="231">
        <v>780735.88</v>
      </c>
      <c r="F375" s="231">
        <v>807111</v>
      </c>
      <c r="G375" s="231">
        <v>3832725</v>
      </c>
      <c r="H375" s="231"/>
      <c r="I375" s="232">
        <v>72010</v>
      </c>
      <c r="J375" s="232">
        <v>3358689</v>
      </c>
      <c r="K375" s="232">
        <v>262507</v>
      </c>
      <c r="L375" s="231">
        <v>66837</v>
      </c>
      <c r="M375" s="231"/>
      <c r="N375" s="232">
        <v>134303</v>
      </c>
      <c r="O375" s="232">
        <v>1239675</v>
      </c>
      <c r="P375" s="232">
        <v>0</v>
      </c>
      <c r="Q375" s="231">
        <v>0</v>
      </c>
      <c r="R375" s="232">
        <f t="shared" si="5"/>
        <v>2119014</v>
      </c>
      <c r="S375" s="231"/>
      <c r="T375" s="232">
        <v>1024431</v>
      </c>
      <c r="U375" s="233">
        <v>21679</v>
      </c>
      <c r="V375" s="233">
        <v>1046110</v>
      </c>
    </row>
    <row r="376" spans="1:22">
      <c r="A376" s="226">
        <v>93904</v>
      </c>
      <c r="B376" s="227" t="s">
        <v>1082</v>
      </c>
      <c r="C376" s="87">
        <v>2.4700000000000001E-5</v>
      </c>
      <c r="D376" s="87">
        <v>2.5700000000000001E-5</v>
      </c>
      <c r="E376" s="231">
        <v>12993.06</v>
      </c>
      <c r="F376" s="231">
        <v>11534</v>
      </c>
      <c r="G376" s="231">
        <v>52422</v>
      </c>
      <c r="H376" s="231"/>
      <c r="I376" s="232">
        <v>984.91250000000002</v>
      </c>
      <c r="J376" s="232">
        <v>45938</v>
      </c>
      <c r="K376" s="232">
        <v>3590</v>
      </c>
      <c r="L376" s="231">
        <v>4911</v>
      </c>
      <c r="M376" s="231"/>
      <c r="N376" s="232">
        <v>1837</v>
      </c>
      <c r="O376" s="232">
        <v>16956</v>
      </c>
      <c r="P376" s="232">
        <v>0</v>
      </c>
      <c r="Q376" s="231">
        <v>56</v>
      </c>
      <c r="R376" s="232">
        <f t="shared" si="5"/>
        <v>28982</v>
      </c>
      <c r="S376" s="231"/>
      <c r="T376" s="232">
        <v>14012</v>
      </c>
      <c r="U376" s="233">
        <v>1550</v>
      </c>
      <c r="V376" s="233">
        <v>15562</v>
      </c>
    </row>
    <row r="377" spans="1:22">
      <c r="A377" s="226">
        <v>93906</v>
      </c>
      <c r="B377" s="227" t="s">
        <v>1083</v>
      </c>
      <c r="C377" s="87">
        <v>3.4513E-3</v>
      </c>
      <c r="D377" s="87">
        <v>3.4020000000000001E-3</v>
      </c>
      <c r="E377" s="231">
        <v>1324474.51</v>
      </c>
      <c r="F377" s="231">
        <v>1526797</v>
      </c>
      <c r="G377" s="231">
        <v>7324815</v>
      </c>
      <c r="H377" s="231"/>
      <c r="I377" s="232">
        <v>137621</v>
      </c>
      <c r="J377" s="232">
        <v>6418873</v>
      </c>
      <c r="K377" s="232">
        <v>501684</v>
      </c>
      <c r="L377" s="231">
        <v>30117</v>
      </c>
      <c r="M377" s="231"/>
      <c r="N377" s="232">
        <v>256670</v>
      </c>
      <c r="O377" s="232">
        <v>2369172</v>
      </c>
      <c r="P377" s="232">
        <v>0</v>
      </c>
      <c r="Q377" s="231">
        <v>185682</v>
      </c>
      <c r="R377" s="232">
        <f t="shared" si="5"/>
        <v>4049701</v>
      </c>
      <c r="S377" s="231"/>
      <c r="T377" s="232">
        <v>1957815</v>
      </c>
      <c r="U377" s="233">
        <v>-46065</v>
      </c>
      <c r="V377" s="233">
        <v>1911751</v>
      </c>
    </row>
    <row r="378" spans="1:22">
      <c r="A378" s="226">
        <v>93908</v>
      </c>
      <c r="B378" s="227" t="s">
        <v>1936</v>
      </c>
      <c r="C378" s="87">
        <v>5.0239999999999996E-4</v>
      </c>
      <c r="D378" s="87">
        <v>5.1309999999999995E-4</v>
      </c>
      <c r="E378" s="231">
        <v>209822.77999999997</v>
      </c>
      <c r="F378" s="231">
        <v>230276</v>
      </c>
      <c r="G378" s="231">
        <v>1066261</v>
      </c>
      <c r="H378" s="231"/>
      <c r="I378" s="232">
        <v>20033</v>
      </c>
      <c r="J378" s="232">
        <v>934385</v>
      </c>
      <c r="K378" s="232">
        <v>73029</v>
      </c>
      <c r="L378" s="231">
        <v>8428</v>
      </c>
      <c r="M378" s="231"/>
      <c r="N378" s="232">
        <v>37363</v>
      </c>
      <c r="O378" s="232">
        <v>344876</v>
      </c>
      <c r="P378" s="232">
        <v>0</v>
      </c>
      <c r="Q378" s="231">
        <v>25053</v>
      </c>
      <c r="R378" s="232">
        <f t="shared" si="5"/>
        <v>589509</v>
      </c>
      <c r="S378" s="231"/>
      <c r="T378" s="232">
        <v>284996</v>
      </c>
      <c r="U378" s="233">
        <v>-4339</v>
      </c>
      <c r="V378" s="233">
        <v>280657</v>
      </c>
    </row>
    <row r="379" spans="1:22">
      <c r="A379" s="226">
        <v>93910</v>
      </c>
      <c r="B379" s="227" t="s">
        <v>1085</v>
      </c>
      <c r="C379" s="87">
        <v>2.9129999999999998E-4</v>
      </c>
      <c r="D379" s="87">
        <v>2.8830000000000001E-4</v>
      </c>
      <c r="E379" s="231">
        <v>105004.28000000001</v>
      </c>
      <c r="F379" s="231">
        <v>129387</v>
      </c>
      <c r="G379" s="231">
        <v>618236</v>
      </c>
      <c r="H379" s="231"/>
      <c r="I379" s="232">
        <v>11616</v>
      </c>
      <c r="J379" s="232">
        <v>541772</v>
      </c>
      <c r="K379" s="232">
        <v>42344</v>
      </c>
      <c r="L379" s="231">
        <v>0</v>
      </c>
      <c r="M379" s="231"/>
      <c r="N379" s="232">
        <v>21664</v>
      </c>
      <c r="O379" s="232">
        <v>199965</v>
      </c>
      <c r="P379" s="232">
        <v>0</v>
      </c>
      <c r="Q379" s="231">
        <v>27549</v>
      </c>
      <c r="R379" s="232">
        <f t="shared" si="5"/>
        <v>341807</v>
      </c>
      <c r="S379" s="231"/>
      <c r="T379" s="232">
        <v>165245</v>
      </c>
      <c r="U379" s="233">
        <v>-10320</v>
      </c>
      <c r="V379" s="233">
        <v>154925</v>
      </c>
    </row>
    <row r="380" spans="1:22">
      <c r="A380" s="226">
        <v>93911</v>
      </c>
      <c r="B380" s="227" t="s">
        <v>1086</v>
      </c>
      <c r="C380" s="87">
        <v>6.9890000000000002E-4</v>
      </c>
      <c r="D380" s="87">
        <v>7.1869999999999996E-4</v>
      </c>
      <c r="E380" s="231">
        <v>267489.03999999998</v>
      </c>
      <c r="F380" s="231">
        <v>322548</v>
      </c>
      <c r="G380" s="231">
        <v>1483300</v>
      </c>
      <c r="H380" s="231"/>
      <c r="I380" s="232">
        <v>27869</v>
      </c>
      <c r="J380" s="232">
        <v>1299844</v>
      </c>
      <c r="K380" s="232">
        <v>101593</v>
      </c>
      <c r="L380" s="231">
        <v>21802</v>
      </c>
      <c r="M380" s="231"/>
      <c r="N380" s="232">
        <v>51976</v>
      </c>
      <c r="O380" s="232">
        <v>479765</v>
      </c>
      <c r="P380" s="232">
        <v>0</v>
      </c>
      <c r="Q380" s="231">
        <v>26554</v>
      </c>
      <c r="R380" s="232">
        <f t="shared" si="5"/>
        <v>820079</v>
      </c>
      <c r="S380" s="231"/>
      <c r="T380" s="232">
        <v>396464</v>
      </c>
      <c r="U380" s="233">
        <v>1748</v>
      </c>
      <c r="V380" s="233">
        <v>398212</v>
      </c>
    </row>
    <row r="381" spans="1:22">
      <c r="A381" s="226">
        <v>93913</v>
      </c>
      <c r="B381" s="227" t="s">
        <v>1087</v>
      </c>
      <c r="C381" s="87">
        <v>6.2600000000000004E-5</v>
      </c>
      <c r="D381" s="87">
        <v>5.5699999999999999E-5</v>
      </c>
      <c r="E381" s="231">
        <v>25969.759999999998</v>
      </c>
      <c r="F381" s="231">
        <v>24998</v>
      </c>
      <c r="G381" s="231">
        <v>132858</v>
      </c>
      <c r="H381" s="231"/>
      <c r="I381" s="232">
        <v>2496</v>
      </c>
      <c r="J381" s="232">
        <v>116426</v>
      </c>
      <c r="K381" s="232">
        <v>9100</v>
      </c>
      <c r="L381" s="231">
        <v>3917</v>
      </c>
      <c r="M381" s="231"/>
      <c r="N381" s="232">
        <v>4655</v>
      </c>
      <c r="O381" s="232">
        <v>42972</v>
      </c>
      <c r="P381" s="232">
        <v>0</v>
      </c>
      <c r="Q381" s="231">
        <v>1335</v>
      </c>
      <c r="R381" s="232">
        <f t="shared" si="5"/>
        <v>73454</v>
      </c>
      <c r="S381" s="231"/>
      <c r="T381" s="232">
        <v>35511</v>
      </c>
      <c r="U381" s="233">
        <v>530</v>
      </c>
      <c r="V381" s="233">
        <v>36041</v>
      </c>
    </row>
    <row r="382" spans="1:22">
      <c r="A382" s="226">
        <v>93914</v>
      </c>
      <c r="B382" s="227" t="s">
        <v>1088</v>
      </c>
      <c r="C382" s="87">
        <v>9.0999999999999993E-6</v>
      </c>
      <c r="D382" s="87">
        <v>1.0000000000000001E-5</v>
      </c>
      <c r="E382" s="231">
        <v>5837.72</v>
      </c>
      <c r="F382" s="231">
        <v>4488</v>
      </c>
      <c r="G382" s="231">
        <v>19313</v>
      </c>
      <c r="H382" s="231"/>
      <c r="I382" s="232">
        <v>363</v>
      </c>
      <c r="J382" s="232">
        <v>16925</v>
      </c>
      <c r="K382" s="232">
        <v>1323</v>
      </c>
      <c r="L382" s="231">
        <v>3108</v>
      </c>
      <c r="M382" s="231"/>
      <c r="N382" s="232">
        <v>677</v>
      </c>
      <c r="O382" s="232">
        <v>6247</v>
      </c>
      <c r="P382" s="232">
        <v>0</v>
      </c>
      <c r="Q382" s="231">
        <v>0</v>
      </c>
      <c r="R382" s="232">
        <f t="shared" si="5"/>
        <v>10678</v>
      </c>
      <c r="S382" s="231"/>
      <c r="T382" s="232">
        <v>5162</v>
      </c>
      <c r="U382" s="233">
        <v>1124</v>
      </c>
      <c r="V382" s="233">
        <v>6287</v>
      </c>
    </row>
    <row r="383" spans="1:22">
      <c r="A383" s="226">
        <v>93921</v>
      </c>
      <c r="B383" s="227" t="s">
        <v>1089</v>
      </c>
      <c r="C383" s="87">
        <v>2.7139999999999998E-4</v>
      </c>
      <c r="D383" s="87">
        <v>2.8130000000000001E-4</v>
      </c>
      <c r="E383" s="231">
        <v>109806.1</v>
      </c>
      <c r="F383" s="231">
        <v>126246</v>
      </c>
      <c r="G383" s="231">
        <v>576002</v>
      </c>
      <c r="H383" s="231"/>
      <c r="I383" s="232">
        <v>10822</v>
      </c>
      <c r="J383" s="232">
        <v>504761</v>
      </c>
      <c r="K383" s="232">
        <v>39451</v>
      </c>
      <c r="L383" s="231">
        <v>14895</v>
      </c>
      <c r="M383" s="231"/>
      <c r="N383" s="232">
        <v>20184</v>
      </c>
      <c r="O383" s="232">
        <v>186305</v>
      </c>
      <c r="P383" s="232">
        <v>0</v>
      </c>
      <c r="Q383" s="231">
        <v>6797</v>
      </c>
      <c r="R383" s="232">
        <f t="shared" si="5"/>
        <v>318456</v>
      </c>
      <c r="S383" s="231"/>
      <c r="T383" s="232">
        <v>153957</v>
      </c>
      <c r="U383" s="233">
        <v>4443</v>
      </c>
      <c r="V383" s="233">
        <v>158400</v>
      </c>
    </row>
    <row r="384" spans="1:22">
      <c r="A384" s="226">
        <v>93931</v>
      </c>
      <c r="B384" s="227" t="s">
        <v>1090</v>
      </c>
      <c r="C384" s="87">
        <v>5.2260000000000002E-4</v>
      </c>
      <c r="D384" s="87">
        <v>5.1309999999999995E-4</v>
      </c>
      <c r="E384" s="231">
        <v>190729.08000000002</v>
      </c>
      <c r="F384" s="231">
        <v>230276</v>
      </c>
      <c r="G384" s="231">
        <v>1109132</v>
      </c>
      <c r="H384" s="231"/>
      <c r="I384" s="232">
        <v>20839</v>
      </c>
      <c r="J384" s="232">
        <v>971953</v>
      </c>
      <c r="K384" s="232">
        <v>75966</v>
      </c>
      <c r="L384" s="231">
        <v>197494</v>
      </c>
      <c r="M384" s="231"/>
      <c r="N384" s="232">
        <v>38865</v>
      </c>
      <c r="O384" s="232">
        <v>358743</v>
      </c>
      <c r="P384" s="232">
        <v>0</v>
      </c>
      <c r="Q384" s="231">
        <v>14064</v>
      </c>
      <c r="R384" s="232">
        <f t="shared" si="5"/>
        <v>613210</v>
      </c>
      <c r="S384" s="231"/>
      <c r="T384" s="232">
        <v>296455</v>
      </c>
      <c r="U384" s="233">
        <v>86279</v>
      </c>
      <c r="V384" s="233">
        <v>382733</v>
      </c>
    </row>
    <row r="385" spans="1:22">
      <c r="A385" s="226">
        <v>94001</v>
      </c>
      <c r="B385" s="227" t="s">
        <v>1091</v>
      </c>
      <c r="C385" s="87">
        <v>9.0240000000000003E-4</v>
      </c>
      <c r="D385" s="87">
        <v>8.1820000000000005E-4</v>
      </c>
      <c r="E385" s="231">
        <v>359460.23999999993</v>
      </c>
      <c r="F385" s="231">
        <v>367203</v>
      </c>
      <c r="G385" s="231">
        <v>1915195</v>
      </c>
      <c r="H385" s="231"/>
      <c r="I385" s="232">
        <v>35983</v>
      </c>
      <c r="J385" s="232">
        <v>1678321</v>
      </c>
      <c r="K385" s="232">
        <v>131174</v>
      </c>
      <c r="L385" s="231">
        <v>36363</v>
      </c>
      <c r="M385" s="231"/>
      <c r="N385" s="232">
        <v>67111</v>
      </c>
      <c r="O385" s="232">
        <v>619460</v>
      </c>
      <c r="P385" s="232">
        <v>0</v>
      </c>
      <c r="Q385" s="231">
        <v>53646</v>
      </c>
      <c r="R385" s="232">
        <f t="shared" si="5"/>
        <v>1058861</v>
      </c>
      <c r="S385" s="231"/>
      <c r="T385" s="232">
        <v>511904</v>
      </c>
      <c r="U385" s="233">
        <v>-17058</v>
      </c>
      <c r="V385" s="233">
        <v>494846</v>
      </c>
    </row>
    <row r="386" spans="1:22">
      <c r="A386" s="226">
        <v>94002</v>
      </c>
      <c r="B386" s="227" t="s">
        <v>1092</v>
      </c>
      <c r="C386" s="87">
        <v>7.6000000000000001E-6</v>
      </c>
      <c r="D386" s="87">
        <v>8.3000000000000002E-6</v>
      </c>
      <c r="E386" s="231">
        <v>4360.1499999999987</v>
      </c>
      <c r="F386" s="231">
        <v>3725</v>
      </c>
      <c r="G386" s="231">
        <v>16130</v>
      </c>
      <c r="H386" s="231"/>
      <c r="I386" s="232">
        <v>303.05</v>
      </c>
      <c r="J386" s="232">
        <v>14135</v>
      </c>
      <c r="K386" s="232">
        <v>1105</v>
      </c>
      <c r="L386" s="231">
        <v>867</v>
      </c>
      <c r="M386" s="231"/>
      <c r="N386" s="232">
        <v>565</v>
      </c>
      <c r="O386" s="232">
        <v>5217</v>
      </c>
      <c r="P386" s="232">
        <v>0</v>
      </c>
      <c r="Q386" s="231">
        <v>430</v>
      </c>
      <c r="R386" s="232">
        <f t="shared" si="5"/>
        <v>8918</v>
      </c>
      <c r="S386" s="231"/>
      <c r="T386" s="232">
        <v>4311</v>
      </c>
      <c r="U386" s="233">
        <v>34</v>
      </c>
      <c r="V386" s="233">
        <v>4345</v>
      </c>
    </row>
    <row r="387" spans="1:22">
      <c r="A387" s="226">
        <v>94004</v>
      </c>
      <c r="B387" s="227" t="s">
        <v>1093</v>
      </c>
      <c r="C387" s="87">
        <v>2.7999999999999999E-6</v>
      </c>
      <c r="D387" s="87">
        <v>2.2000000000000001E-6</v>
      </c>
      <c r="E387" s="231">
        <v>2638.89</v>
      </c>
      <c r="F387" s="231">
        <v>987</v>
      </c>
      <c r="G387" s="231">
        <v>5943</v>
      </c>
      <c r="H387" s="231"/>
      <c r="I387" s="232">
        <v>112</v>
      </c>
      <c r="J387" s="232">
        <v>5208</v>
      </c>
      <c r="K387" s="232">
        <v>407</v>
      </c>
      <c r="L387" s="231">
        <v>1506</v>
      </c>
      <c r="M387" s="231"/>
      <c r="N387" s="232">
        <v>208</v>
      </c>
      <c r="O387" s="232">
        <v>1922</v>
      </c>
      <c r="P387" s="232">
        <v>0</v>
      </c>
      <c r="Q387" s="231">
        <v>1224</v>
      </c>
      <c r="R387" s="232">
        <f t="shared" si="5"/>
        <v>3286</v>
      </c>
      <c r="S387" s="231"/>
      <c r="T387" s="232">
        <v>1588</v>
      </c>
      <c r="U387" s="233">
        <v>-207</v>
      </c>
      <c r="V387" s="233">
        <v>1381</v>
      </c>
    </row>
    <row r="388" spans="1:22">
      <c r="A388" s="226">
        <v>94005</v>
      </c>
      <c r="B388" s="227" t="s">
        <v>1094</v>
      </c>
      <c r="C388" s="87">
        <v>5.4999999999999999E-6</v>
      </c>
      <c r="D388" s="87">
        <v>6.2999999999999998E-6</v>
      </c>
      <c r="E388" s="231">
        <v>0</v>
      </c>
      <c r="F388" s="231">
        <v>2827</v>
      </c>
      <c r="G388" s="231">
        <v>11673</v>
      </c>
      <c r="H388" s="231"/>
      <c r="I388" s="232">
        <v>219.3125</v>
      </c>
      <c r="J388" s="232">
        <v>10229</v>
      </c>
      <c r="K388" s="232">
        <v>799</v>
      </c>
      <c r="L388" s="231">
        <v>0</v>
      </c>
      <c r="M388" s="231"/>
      <c r="N388" s="232">
        <v>409</v>
      </c>
      <c r="O388" s="232">
        <v>3776</v>
      </c>
      <c r="P388" s="232">
        <v>0</v>
      </c>
      <c r="Q388" s="231">
        <v>3798</v>
      </c>
      <c r="R388" s="232">
        <f t="shared" si="5"/>
        <v>6453</v>
      </c>
      <c r="S388" s="231"/>
      <c r="T388" s="232">
        <v>3120</v>
      </c>
      <c r="U388" s="233">
        <v>-1174</v>
      </c>
      <c r="V388" s="233">
        <v>1946</v>
      </c>
    </row>
    <row r="389" spans="1:22">
      <c r="A389" s="226">
        <v>94011</v>
      </c>
      <c r="B389" s="227" t="s">
        <v>1095</v>
      </c>
      <c r="C389" s="87">
        <v>2.5599999999999999E-5</v>
      </c>
      <c r="D389" s="87">
        <v>1.3900000000000001E-5</v>
      </c>
      <c r="E389" s="231">
        <v>8013.12</v>
      </c>
      <c r="F389" s="231">
        <v>6238</v>
      </c>
      <c r="G389" s="231">
        <v>54332</v>
      </c>
      <c r="H389" s="231"/>
      <c r="I389" s="232">
        <v>1020.8</v>
      </c>
      <c r="J389" s="232">
        <v>47612</v>
      </c>
      <c r="K389" s="232">
        <v>3721</v>
      </c>
      <c r="L389" s="231">
        <v>4341</v>
      </c>
      <c r="M389" s="231"/>
      <c r="N389" s="232">
        <v>1904</v>
      </c>
      <c r="O389" s="232">
        <v>17573</v>
      </c>
      <c r="P389" s="232">
        <v>0</v>
      </c>
      <c r="Q389" s="231">
        <v>1019</v>
      </c>
      <c r="R389" s="232">
        <f t="shared" si="5"/>
        <v>30039</v>
      </c>
      <c r="S389" s="231"/>
      <c r="T389" s="232">
        <v>14522</v>
      </c>
      <c r="U389" s="233">
        <v>639</v>
      </c>
      <c r="V389" s="233">
        <v>15161</v>
      </c>
    </row>
    <row r="390" spans="1:22">
      <c r="A390" s="226">
        <v>94021</v>
      </c>
      <c r="B390" s="227" t="s">
        <v>1096</v>
      </c>
      <c r="C390" s="87">
        <v>8.1699999999999994E-5</v>
      </c>
      <c r="D390" s="87">
        <v>7.6899999999999999E-5</v>
      </c>
      <c r="E390" s="231">
        <v>34891.089999999997</v>
      </c>
      <c r="F390" s="231">
        <v>34512</v>
      </c>
      <c r="G390" s="231">
        <v>173395</v>
      </c>
      <c r="H390" s="231"/>
      <c r="I390" s="232">
        <v>3258</v>
      </c>
      <c r="J390" s="232">
        <v>151949</v>
      </c>
      <c r="K390" s="232">
        <v>11876</v>
      </c>
      <c r="L390" s="231">
        <v>14318</v>
      </c>
      <c r="M390" s="231"/>
      <c r="N390" s="232">
        <v>6076</v>
      </c>
      <c r="O390" s="232">
        <v>56084</v>
      </c>
      <c r="P390" s="232">
        <v>0</v>
      </c>
      <c r="Q390" s="231">
        <v>0</v>
      </c>
      <c r="R390" s="232">
        <f t="shared" si="5"/>
        <v>95865</v>
      </c>
      <c r="S390" s="231"/>
      <c r="T390" s="232">
        <v>46346</v>
      </c>
      <c r="U390" s="233">
        <v>5712</v>
      </c>
      <c r="V390" s="233">
        <v>52058</v>
      </c>
    </row>
    <row r="391" spans="1:22">
      <c r="A391" s="226">
        <v>94031</v>
      </c>
      <c r="B391" s="227" t="s">
        <v>1097</v>
      </c>
      <c r="C391" s="87">
        <v>8.1000000000000004E-6</v>
      </c>
      <c r="D391" s="87">
        <v>6.9E-6</v>
      </c>
      <c r="E391" s="231">
        <v>7705.65</v>
      </c>
      <c r="F391" s="231">
        <v>3097</v>
      </c>
      <c r="G391" s="231">
        <v>17191</v>
      </c>
      <c r="H391" s="231"/>
      <c r="I391" s="232">
        <v>322.98750000000001</v>
      </c>
      <c r="J391" s="232">
        <v>15065</v>
      </c>
      <c r="K391" s="232">
        <v>1177</v>
      </c>
      <c r="L391" s="231">
        <v>8044</v>
      </c>
      <c r="M391" s="231"/>
      <c r="N391" s="232">
        <v>602</v>
      </c>
      <c r="O391" s="232">
        <v>5560</v>
      </c>
      <c r="P391" s="232">
        <v>0</v>
      </c>
      <c r="Q391" s="231">
        <v>81.59</v>
      </c>
      <c r="R391" s="232">
        <f t="shared" si="5"/>
        <v>9505</v>
      </c>
      <c r="S391" s="231"/>
      <c r="T391" s="232">
        <v>4595</v>
      </c>
      <c r="U391" s="233">
        <v>2417</v>
      </c>
      <c r="V391" s="233">
        <v>7012</v>
      </c>
    </row>
    <row r="392" spans="1:22">
      <c r="A392" s="226">
        <v>94101</v>
      </c>
      <c r="B392" s="227" t="s">
        <v>1098</v>
      </c>
      <c r="C392" s="87">
        <v>1.85028E-2</v>
      </c>
      <c r="D392" s="87">
        <v>1.9464599999999999E-2</v>
      </c>
      <c r="E392" s="231">
        <v>7542805.6200000001</v>
      </c>
      <c r="F392" s="231">
        <v>8735596</v>
      </c>
      <c r="G392" s="231">
        <v>39269140</v>
      </c>
      <c r="H392" s="231"/>
      <c r="I392" s="232">
        <v>737799.15</v>
      </c>
      <c r="J392" s="232">
        <v>34412285</v>
      </c>
      <c r="K392" s="232">
        <v>2689586</v>
      </c>
      <c r="L392" s="231">
        <v>420795</v>
      </c>
      <c r="M392" s="231"/>
      <c r="N392" s="232">
        <v>1376035</v>
      </c>
      <c r="O392" s="232">
        <v>12701395</v>
      </c>
      <c r="P392" s="232">
        <v>0</v>
      </c>
      <c r="Q392" s="231">
        <v>1094802</v>
      </c>
      <c r="R392" s="232">
        <f t="shared" si="5"/>
        <v>21710890</v>
      </c>
      <c r="S392" s="231"/>
      <c r="T392" s="232">
        <v>10496065</v>
      </c>
      <c r="U392" s="233">
        <v>-261265</v>
      </c>
      <c r="V392" s="233">
        <v>10234799</v>
      </c>
    </row>
    <row r="393" spans="1:22">
      <c r="A393" s="226">
        <v>94102</v>
      </c>
      <c r="B393" s="227" t="s">
        <v>1099</v>
      </c>
      <c r="C393" s="87">
        <v>2.7569999999999998E-4</v>
      </c>
      <c r="D393" s="87">
        <v>2.7809999999999998E-4</v>
      </c>
      <c r="E393" s="231">
        <v>89848.97</v>
      </c>
      <c r="F393" s="231">
        <v>124810</v>
      </c>
      <c r="G393" s="231">
        <v>585128</v>
      </c>
      <c r="H393" s="231"/>
      <c r="I393" s="232">
        <v>10994</v>
      </c>
      <c r="J393" s="232">
        <v>512758</v>
      </c>
      <c r="K393" s="232">
        <v>40076</v>
      </c>
      <c r="L393" s="231">
        <v>5166</v>
      </c>
      <c r="M393" s="231"/>
      <c r="N393" s="232">
        <v>20504</v>
      </c>
      <c r="O393" s="232">
        <v>189256</v>
      </c>
      <c r="P393" s="232">
        <v>0</v>
      </c>
      <c r="Q393" s="231">
        <v>36634</v>
      </c>
      <c r="R393" s="232">
        <f t="shared" ref="R393:R456" si="6">IF(J393&gt;O393,J393-O393,O393-J393)</f>
        <v>323502</v>
      </c>
      <c r="S393" s="231"/>
      <c r="T393" s="232">
        <v>156396</v>
      </c>
      <c r="U393" s="233">
        <v>-8485</v>
      </c>
      <c r="V393" s="233">
        <v>147911</v>
      </c>
    </row>
    <row r="394" spans="1:22">
      <c r="A394" s="226">
        <v>94108</v>
      </c>
      <c r="B394" s="227" t="s">
        <v>1100</v>
      </c>
      <c r="C394" s="87">
        <v>3.1809999999999998E-4</v>
      </c>
      <c r="D394" s="87">
        <v>3.991E-4</v>
      </c>
      <c r="E394" s="231">
        <v>100947.51999999999</v>
      </c>
      <c r="F394" s="231">
        <v>179114</v>
      </c>
      <c r="G394" s="231">
        <v>675115</v>
      </c>
      <c r="H394" s="231"/>
      <c r="I394" s="232">
        <v>12684</v>
      </c>
      <c r="J394" s="232">
        <v>591616</v>
      </c>
      <c r="K394" s="232">
        <v>46239</v>
      </c>
      <c r="L394" s="231">
        <v>0</v>
      </c>
      <c r="M394" s="231"/>
      <c r="N394" s="232">
        <v>23657</v>
      </c>
      <c r="O394" s="232">
        <v>218362</v>
      </c>
      <c r="P394" s="232">
        <v>0</v>
      </c>
      <c r="Q394" s="231">
        <v>121376</v>
      </c>
      <c r="R394" s="232">
        <f t="shared" si="6"/>
        <v>373254</v>
      </c>
      <c r="S394" s="231"/>
      <c r="T394" s="232">
        <v>180448</v>
      </c>
      <c r="U394" s="233">
        <v>-40521</v>
      </c>
      <c r="V394" s="233">
        <v>139927</v>
      </c>
    </row>
    <row r="395" spans="1:22">
      <c r="A395" s="226">
        <v>94109</v>
      </c>
      <c r="B395" s="227" t="s">
        <v>1101</v>
      </c>
      <c r="C395" s="87">
        <v>1.0399999999999999E-4</v>
      </c>
      <c r="D395" s="87">
        <v>1.359E-4</v>
      </c>
      <c r="E395" s="231">
        <v>30807.5</v>
      </c>
      <c r="F395" s="231">
        <v>60991</v>
      </c>
      <c r="G395" s="231">
        <v>220722.84</v>
      </c>
      <c r="H395" s="231"/>
      <c r="I395" s="232">
        <v>4147</v>
      </c>
      <c r="J395" s="232">
        <v>193424</v>
      </c>
      <c r="K395" s="232">
        <v>15118</v>
      </c>
      <c r="L395" s="231">
        <v>1600</v>
      </c>
      <c r="M395" s="231"/>
      <c r="N395" s="232">
        <v>7734</v>
      </c>
      <c r="O395" s="232">
        <v>71392</v>
      </c>
      <c r="P395" s="232">
        <v>0</v>
      </c>
      <c r="Q395" s="231">
        <v>33989</v>
      </c>
      <c r="R395" s="232">
        <f t="shared" si="6"/>
        <v>122032</v>
      </c>
      <c r="S395" s="231"/>
      <c r="T395" s="232">
        <v>58996</v>
      </c>
      <c r="U395" s="233">
        <v>-8690</v>
      </c>
      <c r="V395" s="233">
        <v>50306</v>
      </c>
    </row>
    <row r="396" spans="1:22">
      <c r="A396" s="226">
        <v>94111</v>
      </c>
      <c r="B396" s="227" t="s">
        <v>1102</v>
      </c>
      <c r="C396" s="87">
        <v>2.5623300000000002E-2</v>
      </c>
      <c r="D396" s="87">
        <v>2.7054000000000002E-2</v>
      </c>
      <c r="E396" s="231">
        <v>10028319.130000001</v>
      </c>
      <c r="F396" s="231">
        <v>12141673</v>
      </c>
      <c r="G396" s="231">
        <v>54381226</v>
      </c>
      <c r="H396" s="231"/>
      <c r="I396" s="232">
        <v>1021729</v>
      </c>
      <c r="J396" s="232">
        <v>47655290</v>
      </c>
      <c r="K396" s="232">
        <v>3724629</v>
      </c>
      <c r="L396" s="231">
        <v>15132</v>
      </c>
      <c r="M396" s="231"/>
      <c r="N396" s="232">
        <v>1905579</v>
      </c>
      <c r="O396" s="232">
        <v>17589319</v>
      </c>
      <c r="P396" s="232">
        <v>0</v>
      </c>
      <c r="Q396" s="231">
        <v>1552982</v>
      </c>
      <c r="R396" s="232">
        <f t="shared" si="6"/>
        <v>30065971</v>
      </c>
      <c r="S396" s="231"/>
      <c r="T396" s="232">
        <v>14535304</v>
      </c>
      <c r="U396" s="233">
        <v>-430419</v>
      </c>
      <c r="V396" s="233">
        <v>14104885</v>
      </c>
    </row>
    <row r="397" spans="1:22">
      <c r="A397" s="226">
        <v>94112</v>
      </c>
      <c r="B397" s="227" t="s">
        <v>1103</v>
      </c>
      <c r="C397" s="87">
        <v>1.6530000000000001E-4</v>
      </c>
      <c r="D397" s="87">
        <v>1.6909999999999999E-4</v>
      </c>
      <c r="E397" s="231">
        <v>58678.14</v>
      </c>
      <c r="F397" s="231">
        <v>75891</v>
      </c>
      <c r="G397" s="231">
        <v>350822</v>
      </c>
      <c r="H397" s="231"/>
      <c r="I397" s="232">
        <v>6591</v>
      </c>
      <c r="J397" s="232">
        <v>307432</v>
      </c>
      <c r="K397" s="232">
        <v>24028</v>
      </c>
      <c r="L397" s="231">
        <v>0</v>
      </c>
      <c r="M397" s="231"/>
      <c r="N397" s="232">
        <v>12293</v>
      </c>
      <c r="O397" s="232">
        <v>113472</v>
      </c>
      <c r="P397" s="232">
        <v>0</v>
      </c>
      <c r="Q397" s="231">
        <v>20904</v>
      </c>
      <c r="R397" s="232">
        <f t="shared" si="6"/>
        <v>193960</v>
      </c>
      <c r="S397" s="231"/>
      <c r="T397" s="232">
        <v>93770</v>
      </c>
      <c r="U397" s="233">
        <v>-7213</v>
      </c>
      <c r="V397" s="233">
        <v>86557</v>
      </c>
    </row>
    <row r="398" spans="1:22">
      <c r="A398" s="226">
        <v>94117</v>
      </c>
      <c r="B398" s="227" t="s">
        <v>1104</v>
      </c>
      <c r="C398" s="87">
        <v>4.0709999999999997E-4</v>
      </c>
      <c r="D398" s="87">
        <v>4.17E-4</v>
      </c>
      <c r="E398" s="231">
        <v>162037.82999999999</v>
      </c>
      <c r="F398" s="231">
        <v>187147</v>
      </c>
      <c r="G398" s="231">
        <v>864003</v>
      </c>
      <c r="H398" s="231"/>
      <c r="I398" s="232">
        <v>16233</v>
      </c>
      <c r="J398" s="232">
        <v>757142</v>
      </c>
      <c r="K398" s="232">
        <v>59176</v>
      </c>
      <c r="L398" s="231">
        <v>12662</v>
      </c>
      <c r="M398" s="231"/>
      <c r="N398" s="232">
        <v>30276</v>
      </c>
      <c r="O398" s="232">
        <v>279457</v>
      </c>
      <c r="P398" s="232">
        <v>0</v>
      </c>
      <c r="Q398" s="231">
        <v>9635</v>
      </c>
      <c r="R398" s="232">
        <f t="shared" si="6"/>
        <v>477685</v>
      </c>
      <c r="S398" s="231"/>
      <c r="T398" s="232">
        <v>230935</v>
      </c>
      <c r="U398" s="233">
        <v>2033</v>
      </c>
      <c r="V398" s="233">
        <v>232968</v>
      </c>
    </row>
    <row r="399" spans="1:22">
      <c r="A399" s="226">
        <v>94118</v>
      </c>
      <c r="B399" s="227" t="s">
        <v>1105</v>
      </c>
      <c r="C399" s="87">
        <v>1.63E-4</v>
      </c>
      <c r="D399" s="87">
        <v>1.918E-4</v>
      </c>
      <c r="E399" s="231">
        <v>53075.589999999989</v>
      </c>
      <c r="F399" s="231">
        <v>86079</v>
      </c>
      <c r="G399" s="231">
        <v>345941</v>
      </c>
      <c r="H399" s="231"/>
      <c r="I399" s="232">
        <v>6499.625</v>
      </c>
      <c r="J399" s="232">
        <v>303154</v>
      </c>
      <c r="K399" s="232">
        <v>23694</v>
      </c>
      <c r="L399" s="231">
        <v>0</v>
      </c>
      <c r="M399" s="231"/>
      <c r="N399" s="232">
        <v>12122</v>
      </c>
      <c r="O399" s="232">
        <v>111893</v>
      </c>
      <c r="P399" s="232">
        <v>0</v>
      </c>
      <c r="Q399" s="231">
        <v>58615</v>
      </c>
      <c r="R399" s="232">
        <f t="shared" si="6"/>
        <v>191261</v>
      </c>
      <c r="S399" s="231"/>
      <c r="T399" s="232">
        <v>92465</v>
      </c>
      <c r="U399" s="233">
        <v>-20217</v>
      </c>
      <c r="V399" s="233">
        <v>72248</v>
      </c>
    </row>
    <row r="400" spans="1:22">
      <c r="A400" s="226">
        <v>94121</v>
      </c>
      <c r="B400" s="227" t="s">
        <v>1106</v>
      </c>
      <c r="C400" s="87">
        <v>1.12823E-2</v>
      </c>
      <c r="D400" s="87">
        <v>1.20112E-2</v>
      </c>
      <c r="E400" s="231">
        <v>4810509.83</v>
      </c>
      <c r="F400" s="231">
        <v>5390554</v>
      </c>
      <c r="G400" s="231">
        <v>23944820</v>
      </c>
      <c r="H400" s="231"/>
      <c r="I400" s="232">
        <v>449882</v>
      </c>
      <c r="J400" s="232">
        <v>20983295</v>
      </c>
      <c r="K400" s="232">
        <v>1640006</v>
      </c>
      <c r="L400" s="231">
        <v>42878</v>
      </c>
      <c r="M400" s="231"/>
      <c r="N400" s="232">
        <v>839053</v>
      </c>
      <c r="O400" s="232">
        <v>7744825</v>
      </c>
      <c r="P400" s="232">
        <v>0</v>
      </c>
      <c r="Q400" s="231">
        <v>429585</v>
      </c>
      <c r="R400" s="232">
        <f t="shared" si="6"/>
        <v>13238470</v>
      </c>
      <c r="S400" s="231"/>
      <c r="T400" s="232">
        <v>6400099</v>
      </c>
      <c r="U400" s="233">
        <v>-137554</v>
      </c>
      <c r="V400" s="233">
        <v>6262545</v>
      </c>
    </row>
    <row r="401" spans="1:22">
      <c r="A401" s="226">
        <v>94127</v>
      </c>
      <c r="B401" s="227" t="s">
        <v>1107</v>
      </c>
      <c r="C401" s="87">
        <v>1.528E-4</v>
      </c>
      <c r="D401" s="87">
        <v>1.4530000000000001E-4</v>
      </c>
      <c r="E401" s="231">
        <v>61107.729999999996</v>
      </c>
      <c r="F401" s="231">
        <v>65210</v>
      </c>
      <c r="G401" s="231">
        <v>324293</v>
      </c>
      <c r="H401" s="231"/>
      <c r="I401" s="232">
        <v>6092.9</v>
      </c>
      <c r="J401" s="232">
        <v>284184</v>
      </c>
      <c r="K401" s="232">
        <v>22211</v>
      </c>
      <c r="L401" s="231">
        <v>3883</v>
      </c>
      <c r="M401" s="231"/>
      <c r="N401" s="232">
        <v>11364</v>
      </c>
      <c r="O401" s="232">
        <v>104891</v>
      </c>
      <c r="P401" s="232">
        <v>0</v>
      </c>
      <c r="Q401" s="231">
        <v>617</v>
      </c>
      <c r="R401" s="232">
        <f t="shared" si="6"/>
        <v>179293</v>
      </c>
      <c r="S401" s="231"/>
      <c r="T401" s="232">
        <v>86679</v>
      </c>
      <c r="U401" s="233">
        <v>1078</v>
      </c>
      <c r="V401" s="233">
        <v>87756</v>
      </c>
    </row>
    <row r="402" spans="1:22">
      <c r="A402" s="226">
        <v>94131</v>
      </c>
      <c r="B402" s="227" t="s">
        <v>1108</v>
      </c>
      <c r="C402" s="87">
        <v>2.0049999999999999E-4</v>
      </c>
      <c r="D402" s="87">
        <v>2.0120000000000001E-4</v>
      </c>
      <c r="E402" s="231">
        <v>83859.38</v>
      </c>
      <c r="F402" s="231">
        <v>90297</v>
      </c>
      <c r="G402" s="231">
        <v>425528</v>
      </c>
      <c r="H402" s="231"/>
      <c r="I402" s="232">
        <v>7994.9375</v>
      </c>
      <c r="J402" s="232">
        <v>372898</v>
      </c>
      <c r="K402" s="232">
        <v>29145</v>
      </c>
      <c r="L402" s="231">
        <v>4546</v>
      </c>
      <c r="M402" s="231"/>
      <c r="N402" s="232">
        <v>14911</v>
      </c>
      <c r="O402" s="232">
        <v>137635</v>
      </c>
      <c r="P402" s="232">
        <v>0</v>
      </c>
      <c r="Q402" s="231">
        <v>1120</v>
      </c>
      <c r="R402" s="232">
        <f t="shared" si="6"/>
        <v>235263</v>
      </c>
      <c r="S402" s="231"/>
      <c r="T402" s="232">
        <v>113737</v>
      </c>
      <c r="U402" s="233">
        <v>979</v>
      </c>
      <c r="V402" s="233">
        <v>114716</v>
      </c>
    </row>
    <row r="403" spans="1:22">
      <c r="A403" s="226">
        <v>94151</v>
      </c>
      <c r="B403" s="227" t="s">
        <v>1109</v>
      </c>
      <c r="C403" s="87">
        <v>4.2870000000000001E-4</v>
      </c>
      <c r="D403" s="87">
        <v>4.0200000000000001E-4</v>
      </c>
      <c r="E403" s="231">
        <v>148093.01</v>
      </c>
      <c r="F403" s="231">
        <v>180415</v>
      </c>
      <c r="G403" s="231">
        <v>909845</v>
      </c>
      <c r="H403" s="231"/>
      <c r="I403" s="232">
        <v>17094</v>
      </c>
      <c r="J403" s="232">
        <v>797314</v>
      </c>
      <c r="K403" s="232">
        <v>62316</v>
      </c>
      <c r="L403" s="231">
        <v>0</v>
      </c>
      <c r="M403" s="231"/>
      <c r="N403" s="232">
        <v>31882</v>
      </c>
      <c r="O403" s="232">
        <v>294285</v>
      </c>
      <c r="P403" s="232">
        <v>0</v>
      </c>
      <c r="Q403" s="231">
        <v>19133</v>
      </c>
      <c r="R403" s="232">
        <f t="shared" si="6"/>
        <v>503029</v>
      </c>
      <c r="S403" s="231"/>
      <c r="T403" s="232">
        <v>243188</v>
      </c>
      <c r="U403" s="233">
        <v>-6795</v>
      </c>
      <c r="V403" s="233">
        <v>236393</v>
      </c>
    </row>
    <row r="404" spans="1:22">
      <c r="A404" s="226">
        <v>94157</v>
      </c>
      <c r="B404" s="227" t="s">
        <v>1110</v>
      </c>
      <c r="C404" s="87">
        <v>9.3999999999999998E-6</v>
      </c>
      <c r="D404" s="87">
        <v>8.1999999999999994E-6</v>
      </c>
      <c r="E404" s="231">
        <v>4972.8100000000013</v>
      </c>
      <c r="F404" s="231">
        <v>3680</v>
      </c>
      <c r="G404" s="231">
        <v>19950</v>
      </c>
      <c r="H404" s="231"/>
      <c r="I404" s="232">
        <v>374.82499999999999</v>
      </c>
      <c r="J404" s="232">
        <v>17483</v>
      </c>
      <c r="K404" s="232">
        <v>1366</v>
      </c>
      <c r="L404" s="231">
        <v>5150</v>
      </c>
      <c r="M404" s="231"/>
      <c r="N404" s="232">
        <v>699</v>
      </c>
      <c r="O404" s="232">
        <v>6453</v>
      </c>
      <c r="P404" s="232">
        <v>0</v>
      </c>
      <c r="Q404" s="231">
        <v>0</v>
      </c>
      <c r="R404" s="232">
        <f t="shared" si="6"/>
        <v>11030</v>
      </c>
      <c r="S404" s="231"/>
      <c r="T404" s="232">
        <v>5332</v>
      </c>
      <c r="U404" s="233">
        <v>1947</v>
      </c>
      <c r="V404" s="233">
        <v>7280</v>
      </c>
    </row>
    <row r="405" spans="1:22">
      <c r="A405" s="226">
        <v>94161</v>
      </c>
      <c r="B405" s="227" t="s">
        <v>1111</v>
      </c>
      <c r="C405" s="87">
        <v>5.7899999999999998E-5</v>
      </c>
      <c r="D405" s="87">
        <v>5.3000000000000001E-5</v>
      </c>
      <c r="E405" s="231">
        <v>21890.33</v>
      </c>
      <c r="F405" s="231">
        <v>23786</v>
      </c>
      <c r="G405" s="231">
        <v>122883</v>
      </c>
      <c r="H405" s="231"/>
      <c r="I405" s="232">
        <v>2309</v>
      </c>
      <c r="J405" s="232">
        <v>107685</v>
      </c>
      <c r="K405" s="232">
        <v>8416</v>
      </c>
      <c r="L405" s="231">
        <v>8543</v>
      </c>
      <c r="M405" s="231"/>
      <c r="N405" s="232">
        <v>4306</v>
      </c>
      <c r="O405" s="232">
        <v>39746</v>
      </c>
      <c r="P405" s="232">
        <v>0</v>
      </c>
      <c r="Q405" s="231">
        <v>0</v>
      </c>
      <c r="R405" s="232">
        <f t="shared" si="6"/>
        <v>67939</v>
      </c>
      <c r="S405" s="231"/>
      <c r="T405" s="232">
        <v>32845</v>
      </c>
      <c r="U405" s="233">
        <v>3088</v>
      </c>
      <c r="V405" s="233">
        <v>35933</v>
      </c>
    </row>
    <row r="406" spans="1:22">
      <c r="A406" s="226">
        <v>94168</v>
      </c>
      <c r="B406" s="227" t="s">
        <v>1112</v>
      </c>
      <c r="C406" s="87">
        <v>3.4E-5</v>
      </c>
      <c r="D406" s="87">
        <v>4.18E-5</v>
      </c>
      <c r="E406" s="231">
        <v>12127.4</v>
      </c>
      <c r="F406" s="231">
        <v>18760</v>
      </c>
      <c r="G406" s="231">
        <v>72159.39</v>
      </c>
      <c r="H406" s="231"/>
      <c r="I406" s="232">
        <v>1355.75</v>
      </c>
      <c r="J406" s="232">
        <v>63235</v>
      </c>
      <c r="K406" s="232">
        <v>4942</v>
      </c>
      <c r="L406" s="231">
        <v>0</v>
      </c>
      <c r="M406" s="231"/>
      <c r="N406" s="232">
        <v>2529</v>
      </c>
      <c r="O406" s="232">
        <v>23340</v>
      </c>
      <c r="P406" s="232">
        <v>0</v>
      </c>
      <c r="Q406" s="231">
        <v>13113</v>
      </c>
      <c r="R406" s="232">
        <f t="shared" si="6"/>
        <v>39895</v>
      </c>
      <c r="S406" s="231"/>
      <c r="T406" s="232">
        <v>19287</v>
      </c>
      <c r="U406" s="233">
        <v>-4643</v>
      </c>
      <c r="V406" s="233">
        <v>14644</v>
      </c>
    </row>
    <row r="407" spans="1:22">
      <c r="A407" s="226">
        <v>94171</v>
      </c>
      <c r="B407" s="227" t="s">
        <v>1113</v>
      </c>
      <c r="C407" s="87">
        <v>5.5000000000000002E-5</v>
      </c>
      <c r="D407" s="87">
        <v>5.1100000000000002E-5</v>
      </c>
      <c r="E407" s="231">
        <v>21113.95</v>
      </c>
      <c r="F407" s="231">
        <v>22933</v>
      </c>
      <c r="G407" s="231">
        <v>116728</v>
      </c>
      <c r="H407" s="231"/>
      <c r="I407" s="232">
        <v>2193.125</v>
      </c>
      <c r="J407" s="232">
        <v>102291.31</v>
      </c>
      <c r="K407" s="232">
        <v>7995</v>
      </c>
      <c r="L407" s="231">
        <v>6490</v>
      </c>
      <c r="M407" s="231"/>
      <c r="N407" s="232">
        <v>4090</v>
      </c>
      <c r="O407" s="232">
        <v>37755.19</v>
      </c>
      <c r="P407" s="232">
        <v>0</v>
      </c>
      <c r="Q407" s="231">
        <v>1733</v>
      </c>
      <c r="R407" s="232">
        <f t="shared" si="6"/>
        <v>64536.119999999995</v>
      </c>
      <c r="S407" s="231"/>
      <c r="T407" s="232">
        <v>31200</v>
      </c>
      <c r="U407" s="233">
        <v>1343</v>
      </c>
      <c r="V407" s="233">
        <v>32542</v>
      </c>
    </row>
    <row r="408" spans="1:22">
      <c r="A408" s="226">
        <v>94172</v>
      </c>
      <c r="B408" s="227" t="s">
        <v>1114</v>
      </c>
      <c r="C408" s="87">
        <v>2.6699999999999998E-4</v>
      </c>
      <c r="D408" s="87">
        <v>3.1379999999999998E-4</v>
      </c>
      <c r="E408" s="231">
        <v>80978.819999999978</v>
      </c>
      <c r="F408" s="231">
        <v>140832</v>
      </c>
      <c r="G408" s="231">
        <v>566663</v>
      </c>
      <c r="H408" s="231"/>
      <c r="I408" s="232">
        <v>10646.625</v>
      </c>
      <c r="J408" s="232">
        <v>496578</v>
      </c>
      <c r="K408" s="232">
        <v>38811</v>
      </c>
      <c r="L408" s="231">
        <v>0</v>
      </c>
      <c r="M408" s="231"/>
      <c r="N408" s="232">
        <v>19857</v>
      </c>
      <c r="O408" s="232">
        <v>183284</v>
      </c>
      <c r="P408" s="232">
        <v>0</v>
      </c>
      <c r="Q408" s="231">
        <v>98660</v>
      </c>
      <c r="R408" s="232">
        <f t="shared" si="6"/>
        <v>313294</v>
      </c>
      <c r="S408" s="231"/>
      <c r="T408" s="232">
        <v>151461</v>
      </c>
      <c r="U408" s="233">
        <v>-34663</v>
      </c>
      <c r="V408" s="233">
        <v>116798</v>
      </c>
    </row>
    <row r="409" spans="1:22">
      <c r="A409" s="226">
        <v>94201</v>
      </c>
      <c r="B409" s="227" t="s">
        <v>1115</v>
      </c>
      <c r="C409" s="87">
        <v>3.4813000000000001E-3</v>
      </c>
      <c r="D409" s="87">
        <v>3.4115E-3</v>
      </c>
      <c r="E409" s="231">
        <v>1407553.7100000002</v>
      </c>
      <c r="F409" s="231">
        <v>1531061</v>
      </c>
      <c r="G409" s="231">
        <v>7388485</v>
      </c>
      <c r="H409" s="231"/>
      <c r="I409" s="232">
        <v>138817</v>
      </c>
      <c r="J409" s="232">
        <v>6474668</v>
      </c>
      <c r="K409" s="232">
        <v>506045</v>
      </c>
      <c r="L409" s="231">
        <v>56033</v>
      </c>
      <c r="M409" s="231"/>
      <c r="N409" s="232">
        <v>258901</v>
      </c>
      <c r="O409" s="232">
        <v>2389766</v>
      </c>
      <c r="P409" s="232">
        <v>0</v>
      </c>
      <c r="Q409" s="231">
        <v>3701</v>
      </c>
      <c r="R409" s="232">
        <f t="shared" si="6"/>
        <v>4084902</v>
      </c>
      <c r="S409" s="231"/>
      <c r="T409" s="232">
        <v>1974834</v>
      </c>
      <c r="U409" s="233">
        <v>16227</v>
      </c>
      <c r="V409" s="233">
        <v>1991060</v>
      </c>
    </row>
    <row r="410" spans="1:22">
      <c r="A410" s="226">
        <v>94204</v>
      </c>
      <c r="B410" s="227" t="s">
        <v>1116</v>
      </c>
      <c r="C410" s="87">
        <v>2.4899999999999999E-5</v>
      </c>
      <c r="D410" s="87">
        <v>2.41E-5</v>
      </c>
      <c r="E410" s="231">
        <v>15445.930000000004</v>
      </c>
      <c r="F410" s="231">
        <v>10816</v>
      </c>
      <c r="G410" s="231">
        <v>52846</v>
      </c>
      <c r="H410" s="231"/>
      <c r="I410" s="232">
        <v>993</v>
      </c>
      <c r="J410" s="232">
        <v>46310</v>
      </c>
      <c r="K410" s="232">
        <v>3619</v>
      </c>
      <c r="L410" s="231">
        <v>10811</v>
      </c>
      <c r="M410" s="231"/>
      <c r="N410" s="232">
        <v>1852</v>
      </c>
      <c r="O410" s="232">
        <v>17093</v>
      </c>
      <c r="P410" s="232">
        <v>0</v>
      </c>
      <c r="Q410" s="231">
        <v>0</v>
      </c>
      <c r="R410" s="232">
        <f t="shared" si="6"/>
        <v>29217</v>
      </c>
      <c r="S410" s="231"/>
      <c r="T410" s="232">
        <v>14125</v>
      </c>
      <c r="U410" s="233">
        <v>3721</v>
      </c>
      <c r="V410" s="233">
        <v>17846</v>
      </c>
    </row>
    <row r="411" spans="1:22">
      <c r="A411" s="226">
        <v>94205</v>
      </c>
      <c r="B411" s="227" t="s">
        <v>1117</v>
      </c>
      <c r="C411" s="87">
        <v>2.6100000000000001E-5</v>
      </c>
      <c r="D411" s="87">
        <v>2.6999999999999999E-5</v>
      </c>
      <c r="E411" s="231">
        <v>12435.88</v>
      </c>
      <c r="F411" s="231">
        <v>12117</v>
      </c>
      <c r="G411" s="231">
        <v>55393</v>
      </c>
      <c r="H411" s="231"/>
      <c r="I411" s="232">
        <v>1040.7375</v>
      </c>
      <c r="J411" s="232">
        <v>48542</v>
      </c>
      <c r="K411" s="232">
        <v>3794</v>
      </c>
      <c r="L411" s="231">
        <v>2432</v>
      </c>
      <c r="M411" s="231"/>
      <c r="N411" s="232">
        <v>1941</v>
      </c>
      <c r="O411" s="232">
        <v>17917</v>
      </c>
      <c r="P411" s="232">
        <v>0</v>
      </c>
      <c r="Q411" s="231">
        <v>6726</v>
      </c>
      <c r="R411" s="232">
        <f t="shared" si="6"/>
        <v>30625</v>
      </c>
      <c r="S411" s="231"/>
      <c r="T411" s="232">
        <v>14806</v>
      </c>
      <c r="U411" s="233">
        <v>-2600</v>
      </c>
      <c r="V411" s="233">
        <v>12205</v>
      </c>
    </row>
    <row r="412" spans="1:22">
      <c r="A412" s="226">
        <v>94209</v>
      </c>
      <c r="B412" s="227" t="s">
        <v>1118</v>
      </c>
      <c r="C412" s="87">
        <v>3.2909999999999998E-4</v>
      </c>
      <c r="D412" s="87">
        <v>3.5540000000000002E-4</v>
      </c>
      <c r="E412" s="231">
        <v>141049.71999999997</v>
      </c>
      <c r="F412" s="231">
        <v>159501</v>
      </c>
      <c r="G412" s="231">
        <v>698460</v>
      </c>
      <c r="H412" s="231"/>
      <c r="I412" s="232">
        <v>13123</v>
      </c>
      <c r="J412" s="232">
        <v>612074</v>
      </c>
      <c r="K412" s="232">
        <v>47838</v>
      </c>
      <c r="L412" s="231">
        <v>24306</v>
      </c>
      <c r="M412" s="231"/>
      <c r="N412" s="232">
        <v>24475</v>
      </c>
      <c r="O412" s="232">
        <v>225913</v>
      </c>
      <c r="P412" s="232">
        <v>0</v>
      </c>
      <c r="Q412" s="231">
        <v>9712</v>
      </c>
      <c r="R412" s="232">
        <f t="shared" si="6"/>
        <v>386161</v>
      </c>
      <c r="S412" s="231"/>
      <c r="T412" s="232">
        <v>186688</v>
      </c>
      <c r="U412" s="233">
        <v>6974</v>
      </c>
      <c r="V412" s="233">
        <v>193663</v>
      </c>
    </row>
    <row r="413" spans="1:22">
      <c r="A413" s="226">
        <v>94211</v>
      </c>
      <c r="B413" s="227" t="s">
        <v>1119</v>
      </c>
      <c r="C413" s="87">
        <v>1.2400000000000001E-4</v>
      </c>
      <c r="D413" s="87">
        <v>1.217E-4</v>
      </c>
      <c r="E413" s="231">
        <v>49845.440000000002</v>
      </c>
      <c r="F413" s="231">
        <v>54618</v>
      </c>
      <c r="G413" s="231">
        <v>263170</v>
      </c>
      <c r="H413" s="231"/>
      <c r="I413" s="232">
        <v>4944.5</v>
      </c>
      <c r="J413" s="232">
        <v>230620</v>
      </c>
      <c r="K413" s="232">
        <v>18025</v>
      </c>
      <c r="L413" s="231">
        <v>334</v>
      </c>
      <c r="M413" s="231"/>
      <c r="N413" s="232">
        <v>9222</v>
      </c>
      <c r="O413" s="232">
        <v>85121</v>
      </c>
      <c r="P413" s="232">
        <v>0</v>
      </c>
      <c r="Q413" s="231">
        <v>30868</v>
      </c>
      <c r="R413" s="232">
        <f t="shared" si="6"/>
        <v>145499</v>
      </c>
      <c r="S413" s="231"/>
      <c r="T413" s="232">
        <v>70341</v>
      </c>
      <c r="U413" s="233">
        <v>-13456</v>
      </c>
      <c r="V413" s="233">
        <v>56885</v>
      </c>
    </row>
    <row r="414" spans="1:22">
      <c r="A414" s="226">
        <v>94221</v>
      </c>
      <c r="B414" s="227" t="s">
        <v>1120</v>
      </c>
      <c r="C414" s="87">
        <v>1.0705999999999999E-3</v>
      </c>
      <c r="D414" s="87">
        <v>1.1294E-3</v>
      </c>
      <c r="E414" s="231">
        <v>386218.22</v>
      </c>
      <c r="F414" s="231">
        <v>506868</v>
      </c>
      <c r="G414" s="231">
        <v>2272172</v>
      </c>
      <c r="H414" s="231"/>
      <c r="I414" s="232">
        <v>42690</v>
      </c>
      <c r="J414" s="232">
        <v>1991147</v>
      </c>
      <c r="K414" s="232">
        <v>155623</v>
      </c>
      <c r="L414" s="231">
        <v>98739</v>
      </c>
      <c r="M414" s="231"/>
      <c r="N414" s="232">
        <v>79619</v>
      </c>
      <c r="O414" s="232">
        <v>734922</v>
      </c>
      <c r="P414" s="232">
        <v>0</v>
      </c>
      <c r="Q414" s="231">
        <v>138383</v>
      </c>
      <c r="R414" s="232">
        <f t="shared" si="6"/>
        <v>1256225</v>
      </c>
      <c r="S414" s="231"/>
      <c r="T414" s="232">
        <v>607318</v>
      </c>
      <c r="U414" s="233">
        <v>-16318</v>
      </c>
      <c r="V414" s="233">
        <v>591000</v>
      </c>
    </row>
    <row r="415" spans="1:22">
      <c r="A415" s="226">
        <v>94231</v>
      </c>
      <c r="B415" s="227" t="s">
        <v>1121</v>
      </c>
      <c r="C415" s="87">
        <v>2.1269999999999999E-4</v>
      </c>
      <c r="D415" s="87">
        <v>1.9469999999999999E-4</v>
      </c>
      <c r="E415" s="231">
        <v>77695.47</v>
      </c>
      <c r="F415" s="231">
        <v>87380</v>
      </c>
      <c r="G415" s="231">
        <v>451421</v>
      </c>
      <c r="H415" s="231"/>
      <c r="I415" s="232">
        <v>8481</v>
      </c>
      <c r="J415" s="232">
        <v>395588</v>
      </c>
      <c r="K415" s="232">
        <v>30918</v>
      </c>
      <c r="L415" s="231">
        <v>1986</v>
      </c>
      <c r="M415" s="231"/>
      <c r="N415" s="232">
        <v>15818</v>
      </c>
      <c r="O415" s="232">
        <v>146010</v>
      </c>
      <c r="P415" s="232">
        <v>0</v>
      </c>
      <c r="Q415" s="231">
        <v>11747</v>
      </c>
      <c r="R415" s="232">
        <f t="shared" si="6"/>
        <v>249578</v>
      </c>
      <c r="S415" s="231"/>
      <c r="T415" s="232">
        <v>120658</v>
      </c>
      <c r="U415" s="233">
        <v>-4519</v>
      </c>
      <c r="V415" s="233">
        <v>116139</v>
      </c>
    </row>
    <row r="416" spans="1:22">
      <c r="A416" s="226">
        <v>94241</v>
      </c>
      <c r="B416" s="227" t="s">
        <v>1122</v>
      </c>
      <c r="C416" s="87">
        <v>8.4099999999999998E-5</v>
      </c>
      <c r="D416" s="87">
        <v>8.4800000000000001E-5</v>
      </c>
      <c r="E416" s="231">
        <v>37415.33</v>
      </c>
      <c r="F416" s="231">
        <v>38058</v>
      </c>
      <c r="G416" s="231">
        <v>178488</v>
      </c>
      <c r="H416" s="231"/>
      <c r="I416" s="232">
        <v>3353</v>
      </c>
      <c r="J416" s="232">
        <v>156413</v>
      </c>
      <c r="K416" s="232">
        <v>12225</v>
      </c>
      <c r="L416" s="231">
        <v>3164</v>
      </c>
      <c r="M416" s="231"/>
      <c r="N416" s="232">
        <v>6254</v>
      </c>
      <c r="O416" s="232">
        <v>57731</v>
      </c>
      <c r="P416" s="232">
        <v>0</v>
      </c>
      <c r="Q416" s="231">
        <v>1327</v>
      </c>
      <c r="R416" s="232">
        <f t="shared" si="6"/>
        <v>98682</v>
      </c>
      <c r="S416" s="231"/>
      <c r="T416" s="232">
        <v>47707</v>
      </c>
      <c r="U416" s="233">
        <v>664</v>
      </c>
      <c r="V416" s="233">
        <v>48372</v>
      </c>
    </row>
    <row r="417" spans="1:22">
      <c r="A417" s="226">
        <v>94251</v>
      </c>
      <c r="B417" s="227" t="s">
        <v>1123</v>
      </c>
      <c r="C417" s="87">
        <v>1.4E-5</v>
      </c>
      <c r="D417" s="87">
        <v>2.37E-5</v>
      </c>
      <c r="E417" s="231">
        <v>7105.57</v>
      </c>
      <c r="F417" s="231">
        <v>10636</v>
      </c>
      <c r="G417" s="231">
        <v>29712.69</v>
      </c>
      <c r="H417" s="231"/>
      <c r="I417" s="232">
        <v>558.25</v>
      </c>
      <c r="J417" s="232">
        <v>26038</v>
      </c>
      <c r="K417" s="232">
        <v>2035</v>
      </c>
      <c r="L417" s="231">
        <v>0</v>
      </c>
      <c r="M417" s="231"/>
      <c r="N417" s="232">
        <v>1041</v>
      </c>
      <c r="O417" s="232">
        <v>9610</v>
      </c>
      <c r="P417" s="232">
        <v>0</v>
      </c>
      <c r="Q417" s="231">
        <v>9627</v>
      </c>
      <c r="R417" s="232">
        <f t="shared" si="6"/>
        <v>16428</v>
      </c>
      <c r="S417" s="231"/>
      <c r="T417" s="232">
        <v>7942</v>
      </c>
      <c r="U417" s="233">
        <v>-3119</v>
      </c>
      <c r="V417" s="233">
        <v>4823</v>
      </c>
    </row>
    <row r="418" spans="1:22">
      <c r="A418" s="226">
        <v>94261</v>
      </c>
      <c r="B418" s="227" t="s">
        <v>1124</v>
      </c>
      <c r="C418" s="87">
        <v>2.9499999999999999E-5</v>
      </c>
      <c r="D418" s="87">
        <v>1.66E-5</v>
      </c>
      <c r="E418" s="231">
        <v>13526.809999999998</v>
      </c>
      <c r="F418" s="231">
        <v>7450</v>
      </c>
      <c r="G418" s="231">
        <v>62609</v>
      </c>
      <c r="H418" s="231"/>
      <c r="I418" s="232">
        <v>1176.3125</v>
      </c>
      <c r="J418" s="232">
        <v>54865</v>
      </c>
      <c r="K418" s="232">
        <v>4288</v>
      </c>
      <c r="L418" s="231">
        <v>12167</v>
      </c>
      <c r="M418" s="231"/>
      <c r="N418" s="232">
        <v>2194</v>
      </c>
      <c r="O418" s="232">
        <v>20251</v>
      </c>
      <c r="P418" s="232">
        <v>0</v>
      </c>
      <c r="Q418" s="231">
        <v>0</v>
      </c>
      <c r="R418" s="232">
        <f t="shared" si="6"/>
        <v>34614</v>
      </c>
      <c r="S418" s="231"/>
      <c r="T418" s="232">
        <v>16734</v>
      </c>
      <c r="U418" s="233">
        <v>3736</v>
      </c>
      <c r="V418" s="233">
        <v>20471</v>
      </c>
    </row>
    <row r="419" spans="1:22">
      <c r="A419" s="226">
        <v>94301</v>
      </c>
      <c r="B419" s="227" t="s">
        <v>1125</v>
      </c>
      <c r="C419" s="87">
        <v>6.0746999999999997E-3</v>
      </c>
      <c r="D419" s="87">
        <v>6.0625999999999996E-3</v>
      </c>
      <c r="E419" s="231">
        <v>2375297.7800000003</v>
      </c>
      <c r="F419" s="231">
        <v>2720859</v>
      </c>
      <c r="G419" s="231">
        <v>12892548</v>
      </c>
      <c r="H419" s="231"/>
      <c r="I419" s="232">
        <v>242229</v>
      </c>
      <c r="J419" s="232">
        <v>11297982</v>
      </c>
      <c r="K419" s="232">
        <v>883024</v>
      </c>
      <c r="L419" s="231">
        <v>18885</v>
      </c>
      <c r="M419" s="231"/>
      <c r="N419" s="232">
        <v>451769</v>
      </c>
      <c r="O419" s="232">
        <v>4170026</v>
      </c>
      <c r="P419" s="232">
        <v>0</v>
      </c>
      <c r="Q419" s="231">
        <v>169326</v>
      </c>
      <c r="R419" s="232">
        <f t="shared" si="6"/>
        <v>7127956</v>
      </c>
      <c r="S419" s="231"/>
      <c r="T419" s="232">
        <v>3445989</v>
      </c>
      <c r="U419" s="233">
        <v>-41856</v>
      </c>
      <c r="V419" s="233">
        <v>3404133</v>
      </c>
    </row>
    <row r="420" spans="1:22">
      <c r="A420" s="226">
        <v>94311</v>
      </c>
      <c r="B420" s="227" t="s">
        <v>1126</v>
      </c>
      <c r="C420" s="87">
        <v>7.4399999999999998E-4</v>
      </c>
      <c r="D420" s="87">
        <v>8.4360000000000001E-4</v>
      </c>
      <c r="E420" s="231">
        <v>317607.65000000002</v>
      </c>
      <c r="F420" s="231">
        <v>378603</v>
      </c>
      <c r="G420" s="231">
        <v>1579017.24</v>
      </c>
      <c r="H420" s="231"/>
      <c r="I420" s="232">
        <v>29667</v>
      </c>
      <c r="J420" s="232">
        <v>1383722</v>
      </c>
      <c r="K420" s="232">
        <v>108149</v>
      </c>
      <c r="L420" s="231">
        <v>5590</v>
      </c>
      <c r="M420" s="231"/>
      <c r="N420" s="232">
        <v>55331</v>
      </c>
      <c r="O420" s="232">
        <v>510725</v>
      </c>
      <c r="P420" s="232">
        <v>0</v>
      </c>
      <c r="Q420" s="231">
        <v>74131</v>
      </c>
      <c r="R420" s="232">
        <f t="shared" si="6"/>
        <v>872997</v>
      </c>
      <c r="S420" s="231"/>
      <c r="T420" s="232">
        <v>422048</v>
      </c>
      <c r="U420" s="233">
        <v>-19207</v>
      </c>
      <c r="V420" s="233">
        <v>402841</v>
      </c>
    </row>
    <row r="421" spans="1:22">
      <c r="A421" s="226">
        <v>94313</v>
      </c>
      <c r="B421" s="227" t="s">
        <v>1127</v>
      </c>
      <c r="C421" s="87">
        <v>2.0299999999999999E-5</v>
      </c>
      <c r="D421" s="87">
        <v>1.8099999999999999E-5</v>
      </c>
      <c r="E421" s="231">
        <v>12274.81</v>
      </c>
      <c r="F421" s="231">
        <v>8123</v>
      </c>
      <c r="G421" s="231">
        <v>43083</v>
      </c>
      <c r="H421" s="231"/>
      <c r="I421" s="232">
        <v>809.46249999999998</v>
      </c>
      <c r="J421" s="232">
        <v>37755</v>
      </c>
      <c r="K421" s="232">
        <v>2951</v>
      </c>
      <c r="L421" s="231">
        <v>7808</v>
      </c>
      <c r="M421" s="231"/>
      <c r="N421" s="232">
        <v>1510</v>
      </c>
      <c r="O421" s="232">
        <v>13935</v>
      </c>
      <c r="P421" s="232">
        <v>0</v>
      </c>
      <c r="Q421" s="231">
        <v>0</v>
      </c>
      <c r="R421" s="232">
        <f t="shared" si="6"/>
        <v>23820</v>
      </c>
      <c r="S421" s="231"/>
      <c r="T421" s="232">
        <v>11516</v>
      </c>
      <c r="U421" s="233">
        <v>2576</v>
      </c>
      <c r="V421" s="233">
        <v>14092</v>
      </c>
    </row>
    <row r="422" spans="1:22">
      <c r="A422" s="226">
        <v>94317</v>
      </c>
      <c r="B422" s="227" t="s">
        <v>1128</v>
      </c>
      <c r="C422" s="87">
        <v>1.2099999999999999E-5</v>
      </c>
      <c r="D422" s="87">
        <v>1.15E-5</v>
      </c>
      <c r="E422" s="231">
        <v>8376.6</v>
      </c>
      <c r="F422" s="231">
        <v>5161</v>
      </c>
      <c r="G422" s="231">
        <v>25680</v>
      </c>
      <c r="H422" s="231"/>
      <c r="I422" s="232">
        <v>482</v>
      </c>
      <c r="J422" s="232">
        <v>22504</v>
      </c>
      <c r="K422" s="232">
        <v>1759</v>
      </c>
      <c r="L422" s="231">
        <v>6768</v>
      </c>
      <c r="M422" s="231"/>
      <c r="N422" s="232">
        <v>900</v>
      </c>
      <c r="O422" s="232">
        <v>8306</v>
      </c>
      <c r="P422" s="232">
        <v>0</v>
      </c>
      <c r="Q422" s="231">
        <v>0</v>
      </c>
      <c r="R422" s="232">
        <f t="shared" si="6"/>
        <v>14198</v>
      </c>
      <c r="S422" s="231"/>
      <c r="T422" s="232">
        <v>6864</v>
      </c>
      <c r="U422" s="233">
        <v>2325</v>
      </c>
      <c r="V422" s="233">
        <v>9189</v>
      </c>
    </row>
    <row r="423" spans="1:22">
      <c r="A423" s="226">
        <v>94321</v>
      </c>
      <c r="B423" s="227" t="s">
        <v>1129</v>
      </c>
      <c r="C423" s="87">
        <v>2.7070000000000002E-4</v>
      </c>
      <c r="D423" s="87">
        <v>2.7270000000000001E-4</v>
      </c>
      <c r="E423" s="231">
        <v>94893.09</v>
      </c>
      <c r="F423" s="231">
        <v>122386</v>
      </c>
      <c r="G423" s="231">
        <v>574516</v>
      </c>
      <c r="H423" s="231"/>
      <c r="I423" s="232">
        <v>10794</v>
      </c>
      <c r="J423" s="232">
        <v>503459</v>
      </c>
      <c r="K423" s="232">
        <v>39349</v>
      </c>
      <c r="L423" s="231">
        <v>3401</v>
      </c>
      <c r="M423" s="231"/>
      <c r="N423" s="232">
        <v>20132</v>
      </c>
      <c r="O423" s="232">
        <v>185824</v>
      </c>
      <c r="P423" s="232">
        <v>0</v>
      </c>
      <c r="Q423" s="231">
        <v>21015</v>
      </c>
      <c r="R423" s="232">
        <f t="shared" si="6"/>
        <v>317635</v>
      </c>
      <c r="S423" s="231"/>
      <c r="T423" s="232">
        <v>153560</v>
      </c>
      <c r="U423" s="233">
        <v>-4393</v>
      </c>
      <c r="V423" s="233">
        <v>149167</v>
      </c>
    </row>
    <row r="424" spans="1:22">
      <c r="A424" s="226">
        <v>94331</v>
      </c>
      <c r="B424" s="227" t="s">
        <v>1130</v>
      </c>
      <c r="C424" s="87">
        <v>1.517E-4</v>
      </c>
      <c r="D424" s="87">
        <v>1.7420000000000001E-4</v>
      </c>
      <c r="E424" s="231">
        <v>69883.19</v>
      </c>
      <c r="F424" s="231">
        <v>78180</v>
      </c>
      <c r="G424" s="231">
        <v>321958</v>
      </c>
      <c r="H424" s="231"/>
      <c r="I424" s="232">
        <v>6049</v>
      </c>
      <c r="J424" s="232">
        <v>282138</v>
      </c>
      <c r="K424" s="232">
        <v>22051</v>
      </c>
      <c r="L424" s="231">
        <v>13796</v>
      </c>
      <c r="M424" s="231"/>
      <c r="N424" s="232">
        <v>11282</v>
      </c>
      <c r="O424" s="232">
        <v>104136</v>
      </c>
      <c r="P424" s="232">
        <v>0</v>
      </c>
      <c r="Q424" s="231">
        <v>6234</v>
      </c>
      <c r="R424" s="232">
        <f t="shared" si="6"/>
        <v>178002</v>
      </c>
      <c r="S424" s="231"/>
      <c r="T424" s="232">
        <v>86055</v>
      </c>
      <c r="U424" s="233">
        <v>4466</v>
      </c>
      <c r="V424" s="233">
        <v>90520</v>
      </c>
    </row>
    <row r="425" spans="1:22">
      <c r="A425" s="226">
        <v>94341</v>
      </c>
      <c r="B425" s="227" t="s">
        <v>1131</v>
      </c>
      <c r="C425" s="87">
        <v>8.1000000000000004E-5</v>
      </c>
      <c r="D425" s="87">
        <v>8.8399999999999994E-5</v>
      </c>
      <c r="E425" s="231">
        <v>31929.82</v>
      </c>
      <c r="F425" s="231">
        <v>39673</v>
      </c>
      <c r="G425" s="231">
        <v>171909</v>
      </c>
      <c r="H425" s="231"/>
      <c r="I425" s="232">
        <v>3229.875</v>
      </c>
      <c r="J425" s="232">
        <v>150647</v>
      </c>
      <c r="K425" s="232">
        <v>11774</v>
      </c>
      <c r="L425" s="231">
        <v>513</v>
      </c>
      <c r="M425" s="231"/>
      <c r="N425" s="232">
        <v>6024</v>
      </c>
      <c r="O425" s="232">
        <v>55603</v>
      </c>
      <c r="P425" s="232">
        <v>0</v>
      </c>
      <c r="Q425" s="231">
        <v>8986</v>
      </c>
      <c r="R425" s="232">
        <f t="shared" si="6"/>
        <v>95044</v>
      </c>
      <c r="S425" s="231"/>
      <c r="T425" s="232">
        <v>45949</v>
      </c>
      <c r="U425" s="233">
        <v>-3091</v>
      </c>
      <c r="V425" s="233">
        <v>42858</v>
      </c>
    </row>
    <row r="426" spans="1:22">
      <c r="A426" s="226">
        <v>94347</v>
      </c>
      <c r="B426" s="227" t="s">
        <v>1132</v>
      </c>
      <c r="C426" s="87">
        <v>1.2300000000000001E-5</v>
      </c>
      <c r="D426" s="87">
        <v>1.31E-5</v>
      </c>
      <c r="E426" s="231">
        <v>6974.9200000000037</v>
      </c>
      <c r="F426" s="231">
        <v>5879</v>
      </c>
      <c r="G426" s="231">
        <v>26105</v>
      </c>
      <c r="H426" s="231"/>
      <c r="I426" s="232">
        <v>490</v>
      </c>
      <c r="J426" s="232">
        <v>22876</v>
      </c>
      <c r="K426" s="232">
        <v>1788</v>
      </c>
      <c r="L426" s="231">
        <v>3157</v>
      </c>
      <c r="M426" s="231"/>
      <c r="N426" s="232">
        <v>915</v>
      </c>
      <c r="O426" s="232">
        <v>8443</v>
      </c>
      <c r="P426" s="232">
        <v>0</v>
      </c>
      <c r="Q426" s="231">
        <v>0</v>
      </c>
      <c r="R426" s="232">
        <f t="shared" si="6"/>
        <v>14433</v>
      </c>
      <c r="S426" s="231"/>
      <c r="T426" s="232">
        <v>6977</v>
      </c>
      <c r="U426" s="233">
        <v>1291</v>
      </c>
      <c r="V426" s="233">
        <v>8268</v>
      </c>
    </row>
    <row r="427" spans="1:22">
      <c r="A427" s="226">
        <v>94351</v>
      </c>
      <c r="B427" s="227" t="s">
        <v>1133</v>
      </c>
      <c r="C427" s="87">
        <v>2.377E-4</v>
      </c>
      <c r="D427" s="87">
        <v>2.3049999999999999E-4</v>
      </c>
      <c r="E427" s="231">
        <v>90845.03</v>
      </c>
      <c r="F427" s="231">
        <v>103447</v>
      </c>
      <c r="G427" s="231">
        <v>504479</v>
      </c>
      <c r="H427" s="231"/>
      <c r="I427" s="232">
        <v>9478</v>
      </c>
      <c r="J427" s="232">
        <v>442084</v>
      </c>
      <c r="K427" s="232">
        <v>34552</v>
      </c>
      <c r="L427" s="231">
        <v>2466</v>
      </c>
      <c r="M427" s="231"/>
      <c r="N427" s="232">
        <v>17678</v>
      </c>
      <c r="O427" s="232">
        <v>163171</v>
      </c>
      <c r="P427" s="232">
        <v>0</v>
      </c>
      <c r="Q427" s="231">
        <v>4917</v>
      </c>
      <c r="R427" s="232">
        <f t="shared" si="6"/>
        <v>278913</v>
      </c>
      <c r="S427" s="231"/>
      <c r="T427" s="232">
        <v>134840</v>
      </c>
      <c r="U427" s="233">
        <v>-1210</v>
      </c>
      <c r="V427" s="233">
        <v>133630</v>
      </c>
    </row>
    <row r="428" spans="1:22">
      <c r="A428" s="226">
        <v>94401</v>
      </c>
      <c r="B428" s="227" t="s">
        <v>1937</v>
      </c>
      <c r="C428" s="87">
        <v>3.4548999999999999E-3</v>
      </c>
      <c r="D428" s="87">
        <v>3.3264000000000002E-3</v>
      </c>
      <c r="E428" s="231">
        <v>1346130.7</v>
      </c>
      <c r="F428" s="231">
        <v>1492868</v>
      </c>
      <c r="G428" s="231">
        <v>7332455</v>
      </c>
      <c r="H428" s="231"/>
      <c r="I428" s="232">
        <v>137764</v>
      </c>
      <c r="J428" s="232">
        <v>6425568</v>
      </c>
      <c r="K428" s="232">
        <v>502208</v>
      </c>
      <c r="L428" s="231">
        <v>30696</v>
      </c>
      <c r="M428" s="231"/>
      <c r="N428" s="232">
        <v>256937</v>
      </c>
      <c r="O428" s="232">
        <v>2371644</v>
      </c>
      <c r="P428" s="232">
        <v>0</v>
      </c>
      <c r="Q428" s="231">
        <v>635</v>
      </c>
      <c r="R428" s="232">
        <f t="shared" si="6"/>
        <v>4053924</v>
      </c>
      <c r="S428" s="231"/>
      <c r="T428" s="232">
        <v>1959858</v>
      </c>
      <c r="U428" s="233">
        <v>9582</v>
      </c>
      <c r="V428" s="233">
        <v>1969439</v>
      </c>
    </row>
    <row r="429" spans="1:22">
      <c r="A429" s="226">
        <v>94402</v>
      </c>
      <c r="B429" s="227" t="s">
        <v>1135</v>
      </c>
      <c r="C429" s="87">
        <v>0</v>
      </c>
      <c r="D429" s="87">
        <v>0</v>
      </c>
      <c r="E429" s="231">
        <v>0</v>
      </c>
      <c r="F429" s="231">
        <v>0</v>
      </c>
      <c r="G429" s="231">
        <v>0</v>
      </c>
      <c r="H429" s="231"/>
      <c r="I429" s="232">
        <v>0</v>
      </c>
      <c r="J429" s="232">
        <v>0</v>
      </c>
      <c r="K429" s="232">
        <v>0</v>
      </c>
      <c r="L429" s="231">
        <v>0</v>
      </c>
      <c r="M429" s="231"/>
      <c r="N429" s="232">
        <v>0</v>
      </c>
      <c r="O429" s="232">
        <v>0</v>
      </c>
      <c r="P429" s="232">
        <v>0</v>
      </c>
      <c r="Q429" s="231">
        <v>2781798</v>
      </c>
      <c r="R429" s="232">
        <f t="shared" si="6"/>
        <v>0</v>
      </c>
      <c r="S429" s="231"/>
      <c r="T429" s="232">
        <v>0</v>
      </c>
      <c r="U429" s="233">
        <v>-1007431</v>
      </c>
      <c r="V429" s="233">
        <v>-1007431</v>
      </c>
    </row>
    <row r="430" spans="1:22">
      <c r="A430" s="226">
        <v>94408</v>
      </c>
      <c r="B430" s="227" t="s">
        <v>1137</v>
      </c>
      <c r="C430" s="87">
        <v>4.0099999999999999E-5</v>
      </c>
      <c r="D430" s="87">
        <v>1.9000000000000001E-5</v>
      </c>
      <c r="E430" s="231">
        <v>13759.910000000002</v>
      </c>
      <c r="F430" s="231">
        <v>8527</v>
      </c>
      <c r="G430" s="231">
        <v>85106</v>
      </c>
      <c r="H430" s="231"/>
      <c r="I430" s="232">
        <v>1599</v>
      </c>
      <c r="J430" s="232">
        <v>74580</v>
      </c>
      <c r="K430" s="232">
        <v>5829</v>
      </c>
      <c r="L430" s="231">
        <v>10369</v>
      </c>
      <c r="M430" s="231"/>
      <c r="N430" s="232">
        <v>2982</v>
      </c>
      <c r="O430" s="232">
        <v>27527</v>
      </c>
      <c r="P430" s="232">
        <v>0</v>
      </c>
      <c r="Q430" s="231">
        <v>3687</v>
      </c>
      <c r="R430" s="232">
        <f t="shared" si="6"/>
        <v>47053</v>
      </c>
      <c r="S430" s="231"/>
      <c r="T430" s="232">
        <v>22747</v>
      </c>
      <c r="U430" s="233">
        <v>939</v>
      </c>
      <c r="V430" s="233">
        <v>23687</v>
      </c>
    </row>
    <row r="431" spans="1:22">
      <c r="A431" s="226">
        <v>94411</v>
      </c>
      <c r="B431" s="227" t="s">
        <v>1138</v>
      </c>
      <c r="C431" s="87">
        <v>1.1592E-3</v>
      </c>
      <c r="D431" s="87">
        <v>1.1820999999999999E-3</v>
      </c>
      <c r="E431" s="231">
        <v>485425.04999999993</v>
      </c>
      <c r="F431" s="231">
        <v>530519</v>
      </c>
      <c r="G431" s="231">
        <v>2460211</v>
      </c>
      <c r="H431" s="231"/>
      <c r="I431" s="232">
        <v>46223.1</v>
      </c>
      <c r="J431" s="232">
        <v>2155929</v>
      </c>
      <c r="K431" s="232">
        <v>168502</v>
      </c>
      <c r="L431" s="231">
        <v>19239</v>
      </c>
      <c r="M431" s="231"/>
      <c r="N431" s="232">
        <v>86209</v>
      </c>
      <c r="O431" s="232">
        <v>795742</v>
      </c>
      <c r="P431" s="232">
        <v>0</v>
      </c>
      <c r="Q431" s="231">
        <v>5607</v>
      </c>
      <c r="R431" s="232">
        <f t="shared" si="6"/>
        <v>1360187</v>
      </c>
      <c r="S431" s="231"/>
      <c r="T431" s="232">
        <v>657578</v>
      </c>
      <c r="U431" s="233">
        <v>5340</v>
      </c>
      <c r="V431" s="233">
        <v>662918</v>
      </c>
    </row>
    <row r="432" spans="1:22">
      <c r="A432" s="226">
        <v>94412</v>
      </c>
      <c r="B432" s="227" t="s">
        <v>1139</v>
      </c>
      <c r="C432" s="87">
        <v>1.63E-5</v>
      </c>
      <c r="D432" s="87">
        <v>1.7200000000000001E-5</v>
      </c>
      <c r="E432" s="231">
        <v>13713.210000000001</v>
      </c>
      <c r="F432" s="231">
        <v>7719</v>
      </c>
      <c r="G432" s="231">
        <v>34594</v>
      </c>
      <c r="H432" s="231"/>
      <c r="I432" s="232">
        <v>649.96249999999998</v>
      </c>
      <c r="J432" s="232">
        <v>30315</v>
      </c>
      <c r="K432" s="232">
        <v>2369</v>
      </c>
      <c r="L432" s="231">
        <v>13305</v>
      </c>
      <c r="M432" s="231"/>
      <c r="N432" s="232">
        <v>1212</v>
      </c>
      <c r="O432" s="232">
        <v>11189</v>
      </c>
      <c r="P432" s="232">
        <v>0</v>
      </c>
      <c r="Q432" s="231">
        <v>0</v>
      </c>
      <c r="R432" s="232">
        <f t="shared" si="6"/>
        <v>19126</v>
      </c>
      <c r="S432" s="231"/>
      <c r="T432" s="232">
        <v>9246</v>
      </c>
      <c r="U432" s="233">
        <v>4869</v>
      </c>
      <c r="V432" s="233">
        <v>14116</v>
      </c>
    </row>
    <row r="433" spans="1:22">
      <c r="A433" s="226">
        <v>94421</v>
      </c>
      <c r="B433" s="227" t="s">
        <v>1140</v>
      </c>
      <c r="C433" s="87">
        <v>1.6899999999999999E-4</v>
      </c>
      <c r="D433" s="87">
        <v>1.7149999999999999E-4</v>
      </c>
      <c r="E433" s="231">
        <v>68012.739999999991</v>
      </c>
      <c r="F433" s="231">
        <v>76968</v>
      </c>
      <c r="G433" s="231">
        <v>358675</v>
      </c>
      <c r="H433" s="231"/>
      <c r="I433" s="232">
        <v>6739</v>
      </c>
      <c r="J433" s="232">
        <v>314313</v>
      </c>
      <c r="K433" s="232">
        <v>24566</v>
      </c>
      <c r="L433" s="231">
        <v>3528</v>
      </c>
      <c r="M433" s="231"/>
      <c r="N433" s="232">
        <v>12568</v>
      </c>
      <c r="O433" s="232">
        <v>116011</v>
      </c>
      <c r="P433" s="232">
        <v>0</v>
      </c>
      <c r="Q433" s="231">
        <v>12354</v>
      </c>
      <c r="R433" s="232">
        <f t="shared" si="6"/>
        <v>198302</v>
      </c>
      <c r="S433" s="231"/>
      <c r="T433" s="232">
        <v>95868</v>
      </c>
      <c r="U433" s="233">
        <v>-4340</v>
      </c>
      <c r="V433" s="233">
        <v>91529</v>
      </c>
    </row>
    <row r="434" spans="1:22">
      <c r="A434" s="226">
        <v>94427</v>
      </c>
      <c r="B434" s="227" t="s">
        <v>1141</v>
      </c>
      <c r="C434" s="87">
        <v>1.29E-5</v>
      </c>
      <c r="D434" s="87">
        <v>1.56E-5</v>
      </c>
      <c r="E434" s="231">
        <v>6501.51</v>
      </c>
      <c r="F434" s="231">
        <v>7001</v>
      </c>
      <c r="G434" s="231">
        <v>27378</v>
      </c>
      <c r="H434" s="231"/>
      <c r="I434" s="232">
        <v>514</v>
      </c>
      <c r="J434" s="232">
        <v>23992</v>
      </c>
      <c r="K434" s="232">
        <v>1875</v>
      </c>
      <c r="L434" s="231">
        <v>785</v>
      </c>
      <c r="M434" s="231"/>
      <c r="N434" s="232">
        <v>959</v>
      </c>
      <c r="O434" s="232">
        <v>8855</v>
      </c>
      <c r="P434" s="232">
        <v>0</v>
      </c>
      <c r="Q434" s="231">
        <v>709</v>
      </c>
      <c r="R434" s="232">
        <f t="shared" si="6"/>
        <v>15137</v>
      </c>
      <c r="S434" s="231"/>
      <c r="T434" s="232">
        <v>7318</v>
      </c>
      <c r="U434" s="233">
        <v>47</v>
      </c>
      <c r="V434" s="233">
        <v>7365</v>
      </c>
    </row>
    <row r="435" spans="1:22">
      <c r="A435" s="226">
        <v>94428</v>
      </c>
      <c r="B435" s="227" t="s">
        <v>1142</v>
      </c>
      <c r="C435" s="87">
        <v>7.4400000000000006E-5</v>
      </c>
      <c r="D435" s="87">
        <v>7.7799999999999994E-5</v>
      </c>
      <c r="E435" s="231">
        <v>33919.200000000012</v>
      </c>
      <c r="F435" s="231">
        <v>34916</v>
      </c>
      <c r="G435" s="231">
        <v>157902</v>
      </c>
      <c r="H435" s="231"/>
      <c r="I435" s="232">
        <v>2967</v>
      </c>
      <c r="J435" s="232">
        <v>138372</v>
      </c>
      <c r="K435" s="232">
        <v>10815</v>
      </c>
      <c r="L435" s="231">
        <v>3518</v>
      </c>
      <c r="M435" s="231"/>
      <c r="N435" s="232">
        <v>5533</v>
      </c>
      <c r="O435" s="232">
        <v>51072</v>
      </c>
      <c r="P435" s="232">
        <v>0</v>
      </c>
      <c r="Q435" s="231">
        <v>0</v>
      </c>
      <c r="R435" s="232">
        <f t="shared" si="6"/>
        <v>87300</v>
      </c>
      <c r="S435" s="231"/>
      <c r="T435" s="232">
        <v>42205</v>
      </c>
      <c r="U435" s="233">
        <v>1203</v>
      </c>
      <c r="V435" s="233">
        <v>43408</v>
      </c>
    </row>
    <row r="436" spans="1:22">
      <c r="A436" s="226">
        <v>94431</v>
      </c>
      <c r="B436" s="227" t="s">
        <v>1143</v>
      </c>
      <c r="C436" s="87">
        <v>3.7589999999999998E-4</v>
      </c>
      <c r="D436" s="87">
        <v>3.6390000000000001E-4</v>
      </c>
      <c r="E436" s="231">
        <v>261745.86000000004</v>
      </c>
      <c r="F436" s="231">
        <v>163316</v>
      </c>
      <c r="G436" s="231">
        <v>797786</v>
      </c>
      <c r="H436" s="231"/>
      <c r="I436" s="232">
        <v>14989</v>
      </c>
      <c r="J436" s="232">
        <v>699115</v>
      </c>
      <c r="K436" s="232">
        <v>54641</v>
      </c>
      <c r="L436" s="231">
        <v>140656</v>
      </c>
      <c r="M436" s="231"/>
      <c r="N436" s="232">
        <v>27955</v>
      </c>
      <c r="O436" s="232">
        <v>258040</v>
      </c>
      <c r="P436" s="232">
        <v>0</v>
      </c>
      <c r="Q436" s="231">
        <v>1228</v>
      </c>
      <c r="R436" s="232">
        <f t="shared" si="6"/>
        <v>441075</v>
      </c>
      <c r="S436" s="231"/>
      <c r="T436" s="232">
        <v>213236</v>
      </c>
      <c r="U436" s="233">
        <v>40508</v>
      </c>
      <c r="V436" s="233">
        <v>253745</v>
      </c>
    </row>
    <row r="437" spans="1:22">
      <c r="A437" s="226">
        <v>94437</v>
      </c>
      <c r="B437" s="227" t="s">
        <v>1144</v>
      </c>
      <c r="C437" s="87">
        <v>1.34E-5</v>
      </c>
      <c r="D437" s="87">
        <v>1.1600000000000001E-5</v>
      </c>
      <c r="E437" s="231">
        <v>11266.369999999999</v>
      </c>
      <c r="F437" s="231">
        <v>5206</v>
      </c>
      <c r="G437" s="231">
        <v>28439</v>
      </c>
      <c r="H437" s="231"/>
      <c r="I437" s="232">
        <v>534</v>
      </c>
      <c r="J437" s="232">
        <v>24922</v>
      </c>
      <c r="K437" s="232">
        <v>1948</v>
      </c>
      <c r="L437" s="231">
        <v>12092</v>
      </c>
      <c r="M437" s="231"/>
      <c r="N437" s="232">
        <v>997</v>
      </c>
      <c r="O437" s="232">
        <v>9199</v>
      </c>
      <c r="P437" s="232">
        <v>0</v>
      </c>
      <c r="Q437" s="231">
        <v>0</v>
      </c>
      <c r="R437" s="232">
        <f t="shared" si="6"/>
        <v>15723</v>
      </c>
      <c r="S437" s="231"/>
      <c r="T437" s="232">
        <v>7601</v>
      </c>
      <c r="U437" s="233">
        <v>4157</v>
      </c>
      <c r="V437" s="233">
        <v>11759</v>
      </c>
    </row>
    <row r="438" spans="1:22">
      <c r="A438" s="226">
        <v>94501</v>
      </c>
      <c r="B438" s="227" t="s">
        <v>1145</v>
      </c>
      <c r="C438" s="87">
        <v>5.8474E-3</v>
      </c>
      <c r="D438" s="87">
        <v>5.5922999999999997E-3</v>
      </c>
      <c r="E438" s="231">
        <v>2261129.31</v>
      </c>
      <c r="F438" s="231">
        <v>2509791</v>
      </c>
      <c r="G438" s="231">
        <v>12410142</v>
      </c>
      <c r="H438" s="231"/>
      <c r="I438" s="232">
        <v>233165</v>
      </c>
      <c r="J438" s="232">
        <v>10875240</v>
      </c>
      <c r="K438" s="232">
        <v>849984</v>
      </c>
      <c r="L438" s="231">
        <v>248127</v>
      </c>
      <c r="M438" s="231"/>
      <c r="N438" s="232">
        <v>434865</v>
      </c>
      <c r="O438" s="232">
        <v>4013995</v>
      </c>
      <c r="P438" s="232">
        <v>0</v>
      </c>
      <c r="Q438" s="231">
        <v>0</v>
      </c>
      <c r="R438" s="232">
        <f t="shared" si="6"/>
        <v>6861245</v>
      </c>
      <c r="S438" s="231"/>
      <c r="T438" s="232">
        <v>3317049</v>
      </c>
      <c r="U438" s="233">
        <v>102688</v>
      </c>
      <c r="V438" s="233">
        <v>3419736</v>
      </c>
    </row>
    <row r="439" spans="1:22">
      <c r="A439" s="226">
        <v>94511</v>
      </c>
      <c r="B439" s="227" t="s">
        <v>1146</v>
      </c>
      <c r="C439" s="87">
        <v>1.7432000000000001E-3</v>
      </c>
      <c r="D439" s="87">
        <v>1.7692999999999999E-3</v>
      </c>
      <c r="E439" s="231">
        <v>680925.99</v>
      </c>
      <c r="F439" s="231">
        <v>794051</v>
      </c>
      <c r="G439" s="231">
        <v>3699654</v>
      </c>
      <c r="H439" s="231"/>
      <c r="I439" s="232">
        <v>69510</v>
      </c>
      <c r="J439" s="232">
        <v>3242077</v>
      </c>
      <c r="K439" s="232">
        <v>253393</v>
      </c>
      <c r="L439" s="231">
        <v>224818</v>
      </c>
      <c r="M439" s="231"/>
      <c r="N439" s="232">
        <v>129640</v>
      </c>
      <c r="O439" s="232">
        <v>1196634</v>
      </c>
      <c r="P439" s="232">
        <v>0</v>
      </c>
      <c r="Q439" s="231">
        <v>42694</v>
      </c>
      <c r="R439" s="232">
        <f t="shared" si="6"/>
        <v>2045443</v>
      </c>
      <c r="S439" s="231"/>
      <c r="T439" s="232">
        <v>988863</v>
      </c>
      <c r="U439" s="233">
        <v>69976</v>
      </c>
      <c r="V439" s="233">
        <v>1058839</v>
      </c>
    </row>
    <row r="440" spans="1:22">
      <c r="A440" s="226">
        <v>94512</v>
      </c>
      <c r="B440" s="227" t="s">
        <v>1147</v>
      </c>
      <c r="C440" s="87">
        <v>0</v>
      </c>
      <c r="D440" s="87">
        <v>0</v>
      </c>
      <c r="E440" s="231">
        <v>0</v>
      </c>
      <c r="F440" s="231">
        <v>0</v>
      </c>
      <c r="G440" s="231">
        <v>0</v>
      </c>
      <c r="H440" s="231"/>
      <c r="I440" s="232">
        <v>0</v>
      </c>
      <c r="J440" s="232">
        <v>0</v>
      </c>
      <c r="K440" s="232">
        <v>0</v>
      </c>
      <c r="L440" s="231">
        <v>0</v>
      </c>
      <c r="M440" s="231"/>
      <c r="N440" s="232">
        <v>0</v>
      </c>
      <c r="O440" s="232">
        <v>0</v>
      </c>
      <c r="P440" s="232">
        <v>0</v>
      </c>
      <c r="Q440" s="231">
        <v>217292</v>
      </c>
      <c r="R440" s="232">
        <f t="shared" si="6"/>
        <v>0</v>
      </c>
      <c r="S440" s="231"/>
      <c r="T440" s="232">
        <v>0</v>
      </c>
      <c r="U440" s="233">
        <v>-78713</v>
      </c>
      <c r="V440" s="233">
        <v>-78713</v>
      </c>
    </row>
    <row r="441" spans="1:22">
      <c r="A441" s="226">
        <v>94517</v>
      </c>
      <c r="B441" s="227" t="s">
        <v>1148</v>
      </c>
      <c r="C441" s="87">
        <v>4.9599999999999999E-5</v>
      </c>
      <c r="D441" s="87">
        <v>4.9100000000000001E-5</v>
      </c>
      <c r="E441" s="231">
        <v>28272.959999999999</v>
      </c>
      <c r="F441" s="231">
        <v>22036</v>
      </c>
      <c r="G441" s="231">
        <v>105268</v>
      </c>
      <c r="H441" s="231"/>
      <c r="I441" s="232">
        <v>1977.8</v>
      </c>
      <c r="J441" s="232">
        <v>92248</v>
      </c>
      <c r="K441" s="232">
        <v>7210</v>
      </c>
      <c r="L441" s="231">
        <v>19501</v>
      </c>
      <c r="M441" s="231"/>
      <c r="N441" s="232">
        <v>3689</v>
      </c>
      <c r="O441" s="232">
        <v>34048</v>
      </c>
      <c r="P441" s="232">
        <v>0</v>
      </c>
      <c r="Q441" s="231">
        <v>0</v>
      </c>
      <c r="R441" s="232">
        <f t="shared" si="6"/>
        <v>58200</v>
      </c>
      <c r="S441" s="231"/>
      <c r="T441" s="232">
        <v>28137</v>
      </c>
      <c r="U441" s="233">
        <v>7376</v>
      </c>
      <c r="V441" s="233">
        <v>35513</v>
      </c>
    </row>
    <row r="442" spans="1:22">
      <c r="A442" s="226">
        <v>94521</v>
      </c>
      <c r="B442" s="227" t="s">
        <v>1149</v>
      </c>
      <c r="C442" s="87">
        <v>1.2410000000000001E-4</v>
      </c>
      <c r="D442" s="87">
        <v>1.6320000000000001E-4</v>
      </c>
      <c r="E442" s="231">
        <v>54157.59</v>
      </c>
      <c r="F442" s="231">
        <v>73243</v>
      </c>
      <c r="G442" s="231">
        <v>263382</v>
      </c>
      <c r="H442" s="231"/>
      <c r="I442" s="232">
        <v>4948</v>
      </c>
      <c r="J442" s="232">
        <v>230806</v>
      </c>
      <c r="K442" s="232">
        <v>18039</v>
      </c>
      <c r="L442" s="231">
        <v>5851</v>
      </c>
      <c r="M442" s="231"/>
      <c r="N442" s="232">
        <v>9229</v>
      </c>
      <c r="O442" s="232">
        <v>85189</v>
      </c>
      <c r="P442" s="232">
        <v>0</v>
      </c>
      <c r="Q442" s="231">
        <v>18701</v>
      </c>
      <c r="R442" s="232">
        <f t="shared" si="6"/>
        <v>145617</v>
      </c>
      <c r="S442" s="231"/>
      <c r="T442" s="232">
        <v>70398</v>
      </c>
      <c r="U442" s="233">
        <v>-2526</v>
      </c>
      <c r="V442" s="233">
        <v>67872</v>
      </c>
    </row>
    <row r="443" spans="1:22">
      <c r="A443" s="226">
        <v>94527</v>
      </c>
      <c r="B443" s="227" t="s">
        <v>1150</v>
      </c>
      <c r="C443" s="87">
        <v>6.3999999999999997E-6</v>
      </c>
      <c r="D443" s="87">
        <v>9.0000000000000002E-6</v>
      </c>
      <c r="E443" s="231">
        <v>0</v>
      </c>
      <c r="F443" s="231">
        <v>4039</v>
      </c>
      <c r="G443" s="231">
        <v>13583</v>
      </c>
      <c r="H443" s="231"/>
      <c r="I443" s="232">
        <v>255.2</v>
      </c>
      <c r="J443" s="232">
        <v>11903</v>
      </c>
      <c r="K443" s="232">
        <v>930</v>
      </c>
      <c r="L443" s="231">
        <v>477</v>
      </c>
      <c r="M443" s="231"/>
      <c r="N443" s="232">
        <v>476</v>
      </c>
      <c r="O443" s="232">
        <v>4393</v>
      </c>
      <c r="P443" s="232">
        <v>0</v>
      </c>
      <c r="Q443" s="231">
        <v>3557</v>
      </c>
      <c r="R443" s="232">
        <f t="shared" si="6"/>
        <v>7510</v>
      </c>
      <c r="S443" s="231"/>
      <c r="T443" s="232">
        <v>3631</v>
      </c>
      <c r="U443" s="233">
        <v>-766</v>
      </c>
      <c r="V443" s="233">
        <v>2864</v>
      </c>
    </row>
    <row r="444" spans="1:22">
      <c r="A444" s="226">
        <v>94531</v>
      </c>
      <c r="B444" s="227" t="s">
        <v>1151</v>
      </c>
      <c r="C444" s="87">
        <v>1.5500000000000001E-5</v>
      </c>
      <c r="D444" s="87">
        <v>1.66E-5</v>
      </c>
      <c r="E444" s="231">
        <v>9988.7199999999993</v>
      </c>
      <c r="F444" s="231">
        <v>7450</v>
      </c>
      <c r="G444" s="231">
        <v>32896</v>
      </c>
      <c r="H444" s="231"/>
      <c r="I444" s="232">
        <v>618.0625</v>
      </c>
      <c r="J444" s="232">
        <v>28828</v>
      </c>
      <c r="K444" s="232">
        <v>2253</v>
      </c>
      <c r="L444" s="231">
        <v>5256</v>
      </c>
      <c r="M444" s="231"/>
      <c r="N444" s="232">
        <v>1153</v>
      </c>
      <c r="O444" s="232">
        <v>10640</v>
      </c>
      <c r="P444" s="232">
        <v>0</v>
      </c>
      <c r="Q444" s="231">
        <v>0</v>
      </c>
      <c r="R444" s="232">
        <f t="shared" si="6"/>
        <v>18188</v>
      </c>
      <c r="S444" s="231"/>
      <c r="T444" s="232">
        <v>8793</v>
      </c>
      <c r="U444" s="233">
        <v>1863</v>
      </c>
      <c r="V444" s="233">
        <v>10656</v>
      </c>
    </row>
    <row r="445" spans="1:22">
      <c r="A445" s="226">
        <v>94532</v>
      </c>
      <c r="B445" s="227" t="s">
        <v>1152</v>
      </c>
      <c r="C445" s="87">
        <v>9.4099999999999997E-5</v>
      </c>
      <c r="D445" s="87">
        <v>1.155E-4</v>
      </c>
      <c r="E445" s="231">
        <v>41786.75</v>
      </c>
      <c r="F445" s="231">
        <v>51836</v>
      </c>
      <c r="G445" s="231">
        <v>199712</v>
      </c>
      <c r="H445" s="231"/>
      <c r="I445" s="232">
        <v>3752</v>
      </c>
      <c r="J445" s="232">
        <v>175011</v>
      </c>
      <c r="K445" s="232">
        <v>13678</v>
      </c>
      <c r="L445" s="231">
        <v>0</v>
      </c>
      <c r="M445" s="231"/>
      <c r="N445" s="232">
        <v>6998</v>
      </c>
      <c r="O445" s="232">
        <v>64596</v>
      </c>
      <c r="P445" s="232">
        <v>0</v>
      </c>
      <c r="Q445" s="231">
        <v>15319</v>
      </c>
      <c r="R445" s="232">
        <f t="shared" si="6"/>
        <v>110415</v>
      </c>
      <c r="S445" s="231"/>
      <c r="T445" s="232">
        <v>53380</v>
      </c>
      <c r="U445" s="233">
        <v>-5410</v>
      </c>
      <c r="V445" s="233">
        <v>47970</v>
      </c>
    </row>
    <row r="446" spans="1:22">
      <c r="A446" s="226">
        <v>94541</v>
      </c>
      <c r="B446" s="227" t="s">
        <v>1153</v>
      </c>
      <c r="C446" s="87">
        <v>2.9839999999999999E-4</v>
      </c>
      <c r="D446" s="87">
        <v>2.8739999999999999E-4</v>
      </c>
      <c r="E446" s="231">
        <v>104979.31</v>
      </c>
      <c r="F446" s="231">
        <v>128983</v>
      </c>
      <c r="G446" s="231">
        <v>633305</v>
      </c>
      <c r="H446" s="231"/>
      <c r="I446" s="232">
        <v>11899</v>
      </c>
      <c r="J446" s="232">
        <v>554977</v>
      </c>
      <c r="K446" s="232">
        <v>43376</v>
      </c>
      <c r="L446" s="231">
        <v>0</v>
      </c>
      <c r="M446" s="231"/>
      <c r="N446" s="232">
        <v>22192</v>
      </c>
      <c r="O446" s="232">
        <v>204839</v>
      </c>
      <c r="P446" s="232">
        <v>0</v>
      </c>
      <c r="Q446" s="231">
        <v>23573</v>
      </c>
      <c r="R446" s="232">
        <f t="shared" si="6"/>
        <v>350138</v>
      </c>
      <c r="S446" s="231"/>
      <c r="T446" s="232">
        <v>169273</v>
      </c>
      <c r="U446" s="233">
        <v>-7692</v>
      </c>
      <c r="V446" s="233">
        <v>161581</v>
      </c>
    </row>
    <row r="447" spans="1:22">
      <c r="A447" s="226">
        <v>94547</v>
      </c>
      <c r="B447" s="227" t="s">
        <v>1154</v>
      </c>
      <c r="C447" s="87">
        <v>1.24E-5</v>
      </c>
      <c r="D447" s="87">
        <v>1.3499999999999999E-5</v>
      </c>
      <c r="E447" s="231">
        <v>7369.380000000001</v>
      </c>
      <c r="F447" s="231">
        <v>6059</v>
      </c>
      <c r="G447" s="231">
        <v>26317</v>
      </c>
      <c r="H447" s="231"/>
      <c r="I447" s="232">
        <v>494.45</v>
      </c>
      <c r="J447" s="232">
        <v>23062</v>
      </c>
      <c r="K447" s="232">
        <v>1802</v>
      </c>
      <c r="L447" s="231">
        <v>2133</v>
      </c>
      <c r="M447" s="231"/>
      <c r="N447" s="232">
        <v>922</v>
      </c>
      <c r="O447" s="232">
        <v>8512</v>
      </c>
      <c r="P447" s="232">
        <v>0</v>
      </c>
      <c r="Q447" s="231">
        <v>0</v>
      </c>
      <c r="R447" s="232">
        <f t="shared" si="6"/>
        <v>14550</v>
      </c>
      <c r="S447" s="231"/>
      <c r="T447" s="232">
        <v>7034</v>
      </c>
      <c r="U447" s="233">
        <v>656</v>
      </c>
      <c r="V447" s="233">
        <v>7690</v>
      </c>
    </row>
    <row r="448" spans="1:22">
      <c r="A448" s="226">
        <v>94551</v>
      </c>
      <c r="B448" s="227" t="s">
        <v>1155</v>
      </c>
      <c r="C448" s="87">
        <v>4.5899999999999998E-5</v>
      </c>
      <c r="D448" s="87">
        <v>3.0599999999999998E-5</v>
      </c>
      <c r="E448" s="231">
        <v>22107.480000000003</v>
      </c>
      <c r="F448" s="231">
        <v>13733</v>
      </c>
      <c r="G448" s="231">
        <v>97415</v>
      </c>
      <c r="H448" s="231"/>
      <c r="I448" s="232">
        <v>1830</v>
      </c>
      <c r="J448" s="232">
        <v>85367</v>
      </c>
      <c r="K448" s="232">
        <v>6672</v>
      </c>
      <c r="L448" s="231">
        <v>14242</v>
      </c>
      <c r="M448" s="231"/>
      <c r="N448" s="232">
        <v>3414</v>
      </c>
      <c r="O448" s="232">
        <v>31508</v>
      </c>
      <c r="P448" s="232">
        <v>0</v>
      </c>
      <c r="Q448" s="231">
        <v>2442</v>
      </c>
      <c r="R448" s="232">
        <f t="shared" si="6"/>
        <v>53859</v>
      </c>
      <c r="S448" s="231"/>
      <c r="T448" s="232">
        <v>26038</v>
      </c>
      <c r="U448" s="233">
        <v>3648</v>
      </c>
      <c r="V448" s="233">
        <v>29686</v>
      </c>
    </row>
    <row r="449" spans="1:22">
      <c r="A449" s="226">
        <v>94601</v>
      </c>
      <c r="B449" s="227" t="s">
        <v>1156</v>
      </c>
      <c r="C449" s="87">
        <v>1.0011E-3</v>
      </c>
      <c r="D449" s="87">
        <v>9.7179999999999999E-4</v>
      </c>
      <c r="E449" s="231">
        <v>433754.10999999993</v>
      </c>
      <c r="F449" s="231">
        <v>436138</v>
      </c>
      <c r="G449" s="231">
        <v>2124670</v>
      </c>
      <c r="H449" s="231"/>
      <c r="I449" s="232">
        <v>39919</v>
      </c>
      <c r="J449" s="232">
        <v>1861888</v>
      </c>
      <c r="K449" s="232">
        <v>145521</v>
      </c>
      <c r="L449" s="231">
        <v>36047</v>
      </c>
      <c r="M449" s="231"/>
      <c r="N449" s="232">
        <v>74451</v>
      </c>
      <c r="O449" s="232">
        <v>687213</v>
      </c>
      <c r="P449" s="232">
        <v>0</v>
      </c>
      <c r="Q449" s="231">
        <v>3381</v>
      </c>
      <c r="R449" s="232">
        <f t="shared" si="6"/>
        <v>1174675</v>
      </c>
      <c r="S449" s="231"/>
      <c r="T449" s="232">
        <v>567893</v>
      </c>
      <c r="U449" s="233">
        <v>8786</v>
      </c>
      <c r="V449" s="233">
        <v>576679</v>
      </c>
    </row>
    <row r="450" spans="1:22">
      <c r="A450" s="226">
        <v>94604</v>
      </c>
      <c r="B450" s="227" t="s">
        <v>1157</v>
      </c>
      <c r="C450" s="87">
        <v>2.65E-5</v>
      </c>
      <c r="D450" s="87">
        <v>2.76E-5</v>
      </c>
      <c r="E450" s="231">
        <v>12705.000000000002</v>
      </c>
      <c r="F450" s="231">
        <v>12387</v>
      </c>
      <c r="G450" s="231">
        <v>56242</v>
      </c>
      <c r="H450" s="231"/>
      <c r="I450" s="232">
        <v>1056.6875</v>
      </c>
      <c r="J450" s="232">
        <v>49286</v>
      </c>
      <c r="K450" s="232">
        <v>3852</v>
      </c>
      <c r="L450" s="231">
        <v>1065</v>
      </c>
      <c r="M450" s="231"/>
      <c r="N450" s="232">
        <v>1971</v>
      </c>
      <c r="O450" s="232">
        <v>18191</v>
      </c>
      <c r="P450" s="232">
        <v>0</v>
      </c>
      <c r="Q450" s="231">
        <v>52</v>
      </c>
      <c r="R450" s="232">
        <f t="shared" si="6"/>
        <v>31095</v>
      </c>
      <c r="S450" s="231"/>
      <c r="T450" s="232">
        <v>15033</v>
      </c>
      <c r="U450" s="233">
        <v>272</v>
      </c>
      <c r="V450" s="233">
        <v>15304</v>
      </c>
    </row>
    <row r="451" spans="1:22">
      <c r="A451" s="226">
        <v>94606</v>
      </c>
      <c r="B451" s="227" t="s">
        <v>1158</v>
      </c>
      <c r="C451" s="87">
        <v>2.6229999999999998E-4</v>
      </c>
      <c r="D451" s="87">
        <v>2.8610000000000002E-4</v>
      </c>
      <c r="E451" s="231">
        <v>101570.82999999999</v>
      </c>
      <c r="F451" s="231">
        <v>128400</v>
      </c>
      <c r="G451" s="231">
        <v>556688</v>
      </c>
      <c r="H451" s="231"/>
      <c r="I451" s="232">
        <v>10459</v>
      </c>
      <c r="J451" s="232">
        <v>487837</v>
      </c>
      <c r="K451" s="232">
        <v>38128</v>
      </c>
      <c r="L451" s="231">
        <v>0</v>
      </c>
      <c r="M451" s="231"/>
      <c r="N451" s="232">
        <v>19507</v>
      </c>
      <c r="O451" s="232">
        <v>180058</v>
      </c>
      <c r="P451" s="232">
        <v>0</v>
      </c>
      <c r="Q451" s="231">
        <v>52213</v>
      </c>
      <c r="R451" s="232">
        <f t="shared" si="6"/>
        <v>307779</v>
      </c>
      <c r="S451" s="231"/>
      <c r="T451" s="232">
        <v>148795</v>
      </c>
      <c r="U451" s="233">
        <v>-19437</v>
      </c>
      <c r="V451" s="233">
        <v>129358</v>
      </c>
    </row>
    <row r="452" spans="1:22">
      <c r="A452" s="226">
        <v>94611</v>
      </c>
      <c r="B452" s="227" t="s">
        <v>1159</v>
      </c>
      <c r="C452" s="87">
        <v>4.4450000000000002E-4</v>
      </c>
      <c r="D452" s="87">
        <v>4.5360000000000002E-4</v>
      </c>
      <c r="E452" s="231">
        <v>189159.12</v>
      </c>
      <c r="F452" s="231">
        <v>203573</v>
      </c>
      <c r="G452" s="231">
        <v>943378</v>
      </c>
      <c r="H452" s="231"/>
      <c r="I452" s="232">
        <v>17724.4375</v>
      </c>
      <c r="J452" s="232">
        <v>826700</v>
      </c>
      <c r="K452" s="232">
        <v>64613</v>
      </c>
      <c r="L452" s="231">
        <v>3960</v>
      </c>
      <c r="M452" s="231"/>
      <c r="N452" s="232">
        <v>33057</v>
      </c>
      <c r="O452" s="232">
        <v>305131</v>
      </c>
      <c r="P452" s="232">
        <v>0</v>
      </c>
      <c r="Q452" s="231">
        <v>4915.3</v>
      </c>
      <c r="R452" s="232">
        <f t="shared" si="6"/>
        <v>521569</v>
      </c>
      <c r="S452" s="231"/>
      <c r="T452" s="232">
        <v>252151</v>
      </c>
      <c r="U452" s="233">
        <v>-1078</v>
      </c>
      <c r="V452" s="233">
        <v>251074</v>
      </c>
    </row>
    <row r="453" spans="1:22">
      <c r="A453" s="226">
        <v>94621</v>
      </c>
      <c r="B453" s="227" t="s">
        <v>1160</v>
      </c>
      <c r="C453" s="87">
        <v>1.3119999999999999E-4</v>
      </c>
      <c r="D453" s="87">
        <v>1.5200000000000001E-4</v>
      </c>
      <c r="E453" s="231">
        <v>64393.31</v>
      </c>
      <c r="F453" s="231">
        <v>68217</v>
      </c>
      <c r="G453" s="231">
        <v>278450</v>
      </c>
      <c r="H453" s="231"/>
      <c r="I453" s="232">
        <v>5232</v>
      </c>
      <c r="J453" s="232">
        <v>244011</v>
      </c>
      <c r="K453" s="232">
        <v>19071</v>
      </c>
      <c r="L453" s="231">
        <v>13237</v>
      </c>
      <c r="M453" s="231"/>
      <c r="N453" s="232">
        <v>9757</v>
      </c>
      <c r="O453" s="232">
        <v>90063</v>
      </c>
      <c r="P453" s="232">
        <v>0</v>
      </c>
      <c r="Q453" s="231">
        <v>19570</v>
      </c>
      <c r="R453" s="232">
        <f t="shared" si="6"/>
        <v>153948</v>
      </c>
      <c r="S453" s="231"/>
      <c r="T453" s="232">
        <v>74426</v>
      </c>
      <c r="U453" s="233">
        <v>-3</v>
      </c>
      <c r="V453" s="233">
        <v>74422</v>
      </c>
    </row>
    <row r="454" spans="1:22">
      <c r="A454" s="226">
        <v>94631</v>
      </c>
      <c r="B454" s="227" t="s">
        <v>1161</v>
      </c>
      <c r="C454" s="87">
        <v>3.9799999999999998E-5</v>
      </c>
      <c r="D454" s="87">
        <v>4.0299999999999997E-5</v>
      </c>
      <c r="E454" s="231">
        <v>19878.57</v>
      </c>
      <c r="F454" s="231">
        <v>18086</v>
      </c>
      <c r="G454" s="231">
        <v>84469</v>
      </c>
      <c r="H454" s="231"/>
      <c r="I454" s="232">
        <v>1587</v>
      </c>
      <c r="J454" s="232">
        <v>74022</v>
      </c>
      <c r="K454" s="232">
        <v>5785</v>
      </c>
      <c r="L454" s="231">
        <v>5170</v>
      </c>
      <c r="M454" s="231"/>
      <c r="N454" s="232">
        <v>2960</v>
      </c>
      <c r="O454" s="232">
        <v>27321</v>
      </c>
      <c r="P454" s="232">
        <v>0</v>
      </c>
      <c r="Q454" s="231">
        <v>0</v>
      </c>
      <c r="R454" s="232">
        <f t="shared" si="6"/>
        <v>46701</v>
      </c>
      <c r="S454" s="231"/>
      <c r="T454" s="232">
        <v>22577</v>
      </c>
      <c r="U454" s="233">
        <v>1734</v>
      </c>
      <c r="V454" s="233">
        <v>24311</v>
      </c>
    </row>
    <row r="455" spans="1:22">
      <c r="A455" s="226">
        <v>94641</v>
      </c>
      <c r="B455" s="227" t="s">
        <v>1162</v>
      </c>
      <c r="C455" s="87">
        <v>4.6999999999999999E-6</v>
      </c>
      <c r="D455" s="87">
        <v>4.6999999999999999E-6</v>
      </c>
      <c r="E455" s="231">
        <v>4524.25</v>
      </c>
      <c r="F455" s="231">
        <v>2109</v>
      </c>
      <c r="G455" s="231">
        <v>9975</v>
      </c>
      <c r="H455" s="231"/>
      <c r="I455" s="232">
        <v>187.41249999999999</v>
      </c>
      <c r="J455" s="232">
        <v>8741</v>
      </c>
      <c r="K455" s="232">
        <v>683</v>
      </c>
      <c r="L455" s="231">
        <v>4799</v>
      </c>
      <c r="M455" s="231"/>
      <c r="N455" s="232">
        <v>350</v>
      </c>
      <c r="O455" s="232">
        <v>3226</v>
      </c>
      <c r="P455" s="232">
        <v>0</v>
      </c>
      <c r="Q455" s="231">
        <v>0</v>
      </c>
      <c r="R455" s="232">
        <f t="shared" si="6"/>
        <v>5515</v>
      </c>
      <c r="S455" s="231"/>
      <c r="T455" s="232">
        <v>2666</v>
      </c>
      <c r="U455" s="233">
        <v>1678</v>
      </c>
      <c r="V455" s="233">
        <v>4344</v>
      </c>
    </row>
    <row r="456" spans="1:22">
      <c r="A456" s="226">
        <v>94701</v>
      </c>
      <c r="B456" s="227" t="s">
        <v>1163</v>
      </c>
      <c r="C456" s="87">
        <v>2.5636000000000001E-3</v>
      </c>
      <c r="D456" s="87">
        <v>2.6064999999999999E-3</v>
      </c>
      <c r="E456" s="231">
        <v>956457.01999999979</v>
      </c>
      <c r="F456" s="231">
        <v>1169782</v>
      </c>
      <c r="G456" s="231">
        <v>5440818</v>
      </c>
      <c r="H456" s="231"/>
      <c r="I456" s="232">
        <v>102223.55</v>
      </c>
      <c r="J456" s="232">
        <v>4767891</v>
      </c>
      <c r="K456" s="232">
        <v>372647</v>
      </c>
      <c r="L456" s="231">
        <v>75767</v>
      </c>
      <c r="M456" s="231"/>
      <c r="N456" s="232">
        <v>190652</v>
      </c>
      <c r="O456" s="232">
        <v>1759804</v>
      </c>
      <c r="P456" s="232">
        <v>0</v>
      </c>
      <c r="Q456" s="231">
        <v>100921</v>
      </c>
      <c r="R456" s="232">
        <f t="shared" si="6"/>
        <v>3008087</v>
      </c>
      <c r="S456" s="231"/>
      <c r="T456" s="232">
        <v>1454251</v>
      </c>
      <c r="U456" s="233">
        <v>4371</v>
      </c>
      <c r="V456" s="233">
        <v>1458622</v>
      </c>
    </row>
    <row r="457" spans="1:22">
      <c r="A457" s="226">
        <v>94704</v>
      </c>
      <c r="B457" s="227" t="s">
        <v>1164</v>
      </c>
      <c r="C457" s="87">
        <v>1.04E-5</v>
      </c>
      <c r="D457" s="87">
        <v>1.0900000000000001E-5</v>
      </c>
      <c r="E457" s="231">
        <v>4510.1299999999992</v>
      </c>
      <c r="F457" s="231">
        <v>4892</v>
      </c>
      <c r="G457" s="231">
        <v>22072</v>
      </c>
      <c r="H457" s="231"/>
      <c r="I457" s="232">
        <v>414.7</v>
      </c>
      <c r="J457" s="232">
        <v>19342</v>
      </c>
      <c r="K457" s="232">
        <v>1512</v>
      </c>
      <c r="L457" s="231">
        <v>147</v>
      </c>
      <c r="M457" s="231"/>
      <c r="N457" s="232">
        <v>773</v>
      </c>
      <c r="O457" s="232">
        <v>7139</v>
      </c>
      <c r="P457" s="232">
        <v>0</v>
      </c>
      <c r="Q457" s="231">
        <v>86</v>
      </c>
      <c r="R457" s="232">
        <f t="shared" ref="R457:R520" si="7">IF(J457&gt;O457,J457-O457,O457-J457)</f>
        <v>12203</v>
      </c>
      <c r="S457" s="231"/>
      <c r="T457" s="232">
        <v>5900</v>
      </c>
      <c r="U457" s="233">
        <v>47</v>
      </c>
      <c r="V457" s="233">
        <v>5946</v>
      </c>
    </row>
    <row r="458" spans="1:22">
      <c r="A458" s="226">
        <v>94711</v>
      </c>
      <c r="B458" s="227" t="s">
        <v>1165</v>
      </c>
      <c r="C458" s="87">
        <v>3.5110000000000002E-4</v>
      </c>
      <c r="D458" s="87">
        <v>3.5270000000000001E-4</v>
      </c>
      <c r="E458" s="231">
        <v>140447.14000000001</v>
      </c>
      <c r="F458" s="231">
        <v>158290</v>
      </c>
      <c r="G458" s="231">
        <v>745152</v>
      </c>
      <c r="H458" s="231"/>
      <c r="I458" s="232">
        <v>14000</v>
      </c>
      <c r="J458" s="232">
        <v>652991</v>
      </c>
      <c r="K458" s="232">
        <v>51036</v>
      </c>
      <c r="L458" s="231">
        <v>14121</v>
      </c>
      <c r="M458" s="231"/>
      <c r="N458" s="232">
        <v>26111</v>
      </c>
      <c r="O458" s="232">
        <v>241015</v>
      </c>
      <c r="P458" s="232">
        <v>0</v>
      </c>
      <c r="Q458" s="231">
        <v>8957</v>
      </c>
      <c r="R458" s="232">
        <f t="shared" si="7"/>
        <v>411976</v>
      </c>
      <c r="S458" s="231"/>
      <c r="T458" s="232">
        <v>199168</v>
      </c>
      <c r="U458" s="233">
        <v>1479</v>
      </c>
      <c r="V458" s="233">
        <v>200647</v>
      </c>
    </row>
    <row r="459" spans="1:22">
      <c r="A459" s="226">
        <v>94801</v>
      </c>
      <c r="B459" s="227" t="s">
        <v>1166</v>
      </c>
      <c r="C459" s="87">
        <v>7.6539999999999996E-4</v>
      </c>
      <c r="D459" s="87">
        <v>7.425E-4</v>
      </c>
      <c r="E459" s="231">
        <v>315763.95000000007</v>
      </c>
      <c r="F459" s="231">
        <v>333230</v>
      </c>
      <c r="G459" s="231">
        <v>1624435</v>
      </c>
      <c r="H459" s="231"/>
      <c r="I459" s="232">
        <v>30520</v>
      </c>
      <c r="J459" s="232">
        <v>1423523</v>
      </c>
      <c r="K459" s="232">
        <v>111259</v>
      </c>
      <c r="L459" s="231">
        <v>62992</v>
      </c>
      <c r="M459" s="231"/>
      <c r="N459" s="232">
        <v>56922</v>
      </c>
      <c r="O459" s="232">
        <v>525415</v>
      </c>
      <c r="P459" s="232">
        <v>0</v>
      </c>
      <c r="Q459" s="231">
        <v>0</v>
      </c>
      <c r="R459" s="232">
        <f t="shared" si="7"/>
        <v>898108</v>
      </c>
      <c r="S459" s="231"/>
      <c r="T459" s="232">
        <v>434188</v>
      </c>
      <c r="U459" s="233">
        <v>22612</v>
      </c>
      <c r="V459" s="233">
        <v>456800</v>
      </c>
    </row>
    <row r="460" spans="1:22">
      <c r="A460" s="226">
        <v>94804</v>
      </c>
      <c r="B460" s="227" t="s">
        <v>1167</v>
      </c>
      <c r="C460" s="87">
        <v>3.8E-6</v>
      </c>
      <c r="D460" s="87">
        <v>5.5999999999999997E-6</v>
      </c>
      <c r="E460" s="231">
        <v>2420.6699999999996</v>
      </c>
      <c r="F460" s="231">
        <v>2513</v>
      </c>
      <c r="G460" s="231">
        <v>8065</v>
      </c>
      <c r="H460" s="231"/>
      <c r="I460" s="232">
        <v>151.52500000000001</v>
      </c>
      <c r="J460" s="232">
        <v>7067</v>
      </c>
      <c r="K460" s="232">
        <v>552</v>
      </c>
      <c r="L460" s="231">
        <v>3516</v>
      </c>
      <c r="M460" s="231"/>
      <c r="N460" s="232">
        <v>283</v>
      </c>
      <c r="O460" s="232">
        <v>2609</v>
      </c>
      <c r="P460" s="232">
        <v>0</v>
      </c>
      <c r="Q460" s="231">
        <v>294</v>
      </c>
      <c r="R460" s="232">
        <f t="shared" si="7"/>
        <v>4458</v>
      </c>
      <c r="S460" s="231"/>
      <c r="T460" s="232">
        <v>2156</v>
      </c>
      <c r="U460" s="233">
        <v>1680</v>
      </c>
      <c r="V460" s="233">
        <v>3836</v>
      </c>
    </row>
    <row r="461" spans="1:22">
      <c r="A461" s="226">
        <v>94812</v>
      </c>
      <c r="B461" s="227" t="s">
        <v>1168</v>
      </c>
      <c r="C461" s="87">
        <v>3.3500000000000001E-5</v>
      </c>
      <c r="D461" s="87">
        <v>2.8200000000000001E-5</v>
      </c>
      <c r="E461" s="231">
        <v>17636.609999999993</v>
      </c>
      <c r="F461" s="231">
        <v>12656</v>
      </c>
      <c r="G461" s="231">
        <v>71098</v>
      </c>
      <c r="H461" s="231"/>
      <c r="I461" s="232">
        <v>1335.8125</v>
      </c>
      <c r="J461" s="232">
        <v>62305</v>
      </c>
      <c r="K461" s="232">
        <v>4870</v>
      </c>
      <c r="L461" s="231">
        <v>10393</v>
      </c>
      <c r="M461" s="231"/>
      <c r="N461" s="232">
        <v>2491</v>
      </c>
      <c r="O461" s="232">
        <v>22996</v>
      </c>
      <c r="P461" s="232">
        <v>0</v>
      </c>
      <c r="Q461" s="231">
        <v>0</v>
      </c>
      <c r="R461" s="232">
        <f t="shared" si="7"/>
        <v>39309</v>
      </c>
      <c r="S461" s="231"/>
      <c r="T461" s="232">
        <v>19004</v>
      </c>
      <c r="U461" s="233">
        <v>3222</v>
      </c>
      <c r="V461" s="233">
        <v>22225</v>
      </c>
    </row>
    <row r="462" spans="1:22">
      <c r="A462" s="226">
        <v>94901</v>
      </c>
      <c r="B462" s="227" t="s">
        <v>1169</v>
      </c>
      <c r="C462" s="87">
        <v>7.0014999999999999E-3</v>
      </c>
      <c r="D462" s="87">
        <v>6.6921999999999997E-3</v>
      </c>
      <c r="E462" s="231">
        <v>2681224.3200000003</v>
      </c>
      <c r="F462" s="231">
        <v>3003419</v>
      </c>
      <c r="G462" s="231">
        <v>14859529</v>
      </c>
      <c r="H462" s="231"/>
      <c r="I462" s="232">
        <v>279185</v>
      </c>
      <c r="J462" s="232">
        <v>13021684</v>
      </c>
      <c r="K462" s="232">
        <v>1017745</v>
      </c>
      <c r="L462" s="231">
        <v>28689</v>
      </c>
      <c r="M462" s="231"/>
      <c r="N462" s="232">
        <v>520695</v>
      </c>
      <c r="O462" s="232">
        <v>4806236</v>
      </c>
      <c r="P462" s="232">
        <v>0</v>
      </c>
      <c r="Q462" s="231">
        <v>82188</v>
      </c>
      <c r="R462" s="232">
        <f t="shared" si="7"/>
        <v>8215448</v>
      </c>
      <c r="S462" s="231"/>
      <c r="T462" s="232">
        <v>3971734</v>
      </c>
      <c r="U462" s="233">
        <v>-17216</v>
      </c>
      <c r="V462" s="233">
        <v>3954518</v>
      </c>
    </row>
    <row r="463" spans="1:22">
      <c r="A463" s="226">
        <v>94908</v>
      </c>
      <c r="B463" s="227" t="s">
        <v>1170</v>
      </c>
      <c r="C463" s="87">
        <v>3.9799999999999998E-5</v>
      </c>
      <c r="D463" s="87">
        <v>4.2799999999999997E-5</v>
      </c>
      <c r="E463" s="231">
        <v>16384.420000000002</v>
      </c>
      <c r="F463" s="231">
        <v>19208</v>
      </c>
      <c r="G463" s="231">
        <v>84469</v>
      </c>
      <c r="H463" s="231"/>
      <c r="I463" s="232">
        <v>1587</v>
      </c>
      <c r="J463" s="232">
        <v>74022</v>
      </c>
      <c r="K463" s="232">
        <v>5785</v>
      </c>
      <c r="L463" s="231">
        <v>0</v>
      </c>
      <c r="M463" s="231"/>
      <c r="N463" s="232">
        <v>2960</v>
      </c>
      <c r="O463" s="232">
        <v>27321</v>
      </c>
      <c r="P463" s="232">
        <v>0</v>
      </c>
      <c r="Q463" s="231">
        <v>5878</v>
      </c>
      <c r="R463" s="232">
        <f t="shared" si="7"/>
        <v>46701</v>
      </c>
      <c r="S463" s="231"/>
      <c r="T463" s="232">
        <v>22577</v>
      </c>
      <c r="U463" s="233">
        <v>-2269</v>
      </c>
      <c r="V463" s="233">
        <v>20308</v>
      </c>
    </row>
    <row r="464" spans="1:22">
      <c r="A464" s="226">
        <v>94911</v>
      </c>
      <c r="B464" s="227" t="s">
        <v>1171</v>
      </c>
      <c r="C464" s="87">
        <v>2.7745999999999999E-3</v>
      </c>
      <c r="D464" s="87">
        <v>2.8086000000000001E-3</v>
      </c>
      <c r="E464" s="231">
        <v>1108370.94</v>
      </c>
      <c r="F464" s="231">
        <v>1260483</v>
      </c>
      <c r="G464" s="231">
        <v>5888631</v>
      </c>
      <c r="H464" s="231"/>
      <c r="I464" s="232">
        <v>110637</v>
      </c>
      <c r="J464" s="232">
        <v>5160318</v>
      </c>
      <c r="K464" s="232">
        <v>403319</v>
      </c>
      <c r="L464" s="231">
        <v>7508</v>
      </c>
      <c r="M464" s="231"/>
      <c r="N464" s="232">
        <v>206344</v>
      </c>
      <c r="O464" s="232">
        <v>1904646</v>
      </c>
      <c r="P464" s="232">
        <v>0</v>
      </c>
      <c r="Q464" s="231">
        <v>58992</v>
      </c>
      <c r="R464" s="232">
        <f t="shared" si="7"/>
        <v>3255672</v>
      </c>
      <c r="S464" s="231"/>
      <c r="T464" s="232">
        <v>1573945</v>
      </c>
      <c r="U464" s="233">
        <v>-16182</v>
      </c>
      <c r="V464" s="233">
        <v>1557762</v>
      </c>
    </row>
    <row r="465" spans="1:22">
      <c r="A465" s="226">
        <v>94917</v>
      </c>
      <c r="B465" s="227" t="s">
        <v>1172</v>
      </c>
      <c r="C465" s="87">
        <v>3.7400000000000001E-5</v>
      </c>
      <c r="D465" s="87">
        <v>4.0399999999999999E-5</v>
      </c>
      <c r="E465" s="231">
        <v>24113.03</v>
      </c>
      <c r="F465" s="231">
        <v>18131</v>
      </c>
      <c r="G465" s="231">
        <v>79375</v>
      </c>
      <c r="H465" s="231"/>
      <c r="I465" s="232">
        <v>1491.325</v>
      </c>
      <c r="J465" s="232">
        <v>69558</v>
      </c>
      <c r="K465" s="232">
        <v>5437</v>
      </c>
      <c r="L465" s="231">
        <v>14598</v>
      </c>
      <c r="M465" s="231"/>
      <c r="N465" s="232">
        <v>2781</v>
      </c>
      <c r="O465" s="232">
        <v>25674</v>
      </c>
      <c r="P465" s="232">
        <v>0</v>
      </c>
      <c r="Q465" s="231">
        <v>0</v>
      </c>
      <c r="R465" s="232">
        <f t="shared" si="7"/>
        <v>43884</v>
      </c>
      <c r="S465" s="231"/>
      <c r="T465" s="232">
        <v>21216</v>
      </c>
      <c r="U465" s="233">
        <v>5296</v>
      </c>
      <c r="V465" s="233">
        <v>26512</v>
      </c>
    </row>
    <row r="466" spans="1:22">
      <c r="A466" s="226">
        <v>94921</v>
      </c>
      <c r="B466" s="227" t="s">
        <v>1173</v>
      </c>
      <c r="C466" s="87">
        <v>3.7063E-3</v>
      </c>
      <c r="D466" s="87">
        <v>4.0699999999999998E-3</v>
      </c>
      <c r="E466" s="231">
        <v>1372917.85</v>
      </c>
      <c r="F466" s="231">
        <v>1826592</v>
      </c>
      <c r="G466" s="231">
        <v>7866010</v>
      </c>
      <c r="H466" s="231"/>
      <c r="I466" s="232">
        <v>147789</v>
      </c>
      <c r="J466" s="232">
        <v>6893132</v>
      </c>
      <c r="K466" s="232">
        <v>538751</v>
      </c>
      <c r="L466" s="231">
        <v>0</v>
      </c>
      <c r="M466" s="231"/>
      <c r="N466" s="232">
        <v>275634</v>
      </c>
      <c r="O466" s="232">
        <v>2544219</v>
      </c>
      <c r="P466" s="232">
        <v>0</v>
      </c>
      <c r="Q466" s="231">
        <v>505665</v>
      </c>
      <c r="R466" s="232">
        <f t="shared" si="7"/>
        <v>4348913</v>
      </c>
      <c r="S466" s="231"/>
      <c r="T466" s="232">
        <v>2102469</v>
      </c>
      <c r="U466" s="233">
        <v>-155426</v>
      </c>
      <c r="V466" s="233">
        <v>1947043</v>
      </c>
    </row>
    <row r="467" spans="1:22">
      <c r="A467" s="226">
        <v>94923</v>
      </c>
      <c r="B467" s="227" t="s">
        <v>1174</v>
      </c>
      <c r="C467" s="87">
        <v>2.4499999999999999E-5</v>
      </c>
      <c r="D467" s="87">
        <v>2.9300000000000001E-5</v>
      </c>
      <c r="E467" s="231">
        <v>14093.810000000001</v>
      </c>
      <c r="F467" s="231">
        <v>13150</v>
      </c>
      <c r="G467" s="231">
        <v>51997</v>
      </c>
      <c r="H467" s="231"/>
      <c r="I467" s="232">
        <v>976.9375</v>
      </c>
      <c r="J467" s="232">
        <v>45566</v>
      </c>
      <c r="K467" s="232">
        <v>3561</v>
      </c>
      <c r="L467" s="231">
        <v>1458</v>
      </c>
      <c r="M467" s="231"/>
      <c r="N467" s="232">
        <v>1822</v>
      </c>
      <c r="O467" s="232">
        <v>16818</v>
      </c>
      <c r="P467" s="232">
        <v>0</v>
      </c>
      <c r="Q467" s="231">
        <v>173</v>
      </c>
      <c r="R467" s="232">
        <f t="shared" si="7"/>
        <v>28748</v>
      </c>
      <c r="S467" s="231"/>
      <c r="T467" s="232">
        <v>13898</v>
      </c>
      <c r="U467" s="233">
        <v>373</v>
      </c>
      <c r="V467" s="233">
        <v>14272</v>
      </c>
    </row>
    <row r="468" spans="1:22">
      <c r="A468" s="226">
        <v>94927</v>
      </c>
      <c r="B468" s="227" t="s">
        <v>1175</v>
      </c>
      <c r="C468" s="87">
        <v>3.3899999999999997E-5</v>
      </c>
      <c r="D468" s="87">
        <v>3.2700000000000002E-5</v>
      </c>
      <c r="E468" s="231">
        <v>16597.12</v>
      </c>
      <c r="F468" s="231">
        <v>14676</v>
      </c>
      <c r="G468" s="231">
        <v>71947</v>
      </c>
      <c r="H468" s="231"/>
      <c r="I468" s="232">
        <v>1352</v>
      </c>
      <c r="J468" s="232">
        <v>63049</v>
      </c>
      <c r="K468" s="232">
        <v>4928</v>
      </c>
      <c r="L468" s="231">
        <v>3081</v>
      </c>
      <c r="M468" s="231"/>
      <c r="N468" s="232">
        <v>2521</v>
      </c>
      <c r="O468" s="232">
        <v>23271</v>
      </c>
      <c r="P468" s="232">
        <v>0</v>
      </c>
      <c r="Q468" s="231">
        <v>52</v>
      </c>
      <c r="R468" s="232">
        <f t="shared" si="7"/>
        <v>39778</v>
      </c>
      <c r="S468" s="231"/>
      <c r="T468" s="232">
        <v>19230</v>
      </c>
      <c r="U468" s="233">
        <v>803</v>
      </c>
      <c r="V468" s="233">
        <v>20033</v>
      </c>
    </row>
    <row r="469" spans="1:22">
      <c r="A469" s="226">
        <v>94931</v>
      </c>
      <c r="B469" s="227" t="s">
        <v>1176</v>
      </c>
      <c r="C469" s="87">
        <v>2.1130000000000001E-4</v>
      </c>
      <c r="D469" s="87">
        <v>2.4020000000000001E-4</v>
      </c>
      <c r="E469" s="231">
        <v>88195.43</v>
      </c>
      <c r="F469" s="231">
        <v>107800</v>
      </c>
      <c r="G469" s="231">
        <v>448449</v>
      </c>
      <c r="H469" s="231"/>
      <c r="I469" s="232">
        <v>8426</v>
      </c>
      <c r="J469" s="232">
        <v>392985</v>
      </c>
      <c r="K469" s="232">
        <v>30715</v>
      </c>
      <c r="L469" s="231">
        <v>0</v>
      </c>
      <c r="M469" s="231"/>
      <c r="N469" s="232">
        <v>15714</v>
      </c>
      <c r="O469" s="232">
        <v>145049</v>
      </c>
      <c r="P469" s="232">
        <v>0</v>
      </c>
      <c r="Q469" s="231">
        <v>23880</v>
      </c>
      <c r="R469" s="232">
        <f t="shared" si="7"/>
        <v>247936</v>
      </c>
      <c r="S469" s="231"/>
      <c r="T469" s="232">
        <v>119864</v>
      </c>
      <c r="U469" s="233">
        <v>-8140</v>
      </c>
      <c r="V469" s="233">
        <v>111724</v>
      </c>
    </row>
    <row r="470" spans="1:22">
      <c r="A470" s="226">
        <v>94941</v>
      </c>
      <c r="B470" s="227" t="s">
        <v>1177</v>
      </c>
      <c r="C470" s="87">
        <v>5.2959999999999997E-4</v>
      </c>
      <c r="D470" s="87">
        <v>5.0549999999999998E-4</v>
      </c>
      <c r="E470" s="231">
        <v>202001.05</v>
      </c>
      <c r="F470" s="231">
        <v>226865</v>
      </c>
      <c r="G470" s="231">
        <v>1123989</v>
      </c>
      <c r="H470" s="231"/>
      <c r="I470" s="232">
        <v>21117.8</v>
      </c>
      <c r="J470" s="232">
        <v>984972</v>
      </c>
      <c r="K470" s="232">
        <v>76983</v>
      </c>
      <c r="L470" s="231">
        <v>96457</v>
      </c>
      <c r="M470" s="231"/>
      <c r="N470" s="232">
        <v>39386</v>
      </c>
      <c r="O470" s="232">
        <v>363548</v>
      </c>
      <c r="P470" s="232">
        <v>0</v>
      </c>
      <c r="Q470" s="231">
        <v>0</v>
      </c>
      <c r="R470" s="232">
        <f t="shared" si="7"/>
        <v>621424</v>
      </c>
      <c r="S470" s="231"/>
      <c r="T470" s="232">
        <v>300426</v>
      </c>
      <c r="U470" s="233">
        <v>42457</v>
      </c>
      <c r="V470" s="233">
        <v>342883</v>
      </c>
    </row>
    <row r="471" spans="1:22">
      <c r="A471" s="226">
        <v>95001</v>
      </c>
      <c r="B471" s="227" t="s">
        <v>1178</v>
      </c>
      <c r="C471" s="87">
        <v>2.3779000000000001E-3</v>
      </c>
      <c r="D471" s="87">
        <v>2.3674E-3</v>
      </c>
      <c r="E471" s="231">
        <v>1026879.06</v>
      </c>
      <c r="F471" s="231">
        <v>1062475</v>
      </c>
      <c r="G471" s="231">
        <v>5046700</v>
      </c>
      <c r="H471" s="231"/>
      <c r="I471" s="232">
        <v>94819</v>
      </c>
      <c r="J471" s="232">
        <v>4422518</v>
      </c>
      <c r="K471" s="232">
        <v>345654</v>
      </c>
      <c r="L471" s="231">
        <v>86860</v>
      </c>
      <c r="M471" s="231"/>
      <c r="N471" s="232">
        <v>176842</v>
      </c>
      <c r="O471" s="232">
        <v>1632328</v>
      </c>
      <c r="P471" s="232">
        <v>0</v>
      </c>
      <c r="Q471" s="231">
        <v>8022</v>
      </c>
      <c r="R471" s="232">
        <f t="shared" si="7"/>
        <v>2790190</v>
      </c>
      <c r="S471" s="231"/>
      <c r="T471" s="232">
        <v>1348909</v>
      </c>
      <c r="U471" s="233">
        <v>22510</v>
      </c>
      <c r="V471" s="233">
        <v>1371419</v>
      </c>
    </row>
    <row r="472" spans="1:22">
      <c r="A472" s="226">
        <v>95002</v>
      </c>
      <c r="B472" s="227" t="s">
        <v>1179</v>
      </c>
      <c r="C472" s="87">
        <v>2.0120000000000001E-4</v>
      </c>
      <c r="D472" s="87">
        <v>1.919E-4</v>
      </c>
      <c r="E472" s="231">
        <v>91760.39</v>
      </c>
      <c r="F472" s="231">
        <v>86124</v>
      </c>
      <c r="G472" s="231">
        <v>427014</v>
      </c>
      <c r="H472" s="231"/>
      <c r="I472" s="232">
        <v>8022.85</v>
      </c>
      <c r="J472" s="232">
        <v>374200</v>
      </c>
      <c r="K472" s="232">
        <v>29247</v>
      </c>
      <c r="L472" s="231">
        <v>17432</v>
      </c>
      <c r="M472" s="231"/>
      <c r="N472" s="232">
        <v>14963</v>
      </c>
      <c r="O472" s="232">
        <v>138115</v>
      </c>
      <c r="P472" s="232">
        <v>0</v>
      </c>
      <c r="Q472" s="231">
        <v>0</v>
      </c>
      <c r="R472" s="232">
        <f t="shared" si="7"/>
        <v>236085</v>
      </c>
      <c r="S472" s="231"/>
      <c r="T472" s="232">
        <v>114135</v>
      </c>
      <c r="U472" s="233">
        <v>5391</v>
      </c>
      <c r="V472" s="233">
        <v>119526</v>
      </c>
    </row>
    <row r="473" spans="1:22">
      <c r="A473" s="226">
        <v>95005</v>
      </c>
      <c r="B473" s="227" t="s">
        <v>1180</v>
      </c>
      <c r="C473" s="87">
        <v>2.3829999999999999E-4</v>
      </c>
      <c r="D473" s="87">
        <v>2.4499999999999999E-4</v>
      </c>
      <c r="E473" s="231">
        <v>102066.84000000001</v>
      </c>
      <c r="F473" s="231">
        <v>109954.53</v>
      </c>
      <c r="G473" s="231">
        <v>505752</v>
      </c>
      <c r="H473" s="231"/>
      <c r="I473" s="232">
        <v>9502</v>
      </c>
      <c r="J473" s="232">
        <v>443200</v>
      </c>
      <c r="K473" s="232">
        <v>34640</v>
      </c>
      <c r="L473" s="231">
        <v>23207</v>
      </c>
      <c r="M473" s="231"/>
      <c r="N473" s="232">
        <v>17722</v>
      </c>
      <c r="O473" s="232">
        <v>163583</v>
      </c>
      <c r="P473" s="232">
        <v>0</v>
      </c>
      <c r="Q473" s="231">
        <v>399</v>
      </c>
      <c r="R473" s="232">
        <f t="shared" si="7"/>
        <v>279617</v>
      </c>
      <c r="S473" s="231"/>
      <c r="T473" s="232">
        <v>135180</v>
      </c>
      <c r="U473" s="233">
        <v>9376</v>
      </c>
      <c r="V473" s="233">
        <v>144556</v>
      </c>
    </row>
    <row r="474" spans="1:22">
      <c r="A474" s="226">
        <v>95008</v>
      </c>
      <c r="B474" s="227" t="s">
        <v>1181</v>
      </c>
      <c r="C474" s="87">
        <v>1.169E-4</v>
      </c>
      <c r="D474" s="87">
        <v>1.3669999999999999E-4</v>
      </c>
      <c r="E474" s="231">
        <v>50977.440000000002</v>
      </c>
      <c r="F474" s="231">
        <v>61350</v>
      </c>
      <c r="G474" s="231">
        <v>248101</v>
      </c>
      <c r="H474" s="231"/>
      <c r="I474" s="232">
        <v>4661</v>
      </c>
      <c r="J474" s="232">
        <v>217416</v>
      </c>
      <c r="K474" s="232">
        <v>16993</v>
      </c>
      <c r="L474" s="231">
        <v>21945</v>
      </c>
      <c r="M474" s="231"/>
      <c r="N474" s="232">
        <v>8694</v>
      </c>
      <c r="O474" s="232">
        <v>80247</v>
      </c>
      <c r="P474" s="232">
        <v>0</v>
      </c>
      <c r="Q474" s="231">
        <v>8420</v>
      </c>
      <c r="R474" s="232">
        <f t="shared" si="7"/>
        <v>137169</v>
      </c>
      <c r="S474" s="231"/>
      <c r="T474" s="232">
        <v>66314</v>
      </c>
      <c r="U474" s="233">
        <v>7393</v>
      </c>
      <c r="V474" s="233">
        <v>73707</v>
      </c>
    </row>
    <row r="475" spans="1:22">
      <c r="A475" s="226">
        <v>95009</v>
      </c>
      <c r="B475" s="227" t="s">
        <v>1938</v>
      </c>
      <c r="C475" s="87">
        <v>3.9902000000000002E-3</v>
      </c>
      <c r="D475" s="87">
        <v>3.614E-3</v>
      </c>
      <c r="E475" s="231">
        <v>1651705.2100000002</v>
      </c>
      <c r="F475" s="231">
        <v>1621942</v>
      </c>
      <c r="G475" s="231">
        <v>8468541</v>
      </c>
      <c r="H475" s="231"/>
      <c r="I475" s="232">
        <v>159109</v>
      </c>
      <c r="J475" s="232">
        <v>7421142</v>
      </c>
      <c r="K475" s="232">
        <v>580019</v>
      </c>
      <c r="L475" s="231">
        <v>1306132</v>
      </c>
      <c r="M475" s="231"/>
      <c r="N475" s="232">
        <v>296747</v>
      </c>
      <c r="O475" s="232">
        <v>2739105</v>
      </c>
      <c r="P475" s="232">
        <v>0</v>
      </c>
      <c r="Q475" s="231">
        <v>0</v>
      </c>
      <c r="R475" s="232">
        <f t="shared" si="7"/>
        <v>4682037</v>
      </c>
      <c r="S475" s="231"/>
      <c r="T475" s="232">
        <v>2263517</v>
      </c>
      <c r="U475" s="233">
        <v>547444</v>
      </c>
      <c r="V475" s="233">
        <v>2810961</v>
      </c>
    </row>
    <row r="476" spans="1:22">
      <c r="A476" s="226">
        <v>95011</v>
      </c>
      <c r="B476" s="227" t="s">
        <v>1183</v>
      </c>
      <c r="C476" s="87">
        <v>1.707E-4</v>
      </c>
      <c r="D476" s="87">
        <v>1.8760000000000001E-4</v>
      </c>
      <c r="E476" s="231">
        <v>71947.840000000011</v>
      </c>
      <c r="F476" s="231">
        <v>84194</v>
      </c>
      <c r="G476" s="231">
        <v>362283</v>
      </c>
      <c r="H476" s="231"/>
      <c r="I476" s="232">
        <v>6807</v>
      </c>
      <c r="J476" s="232">
        <v>317475</v>
      </c>
      <c r="K476" s="232">
        <v>24813</v>
      </c>
      <c r="L476" s="231">
        <v>0</v>
      </c>
      <c r="M476" s="231"/>
      <c r="N476" s="232">
        <v>12695</v>
      </c>
      <c r="O476" s="232">
        <v>117178</v>
      </c>
      <c r="P476" s="232">
        <v>0</v>
      </c>
      <c r="Q476" s="231">
        <v>13568</v>
      </c>
      <c r="R476" s="232">
        <f t="shared" si="7"/>
        <v>200297</v>
      </c>
      <c r="S476" s="231"/>
      <c r="T476" s="232">
        <v>96833</v>
      </c>
      <c r="U476" s="233">
        <v>-4659</v>
      </c>
      <c r="V476" s="233">
        <v>92174</v>
      </c>
    </row>
    <row r="477" spans="1:22">
      <c r="A477" s="226">
        <v>95017</v>
      </c>
      <c r="B477" s="227" t="s">
        <v>1184</v>
      </c>
      <c r="C477" s="87">
        <v>3.5800000000000003E-5</v>
      </c>
      <c r="D477" s="87">
        <v>3.9900000000000001E-5</v>
      </c>
      <c r="E477" s="231">
        <v>21743.88</v>
      </c>
      <c r="F477" s="231">
        <v>17907</v>
      </c>
      <c r="G477" s="231">
        <v>75980</v>
      </c>
      <c r="H477" s="231"/>
      <c r="I477" s="232">
        <v>1427.5250000000001</v>
      </c>
      <c r="J477" s="232">
        <v>66582</v>
      </c>
      <c r="K477" s="232">
        <v>5204</v>
      </c>
      <c r="L477" s="231">
        <v>20942</v>
      </c>
      <c r="M477" s="231"/>
      <c r="N477" s="232">
        <v>2662</v>
      </c>
      <c r="O477" s="232">
        <v>24575</v>
      </c>
      <c r="P477" s="232">
        <v>0</v>
      </c>
      <c r="Q477" s="231">
        <v>0</v>
      </c>
      <c r="R477" s="232">
        <f t="shared" si="7"/>
        <v>42007</v>
      </c>
      <c r="S477" s="231"/>
      <c r="T477" s="232">
        <v>20308</v>
      </c>
      <c r="U477" s="233">
        <v>7629</v>
      </c>
      <c r="V477" s="233">
        <v>27937</v>
      </c>
    </row>
    <row r="478" spans="1:22">
      <c r="A478" s="226">
        <v>95101</v>
      </c>
      <c r="B478" s="227" t="s">
        <v>1185</v>
      </c>
      <c r="C478" s="87">
        <v>8.0955999999999997E-3</v>
      </c>
      <c r="D478" s="87">
        <v>7.8796000000000005E-3</v>
      </c>
      <c r="E478" s="231">
        <v>3063500.72</v>
      </c>
      <c r="F478" s="231">
        <v>3536317</v>
      </c>
      <c r="G478" s="231">
        <v>17181575</v>
      </c>
      <c r="H478" s="231"/>
      <c r="I478" s="232">
        <v>322812.05</v>
      </c>
      <c r="J478" s="232">
        <v>15056537</v>
      </c>
      <c r="K478" s="232">
        <v>1176785</v>
      </c>
      <c r="L478" s="231">
        <v>77016</v>
      </c>
      <c r="M478" s="231"/>
      <c r="N478" s="232">
        <v>602062</v>
      </c>
      <c r="O478" s="232">
        <v>5557289</v>
      </c>
      <c r="P478" s="232">
        <v>0</v>
      </c>
      <c r="Q478" s="231">
        <v>94065</v>
      </c>
      <c r="R478" s="232">
        <f t="shared" si="7"/>
        <v>9499248</v>
      </c>
      <c r="S478" s="231"/>
      <c r="T478" s="232">
        <v>4592383</v>
      </c>
      <c r="U478" s="233">
        <v>13084</v>
      </c>
      <c r="V478" s="233">
        <v>4605467</v>
      </c>
    </row>
    <row r="479" spans="1:22">
      <c r="A479" s="226">
        <v>95103</v>
      </c>
      <c r="B479" s="227" t="s">
        <v>1186</v>
      </c>
      <c r="C479" s="87">
        <v>6.02E-5</v>
      </c>
      <c r="D479" s="87">
        <v>5.91E-5</v>
      </c>
      <c r="E479" s="231">
        <v>34084.349999999991</v>
      </c>
      <c r="F479" s="231">
        <v>26524</v>
      </c>
      <c r="G479" s="231">
        <v>127765</v>
      </c>
      <c r="H479" s="231"/>
      <c r="I479" s="232">
        <v>2400.4749999999999</v>
      </c>
      <c r="J479" s="232">
        <v>111962</v>
      </c>
      <c r="K479" s="232">
        <v>8751</v>
      </c>
      <c r="L479" s="231">
        <v>41064</v>
      </c>
      <c r="M479" s="231"/>
      <c r="N479" s="232">
        <v>4477</v>
      </c>
      <c r="O479" s="232">
        <v>41325</v>
      </c>
      <c r="P479" s="232">
        <v>0</v>
      </c>
      <c r="Q479" s="231">
        <v>0</v>
      </c>
      <c r="R479" s="232">
        <f t="shared" si="7"/>
        <v>70637</v>
      </c>
      <c r="S479" s="231"/>
      <c r="T479" s="232">
        <v>34150</v>
      </c>
      <c r="U479" s="233">
        <v>17815</v>
      </c>
      <c r="V479" s="233">
        <v>51965</v>
      </c>
    </row>
    <row r="480" spans="1:22">
      <c r="A480" s="226">
        <v>95104</v>
      </c>
      <c r="B480" s="227" t="s">
        <v>1187</v>
      </c>
      <c r="C480" s="87">
        <v>1.011E-4</v>
      </c>
      <c r="D480" s="87">
        <v>1.022E-4</v>
      </c>
      <c r="E480" s="231">
        <v>48495.61</v>
      </c>
      <c r="F480" s="231">
        <v>45867</v>
      </c>
      <c r="G480" s="231">
        <v>214568</v>
      </c>
      <c r="H480" s="231"/>
      <c r="I480" s="232">
        <v>4031</v>
      </c>
      <c r="J480" s="232">
        <v>188030</v>
      </c>
      <c r="K480" s="232">
        <v>14696</v>
      </c>
      <c r="L480" s="231">
        <v>18344</v>
      </c>
      <c r="M480" s="231"/>
      <c r="N480" s="232">
        <v>7519</v>
      </c>
      <c r="O480" s="232">
        <v>69401</v>
      </c>
      <c r="P480" s="232">
        <v>0</v>
      </c>
      <c r="Q480" s="231">
        <v>0</v>
      </c>
      <c r="R480" s="232">
        <f t="shared" si="7"/>
        <v>118629</v>
      </c>
      <c r="S480" s="231"/>
      <c r="T480" s="232">
        <v>57351</v>
      </c>
      <c r="U480" s="233">
        <v>6442</v>
      </c>
      <c r="V480" s="233">
        <v>63793</v>
      </c>
    </row>
    <row r="481" spans="1:22">
      <c r="A481" s="226">
        <v>95105</v>
      </c>
      <c r="B481" s="227" t="s">
        <v>1188</v>
      </c>
      <c r="C481" s="87">
        <v>6.3700000000000003E-5</v>
      </c>
      <c r="D481" s="87">
        <v>6.2199999999999994E-5</v>
      </c>
      <c r="E481" s="231">
        <v>28733.570000000007</v>
      </c>
      <c r="F481" s="231">
        <v>27915</v>
      </c>
      <c r="G481" s="231">
        <v>135193</v>
      </c>
      <c r="H481" s="231"/>
      <c r="I481" s="232">
        <v>2540</v>
      </c>
      <c r="J481" s="232">
        <v>118472</v>
      </c>
      <c r="K481" s="232">
        <v>9259</v>
      </c>
      <c r="L481" s="231">
        <v>9013</v>
      </c>
      <c r="M481" s="231"/>
      <c r="N481" s="232">
        <v>4737</v>
      </c>
      <c r="O481" s="232">
        <v>43727</v>
      </c>
      <c r="P481" s="232">
        <v>0</v>
      </c>
      <c r="Q481" s="231">
        <v>0</v>
      </c>
      <c r="R481" s="232">
        <f t="shared" si="7"/>
        <v>74745</v>
      </c>
      <c r="S481" s="231"/>
      <c r="T481" s="232">
        <v>36135</v>
      </c>
      <c r="U481" s="233">
        <v>3391</v>
      </c>
      <c r="V481" s="233">
        <v>39526</v>
      </c>
    </row>
    <row r="482" spans="1:22">
      <c r="A482" s="226">
        <v>95106</v>
      </c>
      <c r="B482" s="227" t="s">
        <v>1189</v>
      </c>
      <c r="C482" s="87">
        <v>1.3900000000000001E-5</v>
      </c>
      <c r="D482" s="87">
        <v>5.9000000000000003E-6</v>
      </c>
      <c r="E482" s="231">
        <v>4209.76</v>
      </c>
      <c r="F482" s="231">
        <v>2648</v>
      </c>
      <c r="G482" s="231">
        <v>29500</v>
      </c>
      <c r="H482" s="231"/>
      <c r="I482" s="232">
        <v>554</v>
      </c>
      <c r="J482" s="232">
        <v>25852</v>
      </c>
      <c r="K482" s="232">
        <v>2021</v>
      </c>
      <c r="L482" s="231">
        <v>7510</v>
      </c>
      <c r="M482" s="231"/>
      <c r="N482" s="232">
        <v>1034</v>
      </c>
      <c r="O482" s="232">
        <v>9542</v>
      </c>
      <c r="P482" s="232">
        <v>0</v>
      </c>
      <c r="Q482" s="231">
        <v>0</v>
      </c>
      <c r="R482" s="232">
        <f t="shared" si="7"/>
        <v>16310</v>
      </c>
      <c r="S482" s="231"/>
      <c r="T482" s="232">
        <v>7885</v>
      </c>
      <c r="U482" s="233">
        <v>2593</v>
      </c>
      <c r="V482" s="233">
        <v>10478</v>
      </c>
    </row>
    <row r="483" spans="1:22">
      <c r="A483" s="226">
        <v>95110</v>
      </c>
      <c r="B483" s="227" t="s">
        <v>1190</v>
      </c>
      <c r="C483" s="87">
        <v>4.4609000000000003E-3</v>
      </c>
      <c r="D483" s="87">
        <v>5.5170000000000002E-3</v>
      </c>
      <c r="E483" s="231">
        <v>1868606.24</v>
      </c>
      <c r="F483" s="231">
        <v>2475996</v>
      </c>
      <c r="G483" s="231">
        <v>9467524</v>
      </c>
      <c r="H483" s="231"/>
      <c r="I483" s="232">
        <v>177878</v>
      </c>
      <c r="J483" s="232">
        <v>8296569</v>
      </c>
      <c r="K483" s="232">
        <v>648441</v>
      </c>
      <c r="L483" s="231">
        <v>0</v>
      </c>
      <c r="M483" s="231"/>
      <c r="N483" s="232">
        <v>331753</v>
      </c>
      <c r="O483" s="232">
        <v>3062220</v>
      </c>
      <c r="P483" s="232">
        <v>0</v>
      </c>
      <c r="Q483" s="231">
        <v>1586204</v>
      </c>
      <c r="R483" s="232">
        <f t="shared" si="7"/>
        <v>5234349</v>
      </c>
      <c r="S483" s="231"/>
      <c r="T483" s="232">
        <v>2530530</v>
      </c>
      <c r="U483" s="233">
        <v>-606775</v>
      </c>
      <c r="V483" s="233">
        <v>1923756</v>
      </c>
    </row>
    <row r="484" spans="1:22">
      <c r="A484" s="226">
        <v>95111</v>
      </c>
      <c r="B484" s="227" t="s">
        <v>1191</v>
      </c>
      <c r="C484" s="87">
        <v>1.0709000000000001E-3</v>
      </c>
      <c r="D484" s="87">
        <v>1.1418999999999999E-3</v>
      </c>
      <c r="E484" s="231">
        <v>392359.07</v>
      </c>
      <c r="F484" s="231">
        <v>512478</v>
      </c>
      <c r="G484" s="231">
        <v>2272809</v>
      </c>
      <c r="H484" s="231"/>
      <c r="I484" s="232">
        <v>42702</v>
      </c>
      <c r="J484" s="232">
        <v>1991705</v>
      </c>
      <c r="K484" s="232">
        <v>155667</v>
      </c>
      <c r="L484" s="231">
        <v>0</v>
      </c>
      <c r="M484" s="231"/>
      <c r="N484" s="232">
        <v>79642</v>
      </c>
      <c r="O484" s="232">
        <v>735128</v>
      </c>
      <c r="P484" s="232">
        <v>0</v>
      </c>
      <c r="Q484" s="231">
        <v>161003</v>
      </c>
      <c r="R484" s="232">
        <f t="shared" si="7"/>
        <v>1256577</v>
      </c>
      <c r="S484" s="231"/>
      <c r="T484" s="232">
        <v>607488</v>
      </c>
      <c r="U484" s="233">
        <v>-55722</v>
      </c>
      <c r="V484" s="233">
        <v>551766</v>
      </c>
    </row>
    <row r="485" spans="1:22">
      <c r="A485" s="226">
        <v>95113</v>
      </c>
      <c r="B485" s="227" t="s">
        <v>1192</v>
      </c>
      <c r="C485" s="87">
        <v>4.7500000000000003E-5</v>
      </c>
      <c r="D485" s="87">
        <v>4.4299999999999999E-5</v>
      </c>
      <c r="E485" s="231">
        <v>62344.110000000008</v>
      </c>
      <c r="F485" s="231">
        <v>19882</v>
      </c>
      <c r="G485" s="231">
        <v>100811</v>
      </c>
      <c r="H485" s="231"/>
      <c r="I485" s="232">
        <v>1894.0625</v>
      </c>
      <c r="J485" s="232">
        <v>88342</v>
      </c>
      <c r="K485" s="232">
        <v>6905</v>
      </c>
      <c r="L485" s="231">
        <v>69845</v>
      </c>
      <c r="M485" s="231"/>
      <c r="N485" s="232">
        <v>3533</v>
      </c>
      <c r="O485" s="232">
        <v>32607</v>
      </c>
      <c r="P485" s="232">
        <v>0</v>
      </c>
      <c r="Q485" s="231">
        <v>0</v>
      </c>
      <c r="R485" s="232">
        <f t="shared" si="7"/>
        <v>55735</v>
      </c>
      <c r="S485" s="231"/>
      <c r="T485" s="232">
        <v>26945</v>
      </c>
      <c r="U485" s="233">
        <v>22543</v>
      </c>
      <c r="V485" s="233">
        <v>49489</v>
      </c>
    </row>
    <row r="486" spans="1:22">
      <c r="A486" s="226">
        <v>95121</v>
      </c>
      <c r="B486" s="227" t="s">
        <v>1193</v>
      </c>
      <c r="C486" s="87">
        <v>4.9580000000000002E-4</v>
      </c>
      <c r="D486" s="87">
        <v>4.7540000000000001E-4</v>
      </c>
      <c r="E486" s="231">
        <v>201528.43</v>
      </c>
      <c r="F486" s="231">
        <v>213357</v>
      </c>
      <c r="G486" s="231">
        <v>1052254</v>
      </c>
      <c r="H486" s="231"/>
      <c r="I486" s="232">
        <v>19770</v>
      </c>
      <c r="J486" s="232">
        <v>922110</v>
      </c>
      <c r="K486" s="232">
        <v>72070</v>
      </c>
      <c r="L486" s="231">
        <v>18227</v>
      </c>
      <c r="M486" s="231"/>
      <c r="N486" s="232">
        <v>36872</v>
      </c>
      <c r="O486" s="232">
        <v>340346</v>
      </c>
      <c r="P486" s="232">
        <v>0</v>
      </c>
      <c r="Q486" s="231">
        <v>25446.13</v>
      </c>
      <c r="R486" s="232">
        <f t="shared" si="7"/>
        <v>581764</v>
      </c>
      <c r="S486" s="231"/>
      <c r="T486" s="232">
        <v>281252</v>
      </c>
      <c r="U486" s="233">
        <v>-7200</v>
      </c>
      <c r="V486" s="233">
        <v>274052</v>
      </c>
    </row>
    <row r="487" spans="1:22">
      <c r="A487" s="226">
        <v>95122</v>
      </c>
      <c r="B487" s="227" t="s">
        <v>1194</v>
      </c>
      <c r="C487" s="87">
        <v>2.7999999999999999E-6</v>
      </c>
      <c r="D487" s="87">
        <v>3.3000000000000002E-6</v>
      </c>
      <c r="E487" s="231">
        <v>2740.07</v>
      </c>
      <c r="F487" s="231">
        <v>1481</v>
      </c>
      <c r="G487" s="231">
        <v>5943</v>
      </c>
      <c r="H487" s="231"/>
      <c r="I487" s="232">
        <v>112</v>
      </c>
      <c r="J487" s="232">
        <v>5208</v>
      </c>
      <c r="K487" s="232">
        <v>407</v>
      </c>
      <c r="L487" s="231">
        <v>1558</v>
      </c>
      <c r="M487" s="231"/>
      <c r="N487" s="232">
        <v>208</v>
      </c>
      <c r="O487" s="232">
        <v>1922</v>
      </c>
      <c r="P487" s="232">
        <v>0</v>
      </c>
      <c r="Q487" s="231">
        <v>0</v>
      </c>
      <c r="R487" s="232">
        <f t="shared" si="7"/>
        <v>3286</v>
      </c>
      <c r="S487" s="231"/>
      <c r="T487" s="232">
        <v>1588</v>
      </c>
      <c r="U487" s="233">
        <v>459</v>
      </c>
      <c r="V487" s="233">
        <v>2048</v>
      </c>
    </row>
    <row r="488" spans="1:22">
      <c r="A488" s="226">
        <v>95123</v>
      </c>
      <c r="B488" s="227" t="s">
        <v>1195</v>
      </c>
      <c r="C488" s="87">
        <v>5.6700000000000003E-5</v>
      </c>
      <c r="D488" s="87">
        <v>5.1199999999999998E-5</v>
      </c>
      <c r="E488" s="231">
        <v>25666.18</v>
      </c>
      <c r="F488" s="231">
        <v>22978</v>
      </c>
      <c r="G488" s="231">
        <v>120336</v>
      </c>
      <c r="H488" s="231"/>
      <c r="I488" s="232">
        <v>2261</v>
      </c>
      <c r="J488" s="232">
        <v>105453</v>
      </c>
      <c r="K488" s="232">
        <v>8242</v>
      </c>
      <c r="L488" s="231">
        <v>8689</v>
      </c>
      <c r="M488" s="231"/>
      <c r="N488" s="232">
        <v>4217</v>
      </c>
      <c r="O488" s="232">
        <v>38922</v>
      </c>
      <c r="P488" s="232">
        <v>0</v>
      </c>
      <c r="Q488" s="231">
        <v>2933.26</v>
      </c>
      <c r="R488" s="232">
        <f t="shared" si="7"/>
        <v>66531</v>
      </c>
      <c r="S488" s="231"/>
      <c r="T488" s="232">
        <v>32164</v>
      </c>
      <c r="U488" s="233">
        <v>1144</v>
      </c>
      <c r="V488" s="233">
        <v>33309</v>
      </c>
    </row>
    <row r="489" spans="1:22">
      <c r="A489" s="226">
        <v>95131</v>
      </c>
      <c r="B489" s="227" t="s">
        <v>1196</v>
      </c>
      <c r="C489" s="87">
        <v>1.5451E-3</v>
      </c>
      <c r="D489" s="87">
        <v>1.4713E-3</v>
      </c>
      <c r="E489" s="231">
        <v>607661.46</v>
      </c>
      <c r="F489" s="231">
        <v>660311</v>
      </c>
      <c r="G489" s="231">
        <v>3279220</v>
      </c>
      <c r="H489" s="231"/>
      <c r="I489" s="232">
        <v>61611</v>
      </c>
      <c r="J489" s="232">
        <v>2873642</v>
      </c>
      <c r="K489" s="232">
        <v>224597</v>
      </c>
      <c r="L489" s="231">
        <v>53573</v>
      </c>
      <c r="M489" s="231"/>
      <c r="N489" s="232">
        <v>114908</v>
      </c>
      <c r="O489" s="232">
        <v>1060646</v>
      </c>
      <c r="P489" s="232">
        <v>0</v>
      </c>
      <c r="Q489" s="231">
        <v>1701</v>
      </c>
      <c r="R489" s="232">
        <f t="shared" si="7"/>
        <v>1812996</v>
      </c>
      <c r="S489" s="231"/>
      <c r="T489" s="232">
        <v>876487</v>
      </c>
      <c r="U489" s="233">
        <v>16429</v>
      </c>
      <c r="V489" s="233">
        <v>892916</v>
      </c>
    </row>
    <row r="490" spans="1:22">
      <c r="A490" s="226">
        <v>95141</v>
      </c>
      <c r="B490" s="227" t="s">
        <v>1197</v>
      </c>
      <c r="C490" s="87">
        <v>3.1819999999999998E-4</v>
      </c>
      <c r="D490" s="87">
        <v>2.99E-4</v>
      </c>
      <c r="E490" s="231">
        <v>115455.16</v>
      </c>
      <c r="F490" s="231">
        <v>134189</v>
      </c>
      <c r="G490" s="231">
        <v>675327</v>
      </c>
      <c r="H490" s="231"/>
      <c r="I490" s="232">
        <v>12688</v>
      </c>
      <c r="J490" s="232">
        <v>591802</v>
      </c>
      <c r="K490" s="232">
        <v>46254</v>
      </c>
      <c r="L490" s="231">
        <v>2515.36</v>
      </c>
      <c r="M490" s="231"/>
      <c r="N490" s="232">
        <v>23664</v>
      </c>
      <c r="O490" s="232">
        <v>218431</v>
      </c>
      <c r="P490" s="232">
        <v>0</v>
      </c>
      <c r="Q490" s="231">
        <v>28114</v>
      </c>
      <c r="R490" s="232">
        <f t="shared" si="7"/>
        <v>373371</v>
      </c>
      <c r="S490" s="231"/>
      <c r="T490" s="232">
        <v>180505</v>
      </c>
      <c r="U490" s="233">
        <v>-8530</v>
      </c>
      <c r="V490" s="233">
        <v>171975</v>
      </c>
    </row>
    <row r="491" spans="1:22">
      <c r="A491" s="226">
        <v>95151</v>
      </c>
      <c r="B491" s="227" t="s">
        <v>1198</v>
      </c>
      <c r="C491" s="87">
        <v>1.158E-4</v>
      </c>
      <c r="D491" s="87">
        <v>1.05E-4</v>
      </c>
      <c r="E491" s="231">
        <v>39583.1</v>
      </c>
      <c r="F491" s="231">
        <v>47123.37</v>
      </c>
      <c r="G491" s="231">
        <v>245766</v>
      </c>
      <c r="H491" s="231"/>
      <c r="I491" s="232">
        <v>4618</v>
      </c>
      <c r="J491" s="232">
        <v>215370</v>
      </c>
      <c r="K491" s="232">
        <v>16833</v>
      </c>
      <c r="L491" s="231">
        <v>732.32</v>
      </c>
      <c r="M491" s="231"/>
      <c r="N491" s="232">
        <v>8612</v>
      </c>
      <c r="O491" s="232">
        <v>79492</v>
      </c>
      <c r="P491" s="232">
        <v>0</v>
      </c>
      <c r="Q491" s="231">
        <v>5502</v>
      </c>
      <c r="R491" s="232">
        <f t="shared" si="7"/>
        <v>135878</v>
      </c>
      <c r="S491" s="231"/>
      <c r="T491" s="232">
        <v>65690</v>
      </c>
      <c r="U491" s="233">
        <v>-1532</v>
      </c>
      <c r="V491" s="233">
        <v>64158</v>
      </c>
    </row>
    <row r="492" spans="1:22">
      <c r="A492" s="226">
        <v>95161</v>
      </c>
      <c r="B492" s="227" t="s">
        <v>1199</v>
      </c>
      <c r="C492" s="87">
        <v>7.4800000000000002E-5</v>
      </c>
      <c r="D492" s="87">
        <v>7.0599999999999995E-5</v>
      </c>
      <c r="E492" s="231">
        <v>34991.979999999996</v>
      </c>
      <c r="F492" s="231">
        <v>31685</v>
      </c>
      <c r="G492" s="231">
        <v>158751</v>
      </c>
      <c r="H492" s="231"/>
      <c r="I492" s="232">
        <v>2982.65</v>
      </c>
      <c r="J492" s="232">
        <v>139116</v>
      </c>
      <c r="K492" s="232">
        <v>10873</v>
      </c>
      <c r="L492" s="231">
        <v>6290</v>
      </c>
      <c r="M492" s="231"/>
      <c r="N492" s="232">
        <v>5563</v>
      </c>
      <c r="O492" s="232">
        <v>51347</v>
      </c>
      <c r="P492" s="232">
        <v>0</v>
      </c>
      <c r="Q492" s="231">
        <v>2096</v>
      </c>
      <c r="R492" s="232">
        <f t="shared" si="7"/>
        <v>87769</v>
      </c>
      <c r="S492" s="231"/>
      <c r="T492" s="232">
        <v>42432</v>
      </c>
      <c r="U492" s="233">
        <v>1046</v>
      </c>
      <c r="V492" s="233">
        <v>43477</v>
      </c>
    </row>
    <row r="493" spans="1:22">
      <c r="A493" s="226">
        <v>95171</v>
      </c>
      <c r="B493" s="227" t="s">
        <v>1200</v>
      </c>
      <c r="C493" s="87">
        <v>1.2300000000000001E-4</v>
      </c>
      <c r="D493" s="87">
        <v>1.2740000000000001E-4</v>
      </c>
      <c r="E493" s="231">
        <v>48393.279999999999</v>
      </c>
      <c r="F493" s="231">
        <v>57176</v>
      </c>
      <c r="G493" s="231">
        <v>261047</v>
      </c>
      <c r="H493" s="231"/>
      <c r="I493" s="232">
        <v>4904.625</v>
      </c>
      <c r="J493" s="232">
        <v>228761</v>
      </c>
      <c r="K493" s="232">
        <v>17879</v>
      </c>
      <c r="L493" s="231">
        <v>10389</v>
      </c>
      <c r="M493" s="231"/>
      <c r="N493" s="232">
        <v>9147</v>
      </c>
      <c r="O493" s="232">
        <v>84434</v>
      </c>
      <c r="P493" s="232">
        <v>0</v>
      </c>
      <c r="Q493" s="231">
        <v>12793</v>
      </c>
      <c r="R493" s="232">
        <f t="shared" si="7"/>
        <v>144327</v>
      </c>
      <c r="S493" s="231"/>
      <c r="T493" s="232">
        <v>69774</v>
      </c>
      <c r="U493" s="233">
        <v>-1741</v>
      </c>
      <c r="V493" s="233">
        <v>68033</v>
      </c>
    </row>
    <row r="494" spans="1:22">
      <c r="A494" s="226">
        <v>95181</v>
      </c>
      <c r="B494" s="227" t="s">
        <v>1201</v>
      </c>
      <c r="C494" s="87">
        <v>7.7899999999999996E-5</v>
      </c>
      <c r="D494" s="87">
        <v>8.0400000000000003E-5</v>
      </c>
      <c r="E494" s="231">
        <v>26254.759999999995</v>
      </c>
      <c r="F494" s="231">
        <v>36083</v>
      </c>
      <c r="G494" s="231">
        <v>165330</v>
      </c>
      <c r="H494" s="231"/>
      <c r="I494" s="232">
        <v>3106</v>
      </c>
      <c r="J494" s="232">
        <v>144882</v>
      </c>
      <c r="K494" s="232">
        <v>11324</v>
      </c>
      <c r="L494" s="231">
        <v>1657</v>
      </c>
      <c r="M494" s="231"/>
      <c r="N494" s="232">
        <v>5793</v>
      </c>
      <c r="O494" s="232">
        <v>53475</v>
      </c>
      <c r="P494" s="232">
        <v>0</v>
      </c>
      <c r="Q494" s="231">
        <v>6539</v>
      </c>
      <c r="R494" s="232">
        <f t="shared" si="7"/>
        <v>91407</v>
      </c>
      <c r="S494" s="231"/>
      <c r="T494" s="232">
        <v>44190</v>
      </c>
      <c r="U494" s="233">
        <v>-1251</v>
      </c>
      <c r="V494" s="233">
        <v>42939</v>
      </c>
    </row>
    <row r="495" spans="1:22">
      <c r="A495" s="226">
        <v>95191</v>
      </c>
      <c r="B495" s="227" t="s">
        <v>1202</v>
      </c>
      <c r="C495" s="87">
        <v>5.3999999999999998E-5</v>
      </c>
      <c r="D495" s="87">
        <v>7.9099999999999998E-5</v>
      </c>
      <c r="E495" s="231">
        <v>30331.53</v>
      </c>
      <c r="F495" s="231">
        <v>35500</v>
      </c>
      <c r="G495" s="231">
        <v>114606.09</v>
      </c>
      <c r="H495" s="231"/>
      <c r="I495" s="232">
        <v>2153.25</v>
      </c>
      <c r="J495" s="232">
        <v>100431</v>
      </c>
      <c r="K495" s="232">
        <v>7849</v>
      </c>
      <c r="L495" s="231">
        <v>12291</v>
      </c>
      <c r="M495" s="231"/>
      <c r="N495" s="232">
        <v>4016</v>
      </c>
      <c r="O495" s="232">
        <v>37069</v>
      </c>
      <c r="P495" s="232">
        <v>0</v>
      </c>
      <c r="Q495" s="231">
        <v>7144</v>
      </c>
      <c r="R495" s="232">
        <f t="shared" si="7"/>
        <v>63362</v>
      </c>
      <c r="S495" s="231"/>
      <c r="T495" s="232">
        <v>30633</v>
      </c>
      <c r="U495" s="233">
        <v>3134</v>
      </c>
      <c r="V495" s="233">
        <v>33767</v>
      </c>
    </row>
    <row r="496" spans="1:22">
      <c r="A496" s="226">
        <v>95201</v>
      </c>
      <c r="B496" s="227" t="s">
        <v>1203</v>
      </c>
      <c r="C496" s="87">
        <v>6.8329999999999997E-4</v>
      </c>
      <c r="D496" s="87">
        <v>6.3000000000000003E-4</v>
      </c>
      <c r="E496" s="231">
        <v>255294.02999999994</v>
      </c>
      <c r="F496" s="231">
        <v>282740</v>
      </c>
      <c r="G496" s="231">
        <v>1450192</v>
      </c>
      <c r="H496" s="231"/>
      <c r="I496" s="232">
        <v>27247</v>
      </c>
      <c r="J496" s="232">
        <v>1270830</v>
      </c>
      <c r="K496" s="232">
        <v>99325</v>
      </c>
      <c r="L496" s="231">
        <v>8455</v>
      </c>
      <c r="M496" s="231"/>
      <c r="N496" s="232">
        <v>50816</v>
      </c>
      <c r="O496" s="232">
        <v>469057</v>
      </c>
      <c r="P496" s="232">
        <v>0</v>
      </c>
      <c r="Q496" s="231">
        <v>33064</v>
      </c>
      <c r="R496" s="232">
        <f t="shared" si="7"/>
        <v>801773</v>
      </c>
      <c r="S496" s="231"/>
      <c r="T496" s="232">
        <v>387615</v>
      </c>
      <c r="U496" s="233">
        <v>-9716</v>
      </c>
      <c r="V496" s="233">
        <v>377899</v>
      </c>
    </row>
    <row r="497" spans="1:22">
      <c r="A497" s="226">
        <v>95204</v>
      </c>
      <c r="B497" s="227" t="s">
        <v>1204</v>
      </c>
      <c r="C497" s="87">
        <v>1.1600000000000001E-5</v>
      </c>
      <c r="D497" s="87">
        <v>1.49E-5</v>
      </c>
      <c r="E497" s="231">
        <v>6020.3799999999992</v>
      </c>
      <c r="F497" s="231">
        <v>6687</v>
      </c>
      <c r="G497" s="231">
        <v>24619</v>
      </c>
      <c r="H497" s="231"/>
      <c r="I497" s="232">
        <v>462.55</v>
      </c>
      <c r="J497" s="232">
        <v>21574</v>
      </c>
      <c r="K497" s="232">
        <v>1686</v>
      </c>
      <c r="L497" s="231">
        <v>0</v>
      </c>
      <c r="M497" s="231"/>
      <c r="N497" s="232">
        <v>863</v>
      </c>
      <c r="O497" s="232">
        <v>7963</v>
      </c>
      <c r="P497" s="232">
        <v>0</v>
      </c>
      <c r="Q497" s="231">
        <v>1794</v>
      </c>
      <c r="R497" s="232">
        <f t="shared" si="7"/>
        <v>13611</v>
      </c>
      <c r="S497" s="231"/>
      <c r="T497" s="232">
        <v>6580</v>
      </c>
      <c r="U497" s="233">
        <v>-651</v>
      </c>
      <c r="V497" s="233">
        <v>5930</v>
      </c>
    </row>
    <row r="498" spans="1:22">
      <c r="A498" s="226">
        <v>95205</v>
      </c>
      <c r="B498" s="227" t="s">
        <v>1205</v>
      </c>
      <c r="C498" s="87">
        <v>4.7999999999999998E-6</v>
      </c>
      <c r="D498" s="87">
        <v>5.0000000000000004E-6</v>
      </c>
      <c r="E498" s="231">
        <v>2440.6799999999994</v>
      </c>
      <c r="F498" s="231">
        <v>2244</v>
      </c>
      <c r="G498" s="231">
        <v>10187</v>
      </c>
      <c r="H498" s="231"/>
      <c r="I498" s="232">
        <v>191</v>
      </c>
      <c r="J498" s="232">
        <v>8927</v>
      </c>
      <c r="K498" s="232">
        <v>698</v>
      </c>
      <c r="L498" s="231">
        <v>779</v>
      </c>
      <c r="M498" s="231"/>
      <c r="N498" s="232">
        <v>357</v>
      </c>
      <c r="O498" s="232">
        <v>3295</v>
      </c>
      <c r="P498" s="232">
        <v>0</v>
      </c>
      <c r="Q498" s="231">
        <v>0</v>
      </c>
      <c r="R498" s="232">
        <f t="shared" si="7"/>
        <v>5632</v>
      </c>
      <c r="S498" s="231"/>
      <c r="T498" s="232">
        <v>2723</v>
      </c>
      <c r="U498" s="233">
        <v>284</v>
      </c>
      <c r="V498" s="233">
        <v>3007</v>
      </c>
    </row>
    <row r="499" spans="1:22">
      <c r="A499" s="226">
        <v>95211</v>
      </c>
      <c r="B499" s="227" t="s">
        <v>1206</v>
      </c>
      <c r="C499" s="87">
        <v>9.2E-6</v>
      </c>
      <c r="D499" s="87">
        <v>5.9000000000000003E-6</v>
      </c>
      <c r="E499" s="231">
        <v>4004.9900000000002</v>
      </c>
      <c r="F499" s="231">
        <v>2648</v>
      </c>
      <c r="G499" s="231">
        <v>19525</v>
      </c>
      <c r="H499" s="231"/>
      <c r="I499" s="232">
        <v>366.85</v>
      </c>
      <c r="J499" s="232">
        <v>17111</v>
      </c>
      <c r="K499" s="232">
        <v>1337</v>
      </c>
      <c r="L499" s="231">
        <v>1964</v>
      </c>
      <c r="M499" s="231"/>
      <c r="N499" s="232">
        <v>684</v>
      </c>
      <c r="O499" s="232">
        <v>6315</v>
      </c>
      <c r="P499" s="232">
        <v>0</v>
      </c>
      <c r="Q499" s="231">
        <v>1957</v>
      </c>
      <c r="R499" s="232">
        <f t="shared" si="7"/>
        <v>10796</v>
      </c>
      <c r="S499" s="231"/>
      <c r="T499" s="232">
        <v>5219</v>
      </c>
      <c r="U499" s="233">
        <v>-462</v>
      </c>
      <c r="V499" s="233">
        <v>4757</v>
      </c>
    </row>
    <row r="500" spans="1:22">
      <c r="A500" s="226">
        <v>95221</v>
      </c>
      <c r="B500" s="227" t="s">
        <v>1207</v>
      </c>
      <c r="C500" s="87">
        <v>1.6900000000000001E-5</v>
      </c>
      <c r="D500" s="87">
        <v>4.5099999999999998E-5</v>
      </c>
      <c r="E500" s="231">
        <v>14058.05</v>
      </c>
      <c r="F500" s="231">
        <v>20241</v>
      </c>
      <c r="G500" s="231">
        <v>35867</v>
      </c>
      <c r="H500" s="231"/>
      <c r="I500" s="232">
        <v>673.88750000000005</v>
      </c>
      <c r="J500" s="232">
        <v>31431</v>
      </c>
      <c r="K500" s="232">
        <v>2457</v>
      </c>
      <c r="L500" s="231">
        <v>5443</v>
      </c>
      <c r="M500" s="231"/>
      <c r="N500" s="232">
        <v>1257</v>
      </c>
      <c r="O500" s="232">
        <v>11601</v>
      </c>
      <c r="P500" s="232">
        <v>0</v>
      </c>
      <c r="Q500" s="231">
        <v>16082</v>
      </c>
      <c r="R500" s="232">
        <f t="shared" si="7"/>
        <v>19830</v>
      </c>
      <c r="S500" s="231"/>
      <c r="T500" s="232">
        <v>9587</v>
      </c>
      <c r="U500" s="233">
        <v>-2048</v>
      </c>
      <c r="V500" s="233">
        <v>7539</v>
      </c>
    </row>
    <row r="501" spans="1:22">
      <c r="A501" s="226">
        <v>95301</v>
      </c>
      <c r="B501" s="227" t="s">
        <v>1208</v>
      </c>
      <c r="C501" s="87">
        <v>2.4063999999999999E-3</v>
      </c>
      <c r="D501" s="87">
        <v>2.3544E-3</v>
      </c>
      <c r="E501" s="231">
        <v>972445.58999999973</v>
      </c>
      <c r="F501" s="231">
        <v>1056641</v>
      </c>
      <c r="G501" s="231">
        <v>5107187</v>
      </c>
      <c r="H501" s="231"/>
      <c r="I501" s="232">
        <v>95955.199999999997</v>
      </c>
      <c r="J501" s="232">
        <v>4475524</v>
      </c>
      <c r="K501" s="232">
        <v>349797</v>
      </c>
      <c r="L501" s="231">
        <v>72796</v>
      </c>
      <c r="M501" s="231"/>
      <c r="N501" s="232">
        <v>178962</v>
      </c>
      <c r="O501" s="232">
        <v>1651893</v>
      </c>
      <c r="P501" s="232">
        <v>0</v>
      </c>
      <c r="Q501" s="231">
        <v>22569</v>
      </c>
      <c r="R501" s="232">
        <f t="shared" si="7"/>
        <v>2823631</v>
      </c>
      <c r="S501" s="231"/>
      <c r="T501" s="232">
        <v>1365076</v>
      </c>
      <c r="U501" s="233">
        <v>13085</v>
      </c>
      <c r="V501" s="233">
        <v>1378161</v>
      </c>
    </row>
    <row r="502" spans="1:22">
      <c r="A502" s="226">
        <v>95311</v>
      </c>
      <c r="B502" s="227" t="s">
        <v>1209</v>
      </c>
      <c r="C502" s="87">
        <v>2.6841999999999999E-3</v>
      </c>
      <c r="D502" s="87">
        <v>2.9946E-3</v>
      </c>
      <c r="E502" s="231">
        <v>1161820.17</v>
      </c>
      <c r="F502" s="231">
        <v>1343959</v>
      </c>
      <c r="G502" s="231">
        <v>5696772</v>
      </c>
      <c r="H502" s="231"/>
      <c r="I502" s="232">
        <v>107032</v>
      </c>
      <c r="J502" s="232">
        <v>4992188</v>
      </c>
      <c r="K502" s="232">
        <v>390178</v>
      </c>
      <c r="L502" s="231">
        <v>8404</v>
      </c>
      <c r="M502" s="231"/>
      <c r="N502" s="232">
        <v>199621</v>
      </c>
      <c r="O502" s="232">
        <v>1842591</v>
      </c>
      <c r="P502" s="232">
        <v>0</v>
      </c>
      <c r="Q502" s="231">
        <v>175770</v>
      </c>
      <c r="R502" s="232">
        <f t="shared" si="7"/>
        <v>3149597</v>
      </c>
      <c r="S502" s="231"/>
      <c r="T502" s="232">
        <v>1522663</v>
      </c>
      <c r="U502" s="233">
        <v>-55618</v>
      </c>
      <c r="V502" s="233">
        <v>1467045</v>
      </c>
    </row>
    <row r="503" spans="1:22">
      <c r="A503" s="226">
        <v>95317</v>
      </c>
      <c r="B503" s="227" t="s">
        <v>1210</v>
      </c>
      <c r="C503" s="87">
        <v>5.1400000000000003E-5</v>
      </c>
      <c r="D503" s="87">
        <v>5.3900000000000002E-5</v>
      </c>
      <c r="E503" s="231">
        <v>25005.010000000002</v>
      </c>
      <c r="F503" s="231">
        <v>24190</v>
      </c>
      <c r="G503" s="231">
        <v>109088</v>
      </c>
      <c r="H503" s="231"/>
      <c r="I503" s="232">
        <v>2050</v>
      </c>
      <c r="J503" s="232">
        <v>95596</v>
      </c>
      <c r="K503" s="232">
        <v>7472</v>
      </c>
      <c r="L503" s="231">
        <v>5874</v>
      </c>
      <c r="M503" s="231"/>
      <c r="N503" s="232">
        <v>3823</v>
      </c>
      <c r="O503" s="232">
        <v>35284</v>
      </c>
      <c r="P503" s="232">
        <v>0</v>
      </c>
      <c r="Q503" s="231">
        <v>75.62</v>
      </c>
      <c r="R503" s="232">
        <f t="shared" si="7"/>
        <v>60312</v>
      </c>
      <c r="S503" s="231"/>
      <c r="T503" s="232">
        <v>29158</v>
      </c>
      <c r="U503" s="233">
        <v>1881</v>
      </c>
      <c r="V503" s="233">
        <v>31039</v>
      </c>
    </row>
    <row r="504" spans="1:22">
      <c r="A504" s="226">
        <v>95321</v>
      </c>
      <c r="B504" s="227" t="s">
        <v>1211</v>
      </c>
      <c r="C504" s="87">
        <v>5.7000000000000003E-5</v>
      </c>
      <c r="D504" s="87">
        <v>5.6499999999999998E-5</v>
      </c>
      <c r="E504" s="231">
        <v>24286.95</v>
      </c>
      <c r="F504" s="231">
        <v>25357</v>
      </c>
      <c r="G504" s="231">
        <v>120973</v>
      </c>
      <c r="H504" s="231"/>
      <c r="I504" s="232">
        <v>2272.875</v>
      </c>
      <c r="J504" s="232">
        <v>106011</v>
      </c>
      <c r="K504" s="232">
        <v>8286</v>
      </c>
      <c r="L504" s="231">
        <v>4716</v>
      </c>
      <c r="M504" s="231"/>
      <c r="N504" s="232">
        <v>4239</v>
      </c>
      <c r="O504" s="232">
        <v>39128</v>
      </c>
      <c r="P504" s="232">
        <v>0</v>
      </c>
      <c r="Q504" s="231">
        <v>0</v>
      </c>
      <c r="R504" s="232">
        <f t="shared" si="7"/>
        <v>66883</v>
      </c>
      <c r="S504" s="231"/>
      <c r="T504" s="232">
        <v>32334</v>
      </c>
      <c r="U504" s="233">
        <v>1628</v>
      </c>
      <c r="V504" s="233">
        <v>33963</v>
      </c>
    </row>
    <row r="505" spans="1:22">
      <c r="A505" s="226">
        <v>95401</v>
      </c>
      <c r="B505" s="227" t="s">
        <v>1212</v>
      </c>
      <c r="C505" s="87">
        <v>2.9979999999999998E-3</v>
      </c>
      <c r="D505" s="87">
        <v>2.8663999999999999E-3</v>
      </c>
      <c r="E505" s="231">
        <v>1170186.01</v>
      </c>
      <c r="F505" s="231">
        <v>1286423</v>
      </c>
      <c r="G505" s="231">
        <v>6362760</v>
      </c>
      <c r="H505" s="231"/>
      <c r="I505" s="232">
        <v>119545</v>
      </c>
      <c r="J505" s="232">
        <v>5575806</v>
      </c>
      <c r="K505" s="232">
        <v>435792</v>
      </c>
      <c r="L505" s="231">
        <v>42759</v>
      </c>
      <c r="M505" s="231"/>
      <c r="N505" s="232">
        <v>222958</v>
      </c>
      <c r="O505" s="232">
        <v>2058001</v>
      </c>
      <c r="P505" s="232">
        <v>0</v>
      </c>
      <c r="Q505" s="231">
        <v>0</v>
      </c>
      <c r="R505" s="232">
        <f t="shared" si="7"/>
        <v>3517805</v>
      </c>
      <c r="S505" s="231"/>
      <c r="T505" s="232">
        <v>1700672</v>
      </c>
      <c r="U505" s="233">
        <v>15064</v>
      </c>
      <c r="V505" s="233">
        <v>1715737</v>
      </c>
    </row>
    <row r="506" spans="1:22">
      <c r="A506" s="226">
        <v>95404</v>
      </c>
      <c r="B506" s="227" t="s">
        <v>1213</v>
      </c>
      <c r="C506" s="87">
        <v>4.9799999999999998E-5</v>
      </c>
      <c r="D506" s="87">
        <v>3.4999999999999997E-5</v>
      </c>
      <c r="E506" s="231">
        <v>17581.860000000004</v>
      </c>
      <c r="F506" s="231">
        <v>15708</v>
      </c>
      <c r="G506" s="231">
        <v>105692</v>
      </c>
      <c r="H506" s="231"/>
      <c r="I506" s="232">
        <v>1986</v>
      </c>
      <c r="J506" s="232">
        <v>92620</v>
      </c>
      <c r="K506" s="232">
        <v>7239</v>
      </c>
      <c r="L506" s="231">
        <v>6596</v>
      </c>
      <c r="M506" s="231"/>
      <c r="N506" s="232">
        <v>3704</v>
      </c>
      <c r="O506" s="232">
        <v>34186</v>
      </c>
      <c r="P506" s="232">
        <v>0</v>
      </c>
      <c r="Q506" s="231">
        <v>0</v>
      </c>
      <c r="R506" s="232">
        <f t="shared" si="7"/>
        <v>58434</v>
      </c>
      <c r="S506" s="231"/>
      <c r="T506" s="232">
        <v>28250</v>
      </c>
      <c r="U506" s="233">
        <v>1847</v>
      </c>
      <c r="V506" s="233">
        <v>30097</v>
      </c>
    </row>
    <row r="507" spans="1:22">
      <c r="A507" s="226">
        <v>95405</v>
      </c>
      <c r="B507" s="227" t="s">
        <v>1214</v>
      </c>
      <c r="C507" s="87">
        <v>1.84E-5</v>
      </c>
      <c r="D507" s="87">
        <v>1.7E-5</v>
      </c>
      <c r="E507" s="231">
        <v>15271.409999999998</v>
      </c>
      <c r="F507" s="231">
        <v>7629</v>
      </c>
      <c r="G507" s="231">
        <v>39051</v>
      </c>
      <c r="H507" s="231"/>
      <c r="I507" s="232">
        <v>733.7</v>
      </c>
      <c r="J507" s="232">
        <v>34221</v>
      </c>
      <c r="K507" s="232">
        <v>2675</v>
      </c>
      <c r="L507" s="231">
        <v>12414</v>
      </c>
      <c r="M507" s="231"/>
      <c r="N507" s="232">
        <v>1368</v>
      </c>
      <c r="O507" s="232">
        <v>12631</v>
      </c>
      <c r="P507" s="232">
        <v>0</v>
      </c>
      <c r="Q507" s="231">
        <v>0</v>
      </c>
      <c r="R507" s="232">
        <f t="shared" si="7"/>
        <v>21590</v>
      </c>
      <c r="S507" s="231"/>
      <c r="T507" s="232">
        <v>10438</v>
      </c>
      <c r="U507" s="233">
        <v>3754</v>
      </c>
      <c r="V507" s="233">
        <v>14192</v>
      </c>
    </row>
    <row r="508" spans="1:22">
      <c r="A508" s="226">
        <v>95411</v>
      </c>
      <c r="B508" s="227" t="s">
        <v>1215</v>
      </c>
      <c r="C508" s="87">
        <v>2.3272000000000002E-3</v>
      </c>
      <c r="D508" s="87">
        <v>2.3019E-3</v>
      </c>
      <c r="E508" s="231">
        <v>960133.56999999983</v>
      </c>
      <c r="F508" s="231">
        <v>1033079</v>
      </c>
      <c r="G508" s="231">
        <v>4939098</v>
      </c>
      <c r="H508" s="231"/>
      <c r="I508" s="232">
        <v>92797.1</v>
      </c>
      <c r="J508" s="232">
        <v>4328224</v>
      </c>
      <c r="K508" s="232">
        <v>338284</v>
      </c>
      <c r="L508" s="231">
        <v>19324</v>
      </c>
      <c r="M508" s="231"/>
      <c r="N508" s="232">
        <v>173072</v>
      </c>
      <c r="O508" s="232">
        <v>1597525</v>
      </c>
      <c r="P508" s="232">
        <v>0</v>
      </c>
      <c r="Q508" s="231">
        <v>37438</v>
      </c>
      <c r="R508" s="232">
        <f t="shared" si="7"/>
        <v>2730699</v>
      </c>
      <c r="S508" s="231"/>
      <c r="T508" s="232">
        <v>1320148</v>
      </c>
      <c r="U508" s="233">
        <v>-13504</v>
      </c>
      <c r="V508" s="233">
        <v>1306644</v>
      </c>
    </row>
    <row r="509" spans="1:22">
      <c r="A509" s="226">
        <v>95412</v>
      </c>
      <c r="B509" s="227" t="s">
        <v>1216</v>
      </c>
      <c r="C509" s="87">
        <v>0</v>
      </c>
      <c r="D509" s="87">
        <v>0</v>
      </c>
      <c r="E509" s="231">
        <v>0</v>
      </c>
      <c r="F509" s="231">
        <v>0</v>
      </c>
      <c r="G509" s="231">
        <v>0</v>
      </c>
      <c r="H509" s="231"/>
      <c r="I509" s="232">
        <v>0</v>
      </c>
      <c r="J509" s="232">
        <v>0</v>
      </c>
      <c r="K509" s="232">
        <v>0</v>
      </c>
      <c r="L509" s="231">
        <v>0</v>
      </c>
      <c r="M509" s="231"/>
      <c r="N509" s="232">
        <v>0</v>
      </c>
      <c r="O509" s="232">
        <v>0</v>
      </c>
      <c r="P509" s="232">
        <v>0</v>
      </c>
      <c r="Q509" s="231">
        <v>46349</v>
      </c>
      <c r="R509" s="232">
        <f t="shared" si="7"/>
        <v>0</v>
      </c>
      <c r="S509" s="231"/>
      <c r="T509" s="232">
        <v>0</v>
      </c>
      <c r="U509" s="233">
        <v>-18518</v>
      </c>
      <c r="V509" s="233">
        <v>-18518</v>
      </c>
    </row>
    <row r="510" spans="1:22">
      <c r="A510" s="226">
        <v>95413</v>
      </c>
      <c r="B510" s="227" t="s">
        <v>1217</v>
      </c>
      <c r="C510" s="87">
        <v>2.945E-4</v>
      </c>
      <c r="D510" s="87">
        <v>2.9579999999999998E-4</v>
      </c>
      <c r="E510" s="231">
        <v>262974.70999999996</v>
      </c>
      <c r="F510" s="231">
        <v>132753</v>
      </c>
      <c r="G510" s="231">
        <v>625028</v>
      </c>
      <c r="H510" s="231"/>
      <c r="I510" s="232">
        <v>11743.1875</v>
      </c>
      <c r="J510" s="232">
        <v>547723</v>
      </c>
      <c r="K510" s="232">
        <v>42809</v>
      </c>
      <c r="L510" s="231">
        <v>198118</v>
      </c>
      <c r="M510" s="231"/>
      <c r="N510" s="232">
        <v>21902</v>
      </c>
      <c r="O510" s="232">
        <v>202162</v>
      </c>
      <c r="P510" s="232">
        <v>0</v>
      </c>
      <c r="Q510" s="231">
        <v>18897.04</v>
      </c>
      <c r="R510" s="232">
        <f t="shared" si="7"/>
        <v>345561</v>
      </c>
      <c r="S510" s="231"/>
      <c r="T510" s="232">
        <v>167061</v>
      </c>
      <c r="U510" s="233">
        <v>50061</v>
      </c>
      <c r="V510" s="233">
        <v>217122</v>
      </c>
    </row>
    <row r="511" spans="1:22">
      <c r="A511" s="226">
        <v>95415</v>
      </c>
      <c r="B511" s="227" t="s">
        <v>1218</v>
      </c>
      <c r="C511" s="87">
        <v>7.9499999999999994E-5</v>
      </c>
      <c r="D511" s="87">
        <v>7.6600000000000005E-5</v>
      </c>
      <c r="E511" s="231">
        <v>28616.620000000003</v>
      </c>
      <c r="F511" s="231">
        <v>34378</v>
      </c>
      <c r="G511" s="231">
        <v>168726</v>
      </c>
      <c r="H511" s="231"/>
      <c r="I511" s="232">
        <v>3170.0625</v>
      </c>
      <c r="J511" s="232">
        <v>147857</v>
      </c>
      <c r="K511" s="232">
        <v>11556</v>
      </c>
      <c r="L511" s="231">
        <v>10656.45</v>
      </c>
      <c r="M511" s="231"/>
      <c r="N511" s="232">
        <v>5912</v>
      </c>
      <c r="O511" s="232">
        <v>54573</v>
      </c>
      <c r="P511" s="232">
        <v>0</v>
      </c>
      <c r="Q511" s="231">
        <v>7763</v>
      </c>
      <c r="R511" s="232">
        <f t="shared" si="7"/>
        <v>93284</v>
      </c>
      <c r="S511" s="231"/>
      <c r="T511" s="232">
        <v>45098</v>
      </c>
      <c r="U511" s="233">
        <v>2762</v>
      </c>
      <c r="V511" s="233">
        <v>47859</v>
      </c>
    </row>
    <row r="512" spans="1:22">
      <c r="A512" s="226">
        <v>95421</v>
      </c>
      <c r="B512" s="227" t="s">
        <v>1219</v>
      </c>
      <c r="C512" s="87">
        <v>3.9100000000000002E-5</v>
      </c>
      <c r="D512" s="87">
        <v>5.1E-5</v>
      </c>
      <c r="E512" s="231">
        <v>15644.039999999997</v>
      </c>
      <c r="F512" s="231">
        <v>22888</v>
      </c>
      <c r="G512" s="231">
        <v>82983</v>
      </c>
      <c r="H512" s="231"/>
      <c r="I512" s="232">
        <v>1559</v>
      </c>
      <c r="J512" s="232">
        <v>72720</v>
      </c>
      <c r="K512" s="232">
        <v>5684</v>
      </c>
      <c r="L512" s="231">
        <v>0</v>
      </c>
      <c r="M512" s="231"/>
      <c r="N512" s="232">
        <v>2908</v>
      </c>
      <c r="O512" s="232">
        <v>26841</v>
      </c>
      <c r="P512" s="232">
        <v>0</v>
      </c>
      <c r="Q512" s="231">
        <v>14322</v>
      </c>
      <c r="R512" s="232">
        <f t="shared" si="7"/>
        <v>45879</v>
      </c>
      <c r="S512" s="231"/>
      <c r="T512" s="232">
        <v>22180</v>
      </c>
      <c r="U512" s="233">
        <v>-4969</v>
      </c>
      <c r="V512" s="233">
        <v>17211</v>
      </c>
    </row>
    <row r="513" spans="1:22">
      <c r="A513" s="226">
        <v>95431</v>
      </c>
      <c r="B513" s="227" t="s">
        <v>1220</v>
      </c>
      <c r="C513" s="87">
        <v>1.8009999999999999E-4</v>
      </c>
      <c r="D513" s="87">
        <v>1.7249999999999999E-4</v>
      </c>
      <c r="E513" s="231">
        <v>59568.97</v>
      </c>
      <c r="F513" s="231">
        <v>77417</v>
      </c>
      <c r="G513" s="231">
        <v>382233</v>
      </c>
      <c r="H513" s="231"/>
      <c r="I513" s="232">
        <v>7181</v>
      </c>
      <c r="J513" s="232">
        <v>334958</v>
      </c>
      <c r="K513" s="232">
        <v>26180</v>
      </c>
      <c r="L513" s="231">
        <v>450</v>
      </c>
      <c r="M513" s="231"/>
      <c r="N513" s="232">
        <v>13394</v>
      </c>
      <c r="O513" s="232">
        <v>123631</v>
      </c>
      <c r="P513" s="232">
        <v>0</v>
      </c>
      <c r="Q513" s="231">
        <v>13081</v>
      </c>
      <c r="R513" s="232">
        <f t="shared" si="7"/>
        <v>211327</v>
      </c>
      <c r="S513" s="231"/>
      <c r="T513" s="232">
        <v>102165</v>
      </c>
      <c r="U513" s="233">
        <v>-3706</v>
      </c>
      <c r="V513" s="233">
        <v>98459</v>
      </c>
    </row>
    <row r="514" spans="1:22">
      <c r="A514" s="226">
        <v>95501</v>
      </c>
      <c r="B514" s="227" t="s">
        <v>1221</v>
      </c>
      <c r="C514" s="87">
        <v>4.7917999999999997E-3</v>
      </c>
      <c r="D514" s="87">
        <v>4.8338000000000001E-3</v>
      </c>
      <c r="E514" s="231">
        <v>1890953.7499999998</v>
      </c>
      <c r="F514" s="231">
        <v>2169380</v>
      </c>
      <c r="G514" s="231">
        <v>10169805</v>
      </c>
      <c r="H514" s="231"/>
      <c r="I514" s="232">
        <v>191073</v>
      </c>
      <c r="J514" s="232">
        <v>8911991</v>
      </c>
      <c r="K514" s="232">
        <v>696541</v>
      </c>
      <c r="L514" s="231">
        <v>63710</v>
      </c>
      <c r="M514" s="231"/>
      <c r="N514" s="232">
        <v>356361</v>
      </c>
      <c r="O514" s="232">
        <v>3289369</v>
      </c>
      <c r="P514" s="232">
        <v>0</v>
      </c>
      <c r="Q514" s="231">
        <v>102347</v>
      </c>
      <c r="R514" s="232">
        <f t="shared" si="7"/>
        <v>5622622</v>
      </c>
      <c r="S514" s="231"/>
      <c r="T514" s="232">
        <v>2718240</v>
      </c>
      <c r="U514" s="233">
        <v>3939</v>
      </c>
      <c r="V514" s="233">
        <v>2722178</v>
      </c>
    </row>
    <row r="515" spans="1:22">
      <c r="A515" s="226">
        <v>95504</v>
      </c>
      <c r="B515" s="227" t="s">
        <v>1222</v>
      </c>
      <c r="C515" s="87">
        <v>8.8999999999999995E-6</v>
      </c>
      <c r="D515" s="87">
        <v>1.2099999999999999E-5</v>
      </c>
      <c r="E515" s="231">
        <v>7171.2</v>
      </c>
      <c r="F515" s="231">
        <v>5430</v>
      </c>
      <c r="G515" s="231">
        <v>18889</v>
      </c>
      <c r="H515" s="231"/>
      <c r="I515" s="232">
        <v>354.88749999999999</v>
      </c>
      <c r="J515" s="232">
        <v>16553</v>
      </c>
      <c r="K515" s="232">
        <v>1294</v>
      </c>
      <c r="L515" s="231">
        <v>5463</v>
      </c>
      <c r="M515" s="231"/>
      <c r="N515" s="232">
        <v>662</v>
      </c>
      <c r="O515" s="232">
        <v>6109</v>
      </c>
      <c r="P515" s="232">
        <v>0</v>
      </c>
      <c r="Q515" s="231">
        <v>0</v>
      </c>
      <c r="R515" s="232">
        <f t="shared" si="7"/>
        <v>10444</v>
      </c>
      <c r="S515" s="231"/>
      <c r="T515" s="232">
        <v>5049</v>
      </c>
      <c r="U515" s="233">
        <v>1872</v>
      </c>
      <c r="V515" s="233">
        <v>6921</v>
      </c>
    </row>
    <row r="516" spans="1:22">
      <c r="A516" s="226">
        <v>95511</v>
      </c>
      <c r="B516" s="227" t="s">
        <v>1223</v>
      </c>
      <c r="C516" s="87">
        <v>9.6049999999999998E-4</v>
      </c>
      <c r="D516" s="87">
        <v>1.0989000000000001E-3</v>
      </c>
      <c r="E516" s="231">
        <v>413682.63</v>
      </c>
      <c r="F516" s="231">
        <v>493180</v>
      </c>
      <c r="G516" s="231">
        <v>2038503</v>
      </c>
      <c r="H516" s="231"/>
      <c r="I516" s="232">
        <v>38300</v>
      </c>
      <c r="J516" s="232">
        <v>1786378</v>
      </c>
      <c r="K516" s="232">
        <v>139619</v>
      </c>
      <c r="L516" s="231">
        <v>10807.69</v>
      </c>
      <c r="M516" s="231"/>
      <c r="N516" s="232">
        <v>71431</v>
      </c>
      <c r="O516" s="232">
        <v>659343</v>
      </c>
      <c r="P516" s="232">
        <v>0</v>
      </c>
      <c r="Q516" s="231">
        <v>71910</v>
      </c>
      <c r="R516" s="232">
        <f t="shared" si="7"/>
        <v>1127035</v>
      </c>
      <c r="S516" s="231"/>
      <c r="T516" s="232">
        <v>544862</v>
      </c>
      <c r="U516" s="233">
        <v>-14323</v>
      </c>
      <c r="V516" s="233">
        <v>530538</v>
      </c>
    </row>
    <row r="517" spans="1:22">
      <c r="A517" s="226">
        <v>95513</v>
      </c>
      <c r="B517" s="227" t="s">
        <v>1224</v>
      </c>
      <c r="C517" s="87">
        <v>4.5500000000000001E-5</v>
      </c>
      <c r="D517" s="87">
        <v>4.4499999999999997E-5</v>
      </c>
      <c r="E517" s="231">
        <v>28270.480000000003</v>
      </c>
      <c r="F517" s="231">
        <v>19971</v>
      </c>
      <c r="G517" s="231">
        <v>96566</v>
      </c>
      <c r="H517" s="231"/>
      <c r="I517" s="232">
        <v>1814.3125</v>
      </c>
      <c r="J517" s="232">
        <v>84623</v>
      </c>
      <c r="K517" s="232">
        <v>6614</v>
      </c>
      <c r="L517" s="231">
        <v>19516</v>
      </c>
      <c r="M517" s="231"/>
      <c r="N517" s="232">
        <v>3384</v>
      </c>
      <c r="O517" s="232">
        <v>31234</v>
      </c>
      <c r="P517" s="232">
        <v>0</v>
      </c>
      <c r="Q517" s="231">
        <v>0</v>
      </c>
      <c r="R517" s="232">
        <f t="shared" si="7"/>
        <v>53389</v>
      </c>
      <c r="S517" s="231"/>
      <c r="T517" s="232">
        <v>25811</v>
      </c>
      <c r="U517" s="233">
        <v>6831</v>
      </c>
      <c r="V517" s="233">
        <v>32642</v>
      </c>
    </row>
    <row r="518" spans="1:22">
      <c r="A518" s="226">
        <v>95517</v>
      </c>
      <c r="B518" s="227" t="s">
        <v>1225</v>
      </c>
      <c r="C518" s="87">
        <v>1.66E-5</v>
      </c>
      <c r="D518" s="87">
        <v>1.1399999999999999E-5</v>
      </c>
      <c r="E518" s="231">
        <v>13168.44</v>
      </c>
      <c r="F518" s="231">
        <v>5116</v>
      </c>
      <c r="G518" s="231">
        <v>35231</v>
      </c>
      <c r="H518" s="231"/>
      <c r="I518" s="232">
        <v>662</v>
      </c>
      <c r="J518" s="232">
        <v>30873</v>
      </c>
      <c r="K518" s="232">
        <v>2413</v>
      </c>
      <c r="L518" s="231">
        <v>13465</v>
      </c>
      <c r="M518" s="231"/>
      <c r="N518" s="232">
        <v>1235</v>
      </c>
      <c r="O518" s="232">
        <v>11395</v>
      </c>
      <c r="P518" s="232">
        <v>0</v>
      </c>
      <c r="Q518" s="231">
        <v>0</v>
      </c>
      <c r="R518" s="232">
        <f t="shared" si="7"/>
        <v>19478</v>
      </c>
      <c r="S518" s="231"/>
      <c r="T518" s="232">
        <v>9417</v>
      </c>
      <c r="U518" s="233">
        <v>4330</v>
      </c>
      <c r="V518" s="233">
        <v>13747</v>
      </c>
    </row>
    <row r="519" spans="1:22">
      <c r="A519" s="226">
        <v>95601</v>
      </c>
      <c r="B519" s="227" t="s">
        <v>1226</v>
      </c>
      <c r="C519" s="87">
        <v>2.6592999999999999E-3</v>
      </c>
      <c r="D519" s="87">
        <v>2.4567999999999999E-3</v>
      </c>
      <c r="E519" s="231">
        <v>1012936.7699999999</v>
      </c>
      <c r="F519" s="231">
        <v>1102597</v>
      </c>
      <c r="G519" s="231">
        <v>5643925</v>
      </c>
      <c r="H519" s="231"/>
      <c r="I519" s="232">
        <v>106040</v>
      </c>
      <c r="J519" s="232">
        <v>4945878</v>
      </c>
      <c r="K519" s="232">
        <v>386559</v>
      </c>
      <c r="L519" s="231">
        <v>138057</v>
      </c>
      <c r="M519" s="231"/>
      <c r="N519" s="232">
        <v>197769</v>
      </c>
      <c r="O519" s="232">
        <v>1825498</v>
      </c>
      <c r="P519" s="232">
        <v>0</v>
      </c>
      <c r="Q519" s="231">
        <v>0</v>
      </c>
      <c r="R519" s="232">
        <f t="shared" si="7"/>
        <v>3120380</v>
      </c>
      <c r="S519" s="231"/>
      <c r="T519" s="232">
        <v>1508538</v>
      </c>
      <c r="U519" s="233">
        <v>52467</v>
      </c>
      <c r="V519" s="233">
        <v>1561006</v>
      </c>
    </row>
    <row r="520" spans="1:22">
      <c r="A520" s="226">
        <v>95611</v>
      </c>
      <c r="B520" s="227" t="s">
        <v>1227</v>
      </c>
      <c r="C520" s="87">
        <v>3.9540000000000002E-4</v>
      </c>
      <c r="D520" s="87">
        <v>3.9500000000000001E-4</v>
      </c>
      <c r="E520" s="231">
        <v>162220.80999999997</v>
      </c>
      <c r="F520" s="231">
        <v>177273.63</v>
      </c>
      <c r="G520" s="231">
        <v>839171</v>
      </c>
      <c r="H520" s="231"/>
      <c r="I520" s="232">
        <v>15767</v>
      </c>
      <c r="J520" s="232">
        <v>735382</v>
      </c>
      <c r="K520" s="232">
        <v>57476</v>
      </c>
      <c r="L520" s="231">
        <v>2750</v>
      </c>
      <c r="M520" s="231"/>
      <c r="N520" s="232">
        <v>29406</v>
      </c>
      <c r="O520" s="232">
        <v>271425</v>
      </c>
      <c r="P520" s="232">
        <v>0</v>
      </c>
      <c r="Q520" s="231">
        <v>5641</v>
      </c>
      <c r="R520" s="232">
        <f t="shared" si="7"/>
        <v>463957</v>
      </c>
      <c r="S520" s="231"/>
      <c r="T520" s="232">
        <v>224298</v>
      </c>
      <c r="U520" s="233">
        <v>-610</v>
      </c>
      <c r="V520" s="233">
        <v>223688</v>
      </c>
    </row>
    <row r="521" spans="1:22">
      <c r="A521" s="226">
        <v>95617</v>
      </c>
      <c r="B521" s="227" t="s">
        <v>1228</v>
      </c>
      <c r="C521" s="87">
        <v>1.6500000000000001E-5</v>
      </c>
      <c r="D521" s="87">
        <v>1.63E-5</v>
      </c>
      <c r="E521" s="231">
        <v>7075.2599999999993</v>
      </c>
      <c r="F521" s="231">
        <v>7315</v>
      </c>
      <c r="G521" s="231">
        <v>35019</v>
      </c>
      <c r="H521" s="231"/>
      <c r="I521" s="232">
        <v>657.9375</v>
      </c>
      <c r="J521" s="232">
        <v>30687</v>
      </c>
      <c r="K521" s="232">
        <v>2398</v>
      </c>
      <c r="L521" s="231">
        <v>338</v>
      </c>
      <c r="M521" s="231"/>
      <c r="N521" s="232">
        <v>1227</v>
      </c>
      <c r="O521" s="232">
        <v>11327</v>
      </c>
      <c r="P521" s="232">
        <v>0</v>
      </c>
      <c r="Q521" s="231">
        <v>2141</v>
      </c>
      <c r="R521" s="232">
        <f t="shared" ref="R521:R584" si="8">IF(J521&gt;O521,J521-O521,O521-J521)</f>
        <v>19360</v>
      </c>
      <c r="S521" s="231"/>
      <c r="T521" s="232">
        <v>9360</v>
      </c>
      <c r="U521" s="233">
        <v>-777</v>
      </c>
      <c r="V521" s="233">
        <v>8583</v>
      </c>
    </row>
    <row r="522" spans="1:22">
      <c r="A522" s="226">
        <v>95621</v>
      </c>
      <c r="B522" s="227" t="s">
        <v>1229</v>
      </c>
      <c r="C522" s="87">
        <v>4.8020000000000002E-4</v>
      </c>
      <c r="D522" s="87">
        <v>5.0210000000000001E-4</v>
      </c>
      <c r="E522" s="231">
        <v>211839.76999999996</v>
      </c>
      <c r="F522" s="231">
        <v>225339</v>
      </c>
      <c r="G522" s="231">
        <v>1019145</v>
      </c>
      <c r="H522" s="231"/>
      <c r="I522" s="232">
        <v>19148</v>
      </c>
      <c r="J522" s="232">
        <v>893096</v>
      </c>
      <c r="K522" s="232">
        <v>69802</v>
      </c>
      <c r="L522" s="231">
        <v>6364.02</v>
      </c>
      <c r="M522" s="231"/>
      <c r="N522" s="232">
        <v>35712</v>
      </c>
      <c r="O522" s="232">
        <v>329637</v>
      </c>
      <c r="P522" s="232">
        <v>0</v>
      </c>
      <c r="Q522" s="231">
        <v>3443</v>
      </c>
      <c r="R522" s="232">
        <f t="shared" si="8"/>
        <v>563459</v>
      </c>
      <c r="S522" s="231"/>
      <c r="T522" s="232">
        <v>272403</v>
      </c>
      <c r="U522" s="233">
        <v>2021</v>
      </c>
      <c r="V522" s="233">
        <v>274423</v>
      </c>
    </row>
    <row r="523" spans="1:22">
      <c r="A523" s="226">
        <v>95701</v>
      </c>
      <c r="B523" s="227" t="s">
        <v>1230</v>
      </c>
      <c r="C523" s="87">
        <v>1.291E-3</v>
      </c>
      <c r="D523" s="87">
        <v>1.2436999999999999E-3</v>
      </c>
      <c r="E523" s="231">
        <v>517495.15000000008</v>
      </c>
      <c r="F523" s="231">
        <v>558165</v>
      </c>
      <c r="G523" s="231">
        <v>2739934</v>
      </c>
      <c r="H523" s="231"/>
      <c r="I523" s="232">
        <v>51478.625</v>
      </c>
      <c r="J523" s="232">
        <v>2401056</v>
      </c>
      <c r="K523" s="232">
        <v>187661</v>
      </c>
      <c r="L523" s="231">
        <v>51877</v>
      </c>
      <c r="M523" s="231"/>
      <c r="N523" s="232">
        <v>96010</v>
      </c>
      <c r="O523" s="232">
        <v>886217</v>
      </c>
      <c r="P523" s="232">
        <v>0</v>
      </c>
      <c r="Q523" s="231">
        <v>0</v>
      </c>
      <c r="R523" s="232">
        <f t="shared" si="8"/>
        <v>1514839</v>
      </c>
      <c r="S523" s="231"/>
      <c r="T523" s="232">
        <v>732344</v>
      </c>
      <c r="U523" s="233">
        <v>20713</v>
      </c>
      <c r="V523" s="233">
        <v>753057</v>
      </c>
    </row>
    <row r="524" spans="1:22">
      <c r="A524" s="226">
        <v>95711</v>
      </c>
      <c r="B524" s="227" t="s">
        <v>1231</v>
      </c>
      <c r="C524" s="87">
        <v>1.382E-4</v>
      </c>
      <c r="D524" s="87">
        <v>1.284E-4</v>
      </c>
      <c r="E524" s="231">
        <v>51439.57</v>
      </c>
      <c r="F524" s="231">
        <v>57625</v>
      </c>
      <c r="G524" s="231">
        <v>293307</v>
      </c>
      <c r="H524" s="231"/>
      <c r="I524" s="232">
        <v>5511</v>
      </c>
      <c r="J524" s="232">
        <v>257030</v>
      </c>
      <c r="K524" s="232">
        <v>20089</v>
      </c>
      <c r="L524" s="231">
        <v>9232</v>
      </c>
      <c r="M524" s="231"/>
      <c r="N524" s="232">
        <v>10278</v>
      </c>
      <c r="O524" s="232">
        <v>94868</v>
      </c>
      <c r="P524" s="232">
        <v>0</v>
      </c>
      <c r="Q524" s="231">
        <v>143</v>
      </c>
      <c r="R524" s="232">
        <f t="shared" si="8"/>
        <v>162162</v>
      </c>
      <c r="S524" s="231"/>
      <c r="T524" s="232">
        <v>78397</v>
      </c>
      <c r="U524" s="233">
        <v>3104</v>
      </c>
      <c r="V524" s="233">
        <v>81500</v>
      </c>
    </row>
    <row r="525" spans="1:22">
      <c r="A525" s="226">
        <v>95721</v>
      </c>
      <c r="B525" s="227" t="s">
        <v>1232</v>
      </c>
      <c r="C525" s="87">
        <v>6.6199999999999996E-5</v>
      </c>
      <c r="D525" s="87">
        <v>6.7199999999999994E-5</v>
      </c>
      <c r="E525" s="231">
        <v>22493.79</v>
      </c>
      <c r="F525" s="231">
        <v>30159</v>
      </c>
      <c r="G525" s="231">
        <v>140499</v>
      </c>
      <c r="H525" s="231"/>
      <c r="I525" s="232">
        <v>2640</v>
      </c>
      <c r="J525" s="232">
        <v>123122</v>
      </c>
      <c r="K525" s="232">
        <v>9623</v>
      </c>
      <c r="L525" s="231">
        <v>0</v>
      </c>
      <c r="M525" s="231"/>
      <c r="N525" s="232">
        <v>4923</v>
      </c>
      <c r="O525" s="232">
        <v>45444</v>
      </c>
      <c r="P525" s="232">
        <v>0</v>
      </c>
      <c r="Q525" s="231">
        <v>9473</v>
      </c>
      <c r="R525" s="232">
        <f t="shared" si="8"/>
        <v>77678</v>
      </c>
      <c r="S525" s="231"/>
      <c r="T525" s="232">
        <v>37553</v>
      </c>
      <c r="U525" s="233">
        <v>-3665</v>
      </c>
      <c r="V525" s="233">
        <v>33888</v>
      </c>
    </row>
    <row r="526" spans="1:22">
      <c r="A526" s="226">
        <v>95733</v>
      </c>
      <c r="B526" s="227" t="s">
        <v>1233</v>
      </c>
      <c r="C526" s="87">
        <v>1.56E-5</v>
      </c>
      <c r="D526" s="87">
        <v>1.63E-5</v>
      </c>
      <c r="E526" s="231">
        <v>6566.4400000000005</v>
      </c>
      <c r="F526" s="231">
        <v>7315</v>
      </c>
      <c r="G526" s="231">
        <v>33108</v>
      </c>
      <c r="H526" s="231"/>
      <c r="I526" s="232">
        <v>622</v>
      </c>
      <c r="J526" s="232">
        <v>29014</v>
      </c>
      <c r="K526" s="232">
        <v>2268</v>
      </c>
      <c r="L526" s="231">
        <v>926</v>
      </c>
      <c r="M526" s="231"/>
      <c r="N526" s="232">
        <v>1160</v>
      </c>
      <c r="O526" s="232">
        <v>10709</v>
      </c>
      <c r="P526" s="232">
        <v>0</v>
      </c>
      <c r="Q526" s="231">
        <v>259</v>
      </c>
      <c r="R526" s="232">
        <f t="shared" si="8"/>
        <v>18305</v>
      </c>
      <c r="S526" s="231"/>
      <c r="T526" s="232">
        <v>8849</v>
      </c>
      <c r="U526" s="233">
        <v>277</v>
      </c>
      <c r="V526" s="233">
        <v>9127</v>
      </c>
    </row>
    <row r="527" spans="1:22">
      <c r="A527" s="226">
        <v>95801</v>
      </c>
      <c r="B527" s="227" t="s">
        <v>1234</v>
      </c>
      <c r="C527" s="87">
        <v>8.9349999999999998E-4</v>
      </c>
      <c r="D527" s="87">
        <v>9.1810000000000004E-4</v>
      </c>
      <c r="E527" s="231">
        <v>383793.67</v>
      </c>
      <c r="F527" s="231">
        <v>412038</v>
      </c>
      <c r="G527" s="231">
        <v>1896306</v>
      </c>
      <c r="H527" s="231"/>
      <c r="I527" s="232">
        <v>35628</v>
      </c>
      <c r="J527" s="232">
        <v>1661769</v>
      </c>
      <c r="K527" s="232">
        <v>129880</v>
      </c>
      <c r="L527" s="231">
        <v>14615</v>
      </c>
      <c r="M527" s="231"/>
      <c r="N527" s="232">
        <v>66449</v>
      </c>
      <c r="O527" s="232">
        <v>613350</v>
      </c>
      <c r="P527" s="232">
        <v>0</v>
      </c>
      <c r="Q527" s="231">
        <v>8079</v>
      </c>
      <c r="R527" s="232">
        <f t="shared" si="8"/>
        <v>1048419</v>
      </c>
      <c r="S527" s="231"/>
      <c r="T527" s="232">
        <v>506855</v>
      </c>
      <c r="U527" s="233">
        <v>1206</v>
      </c>
      <c r="V527" s="233">
        <v>508061</v>
      </c>
    </row>
    <row r="528" spans="1:22">
      <c r="A528" s="226">
        <v>95802</v>
      </c>
      <c r="B528" s="227" t="s">
        <v>1235</v>
      </c>
      <c r="C528" s="87">
        <v>6.8000000000000001E-6</v>
      </c>
      <c r="D528" s="87">
        <v>6.8000000000000001E-6</v>
      </c>
      <c r="E528" s="231">
        <v>4626.88</v>
      </c>
      <c r="F528" s="231">
        <v>3052</v>
      </c>
      <c r="G528" s="231">
        <v>14432</v>
      </c>
      <c r="H528" s="231"/>
      <c r="I528" s="232">
        <v>271</v>
      </c>
      <c r="J528" s="232">
        <v>12647</v>
      </c>
      <c r="K528" s="232">
        <v>988</v>
      </c>
      <c r="L528" s="231">
        <v>2741</v>
      </c>
      <c r="M528" s="231"/>
      <c r="N528" s="232">
        <v>506</v>
      </c>
      <c r="O528" s="232">
        <v>4668</v>
      </c>
      <c r="P528" s="232">
        <v>0</v>
      </c>
      <c r="Q528" s="231">
        <v>2509</v>
      </c>
      <c r="R528" s="232">
        <f t="shared" si="8"/>
        <v>7979</v>
      </c>
      <c r="S528" s="231"/>
      <c r="T528" s="232">
        <v>3857</v>
      </c>
      <c r="U528" s="233">
        <v>-428</v>
      </c>
      <c r="V528" s="233">
        <v>3429</v>
      </c>
    </row>
    <row r="529" spans="1:22">
      <c r="A529" s="226">
        <v>95804</v>
      </c>
      <c r="B529" s="227" t="s">
        <v>1236</v>
      </c>
      <c r="C529" s="87">
        <v>1.63E-5</v>
      </c>
      <c r="D529" s="87">
        <v>1.4399999999999999E-5</v>
      </c>
      <c r="E529" s="231">
        <v>6017.02</v>
      </c>
      <c r="F529" s="231">
        <v>6463</v>
      </c>
      <c r="G529" s="231">
        <v>34594</v>
      </c>
      <c r="H529" s="231"/>
      <c r="I529" s="232">
        <v>649.96249999999998</v>
      </c>
      <c r="J529" s="232">
        <v>30315</v>
      </c>
      <c r="K529" s="232">
        <v>2369</v>
      </c>
      <c r="L529" s="231">
        <v>3054</v>
      </c>
      <c r="M529" s="231"/>
      <c r="N529" s="232">
        <v>1212</v>
      </c>
      <c r="O529" s="232">
        <v>11189</v>
      </c>
      <c r="P529" s="232">
        <v>0</v>
      </c>
      <c r="Q529" s="231">
        <v>0</v>
      </c>
      <c r="R529" s="232">
        <f t="shared" si="8"/>
        <v>19126</v>
      </c>
      <c r="S529" s="231"/>
      <c r="T529" s="232">
        <v>9246</v>
      </c>
      <c r="U529" s="233">
        <v>1187</v>
      </c>
      <c r="V529" s="233">
        <v>10434</v>
      </c>
    </row>
    <row r="530" spans="1:22">
      <c r="A530" s="226">
        <v>95811</v>
      </c>
      <c r="B530" s="227" t="s">
        <v>1237</v>
      </c>
      <c r="C530" s="87">
        <v>5.3410000000000003E-4</v>
      </c>
      <c r="D530" s="87">
        <v>5.2459999999999996E-4</v>
      </c>
      <c r="E530" s="231">
        <v>215302.64</v>
      </c>
      <c r="F530" s="231">
        <v>235437</v>
      </c>
      <c r="G530" s="231">
        <v>1133539</v>
      </c>
      <c r="H530" s="231"/>
      <c r="I530" s="232">
        <v>21297</v>
      </c>
      <c r="J530" s="232">
        <v>993342</v>
      </c>
      <c r="K530" s="232">
        <v>77637</v>
      </c>
      <c r="L530" s="231">
        <v>2541</v>
      </c>
      <c r="M530" s="231"/>
      <c r="N530" s="232">
        <v>39720</v>
      </c>
      <c r="O530" s="232">
        <v>366637</v>
      </c>
      <c r="P530" s="232">
        <v>0</v>
      </c>
      <c r="Q530" s="231">
        <v>5345</v>
      </c>
      <c r="R530" s="232">
        <f t="shared" si="8"/>
        <v>626705</v>
      </c>
      <c r="S530" s="231"/>
      <c r="T530" s="232">
        <v>302978</v>
      </c>
      <c r="U530" s="233">
        <v>-1032</v>
      </c>
      <c r="V530" s="233">
        <v>301947</v>
      </c>
    </row>
    <row r="531" spans="1:22">
      <c r="A531" s="226">
        <v>95813</v>
      </c>
      <c r="B531" s="227" t="s">
        <v>1238</v>
      </c>
      <c r="C531" s="87">
        <v>4.4400000000000002E-5</v>
      </c>
      <c r="D531" s="87">
        <v>5.02E-5</v>
      </c>
      <c r="E531" s="231">
        <v>61209.42</v>
      </c>
      <c r="F531" s="231">
        <v>22529</v>
      </c>
      <c r="G531" s="231">
        <v>94232</v>
      </c>
      <c r="H531" s="231"/>
      <c r="I531" s="232">
        <v>1770.45</v>
      </c>
      <c r="J531" s="232">
        <v>82577</v>
      </c>
      <c r="K531" s="232">
        <v>6454</v>
      </c>
      <c r="L531" s="231">
        <v>51874</v>
      </c>
      <c r="M531" s="231"/>
      <c r="N531" s="232">
        <v>3302</v>
      </c>
      <c r="O531" s="232">
        <v>30479</v>
      </c>
      <c r="P531" s="232">
        <v>0</v>
      </c>
      <c r="Q531" s="231">
        <v>0</v>
      </c>
      <c r="R531" s="232">
        <f t="shared" si="8"/>
        <v>52098</v>
      </c>
      <c r="S531" s="231"/>
      <c r="T531" s="232">
        <v>25187</v>
      </c>
      <c r="U531" s="233">
        <v>15540</v>
      </c>
      <c r="V531" s="233">
        <v>40727</v>
      </c>
    </row>
    <row r="532" spans="1:22">
      <c r="A532" s="226">
        <v>95821</v>
      </c>
      <c r="B532" s="227" t="s">
        <v>1239</v>
      </c>
      <c r="C532" s="87">
        <v>1.7E-6</v>
      </c>
      <c r="D532" s="87">
        <v>1.5999999999999999E-6</v>
      </c>
      <c r="E532" s="231">
        <v>1922.0400000000002</v>
      </c>
      <c r="F532" s="231">
        <v>718</v>
      </c>
      <c r="G532" s="231">
        <v>3608</v>
      </c>
      <c r="H532" s="231"/>
      <c r="I532" s="232">
        <v>68</v>
      </c>
      <c r="J532" s="232">
        <v>3162</v>
      </c>
      <c r="K532" s="232">
        <v>247</v>
      </c>
      <c r="L532" s="231">
        <v>1916</v>
      </c>
      <c r="M532" s="231"/>
      <c r="N532" s="232">
        <v>126</v>
      </c>
      <c r="O532" s="232">
        <v>1167</v>
      </c>
      <c r="P532" s="232">
        <v>0</v>
      </c>
      <c r="Q532" s="231">
        <v>0</v>
      </c>
      <c r="R532" s="232">
        <f t="shared" si="8"/>
        <v>1995</v>
      </c>
      <c r="S532" s="231"/>
      <c r="T532" s="232">
        <v>964</v>
      </c>
      <c r="U532" s="233">
        <v>623</v>
      </c>
      <c r="V532" s="233">
        <v>1587</v>
      </c>
    </row>
    <row r="533" spans="1:22">
      <c r="A533" s="226">
        <v>95831</v>
      </c>
      <c r="B533" s="227" t="s">
        <v>1240</v>
      </c>
      <c r="C533" s="87">
        <v>1.36E-5</v>
      </c>
      <c r="D533" s="87">
        <v>1.9199999999999999E-5</v>
      </c>
      <c r="E533" s="231">
        <v>18920.61</v>
      </c>
      <c r="F533" s="231">
        <v>8617</v>
      </c>
      <c r="G533" s="231">
        <v>28864</v>
      </c>
      <c r="H533" s="231"/>
      <c r="I533" s="232">
        <v>542</v>
      </c>
      <c r="J533" s="232">
        <v>25294</v>
      </c>
      <c r="K533" s="232">
        <v>1977</v>
      </c>
      <c r="L533" s="231">
        <v>15027</v>
      </c>
      <c r="M533" s="231"/>
      <c r="N533" s="232">
        <v>1011</v>
      </c>
      <c r="O533" s="232">
        <v>9336</v>
      </c>
      <c r="P533" s="232">
        <v>0</v>
      </c>
      <c r="Q533" s="231">
        <v>0</v>
      </c>
      <c r="R533" s="232">
        <f t="shared" si="8"/>
        <v>15958</v>
      </c>
      <c r="S533" s="231"/>
      <c r="T533" s="232">
        <v>7715</v>
      </c>
      <c r="U533" s="233">
        <v>4667</v>
      </c>
      <c r="V533" s="233">
        <v>12382</v>
      </c>
    </row>
    <row r="534" spans="1:22">
      <c r="A534" s="226">
        <v>95841</v>
      </c>
      <c r="B534" s="227" t="s">
        <v>1241</v>
      </c>
      <c r="C534" s="87">
        <v>2.1100000000000001E-5</v>
      </c>
      <c r="D534" s="87">
        <v>2.0699999999999998E-5</v>
      </c>
      <c r="E534" s="231">
        <v>9619.65</v>
      </c>
      <c r="F534" s="231">
        <v>9290</v>
      </c>
      <c r="G534" s="231">
        <v>44781</v>
      </c>
      <c r="H534" s="231"/>
      <c r="I534" s="232">
        <v>841</v>
      </c>
      <c r="J534" s="232">
        <v>39243</v>
      </c>
      <c r="K534" s="232">
        <v>3067</v>
      </c>
      <c r="L534" s="231">
        <v>1840</v>
      </c>
      <c r="M534" s="231"/>
      <c r="N534" s="232">
        <v>1569</v>
      </c>
      <c r="O534" s="232">
        <v>14484</v>
      </c>
      <c r="P534" s="232">
        <v>0</v>
      </c>
      <c r="Q534" s="231">
        <v>0</v>
      </c>
      <c r="R534" s="232">
        <f t="shared" si="8"/>
        <v>24759</v>
      </c>
      <c r="S534" s="231"/>
      <c r="T534" s="232">
        <v>11969</v>
      </c>
      <c r="U534" s="233">
        <v>601</v>
      </c>
      <c r="V534" s="233">
        <v>12570</v>
      </c>
    </row>
    <row r="535" spans="1:22">
      <c r="A535" s="226">
        <v>95851</v>
      </c>
      <c r="B535" s="227" t="s">
        <v>1242</v>
      </c>
      <c r="C535" s="87">
        <v>1.3009999999999999E-4</v>
      </c>
      <c r="D535" s="87">
        <v>1.44E-4</v>
      </c>
      <c r="E535" s="231">
        <v>128218.45000000001</v>
      </c>
      <c r="F535" s="231">
        <v>64626</v>
      </c>
      <c r="G535" s="231">
        <v>276116</v>
      </c>
      <c r="H535" s="231"/>
      <c r="I535" s="232">
        <v>5188</v>
      </c>
      <c r="J535" s="232">
        <v>241965</v>
      </c>
      <c r="K535" s="232">
        <v>18911</v>
      </c>
      <c r="L535" s="231">
        <v>90972</v>
      </c>
      <c r="M535" s="231"/>
      <c r="N535" s="232">
        <v>9675</v>
      </c>
      <c r="O535" s="232">
        <v>89308</v>
      </c>
      <c r="P535" s="232">
        <v>0</v>
      </c>
      <c r="Q535" s="231">
        <v>8402</v>
      </c>
      <c r="R535" s="232">
        <f t="shared" si="8"/>
        <v>152657</v>
      </c>
      <c r="S535" s="231"/>
      <c r="T535" s="232">
        <v>73802</v>
      </c>
      <c r="U535" s="233">
        <v>23087</v>
      </c>
      <c r="V535" s="233">
        <v>96889</v>
      </c>
    </row>
    <row r="536" spans="1:22">
      <c r="A536" s="226">
        <v>95853</v>
      </c>
      <c r="B536" s="227" t="s">
        <v>1243</v>
      </c>
      <c r="C536" s="87">
        <v>2.4000000000000001E-5</v>
      </c>
      <c r="D536" s="87">
        <v>2.44E-5</v>
      </c>
      <c r="E536" s="231">
        <v>14930.279999999999</v>
      </c>
      <c r="F536" s="231">
        <v>10951</v>
      </c>
      <c r="G536" s="231">
        <v>50936.04</v>
      </c>
      <c r="H536" s="231"/>
      <c r="I536" s="232">
        <v>957</v>
      </c>
      <c r="J536" s="232">
        <v>44636</v>
      </c>
      <c r="K536" s="232">
        <v>3489</v>
      </c>
      <c r="L536" s="231">
        <v>8043</v>
      </c>
      <c r="M536" s="231"/>
      <c r="N536" s="232">
        <v>1785</v>
      </c>
      <c r="O536" s="232">
        <v>16475</v>
      </c>
      <c r="P536" s="232">
        <v>0</v>
      </c>
      <c r="Q536" s="231">
        <v>0</v>
      </c>
      <c r="R536" s="232">
        <f t="shared" si="8"/>
        <v>28161</v>
      </c>
      <c r="S536" s="231"/>
      <c r="T536" s="232">
        <v>13614</v>
      </c>
      <c r="U536" s="233">
        <v>2790</v>
      </c>
      <c r="V536" s="233">
        <v>16405</v>
      </c>
    </row>
    <row r="537" spans="1:22">
      <c r="A537" s="226">
        <v>95901</v>
      </c>
      <c r="B537" s="227" t="s">
        <v>1244</v>
      </c>
      <c r="C537" s="87">
        <v>1.8266999999999999E-3</v>
      </c>
      <c r="D537" s="87">
        <v>1.8056000000000001E-3</v>
      </c>
      <c r="E537" s="231">
        <v>722469.93</v>
      </c>
      <c r="F537" s="231">
        <v>810342</v>
      </c>
      <c r="G537" s="231">
        <v>3876869</v>
      </c>
      <c r="H537" s="231"/>
      <c r="I537" s="232">
        <v>72840</v>
      </c>
      <c r="J537" s="232">
        <v>3397373</v>
      </c>
      <c r="K537" s="232">
        <v>265531</v>
      </c>
      <c r="L537" s="231">
        <v>69258</v>
      </c>
      <c r="M537" s="231"/>
      <c r="N537" s="232">
        <v>135850</v>
      </c>
      <c r="O537" s="232">
        <v>1253953</v>
      </c>
      <c r="P537" s="232">
        <v>0</v>
      </c>
      <c r="Q537" s="231">
        <v>11402</v>
      </c>
      <c r="R537" s="232">
        <f t="shared" si="8"/>
        <v>2143420</v>
      </c>
      <c r="S537" s="231"/>
      <c r="T537" s="232">
        <v>1036230</v>
      </c>
      <c r="U537" s="233">
        <v>29652</v>
      </c>
      <c r="V537" s="233">
        <v>1065882</v>
      </c>
    </row>
    <row r="538" spans="1:22">
      <c r="A538" s="226">
        <v>95908</v>
      </c>
      <c r="B538" s="227" t="s">
        <v>1245</v>
      </c>
      <c r="C538" s="87">
        <v>7.2000000000000002E-5</v>
      </c>
      <c r="D538" s="87">
        <v>6.6699999999999995E-5</v>
      </c>
      <c r="E538" s="231">
        <v>21165.479999999996</v>
      </c>
      <c r="F538" s="231">
        <v>29935</v>
      </c>
      <c r="G538" s="231">
        <v>152808.12</v>
      </c>
      <c r="H538" s="231"/>
      <c r="I538" s="232">
        <v>2871</v>
      </c>
      <c r="J538" s="232">
        <v>133909</v>
      </c>
      <c r="K538" s="232">
        <v>10466</v>
      </c>
      <c r="L538" s="231">
        <v>0</v>
      </c>
      <c r="M538" s="231"/>
      <c r="N538" s="232">
        <v>5355</v>
      </c>
      <c r="O538" s="232">
        <v>49425</v>
      </c>
      <c r="P538" s="232">
        <v>0</v>
      </c>
      <c r="Q538" s="231">
        <v>24519</v>
      </c>
      <c r="R538" s="232">
        <f t="shared" si="8"/>
        <v>84484</v>
      </c>
      <c r="S538" s="231"/>
      <c r="T538" s="232">
        <v>40843</v>
      </c>
      <c r="U538" s="233">
        <v>-9060</v>
      </c>
      <c r="V538" s="233">
        <v>31784</v>
      </c>
    </row>
    <row r="539" spans="1:22">
      <c r="A539" s="226">
        <v>95911</v>
      </c>
      <c r="B539" s="227" t="s">
        <v>1246</v>
      </c>
      <c r="C539" s="87">
        <v>5.6979999999999997E-4</v>
      </c>
      <c r="D539" s="87">
        <v>6.2100000000000002E-4</v>
      </c>
      <c r="E539" s="231">
        <v>226533.46999999997</v>
      </c>
      <c r="F539" s="231">
        <v>278701</v>
      </c>
      <c r="G539" s="231">
        <v>1209306</v>
      </c>
      <c r="H539" s="231"/>
      <c r="I539" s="232">
        <v>22721</v>
      </c>
      <c r="J539" s="232">
        <v>1059738</v>
      </c>
      <c r="K539" s="232">
        <v>82827</v>
      </c>
      <c r="L539" s="231">
        <v>4490</v>
      </c>
      <c r="M539" s="231"/>
      <c r="N539" s="232">
        <v>42375</v>
      </c>
      <c r="O539" s="232">
        <v>391144</v>
      </c>
      <c r="P539" s="232">
        <v>0</v>
      </c>
      <c r="Q539" s="231">
        <v>41660</v>
      </c>
      <c r="R539" s="232">
        <f t="shared" si="8"/>
        <v>668594</v>
      </c>
      <c r="S539" s="231"/>
      <c r="T539" s="232">
        <v>323230</v>
      </c>
      <c r="U539" s="233">
        <v>-11084</v>
      </c>
      <c r="V539" s="233">
        <v>312146</v>
      </c>
    </row>
    <row r="540" spans="1:22">
      <c r="A540" s="226">
        <v>95917</v>
      </c>
      <c r="B540" s="227" t="s">
        <v>1247</v>
      </c>
      <c r="C540" s="87">
        <v>2.2399999999999999E-5</v>
      </c>
      <c r="D540" s="87">
        <v>2.4499999999999999E-5</v>
      </c>
      <c r="E540" s="231">
        <v>9793.0600000000013</v>
      </c>
      <c r="F540" s="231">
        <v>10995</v>
      </c>
      <c r="G540" s="231">
        <v>47540</v>
      </c>
      <c r="H540" s="231"/>
      <c r="I540" s="232">
        <v>893</v>
      </c>
      <c r="J540" s="232">
        <v>41660</v>
      </c>
      <c r="K540" s="232">
        <v>3256</v>
      </c>
      <c r="L540" s="231">
        <v>4422</v>
      </c>
      <c r="M540" s="231"/>
      <c r="N540" s="232">
        <v>1666</v>
      </c>
      <c r="O540" s="232">
        <v>15377</v>
      </c>
      <c r="P540" s="232">
        <v>0</v>
      </c>
      <c r="Q540" s="231">
        <v>676</v>
      </c>
      <c r="R540" s="232">
        <f t="shared" si="8"/>
        <v>26283</v>
      </c>
      <c r="S540" s="231"/>
      <c r="T540" s="232">
        <v>12707</v>
      </c>
      <c r="U540" s="233">
        <v>1747</v>
      </c>
      <c r="V540" s="233">
        <v>14453</v>
      </c>
    </row>
    <row r="541" spans="1:22">
      <c r="A541" s="226">
        <v>95921</v>
      </c>
      <c r="B541" s="227" t="s">
        <v>1248</v>
      </c>
      <c r="C541" s="87">
        <v>4.4700000000000002E-5</v>
      </c>
      <c r="D541" s="87">
        <v>3.4600000000000001E-5</v>
      </c>
      <c r="E541" s="231">
        <v>16579.87</v>
      </c>
      <c r="F541" s="231">
        <v>15528</v>
      </c>
      <c r="G541" s="231">
        <v>94868</v>
      </c>
      <c r="H541" s="231"/>
      <c r="I541" s="232">
        <v>1782</v>
      </c>
      <c r="J541" s="232">
        <v>83135</v>
      </c>
      <c r="K541" s="232">
        <v>6498</v>
      </c>
      <c r="L541" s="231">
        <v>5096</v>
      </c>
      <c r="M541" s="231"/>
      <c r="N541" s="232">
        <v>3324</v>
      </c>
      <c r="O541" s="232">
        <v>30685</v>
      </c>
      <c r="P541" s="232">
        <v>0</v>
      </c>
      <c r="Q541" s="231">
        <v>1906</v>
      </c>
      <c r="R541" s="232">
        <f t="shared" si="8"/>
        <v>52450</v>
      </c>
      <c r="S541" s="231"/>
      <c r="T541" s="232">
        <v>25357</v>
      </c>
      <c r="U541" s="233">
        <v>463</v>
      </c>
      <c r="V541" s="233">
        <v>25820</v>
      </c>
    </row>
    <row r="542" spans="1:22">
      <c r="A542" s="226">
        <v>96001</v>
      </c>
      <c r="B542" s="227" t="s">
        <v>1249</v>
      </c>
      <c r="C542" s="87">
        <v>4.43519E-2</v>
      </c>
      <c r="D542" s="87">
        <v>4.41456E-2</v>
      </c>
      <c r="E542" s="231">
        <v>17742783.209999997</v>
      </c>
      <c r="F542" s="231">
        <v>19812280</v>
      </c>
      <c r="G542" s="231">
        <v>94129590</v>
      </c>
      <c r="H542" s="231"/>
      <c r="I542" s="232">
        <v>1768532</v>
      </c>
      <c r="J542" s="232">
        <v>82487526</v>
      </c>
      <c r="K542" s="232">
        <v>6447037</v>
      </c>
      <c r="L542" s="231">
        <v>2806449</v>
      </c>
      <c r="M542" s="231"/>
      <c r="N542" s="232">
        <v>3298406</v>
      </c>
      <c r="O542" s="232">
        <v>30445717</v>
      </c>
      <c r="P542" s="232">
        <v>0</v>
      </c>
      <c r="Q542" s="231">
        <v>282683</v>
      </c>
      <c r="R542" s="232">
        <f t="shared" si="8"/>
        <v>52041809</v>
      </c>
      <c r="S542" s="231"/>
      <c r="T542" s="232">
        <v>25159458</v>
      </c>
      <c r="U542" s="233">
        <v>1275874</v>
      </c>
      <c r="V542" s="233">
        <v>26435332</v>
      </c>
    </row>
    <row r="543" spans="1:22">
      <c r="A543" s="226">
        <v>96003</v>
      </c>
      <c r="B543" s="227" t="s">
        <v>1250</v>
      </c>
      <c r="C543" s="87">
        <v>1.7309000000000001E-3</v>
      </c>
      <c r="D543" s="87">
        <v>1.7633E-3</v>
      </c>
      <c r="E543" s="231">
        <v>655848.02</v>
      </c>
      <c r="F543" s="231">
        <v>791358</v>
      </c>
      <c r="G543" s="231">
        <v>3673550</v>
      </c>
      <c r="H543" s="231"/>
      <c r="I543" s="232">
        <v>69020</v>
      </c>
      <c r="J543" s="232">
        <v>3219201</v>
      </c>
      <c r="K543" s="232">
        <v>251605</v>
      </c>
      <c r="L543" s="231">
        <v>4786</v>
      </c>
      <c r="M543" s="231"/>
      <c r="N543" s="232">
        <v>128725</v>
      </c>
      <c r="O543" s="232">
        <v>1188190</v>
      </c>
      <c r="P543" s="232">
        <v>0</v>
      </c>
      <c r="Q543" s="231">
        <v>112661</v>
      </c>
      <c r="R543" s="232">
        <f t="shared" si="8"/>
        <v>2031011</v>
      </c>
      <c r="S543" s="231"/>
      <c r="T543" s="232">
        <v>981886</v>
      </c>
      <c r="U543" s="233">
        <v>-39821</v>
      </c>
      <c r="V543" s="233">
        <v>942065</v>
      </c>
    </row>
    <row r="544" spans="1:22">
      <c r="A544" s="226">
        <v>96004</v>
      </c>
      <c r="B544" s="227" t="s">
        <v>1251</v>
      </c>
      <c r="C544" s="87">
        <v>8.7699999999999996E-4</v>
      </c>
      <c r="D544" s="87">
        <v>8.208E-4</v>
      </c>
      <c r="E544" s="231">
        <v>400422.78</v>
      </c>
      <c r="F544" s="231">
        <v>368370</v>
      </c>
      <c r="G544" s="231">
        <v>1861288</v>
      </c>
      <c r="H544" s="231"/>
      <c r="I544" s="232">
        <v>34970.375</v>
      </c>
      <c r="J544" s="232">
        <v>1631081</v>
      </c>
      <c r="K544" s="232">
        <v>127482</v>
      </c>
      <c r="L544" s="231">
        <v>148722</v>
      </c>
      <c r="M544" s="231"/>
      <c r="N544" s="232">
        <v>65222</v>
      </c>
      <c r="O544" s="232">
        <v>602024</v>
      </c>
      <c r="P544" s="232">
        <v>0</v>
      </c>
      <c r="Q544" s="231">
        <v>0</v>
      </c>
      <c r="R544" s="232">
        <f t="shared" si="8"/>
        <v>1029057</v>
      </c>
      <c r="S544" s="231"/>
      <c r="T544" s="232">
        <v>497495</v>
      </c>
      <c r="U544" s="233">
        <v>52239</v>
      </c>
      <c r="V544" s="233">
        <v>549734</v>
      </c>
    </row>
    <row r="545" spans="1:22">
      <c r="A545" s="226">
        <v>96005</v>
      </c>
      <c r="B545" s="227" t="s">
        <v>1252</v>
      </c>
      <c r="C545" s="87">
        <v>2.6457E-3</v>
      </c>
      <c r="D545" s="87">
        <v>2.6692E-3</v>
      </c>
      <c r="E545" s="231">
        <v>1120531.6299999999</v>
      </c>
      <c r="F545" s="231">
        <v>1197921</v>
      </c>
      <c r="G545" s="231">
        <v>5615062</v>
      </c>
      <c r="H545" s="231"/>
      <c r="I545" s="232">
        <v>105497</v>
      </c>
      <c r="J545" s="232">
        <v>4920584</v>
      </c>
      <c r="K545" s="232">
        <v>384582</v>
      </c>
      <c r="L545" s="231">
        <v>345182</v>
      </c>
      <c r="M545" s="231"/>
      <c r="N545" s="232">
        <v>196758</v>
      </c>
      <c r="O545" s="232">
        <v>1816162</v>
      </c>
      <c r="P545" s="232">
        <v>0</v>
      </c>
      <c r="Q545" s="231">
        <v>0</v>
      </c>
      <c r="R545" s="232">
        <f t="shared" si="8"/>
        <v>3104422</v>
      </c>
      <c r="S545" s="231"/>
      <c r="T545" s="232">
        <v>1500824</v>
      </c>
      <c r="U545" s="233">
        <v>151849</v>
      </c>
      <c r="V545" s="233">
        <v>1652672</v>
      </c>
    </row>
    <row r="546" spans="1:22">
      <c r="A546" s="226">
        <v>96008</v>
      </c>
      <c r="B546" s="227" t="s">
        <v>1253</v>
      </c>
      <c r="C546" s="87">
        <v>5.9388000000000002E-3</v>
      </c>
      <c r="D546" s="87">
        <v>5.4187000000000003E-3</v>
      </c>
      <c r="E546" s="231">
        <v>1816865.04</v>
      </c>
      <c r="F546" s="231">
        <v>2431880</v>
      </c>
      <c r="G546" s="231">
        <v>12604123</v>
      </c>
      <c r="H546" s="231"/>
      <c r="I546" s="232">
        <v>236809.65</v>
      </c>
      <c r="J546" s="232">
        <v>11045230</v>
      </c>
      <c r="K546" s="232">
        <v>863270</v>
      </c>
      <c r="L546" s="231">
        <v>0</v>
      </c>
      <c r="M546" s="231"/>
      <c r="N546" s="232">
        <v>441663</v>
      </c>
      <c r="O546" s="232">
        <v>4076737</v>
      </c>
      <c r="P546" s="232">
        <v>0</v>
      </c>
      <c r="Q546" s="231">
        <v>411808</v>
      </c>
      <c r="R546" s="232">
        <f t="shared" si="8"/>
        <v>6968493</v>
      </c>
      <c r="S546" s="231"/>
      <c r="T546" s="232">
        <v>3368897</v>
      </c>
      <c r="U546" s="233">
        <v>-148661</v>
      </c>
      <c r="V546" s="233">
        <v>3220236</v>
      </c>
    </row>
    <row r="547" spans="1:22">
      <c r="A547" s="226">
        <v>96009</v>
      </c>
      <c r="B547" s="227" t="s">
        <v>1254</v>
      </c>
      <c r="C547" s="87">
        <v>3.5980000000000002E-4</v>
      </c>
      <c r="D547" s="87">
        <v>3.9110000000000002E-4</v>
      </c>
      <c r="E547" s="231">
        <v>164904.64000000001</v>
      </c>
      <c r="F547" s="231">
        <v>175523</v>
      </c>
      <c r="G547" s="231">
        <v>763616</v>
      </c>
      <c r="H547" s="231"/>
      <c r="I547" s="232">
        <v>14347</v>
      </c>
      <c r="J547" s="232">
        <v>669171</v>
      </c>
      <c r="K547" s="232">
        <v>52301</v>
      </c>
      <c r="L547" s="231">
        <v>12534</v>
      </c>
      <c r="M547" s="231"/>
      <c r="N547" s="232">
        <v>26758</v>
      </c>
      <c r="O547" s="232">
        <v>246988</v>
      </c>
      <c r="P547" s="232">
        <v>0</v>
      </c>
      <c r="Q547" s="231">
        <v>3502</v>
      </c>
      <c r="R547" s="232">
        <f t="shared" si="8"/>
        <v>422183</v>
      </c>
      <c r="S547" s="231"/>
      <c r="T547" s="232">
        <v>204103</v>
      </c>
      <c r="U547" s="233">
        <v>4895</v>
      </c>
      <c r="V547" s="233">
        <v>208999</v>
      </c>
    </row>
    <row r="548" spans="1:22">
      <c r="A548" s="226">
        <v>96011</v>
      </c>
      <c r="B548" s="227" t="s">
        <v>1255</v>
      </c>
      <c r="C548" s="87">
        <v>6.0489000000000001E-2</v>
      </c>
      <c r="D548" s="87">
        <v>5.8946100000000001E-2</v>
      </c>
      <c r="E548" s="231">
        <v>23738140.469999999</v>
      </c>
      <c r="F548" s="231">
        <v>26454656</v>
      </c>
      <c r="G548" s="231">
        <v>128377922</v>
      </c>
      <c r="H548" s="231"/>
      <c r="I548" s="232">
        <v>2411999</v>
      </c>
      <c r="J548" s="232">
        <v>112499983</v>
      </c>
      <c r="K548" s="232">
        <v>8792742</v>
      </c>
      <c r="L548" s="231">
        <v>167249</v>
      </c>
      <c r="M548" s="231"/>
      <c r="N548" s="232">
        <v>4498506</v>
      </c>
      <c r="O548" s="232">
        <v>41523158</v>
      </c>
      <c r="P548" s="232">
        <v>0</v>
      </c>
      <c r="Q548" s="231">
        <v>70330</v>
      </c>
      <c r="R548" s="232">
        <f t="shared" si="8"/>
        <v>70976825</v>
      </c>
      <c r="S548" s="231"/>
      <c r="T548" s="232">
        <v>34313535</v>
      </c>
      <c r="U548" s="233">
        <v>40438</v>
      </c>
      <c r="V548" s="233">
        <v>34353973</v>
      </c>
    </row>
    <row r="549" spans="1:22">
      <c r="A549" s="226">
        <v>96012</v>
      </c>
      <c r="B549" s="227" t="s">
        <v>1256</v>
      </c>
      <c r="C549" s="87">
        <v>2.4095000000000002E-3</v>
      </c>
      <c r="D549" s="87">
        <v>2.1905000000000002E-3</v>
      </c>
      <c r="E549" s="231">
        <v>930120.22000000009</v>
      </c>
      <c r="F549" s="231">
        <v>983083</v>
      </c>
      <c r="G549" s="231">
        <v>5113766</v>
      </c>
      <c r="H549" s="231"/>
      <c r="I549" s="232">
        <v>96079</v>
      </c>
      <c r="J549" s="232">
        <v>4481289</v>
      </c>
      <c r="K549" s="232">
        <v>350247</v>
      </c>
      <c r="L549" s="231">
        <v>112910</v>
      </c>
      <c r="M549" s="231"/>
      <c r="N549" s="232">
        <v>179192</v>
      </c>
      <c r="O549" s="232">
        <v>1654021</v>
      </c>
      <c r="P549" s="232">
        <v>0</v>
      </c>
      <c r="Q549" s="231">
        <v>0</v>
      </c>
      <c r="R549" s="232">
        <f t="shared" si="8"/>
        <v>2827268</v>
      </c>
      <c r="S549" s="231"/>
      <c r="T549" s="232">
        <v>1366835</v>
      </c>
      <c r="U549" s="233">
        <v>35829</v>
      </c>
      <c r="V549" s="233">
        <v>1402664</v>
      </c>
    </row>
    <row r="550" spans="1:22">
      <c r="A550" s="226">
        <v>96018</v>
      </c>
      <c r="B550" s="227" t="s">
        <v>1257</v>
      </c>
      <c r="C550" s="87">
        <v>3.6199999999999999E-5</v>
      </c>
      <c r="D550" s="87">
        <v>3.3599999999999997E-5</v>
      </c>
      <c r="E550" s="231">
        <v>13498.509999999998</v>
      </c>
      <c r="F550" s="231">
        <v>15079</v>
      </c>
      <c r="G550" s="231">
        <v>76829</v>
      </c>
      <c r="H550" s="231"/>
      <c r="I550" s="232">
        <v>1443.4749999999999</v>
      </c>
      <c r="J550" s="232">
        <v>67326</v>
      </c>
      <c r="K550" s="232">
        <v>5262</v>
      </c>
      <c r="L550" s="231">
        <v>11396</v>
      </c>
      <c r="M550" s="231"/>
      <c r="N550" s="232">
        <v>2692</v>
      </c>
      <c r="O550" s="232">
        <v>24850</v>
      </c>
      <c r="P550" s="232">
        <v>0</v>
      </c>
      <c r="Q550" s="231">
        <v>0</v>
      </c>
      <c r="R550" s="232">
        <f t="shared" si="8"/>
        <v>42476</v>
      </c>
      <c r="S550" s="231"/>
      <c r="T550" s="232">
        <v>20535</v>
      </c>
      <c r="U550" s="233">
        <v>5069</v>
      </c>
      <c r="V550" s="233">
        <v>25604</v>
      </c>
    </row>
    <row r="551" spans="1:22">
      <c r="A551" s="226">
        <v>96021</v>
      </c>
      <c r="B551" s="227" t="s">
        <v>1258</v>
      </c>
      <c r="C551" s="87">
        <v>8.5829999999999999E-4</v>
      </c>
      <c r="D551" s="87">
        <v>8.8719999999999999E-4</v>
      </c>
      <c r="E551" s="231">
        <v>330918.43</v>
      </c>
      <c r="F551" s="231">
        <v>398170</v>
      </c>
      <c r="G551" s="231">
        <v>1821600</v>
      </c>
      <c r="H551" s="231"/>
      <c r="I551" s="232">
        <v>34225</v>
      </c>
      <c r="J551" s="232">
        <v>1596302</v>
      </c>
      <c r="K551" s="232">
        <v>124763</v>
      </c>
      <c r="L551" s="231">
        <v>50366</v>
      </c>
      <c r="M551" s="231"/>
      <c r="N551" s="232">
        <v>63831</v>
      </c>
      <c r="O551" s="232">
        <v>589187</v>
      </c>
      <c r="P551" s="232">
        <v>0</v>
      </c>
      <c r="Q551" s="231">
        <v>33170</v>
      </c>
      <c r="R551" s="232">
        <f t="shared" si="8"/>
        <v>1007115</v>
      </c>
      <c r="S551" s="231"/>
      <c r="T551" s="232">
        <v>486887</v>
      </c>
      <c r="U551" s="233">
        <v>9814</v>
      </c>
      <c r="V551" s="233">
        <v>496701</v>
      </c>
    </row>
    <row r="552" spans="1:22">
      <c r="A552" s="226">
        <v>96031</v>
      </c>
      <c r="B552" s="227" t="s">
        <v>1259</v>
      </c>
      <c r="C552" s="87">
        <v>9.0189999999999997E-4</v>
      </c>
      <c r="D552" s="87">
        <v>8.116E-4</v>
      </c>
      <c r="E552" s="231">
        <v>268946.90999999997</v>
      </c>
      <c r="F552" s="231">
        <v>364241</v>
      </c>
      <c r="G552" s="231">
        <v>1914134</v>
      </c>
      <c r="H552" s="231"/>
      <c r="I552" s="232">
        <v>35963</v>
      </c>
      <c r="J552" s="232">
        <v>1677391</v>
      </c>
      <c r="K552" s="232">
        <v>131101</v>
      </c>
      <c r="L552" s="231">
        <v>0</v>
      </c>
      <c r="M552" s="231"/>
      <c r="N552" s="232">
        <v>67073</v>
      </c>
      <c r="O552" s="232">
        <v>619116</v>
      </c>
      <c r="P552" s="232">
        <v>0</v>
      </c>
      <c r="Q552" s="231">
        <v>136310</v>
      </c>
      <c r="R552" s="232">
        <f t="shared" si="8"/>
        <v>1058275</v>
      </c>
      <c r="S552" s="231"/>
      <c r="T552" s="232">
        <v>511620</v>
      </c>
      <c r="U552" s="233">
        <v>-50978</v>
      </c>
      <c r="V552" s="233">
        <v>460642</v>
      </c>
    </row>
    <row r="553" spans="1:22">
      <c r="A553" s="226">
        <v>96041</v>
      </c>
      <c r="B553" s="227" t="s">
        <v>1260</v>
      </c>
      <c r="C553" s="87">
        <v>1.7323E-3</v>
      </c>
      <c r="D553" s="87">
        <v>1.6793999999999999E-3</v>
      </c>
      <c r="E553" s="231">
        <v>616934.88000000012</v>
      </c>
      <c r="F553" s="231">
        <v>753705</v>
      </c>
      <c r="G553" s="231">
        <v>3676521</v>
      </c>
      <c r="H553" s="231"/>
      <c r="I553" s="232">
        <v>69075</v>
      </c>
      <c r="J553" s="232">
        <v>3221804</v>
      </c>
      <c r="K553" s="232">
        <v>251809</v>
      </c>
      <c r="L553" s="231">
        <v>0</v>
      </c>
      <c r="M553" s="231"/>
      <c r="N553" s="232">
        <v>128829</v>
      </c>
      <c r="O553" s="232">
        <v>1189151</v>
      </c>
      <c r="P553" s="232">
        <v>0</v>
      </c>
      <c r="Q553" s="231">
        <v>127191</v>
      </c>
      <c r="R553" s="232">
        <f t="shared" si="8"/>
        <v>2032653</v>
      </c>
      <c r="S553" s="231"/>
      <c r="T553" s="232">
        <v>982680</v>
      </c>
      <c r="U553" s="233">
        <v>-45617</v>
      </c>
      <c r="V553" s="233">
        <v>937063</v>
      </c>
    </row>
    <row r="554" spans="1:22">
      <c r="A554" s="226">
        <v>96051</v>
      </c>
      <c r="B554" s="227" t="s">
        <v>1261</v>
      </c>
      <c r="C554" s="87">
        <v>1.0258000000000001E-3</v>
      </c>
      <c r="D554" s="87">
        <v>1.0265999999999999E-3</v>
      </c>
      <c r="E554" s="231">
        <v>369762.41000000003</v>
      </c>
      <c r="F554" s="231">
        <v>460732</v>
      </c>
      <c r="G554" s="231">
        <v>2177091</v>
      </c>
      <c r="H554" s="231"/>
      <c r="I554" s="232">
        <v>40904</v>
      </c>
      <c r="J554" s="232">
        <v>1907826</v>
      </c>
      <c r="K554" s="232">
        <v>149111</v>
      </c>
      <c r="L554" s="231">
        <v>0</v>
      </c>
      <c r="M554" s="231"/>
      <c r="N554" s="232">
        <v>76288</v>
      </c>
      <c r="O554" s="232">
        <v>704169</v>
      </c>
      <c r="P554" s="232">
        <v>0</v>
      </c>
      <c r="Q554" s="231">
        <v>94345</v>
      </c>
      <c r="R554" s="232">
        <f t="shared" si="8"/>
        <v>1203657</v>
      </c>
      <c r="S554" s="231"/>
      <c r="T554" s="232">
        <v>581905</v>
      </c>
      <c r="U554" s="233">
        <v>-32749</v>
      </c>
      <c r="V554" s="233">
        <v>549156</v>
      </c>
    </row>
    <row r="555" spans="1:22">
      <c r="A555" s="226">
        <v>96061</v>
      </c>
      <c r="B555" s="227" t="s">
        <v>1262</v>
      </c>
      <c r="C555" s="87">
        <v>3.0800000000000001E-4</v>
      </c>
      <c r="D555" s="87">
        <v>3.1809999999999998E-4</v>
      </c>
      <c r="E555" s="231">
        <v>123610.23999999999</v>
      </c>
      <c r="F555" s="231">
        <v>142761</v>
      </c>
      <c r="G555" s="231">
        <v>653679</v>
      </c>
      <c r="H555" s="231"/>
      <c r="I555" s="232">
        <v>12281.5</v>
      </c>
      <c r="J555" s="232">
        <v>572831</v>
      </c>
      <c r="K555" s="232">
        <v>44771</v>
      </c>
      <c r="L555" s="231">
        <v>2239</v>
      </c>
      <c r="M555" s="231"/>
      <c r="N555" s="232">
        <v>22906</v>
      </c>
      <c r="O555" s="232">
        <v>211429</v>
      </c>
      <c r="P555" s="232">
        <v>0</v>
      </c>
      <c r="Q555" s="231">
        <v>11106</v>
      </c>
      <c r="R555" s="232">
        <f t="shared" si="8"/>
        <v>361402</v>
      </c>
      <c r="S555" s="231"/>
      <c r="T555" s="232">
        <v>174719</v>
      </c>
      <c r="U555" s="233">
        <v>-2865</v>
      </c>
      <c r="V555" s="233">
        <v>171854</v>
      </c>
    </row>
    <row r="556" spans="1:22">
      <c r="A556" s="226">
        <v>96071</v>
      </c>
      <c r="B556" s="227" t="s">
        <v>1263</v>
      </c>
      <c r="C556" s="87">
        <v>1.1280999999999999E-3</v>
      </c>
      <c r="D556" s="87">
        <v>1.2979000000000001E-3</v>
      </c>
      <c r="E556" s="231">
        <v>475581.26</v>
      </c>
      <c r="F556" s="231">
        <v>582490</v>
      </c>
      <c r="G556" s="231">
        <v>2394206</v>
      </c>
      <c r="H556" s="231"/>
      <c r="I556" s="232">
        <v>44983</v>
      </c>
      <c r="J556" s="232">
        <v>2098088</v>
      </c>
      <c r="K556" s="232">
        <v>163982</v>
      </c>
      <c r="L556" s="231">
        <v>64300</v>
      </c>
      <c r="M556" s="231"/>
      <c r="N556" s="232">
        <v>83896</v>
      </c>
      <c r="O556" s="232">
        <v>774393</v>
      </c>
      <c r="P556" s="232">
        <v>0</v>
      </c>
      <c r="Q556" s="231">
        <v>103673</v>
      </c>
      <c r="R556" s="232">
        <f t="shared" si="8"/>
        <v>1323695</v>
      </c>
      <c r="S556" s="231"/>
      <c r="T556" s="232">
        <v>639936</v>
      </c>
      <c r="U556" s="233">
        <v>-9157</v>
      </c>
      <c r="V556" s="233">
        <v>630779</v>
      </c>
    </row>
    <row r="557" spans="1:22">
      <c r="A557" s="226">
        <v>96081</v>
      </c>
      <c r="B557" s="227" t="s">
        <v>1264</v>
      </c>
      <c r="C557" s="87">
        <v>4.7820000000000002E-4</v>
      </c>
      <c r="D557" s="87">
        <v>4.3820000000000003E-4</v>
      </c>
      <c r="E557" s="231">
        <v>172267.02000000002</v>
      </c>
      <c r="F557" s="231">
        <v>196662</v>
      </c>
      <c r="G557" s="231">
        <v>1014901</v>
      </c>
      <c r="H557" s="231"/>
      <c r="I557" s="232">
        <v>19068</v>
      </c>
      <c r="J557" s="232">
        <v>889376</v>
      </c>
      <c r="K557" s="232">
        <v>69512</v>
      </c>
      <c r="L557" s="231">
        <v>14379</v>
      </c>
      <c r="M557" s="231"/>
      <c r="N557" s="232">
        <v>35563</v>
      </c>
      <c r="O557" s="232">
        <v>328264</v>
      </c>
      <c r="P557" s="232">
        <v>0</v>
      </c>
      <c r="Q557" s="231">
        <v>6375</v>
      </c>
      <c r="R557" s="232">
        <f t="shared" si="8"/>
        <v>561112</v>
      </c>
      <c r="S557" s="231"/>
      <c r="T557" s="232">
        <v>271268</v>
      </c>
      <c r="U557" s="233">
        <v>4406</v>
      </c>
      <c r="V557" s="233">
        <v>275674</v>
      </c>
    </row>
    <row r="558" spans="1:22">
      <c r="A558" s="226">
        <v>96101</v>
      </c>
      <c r="B558" s="227" t="s">
        <v>1265</v>
      </c>
      <c r="C558" s="87">
        <v>7.5860000000000001E-4</v>
      </c>
      <c r="D558" s="87">
        <v>7.6990000000000001E-4</v>
      </c>
      <c r="E558" s="231">
        <v>313732.09000000003</v>
      </c>
      <c r="F558" s="231">
        <v>345527</v>
      </c>
      <c r="G558" s="231">
        <v>1610003</v>
      </c>
      <c r="H558" s="231"/>
      <c r="I558" s="232">
        <v>30249</v>
      </c>
      <c r="J558" s="232">
        <v>1410876</v>
      </c>
      <c r="K558" s="232">
        <v>110271</v>
      </c>
      <c r="L558" s="231">
        <v>31021</v>
      </c>
      <c r="M558" s="231"/>
      <c r="N558" s="232">
        <v>56416</v>
      </c>
      <c r="O558" s="232">
        <v>520747</v>
      </c>
      <c r="P558" s="232">
        <v>0</v>
      </c>
      <c r="Q558" s="231">
        <v>4721</v>
      </c>
      <c r="R558" s="232">
        <f t="shared" si="8"/>
        <v>890129</v>
      </c>
      <c r="S558" s="231"/>
      <c r="T558" s="232">
        <v>430330</v>
      </c>
      <c r="U558" s="233">
        <v>11900</v>
      </c>
      <c r="V558" s="233">
        <v>442230</v>
      </c>
    </row>
    <row r="559" spans="1:22">
      <c r="A559" s="226">
        <v>96102</v>
      </c>
      <c r="B559" s="227" t="s">
        <v>1266</v>
      </c>
      <c r="C559" s="87">
        <v>1.42E-5</v>
      </c>
      <c r="D559" s="87">
        <v>1.3699999999999999E-5</v>
      </c>
      <c r="E559" s="231">
        <v>4769.91</v>
      </c>
      <c r="F559" s="231">
        <v>6148</v>
      </c>
      <c r="G559" s="231">
        <v>30137</v>
      </c>
      <c r="H559" s="231"/>
      <c r="I559" s="232">
        <v>566.22500000000002</v>
      </c>
      <c r="J559" s="232">
        <v>26410</v>
      </c>
      <c r="K559" s="232">
        <v>2064</v>
      </c>
      <c r="L559" s="231">
        <v>0</v>
      </c>
      <c r="M559" s="231"/>
      <c r="N559" s="232">
        <v>1056</v>
      </c>
      <c r="O559" s="232">
        <v>9748</v>
      </c>
      <c r="P559" s="232">
        <v>0</v>
      </c>
      <c r="Q559" s="231">
        <v>2903</v>
      </c>
      <c r="R559" s="232">
        <f t="shared" si="8"/>
        <v>16662</v>
      </c>
      <c r="S559" s="231"/>
      <c r="T559" s="232">
        <v>8055</v>
      </c>
      <c r="U559" s="233">
        <v>-1101</v>
      </c>
      <c r="V559" s="233">
        <v>6954</v>
      </c>
    </row>
    <row r="560" spans="1:22">
      <c r="A560" s="226">
        <v>96111</v>
      </c>
      <c r="B560" s="227" t="s">
        <v>1267</v>
      </c>
      <c r="C560" s="87">
        <v>1.6119999999999999E-4</v>
      </c>
      <c r="D560" s="87">
        <v>1.616E-4</v>
      </c>
      <c r="E560" s="231">
        <v>70991.37</v>
      </c>
      <c r="F560" s="231">
        <v>72525</v>
      </c>
      <c r="G560" s="231">
        <v>342120</v>
      </c>
      <c r="H560" s="231"/>
      <c r="I560" s="232">
        <v>6428</v>
      </c>
      <c r="J560" s="232">
        <v>299807</v>
      </c>
      <c r="K560" s="232">
        <v>23432</v>
      </c>
      <c r="L560" s="231">
        <v>16577</v>
      </c>
      <c r="M560" s="231"/>
      <c r="N560" s="232">
        <v>11988</v>
      </c>
      <c r="O560" s="232">
        <v>110657</v>
      </c>
      <c r="P560" s="232">
        <v>0</v>
      </c>
      <c r="Q560" s="231">
        <v>0</v>
      </c>
      <c r="R560" s="232">
        <f t="shared" si="8"/>
        <v>189150</v>
      </c>
      <c r="S560" s="231"/>
      <c r="T560" s="232">
        <v>91444</v>
      </c>
      <c r="U560" s="233">
        <v>7175</v>
      </c>
      <c r="V560" s="233">
        <v>98618</v>
      </c>
    </row>
    <row r="561" spans="1:22">
      <c r="A561" s="226">
        <v>96121</v>
      </c>
      <c r="B561" s="227" t="s">
        <v>1268</v>
      </c>
      <c r="C561" s="87">
        <v>2.2099999999999998E-5</v>
      </c>
      <c r="D561" s="87">
        <v>1.9199999999999999E-5</v>
      </c>
      <c r="E561" s="231">
        <v>7784.73</v>
      </c>
      <c r="F561" s="231">
        <v>8617</v>
      </c>
      <c r="G561" s="231">
        <v>46904</v>
      </c>
      <c r="H561" s="231"/>
      <c r="I561" s="232">
        <v>881.23749999999995</v>
      </c>
      <c r="J561" s="232">
        <v>41103</v>
      </c>
      <c r="K561" s="232">
        <v>3212</v>
      </c>
      <c r="L561" s="231">
        <v>535</v>
      </c>
      <c r="M561" s="231"/>
      <c r="N561" s="232">
        <v>1644</v>
      </c>
      <c r="O561" s="232">
        <v>15171</v>
      </c>
      <c r="P561" s="232">
        <v>0</v>
      </c>
      <c r="Q561" s="231">
        <v>1907</v>
      </c>
      <c r="R561" s="232">
        <f t="shared" si="8"/>
        <v>25932</v>
      </c>
      <c r="S561" s="231"/>
      <c r="T561" s="232">
        <v>12537</v>
      </c>
      <c r="U561" s="233">
        <v>-758</v>
      </c>
      <c r="V561" s="233">
        <v>11779</v>
      </c>
    </row>
    <row r="562" spans="1:22">
      <c r="A562" s="226">
        <v>96201</v>
      </c>
      <c r="B562" s="227" t="s">
        <v>1269</v>
      </c>
      <c r="C562" s="87">
        <v>1.2302999999999999E-3</v>
      </c>
      <c r="D562" s="87">
        <v>1.2474000000000001E-3</v>
      </c>
      <c r="E562" s="231">
        <v>481242.57</v>
      </c>
      <c r="F562" s="231">
        <v>559826</v>
      </c>
      <c r="G562" s="231">
        <v>2611109</v>
      </c>
      <c r="H562" s="231"/>
      <c r="I562" s="232">
        <v>49058</v>
      </c>
      <c r="J562" s="232">
        <v>2288164</v>
      </c>
      <c r="K562" s="232">
        <v>178838</v>
      </c>
      <c r="L562" s="231">
        <v>0</v>
      </c>
      <c r="M562" s="231"/>
      <c r="N562" s="232">
        <v>91496</v>
      </c>
      <c r="O562" s="232">
        <v>844549</v>
      </c>
      <c r="P562" s="232">
        <v>0</v>
      </c>
      <c r="Q562" s="231">
        <v>39692</v>
      </c>
      <c r="R562" s="232">
        <f t="shared" si="8"/>
        <v>1443615</v>
      </c>
      <c r="S562" s="231"/>
      <c r="T562" s="232">
        <v>697911</v>
      </c>
      <c r="U562" s="233">
        <v>-11921</v>
      </c>
      <c r="V562" s="233">
        <v>685990</v>
      </c>
    </row>
    <row r="563" spans="1:22">
      <c r="A563" s="226">
        <v>96204</v>
      </c>
      <c r="B563" s="227" t="s">
        <v>1270</v>
      </c>
      <c r="C563" s="87">
        <v>1.5400000000000002E-5</v>
      </c>
      <c r="D563" s="87">
        <v>1.49E-5</v>
      </c>
      <c r="E563" s="231">
        <v>7656.0400000000009</v>
      </c>
      <c r="F563" s="231">
        <v>6687</v>
      </c>
      <c r="G563" s="231">
        <v>32684</v>
      </c>
      <c r="H563" s="231"/>
      <c r="I563" s="232">
        <v>614</v>
      </c>
      <c r="J563" s="232">
        <v>28642</v>
      </c>
      <c r="K563" s="232">
        <v>2239</v>
      </c>
      <c r="L563" s="231">
        <v>3853</v>
      </c>
      <c r="M563" s="231"/>
      <c r="N563" s="232">
        <v>1145</v>
      </c>
      <c r="O563" s="232">
        <v>10571</v>
      </c>
      <c r="P563" s="232">
        <v>0</v>
      </c>
      <c r="Q563" s="231">
        <v>0</v>
      </c>
      <c r="R563" s="232">
        <f t="shared" si="8"/>
        <v>18071</v>
      </c>
      <c r="S563" s="231"/>
      <c r="T563" s="232">
        <v>8736</v>
      </c>
      <c r="U563" s="233">
        <v>1392</v>
      </c>
      <c r="V563" s="233">
        <v>10127</v>
      </c>
    </row>
    <row r="564" spans="1:22">
      <c r="A564" s="226">
        <v>96211</v>
      </c>
      <c r="B564" s="227" t="s">
        <v>1271</v>
      </c>
      <c r="C564" s="87">
        <v>3.0700000000000001E-5</v>
      </c>
      <c r="D564" s="87">
        <v>2.7399999999999999E-5</v>
      </c>
      <c r="E564" s="231">
        <v>14055.49</v>
      </c>
      <c r="F564" s="231">
        <v>12297</v>
      </c>
      <c r="G564" s="231">
        <v>65156</v>
      </c>
      <c r="H564" s="231"/>
      <c r="I564" s="232">
        <v>1224</v>
      </c>
      <c r="J564" s="232">
        <v>57097</v>
      </c>
      <c r="K564" s="232">
        <v>4463</v>
      </c>
      <c r="L564" s="231">
        <v>5441</v>
      </c>
      <c r="M564" s="231"/>
      <c r="N564" s="232">
        <v>2283</v>
      </c>
      <c r="O564" s="232">
        <v>21074</v>
      </c>
      <c r="P564" s="232">
        <v>0</v>
      </c>
      <c r="Q564" s="231">
        <v>8968.93</v>
      </c>
      <c r="R564" s="232">
        <f t="shared" si="8"/>
        <v>36023</v>
      </c>
      <c r="S564" s="231"/>
      <c r="T564" s="232">
        <v>17415</v>
      </c>
      <c r="U564" s="233">
        <v>-2857</v>
      </c>
      <c r="V564" s="233">
        <v>14558</v>
      </c>
    </row>
    <row r="565" spans="1:22">
      <c r="A565" s="226">
        <v>96221</v>
      </c>
      <c r="B565" s="227" t="s">
        <v>1272</v>
      </c>
      <c r="C565" s="87">
        <v>2.287E-4</v>
      </c>
      <c r="D565" s="87">
        <v>2.3719999999999999E-4</v>
      </c>
      <c r="E565" s="231">
        <v>88753.9</v>
      </c>
      <c r="F565" s="231">
        <v>106454</v>
      </c>
      <c r="G565" s="231">
        <v>485378</v>
      </c>
      <c r="H565" s="231"/>
      <c r="I565" s="232">
        <v>9119</v>
      </c>
      <c r="J565" s="232">
        <v>425346</v>
      </c>
      <c r="K565" s="232">
        <v>33244</v>
      </c>
      <c r="L565" s="231">
        <v>4903</v>
      </c>
      <c r="M565" s="231"/>
      <c r="N565" s="232">
        <v>17008</v>
      </c>
      <c r="O565" s="232">
        <v>156993</v>
      </c>
      <c r="P565" s="232">
        <v>0</v>
      </c>
      <c r="Q565" s="231">
        <v>16105</v>
      </c>
      <c r="R565" s="232">
        <f t="shared" si="8"/>
        <v>268353</v>
      </c>
      <c r="S565" s="231"/>
      <c r="T565" s="232">
        <v>129734</v>
      </c>
      <c r="U565" s="233">
        <v>-2405</v>
      </c>
      <c r="V565" s="233">
        <v>127329</v>
      </c>
    </row>
    <row r="566" spans="1:22">
      <c r="A566" s="226">
        <v>96231</v>
      </c>
      <c r="B566" s="227" t="s">
        <v>1273</v>
      </c>
      <c r="C566" s="87">
        <v>1.145E-4</v>
      </c>
      <c r="D566" s="87">
        <v>1.2420000000000001E-4</v>
      </c>
      <c r="E566" s="231">
        <v>40508.479999999996</v>
      </c>
      <c r="F566" s="231">
        <v>55740</v>
      </c>
      <c r="G566" s="231">
        <v>243007</v>
      </c>
      <c r="H566" s="231"/>
      <c r="I566" s="232">
        <v>4565.6875</v>
      </c>
      <c r="J566" s="232">
        <v>212952</v>
      </c>
      <c r="K566" s="232">
        <v>16644</v>
      </c>
      <c r="L566" s="231">
        <v>0</v>
      </c>
      <c r="M566" s="231"/>
      <c r="N566" s="232">
        <v>8515</v>
      </c>
      <c r="O566" s="232">
        <v>78599</v>
      </c>
      <c r="P566" s="232">
        <v>0</v>
      </c>
      <c r="Q566" s="231">
        <v>22692</v>
      </c>
      <c r="R566" s="232">
        <f t="shared" si="8"/>
        <v>134353</v>
      </c>
      <c r="S566" s="231"/>
      <c r="T566" s="232">
        <v>64952</v>
      </c>
      <c r="U566" s="233">
        <v>-7733</v>
      </c>
      <c r="V566" s="233">
        <v>57219</v>
      </c>
    </row>
    <row r="567" spans="1:22">
      <c r="A567" s="226">
        <v>96241</v>
      </c>
      <c r="B567" s="227" t="s">
        <v>1274</v>
      </c>
      <c r="C567" s="87">
        <v>4.6100000000000002E-5</v>
      </c>
      <c r="D567" s="87">
        <v>5.7000000000000003E-5</v>
      </c>
      <c r="E567" s="231">
        <v>18964.25</v>
      </c>
      <c r="F567" s="231">
        <v>25581</v>
      </c>
      <c r="G567" s="231">
        <v>97840</v>
      </c>
      <c r="H567" s="231"/>
      <c r="I567" s="232">
        <v>1838</v>
      </c>
      <c r="J567" s="232">
        <v>85739</v>
      </c>
      <c r="K567" s="232">
        <v>6701</v>
      </c>
      <c r="L567" s="231">
        <v>7866</v>
      </c>
      <c r="M567" s="231"/>
      <c r="N567" s="232">
        <v>3428</v>
      </c>
      <c r="O567" s="232">
        <v>31646</v>
      </c>
      <c r="P567" s="232">
        <v>0</v>
      </c>
      <c r="Q567" s="231">
        <v>5900</v>
      </c>
      <c r="R567" s="232">
        <f t="shared" si="8"/>
        <v>54093</v>
      </c>
      <c r="S567" s="231"/>
      <c r="T567" s="232">
        <v>26151</v>
      </c>
      <c r="U567" s="233">
        <v>2187</v>
      </c>
      <c r="V567" s="233">
        <v>28338</v>
      </c>
    </row>
    <row r="568" spans="1:22">
      <c r="A568" s="226">
        <v>96251</v>
      </c>
      <c r="B568" s="227" t="s">
        <v>1275</v>
      </c>
      <c r="C568" s="87">
        <v>7.7100000000000004E-5</v>
      </c>
      <c r="D568" s="87">
        <v>9.0699999999999996E-5</v>
      </c>
      <c r="E568" s="231">
        <v>29404.75</v>
      </c>
      <c r="F568" s="231">
        <v>40706</v>
      </c>
      <c r="G568" s="231">
        <v>163632</v>
      </c>
      <c r="H568" s="231"/>
      <c r="I568" s="232">
        <v>3074</v>
      </c>
      <c r="J568" s="232">
        <v>143394</v>
      </c>
      <c r="K568" s="232">
        <v>11207</v>
      </c>
      <c r="L568" s="231">
        <v>0</v>
      </c>
      <c r="M568" s="231"/>
      <c r="N568" s="232">
        <v>5734</v>
      </c>
      <c r="O568" s="232">
        <v>52926</v>
      </c>
      <c r="P568" s="232">
        <v>0</v>
      </c>
      <c r="Q568" s="231">
        <v>25538</v>
      </c>
      <c r="R568" s="232">
        <f t="shared" si="8"/>
        <v>90468</v>
      </c>
      <c r="S568" s="231"/>
      <c r="T568" s="232">
        <v>43736</v>
      </c>
      <c r="U568" s="233">
        <v>-8652</v>
      </c>
      <c r="V568" s="233">
        <v>35085</v>
      </c>
    </row>
    <row r="569" spans="1:22">
      <c r="A569" s="226">
        <v>96301</v>
      </c>
      <c r="B569" s="227" t="s">
        <v>1276</v>
      </c>
      <c r="C569" s="87">
        <v>4.3785999999999999E-3</v>
      </c>
      <c r="D569" s="87">
        <v>4.5367999999999997E-3</v>
      </c>
      <c r="E569" s="231">
        <v>1765528.9300000002</v>
      </c>
      <c r="F569" s="231">
        <v>2036089</v>
      </c>
      <c r="G569" s="231">
        <v>9292856</v>
      </c>
      <c r="H569" s="231"/>
      <c r="I569" s="232">
        <v>174597</v>
      </c>
      <c r="J569" s="232">
        <v>8143504</v>
      </c>
      <c r="K569" s="232">
        <v>636478</v>
      </c>
      <c r="L569" s="231">
        <v>94185</v>
      </c>
      <c r="M569" s="231"/>
      <c r="N569" s="232">
        <v>325632</v>
      </c>
      <c r="O569" s="232">
        <v>3005725</v>
      </c>
      <c r="P569" s="232">
        <v>0</v>
      </c>
      <c r="Q569" s="231">
        <v>147101</v>
      </c>
      <c r="R569" s="232">
        <f t="shared" si="8"/>
        <v>5137779</v>
      </c>
      <c r="S569" s="231"/>
      <c r="T569" s="232">
        <v>2483844</v>
      </c>
      <c r="U569" s="233">
        <v>-12863</v>
      </c>
      <c r="V569" s="233">
        <v>2470981</v>
      </c>
    </row>
    <row r="570" spans="1:22">
      <c r="A570" s="226">
        <v>96302</v>
      </c>
      <c r="B570" s="227" t="s">
        <v>1277</v>
      </c>
      <c r="C570" s="87">
        <v>1.9199999999999999E-5</v>
      </c>
      <c r="D570" s="87">
        <v>1.42E-5</v>
      </c>
      <c r="E570" s="231">
        <v>6636.09</v>
      </c>
      <c r="F570" s="231">
        <v>6373</v>
      </c>
      <c r="G570" s="231">
        <v>40749</v>
      </c>
      <c r="H570" s="231"/>
      <c r="I570" s="232">
        <v>766</v>
      </c>
      <c r="J570" s="232">
        <v>35709</v>
      </c>
      <c r="K570" s="232">
        <v>2791</v>
      </c>
      <c r="L570" s="231">
        <v>4449</v>
      </c>
      <c r="M570" s="231"/>
      <c r="N570" s="232">
        <v>1428</v>
      </c>
      <c r="O570" s="232">
        <v>13180</v>
      </c>
      <c r="P570" s="232">
        <v>0</v>
      </c>
      <c r="Q570" s="231">
        <v>0</v>
      </c>
      <c r="R570" s="232">
        <f t="shared" si="8"/>
        <v>22529</v>
      </c>
      <c r="S570" s="231"/>
      <c r="T570" s="232">
        <v>10892</v>
      </c>
      <c r="U570" s="233">
        <v>1514</v>
      </c>
      <c r="V570" s="233">
        <v>12406</v>
      </c>
    </row>
    <row r="571" spans="1:22">
      <c r="A571" s="226">
        <v>96304</v>
      </c>
      <c r="B571" s="227" t="s">
        <v>1278</v>
      </c>
      <c r="C571" s="87">
        <v>5.4599999999999999E-5</v>
      </c>
      <c r="D571" s="87">
        <v>5.24E-5</v>
      </c>
      <c r="E571" s="231">
        <v>25715.360000000001</v>
      </c>
      <c r="F571" s="231">
        <v>23517</v>
      </c>
      <c r="G571" s="231">
        <v>115879</v>
      </c>
      <c r="H571" s="231"/>
      <c r="I571" s="232">
        <v>2177</v>
      </c>
      <c r="J571" s="232">
        <v>101547</v>
      </c>
      <c r="K571" s="232">
        <v>7937</v>
      </c>
      <c r="L571" s="231">
        <v>7913</v>
      </c>
      <c r="M571" s="231"/>
      <c r="N571" s="232">
        <v>4061</v>
      </c>
      <c r="O571" s="232">
        <v>37481</v>
      </c>
      <c r="P571" s="232">
        <v>0</v>
      </c>
      <c r="Q571" s="231">
        <v>231</v>
      </c>
      <c r="R571" s="232">
        <f t="shared" si="8"/>
        <v>64066</v>
      </c>
      <c r="S571" s="231"/>
      <c r="T571" s="232">
        <v>30973</v>
      </c>
      <c r="U571" s="233">
        <v>2329</v>
      </c>
      <c r="V571" s="233">
        <v>33302</v>
      </c>
    </row>
    <row r="572" spans="1:22">
      <c r="A572" s="226">
        <v>96305</v>
      </c>
      <c r="B572" s="227" t="s">
        <v>1279</v>
      </c>
      <c r="C572" s="87">
        <v>4.8199999999999999E-5</v>
      </c>
      <c r="D572" s="87">
        <v>5.0399999999999999E-5</v>
      </c>
      <c r="E572" s="231">
        <v>28361.089999999997</v>
      </c>
      <c r="F572" s="231">
        <v>22619</v>
      </c>
      <c r="G572" s="231">
        <v>102297</v>
      </c>
      <c r="H572" s="231"/>
      <c r="I572" s="232">
        <v>1921.9749999999999</v>
      </c>
      <c r="J572" s="232">
        <v>89644</v>
      </c>
      <c r="K572" s="232">
        <v>7006</v>
      </c>
      <c r="L572" s="231">
        <v>10711</v>
      </c>
      <c r="M572" s="231"/>
      <c r="N572" s="232">
        <v>3585</v>
      </c>
      <c r="O572" s="232">
        <v>33087</v>
      </c>
      <c r="P572" s="232">
        <v>0</v>
      </c>
      <c r="Q572" s="231">
        <v>0</v>
      </c>
      <c r="R572" s="232">
        <f t="shared" si="8"/>
        <v>56557</v>
      </c>
      <c r="S572" s="231"/>
      <c r="T572" s="232">
        <v>27342</v>
      </c>
      <c r="U572" s="233">
        <v>3278</v>
      </c>
      <c r="V572" s="233">
        <v>30620</v>
      </c>
    </row>
    <row r="573" spans="1:22">
      <c r="A573" s="226">
        <v>96310</v>
      </c>
      <c r="B573" s="227" t="s">
        <v>1280</v>
      </c>
      <c r="C573" s="87">
        <v>4.88E-5</v>
      </c>
      <c r="D573" s="87">
        <v>6.1299999999999999E-5</v>
      </c>
      <c r="E573" s="231">
        <v>23402.659999999996</v>
      </c>
      <c r="F573" s="231">
        <v>27511</v>
      </c>
      <c r="G573" s="231">
        <v>103570</v>
      </c>
      <c r="H573" s="231"/>
      <c r="I573" s="232">
        <v>1945.9</v>
      </c>
      <c r="J573" s="232">
        <v>90760</v>
      </c>
      <c r="K573" s="232">
        <v>7094</v>
      </c>
      <c r="L573" s="231">
        <v>6056</v>
      </c>
      <c r="M573" s="231"/>
      <c r="N573" s="232">
        <v>3629</v>
      </c>
      <c r="O573" s="232">
        <v>33499</v>
      </c>
      <c r="P573" s="232">
        <v>0</v>
      </c>
      <c r="Q573" s="231">
        <v>4123</v>
      </c>
      <c r="R573" s="232">
        <f t="shared" si="8"/>
        <v>57261</v>
      </c>
      <c r="S573" s="231"/>
      <c r="T573" s="232">
        <v>27683</v>
      </c>
      <c r="U573" s="233">
        <v>1701</v>
      </c>
      <c r="V573" s="233">
        <v>29384</v>
      </c>
    </row>
    <row r="574" spans="1:22">
      <c r="A574" s="226">
        <v>96311</v>
      </c>
      <c r="B574" s="227" t="s">
        <v>1281</v>
      </c>
      <c r="C574" s="87">
        <v>1.4082999999999999E-3</v>
      </c>
      <c r="D574" s="87">
        <v>1.4383E-3</v>
      </c>
      <c r="E574" s="231">
        <v>512325.3</v>
      </c>
      <c r="F574" s="231">
        <v>645500</v>
      </c>
      <c r="G574" s="231">
        <v>2988884</v>
      </c>
      <c r="H574" s="231"/>
      <c r="I574" s="232">
        <v>56156</v>
      </c>
      <c r="J574" s="232">
        <v>2619215</v>
      </c>
      <c r="K574" s="232">
        <v>204712</v>
      </c>
      <c r="L574" s="231">
        <v>22194.47</v>
      </c>
      <c r="M574" s="231"/>
      <c r="N574" s="232">
        <v>104734</v>
      </c>
      <c r="O574" s="232">
        <v>966739</v>
      </c>
      <c r="P574" s="232">
        <v>0</v>
      </c>
      <c r="Q574" s="231">
        <v>96281</v>
      </c>
      <c r="R574" s="232">
        <f t="shared" si="8"/>
        <v>1652476</v>
      </c>
      <c r="S574" s="231"/>
      <c r="T574" s="232">
        <v>798885</v>
      </c>
      <c r="U574" s="233">
        <v>-16365</v>
      </c>
      <c r="V574" s="233">
        <v>782520</v>
      </c>
    </row>
    <row r="575" spans="1:22">
      <c r="A575" s="226">
        <v>96312</v>
      </c>
      <c r="B575" s="227" t="s">
        <v>1282</v>
      </c>
      <c r="C575" s="87">
        <v>1.5999999999999999E-6</v>
      </c>
      <c r="D575" s="87">
        <v>4.7999999999999998E-6</v>
      </c>
      <c r="E575" s="231">
        <v>1991.6599999999999</v>
      </c>
      <c r="F575" s="231">
        <v>2154</v>
      </c>
      <c r="G575" s="231">
        <v>3396</v>
      </c>
      <c r="H575" s="231"/>
      <c r="I575" s="232">
        <v>63.8</v>
      </c>
      <c r="J575" s="232">
        <v>2976</v>
      </c>
      <c r="K575" s="232">
        <v>233</v>
      </c>
      <c r="L575" s="231">
        <v>51</v>
      </c>
      <c r="M575" s="231"/>
      <c r="N575" s="232">
        <v>119</v>
      </c>
      <c r="O575" s="232">
        <v>1098</v>
      </c>
      <c r="P575" s="232">
        <v>0</v>
      </c>
      <c r="Q575" s="231">
        <v>3416</v>
      </c>
      <c r="R575" s="232">
        <f t="shared" si="8"/>
        <v>1878</v>
      </c>
      <c r="S575" s="231"/>
      <c r="T575" s="232">
        <v>908</v>
      </c>
      <c r="U575" s="233">
        <v>-1534</v>
      </c>
      <c r="V575" s="233">
        <v>-627</v>
      </c>
    </row>
    <row r="576" spans="1:22">
      <c r="A576" s="226">
        <v>96318</v>
      </c>
      <c r="B576" s="227" t="s">
        <v>1283</v>
      </c>
      <c r="C576" s="87">
        <v>1.7782E-3</v>
      </c>
      <c r="D576" s="87">
        <v>0</v>
      </c>
      <c r="E576" s="231">
        <v>12089019.32</v>
      </c>
      <c r="F576" s="231">
        <v>0</v>
      </c>
      <c r="G576" s="231">
        <v>3773936</v>
      </c>
      <c r="H576" s="231"/>
      <c r="I576" s="232">
        <v>70906</v>
      </c>
      <c r="J576" s="232">
        <v>3307171</v>
      </c>
      <c r="K576" s="232">
        <v>258481</v>
      </c>
      <c r="L576" s="231">
        <v>9984043</v>
      </c>
      <c r="M576" s="231"/>
      <c r="N576" s="232">
        <v>132243</v>
      </c>
      <c r="O576" s="232">
        <v>1220660</v>
      </c>
      <c r="P576" s="232">
        <v>0</v>
      </c>
      <c r="Q576" s="231">
        <v>0</v>
      </c>
      <c r="R576" s="232">
        <f t="shared" si="8"/>
        <v>2086511</v>
      </c>
      <c r="S576" s="231"/>
      <c r="T576" s="232">
        <v>1008718</v>
      </c>
      <c r="U576" s="233">
        <v>2586540</v>
      </c>
      <c r="V576" s="233">
        <v>3595257</v>
      </c>
    </row>
    <row r="577" spans="1:22">
      <c r="A577" s="226">
        <v>96321</v>
      </c>
      <c r="B577" s="227" t="s">
        <v>1284</v>
      </c>
      <c r="C577" s="87">
        <v>3.7400000000000001E-5</v>
      </c>
      <c r="D577" s="87">
        <v>3.9700000000000003E-5</v>
      </c>
      <c r="E577" s="231">
        <v>13314.68</v>
      </c>
      <c r="F577" s="231">
        <v>17817</v>
      </c>
      <c r="G577" s="231">
        <v>79375</v>
      </c>
      <c r="H577" s="231"/>
      <c r="I577" s="232">
        <v>1491.325</v>
      </c>
      <c r="J577" s="232">
        <v>69558</v>
      </c>
      <c r="K577" s="232">
        <v>5437</v>
      </c>
      <c r="L577" s="231">
        <v>837</v>
      </c>
      <c r="M577" s="231"/>
      <c r="N577" s="232">
        <v>2781</v>
      </c>
      <c r="O577" s="232">
        <v>25674</v>
      </c>
      <c r="P577" s="232">
        <v>0</v>
      </c>
      <c r="Q577" s="231">
        <v>3510</v>
      </c>
      <c r="R577" s="232">
        <f t="shared" si="8"/>
        <v>43884</v>
      </c>
      <c r="S577" s="231"/>
      <c r="T577" s="232">
        <v>21216</v>
      </c>
      <c r="U577" s="233">
        <v>-764</v>
      </c>
      <c r="V577" s="233">
        <v>20452</v>
      </c>
    </row>
    <row r="578" spans="1:22">
      <c r="A578" s="226">
        <v>96331</v>
      </c>
      <c r="B578" s="227" t="s">
        <v>1285</v>
      </c>
      <c r="C578" s="87">
        <v>7.1699999999999997E-4</v>
      </c>
      <c r="D578" s="87">
        <v>7.6110000000000001E-4</v>
      </c>
      <c r="E578" s="231">
        <v>265185.34000000003</v>
      </c>
      <c r="F578" s="231">
        <v>341577</v>
      </c>
      <c r="G578" s="231">
        <v>1521714</v>
      </c>
      <c r="H578" s="231"/>
      <c r="I578" s="232">
        <v>28590.375</v>
      </c>
      <c r="J578" s="232">
        <v>1333507</v>
      </c>
      <c r="K578" s="232">
        <v>104224</v>
      </c>
      <c r="L578" s="231">
        <v>4814</v>
      </c>
      <c r="M578" s="231"/>
      <c r="N578" s="232">
        <v>53323</v>
      </c>
      <c r="O578" s="232">
        <v>492190</v>
      </c>
      <c r="P578" s="232">
        <v>0</v>
      </c>
      <c r="Q578" s="231">
        <v>66351</v>
      </c>
      <c r="R578" s="232">
        <f t="shared" si="8"/>
        <v>841317</v>
      </c>
      <c r="S578" s="231"/>
      <c r="T578" s="232">
        <v>406732</v>
      </c>
      <c r="U578" s="233">
        <v>-20081</v>
      </c>
      <c r="V578" s="233">
        <v>386651</v>
      </c>
    </row>
    <row r="579" spans="1:22">
      <c r="A579" s="226">
        <v>96341</v>
      </c>
      <c r="B579" s="227" t="s">
        <v>1286</v>
      </c>
      <c r="C579" s="87">
        <v>9.1600000000000004E-5</v>
      </c>
      <c r="D579" s="87">
        <v>8.0799999999999999E-5</v>
      </c>
      <c r="E579" s="231">
        <v>32432.260000000002</v>
      </c>
      <c r="F579" s="231">
        <v>36263</v>
      </c>
      <c r="G579" s="231">
        <v>194406</v>
      </c>
      <c r="H579" s="231"/>
      <c r="I579" s="232">
        <v>3652.55</v>
      </c>
      <c r="J579" s="232">
        <v>170362</v>
      </c>
      <c r="K579" s="232">
        <v>13315</v>
      </c>
      <c r="L579" s="231">
        <v>13221</v>
      </c>
      <c r="M579" s="231"/>
      <c r="N579" s="232">
        <v>6812</v>
      </c>
      <c r="O579" s="232">
        <v>62880</v>
      </c>
      <c r="P579" s="232">
        <v>0</v>
      </c>
      <c r="Q579" s="231">
        <v>11187.78</v>
      </c>
      <c r="R579" s="232">
        <f t="shared" si="8"/>
        <v>107482</v>
      </c>
      <c r="S579" s="231"/>
      <c r="T579" s="232">
        <v>51962</v>
      </c>
      <c r="U579" s="233">
        <v>-1095</v>
      </c>
      <c r="V579" s="233">
        <v>50867</v>
      </c>
    </row>
    <row r="580" spans="1:22">
      <c r="A580" s="226">
        <v>96351</v>
      </c>
      <c r="B580" s="227" t="s">
        <v>1287</v>
      </c>
      <c r="C580" s="87">
        <v>1.0736000000000001E-3</v>
      </c>
      <c r="D580" s="87">
        <v>1.0939999999999999E-3</v>
      </c>
      <c r="E580" s="231">
        <v>419131.13999999996</v>
      </c>
      <c r="F580" s="231">
        <v>490981</v>
      </c>
      <c r="G580" s="231">
        <v>2278539</v>
      </c>
      <c r="H580" s="231"/>
      <c r="I580" s="232">
        <v>42809.8</v>
      </c>
      <c r="J580" s="232">
        <v>1996726</v>
      </c>
      <c r="K580" s="232">
        <v>156060</v>
      </c>
      <c r="L580" s="231">
        <v>9467</v>
      </c>
      <c r="M580" s="231"/>
      <c r="N580" s="232">
        <v>79843</v>
      </c>
      <c r="O580" s="232">
        <v>736981</v>
      </c>
      <c r="P580" s="232">
        <v>0</v>
      </c>
      <c r="Q580" s="231">
        <v>28826</v>
      </c>
      <c r="R580" s="232">
        <f t="shared" si="8"/>
        <v>1259745</v>
      </c>
      <c r="S580" s="231"/>
      <c r="T580" s="232">
        <v>609020</v>
      </c>
      <c r="U580" s="233">
        <v>-3422</v>
      </c>
      <c r="V580" s="233">
        <v>605598</v>
      </c>
    </row>
    <row r="581" spans="1:22">
      <c r="A581" s="226">
        <v>96361</v>
      </c>
      <c r="B581" s="227" t="s">
        <v>1288</v>
      </c>
      <c r="C581" s="87">
        <v>5.8900000000000002E-5</v>
      </c>
      <c r="D581" s="87">
        <v>4.8999999999999998E-5</v>
      </c>
      <c r="E581" s="231">
        <v>21510.870000000003</v>
      </c>
      <c r="F581" s="231">
        <v>21991</v>
      </c>
      <c r="G581" s="231">
        <v>125006</v>
      </c>
      <c r="H581" s="231"/>
      <c r="I581" s="232">
        <v>2349</v>
      </c>
      <c r="J581" s="232">
        <v>109545</v>
      </c>
      <c r="K581" s="232">
        <v>8562</v>
      </c>
      <c r="L581" s="231">
        <v>5269</v>
      </c>
      <c r="M581" s="231"/>
      <c r="N581" s="232">
        <v>4380</v>
      </c>
      <c r="O581" s="232">
        <v>40432</v>
      </c>
      <c r="P581" s="232">
        <v>0</v>
      </c>
      <c r="Q581" s="231">
        <v>390</v>
      </c>
      <c r="R581" s="232">
        <f t="shared" si="8"/>
        <v>69113</v>
      </c>
      <c r="S581" s="231"/>
      <c r="T581" s="232">
        <v>33412</v>
      </c>
      <c r="U581" s="233">
        <v>1728</v>
      </c>
      <c r="V581" s="233">
        <v>35140</v>
      </c>
    </row>
    <row r="582" spans="1:22">
      <c r="A582" s="226">
        <v>96371</v>
      </c>
      <c r="B582" s="227" t="s">
        <v>1289</v>
      </c>
      <c r="C582" s="87">
        <v>1.6359999999999999E-4</v>
      </c>
      <c r="D582" s="87">
        <v>1.6760000000000001E-4</v>
      </c>
      <c r="E582" s="231">
        <v>62916.799999999988</v>
      </c>
      <c r="F582" s="231">
        <v>75218</v>
      </c>
      <c r="G582" s="231">
        <v>347214</v>
      </c>
      <c r="H582" s="231"/>
      <c r="I582" s="232">
        <v>6524</v>
      </c>
      <c r="J582" s="232">
        <v>304270</v>
      </c>
      <c r="K582" s="232">
        <v>23781</v>
      </c>
      <c r="L582" s="231">
        <v>2683</v>
      </c>
      <c r="M582" s="231"/>
      <c r="N582" s="232">
        <v>12167</v>
      </c>
      <c r="O582" s="232">
        <v>112305</v>
      </c>
      <c r="P582" s="232">
        <v>0</v>
      </c>
      <c r="Q582" s="231">
        <v>7435</v>
      </c>
      <c r="R582" s="232">
        <f t="shared" si="8"/>
        <v>191965</v>
      </c>
      <c r="S582" s="231"/>
      <c r="T582" s="232">
        <v>92805</v>
      </c>
      <c r="U582" s="233">
        <v>-750</v>
      </c>
      <c r="V582" s="233">
        <v>92055</v>
      </c>
    </row>
    <row r="583" spans="1:22">
      <c r="A583" s="226">
        <v>96381</v>
      </c>
      <c r="B583" s="227" t="s">
        <v>1290</v>
      </c>
      <c r="C583" s="87">
        <v>3.26E-5</v>
      </c>
      <c r="D583" s="87">
        <v>2.9600000000000001E-5</v>
      </c>
      <c r="E583" s="231">
        <v>11485.45</v>
      </c>
      <c r="F583" s="231">
        <v>13284</v>
      </c>
      <c r="G583" s="231">
        <v>69188</v>
      </c>
      <c r="H583" s="231"/>
      <c r="I583" s="232">
        <v>1299.925</v>
      </c>
      <c r="J583" s="232">
        <v>60631</v>
      </c>
      <c r="K583" s="232">
        <v>4739</v>
      </c>
      <c r="L583" s="231">
        <v>99</v>
      </c>
      <c r="M583" s="231"/>
      <c r="N583" s="232">
        <v>2424</v>
      </c>
      <c r="O583" s="232">
        <v>22379</v>
      </c>
      <c r="P583" s="232">
        <v>0</v>
      </c>
      <c r="Q583" s="231">
        <v>3089</v>
      </c>
      <c r="R583" s="232">
        <f t="shared" si="8"/>
        <v>38252</v>
      </c>
      <c r="S583" s="231"/>
      <c r="T583" s="232">
        <v>18493</v>
      </c>
      <c r="U583" s="233">
        <v>-1205</v>
      </c>
      <c r="V583" s="233">
        <v>17288</v>
      </c>
    </row>
    <row r="584" spans="1:22">
      <c r="A584" s="226">
        <v>96391</v>
      </c>
      <c r="B584" s="227" t="s">
        <v>1291</v>
      </c>
      <c r="C584" s="87">
        <v>1.807E-4</v>
      </c>
      <c r="D584" s="87">
        <v>1.9450000000000001E-4</v>
      </c>
      <c r="E584" s="231">
        <v>66063.039999999994</v>
      </c>
      <c r="F584" s="231">
        <v>87290</v>
      </c>
      <c r="G584" s="231">
        <v>383506</v>
      </c>
      <c r="H584" s="231"/>
      <c r="I584" s="232">
        <v>7205</v>
      </c>
      <c r="J584" s="232">
        <v>336073</v>
      </c>
      <c r="K584" s="232">
        <v>26267</v>
      </c>
      <c r="L584" s="231">
        <v>19760.7</v>
      </c>
      <c r="M584" s="231"/>
      <c r="N584" s="232">
        <v>13438</v>
      </c>
      <c r="O584" s="232">
        <v>124043</v>
      </c>
      <c r="P584" s="232">
        <v>0</v>
      </c>
      <c r="Q584" s="231">
        <v>26107</v>
      </c>
      <c r="R584" s="232">
        <f t="shared" si="8"/>
        <v>212030</v>
      </c>
      <c r="S584" s="231"/>
      <c r="T584" s="232">
        <v>102506</v>
      </c>
      <c r="U584" s="233">
        <v>2012</v>
      </c>
      <c r="V584" s="233">
        <v>104518</v>
      </c>
    </row>
    <row r="585" spans="1:22">
      <c r="A585" s="226">
        <v>96401</v>
      </c>
      <c r="B585" s="227" t="s">
        <v>1292</v>
      </c>
      <c r="C585" s="87">
        <v>4.5900000000000003E-3</v>
      </c>
      <c r="D585" s="87">
        <v>4.5434999999999998E-3</v>
      </c>
      <c r="E585" s="231">
        <v>1835552.26</v>
      </c>
      <c r="F585" s="231">
        <v>2039096</v>
      </c>
      <c r="G585" s="231">
        <v>9741518</v>
      </c>
      <c r="H585" s="231"/>
      <c r="I585" s="232">
        <v>183026.25</v>
      </c>
      <c r="J585" s="232">
        <v>8536675</v>
      </c>
      <c r="K585" s="232">
        <v>667206.99</v>
      </c>
      <c r="L585" s="231">
        <v>31898</v>
      </c>
      <c r="M585" s="231"/>
      <c r="N585" s="232">
        <v>341353.71</v>
      </c>
      <c r="O585" s="232">
        <v>3150842.22</v>
      </c>
      <c r="P585" s="232">
        <v>0</v>
      </c>
      <c r="Q585" s="231">
        <v>37434</v>
      </c>
      <c r="R585" s="232">
        <f t="shared" ref="R585:R648" si="9">IF(J585&gt;O585,J585-O585,O585-J585)</f>
        <v>5385832.7799999993</v>
      </c>
      <c r="S585" s="231"/>
      <c r="T585" s="232">
        <v>2603764.71</v>
      </c>
      <c r="U585" s="233">
        <v>4298</v>
      </c>
      <c r="V585" s="233">
        <v>2608063</v>
      </c>
    </row>
    <row r="586" spans="1:22">
      <c r="A586" s="226">
        <v>96404</v>
      </c>
      <c r="B586" s="227" t="s">
        <v>1293</v>
      </c>
      <c r="C586" s="87">
        <v>9.8800000000000003E-5</v>
      </c>
      <c r="D586" s="87">
        <v>8.92E-5</v>
      </c>
      <c r="E586" s="231">
        <v>49336.67</v>
      </c>
      <c r="F586" s="231">
        <v>40032</v>
      </c>
      <c r="G586" s="231">
        <v>209687</v>
      </c>
      <c r="H586" s="231"/>
      <c r="I586" s="232">
        <v>3939.65</v>
      </c>
      <c r="J586" s="232">
        <v>183752</v>
      </c>
      <c r="K586" s="232">
        <v>14362</v>
      </c>
      <c r="L586" s="231">
        <v>23586</v>
      </c>
      <c r="M586" s="231"/>
      <c r="N586" s="232">
        <v>7348</v>
      </c>
      <c r="O586" s="232">
        <v>67822</v>
      </c>
      <c r="P586" s="232">
        <v>0</v>
      </c>
      <c r="Q586" s="231">
        <v>0</v>
      </c>
      <c r="R586" s="232">
        <f t="shared" si="9"/>
        <v>115930</v>
      </c>
      <c r="S586" s="231"/>
      <c r="T586" s="232">
        <v>56046</v>
      </c>
      <c r="U586" s="233">
        <v>7753</v>
      </c>
      <c r="V586" s="233">
        <v>63799</v>
      </c>
    </row>
    <row r="587" spans="1:22">
      <c r="A587" s="226">
        <v>96405</v>
      </c>
      <c r="B587" s="227" t="s">
        <v>1294</v>
      </c>
      <c r="C587" s="87">
        <v>1.7760000000000001E-4</v>
      </c>
      <c r="D587" s="87">
        <v>1.942E-4</v>
      </c>
      <c r="E587" s="231">
        <v>83527.920000000013</v>
      </c>
      <c r="F587" s="231">
        <v>87156</v>
      </c>
      <c r="G587" s="231">
        <v>376927</v>
      </c>
      <c r="H587" s="231"/>
      <c r="I587" s="232">
        <v>7081.8</v>
      </c>
      <c r="J587" s="232">
        <v>330308</v>
      </c>
      <c r="K587" s="232">
        <v>25816</v>
      </c>
      <c r="L587" s="231">
        <v>15838</v>
      </c>
      <c r="M587" s="231"/>
      <c r="N587" s="232">
        <v>13208</v>
      </c>
      <c r="O587" s="232">
        <v>121915</v>
      </c>
      <c r="P587" s="232">
        <v>0</v>
      </c>
      <c r="Q587" s="231">
        <v>2411</v>
      </c>
      <c r="R587" s="232">
        <f t="shared" si="9"/>
        <v>208393</v>
      </c>
      <c r="S587" s="231"/>
      <c r="T587" s="232">
        <v>100747</v>
      </c>
      <c r="U587" s="233">
        <v>4565</v>
      </c>
      <c r="V587" s="233">
        <v>105312</v>
      </c>
    </row>
    <row r="588" spans="1:22">
      <c r="A588" s="226">
        <v>96411</v>
      </c>
      <c r="B588" s="227" t="s">
        <v>1295</v>
      </c>
      <c r="C588" s="87">
        <v>5.66E-5</v>
      </c>
      <c r="D588" s="87">
        <v>6.6699999999999995E-5</v>
      </c>
      <c r="E588" s="231">
        <v>25222.480000000003</v>
      </c>
      <c r="F588" s="231">
        <v>29935</v>
      </c>
      <c r="G588" s="231">
        <v>120124</v>
      </c>
      <c r="H588" s="231"/>
      <c r="I588" s="232">
        <v>2257</v>
      </c>
      <c r="J588" s="232">
        <v>105267</v>
      </c>
      <c r="K588" s="232">
        <v>8227</v>
      </c>
      <c r="L588" s="231">
        <v>8181</v>
      </c>
      <c r="M588" s="231"/>
      <c r="N588" s="232">
        <v>4209</v>
      </c>
      <c r="O588" s="232">
        <v>38854</v>
      </c>
      <c r="P588" s="232">
        <v>0</v>
      </c>
      <c r="Q588" s="231">
        <v>6127</v>
      </c>
      <c r="R588" s="232">
        <f t="shared" si="9"/>
        <v>66413</v>
      </c>
      <c r="S588" s="231"/>
      <c r="T588" s="232">
        <v>32107</v>
      </c>
      <c r="U588" s="233">
        <v>778</v>
      </c>
      <c r="V588" s="233">
        <v>32885</v>
      </c>
    </row>
    <row r="589" spans="1:22">
      <c r="A589" s="226">
        <v>96421</v>
      </c>
      <c r="B589" s="227" t="s">
        <v>1296</v>
      </c>
      <c r="C589" s="87">
        <v>4.2860000000000001E-4</v>
      </c>
      <c r="D589" s="87">
        <v>4.6069999999999998E-4</v>
      </c>
      <c r="E589" s="231">
        <v>149902.97</v>
      </c>
      <c r="F589" s="231">
        <v>206759</v>
      </c>
      <c r="G589" s="231">
        <v>909633</v>
      </c>
      <c r="H589" s="231"/>
      <c r="I589" s="232">
        <v>17090</v>
      </c>
      <c r="J589" s="232">
        <v>797128</v>
      </c>
      <c r="K589" s="232">
        <v>62302</v>
      </c>
      <c r="L589" s="231">
        <v>0</v>
      </c>
      <c r="M589" s="231"/>
      <c r="N589" s="232">
        <v>31875</v>
      </c>
      <c r="O589" s="232">
        <v>294216</v>
      </c>
      <c r="P589" s="232">
        <v>0</v>
      </c>
      <c r="Q589" s="231">
        <v>86301</v>
      </c>
      <c r="R589" s="232">
        <f t="shared" si="9"/>
        <v>502912</v>
      </c>
      <c r="S589" s="231"/>
      <c r="T589" s="232">
        <v>243131</v>
      </c>
      <c r="U589" s="233">
        <v>-29627</v>
      </c>
      <c r="V589" s="233">
        <v>213504</v>
      </c>
    </row>
    <row r="590" spans="1:22">
      <c r="A590" s="226">
        <v>96431</v>
      </c>
      <c r="B590" s="227" t="s">
        <v>1297</v>
      </c>
      <c r="C590" s="87">
        <v>5.6100000000000002E-5</v>
      </c>
      <c r="D590" s="87">
        <v>3.9400000000000002E-5</v>
      </c>
      <c r="E590" s="231">
        <v>22346.13</v>
      </c>
      <c r="F590" s="231">
        <v>17682</v>
      </c>
      <c r="G590" s="231">
        <v>119063</v>
      </c>
      <c r="H590" s="231"/>
      <c r="I590" s="232">
        <v>2237</v>
      </c>
      <c r="J590" s="232">
        <v>104337</v>
      </c>
      <c r="K590" s="232">
        <v>8155</v>
      </c>
      <c r="L590" s="231">
        <v>8471</v>
      </c>
      <c r="M590" s="231"/>
      <c r="N590" s="232">
        <v>4172</v>
      </c>
      <c r="O590" s="232">
        <v>38510</v>
      </c>
      <c r="P590" s="232">
        <v>0</v>
      </c>
      <c r="Q590" s="231">
        <v>4421</v>
      </c>
      <c r="R590" s="232">
        <f t="shared" si="9"/>
        <v>65827</v>
      </c>
      <c r="S590" s="231"/>
      <c r="T590" s="232">
        <v>31824</v>
      </c>
      <c r="U590" s="233">
        <v>305</v>
      </c>
      <c r="V590" s="233">
        <v>32128</v>
      </c>
    </row>
    <row r="591" spans="1:22">
      <c r="A591" s="226">
        <v>96441</v>
      </c>
      <c r="B591" s="227" t="s">
        <v>1298</v>
      </c>
      <c r="C591" s="87">
        <v>3.1199999999999999E-5</v>
      </c>
      <c r="D591" s="87">
        <v>3.9100000000000002E-5</v>
      </c>
      <c r="E591" s="231">
        <v>18068.97</v>
      </c>
      <c r="F591" s="231">
        <v>17548</v>
      </c>
      <c r="G591" s="231">
        <v>66217</v>
      </c>
      <c r="H591" s="231"/>
      <c r="I591" s="232">
        <v>1244</v>
      </c>
      <c r="J591" s="232">
        <v>58027</v>
      </c>
      <c r="K591" s="232">
        <v>4535</v>
      </c>
      <c r="L591" s="231">
        <v>6875</v>
      </c>
      <c r="M591" s="231"/>
      <c r="N591" s="232">
        <v>2320</v>
      </c>
      <c r="O591" s="232">
        <v>21417</v>
      </c>
      <c r="P591" s="232">
        <v>0</v>
      </c>
      <c r="Q591" s="231">
        <v>826</v>
      </c>
      <c r="R591" s="232">
        <f t="shared" si="9"/>
        <v>36610</v>
      </c>
      <c r="S591" s="231"/>
      <c r="T591" s="232">
        <v>17699</v>
      </c>
      <c r="U591" s="233">
        <v>2052</v>
      </c>
      <c r="V591" s="233">
        <v>19751</v>
      </c>
    </row>
    <row r="592" spans="1:22">
      <c r="A592" s="226">
        <v>96451</v>
      </c>
      <c r="B592" s="227" t="s">
        <v>1299</v>
      </c>
      <c r="C592" s="87">
        <v>1.38E-5</v>
      </c>
      <c r="D592" s="87">
        <v>8.8999999999999995E-6</v>
      </c>
      <c r="E592" s="231">
        <v>6879.8000000000011</v>
      </c>
      <c r="F592" s="231">
        <v>3994</v>
      </c>
      <c r="G592" s="231">
        <v>29288</v>
      </c>
      <c r="H592" s="231"/>
      <c r="I592" s="232">
        <v>550.27499999999998</v>
      </c>
      <c r="J592" s="232">
        <v>25666</v>
      </c>
      <c r="K592" s="232">
        <v>2006</v>
      </c>
      <c r="L592" s="231">
        <v>3611</v>
      </c>
      <c r="M592" s="231"/>
      <c r="N592" s="232">
        <v>1026</v>
      </c>
      <c r="O592" s="232">
        <v>9473</v>
      </c>
      <c r="P592" s="232">
        <v>0</v>
      </c>
      <c r="Q592" s="231">
        <v>2200</v>
      </c>
      <c r="R592" s="232">
        <f t="shared" si="9"/>
        <v>16193</v>
      </c>
      <c r="S592" s="231"/>
      <c r="T592" s="232">
        <v>7828</v>
      </c>
      <c r="U592" s="233">
        <v>55</v>
      </c>
      <c r="V592" s="233">
        <v>7883</v>
      </c>
    </row>
    <row r="593" spans="1:22">
      <c r="A593" s="226">
        <v>96461</v>
      </c>
      <c r="B593" s="227" t="s">
        <v>1300</v>
      </c>
      <c r="C593" s="87">
        <v>1.3410000000000001E-4</v>
      </c>
      <c r="D593" s="87">
        <v>1.6129999999999999E-4</v>
      </c>
      <c r="E593" s="231">
        <v>60539.490000000005</v>
      </c>
      <c r="F593" s="231">
        <v>72390</v>
      </c>
      <c r="G593" s="231">
        <v>284605</v>
      </c>
      <c r="H593" s="231"/>
      <c r="I593" s="232">
        <v>5347</v>
      </c>
      <c r="J593" s="232">
        <v>249405</v>
      </c>
      <c r="K593" s="232">
        <v>19493</v>
      </c>
      <c r="L593" s="231">
        <v>8046</v>
      </c>
      <c r="M593" s="231"/>
      <c r="N593" s="232">
        <v>9973</v>
      </c>
      <c r="O593" s="232">
        <v>92054</v>
      </c>
      <c r="P593" s="232">
        <v>0</v>
      </c>
      <c r="Q593" s="231">
        <v>27042</v>
      </c>
      <c r="R593" s="232">
        <f t="shared" si="9"/>
        <v>157351</v>
      </c>
      <c r="S593" s="231"/>
      <c r="T593" s="232">
        <v>76071</v>
      </c>
      <c r="U593" s="233">
        <v>-4548</v>
      </c>
      <c r="V593" s="233">
        <v>71523</v>
      </c>
    </row>
    <row r="594" spans="1:22">
      <c r="A594" s="226">
        <v>96501</v>
      </c>
      <c r="B594" s="227" t="s">
        <v>1301</v>
      </c>
      <c r="C594" s="87">
        <v>1.4156999999999999E-2</v>
      </c>
      <c r="D594" s="87">
        <v>1.4844599999999999E-2</v>
      </c>
      <c r="E594" s="231">
        <v>5793174.8699999992</v>
      </c>
      <c r="F594" s="231">
        <v>6662167</v>
      </c>
      <c r="G594" s="231">
        <v>30045897</v>
      </c>
      <c r="H594" s="231"/>
      <c r="I594" s="232">
        <v>564510</v>
      </c>
      <c r="J594" s="232">
        <v>26329783</v>
      </c>
      <c r="K594" s="232">
        <v>2057876</v>
      </c>
      <c r="L594" s="231">
        <v>597577</v>
      </c>
      <c r="M594" s="231"/>
      <c r="N594" s="232">
        <v>1052842</v>
      </c>
      <c r="O594" s="232">
        <v>9718186</v>
      </c>
      <c r="P594" s="232">
        <v>0</v>
      </c>
      <c r="Q594" s="231">
        <v>395352</v>
      </c>
      <c r="R594" s="232">
        <f t="shared" si="9"/>
        <v>16611597</v>
      </c>
      <c r="S594" s="231"/>
      <c r="T594" s="232">
        <v>8030827</v>
      </c>
      <c r="U594" s="233">
        <v>146416</v>
      </c>
      <c r="V594" s="233">
        <v>8177243</v>
      </c>
    </row>
    <row r="595" spans="1:22">
      <c r="A595" s="226">
        <v>96502</v>
      </c>
      <c r="B595" s="227" t="s">
        <v>1302</v>
      </c>
      <c r="C595" s="87">
        <v>4.2309999999999998E-4</v>
      </c>
      <c r="D595" s="87">
        <v>3.9639999999999999E-4</v>
      </c>
      <c r="E595" s="231">
        <v>180923.45999999996</v>
      </c>
      <c r="F595" s="231">
        <v>177902</v>
      </c>
      <c r="G595" s="231">
        <v>897960</v>
      </c>
      <c r="H595" s="231"/>
      <c r="I595" s="232">
        <v>16871</v>
      </c>
      <c r="J595" s="232">
        <v>786899</v>
      </c>
      <c r="K595" s="232">
        <v>61502</v>
      </c>
      <c r="L595" s="231">
        <v>58143</v>
      </c>
      <c r="M595" s="231"/>
      <c r="N595" s="232">
        <v>31466</v>
      </c>
      <c r="O595" s="232">
        <v>290440</v>
      </c>
      <c r="P595" s="232">
        <v>0</v>
      </c>
      <c r="Q595" s="231">
        <v>0</v>
      </c>
      <c r="R595" s="232">
        <f t="shared" si="9"/>
        <v>496459</v>
      </c>
      <c r="S595" s="231"/>
      <c r="T595" s="232">
        <v>240012</v>
      </c>
      <c r="U595" s="233">
        <v>22314</v>
      </c>
      <c r="V595" s="233">
        <v>262325</v>
      </c>
    </row>
    <row r="596" spans="1:22">
      <c r="A596" s="226">
        <v>96503</v>
      </c>
      <c r="B596" s="227" t="s">
        <v>1939</v>
      </c>
      <c r="C596" s="87">
        <v>3.3700000000000001E-4</v>
      </c>
      <c r="D596" s="87">
        <v>3.746E-4</v>
      </c>
      <c r="E596" s="231">
        <v>297528.38</v>
      </c>
      <c r="F596" s="231">
        <v>168118</v>
      </c>
      <c r="G596" s="231">
        <v>715227</v>
      </c>
      <c r="H596" s="231"/>
      <c r="I596" s="232">
        <v>13437.875</v>
      </c>
      <c r="J596" s="232">
        <v>626767</v>
      </c>
      <c r="K596" s="232">
        <v>48987</v>
      </c>
      <c r="L596" s="231">
        <v>200924</v>
      </c>
      <c r="M596" s="231"/>
      <c r="N596" s="232">
        <v>25062</v>
      </c>
      <c r="O596" s="232">
        <v>231336</v>
      </c>
      <c r="P596" s="232">
        <v>0</v>
      </c>
      <c r="Q596" s="231">
        <v>29898</v>
      </c>
      <c r="R596" s="232">
        <f t="shared" si="9"/>
        <v>395431</v>
      </c>
      <c r="S596" s="231"/>
      <c r="T596" s="232">
        <v>191170</v>
      </c>
      <c r="U596" s="233">
        <v>46111</v>
      </c>
      <c r="V596" s="233">
        <v>237280</v>
      </c>
    </row>
    <row r="597" spans="1:22">
      <c r="A597" s="226">
        <v>96504</v>
      </c>
      <c r="B597" s="227" t="s">
        <v>1304</v>
      </c>
      <c r="C597" s="87">
        <v>3.6039999999999998E-4</v>
      </c>
      <c r="D597" s="87">
        <v>3.7149999999999998E-4</v>
      </c>
      <c r="E597" s="231">
        <v>148639.46</v>
      </c>
      <c r="F597" s="231">
        <v>166727</v>
      </c>
      <c r="G597" s="231">
        <v>764890</v>
      </c>
      <c r="H597" s="231"/>
      <c r="I597" s="232">
        <v>14371</v>
      </c>
      <c r="J597" s="232">
        <v>670287</v>
      </c>
      <c r="K597" s="232">
        <v>52388</v>
      </c>
      <c r="L597" s="231">
        <v>11269</v>
      </c>
      <c r="M597" s="231"/>
      <c r="N597" s="232">
        <v>26803</v>
      </c>
      <c r="O597" s="232">
        <v>247399</v>
      </c>
      <c r="P597" s="232">
        <v>0</v>
      </c>
      <c r="Q597" s="231">
        <v>6125</v>
      </c>
      <c r="R597" s="232">
        <f t="shared" si="9"/>
        <v>422888</v>
      </c>
      <c r="S597" s="231"/>
      <c r="T597" s="232">
        <v>204444</v>
      </c>
      <c r="U597" s="233">
        <v>2299</v>
      </c>
      <c r="V597" s="233">
        <v>206743</v>
      </c>
    </row>
    <row r="598" spans="1:22">
      <c r="A598" s="226">
        <v>96507</v>
      </c>
      <c r="B598" s="227" t="s">
        <v>1305</v>
      </c>
      <c r="C598" s="87">
        <v>2.2604999999999999E-3</v>
      </c>
      <c r="D598" s="87">
        <v>2.1895999999999999E-3</v>
      </c>
      <c r="E598" s="231">
        <v>971182.37999999977</v>
      </c>
      <c r="F598" s="231">
        <v>982679</v>
      </c>
      <c r="G598" s="231">
        <v>4797538</v>
      </c>
      <c r="H598" s="231"/>
      <c r="I598" s="232">
        <v>90137</v>
      </c>
      <c r="J598" s="232">
        <v>4204173</v>
      </c>
      <c r="K598" s="232">
        <v>328589</v>
      </c>
      <c r="L598" s="231">
        <v>180324</v>
      </c>
      <c r="M598" s="231"/>
      <c r="N598" s="232">
        <v>168111</v>
      </c>
      <c r="O598" s="232">
        <v>1551738</v>
      </c>
      <c r="P598" s="232">
        <v>0</v>
      </c>
      <c r="Q598" s="231">
        <v>0</v>
      </c>
      <c r="R598" s="232">
        <f t="shared" si="9"/>
        <v>2652435</v>
      </c>
      <c r="S598" s="231"/>
      <c r="T598" s="232">
        <v>1282312</v>
      </c>
      <c r="U598" s="233">
        <v>64566</v>
      </c>
      <c r="V598" s="233">
        <v>1346877</v>
      </c>
    </row>
    <row r="599" spans="1:22">
      <c r="A599" s="226">
        <v>96508</v>
      </c>
      <c r="B599" s="227" t="s">
        <v>1306</v>
      </c>
      <c r="C599" s="87">
        <v>9.7999999999999993E-6</v>
      </c>
      <c r="D599" s="87">
        <v>1.03E-5</v>
      </c>
      <c r="E599" s="231">
        <v>9949.2000000000025</v>
      </c>
      <c r="F599" s="231">
        <v>4623</v>
      </c>
      <c r="G599" s="231">
        <v>20799</v>
      </c>
      <c r="H599" s="231"/>
      <c r="I599" s="232">
        <v>390.77499999999998</v>
      </c>
      <c r="J599" s="232">
        <v>18226</v>
      </c>
      <c r="K599" s="232">
        <v>1425</v>
      </c>
      <c r="L599" s="231">
        <v>9383</v>
      </c>
      <c r="M599" s="231"/>
      <c r="N599" s="232">
        <v>729</v>
      </c>
      <c r="O599" s="232">
        <v>6727</v>
      </c>
      <c r="P599" s="232">
        <v>0</v>
      </c>
      <c r="Q599" s="231">
        <v>0</v>
      </c>
      <c r="R599" s="232">
        <f t="shared" si="9"/>
        <v>11499</v>
      </c>
      <c r="S599" s="231"/>
      <c r="T599" s="232">
        <v>5559</v>
      </c>
      <c r="U599" s="233">
        <v>3176</v>
      </c>
      <c r="V599" s="233">
        <v>8735</v>
      </c>
    </row>
    <row r="600" spans="1:22">
      <c r="A600" s="226">
        <v>96511</v>
      </c>
      <c r="B600" s="227" t="s">
        <v>1307</v>
      </c>
      <c r="C600" s="87">
        <v>6.221E-4</v>
      </c>
      <c r="D600" s="87">
        <v>7.5080000000000004E-4</v>
      </c>
      <c r="E600" s="231">
        <v>244657.82</v>
      </c>
      <c r="F600" s="231">
        <v>336955</v>
      </c>
      <c r="G600" s="231">
        <v>1320305</v>
      </c>
      <c r="H600" s="231"/>
      <c r="I600" s="232">
        <v>24806</v>
      </c>
      <c r="J600" s="232">
        <v>1157008</v>
      </c>
      <c r="K600" s="232">
        <v>90429</v>
      </c>
      <c r="L600" s="231">
        <v>0</v>
      </c>
      <c r="M600" s="231"/>
      <c r="N600" s="232">
        <v>46265</v>
      </c>
      <c r="O600" s="232">
        <v>427046</v>
      </c>
      <c r="P600" s="232">
        <v>0</v>
      </c>
      <c r="Q600" s="231">
        <v>135169</v>
      </c>
      <c r="R600" s="232">
        <f t="shared" si="9"/>
        <v>729962</v>
      </c>
      <c r="S600" s="231"/>
      <c r="T600" s="232">
        <v>352898</v>
      </c>
      <c r="U600" s="233">
        <v>-47382</v>
      </c>
      <c r="V600" s="233">
        <v>305516</v>
      </c>
    </row>
    <row r="601" spans="1:22">
      <c r="A601" s="226">
        <v>96512</v>
      </c>
      <c r="B601" s="227" t="s">
        <v>1308</v>
      </c>
      <c r="C601" s="87">
        <v>1.7000000000000001E-4</v>
      </c>
      <c r="D601" s="87">
        <v>1.5550000000000001E-4</v>
      </c>
      <c r="E601" s="231">
        <v>63900.750000000007</v>
      </c>
      <c r="F601" s="231">
        <v>69787</v>
      </c>
      <c r="G601" s="231">
        <v>360796.95</v>
      </c>
      <c r="H601" s="231"/>
      <c r="I601" s="232">
        <v>6779</v>
      </c>
      <c r="J601" s="232">
        <v>316173.14</v>
      </c>
      <c r="K601" s="232">
        <v>24711</v>
      </c>
      <c r="L601" s="231">
        <v>8267</v>
      </c>
      <c r="M601" s="231"/>
      <c r="N601" s="232">
        <v>12643</v>
      </c>
      <c r="O601" s="232">
        <v>116698</v>
      </c>
      <c r="P601" s="232">
        <v>0</v>
      </c>
      <c r="Q601" s="231">
        <v>0</v>
      </c>
      <c r="R601" s="232">
        <f t="shared" si="9"/>
        <v>199475.14</v>
      </c>
      <c r="S601" s="231"/>
      <c r="T601" s="232">
        <v>96436</v>
      </c>
      <c r="U601" s="233">
        <v>2689</v>
      </c>
      <c r="V601" s="233">
        <v>99124</v>
      </c>
    </row>
    <row r="602" spans="1:22">
      <c r="A602" s="226">
        <v>96519</v>
      </c>
      <c r="B602" s="227" t="s">
        <v>1615</v>
      </c>
      <c r="C602" s="87">
        <v>0</v>
      </c>
      <c r="D602" s="87">
        <v>1.7197E-3</v>
      </c>
      <c r="E602" s="231">
        <v>0</v>
      </c>
      <c r="F602" s="231">
        <v>771791</v>
      </c>
      <c r="G602" s="231">
        <v>0</v>
      </c>
      <c r="H602" s="231"/>
      <c r="I602" s="232">
        <v>0</v>
      </c>
      <c r="J602" s="232">
        <v>0</v>
      </c>
      <c r="K602" s="232">
        <v>0</v>
      </c>
      <c r="L602" s="231">
        <v>300924</v>
      </c>
      <c r="M602" s="231"/>
      <c r="N602" s="232">
        <v>0</v>
      </c>
      <c r="O602" s="232">
        <v>0</v>
      </c>
      <c r="P602" s="232">
        <v>0</v>
      </c>
      <c r="Q602" s="231">
        <v>931590</v>
      </c>
      <c r="R602" s="232">
        <f t="shared" si="9"/>
        <v>0</v>
      </c>
      <c r="S602" s="231"/>
      <c r="T602" s="232">
        <v>0</v>
      </c>
      <c r="U602" s="233">
        <v>-102954</v>
      </c>
      <c r="V602" s="233">
        <v>-102954</v>
      </c>
    </row>
    <row r="603" spans="1:22">
      <c r="A603" s="226">
        <v>96521</v>
      </c>
      <c r="B603" s="227" t="s">
        <v>1309</v>
      </c>
      <c r="C603" s="87">
        <v>9.4240000000000003E-4</v>
      </c>
      <c r="D603" s="87">
        <v>9.0479999999999998E-4</v>
      </c>
      <c r="E603" s="231">
        <v>332666.64</v>
      </c>
      <c r="F603" s="231">
        <v>406069</v>
      </c>
      <c r="G603" s="231">
        <v>2000089</v>
      </c>
      <c r="H603" s="231"/>
      <c r="I603" s="232">
        <v>37578</v>
      </c>
      <c r="J603" s="232">
        <v>1752715</v>
      </c>
      <c r="K603" s="232">
        <v>136988</v>
      </c>
      <c r="L603" s="231">
        <v>46521</v>
      </c>
      <c r="M603" s="231"/>
      <c r="N603" s="232">
        <v>70085</v>
      </c>
      <c r="O603" s="232">
        <v>646918</v>
      </c>
      <c r="P603" s="232">
        <v>0</v>
      </c>
      <c r="Q603" s="231">
        <v>27885</v>
      </c>
      <c r="R603" s="232">
        <f t="shared" si="9"/>
        <v>1105797</v>
      </c>
      <c r="S603" s="231"/>
      <c r="T603" s="232">
        <v>534594</v>
      </c>
      <c r="U603" s="233">
        <v>8139</v>
      </c>
      <c r="V603" s="233">
        <v>542733</v>
      </c>
    </row>
    <row r="604" spans="1:22">
      <c r="A604" s="226">
        <v>96531</v>
      </c>
      <c r="B604" s="227" t="s">
        <v>1310</v>
      </c>
      <c r="C604" s="87">
        <v>8.6088999999999992E-3</v>
      </c>
      <c r="D604" s="87">
        <v>9.1912000000000001E-3</v>
      </c>
      <c r="E604" s="231">
        <v>3504528.87</v>
      </c>
      <c r="F604" s="231">
        <v>4124955</v>
      </c>
      <c r="G604" s="231">
        <v>18270970</v>
      </c>
      <c r="H604" s="231"/>
      <c r="I604" s="232">
        <v>343280</v>
      </c>
      <c r="J604" s="232">
        <v>16011194</v>
      </c>
      <c r="K604" s="232">
        <v>1251398</v>
      </c>
      <c r="L604" s="231">
        <v>75559</v>
      </c>
      <c r="M604" s="231"/>
      <c r="N604" s="232">
        <v>640235</v>
      </c>
      <c r="O604" s="232">
        <v>5909648</v>
      </c>
      <c r="P604" s="232">
        <v>0</v>
      </c>
      <c r="Q604" s="231">
        <v>381680</v>
      </c>
      <c r="R604" s="232">
        <f t="shared" si="9"/>
        <v>10101546</v>
      </c>
      <c r="S604" s="231"/>
      <c r="T604" s="232">
        <v>4883562</v>
      </c>
      <c r="U604" s="233">
        <v>-81286</v>
      </c>
      <c r="V604" s="233">
        <v>4802276</v>
      </c>
    </row>
    <row r="605" spans="1:22">
      <c r="A605" s="226">
        <v>96541</v>
      </c>
      <c r="B605" s="227" t="s">
        <v>1311</v>
      </c>
      <c r="C605" s="87">
        <v>3.3169999999999999E-4</v>
      </c>
      <c r="D605" s="87">
        <v>3.2759999999999999E-4</v>
      </c>
      <c r="E605" s="231">
        <v>136435.87</v>
      </c>
      <c r="F605" s="231">
        <v>147025</v>
      </c>
      <c r="G605" s="231">
        <v>703979</v>
      </c>
      <c r="H605" s="231"/>
      <c r="I605" s="232">
        <v>13227</v>
      </c>
      <c r="J605" s="232">
        <v>616910</v>
      </c>
      <c r="K605" s="232">
        <v>48216</v>
      </c>
      <c r="L605" s="231">
        <v>22779</v>
      </c>
      <c r="M605" s="231"/>
      <c r="N605" s="232">
        <v>24668</v>
      </c>
      <c r="O605" s="232">
        <v>227698</v>
      </c>
      <c r="P605" s="232">
        <v>0</v>
      </c>
      <c r="Q605" s="231">
        <v>0</v>
      </c>
      <c r="R605" s="232">
        <f t="shared" si="9"/>
        <v>389212</v>
      </c>
      <c r="S605" s="231"/>
      <c r="T605" s="232">
        <v>188163</v>
      </c>
      <c r="U605" s="233">
        <v>10018</v>
      </c>
      <c r="V605" s="233">
        <v>198181</v>
      </c>
    </row>
    <row r="606" spans="1:22">
      <c r="A606" s="226">
        <v>96601</v>
      </c>
      <c r="B606" s="227" t="s">
        <v>1312</v>
      </c>
      <c r="C606" s="87">
        <v>1.8416000000000001E-3</v>
      </c>
      <c r="D606" s="87">
        <v>1.8462999999999999E-3</v>
      </c>
      <c r="E606" s="231">
        <v>769874.79</v>
      </c>
      <c r="F606" s="231">
        <v>828608</v>
      </c>
      <c r="G606" s="231">
        <v>3908492</v>
      </c>
      <c r="H606" s="231"/>
      <c r="I606" s="232">
        <v>73433.8</v>
      </c>
      <c r="J606" s="232">
        <v>3425085</v>
      </c>
      <c r="K606" s="232">
        <v>267697</v>
      </c>
      <c r="L606" s="231">
        <v>58499</v>
      </c>
      <c r="M606" s="231"/>
      <c r="N606" s="232">
        <v>136958</v>
      </c>
      <c r="O606" s="232">
        <v>1264181</v>
      </c>
      <c r="P606" s="232">
        <v>0</v>
      </c>
      <c r="Q606" s="231">
        <v>6413</v>
      </c>
      <c r="R606" s="232">
        <f t="shared" si="9"/>
        <v>2160904</v>
      </c>
      <c r="S606" s="231"/>
      <c r="T606" s="232">
        <v>1044683</v>
      </c>
      <c r="U606" s="233">
        <v>25319</v>
      </c>
      <c r="V606" s="233">
        <v>1070002</v>
      </c>
    </row>
    <row r="607" spans="1:22">
      <c r="A607" s="226">
        <v>96604</v>
      </c>
      <c r="B607" s="227" t="s">
        <v>1313</v>
      </c>
      <c r="C607" s="87">
        <v>7.9000000000000006E-6</v>
      </c>
      <c r="D607" s="87">
        <v>7.9000000000000006E-6</v>
      </c>
      <c r="E607" s="231">
        <v>4374.7800000000007</v>
      </c>
      <c r="F607" s="231">
        <v>3545</v>
      </c>
      <c r="G607" s="231">
        <v>16766</v>
      </c>
      <c r="H607" s="231"/>
      <c r="I607" s="232">
        <v>315</v>
      </c>
      <c r="J607" s="232">
        <v>14693</v>
      </c>
      <c r="K607" s="232">
        <v>1148</v>
      </c>
      <c r="L607" s="231">
        <v>1595</v>
      </c>
      <c r="M607" s="231"/>
      <c r="N607" s="232">
        <v>588</v>
      </c>
      <c r="O607" s="232">
        <v>5423</v>
      </c>
      <c r="P607" s="232">
        <v>0</v>
      </c>
      <c r="Q607" s="231">
        <v>108</v>
      </c>
      <c r="R607" s="232">
        <f t="shared" si="9"/>
        <v>9270</v>
      </c>
      <c r="S607" s="231"/>
      <c r="T607" s="232">
        <v>4481</v>
      </c>
      <c r="U607" s="233">
        <v>545</v>
      </c>
      <c r="V607" s="233">
        <v>5027</v>
      </c>
    </row>
    <row r="608" spans="1:22">
      <c r="A608" s="226">
        <v>96611</v>
      </c>
      <c r="B608" s="227" t="s">
        <v>1314</v>
      </c>
      <c r="C608" s="87">
        <v>3.29E-5</v>
      </c>
      <c r="D608" s="87">
        <v>2.9499999999999999E-5</v>
      </c>
      <c r="E608" s="231">
        <v>11899.8</v>
      </c>
      <c r="F608" s="231">
        <v>13239</v>
      </c>
      <c r="G608" s="231">
        <v>69825</v>
      </c>
      <c r="H608" s="231"/>
      <c r="I608" s="232">
        <v>1312</v>
      </c>
      <c r="J608" s="232">
        <v>61189</v>
      </c>
      <c r="K608" s="232">
        <v>4782</v>
      </c>
      <c r="L608" s="231">
        <v>2869</v>
      </c>
      <c r="M608" s="231"/>
      <c r="N608" s="232">
        <v>2447</v>
      </c>
      <c r="O608" s="232">
        <v>22584</v>
      </c>
      <c r="P608" s="232">
        <v>0</v>
      </c>
      <c r="Q608" s="231">
        <v>649</v>
      </c>
      <c r="R608" s="232">
        <f t="shared" si="9"/>
        <v>38605</v>
      </c>
      <c r="S608" s="231"/>
      <c r="T608" s="232">
        <v>18663</v>
      </c>
      <c r="U608" s="233">
        <v>1079</v>
      </c>
      <c r="V608" s="233">
        <v>19742</v>
      </c>
    </row>
    <row r="609" spans="1:22">
      <c r="A609" s="226">
        <v>96612</v>
      </c>
      <c r="B609" s="227" t="s">
        <v>1315</v>
      </c>
      <c r="C609" s="87">
        <v>6.3899999999999995E-5</v>
      </c>
      <c r="D609" s="87">
        <v>6.4399999999999993E-5</v>
      </c>
      <c r="E609" s="231">
        <v>30973.800000000003</v>
      </c>
      <c r="F609" s="231">
        <v>28902</v>
      </c>
      <c r="G609" s="231">
        <v>135617</v>
      </c>
      <c r="H609" s="231"/>
      <c r="I609" s="232">
        <v>2548</v>
      </c>
      <c r="J609" s="232">
        <v>118844</v>
      </c>
      <c r="K609" s="232">
        <v>9289</v>
      </c>
      <c r="L609" s="231">
        <v>7363</v>
      </c>
      <c r="M609" s="231"/>
      <c r="N609" s="232">
        <v>4752</v>
      </c>
      <c r="O609" s="232">
        <v>43865</v>
      </c>
      <c r="P609" s="232">
        <v>0</v>
      </c>
      <c r="Q609" s="231">
        <v>1323</v>
      </c>
      <c r="R609" s="232">
        <f t="shared" si="9"/>
        <v>74979</v>
      </c>
      <c r="S609" s="231"/>
      <c r="T609" s="232">
        <v>36248</v>
      </c>
      <c r="U609" s="233">
        <v>1615</v>
      </c>
      <c r="V609" s="233">
        <v>37864</v>
      </c>
    </row>
    <row r="610" spans="1:22">
      <c r="A610" s="226">
        <v>96621</v>
      </c>
      <c r="B610" s="227" t="s">
        <v>1316</v>
      </c>
      <c r="C610" s="87">
        <v>2.65E-5</v>
      </c>
      <c r="D610" s="87">
        <v>3.6600000000000002E-5</v>
      </c>
      <c r="E610" s="231">
        <v>12593.01</v>
      </c>
      <c r="F610" s="231">
        <v>16426</v>
      </c>
      <c r="G610" s="231">
        <v>56242</v>
      </c>
      <c r="H610" s="231"/>
      <c r="I610" s="232">
        <v>1056.6875</v>
      </c>
      <c r="J610" s="232">
        <v>49286</v>
      </c>
      <c r="K610" s="232">
        <v>3852</v>
      </c>
      <c r="L610" s="231">
        <v>1133</v>
      </c>
      <c r="M610" s="231"/>
      <c r="N610" s="232">
        <v>1971</v>
      </c>
      <c r="O610" s="232">
        <v>18191</v>
      </c>
      <c r="P610" s="232">
        <v>0</v>
      </c>
      <c r="Q610" s="231">
        <v>7687</v>
      </c>
      <c r="R610" s="232">
        <f t="shared" si="9"/>
        <v>31095</v>
      </c>
      <c r="S610" s="231"/>
      <c r="T610" s="232">
        <v>15033</v>
      </c>
      <c r="U610" s="233">
        <v>-2457</v>
      </c>
      <c r="V610" s="233">
        <v>12576</v>
      </c>
    </row>
    <row r="611" spans="1:22">
      <c r="A611" s="226">
        <v>96631</v>
      </c>
      <c r="B611" s="227" t="s">
        <v>1317</v>
      </c>
      <c r="C611" s="87">
        <v>2.5899999999999999E-5</v>
      </c>
      <c r="D611" s="87">
        <v>2.5599999999999999E-5</v>
      </c>
      <c r="E611" s="231">
        <v>10252.959999999999</v>
      </c>
      <c r="F611" s="231">
        <v>11489</v>
      </c>
      <c r="G611" s="231">
        <v>54968</v>
      </c>
      <c r="H611" s="231"/>
      <c r="I611" s="232">
        <v>1032.7625</v>
      </c>
      <c r="J611" s="232">
        <v>48170</v>
      </c>
      <c r="K611" s="232">
        <v>3765</v>
      </c>
      <c r="L611" s="231">
        <v>5664</v>
      </c>
      <c r="M611" s="231"/>
      <c r="N611" s="232">
        <v>1926</v>
      </c>
      <c r="O611" s="232">
        <v>17779</v>
      </c>
      <c r="P611" s="232">
        <v>0</v>
      </c>
      <c r="Q611" s="231">
        <v>154</v>
      </c>
      <c r="R611" s="232">
        <f t="shared" si="9"/>
        <v>30391</v>
      </c>
      <c r="S611" s="231"/>
      <c r="T611" s="232">
        <v>14692</v>
      </c>
      <c r="U611" s="233">
        <v>2250</v>
      </c>
      <c r="V611" s="233">
        <v>16942</v>
      </c>
    </row>
    <row r="612" spans="1:22">
      <c r="A612" s="226">
        <v>96641</v>
      </c>
      <c r="B612" s="227" t="s">
        <v>1318</v>
      </c>
      <c r="C612" s="87">
        <v>2.6999999999999999E-5</v>
      </c>
      <c r="D612" s="87">
        <v>2.7100000000000001E-5</v>
      </c>
      <c r="E612" s="231">
        <v>17201.89</v>
      </c>
      <c r="F612" s="231">
        <v>12162</v>
      </c>
      <c r="G612" s="231">
        <v>57303</v>
      </c>
      <c r="H612" s="231"/>
      <c r="I612" s="232">
        <v>1076.625</v>
      </c>
      <c r="J612" s="232">
        <v>50216</v>
      </c>
      <c r="K612" s="232">
        <v>3925</v>
      </c>
      <c r="L612" s="231">
        <v>10873</v>
      </c>
      <c r="M612" s="231"/>
      <c r="N612" s="232">
        <v>2008</v>
      </c>
      <c r="O612" s="232">
        <v>18534</v>
      </c>
      <c r="P612" s="232">
        <v>0</v>
      </c>
      <c r="Q612" s="231">
        <v>0</v>
      </c>
      <c r="R612" s="232">
        <f t="shared" si="9"/>
        <v>31682</v>
      </c>
      <c r="S612" s="231"/>
      <c r="T612" s="232">
        <v>15316</v>
      </c>
      <c r="U612" s="233">
        <v>3846</v>
      </c>
      <c r="V612" s="233">
        <v>19162</v>
      </c>
    </row>
    <row r="613" spans="1:22">
      <c r="A613" s="226">
        <v>96651</v>
      </c>
      <c r="B613" s="227" t="s">
        <v>1319</v>
      </c>
      <c r="C613" s="87">
        <v>1.9400000000000001E-5</v>
      </c>
      <c r="D613" s="87">
        <v>1.9300000000000002E-5</v>
      </c>
      <c r="E613" s="231">
        <v>8893.0600000000013</v>
      </c>
      <c r="F613" s="231">
        <v>8662</v>
      </c>
      <c r="G613" s="231">
        <v>41173</v>
      </c>
      <c r="H613" s="231"/>
      <c r="I613" s="232">
        <v>773.57500000000005</v>
      </c>
      <c r="J613" s="232">
        <v>36081</v>
      </c>
      <c r="K613" s="232">
        <v>2820</v>
      </c>
      <c r="L613" s="231">
        <v>781</v>
      </c>
      <c r="M613" s="231"/>
      <c r="N613" s="232">
        <v>1443</v>
      </c>
      <c r="O613" s="232">
        <v>13317</v>
      </c>
      <c r="P613" s="232">
        <v>0</v>
      </c>
      <c r="Q613" s="231">
        <v>2222</v>
      </c>
      <c r="R613" s="232">
        <f t="shared" si="9"/>
        <v>22764</v>
      </c>
      <c r="S613" s="231"/>
      <c r="T613" s="232">
        <v>11005</v>
      </c>
      <c r="U613" s="233">
        <v>-715</v>
      </c>
      <c r="V613" s="233">
        <v>10290</v>
      </c>
    </row>
    <row r="614" spans="1:22">
      <c r="A614" s="226">
        <v>96661</v>
      </c>
      <c r="B614" s="227" t="s">
        <v>1320</v>
      </c>
      <c r="C614" s="87">
        <v>1.9000000000000001E-5</v>
      </c>
      <c r="D614" s="87">
        <v>1.7200000000000001E-5</v>
      </c>
      <c r="E614" s="231">
        <v>9291.01</v>
      </c>
      <c r="F614" s="231">
        <v>7719</v>
      </c>
      <c r="G614" s="231">
        <v>40324</v>
      </c>
      <c r="H614" s="231"/>
      <c r="I614" s="232">
        <v>757.625</v>
      </c>
      <c r="J614" s="232">
        <v>35337</v>
      </c>
      <c r="K614" s="232">
        <v>2762</v>
      </c>
      <c r="L614" s="231">
        <v>6032</v>
      </c>
      <c r="M614" s="231"/>
      <c r="N614" s="232">
        <v>1413</v>
      </c>
      <c r="O614" s="232">
        <v>13043</v>
      </c>
      <c r="P614" s="232">
        <v>0</v>
      </c>
      <c r="Q614" s="231">
        <v>0</v>
      </c>
      <c r="R614" s="232">
        <f t="shared" si="9"/>
        <v>22294</v>
      </c>
      <c r="S614" s="231"/>
      <c r="T614" s="232">
        <v>10778</v>
      </c>
      <c r="U614" s="233">
        <v>2137</v>
      </c>
      <c r="V614" s="233">
        <v>12915</v>
      </c>
    </row>
    <row r="615" spans="1:22">
      <c r="A615" s="226">
        <v>96671</v>
      </c>
      <c r="B615" s="227" t="s">
        <v>1321</v>
      </c>
      <c r="C615" s="87">
        <v>1.5500000000000001E-5</v>
      </c>
      <c r="D615" s="87">
        <v>1.56E-5</v>
      </c>
      <c r="E615" s="231">
        <v>11958.029999999999</v>
      </c>
      <c r="F615" s="231">
        <v>7001</v>
      </c>
      <c r="G615" s="231">
        <v>32896</v>
      </c>
      <c r="H615" s="231"/>
      <c r="I615" s="232">
        <v>618.0625</v>
      </c>
      <c r="J615" s="232">
        <v>28828</v>
      </c>
      <c r="K615" s="232">
        <v>2253</v>
      </c>
      <c r="L615" s="231">
        <v>11385</v>
      </c>
      <c r="M615" s="231"/>
      <c r="N615" s="232">
        <v>1153</v>
      </c>
      <c r="O615" s="232">
        <v>10640</v>
      </c>
      <c r="P615" s="232">
        <v>0</v>
      </c>
      <c r="Q615" s="231">
        <v>418</v>
      </c>
      <c r="R615" s="232">
        <f t="shared" si="9"/>
        <v>18188</v>
      </c>
      <c r="S615" s="231"/>
      <c r="T615" s="232">
        <v>8793</v>
      </c>
      <c r="U615" s="233">
        <v>3409</v>
      </c>
      <c r="V615" s="233">
        <v>12201</v>
      </c>
    </row>
    <row r="616" spans="1:22">
      <c r="A616" s="226">
        <v>96681</v>
      </c>
      <c r="B616" s="227" t="s">
        <v>1322</v>
      </c>
      <c r="C616" s="87">
        <v>3.4799999999999999E-5</v>
      </c>
      <c r="D616" s="87">
        <v>3.4700000000000003E-5</v>
      </c>
      <c r="E616" s="231">
        <v>22895.739999999998</v>
      </c>
      <c r="F616" s="231">
        <v>15573</v>
      </c>
      <c r="G616" s="231">
        <v>73857</v>
      </c>
      <c r="H616" s="231"/>
      <c r="I616" s="232">
        <v>1388</v>
      </c>
      <c r="J616" s="232">
        <v>64723</v>
      </c>
      <c r="K616" s="232">
        <v>5059</v>
      </c>
      <c r="L616" s="231">
        <v>18633</v>
      </c>
      <c r="M616" s="231"/>
      <c r="N616" s="232">
        <v>2588</v>
      </c>
      <c r="O616" s="232">
        <v>23889</v>
      </c>
      <c r="P616" s="232">
        <v>0</v>
      </c>
      <c r="Q616" s="231">
        <v>1494</v>
      </c>
      <c r="R616" s="232">
        <f t="shared" si="9"/>
        <v>40834</v>
      </c>
      <c r="S616" s="231"/>
      <c r="T616" s="232">
        <v>19741</v>
      </c>
      <c r="U616" s="233">
        <v>5200</v>
      </c>
      <c r="V616" s="233">
        <v>24941</v>
      </c>
    </row>
    <row r="617" spans="1:22">
      <c r="A617" s="226">
        <v>96701</v>
      </c>
      <c r="B617" s="227" t="s">
        <v>1323</v>
      </c>
      <c r="C617" s="87">
        <v>7.7850000000000003E-3</v>
      </c>
      <c r="D617" s="87">
        <v>7.7803999999999998E-3</v>
      </c>
      <c r="E617" s="231">
        <v>3136203</v>
      </c>
      <c r="F617" s="231">
        <v>3491797</v>
      </c>
      <c r="G617" s="231">
        <v>16522378</v>
      </c>
      <c r="H617" s="231"/>
      <c r="I617" s="232">
        <v>310427</v>
      </c>
      <c r="J617" s="232">
        <v>14478870</v>
      </c>
      <c r="K617" s="232">
        <v>1131635</v>
      </c>
      <c r="L617" s="231">
        <v>289202</v>
      </c>
      <c r="M617" s="231"/>
      <c r="N617" s="232">
        <v>578963</v>
      </c>
      <c r="O617" s="232">
        <v>5344075.53</v>
      </c>
      <c r="P617" s="232">
        <v>0</v>
      </c>
      <c r="Q617" s="231">
        <v>79279</v>
      </c>
      <c r="R617" s="232">
        <f t="shared" si="9"/>
        <v>9134794.4699999988</v>
      </c>
      <c r="S617" s="231"/>
      <c r="T617" s="232">
        <v>4416189</v>
      </c>
      <c r="U617" s="233">
        <v>74739</v>
      </c>
      <c r="V617" s="233">
        <v>4490928</v>
      </c>
    </row>
    <row r="618" spans="1:22">
      <c r="A618" s="226">
        <v>96704</v>
      </c>
      <c r="B618" s="227" t="s">
        <v>1324</v>
      </c>
      <c r="C618" s="87">
        <v>1.5330000000000001E-4</v>
      </c>
      <c r="D618" s="87">
        <v>1.5919999999999999E-4</v>
      </c>
      <c r="E618" s="231">
        <v>71376.409999999989</v>
      </c>
      <c r="F618" s="231">
        <v>71448</v>
      </c>
      <c r="G618" s="231">
        <v>325354</v>
      </c>
      <c r="H618" s="231"/>
      <c r="I618" s="232">
        <v>6113</v>
      </c>
      <c r="J618" s="232">
        <v>285114</v>
      </c>
      <c r="K618" s="232">
        <v>22284</v>
      </c>
      <c r="L618" s="231">
        <v>9181</v>
      </c>
      <c r="M618" s="231"/>
      <c r="N618" s="232">
        <v>11401</v>
      </c>
      <c r="O618" s="232">
        <v>105234</v>
      </c>
      <c r="P618" s="232">
        <v>0</v>
      </c>
      <c r="Q618" s="231">
        <v>0</v>
      </c>
      <c r="R618" s="232">
        <f t="shared" si="9"/>
        <v>179880</v>
      </c>
      <c r="S618" s="231"/>
      <c r="T618" s="232">
        <v>86962</v>
      </c>
      <c r="U618" s="233">
        <v>3774</v>
      </c>
      <c r="V618" s="233">
        <v>90736</v>
      </c>
    </row>
    <row r="619" spans="1:22">
      <c r="A619" s="226">
        <v>96708</v>
      </c>
      <c r="B619" s="227" t="s">
        <v>1325</v>
      </c>
      <c r="C619" s="87">
        <v>8.4590000000000002E-4</v>
      </c>
      <c r="D619" s="87">
        <v>9.8109999999999994E-4</v>
      </c>
      <c r="E619" s="231">
        <v>406277.09</v>
      </c>
      <c r="F619" s="231">
        <v>440312</v>
      </c>
      <c r="G619" s="231">
        <v>1795283</v>
      </c>
      <c r="H619" s="231"/>
      <c r="I619" s="232">
        <v>33730</v>
      </c>
      <c r="J619" s="232">
        <v>1573240</v>
      </c>
      <c r="K619" s="232">
        <v>122961</v>
      </c>
      <c r="L619" s="231">
        <v>54938</v>
      </c>
      <c r="M619" s="231"/>
      <c r="N619" s="232">
        <v>62909</v>
      </c>
      <c r="O619" s="232">
        <v>580675</v>
      </c>
      <c r="P619" s="232">
        <v>0</v>
      </c>
      <c r="Q619" s="231">
        <v>26851</v>
      </c>
      <c r="R619" s="232">
        <f t="shared" si="9"/>
        <v>992565</v>
      </c>
      <c r="S619" s="231"/>
      <c r="T619" s="232">
        <v>479853</v>
      </c>
      <c r="U619" s="233">
        <v>14104</v>
      </c>
      <c r="V619" s="233">
        <v>493957</v>
      </c>
    </row>
    <row r="620" spans="1:22">
      <c r="A620" s="226">
        <v>96711</v>
      </c>
      <c r="B620" s="227" t="s">
        <v>1326</v>
      </c>
      <c r="C620" s="87">
        <v>4.4140000000000004E-3</v>
      </c>
      <c r="D620" s="87">
        <v>4.2459999999999998E-3</v>
      </c>
      <c r="E620" s="231">
        <v>1606504.9700000004</v>
      </c>
      <c r="F620" s="231">
        <v>1905579</v>
      </c>
      <c r="G620" s="231">
        <v>9367987</v>
      </c>
      <c r="H620" s="231"/>
      <c r="I620" s="232">
        <v>176008</v>
      </c>
      <c r="J620" s="232">
        <v>8209343</v>
      </c>
      <c r="K620" s="232">
        <v>641623</v>
      </c>
      <c r="L620" s="231">
        <v>20750</v>
      </c>
      <c r="M620" s="231"/>
      <c r="N620" s="232">
        <v>328265</v>
      </c>
      <c r="O620" s="232">
        <v>3030026</v>
      </c>
      <c r="P620" s="232">
        <v>0</v>
      </c>
      <c r="Q620" s="231">
        <v>348266</v>
      </c>
      <c r="R620" s="232">
        <f t="shared" si="9"/>
        <v>5179317</v>
      </c>
      <c r="S620" s="231"/>
      <c r="T620" s="232">
        <v>2503925</v>
      </c>
      <c r="U620" s="233">
        <v>-105928</v>
      </c>
      <c r="V620" s="233">
        <v>2397997</v>
      </c>
    </row>
    <row r="621" spans="1:22">
      <c r="A621" s="226">
        <v>96721</v>
      </c>
      <c r="B621" s="227" t="s">
        <v>1327</v>
      </c>
      <c r="C621" s="87">
        <v>1.9780000000000001E-4</v>
      </c>
      <c r="D621" s="87">
        <v>2.5119999999999998E-4</v>
      </c>
      <c r="E621" s="231">
        <v>74366.510000000009</v>
      </c>
      <c r="F621" s="231">
        <v>112737</v>
      </c>
      <c r="G621" s="231">
        <v>419798</v>
      </c>
      <c r="H621" s="231"/>
      <c r="I621" s="232">
        <v>7887</v>
      </c>
      <c r="J621" s="232">
        <v>367877</v>
      </c>
      <c r="K621" s="232">
        <v>28752</v>
      </c>
      <c r="L621" s="231">
        <v>10855</v>
      </c>
      <c r="M621" s="231"/>
      <c r="N621" s="232">
        <v>14710</v>
      </c>
      <c r="O621" s="232">
        <v>135781</v>
      </c>
      <c r="P621" s="232">
        <v>0</v>
      </c>
      <c r="Q621" s="231">
        <v>34469</v>
      </c>
      <c r="R621" s="232">
        <f t="shared" si="9"/>
        <v>232096</v>
      </c>
      <c r="S621" s="231"/>
      <c r="T621" s="232">
        <v>112206</v>
      </c>
      <c r="U621" s="233">
        <v>-3553</v>
      </c>
      <c r="V621" s="233">
        <v>108653</v>
      </c>
    </row>
    <row r="622" spans="1:22">
      <c r="A622" s="226">
        <v>96731</v>
      </c>
      <c r="B622" s="227" t="s">
        <v>1328</v>
      </c>
      <c r="C622" s="87">
        <v>1.5090000000000001E-4</v>
      </c>
      <c r="D622" s="87">
        <v>1.3420000000000001E-4</v>
      </c>
      <c r="E622" s="231">
        <v>65647.320000000007</v>
      </c>
      <c r="F622" s="231">
        <v>60228</v>
      </c>
      <c r="G622" s="231">
        <v>320260</v>
      </c>
      <c r="H622" s="231"/>
      <c r="I622" s="232">
        <v>6017</v>
      </c>
      <c r="J622" s="232">
        <v>280650</v>
      </c>
      <c r="K622" s="232">
        <v>21935</v>
      </c>
      <c r="L622" s="231">
        <v>18052</v>
      </c>
      <c r="M622" s="231"/>
      <c r="N622" s="232">
        <v>11222</v>
      </c>
      <c r="O622" s="232">
        <v>103587</v>
      </c>
      <c r="P622" s="232">
        <v>0</v>
      </c>
      <c r="Q622" s="231">
        <v>12</v>
      </c>
      <c r="R622" s="232">
        <f t="shared" si="9"/>
        <v>177063</v>
      </c>
      <c r="S622" s="231"/>
      <c r="T622" s="232">
        <v>85601</v>
      </c>
      <c r="U622" s="233">
        <v>5259</v>
      </c>
      <c r="V622" s="233">
        <v>90859</v>
      </c>
    </row>
    <row r="623" spans="1:22">
      <c r="A623" s="226">
        <v>96733</v>
      </c>
      <c r="B623" s="227" t="s">
        <v>1329</v>
      </c>
      <c r="C623" s="87">
        <v>9.2E-6</v>
      </c>
      <c r="D623" s="87">
        <v>4.1999999999999996E-6</v>
      </c>
      <c r="E623" s="231">
        <v>5389.79</v>
      </c>
      <c r="F623" s="231">
        <v>1885</v>
      </c>
      <c r="G623" s="231">
        <v>19525</v>
      </c>
      <c r="H623" s="231"/>
      <c r="I623" s="232">
        <v>366.85</v>
      </c>
      <c r="J623" s="232">
        <v>17111</v>
      </c>
      <c r="K623" s="232">
        <v>1337</v>
      </c>
      <c r="L623" s="231">
        <v>6066</v>
      </c>
      <c r="M623" s="231"/>
      <c r="N623" s="232">
        <v>684</v>
      </c>
      <c r="O623" s="232">
        <v>6315</v>
      </c>
      <c r="P623" s="232">
        <v>0</v>
      </c>
      <c r="Q623" s="231">
        <v>1048</v>
      </c>
      <c r="R623" s="232">
        <f t="shared" si="9"/>
        <v>10796</v>
      </c>
      <c r="S623" s="231"/>
      <c r="T623" s="232">
        <v>5219</v>
      </c>
      <c r="U623" s="233">
        <v>1707</v>
      </c>
      <c r="V623" s="233">
        <v>6925</v>
      </c>
    </row>
    <row r="624" spans="1:22">
      <c r="A624" s="226">
        <v>96741</v>
      </c>
      <c r="B624" s="227" t="s">
        <v>1330</v>
      </c>
      <c r="C624" s="87">
        <v>9.2399999999999996E-5</v>
      </c>
      <c r="D624" s="87">
        <v>9.2899999999999995E-5</v>
      </c>
      <c r="E624" s="231">
        <v>36389.700000000004</v>
      </c>
      <c r="F624" s="231">
        <v>41693</v>
      </c>
      <c r="G624" s="231">
        <v>196104</v>
      </c>
      <c r="H624" s="231"/>
      <c r="I624" s="232">
        <v>3684.45</v>
      </c>
      <c r="J624" s="232">
        <v>171849</v>
      </c>
      <c r="K624" s="232">
        <v>13431</v>
      </c>
      <c r="L624" s="231">
        <v>7135</v>
      </c>
      <c r="M624" s="231"/>
      <c r="N624" s="232">
        <v>6872</v>
      </c>
      <c r="O624" s="232">
        <v>63429</v>
      </c>
      <c r="P624" s="232">
        <v>0</v>
      </c>
      <c r="Q624" s="231">
        <v>1549</v>
      </c>
      <c r="R624" s="232">
        <f t="shared" si="9"/>
        <v>108420</v>
      </c>
      <c r="S624" s="231"/>
      <c r="T624" s="232">
        <v>52416</v>
      </c>
      <c r="U624" s="233">
        <v>2530</v>
      </c>
      <c r="V624" s="233">
        <v>54946</v>
      </c>
    </row>
    <row r="625" spans="1:22">
      <c r="A625" s="226">
        <v>96751</v>
      </c>
      <c r="B625" s="227" t="s">
        <v>1331</v>
      </c>
      <c r="C625" s="87">
        <v>2.6120000000000001E-4</v>
      </c>
      <c r="D625" s="87">
        <v>3.0909999999999998E-4</v>
      </c>
      <c r="E625" s="231">
        <v>103640.73999999999</v>
      </c>
      <c r="F625" s="231">
        <v>138722</v>
      </c>
      <c r="G625" s="231">
        <v>554354</v>
      </c>
      <c r="H625" s="231"/>
      <c r="I625" s="232">
        <v>10415.35</v>
      </c>
      <c r="J625" s="232">
        <v>485791</v>
      </c>
      <c r="K625" s="232">
        <v>37968</v>
      </c>
      <c r="L625" s="231">
        <v>21728.81</v>
      </c>
      <c r="M625" s="231"/>
      <c r="N625" s="232">
        <v>19425</v>
      </c>
      <c r="O625" s="232">
        <v>179303</v>
      </c>
      <c r="P625" s="232">
        <v>0</v>
      </c>
      <c r="Q625" s="231">
        <v>37607</v>
      </c>
      <c r="R625" s="232">
        <f t="shared" si="9"/>
        <v>306488</v>
      </c>
      <c r="S625" s="231"/>
      <c r="T625" s="232">
        <v>148171</v>
      </c>
      <c r="U625" s="233">
        <v>349</v>
      </c>
      <c r="V625" s="233">
        <v>148519</v>
      </c>
    </row>
    <row r="626" spans="1:22">
      <c r="A626" s="226">
        <v>96801</v>
      </c>
      <c r="B626" s="227" t="s">
        <v>1332</v>
      </c>
      <c r="C626" s="87">
        <v>7.8463999999999999E-3</v>
      </c>
      <c r="D626" s="87">
        <v>7.0825000000000003E-3</v>
      </c>
      <c r="E626" s="231">
        <v>3035869.73</v>
      </c>
      <c r="F626" s="231">
        <v>3178584</v>
      </c>
      <c r="G626" s="231">
        <v>16652689</v>
      </c>
      <c r="H626" s="231"/>
      <c r="I626" s="232">
        <v>312875.2</v>
      </c>
      <c r="J626" s="232">
        <v>14593064</v>
      </c>
      <c r="K626" s="232">
        <v>1140561</v>
      </c>
      <c r="L626" s="231">
        <v>642631</v>
      </c>
      <c r="M626" s="231"/>
      <c r="N626" s="232">
        <v>583529</v>
      </c>
      <c r="O626" s="232">
        <v>5386224</v>
      </c>
      <c r="P626" s="232">
        <v>0</v>
      </c>
      <c r="Q626" s="231">
        <v>0</v>
      </c>
      <c r="R626" s="232">
        <f t="shared" si="9"/>
        <v>9206840</v>
      </c>
      <c r="S626" s="231"/>
      <c r="T626" s="232">
        <v>4451019</v>
      </c>
      <c r="U626" s="233">
        <v>235775</v>
      </c>
      <c r="V626" s="233">
        <v>4686794</v>
      </c>
    </row>
    <row r="627" spans="1:22">
      <c r="A627" s="226">
        <v>96804</v>
      </c>
      <c r="B627" s="227" t="s">
        <v>1333</v>
      </c>
      <c r="C627" s="87">
        <v>2.4230000000000001E-4</v>
      </c>
      <c r="D627" s="87">
        <v>2.275E-4</v>
      </c>
      <c r="E627" s="231">
        <v>89702.400000000009</v>
      </c>
      <c r="F627" s="231">
        <v>102101</v>
      </c>
      <c r="G627" s="231">
        <v>514242</v>
      </c>
      <c r="H627" s="231"/>
      <c r="I627" s="232">
        <v>9662</v>
      </c>
      <c r="J627" s="232">
        <v>450640</v>
      </c>
      <c r="K627" s="232">
        <v>35221</v>
      </c>
      <c r="L627" s="231">
        <v>4453</v>
      </c>
      <c r="M627" s="231"/>
      <c r="N627" s="232">
        <v>18020</v>
      </c>
      <c r="O627" s="232">
        <v>166329</v>
      </c>
      <c r="P627" s="232">
        <v>0</v>
      </c>
      <c r="Q627" s="231">
        <v>3167</v>
      </c>
      <c r="R627" s="232">
        <f t="shared" si="9"/>
        <v>284311</v>
      </c>
      <c r="S627" s="231"/>
      <c r="T627" s="232">
        <v>137449</v>
      </c>
      <c r="U627" s="233">
        <v>1085</v>
      </c>
      <c r="V627" s="233">
        <v>138535</v>
      </c>
    </row>
    <row r="628" spans="1:22">
      <c r="A628" s="226">
        <v>96808</v>
      </c>
      <c r="B628" s="227" t="s">
        <v>1334</v>
      </c>
      <c r="C628" s="87">
        <v>1.2882E-3</v>
      </c>
      <c r="D628" s="87">
        <v>1.1995E-3</v>
      </c>
      <c r="E628" s="231">
        <v>505072.35</v>
      </c>
      <c r="F628" s="231">
        <v>538328</v>
      </c>
      <c r="G628" s="231">
        <v>2733992</v>
      </c>
      <c r="H628" s="231"/>
      <c r="I628" s="232">
        <v>51367</v>
      </c>
      <c r="J628" s="232">
        <v>2395848</v>
      </c>
      <c r="K628" s="232">
        <v>187254</v>
      </c>
      <c r="L628" s="231">
        <v>67087</v>
      </c>
      <c r="M628" s="231"/>
      <c r="N628" s="232">
        <v>95802</v>
      </c>
      <c r="O628" s="232">
        <v>884295</v>
      </c>
      <c r="P628" s="232">
        <v>0</v>
      </c>
      <c r="Q628" s="231">
        <v>0</v>
      </c>
      <c r="R628" s="232">
        <f t="shared" si="9"/>
        <v>1511553</v>
      </c>
      <c r="S628" s="231"/>
      <c r="T628" s="232">
        <v>730756</v>
      </c>
      <c r="U628" s="233">
        <v>24558</v>
      </c>
      <c r="V628" s="233">
        <v>755313</v>
      </c>
    </row>
    <row r="629" spans="1:22">
      <c r="A629" s="226">
        <v>96811</v>
      </c>
      <c r="B629" s="227" t="s">
        <v>1335</v>
      </c>
      <c r="C629" s="87">
        <v>5.9861999999999997E-3</v>
      </c>
      <c r="D629" s="87">
        <v>6.0393000000000001E-3</v>
      </c>
      <c r="E629" s="231">
        <v>2443568.73</v>
      </c>
      <c r="F629" s="231">
        <v>2710402</v>
      </c>
      <c r="G629" s="231">
        <v>12704722</v>
      </c>
      <c r="H629" s="231"/>
      <c r="I629" s="232">
        <v>238700</v>
      </c>
      <c r="J629" s="232">
        <v>11133386</v>
      </c>
      <c r="K629" s="232">
        <v>870160</v>
      </c>
      <c r="L629" s="231">
        <v>0</v>
      </c>
      <c r="M629" s="231"/>
      <c r="N629" s="232">
        <v>445188</v>
      </c>
      <c r="O629" s="232">
        <v>4109275</v>
      </c>
      <c r="P629" s="232">
        <v>0</v>
      </c>
      <c r="Q629" s="231">
        <v>86222</v>
      </c>
      <c r="R629" s="232">
        <f t="shared" si="9"/>
        <v>7024111</v>
      </c>
      <c r="S629" s="231"/>
      <c r="T629" s="232">
        <v>3395786</v>
      </c>
      <c r="U629" s="233">
        <v>-32722</v>
      </c>
      <c r="V629" s="233">
        <v>3363064</v>
      </c>
    </row>
    <row r="630" spans="1:22">
      <c r="A630" s="226">
        <v>96821</v>
      </c>
      <c r="B630" s="227" t="s">
        <v>1336</v>
      </c>
      <c r="C630" s="87">
        <v>1.3630999999999999E-3</v>
      </c>
      <c r="D630" s="87">
        <v>1.4808E-3</v>
      </c>
      <c r="E630" s="231">
        <v>518291.4</v>
      </c>
      <c r="F630" s="231">
        <v>664574</v>
      </c>
      <c r="G630" s="231">
        <v>2892955</v>
      </c>
      <c r="H630" s="231"/>
      <c r="I630" s="232">
        <v>54354</v>
      </c>
      <c r="J630" s="232">
        <v>2535151</v>
      </c>
      <c r="K630" s="232">
        <v>198142</v>
      </c>
      <c r="L630" s="231">
        <v>0</v>
      </c>
      <c r="M630" s="231"/>
      <c r="N630" s="232">
        <v>101372</v>
      </c>
      <c r="O630" s="232">
        <v>935711</v>
      </c>
      <c r="P630" s="232">
        <v>0</v>
      </c>
      <c r="Q630" s="231">
        <v>153131</v>
      </c>
      <c r="R630" s="232">
        <f t="shared" si="9"/>
        <v>1599440</v>
      </c>
      <c r="S630" s="231"/>
      <c r="T630" s="232">
        <v>773244</v>
      </c>
      <c r="U630" s="233">
        <v>-47603</v>
      </c>
      <c r="V630" s="233">
        <v>725641</v>
      </c>
    </row>
    <row r="631" spans="1:22">
      <c r="A631" s="226">
        <v>96831</v>
      </c>
      <c r="B631" s="227" t="s">
        <v>1337</v>
      </c>
      <c r="C631" s="87">
        <v>9.2400000000000002E-4</v>
      </c>
      <c r="D631" s="87">
        <v>8.3830000000000005E-4</v>
      </c>
      <c r="E631" s="231">
        <v>353922.04000000004</v>
      </c>
      <c r="F631" s="231">
        <v>376224</v>
      </c>
      <c r="G631" s="231">
        <v>1961037.54</v>
      </c>
      <c r="H631" s="231"/>
      <c r="I631" s="232">
        <v>36844.5</v>
      </c>
      <c r="J631" s="232">
        <v>1718494</v>
      </c>
      <c r="K631" s="232">
        <v>134314</v>
      </c>
      <c r="L631" s="231">
        <v>56487</v>
      </c>
      <c r="M631" s="231"/>
      <c r="N631" s="232">
        <v>68717</v>
      </c>
      <c r="O631" s="232">
        <v>634287</v>
      </c>
      <c r="P631" s="232">
        <v>0</v>
      </c>
      <c r="Q631" s="231">
        <v>0</v>
      </c>
      <c r="R631" s="232">
        <f t="shared" si="9"/>
        <v>1084207</v>
      </c>
      <c r="S631" s="231"/>
      <c r="T631" s="232">
        <v>524157</v>
      </c>
      <c r="U631" s="233">
        <v>19257</v>
      </c>
      <c r="V631" s="233">
        <v>543413</v>
      </c>
    </row>
    <row r="632" spans="1:22">
      <c r="A632" s="226">
        <v>96901</v>
      </c>
      <c r="B632" s="227" t="s">
        <v>1338</v>
      </c>
      <c r="C632" s="87">
        <v>8.1610000000000005E-4</v>
      </c>
      <c r="D632" s="87">
        <v>7.6599999999999997E-4</v>
      </c>
      <c r="E632" s="231">
        <v>326581.33</v>
      </c>
      <c r="F632" s="231">
        <v>343776</v>
      </c>
      <c r="G632" s="231">
        <v>1732038</v>
      </c>
      <c r="H632" s="231"/>
      <c r="I632" s="232">
        <v>32542</v>
      </c>
      <c r="J632" s="232">
        <v>1517817</v>
      </c>
      <c r="K632" s="232">
        <v>118629</v>
      </c>
      <c r="L632" s="231">
        <v>46444</v>
      </c>
      <c r="M632" s="231"/>
      <c r="N632" s="232">
        <v>60693</v>
      </c>
      <c r="O632" s="232">
        <v>560218</v>
      </c>
      <c r="P632" s="232">
        <v>0</v>
      </c>
      <c r="Q632" s="231">
        <v>0</v>
      </c>
      <c r="R632" s="232">
        <f t="shared" si="9"/>
        <v>957599</v>
      </c>
      <c r="S632" s="231"/>
      <c r="T632" s="232">
        <v>462948</v>
      </c>
      <c r="U632" s="233">
        <v>15281</v>
      </c>
      <c r="V632" s="233">
        <v>478229</v>
      </c>
    </row>
    <row r="633" spans="1:22">
      <c r="A633" s="226">
        <v>96911</v>
      </c>
      <c r="B633" s="227" t="s">
        <v>1339</v>
      </c>
      <c r="C633" s="87">
        <v>3.7000000000000002E-6</v>
      </c>
      <c r="D633" s="87">
        <v>1.15E-5</v>
      </c>
      <c r="E633" s="231">
        <v>2162.39</v>
      </c>
      <c r="F633" s="231">
        <v>5161</v>
      </c>
      <c r="G633" s="231">
        <v>7853</v>
      </c>
      <c r="H633" s="231"/>
      <c r="I633" s="232">
        <v>147.53749999999999</v>
      </c>
      <c r="J633" s="232">
        <v>6881</v>
      </c>
      <c r="K633" s="232">
        <v>538</v>
      </c>
      <c r="L633" s="231">
        <v>3997</v>
      </c>
      <c r="M633" s="231"/>
      <c r="N633" s="232">
        <v>275</v>
      </c>
      <c r="O633" s="232">
        <v>2540</v>
      </c>
      <c r="P633" s="232">
        <v>0</v>
      </c>
      <c r="Q633" s="231">
        <v>3716</v>
      </c>
      <c r="R633" s="232">
        <f t="shared" si="9"/>
        <v>4341</v>
      </c>
      <c r="S633" s="231"/>
      <c r="T633" s="232">
        <v>2099</v>
      </c>
      <c r="U633" s="233">
        <v>571</v>
      </c>
      <c r="V633" s="233">
        <v>2669</v>
      </c>
    </row>
    <row r="634" spans="1:22">
      <c r="A634" s="226">
        <v>96912</v>
      </c>
      <c r="B634" s="227" t="s">
        <v>1340</v>
      </c>
      <c r="C634" s="87">
        <v>6.0999999999999999E-5</v>
      </c>
      <c r="D634" s="87">
        <v>5.5899999999999997E-5</v>
      </c>
      <c r="E634" s="231">
        <v>20331.63</v>
      </c>
      <c r="F634" s="231">
        <v>25088</v>
      </c>
      <c r="G634" s="231">
        <v>129462</v>
      </c>
      <c r="H634" s="231"/>
      <c r="I634" s="232">
        <v>2432.375</v>
      </c>
      <c r="J634" s="232">
        <v>113450</v>
      </c>
      <c r="K634" s="232">
        <v>8867</v>
      </c>
      <c r="L634" s="231">
        <v>7641</v>
      </c>
      <c r="M634" s="231"/>
      <c r="N634" s="232">
        <v>4537</v>
      </c>
      <c r="O634" s="232">
        <v>41874</v>
      </c>
      <c r="P634" s="232">
        <v>0</v>
      </c>
      <c r="Q634" s="231">
        <v>1013</v>
      </c>
      <c r="R634" s="232">
        <f t="shared" si="9"/>
        <v>71576</v>
      </c>
      <c r="S634" s="231"/>
      <c r="T634" s="232">
        <v>34603</v>
      </c>
      <c r="U634" s="233">
        <v>3054</v>
      </c>
      <c r="V634" s="233">
        <v>37657</v>
      </c>
    </row>
    <row r="635" spans="1:22">
      <c r="A635" s="226">
        <v>96918</v>
      </c>
      <c r="B635" s="227" t="s">
        <v>1341</v>
      </c>
      <c r="C635" s="87">
        <v>4.0500000000000002E-5</v>
      </c>
      <c r="D635" s="87">
        <v>4.5099999999999998E-5</v>
      </c>
      <c r="E635" s="231">
        <v>18289.97</v>
      </c>
      <c r="F635" s="231">
        <v>20241</v>
      </c>
      <c r="G635" s="231">
        <v>85955</v>
      </c>
      <c r="H635" s="231"/>
      <c r="I635" s="232">
        <v>1614.9375</v>
      </c>
      <c r="J635" s="232">
        <v>75324</v>
      </c>
      <c r="K635" s="232">
        <v>5887</v>
      </c>
      <c r="L635" s="231">
        <v>12921</v>
      </c>
      <c r="M635" s="231"/>
      <c r="N635" s="232">
        <v>3012</v>
      </c>
      <c r="O635" s="232">
        <v>27802</v>
      </c>
      <c r="P635" s="232">
        <v>0</v>
      </c>
      <c r="Q635" s="231">
        <v>1194</v>
      </c>
      <c r="R635" s="232">
        <f t="shared" si="9"/>
        <v>47522</v>
      </c>
      <c r="S635" s="231"/>
      <c r="T635" s="232">
        <v>22974</v>
      </c>
      <c r="U635" s="233">
        <v>5498</v>
      </c>
      <c r="V635" s="233">
        <v>28472</v>
      </c>
    </row>
    <row r="636" spans="1:22">
      <c r="A636" s="226">
        <v>97001</v>
      </c>
      <c r="B636" s="227" t="s">
        <v>1342</v>
      </c>
      <c r="C636" s="87">
        <v>1.3641E-3</v>
      </c>
      <c r="D636" s="87">
        <v>1.3221999999999999E-3</v>
      </c>
      <c r="E636" s="231">
        <v>636604.70000000007</v>
      </c>
      <c r="F636" s="231">
        <v>593395</v>
      </c>
      <c r="G636" s="231">
        <v>2895077</v>
      </c>
      <c r="H636" s="231"/>
      <c r="I636" s="232">
        <v>54393</v>
      </c>
      <c r="J636" s="232">
        <v>2537010</v>
      </c>
      <c r="K636" s="232">
        <v>198287</v>
      </c>
      <c r="L636" s="231">
        <v>107093</v>
      </c>
      <c r="M636" s="231"/>
      <c r="N636" s="232">
        <v>101447</v>
      </c>
      <c r="O636" s="232">
        <v>936397</v>
      </c>
      <c r="P636" s="232">
        <v>0</v>
      </c>
      <c r="Q636" s="231">
        <v>23162</v>
      </c>
      <c r="R636" s="232">
        <f t="shared" si="9"/>
        <v>1600613</v>
      </c>
      <c r="S636" s="231"/>
      <c r="T636" s="232">
        <v>773812</v>
      </c>
      <c r="U636" s="233">
        <v>18430</v>
      </c>
      <c r="V636" s="233">
        <v>792241</v>
      </c>
    </row>
    <row r="637" spans="1:22">
      <c r="A637" s="226">
        <v>97002</v>
      </c>
      <c r="B637" s="227" t="s">
        <v>1343</v>
      </c>
      <c r="C637" s="87">
        <v>4.6589999999999999E-4</v>
      </c>
      <c r="D637" s="87">
        <v>3.9229999999999999E-4</v>
      </c>
      <c r="E637" s="231">
        <v>151526.06</v>
      </c>
      <c r="F637" s="231">
        <v>176062</v>
      </c>
      <c r="G637" s="231">
        <v>988796</v>
      </c>
      <c r="H637" s="231"/>
      <c r="I637" s="232">
        <v>18578</v>
      </c>
      <c r="J637" s="232">
        <v>866500</v>
      </c>
      <c r="K637" s="232">
        <v>67724</v>
      </c>
      <c r="L637" s="231">
        <v>28607</v>
      </c>
      <c r="M637" s="231"/>
      <c r="N637" s="232">
        <v>34649</v>
      </c>
      <c r="O637" s="232">
        <v>319821</v>
      </c>
      <c r="P637" s="232">
        <v>0</v>
      </c>
      <c r="Q637" s="231">
        <v>0</v>
      </c>
      <c r="R637" s="232">
        <f t="shared" si="9"/>
        <v>546679</v>
      </c>
      <c r="S637" s="231"/>
      <c r="T637" s="232">
        <v>264291</v>
      </c>
      <c r="U637" s="233">
        <v>11776</v>
      </c>
      <c r="V637" s="233">
        <v>276066</v>
      </c>
    </row>
    <row r="638" spans="1:22">
      <c r="A638" s="226">
        <v>97004</v>
      </c>
      <c r="B638" s="227" t="s">
        <v>1344</v>
      </c>
      <c r="C638" s="87">
        <v>1.0900000000000001E-5</v>
      </c>
      <c r="D638" s="87">
        <v>1.47E-5</v>
      </c>
      <c r="E638" s="231">
        <v>7359.36</v>
      </c>
      <c r="F638" s="231">
        <v>6597</v>
      </c>
      <c r="G638" s="231">
        <v>23133</v>
      </c>
      <c r="H638" s="231"/>
      <c r="I638" s="232">
        <v>435</v>
      </c>
      <c r="J638" s="232">
        <v>20272</v>
      </c>
      <c r="K638" s="232">
        <v>1584</v>
      </c>
      <c r="L638" s="231">
        <v>3251</v>
      </c>
      <c r="M638" s="231"/>
      <c r="N638" s="232">
        <v>811</v>
      </c>
      <c r="O638" s="232">
        <v>7482</v>
      </c>
      <c r="P638" s="232">
        <v>0</v>
      </c>
      <c r="Q638" s="231">
        <v>0</v>
      </c>
      <c r="R638" s="232">
        <f t="shared" si="9"/>
        <v>12790</v>
      </c>
      <c r="S638" s="231"/>
      <c r="T638" s="232">
        <v>6183</v>
      </c>
      <c r="U638" s="233">
        <v>1295</v>
      </c>
      <c r="V638" s="233">
        <v>7478</v>
      </c>
    </row>
    <row r="639" spans="1:22">
      <c r="A639" s="226">
        <v>97005</v>
      </c>
      <c r="B639" s="227" t="s">
        <v>1345</v>
      </c>
      <c r="C639" s="87">
        <v>1.42E-5</v>
      </c>
      <c r="D639" s="87">
        <v>2.3799999999999999E-5</v>
      </c>
      <c r="E639" s="231">
        <v>10552.87</v>
      </c>
      <c r="F639" s="231">
        <v>10681</v>
      </c>
      <c r="G639" s="231">
        <v>30137</v>
      </c>
      <c r="H639" s="231"/>
      <c r="I639" s="232">
        <v>566.22500000000002</v>
      </c>
      <c r="J639" s="232">
        <v>26410</v>
      </c>
      <c r="K639" s="232">
        <v>2064</v>
      </c>
      <c r="L639" s="231">
        <v>3091</v>
      </c>
      <c r="M639" s="231"/>
      <c r="N639" s="232">
        <v>1056</v>
      </c>
      <c r="O639" s="232">
        <v>9748</v>
      </c>
      <c r="P639" s="232">
        <v>0</v>
      </c>
      <c r="Q639" s="231">
        <v>2036</v>
      </c>
      <c r="R639" s="232">
        <f t="shared" si="9"/>
        <v>16662</v>
      </c>
      <c r="S639" s="231"/>
      <c r="T639" s="232">
        <v>8055</v>
      </c>
      <c r="U639" s="233">
        <v>428</v>
      </c>
      <c r="V639" s="233">
        <v>8483</v>
      </c>
    </row>
    <row r="640" spans="1:22">
      <c r="A640" s="226">
        <v>97008</v>
      </c>
      <c r="B640" s="227" t="s">
        <v>1346</v>
      </c>
      <c r="C640" s="87">
        <v>2.7530000000000002E-4</v>
      </c>
      <c r="D640" s="87">
        <v>2.6959999999999999E-4</v>
      </c>
      <c r="E640" s="231">
        <v>107270.37</v>
      </c>
      <c r="F640" s="231">
        <v>120995</v>
      </c>
      <c r="G640" s="231">
        <v>584279</v>
      </c>
      <c r="H640" s="231"/>
      <c r="I640" s="232">
        <v>10978</v>
      </c>
      <c r="J640" s="232">
        <v>512015</v>
      </c>
      <c r="K640" s="232">
        <v>40018</v>
      </c>
      <c r="L640" s="231">
        <v>14688</v>
      </c>
      <c r="M640" s="231"/>
      <c r="N640" s="232">
        <v>20474</v>
      </c>
      <c r="O640" s="232">
        <v>188982</v>
      </c>
      <c r="P640" s="232">
        <v>0</v>
      </c>
      <c r="Q640" s="231">
        <v>4604</v>
      </c>
      <c r="R640" s="232">
        <f t="shared" si="9"/>
        <v>323033</v>
      </c>
      <c r="S640" s="231"/>
      <c r="T640" s="232">
        <v>156169</v>
      </c>
      <c r="U640" s="233">
        <v>5904</v>
      </c>
      <c r="V640" s="233">
        <v>162074</v>
      </c>
    </row>
    <row r="641" spans="1:22">
      <c r="A641" s="226">
        <v>97010</v>
      </c>
      <c r="B641" s="227" t="s">
        <v>1347</v>
      </c>
      <c r="C641" s="87">
        <v>0</v>
      </c>
      <c r="D641" s="87">
        <v>0</v>
      </c>
      <c r="E641" s="231">
        <v>0</v>
      </c>
      <c r="F641" s="231">
        <v>0</v>
      </c>
      <c r="G641" s="231">
        <v>0</v>
      </c>
      <c r="H641" s="231"/>
      <c r="I641" s="232">
        <v>0</v>
      </c>
      <c r="J641" s="232">
        <v>0</v>
      </c>
      <c r="K641" s="232">
        <v>0</v>
      </c>
      <c r="L641" s="231">
        <v>0</v>
      </c>
      <c r="M641" s="231"/>
      <c r="N641" s="232">
        <v>0</v>
      </c>
      <c r="O641" s="232">
        <v>0</v>
      </c>
      <c r="P641" s="232">
        <v>0</v>
      </c>
      <c r="Q641" s="231">
        <v>3339356</v>
      </c>
      <c r="R641" s="232">
        <f t="shared" si="9"/>
        <v>0</v>
      </c>
      <c r="S641" s="231"/>
      <c r="T641" s="232">
        <v>0</v>
      </c>
      <c r="U641" s="233">
        <v>-1282454</v>
      </c>
      <c r="V641" s="233">
        <v>-1282454</v>
      </c>
    </row>
    <row r="642" spans="1:22">
      <c r="A642" s="226">
        <v>97011</v>
      </c>
      <c r="B642" s="227" t="s">
        <v>1348</v>
      </c>
      <c r="C642" s="87">
        <v>1.9522999999999999E-3</v>
      </c>
      <c r="D642" s="87">
        <v>2.0471E-3</v>
      </c>
      <c r="E642" s="231">
        <v>745774.1399999999</v>
      </c>
      <c r="F642" s="231">
        <v>918726</v>
      </c>
      <c r="G642" s="231">
        <v>4143435</v>
      </c>
      <c r="H642" s="231"/>
      <c r="I642" s="232">
        <v>77848</v>
      </c>
      <c r="J642" s="232">
        <v>3630970</v>
      </c>
      <c r="K642" s="232">
        <v>283788</v>
      </c>
      <c r="L642" s="231">
        <v>0</v>
      </c>
      <c r="M642" s="231"/>
      <c r="N642" s="232">
        <v>145191</v>
      </c>
      <c r="O642" s="232">
        <v>1340172</v>
      </c>
      <c r="P642" s="232">
        <v>0</v>
      </c>
      <c r="Q642" s="231">
        <v>128959</v>
      </c>
      <c r="R642" s="232">
        <f t="shared" si="9"/>
        <v>2290798</v>
      </c>
      <c r="S642" s="231"/>
      <c r="T642" s="232">
        <v>1107479</v>
      </c>
      <c r="U642" s="233">
        <v>-38250</v>
      </c>
      <c r="V642" s="233">
        <v>1069229</v>
      </c>
    </row>
    <row r="643" spans="1:22">
      <c r="A643" s="226">
        <v>97012</v>
      </c>
      <c r="B643" s="227" t="s">
        <v>1349</v>
      </c>
      <c r="C643" s="87">
        <v>2.4499999999999999E-5</v>
      </c>
      <c r="D643" s="87">
        <v>2.4199999999999999E-5</v>
      </c>
      <c r="E643" s="231">
        <v>14173.02</v>
      </c>
      <c r="F643" s="231">
        <v>10861</v>
      </c>
      <c r="G643" s="231">
        <v>51997</v>
      </c>
      <c r="H643" s="231"/>
      <c r="I643" s="232">
        <v>976.9375</v>
      </c>
      <c r="J643" s="232">
        <v>45566</v>
      </c>
      <c r="K643" s="232">
        <v>3561</v>
      </c>
      <c r="L643" s="231">
        <v>3417</v>
      </c>
      <c r="M643" s="231"/>
      <c r="N643" s="232">
        <v>1822</v>
      </c>
      <c r="O643" s="232">
        <v>16818</v>
      </c>
      <c r="P643" s="232">
        <v>0</v>
      </c>
      <c r="Q643" s="231">
        <v>1887</v>
      </c>
      <c r="R643" s="232">
        <f t="shared" si="9"/>
        <v>28748</v>
      </c>
      <c r="S643" s="231"/>
      <c r="T643" s="232">
        <v>13898</v>
      </c>
      <c r="U643" s="233">
        <v>148</v>
      </c>
      <c r="V643" s="233">
        <v>14046</v>
      </c>
    </row>
    <row r="644" spans="1:22">
      <c r="A644" s="226">
        <v>97013</v>
      </c>
      <c r="B644" s="227" t="s">
        <v>1350</v>
      </c>
      <c r="C644" s="87">
        <v>2.0699999999999998E-5</v>
      </c>
      <c r="D644" s="87">
        <v>1.1399999999999999E-5</v>
      </c>
      <c r="E644" s="231">
        <v>8196.81</v>
      </c>
      <c r="F644" s="231">
        <v>5116</v>
      </c>
      <c r="G644" s="231">
        <v>43932</v>
      </c>
      <c r="H644" s="231"/>
      <c r="I644" s="232">
        <v>825</v>
      </c>
      <c r="J644" s="232">
        <v>38499</v>
      </c>
      <c r="K644" s="232">
        <v>3009</v>
      </c>
      <c r="L644" s="231">
        <v>7733</v>
      </c>
      <c r="M644" s="231"/>
      <c r="N644" s="232">
        <v>1539</v>
      </c>
      <c r="O644" s="232">
        <v>14210</v>
      </c>
      <c r="P644" s="232">
        <v>0</v>
      </c>
      <c r="Q644" s="231">
        <v>866</v>
      </c>
      <c r="R644" s="232">
        <f t="shared" si="9"/>
        <v>24289</v>
      </c>
      <c r="S644" s="231"/>
      <c r="T644" s="232">
        <v>11742</v>
      </c>
      <c r="U644" s="233">
        <v>1850</v>
      </c>
      <c r="V644" s="233">
        <v>13592</v>
      </c>
    </row>
    <row r="645" spans="1:22">
      <c r="A645" s="226">
        <v>97015</v>
      </c>
      <c r="B645" s="227" t="s">
        <v>1351</v>
      </c>
      <c r="C645" s="87">
        <v>5.3699999999999997E-5</v>
      </c>
      <c r="D645" s="87">
        <v>4.7700000000000001E-5</v>
      </c>
      <c r="E645" s="231">
        <v>21900.080000000002</v>
      </c>
      <c r="F645" s="231">
        <v>21407</v>
      </c>
      <c r="G645" s="231">
        <v>113969</v>
      </c>
      <c r="H645" s="231"/>
      <c r="I645" s="232">
        <v>2141</v>
      </c>
      <c r="J645" s="232">
        <v>99874</v>
      </c>
      <c r="K645" s="232">
        <v>7806</v>
      </c>
      <c r="L645" s="231">
        <v>6681</v>
      </c>
      <c r="M645" s="231"/>
      <c r="N645" s="232">
        <v>3994</v>
      </c>
      <c r="O645" s="232">
        <v>36863</v>
      </c>
      <c r="P645" s="232">
        <v>0</v>
      </c>
      <c r="Q645" s="231">
        <v>1588</v>
      </c>
      <c r="R645" s="232">
        <f t="shared" si="9"/>
        <v>63011</v>
      </c>
      <c r="S645" s="231"/>
      <c r="T645" s="232">
        <v>30462</v>
      </c>
      <c r="U645" s="233">
        <v>1274</v>
      </c>
      <c r="V645" s="233">
        <v>31737</v>
      </c>
    </row>
    <row r="646" spans="1:22">
      <c r="A646" s="226">
        <v>97018</v>
      </c>
      <c r="B646" s="227" t="s">
        <v>1352</v>
      </c>
      <c r="C646" s="87">
        <v>9.3999999999999998E-6</v>
      </c>
      <c r="D646" s="87">
        <v>9.5000000000000005E-6</v>
      </c>
      <c r="E646" s="231">
        <v>7336.3199999999988</v>
      </c>
      <c r="F646" s="231">
        <v>4264</v>
      </c>
      <c r="G646" s="231">
        <v>19950</v>
      </c>
      <c r="H646" s="231"/>
      <c r="I646" s="232">
        <v>374.82499999999999</v>
      </c>
      <c r="J646" s="232">
        <v>17483</v>
      </c>
      <c r="K646" s="232">
        <v>1366</v>
      </c>
      <c r="L646" s="231">
        <v>6124</v>
      </c>
      <c r="M646" s="231"/>
      <c r="N646" s="232">
        <v>699</v>
      </c>
      <c r="O646" s="232">
        <v>6453</v>
      </c>
      <c r="P646" s="232">
        <v>0</v>
      </c>
      <c r="Q646" s="231">
        <v>0</v>
      </c>
      <c r="R646" s="232">
        <f t="shared" si="9"/>
        <v>11030</v>
      </c>
      <c r="S646" s="231"/>
      <c r="T646" s="232">
        <v>5332</v>
      </c>
      <c r="U646" s="233">
        <v>2103</v>
      </c>
      <c r="V646" s="233">
        <v>7435</v>
      </c>
    </row>
    <row r="647" spans="1:22">
      <c r="A647" s="226">
        <v>97101</v>
      </c>
      <c r="B647" s="227" t="s">
        <v>1353</v>
      </c>
      <c r="C647" s="87">
        <v>2.6029E-3</v>
      </c>
      <c r="D647" s="87">
        <v>2.5864999999999998E-3</v>
      </c>
      <c r="E647" s="231">
        <v>1065743.6500000001</v>
      </c>
      <c r="F647" s="231">
        <v>1160806</v>
      </c>
      <c r="G647" s="231">
        <v>5524226</v>
      </c>
      <c r="H647" s="231"/>
      <c r="I647" s="232">
        <v>103791</v>
      </c>
      <c r="J647" s="232">
        <v>4840983</v>
      </c>
      <c r="K647" s="232">
        <v>378360</v>
      </c>
      <c r="L647" s="231">
        <v>28605</v>
      </c>
      <c r="M647" s="231"/>
      <c r="N647" s="232">
        <v>193575</v>
      </c>
      <c r="O647" s="232">
        <v>1786782</v>
      </c>
      <c r="P647" s="232">
        <v>0</v>
      </c>
      <c r="Q647" s="231">
        <v>13944</v>
      </c>
      <c r="R647" s="232">
        <f t="shared" si="9"/>
        <v>3054201</v>
      </c>
      <c r="S647" s="231"/>
      <c r="T647" s="232">
        <v>1476544</v>
      </c>
      <c r="U647" s="233">
        <v>2643</v>
      </c>
      <c r="V647" s="233">
        <v>1479187</v>
      </c>
    </row>
    <row r="648" spans="1:22">
      <c r="A648" s="226">
        <v>97104</v>
      </c>
      <c r="B648" s="227" t="s">
        <v>1354</v>
      </c>
      <c r="C648" s="87">
        <v>5.6799999999999998E-5</v>
      </c>
      <c r="D648" s="87">
        <v>5.2099999999999999E-5</v>
      </c>
      <c r="E648" s="231">
        <v>26203.390000000003</v>
      </c>
      <c r="F648" s="231">
        <v>23382</v>
      </c>
      <c r="G648" s="231">
        <v>120549</v>
      </c>
      <c r="H648" s="231"/>
      <c r="I648" s="232">
        <v>2264.9</v>
      </c>
      <c r="J648" s="232">
        <v>105639</v>
      </c>
      <c r="K648" s="232">
        <v>8257</v>
      </c>
      <c r="L648" s="231">
        <v>15710</v>
      </c>
      <c r="M648" s="231"/>
      <c r="N648" s="232">
        <v>4224</v>
      </c>
      <c r="O648" s="232">
        <v>38991</v>
      </c>
      <c r="P648" s="232">
        <v>0</v>
      </c>
      <c r="Q648" s="231">
        <v>0</v>
      </c>
      <c r="R648" s="232">
        <f t="shared" si="9"/>
        <v>66648</v>
      </c>
      <c r="S648" s="231"/>
      <c r="T648" s="232">
        <v>32221</v>
      </c>
      <c r="U648" s="233">
        <v>5708</v>
      </c>
      <c r="V648" s="233">
        <v>37929</v>
      </c>
    </row>
    <row r="649" spans="1:22">
      <c r="A649" s="226">
        <v>97111</v>
      </c>
      <c r="B649" s="227" t="s">
        <v>1355</v>
      </c>
      <c r="C649" s="87">
        <v>2.7099999999999997E-4</v>
      </c>
      <c r="D649" s="87">
        <v>2.5099999999999998E-4</v>
      </c>
      <c r="E649" s="231">
        <v>99518.98</v>
      </c>
      <c r="F649" s="231">
        <v>112647</v>
      </c>
      <c r="G649" s="231">
        <v>575153</v>
      </c>
      <c r="H649" s="231"/>
      <c r="I649" s="232">
        <v>10806</v>
      </c>
      <c r="J649" s="232">
        <v>504017</v>
      </c>
      <c r="K649" s="232">
        <v>39393</v>
      </c>
      <c r="L649" s="231">
        <v>14654</v>
      </c>
      <c r="M649" s="231"/>
      <c r="N649" s="232">
        <v>20154</v>
      </c>
      <c r="O649" s="232">
        <v>186030</v>
      </c>
      <c r="P649" s="232">
        <v>0</v>
      </c>
      <c r="Q649" s="231">
        <v>17411</v>
      </c>
      <c r="R649" s="232">
        <f t="shared" ref="R649:R712" si="10">IF(J649&gt;O649,J649-O649,O649-J649)</f>
        <v>317987</v>
      </c>
      <c r="S649" s="231"/>
      <c r="T649" s="232">
        <v>153730</v>
      </c>
      <c r="U649" s="233">
        <v>858</v>
      </c>
      <c r="V649" s="233">
        <v>154588</v>
      </c>
    </row>
    <row r="650" spans="1:22">
      <c r="A650" s="226">
        <v>97121</v>
      </c>
      <c r="B650" s="227" t="s">
        <v>1356</v>
      </c>
      <c r="C650" s="87">
        <v>1.2070000000000001E-4</v>
      </c>
      <c r="D650" s="87">
        <v>1.495E-4</v>
      </c>
      <c r="E650" s="231">
        <v>55080.780000000006</v>
      </c>
      <c r="F650" s="231">
        <v>67095</v>
      </c>
      <c r="G650" s="231">
        <v>256166</v>
      </c>
      <c r="H650" s="231"/>
      <c r="I650" s="232">
        <v>4813</v>
      </c>
      <c r="J650" s="232">
        <v>224483</v>
      </c>
      <c r="K650" s="232">
        <v>17545</v>
      </c>
      <c r="L650" s="231">
        <v>0</v>
      </c>
      <c r="M650" s="231"/>
      <c r="N650" s="232">
        <v>8976</v>
      </c>
      <c r="O650" s="232">
        <v>82855</v>
      </c>
      <c r="P650" s="232">
        <v>0</v>
      </c>
      <c r="Q650" s="231">
        <v>14541</v>
      </c>
      <c r="R650" s="232">
        <f t="shared" si="10"/>
        <v>141628</v>
      </c>
      <c r="S650" s="231"/>
      <c r="T650" s="232">
        <v>68469</v>
      </c>
      <c r="U650" s="233">
        <v>-4515</v>
      </c>
      <c r="V650" s="233">
        <v>63954</v>
      </c>
    </row>
    <row r="651" spans="1:22">
      <c r="A651" s="226">
        <v>97131</v>
      </c>
      <c r="B651" s="227" t="s">
        <v>1357</v>
      </c>
      <c r="C651" s="87">
        <v>6.2969999999999996E-4</v>
      </c>
      <c r="D651" s="87">
        <v>5.9650000000000002E-4</v>
      </c>
      <c r="E651" s="231">
        <v>232414.21000000002</v>
      </c>
      <c r="F651" s="231">
        <v>267706</v>
      </c>
      <c r="G651" s="231">
        <v>1336434</v>
      </c>
      <c r="H651" s="231"/>
      <c r="I651" s="232">
        <v>25109</v>
      </c>
      <c r="J651" s="232">
        <v>1171143</v>
      </c>
      <c r="K651" s="232">
        <v>91534</v>
      </c>
      <c r="L651" s="231">
        <v>6841</v>
      </c>
      <c r="M651" s="231"/>
      <c r="N651" s="232">
        <v>46830</v>
      </c>
      <c r="O651" s="232">
        <v>432263</v>
      </c>
      <c r="P651" s="232">
        <v>0</v>
      </c>
      <c r="Q651" s="231">
        <v>3274</v>
      </c>
      <c r="R651" s="232">
        <f t="shared" si="10"/>
        <v>738880</v>
      </c>
      <c r="S651" s="231"/>
      <c r="T651" s="232">
        <v>357209</v>
      </c>
      <c r="U651" s="233">
        <v>1535</v>
      </c>
      <c r="V651" s="233">
        <v>358745</v>
      </c>
    </row>
    <row r="652" spans="1:22">
      <c r="A652" s="226">
        <v>97201</v>
      </c>
      <c r="B652" s="227" t="s">
        <v>1358</v>
      </c>
      <c r="C652" s="87">
        <v>4.9439999999999998E-4</v>
      </c>
      <c r="D652" s="87">
        <v>4.7249999999999999E-4</v>
      </c>
      <c r="E652" s="231">
        <v>214121.60000000001</v>
      </c>
      <c r="F652" s="231">
        <v>212055</v>
      </c>
      <c r="G652" s="231">
        <v>1049282</v>
      </c>
      <c r="H652" s="231"/>
      <c r="I652" s="232">
        <v>19714.2</v>
      </c>
      <c r="J652" s="232">
        <v>919506</v>
      </c>
      <c r="K652" s="232">
        <v>71866</v>
      </c>
      <c r="L652" s="231">
        <v>22797</v>
      </c>
      <c r="M652" s="231"/>
      <c r="N652" s="232">
        <v>36768</v>
      </c>
      <c r="O652" s="232">
        <v>339385</v>
      </c>
      <c r="P652" s="232">
        <v>0</v>
      </c>
      <c r="Q652" s="231">
        <v>3773</v>
      </c>
      <c r="R652" s="232">
        <f t="shared" si="10"/>
        <v>580121</v>
      </c>
      <c r="S652" s="231"/>
      <c r="T652" s="232">
        <v>280458</v>
      </c>
      <c r="U652" s="233">
        <v>4235</v>
      </c>
      <c r="V652" s="233">
        <v>284693</v>
      </c>
    </row>
    <row r="653" spans="1:22">
      <c r="A653" s="226">
        <v>97211</v>
      </c>
      <c r="B653" s="227" t="s">
        <v>1359</v>
      </c>
      <c r="C653" s="87">
        <v>1.4119999999999999E-4</v>
      </c>
      <c r="D653" s="87">
        <v>1.7689999999999999E-4</v>
      </c>
      <c r="E653" s="231">
        <v>62098.209999999992</v>
      </c>
      <c r="F653" s="231">
        <v>79392</v>
      </c>
      <c r="G653" s="231">
        <v>299674</v>
      </c>
      <c r="H653" s="231"/>
      <c r="I653" s="232">
        <v>5630</v>
      </c>
      <c r="J653" s="232">
        <v>262610</v>
      </c>
      <c r="K653" s="232">
        <v>20525</v>
      </c>
      <c r="L653" s="231">
        <v>3573</v>
      </c>
      <c r="M653" s="231"/>
      <c r="N653" s="232">
        <v>10501</v>
      </c>
      <c r="O653" s="232">
        <v>96928</v>
      </c>
      <c r="P653" s="232">
        <v>0</v>
      </c>
      <c r="Q653" s="231">
        <v>16466</v>
      </c>
      <c r="R653" s="232">
        <f t="shared" si="10"/>
        <v>165682</v>
      </c>
      <c r="S653" s="231"/>
      <c r="T653" s="232">
        <v>80098</v>
      </c>
      <c r="U653" s="233">
        <v>-3079</v>
      </c>
      <c r="V653" s="233">
        <v>77020</v>
      </c>
    </row>
    <row r="654" spans="1:22">
      <c r="A654" s="226">
        <v>97213</v>
      </c>
      <c r="B654" s="227" t="s">
        <v>1360</v>
      </c>
      <c r="C654" s="87">
        <v>3.8300000000000003E-5</v>
      </c>
      <c r="D654" s="87">
        <v>4.0800000000000002E-5</v>
      </c>
      <c r="E654" s="231">
        <v>16614.780000000002</v>
      </c>
      <c r="F654" s="231">
        <v>18311</v>
      </c>
      <c r="G654" s="231">
        <v>81285</v>
      </c>
      <c r="H654" s="231"/>
      <c r="I654" s="232">
        <v>1527</v>
      </c>
      <c r="J654" s="232">
        <v>71232</v>
      </c>
      <c r="K654" s="232">
        <v>5567</v>
      </c>
      <c r="L654" s="231">
        <v>1545</v>
      </c>
      <c r="M654" s="231"/>
      <c r="N654" s="232">
        <v>2848</v>
      </c>
      <c r="O654" s="232">
        <v>26291</v>
      </c>
      <c r="P654" s="232">
        <v>0</v>
      </c>
      <c r="Q654" s="231">
        <v>668</v>
      </c>
      <c r="R654" s="232">
        <f t="shared" si="10"/>
        <v>44941</v>
      </c>
      <c r="S654" s="231"/>
      <c r="T654" s="232">
        <v>21726</v>
      </c>
      <c r="U654" s="233">
        <v>577</v>
      </c>
      <c r="V654" s="233">
        <v>22303</v>
      </c>
    </row>
    <row r="655" spans="1:22">
      <c r="A655" s="226">
        <v>97217</v>
      </c>
      <c r="B655" s="227" t="s">
        <v>1361</v>
      </c>
      <c r="C655" s="87">
        <v>4.8999999999999997E-6</v>
      </c>
      <c r="D655" s="87">
        <v>5.0000000000000004E-6</v>
      </c>
      <c r="E655" s="231">
        <v>6184.6800000000012</v>
      </c>
      <c r="F655" s="231">
        <v>2244</v>
      </c>
      <c r="G655" s="231">
        <v>10399</v>
      </c>
      <c r="H655" s="231"/>
      <c r="I655" s="232">
        <v>195.38749999999999</v>
      </c>
      <c r="J655" s="232">
        <v>9113</v>
      </c>
      <c r="K655" s="232">
        <v>712</v>
      </c>
      <c r="L655" s="231">
        <v>6975</v>
      </c>
      <c r="M655" s="231"/>
      <c r="N655" s="232">
        <v>364</v>
      </c>
      <c r="O655" s="232">
        <v>3364</v>
      </c>
      <c r="P655" s="232">
        <v>0</v>
      </c>
      <c r="Q655" s="231">
        <v>0</v>
      </c>
      <c r="R655" s="232">
        <f t="shared" si="10"/>
        <v>5749</v>
      </c>
      <c r="S655" s="231"/>
      <c r="T655" s="232">
        <v>2780</v>
      </c>
      <c r="U655" s="233">
        <v>2381</v>
      </c>
      <c r="V655" s="233">
        <v>5160</v>
      </c>
    </row>
    <row r="656" spans="1:22">
      <c r="A656" s="226">
        <v>97221</v>
      </c>
      <c r="B656" s="227" t="s">
        <v>1362</v>
      </c>
      <c r="C656" s="87">
        <v>6.1999999999999999E-6</v>
      </c>
      <c r="D656" s="87">
        <v>6.2999999999999998E-6</v>
      </c>
      <c r="E656" s="231">
        <v>6603.27</v>
      </c>
      <c r="F656" s="231">
        <v>2827</v>
      </c>
      <c r="G656" s="231">
        <v>13158</v>
      </c>
      <c r="H656" s="231"/>
      <c r="I656" s="232">
        <v>247.22499999999999</v>
      </c>
      <c r="J656" s="232">
        <v>11531</v>
      </c>
      <c r="K656" s="232">
        <v>901</v>
      </c>
      <c r="L656" s="231">
        <v>5895</v>
      </c>
      <c r="M656" s="231"/>
      <c r="N656" s="232">
        <v>461</v>
      </c>
      <c r="O656" s="232">
        <v>4256</v>
      </c>
      <c r="P656" s="232">
        <v>0</v>
      </c>
      <c r="Q656" s="231">
        <v>0</v>
      </c>
      <c r="R656" s="232">
        <f t="shared" si="10"/>
        <v>7275</v>
      </c>
      <c r="S656" s="231"/>
      <c r="T656" s="232">
        <v>3517</v>
      </c>
      <c r="U656" s="233">
        <v>2057</v>
      </c>
      <c r="V656" s="233">
        <v>5574</v>
      </c>
    </row>
    <row r="657" spans="1:22">
      <c r="A657" s="226">
        <v>97301</v>
      </c>
      <c r="B657" s="227" t="s">
        <v>1363</v>
      </c>
      <c r="C657" s="87">
        <v>2.5742E-3</v>
      </c>
      <c r="D657" s="87">
        <v>2.6905000000000002E-3</v>
      </c>
      <c r="E657" s="231">
        <v>1080030.6199999999</v>
      </c>
      <c r="F657" s="231">
        <v>1207480</v>
      </c>
      <c r="G657" s="231">
        <v>5463315</v>
      </c>
      <c r="H657" s="231"/>
      <c r="I657" s="232">
        <v>102646</v>
      </c>
      <c r="J657" s="232">
        <v>4787605</v>
      </c>
      <c r="K657" s="232">
        <v>374188</v>
      </c>
      <c r="L657" s="231">
        <v>36738</v>
      </c>
      <c r="M657" s="231"/>
      <c r="N657" s="232">
        <v>191441</v>
      </c>
      <c r="O657" s="232">
        <v>1767080</v>
      </c>
      <c r="P657" s="232">
        <v>0</v>
      </c>
      <c r="Q657" s="231">
        <v>62348</v>
      </c>
      <c r="R657" s="232">
        <f t="shared" si="10"/>
        <v>3020525</v>
      </c>
      <c r="S657" s="231"/>
      <c r="T657" s="232">
        <v>1460264</v>
      </c>
      <c r="U657" s="233">
        <v>-7105</v>
      </c>
      <c r="V657" s="233">
        <v>1453159</v>
      </c>
    </row>
    <row r="658" spans="1:22">
      <c r="A658" s="226">
        <v>97304</v>
      </c>
      <c r="B658" s="227" t="s">
        <v>1364</v>
      </c>
      <c r="C658" s="87">
        <v>1.7600000000000001E-5</v>
      </c>
      <c r="D658" s="87">
        <v>1.8499999999999999E-5</v>
      </c>
      <c r="E658" s="231">
        <v>11927.640000000001</v>
      </c>
      <c r="F658" s="231">
        <v>8303</v>
      </c>
      <c r="G658" s="231">
        <v>37353</v>
      </c>
      <c r="H658" s="231"/>
      <c r="I658" s="232">
        <v>702</v>
      </c>
      <c r="J658" s="232">
        <v>32733</v>
      </c>
      <c r="K658" s="232">
        <v>2558</v>
      </c>
      <c r="L658" s="231">
        <v>7244</v>
      </c>
      <c r="M658" s="231"/>
      <c r="N658" s="232">
        <v>1309</v>
      </c>
      <c r="O658" s="232">
        <v>12082</v>
      </c>
      <c r="P658" s="232">
        <v>0</v>
      </c>
      <c r="Q658" s="231">
        <v>0</v>
      </c>
      <c r="R658" s="232">
        <f t="shared" si="10"/>
        <v>20651</v>
      </c>
      <c r="S658" s="231"/>
      <c r="T658" s="232">
        <v>9984</v>
      </c>
      <c r="U658" s="233">
        <v>2504</v>
      </c>
      <c r="V658" s="233">
        <v>12488</v>
      </c>
    </row>
    <row r="659" spans="1:22">
      <c r="A659" s="226">
        <v>97311</v>
      </c>
      <c r="B659" s="227" t="s">
        <v>1365</v>
      </c>
      <c r="C659" s="87">
        <v>9.5E-4</v>
      </c>
      <c r="D659" s="87">
        <v>1.0311000000000001E-3</v>
      </c>
      <c r="E659" s="231">
        <v>367318.43000000005</v>
      </c>
      <c r="F659" s="231">
        <v>462751</v>
      </c>
      <c r="G659" s="231">
        <v>2016218.25</v>
      </c>
      <c r="H659" s="231"/>
      <c r="I659" s="232">
        <v>37881.25</v>
      </c>
      <c r="J659" s="232">
        <v>1766849.9</v>
      </c>
      <c r="K659" s="232">
        <v>138093</v>
      </c>
      <c r="L659" s="231">
        <v>0</v>
      </c>
      <c r="M659" s="231"/>
      <c r="N659" s="232">
        <v>70650.55</v>
      </c>
      <c r="O659" s="232">
        <v>652135.1</v>
      </c>
      <c r="P659" s="232">
        <v>0</v>
      </c>
      <c r="Q659" s="231">
        <v>97758</v>
      </c>
      <c r="R659" s="232">
        <f t="shared" si="10"/>
        <v>1114714.7999999998</v>
      </c>
      <c r="S659" s="231"/>
      <c r="T659" s="232">
        <v>538906</v>
      </c>
      <c r="U659" s="233">
        <v>-33821</v>
      </c>
      <c r="V659" s="233">
        <v>505085</v>
      </c>
    </row>
    <row r="660" spans="1:22">
      <c r="A660" s="226">
        <v>97401</v>
      </c>
      <c r="B660" s="227" t="s">
        <v>1366</v>
      </c>
      <c r="C660" s="87">
        <v>6.9633000000000004E-3</v>
      </c>
      <c r="D660" s="87">
        <v>6.9844E-3</v>
      </c>
      <c r="E660" s="231">
        <v>2848906.9899999998</v>
      </c>
      <c r="F660" s="231">
        <v>3134557</v>
      </c>
      <c r="G660" s="231">
        <v>14778455</v>
      </c>
      <c r="H660" s="231"/>
      <c r="I660" s="232">
        <v>277662</v>
      </c>
      <c r="J660" s="232">
        <v>12950638</v>
      </c>
      <c r="K660" s="232">
        <v>1012192</v>
      </c>
      <c r="L660" s="231">
        <v>0</v>
      </c>
      <c r="M660" s="231"/>
      <c r="N660" s="232">
        <v>517854</v>
      </c>
      <c r="O660" s="232">
        <v>4780013</v>
      </c>
      <c r="P660" s="232">
        <v>0</v>
      </c>
      <c r="Q660" s="231">
        <v>142656</v>
      </c>
      <c r="R660" s="232">
        <f t="shared" si="10"/>
        <v>8170625</v>
      </c>
      <c r="S660" s="231"/>
      <c r="T660" s="232">
        <v>3950064</v>
      </c>
      <c r="U660" s="233">
        <v>-59462</v>
      </c>
      <c r="V660" s="233">
        <v>3890602</v>
      </c>
    </row>
    <row r="661" spans="1:22">
      <c r="A661" s="226">
        <v>97402</v>
      </c>
      <c r="B661" s="227" t="s">
        <v>1367</v>
      </c>
      <c r="C661" s="87">
        <v>4.4700000000000002E-5</v>
      </c>
      <c r="D661" s="87">
        <v>2.3799999999999999E-5</v>
      </c>
      <c r="E661" s="231">
        <v>21076.7</v>
      </c>
      <c r="F661" s="231">
        <v>10681</v>
      </c>
      <c r="G661" s="231">
        <v>94868</v>
      </c>
      <c r="H661" s="231"/>
      <c r="I661" s="232">
        <v>1782</v>
      </c>
      <c r="J661" s="232">
        <v>83135</v>
      </c>
      <c r="K661" s="232">
        <v>6498</v>
      </c>
      <c r="L661" s="231">
        <v>15050</v>
      </c>
      <c r="M661" s="231"/>
      <c r="N661" s="232">
        <v>3324</v>
      </c>
      <c r="O661" s="232">
        <v>30685</v>
      </c>
      <c r="P661" s="232">
        <v>0</v>
      </c>
      <c r="Q661" s="231">
        <v>0</v>
      </c>
      <c r="R661" s="232">
        <f t="shared" si="10"/>
        <v>52450</v>
      </c>
      <c r="S661" s="231"/>
      <c r="T661" s="232">
        <v>25357</v>
      </c>
      <c r="U661" s="233">
        <v>4096</v>
      </c>
      <c r="V661" s="233">
        <v>29453</v>
      </c>
    </row>
    <row r="662" spans="1:22">
      <c r="A662" s="226">
        <v>97404</v>
      </c>
      <c r="B662" s="227" t="s">
        <v>1368</v>
      </c>
      <c r="C662" s="87">
        <v>2.1049999999999999E-4</v>
      </c>
      <c r="D662" s="87">
        <v>2.1249999999999999E-4</v>
      </c>
      <c r="E662" s="231">
        <v>73914.680000000008</v>
      </c>
      <c r="F662" s="231">
        <v>95369</v>
      </c>
      <c r="G662" s="231">
        <v>446752</v>
      </c>
      <c r="H662" s="231"/>
      <c r="I662" s="232">
        <v>8393.6875</v>
      </c>
      <c r="J662" s="232">
        <v>391497</v>
      </c>
      <c r="K662" s="232">
        <v>30598</v>
      </c>
      <c r="L662" s="231">
        <v>1976</v>
      </c>
      <c r="M662" s="231"/>
      <c r="N662" s="232">
        <v>15655</v>
      </c>
      <c r="O662" s="232">
        <v>144499</v>
      </c>
      <c r="P662" s="232">
        <v>0</v>
      </c>
      <c r="Q662" s="231">
        <v>16111</v>
      </c>
      <c r="R662" s="232">
        <f t="shared" si="10"/>
        <v>246998</v>
      </c>
      <c r="S662" s="231"/>
      <c r="T662" s="232">
        <v>119410</v>
      </c>
      <c r="U662" s="233">
        <v>-3656</v>
      </c>
      <c r="V662" s="233">
        <v>115754</v>
      </c>
    </row>
    <row r="663" spans="1:22">
      <c r="A663" s="226">
        <v>97405</v>
      </c>
      <c r="B663" s="227" t="s">
        <v>1369</v>
      </c>
      <c r="C663" s="87">
        <v>1.087E-4</v>
      </c>
      <c r="D663" s="87">
        <v>1.081E-4</v>
      </c>
      <c r="E663" s="231">
        <v>55456.069999999992</v>
      </c>
      <c r="F663" s="231">
        <v>48515</v>
      </c>
      <c r="G663" s="231">
        <v>230698</v>
      </c>
      <c r="H663" s="231"/>
      <c r="I663" s="232">
        <v>4334</v>
      </c>
      <c r="J663" s="232">
        <v>202165</v>
      </c>
      <c r="K663" s="232">
        <v>15801</v>
      </c>
      <c r="L663" s="231">
        <v>20704</v>
      </c>
      <c r="M663" s="231"/>
      <c r="N663" s="232">
        <v>8084</v>
      </c>
      <c r="O663" s="232">
        <v>74618</v>
      </c>
      <c r="P663" s="232">
        <v>0</v>
      </c>
      <c r="Q663" s="231">
        <v>9828.61</v>
      </c>
      <c r="R663" s="232">
        <f t="shared" si="10"/>
        <v>127547</v>
      </c>
      <c r="S663" s="231"/>
      <c r="T663" s="232">
        <v>61662</v>
      </c>
      <c r="U663" s="233">
        <v>1556</v>
      </c>
      <c r="V663" s="233">
        <v>63218</v>
      </c>
    </row>
    <row r="664" spans="1:22">
      <c r="A664" s="226">
        <v>97408</v>
      </c>
      <c r="B664" s="227" t="s">
        <v>1370</v>
      </c>
      <c r="C664" s="87">
        <v>4.9299999999999999E-5</v>
      </c>
      <c r="D664" s="87">
        <v>5.1199999999999998E-5</v>
      </c>
      <c r="E664" s="231">
        <v>28028.109999999997</v>
      </c>
      <c r="F664" s="231">
        <v>22978</v>
      </c>
      <c r="G664" s="231">
        <v>104631</v>
      </c>
      <c r="H664" s="231"/>
      <c r="I664" s="232">
        <v>1966</v>
      </c>
      <c r="J664" s="232">
        <v>91690</v>
      </c>
      <c r="K664" s="232">
        <v>7166</v>
      </c>
      <c r="L664" s="231">
        <v>7585</v>
      </c>
      <c r="M664" s="231"/>
      <c r="N664" s="232">
        <v>3666</v>
      </c>
      <c r="O664" s="232">
        <v>33842</v>
      </c>
      <c r="P664" s="232">
        <v>0</v>
      </c>
      <c r="Q664" s="231">
        <v>0</v>
      </c>
      <c r="R664" s="232">
        <f t="shared" si="10"/>
        <v>57848</v>
      </c>
      <c r="S664" s="231"/>
      <c r="T664" s="232">
        <v>27966</v>
      </c>
      <c r="U664" s="233">
        <v>2375</v>
      </c>
      <c r="V664" s="233">
        <v>30341</v>
      </c>
    </row>
    <row r="665" spans="1:22">
      <c r="A665" s="226">
        <v>97411</v>
      </c>
      <c r="B665" s="227" t="s">
        <v>1371</v>
      </c>
      <c r="C665" s="87">
        <v>6.7269000000000001E-3</v>
      </c>
      <c r="D665" s="87">
        <v>7.0987000000000003E-3</v>
      </c>
      <c r="E665" s="231">
        <v>2531536.58</v>
      </c>
      <c r="F665" s="231">
        <v>3185854</v>
      </c>
      <c r="G665" s="231">
        <v>14276735</v>
      </c>
      <c r="H665" s="231"/>
      <c r="I665" s="232">
        <v>268235</v>
      </c>
      <c r="J665" s="232">
        <v>12510971</v>
      </c>
      <c r="K665" s="232">
        <v>977829</v>
      </c>
      <c r="L665" s="231">
        <v>0</v>
      </c>
      <c r="M665" s="231"/>
      <c r="N665" s="232">
        <v>500273</v>
      </c>
      <c r="O665" s="232">
        <v>4617734</v>
      </c>
      <c r="P665" s="232">
        <v>0</v>
      </c>
      <c r="Q665" s="231">
        <v>854591</v>
      </c>
      <c r="R665" s="232">
        <f t="shared" si="10"/>
        <v>7893237</v>
      </c>
      <c r="S665" s="231"/>
      <c r="T665" s="232">
        <v>3815962</v>
      </c>
      <c r="U665" s="233">
        <v>-289319</v>
      </c>
      <c r="V665" s="233">
        <v>3526643</v>
      </c>
    </row>
    <row r="666" spans="1:22">
      <c r="A666" s="226">
        <v>97412</v>
      </c>
      <c r="B666" s="227" t="s">
        <v>1372</v>
      </c>
      <c r="C666" s="87">
        <v>4.424E-3</v>
      </c>
      <c r="D666" s="87">
        <v>4.1891999999999997E-3</v>
      </c>
      <c r="E666" s="231">
        <v>1763681.7500000002</v>
      </c>
      <c r="F666" s="231">
        <v>1880088</v>
      </c>
      <c r="G666" s="231">
        <v>9389210</v>
      </c>
      <c r="H666" s="231"/>
      <c r="I666" s="232">
        <v>176407</v>
      </c>
      <c r="J666" s="232">
        <v>8227941</v>
      </c>
      <c r="K666" s="232">
        <v>643077</v>
      </c>
      <c r="L666" s="231">
        <v>158642</v>
      </c>
      <c r="M666" s="231"/>
      <c r="N666" s="232">
        <v>329008</v>
      </c>
      <c r="O666" s="232">
        <v>3036890</v>
      </c>
      <c r="P666" s="232">
        <v>0</v>
      </c>
      <c r="Q666" s="231">
        <v>0</v>
      </c>
      <c r="R666" s="232">
        <f t="shared" si="10"/>
        <v>5191051</v>
      </c>
      <c r="S666" s="231"/>
      <c r="T666" s="232">
        <v>2509598</v>
      </c>
      <c r="U666" s="233">
        <v>54211</v>
      </c>
      <c r="V666" s="233">
        <v>2563810</v>
      </c>
    </row>
    <row r="667" spans="1:22">
      <c r="A667" s="226">
        <v>97413</v>
      </c>
      <c r="B667" s="227" t="s">
        <v>1373</v>
      </c>
      <c r="C667" s="87">
        <v>2.7910000000000001E-4</v>
      </c>
      <c r="D667" s="87">
        <v>2.9320000000000003E-4</v>
      </c>
      <c r="E667" s="231">
        <v>126701.6</v>
      </c>
      <c r="F667" s="231">
        <v>131586</v>
      </c>
      <c r="G667" s="231">
        <v>592344</v>
      </c>
      <c r="H667" s="231"/>
      <c r="I667" s="232">
        <v>11129</v>
      </c>
      <c r="J667" s="232">
        <v>519082</v>
      </c>
      <c r="K667" s="232">
        <v>40570</v>
      </c>
      <c r="L667" s="231">
        <v>1832</v>
      </c>
      <c r="M667" s="231"/>
      <c r="N667" s="232">
        <v>20756</v>
      </c>
      <c r="O667" s="232">
        <v>191590</v>
      </c>
      <c r="P667" s="232">
        <v>0</v>
      </c>
      <c r="Q667" s="231">
        <v>10212</v>
      </c>
      <c r="R667" s="232">
        <f t="shared" si="10"/>
        <v>327492</v>
      </c>
      <c r="S667" s="231"/>
      <c r="T667" s="232">
        <v>158325</v>
      </c>
      <c r="U667" s="233">
        <v>-4433</v>
      </c>
      <c r="V667" s="233">
        <v>153891</v>
      </c>
    </row>
    <row r="668" spans="1:22">
      <c r="A668" s="226">
        <v>97421</v>
      </c>
      <c r="B668" s="227" t="s">
        <v>1374</v>
      </c>
      <c r="C668" s="87">
        <v>4.1120000000000002E-4</v>
      </c>
      <c r="D668" s="87">
        <v>4.1140000000000003E-4</v>
      </c>
      <c r="E668" s="231">
        <v>162264.79999999999</v>
      </c>
      <c r="F668" s="231">
        <v>184634</v>
      </c>
      <c r="G668" s="231">
        <v>872704</v>
      </c>
      <c r="H668" s="231"/>
      <c r="I668" s="232">
        <v>16397</v>
      </c>
      <c r="J668" s="232">
        <v>764767</v>
      </c>
      <c r="K668" s="232">
        <v>59772</v>
      </c>
      <c r="L668" s="231">
        <v>0</v>
      </c>
      <c r="M668" s="231"/>
      <c r="N668" s="232">
        <v>30581</v>
      </c>
      <c r="O668" s="232">
        <v>282272</v>
      </c>
      <c r="P668" s="232">
        <v>0</v>
      </c>
      <c r="Q668" s="231">
        <v>40232</v>
      </c>
      <c r="R668" s="232">
        <f t="shared" si="10"/>
        <v>482495</v>
      </c>
      <c r="S668" s="231"/>
      <c r="T668" s="232">
        <v>233261</v>
      </c>
      <c r="U668" s="233">
        <v>-16104</v>
      </c>
      <c r="V668" s="233">
        <v>217157</v>
      </c>
    </row>
    <row r="669" spans="1:22">
      <c r="A669" s="226">
        <v>97423</v>
      </c>
      <c r="B669" s="227" t="s">
        <v>1375</v>
      </c>
      <c r="C669" s="87">
        <v>4.5800000000000002E-5</v>
      </c>
      <c r="D669" s="87">
        <v>4.5300000000000003E-5</v>
      </c>
      <c r="E669" s="231">
        <v>37545.089999999997</v>
      </c>
      <c r="F669" s="231">
        <v>20330</v>
      </c>
      <c r="G669" s="231">
        <v>97203</v>
      </c>
      <c r="H669" s="231"/>
      <c r="I669" s="232">
        <v>1826.2750000000001</v>
      </c>
      <c r="J669" s="232">
        <v>85181</v>
      </c>
      <c r="K669" s="232">
        <v>6658</v>
      </c>
      <c r="L669" s="231">
        <v>26530</v>
      </c>
      <c r="M669" s="231"/>
      <c r="N669" s="232">
        <v>3406</v>
      </c>
      <c r="O669" s="232">
        <v>31440</v>
      </c>
      <c r="P669" s="232">
        <v>0</v>
      </c>
      <c r="Q669" s="231">
        <v>0</v>
      </c>
      <c r="R669" s="232">
        <f t="shared" si="10"/>
        <v>53741</v>
      </c>
      <c r="S669" s="231"/>
      <c r="T669" s="232">
        <v>25981</v>
      </c>
      <c r="U669" s="233">
        <v>8002</v>
      </c>
      <c r="V669" s="233">
        <v>33982</v>
      </c>
    </row>
    <row r="670" spans="1:22">
      <c r="A670" s="226">
        <v>97431</v>
      </c>
      <c r="B670" s="227" t="s">
        <v>1376</v>
      </c>
      <c r="C670" s="87">
        <v>8.5199999999999997E-5</v>
      </c>
      <c r="D670" s="87">
        <v>8.7700000000000004E-5</v>
      </c>
      <c r="E670" s="231">
        <v>38446.49</v>
      </c>
      <c r="F670" s="231">
        <v>39359</v>
      </c>
      <c r="G670" s="231">
        <v>180823</v>
      </c>
      <c r="H670" s="231"/>
      <c r="I670" s="232">
        <v>3397.35</v>
      </c>
      <c r="J670" s="232">
        <v>158459</v>
      </c>
      <c r="K670" s="232">
        <v>12385</v>
      </c>
      <c r="L670" s="231">
        <v>2882</v>
      </c>
      <c r="M670" s="231"/>
      <c r="N670" s="232">
        <v>6336</v>
      </c>
      <c r="O670" s="232">
        <v>58486</v>
      </c>
      <c r="P670" s="232">
        <v>0</v>
      </c>
      <c r="Q670" s="231">
        <v>0</v>
      </c>
      <c r="R670" s="232">
        <f t="shared" si="10"/>
        <v>99973</v>
      </c>
      <c r="S670" s="231"/>
      <c r="T670" s="232">
        <v>48331</v>
      </c>
      <c r="U670" s="233">
        <v>909</v>
      </c>
      <c r="V670" s="233">
        <v>49241</v>
      </c>
    </row>
    <row r="671" spans="1:22">
      <c r="A671" s="226">
        <v>97441</v>
      </c>
      <c r="B671" s="227" t="s">
        <v>1377</v>
      </c>
      <c r="C671" s="87">
        <v>7.0500000000000006E-5</v>
      </c>
      <c r="D671" s="87">
        <v>6.8700000000000003E-5</v>
      </c>
      <c r="E671" s="231">
        <v>23078.829999999998</v>
      </c>
      <c r="F671" s="231">
        <v>30832</v>
      </c>
      <c r="G671" s="231">
        <v>149625</v>
      </c>
      <c r="H671" s="231"/>
      <c r="I671" s="232">
        <v>2811</v>
      </c>
      <c r="J671" s="232">
        <v>131119</v>
      </c>
      <c r="K671" s="232">
        <v>10248</v>
      </c>
      <c r="L671" s="231">
        <v>406</v>
      </c>
      <c r="M671" s="231"/>
      <c r="N671" s="232">
        <v>5243</v>
      </c>
      <c r="O671" s="232">
        <v>48395</v>
      </c>
      <c r="P671" s="232">
        <v>0</v>
      </c>
      <c r="Q671" s="231">
        <v>4997</v>
      </c>
      <c r="R671" s="232">
        <f t="shared" si="10"/>
        <v>82724</v>
      </c>
      <c r="S671" s="231"/>
      <c r="T671" s="232">
        <v>39992</v>
      </c>
      <c r="U671" s="233">
        <v>-1212</v>
      </c>
      <c r="V671" s="233">
        <v>38780</v>
      </c>
    </row>
    <row r="672" spans="1:22">
      <c r="A672" s="226">
        <v>97451</v>
      </c>
      <c r="B672" s="227" t="s">
        <v>1378</v>
      </c>
      <c r="C672" s="87">
        <v>6.1039999999999998E-4</v>
      </c>
      <c r="D672" s="87">
        <v>5.1670000000000004E-4</v>
      </c>
      <c r="E672" s="231">
        <v>212064.53000000003</v>
      </c>
      <c r="F672" s="231">
        <v>231892</v>
      </c>
      <c r="G672" s="231">
        <v>1295473</v>
      </c>
      <c r="H672" s="231"/>
      <c r="I672" s="232">
        <v>24339.7</v>
      </c>
      <c r="J672" s="232">
        <v>1135248</v>
      </c>
      <c r="K672" s="232">
        <v>88728</v>
      </c>
      <c r="L672" s="231">
        <v>30041</v>
      </c>
      <c r="M672" s="231"/>
      <c r="N672" s="232">
        <v>45395</v>
      </c>
      <c r="O672" s="232">
        <v>419014</v>
      </c>
      <c r="P672" s="232">
        <v>0</v>
      </c>
      <c r="Q672" s="231">
        <v>5880</v>
      </c>
      <c r="R672" s="232">
        <f t="shared" si="10"/>
        <v>716234</v>
      </c>
      <c r="S672" s="231"/>
      <c r="T672" s="232">
        <v>346261</v>
      </c>
      <c r="U672" s="233">
        <v>8187</v>
      </c>
      <c r="V672" s="233">
        <v>354448</v>
      </c>
    </row>
    <row r="673" spans="1:22">
      <c r="A673" s="226">
        <v>97461</v>
      </c>
      <c r="B673" s="227" t="s">
        <v>1379</v>
      </c>
      <c r="C673" s="87">
        <v>5.1869999999999998E-4</v>
      </c>
      <c r="D673" s="87">
        <v>5.3859999999999997E-4</v>
      </c>
      <c r="E673" s="231">
        <v>202229.84000000003</v>
      </c>
      <c r="F673" s="231">
        <v>241720</v>
      </c>
      <c r="G673" s="231">
        <v>1100855</v>
      </c>
      <c r="H673" s="231"/>
      <c r="I673" s="232">
        <v>20683</v>
      </c>
      <c r="J673" s="232">
        <v>964700</v>
      </c>
      <c r="K673" s="232">
        <v>75399</v>
      </c>
      <c r="L673" s="231">
        <v>4454</v>
      </c>
      <c r="M673" s="231"/>
      <c r="N673" s="232">
        <v>38575</v>
      </c>
      <c r="O673" s="232">
        <v>356066</v>
      </c>
      <c r="P673" s="232">
        <v>0</v>
      </c>
      <c r="Q673" s="231">
        <v>46078</v>
      </c>
      <c r="R673" s="232">
        <f t="shared" si="10"/>
        <v>608634</v>
      </c>
      <c r="S673" s="231"/>
      <c r="T673" s="232">
        <v>294242</v>
      </c>
      <c r="U673" s="233">
        <v>-12231</v>
      </c>
      <c r="V673" s="233">
        <v>282012</v>
      </c>
    </row>
    <row r="674" spans="1:22">
      <c r="A674" s="226">
        <v>97463</v>
      </c>
      <c r="B674" s="227" t="s">
        <v>1380</v>
      </c>
      <c r="C674" s="87">
        <v>5.0099999999999998E-5</v>
      </c>
      <c r="D674" s="87">
        <v>5.6400000000000002E-5</v>
      </c>
      <c r="E674" s="231">
        <v>17389.919999999998</v>
      </c>
      <c r="F674" s="231">
        <v>25312</v>
      </c>
      <c r="G674" s="231">
        <v>106329</v>
      </c>
      <c r="H674" s="231"/>
      <c r="I674" s="232">
        <v>1998</v>
      </c>
      <c r="J674" s="232">
        <v>93178</v>
      </c>
      <c r="K674" s="232">
        <v>7283</v>
      </c>
      <c r="L674" s="231">
        <v>2539</v>
      </c>
      <c r="M674" s="231"/>
      <c r="N674" s="232">
        <v>3726</v>
      </c>
      <c r="O674" s="232">
        <v>34392</v>
      </c>
      <c r="P674" s="232">
        <v>0</v>
      </c>
      <c r="Q674" s="231">
        <v>5965</v>
      </c>
      <c r="R674" s="232">
        <f t="shared" si="10"/>
        <v>58786</v>
      </c>
      <c r="S674" s="231"/>
      <c r="T674" s="232">
        <v>28420</v>
      </c>
      <c r="U674" s="233">
        <v>-427</v>
      </c>
      <c r="V674" s="233">
        <v>27993</v>
      </c>
    </row>
    <row r="675" spans="1:22">
      <c r="A675" s="226">
        <v>97471</v>
      </c>
      <c r="B675" s="227" t="s">
        <v>1381</v>
      </c>
      <c r="C675" s="87">
        <v>1.27E-5</v>
      </c>
      <c r="D675" s="87">
        <v>1.31E-5</v>
      </c>
      <c r="E675" s="231">
        <v>8483.43</v>
      </c>
      <c r="F675" s="231">
        <v>5879</v>
      </c>
      <c r="G675" s="231">
        <v>26954</v>
      </c>
      <c r="H675" s="231"/>
      <c r="I675" s="232">
        <v>506.41250000000002</v>
      </c>
      <c r="J675" s="232">
        <v>23620</v>
      </c>
      <c r="K675" s="232">
        <v>1846</v>
      </c>
      <c r="L675" s="231">
        <v>5163</v>
      </c>
      <c r="M675" s="231"/>
      <c r="N675" s="232">
        <v>944</v>
      </c>
      <c r="O675" s="232">
        <v>8718</v>
      </c>
      <c r="P675" s="232">
        <v>0</v>
      </c>
      <c r="Q675" s="231">
        <v>0</v>
      </c>
      <c r="R675" s="232">
        <f t="shared" si="10"/>
        <v>14902</v>
      </c>
      <c r="S675" s="231"/>
      <c r="T675" s="232">
        <v>7204</v>
      </c>
      <c r="U675" s="233">
        <v>1775</v>
      </c>
      <c r="V675" s="233">
        <v>8980</v>
      </c>
    </row>
    <row r="676" spans="1:22">
      <c r="A676" s="226">
        <v>97481</v>
      </c>
      <c r="B676" s="227" t="s">
        <v>1382</v>
      </c>
      <c r="C676" s="87">
        <v>1.63E-5</v>
      </c>
      <c r="D676" s="87">
        <v>1.13E-5</v>
      </c>
      <c r="E676" s="231">
        <v>5817.26</v>
      </c>
      <c r="F676" s="231">
        <v>5071</v>
      </c>
      <c r="G676" s="231">
        <v>34594</v>
      </c>
      <c r="H676" s="231"/>
      <c r="I676" s="232">
        <v>649.96249999999998</v>
      </c>
      <c r="J676" s="232">
        <v>30315</v>
      </c>
      <c r="K676" s="232">
        <v>2369</v>
      </c>
      <c r="L676" s="231">
        <v>5965</v>
      </c>
      <c r="M676" s="231"/>
      <c r="N676" s="232">
        <v>1212</v>
      </c>
      <c r="O676" s="232">
        <v>11189</v>
      </c>
      <c r="P676" s="232">
        <v>0</v>
      </c>
      <c r="Q676" s="231">
        <v>0</v>
      </c>
      <c r="R676" s="232">
        <f t="shared" si="10"/>
        <v>19126</v>
      </c>
      <c r="S676" s="231"/>
      <c r="T676" s="232">
        <v>9246</v>
      </c>
      <c r="U676" s="233">
        <v>2373</v>
      </c>
      <c r="V676" s="233">
        <v>11619</v>
      </c>
    </row>
    <row r="677" spans="1:22">
      <c r="A677" s="226">
        <v>97491</v>
      </c>
      <c r="B677" s="227" t="s">
        <v>1383</v>
      </c>
      <c r="C677" s="87">
        <v>0</v>
      </c>
      <c r="D677" s="87">
        <v>0</v>
      </c>
      <c r="E677" s="231">
        <v>0</v>
      </c>
      <c r="F677" s="231">
        <v>0</v>
      </c>
      <c r="G677" s="231">
        <v>0</v>
      </c>
      <c r="H677" s="231"/>
      <c r="I677" s="232">
        <v>0</v>
      </c>
      <c r="J677" s="232">
        <v>0</v>
      </c>
      <c r="K677" s="232">
        <v>0</v>
      </c>
      <c r="L677" s="231">
        <v>0</v>
      </c>
      <c r="M677" s="231"/>
      <c r="N677" s="232">
        <v>0</v>
      </c>
      <c r="O677" s="232">
        <v>0</v>
      </c>
      <c r="P677" s="232">
        <v>0</v>
      </c>
      <c r="Q677" s="231">
        <v>12790</v>
      </c>
      <c r="R677" s="232">
        <f t="shared" si="10"/>
        <v>0</v>
      </c>
      <c r="S677" s="231"/>
      <c r="T677" s="232">
        <v>0</v>
      </c>
      <c r="U677" s="233">
        <v>-4941</v>
      </c>
      <c r="V677" s="233">
        <v>-4941</v>
      </c>
    </row>
    <row r="678" spans="1:22">
      <c r="A678" s="226">
        <v>97501</v>
      </c>
      <c r="B678" s="227" t="s">
        <v>1384</v>
      </c>
      <c r="C678" s="87">
        <v>9.6730000000000004E-4</v>
      </c>
      <c r="D678" s="87">
        <v>9.7659999999999999E-4</v>
      </c>
      <c r="E678" s="231">
        <v>413876.56</v>
      </c>
      <c r="F678" s="231">
        <v>438292</v>
      </c>
      <c r="G678" s="231">
        <v>2052935</v>
      </c>
      <c r="H678" s="231"/>
      <c r="I678" s="232">
        <v>38571</v>
      </c>
      <c r="J678" s="232">
        <v>1799025</v>
      </c>
      <c r="K678" s="232">
        <v>140608</v>
      </c>
      <c r="L678" s="231">
        <v>45898</v>
      </c>
      <c r="M678" s="231"/>
      <c r="N678" s="232">
        <v>71937</v>
      </c>
      <c r="O678" s="232">
        <v>664011</v>
      </c>
      <c r="P678" s="232">
        <v>0</v>
      </c>
      <c r="Q678" s="231">
        <v>0</v>
      </c>
      <c r="R678" s="232">
        <f t="shared" si="10"/>
        <v>1135014</v>
      </c>
      <c r="S678" s="231"/>
      <c r="T678" s="232">
        <v>548719</v>
      </c>
      <c r="U678" s="233">
        <v>19873</v>
      </c>
      <c r="V678" s="233">
        <v>568592</v>
      </c>
    </row>
    <row r="679" spans="1:22">
      <c r="A679" s="226">
        <v>97511</v>
      </c>
      <c r="B679" s="227" t="s">
        <v>1385</v>
      </c>
      <c r="C679" s="87">
        <v>2.3220000000000001E-4</v>
      </c>
      <c r="D679" s="87">
        <v>2.1719999999999999E-4</v>
      </c>
      <c r="E679" s="231">
        <v>97777.06</v>
      </c>
      <c r="F679" s="231">
        <v>97478</v>
      </c>
      <c r="G679" s="231">
        <v>492806</v>
      </c>
      <c r="H679" s="231"/>
      <c r="I679" s="232">
        <v>9259</v>
      </c>
      <c r="J679" s="232">
        <v>431855</v>
      </c>
      <c r="K679" s="232">
        <v>33753</v>
      </c>
      <c r="L679" s="231">
        <v>10778</v>
      </c>
      <c r="M679" s="231"/>
      <c r="N679" s="232">
        <v>17268</v>
      </c>
      <c r="O679" s="232">
        <v>159396</v>
      </c>
      <c r="P679" s="232">
        <v>0</v>
      </c>
      <c r="Q679" s="231">
        <v>1307</v>
      </c>
      <c r="R679" s="232">
        <f t="shared" si="10"/>
        <v>272459</v>
      </c>
      <c r="S679" s="231"/>
      <c r="T679" s="232">
        <v>131720</v>
      </c>
      <c r="U679" s="233">
        <v>2532</v>
      </c>
      <c r="V679" s="233">
        <v>134252</v>
      </c>
    </row>
    <row r="680" spans="1:22">
      <c r="A680" s="226">
        <v>97521</v>
      </c>
      <c r="B680" s="227" t="s">
        <v>1386</v>
      </c>
      <c r="C680" s="87">
        <v>1.293E-4</v>
      </c>
      <c r="D680" s="87">
        <v>1.404E-4</v>
      </c>
      <c r="E680" s="231">
        <v>48146.35</v>
      </c>
      <c r="F680" s="231">
        <v>63011</v>
      </c>
      <c r="G680" s="231">
        <v>274418</v>
      </c>
      <c r="H680" s="231"/>
      <c r="I680" s="232">
        <v>5156</v>
      </c>
      <c r="J680" s="232">
        <v>240478</v>
      </c>
      <c r="K680" s="232">
        <v>18795</v>
      </c>
      <c r="L680" s="231">
        <v>4401.88</v>
      </c>
      <c r="M680" s="231"/>
      <c r="N680" s="232">
        <v>9616</v>
      </c>
      <c r="O680" s="232">
        <v>88759</v>
      </c>
      <c r="P680" s="232">
        <v>0</v>
      </c>
      <c r="Q680" s="231">
        <v>17530</v>
      </c>
      <c r="R680" s="232">
        <f t="shared" si="10"/>
        <v>151719</v>
      </c>
      <c r="S680" s="231"/>
      <c r="T680" s="232">
        <v>73348</v>
      </c>
      <c r="U680" s="233">
        <v>-3048</v>
      </c>
      <c r="V680" s="233">
        <v>70299</v>
      </c>
    </row>
    <row r="681" spans="1:22">
      <c r="A681" s="226">
        <v>97531</v>
      </c>
      <c r="B681" s="227" t="s">
        <v>1387</v>
      </c>
      <c r="C681" s="87">
        <v>3.6300000000000001E-5</v>
      </c>
      <c r="D681" s="87">
        <v>3.5099999999999999E-5</v>
      </c>
      <c r="E681" s="231">
        <v>18181.670000000002</v>
      </c>
      <c r="F681" s="231">
        <v>15753</v>
      </c>
      <c r="G681" s="231">
        <v>77041</v>
      </c>
      <c r="H681" s="231"/>
      <c r="I681" s="232">
        <v>1447</v>
      </c>
      <c r="J681" s="232">
        <v>67512</v>
      </c>
      <c r="K681" s="232">
        <v>5277</v>
      </c>
      <c r="L681" s="231">
        <v>3234</v>
      </c>
      <c r="M681" s="231"/>
      <c r="N681" s="232">
        <v>2700</v>
      </c>
      <c r="O681" s="232">
        <v>24918</v>
      </c>
      <c r="P681" s="232">
        <v>0</v>
      </c>
      <c r="Q681" s="231">
        <v>14595</v>
      </c>
      <c r="R681" s="232">
        <f t="shared" si="10"/>
        <v>42594</v>
      </c>
      <c r="S681" s="231"/>
      <c r="T681" s="232">
        <v>20592</v>
      </c>
      <c r="U681" s="233">
        <v>-4705</v>
      </c>
      <c r="V681" s="233">
        <v>15887</v>
      </c>
    </row>
    <row r="682" spans="1:22">
      <c r="A682" s="226">
        <v>97601</v>
      </c>
      <c r="B682" s="227" t="s">
        <v>1388</v>
      </c>
      <c r="C682" s="87">
        <v>4.7808E-3</v>
      </c>
      <c r="D682" s="87">
        <v>4.8238999999999999E-3</v>
      </c>
      <c r="E682" s="231">
        <v>1911817.8699999999</v>
      </c>
      <c r="F682" s="231">
        <v>2164937</v>
      </c>
      <c r="G682" s="231">
        <v>10146459</v>
      </c>
      <c r="H682" s="231"/>
      <c r="I682" s="232">
        <v>190634.4</v>
      </c>
      <c r="J682" s="232">
        <v>8891533</v>
      </c>
      <c r="K682" s="232">
        <v>694942</v>
      </c>
      <c r="L682" s="231">
        <v>0</v>
      </c>
      <c r="M682" s="231"/>
      <c r="N682" s="232">
        <v>355543</v>
      </c>
      <c r="O682" s="232">
        <v>3281818</v>
      </c>
      <c r="P682" s="232">
        <v>0</v>
      </c>
      <c r="Q682" s="231">
        <v>137509</v>
      </c>
      <c r="R682" s="232">
        <f t="shared" si="10"/>
        <v>5609715</v>
      </c>
      <c r="S682" s="231"/>
      <c r="T682" s="232">
        <v>2712000</v>
      </c>
      <c r="U682" s="233">
        <v>-46067</v>
      </c>
      <c r="V682" s="233">
        <v>2665933</v>
      </c>
    </row>
    <row r="683" spans="1:22">
      <c r="A683" s="226">
        <v>97607</v>
      </c>
      <c r="B683" s="227" t="s">
        <v>1389</v>
      </c>
      <c r="C683" s="87">
        <v>1.9199999999999999E-5</v>
      </c>
      <c r="D683" s="87">
        <v>2.27E-5</v>
      </c>
      <c r="E683" s="231">
        <v>13222.63</v>
      </c>
      <c r="F683" s="231">
        <v>10188</v>
      </c>
      <c r="G683" s="231">
        <v>40749</v>
      </c>
      <c r="H683" s="231"/>
      <c r="I683" s="232">
        <v>766</v>
      </c>
      <c r="J683" s="232">
        <v>35709</v>
      </c>
      <c r="K683" s="232">
        <v>2791</v>
      </c>
      <c r="L683" s="231">
        <v>8819</v>
      </c>
      <c r="M683" s="231"/>
      <c r="N683" s="232">
        <v>1428</v>
      </c>
      <c r="O683" s="232">
        <v>13180</v>
      </c>
      <c r="P683" s="232">
        <v>0</v>
      </c>
      <c r="Q683" s="231">
        <v>0</v>
      </c>
      <c r="R683" s="232">
        <f t="shared" si="10"/>
        <v>22529</v>
      </c>
      <c r="S683" s="231"/>
      <c r="T683" s="232">
        <v>10892</v>
      </c>
      <c r="U683" s="233">
        <v>3435</v>
      </c>
      <c r="V683" s="233">
        <v>14327</v>
      </c>
    </row>
    <row r="684" spans="1:22">
      <c r="A684" s="226">
        <v>97611</v>
      </c>
      <c r="B684" s="227" t="s">
        <v>1390</v>
      </c>
      <c r="C684" s="87">
        <v>2.5750999999999999E-3</v>
      </c>
      <c r="D684" s="87">
        <v>2.7582000000000001E-3</v>
      </c>
      <c r="E684" s="231">
        <v>984035.03</v>
      </c>
      <c r="F684" s="231">
        <v>1237864</v>
      </c>
      <c r="G684" s="231">
        <v>5465225</v>
      </c>
      <c r="H684" s="231"/>
      <c r="I684" s="232">
        <v>102682</v>
      </c>
      <c r="J684" s="232">
        <v>4789279</v>
      </c>
      <c r="K684" s="232">
        <v>374319</v>
      </c>
      <c r="L684" s="231">
        <v>0</v>
      </c>
      <c r="M684" s="231"/>
      <c r="N684" s="232">
        <v>191508</v>
      </c>
      <c r="O684" s="232">
        <v>1767698</v>
      </c>
      <c r="P684" s="232">
        <v>0</v>
      </c>
      <c r="Q684" s="231">
        <v>281180</v>
      </c>
      <c r="R684" s="232">
        <f t="shared" si="10"/>
        <v>3021581</v>
      </c>
      <c r="S684" s="231"/>
      <c r="T684" s="232">
        <v>1460774</v>
      </c>
      <c r="U684" s="233">
        <v>-93860</v>
      </c>
      <c r="V684" s="233">
        <v>1366915</v>
      </c>
    </row>
    <row r="685" spans="1:22">
      <c r="A685" s="226">
        <v>97613</v>
      </c>
      <c r="B685" s="227" t="s">
        <v>1391</v>
      </c>
      <c r="C685" s="87">
        <v>1.2459999999999999E-4</v>
      </c>
      <c r="D685" s="87">
        <v>1.21E-4</v>
      </c>
      <c r="E685" s="231">
        <v>55529.85</v>
      </c>
      <c r="F685" s="231">
        <v>54304</v>
      </c>
      <c r="G685" s="231">
        <v>264443</v>
      </c>
      <c r="H685" s="231"/>
      <c r="I685" s="232">
        <v>4968</v>
      </c>
      <c r="J685" s="232">
        <v>231736</v>
      </c>
      <c r="K685" s="232">
        <v>18112</v>
      </c>
      <c r="L685" s="231">
        <v>5357</v>
      </c>
      <c r="M685" s="231"/>
      <c r="N685" s="232">
        <v>9266</v>
      </c>
      <c r="O685" s="232">
        <v>85533</v>
      </c>
      <c r="P685" s="232">
        <v>0</v>
      </c>
      <c r="Q685" s="231">
        <v>5319</v>
      </c>
      <c r="R685" s="232">
        <f t="shared" si="10"/>
        <v>146203</v>
      </c>
      <c r="S685" s="231"/>
      <c r="T685" s="232">
        <v>70682</v>
      </c>
      <c r="U685" s="233">
        <v>-505</v>
      </c>
      <c r="V685" s="233">
        <v>70177</v>
      </c>
    </row>
    <row r="686" spans="1:22">
      <c r="A686" s="226">
        <v>97621</v>
      </c>
      <c r="B686" s="227" t="s">
        <v>1392</v>
      </c>
      <c r="C686" s="87">
        <v>4.7429999999999998E-4</v>
      </c>
      <c r="D686" s="87">
        <v>5.1290000000000005E-4</v>
      </c>
      <c r="E686" s="231">
        <v>166598.32</v>
      </c>
      <c r="F686" s="231">
        <v>230186</v>
      </c>
      <c r="G686" s="231">
        <v>1006623</v>
      </c>
      <c r="H686" s="231"/>
      <c r="I686" s="232">
        <v>18913</v>
      </c>
      <c r="J686" s="232">
        <v>882123</v>
      </c>
      <c r="K686" s="232">
        <v>68945</v>
      </c>
      <c r="L686" s="231">
        <v>24561</v>
      </c>
      <c r="M686" s="231"/>
      <c r="N686" s="232">
        <v>35273</v>
      </c>
      <c r="O686" s="232">
        <v>325587</v>
      </c>
      <c r="P686" s="232">
        <v>0</v>
      </c>
      <c r="Q686" s="231">
        <v>43510</v>
      </c>
      <c r="R686" s="232">
        <f t="shared" si="10"/>
        <v>556536</v>
      </c>
      <c r="S686" s="231"/>
      <c r="T686" s="232">
        <v>269056</v>
      </c>
      <c r="U686" s="233">
        <v>-2547</v>
      </c>
      <c r="V686" s="233">
        <v>266509</v>
      </c>
    </row>
    <row r="687" spans="1:22">
      <c r="A687" s="226">
        <v>97623</v>
      </c>
      <c r="B687" s="227" t="s">
        <v>1393</v>
      </c>
      <c r="C687" s="87">
        <v>2.9200000000000002E-5</v>
      </c>
      <c r="D687" s="87">
        <v>3.0000000000000001E-5</v>
      </c>
      <c r="E687" s="231">
        <v>14038.030000000002</v>
      </c>
      <c r="F687" s="231">
        <v>13463.82</v>
      </c>
      <c r="G687" s="231">
        <v>61972</v>
      </c>
      <c r="H687" s="231"/>
      <c r="I687" s="232">
        <v>1164</v>
      </c>
      <c r="J687" s="232">
        <v>54307</v>
      </c>
      <c r="K687" s="232">
        <v>4245</v>
      </c>
      <c r="L687" s="231">
        <v>10193</v>
      </c>
      <c r="M687" s="231"/>
      <c r="N687" s="232">
        <v>2172</v>
      </c>
      <c r="O687" s="232">
        <v>20045</v>
      </c>
      <c r="P687" s="232">
        <v>0</v>
      </c>
      <c r="Q687" s="231">
        <v>0</v>
      </c>
      <c r="R687" s="232">
        <f t="shared" si="10"/>
        <v>34262</v>
      </c>
      <c r="S687" s="231"/>
      <c r="T687" s="232">
        <v>16564</v>
      </c>
      <c r="U687" s="233">
        <v>3688</v>
      </c>
      <c r="V687" s="233">
        <v>20252</v>
      </c>
    </row>
    <row r="688" spans="1:22">
      <c r="A688" s="226">
        <v>97627</v>
      </c>
      <c r="B688" s="227" t="s">
        <v>1394</v>
      </c>
      <c r="C688" s="87">
        <v>1.0200000000000001E-5</v>
      </c>
      <c r="D688" s="87">
        <v>9.0999999999999993E-6</v>
      </c>
      <c r="E688" s="231">
        <v>4149.8899999999994</v>
      </c>
      <c r="F688" s="231">
        <v>4084</v>
      </c>
      <c r="G688" s="231">
        <v>21648</v>
      </c>
      <c r="H688" s="231"/>
      <c r="I688" s="232">
        <v>406.72500000000002</v>
      </c>
      <c r="J688" s="232">
        <v>18970</v>
      </c>
      <c r="K688" s="232">
        <v>1483</v>
      </c>
      <c r="L688" s="231">
        <v>942</v>
      </c>
      <c r="M688" s="231"/>
      <c r="N688" s="232">
        <v>759</v>
      </c>
      <c r="O688" s="232">
        <v>7002</v>
      </c>
      <c r="P688" s="232">
        <v>0</v>
      </c>
      <c r="Q688" s="231">
        <v>1562</v>
      </c>
      <c r="R688" s="232">
        <f t="shared" si="10"/>
        <v>11968</v>
      </c>
      <c r="S688" s="231"/>
      <c r="T688" s="232">
        <v>5786</v>
      </c>
      <c r="U688" s="233">
        <v>-217</v>
      </c>
      <c r="V688" s="233">
        <v>5570</v>
      </c>
    </row>
    <row r="689" spans="1:22">
      <c r="A689" s="226">
        <v>97631</v>
      </c>
      <c r="B689" s="227" t="s">
        <v>1395</v>
      </c>
      <c r="C689" s="87">
        <v>2.009E-4</v>
      </c>
      <c r="D689" s="87">
        <v>1.7239999999999999E-4</v>
      </c>
      <c r="E689" s="231">
        <v>69843.56</v>
      </c>
      <c r="F689" s="231">
        <v>77372</v>
      </c>
      <c r="G689" s="231">
        <v>426377</v>
      </c>
      <c r="H689" s="231"/>
      <c r="I689" s="232">
        <v>8011</v>
      </c>
      <c r="J689" s="232">
        <v>373642</v>
      </c>
      <c r="K689" s="232">
        <v>29203</v>
      </c>
      <c r="L689" s="231">
        <v>14802</v>
      </c>
      <c r="M689" s="231"/>
      <c r="N689" s="232">
        <v>14941</v>
      </c>
      <c r="O689" s="232">
        <v>137909</v>
      </c>
      <c r="P689" s="232">
        <v>0</v>
      </c>
      <c r="Q689" s="231">
        <v>0</v>
      </c>
      <c r="R689" s="232">
        <f t="shared" si="10"/>
        <v>235733</v>
      </c>
      <c r="S689" s="231"/>
      <c r="T689" s="232">
        <v>113964</v>
      </c>
      <c r="U689" s="233">
        <v>5491</v>
      </c>
      <c r="V689" s="233">
        <v>119456</v>
      </c>
    </row>
    <row r="690" spans="1:22">
      <c r="A690" s="226">
        <v>97637</v>
      </c>
      <c r="B690" s="227" t="s">
        <v>1396</v>
      </c>
      <c r="C690" s="87">
        <v>4.7999999999999998E-6</v>
      </c>
      <c r="D690" s="87">
        <v>6.1999999999999999E-6</v>
      </c>
      <c r="E690" s="231">
        <v>2878.4200000000005</v>
      </c>
      <c r="F690" s="231">
        <v>2783</v>
      </c>
      <c r="G690" s="231">
        <v>10187</v>
      </c>
      <c r="H690" s="231"/>
      <c r="I690" s="232">
        <v>191</v>
      </c>
      <c r="J690" s="232">
        <v>8927</v>
      </c>
      <c r="K690" s="232">
        <v>698</v>
      </c>
      <c r="L690" s="231">
        <v>655</v>
      </c>
      <c r="M690" s="231"/>
      <c r="N690" s="232">
        <v>357</v>
      </c>
      <c r="O690" s="232">
        <v>3295</v>
      </c>
      <c r="P690" s="232">
        <v>0</v>
      </c>
      <c r="Q690" s="231">
        <v>40</v>
      </c>
      <c r="R690" s="232">
        <f t="shared" si="10"/>
        <v>5632</v>
      </c>
      <c r="S690" s="231"/>
      <c r="T690" s="232">
        <v>2723</v>
      </c>
      <c r="U690" s="233">
        <v>244</v>
      </c>
      <c r="V690" s="233">
        <v>2967</v>
      </c>
    </row>
    <row r="691" spans="1:22">
      <c r="A691" s="226">
        <v>97641</v>
      </c>
      <c r="B691" s="227" t="s">
        <v>1397</v>
      </c>
      <c r="C691" s="87">
        <v>6.9999999999999994E-5</v>
      </c>
      <c r="D691" s="87">
        <v>5.3900000000000002E-5</v>
      </c>
      <c r="E691" s="231">
        <v>31635.049999999996</v>
      </c>
      <c r="F691" s="231">
        <v>24190</v>
      </c>
      <c r="G691" s="231">
        <v>148563</v>
      </c>
      <c r="H691" s="231"/>
      <c r="I691" s="232">
        <v>2791</v>
      </c>
      <c r="J691" s="232">
        <v>130189</v>
      </c>
      <c r="K691" s="232">
        <v>10175</v>
      </c>
      <c r="L691" s="231">
        <v>15548</v>
      </c>
      <c r="M691" s="231"/>
      <c r="N691" s="232">
        <v>5205.83</v>
      </c>
      <c r="O691" s="232">
        <v>48052.06</v>
      </c>
      <c r="P691" s="232">
        <v>0</v>
      </c>
      <c r="Q691" s="231">
        <v>5807</v>
      </c>
      <c r="R691" s="232">
        <f t="shared" si="10"/>
        <v>82136.94</v>
      </c>
      <c r="S691" s="231"/>
      <c r="T691" s="232">
        <v>39709</v>
      </c>
      <c r="U691" s="233">
        <v>1546</v>
      </c>
      <c r="V691" s="233">
        <v>41255</v>
      </c>
    </row>
    <row r="692" spans="1:22">
      <c r="A692" s="226">
        <v>97651</v>
      </c>
      <c r="B692" s="227" t="s">
        <v>1398</v>
      </c>
      <c r="C692" s="87">
        <v>5.1579999999999996E-4</v>
      </c>
      <c r="D692" s="87">
        <v>5.4140000000000004E-4</v>
      </c>
      <c r="E692" s="231">
        <v>190593.37</v>
      </c>
      <c r="F692" s="231">
        <v>242977</v>
      </c>
      <c r="G692" s="231">
        <v>1094700</v>
      </c>
      <c r="H692" s="231"/>
      <c r="I692" s="232">
        <v>20568</v>
      </c>
      <c r="J692" s="232">
        <v>959307</v>
      </c>
      <c r="K692" s="232">
        <v>74977</v>
      </c>
      <c r="L692" s="231">
        <v>4062</v>
      </c>
      <c r="M692" s="231"/>
      <c r="N692" s="232">
        <v>38360</v>
      </c>
      <c r="O692" s="232">
        <v>354075</v>
      </c>
      <c r="P692" s="232">
        <v>0</v>
      </c>
      <c r="Q692" s="231">
        <v>51828</v>
      </c>
      <c r="R692" s="232">
        <f t="shared" si="10"/>
        <v>605232</v>
      </c>
      <c r="S692" s="231"/>
      <c r="T692" s="232">
        <v>292597</v>
      </c>
      <c r="U692" s="233">
        <v>-17066</v>
      </c>
      <c r="V692" s="233">
        <v>275532</v>
      </c>
    </row>
    <row r="693" spans="1:22">
      <c r="A693" s="226">
        <v>97661</v>
      </c>
      <c r="B693" s="227" t="s">
        <v>1399</v>
      </c>
      <c r="C693" s="87">
        <v>4.3900000000000003E-5</v>
      </c>
      <c r="D693" s="87">
        <v>3.1999999999999999E-5</v>
      </c>
      <c r="E693" s="231">
        <v>18869.439999999999</v>
      </c>
      <c r="F693" s="231">
        <v>14361</v>
      </c>
      <c r="G693" s="231">
        <v>93171</v>
      </c>
      <c r="H693" s="231"/>
      <c r="I693" s="232">
        <v>1751</v>
      </c>
      <c r="J693" s="232">
        <v>81647</v>
      </c>
      <c r="K693" s="232">
        <v>6381</v>
      </c>
      <c r="L693" s="231">
        <v>12364</v>
      </c>
      <c r="M693" s="231"/>
      <c r="N693" s="232">
        <v>3265</v>
      </c>
      <c r="O693" s="232">
        <v>30136</v>
      </c>
      <c r="P693" s="232">
        <v>0</v>
      </c>
      <c r="Q693" s="231">
        <v>2964</v>
      </c>
      <c r="R693" s="232">
        <f t="shared" si="10"/>
        <v>51511</v>
      </c>
      <c r="S693" s="231"/>
      <c r="T693" s="232">
        <v>24903</v>
      </c>
      <c r="U693" s="233">
        <v>3435</v>
      </c>
      <c r="V693" s="233">
        <v>28338</v>
      </c>
    </row>
    <row r="694" spans="1:22">
      <c r="A694" s="226">
        <v>97701</v>
      </c>
      <c r="B694" s="227" t="s">
        <v>1400</v>
      </c>
      <c r="C694" s="87">
        <v>2.5081000000000001E-3</v>
      </c>
      <c r="D694" s="87">
        <v>2.4424999999999998E-3</v>
      </c>
      <c r="E694" s="231">
        <v>1011241.6699999999</v>
      </c>
      <c r="F694" s="231">
        <v>1096179</v>
      </c>
      <c r="G694" s="231">
        <v>5323028</v>
      </c>
      <c r="H694" s="231"/>
      <c r="I694" s="232">
        <v>100010</v>
      </c>
      <c r="J694" s="232">
        <v>4664670</v>
      </c>
      <c r="K694" s="232">
        <v>364580</v>
      </c>
      <c r="L694" s="231">
        <v>31450</v>
      </c>
      <c r="M694" s="231"/>
      <c r="N694" s="232">
        <v>186525</v>
      </c>
      <c r="O694" s="232">
        <v>1721705</v>
      </c>
      <c r="P694" s="232">
        <v>0</v>
      </c>
      <c r="Q694" s="231">
        <v>17434</v>
      </c>
      <c r="R694" s="232">
        <f t="shared" si="10"/>
        <v>2942965</v>
      </c>
      <c r="S694" s="231"/>
      <c r="T694" s="232">
        <v>1422767</v>
      </c>
      <c r="U694" s="233">
        <v>529</v>
      </c>
      <c r="V694" s="233">
        <v>1423296</v>
      </c>
    </row>
    <row r="695" spans="1:22">
      <c r="A695" s="226">
        <v>97705</v>
      </c>
      <c r="B695" s="227" t="s">
        <v>1401</v>
      </c>
      <c r="C695" s="87">
        <v>6.41E-5</v>
      </c>
      <c r="D695" s="87">
        <v>5.1700000000000003E-5</v>
      </c>
      <c r="E695" s="231">
        <v>21949.45</v>
      </c>
      <c r="F695" s="231">
        <v>23203</v>
      </c>
      <c r="G695" s="231">
        <v>136042</v>
      </c>
      <c r="H695" s="231"/>
      <c r="I695" s="232">
        <v>2556</v>
      </c>
      <c r="J695" s="232">
        <v>119216</v>
      </c>
      <c r="K695" s="232">
        <v>9318</v>
      </c>
      <c r="L695" s="231">
        <v>9600</v>
      </c>
      <c r="M695" s="231"/>
      <c r="N695" s="232">
        <v>4767</v>
      </c>
      <c r="O695" s="232">
        <v>44002</v>
      </c>
      <c r="P695" s="232">
        <v>0</v>
      </c>
      <c r="Q695" s="231">
        <v>3526</v>
      </c>
      <c r="R695" s="232">
        <f t="shared" si="10"/>
        <v>75214</v>
      </c>
      <c r="S695" s="231"/>
      <c r="T695" s="232">
        <v>36362</v>
      </c>
      <c r="U695" s="233">
        <v>2791</v>
      </c>
      <c r="V695" s="233">
        <v>39153</v>
      </c>
    </row>
    <row r="696" spans="1:22">
      <c r="A696" s="226">
        <v>97711</v>
      </c>
      <c r="B696" s="227" t="s">
        <v>1402</v>
      </c>
      <c r="C696" s="87">
        <v>9.3789999999999998E-4</v>
      </c>
      <c r="D696" s="87">
        <v>9.6489999999999998E-4</v>
      </c>
      <c r="E696" s="231">
        <v>373399.85</v>
      </c>
      <c r="F696" s="231">
        <v>433041</v>
      </c>
      <c r="G696" s="231">
        <v>1990538</v>
      </c>
      <c r="H696" s="231"/>
      <c r="I696" s="232">
        <v>37399</v>
      </c>
      <c r="J696" s="232">
        <v>1744346</v>
      </c>
      <c r="K696" s="232">
        <v>136334</v>
      </c>
      <c r="L696" s="231">
        <v>18485</v>
      </c>
      <c r="M696" s="231"/>
      <c r="N696" s="232">
        <v>69751</v>
      </c>
      <c r="O696" s="232">
        <v>643829</v>
      </c>
      <c r="P696" s="232">
        <v>0</v>
      </c>
      <c r="Q696" s="231">
        <v>24399</v>
      </c>
      <c r="R696" s="232">
        <f t="shared" si="10"/>
        <v>1100517</v>
      </c>
      <c r="S696" s="231"/>
      <c r="T696" s="232">
        <v>532042</v>
      </c>
      <c r="U696" s="233">
        <v>2197</v>
      </c>
      <c r="V696" s="233">
        <v>534239</v>
      </c>
    </row>
    <row r="697" spans="1:22">
      <c r="A697" s="226">
        <v>97713</v>
      </c>
      <c r="B697" s="227" t="s">
        <v>1403</v>
      </c>
      <c r="C697" s="87">
        <v>5.3699999999999997E-5</v>
      </c>
      <c r="D697" s="87">
        <v>5.5600000000000003E-5</v>
      </c>
      <c r="E697" s="231">
        <v>17632.46</v>
      </c>
      <c r="F697" s="231">
        <v>24953</v>
      </c>
      <c r="G697" s="231">
        <v>113969</v>
      </c>
      <c r="H697" s="231"/>
      <c r="I697" s="232">
        <v>2141</v>
      </c>
      <c r="J697" s="232">
        <v>99874</v>
      </c>
      <c r="K697" s="232">
        <v>7806</v>
      </c>
      <c r="L697" s="231">
        <v>1862.64</v>
      </c>
      <c r="M697" s="231"/>
      <c r="N697" s="232">
        <v>3994</v>
      </c>
      <c r="O697" s="232">
        <v>36863</v>
      </c>
      <c r="P697" s="232">
        <v>0</v>
      </c>
      <c r="Q697" s="231">
        <v>10607</v>
      </c>
      <c r="R697" s="232">
        <f t="shared" si="10"/>
        <v>63011</v>
      </c>
      <c r="S697" s="231"/>
      <c r="T697" s="232">
        <v>30462</v>
      </c>
      <c r="U697" s="233">
        <v>-2389</v>
      </c>
      <c r="V697" s="233">
        <v>28073</v>
      </c>
    </row>
    <row r="698" spans="1:22">
      <c r="A698" s="226">
        <v>97717</v>
      </c>
      <c r="B698" s="227" t="s">
        <v>1404</v>
      </c>
      <c r="C698" s="87">
        <v>7.5000000000000002E-6</v>
      </c>
      <c r="D698" s="87">
        <v>6.6000000000000003E-6</v>
      </c>
      <c r="E698" s="231">
        <v>4301.63</v>
      </c>
      <c r="F698" s="231">
        <v>2962</v>
      </c>
      <c r="G698" s="231">
        <v>15918</v>
      </c>
      <c r="H698" s="231"/>
      <c r="I698" s="232">
        <v>299.0625</v>
      </c>
      <c r="J698" s="232">
        <v>13949</v>
      </c>
      <c r="K698" s="232">
        <v>1090.2075</v>
      </c>
      <c r="L698" s="231">
        <v>1454</v>
      </c>
      <c r="M698" s="231"/>
      <c r="N698" s="232">
        <v>558</v>
      </c>
      <c r="O698" s="232">
        <v>5148</v>
      </c>
      <c r="P698" s="232">
        <v>0</v>
      </c>
      <c r="Q698" s="231">
        <v>3295</v>
      </c>
      <c r="R698" s="232">
        <f t="shared" si="10"/>
        <v>8801</v>
      </c>
      <c r="S698" s="231"/>
      <c r="T698" s="232">
        <v>4255</v>
      </c>
      <c r="U698" s="233">
        <v>-1145</v>
      </c>
      <c r="V698" s="233">
        <v>3109</v>
      </c>
    </row>
    <row r="699" spans="1:22">
      <c r="A699" s="226">
        <v>97721</v>
      </c>
      <c r="B699" s="227" t="s">
        <v>1405</v>
      </c>
      <c r="C699" s="87">
        <v>5.7249999999999998E-4</v>
      </c>
      <c r="D699" s="87">
        <v>5.2689999999999996E-4</v>
      </c>
      <c r="E699" s="231">
        <v>224528.03999999998</v>
      </c>
      <c r="F699" s="231">
        <v>236470</v>
      </c>
      <c r="G699" s="231">
        <v>1215037</v>
      </c>
      <c r="H699" s="231"/>
      <c r="I699" s="232">
        <v>22828.4375</v>
      </c>
      <c r="J699" s="232">
        <v>1064760</v>
      </c>
      <c r="K699" s="232">
        <v>83219</v>
      </c>
      <c r="L699" s="231">
        <v>19505</v>
      </c>
      <c r="M699" s="231"/>
      <c r="N699" s="232">
        <v>42576</v>
      </c>
      <c r="O699" s="232">
        <v>392997</v>
      </c>
      <c r="P699" s="232">
        <v>0</v>
      </c>
      <c r="Q699" s="231">
        <v>36721</v>
      </c>
      <c r="R699" s="232">
        <f t="shared" si="10"/>
        <v>671763</v>
      </c>
      <c r="S699" s="231"/>
      <c r="T699" s="232">
        <v>324762</v>
      </c>
      <c r="U699" s="233">
        <v>-7125</v>
      </c>
      <c r="V699" s="233">
        <v>317637</v>
      </c>
    </row>
    <row r="700" spans="1:22">
      <c r="A700" s="226">
        <v>97727</v>
      </c>
      <c r="B700" s="227" t="s">
        <v>1406</v>
      </c>
      <c r="C700" s="87">
        <v>2.37E-5</v>
      </c>
      <c r="D700" s="87">
        <v>2.5299999999999998E-5</v>
      </c>
      <c r="E700" s="231">
        <v>9369.1200000000008</v>
      </c>
      <c r="F700" s="231">
        <v>11354</v>
      </c>
      <c r="G700" s="231">
        <v>50299</v>
      </c>
      <c r="H700" s="231"/>
      <c r="I700" s="232">
        <v>945.03750000000002</v>
      </c>
      <c r="J700" s="232">
        <v>44078</v>
      </c>
      <c r="K700" s="232">
        <v>3445</v>
      </c>
      <c r="L700" s="231">
        <v>0</v>
      </c>
      <c r="M700" s="231"/>
      <c r="N700" s="232">
        <v>1763</v>
      </c>
      <c r="O700" s="232">
        <v>16269</v>
      </c>
      <c r="P700" s="232">
        <v>0</v>
      </c>
      <c r="Q700" s="231">
        <v>3253</v>
      </c>
      <c r="R700" s="232">
        <f t="shared" si="10"/>
        <v>27809</v>
      </c>
      <c r="S700" s="231"/>
      <c r="T700" s="232">
        <v>13444</v>
      </c>
      <c r="U700" s="233">
        <v>-1207</v>
      </c>
      <c r="V700" s="233">
        <v>12237</v>
      </c>
    </row>
    <row r="701" spans="1:22">
      <c r="A701" s="226">
        <v>97731</v>
      </c>
      <c r="B701" s="227" t="s">
        <v>1407</v>
      </c>
      <c r="C701" s="87">
        <v>3.7100000000000001E-5</v>
      </c>
      <c r="D701" s="87">
        <v>3.3599999999999997E-5</v>
      </c>
      <c r="E701" s="231">
        <v>17225.91</v>
      </c>
      <c r="F701" s="231">
        <v>15079</v>
      </c>
      <c r="G701" s="231">
        <v>78739</v>
      </c>
      <c r="H701" s="231"/>
      <c r="I701" s="232">
        <v>1479</v>
      </c>
      <c r="J701" s="232">
        <v>69000</v>
      </c>
      <c r="K701" s="232">
        <v>5393</v>
      </c>
      <c r="L701" s="231">
        <v>8501</v>
      </c>
      <c r="M701" s="231"/>
      <c r="N701" s="232">
        <v>2759</v>
      </c>
      <c r="O701" s="232">
        <v>25468</v>
      </c>
      <c r="P701" s="232">
        <v>0</v>
      </c>
      <c r="Q701" s="231">
        <v>0</v>
      </c>
      <c r="R701" s="232">
        <f t="shared" si="10"/>
        <v>43532</v>
      </c>
      <c r="S701" s="231"/>
      <c r="T701" s="232">
        <v>21046</v>
      </c>
      <c r="U701" s="233">
        <v>2797</v>
      </c>
      <c r="V701" s="233">
        <v>23843</v>
      </c>
    </row>
    <row r="702" spans="1:22">
      <c r="A702" s="226">
        <v>97801</v>
      </c>
      <c r="B702" s="227" t="s">
        <v>1940</v>
      </c>
      <c r="C702" s="87">
        <v>7.3343000000000002E-3</v>
      </c>
      <c r="D702" s="87">
        <v>7.4117999999999996E-3</v>
      </c>
      <c r="E702" s="231">
        <v>2930301.9699999993</v>
      </c>
      <c r="F702" s="231">
        <v>3326371</v>
      </c>
      <c r="G702" s="231">
        <v>15565842</v>
      </c>
      <c r="H702" s="231"/>
      <c r="I702" s="232">
        <v>292455</v>
      </c>
      <c r="J702" s="232">
        <v>13640639</v>
      </c>
      <c r="K702" s="232">
        <v>1066121</v>
      </c>
      <c r="L702" s="231">
        <v>55808</v>
      </c>
      <c r="M702" s="231"/>
      <c r="N702" s="232">
        <v>545445</v>
      </c>
      <c r="O702" s="232">
        <v>5034689</v>
      </c>
      <c r="P702" s="232">
        <v>0</v>
      </c>
      <c r="Q702" s="231">
        <v>191858</v>
      </c>
      <c r="R702" s="232">
        <f t="shared" si="10"/>
        <v>8605950</v>
      </c>
      <c r="S702" s="231"/>
      <c r="T702" s="232">
        <v>4160521</v>
      </c>
      <c r="U702" s="233">
        <v>-29463</v>
      </c>
      <c r="V702" s="233">
        <v>4131058</v>
      </c>
    </row>
    <row r="703" spans="1:22">
      <c r="A703" s="226">
        <v>97802</v>
      </c>
      <c r="B703" s="227" t="s">
        <v>1409</v>
      </c>
      <c r="C703" s="87">
        <v>1.8120000000000001E-4</v>
      </c>
      <c r="D703" s="87">
        <v>1.8599999999999999E-4</v>
      </c>
      <c r="E703" s="231">
        <v>74110.990000000005</v>
      </c>
      <c r="F703" s="231">
        <v>83476</v>
      </c>
      <c r="G703" s="231">
        <v>384567</v>
      </c>
      <c r="H703" s="231"/>
      <c r="I703" s="232">
        <v>7225.35</v>
      </c>
      <c r="J703" s="232">
        <v>337003</v>
      </c>
      <c r="K703" s="232">
        <v>26339</v>
      </c>
      <c r="L703" s="231">
        <v>19490</v>
      </c>
      <c r="M703" s="231"/>
      <c r="N703" s="232">
        <v>13476</v>
      </c>
      <c r="O703" s="232">
        <v>124386</v>
      </c>
      <c r="P703" s="232">
        <v>0</v>
      </c>
      <c r="Q703" s="231">
        <v>22046</v>
      </c>
      <c r="R703" s="232">
        <f t="shared" si="10"/>
        <v>212617</v>
      </c>
      <c r="S703" s="231"/>
      <c r="T703" s="232">
        <v>102789</v>
      </c>
      <c r="U703" s="233">
        <v>2255</v>
      </c>
      <c r="V703" s="233">
        <v>105045</v>
      </c>
    </row>
    <row r="704" spans="1:22">
      <c r="A704" s="226">
        <v>97803</v>
      </c>
      <c r="B704" s="227" t="s">
        <v>1410</v>
      </c>
      <c r="C704" s="87">
        <v>7.9099999999999998E-5</v>
      </c>
      <c r="D704" s="87">
        <v>7.6600000000000005E-5</v>
      </c>
      <c r="E704" s="231">
        <v>33622</v>
      </c>
      <c r="F704" s="231">
        <v>34378</v>
      </c>
      <c r="G704" s="231">
        <v>167877</v>
      </c>
      <c r="H704" s="231"/>
      <c r="I704" s="232">
        <v>3154</v>
      </c>
      <c r="J704" s="232">
        <v>147114</v>
      </c>
      <c r="K704" s="232">
        <v>11498</v>
      </c>
      <c r="L704" s="231">
        <v>9364</v>
      </c>
      <c r="M704" s="231"/>
      <c r="N704" s="232">
        <v>5883</v>
      </c>
      <c r="O704" s="232">
        <v>54299</v>
      </c>
      <c r="P704" s="232">
        <v>0</v>
      </c>
      <c r="Q704" s="231">
        <v>2358</v>
      </c>
      <c r="R704" s="232">
        <f t="shared" si="10"/>
        <v>92815</v>
      </c>
      <c r="S704" s="231"/>
      <c r="T704" s="232">
        <v>44871</v>
      </c>
      <c r="U704" s="233">
        <v>3329</v>
      </c>
      <c r="V704" s="233">
        <v>48200</v>
      </c>
    </row>
    <row r="705" spans="1:22">
      <c r="A705" s="226">
        <v>97805</v>
      </c>
      <c r="B705" s="227" t="s">
        <v>1411</v>
      </c>
      <c r="C705" s="87">
        <v>8.2600000000000002E-5</v>
      </c>
      <c r="D705" s="87">
        <v>6.7700000000000006E-5</v>
      </c>
      <c r="E705" s="231">
        <v>34033.410000000003</v>
      </c>
      <c r="F705" s="231">
        <v>30383</v>
      </c>
      <c r="G705" s="231">
        <v>175305</v>
      </c>
      <c r="H705" s="231"/>
      <c r="I705" s="232">
        <v>3294</v>
      </c>
      <c r="J705" s="232">
        <v>153623</v>
      </c>
      <c r="K705" s="232">
        <v>12007</v>
      </c>
      <c r="L705" s="231">
        <v>13426</v>
      </c>
      <c r="M705" s="231"/>
      <c r="N705" s="232">
        <v>6143</v>
      </c>
      <c r="O705" s="232">
        <v>56701</v>
      </c>
      <c r="P705" s="232">
        <v>0</v>
      </c>
      <c r="Q705" s="231">
        <v>453.72</v>
      </c>
      <c r="R705" s="232">
        <f t="shared" si="10"/>
        <v>96922</v>
      </c>
      <c r="S705" s="231"/>
      <c r="T705" s="232">
        <v>46856</v>
      </c>
      <c r="U705" s="233">
        <v>3757</v>
      </c>
      <c r="V705" s="233">
        <v>50613</v>
      </c>
    </row>
    <row r="706" spans="1:22">
      <c r="A706" s="226">
        <v>97811</v>
      </c>
      <c r="B706" s="227" t="s">
        <v>1412</v>
      </c>
      <c r="C706" s="87">
        <v>2.4088E-3</v>
      </c>
      <c r="D706" s="87">
        <v>2.5788E-3</v>
      </c>
      <c r="E706" s="231">
        <v>950193.23999999987</v>
      </c>
      <c r="F706" s="231">
        <v>1157350</v>
      </c>
      <c r="G706" s="231">
        <v>5112281</v>
      </c>
      <c r="H706" s="231"/>
      <c r="I706" s="232">
        <v>96050.9</v>
      </c>
      <c r="J706" s="232">
        <v>4479987</v>
      </c>
      <c r="K706" s="232">
        <v>350146</v>
      </c>
      <c r="L706" s="231">
        <v>0</v>
      </c>
      <c r="M706" s="231"/>
      <c r="N706" s="232">
        <v>179140</v>
      </c>
      <c r="O706" s="232">
        <v>1653540</v>
      </c>
      <c r="P706" s="232">
        <v>0</v>
      </c>
      <c r="Q706" s="231">
        <v>235946</v>
      </c>
      <c r="R706" s="232">
        <f t="shared" si="10"/>
        <v>2826447</v>
      </c>
      <c r="S706" s="231"/>
      <c r="T706" s="232">
        <v>1366438</v>
      </c>
      <c r="U706" s="233">
        <v>-72994</v>
      </c>
      <c r="V706" s="233">
        <v>1293444</v>
      </c>
    </row>
    <row r="707" spans="1:22">
      <c r="A707" s="226">
        <v>97817</v>
      </c>
      <c r="B707" s="227" t="s">
        <v>1413</v>
      </c>
      <c r="C707" s="87">
        <v>3.9999999999999998E-6</v>
      </c>
      <c r="D707" s="87">
        <v>7.0999999999999998E-6</v>
      </c>
      <c r="E707" s="231">
        <v>7287.0899999999992</v>
      </c>
      <c r="F707" s="231">
        <v>3186</v>
      </c>
      <c r="G707" s="231">
        <v>8489.34</v>
      </c>
      <c r="H707" s="231"/>
      <c r="I707" s="232">
        <v>159.5</v>
      </c>
      <c r="J707" s="232">
        <v>7439</v>
      </c>
      <c r="K707" s="232">
        <v>581</v>
      </c>
      <c r="L707" s="231">
        <v>4157</v>
      </c>
      <c r="M707" s="231"/>
      <c r="N707" s="232">
        <v>297</v>
      </c>
      <c r="O707" s="232">
        <v>2746</v>
      </c>
      <c r="P707" s="232">
        <v>0</v>
      </c>
      <c r="Q707" s="231">
        <v>3747</v>
      </c>
      <c r="R707" s="232">
        <f t="shared" si="10"/>
        <v>4693</v>
      </c>
      <c r="S707" s="231"/>
      <c r="T707" s="232">
        <v>2269</v>
      </c>
      <c r="U707" s="233">
        <v>78</v>
      </c>
      <c r="V707" s="233">
        <v>2347</v>
      </c>
    </row>
    <row r="708" spans="1:22">
      <c r="A708" s="226">
        <v>97818</v>
      </c>
      <c r="B708" s="227" t="s">
        <v>1414</v>
      </c>
      <c r="C708" s="87">
        <v>2.12E-5</v>
      </c>
      <c r="D708" s="87">
        <v>8.3999999999999992E-6</v>
      </c>
      <c r="E708" s="231">
        <v>8689.8200000000015</v>
      </c>
      <c r="F708" s="231">
        <v>3770</v>
      </c>
      <c r="G708" s="231">
        <v>44994</v>
      </c>
      <c r="H708" s="231"/>
      <c r="I708" s="232">
        <v>845.35</v>
      </c>
      <c r="J708" s="232">
        <v>39429</v>
      </c>
      <c r="K708" s="232">
        <v>3082</v>
      </c>
      <c r="L708" s="231">
        <v>8112</v>
      </c>
      <c r="M708" s="231"/>
      <c r="N708" s="232">
        <v>1577</v>
      </c>
      <c r="O708" s="232">
        <v>14553</v>
      </c>
      <c r="P708" s="232">
        <v>0</v>
      </c>
      <c r="Q708" s="231">
        <v>4294.42</v>
      </c>
      <c r="R708" s="232">
        <f t="shared" si="10"/>
        <v>24876</v>
      </c>
      <c r="S708" s="231"/>
      <c r="T708" s="232">
        <v>12026</v>
      </c>
      <c r="U708" s="233">
        <v>58</v>
      </c>
      <c r="V708" s="233">
        <v>12084</v>
      </c>
    </row>
    <row r="709" spans="1:22">
      <c r="A709" s="226">
        <v>97821</v>
      </c>
      <c r="B709" s="227" t="s">
        <v>1415</v>
      </c>
      <c r="C709" s="87">
        <v>1.1620000000000001E-4</v>
      </c>
      <c r="D709" s="87">
        <v>1.3329999999999999E-4</v>
      </c>
      <c r="E709" s="231">
        <v>52013.57</v>
      </c>
      <c r="F709" s="231">
        <v>59824</v>
      </c>
      <c r="G709" s="231">
        <v>246615</v>
      </c>
      <c r="H709" s="231"/>
      <c r="I709" s="232">
        <v>4633</v>
      </c>
      <c r="J709" s="232">
        <v>216114</v>
      </c>
      <c r="K709" s="232">
        <v>16891</v>
      </c>
      <c r="L709" s="231">
        <v>0</v>
      </c>
      <c r="M709" s="231"/>
      <c r="N709" s="232">
        <v>8642</v>
      </c>
      <c r="O709" s="232">
        <v>79766</v>
      </c>
      <c r="P709" s="232">
        <v>0</v>
      </c>
      <c r="Q709" s="231">
        <v>26909</v>
      </c>
      <c r="R709" s="232">
        <f t="shared" si="10"/>
        <v>136348</v>
      </c>
      <c r="S709" s="231"/>
      <c r="T709" s="232">
        <v>65917</v>
      </c>
      <c r="U709" s="233">
        <v>-10681</v>
      </c>
      <c r="V709" s="233">
        <v>55236</v>
      </c>
    </row>
    <row r="710" spans="1:22">
      <c r="A710" s="226">
        <v>97823</v>
      </c>
      <c r="B710" s="227" t="s">
        <v>1416</v>
      </c>
      <c r="C710" s="87">
        <v>2.4600000000000002E-5</v>
      </c>
      <c r="D710" s="87">
        <v>2.58E-5</v>
      </c>
      <c r="E710" s="231">
        <v>11852.430000000002</v>
      </c>
      <c r="F710" s="231">
        <v>11579</v>
      </c>
      <c r="G710" s="231">
        <v>52209</v>
      </c>
      <c r="H710" s="231"/>
      <c r="I710" s="232">
        <v>981</v>
      </c>
      <c r="J710" s="232">
        <v>45752</v>
      </c>
      <c r="K710" s="232">
        <v>3576</v>
      </c>
      <c r="L710" s="231">
        <v>926</v>
      </c>
      <c r="M710" s="231"/>
      <c r="N710" s="232">
        <v>1829</v>
      </c>
      <c r="O710" s="232">
        <v>16887</v>
      </c>
      <c r="P710" s="232">
        <v>0</v>
      </c>
      <c r="Q710" s="231">
        <v>1188</v>
      </c>
      <c r="R710" s="232">
        <f t="shared" si="10"/>
        <v>28865</v>
      </c>
      <c r="S710" s="231"/>
      <c r="T710" s="232">
        <v>13955</v>
      </c>
      <c r="U710" s="233">
        <v>-338</v>
      </c>
      <c r="V710" s="233">
        <v>13616</v>
      </c>
    </row>
    <row r="711" spans="1:22">
      <c r="A711" s="226">
        <v>97831</v>
      </c>
      <c r="B711" s="227" t="s">
        <v>1417</v>
      </c>
      <c r="C711" s="87">
        <v>1.482E-4</v>
      </c>
      <c r="D711" s="87">
        <v>1.5860000000000001E-4</v>
      </c>
      <c r="E711" s="231">
        <v>66463.330000000016</v>
      </c>
      <c r="F711" s="231">
        <v>71179</v>
      </c>
      <c r="G711" s="231">
        <v>314530</v>
      </c>
      <c r="H711" s="231"/>
      <c r="I711" s="232">
        <v>5909</v>
      </c>
      <c r="J711" s="232">
        <v>275629</v>
      </c>
      <c r="K711" s="232">
        <v>21543</v>
      </c>
      <c r="L711" s="231">
        <v>0</v>
      </c>
      <c r="M711" s="231"/>
      <c r="N711" s="232">
        <v>11021</v>
      </c>
      <c r="O711" s="232">
        <v>101733</v>
      </c>
      <c r="P711" s="232">
        <v>0</v>
      </c>
      <c r="Q711" s="231">
        <v>14308</v>
      </c>
      <c r="R711" s="232">
        <f t="shared" si="10"/>
        <v>173896</v>
      </c>
      <c r="S711" s="231"/>
      <c r="T711" s="232">
        <v>84069</v>
      </c>
      <c r="U711" s="233">
        <v>-5891</v>
      </c>
      <c r="V711" s="233">
        <v>78179</v>
      </c>
    </row>
    <row r="712" spans="1:22">
      <c r="A712" s="226">
        <v>97837</v>
      </c>
      <c r="B712" s="227" t="s">
        <v>1418</v>
      </c>
      <c r="C712" s="87">
        <v>8.8000000000000004E-6</v>
      </c>
      <c r="D712" s="87">
        <v>1.3699999999999999E-5</v>
      </c>
      <c r="E712" s="231">
        <v>6597.01</v>
      </c>
      <c r="F712" s="231">
        <v>6148</v>
      </c>
      <c r="G712" s="231">
        <v>18677</v>
      </c>
      <c r="H712" s="231"/>
      <c r="I712" s="232">
        <v>351</v>
      </c>
      <c r="J712" s="232">
        <v>16367</v>
      </c>
      <c r="K712" s="232">
        <v>1279</v>
      </c>
      <c r="L712" s="231">
        <v>2093</v>
      </c>
      <c r="M712" s="231"/>
      <c r="N712" s="232">
        <v>654</v>
      </c>
      <c r="O712" s="232">
        <v>6041</v>
      </c>
      <c r="P712" s="232">
        <v>0</v>
      </c>
      <c r="Q712" s="231">
        <v>289</v>
      </c>
      <c r="R712" s="232">
        <f t="shared" si="10"/>
        <v>10326</v>
      </c>
      <c r="S712" s="231"/>
      <c r="T712" s="232">
        <v>4992</v>
      </c>
      <c r="U712" s="233">
        <v>751</v>
      </c>
      <c r="V712" s="233">
        <v>5743</v>
      </c>
    </row>
    <row r="713" spans="1:22">
      <c r="A713" s="226">
        <v>97840</v>
      </c>
      <c r="B713" s="227" t="s">
        <v>1419</v>
      </c>
      <c r="C713" s="87">
        <v>1.403E-4</v>
      </c>
      <c r="D713" s="87">
        <v>1.4799999999999999E-4</v>
      </c>
      <c r="E713" s="231">
        <v>98734.69</v>
      </c>
      <c r="F713" s="231">
        <v>66422</v>
      </c>
      <c r="G713" s="231">
        <v>297764</v>
      </c>
      <c r="H713" s="231"/>
      <c r="I713" s="232">
        <v>5594</v>
      </c>
      <c r="J713" s="232">
        <v>260936</v>
      </c>
      <c r="K713" s="232">
        <v>20394</v>
      </c>
      <c r="L713" s="231">
        <v>64083</v>
      </c>
      <c r="M713" s="231"/>
      <c r="N713" s="232">
        <v>10434</v>
      </c>
      <c r="O713" s="232">
        <v>96310</v>
      </c>
      <c r="P713" s="232">
        <v>0</v>
      </c>
      <c r="Q713" s="231">
        <v>1938</v>
      </c>
      <c r="R713" s="232">
        <f t="shared" ref="R713:R776" si="11">IF(J713&gt;O713,J713-O713,O713-J713)</f>
        <v>164626</v>
      </c>
      <c r="S713" s="231"/>
      <c r="T713" s="232">
        <v>79588</v>
      </c>
      <c r="U713" s="233">
        <v>19035</v>
      </c>
      <c r="V713" s="233">
        <v>98623</v>
      </c>
    </row>
    <row r="714" spans="1:22">
      <c r="A714" s="226">
        <v>97841</v>
      </c>
      <c r="B714" s="227" t="s">
        <v>1420</v>
      </c>
      <c r="C714" s="87">
        <v>1.45E-5</v>
      </c>
      <c r="D714" s="87">
        <v>1.5699999999999999E-5</v>
      </c>
      <c r="E714" s="231">
        <v>6090.83</v>
      </c>
      <c r="F714" s="231">
        <v>7046</v>
      </c>
      <c r="G714" s="231">
        <v>30774</v>
      </c>
      <c r="H714" s="231"/>
      <c r="I714" s="232">
        <v>578.1875</v>
      </c>
      <c r="J714" s="232">
        <v>26968</v>
      </c>
      <c r="K714" s="232">
        <v>2108</v>
      </c>
      <c r="L714" s="231">
        <v>636</v>
      </c>
      <c r="M714" s="231"/>
      <c r="N714" s="232">
        <v>1078</v>
      </c>
      <c r="O714" s="232">
        <v>9954</v>
      </c>
      <c r="P714" s="232">
        <v>0</v>
      </c>
      <c r="Q714" s="231">
        <v>8091</v>
      </c>
      <c r="R714" s="232">
        <f t="shared" si="11"/>
        <v>17014</v>
      </c>
      <c r="S714" s="231"/>
      <c r="T714" s="232">
        <v>8225</v>
      </c>
      <c r="U714" s="233">
        <v>-3707</v>
      </c>
      <c r="V714" s="233">
        <v>4519</v>
      </c>
    </row>
    <row r="715" spans="1:22">
      <c r="A715" s="226">
        <v>97847</v>
      </c>
      <c r="B715" s="227" t="s">
        <v>1421</v>
      </c>
      <c r="C715" s="87">
        <v>2.2000000000000001E-6</v>
      </c>
      <c r="D715" s="87">
        <v>2.7E-6</v>
      </c>
      <c r="E715" s="231">
        <v>1833.5700000000002</v>
      </c>
      <c r="F715" s="231">
        <v>1212</v>
      </c>
      <c r="G715" s="231">
        <v>4669</v>
      </c>
      <c r="H715" s="231"/>
      <c r="I715" s="232">
        <v>88</v>
      </c>
      <c r="J715" s="232">
        <v>4092</v>
      </c>
      <c r="K715" s="232">
        <v>320</v>
      </c>
      <c r="L715" s="231">
        <v>650</v>
      </c>
      <c r="M715" s="231"/>
      <c r="N715" s="232">
        <v>164</v>
      </c>
      <c r="O715" s="232">
        <v>1510</v>
      </c>
      <c r="P715" s="232">
        <v>0</v>
      </c>
      <c r="Q715" s="231">
        <v>145</v>
      </c>
      <c r="R715" s="232">
        <f t="shared" si="11"/>
        <v>2582</v>
      </c>
      <c r="S715" s="231"/>
      <c r="T715" s="232">
        <v>1248</v>
      </c>
      <c r="U715" s="233">
        <v>113</v>
      </c>
      <c r="V715" s="233">
        <v>1361</v>
      </c>
    </row>
    <row r="716" spans="1:22">
      <c r="A716" s="226">
        <v>97851</v>
      </c>
      <c r="B716" s="227" t="s">
        <v>1422</v>
      </c>
      <c r="C716" s="87">
        <v>2.7460000000000001E-4</v>
      </c>
      <c r="D716" s="87">
        <v>2.7E-4</v>
      </c>
      <c r="E716" s="231">
        <v>101247.38999999998</v>
      </c>
      <c r="F716" s="231">
        <v>121174.38</v>
      </c>
      <c r="G716" s="231">
        <v>582793</v>
      </c>
      <c r="H716" s="231"/>
      <c r="I716" s="232">
        <v>10950</v>
      </c>
      <c r="J716" s="232">
        <v>510713</v>
      </c>
      <c r="K716" s="232">
        <v>39916</v>
      </c>
      <c r="L716" s="231">
        <v>2911</v>
      </c>
      <c r="M716" s="231"/>
      <c r="N716" s="232">
        <v>20422</v>
      </c>
      <c r="O716" s="232">
        <v>188501</v>
      </c>
      <c r="P716" s="232">
        <v>0</v>
      </c>
      <c r="Q716" s="231">
        <v>8317</v>
      </c>
      <c r="R716" s="232">
        <f t="shared" si="11"/>
        <v>322212</v>
      </c>
      <c r="S716" s="231"/>
      <c r="T716" s="232">
        <v>155772</v>
      </c>
      <c r="U716" s="233">
        <v>-838</v>
      </c>
      <c r="V716" s="233">
        <v>154934</v>
      </c>
    </row>
    <row r="717" spans="1:22">
      <c r="A717" s="226">
        <v>97853</v>
      </c>
      <c r="B717" s="227" t="s">
        <v>1423</v>
      </c>
      <c r="C717" s="87">
        <v>9.1600000000000004E-5</v>
      </c>
      <c r="D717" s="87">
        <v>1.114E-4</v>
      </c>
      <c r="E717" s="231">
        <v>34606.629999999997</v>
      </c>
      <c r="F717" s="231">
        <v>49996</v>
      </c>
      <c r="G717" s="231">
        <v>194406</v>
      </c>
      <c r="H717" s="231"/>
      <c r="I717" s="232">
        <v>3652.55</v>
      </c>
      <c r="J717" s="232">
        <v>170362</v>
      </c>
      <c r="K717" s="232">
        <v>13315</v>
      </c>
      <c r="L717" s="231">
        <v>6323</v>
      </c>
      <c r="M717" s="231"/>
      <c r="N717" s="232">
        <v>6812</v>
      </c>
      <c r="O717" s="232">
        <v>62880</v>
      </c>
      <c r="P717" s="232">
        <v>0</v>
      </c>
      <c r="Q717" s="231">
        <v>13159</v>
      </c>
      <c r="R717" s="232">
        <f t="shared" si="11"/>
        <v>107482</v>
      </c>
      <c r="S717" s="231"/>
      <c r="T717" s="232">
        <v>51962</v>
      </c>
      <c r="U717" s="233">
        <v>-826</v>
      </c>
      <c r="V717" s="233">
        <v>51136</v>
      </c>
    </row>
    <row r="718" spans="1:22">
      <c r="A718" s="226">
        <v>97861</v>
      </c>
      <c r="B718" s="227" t="s">
        <v>1424</v>
      </c>
      <c r="C718" s="87">
        <v>6.8499999999999998E-5</v>
      </c>
      <c r="D718" s="87">
        <v>6.6799999999999997E-5</v>
      </c>
      <c r="E718" s="231">
        <v>25465.590000000004</v>
      </c>
      <c r="F718" s="231">
        <v>29979</v>
      </c>
      <c r="G718" s="231">
        <v>145380</v>
      </c>
      <c r="H718" s="231"/>
      <c r="I718" s="232">
        <v>2731.4375</v>
      </c>
      <c r="J718" s="232">
        <v>127399</v>
      </c>
      <c r="K718" s="232">
        <v>9957</v>
      </c>
      <c r="L718" s="231">
        <v>2745</v>
      </c>
      <c r="M718" s="231"/>
      <c r="N718" s="232">
        <v>5094</v>
      </c>
      <c r="O718" s="232">
        <v>47022</v>
      </c>
      <c r="P718" s="232">
        <v>0</v>
      </c>
      <c r="Q718" s="231">
        <v>8154</v>
      </c>
      <c r="R718" s="232">
        <f t="shared" si="11"/>
        <v>80377</v>
      </c>
      <c r="S718" s="231"/>
      <c r="T718" s="232">
        <v>38858</v>
      </c>
      <c r="U718" s="233">
        <v>-2826</v>
      </c>
      <c r="V718" s="233">
        <v>36032</v>
      </c>
    </row>
    <row r="719" spans="1:22">
      <c r="A719" s="226">
        <v>97871</v>
      </c>
      <c r="B719" s="227" t="s">
        <v>1425</v>
      </c>
      <c r="C719" s="87">
        <v>3.1500000000000001E-4</v>
      </c>
      <c r="D719" s="87">
        <v>3.1530000000000002E-4</v>
      </c>
      <c r="E719" s="231">
        <v>247765.79000000004</v>
      </c>
      <c r="F719" s="231">
        <v>141505</v>
      </c>
      <c r="G719" s="231">
        <v>668536</v>
      </c>
      <c r="H719" s="231"/>
      <c r="I719" s="232">
        <v>12560.625</v>
      </c>
      <c r="J719" s="232">
        <v>585850.23</v>
      </c>
      <c r="K719" s="232">
        <v>45789</v>
      </c>
      <c r="L719" s="231">
        <v>173467</v>
      </c>
      <c r="M719" s="231"/>
      <c r="N719" s="232">
        <v>23426</v>
      </c>
      <c r="O719" s="232">
        <v>216234</v>
      </c>
      <c r="P719" s="232">
        <v>0</v>
      </c>
      <c r="Q719" s="231">
        <v>0</v>
      </c>
      <c r="R719" s="232">
        <f t="shared" si="11"/>
        <v>369616.23</v>
      </c>
      <c r="S719" s="231"/>
      <c r="T719" s="232">
        <v>178690</v>
      </c>
      <c r="U719" s="233">
        <v>54798</v>
      </c>
      <c r="V719" s="233">
        <v>233488</v>
      </c>
    </row>
    <row r="720" spans="1:22">
      <c r="A720" s="226">
        <v>97877</v>
      </c>
      <c r="B720" s="227" t="s">
        <v>1426</v>
      </c>
      <c r="C720" s="87">
        <v>2.2000000000000001E-6</v>
      </c>
      <c r="D720" s="87">
        <v>2.6000000000000001E-6</v>
      </c>
      <c r="E720" s="231">
        <v>1917.4899999999998</v>
      </c>
      <c r="F720" s="231">
        <v>1167</v>
      </c>
      <c r="G720" s="231">
        <v>4669</v>
      </c>
      <c r="H720" s="231"/>
      <c r="I720" s="232">
        <v>88</v>
      </c>
      <c r="J720" s="232">
        <v>4092</v>
      </c>
      <c r="K720" s="232">
        <v>320</v>
      </c>
      <c r="L720" s="231">
        <v>1306</v>
      </c>
      <c r="M720" s="231"/>
      <c r="N720" s="232">
        <v>164</v>
      </c>
      <c r="O720" s="232">
        <v>1510</v>
      </c>
      <c r="P720" s="232">
        <v>0</v>
      </c>
      <c r="Q720" s="231">
        <v>0</v>
      </c>
      <c r="R720" s="232">
        <f t="shared" si="11"/>
        <v>2582</v>
      </c>
      <c r="S720" s="231"/>
      <c r="T720" s="232">
        <v>1248</v>
      </c>
      <c r="U720" s="233">
        <v>452</v>
      </c>
      <c r="V720" s="233">
        <v>1700</v>
      </c>
    </row>
    <row r="721" spans="1:22">
      <c r="A721" s="226">
        <v>97901</v>
      </c>
      <c r="B721" s="227" t="s">
        <v>1427</v>
      </c>
      <c r="C721" s="87">
        <v>4.3616999999999996E-3</v>
      </c>
      <c r="D721" s="87">
        <v>4.2928000000000003E-3</v>
      </c>
      <c r="E721" s="231">
        <v>1721465.11</v>
      </c>
      <c r="F721" s="231">
        <v>1926583</v>
      </c>
      <c r="G721" s="231">
        <v>9256989</v>
      </c>
      <c r="H721" s="231"/>
      <c r="I721" s="232">
        <v>173923</v>
      </c>
      <c r="J721" s="232">
        <v>8112073</v>
      </c>
      <c r="K721" s="232">
        <v>634021</v>
      </c>
      <c r="L721" s="231">
        <v>76379</v>
      </c>
      <c r="M721" s="231"/>
      <c r="N721" s="232">
        <v>324375</v>
      </c>
      <c r="O721" s="232">
        <v>2994124</v>
      </c>
      <c r="P721" s="232">
        <v>0</v>
      </c>
      <c r="Q721" s="231">
        <v>20062</v>
      </c>
      <c r="R721" s="232">
        <f t="shared" si="11"/>
        <v>5117949</v>
      </c>
      <c r="S721" s="231"/>
      <c r="T721" s="232">
        <v>2474257</v>
      </c>
      <c r="U721" s="233">
        <v>24654</v>
      </c>
      <c r="V721" s="233">
        <v>2498911</v>
      </c>
    </row>
    <row r="722" spans="1:22">
      <c r="A722" s="226">
        <v>97911</v>
      </c>
      <c r="B722" s="227" t="s">
        <v>1428</v>
      </c>
      <c r="C722" s="87">
        <v>1.3190000000000001E-3</v>
      </c>
      <c r="D722" s="87">
        <v>1.4008E-3</v>
      </c>
      <c r="E722" s="231">
        <v>549902.35000000009</v>
      </c>
      <c r="F722" s="231">
        <v>628671</v>
      </c>
      <c r="G722" s="231">
        <v>2799360</v>
      </c>
      <c r="H722" s="231"/>
      <c r="I722" s="232">
        <v>52595.125</v>
      </c>
      <c r="J722" s="232">
        <v>2453132</v>
      </c>
      <c r="K722" s="232">
        <v>191731</v>
      </c>
      <c r="L722" s="231">
        <v>50935</v>
      </c>
      <c r="M722" s="231"/>
      <c r="N722" s="232">
        <v>98093</v>
      </c>
      <c r="O722" s="232">
        <v>905438</v>
      </c>
      <c r="P722" s="232">
        <v>0</v>
      </c>
      <c r="Q722" s="231">
        <v>38377</v>
      </c>
      <c r="R722" s="232">
        <f t="shared" si="11"/>
        <v>1547694</v>
      </c>
      <c r="S722" s="231"/>
      <c r="T722" s="232">
        <v>748228</v>
      </c>
      <c r="U722" s="233">
        <v>10404</v>
      </c>
      <c r="V722" s="233">
        <v>758632</v>
      </c>
    </row>
    <row r="723" spans="1:22">
      <c r="A723" s="226">
        <v>97913</v>
      </c>
      <c r="B723" s="227" t="s">
        <v>1429</v>
      </c>
      <c r="C723" s="87">
        <v>3.7400000000000001E-5</v>
      </c>
      <c r="D723" s="87">
        <v>3.7700000000000002E-5</v>
      </c>
      <c r="E723" s="231">
        <v>23994.67</v>
      </c>
      <c r="F723" s="231">
        <v>16920</v>
      </c>
      <c r="G723" s="231">
        <v>79375</v>
      </c>
      <c r="H723" s="231"/>
      <c r="I723" s="232">
        <v>1491.325</v>
      </c>
      <c r="J723" s="232">
        <v>69558</v>
      </c>
      <c r="K723" s="232">
        <v>5437</v>
      </c>
      <c r="L723" s="231">
        <v>11163</v>
      </c>
      <c r="M723" s="231"/>
      <c r="N723" s="232">
        <v>2781</v>
      </c>
      <c r="O723" s="232">
        <v>25674</v>
      </c>
      <c r="P723" s="232">
        <v>0</v>
      </c>
      <c r="Q723" s="231">
        <v>0</v>
      </c>
      <c r="R723" s="232">
        <f t="shared" si="11"/>
        <v>43884</v>
      </c>
      <c r="S723" s="231"/>
      <c r="T723" s="232">
        <v>21216</v>
      </c>
      <c r="U723" s="233">
        <v>3404</v>
      </c>
      <c r="V723" s="233">
        <v>24620</v>
      </c>
    </row>
    <row r="724" spans="1:22">
      <c r="A724" s="226">
        <v>97917</v>
      </c>
      <c r="B724" s="227" t="s">
        <v>1430</v>
      </c>
      <c r="C724" s="87">
        <v>1.98E-5</v>
      </c>
      <c r="D724" s="87">
        <v>2.0599999999999999E-5</v>
      </c>
      <c r="E724" s="231">
        <v>11950.349999999999</v>
      </c>
      <c r="F724" s="231">
        <v>9245</v>
      </c>
      <c r="G724" s="231">
        <v>42022</v>
      </c>
      <c r="H724" s="231"/>
      <c r="I724" s="232">
        <v>789.52499999999998</v>
      </c>
      <c r="J724" s="232">
        <v>36825</v>
      </c>
      <c r="K724" s="232">
        <v>2878</v>
      </c>
      <c r="L724" s="231">
        <v>6195</v>
      </c>
      <c r="M724" s="231"/>
      <c r="N724" s="232">
        <v>1473</v>
      </c>
      <c r="O724" s="232">
        <v>13592</v>
      </c>
      <c r="P724" s="232">
        <v>0</v>
      </c>
      <c r="Q724" s="231">
        <v>0</v>
      </c>
      <c r="R724" s="232">
        <f t="shared" si="11"/>
        <v>23233</v>
      </c>
      <c r="S724" s="231"/>
      <c r="T724" s="232">
        <v>11232</v>
      </c>
      <c r="U724" s="233">
        <v>2211</v>
      </c>
      <c r="V724" s="233">
        <v>13443</v>
      </c>
    </row>
    <row r="725" spans="1:22">
      <c r="A725" s="226">
        <v>97921</v>
      </c>
      <c r="B725" s="227" t="s">
        <v>1431</v>
      </c>
      <c r="C725" s="87">
        <v>2.2169999999999999E-4</v>
      </c>
      <c r="D725" s="87">
        <v>2.3599999999999999E-4</v>
      </c>
      <c r="E725" s="231">
        <v>93980.13</v>
      </c>
      <c r="F725" s="231">
        <v>105915</v>
      </c>
      <c r="G725" s="231">
        <v>470522</v>
      </c>
      <c r="H725" s="231"/>
      <c r="I725" s="232">
        <v>8840</v>
      </c>
      <c r="J725" s="232">
        <v>412327</v>
      </c>
      <c r="K725" s="232">
        <v>32227</v>
      </c>
      <c r="L725" s="231">
        <v>17914</v>
      </c>
      <c r="M725" s="231"/>
      <c r="N725" s="232">
        <v>16488</v>
      </c>
      <c r="O725" s="232">
        <v>152188</v>
      </c>
      <c r="P725" s="232">
        <v>0</v>
      </c>
      <c r="Q725" s="231">
        <v>8707</v>
      </c>
      <c r="R725" s="232">
        <f t="shared" si="11"/>
        <v>260139</v>
      </c>
      <c r="S725" s="231"/>
      <c r="T725" s="232">
        <v>125764</v>
      </c>
      <c r="U725" s="233">
        <v>3320</v>
      </c>
      <c r="V725" s="233">
        <v>129084</v>
      </c>
    </row>
    <row r="726" spans="1:22">
      <c r="A726" s="226">
        <v>97931</v>
      </c>
      <c r="B726" s="227" t="s">
        <v>1432</v>
      </c>
      <c r="C726" s="87">
        <v>6.1600000000000007E-5</v>
      </c>
      <c r="D726" s="87">
        <v>6.7999999999999999E-5</v>
      </c>
      <c r="E726" s="231">
        <v>26190.6</v>
      </c>
      <c r="F726" s="231">
        <v>30518</v>
      </c>
      <c r="G726" s="231">
        <v>130736</v>
      </c>
      <c r="H726" s="231"/>
      <c r="I726" s="232">
        <v>2456</v>
      </c>
      <c r="J726" s="232">
        <v>114566</v>
      </c>
      <c r="K726" s="232">
        <v>8954</v>
      </c>
      <c r="L726" s="231">
        <v>19564</v>
      </c>
      <c r="M726" s="231"/>
      <c r="N726" s="232">
        <v>4581</v>
      </c>
      <c r="O726" s="232">
        <v>42286</v>
      </c>
      <c r="P726" s="232">
        <v>0</v>
      </c>
      <c r="Q726" s="231">
        <v>13697</v>
      </c>
      <c r="R726" s="232">
        <f t="shared" si="11"/>
        <v>72280</v>
      </c>
      <c r="S726" s="231"/>
      <c r="T726" s="232">
        <v>34944</v>
      </c>
      <c r="U726" s="233">
        <v>733</v>
      </c>
      <c r="V726" s="233">
        <v>35677</v>
      </c>
    </row>
    <row r="727" spans="1:22">
      <c r="A727" s="226">
        <v>97941</v>
      </c>
      <c r="B727" s="227" t="s">
        <v>1433</v>
      </c>
      <c r="C727" s="87">
        <v>2.3330000000000001E-4</v>
      </c>
      <c r="D727" s="87">
        <v>2.3120000000000001E-4</v>
      </c>
      <c r="E727" s="231">
        <v>99201.06</v>
      </c>
      <c r="F727" s="231">
        <v>103761</v>
      </c>
      <c r="G727" s="231">
        <v>495141</v>
      </c>
      <c r="H727" s="231"/>
      <c r="I727" s="232">
        <v>9303</v>
      </c>
      <c r="J727" s="232">
        <v>433901</v>
      </c>
      <c r="K727" s="232">
        <v>33913</v>
      </c>
      <c r="L727" s="231">
        <v>27337</v>
      </c>
      <c r="M727" s="231"/>
      <c r="N727" s="232">
        <v>17350</v>
      </c>
      <c r="O727" s="232">
        <v>160151</v>
      </c>
      <c r="P727" s="232">
        <v>0</v>
      </c>
      <c r="Q727" s="231">
        <v>299</v>
      </c>
      <c r="R727" s="232">
        <f t="shared" si="11"/>
        <v>273750</v>
      </c>
      <c r="S727" s="231"/>
      <c r="T727" s="232">
        <v>132344</v>
      </c>
      <c r="U727" s="233">
        <v>9188</v>
      </c>
      <c r="V727" s="233">
        <v>141532</v>
      </c>
    </row>
    <row r="728" spans="1:22">
      <c r="A728" s="226">
        <v>97947</v>
      </c>
      <c r="B728" s="227" t="s">
        <v>1434</v>
      </c>
      <c r="C728" s="87">
        <v>1.5500000000000001E-5</v>
      </c>
      <c r="D728" s="87">
        <v>1.1199999999999999E-5</v>
      </c>
      <c r="E728" s="231">
        <v>11155.259999999998</v>
      </c>
      <c r="F728" s="231">
        <v>5026</v>
      </c>
      <c r="G728" s="231">
        <v>32896</v>
      </c>
      <c r="H728" s="231"/>
      <c r="I728" s="232">
        <v>618.0625</v>
      </c>
      <c r="J728" s="232">
        <v>28828</v>
      </c>
      <c r="K728" s="232">
        <v>2253</v>
      </c>
      <c r="L728" s="231">
        <v>9195</v>
      </c>
      <c r="M728" s="231"/>
      <c r="N728" s="232">
        <v>1153</v>
      </c>
      <c r="O728" s="232">
        <v>10640</v>
      </c>
      <c r="P728" s="232">
        <v>0</v>
      </c>
      <c r="Q728" s="231">
        <v>615</v>
      </c>
      <c r="R728" s="232">
        <f t="shared" si="11"/>
        <v>18188</v>
      </c>
      <c r="S728" s="231"/>
      <c r="T728" s="232">
        <v>8793</v>
      </c>
      <c r="U728" s="233">
        <v>2366</v>
      </c>
      <c r="V728" s="233">
        <v>11159</v>
      </c>
    </row>
    <row r="729" spans="1:22">
      <c r="A729" s="226">
        <v>97948</v>
      </c>
      <c r="B729" s="227" t="s">
        <v>1435</v>
      </c>
      <c r="C729" s="87">
        <v>3.5200000000000002E-5</v>
      </c>
      <c r="D729" s="87">
        <v>3.43E-5</v>
      </c>
      <c r="E729" s="231">
        <v>13687.969999999998</v>
      </c>
      <c r="F729" s="231">
        <v>15394</v>
      </c>
      <c r="G729" s="231">
        <v>74706</v>
      </c>
      <c r="H729" s="231"/>
      <c r="I729" s="232">
        <v>1404</v>
      </c>
      <c r="J729" s="232">
        <v>65466</v>
      </c>
      <c r="K729" s="232">
        <v>5117</v>
      </c>
      <c r="L729" s="231">
        <v>3029</v>
      </c>
      <c r="M729" s="231"/>
      <c r="N729" s="232">
        <v>2618</v>
      </c>
      <c r="O729" s="232">
        <v>24163</v>
      </c>
      <c r="P729" s="232">
        <v>0</v>
      </c>
      <c r="Q729" s="231">
        <v>138</v>
      </c>
      <c r="R729" s="232">
        <f t="shared" si="11"/>
        <v>41303</v>
      </c>
      <c r="S729" s="231"/>
      <c r="T729" s="232">
        <v>19968</v>
      </c>
      <c r="U729" s="233">
        <v>1084</v>
      </c>
      <c r="V729" s="233">
        <v>21052</v>
      </c>
    </row>
    <row r="730" spans="1:22">
      <c r="A730" s="226">
        <v>97951</v>
      </c>
      <c r="B730" s="227" t="s">
        <v>1436</v>
      </c>
      <c r="C730" s="87">
        <v>1.2497000000000001E-3</v>
      </c>
      <c r="D730" s="87">
        <v>1.2842000000000001E-3</v>
      </c>
      <c r="E730" s="231">
        <v>544314.75</v>
      </c>
      <c r="F730" s="231">
        <v>576341</v>
      </c>
      <c r="G730" s="231">
        <v>2652282</v>
      </c>
      <c r="H730" s="231"/>
      <c r="I730" s="232">
        <v>49832</v>
      </c>
      <c r="J730" s="232">
        <v>2324245</v>
      </c>
      <c r="K730" s="232">
        <v>181658</v>
      </c>
      <c r="L730" s="231">
        <v>21304</v>
      </c>
      <c r="M730" s="231"/>
      <c r="N730" s="232">
        <v>92939</v>
      </c>
      <c r="O730" s="232">
        <v>857867</v>
      </c>
      <c r="P730" s="232">
        <v>0</v>
      </c>
      <c r="Q730" s="231">
        <v>14204.62</v>
      </c>
      <c r="R730" s="232">
        <f t="shared" si="11"/>
        <v>1466378</v>
      </c>
      <c r="S730" s="231"/>
      <c r="T730" s="232">
        <v>708916</v>
      </c>
      <c r="U730" s="233">
        <v>-103</v>
      </c>
      <c r="V730" s="233">
        <v>708813</v>
      </c>
    </row>
    <row r="731" spans="1:22">
      <c r="A731" s="226">
        <v>97957</v>
      </c>
      <c r="B731" s="227" t="s">
        <v>1437</v>
      </c>
      <c r="C731" s="87">
        <v>1.9599999999999999E-5</v>
      </c>
      <c r="D731" s="87">
        <v>1.9899999999999999E-5</v>
      </c>
      <c r="E731" s="231">
        <v>11054.150000000001</v>
      </c>
      <c r="F731" s="231">
        <v>8931</v>
      </c>
      <c r="G731" s="231">
        <v>41598</v>
      </c>
      <c r="H731" s="231"/>
      <c r="I731" s="232">
        <v>781.55</v>
      </c>
      <c r="J731" s="232">
        <v>36453</v>
      </c>
      <c r="K731" s="232">
        <v>2849</v>
      </c>
      <c r="L731" s="231">
        <v>2215</v>
      </c>
      <c r="M731" s="231"/>
      <c r="N731" s="232">
        <v>1458</v>
      </c>
      <c r="O731" s="232">
        <v>13455</v>
      </c>
      <c r="P731" s="232">
        <v>0</v>
      </c>
      <c r="Q731" s="231">
        <v>1781</v>
      </c>
      <c r="R731" s="232">
        <f t="shared" si="11"/>
        <v>22998</v>
      </c>
      <c r="S731" s="231"/>
      <c r="T731" s="232">
        <v>11118</v>
      </c>
      <c r="U731" s="233">
        <v>-84</v>
      </c>
      <c r="V731" s="233">
        <v>11035</v>
      </c>
    </row>
    <row r="732" spans="1:22">
      <c r="A732" s="226">
        <v>98001</v>
      </c>
      <c r="B732" s="227" t="s">
        <v>1438</v>
      </c>
      <c r="C732" s="87">
        <v>4.9659999999999999E-3</v>
      </c>
      <c r="D732" s="87">
        <v>4.9379999999999997E-3</v>
      </c>
      <c r="E732" s="231">
        <v>2027252.35</v>
      </c>
      <c r="F732" s="231">
        <v>2216145</v>
      </c>
      <c r="G732" s="231">
        <v>10539516</v>
      </c>
      <c r="H732" s="231"/>
      <c r="I732" s="232">
        <v>198019.25</v>
      </c>
      <c r="J732" s="232">
        <v>9235975</v>
      </c>
      <c r="K732" s="232">
        <v>721863</v>
      </c>
      <c r="L732" s="231">
        <v>119593</v>
      </c>
      <c r="M732" s="231"/>
      <c r="N732" s="232">
        <v>369316</v>
      </c>
      <c r="O732" s="232">
        <v>3408950</v>
      </c>
      <c r="P732" s="232">
        <v>0</v>
      </c>
      <c r="Q732" s="231">
        <v>0</v>
      </c>
      <c r="R732" s="232">
        <f t="shared" si="11"/>
        <v>5827025</v>
      </c>
      <c r="S732" s="231"/>
      <c r="T732" s="232">
        <v>2817058</v>
      </c>
      <c r="U732" s="233">
        <v>52585</v>
      </c>
      <c r="V732" s="233">
        <v>2869642</v>
      </c>
    </row>
    <row r="733" spans="1:22">
      <c r="A733" s="226">
        <v>98002</v>
      </c>
      <c r="B733" s="227" t="s">
        <v>1439</v>
      </c>
      <c r="C733" s="87">
        <v>7.3000000000000004E-6</v>
      </c>
      <c r="D733" s="87">
        <v>7.1999999999999997E-6</v>
      </c>
      <c r="E733" s="231">
        <v>3644.9599999999991</v>
      </c>
      <c r="F733" s="231">
        <v>3231</v>
      </c>
      <c r="G733" s="231">
        <v>15493</v>
      </c>
      <c r="H733" s="231"/>
      <c r="I733" s="232">
        <v>291</v>
      </c>
      <c r="J733" s="232">
        <v>13577</v>
      </c>
      <c r="K733" s="232">
        <v>1061</v>
      </c>
      <c r="L733" s="231">
        <v>799</v>
      </c>
      <c r="M733" s="231"/>
      <c r="N733" s="232">
        <v>543</v>
      </c>
      <c r="O733" s="232">
        <v>5011</v>
      </c>
      <c r="P733" s="232">
        <v>0</v>
      </c>
      <c r="Q733" s="231">
        <v>13050</v>
      </c>
      <c r="R733" s="232">
        <f t="shared" si="11"/>
        <v>8566</v>
      </c>
      <c r="S733" s="231"/>
      <c r="T733" s="232">
        <v>4141</v>
      </c>
      <c r="U733" s="233">
        <v>-6329</v>
      </c>
      <c r="V733" s="233">
        <v>-2188</v>
      </c>
    </row>
    <row r="734" spans="1:22">
      <c r="A734" s="226">
        <v>98003</v>
      </c>
      <c r="B734" s="227" t="s">
        <v>1440</v>
      </c>
      <c r="C734" s="87">
        <v>8.1600000000000005E-5</v>
      </c>
      <c r="D734" s="87">
        <v>6.8100000000000002E-5</v>
      </c>
      <c r="E734" s="231">
        <v>60648.32</v>
      </c>
      <c r="F734" s="231">
        <v>30563</v>
      </c>
      <c r="G734" s="231">
        <v>173183</v>
      </c>
      <c r="H734" s="231"/>
      <c r="I734" s="232">
        <v>3253.8</v>
      </c>
      <c r="J734" s="232">
        <v>151763</v>
      </c>
      <c r="K734" s="232">
        <v>11861</v>
      </c>
      <c r="L734" s="231">
        <v>41565</v>
      </c>
      <c r="M734" s="231"/>
      <c r="N734" s="232">
        <v>6069</v>
      </c>
      <c r="O734" s="232">
        <v>56015</v>
      </c>
      <c r="P734" s="232">
        <v>0</v>
      </c>
      <c r="Q734" s="231">
        <v>0</v>
      </c>
      <c r="R734" s="232">
        <f t="shared" si="11"/>
        <v>95748</v>
      </c>
      <c r="S734" s="231"/>
      <c r="T734" s="232">
        <v>46289</v>
      </c>
      <c r="U734" s="233">
        <v>12223</v>
      </c>
      <c r="V734" s="233">
        <v>58512</v>
      </c>
    </row>
    <row r="735" spans="1:22">
      <c r="A735" s="226">
        <v>98004</v>
      </c>
      <c r="B735" s="227" t="s">
        <v>1441</v>
      </c>
      <c r="C735" s="87">
        <v>1.209E-4</v>
      </c>
      <c r="D735" s="87">
        <v>1.2630000000000001E-4</v>
      </c>
      <c r="E735" s="231">
        <v>71693.130000000019</v>
      </c>
      <c r="F735" s="231">
        <v>56683</v>
      </c>
      <c r="G735" s="231">
        <v>256590</v>
      </c>
      <c r="H735" s="231"/>
      <c r="I735" s="232">
        <v>4821</v>
      </c>
      <c r="J735" s="232">
        <v>224855</v>
      </c>
      <c r="K735" s="232">
        <v>17574</v>
      </c>
      <c r="L735" s="231">
        <v>29242</v>
      </c>
      <c r="M735" s="231"/>
      <c r="N735" s="232">
        <v>8991</v>
      </c>
      <c r="O735" s="232">
        <v>82993</v>
      </c>
      <c r="P735" s="232">
        <v>0</v>
      </c>
      <c r="Q735" s="231">
        <v>0</v>
      </c>
      <c r="R735" s="232">
        <f t="shared" si="11"/>
        <v>141862</v>
      </c>
      <c r="S735" s="231"/>
      <c r="T735" s="232">
        <v>68583</v>
      </c>
      <c r="U735" s="233">
        <v>9885</v>
      </c>
      <c r="V735" s="233">
        <v>78468</v>
      </c>
    </row>
    <row r="736" spans="1:22">
      <c r="A736" s="226">
        <v>98008</v>
      </c>
      <c r="B736" s="227" t="s">
        <v>1442</v>
      </c>
      <c r="C736" s="87">
        <v>7.7999999999999999E-6</v>
      </c>
      <c r="D736" s="87">
        <v>8.3000000000000002E-6</v>
      </c>
      <c r="E736" s="231">
        <v>3013.8200000000006</v>
      </c>
      <c r="F736" s="231">
        <v>3725</v>
      </c>
      <c r="G736" s="231">
        <v>16554</v>
      </c>
      <c r="H736" s="231"/>
      <c r="I736" s="232">
        <v>311</v>
      </c>
      <c r="J736" s="232">
        <v>14507</v>
      </c>
      <c r="K736" s="232">
        <v>1134</v>
      </c>
      <c r="L736" s="231">
        <v>0</v>
      </c>
      <c r="M736" s="231"/>
      <c r="N736" s="232">
        <v>580</v>
      </c>
      <c r="O736" s="232">
        <v>5354</v>
      </c>
      <c r="P736" s="232">
        <v>0</v>
      </c>
      <c r="Q736" s="231">
        <v>1300</v>
      </c>
      <c r="R736" s="232">
        <f t="shared" si="11"/>
        <v>9153</v>
      </c>
      <c r="S736" s="231"/>
      <c r="T736" s="232">
        <v>4425</v>
      </c>
      <c r="U736" s="233">
        <v>-496</v>
      </c>
      <c r="V736" s="233">
        <v>3929</v>
      </c>
    </row>
    <row r="737" spans="1:22">
      <c r="A737" s="226">
        <v>98011</v>
      </c>
      <c r="B737" s="227" t="s">
        <v>1443</v>
      </c>
      <c r="C737" s="87">
        <v>3.1795E-3</v>
      </c>
      <c r="D737" s="87">
        <v>3.5899E-3</v>
      </c>
      <c r="E737" s="231">
        <v>1249395.6299999999</v>
      </c>
      <c r="F737" s="231">
        <v>1611126</v>
      </c>
      <c r="G737" s="231">
        <v>6747964</v>
      </c>
      <c r="H737" s="231"/>
      <c r="I737" s="232">
        <v>126783</v>
      </c>
      <c r="J737" s="232">
        <v>5913368</v>
      </c>
      <c r="K737" s="232">
        <v>462175</v>
      </c>
      <c r="L737" s="231">
        <v>0</v>
      </c>
      <c r="M737" s="231"/>
      <c r="N737" s="232">
        <v>236456</v>
      </c>
      <c r="O737" s="232">
        <v>2182593</v>
      </c>
      <c r="P737" s="232">
        <v>0</v>
      </c>
      <c r="Q737" s="231">
        <v>424125</v>
      </c>
      <c r="R737" s="232">
        <f t="shared" si="11"/>
        <v>3730775</v>
      </c>
      <c r="S737" s="231"/>
      <c r="T737" s="232">
        <v>1803632</v>
      </c>
      <c r="U737" s="233">
        <v>-139309</v>
      </c>
      <c r="V737" s="233">
        <v>1664322</v>
      </c>
    </row>
    <row r="738" spans="1:22">
      <c r="A738" s="226">
        <v>98013</v>
      </c>
      <c r="B738" s="227" t="s">
        <v>1444</v>
      </c>
      <c r="C738" s="87">
        <v>1.426E-4</v>
      </c>
      <c r="D738" s="87">
        <v>1.427E-4</v>
      </c>
      <c r="E738" s="231">
        <v>126822.16</v>
      </c>
      <c r="F738" s="231">
        <v>64043</v>
      </c>
      <c r="G738" s="231">
        <v>302645</v>
      </c>
      <c r="H738" s="231"/>
      <c r="I738" s="232">
        <v>5686</v>
      </c>
      <c r="J738" s="232">
        <v>265213</v>
      </c>
      <c r="K738" s="232">
        <v>20728</v>
      </c>
      <c r="L738" s="231">
        <v>97343</v>
      </c>
      <c r="M738" s="231"/>
      <c r="N738" s="232">
        <v>10605</v>
      </c>
      <c r="O738" s="232">
        <v>97889</v>
      </c>
      <c r="P738" s="232">
        <v>0</v>
      </c>
      <c r="Q738" s="231">
        <v>4167</v>
      </c>
      <c r="R738" s="232">
        <f t="shared" si="11"/>
        <v>167324</v>
      </c>
      <c r="S738" s="231"/>
      <c r="T738" s="232">
        <v>80893</v>
      </c>
      <c r="U738" s="233">
        <v>27256</v>
      </c>
      <c r="V738" s="233">
        <v>108149</v>
      </c>
    </row>
    <row r="739" spans="1:22">
      <c r="A739" s="226">
        <v>98021</v>
      </c>
      <c r="B739" s="227" t="s">
        <v>1445</v>
      </c>
      <c r="C739" s="87">
        <v>7.5099999999999996E-5</v>
      </c>
      <c r="D739" s="87">
        <v>7.4099999999999999E-5</v>
      </c>
      <c r="E739" s="231">
        <v>28245.75</v>
      </c>
      <c r="F739" s="231">
        <v>33256</v>
      </c>
      <c r="G739" s="231">
        <v>159387</v>
      </c>
      <c r="H739" s="231"/>
      <c r="I739" s="232">
        <v>2995</v>
      </c>
      <c r="J739" s="232">
        <v>139674</v>
      </c>
      <c r="K739" s="232">
        <v>10917</v>
      </c>
      <c r="L739" s="231">
        <v>20868</v>
      </c>
      <c r="M739" s="231"/>
      <c r="N739" s="232">
        <v>5585</v>
      </c>
      <c r="O739" s="232">
        <v>51553</v>
      </c>
      <c r="P739" s="232">
        <v>0</v>
      </c>
      <c r="Q739" s="231">
        <v>1894</v>
      </c>
      <c r="R739" s="232">
        <f t="shared" si="11"/>
        <v>88121</v>
      </c>
      <c r="S739" s="231"/>
      <c r="T739" s="232">
        <v>42602</v>
      </c>
      <c r="U739" s="233">
        <v>6826</v>
      </c>
      <c r="V739" s="233">
        <v>49428</v>
      </c>
    </row>
    <row r="740" spans="1:22">
      <c r="A740" s="226">
        <v>98023</v>
      </c>
      <c r="B740" s="227" t="s">
        <v>1446</v>
      </c>
      <c r="C740" s="87">
        <v>1.45E-5</v>
      </c>
      <c r="D740" s="87">
        <v>2.1500000000000001E-5</v>
      </c>
      <c r="E740" s="231">
        <v>6210.57</v>
      </c>
      <c r="F740" s="231">
        <v>9649</v>
      </c>
      <c r="G740" s="231">
        <v>30774</v>
      </c>
      <c r="H740" s="231"/>
      <c r="I740" s="232">
        <v>578.1875</v>
      </c>
      <c r="J740" s="232">
        <v>26968</v>
      </c>
      <c r="K740" s="232">
        <v>2108</v>
      </c>
      <c r="L740" s="231">
        <v>0</v>
      </c>
      <c r="M740" s="231"/>
      <c r="N740" s="232">
        <v>1078</v>
      </c>
      <c r="O740" s="232">
        <v>9954</v>
      </c>
      <c r="P740" s="232">
        <v>0</v>
      </c>
      <c r="Q740" s="231">
        <v>7858</v>
      </c>
      <c r="R740" s="232">
        <f t="shared" si="11"/>
        <v>17014</v>
      </c>
      <c r="S740" s="231"/>
      <c r="T740" s="232">
        <v>8225</v>
      </c>
      <c r="U740" s="233">
        <v>-2638</v>
      </c>
      <c r="V740" s="233">
        <v>5587</v>
      </c>
    </row>
    <row r="741" spans="1:22">
      <c r="A741" s="226">
        <v>98031</v>
      </c>
      <c r="B741" s="227" t="s">
        <v>1447</v>
      </c>
      <c r="C741" s="87">
        <v>1.5530000000000001E-4</v>
      </c>
      <c r="D741" s="87">
        <v>1.7009999999999999E-4</v>
      </c>
      <c r="E741" s="231">
        <v>66785.13</v>
      </c>
      <c r="F741" s="231">
        <v>76340</v>
      </c>
      <c r="G741" s="231">
        <v>329599</v>
      </c>
      <c r="H741" s="231"/>
      <c r="I741" s="232">
        <v>6193</v>
      </c>
      <c r="J741" s="232">
        <v>288833</v>
      </c>
      <c r="K741" s="232">
        <v>22575</v>
      </c>
      <c r="L741" s="231">
        <v>7207</v>
      </c>
      <c r="M741" s="231"/>
      <c r="N741" s="232">
        <v>11550</v>
      </c>
      <c r="O741" s="232">
        <v>106607</v>
      </c>
      <c r="P741" s="232">
        <v>0</v>
      </c>
      <c r="Q741" s="231">
        <v>8978</v>
      </c>
      <c r="R741" s="232">
        <f t="shared" si="11"/>
        <v>182226</v>
      </c>
      <c r="S741" s="231"/>
      <c r="T741" s="232">
        <v>88097</v>
      </c>
      <c r="U741" s="233">
        <v>-569</v>
      </c>
      <c r="V741" s="233">
        <v>87528</v>
      </c>
    </row>
    <row r="742" spans="1:22">
      <c r="A742" s="226">
        <v>98041</v>
      </c>
      <c r="B742" s="227" t="s">
        <v>1448</v>
      </c>
      <c r="C742" s="87">
        <v>1.6559999999999999E-4</v>
      </c>
      <c r="D742" s="87">
        <v>1.438E-4</v>
      </c>
      <c r="E742" s="231">
        <v>62577.35</v>
      </c>
      <c r="F742" s="231">
        <v>64537</v>
      </c>
      <c r="G742" s="231">
        <v>351459</v>
      </c>
      <c r="H742" s="231"/>
      <c r="I742" s="232">
        <v>6603</v>
      </c>
      <c r="J742" s="232">
        <v>307990</v>
      </c>
      <c r="K742" s="232">
        <v>24072</v>
      </c>
      <c r="L742" s="231">
        <v>7422</v>
      </c>
      <c r="M742" s="231"/>
      <c r="N742" s="232">
        <v>12316</v>
      </c>
      <c r="O742" s="232">
        <v>113677</v>
      </c>
      <c r="P742" s="232">
        <v>0</v>
      </c>
      <c r="Q742" s="231">
        <v>9673</v>
      </c>
      <c r="R742" s="232">
        <f t="shared" si="11"/>
        <v>194313</v>
      </c>
      <c r="S742" s="231"/>
      <c r="T742" s="232">
        <v>93940</v>
      </c>
      <c r="U742" s="233">
        <v>-1971</v>
      </c>
      <c r="V742" s="233">
        <v>91969</v>
      </c>
    </row>
    <row r="743" spans="1:22">
      <c r="A743" s="226">
        <v>98051</v>
      </c>
      <c r="B743" s="227" t="s">
        <v>1449</v>
      </c>
      <c r="C743" s="87">
        <v>3.0019999999999998E-4</v>
      </c>
      <c r="D743" s="87">
        <v>2.699E-4</v>
      </c>
      <c r="E743" s="231">
        <v>123086.21000000002</v>
      </c>
      <c r="F743" s="231">
        <v>121130</v>
      </c>
      <c r="G743" s="231">
        <v>637125</v>
      </c>
      <c r="H743" s="231"/>
      <c r="I743" s="232">
        <v>11970</v>
      </c>
      <c r="J743" s="232">
        <v>558325</v>
      </c>
      <c r="K743" s="232">
        <v>43637</v>
      </c>
      <c r="L743" s="231">
        <v>31222</v>
      </c>
      <c r="M743" s="231"/>
      <c r="N743" s="232">
        <v>22326</v>
      </c>
      <c r="O743" s="232">
        <v>206075</v>
      </c>
      <c r="P743" s="232">
        <v>0</v>
      </c>
      <c r="Q743" s="231">
        <v>229</v>
      </c>
      <c r="R743" s="232">
        <f t="shared" si="11"/>
        <v>352250</v>
      </c>
      <c r="S743" s="231"/>
      <c r="T743" s="232">
        <v>170294</v>
      </c>
      <c r="U743" s="233">
        <v>9416</v>
      </c>
      <c r="V743" s="233">
        <v>179711</v>
      </c>
    </row>
    <row r="744" spans="1:22">
      <c r="A744" s="226">
        <v>98061</v>
      </c>
      <c r="B744" s="227" t="s">
        <v>1450</v>
      </c>
      <c r="C744" s="87">
        <v>9.9099999999999996E-5</v>
      </c>
      <c r="D744" s="87">
        <v>1.3410000000000001E-4</v>
      </c>
      <c r="E744" s="231">
        <v>42535.31</v>
      </c>
      <c r="F744" s="231">
        <v>60183</v>
      </c>
      <c r="G744" s="231">
        <v>210323</v>
      </c>
      <c r="H744" s="231"/>
      <c r="I744" s="232">
        <v>3952</v>
      </c>
      <c r="J744" s="232">
        <v>184310</v>
      </c>
      <c r="K744" s="232">
        <v>14405</v>
      </c>
      <c r="L744" s="231">
        <v>0</v>
      </c>
      <c r="M744" s="231"/>
      <c r="N744" s="232">
        <v>7370</v>
      </c>
      <c r="O744" s="232">
        <v>68028</v>
      </c>
      <c r="P744" s="232">
        <v>0</v>
      </c>
      <c r="Q744" s="231">
        <v>24647</v>
      </c>
      <c r="R744" s="232">
        <f t="shared" si="11"/>
        <v>116282</v>
      </c>
      <c r="S744" s="231"/>
      <c r="T744" s="232">
        <v>56216</v>
      </c>
      <c r="U744" s="233">
        <v>-7215</v>
      </c>
      <c r="V744" s="233">
        <v>49002</v>
      </c>
    </row>
    <row r="745" spans="1:22">
      <c r="A745" s="226">
        <v>98071</v>
      </c>
      <c r="B745" s="227" t="s">
        <v>1451</v>
      </c>
      <c r="C745" s="87">
        <v>3.4400000000000003E-5</v>
      </c>
      <c r="D745" s="87">
        <v>3.2299999999999999E-5</v>
      </c>
      <c r="E745" s="231">
        <v>24294.65</v>
      </c>
      <c r="F745" s="231">
        <v>14496</v>
      </c>
      <c r="G745" s="231">
        <v>73008</v>
      </c>
      <c r="H745" s="231"/>
      <c r="I745" s="232">
        <v>1371.7</v>
      </c>
      <c r="J745" s="232">
        <v>63979</v>
      </c>
      <c r="K745" s="232">
        <v>5000</v>
      </c>
      <c r="L745" s="231">
        <v>9217</v>
      </c>
      <c r="M745" s="231"/>
      <c r="N745" s="232">
        <v>2558</v>
      </c>
      <c r="O745" s="232">
        <v>23614</v>
      </c>
      <c r="P745" s="232">
        <v>0</v>
      </c>
      <c r="Q745" s="231">
        <v>1859</v>
      </c>
      <c r="R745" s="232">
        <f t="shared" si="11"/>
        <v>40365</v>
      </c>
      <c r="S745" s="231"/>
      <c r="T745" s="232">
        <v>19514</v>
      </c>
      <c r="U745" s="233">
        <v>1734</v>
      </c>
      <c r="V745" s="233">
        <v>21248</v>
      </c>
    </row>
    <row r="746" spans="1:22">
      <c r="A746" s="226">
        <v>98081</v>
      </c>
      <c r="B746" s="227" t="s">
        <v>1452</v>
      </c>
      <c r="C746" s="87">
        <v>1.9400000000000001E-5</v>
      </c>
      <c r="D746" s="87">
        <v>2.0999999999999999E-5</v>
      </c>
      <c r="E746" s="231">
        <v>6798.0999999999995</v>
      </c>
      <c r="F746" s="231">
        <v>9425</v>
      </c>
      <c r="G746" s="231">
        <v>41173</v>
      </c>
      <c r="H746" s="231"/>
      <c r="I746" s="232">
        <v>773.57500000000005</v>
      </c>
      <c r="J746" s="232">
        <v>36081</v>
      </c>
      <c r="K746" s="232">
        <v>2820</v>
      </c>
      <c r="L746" s="231">
        <v>0</v>
      </c>
      <c r="M746" s="231"/>
      <c r="N746" s="232">
        <v>1443</v>
      </c>
      <c r="O746" s="232">
        <v>13317</v>
      </c>
      <c r="P746" s="232">
        <v>0</v>
      </c>
      <c r="Q746" s="231">
        <v>4336</v>
      </c>
      <c r="R746" s="232">
        <f t="shared" si="11"/>
        <v>22764</v>
      </c>
      <c r="S746" s="231"/>
      <c r="T746" s="232">
        <v>11005</v>
      </c>
      <c r="U746" s="233">
        <v>-1542</v>
      </c>
      <c r="V746" s="233">
        <v>9463</v>
      </c>
    </row>
    <row r="747" spans="1:22">
      <c r="A747" s="226">
        <v>98091</v>
      </c>
      <c r="B747" s="227" t="s">
        <v>1453</v>
      </c>
      <c r="C747" s="87">
        <v>5.0899999999999997E-5</v>
      </c>
      <c r="D747" s="87">
        <v>5.49E-5</v>
      </c>
      <c r="E747" s="231">
        <v>23937.15</v>
      </c>
      <c r="F747" s="231">
        <v>24639</v>
      </c>
      <c r="G747" s="231">
        <v>108027</v>
      </c>
      <c r="H747" s="231"/>
      <c r="I747" s="232">
        <v>2030</v>
      </c>
      <c r="J747" s="232">
        <v>94666</v>
      </c>
      <c r="K747" s="232">
        <v>7399</v>
      </c>
      <c r="L747" s="231">
        <v>1196</v>
      </c>
      <c r="M747" s="231"/>
      <c r="N747" s="232">
        <v>3785</v>
      </c>
      <c r="O747" s="232">
        <v>34941</v>
      </c>
      <c r="P747" s="232">
        <v>0</v>
      </c>
      <c r="Q747" s="231">
        <v>1622</v>
      </c>
      <c r="R747" s="232">
        <f t="shared" si="11"/>
        <v>59725</v>
      </c>
      <c r="S747" s="231"/>
      <c r="T747" s="232">
        <v>28874</v>
      </c>
      <c r="U747" s="233">
        <v>-412</v>
      </c>
      <c r="V747" s="233">
        <v>28462</v>
      </c>
    </row>
    <row r="748" spans="1:22">
      <c r="A748" s="226">
        <v>98101</v>
      </c>
      <c r="B748" s="227" t="s">
        <v>1454</v>
      </c>
      <c r="C748" s="87">
        <v>2.7642999999999999E-3</v>
      </c>
      <c r="D748" s="87">
        <v>2.7445E-3</v>
      </c>
      <c r="E748" s="231">
        <v>1093303.25</v>
      </c>
      <c r="F748" s="231">
        <v>1231715</v>
      </c>
      <c r="G748" s="231">
        <v>5866771</v>
      </c>
      <c r="H748" s="231"/>
      <c r="I748" s="232">
        <v>110226</v>
      </c>
      <c r="J748" s="232">
        <v>5141161</v>
      </c>
      <c r="K748" s="232">
        <v>401821</v>
      </c>
      <c r="L748" s="231">
        <v>61462</v>
      </c>
      <c r="M748" s="231"/>
      <c r="N748" s="232">
        <v>205578</v>
      </c>
      <c r="O748" s="232">
        <v>1897576</v>
      </c>
      <c r="P748" s="232">
        <v>0</v>
      </c>
      <c r="Q748" s="231">
        <v>23820</v>
      </c>
      <c r="R748" s="232">
        <f t="shared" si="11"/>
        <v>3243585</v>
      </c>
      <c r="S748" s="231"/>
      <c r="T748" s="232">
        <v>1568102</v>
      </c>
      <c r="U748" s="233">
        <v>17983</v>
      </c>
      <c r="V748" s="233">
        <v>1586085</v>
      </c>
    </row>
    <row r="749" spans="1:22">
      <c r="A749" s="226">
        <v>98102</v>
      </c>
      <c r="B749" s="227" t="s">
        <v>1455</v>
      </c>
      <c r="C749" s="87">
        <v>1.683E-4</v>
      </c>
      <c r="D749" s="87">
        <v>1.7259999999999999E-4</v>
      </c>
      <c r="E749" s="231">
        <v>69015.009999999995</v>
      </c>
      <c r="F749" s="231">
        <v>77462</v>
      </c>
      <c r="G749" s="231">
        <v>357189</v>
      </c>
      <c r="H749" s="231"/>
      <c r="I749" s="232">
        <v>6711</v>
      </c>
      <c r="J749" s="232">
        <v>313011</v>
      </c>
      <c r="K749" s="232">
        <v>24464</v>
      </c>
      <c r="L749" s="231">
        <v>0</v>
      </c>
      <c r="M749" s="231"/>
      <c r="N749" s="232">
        <v>12516</v>
      </c>
      <c r="O749" s="232">
        <v>115531</v>
      </c>
      <c r="P749" s="232">
        <v>0</v>
      </c>
      <c r="Q749" s="231">
        <v>10404</v>
      </c>
      <c r="R749" s="232">
        <f t="shared" si="11"/>
        <v>197480</v>
      </c>
      <c r="S749" s="231"/>
      <c r="T749" s="232">
        <v>95471</v>
      </c>
      <c r="U749" s="233">
        <v>-3682</v>
      </c>
      <c r="V749" s="233">
        <v>91789</v>
      </c>
    </row>
    <row r="750" spans="1:22">
      <c r="A750" s="226">
        <v>98103</v>
      </c>
      <c r="B750" s="227" t="s">
        <v>1456</v>
      </c>
      <c r="C750" s="87">
        <v>5.3600000000000002E-4</v>
      </c>
      <c r="D750" s="87">
        <v>5.7140000000000001E-4</v>
      </c>
      <c r="E750" s="231">
        <v>233081.03999999998</v>
      </c>
      <c r="F750" s="231">
        <v>256441</v>
      </c>
      <c r="G750" s="231">
        <v>1137571.56</v>
      </c>
      <c r="H750" s="231"/>
      <c r="I750" s="232">
        <v>21373</v>
      </c>
      <c r="J750" s="232">
        <v>996875</v>
      </c>
      <c r="K750" s="232">
        <v>77913</v>
      </c>
      <c r="L750" s="231">
        <v>0</v>
      </c>
      <c r="M750" s="231"/>
      <c r="N750" s="232">
        <v>39862</v>
      </c>
      <c r="O750" s="232">
        <v>367941</v>
      </c>
      <c r="P750" s="232">
        <v>0</v>
      </c>
      <c r="Q750" s="231">
        <v>46538</v>
      </c>
      <c r="R750" s="232">
        <f t="shared" si="11"/>
        <v>628934</v>
      </c>
      <c r="S750" s="231"/>
      <c r="T750" s="232">
        <v>304056</v>
      </c>
      <c r="U750" s="233">
        <v>-19483</v>
      </c>
      <c r="V750" s="233">
        <v>284573</v>
      </c>
    </row>
    <row r="751" spans="1:22">
      <c r="A751" s="226">
        <v>98107</v>
      </c>
      <c r="B751" s="227" t="s">
        <v>1457</v>
      </c>
      <c r="C751" s="87">
        <v>1.08E-5</v>
      </c>
      <c r="D751" s="87">
        <v>1.15E-5</v>
      </c>
      <c r="E751" s="231">
        <v>8651.6900000000023</v>
      </c>
      <c r="F751" s="231">
        <v>5161</v>
      </c>
      <c r="G751" s="231">
        <v>22921</v>
      </c>
      <c r="H751" s="231"/>
      <c r="I751" s="232">
        <v>430.65</v>
      </c>
      <c r="J751" s="232">
        <v>20086</v>
      </c>
      <c r="K751" s="232">
        <v>1570</v>
      </c>
      <c r="L751" s="231">
        <v>7420</v>
      </c>
      <c r="M751" s="231"/>
      <c r="N751" s="232">
        <v>803</v>
      </c>
      <c r="O751" s="232">
        <v>7414</v>
      </c>
      <c r="P751" s="232">
        <v>0</v>
      </c>
      <c r="Q751" s="231">
        <v>0</v>
      </c>
      <c r="R751" s="232">
        <f t="shared" si="11"/>
        <v>12672</v>
      </c>
      <c r="S751" s="231"/>
      <c r="T751" s="232">
        <v>6127</v>
      </c>
      <c r="U751" s="233">
        <v>2610</v>
      </c>
      <c r="V751" s="233">
        <v>8737</v>
      </c>
    </row>
    <row r="752" spans="1:22">
      <c r="A752" s="226">
        <v>98109</v>
      </c>
      <c r="B752" s="227" t="s">
        <v>1458</v>
      </c>
      <c r="C752" s="87">
        <v>1.4660000000000001E-4</v>
      </c>
      <c r="D752" s="87">
        <v>2.0680000000000001E-4</v>
      </c>
      <c r="E752" s="231">
        <v>66395.14</v>
      </c>
      <c r="F752" s="231">
        <v>92811</v>
      </c>
      <c r="G752" s="231">
        <v>311134</v>
      </c>
      <c r="H752" s="231"/>
      <c r="I752" s="232">
        <v>5846</v>
      </c>
      <c r="J752" s="232">
        <v>272653</v>
      </c>
      <c r="K752" s="232">
        <v>21310</v>
      </c>
      <c r="L752" s="231">
        <v>3018</v>
      </c>
      <c r="M752" s="231"/>
      <c r="N752" s="232">
        <v>10902</v>
      </c>
      <c r="O752" s="232">
        <v>100635</v>
      </c>
      <c r="P752" s="232">
        <v>0</v>
      </c>
      <c r="Q752" s="231">
        <v>35765</v>
      </c>
      <c r="R752" s="232">
        <f t="shared" si="11"/>
        <v>172018</v>
      </c>
      <c r="S752" s="231"/>
      <c r="T752" s="232">
        <v>83162</v>
      </c>
      <c r="U752" s="233">
        <v>-10144</v>
      </c>
      <c r="V752" s="233">
        <v>73018</v>
      </c>
    </row>
    <row r="753" spans="1:22">
      <c r="A753" s="226">
        <v>98111</v>
      </c>
      <c r="B753" s="227" t="s">
        <v>1459</v>
      </c>
      <c r="C753" s="87">
        <v>1.0191E-3</v>
      </c>
      <c r="D753" s="87">
        <v>1.0443E-3</v>
      </c>
      <c r="E753" s="231">
        <v>380230.60000000003</v>
      </c>
      <c r="F753" s="231">
        <v>468676</v>
      </c>
      <c r="G753" s="231">
        <v>2162872</v>
      </c>
      <c r="H753" s="231"/>
      <c r="I753" s="232">
        <v>40637</v>
      </c>
      <c r="J753" s="232">
        <v>1895365</v>
      </c>
      <c r="K753" s="232">
        <v>148137</v>
      </c>
      <c r="L753" s="231">
        <v>0</v>
      </c>
      <c r="M753" s="231"/>
      <c r="N753" s="232">
        <v>75789</v>
      </c>
      <c r="O753" s="232">
        <v>699569</v>
      </c>
      <c r="P753" s="232">
        <v>0</v>
      </c>
      <c r="Q753" s="231">
        <v>50975</v>
      </c>
      <c r="R753" s="232">
        <f t="shared" si="11"/>
        <v>1195796</v>
      </c>
      <c r="S753" s="231"/>
      <c r="T753" s="232">
        <v>578104</v>
      </c>
      <c r="U753" s="233">
        <v>-14078</v>
      </c>
      <c r="V753" s="233">
        <v>564026</v>
      </c>
    </row>
    <row r="754" spans="1:22">
      <c r="A754" s="226">
        <v>98113</v>
      </c>
      <c r="B754" s="227" t="s">
        <v>1460</v>
      </c>
      <c r="C754" s="87">
        <v>3.8999999999999999E-5</v>
      </c>
      <c r="D754" s="87">
        <v>4.1399999999999997E-5</v>
      </c>
      <c r="E754" s="231">
        <v>20070.23</v>
      </c>
      <c r="F754" s="231">
        <v>18580</v>
      </c>
      <c r="G754" s="231">
        <v>82771</v>
      </c>
      <c r="H754" s="231"/>
      <c r="I754" s="232">
        <v>1555.125</v>
      </c>
      <c r="J754" s="232">
        <v>72534</v>
      </c>
      <c r="K754" s="232">
        <v>5669</v>
      </c>
      <c r="L754" s="231">
        <v>8069</v>
      </c>
      <c r="M754" s="231"/>
      <c r="N754" s="232">
        <v>2900</v>
      </c>
      <c r="O754" s="232">
        <v>26772</v>
      </c>
      <c r="P754" s="232">
        <v>0</v>
      </c>
      <c r="Q754" s="231">
        <v>0</v>
      </c>
      <c r="R754" s="232">
        <f t="shared" si="11"/>
        <v>45762</v>
      </c>
      <c r="S754" s="231"/>
      <c r="T754" s="232">
        <v>22123</v>
      </c>
      <c r="U754" s="233">
        <v>2983</v>
      </c>
      <c r="V754" s="233">
        <v>25107</v>
      </c>
    </row>
    <row r="755" spans="1:22">
      <c r="A755" s="226">
        <v>98121</v>
      </c>
      <c r="B755" s="227" t="s">
        <v>1461</v>
      </c>
      <c r="C755" s="87">
        <v>2.2910000000000001E-4</v>
      </c>
      <c r="D755" s="87">
        <v>2.0689999999999999E-4</v>
      </c>
      <c r="E755" s="231">
        <v>79942.31</v>
      </c>
      <c r="F755" s="231">
        <v>92855</v>
      </c>
      <c r="G755" s="231">
        <v>486227</v>
      </c>
      <c r="H755" s="231"/>
      <c r="I755" s="232">
        <v>9135</v>
      </c>
      <c r="J755" s="232">
        <v>426090</v>
      </c>
      <c r="K755" s="232">
        <v>33302</v>
      </c>
      <c r="L755" s="231">
        <v>3951</v>
      </c>
      <c r="M755" s="231"/>
      <c r="N755" s="232">
        <v>17038</v>
      </c>
      <c r="O755" s="232">
        <v>157268</v>
      </c>
      <c r="P755" s="232">
        <v>0</v>
      </c>
      <c r="Q755" s="231">
        <v>6313</v>
      </c>
      <c r="R755" s="232">
        <f t="shared" si="11"/>
        <v>268822</v>
      </c>
      <c r="S755" s="231"/>
      <c r="T755" s="232">
        <v>129961</v>
      </c>
      <c r="U755" s="233">
        <v>-421</v>
      </c>
      <c r="V755" s="233">
        <v>129540</v>
      </c>
    </row>
    <row r="756" spans="1:22">
      <c r="A756" s="226">
        <v>98131</v>
      </c>
      <c r="B756" s="227" t="s">
        <v>1462</v>
      </c>
      <c r="C756" s="87">
        <v>2.9569999999999998E-4</v>
      </c>
      <c r="D756" s="87">
        <v>3.0610000000000001E-4</v>
      </c>
      <c r="E756" s="231">
        <v>112055.95999999999</v>
      </c>
      <c r="F756" s="231">
        <v>137376</v>
      </c>
      <c r="G756" s="231">
        <v>627574</v>
      </c>
      <c r="H756" s="231"/>
      <c r="I756" s="232">
        <v>11791</v>
      </c>
      <c r="J756" s="232">
        <v>549955</v>
      </c>
      <c r="K756" s="232">
        <v>42983</v>
      </c>
      <c r="L756" s="231">
        <v>0</v>
      </c>
      <c r="M756" s="231"/>
      <c r="N756" s="232">
        <v>21991</v>
      </c>
      <c r="O756" s="232">
        <v>202986</v>
      </c>
      <c r="P756" s="232">
        <v>0</v>
      </c>
      <c r="Q756" s="231">
        <v>44899</v>
      </c>
      <c r="R756" s="232">
        <f t="shared" si="11"/>
        <v>346969</v>
      </c>
      <c r="S756" s="231"/>
      <c r="T756" s="232">
        <v>167741</v>
      </c>
      <c r="U756" s="233">
        <v>-17153</v>
      </c>
      <c r="V756" s="233">
        <v>150589</v>
      </c>
    </row>
    <row r="757" spans="1:22">
      <c r="A757" s="226">
        <v>98141</v>
      </c>
      <c r="B757" s="227" t="s">
        <v>1463</v>
      </c>
      <c r="C757" s="87">
        <v>2.9030000000000001E-4</v>
      </c>
      <c r="D757" s="87">
        <v>3.033E-4</v>
      </c>
      <c r="E757" s="231">
        <v>104127.93999999997</v>
      </c>
      <c r="F757" s="231">
        <v>136119</v>
      </c>
      <c r="G757" s="231">
        <v>616114</v>
      </c>
      <c r="H757" s="231"/>
      <c r="I757" s="232">
        <v>11576</v>
      </c>
      <c r="J757" s="232">
        <v>539912</v>
      </c>
      <c r="K757" s="232">
        <v>42198</v>
      </c>
      <c r="L757" s="231">
        <v>1495</v>
      </c>
      <c r="M757" s="231"/>
      <c r="N757" s="232">
        <v>21589</v>
      </c>
      <c r="O757" s="232">
        <v>199279</v>
      </c>
      <c r="P757" s="232">
        <v>0</v>
      </c>
      <c r="Q757" s="231">
        <v>35601</v>
      </c>
      <c r="R757" s="232">
        <f t="shared" si="11"/>
        <v>340633</v>
      </c>
      <c r="S757" s="231"/>
      <c r="T757" s="232">
        <v>164678</v>
      </c>
      <c r="U757" s="233">
        <v>-12695</v>
      </c>
      <c r="V757" s="233">
        <v>151983</v>
      </c>
    </row>
    <row r="758" spans="1:22">
      <c r="A758" s="226">
        <v>98147</v>
      </c>
      <c r="B758" s="227" t="s">
        <v>1464</v>
      </c>
      <c r="C758" s="87">
        <v>1.29E-5</v>
      </c>
      <c r="D758" s="87">
        <v>1.03E-5</v>
      </c>
      <c r="E758" s="231">
        <v>8826.0300000000007</v>
      </c>
      <c r="F758" s="231">
        <v>4623</v>
      </c>
      <c r="G758" s="231">
        <v>27378</v>
      </c>
      <c r="H758" s="231"/>
      <c r="I758" s="232">
        <v>514</v>
      </c>
      <c r="J758" s="232">
        <v>23992</v>
      </c>
      <c r="K758" s="232">
        <v>1875</v>
      </c>
      <c r="L758" s="231">
        <v>7556</v>
      </c>
      <c r="M758" s="231"/>
      <c r="N758" s="232">
        <v>959</v>
      </c>
      <c r="O758" s="232">
        <v>8855</v>
      </c>
      <c r="P758" s="232">
        <v>0</v>
      </c>
      <c r="Q758" s="231">
        <v>0</v>
      </c>
      <c r="R758" s="232">
        <f t="shared" si="11"/>
        <v>15137</v>
      </c>
      <c r="S758" s="231"/>
      <c r="T758" s="232">
        <v>7318</v>
      </c>
      <c r="U758" s="233">
        <v>2501</v>
      </c>
      <c r="V758" s="233">
        <v>9819</v>
      </c>
    </row>
    <row r="759" spans="1:22">
      <c r="A759" s="226">
        <v>98161</v>
      </c>
      <c r="B759" s="227" t="s">
        <v>1465</v>
      </c>
      <c r="C759" s="87">
        <v>7.4000000000000003E-6</v>
      </c>
      <c r="D759" s="87">
        <v>7.6000000000000001E-6</v>
      </c>
      <c r="E759" s="231">
        <v>4425.3599999999988</v>
      </c>
      <c r="F759" s="231">
        <v>3411</v>
      </c>
      <c r="G759" s="231">
        <v>15705</v>
      </c>
      <c r="H759" s="231"/>
      <c r="I759" s="232">
        <v>295.07499999999999</v>
      </c>
      <c r="J759" s="232">
        <v>13763</v>
      </c>
      <c r="K759" s="232">
        <v>1076</v>
      </c>
      <c r="L759" s="231">
        <v>2152</v>
      </c>
      <c r="M759" s="231"/>
      <c r="N759" s="232">
        <v>550</v>
      </c>
      <c r="O759" s="232">
        <v>5080</v>
      </c>
      <c r="P759" s="232">
        <v>0</v>
      </c>
      <c r="Q759" s="231">
        <v>0</v>
      </c>
      <c r="R759" s="232">
        <f t="shared" si="11"/>
        <v>8683</v>
      </c>
      <c r="S759" s="231"/>
      <c r="T759" s="232">
        <v>4198</v>
      </c>
      <c r="U759" s="233">
        <v>752</v>
      </c>
      <c r="V759" s="233">
        <v>4950</v>
      </c>
    </row>
    <row r="760" spans="1:22">
      <c r="A760" s="226">
        <v>98201</v>
      </c>
      <c r="B760" s="227" t="s">
        <v>1466</v>
      </c>
      <c r="C760" s="87">
        <v>3.0368999999999999E-3</v>
      </c>
      <c r="D760" s="87">
        <v>3.0019999999999999E-3</v>
      </c>
      <c r="E760" s="231">
        <v>1202574.5</v>
      </c>
      <c r="F760" s="231">
        <v>1347280</v>
      </c>
      <c r="G760" s="231">
        <v>6445319</v>
      </c>
      <c r="H760" s="231"/>
      <c r="I760" s="232">
        <v>121096</v>
      </c>
      <c r="J760" s="232">
        <v>5648154</v>
      </c>
      <c r="K760" s="232">
        <v>441447</v>
      </c>
      <c r="L760" s="231">
        <v>0</v>
      </c>
      <c r="M760" s="231"/>
      <c r="N760" s="232">
        <v>225851</v>
      </c>
      <c r="O760" s="232">
        <v>2084704</v>
      </c>
      <c r="P760" s="232">
        <v>0</v>
      </c>
      <c r="Q760" s="231">
        <v>60876</v>
      </c>
      <c r="R760" s="232">
        <f t="shared" si="11"/>
        <v>3563450</v>
      </c>
      <c r="S760" s="231"/>
      <c r="T760" s="232">
        <v>1722739</v>
      </c>
      <c r="U760" s="233">
        <v>-21268</v>
      </c>
      <c r="V760" s="233">
        <v>1701471</v>
      </c>
    </row>
    <row r="761" spans="1:22">
      <c r="A761" s="226">
        <v>98205</v>
      </c>
      <c r="B761" s="227" t="s">
        <v>1467</v>
      </c>
      <c r="C761" s="87">
        <v>5.13E-5</v>
      </c>
      <c r="D761" s="87">
        <v>5.02E-5</v>
      </c>
      <c r="E761" s="231">
        <v>23399.709999999995</v>
      </c>
      <c r="F761" s="231">
        <v>22529</v>
      </c>
      <c r="G761" s="231">
        <v>108876</v>
      </c>
      <c r="H761" s="231"/>
      <c r="I761" s="232">
        <v>2046</v>
      </c>
      <c r="J761" s="232">
        <v>95410</v>
      </c>
      <c r="K761" s="232">
        <v>7457</v>
      </c>
      <c r="L761" s="231">
        <v>2803</v>
      </c>
      <c r="M761" s="231"/>
      <c r="N761" s="232">
        <v>3815</v>
      </c>
      <c r="O761" s="232">
        <v>35215</v>
      </c>
      <c r="P761" s="232">
        <v>0</v>
      </c>
      <c r="Q761" s="231">
        <v>1718</v>
      </c>
      <c r="R761" s="232">
        <f t="shared" si="11"/>
        <v>60195</v>
      </c>
      <c r="S761" s="231"/>
      <c r="T761" s="232">
        <v>29101</v>
      </c>
      <c r="U761" s="233">
        <v>209</v>
      </c>
      <c r="V761" s="233">
        <v>29310</v>
      </c>
    </row>
    <row r="762" spans="1:22">
      <c r="A762" s="226">
        <v>98211</v>
      </c>
      <c r="B762" s="227" t="s">
        <v>1468</v>
      </c>
      <c r="C762" s="87">
        <v>9.1609999999999999E-4</v>
      </c>
      <c r="D762" s="87">
        <v>9.4729999999999999E-4</v>
      </c>
      <c r="E762" s="231">
        <v>316266.55</v>
      </c>
      <c r="F762" s="231">
        <v>425143</v>
      </c>
      <c r="G762" s="231">
        <v>1944271</v>
      </c>
      <c r="H762" s="231"/>
      <c r="I762" s="232">
        <v>36529</v>
      </c>
      <c r="J762" s="232">
        <v>1703801</v>
      </c>
      <c r="K762" s="232">
        <v>133165</v>
      </c>
      <c r="L762" s="231">
        <v>0</v>
      </c>
      <c r="M762" s="231"/>
      <c r="N762" s="232">
        <v>68129</v>
      </c>
      <c r="O762" s="232">
        <v>628864</v>
      </c>
      <c r="P762" s="232">
        <v>0</v>
      </c>
      <c r="Q762" s="231">
        <v>112970</v>
      </c>
      <c r="R762" s="232">
        <f t="shared" si="11"/>
        <v>1074937</v>
      </c>
      <c r="S762" s="231"/>
      <c r="T762" s="232">
        <v>519675</v>
      </c>
      <c r="U762" s="233">
        <v>-35337</v>
      </c>
      <c r="V762" s="233">
        <v>484338</v>
      </c>
    </row>
    <row r="763" spans="1:22">
      <c r="A763" s="226">
        <v>98218</v>
      </c>
      <c r="B763" s="227" t="s">
        <v>1469</v>
      </c>
      <c r="C763" s="87">
        <v>1.0200000000000001E-5</v>
      </c>
      <c r="D763" s="87">
        <v>1.08E-5</v>
      </c>
      <c r="E763" s="231">
        <v>4407.67</v>
      </c>
      <c r="F763" s="231">
        <v>4847</v>
      </c>
      <c r="G763" s="231">
        <v>21648</v>
      </c>
      <c r="H763" s="231"/>
      <c r="I763" s="232">
        <v>406.72500000000002</v>
      </c>
      <c r="J763" s="232">
        <v>18970</v>
      </c>
      <c r="K763" s="232">
        <v>1483</v>
      </c>
      <c r="L763" s="231">
        <v>0</v>
      </c>
      <c r="M763" s="231"/>
      <c r="N763" s="232">
        <v>759</v>
      </c>
      <c r="O763" s="232">
        <v>7002</v>
      </c>
      <c r="P763" s="232">
        <v>0</v>
      </c>
      <c r="Q763" s="231">
        <v>1864</v>
      </c>
      <c r="R763" s="232">
        <f t="shared" si="11"/>
        <v>11968</v>
      </c>
      <c r="S763" s="231"/>
      <c r="T763" s="232">
        <v>5786</v>
      </c>
      <c r="U763" s="233">
        <v>-792</v>
      </c>
      <c r="V763" s="233">
        <v>4994</v>
      </c>
    </row>
    <row r="764" spans="1:22">
      <c r="A764" s="226">
        <v>98221</v>
      </c>
      <c r="B764" s="227" t="s">
        <v>1470</v>
      </c>
      <c r="C764" s="87">
        <v>1.6799999999999998E-5</v>
      </c>
      <c r="D764" s="87">
        <v>1.5999999999999999E-5</v>
      </c>
      <c r="E764" s="231">
        <v>9584.15</v>
      </c>
      <c r="F764" s="231">
        <v>7181</v>
      </c>
      <c r="G764" s="231">
        <v>35655</v>
      </c>
      <c r="H764" s="231"/>
      <c r="I764" s="232">
        <v>669.9</v>
      </c>
      <c r="J764" s="232">
        <v>31245</v>
      </c>
      <c r="K764" s="232">
        <v>2442</v>
      </c>
      <c r="L764" s="231">
        <v>3240</v>
      </c>
      <c r="M764" s="231"/>
      <c r="N764" s="232">
        <v>1249</v>
      </c>
      <c r="O764" s="232">
        <v>11532</v>
      </c>
      <c r="P764" s="232">
        <v>0</v>
      </c>
      <c r="Q764" s="231">
        <v>0</v>
      </c>
      <c r="R764" s="232">
        <f t="shared" si="11"/>
        <v>19713</v>
      </c>
      <c r="S764" s="231"/>
      <c r="T764" s="232">
        <v>9530</v>
      </c>
      <c r="U764" s="233">
        <v>905</v>
      </c>
      <c r="V764" s="233">
        <v>10435</v>
      </c>
    </row>
    <row r="765" spans="1:22">
      <c r="A765" s="226">
        <v>98231</v>
      </c>
      <c r="B765" s="227" t="s">
        <v>1471</v>
      </c>
      <c r="C765" s="87">
        <v>3.1999999999999999E-5</v>
      </c>
      <c r="D765" s="87">
        <v>3.7400000000000001E-5</v>
      </c>
      <c r="E765" s="231">
        <v>13931.16</v>
      </c>
      <c r="F765" s="231">
        <v>16785</v>
      </c>
      <c r="G765" s="231">
        <v>67914.720000000001</v>
      </c>
      <c r="H765" s="231"/>
      <c r="I765" s="232">
        <v>1276</v>
      </c>
      <c r="J765" s="232">
        <v>59515</v>
      </c>
      <c r="K765" s="232">
        <v>4652</v>
      </c>
      <c r="L765" s="231">
        <v>2641</v>
      </c>
      <c r="M765" s="231"/>
      <c r="N765" s="232">
        <v>2380</v>
      </c>
      <c r="O765" s="232">
        <v>21967</v>
      </c>
      <c r="P765" s="232">
        <v>0</v>
      </c>
      <c r="Q765" s="231">
        <v>7471</v>
      </c>
      <c r="R765" s="232">
        <f t="shared" si="11"/>
        <v>37548</v>
      </c>
      <c r="S765" s="231"/>
      <c r="T765" s="232">
        <v>18153</v>
      </c>
      <c r="U765" s="233">
        <v>-2254</v>
      </c>
      <c r="V765" s="233">
        <v>15898</v>
      </c>
    </row>
    <row r="766" spans="1:22">
      <c r="A766" s="226">
        <v>98237</v>
      </c>
      <c r="B766" s="227" t="s">
        <v>1472</v>
      </c>
      <c r="C766" s="87">
        <v>2.7E-6</v>
      </c>
      <c r="D766" s="87">
        <v>2.9000000000000002E-6</v>
      </c>
      <c r="E766" s="231">
        <v>2766.5699999999997</v>
      </c>
      <c r="F766" s="231">
        <v>1302</v>
      </c>
      <c r="G766" s="231">
        <v>5730</v>
      </c>
      <c r="H766" s="231"/>
      <c r="I766" s="232">
        <v>107.66249999999999</v>
      </c>
      <c r="J766" s="232">
        <v>5022</v>
      </c>
      <c r="K766" s="232">
        <v>392</v>
      </c>
      <c r="L766" s="231">
        <v>2342</v>
      </c>
      <c r="M766" s="231"/>
      <c r="N766" s="232">
        <v>201</v>
      </c>
      <c r="O766" s="232">
        <v>1853</v>
      </c>
      <c r="P766" s="232">
        <v>0</v>
      </c>
      <c r="Q766" s="231">
        <v>0</v>
      </c>
      <c r="R766" s="232">
        <f t="shared" si="11"/>
        <v>3169</v>
      </c>
      <c r="S766" s="231"/>
      <c r="T766" s="232">
        <v>1532</v>
      </c>
      <c r="U766" s="233">
        <v>795</v>
      </c>
      <c r="V766" s="233">
        <v>2326</v>
      </c>
    </row>
    <row r="767" spans="1:22">
      <c r="A767" s="226">
        <v>98241</v>
      </c>
      <c r="B767" s="227" t="s">
        <v>1473</v>
      </c>
      <c r="C767" s="87">
        <v>1.98E-5</v>
      </c>
      <c r="D767" s="87">
        <v>1.0200000000000001E-5</v>
      </c>
      <c r="E767" s="231">
        <v>7740.8499999999995</v>
      </c>
      <c r="F767" s="231">
        <v>4578</v>
      </c>
      <c r="G767" s="231">
        <v>42022</v>
      </c>
      <c r="H767" s="231"/>
      <c r="I767" s="232">
        <v>789.52499999999998</v>
      </c>
      <c r="J767" s="232">
        <v>36825</v>
      </c>
      <c r="K767" s="232">
        <v>2878</v>
      </c>
      <c r="L767" s="231">
        <v>8690</v>
      </c>
      <c r="M767" s="231"/>
      <c r="N767" s="232">
        <v>1473</v>
      </c>
      <c r="O767" s="232">
        <v>13592</v>
      </c>
      <c r="P767" s="232">
        <v>0</v>
      </c>
      <c r="Q767" s="231">
        <v>331</v>
      </c>
      <c r="R767" s="232">
        <f t="shared" si="11"/>
        <v>23233</v>
      </c>
      <c r="S767" s="231"/>
      <c r="T767" s="232">
        <v>11232</v>
      </c>
      <c r="U767" s="233">
        <v>3061</v>
      </c>
      <c r="V767" s="233">
        <v>14293</v>
      </c>
    </row>
    <row r="768" spans="1:22">
      <c r="A768" s="226">
        <v>98251</v>
      </c>
      <c r="B768" s="227" t="s">
        <v>1474</v>
      </c>
      <c r="C768" s="87">
        <v>3.1E-6</v>
      </c>
      <c r="D768" s="87">
        <v>3.1E-6</v>
      </c>
      <c r="E768" s="231">
        <v>1870.1600000000003</v>
      </c>
      <c r="F768" s="231">
        <v>1391</v>
      </c>
      <c r="G768" s="231">
        <v>6579</v>
      </c>
      <c r="H768" s="231"/>
      <c r="I768" s="232">
        <v>123.6125</v>
      </c>
      <c r="J768" s="232">
        <v>5766</v>
      </c>
      <c r="K768" s="232">
        <v>451</v>
      </c>
      <c r="L768" s="231">
        <v>1191</v>
      </c>
      <c r="M768" s="231"/>
      <c r="N768" s="232">
        <v>231</v>
      </c>
      <c r="O768" s="232">
        <v>2128</v>
      </c>
      <c r="P768" s="232">
        <v>0</v>
      </c>
      <c r="Q768" s="231">
        <v>0</v>
      </c>
      <c r="R768" s="232">
        <f t="shared" si="11"/>
        <v>3638</v>
      </c>
      <c r="S768" s="231"/>
      <c r="T768" s="232">
        <v>1759</v>
      </c>
      <c r="U768" s="233">
        <v>412</v>
      </c>
      <c r="V768" s="233">
        <v>2171</v>
      </c>
    </row>
    <row r="769" spans="1:22">
      <c r="A769" s="226">
        <v>98261</v>
      </c>
      <c r="B769" s="227" t="s">
        <v>1475</v>
      </c>
      <c r="C769" s="87">
        <v>2.97E-5</v>
      </c>
      <c r="D769" s="87">
        <v>4.3099999999999997E-5</v>
      </c>
      <c r="E769" s="231">
        <v>12989.23</v>
      </c>
      <c r="F769" s="231">
        <v>19343</v>
      </c>
      <c r="G769" s="231">
        <v>63033</v>
      </c>
      <c r="H769" s="231"/>
      <c r="I769" s="232">
        <v>1184</v>
      </c>
      <c r="J769" s="232">
        <v>55237</v>
      </c>
      <c r="K769" s="232">
        <v>4317</v>
      </c>
      <c r="L769" s="231">
        <v>4504</v>
      </c>
      <c r="M769" s="231"/>
      <c r="N769" s="232">
        <v>2209</v>
      </c>
      <c r="O769" s="232">
        <v>20388</v>
      </c>
      <c r="P769" s="232">
        <v>0</v>
      </c>
      <c r="Q769" s="231">
        <v>6643</v>
      </c>
      <c r="R769" s="232">
        <f t="shared" si="11"/>
        <v>34849</v>
      </c>
      <c r="S769" s="231"/>
      <c r="T769" s="232">
        <v>16848</v>
      </c>
      <c r="U769" s="233">
        <v>-118</v>
      </c>
      <c r="V769" s="233">
        <v>16730</v>
      </c>
    </row>
    <row r="770" spans="1:22">
      <c r="A770" s="226">
        <v>98271</v>
      </c>
      <c r="B770" s="227" t="s">
        <v>1476</v>
      </c>
      <c r="C770" s="87">
        <v>4.5000000000000001E-6</v>
      </c>
      <c r="D770" s="87">
        <v>3.4000000000000001E-6</v>
      </c>
      <c r="E770" s="231">
        <v>3055.2599999999998</v>
      </c>
      <c r="F770" s="231">
        <v>1526</v>
      </c>
      <c r="G770" s="231">
        <v>9551</v>
      </c>
      <c r="H770" s="231"/>
      <c r="I770" s="232">
        <v>179.4375</v>
      </c>
      <c r="J770" s="232">
        <v>8369</v>
      </c>
      <c r="K770" s="232">
        <v>654</v>
      </c>
      <c r="L770" s="231">
        <v>3951</v>
      </c>
      <c r="M770" s="231"/>
      <c r="N770" s="232">
        <v>335</v>
      </c>
      <c r="O770" s="232">
        <v>3089</v>
      </c>
      <c r="P770" s="232">
        <v>0</v>
      </c>
      <c r="Q770" s="231">
        <v>0</v>
      </c>
      <c r="R770" s="232">
        <f t="shared" si="11"/>
        <v>5280</v>
      </c>
      <c r="S770" s="231"/>
      <c r="T770" s="232">
        <v>2553</v>
      </c>
      <c r="U770" s="233">
        <v>1392</v>
      </c>
      <c r="V770" s="233">
        <v>3945</v>
      </c>
    </row>
    <row r="771" spans="1:22">
      <c r="A771" s="226">
        <v>98301</v>
      </c>
      <c r="B771" s="227" t="s">
        <v>1477</v>
      </c>
      <c r="C771" s="87">
        <v>1.7776999999999999E-3</v>
      </c>
      <c r="D771" s="87">
        <v>1.7478999999999999E-3</v>
      </c>
      <c r="E771" s="231">
        <v>735954.37000000011</v>
      </c>
      <c r="F771" s="231">
        <v>784447</v>
      </c>
      <c r="G771" s="231">
        <v>3772875</v>
      </c>
      <c r="H771" s="231"/>
      <c r="I771" s="232">
        <v>70886</v>
      </c>
      <c r="J771" s="232">
        <v>3306241</v>
      </c>
      <c r="K771" s="232">
        <v>258408</v>
      </c>
      <c r="L771" s="231">
        <v>76085</v>
      </c>
      <c r="M771" s="231"/>
      <c r="N771" s="232">
        <v>132206</v>
      </c>
      <c r="O771" s="232">
        <v>1220316</v>
      </c>
      <c r="P771" s="232">
        <v>0</v>
      </c>
      <c r="Q771" s="231">
        <v>15711</v>
      </c>
      <c r="R771" s="232">
        <f t="shared" si="11"/>
        <v>2085925</v>
      </c>
      <c r="S771" s="231"/>
      <c r="T771" s="232">
        <v>1008434</v>
      </c>
      <c r="U771" s="233">
        <v>17172</v>
      </c>
      <c r="V771" s="233">
        <v>1025606</v>
      </c>
    </row>
    <row r="772" spans="1:22">
      <c r="A772" s="226">
        <v>98304</v>
      </c>
      <c r="B772" s="227" t="s">
        <v>1478</v>
      </c>
      <c r="C772" s="87">
        <v>2.2900000000000001E-5</v>
      </c>
      <c r="D772" s="87">
        <v>2.4499999999999999E-5</v>
      </c>
      <c r="E772" s="231">
        <v>11385.829999999998</v>
      </c>
      <c r="F772" s="231">
        <v>10995</v>
      </c>
      <c r="G772" s="231">
        <v>48601</v>
      </c>
      <c r="H772" s="231"/>
      <c r="I772" s="232">
        <v>913.13750000000005</v>
      </c>
      <c r="J772" s="232">
        <v>42590</v>
      </c>
      <c r="K772" s="232">
        <v>3329</v>
      </c>
      <c r="L772" s="231">
        <v>1590</v>
      </c>
      <c r="M772" s="231"/>
      <c r="N772" s="232">
        <v>1703</v>
      </c>
      <c r="O772" s="232">
        <v>15720</v>
      </c>
      <c r="P772" s="232">
        <v>0</v>
      </c>
      <c r="Q772" s="231">
        <v>0</v>
      </c>
      <c r="R772" s="232">
        <f t="shared" si="11"/>
        <v>26870</v>
      </c>
      <c r="S772" s="231"/>
      <c r="T772" s="232">
        <v>12990</v>
      </c>
      <c r="U772" s="233">
        <v>514</v>
      </c>
      <c r="V772" s="233">
        <v>13504</v>
      </c>
    </row>
    <row r="773" spans="1:22">
      <c r="A773" s="226">
        <v>98308</v>
      </c>
      <c r="B773" s="227" t="s">
        <v>1479</v>
      </c>
      <c r="C773" s="87">
        <v>2.55E-5</v>
      </c>
      <c r="D773" s="87">
        <v>2.5000000000000001E-5</v>
      </c>
      <c r="E773" s="231">
        <v>13854.839999999998</v>
      </c>
      <c r="F773" s="231">
        <v>11219.85</v>
      </c>
      <c r="G773" s="231">
        <v>54120</v>
      </c>
      <c r="H773" s="231"/>
      <c r="I773" s="232">
        <v>1016.8125</v>
      </c>
      <c r="J773" s="232">
        <v>47426</v>
      </c>
      <c r="K773" s="232">
        <v>3707</v>
      </c>
      <c r="L773" s="231">
        <v>7689</v>
      </c>
      <c r="M773" s="231"/>
      <c r="N773" s="232">
        <v>1896</v>
      </c>
      <c r="O773" s="232">
        <v>17505</v>
      </c>
      <c r="P773" s="232">
        <v>0</v>
      </c>
      <c r="Q773" s="231">
        <v>0</v>
      </c>
      <c r="R773" s="232">
        <f t="shared" si="11"/>
        <v>29921</v>
      </c>
      <c r="S773" s="231"/>
      <c r="T773" s="232">
        <v>14465</v>
      </c>
      <c r="U773" s="233">
        <v>2796</v>
      </c>
      <c r="V773" s="233">
        <v>17261</v>
      </c>
    </row>
    <row r="774" spans="1:22">
      <c r="A774" s="226">
        <v>98311</v>
      </c>
      <c r="B774" s="227" t="s">
        <v>1480</v>
      </c>
      <c r="C774" s="87">
        <v>1.1441999999999999E-3</v>
      </c>
      <c r="D774" s="87">
        <v>1.1704E-3</v>
      </c>
      <c r="E774" s="231">
        <v>413994.32000000007</v>
      </c>
      <c r="F774" s="231">
        <v>525268</v>
      </c>
      <c r="G774" s="231">
        <v>2428376</v>
      </c>
      <c r="H774" s="231"/>
      <c r="I774" s="232">
        <v>45625</v>
      </c>
      <c r="J774" s="232">
        <v>2128031</v>
      </c>
      <c r="K774" s="232">
        <v>166322</v>
      </c>
      <c r="L774" s="231">
        <v>25434</v>
      </c>
      <c r="M774" s="231"/>
      <c r="N774" s="232">
        <v>85093</v>
      </c>
      <c r="O774" s="232">
        <v>785445</v>
      </c>
      <c r="P774" s="232">
        <v>0</v>
      </c>
      <c r="Q774" s="231">
        <v>70361</v>
      </c>
      <c r="R774" s="232">
        <f t="shared" si="11"/>
        <v>1342586</v>
      </c>
      <c r="S774" s="231"/>
      <c r="T774" s="232">
        <v>649069</v>
      </c>
      <c r="U774" s="233">
        <v>-6523</v>
      </c>
      <c r="V774" s="233">
        <v>642547</v>
      </c>
    </row>
    <row r="775" spans="1:22">
      <c r="A775" s="226">
        <v>98313</v>
      </c>
      <c r="B775" s="227" t="s">
        <v>1481</v>
      </c>
      <c r="C775" s="87">
        <v>2.4240000000000001E-4</v>
      </c>
      <c r="D775" s="87">
        <v>2.3589999999999999E-4</v>
      </c>
      <c r="E775" s="231">
        <v>227095.51</v>
      </c>
      <c r="F775" s="231">
        <v>105871</v>
      </c>
      <c r="G775" s="231">
        <v>514454</v>
      </c>
      <c r="H775" s="231"/>
      <c r="I775" s="232">
        <v>9666</v>
      </c>
      <c r="J775" s="232">
        <v>450826</v>
      </c>
      <c r="K775" s="232">
        <v>35236</v>
      </c>
      <c r="L775" s="231">
        <v>166298</v>
      </c>
      <c r="M775" s="231"/>
      <c r="N775" s="232">
        <v>18027</v>
      </c>
      <c r="O775" s="232">
        <v>166397</v>
      </c>
      <c r="P775" s="232">
        <v>0</v>
      </c>
      <c r="Q775" s="231">
        <v>119.4</v>
      </c>
      <c r="R775" s="232">
        <f t="shared" si="11"/>
        <v>284429</v>
      </c>
      <c r="S775" s="231"/>
      <c r="T775" s="232">
        <v>137506</v>
      </c>
      <c r="U775" s="233">
        <v>48906</v>
      </c>
      <c r="V775" s="233">
        <v>186412</v>
      </c>
    </row>
    <row r="776" spans="1:22">
      <c r="A776" s="226">
        <v>98321</v>
      </c>
      <c r="B776" s="227" t="s">
        <v>1482</v>
      </c>
      <c r="C776" s="87">
        <v>2.1399999999999998E-5</v>
      </c>
      <c r="D776" s="87">
        <v>2.9E-5</v>
      </c>
      <c r="E776" s="231">
        <v>9180.25</v>
      </c>
      <c r="F776" s="231">
        <v>13015</v>
      </c>
      <c r="G776" s="231">
        <v>45418</v>
      </c>
      <c r="H776" s="231"/>
      <c r="I776" s="232">
        <v>853</v>
      </c>
      <c r="J776" s="232">
        <v>39801</v>
      </c>
      <c r="K776" s="232">
        <v>3111</v>
      </c>
      <c r="L776" s="231">
        <v>3126</v>
      </c>
      <c r="M776" s="231"/>
      <c r="N776" s="232">
        <v>1591</v>
      </c>
      <c r="O776" s="232">
        <v>14690</v>
      </c>
      <c r="P776" s="232">
        <v>0</v>
      </c>
      <c r="Q776" s="231">
        <v>4186</v>
      </c>
      <c r="R776" s="232">
        <f t="shared" si="11"/>
        <v>25111</v>
      </c>
      <c r="S776" s="231"/>
      <c r="T776" s="232">
        <v>12140</v>
      </c>
      <c r="U776" s="233">
        <v>451</v>
      </c>
      <c r="V776" s="233">
        <v>12591</v>
      </c>
    </row>
    <row r="777" spans="1:22">
      <c r="A777" s="226">
        <v>98331</v>
      </c>
      <c r="B777" s="227" t="s">
        <v>1483</v>
      </c>
      <c r="C777" s="87">
        <v>1.03E-5</v>
      </c>
      <c r="D777" s="87">
        <v>9.7999999999999993E-6</v>
      </c>
      <c r="E777" s="231">
        <v>5903.22</v>
      </c>
      <c r="F777" s="231">
        <v>4398</v>
      </c>
      <c r="G777" s="231">
        <v>21860</v>
      </c>
      <c r="H777" s="231"/>
      <c r="I777" s="232">
        <v>410.71249999999998</v>
      </c>
      <c r="J777" s="232">
        <v>19156</v>
      </c>
      <c r="K777" s="232">
        <v>1497</v>
      </c>
      <c r="L777" s="231">
        <v>2778</v>
      </c>
      <c r="M777" s="231"/>
      <c r="N777" s="232">
        <v>766</v>
      </c>
      <c r="O777" s="232">
        <v>7071</v>
      </c>
      <c r="P777" s="232">
        <v>0</v>
      </c>
      <c r="Q777" s="231">
        <v>264.67</v>
      </c>
      <c r="R777" s="232">
        <f t="shared" ref="R777:R840" si="12">IF(J777&gt;O777,J777-O777,O777-J777)</f>
        <v>12085</v>
      </c>
      <c r="S777" s="231"/>
      <c r="T777" s="232">
        <v>5843</v>
      </c>
      <c r="U777" s="233">
        <v>700</v>
      </c>
      <c r="V777" s="233">
        <v>6542</v>
      </c>
    </row>
    <row r="778" spans="1:22">
      <c r="A778" s="226">
        <v>98401</v>
      </c>
      <c r="B778" s="227" t="s">
        <v>1484</v>
      </c>
      <c r="C778" s="87">
        <v>2.7567999999999998E-3</v>
      </c>
      <c r="D778" s="87">
        <v>2.8057999999999998E-3</v>
      </c>
      <c r="E778" s="231">
        <v>1156444.24</v>
      </c>
      <c r="F778" s="231">
        <v>1259226</v>
      </c>
      <c r="G778" s="231">
        <v>5850853</v>
      </c>
      <c r="H778" s="231"/>
      <c r="I778" s="232">
        <v>109927.4</v>
      </c>
      <c r="J778" s="232">
        <v>5127212</v>
      </c>
      <c r="K778" s="232">
        <v>400731</v>
      </c>
      <c r="L778" s="231">
        <v>92083</v>
      </c>
      <c r="M778" s="231"/>
      <c r="N778" s="232">
        <v>205020</v>
      </c>
      <c r="O778" s="232">
        <v>1892427</v>
      </c>
      <c r="P778" s="232">
        <v>0</v>
      </c>
      <c r="Q778" s="231">
        <v>8491</v>
      </c>
      <c r="R778" s="232">
        <f t="shared" si="12"/>
        <v>3234785</v>
      </c>
      <c r="S778" s="231"/>
      <c r="T778" s="232">
        <v>1563847</v>
      </c>
      <c r="U778" s="233">
        <v>31358</v>
      </c>
      <c r="V778" s="233">
        <v>1595205</v>
      </c>
    </row>
    <row r="779" spans="1:22">
      <c r="A779" s="226">
        <v>98411</v>
      </c>
      <c r="B779" s="227" t="s">
        <v>1486</v>
      </c>
      <c r="C779" s="87">
        <v>2.0076999999999998E-3</v>
      </c>
      <c r="D779" s="87">
        <v>1.9907000000000002E-3</v>
      </c>
      <c r="E779" s="231">
        <v>792048.89</v>
      </c>
      <c r="F779" s="231">
        <v>893414</v>
      </c>
      <c r="G779" s="231">
        <v>4261012</v>
      </c>
      <c r="H779" s="231"/>
      <c r="I779" s="232">
        <v>80057</v>
      </c>
      <c r="J779" s="232">
        <v>3734005</v>
      </c>
      <c r="K779" s="232">
        <v>291841</v>
      </c>
      <c r="L779" s="231">
        <v>8012</v>
      </c>
      <c r="M779" s="231"/>
      <c r="N779" s="232">
        <v>149311</v>
      </c>
      <c r="O779" s="232">
        <v>1378202</v>
      </c>
      <c r="P779" s="232">
        <v>0</v>
      </c>
      <c r="Q779" s="231">
        <v>35211</v>
      </c>
      <c r="R779" s="232">
        <f t="shared" si="12"/>
        <v>2355803</v>
      </c>
      <c r="S779" s="231"/>
      <c r="T779" s="232">
        <v>1138906</v>
      </c>
      <c r="U779" s="233">
        <v>-6790</v>
      </c>
      <c r="V779" s="233">
        <v>1132116</v>
      </c>
    </row>
    <row r="780" spans="1:22">
      <c r="A780" s="226">
        <v>98417</v>
      </c>
      <c r="B780" s="227" t="s">
        <v>1488</v>
      </c>
      <c r="C780" s="87">
        <v>2.4899999999999999E-5</v>
      </c>
      <c r="D780" s="87">
        <v>2.6400000000000001E-5</v>
      </c>
      <c r="E780" s="231">
        <v>12734.51</v>
      </c>
      <c r="F780" s="231">
        <v>11848</v>
      </c>
      <c r="G780" s="231">
        <v>52846</v>
      </c>
      <c r="H780" s="231"/>
      <c r="I780" s="232">
        <v>993</v>
      </c>
      <c r="J780" s="232">
        <v>46310</v>
      </c>
      <c r="K780" s="232">
        <v>3619</v>
      </c>
      <c r="L780" s="231">
        <v>1318</v>
      </c>
      <c r="M780" s="231"/>
      <c r="N780" s="232">
        <v>1852</v>
      </c>
      <c r="O780" s="232">
        <v>17093</v>
      </c>
      <c r="P780" s="232">
        <v>0</v>
      </c>
      <c r="Q780" s="231">
        <v>852</v>
      </c>
      <c r="R780" s="232">
        <f t="shared" si="12"/>
        <v>29217</v>
      </c>
      <c r="S780" s="231"/>
      <c r="T780" s="232">
        <v>14125</v>
      </c>
      <c r="U780" s="233">
        <v>-72</v>
      </c>
      <c r="V780" s="233">
        <v>14053</v>
      </c>
    </row>
    <row r="781" spans="1:22">
      <c r="A781" s="226">
        <v>98421</v>
      </c>
      <c r="B781" s="227" t="s">
        <v>1489</v>
      </c>
      <c r="C781" s="87">
        <v>1.0840000000000001E-4</v>
      </c>
      <c r="D781" s="87">
        <v>1.021E-4</v>
      </c>
      <c r="E781" s="231">
        <v>40835.009999999995</v>
      </c>
      <c r="F781" s="231">
        <v>45822</v>
      </c>
      <c r="G781" s="231">
        <v>230061</v>
      </c>
      <c r="H781" s="231"/>
      <c r="I781" s="232">
        <v>4322.45</v>
      </c>
      <c r="J781" s="232">
        <v>201607</v>
      </c>
      <c r="K781" s="232">
        <v>15757</v>
      </c>
      <c r="L781" s="231">
        <v>7887</v>
      </c>
      <c r="M781" s="231"/>
      <c r="N781" s="232">
        <v>8062</v>
      </c>
      <c r="O781" s="232">
        <v>74412</v>
      </c>
      <c r="P781" s="232">
        <v>0</v>
      </c>
      <c r="Q781" s="231">
        <v>1282</v>
      </c>
      <c r="R781" s="232">
        <f t="shared" si="12"/>
        <v>127195</v>
      </c>
      <c r="S781" s="231"/>
      <c r="T781" s="232">
        <v>61492</v>
      </c>
      <c r="U781" s="233">
        <v>2111</v>
      </c>
      <c r="V781" s="233">
        <v>63603</v>
      </c>
    </row>
    <row r="782" spans="1:22">
      <c r="A782" s="226">
        <v>98427</v>
      </c>
      <c r="B782" s="227" t="s">
        <v>1490</v>
      </c>
      <c r="C782" s="87">
        <v>4.6E-6</v>
      </c>
      <c r="D782" s="87">
        <v>5.2000000000000002E-6</v>
      </c>
      <c r="E782" s="231">
        <v>2927.04</v>
      </c>
      <c r="F782" s="231">
        <v>2334</v>
      </c>
      <c r="G782" s="231">
        <v>9763</v>
      </c>
      <c r="H782" s="231"/>
      <c r="I782" s="232">
        <v>183.42500000000001</v>
      </c>
      <c r="J782" s="232">
        <v>8555</v>
      </c>
      <c r="K782" s="232">
        <v>669</v>
      </c>
      <c r="L782" s="231">
        <v>946</v>
      </c>
      <c r="M782" s="231"/>
      <c r="N782" s="232">
        <v>342</v>
      </c>
      <c r="O782" s="232">
        <v>3158</v>
      </c>
      <c r="P782" s="232">
        <v>0</v>
      </c>
      <c r="Q782" s="231">
        <v>0</v>
      </c>
      <c r="R782" s="232">
        <f t="shared" si="12"/>
        <v>5397</v>
      </c>
      <c r="S782" s="231"/>
      <c r="T782" s="232">
        <v>2609</v>
      </c>
      <c r="U782" s="233">
        <v>309</v>
      </c>
      <c r="V782" s="233">
        <v>2918</v>
      </c>
    </row>
    <row r="783" spans="1:22">
      <c r="A783" s="226">
        <v>98431</v>
      </c>
      <c r="B783" s="227" t="s">
        <v>1491</v>
      </c>
      <c r="C783" s="87">
        <v>2.0010000000000001E-4</v>
      </c>
      <c r="D783" s="87">
        <v>2.0560000000000001E-4</v>
      </c>
      <c r="E783" s="231">
        <v>68368.560000000012</v>
      </c>
      <c r="F783" s="231">
        <v>92272</v>
      </c>
      <c r="G783" s="231">
        <v>424679</v>
      </c>
      <c r="H783" s="231"/>
      <c r="I783" s="232">
        <v>7979</v>
      </c>
      <c r="J783" s="232">
        <v>372154</v>
      </c>
      <c r="K783" s="232">
        <v>29087</v>
      </c>
      <c r="L783" s="231">
        <v>2505</v>
      </c>
      <c r="M783" s="231"/>
      <c r="N783" s="232">
        <v>14881</v>
      </c>
      <c r="O783" s="232">
        <v>137360</v>
      </c>
      <c r="P783" s="232">
        <v>0</v>
      </c>
      <c r="Q783" s="231">
        <v>22555</v>
      </c>
      <c r="R783" s="232">
        <f t="shared" si="12"/>
        <v>234794</v>
      </c>
      <c r="S783" s="231"/>
      <c r="T783" s="232">
        <v>113511</v>
      </c>
      <c r="U783" s="233">
        <v>-5398</v>
      </c>
      <c r="V783" s="233">
        <v>108113</v>
      </c>
    </row>
    <row r="784" spans="1:22">
      <c r="A784" s="226">
        <v>98441</v>
      </c>
      <c r="B784" s="227" t="s">
        <v>1492</v>
      </c>
      <c r="C784" s="87">
        <v>9.1000000000000003E-5</v>
      </c>
      <c r="D784" s="87">
        <v>1.039E-4</v>
      </c>
      <c r="E784" s="231">
        <v>33724.18</v>
      </c>
      <c r="F784" s="231">
        <v>46630</v>
      </c>
      <c r="G784" s="231">
        <v>193132</v>
      </c>
      <c r="H784" s="231"/>
      <c r="I784" s="232">
        <v>3628.625</v>
      </c>
      <c r="J784" s="232">
        <v>169246</v>
      </c>
      <c r="K784" s="232">
        <v>13228</v>
      </c>
      <c r="L784" s="231">
        <v>1146</v>
      </c>
      <c r="M784" s="231"/>
      <c r="N784" s="232">
        <v>6768</v>
      </c>
      <c r="O784" s="232">
        <v>62468</v>
      </c>
      <c r="P784" s="232">
        <v>0</v>
      </c>
      <c r="Q784" s="231">
        <v>21657</v>
      </c>
      <c r="R784" s="232">
        <f t="shared" si="12"/>
        <v>106778</v>
      </c>
      <c r="S784" s="231"/>
      <c r="T784" s="232">
        <v>51621</v>
      </c>
      <c r="U784" s="233">
        <v>-6156</v>
      </c>
      <c r="V784" s="233">
        <v>45466</v>
      </c>
    </row>
    <row r="785" spans="1:22">
      <c r="A785" s="226">
        <v>98451</v>
      </c>
      <c r="B785" s="227" t="s">
        <v>1493</v>
      </c>
      <c r="C785" s="87">
        <v>5.6199999999999997E-5</v>
      </c>
      <c r="D785" s="87">
        <v>6.0300000000000002E-5</v>
      </c>
      <c r="E785" s="231">
        <v>24172.809999999998</v>
      </c>
      <c r="F785" s="231">
        <v>27062</v>
      </c>
      <c r="G785" s="231">
        <v>119275</v>
      </c>
      <c r="H785" s="231"/>
      <c r="I785" s="232">
        <v>2240.9749999999999</v>
      </c>
      <c r="J785" s="232">
        <v>104523</v>
      </c>
      <c r="K785" s="232">
        <v>8169</v>
      </c>
      <c r="L785" s="231">
        <v>0</v>
      </c>
      <c r="M785" s="231"/>
      <c r="N785" s="232">
        <v>4180</v>
      </c>
      <c r="O785" s="232">
        <v>38579</v>
      </c>
      <c r="P785" s="232">
        <v>0</v>
      </c>
      <c r="Q785" s="231">
        <v>2135</v>
      </c>
      <c r="R785" s="232">
        <f t="shared" si="12"/>
        <v>65944</v>
      </c>
      <c r="S785" s="231"/>
      <c r="T785" s="232">
        <v>31881</v>
      </c>
      <c r="U785" s="233">
        <v>-657</v>
      </c>
      <c r="V785" s="233">
        <v>31223</v>
      </c>
    </row>
    <row r="786" spans="1:22">
      <c r="A786" s="226">
        <v>98481</v>
      </c>
      <c r="B786" s="227" t="s">
        <v>1494</v>
      </c>
      <c r="C786" s="87">
        <v>6.7700000000000006E-5</v>
      </c>
      <c r="D786" s="87">
        <v>6.2500000000000001E-5</v>
      </c>
      <c r="E786" s="231">
        <v>21741.83</v>
      </c>
      <c r="F786" s="231">
        <v>28049.625</v>
      </c>
      <c r="G786" s="231">
        <v>143682</v>
      </c>
      <c r="H786" s="231"/>
      <c r="I786" s="232">
        <v>2700</v>
      </c>
      <c r="J786" s="232">
        <v>125911</v>
      </c>
      <c r="K786" s="232">
        <v>9841</v>
      </c>
      <c r="L786" s="231">
        <v>3106</v>
      </c>
      <c r="M786" s="231"/>
      <c r="N786" s="232">
        <v>5035</v>
      </c>
      <c r="O786" s="232">
        <v>46473</v>
      </c>
      <c r="P786" s="232">
        <v>0</v>
      </c>
      <c r="Q786" s="231">
        <v>2045</v>
      </c>
      <c r="R786" s="232">
        <f t="shared" si="12"/>
        <v>79438</v>
      </c>
      <c r="S786" s="231"/>
      <c r="T786" s="232">
        <v>38404</v>
      </c>
      <c r="U786" s="233">
        <v>1029</v>
      </c>
      <c r="V786" s="233">
        <v>39434</v>
      </c>
    </row>
    <row r="787" spans="1:22">
      <c r="A787" s="226">
        <v>98501</v>
      </c>
      <c r="B787" s="227" t="s">
        <v>1495</v>
      </c>
      <c r="C787" s="87">
        <v>1.5690999999999999E-3</v>
      </c>
      <c r="D787" s="87">
        <v>1.5471E-3</v>
      </c>
      <c r="E787" s="231">
        <v>684836.9</v>
      </c>
      <c r="F787" s="231">
        <v>694329</v>
      </c>
      <c r="G787" s="231">
        <v>3330156</v>
      </c>
      <c r="H787" s="231"/>
      <c r="I787" s="232">
        <v>62568</v>
      </c>
      <c r="J787" s="232">
        <v>2918278</v>
      </c>
      <c r="K787" s="232">
        <v>228086</v>
      </c>
      <c r="L787" s="231">
        <v>44212</v>
      </c>
      <c r="M787" s="231"/>
      <c r="N787" s="232">
        <v>116692</v>
      </c>
      <c r="O787" s="232">
        <v>1077121</v>
      </c>
      <c r="P787" s="232">
        <v>0</v>
      </c>
      <c r="Q787" s="231">
        <v>5894</v>
      </c>
      <c r="R787" s="232">
        <f t="shared" si="12"/>
        <v>1841157</v>
      </c>
      <c r="S787" s="231"/>
      <c r="T787" s="232">
        <v>890102</v>
      </c>
      <c r="U787" s="233">
        <v>8576</v>
      </c>
      <c r="V787" s="233">
        <v>898678</v>
      </c>
    </row>
    <row r="788" spans="1:22">
      <c r="A788" s="226">
        <v>98511</v>
      </c>
      <c r="B788" s="227" t="s">
        <v>1496</v>
      </c>
      <c r="C788" s="87">
        <v>4.5800000000000002E-5</v>
      </c>
      <c r="D788" s="87">
        <v>3.96E-5</v>
      </c>
      <c r="E788" s="231">
        <v>20253.45</v>
      </c>
      <c r="F788" s="231">
        <v>17772</v>
      </c>
      <c r="G788" s="231">
        <v>97203</v>
      </c>
      <c r="H788" s="231"/>
      <c r="I788" s="232">
        <v>1826.2750000000001</v>
      </c>
      <c r="J788" s="232">
        <v>85181</v>
      </c>
      <c r="K788" s="232">
        <v>6658</v>
      </c>
      <c r="L788" s="231">
        <v>4485</v>
      </c>
      <c r="M788" s="231"/>
      <c r="N788" s="232">
        <v>3406</v>
      </c>
      <c r="O788" s="232">
        <v>31440</v>
      </c>
      <c r="P788" s="232">
        <v>0</v>
      </c>
      <c r="Q788" s="231">
        <v>23108</v>
      </c>
      <c r="R788" s="232">
        <f t="shared" si="12"/>
        <v>53741</v>
      </c>
      <c r="S788" s="231"/>
      <c r="T788" s="232">
        <v>25981</v>
      </c>
      <c r="U788" s="233">
        <v>-10027</v>
      </c>
      <c r="V788" s="233">
        <v>15954</v>
      </c>
    </row>
    <row r="789" spans="1:22">
      <c r="A789" s="226">
        <v>98517</v>
      </c>
      <c r="B789" s="227" t="s">
        <v>1497</v>
      </c>
      <c r="C789" s="87">
        <v>2.6000000000000001E-6</v>
      </c>
      <c r="D789" s="87">
        <v>3.3000000000000002E-6</v>
      </c>
      <c r="E789" s="231">
        <v>2175.1200000000003</v>
      </c>
      <c r="F789" s="231">
        <v>1481</v>
      </c>
      <c r="G789" s="231">
        <v>5518</v>
      </c>
      <c r="H789" s="231"/>
      <c r="I789" s="232">
        <v>103.675</v>
      </c>
      <c r="J789" s="232">
        <v>4836</v>
      </c>
      <c r="K789" s="232">
        <v>378</v>
      </c>
      <c r="L789" s="231">
        <v>1036</v>
      </c>
      <c r="M789" s="231"/>
      <c r="N789" s="232">
        <v>193</v>
      </c>
      <c r="O789" s="232">
        <v>1785</v>
      </c>
      <c r="P789" s="232">
        <v>0</v>
      </c>
      <c r="Q789" s="231">
        <v>0</v>
      </c>
      <c r="R789" s="232">
        <f t="shared" si="12"/>
        <v>3051</v>
      </c>
      <c r="S789" s="231"/>
      <c r="T789" s="232">
        <v>1475</v>
      </c>
      <c r="U789" s="233">
        <v>354</v>
      </c>
      <c r="V789" s="233">
        <v>1829</v>
      </c>
    </row>
    <row r="790" spans="1:22">
      <c r="A790" s="226">
        <v>98521</v>
      </c>
      <c r="B790" s="227" t="s">
        <v>1498</v>
      </c>
      <c r="C790" s="87">
        <v>5.7059999999999999E-4</v>
      </c>
      <c r="D790" s="87">
        <v>6.3980000000000005E-4</v>
      </c>
      <c r="E790" s="231">
        <v>223041.65999999997</v>
      </c>
      <c r="F790" s="231">
        <v>287138</v>
      </c>
      <c r="G790" s="231">
        <v>1211004</v>
      </c>
      <c r="H790" s="231"/>
      <c r="I790" s="232">
        <v>22753</v>
      </c>
      <c r="J790" s="232">
        <v>1061226</v>
      </c>
      <c r="K790" s="232">
        <v>82943</v>
      </c>
      <c r="L790" s="231">
        <v>0</v>
      </c>
      <c r="M790" s="231"/>
      <c r="N790" s="232">
        <v>42435</v>
      </c>
      <c r="O790" s="232">
        <v>391693</v>
      </c>
      <c r="P790" s="232">
        <v>0</v>
      </c>
      <c r="Q790" s="231">
        <v>62867</v>
      </c>
      <c r="R790" s="232">
        <f t="shared" si="12"/>
        <v>669533</v>
      </c>
      <c r="S790" s="231"/>
      <c r="T790" s="232">
        <v>323684</v>
      </c>
      <c r="U790" s="233">
        <v>-18900</v>
      </c>
      <c r="V790" s="233">
        <v>304784</v>
      </c>
    </row>
    <row r="791" spans="1:22">
      <c r="A791" s="226">
        <v>98601</v>
      </c>
      <c r="B791" s="227" t="s">
        <v>1499</v>
      </c>
      <c r="C791" s="87">
        <v>3.5065999999999999E-3</v>
      </c>
      <c r="D791" s="87">
        <v>3.3880999999999998E-3</v>
      </c>
      <c r="E791" s="231">
        <v>1331350.3999999999</v>
      </c>
      <c r="F791" s="231">
        <v>1520559</v>
      </c>
      <c r="G791" s="231">
        <v>7442180</v>
      </c>
      <c r="H791" s="231"/>
      <c r="I791" s="232">
        <v>139826</v>
      </c>
      <c r="J791" s="232">
        <v>6521722</v>
      </c>
      <c r="K791" s="232">
        <v>509723</v>
      </c>
      <c r="L791" s="231">
        <v>0</v>
      </c>
      <c r="M791" s="231"/>
      <c r="N791" s="232">
        <v>260782</v>
      </c>
      <c r="O791" s="232">
        <v>2407134</v>
      </c>
      <c r="P791" s="232">
        <v>0</v>
      </c>
      <c r="Q791" s="231">
        <v>160211</v>
      </c>
      <c r="R791" s="232">
        <f t="shared" si="12"/>
        <v>4114588</v>
      </c>
      <c r="S791" s="231"/>
      <c r="T791" s="232">
        <v>1989185</v>
      </c>
      <c r="U791" s="233">
        <v>-63543</v>
      </c>
      <c r="V791" s="233">
        <v>1925643</v>
      </c>
    </row>
    <row r="792" spans="1:22">
      <c r="A792" s="226">
        <v>98604</v>
      </c>
      <c r="B792" s="227" t="s">
        <v>1500</v>
      </c>
      <c r="C792" s="87">
        <v>1.59E-5</v>
      </c>
      <c r="D792" s="87">
        <v>0</v>
      </c>
      <c r="E792" s="231">
        <v>5853.5399999999991</v>
      </c>
      <c r="F792" s="231">
        <v>0</v>
      </c>
      <c r="G792" s="231">
        <v>33745</v>
      </c>
      <c r="H792" s="231"/>
      <c r="I792" s="232">
        <v>634</v>
      </c>
      <c r="J792" s="232">
        <v>29571</v>
      </c>
      <c r="K792" s="232">
        <v>2311</v>
      </c>
      <c r="L792" s="231">
        <v>8069</v>
      </c>
      <c r="M792" s="231"/>
      <c r="N792" s="232">
        <v>1182</v>
      </c>
      <c r="O792" s="232">
        <v>10915</v>
      </c>
      <c r="P792" s="232">
        <v>0</v>
      </c>
      <c r="Q792" s="231">
        <v>0</v>
      </c>
      <c r="R792" s="232">
        <f t="shared" si="12"/>
        <v>18656</v>
      </c>
      <c r="S792" s="231"/>
      <c r="T792" s="232">
        <v>9020</v>
      </c>
      <c r="U792" s="233">
        <v>2090</v>
      </c>
      <c r="V792" s="233">
        <v>11110</v>
      </c>
    </row>
    <row r="793" spans="1:22">
      <c r="A793" s="226">
        <v>98607</v>
      </c>
      <c r="B793" s="227" t="s">
        <v>1501</v>
      </c>
      <c r="C793" s="87">
        <v>5.9000000000000003E-6</v>
      </c>
      <c r="D793" s="87">
        <v>6.0000000000000002E-6</v>
      </c>
      <c r="E793" s="231">
        <v>2399.5499999999997</v>
      </c>
      <c r="F793" s="231">
        <v>2693</v>
      </c>
      <c r="G793" s="231">
        <v>12522</v>
      </c>
      <c r="H793" s="231"/>
      <c r="I793" s="232">
        <v>235</v>
      </c>
      <c r="J793" s="232">
        <v>10973</v>
      </c>
      <c r="K793" s="232">
        <v>858</v>
      </c>
      <c r="L793" s="231">
        <v>0</v>
      </c>
      <c r="M793" s="231"/>
      <c r="N793" s="232">
        <v>439</v>
      </c>
      <c r="O793" s="232">
        <v>4050</v>
      </c>
      <c r="P793" s="232">
        <v>0</v>
      </c>
      <c r="Q793" s="231">
        <v>2348</v>
      </c>
      <c r="R793" s="232">
        <f t="shared" si="12"/>
        <v>6923</v>
      </c>
      <c r="S793" s="231"/>
      <c r="T793" s="232">
        <v>3347</v>
      </c>
      <c r="U793" s="233">
        <v>-874</v>
      </c>
      <c r="V793" s="233">
        <v>2473</v>
      </c>
    </row>
    <row r="794" spans="1:22">
      <c r="A794" s="226">
        <v>98608</v>
      </c>
      <c r="B794" s="227" t="s">
        <v>1502</v>
      </c>
      <c r="C794" s="87">
        <v>4.2299999999999998E-5</v>
      </c>
      <c r="D794" s="87">
        <v>5.4500000000000003E-5</v>
      </c>
      <c r="E794" s="231">
        <v>16592.650000000001</v>
      </c>
      <c r="F794" s="231">
        <v>24459</v>
      </c>
      <c r="G794" s="231">
        <v>89775</v>
      </c>
      <c r="H794" s="231"/>
      <c r="I794" s="232">
        <v>1687</v>
      </c>
      <c r="J794" s="232">
        <v>78671</v>
      </c>
      <c r="K794" s="232">
        <v>6149</v>
      </c>
      <c r="L794" s="231">
        <v>6369</v>
      </c>
      <c r="M794" s="231"/>
      <c r="N794" s="232">
        <v>3146</v>
      </c>
      <c r="O794" s="232">
        <v>29037</v>
      </c>
      <c r="P794" s="232">
        <v>0</v>
      </c>
      <c r="Q794" s="231">
        <v>7247</v>
      </c>
      <c r="R794" s="232">
        <f t="shared" si="12"/>
        <v>49634</v>
      </c>
      <c r="S794" s="231"/>
      <c r="T794" s="232">
        <v>23995</v>
      </c>
      <c r="U794" s="233">
        <v>566</v>
      </c>
      <c r="V794" s="233">
        <v>24562</v>
      </c>
    </row>
    <row r="795" spans="1:22">
      <c r="A795" s="226">
        <v>98611</v>
      </c>
      <c r="B795" s="227" t="s">
        <v>1503</v>
      </c>
      <c r="C795" s="87">
        <v>8.6700000000000007E-5</v>
      </c>
      <c r="D795" s="87">
        <v>1.2129999999999999E-4</v>
      </c>
      <c r="E795" s="231">
        <v>43078.049999999996</v>
      </c>
      <c r="F795" s="231">
        <v>54439</v>
      </c>
      <c r="G795" s="231">
        <v>184006</v>
      </c>
      <c r="H795" s="231"/>
      <c r="I795" s="232">
        <v>3457</v>
      </c>
      <c r="J795" s="232">
        <v>161248</v>
      </c>
      <c r="K795" s="232">
        <v>12603</v>
      </c>
      <c r="L795" s="231">
        <v>4723</v>
      </c>
      <c r="M795" s="231"/>
      <c r="N795" s="232">
        <v>6448</v>
      </c>
      <c r="O795" s="232">
        <v>59516</v>
      </c>
      <c r="P795" s="232">
        <v>0</v>
      </c>
      <c r="Q795" s="231">
        <v>12848</v>
      </c>
      <c r="R795" s="232">
        <f t="shared" si="12"/>
        <v>101732</v>
      </c>
      <c r="S795" s="231"/>
      <c r="T795" s="232">
        <v>49182</v>
      </c>
      <c r="U795" s="233">
        <v>-1131</v>
      </c>
      <c r="V795" s="233">
        <v>48051</v>
      </c>
    </row>
    <row r="796" spans="1:22">
      <c r="A796" s="226">
        <v>98621</v>
      </c>
      <c r="B796" s="227" t="s">
        <v>1504</v>
      </c>
      <c r="C796" s="87">
        <v>1.3239999999999999E-4</v>
      </c>
      <c r="D796" s="87">
        <v>1.2740000000000001E-4</v>
      </c>
      <c r="E796" s="231">
        <v>45779.06</v>
      </c>
      <c r="F796" s="231">
        <v>57176</v>
      </c>
      <c r="G796" s="231">
        <v>280997</v>
      </c>
      <c r="H796" s="231"/>
      <c r="I796" s="232">
        <v>5279.45</v>
      </c>
      <c r="J796" s="232">
        <v>246243</v>
      </c>
      <c r="K796" s="232">
        <v>19246</v>
      </c>
      <c r="L796" s="231">
        <v>951</v>
      </c>
      <c r="M796" s="231"/>
      <c r="N796" s="232">
        <v>9846</v>
      </c>
      <c r="O796" s="232">
        <v>90887</v>
      </c>
      <c r="P796" s="232">
        <v>0</v>
      </c>
      <c r="Q796" s="231">
        <v>9470</v>
      </c>
      <c r="R796" s="232">
        <f t="shared" si="12"/>
        <v>155356</v>
      </c>
      <c r="S796" s="231"/>
      <c r="T796" s="232">
        <v>75106</v>
      </c>
      <c r="U796" s="233">
        <v>-2481</v>
      </c>
      <c r="V796" s="233">
        <v>72625</v>
      </c>
    </row>
    <row r="797" spans="1:22">
      <c r="A797" s="226">
        <v>98627</v>
      </c>
      <c r="B797" s="227" t="s">
        <v>1505</v>
      </c>
      <c r="C797" s="87">
        <v>9.3999999999999998E-6</v>
      </c>
      <c r="D797" s="87">
        <v>7.4000000000000003E-6</v>
      </c>
      <c r="E797" s="231">
        <v>3038.5200000000004</v>
      </c>
      <c r="F797" s="231">
        <v>3321</v>
      </c>
      <c r="G797" s="231">
        <v>19950</v>
      </c>
      <c r="H797" s="231"/>
      <c r="I797" s="232">
        <v>374.82499999999999</v>
      </c>
      <c r="J797" s="232">
        <v>17483</v>
      </c>
      <c r="K797" s="232">
        <v>1366</v>
      </c>
      <c r="L797" s="231">
        <v>426</v>
      </c>
      <c r="M797" s="231"/>
      <c r="N797" s="232">
        <v>699</v>
      </c>
      <c r="O797" s="232">
        <v>6453</v>
      </c>
      <c r="P797" s="232">
        <v>0</v>
      </c>
      <c r="Q797" s="231">
        <v>202</v>
      </c>
      <c r="R797" s="232">
        <f t="shared" si="12"/>
        <v>11030</v>
      </c>
      <c r="S797" s="231"/>
      <c r="T797" s="232">
        <v>5332</v>
      </c>
      <c r="U797" s="233">
        <v>25</v>
      </c>
      <c r="V797" s="233">
        <v>5357</v>
      </c>
    </row>
    <row r="798" spans="1:22">
      <c r="A798" s="226">
        <v>98631</v>
      </c>
      <c r="B798" s="227" t="s">
        <v>1506</v>
      </c>
      <c r="C798" s="87">
        <v>1.0415000000000001E-3</v>
      </c>
      <c r="D798" s="87">
        <v>1.1375000000000001E-3</v>
      </c>
      <c r="E798" s="231">
        <v>412487.07000000007</v>
      </c>
      <c r="F798" s="231">
        <v>510503</v>
      </c>
      <c r="G798" s="231">
        <v>2210412</v>
      </c>
      <c r="H798" s="231"/>
      <c r="I798" s="232">
        <v>41530</v>
      </c>
      <c r="J798" s="232">
        <v>1937025</v>
      </c>
      <c r="K798" s="232">
        <v>151393</v>
      </c>
      <c r="L798" s="231">
        <v>0</v>
      </c>
      <c r="M798" s="231"/>
      <c r="N798" s="232">
        <v>77455</v>
      </c>
      <c r="O798" s="232">
        <v>714946</v>
      </c>
      <c r="P798" s="232">
        <v>0</v>
      </c>
      <c r="Q798" s="231">
        <v>118586</v>
      </c>
      <c r="R798" s="232">
        <f t="shared" si="12"/>
        <v>1222079</v>
      </c>
      <c r="S798" s="231"/>
      <c r="T798" s="232">
        <v>590811</v>
      </c>
      <c r="U798" s="233">
        <v>-36690</v>
      </c>
      <c r="V798" s="233">
        <v>554121</v>
      </c>
    </row>
    <row r="799" spans="1:22">
      <c r="A799" s="226">
        <v>98637</v>
      </c>
      <c r="B799" s="227" t="s">
        <v>1507</v>
      </c>
      <c r="C799" s="87">
        <v>2.2200000000000001E-5</v>
      </c>
      <c r="D799" s="87">
        <v>2.3499999999999999E-5</v>
      </c>
      <c r="E799" s="231">
        <v>14029.520000000002</v>
      </c>
      <c r="F799" s="231">
        <v>10547</v>
      </c>
      <c r="G799" s="231">
        <v>47116</v>
      </c>
      <c r="H799" s="231"/>
      <c r="I799" s="232">
        <v>885.22500000000002</v>
      </c>
      <c r="J799" s="232">
        <v>41288</v>
      </c>
      <c r="K799" s="232">
        <v>3227</v>
      </c>
      <c r="L799" s="231">
        <v>6585</v>
      </c>
      <c r="M799" s="231"/>
      <c r="N799" s="232">
        <v>1651</v>
      </c>
      <c r="O799" s="232">
        <v>15239</v>
      </c>
      <c r="P799" s="232">
        <v>0</v>
      </c>
      <c r="Q799" s="231">
        <v>0</v>
      </c>
      <c r="R799" s="232">
        <f t="shared" si="12"/>
        <v>26049</v>
      </c>
      <c r="S799" s="231"/>
      <c r="T799" s="232">
        <v>12593</v>
      </c>
      <c r="U799" s="233">
        <v>2204</v>
      </c>
      <c r="V799" s="233">
        <v>14798</v>
      </c>
    </row>
    <row r="800" spans="1:22">
      <c r="A800" s="226">
        <v>98641</v>
      </c>
      <c r="B800" s="227" t="s">
        <v>1508</v>
      </c>
      <c r="C800" s="87">
        <v>3.0019999999999998E-4</v>
      </c>
      <c r="D800" s="87">
        <v>3.1819999999999998E-4</v>
      </c>
      <c r="E800" s="231">
        <v>122409.70999999999</v>
      </c>
      <c r="F800" s="231">
        <v>142806</v>
      </c>
      <c r="G800" s="231">
        <v>637125</v>
      </c>
      <c r="H800" s="231"/>
      <c r="I800" s="232">
        <v>11970</v>
      </c>
      <c r="J800" s="232">
        <v>558325</v>
      </c>
      <c r="K800" s="232">
        <v>43637</v>
      </c>
      <c r="L800" s="231">
        <v>4514</v>
      </c>
      <c r="M800" s="231"/>
      <c r="N800" s="232">
        <v>22326</v>
      </c>
      <c r="O800" s="232">
        <v>206075</v>
      </c>
      <c r="P800" s="232">
        <v>0</v>
      </c>
      <c r="Q800" s="231">
        <v>10581</v>
      </c>
      <c r="R800" s="232">
        <f t="shared" si="12"/>
        <v>352250</v>
      </c>
      <c r="S800" s="231"/>
      <c r="T800" s="232">
        <v>170294</v>
      </c>
      <c r="U800" s="233">
        <v>-473</v>
      </c>
      <c r="V800" s="233">
        <v>169821</v>
      </c>
    </row>
    <row r="801" spans="1:22">
      <c r="A801" s="226">
        <v>98647</v>
      </c>
      <c r="B801" s="227" t="s">
        <v>1616</v>
      </c>
      <c r="C801" s="87">
        <v>0</v>
      </c>
      <c r="D801" s="87">
        <v>1.24E-5</v>
      </c>
      <c r="E801" s="231">
        <v>0</v>
      </c>
      <c r="F801" s="231">
        <v>5565</v>
      </c>
      <c r="G801" s="231">
        <v>0</v>
      </c>
      <c r="H801" s="231"/>
      <c r="I801" s="232">
        <v>0</v>
      </c>
      <c r="J801" s="232">
        <v>0</v>
      </c>
      <c r="K801" s="232">
        <v>0</v>
      </c>
      <c r="L801" s="231">
        <v>4884</v>
      </c>
      <c r="M801" s="231"/>
      <c r="N801" s="232">
        <v>0</v>
      </c>
      <c r="O801" s="232">
        <v>0</v>
      </c>
      <c r="P801" s="232">
        <v>0</v>
      </c>
      <c r="Q801" s="231">
        <v>6717</v>
      </c>
      <c r="R801" s="232">
        <f t="shared" si="12"/>
        <v>0</v>
      </c>
      <c r="S801" s="231"/>
      <c r="T801" s="232">
        <v>0</v>
      </c>
      <c r="U801" s="233">
        <v>178</v>
      </c>
      <c r="V801" s="233">
        <v>178</v>
      </c>
    </row>
    <row r="802" spans="1:22">
      <c r="A802" s="226">
        <v>98701</v>
      </c>
      <c r="B802" s="227" t="s">
        <v>1509</v>
      </c>
      <c r="C802" s="87">
        <v>1.1793000000000001E-3</v>
      </c>
      <c r="D802" s="87">
        <v>1.0842E-3</v>
      </c>
      <c r="E802" s="231">
        <v>425946.13</v>
      </c>
      <c r="F802" s="231">
        <v>486582</v>
      </c>
      <c r="G802" s="231">
        <v>2502870</v>
      </c>
      <c r="H802" s="231"/>
      <c r="I802" s="232">
        <v>47025</v>
      </c>
      <c r="J802" s="232">
        <v>2193312</v>
      </c>
      <c r="K802" s="232">
        <v>171424</v>
      </c>
      <c r="L802" s="231">
        <v>4631</v>
      </c>
      <c r="M802" s="231"/>
      <c r="N802" s="232">
        <v>87703</v>
      </c>
      <c r="O802" s="232">
        <v>809540</v>
      </c>
      <c r="P802" s="232">
        <v>0</v>
      </c>
      <c r="Q802" s="231">
        <v>48875</v>
      </c>
      <c r="R802" s="232">
        <f t="shared" si="12"/>
        <v>1383772</v>
      </c>
      <c r="S802" s="231"/>
      <c r="T802" s="232">
        <v>668980</v>
      </c>
      <c r="U802" s="233">
        <v>-17040</v>
      </c>
      <c r="V802" s="233">
        <v>651940</v>
      </c>
    </row>
    <row r="803" spans="1:22">
      <c r="A803" s="226">
        <v>98711</v>
      </c>
      <c r="B803" s="227" t="s">
        <v>1510</v>
      </c>
      <c r="C803" s="87">
        <v>1.8039999999999999E-4</v>
      </c>
      <c r="D803" s="87">
        <v>1.7589999999999999E-4</v>
      </c>
      <c r="E803" s="231">
        <v>62579.819999999992</v>
      </c>
      <c r="F803" s="231">
        <v>78943</v>
      </c>
      <c r="G803" s="231">
        <v>382869</v>
      </c>
      <c r="H803" s="231"/>
      <c r="I803" s="232">
        <v>7193.45</v>
      </c>
      <c r="J803" s="232">
        <v>335515</v>
      </c>
      <c r="K803" s="232">
        <v>26223</v>
      </c>
      <c r="L803" s="231">
        <v>2488</v>
      </c>
      <c r="M803" s="231"/>
      <c r="N803" s="232">
        <v>13416</v>
      </c>
      <c r="O803" s="232">
        <v>123837</v>
      </c>
      <c r="P803" s="232">
        <v>0</v>
      </c>
      <c r="Q803" s="231">
        <v>10451</v>
      </c>
      <c r="R803" s="232">
        <f t="shared" si="12"/>
        <v>211678</v>
      </c>
      <c r="S803" s="231"/>
      <c r="T803" s="232">
        <v>102335</v>
      </c>
      <c r="U803" s="233">
        <v>-1808</v>
      </c>
      <c r="V803" s="233">
        <v>100527</v>
      </c>
    </row>
    <row r="804" spans="1:22">
      <c r="A804" s="226">
        <v>98717</v>
      </c>
      <c r="B804" s="227" t="s">
        <v>1511</v>
      </c>
      <c r="C804" s="87">
        <v>1.8600000000000001E-5</v>
      </c>
      <c r="D804" s="87">
        <v>1.98E-5</v>
      </c>
      <c r="E804" s="231">
        <v>7760.9400000000005</v>
      </c>
      <c r="F804" s="231">
        <v>8886</v>
      </c>
      <c r="G804" s="231">
        <v>39475</v>
      </c>
      <c r="H804" s="231"/>
      <c r="I804" s="232">
        <v>742</v>
      </c>
      <c r="J804" s="232">
        <v>34593</v>
      </c>
      <c r="K804" s="232">
        <v>2704</v>
      </c>
      <c r="L804" s="231">
        <v>783</v>
      </c>
      <c r="M804" s="231"/>
      <c r="N804" s="232">
        <v>1383</v>
      </c>
      <c r="O804" s="232">
        <v>12768</v>
      </c>
      <c r="P804" s="232">
        <v>0</v>
      </c>
      <c r="Q804" s="231">
        <v>798</v>
      </c>
      <c r="R804" s="232">
        <f t="shared" si="12"/>
        <v>21825</v>
      </c>
      <c r="S804" s="231"/>
      <c r="T804" s="232">
        <v>10551</v>
      </c>
      <c r="U804" s="233">
        <v>13</v>
      </c>
      <c r="V804" s="233">
        <v>10565</v>
      </c>
    </row>
    <row r="805" spans="1:22">
      <c r="A805" s="226">
        <v>98801</v>
      </c>
      <c r="B805" s="227" t="s">
        <v>1512</v>
      </c>
      <c r="C805" s="87">
        <v>2.1771999999999998E-3</v>
      </c>
      <c r="D805" s="87">
        <v>2.1686000000000001E-3</v>
      </c>
      <c r="E805" s="231">
        <v>916501.02000000014</v>
      </c>
      <c r="F805" s="231">
        <v>973255</v>
      </c>
      <c r="G805" s="231">
        <v>4620748</v>
      </c>
      <c r="H805" s="231"/>
      <c r="I805" s="232">
        <v>86816</v>
      </c>
      <c r="J805" s="232">
        <v>4049248</v>
      </c>
      <c r="K805" s="232">
        <v>316480</v>
      </c>
      <c r="L805" s="231">
        <v>92904</v>
      </c>
      <c r="M805" s="231"/>
      <c r="N805" s="232">
        <v>161916</v>
      </c>
      <c r="O805" s="232">
        <v>1494556</v>
      </c>
      <c r="P805" s="232">
        <v>0</v>
      </c>
      <c r="Q805" s="231">
        <v>0</v>
      </c>
      <c r="R805" s="232">
        <f t="shared" si="12"/>
        <v>2554692</v>
      </c>
      <c r="S805" s="231"/>
      <c r="T805" s="232">
        <v>1235058</v>
      </c>
      <c r="U805" s="233">
        <v>33821</v>
      </c>
      <c r="V805" s="233">
        <v>1268879</v>
      </c>
    </row>
    <row r="806" spans="1:22">
      <c r="A806" s="226">
        <v>98811</v>
      </c>
      <c r="B806" s="227" t="s">
        <v>1513</v>
      </c>
      <c r="C806" s="87">
        <v>7.1120000000000005E-4</v>
      </c>
      <c r="D806" s="87">
        <v>7.737E-4</v>
      </c>
      <c r="E806" s="231">
        <v>290528.34999999998</v>
      </c>
      <c r="F806" s="231">
        <v>347232</v>
      </c>
      <c r="G806" s="231">
        <v>1509405</v>
      </c>
      <c r="H806" s="231"/>
      <c r="I806" s="232">
        <v>28359</v>
      </c>
      <c r="J806" s="232">
        <v>1322720</v>
      </c>
      <c r="K806" s="232">
        <v>103381</v>
      </c>
      <c r="L806" s="231">
        <v>31001</v>
      </c>
      <c r="M806" s="231"/>
      <c r="N806" s="232">
        <v>52891</v>
      </c>
      <c r="O806" s="232">
        <v>488209</v>
      </c>
      <c r="P806" s="232">
        <v>0</v>
      </c>
      <c r="Q806" s="231">
        <v>35404</v>
      </c>
      <c r="R806" s="232">
        <f t="shared" si="12"/>
        <v>834511</v>
      </c>
      <c r="S806" s="231"/>
      <c r="T806" s="232">
        <v>403442</v>
      </c>
      <c r="U806" s="233">
        <v>4854</v>
      </c>
      <c r="V806" s="233">
        <v>408295</v>
      </c>
    </row>
    <row r="807" spans="1:22">
      <c r="A807" s="226">
        <v>98817</v>
      </c>
      <c r="B807" s="227" t="s">
        <v>1514</v>
      </c>
      <c r="C807" s="87">
        <v>2.34E-5</v>
      </c>
      <c r="D807" s="87">
        <v>2.6400000000000001E-5</v>
      </c>
      <c r="E807" s="231">
        <v>11958.25</v>
      </c>
      <c r="F807" s="231">
        <v>11848</v>
      </c>
      <c r="G807" s="231">
        <v>49663</v>
      </c>
      <c r="H807" s="231"/>
      <c r="I807" s="232">
        <v>933</v>
      </c>
      <c r="J807" s="232">
        <v>43520</v>
      </c>
      <c r="K807" s="232">
        <v>3401</v>
      </c>
      <c r="L807" s="231">
        <v>244</v>
      </c>
      <c r="M807" s="231"/>
      <c r="N807" s="232">
        <v>1740</v>
      </c>
      <c r="O807" s="232">
        <v>16063</v>
      </c>
      <c r="P807" s="232">
        <v>0</v>
      </c>
      <c r="Q807" s="231">
        <v>4380</v>
      </c>
      <c r="R807" s="232">
        <f t="shared" si="12"/>
        <v>27457</v>
      </c>
      <c r="S807" s="231"/>
      <c r="T807" s="232">
        <v>13274</v>
      </c>
      <c r="U807" s="233">
        <v>-2136</v>
      </c>
      <c r="V807" s="233">
        <v>11138</v>
      </c>
    </row>
    <row r="808" spans="1:22">
      <c r="A808" s="226">
        <v>98901</v>
      </c>
      <c r="B808" s="227" t="s">
        <v>1515</v>
      </c>
      <c r="C808" s="87">
        <v>3.392E-4</v>
      </c>
      <c r="D808" s="87">
        <v>3.4190000000000002E-4</v>
      </c>
      <c r="E808" s="231">
        <v>138120.55999999997</v>
      </c>
      <c r="F808" s="231">
        <v>153443</v>
      </c>
      <c r="G808" s="231">
        <v>719896</v>
      </c>
      <c r="H808" s="231"/>
      <c r="I808" s="232">
        <v>13525.6</v>
      </c>
      <c r="J808" s="232">
        <v>630858</v>
      </c>
      <c r="K808" s="232">
        <v>49306</v>
      </c>
      <c r="L808" s="231">
        <v>2099</v>
      </c>
      <c r="M808" s="231"/>
      <c r="N808" s="232">
        <v>25226</v>
      </c>
      <c r="O808" s="232">
        <v>232847</v>
      </c>
      <c r="P808" s="232">
        <v>0</v>
      </c>
      <c r="Q808" s="231">
        <v>3837</v>
      </c>
      <c r="R808" s="232">
        <f t="shared" si="12"/>
        <v>398011</v>
      </c>
      <c r="S808" s="231"/>
      <c r="T808" s="232">
        <v>192418</v>
      </c>
      <c r="U808" s="233">
        <v>-562</v>
      </c>
      <c r="V808" s="233">
        <v>191855</v>
      </c>
    </row>
    <row r="809" spans="1:22">
      <c r="A809" s="226">
        <v>98904</v>
      </c>
      <c r="B809" s="227" t="s">
        <v>1516</v>
      </c>
      <c r="C809" s="87">
        <v>5.2000000000000002E-6</v>
      </c>
      <c r="D809" s="87">
        <v>3.4000000000000001E-6</v>
      </c>
      <c r="E809" s="231">
        <v>0</v>
      </c>
      <c r="F809" s="231">
        <v>1526</v>
      </c>
      <c r="G809" s="231">
        <v>11036</v>
      </c>
      <c r="H809" s="231"/>
      <c r="I809" s="232">
        <v>207.35</v>
      </c>
      <c r="J809" s="232">
        <v>9671</v>
      </c>
      <c r="K809" s="232">
        <v>756</v>
      </c>
      <c r="L809" s="231">
        <v>575</v>
      </c>
      <c r="M809" s="231"/>
      <c r="N809" s="232">
        <v>387</v>
      </c>
      <c r="O809" s="232">
        <v>3570</v>
      </c>
      <c r="P809" s="232">
        <v>0</v>
      </c>
      <c r="Q809" s="231">
        <v>723</v>
      </c>
      <c r="R809" s="232">
        <f t="shared" si="12"/>
        <v>6101</v>
      </c>
      <c r="S809" s="231"/>
      <c r="T809" s="232">
        <v>2950</v>
      </c>
      <c r="U809" s="233">
        <v>22</v>
      </c>
      <c r="V809" s="233">
        <v>2972</v>
      </c>
    </row>
    <row r="810" spans="1:22">
      <c r="A810" s="226">
        <v>98911</v>
      </c>
      <c r="B810" s="227" t="s">
        <v>1517</v>
      </c>
      <c r="C810" s="87">
        <v>2.8600000000000001E-5</v>
      </c>
      <c r="D810" s="87">
        <v>2.5899999999999999E-5</v>
      </c>
      <c r="E810" s="231">
        <v>16745.140000000003</v>
      </c>
      <c r="F810" s="231">
        <v>11624</v>
      </c>
      <c r="G810" s="231">
        <v>60699</v>
      </c>
      <c r="H810" s="231"/>
      <c r="I810" s="232">
        <v>1140.425</v>
      </c>
      <c r="J810" s="232">
        <v>53191</v>
      </c>
      <c r="K810" s="232">
        <v>4157</v>
      </c>
      <c r="L810" s="231">
        <v>13795</v>
      </c>
      <c r="M810" s="231"/>
      <c r="N810" s="232">
        <v>2127</v>
      </c>
      <c r="O810" s="232">
        <v>19633</v>
      </c>
      <c r="P810" s="232">
        <v>0</v>
      </c>
      <c r="Q810" s="231">
        <v>0</v>
      </c>
      <c r="R810" s="232">
        <f t="shared" si="12"/>
        <v>33558</v>
      </c>
      <c r="S810" s="231"/>
      <c r="T810" s="232">
        <v>16224</v>
      </c>
      <c r="U810" s="233">
        <v>4655</v>
      </c>
      <c r="V810" s="233">
        <v>20879</v>
      </c>
    </row>
    <row r="811" spans="1:22">
      <c r="A811" s="226">
        <v>99001</v>
      </c>
      <c r="B811" s="227" t="s">
        <v>1518</v>
      </c>
      <c r="C811" s="87">
        <v>7.8098999999999998E-3</v>
      </c>
      <c r="D811" s="87">
        <v>7.5116999999999996E-3</v>
      </c>
      <c r="E811" s="231">
        <v>3132307.8499999996</v>
      </c>
      <c r="F811" s="231">
        <v>3371206</v>
      </c>
      <c r="G811" s="231">
        <v>16575224</v>
      </c>
      <c r="H811" s="231"/>
      <c r="I811" s="232">
        <v>311420</v>
      </c>
      <c r="J811" s="232">
        <v>14525180</v>
      </c>
      <c r="K811" s="232">
        <v>1135255</v>
      </c>
      <c r="L811" s="231">
        <v>444444</v>
      </c>
      <c r="M811" s="231"/>
      <c r="N811" s="232">
        <v>580814</v>
      </c>
      <c r="O811" s="232">
        <v>5361168</v>
      </c>
      <c r="P811" s="232">
        <v>0</v>
      </c>
      <c r="Q811" s="231">
        <v>0</v>
      </c>
      <c r="R811" s="232">
        <f t="shared" si="12"/>
        <v>9164012</v>
      </c>
      <c r="S811" s="231"/>
      <c r="T811" s="232">
        <v>4430314</v>
      </c>
      <c r="U811" s="233">
        <v>166582</v>
      </c>
      <c r="V811" s="233">
        <v>4596896</v>
      </c>
    </row>
    <row r="812" spans="1:22">
      <c r="A812" s="226">
        <v>99011</v>
      </c>
      <c r="B812" s="227" t="s">
        <v>1519</v>
      </c>
      <c r="C812" s="87">
        <v>3.9039000000000001E-3</v>
      </c>
      <c r="D812" s="87">
        <v>4.3128999999999997E-3</v>
      </c>
      <c r="E812" s="231">
        <v>1564249.0799999998</v>
      </c>
      <c r="F812" s="231">
        <v>1935604</v>
      </c>
      <c r="G812" s="231">
        <v>8285384</v>
      </c>
      <c r="H812" s="231"/>
      <c r="I812" s="232">
        <v>155668</v>
      </c>
      <c r="J812" s="232">
        <v>7260637</v>
      </c>
      <c r="K812" s="232">
        <v>567475</v>
      </c>
      <c r="L812" s="231">
        <v>0</v>
      </c>
      <c r="M812" s="231"/>
      <c r="N812" s="232">
        <v>290329</v>
      </c>
      <c r="O812" s="232">
        <v>2679863</v>
      </c>
      <c r="P812" s="232">
        <v>0</v>
      </c>
      <c r="Q812" s="231">
        <v>573396</v>
      </c>
      <c r="R812" s="232">
        <f t="shared" si="12"/>
        <v>4580774</v>
      </c>
      <c r="S812" s="231"/>
      <c r="T812" s="232">
        <v>2214561</v>
      </c>
      <c r="U812" s="233">
        <v>-205801</v>
      </c>
      <c r="V812" s="233">
        <v>2008761</v>
      </c>
    </row>
    <row r="813" spans="1:22">
      <c r="A813" s="226">
        <v>99013</v>
      </c>
      <c r="B813" s="227" t="s">
        <v>1520</v>
      </c>
      <c r="C813" s="87">
        <v>6.02E-5</v>
      </c>
      <c r="D813" s="87">
        <v>7.2299999999999996E-5</v>
      </c>
      <c r="E813" s="231">
        <v>23490.16</v>
      </c>
      <c r="F813" s="231">
        <v>32448</v>
      </c>
      <c r="G813" s="231">
        <v>127765</v>
      </c>
      <c r="H813" s="231"/>
      <c r="I813" s="232">
        <v>2400.4749999999999</v>
      </c>
      <c r="J813" s="232">
        <v>111962</v>
      </c>
      <c r="K813" s="232">
        <v>8751</v>
      </c>
      <c r="L813" s="231">
        <v>20</v>
      </c>
      <c r="M813" s="231"/>
      <c r="N813" s="232">
        <v>4477</v>
      </c>
      <c r="O813" s="232">
        <v>41325</v>
      </c>
      <c r="P813" s="232">
        <v>0</v>
      </c>
      <c r="Q813" s="231">
        <v>8750</v>
      </c>
      <c r="R813" s="232">
        <f t="shared" si="12"/>
        <v>70637</v>
      </c>
      <c r="S813" s="231"/>
      <c r="T813" s="232">
        <v>34150</v>
      </c>
      <c r="U813" s="233">
        <v>-2370</v>
      </c>
      <c r="V813" s="233">
        <v>31779</v>
      </c>
    </row>
    <row r="814" spans="1:22">
      <c r="A814" s="226">
        <v>99014</v>
      </c>
      <c r="B814" s="227" t="s">
        <v>1521</v>
      </c>
      <c r="C814" s="87">
        <v>2.4199999999999999E-5</v>
      </c>
      <c r="D814" s="87">
        <v>0</v>
      </c>
      <c r="E814" s="231">
        <v>13216.55</v>
      </c>
      <c r="F814" s="231">
        <v>0</v>
      </c>
      <c r="G814" s="231">
        <v>51361</v>
      </c>
      <c r="H814" s="231"/>
      <c r="I814" s="232">
        <v>965</v>
      </c>
      <c r="J814" s="232">
        <v>45008</v>
      </c>
      <c r="K814" s="232">
        <v>3518</v>
      </c>
      <c r="L814" s="231">
        <v>15702</v>
      </c>
      <c r="M814" s="231"/>
      <c r="N814" s="232">
        <v>1800</v>
      </c>
      <c r="O814" s="232">
        <v>16612</v>
      </c>
      <c r="P814" s="232">
        <v>0</v>
      </c>
      <c r="Q814" s="231">
        <v>0</v>
      </c>
      <c r="R814" s="232">
        <f t="shared" si="12"/>
        <v>28396</v>
      </c>
      <c r="S814" s="231"/>
      <c r="T814" s="232">
        <v>13728</v>
      </c>
      <c r="U814" s="233">
        <v>4068</v>
      </c>
      <c r="V814" s="233">
        <v>17796</v>
      </c>
    </row>
    <row r="815" spans="1:22">
      <c r="A815" s="226">
        <v>99017</v>
      </c>
      <c r="B815" s="227" t="s">
        <v>1522</v>
      </c>
      <c r="C815" s="87">
        <v>4.6999999999999997E-5</v>
      </c>
      <c r="D815" s="87">
        <v>4.1199999999999999E-5</v>
      </c>
      <c r="E815" s="231">
        <v>19640.829999999998</v>
      </c>
      <c r="F815" s="231">
        <v>18490</v>
      </c>
      <c r="G815" s="231">
        <v>99750</v>
      </c>
      <c r="H815" s="231"/>
      <c r="I815" s="232">
        <v>1874.125</v>
      </c>
      <c r="J815" s="232">
        <v>87413</v>
      </c>
      <c r="K815" s="232">
        <v>6832</v>
      </c>
      <c r="L815" s="231">
        <v>5674</v>
      </c>
      <c r="M815" s="231"/>
      <c r="N815" s="232">
        <v>3495</v>
      </c>
      <c r="O815" s="232">
        <v>32264</v>
      </c>
      <c r="P815" s="232">
        <v>0</v>
      </c>
      <c r="Q815" s="231">
        <v>6645</v>
      </c>
      <c r="R815" s="232">
        <f t="shared" si="12"/>
        <v>55149</v>
      </c>
      <c r="S815" s="231"/>
      <c r="T815" s="232">
        <v>26662</v>
      </c>
      <c r="U815" s="233">
        <v>-1651</v>
      </c>
      <c r="V815" s="233">
        <v>25011</v>
      </c>
    </row>
    <row r="816" spans="1:22">
      <c r="A816" s="226">
        <v>99021</v>
      </c>
      <c r="B816" s="227" t="s">
        <v>1523</v>
      </c>
      <c r="C816" s="87">
        <v>1.3420000000000001E-4</v>
      </c>
      <c r="D816" s="87">
        <v>1.3990000000000001E-4</v>
      </c>
      <c r="E816" s="231">
        <v>57840.069999999992</v>
      </c>
      <c r="F816" s="231">
        <v>62786</v>
      </c>
      <c r="G816" s="231">
        <v>284817</v>
      </c>
      <c r="H816" s="231"/>
      <c r="I816" s="232">
        <v>5351</v>
      </c>
      <c r="J816" s="232">
        <v>249591</v>
      </c>
      <c r="K816" s="232">
        <v>19507</v>
      </c>
      <c r="L816" s="231">
        <v>5869</v>
      </c>
      <c r="M816" s="231"/>
      <c r="N816" s="232">
        <v>9980</v>
      </c>
      <c r="O816" s="232">
        <v>92123</v>
      </c>
      <c r="P816" s="232">
        <v>0</v>
      </c>
      <c r="Q816" s="231">
        <v>982</v>
      </c>
      <c r="R816" s="232">
        <f t="shared" si="12"/>
        <v>157468</v>
      </c>
      <c r="S816" s="231"/>
      <c r="T816" s="232">
        <v>76127</v>
      </c>
      <c r="U816" s="233">
        <v>1992</v>
      </c>
      <c r="V816" s="233">
        <v>78120</v>
      </c>
    </row>
    <row r="817" spans="1:22">
      <c r="A817" s="226">
        <v>99022</v>
      </c>
      <c r="B817" s="227" t="s">
        <v>211</v>
      </c>
      <c r="C817" s="87">
        <v>1.1800000000000001E-5</v>
      </c>
      <c r="D817" s="87">
        <v>1.33E-5</v>
      </c>
      <c r="E817" s="231">
        <v>10517.039999999999</v>
      </c>
      <c r="F817" s="231">
        <v>5969</v>
      </c>
      <c r="G817" s="231">
        <v>25044</v>
      </c>
      <c r="H817" s="231"/>
      <c r="I817" s="232">
        <v>471</v>
      </c>
      <c r="J817" s="232">
        <v>21946</v>
      </c>
      <c r="K817" s="232">
        <v>1715</v>
      </c>
      <c r="L817" s="231">
        <v>6383</v>
      </c>
      <c r="M817" s="231"/>
      <c r="N817" s="232">
        <v>878</v>
      </c>
      <c r="O817" s="232">
        <v>8100</v>
      </c>
      <c r="P817" s="232">
        <v>0</v>
      </c>
      <c r="Q817" s="231">
        <v>264.67</v>
      </c>
      <c r="R817" s="232">
        <f t="shared" si="12"/>
        <v>13846</v>
      </c>
      <c r="S817" s="231"/>
      <c r="T817" s="232">
        <v>6694</v>
      </c>
      <c r="U817" s="233">
        <v>1778</v>
      </c>
      <c r="V817" s="233">
        <v>8472</v>
      </c>
    </row>
    <row r="818" spans="1:22">
      <c r="A818" s="226">
        <v>99031</v>
      </c>
      <c r="B818" s="227" t="s">
        <v>1524</v>
      </c>
      <c r="C818" s="87">
        <v>1.5970000000000001E-4</v>
      </c>
      <c r="D818" s="87">
        <v>1.2860000000000001E-4</v>
      </c>
      <c r="E818" s="231">
        <v>49298.680000000008</v>
      </c>
      <c r="F818" s="231">
        <v>57715</v>
      </c>
      <c r="G818" s="231">
        <v>338937</v>
      </c>
      <c r="H818" s="231"/>
      <c r="I818" s="232">
        <v>6368</v>
      </c>
      <c r="J818" s="232">
        <v>297017</v>
      </c>
      <c r="K818" s="232">
        <v>23214</v>
      </c>
      <c r="L818" s="231">
        <v>3840</v>
      </c>
      <c r="M818" s="231"/>
      <c r="N818" s="232">
        <v>11877</v>
      </c>
      <c r="O818" s="232">
        <v>109627</v>
      </c>
      <c r="P818" s="232">
        <v>0</v>
      </c>
      <c r="Q818" s="231">
        <v>20151</v>
      </c>
      <c r="R818" s="232">
        <f t="shared" si="12"/>
        <v>187390</v>
      </c>
      <c r="S818" s="231"/>
      <c r="T818" s="232">
        <v>90593</v>
      </c>
      <c r="U818" s="233">
        <v>-8432</v>
      </c>
      <c r="V818" s="233">
        <v>82161</v>
      </c>
    </row>
    <row r="819" spans="1:22">
      <c r="A819" s="226">
        <v>99041</v>
      </c>
      <c r="B819" s="227" t="s">
        <v>1525</v>
      </c>
      <c r="C819" s="87">
        <v>5.6289999999999997E-4</v>
      </c>
      <c r="D819" s="87">
        <v>5.0670000000000001E-4</v>
      </c>
      <c r="E819" s="231">
        <v>202619.00999999998</v>
      </c>
      <c r="F819" s="231">
        <v>227404</v>
      </c>
      <c r="G819" s="231">
        <v>1194662</v>
      </c>
      <c r="H819" s="231"/>
      <c r="I819" s="232">
        <v>22446</v>
      </c>
      <c r="J819" s="232">
        <v>1046905</v>
      </c>
      <c r="K819" s="232">
        <v>81824</v>
      </c>
      <c r="L819" s="231">
        <v>59009</v>
      </c>
      <c r="M819" s="231"/>
      <c r="N819" s="232">
        <v>41862</v>
      </c>
      <c r="O819" s="232">
        <v>386407</v>
      </c>
      <c r="P819" s="232">
        <v>0</v>
      </c>
      <c r="Q819" s="231">
        <v>0</v>
      </c>
      <c r="R819" s="232">
        <f t="shared" si="12"/>
        <v>660498</v>
      </c>
      <c r="S819" s="231"/>
      <c r="T819" s="232">
        <v>319316</v>
      </c>
      <c r="U819" s="233">
        <v>24415</v>
      </c>
      <c r="V819" s="233">
        <v>343731</v>
      </c>
    </row>
    <row r="820" spans="1:22">
      <c r="A820" s="226">
        <v>99047</v>
      </c>
      <c r="B820" s="227" t="s">
        <v>1526</v>
      </c>
      <c r="C820" s="87">
        <v>9.2E-6</v>
      </c>
      <c r="D820" s="87">
        <v>1.19E-5</v>
      </c>
      <c r="E820" s="231">
        <v>6482.9800000000005</v>
      </c>
      <c r="F820" s="231">
        <v>5341</v>
      </c>
      <c r="G820" s="231">
        <v>19525</v>
      </c>
      <c r="H820" s="231"/>
      <c r="I820" s="232">
        <v>366.85</v>
      </c>
      <c r="J820" s="232">
        <v>17111</v>
      </c>
      <c r="K820" s="232">
        <v>1337</v>
      </c>
      <c r="L820" s="231">
        <v>3322</v>
      </c>
      <c r="M820" s="231"/>
      <c r="N820" s="232">
        <v>684</v>
      </c>
      <c r="O820" s="232">
        <v>6315</v>
      </c>
      <c r="P820" s="232">
        <v>0</v>
      </c>
      <c r="Q820" s="231">
        <v>0</v>
      </c>
      <c r="R820" s="232">
        <f t="shared" si="12"/>
        <v>10796</v>
      </c>
      <c r="S820" s="231"/>
      <c r="T820" s="232">
        <v>5219</v>
      </c>
      <c r="U820" s="233">
        <v>1258</v>
      </c>
      <c r="V820" s="233">
        <v>6477</v>
      </c>
    </row>
    <row r="821" spans="1:22">
      <c r="A821" s="226">
        <v>99051</v>
      </c>
      <c r="B821" s="227" t="s">
        <v>1527</v>
      </c>
      <c r="C821" s="87">
        <v>3.3349999999999997E-4</v>
      </c>
      <c r="D821" s="87">
        <v>2.8449999999999998E-4</v>
      </c>
      <c r="E821" s="231">
        <v>116232.29000000001</v>
      </c>
      <c r="F821" s="231">
        <v>127682</v>
      </c>
      <c r="G821" s="231">
        <v>707799</v>
      </c>
      <c r="H821" s="231"/>
      <c r="I821" s="232">
        <v>13298</v>
      </c>
      <c r="J821" s="232">
        <v>620257</v>
      </c>
      <c r="K821" s="232">
        <v>48478</v>
      </c>
      <c r="L821" s="231">
        <v>16843</v>
      </c>
      <c r="M821" s="231"/>
      <c r="N821" s="232">
        <v>24802</v>
      </c>
      <c r="O821" s="232">
        <v>228934</v>
      </c>
      <c r="P821" s="232">
        <v>0</v>
      </c>
      <c r="Q821" s="231">
        <v>0</v>
      </c>
      <c r="R821" s="232">
        <f t="shared" si="12"/>
        <v>391323</v>
      </c>
      <c r="S821" s="231"/>
      <c r="T821" s="232">
        <v>189184</v>
      </c>
      <c r="U821" s="233">
        <v>5410</v>
      </c>
      <c r="V821" s="233">
        <v>194594</v>
      </c>
    </row>
    <row r="822" spans="1:22">
      <c r="A822" s="226">
        <v>99061</v>
      </c>
      <c r="B822" s="227" t="s">
        <v>1528</v>
      </c>
      <c r="C822" s="87">
        <v>8.3999999999999992E-6</v>
      </c>
      <c r="D822" s="87">
        <v>8.8000000000000004E-6</v>
      </c>
      <c r="E822" s="231">
        <v>7400.82</v>
      </c>
      <c r="F822" s="231">
        <v>3949</v>
      </c>
      <c r="G822" s="231">
        <v>17828</v>
      </c>
      <c r="H822" s="231"/>
      <c r="I822" s="232">
        <v>334.95</v>
      </c>
      <c r="J822" s="232">
        <v>15623</v>
      </c>
      <c r="K822" s="232">
        <v>1221</v>
      </c>
      <c r="L822" s="231">
        <v>6023</v>
      </c>
      <c r="M822" s="231"/>
      <c r="N822" s="232">
        <v>625</v>
      </c>
      <c r="O822" s="232">
        <v>5766</v>
      </c>
      <c r="P822" s="232">
        <v>0</v>
      </c>
      <c r="Q822" s="231">
        <v>0</v>
      </c>
      <c r="R822" s="232">
        <f t="shared" si="12"/>
        <v>9857</v>
      </c>
      <c r="S822" s="231"/>
      <c r="T822" s="232">
        <v>4765</v>
      </c>
      <c r="U822" s="233">
        <v>1888</v>
      </c>
      <c r="V822" s="233">
        <v>6653</v>
      </c>
    </row>
    <row r="823" spans="1:22">
      <c r="A823" s="226">
        <v>99071</v>
      </c>
      <c r="B823" s="227" t="s">
        <v>1529</v>
      </c>
      <c r="C823" s="87">
        <v>3.0499999999999999E-5</v>
      </c>
      <c r="D823" s="87">
        <v>3.9799999999999998E-5</v>
      </c>
      <c r="E823" s="231">
        <v>18014.939999999995</v>
      </c>
      <c r="F823" s="231">
        <v>17862</v>
      </c>
      <c r="G823" s="231">
        <v>64731</v>
      </c>
      <c r="H823" s="231"/>
      <c r="I823" s="232">
        <v>1216.1875</v>
      </c>
      <c r="J823" s="232">
        <v>56725</v>
      </c>
      <c r="K823" s="232">
        <v>4434</v>
      </c>
      <c r="L823" s="231">
        <v>0</v>
      </c>
      <c r="M823" s="231"/>
      <c r="N823" s="232">
        <v>2268</v>
      </c>
      <c r="O823" s="232">
        <v>20937</v>
      </c>
      <c r="P823" s="232">
        <v>0</v>
      </c>
      <c r="Q823" s="231">
        <v>3405</v>
      </c>
      <c r="R823" s="232">
        <f t="shared" si="12"/>
        <v>35788</v>
      </c>
      <c r="S823" s="231"/>
      <c r="T823" s="232">
        <v>17302</v>
      </c>
      <c r="U823" s="233">
        <v>-1312</v>
      </c>
      <c r="V823" s="233">
        <v>15990</v>
      </c>
    </row>
    <row r="824" spans="1:22">
      <c r="A824" s="226">
        <v>99081</v>
      </c>
      <c r="B824" s="227" t="s">
        <v>1530</v>
      </c>
      <c r="C824" s="87">
        <v>2.9600000000000001E-5</v>
      </c>
      <c r="D824" s="87">
        <v>3.6999999999999998E-5</v>
      </c>
      <c r="E824" s="231">
        <v>11739.53</v>
      </c>
      <c r="F824" s="231">
        <v>16605</v>
      </c>
      <c r="G824" s="231">
        <v>62821</v>
      </c>
      <c r="H824" s="231"/>
      <c r="I824" s="232">
        <v>1180.3</v>
      </c>
      <c r="J824" s="232">
        <v>55051</v>
      </c>
      <c r="K824" s="232">
        <v>4303</v>
      </c>
      <c r="L824" s="231">
        <v>5558</v>
      </c>
      <c r="M824" s="231"/>
      <c r="N824" s="232">
        <v>2201</v>
      </c>
      <c r="O824" s="232">
        <v>20319</v>
      </c>
      <c r="P824" s="232">
        <v>0</v>
      </c>
      <c r="Q824" s="231">
        <v>7640</v>
      </c>
      <c r="R824" s="232">
        <f t="shared" si="12"/>
        <v>34732</v>
      </c>
      <c r="S824" s="231"/>
      <c r="T824" s="232">
        <v>16791</v>
      </c>
      <c r="U824" s="233">
        <v>-809</v>
      </c>
      <c r="V824" s="233">
        <v>15982</v>
      </c>
    </row>
    <row r="825" spans="1:22">
      <c r="A825" s="226">
        <v>99091</v>
      </c>
      <c r="B825" s="227" t="s">
        <v>1531</v>
      </c>
      <c r="C825" s="87">
        <v>4.1999999999999996E-6</v>
      </c>
      <c r="D825" s="87">
        <v>4.7999999999999998E-6</v>
      </c>
      <c r="E825" s="231">
        <v>4170.01</v>
      </c>
      <c r="F825" s="231">
        <v>2154</v>
      </c>
      <c r="G825" s="231">
        <v>8914</v>
      </c>
      <c r="H825" s="231"/>
      <c r="I825" s="232">
        <v>167.47499999999999</v>
      </c>
      <c r="J825" s="232">
        <v>7811</v>
      </c>
      <c r="K825" s="232">
        <v>611</v>
      </c>
      <c r="L825" s="231">
        <v>2618</v>
      </c>
      <c r="M825" s="231"/>
      <c r="N825" s="232">
        <v>312</v>
      </c>
      <c r="O825" s="232">
        <v>2883</v>
      </c>
      <c r="P825" s="232">
        <v>0</v>
      </c>
      <c r="Q825" s="231">
        <v>6497.35</v>
      </c>
      <c r="R825" s="232">
        <f t="shared" si="12"/>
        <v>4928</v>
      </c>
      <c r="S825" s="231"/>
      <c r="T825" s="232">
        <v>2383</v>
      </c>
      <c r="U825" s="233">
        <v>-2491</v>
      </c>
      <c r="V825" s="233">
        <v>-108</v>
      </c>
    </row>
    <row r="826" spans="1:22">
      <c r="A826" s="226">
        <v>99101</v>
      </c>
      <c r="B826" s="227" t="s">
        <v>1532</v>
      </c>
      <c r="C826" s="87">
        <v>2.0087999999999998E-3</v>
      </c>
      <c r="D826" s="87">
        <v>2.026E-3</v>
      </c>
      <c r="E826" s="231">
        <v>792557.39</v>
      </c>
      <c r="F826" s="231">
        <v>909257</v>
      </c>
      <c r="G826" s="231">
        <v>4263347</v>
      </c>
      <c r="H826" s="231"/>
      <c r="I826" s="232">
        <v>80101</v>
      </c>
      <c r="J826" s="232">
        <v>3736051</v>
      </c>
      <c r="K826" s="232">
        <v>292001</v>
      </c>
      <c r="L826" s="231">
        <v>7868</v>
      </c>
      <c r="M826" s="231"/>
      <c r="N826" s="232">
        <v>149392</v>
      </c>
      <c r="O826" s="232">
        <v>1378957</v>
      </c>
      <c r="P826" s="232">
        <v>0</v>
      </c>
      <c r="Q826" s="231">
        <v>72656</v>
      </c>
      <c r="R826" s="232">
        <f t="shared" si="12"/>
        <v>2357094</v>
      </c>
      <c r="S826" s="231"/>
      <c r="T826" s="232">
        <v>1139530</v>
      </c>
      <c r="U826" s="233">
        <v>-24965</v>
      </c>
      <c r="V826" s="233">
        <v>1114565</v>
      </c>
    </row>
    <row r="827" spans="1:22">
      <c r="A827" s="226">
        <v>99104</v>
      </c>
      <c r="B827" s="227" t="s">
        <v>1533</v>
      </c>
      <c r="C827" s="87">
        <v>3.4799999999999999E-5</v>
      </c>
      <c r="D827" s="87">
        <v>2.55E-5</v>
      </c>
      <c r="E827" s="231">
        <v>18414.219999999998</v>
      </c>
      <c r="F827" s="231">
        <v>11444</v>
      </c>
      <c r="G827" s="231">
        <v>73857</v>
      </c>
      <c r="H827" s="231"/>
      <c r="I827" s="232">
        <v>1388</v>
      </c>
      <c r="J827" s="232">
        <v>64723</v>
      </c>
      <c r="K827" s="232">
        <v>5059</v>
      </c>
      <c r="L827" s="231">
        <v>14979</v>
      </c>
      <c r="M827" s="231"/>
      <c r="N827" s="232">
        <v>2588</v>
      </c>
      <c r="O827" s="232">
        <v>23889</v>
      </c>
      <c r="P827" s="232">
        <v>0</v>
      </c>
      <c r="Q827" s="231">
        <v>0</v>
      </c>
      <c r="R827" s="232">
        <f t="shared" si="12"/>
        <v>40834</v>
      </c>
      <c r="S827" s="231"/>
      <c r="T827" s="232">
        <v>19741</v>
      </c>
      <c r="U827" s="233">
        <v>4886</v>
      </c>
      <c r="V827" s="233">
        <v>24627</v>
      </c>
    </row>
    <row r="828" spans="1:22">
      <c r="A828" s="226">
        <v>99109</v>
      </c>
      <c r="B828" s="227" t="s">
        <v>1534</v>
      </c>
      <c r="C828" s="87">
        <v>1.1849999999999999E-4</v>
      </c>
      <c r="D828" s="87">
        <v>1.4129999999999999E-4</v>
      </c>
      <c r="E828" s="231">
        <v>48014.54</v>
      </c>
      <c r="F828" s="231">
        <v>63415</v>
      </c>
      <c r="G828" s="231">
        <v>251497</v>
      </c>
      <c r="H828" s="231"/>
      <c r="I828" s="232">
        <v>4725.1875</v>
      </c>
      <c r="J828" s="232">
        <v>220391</v>
      </c>
      <c r="K828" s="232">
        <v>17225</v>
      </c>
      <c r="L828" s="231">
        <v>5297</v>
      </c>
      <c r="M828" s="231"/>
      <c r="N828" s="232">
        <v>8813</v>
      </c>
      <c r="O828" s="232">
        <v>81345</v>
      </c>
      <c r="P828" s="232">
        <v>0</v>
      </c>
      <c r="Q828" s="231">
        <v>22236</v>
      </c>
      <c r="R828" s="232">
        <f t="shared" si="12"/>
        <v>139046</v>
      </c>
      <c r="S828" s="231"/>
      <c r="T828" s="232">
        <v>67221</v>
      </c>
      <c r="U828" s="233">
        <v>-6150</v>
      </c>
      <c r="V828" s="233">
        <v>61071</v>
      </c>
    </row>
    <row r="829" spans="1:22">
      <c r="A829" s="226">
        <v>99110</v>
      </c>
      <c r="B829" s="227" t="s">
        <v>1535</v>
      </c>
      <c r="C829" s="87">
        <v>1.8369999999999999E-4</v>
      </c>
      <c r="D829" s="87">
        <v>1.728E-4</v>
      </c>
      <c r="E829" s="231">
        <v>101917.56000000001</v>
      </c>
      <c r="F829" s="231">
        <v>77552</v>
      </c>
      <c r="G829" s="231">
        <v>389873</v>
      </c>
      <c r="H829" s="231"/>
      <c r="I829" s="232">
        <v>7325</v>
      </c>
      <c r="J829" s="232">
        <v>341653</v>
      </c>
      <c r="K829" s="232">
        <v>26703</v>
      </c>
      <c r="L829" s="231">
        <v>63672</v>
      </c>
      <c r="M829" s="231"/>
      <c r="N829" s="232">
        <v>13662</v>
      </c>
      <c r="O829" s="232">
        <v>126102</v>
      </c>
      <c r="P829" s="232">
        <v>0</v>
      </c>
      <c r="Q829" s="231">
        <v>0</v>
      </c>
      <c r="R829" s="232">
        <f t="shared" si="12"/>
        <v>215551</v>
      </c>
      <c r="S829" s="231"/>
      <c r="T829" s="232">
        <v>104207</v>
      </c>
      <c r="U829" s="233">
        <v>21007</v>
      </c>
      <c r="V829" s="233">
        <v>125214</v>
      </c>
    </row>
    <row r="830" spans="1:22">
      <c r="A830" s="226">
        <v>99111</v>
      </c>
      <c r="B830" s="227" t="s">
        <v>1536</v>
      </c>
      <c r="C830" s="87">
        <v>1.2757000000000001E-3</v>
      </c>
      <c r="D830" s="87">
        <v>1.3278000000000001E-3</v>
      </c>
      <c r="E830" s="231">
        <v>486450.51999999996</v>
      </c>
      <c r="F830" s="231">
        <v>595909</v>
      </c>
      <c r="G830" s="231">
        <v>2707463</v>
      </c>
      <c r="H830" s="231"/>
      <c r="I830" s="232">
        <v>50869</v>
      </c>
      <c r="J830" s="232">
        <v>2372600</v>
      </c>
      <c r="K830" s="232">
        <v>185437</v>
      </c>
      <c r="L830" s="231">
        <v>0</v>
      </c>
      <c r="M830" s="231"/>
      <c r="N830" s="232">
        <v>94873</v>
      </c>
      <c r="O830" s="232">
        <v>875714</v>
      </c>
      <c r="P830" s="232">
        <v>0</v>
      </c>
      <c r="Q830" s="231">
        <v>165116</v>
      </c>
      <c r="R830" s="232">
        <f t="shared" si="12"/>
        <v>1496886</v>
      </c>
      <c r="S830" s="231"/>
      <c r="T830" s="232">
        <v>723665</v>
      </c>
      <c r="U830" s="233">
        <v>-59086</v>
      </c>
      <c r="V830" s="233">
        <v>664579</v>
      </c>
    </row>
    <row r="831" spans="1:22">
      <c r="A831" s="226">
        <v>99201</v>
      </c>
      <c r="B831" s="227" t="s">
        <v>1537</v>
      </c>
      <c r="C831" s="87">
        <v>3.22145E-2</v>
      </c>
      <c r="D831" s="87">
        <v>3.0831399999999998E-2</v>
      </c>
      <c r="E831" s="231">
        <v>12898805.330000002</v>
      </c>
      <c r="F831" s="231">
        <v>13836947</v>
      </c>
      <c r="G831" s="231">
        <v>68369961</v>
      </c>
      <c r="H831" s="231"/>
      <c r="I831" s="232">
        <v>1284553</v>
      </c>
      <c r="J831" s="232">
        <v>59913880</v>
      </c>
      <c r="K831" s="232">
        <v>4682732</v>
      </c>
      <c r="L831" s="231">
        <v>1101849</v>
      </c>
      <c r="M831" s="231"/>
      <c r="N831" s="232">
        <v>2395760</v>
      </c>
      <c r="O831" s="232">
        <v>22113901</v>
      </c>
      <c r="P831" s="232">
        <v>0</v>
      </c>
      <c r="Q831" s="231">
        <v>485474</v>
      </c>
      <c r="R831" s="232">
        <f t="shared" si="12"/>
        <v>37799979</v>
      </c>
      <c r="S831" s="231"/>
      <c r="T831" s="232">
        <v>18274287</v>
      </c>
      <c r="U831" s="233">
        <v>101682</v>
      </c>
      <c r="V831" s="233">
        <v>18375969</v>
      </c>
    </row>
    <row r="832" spans="1:22">
      <c r="A832" s="226">
        <v>99202</v>
      </c>
      <c r="B832" s="227" t="s">
        <v>1538</v>
      </c>
      <c r="C832" s="87">
        <v>2.5138000000000001E-3</v>
      </c>
      <c r="D832" s="87">
        <v>2.6002999999999998E-3</v>
      </c>
      <c r="E832" s="231">
        <v>915265.74000000011</v>
      </c>
      <c r="F832" s="231">
        <v>1166999</v>
      </c>
      <c r="G832" s="231">
        <v>5335126</v>
      </c>
      <c r="H832" s="231"/>
      <c r="I832" s="232">
        <v>100238</v>
      </c>
      <c r="J832" s="232">
        <v>4675271</v>
      </c>
      <c r="K832" s="232">
        <v>365408</v>
      </c>
      <c r="L832" s="231">
        <v>0</v>
      </c>
      <c r="M832" s="231"/>
      <c r="N832" s="232">
        <v>186949</v>
      </c>
      <c r="O832" s="232">
        <v>1725618</v>
      </c>
      <c r="P832" s="232">
        <v>0</v>
      </c>
      <c r="Q832" s="231">
        <v>202410</v>
      </c>
      <c r="R832" s="232">
        <f t="shared" si="12"/>
        <v>2949653</v>
      </c>
      <c r="S832" s="231"/>
      <c r="T832" s="232">
        <v>1426001</v>
      </c>
      <c r="U832" s="233">
        <v>-62123</v>
      </c>
      <c r="V832" s="233">
        <v>1363878</v>
      </c>
    </row>
    <row r="833" spans="1:22">
      <c r="A833" s="226">
        <v>99203</v>
      </c>
      <c r="B833" s="227" t="s">
        <v>1539</v>
      </c>
      <c r="C833" s="87">
        <v>3.1990000000000002E-4</v>
      </c>
      <c r="D833" s="87">
        <v>2.5050000000000002E-4</v>
      </c>
      <c r="E833" s="231">
        <v>105117.04000000001</v>
      </c>
      <c r="F833" s="231">
        <v>112423</v>
      </c>
      <c r="G833" s="231">
        <v>678935</v>
      </c>
      <c r="H833" s="231"/>
      <c r="I833" s="232">
        <v>12756</v>
      </c>
      <c r="J833" s="232">
        <v>594963</v>
      </c>
      <c r="K833" s="232">
        <v>46501</v>
      </c>
      <c r="L833" s="231">
        <v>40829</v>
      </c>
      <c r="M833" s="231"/>
      <c r="N833" s="232">
        <v>23791</v>
      </c>
      <c r="O833" s="232">
        <v>219598</v>
      </c>
      <c r="P833" s="232">
        <v>0</v>
      </c>
      <c r="Q833" s="231">
        <v>0</v>
      </c>
      <c r="R833" s="232">
        <f t="shared" si="12"/>
        <v>375365</v>
      </c>
      <c r="S833" s="231"/>
      <c r="T833" s="232">
        <v>181469</v>
      </c>
      <c r="U833" s="233">
        <v>16396</v>
      </c>
      <c r="V833" s="233">
        <v>197865</v>
      </c>
    </row>
    <row r="834" spans="1:22">
      <c r="A834" s="226">
        <v>99204</v>
      </c>
      <c r="B834" s="227" t="s">
        <v>1540</v>
      </c>
      <c r="C834" s="87">
        <v>7.4910000000000005E-4</v>
      </c>
      <c r="D834" s="87">
        <v>6.5600000000000001E-4</v>
      </c>
      <c r="E834" s="231">
        <v>316209.94</v>
      </c>
      <c r="F834" s="231">
        <v>294409</v>
      </c>
      <c r="G834" s="231">
        <v>1589841</v>
      </c>
      <c r="H834" s="231"/>
      <c r="I834" s="232">
        <v>29870</v>
      </c>
      <c r="J834" s="232">
        <v>1393208</v>
      </c>
      <c r="K834" s="232">
        <v>108890</v>
      </c>
      <c r="L834" s="231">
        <v>82158</v>
      </c>
      <c r="M834" s="231"/>
      <c r="N834" s="232">
        <v>55710</v>
      </c>
      <c r="O834" s="232">
        <v>514226</v>
      </c>
      <c r="P834" s="232">
        <v>0</v>
      </c>
      <c r="Q834" s="231">
        <v>0</v>
      </c>
      <c r="R834" s="232">
        <f t="shared" si="12"/>
        <v>878982</v>
      </c>
      <c r="S834" s="231"/>
      <c r="T834" s="232">
        <v>424941</v>
      </c>
      <c r="U834" s="233">
        <v>24836</v>
      </c>
      <c r="V834" s="233">
        <v>449777</v>
      </c>
    </row>
    <row r="835" spans="1:22">
      <c r="A835" s="226">
        <v>99206</v>
      </c>
      <c r="B835" s="227" t="s">
        <v>1541</v>
      </c>
      <c r="C835" s="87">
        <v>1.6665E-3</v>
      </c>
      <c r="D835" s="87">
        <v>1.9373999999999999E-3</v>
      </c>
      <c r="E835" s="231">
        <v>1101168.54</v>
      </c>
      <c r="F835" s="231">
        <v>869493</v>
      </c>
      <c r="G835" s="231">
        <v>3536871</v>
      </c>
      <c r="H835" s="231"/>
      <c r="I835" s="232">
        <v>66452</v>
      </c>
      <c r="J835" s="232">
        <v>3099427</v>
      </c>
      <c r="K835" s="232">
        <v>242244</v>
      </c>
      <c r="L835" s="231">
        <v>400880</v>
      </c>
      <c r="M835" s="231"/>
      <c r="N835" s="232">
        <v>123936</v>
      </c>
      <c r="O835" s="232">
        <v>1143982</v>
      </c>
      <c r="P835" s="232">
        <v>0</v>
      </c>
      <c r="Q835" s="231">
        <v>13550</v>
      </c>
      <c r="R835" s="232">
        <f t="shared" si="12"/>
        <v>1955445</v>
      </c>
      <c r="S835" s="231"/>
      <c r="T835" s="232">
        <v>945354</v>
      </c>
      <c r="U835" s="233">
        <v>117813</v>
      </c>
      <c r="V835" s="233">
        <v>1063167</v>
      </c>
    </row>
    <row r="836" spans="1:22">
      <c r="A836" s="226">
        <v>99207</v>
      </c>
      <c r="B836" s="227" t="s">
        <v>1941</v>
      </c>
      <c r="C836" s="87">
        <v>1.3430000000000001E-4</v>
      </c>
      <c r="D836" s="87">
        <v>1.4320000000000001E-4</v>
      </c>
      <c r="E836" s="231">
        <v>122929.82</v>
      </c>
      <c r="F836" s="231">
        <v>64267</v>
      </c>
      <c r="G836" s="231">
        <v>285030</v>
      </c>
      <c r="H836" s="231"/>
      <c r="I836" s="232">
        <v>5355</v>
      </c>
      <c r="J836" s="232">
        <v>249777</v>
      </c>
      <c r="K836" s="232">
        <v>19522</v>
      </c>
      <c r="L836" s="231">
        <v>79584</v>
      </c>
      <c r="M836" s="231"/>
      <c r="N836" s="232">
        <v>9988</v>
      </c>
      <c r="O836" s="232">
        <v>92191</v>
      </c>
      <c r="P836" s="232">
        <v>0</v>
      </c>
      <c r="Q836" s="231">
        <v>0</v>
      </c>
      <c r="R836" s="232">
        <f t="shared" si="12"/>
        <v>157586</v>
      </c>
      <c r="S836" s="231"/>
      <c r="T836" s="232">
        <v>76184</v>
      </c>
      <c r="U836" s="233">
        <v>24293</v>
      </c>
      <c r="V836" s="233">
        <v>100477</v>
      </c>
    </row>
    <row r="837" spans="1:22">
      <c r="A837" s="226">
        <v>99208</v>
      </c>
      <c r="B837" s="227" t="s">
        <v>1543</v>
      </c>
      <c r="C837" s="87">
        <v>1.3669999999999999E-4</v>
      </c>
      <c r="D837" s="87">
        <v>1.774E-4</v>
      </c>
      <c r="E837" s="231">
        <v>46839.619999999995</v>
      </c>
      <c r="F837" s="231">
        <v>79616</v>
      </c>
      <c r="G837" s="231">
        <v>290123</v>
      </c>
      <c r="H837" s="231"/>
      <c r="I837" s="232">
        <v>5451</v>
      </c>
      <c r="J837" s="232">
        <v>254240</v>
      </c>
      <c r="K837" s="232">
        <v>19871</v>
      </c>
      <c r="L837" s="231">
        <v>0</v>
      </c>
      <c r="M837" s="231"/>
      <c r="N837" s="232">
        <v>10166</v>
      </c>
      <c r="O837" s="232">
        <v>93839</v>
      </c>
      <c r="P837" s="232">
        <v>0</v>
      </c>
      <c r="Q837" s="231">
        <v>57522</v>
      </c>
      <c r="R837" s="232">
        <f t="shared" si="12"/>
        <v>160401</v>
      </c>
      <c r="S837" s="231"/>
      <c r="T837" s="232">
        <v>77546</v>
      </c>
      <c r="U837" s="233">
        <v>-20235</v>
      </c>
      <c r="V837" s="233">
        <v>57311</v>
      </c>
    </row>
    <row r="838" spans="1:22">
      <c r="A838" s="226">
        <v>99210</v>
      </c>
      <c r="B838" s="227" t="s">
        <v>1544</v>
      </c>
      <c r="C838" s="87">
        <v>1.5945E-3</v>
      </c>
      <c r="D838" s="87">
        <v>1.6262E-3</v>
      </c>
      <c r="E838" s="231">
        <v>706575.50999999989</v>
      </c>
      <c r="F838" s="231">
        <v>729829</v>
      </c>
      <c r="G838" s="231">
        <v>3384063</v>
      </c>
      <c r="H838" s="231"/>
      <c r="I838" s="232">
        <v>63581</v>
      </c>
      <c r="J838" s="232">
        <v>2965518</v>
      </c>
      <c r="K838" s="232">
        <v>231778</v>
      </c>
      <c r="L838" s="231">
        <v>80869</v>
      </c>
      <c r="M838" s="231"/>
      <c r="N838" s="232">
        <v>118581</v>
      </c>
      <c r="O838" s="232">
        <v>1094557</v>
      </c>
      <c r="P838" s="232">
        <v>0</v>
      </c>
      <c r="Q838" s="231">
        <v>0</v>
      </c>
      <c r="R838" s="232">
        <f t="shared" si="12"/>
        <v>1870961</v>
      </c>
      <c r="S838" s="231"/>
      <c r="T838" s="232">
        <v>904510</v>
      </c>
      <c r="U838" s="233">
        <v>27611</v>
      </c>
      <c r="V838" s="233">
        <v>932122</v>
      </c>
    </row>
    <row r="839" spans="1:22">
      <c r="A839" s="226">
        <v>99211</v>
      </c>
      <c r="B839" s="227" t="s">
        <v>1545</v>
      </c>
      <c r="C839" s="87">
        <v>3.8233999999999997E-2</v>
      </c>
      <c r="D839" s="87">
        <v>3.7564199999999999E-2</v>
      </c>
      <c r="E839" s="231">
        <v>14152947.149999999</v>
      </c>
      <c r="F839" s="231">
        <v>16858588</v>
      </c>
      <c r="G839" s="231">
        <v>81145356</v>
      </c>
      <c r="H839" s="231"/>
      <c r="I839" s="232">
        <v>1524580.75</v>
      </c>
      <c r="J839" s="232">
        <v>71109199</v>
      </c>
      <c r="K839" s="232">
        <v>5557732</v>
      </c>
      <c r="L839" s="231">
        <v>0</v>
      </c>
      <c r="M839" s="231"/>
      <c r="N839" s="232">
        <v>2843424</v>
      </c>
      <c r="O839" s="232">
        <v>26246035</v>
      </c>
      <c r="P839" s="232">
        <v>0</v>
      </c>
      <c r="Q839" s="231">
        <v>1538962</v>
      </c>
      <c r="R839" s="232">
        <f t="shared" si="12"/>
        <v>44863164</v>
      </c>
      <c r="S839" s="231"/>
      <c r="T839" s="232">
        <v>21688963</v>
      </c>
      <c r="U839" s="233">
        <v>-519725</v>
      </c>
      <c r="V839" s="233">
        <v>21169238</v>
      </c>
    </row>
    <row r="840" spans="1:22">
      <c r="A840" s="226">
        <v>99212</v>
      </c>
      <c r="B840" s="227" t="s">
        <v>1546</v>
      </c>
      <c r="C840" s="87">
        <v>7.4400000000000006E-5</v>
      </c>
      <c r="D840" s="87">
        <v>1.2750000000000001E-4</v>
      </c>
      <c r="E840" s="231">
        <v>26346.03</v>
      </c>
      <c r="F840" s="231">
        <v>57221</v>
      </c>
      <c r="G840" s="231">
        <v>157902</v>
      </c>
      <c r="H840" s="231"/>
      <c r="I840" s="232">
        <v>2967</v>
      </c>
      <c r="J840" s="232">
        <v>138372</v>
      </c>
      <c r="K840" s="232">
        <v>10815</v>
      </c>
      <c r="L840" s="231">
        <v>0</v>
      </c>
      <c r="M840" s="231"/>
      <c r="N840" s="232">
        <v>5533</v>
      </c>
      <c r="O840" s="232">
        <v>51072</v>
      </c>
      <c r="P840" s="232">
        <v>0</v>
      </c>
      <c r="Q840" s="231">
        <v>49365</v>
      </c>
      <c r="R840" s="232">
        <f t="shared" si="12"/>
        <v>87300</v>
      </c>
      <c r="S840" s="231"/>
      <c r="T840" s="232">
        <v>42205</v>
      </c>
      <c r="U840" s="233">
        <v>-15321</v>
      </c>
      <c r="V840" s="233">
        <v>26884</v>
      </c>
    </row>
    <row r="841" spans="1:22">
      <c r="A841" s="226">
        <v>99213</v>
      </c>
      <c r="B841" s="227" t="s">
        <v>1547</v>
      </c>
      <c r="C841" s="87">
        <v>8.0730000000000005E-4</v>
      </c>
      <c r="D841" s="87">
        <v>8.3339999999999998E-4</v>
      </c>
      <c r="E841" s="231">
        <v>326034.78000000003</v>
      </c>
      <c r="F841" s="231">
        <v>374025</v>
      </c>
      <c r="G841" s="231">
        <v>1713361</v>
      </c>
      <c r="H841" s="231"/>
      <c r="I841" s="232">
        <v>32191</v>
      </c>
      <c r="J841" s="232">
        <v>1501450</v>
      </c>
      <c r="K841" s="232">
        <v>117350</v>
      </c>
      <c r="L841" s="231">
        <v>9384</v>
      </c>
      <c r="M841" s="231"/>
      <c r="N841" s="232">
        <v>60038</v>
      </c>
      <c r="O841" s="232">
        <v>554178</v>
      </c>
      <c r="P841" s="232">
        <v>0</v>
      </c>
      <c r="Q841" s="231">
        <v>21194</v>
      </c>
      <c r="R841" s="232">
        <f t="shared" ref="R841:R904" si="13">IF(J841&gt;O841,J841-O841,O841-J841)</f>
        <v>947272</v>
      </c>
      <c r="S841" s="231"/>
      <c r="T841" s="232">
        <v>457956</v>
      </c>
      <c r="U841" s="233">
        <v>-2728</v>
      </c>
      <c r="V841" s="233">
        <v>455228</v>
      </c>
    </row>
    <row r="842" spans="1:22">
      <c r="A842" s="226">
        <v>99218</v>
      </c>
      <c r="B842" s="227" t="s">
        <v>1548</v>
      </c>
      <c r="C842" s="87">
        <v>3.1227999999999998E-3</v>
      </c>
      <c r="D842" s="87">
        <v>2.8506999999999998E-3</v>
      </c>
      <c r="E842" s="231">
        <v>1270452.44</v>
      </c>
      <c r="F842" s="231">
        <v>1279377</v>
      </c>
      <c r="G842" s="231">
        <v>6627628</v>
      </c>
      <c r="H842" s="231"/>
      <c r="I842" s="232">
        <v>124521.65</v>
      </c>
      <c r="J842" s="232">
        <v>5807915</v>
      </c>
      <c r="K842" s="232">
        <v>453933</v>
      </c>
      <c r="L842" s="231">
        <v>189764</v>
      </c>
      <c r="M842" s="231"/>
      <c r="N842" s="232">
        <v>232240</v>
      </c>
      <c r="O842" s="232">
        <v>2143671</v>
      </c>
      <c r="P842" s="232">
        <v>0</v>
      </c>
      <c r="Q842" s="231">
        <v>0</v>
      </c>
      <c r="R842" s="232">
        <f t="shared" si="13"/>
        <v>3664244</v>
      </c>
      <c r="S842" s="231"/>
      <c r="T842" s="232">
        <v>1771468</v>
      </c>
      <c r="U842" s="233">
        <v>55483</v>
      </c>
      <c r="V842" s="233">
        <v>1826951</v>
      </c>
    </row>
    <row r="843" spans="1:22">
      <c r="A843" s="226">
        <v>99221</v>
      </c>
      <c r="B843" s="227" t="s">
        <v>1549</v>
      </c>
      <c r="C843" s="87">
        <v>1.3092700000000001E-2</v>
      </c>
      <c r="D843" s="87">
        <v>1.33233E-2</v>
      </c>
      <c r="E843" s="231">
        <v>4943527.5200000005</v>
      </c>
      <c r="F843" s="231">
        <v>5979417</v>
      </c>
      <c r="G843" s="231">
        <v>27787095</v>
      </c>
      <c r="H843" s="231"/>
      <c r="I843" s="232">
        <v>522071</v>
      </c>
      <c r="J843" s="232">
        <v>24350353</v>
      </c>
      <c r="K843" s="232">
        <v>1903168</v>
      </c>
      <c r="L843" s="231">
        <v>0</v>
      </c>
      <c r="M843" s="231"/>
      <c r="N843" s="232">
        <v>973691</v>
      </c>
      <c r="O843" s="232">
        <v>8987589</v>
      </c>
      <c r="P843" s="232">
        <v>0</v>
      </c>
      <c r="Q843" s="231">
        <v>703621</v>
      </c>
      <c r="R843" s="232">
        <f t="shared" si="13"/>
        <v>15362764</v>
      </c>
      <c r="S843" s="231"/>
      <c r="T843" s="232">
        <v>7427083</v>
      </c>
      <c r="U843" s="233">
        <v>-220701</v>
      </c>
      <c r="V843" s="233">
        <v>7206381</v>
      </c>
    </row>
    <row r="844" spans="1:22">
      <c r="A844" s="226">
        <v>99222</v>
      </c>
      <c r="B844" s="227" t="s">
        <v>1550</v>
      </c>
      <c r="C844" s="87">
        <v>4.0099999999999999E-5</v>
      </c>
      <c r="D844" s="87">
        <v>3.82E-5</v>
      </c>
      <c r="E844" s="231">
        <v>13646.550000000001</v>
      </c>
      <c r="F844" s="231">
        <v>17144</v>
      </c>
      <c r="G844" s="231">
        <v>85106</v>
      </c>
      <c r="H844" s="231"/>
      <c r="I844" s="232">
        <v>1599</v>
      </c>
      <c r="J844" s="232">
        <v>74580</v>
      </c>
      <c r="K844" s="232">
        <v>5829</v>
      </c>
      <c r="L844" s="231">
        <v>3575</v>
      </c>
      <c r="M844" s="231"/>
      <c r="N844" s="232">
        <v>2982</v>
      </c>
      <c r="O844" s="232">
        <v>27527</v>
      </c>
      <c r="P844" s="232">
        <v>0</v>
      </c>
      <c r="Q844" s="231">
        <v>1230</v>
      </c>
      <c r="R844" s="232">
        <f t="shared" si="13"/>
        <v>47053</v>
      </c>
      <c r="S844" s="231"/>
      <c r="T844" s="232">
        <v>22747</v>
      </c>
      <c r="U844" s="233">
        <v>949</v>
      </c>
      <c r="V844" s="233">
        <v>23697</v>
      </c>
    </row>
    <row r="845" spans="1:22">
      <c r="A845" s="226">
        <v>99231</v>
      </c>
      <c r="B845" s="227" t="s">
        <v>1551</v>
      </c>
      <c r="C845" s="87">
        <v>3.7869999999999999E-4</v>
      </c>
      <c r="D845" s="87">
        <v>3.7139999999999997E-4</v>
      </c>
      <c r="E845" s="231">
        <v>142098.15</v>
      </c>
      <c r="F845" s="231">
        <v>166682</v>
      </c>
      <c r="G845" s="231">
        <v>803728</v>
      </c>
      <c r="H845" s="231"/>
      <c r="I845" s="232">
        <v>15101</v>
      </c>
      <c r="J845" s="232">
        <v>704322</v>
      </c>
      <c r="K845" s="232">
        <v>55048</v>
      </c>
      <c r="L845" s="231">
        <v>0</v>
      </c>
      <c r="M845" s="231"/>
      <c r="N845" s="232">
        <v>28164</v>
      </c>
      <c r="O845" s="232">
        <v>259962</v>
      </c>
      <c r="P845" s="232">
        <v>0</v>
      </c>
      <c r="Q845" s="231">
        <v>27202</v>
      </c>
      <c r="R845" s="232">
        <f t="shared" si="13"/>
        <v>444360</v>
      </c>
      <c r="S845" s="231"/>
      <c r="T845" s="232">
        <v>214825</v>
      </c>
      <c r="U845" s="233">
        <v>-11082</v>
      </c>
      <c r="V845" s="233">
        <v>203743</v>
      </c>
    </row>
    <row r="846" spans="1:22">
      <c r="A846" s="226">
        <v>99241</v>
      </c>
      <c r="B846" s="227" t="s">
        <v>1552</v>
      </c>
      <c r="C846" s="87">
        <v>5.6039999999999996E-4</v>
      </c>
      <c r="D846" s="87">
        <v>5.9259999999999998E-4</v>
      </c>
      <c r="E846" s="231">
        <v>196948.58000000002</v>
      </c>
      <c r="F846" s="231">
        <v>265955</v>
      </c>
      <c r="G846" s="231">
        <v>1189357</v>
      </c>
      <c r="H846" s="231"/>
      <c r="I846" s="232">
        <v>22346</v>
      </c>
      <c r="J846" s="232">
        <v>1042255</v>
      </c>
      <c r="K846" s="232">
        <v>81460</v>
      </c>
      <c r="L846" s="231">
        <v>0</v>
      </c>
      <c r="M846" s="231"/>
      <c r="N846" s="232">
        <v>41676</v>
      </c>
      <c r="O846" s="232">
        <v>384691</v>
      </c>
      <c r="P846" s="232">
        <v>0</v>
      </c>
      <c r="Q846" s="231">
        <v>122254</v>
      </c>
      <c r="R846" s="232">
        <f t="shared" si="13"/>
        <v>657564</v>
      </c>
      <c r="S846" s="231"/>
      <c r="T846" s="232">
        <v>317898</v>
      </c>
      <c r="U846" s="233">
        <v>-45505</v>
      </c>
      <c r="V846" s="233">
        <v>272393</v>
      </c>
    </row>
    <row r="847" spans="1:22">
      <c r="A847" s="226">
        <v>99251</v>
      </c>
      <c r="B847" s="227" t="s">
        <v>1553</v>
      </c>
      <c r="C847" s="87">
        <v>1.6521000000000001E-3</v>
      </c>
      <c r="D847" s="87">
        <v>1.598E-3</v>
      </c>
      <c r="E847" s="231">
        <v>644905.39999999991</v>
      </c>
      <c r="F847" s="231">
        <v>717173</v>
      </c>
      <c r="G847" s="231">
        <v>3506310</v>
      </c>
      <c r="H847" s="231"/>
      <c r="I847" s="232">
        <v>65877</v>
      </c>
      <c r="J847" s="232">
        <v>3072645</v>
      </c>
      <c r="K847" s="232">
        <v>240151</v>
      </c>
      <c r="L847" s="231">
        <v>3992</v>
      </c>
      <c r="M847" s="231"/>
      <c r="N847" s="232">
        <v>122865</v>
      </c>
      <c r="O847" s="232">
        <v>1134097</v>
      </c>
      <c r="P847" s="232">
        <v>0</v>
      </c>
      <c r="Q847" s="231">
        <v>14191</v>
      </c>
      <c r="R847" s="232">
        <f t="shared" si="13"/>
        <v>1938548</v>
      </c>
      <c r="S847" s="231"/>
      <c r="T847" s="232">
        <v>937185</v>
      </c>
      <c r="U847" s="233">
        <v>-5897</v>
      </c>
      <c r="V847" s="233">
        <v>931288</v>
      </c>
    </row>
    <row r="848" spans="1:22">
      <c r="A848" s="226">
        <v>99252</v>
      </c>
      <c r="B848" s="227" t="s">
        <v>1554</v>
      </c>
      <c r="C848" s="87">
        <v>5.8279999999999996E-4</v>
      </c>
      <c r="D848" s="87">
        <v>7.4010000000000005E-4</v>
      </c>
      <c r="E848" s="231">
        <v>174600.46999999997</v>
      </c>
      <c r="F848" s="231">
        <v>332152</v>
      </c>
      <c r="G848" s="231">
        <v>1236897</v>
      </c>
      <c r="H848" s="231"/>
      <c r="I848" s="232">
        <v>23239</v>
      </c>
      <c r="J848" s="232">
        <v>1083916</v>
      </c>
      <c r="K848" s="232">
        <v>84716</v>
      </c>
      <c r="L848" s="231">
        <v>0</v>
      </c>
      <c r="M848" s="231"/>
      <c r="N848" s="232">
        <v>43342</v>
      </c>
      <c r="O848" s="232">
        <v>400068</v>
      </c>
      <c r="P848" s="232">
        <v>0</v>
      </c>
      <c r="Q848" s="231">
        <v>244190</v>
      </c>
      <c r="R848" s="232">
        <f t="shared" si="13"/>
        <v>683848</v>
      </c>
      <c r="S848" s="231"/>
      <c r="T848" s="232">
        <v>330604</v>
      </c>
      <c r="U848" s="233">
        <v>-77201</v>
      </c>
      <c r="V848" s="233">
        <v>253403</v>
      </c>
    </row>
    <row r="849" spans="1:22">
      <c r="A849" s="226">
        <v>99261</v>
      </c>
      <c r="B849" s="227" t="s">
        <v>1555</v>
      </c>
      <c r="C849" s="87">
        <v>1.9145E-3</v>
      </c>
      <c r="D849" s="87">
        <v>1.8552E-3</v>
      </c>
      <c r="E849" s="231">
        <v>638819.42000000004</v>
      </c>
      <c r="F849" s="231">
        <v>832603</v>
      </c>
      <c r="G849" s="231">
        <v>4063210</v>
      </c>
      <c r="H849" s="231"/>
      <c r="I849" s="232">
        <v>76341</v>
      </c>
      <c r="J849" s="232">
        <v>3560668</v>
      </c>
      <c r="K849" s="232">
        <v>278294</v>
      </c>
      <c r="L849" s="231">
        <v>0</v>
      </c>
      <c r="M849" s="231"/>
      <c r="N849" s="232">
        <v>142379</v>
      </c>
      <c r="O849" s="232">
        <v>1314224</v>
      </c>
      <c r="P849" s="232">
        <v>0</v>
      </c>
      <c r="Q849" s="231">
        <v>177810</v>
      </c>
      <c r="R849" s="232">
        <f t="shared" si="13"/>
        <v>2246444</v>
      </c>
      <c r="S849" s="231"/>
      <c r="T849" s="232">
        <v>1086037</v>
      </c>
      <c r="U849" s="233">
        <v>-61359</v>
      </c>
      <c r="V849" s="233">
        <v>1024677</v>
      </c>
    </row>
    <row r="850" spans="1:22">
      <c r="A850" s="226">
        <v>99271</v>
      </c>
      <c r="B850" s="227" t="s">
        <v>1556</v>
      </c>
      <c r="C850" s="87">
        <v>3.9248E-3</v>
      </c>
      <c r="D850" s="87">
        <v>3.9693000000000003E-3</v>
      </c>
      <c r="E850" s="231">
        <v>1483973.83</v>
      </c>
      <c r="F850" s="231">
        <v>1781398</v>
      </c>
      <c r="G850" s="231">
        <v>8329740</v>
      </c>
      <c r="H850" s="231"/>
      <c r="I850" s="232">
        <v>156501.4</v>
      </c>
      <c r="J850" s="232">
        <v>7299508</v>
      </c>
      <c r="K850" s="232">
        <v>570513</v>
      </c>
      <c r="L850" s="231">
        <v>0</v>
      </c>
      <c r="M850" s="231"/>
      <c r="N850" s="232">
        <v>291883</v>
      </c>
      <c r="O850" s="232">
        <v>2694210</v>
      </c>
      <c r="P850" s="232">
        <v>0</v>
      </c>
      <c r="Q850" s="231">
        <v>151650</v>
      </c>
      <c r="R850" s="232">
        <f t="shared" si="13"/>
        <v>4605298</v>
      </c>
      <c r="S850" s="231"/>
      <c r="T850" s="232">
        <v>2226417</v>
      </c>
      <c r="U850" s="233">
        <v>-42013</v>
      </c>
      <c r="V850" s="233">
        <v>2184404</v>
      </c>
    </row>
    <row r="851" spans="1:22">
      <c r="A851" s="226">
        <v>99281</v>
      </c>
      <c r="B851" s="227" t="s">
        <v>1557</v>
      </c>
      <c r="C851" s="87">
        <v>2.2824E-3</v>
      </c>
      <c r="D851" s="87">
        <v>2.3207000000000002E-3</v>
      </c>
      <c r="E851" s="231">
        <v>859937.56999999983</v>
      </c>
      <c r="F851" s="231">
        <v>1041516</v>
      </c>
      <c r="G851" s="231">
        <v>4844017</v>
      </c>
      <c r="H851" s="231"/>
      <c r="I851" s="232">
        <v>91010.7</v>
      </c>
      <c r="J851" s="232">
        <v>4244903</v>
      </c>
      <c r="K851" s="232">
        <v>331772</v>
      </c>
      <c r="L851" s="231">
        <v>13554</v>
      </c>
      <c r="M851" s="231"/>
      <c r="N851" s="232">
        <v>169740</v>
      </c>
      <c r="O851" s="232">
        <v>1566772</v>
      </c>
      <c r="P851" s="232">
        <v>0</v>
      </c>
      <c r="Q851" s="231">
        <v>113243</v>
      </c>
      <c r="R851" s="232">
        <f t="shared" si="13"/>
        <v>2678131</v>
      </c>
      <c r="S851" s="231"/>
      <c r="T851" s="232">
        <v>1294735</v>
      </c>
      <c r="U851" s="233">
        <v>-25393</v>
      </c>
      <c r="V851" s="233">
        <v>1269342</v>
      </c>
    </row>
    <row r="852" spans="1:22">
      <c r="A852" s="226">
        <v>99291</v>
      </c>
      <c r="B852" s="227" t="s">
        <v>1558</v>
      </c>
      <c r="C852" s="87">
        <v>7.7260000000000002E-4</v>
      </c>
      <c r="D852" s="87">
        <v>8.0780000000000001E-4</v>
      </c>
      <c r="E852" s="231">
        <v>267315.87</v>
      </c>
      <c r="F852" s="231">
        <v>362536</v>
      </c>
      <c r="G852" s="231">
        <v>1639716</v>
      </c>
      <c r="H852" s="231"/>
      <c r="I852" s="232">
        <v>30807</v>
      </c>
      <c r="J852" s="232">
        <v>1436914</v>
      </c>
      <c r="K852" s="232">
        <v>112306</v>
      </c>
      <c r="L852" s="231">
        <v>0</v>
      </c>
      <c r="M852" s="231"/>
      <c r="N852" s="232">
        <v>57457</v>
      </c>
      <c r="O852" s="232">
        <v>530357</v>
      </c>
      <c r="P852" s="232">
        <v>0</v>
      </c>
      <c r="Q852" s="231">
        <v>124026</v>
      </c>
      <c r="R852" s="232">
        <f t="shared" si="13"/>
        <v>906557</v>
      </c>
      <c r="S852" s="231"/>
      <c r="T852" s="232">
        <v>438272</v>
      </c>
      <c r="U852" s="233">
        <v>-41703</v>
      </c>
      <c r="V852" s="233">
        <v>396569</v>
      </c>
    </row>
    <row r="853" spans="1:22">
      <c r="A853" s="226">
        <v>99301</v>
      </c>
      <c r="B853" s="227" t="s">
        <v>1559</v>
      </c>
      <c r="C853" s="87">
        <v>1.8458000000000001E-3</v>
      </c>
      <c r="D853" s="87">
        <v>1.7903000000000001E-3</v>
      </c>
      <c r="E853" s="231">
        <v>720012.84</v>
      </c>
      <c r="F853" s="231">
        <v>803476</v>
      </c>
      <c r="G853" s="231">
        <v>3917406</v>
      </c>
      <c r="H853" s="231"/>
      <c r="I853" s="232">
        <v>73601</v>
      </c>
      <c r="J853" s="232">
        <v>3432896</v>
      </c>
      <c r="K853" s="232">
        <v>268307</v>
      </c>
      <c r="L853" s="231">
        <v>122430</v>
      </c>
      <c r="M853" s="231"/>
      <c r="N853" s="232">
        <v>137270</v>
      </c>
      <c r="O853" s="232">
        <v>1267064</v>
      </c>
      <c r="P853" s="232">
        <v>0</v>
      </c>
      <c r="Q853" s="231">
        <v>957</v>
      </c>
      <c r="R853" s="232">
        <f t="shared" si="13"/>
        <v>2165832</v>
      </c>
      <c r="S853" s="231"/>
      <c r="T853" s="232">
        <v>1047065</v>
      </c>
      <c r="U853" s="233">
        <v>54774</v>
      </c>
      <c r="V853" s="233">
        <v>1101839</v>
      </c>
    </row>
    <row r="854" spans="1:22">
      <c r="A854" s="226">
        <v>99304</v>
      </c>
      <c r="B854" s="227" t="s">
        <v>1560</v>
      </c>
      <c r="C854" s="87">
        <v>9.9000000000000001E-6</v>
      </c>
      <c r="D854" s="87">
        <v>1.0000000000000001E-5</v>
      </c>
      <c r="E854" s="231">
        <v>6537.4600000000019</v>
      </c>
      <c r="F854" s="231">
        <v>4488</v>
      </c>
      <c r="G854" s="231">
        <v>21011</v>
      </c>
      <c r="H854" s="231"/>
      <c r="I854" s="232">
        <v>394.76249999999999</v>
      </c>
      <c r="J854" s="232">
        <v>18412</v>
      </c>
      <c r="K854" s="232">
        <v>1439</v>
      </c>
      <c r="L854" s="231">
        <v>3536</v>
      </c>
      <c r="M854" s="231"/>
      <c r="N854" s="232">
        <v>736</v>
      </c>
      <c r="O854" s="232">
        <v>6796</v>
      </c>
      <c r="P854" s="232">
        <v>0</v>
      </c>
      <c r="Q854" s="231">
        <v>498</v>
      </c>
      <c r="R854" s="232">
        <f t="shared" si="13"/>
        <v>11616</v>
      </c>
      <c r="S854" s="231"/>
      <c r="T854" s="232">
        <v>5616</v>
      </c>
      <c r="U854" s="233">
        <v>822</v>
      </c>
      <c r="V854" s="233">
        <v>6438</v>
      </c>
    </row>
    <row r="855" spans="1:22">
      <c r="A855" s="226">
        <v>99311</v>
      </c>
      <c r="B855" s="227" t="s">
        <v>1561</v>
      </c>
      <c r="C855" s="87">
        <v>5.7599999999999997E-5</v>
      </c>
      <c r="D855" s="87">
        <v>6.2100000000000005E-5</v>
      </c>
      <c r="E855" s="231">
        <v>21136.39</v>
      </c>
      <c r="F855" s="231">
        <v>27870</v>
      </c>
      <c r="G855" s="231">
        <v>122246</v>
      </c>
      <c r="H855" s="231"/>
      <c r="I855" s="232">
        <v>2297</v>
      </c>
      <c r="J855" s="232">
        <v>107127</v>
      </c>
      <c r="K855" s="232">
        <v>8373</v>
      </c>
      <c r="L855" s="231">
        <v>0</v>
      </c>
      <c r="M855" s="231"/>
      <c r="N855" s="232">
        <v>4284</v>
      </c>
      <c r="O855" s="232">
        <v>39540</v>
      </c>
      <c r="P855" s="232">
        <v>0</v>
      </c>
      <c r="Q855" s="231">
        <v>7642</v>
      </c>
      <c r="R855" s="232">
        <f t="shared" si="13"/>
        <v>67587</v>
      </c>
      <c r="S855" s="231"/>
      <c r="T855" s="232">
        <v>32675</v>
      </c>
      <c r="U855" s="233">
        <v>-2750</v>
      </c>
      <c r="V855" s="233">
        <v>29925</v>
      </c>
    </row>
    <row r="856" spans="1:22">
      <c r="A856" s="226">
        <v>99321</v>
      </c>
      <c r="B856" s="227" t="s">
        <v>1562</v>
      </c>
      <c r="C856" s="87">
        <v>1.1909999999999999E-4</v>
      </c>
      <c r="D856" s="87">
        <v>1.015E-4</v>
      </c>
      <c r="E856" s="231">
        <v>91759.74</v>
      </c>
      <c r="F856" s="231">
        <v>45553</v>
      </c>
      <c r="G856" s="231">
        <v>252770</v>
      </c>
      <c r="H856" s="231"/>
      <c r="I856" s="232">
        <v>4749</v>
      </c>
      <c r="J856" s="232">
        <v>221507</v>
      </c>
      <c r="K856" s="232">
        <v>17312</v>
      </c>
      <c r="L856" s="231">
        <v>97754</v>
      </c>
      <c r="M856" s="231"/>
      <c r="N856" s="232">
        <v>8857</v>
      </c>
      <c r="O856" s="232">
        <v>81757</v>
      </c>
      <c r="P856" s="232">
        <v>0</v>
      </c>
      <c r="Q856" s="231">
        <v>0</v>
      </c>
      <c r="R856" s="232">
        <f t="shared" si="13"/>
        <v>139750</v>
      </c>
      <c r="S856" s="231"/>
      <c r="T856" s="232">
        <v>67562</v>
      </c>
      <c r="U856" s="233">
        <v>33905</v>
      </c>
      <c r="V856" s="233">
        <v>101467</v>
      </c>
    </row>
    <row r="857" spans="1:22">
      <c r="A857" s="226">
        <v>99401</v>
      </c>
      <c r="B857" s="227" t="s">
        <v>1563</v>
      </c>
      <c r="C857" s="87">
        <v>9.3869999999999999E-4</v>
      </c>
      <c r="D857" s="87">
        <v>9.0470000000000004E-4</v>
      </c>
      <c r="E857" s="231">
        <v>380574.92</v>
      </c>
      <c r="F857" s="231">
        <v>406024</v>
      </c>
      <c r="G857" s="231">
        <v>1992236</v>
      </c>
      <c r="H857" s="231"/>
      <c r="I857" s="232">
        <v>37431</v>
      </c>
      <c r="J857" s="232">
        <v>1745834</v>
      </c>
      <c r="K857" s="232">
        <v>136450</v>
      </c>
      <c r="L857" s="231">
        <v>60934</v>
      </c>
      <c r="M857" s="231"/>
      <c r="N857" s="232">
        <v>69810</v>
      </c>
      <c r="O857" s="232">
        <v>644378</v>
      </c>
      <c r="P857" s="232">
        <v>0</v>
      </c>
      <c r="Q857" s="231">
        <v>0</v>
      </c>
      <c r="R857" s="232">
        <f t="shared" si="13"/>
        <v>1101456</v>
      </c>
      <c r="S857" s="231"/>
      <c r="T857" s="232">
        <v>532495</v>
      </c>
      <c r="U857" s="233">
        <v>26694</v>
      </c>
      <c r="V857" s="233">
        <v>559189</v>
      </c>
    </row>
    <row r="858" spans="1:22">
      <c r="A858" s="226">
        <v>99404</v>
      </c>
      <c r="B858" s="227" t="s">
        <v>1564</v>
      </c>
      <c r="C858" s="87">
        <v>9.5999999999999996E-6</v>
      </c>
      <c r="D858" s="87">
        <v>9.9000000000000001E-6</v>
      </c>
      <c r="E858" s="231">
        <v>4863.32</v>
      </c>
      <c r="F858" s="231">
        <v>4443</v>
      </c>
      <c r="G858" s="231">
        <v>20374</v>
      </c>
      <c r="H858" s="231"/>
      <c r="I858" s="232">
        <v>383</v>
      </c>
      <c r="J858" s="232">
        <v>17854</v>
      </c>
      <c r="K858" s="232">
        <v>1395</v>
      </c>
      <c r="L858" s="231">
        <v>890</v>
      </c>
      <c r="M858" s="231"/>
      <c r="N858" s="232">
        <v>714</v>
      </c>
      <c r="O858" s="232">
        <v>6590</v>
      </c>
      <c r="P858" s="232">
        <v>0</v>
      </c>
      <c r="Q858" s="231">
        <v>0</v>
      </c>
      <c r="R858" s="232">
        <f t="shared" si="13"/>
        <v>11264</v>
      </c>
      <c r="S858" s="231"/>
      <c r="T858" s="232">
        <v>5446</v>
      </c>
      <c r="U858" s="233">
        <v>284</v>
      </c>
      <c r="V858" s="233">
        <v>5730</v>
      </c>
    </row>
    <row r="859" spans="1:22">
      <c r="A859" s="226">
        <v>99405</v>
      </c>
      <c r="B859" s="227" t="s">
        <v>1565</v>
      </c>
      <c r="C859" s="87">
        <v>5.8100000000000003E-5</v>
      </c>
      <c r="D859" s="87">
        <v>6.3399999999999996E-5</v>
      </c>
      <c r="E859" s="231">
        <v>32556.2</v>
      </c>
      <c r="F859" s="231">
        <v>28454</v>
      </c>
      <c r="G859" s="231">
        <v>123308</v>
      </c>
      <c r="H859" s="231"/>
      <c r="I859" s="232">
        <v>2317</v>
      </c>
      <c r="J859" s="232">
        <v>108057</v>
      </c>
      <c r="K859" s="232">
        <v>8445</v>
      </c>
      <c r="L859" s="231">
        <v>11934</v>
      </c>
      <c r="M859" s="231"/>
      <c r="N859" s="232">
        <v>4321</v>
      </c>
      <c r="O859" s="232">
        <v>39883</v>
      </c>
      <c r="P859" s="232">
        <v>0</v>
      </c>
      <c r="Q859" s="231">
        <v>675</v>
      </c>
      <c r="R859" s="232">
        <f t="shared" si="13"/>
        <v>68174</v>
      </c>
      <c r="S859" s="231"/>
      <c r="T859" s="232">
        <v>32958</v>
      </c>
      <c r="U859" s="233">
        <v>3510</v>
      </c>
      <c r="V859" s="233">
        <v>36468</v>
      </c>
    </row>
    <row r="860" spans="1:22">
      <c r="A860" s="226">
        <v>99411</v>
      </c>
      <c r="B860" s="227" t="s">
        <v>1566</v>
      </c>
      <c r="C860" s="87">
        <v>1.2510000000000001E-4</v>
      </c>
      <c r="D860" s="87">
        <v>1.07E-4</v>
      </c>
      <c r="E860" s="231">
        <v>60724.219999999994</v>
      </c>
      <c r="F860" s="231">
        <v>48021</v>
      </c>
      <c r="G860" s="231">
        <v>265504</v>
      </c>
      <c r="H860" s="231"/>
      <c r="I860" s="232">
        <v>4988</v>
      </c>
      <c r="J860" s="232">
        <v>232666</v>
      </c>
      <c r="K860" s="232">
        <v>18185</v>
      </c>
      <c r="L860" s="231">
        <v>24011</v>
      </c>
      <c r="M860" s="231"/>
      <c r="N860" s="232">
        <v>9304</v>
      </c>
      <c r="O860" s="232">
        <v>85876</v>
      </c>
      <c r="P860" s="232">
        <v>0</v>
      </c>
      <c r="Q860" s="231">
        <v>8844</v>
      </c>
      <c r="R860" s="232">
        <f t="shared" si="13"/>
        <v>146790</v>
      </c>
      <c r="S860" s="231"/>
      <c r="T860" s="232">
        <v>70965</v>
      </c>
      <c r="U860" s="233">
        <v>2430</v>
      </c>
      <c r="V860" s="233">
        <v>73395</v>
      </c>
    </row>
    <row r="861" spans="1:22">
      <c r="A861" s="226">
        <v>99413</v>
      </c>
      <c r="B861" s="227" t="s">
        <v>1567</v>
      </c>
      <c r="C861" s="87">
        <v>2.76E-5</v>
      </c>
      <c r="D861" s="87">
        <v>4.21E-5</v>
      </c>
      <c r="E861" s="231">
        <v>17655.62</v>
      </c>
      <c r="F861" s="231">
        <v>18894</v>
      </c>
      <c r="G861" s="231">
        <v>58576</v>
      </c>
      <c r="H861" s="231"/>
      <c r="I861" s="232">
        <v>1100.55</v>
      </c>
      <c r="J861" s="232">
        <v>51332</v>
      </c>
      <c r="K861" s="232">
        <v>4012</v>
      </c>
      <c r="L861" s="231">
        <v>10</v>
      </c>
      <c r="M861" s="231"/>
      <c r="N861" s="232">
        <v>2053</v>
      </c>
      <c r="O861" s="232">
        <v>18946</v>
      </c>
      <c r="P861" s="232">
        <v>0</v>
      </c>
      <c r="Q861" s="231">
        <v>4264</v>
      </c>
      <c r="R861" s="232">
        <f t="shared" si="13"/>
        <v>32386</v>
      </c>
      <c r="S861" s="231"/>
      <c r="T861" s="232">
        <v>15657</v>
      </c>
      <c r="U861" s="233">
        <v>-1235</v>
      </c>
      <c r="V861" s="233">
        <v>14422</v>
      </c>
    </row>
    <row r="862" spans="1:22">
      <c r="A862" s="226">
        <v>99421</v>
      </c>
      <c r="B862" s="227" t="s">
        <v>1568</v>
      </c>
      <c r="C862" s="87">
        <v>1.5E-5</v>
      </c>
      <c r="D862" s="87">
        <v>2.2099999999999998E-5</v>
      </c>
      <c r="E862" s="231">
        <v>6577</v>
      </c>
      <c r="F862" s="231">
        <v>9918</v>
      </c>
      <c r="G862" s="231">
        <v>31835</v>
      </c>
      <c r="H862" s="231"/>
      <c r="I862" s="232">
        <v>598.125</v>
      </c>
      <c r="J862" s="232">
        <v>27897.63</v>
      </c>
      <c r="K862" s="232">
        <v>2180.415</v>
      </c>
      <c r="L862" s="231">
        <v>1536</v>
      </c>
      <c r="M862" s="231"/>
      <c r="N862" s="232">
        <v>1116</v>
      </c>
      <c r="O862" s="232">
        <v>10297</v>
      </c>
      <c r="P862" s="232">
        <v>0</v>
      </c>
      <c r="Q862" s="231">
        <v>4910</v>
      </c>
      <c r="R862" s="232">
        <f t="shared" si="13"/>
        <v>17600.63</v>
      </c>
      <c r="S862" s="231"/>
      <c r="T862" s="232">
        <v>8509</v>
      </c>
      <c r="U862" s="233">
        <v>-633</v>
      </c>
      <c r="V862" s="233">
        <v>7876</v>
      </c>
    </row>
    <row r="863" spans="1:22">
      <c r="A863" s="226">
        <v>99431</v>
      </c>
      <c r="B863" s="227" t="s">
        <v>1569</v>
      </c>
      <c r="C863" s="87">
        <v>2.16E-5</v>
      </c>
      <c r="D863" s="87">
        <v>2.09E-5</v>
      </c>
      <c r="E863" s="231">
        <v>6864.37</v>
      </c>
      <c r="F863" s="231">
        <v>9380</v>
      </c>
      <c r="G863" s="231">
        <v>45842</v>
      </c>
      <c r="H863" s="231"/>
      <c r="I863" s="232">
        <v>861.3</v>
      </c>
      <c r="J863" s="232">
        <v>40173</v>
      </c>
      <c r="K863" s="232">
        <v>3140</v>
      </c>
      <c r="L863" s="231">
        <v>2153</v>
      </c>
      <c r="M863" s="231"/>
      <c r="N863" s="232">
        <v>1606</v>
      </c>
      <c r="O863" s="232">
        <v>14827</v>
      </c>
      <c r="P863" s="232">
        <v>0</v>
      </c>
      <c r="Q863" s="231">
        <v>1856</v>
      </c>
      <c r="R863" s="232">
        <f t="shared" si="13"/>
        <v>25346</v>
      </c>
      <c r="S863" s="231"/>
      <c r="T863" s="232">
        <v>12253</v>
      </c>
      <c r="U863" s="233">
        <v>541</v>
      </c>
      <c r="V863" s="233">
        <v>12794</v>
      </c>
    </row>
    <row r="864" spans="1:22">
      <c r="A864" s="226">
        <v>99501</v>
      </c>
      <c r="B864" s="227" t="s">
        <v>1570</v>
      </c>
      <c r="C864" s="87">
        <v>1.7390000000000001E-3</v>
      </c>
      <c r="D864" s="87">
        <v>1.7404E-3</v>
      </c>
      <c r="E864" s="231">
        <v>717899.84</v>
      </c>
      <c r="F864" s="231">
        <v>781081</v>
      </c>
      <c r="G864" s="231">
        <v>3690741</v>
      </c>
      <c r="H864" s="231"/>
      <c r="I864" s="232">
        <v>69343</v>
      </c>
      <c r="J864" s="232">
        <v>3234265</v>
      </c>
      <c r="K864" s="232">
        <v>252783</v>
      </c>
      <c r="L864" s="231">
        <v>5725</v>
      </c>
      <c r="M864" s="231"/>
      <c r="N864" s="232">
        <v>129328</v>
      </c>
      <c r="O864" s="232">
        <v>1193750</v>
      </c>
      <c r="P864" s="232">
        <v>0</v>
      </c>
      <c r="Q864" s="231">
        <v>0</v>
      </c>
      <c r="R864" s="232">
        <f t="shared" si="13"/>
        <v>2040515</v>
      </c>
      <c r="S864" s="231"/>
      <c r="T864" s="232">
        <v>986481</v>
      </c>
      <c r="U864" s="233">
        <v>1961</v>
      </c>
      <c r="V864" s="233">
        <v>988442</v>
      </c>
    </row>
    <row r="865" spans="1:22">
      <c r="A865" s="226">
        <v>99502</v>
      </c>
      <c r="B865" s="227" t="s">
        <v>1571</v>
      </c>
      <c r="C865" s="87">
        <v>1.3779999999999999E-4</v>
      </c>
      <c r="D865" s="87">
        <v>1.628E-4</v>
      </c>
      <c r="E865" s="231">
        <v>87805.53</v>
      </c>
      <c r="F865" s="231">
        <v>73064</v>
      </c>
      <c r="G865" s="231">
        <v>292458</v>
      </c>
      <c r="H865" s="231"/>
      <c r="I865" s="232">
        <v>5495</v>
      </c>
      <c r="J865" s="232">
        <v>256286</v>
      </c>
      <c r="K865" s="232">
        <v>20031</v>
      </c>
      <c r="L865" s="231">
        <v>28542</v>
      </c>
      <c r="M865" s="231"/>
      <c r="N865" s="232">
        <v>10248</v>
      </c>
      <c r="O865" s="232">
        <v>94594</v>
      </c>
      <c r="P865" s="232">
        <v>0</v>
      </c>
      <c r="Q865" s="231">
        <v>143</v>
      </c>
      <c r="R865" s="232">
        <f t="shared" si="13"/>
        <v>161692</v>
      </c>
      <c r="S865" s="231"/>
      <c r="T865" s="232">
        <v>78170</v>
      </c>
      <c r="U865" s="233">
        <v>8980</v>
      </c>
      <c r="V865" s="233">
        <v>87150</v>
      </c>
    </row>
    <row r="866" spans="1:22">
      <c r="A866" s="226">
        <v>99508</v>
      </c>
      <c r="B866" s="227" t="s">
        <v>1572</v>
      </c>
      <c r="C866" s="87">
        <v>2.1699999999999999E-5</v>
      </c>
      <c r="D866" s="87">
        <v>2.3200000000000001E-5</v>
      </c>
      <c r="E866" s="231">
        <v>8790.98</v>
      </c>
      <c r="F866" s="231">
        <v>10412</v>
      </c>
      <c r="G866" s="231">
        <v>46055</v>
      </c>
      <c r="H866" s="231"/>
      <c r="I866" s="232">
        <v>865</v>
      </c>
      <c r="J866" s="232">
        <v>40359</v>
      </c>
      <c r="K866" s="232">
        <v>3154</v>
      </c>
      <c r="L866" s="231">
        <v>0</v>
      </c>
      <c r="M866" s="231"/>
      <c r="N866" s="232">
        <v>1614</v>
      </c>
      <c r="O866" s="232">
        <v>14896</v>
      </c>
      <c r="P866" s="232">
        <v>0</v>
      </c>
      <c r="Q866" s="231">
        <v>2564</v>
      </c>
      <c r="R866" s="232">
        <f t="shared" si="13"/>
        <v>25463</v>
      </c>
      <c r="S866" s="231"/>
      <c r="T866" s="232">
        <v>12310</v>
      </c>
      <c r="U866" s="233">
        <v>-994</v>
      </c>
      <c r="V866" s="233">
        <v>11316</v>
      </c>
    </row>
    <row r="867" spans="1:22">
      <c r="A867" s="226">
        <v>99509</v>
      </c>
      <c r="B867" s="227" t="s">
        <v>1573</v>
      </c>
      <c r="C867" s="87">
        <v>2.8900000000000001E-5</v>
      </c>
      <c r="D867" s="87">
        <v>2.87E-5</v>
      </c>
      <c r="E867" s="231">
        <v>10373.91</v>
      </c>
      <c r="F867" s="231">
        <v>12880</v>
      </c>
      <c r="G867" s="231">
        <v>61335</v>
      </c>
      <c r="H867" s="231"/>
      <c r="I867" s="232">
        <v>1152.3875</v>
      </c>
      <c r="J867" s="232">
        <v>53749</v>
      </c>
      <c r="K867" s="232">
        <v>4201</v>
      </c>
      <c r="L867" s="231">
        <v>0</v>
      </c>
      <c r="M867" s="231"/>
      <c r="N867" s="232">
        <v>2149</v>
      </c>
      <c r="O867" s="232">
        <v>19839</v>
      </c>
      <c r="P867" s="232">
        <v>0</v>
      </c>
      <c r="Q867" s="231">
        <v>8463</v>
      </c>
      <c r="R867" s="232">
        <f t="shared" si="13"/>
        <v>33910</v>
      </c>
      <c r="S867" s="231"/>
      <c r="T867" s="232">
        <v>16394</v>
      </c>
      <c r="U867" s="233">
        <v>-3831</v>
      </c>
      <c r="V867" s="233">
        <v>12563</v>
      </c>
    </row>
    <row r="868" spans="1:22">
      <c r="A868" s="226">
        <v>99511</v>
      </c>
      <c r="B868" s="227" t="s">
        <v>1574</v>
      </c>
      <c r="C868" s="87">
        <v>1.3638000000000001E-3</v>
      </c>
      <c r="D868" s="87">
        <v>1.4238E-3</v>
      </c>
      <c r="E868" s="231">
        <v>513320.93</v>
      </c>
      <c r="F868" s="231">
        <v>638993</v>
      </c>
      <c r="G868" s="231">
        <v>2894440</v>
      </c>
      <c r="H868" s="231"/>
      <c r="I868" s="232">
        <v>54382</v>
      </c>
      <c r="J868" s="232">
        <v>2536453</v>
      </c>
      <c r="K868" s="232">
        <v>198243</v>
      </c>
      <c r="L868" s="231">
        <v>6972</v>
      </c>
      <c r="M868" s="231"/>
      <c r="N868" s="232">
        <v>101424</v>
      </c>
      <c r="O868" s="232">
        <v>936191</v>
      </c>
      <c r="P868" s="232">
        <v>0</v>
      </c>
      <c r="Q868" s="231">
        <v>87693</v>
      </c>
      <c r="R868" s="232">
        <f t="shared" si="13"/>
        <v>1600262</v>
      </c>
      <c r="S868" s="231"/>
      <c r="T868" s="232">
        <v>773641</v>
      </c>
      <c r="U868" s="233">
        <v>-24491</v>
      </c>
      <c r="V868" s="233">
        <v>749150</v>
      </c>
    </row>
    <row r="869" spans="1:22">
      <c r="A869" s="226">
        <v>99521</v>
      </c>
      <c r="B869" s="227" t="s">
        <v>1575</v>
      </c>
      <c r="C869" s="87">
        <v>4.0180000000000001E-4</v>
      </c>
      <c r="D869" s="87">
        <v>4.0989999999999999E-4</v>
      </c>
      <c r="E869" s="231">
        <v>150146.22</v>
      </c>
      <c r="F869" s="231">
        <v>183961</v>
      </c>
      <c r="G869" s="231">
        <v>852754</v>
      </c>
      <c r="H869" s="231"/>
      <c r="I869" s="232">
        <v>16022</v>
      </c>
      <c r="J869" s="232">
        <v>747285</v>
      </c>
      <c r="K869" s="232">
        <v>58406</v>
      </c>
      <c r="L869" s="231">
        <v>1435</v>
      </c>
      <c r="M869" s="231"/>
      <c r="N869" s="232">
        <v>29881</v>
      </c>
      <c r="O869" s="232">
        <v>275819</v>
      </c>
      <c r="P869" s="232">
        <v>0</v>
      </c>
      <c r="Q869" s="231">
        <v>21691</v>
      </c>
      <c r="R869" s="232">
        <f t="shared" si="13"/>
        <v>471466</v>
      </c>
      <c r="S869" s="231"/>
      <c r="T869" s="232">
        <v>227929</v>
      </c>
      <c r="U869" s="233">
        <v>-5406</v>
      </c>
      <c r="V869" s="233">
        <v>222522</v>
      </c>
    </row>
    <row r="870" spans="1:22">
      <c r="A870" s="226">
        <v>99527</v>
      </c>
      <c r="B870" s="227" t="s">
        <v>1576</v>
      </c>
      <c r="C870" s="87">
        <v>1.2099999999999999E-5</v>
      </c>
      <c r="D870" s="87">
        <v>1.1800000000000001E-5</v>
      </c>
      <c r="E870" s="231">
        <v>5273.87</v>
      </c>
      <c r="F870" s="231">
        <v>5296</v>
      </c>
      <c r="G870" s="231">
        <v>25680</v>
      </c>
      <c r="H870" s="231"/>
      <c r="I870" s="232">
        <v>482</v>
      </c>
      <c r="J870" s="232">
        <v>22504</v>
      </c>
      <c r="K870" s="232">
        <v>1759</v>
      </c>
      <c r="L870" s="231">
        <v>1404</v>
      </c>
      <c r="M870" s="231"/>
      <c r="N870" s="232">
        <v>900</v>
      </c>
      <c r="O870" s="232">
        <v>8306</v>
      </c>
      <c r="P870" s="232">
        <v>0</v>
      </c>
      <c r="Q870" s="231">
        <v>0</v>
      </c>
      <c r="R870" s="232">
        <f t="shared" si="13"/>
        <v>14198</v>
      </c>
      <c r="S870" s="231"/>
      <c r="T870" s="232">
        <v>6864</v>
      </c>
      <c r="U870" s="233">
        <v>529</v>
      </c>
      <c r="V870" s="233">
        <v>7393</v>
      </c>
    </row>
    <row r="871" spans="1:22">
      <c r="A871" s="226">
        <v>99531</v>
      </c>
      <c r="B871" s="227" t="s">
        <v>1577</v>
      </c>
      <c r="C871" s="87">
        <v>8.7600000000000002E-5</v>
      </c>
      <c r="D871" s="87">
        <v>8.8200000000000003E-5</v>
      </c>
      <c r="E871" s="231">
        <v>67487.070000000007</v>
      </c>
      <c r="F871" s="231">
        <v>39584</v>
      </c>
      <c r="G871" s="231">
        <v>185917</v>
      </c>
      <c r="H871" s="231"/>
      <c r="I871" s="232">
        <v>3493.05</v>
      </c>
      <c r="J871" s="232">
        <v>162922</v>
      </c>
      <c r="K871" s="232">
        <v>12734</v>
      </c>
      <c r="L871" s="231">
        <v>39764</v>
      </c>
      <c r="M871" s="231"/>
      <c r="N871" s="232">
        <v>6515</v>
      </c>
      <c r="O871" s="232">
        <v>60134</v>
      </c>
      <c r="P871" s="232">
        <v>0</v>
      </c>
      <c r="Q871" s="231">
        <v>0</v>
      </c>
      <c r="R871" s="232">
        <f t="shared" si="13"/>
        <v>102788</v>
      </c>
      <c r="S871" s="231"/>
      <c r="T871" s="232">
        <v>49693</v>
      </c>
      <c r="U871" s="233">
        <v>11839</v>
      </c>
      <c r="V871" s="233">
        <v>61531</v>
      </c>
    </row>
    <row r="872" spans="1:22">
      <c r="A872" s="226">
        <v>99601</v>
      </c>
      <c r="B872" s="227" t="s">
        <v>1578</v>
      </c>
      <c r="C872" s="87">
        <v>5.2824999999999999E-3</v>
      </c>
      <c r="D872" s="87">
        <v>5.3274999999999998E-3</v>
      </c>
      <c r="E872" s="231">
        <v>2087469.1900000002</v>
      </c>
      <c r="F872" s="231">
        <v>2390950</v>
      </c>
      <c r="G872" s="231">
        <v>11211235</v>
      </c>
      <c r="H872" s="231"/>
      <c r="I872" s="232">
        <v>210640</v>
      </c>
      <c r="J872" s="232">
        <v>9824615</v>
      </c>
      <c r="K872" s="232">
        <v>767869</v>
      </c>
      <c r="L872" s="231">
        <v>60572</v>
      </c>
      <c r="M872" s="231"/>
      <c r="N872" s="232">
        <v>392854</v>
      </c>
      <c r="O872" s="232">
        <v>3626214</v>
      </c>
      <c r="P872" s="232">
        <v>0</v>
      </c>
      <c r="Q872" s="231">
        <v>101945</v>
      </c>
      <c r="R872" s="232">
        <f t="shared" si="13"/>
        <v>6198401</v>
      </c>
      <c r="S872" s="231"/>
      <c r="T872" s="232">
        <v>2996598</v>
      </c>
      <c r="U872" s="233">
        <v>-7395</v>
      </c>
      <c r="V872" s="233">
        <v>2989204</v>
      </c>
    </row>
    <row r="873" spans="1:22">
      <c r="A873" s="226">
        <v>99602</v>
      </c>
      <c r="B873" s="227" t="s">
        <v>1579</v>
      </c>
      <c r="C873" s="87">
        <v>5.1700000000000003E-5</v>
      </c>
      <c r="D873" s="87">
        <v>5.13E-5</v>
      </c>
      <c r="E873" s="231">
        <v>23478.31</v>
      </c>
      <c r="F873" s="231">
        <v>23023</v>
      </c>
      <c r="G873" s="231">
        <v>109725</v>
      </c>
      <c r="H873" s="231"/>
      <c r="I873" s="232">
        <v>2062</v>
      </c>
      <c r="J873" s="232">
        <v>96154</v>
      </c>
      <c r="K873" s="232">
        <v>7515</v>
      </c>
      <c r="L873" s="231">
        <v>5410</v>
      </c>
      <c r="M873" s="231"/>
      <c r="N873" s="232">
        <v>3845</v>
      </c>
      <c r="O873" s="232">
        <v>35490</v>
      </c>
      <c r="P873" s="232">
        <v>0</v>
      </c>
      <c r="Q873" s="231">
        <v>4155</v>
      </c>
      <c r="R873" s="232">
        <f t="shared" si="13"/>
        <v>60664</v>
      </c>
      <c r="S873" s="231"/>
      <c r="T873" s="232">
        <v>29328</v>
      </c>
      <c r="U873" s="233">
        <v>-358</v>
      </c>
      <c r="V873" s="233">
        <v>28969</v>
      </c>
    </row>
    <row r="874" spans="1:22">
      <c r="A874" s="226">
        <v>99603</v>
      </c>
      <c r="B874" s="227" t="s">
        <v>1580</v>
      </c>
      <c r="C874" s="87">
        <v>1.4219999999999999E-4</v>
      </c>
      <c r="D874" s="87">
        <v>1.474E-4</v>
      </c>
      <c r="E874" s="231">
        <v>137622.59000000003</v>
      </c>
      <c r="F874" s="231">
        <v>66152</v>
      </c>
      <c r="G874" s="231">
        <v>301796</v>
      </c>
      <c r="H874" s="231"/>
      <c r="I874" s="232">
        <v>5670</v>
      </c>
      <c r="J874" s="232">
        <v>264470</v>
      </c>
      <c r="K874" s="232">
        <v>20670</v>
      </c>
      <c r="L874" s="231">
        <v>103545</v>
      </c>
      <c r="M874" s="231"/>
      <c r="N874" s="232">
        <v>10575</v>
      </c>
      <c r="O874" s="232">
        <v>97614</v>
      </c>
      <c r="P874" s="232">
        <v>0</v>
      </c>
      <c r="Q874" s="231">
        <v>0</v>
      </c>
      <c r="R874" s="232">
        <f t="shared" si="13"/>
        <v>166856</v>
      </c>
      <c r="S874" s="231"/>
      <c r="T874" s="232">
        <v>80666</v>
      </c>
      <c r="U874" s="233">
        <v>31526</v>
      </c>
      <c r="V874" s="233">
        <v>112191</v>
      </c>
    </row>
    <row r="875" spans="1:22">
      <c r="A875" s="226">
        <v>99604</v>
      </c>
      <c r="B875" s="227" t="s">
        <v>1581</v>
      </c>
      <c r="C875" s="87">
        <v>9.6899999999999997E-5</v>
      </c>
      <c r="D875" s="87">
        <v>9.3300000000000005E-5</v>
      </c>
      <c r="E875" s="231">
        <v>45605.87000000001</v>
      </c>
      <c r="F875" s="231">
        <v>41872</v>
      </c>
      <c r="G875" s="231">
        <v>205654</v>
      </c>
      <c r="H875" s="231"/>
      <c r="I875" s="232">
        <v>3864</v>
      </c>
      <c r="J875" s="232">
        <v>180219</v>
      </c>
      <c r="K875" s="232">
        <v>14085</v>
      </c>
      <c r="L875" s="231">
        <v>20600</v>
      </c>
      <c r="M875" s="231"/>
      <c r="N875" s="232">
        <v>7206</v>
      </c>
      <c r="O875" s="232">
        <v>66518</v>
      </c>
      <c r="P875" s="232">
        <v>0</v>
      </c>
      <c r="Q875" s="231">
        <v>0</v>
      </c>
      <c r="R875" s="232">
        <f t="shared" si="13"/>
        <v>113701</v>
      </c>
      <c r="S875" s="231"/>
      <c r="T875" s="232">
        <v>54968</v>
      </c>
      <c r="U875" s="233">
        <v>7597</v>
      </c>
      <c r="V875" s="233">
        <v>62566</v>
      </c>
    </row>
    <row r="876" spans="1:22">
      <c r="A876" s="226">
        <v>99609</v>
      </c>
      <c r="B876" s="227" t="s">
        <v>1582</v>
      </c>
      <c r="C876" s="87">
        <v>2.0999999999999999E-5</v>
      </c>
      <c r="D876" s="87">
        <v>1.98E-5</v>
      </c>
      <c r="E876" s="231">
        <v>10787.510000000002</v>
      </c>
      <c r="F876" s="231">
        <v>8886</v>
      </c>
      <c r="G876" s="231">
        <v>44569</v>
      </c>
      <c r="H876" s="231"/>
      <c r="I876" s="232">
        <v>837.375</v>
      </c>
      <c r="J876" s="232">
        <v>39057</v>
      </c>
      <c r="K876" s="232">
        <v>3053</v>
      </c>
      <c r="L876" s="231">
        <v>5629</v>
      </c>
      <c r="M876" s="231"/>
      <c r="N876" s="232">
        <v>1562</v>
      </c>
      <c r="O876" s="232">
        <v>14416</v>
      </c>
      <c r="P876" s="232">
        <v>0</v>
      </c>
      <c r="Q876" s="231">
        <v>0</v>
      </c>
      <c r="R876" s="232">
        <f t="shared" si="13"/>
        <v>24641</v>
      </c>
      <c r="S876" s="231"/>
      <c r="T876" s="232">
        <v>11913</v>
      </c>
      <c r="U876" s="233">
        <v>2074</v>
      </c>
      <c r="V876" s="233">
        <v>13986</v>
      </c>
    </row>
    <row r="877" spans="1:22">
      <c r="A877" s="226">
        <v>99610</v>
      </c>
      <c r="B877" s="227" t="s">
        <v>1583</v>
      </c>
      <c r="C877" s="87">
        <v>1.9440000000000001E-4</v>
      </c>
      <c r="D877" s="87">
        <v>1.883E-4</v>
      </c>
      <c r="E877" s="231">
        <v>78017.36</v>
      </c>
      <c r="F877" s="231">
        <v>84508</v>
      </c>
      <c r="G877" s="231">
        <v>412582</v>
      </c>
      <c r="H877" s="231"/>
      <c r="I877" s="232">
        <v>7752</v>
      </c>
      <c r="J877" s="232">
        <v>361553</v>
      </c>
      <c r="K877" s="232">
        <v>28258</v>
      </c>
      <c r="L877" s="231">
        <v>4583</v>
      </c>
      <c r="M877" s="231"/>
      <c r="N877" s="232">
        <v>14457</v>
      </c>
      <c r="O877" s="232">
        <v>133447</v>
      </c>
      <c r="P877" s="232">
        <v>0</v>
      </c>
      <c r="Q877" s="231">
        <v>1313</v>
      </c>
      <c r="R877" s="232">
        <f t="shared" si="13"/>
        <v>228106</v>
      </c>
      <c r="S877" s="231"/>
      <c r="T877" s="232">
        <v>110277</v>
      </c>
      <c r="U877" s="233">
        <v>1406</v>
      </c>
      <c r="V877" s="233">
        <v>111683</v>
      </c>
    </row>
    <row r="878" spans="1:22">
      <c r="A878" s="226">
        <v>99611</v>
      </c>
      <c r="B878" s="227" t="s">
        <v>1584</v>
      </c>
      <c r="C878" s="87">
        <v>3.1495999999999998E-3</v>
      </c>
      <c r="D878" s="87">
        <v>3.4461000000000001E-3</v>
      </c>
      <c r="E878" s="231">
        <v>1274178.99</v>
      </c>
      <c r="F878" s="231">
        <v>1546589</v>
      </c>
      <c r="G878" s="231">
        <v>6684506</v>
      </c>
      <c r="H878" s="231"/>
      <c r="I878" s="232">
        <v>125590</v>
      </c>
      <c r="J878" s="232">
        <v>5857758</v>
      </c>
      <c r="K878" s="232">
        <v>457829</v>
      </c>
      <c r="L878" s="231">
        <v>0</v>
      </c>
      <c r="M878" s="231"/>
      <c r="N878" s="232">
        <v>234233</v>
      </c>
      <c r="O878" s="232">
        <v>2162068</v>
      </c>
      <c r="P878" s="232">
        <v>0</v>
      </c>
      <c r="Q878" s="231">
        <v>295351</v>
      </c>
      <c r="R878" s="232">
        <f t="shared" si="13"/>
        <v>3695690</v>
      </c>
      <c r="S878" s="231"/>
      <c r="T878" s="232">
        <v>1786670</v>
      </c>
      <c r="U878" s="233">
        <v>-97649</v>
      </c>
      <c r="V878" s="233">
        <v>1689022</v>
      </c>
    </row>
    <row r="879" spans="1:22">
      <c r="A879" s="226">
        <v>99613</v>
      </c>
      <c r="B879" s="227" t="s">
        <v>1585</v>
      </c>
      <c r="C879" s="87">
        <v>3.369E-4</v>
      </c>
      <c r="D879" s="87">
        <v>2.6350000000000001E-4</v>
      </c>
      <c r="E879" s="231">
        <v>287693.51</v>
      </c>
      <c r="F879" s="231">
        <v>118257</v>
      </c>
      <c r="G879" s="231">
        <v>715015</v>
      </c>
      <c r="H879" s="231"/>
      <c r="I879" s="232">
        <v>13434</v>
      </c>
      <c r="J879" s="232">
        <v>626581</v>
      </c>
      <c r="K879" s="232">
        <v>48972</v>
      </c>
      <c r="L879" s="231">
        <v>227196</v>
      </c>
      <c r="M879" s="231"/>
      <c r="N879" s="232">
        <v>25055</v>
      </c>
      <c r="O879" s="232">
        <v>231268</v>
      </c>
      <c r="P879" s="232">
        <v>0</v>
      </c>
      <c r="Q879" s="231">
        <v>0</v>
      </c>
      <c r="R879" s="232">
        <f t="shared" si="13"/>
        <v>395313</v>
      </c>
      <c r="S879" s="231"/>
      <c r="T879" s="232">
        <v>191113</v>
      </c>
      <c r="U879" s="233">
        <v>65914</v>
      </c>
      <c r="V879" s="233">
        <v>257027</v>
      </c>
    </row>
    <row r="880" spans="1:22">
      <c r="A880" s="226">
        <v>99621</v>
      </c>
      <c r="B880" s="227" t="s">
        <v>1586</v>
      </c>
      <c r="C880" s="87">
        <v>3.2850000000000002E-4</v>
      </c>
      <c r="D880" s="87">
        <v>2.9550000000000003E-4</v>
      </c>
      <c r="E880" s="231">
        <v>133172.19</v>
      </c>
      <c r="F880" s="231">
        <v>132619</v>
      </c>
      <c r="G880" s="231">
        <v>697187</v>
      </c>
      <c r="H880" s="231"/>
      <c r="I880" s="232">
        <v>13098.9375</v>
      </c>
      <c r="J880" s="232">
        <v>610958</v>
      </c>
      <c r="K880" s="232">
        <v>47751</v>
      </c>
      <c r="L880" s="231">
        <v>25982</v>
      </c>
      <c r="M880" s="231"/>
      <c r="N880" s="232">
        <v>24430</v>
      </c>
      <c r="O880" s="232">
        <v>225501</v>
      </c>
      <c r="P880" s="232">
        <v>0</v>
      </c>
      <c r="Q880" s="231">
        <v>7236</v>
      </c>
      <c r="R880" s="232">
        <f t="shared" si="13"/>
        <v>385457</v>
      </c>
      <c r="S880" s="231"/>
      <c r="T880" s="232">
        <v>186348</v>
      </c>
      <c r="U880" s="233">
        <v>6510</v>
      </c>
      <c r="V880" s="233">
        <v>192858</v>
      </c>
    </row>
    <row r="881" spans="1:22">
      <c r="A881" s="226">
        <v>99623</v>
      </c>
      <c r="B881" s="227" t="s">
        <v>1587</v>
      </c>
      <c r="C881" s="87">
        <v>2.9200000000000002E-5</v>
      </c>
      <c r="D881" s="87">
        <v>2.1299999999999999E-5</v>
      </c>
      <c r="E881" s="231">
        <v>8301.6</v>
      </c>
      <c r="F881" s="231">
        <v>9559</v>
      </c>
      <c r="G881" s="231">
        <v>61972</v>
      </c>
      <c r="H881" s="231"/>
      <c r="I881" s="232">
        <v>1164</v>
      </c>
      <c r="J881" s="232">
        <v>54307</v>
      </c>
      <c r="K881" s="232">
        <v>4245</v>
      </c>
      <c r="L881" s="231">
        <v>3598</v>
      </c>
      <c r="M881" s="231"/>
      <c r="N881" s="232">
        <v>2172</v>
      </c>
      <c r="O881" s="232">
        <v>20045</v>
      </c>
      <c r="P881" s="232">
        <v>0</v>
      </c>
      <c r="Q881" s="231">
        <v>316</v>
      </c>
      <c r="R881" s="232">
        <f t="shared" si="13"/>
        <v>34262</v>
      </c>
      <c r="S881" s="231"/>
      <c r="T881" s="232">
        <v>16564</v>
      </c>
      <c r="U881" s="233">
        <v>989</v>
      </c>
      <c r="V881" s="233">
        <v>17554</v>
      </c>
    </row>
    <row r="882" spans="1:22">
      <c r="A882" s="226">
        <v>99631</v>
      </c>
      <c r="B882" s="227" t="s">
        <v>1588</v>
      </c>
      <c r="C882" s="87">
        <v>1.0340000000000001E-4</v>
      </c>
      <c r="D882" s="87">
        <v>9.8599999999999998E-5</v>
      </c>
      <c r="E882" s="231">
        <v>37652.259999999995</v>
      </c>
      <c r="F882" s="231">
        <v>44251</v>
      </c>
      <c r="G882" s="231">
        <v>219449</v>
      </c>
      <c r="H882" s="231"/>
      <c r="I882" s="232">
        <v>4123</v>
      </c>
      <c r="J882" s="232">
        <v>192308</v>
      </c>
      <c r="K882" s="232">
        <v>15030</v>
      </c>
      <c r="L882" s="231">
        <v>0</v>
      </c>
      <c r="M882" s="231"/>
      <c r="N882" s="232">
        <v>7690</v>
      </c>
      <c r="O882" s="232">
        <v>70980</v>
      </c>
      <c r="P882" s="232">
        <v>0</v>
      </c>
      <c r="Q882" s="231">
        <v>9381</v>
      </c>
      <c r="R882" s="232">
        <f t="shared" si="13"/>
        <v>121328</v>
      </c>
      <c r="S882" s="231"/>
      <c r="T882" s="232">
        <v>58656</v>
      </c>
      <c r="U882" s="233">
        <v>-4222</v>
      </c>
      <c r="V882" s="233">
        <v>54433</v>
      </c>
    </row>
    <row r="883" spans="1:22">
      <c r="A883" s="226">
        <v>99651</v>
      </c>
      <c r="B883" s="227" t="s">
        <v>1589</v>
      </c>
      <c r="C883" s="87">
        <v>6.7100000000000005E-5</v>
      </c>
      <c r="D883" s="87">
        <v>5.7500000000000002E-5</v>
      </c>
      <c r="E883" s="231">
        <v>24616.559999999998</v>
      </c>
      <c r="F883" s="231">
        <v>25806</v>
      </c>
      <c r="G883" s="231">
        <v>142409</v>
      </c>
      <c r="H883" s="231"/>
      <c r="I883" s="232">
        <v>2676</v>
      </c>
      <c r="J883" s="232">
        <v>124795</v>
      </c>
      <c r="K883" s="232">
        <v>9754</v>
      </c>
      <c r="L883" s="231">
        <v>8790</v>
      </c>
      <c r="M883" s="231"/>
      <c r="N883" s="232">
        <v>4990</v>
      </c>
      <c r="O883" s="232">
        <v>46061</v>
      </c>
      <c r="P883" s="232">
        <v>0</v>
      </c>
      <c r="Q883" s="231">
        <v>2840</v>
      </c>
      <c r="R883" s="232">
        <f t="shared" si="13"/>
        <v>78734</v>
      </c>
      <c r="S883" s="231"/>
      <c r="T883" s="232">
        <v>38064</v>
      </c>
      <c r="U883" s="233">
        <v>1419</v>
      </c>
      <c r="V883" s="233">
        <v>39483</v>
      </c>
    </row>
    <row r="884" spans="1:22">
      <c r="A884" s="226">
        <v>99661</v>
      </c>
      <c r="B884" s="227" t="s">
        <v>1590</v>
      </c>
      <c r="C884" s="87">
        <v>3.5500000000000002E-5</v>
      </c>
      <c r="D884" s="87">
        <v>3.4900000000000001E-5</v>
      </c>
      <c r="E884" s="231">
        <v>34311.1</v>
      </c>
      <c r="F884" s="231">
        <v>15663</v>
      </c>
      <c r="G884" s="231">
        <v>75343</v>
      </c>
      <c r="H884" s="231"/>
      <c r="I884" s="232">
        <v>1415.5625</v>
      </c>
      <c r="J884" s="232">
        <v>66024</v>
      </c>
      <c r="K884" s="232">
        <v>5160</v>
      </c>
      <c r="L884" s="231">
        <v>30447</v>
      </c>
      <c r="M884" s="231"/>
      <c r="N884" s="232">
        <v>2640</v>
      </c>
      <c r="O884" s="232">
        <v>24369</v>
      </c>
      <c r="P884" s="232">
        <v>0</v>
      </c>
      <c r="Q884" s="231">
        <v>0</v>
      </c>
      <c r="R884" s="232">
        <f t="shared" si="13"/>
        <v>41655</v>
      </c>
      <c r="S884" s="231"/>
      <c r="T884" s="232">
        <v>20138</v>
      </c>
      <c r="U884" s="233">
        <v>9415</v>
      </c>
      <c r="V884" s="233">
        <v>29553</v>
      </c>
    </row>
    <row r="885" spans="1:22">
      <c r="A885" s="226">
        <v>99701</v>
      </c>
      <c r="B885" s="227" t="s">
        <v>1591</v>
      </c>
      <c r="C885" s="87">
        <v>2.8774E-3</v>
      </c>
      <c r="D885" s="87">
        <v>2.7742000000000001E-3</v>
      </c>
      <c r="E885" s="231">
        <v>1127824.9099999999</v>
      </c>
      <c r="F885" s="231">
        <v>1245044</v>
      </c>
      <c r="G885" s="231">
        <v>6106807</v>
      </c>
      <c r="H885" s="231"/>
      <c r="I885" s="232">
        <v>114736</v>
      </c>
      <c r="J885" s="232">
        <v>5351509</v>
      </c>
      <c r="K885" s="232">
        <v>418262</v>
      </c>
      <c r="L885" s="231">
        <v>31037</v>
      </c>
      <c r="M885" s="231"/>
      <c r="N885" s="232">
        <v>213989</v>
      </c>
      <c r="O885" s="232">
        <v>1975214</v>
      </c>
      <c r="P885" s="232">
        <v>0</v>
      </c>
      <c r="Q885" s="231">
        <v>19671</v>
      </c>
      <c r="R885" s="232">
        <f t="shared" si="13"/>
        <v>3376295</v>
      </c>
      <c r="S885" s="231"/>
      <c r="T885" s="232">
        <v>1632260</v>
      </c>
      <c r="U885" s="233">
        <v>-10</v>
      </c>
      <c r="V885" s="233">
        <v>1632250</v>
      </c>
    </row>
    <row r="886" spans="1:22">
      <c r="A886" s="226">
        <v>99705</v>
      </c>
      <c r="B886" s="227" t="s">
        <v>1592</v>
      </c>
      <c r="C886" s="87">
        <v>1.7259999999999999E-4</v>
      </c>
      <c r="D886" s="87">
        <v>1.7660000000000001E-4</v>
      </c>
      <c r="E886" s="231">
        <v>76713.119999999995</v>
      </c>
      <c r="F886" s="231">
        <v>79257</v>
      </c>
      <c r="G886" s="231">
        <v>366315</v>
      </c>
      <c r="H886" s="231"/>
      <c r="I886" s="232">
        <v>6882</v>
      </c>
      <c r="J886" s="232">
        <v>321009</v>
      </c>
      <c r="K886" s="232">
        <v>25089</v>
      </c>
      <c r="L886" s="231">
        <v>11090</v>
      </c>
      <c r="M886" s="231"/>
      <c r="N886" s="232">
        <v>12836</v>
      </c>
      <c r="O886" s="232">
        <v>118483</v>
      </c>
      <c r="P886" s="232">
        <v>0</v>
      </c>
      <c r="Q886" s="231">
        <v>842</v>
      </c>
      <c r="R886" s="232">
        <f t="shared" si="13"/>
        <v>202526</v>
      </c>
      <c r="S886" s="231"/>
      <c r="T886" s="232">
        <v>97911</v>
      </c>
      <c r="U886" s="233">
        <v>4693</v>
      </c>
      <c r="V886" s="233">
        <v>102604</v>
      </c>
    </row>
    <row r="887" spans="1:22">
      <c r="A887" s="226">
        <v>99711</v>
      </c>
      <c r="B887" s="227" t="s">
        <v>1593</v>
      </c>
      <c r="C887" s="87">
        <v>4.3540000000000001E-4</v>
      </c>
      <c r="D887" s="87">
        <v>4.506E-4</v>
      </c>
      <c r="E887" s="231">
        <v>185440.27</v>
      </c>
      <c r="F887" s="231">
        <v>202227</v>
      </c>
      <c r="G887" s="231">
        <v>924065</v>
      </c>
      <c r="H887" s="231"/>
      <c r="I887" s="232">
        <v>17362</v>
      </c>
      <c r="J887" s="232">
        <v>809775</v>
      </c>
      <c r="K887" s="232">
        <v>63290</v>
      </c>
      <c r="L887" s="231">
        <v>1891</v>
      </c>
      <c r="M887" s="231"/>
      <c r="N887" s="232">
        <v>32380</v>
      </c>
      <c r="O887" s="232">
        <v>298884</v>
      </c>
      <c r="P887" s="232">
        <v>0</v>
      </c>
      <c r="Q887" s="231">
        <v>15994</v>
      </c>
      <c r="R887" s="232">
        <f t="shared" si="13"/>
        <v>510891</v>
      </c>
      <c r="S887" s="231"/>
      <c r="T887" s="232">
        <v>246989</v>
      </c>
      <c r="U887" s="233">
        <v>-4419</v>
      </c>
      <c r="V887" s="233">
        <v>242569</v>
      </c>
    </row>
    <row r="888" spans="1:22">
      <c r="A888" s="226">
        <v>99717</v>
      </c>
      <c r="B888" s="227" t="s">
        <v>1594</v>
      </c>
      <c r="C888" s="87">
        <v>2.3200000000000001E-5</v>
      </c>
      <c r="D888" s="87">
        <v>2.2399999999999999E-5</v>
      </c>
      <c r="E888" s="231">
        <v>7624.5799999999981</v>
      </c>
      <c r="F888" s="231">
        <v>10053</v>
      </c>
      <c r="G888" s="231">
        <v>49238</v>
      </c>
      <c r="H888" s="231"/>
      <c r="I888" s="232">
        <v>925.1</v>
      </c>
      <c r="J888" s="232">
        <v>43148</v>
      </c>
      <c r="K888" s="232">
        <v>3372</v>
      </c>
      <c r="L888" s="231">
        <v>0</v>
      </c>
      <c r="M888" s="231"/>
      <c r="N888" s="232">
        <v>1725</v>
      </c>
      <c r="O888" s="232">
        <v>15926</v>
      </c>
      <c r="P888" s="232">
        <v>0</v>
      </c>
      <c r="Q888" s="231">
        <v>2122</v>
      </c>
      <c r="R888" s="232">
        <f t="shared" si="13"/>
        <v>27222</v>
      </c>
      <c r="S888" s="231"/>
      <c r="T888" s="232">
        <v>13161</v>
      </c>
      <c r="U888" s="233">
        <v>-653</v>
      </c>
      <c r="V888" s="233">
        <v>12508</v>
      </c>
    </row>
    <row r="889" spans="1:22">
      <c r="A889" s="226">
        <v>99721</v>
      </c>
      <c r="B889" s="227" t="s">
        <v>1595</v>
      </c>
      <c r="C889" s="87">
        <v>6.2449999999999995E-4</v>
      </c>
      <c r="D889" s="87">
        <v>5.8460000000000001E-4</v>
      </c>
      <c r="E889" s="231">
        <v>220767.11</v>
      </c>
      <c r="F889" s="231">
        <v>262365</v>
      </c>
      <c r="G889" s="231">
        <v>1325398</v>
      </c>
      <c r="H889" s="231"/>
      <c r="I889" s="232">
        <v>24902</v>
      </c>
      <c r="J889" s="232">
        <v>1161471</v>
      </c>
      <c r="K889" s="232">
        <v>90778</v>
      </c>
      <c r="L889" s="231">
        <v>0</v>
      </c>
      <c r="M889" s="231"/>
      <c r="N889" s="232">
        <v>46443</v>
      </c>
      <c r="O889" s="232">
        <v>428693</v>
      </c>
      <c r="P889" s="232">
        <v>0</v>
      </c>
      <c r="Q889" s="231">
        <v>11340</v>
      </c>
      <c r="R889" s="232">
        <f t="shared" si="13"/>
        <v>732778</v>
      </c>
      <c r="S889" s="231"/>
      <c r="T889" s="232">
        <v>354259</v>
      </c>
      <c r="U889" s="233">
        <v>-3889</v>
      </c>
      <c r="V889" s="233">
        <v>350371</v>
      </c>
    </row>
    <row r="890" spans="1:22">
      <c r="A890" s="226">
        <v>99727</v>
      </c>
      <c r="B890" s="227" t="s">
        <v>1596</v>
      </c>
      <c r="C890" s="87">
        <v>2.5299999999999998E-5</v>
      </c>
      <c r="D890" s="87">
        <v>2.8099999999999999E-5</v>
      </c>
      <c r="E890" s="231">
        <v>45027.6</v>
      </c>
      <c r="F890" s="231">
        <v>12611</v>
      </c>
      <c r="G890" s="231">
        <v>53695</v>
      </c>
      <c r="H890" s="231"/>
      <c r="I890" s="232">
        <v>1008.8375</v>
      </c>
      <c r="J890" s="232">
        <v>47054</v>
      </c>
      <c r="K890" s="232">
        <v>3678</v>
      </c>
      <c r="L890" s="231">
        <v>46298</v>
      </c>
      <c r="M890" s="231"/>
      <c r="N890" s="232">
        <v>1882</v>
      </c>
      <c r="O890" s="232">
        <v>17367</v>
      </c>
      <c r="P890" s="232">
        <v>0</v>
      </c>
      <c r="Q890" s="231">
        <v>0</v>
      </c>
      <c r="R890" s="232">
        <f t="shared" si="13"/>
        <v>29687</v>
      </c>
      <c r="S890" s="231"/>
      <c r="T890" s="232">
        <v>14352</v>
      </c>
      <c r="U890" s="233">
        <v>14150</v>
      </c>
      <c r="V890" s="233">
        <v>28501</v>
      </c>
    </row>
    <row r="891" spans="1:22">
      <c r="A891" s="226">
        <v>99801</v>
      </c>
      <c r="B891" s="227" t="s">
        <v>1597</v>
      </c>
      <c r="C891" s="87">
        <v>5.1954999999999996E-3</v>
      </c>
      <c r="D891" s="87">
        <v>5.0806999999999996E-3</v>
      </c>
      <c r="E891" s="231">
        <v>2017956.21</v>
      </c>
      <c r="F891" s="231">
        <v>2280188</v>
      </c>
      <c r="G891" s="231">
        <v>11026591</v>
      </c>
      <c r="H891" s="231"/>
      <c r="I891" s="232">
        <v>207171</v>
      </c>
      <c r="J891" s="232">
        <v>9662809</v>
      </c>
      <c r="K891" s="232">
        <v>755223</v>
      </c>
      <c r="L891" s="231">
        <v>34255.86</v>
      </c>
      <c r="M891" s="231"/>
      <c r="N891" s="232">
        <v>386384</v>
      </c>
      <c r="O891" s="232">
        <v>3566493</v>
      </c>
      <c r="P891" s="232">
        <v>0</v>
      </c>
      <c r="Q891" s="231">
        <v>67721</v>
      </c>
      <c r="R891" s="232">
        <f t="shared" si="13"/>
        <v>6096316</v>
      </c>
      <c r="S891" s="231"/>
      <c r="T891" s="232">
        <v>2947246</v>
      </c>
      <c r="U891" s="233">
        <v>-3738</v>
      </c>
      <c r="V891" s="233">
        <v>2943508</v>
      </c>
    </row>
    <row r="892" spans="1:22">
      <c r="A892" s="226">
        <v>99802</v>
      </c>
      <c r="B892" s="227" t="s">
        <v>1598</v>
      </c>
      <c r="C892" s="87">
        <v>6.4999999999999996E-6</v>
      </c>
      <c r="D892" s="87">
        <v>7.7000000000000008E-6</v>
      </c>
      <c r="E892" s="231">
        <v>3763.7499999999995</v>
      </c>
      <c r="F892" s="231">
        <v>3456</v>
      </c>
      <c r="G892" s="231">
        <v>13795</v>
      </c>
      <c r="H892" s="231"/>
      <c r="I892" s="232">
        <v>259.1875</v>
      </c>
      <c r="J892" s="232">
        <v>12089</v>
      </c>
      <c r="K892" s="232">
        <v>945</v>
      </c>
      <c r="L892" s="231">
        <v>358</v>
      </c>
      <c r="M892" s="231"/>
      <c r="N892" s="232">
        <v>483</v>
      </c>
      <c r="O892" s="232">
        <v>4462</v>
      </c>
      <c r="P892" s="232">
        <v>0</v>
      </c>
      <c r="Q892" s="231">
        <v>107</v>
      </c>
      <c r="R892" s="232">
        <f t="shared" si="13"/>
        <v>7627</v>
      </c>
      <c r="S892" s="231"/>
      <c r="T892" s="232">
        <v>3687</v>
      </c>
      <c r="U892" s="233">
        <v>52</v>
      </c>
      <c r="V892" s="233">
        <v>3740</v>
      </c>
    </row>
    <row r="893" spans="1:22">
      <c r="A893" s="226">
        <v>99804</v>
      </c>
      <c r="B893" s="227" t="s">
        <v>1599</v>
      </c>
      <c r="C893" s="87">
        <v>8.6600000000000004E-5</v>
      </c>
      <c r="D893" s="87">
        <v>8.7999999999999998E-5</v>
      </c>
      <c r="E893" s="231">
        <v>41606.69999999999</v>
      </c>
      <c r="F893" s="231">
        <v>39494</v>
      </c>
      <c r="G893" s="231">
        <v>183794</v>
      </c>
      <c r="H893" s="231"/>
      <c r="I893" s="232">
        <v>3453</v>
      </c>
      <c r="J893" s="232">
        <v>161062</v>
      </c>
      <c r="K893" s="232">
        <v>12588</v>
      </c>
      <c r="L893" s="231">
        <v>10128</v>
      </c>
      <c r="M893" s="231"/>
      <c r="N893" s="232">
        <v>6440</v>
      </c>
      <c r="O893" s="232">
        <v>59447</v>
      </c>
      <c r="P893" s="232">
        <v>0</v>
      </c>
      <c r="Q893" s="231">
        <v>0</v>
      </c>
      <c r="R893" s="232">
        <f t="shared" si="13"/>
        <v>101615</v>
      </c>
      <c r="S893" s="231"/>
      <c r="T893" s="232">
        <v>49125</v>
      </c>
      <c r="U893" s="233">
        <v>3221</v>
      </c>
      <c r="V893" s="233">
        <v>52347</v>
      </c>
    </row>
    <row r="894" spans="1:22">
      <c r="A894" s="226">
        <v>99811</v>
      </c>
      <c r="B894" s="227" t="s">
        <v>1600</v>
      </c>
      <c r="C894" s="87">
        <v>6.8415000000000004E-3</v>
      </c>
      <c r="D894" s="87">
        <v>6.9579999999999998E-3</v>
      </c>
      <c r="E894" s="231">
        <v>2561770.62</v>
      </c>
      <c r="F894" s="231">
        <v>3122709</v>
      </c>
      <c r="G894" s="231">
        <v>14519955</v>
      </c>
      <c r="H894" s="231"/>
      <c r="I894" s="232">
        <v>272805</v>
      </c>
      <c r="J894" s="232">
        <v>12724109</v>
      </c>
      <c r="K894" s="232">
        <v>994487</v>
      </c>
      <c r="L894" s="231">
        <v>0</v>
      </c>
      <c r="M894" s="231"/>
      <c r="N894" s="232">
        <v>508796</v>
      </c>
      <c r="O894" s="232">
        <v>4696402</v>
      </c>
      <c r="P894" s="232">
        <v>0</v>
      </c>
      <c r="Q894" s="231">
        <v>526561</v>
      </c>
      <c r="R894" s="232">
        <f t="shared" si="13"/>
        <v>8027707</v>
      </c>
      <c r="S894" s="231"/>
      <c r="T894" s="232">
        <v>3880971</v>
      </c>
      <c r="U894" s="233">
        <v>-175139</v>
      </c>
      <c r="V894" s="233">
        <v>3705832</v>
      </c>
    </row>
    <row r="895" spans="1:22">
      <c r="A895" s="226">
        <v>99812</v>
      </c>
      <c r="B895" s="227" t="s">
        <v>1601</v>
      </c>
      <c r="C895" s="87">
        <v>2.5599999999999999E-5</v>
      </c>
      <c r="D895" s="87">
        <v>2.7399999999999999E-5</v>
      </c>
      <c r="E895" s="231">
        <v>18003.280000000006</v>
      </c>
      <c r="F895" s="231">
        <v>12297</v>
      </c>
      <c r="G895" s="231">
        <v>54332</v>
      </c>
      <c r="H895" s="231"/>
      <c r="I895" s="232">
        <v>1020.8</v>
      </c>
      <c r="J895" s="232">
        <v>47612</v>
      </c>
      <c r="K895" s="232">
        <v>3721</v>
      </c>
      <c r="L895" s="231">
        <v>8899</v>
      </c>
      <c r="M895" s="231"/>
      <c r="N895" s="232">
        <v>1904</v>
      </c>
      <c r="O895" s="232">
        <v>17573</v>
      </c>
      <c r="P895" s="232">
        <v>0</v>
      </c>
      <c r="Q895" s="231">
        <v>0</v>
      </c>
      <c r="R895" s="232">
        <f t="shared" si="13"/>
        <v>30039</v>
      </c>
      <c r="S895" s="231"/>
      <c r="T895" s="232">
        <v>14522</v>
      </c>
      <c r="U895" s="233">
        <v>2839</v>
      </c>
      <c r="V895" s="233">
        <v>17361</v>
      </c>
    </row>
    <row r="896" spans="1:22">
      <c r="A896" s="226">
        <v>99818</v>
      </c>
      <c r="B896" s="227" t="s">
        <v>1602</v>
      </c>
      <c r="C896" s="87">
        <v>3.7700000000000002E-5</v>
      </c>
      <c r="D896" s="87">
        <v>4.4199999999999997E-5</v>
      </c>
      <c r="E896" s="231">
        <v>16175.140000000003</v>
      </c>
      <c r="F896" s="231">
        <v>19837</v>
      </c>
      <c r="G896" s="231">
        <v>80012</v>
      </c>
      <c r="H896" s="231"/>
      <c r="I896" s="232">
        <v>1503</v>
      </c>
      <c r="J896" s="232">
        <v>70116</v>
      </c>
      <c r="K896" s="232">
        <v>5480</v>
      </c>
      <c r="L896" s="231">
        <v>5574</v>
      </c>
      <c r="M896" s="231"/>
      <c r="N896" s="232">
        <v>2804</v>
      </c>
      <c r="O896" s="232">
        <v>25879</v>
      </c>
      <c r="P896" s="232">
        <v>0</v>
      </c>
      <c r="Q896" s="231">
        <v>2988</v>
      </c>
      <c r="R896" s="232">
        <f t="shared" si="13"/>
        <v>44237</v>
      </c>
      <c r="S896" s="231"/>
      <c r="T896" s="232">
        <v>21386</v>
      </c>
      <c r="U896" s="233">
        <v>1745</v>
      </c>
      <c r="V896" s="233">
        <v>23131</v>
      </c>
    </row>
    <row r="897" spans="1:22">
      <c r="A897" s="226">
        <v>99821</v>
      </c>
      <c r="B897" s="227" t="s">
        <v>1603</v>
      </c>
      <c r="C897" s="87">
        <v>8.2899999999999996E-5</v>
      </c>
      <c r="D897" s="87">
        <v>8.42E-5</v>
      </c>
      <c r="E897" s="231">
        <v>42679.99</v>
      </c>
      <c r="F897" s="231">
        <v>37788</v>
      </c>
      <c r="G897" s="231">
        <v>175942</v>
      </c>
      <c r="H897" s="231"/>
      <c r="I897" s="232">
        <v>3306</v>
      </c>
      <c r="J897" s="232">
        <v>154181</v>
      </c>
      <c r="K897" s="232">
        <v>12050</v>
      </c>
      <c r="L897" s="231">
        <v>17868</v>
      </c>
      <c r="M897" s="231"/>
      <c r="N897" s="232">
        <v>6165</v>
      </c>
      <c r="O897" s="232">
        <v>56907</v>
      </c>
      <c r="P897" s="232">
        <v>0</v>
      </c>
      <c r="Q897" s="231">
        <v>860</v>
      </c>
      <c r="R897" s="232">
        <f t="shared" si="13"/>
        <v>97274</v>
      </c>
      <c r="S897" s="231"/>
      <c r="T897" s="232">
        <v>47027</v>
      </c>
      <c r="U897" s="233">
        <v>7184</v>
      </c>
      <c r="V897" s="233">
        <v>54211</v>
      </c>
    </row>
    <row r="898" spans="1:22">
      <c r="A898" s="226">
        <v>99831</v>
      </c>
      <c r="B898" s="227" t="s">
        <v>1604</v>
      </c>
      <c r="C898" s="87">
        <v>5.5899999999999997E-5</v>
      </c>
      <c r="D898" s="87">
        <v>5.0699999999999999E-5</v>
      </c>
      <c r="E898" s="231">
        <v>23539.8</v>
      </c>
      <c r="F898" s="231">
        <v>22754</v>
      </c>
      <c r="G898" s="231">
        <v>118639</v>
      </c>
      <c r="H898" s="231"/>
      <c r="I898" s="232">
        <v>2229</v>
      </c>
      <c r="J898" s="232">
        <v>103965</v>
      </c>
      <c r="K898" s="232">
        <v>8126</v>
      </c>
      <c r="L898" s="231">
        <v>3830</v>
      </c>
      <c r="M898" s="231"/>
      <c r="N898" s="232">
        <v>4157</v>
      </c>
      <c r="O898" s="232">
        <v>38373</v>
      </c>
      <c r="P898" s="232">
        <v>0</v>
      </c>
      <c r="Q898" s="231">
        <v>873</v>
      </c>
      <c r="R898" s="232">
        <f t="shared" si="13"/>
        <v>65592</v>
      </c>
      <c r="S898" s="231"/>
      <c r="T898" s="232">
        <v>31710</v>
      </c>
      <c r="U898" s="233">
        <v>823</v>
      </c>
      <c r="V898" s="233">
        <v>32533</v>
      </c>
    </row>
    <row r="899" spans="1:22">
      <c r="A899" s="226">
        <v>99841</v>
      </c>
      <c r="B899" s="227" t="s">
        <v>1605</v>
      </c>
      <c r="C899" s="87">
        <v>4.6E-5</v>
      </c>
      <c r="D899" s="87">
        <v>4.6699999999999997E-5</v>
      </c>
      <c r="E899" s="231">
        <v>18090.39</v>
      </c>
      <c r="F899" s="231">
        <v>20959</v>
      </c>
      <c r="G899" s="231">
        <v>97627.41</v>
      </c>
      <c r="H899" s="231"/>
      <c r="I899" s="232">
        <v>1834.25</v>
      </c>
      <c r="J899" s="232">
        <v>85553</v>
      </c>
      <c r="K899" s="232">
        <v>6687</v>
      </c>
      <c r="L899" s="231">
        <v>1970</v>
      </c>
      <c r="M899" s="231"/>
      <c r="N899" s="232">
        <v>3421</v>
      </c>
      <c r="O899" s="232">
        <v>31577</v>
      </c>
      <c r="P899" s="232">
        <v>0</v>
      </c>
      <c r="Q899" s="231">
        <v>3207</v>
      </c>
      <c r="R899" s="232">
        <f t="shared" si="13"/>
        <v>53976</v>
      </c>
      <c r="S899" s="231"/>
      <c r="T899" s="232">
        <v>26094</v>
      </c>
      <c r="U899" s="233">
        <v>-661</v>
      </c>
      <c r="V899" s="233">
        <v>25434</v>
      </c>
    </row>
    <row r="900" spans="1:22">
      <c r="A900" s="226">
        <v>99851</v>
      </c>
      <c r="B900" s="227" t="s">
        <v>1606</v>
      </c>
      <c r="C900" s="87">
        <v>2.1999999999999999E-5</v>
      </c>
      <c r="D900" s="87">
        <v>2.0299999999999999E-5</v>
      </c>
      <c r="E900" s="231">
        <v>6172.1500000000005</v>
      </c>
      <c r="F900" s="231">
        <v>9111</v>
      </c>
      <c r="G900" s="231">
        <v>46691</v>
      </c>
      <c r="H900" s="231"/>
      <c r="I900" s="232">
        <v>877.25</v>
      </c>
      <c r="J900" s="232">
        <v>40917</v>
      </c>
      <c r="K900" s="232">
        <v>3198</v>
      </c>
      <c r="L900" s="231">
        <v>221</v>
      </c>
      <c r="M900" s="231"/>
      <c r="N900" s="232">
        <v>1636</v>
      </c>
      <c r="O900" s="232">
        <v>15102</v>
      </c>
      <c r="P900" s="232">
        <v>0</v>
      </c>
      <c r="Q900" s="231">
        <v>1432</v>
      </c>
      <c r="R900" s="232">
        <f t="shared" si="13"/>
        <v>25815</v>
      </c>
      <c r="S900" s="231"/>
      <c r="T900" s="232">
        <v>12480</v>
      </c>
      <c r="U900" s="233">
        <v>-310</v>
      </c>
      <c r="V900" s="233">
        <v>12170</v>
      </c>
    </row>
    <row r="901" spans="1:22">
      <c r="A901" s="226">
        <v>99901</v>
      </c>
      <c r="B901" s="227" t="s">
        <v>1607</v>
      </c>
      <c r="C901" s="87">
        <v>1.6371999999999999E-3</v>
      </c>
      <c r="D901" s="87">
        <v>1.5259E-3</v>
      </c>
      <c r="E901" s="231">
        <v>635103.91</v>
      </c>
      <c r="F901" s="231">
        <v>684815</v>
      </c>
      <c r="G901" s="231">
        <v>3474687</v>
      </c>
      <c r="H901" s="231"/>
      <c r="I901" s="232">
        <v>65283.35</v>
      </c>
      <c r="J901" s="232">
        <v>3044933</v>
      </c>
      <c r="K901" s="232">
        <v>237985</v>
      </c>
      <c r="L901" s="231">
        <v>67178</v>
      </c>
      <c r="M901" s="231"/>
      <c r="N901" s="232">
        <v>121757</v>
      </c>
      <c r="O901" s="232">
        <v>1123869</v>
      </c>
      <c r="P901" s="232">
        <v>0</v>
      </c>
      <c r="Q901" s="231">
        <v>24162.58</v>
      </c>
      <c r="R901" s="232">
        <f t="shared" si="13"/>
        <v>1921064</v>
      </c>
      <c r="S901" s="231"/>
      <c r="T901" s="232">
        <v>928733</v>
      </c>
      <c r="U901" s="233">
        <v>8817</v>
      </c>
      <c r="V901" s="233">
        <v>937550</v>
      </c>
    </row>
    <row r="902" spans="1:22">
      <c r="A902" s="226">
        <v>99911</v>
      </c>
      <c r="B902" s="227" t="s">
        <v>1608</v>
      </c>
      <c r="C902" s="87">
        <v>2.5520000000000002E-4</v>
      </c>
      <c r="D902" s="87">
        <v>2.766E-4</v>
      </c>
      <c r="E902" s="231">
        <v>106881.59000000001</v>
      </c>
      <c r="F902" s="231">
        <v>124136</v>
      </c>
      <c r="G902" s="231">
        <v>541620</v>
      </c>
      <c r="H902" s="231"/>
      <c r="I902" s="232">
        <v>10176.1</v>
      </c>
      <c r="J902" s="232">
        <v>474632</v>
      </c>
      <c r="K902" s="232">
        <v>37096</v>
      </c>
      <c r="L902" s="231">
        <v>2863</v>
      </c>
      <c r="M902" s="231"/>
      <c r="N902" s="232">
        <v>18979</v>
      </c>
      <c r="O902" s="232">
        <v>175184</v>
      </c>
      <c r="P902" s="232">
        <v>0</v>
      </c>
      <c r="Q902" s="231">
        <v>20527</v>
      </c>
      <c r="R902" s="232">
        <f t="shared" si="13"/>
        <v>299448</v>
      </c>
      <c r="S902" s="231"/>
      <c r="T902" s="232">
        <v>144767</v>
      </c>
      <c r="U902" s="233">
        <v>-6851</v>
      </c>
      <c r="V902" s="233">
        <v>137916</v>
      </c>
    </row>
    <row r="903" spans="1:22">
      <c r="A903" s="226">
        <v>99921</v>
      </c>
      <c r="B903" s="227" t="s">
        <v>1609</v>
      </c>
      <c r="C903" s="52">
        <v>1.5129999999999999E-4</v>
      </c>
      <c r="D903" s="52">
        <v>1.3889999999999999E-4</v>
      </c>
      <c r="E903" s="231">
        <v>55802.77</v>
      </c>
      <c r="F903" s="231">
        <v>62337</v>
      </c>
      <c r="G903" s="6">
        <v>321109</v>
      </c>
      <c r="H903" s="6"/>
      <c r="I903" s="243">
        <v>6033</v>
      </c>
      <c r="J903" s="243">
        <v>281394</v>
      </c>
      <c r="K903" s="243">
        <v>21993</v>
      </c>
      <c r="L903" s="6">
        <v>4809</v>
      </c>
      <c r="M903" s="6"/>
      <c r="N903" s="243">
        <v>11252</v>
      </c>
      <c r="O903" s="243">
        <v>103861</v>
      </c>
      <c r="P903" s="243">
        <v>0</v>
      </c>
      <c r="Q903" s="6">
        <v>7353</v>
      </c>
      <c r="R903" s="232">
        <f t="shared" si="13"/>
        <v>177533</v>
      </c>
      <c r="S903" s="6"/>
      <c r="T903" s="243">
        <v>85828</v>
      </c>
      <c r="U903" s="53">
        <v>-2145</v>
      </c>
      <c r="V903" s="53">
        <v>83683</v>
      </c>
    </row>
    <row r="904" spans="1:22" s="47" customFormat="1">
      <c r="A904" s="226">
        <v>99931</v>
      </c>
      <c r="B904" s="225" t="s">
        <v>1610</v>
      </c>
      <c r="C904" s="241">
        <v>2.51E-5</v>
      </c>
      <c r="D904" s="241">
        <v>2.5700000000000001E-5</v>
      </c>
      <c r="E904" s="231">
        <v>9194.32</v>
      </c>
      <c r="F904" s="231">
        <v>11534</v>
      </c>
      <c r="G904" s="258">
        <v>53271</v>
      </c>
      <c r="H904" s="258"/>
      <c r="I904" s="258">
        <v>1000.8625</v>
      </c>
      <c r="J904" s="258">
        <v>46682</v>
      </c>
      <c r="K904" s="258">
        <v>3649</v>
      </c>
      <c r="L904" s="258">
        <v>0</v>
      </c>
      <c r="N904" s="258">
        <v>1867</v>
      </c>
      <c r="O904" s="258">
        <v>17230</v>
      </c>
      <c r="P904" s="259">
        <v>0</v>
      </c>
      <c r="Q904" s="258">
        <v>5581</v>
      </c>
      <c r="R904" s="232">
        <f t="shared" si="13"/>
        <v>29452</v>
      </c>
      <c r="S904" s="258"/>
      <c r="T904" s="258">
        <v>14238</v>
      </c>
      <c r="U904" s="258">
        <v>-2038</v>
      </c>
      <c r="V904" s="258">
        <v>12201</v>
      </c>
    </row>
    <row r="905" spans="1:22">
      <c r="A905" s="51">
        <v>99941</v>
      </c>
      <c r="B905" s="209" t="s">
        <v>1611</v>
      </c>
      <c r="C905" s="52">
        <v>7.8200000000000003E-5</v>
      </c>
      <c r="D905" s="52">
        <v>8.7899999999999995E-5</v>
      </c>
      <c r="E905" s="231">
        <v>27969.51</v>
      </c>
      <c r="F905" s="231">
        <v>39449</v>
      </c>
      <c r="G905" s="258">
        <v>165967</v>
      </c>
      <c r="H905" s="258"/>
      <c r="I905" s="258">
        <v>3118</v>
      </c>
      <c r="J905" s="258">
        <v>145440</v>
      </c>
      <c r="K905" s="258">
        <v>11367</v>
      </c>
      <c r="L905" s="258">
        <v>0</v>
      </c>
      <c r="N905" s="258">
        <v>5816</v>
      </c>
      <c r="O905" s="258">
        <v>53681</v>
      </c>
      <c r="P905" s="259">
        <v>0</v>
      </c>
      <c r="Q905" s="258">
        <v>11883</v>
      </c>
      <c r="R905" s="232">
        <f t="shared" ref="R905:R907" si="14">IF(J905&gt;O905,J905-O905,O905-J905)</f>
        <v>91759</v>
      </c>
      <c r="S905" s="258"/>
      <c r="T905" s="258">
        <v>44360</v>
      </c>
      <c r="U905" s="258">
        <v>-3675</v>
      </c>
      <c r="V905" s="258">
        <v>40686</v>
      </c>
    </row>
    <row r="906" spans="1:22">
      <c r="A906" s="51">
        <v>99991</v>
      </c>
      <c r="B906" s="209" t="s">
        <v>1612</v>
      </c>
      <c r="C906" s="52">
        <v>5.6990000000000003E-4</v>
      </c>
      <c r="D906" s="52">
        <v>5.1539999999999995E-4</v>
      </c>
      <c r="E906" s="231">
        <v>214761.88</v>
      </c>
      <c r="F906" s="231">
        <v>231308</v>
      </c>
      <c r="G906" s="258">
        <v>1209519</v>
      </c>
      <c r="H906" s="258"/>
      <c r="I906" s="258">
        <v>22725</v>
      </c>
      <c r="J906" s="258">
        <v>1059924</v>
      </c>
      <c r="K906" s="258">
        <v>82841</v>
      </c>
      <c r="L906" s="258">
        <v>48305</v>
      </c>
      <c r="N906" s="258">
        <v>42383</v>
      </c>
      <c r="O906" s="258">
        <v>391212</v>
      </c>
      <c r="P906" s="259">
        <v>0</v>
      </c>
      <c r="Q906" s="258">
        <v>0</v>
      </c>
      <c r="R906" s="232">
        <f t="shared" si="14"/>
        <v>668712</v>
      </c>
      <c r="S906" s="258"/>
      <c r="T906" s="258">
        <v>323287</v>
      </c>
      <c r="U906" s="258">
        <v>19414</v>
      </c>
      <c r="V906" s="258">
        <v>342701</v>
      </c>
    </row>
    <row r="907" spans="1:22">
      <c r="A907" s="51">
        <v>99999</v>
      </c>
      <c r="B907" s="209" t="s">
        <v>1613</v>
      </c>
      <c r="C907" s="52">
        <v>1.0101000000000001E-3</v>
      </c>
      <c r="D907" s="52">
        <v>9.3599999999999998E-4</v>
      </c>
      <c r="E907" s="231">
        <v>441361.89999999991</v>
      </c>
      <c r="F907" s="231">
        <v>420071</v>
      </c>
      <c r="G907" s="258">
        <v>2143771</v>
      </c>
      <c r="H907" s="258"/>
      <c r="I907" s="258">
        <v>40278</v>
      </c>
      <c r="J907" s="258">
        <v>1878626</v>
      </c>
      <c r="K907" s="258">
        <v>146829</v>
      </c>
      <c r="L907" s="258">
        <v>111413</v>
      </c>
      <c r="N907" s="258">
        <v>75120</v>
      </c>
      <c r="O907" s="258">
        <v>693391</v>
      </c>
      <c r="P907" s="259">
        <v>0</v>
      </c>
      <c r="Q907" s="258">
        <v>43600.9</v>
      </c>
      <c r="R907" s="232">
        <f t="shared" si="14"/>
        <v>1185235</v>
      </c>
      <c r="S907" s="258"/>
      <c r="T907" s="258">
        <v>572998</v>
      </c>
      <c r="U907" s="258">
        <v>11793</v>
      </c>
      <c r="V907" s="258">
        <v>584791</v>
      </c>
    </row>
    <row r="908" spans="1:22">
      <c r="A908" s="51"/>
      <c r="C908" s="52"/>
      <c r="D908" s="52"/>
      <c r="E908" s="231"/>
      <c r="F908" s="231"/>
      <c r="G908" s="258"/>
      <c r="H908" s="258"/>
      <c r="I908" s="258"/>
      <c r="J908" s="258"/>
      <c r="K908" s="258"/>
      <c r="L908" s="258"/>
      <c r="N908" s="258"/>
      <c r="O908" s="258"/>
      <c r="P908" s="259"/>
      <c r="Q908" s="258"/>
      <c r="R908" s="232"/>
      <c r="S908" s="258"/>
      <c r="T908" s="258"/>
      <c r="U908" s="258"/>
      <c r="V908" s="258"/>
    </row>
    <row r="909" spans="1:22">
      <c r="A909" s="51"/>
      <c r="C909" s="52"/>
      <c r="D909" s="52"/>
      <c r="E909" s="231"/>
      <c r="F909" s="231"/>
      <c r="G909" s="258"/>
      <c r="H909" s="258"/>
      <c r="I909" s="258"/>
      <c r="J909" s="258"/>
      <c r="K909" s="258"/>
      <c r="L909" s="258"/>
      <c r="N909" s="258"/>
      <c r="O909" s="258"/>
      <c r="P909" s="259"/>
      <c r="Q909" s="258"/>
      <c r="R909" s="232"/>
      <c r="S909" s="258"/>
      <c r="T909" s="258"/>
      <c r="U909" s="258"/>
      <c r="V909" s="258"/>
    </row>
    <row r="911" spans="1:22">
      <c r="G911" s="96"/>
      <c r="H911" s="96"/>
      <c r="I911" s="96"/>
      <c r="J911" s="96"/>
      <c r="K911" s="96"/>
      <c r="L911" s="96"/>
      <c r="M911" s="96"/>
      <c r="N911" s="96"/>
      <c r="O911" s="96"/>
      <c r="P911" s="96"/>
      <c r="Q911" s="96"/>
      <c r="R911" s="96"/>
      <c r="S911" s="96"/>
      <c r="T911" s="96"/>
      <c r="U911" s="96"/>
      <c r="V911" s="96"/>
    </row>
    <row r="912" spans="1:22">
      <c r="B912" s="209" t="s">
        <v>690</v>
      </c>
      <c r="C912" s="7" t="s">
        <v>691</v>
      </c>
    </row>
    <row r="913" spans="2:22">
      <c r="B913" s="209" t="s">
        <v>2819</v>
      </c>
      <c r="C913" s="226">
        <v>96331</v>
      </c>
    </row>
    <row r="914" spans="2:22">
      <c r="B914" s="209" t="s">
        <v>2820</v>
      </c>
      <c r="C914" s="226">
        <v>94611</v>
      </c>
    </row>
    <row r="915" spans="2:22">
      <c r="B915" s="209" t="s">
        <v>91</v>
      </c>
      <c r="C915" s="226">
        <v>93402</v>
      </c>
      <c r="G915" s="47"/>
      <c r="H915" s="47"/>
      <c r="I915" s="47"/>
      <c r="J915" s="47"/>
      <c r="K915" s="47"/>
      <c r="L915" s="47"/>
      <c r="M915" s="47"/>
      <c r="N915" s="47"/>
      <c r="O915" s="47"/>
      <c r="P915" s="47"/>
      <c r="Q915" s="47"/>
      <c r="R915" s="47"/>
      <c r="S915" s="47"/>
      <c r="T915" s="47"/>
      <c r="U915" s="47"/>
      <c r="V915" s="47"/>
    </row>
    <row r="916" spans="2:22">
      <c r="B916" s="209" t="s">
        <v>2821</v>
      </c>
      <c r="C916" s="226">
        <v>94109</v>
      </c>
      <c r="D916" s="261"/>
      <c r="E916" s="261"/>
      <c r="F916" s="261"/>
    </row>
    <row r="917" spans="2:22">
      <c r="B917" s="209" t="s">
        <v>27</v>
      </c>
      <c r="C917" s="226">
        <v>90101</v>
      </c>
      <c r="D917" s="261"/>
      <c r="E917" s="261"/>
      <c r="F917" s="261"/>
    </row>
    <row r="918" spans="2:22">
      <c r="B918" s="209" t="s">
        <v>1617</v>
      </c>
      <c r="C918" s="226">
        <v>90117</v>
      </c>
      <c r="D918" s="261"/>
      <c r="E918" s="261"/>
      <c r="F918" s="261"/>
    </row>
    <row r="919" spans="2:22">
      <c r="B919" s="209" t="s">
        <v>2822</v>
      </c>
      <c r="C919" s="226">
        <v>90151</v>
      </c>
      <c r="D919" s="261"/>
      <c r="E919" s="261"/>
      <c r="F919" s="261"/>
    </row>
    <row r="920" spans="2:22">
      <c r="B920" s="209" t="s">
        <v>2823</v>
      </c>
      <c r="C920" s="226">
        <v>98417</v>
      </c>
      <c r="D920" s="261"/>
      <c r="E920" s="261"/>
      <c r="F920" s="261"/>
    </row>
    <row r="921" spans="2:22">
      <c r="B921" s="209" t="s">
        <v>167</v>
      </c>
      <c r="C921" s="226">
        <v>97008</v>
      </c>
      <c r="D921" s="261"/>
      <c r="E921" s="261"/>
      <c r="F921" s="261"/>
    </row>
    <row r="922" spans="2:22">
      <c r="B922" s="209" t="s">
        <v>168</v>
      </c>
      <c r="C922" s="226">
        <v>97010</v>
      </c>
      <c r="D922" s="261"/>
      <c r="E922" s="261"/>
      <c r="F922" s="261"/>
    </row>
    <row r="923" spans="2:22">
      <c r="B923" s="209" t="s">
        <v>1618</v>
      </c>
      <c r="C923" s="226">
        <v>90096</v>
      </c>
      <c r="D923" s="261"/>
      <c r="E923" s="261"/>
      <c r="F923" s="261"/>
    </row>
    <row r="924" spans="2:22">
      <c r="B924" s="209" t="s">
        <v>38</v>
      </c>
      <c r="C924" s="226">
        <v>90805</v>
      </c>
      <c r="D924" s="261"/>
      <c r="E924" s="261"/>
      <c r="F924" s="261"/>
    </row>
    <row r="925" spans="2:22">
      <c r="B925" s="209" t="s">
        <v>2824</v>
      </c>
      <c r="C925" s="226">
        <v>92109</v>
      </c>
      <c r="D925" s="261"/>
      <c r="E925" s="261"/>
      <c r="F925" s="261"/>
    </row>
    <row r="926" spans="2:22">
      <c r="B926" s="209" t="s">
        <v>2825</v>
      </c>
      <c r="C926" s="226">
        <v>98411</v>
      </c>
      <c r="D926" s="261"/>
      <c r="E926" s="261"/>
      <c r="F926" s="261"/>
    </row>
    <row r="927" spans="2:22">
      <c r="B927" s="209" t="s">
        <v>28</v>
      </c>
      <c r="C927" s="226">
        <v>90201</v>
      </c>
      <c r="D927" s="261"/>
      <c r="E927" s="261"/>
      <c r="F927" s="261"/>
    </row>
    <row r="928" spans="2:22">
      <c r="B928" s="209" t="s">
        <v>2826</v>
      </c>
      <c r="C928" s="226">
        <v>90203</v>
      </c>
      <c r="D928" s="261"/>
      <c r="E928" s="261"/>
      <c r="F928" s="261"/>
    </row>
    <row r="929" spans="2:6">
      <c r="B929" s="209" t="s">
        <v>2827</v>
      </c>
      <c r="C929" s="226">
        <v>90205</v>
      </c>
    </row>
    <row r="930" spans="2:6">
      <c r="B930" s="209" t="s">
        <v>2828</v>
      </c>
      <c r="C930" s="226">
        <v>90206</v>
      </c>
      <c r="D930" s="261"/>
      <c r="E930" s="261"/>
      <c r="F930" s="261"/>
    </row>
    <row r="931" spans="2:6">
      <c r="B931" s="209" t="s">
        <v>29</v>
      </c>
      <c r="C931" s="226">
        <v>90301</v>
      </c>
    </row>
    <row r="932" spans="2:6">
      <c r="B932" s="209" t="s">
        <v>2829</v>
      </c>
      <c r="C932" s="226">
        <v>93209</v>
      </c>
      <c r="D932" s="261"/>
      <c r="E932" s="261"/>
      <c r="F932" s="261"/>
    </row>
    <row r="933" spans="2:6">
      <c r="B933" s="209" t="s">
        <v>2830</v>
      </c>
      <c r="C933" s="226">
        <v>92021</v>
      </c>
    </row>
    <row r="934" spans="2:6">
      <c r="B934" s="209" t="s">
        <v>2831</v>
      </c>
      <c r="C934" s="226">
        <v>94347</v>
      </c>
    </row>
    <row r="935" spans="2:6">
      <c r="B935" s="209" t="s">
        <v>2832</v>
      </c>
      <c r="C935" s="226">
        <v>94351</v>
      </c>
    </row>
    <row r="936" spans="2:6">
      <c r="B936" s="209" t="s">
        <v>31</v>
      </c>
      <c r="C936" s="226">
        <v>90401</v>
      </c>
    </row>
    <row r="937" spans="2:6">
      <c r="B937" s="209" t="s">
        <v>2833</v>
      </c>
      <c r="C937" s="226">
        <v>90451</v>
      </c>
    </row>
    <row r="938" spans="2:6">
      <c r="B938" s="209" t="s">
        <v>2834</v>
      </c>
      <c r="C938" s="226">
        <v>99271</v>
      </c>
    </row>
    <row r="939" spans="2:6">
      <c r="B939" s="209" t="s">
        <v>2835</v>
      </c>
      <c r="C939" s="226">
        <v>90099</v>
      </c>
    </row>
    <row r="940" spans="2:6">
      <c r="B940" s="209" t="s">
        <v>227</v>
      </c>
      <c r="C940" s="226">
        <v>99705</v>
      </c>
    </row>
    <row r="941" spans="2:6">
      <c r="B941" s="209" t="s">
        <v>2836</v>
      </c>
      <c r="C941" s="226">
        <v>97651</v>
      </c>
    </row>
    <row r="942" spans="2:6">
      <c r="B942" s="209" t="s">
        <v>2837</v>
      </c>
      <c r="C942" s="226">
        <v>95106</v>
      </c>
    </row>
    <row r="943" spans="2:6">
      <c r="B943" s="209" t="s">
        <v>33</v>
      </c>
      <c r="C943" s="226">
        <v>90501</v>
      </c>
    </row>
    <row r="944" spans="2:6">
      <c r="B944" s="209" t="s">
        <v>2838</v>
      </c>
      <c r="C944" s="226">
        <v>97607</v>
      </c>
    </row>
    <row r="945" spans="2:3">
      <c r="B945" s="209" t="s">
        <v>2839</v>
      </c>
      <c r="C945" s="226">
        <v>97613</v>
      </c>
    </row>
    <row r="946" spans="2:3">
      <c r="B946" s="209" t="s">
        <v>2840</v>
      </c>
      <c r="C946" s="226">
        <v>97611</v>
      </c>
    </row>
    <row r="947" spans="2:3">
      <c r="B947" s="209" t="s">
        <v>2841</v>
      </c>
      <c r="C947" s="226">
        <v>91127</v>
      </c>
    </row>
    <row r="948" spans="2:3">
      <c r="B948" s="209" t="s">
        <v>49</v>
      </c>
      <c r="C948" s="226">
        <v>91128</v>
      </c>
    </row>
    <row r="949" spans="2:3">
      <c r="B949" s="209" t="s">
        <v>2842</v>
      </c>
      <c r="C949" s="226">
        <v>91121</v>
      </c>
    </row>
    <row r="950" spans="2:3">
      <c r="B950" s="209" t="s">
        <v>2843</v>
      </c>
      <c r="C950" s="226">
        <v>91681</v>
      </c>
    </row>
    <row r="951" spans="2:3">
      <c r="B951" s="209" t="s">
        <v>2844</v>
      </c>
      <c r="C951" s="226">
        <v>90811</v>
      </c>
    </row>
    <row r="952" spans="2:3">
      <c r="B952" s="209" t="s">
        <v>2845</v>
      </c>
      <c r="C952" s="226">
        <v>90721</v>
      </c>
    </row>
    <row r="953" spans="2:3">
      <c r="B953" s="209" t="s">
        <v>2846</v>
      </c>
      <c r="C953" s="226">
        <v>98271</v>
      </c>
    </row>
    <row r="954" spans="2:3">
      <c r="B954" s="209" t="s">
        <v>35</v>
      </c>
      <c r="C954" s="226">
        <v>90601</v>
      </c>
    </row>
    <row r="955" spans="2:3">
      <c r="B955" s="209" t="s">
        <v>259</v>
      </c>
      <c r="C955" s="226">
        <v>90602</v>
      </c>
    </row>
    <row r="956" spans="2:3">
      <c r="B956" s="209" t="s">
        <v>2847</v>
      </c>
      <c r="C956" s="226">
        <v>90605</v>
      </c>
    </row>
    <row r="957" spans="2:3">
      <c r="B957" s="209" t="s">
        <v>180</v>
      </c>
      <c r="C957" s="226">
        <v>97463</v>
      </c>
    </row>
    <row r="958" spans="2:3">
      <c r="B958" s="209" t="s">
        <v>2848</v>
      </c>
      <c r="C958" s="226">
        <v>97461</v>
      </c>
    </row>
    <row r="959" spans="2:3">
      <c r="B959" s="209" t="s">
        <v>2849</v>
      </c>
      <c r="C959" s="226">
        <v>90705</v>
      </c>
    </row>
    <row r="960" spans="2:3">
      <c r="B960" s="209" t="s">
        <v>2850</v>
      </c>
      <c r="C960" s="226">
        <v>98451</v>
      </c>
    </row>
    <row r="961" spans="2:3">
      <c r="B961" s="209" t="s">
        <v>2851</v>
      </c>
      <c r="C961" s="226">
        <v>96451</v>
      </c>
    </row>
    <row r="962" spans="2:3">
      <c r="B962" s="209" t="s">
        <v>2852</v>
      </c>
      <c r="C962" s="226">
        <v>96121</v>
      </c>
    </row>
    <row r="963" spans="2:3">
      <c r="B963" s="209" t="s">
        <v>2853</v>
      </c>
      <c r="C963" s="226">
        <v>91091</v>
      </c>
    </row>
    <row r="964" spans="2:3">
      <c r="B964" s="209" t="s">
        <v>2854</v>
      </c>
      <c r="C964" s="226">
        <v>90611</v>
      </c>
    </row>
    <row r="965" spans="2:3">
      <c r="B965" s="209" t="s">
        <v>163</v>
      </c>
      <c r="C965" s="226">
        <v>96918</v>
      </c>
    </row>
    <row r="966" spans="2:3">
      <c r="B966" s="209" t="s">
        <v>2855</v>
      </c>
      <c r="C966" s="226">
        <v>96911</v>
      </c>
    </row>
    <row r="967" spans="2:3">
      <c r="B967" s="209" t="s">
        <v>215</v>
      </c>
      <c r="C967" s="226">
        <v>99208</v>
      </c>
    </row>
    <row r="968" spans="2:3">
      <c r="B968" s="209" t="s">
        <v>36</v>
      </c>
      <c r="C968" s="226">
        <v>90701</v>
      </c>
    </row>
    <row r="969" spans="2:3">
      <c r="B969" s="209" t="s">
        <v>2856</v>
      </c>
      <c r="C969" s="226">
        <v>90704</v>
      </c>
    </row>
    <row r="970" spans="2:3">
      <c r="B970" s="209" t="s">
        <v>2857</v>
      </c>
      <c r="C970" s="226">
        <v>91633</v>
      </c>
    </row>
    <row r="971" spans="2:3">
      <c r="B971" s="209" t="s">
        <v>2858</v>
      </c>
      <c r="C971" s="226">
        <v>91631</v>
      </c>
    </row>
    <row r="972" spans="2:3">
      <c r="B972" s="209" t="s">
        <v>2859</v>
      </c>
      <c r="C972" s="226">
        <v>90631</v>
      </c>
    </row>
    <row r="973" spans="2:3">
      <c r="B973" s="209" t="s">
        <v>2860</v>
      </c>
      <c r="C973" s="226">
        <v>90731</v>
      </c>
    </row>
    <row r="974" spans="2:3">
      <c r="B974" s="209" t="s">
        <v>97</v>
      </c>
      <c r="C974" s="226">
        <v>93623</v>
      </c>
    </row>
    <row r="975" spans="2:3">
      <c r="B975" s="209" t="s">
        <v>2861</v>
      </c>
      <c r="C975" s="226">
        <v>93621</v>
      </c>
    </row>
    <row r="976" spans="2:3">
      <c r="B976" s="209" t="s">
        <v>2862</v>
      </c>
      <c r="C976" s="226">
        <v>91020</v>
      </c>
    </row>
    <row r="977" spans="2:3">
      <c r="B977" s="209" t="s">
        <v>128</v>
      </c>
      <c r="C977" s="226">
        <v>95103</v>
      </c>
    </row>
    <row r="978" spans="2:3">
      <c r="B978" s="209" t="s">
        <v>2863</v>
      </c>
      <c r="C978" s="226">
        <v>95141</v>
      </c>
    </row>
    <row r="979" spans="2:3">
      <c r="B979" s="209" t="s">
        <v>2864</v>
      </c>
      <c r="C979" s="226">
        <v>93021</v>
      </c>
    </row>
    <row r="980" spans="2:3">
      <c r="B980" s="209" t="s">
        <v>37</v>
      </c>
      <c r="C980" s="226">
        <v>90801</v>
      </c>
    </row>
    <row r="981" spans="2:3">
      <c r="B981" s="209" t="s">
        <v>2865</v>
      </c>
      <c r="C981" s="226">
        <v>90804</v>
      </c>
    </row>
    <row r="982" spans="2:3">
      <c r="B982" s="209" t="s">
        <v>39</v>
      </c>
      <c r="C982" s="226">
        <v>90808</v>
      </c>
    </row>
    <row r="983" spans="2:3">
      <c r="B983" s="209" t="s">
        <v>98</v>
      </c>
      <c r="C983" s="226">
        <v>93677</v>
      </c>
    </row>
    <row r="984" spans="2:3">
      <c r="B984" s="209" t="s">
        <v>2866</v>
      </c>
      <c r="C984" s="226">
        <v>93671</v>
      </c>
    </row>
    <row r="985" spans="2:3">
      <c r="B985" s="209" t="s">
        <v>2867</v>
      </c>
      <c r="C985" s="226">
        <v>97441</v>
      </c>
    </row>
    <row r="986" spans="2:3">
      <c r="B986" s="209" t="s">
        <v>2868</v>
      </c>
      <c r="C986" s="226">
        <v>93111</v>
      </c>
    </row>
    <row r="987" spans="2:3">
      <c r="B987" s="209" t="s">
        <v>2869</v>
      </c>
      <c r="C987" s="226">
        <v>91111</v>
      </c>
    </row>
    <row r="988" spans="2:3">
      <c r="B988" s="209" t="s">
        <v>2870</v>
      </c>
      <c r="C988" s="226">
        <v>96231</v>
      </c>
    </row>
    <row r="989" spans="2:3">
      <c r="B989" s="209" t="s">
        <v>2871</v>
      </c>
      <c r="C989" s="226">
        <v>99831</v>
      </c>
    </row>
    <row r="990" spans="2:3">
      <c r="B990" s="209" t="s">
        <v>2872</v>
      </c>
      <c r="C990" s="226">
        <v>91154</v>
      </c>
    </row>
    <row r="991" spans="2:3">
      <c r="B991" s="209" t="s">
        <v>2873</v>
      </c>
      <c r="C991" s="226">
        <v>91151</v>
      </c>
    </row>
    <row r="992" spans="2:3">
      <c r="B992" s="209" t="s">
        <v>40</v>
      </c>
      <c r="C992" s="226">
        <v>90901</v>
      </c>
    </row>
    <row r="993" spans="2:3">
      <c r="B993" s="209" t="s">
        <v>2874</v>
      </c>
      <c r="C993" s="226">
        <v>90941</v>
      </c>
    </row>
    <row r="994" spans="2:3">
      <c r="B994" s="209" t="s">
        <v>2875</v>
      </c>
      <c r="C994" s="226">
        <v>99527</v>
      </c>
    </row>
    <row r="995" spans="2:3">
      <c r="B995" s="209" t="s">
        <v>223</v>
      </c>
      <c r="C995" s="226">
        <v>99508</v>
      </c>
    </row>
    <row r="996" spans="2:3">
      <c r="B996" s="209" t="s">
        <v>2876</v>
      </c>
      <c r="C996" s="226">
        <v>99521</v>
      </c>
    </row>
    <row r="997" spans="2:3">
      <c r="B997" s="209" t="s">
        <v>118</v>
      </c>
      <c r="C997" s="226">
        <v>94532</v>
      </c>
    </row>
    <row r="998" spans="2:3">
      <c r="B998" s="209" t="s">
        <v>2877</v>
      </c>
      <c r="C998" s="226">
        <v>91077</v>
      </c>
    </row>
    <row r="999" spans="2:3">
      <c r="B999" s="209" t="s">
        <v>2878</v>
      </c>
      <c r="C999" s="226">
        <v>91071</v>
      </c>
    </row>
    <row r="1000" spans="2:3">
      <c r="B1000" s="209" t="s">
        <v>2879</v>
      </c>
      <c r="C1000" s="226">
        <v>92331</v>
      </c>
    </row>
    <row r="1001" spans="2:3">
      <c r="B1001" s="209" t="s">
        <v>2880</v>
      </c>
      <c r="C1001" s="226">
        <v>99511</v>
      </c>
    </row>
    <row r="1002" spans="2:3">
      <c r="B1002" s="209" t="s">
        <v>2881</v>
      </c>
      <c r="C1002" s="51">
        <v>99941</v>
      </c>
    </row>
    <row r="1003" spans="2:3">
      <c r="B1003" s="209" t="s">
        <v>152</v>
      </c>
      <c r="C1003" s="226">
        <v>96405</v>
      </c>
    </row>
    <row r="1004" spans="2:3">
      <c r="B1004" s="209" t="s">
        <v>2882</v>
      </c>
      <c r="C1004" s="226">
        <v>98817</v>
      </c>
    </row>
    <row r="1005" spans="2:3">
      <c r="B1005" s="209" t="s">
        <v>2883</v>
      </c>
      <c r="C1005" s="226">
        <v>98811</v>
      </c>
    </row>
    <row r="1006" spans="2:3">
      <c r="B1006" s="209" t="s">
        <v>2884</v>
      </c>
      <c r="C1006" s="226">
        <v>92561</v>
      </c>
    </row>
    <row r="1007" spans="2:3">
      <c r="B1007" s="209" t="s">
        <v>197</v>
      </c>
      <c r="C1007" s="226">
        <v>98102</v>
      </c>
    </row>
    <row r="1008" spans="2:3">
      <c r="B1008" s="209" t="s">
        <v>2885</v>
      </c>
      <c r="C1008" s="226">
        <v>95321</v>
      </c>
    </row>
    <row r="1009" spans="2:3">
      <c r="B1009" s="209" t="s">
        <v>2886</v>
      </c>
      <c r="C1009" s="226">
        <v>91861</v>
      </c>
    </row>
    <row r="1010" spans="2:3">
      <c r="B1010" s="209" t="s">
        <v>41</v>
      </c>
      <c r="C1010" s="226">
        <v>91001</v>
      </c>
    </row>
    <row r="1011" spans="2:3">
      <c r="B1011" s="209" t="s">
        <v>2887</v>
      </c>
      <c r="C1011" s="226">
        <v>91004</v>
      </c>
    </row>
    <row r="1012" spans="2:3">
      <c r="B1012" s="209" t="s">
        <v>2888</v>
      </c>
      <c r="C1012" s="226">
        <v>91006</v>
      </c>
    </row>
    <row r="1013" spans="2:3">
      <c r="B1013" s="209" t="s">
        <v>2889</v>
      </c>
      <c r="C1013" s="226">
        <v>91003</v>
      </c>
    </row>
    <row r="1014" spans="2:3">
      <c r="B1014" s="209" t="s">
        <v>2890</v>
      </c>
      <c r="C1014" s="226">
        <v>91009</v>
      </c>
    </row>
    <row r="1015" spans="2:3">
      <c r="B1015" s="209" t="s">
        <v>2891</v>
      </c>
      <c r="C1015" s="226">
        <v>91042</v>
      </c>
    </row>
    <row r="1016" spans="2:3">
      <c r="B1016" s="209" t="s">
        <v>2892</v>
      </c>
      <c r="C1016" s="226">
        <v>92421</v>
      </c>
    </row>
    <row r="1017" spans="2:3">
      <c r="B1017" s="209" t="s">
        <v>2893</v>
      </c>
      <c r="C1017" s="226">
        <v>98717</v>
      </c>
    </row>
    <row r="1018" spans="2:3">
      <c r="B1018" s="209" t="s">
        <v>2894</v>
      </c>
      <c r="C1018" s="226">
        <v>98711</v>
      </c>
    </row>
    <row r="1019" spans="2:3">
      <c r="B1019" s="209" t="s">
        <v>44</v>
      </c>
      <c r="C1019" s="226">
        <v>91101</v>
      </c>
    </row>
    <row r="1020" spans="2:3">
      <c r="B1020" s="209" t="s">
        <v>2895</v>
      </c>
      <c r="C1020" s="226">
        <v>93537</v>
      </c>
    </row>
    <row r="1021" spans="2:3">
      <c r="B1021" s="209" t="s">
        <v>2896</v>
      </c>
      <c r="C1021" s="226">
        <v>93531</v>
      </c>
    </row>
    <row r="1022" spans="2:3">
      <c r="B1022" s="209" t="s">
        <v>2897</v>
      </c>
      <c r="C1022" s="226">
        <v>97111</v>
      </c>
    </row>
    <row r="1023" spans="2:3">
      <c r="B1023" s="209" t="s">
        <v>50</v>
      </c>
      <c r="C1023" s="226">
        <v>91201</v>
      </c>
    </row>
    <row r="1024" spans="2:3">
      <c r="B1024" s="209" t="s">
        <v>2898</v>
      </c>
      <c r="C1024" s="226">
        <v>91206</v>
      </c>
    </row>
    <row r="1025" spans="2:3">
      <c r="B1025" s="209" t="s">
        <v>2899</v>
      </c>
      <c r="C1025" s="226">
        <v>91203</v>
      </c>
    </row>
    <row r="1026" spans="2:3">
      <c r="B1026" s="209" t="s">
        <v>2900</v>
      </c>
      <c r="C1026" s="226">
        <v>91208</v>
      </c>
    </row>
    <row r="1027" spans="2:3">
      <c r="B1027" s="209" t="s">
        <v>2901</v>
      </c>
      <c r="C1027" s="226">
        <v>91202</v>
      </c>
    </row>
    <row r="1028" spans="2:3">
      <c r="B1028" s="209" t="s">
        <v>2902</v>
      </c>
      <c r="C1028" s="226">
        <v>90111</v>
      </c>
    </row>
    <row r="1029" spans="2:3">
      <c r="B1029" s="209" t="s">
        <v>2903</v>
      </c>
      <c r="C1029" s="226">
        <v>90011</v>
      </c>
    </row>
    <row r="1030" spans="2:3">
      <c r="B1030" s="209" t="s">
        <v>2904</v>
      </c>
      <c r="C1030" s="226">
        <v>93931</v>
      </c>
    </row>
    <row r="1031" spans="2:3">
      <c r="B1031" s="209" t="s">
        <v>2905</v>
      </c>
      <c r="C1031" s="51">
        <v>91306</v>
      </c>
    </row>
    <row r="1032" spans="2:3">
      <c r="B1032" s="209" t="s">
        <v>2906</v>
      </c>
      <c r="C1032" s="226">
        <v>91308</v>
      </c>
    </row>
    <row r="1033" spans="2:3">
      <c r="B1033" s="209" t="s">
        <v>53</v>
      </c>
      <c r="C1033" s="51">
        <v>91301</v>
      </c>
    </row>
    <row r="1034" spans="2:3">
      <c r="B1034" s="209" t="s">
        <v>2907</v>
      </c>
      <c r="C1034" s="226">
        <v>91461</v>
      </c>
    </row>
    <row r="1035" spans="2:3">
      <c r="B1035" s="209" t="s">
        <v>2908</v>
      </c>
      <c r="C1035" s="226">
        <v>91007</v>
      </c>
    </row>
    <row r="1036" spans="2:3">
      <c r="B1036" s="209" t="s">
        <v>2909</v>
      </c>
      <c r="C1036" s="226">
        <v>91010</v>
      </c>
    </row>
    <row r="1037" spans="2:3">
      <c r="B1037" s="209" t="s">
        <v>54</v>
      </c>
      <c r="C1037" s="226">
        <v>91401</v>
      </c>
    </row>
    <row r="1038" spans="2:3">
      <c r="B1038" s="209" t="s">
        <v>2910</v>
      </c>
      <c r="C1038" s="226">
        <v>93171</v>
      </c>
    </row>
    <row r="1039" spans="2:3">
      <c r="B1039" s="209" t="s">
        <v>56</v>
      </c>
      <c r="C1039" s="226">
        <v>91501</v>
      </c>
    </row>
    <row r="1040" spans="2:3">
      <c r="B1040" s="209" t="s">
        <v>2911</v>
      </c>
      <c r="C1040" s="226">
        <v>91504</v>
      </c>
    </row>
    <row r="1041" spans="2:3">
      <c r="B1041" s="209" t="s">
        <v>2912</v>
      </c>
      <c r="C1041" s="226">
        <v>96312</v>
      </c>
    </row>
    <row r="1042" spans="2:3">
      <c r="B1042" s="209" t="s">
        <v>2913</v>
      </c>
      <c r="C1042" s="226">
        <v>96241</v>
      </c>
    </row>
    <row r="1043" spans="2:3">
      <c r="B1043" s="209" t="s">
        <v>2914</v>
      </c>
      <c r="C1043" s="226">
        <v>94437</v>
      </c>
    </row>
    <row r="1044" spans="2:3">
      <c r="B1044" s="209" t="s">
        <v>2915</v>
      </c>
      <c r="C1044" s="226">
        <v>94431</v>
      </c>
    </row>
    <row r="1045" spans="2:3">
      <c r="B1045" s="209" t="s">
        <v>2916</v>
      </c>
      <c r="C1045" s="226">
        <v>91671</v>
      </c>
    </row>
    <row r="1046" spans="2:3">
      <c r="B1046" s="209" t="s">
        <v>42</v>
      </c>
      <c r="C1046" s="226">
        <v>91008</v>
      </c>
    </row>
    <row r="1047" spans="2:3">
      <c r="B1047" s="209" t="s">
        <v>157</v>
      </c>
      <c r="C1047" s="226">
        <v>96512</v>
      </c>
    </row>
    <row r="1048" spans="2:3">
      <c r="B1048" s="209" t="s">
        <v>155</v>
      </c>
      <c r="C1048" s="226">
        <v>96507</v>
      </c>
    </row>
    <row r="1049" spans="2:3">
      <c r="B1049" s="209" t="s">
        <v>2917</v>
      </c>
      <c r="C1049" s="226">
        <v>96521</v>
      </c>
    </row>
    <row r="1050" spans="2:3">
      <c r="B1050" s="209" t="s">
        <v>2918</v>
      </c>
      <c r="C1050" s="226">
        <v>91024</v>
      </c>
    </row>
    <row r="1051" spans="2:3">
      <c r="B1051" s="209" t="s">
        <v>2919</v>
      </c>
      <c r="C1051" s="226">
        <v>96821</v>
      </c>
    </row>
    <row r="1052" spans="2:3">
      <c r="B1052" s="209" t="s">
        <v>57</v>
      </c>
      <c r="C1052" s="226">
        <v>91601</v>
      </c>
    </row>
    <row r="1053" spans="2:3">
      <c r="B1053" s="209" t="s">
        <v>2920</v>
      </c>
      <c r="C1053" s="226">
        <v>91604</v>
      </c>
    </row>
    <row r="1054" spans="2:3">
      <c r="B1054" s="209" t="s">
        <v>2921</v>
      </c>
      <c r="C1054" s="226">
        <v>96391</v>
      </c>
    </row>
    <row r="1055" spans="2:3">
      <c r="B1055" s="209" t="s">
        <v>2922</v>
      </c>
      <c r="C1055" s="226">
        <v>99221</v>
      </c>
    </row>
    <row r="1056" spans="2:3">
      <c r="B1056" s="209" t="s">
        <v>2923</v>
      </c>
      <c r="C1056" s="226">
        <v>91051</v>
      </c>
    </row>
    <row r="1057" spans="2:3">
      <c r="B1057" s="209" t="s">
        <v>58</v>
      </c>
      <c r="C1057" s="226">
        <v>91701</v>
      </c>
    </row>
    <row r="1058" spans="2:3">
      <c r="B1058" s="209" t="s">
        <v>2924</v>
      </c>
      <c r="C1058" s="226">
        <v>91704</v>
      </c>
    </row>
    <row r="1059" spans="2:3">
      <c r="B1059" s="209" t="s">
        <v>2925</v>
      </c>
      <c r="C1059" s="226">
        <v>91706</v>
      </c>
    </row>
    <row r="1060" spans="2:3">
      <c r="B1060" s="209" t="s">
        <v>59</v>
      </c>
      <c r="C1060" s="226">
        <v>91801</v>
      </c>
    </row>
    <row r="1061" spans="2:3">
      <c r="B1061" s="209" t="s">
        <v>2926</v>
      </c>
      <c r="C1061" s="226">
        <v>91804</v>
      </c>
    </row>
    <row r="1062" spans="2:3">
      <c r="B1062" s="209" t="s">
        <v>2927</v>
      </c>
      <c r="C1062" s="226">
        <v>91881</v>
      </c>
    </row>
    <row r="1063" spans="2:3">
      <c r="B1063" s="209" t="s">
        <v>2928</v>
      </c>
      <c r="C1063" s="226">
        <v>91691</v>
      </c>
    </row>
    <row r="1064" spans="2:3">
      <c r="B1064" s="209" t="s">
        <v>2929</v>
      </c>
      <c r="C1064" s="226">
        <v>99222</v>
      </c>
    </row>
    <row r="1065" spans="2:3">
      <c r="B1065" s="209" t="s">
        <v>1619</v>
      </c>
      <c r="C1065" s="226">
        <v>93408</v>
      </c>
    </row>
    <row r="1066" spans="2:3">
      <c r="B1066" s="209" t="s">
        <v>145</v>
      </c>
      <c r="C1066" s="226">
        <v>96009</v>
      </c>
    </row>
    <row r="1067" spans="2:3">
      <c r="B1067" s="209" t="s">
        <v>2930</v>
      </c>
      <c r="C1067" s="226">
        <v>92441</v>
      </c>
    </row>
    <row r="1068" spans="2:3">
      <c r="B1068" s="209" t="s">
        <v>2931</v>
      </c>
      <c r="C1068" s="226">
        <v>96811</v>
      </c>
    </row>
    <row r="1069" spans="2:3">
      <c r="B1069" s="209" t="s">
        <v>2932</v>
      </c>
      <c r="C1069" s="226">
        <v>96003</v>
      </c>
    </row>
    <row r="1070" spans="2:3">
      <c r="B1070" s="209" t="s">
        <v>2933</v>
      </c>
      <c r="C1070" s="226">
        <v>96018</v>
      </c>
    </row>
    <row r="1071" spans="2:3">
      <c r="B1071" s="209" t="s">
        <v>1620</v>
      </c>
      <c r="C1071" s="226">
        <v>96012</v>
      </c>
    </row>
    <row r="1072" spans="2:3">
      <c r="B1072" s="209" t="s">
        <v>2934</v>
      </c>
      <c r="C1072" s="226">
        <v>96011</v>
      </c>
    </row>
    <row r="1073" spans="2:3">
      <c r="B1073" s="209" t="s">
        <v>2935</v>
      </c>
      <c r="C1073" s="226">
        <v>96005</v>
      </c>
    </row>
    <row r="1074" spans="2:3">
      <c r="B1074" s="209" t="s">
        <v>61</v>
      </c>
      <c r="C1074" s="226">
        <v>91901</v>
      </c>
    </row>
    <row r="1075" spans="2:3">
      <c r="B1075" s="209" t="s">
        <v>2936</v>
      </c>
      <c r="C1075" s="226">
        <v>91904</v>
      </c>
    </row>
    <row r="1076" spans="2:3">
      <c r="B1076" s="209" t="s">
        <v>2937</v>
      </c>
      <c r="C1076" s="226">
        <v>91903</v>
      </c>
    </row>
    <row r="1077" spans="2:3">
      <c r="B1077" s="209" t="s">
        <v>63</v>
      </c>
      <c r="C1077" s="226">
        <v>92001</v>
      </c>
    </row>
    <row r="1078" spans="2:3">
      <c r="B1078" s="209" t="s">
        <v>2938</v>
      </c>
      <c r="C1078" s="226">
        <v>93647</v>
      </c>
    </row>
    <row r="1079" spans="2:3">
      <c r="B1079" s="209" t="s">
        <v>2939</v>
      </c>
      <c r="C1079" s="226">
        <v>93641</v>
      </c>
    </row>
    <row r="1080" spans="2:3">
      <c r="B1080" s="209" t="s">
        <v>2940</v>
      </c>
      <c r="C1080" s="226">
        <v>98041</v>
      </c>
    </row>
    <row r="1081" spans="2:3">
      <c r="B1081" s="209" t="s">
        <v>2941</v>
      </c>
      <c r="C1081" s="226">
        <v>96612</v>
      </c>
    </row>
    <row r="1082" spans="2:3">
      <c r="B1082" s="209" t="s">
        <v>2942</v>
      </c>
      <c r="C1082" s="226">
        <v>90751</v>
      </c>
    </row>
    <row r="1083" spans="2:3">
      <c r="B1083" s="209" t="s">
        <v>65</v>
      </c>
      <c r="C1083" s="226">
        <v>92101</v>
      </c>
    </row>
    <row r="1084" spans="2:3">
      <c r="B1084" s="209" t="s">
        <v>2943</v>
      </c>
      <c r="C1084" s="226">
        <v>92104</v>
      </c>
    </row>
    <row r="1085" spans="2:3">
      <c r="B1085" s="209" t="s">
        <v>2944</v>
      </c>
      <c r="C1085" s="226">
        <v>99818</v>
      </c>
    </row>
    <row r="1086" spans="2:3">
      <c r="B1086" s="209" t="s">
        <v>2945</v>
      </c>
      <c r="C1086" s="226">
        <v>91821</v>
      </c>
    </row>
    <row r="1087" spans="2:3">
      <c r="B1087" s="209" t="s">
        <v>2946</v>
      </c>
      <c r="C1087" s="226">
        <v>90931</v>
      </c>
    </row>
    <row r="1088" spans="2:3">
      <c r="B1088" s="209" t="s">
        <v>66</v>
      </c>
      <c r="C1088" s="226">
        <v>92201</v>
      </c>
    </row>
    <row r="1089" spans="2:3">
      <c r="B1089" s="209" t="s">
        <v>2947</v>
      </c>
      <c r="C1089" s="226">
        <v>95131</v>
      </c>
    </row>
    <row r="1090" spans="2:3">
      <c r="B1090" s="209" t="s">
        <v>94</v>
      </c>
      <c r="C1090" s="226">
        <v>93442</v>
      </c>
    </row>
    <row r="1091" spans="2:3">
      <c r="B1091" s="209" t="s">
        <v>2948</v>
      </c>
      <c r="C1091" s="226">
        <v>93441</v>
      </c>
    </row>
    <row r="1092" spans="2:3">
      <c r="B1092" s="209" t="s">
        <v>67</v>
      </c>
      <c r="C1092" s="226">
        <v>92301</v>
      </c>
    </row>
    <row r="1093" spans="2:3">
      <c r="B1093" s="209" t="s">
        <v>2949</v>
      </c>
      <c r="C1093" s="226">
        <v>92302</v>
      </c>
    </row>
    <row r="1094" spans="2:3">
      <c r="B1094" s="209" t="s">
        <v>2950</v>
      </c>
      <c r="C1094" s="226">
        <v>98091</v>
      </c>
    </row>
    <row r="1095" spans="2:3">
      <c r="B1095" s="209" t="s">
        <v>2951</v>
      </c>
      <c r="C1095" s="226">
        <v>98218</v>
      </c>
    </row>
    <row r="1096" spans="2:3">
      <c r="B1096" s="209" t="s">
        <v>2952</v>
      </c>
      <c r="C1096" s="226">
        <v>98211</v>
      </c>
    </row>
    <row r="1097" spans="2:3">
      <c r="B1097" s="209" t="s">
        <v>2953</v>
      </c>
      <c r="C1097" s="226">
        <v>96519</v>
      </c>
    </row>
    <row r="1098" spans="2:3">
      <c r="B1098" s="209" t="s">
        <v>2954</v>
      </c>
      <c r="C1098" s="226">
        <v>92508</v>
      </c>
    </row>
    <row r="1099" spans="2:3">
      <c r="B1099" s="209" t="s">
        <v>2955</v>
      </c>
      <c r="C1099" s="226">
        <v>94341</v>
      </c>
    </row>
    <row r="1100" spans="2:3">
      <c r="B1100" s="209" t="s">
        <v>2956</v>
      </c>
      <c r="C1100" s="226">
        <v>94641</v>
      </c>
    </row>
    <row r="1101" spans="2:3">
      <c r="B1101" s="209" t="s">
        <v>2957</v>
      </c>
      <c r="C1101" s="226">
        <v>90813</v>
      </c>
    </row>
    <row r="1102" spans="2:3">
      <c r="B1102" s="209" t="s">
        <v>107</v>
      </c>
      <c r="C1102" s="226">
        <v>94168</v>
      </c>
    </row>
    <row r="1103" spans="2:3">
      <c r="B1103" s="209" t="s">
        <v>2958</v>
      </c>
      <c r="C1103" s="226">
        <v>98911</v>
      </c>
    </row>
    <row r="1104" spans="2:3">
      <c r="B1104" s="209" t="s">
        <v>68</v>
      </c>
      <c r="C1104" s="226">
        <v>92401</v>
      </c>
    </row>
    <row r="1105" spans="2:3">
      <c r="B1105" s="209" t="s">
        <v>2959</v>
      </c>
      <c r="C1105" s="226">
        <v>97521</v>
      </c>
    </row>
    <row r="1106" spans="2:3">
      <c r="B1106" s="209" t="s">
        <v>2960</v>
      </c>
      <c r="C1106" s="226">
        <v>91317</v>
      </c>
    </row>
    <row r="1107" spans="2:3">
      <c r="B1107" s="209" t="s">
        <v>2961</v>
      </c>
      <c r="C1107" s="226">
        <v>91311</v>
      </c>
    </row>
    <row r="1108" spans="2:3">
      <c r="B1108" s="209" t="s">
        <v>2962</v>
      </c>
      <c r="C1108" s="226">
        <v>91261</v>
      </c>
    </row>
    <row r="1109" spans="2:3">
      <c r="B1109" s="209" t="s">
        <v>2963</v>
      </c>
      <c r="C1109" s="226">
        <v>91851</v>
      </c>
    </row>
    <row r="1110" spans="2:3">
      <c r="B1110" s="209" t="s">
        <v>2964</v>
      </c>
      <c r="C1110" s="226">
        <v>97408</v>
      </c>
    </row>
    <row r="1111" spans="2:3">
      <c r="B1111" s="209" t="s">
        <v>2965</v>
      </c>
      <c r="C1111" s="226">
        <v>96641</v>
      </c>
    </row>
    <row r="1112" spans="2:3">
      <c r="B1112" s="209" t="s">
        <v>2966</v>
      </c>
      <c r="C1112" s="226">
        <v>93027</v>
      </c>
    </row>
    <row r="1113" spans="2:3">
      <c r="B1113" s="209" t="s">
        <v>2967</v>
      </c>
      <c r="C1113" s="226">
        <v>93031</v>
      </c>
    </row>
    <row r="1114" spans="2:3">
      <c r="B1114" s="209" t="s">
        <v>2968</v>
      </c>
      <c r="C1114" s="226">
        <v>96051</v>
      </c>
    </row>
    <row r="1115" spans="2:3">
      <c r="B1115" s="209" t="s">
        <v>2969</v>
      </c>
      <c r="C1115" s="226">
        <v>92571</v>
      </c>
    </row>
    <row r="1116" spans="2:3">
      <c r="B1116" s="209" t="s">
        <v>2970</v>
      </c>
      <c r="C1116" s="226">
        <v>93631</v>
      </c>
    </row>
    <row r="1117" spans="2:3">
      <c r="B1117" s="209" t="s">
        <v>71</v>
      </c>
      <c r="C1117" s="226">
        <v>92501</v>
      </c>
    </row>
    <row r="1118" spans="2:3">
      <c r="B1118" s="209" t="s">
        <v>2971</v>
      </c>
      <c r="C1118" s="226">
        <v>92504</v>
      </c>
    </row>
    <row r="1119" spans="2:3">
      <c r="B1119" s="209" t="s">
        <v>2972</v>
      </c>
      <c r="C1119" s="226">
        <v>92506</v>
      </c>
    </row>
    <row r="1120" spans="2:3">
      <c r="B1120" s="209" t="s">
        <v>72</v>
      </c>
      <c r="C1120" s="226">
        <v>92505</v>
      </c>
    </row>
    <row r="1121" spans="2:3">
      <c r="B1121" s="209" t="s">
        <v>2973</v>
      </c>
      <c r="C1121" s="226">
        <v>93921</v>
      </c>
    </row>
    <row r="1122" spans="2:3">
      <c r="B1122" s="209" t="s">
        <v>2974</v>
      </c>
      <c r="C1122" s="226">
        <v>99431</v>
      </c>
    </row>
    <row r="1123" spans="2:3">
      <c r="B1123" s="209" t="s">
        <v>74</v>
      </c>
      <c r="C1123" s="226">
        <v>92601</v>
      </c>
    </row>
    <row r="1124" spans="2:3">
      <c r="B1124" s="209" t="s">
        <v>2975</v>
      </c>
      <c r="C1124" s="226">
        <v>92604</v>
      </c>
    </row>
    <row r="1125" spans="2:3">
      <c r="B1125" s="209" t="s">
        <v>75</v>
      </c>
      <c r="C1125" s="226">
        <v>92608</v>
      </c>
    </row>
    <row r="1126" spans="2:3">
      <c r="B1126" s="209" t="s">
        <v>76</v>
      </c>
      <c r="C1126" s="226">
        <v>92701</v>
      </c>
    </row>
    <row r="1127" spans="2:3">
      <c r="B1127" s="209" t="s">
        <v>2976</v>
      </c>
      <c r="C1127" s="226">
        <v>92704</v>
      </c>
    </row>
    <row r="1128" spans="2:3">
      <c r="B1128" s="209" t="s">
        <v>2977</v>
      </c>
      <c r="C1128" s="226">
        <v>93651</v>
      </c>
    </row>
    <row r="1129" spans="2:3">
      <c r="B1129" s="209" t="s">
        <v>77</v>
      </c>
      <c r="C1129" s="226">
        <v>92801</v>
      </c>
    </row>
    <row r="1130" spans="2:3">
      <c r="B1130" s="209" t="s">
        <v>2978</v>
      </c>
      <c r="C1130" s="226">
        <v>92804</v>
      </c>
    </row>
    <row r="1131" spans="2:3">
      <c r="B1131" s="209" t="s">
        <v>78</v>
      </c>
      <c r="C1131" s="226">
        <v>92802</v>
      </c>
    </row>
    <row r="1132" spans="2:3">
      <c r="B1132" s="209" t="s">
        <v>79</v>
      </c>
      <c r="C1132" s="226">
        <v>92901</v>
      </c>
    </row>
    <row r="1133" spans="2:3">
      <c r="B1133" s="209" t="s">
        <v>2979</v>
      </c>
      <c r="C1133" s="226">
        <v>96081</v>
      </c>
    </row>
    <row r="1134" spans="2:3">
      <c r="B1134" s="209" t="s">
        <v>82</v>
      </c>
      <c r="C1134" s="226">
        <v>93001</v>
      </c>
    </row>
    <row r="1135" spans="2:3">
      <c r="B1135" s="209" t="s">
        <v>2980</v>
      </c>
      <c r="C1135" s="226">
        <v>93009</v>
      </c>
    </row>
    <row r="1136" spans="2:3">
      <c r="B1136" s="209" t="s">
        <v>2981</v>
      </c>
      <c r="C1136" s="226">
        <v>92921</v>
      </c>
    </row>
    <row r="1137" spans="2:3">
      <c r="B1137" s="209" t="s">
        <v>2982</v>
      </c>
      <c r="C1137" s="226">
        <v>98627</v>
      </c>
    </row>
    <row r="1138" spans="2:3">
      <c r="B1138" s="209" t="s">
        <v>2983</v>
      </c>
      <c r="C1138" s="226">
        <v>98621</v>
      </c>
    </row>
    <row r="1139" spans="2:3">
      <c r="B1139" s="209" t="s">
        <v>2984</v>
      </c>
      <c r="C1139" s="226">
        <v>91221</v>
      </c>
    </row>
    <row r="1140" spans="2:3">
      <c r="B1140" s="209" t="s">
        <v>2985</v>
      </c>
      <c r="C1140" s="226">
        <v>92861</v>
      </c>
    </row>
    <row r="1141" spans="2:3">
      <c r="B1141" s="209" t="s">
        <v>2986</v>
      </c>
      <c r="C1141" s="226">
        <v>94317</v>
      </c>
    </row>
    <row r="1142" spans="2:3">
      <c r="B1142" s="209" t="s">
        <v>113</v>
      </c>
      <c r="C1142" s="226">
        <v>94313</v>
      </c>
    </row>
    <row r="1143" spans="2:3">
      <c r="B1143" s="209" t="s">
        <v>2987</v>
      </c>
      <c r="C1143" s="226">
        <v>94311</v>
      </c>
    </row>
    <row r="1144" spans="2:3">
      <c r="B1144" s="209" t="s">
        <v>83</v>
      </c>
      <c r="C1144" s="226">
        <v>93101</v>
      </c>
    </row>
    <row r="1145" spans="2:3">
      <c r="B1145" s="209" t="s">
        <v>260</v>
      </c>
      <c r="C1145" s="226">
        <v>93103</v>
      </c>
    </row>
    <row r="1146" spans="2:3">
      <c r="B1146" s="209" t="s">
        <v>2988</v>
      </c>
      <c r="C1146" s="226">
        <v>93212</v>
      </c>
    </row>
    <row r="1147" spans="2:3">
      <c r="B1147" s="209" t="s">
        <v>84</v>
      </c>
      <c r="C1147" s="226">
        <v>93201</v>
      </c>
    </row>
    <row r="1148" spans="2:3">
      <c r="B1148" s="209" t="s">
        <v>2989</v>
      </c>
      <c r="C1148" s="226">
        <v>93204</v>
      </c>
    </row>
    <row r="1149" spans="2:3">
      <c r="B1149" s="209" t="s">
        <v>2990</v>
      </c>
      <c r="C1149" s="226">
        <v>99212</v>
      </c>
    </row>
    <row r="1150" spans="2:3">
      <c r="B1150" s="209" t="s">
        <v>2991</v>
      </c>
      <c r="C1150" s="226">
        <v>93211</v>
      </c>
    </row>
    <row r="1151" spans="2:3">
      <c r="B1151" s="209" t="s">
        <v>166</v>
      </c>
      <c r="C1151" s="226">
        <v>97005</v>
      </c>
    </row>
    <row r="1152" spans="2:3">
      <c r="B1152" s="209" t="s">
        <v>2992</v>
      </c>
      <c r="C1152" s="226">
        <v>99931</v>
      </c>
    </row>
    <row r="1153" spans="2:3">
      <c r="B1153" s="209" t="s">
        <v>2993</v>
      </c>
      <c r="C1153" s="226">
        <v>92509</v>
      </c>
    </row>
    <row r="1154" spans="2:3">
      <c r="B1154" s="209" t="s">
        <v>195</v>
      </c>
      <c r="C1154" s="226">
        <v>98023</v>
      </c>
    </row>
    <row r="1155" spans="2:3">
      <c r="B1155" s="209" t="s">
        <v>2994</v>
      </c>
      <c r="C1155" s="226">
        <v>98021</v>
      </c>
    </row>
    <row r="1156" spans="2:3">
      <c r="B1156" s="209" t="s">
        <v>24</v>
      </c>
      <c r="C1156" s="226">
        <v>70505</v>
      </c>
    </row>
    <row r="1157" spans="2:3">
      <c r="B1157" s="209" t="s">
        <v>2995</v>
      </c>
      <c r="C1157" s="226">
        <v>99603</v>
      </c>
    </row>
    <row r="1158" spans="2:3">
      <c r="B1158" s="209" t="s">
        <v>2996</v>
      </c>
      <c r="C1158" s="226">
        <v>99610</v>
      </c>
    </row>
    <row r="1159" spans="2:3">
      <c r="B1159" s="209" t="s">
        <v>2997</v>
      </c>
      <c r="C1159" s="226">
        <v>92681</v>
      </c>
    </row>
    <row r="1160" spans="2:3">
      <c r="B1160" s="209" t="s">
        <v>1621</v>
      </c>
      <c r="C1160" s="226">
        <v>93108</v>
      </c>
    </row>
    <row r="1161" spans="2:3">
      <c r="B1161" s="209" t="s">
        <v>2998</v>
      </c>
      <c r="C1161" s="226">
        <v>97957</v>
      </c>
    </row>
    <row r="1162" spans="2:3">
      <c r="B1162" s="209" t="s">
        <v>2999</v>
      </c>
      <c r="C1162" s="226">
        <v>97951</v>
      </c>
    </row>
    <row r="1163" spans="2:3">
      <c r="B1163" s="209" t="s">
        <v>3000</v>
      </c>
      <c r="C1163" s="226">
        <v>92111</v>
      </c>
    </row>
    <row r="1164" spans="2:3">
      <c r="B1164" s="209" t="s">
        <v>87</v>
      </c>
      <c r="C1164" s="226">
        <v>93301</v>
      </c>
    </row>
    <row r="1165" spans="2:3">
      <c r="B1165" s="209" t="s">
        <v>3001</v>
      </c>
      <c r="C1165" s="226">
        <v>93304</v>
      </c>
    </row>
    <row r="1166" spans="2:3">
      <c r="B1166" s="209" t="s">
        <v>3002</v>
      </c>
      <c r="C1166" s="226">
        <v>93305</v>
      </c>
    </row>
    <row r="1167" spans="2:3">
      <c r="B1167" s="209" t="s">
        <v>3003</v>
      </c>
      <c r="C1167" s="226">
        <v>99210</v>
      </c>
    </row>
    <row r="1168" spans="2:3">
      <c r="B1168" s="209" t="s">
        <v>169</v>
      </c>
      <c r="C1168" s="226">
        <v>97011</v>
      </c>
    </row>
    <row r="1169" spans="2:3">
      <c r="B1169" s="209" t="s">
        <v>3004</v>
      </c>
      <c r="C1169" s="226">
        <v>97013</v>
      </c>
    </row>
    <row r="1170" spans="2:3">
      <c r="B1170" s="209" t="s">
        <v>3005</v>
      </c>
      <c r="C1170" s="226">
        <v>97012</v>
      </c>
    </row>
    <row r="1171" spans="2:3">
      <c r="B1171" s="209" t="s">
        <v>3006</v>
      </c>
      <c r="C1171" s="226">
        <v>97018</v>
      </c>
    </row>
    <row r="1172" spans="2:3">
      <c r="B1172" s="209" t="s">
        <v>3007</v>
      </c>
      <c r="C1172" s="226">
        <v>90917</v>
      </c>
    </row>
    <row r="1173" spans="2:3">
      <c r="B1173" s="209" t="s">
        <v>3008</v>
      </c>
      <c r="C1173" s="226">
        <v>90911</v>
      </c>
    </row>
    <row r="1174" spans="2:3">
      <c r="B1174" s="209" t="s">
        <v>3009</v>
      </c>
      <c r="C1174" s="226">
        <v>90641</v>
      </c>
    </row>
    <row r="1175" spans="2:3">
      <c r="B1175" s="209" t="s">
        <v>3010</v>
      </c>
      <c r="C1175" s="226">
        <v>98647</v>
      </c>
    </row>
    <row r="1176" spans="2:3">
      <c r="B1176" s="209" t="s">
        <v>3011</v>
      </c>
      <c r="C1176" s="226">
        <v>98641</v>
      </c>
    </row>
    <row r="1177" spans="2:3">
      <c r="B1177" s="209" t="s">
        <v>3012</v>
      </c>
      <c r="C1177" s="226">
        <v>98161</v>
      </c>
    </row>
    <row r="1178" spans="2:3">
      <c r="B1178" s="209" t="s">
        <v>3013</v>
      </c>
      <c r="C1178" s="226">
        <v>97731</v>
      </c>
    </row>
    <row r="1179" spans="2:3">
      <c r="B1179" s="209" t="s">
        <v>3014</v>
      </c>
      <c r="C1179" s="226">
        <v>99851</v>
      </c>
    </row>
    <row r="1180" spans="2:3">
      <c r="B1180" s="209" t="s">
        <v>3015</v>
      </c>
      <c r="C1180" s="226">
        <v>90131</v>
      </c>
    </row>
    <row r="1181" spans="2:3">
      <c r="B1181" s="209" t="s">
        <v>3016</v>
      </c>
      <c r="C1181" s="226">
        <v>91651</v>
      </c>
    </row>
    <row r="1182" spans="2:3">
      <c r="B1182" s="209" t="s">
        <v>3017</v>
      </c>
      <c r="C1182" s="226">
        <v>94211</v>
      </c>
    </row>
    <row r="1183" spans="2:3">
      <c r="B1183" s="209" t="s">
        <v>3018</v>
      </c>
      <c r="C1183" s="226">
        <v>94331</v>
      </c>
    </row>
    <row r="1184" spans="2:3">
      <c r="B1184" s="209" t="s">
        <v>3019</v>
      </c>
      <c r="C1184" s="226">
        <v>92431</v>
      </c>
    </row>
    <row r="1185" spans="2:3">
      <c r="B1185" s="209" t="s">
        <v>190</v>
      </c>
      <c r="C1185" s="226">
        <v>97823</v>
      </c>
    </row>
    <row r="1186" spans="2:3">
      <c r="B1186" s="209" t="s">
        <v>3020</v>
      </c>
      <c r="C1186" s="226">
        <v>97821</v>
      </c>
    </row>
    <row r="1187" spans="2:3">
      <c r="B1187" s="209" t="s">
        <v>3021</v>
      </c>
      <c r="C1187" s="226">
        <v>93141</v>
      </c>
    </row>
    <row r="1188" spans="2:3">
      <c r="B1188" s="209" t="s">
        <v>3022</v>
      </c>
      <c r="C1188" s="226">
        <v>98081</v>
      </c>
    </row>
    <row r="1189" spans="2:3">
      <c r="B1189" s="209" t="s">
        <v>3023</v>
      </c>
      <c r="C1189" s="226">
        <v>92671</v>
      </c>
    </row>
    <row r="1190" spans="2:3">
      <c r="B1190" s="209" t="s">
        <v>179</v>
      </c>
      <c r="C1190" s="226">
        <v>97423</v>
      </c>
    </row>
    <row r="1191" spans="2:3">
      <c r="B1191" s="209" t="s">
        <v>3024</v>
      </c>
      <c r="C1191" s="226">
        <v>97421</v>
      </c>
    </row>
    <row r="1192" spans="2:3">
      <c r="B1192" s="209" t="s">
        <v>3025</v>
      </c>
      <c r="C1192" s="226">
        <v>92613</v>
      </c>
    </row>
    <row r="1193" spans="2:3">
      <c r="B1193" s="209" t="s">
        <v>3026</v>
      </c>
      <c r="C1193" s="226">
        <v>92614</v>
      </c>
    </row>
    <row r="1194" spans="2:3">
      <c r="B1194" s="209" t="s">
        <v>3027</v>
      </c>
      <c r="C1194" s="226">
        <v>92611</v>
      </c>
    </row>
    <row r="1195" spans="2:3">
      <c r="B1195" s="209" t="s">
        <v>3028</v>
      </c>
      <c r="C1195" s="226">
        <v>92502</v>
      </c>
    </row>
    <row r="1196" spans="2:3">
      <c r="B1196" s="209" t="s">
        <v>3029</v>
      </c>
      <c r="C1196" s="226">
        <v>94531</v>
      </c>
    </row>
    <row r="1197" spans="2:3">
      <c r="B1197" s="209" t="s">
        <v>3030</v>
      </c>
      <c r="C1197" s="226">
        <v>94547</v>
      </c>
    </row>
    <row r="1198" spans="2:3">
      <c r="B1198" s="209" t="s">
        <v>3031</v>
      </c>
      <c r="C1198" s="226">
        <v>94541</v>
      </c>
    </row>
    <row r="1199" spans="2:3">
      <c r="B1199" s="209" t="s">
        <v>126</v>
      </c>
      <c r="C1199" s="226">
        <v>95005</v>
      </c>
    </row>
    <row r="1200" spans="2:3">
      <c r="B1200" s="209" t="s">
        <v>198</v>
      </c>
      <c r="C1200" s="226">
        <v>98111</v>
      </c>
    </row>
    <row r="1201" spans="2:3">
      <c r="B1201" s="209" t="s">
        <v>3032</v>
      </c>
      <c r="C1201" s="226">
        <v>98107</v>
      </c>
    </row>
    <row r="1202" spans="2:3">
      <c r="B1202" s="209" t="s">
        <v>199</v>
      </c>
      <c r="C1202" s="226">
        <v>98113</v>
      </c>
    </row>
    <row r="1203" spans="2:3">
      <c r="B1203" s="209" t="s">
        <v>3033</v>
      </c>
      <c r="C1203" s="226">
        <v>99602</v>
      </c>
    </row>
    <row r="1204" spans="2:3">
      <c r="B1204" s="209" t="s">
        <v>90</v>
      </c>
      <c r="C1204" s="226">
        <v>93401</v>
      </c>
    </row>
    <row r="1205" spans="2:3">
      <c r="B1205" s="209" t="s">
        <v>3034</v>
      </c>
      <c r="C1205" s="226">
        <v>97491</v>
      </c>
    </row>
    <row r="1206" spans="2:3">
      <c r="B1206" s="209" t="s">
        <v>3035</v>
      </c>
      <c r="C1206" s="226">
        <v>95151</v>
      </c>
    </row>
    <row r="1207" spans="2:3">
      <c r="B1207" s="209" t="s">
        <v>150</v>
      </c>
      <c r="C1207" s="226">
        <v>96381</v>
      </c>
    </row>
    <row r="1208" spans="2:3">
      <c r="B1208" s="209" t="s">
        <v>95</v>
      </c>
      <c r="C1208" s="226">
        <v>93501</v>
      </c>
    </row>
    <row r="1209" spans="2:3">
      <c r="B1209" s="209" t="s">
        <v>3036</v>
      </c>
      <c r="C1209" s="226">
        <v>95611</v>
      </c>
    </row>
    <row r="1210" spans="2:3">
      <c r="B1210" s="209" t="s">
        <v>3037</v>
      </c>
      <c r="C1210" s="226">
        <v>93517</v>
      </c>
    </row>
    <row r="1211" spans="2:3">
      <c r="B1211" s="209" t="s">
        <v>3038</v>
      </c>
      <c r="C1211" s="226">
        <v>93511</v>
      </c>
    </row>
    <row r="1212" spans="2:3">
      <c r="B1212" s="209" t="s">
        <v>3039</v>
      </c>
      <c r="C1212" s="226">
        <v>99631</v>
      </c>
    </row>
    <row r="1213" spans="2:3">
      <c r="B1213" s="209" t="s">
        <v>3040</v>
      </c>
      <c r="C1213" s="226">
        <v>99261</v>
      </c>
    </row>
    <row r="1214" spans="2:3">
      <c r="B1214" s="209" t="s">
        <v>3041</v>
      </c>
      <c r="C1214" s="226">
        <v>98241</v>
      </c>
    </row>
    <row r="1215" spans="2:3">
      <c r="B1215" s="209" t="s">
        <v>3042</v>
      </c>
      <c r="C1215" s="226">
        <v>99252</v>
      </c>
    </row>
    <row r="1216" spans="2:3">
      <c r="B1216" s="209" t="s">
        <v>3043</v>
      </c>
      <c r="C1216" s="226">
        <v>99251</v>
      </c>
    </row>
    <row r="1217" spans="2:3">
      <c r="B1217" s="209" t="s">
        <v>3044</v>
      </c>
      <c r="C1217" s="226">
        <v>96631</v>
      </c>
    </row>
    <row r="1218" spans="2:3">
      <c r="B1218" s="209" t="s">
        <v>3045</v>
      </c>
      <c r="C1218" s="226">
        <v>93618</v>
      </c>
    </row>
    <row r="1219" spans="2:3">
      <c r="B1219" s="209" t="s">
        <v>96</v>
      </c>
      <c r="C1219" s="226">
        <v>93601</v>
      </c>
    </row>
    <row r="1220" spans="2:3">
      <c r="B1220" s="209" t="s">
        <v>3046</v>
      </c>
      <c r="C1220" s="226">
        <v>96651</v>
      </c>
    </row>
    <row r="1221" spans="2:3">
      <c r="B1221" s="209" t="s">
        <v>3047</v>
      </c>
      <c r="C1221" s="226">
        <v>93617</v>
      </c>
    </row>
    <row r="1222" spans="2:3">
      <c r="B1222" s="209" t="s">
        <v>3048</v>
      </c>
      <c r="C1222" s="226">
        <v>93611</v>
      </c>
    </row>
    <row r="1223" spans="2:3">
      <c r="B1223" s="209" t="s">
        <v>99</v>
      </c>
      <c r="C1223" s="226">
        <v>93701</v>
      </c>
    </row>
    <row r="1224" spans="2:3">
      <c r="B1224" s="209" t="s">
        <v>3049</v>
      </c>
      <c r="C1224" s="226">
        <v>93704</v>
      </c>
    </row>
    <row r="1225" spans="2:3">
      <c r="B1225" s="209" t="s">
        <v>3050</v>
      </c>
      <c r="C1225" s="226">
        <v>98331</v>
      </c>
    </row>
    <row r="1226" spans="2:3">
      <c r="B1226" s="209" t="s">
        <v>3051</v>
      </c>
      <c r="C1226" s="226">
        <v>94157</v>
      </c>
    </row>
    <row r="1227" spans="2:3">
      <c r="B1227" s="209" t="s">
        <v>3052</v>
      </c>
      <c r="C1227" s="226">
        <v>94151</v>
      </c>
    </row>
    <row r="1228" spans="2:3">
      <c r="B1228" s="209" t="s">
        <v>3053</v>
      </c>
      <c r="C1228" s="226">
        <v>91241</v>
      </c>
    </row>
    <row r="1229" spans="2:3">
      <c r="B1229" s="209" t="s">
        <v>135</v>
      </c>
      <c r="C1229" s="226">
        <v>95412</v>
      </c>
    </row>
    <row r="1230" spans="2:3">
      <c r="B1230" s="209" t="s">
        <v>3054</v>
      </c>
      <c r="C1230" s="226">
        <v>99613</v>
      </c>
    </row>
    <row r="1231" spans="2:3">
      <c r="B1231" s="209" t="s">
        <v>3055</v>
      </c>
      <c r="C1231" s="226">
        <v>99611</v>
      </c>
    </row>
    <row r="1232" spans="2:3">
      <c r="B1232" s="209" t="s">
        <v>62</v>
      </c>
      <c r="C1232" s="226">
        <v>91908</v>
      </c>
    </row>
    <row r="1233" spans="2:3">
      <c r="B1233" s="209" t="s">
        <v>100</v>
      </c>
      <c r="C1233" s="226">
        <v>93801</v>
      </c>
    </row>
    <row r="1234" spans="2:3">
      <c r="B1234" s="209" t="s">
        <v>3056</v>
      </c>
      <c r="C1234" s="226">
        <v>93806</v>
      </c>
    </row>
    <row r="1235" spans="2:3">
      <c r="B1235" s="209" t="s">
        <v>3057</v>
      </c>
      <c r="C1235" s="226">
        <v>93803</v>
      </c>
    </row>
    <row r="1236" spans="2:3">
      <c r="B1236" s="209" t="s">
        <v>3058</v>
      </c>
      <c r="C1236" s="226">
        <v>90121</v>
      </c>
    </row>
    <row r="1237" spans="2:3">
      <c r="B1237" s="209" t="s">
        <v>3059</v>
      </c>
      <c r="C1237" s="226">
        <v>91417</v>
      </c>
    </row>
    <row r="1238" spans="2:3">
      <c r="B1238" s="209" t="s">
        <v>3060</v>
      </c>
      <c r="C1238" s="226">
        <v>91411</v>
      </c>
    </row>
    <row r="1239" spans="2:3">
      <c r="B1239" s="209" t="s">
        <v>3061</v>
      </c>
      <c r="C1239" s="226">
        <v>98061</v>
      </c>
    </row>
    <row r="1240" spans="2:3">
      <c r="B1240" s="209" t="s">
        <v>101</v>
      </c>
      <c r="C1240" s="226">
        <v>93901</v>
      </c>
    </row>
    <row r="1241" spans="2:3">
      <c r="B1241" s="209" t="s">
        <v>3062</v>
      </c>
      <c r="C1241" s="226">
        <v>93904</v>
      </c>
    </row>
    <row r="1242" spans="2:3">
      <c r="B1242" s="209" t="s">
        <v>102</v>
      </c>
      <c r="C1242" s="226">
        <v>93906</v>
      </c>
    </row>
    <row r="1243" spans="2:3">
      <c r="B1243" s="209" t="s">
        <v>3063</v>
      </c>
      <c r="C1243" s="226">
        <v>93908</v>
      </c>
    </row>
    <row r="1244" spans="2:3">
      <c r="B1244" s="209" t="s">
        <v>3064</v>
      </c>
      <c r="C1244" s="226">
        <v>94908</v>
      </c>
    </row>
    <row r="1245" spans="2:3">
      <c r="B1245" s="209" t="s">
        <v>3065</v>
      </c>
      <c r="C1245" s="226">
        <v>90161</v>
      </c>
    </row>
    <row r="1246" spans="2:3">
      <c r="B1246" s="209" t="s">
        <v>104</v>
      </c>
      <c r="C1246" s="226">
        <v>94001</v>
      </c>
    </row>
    <row r="1247" spans="2:3">
      <c r="B1247" s="209" t="s">
        <v>3066</v>
      </c>
      <c r="C1247" s="226">
        <v>94004</v>
      </c>
    </row>
    <row r="1248" spans="2:3">
      <c r="B1248" s="209" t="s">
        <v>3067</v>
      </c>
      <c r="C1248" s="226">
        <v>94117</v>
      </c>
    </row>
    <row r="1249" spans="2:3">
      <c r="B1249" s="209" t="s">
        <v>3068</v>
      </c>
      <c r="C1249" s="226">
        <v>94111</v>
      </c>
    </row>
    <row r="1250" spans="2:3">
      <c r="B1250" s="209" t="s">
        <v>178</v>
      </c>
      <c r="C1250" s="226">
        <v>97413</v>
      </c>
    </row>
    <row r="1251" spans="2:3">
      <c r="B1251" s="209" t="s">
        <v>177</v>
      </c>
      <c r="C1251" s="226">
        <v>97412</v>
      </c>
    </row>
    <row r="1252" spans="2:3">
      <c r="B1252" s="209" t="s">
        <v>3069</v>
      </c>
      <c r="C1252" s="226">
        <v>97411</v>
      </c>
    </row>
    <row r="1253" spans="2:3">
      <c r="B1253" s="209" t="s">
        <v>3070</v>
      </c>
      <c r="C1253" s="226">
        <v>97431</v>
      </c>
    </row>
    <row r="1254" spans="2:3">
      <c r="B1254" s="209" t="s">
        <v>3071</v>
      </c>
      <c r="C1254" s="226">
        <v>97471</v>
      </c>
    </row>
    <row r="1255" spans="2:3">
      <c r="B1255" s="209" t="s">
        <v>3072</v>
      </c>
      <c r="C1255" s="226">
        <v>92351</v>
      </c>
    </row>
    <row r="1256" spans="2:3">
      <c r="B1256" s="209" t="s">
        <v>3073</v>
      </c>
      <c r="C1256" s="226">
        <v>94118</v>
      </c>
    </row>
    <row r="1257" spans="2:3">
      <c r="B1257" s="209" t="s">
        <v>3074</v>
      </c>
      <c r="C1257" s="226">
        <v>94101</v>
      </c>
    </row>
    <row r="1258" spans="2:3">
      <c r="B1258" s="209" t="s">
        <v>106</v>
      </c>
      <c r="C1258" s="226">
        <v>94102</v>
      </c>
    </row>
    <row r="1259" spans="2:3">
      <c r="B1259" s="209" t="s">
        <v>109</v>
      </c>
      <c r="C1259" s="226">
        <v>94201</v>
      </c>
    </row>
    <row r="1260" spans="2:3">
      <c r="B1260" s="209" t="s">
        <v>3075</v>
      </c>
      <c r="C1260" s="226">
        <v>94204</v>
      </c>
    </row>
    <row r="1261" spans="2:3">
      <c r="B1261" s="209" t="s">
        <v>110</v>
      </c>
      <c r="C1261" s="226">
        <v>94205</v>
      </c>
    </row>
    <row r="1262" spans="2:3">
      <c r="B1262" s="209" t="s">
        <v>3076</v>
      </c>
      <c r="C1262" s="226">
        <v>95831</v>
      </c>
    </row>
    <row r="1263" spans="2:3">
      <c r="B1263" s="209" t="s">
        <v>3077</v>
      </c>
      <c r="C1263" s="226">
        <v>97717</v>
      </c>
    </row>
    <row r="1264" spans="2:3">
      <c r="B1264" s="209" t="s">
        <v>3078</v>
      </c>
      <c r="C1264" s="226">
        <v>97721</v>
      </c>
    </row>
    <row r="1265" spans="2:3">
      <c r="B1265" s="209" t="s">
        <v>112</v>
      </c>
      <c r="C1265" s="226">
        <v>94301</v>
      </c>
    </row>
    <row r="1266" spans="2:3">
      <c r="B1266" s="209" t="s">
        <v>3079</v>
      </c>
      <c r="C1266" s="226">
        <v>91441</v>
      </c>
    </row>
    <row r="1267" spans="2:3">
      <c r="B1267" s="209" t="s">
        <v>3080</v>
      </c>
      <c r="C1267" s="226">
        <v>92531</v>
      </c>
    </row>
    <row r="1268" spans="2:3">
      <c r="B1268" s="209" t="s">
        <v>3081</v>
      </c>
      <c r="C1268" s="226">
        <v>90141</v>
      </c>
    </row>
    <row r="1269" spans="2:3">
      <c r="B1269" s="209" t="s">
        <v>114</v>
      </c>
      <c r="C1269" s="226">
        <v>94401</v>
      </c>
    </row>
    <row r="1270" spans="2:3">
      <c r="B1270" s="209" t="s">
        <v>115</v>
      </c>
      <c r="C1270" s="226">
        <v>94402</v>
      </c>
    </row>
    <row r="1271" spans="2:3">
      <c r="B1271" s="209" t="s">
        <v>3082</v>
      </c>
      <c r="C1271" s="226">
        <v>94501</v>
      </c>
    </row>
    <row r="1272" spans="2:3">
      <c r="B1272" s="209" t="s">
        <v>3083</v>
      </c>
      <c r="C1272" s="226">
        <v>99111</v>
      </c>
    </row>
    <row r="1273" spans="2:3">
      <c r="B1273" s="209" t="s">
        <v>3084</v>
      </c>
      <c r="C1273" s="226">
        <v>94517</v>
      </c>
    </row>
    <row r="1274" spans="2:3">
      <c r="B1274" s="209" t="s">
        <v>117</v>
      </c>
      <c r="C1274" s="226">
        <v>94512</v>
      </c>
    </row>
    <row r="1275" spans="2:3">
      <c r="B1275" s="209" t="s">
        <v>3085</v>
      </c>
      <c r="C1275" s="226">
        <v>94511</v>
      </c>
    </row>
    <row r="1276" spans="2:3">
      <c r="B1276" s="209" t="s">
        <v>3086</v>
      </c>
      <c r="C1276" s="226">
        <v>97217</v>
      </c>
    </row>
    <row r="1277" spans="2:3">
      <c r="B1277" s="209" t="s">
        <v>119</v>
      </c>
      <c r="C1277" s="226">
        <v>94601</v>
      </c>
    </row>
    <row r="1278" spans="2:3">
      <c r="B1278" s="209" t="s">
        <v>3087</v>
      </c>
      <c r="C1278" s="226">
        <v>94604</v>
      </c>
    </row>
    <row r="1279" spans="2:3">
      <c r="B1279" s="209" t="s">
        <v>120</v>
      </c>
      <c r="C1279" s="226">
        <v>94606</v>
      </c>
    </row>
    <row r="1280" spans="2:3">
      <c r="B1280" s="209" t="s">
        <v>3088</v>
      </c>
      <c r="C1280" s="226">
        <v>97213</v>
      </c>
    </row>
    <row r="1281" spans="2:3">
      <c r="B1281" s="209" t="s">
        <v>3089</v>
      </c>
      <c r="C1281" s="226">
        <v>97211</v>
      </c>
    </row>
    <row r="1282" spans="2:3">
      <c r="B1282" s="209" t="s">
        <v>3090</v>
      </c>
      <c r="C1282" s="226">
        <v>91813</v>
      </c>
    </row>
    <row r="1283" spans="2:3">
      <c r="B1283" s="209" t="s">
        <v>3091</v>
      </c>
      <c r="C1283" s="226">
        <v>91811</v>
      </c>
    </row>
    <row r="1284" spans="2:3">
      <c r="B1284" s="209" t="s">
        <v>3092</v>
      </c>
      <c r="C1284" s="226">
        <v>91812</v>
      </c>
    </row>
    <row r="1285" spans="2:3">
      <c r="B1285" s="209" t="s">
        <v>3093</v>
      </c>
      <c r="C1285" s="226">
        <v>90617</v>
      </c>
    </row>
    <row r="1286" spans="2:3">
      <c r="B1286" s="209" t="s">
        <v>3094</v>
      </c>
      <c r="C1286" s="226">
        <v>94127</v>
      </c>
    </row>
    <row r="1287" spans="2:3">
      <c r="B1287" s="209" t="s">
        <v>3095</v>
      </c>
      <c r="C1287" s="226">
        <v>94121</v>
      </c>
    </row>
    <row r="1288" spans="2:3">
      <c r="B1288" s="209" t="s">
        <v>3096</v>
      </c>
      <c r="C1288" s="226">
        <v>95617</v>
      </c>
    </row>
    <row r="1289" spans="2:3">
      <c r="B1289" s="209" t="s">
        <v>3097</v>
      </c>
      <c r="C1289" s="226">
        <v>95621</v>
      </c>
    </row>
    <row r="1290" spans="2:3">
      <c r="B1290" s="209" t="s">
        <v>3098</v>
      </c>
      <c r="C1290" s="226">
        <v>91251</v>
      </c>
    </row>
    <row r="1291" spans="2:3">
      <c r="B1291" s="209" t="s">
        <v>3099</v>
      </c>
      <c r="C1291" s="226">
        <v>96831</v>
      </c>
    </row>
    <row r="1292" spans="2:3">
      <c r="B1292" s="209" t="s">
        <v>3100</v>
      </c>
      <c r="C1292" s="226">
        <v>94251</v>
      </c>
    </row>
    <row r="1293" spans="2:3">
      <c r="B1293" s="209" t="s">
        <v>121</v>
      </c>
      <c r="C1293" s="226">
        <v>94701</v>
      </c>
    </row>
    <row r="1294" spans="2:3">
      <c r="B1294" s="209" t="s">
        <v>3101</v>
      </c>
      <c r="C1294" s="226">
        <v>94704</v>
      </c>
    </row>
    <row r="1295" spans="2:3">
      <c r="B1295" s="209" t="s">
        <v>3102</v>
      </c>
      <c r="C1295" s="226">
        <v>91014</v>
      </c>
    </row>
    <row r="1296" spans="2:3">
      <c r="B1296" s="209" t="s">
        <v>160</v>
      </c>
      <c r="C1296" s="226">
        <v>96733</v>
      </c>
    </row>
    <row r="1297" spans="2:3">
      <c r="B1297" s="209" t="s">
        <v>3103</v>
      </c>
      <c r="C1297" s="226">
        <v>96731</v>
      </c>
    </row>
    <row r="1298" spans="2:3">
      <c r="B1298" s="209" t="s">
        <v>3104</v>
      </c>
      <c r="C1298" s="226">
        <v>99202</v>
      </c>
    </row>
    <row r="1299" spans="2:3">
      <c r="B1299" s="209" t="s">
        <v>3105</v>
      </c>
      <c r="C1299" s="226">
        <v>94011</v>
      </c>
    </row>
    <row r="1300" spans="2:3">
      <c r="B1300" s="209" t="s">
        <v>3106</v>
      </c>
      <c r="C1300" s="226">
        <v>92631</v>
      </c>
    </row>
    <row r="1301" spans="2:3">
      <c r="B1301" s="209" t="s">
        <v>140</v>
      </c>
      <c r="C1301" s="226">
        <v>95733</v>
      </c>
    </row>
    <row r="1302" spans="2:3">
      <c r="B1302" s="209" t="s">
        <v>3107</v>
      </c>
      <c r="C1302" s="226">
        <v>91431</v>
      </c>
    </row>
    <row r="1303" spans="2:3">
      <c r="B1303" s="209" t="s">
        <v>3108</v>
      </c>
      <c r="C1303" s="226">
        <v>96041</v>
      </c>
    </row>
    <row r="1304" spans="2:3">
      <c r="B1304" s="209" t="s">
        <v>122</v>
      </c>
      <c r="C1304" s="226">
        <v>94801</v>
      </c>
    </row>
    <row r="1305" spans="2:3">
      <c r="B1305" s="209" t="s">
        <v>3109</v>
      </c>
      <c r="C1305" s="226">
        <v>94804</v>
      </c>
    </row>
    <row r="1306" spans="2:3">
      <c r="B1306" s="209" t="s">
        <v>3110</v>
      </c>
      <c r="C1306" s="226">
        <v>91661</v>
      </c>
    </row>
    <row r="1307" spans="2:3">
      <c r="B1307" s="209" t="s">
        <v>1622</v>
      </c>
      <c r="C1307" s="226">
        <v>99014</v>
      </c>
    </row>
    <row r="1308" spans="2:3">
      <c r="B1308" s="209" t="s">
        <v>3111</v>
      </c>
      <c r="C1308" s="226">
        <v>99051</v>
      </c>
    </row>
    <row r="1309" spans="2:3">
      <c r="B1309" s="209" t="s">
        <v>123</v>
      </c>
      <c r="C1309" s="226">
        <v>94901</v>
      </c>
    </row>
    <row r="1310" spans="2:3">
      <c r="B1310" s="209" t="s">
        <v>3112</v>
      </c>
      <c r="C1310" s="226">
        <v>98109</v>
      </c>
    </row>
    <row r="1311" spans="2:3">
      <c r="B1311" s="209" t="s">
        <v>3113</v>
      </c>
      <c r="C1311" s="226">
        <v>98205</v>
      </c>
    </row>
    <row r="1312" spans="2:3">
      <c r="B1312" s="209" t="s">
        <v>125</v>
      </c>
      <c r="C1312" s="226">
        <v>95001</v>
      </c>
    </row>
    <row r="1313" spans="2:3">
      <c r="B1313" s="209" t="s">
        <v>1623</v>
      </c>
      <c r="C1313" s="226">
        <v>95017</v>
      </c>
    </row>
    <row r="1314" spans="2:3">
      <c r="B1314" s="209" t="s">
        <v>3114</v>
      </c>
      <c r="C1314" s="226">
        <v>96661</v>
      </c>
    </row>
    <row r="1315" spans="2:3">
      <c r="B1315" s="209" t="s">
        <v>3115</v>
      </c>
      <c r="C1315" s="226">
        <v>96711</v>
      </c>
    </row>
    <row r="1316" spans="2:3">
      <c r="B1316" s="209" t="s">
        <v>3116</v>
      </c>
      <c r="C1316" s="226">
        <v>94131</v>
      </c>
    </row>
    <row r="1317" spans="2:3">
      <c r="B1317" s="209" t="s">
        <v>3117</v>
      </c>
      <c r="C1317" s="226">
        <v>95841</v>
      </c>
    </row>
    <row r="1318" spans="2:3">
      <c r="B1318" s="209" t="s">
        <v>3118</v>
      </c>
      <c r="C1318" s="226">
        <v>90511</v>
      </c>
    </row>
    <row r="1319" spans="2:3">
      <c r="B1319" s="209" t="s">
        <v>127</v>
      </c>
      <c r="C1319" s="226">
        <v>95101</v>
      </c>
    </row>
    <row r="1320" spans="2:3">
      <c r="B1320" s="209" t="s">
        <v>3119</v>
      </c>
      <c r="C1320" s="226">
        <v>95104</v>
      </c>
    </row>
    <row r="1321" spans="2:3">
      <c r="B1321" s="209" t="s">
        <v>3120</v>
      </c>
      <c r="C1321" s="226">
        <v>95105</v>
      </c>
    </row>
    <row r="1322" spans="2:3">
      <c r="B1322" s="209" t="s">
        <v>1624</v>
      </c>
      <c r="C1322" s="226">
        <v>95110</v>
      </c>
    </row>
    <row r="1323" spans="2:3">
      <c r="B1323" s="209" t="s">
        <v>131</v>
      </c>
      <c r="C1323" s="226">
        <v>95201</v>
      </c>
    </row>
    <row r="1324" spans="2:3">
      <c r="B1324" s="209" t="s">
        <v>3121</v>
      </c>
      <c r="C1324" s="226">
        <v>95204</v>
      </c>
    </row>
    <row r="1325" spans="2:3">
      <c r="B1325" s="209" t="s">
        <v>3122</v>
      </c>
      <c r="C1325" s="226">
        <v>99921</v>
      </c>
    </row>
    <row r="1326" spans="2:3">
      <c r="B1326" s="209" t="s">
        <v>116</v>
      </c>
      <c r="C1326" s="226">
        <v>94408</v>
      </c>
    </row>
    <row r="1327" spans="2:3">
      <c r="B1327" s="209" t="s">
        <v>3123</v>
      </c>
      <c r="C1327" s="226">
        <v>91331</v>
      </c>
    </row>
    <row r="1328" spans="2:3">
      <c r="B1328" s="209" t="s">
        <v>3124</v>
      </c>
      <c r="C1328" s="226">
        <v>93127</v>
      </c>
    </row>
    <row r="1329" spans="2:3">
      <c r="B1329" s="209" t="s">
        <v>3125</v>
      </c>
      <c r="C1329" s="226">
        <v>93121</v>
      </c>
    </row>
    <row r="1330" spans="2:3">
      <c r="B1330" s="209" t="s">
        <v>3126</v>
      </c>
      <c r="C1330" s="226">
        <v>95171</v>
      </c>
    </row>
    <row r="1331" spans="2:3">
      <c r="B1331" s="209" t="s">
        <v>3127</v>
      </c>
      <c r="C1331" s="226">
        <v>93421</v>
      </c>
    </row>
    <row r="1332" spans="2:3">
      <c r="B1332" s="209" t="s">
        <v>3128</v>
      </c>
      <c r="C1332" s="226">
        <v>99110</v>
      </c>
    </row>
    <row r="1333" spans="2:3">
      <c r="B1333" s="209" t="s">
        <v>3129</v>
      </c>
      <c r="C1333" s="226">
        <v>99109</v>
      </c>
    </row>
    <row r="1334" spans="2:3">
      <c r="B1334" s="209" t="s">
        <v>3130</v>
      </c>
      <c r="C1334" s="226">
        <v>92821</v>
      </c>
    </row>
    <row r="1335" spans="2:3">
      <c r="B1335" s="209" t="s">
        <v>3131</v>
      </c>
      <c r="C1335" s="226">
        <v>98521</v>
      </c>
    </row>
    <row r="1336" spans="2:3">
      <c r="B1336" s="209" t="s">
        <v>3132</v>
      </c>
      <c r="C1336" s="226">
        <v>92327</v>
      </c>
    </row>
    <row r="1337" spans="2:3">
      <c r="B1337" s="209" t="s">
        <v>3133</v>
      </c>
      <c r="C1337" s="226">
        <v>92321</v>
      </c>
    </row>
    <row r="1338" spans="2:3">
      <c r="B1338" s="209" t="s">
        <v>3134</v>
      </c>
      <c r="C1338" s="226">
        <v>95413</v>
      </c>
    </row>
    <row r="1339" spans="2:3">
      <c r="B1339" s="209" t="s">
        <v>3135</v>
      </c>
      <c r="C1339" s="226">
        <v>95411</v>
      </c>
    </row>
    <row r="1340" spans="2:3">
      <c r="B1340" s="209" t="s">
        <v>3136</v>
      </c>
      <c r="C1340" s="226">
        <v>95415</v>
      </c>
    </row>
    <row r="1341" spans="2:3">
      <c r="B1341" s="209" t="s">
        <v>3137</v>
      </c>
      <c r="C1341" s="226">
        <v>92851</v>
      </c>
    </row>
    <row r="1342" spans="2:3">
      <c r="B1342" s="209" t="s">
        <v>3138</v>
      </c>
      <c r="C1342" s="226">
        <v>99291</v>
      </c>
    </row>
    <row r="1343" spans="2:3">
      <c r="B1343" s="209" t="s">
        <v>3139</v>
      </c>
      <c r="C1343" s="226">
        <v>96541</v>
      </c>
    </row>
    <row r="1344" spans="2:3">
      <c r="B1344" s="209" t="s">
        <v>3140</v>
      </c>
      <c r="C1344" s="226">
        <v>95431</v>
      </c>
    </row>
    <row r="1345" spans="2:3">
      <c r="B1345" s="209" t="s">
        <v>3141</v>
      </c>
      <c r="C1345" s="226">
        <v>98131</v>
      </c>
    </row>
    <row r="1346" spans="2:3">
      <c r="B1346" s="209" t="s">
        <v>3142</v>
      </c>
      <c r="C1346" s="226">
        <v>92427</v>
      </c>
    </row>
    <row r="1347" spans="2:3">
      <c r="B1347" s="209" t="s">
        <v>3143</v>
      </c>
      <c r="C1347" s="226">
        <v>92461</v>
      </c>
    </row>
    <row r="1348" spans="2:3">
      <c r="B1348" s="209" t="s">
        <v>3144</v>
      </c>
      <c r="C1348" s="226">
        <v>98051</v>
      </c>
    </row>
    <row r="1349" spans="2:3">
      <c r="B1349" s="209" t="s">
        <v>45</v>
      </c>
      <c r="C1349" s="226">
        <v>91102</v>
      </c>
    </row>
    <row r="1350" spans="2:3">
      <c r="B1350" s="209" t="s">
        <v>3145</v>
      </c>
      <c r="C1350" s="226">
        <v>94527</v>
      </c>
    </row>
    <row r="1351" spans="2:3">
      <c r="B1351" s="209" t="s">
        <v>3146</v>
      </c>
      <c r="C1351" s="226">
        <v>94521</v>
      </c>
    </row>
    <row r="1352" spans="2:3">
      <c r="B1352" s="209" t="s">
        <v>3147</v>
      </c>
      <c r="C1352" s="226">
        <v>98313</v>
      </c>
    </row>
    <row r="1353" spans="2:3">
      <c r="B1353" s="209" t="s">
        <v>3148</v>
      </c>
      <c r="C1353" s="226">
        <v>98311</v>
      </c>
    </row>
    <row r="1354" spans="2:3">
      <c r="B1354" s="209" t="s">
        <v>202</v>
      </c>
      <c r="C1354" s="226">
        <v>98308</v>
      </c>
    </row>
    <row r="1355" spans="2:3">
      <c r="B1355" s="209" t="s">
        <v>3149</v>
      </c>
      <c r="C1355" s="226">
        <v>92341</v>
      </c>
    </row>
    <row r="1356" spans="2:3">
      <c r="B1356" s="209" t="s">
        <v>132</v>
      </c>
      <c r="C1356" s="226">
        <v>95301</v>
      </c>
    </row>
    <row r="1357" spans="2:3">
      <c r="B1357" s="209" t="s">
        <v>3150</v>
      </c>
      <c r="C1357" s="226">
        <v>91002</v>
      </c>
    </row>
    <row r="1358" spans="2:3">
      <c r="B1358" s="209" t="s">
        <v>3151</v>
      </c>
      <c r="C1358" s="226">
        <v>91457</v>
      </c>
    </row>
    <row r="1359" spans="2:3">
      <c r="B1359" s="209" t="s">
        <v>133</v>
      </c>
      <c r="C1359" s="226">
        <v>95401</v>
      </c>
    </row>
    <row r="1360" spans="2:3">
      <c r="B1360" s="209" t="s">
        <v>3152</v>
      </c>
      <c r="C1360" s="226">
        <v>95404</v>
      </c>
    </row>
    <row r="1361" spans="2:3">
      <c r="B1361" s="209" t="s">
        <v>55</v>
      </c>
      <c r="C1361" s="226">
        <v>91423</v>
      </c>
    </row>
    <row r="1362" spans="2:3">
      <c r="B1362" s="209" t="s">
        <v>3153</v>
      </c>
      <c r="C1362" s="226">
        <v>91451</v>
      </c>
    </row>
    <row r="1363" spans="2:3">
      <c r="B1363" s="209" t="s">
        <v>3154</v>
      </c>
      <c r="C1363" s="226">
        <v>90861</v>
      </c>
    </row>
    <row r="1364" spans="2:3">
      <c r="B1364" s="209" t="s">
        <v>3155</v>
      </c>
      <c r="C1364" s="226">
        <v>93451</v>
      </c>
    </row>
    <row r="1365" spans="2:3">
      <c r="B1365" s="209" t="s">
        <v>3156</v>
      </c>
      <c r="C1365" s="226">
        <v>92917</v>
      </c>
    </row>
    <row r="1366" spans="2:3">
      <c r="B1366" s="209" t="s">
        <v>3157</v>
      </c>
      <c r="C1366" s="226">
        <v>92931</v>
      </c>
    </row>
    <row r="1367" spans="2:3">
      <c r="B1367" s="209" t="s">
        <v>3158</v>
      </c>
      <c r="C1367" s="226">
        <v>97637</v>
      </c>
    </row>
    <row r="1368" spans="2:3">
      <c r="B1368" s="209" t="s">
        <v>3159</v>
      </c>
      <c r="C1368" s="226">
        <v>97631</v>
      </c>
    </row>
    <row r="1369" spans="2:3">
      <c r="B1369" s="209" t="s">
        <v>3160</v>
      </c>
      <c r="C1369" s="226">
        <v>90421</v>
      </c>
    </row>
    <row r="1370" spans="2:3">
      <c r="B1370" s="209" t="s">
        <v>3161</v>
      </c>
      <c r="C1370" s="226">
        <v>94321</v>
      </c>
    </row>
    <row r="1371" spans="2:3">
      <c r="B1371" s="209" t="s">
        <v>136</v>
      </c>
      <c r="C1371" s="226">
        <v>95501</v>
      </c>
    </row>
    <row r="1372" spans="2:3">
      <c r="B1372" s="209" t="s">
        <v>3162</v>
      </c>
      <c r="C1372" s="226">
        <v>95504</v>
      </c>
    </row>
    <row r="1373" spans="2:3">
      <c r="B1373" s="209" t="s">
        <v>3163</v>
      </c>
      <c r="C1373" s="226">
        <v>95517</v>
      </c>
    </row>
    <row r="1374" spans="2:3">
      <c r="B1374" s="209" t="s">
        <v>137</v>
      </c>
      <c r="C1374" s="226">
        <v>95513</v>
      </c>
    </row>
    <row r="1375" spans="2:3">
      <c r="B1375" s="209" t="s">
        <v>3164</v>
      </c>
      <c r="C1375" s="226">
        <v>95511</v>
      </c>
    </row>
    <row r="1376" spans="2:3">
      <c r="B1376" s="209" t="s">
        <v>3165</v>
      </c>
      <c r="C1376" s="226">
        <v>92651</v>
      </c>
    </row>
    <row r="1377" spans="2:3">
      <c r="B1377" s="209" t="s">
        <v>3166</v>
      </c>
      <c r="C1377" s="226">
        <v>94261</v>
      </c>
    </row>
    <row r="1378" spans="2:3">
      <c r="B1378" s="209" t="s">
        <v>3167</v>
      </c>
      <c r="C1378" s="226">
        <v>98431</v>
      </c>
    </row>
    <row r="1379" spans="2:3">
      <c r="B1379" s="209" t="s">
        <v>3168</v>
      </c>
      <c r="C1379" s="226">
        <v>91841</v>
      </c>
    </row>
    <row r="1380" spans="2:3">
      <c r="B1380" s="209" t="s">
        <v>3169</v>
      </c>
      <c r="C1380" s="226">
        <v>93527</v>
      </c>
    </row>
    <row r="1381" spans="2:3">
      <c r="B1381" s="209" t="s">
        <v>3170</v>
      </c>
      <c r="C1381" s="226">
        <v>93521</v>
      </c>
    </row>
    <row r="1382" spans="2:3">
      <c r="B1382" s="209" t="s">
        <v>3171</v>
      </c>
      <c r="C1382" s="226">
        <v>93661</v>
      </c>
    </row>
    <row r="1383" spans="2:3">
      <c r="B1383" s="209" t="s">
        <v>156</v>
      </c>
      <c r="C1383" s="226">
        <v>96508</v>
      </c>
    </row>
    <row r="1384" spans="2:3">
      <c r="B1384" s="209" t="s">
        <v>3172</v>
      </c>
      <c r="C1384" s="226">
        <v>99841</v>
      </c>
    </row>
    <row r="1385" spans="2:3">
      <c r="B1385" s="209" t="s">
        <v>187</v>
      </c>
      <c r="C1385" s="226">
        <v>97802</v>
      </c>
    </row>
    <row r="1386" spans="2:3">
      <c r="B1386" s="209" t="s">
        <v>3173</v>
      </c>
      <c r="C1386" s="226">
        <v>97817</v>
      </c>
    </row>
    <row r="1387" spans="2:3">
      <c r="B1387" s="209" t="s">
        <v>3174</v>
      </c>
      <c r="C1387" s="226">
        <v>97818</v>
      </c>
    </row>
    <row r="1388" spans="2:3">
      <c r="B1388" s="209" t="s">
        <v>3175</v>
      </c>
      <c r="C1388" s="226">
        <v>97811</v>
      </c>
    </row>
    <row r="1389" spans="2:3">
      <c r="B1389" s="209" t="s">
        <v>3176</v>
      </c>
      <c r="C1389" s="226">
        <v>93341</v>
      </c>
    </row>
    <row r="1390" spans="2:3">
      <c r="B1390" s="209" t="s">
        <v>138</v>
      </c>
      <c r="C1390" s="226">
        <v>95601</v>
      </c>
    </row>
    <row r="1391" spans="2:3">
      <c r="B1391" s="209" t="s">
        <v>3177</v>
      </c>
      <c r="C1391" s="226">
        <v>97947</v>
      </c>
    </row>
    <row r="1392" spans="2:3">
      <c r="B1392" s="209" t="s">
        <v>139</v>
      </c>
      <c r="C1392" s="226">
        <v>95701</v>
      </c>
    </row>
    <row r="1393" spans="2:3">
      <c r="B1393" s="209" t="s">
        <v>3178</v>
      </c>
      <c r="C1393" s="226">
        <v>97941</v>
      </c>
    </row>
    <row r="1394" spans="2:3">
      <c r="B1394" s="209" t="s">
        <v>193</v>
      </c>
      <c r="C1394" s="226">
        <v>97948</v>
      </c>
    </row>
    <row r="1395" spans="2:3">
      <c r="B1395" s="209" t="s">
        <v>3179</v>
      </c>
      <c r="C1395" s="226">
        <v>94427</v>
      </c>
    </row>
    <row r="1396" spans="2:3">
      <c r="B1396" s="209" t="s">
        <v>3180</v>
      </c>
      <c r="C1396" s="226">
        <v>94428</v>
      </c>
    </row>
    <row r="1397" spans="2:3">
      <c r="B1397" s="209" t="s">
        <v>3181</v>
      </c>
      <c r="C1397" s="226">
        <v>94421</v>
      </c>
    </row>
    <row r="1398" spans="2:3">
      <c r="B1398" s="209" t="s">
        <v>3182</v>
      </c>
      <c r="C1398" s="226">
        <v>93191</v>
      </c>
    </row>
    <row r="1399" spans="2:3">
      <c r="B1399" s="209" t="s">
        <v>3183</v>
      </c>
      <c r="C1399" s="226">
        <v>91831</v>
      </c>
    </row>
    <row r="1400" spans="2:3">
      <c r="B1400" s="209" t="s">
        <v>3184</v>
      </c>
      <c r="C1400" s="226">
        <v>92831</v>
      </c>
    </row>
    <row r="1401" spans="2:3">
      <c r="B1401" s="209" t="s">
        <v>3185</v>
      </c>
      <c r="C1401" s="226">
        <v>95917</v>
      </c>
    </row>
    <row r="1402" spans="2:3">
      <c r="B1402" s="209" t="s">
        <v>3186</v>
      </c>
      <c r="C1402" s="226">
        <v>95911</v>
      </c>
    </row>
    <row r="1403" spans="2:3">
      <c r="B1403" s="209" t="s">
        <v>3187</v>
      </c>
      <c r="C1403" s="226">
        <v>95711</v>
      </c>
    </row>
    <row r="1404" spans="2:3">
      <c r="B1404" s="209" t="s">
        <v>3188</v>
      </c>
      <c r="C1404" s="226">
        <v>95721</v>
      </c>
    </row>
    <row r="1405" spans="2:3">
      <c r="B1405" s="209" t="s">
        <v>3189</v>
      </c>
      <c r="C1405" s="226">
        <v>99021</v>
      </c>
    </row>
    <row r="1406" spans="2:3">
      <c r="B1406" s="209" t="s">
        <v>141</v>
      </c>
      <c r="C1406" s="226">
        <v>95801</v>
      </c>
    </row>
    <row r="1407" spans="2:3">
      <c r="B1407" s="209" t="s">
        <v>3190</v>
      </c>
      <c r="C1407" s="226">
        <v>95804</v>
      </c>
    </row>
    <row r="1408" spans="2:3">
      <c r="B1408" s="209" t="s">
        <v>3191</v>
      </c>
      <c r="C1408" s="226">
        <v>95802</v>
      </c>
    </row>
    <row r="1409" spans="2:3">
      <c r="B1409" s="209" t="s">
        <v>3192</v>
      </c>
      <c r="C1409" s="226">
        <v>90092</v>
      </c>
    </row>
    <row r="1410" spans="2:3">
      <c r="B1410" s="209" t="s">
        <v>3193</v>
      </c>
      <c r="C1410" s="226">
        <v>99081</v>
      </c>
    </row>
    <row r="1411" spans="2:3">
      <c r="B1411" s="209" t="s">
        <v>3194</v>
      </c>
      <c r="C1411" s="226">
        <v>96071</v>
      </c>
    </row>
    <row r="1412" spans="2:3">
      <c r="B1412" s="209" t="s">
        <v>105</v>
      </c>
      <c r="C1412" s="226">
        <v>94002</v>
      </c>
    </row>
    <row r="1413" spans="2:3">
      <c r="B1413" s="209" t="s">
        <v>3195</v>
      </c>
      <c r="C1413" s="226">
        <v>97847</v>
      </c>
    </row>
    <row r="1414" spans="2:3">
      <c r="B1414" s="209" t="s">
        <v>3196</v>
      </c>
      <c r="C1414" s="226">
        <v>97840</v>
      </c>
    </row>
    <row r="1415" spans="2:3">
      <c r="B1415" s="209" t="s">
        <v>3197</v>
      </c>
      <c r="C1415" s="226">
        <v>97921</v>
      </c>
    </row>
    <row r="1416" spans="2:3">
      <c r="B1416" s="209" t="s">
        <v>3198</v>
      </c>
      <c r="C1416" s="226">
        <v>95221</v>
      </c>
    </row>
    <row r="1417" spans="2:3">
      <c r="B1417" s="209" t="s">
        <v>3199</v>
      </c>
      <c r="C1417" s="226">
        <v>93610</v>
      </c>
    </row>
    <row r="1418" spans="2:3">
      <c r="B1418" s="209" t="s">
        <v>3200</v>
      </c>
      <c r="C1418" s="226">
        <v>95901</v>
      </c>
    </row>
    <row r="1419" spans="2:3">
      <c r="B1419" s="209" t="s">
        <v>3201</v>
      </c>
      <c r="C1419" s="226">
        <v>90114</v>
      </c>
    </row>
    <row r="1420" spans="2:3">
      <c r="B1420" s="209" t="s">
        <v>144</v>
      </c>
      <c r="C1420" s="226">
        <v>96001</v>
      </c>
    </row>
    <row r="1421" spans="2:3">
      <c r="B1421" s="209" t="s">
        <v>3202</v>
      </c>
      <c r="C1421" s="226">
        <v>96004</v>
      </c>
    </row>
    <row r="1422" spans="2:3">
      <c r="B1422" s="209" t="s">
        <v>3203</v>
      </c>
      <c r="C1422" s="226">
        <v>96008</v>
      </c>
    </row>
    <row r="1423" spans="2:3">
      <c r="B1423" s="209" t="s">
        <v>47</v>
      </c>
      <c r="C1423" s="226">
        <v>91108</v>
      </c>
    </row>
    <row r="1424" spans="2:3">
      <c r="B1424" s="209" t="s">
        <v>3204</v>
      </c>
      <c r="C1424" s="226">
        <v>94941</v>
      </c>
    </row>
    <row r="1425" spans="2:3">
      <c r="B1425" s="209" t="s">
        <v>3205</v>
      </c>
      <c r="C1425" s="226">
        <v>95122</v>
      </c>
    </row>
    <row r="1426" spans="2:3">
      <c r="B1426" s="209" t="s">
        <v>3206</v>
      </c>
      <c r="C1426" s="226">
        <v>92607</v>
      </c>
    </row>
    <row r="1427" spans="2:3">
      <c r="B1427" s="209" t="s">
        <v>3207</v>
      </c>
      <c r="C1427" s="226">
        <v>96431</v>
      </c>
    </row>
    <row r="1428" spans="2:3">
      <c r="B1428" s="209" t="s">
        <v>1625</v>
      </c>
      <c r="C1428" s="226">
        <v>90709</v>
      </c>
    </row>
    <row r="1429" spans="2:3">
      <c r="B1429" s="209" t="s">
        <v>3208</v>
      </c>
      <c r="C1429" s="226">
        <v>91341</v>
      </c>
    </row>
    <row r="1430" spans="2:3">
      <c r="B1430" s="209" t="s">
        <v>3209</v>
      </c>
      <c r="C1430" s="226">
        <v>94551</v>
      </c>
    </row>
    <row r="1431" spans="2:3">
      <c r="B1431" s="209" t="s">
        <v>3210</v>
      </c>
      <c r="C1431" s="226">
        <v>99022</v>
      </c>
    </row>
    <row r="1432" spans="2:3">
      <c r="B1432" s="209" t="s">
        <v>3211</v>
      </c>
      <c r="C1432" s="226">
        <v>96031</v>
      </c>
    </row>
    <row r="1433" spans="2:3">
      <c r="B1433" s="209" t="s">
        <v>3212</v>
      </c>
      <c r="C1433" s="226">
        <v>71786</v>
      </c>
    </row>
    <row r="1434" spans="2:3">
      <c r="B1434" s="209" t="s">
        <v>146</v>
      </c>
      <c r="C1434" s="226">
        <v>96101</v>
      </c>
    </row>
    <row r="1435" spans="2:3">
      <c r="B1435" s="209" t="s">
        <v>3213</v>
      </c>
      <c r="C1435" s="226">
        <v>96102</v>
      </c>
    </row>
    <row r="1436" spans="2:3">
      <c r="B1436" s="209" t="s">
        <v>3214</v>
      </c>
      <c r="C1436" s="226">
        <v>93011</v>
      </c>
    </row>
    <row r="1437" spans="2:3">
      <c r="B1437" s="209" t="s">
        <v>3215</v>
      </c>
      <c r="C1437" s="226">
        <v>99017</v>
      </c>
    </row>
    <row r="1438" spans="2:3">
      <c r="B1438" s="209" t="s">
        <v>3216</v>
      </c>
      <c r="C1438" s="226">
        <v>99013</v>
      </c>
    </row>
    <row r="1439" spans="2:3">
      <c r="B1439" s="209" t="s">
        <v>3217</v>
      </c>
      <c r="C1439" s="226">
        <v>99011</v>
      </c>
    </row>
    <row r="1440" spans="2:3">
      <c r="B1440" s="209" t="s">
        <v>147</v>
      </c>
      <c r="C1440" s="226">
        <v>96201</v>
      </c>
    </row>
    <row r="1441" spans="2:3">
      <c r="B1441" s="209" t="s">
        <v>3218</v>
      </c>
      <c r="C1441" s="226">
        <v>96204</v>
      </c>
    </row>
    <row r="1442" spans="2:3">
      <c r="B1442" s="209" t="s">
        <v>3219</v>
      </c>
      <c r="C1442" s="226">
        <v>91161</v>
      </c>
    </row>
    <row r="1443" spans="2:3">
      <c r="B1443" s="209" t="s">
        <v>148</v>
      </c>
      <c r="C1443" s="226">
        <v>96301</v>
      </c>
    </row>
    <row r="1444" spans="2:3">
      <c r="B1444" s="209" t="s">
        <v>3220</v>
      </c>
      <c r="C1444" s="226">
        <v>96304</v>
      </c>
    </row>
    <row r="1445" spans="2:3">
      <c r="B1445" s="209" t="s">
        <v>149</v>
      </c>
      <c r="C1445" s="226">
        <v>96310</v>
      </c>
    </row>
    <row r="1446" spans="2:3">
      <c r="B1446" s="209" t="s">
        <v>3221</v>
      </c>
      <c r="C1446" s="226">
        <v>96305</v>
      </c>
    </row>
    <row r="1447" spans="2:3">
      <c r="B1447" s="209" t="s">
        <v>3222</v>
      </c>
      <c r="C1447" s="226">
        <v>94927</v>
      </c>
    </row>
    <row r="1448" spans="2:3">
      <c r="B1448" s="209" t="s">
        <v>124</v>
      </c>
      <c r="C1448" s="226">
        <v>94923</v>
      </c>
    </row>
    <row r="1449" spans="2:3">
      <c r="B1449" s="209" t="s">
        <v>3223</v>
      </c>
      <c r="C1449" s="226">
        <v>94921</v>
      </c>
    </row>
    <row r="1450" spans="2:3">
      <c r="B1450" s="209" t="s">
        <v>3224</v>
      </c>
      <c r="C1450" s="226">
        <v>91611</v>
      </c>
    </row>
    <row r="1451" spans="2:3">
      <c r="B1451" s="209" t="s">
        <v>3225</v>
      </c>
      <c r="C1451" s="226">
        <v>91217</v>
      </c>
    </row>
    <row r="1452" spans="2:3">
      <c r="B1452" s="209" t="s">
        <v>52</v>
      </c>
      <c r="C1452" s="226">
        <v>91233</v>
      </c>
    </row>
    <row r="1453" spans="2:3">
      <c r="B1453" s="209" t="s">
        <v>3226</v>
      </c>
      <c r="C1453" s="226">
        <v>91231</v>
      </c>
    </row>
    <row r="1454" spans="2:3">
      <c r="B1454" s="209" t="s">
        <v>3227</v>
      </c>
      <c r="C1454" s="226">
        <v>99206</v>
      </c>
    </row>
    <row r="1455" spans="2:3">
      <c r="B1455" s="209" t="s">
        <v>3228</v>
      </c>
      <c r="C1455" s="226">
        <v>90461</v>
      </c>
    </row>
    <row r="1456" spans="2:3">
      <c r="B1456" s="209" t="s">
        <v>3229</v>
      </c>
      <c r="C1456" s="226">
        <v>98631</v>
      </c>
    </row>
    <row r="1457" spans="2:3">
      <c r="B1457" s="209" t="s">
        <v>3230</v>
      </c>
      <c r="C1457" s="226">
        <v>96251</v>
      </c>
    </row>
    <row r="1458" spans="2:3">
      <c r="B1458" s="209" t="s">
        <v>3231</v>
      </c>
      <c r="C1458" s="226">
        <v>99623</v>
      </c>
    </row>
    <row r="1459" spans="2:3">
      <c r="B1459" s="209" t="s">
        <v>3232</v>
      </c>
      <c r="C1459" s="226">
        <v>99621</v>
      </c>
    </row>
    <row r="1460" spans="2:3">
      <c r="B1460" s="209" t="s">
        <v>3233</v>
      </c>
      <c r="C1460" s="226">
        <v>91321</v>
      </c>
    </row>
    <row r="1461" spans="2:3">
      <c r="B1461" s="209" t="s">
        <v>3234</v>
      </c>
      <c r="C1461" s="226">
        <v>98637</v>
      </c>
    </row>
    <row r="1462" spans="2:3">
      <c r="B1462" s="209" t="s">
        <v>3235</v>
      </c>
      <c r="C1462" s="226">
        <v>93691</v>
      </c>
    </row>
    <row r="1463" spans="2:3">
      <c r="B1463" s="209" t="s">
        <v>3236</v>
      </c>
      <c r="C1463" s="226">
        <v>91327</v>
      </c>
    </row>
    <row r="1464" spans="2:3">
      <c r="B1464" s="209" t="s">
        <v>3237</v>
      </c>
      <c r="C1464" s="226">
        <v>94621</v>
      </c>
    </row>
    <row r="1465" spans="2:3">
      <c r="B1465" s="209" t="s">
        <v>3238</v>
      </c>
      <c r="C1465" s="226">
        <v>92017</v>
      </c>
    </row>
    <row r="1466" spans="2:3">
      <c r="B1466" s="209" t="s">
        <v>3239</v>
      </c>
      <c r="C1466" s="226">
        <v>92011</v>
      </c>
    </row>
    <row r="1467" spans="2:3">
      <c r="B1467" s="209" t="s">
        <v>3240</v>
      </c>
      <c r="C1467" s="51">
        <v>99991</v>
      </c>
    </row>
    <row r="1468" spans="2:3">
      <c r="B1468" s="209" t="s">
        <v>3241</v>
      </c>
      <c r="C1468" s="51">
        <v>99999</v>
      </c>
    </row>
    <row r="1469" spans="2:3">
      <c r="B1469" s="209" t="s">
        <v>3242</v>
      </c>
      <c r="C1469" s="226">
        <v>92811</v>
      </c>
    </row>
    <row r="1470" spans="2:3">
      <c r="B1470" s="209" t="s">
        <v>64</v>
      </c>
      <c r="C1470" s="226">
        <v>92005</v>
      </c>
    </row>
    <row r="1471" spans="2:3">
      <c r="B1471" s="209" t="s">
        <v>151</v>
      </c>
      <c r="C1471" s="226">
        <v>96401</v>
      </c>
    </row>
    <row r="1472" spans="2:3">
      <c r="B1472" s="209" t="s">
        <v>3243</v>
      </c>
      <c r="C1472" s="226">
        <v>96404</v>
      </c>
    </row>
    <row r="1473" spans="2:3">
      <c r="B1473" s="209" t="s">
        <v>3244</v>
      </c>
      <c r="C1473" s="226">
        <v>96421</v>
      </c>
    </row>
    <row r="1474" spans="2:3">
      <c r="B1474" s="209" t="s">
        <v>134</v>
      </c>
      <c r="C1474" s="226">
        <v>95405</v>
      </c>
    </row>
    <row r="1475" spans="2:3">
      <c r="B1475" s="209" t="s">
        <v>3245</v>
      </c>
      <c r="C1475" s="226">
        <v>94005</v>
      </c>
    </row>
    <row r="1476" spans="2:3">
      <c r="B1476" s="209" t="s">
        <v>3246</v>
      </c>
      <c r="C1476" s="226">
        <v>95205</v>
      </c>
    </row>
    <row r="1477" spans="2:3">
      <c r="B1477" s="209" t="s">
        <v>73</v>
      </c>
      <c r="C1477" s="226">
        <v>92507</v>
      </c>
    </row>
    <row r="1478" spans="2:3">
      <c r="B1478" s="209" t="s">
        <v>3247</v>
      </c>
      <c r="C1478" s="226">
        <v>92511</v>
      </c>
    </row>
    <row r="1479" spans="2:3">
      <c r="B1479" s="209" t="s">
        <v>3248</v>
      </c>
      <c r="C1479" s="226">
        <v>96502</v>
      </c>
    </row>
    <row r="1480" spans="2:3">
      <c r="B1480" s="209" t="s">
        <v>153</v>
      </c>
      <c r="C1480" s="226">
        <v>96501</v>
      </c>
    </row>
    <row r="1481" spans="2:3">
      <c r="B1481" s="209" t="s">
        <v>3249</v>
      </c>
      <c r="C1481" s="226">
        <v>96504</v>
      </c>
    </row>
    <row r="1482" spans="2:3">
      <c r="B1482" s="209" t="s">
        <v>3250</v>
      </c>
      <c r="C1482" s="226">
        <v>97913</v>
      </c>
    </row>
    <row r="1483" spans="2:3">
      <c r="B1483" s="209" t="s">
        <v>3251</v>
      </c>
      <c r="C1483" s="226">
        <v>90621</v>
      </c>
    </row>
    <row r="1484" spans="2:3">
      <c r="B1484" s="209" t="s">
        <v>3252</v>
      </c>
      <c r="C1484" s="226">
        <v>91621</v>
      </c>
    </row>
    <row r="1485" spans="2:3">
      <c r="B1485" s="209" t="s">
        <v>3253</v>
      </c>
      <c r="C1485" s="226">
        <v>98231</v>
      </c>
    </row>
    <row r="1486" spans="2:3">
      <c r="B1486" s="209" t="s">
        <v>3254</v>
      </c>
      <c r="C1486" s="226">
        <v>91871</v>
      </c>
    </row>
    <row r="1487" spans="2:3">
      <c r="B1487" s="209" t="s">
        <v>3255</v>
      </c>
      <c r="C1487" s="226">
        <v>99311</v>
      </c>
    </row>
    <row r="1488" spans="2:3">
      <c r="B1488" s="209" t="s">
        <v>3256</v>
      </c>
      <c r="C1488" s="226">
        <v>96751</v>
      </c>
    </row>
    <row r="1489" spans="2:3">
      <c r="B1489" s="209" t="s">
        <v>3257</v>
      </c>
      <c r="C1489" s="226">
        <v>99717</v>
      </c>
    </row>
    <row r="1490" spans="2:3">
      <c r="B1490" s="209" t="s">
        <v>3258</v>
      </c>
      <c r="C1490" s="226">
        <v>99711</v>
      </c>
    </row>
    <row r="1491" spans="2:3">
      <c r="B1491" s="209" t="s">
        <v>158</v>
      </c>
      <c r="C1491" s="226">
        <v>96601</v>
      </c>
    </row>
    <row r="1492" spans="2:3">
      <c r="B1492" s="209" t="s">
        <v>3259</v>
      </c>
      <c r="C1492" s="226">
        <v>96604</v>
      </c>
    </row>
    <row r="1493" spans="2:3">
      <c r="B1493" s="209" t="s">
        <v>3260</v>
      </c>
      <c r="C1493" s="226">
        <v>91012</v>
      </c>
    </row>
    <row r="1494" spans="2:3">
      <c r="B1494" s="209" t="s">
        <v>30</v>
      </c>
      <c r="C1494" s="226">
        <v>90305</v>
      </c>
    </row>
    <row r="1495" spans="2:3">
      <c r="B1495" s="209" t="s">
        <v>3261</v>
      </c>
      <c r="C1495" s="226">
        <v>98427</v>
      </c>
    </row>
    <row r="1496" spans="2:3">
      <c r="B1496" s="209" t="s">
        <v>3262</v>
      </c>
      <c r="C1496" s="226">
        <v>98421</v>
      </c>
    </row>
    <row r="1497" spans="2:3">
      <c r="B1497" s="209" t="s">
        <v>3263</v>
      </c>
      <c r="C1497" s="226">
        <v>95821</v>
      </c>
    </row>
    <row r="1498" spans="2:3">
      <c r="B1498" s="209" t="s">
        <v>3264</v>
      </c>
      <c r="C1498" s="226">
        <v>91027</v>
      </c>
    </row>
    <row r="1499" spans="2:3">
      <c r="B1499" s="209" t="s">
        <v>3265</v>
      </c>
      <c r="C1499" s="226">
        <v>91021</v>
      </c>
    </row>
    <row r="1500" spans="2:3">
      <c r="B1500" s="209" t="s">
        <v>3266</v>
      </c>
      <c r="C1500" s="226">
        <v>94161</v>
      </c>
    </row>
    <row r="1501" spans="2:3">
      <c r="B1501" s="209" t="s">
        <v>3267</v>
      </c>
      <c r="C1501" s="226">
        <v>98441</v>
      </c>
    </row>
    <row r="1502" spans="2:3">
      <c r="B1502" s="209" t="s">
        <v>3268</v>
      </c>
      <c r="C1502" s="226">
        <v>91067</v>
      </c>
    </row>
    <row r="1503" spans="2:3">
      <c r="B1503" s="209" t="s">
        <v>3269</v>
      </c>
      <c r="C1503" s="226">
        <v>91061</v>
      </c>
    </row>
    <row r="1504" spans="2:3">
      <c r="B1504" s="209" t="s">
        <v>3270</v>
      </c>
      <c r="C1504" s="226">
        <v>94812</v>
      </c>
    </row>
    <row r="1505" spans="2:3">
      <c r="B1505" s="209" t="s">
        <v>3271</v>
      </c>
      <c r="C1505" s="226">
        <v>95921</v>
      </c>
    </row>
    <row r="1506" spans="2:3">
      <c r="B1506" s="209" t="s">
        <v>159</v>
      </c>
      <c r="C1506" s="226">
        <v>96701</v>
      </c>
    </row>
    <row r="1507" spans="2:3">
      <c r="B1507" s="209" t="s">
        <v>3272</v>
      </c>
      <c r="C1507" s="226">
        <v>96704</v>
      </c>
    </row>
    <row r="1508" spans="2:3">
      <c r="B1508" s="209" t="s">
        <v>3273</v>
      </c>
      <c r="C1508" s="226">
        <v>96708</v>
      </c>
    </row>
    <row r="1509" spans="2:3">
      <c r="B1509" s="209" t="s">
        <v>161</v>
      </c>
      <c r="C1509" s="226">
        <v>96801</v>
      </c>
    </row>
    <row r="1510" spans="2:3">
      <c r="B1510" s="209" t="s">
        <v>3274</v>
      </c>
      <c r="C1510" s="226">
        <v>96804</v>
      </c>
    </row>
    <row r="1511" spans="2:3">
      <c r="B1511" s="209" t="s">
        <v>3275</v>
      </c>
      <c r="C1511" s="226">
        <v>96808</v>
      </c>
    </row>
    <row r="1512" spans="2:3">
      <c r="B1512" s="209" t="s">
        <v>3276</v>
      </c>
      <c r="C1512" s="226">
        <v>96912</v>
      </c>
    </row>
    <row r="1513" spans="2:3">
      <c r="B1513" s="209" t="s">
        <v>103</v>
      </c>
      <c r="C1513" s="226">
        <v>93913</v>
      </c>
    </row>
    <row r="1514" spans="2:3">
      <c r="B1514" s="209" t="s">
        <v>3277</v>
      </c>
      <c r="C1514" s="226">
        <v>93911</v>
      </c>
    </row>
    <row r="1515" spans="2:3">
      <c r="B1515" s="209" t="s">
        <v>162</v>
      </c>
      <c r="C1515" s="226">
        <v>96901</v>
      </c>
    </row>
    <row r="1516" spans="2:3">
      <c r="B1516" s="209" t="s">
        <v>3278</v>
      </c>
      <c r="C1516" s="226">
        <v>97841</v>
      </c>
    </row>
    <row r="1517" spans="2:3">
      <c r="B1517" s="209" t="s">
        <v>85</v>
      </c>
      <c r="C1517" s="226">
        <v>93202</v>
      </c>
    </row>
    <row r="1518" spans="2:3">
      <c r="B1518" s="209" t="s">
        <v>1626</v>
      </c>
      <c r="C1518" s="226">
        <v>93609</v>
      </c>
    </row>
    <row r="1519" spans="2:3">
      <c r="B1519" s="209" t="s">
        <v>164</v>
      </c>
      <c r="C1519" s="226">
        <v>97001</v>
      </c>
    </row>
    <row r="1520" spans="2:3">
      <c r="B1520" s="209" t="s">
        <v>3279</v>
      </c>
      <c r="C1520" s="226">
        <v>97004</v>
      </c>
    </row>
    <row r="1521" spans="2:3">
      <c r="B1521" s="209" t="s">
        <v>165</v>
      </c>
      <c r="C1521" s="226">
        <v>97002</v>
      </c>
    </row>
    <row r="1522" spans="2:3">
      <c r="B1522" s="209" t="s">
        <v>170</v>
      </c>
      <c r="C1522" s="226">
        <v>97015</v>
      </c>
    </row>
    <row r="1523" spans="2:3">
      <c r="B1523" s="209" t="s">
        <v>3280</v>
      </c>
      <c r="C1523" s="226">
        <v>90441</v>
      </c>
    </row>
    <row r="1524" spans="2:3">
      <c r="B1524" s="209" t="s">
        <v>191</v>
      </c>
      <c r="C1524" s="226">
        <v>97853</v>
      </c>
    </row>
    <row r="1525" spans="2:3">
      <c r="B1525" s="209" t="s">
        <v>3281</v>
      </c>
      <c r="C1525" s="226">
        <v>97851</v>
      </c>
    </row>
    <row r="1526" spans="2:3">
      <c r="B1526" s="209" t="s">
        <v>171</v>
      </c>
      <c r="C1526" s="226">
        <v>97101</v>
      </c>
    </row>
    <row r="1527" spans="2:3">
      <c r="B1527" s="209" t="s">
        <v>3282</v>
      </c>
      <c r="C1527" s="226">
        <v>97104</v>
      </c>
    </row>
    <row r="1528" spans="2:3">
      <c r="B1528" s="209" t="s">
        <v>173</v>
      </c>
      <c r="C1528" s="226">
        <v>97201</v>
      </c>
    </row>
    <row r="1529" spans="2:3">
      <c r="B1529" s="209" t="s">
        <v>174</v>
      </c>
      <c r="C1529" s="226">
        <v>97301</v>
      </c>
    </row>
    <row r="1530" spans="2:3">
      <c r="B1530" s="209" t="s">
        <v>3283</v>
      </c>
      <c r="C1530" s="226">
        <v>97304</v>
      </c>
    </row>
    <row r="1531" spans="2:3">
      <c r="B1531" s="209" t="s">
        <v>219</v>
      </c>
      <c r="C1531" s="226">
        <v>99405</v>
      </c>
    </row>
    <row r="1532" spans="2:3">
      <c r="B1532" s="209" t="s">
        <v>25</v>
      </c>
      <c r="C1532" s="226">
        <v>72265</v>
      </c>
    </row>
    <row r="1533" spans="2:3">
      <c r="B1533" s="209" t="s">
        <v>92</v>
      </c>
      <c r="C1533" s="226">
        <v>93406</v>
      </c>
    </row>
    <row r="1534" spans="2:3">
      <c r="B1534" s="209" t="s">
        <v>3284</v>
      </c>
      <c r="C1534" s="226">
        <v>94112</v>
      </c>
    </row>
    <row r="1535" spans="2:3">
      <c r="B1535" s="209" t="s">
        <v>3285</v>
      </c>
      <c r="C1535" s="226">
        <v>99651</v>
      </c>
    </row>
    <row r="1536" spans="2:3">
      <c r="B1536" s="209" t="s">
        <v>3286</v>
      </c>
      <c r="C1536" s="226">
        <v>98607</v>
      </c>
    </row>
    <row r="1537" spans="2:3">
      <c r="B1537" s="209" t="s">
        <v>3287</v>
      </c>
      <c r="C1537" s="226">
        <v>98611</v>
      </c>
    </row>
    <row r="1538" spans="2:3">
      <c r="B1538" s="209" t="s">
        <v>3288</v>
      </c>
      <c r="C1538" s="226">
        <v>91641</v>
      </c>
    </row>
    <row r="1539" spans="2:3">
      <c r="B1539" s="209" t="s">
        <v>3289</v>
      </c>
      <c r="C1539" s="226">
        <v>95161</v>
      </c>
    </row>
    <row r="1540" spans="2:3">
      <c r="B1540" s="209" t="s">
        <v>3290</v>
      </c>
      <c r="C1540" s="226">
        <v>96361</v>
      </c>
    </row>
    <row r="1541" spans="2:3">
      <c r="B1541" s="209" t="s">
        <v>3291</v>
      </c>
      <c r="C1541" s="226">
        <v>94108</v>
      </c>
    </row>
    <row r="1542" spans="2:3">
      <c r="B1542" s="209" t="s">
        <v>3292</v>
      </c>
      <c r="C1542" s="226">
        <v>96351</v>
      </c>
    </row>
    <row r="1543" spans="2:3">
      <c r="B1543" s="209" t="s">
        <v>3293</v>
      </c>
      <c r="C1543" s="226">
        <v>93331</v>
      </c>
    </row>
    <row r="1544" spans="2:3">
      <c r="B1544" s="209" t="s">
        <v>3294</v>
      </c>
      <c r="C1544" s="226">
        <v>96021</v>
      </c>
    </row>
    <row r="1545" spans="2:3">
      <c r="B1545" s="209" t="s">
        <v>3295</v>
      </c>
      <c r="C1545" s="226">
        <v>95421</v>
      </c>
    </row>
    <row r="1546" spans="2:3">
      <c r="B1546" s="209" t="s">
        <v>175</v>
      </c>
      <c r="C1546" s="226">
        <v>97401</v>
      </c>
    </row>
    <row r="1547" spans="2:3">
      <c r="B1547" s="209" t="s">
        <v>3296</v>
      </c>
      <c r="C1547" s="226">
        <v>97404</v>
      </c>
    </row>
    <row r="1548" spans="2:3">
      <c r="B1548" s="209" t="s">
        <v>3297</v>
      </c>
      <c r="C1548" s="226">
        <v>97402</v>
      </c>
    </row>
    <row r="1549" spans="2:3">
      <c r="B1549" s="209" t="s">
        <v>3298</v>
      </c>
      <c r="C1549" s="226">
        <v>91921</v>
      </c>
    </row>
    <row r="1550" spans="2:3">
      <c r="B1550" s="209" t="s">
        <v>3299</v>
      </c>
      <c r="C1550" s="226">
        <v>95908</v>
      </c>
    </row>
    <row r="1551" spans="2:3">
      <c r="B1551" s="209" t="s">
        <v>220</v>
      </c>
      <c r="C1551" s="226">
        <v>99413</v>
      </c>
    </row>
    <row r="1552" spans="2:3">
      <c r="B1552" s="209" t="s">
        <v>3300</v>
      </c>
      <c r="C1552" s="226">
        <v>99411</v>
      </c>
    </row>
    <row r="1553" spans="2:3">
      <c r="B1553" s="209" t="s">
        <v>181</v>
      </c>
      <c r="C1553" s="226">
        <v>97501</v>
      </c>
    </row>
    <row r="1554" spans="2:3">
      <c r="B1554" s="209" t="s">
        <v>3301</v>
      </c>
      <c r="C1554" s="226">
        <v>90431</v>
      </c>
    </row>
    <row r="1555" spans="2:3">
      <c r="B1555" s="209" t="s">
        <v>3302</v>
      </c>
      <c r="C1555" s="226">
        <v>95211</v>
      </c>
    </row>
    <row r="1556" spans="2:3">
      <c r="B1556" s="209" t="s">
        <v>3303</v>
      </c>
      <c r="C1556" s="226">
        <v>95181</v>
      </c>
    </row>
    <row r="1557" spans="2:3">
      <c r="B1557" s="209" t="s">
        <v>3304</v>
      </c>
      <c r="C1557" s="226">
        <v>93351</v>
      </c>
    </row>
    <row r="1558" spans="2:3">
      <c r="B1558" s="209" t="s">
        <v>3305</v>
      </c>
      <c r="C1558" s="226">
        <v>94711</v>
      </c>
    </row>
    <row r="1559" spans="2:3">
      <c r="B1559" s="209" t="s">
        <v>3306</v>
      </c>
      <c r="C1559" s="226">
        <v>99213</v>
      </c>
    </row>
    <row r="1560" spans="2:3">
      <c r="B1560" s="209" t="s">
        <v>3307</v>
      </c>
      <c r="C1560" s="226">
        <v>99211</v>
      </c>
    </row>
    <row r="1561" spans="2:3">
      <c r="B1561" s="209" t="s">
        <v>216</v>
      </c>
      <c r="C1561" s="226">
        <v>99218</v>
      </c>
    </row>
    <row r="1562" spans="2:3">
      <c r="B1562" s="209" t="s">
        <v>3308</v>
      </c>
      <c r="C1562" s="226">
        <v>97641</v>
      </c>
    </row>
    <row r="1563" spans="2:3">
      <c r="B1563" s="209" t="s">
        <v>3309</v>
      </c>
      <c r="C1563" s="226">
        <v>97627</v>
      </c>
    </row>
    <row r="1564" spans="2:3">
      <c r="B1564" s="209" t="s">
        <v>3310</v>
      </c>
      <c r="C1564" s="226">
        <v>97623</v>
      </c>
    </row>
    <row r="1565" spans="2:3">
      <c r="B1565" s="209" t="s">
        <v>3311</v>
      </c>
      <c r="C1565" s="226">
        <v>97621</v>
      </c>
    </row>
    <row r="1566" spans="2:3">
      <c r="B1566" s="209" t="s">
        <v>182</v>
      </c>
      <c r="C1566" s="226">
        <v>97601</v>
      </c>
    </row>
    <row r="1567" spans="2:3">
      <c r="B1567" s="209" t="s">
        <v>3312</v>
      </c>
      <c r="C1567" s="226">
        <v>93681</v>
      </c>
    </row>
    <row r="1568" spans="2:3">
      <c r="B1568" s="209" t="s">
        <v>3313</v>
      </c>
      <c r="C1568" s="226">
        <v>97877</v>
      </c>
    </row>
    <row r="1569" spans="2:3">
      <c r="B1569" s="209" t="s">
        <v>3314</v>
      </c>
      <c r="C1569" s="226">
        <v>97871</v>
      </c>
    </row>
    <row r="1570" spans="2:3">
      <c r="B1570" s="209" t="s">
        <v>222</v>
      </c>
      <c r="C1570" s="226">
        <v>99502</v>
      </c>
    </row>
    <row r="1571" spans="2:3">
      <c r="B1571" s="209" t="s">
        <v>3315</v>
      </c>
      <c r="C1571" s="226">
        <v>97917</v>
      </c>
    </row>
    <row r="1572" spans="2:3">
      <c r="B1572" s="209" t="s">
        <v>3316</v>
      </c>
      <c r="C1572" s="226">
        <v>97911</v>
      </c>
    </row>
    <row r="1573" spans="2:3">
      <c r="B1573" s="209" t="s">
        <v>3317</v>
      </c>
      <c r="C1573" s="226">
        <v>96611</v>
      </c>
    </row>
    <row r="1574" spans="2:3">
      <c r="B1574" s="209" t="s">
        <v>3318</v>
      </c>
      <c r="C1574" s="226">
        <v>96741</v>
      </c>
    </row>
    <row r="1575" spans="2:3">
      <c r="B1575" s="209" t="s">
        <v>183</v>
      </c>
      <c r="C1575" s="226">
        <v>97701</v>
      </c>
    </row>
    <row r="1576" spans="2:3">
      <c r="B1576" s="209" t="s">
        <v>3319</v>
      </c>
      <c r="C1576" s="226">
        <v>92541</v>
      </c>
    </row>
    <row r="1577" spans="2:3">
      <c r="B1577" s="209" t="s">
        <v>111</v>
      </c>
      <c r="C1577" s="226">
        <v>94209</v>
      </c>
    </row>
    <row r="1578" spans="2:3">
      <c r="B1578" s="209" t="s">
        <v>3320</v>
      </c>
      <c r="C1578" s="226">
        <v>94221</v>
      </c>
    </row>
    <row r="1579" spans="2:3">
      <c r="B1579" s="209" t="s">
        <v>3321</v>
      </c>
      <c r="C1579" s="226">
        <v>96341</v>
      </c>
    </row>
    <row r="1580" spans="2:3">
      <c r="B1580" s="209" t="s">
        <v>3322</v>
      </c>
      <c r="C1580" s="226">
        <v>93821</v>
      </c>
    </row>
    <row r="1581" spans="2:3">
      <c r="B1581" s="209" t="s">
        <v>143</v>
      </c>
      <c r="C1581" s="226">
        <v>95853</v>
      </c>
    </row>
    <row r="1582" spans="2:3">
      <c r="B1582" s="209" t="s">
        <v>3323</v>
      </c>
      <c r="C1582" s="226">
        <v>95851</v>
      </c>
    </row>
    <row r="1583" spans="2:3">
      <c r="B1583" s="209" t="s">
        <v>186</v>
      </c>
      <c r="C1583" s="226">
        <v>97801</v>
      </c>
    </row>
    <row r="1584" spans="2:3">
      <c r="B1584" s="209" t="s">
        <v>188</v>
      </c>
      <c r="C1584" s="226">
        <v>97803</v>
      </c>
    </row>
    <row r="1585" spans="2:3">
      <c r="B1585" s="209" t="s">
        <v>189</v>
      </c>
      <c r="C1585" s="226">
        <v>97805</v>
      </c>
    </row>
    <row r="1586" spans="2:3">
      <c r="B1586" s="209" t="s">
        <v>3324</v>
      </c>
      <c r="C1586" s="226">
        <v>97727</v>
      </c>
    </row>
    <row r="1587" spans="2:3">
      <c r="B1587" s="209" t="s">
        <v>192</v>
      </c>
      <c r="C1587" s="226">
        <v>97901</v>
      </c>
    </row>
    <row r="1588" spans="2:3">
      <c r="B1588" s="209" t="s">
        <v>185</v>
      </c>
      <c r="C1588" s="226">
        <v>97713</v>
      </c>
    </row>
    <row r="1589" spans="2:3">
      <c r="B1589" s="209" t="s">
        <v>3325</v>
      </c>
      <c r="C1589" s="226">
        <v>97711</v>
      </c>
    </row>
    <row r="1590" spans="2:3">
      <c r="B1590" s="209" t="s">
        <v>3326</v>
      </c>
      <c r="C1590" s="226">
        <v>98071</v>
      </c>
    </row>
    <row r="1591" spans="2:3">
      <c r="B1591" s="209" t="s">
        <v>3327</v>
      </c>
      <c r="C1591" s="226">
        <v>93333</v>
      </c>
    </row>
    <row r="1592" spans="2:3">
      <c r="B1592" s="209" t="s">
        <v>3328</v>
      </c>
      <c r="C1592" s="226">
        <v>93321</v>
      </c>
    </row>
    <row r="1593" spans="2:3">
      <c r="B1593" s="209" t="s">
        <v>89</v>
      </c>
      <c r="C1593" s="226">
        <v>93323</v>
      </c>
    </row>
    <row r="1594" spans="2:3">
      <c r="B1594" s="209" t="s">
        <v>3329</v>
      </c>
      <c r="C1594" s="226">
        <v>99203</v>
      </c>
    </row>
    <row r="1595" spans="2:3">
      <c r="B1595" s="209" t="s">
        <v>3330</v>
      </c>
      <c r="C1595" s="226">
        <v>99421</v>
      </c>
    </row>
    <row r="1596" spans="2:3">
      <c r="B1596" s="209" t="s">
        <v>3331</v>
      </c>
      <c r="C1596" s="226">
        <v>93161</v>
      </c>
    </row>
    <row r="1597" spans="2:3">
      <c r="B1597" s="209" t="s">
        <v>3332</v>
      </c>
      <c r="C1597" s="226">
        <v>98237</v>
      </c>
    </row>
    <row r="1598" spans="2:3">
      <c r="B1598" s="209" t="s">
        <v>3333</v>
      </c>
      <c r="C1598" s="226">
        <v>98261</v>
      </c>
    </row>
    <row r="1599" spans="2:3">
      <c r="B1599" s="209" t="s">
        <v>3334</v>
      </c>
      <c r="C1599" s="226">
        <v>98002</v>
      </c>
    </row>
    <row r="1600" spans="2:3">
      <c r="B1600" s="209" t="s">
        <v>194</v>
      </c>
      <c r="C1600" s="226">
        <v>98001</v>
      </c>
    </row>
    <row r="1601" spans="2:3">
      <c r="B1601" s="209" t="s">
        <v>3335</v>
      </c>
      <c r="C1601" s="226">
        <v>98004</v>
      </c>
    </row>
    <row r="1602" spans="2:3">
      <c r="B1602" s="209" t="s">
        <v>3336</v>
      </c>
      <c r="C1602" s="226">
        <v>98003</v>
      </c>
    </row>
    <row r="1603" spans="2:3">
      <c r="B1603" s="209" t="s">
        <v>3337</v>
      </c>
      <c r="C1603" s="226">
        <v>98008</v>
      </c>
    </row>
    <row r="1604" spans="2:3">
      <c r="B1604" s="209" t="s">
        <v>3338</v>
      </c>
      <c r="C1604" s="226">
        <v>97861</v>
      </c>
    </row>
    <row r="1605" spans="2:3">
      <c r="B1605" s="209" t="s">
        <v>3339</v>
      </c>
      <c r="C1605" s="226">
        <v>97311</v>
      </c>
    </row>
    <row r="1606" spans="2:3">
      <c r="B1606" s="209" t="s">
        <v>3340</v>
      </c>
      <c r="C1606" s="226">
        <v>93431</v>
      </c>
    </row>
    <row r="1607" spans="2:3">
      <c r="B1607" s="209" t="s">
        <v>3341</v>
      </c>
      <c r="C1607" s="226">
        <v>91214</v>
      </c>
    </row>
    <row r="1608" spans="2:3">
      <c r="B1608" s="209" t="s">
        <v>196</v>
      </c>
      <c r="C1608" s="226">
        <v>98101</v>
      </c>
    </row>
    <row r="1609" spans="2:3">
      <c r="B1609" s="209" t="s">
        <v>3342</v>
      </c>
      <c r="C1609" s="226">
        <v>98103</v>
      </c>
    </row>
    <row r="1610" spans="2:3">
      <c r="B1610" s="209" t="s">
        <v>3343</v>
      </c>
      <c r="C1610" s="226">
        <v>98147</v>
      </c>
    </row>
    <row r="1611" spans="2:3">
      <c r="B1611" s="209" t="s">
        <v>3344</v>
      </c>
      <c r="C1611" s="226">
        <v>98141</v>
      </c>
    </row>
    <row r="1612" spans="2:3">
      <c r="B1612" s="209" t="s">
        <v>3345</v>
      </c>
      <c r="C1612" s="226">
        <v>97837</v>
      </c>
    </row>
    <row r="1613" spans="2:3">
      <c r="B1613" s="209" t="s">
        <v>3346</v>
      </c>
      <c r="C1613" s="226">
        <v>98221</v>
      </c>
    </row>
    <row r="1614" spans="2:3">
      <c r="B1614" s="209" t="s">
        <v>3347</v>
      </c>
      <c r="C1614" s="226">
        <v>98013</v>
      </c>
    </row>
    <row r="1615" spans="2:3">
      <c r="B1615" s="209" t="s">
        <v>3348</v>
      </c>
      <c r="C1615" s="226">
        <v>98011</v>
      </c>
    </row>
    <row r="1616" spans="2:3">
      <c r="B1616" s="209" t="s">
        <v>3349</v>
      </c>
      <c r="C1616" s="226">
        <v>97531</v>
      </c>
    </row>
    <row r="1617" spans="2:3">
      <c r="B1617" s="209" t="s">
        <v>200</v>
      </c>
      <c r="C1617" s="226">
        <v>98201</v>
      </c>
    </row>
    <row r="1618" spans="2:3">
      <c r="B1618" s="209" t="s">
        <v>184</v>
      </c>
      <c r="C1618" s="226">
        <v>97705</v>
      </c>
    </row>
    <row r="1619" spans="2:3">
      <c r="B1619" s="209" t="s">
        <v>1627</v>
      </c>
      <c r="C1619" s="226">
        <v>96318</v>
      </c>
    </row>
    <row r="1620" spans="2:3">
      <c r="B1620" s="209" t="s">
        <v>3350</v>
      </c>
      <c r="C1620" s="226">
        <v>95317</v>
      </c>
    </row>
    <row r="1621" spans="2:3">
      <c r="B1621" s="209" t="s">
        <v>3351</v>
      </c>
      <c r="C1621" s="226">
        <v>95311</v>
      </c>
    </row>
    <row r="1622" spans="2:3">
      <c r="B1622" s="209" t="s">
        <v>3352</v>
      </c>
      <c r="C1622" s="226">
        <v>91421</v>
      </c>
    </row>
    <row r="1623" spans="2:3">
      <c r="B1623" s="209" t="s">
        <v>201</v>
      </c>
      <c r="C1623" s="226">
        <v>98301</v>
      </c>
    </row>
    <row r="1624" spans="2:3">
      <c r="B1624" s="209" t="s">
        <v>3353</v>
      </c>
      <c r="C1624" s="226">
        <v>98304</v>
      </c>
    </row>
    <row r="1625" spans="2:3">
      <c r="B1625" s="209" t="s">
        <v>3354</v>
      </c>
      <c r="C1625" s="226">
        <v>94241</v>
      </c>
    </row>
    <row r="1626" spans="2:3">
      <c r="B1626" s="209" t="s">
        <v>3355</v>
      </c>
      <c r="C1626" s="226">
        <v>96681</v>
      </c>
    </row>
    <row r="1627" spans="2:3">
      <c r="B1627" s="209" t="s">
        <v>130</v>
      </c>
      <c r="C1627" s="226">
        <v>95123</v>
      </c>
    </row>
    <row r="1628" spans="2:3">
      <c r="B1628" s="209" t="s">
        <v>3356</v>
      </c>
      <c r="C1628" s="226">
        <v>95121</v>
      </c>
    </row>
    <row r="1629" spans="2:3">
      <c r="B1629" s="209" t="s">
        <v>3357</v>
      </c>
      <c r="C1629" s="226">
        <v>99531</v>
      </c>
    </row>
    <row r="1630" spans="2:3">
      <c r="B1630" s="209" t="s">
        <v>3358</v>
      </c>
      <c r="C1630" s="226">
        <v>96671</v>
      </c>
    </row>
    <row r="1631" spans="2:3">
      <c r="B1631" s="209" t="s">
        <v>3359</v>
      </c>
      <c r="C1631" s="226">
        <v>91057</v>
      </c>
    </row>
    <row r="1632" spans="2:3">
      <c r="B1632" s="209" t="s">
        <v>3360</v>
      </c>
      <c r="C1632" s="226">
        <v>91081</v>
      </c>
    </row>
    <row r="1633" spans="2:3">
      <c r="B1633" s="209" t="s">
        <v>3361</v>
      </c>
      <c r="C1633" s="226">
        <v>96461</v>
      </c>
    </row>
    <row r="1634" spans="2:3">
      <c r="B1634" s="209" t="s">
        <v>3362</v>
      </c>
      <c r="C1634" s="226">
        <v>92317</v>
      </c>
    </row>
    <row r="1635" spans="2:3">
      <c r="B1635" s="209" t="s">
        <v>3363</v>
      </c>
      <c r="C1635" s="226">
        <v>92311</v>
      </c>
    </row>
    <row r="1636" spans="2:3">
      <c r="B1636" s="209" t="s">
        <v>176</v>
      </c>
      <c r="C1636" s="226">
        <v>97405</v>
      </c>
    </row>
    <row r="1637" spans="2:3">
      <c r="B1637" s="209" t="s">
        <v>3364</v>
      </c>
      <c r="C1637" s="226">
        <v>91917</v>
      </c>
    </row>
    <row r="1638" spans="2:3">
      <c r="B1638" s="209" t="s">
        <v>3365</v>
      </c>
      <c r="C1638" s="226">
        <v>91911</v>
      </c>
    </row>
    <row r="1639" spans="2:3">
      <c r="B1639" s="209" t="s">
        <v>3366</v>
      </c>
      <c r="C1639" s="226">
        <v>97481</v>
      </c>
    </row>
    <row r="1640" spans="2:3">
      <c r="B1640" s="209" t="s">
        <v>3367</v>
      </c>
      <c r="C1640" s="226">
        <v>91138</v>
      </c>
    </row>
    <row r="1641" spans="2:3">
      <c r="B1641" s="209" t="s">
        <v>129</v>
      </c>
      <c r="C1641" s="226">
        <v>95113</v>
      </c>
    </row>
    <row r="1642" spans="2:3">
      <c r="B1642" s="209" t="s">
        <v>3368</v>
      </c>
      <c r="C1642" s="226">
        <v>95111</v>
      </c>
    </row>
    <row r="1643" spans="2:3">
      <c r="B1643" s="209" t="s">
        <v>3369</v>
      </c>
      <c r="C1643" s="226">
        <v>95009</v>
      </c>
    </row>
    <row r="1644" spans="2:3">
      <c r="B1644" s="209" t="s">
        <v>3370</v>
      </c>
      <c r="C1644" s="226">
        <v>94021</v>
      </c>
    </row>
    <row r="1645" spans="2:3">
      <c r="B1645" s="209" t="s">
        <v>3371</v>
      </c>
      <c r="C1645" s="226">
        <v>93910</v>
      </c>
    </row>
    <row r="1646" spans="2:3">
      <c r="B1646" s="209" t="s">
        <v>1628</v>
      </c>
      <c r="C1646" s="226">
        <v>91013</v>
      </c>
    </row>
    <row r="1647" spans="2:3">
      <c r="B1647" s="209" t="s">
        <v>3372</v>
      </c>
      <c r="C1647" s="226">
        <v>90918</v>
      </c>
    </row>
    <row r="1648" spans="2:3">
      <c r="B1648" s="209" t="s">
        <v>3373</v>
      </c>
      <c r="C1648" s="226">
        <v>96311</v>
      </c>
    </row>
    <row r="1649" spans="2:3">
      <c r="B1649" s="209" t="s">
        <v>3374</v>
      </c>
      <c r="C1649" s="226">
        <v>92841</v>
      </c>
    </row>
    <row r="1650" spans="2:3">
      <c r="B1650" s="209" t="s">
        <v>225</v>
      </c>
      <c r="C1650" s="226">
        <v>99609</v>
      </c>
    </row>
    <row r="1651" spans="2:3">
      <c r="B1651" s="209" t="s">
        <v>3375</v>
      </c>
      <c r="C1651" s="226">
        <v>91017</v>
      </c>
    </row>
    <row r="1652" spans="2:3">
      <c r="B1652" s="209" t="s">
        <v>3376</v>
      </c>
      <c r="C1652" s="226">
        <v>91011</v>
      </c>
    </row>
    <row r="1653" spans="2:3">
      <c r="B1653" s="209" t="s">
        <v>3377</v>
      </c>
      <c r="C1653" s="226">
        <v>95008</v>
      </c>
    </row>
    <row r="1654" spans="2:3">
      <c r="B1654" s="209" t="s">
        <v>3378</v>
      </c>
      <c r="C1654" s="226">
        <v>90307</v>
      </c>
    </row>
    <row r="1655" spans="2:3">
      <c r="B1655" s="209" t="s">
        <v>3379</v>
      </c>
      <c r="C1655" s="226">
        <v>72657</v>
      </c>
    </row>
    <row r="1656" spans="2:3">
      <c r="B1656" s="209" t="s">
        <v>3380</v>
      </c>
      <c r="C1656" s="226">
        <v>98031</v>
      </c>
    </row>
    <row r="1657" spans="2:3">
      <c r="B1657" s="209" t="s">
        <v>3381</v>
      </c>
      <c r="C1657" s="226">
        <v>98121</v>
      </c>
    </row>
    <row r="1658" spans="2:3">
      <c r="B1658" s="209" t="s">
        <v>3382</v>
      </c>
      <c r="C1658" s="226">
        <v>96411</v>
      </c>
    </row>
    <row r="1659" spans="2:3">
      <c r="B1659" s="209" t="s">
        <v>3383</v>
      </c>
      <c r="C1659" s="226">
        <v>92661</v>
      </c>
    </row>
    <row r="1660" spans="2:3">
      <c r="B1660" s="209" t="s">
        <v>3384</v>
      </c>
      <c r="C1660" s="226">
        <v>96111</v>
      </c>
    </row>
    <row r="1661" spans="2:3">
      <c r="B1661" s="209" t="s">
        <v>3385</v>
      </c>
      <c r="C1661" s="226">
        <v>91032</v>
      </c>
    </row>
    <row r="1662" spans="2:3">
      <c r="B1662" s="209" t="s">
        <v>3386</v>
      </c>
      <c r="C1662" s="226">
        <v>97831</v>
      </c>
    </row>
    <row r="1663" spans="2:3">
      <c r="B1663" s="209" t="s">
        <v>3387</v>
      </c>
      <c r="C1663" s="226">
        <v>96061</v>
      </c>
    </row>
    <row r="1664" spans="2:3">
      <c r="B1664" s="209" t="s">
        <v>3388</v>
      </c>
      <c r="C1664" s="226">
        <v>98481</v>
      </c>
    </row>
    <row r="1665" spans="2:3">
      <c r="B1665" s="209" t="s">
        <v>3389</v>
      </c>
      <c r="C1665" s="226">
        <v>93602</v>
      </c>
    </row>
    <row r="1666" spans="2:3">
      <c r="B1666" s="209" t="s">
        <v>203</v>
      </c>
      <c r="C1666" s="226">
        <v>98401</v>
      </c>
    </row>
    <row r="1667" spans="2:3">
      <c r="B1667" s="209" t="s">
        <v>3390</v>
      </c>
      <c r="C1667" s="226">
        <v>99821</v>
      </c>
    </row>
    <row r="1668" spans="2:3">
      <c r="B1668" s="209" t="s">
        <v>3391</v>
      </c>
      <c r="C1668" s="226">
        <v>96211</v>
      </c>
    </row>
    <row r="1669" spans="2:3">
      <c r="B1669" s="209" t="s">
        <v>3392</v>
      </c>
      <c r="C1669" s="226">
        <v>94917</v>
      </c>
    </row>
    <row r="1670" spans="2:3">
      <c r="B1670" s="209" t="s">
        <v>3393</v>
      </c>
      <c r="C1670" s="226">
        <v>94911</v>
      </c>
    </row>
    <row r="1671" spans="2:3">
      <c r="B1671" s="209" t="s">
        <v>3394</v>
      </c>
      <c r="C1671" s="226">
        <v>92621</v>
      </c>
    </row>
    <row r="1672" spans="2:3">
      <c r="B1672" s="209" t="s">
        <v>204</v>
      </c>
      <c r="C1672" s="226">
        <v>98501</v>
      </c>
    </row>
    <row r="1673" spans="2:3">
      <c r="B1673" s="209" t="s">
        <v>3395</v>
      </c>
      <c r="C1673" s="226">
        <v>97931</v>
      </c>
    </row>
    <row r="1674" spans="2:3">
      <c r="B1674" s="209" t="s">
        <v>3396</v>
      </c>
      <c r="C1674" s="226">
        <v>93914</v>
      </c>
    </row>
    <row r="1675" spans="2:3">
      <c r="B1675" s="209" t="s">
        <v>3397</v>
      </c>
      <c r="C1675" s="226">
        <v>90651</v>
      </c>
    </row>
    <row r="1676" spans="2:3">
      <c r="B1676" s="209" t="s">
        <v>108</v>
      </c>
      <c r="C1676" s="226">
        <v>94172</v>
      </c>
    </row>
    <row r="1677" spans="2:3">
      <c r="B1677" s="209" t="s">
        <v>3398</v>
      </c>
      <c r="C1677" s="226">
        <v>94171</v>
      </c>
    </row>
    <row r="1678" spans="2:3">
      <c r="B1678" s="209" t="s">
        <v>3399</v>
      </c>
      <c r="C1678" s="226">
        <v>91047</v>
      </c>
    </row>
    <row r="1679" spans="2:3">
      <c r="B1679" s="209" t="s">
        <v>3400</v>
      </c>
      <c r="C1679" s="226">
        <v>91041</v>
      </c>
    </row>
    <row r="1680" spans="2:3">
      <c r="B1680" s="209" t="s">
        <v>172</v>
      </c>
      <c r="C1680" s="226">
        <v>97131</v>
      </c>
    </row>
    <row r="1681" spans="2:3">
      <c r="B1681" s="209" t="s">
        <v>205</v>
      </c>
      <c r="C1681" s="226">
        <v>98601</v>
      </c>
    </row>
    <row r="1682" spans="2:3">
      <c r="B1682" s="209" t="s">
        <v>207</v>
      </c>
      <c r="C1682" s="226">
        <v>98701</v>
      </c>
    </row>
    <row r="1683" spans="2:3">
      <c r="B1683" s="209" t="s">
        <v>3401</v>
      </c>
      <c r="C1683" s="226">
        <v>96721</v>
      </c>
    </row>
    <row r="1684" spans="2:3">
      <c r="B1684" s="209" t="s">
        <v>3402</v>
      </c>
      <c r="C1684" s="226">
        <v>95011</v>
      </c>
    </row>
    <row r="1685" spans="2:3">
      <c r="B1685" s="209" t="s">
        <v>3403</v>
      </c>
      <c r="C1685" s="226">
        <v>92451</v>
      </c>
    </row>
    <row r="1686" spans="2:3">
      <c r="B1686" s="209" t="s">
        <v>88</v>
      </c>
      <c r="C1686" s="226">
        <v>93317</v>
      </c>
    </row>
    <row r="1687" spans="2:3">
      <c r="B1687" s="209" t="s">
        <v>3404</v>
      </c>
      <c r="C1687" s="226">
        <v>93311</v>
      </c>
    </row>
    <row r="1688" spans="2:3">
      <c r="B1688" s="209" t="s">
        <v>3405</v>
      </c>
      <c r="C1688" s="226">
        <v>90211</v>
      </c>
    </row>
    <row r="1689" spans="2:3">
      <c r="B1689" s="209" t="s">
        <v>3406</v>
      </c>
      <c r="C1689" s="226">
        <v>96302</v>
      </c>
    </row>
    <row r="1690" spans="2:3">
      <c r="B1690" s="209" t="s">
        <v>3407</v>
      </c>
      <c r="C1690" s="226">
        <v>93181</v>
      </c>
    </row>
    <row r="1691" spans="2:3">
      <c r="B1691" s="209" t="s">
        <v>3408</v>
      </c>
      <c r="C1691" s="226">
        <v>92113</v>
      </c>
    </row>
    <row r="1692" spans="2:3">
      <c r="B1692" s="209" t="s">
        <v>80</v>
      </c>
      <c r="C1692" s="226">
        <v>92913</v>
      </c>
    </row>
    <row r="1693" spans="2:3">
      <c r="B1693" s="209" t="s">
        <v>3409</v>
      </c>
      <c r="C1693" s="226">
        <v>92911</v>
      </c>
    </row>
    <row r="1694" spans="2:3">
      <c r="B1694" s="209" t="s">
        <v>3410</v>
      </c>
      <c r="C1694" s="226">
        <v>93471</v>
      </c>
    </row>
    <row r="1695" spans="2:3">
      <c r="B1695" s="209" t="s">
        <v>3411</v>
      </c>
      <c r="C1695" s="226">
        <v>90098</v>
      </c>
    </row>
    <row r="1696" spans="2:3">
      <c r="B1696" s="209" t="s">
        <v>3412</v>
      </c>
      <c r="C1696" s="226">
        <v>97121</v>
      </c>
    </row>
    <row r="1697" spans="2:3">
      <c r="B1697" s="209" t="s">
        <v>70</v>
      </c>
      <c r="C1697" s="226">
        <v>92414</v>
      </c>
    </row>
    <row r="1698" spans="2:3">
      <c r="B1698" s="209" t="s">
        <v>81</v>
      </c>
      <c r="C1698" s="226">
        <v>92941</v>
      </c>
    </row>
    <row r="1699" spans="2:3">
      <c r="B1699" s="209" t="s">
        <v>43</v>
      </c>
      <c r="C1699" s="226">
        <v>91026</v>
      </c>
    </row>
    <row r="1700" spans="2:3">
      <c r="B1700" s="209" t="s">
        <v>208</v>
      </c>
      <c r="C1700" s="226">
        <v>98801</v>
      </c>
    </row>
    <row r="1701" spans="2:3">
      <c r="B1701" s="209" t="s">
        <v>3413</v>
      </c>
      <c r="C1701" s="226">
        <v>92521</v>
      </c>
    </row>
    <row r="1702" spans="2:3">
      <c r="B1702" s="209" t="s">
        <v>1629</v>
      </c>
      <c r="C1702" s="226">
        <v>93417</v>
      </c>
    </row>
    <row r="1703" spans="2:3">
      <c r="B1703" s="209" t="s">
        <v>86</v>
      </c>
      <c r="C1703" s="226">
        <v>93219</v>
      </c>
    </row>
    <row r="1704" spans="2:3">
      <c r="B1704" s="209" t="s">
        <v>1630</v>
      </c>
      <c r="C1704" s="226">
        <v>92513</v>
      </c>
    </row>
    <row r="1705" spans="2:3">
      <c r="B1705" s="209" t="s">
        <v>3414</v>
      </c>
      <c r="C1705" s="226">
        <v>97661</v>
      </c>
    </row>
    <row r="1706" spans="2:3">
      <c r="B1706" s="209" t="s">
        <v>3415</v>
      </c>
      <c r="C1706" s="226">
        <v>94931</v>
      </c>
    </row>
    <row r="1707" spans="2:3">
      <c r="B1707" s="209" t="s">
        <v>3416</v>
      </c>
      <c r="C1707" s="226">
        <v>96221</v>
      </c>
    </row>
    <row r="1708" spans="2:3">
      <c r="B1708" s="209" t="s">
        <v>3417</v>
      </c>
      <c r="C1708" s="226">
        <v>97511</v>
      </c>
    </row>
    <row r="1709" spans="2:3">
      <c r="B1709" s="209" t="s">
        <v>3418</v>
      </c>
      <c r="C1709" s="226">
        <v>95002</v>
      </c>
    </row>
    <row r="1710" spans="2:3">
      <c r="B1710" s="209" t="s">
        <v>3419</v>
      </c>
      <c r="C1710" s="226">
        <v>98251</v>
      </c>
    </row>
    <row r="1711" spans="2:3">
      <c r="B1711" s="209" t="s">
        <v>209</v>
      </c>
      <c r="C1711" s="226">
        <v>98901</v>
      </c>
    </row>
    <row r="1712" spans="2:3">
      <c r="B1712" s="209" t="s">
        <v>3420</v>
      </c>
      <c r="C1712" s="226">
        <v>98904</v>
      </c>
    </row>
    <row r="1713" spans="2:3">
      <c r="B1713" s="209" t="s">
        <v>210</v>
      </c>
      <c r="C1713" s="226">
        <v>99001</v>
      </c>
    </row>
    <row r="1714" spans="2:3">
      <c r="B1714" s="209" t="s">
        <v>3421</v>
      </c>
      <c r="C1714" s="226">
        <v>99061</v>
      </c>
    </row>
    <row r="1715" spans="2:3">
      <c r="B1715" s="209" t="s">
        <v>3422</v>
      </c>
      <c r="C1715" s="226">
        <v>93309</v>
      </c>
    </row>
    <row r="1716" spans="2:3">
      <c r="B1716" s="209" t="s">
        <v>51</v>
      </c>
      <c r="C1716" s="226">
        <v>91213</v>
      </c>
    </row>
    <row r="1717" spans="2:3">
      <c r="B1717" s="209" t="s">
        <v>3423</v>
      </c>
      <c r="C1717" s="226">
        <v>91211</v>
      </c>
    </row>
    <row r="1718" spans="2:3">
      <c r="B1718" s="209" t="s">
        <v>212</v>
      </c>
      <c r="C1718" s="226">
        <v>99101</v>
      </c>
    </row>
    <row r="1719" spans="2:3">
      <c r="B1719" s="209" t="s">
        <v>3424</v>
      </c>
      <c r="C1719" s="226">
        <v>99104</v>
      </c>
    </row>
    <row r="1720" spans="2:3">
      <c r="B1720" s="209" t="s">
        <v>3425</v>
      </c>
      <c r="C1720" s="226">
        <v>92551</v>
      </c>
    </row>
    <row r="1721" spans="2:3">
      <c r="B1721" s="209" t="s">
        <v>3426</v>
      </c>
      <c r="C1721" s="226">
        <v>96321</v>
      </c>
    </row>
    <row r="1722" spans="2:3">
      <c r="B1722" s="209" t="s">
        <v>3427</v>
      </c>
      <c r="C1722" s="226">
        <v>92641</v>
      </c>
    </row>
    <row r="1723" spans="2:3">
      <c r="B1723" s="209" t="s">
        <v>3428</v>
      </c>
      <c r="C1723" s="226">
        <v>90417</v>
      </c>
    </row>
    <row r="1724" spans="2:3">
      <c r="B1724" s="209" t="s">
        <v>32</v>
      </c>
      <c r="C1724" s="226">
        <v>90413</v>
      </c>
    </row>
    <row r="1725" spans="2:3">
      <c r="B1725" s="209" t="s">
        <v>3429</v>
      </c>
      <c r="C1725" s="226">
        <v>90411</v>
      </c>
    </row>
    <row r="1726" spans="2:3">
      <c r="B1726" s="209" t="s">
        <v>3430</v>
      </c>
      <c r="C1726" s="226">
        <v>98321</v>
      </c>
    </row>
    <row r="1727" spans="2:3">
      <c r="B1727" s="209" t="s">
        <v>213</v>
      </c>
      <c r="C1727" s="226">
        <v>99201</v>
      </c>
    </row>
    <row r="1728" spans="2:3">
      <c r="B1728" s="209" t="s">
        <v>3431</v>
      </c>
      <c r="C1728" s="226">
        <v>99204</v>
      </c>
    </row>
    <row r="1729" spans="2:3">
      <c r="B1729" s="209" t="s">
        <v>214</v>
      </c>
      <c r="C1729" s="226">
        <v>99207</v>
      </c>
    </row>
    <row r="1730" spans="2:3">
      <c r="B1730" s="209" t="s">
        <v>3432</v>
      </c>
      <c r="C1730" s="226">
        <v>99281</v>
      </c>
    </row>
    <row r="1731" spans="2:3">
      <c r="B1731" s="209" t="s">
        <v>3433</v>
      </c>
      <c r="C1731" s="226">
        <v>93461</v>
      </c>
    </row>
    <row r="1732" spans="2:3">
      <c r="B1732" s="209" t="s">
        <v>3434</v>
      </c>
      <c r="C1732" s="226">
        <v>93157</v>
      </c>
    </row>
    <row r="1733" spans="2:3">
      <c r="B1733" s="209" t="s">
        <v>3435</v>
      </c>
      <c r="C1733" s="226">
        <v>93151</v>
      </c>
    </row>
    <row r="1734" spans="2:3">
      <c r="B1734" s="209" t="s">
        <v>3436</v>
      </c>
      <c r="C1734" s="226">
        <v>98517</v>
      </c>
    </row>
    <row r="1735" spans="2:3">
      <c r="B1735" s="209" t="s">
        <v>3437</v>
      </c>
      <c r="C1735" s="226">
        <v>98511</v>
      </c>
    </row>
    <row r="1736" spans="2:3">
      <c r="B1736" s="209" t="s">
        <v>3438</v>
      </c>
      <c r="C1736" s="226">
        <v>99661</v>
      </c>
    </row>
    <row r="1737" spans="2:3">
      <c r="B1737" s="209" t="s">
        <v>3439</v>
      </c>
      <c r="C1737" s="226">
        <v>94031</v>
      </c>
    </row>
    <row r="1738" spans="2:3">
      <c r="B1738" s="209" t="s">
        <v>217</v>
      </c>
      <c r="C1738" s="226">
        <v>99301</v>
      </c>
    </row>
    <row r="1739" spans="2:3">
      <c r="B1739" s="209" t="s">
        <v>3440</v>
      </c>
      <c r="C1739" s="226">
        <v>99304</v>
      </c>
    </row>
    <row r="1740" spans="2:3">
      <c r="B1740" s="209" t="s">
        <v>3441</v>
      </c>
      <c r="C1740" s="226">
        <v>99321</v>
      </c>
    </row>
    <row r="1741" spans="2:3">
      <c r="B1741" s="209" t="s">
        <v>3442</v>
      </c>
      <c r="C1741" s="226">
        <v>93137</v>
      </c>
    </row>
    <row r="1742" spans="2:3">
      <c r="B1742" s="209" t="s">
        <v>3443</v>
      </c>
      <c r="C1742" s="226">
        <v>93131</v>
      </c>
    </row>
    <row r="1743" spans="2:3">
      <c r="B1743" s="209" t="s">
        <v>218</v>
      </c>
      <c r="C1743" s="226">
        <v>99401</v>
      </c>
    </row>
    <row r="1744" spans="2:3">
      <c r="B1744" s="209" t="s">
        <v>3444</v>
      </c>
      <c r="C1744" s="226">
        <v>99404</v>
      </c>
    </row>
    <row r="1745" spans="2:3">
      <c r="B1745" s="209" t="s">
        <v>3445</v>
      </c>
      <c r="C1745" s="226">
        <v>90741</v>
      </c>
    </row>
    <row r="1746" spans="2:3">
      <c r="B1746" s="209" t="s">
        <v>3446</v>
      </c>
      <c r="C1746" s="226">
        <v>90711</v>
      </c>
    </row>
    <row r="1747" spans="2:3">
      <c r="B1747" s="209" t="s">
        <v>221</v>
      </c>
      <c r="C1747" s="226">
        <v>99501</v>
      </c>
    </row>
    <row r="1748" spans="2:3">
      <c r="B1748" s="209" t="s">
        <v>3447</v>
      </c>
      <c r="C1748" s="226">
        <v>99509</v>
      </c>
    </row>
    <row r="1749" spans="2:3">
      <c r="B1749" s="209" t="s">
        <v>3448</v>
      </c>
      <c r="C1749" s="51">
        <v>91302</v>
      </c>
    </row>
    <row r="1750" spans="2:3">
      <c r="B1750" s="209" t="s">
        <v>3449</v>
      </c>
      <c r="C1750" s="226">
        <v>99047</v>
      </c>
    </row>
    <row r="1751" spans="2:3">
      <c r="B1751" s="209" t="s">
        <v>3450</v>
      </c>
      <c r="C1751" s="226">
        <v>99041</v>
      </c>
    </row>
    <row r="1752" spans="2:3">
      <c r="B1752" s="209" t="s">
        <v>224</v>
      </c>
      <c r="C1752" s="226">
        <v>99601</v>
      </c>
    </row>
    <row r="1753" spans="2:3">
      <c r="B1753" s="209" t="s">
        <v>3451</v>
      </c>
      <c r="C1753" s="226">
        <v>99604</v>
      </c>
    </row>
    <row r="1754" spans="2:3">
      <c r="B1754" s="209" t="s">
        <v>3452</v>
      </c>
      <c r="C1754" s="226">
        <v>94412</v>
      </c>
    </row>
    <row r="1755" spans="2:3">
      <c r="B1755" s="209" t="s">
        <v>3453</v>
      </c>
      <c r="C1755" s="226">
        <v>94411</v>
      </c>
    </row>
    <row r="1756" spans="2:3">
      <c r="B1756" s="209" t="s">
        <v>3454</v>
      </c>
      <c r="C1756" s="226">
        <v>91147</v>
      </c>
    </row>
    <row r="1757" spans="2:3">
      <c r="B1757" s="209" t="s">
        <v>3455</v>
      </c>
      <c r="C1757" s="226">
        <v>91141</v>
      </c>
    </row>
    <row r="1758" spans="2:3">
      <c r="B1758" s="209" t="s">
        <v>3456</v>
      </c>
      <c r="C1758" s="226">
        <v>99071</v>
      </c>
    </row>
    <row r="1759" spans="2:3">
      <c r="B1759" s="209" t="s">
        <v>3457</v>
      </c>
      <c r="C1759" s="226">
        <v>94231</v>
      </c>
    </row>
    <row r="1760" spans="2:3">
      <c r="B1760" s="209" t="s">
        <v>3458</v>
      </c>
      <c r="C1760" s="226">
        <v>99231</v>
      </c>
    </row>
    <row r="1761" spans="2:3">
      <c r="B1761" s="209" t="s">
        <v>3459</v>
      </c>
      <c r="C1761" s="226">
        <v>99091</v>
      </c>
    </row>
    <row r="1762" spans="2:3">
      <c r="B1762" s="209" t="s">
        <v>3460</v>
      </c>
      <c r="C1762" s="226">
        <v>91120</v>
      </c>
    </row>
    <row r="1763" spans="2:3">
      <c r="B1763" s="209" t="s">
        <v>1631</v>
      </c>
      <c r="C1763" s="226">
        <v>92444</v>
      </c>
    </row>
    <row r="1764" spans="2:3">
      <c r="B1764" s="209" t="s">
        <v>34</v>
      </c>
      <c r="C1764" s="226">
        <v>90507</v>
      </c>
    </row>
    <row r="1765" spans="2:3">
      <c r="B1765" s="209" t="s">
        <v>3461</v>
      </c>
      <c r="C1765" s="226">
        <v>90521</v>
      </c>
    </row>
    <row r="1766" spans="2:3">
      <c r="B1766" s="209" t="s">
        <v>3462</v>
      </c>
      <c r="C1766" s="226">
        <v>92602</v>
      </c>
    </row>
    <row r="1767" spans="2:3">
      <c r="B1767" s="209" t="s">
        <v>3463</v>
      </c>
      <c r="C1767" s="226">
        <v>91608</v>
      </c>
    </row>
    <row r="1768" spans="2:3">
      <c r="B1768" s="209" t="s">
        <v>48</v>
      </c>
      <c r="C1768" s="226">
        <v>91119</v>
      </c>
    </row>
    <row r="1769" spans="2:3">
      <c r="B1769" s="209" t="s">
        <v>3464</v>
      </c>
      <c r="C1769" s="226">
        <v>91107</v>
      </c>
    </row>
    <row r="1770" spans="2:3">
      <c r="B1770" s="209" t="s">
        <v>3465</v>
      </c>
      <c r="C1770" s="226">
        <v>91818</v>
      </c>
    </row>
    <row r="1771" spans="2:3">
      <c r="B1771" s="209" t="s">
        <v>60</v>
      </c>
      <c r="C1771" s="226">
        <v>91819</v>
      </c>
    </row>
    <row r="1772" spans="2:3">
      <c r="B1772" s="209" t="s">
        <v>3466</v>
      </c>
      <c r="C1772" s="226">
        <v>96371</v>
      </c>
    </row>
    <row r="1773" spans="2:3">
      <c r="B1773" s="209" t="s">
        <v>3467</v>
      </c>
      <c r="C1773" s="226">
        <v>96441</v>
      </c>
    </row>
    <row r="1774" spans="2:3">
      <c r="B1774" s="209" t="s">
        <v>3468</v>
      </c>
      <c r="C1774" s="226">
        <v>90921</v>
      </c>
    </row>
    <row r="1775" spans="2:3">
      <c r="B1775" s="209" t="s">
        <v>3469</v>
      </c>
      <c r="C1775" s="226">
        <v>92417</v>
      </c>
    </row>
    <row r="1776" spans="2:3">
      <c r="B1776" s="209" t="s">
        <v>69</v>
      </c>
      <c r="C1776" s="226">
        <v>92403</v>
      </c>
    </row>
    <row r="1777" spans="2:3">
      <c r="B1777" s="209" t="s">
        <v>3470</v>
      </c>
      <c r="C1777" s="226">
        <v>92411</v>
      </c>
    </row>
    <row r="1778" spans="2:3">
      <c r="B1778" s="209" t="s">
        <v>226</v>
      </c>
      <c r="C1778" s="226">
        <v>99701</v>
      </c>
    </row>
    <row r="1779" spans="2:3">
      <c r="B1779" s="209" t="s">
        <v>3471</v>
      </c>
      <c r="C1779" s="226">
        <v>99727</v>
      </c>
    </row>
    <row r="1780" spans="2:3">
      <c r="B1780" s="209" t="s">
        <v>3472</v>
      </c>
      <c r="C1780" s="226">
        <v>99721</v>
      </c>
    </row>
    <row r="1781" spans="2:3">
      <c r="B1781" s="209" t="s">
        <v>142</v>
      </c>
      <c r="C1781" s="226">
        <v>95813</v>
      </c>
    </row>
    <row r="1782" spans="2:3">
      <c r="B1782" s="209" t="s">
        <v>3473</v>
      </c>
      <c r="C1782" s="226">
        <v>95811</v>
      </c>
    </row>
    <row r="1783" spans="2:3">
      <c r="B1783" s="209" t="s">
        <v>154</v>
      </c>
      <c r="C1783" s="226">
        <v>96503</v>
      </c>
    </row>
    <row r="1784" spans="2:3">
      <c r="B1784" s="209" t="s">
        <v>3474</v>
      </c>
      <c r="C1784" s="226">
        <v>96531</v>
      </c>
    </row>
    <row r="1785" spans="2:3">
      <c r="B1785" s="209" t="s">
        <v>228</v>
      </c>
      <c r="C1785" s="226">
        <v>99801</v>
      </c>
    </row>
    <row r="1786" spans="2:3">
      <c r="B1786" s="209" t="s">
        <v>3475</v>
      </c>
      <c r="C1786" s="226">
        <v>99804</v>
      </c>
    </row>
    <row r="1787" spans="2:3">
      <c r="B1787" s="209" t="s">
        <v>3476</v>
      </c>
      <c r="C1787" s="226">
        <v>99802</v>
      </c>
    </row>
    <row r="1788" spans="2:3">
      <c r="B1788" s="209" t="s">
        <v>3477</v>
      </c>
      <c r="C1788" s="226">
        <v>99812</v>
      </c>
    </row>
    <row r="1789" spans="2:3">
      <c r="B1789" s="209" t="s">
        <v>3478</v>
      </c>
      <c r="C1789" s="226">
        <v>99811</v>
      </c>
    </row>
    <row r="1790" spans="2:3">
      <c r="B1790" s="209" t="s">
        <v>3479</v>
      </c>
      <c r="C1790" s="226">
        <v>95191</v>
      </c>
    </row>
    <row r="1791" spans="2:3">
      <c r="B1791" s="209" t="s">
        <v>3480</v>
      </c>
      <c r="C1791" s="226">
        <v>90812</v>
      </c>
    </row>
    <row r="1792" spans="2:3">
      <c r="B1792" s="209" t="s">
        <v>3481</v>
      </c>
      <c r="C1792" s="226">
        <v>97221</v>
      </c>
    </row>
    <row r="1793" spans="2:3">
      <c r="B1793" s="209" t="s">
        <v>3482</v>
      </c>
      <c r="C1793" s="226">
        <v>99031</v>
      </c>
    </row>
    <row r="1794" spans="2:3">
      <c r="B1794" s="209" t="s">
        <v>93</v>
      </c>
      <c r="C1794" s="226">
        <v>93413</v>
      </c>
    </row>
    <row r="1795" spans="2:3">
      <c r="B1795" s="209" t="s">
        <v>3483</v>
      </c>
      <c r="C1795" s="226">
        <v>93411</v>
      </c>
    </row>
    <row r="1796" spans="2:3">
      <c r="B1796" s="209" t="s">
        <v>3484</v>
      </c>
      <c r="C1796" s="226">
        <v>97451</v>
      </c>
    </row>
    <row r="1797" spans="2:3">
      <c r="B1797" s="209" t="s">
        <v>3485</v>
      </c>
      <c r="C1797" s="226">
        <v>94631</v>
      </c>
    </row>
    <row r="1798" spans="2:3">
      <c r="B1798" s="209" t="s">
        <v>46</v>
      </c>
      <c r="C1798" s="226">
        <v>91104</v>
      </c>
    </row>
    <row r="1799" spans="2:3">
      <c r="B1799" s="209" t="s">
        <v>3486</v>
      </c>
      <c r="C1799" s="226">
        <v>91109</v>
      </c>
    </row>
    <row r="1800" spans="2:3">
      <c r="B1800" s="209" t="s">
        <v>3487</v>
      </c>
      <c r="C1800" s="226">
        <v>91171</v>
      </c>
    </row>
    <row r="1801" spans="2:3">
      <c r="B1801" s="209" t="s">
        <v>3488</v>
      </c>
      <c r="C1801" s="226">
        <v>96621</v>
      </c>
    </row>
    <row r="1802" spans="2:3">
      <c r="B1802" s="209" t="s">
        <v>3489</v>
      </c>
      <c r="C1802" s="226">
        <v>96511</v>
      </c>
    </row>
    <row r="1803" spans="2:3">
      <c r="B1803" s="209" t="s">
        <v>229</v>
      </c>
      <c r="C1803" s="226">
        <v>99901</v>
      </c>
    </row>
    <row r="1804" spans="2:3">
      <c r="B1804" s="209" t="s">
        <v>1632</v>
      </c>
      <c r="C1804" s="226">
        <v>98604</v>
      </c>
    </row>
    <row r="1805" spans="2:3">
      <c r="B1805" s="209" t="s">
        <v>206</v>
      </c>
      <c r="C1805" s="226">
        <v>98608</v>
      </c>
    </row>
    <row r="1806" spans="2:3">
      <c r="B1806" s="209" t="s">
        <v>3490</v>
      </c>
      <c r="C1806" s="226">
        <v>99911</v>
      </c>
    </row>
    <row r="1807" spans="2:3">
      <c r="B1807" s="209" t="s">
        <v>26</v>
      </c>
      <c r="C1807" s="226">
        <v>90001</v>
      </c>
    </row>
    <row r="1808" spans="2:3">
      <c r="B1808" s="209" t="s">
        <v>3491</v>
      </c>
      <c r="C1808" s="226">
        <v>90002</v>
      </c>
    </row>
    <row r="1809" spans="2:3">
      <c r="B1809" s="209" t="s">
        <v>3492</v>
      </c>
      <c r="C1809" s="226">
        <v>91719</v>
      </c>
    </row>
    <row r="1810" spans="2:3">
      <c r="B1810" s="209" t="s">
        <v>3493</v>
      </c>
      <c r="C1810" s="226">
        <v>93541</v>
      </c>
    </row>
    <row r="1811" spans="2:3">
      <c r="B1811" s="209" t="s">
        <v>3494</v>
      </c>
      <c r="C1811" s="226">
        <v>99241</v>
      </c>
    </row>
  </sheetData>
  <pageMargins left="0" right="0" top="0.75" bottom="0.75" header="0.3" footer="0.3"/>
  <pageSetup scale="46" fitToHeight="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912"/>
  <sheetViews>
    <sheetView topLeftCell="A889" zoomScaleNormal="100" workbookViewId="0">
      <selection activeCell="C901" sqref="C901"/>
    </sheetView>
  </sheetViews>
  <sheetFormatPr defaultRowHeight="15"/>
  <cols>
    <col min="1" max="1" width="14.7109375" bestFit="1" customWidth="1"/>
    <col min="2" max="2" width="80.140625" customWidth="1"/>
    <col min="3" max="3" width="26.7109375" customWidth="1"/>
  </cols>
  <sheetData>
    <row r="1" spans="1:3" ht="80.45" customHeight="1">
      <c r="A1" s="410" t="s">
        <v>3735</v>
      </c>
      <c r="B1" s="411" t="s">
        <v>3736</v>
      </c>
      <c r="C1" s="410" t="s">
        <v>3737</v>
      </c>
    </row>
    <row r="2" spans="1:3" ht="23.25">
      <c r="A2" s="414" t="s">
        <v>691</v>
      </c>
      <c r="B2" s="414" t="s">
        <v>3742</v>
      </c>
      <c r="C2" s="415">
        <v>0</v>
      </c>
    </row>
    <row r="3" spans="1:3" ht="23.25">
      <c r="A3" s="412">
        <v>70505</v>
      </c>
      <c r="B3" s="412" t="s">
        <v>723</v>
      </c>
      <c r="C3" s="413">
        <v>204273.37</v>
      </c>
    </row>
    <row r="4" spans="1:3" ht="23.25">
      <c r="A4" s="412">
        <v>72265</v>
      </c>
      <c r="B4" s="412" t="s">
        <v>724</v>
      </c>
      <c r="C4" s="413">
        <v>130811.76</v>
      </c>
    </row>
    <row r="5" spans="1:3" ht="23.25">
      <c r="A5" s="412">
        <v>72593</v>
      </c>
      <c r="B5" s="412" t="s">
        <v>725</v>
      </c>
      <c r="C5" s="413">
        <v>3715.2000000000003</v>
      </c>
    </row>
    <row r="6" spans="1:3" ht="23.25">
      <c r="A6" s="412">
        <v>72657</v>
      </c>
      <c r="B6" s="412" t="s">
        <v>726</v>
      </c>
      <c r="C6" s="413">
        <v>22541.78</v>
      </c>
    </row>
    <row r="7" spans="1:3" ht="23.25">
      <c r="A7" s="412">
        <v>90001</v>
      </c>
      <c r="B7" s="412" t="s">
        <v>727</v>
      </c>
      <c r="C7" s="413">
        <v>807578.32</v>
      </c>
    </row>
    <row r="8" spans="1:3" ht="23.25">
      <c r="A8" s="412">
        <v>90002</v>
      </c>
      <c r="B8" s="412" t="s">
        <v>728</v>
      </c>
      <c r="C8" s="413">
        <v>9069.08</v>
      </c>
    </row>
    <row r="9" spans="1:3" ht="23.25">
      <c r="A9" s="412">
        <v>90011</v>
      </c>
      <c r="B9" s="412" t="s">
        <v>729</v>
      </c>
      <c r="C9" s="413">
        <v>143061.25</v>
      </c>
    </row>
    <row r="10" spans="1:3" ht="23.25">
      <c r="A10" s="412">
        <v>90092</v>
      </c>
      <c r="B10" s="412" t="s">
        <v>730</v>
      </c>
      <c r="C10" s="413">
        <v>296217.7</v>
      </c>
    </row>
    <row r="11" spans="1:3" ht="23.25">
      <c r="A11" s="412">
        <v>90096</v>
      </c>
      <c r="B11" s="412" t="s">
        <v>731</v>
      </c>
      <c r="C11" s="413">
        <v>875277.8</v>
      </c>
    </row>
    <row r="12" spans="1:3" ht="23.25">
      <c r="A12" s="412">
        <v>90098</v>
      </c>
      <c r="B12" s="412" t="s">
        <v>732</v>
      </c>
      <c r="C12" s="413">
        <v>191657.7</v>
      </c>
    </row>
    <row r="13" spans="1:3" ht="23.25">
      <c r="A13" s="412">
        <v>90099</v>
      </c>
      <c r="B13" s="412" t="s">
        <v>733</v>
      </c>
      <c r="C13" s="413">
        <v>516273.09</v>
      </c>
    </row>
    <row r="14" spans="1:3" ht="23.25">
      <c r="A14" s="412">
        <v>90101</v>
      </c>
      <c r="B14" s="412" t="s">
        <v>734</v>
      </c>
      <c r="C14" s="413">
        <v>4588184.16</v>
      </c>
    </row>
    <row r="15" spans="1:3" ht="23.25">
      <c r="A15" s="412">
        <v>90111</v>
      </c>
      <c r="B15" s="412" t="s">
        <v>735</v>
      </c>
      <c r="C15" s="413">
        <v>3379285.75</v>
      </c>
    </row>
    <row r="16" spans="1:3" ht="23.25">
      <c r="A16" s="412">
        <v>90114</v>
      </c>
      <c r="B16" s="412" t="s">
        <v>736</v>
      </c>
      <c r="C16" s="413">
        <v>1654963.38</v>
      </c>
    </row>
    <row r="17" spans="1:3" ht="23.25">
      <c r="A17" s="412">
        <v>90117</v>
      </c>
      <c r="B17" s="412" t="s">
        <v>737</v>
      </c>
      <c r="C17" s="413">
        <v>127436.24</v>
      </c>
    </row>
    <row r="18" spans="1:3" ht="23.25">
      <c r="A18" s="412">
        <v>90121</v>
      </c>
      <c r="B18" s="412" t="s">
        <v>738</v>
      </c>
      <c r="C18" s="413">
        <v>736524.22</v>
      </c>
    </row>
    <row r="19" spans="1:3" ht="23.25">
      <c r="A19" s="412">
        <v>90131</v>
      </c>
      <c r="B19" s="412" t="s">
        <v>739</v>
      </c>
      <c r="C19" s="413">
        <v>359769.33999999997</v>
      </c>
    </row>
    <row r="20" spans="1:3" ht="23.25">
      <c r="A20" s="412">
        <v>90141</v>
      </c>
      <c r="B20" s="412" t="s">
        <v>740</v>
      </c>
      <c r="C20" s="413">
        <v>102897.48</v>
      </c>
    </row>
    <row r="21" spans="1:3" ht="23.25">
      <c r="A21" s="412">
        <v>90151</v>
      </c>
      <c r="B21" s="412" t="s">
        <v>741</v>
      </c>
      <c r="C21" s="413">
        <v>4816.32</v>
      </c>
    </row>
    <row r="22" spans="1:3" ht="23.25">
      <c r="A22" s="412">
        <v>90161</v>
      </c>
      <c r="B22" s="412" t="s">
        <v>742</v>
      </c>
      <c r="C22" s="413">
        <v>17209.150000000001</v>
      </c>
    </row>
    <row r="23" spans="1:3" ht="23.25">
      <c r="A23" s="412">
        <v>90201</v>
      </c>
      <c r="B23" s="412" t="s">
        <v>743</v>
      </c>
      <c r="C23" s="413">
        <v>912824</v>
      </c>
    </row>
    <row r="24" spans="1:3" ht="23.25">
      <c r="A24" s="412">
        <v>90203</v>
      </c>
      <c r="B24" s="412" t="s">
        <v>744</v>
      </c>
      <c r="C24" s="413">
        <v>141670.21</v>
      </c>
    </row>
    <row r="25" spans="1:3" ht="23.25">
      <c r="A25" s="412">
        <v>90205</v>
      </c>
      <c r="B25" s="412" t="s">
        <v>745</v>
      </c>
      <c r="C25" s="413">
        <v>21794.74</v>
      </c>
    </row>
    <row r="26" spans="1:3" ht="23.25">
      <c r="A26" s="412">
        <v>90206</v>
      </c>
      <c r="B26" s="412" t="s">
        <v>746</v>
      </c>
      <c r="C26" s="413">
        <v>297558.69</v>
      </c>
    </row>
    <row r="27" spans="1:3" ht="23.25">
      <c r="A27" s="412">
        <v>90211</v>
      </c>
      <c r="B27" s="412" t="s">
        <v>747</v>
      </c>
      <c r="C27" s="413">
        <v>104736.34</v>
      </c>
    </row>
    <row r="28" spans="1:3" ht="23.25">
      <c r="A28" s="412">
        <v>90301</v>
      </c>
      <c r="B28" s="412" t="s">
        <v>748</v>
      </c>
      <c r="C28" s="413">
        <v>481888.88</v>
      </c>
    </row>
    <row r="29" spans="1:3" ht="23.25">
      <c r="A29" s="412">
        <v>90305</v>
      </c>
      <c r="B29" s="412" t="s">
        <v>749</v>
      </c>
      <c r="C29" s="413">
        <v>126848.46</v>
      </c>
    </row>
    <row r="30" spans="1:3" ht="23.25">
      <c r="A30" s="412">
        <v>90307</v>
      </c>
      <c r="B30" s="412" t="s">
        <v>750</v>
      </c>
      <c r="C30" s="413">
        <v>5356.74</v>
      </c>
    </row>
    <row r="31" spans="1:3" ht="23.25">
      <c r="A31" s="412">
        <v>90401</v>
      </c>
      <c r="B31" s="412" t="s">
        <v>751</v>
      </c>
      <c r="C31" s="413">
        <v>1112535.1199999999</v>
      </c>
    </row>
    <row r="32" spans="1:3" ht="23.25">
      <c r="A32" s="412">
        <v>90411</v>
      </c>
      <c r="B32" s="412" t="s">
        <v>752</v>
      </c>
      <c r="C32" s="413">
        <v>257816.34</v>
      </c>
    </row>
    <row r="33" spans="1:3" ht="23.25">
      <c r="A33" s="412">
        <v>90413</v>
      </c>
      <c r="B33" s="412" t="s">
        <v>753</v>
      </c>
      <c r="C33" s="413">
        <v>28343.34</v>
      </c>
    </row>
    <row r="34" spans="1:3" ht="23.25">
      <c r="A34" s="412">
        <v>90417</v>
      </c>
      <c r="B34" s="412" t="s">
        <v>754</v>
      </c>
      <c r="C34" s="413">
        <v>13599.91</v>
      </c>
    </row>
    <row r="35" spans="1:3" ht="23.25">
      <c r="A35" s="412">
        <v>90421</v>
      </c>
      <c r="B35" s="412" t="s">
        <v>755</v>
      </c>
      <c r="C35" s="413">
        <v>18504.63</v>
      </c>
    </row>
    <row r="36" spans="1:3" ht="23.25">
      <c r="A36" s="412">
        <v>90431</v>
      </c>
      <c r="B36" s="412" t="s">
        <v>756</v>
      </c>
      <c r="C36" s="413">
        <v>30534.06</v>
      </c>
    </row>
    <row r="37" spans="1:3" ht="23.25">
      <c r="A37" s="412">
        <v>90441</v>
      </c>
      <c r="B37" s="412" t="s">
        <v>757</v>
      </c>
      <c r="C37" s="413">
        <v>7690.73</v>
      </c>
    </row>
    <row r="38" spans="1:3" ht="23.25">
      <c r="A38" s="412">
        <v>90451</v>
      </c>
      <c r="B38" s="412" t="s">
        <v>758</v>
      </c>
      <c r="C38" s="413">
        <v>11603</v>
      </c>
    </row>
    <row r="39" spans="1:3" ht="23.25">
      <c r="A39" s="412">
        <v>90461</v>
      </c>
      <c r="B39" s="412" t="s">
        <v>759</v>
      </c>
      <c r="C39" s="413">
        <v>1770.58</v>
      </c>
    </row>
    <row r="40" spans="1:3" ht="23.25">
      <c r="A40" s="412">
        <v>90501</v>
      </c>
      <c r="B40" s="412" t="s">
        <v>760</v>
      </c>
      <c r="C40" s="413">
        <v>1091708.2899999998</v>
      </c>
    </row>
    <row r="41" spans="1:3" ht="23.25">
      <c r="A41" s="412">
        <v>90507</v>
      </c>
      <c r="B41" s="412" t="s">
        <v>34</v>
      </c>
      <c r="C41" s="413">
        <v>22608.21</v>
      </c>
    </row>
    <row r="42" spans="1:3" ht="23.25">
      <c r="A42" s="412">
        <v>90511</v>
      </c>
      <c r="B42" s="412" t="s">
        <v>761</v>
      </c>
      <c r="C42" s="413">
        <v>80836.430000000008</v>
      </c>
    </row>
    <row r="43" spans="1:3" ht="23.25">
      <c r="A43" s="412">
        <v>90521</v>
      </c>
      <c r="B43" s="412" t="s">
        <v>762</v>
      </c>
      <c r="C43" s="413">
        <v>90822.109999999986</v>
      </c>
    </row>
    <row r="44" spans="1:3" ht="23.25">
      <c r="A44" s="412">
        <v>90601</v>
      </c>
      <c r="B44" s="412" t="s">
        <v>763</v>
      </c>
      <c r="C44" s="413">
        <v>885245.77999999991</v>
      </c>
    </row>
    <row r="45" spans="1:3" ht="23.25">
      <c r="A45" s="412">
        <v>90602</v>
      </c>
      <c r="B45" s="412" t="s">
        <v>259</v>
      </c>
      <c r="C45" s="413">
        <v>68830.91</v>
      </c>
    </row>
    <row r="46" spans="1:3" ht="23.25">
      <c r="A46" s="412">
        <v>90605</v>
      </c>
      <c r="B46" s="412" t="s">
        <v>764</v>
      </c>
      <c r="C46" s="413">
        <v>36331.03</v>
      </c>
    </row>
    <row r="47" spans="1:3" ht="23.25">
      <c r="A47" s="412">
        <v>90611</v>
      </c>
      <c r="B47" s="412" t="s">
        <v>765</v>
      </c>
      <c r="C47" s="413">
        <v>98922.04</v>
      </c>
    </row>
    <row r="48" spans="1:3" ht="23.25">
      <c r="A48" s="412">
        <v>90617</v>
      </c>
      <c r="B48" s="412" t="s">
        <v>766</v>
      </c>
      <c r="C48" s="413">
        <v>21047.88</v>
      </c>
    </row>
    <row r="49" spans="1:3" ht="23.25">
      <c r="A49" s="412">
        <v>90621</v>
      </c>
      <c r="B49" s="412" t="s">
        <v>767</v>
      </c>
      <c r="C49" s="413">
        <v>48246.42</v>
      </c>
    </row>
    <row r="50" spans="1:3" ht="23.25">
      <c r="A50" s="412">
        <v>90631</v>
      </c>
      <c r="B50" s="412" t="s">
        <v>768</v>
      </c>
      <c r="C50" s="413">
        <v>296562.63</v>
      </c>
    </row>
    <row r="51" spans="1:3" ht="23.25">
      <c r="A51" s="412">
        <v>90641</v>
      </c>
      <c r="B51" s="412" t="s">
        <v>769</v>
      </c>
      <c r="C51" s="413">
        <v>9172.69</v>
      </c>
    </row>
    <row r="52" spans="1:3" ht="23.25">
      <c r="A52" s="412">
        <v>90651</v>
      </c>
      <c r="B52" s="412" t="s">
        <v>1930</v>
      </c>
      <c r="C52" s="413">
        <v>139656.38</v>
      </c>
    </row>
    <row r="53" spans="1:3" ht="23.25">
      <c r="A53" s="412">
        <v>90701</v>
      </c>
      <c r="B53" s="412" t="s">
        <v>771</v>
      </c>
      <c r="C53" s="413">
        <v>1822231.8499999999</v>
      </c>
    </row>
    <row r="54" spans="1:3" ht="23.25">
      <c r="A54" s="412">
        <v>90704</v>
      </c>
      <c r="B54" s="412" t="s">
        <v>772</v>
      </c>
      <c r="C54" s="413">
        <v>53434.340000000004</v>
      </c>
    </row>
    <row r="55" spans="1:3" ht="23.25">
      <c r="A55" s="412">
        <v>90705</v>
      </c>
      <c r="B55" s="412" t="s">
        <v>773</v>
      </c>
      <c r="C55" s="413">
        <v>32704.71</v>
      </c>
    </row>
    <row r="56" spans="1:3" ht="23.25">
      <c r="A56" s="412">
        <v>90709</v>
      </c>
      <c r="B56" s="412" t="s">
        <v>774</v>
      </c>
      <c r="C56" s="413">
        <v>119047.03</v>
      </c>
    </row>
    <row r="57" spans="1:3" ht="23.25">
      <c r="A57" s="412">
        <v>90711</v>
      </c>
      <c r="B57" s="412" t="s">
        <v>775</v>
      </c>
      <c r="C57" s="413">
        <v>1168221.9600000002</v>
      </c>
    </row>
    <row r="58" spans="1:3" ht="23.25">
      <c r="A58" s="412">
        <v>90721</v>
      </c>
      <c r="B58" s="412" t="s">
        <v>776</v>
      </c>
      <c r="C58" s="413">
        <v>21146.31</v>
      </c>
    </row>
    <row r="59" spans="1:3" ht="23.25">
      <c r="A59" s="412">
        <v>90731</v>
      </c>
      <c r="B59" s="412" t="s">
        <v>777</v>
      </c>
      <c r="C59" s="413">
        <v>115580.8</v>
      </c>
    </row>
    <row r="60" spans="1:3" ht="23.25">
      <c r="A60" s="412">
        <v>90741</v>
      </c>
      <c r="B60" s="412" t="s">
        <v>778</v>
      </c>
      <c r="C60" s="413">
        <v>10663.69</v>
      </c>
    </row>
    <row r="61" spans="1:3" ht="23.25">
      <c r="A61" s="412">
        <v>90751</v>
      </c>
      <c r="B61" s="412" t="s">
        <v>779</v>
      </c>
      <c r="C61" s="413">
        <v>49457.880000000005</v>
      </c>
    </row>
    <row r="62" spans="1:3" ht="23.25">
      <c r="A62" s="412">
        <v>90801</v>
      </c>
      <c r="B62" s="412" t="s">
        <v>780</v>
      </c>
      <c r="C62" s="413">
        <v>820594.64999999991</v>
      </c>
    </row>
    <row r="63" spans="1:3" ht="23.25">
      <c r="A63" s="412">
        <v>90804</v>
      </c>
      <c r="B63" s="412" t="s">
        <v>781</v>
      </c>
      <c r="C63" s="413">
        <v>4213.97</v>
      </c>
    </row>
    <row r="64" spans="1:3" ht="23.25">
      <c r="A64" s="412">
        <v>90805</v>
      </c>
      <c r="B64" s="412" t="s">
        <v>782</v>
      </c>
      <c r="C64" s="413">
        <v>60763.85</v>
      </c>
    </row>
    <row r="65" spans="1:3" ht="23.25">
      <c r="A65" s="412">
        <v>90808</v>
      </c>
      <c r="B65" s="412" t="s">
        <v>783</v>
      </c>
      <c r="C65" s="413">
        <v>103004.28</v>
      </c>
    </row>
    <row r="66" spans="1:3" ht="23.25">
      <c r="A66" s="412">
        <v>90811</v>
      </c>
      <c r="B66" s="412" t="s">
        <v>784</v>
      </c>
      <c r="C66" s="413">
        <v>23124.75</v>
      </c>
    </row>
    <row r="67" spans="1:3" ht="23.25">
      <c r="A67" s="412">
        <v>90812</v>
      </c>
      <c r="B67" s="412" t="s">
        <v>785</v>
      </c>
      <c r="C67" s="413">
        <v>155950.22</v>
      </c>
    </row>
    <row r="68" spans="1:3" ht="23.25">
      <c r="A68" s="412">
        <v>90813</v>
      </c>
      <c r="B68" s="412" t="s">
        <v>786</v>
      </c>
      <c r="C68" s="413">
        <v>2830.79</v>
      </c>
    </row>
    <row r="69" spans="1:3" ht="23.25">
      <c r="A69" s="412">
        <v>90861</v>
      </c>
      <c r="B69" s="412" t="s">
        <v>787</v>
      </c>
      <c r="C69" s="413">
        <v>5952.2000000000007</v>
      </c>
    </row>
    <row r="70" spans="1:3" ht="23.25">
      <c r="A70" s="412">
        <v>90901</v>
      </c>
      <c r="B70" s="412" t="s">
        <v>788</v>
      </c>
      <c r="C70" s="413">
        <v>1568209.2300000002</v>
      </c>
    </row>
    <row r="71" spans="1:3" ht="23.25">
      <c r="A71" s="412">
        <v>90911</v>
      </c>
      <c r="B71" s="412" t="s">
        <v>789</v>
      </c>
      <c r="C71" s="413">
        <v>240940.9</v>
      </c>
    </row>
    <row r="72" spans="1:3" ht="23.25">
      <c r="A72" s="412">
        <v>90917</v>
      </c>
      <c r="B72" s="412" t="s">
        <v>790</v>
      </c>
      <c r="C72" s="413">
        <v>9198.6200000000008</v>
      </c>
    </row>
    <row r="73" spans="1:3" ht="23.25">
      <c r="A73" s="412">
        <v>90918</v>
      </c>
      <c r="B73" s="412" t="s">
        <v>791</v>
      </c>
      <c r="C73" s="413">
        <v>7234.68</v>
      </c>
    </row>
    <row r="74" spans="1:3" ht="23.25">
      <c r="A74" s="412">
        <v>90921</v>
      </c>
      <c r="B74" s="412" t="s">
        <v>792</v>
      </c>
      <c r="C74" s="413">
        <v>93661.53</v>
      </c>
    </row>
    <row r="75" spans="1:3" ht="23.25">
      <c r="A75" s="412">
        <v>90931</v>
      </c>
      <c r="B75" s="412" t="s">
        <v>793</v>
      </c>
      <c r="C75" s="413">
        <v>23287.86</v>
      </c>
    </row>
    <row r="76" spans="1:3" ht="23.25">
      <c r="A76" s="412">
        <v>90941</v>
      </c>
      <c r="B76" s="412" t="s">
        <v>794</v>
      </c>
      <c r="C76" s="413">
        <v>55252.08</v>
      </c>
    </row>
    <row r="77" spans="1:3" ht="23.25">
      <c r="A77" s="412">
        <v>91001</v>
      </c>
      <c r="B77" s="412" t="s">
        <v>795</v>
      </c>
      <c r="C77" s="413">
        <v>4908396.6400000006</v>
      </c>
    </row>
    <row r="78" spans="1:3" ht="23.25">
      <c r="A78" s="412">
        <v>91002</v>
      </c>
      <c r="B78" s="412" t="s">
        <v>796</v>
      </c>
      <c r="C78" s="413">
        <v>833433.99</v>
      </c>
    </row>
    <row r="79" spans="1:3" ht="23.25">
      <c r="A79" s="412">
        <v>91003</v>
      </c>
      <c r="B79" s="412" t="s">
        <v>797</v>
      </c>
      <c r="C79" s="413">
        <v>446049.41</v>
      </c>
    </row>
    <row r="80" spans="1:3" ht="23.25">
      <c r="A80" s="412">
        <v>91004</v>
      </c>
      <c r="B80" s="412" t="s">
        <v>798</v>
      </c>
      <c r="C80" s="413">
        <v>27510.55</v>
      </c>
    </row>
    <row r="81" spans="1:3" ht="23.25">
      <c r="A81" s="412">
        <v>91006</v>
      </c>
      <c r="B81" s="412" t="s">
        <v>799</v>
      </c>
      <c r="C81" s="413">
        <v>710378.88</v>
      </c>
    </row>
    <row r="82" spans="1:3" ht="23.25">
      <c r="A82" s="412">
        <v>91007</v>
      </c>
      <c r="B82" s="412" t="s">
        <v>800</v>
      </c>
      <c r="C82" s="413">
        <v>7429.02</v>
      </c>
    </row>
    <row r="83" spans="1:3" ht="23.25">
      <c r="A83" s="412">
        <v>91008</v>
      </c>
      <c r="B83" s="412" t="s">
        <v>801</v>
      </c>
      <c r="C83" s="413">
        <v>119553</v>
      </c>
    </row>
    <row r="84" spans="1:3" ht="23.25">
      <c r="A84" s="412">
        <v>91009</v>
      </c>
      <c r="B84" s="412" t="s">
        <v>802</v>
      </c>
      <c r="C84" s="413">
        <v>14877.15</v>
      </c>
    </row>
    <row r="85" spans="1:3" ht="23.25">
      <c r="A85" s="412">
        <v>91010</v>
      </c>
      <c r="B85" s="412" t="s">
        <v>803</v>
      </c>
      <c r="C85" s="413">
        <v>46744.23</v>
      </c>
    </row>
    <row r="86" spans="1:3" ht="23.25">
      <c r="A86" s="412">
        <v>91011</v>
      </c>
      <c r="B86" s="412" t="s">
        <v>804</v>
      </c>
      <c r="C86" s="413">
        <v>318216.87</v>
      </c>
    </row>
    <row r="87" spans="1:3" ht="23.25">
      <c r="A87" s="412">
        <v>91012</v>
      </c>
      <c r="B87" s="412" t="s">
        <v>805</v>
      </c>
      <c r="C87" s="413">
        <v>12729.47</v>
      </c>
    </row>
    <row r="88" spans="1:3" ht="23.25">
      <c r="A88" s="412">
        <v>91013</v>
      </c>
      <c r="B88" s="412" t="s">
        <v>806</v>
      </c>
      <c r="C88" s="413">
        <v>45283.990000000005</v>
      </c>
    </row>
    <row r="89" spans="1:3" ht="23.25">
      <c r="A89" s="412">
        <v>91014</v>
      </c>
      <c r="B89" s="412" t="s">
        <v>807</v>
      </c>
      <c r="C89" s="413">
        <v>147001.77000000002</v>
      </c>
    </row>
    <row r="90" spans="1:3" ht="23.25">
      <c r="A90" s="412">
        <v>91015</v>
      </c>
      <c r="B90" s="412" t="s">
        <v>1636</v>
      </c>
      <c r="C90" s="413">
        <v>28046.35</v>
      </c>
    </row>
    <row r="91" spans="1:3" ht="23.25">
      <c r="A91" s="412">
        <v>91017</v>
      </c>
      <c r="B91" s="412" t="s">
        <v>2009</v>
      </c>
      <c r="C91" s="413">
        <v>21828.79</v>
      </c>
    </row>
    <row r="92" spans="1:3" ht="23.25">
      <c r="A92" s="412">
        <v>91020</v>
      </c>
      <c r="B92" s="412" t="s">
        <v>809</v>
      </c>
      <c r="C92" s="413">
        <v>19907.560000000001</v>
      </c>
    </row>
    <row r="93" spans="1:3" ht="23.25">
      <c r="A93" s="412">
        <v>91021</v>
      </c>
      <c r="B93" s="412" t="s">
        <v>810</v>
      </c>
      <c r="C93" s="413">
        <v>705775.04</v>
      </c>
    </row>
    <row r="94" spans="1:3" ht="23.25">
      <c r="A94" s="412">
        <v>91024</v>
      </c>
      <c r="B94" s="412" t="s">
        <v>811</v>
      </c>
      <c r="C94" s="413">
        <v>73127.490000000005</v>
      </c>
    </row>
    <row r="95" spans="1:3" ht="23.25">
      <c r="A95" s="412">
        <v>91026</v>
      </c>
      <c r="B95" s="412" t="s">
        <v>43</v>
      </c>
      <c r="C95" s="413">
        <v>52985.78</v>
      </c>
    </row>
    <row r="96" spans="1:3" ht="23.25">
      <c r="A96" s="412">
        <v>91027</v>
      </c>
      <c r="B96" s="412" t="s">
        <v>812</v>
      </c>
      <c r="C96" s="413">
        <v>21895.49</v>
      </c>
    </row>
    <row r="97" spans="1:3" ht="23.25">
      <c r="A97" s="412">
        <v>91032</v>
      </c>
      <c r="B97" s="412" t="s">
        <v>813</v>
      </c>
      <c r="C97" s="413">
        <v>30300.27</v>
      </c>
    </row>
    <row r="98" spans="1:3" ht="23.25">
      <c r="A98" s="412">
        <v>91041</v>
      </c>
      <c r="B98" s="412" t="s">
        <v>814</v>
      </c>
      <c r="C98" s="413">
        <v>284029.59000000003</v>
      </c>
    </row>
    <row r="99" spans="1:3" ht="23.25">
      <c r="A99" s="412">
        <v>91042</v>
      </c>
      <c r="B99" s="412" t="s">
        <v>815</v>
      </c>
      <c r="C99" s="413">
        <v>212995.37</v>
      </c>
    </row>
    <row r="100" spans="1:3" ht="23.25">
      <c r="A100" s="412">
        <v>91047</v>
      </c>
      <c r="B100" s="412" t="s">
        <v>816</v>
      </c>
      <c r="C100" s="413">
        <v>12186.09</v>
      </c>
    </row>
    <row r="101" spans="1:3" ht="23.25">
      <c r="A101" s="412">
        <v>91051</v>
      </c>
      <c r="B101" s="412" t="s">
        <v>817</v>
      </c>
      <c r="C101" s="413">
        <v>51715.02</v>
      </c>
    </row>
    <row r="102" spans="1:3" ht="23.25">
      <c r="A102" s="412">
        <v>91057</v>
      </c>
      <c r="B102" s="412" t="s">
        <v>818</v>
      </c>
      <c r="C102" s="413">
        <v>14784.97</v>
      </c>
    </row>
    <row r="103" spans="1:3" ht="23.25">
      <c r="A103" s="412">
        <v>91061</v>
      </c>
      <c r="B103" s="412" t="s">
        <v>819</v>
      </c>
      <c r="C103" s="413">
        <v>285416.26</v>
      </c>
    </row>
    <row r="104" spans="1:3" ht="23.25">
      <c r="A104" s="412">
        <v>91067</v>
      </c>
      <c r="B104" s="412" t="s">
        <v>820</v>
      </c>
      <c r="C104" s="413">
        <v>14571.06</v>
      </c>
    </row>
    <row r="105" spans="1:3" ht="23.25">
      <c r="A105" s="412">
        <v>91071</v>
      </c>
      <c r="B105" s="412" t="s">
        <v>821</v>
      </c>
      <c r="C105" s="413">
        <v>167370.41</v>
      </c>
    </row>
    <row r="106" spans="1:3" ht="23.25">
      <c r="A106" s="412">
        <v>91077</v>
      </c>
      <c r="B106" s="412" t="s">
        <v>822</v>
      </c>
      <c r="C106" s="413">
        <v>10075.1</v>
      </c>
    </row>
    <row r="107" spans="1:3" ht="23.25">
      <c r="A107" s="412">
        <v>91081</v>
      </c>
      <c r="B107" s="412" t="s">
        <v>823</v>
      </c>
      <c r="C107" s="413">
        <v>304978.93999999994</v>
      </c>
    </row>
    <row r="108" spans="1:3" ht="23.25">
      <c r="A108" s="412">
        <v>91091</v>
      </c>
      <c r="B108" s="412" t="s">
        <v>824</v>
      </c>
      <c r="C108" s="413">
        <v>403673.12999999995</v>
      </c>
    </row>
    <row r="109" spans="1:3" ht="23.25">
      <c r="A109" s="412">
        <v>91101</v>
      </c>
      <c r="B109" s="412" t="s">
        <v>825</v>
      </c>
      <c r="C109" s="413">
        <v>9320165.2699999996</v>
      </c>
    </row>
    <row r="110" spans="1:3" ht="23.25">
      <c r="A110" s="412">
        <v>91102</v>
      </c>
      <c r="B110" s="412" t="s">
        <v>826</v>
      </c>
      <c r="C110" s="413">
        <v>227089.91</v>
      </c>
    </row>
    <row r="111" spans="1:3" ht="23.25">
      <c r="A111" s="412">
        <v>91104</v>
      </c>
      <c r="B111" s="412" t="s">
        <v>827</v>
      </c>
      <c r="C111" s="413">
        <v>20704.300000000003</v>
      </c>
    </row>
    <row r="112" spans="1:3" ht="23.25">
      <c r="A112" s="412">
        <v>91107</v>
      </c>
      <c r="B112" s="412" t="s">
        <v>828</v>
      </c>
      <c r="C112" s="413">
        <v>42093.25</v>
      </c>
    </row>
    <row r="113" spans="1:3" ht="23.25">
      <c r="A113" s="412">
        <v>91108</v>
      </c>
      <c r="B113" s="412" t="s">
        <v>829</v>
      </c>
      <c r="C113" s="413">
        <v>921855.54</v>
      </c>
    </row>
    <row r="114" spans="1:3" ht="23.25">
      <c r="A114" s="412">
        <v>91109</v>
      </c>
      <c r="B114" s="412" t="s">
        <v>830</v>
      </c>
      <c r="C114" s="413">
        <v>73596.77</v>
      </c>
    </row>
    <row r="115" spans="1:3" ht="23.25">
      <c r="A115" s="412">
        <v>91111</v>
      </c>
      <c r="B115" s="412" t="s">
        <v>831</v>
      </c>
      <c r="C115" s="413">
        <v>163319.91000000003</v>
      </c>
    </row>
    <row r="116" spans="1:3" ht="23.25">
      <c r="A116" s="412">
        <v>91120</v>
      </c>
      <c r="B116" s="412" t="s">
        <v>832</v>
      </c>
      <c r="C116" s="413">
        <v>126441.42</v>
      </c>
    </row>
    <row r="117" spans="1:3" ht="23.25">
      <c r="A117" s="412">
        <v>91121</v>
      </c>
      <c r="B117" s="412" t="s">
        <v>833</v>
      </c>
      <c r="C117" s="413">
        <v>6917526.1299999999</v>
      </c>
    </row>
    <row r="118" spans="1:3" ht="23.25">
      <c r="A118" s="412">
        <v>91127</v>
      </c>
      <c r="B118" s="412" t="s">
        <v>834</v>
      </c>
      <c r="C118" s="413">
        <v>253785.72</v>
      </c>
    </row>
    <row r="119" spans="1:3" ht="23.25">
      <c r="A119" s="412">
        <v>91128</v>
      </c>
      <c r="B119" s="412" t="s">
        <v>835</v>
      </c>
      <c r="C119" s="413">
        <v>396529.94000000006</v>
      </c>
    </row>
    <row r="120" spans="1:3" ht="23.25">
      <c r="A120" s="412">
        <v>91138</v>
      </c>
      <c r="B120" s="412" t="s">
        <v>836</v>
      </c>
      <c r="C120" s="413">
        <v>339054.75</v>
      </c>
    </row>
    <row r="121" spans="1:3" ht="23.25">
      <c r="A121" s="412">
        <v>91141</v>
      </c>
      <c r="B121" s="412" t="s">
        <v>837</v>
      </c>
      <c r="C121" s="413">
        <v>412461.25</v>
      </c>
    </row>
    <row r="122" spans="1:3" ht="23.25">
      <c r="A122" s="412">
        <v>91147</v>
      </c>
      <c r="B122" s="412" t="s">
        <v>838</v>
      </c>
      <c r="C122" s="413">
        <v>26389.600000000002</v>
      </c>
    </row>
    <row r="123" spans="1:3" ht="23.25">
      <c r="A123" s="412">
        <v>91151</v>
      </c>
      <c r="B123" s="412" t="s">
        <v>839</v>
      </c>
      <c r="C123" s="413">
        <v>398646.62000000005</v>
      </c>
    </row>
    <row r="124" spans="1:3" ht="23.25">
      <c r="A124" s="412">
        <v>91154</v>
      </c>
      <c r="B124" s="412" t="s">
        <v>840</v>
      </c>
      <c r="C124" s="413">
        <v>15151.14</v>
      </c>
    </row>
    <row r="125" spans="1:3" ht="23.25">
      <c r="A125" s="412">
        <v>91161</v>
      </c>
      <c r="B125" s="412" t="s">
        <v>841</v>
      </c>
      <c r="C125" s="413">
        <v>65048.78</v>
      </c>
    </row>
    <row r="126" spans="1:3" ht="23.25">
      <c r="A126" s="412">
        <v>91171</v>
      </c>
      <c r="B126" s="412" t="s">
        <v>842</v>
      </c>
      <c r="C126" s="413">
        <v>173569.88000000003</v>
      </c>
    </row>
    <row r="127" spans="1:3" ht="23.25">
      <c r="A127" s="412">
        <v>91201</v>
      </c>
      <c r="B127" s="412" t="s">
        <v>843</v>
      </c>
      <c r="C127" s="413">
        <v>1800449.73</v>
      </c>
    </row>
    <row r="128" spans="1:3" ht="23.25">
      <c r="A128" s="412">
        <v>91203</v>
      </c>
      <c r="B128" s="412" t="s">
        <v>845</v>
      </c>
      <c r="C128" s="413">
        <v>199581.67</v>
      </c>
    </row>
    <row r="129" spans="1:3" ht="23.25">
      <c r="A129" s="412">
        <v>91206</v>
      </c>
      <c r="B129" s="412" t="s">
        <v>846</v>
      </c>
      <c r="C129" s="413">
        <v>677787.08</v>
      </c>
    </row>
    <row r="130" spans="1:3" ht="23.25">
      <c r="A130" s="412">
        <v>91208</v>
      </c>
      <c r="B130" s="412" t="s">
        <v>847</v>
      </c>
      <c r="C130" s="413">
        <v>13794.31</v>
      </c>
    </row>
    <row r="131" spans="1:3" ht="23.25">
      <c r="A131" s="412">
        <v>91211</v>
      </c>
      <c r="B131" s="412" t="s">
        <v>848</v>
      </c>
      <c r="C131" s="413">
        <v>318047.24000000005</v>
      </c>
    </row>
    <row r="132" spans="1:3" ht="23.25">
      <c r="A132" s="412">
        <v>91213</v>
      </c>
      <c r="B132" s="412" t="s">
        <v>849</v>
      </c>
      <c r="C132" s="413">
        <v>19338.650000000001</v>
      </c>
    </row>
    <row r="133" spans="1:3" ht="23.25">
      <c r="A133" s="412">
        <v>91214</v>
      </c>
      <c r="B133" s="412" t="s">
        <v>850</v>
      </c>
      <c r="C133" s="413">
        <v>19218.22</v>
      </c>
    </row>
    <row r="134" spans="1:3" ht="23.25">
      <c r="A134" s="412">
        <v>91217</v>
      </c>
      <c r="B134" s="412" t="s">
        <v>851</v>
      </c>
      <c r="C134" s="413">
        <v>24240.400000000001</v>
      </c>
    </row>
    <row r="135" spans="1:3" ht="23.25">
      <c r="A135" s="412">
        <v>91221</v>
      </c>
      <c r="B135" s="412" t="s">
        <v>852</v>
      </c>
      <c r="C135" s="413">
        <v>80793.659999999989</v>
      </c>
    </row>
    <row r="136" spans="1:3" ht="23.25">
      <c r="A136" s="412">
        <v>91231</v>
      </c>
      <c r="B136" s="412" t="s">
        <v>853</v>
      </c>
      <c r="C136" s="413">
        <v>1374985.07</v>
      </c>
    </row>
    <row r="137" spans="1:3" ht="23.25">
      <c r="A137" s="412">
        <v>91233</v>
      </c>
      <c r="B137" s="412" t="s">
        <v>854</v>
      </c>
      <c r="C137" s="413">
        <v>43373.11</v>
      </c>
    </row>
    <row r="138" spans="1:3" ht="23.25">
      <c r="A138" s="412">
        <v>91241</v>
      </c>
      <c r="B138" s="412" t="s">
        <v>855</v>
      </c>
      <c r="C138" s="413">
        <v>26237.989999999998</v>
      </c>
    </row>
    <row r="139" spans="1:3" ht="23.25">
      <c r="A139" s="412">
        <v>91251</v>
      </c>
      <c r="B139" s="412" t="s">
        <v>856</v>
      </c>
      <c r="C139" s="413">
        <v>18408.52</v>
      </c>
    </row>
    <row r="140" spans="1:3" ht="23.25">
      <c r="A140" s="412">
        <v>91261</v>
      </c>
      <c r="B140" s="412" t="s">
        <v>857</v>
      </c>
      <c r="C140" s="413">
        <v>5778.5</v>
      </c>
    </row>
    <row r="141" spans="1:3" ht="23.25">
      <c r="A141" s="412">
        <v>91301</v>
      </c>
      <c r="B141" s="412" t="s">
        <v>858</v>
      </c>
      <c r="C141" s="413">
        <v>6105993.9400000013</v>
      </c>
    </row>
    <row r="142" spans="1:3" ht="23.25">
      <c r="A142" s="412">
        <v>91302</v>
      </c>
      <c r="B142" s="412" t="s">
        <v>859</v>
      </c>
      <c r="C142" s="413">
        <v>383197.03</v>
      </c>
    </row>
    <row r="143" spans="1:3" ht="23.25">
      <c r="A143" s="412">
        <v>91306</v>
      </c>
      <c r="B143" s="412" t="s">
        <v>860</v>
      </c>
      <c r="C143" s="413">
        <v>1397971.06</v>
      </c>
    </row>
    <row r="144" spans="1:3" ht="23.25">
      <c r="A144" s="412">
        <v>91308</v>
      </c>
      <c r="B144" s="412" t="s">
        <v>861</v>
      </c>
      <c r="C144" s="413">
        <v>83903.930000000008</v>
      </c>
    </row>
    <row r="145" spans="1:3" ht="23.25">
      <c r="A145" s="412">
        <v>91311</v>
      </c>
      <c r="B145" s="412" t="s">
        <v>862</v>
      </c>
      <c r="C145" s="413">
        <v>6139152.3899999997</v>
      </c>
    </row>
    <row r="146" spans="1:3" ht="23.25">
      <c r="A146" s="412">
        <v>91317</v>
      </c>
      <c r="B146" s="412" t="s">
        <v>863</v>
      </c>
      <c r="C146" s="413">
        <v>113076.73</v>
      </c>
    </row>
    <row r="147" spans="1:3" ht="23.25">
      <c r="A147" s="412">
        <v>91321</v>
      </c>
      <c r="B147" s="412" t="s">
        <v>864</v>
      </c>
      <c r="C147" s="413">
        <v>50381.740000000005</v>
      </c>
    </row>
    <row r="148" spans="1:3" ht="23.25">
      <c r="A148" s="412">
        <v>91327</v>
      </c>
      <c r="B148" s="412" t="s">
        <v>865</v>
      </c>
      <c r="C148" s="413">
        <v>6511.59</v>
      </c>
    </row>
    <row r="149" spans="1:3" ht="23.25">
      <c r="A149" s="412">
        <v>91331</v>
      </c>
      <c r="B149" s="412" t="s">
        <v>866</v>
      </c>
      <c r="C149" s="413">
        <v>2153792.04</v>
      </c>
    </row>
    <row r="150" spans="1:3" ht="23.25">
      <c r="A150" s="412">
        <v>91341</v>
      </c>
      <c r="B150" s="412" t="s">
        <v>867</v>
      </c>
      <c r="C150" s="413">
        <v>22242.74</v>
      </c>
    </row>
    <row r="151" spans="1:3" ht="23.25">
      <c r="A151" s="412">
        <v>91401</v>
      </c>
      <c r="B151" s="412" t="s">
        <v>868</v>
      </c>
      <c r="C151" s="413">
        <v>2662680.0700000003</v>
      </c>
    </row>
    <row r="152" spans="1:3" ht="23.25">
      <c r="A152" s="412">
        <v>91411</v>
      </c>
      <c r="B152" s="412" t="s">
        <v>869</v>
      </c>
      <c r="C152" s="413">
        <v>311076.28999999998</v>
      </c>
    </row>
    <row r="153" spans="1:3" ht="23.25">
      <c r="A153" s="412">
        <v>91414</v>
      </c>
      <c r="B153" s="412" t="s">
        <v>3608</v>
      </c>
      <c r="C153" s="413">
        <v>22643.06</v>
      </c>
    </row>
    <row r="154" spans="1:3" ht="23.25">
      <c r="A154" s="412">
        <v>91417</v>
      </c>
      <c r="B154" s="412" t="s">
        <v>870</v>
      </c>
      <c r="C154" s="413">
        <v>11212.14</v>
      </c>
    </row>
    <row r="155" spans="1:3" ht="23.25">
      <c r="A155" s="412">
        <v>91421</v>
      </c>
      <c r="B155" s="412" t="s">
        <v>871</v>
      </c>
      <c r="C155" s="413">
        <v>52551.33</v>
      </c>
    </row>
    <row r="156" spans="1:3" ht="23.25">
      <c r="A156" s="412">
        <v>91423</v>
      </c>
      <c r="B156" s="412" t="s">
        <v>872</v>
      </c>
      <c r="C156" s="413">
        <v>38232.15</v>
      </c>
    </row>
    <row r="157" spans="1:3" ht="23.25">
      <c r="A157" s="412">
        <v>91431</v>
      </c>
      <c r="B157" s="412" t="s">
        <v>873</v>
      </c>
      <c r="C157" s="413">
        <v>135114.71</v>
      </c>
    </row>
    <row r="158" spans="1:3" ht="23.25">
      <c r="A158" s="412">
        <v>91441</v>
      </c>
      <c r="B158" s="412" t="s">
        <v>874</v>
      </c>
      <c r="C158" s="413">
        <v>606221.9</v>
      </c>
    </row>
    <row r="159" spans="1:3" ht="23.25">
      <c r="A159" s="412">
        <v>91451</v>
      </c>
      <c r="B159" s="412" t="s">
        <v>875</v>
      </c>
      <c r="C159" s="413">
        <v>1111147.8099999998</v>
      </c>
    </row>
    <row r="160" spans="1:3" ht="23.25">
      <c r="A160" s="412">
        <v>91457</v>
      </c>
      <c r="B160" s="412" t="s">
        <v>876</v>
      </c>
      <c r="C160" s="413">
        <v>42358.09</v>
      </c>
    </row>
    <row r="161" spans="1:3" ht="23.25">
      <c r="A161" s="412">
        <v>91501</v>
      </c>
      <c r="B161" s="412" t="s">
        <v>878</v>
      </c>
      <c r="C161" s="413">
        <v>376732.75</v>
      </c>
    </row>
    <row r="162" spans="1:3" ht="23.25">
      <c r="A162" s="412">
        <v>91504</v>
      </c>
      <c r="B162" s="412" t="s">
        <v>879</v>
      </c>
      <c r="C162" s="413">
        <v>11135.32</v>
      </c>
    </row>
    <row r="163" spans="1:3" ht="23.25">
      <c r="A163" s="412">
        <v>91601</v>
      </c>
      <c r="B163" s="412" t="s">
        <v>880</v>
      </c>
      <c r="C163" s="413">
        <v>2276701.39</v>
      </c>
    </row>
    <row r="164" spans="1:3" ht="23.25">
      <c r="A164" s="412">
        <v>91604</v>
      </c>
      <c r="B164" s="412" t="s">
        <v>881</v>
      </c>
      <c r="C164" s="413">
        <v>81071.76999999999</v>
      </c>
    </row>
    <row r="165" spans="1:3" ht="23.25">
      <c r="A165" s="412">
        <v>91608</v>
      </c>
      <c r="B165" s="412" t="s">
        <v>882</v>
      </c>
      <c r="C165" s="413">
        <v>98033.849999999991</v>
      </c>
    </row>
    <row r="166" spans="1:3" ht="23.25">
      <c r="A166" s="412">
        <v>91611</v>
      </c>
      <c r="B166" s="412" t="s">
        <v>883</v>
      </c>
      <c r="C166" s="413">
        <v>933491.02</v>
      </c>
    </row>
    <row r="167" spans="1:3" ht="23.25">
      <c r="A167" s="412">
        <v>91621</v>
      </c>
      <c r="B167" s="412" t="s">
        <v>884</v>
      </c>
      <c r="C167" s="413">
        <v>216362.16</v>
      </c>
    </row>
    <row r="168" spans="1:3" ht="23.25">
      <c r="A168" s="412">
        <v>91631</v>
      </c>
      <c r="B168" s="412" t="s">
        <v>885</v>
      </c>
      <c r="C168" s="413">
        <v>436292.16000000009</v>
      </c>
    </row>
    <row r="169" spans="1:3" ht="23.25">
      <c r="A169" s="412">
        <v>91633</v>
      </c>
      <c r="B169" s="412" t="s">
        <v>886</v>
      </c>
      <c r="C169" s="413">
        <v>19319.89</v>
      </c>
    </row>
    <row r="170" spans="1:3" ht="23.25">
      <c r="A170" s="412">
        <v>91641</v>
      </c>
      <c r="B170" s="412" t="s">
        <v>887</v>
      </c>
      <c r="C170" s="413">
        <v>207332.41999999998</v>
      </c>
    </row>
    <row r="171" spans="1:3" ht="23.25">
      <c r="A171" s="412">
        <v>91651</v>
      </c>
      <c r="B171" s="412" t="s">
        <v>888</v>
      </c>
      <c r="C171" s="413">
        <v>403810.33999999991</v>
      </c>
    </row>
    <row r="172" spans="1:3" ht="23.25">
      <c r="A172" s="412">
        <v>91661</v>
      </c>
      <c r="B172" s="412" t="s">
        <v>889</v>
      </c>
      <c r="C172" s="413">
        <v>113748.15000000001</v>
      </c>
    </row>
    <row r="173" spans="1:3" ht="23.25">
      <c r="A173" s="412">
        <v>91671</v>
      </c>
      <c r="B173" s="412" t="s">
        <v>890</v>
      </c>
      <c r="C173" s="413">
        <v>66579.100000000006</v>
      </c>
    </row>
    <row r="174" spans="1:3" ht="23.25">
      <c r="A174" s="412">
        <v>91681</v>
      </c>
      <c r="B174" s="412" t="s">
        <v>891</v>
      </c>
      <c r="C174" s="413">
        <v>524083.36000000004</v>
      </c>
    </row>
    <row r="175" spans="1:3" ht="23.25">
      <c r="A175" s="412">
        <v>91691</v>
      </c>
      <c r="B175" s="412" t="s">
        <v>892</v>
      </c>
      <c r="C175" s="413">
        <v>21953.759999999998</v>
      </c>
    </row>
    <row r="176" spans="1:3" ht="23.25">
      <c r="A176" s="412">
        <v>91701</v>
      </c>
      <c r="B176" s="412" t="s">
        <v>893</v>
      </c>
      <c r="C176" s="413">
        <v>867773.02999999991</v>
      </c>
    </row>
    <row r="177" spans="1:3" ht="23.25">
      <c r="A177" s="412">
        <v>91704</v>
      </c>
      <c r="B177" s="412" t="s">
        <v>894</v>
      </c>
      <c r="C177" s="413">
        <v>15032.4</v>
      </c>
    </row>
    <row r="178" spans="1:3" ht="23.25">
      <c r="A178" s="412">
        <v>91706</v>
      </c>
      <c r="B178" s="412" t="s">
        <v>895</v>
      </c>
      <c r="C178" s="413">
        <v>177671.46</v>
      </c>
    </row>
    <row r="179" spans="1:3" ht="23.25">
      <c r="A179" s="412">
        <v>91719</v>
      </c>
      <c r="B179" s="412" t="s">
        <v>896</v>
      </c>
      <c r="C179" s="413">
        <v>34773.620000000003</v>
      </c>
    </row>
    <row r="180" spans="1:3" ht="23.25">
      <c r="A180" s="412">
        <v>91801</v>
      </c>
      <c r="B180" s="412" t="s">
        <v>897</v>
      </c>
      <c r="C180" s="413">
        <v>5763805.3799999999</v>
      </c>
    </row>
    <row r="181" spans="1:3" ht="23.25">
      <c r="A181" s="412">
        <v>91804</v>
      </c>
      <c r="B181" s="412" t="s">
        <v>898</v>
      </c>
      <c r="C181" s="413">
        <v>159241.04</v>
      </c>
    </row>
    <row r="182" spans="1:3" ht="23.25">
      <c r="A182" s="412">
        <v>91811</v>
      </c>
      <c r="B182" s="412" t="s">
        <v>899</v>
      </c>
      <c r="C182" s="413">
        <v>3078603.2399999993</v>
      </c>
    </row>
    <row r="183" spans="1:3" ht="23.25">
      <c r="A183" s="412">
        <v>91812</v>
      </c>
      <c r="B183" s="412" t="s">
        <v>900</v>
      </c>
      <c r="C183" s="413">
        <v>44136.35</v>
      </c>
    </row>
    <row r="184" spans="1:3" ht="23.25">
      <c r="A184" s="412">
        <v>91813</v>
      </c>
      <c r="B184" s="412" t="s">
        <v>901</v>
      </c>
      <c r="C184" s="413">
        <v>57166.47</v>
      </c>
    </row>
    <row r="185" spans="1:3" ht="23.25">
      <c r="A185" s="412">
        <v>91818</v>
      </c>
      <c r="B185" s="412" t="s">
        <v>902</v>
      </c>
      <c r="C185" s="413">
        <v>347993.73</v>
      </c>
    </row>
    <row r="186" spans="1:3" ht="23.25">
      <c r="A186" s="412">
        <v>91819</v>
      </c>
      <c r="B186" s="412" t="s">
        <v>903</v>
      </c>
      <c r="C186" s="413">
        <v>198602.03</v>
      </c>
    </row>
    <row r="187" spans="1:3" ht="23.25">
      <c r="A187" s="412">
        <v>91821</v>
      </c>
      <c r="B187" s="412" t="s">
        <v>904</v>
      </c>
      <c r="C187" s="413">
        <v>117723.81999999999</v>
      </c>
    </row>
    <row r="188" spans="1:3" ht="23.25">
      <c r="A188" s="412">
        <v>91831</v>
      </c>
      <c r="B188" s="412" t="s">
        <v>905</v>
      </c>
      <c r="C188" s="413">
        <v>285954.22000000003</v>
      </c>
    </row>
    <row r="189" spans="1:3" ht="23.25">
      <c r="A189" s="412">
        <v>91841</v>
      </c>
      <c r="B189" s="412" t="s">
        <v>906</v>
      </c>
      <c r="C189" s="413">
        <v>204797.95</v>
      </c>
    </row>
    <row r="190" spans="1:3" ht="23.25">
      <c r="A190" s="412">
        <v>91851</v>
      </c>
      <c r="B190" s="412" t="s">
        <v>907</v>
      </c>
      <c r="C190" s="413">
        <v>527355.5</v>
      </c>
    </row>
    <row r="191" spans="1:3" ht="23.25">
      <c r="A191" s="412">
        <v>91861</v>
      </c>
      <c r="B191" s="412" t="s">
        <v>908</v>
      </c>
      <c r="C191" s="413">
        <v>4873.26</v>
      </c>
    </row>
    <row r="192" spans="1:3" ht="23.25">
      <c r="A192" s="412">
        <v>91871</v>
      </c>
      <c r="B192" s="412" t="s">
        <v>909</v>
      </c>
      <c r="C192" s="413">
        <v>940691.85999999987</v>
      </c>
    </row>
    <row r="193" spans="1:3" ht="23.25">
      <c r="A193" s="412">
        <v>91881</v>
      </c>
      <c r="B193" s="412" t="s">
        <v>910</v>
      </c>
      <c r="C193" s="413">
        <v>11408.56</v>
      </c>
    </row>
    <row r="194" spans="1:3" ht="23.25">
      <c r="A194" s="412">
        <v>91901</v>
      </c>
      <c r="B194" s="412" t="s">
        <v>911</v>
      </c>
      <c r="C194" s="413">
        <v>2642077.12</v>
      </c>
    </row>
    <row r="195" spans="1:3" ht="23.25">
      <c r="A195" s="412">
        <v>91903</v>
      </c>
      <c r="B195" s="412" t="s">
        <v>912</v>
      </c>
      <c r="C195" s="413">
        <v>8849.8799999999992</v>
      </c>
    </row>
    <row r="196" spans="1:3" ht="23.25">
      <c r="A196" s="412">
        <v>91904</v>
      </c>
      <c r="B196" s="412" t="s">
        <v>913</v>
      </c>
      <c r="C196" s="413">
        <v>44421.850000000006</v>
      </c>
    </row>
    <row r="197" spans="1:3" ht="23.25">
      <c r="A197" s="412">
        <v>91908</v>
      </c>
      <c r="B197" s="412" t="s">
        <v>914</v>
      </c>
      <c r="C197" s="413">
        <v>8203.5</v>
      </c>
    </row>
    <row r="198" spans="1:3" ht="23.25">
      <c r="A198" s="412">
        <v>91911</v>
      </c>
      <c r="B198" s="412" t="s">
        <v>915</v>
      </c>
      <c r="C198" s="413">
        <v>397973.83</v>
      </c>
    </row>
    <row r="199" spans="1:3" ht="23.25">
      <c r="A199" s="412">
        <v>91917</v>
      </c>
      <c r="B199" s="412" t="s">
        <v>916</v>
      </c>
      <c r="C199" s="413">
        <v>13678.47</v>
      </c>
    </row>
    <row r="200" spans="1:3" ht="23.25">
      <c r="A200" s="412">
        <v>91921</v>
      </c>
      <c r="B200" s="412" t="s">
        <v>917</v>
      </c>
      <c r="C200" s="413">
        <v>250427.37</v>
      </c>
    </row>
    <row r="201" spans="1:3" ht="23.25">
      <c r="A201" s="412">
        <v>92001</v>
      </c>
      <c r="B201" s="412" t="s">
        <v>918</v>
      </c>
      <c r="C201" s="413">
        <v>1324005.1200000003</v>
      </c>
    </row>
    <row r="202" spans="1:3" ht="23.25">
      <c r="A202" s="412">
        <v>92005</v>
      </c>
      <c r="B202" s="412" t="s">
        <v>919</v>
      </c>
      <c r="C202" s="413">
        <v>29967.43</v>
      </c>
    </row>
    <row r="203" spans="1:3" ht="23.25">
      <c r="A203" s="412">
        <v>92011</v>
      </c>
      <c r="B203" s="412" t="s">
        <v>920</v>
      </c>
      <c r="C203" s="413">
        <v>137326.04</v>
      </c>
    </row>
    <row r="204" spans="1:3" ht="23.25">
      <c r="A204" s="412">
        <v>92017</v>
      </c>
      <c r="B204" s="412" t="s">
        <v>921</v>
      </c>
      <c r="C204" s="413">
        <v>27594.04</v>
      </c>
    </row>
    <row r="205" spans="1:3" ht="23.25">
      <c r="A205" s="412">
        <v>92021</v>
      </c>
      <c r="B205" s="412" t="s">
        <v>922</v>
      </c>
      <c r="C205" s="413">
        <v>77352.260000000009</v>
      </c>
    </row>
    <row r="206" spans="1:3" ht="23.25">
      <c r="A206" s="412">
        <v>92101</v>
      </c>
      <c r="B206" s="412" t="s">
        <v>923</v>
      </c>
      <c r="C206" s="413">
        <v>539031</v>
      </c>
    </row>
    <row r="207" spans="1:3" ht="23.25">
      <c r="A207" s="412">
        <v>92104</v>
      </c>
      <c r="B207" s="412" t="s">
        <v>924</v>
      </c>
      <c r="C207" s="413">
        <v>7971.12</v>
      </c>
    </row>
    <row r="208" spans="1:3" ht="23.25">
      <c r="A208" s="412">
        <v>92109</v>
      </c>
      <c r="B208" s="412" t="s">
        <v>925</v>
      </c>
      <c r="C208" s="413">
        <v>144616.68</v>
      </c>
    </row>
    <row r="209" spans="1:3" ht="23.25">
      <c r="A209" s="412">
        <v>92111</v>
      </c>
      <c r="B209" s="412" t="s">
        <v>926</v>
      </c>
      <c r="C209" s="413">
        <v>378947.13</v>
      </c>
    </row>
    <row r="210" spans="1:3" ht="23.25">
      <c r="A210" s="412">
        <v>92113</v>
      </c>
      <c r="B210" s="412" t="s">
        <v>927</v>
      </c>
      <c r="C210" s="413">
        <v>17640.580000000002</v>
      </c>
    </row>
    <row r="211" spans="1:3" ht="23.25">
      <c r="A211" s="412">
        <v>92201</v>
      </c>
      <c r="B211" s="412" t="s">
        <v>928</v>
      </c>
      <c r="C211" s="413">
        <v>707670.4</v>
      </c>
    </row>
    <row r="212" spans="1:3" ht="23.25">
      <c r="A212" s="412">
        <v>92214</v>
      </c>
      <c r="B212" s="412" t="s">
        <v>1925</v>
      </c>
      <c r="C212" s="413">
        <v>16782.599999999999</v>
      </c>
    </row>
    <row r="213" spans="1:3" ht="23.25">
      <c r="A213" s="412">
        <v>92301</v>
      </c>
      <c r="B213" s="412" t="s">
        <v>929</v>
      </c>
      <c r="C213" s="413">
        <v>3543635.03</v>
      </c>
    </row>
    <row r="214" spans="1:3" ht="23.25">
      <c r="A214" s="412">
        <v>92302</v>
      </c>
      <c r="B214" s="412" t="s">
        <v>930</v>
      </c>
      <c r="C214" s="413">
        <v>213219</v>
      </c>
    </row>
    <row r="215" spans="1:3" ht="23.25">
      <c r="A215" s="412">
        <v>92311</v>
      </c>
      <c r="B215" s="412" t="s">
        <v>931</v>
      </c>
      <c r="C215" s="413">
        <v>1557217.23</v>
      </c>
    </row>
    <row r="216" spans="1:3" ht="23.25">
      <c r="A216" s="412">
        <v>92317</v>
      </c>
      <c r="B216" s="412" t="s">
        <v>932</v>
      </c>
      <c r="C216" s="413">
        <v>36326.69</v>
      </c>
    </row>
    <row r="217" spans="1:3" ht="23.25">
      <c r="A217" s="412">
        <v>92321</v>
      </c>
      <c r="B217" s="412" t="s">
        <v>933</v>
      </c>
      <c r="C217" s="413">
        <v>946617.83000000007</v>
      </c>
    </row>
    <row r="218" spans="1:3" ht="23.25">
      <c r="A218" s="412">
        <v>92327</v>
      </c>
      <c r="B218" s="412" t="s">
        <v>934</v>
      </c>
      <c r="C218" s="413">
        <v>10246.07</v>
      </c>
    </row>
    <row r="219" spans="1:3" ht="23.25">
      <c r="A219" s="412">
        <v>92331</v>
      </c>
      <c r="B219" s="412" t="s">
        <v>935</v>
      </c>
      <c r="C219" s="413">
        <v>121447.9</v>
      </c>
    </row>
    <row r="220" spans="1:3" ht="23.25">
      <c r="A220" s="412">
        <v>92341</v>
      </c>
      <c r="B220" s="412" t="s">
        <v>936</v>
      </c>
      <c r="C220" s="413">
        <v>4704.66</v>
      </c>
    </row>
    <row r="221" spans="1:3" ht="23.25">
      <c r="A221" s="412">
        <v>92351</v>
      </c>
      <c r="B221" s="412" t="s">
        <v>937</v>
      </c>
      <c r="C221" s="413">
        <v>18673.22</v>
      </c>
    </row>
    <row r="222" spans="1:3" ht="23.25">
      <c r="A222" s="412">
        <v>92401</v>
      </c>
      <c r="B222" s="412" t="s">
        <v>938</v>
      </c>
      <c r="C222" s="413">
        <v>2032065.3800000001</v>
      </c>
    </row>
    <row r="223" spans="1:3" ht="23.25">
      <c r="A223" s="412">
        <v>92403</v>
      </c>
      <c r="B223" s="412" t="s">
        <v>939</v>
      </c>
      <c r="C223" s="413">
        <v>14613.95</v>
      </c>
    </row>
    <row r="224" spans="1:3" ht="23.25">
      <c r="A224" s="412">
        <v>92411</v>
      </c>
      <c r="B224" s="412" t="s">
        <v>940</v>
      </c>
      <c r="C224" s="413">
        <v>329951.02999999997</v>
      </c>
    </row>
    <row r="225" spans="1:3" ht="23.25">
      <c r="A225" s="412">
        <v>92414</v>
      </c>
      <c r="B225" s="412" t="s">
        <v>70</v>
      </c>
      <c r="C225" s="413">
        <v>0</v>
      </c>
    </row>
    <row r="226" spans="1:3" ht="23.25">
      <c r="A226" s="412">
        <v>92417</v>
      </c>
      <c r="B226" s="412" t="s">
        <v>941</v>
      </c>
      <c r="C226" s="413">
        <v>5068.51</v>
      </c>
    </row>
    <row r="227" spans="1:3" ht="23.25">
      <c r="A227" s="412">
        <v>92421</v>
      </c>
      <c r="B227" s="412" t="s">
        <v>942</v>
      </c>
      <c r="C227" s="413">
        <v>12549.91</v>
      </c>
    </row>
    <row r="228" spans="1:3" ht="23.25">
      <c r="A228" s="412">
        <v>92427</v>
      </c>
      <c r="B228" s="412" t="s">
        <v>943</v>
      </c>
      <c r="C228" s="413">
        <v>2352.48</v>
      </c>
    </row>
    <row r="229" spans="1:3" ht="23.25">
      <c r="A229" s="412">
        <v>92431</v>
      </c>
      <c r="B229" s="412" t="s">
        <v>944</v>
      </c>
      <c r="C229" s="413">
        <v>24973.559999999998</v>
      </c>
    </row>
    <row r="230" spans="1:3" ht="23.25">
      <c r="A230" s="412">
        <v>92441</v>
      </c>
      <c r="B230" s="412" t="s">
        <v>945</v>
      </c>
      <c r="C230" s="413">
        <v>69280.89</v>
      </c>
    </row>
    <row r="231" spans="1:3" ht="23.25">
      <c r="A231" s="412">
        <v>92444</v>
      </c>
      <c r="B231" s="412" t="s">
        <v>946</v>
      </c>
      <c r="C231" s="413">
        <v>6780.12</v>
      </c>
    </row>
    <row r="232" spans="1:3" ht="23.25">
      <c r="A232" s="412">
        <v>92451</v>
      </c>
      <c r="B232" s="412" t="s">
        <v>947</v>
      </c>
      <c r="C232" s="413">
        <v>108275.36</v>
      </c>
    </row>
    <row r="233" spans="1:3" ht="23.25">
      <c r="A233" s="412">
        <v>92461</v>
      </c>
      <c r="B233" s="412" t="s">
        <v>948</v>
      </c>
      <c r="C233" s="413">
        <v>62330.5</v>
      </c>
    </row>
    <row r="234" spans="1:3" ht="23.25">
      <c r="A234" s="412">
        <v>92501</v>
      </c>
      <c r="B234" s="412" t="s">
        <v>949</v>
      </c>
      <c r="C234" s="413">
        <v>3031780.8000000003</v>
      </c>
    </row>
    <row r="235" spans="1:3" ht="23.25">
      <c r="A235" s="412">
        <v>92502</v>
      </c>
      <c r="B235" s="412" t="s">
        <v>950</v>
      </c>
      <c r="C235" s="413">
        <v>23600.83</v>
      </c>
    </row>
    <row r="236" spans="1:3" ht="23.25">
      <c r="A236" s="412">
        <v>92504</v>
      </c>
      <c r="B236" s="412" t="s">
        <v>951</v>
      </c>
      <c r="C236" s="413">
        <v>80068.39</v>
      </c>
    </row>
    <row r="237" spans="1:3" ht="23.25">
      <c r="A237" s="412">
        <v>92505</v>
      </c>
      <c r="B237" s="412" t="s">
        <v>952</v>
      </c>
      <c r="C237" s="413">
        <v>86965.6</v>
      </c>
    </row>
    <row r="238" spans="1:3" ht="23.25">
      <c r="A238" s="412">
        <v>92506</v>
      </c>
      <c r="B238" s="412" t="s">
        <v>953</v>
      </c>
      <c r="C238" s="413">
        <v>60378.239999999998</v>
      </c>
    </row>
    <row r="239" spans="1:3" ht="23.25">
      <c r="A239" s="412">
        <v>92507</v>
      </c>
      <c r="B239" s="412" t="s">
        <v>954</v>
      </c>
      <c r="C239" s="413">
        <v>70311.960000000006</v>
      </c>
    </row>
    <row r="240" spans="1:3" ht="23.25">
      <c r="A240" s="412">
        <v>92508</v>
      </c>
      <c r="B240" s="412" t="s">
        <v>955</v>
      </c>
      <c r="C240" s="413">
        <v>247085.96</v>
      </c>
    </row>
    <row r="241" spans="1:3" ht="23.25">
      <c r="A241" s="412">
        <v>92509</v>
      </c>
      <c r="B241" s="412" t="s">
        <v>3753</v>
      </c>
      <c r="C241" s="413">
        <v>0</v>
      </c>
    </row>
    <row r="242" spans="1:3" ht="23.25">
      <c r="A242" s="412">
        <v>92511</v>
      </c>
      <c r="B242" s="412" t="s">
        <v>956</v>
      </c>
      <c r="C242" s="413">
        <v>2391643.94</v>
      </c>
    </row>
    <row r="243" spans="1:3" ht="23.25">
      <c r="A243" s="412">
        <v>92513</v>
      </c>
      <c r="B243" s="412" t="s">
        <v>957</v>
      </c>
      <c r="C243" s="413">
        <v>2824939.16</v>
      </c>
    </row>
    <row r="244" spans="1:3" ht="23.25">
      <c r="A244" s="412">
        <v>92521</v>
      </c>
      <c r="B244" s="412" t="s">
        <v>958</v>
      </c>
      <c r="C244" s="413">
        <v>56055.3</v>
      </c>
    </row>
    <row r="245" spans="1:3" ht="23.25">
      <c r="A245" s="412">
        <v>92531</v>
      </c>
      <c r="B245" s="412" t="s">
        <v>959</v>
      </c>
      <c r="C245" s="413">
        <v>558905.56999999995</v>
      </c>
    </row>
    <row r="246" spans="1:3" ht="23.25">
      <c r="A246" s="412">
        <v>92541</v>
      </c>
      <c r="B246" s="412" t="s">
        <v>960</v>
      </c>
      <c r="C246" s="413">
        <v>106135.64000000001</v>
      </c>
    </row>
    <row r="247" spans="1:3" ht="23.25">
      <c r="A247" s="412">
        <v>92551</v>
      </c>
      <c r="B247" s="412" t="s">
        <v>961</v>
      </c>
      <c r="C247" s="413">
        <v>35651.64</v>
      </c>
    </row>
    <row r="248" spans="1:3" ht="23.25">
      <c r="A248" s="412">
        <v>92561</v>
      </c>
      <c r="B248" s="412" t="s">
        <v>962</v>
      </c>
      <c r="C248" s="413">
        <v>14939.15</v>
      </c>
    </row>
    <row r="249" spans="1:3" ht="23.25">
      <c r="A249" s="412">
        <v>92571</v>
      </c>
      <c r="B249" s="412" t="s">
        <v>963</v>
      </c>
      <c r="C249" s="413">
        <v>5898.23</v>
      </c>
    </row>
    <row r="250" spans="1:3" ht="23.25">
      <c r="A250" s="412">
        <v>92601</v>
      </c>
      <c r="B250" s="412" t="s">
        <v>964</v>
      </c>
      <c r="C250" s="413">
        <v>9614369.5199999996</v>
      </c>
    </row>
    <row r="251" spans="1:3" ht="23.25">
      <c r="A251" s="412">
        <v>92602</v>
      </c>
      <c r="B251" s="412" t="s">
        <v>965</v>
      </c>
      <c r="C251" s="413">
        <v>3549.66</v>
      </c>
    </row>
    <row r="252" spans="1:3" ht="23.25">
      <c r="A252" s="412">
        <v>92604</v>
      </c>
      <c r="B252" s="412" t="s">
        <v>966</v>
      </c>
      <c r="C252" s="413">
        <v>251028.08</v>
      </c>
    </row>
    <row r="253" spans="1:3" ht="23.25">
      <c r="A253" s="412">
        <v>92607</v>
      </c>
      <c r="B253" s="412" t="s">
        <v>967</v>
      </c>
      <c r="C253" s="413">
        <v>64604.480000000003</v>
      </c>
    </row>
    <row r="254" spans="1:3" ht="23.25">
      <c r="A254" s="412">
        <v>92608</v>
      </c>
      <c r="B254" s="412" t="s">
        <v>3712</v>
      </c>
      <c r="C254" s="413">
        <v>0</v>
      </c>
    </row>
    <row r="255" spans="1:3" ht="23.25">
      <c r="A255" s="412">
        <v>92611</v>
      </c>
      <c r="B255" s="412" t="s">
        <v>969</v>
      </c>
      <c r="C255" s="413">
        <v>8192297.0700000003</v>
      </c>
    </row>
    <row r="256" spans="1:3" ht="23.25">
      <c r="A256" s="412">
        <v>92613</v>
      </c>
      <c r="B256" s="412" t="s">
        <v>970</v>
      </c>
      <c r="C256" s="413">
        <v>205940.38</v>
      </c>
    </row>
    <row r="257" spans="1:3" ht="23.25">
      <c r="A257" s="412">
        <v>92614</v>
      </c>
      <c r="B257" s="412" t="s">
        <v>971</v>
      </c>
      <c r="C257" s="413">
        <v>7167580.71</v>
      </c>
    </row>
    <row r="258" spans="1:3" ht="23.25">
      <c r="A258" s="412">
        <v>92621</v>
      </c>
      <c r="B258" s="412" t="s">
        <v>972</v>
      </c>
      <c r="C258" s="413">
        <v>22969.690000000002</v>
      </c>
    </row>
    <row r="259" spans="1:3" ht="23.25">
      <c r="A259" s="412">
        <v>92631</v>
      </c>
      <c r="B259" s="412" t="s">
        <v>973</v>
      </c>
      <c r="C259" s="413">
        <v>608667.3600000001</v>
      </c>
    </row>
    <row r="260" spans="1:3" ht="23.25">
      <c r="A260" s="412">
        <v>92641</v>
      </c>
      <c r="B260" s="412" t="s">
        <v>974</v>
      </c>
      <c r="C260" s="413">
        <v>11238.19</v>
      </c>
    </row>
    <row r="261" spans="1:3" ht="23.25">
      <c r="A261" s="412">
        <v>92651</v>
      </c>
      <c r="B261" s="412" t="s">
        <v>975</v>
      </c>
      <c r="C261" s="413">
        <v>3976.88</v>
      </c>
    </row>
    <row r="262" spans="1:3" ht="23.25">
      <c r="A262" s="412">
        <v>92661</v>
      </c>
      <c r="B262" s="412" t="s">
        <v>976</v>
      </c>
      <c r="C262" s="413">
        <v>710996.62000000011</v>
      </c>
    </row>
    <row r="263" spans="1:3" ht="23.25">
      <c r="A263" s="412">
        <v>92671</v>
      </c>
      <c r="B263" s="412" t="s">
        <v>977</v>
      </c>
      <c r="C263" s="413">
        <v>7074.77</v>
      </c>
    </row>
    <row r="264" spans="1:3" ht="23.25">
      <c r="A264" s="412">
        <v>92681</v>
      </c>
      <c r="B264" s="412" t="s">
        <v>978</v>
      </c>
      <c r="C264" s="413">
        <v>4518.1000000000004</v>
      </c>
    </row>
    <row r="265" spans="1:3" ht="23.25">
      <c r="A265" s="412">
        <v>92701</v>
      </c>
      <c r="B265" s="412" t="s">
        <v>979</v>
      </c>
      <c r="C265" s="413">
        <v>2310409.62</v>
      </c>
    </row>
    <row r="266" spans="1:3" ht="23.25">
      <c r="A266" s="412">
        <v>92704</v>
      </c>
      <c r="B266" s="412" t="s">
        <v>980</v>
      </c>
      <c r="C266" s="413">
        <v>31479.279999999999</v>
      </c>
    </row>
    <row r="267" spans="1:3" ht="23.25">
      <c r="A267" s="412">
        <v>92801</v>
      </c>
      <c r="B267" s="412" t="s">
        <v>981</v>
      </c>
      <c r="C267" s="413">
        <v>4130075.35</v>
      </c>
    </row>
    <row r="268" spans="1:3" ht="23.25">
      <c r="A268" s="412">
        <v>92802</v>
      </c>
      <c r="B268" s="412" t="s">
        <v>982</v>
      </c>
      <c r="C268" s="413">
        <v>74585.990000000005</v>
      </c>
    </row>
    <row r="269" spans="1:3" ht="23.25">
      <c r="A269" s="412">
        <v>92804</v>
      </c>
      <c r="B269" s="412" t="s">
        <v>983</v>
      </c>
      <c r="C269" s="413">
        <v>96440.220000000016</v>
      </c>
    </row>
    <row r="270" spans="1:3" ht="23.25">
      <c r="A270" s="412">
        <v>92811</v>
      </c>
      <c r="B270" s="412" t="s">
        <v>984</v>
      </c>
      <c r="C270" s="413">
        <v>700764.22</v>
      </c>
    </row>
    <row r="271" spans="1:3" ht="23.25">
      <c r="A271" s="412">
        <v>92821</v>
      </c>
      <c r="B271" s="412" t="s">
        <v>985</v>
      </c>
      <c r="C271" s="413">
        <v>794202.36</v>
      </c>
    </row>
    <row r="272" spans="1:3" ht="23.25">
      <c r="A272" s="412">
        <v>92831</v>
      </c>
      <c r="B272" s="412" t="s">
        <v>986</v>
      </c>
      <c r="C272" s="413">
        <v>209598.74</v>
      </c>
    </row>
    <row r="273" spans="1:3" ht="23.25">
      <c r="A273" s="412">
        <v>92841</v>
      </c>
      <c r="B273" s="412" t="s">
        <v>987</v>
      </c>
      <c r="C273" s="413">
        <v>180450.93</v>
      </c>
    </row>
    <row r="274" spans="1:3" ht="23.25">
      <c r="A274" s="412">
        <v>92851</v>
      </c>
      <c r="B274" s="412" t="s">
        <v>988</v>
      </c>
      <c r="C274" s="413">
        <v>276729.8</v>
      </c>
    </row>
    <row r="275" spans="1:3" ht="23.25">
      <c r="A275" s="412">
        <v>92861</v>
      </c>
      <c r="B275" s="412" t="s">
        <v>989</v>
      </c>
      <c r="C275" s="413">
        <v>227071.46999999997</v>
      </c>
    </row>
    <row r="276" spans="1:3" ht="23.25">
      <c r="A276" s="412">
        <v>92901</v>
      </c>
      <c r="B276" s="412" t="s">
        <v>990</v>
      </c>
      <c r="C276" s="413">
        <v>4077202.2</v>
      </c>
    </row>
    <row r="277" spans="1:3" ht="23.25">
      <c r="A277" s="412">
        <v>92911</v>
      </c>
      <c r="B277" s="412" t="s">
        <v>991</v>
      </c>
      <c r="C277" s="413">
        <v>1478387.45</v>
      </c>
    </row>
    <row r="278" spans="1:3" ht="23.25">
      <c r="A278" s="412">
        <v>92913</v>
      </c>
      <c r="B278" s="412" t="s">
        <v>992</v>
      </c>
      <c r="C278" s="413">
        <v>73923</v>
      </c>
    </row>
    <row r="279" spans="1:3" ht="23.25">
      <c r="A279" s="412">
        <v>92914</v>
      </c>
      <c r="B279" s="412" t="s">
        <v>993</v>
      </c>
      <c r="C279" s="413">
        <v>29574.37</v>
      </c>
    </row>
    <row r="280" spans="1:3" ht="23.25">
      <c r="A280" s="412">
        <v>92917</v>
      </c>
      <c r="B280" s="412" t="s">
        <v>994</v>
      </c>
      <c r="C280" s="413">
        <v>26229.03</v>
      </c>
    </row>
    <row r="281" spans="1:3" ht="23.25">
      <c r="A281" s="412">
        <v>92921</v>
      </c>
      <c r="B281" s="412" t="s">
        <v>995</v>
      </c>
      <c r="C281" s="413">
        <v>69521.850000000006</v>
      </c>
    </row>
    <row r="282" spans="1:3" ht="23.25">
      <c r="A282" s="412">
        <v>92931</v>
      </c>
      <c r="B282" s="412" t="s">
        <v>996</v>
      </c>
      <c r="C282" s="413">
        <v>1626612.1099999999</v>
      </c>
    </row>
    <row r="283" spans="1:3" ht="23.25">
      <c r="A283" s="412">
        <v>92941</v>
      </c>
      <c r="B283" s="412" t="s">
        <v>81</v>
      </c>
      <c r="C283" s="413">
        <v>4675.59</v>
      </c>
    </row>
    <row r="284" spans="1:3" ht="23.25">
      <c r="A284" s="412">
        <v>93001</v>
      </c>
      <c r="B284" s="412" t="s">
        <v>997</v>
      </c>
      <c r="C284" s="413">
        <v>1673152.47</v>
      </c>
    </row>
    <row r="285" spans="1:3" ht="23.25">
      <c r="A285" s="412">
        <v>93009</v>
      </c>
      <c r="B285" s="412" t="s">
        <v>998</v>
      </c>
      <c r="C285" s="413">
        <v>4317.72</v>
      </c>
    </row>
    <row r="286" spans="1:3" ht="23.25">
      <c r="A286" s="412">
        <v>93011</v>
      </c>
      <c r="B286" s="412" t="s">
        <v>999</v>
      </c>
      <c r="C286" s="413">
        <v>207939.12</v>
      </c>
    </row>
    <row r="287" spans="1:3" ht="23.25">
      <c r="A287" s="412">
        <v>93021</v>
      </c>
      <c r="B287" s="412" t="s">
        <v>1000</v>
      </c>
      <c r="C287" s="413">
        <v>20395.46</v>
      </c>
    </row>
    <row r="288" spans="1:3" ht="23.25">
      <c r="A288" s="412">
        <v>93027</v>
      </c>
      <c r="B288" s="412" t="s">
        <v>1001</v>
      </c>
      <c r="C288" s="413">
        <v>0</v>
      </c>
    </row>
    <row r="289" spans="1:3" ht="23.25">
      <c r="A289" s="412">
        <v>93028</v>
      </c>
      <c r="B289" s="412" t="s">
        <v>3609</v>
      </c>
      <c r="C289" s="413">
        <v>11933.04</v>
      </c>
    </row>
    <row r="290" spans="1:3" ht="23.25">
      <c r="A290" s="412">
        <v>93031</v>
      </c>
      <c r="B290" s="412" t="s">
        <v>1002</v>
      </c>
      <c r="C290" s="413">
        <v>6908.7</v>
      </c>
    </row>
    <row r="291" spans="1:3" ht="23.25">
      <c r="A291" s="412">
        <v>93101</v>
      </c>
      <c r="B291" s="412" t="s">
        <v>1003</v>
      </c>
      <c r="C291" s="413">
        <v>2080427.4300000002</v>
      </c>
    </row>
    <row r="292" spans="1:3" ht="23.25">
      <c r="A292" s="412">
        <v>93108</v>
      </c>
      <c r="B292" s="412" t="s">
        <v>1004</v>
      </c>
      <c r="C292" s="413">
        <v>1796515.72</v>
      </c>
    </row>
    <row r="293" spans="1:3" ht="23.25">
      <c r="A293" s="412">
        <v>93111</v>
      </c>
      <c r="B293" s="412" t="s">
        <v>1005</v>
      </c>
      <c r="C293" s="413">
        <v>44992.93</v>
      </c>
    </row>
    <row r="294" spans="1:3" ht="23.25">
      <c r="A294" s="412">
        <v>93121</v>
      </c>
      <c r="B294" s="412" t="s">
        <v>1006</v>
      </c>
      <c r="C294" s="413">
        <v>45219.19</v>
      </c>
    </row>
    <row r="295" spans="1:3" ht="23.25">
      <c r="A295" s="412">
        <v>93127</v>
      </c>
      <c r="B295" s="412" t="s">
        <v>1007</v>
      </c>
      <c r="C295" s="413">
        <v>3648</v>
      </c>
    </row>
    <row r="296" spans="1:3" ht="23.25">
      <c r="A296" s="412">
        <v>93131</v>
      </c>
      <c r="B296" s="412" t="s">
        <v>1008</v>
      </c>
      <c r="C296" s="413">
        <v>136822.90999999997</v>
      </c>
    </row>
    <row r="297" spans="1:3" ht="23.25">
      <c r="A297" s="412">
        <v>93137</v>
      </c>
      <c r="B297" s="412" t="s">
        <v>1009</v>
      </c>
      <c r="C297" s="413">
        <v>5502.12</v>
      </c>
    </row>
    <row r="298" spans="1:3" ht="23.25">
      <c r="A298" s="412">
        <v>93141</v>
      </c>
      <c r="B298" s="412" t="s">
        <v>1010</v>
      </c>
      <c r="C298" s="413">
        <v>24148.49</v>
      </c>
    </row>
    <row r="299" spans="1:3" ht="23.25">
      <c r="A299" s="412">
        <v>93151</v>
      </c>
      <c r="B299" s="412" t="s">
        <v>1011</v>
      </c>
      <c r="C299" s="413">
        <v>259401.87</v>
      </c>
    </row>
    <row r="300" spans="1:3" ht="23.25">
      <c r="A300" s="412">
        <v>93157</v>
      </c>
      <c r="B300" s="412" t="s">
        <v>1012</v>
      </c>
      <c r="C300" s="413">
        <v>8350.82</v>
      </c>
    </row>
    <row r="301" spans="1:3" ht="23.25">
      <c r="A301" s="412">
        <v>93161</v>
      </c>
      <c r="B301" s="412" t="s">
        <v>1013</v>
      </c>
      <c r="C301" s="413">
        <v>64394.59</v>
      </c>
    </row>
    <row r="302" spans="1:3" ht="23.25">
      <c r="A302" s="412">
        <v>93171</v>
      </c>
      <c r="B302" s="412" t="s">
        <v>1014</v>
      </c>
      <c r="C302" s="413">
        <v>8153.02</v>
      </c>
    </row>
    <row r="303" spans="1:3" ht="23.25">
      <c r="A303" s="412">
        <v>93181</v>
      </c>
      <c r="B303" s="412" t="s">
        <v>1015</v>
      </c>
      <c r="C303" s="413">
        <v>9724.2800000000007</v>
      </c>
    </row>
    <row r="304" spans="1:3" ht="23.25">
      <c r="A304" s="412">
        <v>93191</v>
      </c>
      <c r="B304" s="412" t="s">
        <v>1016</v>
      </c>
      <c r="C304" s="413">
        <v>29503.21</v>
      </c>
    </row>
    <row r="305" spans="1:3" ht="23.25">
      <c r="A305" s="412">
        <v>93201</v>
      </c>
      <c r="B305" s="412" t="s">
        <v>1017</v>
      </c>
      <c r="C305" s="413">
        <v>11692797.4</v>
      </c>
    </row>
    <row r="306" spans="1:3" ht="23.25">
      <c r="A306" s="412">
        <v>93202</v>
      </c>
      <c r="B306" s="412" t="s">
        <v>1018</v>
      </c>
      <c r="C306" s="413">
        <v>0</v>
      </c>
    </row>
    <row r="307" spans="1:3" ht="23.25">
      <c r="A307" s="412">
        <v>93204</v>
      </c>
      <c r="B307" s="412" t="s">
        <v>1019</v>
      </c>
      <c r="C307" s="413">
        <v>244462.96</v>
      </c>
    </row>
    <row r="308" spans="1:3" ht="23.25">
      <c r="A308" s="412">
        <v>93209</v>
      </c>
      <c r="B308" s="412" t="s">
        <v>3722</v>
      </c>
      <c r="C308" s="413">
        <v>3925617.86</v>
      </c>
    </row>
    <row r="309" spans="1:3" ht="23.25">
      <c r="A309" s="412">
        <v>93211</v>
      </c>
      <c r="B309" s="412" t="s">
        <v>1021</v>
      </c>
      <c r="C309" s="413">
        <v>16307368.299999997</v>
      </c>
    </row>
    <row r="310" spans="1:3" ht="23.25">
      <c r="A310" s="412">
        <v>93212</v>
      </c>
      <c r="B310" s="412" t="s">
        <v>1022</v>
      </c>
      <c r="C310" s="413">
        <v>222825.08000000002</v>
      </c>
    </row>
    <row r="311" spans="1:3" ht="23.25">
      <c r="A311" s="412">
        <v>93219</v>
      </c>
      <c r="B311" s="412" t="s">
        <v>1023</v>
      </c>
      <c r="C311" s="413">
        <v>209479.32</v>
      </c>
    </row>
    <row r="312" spans="1:3" ht="23.25">
      <c r="A312" s="412">
        <v>93301</v>
      </c>
      <c r="B312" s="412" t="s">
        <v>1024</v>
      </c>
      <c r="C312" s="413">
        <v>1798254.48</v>
      </c>
    </row>
    <row r="313" spans="1:3" ht="23.25">
      <c r="A313" s="412">
        <v>93304</v>
      </c>
      <c r="B313" s="412" t="s">
        <v>1025</v>
      </c>
      <c r="C313" s="413">
        <v>39119.54</v>
      </c>
    </row>
    <row r="314" spans="1:3" ht="23.25">
      <c r="A314" s="412">
        <v>93305</v>
      </c>
      <c r="B314" s="412" t="s">
        <v>1026</v>
      </c>
      <c r="C314" s="413">
        <v>24104.26</v>
      </c>
    </row>
    <row r="315" spans="1:3" ht="23.25">
      <c r="A315" s="412">
        <v>93309</v>
      </c>
      <c r="B315" s="412" t="s">
        <v>1027</v>
      </c>
      <c r="C315" s="413">
        <v>134277.42000000001</v>
      </c>
    </row>
    <row r="316" spans="1:3" ht="23.25">
      <c r="A316" s="412">
        <v>93311</v>
      </c>
      <c r="B316" s="412" t="s">
        <v>1028</v>
      </c>
      <c r="C316" s="413">
        <v>806617.55</v>
      </c>
    </row>
    <row r="317" spans="1:3" ht="23.25">
      <c r="A317" s="412">
        <v>93317</v>
      </c>
      <c r="B317" s="412" t="s">
        <v>1029</v>
      </c>
      <c r="C317" s="413">
        <v>35786.870000000003</v>
      </c>
    </row>
    <row r="318" spans="1:3" ht="23.25">
      <c r="A318" s="412">
        <v>93321</v>
      </c>
      <c r="B318" s="412" t="s">
        <v>1030</v>
      </c>
      <c r="C318" s="413">
        <v>4886773.0100000007</v>
      </c>
    </row>
    <row r="319" spans="1:3" ht="23.25">
      <c r="A319" s="412">
        <v>93323</v>
      </c>
      <c r="B319" s="412" t="s">
        <v>1031</v>
      </c>
      <c r="C319" s="413">
        <v>33522.61</v>
      </c>
    </row>
    <row r="320" spans="1:3" ht="23.25">
      <c r="A320" s="412">
        <v>93331</v>
      </c>
      <c r="B320" s="412" t="s">
        <v>1032</v>
      </c>
      <c r="C320" s="413">
        <v>83763.98</v>
      </c>
    </row>
    <row r="321" spans="1:3" ht="23.25">
      <c r="A321" s="412">
        <v>93333</v>
      </c>
      <c r="B321" s="412" t="s">
        <v>1033</v>
      </c>
      <c r="C321" s="413">
        <v>180252.96</v>
      </c>
    </row>
    <row r="322" spans="1:3" ht="23.25">
      <c r="A322" s="412">
        <v>93341</v>
      </c>
      <c r="B322" s="412" t="s">
        <v>1034</v>
      </c>
      <c r="C322" s="413">
        <v>22775.57</v>
      </c>
    </row>
    <row r="323" spans="1:3" ht="23.25">
      <c r="A323" s="412">
        <v>93351</v>
      </c>
      <c r="B323" s="412" t="s">
        <v>1035</v>
      </c>
      <c r="C323" s="413">
        <v>18972.37</v>
      </c>
    </row>
    <row r="324" spans="1:3" ht="23.25">
      <c r="A324" s="412">
        <v>93401</v>
      </c>
      <c r="B324" s="412" t="s">
        <v>1036</v>
      </c>
      <c r="C324" s="413">
        <v>9911446.8100000005</v>
      </c>
    </row>
    <row r="325" spans="1:3" ht="23.25">
      <c r="A325" s="412">
        <v>93402</v>
      </c>
      <c r="B325" s="412" t="s">
        <v>1037</v>
      </c>
      <c r="C325" s="413">
        <v>0</v>
      </c>
    </row>
    <row r="326" spans="1:3" ht="23.25">
      <c r="A326" s="412">
        <v>93406</v>
      </c>
      <c r="B326" s="412" t="s">
        <v>1038</v>
      </c>
      <c r="C326" s="413">
        <v>440626.79</v>
      </c>
    </row>
    <row r="327" spans="1:3" ht="23.25">
      <c r="A327" s="412">
        <v>93408</v>
      </c>
      <c r="B327" s="412" t="s">
        <v>1039</v>
      </c>
      <c r="C327" s="413">
        <v>0</v>
      </c>
    </row>
    <row r="328" spans="1:3" ht="23.25">
      <c r="A328" s="412">
        <v>93411</v>
      </c>
      <c r="B328" s="412" t="s">
        <v>1040</v>
      </c>
      <c r="C328" s="413">
        <v>12702344.119999997</v>
      </c>
    </row>
    <row r="329" spans="1:3" ht="23.25">
      <c r="A329" s="412">
        <v>93413</v>
      </c>
      <c r="B329" s="412" t="s">
        <v>1041</v>
      </c>
      <c r="C329" s="413">
        <v>520159.82</v>
      </c>
    </row>
    <row r="330" spans="1:3" ht="23.25">
      <c r="A330" s="412">
        <v>93417</v>
      </c>
      <c r="B330" s="412" t="s">
        <v>1042</v>
      </c>
      <c r="C330" s="413">
        <v>264517.35000000003</v>
      </c>
    </row>
    <row r="331" spans="1:3" ht="23.25">
      <c r="A331" s="412">
        <v>93421</v>
      </c>
      <c r="B331" s="412" t="s">
        <v>1043</v>
      </c>
      <c r="C331" s="413">
        <v>1371412.16</v>
      </c>
    </row>
    <row r="332" spans="1:3" ht="23.25">
      <c r="A332" s="412">
        <v>93431</v>
      </c>
      <c r="B332" s="412" t="s">
        <v>1044</v>
      </c>
      <c r="C332" s="413">
        <v>117477.76999999999</v>
      </c>
    </row>
    <row r="333" spans="1:3" ht="23.25">
      <c r="A333" s="412">
        <v>93441</v>
      </c>
      <c r="B333" s="412" t="s">
        <v>1045</v>
      </c>
      <c r="C333" s="413">
        <v>120629.89</v>
      </c>
    </row>
    <row r="334" spans="1:3" ht="23.25">
      <c r="A334" s="412">
        <v>93442</v>
      </c>
      <c r="B334" s="412" t="s">
        <v>1046</v>
      </c>
      <c r="C334" s="413">
        <v>99785.58</v>
      </c>
    </row>
    <row r="335" spans="1:3" ht="23.25">
      <c r="A335" s="412">
        <v>93451</v>
      </c>
      <c r="B335" s="412" t="s">
        <v>1047</v>
      </c>
      <c r="C335" s="413">
        <v>59770.76</v>
      </c>
    </row>
    <row r="336" spans="1:3" ht="23.25">
      <c r="A336" s="412">
        <v>93461</v>
      </c>
      <c r="B336" s="412" t="s">
        <v>1048</v>
      </c>
      <c r="C336" s="413">
        <v>11232.12</v>
      </c>
    </row>
    <row r="337" spans="1:3" ht="23.25">
      <c r="A337" s="412">
        <v>93471</v>
      </c>
      <c r="B337" s="412" t="s">
        <v>1049</v>
      </c>
      <c r="C337" s="413">
        <v>14443.85</v>
      </c>
    </row>
    <row r="338" spans="1:3" ht="23.25">
      <c r="A338" s="412">
        <v>93501</v>
      </c>
      <c r="B338" s="412" t="s">
        <v>1050</v>
      </c>
      <c r="C338" s="413">
        <v>2703784.07</v>
      </c>
    </row>
    <row r="339" spans="1:3" ht="23.25">
      <c r="A339" s="412">
        <v>93511</v>
      </c>
      <c r="B339" s="412" t="s">
        <v>1051</v>
      </c>
      <c r="C339" s="413">
        <v>73664.94</v>
      </c>
    </row>
    <row r="340" spans="1:3" ht="23.25">
      <c r="A340" s="412">
        <v>93517</v>
      </c>
      <c r="B340" s="412" t="s">
        <v>1052</v>
      </c>
      <c r="C340" s="413">
        <v>6935.52</v>
      </c>
    </row>
    <row r="341" spans="1:3" ht="23.25">
      <c r="A341" s="412">
        <v>93521</v>
      </c>
      <c r="B341" s="412" t="s">
        <v>1053</v>
      </c>
      <c r="C341" s="413">
        <v>361309.19</v>
      </c>
    </row>
    <row r="342" spans="1:3" ht="23.25">
      <c r="A342" s="412">
        <v>93527</v>
      </c>
      <c r="B342" s="412" t="s">
        <v>1054</v>
      </c>
      <c r="C342" s="413">
        <v>17060.580000000002</v>
      </c>
    </row>
    <row r="343" spans="1:3" ht="23.25">
      <c r="A343" s="412">
        <v>93531</v>
      </c>
      <c r="B343" s="412" t="s">
        <v>1055</v>
      </c>
      <c r="C343" s="413">
        <v>21746.12</v>
      </c>
    </row>
    <row r="344" spans="1:3" ht="23.25">
      <c r="A344" s="412">
        <v>93537</v>
      </c>
      <c r="B344" s="412" t="s">
        <v>1056</v>
      </c>
      <c r="C344" s="413">
        <v>5989.3</v>
      </c>
    </row>
    <row r="345" spans="1:3" ht="23.25">
      <c r="A345" s="412">
        <v>93541</v>
      </c>
      <c r="B345" s="412" t="s">
        <v>1057</v>
      </c>
      <c r="C345" s="413">
        <v>119145.17</v>
      </c>
    </row>
    <row r="346" spans="1:3" ht="23.25">
      <c r="A346" s="412">
        <v>93601</v>
      </c>
      <c r="B346" s="412" t="s">
        <v>1058</v>
      </c>
      <c r="C346" s="413">
        <v>8340980.9400000013</v>
      </c>
    </row>
    <row r="347" spans="1:3" ht="23.25">
      <c r="A347" s="412">
        <v>93602</v>
      </c>
      <c r="B347" s="412" t="s">
        <v>1059</v>
      </c>
      <c r="C347" s="413">
        <v>146607.51999999999</v>
      </c>
    </row>
    <row r="348" spans="1:3" ht="23.25">
      <c r="A348" s="412">
        <v>93604</v>
      </c>
      <c r="B348" s="412" t="s">
        <v>1926</v>
      </c>
      <c r="C348" s="413">
        <v>15424.31</v>
      </c>
    </row>
    <row r="349" spans="1:3" ht="23.25">
      <c r="A349" s="412">
        <v>93609</v>
      </c>
      <c r="B349" s="412" t="s">
        <v>1060</v>
      </c>
      <c r="C349" s="413">
        <v>2874062.71</v>
      </c>
    </row>
    <row r="350" spans="1:3" ht="23.25">
      <c r="A350" s="412">
        <v>93610</v>
      </c>
      <c r="B350" s="412" t="s">
        <v>1061</v>
      </c>
      <c r="C350" s="413">
        <v>10922.55</v>
      </c>
    </row>
    <row r="351" spans="1:3" ht="23.25">
      <c r="A351" s="412">
        <v>93611</v>
      </c>
      <c r="B351" s="412" t="s">
        <v>1062</v>
      </c>
      <c r="C351" s="413">
        <v>4931007.88</v>
      </c>
    </row>
    <row r="352" spans="1:3" ht="23.25">
      <c r="A352" s="412">
        <v>93617</v>
      </c>
      <c r="B352" s="412" t="s">
        <v>1063</v>
      </c>
      <c r="C352" s="413">
        <v>88153</v>
      </c>
    </row>
    <row r="353" spans="1:3" ht="23.25">
      <c r="A353" s="412">
        <v>93618</v>
      </c>
      <c r="B353" s="412" t="s">
        <v>1064</v>
      </c>
      <c r="C353" s="413">
        <v>31261.199999999997</v>
      </c>
    </row>
    <row r="354" spans="1:3" ht="23.25">
      <c r="A354" s="412">
        <v>93621</v>
      </c>
      <c r="B354" s="412" t="s">
        <v>1065</v>
      </c>
      <c r="C354" s="413">
        <v>811224.95000000007</v>
      </c>
    </row>
    <row r="355" spans="1:3" ht="23.25">
      <c r="A355" s="412">
        <v>93623</v>
      </c>
      <c r="B355" s="412" t="s">
        <v>1066</v>
      </c>
      <c r="C355" s="413">
        <v>9882.64</v>
      </c>
    </row>
    <row r="356" spans="1:3" ht="23.25">
      <c r="A356" s="412">
        <v>93631</v>
      </c>
      <c r="B356" s="412" t="s">
        <v>1067</v>
      </c>
      <c r="C356" s="413">
        <v>178910.3</v>
      </c>
    </row>
    <row r="357" spans="1:3" ht="23.25">
      <c r="A357" s="412">
        <v>93641</v>
      </c>
      <c r="B357" s="412" t="s">
        <v>1068</v>
      </c>
      <c r="C357" s="413">
        <v>323791.48</v>
      </c>
    </row>
    <row r="358" spans="1:3" ht="23.25">
      <c r="A358" s="412">
        <v>93647</v>
      </c>
      <c r="B358" s="412" t="s">
        <v>1069</v>
      </c>
      <c r="C358" s="413">
        <v>12646.400000000001</v>
      </c>
    </row>
    <row r="359" spans="1:3" ht="23.25">
      <c r="A359" s="412">
        <v>93651</v>
      </c>
      <c r="B359" s="412" t="s">
        <v>1070</v>
      </c>
      <c r="C359" s="413">
        <v>297038.21999999997</v>
      </c>
    </row>
    <row r="360" spans="1:3" ht="23.25">
      <c r="A360" s="412">
        <v>93661</v>
      </c>
      <c r="B360" s="412" t="s">
        <v>1071</v>
      </c>
      <c r="C360" s="413">
        <v>106817.88999999998</v>
      </c>
    </row>
    <row r="361" spans="1:3" ht="23.25">
      <c r="A361" s="412">
        <v>93671</v>
      </c>
      <c r="B361" s="412" t="s">
        <v>1072</v>
      </c>
      <c r="C361" s="413">
        <v>280832.56999999995</v>
      </c>
    </row>
    <row r="362" spans="1:3" ht="23.25">
      <c r="A362" s="412">
        <v>93681</v>
      </c>
      <c r="B362" s="412" t="s">
        <v>1073</v>
      </c>
      <c r="C362" s="413">
        <v>128435.91</v>
      </c>
    </row>
    <row r="363" spans="1:3" ht="23.25">
      <c r="A363" s="412">
        <v>93691</v>
      </c>
      <c r="B363" s="412" t="s">
        <v>1074</v>
      </c>
      <c r="C363" s="413">
        <v>699260.96</v>
      </c>
    </row>
    <row r="364" spans="1:3" ht="23.25">
      <c r="A364" s="412">
        <v>93701</v>
      </c>
      <c r="B364" s="412" t="s">
        <v>1075</v>
      </c>
      <c r="C364" s="413">
        <v>309891.37</v>
      </c>
    </row>
    <row r="365" spans="1:3" ht="23.25">
      <c r="A365" s="412">
        <v>93704</v>
      </c>
      <c r="B365" s="412" t="s">
        <v>1076</v>
      </c>
      <c r="C365" s="413">
        <v>3143.94</v>
      </c>
    </row>
    <row r="366" spans="1:3" ht="23.25">
      <c r="A366" s="412">
        <v>93801</v>
      </c>
      <c r="B366" s="412" t="s">
        <v>1077</v>
      </c>
      <c r="C366" s="413">
        <v>330869.57</v>
      </c>
    </row>
    <row r="367" spans="1:3" ht="23.25">
      <c r="A367" s="412">
        <v>93803</v>
      </c>
      <c r="B367" s="412" t="s">
        <v>1078</v>
      </c>
      <c r="C367" s="413">
        <v>84514.49</v>
      </c>
    </row>
    <row r="368" spans="1:3" ht="23.25">
      <c r="A368" s="412">
        <v>93806</v>
      </c>
      <c r="B368" s="412" t="s">
        <v>1079</v>
      </c>
      <c r="C368" s="413">
        <v>61729.71</v>
      </c>
    </row>
    <row r="369" spans="1:3" ht="23.25">
      <c r="A369" s="412">
        <v>93821</v>
      </c>
      <c r="B369" s="412" t="s">
        <v>1080</v>
      </c>
      <c r="C369" s="413">
        <v>46613.7</v>
      </c>
    </row>
    <row r="370" spans="1:3" ht="23.25">
      <c r="A370" s="412">
        <v>93901</v>
      </c>
      <c r="B370" s="412" t="s">
        <v>1081</v>
      </c>
      <c r="C370" s="413">
        <v>1504983.29</v>
      </c>
    </row>
    <row r="371" spans="1:3" ht="23.25">
      <c r="A371" s="412">
        <v>93904</v>
      </c>
      <c r="B371" s="412" t="s">
        <v>1082</v>
      </c>
      <c r="C371" s="413">
        <v>32951.03</v>
      </c>
    </row>
    <row r="372" spans="1:3" ht="23.25">
      <c r="A372" s="412">
        <v>93906</v>
      </c>
      <c r="B372" s="412" t="s">
        <v>1083</v>
      </c>
      <c r="C372" s="413">
        <v>2320216.08</v>
      </c>
    </row>
    <row r="373" spans="1:3" ht="23.25">
      <c r="A373" s="412">
        <v>93908</v>
      </c>
      <c r="B373" s="412" t="s">
        <v>1084</v>
      </c>
      <c r="C373" s="413">
        <v>449687.51</v>
      </c>
    </row>
    <row r="374" spans="1:3" ht="23.25">
      <c r="A374" s="412">
        <v>93910</v>
      </c>
      <c r="B374" s="412" t="s">
        <v>1085</v>
      </c>
      <c r="C374" s="413">
        <v>242648.06</v>
      </c>
    </row>
    <row r="375" spans="1:3" ht="23.25">
      <c r="A375" s="412">
        <v>93911</v>
      </c>
      <c r="B375" s="412" t="s">
        <v>1086</v>
      </c>
      <c r="C375" s="413">
        <v>445640.93000000005</v>
      </c>
    </row>
    <row r="376" spans="1:3" ht="23.25">
      <c r="A376" s="412">
        <v>93913</v>
      </c>
      <c r="B376" s="412" t="s">
        <v>1087</v>
      </c>
      <c r="C376" s="413">
        <v>45143.91</v>
      </c>
    </row>
    <row r="377" spans="1:3" ht="23.25">
      <c r="A377" s="412">
        <v>93914</v>
      </c>
      <c r="B377" s="412" t="s">
        <v>1088</v>
      </c>
      <c r="C377" s="413">
        <v>6696.22</v>
      </c>
    </row>
    <row r="378" spans="1:3" ht="23.25">
      <c r="A378" s="412">
        <v>93921</v>
      </c>
      <c r="B378" s="412" t="s">
        <v>1089</v>
      </c>
      <c r="C378" s="413">
        <v>198242.91999999998</v>
      </c>
    </row>
    <row r="379" spans="1:3" ht="23.25">
      <c r="A379" s="412">
        <v>93931</v>
      </c>
      <c r="B379" s="412" t="s">
        <v>1090</v>
      </c>
      <c r="C379" s="413">
        <v>356609.69999999995</v>
      </c>
    </row>
    <row r="380" spans="1:3" ht="23.25">
      <c r="A380" s="412">
        <v>94001</v>
      </c>
      <c r="B380" s="412" t="s">
        <v>1091</v>
      </c>
      <c r="C380" s="413">
        <v>752426.34</v>
      </c>
    </row>
    <row r="381" spans="1:3" ht="23.25">
      <c r="A381" s="412">
        <v>94002</v>
      </c>
      <c r="B381" s="412" t="s">
        <v>1092</v>
      </c>
      <c r="C381" s="413">
        <v>6138.76</v>
      </c>
    </row>
    <row r="382" spans="1:3" ht="23.25">
      <c r="A382" s="412">
        <v>94004</v>
      </c>
      <c r="B382" s="412" t="s">
        <v>1093</v>
      </c>
      <c r="C382" s="413">
        <v>9562.7999999999993</v>
      </c>
    </row>
    <row r="383" spans="1:3" ht="23.25">
      <c r="A383" s="412">
        <v>94005</v>
      </c>
      <c r="B383" s="412" t="s">
        <v>1094</v>
      </c>
      <c r="C383" s="413">
        <v>5621.64</v>
      </c>
    </row>
    <row r="384" spans="1:3" ht="23.25">
      <c r="A384" s="412">
        <v>94011</v>
      </c>
      <c r="B384" s="412" t="s">
        <v>1095</v>
      </c>
      <c r="C384" s="413">
        <v>18324.78</v>
      </c>
    </row>
    <row r="385" spans="1:3" ht="23.25">
      <c r="A385" s="412">
        <v>94021</v>
      </c>
      <c r="B385" s="412" t="s">
        <v>1096</v>
      </c>
      <c r="C385" s="413">
        <v>69097.189999999988</v>
      </c>
    </row>
    <row r="386" spans="1:3" ht="23.25">
      <c r="A386" s="412">
        <v>94031</v>
      </c>
      <c r="B386" s="412" t="s">
        <v>1097</v>
      </c>
      <c r="C386" s="413">
        <v>9913.7199999999993</v>
      </c>
    </row>
    <row r="387" spans="1:3" ht="23.25">
      <c r="A387" s="412">
        <v>94101</v>
      </c>
      <c r="B387" s="412" t="s">
        <v>1098</v>
      </c>
      <c r="C387" s="413">
        <v>13670353.01</v>
      </c>
    </row>
    <row r="388" spans="1:3" ht="23.25">
      <c r="A388" s="412">
        <v>94102</v>
      </c>
      <c r="B388" s="412" t="s">
        <v>1099</v>
      </c>
      <c r="C388" s="413">
        <v>206466.76</v>
      </c>
    </row>
    <row r="389" spans="1:3" ht="23.25">
      <c r="A389" s="412">
        <v>94108</v>
      </c>
      <c r="B389" s="412" t="s">
        <v>1100</v>
      </c>
      <c r="C389" s="413">
        <v>232193.04</v>
      </c>
    </row>
    <row r="390" spans="1:3" ht="23.25">
      <c r="A390" s="412">
        <v>94109</v>
      </c>
      <c r="B390" s="412" t="s">
        <v>1101</v>
      </c>
      <c r="C390" s="413">
        <v>60449.47</v>
      </c>
    </row>
    <row r="391" spans="1:3" ht="23.25">
      <c r="A391" s="412">
        <v>94111</v>
      </c>
      <c r="B391" s="412" t="s">
        <v>1102</v>
      </c>
      <c r="C391" s="413">
        <v>17853252.09</v>
      </c>
    </row>
    <row r="392" spans="1:3" ht="23.25">
      <c r="A392" s="412">
        <v>94112</v>
      </c>
      <c r="B392" s="412" t="s">
        <v>1103</v>
      </c>
      <c r="C392" s="413">
        <v>100781.39</v>
      </c>
    </row>
    <row r="393" spans="1:3" ht="23.25">
      <c r="A393" s="412">
        <v>94117</v>
      </c>
      <c r="B393" s="412" t="s">
        <v>1104</v>
      </c>
      <c r="C393" s="413">
        <v>302079</v>
      </c>
    </row>
    <row r="394" spans="1:3" ht="23.25">
      <c r="A394" s="412">
        <v>94118</v>
      </c>
      <c r="B394" s="412" t="s">
        <v>1105</v>
      </c>
      <c r="C394" s="413">
        <v>105029.79</v>
      </c>
    </row>
    <row r="395" spans="1:3" ht="23.25">
      <c r="A395" s="412">
        <v>94121</v>
      </c>
      <c r="B395" s="412" t="s">
        <v>1106</v>
      </c>
      <c r="C395" s="413">
        <v>8563643.5499999989</v>
      </c>
    </row>
    <row r="396" spans="1:3" ht="23.25">
      <c r="A396" s="412">
        <v>94127</v>
      </c>
      <c r="B396" s="412" t="s">
        <v>1107</v>
      </c>
      <c r="C396" s="413">
        <v>142768.81</v>
      </c>
    </row>
    <row r="397" spans="1:3" ht="23.25">
      <c r="A397" s="412">
        <v>94131</v>
      </c>
      <c r="B397" s="412" t="s">
        <v>1108</v>
      </c>
      <c r="C397" s="413">
        <v>159162.31</v>
      </c>
    </row>
    <row r="398" spans="1:3" ht="23.25">
      <c r="A398" s="412">
        <v>94151</v>
      </c>
      <c r="B398" s="412" t="s">
        <v>1109</v>
      </c>
      <c r="C398" s="413">
        <v>317194.5</v>
      </c>
    </row>
    <row r="399" spans="1:3" ht="23.25">
      <c r="A399" s="412">
        <v>94157</v>
      </c>
      <c r="B399" s="412" t="s">
        <v>1110</v>
      </c>
      <c r="C399" s="413">
        <v>9486.07</v>
      </c>
    </row>
    <row r="400" spans="1:3" ht="23.25">
      <c r="A400" s="412">
        <v>94161</v>
      </c>
      <c r="B400" s="412" t="s">
        <v>1111</v>
      </c>
      <c r="C400" s="413">
        <v>43124.62</v>
      </c>
    </row>
    <row r="401" spans="1:3" ht="23.25">
      <c r="A401" s="412">
        <v>94168</v>
      </c>
      <c r="B401" s="412" t="s">
        <v>1112</v>
      </c>
      <c r="C401" s="413">
        <v>47862.22</v>
      </c>
    </row>
    <row r="402" spans="1:3" ht="23.25">
      <c r="A402" s="412">
        <v>94171</v>
      </c>
      <c r="B402" s="412" t="s">
        <v>1113</v>
      </c>
      <c r="C402" s="413">
        <v>47789.66</v>
      </c>
    </row>
    <row r="403" spans="1:3" ht="23.25">
      <c r="A403" s="412">
        <v>94172</v>
      </c>
      <c r="B403" s="412" t="s">
        <v>1114</v>
      </c>
      <c r="C403" s="413">
        <v>182380.93</v>
      </c>
    </row>
    <row r="404" spans="1:3" ht="23.25">
      <c r="A404" s="412">
        <v>94201</v>
      </c>
      <c r="B404" s="412" t="s">
        <v>1115</v>
      </c>
      <c r="C404" s="413">
        <v>2310593.9500000002</v>
      </c>
    </row>
    <row r="405" spans="1:3" ht="23.25">
      <c r="A405" s="412">
        <v>94204</v>
      </c>
      <c r="B405" s="412" t="s">
        <v>1116</v>
      </c>
      <c r="C405" s="413">
        <v>31351.34</v>
      </c>
    </row>
    <row r="406" spans="1:3" ht="23.25">
      <c r="A406" s="412">
        <v>94205</v>
      </c>
      <c r="B406" s="412" t="s">
        <v>1117</v>
      </c>
      <c r="C406" s="413">
        <v>16583.86</v>
      </c>
    </row>
    <row r="407" spans="1:3" ht="23.25">
      <c r="A407" s="412">
        <v>94209</v>
      </c>
      <c r="B407" s="412" t="s">
        <v>1118</v>
      </c>
      <c r="C407" s="413">
        <v>232953.61</v>
      </c>
    </row>
    <row r="408" spans="1:3" ht="23.25">
      <c r="A408" s="412">
        <v>94211</v>
      </c>
      <c r="B408" s="412" t="s">
        <v>1119</v>
      </c>
      <c r="C408" s="413">
        <v>104746.13</v>
      </c>
    </row>
    <row r="409" spans="1:3" ht="23.25">
      <c r="A409" s="412">
        <v>94221</v>
      </c>
      <c r="B409" s="412" t="s">
        <v>1120</v>
      </c>
      <c r="C409" s="413">
        <v>624168.30000000005</v>
      </c>
    </row>
    <row r="410" spans="1:3" ht="23.25">
      <c r="A410" s="412">
        <v>94231</v>
      </c>
      <c r="B410" s="412" t="s">
        <v>1121</v>
      </c>
      <c r="C410" s="413">
        <v>116123.87999999999</v>
      </c>
    </row>
    <row r="411" spans="1:3" ht="23.25">
      <c r="A411" s="412">
        <v>94241</v>
      </c>
      <c r="B411" s="412" t="s">
        <v>1122</v>
      </c>
      <c r="C411" s="413">
        <v>120949.40999999999</v>
      </c>
    </row>
    <row r="412" spans="1:3" ht="23.25">
      <c r="A412" s="412">
        <v>94251</v>
      </c>
      <c r="B412" s="412" t="s">
        <v>1123</v>
      </c>
      <c r="C412" s="413">
        <v>12746.36</v>
      </c>
    </row>
    <row r="413" spans="1:3" ht="23.25">
      <c r="A413" s="412">
        <v>94261</v>
      </c>
      <c r="B413" s="412" t="s">
        <v>1124</v>
      </c>
      <c r="C413" s="413">
        <v>25265.979999999996</v>
      </c>
    </row>
    <row r="414" spans="1:3" ht="23.25">
      <c r="A414" s="412">
        <v>94301</v>
      </c>
      <c r="B414" s="412" t="s">
        <v>1125</v>
      </c>
      <c r="C414" s="413">
        <v>4330623.4800000004</v>
      </c>
    </row>
    <row r="415" spans="1:3" ht="23.25">
      <c r="A415" s="412">
        <v>94311</v>
      </c>
      <c r="B415" s="412" t="s">
        <v>1126</v>
      </c>
      <c r="C415" s="413">
        <v>580419.24</v>
      </c>
    </row>
    <row r="416" spans="1:3" ht="23.25">
      <c r="A416" s="412">
        <v>94313</v>
      </c>
      <c r="B416" s="412" t="s">
        <v>1127</v>
      </c>
      <c r="C416" s="413">
        <v>22189.439999999999</v>
      </c>
    </row>
    <row r="417" spans="1:3" ht="23.25">
      <c r="A417" s="412">
        <v>94317</v>
      </c>
      <c r="B417" s="412" t="s">
        <v>1128</v>
      </c>
      <c r="C417" s="413">
        <v>15391.96</v>
      </c>
    </row>
    <row r="418" spans="1:3" ht="23.25">
      <c r="A418" s="412">
        <v>94321</v>
      </c>
      <c r="B418" s="412" t="s">
        <v>1129</v>
      </c>
      <c r="C418" s="413">
        <v>230920.68000000002</v>
      </c>
    </row>
    <row r="419" spans="1:3" ht="23.25">
      <c r="A419" s="412">
        <v>94331</v>
      </c>
      <c r="B419" s="412" t="s">
        <v>1130</v>
      </c>
      <c r="C419" s="413">
        <v>107127.79</v>
      </c>
    </row>
    <row r="420" spans="1:3" ht="23.25">
      <c r="A420" s="412">
        <v>94341</v>
      </c>
      <c r="B420" s="412" t="s">
        <v>1131</v>
      </c>
      <c r="C420" s="413">
        <v>57972.52</v>
      </c>
    </row>
    <row r="421" spans="1:3" ht="23.25">
      <c r="A421" s="412">
        <v>94347</v>
      </c>
      <c r="B421" s="412" t="s">
        <v>1132</v>
      </c>
      <c r="C421" s="413">
        <v>11339.94</v>
      </c>
    </row>
    <row r="422" spans="1:3" ht="23.25">
      <c r="A422" s="412">
        <v>94351</v>
      </c>
      <c r="B422" s="412" t="s">
        <v>1133</v>
      </c>
      <c r="C422" s="413">
        <v>215789.63999999998</v>
      </c>
    </row>
    <row r="423" spans="1:3" ht="23.25">
      <c r="A423" s="412">
        <v>94401</v>
      </c>
      <c r="B423" s="412" t="s">
        <v>1134</v>
      </c>
      <c r="C423" s="413">
        <v>2419565.8899999997</v>
      </c>
    </row>
    <row r="424" spans="1:3" ht="23.25">
      <c r="A424" s="412">
        <v>94403</v>
      </c>
      <c r="B424" s="412" t="s">
        <v>1136</v>
      </c>
      <c r="C424" s="413">
        <v>31742.3</v>
      </c>
    </row>
    <row r="425" spans="1:3" ht="23.25">
      <c r="A425" s="412">
        <v>94402</v>
      </c>
      <c r="B425" s="412" t="s">
        <v>1135</v>
      </c>
      <c r="C425" s="413">
        <v>0</v>
      </c>
    </row>
    <row r="426" spans="1:3" ht="23.25">
      <c r="A426" s="412">
        <v>94408</v>
      </c>
      <c r="B426" s="412" t="s">
        <v>1137</v>
      </c>
      <c r="C426" s="413">
        <v>43147.5</v>
      </c>
    </row>
    <row r="427" spans="1:3" ht="23.25">
      <c r="A427" s="412">
        <v>94411</v>
      </c>
      <c r="B427" s="412" t="s">
        <v>1138</v>
      </c>
      <c r="C427" s="413">
        <v>805862.06</v>
      </c>
    </row>
    <row r="428" spans="1:3" ht="23.25">
      <c r="A428" s="412">
        <v>94412</v>
      </c>
      <c r="B428" s="412" t="s">
        <v>1139</v>
      </c>
      <c r="C428" s="413">
        <v>18667.14</v>
      </c>
    </row>
    <row r="429" spans="1:3" ht="23.25">
      <c r="A429" s="412">
        <v>94421</v>
      </c>
      <c r="B429" s="412" t="s">
        <v>1140</v>
      </c>
      <c r="C429" s="413">
        <v>118945.54999999999</v>
      </c>
    </row>
    <row r="430" spans="1:3" ht="23.25">
      <c r="A430" s="412">
        <v>94427</v>
      </c>
      <c r="B430" s="412" t="s">
        <v>1141</v>
      </c>
      <c r="C430" s="413">
        <v>24270.11</v>
      </c>
    </row>
    <row r="431" spans="1:3" ht="23.25">
      <c r="A431" s="412">
        <v>94428</v>
      </c>
      <c r="B431" s="412" t="s">
        <v>1142</v>
      </c>
      <c r="C431" s="413">
        <v>57601.17</v>
      </c>
    </row>
    <row r="432" spans="1:3" ht="23.25">
      <c r="A432" s="412">
        <v>94431</v>
      </c>
      <c r="B432" s="412" t="s">
        <v>1143</v>
      </c>
      <c r="C432" s="413">
        <v>278501.69</v>
      </c>
    </row>
    <row r="433" spans="1:3" ht="23.25">
      <c r="A433" s="412">
        <v>94437</v>
      </c>
      <c r="B433" s="412" t="s">
        <v>1144</v>
      </c>
      <c r="C433" s="413">
        <v>19953.489999999998</v>
      </c>
    </row>
    <row r="434" spans="1:3" ht="23.25">
      <c r="A434" s="412">
        <v>94501</v>
      </c>
      <c r="B434" s="412" t="s">
        <v>2019</v>
      </c>
      <c r="C434" s="413">
        <v>4369581.4499999993</v>
      </c>
    </row>
    <row r="435" spans="1:3" ht="23.25">
      <c r="A435" s="412">
        <v>94511</v>
      </c>
      <c r="B435" s="412" t="s">
        <v>1146</v>
      </c>
      <c r="C435" s="413">
        <v>1409433.47</v>
      </c>
    </row>
    <row r="436" spans="1:3" ht="23.25">
      <c r="A436" s="412">
        <v>94512</v>
      </c>
      <c r="B436" s="412" t="s">
        <v>3752</v>
      </c>
      <c r="C436" s="413">
        <v>0</v>
      </c>
    </row>
    <row r="437" spans="1:3" ht="23.25">
      <c r="A437" s="412">
        <v>94517</v>
      </c>
      <c r="B437" s="412" t="s">
        <v>1148</v>
      </c>
      <c r="C437" s="413">
        <v>60119.68</v>
      </c>
    </row>
    <row r="438" spans="1:3" ht="23.25">
      <c r="A438" s="412">
        <v>94521</v>
      </c>
      <c r="B438" s="412" t="s">
        <v>1149</v>
      </c>
      <c r="C438" s="413">
        <v>91988.51</v>
      </c>
    </row>
    <row r="439" spans="1:3" ht="23.25">
      <c r="A439" s="412">
        <v>94527</v>
      </c>
      <c r="B439" s="412" t="s">
        <v>1150</v>
      </c>
      <c r="C439" s="413">
        <v>4993.87</v>
      </c>
    </row>
    <row r="440" spans="1:3" ht="23.25">
      <c r="A440" s="412">
        <v>94531</v>
      </c>
      <c r="B440" s="412" t="s">
        <v>1151</v>
      </c>
      <c r="C440" s="413">
        <v>22101.94</v>
      </c>
    </row>
    <row r="441" spans="1:3" ht="23.25">
      <c r="A441" s="412">
        <v>94532</v>
      </c>
      <c r="B441" s="412" t="s">
        <v>1152</v>
      </c>
      <c r="C441" s="413">
        <v>85306.35</v>
      </c>
    </row>
    <row r="442" spans="1:3" ht="23.25">
      <c r="A442" s="412">
        <v>94541</v>
      </c>
      <c r="B442" s="412" t="s">
        <v>1153</v>
      </c>
      <c r="C442" s="413">
        <v>201370.00999999998</v>
      </c>
    </row>
    <row r="443" spans="1:3" ht="23.25">
      <c r="A443" s="412">
        <v>94547</v>
      </c>
      <c r="B443" s="412" t="s">
        <v>1154</v>
      </c>
      <c r="C443" s="413">
        <v>20264.66</v>
      </c>
    </row>
    <row r="444" spans="1:3" ht="23.25">
      <c r="A444" s="412">
        <v>94551</v>
      </c>
      <c r="B444" s="412" t="s">
        <v>1155</v>
      </c>
      <c r="C444" s="413">
        <v>43357.15</v>
      </c>
    </row>
    <row r="445" spans="1:3" ht="23.25">
      <c r="A445" s="412">
        <v>94601</v>
      </c>
      <c r="B445" s="412" t="s">
        <v>1156</v>
      </c>
      <c r="C445" s="413">
        <v>729627.45000000007</v>
      </c>
    </row>
    <row r="446" spans="1:3" ht="23.25">
      <c r="A446" s="412">
        <v>94604</v>
      </c>
      <c r="B446" s="412" t="s">
        <v>1157</v>
      </c>
      <c r="C446" s="413">
        <v>21702.42</v>
      </c>
    </row>
    <row r="447" spans="1:3" ht="23.25">
      <c r="A447" s="412">
        <v>94606</v>
      </c>
      <c r="B447" s="412" t="s">
        <v>1158</v>
      </c>
      <c r="C447" s="413">
        <v>0</v>
      </c>
    </row>
    <row r="448" spans="1:3" ht="23.25">
      <c r="A448" s="412">
        <v>94611</v>
      </c>
      <c r="B448" s="412" t="s">
        <v>1159</v>
      </c>
      <c r="C448" s="413">
        <v>243323.65</v>
      </c>
    </row>
    <row r="449" spans="1:3" ht="23.25">
      <c r="A449" s="412">
        <v>94621</v>
      </c>
      <c r="B449" s="412" t="s">
        <v>1160</v>
      </c>
      <c r="C449" s="413">
        <v>82020.399999999994</v>
      </c>
    </row>
    <row r="450" spans="1:3" ht="23.25">
      <c r="A450" s="412">
        <v>94631</v>
      </c>
      <c r="B450" s="412" t="s">
        <v>1161</v>
      </c>
      <c r="C450" s="413">
        <v>30842.51</v>
      </c>
    </row>
    <row r="451" spans="1:3" ht="23.25">
      <c r="A451" s="412">
        <v>94641</v>
      </c>
      <c r="B451" s="412" t="s">
        <v>1162</v>
      </c>
      <c r="C451" s="413">
        <v>14873.73</v>
      </c>
    </row>
    <row r="452" spans="1:3" ht="23.25">
      <c r="A452" s="412">
        <v>94701</v>
      </c>
      <c r="B452" s="412" t="s">
        <v>1163</v>
      </c>
      <c r="C452" s="413">
        <v>1793576.57</v>
      </c>
    </row>
    <row r="453" spans="1:3" ht="23.25">
      <c r="A453" s="412">
        <v>94704</v>
      </c>
      <c r="B453" s="412" t="s">
        <v>1164</v>
      </c>
      <c r="C453" s="413">
        <v>15094.18</v>
      </c>
    </row>
    <row r="454" spans="1:3" ht="23.25">
      <c r="A454" s="412">
        <v>94711</v>
      </c>
      <c r="B454" s="412" t="s">
        <v>1165</v>
      </c>
      <c r="C454" s="413">
        <v>267081.21000000002</v>
      </c>
    </row>
    <row r="455" spans="1:3" ht="23.25">
      <c r="A455" s="412">
        <v>94801</v>
      </c>
      <c r="B455" s="412" t="s">
        <v>1166</v>
      </c>
      <c r="C455" s="413">
        <v>486503.50999999995</v>
      </c>
    </row>
    <row r="456" spans="1:3" ht="23.25">
      <c r="A456" s="412">
        <v>94804</v>
      </c>
      <c r="B456" s="412" t="s">
        <v>1167</v>
      </c>
      <c r="C456" s="413">
        <v>5644.18</v>
      </c>
    </row>
    <row r="457" spans="1:3" ht="23.25">
      <c r="A457" s="412">
        <v>94812</v>
      </c>
      <c r="B457" s="412" t="s">
        <v>1168</v>
      </c>
      <c r="C457" s="413">
        <v>24924.21</v>
      </c>
    </row>
    <row r="458" spans="1:3" ht="23.25">
      <c r="A458" s="412">
        <v>94901</v>
      </c>
      <c r="B458" s="412" t="s">
        <v>1169</v>
      </c>
      <c r="C458" s="413">
        <v>5381988</v>
      </c>
    </row>
    <row r="459" spans="1:3" ht="23.25">
      <c r="A459" s="412">
        <v>94908</v>
      </c>
      <c r="B459" s="412" t="s">
        <v>3610</v>
      </c>
      <c r="C459" s="413">
        <v>43055.42</v>
      </c>
    </row>
    <row r="460" spans="1:3" ht="23.25">
      <c r="A460" s="412">
        <v>94911</v>
      </c>
      <c r="B460" s="412" t="s">
        <v>1171</v>
      </c>
      <c r="C460" s="413">
        <v>2138207.1799999997</v>
      </c>
    </row>
    <row r="461" spans="1:3" ht="23.25">
      <c r="A461" s="412">
        <v>94917</v>
      </c>
      <c r="B461" s="412" t="s">
        <v>1172</v>
      </c>
      <c r="C461" s="413">
        <v>42175.9</v>
      </c>
    </row>
    <row r="462" spans="1:3" ht="23.25">
      <c r="A462" s="412">
        <v>94921</v>
      </c>
      <c r="B462" s="412" t="s">
        <v>1173</v>
      </c>
      <c r="C462" s="413">
        <v>2765846.39</v>
      </c>
    </row>
    <row r="463" spans="1:3" ht="23.25">
      <c r="A463" s="412">
        <v>94923</v>
      </c>
      <c r="B463" s="412" t="s">
        <v>1174</v>
      </c>
      <c r="C463" s="413">
        <v>25773.82</v>
      </c>
    </row>
    <row r="464" spans="1:3" ht="23.25">
      <c r="A464" s="412">
        <v>94927</v>
      </c>
      <c r="B464" s="412" t="s">
        <v>1175</v>
      </c>
      <c r="C464" s="413">
        <v>38059.160000000003</v>
      </c>
    </row>
    <row r="465" spans="1:3" ht="23.25">
      <c r="A465" s="412">
        <v>94931</v>
      </c>
      <c r="B465" s="412" t="s">
        <v>1176</v>
      </c>
      <c r="C465" s="413">
        <v>157875.37</v>
      </c>
    </row>
    <row r="466" spans="1:3" ht="23.25">
      <c r="A466" s="412">
        <v>94937</v>
      </c>
      <c r="B466" s="412" t="s">
        <v>1927</v>
      </c>
      <c r="C466" s="413">
        <v>5577.48</v>
      </c>
    </row>
    <row r="467" spans="1:3" ht="23.25">
      <c r="A467" s="412">
        <v>94941</v>
      </c>
      <c r="B467" s="412" t="s">
        <v>1177</v>
      </c>
      <c r="C467" s="413">
        <v>9265.64</v>
      </c>
    </row>
    <row r="468" spans="1:3" ht="23.25">
      <c r="A468" s="412">
        <v>94947</v>
      </c>
      <c r="B468" s="412" t="s">
        <v>1928</v>
      </c>
      <c r="C468" s="413">
        <v>6505.35</v>
      </c>
    </row>
    <row r="469" spans="1:3" ht="23.25">
      <c r="A469" s="412">
        <v>95001</v>
      </c>
      <c r="B469" s="412" t="s">
        <v>1178</v>
      </c>
      <c r="C469" s="413">
        <v>1797306.42</v>
      </c>
    </row>
    <row r="470" spans="1:3" ht="23.25">
      <c r="A470" s="412">
        <v>95002</v>
      </c>
      <c r="B470" s="412" t="s">
        <v>1179</v>
      </c>
      <c r="C470" s="413">
        <v>157423.9</v>
      </c>
    </row>
    <row r="471" spans="1:3" ht="23.25">
      <c r="A471" s="412">
        <v>95005</v>
      </c>
      <c r="B471" s="412" t="s">
        <v>1180</v>
      </c>
      <c r="C471" s="413">
        <v>159647.53</v>
      </c>
    </row>
    <row r="472" spans="1:3" ht="23.25">
      <c r="A472" s="412">
        <v>95008</v>
      </c>
      <c r="B472" s="412" t="s">
        <v>1181</v>
      </c>
      <c r="C472" s="413">
        <v>99406.29</v>
      </c>
    </row>
    <row r="473" spans="1:3" ht="23.25">
      <c r="A473" s="412">
        <v>95009</v>
      </c>
      <c r="B473" s="412" t="s">
        <v>1182</v>
      </c>
      <c r="C473" s="413">
        <v>2897594.99</v>
      </c>
    </row>
    <row r="474" spans="1:3" ht="23.25">
      <c r="A474" s="412">
        <v>95010</v>
      </c>
      <c r="B474" s="412" t="s">
        <v>3719</v>
      </c>
      <c r="C474" s="413">
        <v>12205.85</v>
      </c>
    </row>
    <row r="475" spans="1:3" ht="23.25">
      <c r="A475" s="412">
        <v>95011</v>
      </c>
      <c r="B475" s="412" t="s">
        <v>1183</v>
      </c>
      <c r="C475" s="413">
        <v>128810.36</v>
      </c>
    </row>
    <row r="476" spans="1:3" ht="23.25">
      <c r="A476" s="412">
        <v>95017</v>
      </c>
      <c r="B476" s="412" t="s">
        <v>1184</v>
      </c>
      <c r="C476" s="413">
        <v>28976.9</v>
      </c>
    </row>
    <row r="477" spans="1:3" ht="23.25">
      <c r="A477" s="412">
        <v>95101</v>
      </c>
      <c r="B477" s="412" t="s">
        <v>1185</v>
      </c>
      <c r="C477" s="413">
        <v>6338767.5199999996</v>
      </c>
    </row>
    <row r="478" spans="1:3" ht="23.25">
      <c r="A478" s="412">
        <v>95103</v>
      </c>
      <c r="B478" s="412" t="s">
        <v>1186</v>
      </c>
      <c r="C478" s="413">
        <v>46050.17</v>
      </c>
    </row>
    <row r="479" spans="1:3" ht="23.25">
      <c r="A479" s="412">
        <v>95104</v>
      </c>
      <c r="B479" s="412" t="s">
        <v>1187</v>
      </c>
      <c r="C479" s="413">
        <v>132620.57</v>
      </c>
    </row>
    <row r="480" spans="1:3" ht="23.25">
      <c r="A480" s="412">
        <v>95105</v>
      </c>
      <c r="B480" s="412" t="s">
        <v>1188</v>
      </c>
      <c r="C480" s="413">
        <v>41766.699999999997</v>
      </c>
    </row>
    <row r="481" spans="1:3" ht="23.25">
      <c r="A481" s="412">
        <v>95106</v>
      </c>
      <c r="B481" s="412" t="s">
        <v>1189</v>
      </c>
      <c r="C481" s="413">
        <v>17266.989999999998</v>
      </c>
    </row>
    <row r="482" spans="1:3" ht="23.25">
      <c r="A482" s="412">
        <v>95110</v>
      </c>
      <c r="B482" s="412" t="s">
        <v>1190</v>
      </c>
      <c r="C482" s="413">
        <v>2199564.9300000002</v>
      </c>
    </row>
    <row r="483" spans="1:3" ht="23.25">
      <c r="A483" s="412">
        <v>95111</v>
      </c>
      <c r="B483" s="412" t="s">
        <v>1191</v>
      </c>
      <c r="C483" s="413">
        <v>742628.34</v>
      </c>
    </row>
    <row r="484" spans="1:3" ht="23.25">
      <c r="A484" s="412">
        <v>95113</v>
      </c>
      <c r="B484" s="412" t="s">
        <v>1192</v>
      </c>
      <c r="C484" s="413">
        <v>96259.28</v>
      </c>
    </row>
    <row r="485" spans="1:3" ht="23.25">
      <c r="A485" s="412">
        <v>95121</v>
      </c>
      <c r="B485" s="412" t="s">
        <v>1193</v>
      </c>
      <c r="C485" s="413">
        <v>361230.64999999997</v>
      </c>
    </row>
    <row r="486" spans="1:3" ht="23.25">
      <c r="A486" s="412">
        <v>95122</v>
      </c>
      <c r="B486" s="412" t="s">
        <v>1194</v>
      </c>
      <c r="C486" s="413">
        <v>22054.95</v>
      </c>
    </row>
    <row r="487" spans="1:3" ht="23.25">
      <c r="A487" s="412">
        <v>95123</v>
      </c>
      <c r="B487" s="412" t="s">
        <v>1195</v>
      </c>
      <c r="C487" s="413">
        <v>34197.82</v>
      </c>
    </row>
    <row r="488" spans="1:3" ht="23.25">
      <c r="A488" s="412">
        <v>95131</v>
      </c>
      <c r="B488" s="412" t="s">
        <v>1196</v>
      </c>
      <c r="C488" s="413">
        <v>1372150.6300000001</v>
      </c>
    </row>
    <row r="489" spans="1:3" ht="23.25">
      <c r="A489" s="412">
        <v>95141</v>
      </c>
      <c r="B489" s="412" t="s">
        <v>1197</v>
      </c>
      <c r="C489" s="413">
        <v>256641.48000000004</v>
      </c>
    </row>
    <row r="490" spans="1:3" ht="23.25">
      <c r="A490" s="412">
        <v>95151</v>
      </c>
      <c r="B490" s="412" t="s">
        <v>1198</v>
      </c>
      <c r="C490" s="413">
        <v>80865.45</v>
      </c>
    </row>
    <row r="491" spans="1:3" ht="23.25">
      <c r="A491" s="412">
        <v>95161</v>
      </c>
      <c r="B491" s="412" t="s">
        <v>1199</v>
      </c>
      <c r="C491" s="413">
        <v>52987.59</v>
      </c>
    </row>
    <row r="492" spans="1:3" ht="23.25">
      <c r="A492" s="412">
        <v>95171</v>
      </c>
      <c r="B492" s="412" t="s">
        <v>1200</v>
      </c>
      <c r="C492" s="413">
        <v>77152.17</v>
      </c>
    </row>
    <row r="493" spans="1:3" ht="23.25">
      <c r="A493" s="412">
        <v>95181</v>
      </c>
      <c r="B493" s="412" t="s">
        <v>1201</v>
      </c>
      <c r="C493" s="413">
        <v>55002.079999999994</v>
      </c>
    </row>
    <row r="494" spans="1:3" ht="23.25">
      <c r="A494" s="412">
        <v>95191</v>
      </c>
      <c r="B494" s="412" t="s">
        <v>1202</v>
      </c>
      <c r="C494" s="413">
        <v>69972.739999999991</v>
      </c>
    </row>
    <row r="495" spans="1:3" ht="23.25">
      <c r="A495" s="412">
        <v>95201</v>
      </c>
      <c r="B495" s="412" t="s">
        <v>1203</v>
      </c>
      <c r="C495" s="413">
        <v>465894.93000000005</v>
      </c>
    </row>
    <row r="496" spans="1:3" ht="23.25">
      <c r="A496" s="412">
        <v>95204</v>
      </c>
      <c r="B496" s="412" t="s">
        <v>1204</v>
      </c>
      <c r="C496" s="413">
        <v>4503.13</v>
      </c>
    </row>
    <row r="497" spans="1:3" ht="23.25">
      <c r="A497" s="412">
        <v>95205</v>
      </c>
      <c r="B497" s="412" t="s">
        <v>1205</v>
      </c>
      <c r="C497" s="413">
        <v>2849.42</v>
      </c>
    </row>
    <row r="498" spans="1:3" ht="23.25">
      <c r="A498" s="412">
        <v>95211</v>
      </c>
      <c r="B498" s="412" t="s">
        <v>1206</v>
      </c>
      <c r="C498" s="413">
        <v>2281.65</v>
      </c>
    </row>
    <row r="499" spans="1:3" ht="23.25">
      <c r="A499" s="412">
        <v>95221</v>
      </c>
      <c r="B499" s="412" t="s">
        <v>1207</v>
      </c>
      <c r="C499" s="413">
        <v>32989.549999999996</v>
      </c>
    </row>
    <row r="500" spans="1:3" ht="23.25">
      <c r="A500" s="412">
        <v>95301</v>
      </c>
      <c r="B500" s="412" t="s">
        <v>1208</v>
      </c>
      <c r="C500" s="413">
        <v>1798122.5299999998</v>
      </c>
    </row>
    <row r="501" spans="1:3" ht="23.25">
      <c r="A501" s="412">
        <v>95311</v>
      </c>
      <c r="B501" s="412" t="s">
        <v>1209</v>
      </c>
      <c r="C501" s="413">
        <v>1888957.82</v>
      </c>
    </row>
    <row r="502" spans="1:3" ht="23.25">
      <c r="A502" s="412">
        <v>95317</v>
      </c>
      <c r="B502" s="412" t="s">
        <v>1210</v>
      </c>
      <c r="C502" s="413">
        <v>48430.74</v>
      </c>
    </row>
    <row r="503" spans="1:3" ht="23.25">
      <c r="A503" s="412">
        <v>95321</v>
      </c>
      <c r="B503" s="412" t="s">
        <v>1211</v>
      </c>
      <c r="C503" s="413">
        <v>45038.020000000004</v>
      </c>
    </row>
    <row r="504" spans="1:3" ht="23.25">
      <c r="A504" s="412">
        <v>95401</v>
      </c>
      <c r="B504" s="412" t="s">
        <v>1212</v>
      </c>
      <c r="C504" s="413">
        <v>1783017.52</v>
      </c>
    </row>
    <row r="505" spans="1:3" ht="23.25">
      <c r="A505" s="412">
        <v>95404</v>
      </c>
      <c r="B505" s="412" t="s">
        <v>1213</v>
      </c>
      <c r="C505" s="413">
        <v>34290.25</v>
      </c>
    </row>
    <row r="506" spans="1:3" ht="23.25">
      <c r="A506" s="412">
        <v>95405</v>
      </c>
      <c r="B506" s="412" t="s">
        <v>1214</v>
      </c>
      <c r="C506" s="413">
        <v>24712.2</v>
      </c>
    </row>
    <row r="507" spans="1:3" ht="23.25">
      <c r="A507" s="412">
        <v>95411</v>
      </c>
      <c r="B507" s="412" t="s">
        <v>1215</v>
      </c>
      <c r="C507" s="413">
        <v>1549539.23</v>
      </c>
    </row>
    <row r="508" spans="1:3" ht="23.25">
      <c r="A508" s="412">
        <v>95412</v>
      </c>
      <c r="B508" s="412" t="s">
        <v>3713</v>
      </c>
      <c r="C508" s="413">
        <v>0</v>
      </c>
    </row>
    <row r="509" spans="1:3" ht="23.25">
      <c r="A509" s="412">
        <v>95413</v>
      </c>
      <c r="B509" s="412" t="s">
        <v>1217</v>
      </c>
      <c r="C509" s="413">
        <v>180236.95</v>
      </c>
    </row>
    <row r="510" spans="1:3" ht="23.25">
      <c r="A510" s="412">
        <v>95415</v>
      </c>
      <c r="B510" s="412" t="s">
        <v>1218</v>
      </c>
      <c r="C510" s="413">
        <v>41865.03</v>
      </c>
    </row>
    <row r="511" spans="1:3" ht="23.25">
      <c r="A511" s="412">
        <v>95421</v>
      </c>
      <c r="B511" s="412" t="s">
        <v>1219</v>
      </c>
      <c r="C511" s="413">
        <v>20099.460000000003</v>
      </c>
    </row>
    <row r="512" spans="1:3" ht="23.25">
      <c r="A512" s="412">
        <v>95431</v>
      </c>
      <c r="B512" s="412" t="s">
        <v>1220</v>
      </c>
      <c r="C512" s="413">
        <v>114589.24</v>
      </c>
    </row>
    <row r="513" spans="1:3" ht="23.25">
      <c r="A513" s="412">
        <v>95501</v>
      </c>
      <c r="B513" s="412" t="s">
        <v>1221</v>
      </c>
      <c r="C513" s="413">
        <v>3813007.8399999994</v>
      </c>
    </row>
    <row r="514" spans="1:3" ht="23.25">
      <c r="A514" s="412">
        <v>95504</v>
      </c>
      <c r="B514" s="412" t="s">
        <v>1222</v>
      </c>
      <c r="C514" s="413">
        <v>24299.129999999997</v>
      </c>
    </row>
    <row r="515" spans="1:3" ht="23.25">
      <c r="A515" s="412">
        <v>95511</v>
      </c>
      <c r="B515" s="412" t="s">
        <v>1223</v>
      </c>
      <c r="C515" s="413">
        <v>810409.32</v>
      </c>
    </row>
    <row r="516" spans="1:3" ht="23.25">
      <c r="A516" s="412">
        <v>95513</v>
      </c>
      <c r="B516" s="412" t="s">
        <v>1224</v>
      </c>
      <c r="C516" s="413">
        <v>50709.65</v>
      </c>
    </row>
    <row r="517" spans="1:3" ht="23.25">
      <c r="A517" s="412">
        <v>95517</v>
      </c>
      <c r="B517" s="412" t="s">
        <v>1225</v>
      </c>
      <c r="C517" s="413">
        <v>13201.73</v>
      </c>
    </row>
    <row r="518" spans="1:3" ht="23.25">
      <c r="A518" s="412">
        <v>95601</v>
      </c>
      <c r="B518" s="412" t="s">
        <v>1226</v>
      </c>
      <c r="C518" s="413">
        <v>1722675.88</v>
      </c>
    </row>
    <row r="519" spans="1:3" ht="23.25">
      <c r="A519" s="412">
        <v>95611</v>
      </c>
      <c r="B519" s="412" t="s">
        <v>1227</v>
      </c>
      <c r="C519" s="413">
        <v>257273.72999999998</v>
      </c>
    </row>
    <row r="520" spans="1:3" ht="23.25">
      <c r="A520" s="412">
        <v>95617</v>
      </c>
      <c r="B520" s="412" t="s">
        <v>1228</v>
      </c>
      <c r="C520" s="413">
        <v>14696.9</v>
      </c>
    </row>
    <row r="521" spans="1:3" ht="23.25">
      <c r="A521" s="412">
        <v>95621</v>
      </c>
      <c r="B521" s="412" t="s">
        <v>1229</v>
      </c>
      <c r="C521" s="413">
        <v>369259.51999999996</v>
      </c>
    </row>
    <row r="522" spans="1:3" ht="23.25">
      <c r="A522" s="412">
        <v>95701</v>
      </c>
      <c r="B522" s="412" t="s">
        <v>1230</v>
      </c>
      <c r="C522" s="413">
        <v>867064.52</v>
      </c>
    </row>
    <row r="523" spans="1:3" ht="23.25">
      <c r="A523" s="412">
        <v>95711</v>
      </c>
      <c r="B523" s="412" t="s">
        <v>1231</v>
      </c>
      <c r="C523" s="413">
        <v>104668.79</v>
      </c>
    </row>
    <row r="524" spans="1:3" ht="23.25">
      <c r="A524" s="412">
        <v>95721</v>
      </c>
      <c r="B524" s="412" t="s">
        <v>1232</v>
      </c>
      <c r="C524" s="413">
        <v>48825.68</v>
      </c>
    </row>
    <row r="525" spans="1:3" ht="23.25">
      <c r="A525" s="412">
        <v>95733</v>
      </c>
      <c r="B525" s="412" t="s">
        <v>1233</v>
      </c>
      <c r="C525" s="413">
        <v>11208.2</v>
      </c>
    </row>
    <row r="526" spans="1:3" ht="23.25">
      <c r="A526" s="412">
        <v>95801</v>
      </c>
      <c r="B526" s="412" t="s">
        <v>1234</v>
      </c>
      <c r="C526" s="413">
        <v>711510.73999999987</v>
      </c>
    </row>
    <row r="527" spans="1:3" ht="23.25">
      <c r="A527" s="412">
        <v>95802</v>
      </c>
      <c r="B527" s="412" t="s">
        <v>1235</v>
      </c>
      <c r="C527" s="413">
        <v>8214.7199999999993</v>
      </c>
    </row>
    <row r="528" spans="1:3" ht="23.25">
      <c r="A528" s="412">
        <v>95804</v>
      </c>
      <c r="B528" s="412" t="s">
        <v>1236</v>
      </c>
      <c r="C528" s="413">
        <v>15976.57</v>
      </c>
    </row>
    <row r="529" spans="1:3" ht="23.25">
      <c r="A529" s="412">
        <v>95811</v>
      </c>
      <c r="B529" s="412" t="s">
        <v>1237</v>
      </c>
      <c r="C529" s="413">
        <v>383043.77999999997</v>
      </c>
    </row>
    <row r="530" spans="1:3" ht="23.25">
      <c r="A530" s="412">
        <v>95813</v>
      </c>
      <c r="B530" s="412" t="s">
        <v>1238</v>
      </c>
      <c r="C530" s="413">
        <v>44534.63</v>
      </c>
    </row>
    <row r="531" spans="1:3" ht="23.25">
      <c r="A531" s="412">
        <v>95821</v>
      </c>
      <c r="B531" s="412" t="s">
        <v>1239</v>
      </c>
      <c r="C531" s="413">
        <v>4099.68</v>
      </c>
    </row>
    <row r="532" spans="1:3" ht="23.25">
      <c r="A532" s="412">
        <v>95831</v>
      </c>
      <c r="B532" s="412" t="s">
        <v>1240</v>
      </c>
      <c r="C532" s="413">
        <v>20180.34</v>
      </c>
    </row>
    <row r="533" spans="1:3" ht="23.25">
      <c r="A533" s="412">
        <v>95841</v>
      </c>
      <c r="B533" s="412" t="s">
        <v>1241</v>
      </c>
      <c r="C533" s="413">
        <v>16358.94</v>
      </c>
    </row>
    <row r="534" spans="1:3" ht="23.25">
      <c r="A534" s="412">
        <v>95851</v>
      </c>
      <c r="B534" s="412" t="s">
        <v>1242</v>
      </c>
      <c r="C534" s="413">
        <v>79131.259999999995</v>
      </c>
    </row>
    <row r="535" spans="1:3" ht="23.25">
      <c r="A535" s="412">
        <v>95853</v>
      </c>
      <c r="B535" s="412" t="s">
        <v>1243</v>
      </c>
      <c r="C535" s="413">
        <v>22166.720000000001</v>
      </c>
    </row>
    <row r="536" spans="1:3" ht="23.25">
      <c r="A536" s="412">
        <v>95901</v>
      </c>
      <c r="B536" s="412" t="s">
        <v>1244</v>
      </c>
      <c r="C536" s="413">
        <v>1487252.2699999998</v>
      </c>
    </row>
    <row r="537" spans="1:3" ht="23.25">
      <c r="A537" s="412">
        <v>95908</v>
      </c>
      <c r="B537" s="412" t="s">
        <v>1245</v>
      </c>
      <c r="C537" s="413">
        <v>40649.06</v>
      </c>
    </row>
    <row r="538" spans="1:3" ht="23.25">
      <c r="A538" s="412">
        <v>95911</v>
      </c>
      <c r="B538" s="412" t="s">
        <v>1246</v>
      </c>
      <c r="C538" s="413">
        <v>384775.20999999996</v>
      </c>
    </row>
    <row r="539" spans="1:3" ht="23.25">
      <c r="A539" s="412">
        <v>95917</v>
      </c>
      <c r="B539" s="412" t="s">
        <v>1247</v>
      </c>
      <c r="C539" s="413">
        <v>21298.959999999999</v>
      </c>
    </row>
    <row r="540" spans="1:3" ht="23.25">
      <c r="A540" s="412">
        <v>95921</v>
      </c>
      <c r="B540" s="412" t="s">
        <v>1248</v>
      </c>
      <c r="C540" s="413">
        <v>35408.42</v>
      </c>
    </row>
    <row r="541" spans="1:3" ht="23.25">
      <c r="A541" s="412">
        <v>96001</v>
      </c>
      <c r="B541" s="412" t="s">
        <v>1249</v>
      </c>
      <c r="C541" s="413">
        <v>33539426.690000001</v>
      </c>
    </row>
    <row r="542" spans="1:3" ht="23.25">
      <c r="A542" s="412">
        <v>96003</v>
      </c>
      <c r="B542" s="412" t="s">
        <v>3723</v>
      </c>
      <c r="C542" s="413">
        <v>1393099.67</v>
      </c>
    </row>
    <row r="543" spans="1:3" ht="23.25">
      <c r="A543" s="412">
        <v>96004</v>
      </c>
      <c r="B543" s="412" t="s">
        <v>1251</v>
      </c>
      <c r="C543" s="413">
        <v>951693.04</v>
      </c>
    </row>
    <row r="544" spans="1:3" ht="23.25">
      <c r="A544" s="412">
        <v>96005</v>
      </c>
      <c r="B544" s="412" t="s">
        <v>1252</v>
      </c>
      <c r="C544" s="413">
        <v>1914086.35</v>
      </c>
    </row>
    <row r="545" spans="1:3" ht="23.25">
      <c r="A545" s="412">
        <v>96008</v>
      </c>
      <c r="B545" s="412" t="s">
        <v>1253</v>
      </c>
      <c r="C545" s="413">
        <v>3371198.9200000004</v>
      </c>
    </row>
    <row r="546" spans="1:3" ht="23.25">
      <c r="A546" s="412">
        <v>96009</v>
      </c>
      <c r="B546" s="412" t="s">
        <v>1254</v>
      </c>
      <c r="C546" s="413">
        <v>290433.46000000002</v>
      </c>
    </row>
    <row r="547" spans="1:3" ht="23.25">
      <c r="A547" s="412">
        <v>96011</v>
      </c>
      <c r="B547" s="412" t="s">
        <v>1255</v>
      </c>
      <c r="C547" s="413">
        <v>49435684.420000002</v>
      </c>
    </row>
    <row r="548" spans="1:3" ht="23.25">
      <c r="A548" s="412">
        <v>96012</v>
      </c>
      <c r="B548" s="412" t="s">
        <v>3724</v>
      </c>
      <c r="C548" s="413">
        <v>1637118.2</v>
      </c>
    </row>
    <row r="549" spans="1:3" ht="23.25">
      <c r="A549" s="412">
        <v>96018</v>
      </c>
      <c r="B549" s="412" t="s">
        <v>1257</v>
      </c>
      <c r="C549" s="413">
        <v>33105.14</v>
      </c>
    </row>
    <row r="550" spans="1:3" ht="23.25">
      <c r="A550" s="412">
        <v>96021</v>
      </c>
      <c r="B550" s="412" t="s">
        <v>1258</v>
      </c>
      <c r="C550" s="413">
        <v>510771.28</v>
      </c>
    </row>
    <row r="551" spans="1:3" ht="23.25">
      <c r="A551" s="412">
        <v>96031</v>
      </c>
      <c r="B551" s="412" t="s">
        <v>1259</v>
      </c>
      <c r="C551" s="413">
        <v>546935.68999999994</v>
      </c>
    </row>
    <row r="552" spans="1:3" ht="23.25">
      <c r="A552" s="412">
        <v>96041</v>
      </c>
      <c r="B552" s="412" t="s">
        <v>1260</v>
      </c>
      <c r="C552" s="413">
        <v>1277299.07</v>
      </c>
    </row>
    <row r="553" spans="1:3" ht="23.25">
      <c r="A553" s="412">
        <v>96051</v>
      </c>
      <c r="B553" s="412" t="s">
        <v>1261</v>
      </c>
      <c r="C553" s="413">
        <v>701352.92</v>
      </c>
    </row>
    <row r="554" spans="1:3" ht="23.25">
      <c r="A554" s="412">
        <v>96061</v>
      </c>
      <c r="B554" s="412" t="s">
        <v>1262</v>
      </c>
      <c r="C554" s="413">
        <v>233546.99000000002</v>
      </c>
    </row>
    <row r="555" spans="1:3" ht="23.25">
      <c r="A555" s="412">
        <v>96071</v>
      </c>
      <c r="B555" s="412" t="s">
        <v>1263</v>
      </c>
      <c r="C555" s="413">
        <v>976806.50999999989</v>
      </c>
    </row>
    <row r="556" spans="1:3" ht="23.25">
      <c r="A556" s="412">
        <v>96081</v>
      </c>
      <c r="B556" s="412" t="s">
        <v>1264</v>
      </c>
      <c r="C556" s="413">
        <v>416465.64999999997</v>
      </c>
    </row>
    <row r="557" spans="1:3" ht="23.25">
      <c r="A557" s="412">
        <v>96101</v>
      </c>
      <c r="B557" s="412" t="s">
        <v>1265</v>
      </c>
      <c r="C557" s="413">
        <v>541138.84</v>
      </c>
    </row>
    <row r="558" spans="1:3" ht="23.25">
      <c r="A558" s="412">
        <v>96102</v>
      </c>
      <c r="B558" s="412" t="s">
        <v>1266</v>
      </c>
      <c r="C558" s="413">
        <v>8084.38</v>
      </c>
    </row>
    <row r="559" spans="1:3" ht="23.25">
      <c r="A559" s="412">
        <v>96111</v>
      </c>
      <c r="B559" s="412" t="s">
        <v>1267</v>
      </c>
      <c r="C559" s="413">
        <v>138951.68999999997</v>
      </c>
    </row>
    <row r="560" spans="1:3" ht="23.25">
      <c r="A560" s="412">
        <v>96121</v>
      </c>
      <c r="B560" s="412" t="s">
        <v>1268</v>
      </c>
      <c r="C560" s="413">
        <v>11809.45</v>
      </c>
    </row>
    <row r="561" spans="1:3" ht="23.25">
      <c r="A561" s="412">
        <v>96201</v>
      </c>
      <c r="B561" s="412" t="s">
        <v>1269</v>
      </c>
      <c r="C561" s="413">
        <v>807648.0199999999</v>
      </c>
    </row>
    <row r="562" spans="1:3" ht="23.25">
      <c r="A562" s="412">
        <v>96204</v>
      </c>
      <c r="B562" s="412" t="s">
        <v>1270</v>
      </c>
      <c r="C562" s="413">
        <v>14581.37</v>
      </c>
    </row>
    <row r="563" spans="1:3" ht="23.25">
      <c r="A563" s="412">
        <v>96211</v>
      </c>
      <c r="B563" s="412" t="s">
        <v>1271</v>
      </c>
      <c r="C563" s="413">
        <v>24941.010000000002</v>
      </c>
    </row>
    <row r="564" spans="1:3" ht="23.25">
      <c r="A564" s="412">
        <v>96221</v>
      </c>
      <c r="B564" s="412" t="s">
        <v>1272</v>
      </c>
      <c r="C564" s="413">
        <v>140331.89000000001</v>
      </c>
    </row>
    <row r="565" spans="1:3" ht="23.25">
      <c r="A565" s="412">
        <v>96231</v>
      </c>
      <c r="B565" s="412" t="s">
        <v>1273</v>
      </c>
      <c r="C565" s="413">
        <v>74835.760000000009</v>
      </c>
    </row>
    <row r="566" spans="1:3" ht="23.25">
      <c r="A566" s="412">
        <v>96241</v>
      </c>
      <c r="B566" s="412" t="s">
        <v>1274</v>
      </c>
      <c r="C566" s="413">
        <v>33133.75</v>
      </c>
    </row>
    <row r="567" spans="1:3" ht="23.25">
      <c r="A567" s="412">
        <v>96251</v>
      </c>
      <c r="B567" s="412" t="s">
        <v>1275</v>
      </c>
      <c r="C567" s="413">
        <v>64775.1</v>
      </c>
    </row>
    <row r="568" spans="1:3" ht="23.25">
      <c r="A568" s="412">
        <v>96301</v>
      </c>
      <c r="B568" s="412" t="s">
        <v>1276</v>
      </c>
      <c r="C568" s="413">
        <v>3428289.9999999995</v>
      </c>
    </row>
    <row r="569" spans="1:3" ht="23.25">
      <c r="A569" s="412">
        <v>96302</v>
      </c>
      <c r="B569" s="412" t="s">
        <v>1277</v>
      </c>
      <c r="C569" s="413">
        <v>22405.93</v>
      </c>
    </row>
    <row r="570" spans="1:3" ht="23.25">
      <c r="A570" s="412">
        <v>96304</v>
      </c>
      <c r="B570" s="412" t="s">
        <v>1278</v>
      </c>
      <c r="C570" s="413">
        <v>37823.32</v>
      </c>
    </row>
    <row r="571" spans="1:3" ht="23.25">
      <c r="A571" s="412">
        <v>96305</v>
      </c>
      <c r="B571" s="412" t="s">
        <v>1279</v>
      </c>
      <c r="C571" s="413">
        <v>40727.230000000003</v>
      </c>
    </row>
    <row r="572" spans="1:3" ht="23.25">
      <c r="A572" s="412">
        <v>96310</v>
      </c>
      <c r="B572" s="412" t="s">
        <v>1280</v>
      </c>
      <c r="C572" s="413">
        <v>49566.2</v>
      </c>
    </row>
    <row r="573" spans="1:3" ht="23.25">
      <c r="A573" s="412">
        <v>96311</v>
      </c>
      <c r="B573" s="412" t="s">
        <v>1281</v>
      </c>
      <c r="C573" s="413">
        <v>943439.94</v>
      </c>
    </row>
    <row r="574" spans="1:3" ht="23.25">
      <c r="A574" s="412">
        <v>96312</v>
      </c>
      <c r="B574" s="412" t="s">
        <v>1282</v>
      </c>
      <c r="C574" s="413">
        <v>5679.07</v>
      </c>
    </row>
    <row r="575" spans="1:3" ht="23.25">
      <c r="A575" s="412">
        <v>96318</v>
      </c>
      <c r="B575" s="412" t="s">
        <v>1283</v>
      </c>
      <c r="C575" s="413">
        <v>1843927.34</v>
      </c>
    </row>
    <row r="576" spans="1:3" ht="23.25">
      <c r="A576" s="412">
        <v>96321</v>
      </c>
      <c r="B576" s="412" t="s">
        <v>1284</v>
      </c>
      <c r="C576" s="413">
        <v>29751</v>
      </c>
    </row>
    <row r="577" spans="1:3" ht="23.25">
      <c r="A577" s="412">
        <v>96331</v>
      </c>
      <c r="B577" s="412" t="s">
        <v>1285</v>
      </c>
      <c r="C577" s="413">
        <v>473642.17</v>
      </c>
    </row>
    <row r="578" spans="1:3" ht="23.25">
      <c r="A578" s="412">
        <v>96341</v>
      </c>
      <c r="B578" s="412" t="s">
        <v>1286</v>
      </c>
      <c r="C578" s="413">
        <v>47529.54</v>
      </c>
    </row>
    <row r="579" spans="1:3" ht="23.25">
      <c r="A579" s="412">
        <v>96351</v>
      </c>
      <c r="B579" s="412" t="s">
        <v>1287</v>
      </c>
      <c r="C579" s="413">
        <v>765575.99</v>
      </c>
    </row>
    <row r="580" spans="1:3" ht="23.25">
      <c r="A580" s="412">
        <v>96361</v>
      </c>
      <c r="B580" s="412" t="s">
        <v>1288</v>
      </c>
      <c r="C580" s="413">
        <v>35626.450000000004</v>
      </c>
    </row>
    <row r="581" spans="1:3" ht="23.25">
      <c r="A581" s="412">
        <v>96371</v>
      </c>
      <c r="B581" s="412" t="s">
        <v>1289</v>
      </c>
      <c r="C581" s="413">
        <v>108667.33</v>
      </c>
    </row>
    <row r="582" spans="1:3" ht="23.25">
      <c r="A582" s="412">
        <v>96381</v>
      </c>
      <c r="B582" s="412" t="s">
        <v>1290</v>
      </c>
      <c r="C582" s="413">
        <v>24007.41</v>
      </c>
    </row>
    <row r="583" spans="1:3" ht="23.25">
      <c r="A583" s="412">
        <v>96391</v>
      </c>
      <c r="B583" s="412" t="s">
        <v>1291</v>
      </c>
      <c r="C583" s="413">
        <v>115323.01999999999</v>
      </c>
    </row>
    <row r="584" spans="1:3" ht="23.25">
      <c r="A584" s="412">
        <v>96401</v>
      </c>
      <c r="B584" s="412" t="s">
        <v>1292</v>
      </c>
      <c r="C584" s="413">
        <v>3177511.01</v>
      </c>
    </row>
    <row r="585" spans="1:3" ht="23.25">
      <c r="A585" s="412">
        <v>96404</v>
      </c>
      <c r="B585" s="412" t="s">
        <v>1293</v>
      </c>
      <c r="C585" s="413">
        <v>97365.96</v>
      </c>
    </row>
    <row r="586" spans="1:3" ht="23.25">
      <c r="A586" s="412">
        <v>96405</v>
      </c>
      <c r="B586" s="412" t="s">
        <v>1294</v>
      </c>
      <c r="C586" s="413">
        <v>120920.35</v>
      </c>
    </row>
    <row r="587" spans="1:3" ht="23.25">
      <c r="A587" s="412">
        <v>96411</v>
      </c>
      <c r="B587" s="412" t="s">
        <v>1295</v>
      </c>
      <c r="C587" s="413">
        <v>44463.23</v>
      </c>
    </row>
    <row r="588" spans="1:3" ht="23.25">
      <c r="A588" s="412">
        <v>96421</v>
      </c>
      <c r="B588" s="412" t="s">
        <v>1296</v>
      </c>
      <c r="C588" s="413">
        <v>285986.14999999997</v>
      </c>
    </row>
    <row r="589" spans="1:3" ht="23.25">
      <c r="A589" s="412">
        <v>96431</v>
      </c>
      <c r="B589" s="412" t="s">
        <v>1297</v>
      </c>
      <c r="C589" s="413">
        <v>40890.490000000005</v>
      </c>
    </row>
    <row r="590" spans="1:3" ht="23.25">
      <c r="A590" s="412">
        <v>96441</v>
      </c>
      <c r="B590" s="412" t="s">
        <v>1298</v>
      </c>
      <c r="C590" s="413">
        <v>21584.17</v>
      </c>
    </row>
    <row r="591" spans="1:3" ht="23.25">
      <c r="A591" s="412">
        <v>96451</v>
      </c>
      <c r="B591" s="412" t="s">
        <v>1299</v>
      </c>
      <c r="C591" s="413">
        <v>10578.269999999999</v>
      </c>
    </row>
    <row r="592" spans="1:3" ht="23.25">
      <c r="A592" s="412">
        <v>96461</v>
      </c>
      <c r="B592" s="412" t="s">
        <v>1300</v>
      </c>
      <c r="C592" s="413">
        <v>107412.27</v>
      </c>
    </row>
    <row r="593" spans="1:3" ht="23.25">
      <c r="A593" s="412">
        <v>96501</v>
      </c>
      <c r="B593" s="412" t="s">
        <v>1301</v>
      </c>
      <c r="C593" s="413">
        <v>10616827.689999999</v>
      </c>
    </row>
    <row r="594" spans="1:3" ht="23.25">
      <c r="A594" s="412">
        <v>96502</v>
      </c>
      <c r="B594" s="412" t="s">
        <v>1302</v>
      </c>
      <c r="C594" s="413">
        <v>280741.27</v>
      </c>
    </row>
    <row r="595" spans="1:3" ht="23.25">
      <c r="A595" s="412">
        <v>96503</v>
      </c>
      <c r="B595" s="412" t="s">
        <v>1303</v>
      </c>
      <c r="C595" s="413">
        <v>496468.33999999997</v>
      </c>
    </row>
    <row r="596" spans="1:3" ht="23.25">
      <c r="A596" s="412">
        <v>96504</v>
      </c>
      <c r="B596" s="412" t="s">
        <v>1304</v>
      </c>
      <c r="C596" s="413">
        <v>287224.81</v>
      </c>
    </row>
    <row r="597" spans="1:3" ht="23.25">
      <c r="A597" s="412">
        <v>96507</v>
      </c>
      <c r="B597" s="412" t="s">
        <v>1305</v>
      </c>
      <c r="C597" s="413">
        <v>1839436.88</v>
      </c>
    </row>
    <row r="598" spans="1:3" ht="23.25">
      <c r="A598" s="412">
        <v>96508</v>
      </c>
      <c r="B598" s="412" t="s">
        <v>1306</v>
      </c>
      <c r="C598" s="413">
        <v>16374.25</v>
      </c>
    </row>
    <row r="599" spans="1:3" ht="23.25">
      <c r="A599" s="412">
        <v>96511</v>
      </c>
      <c r="B599" s="412" t="s">
        <v>1307</v>
      </c>
      <c r="C599" s="413">
        <v>410437.38000000006</v>
      </c>
    </row>
    <row r="600" spans="1:3" ht="23.25">
      <c r="A600" s="412">
        <v>96512</v>
      </c>
      <c r="B600" s="412" t="s">
        <v>1308</v>
      </c>
      <c r="C600" s="413">
        <v>117965.33</v>
      </c>
    </row>
    <row r="601" spans="1:3" ht="23.25">
      <c r="A601" s="412">
        <v>96519</v>
      </c>
      <c r="B601" s="412" t="s">
        <v>1615</v>
      </c>
      <c r="C601" s="413">
        <v>0</v>
      </c>
    </row>
    <row r="602" spans="1:3" ht="23.25">
      <c r="A602" s="412">
        <v>96521</v>
      </c>
      <c r="B602" s="412" t="s">
        <v>1309</v>
      </c>
      <c r="C602" s="413">
        <v>654647.65</v>
      </c>
    </row>
    <row r="603" spans="1:3" ht="23.25">
      <c r="A603" s="412">
        <v>96531</v>
      </c>
      <c r="B603" s="412" t="s">
        <v>1310</v>
      </c>
      <c r="C603" s="413">
        <v>5876873.6399999997</v>
      </c>
    </row>
    <row r="604" spans="1:3" ht="23.25">
      <c r="A604" s="412">
        <v>96541</v>
      </c>
      <c r="B604" s="412" t="s">
        <v>1311</v>
      </c>
      <c r="C604" s="413">
        <v>273212.43000000005</v>
      </c>
    </row>
    <row r="605" spans="1:3" ht="23.25">
      <c r="A605" s="412">
        <v>96601</v>
      </c>
      <c r="B605" s="412" t="s">
        <v>1312</v>
      </c>
      <c r="C605" s="413">
        <v>1194233.3400000001</v>
      </c>
    </row>
    <row r="606" spans="1:3" ht="23.25">
      <c r="A606" s="412">
        <v>96604</v>
      </c>
      <c r="B606" s="412" t="s">
        <v>1313</v>
      </c>
      <c r="C606" s="413">
        <v>6444.03</v>
      </c>
    </row>
    <row r="607" spans="1:3" ht="23.25">
      <c r="A607" s="412">
        <v>96611</v>
      </c>
      <c r="B607" s="412" t="s">
        <v>1314</v>
      </c>
      <c r="C607" s="413">
        <v>12079.12</v>
      </c>
    </row>
    <row r="608" spans="1:3" ht="23.25">
      <c r="A608" s="412">
        <v>96612</v>
      </c>
      <c r="B608" s="412" t="s">
        <v>1315</v>
      </c>
      <c r="C608" s="413">
        <v>43818.49</v>
      </c>
    </row>
    <row r="609" spans="1:3" ht="23.25">
      <c r="A609" s="412">
        <v>96621</v>
      </c>
      <c r="B609" s="412" t="s">
        <v>1316</v>
      </c>
      <c r="C609" s="413">
        <v>22342.94</v>
      </c>
    </row>
    <row r="610" spans="1:3" ht="23.25">
      <c r="A610" s="412">
        <v>96631</v>
      </c>
      <c r="B610" s="412" t="s">
        <v>1317</v>
      </c>
      <c r="C610" s="413">
        <v>19108.03</v>
      </c>
    </row>
    <row r="611" spans="1:3" ht="23.25">
      <c r="A611" s="412">
        <v>96641</v>
      </c>
      <c r="B611" s="412" t="s">
        <v>1318</v>
      </c>
      <c r="C611" s="413">
        <v>31429.339999999997</v>
      </c>
    </row>
    <row r="612" spans="1:3" ht="23.25">
      <c r="A612" s="412">
        <v>96651</v>
      </c>
      <c r="B612" s="412" t="s">
        <v>1319</v>
      </c>
      <c r="C612" s="413">
        <v>17459.810000000001</v>
      </c>
    </row>
    <row r="613" spans="1:3" ht="23.25">
      <c r="A613" s="412">
        <v>96661</v>
      </c>
      <c r="B613" s="412" t="s">
        <v>1320</v>
      </c>
      <c r="C613" s="413">
        <v>14294.259999999998</v>
      </c>
    </row>
    <row r="614" spans="1:3" ht="23.25">
      <c r="A614" s="412">
        <v>96671</v>
      </c>
      <c r="B614" s="412" t="s">
        <v>1321</v>
      </c>
      <c r="C614" s="413">
        <v>15272.52</v>
      </c>
    </row>
    <row r="615" spans="1:3" ht="23.25">
      <c r="A615" s="412">
        <v>96681</v>
      </c>
      <c r="B615" s="412" t="s">
        <v>1322</v>
      </c>
      <c r="C615" s="413">
        <v>21634</v>
      </c>
    </row>
    <row r="616" spans="1:3" ht="23.25">
      <c r="A616" s="412">
        <v>96701</v>
      </c>
      <c r="B616" s="412" t="s">
        <v>1323</v>
      </c>
      <c r="C616" s="413">
        <v>5463006.9000000004</v>
      </c>
    </row>
    <row r="617" spans="1:3" ht="23.25">
      <c r="A617" s="412">
        <v>96704</v>
      </c>
      <c r="B617" s="412" t="s">
        <v>1324</v>
      </c>
      <c r="C617" s="413">
        <v>189190.38</v>
      </c>
    </row>
    <row r="618" spans="1:3" ht="23.25">
      <c r="A618" s="412">
        <v>96708</v>
      </c>
      <c r="B618" s="412" t="s">
        <v>1325</v>
      </c>
      <c r="C618" s="413">
        <v>674807.51</v>
      </c>
    </row>
    <row r="619" spans="1:3" ht="23.25">
      <c r="A619" s="412">
        <v>96711</v>
      </c>
      <c r="B619" s="412" t="s">
        <v>1326</v>
      </c>
      <c r="C619" s="413">
        <v>2677164.41</v>
      </c>
    </row>
    <row r="620" spans="1:3" ht="23.25">
      <c r="A620" s="412">
        <v>96721</v>
      </c>
      <c r="B620" s="412" t="s">
        <v>1327</v>
      </c>
      <c r="C620" s="413">
        <v>171822.79</v>
      </c>
    </row>
    <row r="621" spans="1:3" ht="23.25">
      <c r="A621" s="412">
        <v>96731</v>
      </c>
      <c r="B621" s="412" t="s">
        <v>1328</v>
      </c>
      <c r="C621" s="413">
        <v>120837.66</v>
      </c>
    </row>
    <row r="622" spans="1:3" ht="23.25">
      <c r="A622" s="412">
        <v>96741</v>
      </c>
      <c r="B622" s="412" t="s">
        <v>1330</v>
      </c>
      <c r="C622" s="413">
        <v>60698.02</v>
      </c>
    </row>
    <row r="623" spans="1:3" ht="23.25">
      <c r="A623" s="412">
        <v>96751</v>
      </c>
      <c r="B623" s="412" t="s">
        <v>1331</v>
      </c>
      <c r="C623" s="413">
        <v>217087.21</v>
      </c>
    </row>
    <row r="624" spans="1:3" ht="23.25">
      <c r="A624" s="412">
        <v>96801</v>
      </c>
      <c r="B624" s="412" t="s">
        <v>1332</v>
      </c>
      <c r="C624" s="413">
        <v>5563511.0899999999</v>
      </c>
    </row>
    <row r="625" spans="1:3" ht="23.25">
      <c r="A625" s="412">
        <v>96804</v>
      </c>
      <c r="B625" s="412" t="s">
        <v>1333</v>
      </c>
      <c r="C625" s="413">
        <v>163105.97</v>
      </c>
    </row>
    <row r="626" spans="1:3" ht="23.25">
      <c r="A626" s="412">
        <v>96808</v>
      </c>
      <c r="B626" s="412" t="s">
        <v>1334</v>
      </c>
      <c r="C626" s="413">
        <v>958602.27</v>
      </c>
    </row>
    <row r="627" spans="1:3" ht="23.25">
      <c r="A627" s="412">
        <v>96811</v>
      </c>
      <c r="B627" s="412" t="s">
        <v>1335</v>
      </c>
      <c r="C627" s="413">
        <v>4082856.57</v>
      </c>
    </row>
    <row r="628" spans="1:3" ht="23.25">
      <c r="A628" s="412">
        <v>96821</v>
      </c>
      <c r="B628" s="412" t="s">
        <v>1336</v>
      </c>
      <c r="C628" s="413">
        <v>965594.23</v>
      </c>
    </row>
    <row r="629" spans="1:3" ht="23.25">
      <c r="A629" s="412">
        <v>96831</v>
      </c>
      <c r="B629" s="412" t="s">
        <v>1337</v>
      </c>
      <c r="C629" s="413">
        <v>642542.84</v>
      </c>
    </row>
    <row r="630" spans="1:3" ht="23.25">
      <c r="A630" s="412">
        <v>96901</v>
      </c>
      <c r="B630" s="412" t="s">
        <v>1338</v>
      </c>
      <c r="C630" s="413">
        <v>637266.42000000004</v>
      </c>
    </row>
    <row r="631" spans="1:3" ht="23.25">
      <c r="A631" s="412">
        <v>96911</v>
      </c>
      <c r="B631" s="412" t="s">
        <v>1339</v>
      </c>
      <c r="C631" s="413">
        <v>4026.95</v>
      </c>
    </row>
    <row r="632" spans="1:3" ht="23.25">
      <c r="A632" s="412">
        <v>96912</v>
      </c>
      <c r="B632" s="412" t="s">
        <v>1340</v>
      </c>
      <c r="C632" s="413">
        <v>48884.36</v>
      </c>
    </row>
    <row r="633" spans="1:3" ht="23.25">
      <c r="A633" s="412">
        <v>96918</v>
      </c>
      <c r="B633" s="412" t="s">
        <v>1341</v>
      </c>
      <c r="C633" s="413">
        <v>31789.86</v>
      </c>
    </row>
    <row r="634" spans="1:3" ht="23.25">
      <c r="A634" s="412">
        <v>97001</v>
      </c>
      <c r="B634" s="412" t="s">
        <v>1342</v>
      </c>
      <c r="C634" s="413">
        <v>1200689.69</v>
      </c>
    </row>
    <row r="635" spans="1:3" ht="23.25">
      <c r="A635" s="412">
        <v>97002</v>
      </c>
      <c r="B635" s="412" t="s">
        <v>1343</v>
      </c>
      <c r="C635" s="413">
        <v>275796.81</v>
      </c>
    </row>
    <row r="636" spans="1:3" ht="23.25">
      <c r="A636" s="412">
        <v>97004</v>
      </c>
      <c r="B636" s="412" t="s">
        <v>1344</v>
      </c>
      <c r="C636" s="413">
        <v>12933.45</v>
      </c>
    </row>
    <row r="637" spans="1:3" ht="23.25">
      <c r="A637" s="412">
        <v>97005</v>
      </c>
      <c r="B637" s="412" t="s">
        <v>1345</v>
      </c>
      <c r="C637" s="413">
        <v>23282.78</v>
      </c>
    </row>
    <row r="638" spans="1:3" ht="23.25">
      <c r="A638" s="412">
        <v>97008</v>
      </c>
      <c r="B638" s="412" t="s">
        <v>1346</v>
      </c>
      <c r="C638" s="413">
        <v>224894.29</v>
      </c>
    </row>
    <row r="639" spans="1:3" ht="23.25">
      <c r="A639" s="412">
        <v>97010</v>
      </c>
      <c r="B639" s="412" t="s">
        <v>1347</v>
      </c>
      <c r="C639" s="413">
        <v>0</v>
      </c>
    </row>
    <row r="640" spans="1:3" ht="23.25">
      <c r="A640" s="412">
        <v>97011</v>
      </c>
      <c r="B640" s="412" t="s">
        <v>1348</v>
      </c>
      <c r="C640" s="413">
        <v>1380151.48</v>
      </c>
    </row>
    <row r="641" spans="1:3" ht="23.25">
      <c r="A641" s="412">
        <v>97012</v>
      </c>
      <c r="B641" s="412" t="s">
        <v>1349</v>
      </c>
      <c r="C641" s="413">
        <v>23714.260000000002</v>
      </c>
    </row>
    <row r="642" spans="1:3" ht="23.25">
      <c r="A642" s="412">
        <v>97013</v>
      </c>
      <c r="B642" s="412" t="s">
        <v>1350</v>
      </c>
      <c r="C642" s="413">
        <v>18310.16</v>
      </c>
    </row>
    <row r="643" spans="1:3" ht="23.25">
      <c r="A643" s="412">
        <v>97015</v>
      </c>
      <c r="B643" s="412" t="s">
        <v>1351</v>
      </c>
      <c r="C643" s="413">
        <v>37329.53</v>
      </c>
    </row>
    <row r="644" spans="1:3" ht="23.25">
      <c r="A644" s="412">
        <v>97018</v>
      </c>
      <c r="B644" s="412" t="s">
        <v>1352</v>
      </c>
      <c r="C644" s="413">
        <v>8464.16</v>
      </c>
    </row>
    <row r="645" spans="1:3" ht="23.25">
      <c r="A645" s="412">
        <v>97101</v>
      </c>
      <c r="B645" s="412" t="s">
        <v>1353</v>
      </c>
      <c r="C645" s="413">
        <v>2116732.4299999997</v>
      </c>
    </row>
    <row r="646" spans="1:3" ht="23.25">
      <c r="A646" s="412">
        <v>97104</v>
      </c>
      <c r="B646" s="412" t="s">
        <v>1354</v>
      </c>
      <c r="C646" s="413">
        <v>53195.5</v>
      </c>
    </row>
    <row r="647" spans="1:3" ht="23.25">
      <c r="A647" s="412">
        <v>97111</v>
      </c>
      <c r="B647" s="412" t="s">
        <v>1355</v>
      </c>
      <c r="C647" s="413">
        <v>201826.72</v>
      </c>
    </row>
    <row r="648" spans="1:3" ht="23.25">
      <c r="A648" s="412">
        <v>97121</v>
      </c>
      <c r="B648" s="412" t="s">
        <v>1356</v>
      </c>
      <c r="C648" s="413">
        <v>141120.62</v>
      </c>
    </row>
    <row r="649" spans="1:3" ht="23.25">
      <c r="A649" s="412">
        <v>97131</v>
      </c>
      <c r="B649" s="412" t="s">
        <v>1357</v>
      </c>
      <c r="C649" s="413">
        <v>451873.81</v>
      </c>
    </row>
    <row r="650" spans="1:3" ht="23.25">
      <c r="A650" s="412">
        <v>97201</v>
      </c>
      <c r="B650" s="412" t="s">
        <v>1358</v>
      </c>
      <c r="C650" s="413">
        <v>417632.65000000008</v>
      </c>
    </row>
    <row r="651" spans="1:3" ht="23.25">
      <c r="A651" s="412">
        <v>97211</v>
      </c>
      <c r="B651" s="412" t="s">
        <v>1359</v>
      </c>
      <c r="C651" s="413">
        <v>118022.26000000001</v>
      </c>
    </row>
    <row r="652" spans="1:3" ht="23.25">
      <c r="A652" s="412">
        <v>97213</v>
      </c>
      <c r="B652" s="412" t="s">
        <v>1360</v>
      </c>
      <c r="C652" s="413">
        <v>28304.63</v>
      </c>
    </row>
    <row r="653" spans="1:3" ht="23.25">
      <c r="A653" s="412">
        <v>97217</v>
      </c>
      <c r="B653" s="412" t="s">
        <v>1361</v>
      </c>
      <c r="C653" s="413">
        <v>6621.11</v>
      </c>
    </row>
    <row r="654" spans="1:3" ht="23.25">
      <c r="A654" s="412">
        <v>97221</v>
      </c>
      <c r="B654" s="412" t="s">
        <v>1362</v>
      </c>
      <c r="C654" s="413">
        <v>9443.4399999999987</v>
      </c>
    </row>
    <row r="655" spans="1:3" ht="23.25">
      <c r="A655" s="412">
        <v>97301</v>
      </c>
      <c r="B655" s="412" t="s">
        <v>1363</v>
      </c>
      <c r="C655" s="413">
        <v>1906179.9200000002</v>
      </c>
    </row>
    <row r="656" spans="1:3" ht="23.25">
      <c r="A656" s="412">
        <v>97302</v>
      </c>
      <c r="B656" s="412" t="s">
        <v>3611</v>
      </c>
      <c r="C656" s="413">
        <v>42590.37</v>
      </c>
    </row>
    <row r="657" spans="1:3" ht="23.25">
      <c r="A657" s="412">
        <v>97304</v>
      </c>
      <c r="B657" s="412" t="s">
        <v>1364</v>
      </c>
      <c r="C657" s="413">
        <v>27631.98</v>
      </c>
    </row>
    <row r="658" spans="1:3" ht="23.25">
      <c r="A658" s="412">
        <v>97311</v>
      </c>
      <c r="B658" s="412" t="s">
        <v>1365</v>
      </c>
      <c r="C658" s="413">
        <v>636530.05000000005</v>
      </c>
    </row>
    <row r="659" spans="1:3" ht="23.25">
      <c r="A659" s="412">
        <v>97401</v>
      </c>
      <c r="B659" s="412" t="s">
        <v>1366</v>
      </c>
      <c r="C659" s="413">
        <v>5235543.67</v>
      </c>
    </row>
    <row r="660" spans="1:3" ht="23.25">
      <c r="A660" s="412">
        <v>97402</v>
      </c>
      <c r="B660" s="412" t="s">
        <v>1367</v>
      </c>
      <c r="C660" s="413">
        <v>38015.360000000001</v>
      </c>
    </row>
    <row r="661" spans="1:3" ht="23.25">
      <c r="A661" s="412">
        <v>97404</v>
      </c>
      <c r="B661" s="412" t="s">
        <v>1368</v>
      </c>
      <c r="C661" s="413">
        <v>162246.32999999999</v>
      </c>
    </row>
    <row r="662" spans="1:3" ht="23.25">
      <c r="A662" s="412">
        <v>97405</v>
      </c>
      <c r="B662" s="412" t="s">
        <v>1369</v>
      </c>
      <c r="C662" s="413">
        <v>91863.78</v>
      </c>
    </row>
    <row r="663" spans="1:3" ht="23.25">
      <c r="A663" s="412">
        <v>97408</v>
      </c>
      <c r="B663" s="412" t="s">
        <v>1370</v>
      </c>
      <c r="C663" s="413">
        <v>38723.67</v>
      </c>
    </row>
    <row r="664" spans="1:3" ht="23.25">
      <c r="A664" s="412">
        <v>97411</v>
      </c>
      <c r="B664" s="412" t="s">
        <v>1371</v>
      </c>
      <c r="C664" s="413">
        <v>4217238.6999999993</v>
      </c>
    </row>
    <row r="665" spans="1:3" ht="23.25">
      <c r="A665" s="412">
        <v>97412</v>
      </c>
      <c r="B665" s="412" t="s">
        <v>1372</v>
      </c>
      <c r="C665" s="413">
        <v>3300424.19</v>
      </c>
    </row>
    <row r="666" spans="1:3" ht="23.25">
      <c r="A666" s="412">
        <v>97413</v>
      </c>
      <c r="B666" s="412" t="s">
        <v>1373</v>
      </c>
      <c r="C666" s="413">
        <v>253890.41</v>
      </c>
    </row>
    <row r="667" spans="1:3" ht="23.25">
      <c r="A667" s="412">
        <v>97421</v>
      </c>
      <c r="B667" s="412" t="s">
        <v>1374</v>
      </c>
      <c r="C667" s="413">
        <v>299145.42</v>
      </c>
    </row>
    <row r="668" spans="1:3" ht="23.25">
      <c r="A668" s="412">
        <v>97423</v>
      </c>
      <c r="B668" s="412" t="s">
        <v>1375</v>
      </c>
      <c r="C668" s="413">
        <v>40958.14</v>
      </c>
    </row>
    <row r="669" spans="1:3" ht="23.25">
      <c r="A669" s="412">
        <v>97431</v>
      </c>
      <c r="B669" s="412" t="s">
        <v>1376</v>
      </c>
      <c r="C669" s="413">
        <v>69274.049999999988</v>
      </c>
    </row>
    <row r="670" spans="1:3" ht="23.25">
      <c r="A670" s="412">
        <v>97441</v>
      </c>
      <c r="B670" s="412" t="s">
        <v>1377</v>
      </c>
      <c r="C670" s="413">
        <v>33628.409999999996</v>
      </c>
    </row>
    <row r="671" spans="1:3" ht="23.25">
      <c r="A671" s="412">
        <v>97451</v>
      </c>
      <c r="B671" s="412" t="s">
        <v>1378</v>
      </c>
      <c r="C671" s="413">
        <v>452375.73000000004</v>
      </c>
    </row>
    <row r="672" spans="1:3" ht="23.25">
      <c r="A672" s="412">
        <v>97461</v>
      </c>
      <c r="B672" s="412" t="s">
        <v>1379</v>
      </c>
      <c r="C672" s="413">
        <v>371567.87000000005</v>
      </c>
    </row>
    <row r="673" spans="1:3" ht="23.25">
      <c r="A673" s="412">
        <v>97463</v>
      </c>
      <c r="B673" s="412" t="s">
        <v>1380</v>
      </c>
      <c r="C673" s="413">
        <v>0</v>
      </c>
    </row>
    <row r="674" spans="1:3" ht="23.25">
      <c r="A674" s="412">
        <v>97471</v>
      </c>
      <c r="B674" s="412" t="s">
        <v>1381</v>
      </c>
      <c r="C674" s="413">
        <v>18383.64</v>
      </c>
    </row>
    <row r="675" spans="1:3" ht="23.25">
      <c r="A675" s="412">
        <v>97481</v>
      </c>
      <c r="B675" s="412" t="s">
        <v>1382</v>
      </c>
      <c r="C675" s="413">
        <v>2620.15</v>
      </c>
    </row>
    <row r="676" spans="1:3" ht="23.25">
      <c r="A676" s="412">
        <v>97491</v>
      </c>
      <c r="B676" s="412" t="s">
        <v>3714</v>
      </c>
      <c r="C676" s="413">
        <v>0</v>
      </c>
    </row>
    <row r="677" spans="1:3" ht="23.25">
      <c r="A677" s="412">
        <v>97501</v>
      </c>
      <c r="B677" s="412" t="s">
        <v>1384</v>
      </c>
      <c r="C677" s="413">
        <v>932265.6</v>
      </c>
    </row>
    <row r="678" spans="1:3" ht="23.25">
      <c r="A678" s="412">
        <v>97511</v>
      </c>
      <c r="B678" s="412" t="s">
        <v>1385</v>
      </c>
      <c r="C678" s="413">
        <v>187266.74</v>
      </c>
    </row>
    <row r="679" spans="1:3" ht="23.25">
      <c r="A679" s="412">
        <v>97517</v>
      </c>
      <c r="B679" s="412" t="s">
        <v>3733</v>
      </c>
      <c r="C679" s="413">
        <v>1437.14</v>
      </c>
    </row>
    <row r="680" spans="1:3" ht="23.25">
      <c r="A680" s="412">
        <v>97521</v>
      </c>
      <c r="B680" s="412" t="s">
        <v>1386</v>
      </c>
      <c r="C680" s="413">
        <v>86912.21</v>
      </c>
    </row>
    <row r="681" spans="1:3" ht="23.25">
      <c r="A681" s="412">
        <v>97527</v>
      </c>
      <c r="B681" s="412" t="s">
        <v>1637</v>
      </c>
      <c r="C681" s="413">
        <v>7557.7999999999993</v>
      </c>
    </row>
    <row r="682" spans="1:3" ht="23.25">
      <c r="A682" s="412">
        <v>97531</v>
      </c>
      <c r="B682" s="412" t="s">
        <v>1387</v>
      </c>
      <c r="C682" s="413">
        <v>50820.24</v>
      </c>
    </row>
    <row r="683" spans="1:3" ht="23.25">
      <c r="A683" s="412">
        <v>97601</v>
      </c>
      <c r="B683" s="412" t="s">
        <v>1388</v>
      </c>
      <c r="C683" s="413">
        <v>3830373.25</v>
      </c>
    </row>
    <row r="684" spans="1:3" ht="23.25">
      <c r="A684" s="412">
        <v>97607</v>
      </c>
      <c r="B684" s="412" t="s">
        <v>1389</v>
      </c>
      <c r="C684" s="413">
        <v>22909.31</v>
      </c>
    </row>
    <row r="685" spans="1:3" ht="23.25">
      <c r="A685" s="412">
        <v>97611</v>
      </c>
      <c r="B685" s="412" t="s">
        <v>1390</v>
      </c>
      <c r="C685" s="413">
        <v>1802055.3699999999</v>
      </c>
    </row>
    <row r="686" spans="1:3" ht="23.25">
      <c r="A686" s="412">
        <v>97613</v>
      </c>
      <c r="B686" s="412" t="s">
        <v>1391</v>
      </c>
      <c r="C686" s="413">
        <v>93124.2</v>
      </c>
    </row>
    <row r="687" spans="1:3" ht="23.25">
      <c r="A687" s="412">
        <v>97621</v>
      </c>
      <c r="B687" s="412" t="s">
        <v>1392</v>
      </c>
      <c r="C687" s="413">
        <v>290044.55</v>
      </c>
    </row>
    <row r="688" spans="1:3" ht="23.25">
      <c r="A688" s="412">
        <v>97623</v>
      </c>
      <c r="B688" s="412" t="s">
        <v>1393</v>
      </c>
      <c r="C688" s="413">
        <v>20698.97</v>
      </c>
    </row>
    <row r="689" spans="1:3" ht="23.25">
      <c r="A689" s="412">
        <v>97627</v>
      </c>
      <c r="B689" s="412" t="s">
        <v>1394</v>
      </c>
      <c r="C689" s="413">
        <v>6732.74</v>
      </c>
    </row>
    <row r="690" spans="1:3" ht="23.25">
      <c r="A690" s="412">
        <v>97631</v>
      </c>
      <c r="B690" s="412" t="s">
        <v>1395</v>
      </c>
      <c r="C690" s="413">
        <v>145307.56</v>
      </c>
    </row>
    <row r="691" spans="1:3" ht="23.25">
      <c r="A691" s="412">
        <v>97637</v>
      </c>
      <c r="B691" s="412" t="s">
        <v>1396</v>
      </c>
      <c r="C691" s="413">
        <v>456.3</v>
      </c>
    </row>
    <row r="692" spans="1:3" ht="23.25">
      <c r="A692" s="412">
        <v>97641</v>
      </c>
      <c r="B692" s="412" t="s">
        <v>1397</v>
      </c>
      <c r="C692" s="413">
        <v>64166.200000000004</v>
      </c>
    </row>
    <row r="693" spans="1:3" ht="23.25">
      <c r="A693" s="412">
        <v>97651</v>
      </c>
      <c r="B693" s="412" t="s">
        <v>1398</v>
      </c>
      <c r="C693" s="413">
        <v>349866.24000000005</v>
      </c>
    </row>
    <row r="694" spans="1:3" ht="23.25">
      <c r="A694" s="412">
        <v>97661</v>
      </c>
      <c r="B694" s="412" t="s">
        <v>1399</v>
      </c>
      <c r="C694" s="413">
        <v>35483.89</v>
      </c>
    </row>
    <row r="695" spans="1:3" ht="23.25">
      <c r="A695" s="412">
        <v>97701</v>
      </c>
      <c r="B695" s="412" t="s">
        <v>1400</v>
      </c>
      <c r="C695" s="413">
        <v>1778148.31</v>
      </c>
    </row>
    <row r="696" spans="1:3" ht="23.25">
      <c r="A696" s="412">
        <v>97705</v>
      </c>
      <c r="B696" s="412" t="s">
        <v>1401</v>
      </c>
      <c r="C696" s="413">
        <v>31593.86</v>
      </c>
    </row>
    <row r="697" spans="1:3" ht="23.25">
      <c r="A697" s="412">
        <v>97711</v>
      </c>
      <c r="B697" s="412" t="s">
        <v>1402</v>
      </c>
      <c r="C697" s="413">
        <v>635249.56999999995</v>
      </c>
    </row>
    <row r="698" spans="1:3" ht="23.25">
      <c r="A698" s="412">
        <v>97713</v>
      </c>
      <c r="B698" s="412" t="s">
        <v>1403</v>
      </c>
      <c r="C698" s="413">
        <v>42981.05</v>
      </c>
    </row>
    <row r="699" spans="1:3" ht="23.25">
      <c r="A699" s="412">
        <v>97717</v>
      </c>
      <c r="B699" s="412" t="s">
        <v>1404</v>
      </c>
      <c r="C699" s="413">
        <v>11236.33</v>
      </c>
    </row>
    <row r="700" spans="1:3" ht="23.25">
      <c r="A700" s="412">
        <v>97721</v>
      </c>
      <c r="B700" s="412" t="s">
        <v>1405</v>
      </c>
      <c r="C700" s="413">
        <v>346485.58000000007</v>
      </c>
    </row>
    <row r="701" spans="1:3" ht="23.25">
      <c r="A701" s="412">
        <v>97727</v>
      </c>
      <c r="B701" s="412" t="s">
        <v>1406</v>
      </c>
      <c r="C701" s="413">
        <v>19007.28</v>
      </c>
    </row>
    <row r="702" spans="1:3" ht="23.25">
      <c r="A702" s="412">
        <v>97731</v>
      </c>
      <c r="B702" s="412" t="s">
        <v>1407</v>
      </c>
      <c r="C702" s="413">
        <v>28725.59</v>
      </c>
    </row>
    <row r="703" spans="1:3" ht="23.25">
      <c r="A703" s="412">
        <v>97801</v>
      </c>
      <c r="B703" s="412" t="s">
        <v>1408</v>
      </c>
      <c r="C703" s="413">
        <v>4860328.7</v>
      </c>
    </row>
    <row r="704" spans="1:3" ht="23.25">
      <c r="A704" s="412">
        <v>97802</v>
      </c>
      <c r="B704" s="412" t="s">
        <v>1409</v>
      </c>
      <c r="C704" s="413">
        <v>115528.22</v>
      </c>
    </row>
    <row r="705" spans="1:3" ht="23.25">
      <c r="A705" s="412">
        <v>97803</v>
      </c>
      <c r="B705" s="412" t="s">
        <v>1410</v>
      </c>
      <c r="C705" s="413">
        <v>62764.63</v>
      </c>
    </row>
    <row r="706" spans="1:3" ht="23.25">
      <c r="A706" s="412">
        <v>97805</v>
      </c>
      <c r="B706" s="412" t="s">
        <v>1411</v>
      </c>
      <c r="C706" s="413">
        <v>58567.1</v>
      </c>
    </row>
    <row r="707" spans="1:3" ht="23.25">
      <c r="A707" s="412">
        <v>97811</v>
      </c>
      <c r="B707" s="412" t="s">
        <v>1412</v>
      </c>
      <c r="C707" s="413">
        <v>1647851.33</v>
      </c>
    </row>
    <row r="708" spans="1:3" ht="23.25">
      <c r="A708" s="412">
        <v>97817</v>
      </c>
      <c r="B708" s="412" t="s">
        <v>1413</v>
      </c>
      <c r="C708" s="413">
        <v>20315.830000000002</v>
      </c>
    </row>
    <row r="709" spans="1:3" ht="23.25">
      <c r="A709" s="412">
        <v>97818</v>
      </c>
      <c r="B709" s="412" t="s">
        <v>1414</v>
      </c>
      <c r="C709" s="413">
        <v>16631.78</v>
      </c>
    </row>
    <row r="710" spans="1:3" ht="23.25">
      <c r="A710" s="412">
        <v>97821</v>
      </c>
      <c r="B710" s="412" t="s">
        <v>1415</v>
      </c>
      <c r="C710" s="413">
        <v>90604.88</v>
      </c>
    </row>
    <row r="711" spans="1:3" ht="23.25">
      <c r="A711" s="412">
        <v>97823</v>
      </c>
      <c r="B711" s="412" t="s">
        <v>1416</v>
      </c>
      <c r="C711" s="413">
        <v>17106.86</v>
      </c>
    </row>
    <row r="712" spans="1:3" ht="23.25">
      <c r="A712" s="412">
        <v>97831</v>
      </c>
      <c r="B712" s="412" t="s">
        <v>1417</v>
      </c>
      <c r="C712" s="413">
        <v>142213.27000000002</v>
      </c>
    </row>
    <row r="713" spans="1:3" ht="23.25">
      <c r="A713" s="412">
        <v>97837</v>
      </c>
      <c r="B713" s="412" t="s">
        <v>1418</v>
      </c>
      <c r="C713" s="413">
        <v>8088.16</v>
      </c>
    </row>
    <row r="714" spans="1:3" ht="23.25">
      <c r="A714" s="412">
        <v>97840</v>
      </c>
      <c r="B714" s="412" t="s">
        <v>1419</v>
      </c>
      <c r="C714" s="413">
        <v>161834.76</v>
      </c>
    </row>
    <row r="715" spans="1:3" ht="23.25">
      <c r="A715" s="412">
        <v>97841</v>
      </c>
      <c r="B715" s="412" t="s">
        <v>1420</v>
      </c>
      <c r="C715" s="413">
        <v>12575.65</v>
      </c>
    </row>
    <row r="716" spans="1:3" ht="23.25">
      <c r="A716" s="412">
        <v>97847</v>
      </c>
      <c r="B716" s="412" t="s">
        <v>1421</v>
      </c>
      <c r="C716" s="413">
        <v>3701.04</v>
      </c>
    </row>
    <row r="717" spans="1:3" ht="23.25">
      <c r="A717" s="412">
        <v>97851</v>
      </c>
      <c r="B717" s="412" t="s">
        <v>1422</v>
      </c>
      <c r="C717" s="413">
        <v>175045.41999999998</v>
      </c>
    </row>
    <row r="718" spans="1:3" ht="23.25">
      <c r="A718" s="412">
        <v>97853</v>
      </c>
      <c r="B718" s="412" t="s">
        <v>1423</v>
      </c>
      <c r="C718" s="413">
        <v>56136.37</v>
      </c>
    </row>
    <row r="719" spans="1:3" ht="23.25">
      <c r="A719" s="412">
        <v>97861</v>
      </c>
      <c r="B719" s="412" t="s">
        <v>1424</v>
      </c>
      <c r="C719" s="413">
        <v>44557.920000000006</v>
      </c>
    </row>
    <row r="720" spans="1:3" ht="23.25">
      <c r="A720" s="412">
        <v>97871</v>
      </c>
      <c r="B720" s="412" t="s">
        <v>1425</v>
      </c>
      <c r="C720" s="413">
        <v>381018.76</v>
      </c>
    </row>
    <row r="721" spans="1:3" ht="23.25">
      <c r="A721" s="412">
        <v>97877</v>
      </c>
      <c r="B721" s="412" t="s">
        <v>1426</v>
      </c>
      <c r="C721" s="413">
        <v>7865.3</v>
      </c>
    </row>
    <row r="722" spans="1:3" ht="23.25">
      <c r="A722" s="412">
        <v>97901</v>
      </c>
      <c r="B722" s="412" t="s">
        <v>1427</v>
      </c>
      <c r="C722" s="413">
        <v>2835494.7299999995</v>
      </c>
    </row>
    <row r="723" spans="1:3" ht="23.25">
      <c r="A723" s="412">
        <v>97911</v>
      </c>
      <c r="B723" s="412" t="s">
        <v>1428</v>
      </c>
      <c r="C723" s="413">
        <v>899537.74</v>
      </c>
    </row>
    <row r="724" spans="1:3" ht="23.25">
      <c r="A724" s="412">
        <v>97913</v>
      </c>
      <c r="B724" s="412" t="s">
        <v>1429</v>
      </c>
      <c r="C724" s="413">
        <v>38989.519999999997</v>
      </c>
    </row>
    <row r="725" spans="1:3" ht="23.25">
      <c r="A725" s="412">
        <v>97917</v>
      </c>
      <c r="B725" s="412" t="s">
        <v>1430</v>
      </c>
      <c r="C725" s="413">
        <v>23626.58</v>
      </c>
    </row>
    <row r="726" spans="1:3" ht="23.25">
      <c r="A726" s="412">
        <v>97921</v>
      </c>
      <c r="B726" s="412" t="s">
        <v>1431</v>
      </c>
      <c r="C726" s="413">
        <v>158750.93</v>
      </c>
    </row>
    <row r="727" spans="1:3" ht="23.25">
      <c r="A727" s="412">
        <v>97931</v>
      </c>
      <c r="B727" s="412" t="s">
        <v>1432</v>
      </c>
      <c r="C727" s="413">
        <v>51749.599999999999</v>
      </c>
    </row>
    <row r="728" spans="1:3" ht="23.25">
      <c r="A728" s="412">
        <v>97941</v>
      </c>
      <c r="B728" s="412" t="s">
        <v>1433</v>
      </c>
      <c r="C728" s="413">
        <v>146239.18</v>
      </c>
    </row>
    <row r="729" spans="1:3" ht="23.25">
      <c r="A729" s="412">
        <v>97947</v>
      </c>
      <c r="B729" s="412" t="s">
        <v>1434</v>
      </c>
      <c r="C729" s="413">
        <v>20131.05</v>
      </c>
    </row>
    <row r="730" spans="1:3" ht="23.25">
      <c r="A730" s="412">
        <v>97948</v>
      </c>
      <c r="B730" s="412" t="s">
        <v>1435</v>
      </c>
      <c r="C730" s="413">
        <v>16132.03</v>
      </c>
    </row>
    <row r="731" spans="1:3" ht="23.25">
      <c r="A731" s="412">
        <v>97951</v>
      </c>
      <c r="B731" s="412" t="s">
        <v>1436</v>
      </c>
      <c r="C731" s="413">
        <v>867812.84</v>
      </c>
    </row>
    <row r="732" spans="1:3" ht="23.25">
      <c r="A732" s="412">
        <v>97957</v>
      </c>
      <c r="B732" s="412" t="s">
        <v>1437</v>
      </c>
      <c r="C732" s="413">
        <v>18972.45</v>
      </c>
    </row>
    <row r="733" spans="1:3" ht="23.25">
      <c r="A733" s="412">
        <v>98001</v>
      </c>
      <c r="B733" s="412" t="s">
        <v>1438</v>
      </c>
      <c r="C733" s="413">
        <v>4028170.35</v>
      </c>
    </row>
    <row r="734" spans="1:3" ht="23.25">
      <c r="A734" s="412">
        <v>98002</v>
      </c>
      <c r="B734" s="412" t="s">
        <v>1439</v>
      </c>
      <c r="C734" s="413">
        <v>3498.98</v>
      </c>
    </row>
    <row r="735" spans="1:3" ht="23.25">
      <c r="A735" s="412">
        <v>98003</v>
      </c>
      <c r="B735" s="412" t="s">
        <v>1440</v>
      </c>
      <c r="C735" s="413">
        <v>93380.58</v>
      </c>
    </row>
    <row r="736" spans="1:3" ht="23.25">
      <c r="A736" s="412">
        <v>98004</v>
      </c>
      <c r="B736" s="412" t="s">
        <v>1441</v>
      </c>
      <c r="C736" s="413">
        <v>177230.67</v>
      </c>
    </row>
    <row r="737" spans="1:3" ht="23.25">
      <c r="A737" s="412">
        <v>98008</v>
      </c>
      <c r="B737" s="412" t="s">
        <v>1442</v>
      </c>
      <c r="C737" s="413">
        <v>5294.39</v>
      </c>
    </row>
    <row r="738" spans="1:3" ht="23.25">
      <c r="A738" s="412">
        <v>98011</v>
      </c>
      <c r="B738" s="412" t="s">
        <v>1443</v>
      </c>
      <c r="C738" s="413">
        <v>2212153.73</v>
      </c>
    </row>
    <row r="739" spans="1:3" ht="23.25">
      <c r="A739" s="412">
        <v>98013</v>
      </c>
      <c r="B739" s="412" t="s">
        <v>1444</v>
      </c>
      <c r="C739" s="413">
        <v>102944.07</v>
      </c>
    </row>
    <row r="740" spans="1:3" ht="23.25">
      <c r="A740" s="412">
        <v>98021</v>
      </c>
      <c r="B740" s="412" t="s">
        <v>1445</v>
      </c>
      <c r="C740" s="413">
        <v>41968.74</v>
      </c>
    </row>
    <row r="741" spans="1:3" ht="23.25">
      <c r="A741" s="412">
        <v>98023</v>
      </c>
      <c r="B741" s="412" t="s">
        <v>1446</v>
      </c>
      <c r="C741" s="413">
        <v>4024.92</v>
      </c>
    </row>
    <row r="742" spans="1:3" ht="23.25">
      <c r="A742" s="412">
        <v>98031</v>
      </c>
      <c r="B742" s="412" t="s">
        <v>1447</v>
      </c>
      <c r="C742" s="413">
        <v>115121.04000000001</v>
      </c>
    </row>
    <row r="743" spans="1:3" ht="23.25">
      <c r="A743" s="412">
        <v>98041</v>
      </c>
      <c r="B743" s="412" t="s">
        <v>1448</v>
      </c>
      <c r="C743" s="413">
        <v>153608.68</v>
      </c>
    </row>
    <row r="744" spans="1:3" ht="23.25">
      <c r="A744" s="412">
        <v>98051</v>
      </c>
      <c r="B744" s="412" t="s">
        <v>1449</v>
      </c>
      <c r="C744" s="413">
        <v>204138.96999999997</v>
      </c>
    </row>
    <row r="745" spans="1:3" ht="23.25">
      <c r="A745" s="412">
        <v>98061</v>
      </c>
      <c r="B745" s="412" t="s">
        <v>1450</v>
      </c>
      <c r="C745" s="413">
        <v>85750.12</v>
      </c>
    </row>
    <row r="746" spans="1:3" ht="23.25">
      <c r="A746" s="412">
        <v>98071</v>
      </c>
      <c r="B746" s="412" t="s">
        <v>1451</v>
      </c>
      <c r="C746" s="413">
        <v>53136.810000000005</v>
      </c>
    </row>
    <row r="747" spans="1:3" ht="23.25">
      <c r="A747" s="412">
        <v>98081</v>
      </c>
      <c r="B747" s="412" t="s">
        <v>1452</v>
      </c>
      <c r="C747" s="413">
        <v>11540.77</v>
      </c>
    </row>
    <row r="748" spans="1:3" ht="23.25">
      <c r="A748" s="412">
        <v>98091</v>
      </c>
      <c r="B748" s="412" t="s">
        <v>1453</v>
      </c>
      <c r="C748" s="413">
        <v>40475.829999999994</v>
      </c>
    </row>
    <row r="749" spans="1:3" ht="23.25">
      <c r="A749" s="412">
        <v>98101</v>
      </c>
      <c r="B749" s="412" t="s">
        <v>1454</v>
      </c>
      <c r="C749" s="413">
        <v>1941637.76</v>
      </c>
    </row>
    <row r="750" spans="1:3" ht="23.25">
      <c r="A750" s="412">
        <v>98102</v>
      </c>
      <c r="B750" s="412" t="s">
        <v>1455</v>
      </c>
      <c r="C750" s="413">
        <v>121275.43</v>
      </c>
    </row>
    <row r="751" spans="1:3" ht="23.25">
      <c r="A751" s="412">
        <v>98103</v>
      </c>
      <c r="B751" s="412" t="s">
        <v>3725</v>
      </c>
      <c r="C751" s="413">
        <v>364964.52</v>
      </c>
    </row>
    <row r="752" spans="1:3" ht="23.25">
      <c r="A752" s="412">
        <v>98107</v>
      </c>
      <c r="B752" s="412" t="s">
        <v>1457</v>
      </c>
      <c r="C752" s="413">
        <v>21484.05</v>
      </c>
    </row>
    <row r="753" spans="1:3" ht="23.25">
      <c r="A753" s="412">
        <v>98109</v>
      </c>
      <c r="B753" s="412" t="s">
        <v>1458</v>
      </c>
      <c r="C753" s="413">
        <v>129819.18</v>
      </c>
    </row>
    <row r="754" spans="1:3" ht="23.25">
      <c r="A754" s="412">
        <v>98111</v>
      </c>
      <c r="B754" s="412" t="s">
        <v>1459</v>
      </c>
      <c r="C754" s="413">
        <v>682357.61</v>
      </c>
    </row>
    <row r="755" spans="1:3" ht="23.25">
      <c r="A755" s="412">
        <v>98113</v>
      </c>
      <c r="B755" s="412" t="s">
        <v>1460</v>
      </c>
      <c r="C755" s="413">
        <v>33444.19</v>
      </c>
    </row>
    <row r="756" spans="1:3" ht="23.25">
      <c r="A756" s="412">
        <v>98121</v>
      </c>
      <c r="B756" s="412" t="s">
        <v>1461</v>
      </c>
      <c r="C756" s="413">
        <v>160224.01999999999</v>
      </c>
    </row>
    <row r="757" spans="1:3" ht="23.25">
      <c r="A757" s="412">
        <v>98131</v>
      </c>
      <c r="B757" s="412" t="s">
        <v>1462</v>
      </c>
      <c r="C757" s="413">
        <v>192921.94999999998</v>
      </c>
    </row>
    <row r="758" spans="1:3" ht="23.25">
      <c r="A758" s="412">
        <v>98141</v>
      </c>
      <c r="B758" s="412" t="s">
        <v>1463</v>
      </c>
      <c r="C758" s="413">
        <v>184635.1</v>
      </c>
    </row>
    <row r="759" spans="1:3" ht="23.25">
      <c r="A759" s="412">
        <v>98147</v>
      </c>
      <c r="B759" s="412" t="s">
        <v>1464</v>
      </c>
      <c r="C759" s="413">
        <v>14514.84</v>
      </c>
    </row>
    <row r="760" spans="1:3" ht="23.25">
      <c r="A760" s="412">
        <v>98161</v>
      </c>
      <c r="B760" s="412" t="s">
        <v>1465</v>
      </c>
      <c r="C760" s="413">
        <v>7303.51</v>
      </c>
    </row>
    <row r="761" spans="1:3" ht="23.25">
      <c r="A761" s="412">
        <v>98201</v>
      </c>
      <c r="B761" s="412" t="s">
        <v>1466</v>
      </c>
      <c r="C761" s="413">
        <v>2198039.87</v>
      </c>
    </row>
    <row r="762" spans="1:3" ht="23.25">
      <c r="A762" s="412">
        <v>98205</v>
      </c>
      <c r="B762" s="412" t="s">
        <v>1467</v>
      </c>
      <c r="C762" s="413">
        <v>25245.11</v>
      </c>
    </row>
    <row r="763" spans="1:3" ht="23.25">
      <c r="A763" s="412">
        <v>98211</v>
      </c>
      <c r="B763" s="412" t="s">
        <v>1468</v>
      </c>
      <c r="C763" s="413">
        <v>607013.65</v>
      </c>
    </row>
    <row r="764" spans="1:3" ht="23.25">
      <c r="A764" s="412">
        <v>98218</v>
      </c>
      <c r="B764" s="412" t="s">
        <v>1469</v>
      </c>
      <c r="C764" s="413">
        <v>13504.56</v>
      </c>
    </row>
    <row r="765" spans="1:3" ht="23.25">
      <c r="A765" s="412">
        <v>98221</v>
      </c>
      <c r="B765" s="412" t="s">
        <v>1470</v>
      </c>
      <c r="C765" s="413">
        <v>15733.52</v>
      </c>
    </row>
    <row r="766" spans="1:3" ht="23.25">
      <c r="A766" s="412">
        <v>98231</v>
      </c>
      <c r="B766" s="412" t="s">
        <v>1471</v>
      </c>
      <c r="C766" s="413">
        <v>25113.11</v>
      </c>
    </row>
    <row r="767" spans="1:3" ht="23.25">
      <c r="A767" s="412">
        <v>98237</v>
      </c>
      <c r="B767" s="412" t="s">
        <v>1472</v>
      </c>
      <c r="C767" s="413">
        <v>5095.92</v>
      </c>
    </row>
    <row r="768" spans="1:3" ht="23.25">
      <c r="A768" s="412">
        <v>98241</v>
      </c>
      <c r="B768" s="412" t="s">
        <v>1473</v>
      </c>
      <c r="C768" s="413">
        <v>6104.34</v>
      </c>
    </row>
    <row r="769" spans="1:3" ht="23.25">
      <c r="A769" s="412">
        <v>98251</v>
      </c>
      <c r="B769" s="412" t="s">
        <v>1474</v>
      </c>
      <c r="C769" s="413">
        <v>3717.36</v>
      </c>
    </row>
    <row r="770" spans="1:3" ht="23.25">
      <c r="A770" s="412">
        <v>98261</v>
      </c>
      <c r="B770" s="412" t="s">
        <v>1475</v>
      </c>
      <c r="C770" s="413">
        <v>26144.71</v>
      </c>
    </row>
    <row r="771" spans="1:3" ht="23.25">
      <c r="A771" s="412">
        <v>98271</v>
      </c>
      <c r="B771" s="412" t="s">
        <v>1476</v>
      </c>
      <c r="C771" s="413">
        <v>5030.62</v>
      </c>
    </row>
    <row r="772" spans="1:3" ht="23.25">
      <c r="A772" s="412">
        <v>98301</v>
      </c>
      <c r="B772" s="412" t="s">
        <v>1477</v>
      </c>
      <c r="C772" s="413">
        <v>1399410.37</v>
      </c>
    </row>
    <row r="773" spans="1:3" ht="23.25">
      <c r="A773" s="412">
        <v>98304</v>
      </c>
      <c r="B773" s="412" t="s">
        <v>1478</v>
      </c>
      <c r="C773" s="413">
        <v>20872.8</v>
      </c>
    </row>
    <row r="774" spans="1:3" ht="23.25">
      <c r="A774" s="412">
        <v>98308</v>
      </c>
      <c r="B774" s="412" t="s">
        <v>1479</v>
      </c>
      <c r="C774" s="413">
        <v>30526.14</v>
      </c>
    </row>
    <row r="775" spans="1:3" ht="23.25">
      <c r="A775" s="412">
        <v>98311</v>
      </c>
      <c r="B775" s="412" t="s">
        <v>1480</v>
      </c>
      <c r="C775" s="413">
        <v>722014.88</v>
      </c>
    </row>
    <row r="776" spans="1:3" ht="23.25">
      <c r="A776" s="412">
        <v>98313</v>
      </c>
      <c r="B776" s="412" t="s">
        <v>1481</v>
      </c>
      <c r="C776" s="413">
        <v>317098.03999999998</v>
      </c>
    </row>
    <row r="777" spans="1:3" ht="23.25">
      <c r="A777" s="412">
        <v>98321</v>
      </c>
      <c r="B777" s="412" t="s">
        <v>1482</v>
      </c>
      <c r="C777" s="413">
        <v>11813.84</v>
      </c>
    </row>
    <row r="778" spans="1:3" ht="23.25">
      <c r="A778" s="412">
        <v>98331</v>
      </c>
      <c r="B778" s="412" t="s">
        <v>1483</v>
      </c>
      <c r="C778" s="413">
        <v>6953.52</v>
      </c>
    </row>
    <row r="779" spans="1:3" ht="23.25">
      <c r="A779" s="412">
        <v>98401</v>
      </c>
      <c r="B779" s="412" t="s">
        <v>1484</v>
      </c>
      <c r="C779" s="413">
        <v>2252856.4300000002</v>
      </c>
    </row>
    <row r="780" spans="1:3" ht="23.25">
      <c r="A780" s="412">
        <v>98404</v>
      </c>
      <c r="B780" s="412" t="s">
        <v>1485</v>
      </c>
      <c r="C780" s="413">
        <v>16319.46</v>
      </c>
    </row>
    <row r="781" spans="1:3" ht="23.25">
      <c r="A781" s="412">
        <v>98411</v>
      </c>
      <c r="B781" s="412" t="s">
        <v>1486</v>
      </c>
      <c r="C781" s="413">
        <v>1281597.48</v>
      </c>
    </row>
    <row r="782" spans="1:3" ht="23.25">
      <c r="A782" s="412">
        <v>98414</v>
      </c>
      <c r="B782" s="412" t="s">
        <v>1487</v>
      </c>
      <c r="C782" s="413">
        <v>25943.37</v>
      </c>
    </row>
    <row r="783" spans="1:3" ht="23.25">
      <c r="A783" s="412">
        <v>98417</v>
      </c>
      <c r="B783" s="412" t="s">
        <v>1488</v>
      </c>
      <c r="C783" s="413">
        <v>26947.71</v>
      </c>
    </row>
    <row r="784" spans="1:3" ht="23.25">
      <c r="A784" s="412">
        <v>98421</v>
      </c>
      <c r="B784" s="412" t="s">
        <v>1489</v>
      </c>
      <c r="C784" s="413">
        <v>78084.69</v>
      </c>
    </row>
    <row r="785" spans="1:3" ht="23.25">
      <c r="A785" s="412">
        <v>98427</v>
      </c>
      <c r="B785" s="412" t="s">
        <v>1490</v>
      </c>
      <c r="C785" s="413">
        <v>4424.0600000000004</v>
      </c>
    </row>
    <row r="786" spans="1:3" ht="23.25">
      <c r="A786" s="412">
        <v>98431</v>
      </c>
      <c r="B786" s="412" t="s">
        <v>1491</v>
      </c>
      <c r="C786" s="413">
        <v>144826.63999999998</v>
      </c>
    </row>
    <row r="787" spans="1:3" ht="23.25">
      <c r="A787" s="412">
        <v>98441</v>
      </c>
      <c r="B787" s="412" t="s">
        <v>1492</v>
      </c>
      <c r="C787" s="413">
        <v>79540.59</v>
      </c>
    </row>
    <row r="788" spans="1:3" ht="23.25">
      <c r="A788" s="412">
        <v>98451</v>
      </c>
      <c r="B788" s="412" t="s">
        <v>1493</v>
      </c>
      <c r="C788" s="413">
        <v>39896.700000000004</v>
      </c>
    </row>
    <row r="789" spans="1:3" ht="23.25">
      <c r="A789" s="412">
        <v>98471</v>
      </c>
      <c r="B789" s="412" t="s">
        <v>1638</v>
      </c>
      <c r="C789" s="413">
        <v>5044.71</v>
      </c>
    </row>
    <row r="790" spans="1:3" ht="23.25">
      <c r="A790" s="412">
        <v>98481</v>
      </c>
      <c r="B790" s="412" t="s">
        <v>1494</v>
      </c>
      <c r="C790" s="413">
        <v>48298.649999999994</v>
      </c>
    </row>
    <row r="791" spans="1:3" ht="23.25">
      <c r="A791" s="412">
        <v>98501</v>
      </c>
      <c r="B791" s="412" t="s">
        <v>1495</v>
      </c>
      <c r="C791" s="413">
        <v>1487254.1500000001</v>
      </c>
    </row>
    <row r="792" spans="1:3" ht="23.25">
      <c r="A792" s="412">
        <v>98511</v>
      </c>
      <c r="B792" s="412" t="s">
        <v>1496</v>
      </c>
      <c r="C792" s="413">
        <v>39537.910000000003</v>
      </c>
    </row>
    <row r="793" spans="1:3" ht="23.25">
      <c r="A793" s="412">
        <v>98517</v>
      </c>
      <c r="B793" s="412" t="s">
        <v>1497</v>
      </c>
      <c r="C793" s="413">
        <v>3699</v>
      </c>
    </row>
    <row r="794" spans="1:3" ht="23.25">
      <c r="A794" s="412">
        <v>98521</v>
      </c>
      <c r="B794" s="412" t="s">
        <v>1498</v>
      </c>
      <c r="C794" s="413">
        <v>460975.93000000005</v>
      </c>
    </row>
    <row r="795" spans="1:3" ht="23.25">
      <c r="A795" s="412">
        <v>98601</v>
      </c>
      <c r="B795" s="412" t="s">
        <v>1499</v>
      </c>
      <c r="C795" s="413">
        <v>2594768.1599999997</v>
      </c>
    </row>
    <row r="796" spans="1:3" ht="23.25">
      <c r="A796" s="412">
        <v>98604</v>
      </c>
      <c r="B796" s="412" t="s">
        <v>1500</v>
      </c>
      <c r="C796" s="413">
        <v>13336.27</v>
      </c>
    </row>
    <row r="797" spans="1:3" ht="23.25">
      <c r="A797" s="412">
        <v>98607</v>
      </c>
      <c r="B797" s="412" t="s">
        <v>1501</v>
      </c>
      <c r="C797" s="413">
        <v>5415.57</v>
      </c>
    </row>
    <row r="798" spans="1:3" ht="23.25">
      <c r="A798" s="412">
        <v>98608</v>
      </c>
      <c r="B798" s="412" t="s">
        <v>1502</v>
      </c>
      <c r="C798" s="413">
        <v>52550.38</v>
      </c>
    </row>
    <row r="799" spans="1:3" ht="23.25">
      <c r="A799" s="412">
        <v>98611</v>
      </c>
      <c r="B799" s="412" t="s">
        <v>1503</v>
      </c>
      <c r="C799" s="413">
        <v>79856.05</v>
      </c>
    </row>
    <row r="800" spans="1:3" ht="23.25">
      <c r="A800" s="412">
        <v>98621</v>
      </c>
      <c r="B800" s="412" t="s">
        <v>1504</v>
      </c>
      <c r="C800" s="413">
        <v>98091.650000000009</v>
      </c>
    </row>
    <row r="801" spans="1:3" ht="23.25">
      <c r="A801" s="412">
        <v>98627</v>
      </c>
      <c r="B801" s="412" t="s">
        <v>1505</v>
      </c>
      <c r="C801" s="413">
        <v>7416.7</v>
      </c>
    </row>
    <row r="802" spans="1:3" ht="23.25">
      <c r="A802" s="412">
        <v>98631</v>
      </c>
      <c r="B802" s="412" t="s">
        <v>1506</v>
      </c>
      <c r="C802" s="413">
        <v>644070.71000000008</v>
      </c>
    </row>
    <row r="803" spans="1:3" ht="23.25">
      <c r="A803" s="412">
        <v>98637</v>
      </c>
      <c r="B803" s="412" t="s">
        <v>1507</v>
      </c>
      <c r="C803" s="413">
        <v>24656.880000000001</v>
      </c>
    </row>
    <row r="804" spans="1:3" ht="23.25">
      <c r="A804" s="412">
        <v>98641</v>
      </c>
      <c r="B804" s="412" t="s">
        <v>1508</v>
      </c>
      <c r="C804" s="413">
        <v>222392.72999999998</v>
      </c>
    </row>
    <row r="805" spans="1:3" ht="23.25">
      <c r="A805" s="412">
        <v>98647</v>
      </c>
      <c r="B805" s="412" t="s">
        <v>1616</v>
      </c>
      <c r="C805" s="413">
        <v>0</v>
      </c>
    </row>
    <row r="806" spans="1:3" ht="23.25">
      <c r="A806" s="412">
        <v>98701</v>
      </c>
      <c r="B806" s="412" t="s">
        <v>1509</v>
      </c>
      <c r="C806" s="413">
        <v>800361.30999999994</v>
      </c>
    </row>
    <row r="807" spans="1:3" ht="23.25">
      <c r="A807" s="412">
        <v>98711</v>
      </c>
      <c r="B807" s="412" t="s">
        <v>1510</v>
      </c>
      <c r="C807" s="413">
        <v>113306.77</v>
      </c>
    </row>
    <row r="808" spans="1:3" ht="23.25">
      <c r="A808" s="412">
        <v>98717</v>
      </c>
      <c r="B808" s="412" t="s">
        <v>1511</v>
      </c>
      <c r="C808" s="413">
        <v>12183.43</v>
      </c>
    </row>
    <row r="809" spans="1:3" ht="23.25">
      <c r="A809" s="412">
        <v>98801</v>
      </c>
      <c r="B809" s="412" t="s">
        <v>1512</v>
      </c>
      <c r="C809" s="413">
        <v>1858308.75</v>
      </c>
    </row>
    <row r="810" spans="1:3" ht="23.25">
      <c r="A810" s="412">
        <v>98811</v>
      </c>
      <c r="B810" s="412" t="s">
        <v>1513</v>
      </c>
      <c r="C810" s="413">
        <v>486761.39</v>
      </c>
    </row>
    <row r="811" spans="1:3" ht="23.25">
      <c r="A811" s="412">
        <v>98817</v>
      </c>
      <c r="B811" s="412" t="s">
        <v>1514</v>
      </c>
      <c r="C811" s="413">
        <v>15422.54</v>
      </c>
    </row>
    <row r="812" spans="1:3" ht="23.25">
      <c r="A812" s="412">
        <v>98901</v>
      </c>
      <c r="B812" s="412" t="s">
        <v>1515</v>
      </c>
      <c r="C812" s="413">
        <v>226102.56</v>
      </c>
    </row>
    <row r="813" spans="1:3" ht="23.25">
      <c r="A813" s="412">
        <v>98904</v>
      </c>
      <c r="B813" s="412" t="s">
        <v>1516</v>
      </c>
      <c r="C813" s="413">
        <v>2266.21</v>
      </c>
    </row>
    <row r="814" spans="1:3" ht="23.25">
      <c r="A814" s="412">
        <v>98911</v>
      </c>
      <c r="B814" s="412" t="s">
        <v>1517</v>
      </c>
      <c r="C814" s="413">
        <v>23451.119999999999</v>
      </c>
    </row>
    <row r="815" spans="1:3" ht="23.25">
      <c r="A815" s="412">
        <v>99001</v>
      </c>
      <c r="B815" s="412" t="s">
        <v>1518</v>
      </c>
      <c r="C815" s="413">
        <v>7028832.3599999994</v>
      </c>
    </row>
    <row r="816" spans="1:3" ht="23.25">
      <c r="A816" s="412">
        <v>99011</v>
      </c>
      <c r="B816" s="412" t="s">
        <v>1519</v>
      </c>
      <c r="C816" s="413">
        <v>2889411.0700000003</v>
      </c>
    </row>
    <row r="817" spans="1:3" ht="23.25">
      <c r="A817" s="412">
        <v>99013</v>
      </c>
      <c r="B817" s="412" t="s">
        <v>1520</v>
      </c>
      <c r="C817" s="413">
        <v>57415.89</v>
      </c>
    </row>
    <row r="818" spans="1:3" ht="23.25">
      <c r="A818" s="412">
        <v>99014</v>
      </c>
      <c r="B818" s="412" t="s">
        <v>1521</v>
      </c>
      <c r="C818" s="413">
        <v>18252.72</v>
      </c>
    </row>
    <row r="819" spans="1:3" ht="23.25">
      <c r="A819" s="412">
        <v>99017</v>
      </c>
      <c r="B819" s="412" t="s">
        <v>1522</v>
      </c>
      <c r="C819" s="413">
        <v>38345.919999999998</v>
      </c>
    </row>
    <row r="820" spans="1:3" ht="23.25">
      <c r="A820" s="412">
        <v>99021</v>
      </c>
      <c r="B820" s="412" t="s">
        <v>1523</v>
      </c>
      <c r="C820" s="413">
        <v>97572.99</v>
      </c>
    </row>
    <row r="821" spans="1:3" ht="23.25">
      <c r="A821" s="412">
        <v>99022</v>
      </c>
      <c r="B821" s="412" t="s">
        <v>211</v>
      </c>
      <c r="C821" s="413">
        <v>15927.48</v>
      </c>
    </row>
    <row r="822" spans="1:3" ht="23.25">
      <c r="A822" s="412">
        <v>99031</v>
      </c>
      <c r="B822" s="412" t="s">
        <v>1524</v>
      </c>
      <c r="C822" s="413">
        <v>77883.199999999997</v>
      </c>
    </row>
    <row r="823" spans="1:3" ht="23.25">
      <c r="A823" s="412">
        <v>99041</v>
      </c>
      <c r="B823" s="412" t="s">
        <v>1525</v>
      </c>
      <c r="C823" s="413">
        <v>459222.99</v>
      </c>
    </row>
    <row r="824" spans="1:3" ht="23.25">
      <c r="A824" s="412">
        <v>99047</v>
      </c>
      <c r="B824" s="412" t="s">
        <v>1526</v>
      </c>
      <c r="C824" s="413">
        <v>20066.87</v>
      </c>
    </row>
    <row r="825" spans="1:3" ht="23.25">
      <c r="A825" s="412">
        <v>99051</v>
      </c>
      <c r="B825" s="412" t="s">
        <v>1527</v>
      </c>
      <c r="C825" s="413">
        <v>241890.39</v>
      </c>
    </row>
    <row r="826" spans="1:3" ht="23.25">
      <c r="A826" s="412">
        <v>99061</v>
      </c>
      <c r="B826" s="412" t="s">
        <v>1528</v>
      </c>
      <c r="C826" s="413">
        <v>7046.62</v>
      </c>
    </row>
    <row r="827" spans="1:3" ht="23.25">
      <c r="A827" s="412">
        <v>99071</v>
      </c>
      <c r="B827" s="412" t="s">
        <v>1529</v>
      </c>
      <c r="C827" s="413">
        <v>23365.02</v>
      </c>
    </row>
    <row r="828" spans="1:3" ht="23.25">
      <c r="A828" s="412">
        <v>99081</v>
      </c>
      <c r="B828" s="412" t="s">
        <v>1530</v>
      </c>
      <c r="C828" s="413">
        <v>32557.91</v>
      </c>
    </row>
    <row r="829" spans="1:3" ht="23.25">
      <c r="A829" s="412">
        <v>99091</v>
      </c>
      <c r="B829" s="412" t="s">
        <v>1531</v>
      </c>
      <c r="C829" s="413">
        <v>10712.57</v>
      </c>
    </row>
    <row r="830" spans="1:3" ht="23.25">
      <c r="A830" s="412">
        <v>99101</v>
      </c>
      <c r="B830" s="412" t="s">
        <v>1532</v>
      </c>
      <c r="C830" s="413">
        <v>1400810.49</v>
      </c>
    </row>
    <row r="831" spans="1:3" ht="23.25">
      <c r="A831" s="412">
        <v>99104</v>
      </c>
      <c r="B831" s="412" t="s">
        <v>1533</v>
      </c>
      <c r="C831" s="413">
        <v>43852.21</v>
      </c>
    </row>
    <row r="832" spans="1:3" ht="23.25">
      <c r="A832" s="412">
        <v>99109</v>
      </c>
      <c r="B832" s="412" t="s">
        <v>1534</v>
      </c>
      <c r="C832" s="413">
        <v>86435.34</v>
      </c>
    </row>
    <row r="833" spans="1:3" ht="23.25">
      <c r="A833" s="412">
        <v>99110</v>
      </c>
      <c r="B833" s="412" t="s">
        <v>1535</v>
      </c>
      <c r="C833" s="413">
        <v>188418.22</v>
      </c>
    </row>
    <row r="834" spans="1:3" ht="23.25">
      <c r="A834" s="412">
        <v>99111</v>
      </c>
      <c r="B834" s="412" t="s">
        <v>1536</v>
      </c>
      <c r="C834" s="413">
        <v>895204.5</v>
      </c>
    </row>
    <row r="835" spans="1:3" ht="23.25">
      <c r="A835" s="412">
        <v>99201</v>
      </c>
      <c r="B835" s="412" t="s">
        <v>3738</v>
      </c>
      <c r="C835" s="413">
        <v>26493769.590000004</v>
      </c>
    </row>
    <row r="836" spans="1:3" ht="23.25">
      <c r="A836" s="412">
        <v>99202</v>
      </c>
      <c r="B836" s="412" t="s">
        <v>1538</v>
      </c>
      <c r="C836" s="413">
        <v>2014488.05</v>
      </c>
    </row>
    <row r="837" spans="1:3" ht="23.25">
      <c r="A837" s="412">
        <v>99203</v>
      </c>
      <c r="B837" s="412" t="s">
        <v>1539</v>
      </c>
      <c r="C837" s="413">
        <v>268040.83999999997</v>
      </c>
    </row>
    <row r="838" spans="1:3" ht="23.25">
      <c r="A838" s="412">
        <v>99204</v>
      </c>
      <c r="B838" s="412" t="s">
        <v>1540</v>
      </c>
      <c r="C838" s="413">
        <v>1097397.8900000001</v>
      </c>
    </row>
    <row r="839" spans="1:3" ht="23.25">
      <c r="A839" s="412">
        <v>99206</v>
      </c>
      <c r="B839" s="412" t="s">
        <v>1541</v>
      </c>
      <c r="C839" s="413">
        <v>1374889.4300000002</v>
      </c>
    </row>
    <row r="840" spans="1:3" ht="23.25">
      <c r="A840" s="412">
        <v>99207</v>
      </c>
      <c r="B840" s="412" t="s">
        <v>1542</v>
      </c>
      <c r="C840" s="413">
        <v>249159.94</v>
      </c>
    </row>
    <row r="841" spans="1:3" ht="23.25">
      <c r="A841" s="412">
        <v>99208</v>
      </c>
      <c r="B841" s="412" t="s">
        <v>1543</v>
      </c>
      <c r="C841" s="413">
        <v>192055.83</v>
      </c>
    </row>
    <row r="842" spans="1:3" ht="23.25">
      <c r="A842" s="412">
        <v>99210</v>
      </c>
      <c r="B842" s="412" t="s">
        <v>1544</v>
      </c>
      <c r="C842" s="413">
        <v>1464916.89</v>
      </c>
    </row>
    <row r="843" spans="1:3" ht="23.25">
      <c r="A843" s="412">
        <v>99211</v>
      </c>
      <c r="B843" s="412" t="s">
        <v>1545</v>
      </c>
      <c r="C843" s="413">
        <v>26708122.259999998</v>
      </c>
    </row>
    <row r="844" spans="1:3" ht="23.25">
      <c r="A844" s="412">
        <v>99212</v>
      </c>
      <c r="B844" s="412" t="s">
        <v>1546</v>
      </c>
      <c r="C844" s="413">
        <v>42848.4</v>
      </c>
    </row>
    <row r="845" spans="1:3" ht="23.25">
      <c r="A845" s="412">
        <v>99213</v>
      </c>
      <c r="B845" s="412" t="s">
        <v>1547</v>
      </c>
      <c r="C845" s="413">
        <v>514963.89</v>
      </c>
    </row>
    <row r="846" spans="1:3" ht="23.25">
      <c r="A846" s="412">
        <v>99218</v>
      </c>
      <c r="B846" s="412" t="s">
        <v>1548</v>
      </c>
      <c r="C846" s="413">
        <v>2750067.75</v>
      </c>
    </row>
    <row r="847" spans="1:3" ht="23.25">
      <c r="A847" s="412">
        <v>99221</v>
      </c>
      <c r="B847" s="412" t="s">
        <v>1549</v>
      </c>
      <c r="C847" s="413">
        <v>9070131.7799999993</v>
      </c>
    </row>
    <row r="848" spans="1:3" ht="23.25">
      <c r="A848" s="412">
        <v>99222</v>
      </c>
      <c r="B848" s="412" t="s">
        <v>1550</v>
      </c>
      <c r="C848" s="413">
        <v>24903.73</v>
      </c>
    </row>
    <row r="849" spans="1:3" ht="23.25">
      <c r="A849" s="412">
        <v>99231</v>
      </c>
      <c r="B849" s="412" t="s">
        <v>1551</v>
      </c>
      <c r="C849" s="413">
        <v>337911.55</v>
      </c>
    </row>
    <row r="850" spans="1:3" ht="23.25">
      <c r="A850" s="412">
        <v>99241</v>
      </c>
      <c r="B850" s="412" t="s">
        <v>1552</v>
      </c>
      <c r="C850" s="413">
        <v>395934.70999999996</v>
      </c>
    </row>
    <row r="851" spans="1:3" ht="23.25">
      <c r="A851" s="412">
        <v>99251</v>
      </c>
      <c r="B851" s="412" t="s">
        <v>1553</v>
      </c>
      <c r="C851" s="413">
        <v>1228148.6599999999</v>
      </c>
    </row>
    <row r="852" spans="1:3" ht="23.25">
      <c r="A852" s="412">
        <v>99252</v>
      </c>
      <c r="B852" s="412" t="s">
        <v>1554</v>
      </c>
      <c r="C852" s="413">
        <v>427885.82</v>
      </c>
    </row>
    <row r="853" spans="1:3" ht="23.25">
      <c r="A853" s="412">
        <v>99261</v>
      </c>
      <c r="B853" s="412" t="s">
        <v>1555</v>
      </c>
      <c r="C853" s="413">
        <v>1585647.29</v>
      </c>
    </row>
    <row r="854" spans="1:3" ht="23.25">
      <c r="A854" s="412">
        <v>99271</v>
      </c>
      <c r="B854" s="412" t="s">
        <v>1556</v>
      </c>
      <c r="C854" s="413">
        <v>3473976.3</v>
      </c>
    </row>
    <row r="855" spans="1:3" ht="23.25">
      <c r="A855" s="412">
        <v>99281</v>
      </c>
      <c r="B855" s="412" t="s">
        <v>1557</v>
      </c>
      <c r="C855" s="413">
        <v>2293860.7199999997</v>
      </c>
    </row>
    <row r="856" spans="1:3" ht="23.25">
      <c r="A856" s="412">
        <v>99291</v>
      </c>
      <c r="B856" s="412" t="s">
        <v>1558</v>
      </c>
      <c r="C856" s="413">
        <v>683454.82</v>
      </c>
    </row>
    <row r="857" spans="1:3" ht="23.25">
      <c r="A857" s="412">
        <v>99301</v>
      </c>
      <c r="B857" s="412" t="s">
        <v>1559</v>
      </c>
      <c r="C857" s="413">
        <v>1141992.95</v>
      </c>
    </row>
    <row r="858" spans="1:3" ht="23.25">
      <c r="A858" s="412">
        <v>99304</v>
      </c>
      <c r="B858" s="412" t="s">
        <v>1560</v>
      </c>
      <c r="C858" s="413">
        <v>12121.81</v>
      </c>
    </row>
    <row r="859" spans="1:3" ht="23.25">
      <c r="A859" s="412">
        <v>99311</v>
      </c>
      <c r="B859" s="412" t="s">
        <v>1561</v>
      </c>
      <c r="C859" s="413">
        <v>38889.449999999997</v>
      </c>
    </row>
    <row r="860" spans="1:3" ht="23.25">
      <c r="A860" s="412">
        <v>99321</v>
      </c>
      <c r="B860" s="412" t="s">
        <v>1562</v>
      </c>
      <c r="C860" s="413">
        <v>132742.59</v>
      </c>
    </row>
    <row r="861" spans="1:3" ht="23.25">
      <c r="A861" s="412">
        <v>99401</v>
      </c>
      <c r="B861" s="412" t="s">
        <v>1563</v>
      </c>
      <c r="C861" s="413">
        <v>602042.08000000007</v>
      </c>
    </row>
    <row r="862" spans="1:3" ht="23.25">
      <c r="A862" s="412">
        <v>99404</v>
      </c>
      <c r="B862" s="412" t="s">
        <v>1564</v>
      </c>
      <c r="C862" s="413">
        <v>8694.75</v>
      </c>
    </row>
    <row r="863" spans="1:3" ht="23.25">
      <c r="A863" s="412">
        <v>99405</v>
      </c>
      <c r="B863" s="412" t="s">
        <v>1565</v>
      </c>
      <c r="C863" s="413">
        <v>49522</v>
      </c>
    </row>
    <row r="864" spans="1:3" ht="23.25">
      <c r="A864" s="412">
        <v>99411</v>
      </c>
      <c r="B864" s="412" t="s">
        <v>1566</v>
      </c>
      <c r="C864" s="413">
        <v>116877.79000000001</v>
      </c>
    </row>
    <row r="865" spans="1:3" ht="23.25">
      <c r="A865" s="412">
        <v>99413</v>
      </c>
      <c r="B865" s="412" t="s">
        <v>1567</v>
      </c>
      <c r="C865" s="413">
        <v>36287.46</v>
      </c>
    </row>
    <row r="866" spans="1:3" ht="23.25">
      <c r="A866" s="412">
        <v>99421</v>
      </c>
      <c r="B866" s="412" t="s">
        <v>1568</v>
      </c>
      <c r="C866" s="413">
        <v>7869.34</v>
      </c>
    </row>
    <row r="867" spans="1:3" ht="23.25">
      <c r="A867" s="412">
        <v>99431</v>
      </c>
      <c r="B867" s="412" t="s">
        <v>1569</v>
      </c>
      <c r="C867" s="413">
        <v>12151.7</v>
      </c>
    </row>
    <row r="868" spans="1:3" ht="23.25">
      <c r="A868" s="412">
        <v>99501</v>
      </c>
      <c r="B868" s="412" t="s">
        <v>1570</v>
      </c>
      <c r="C868" s="413">
        <v>1277052.9400000002</v>
      </c>
    </row>
    <row r="869" spans="1:3" ht="23.25">
      <c r="A869" s="412">
        <v>99502</v>
      </c>
      <c r="B869" s="412" t="s">
        <v>1571</v>
      </c>
      <c r="C869" s="413">
        <v>109045.15</v>
      </c>
    </row>
    <row r="870" spans="1:3" ht="23.25">
      <c r="A870" s="412">
        <v>99508</v>
      </c>
      <c r="B870" s="412" t="s">
        <v>1572</v>
      </c>
      <c r="C870" s="413">
        <v>16471.12</v>
      </c>
    </row>
    <row r="871" spans="1:3" ht="23.25">
      <c r="A871" s="412">
        <v>99509</v>
      </c>
      <c r="B871" s="412" t="s">
        <v>1573</v>
      </c>
      <c r="C871" s="413">
        <v>18311.3</v>
      </c>
    </row>
    <row r="872" spans="1:3" ht="23.25">
      <c r="A872" s="412">
        <v>99511</v>
      </c>
      <c r="B872" s="412" t="s">
        <v>1574</v>
      </c>
      <c r="C872" s="413">
        <v>886133.77</v>
      </c>
    </row>
    <row r="873" spans="1:3" ht="23.25">
      <c r="A873" s="412">
        <v>99521</v>
      </c>
      <c r="B873" s="412" t="s">
        <v>1575</v>
      </c>
      <c r="C873" s="413">
        <v>314969.13</v>
      </c>
    </row>
    <row r="874" spans="1:3" ht="23.25">
      <c r="A874" s="412">
        <v>99527</v>
      </c>
      <c r="B874" s="412" t="s">
        <v>1576</v>
      </c>
      <c r="C874" s="413">
        <v>11334.64</v>
      </c>
    </row>
    <row r="875" spans="1:3" ht="23.25">
      <c r="A875" s="412">
        <v>99531</v>
      </c>
      <c r="B875" s="412" t="s">
        <v>1577</v>
      </c>
      <c r="C875" s="413">
        <v>103312.3</v>
      </c>
    </row>
    <row r="876" spans="1:3" ht="23.25">
      <c r="A876" s="412">
        <v>99601</v>
      </c>
      <c r="B876" s="412" t="s">
        <v>1578</v>
      </c>
      <c r="C876" s="413">
        <v>3824410.57</v>
      </c>
    </row>
    <row r="877" spans="1:3" ht="23.25">
      <c r="A877" s="412">
        <v>99602</v>
      </c>
      <c r="B877" s="412" t="s">
        <v>1579</v>
      </c>
      <c r="C877" s="413">
        <v>40829.64</v>
      </c>
    </row>
    <row r="878" spans="1:3" ht="23.25">
      <c r="A878" s="412">
        <v>99603</v>
      </c>
      <c r="B878" s="412" t="s">
        <v>1580</v>
      </c>
      <c r="C878" s="413">
        <v>133944.35999999999</v>
      </c>
    </row>
    <row r="879" spans="1:3" ht="23.25">
      <c r="A879" s="412">
        <v>99604</v>
      </c>
      <c r="B879" s="412" t="s">
        <v>1581</v>
      </c>
      <c r="C879" s="413">
        <v>89480.25</v>
      </c>
    </row>
    <row r="880" spans="1:3" ht="23.25">
      <c r="A880" s="412">
        <v>99609</v>
      </c>
      <c r="B880" s="412" t="s">
        <v>1582</v>
      </c>
      <c r="C880" s="413">
        <v>20335.09</v>
      </c>
    </row>
    <row r="881" spans="1:3" ht="23.25">
      <c r="A881" s="412">
        <v>99610</v>
      </c>
      <c r="B881" s="412" t="s">
        <v>1583</v>
      </c>
      <c r="C881" s="413">
        <v>140943.84</v>
      </c>
    </row>
    <row r="882" spans="1:3" ht="23.25">
      <c r="A882" s="412">
        <v>99611</v>
      </c>
      <c r="B882" s="412" t="s">
        <v>1584</v>
      </c>
      <c r="C882" s="413">
        <v>2192046.4499999997</v>
      </c>
    </row>
    <row r="883" spans="1:3" ht="23.25">
      <c r="A883" s="412">
        <v>99613</v>
      </c>
      <c r="B883" s="412" t="s">
        <v>1585</v>
      </c>
      <c r="C883" s="413">
        <v>254564.7</v>
      </c>
    </row>
    <row r="884" spans="1:3" ht="23.25">
      <c r="A884" s="412">
        <v>99621</v>
      </c>
      <c r="B884" s="412" t="s">
        <v>1586</v>
      </c>
      <c r="C884" s="413">
        <v>257370.30000000002</v>
      </c>
    </row>
    <row r="885" spans="1:3" ht="23.25">
      <c r="A885" s="412">
        <v>99623</v>
      </c>
      <c r="B885" s="412" t="s">
        <v>1587</v>
      </c>
      <c r="C885" s="413">
        <v>11572.95</v>
      </c>
    </row>
    <row r="886" spans="1:3" ht="23.25">
      <c r="A886" s="412">
        <v>99631</v>
      </c>
      <c r="B886" s="412" t="s">
        <v>1588</v>
      </c>
      <c r="C886" s="413">
        <v>61163.369999999995</v>
      </c>
    </row>
    <row r="887" spans="1:3" ht="23.25">
      <c r="A887" s="412">
        <v>99651</v>
      </c>
      <c r="B887" s="412" t="s">
        <v>1589</v>
      </c>
      <c r="C887" s="413">
        <v>38074.42</v>
      </c>
    </row>
    <row r="888" spans="1:3" ht="23.25">
      <c r="A888" s="412">
        <v>99661</v>
      </c>
      <c r="B888" s="412" t="s">
        <v>1590</v>
      </c>
      <c r="C888" s="413">
        <v>37176.32</v>
      </c>
    </row>
    <row r="889" spans="1:3" ht="23.25">
      <c r="A889" s="412">
        <v>99701</v>
      </c>
      <c r="B889" s="412" t="s">
        <v>1591</v>
      </c>
      <c r="C889" s="413">
        <v>2132996.94</v>
      </c>
    </row>
    <row r="890" spans="1:3" ht="23.25">
      <c r="A890" s="412">
        <v>99705</v>
      </c>
      <c r="B890" s="412" t="s">
        <v>1592</v>
      </c>
      <c r="C890" s="413">
        <v>143647.79999999999</v>
      </c>
    </row>
    <row r="891" spans="1:3" ht="23.25">
      <c r="A891" s="412">
        <v>99711</v>
      </c>
      <c r="B891" s="412" t="s">
        <v>1593</v>
      </c>
      <c r="C891" s="413">
        <v>304379.68</v>
      </c>
    </row>
    <row r="892" spans="1:3" ht="23.25">
      <c r="A892" s="412">
        <v>99717</v>
      </c>
      <c r="B892" s="412" t="s">
        <v>1594</v>
      </c>
      <c r="C892" s="413">
        <v>14041.98</v>
      </c>
    </row>
    <row r="893" spans="1:3" ht="23.25">
      <c r="A893" s="412">
        <v>99721</v>
      </c>
      <c r="B893" s="412" t="s">
        <v>1595</v>
      </c>
      <c r="C893" s="413">
        <v>435471.74000000005</v>
      </c>
    </row>
    <row r="894" spans="1:3" ht="23.25">
      <c r="A894" s="412">
        <v>99727</v>
      </c>
      <c r="B894" s="412" t="s">
        <v>1596</v>
      </c>
      <c r="C894" s="413">
        <v>19882.87</v>
      </c>
    </row>
    <row r="895" spans="1:3" ht="23.25">
      <c r="A895" s="412">
        <v>99801</v>
      </c>
      <c r="B895" s="412" t="s">
        <v>1597</v>
      </c>
      <c r="C895" s="413">
        <v>3322130.7299999995</v>
      </c>
    </row>
    <row r="896" spans="1:3" ht="23.25">
      <c r="A896" s="412">
        <v>99802</v>
      </c>
      <c r="B896" s="412" t="s">
        <v>1598</v>
      </c>
      <c r="C896" s="413">
        <v>7149.34</v>
      </c>
    </row>
    <row r="897" spans="1:3" ht="23.25">
      <c r="A897" s="412">
        <v>99804</v>
      </c>
      <c r="B897" s="412" t="s">
        <v>1599</v>
      </c>
      <c r="C897" s="413">
        <v>82384.81</v>
      </c>
    </row>
    <row r="898" spans="1:3" ht="23.25">
      <c r="A898" s="412">
        <v>99811</v>
      </c>
      <c r="B898" s="412" t="s">
        <v>1600</v>
      </c>
      <c r="C898" s="413">
        <v>4575321.03</v>
      </c>
    </row>
    <row r="899" spans="1:3" ht="23.25">
      <c r="A899" s="412">
        <v>99812</v>
      </c>
      <c r="B899" s="412" t="s">
        <v>1601</v>
      </c>
      <c r="C899" s="413">
        <v>31471.96</v>
      </c>
    </row>
    <row r="900" spans="1:3" ht="23.25">
      <c r="A900" s="412">
        <v>99818</v>
      </c>
      <c r="B900" s="412" t="s">
        <v>1602</v>
      </c>
      <c r="C900" s="413">
        <v>18878.04</v>
      </c>
    </row>
    <row r="901" spans="1:3" ht="23.25">
      <c r="A901" s="412">
        <v>99821</v>
      </c>
      <c r="B901" s="412" t="s">
        <v>1603</v>
      </c>
      <c r="C901" s="413">
        <v>77616.570000000007</v>
      </c>
    </row>
    <row r="902" spans="1:3" ht="23.25">
      <c r="A902" s="412">
        <v>99831</v>
      </c>
      <c r="B902" s="412" t="s">
        <v>1604</v>
      </c>
      <c r="C902" s="413">
        <v>37763.879999999997</v>
      </c>
    </row>
    <row r="903" spans="1:3" ht="23.25">
      <c r="A903" s="412">
        <v>99841</v>
      </c>
      <c r="B903" s="412" t="s">
        <v>1605</v>
      </c>
      <c r="C903" s="413">
        <v>40159.49</v>
      </c>
    </row>
    <row r="904" spans="1:3" ht="23.25">
      <c r="A904" s="412">
        <v>99851</v>
      </c>
      <c r="B904" s="412" t="s">
        <v>1606</v>
      </c>
      <c r="C904" s="413">
        <v>4717.66</v>
      </c>
    </row>
    <row r="905" spans="1:3" ht="23.25">
      <c r="A905" s="412">
        <v>99901</v>
      </c>
      <c r="B905" s="412" t="s">
        <v>1607</v>
      </c>
      <c r="C905" s="413">
        <v>1102323.75</v>
      </c>
    </row>
    <row r="906" spans="1:3" ht="23.25">
      <c r="A906" s="412">
        <v>99911</v>
      </c>
      <c r="B906" s="412" t="s">
        <v>1608</v>
      </c>
      <c r="C906" s="413">
        <v>202648.11000000002</v>
      </c>
    </row>
    <row r="907" spans="1:3" ht="23.25">
      <c r="A907" s="412">
        <v>99921</v>
      </c>
      <c r="B907" s="412" t="s">
        <v>1609</v>
      </c>
      <c r="C907" s="413">
        <v>99067.71</v>
      </c>
    </row>
    <row r="908" spans="1:3" ht="23.25">
      <c r="A908" s="412">
        <v>99931</v>
      </c>
      <c r="B908" s="412" t="s">
        <v>1610</v>
      </c>
      <c r="C908" s="413">
        <v>18086.530000000002</v>
      </c>
    </row>
    <row r="909" spans="1:3" ht="23.25">
      <c r="A909" s="412">
        <v>99941</v>
      </c>
      <c r="B909" s="412" t="s">
        <v>1611</v>
      </c>
      <c r="C909" s="413">
        <v>39732.76</v>
      </c>
    </row>
    <row r="910" spans="1:3" ht="23.25">
      <c r="A910" s="412">
        <v>99991</v>
      </c>
      <c r="B910" s="412" t="s">
        <v>1612</v>
      </c>
      <c r="C910" s="413">
        <v>350300.64</v>
      </c>
    </row>
    <row r="911" spans="1:3" ht="23.25">
      <c r="A911" s="412">
        <v>99999</v>
      </c>
      <c r="B911" s="412" t="s">
        <v>1613</v>
      </c>
      <c r="C911" s="413">
        <v>845835.22</v>
      </c>
    </row>
    <row r="912" spans="1:3" ht="23.25">
      <c r="C912" s="413">
        <v>741748136.1499995</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375"/>
  <sheetViews>
    <sheetView zoomScaleNormal="100" workbookViewId="0">
      <selection activeCell="C1" sqref="C1"/>
    </sheetView>
  </sheetViews>
  <sheetFormatPr defaultRowHeight="15"/>
  <cols>
    <col min="1" max="1" width="12.140625" style="224" bestFit="1" customWidth="1"/>
    <col min="2" max="2" width="55.5703125" style="224" bestFit="1" customWidth="1"/>
    <col min="3" max="3" width="27" style="100" bestFit="1" customWidth="1"/>
    <col min="4" max="4" width="9.140625" style="224"/>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239">
        <f>SUM(C3:C936)</f>
        <v>627119908.3599999</v>
      </c>
      <c r="E1" s="69"/>
      <c r="F1" s="239"/>
      <c r="G1" s="69"/>
      <c r="M1" s="69"/>
      <c r="N1" s="3"/>
      <c r="O1" s="69"/>
    </row>
    <row r="2" spans="1:15" ht="15.75" thickTop="1">
      <c r="A2" s="97" t="s">
        <v>1633</v>
      </c>
      <c r="B2" s="97" t="s">
        <v>1634</v>
      </c>
      <c r="C2" s="98" t="s">
        <v>3729</v>
      </c>
      <c r="D2" s="224" t="s">
        <v>1635</v>
      </c>
      <c r="K2" s="312"/>
      <c r="L2" s="312"/>
      <c r="M2" s="313"/>
    </row>
    <row r="3" spans="1:15">
      <c r="A3" s="104" t="s">
        <v>691</v>
      </c>
      <c r="B3" s="103" t="s">
        <v>690</v>
      </c>
      <c r="C3" s="102"/>
      <c r="K3" s="293"/>
      <c r="L3" s="293"/>
      <c r="M3" s="325"/>
    </row>
    <row r="4" spans="1:15">
      <c r="A4">
        <v>70505</v>
      </c>
      <c r="B4" t="s">
        <v>723</v>
      </c>
      <c r="C4" s="69">
        <v>228109.77000000002</v>
      </c>
      <c r="D4"/>
    </row>
    <row r="5" spans="1:15">
      <c r="A5">
        <v>72265</v>
      </c>
      <c r="B5" t="s">
        <v>724</v>
      </c>
      <c r="C5" s="69">
        <v>99097.329999999987</v>
      </c>
      <c r="D5"/>
    </row>
    <row r="6" spans="1:15">
      <c r="A6">
        <v>72593</v>
      </c>
      <c r="B6" t="s">
        <v>725</v>
      </c>
      <c r="C6" s="69">
        <v>3367.9199999999996</v>
      </c>
      <c r="D6"/>
    </row>
    <row r="7" spans="1:15">
      <c r="A7">
        <v>72657</v>
      </c>
      <c r="B7" t="s">
        <v>726</v>
      </c>
      <c r="C7" s="69">
        <v>20397.61</v>
      </c>
      <c r="D7"/>
    </row>
    <row r="8" spans="1:15">
      <c r="A8">
        <v>90001</v>
      </c>
      <c r="B8" t="s">
        <v>727</v>
      </c>
      <c r="C8" s="69">
        <v>567667.92000000004</v>
      </c>
      <c r="D8"/>
    </row>
    <row r="9" spans="1:15">
      <c r="A9">
        <v>90002</v>
      </c>
      <c r="B9" t="s">
        <v>728</v>
      </c>
      <c r="C9" s="69">
        <v>7949.2800000000016</v>
      </c>
      <c r="D9"/>
    </row>
    <row r="10" spans="1:15">
      <c r="A10">
        <v>90011</v>
      </c>
      <c r="B10" t="s">
        <v>729</v>
      </c>
      <c r="C10" s="69">
        <v>114792.79999999999</v>
      </c>
      <c r="D10"/>
    </row>
    <row r="11" spans="1:15">
      <c r="A11">
        <v>90092</v>
      </c>
      <c r="B11" t="s">
        <v>730</v>
      </c>
      <c r="C11" s="69">
        <v>267280.76</v>
      </c>
      <c r="D11"/>
    </row>
    <row r="12" spans="1:15">
      <c r="A12">
        <v>90096</v>
      </c>
      <c r="B12" t="s">
        <v>731</v>
      </c>
      <c r="C12" s="69">
        <v>722594.62000000011</v>
      </c>
      <c r="D12"/>
    </row>
    <row r="13" spans="1:15">
      <c r="A13">
        <v>90098</v>
      </c>
      <c r="B13" t="s">
        <v>732</v>
      </c>
      <c r="C13" s="69">
        <v>171593.89</v>
      </c>
      <c r="D13"/>
    </row>
    <row r="14" spans="1:15">
      <c r="A14">
        <v>90099</v>
      </c>
      <c r="B14" t="s">
        <v>733</v>
      </c>
      <c r="C14" s="69">
        <v>391399.31</v>
      </c>
      <c r="D14"/>
    </row>
    <row r="15" spans="1:15">
      <c r="A15">
        <v>90101</v>
      </c>
      <c r="B15" t="s">
        <v>734</v>
      </c>
      <c r="C15" s="69">
        <v>3958426.9400000004</v>
      </c>
      <c r="D15"/>
    </row>
    <row r="16" spans="1:15">
      <c r="A16">
        <v>90111</v>
      </c>
      <c r="B16" t="s">
        <v>735</v>
      </c>
      <c r="C16" s="69">
        <v>2988584.08</v>
      </c>
      <c r="D16"/>
    </row>
    <row r="17" spans="1:4">
      <c r="A17">
        <v>90114</v>
      </c>
      <c r="B17" t="s">
        <v>736</v>
      </c>
      <c r="C17" s="69">
        <v>696039.63000000012</v>
      </c>
      <c r="D17"/>
    </row>
    <row r="18" spans="1:4">
      <c r="A18">
        <v>90117</v>
      </c>
      <c r="B18" t="s">
        <v>737</v>
      </c>
      <c r="C18" s="69">
        <v>111978.9</v>
      </c>
      <c r="D18"/>
    </row>
    <row r="19" spans="1:4">
      <c r="A19">
        <v>90121</v>
      </c>
      <c r="B19" t="s">
        <v>738</v>
      </c>
      <c r="C19" s="69">
        <v>637436.5900000002</v>
      </c>
      <c r="D19"/>
    </row>
    <row r="20" spans="1:4">
      <c r="A20">
        <v>90131</v>
      </c>
      <c r="B20" t="s">
        <v>739</v>
      </c>
      <c r="C20" s="69">
        <v>300583.01999999996</v>
      </c>
      <c r="D20"/>
    </row>
    <row r="21" spans="1:4">
      <c r="A21">
        <v>90141</v>
      </c>
      <c r="B21" t="s">
        <v>740</v>
      </c>
      <c r="C21" s="69">
        <v>95381.779999999984</v>
      </c>
      <c r="D21"/>
    </row>
    <row r="22" spans="1:4">
      <c r="A22">
        <v>90151</v>
      </c>
      <c r="B22" t="s">
        <v>741</v>
      </c>
      <c r="C22" s="69">
        <v>4163.1599999999989</v>
      </c>
      <c r="D22"/>
    </row>
    <row r="23" spans="1:4">
      <c r="A23">
        <v>90161</v>
      </c>
      <c r="B23" t="s">
        <v>742</v>
      </c>
      <c r="C23" s="69">
        <v>18427.77</v>
      </c>
      <c r="D23"/>
    </row>
    <row r="24" spans="1:4">
      <c r="A24">
        <v>90201</v>
      </c>
      <c r="B24" t="s">
        <v>743</v>
      </c>
      <c r="C24" s="69">
        <v>797001.1</v>
      </c>
      <c r="D24"/>
    </row>
    <row r="25" spans="1:4">
      <c r="A25">
        <v>90203</v>
      </c>
      <c r="B25" t="s">
        <v>744</v>
      </c>
      <c r="C25" s="69">
        <v>122079.84999999998</v>
      </c>
      <c r="D25"/>
    </row>
    <row r="26" spans="1:4">
      <c r="A26">
        <v>90205</v>
      </c>
      <c r="B26" t="s">
        <v>745</v>
      </c>
      <c r="C26" s="69">
        <v>20358.22</v>
      </c>
      <c r="D26"/>
    </row>
    <row r="27" spans="1:4">
      <c r="A27">
        <v>90206</v>
      </c>
      <c r="B27" t="s">
        <v>746</v>
      </c>
      <c r="C27" s="69">
        <v>255137.53000000003</v>
      </c>
      <c r="D27"/>
    </row>
    <row r="28" spans="1:4">
      <c r="A28">
        <v>90211</v>
      </c>
      <c r="B28" t="s">
        <v>747</v>
      </c>
      <c r="C28" s="69">
        <v>103257.50999999998</v>
      </c>
      <c r="D28"/>
    </row>
    <row r="29" spans="1:4">
      <c r="A29">
        <v>90301</v>
      </c>
      <c r="B29" t="s">
        <v>748</v>
      </c>
      <c r="C29" s="69">
        <v>455164.13</v>
      </c>
      <c r="D29"/>
    </row>
    <row r="30" spans="1:4">
      <c r="A30">
        <v>90305</v>
      </c>
      <c r="B30" t="s">
        <v>749</v>
      </c>
      <c r="C30" s="69">
        <v>108110.69999999998</v>
      </c>
      <c r="D30"/>
    </row>
    <row r="31" spans="1:4">
      <c r="A31">
        <v>90307</v>
      </c>
      <c r="B31" t="s">
        <v>750</v>
      </c>
      <c r="C31" s="69">
        <v>5120.7100000000009</v>
      </c>
      <c r="D31"/>
    </row>
    <row r="32" spans="1:4">
      <c r="A32">
        <v>90401</v>
      </c>
      <c r="B32" t="s">
        <v>751</v>
      </c>
      <c r="C32" s="69">
        <v>917699.35000000009</v>
      </c>
      <c r="D32"/>
    </row>
    <row r="33" spans="1:4">
      <c r="A33">
        <v>90411</v>
      </c>
      <c r="B33" t="s">
        <v>752</v>
      </c>
      <c r="C33" s="69">
        <v>217249.95</v>
      </c>
      <c r="D33"/>
    </row>
    <row r="34" spans="1:4">
      <c r="A34">
        <v>90413</v>
      </c>
      <c r="B34" t="s">
        <v>753</v>
      </c>
      <c r="C34" s="69">
        <v>24275.679999999997</v>
      </c>
      <c r="D34"/>
    </row>
    <row r="35" spans="1:4">
      <c r="A35">
        <v>90417</v>
      </c>
      <c r="B35" t="s">
        <v>754</v>
      </c>
      <c r="C35" s="69">
        <v>10428.19</v>
      </c>
      <c r="D35"/>
    </row>
    <row r="36" spans="1:4">
      <c r="A36">
        <v>90421</v>
      </c>
      <c r="B36" t="s">
        <v>755</v>
      </c>
      <c r="C36" s="69">
        <v>17739.28</v>
      </c>
      <c r="D36"/>
    </row>
    <row r="37" spans="1:4">
      <c r="A37">
        <v>90431</v>
      </c>
      <c r="B37" t="s">
        <v>756</v>
      </c>
      <c r="C37" s="69">
        <v>29582.35</v>
      </c>
      <c r="D37"/>
    </row>
    <row r="38" spans="1:4">
      <c r="A38">
        <v>90441</v>
      </c>
      <c r="B38" t="s">
        <v>757</v>
      </c>
      <c r="C38" s="69">
        <v>6402.2499999999982</v>
      </c>
      <c r="D38"/>
    </row>
    <row r="39" spans="1:4">
      <c r="A39">
        <v>90451</v>
      </c>
      <c r="B39" t="s">
        <v>758</v>
      </c>
      <c r="C39" s="69">
        <v>13205.579999999998</v>
      </c>
      <c r="D39"/>
    </row>
    <row r="40" spans="1:4">
      <c r="A40">
        <v>90461</v>
      </c>
      <c r="B40" t="s">
        <v>759</v>
      </c>
      <c r="C40" s="69">
        <v>8283.15</v>
      </c>
      <c r="D40"/>
    </row>
    <row r="41" spans="1:4">
      <c r="A41">
        <v>90501</v>
      </c>
      <c r="B41" t="s">
        <v>760</v>
      </c>
      <c r="C41" s="69">
        <v>944552.57</v>
      </c>
      <c r="D41"/>
    </row>
    <row r="42" spans="1:4">
      <c r="A42">
        <v>90507</v>
      </c>
      <c r="B42" t="s">
        <v>34</v>
      </c>
      <c r="C42" s="69">
        <v>10352.599999999999</v>
      </c>
      <c r="D42"/>
    </row>
    <row r="43" spans="1:4">
      <c r="A43">
        <v>90511</v>
      </c>
      <c r="B43" t="s">
        <v>761</v>
      </c>
      <c r="C43" s="69">
        <v>69867.41</v>
      </c>
      <c r="D43"/>
    </row>
    <row r="44" spans="1:4">
      <c r="A44">
        <v>90521</v>
      </c>
      <c r="B44" t="s">
        <v>762</v>
      </c>
      <c r="C44" s="69">
        <v>76200.12999999999</v>
      </c>
      <c r="D44"/>
    </row>
    <row r="45" spans="1:4">
      <c r="A45">
        <v>90601</v>
      </c>
      <c r="B45" t="s">
        <v>763</v>
      </c>
      <c r="C45" s="69">
        <v>754018.47</v>
      </c>
      <c r="D45"/>
    </row>
    <row r="46" spans="1:4">
      <c r="A46">
        <v>90602</v>
      </c>
      <c r="B46" t="s">
        <v>259</v>
      </c>
      <c r="C46" s="69">
        <v>34526.67</v>
      </c>
      <c r="D46"/>
    </row>
    <row r="47" spans="1:4">
      <c r="A47">
        <v>90605</v>
      </c>
      <c r="B47" t="s">
        <v>764</v>
      </c>
      <c r="C47" s="69">
        <v>32065.01</v>
      </c>
      <c r="D47"/>
    </row>
    <row r="48" spans="1:4">
      <c r="A48">
        <v>90611</v>
      </c>
      <c r="B48" t="s">
        <v>765</v>
      </c>
      <c r="C48" s="69">
        <v>83091.570000000007</v>
      </c>
      <c r="D48"/>
    </row>
    <row r="49" spans="1:4">
      <c r="A49">
        <v>90617</v>
      </c>
      <c r="B49" t="s">
        <v>766</v>
      </c>
      <c r="C49" s="69">
        <v>22630.399999999998</v>
      </c>
      <c r="D49"/>
    </row>
    <row r="50" spans="1:4">
      <c r="A50">
        <v>90621</v>
      </c>
      <c r="B50" t="s">
        <v>767</v>
      </c>
      <c r="C50" s="69">
        <v>43471.360000000001</v>
      </c>
      <c r="D50"/>
    </row>
    <row r="51" spans="1:4">
      <c r="A51">
        <v>90631</v>
      </c>
      <c r="B51" t="s">
        <v>768</v>
      </c>
      <c r="C51" s="69">
        <v>242029.37</v>
      </c>
      <c r="D51"/>
    </row>
    <row r="52" spans="1:4">
      <c r="A52">
        <v>90641</v>
      </c>
      <c r="B52" t="s">
        <v>769</v>
      </c>
      <c r="C52" s="69">
        <v>7880.8599999999988</v>
      </c>
      <c r="D52"/>
    </row>
    <row r="53" spans="1:4">
      <c r="A53">
        <v>90651</v>
      </c>
      <c r="B53" t="s">
        <v>1930</v>
      </c>
      <c r="C53" s="69">
        <v>70405.84</v>
      </c>
      <c r="D53"/>
    </row>
    <row r="54" spans="1:4">
      <c r="A54">
        <v>90701</v>
      </c>
      <c r="B54" t="s">
        <v>771</v>
      </c>
      <c r="C54" s="69">
        <v>1483141.0700000003</v>
      </c>
      <c r="D54"/>
    </row>
    <row r="55" spans="1:4">
      <c r="A55">
        <v>90704</v>
      </c>
      <c r="B55" t="s">
        <v>772</v>
      </c>
      <c r="C55" s="69">
        <v>39475.06</v>
      </c>
      <c r="D55"/>
    </row>
    <row r="56" spans="1:4">
      <c r="A56">
        <v>90705</v>
      </c>
      <c r="B56" t="s">
        <v>773</v>
      </c>
      <c r="C56" s="69">
        <v>29726.5</v>
      </c>
      <c r="D56"/>
    </row>
    <row r="57" spans="1:4">
      <c r="A57">
        <v>90709</v>
      </c>
      <c r="B57" t="s">
        <v>774</v>
      </c>
      <c r="C57" s="69">
        <v>99472.919999999984</v>
      </c>
      <c r="D57"/>
    </row>
    <row r="58" spans="1:4">
      <c r="A58">
        <v>90711</v>
      </c>
      <c r="B58" t="s">
        <v>775</v>
      </c>
      <c r="C58" s="69">
        <v>974799.16</v>
      </c>
      <c r="D58"/>
    </row>
    <row r="59" spans="1:4">
      <c r="A59">
        <v>90721</v>
      </c>
      <c r="B59" t="s">
        <v>776</v>
      </c>
      <c r="C59" s="69">
        <v>18429.37</v>
      </c>
      <c r="D59"/>
    </row>
    <row r="60" spans="1:4">
      <c r="A60">
        <v>90731</v>
      </c>
      <c r="B60" t="s">
        <v>777</v>
      </c>
      <c r="C60" s="69">
        <v>100560.37</v>
      </c>
      <c r="D60"/>
    </row>
    <row r="61" spans="1:4">
      <c r="A61">
        <v>90741</v>
      </c>
      <c r="B61" t="s">
        <v>778</v>
      </c>
      <c r="C61" s="69">
        <v>9028.3900000000012</v>
      </c>
      <c r="D61"/>
    </row>
    <row r="62" spans="1:4">
      <c r="A62">
        <v>90751</v>
      </c>
      <c r="B62" t="s">
        <v>779</v>
      </c>
      <c r="C62" s="69">
        <v>39556.060000000005</v>
      </c>
      <c r="D62"/>
    </row>
    <row r="63" spans="1:4">
      <c r="A63">
        <v>90801</v>
      </c>
      <c r="B63" t="s">
        <v>780</v>
      </c>
      <c r="C63" s="69">
        <v>702954.6</v>
      </c>
      <c r="D63"/>
    </row>
    <row r="64" spans="1:4">
      <c r="A64">
        <v>90804</v>
      </c>
      <c r="B64" t="s">
        <v>781</v>
      </c>
      <c r="C64" s="69">
        <v>3620.7</v>
      </c>
      <c r="D64"/>
    </row>
    <row r="65" spans="1:4">
      <c r="A65">
        <v>90805</v>
      </c>
      <c r="B65" t="s">
        <v>782</v>
      </c>
      <c r="C65" s="69">
        <v>51294.539999999994</v>
      </c>
      <c r="D65"/>
    </row>
    <row r="66" spans="1:4">
      <c r="A66">
        <v>90808</v>
      </c>
      <c r="B66" t="s">
        <v>783</v>
      </c>
      <c r="C66" s="69">
        <v>96871.390000000014</v>
      </c>
      <c r="D66"/>
    </row>
    <row r="67" spans="1:4">
      <c r="A67">
        <v>90811</v>
      </c>
      <c r="B67" t="s">
        <v>784</v>
      </c>
      <c r="C67" s="69">
        <v>21095.75</v>
      </c>
      <c r="D67"/>
    </row>
    <row r="68" spans="1:4">
      <c r="A68">
        <v>90812</v>
      </c>
      <c r="B68" t="s">
        <v>785</v>
      </c>
      <c r="C68" s="69">
        <v>130788.65</v>
      </c>
      <c r="D68"/>
    </row>
    <row r="69" spans="1:4">
      <c r="A69">
        <v>90813</v>
      </c>
      <c r="B69" t="s">
        <v>786</v>
      </c>
      <c r="C69" s="69">
        <v>2486.2199999999998</v>
      </c>
      <c r="D69"/>
    </row>
    <row r="70" spans="1:4">
      <c r="A70">
        <v>90861</v>
      </c>
      <c r="B70" t="s">
        <v>787</v>
      </c>
      <c r="C70" s="69">
        <v>4655.95</v>
      </c>
      <c r="D70"/>
    </row>
    <row r="71" spans="1:4">
      <c r="A71">
        <v>90901</v>
      </c>
      <c r="B71" t="s">
        <v>788</v>
      </c>
      <c r="C71" s="69">
        <v>1348006.36</v>
      </c>
      <c r="D71"/>
    </row>
    <row r="72" spans="1:4">
      <c r="A72">
        <v>90911</v>
      </c>
      <c r="B72" t="s">
        <v>789</v>
      </c>
      <c r="C72" s="69">
        <v>221450.94999999995</v>
      </c>
      <c r="D72"/>
    </row>
    <row r="73" spans="1:4">
      <c r="A73">
        <v>90917</v>
      </c>
      <c r="B73" t="s">
        <v>790</v>
      </c>
      <c r="C73" s="69">
        <v>7985.6299999999992</v>
      </c>
      <c r="D73"/>
    </row>
    <row r="74" spans="1:4">
      <c r="A74">
        <v>90918</v>
      </c>
      <c r="B74" t="s">
        <v>791</v>
      </c>
      <c r="C74" s="69">
        <v>6315.1200000000017</v>
      </c>
      <c r="D74"/>
    </row>
    <row r="75" spans="1:4">
      <c r="A75">
        <v>90921</v>
      </c>
      <c r="B75" t="s">
        <v>792</v>
      </c>
      <c r="C75" s="69">
        <v>80977.25</v>
      </c>
      <c r="D75"/>
    </row>
    <row r="76" spans="1:4">
      <c r="A76">
        <v>90931</v>
      </c>
      <c r="B76" t="s">
        <v>793</v>
      </c>
      <c r="C76" s="69">
        <v>20331.980000000003</v>
      </c>
      <c r="D76"/>
    </row>
    <row r="77" spans="1:4">
      <c r="A77">
        <v>90941</v>
      </c>
      <c r="B77" t="s">
        <v>794</v>
      </c>
      <c r="C77" s="69">
        <v>50129.59</v>
      </c>
      <c r="D77"/>
    </row>
    <row r="78" spans="1:4">
      <c r="A78">
        <v>91001</v>
      </c>
      <c r="B78" t="s">
        <v>795</v>
      </c>
      <c r="C78" s="69">
        <v>4240219.43</v>
      </c>
      <c r="D78"/>
    </row>
    <row r="79" spans="1:4">
      <c r="A79">
        <v>91002</v>
      </c>
      <c r="B79" t="s">
        <v>796</v>
      </c>
      <c r="C79" s="69">
        <v>620629.49</v>
      </c>
      <c r="D79"/>
    </row>
    <row r="80" spans="1:4">
      <c r="A80">
        <v>91003</v>
      </c>
      <c r="B80" t="s">
        <v>797</v>
      </c>
      <c r="C80" s="69">
        <v>365320.99</v>
      </c>
      <c r="D80"/>
    </row>
    <row r="81" spans="1:4">
      <c r="A81">
        <v>91004</v>
      </c>
      <c r="B81" t="s">
        <v>798</v>
      </c>
      <c r="C81" s="69">
        <v>20274.399999999998</v>
      </c>
      <c r="D81"/>
    </row>
    <row r="82" spans="1:4">
      <c r="A82">
        <v>91006</v>
      </c>
      <c r="B82" t="s">
        <v>799</v>
      </c>
      <c r="C82" s="69">
        <v>613206.68000000005</v>
      </c>
      <c r="D82"/>
    </row>
    <row r="83" spans="1:4">
      <c r="A83">
        <v>91007</v>
      </c>
      <c r="B83" t="s">
        <v>800</v>
      </c>
      <c r="C83" s="69">
        <v>6942.9800000000005</v>
      </c>
      <c r="D83"/>
    </row>
    <row r="84" spans="1:4">
      <c r="A84">
        <v>91008</v>
      </c>
      <c r="B84" t="s">
        <v>801</v>
      </c>
      <c r="C84" s="69">
        <v>93581.14</v>
      </c>
      <c r="D84"/>
    </row>
    <row r="85" spans="1:4">
      <c r="A85">
        <v>91009</v>
      </c>
      <c r="B85" t="s">
        <v>802</v>
      </c>
      <c r="C85" s="69">
        <v>13166.050000000003</v>
      </c>
      <c r="D85"/>
    </row>
    <row r="86" spans="1:4">
      <c r="A86">
        <v>91010</v>
      </c>
      <c r="B86" t="s">
        <v>803</v>
      </c>
      <c r="C86" s="69">
        <v>38054.639999999999</v>
      </c>
      <c r="D86"/>
    </row>
    <row r="87" spans="1:4">
      <c r="A87">
        <v>91011</v>
      </c>
      <c r="B87" t="s">
        <v>804</v>
      </c>
      <c r="C87" s="69">
        <v>255068.83999999997</v>
      </c>
      <c r="D87"/>
    </row>
    <row r="88" spans="1:4">
      <c r="A88">
        <v>91012</v>
      </c>
      <c r="B88" t="s">
        <v>805</v>
      </c>
      <c r="C88" s="69">
        <v>8374.3300000000017</v>
      </c>
      <c r="D88"/>
    </row>
    <row r="89" spans="1:4">
      <c r="A89">
        <v>91013</v>
      </c>
      <c r="B89" t="s">
        <v>806</v>
      </c>
      <c r="C89" s="69">
        <v>24503.97</v>
      </c>
      <c r="D89"/>
    </row>
    <row r="90" spans="1:4">
      <c r="A90">
        <v>91014</v>
      </c>
      <c r="B90" t="s">
        <v>807</v>
      </c>
      <c r="C90" s="69">
        <v>116583.84000000001</v>
      </c>
      <c r="D90"/>
    </row>
    <row r="91" spans="1:4">
      <c r="A91">
        <v>91015</v>
      </c>
      <c r="B91" t="s">
        <v>1636</v>
      </c>
      <c r="C91" s="69">
        <v>23988.41</v>
      </c>
      <c r="D91"/>
    </row>
    <row r="92" spans="1:4">
      <c r="A92">
        <v>91017</v>
      </c>
      <c r="B92" t="s">
        <v>2009</v>
      </c>
      <c r="C92" s="69">
        <v>17977.420000000002</v>
      </c>
      <c r="D92"/>
    </row>
    <row r="93" spans="1:4">
      <c r="A93">
        <v>91020</v>
      </c>
      <c r="B93" t="s">
        <v>809</v>
      </c>
      <c r="C93" s="69">
        <v>13498.830000000002</v>
      </c>
      <c r="D93"/>
    </row>
    <row r="94" spans="1:4">
      <c r="A94">
        <v>91021</v>
      </c>
      <c r="B94" t="s">
        <v>810</v>
      </c>
      <c r="C94" s="69">
        <v>611753.05000000005</v>
      </c>
      <c r="D94"/>
    </row>
    <row r="95" spans="1:4">
      <c r="A95">
        <v>91024</v>
      </c>
      <c r="B95" t="s">
        <v>811</v>
      </c>
      <c r="C95" s="69">
        <v>66521.609999999986</v>
      </c>
      <c r="D95"/>
    </row>
    <row r="96" spans="1:4">
      <c r="A96">
        <v>91026</v>
      </c>
      <c r="B96" t="s">
        <v>43</v>
      </c>
      <c r="C96" s="69">
        <v>26747.000000000004</v>
      </c>
      <c r="D96"/>
    </row>
    <row r="97" spans="1:4">
      <c r="A97">
        <v>91027</v>
      </c>
      <c r="B97" t="s">
        <v>812</v>
      </c>
      <c r="C97" s="69">
        <v>19819.649999999998</v>
      </c>
      <c r="D97"/>
    </row>
    <row r="98" spans="1:4">
      <c r="A98">
        <v>91032</v>
      </c>
      <c r="B98" t="s">
        <v>813</v>
      </c>
      <c r="C98" s="69">
        <v>29375.329999999998</v>
      </c>
      <c r="D98"/>
    </row>
    <row r="99" spans="1:4">
      <c r="A99">
        <v>91041</v>
      </c>
      <c r="B99" t="s">
        <v>814</v>
      </c>
      <c r="C99" s="69">
        <v>252703.71999999997</v>
      </c>
      <c r="D99"/>
    </row>
    <row r="100" spans="1:4">
      <c r="A100">
        <v>91042</v>
      </c>
      <c r="B100" t="s">
        <v>815</v>
      </c>
      <c r="C100" s="69">
        <v>161005.98000000001</v>
      </c>
      <c r="D100"/>
    </row>
    <row r="101" spans="1:4">
      <c r="A101">
        <v>91047</v>
      </c>
      <c r="B101" t="s">
        <v>816</v>
      </c>
      <c r="C101" s="69">
        <v>8535.76</v>
      </c>
      <c r="D101"/>
    </row>
    <row r="102" spans="1:4">
      <c r="A102">
        <v>91051</v>
      </c>
      <c r="B102" t="s">
        <v>817</v>
      </c>
      <c r="C102" s="69">
        <v>42855.680000000008</v>
      </c>
      <c r="D102"/>
    </row>
    <row r="103" spans="1:4">
      <c r="A103">
        <v>91057</v>
      </c>
      <c r="B103" t="s">
        <v>818</v>
      </c>
      <c r="C103" s="69">
        <v>11789.189999999999</v>
      </c>
      <c r="D103"/>
    </row>
    <row r="104" spans="1:4">
      <c r="A104">
        <v>91061</v>
      </c>
      <c r="B104" t="s">
        <v>819</v>
      </c>
      <c r="C104" s="69">
        <v>223550.15999999997</v>
      </c>
      <c r="D104"/>
    </row>
    <row r="105" spans="1:4">
      <c r="A105">
        <v>91067</v>
      </c>
      <c r="B105" t="s">
        <v>820</v>
      </c>
      <c r="C105" s="69">
        <v>11886.330000000002</v>
      </c>
      <c r="D105"/>
    </row>
    <row r="106" spans="1:4">
      <c r="A106">
        <v>91071</v>
      </c>
      <c r="B106" t="s">
        <v>821</v>
      </c>
      <c r="C106" s="69">
        <v>146304.33999999997</v>
      </c>
      <c r="D106"/>
    </row>
    <row r="107" spans="1:4">
      <c r="A107">
        <v>91077</v>
      </c>
      <c r="B107" t="s">
        <v>822</v>
      </c>
      <c r="C107" s="69">
        <v>8913.6200000000008</v>
      </c>
      <c r="D107"/>
    </row>
    <row r="108" spans="1:4">
      <c r="A108">
        <v>91081</v>
      </c>
      <c r="B108" t="s">
        <v>823</v>
      </c>
      <c r="C108" s="69">
        <v>259611.80000000002</v>
      </c>
      <c r="D108"/>
    </row>
    <row r="109" spans="1:4">
      <c r="A109">
        <v>91091</v>
      </c>
      <c r="B109" t="s">
        <v>824</v>
      </c>
      <c r="C109" s="69">
        <v>349771.16000000003</v>
      </c>
      <c r="D109"/>
    </row>
    <row r="110" spans="1:4">
      <c r="A110">
        <v>91101</v>
      </c>
      <c r="B110" t="s">
        <v>825</v>
      </c>
      <c r="C110" s="69">
        <v>7892694.2800000012</v>
      </c>
      <c r="D110"/>
    </row>
    <row r="111" spans="1:4">
      <c r="A111">
        <v>91102</v>
      </c>
      <c r="B111" t="s">
        <v>826</v>
      </c>
      <c r="C111" s="69">
        <v>187922.74000000002</v>
      </c>
      <c r="D111"/>
    </row>
    <row r="112" spans="1:4">
      <c r="A112">
        <v>91104</v>
      </c>
      <c r="B112" t="s">
        <v>827</v>
      </c>
      <c r="C112" s="69">
        <v>12654.26</v>
      </c>
      <c r="D112"/>
    </row>
    <row r="113" spans="1:4">
      <c r="A113">
        <v>91107</v>
      </c>
      <c r="B113" t="s">
        <v>828</v>
      </c>
      <c r="C113" s="69">
        <v>40263.25</v>
      </c>
      <c r="D113"/>
    </row>
    <row r="114" spans="1:4">
      <c r="A114">
        <v>91108</v>
      </c>
      <c r="B114" t="s">
        <v>829</v>
      </c>
      <c r="C114" s="69">
        <v>753800.65999999992</v>
      </c>
      <c r="D114"/>
    </row>
    <row r="115" spans="1:4">
      <c r="A115">
        <v>91109</v>
      </c>
      <c r="B115" t="s">
        <v>830</v>
      </c>
      <c r="C115" s="69">
        <v>61771.900000000009</v>
      </c>
      <c r="D115"/>
    </row>
    <row r="116" spans="1:4">
      <c r="A116">
        <v>91111</v>
      </c>
      <c r="B116" t="s">
        <v>831</v>
      </c>
      <c r="C116" s="69">
        <v>144050.06</v>
      </c>
      <c r="D116"/>
    </row>
    <row r="117" spans="1:4">
      <c r="A117">
        <v>91120</v>
      </c>
      <c r="B117" t="s">
        <v>832</v>
      </c>
      <c r="C117" s="69">
        <v>103233.74000000002</v>
      </c>
      <c r="D117"/>
    </row>
    <row r="118" spans="1:4">
      <c r="A118">
        <v>91121</v>
      </c>
      <c r="B118" t="s">
        <v>833</v>
      </c>
      <c r="C118" s="69">
        <v>6093467.3300000001</v>
      </c>
      <c r="D118"/>
    </row>
    <row r="119" spans="1:4">
      <c r="A119">
        <v>91127</v>
      </c>
      <c r="B119" t="s">
        <v>834</v>
      </c>
      <c r="C119" s="69">
        <v>206624.81</v>
      </c>
      <c r="D119"/>
    </row>
    <row r="120" spans="1:4">
      <c r="A120">
        <v>91128</v>
      </c>
      <c r="B120" t="s">
        <v>835</v>
      </c>
      <c r="C120" s="69">
        <v>335931.77</v>
      </c>
      <c r="D120"/>
    </row>
    <row r="121" spans="1:4">
      <c r="A121">
        <v>91138</v>
      </c>
      <c r="B121" t="s">
        <v>836</v>
      </c>
      <c r="C121" s="69">
        <v>250780.59999999998</v>
      </c>
      <c r="D121"/>
    </row>
    <row r="122" spans="1:4">
      <c r="A122">
        <v>91141</v>
      </c>
      <c r="B122" t="s">
        <v>837</v>
      </c>
      <c r="C122" s="69">
        <v>333594.46000000002</v>
      </c>
      <c r="D122"/>
    </row>
    <row r="123" spans="1:4">
      <c r="A123">
        <v>91147</v>
      </c>
      <c r="B123" t="s">
        <v>838</v>
      </c>
      <c r="C123" s="69">
        <v>19839.480000000003</v>
      </c>
      <c r="D123"/>
    </row>
    <row r="124" spans="1:4">
      <c r="A124">
        <v>91151</v>
      </c>
      <c r="B124" t="s">
        <v>839</v>
      </c>
      <c r="C124" s="69">
        <v>341844.29</v>
      </c>
      <c r="D124"/>
    </row>
    <row r="125" spans="1:4">
      <c r="A125">
        <v>91154</v>
      </c>
      <c r="B125" t="s">
        <v>840</v>
      </c>
      <c r="C125" s="69">
        <v>14001.71</v>
      </c>
      <c r="D125"/>
    </row>
    <row r="126" spans="1:4">
      <c r="A126">
        <v>91161</v>
      </c>
      <c r="B126" t="s">
        <v>841</v>
      </c>
      <c r="C126" s="69">
        <v>60476.19</v>
      </c>
      <c r="D126"/>
    </row>
    <row r="127" spans="1:4">
      <c r="A127">
        <v>91171</v>
      </c>
      <c r="B127" t="s">
        <v>842</v>
      </c>
      <c r="C127" s="69">
        <v>149495.01999999999</v>
      </c>
      <c r="D127"/>
    </row>
    <row r="128" spans="1:4">
      <c r="A128">
        <v>91201</v>
      </c>
      <c r="B128" t="s">
        <v>843</v>
      </c>
      <c r="C128" s="69">
        <v>1512325.4200000002</v>
      </c>
      <c r="D128"/>
    </row>
    <row r="129" spans="1:4">
      <c r="A129">
        <v>91202</v>
      </c>
      <c r="B129" t="s">
        <v>844</v>
      </c>
      <c r="C129" s="69">
        <v>62875.78</v>
      </c>
      <c r="D129"/>
    </row>
    <row r="130" spans="1:4">
      <c r="A130">
        <v>91203</v>
      </c>
      <c r="B130" t="s">
        <v>845</v>
      </c>
      <c r="C130" s="69">
        <v>169870.97</v>
      </c>
      <c r="D130"/>
    </row>
    <row r="131" spans="1:4">
      <c r="A131">
        <v>91206</v>
      </c>
      <c r="B131" t="s">
        <v>846</v>
      </c>
      <c r="C131" s="69">
        <v>577486.09</v>
      </c>
      <c r="D131"/>
    </row>
    <row r="132" spans="1:4">
      <c r="A132">
        <v>91208</v>
      </c>
      <c r="B132" t="s">
        <v>847</v>
      </c>
      <c r="C132" s="69">
        <v>11198.96</v>
      </c>
      <c r="D132"/>
    </row>
    <row r="133" spans="1:4">
      <c r="A133">
        <v>91211</v>
      </c>
      <c r="B133" t="s">
        <v>848</v>
      </c>
      <c r="C133" s="69">
        <v>288252.84000000003</v>
      </c>
      <c r="D133"/>
    </row>
    <row r="134" spans="1:4">
      <c r="A134">
        <v>91213</v>
      </c>
      <c r="B134" t="s">
        <v>849</v>
      </c>
      <c r="C134" s="69">
        <v>17975.29</v>
      </c>
      <c r="D134"/>
    </row>
    <row r="135" spans="1:4">
      <c r="A135">
        <v>91214</v>
      </c>
      <c r="B135" t="s">
        <v>850</v>
      </c>
      <c r="C135" s="69">
        <v>16466.2</v>
      </c>
      <c r="D135"/>
    </row>
    <row r="136" spans="1:4">
      <c r="A136">
        <v>91217</v>
      </c>
      <c r="B136" t="s">
        <v>851</v>
      </c>
      <c r="C136" s="69">
        <v>21568.42</v>
      </c>
      <c r="D136"/>
    </row>
    <row r="137" spans="1:4">
      <c r="A137">
        <v>91221</v>
      </c>
      <c r="B137" t="s">
        <v>852</v>
      </c>
      <c r="C137" s="69">
        <v>70256.72</v>
      </c>
      <c r="D137"/>
    </row>
    <row r="138" spans="1:4">
      <c r="A138">
        <v>91231</v>
      </c>
      <c r="B138" t="s">
        <v>853</v>
      </c>
      <c r="C138" s="69">
        <v>1202188.5000000002</v>
      </c>
      <c r="D138"/>
    </row>
    <row r="139" spans="1:4">
      <c r="A139">
        <v>91233</v>
      </c>
      <c r="B139" t="s">
        <v>854</v>
      </c>
      <c r="C139" s="69">
        <v>36066.29</v>
      </c>
      <c r="D139"/>
    </row>
    <row r="140" spans="1:4">
      <c r="A140">
        <v>91241</v>
      </c>
      <c r="B140" t="s">
        <v>855</v>
      </c>
      <c r="C140" s="69">
        <v>22648.079999999998</v>
      </c>
      <c r="D140"/>
    </row>
    <row r="141" spans="1:4">
      <c r="A141">
        <v>91251</v>
      </c>
      <c r="B141" t="s">
        <v>856</v>
      </c>
      <c r="C141" s="69">
        <v>13597.38</v>
      </c>
      <c r="D141"/>
    </row>
    <row r="142" spans="1:4">
      <c r="A142">
        <v>91261</v>
      </c>
      <c r="B142" t="s">
        <v>857</v>
      </c>
      <c r="C142" s="69">
        <v>4693.8099999999995</v>
      </c>
      <c r="D142"/>
    </row>
    <row r="143" spans="1:4">
      <c r="A143">
        <v>91301</v>
      </c>
      <c r="B143" t="s">
        <v>858</v>
      </c>
      <c r="C143" s="69">
        <v>5061130.8100000005</v>
      </c>
      <c r="D143"/>
    </row>
    <row r="144" spans="1:4">
      <c r="A144">
        <v>91302</v>
      </c>
      <c r="B144" t="s">
        <v>859</v>
      </c>
      <c r="C144" s="69">
        <v>324314.06999999995</v>
      </c>
      <c r="D144"/>
    </row>
    <row r="145" spans="1:4">
      <c r="A145">
        <v>91306</v>
      </c>
      <c r="B145" t="s">
        <v>860</v>
      </c>
      <c r="C145" s="69">
        <v>1127451.7</v>
      </c>
      <c r="D145"/>
    </row>
    <row r="146" spans="1:4">
      <c r="A146">
        <v>91308</v>
      </c>
      <c r="B146" t="s">
        <v>861</v>
      </c>
      <c r="C146" s="69">
        <v>92592.539999999979</v>
      </c>
      <c r="D146"/>
    </row>
    <row r="147" spans="1:4">
      <c r="A147">
        <v>91311</v>
      </c>
      <c r="B147" t="s">
        <v>862</v>
      </c>
      <c r="C147" s="69">
        <v>5109671.4000000013</v>
      </c>
      <c r="D147"/>
    </row>
    <row r="148" spans="1:4">
      <c r="A148">
        <v>91317</v>
      </c>
      <c r="B148" t="s">
        <v>863</v>
      </c>
      <c r="C148" s="69">
        <v>93167.349999999977</v>
      </c>
      <c r="D148"/>
    </row>
    <row r="149" spans="1:4">
      <c r="A149">
        <v>91321</v>
      </c>
      <c r="B149" t="s">
        <v>864</v>
      </c>
      <c r="C149" s="69">
        <v>38308.909999999996</v>
      </c>
      <c r="D149"/>
    </row>
    <row r="150" spans="1:4">
      <c r="A150">
        <v>91327</v>
      </c>
      <c r="B150" t="s">
        <v>865</v>
      </c>
      <c r="C150" s="69">
        <v>2029</v>
      </c>
      <c r="D150"/>
    </row>
    <row r="151" spans="1:4">
      <c r="A151">
        <v>91331</v>
      </c>
      <c r="B151" t="s">
        <v>866</v>
      </c>
      <c r="C151" s="69">
        <v>1769984.74</v>
      </c>
      <c r="D151"/>
    </row>
    <row r="152" spans="1:4">
      <c r="A152">
        <v>91341</v>
      </c>
      <c r="B152" t="s">
        <v>867</v>
      </c>
      <c r="C152" s="69">
        <v>19595.179999999997</v>
      </c>
      <c r="D152"/>
    </row>
    <row r="153" spans="1:4">
      <c r="A153">
        <v>91401</v>
      </c>
      <c r="B153" t="s">
        <v>868</v>
      </c>
      <c r="C153" s="69">
        <v>2311790.8200000003</v>
      </c>
      <c r="D153"/>
    </row>
    <row r="154" spans="1:4">
      <c r="A154">
        <v>91411</v>
      </c>
      <c r="B154" t="s">
        <v>869</v>
      </c>
      <c r="C154" s="69">
        <v>248579.93</v>
      </c>
      <c r="D154"/>
    </row>
    <row r="155" spans="1:4">
      <c r="A155">
        <v>91414</v>
      </c>
      <c r="B155" t="s">
        <v>3608</v>
      </c>
      <c r="C155" s="69">
        <v>19052.500000000004</v>
      </c>
      <c r="D155"/>
    </row>
    <row r="156" spans="1:4">
      <c r="A156">
        <v>91417</v>
      </c>
      <c r="B156" t="s">
        <v>870</v>
      </c>
      <c r="C156" s="69">
        <v>7164.2800000000007</v>
      </c>
      <c r="D156"/>
    </row>
    <row r="157" spans="1:4">
      <c r="A157">
        <v>91421</v>
      </c>
      <c r="B157" t="s">
        <v>871</v>
      </c>
      <c r="C157" s="69">
        <v>47439.079999999994</v>
      </c>
      <c r="D157"/>
    </row>
    <row r="158" spans="1:4">
      <c r="A158">
        <v>91423</v>
      </c>
      <c r="B158" t="s">
        <v>872</v>
      </c>
      <c r="C158" s="69">
        <v>32239.479999999996</v>
      </c>
      <c r="D158"/>
    </row>
    <row r="159" spans="1:4">
      <c r="A159">
        <v>91431</v>
      </c>
      <c r="B159" t="s">
        <v>873</v>
      </c>
      <c r="C159" s="69">
        <v>115940.69</v>
      </c>
      <c r="D159"/>
    </row>
    <row r="160" spans="1:4">
      <c r="A160">
        <v>91441</v>
      </c>
      <c r="B160" t="s">
        <v>874</v>
      </c>
      <c r="C160" s="69">
        <v>494673.83</v>
      </c>
      <c r="D160"/>
    </row>
    <row r="161" spans="1:4">
      <c r="A161">
        <v>91451</v>
      </c>
      <c r="B161" t="s">
        <v>875</v>
      </c>
      <c r="C161" s="69">
        <v>961281.15</v>
      </c>
      <c r="D161"/>
    </row>
    <row r="162" spans="1:4">
      <c r="A162">
        <v>91457</v>
      </c>
      <c r="B162" t="s">
        <v>876</v>
      </c>
      <c r="C162" s="69">
        <v>17579.830000000002</v>
      </c>
      <c r="D162"/>
    </row>
    <row r="163" spans="1:4">
      <c r="A163">
        <v>91461</v>
      </c>
      <c r="B163" t="s">
        <v>877</v>
      </c>
      <c r="C163" s="69">
        <v>167.62</v>
      </c>
      <c r="D163"/>
    </row>
    <row r="164" spans="1:4">
      <c r="A164">
        <v>91501</v>
      </c>
      <c r="B164" t="s">
        <v>878</v>
      </c>
      <c r="C164" s="69">
        <v>314151.51999999996</v>
      </c>
      <c r="D164"/>
    </row>
    <row r="165" spans="1:4">
      <c r="A165">
        <v>91504</v>
      </c>
      <c r="B165" t="s">
        <v>879</v>
      </c>
      <c r="C165" s="69">
        <v>8590.5499999999993</v>
      </c>
      <c r="D165"/>
    </row>
    <row r="166" spans="1:4">
      <c r="A166">
        <v>91601</v>
      </c>
      <c r="B166" t="s">
        <v>880</v>
      </c>
      <c r="C166" s="69">
        <v>1891528.9999999998</v>
      </c>
      <c r="D166"/>
    </row>
    <row r="167" spans="1:4">
      <c r="A167">
        <v>91604</v>
      </c>
      <c r="B167" t="s">
        <v>881</v>
      </c>
      <c r="C167" s="69">
        <v>71719.930000000008</v>
      </c>
      <c r="D167"/>
    </row>
    <row r="168" spans="1:4">
      <c r="A168">
        <v>91608</v>
      </c>
      <c r="B168" t="s">
        <v>882</v>
      </c>
      <c r="C168" s="69">
        <v>77188.729999999981</v>
      </c>
      <c r="D168"/>
    </row>
    <row r="169" spans="1:4">
      <c r="A169">
        <v>91611</v>
      </c>
      <c r="B169" t="s">
        <v>883</v>
      </c>
      <c r="C169" s="69">
        <v>855551.17</v>
      </c>
      <c r="D169"/>
    </row>
    <row r="170" spans="1:4">
      <c r="A170">
        <v>91621</v>
      </c>
      <c r="B170" t="s">
        <v>884</v>
      </c>
      <c r="C170" s="69">
        <v>164850.61000000004</v>
      </c>
      <c r="D170"/>
    </row>
    <row r="171" spans="1:4">
      <c r="A171">
        <v>91631</v>
      </c>
      <c r="B171" t="s">
        <v>885</v>
      </c>
      <c r="C171" s="69">
        <v>383883.55000000005</v>
      </c>
      <c r="D171"/>
    </row>
    <row r="172" spans="1:4">
      <c r="A172">
        <v>91633</v>
      </c>
      <c r="B172" t="s">
        <v>886</v>
      </c>
      <c r="C172" s="69">
        <v>17232.259999999998</v>
      </c>
      <c r="D172"/>
    </row>
    <row r="173" spans="1:4">
      <c r="A173">
        <v>91641</v>
      </c>
      <c r="B173" t="s">
        <v>887</v>
      </c>
      <c r="C173" s="69">
        <v>163192.47</v>
      </c>
      <c r="D173"/>
    </row>
    <row r="174" spans="1:4">
      <c r="A174">
        <v>91651</v>
      </c>
      <c r="B174" t="s">
        <v>888</v>
      </c>
      <c r="C174" s="69">
        <v>334230.95999999996</v>
      </c>
      <c r="D174"/>
    </row>
    <row r="175" spans="1:4">
      <c r="A175">
        <v>91661</v>
      </c>
      <c r="B175" t="s">
        <v>889</v>
      </c>
      <c r="C175" s="69">
        <v>94610.609999999986</v>
      </c>
      <c r="D175"/>
    </row>
    <row r="176" spans="1:4">
      <c r="A176">
        <v>91671</v>
      </c>
      <c r="B176" t="s">
        <v>890</v>
      </c>
      <c r="C176" s="69">
        <v>54157.16</v>
      </c>
      <c r="D176"/>
    </row>
    <row r="177" spans="1:4">
      <c r="A177">
        <v>91681</v>
      </c>
      <c r="B177" t="s">
        <v>891</v>
      </c>
      <c r="C177" s="69">
        <v>271347.85000000003</v>
      </c>
      <c r="D177"/>
    </row>
    <row r="178" spans="1:4">
      <c r="A178">
        <v>91691</v>
      </c>
      <c r="B178" t="s">
        <v>892</v>
      </c>
      <c r="C178" s="69">
        <v>17989.63</v>
      </c>
      <c r="D178"/>
    </row>
    <row r="179" spans="1:4">
      <c r="A179">
        <v>91701</v>
      </c>
      <c r="B179" t="s">
        <v>893</v>
      </c>
      <c r="C179" s="69">
        <v>716303.44999999984</v>
      </c>
      <c r="D179"/>
    </row>
    <row r="180" spans="1:4">
      <c r="A180">
        <v>91704</v>
      </c>
      <c r="B180" t="s">
        <v>894</v>
      </c>
      <c r="C180" s="69">
        <v>12132.17</v>
      </c>
      <c r="D180"/>
    </row>
    <row r="181" spans="1:4">
      <c r="A181">
        <v>91706</v>
      </c>
      <c r="B181" t="s">
        <v>895</v>
      </c>
      <c r="C181" s="69">
        <v>160220.74</v>
      </c>
      <c r="D181"/>
    </row>
    <row r="182" spans="1:4">
      <c r="A182">
        <v>91719</v>
      </c>
      <c r="B182" t="s">
        <v>896</v>
      </c>
      <c r="C182" s="69">
        <v>29118.39</v>
      </c>
      <c r="D182"/>
    </row>
    <row r="183" spans="1:4">
      <c r="A183">
        <v>91801</v>
      </c>
      <c r="B183" t="s">
        <v>897</v>
      </c>
      <c r="C183" s="69">
        <v>4864579.03</v>
      </c>
      <c r="D183"/>
    </row>
    <row r="184" spans="1:4">
      <c r="A184">
        <v>91804</v>
      </c>
      <c r="B184" t="s">
        <v>898</v>
      </c>
      <c r="C184" s="69">
        <v>136223.12</v>
      </c>
      <c r="D184"/>
    </row>
    <row r="185" spans="1:4">
      <c r="A185">
        <v>91811</v>
      </c>
      <c r="B185" t="s">
        <v>899</v>
      </c>
      <c r="C185" s="69">
        <v>2669664.64</v>
      </c>
      <c r="D185"/>
    </row>
    <row r="186" spans="1:4">
      <c r="A186">
        <v>91812</v>
      </c>
      <c r="B186" t="s">
        <v>900</v>
      </c>
      <c r="C186" s="69">
        <v>41765.819999999992</v>
      </c>
      <c r="D186"/>
    </row>
    <row r="187" spans="1:4">
      <c r="A187">
        <v>91813</v>
      </c>
      <c r="B187" t="s">
        <v>901</v>
      </c>
      <c r="C187" s="69">
        <v>55402.630000000005</v>
      </c>
      <c r="D187"/>
    </row>
    <row r="188" spans="1:4">
      <c r="A188">
        <v>91818</v>
      </c>
      <c r="B188" t="s">
        <v>902</v>
      </c>
      <c r="C188" s="69">
        <v>282995.20000000001</v>
      </c>
      <c r="D188"/>
    </row>
    <row r="189" spans="1:4">
      <c r="A189">
        <v>91819</v>
      </c>
      <c r="B189" t="s">
        <v>903</v>
      </c>
      <c r="C189" s="69">
        <v>188575.83000000002</v>
      </c>
      <c r="D189"/>
    </row>
    <row r="190" spans="1:4">
      <c r="A190">
        <v>91821</v>
      </c>
      <c r="B190" t="s">
        <v>904</v>
      </c>
      <c r="C190" s="69">
        <v>95923.86</v>
      </c>
      <c r="D190"/>
    </row>
    <row r="191" spans="1:4">
      <c r="A191">
        <v>91831</v>
      </c>
      <c r="B191" t="s">
        <v>905</v>
      </c>
      <c r="C191" s="69">
        <v>253038.24000000002</v>
      </c>
      <c r="D191"/>
    </row>
    <row r="192" spans="1:4">
      <c r="A192">
        <v>91841</v>
      </c>
      <c r="B192" t="s">
        <v>906</v>
      </c>
      <c r="C192" s="69">
        <v>170180.13</v>
      </c>
      <c r="D192"/>
    </row>
    <row r="193" spans="1:4">
      <c r="A193">
        <v>91851</v>
      </c>
      <c r="B193" t="s">
        <v>907</v>
      </c>
      <c r="C193" s="69">
        <v>458587.1</v>
      </c>
      <c r="D193"/>
    </row>
    <row r="194" spans="1:4">
      <c r="A194">
        <v>91861</v>
      </c>
      <c r="B194" t="s">
        <v>908</v>
      </c>
      <c r="C194" s="69">
        <v>4376.1099999999997</v>
      </c>
      <c r="D194"/>
    </row>
    <row r="195" spans="1:4">
      <c r="A195">
        <v>91871</v>
      </c>
      <c r="B195" t="s">
        <v>909</v>
      </c>
      <c r="C195" s="69">
        <v>824136.25000000012</v>
      </c>
      <c r="D195"/>
    </row>
    <row r="196" spans="1:4">
      <c r="A196">
        <v>91881</v>
      </c>
      <c r="B196" t="s">
        <v>910</v>
      </c>
      <c r="C196" s="69">
        <v>11127.06</v>
      </c>
      <c r="D196"/>
    </row>
    <row r="197" spans="1:4">
      <c r="A197">
        <v>91901</v>
      </c>
      <c r="B197" t="s">
        <v>911</v>
      </c>
      <c r="C197" s="69">
        <v>2277508.2700000005</v>
      </c>
      <c r="D197"/>
    </row>
    <row r="198" spans="1:4">
      <c r="A198">
        <v>91903</v>
      </c>
      <c r="B198" t="s">
        <v>912</v>
      </c>
      <c r="C198" s="69">
        <v>7802.52</v>
      </c>
      <c r="D198"/>
    </row>
    <row r="199" spans="1:4">
      <c r="A199">
        <v>91904</v>
      </c>
      <c r="B199" t="s">
        <v>913</v>
      </c>
      <c r="C199" s="69">
        <v>27229.47</v>
      </c>
      <c r="D199"/>
    </row>
    <row r="200" spans="1:4">
      <c r="A200">
        <v>91908</v>
      </c>
      <c r="B200" t="s">
        <v>914</v>
      </c>
      <c r="C200" s="69">
        <v>6293.5000000000009</v>
      </c>
      <c r="D200"/>
    </row>
    <row r="201" spans="1:4">
      <c r="A201">
        <v>91911</v>
      </c>
      <c r="B201" t="s">
        <v>915</v>
      </c>
      <c r="C201" s="69">
        <v>331077.67</v>
      </c>
      <c r="D201"/>
    </row>
    <row r="202" spans="1:4">
      <c r="A202">
        <v>91917</v>
      </c>
      <c r="B202" t="s">
        <v>916</v>
      </c>
      <c r="C202" s="69">
        <v>10118.109999999999</v>
      </c>
      <c r="D202"/>
    </row>
    <row r="203" spans="1:4">
      <c r="A203">
        <v>91921</v>
      </c>
      <c r="B203" t="s">
        <v>917</v>
      </c>
      <c r="C203" s="69">
        <v>233100.02000000002</v>
      </c>
      <c r="D203"/>
    </row>
    <row r="204" spans="1:4">
      <c r="A204">
        <v>92001</v>
      </c>
      <c r="B204" t="s">
        <v>918</v>
      </c>
      <c r="C204" s="69">
        <v>1108734.2599999998</v>
      </c>
      <c r="D204"/>
    </row>
    <row r="205" spans="1:4">
      <c r="A205">
        <v>92005</v>
      </c>
      <c r="B205" t="s">
        <v>919</v>
      </c>
      <c r="C205" s="69">
        <v>25779.030000000002</v>
      </c>
      <c r="D205"/>
    </row>
    <row r="206" spans="1:4">
      <c r="A206">
        <v>92011</v>
      </c>
      <c r="B206" t="s">
        <v>920</v>
      </c>
      <c r="C206" s="69">
        <v>119422.65000000001</v>
      </c>
      <c r="D206"/>
    </row>
    <row r="207" spans="1:4">
      <c r="A207">
        <v>92017</v>
      </c>
      <c r="B207" t="s">
        <v>921</v>
      </c>
      <c r="C207" s="69">
        <v>24320.480000000003</v>
      </c>
      <c r="D207"/>
    </row>
    <row r="208" spans="1:4">
      <c r="A208">
        <v>92021</v>
      </c>
      <c r="B208" t="s">
        <v>922</v>
      </c>
      <c r="C208" s="69">
        <v>65514.12999999999</v>
      </c>
      <c r="D208"/>
    </row>
    <row r="209" spans="1:4">
      <c r="A209">
        <v>92101</v>
      </c>
      <c r="B209" t="s">
        <v>923</v>
      </c>
      <c r="C209" s="69">
        <v>491207.57999999996</v>
      </c>
      <c r="D209"/>
    </row>
    <row r="210" spans="1:4">
      <c r="A210">
        <v>92104</v>
      </c>
      <c r="B210" t="s">
        <v>924</v>
      </c>
      <c r="C210" s="69">
        <v>6913.6500000000015</v>
      </c>
      <c r="D210"/>
    </row>
    <row r="211" spans="1:4">
      <c r="A211">
        <v>92109</v>
      </c>
      <c r="B211" t="s">
        <v>925</v>
      </c>
      <c r="C211" s="69">
        <v>112580.98000000001</v>
      </c>
      <c r="D211"/>
    </row>
    <row r="212" spans="1:4">
      <c r="A212">
        <v>92111</v>
      </c>
      <c r="B212" t="s">
        <v>926</v>
      </c>
      <c r="C212" s="69">
        <v>319891.04000000004</v>
      </c>
      <c r="D212"/>
    </row>
    <row r="213" spans="1:4">
      <c r="A213">
        <v>92113</v>
      </c>
      <c r="B213" t="s">
        <v>927</v>
      </c>
      <c r="C213" s="69">
        <v>16522.97</v>
      </c>
      <c r="D213"/>
    </row>
    <row r="214" spans="1:4">
      <c r="A214">
        <v>92201</v>
      </c>
      <c r="B214" t="s">
        <v>928</v>
      </c>
      <c r="C214" s="69">
        <v>600417.24</v>
      </c>
      <c r="D214"/>
    </row>
    <row r="215" spans="1:4">
      <c r="A215">
        <v>92214</v>
      </c>
      <c r="B215" t="s">
        <v>1925</v>
      </c>
      <c r="C215" s="69">
        <v>12000.039999999999</v>
      </c>
      <c r="D215"/>
    </row>
    <row r="216" spans="1:4">
      <c r="A216">
        <v>92301</v>
      </c>
      <c r="B216" t="s">
        <v>929</v>
      </c>
      <c r="C216" s="69">
        <v>3314829.22</v>
      </c>
      <c r="D216"/>
    </row>
    <row r="217" spans="1:4">
      <c r="A217">
        <v>92302</v>
      </c>
      <c r="B217" t="s">
        <v>930</v>
      </c>
      <c r="C217" s="69">
        <v>187889.39</v>
      </c>
      <c r="D217"/>
    </row>
    <row r="218" spans="1:4">
      <c r="A218">
        <v>92311</v>
      </c>
      <c r="B218" t="s">
        <v>931</v>
      </c>
      <c r="C218" s="69">
        <v>1405326.9200000002</v>
      </c>
      <c r="D218"/>
    </row>
    <row r="219" spans="1:4">
      <c r="A219">
        <v>92317</v>
      </c>
      <c r="B219" t="s">
        <v>932</v>
      </c>
      <c r="C219" s="69">
        <v>30422.369999999995</v>
      </c>
      <c r="D219"/>
    </row>
    <row r="220" spans="1:4">
      <c r="A220">
        <v>92321</v>
      </c>
      <c r="B220" t="s">
        <v>933</v>
      </c>
      <c r="C220" s="69">
        <v>836037.19</v>
      </c>
      <c r="D220"/>
    </row>
    <row r="221" spans="1:4">
      <c r="A221">
        <v>92327</v>
      </c>
      <c r="B221" t="s">
        <v>934</v>
      </c>
      <c r="C221" s="69">
        <v>9362.6899999999987</v>
      </c>
      <c r="D221"/>
    </row>
    <row r="222" spans="1:4">
      <c r="A222">
        <v>92331</v>
      </c>
      <c r="B222" t="s">
        <v>935</v>
      </c>
      <c r="C222" s="69">
        <v>107013.37</v>
      </c>
      <c r="D222"/>
    </row>
    <row r="223" spans="1:4">
      <c r="A223">
        <v>92341</v>
      </c>
      <c r="B223" t="s">
        <v>936</v>
      </c>
      <c r="C223" s="69">
        <v>3979.12</v>
      </c>
      <c r="D223"/>
    </row>
    <row r="224" spans="1:4">
      <c r="A224">
        <v>92351</v>
      </c>
      <c r="B224" t="s">
        <v>937</v>
      </c>
      <c r="C224" s="69">
        <v>16488.38</v>
      </c>
      <c r="D224"/>
    </row>
    <row r="225" spans="1:4">
      <c r="A225">
        <v>92401</v>
      </c>
      <c r="B225" t="s">
        <v>938</v>
      </c>
      <c r="C225" s="69">
        <v>1620314.7599999998</v>
      </c>
      <c r="D225"/>
    </row>
    <row r="226" spans="1:4">
      <c r="A226">
        <v>92403</v>
      </c>
      <c r="B226" t="s">
        <v>939</v>
      </c>
      <c r="C226" s="69">
        <v>9547.0499999999993</v>
      </c>
      <c r="D226"/>
    </row>
    <row r="227" spans="1:4">
      <c r="A227">
        <v>92411</v>
      </c>
      <c r="B227" t="s">
        <v>940</v>
      </c>
      <c r="C227" s="69">
        <v>279728.70999999996</v>
      </c>
      <c r="D227"/>
    </row>
    <row r="228" spans="1:4">
      <c r="A228">
        <v>92417</v>
      </c>
      <c r="B228" t="s">
        <v>941</v>
      </c>
      <c r="C228" s="69">
        <v>6472.33</v>
      </c>
      <c r="D228"/>
    </row>
    <row r="229" spans="1:4">
      <c r="A229">
        <v>92421</v>
      </c>
      <c r="B229" t="s">
        <v>942</v>
      </c>
      <c r="C229" s="69">
        <v>10478.530000000001</v>
      </c>
      <c r="D229"/>
    </row>
    <row r="230" spans="1:4">
      <c r="A230">
        <v>92427</v>
      </c>
      <c r="B230" t="s">
        <v>943</v>
      </c>
      <c r="C230" s="69">
        <v>2074.0799999999995</v>
      </c>
      <c r="D230"/>
    </row>
    <row r="231" spans="1:4">
      <c r="A231">
        <v>92431</v>
      </c>
      <c r="B231" t="s">
        <v>944</v>
      </c>
      <c r="C231" s="69">
        <v>21856.260000000002</v>
      </c>
      <c r="D231"/>
    </row>
    <row r="232" spans="1:4">
      <c r="A232">
        <v>92441</v>
      </c>
      <c r="B232" t="s">
        <v>945</v>
      </c>
      <c r="C232" s="69">
        <v>60545.869999999995</v>
      </c>
      <c r="D232"/>
    </row>
    <row r="233" spans="1:4">
      <c r="A233">
        <v>92444</v>
      </c>
      <c r="B233" t="s">
        <v>946</v>
      </c>
      <c r="C233" s="69">
        <v>5366.8200000000006</v>
      </c>
      <c r="D233"/>
    </row>
    <row r="234" spans="1:4">
      <c r="A234">
        <v>92451</v>
      </c>
      <c r="B234" t="s">
        <v>947</v>
      </c>
      <c r="C234" s="69">
        <v>94890.77</v>
      </c>
      <c r="D234"/>
    </row>
    <row r="235" spans="1:4">
      <c r="A235">
        <v>92461</v>
      </c>
      <c r="B235" t="s">
        <v>948</v>
      </c>
      <c r="C235" s="69">
        <v>49359.790000000008</v>
      </c>
      <c r="D235"/>
    </row>
    <row r="236" spans="1:4">
      <c r="A236">
        <v>92501</v>
      </c>
      <c r="B236" t="s">
        <v>949</v>
      </c>
      <c r="C236" s="69">
        <v>2704272.2500000005</v>
      </c>
      <c r="D236"/>
    </row>
    <row r="237" spans="1:4">
      <c r="A237">
        <v>92502</v>
      </c>
      <c r="B237" t="s">
        <v>950</v>
      </c>
      <c r="C237" s="69">
        <v>17990</v>
      </c>
      <c r="D237"/>
    </row>
    <row r="238" spans="1:4">
      <c r="A238">
        <v>92504</v>
      </c>
      <c r="B238" t="s">
        <v>951</v>
      </c>
      <c r="C238" s="69">
        <v>67212.990000000005</v>
      </c>
      <c r="D238"/>
    </row>
    <row r="239" spans="1:4">
      <c r="A239">
        <v>92505</v>
      </c>
      <c r="B239" t="s">
        <v>952</v>
      </c>
      <c r="C239" s="69">
        <v>161996.82000000004</v>
      </c>
      <c r="D239"/>
    </row>
    <row r="240" spans="1:4">
      <c r="A240">
        <v>92506</v>
      </c>
      <c r="B240" t="s">
        <v>953</v>
      </c>
      <c r="C240" s="69">
        <v>48154.380000000005</v>
      </c>
      <c r="D240"/>
    </row>
    <row r="241" spans="1:4">
      <c r="A241">
        <v>92507</v>
      </c>
      <c r="B241" t="s">
        <v>954</v>
      </c>
      <c r="C241" s="69">
        <v>60642.869999999995</v>
      </c>
      <c r="D241"/>
    </row>
    <row r="242" spans="1:4">
      <c r="A242">
        <v>92508</v>
      </c>
      <c r="B242" t="s">
        <v>955</v>
      </c>
      <c r="C242" s="69">
        <v>222925.09</v>
      </c>
      <c r="D242"/>
    </row>
    <row r="243" spans="1:4">
      <c r="A243">
        <v>92509</v>
      </c>
      <c r="B243" t="s">
        <v>3753</v>
      </c>
      <c r="C243" s="69">
        <v>0</v>
      </c>
      <c r="D243"/>
    </row>
    <row r="244" spans="1:4">
      <c r="A244">
        <v>92511</v>
      </c>
      <c r="B244" t="s">
        <v>956</v>
      </c>
      <c r="C244" s="69">
        <v>2099499.12</v>
      </c>
      <c r="D244"/>
    </row>
    <row r="245" spans="1:4">
      <c r="A245">
        <v>92513</v>
      </c>
      <c r="B245" t="s">
        <v>957</v>
      </c>
      <c r="C245" s="69">
        <v>2336920.4300000002</v>
      </c>
      <c r="D245"/>
    </row>
    <row r="246" spans="1:4">
      <c r="A246">
        <v>92521</v>
      </c>
      <c r="B246" t="s">
        <v>958</v>
      </c>
      <c r="C246" s="69">
        <v>49229.399999999994</v>
      </c>
      <c r="D246"/>
    </row>
    <row r="247" spans="1:4">
      <c r="A247">
        <v>92531</v>
      </c>
      <c r="B247" t="s">
        <v>959</v>
      </c>
      <c r="C247" s="69">
        <v>491813.33</v>
      </c>
      <c r="D247"/>
    </row>
    <row r="248" spans="1:4">
      <c r="A248">
        <v>92541</v>
      </c>
      <c r="B248" t="s">
        <v>960</v>
      </c>
      <c r="C248" s="69">
        <v>88984.900000000009</v>
      </c>
      <c r="D248"/>
    </row>
    <row r="249" spans="1:4">
      <c r="A249">
        <v>92551</v>
      </c>
      <c r="B249" t="s">
        <v>961</v>
      </c>
      <c r="C249" s="69">
        <v>29437.090000000004</v>
      </c>
      <c r="D249"/>
    </row>
    <row r="250" spans="1:4">
      <c r="A250">
        <v>92561</v>
      </c>
      <c r="B250" t="s">
        <v>962</v>
      </c>
      <c r="C250" s="69">
        <v>10293.59</v>
      </c>
      <c r="D250"/>
    </row>
    <row r="251" spans="1:4">
      <c r="A251">
        <v>92571</v>
      </c>
      <c r="B251" t="s">
        <v>963</v>
      </c>
      <c r="C251" s="69">
        <v>5037.6000000000004</v>
      </c>
      <c r="D251"/>
    </row>
    <row r="252" spans="1:4">
      <c r="A252">
        <v>92601</v>
      </c>
      <c r="B252" t="s">
        <v>964</v>
      </c>
      <c r="C252" s="69">
        <v>8352943</v>
      </c>
      <c r="D252"/>
    </row>
    <row r="253" spans="1:4">
      <c r="A253">
        <v>92602</v>
      </c>
      <c r="B253" t="s">
        <v>965</v>
      </c>
      <c r="C253" s="69">
        <v>2986.6799999999994</v>
      </c>
      <c r="D253"/>
    </row>
    <row r="254" spans="1:4">
      <c r="A254">
        <v>92604</v>
      </c>
      <c r="B254" t="s">
        <v>966</v>
      </c>
      <c r="C254" s="69">
        <v>242790.09000000003</v>
      </c>
      <c r="D254"/>
    </row>
    <row r="255" spans="1:4">
      <c r="A255">
        <v>92607</v>
      </c>
      <c r="B255" t="s">
        <v>967</v>
      </c>
      <c r="C255" s="69">
        <v>48044.23</v>
      </c>
      <c r="D255"/>
    </row>
    <row r="256" spans="1:4">
      <c r="A256">
        <v>92608</v>
      </c>
      <c r="B256" t="s">
        <v>3712</v>
      </c>
      <c r="C256" s="69">
        <v>0</v>
      </c>
      <c r="D256"/>
    </row>
    <row r="257" spans="1:4">
      <c r="A257">
        <v>92611</v>
      </c>
      <c r="B257" t="s">
        <v>969</v>
      </c>
      <c r="C257" s="69">
        <v>7063777.96</v>
      </c>
      <c r="D257"/>
    </row>
    <row r="258" spans="1:4">
      <c r="A258">
        <v>92613</v>
      </c>
      <c r="B258" t="s">
        <v>970</v>
      </c>
      <c r="C258" s="69">
        <v>180590.88</v>
      </c>
      <c r="D258"/>
    </row>
    <row r="259" spans="1:4">
      <c r="A259">
        <v>92614</v>
      </c>
      <c r="B259" t="s">
        <v>971</v>
      </c>
      <c r="C259" s="69">
        <v>3960299.05</v>
      </c>
      <c r="D259"/>
    </row>
    <row r="260" spans="1:4">
      <c r="A260">
        <v>92621</v>
      </c>
      <c r="B260" t="s">
        <v>972</v>
      </c>
      <c r="C260" s="69">
        <v>19069.68</v>
      </c>
      <c r="D260"/>
    </row>
    <row r="261" spans="1:4">
      <c r="A261">
        <v>92631</v>
      </c>
      <c r="B261" t="s">
        <v>973</v>
      </c>
      <c r="C261" s="69">
        <v>532576.46</v>
      </c>
      <c r="D261"/>
    </row>
    <row r="262" spans="1:4">
      <c r="A262">
        <v>92641</v>
      </c>
      <c r="B262" t="s">
        <v>974</v>
      </c>
      <c r="C262" s="69">
        <v>9750.8999999999978</v>
      </c>
      <c r="D262"/>
    </row>
    <row r="263" spans="1:4">
      <c r="A263">
        <v>92651</v>
      </c>
      <c r="B263" t="s">
        <v>975</v>
      </c>
      <c r="C263" s="69">
        <v>3127.24</v>
      </c>
      <c r="D263"/>
    </row>
    <row r="264" spans="1:4">
      <c r="A264">
        <v>92661</v>
      </c>
      <c r="B264" t="s">
        <v>976</v>
      </c>
      <c r="C264" s="69">
        <v>394907.72000000009</v>
      </c>
      <c r="D264"/>
    </row>
    <row r="265" spans="1:4">
      <c r="A265">
        <v>92671</v>
      </c>
      <c r="B265" t="s">
        <v>977</v>
      </c>
      <c r="C265" s="69">
        <v>3726.4700000000003</v>
      </c>
      <c r="D265"/>
    </row>
    <row r="266" spans="1:4">
      <c r="A266">
        <v>92681</v>
      </c>
      <c r="B266" t="s">
        <v>978</v>
      </c>
      <c r="C266" s="69">
        <v>5684.579999999999</v>
      </c>
      <c r="D266"/>
    </row>
    <row r="267" spans="1:4">
      <c r="A267">
        <v>92701</v>
      </c>
      <c r="B267" t="s">
        <v>979</v>
      </c>
      <c r="C267" s="69">
        <v>1773313.1899999997</v>
      </c>
      <c r="D267"/>
    </row>
    <row r="268" spans="1:4">
      <c r="A268">
        <v>92704</v>
      </c>
      <c r="B268" t="s">
        <v>980</v>
      </c>
      <c r="C268" s="69">
        <v>24562.93</v>
      </c>
      <c r="D268"/>
    </row>
    <row r="269" spans="1:4">
      <c r="A269">
        <v>92801</v>
      </c>
      <c r="B269" t="s">
        <v>981</v>
      </c>
      <c r="C269" s="69">
        <v>3495037.6999999997</v>
      </c>
      <c r="D269"/>
    </row>
    <row r="270" spans="1:4">
      <c r="A270">
        <v>92802</v>
      </c>
      <c r="B270" t="s">
        <v>982</v>
      </c>
      <c r="C270" s="69">
        <v>70964.25</v>
      </c>
      <c r="D270"/>
    </row>
    <row r="271" spans="1:4">
      <c r="A271">
        <v>92804</v>
      </c>
      <c r="B271" t="s">
        <v>983</v>
      </c>
      <c r="C271" s="69">
        <v>87958.780000000013</v>
      </c>
      <c r="D271"/>
    </row>
    <row r="272" spans="1:4">
      <c r="A272">
        <v>92811</v>
      </c>
      <c r="B272" t="s">
        <v>984</v>
      </c>
      <c r="C272" s="69">
        <v>605801.36</v>
      </c>
      <c r="D272"/>
    </row>
    <row r="273" spans="1:4">
      <c r="A273">
        <v>92821</v>
      </c>
      <c r="B273" t="s">
        <v>985</v>
      </c>
      <c r="C273" s="69">
        <v>663912.71</v>
      </c>
      <c r="D273"/>
    </row>
    <row r="274" spans="1:4">
      <c r="A274">
        <v>92831</v>
      </c>
      <c r="B274" t="s">
        <v>986</v>
      </c>
      <c r="C274" s="69">
        <v>188011.19</v>
      </c>
      <c r="D274"/>
    </row>
    <row r="275" spans="1:4">
      <c r="A275">
        <v>92841</v>
      </c>
      <c r="B275" t="s">
        <v>987</v>
      </c>
      <c r="C275" s="69">
        <v>143849.45000000001</v>
      </c>
      <c r="D275"/>
    </row>
    <row r="276" spans="1:4">
      <c r="A276">
        <v>92851</v>
      </c>
      <c r="B276" t="s">
        <v>988</v>
      </c>
      <c r="C276" s="69">
        <v>233969.76999999996</v>
      </c>
      <c r="D276"/>
    </row>
    <row r="277" spans="1:4">
      <c r="A277">
        <v>92861</v>
      </c>
      <c r="B277" t="s">
        <v>989</v>
      </c>
      <c r="C277" s="69">
        <v>202744.57000000004</v>
      </c>
      <c r="D277"/>
    </row>
    <row r="278" spans="1:4">
      <c r="A278">
        <v>92901</v>
      </c>
      <c r="B278" t="s">
        <v>990</v>
      </c>
      <c r="C278" s="69">
        <v>3521298.9499999997</v>
      </c>
      <c r="D278"/>
    </row>
    <row r="279" spans="1:4">
      <c r="A279">
        <v>92911</v>
      </c>
      <c r="B279" t="s">
        <v>991</v>
      </c>
      <c r="C279" s="69">
        <v>1269653.29</v>
      </c>
      <c r="D279"/>
    </row>
    <row r="280" spans="1:4">
      <c r="A280">
        <v>92913</v>
      </c>
      <c r="B280" t="s">
        <v>992</v>
      </c>
      <c r="C280" s="69">
        <v>22305.5</v>
      </c>
      <c r="D280"/>
    </row>
    <row r="281" spans="1:4">
      <c r="A281">
        <v>92914</v>
      </c>
      <c r="B281" t="s">
        <v>993</v>
      </c>
      <c r="C281" s="69">
        <v>22153.519999999997</v>
      </c>
      <c r="D281"/>
    </row>
    <row r="282" spans="1:4">
      <c r="A282">
        <v>92917</v>
      </c>
      <c r="B282" t="s">
        <v>994</v>
      </c>
      <c r="C282" s="69">
        <v>19303.399999999998</v>
      </c>
      <c r="D282"/>
    </row>
    <row r="283" spans="1:4">
      <c r="A283">
        <v>92921</v>
      </c>
      <c r="B283" t="s">
        <v>995</v>
      </c>
      <c r="C283" s="69">
        <v>67647.76999999999</v>
      </c>
      <c r="D283"/>
    </row>
    <row r="284" spans="1:4">
      <c r="A284">
        <v>92931</v>
      </c>
      <c r="B284" t="s">
        <v>996</v>
      </c>
      <c r="C284" s="69">
        <v>1422920.1700000002</v>
      </c>
      <c r="D284"/>
    </row>
    <row r="285" spans="1:4">
      <c r="A285">
        <v>92941</v>
      </c>
      <c r="B285" t="s">
        <v>81</v>
      </c>
      <c r="C285" s="69">
        <v>3380.9600000000005</v>
      </c>
      <c r="D285"/>
    </row>
    <row r="286" spans="1:4">
      <c r="A286">
        <v>93001</v>
      </c>
      <c r="B286" t="s">
        <v>997</v>
      </c>
      <c r="C286" s="69">
        <v>1412038.75</v>
      </c>
      <c r="D286"/>
    </row>
    <row r="287" spans="1:4">
      <c r="A287">
        <v>93009</v>
      </c>
      <c r="B287" t="s">
        <v>998</v>
      </c>
      <c r="C287" s="69">
        <v>6656.2899999999991</v>
      </c>
      <c r="D287"/>
    </row>
    <row r="288" spans="1:4">
      <c r="A288">
        <v>93011</v>
      </c>
      <c r="B288" t="s">
        <v>999</v>
      </c>
      <c r="C288" s="69">
        <v>184720.22</v>
      </c>
      <c r="D288"/>
    </row>
    <row r="289" spans="1:4">
      <c r="A289">
        <v>93021</v>
      </c>
      <c r="B289" t="s">
        <v>1000</v>
      </c>
      <c r="C289" s="69">
        <v>17952.760000000002</v>
      </c>
      <c r="D289"/>
    </row>
    <row r="290" spans="1:4">
      <c r="A290">
        <v>93028</v>
      </c>
      <c r="B290" t="s">
        <v>3609</v>
      </c>
      <c r="C290" s="69">
        <v>11299.000000000002</v>
      </c>
      <c r="D290"/>
    </row>
    <row r="291" spans="1:4">
      <c r="A291">
        <v>93027</v>
      </c>
      <c r="B291" t="s">
        <v>1001</v>
      </c>
      <c r="C291" s="69">
        <v>0</v>
      </c>
      <c r="D291"/>
    </row>
    <row r="292" spans="1:4">
      <c r="A292">
        <v>93031</v>
      </c>
      <c r="B292" t="s">
        <v>1002</v>
      </c>
      <c r="C292" s="69">
        <v>3464.6000000000004</v>
      </c>
      <c r="D292"/>
    </row>
    <row r="293" spans="1:4">
      <c r="A293">
        <v>93101</v>
      </c>
      <c r="B293" t="s">
        <v>1003</v>
      </c>
      <c r="C293" s="69">
        <v>1849535.31</v>
      </c>
      <c r="D293"/>
    </row>
    <row r="294" spans="1:4">
      <c r="A294">
        <v>93103</v>
      </c>
      <c r="B294" t="s">
        <v>260</v>
      </c>
      <c r="C294" s="69">
        <v>4420.3600000000006</v>
      </c>
      <c r="D294"/>
    </row>
    <row r="295" spans="1:4">
      <c r="A295">
        <v>93108</v>
      </c>
      <c r="B295" t="s">
        <v>1004</v>
      </c>
      <c r="C295" s="69">
        <v>1456240.4399999997</v>
      </c>
      <c r="D295"/>
    </row>
    <row r="296" spans="1:4">
      <c r="A296">
        <v>93111</v>
      </c>
      <c r="B296" t="s">
        <v>1005</v>
      </c>
      <c r="C296" s="69">
        <v>35185.159999999996</v>
      </c>
      <c r="D296"/>
    </row>
    <row r="297" spans="1:4">
      <c r="A297">
        <v>93121</v>
      </c>
      <c r="B297" t="s">
        <v>1006</v>
      </c>
      <c r="C297" s="69">
        <v>39979.32</v>
      </c>
      <c r="D297"/>
    </row>
    <row r="298" spans="1:4">
      <c r="A298">
        <v>93127</v>
      </c>
      <c r="B298" t="s">
        <v>1007</v>
      </c>
      <c r="C298" s="69">
        <v>4166.3100000000004</v>
      </c>
      <c r="D298"/>
    </row>
    <row r="299" spans="1:4">
      <c r="A299">
        <v>93131</v>
      </c>
      <c r="B299" t="s">
        <v>1008</v>
      </c>
      <c r="C299" s="69">
        <v>118911.71999999999</v>
      </c>
      <c r="D299"/>
    </row>
    <row r="300" spans="1:4">
      <c r="A300">
        <v>93137</v>
      </c>
      <c r="B300" t="s">
        <v>1009</v>
      </c>
      <c r="C300" s="69">
        <v>3744.45</v>
      </c>
      <c r="D300"/>
    </row>
    <row r="301" spans="1:4">
      <c r="A301">
        <v>93141</v>
      </c>
      <c r="B301" t="s">
        <v>1010</v>
      </c>
      <c r="C301" s="69">
        <v>21807.799999999996</v>
      </c>
      <c r="D301"/>
    </row>
    <row r="302" spans="1:4">
      <c r="A302">
        <v>93151</v>
      </c>
      <c r="B302" t="s">
        <v>1011</v>
      </c>
      <c r="C302" s="69">
        <v>200116.66000000003</v>
      </c>
      <c r="D302"/>
    </row>
    <row r="303" spans="1:4">
      <c r="A303">
        <v>93157</v>
      </c>
      <c r="B303" t="s">
        <v>1012</v>
      </c>
      <c r="C303" s="69">
        <v>7181.4</v>
      </c>
      <c r="D303"/>
    </row>
    <row r="304" spans="1:4">
      <c r="A304">
        <v>93161</v>
      </c>
      <c r="B304" t="s">
        <v>1013</v>
      </c>
      <c r="C304" s="69">
        <v>64015.369999999995</v>
      </c>
      <c r="D304"/>
    </row>
    <row r="305" spans="1:4">
      <c r="A305">
        <v>93171</v>
      </c>
      <c r="B305" t="s">
        <v>1014</v>
      </c>
      <c r="C305" s="69">
        <v>7023.5500000000011</v>
      </c>
      <c r="D305"/>
    </row>
    <row r="306" spans="1:4">
      <c r="A306">
        <v>93181</v>
      </c>
      <c r="B306" t="s">
        <v>1015</v>
      </c>
      <c r="C306" s="69">
        <v>7608.1399999999994</v>
      </c>
      <c r="D306"/>
    </row>
    <row r="307" spans="1:4">
      <c r="A307">
        <v>93191</v>
      </c>
      <c r="B307" t="s">
        <v>1016</v>
      </c>
      <c r="C307" s="69">
        <v>23171.02</v>
      </c>
      <c r="D307"/>
    </row>
    <row r="308" spans="1:4">
      <c r="A308">
        <v>93201</v>
      </c>
      <c r="B308" t="s">
        <v>1017</v>
      </c>
      <c r="C308" s="69">
        <v>9167962.3000000007</v>
      </c>
      <c r="D308"/>
    </row>
    <row r="309" spans="1:4">
      <c r="A309">
        <v>93202</v>
      </c>
      <c r="B309" t="s">
        <v>1018</v>
      </c>
      <c r="C309" s="69">
        <v>0</v>
      </c>
      <c r="D309"/>
    </row>
    <row r="310" spans="1:4">
      <c r="A310">
        <v>93204</v>
      </c>
      <c r="B310" t="s">
        <v>1019</v>
      </c>
      <c r="C310" s="69">
        <v>192514.34</v>
      </c>
      <c r="D310"/>
    </row>
    <row r="311" spans="1:4">
      <c r="A311">
        <v>93209</v>
      </c>
      <c r="B311" t="s">
        <v>3722</v>
      </c>
      <c r="C311" s="69">
        <v>3147884.7800000007</v>
      </c>
      <c r="D311"/>
    </row>
    <row r="312" spans="1:4">
      <c r="A312">
        <v>93211</v>
      </c>
      <c r="B312" t="s">
        <v>1021</v>
      </c>
      <c r="C312" s="69">
        <v>14075156.090000002</v>
      </c>
      <c r="D312"/>
    </row>
    <row r="313" spans="1:4">
      <c r="A313">
        <v>93212</v>
      </c>
      <c r="B313" t="s">
        <v>1022</v>
      </c>
      <c r="C313" s="69">
        <v>167505.19</v>
      </c>
      <c r="D313"/>
    </row>
    <row r="314" spans="1:4">
      <c r="A314">
        <v>93219</v>
      </c>
      <c r="B314" t="s">
        <v>1023</v>
      </c>
      <c r="C314" s="69">
        <v>177379.81000000003</v>
      </c>
      <c r="D314"/>
    </row>
    <row r="315" spans="1:4">
      <c r="A315">
        <v>93301</v>
      </c>
      <c r="B315" t="s">
        <v>1024</v>
      </c>
      <c r="C315" s="69">
        <v>1426685.5400000005</v>
      </c>
      <c r="D315"/>
    </row>
    <row r="316" spans="1:4">
      <c r="A316">
        <v>93304</v>
      </c>
      <c r="B316" t="s">
        <v>1025</v>
      </c>
      <c r="C316" s="69">
        <v>33727.629999999997</v>
      </c>
      <c r="D316"/>
    </row>
    <row r="317" spans="1:4">
      <c r="A317">
        <v>93305</v>
      </c>
      <c r="B317" t="s">
        <v>1026</v>
      </c>
      <c r="C317" s="69">
        <v>23197.780000000006</v>
      </c>
      <c r="D317"/>
    </row>
    <row r="318" spans="1:4">
      <c r="A318">
        <v>93309</v>
      </c>
      <c r="B318" t="s">
        <v>1027</v>
      </c>
      <c r="C318" s="69">
        <v>116550.99</v>
      </c>
      <c r="D318"/>
    </row>
    <row r="319" spans="1:4">
      <c r="A319">
        <v>93311</v>
      </c>
      <c r="B319" t="s">
        <v>1028</v>
      </c>
      <c r="C319" s="69">
        <v>757305.33</v>
      </c>
      <c r="D319"/>
    </row>
    <row r="320" spans="1:4">
      <c r="A320">
        <v>93317</v>
      </c>
      <c r="B320" t="s">
        <v>1029</v>
      </c>
      <c r="C320" s="69">
        <v>30804.35</v>
      </c>
      <c r="D320"/>
    </row>
    <row r="321" spans="1:4">
      <c r="A321">
        <v>93321</v>
      </c>
      <c r="B321" t="s">
        <v>1030</v>
      </c>
      <c r="C321" s="69">
        <v>4185162.5599999996</v>
      </c>
      <c r="D321"/>
    </row>
    <row r="322" spans="1:4">
      <c r="A322">
        <v>93323</v>
      </c>
      <c r="B322" t="s">
        <v>1031</v>
      </c>
      <c r="C322" s="69">
        <v>21465.690000000002</v>
      </c>
      <c r="D322"/>
    </row>
    <row r="323" spans="1:4">
      <c r="A323">
        <v>93331</v>
      </c>
      <c r="B323" t="s">
        <v>1032</v>
      </c>
      <c r="C323" s="69">
        <v>85382.45</v>
      </c>
      <c r="D323"/>
    </row>
    <row r="324" spans="1:4">
      <c r="A324">
        <v>93333</v>
      </c>
      <c r="B324" t="s">
        <v>1033</v>
      </c>
      <c r="C324" s="69">
        <v>154397.54000000004</v>
      </c>
      <c r="D324"/>
    </row>
    <row r="325" spans="1:4">
      <c r="A325">
        <v>93341</v>
      </c>
      <c r="B325" t="s">
        <v>1034</v>
      </c>
      <c r="C325" s="69">
        <v>17829.22</v>
      </c>
      <c r="D325"/>
    </row>
    <row r="326" spans="1:4">
      <c r="A326">
        <v>93351</v>
      </c>
      <c r="B326" t="s">
        <v>1035</v>
      </c>
      <c r="C326" s="69">
        <v>18333.82</v>
      </c>
      <c r="D326"/>
    </row>
    <row r="327" spans="1:4">
      <c r="A327">
        <v>93401</v>
      </c>
      <c r="B327" t="s">
        <v>1036</v>
      </c>
      <c r="C327" s="69">
        <v>8768293.9100000001</v>
      </c>
      <c r="D327"/>
    </row>
    <row r="328" spans="1:4">
      <c r="A328">
        <v>93402</v>
      </c>
      <c r="B328" t="s">
        <v>1037</v>
      </c>
      <c r="C328" s="69">
        <v>0</v>
      </c>
      <c r="D328"/>
    </row>
    <row r="329" spans="1:4">
      <c r="A329">
        <v>93406</v>
      </c>
      <c r="B329" t="s">
        <v>1038</v>
      </c>
      <c r="C329" s="69">
        <v>352185.08</v>
      </c>
      <c r="D329"/>
    </row>
    <row r="330" spans="1:4">
      <c r="A330">
        <v>93408</v>
      </c>
      <c r="B330" t="s">
        <v>1039</v>
      </c>
      <c r="C330" s="69">
        <v>0</v>
      </c>
      <c r="D330"/>
    </row>
    <row r="331" spans="1:4">
      <c r="A331">
        <v>93411</v>
      </c>
      <c r="B331" t="s">
        <v>1040</v>
      </c>
      <c r="C331" s="69">
        <v>11404697.990000002</v>
      </c>
      <c r="D331"/>
    </row>
    <row r="332" spans="1:4">
      <c r="A332">
        <v>93413</v>
      </c>
      <c r="B332" t="s">
        <v>1041</v>
      </c>
      <c r="C332" s="69">
        <v>441702.75</v>
      </c>
      <c r="D332"/>
    </row>
    <row r="333" spans="1:4">
      <c r="A333">
        <v>93417</v>
      </c>
      <c r="B333" t="s">
        <v>1042</v>
      </c>
      <c r="C333" s="69">
        <v>231214.15000000005</v>
      </c>
      <c r="D333"/>
    </row>
    <row r="334" spans="1:4">
      <c r="A334">
        <v>93421</v>
      </c>
      <c r="B334" t="s">
        <v>1043</v>
      </c>
      <c r="C334" s="69">
        <v>1203990.0999999999</v>
      </c>
      <c r="D334"/>
    </row>
    <row r="335" spans="1:4">
      <c r="A335">
        <v>93431</v>
      </c>
      <c r="B335" t="s">
        <v>1044</v>
      </c>
      <c r="C335" s="69">
        <v>85286.31</v>
      </c>
      <c r="D335"/>
    </row>
    <row r="336" spans="1:4">
      <c r="A336">
        <v>93441</v>
      </c>
      <c r="B336" t="s">
        <v>1045</v>
      </c>
      <c r="C336" s="69">
        <v>101953.15999999999</v>
      </c>
      <c r="D336"/>
    </row>
    <row r="337" spans="1:4">
      <c r="A337">
        <v>93442</v>
      </c>
      <c r="B337" t="s">
        <v>1046</v>
      </c>
      <c r="C337" s="69">
        <v>79845.62000000001</v>
      </c>
      <c r="D337"/>
    </row>
    <row r="338" spans="1:4">
      <c r="A338">
        <v>93451</v>
      </c>
      <c r="B338" t="s">
        <v>1047</v>
      </c>
      <c r="C338" s="69">
        <v>55842.22</v>
      </c>
      <c r="D338"/>
    </row>
    <row r="339" spans="1:4">
      <c r="A339">
        <v>93461</v>
      </c>
      <c r="B339" t="s">
        <v>1048</v>
      </c>
      <c r="C339" s="69">
        <v>9651</v>
      </c>
      <c r="D339"/>
    </row>
    <row r="340" spans="1:4">
      <c r="A340">
        <v>93471</v>
      </c>
      <c r="B340" t="s">
        <v>1049</v>
      </c>
      <c r="C340" s="69">
        <v>12867</v>
      </c>
      <c r="D340"/>
    </row>
    <row r="341" spans="1:4">
      <c r="A341">
        <v>93501</v>
      </c>
      <c r="B341" t="s">
        <v>1050</v>
      </c>
      <c r="C341" s="69">
        <v>2319860.36</v>
      </c>
      <c r="D341"/>
    </row>
    <row r="342" spans="1:4">
      <c r="A342">
        <v>93511</v>
      </c>
      <c r="B342" t="s">
        <v>1051</v>
      </c>
      <c r="C342" s="69">
        <v>54716.619999999995</v>
      </c>
      <c r="D342"/>
    </row>
    <row r="343" spans="1:4">
      <c r="A343">
        <v>93517</v>
      </c>
      <c r="B343" t="s">
        <v>1052</v>
      </c>
      <c r="C343" s="69">
        <v>5688.1200000000017</v>
      </c>
      <c r="D343"/>
    </row>
    <row r="344" spans="1:4">
      <c r="A344">
        <v>93521</v>
      </c>
      <c r="B344" t="s">
        <v>1053</v>
      </c>
      <c r="C344" s="69">
        <v>278759.18000000005</v>
      </c>
      <c r="D344"/>
    </row>
    <row r="345" spans="1:4">
      <c r="A345">
        <v>93527</v>
      </c>
      <c r="B345" t="s">
        <v>1054</v>
      </c>
      <c r="C345" s="69">
        <v>11868.65</v>
      </c>
      <c r="D345"/>
    </row>
    <row r="346" spans="1:4">
      <c r="A346">
        <v>93531</v>
      </c>
      <c r="B346" t="s">
        <v>1055</v>
      </c>
      <c r="C346" s="69">
        <v>17968.18</v>
      </c>
      <c r="D346"/>
    </row>
    <row r="347" spans="1:4">
      <c r="A347">
        <v>93537</v>
      </c>
      <c r="B347" t="s">
        <v>1056</v>
      </c>
      <c r="C347" s="69">
        <v>4967.9399999999996</v>
      </c>
      <c r="D347"/>
    </row>
    <row r="348" spans="1:4">
      <c r="A348">
        <v>93541</v>
      </c>
      <c r="B348" t="s">
        <v>1057</v>
      </c>
      <c r="C348" s="69">
        <v>88067.93</v>
      </c>
      <c r="D348"/>
    </row>
    <row r="349" spans="1:4">
      <c r="A349">
        <v>93601</v>
      </c>
      <c r="B349" t="s">
        <v>1058</v>
      </c>
      <c r="C349" s="69">
        <v>7106613.419999999</v>
      </c>
      <c r="D349"/>
    </row>
    <row r="350" spans="1:4">
      <c r="A350">
        <v>93602</v>
      </c>
      <c r="B350" t="s">
        <v>1059</v>
      </c>
      <c r="C350" s="69">
        <v>125015.62</v>
      </c>
      <c r="D350"/>
    </row>
    <row r="351" spans="1:4">
      <c r="A351">
        <v>93604</v>
      </c>
      <c r="B351" t="s">
        <v>1926</v>
      </c>
      <c r="C351" s="69">
        <v>13311.88</v>
      </c>
      <c r="D351"/>
    </row>
    <row r="352" spans="1:4">
      <c r="A352">
        <v>93609</v>
      </c>
      <c r="B352" t="s">
        <v>1060</v>
      </c>
      <c r="C352" s="69">
        <v>2309630.7299999995</v>
      </c>
      <c r="D352"/>
    </row>
    <row r="353" spans="1:4">
      <c r="A353">
        <v>93610</v>
      </c>
      <c r="B353" t="s">
        <v>1061</v>
      </c>
      <c r="C353" s="69">
        <v>8740.65</v>
      </c>
      <c r="D353"/>
    </row>
    <row r="354" spans="1:4">
      <c r="A354">
        <v>93611</v>
      </c>
      <c r="B354" t="s">
        <v>1062</v>
      </c>
      <c r="C354" s="69">
        <v>4322762.2</v>
      </c>
      <c r="D354"/>
    </row>
    <row r="355" spans="1:4">
      <c r="A355">
        <v>93617</v>
      </c>
      <c r="B355" t="s">
        <v>1063</v>
      </c>
      <c r="C355" s="69">
        <v>69801.01999999999</v>
      </c>
      <c r="D355"/>
    </row>
    <row r="356" spans="1:4">
      <c r="A356">
        <v>93618</v>
      </c>
      <c r="B356" t="s">
        <v>1064</v>
      </c>
      <c r="C356" s="69">
        <v>13464.500000000004</v>
      </c>
      <c r="D356"/>
    </row>
    <row r="357" spans="1:4">
      <c r="A357">
        <v>93621</v>
      </c>
      <c r="B357" t="s">
        <v>1065</v>
      </c>
      <c r="C357" s="69">
        <v>665609.78</v>
      </c>
      <c r="D357"/>
    </row>
    <row r="358" spans="1:4">
      <c r="A358">
        <v>93623</v>
      </c>
      <c r="B358" t="s">
        <v>1066</v>
      </c>
      <c r="C358" s="69">
        <v>8410.32</v>
      </c>
      <c r="D358"/>
    </row>
    <row r="359" spans="1:4">
      <c r="A359">
        <v>93631</v>
      </c>
      <c r="B359" t="s">
        <v>1067</v>
      </c>
      <c r="C359" s="69">
        <v>148435.76</v>
      </c>
      <c r="D359"/>
    </row>
    <row r="360" spans="1:4">
      <c r="A360">
        <v>93641</v>
      </c>
      <c r="B360" t="s">
        <v>1068</v>
      </c>
      <c r="C360" s="69">
        <v>269907.09000000003</v>
      </c>
      <c r="D360"/>
    </row>
    <row r="361" spans="1:4">
      <c r="A361">
        <v>93647</v>
      </c>
      <c r="B361" t="s">
        <v>1069</v>
      </c>
      <c r="C361" s="69">
        <v>4758.3399999999992</v>
      </c>
      <c r="D361"/>
    </row>
    <row r="362" spans="1:4">
      <c r="A362">
        <v>93651</v>
      </c>
      <c r="B362" t="s">
        <v>1070</v>
      </c>
      <c r="C362" s="69">
        <v>268053</v>
      </c>
      <c r="D362"/>
    </row>
    <row r="363" spans="1:4">
      <c r="A363">
        <v>93661</v>
      </c>
      <c r="B363" t="s">
        <v>1071</v>
      </c>
      <c r="C363" s="69">
        <v>95750.85</v>
      </c>
      <c r="D363"/>
    </row>
    <row r="364" spans="1:4">
      <c r="A364">
        <v>93671</v>
      </c>
      <c r="B364" t="s">
        <v>1072</v>
      </c>
      <c r="C364" s="69">
        <v>253498.22999999998</v>
      </c>
      <c r="D364"/>
    </row>
    <row r="365" spans="1:4">
      <c r="A365">
        <v>93681</v>
      </c>
      <c r="B365" t="s">
        <v>1073</v>
      </c>
      <c r="C365" s="69">
        <v>95612.6</v>
      </c>
      <c r="D365"/>
    </row>
    <row r="366" spans="1:4">
      <c r="A366">
        <v>93691</v>
      </c>
      <c r="B366" t="s">
        <v>1074</v>
      </c>
      <c r="C366" s="69">
        <v>644273.03</v>
      </c>
      <c r="D366"/>
    </row>
    <row r="367" spans="1:4">
      <c r="A367">
        <v>93701</v>
      </c>
      <c r="B367" t="s">
        <v>1075</v>
      </c>
      <c r="C367" s="69">
        <v>273541.55</v>
      </c>
      <c r="D367"/>
    </row>
    <row r="368" spans="1:4">
      <c r="A368">
        <v>93704</v>
      </c>
      <c r="B368" t="s">
        <v>1076</v>
      </c>
      <c r="C368" s="69">
        <v>2691.3600000000006</v>
      </c>
      <c r="D368"/>
    </row>
    <row r="369" spans="1:4">
      <c r="A369">
        <v>93801</v>
      </c>
      <c r="B369" t="s">
        <v>1077</v>
      </c>
      <c r="C369" s="69">
        <v>269237.62</v>
      </c>
      <c r="D369"/>
    </row>
    <row r="370" spans="1:4">
      <c r="A370">
        <v>93803</v>
      </c>
      <c r="B370" t="s">
        <v>1078</v>
      </c>
      <c r="C370" s="69">
        <v>63472.03</v>
      </c>
      <c r="D370"/>
    </row>
    <row r="371" spans="1:4">
      <c r="A371">
        <v>93806</v>
      </c>
      <c r="B371" t="s">
        <v>1079</v>
      </c>
      <c r="C371" s="69">
        <v>39372.76</v>
      </c>
      <c r="D371"/>
    </row>
    <row r="372" spans="1:4">
      <c r="A372">
        <v>93821</v>
      </c>
      <c r="B372" t="s">
        <v>1080</v>
      </c>
      <c r="C372" s="69">
        <v>38449.390000000007</v>
      </c>
      <c r="D372"/>
    </row>
    <row r="373" spans="1:4">
      <c r="A373">
        <v>93901</v>
      </c>
      <c r="B373" t="s">
        <v>1081</v>
      </c>
      <c r="C373" s="69">
        <v>1251915.0799999998</v>
      </c>
      <c r="D373"/>
    </row>
    <row r="374" spans="1:4">
      <c r="A374">
        <v>93904</v>
      </c>
      <c r="B374" t="s">
        <v>1082</v>
      </c>
      <c r="C374" s="69">
        <v>29568.940000000002</v>
      </c>
      <c r="D374"/>
    </row>
    <row r="375" spans="1:4">
      <c r="A375">
        <v>93906</v>
      </c>
      <c r="B375" t="s">
        <v>1083</v>
      </c>
      <c r="C375" s="69">
        <v>1949080.2000000002</v>
      </c>
      <c r="D375"/>
    </row>
    <row r="376" spans="1:4">
      <c r="A376">
        <v>93908</v>
      </c>
      <c r="B376" t="s">
        <v>1084</v>
      </c>
      <c r="C376" s="69">
        <v>321745.96999999997</v>
      </c>
      <c r="D376"/>
    </row>
    <row r="377" spans="1:4">
      <c r="A377">
        <v>93910</v>
      </c>
      <c r="B377" t="s">
        <v>1085</v>
      </c>
      <c r="C377" s="69">
        <v>178540.22999999998</v>
      </c>
      <c r="D377"/>
    </row>
    <row r="378" spans="1:4">
      <c r="A378">
        <v>93911</v>
      </c>
      <c r="B378" t="s">
        <v>1086</v>
      </c>
      <c r="C378" s="69">
        <v>396959.29</v>
      </c>
      <c r="D378"/>
    </row>
    <row r="379" spans="1:4">
      <c r="A379">
        <v>93913</v>
      </c>
      <c r="B379" t="s">
        <v>1087</v>
      </c>
      <c r="C379" s="69">
        <v>39299.860000000008</v>
      </c>
      <c r="D379"/>
    </row>
    <row r="380" spans="1:4">
      <c r="A380">
        <v>93914</v>
      </c>
      <c r="B380" t="s">
        <v>1088</v>
      </c>
      <c r="C380" s="69">
        <v>6897.26</v>
      </c>
      <c r="D380"/>
    </row>
    <row r="381" spans="1:4">
      <c r="A381">
        <v>93921</v>
      </c>
      <c r="B381" t="s">
        <v>1089</v>
      </c>
      <c r="C381" s="69">
        <v>159317.15999999997</v>
      </c>
      <c r="D381"/>
    </row>
    <row r="382" spans="1:4">
      <c r="A382">
        <v>93931</v>
      </c>
      <c r="B382" t="s">
        <v>1090</v>
      </c>
      <c r="C382" s="69">
        <v>304238.15000000002</v>
      </c>
      <c r="D382"/>
    </row>
    <row r="383" spans="1:4">
      <c r="A383">
        <v>94001</v>
      </c>
      <c r="B383" t="s">
        <v>1091</v>
      </c>
      <c r="C383" s="69">
        <v>651175.66</v>
      </c>
      <c r="D383"/>
    </row>
    <row r="384" spans="1:4">
      <c r="A384">
        <v>94002</v>
      </c>
      <c r="B384" t="s">
        <v>1092</v>
      </c>
      <c r="C384" s="69">
        <v>5253.1900000000005</v>
      </c>
      <c r="D384"/>
    </row>
    <row r="385" spans="1:4">
      <c r="A385">
        <v>94004</v>
      </c>
      <c r="B385" t="s">
        <v>1093</v>
      </c>
      <c r="C385" s="69">
        <v>6637.5500000000011</v>
      </c>
      <c r="D385"/>
    </row>
    <row r="386" spans="1:4">
      <c r="A386">
        <v>94005</v>
      </c>
      <c r="B386" t="s">
        <v>1094</v>
      </c>
      <c r="C386" s="69">
        <v>2911.1899999999996</v>
      </c>
      <c r="D386"/>
    </row>
    <row r="387" spans="1:4">
      <c r="A387">
        <v>94011</v>
      </c>
      <c r="B387" t="s">
        <v>1095</v>
      </c>
      <c r="C387" s="69">
        <v>14121.25</v>
      </c>
      <c r="D387"/>
    </row>
    <row r="388" spans="1:4">
      <c r="A388">
        <v>94021</v>
      </c>
      <c r="B388" t="s">
        <v>1096</v>
      </c>
      <c r="C388" s="69">
        <v>62910.11</v>
      </c>
      <c r="D388"/>
    </row>
    <row r="389" spans="1:4">
      <c r="A389">
        <v>94031</v>
      </c>
      <c r="B389" t="s">
        <v>1097</v>
      </c>
      <c r="C389" s="69">
        <v>4754.2599999999984</v>
      </c>
      <c r="D389"/>
    </row>
    <row r="390" spans="1:4">
      <c r="A390">
        <v>94101</v>
      </c>
      <c r="B390" t="s">
        <v>1098</v>
      </c>
      <c r="C390" s="69">
        <v>11425931.260000004</v>
      </c>
      <c r="D390"/>
    </row>
    <row r="391" spans="1:4">
      <c r="A391">
        <v>94102</v>
      </c>
      <c r="B391" t="s">
        <v>1099</v>
      </c>
      <c r="C391" s="69">
        <v>179350.33000000002</v>
      </c>
      <c r="D391"/>
    </row>
    <row r="392" spans="1:4">
      <c r="A392">
        <v>94108</v>
      </c>
      <c r="B392" t="s">
        <v>1100</v>
      </c>
      <c r="C392" s="69">
        <v>191914.03</v>
      </c>
      <c r="D392"/>
    </row>
    <row r="393" spans="1:4">
      <c r="A393">
        <v>94109</v>
      </c>
      <c r="B393" t="s">
        <v>1101</v>
      </c>
      <c r="C393" s="69">
        <v>50945.999999999993</v>
      </c>
      <c r="D393"/>
    </row>
    <row r="394" spans="1:4">
      <c r="A394">
        <v>94111</v>
      </c>
      <c r="B394" t="s">
        <v>1102</v>
      </c>
      <c r="C394" s="69">
        <v>15252102.369999999</v>
      </c>
      <c r="D394"/>
    </row>
    <row r="395" spans="1:4">
      <c r="A395">
        <v>94112</v>
      </c>
      <c r="B395" t="s">
        <v>1103</v>
      </c>
      <c r="C395" s="69">
        <v>95390.629999999976</v>
      </c>
      <c r="D395"/>
    </row>
    <row r="396" spans="1:4">
      <c r="A396">
        <v>94117</v>
      </c>
      <c r="B396" t="s">
        <v>1104</v>
      </c>
      <c r="C396" s="69">
        <v>248885.21000000002</v>
      </c>
      <c r="D396"/>
    </row>
    <row r="397" spans="1:4">
      <c r="A397">
        <v>94118</v>
      </c>
      <c r="B397" t="s">
        <v>1105</v>
      </c>
      <c r="C397" s="69">
        <v>82956.559999999983</v>
      </c>
      <c r="D397"/>
    </row>
    <row r="398" spans="1:4">
      <c r="A398">
        <v>94121</v>
      </c>
      <c r="B398" t="s">
        <v>1106</v>
      </c>
      <c r="C398" s="69">
        <v>7286061.9299999997</v>
      </c>
      <c r="D398"/>
    </row>
    <row r="399" spans="1:4">
      <c r="A399">
        <v>94127</v>
      </c>
      <c r="B399" t="s">
        <v>1107</v>
      </c>
      <c r="C399" s="69">
        <v>103757.32999999999</v>
      </c>
      <c r="D399"/>
    </row>
    <row r="400" spans="1:4">
      <c r="A400">
        <v>94131</v>
      </c>
      <c r="B400" t="s">
        <v>1108</v>
      </c>
      <c r="C400" s="69">
        <v>134711.16</v>
      </c>
      <c r="D400"/>
    </row>
    <row r="401" spans="1:4">
      <c r="A401">
        <v>94151</v>
      </c>
      <c r="B401" t="s">
        <v>1109</v>
      </c>
      <c r="C401" s="69">
        <v>262874.72000000003</v>
      </c>
      <c r="D401"/>
    </row>
    <row r="402" spans="1:4">
      <c r="A402">
        <v>94157</v>
      </c>
      <c r="B402" t="s">
        <v>1110</v>
      </c>
      <c r="C402" s="69">
        <v>6972.26</v>
      </c>
      <c r="D402"/>
    </row>
    <row r="403" spans="1:4">
      <c r="A403">
        <v>94161</v>
      </c>
      <c r="B403" t="s">
        <v>1111</v>
      </c>
      <c r="C403" s="69">
        <v>34380.449999999997</v>
      </c>
      <c r="D403"/>
    </row>
    <row r="404" spans="1:4">
      <c r="A404">
        <v>94168</v>
      </c>
      <c r="B404" t="s">
        <v>1112</v>
      </c>
      <c r="C404" s="69">
        <v>37502.270000000004</v>
      </c>
      <c r="D404"/>
    </row>
    <row r="405" spans="1:4">
      <c r="A405">
        <v>94171</v>
      </c>
      <c r="B405" t="s">
        <v>1113</v>
      </c>
      <c r="C405" s="69">
        <v>37751.379999999997</v>
      </c>
      <c r="D405"/>
    </row>
    <row r="406" spans="1:4">
      <c r="A406">
        <v>94172</v>
      </c>
      <c r="B406" t="s">
        <v>1114</v>
      </c>
      <c r="C406" s="69">
        <v>135252.52000000002</v>
      </c>
      <c r="D406"/>
    </row>
    <row r="407" spans="1:4">
      <c r="A407">
        <v>94201</v>
      </c>
      <c r="B407" t="s">
        <v>1115</v>
      </c>
      <c r="C407" s="69">
        <v>1986945.0300000003</v>
      </c>
      <c r="D407"/>
    </row>
    <row r="408" spans="1:4">
      <c r="A408">
        <v>94204</v>
      </c>
      <c r="B408" t="s">
        <v>1116</v>
      </c>
      <c r="C408" s="69">
        <v>26342.97</v>
      </c>
      <c r="D408"/>
    </row>
    <row r="409" spans="1:4">
      <c r="A409">
        <v>94205</v>
      </c>
      <c r="B409" t="s">
        <v>1117</v>
      </c>
      <c r="C409" s="69">
        <v>14160.929999999997</v>
      </c>
      <c r="D409"/>
    </row>
    <row r="410" spans="1:4">
      <c r="A410">
        <v>94209</v>
      </c>
      <c r="B410" t="s">
        <v>1118</v>
      </c>
      <c r="C410" s="69">
        <v>203485.05999999997</v>
      </c>
      <c r="D410"/>
    </row>
    <row r="411" spans="1:4">
      <c r="A411">
        <v>94211</v>
      </c>
      <c r="B411" t="s">
        <v>1119</v>
      </c>
      <c r="C411" s="69">
        <v>95954.71</v>
      </c>
      <c r="D411"/>
    </row>
    <row r="412" spans="1:4">
      <c r="A412">
        <v>94221</v>
      </c>
      <c r="B412" t="s">
        <v>1120</v>
      </c>
      <c r="C412" s="69">
        <v>577320.13</v>
      </c>
      <c r="D412"/>
    </row>
    <row r="413" spans="1:4">
      <c r="A413">
        <v>94231</v>
      </c>
      <c r="B413" t="s">
        <v>1121</v>
      </c>
      <c r="C413" s="69">
        <v>95288.34</v>
      </c>
      <c r="D413"/>
    </row>
    <row r="414" spans="1:4">
      <c r="A414">
        <v>94241</v>
      </c>
      <c r="B414" t="s">
        <v>1122</v>
      </c>
      <c r="C414" s="69">
        <v>99811.420000000013</v>
      </c>
      <c r="D414"/>
    </row>
    <row r="415" spans="1:4">
      <c r="A415">
        <v>94251</v>
      </c>
      <c r="B415" t="s">
        <v>1123</v>
      </c>
      <c r="C415" s="69">
        <v>11727.079999999998</v>
      </c>
      <c r="D415"/>
    </row>
    <row r="416" spans="1:4">
      <c r="A416">
        <v>94261</v>
      </c>
      <c r="B416" t="s">
        <v>1124</v>
      </c>
      <c r="C416" s="69">
        <v>24439.03</v>
      </c>
      <c r="D416"/>
    </row>
    <row r="417" spans="1:4">
      <c r="A417">
        <v>94301</v>
      </c>
      <c r="B417" t="s">
        <v>1125</v>
      </c>
      <c r="C417" s="69">
        <v>3813601.4700000007</v>
      </c>
      <c r="D417"/>
    </row>
    <row r="418" spans="1:4">
      <c r="A418">
        <v>94311</v>
      </c>
      <c r="B418" t="s">
        <v>1126</v>
      </c>
      <c r="C418" s="69">
        <v>503138.81</v>
      </c>
      <c r="D418"/>
    </row>
    <row r="419" spans="1:4">
      <c r="A419">
        <v>94313</v>
      </c>
      <c r="B419" t="s">
        <v>1127</v>
      </c>
      <c r="C419" s="69">
        <v>15582.38</v>
      </c>
      <c r="D419"/>
    </row>
    <row r="420" spans="1:4">
      <c r="A420">
        <v>94317</v>
      </c>
      <c r="B420" t="s">
        <v>1128</v>
      </c>
      <c r="C420" s="69">
        <v>11408.689999999999</v>
      </c>
      <c r="D420"/>
    </row>
    <row r="421" spans="1:4">
      <c r="A421">
        <v>94321</v>
      </c>
      <c r="B421" t="s">
        <v>1129</v>
      </c>
      <c r="C421" s="69">
        <v>187536.56</v>
      </c>
      <c r="D421"/>
    </row>
    <row r="422" spans="1:4">
      <c r="A422">
        <v>94331</v>
      </c>
      <c r="B422" t="s">
        <v>1130</v>
      </c>
      <c r="C422" s="69">
        <v>99030.139999999985</v>
      </c>
      <c r="D422"/>
    </row>
    <row r="423" spans="1:4">
      <c r="A423">
        <v>94341</v>
      </c>
      <c r="B423" t="s">
        <v>1131</v>
      </c>
      <c r="C423" s="69">
        <v>54993.2</v>
      </c>
      <c r="D423"/>
    </row>
    <row r="424" spans="1:4">
      <c r="A424">
        <v>94347</v>
      </c>
      <c r="B424" t="s">
        <v>1132</v>
      </c>
      <c r="C424" s="69">
        <v>15330.94</v>
      </c>
      <c r="D424"/>
    </row>
    <row r="425" spans="1:4">
      <c r="A425">
        <v>94351</v>
      </c>
      <c r="B425" t="s">
        <v>1133</v>
      </c>
      <c r="C425" s="69">
        <v>175618.77000000002</v>
      </c>
      <c r="D425"/>
    </row>
    <row r="426" spans="1:4">
      <c r="A426">
        <v>94401</v>
      </c>
      <c r="B426" t="s">
        <v>1134</v>
      </c>
      <c r="C426" s="69">
        <v>2099769.04</v>
      </c>
      <c r="D426"/>
    </row>
    <row r="427" spans="1:4">
      <c r="A427">
        <v>94403</v>
      </c>
      <c r="B427" t="s">
        <v>1136</v>
      </c>
      <c r="C427" s="69">
        <v>31010.050000000003</v>
      </c>
      <c r="D427"/>
    </row>
    <row r="428" spans="1:4">
      <c r="A428">
        <v>94402</v>
      </c>
      <c r="B428" t="s">
        <v>1135</v>
      </c>
      <c r="C428" s="69">
        <v>0</v>
      </c>
      <c r="D428"/>
    </row>
    <row r="429" spans="1:4">
      <c r="A429">
        <v>94408</v>
      </c>
      <c r="B429" t="s">
        <v>1137</v>
      </c>
      <c r="C429" s="69">
        <v>30414.460000000003</v>
      </c>
      <c r="D429"/>
    </row>
    <row r="430" spans="1:4">
      <c r="A430">
        <v>94411</v>
      </c>
      <c r="B430" t="s">
        <v>1138</v>
      </c>
      <c r="C430" s="69">
        <v>704782.68</v>
      </c>
      <c r="D430"/>
    </row>
    <row r="431" spans="1:4">
      <c r="A431">
        <v>94412</v>
      </c>
      <c r="B431" t="s">
        <v>1139</v>
      </c>
      <c r="C431" s="69">
        <v>18801.07</v>
      </c>
      <c r="D431"/>
    </row>
    <row r="432" spans="1:4">
      <c r="A432">
        <v>94421</v>
      </c>
      <c r="B432" t="s">
        <v>1140</v>
      </c>
      <c r="C432" s="69">
        <v>105016.68</v>
      </c>
      <c r="D432"/>
    </row>
    <row r="433" spans="1:4">
      <c r="A433">
        <v>94427</v>
      </c>
      <c r="B433" t="s">
        <v>1141</v>
      </c>
      <c r="C433" s="69">
        <v>20873.520000000004</v>
      </c>
      <c r="D433"/>
    </row>
    <row r="434" spans="1:4">
      <c r="A434">
        <v>94428</v>
      </c>
      <c r="B434" t="s">
        <v>1142</v>
      </c>
      <c r="C434" s="69">
        <v>49754.100000000006</v>
      </c>
      <c r="D434"/>
    </row>
    <row r="435" spans="1:4">
      <c r="A435">
        <v>94431</v>
      </c>
      <c r="B435" t="s">
        <v>1143</v>
      </c>
      <c r="C435" s="69">
        <v>234650.28000000003</v>
      </c>
      <c r="D435"/>
    </row>
    <row r="436" spans="1:4">
      <c r="A436">
        <v>94437</v>
      </c>
      <c r="B436" t="s">
        <v>1144</v>
      </c>
      <c r="C436" s="69">
        <v>10607.74</v>
      </c>
      <c r="D436"/>
    </row>
    <row r="437" spans="1:4">
      <c r="A437">
        <v>94501</v>
      </c>
      <c r="B437" t="s">
        <v>2019</v>
      </c>
      <c r="C437" s="69">
        <v>3791288.27</v>
      </c>
      <c r="D437"/>
    </row>
    <row r="438" spans="1:4">
      <c r="A438">
        <v>94511</v>
      </c>
      <c r="B438" t="s">
        <v>1146</v>
      </c>
      <c r="C438" s="69">
        <v>991334.72000000009</v>
      </c>
      <c r="D438"/>
    </row>
    <row r="439" spans="1:4">
      <c r="A439">
        <v>94517</v>
      </c>
      <c r="B439" t="s">
        <v>1148</v>
      </c>
      <c r="C439" s="69">
        <v>47005.710000000006</v>
      </c>
      <c r="D439"/>
    </row>
    <row r="440" spans="1:4">
      <c r="A440">
        <v>94521</v>
      </c>
      <c r="B440" t="s">
        <v>1149</v>
      </c>
      <c r="C440" s="69">
        <v>81241.570000000007</v>
      </c>
      <c r="D440"/>
    </row>
    <row r="441" spans="1:4">
      <c r="A441">
        <v>94527</v>
      </c>
      <c r="B441" t="s">
        <v>1150</v>
      </c>
      <c r="C441" s="69">
        <v>4444.1899999999996</v>
      </c>
      <c r="D441"/>
    </row>
    <row r="442" spans="1:4">
      <c r="A442">
        <v>94531</v>
      </c>
      <c r="B442" t="s">
        <v>1151</v>
      </c>
      <c r="C442" s="69">
        <v>18965.03</v>
      </c>
      <c r="D442"/>
    </row>
    <row r="443" spans="1:4">
      <c r="A443">
        <v>94532</v>
      </c>
      <c r="B443" t="s">
        <v>1152</v>
      </c>
      <c r="C443" s="69">
        <v>75283.709999999992</v>
      </c>
      <c r="D443"/>
    </row>
    <row r="444" spans="1:4">
      <c r="A444">
        <v>94541</v>
      </c>
      <c r="B444" t="s">
        <v>1153</v>
      </c>
      <c r="C444" s="69">
        <v>175460.75</v>
      </c>
      <c r="D444"/>
    </row>
    <row r="445" spans="1:4">
      <c r="A445">
        <v>94547</v>
      </c>
      <c r="B445" t="s">
        <v>1154</v>
      </c>
      <c r="C445" s="69">
        <v>14114.360000000002</v>
      </c>
      <c r="D445"/>
    </row>
    <row r="446" spans="1:4">
      <c r="A446">
        <v>94551</v>
      </c>
      <c r="B446" t="s">
        <v>1155</v>
      </c>
      <c r="C446" s="69">
        <v>36101.050000000003</v>
      </c>
      <c r="D446"/>
    </row>
    <row r="447" spans="1:4">
      <c r="A447">
        <v>94601</v>
      </c>
      <c r="B447" t="s">
        <v>1156</v>
      </c>
      <c r="C447" s="69">
        <v>615580.51</v>
      </c>
      <c r="D447"/>
    </row>
    <row r="448" spans="1:4">
      <c r="A448">
        <v>94604</v>
      </c>
      <c r="B448" t="s">
        <v>1157</v>
      </c>
      <c r="C448" s="69">
        <v>19212.239999999998</v>
      </c>
      <c r="D448"/>
    </row>
    <row r="449" spans="1:4">
      <c r="A449">
        <v>94606</v>
      </c>
      <c r="B449" t="s">
        <v>1158</v>
      </c>
      <c r="C449" s="69">
        <v>0</v>
      </c>
      <c r="D449"/>
    </row>
    <row r="450" spans="1:4">
      <c r="A450">
        <v>94611</v>
      </c>
      <c r="B450" t="s">
        <v>1159</v>
      </c>
      <c r="C450" s="69">
        <v>216481.24</v>
      </c>
      <c r="D450"/>
    </row>
    <row r="451" spans="1:4">
      <c r="A451">
        <v>94621</v>
      </c>
      <c r="B451" t="s">
        <v>1160</v>
      </c>
      <c r="C451" s="69">
        <v>75295.170000000013</v>
      </c>
      <c r="D451"/>
    </row>
    <row r="452" spans="1:4">
      <c r="A452">
        <v>94631</v>
      </c>
      <c r="B452" t="s">
        <v>1161</v>
      </c>
      <c r="C452" s="69">
        <v>26352.73</v>
      </c>
      <c r="D452"/>
    </row>
    <row r="453" spans="1:4">
      <c r="A453">
        <v>94641</v>
      </c>
      <c r="B453" t="s">
        <v>1162</v>
      </c>
      <c r="C453" s="69">
        <v>10419.14</v>
      </c>
      <c r="D453"/>
    </row>
    <row r="454" spans="1:4">
      <c r="A454">
        <v>94701</v>
      </c>
      <c r="B454" t="s">
        <v>1163</v>
      </c>
      <c r="C454" s="69">
        <v>1601947.2300000002</v>
      </c>
      <c r="D454"/>
    </row>
    <row r="455" spans="1:4">
      <c r="A455">
        <v>94704</v>
      </c>
      <c r="B455" t="s">
        <v>1164</v>
      </c>
      <c r="C455" s="69">
        <v>12102.720000000003</v>
      </c>
      <c r="D455"/>
    </row>
    <row r="456" spans="1:4">
      <c r="A456">
        <v>94711</v>
      </c>
      <c r="B456" t="s">
        <v>1165</v>
      </c>
      <c r="C456" s="69">
        <v>217889.26</v>
      </c>
      <c r="D456"/>
    </row>
    <row r="457" spans="1:4">
      <c r="A457">
        <v>94801</v>
      </c>
      <c r="B457" t="s">
        <v>1166</v>
      </c>
      <c r="C457" s="69">
        <v>450088.49000000005</v>
      </c>
      <c r="D457"/>
    </row>
    <row r="458" spans="1:4">
      <c r="A458">
        <v>94804</v>
      </c>
      <c r="B458" t="s">
        <v>1167</v>
      </c>
      <c r="C458" s="69">
        <v>3651.33</v>
      </c>
      <c r="D458"/>
    </row>
    <row r="459" spans="1:4">
      <c r="A459">
        <v>94812</v>
      </c>
      <c r="B459" t="s">
        <v>1168</v>
      </c>
      <c r="C459" s="69">
        <v>25882.320000000007</v>
      </c>
      <c r="D459"/>
    </row>
    <row r="460" spans="1:4">
      <c r="A460">
        <v>94901</v>
      </c>
      <c r="B460" t="s">
        <v>1169</v>
      </c>
      <c r="C460" s="69">
        <v>4639730.1099999994</v>
      </c>
      <c r="D460"/>
    </row>
    <row r="461" spans="1:4">
      <c r="A461">
        <v>94908</v>
      </c>
      <c r="B461" t="s">
        <v>3610</v>
      </c>
      <c r="C461" s="69">
        <v>37671.310000000005</v>
      </c>
      <c r="D461"/>
    </row>
    <row r="462" spans="1:4">
      <c r="A462">
        <v>94911</v>
      </c>
      <c r="B462" t="s">
        <v>1171</v>
      </c>
      <c r="C462" s="69">
        <v>1848023.0599999996</v>
      </c>
      <c r="D462"/>
    </row>
    <row r="463" spans="1:4">
      <c r="A463">
        <v>94917</v>
      </c>
      <c r="B463" t="s">
        <v>1172</v>
      </c>
      <c r="C463" s="69">
        <v>34812.5</v>
      </c>
      <c r="D463"/>
    </row>
    <row r="464" spans="1:4">
      <c r="A464">
        <v>94921</v>
      </c>
      <c r="B464" t="s">
        <v>1173</v>
      </c>
      <c r="C464" s="69">
        <v>2308551.3699999996</v>
      </c>
      <c r="D464"/>
    </row>
    <row r="465" spans="1:4">
      <c r="A465">
        <v>94923</v>
      </c>
      <c r="B465" t="s">
        <v>1174</v>
      </c>
      <c r="C465" s="69">
        <v>20806.629999999997</v>
      </c>
      <c r="D465"/>
    </row>
    <row r="466" spans="1:4">
      <c r="A466">
        <v>94927</v>
      </c>
      <c r="B466" t="s">
        <v>1175</v>
      </c>
      <c r="C466" s="69">
        <v>26926.6</v>
      </c>
      <c r="D466"/>
    </row>
    <row r="467" spans="1:4">
      <c r="A467">
        <v>94931</v>
      </c>
      <c r="B467" t="s">
        <v>1176</v>
      </c>
      <c r="C467" s="69">
        <v>130816.16</v>
      </c>
      <c r="D467"/>
    </row>
    <row r="468" spans="1:4">
      <c r="A468">
        <v>94937</v>
      </c>
      <c r="B468" t="s">
        <v>1927</v>
      </c>
      <c r="C468" s="69">
        <v>4719.8599999999997</v>
      </c>
      <c r="D468"/>
    </row>
    <row r="469" spans="1:4">
      <c r="A469">
        <v>94941</v>
      </c>
      <c r="B469" t="s">
        <v>1177</v>
      </c>
      <c r="C469" s="69">
        <v>191617.52</v>
      </c>
      <c r="D469"/>
    </row>
    <row r="470" spans="1:4">
      <c r="A470">
        <v>94947</v>
      </c>
      <c r="B470" t="s">
        <v>1928</v>
      </c>
      <c r="C470" s="69">
        <v>5621.49</v>
      </c>
      <c r="D470"/>
    </row>
    <row r="471" spans="1:4">
      <c r="A471">
        <v>95001</v>
      </c>
      <c r="B471" t="s">
        <v>1178</v>
      </c>
      <c r="C471" s="69">
        <v>1555365.33</v>
      </c>
      <c r="D471"/>
    </row>
    <row r="472" spans="1:4">
      <c r="A472">
        <v>95002</v>
      </c>
      <c r="B472" t="s">
        <v>1179</v>
      </c>
      <c r="C472" s="69">
        <v>136696.12</v>
      </c>
      <c r="D472"/>
    </row>
    <row r="473" spans="1:4">
      <c r="A473">
        <v>95005</v>
      </c>
      <c r="B473" t="s">
        <v>1180</v>
      </c>
      <c r="C473" s="69">
        <v>125915.69</v>
      </c>
      <c r="D473"/>
    </row>
    <row r="474" spans="1:4">
      <c r="A474">
        <v>95008</v>
      </c>
      <c r="B474" t="s">
        <v>1181</v>
      </c>
      <c r="C474" s="69">
        <v>88640.690000000017</v>
      </c>
      <c r="D474"/>
    </row>
    <row r="475" spans="1:4">
      <c r="A475">
        <v>95009</v>
      </c>
      <c r="B475" t="s">
        <v>1182</v>
      </c>
      <c r="C475" s="69">
        <v>2194144.8499999996</v>
      </c>
      <c r="D475"/>
    </row>
    <row r="476" spans="1:4">
      <c r="A476">
        <v>95010</v>
      </c>
      <c r="B476" t="s">
        <v>3719</v>
      </c>
      <c r="C476" s="69">
        <v>7629.0899999999992</v>
      </c>
      <c r="D476"/>
    </row>
    <row r="477" spans="1:4">
      <c r="A477">
        <v>95011</v>
      </c>
      <c r="B477" t="s">
        <v>1183</v>
      </c>
      <c r="C477" s="69">
        <v>108662.81</v>
      </c>
      <c r="D477"/>
    </row>
    <row r="478" spans="1:4">
      <c r="A478">
        <v>95017</v>
      </c>
      <c r="B478" t="s">
        <v>1184</v>
      </c>
      <c r="C478" s="69">
        <v>23827.68</v>
      </c>
      <c r="D478"/>
    </row>
    <row r="479" spans="1:4">
      <c r="A479">
        <v>95101</v>
      </c>
      <c r="B479" t="s">
        <v>1185</v>
      </c>
      <c r="C479" s="69">
        <v>5431113.6000000006</v>
      </c>
      <c r="D479"/>
    </row>
    <row r="480" spans="1:4">
      <c r="A480">
        <v>95103</v>
      </c>
      <c r="B480" t="s">
        <v>1186</v>
      </c>
      <c r="C480" s="69">
        <v>27716.330000000005</v>
      </c>
      <c r="D480"/>
    </row>
    <row r="481" spans="1:4">
      <c r="A481">
        <v>95104</v>
      </c>
      <c r="B481" t="s">
        <v>1187</v>
      </c>
      <c r="C481" s="69">
        <v>101794.30000000002</v>
      </c>
      <c r="D481"/>
    </row>
    <row r="482" spans="1:4">
      <c r="A482">
        <v>95105</v>
      </c>
      <c r="B482" t="s">
        <v>1188</v>
      </c>
      <c r="C482" s="69">
        <v>46632.649999999994</v>
      </c>
      <c r="D482"/>
    </row>
    <row r="483" spans="1:4">
      <c r="A483">
        <v>95106</v>
      </c>
      <c r="B483" t="s">
        <v>1189</v>
      </c>
      <c r="C483" s="69">
        <v>10485.969999999998</v>
      </c>
      <c r="D483"/>
    </row>
    <row r="484" spans="1:4">
      <c r="A484">
        <v>95110</v>
      </c>
      <c r="B484" t="s">
        <v>1190</v>
      </c>
      <c r="C484" s="69">
        <v>2041177.1000000003</v>
      </c>
      <c r="D484"/>
    </row>
    <row r="485" spans="1:4">
      <c r="A485">
        <v>95111</v>
      </c>
      <c r="B485" t="s">
        <v>1191</v>
      </c>
      <c r="C485" s="69">
        <v>638172.11</v>
      </c>
      <c r="D485"/>
    </row>
    <row r="486" spans="1:4">
      <c r="A486">
        <v>95113</v>
      </c>
      <c r="B486" t="s">
        <v>1192</v>
      </c>
      <c r="C486" s="69">
        <v>36511.710000000006</v>
      </c>
      <c r="D486"/>
    </row>
    <row r="487" spans="1:4">
      <c r="A487">
        <v>95121</v>
      </c>
      <c r="B487" t="s">
        <v>1193</v>
      </c>
      <c r="C487" s="69">
        <v>303015.45</v>
      </c>
      <c r="D487"/>
    </row>
    <row r="488" spans="1:4">
      <c r="A488">
        <v>95122</v>
      </c>
      <c r="B488" t="s">
        <v>1194</v>
      </c>
      <c r="C488" s="69">
        <v>14878.33</v>
      </c>
      <c r="D488"/>
    </row>
    <row r="489" spans="1:4">
      <c r="A489">
        <v>95123</v>
      </c>
      <c r="B489" t="s">
        <v>1195</v>
      </c>
      <c r="C489" s="69">
        <v>30244.190000000002</v>
      </c>
      <c r="D489"/>
    </row>
    <row r="490" spans="1:4">
      <c r="A490">
        <v>95131</v>
      </c>
      <c r="B490" t="s">
        <v>1196</v>
      </c>
      <c r="C490" s="69">
        <v>1162429.8500000001</v>
      </c>
      <c r="D490"/>
    </row>
    <row r="491" spans="1:4">
      <c r="A491">
        <v>95141</v>
      </c>
      <c r="B491" t="s">
        <v>1197</v>
      </c>
      <c r="C491" s="69">
        <v>221054.09</v>
      </c>
      <c r="D491"/>
    </row>
    <row r="492" spans="1:4">
      <c r="A492">
        <v>95151</v>
      </c>
      <c r="B492" t="s">
        <v>1198</v>
      </c>
      <c r="C492" s="69">
        <v>68096.349999999991</v>
      </c>
      <c r="D492"/>
    </row>
    <row r="493" spans="1:4">
      <c r="A493">
        <v>95161</v>
      </c>
      <c r="B493" t="s">
        <v>1199</v>
      </c>
      <c r="C493" s="69">
        <v>48605.66</v>
      </c>
      <c r="D493"/>
    </row>
    <row r="494" spans="1:4">
      <c r="A494">
        <v>95171</v>
      </c>
      <c r="B494" t="s">
        <v>1200</v>
      </c>
      <c r="C494" s="69">
        <v>76190.06</v>
      </c>
      <c r="D494"/>
    </row>
    <row r="495" spans="1:4">
      <c r="A495">
        <v>95181</v>
      </c>
      <c r="B495" t="s">
        <v>1201</v>
      </c>
      <c r="C495" s="69">
        <v>44080.2</v>
      </c>
      <c r="D495"/>
    </row>
    <row r="496" spans="1:4">
      <c r="A496">
        <v>95191</v>
      </c>
      <c r="B496" t="s">
        <v>1202</v>
      </c>
      <c r="C496" s="69">
        <v>48174.26999999999</v>
      </c>
      <c r="D496"/>
    </row>
    <row r="497" spans="1:4">
      <c r="A497">
        <v>95201</v>
      </c>
      <c r="B497" t="s">
        <v>1203</v>
      </c>
      <c r="C497" s="69">
        <v>404900.43000000005</v>
      </c>
      <c r="D497"/>
    </row>
    <row r="498" spans="1:4">
      <c r="A498">
        <v>95204</v>
      </c>
      <c r="B498" t="s">
        <v>1204</v>
      </c>
      <c r="C498" s="69">
        <v>6882.2099999999991</v>
      </c>
      <c r="D498"/>
    </row>
    <row r="499" spans="1:4">
      <c r="A499">
        <v>95205</v>
      </c>
      <c r="B499" t="s">
        <v>1205</v>
      </c>
      <c r="C499" s="69">
        <v>3498.0300000000007</v>
      </c>
      <c r="D499"/>
    </row>
    <row r="500" spans="1:4">
      <c r="A500">
        <v>95211</v>
      </c>
      <c r="B500" t="s">
        <v>1206</v>
      </c>
      <c r="C500" s="69">
        <v>2408.8999999999996</v>
      </c>
      <c r="D500"/>
    </row>
    <row r="501" spans="1:4">
      <c r="A501">
        <v>95221</v>
      </c>
      <c r="B501" t="s">
        <v>1207</v>
      </c>
      <c r="C501" s="69">
        <v>25139.919999999998</v>
      </c>
      <c r="D501"/>
    </row>
    <row r="502" spans="1:4">
      <c r="A502">
        <v>95301</v>
      </c>
      <c r="B502" t="s">
        <v>1208</v>
      </c>
      <c r="C502" s="69">
        <v>1472726.32</v>
      </c>
      <c r="D502"/>
    </row>
    <row r="503" spans="1:4">
      <c r="A503">
        <v>95311</v>
      </c>
      <c r="B503" t="s">
        <v>1209</v>
      </c>
      <c r="C503" s="69">
        <v>1646534.9700000002</v>
      </c>
      <c r="D503"/>
    </row>
    <row r="504" spans="1:4">
      <c r="A504">
        <v>95317</v>
      </c>
      <c r="B504" t="s">
        <v>1210</v>
      </c>
      <c r="C504" s="69">
        <v>37367.129999999997</v>
      </c>
      <c r="D504"/>
    </row>
    <row r="505" spans="1:4">
      <c r="A505">
        <v>95321</v>
      </c>
      <c r="B505" t="s">
        <v>1211</v>
      </c>
      <c r="C505" s="69">
        <v>35637.629999999997</v>
      </c>
      <c r="D505"/>
    </row>
    <row r="506" spans="1:4">
      <c r="A506">
        <v>95401</v>
      </c>
      <c r="B506" t="s">
        <v>1212</v>
      </c>
      <c r="C506" s="69">
        <v>1663275.34</v>
      </c>
      <c r="D506"/>
    </row>
    <row r="507" spans="1:4">
      <c r="A507">
        <v>95404</v>
      </c>
      <c r="B507" t="s">
        <v>1213</v>
      </c>
      <c r="C507" s="69">
        <v>30547.210000000003</v>
      </c>
      <c r="D507"/>
    </row>
    <row r="508" spans="1:4">
      <c r="A508">
        <v>95405</v>
      </c>
      <c r="B508" t="s">
        <v>1214</v>
      </c>
      <c r="C508" s="69">
        <v>21736.28</v>
      </c>
      <c r="D508"/>
    </row>
    <row r="509" spans="1:4">
      <c r="A509">
        <v>95411</v>
      </c>
      <c r="B509" t="s">
        <v>1215</v>
      </c>
      <c r="C509" s="69">
        <v>1255060.32</v>
      </c>
      <c r="D509"/>
    </row>
    <row r="510" spans="1:4">
      <c r="A510">
        <v>95412</v>
      </c>
      <c r="B510" t="s">
        <v>3713</v>
      </c>
      <c r="C510" s="69">
        <v>0</v>
      </c>
      <c r="D510"/>
    </row>
    <row r="511" spans="1:4">
      <c r="A511">
        <v>95413</v>
      </c>
      <c r="B511" t="s">
        <v>1217</v>
      </c>
      <c r="C511" s="69">
        <v>165050.02000000002</v>
      </c>
      <c r="D511"/>
    </row>
    <row r="512" spans="1:4">
      <c r="A512">
        <v>95415</v>
      </c>
      <c r="B512" t="s">
        <v>1218</v>
      </c>
      <c r="C512" s="69">
        <v>39256.01</v>
      </c>
      <c r="D512"/>
    </row>
    <row r="513" spans="1:4">
      <c r="A513">
        <v>95421</v>
      </c>
      <c r="B513" t="s">
        <v>1219</v>
      </c>
      <c r="C513" s="69">
        <v>17701.68</v>
      </c>
      <c r="D513"/>
    </row>
    <row r="514" spans="1:4">
      <c r="A514">
        <v>95431</v>
      </c>
      <c r="B514" t="s">
        <v>1220</v>
      </c>
      <c r="C514" s="69">
        <v>80673.990000000005</v>
      </c>
      <c r="D514"/>
    </row>
    <row r="515" spans="1:4">
      <c r="A515">
        <v>95501</v>
      </c>
      <c r="B515" t="s">
        <v>1221</v>
      </c>
      <c r="C515" s="69">
        <v>3268467.959999999</v>
      </c>
      <c r="D515"/>
    </row>
    <row r="516" spans="1:4">
      <c r="A516">
        <v>95504</v>
      </c>
      <c r="B516" t="s">
        <v>1222</v>
      </c>
      <c r="C516" s="69">
        <v>19168.43</v>
      </c>
      <c r="D516"/>
    </row>
    <row r="517" spans="1:4">
      <c r="A517">
        <v>95511</v>
      </c>
      <c r="B517" t="s">
        <v>1223</v>
      </c>
      <c r="C517" s="69">
        <v>682274.32000000007</v>
      </c>
      <c r="D517"/>
    </row>
    <row r="518" spans="1:4">
      <c r="A518">
        <v>95513</v>
      </c>
      <c r="B518" t="s">
        <v>1224</v>
      </c>
      <c r="C518" s="69">
        <v>45458.26</v>
      </c>
      <c r="D518"/>
    </row>
    <row r="519" spans="1:4">
      <c r="A519">
        <v>95517</v>
      </c>
      <c r="B519" t="s">
        <v>1225</v>
      </c>
      <c r="C519" s="69">
        <v>12834.680000000002</v>
      </c>
      <c r="D519"/>
    </row>
    <row r="520" spans="1:4">
      <c r="A520">
        <v>95601</v>
      </c>
      <c r="B520" t="s">
        <v>1226</v>
      </c>
      <c r="C520" s="69">
        <v>1533767.47</v>
      </c>
      <c r="D520"/>
    </row>
    <row r="521" spans="1:4">
      <c r="A521">
        <v>95611</v>
      </c>
      <c r="B521" t="s">
        <v>1227</v>
      </c>
      <c r="C521" s="69">
        <v>232044.53000000003</v>
      </c>
      <c r="D521"/>
    </row>
    <row r="522" spans="1:4">
      <c r="A522">
        <v>95617</v>
      </c>
      <c r="B522" t="s">
        <v>1228</v>
      </c>
      <c r="C522" s="69">
        <v>11355.27</v>
      </c>
      <c r="D522"/>
    </row>
    <row r="523" spans="1:4">
      <c r="A523">
        <v>95621</v>
      </c>
      <c r="B523" t="s">
        <v>1229</v>
      </c>
      <c r="C523" s="69">
        <v>322447.14</v>
      </c>
      <c r="D523"/>
    </row>
    <row r="524" spans="1:4">
      <c r="A524">
        <v>95701</v>
      </c>
      <c r="B524" t="s">
        <v>1230</v>
      </c>
      <c r="C524" s="69">
        <v>709537.42999999993</v>
      </c>
      <c r="D524"/>
    </row>
    <row r="525" spans="1:4">
      <c r="A525">
        <v>95711</v>
      </c>
      <c r="B525" t="s">
        <v>1231</v>
      </c>
      <c r="C525" s="69">
        <v>82491.69</v>
      </c>
      <c r="D525"/>
    </row>
    <row r="526" spans="1:4">
      <c r="A526">
        <v>95721</v>
      </c>
      <c r="B526" t="s">
        <v>1232</v>
      </c>
      <c r="C526" s="69">
        <v>38084.629999999997</v>
      </c>
      <c r="D526"/>
    </row>
    <row r="527" spans="1:4">
      <c r="A527">
        <v>95733</v>
      </c>
      <c r="B527" t="s">
        <v>1233</v>
      </c>
      <c r="C527" s="69">
        <v>9558.02</v>
      </c>
      <c r="D527"/>
    </row>
    <row r="528" spans="1:4">
      <c r="A528">
        <v>95801</v>
      </c>
      <c r="B528" t="s">
        <v>1234</v>
      </c>
      <c r="C528" s="69">
        <v>638922.77</v>
      </c>
      <c r="D528"/>
    </row>
    <row r="529" spans="1:4">
      <c r="A529">
        <v>95802</v>
      </c>
      <c r="B529" t="s">
        <v>1235</v>
      </c>
      <c r="C529" s="69">
        <v>7242.4799999999987</v>
      </c>
      <c r="D529"/>
    </row>
    <row r="530" spans="1:4">
      <c r="A530">
        <v>95804</v>
      </c>
      <c r="B530" t="s">
        <v>1236</v>
      </c>
      <c r="C530" s="69">
        <v>13253.65</v>
      </c>
      <c r="D530"/>
    </row>
    <row r="531" spans="1:4">
      <c r="A531">
        <v>95811</v>
      </c>
      <c r="B531" t="s">
        <v>1237</v>
      </c>
      <c r="C531" s="69">
        <v>329343.24</v>
      </c>
      <c r="D531"/>
    </row>
    <row r="532" spans="1:4">
      <c r="A532">
        <v>95813</v>
      </c>
      <c r="B532" t="s">
        <v>1238</v>
      </c>
      <c r="C532" s="69">
        <v>35096.51</v>
      </c>
      <c r="D532"/>
    </row>
    <row r="533" spans="1:4">
      <c r="A533">
        <v>95821</v>
      </c>
      <c r="B533" t="s">
        <v>1239</v>
      </c>
      <c r="C533" s="69">
        <v>3655.14</v>
      </c>
      <c r="D533"/>
    </row>
    <row r="534" spans="1:4">
      <c r="A534">
        <v>95831</v>
      </c>
      <c r="B534" t="s">
        <v>1240</v>
      </c>
      <c r="C534" s="69">
        <v>21341.29</v>
      </c>
      <c r="D534"/>
    </row>
    <row r="535" spans="1:4">
      <c r="A535">
        <v>95841</v>
      </c>
      <c r="B535" t="s">
        <v>1241</v>
      </c>
      <c r="C535" s="69">
        <v>14345.120000000003</v>
      </c>
      <c r="D535"/>
    </row>
    <row r="536" spans="1:4">
      <c r="A536">
        <v>95851</v>
      </c>
      <c r="B536" t="s">
        <v>1242</v>
      </c>
      <c r="C536" s="69">
        <v>77011.98000000001</v>
      </c>
      <c r="D536"/>
    </row>
    <row r="537" spans="1:4">
      <c r="A537">
        <v>95853</v>
      </c>
      <c r="B537" t="s">
        <v>1243</v>
      </c>
      <c r="C537" s="69">
        <v>19467.939999999999</v>
      </c>
      <c r="D537"/>
    </row>
    <row r="538" spans="1:4">
      <c r="A538">
        <v>95901</v>
      </c>
      <c r="B538" t="s">
        <v>1244</v>
      </c>
      <c r="C538" s="69">
        <v>1220774.92</v>
      </c>
      <c r="D538"/>
    </row>
    <row r="539" spans="1:4">
      <c r="A539">
        <v>95908</v>
      </c>
      <c r="B539" t="s">
        <v>1245</v>
      </c>
      <c r="C539" s="69">
        <v>33781.550000000003</v>
      </c>
      <c r="D539"/>
    </row>
    <row r="540" spans="1:4">
      <c r="A540">
        <v>95911</v>
      </c>
      <c r="B540" t="s">
        <v>1246</v>
      </c>
      <c r="C540" s="69">
        <v>334525.23000000004</v>
      </c>
      <c r="D540"/>
    </row>
    <row r="541" spans="1:4">
      <c r="A541">
        <v>95917</v>
      </c>
      <c r="B541" t="s">
        <v>1247</v>
      </c>
      <c r="C541" s="69">
        <v>16407.669999999998</v>
      </c>
      <c r="D541"/>
    </row>
    <row r="542" spans="1:4">
      <c r="A542">
        <v>95921</v>
      </c>
      <c r="B542" t="s">
        <v>1248</v>
      </c>
      <c r="C542" s="69">
        <v>36198.03</v>
      </c>
      <c r="D542"/>
    </row>
    <row r="543" spans="1:4">
      <c r="A543">
        <v>96001</v>
      </c>
      <c r="B543" t="s">
        <v>1249</v>
      </c>
      <c r="C543" s="69">
        <v>26462722.189999998</v>
      </c>
      <c r="D543"/>
    </row>
    <row r="544" spans="1:4">
      <c r="A544">
        <v>96003</v>
      </c>
      <c r="B544" t="s">
        <v>3723</v>
      </c>
      <c r="C544" s="69">
        <v>1140031.6800000002</v>
      </c>
      <c r="D544"/>
    </row>
    <row r="545" spans="1:4">
      <c r="A545">
        <v>96004</v>
      </c>
      <c r="B545" t="s">
        <v>1251</v>
      </c>
      <c r="C545" s="69">
        <v>707299.85</v>
      </c>
      <c r="D545"/>
    </row>
    <row r="546" spans="1:4">
      <c r="A546">
        <v>96005</v>
      </c>
      <c r="B546" t="s">
        <v>1252</v>
      </c>
      <c r="C546" s="69">
        <v>1642393.6199999999</v>
      </c>
      <c r="D546"/>
    </row>
    <row r="547" spans="1:4">
      <c r="A547">
        <v>96008</v>
      </c>
      <c r="B547" t="s">
        <v>1253</v>
      </c>
      <c r="C547" s="69">
        <v>2991265.0300000003</v>
      </c>
      <c r="D547"/>
    </row>
    <row r="548" spans="1:4">
      <c r="A548">
        <v>96009</v>
      </c>
      <c r="B548" t="s">
        <v>1254</v>
      </c>
      <c r="C548" s="69">
        <v>251286.88999999998</v>
      </c>
      <c r="D548"/>
    </row>
    <row r="549" spans="1:4">
      <c r="A549">
        <v>96011</v>
      </c>
      <c r="B549" t="s">
        <v>1255</v>
      </c>
      <c r="C549" s="69">
        <v>41643669.830000006</v>
      </c>
      <c r="D549"/>
    </row>
    <row r="550" spans="1:4">
      <c r="A550">
        <v>96012</v>
      </c>
      <c r="B550" t="s">
        <v>3724</v>
      </c>
      <c r="C550" s="69">
        <v>1558867.2</v>
      </c>
      <c r="D550"/>
    </row>
    <row r="551" spans="1:4">
      <c r="A551">
        <v>96018</v>
      </c>
      <c r="B551" t="s">
        <v>1257</v>
      </c>
      <c r="C551" s="69">
        <v>26128.499999999996</v>
      </c>
      <c r="D551"/>
    </row>
    <row r="552" spans="1:4">
      <c r="A552">
        <v>96021</v>
      </c>
      <c r="B552" t="s">
        <v>1258</v>
      </c>
      <c r="C552" s="69">
        <v>454405.49</v>
      </c>
      <c r="D552"/>
    </row>
    <row r="553" spans="1:4">
      <c r="A553">
        <v>96031</v>
      </c>
      <c r="B553" t="s">
        <v>1259</v>
      </c>
      <c r="C553" s="69">
        <v>428421.22000000003</v>
      </c>
      <c r="D553"/>
    </row>
    <row r="554" spans="1:4">
      <c r="A554">
        <v>96041</v>
      </c>
      <c r="B554" t="s">
        <v>1260</v>
      </c>
      <c r="C554" s="69">
        <v>1075469.8400000001</v>
      </c>
      <c r="D554"/>
    </row>
    <row r="555" spans="1:4">
      <c r="A555">
        <v>96051</v>
      </c>
      <c r="B555" t="s">
        <v>1261</v>
      </c>
      <c r="C555" s="69">
        <v>601561.31999999995</v>
      </c>
      <c r="D555"/>
    </row>
    <row r="556" spans="1:4">
      <c r="A556">
        <v>96061</v>
      </c>
      <c r="B556" t="s">
        <v>1262</v>
      </c>
      <c r="C556" s="69">
        <v>202484.07</v>
      </c>
      <c r="D556"/>
    </row>
    <row r="557" spans="1:4">
      <c r="A557">
        <v>96071</v>
      </c>
      <c r="B557" t="s">
        <v>1263</v>
      </c>
      <c r="C557" s="69">
        <v>864449.80999999994</v>
      </c>
      <c r="D557"/>
    </row>
    <row r="558" spans="1:4">
      <c r="A558">
        <v>96081</v>
      </c>
      <c r="B558" t="s">
        <v>1264</v>
      </c>
      <c r="C558" s="69">
        <v>337389.74</v>
      </c>
      <c r="D558"/>
    </row>
    <row r="559" spans="1:4">
      <c r="A559">
        <v>96101</v>
      </c>
      <c r="B559" t="s">
        <v>1265</v>
      </c>
      <c r="C559" s="69">
        <v>419690.98000000004</v>
      </c>
      <c r="D559"/>
    </row>
    <row r="560" spans="1:4">
      <c r="A560">
        <v>96102</v>
      </c>
      <c r="B560" t="s">
        <v>1266</v>
      </c>
      <c r="C560" s="69">
        <v>6325.55</v>
      </c>
      <c r="D560"/>
    </row>
    <row r="561" spans="1:4">
      <c r="A561">
        <v>96111</v>
      </c>
      <c r="B561" t="s">
        <v>1267</v>
      </c>
      <c r="C561" s="69">
        <v>115412.75</v>
      </c>
      <c r="D561"/>
    </row>
    <row r="562" spans="1:4">
      <c r="A562">
        <v>96121</v>
      </c>
      <c r="B562" t="s">
        <v>1268</v>
      </c>
      <c r="C562" s="69">
        <v>10657.320000000002</v>
      </c>
      <c r="D562"/>
    </row>
    <row r="563" spans="1:4">
      <c r="A563">
        <v>96201</v>
      </c>
      <c r="B563" t="s">
        <v>1269</v>
      </c>
      <c r="C563" s="69">
        <v>668465.32000000007</v>
      </c>
      <c r="D563"/>
    </row>
    <row r="564" spans="1:4">
      <c r="A564">
        <v>96204</v>
      </c>
      <c r="B564" t="s">
        <v>1270</v>
      </c>
      <c r="C564" s="69">
        <v>12911.069999999998</v>
      </c>
      <c r="D564"/>
    </row>
    <row r="565" spans="1:4">
      <c r="A565">
        <v>96211</v>
      </c>
      <c r="B565" t="s">
        <v>1271</v>
      </c>
      <c r="C565" s="69">
        <v>21705.64</v>
      </c>
      <c r="D565"/>
    </row>
    <row r="566" spans="1:4">
      <c r="A566">
        <v>96221</v>
      </c>
      <c r="B566" t="s">
        <v>1272</v>
      </c>
      <c r="C566" s="69">
        <v>129758.64</v>
      </c>
      <c r="D566"/>
    </row>
    <row r="567" spans="1:4">
      <c r="A567">
        <v>96231</v>
      </c>
      <c r="B567" t="s">
        <v>1273</v>
      </c>
      <c r="C567" s="69">
        <v>59754.000000000007</v>
      </c>
      <c r="D567"/>
    </row>
    <row r="568" spans="1:4">
      <c r="A568">
        <v>96241</v>
      </c>
      <c r="B568" t="s">
        <v>1274</v>
      </c>
      <c r="C568" s="69">
        <v>30224.740000000005</v>
      </c>
      <c r="D568"/>
    </row>
    <row r="569" spans="1:4">
      <c r="A569">
        <v>96251</v>
      </c>
      <c r="B569" t="s">
        <v>1275</v>
      </c>
      <c r="C569" s="69">
        <v>45868.47</v>
      </c>
      <c r="D569"/>
    </row>
    <row r="570" spans="1:4">
      <c r="A570">
        <v>96301</v>
      </c>
      <c r="B570" t="s">
        <v>1276</v>
      </c>
      <c r="C570" s="69">
        <v>2945655.1500000004</v>
      </c>
      <c r="D570"/>
    </row>
    <row r="571" spans="1:4">
      <c r="A571">
        <v>96302</v>
      </c>
      <c r="B571" t="s">
        <v>1277</v>
      </c>
      <c r="C571" s="69">
        <v>18801.04</v>
      </c>
      <c r="D571"/>
    </row>
    <row r="572" spans="1:4">
      <c r="A572">
        <v>96304</v>
      </c>
      <c r="B572" t="s">
        <v>1278</v>
      </c>
      <c r="C572" s="69">
        <v>33468.31</v>
      </c>
      <c r="D572"/>
    </row>
    <row r="573" spans="1:4">
      <c r="A573">
        <v>96305</v>
      </c>
      <c r="B573" t="s">
        <v>1279</v>
      </c>
      <c r="C573" s="69">
        <v>37629.969999999994</v>
      </c>
      <c r="D573"/>
    </row>
    <row r="574" spans="1:4">
      <c r="A574">
        <v>96310</v>
      </c>
      <c r="B574" t="s">
        <v>1280</v>
      </c>
      <c r="C574" s="69">
        <v>37430.43</v>
      </c>
      <c r="D574"/>
    </row>
    <row r="575" spans="1:4">
      <c r="A575">
        <v>96311</v>
      </c>
      <c r="B575" t="s">
        <v>1281</v>
      </c>
      <c r="C575" s="69">
        <v>834365.27</v>
      </c>
      <c r="D575"/>
    </row>
    <row r="576" spans="1:4">
      <c r="A576">
        <v>96312</v>
      </c>
      <c r="B576" t="s">
        <v>1282</v>
      </c>
      <c r="C576" s="69">
        <v>5873.54</v>
      </c>
      <c r="D576"/>
    </row>
    <row r="577" spans="1:4">
      <c r="A577">
        <v>96318</v>
      </c>
      <c r="B577" t="s">
        <v>1283</v>
      </c>
      <c r="C577" s="69">
        <v>1594395.79</v>
      </c>
      <c r="D577"/>
    </row>
    <row r="578" spans="1:4">
      <c r="A578">
        <v>96321</v>
      </c>
      <c r="B578" t="s">
        <v>1284</v>
      </c>
      <c r="C578" s="69">
        <v>24541.379999999997</v>
      </c>
      <c r="D578"/>
    </row>
    <row r="579" spans="1:4">
      <c r="A579">
        <v>96331</v>
      </c>
      <c r="B579" t="s">
        <v>1285</v>
      </c>
      <c r="C579" s="69">
        <v>404053.86</v>
      </c>
      <c r="D579"/>
    </row>
    <row r="580" spans="1:4">
      <c r="A580">
        <v>96341</v>
      </c>
      <c r="B580" t="s">
        <v>1286</v>
      </c>
      <c r="C580" s="69">
        <v>43370.689999999995</v>
      </c>
      <c r="D580"/>
    </row>
    <row r="581" spans="1:4">
      <c r="A581">
        <v>96351</v>
      </c>
      <c r="B581" t="s">
        <v>1287</v>
      </c>
      <c r="C581" s="69">
        <v>657328.12</v>
      </c>
      <c r="D581"/>
    </row>
    <row r="582" spans="1:4">
      <c r="A582">
        <v>96361</v>
      </c>
      <c r="B582" t="s">
        <v>1288</v>
      </c>
      <c r="C582" s="69">
        <v>30410.32</v>
      </c>
      <c r="D582"/>
    </row>
    <row r="583" spans="1:4">
      <c r="A583">
        <v>96371</v>
      </c>
      <c r="B583" t="s">
        <v>1289</v>
      </c>
      <c r="C583" s="69">
        <v>100267.8</v>
      </c>
      <c r="D583"/>
    </row>
    <row r="584" spans="1:4">
      <c r="A584">
        <v>96381</v>
      </c>
      <c r="B584" t="s">
        <v>1290</v>
      </c>
      <c r="C584" s="69">
        <v>20753.489999999998</v>
      </c>
      <c r="D584"/>
    </row>
    <row r="585" spans="1:4">
      <c r="A585">
        <v>96391</v>
      </c>
      <c r="B585" t="s">
        <v>1291</v>
      </c>
      <c r="C585" s="69">
        <v>103754.31</v>
      </c>
      <c r="D585"/>
    </row>
    <row r="586" spans="1:4">
      <c r="A586">
        <v>96401</v>
      </c>
      <c r="B586" t="s">
        <v>1292</v>
      </c>
      <c r="C586" s="69">
        <v>2788851.6799999997</v>
      </c>
      <c r="D586"/>
    </row>
    <row r="587" spans="1:4">
      <c r="A587">
        <v>96404</v>
      </c>
      <c r="B587" t="s">
        <v>1293</v>
      </c>
      <c r="C587" s="69">
        <v>78967.030000000028</v>
      </c>
      <c r="D587"/>
    </row>
    <row r="588" spans="1:4">
      <c r="A588">
        <v>96405</v>
      </c>
      <c r="B588" t="s">
        <v>1294</v>
      </c>
      <c r="C588" s="69">
        <v>90861.31</v>
      </c>
      <c r="D588"/>
    </row>
    <row r="589" spans="1:4">
      <c r="A589">
        <v>96411</v>
      </c>
      <c r="B589" t="s">
        <v>1295</v>
      </c>
      <c r="C589" s="69">
        <v>38020.869999999995</v>
      </c>
      <c r="D589"/>
    </row>
    <row r="590" spans="1:4">
      <c r="A590">
        <v>96421</v>
      </c>
      <c r="B590" t="s">
        <v>1296</v>
      </c>
      <c r="C590" s="69">
        <v>214469.91</v>
      </c>
      <c r="D590"/>
    </row>
    <row r="591" spans="1:4">
      <c r="A591">
        <v>96431</v>
      </c>
      <c r="B591" t="s">
        <v>1297</v>
      </c>
      <c r="C591" s="69">
        <v>34096.620000000003</v>
      </c>
      <c r="D591"/>
    </row>
    <row r="592" spans="1:4">
      <c r="A592">
        <v>96441</v>
      </c>
      <c r="B592" t="s">
        <v>1298</v>
      </c>
      <c r="C592" s="69">
        <v>16875.850000000002</v>
      </c>
      <c r="D592"/>
    </row>
    <row r="593" spans="1:4">
      <c r="A593">
        <v>96451</v>
      </c>
      <c r="B593" t="s">
        <v>1299</v>
      </c>
      <c r="C593" s="69">
        <v>11724.16</v>
      </c>
      <c r="D593"/>
    </row>
    <row r="594" spans="1:4">
      <c r="A594">
        <v>96461</v>
      </c>
      <c r="B594" t="s">
        <v>1300</v>
      </c>
      <c r="C594" s="69">
        <v>78511.930000000008</v>
      </c>
      <c r="D594"/>
    </row>
    <row r="595" spans="1:4">
      <c r="A595">
        <v>96501</v>
      </c>
      <c r="B595" t="s">
        <v>1301</v>
      </c>
      <c r="C595" s="69">
        <v>9238120.3300000001</v>
      </c>
      <c r="D595"/>
    </row>
    <row r="596" spans="1:4">
      <c r="A596">
        <v>96502</v>
      </c>
      <c r="B596" t="s">
        <v>1302</v>
      </c>
      <c r="C596" s="69">
        <v>242661.71000000002</v>
      </c>
      <c r="D596"/>
    </row>
    <row r="597" spans="1:4">
      <c r="A597">
        <v>96503</v>
      </c>
      <c r="B597" t="s">
        <v>1303</v>
      </c>
      <c r="C597" s="69">
        <v>230793.13</v>
      </c>
      <c r="D597"/>
    </row>
    <row r="598" spans="1:4">
      <c r="A598">
        <v>96504</v>
      </c>
      <c r="B598" t="s">
        <v>1304</v>
      </c>
      <c r="C598" s="69">
        <v>265829.33</v>
      </c>
      <c r="D598"/>
    </row>
    <row r="599" spans="1:4">
      <c r="A599">
        <v>96507</v>
      </c>
      <c r="B599" t="s">
        <v>1305</v>
      </c>
      <c r="C599" s="69">
        <v>1534618.12</v>
      </c>
      <c r="D599"/>
    </row>
    <row r="600" spans="1:4">
      <c r="A600">
        <v>96508</v>
      </c>
      <c r="B600" t="s">
        <v>1306</v>
      </c>
      <c r="C600" s="69">
        <v>11966.64</v>
      </c>
      <c r="D600"/>
    </row>
    <row r="601" spans="1:4">
      <c r="A601">
        <v>96511</v>
      </c>
      <c r="B601" t="s">
        <v>1307</v>
      </c>
      <c r="C601" s="69">
        <v>360747.05</v>
      </c>
      <c r="D601"/>
    </row>
    <row r="602" spans="1:4">
      <c r="A602">
        <v>96512</v>
      </c>
      <c r="B602" t="s">
        <v>1308</v>
      </c>
      <c r="C602" s="69">
        <v>97965.349999999991</v>
      </c>
      <c r="D602"/>
    </row>
    <row r="603" spans="1:4">
      <c r="A603">
        <v>96519</v>
      </c>
      <c r="B603" t="s">
        <v>1615</v>
      </c>
      <c r="C603" s="69">
        <v>0</v>
      </c>
      <c r="D603"/>
    </row>
    <row r="604" spans="1:4">
      <c r="A604">
        <v>96521</v>
      </c>
      <c r="B604" t="s">
        <v>1309</v>
      </c>
      <c r="C604" s="69">
        <v>531481.39</v>
      </c>
      <c r="D604"/>
    </row>
    <row r="605" spans="1:4">
      <c r="A605">
        <v>96531</v>
      </c>
      <c r="B605" t="s">
        <v>1310</v>
      </c>
      <c r="C605" s="69">
        <v>5152720.0599999996</v>
      </c>
      <c r="D605"/>
    </row>
    <row r="606" spans="1:4">
      <c r="A606">
        <v>96541</v>
      </c>
      <c r="B606" t="s">
        <v>1311</v>
      </c>
      <c r="C606" s="69">
        <v>234424.77000000002</v>
      </c>
      <c r="D606"/>
    </row>
    <row r="607" spans="1:4">
      <c r="A607">
        <v>96601</v>
      </c>
      <c r="B607" t="s">
        <v>1312</v>
      </c>
      <c r="C607" s="69">
        <v>1065106.1600000001</v>
      </c>
      <c r="D607"/>
    </row>
    <row r="608" spans="1:4">
      <c r="A608">
        <v>96604</v>
      </c>
      <c r="B608" t="s">
        <v>1313</v>
      </c>
      <c r="C608" s="69">
        <v>5279.7000000000007</v>
      </c>
      <c r="D608"/>
    </row>
    <row r="609" spans="1:4">
      <c r="A609">
        <v>96611</v>
      </c>
      <c r="B609" t="s">
        <v>1314</v>
      </c>
      <c r="C609" s="69">
        <v>13336.419999999998</v>
      </c>
      <c r="D609"/>
    </row>
    <row r="610" spans="1:4">
      <c r="A610">
        <v>96612</v>
      </c>
      <c r="B610" t="s">
        <v>1315</v>
      </c>
      <c r="C610" s="69">
        <v>43834.609999999993</v>
      </c>
      <c r="D610"/>
    </row>
    <row r="611" spans="1:4">
      <c r="A611">
        <v>96621</v>
      </c>
      <c r="B611" t="s">
        <v>1316</v>
      </c>
      <c r="C611" s="69">
        <v>16136.279999999999</v>
      </c>
      <c r="D611"/>
    </row>
    <row r="612" spans="1:4">
      <c r="A612">
        <v>96631</v>
      </c>
      <c r="B612" t="s">
        <v>1317</v>
      </c>
      <c r="C612" s="69">
        <v>14901.899999999998</v>
      </c>
      <c r="D612"/>
    </row>
    <row r="613" spans="1:4">
      <c r="A613">
        <v>96641</v>
      </c>
      <c r="B613" t="s">
        <v>1318</v>
      </c>
      <c r="C613" s="69">
        <v>28026.5</v>
      </c>
      <c r="D613"/>
    </row>
    <row r="614" spans="1:4">
      <c r="A614">
        <v>96651</v>
      </c>
      <c r="B614" t="s">
        <v>1319</v>
      </c>
      <c r="C614" s="69">
        <v>12070.1</v>
      </c>
      <c r="D614"/>
    </row>
    <row r="615" spans="1:4">
      <c r="A615">
        <v>96661</v>
      </c>
      <c r="B615" t="s">
        <v>1320</v>
      </c>
      <c r="C615" s="69">
        <v>14869.439999999999</v>
      </c>
      <c r="D615"/>
    </row>
    <row r="616" spans="1:4">
      <c r="A616">
        <v>96671</v>
      </c>
      <c r="B616" t="s">
        <v>1321</v>
      </c>
      <c r="C616" s="69">
        <v>12449.1</v>
      </c>
      <c r="D616"/>
    </row>
    <row r="617" spans="1:4">
      <c r="A617">
        <v>96681</v>
      </c>
      <c r="B617" t="s">
        <v>1322</v>
      </c>
      <c r="C617" s="69">
        <v>11987.35</v>
      </c>
      <c r="D617"/>
    </row>
    <row r="618" spans="1:4">
      <c r="A618">
        <v>96701</v>
      </c>
      <c r="B618" t="s">
        <v>1323</v>
      </c>
      <c r="C618" s="69">
        <v>4851952.0600000005</v>
      </c>
      <c r="D618"/>
    </row>
    <row r="619" spans="1:4">
      <c r="A619">
        <v>96704</v>
      </c>
      <c r="B619" t="s">
        <v>1324</v>
      </c>
      <c r="C619" s="69">
        <v>161470.68</v>
      </c>
      <c r="D619"/>
    </row>
    <row r="620" spans="1:4">
      <c r="A620">
        <v>96708</v>
      </c>
      <c r="B620" t="s">
        <v>1325</v>
      </c>
      <c r="C620" s="69">
        <v>519024.39999999997</v>
      </c>
      <c r="D620"/>
    </row>
    <row r="621" spans="1:4">
      <c r="A621">
        <v>96711</v>
      </c>
      <c r="B621" t="s">
        <v>1326</v>
      </c>
      <c r="C621" s="69">
        <v>2341286.7999999998</v>
      </c>
      <c r="D621"/>
    </row>
    <row r="622" spans="1:4">
      <c r="A622">
        <v>96721</v>
      </c>
      <c r="B622" t="s">
        <v>1327</v>
      </c>
      <c r="C622" s="69">
        <v>149086.53</v>
      </c>
      <c r="D622"/>
    </row>
    <row r="623" spans="1:4">
      <c r="A623">
        <v>96731</v>
      </c>
      <c r="B623" t="s">
        <v>1328</v>
      </c>
      <c r="C623" s="69">
        <v>105843.19</v>
      </c>
      <c r="D623"/>
    </row>
    <row r="624" spans="1:4">
      <c r="A624">
        <v>96741</v>
      </c>
      <c r="B624" t="s">
        <v>1330</v>
      </c>
      <c r="C624" s="69">
        <v>53515.66</v>
      </c>
      <c r="D624"/>
    </row>
    <row r="625" spans="1:4">
      <c r="A625">
        <v>96751</v>
      </c>
      <c r="B625" t="s">
        <v>1331</v>
      </c>
      <c r="C625" s="69">
        <v>182370.89</v>
      </c>
      <c r="D625"/>
    </row>
    <row r="626" spans="1:4">
      <c r="A626">
        <v>96801</v>
      </c>
      <c r="B626" t="s">
        <v>1332</v>
      </c>
      <c r="C626" s="69">
        <v>4813006.5699999994</v>
      </c>
      <c r="D626"/>
    </row>
    <row r="627" spans="1:4">
      <c r="A627">
        <v>96804</v>
      </c>
      <c r="B627" t="s">
        <v>1333</v>
      </c>
      <c r="C627" s="69">
        <v>140255.9</v>
      </c>
      <c r="D627"/>
    </row>
    <row r="628" spans="1:4">
      <c r="A628">
        <v>96808</v>
      </c>
      <c r="B628" t="s">
        <v>1334</v>
      </c>
      <c r="C628" s="69">
        <v>784961.79</v>
      </c>
      <c r="D628"/>
    </row>
    <row r="629" spans="1:4">
      <c r="A629">
        <v>96811</v>
      </c>
      <c r="B629" t="s">
        <v>1335</v>
      </c>
      <c r="C629" s="69">
        <v>3728781.1400000006</v>
      </c>
      <c r="D629"/>
    </row>
    <row r="630" spans="1:4">
      <c r="A630">
        <v>96821</v>
      </c>
      <c r="B630" t="s">
        <v>1336</v>
      </c>
      <c r="C630" s="69">
        <v>832841.02</v>
      </c>
      <c r="D630"/>
    </row>
    <row r="631" spans="1:4">
      <c r="A631">
        <v>96831</v>
      </c>
      <c r="B631" t="s">
        <v>1337</v>
      </c>
      <c r="C631" s="69">
        <v>584902.73</v>
      </c>
      <c r="D631"/>
    </row>
    <row r="632" spans="1:4">
      <c r="A632">
        <v>96901</v>
      </c>
      <c r="B632" t="s">
        <v>1338</v>
      </c>
      <c r="C632" s="69">
        <v>506652.34</v>
      </c>
      <c r="D632"/>
    </row>
    <row r="633" spans="1:4">
      <c r="A633">
        <v>96911</v>
      </c>
      <c r="B633" t="s">
        <v>1339</v>
      </c>
      <c r="C633" s="69">
        <v>3539.9399999999996</v>
      </c>
      <c r="D633"/>
    </row>
    <row r="634" spans="1:4">
      <c r="A634">
        <v>96912</v>
      </c>
      <c r="B634" t="s">
        <v>1340</v>
      </c>
      <c r="C634" s="69">
        <v>43950.87</v>
      </c>
      <c r="D634"/>
    </row>
    <row r="635" spans="1:4">
      <c r="A635">
        <v>96918</v>
      </c>
      <c r="B635" t="s">
        <v>1341</v>
      </c>
      <c r="C635" s="69">
        <v>27429.079999999998</v>
      </c>
      <c r="D635"/>
    </row>
    <row r="636" spans="1:4">
      <c r="A636">
        <v>97001</v>
      </c>
      <c r="B636" t="s">
        <v>1342</v>
      </c>
      <c r="C636" s="69">
        <v>952410.24</v>
      </c>
      <c r="D636"/>
    </row>
    <row r="637" spans="1:4">
      <c r="A637">
        <v>97002</v>
      </c>
      <c r="B637" t="s">
        <v>1343</v>
      </c>
      <c r="C637" s="69">
        <v>235303.54</v>
      </c>
      <c r="D637"/>
    </row>
    <row r="638" spans="1:4">
      <c r="A638">
        <v>97004</v>
      </c>
      <c r="B638" t="s">
        <v>1344</v>
      </c>
      <c r="C638" s="69">
        <v>11474.289999999999</v>
      </c>
      <c r="D638"/>
    </row>
    <row r="639" spans="1:4">
      <c r="A639">
        <v>97005</v>
      </c>
      <c r="B639" t="s">
        <v>1345</v>
      </c>
      <c r="C639" s="69">
        <v>18410.579999999998</v>
      </c>
      <c r="D639"/>
    </row>
    <row r="640" spans="1:4">
      <c r="A640">
        <v>97008</v>
      </c>
      <c r="B640" t="s">
        <v>1346</v>
      </c>
      <c r="C640" s="69">
        <v>183366.15999999997</v>
      </c>
      <c r="D640"/>
    </row>
    <row r="641" spans="1:4">
      <c r="A641">
        <v>97010</v>
      </c>
      <c r="B641" t="s">
        <v>1347</v>
      </c>
      <c r="C641" s="69">
        <v>0</v>
      </c>
      <c r="D641"/>
    </row>
    <row r="642" spans="1:4">
      <c r="A642">
        <v>97011</v>
      </c>
      <c r="B642" t="s">
        <v>1348</v>
      </c>
      <c r="C642" s="69">
        <v>1169716.42</v>
      </c>
      <c r="D642"/>
    </row>
    <row r="643" spans="1:4">
      <c r="A643">
        <v>97012</v>
      </c>
      <c r="B643" t="s">
        <v>1349</v>
      </c>
      <c r="C643" s="69">
        <v>16081.41</v>
      </c>
      <c r="D643"/>
    </row>
    <row r="644" spans="1:4">
      <c r="A644">
        <v>97013</v>
      </c>
      <c r="B644" t="s">
        <v>1350</v>
      </c>
      <c r="C644" s="69">
        <v>11474.8</v>
      </c>
      <c r="D644"/>
    </row>
    <row r="645" spans="1:4">
      <c r="A645">
        <v>97015</v>
      </c>
      <c r="B645" t="s">
        <v>1351</v>
      </c>
      <c r="C645" s="69">
        <v>33690.259999999995</v>
      </c>
      <c r="D645"/>
    </row>
    <row r="646" spans="1:4">
      <c r="A646">
        <v>97018</v>
      </c>
      <c r="B646" t="s">
        <v>1352</v>
      </c>
      <c r="C646" s="69">
        <v>11049.839999999998</v>
      </c>
      <c r="D646"/>
    </row>
    <row r="647" spans="1:4">
      <c r="A647">
        <v>97101</v>
      </c>
      <c r="B647" t="s">
        <v>1353</v>
      </c>
      <c r="C647" s="69">
        <v>1795779.8</v>
      </c>
      <c r="D647"/>
    </row>
    <row r="648" spans="1:4">
      <c r="A648">
        <v>97104</v>
      </c>
      <c r="B648" t="s">
        <v>1354</v>
      </c>
      <c r="C648" s="69">
        <v>38739.289999999994</v>
      </c>
      <c r="D648"/>
    </row>
    <row r="649" spans="1:4">
      <c r="A649">
        <v>97111</v>
      </c>
      <c r="B649" t="s">
        <v>1355</v>
      </c>
      <c r="C649" s="69">
        <v>181787.47999999998</v>
      </c>
      <c r="D649"/>
    </row>
    <row r="650" spans="1:4">
      <c r="A650">
        <v>97121</v>
      </c>
      <c r="B650" t="s">
        <v>1356</v>
      </c>
      <c r="C650" s="69">
        <v>118893.85</v>
      </c>
      <c r="D650"/>
    </row>
    <row r="651" spans="1:4">
      <c r="A651">
        <v>97131</v>
      </c>
      <c r="B651" t="s">
        <v>1357</v>
      </c>
      <c r="C651" s="69">
        <v>377963.18</v>
      </c>
      <c r="D651"/>
    </row>
    <row r="652" spans="1:4">
      <c r="A652">
        <v>97201</v>
      </c>
      <c r="B652" t="s">
        <v>1358</v>
      </c>
      <c r="C652" s="69">
        <v>353704.81999999995</v>
      </c>
      <c r="D652"/>
    </row>
    <row r="653" spans="1:4">
      <c r="A653">
        <v>97211</v>
      </c>
      <c r="B653" t="s">
        <v>1359</v>
      </c>
      <c r="C653" s="69">
        <v>97538.15</v>
      </c>
      <c r="D653"/>
    </row>
    <row r="654" spans="1:4">
      <c r="A654">
        <v>97213</v>
      </c>
      <c r="B654" t="s">
        <v>1360</v>
      </c>
      <c r="C654" s="69">
        <v>27226.28</v>
      </c>
      <c r="D654"/>
    </row>
    <row r="655" spans="1:4">
      <c r="A655">
        <v>97217</v>
      </c>
      <c r="B655" t="s">
        <v>1361</v>
      </c>
      <c r="C655" s="69">
        <v>7851.2800000000016</v>
      </c>
      <c r="D655"/>
    </row>
    <row r="656" spans="1:4">
      <c r="A656">
        <v>97221</v>
      </c>
      <c r="B656" t="s">
        <v>1362</v>
      </c>
      <c r="C656" s="69">
        <v>8596.6899999999987</v>
      </c>
      <c r="D656"/>
    </row>
    <row r="657" spans="1:4">
      <c r="A657">
        <v>97301</v>
      </c>
      <c r="B657" t="s">
        <v>1363</v>
      </c>
      <c r="C657" s="69">
        <v>1296799.6099999999</v>
      </c>
      <c r="D657"/>
    </row>
    <row r="658" spans="1:4">
      <c r="A658">
        <v>97302</v>
      </c>
      <c r="B658" t="s">
        <v>3611</v>
      </c>
      <c r="C658" s="69">
        <v>35925.22</v>
      </c>
      <c r="D658"/>
    </row>
    <row r="659" spans="1:4">
      <c r="A659">
        <v>97304</v>
      </c>
      <c r="B659" t="s">
        <v>1364</v>
      </c>
      <c r="C659" s="69">
        <v>18956.010000000002</v>
      </c>
      <c r="D659"/>
    </row>
    <row r="660" spans="1:4">
      <c r="A660">
        <v>97311</v>
      </c>
      <c r="B660" t="s">
        <v>1365</v>
      </c>
      <c r="C660" s="69">
        <v>542660.51000000013</v>
      </c>
      <c r="D660"/>
    </row>
    <row r="661" spans="1:4">
      <c r="A661">
        <v>97401</v>
      </c>
      <c r="B661" t="s">
        <v>1366</v>
      </c>
      <c r="C661" s="69">
        <v>4217404.47</v>
      </c>
      <c r="D661"/>
    </row>
    <row r="662" spans="1:4">
      <c r="A662">
        <v>97402</v>
      </c>
      <c r="B662" t="s">
        <v>1367</v>
      </c>
      <c r="C662" s="69">
        <v>37298.489999999991</v>
      </c>
      <c r="D662"/>
    </row>
    <row r="663" spans="1:4">
      <c r="A663">
        <v>97404</v>
      </c>
      <c r="B663" t="s">
        <v>1368</v>
      </c>
      <c r="C663" s="69">
        <v>124938.88</v>
      </c>
      <c r="D663"/>
    </row>
    <row r="664" spans="1:4">
      <c r="A664">
        <v>97405</v>
      </c>
      <c r="B664" t="s">
        <v>1369</v>
      </c>
      <c r="C664" s="69">
        <v>83347.530000000013</v>
      </c>
      <c r="D664"/>
    </row>
    <row r="665" spans="1:4">
      <c r="A665">
        <v>97408</v>
      </c>
      <c r="B665" t="s">
        <v>1370</v>
      </c>
      <c r="C665" s="69">
        <v>32564.699999999997</v>
      </c>
      <c r="D665"/>
    </row>
    <row r="666" spans="1:4">
      <c r="A666">
        <v>97411</v>
      </c>
      <c r="B666" t="s">
        <v>1371</v>
      </c>
      <c r="C666" s="69">
        <v>3801771.57</v>
      </c>
      <c r="D666"/>
    </row>
    <row r="667" spans="1:4">
      <c r="A667">
        <v>97412</v>
      </c>
      <c r="B667" t="s">
        <v>1372</v>
      </c>
      <c r="C667" s="69">
        <v>2845829.4899999998</v>
      </c>
      <c r="D667"/>
    </row>
    <row r="668" spans="1:4">
      <c r="A668">
        <v>97413</v>
      </c>
      <c r="B668" t="s">
        <v>1373</v>
      </c>
      <c r="C668" s="69">
        <v>202992.13999999998</v>
      </c>
      <c r="D668"/>
    </row>
    <row r="669" spans="1:4">
      <c r="A669">
        <v>97421</v>
      </c>
      <c r="B669" t="s">
        <v>1374</v>
      </c>
      <c r="C669" s="69">
        <v>251678.50999999998</v>
      </c>
      <c r="D669"/>
    </row>
    <row r="670" spans="1:4">
      <c r="A670">
        <v>97423</v>
      </c>
      <c r="B670" t="s">
        <v>1375</v>
      </c>
      <c r="C670" s="69">
        <v>24471.98</v>
      </c>
      <c r="D670"/>
    </row>
    <row r="671" spans="1:4">
      <c r="A671">
        <v>97431</v>
      </c>
      <c r="B671" t="s">
        <v>1376</v>
      </c>
      <c r="C671" s="69">
        <v>59547.149999999994</v>
      </c>
      <c r="D671"/>
    </row>
    <row r="672" spans="1:4">
      <c r="A672">
        <v>97441</v>
      </c>
      <c r="B672" t="s">
        <v>1377</v>
      </c>
      <c r="C672" s="69">
        <v>26814.92</v>
      </c>
      <c r="D672"/>
    </row>
    <row r="673" spans="1:4">
      <c r="A673">
        <v>97451</v>
      </c>
      <c r="B673" t="s">
        <v>1378</v>
      </c>
      <c r="C673" s="69">
        <v>413279.85000000009</v>
      </c>
      <c r="D673"/>
    </row>
    <row r="674" spans="1:4">
      <c r="A674">
        <v>97461</v>
      </c>
      <c r="B674" t="s">
        <v>1379</v>
      </c>
      <c r="C674" s="69">
        <v>326750.21999999997</v>
      </c>
      <c r="D674"/>
    </row>
    <row r="675" spans="1:4">
      <c r="A675">
        <v>97463</v>
      </c>
      <c r="B675" t="s">
        <v>1380</v>
      </c>
      <c r="C675" s="69">
        <v>0</v>
      </c>
      <c r="D675"/>
    </row>
    <row r="676" spans="1:4">
      <c r="A676">
        <v>97471</v>
      </c>
      <c r="B676" t="s">
        <v>1381</v>
      </c>
      <c r="C676" s="69">
        <v>16567.64</v>
      </c>
      <c r="D676"/>
    </row>
    <row r="677" spans="1:4">
      <c r="A677">
        <v>97481</v>
      </c>
      <c r="B677" t="s">
        <v>1382</v>
      </c>
      <c r="C677" s="69">
        <v>2860.7199999999993</v>
      </c>
      <c r="D677"/>
    </row>
    <row r="678" spans="1:4">
      <c r="A678">
        <v>97491</v>
      </c>
      <c r="B678" t="s">
        <v>3714</v>
      </c>
      <c r="C678" s="69">
        <v>0</v>
      </c>
      <c r="D678"/>
    </row>
    <row r="679" spans="1:4">
      <c r="A679">
        <v>97501</v>
      </c>
      <c r="B679" t="s">
        <v>1384</v>
      </c>
      <c r="C679" s="69">
        <v>773030.28999999992</v>
      </c>
      <c r="D679"/>
    </row>
    <row r="680" spans="1:4">
      <c r="A680">
        <v>97511</v>
      </c>
      <c r="B680" t="s">
        <v>1385</v>
      </c>
      <c r="C680" s="69">
        <v>143364.36000000002</v>
      </c>
      <c r="D680"/>
    </row>
    <row r="681" spans="1:4">
      <c r="A681">
        <v>97521</v>
      </c>
      <c r="B681" t="s">
        <v>1386</v>
      </c>
      <c r="C681" s="69">
        <v>78443.06</v>
      </c>
      <c r="D681"/>
    </row>
    <row r="682" spans="1:4">
      <c r="A682">
        <v>97527</v>
      </c>
      <c r="B682" t="s">
        <v>1637</v>
      </c>
      <c r="C682" s="69">
        <v>5611.6</v>
      </c>
      <c r="D682"/>
    </row>
    <row r="683" spans="1:4">
      <c r="A683">
        <v>97531</v>
      </c>
      <c r="B683" t="s">
        <v>1387</v>
      </c>
      <c r="C683" s="69">
        <v>41264.199999999997</v>
      </c>
      <c r="D683"/>
    </row>
    <row r="684" spans="1:4">
      <c r="A684">
        <v>97601</v>
      </c>
      <c r="B684" t="s">
        <v>1388</v>
      </c>
      <c r="C684" s="69">
        <v>3249056.79</v>
      </c>
      <c r="D684"/>
    </row>
    <row r="685" spans="1:4">
      <c r="A685">
        <v>97607</v>
      </c>
      <c r="B685" t="s">
        <v>1389</v>
      </c>
      <c r="C685" s="69">
        <v>23233.65</v>
      </c>
      <c r="D685"/>
    </row>
    <row r="686" spans="1:4">
      <c r="A686">
        <v>97611</v>
      </c>
      <c r="B686" t="s">
        <v>1390</v>
      </c>
      <c r="C686" s="69">
        <v>1540218.59</v>
      </c>
      <c r="D686"/>
    </row>
    <row r="687" spans="1:4">
      <c r="A687">
        <v>97613</v>
      </c>
      <c r="B687" t="s">
        <v>1391</v>
      </c>
      <c r="C687" s="69">
        <v>75660.020000000019</v>
      </c>
      <c r="D687"/>
    </row>
    <row r="688" spans="1:4">
      <c r="A688">
        <v>97621</v>
      </c>
      <c r="B688" t="s">
        <v>1392</v>
      </c>
      <c r="C688" s="69">
        <v>224570.36</v>
      </c>
      <c r="D688"/>
    </row>
    <row r="689" spans="1:4">
      <c r="A689">
        <v>97623</v>
      </c>
      <c r="B689" t="s">
        <v>1393</v>
      </c>
      <c r="C689" s="69">
        <v>17045.790000000005</v>
      </c>
      <c r="D689"/>
    </row>
    <row r="690" spans="1:4">
      <c r="A690">
        <v>97627</v>
      </c>
      <c r="B690" t="s">
        <v>1394</v>
      </c>
      <c r="C690" s="69">
        <v>5885.4900000000007</v>
      </c>
      <c r="D690"/>
    </row>
    <row r="691" spans="1:4">
      <c r="A691">
        <v>97631</v>
      </c>
      <c r="B691" t="s">
        <v>1395</v>
      </c>
      <c r="C691" s="69">
        <v>121338.65</v>
      </c>
      <c r="D691"/>
    </row>
    <row r="692" spans="1:4">
      <c r="A692">
        <v>97637</v>
      </c>
      <c r="B692" t="s">
        <v>1396</v>
      </c>
      <c r="C692" s="69">
        <v>1677.15</v>
      </c>
      <c r="D692"/>
    </row>
    <row r="693" spans="1:4">
      <c r="A693">
        <v>97641</v>
      </c>
      <c r="B693" t="s">
        <v>1397</v>
      </c>
      <c r="C693" s="69">
        <v>36973.49</v>
      </c>
      <c r="D693"/>
    </row>
    <row r="694" spans="1:4">
      <c r="A694">
        <v>97651</v>
      </c>
      <c r="B694" t="s">
        <v>1398</v>
      </c>
      <c r="C694" s="69">
        <v>302348.47000000003</v>
      </c>
      <c r="D694"/>
    </row>
    <row r="695" spans="1:4">
      <c r="A695">
        <v>97661</v>
      </c>
      <c r="B695" t="s">
        <v>1399</v>
      </c>
      <c r="C695" s="69">
        <v>32184.5</v>
      </c>
      <c r="D695"/>
    </row>
    <row r="696" spans="1:4">
      <c r="A696">
        <v>97701</v>
      </c>
      <c r="B696" t="s">
        <v>1400</v>
      </c>
      <c r="C696" s="69">
        <v>1532971.47</v>
      </c>
      <c r="D696"/>
    </row>
    <row r="697" spans="1:4">
      <c r="A697">
        <v>97705</v>
      </c>
      <c r="B697" t="s">
        <v>1401</v>
      </c>
      <c r="C697" s="69">
        <v>28700.879999999997</v>
      </c>
      <c r="D697"/>
    </row>
    <row r="698" spans="1:4">
      <c r="A698">
        <v>97711</v>
      </c>
      <c r="B698" t="s">
        <v>1402</v>
      </c>
      <c r="C698" s="69">
        <v>552187.30000000005</v>
      </c>
      <c r="D698"/>
    </row>
    <row r="699" spans="1:4">
      <c r="A699">
        <v>97713</v>
      </c>
      <c r="B699" t="s">
        <v>1403</v>
      </c>
      <c r="C699" s="69">
        <v>32149.64</v>
      </c>
      <c r="D699"/>
    </row>
    <row r="700" spans="1:4">
      <c r="A700">
        <v>97717</v>
      </c>
      <c r="B700" t="s">
        <v>1404</v>
      </c>
      <c r="C700" s="69">
        <v>4900.83</v>
      </c>
      <c r="D700"/>
    </row>
    <row r="701" spans="1:4">
      <c r="A701">
        <v>97721</v>
      </c>
      <c r="B701" t="s">
        <v>1405</v>
      </c>
      <c r="C701" s="69">
        <v>319351.13</v>
      </c>
      <c r="D701"/>
    </row>
    <row r="702" spans="1:4">
      <c r="A702">
        <v>97727</v>
      </c>
      <c r="B702" t="s">
        <v>1406</v>
      </c>
      <c r="C702" s="69">
        <v>14204.82</v>
      </c>
      <c r="D702"/>
    </row>
    <row r="703" spans="1:4">
      <c r="A703">
        <v>97731</v>
      </c>
      <c r="B703" t="s">
        <v>1407</v>
      </c>
      <c r="C703" s="69">
        <v>24986.82</v>
      </c>
      <c r="D703"/>
    </row>
    <row r="704" spans="1:4">
      <c r="A704">
        <v>97801</v>
      </c>
      <c r="B704" t="s">
        <v>1408</v>
      </c>
      <c r="C704" s="69">
        <v>4298880.84</v>
      </c>
      <c r="D704"/>
    </row>
    <row r="705" spans="1:4">
      <c r="A705">
        <v>97802</v>
      </c>
      <c r="B705" t="s">
        <v>1409</v>
      </c>
      <c r="C705" s="69">
        <v>101387.85</v>
      </c>
      <c r="D705"/>
    </row>
    <row r="706" spans="1:4">
      <c r="A706">
        <v>97803</v>
      </c>
      <c r="B706" t="s">
        <v>1410</v>
      </c>
      <c r="C706" s="69">
        <v>48800.020000000004</v>
      </c>
      <c r="D706"/>
    </row>
    <row r="707" spans="1:4">
      <c r="A707">
        <v>97805</v>
      </c>
      <c r="B707" t="s">
        <v>1411</v>
      </c>
      <c r="C707" s="69">
        <v>52602.69000000001</v>
      </c>
      <c r="D707"/>
    </row>
    <row r="708" spans="1:4">
      <c r="A708">
        <v>97811</v>
      </c>
      <c r="B708" t="s">
        <v>1412</v>
      </c>
      <c r="C708" s="69">
        <v>1477590.86</v>
      </c>
      <c r="D708"/>
    </row>
    <row r="709" spans="1:4">
      <c r="A709">
        <v>97817</v>
      </c>
      <c r="B709" t="s">
        <v>1413</v>
      </c>
      <c r="C709" s="69">
        <v>17021.07</v>
      </c>
      <c r="D709"/>
    </row>
    <row r="710" spans="1:4">
      <c r="A710">
        <v>97818</v>
      </c>
      <c r="B710" t="s">
        <v>1414</v>
      </c>
      <c r="C710" s="69">
        <v>16162.029999999999</v>
      </c>
      <c r="D710"/>
    </row>
    <row r="711" spans="1:4">
      <c r="A711">
        <v>97821</v>
      </c>
      <c r="B711" t="s">
        <v>1415</v>
      </c>
      <c r="C711" s="69">
        <v>79617.36</v>
      </c>
      <c r="D711"/>
    </row>
    <row r="712" spans="1:4">
      <c r="A712">
        <v>97823</v>
      </c>
      <c r="B712" t="s">
        <v>1416</v>
      </c>
      <c r="C712" s="69">
        <v>15825.5</v>
      </c>
      <c r="D712"/>
    </row>
    <row r="713" spans="1:4">
      <c r="A713">
        <v>97831</v>
      </c>
      <c r="B713" t="s">
        <v>1417</v>
      </c>
      <c r="C713" s="69">
        <v>123536.76</v>
      </c>
      <c r="D713"/>
    </row>
    <row r="714" spans="1:4">
      <c r="A714">
        <v>97837</v>
      </c>
      <c r="B714" t="s">
        <v>1418</v>
      </c>
      <c r="C714" s="69">
        <v>4753.6899999999996</v>
      </c>
      <c r="D714"/>
    </row>
    <row r="715" spans="1:4">
      <c r="A715">
        <v>97840</v>
      </c>
      <c r="B715" t="s">
        <v>1419</v>
      </c>
      <c r="C715" s="69">
        <v>85666.58</v>
      </c>
      <c r="D715"/>
    </row>
    <row r="716" spans="1:4">
      <c r="A716">
        <v>97841</v>
      </c>
      <c r="B716" t="s">
        <v>1420</v>
      </c>
      <c r="C716" s="69">
        <v>7193.93</v>
      </c>
      <c r="D716"/>
    </row>
    <row r="717" spans="1:4">
      <c r="A717">
        <v>97847</v>
      </c>
      <c r="B717" t="s">
        <v>1421</v>
      </c>
      <c r="C717" s="69">
        <v>3263.1599999999994</v>
      </c>
      <c r="D717"/>
    </row>
    <row r="718" spans="1:4">
      <c r="A718">
        <v>97851</v>
      </c>
      <c r="B718" t="s">
        <v>1422</v>
      </c>
      <c r="C718" s="69">
        <v>144132.03</v>
      </c>
      <c r="D718"/>
    </row>
    <row r="719" spans="1:4">
      <c r="A719">
        <v>97853</v>
      </c>
      <c r="B719" t="s">
        <v>1423</v>
      </c>
      <c r="C719" s="69">
        <v>43042.880000000005</v>
      </c>
      <c r="D719"/>
    </row>
    <row r="720" spans="1:4">
      <c r="A720">
        <v>97861</v>
      </c>
      <c r="B720" t="s">
        <v>1424</v>
      </c>
      <c r="C720" s="69">
        <v>39280.799999999996</v>
      </c>
      <c r="D720"/>
    </row>
    <row r="721" spans="1:4">
      <c r="A721">
        <v>97871</v>
      </c>
      <c r="B721" t="s">
        <v>1425</v>
      </c>
      <c r="C721" s="69">
        <v>188715.09999999998</v>
      </c>
      <c r="D721"/>
    </row>
    <row r="722" spans="1:4">
      <c r="A722">
        <v>97877</v>
      </c>
      <c r="B722" t="s">
        <v>1426</v>
      </c>
      <c r="C722" s="69">
        <v>6226.55</v>
      </c>
      <c r="D722"/>
    </row>
    <row r="723" spans="1:4">
      <c r="A723">
        <v>97901</v>
      </c>
      <c r="B723" t="s">
        <v>1427</v>
      </c>
      <c r="C723" s="69">
        <v>2499428.3600000003</v>
      </c>
      <c r="D723"/>
    </row>
    <row r="724" spans="1:4">
      <c r="A724">
        <v>97911</v>
      </c>
      <c r="B724" t="s">
        <v>1428</v>
      </c>
      <c r="C724" s="69">
        <v>826451.18</v>
      </c>
      <c r="D724"/>
    </row>
    <row r="725" spans="1:4">
      <c r="A725">
        <v>97913</v>
      </c>
      <c r="B725" t="s">
        <v>1429</v>
      </c>
      <c r="C725" s="69">
        <v>28547.219999999998</v>
      </c>
      <c r="D725"/>
    </row>
    <row r="726" spans="1:4">
      <c r="A726">
        <v>97917</v>
      </c>
      <c r="B726" t="s">
        <v>1430</v>
      </c>
      <c r="C726" s="69">
        <v>18097.11</v>
      </c>
      <c r="D726"/>
    </row>
    <row r="727" spans="1:4">
      <c r="A727">
        <v>97921</v>
      </c>
      <c r="B727" t="s">
        <v>1431</v>
      </c>
      <c r="C727" s="69">
        <v>134937.62</v>
      </c>
      <c r="D727"/>
    </row>
    <row r="728" spans="1:4">
      <c r="A728">
        <v>97931</v>
      </c>
      <c r="B728" t="s">
        <v>1432</v>
      </c>
      <c r="C728" s="69">
        <v>45280.45</v>
      </c>
      <c r="D728"/>
    </row>
    <row r="729" spans="1:4">
      <c r="A729">
        <v>97941</v>
      </c>
      <c r="B729" t="s">
        <v>1433</v>
      </c>
      <c r="C729" s="69">
        <v>142529.61000000002</v>
      </c>
      <c r="D729"/>
    </row>
    <row r="730" spans="1:4">
      <c r="A730">
        <v>97947</v>
      </c>
      <c r="B730" t="s">
        <v>1434</v>
      </c>
      <c r="C730" s="69">
        <v>11699.560000000001</v>
      </c>
      <c r="D730"/>
    </row>
    <row r="731" spans="1:4">
      <c r="A731">
        <v>97948</v>
      </c>
      <c r="B731" t="s">
        <v>1435</v>
      </c>
      <c r="C731" s="69">
        <v>15972.85</v>
      </c>
      <c r="D731"/>
    </row>
    <row r="732" spans="1:4">
      <c r="A732">
        <v>97951</v>
      </c>
      <c r="B732" t="s">
        <v>1436</v>
      </c>
      <c r="C732" s="69">
        <v>793142.60999999987</v>
      </c>
      <c r="D732"/>
    </row>
    <row r="733" spans="1:4">
      <c r="A733">
        <v>97957</v>
      </c>
      <c r="B733" t="s">
        <v>1437</v>
      </c>
      <c r="C733" s="69">
        <v>16306.619999999999</v>
      </c>
      <c r="D733"/>
    </row>
    <row r="734" spans="1:4">
      <c r="A734">
        <v>98001</v>
      </c>
      <c r="B734" t="s">
        <v>1438</v>
      </c>
      <c r="C734" s="69">
        <v>3451765.31</v>
      </c>
      <c r="D734"/>
    </row>
    <row r="735" spans="1:4">
      <c r="A735">
        <v>98002</v>
      </c>
      <c r="B735" t="s">
        <v>1439</v>
      </c>
      <c r="C735" s="69">
        <v>5144.7300000000005</v>
      </c>
      <c r="D735"/>
    </row>
    <row r="736" spans="1:4">
      <c r="A736">
        <v>98003</v>
      </c>
      <c r="B736" t="s">
        <v>1440</v>
      </c>
      <c r="C736" s="69">
        <v>54930.279999999992</v>
      </c>
      <c r="D736"/>
    </row>
    <row r="737" spans="1:4">
      <c r="A737">
        <v>98004</v>
      </c>
      <c r="B737" t="s">
        <v>1441</v>
      </c>
      <c r="C737" s="69">
        <v>131982.23000000001</v>
      </c>
      <c r="D737"/>
    </row>
    <row r="738" spans="1:4">
      <c r="A738">
        <v>98008</v>
      </c>
      <c r="B738" t="s">
        <v>1442</v>
      </c>
      <c r="C738" s="69">
        <v>4177.6099999999997</v>
      </c>
      <c r="D738"/>
    </row>
    <row r="739" spans="1:4">
      <c r="A739">
        <v>98011</v>
      </c>
      <c r="B739" t="s">
        <v>1443</v>
      </c>
      <c r="C739" s="69">
        <v>2007177.3</v>
      </c>
      <c r="D739"/>
    </row>
    <row r="740" spans="1:4">
      <c r="A740">
        <v>98013</v>
      </c>
      <c r="B740" t="s">
        <v>1444</v>
      </c>
      <c r="C740" s="69">
        <v>94637.53</v>
      </c>
      <c r="D740"/>
    </row>
    <row r="741" spans="1:4">
      <c r="A741">
        <v>98021</v>
      </c>
      <c r="B741" t="s">
        <v>1445</v>
      </c>
      <c r="C741" s="69">
        <v>35499.54</v>
      </c>
      <c r="D741"/>
    </row>
    <row r="742" spans="1:4">
      <c r="A742">
        <v>98023</v>
      </c>
      <c r="B742" t="s">
        <v>1446</v>
      </c>
      <c r="C742" s="69">
        <v>5447.8099999999995</v>
      </c>
      <c r="D742"/>
    </row>
    <row r="743" spans="1:4">
      <c r="A743">
        <v>98031</v>
      </c>
      <c r="B743" t="s">
        <v>1447</v>
      </c>
      <c r="C743" s="69">
        <v>84530.4</v>
      </c>
      <c r="D743"/>
    </row>
    <row r="744" spans="1:4">
      <c r="A744">
        <v>98041</v>
      </c>
      <c r="B744" t="s">
        <v>1448</v>
      </c>
      <c r="C744" s="69">
        <v>133515</v>
      </c>
      <c r="D744"/>
    </row>
    <row r="745" spans="1:4">
      <c r="A745">
        <v>98051</v>
      </c>
      <c r="B745" t="s">
        <v>1449</v>
      </c>
      <c r="C745" s="69">
        <v>153516.88</v>
      </c>
      <c r="D745"/>
    </row>
    <row r="746" spans="1:4">
      <c r="A746">
        <v>98061</v>
      </c>
      <c r="B746" t="s">
        <v>1450</v>
      </c>
      <c r="C746" s="69">
        <v>67745.440000000002</v>
      </c>
      <c r="D746"/>
    </row>
    <row r="747" spans="1:4">
      <c r="A747">
        <v>98071</v>
      </c>
      <c r="B747" t="s">
        <v>1451</v>
      </c>
      <c r="C747" s="69">
        <v>44621.25</v>
      </c>
      <c r="D747"/>
    </row>
    <row r="748" spans="1:4">
      <c r="A748">
        <v>98081</v>
      </c>
      <c r="B748" t="s">
        <v>1452</v>
      </c>
      <c r="C748" s="69">
        <v>9923.84</v>
      </c>
      <c r="D748"/>
    </row>
    <row r="749" spans="1:4">
      <c r="A749">
        <v>98091</v>
      </c>
      <c r="B749" t="s">
        <v>1453</v>
      </c>
      <c r="C749" s="69">
        <v>34137.9</v>
      </c>
      <c r="D749"/>
    </row>
    <row r="750" spans="1:4">
      <c r="A750">
        <v>98101</v>
      </c>
      <c r="B750" t="s">
        <v>1454</v>
      </c>
      <c r="C750" s="69">
        <v>1681231.53</v>
      </c>
      <c r="D750"/>
    </row>
    <row r="751" spans="1:4">
      <c r="A751">
        <v>98102</v>
      </c>
      <c r="B751" t="s">
        <v>1455</v>
      </c>
      <c r="C751" s="69">
        <v>95545.65</v>
      </c>
      <c r="D751"/>
    </row>
    <row r="752" spans="1:4">
      <c r="A752">
        <v>98103</v>
      </c>
      <c r="B752" t="s">
        <v>3725</v>
      </c>
      <c r="C752" s="69">
        <v>296461.66000000003</v>
      </c>
      <c r="D752"/>
    </row>
    <row r="753" spans="1:4">
      <c r="A753">
        <v>98107</v>
      </c>
      <c r="B753" t="s">
        <v>1457</v>
      </c>
      <c r="C753" s="69">
        <v>13669.209999999997</v>
      </c>
      <c r="D753"/>
    </row>
    <row r="754" spans="1:4">
      <c r="A754">
        <v>98109</v>
      </c>
      <c r="B754" t="s">
        <v>1458</v>
      </c>
      <c r="C754" s="69">
        <v>115224.28</v>
      </c>
      <c r="D754"/>
    </row>
    <row r="755" spans="1:4">
      <c r="A755">
        <v>98111</v>
      </c>
      <c r="B755" t="s">
        <v>1459</v>
      </c>
      <c r="C755" s="69">
        <v>586486.77</v>
      </c>
      <c r="D755"/>
    </row>
    <row r="756" spans="1:4">
      <c r="A756">
        <v>98113</v>
      </c>
      <c r="B756" t="s">
        <v>1460</v>
      </c>
      <c r="C756" s="69">
        <v>30544.589999999997</v>
      </c>
      <c r="D756"/>
    </row>
    <row r="757" spans="1:4">
      <c r="A757">
        <v>98121</v>
      </c>
      <c r="B757" t="s">
        <v>1461</v>
      </c>
      <c r="C757" s="69">
        <v>136664.24</v>
      </c>
      <c r="D757"/>
    </row>
    <row r="758" spans="1:4">
      <c r="A758">
        <v>98131</v>
      </c>
      <c r="B758" t="s">
        <v>1462</v>
      </c>
      <c r="C758" s="69">
        <v>167320.65</v>
      </c>
      <c r="D758"/>
    </row>
    <row r="759" spans="1:4">
      <c r="A759">
        <v>98141</v>
      </c>
      <c r="B759" t="s">
        <v>1463</v>
      </c>
      <c r="C759" s="69">
        <v>174887.64</v>
      </c>
      <c r="D759"/>
    </row>
    <row r="760" spans="1:4">
      <c r="A760">
        <v>98147</v>
      </c>
      <c r="B760" t="s">
        <v>1464</v>
      </c>
      <c r="C760" s="69">
        <v>12926.720000000001</v>
      </c>
      <c r="D760"/>
    </row>
    <row r="761" spans="1:4">
      <c r="A761">
        <v>98161</v>
      </c>
      <c r="B761" t="s">
        <v>1465</v>
      </c>
      <c r="C761" s="69">
        <v>6767.7599999999984</v>
      </c>
      <c r="D761"/>
    </row>
    <row r="762" spans="1:4">
      <c r="A762">
        <v>98201</v>
      </c>
      <c r="B762" t="s">
        <v>1466</v>
      </c>
      <c r="C762" s="69">
        <v>1961250.9900000002</v>
      </c>
      <c r="D762"/>
    </row>
    <row r="763" spans="1:4">
      <c r="A763">
        <v>98205</v>
      </c>
      <c r="B763" t="s">
        <v>1467</v>
      </c>
      <c r="C763" s="69">
        <v>21441.590000000007</v>
      </c>
      <c r="D763"/>
    </row>
    <row r="764" spans="1:4">
      <c r="A764">
        <v>98211</v>
      </c>
      <c r="B764" t="s">
        <v>1468</v>
      </c>
      <c r="C764" s="69">
        <v>510938.55</v>
      </c>
      <c r="D764"/>
    </row>
    <row r="765" spans="1:4">
      <c r="A765">
        <v>98218</v>
      </c>
      <c r="B765" t="s">
        <v>1469</v>
      </c>
      <c r="C765" s="69">
        <v>11264.579999999998</v>
      </c>
      <c r="D765"/>
    </row>
    <row r="766" spans="1:4">
      <c r="A766">
        <v>98221</v>
      </c>
      <c r="B766" t="s">
        <v>1470</v>
      </c>
      <c r="C766" s="69">
        <v>12825.900000000003</v>
      </c>
      <c r="D766"/>
    </row>
    <row r="767" spans="1:4">
      <c r="A767">
        <v>98231</v>
      </c>
      <c r="B767" t="s">
        <v>1471</v>
      </c>
      <c r="C767" s="69">
        <v>19768.260000000002</v>
      </c>
      <c r="D767"/>
    </row>
    <row r="768" spans="1:4">
      <c r="A768">
        <v>98237</v>
      </c>
      <c r="B768" t="s">
        <v>1472</v>
      </c>
      <c r="C768" s="69">
        <v>4492.9199999999992</v>
      </c>
      <c r="D768"/>
    </row>
    <row r="769" spans="1:4">
      <c r="A769">
        <v>98241</v>
      </c>
      <c r="B769" t="s">
        <v>1473</v>
      </c>
      <c r="C769" s="69">
        <v>7126.0400000000009</v>
      </c>
      <c r="D769"/>
    </row>
    <row r="770" spans="1:4">
      <c r="A770">
        <v>98251</v>
      </c>
      <c r="B770" t="s">
        <v>1474</v>
      </c>
      <c r="C770" s="69">
        <v>3340.4700000000003</v>
      </c>
      <c r="D770"/>
    </row>
    <row r="771" spans="1:4">
      <c r="A771">
        <v>98261</v>
      </c>
      <c r="B771" t="s">
        <v>1475</v>
      </c>
      <c r="C771" s="69">
        <v>22362.460000000006</v>
      </c>
      <c r="D771"/>
    </row>
    <row r="772" spans="1:4">
      <c r="A772">
        <v>98271</v>
      </c>
      <c r="B772" t="s">
        <v>1476</v>
      </c>
      <c r="C772" s="69">
        <v>3979.57</v>
      </c>
      <c r="D772"/>
    </row>
    <row r="773" spans="1:4">
      <c r="A773">
        <v>98301</v>
      </c>
      <c r="B773" t="s">
        <v>1477</v>
      </c>
      <c r="C773" s="69">
        <v>1180376.0400000003</v>
      </c>
      <c r="D773"/>
    </row>
    <row r="774" spans="1:4">
      <c r="A774">
        <v>98304</v>
      </c>
      <c r="B774" t="s">
        <v>1478</v>
      </c>
      <c r="C774" s="69">
        <v>17022.230000000003</v>
      </c>
      <c r="D774"/>
    </row>
    <row r="775" spans="1:4">
      <c r="A775">
        <v>98308</v>
      </c>
      <c r="B775" t="s">
        <v>1479</v>
      </c>
      <c r="C775" s="69">
        <v>21093.190000000002</v>
      </c>
      <c r="D775"/>
    </row>
    <row r="776" spans="1:4">
      <c r="A776">
        <v>98311</v>
      </c>
      <c r="B776" t="s">
        <v>1480</v>
      </c>
      <c r="C776" s="69">
        <v>640918.68999999994</v>
      </c>
      <c r="D776"/>
    </row>
    <row r="777" spans="1:4">
      <c r="A777">
        <v>98313</v>
      </c>
      <c r="B777" t="s">
        <v>1481</v>
      </c>
      <c r="C777" s="69">
        <v>168657.63</v>
      </c>
      <c r="D777"/>
    </row>
    <row r="778" spans="1:4">
      <c r="A778">
        <v>98321</v>
      </c>
      <c r="B778" t="s">
        <v>1482</v>
      </c>
      <c r="C778" s="69">
        <v>10330.06</v>
      </c>
      <c r="D778"/>
    </row>
    <row r="779" spans="1:4">
      <c r="A779">
        <v>98331</v>
      </c>
      <c r="B779" t="s">
        <v>1483</v>
      </c>
      <c r="C779" s="69">
        <v>3982.45</v>
      </c>
      <c r="D779"/>
    </row>
    <row r="780" spans="1:4">
      <c r="A780">
        <v>98401</v>
      </c>
      <c r="B780" t="s">
        <v>1484</v>
      </c>
      <c r="C780" s="69">
        <v>1924413.75</v>
      </c>
      <c r="D780"/>
    </row>
    <row r="781" spans="1:4">
      <c r="A781">
        <v>98404</v>
      </c>
      <c r="B781" t="s">
        <v>1485</v>
      </c>
      <c r="C781" s="69">
        <v>9834.64</v>
      </c>
      <c r="D781"/>
    </row>
    <row r="782" spans="1:4">
      <c r="A782">
        <v>98411</v>
      </c>
      <c r="B782" t="s">
        <v>1486</v>
      </c>
      <c r="C782" s="69">
        <v>1098322.25</v>
      </c>
      <c r="D782"/>
    </row>
    <row r="783" spans="1:4">
      <c r="A783">
        <v>98414</v>
      </c>
      <c r="B783" t="s">
        <v>1487</v>
      </c>
      <c r="C783" s="69">
        <v>23197.16</v>
      </c>
      <c r="D783"/>
    </row>
    <row r="784" spans="1:4">
      <c r="A784">
        <v>98417</v>
      </c>
      <c r="B784" t="s">
        <v>1488</v>
      </c>
      <c r="C784" s="69">
        <v>18256</v>
      </c>
      <c r="D784"/>
    </row>
    <row r="785" spans="1:4">
      <c r="A785">
        <v>98421</v>
      </c>
      <c r="B785" t="s">
        <v>1489</v>
      </c>
      <c r="C785" s="69">
        <v>61528.109999999993</v>
      </c>
      <c r="D785"/>
    </row>
    <row r="786" spans="1:4">
      <c r="A786">
        <v>98427</v>
      </c>
      <c r="B786" t="s">
        <v>1490</v>
      </c>
      <c r="C786" s="69">
        <v>4225.91</v>
      </c>
      <c r="D786"/>
    </row>
    <row r="787" spans="1:4">
      <c r="A787">
        <v>98431</v>
      </c>
      <c r="B787" t="s">
        <v>1491</v>
      </c>
      <c r="C787" s="69">
        <v>120440.17000000001</v>
      </c>
      <c r="D787"/>
    </row>
    <row r="788" spans="1:4">
      <c r="A788">
        <v>98441</v>
      </c>
      <c r="B788" t="s">
        <v>1492</v>
      </c>
      <c r="C788" s="69">
        <v>65300.319999999992</v>
      </c>
      <c r="D788"/>
    </row>
    <row r="789" spans="1:4">
      <c r="A789">
        <v>98451</v>
      </c>
      <c r="B789" t="s">
        <v>1493</v>
      </c>
      <c r="C789" s="69">
        <v>24999.889999999996</v>
      </c>
      <c r="D789"/>
    </row>
    <row r="790" spans="1:4">
      <c r="A790">
        <v>98471</v>
      </c>
      <c r="B790" t="s">
        <v>1638</v>
      </c>
      <c r="C790" s="69">
        <v>4927.3499999999995</v>
      </c>
      <c r="D790"/>
    </row>
    <row r="791" spans="1:4">
      <c r="A791">
        <v>98481</v>
      </c>
      <c r="B791" t="s">
        <v>1494</v>
      </c>
      <c r="C791" s="69">
        <v>40297.130000000005</v>
      </c>
      <c r="D791"/>
    </row>
    <row r="792" spans="1:4">
      <c r="A792">
        <v>98501</v>
      </c>
      <c r="B792" t="s">
        <v>1495</v>
      </c>
      <c r="C792" s="69">
        <v>1212827.6599999999</v>
      </c>
      <c r="D792"/>
    </row>
    <row r="793" spans="1:4">
      <c r="A793">
        <v>98511</v>
      </c>
      <c r="B793" t="s">
        <v>1496</v>
      </c>
      <c r="C793" s="69">
        <v>30184.560000000001</v>
      </c>
      <c r="D793"/>
    </row>
    <row r="794" spans="1:4">
      <c r="A794">
        <v>98517</v>
      </c>
      <c r="B794" t="s">
        <v>1497</v>
      </c>
      <c r="C794" s="69">
        <v>2893.8800000000006</v>
      </c>
      <c r="D794"/>
    </row>
    <row r="795" spans="1:4">
      <c r="A795">
        <v>98521</v>
      </c>
      <c r="B795" t="s">
        <v>1498</v>
      </c>
      <c r="C795" s="69">
        <v>406132.21</v>
      </c>
      <c r="D795"/>
    </row>
    <row r="796" spans="1:4">
      <c r="A796">
        <v>98601</v>
      </c>
      <c r="B796" t="s">
        <v>1499</v>
      </c>
      <c r="C796" s="69">
        <v>2259963.1700000004</v>
      </c>
      <c r="D796"/>
    </row>
    <row r="797" spans="1:4">
      <c r="A797">
        <v>98604</v>
      </c>
      <c r="B797" t="s">
        <v>1500</v>
      </c>
      <c r="C797" s="69">
        <v>11827</v>
      </c>
      <c r="D797"/>
    </row>
    <row r="798" spans="1:4">
      <c r="A798">
        <v>98607</v>
      </c>
      <c r="B798" t="s">
        <v>1501</v>
      </c>
      <c r="C798" s="69">
        <v>4394.71</v>
      </c>
      <c r="D798"/>
    </row>
    <row r="799" spans="1:4">
      <c r="A799">
        <v>98608</v>
      </c>
      <c r="B799" t="s">
        <v>1502</v>
      </c>
      <c r="C799" s="69">
        <v>45661.7</v>
      </c>
      <c r="D799"/>
    </row>
    <row r="800" spans="1:4">
      <c r="A800">
        <v>98611</v>
      </c>
      <c r="B800" t="s">
        <v>1503</v>
      </c>
      <c r="C800" s="69">
        <v>72804.799999999988</v>
      </c>
      <c r="D800"/>
    </row>
    <row r="801" spans="1:4">
      <c r="A801">
        <v>98621</v>
      </c>
      <c r="B801" t="s">
        <v>1504</v>
      </c>
      <c r="C801" s="69">
        <v>84927.16</v>
      </c>
      <c r="D801"/>
    </row>
    <row r="802" spans="1:4">
      <c r="A802">
        <v>98627</v>
      </c>
      <c r="B802" t="s">
        <v>1505</v>
      </c>
      <c r="C802" s="69">
        <v>4661.62</v>
      </c>
      <c r="D802"/>
    </row>
    <row r="803" spans="1:4">
      <c r="A803">
        <v>98631</v>
      </c>
      <c r="B803" t="s">
        <v>1506</v>
      </c>
      <c r="C803" s="69">
        <v>604567.32000000007</v>
      </c>
      <c r="D803"/>
    </row>
    <row r="804" spans="1:4">
      <c r="A804">
        <v>98637</v>
      </c>
      <c r="B804" t="s">
        <v>1507</v>
      </c>
      <c r="C804" s="69">
        <v>21560.880000000008</v>
      </c>
      <c r="D804"/>
    </row>
    <row r="805" spans="1:4">
      <c r="A805">
        <v>98641</v>
      </c>
      <c r="B805" t="s">
        <v>1508</v>
      </c>
      <c r="C805" s="69">
        <v>189047.20999999996</v>
      </c>
      <c r="D805"/>
    </row>
    <row r="806" spans="1:4">
      <c r="A806">
        <v>98701</v>
      </c>
      <c r="B806" t="s">
        <v>1509</v>
      </c>
      <c r="C806" s="69">
        <v>662629.93000000005</v>
      </c>
      <c r="D806"/>
    </row>
    <row r="807" spans="1:4">
      <c r="A807">
        <v>98711</v>
      </c>
      <c r="B807" t="s">
        <v>1510</v>
      </c>
      <c r="C807" s="69">
        <v>90865.189999999988</v>
      </c>
      <c r="D807"/>
    </row>
    <row r="808" spans="1:4">
      <c r="A808">
        <v>98717</v>
      </c>
      <c r="B808" t="s">
        <v>1511</v>
      </c>
      <c r="C808" s="69">
        <v>12176.759999999998</v>
      </c>
      <c r="D808"/>
    </row>
    <row r="809" spans="1:4">
      <c r="A809">
        <v>98801</v>
      </c>
      <c r="B809" t="s">
        <v>1512</v>
      </c>
      <c r="C809" s="69">
        <v>1583702.2800000003</v>
      </c>
      <c r="D809"/>
    </row>
    <row r="810" spans="1:4">
      <c r="A810">
        <v>98811</v>
      </c>
      <c r="B810" t="s">
        <v>1513</v>
      </c>
      <c r="C810" s="69">
        <v>459895.70999999996</v>
      </c>
      <c r="D810"/>
    </row>
    <row r="811" spans="1:4">
      <c r="A811">
        <v>98817</v>
      </c>
      <c r="B811" t="s">
        <v>1514</v>
      </c>
      <c r="C811" s="69">
        <v>12706.47</v>
      </c>
      <c r="D811"/>
    </row>
    <row r="812" spans="1:4">
      <c r="A812">
        <v>98901</v>
      </c>
      <c r="B812" t="s">
        <v>1515</v>
      </c>
      <c r="C812" s="69">
        <v>206299.63</v>
      </c>
      <c r="D812"/>
    </row>
    <row r="813" spans="1:4">
      <c r="A813">
        <v>98904</v>
      </c>
      <c r="B813" t="s">
        <v>1516</v>
      </c>
      <c r="C813" s="69">
        <v>2052.6799999999998</v>
      </c>
      <c r="D813"/>
    </row>
    <row r="814" spans="1:4">
      <c r="A814">
        <v>98911</v>
      </c>
      <c r="B814" t="s">
        <v>1517</v>
      </c>
      <c r="C814" s="69">
        <v>20047.64</v>
      </c>
      <c r="D814"/>
    </row>
    <row r="815" spans="1:4">
      <c r="A815">
        <v>99001</v>
      </c>
      <c r="B815" t="s">
        <v>1518</v>
      </c>
      <c r="C815" s="69">
        <v>5817530.629999999</v>
      </c>
      <c r="D815"/>
    </row>
    <row r="816" spans="1:4">
      <c r="A816">
        <v>99011</v>
      </c>
      <c r="B816" t="s">
        <v>1519</v>
      </c>
      <c r="C816" s="69">
        <v>2496618.0300000003</v>
      </c>
      <c r="D816"/>
    </row>
    <row r="817" spans="1:4">
      <c r="A817">
        <v>99013</v>
      </c>
      <c r="B817" t="s">
        <v>1520</v>
      </c>
      <c r="C817" s="69">
        <v>41575.909999999996</v>
      </c>
      <c r="D817"/>
    </row>
    <row r="818" spans="1:4">
      <c r="A818">
        <v>99014</v>
      </c>
      <c r="B818" t="s">
        <v>1521</v>
      </c>
      <c r="C818" s="69">
        <v>13208.62</v>
      </c>
      <c r="D818"/>
    </row>
    <row r="819" spans="1:4">
      <c r="A819">
        <v>99017</v>
      </c>
      <c r="B819" t="s">
        <v>1522</v>
      </c>
      <c r="C819" s="69">
        <v>26530.870000000003</v>
      </c>
      <c r="D819"/>
    </row>
    <row r="820" spans="1:4">
      <c r="A820">
        <v>99021</v>
      </c>
      <c r="B820" t="s">
        <v>1523</v>
      </c>
      <c r="C820" s="69">
        <v>84543.390000000014</v>
      </c>
      <c r="D820"/>
    </row>
    <row r="821" spans="1:4">
      <c r="A821">
        <v>99022</v>
      </c>
      <c r="B821" t="s">
        <v>211</v>
      </c>
      <c r="C821" s="69">
        <v>9316.2000000000025</v>
      </c>
      <c r="D821"/>
    </row>
    <row r="822" spans="1:4">
      <c r="A822">
        <v>99031</v>
      </c>
      <c r="B822" t="s">
        <v>1524</v>
      </c>
      <c r="C822" s="69">
        <v>68260.34</v>
      </c>
      <c r="D822"/>
    </row>
    <row r="823" spans="1:4">
      <c r="A823">
        <v>99041</v>
      </c>
      <c r="B823" t="s">
        <v>1525</v>
      </c>
      <c r="C823" s="69">
        <v>403286.20000000007</v>
      </c>
      <c r="D823"/>
    </row>
    <row r="824" spans="1:4">
      <c r="A824">
        <v>99047</v>
      </c>
      <c r="B824" t="s">
        <v>1526</v>
      </c>
      <c r="C824" s="69">
        <v>14452.820000000002</v>
      </c>
      <c r="D824"/>
    </row>
    <row r="825" spans="1:4">
      <c r="A825">
        <v>99051</v>
      </c>
      <c r="B825" t="s">
        <v>1527</v>
      </c>
      <c r="C825" s="69">
        <v>204309.23000000004</v>
      </c>
      <c r="D825"/>
    </row>
    <row r="826" spans="1:4">
      <c r="A826">
        <v>99061</v>
      </c>
      <c r="B826" t="s">
        <v>1528</v>
      </c>
      <c r="C826" s="69">
        <v>5736.7600000000011</v>
      </c>
      <c r="D826"/>
    </row>
    <row r="827" spans="1:4">
      <c r="A827">
        <v>99071</v>
      </c>
      <c r="B827" t="s">
        <v>1529</v>
      </c>
      <c r="C827" s="69">
        <v>14607.400000000001</v>
      </c>
      <c r="D827"/>
    </row>
    <row r="828" spans="1:4">
      <c r="A828">
        <v>99081</v>
      </c>
      <c r="B828" t="s">
        <v>1530</v>
      </c>
      <c r="C828" s="69">
        <v>20497.29</v>
      </c>
      <c r="D828"/>
    </row>
    <row r="829" spans="1:4">
      <c r="A829">
        <v>99091</v>
      </c>
      <c r="B829" t="s">
        <v>1531</v>
      </c>
      <c r="C829" s="69">
        <v>12937.9</v>
      </c>
      <c r="D829"/>
    </row>
    <row r="830" spans="1:4">
      <c r="A830">
        <v>99101</v>
      </c>
      <c r="B830" t="s">
        <v>1532</v>
      </c>
      <c r="C830" s="69">
        <v>1216986.4500000002</v>
      </c>
      <c r="D830"/>
    </row>
    <row r="831" spans="1:4">
      <c r="A831">
        <v>99104</v>
      </c>
      <c r="B831" t="s">
        <v>1533</v>
      </c>
      <c r="C831" s="69">
        <v>35633.020000000004</v>
      </c>
      <c r="D831"/>
    </row>
    <row r="832" spans="1:4">
      <c r="A832">
        <v>99109</v>
      </c>
      <c r="B832" t="s">
        <v>1534</v>
      </c>
      <c r="C832" s="69">
        <v>66762.909999999989</v>
      </c>
      <c r="D832"/>
    </row>
    <row r="833" spans="1:4">
      <c r="A833">
        <v>99110</v>
      </c>
      <c r="B833" t="s">
        <v>1535</v>
      </c>
      <c r="C833" s="69">
        <v>173589.96000000002</v>
      </c>
      <c r="D833"/>
    </row>
    <row r="834" spans="1:4">
      <c r="A834">
        <v>99111</v>
      </c>
      <c r="B834" t="s">
        <v>1536</v>
      </c>
      <c r="C834" s="69">
        <v>822410.19</v>
      </c>
      <c r="D834"/>
    </row>
    <row r="835" spans="1:4">
      <c r="A835">
        <v>99201</v>
      </c>
      <c r="B835" t="s">
        <v>3726</v>
      </c>
      <c r="C835" s="69">
        <v>22735348.970000003</v>
      </c>
      <c r="D835"/>
    </row>
    <row r="836" spans="1:4">
      <c r="A836">
        <v>99202</v>
      </c>
      <c r="B836" t="s">
        <v>1538</v>
      </c>
      <c r="C836" s="69">
        <v>1673808.1800000002</v>
      </c>
      <c r="D836"/>
    </row>
    <row r="837" spans="1:4">
      <c r="A837">
        <v>99203</v>
      </c>
      <c r="B837" t="s">
        <v>1539</v>
      </c>
      <c r="C837" s="69">
        <v>227847.71999999997</v>
      </c>
      <c r="D837"/>
    </row>
    <row r="838" spans="1:4">
      <c r="A838">
        <v>99204</v>
      </c>
      <c r="B838" t="s">
        <v>1540</v>
      </c>
      <c r="C838" s="69">
        <v>626371.46</v>
      </c>
      <c r="D838"/>
    </row>
    <row r="839" spans="1:4">
      <c r="A839">
        <v>99206</v>
      </c>
      <c r="B839" t="s">
        <v>1541</v>
      </c>
      <c r="C839" s="69">
        <v>1074546.0699999998</v>
      </c>
      <c r="D839"/>
    </row>
    <row r="840" spans="1:4">
      <c r="A840">
        <v>99207</v>
      </c>
      <c r="B840" t="s">
        <v>1542</v>
      </c>
      <c r="C840" s="69">
        <v>85532.26999999999</v>
      </c>
      <c r="D840"/>
    </row>
    <row r="841" spans="1:4">
      <c r="A841">
        <v>99208</v>
      </c>
      <c r="B841" t="s">
        <v>1543</v>
      </c>
      <c r="C841" s="69">
        <v>163492.52000000002</v>
      </c>
      <c r="D841"/>
    </row>
    <row r="842" spans="1:4">
      <c r="A842">
        <v>99210</v>
      </c>
      <c r="B842" t="s">
        <v>1544</v>
      </c>
      <c r="C842" s="69">
        <v>1246344.8800000001</v>
      </c>
      <c r="D842"/>
    </row>
    <row r="843" spans="1:4">
      <c r="A843">
        <v>99211</v>
      </c>
      <c r="B843" t="s">
        <v>1545</v>
      </c>
      <c r="C843" s="69">
        <v>23509859.619999997</v>
      </c>
      <c r="D843"/>
    </row>
    <row r="844" spans="1:4">
      <c r="A844">
        <v>99212</v>
      </c>
      <c r="B844" t="s">
        <v>1546</v>
      </c>
      <c r="C844" s="69">
        <v>39786.11</v>
      </c>
      <c r="D844"/>
    </row>
    <row r="845" spans="1:4">
      <c r="A845">
        <v>99213</v>
      </c>
      <c r="B845" t="s">
        <v>1547</v>
      </c>
      <c r="C845" s="69">
        <v>457248.59999999992</v>
      </c>
      <c r="D845"/>
    </row>
    <row r="846" spans="1:4">
      <c r="A846">
        <v>99218</v>
      </c>
      <c r="B846" t="s">
        <v>1548</v>
      </c>
      <c r="C846" s="69">
        <v>2484389.7700000005</v>
      </c>
      <c r="D846"/>
    </row>
    <row r="847" spans="1:4">
      <c r="A847">
        <v>99221</v>
      </c>
      <c r="B847" t="s">
        <v>1549</v>
      </c>
      <c r="C847" s="69">
        <v>7955776.1699999999</v>
      </c>
      <c r="D847"/>
    </row>
    <row r="848" spans="1:4">
      <c r="A848">
        <v>99222</v>
      </c>
      <c r="B848" t="s">
        <v>1550</v>
      </c>
      <c r="C848" s="69">
        <v>20820.670000000002</v>
      </c>
      <c r="D848"/>
    </row>
    <row r="849" spans="1:4">
      <c r="A849">
        <v>99231</v>
      </c>
      <c r="B849" t="s">
        <v>1551</v>
      </c>
      <c r="C849" s="69">
        <v>250431.53999999998</v>
      </c>
      <c r="D849"/>
    </row>
    <row r="850" spans="1:4">
      <c r="A850">
        <v>99241</v>
      </c>
      <c r="B850" t="s">
        <v>1552</v>
      </c>
      <c r="C850" s="69">
        <v>339377.78999999992</v>
      </c>
      <c r="D850"/>
    </row>
    <row r="851" spans="1:4">
      <c r="A851">
        <v>99251</v>
      </c>
      <c r="B851" t="s">
        <v>1553</v>
      </c>
      <c r="C851" s="69">
        <v>1028385.6</v>
      </c>
      <c r="D851"/>
    </row>
    <row r="852" spans="1:4">
      <c r="A852">
        <v>99252</v>
      </c>
      <c r="B852" t="s">
        <v>1554</v>
      </c>
      <c r="C852" s="69">
        <v>315773.00000000006</v>
      </c>
      <c r="D852"/>
    </row>
    <row r="853" spans="1:4">
      <c r="A853">
        <v>99261</v>
      </c>
      <c r="B853" t="s">
        <v>1555</v>
      </c>
      <c r="C853" s="69">
        <v>1271986.1300000001</v>
      </c>
      <c r="D853"/>
    </row>
    <row r="854" spans="1:4">
      <c r="A854">
        <v>99271</v>
      </c>
      <c r="B854" t="s">
        <v>1556</v>
      </c>
      <c r="C854" s="69">
        <v>2751337.8299999996</v>
      </c>
      <c r="D854"/>
    </row>
    <row r="855" spans="1:4">
      <c r="A855">
        <v>99281</v>
      </c>
      <c r="B855" t="s">
        <v>1557</v>
      </c>
      <c r="C855" s="69">
        <v>1438391.0099999998</v>
      </c>
      <c r="D855"/>
    </row>
    <row r="856" spans="1:4">
      <c r="A856">
        <v>99291</v>
      </c>
      <c r="B856" t="s">
        <v>1558</v>
      </c>
      <c r="C856" s="69">
        <v>471535.03</v>
      </c>
      <c r="D856"/>
    </row>
    <row r="857" spans="1:4">
      <c r="A857">
        <v>99301</v>
      </c>
      <c r="B857" t="s">
        <v>1559</v>
      </c>
      <c r="C857" s="69">
        <v>983916.54999999993</v>
      </c>
      <c r="D857"/>
    </row>
    <row r="858" spans="1:4">
      <c r="A858">
        <v>99304</v>
      </c>
      <c r="B858" t="s">
        <v>1560</v>
      </c>
      <c r="C858" s="69">
        <v>9945.7199999999993</v>
      </c>
      <c r="D858"/>
    </row>
    <row r="859" spans="1:4">
      <c r="A859">
        <v>99311</v>
      </c>
      <c r="B859" t="s">
        <v>1561</v>
      </c>
      <c r="C859" s="69">
        <v>32891.930000000008</v>
      </c>
      <c r="D859"/>
    </row>
    <row r="860" spans="1:4">
      <c r="A860">
        <v>99321</v>
      </c>
      <c r="B860" t="s">
        <v>1562</v>
      </c>
      <c r="C860" s="69">
        <v>68400.659999999989</v>
      </c>
      <c r="D860"/>
    </row>
    <row r="861" spans="1:4">
      <c r="A861">
        <v>99401</v>
      </c>
      <c r="B861" t="s">
        <v>1563</v>
      </c>
      <c r="C861" s="69">
        <v>505600.82999999996</v>
      </c>
      <c r="D861"/>
    </row>
    <row r="862" spans="1:4">
      <c r="A862">
        <v>99404</v>
      </c>
      <c r="B862" t="s">
        <v>1564</v>
      </c>
      <c r="C862" s="69">
        <v>7264.4799999999977</v>
      </c>
      <c r="D862"/>
    </row>
    <row r="863" spans="1:4">
      <c r="A863">
        <v>99405</v>
      </c>
      <c r="B863" t="s">
        <v>1565</v>
      </c>
      <c r="C863" s="69">
        <v>46882.22</v>
      </c>
      <c r="D863"/>
    </row>
    <row r="864" spans="1:4">
      <c r="A864">
        <v>99411</v>
      </c>
      <c r="B864" t="s">
        <v>1566</v>
      </c>
      <c r="C864" s="69">
        <v>119745.58</v>
      </c>
      <c r="D864"/>
    </row>
    <row r="865" spans="1:4">
      <c r="A865">
        <v>99413</v>
      </c>
      <c r="B865" t="s">
        <v>1567</v>
      </c>
      <c r="C865" s="69">
        <v>29160.469999999994</v>
      </c>
      <c r="D865"/>
    </row>
    <row r="866" spans="1:4">
      <c r="A866">
        <v>99421</v>
      </c>
      <c r="B866" t="s">
        <v>1568</v>
      </c>
      <c r="C866" s="69">
        <v>6678.9900000000007</v>
      </c>
      <c r="D866"/>
    </row>
    <row r="867" spans="1:4">
      <c r="A867">
        <v>99431</v>
      </c>
      <c r="B867" t="s">
        <v>1569</v>
      </c>
      <c r="C867" s="69">
        <v>10292.960000000001</v>
      </c>
      <c r="D867"/>
    </row>
    <row r="868" spans="1:4">
      <c r="A868">
        <v>99501</v>
      </c>
      <c r="B868" t="s">
        <v>1570</v>
      </c>
      <c r="C868" s="69">
        <v>1107872.78</v>
      </c>
      <c r="D868"/>
    </row>
    <row r="869" spans="1:4">
      <c r="A869">
        <v>99502</v>
      </c>
      <c r="B869" t="s">
        <v>1571</v>
      </c>
      <c r="C869" s="69">
        <v>91455.099999999991</v>
      </c>
      <c r="D869"/>
    </row>
    <row r="870" spans="1:4">
      <c r="A870">
        <v>99508</v>
      </c>
      <c r="B870" t="s">
        <v>1572</v>
      </c>
      <c r="C870" s="69">
        <v>12375.000000000004</v>
      </c>
      <c r="D870"/>
    </row>
    <row r="871" spans="1:4">
      <c r="A871">
        <v>99509</v>
      </c>
      <c r="B871" t="s">
        <v>1573</v>
      </c>
      <c r="C871" s="69">
        <v>15404.98</v>
      </c>
      <c r="D871"/>
    </row>
    <row r="872" spans="1:4">
      <c r="A872">
        <v>99511</v>
      </c>
      <c r="B872" t="s">
        <v>1574</v>
      </c>
      <c r="C872" s="69">
        <v>778673.3600000001</v>
      </c>
      <c r="D872"/>
    </row>
    <row r="873" spans="1:4">
      <c r="A873">
        <v>99521</v>
      </c>
      <c r="B873" t="s">
        <v>1575</v>
      </c>
      <c r="C873" s="69">
        <v>261007.28999999998</v>
      </c>
      <c r="D873"/>
    </row>
    <row r="874" spans="1:4">
      <c r="A874">
        <v>99527</v>
      </c>
      <c r="B874" t="s">
        <v>1576</v>
      </c>
      <c r="C874" s="69">
        <v>8790.1899999999987</v>
      </c>
      <c r="D874"/>
    </row>
    <row r="875" spans="1:4">
      <c r="A875">
        <v>99531</v>
      </c>
      <c r="B875" t="s">
        <v>1577</v>
      </c>
      <c r="C875" s="69">
        <v>58741.460000000006</v>
      </c>
      <c r="D875"/>
    </row>
    <row r="876" spans="1:4">
      <c r="A876">
        <v>99601</v>
      </c>
      <c r="B876" t="s">
        <v>1578</v>
      </c>
      <c r="C876" s="69">
        <v>3308221.9200000009</v>
      </c>
      <c r="D876"/>
    </row>
    <row r="877" spans="1:4">
      <c r="A877">
        <v>99602</v>
      </c>
      <c r="B877" t="s">
        <v>1579</v>
      </c>
      <c r="C877" s="69">
        <v>34247.919999999998</v>
      </c>
      <c r="D877"/>
    </row>
    <row r="878" spans="1:4">
      <c r="A878">
        <v>99603</v>
      </c>
      <c r="B878" t="s">
        <v>1580</v>
      </c>
      <c r="C878" s="69">
        <v>108465.34</v>
      </c>
      <c r="D878"/>
    </row>
    <row r="879" spans="1:4">
      <c r="A879">
        <v>99604</v>
      </c>
      <c r="B879" t="s">
        <v>1581</v>
      </c>
      <c r="C879" s="69">
        <v>73861.349999999991</v>
      </c>
      <c r="D879"/>
    </row>
    <row r="880" spans="1:4">
      <c r="A880">
        <v>99609</v>
      </c>
      <c r="B880" t="s">
        <v>1582</v>
      </c>
      <c r="C880" s="69">
        <v>16784.11</v>
      </c>
      <c r="D880"/>
    </row>
    <row r="881" spans="1:4">
      <c r="A881">
        <v>99610</v>
      </c>
      <c r="B881" t="s">
        <v>1583</v>
      </c>
      <c r="C881" s="69">
        <v>117083.56</v>
      </c>
      <c r="D881"/>
    </row>
    <row r="882" spans="1:4">
      <c r="A882">
        <v>99611</v>
      </c>
      <c r="B882" t="s">
        <v>1584</v>
      </c>
      <c r="C882" s="69">
        <v>1946913.8300000003</v>
      </c>
      <c r="D882"/>
    </row>
    <row r="883" spans="1:4">
      <c r="A883">
        <v>99613</v>
      </c>
      <c r="B883" t="s">
        <v>1585</v>
      </c>
      <c r="C883" s="69">
        <v>208157.98</v>
      </c>
      <c r="D883"/>
    </row>
    <row r="884" spans="1:4">
      <c r="A884">
        <v>99621</v>
      </c>
      <c r="B884" t="s">
        <v>1586</v>
      </c>
      <c r="C884" s="69">
        <v>224500.13000000003</v>
      </c>
      <c r="D884"/>
    </row>
    <row r="885" spans="1:4">
      <c r="A885">
        <v>99623</v>
      </c>
      <c r="B885" t="s">
        <v>1587</v>
      </c>
      <c r="C885" s="69">
        <v>11043.059999999998</v>
      </c>
      <c r="D885"/>
    </row>
    <row r="886" spans="1:4">
      <c r="A886">
        <v>99631</v>
      </c>
      <c r="B886" t="s">
        <v>1588</v>
      </c>
      <c r="C886" s="69">
        <v>52933.530000000006</v>
      </c>
      <c r="D886"/>
    </row>
    <row r="887" spans="1:4">
      <c r="A887">
        <v>99651</v>
      </c>
      <c r="B887" t="s">
        <v>1589</v>
      </c>
      <c r="C887" s="69">
        <v>36842.94</v>
      </c>
      <c r="D887"/>
    </row>
    <row r="888" spans="1:4">
      <c r="A888">
        <v>99661</v>
      </c>
      <c r="B888" t="s">
        <v>1590</v>
      </c>
      <c r="C888" s="69">
        <v>28850.380000000005</v>
      </c>
      <c r="D888"/>
    </row>
    <row r="889" spans="1:4">
      <c r="A889">
        <v>99701</v>
      </c>
      <c r="B889" t="s">
        <v>1591</v>
      </c>
      <c r="C889" s="69">
        <v>1872812.0599999998</v>
      </c>
      <c r="D889"/>
    </row>
    <row r="890" spans="1:4">
      <c r="A890">
        <v>99705</v>
      </c>
      <c r="B890" t="s">
        <v>1592</v>
      </c>
      <c r="C890" s="69">
        <v>128698.91999999998</v>
      </c>
      <c r="D890"/>
    </row>
    <row r="891" spans="1:4">
      <c r="A891">
        <v>99711</v>
      </c>
      <c r="B891" t="s">
        <v>1593</v>
      </c>
      <c r="C891" s="69">
        <v>276702.59000000003</v>
      </c>
      <c r="D891"/>
    </row>
    <row r="892" spans="1:4">
      <c r="A892">
        <v>99717</v>
      </c>
      <c r="B892" t="s">
        <v>1594</v>
      </c>
      <c r="C892" s="69">
        <v>11064.39</v>
      </c>
      <c r="D892"/>
    </row>
    <row r="893" spans="1:4">
      <c r="A893">
        <v>99721</v>
      </c>
      <c r="B893" t="s">
        <v>1595</v>
      </c>
      <c r="C893" s="69">
        <v>359503.97</v>
      </c>
      <c r="D893"/>
    </row>
    <row r="894" spans="1:4">
      <c r="A894">
        <v>99727</v>
      </c>
      <c r="B894" t="s">
        <v>1596</v>
      </c>
      <c r="C894" s="69">
        <v>17477.559999999998</v>
      </c>
      <c r="D894"/>
    </row>
    <row r="895" spans="1:4">
      <c r="A895">
        <v>99801</v>
      </c>
      <c r="B895" t="s">
        <v>1597</v>
      </c>
      <c r="C895" s="69">
        <v>2851736.9900000007</v>
      </c>
      <c r="D895"/>
    </row>
    <row r="896" spans="1:4">
      <c r="A896">
        <v>99802</v>
      </c>
      <c r="B896" t="s">
        <v>1598</v>
      </c>
      <c r="C896" s="69">
        <v>9348.1200000000008</v>
      </c>
      <c r="D896"/>
    </row>
    <row r="897" spans="1:13">
      <c r="A897">
        <v>99804</v>
      </c>
      <c r="B897" t="s">
        <v>1599</v>
      </c>
      <c r="C897" s="69">
        <v>62552.729999999996</v>
      </c>
      <c r="D897"/>
    </row>
    <row r="898" spans="1:13">
      <c r="A898">
        <v>99811</v>
      </c>
      <c r="B898" t="s">
        <v>1600</v>
      </c>
      <c r="C898" s="69">
        <v>3849361.85</v>
      </c>
      <c r="D898"/>
    </row>
    <row r="899" spans="1:13">
      <c r="A899">
        <v>99812</v>
      </c>
      <c r="B899" t="s">
        <v>1601</v>
      </c>
      <c r="C899" s="69">
        <v>26972.039999999994</v>
      </c>
      <c r="D899"/>
    </row>
    <row r="900" spans="1:13">
      <c r="A900">
        <v>99818</v>
      </c>
      <c r="B900" t="s">
        <v>1602</v>
      </c>
      <c r="C900" s="69">
        <v>20610.41</v>
      </c>
      <c r="D900"/>
    </row>
    <row r="901" spans="1:13">
      <c r="A901">
        <v>99821</v>
      </c>
      <c r="B901" t="s">
        <v>1603</v>
      </c>
      <c r="C901" s="69">
        <v>64459.609999999993</v>
      </c>
      <c r="D901"/>
    </row>
    <row r="902" spans="1:13">
      <c r="A902">
        <v>99831</v>
      </c>
      <c r="B902" t="s">
        <v>1604</v>
      </c>
      <c r="C902" s="69">
        <v>37746.449999999997</v>
      </c>
      <c r="D902"/>
    </row>
    <row r="903" spans="1:13">
      <c r="A903">
        <v>99841</v>
      </c>
      <c r="B903" t="s">
        <v>1605</v>
      </c>
      <c r="C903" s="69">
        <v>31425.800000000003</v>
      </c>
      <c r="D903"/>
    </row>
    <row r="904" spans="1:13">
      <c r="A904">
        <v>99851</v>
      </c>
      <c r="B904" t="s">
        <v>1606</v>
      </c>
      <c r="C904" s="69">
        <v>4050.1200000000008</v>
      </c>
      <c r="D904"/>
    </row>
    <row r="905" spans="1:13">
      <c r="A905">
        <v>99901</v>
      </c>
      <c r="B905" t="s">
        <v>1607</v>
      </c>
      <c r="C905" s="69">
        <v>953860.93</v>
      </c>
      <c r="D905"/>
    </row>
    <row r="906" spans="1:13">
      <c r="A906">
        <v>99911</v>
      </c>
      <c r="B906" t="s">
        <v>1608</v>
      </c>
      <c r="C906" s="69">
        <v>171194.43</v>
      </c>
      <c r="D906"/>
    </row>
    <row r="907" spans="1:13">
      <c r="A907">
        <v>99921</v>
      </c>
      <c r="B907" t="s">
        <v>1609</v>
      </c>
      <c r="C907" s="69">
        <v>91104.93</v>
      </c>
      <c r="D907"/>
    </row>
    <row r="908" spans="1:13">
      <c r="A908">
        <v>99931</v>
      </c>
      <c r="B908" t="s">
        <v>1610</v>
      </c>
      <c r="C908" s="69">
        <v>15266.980000000003</v>
      </c>
      <c r="D908"/>
    </row>
    <row r="909" spans="1:13">
      <c r="A909">
        <v>99941</v>
      </c>
      <c r="B909" t="s">
        <v>1611</v>
      </c>
      <c r="C909" s="69">
        <v>34964.390000000007</v>
      </c>
      <c r="D909"/>
    </row>
    <row r="910" spans="1:13">
      <c r="A910">
        <v>99991</v>
      </c>
      <c r="B910" t="s">
        <v>1612</v>
      </c>
      <c r="C910" s="69">
        <v>303961.75</v>
      </c>
      <c r="D910"/>
    </row>
    <row r="911" spans="1:13">
      <c r="A911">
        <v>99999</v>
      </c>
      <c r="B911" t="s">
        <v>1613</v>
      </c>
      <c r="C911" s="69">
        <v>715923.24</v>
      </c>
      <c r="D911"/>
    </row>
    <row r="912" spans="1:13">
      <c r="F912" s="69"/>
      <c r="M912" s="3"/>
    </row>
    <row r="937" spans="1:15" s="224" customFormat="1">
      <c r="A937" s="224" t="s">
        <v>3502</v>
      </c>
      <c r="C937" s="100"/>
      <c r="E937"/>
      <c r="F937"/>
      <c r="G937"/>
      <c r="H937"/>
      <c r="I937"/>
      <c r="J937"/>
      <c r="K937"/>
      <c r="L937"/>
      <c r="M937"/>
      <c r="N937"/>
      <c r="O937"/>
    </row>
    <row r="938" spans="1:15" s="224" customFormat="1">
      <c r="A938" s="224">
        <v>91119</v>
      </c>
      <c r="B938" s="224" t="s">
        <v>48</v>
      </c>
      <c r="C938" s="100">
        <v>0</v>
      </c>
      <c r="E938"/>
      <c r="F938"/>
      <c r="G938"/>
      <c r="H938"/>
      <c r="I938"/>
      <c r="J938"/>
      <c r="K938"/>
      <c r="L938"/>
      <c r="M938"/>
      <c r="N938"/>
      <c r="O938"/>
    </row>
    <row r="939" spans="1:15" s="224" customFormat="1">
      <c r="A939" s="224">
        <v>92414</v>
      </c>
      <c r="B939" s="224" t="s">
        <v>2054</v>
      </c>
      <c r="C939" s="100">
        <v>0</v>
      </c>
      <c r="E939"/>
      <c r="F939"/>
      <c r="G939"/>
      <c r="H939"/>
      <c r="I939"/>
      <c r="J939"/>
      <c r="K939"/>
      <c r="L939"/>
      <c r="M939"/>
      <c r="N939"/>
      <c r="O939"/>
    </row>
    <row r="940" spans="1:15" s="224" customFormat="1">
      <c r="A940" s="224">
        <v>92608</v>
      </c>
      <c r="B940" s="224" t="s">
        <v>968</v>
      </c>
      <c r="C940" s="100">
        <v>0</v>
      </c>
      <c r="E940"/>
      <c r="F940"/>
      <c r="G940"/>
      <c r="H940"/>
      <c r="I940"/>
      <c r="J940"/>
      <c r="K940"/>
      <c r="L940"/>
      <c r="M940"/>
      <c r="N940"/>
      <c r="O940"/>
    </row>
    <row r="941" spans="1:15" s="224" customFormat="1">
      <c r="A941" s="224">
        <v>93408</v>
      </c>
      <c r="B941" s="224" t="s">
        <v>1039</v>
      </c>
      <c r="C941" s="100">
        <v>0</v>
      </c>
      <c r="E941"/>
      <c r="F941"/>
      <c r="G941"/>
      <c r="H941"/>
      <c r="I941"/>
      <c r="J941"/>
      <c r="K941"/>
      <c r="L941"/>
      <c r="M941"/>
      <c r="N941"/>
      <c r="O941"/>
    </row>
    <row r="942" spans="1:15" s="224" customFormat="1">
      <c r="A942" s="224">
        <v>94402</v>
      </c>
      <c r="B942" s="224" t="s">
        <v>1135</v>
      </c>
      <c r="C942" s="100">
        <v>0</v>
      </c>
      <c r="E942"/>
      <c r="F942"/>
      <c r="G942"/>
      <c r="H942"/>
      <c r="I942"/>
      <c r="J942"/>
      <c r="K942"/>
      <c r="L942"/>
      <c r="M942"/>
      <c r="N942"/>
      <c r="O942"/>
    </row>
    <row r="943" spans="1:15" s="224" customFormat="1">
      <c r="A943" s="224">
        <v>95412</v>
      </c>
      <c r="B943" s="224" t="s">
        <v>1216</v>
      </c>
      <c r="C943" s="100">
        <v>0</v>
      </c>
      <c r="E943"/>
      <c r="F943"/>
      <c r="G943"/>
      <c r="H943"/>
      <c r="I943"/>
      <c r="J943"/>
      <c r="K943"/>
      <c r="L943"/>
      <c r="M943"/>
      <c r="N943"/>
      <c r="O943"/>
    </row>
    <row r="944" spans="1:15" s="224" customFormat="1">
      <c r="A944" s="224">
        <v>93202</v>
      </c>
      <c r="B944" s="224" t="s">
        <v>1018</v>
      </c>
      <c r="C944" s="100">
        <v>0</v>
      </c>
      <c r="E944"/>
      <c r="F944"/>
      <c r="G944"/>
      <c r="H944"/>
      <c r="I944"/>
      <c r="J944"/>
      <c r="K944"/>
      <c r="L944"/>
      <c r="M944"/>
      <c r="N944"/>
      <c r="O944"/>
    </row>
    <row r="945" spans="1:15" s="224" customFormat="1">
      <c r="A945" s="224">
        <v>93677</v>
      </c>
      <c r="B945" s="224" t="s">
        <v>98</v>
      </c>
      <c r="C945" s="100">
        <v>0</v>
      </c>
      <c r="E945"/>
      <c r="F945"/>
      <c r="G945"/>
      <c r="H945"/>
      <c r="I945"/>
      <c r="J945"/>
      <c r="K945"/>
      <c r="L945"/>
      <c r="M945"/>
      <c r="N945"/>
      <c r="O945"/>
    </row>
    <row r="946" spans="1:15" s="224" customFormat="1">
      <c r="A946" s="224">
        <v>94512</v>
      </c>
      <c r="B946" s="224" t="s">
        <v>1147</v>
      </c>
      <c r="C946" s="100">
        <v>0</v>
      </c>
      <c r="E946"/>
      <c r="F946"/>
      <c r="G946"/>
      <c r="H946"/>
      <c r="I946"/>
      <c r="J946"/>
      <c r="K946"/>
      <c r="L946"/>
      <c r="M946"/>
      <c r="N946"/>
      <c r="O946"/>
    </row>
    <row r="947" spans="1:15" s="224" customFormat="1">
      <c r="A947" s="224">
        <v>97010</v>
      </c>
      <c r="B947" s="224" t="s">
        <v>1347</v>
      </c>
      <c r="C947" s="100">
        <v>0</v>
      </c>
      <c r="E947"/>
      <c r="F947"/>
      <c r="G947"/>
      <c r="H947"/>
      <c r="I947"/>
      <c r="J947"/>
      <c r="K947"/>
      <c r="L947"/>
      <c r="M947"/>
      <c r="N947"/>
      <c r="O947"/>
    </row>
    <row r="948" spans="1:15" s="224" customFormat="1">
      <c r="A948" s="224">
        <v>97491</v>
      </c>
      <c r="B948" s="224" t="s">
        <v>3500</v>
      </c>
      <c r="C948" s="100"/>
      <c r="E948"/>
      <c r="F948"/>
      <c r="G948"/>
      <c r="H948"/>
      <c r="I948"/>
      <c r="J948"/>
      <c r="K948"/>
      <c r="L948"/>
      <c r="M948"/>
      <c r="N948"/>
      <c r="O948"/>
    </row>
    <row r="2375" spans="1:15" s="224" customFormat="1">
      <c r="A2375" s="101"/>
      <c r="C2375" s="100"/>
      <c r="E2375"/>
      <c r="F2375"/>
      <c r="G2375"/>
      <c r="H2375"/>
      <c r="I2375"/>
      <c r="J2375"/>
      <c r="K2375"/>
      <c r="L2375"/>
      <c r="M2375"/>
      <c r="N2375"/>
      <c r="O2375"/>
    </row>
  </sheetData>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366"/>
  <sheetViews>
    <sheetView zoomScaleNormal="100" workbookViewId="0">
      <selection activeCell="D288" sqref="D288"/>
    </sheetView>
  </sheetViews>
  <sheetFormatPr defaultRowHeight="15"/>
  <cols>
    <col min="1" max="1" width="12.140625" style="224" bestFit="1" customWidth="1"/>
    <col min="2" max="2" width="55.5703125" style="224" bestFit="1" customWidth="1"/>
    <col min="3" max="3" width="27" style="100" bestFit="1" customWidth="1"/>
    <col min="4" max="4" width="9.140625" style="224"/>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239">
        <f>SUM(C3:C927)</f>
        <v>528347297.84999931</v>
      </c>
      <c r="E1" s="69"/>
      <c r="F1" s="239"/>
      <c r="G1" s="69"/>
      <c r="M1" s="69"/>
      <c r="N1" s="3"/>
      <c r="O1" s="69"/>
    </row>
    <row r="2" spans="1:15" ht="15.75" thickTop="1">
      <c r="A2" s="97" t="s">
        <v>1633</v>
      </c>
      <c r="B2" s="97" t="s">
        <v>1634</v>
      </c>
      <c r="C2" s="98" t="s">
        <v>3585</v>
      </c>
      <c r="D2" s="224" t="s">
        <v>1635</v>
      </c>
      <c r="K2" s="312"/>
      <c r="L2" s="312"/>
      <c r="M2" s="313"/>
    </row>
    <row r="3" spans="1:15">
      <c r="A3" s="104" t="s">
        <v>691</v>
      </c>
      <c r="B3" s="103" t="s">
        <v>690</v>
      </c>
      <c r="C3" s="102"/>
      <c r="K3" s="293"/>
      <c r="L3" s="293"/>
      <c r="M3" s="325"/>
    </row>
    <row r="4" spans="1:15">
      <c r="A4" s="224">
        <v>70505</v>
      </c>
      <c r="B4" s="224" t="s">
        <v>723</v>
      </c>
      <c r="C4" s="100">
        <v>183801.88</v>
      </c>
      <c r="F4" s="69"/>
      <c r="M4" s="3"/>
    </row>
    <row r="5" spans="1:15">
      <c r="A5" s="224">
        <v>72265</v>
      </c>
      <c r="B5" s="224" t="s">
        <v>724</v>
      </c>
      <c r="C5" s="100">
        <v>79299.899999999994</v>
      </c>
      <c r="F5" s="69"/>
      <c r="M5" s="3"/>
    </row>
    <row r="6" spans="1:15">
      <c r="A6" s="224">
        <v>72593</v>
      </c>
      <c r="B6" s="224" t="s">
        <v>725</v>
      </c>
      <c r="C6" s="100">
        <v>2615.2800000000002</v>
      </c>
      <c r="F6" s="69"/>
      <c r="M6" s="3"/>
    </row>
    <row r="7" spans="1:15">
      <c r="A7" s="224">
        <v>72657</v>
      </c>
      <c r="B7" s="224" t="s">
        <v>726</v>
      </c>
      <c r="C7" s="100">
        <v>17540.32</v>
      </c>
      <c r="F7" s="69"/>
      <c r="M7" s="3"/>
    </row>
    <row r="8" spans="1:15">
      <c r="A8" s="224">
        <v>90001</v>
      </c>
      <c r="B8" s="224" t="s">
        <v>727</v>
      </c>
      <c r="C8" s="100">
        <v>465715.38</v>
      </c>
      <c r="F8" s="69"/>
      <c r="M8" s="3"/>
    </row>
    <row r="9" spans="1:15">
      <c r="A9" s="224">
        <v>90002</v>
      </c>
      <c r="B9" s="224" t="s">
        <v>728</v>
      </c>
      <c r="C9" s="100">
        <v>6756.64</v>
      </c>
      <c r="F9" s="69"/>
      <c r="M9" s="3"/>
    </row>
    <row r="10" spans="1:15">
      <c r="A10" s="224">
        <v>90011</v>
      </c>
      <c r="B10" s="224" t="s">
        <v>729</v>
      </c>
      <c r="C10" s="100">
        <v>96277.11</v>
      </c>
      <c r="F10" s="69"/>
      <c r="M10" s="3"/>
    </row>
    <row r="11" spans="1:15">
      <c r="A11" s="224">
        <v>90092</v>
      </c>
      <c r="B11" s="224" t="s">
        <v>730</v>
      </c>
      <c r="C11" s="100">
        <v>217473.12</v>
      </c>
      <c r="F11" s="69"/>
      <c r="M11" s="3"/>
    </row>
    <row r="12" spans="1:15">
      <c r="A12" s="224">
        <v>90096</v>
      </c>
      <c r="B12" s="224" t="s">
        <v>731</v>
      </c>
      <c r="C12" s="100">
        <v>615648.71</v>
      </c>
      <c r="F12" s="69"/>
      <c r="M12" s="3"/>
    </row>
    <row r="13" spans="1:15">
      <c r="A13" s="224">
        <v>90098</v>
      </c>
      <c r="B13" s="224" t="s">
        <v>732</v>
      </c>
      <c r="C13" s="100">
        <v>143864.85999999999</v>
      </c>
      <c r="F13" s="69"/>
      <c r="M13" s="3"/>
    </row>
    <row r="14" spans="1:15">
      <c r="A14" s="224">
        <v>90099</v>
      </c>
      <c r="B14" s="224" t="s">
        <v>733</v>
      </c>
      <c r="C14" s="100">
        <v>310082.45</v>
      </c>
      <c r="F14" s="69"/>
      <c r="M14" s="3"/>
    </row>
    <row r="15" spans="1:15">
      <c r="A15" s="224">
        <v>90101</v>
      </c>
      <c r="B15" s="224" t="s">
        <v>734</v>
      </c>
      <c r="C15" s="100">
        <v>3260323.37</v>
      </c>
      <c r="F15" s="69"/>
      <c r="M15" s="3"/>
    </row>
    <row r="16" spans="1:15">
      <c r="A16" s="224">
        <v>90111</v>
      </c>
      <c r="B16" s="224" t="s">
        <v>735</v>
      </c>
      <c r="C16" s="100">
        <v>2548497.62</v>
      </c>
      <c r="F16" s="69"/>
      <c r="M16" s="3"/>
    </row>
    <row r="17" spans="1:13">
      <c r="A17" s="224">
        <v>90114</v>
      </c>
      <c r="B17" s="224" t="s">
        <v>736</v>
      </c>
      <c r="C17" s="100">
        <v>1328863.8500000001</v>
      </c>
      <c r="F17" s="69"/>
      <c r="M17" s="3"/>
    </row>
    <row r="18" spans="1:13">
      <c r="A18" s="224">
        <v>90117</v>
      </c>
      <c r="B18" s="224" t="s">
        <v>737</v>
      </c>
      <c r="C18" s="100">
        <v>93023.26</v>
      </c>
      <c r="F18" s="69"/>
      <c r="M18" s="3"/>
    </row>
    <row r="19" spans="1:13">
      <c r="A19" s="224">
        <v>90121</v>
      </c>
      <c r="B19" s="224" t="s">
        <v>738</v>
      </c>
      <c r="C19" s="100">
        <v>532416.04</v>
      </c>
      <c r="F19" s="69"/>
      <c r="M19" s="3"/>
    </row>
    <row r="20" spans="1:13">
      <c r="A20" s="224">
        <v>90131</v>
      </c>
      <c r="B20" s="224" t="s">
        <v>739</v>
      </c>
      <c r="C20" s="100">
        <v>249917.79</v>
      </c>
      <c r="F20" s="69"/>
      <c r="M20" s="3"/>
    </row>
    <row r="21" spans="1:13">
      <c r="A21" s="224">
        <v>90141</v>
      </c>
      <c r="B21" s="224" t="s">
        <v>740</v>
      </c>
      <c r="C21" s="100">
        <v>79960.899999999994</v>
      </c>
      <c r="F21" s="69"/>
      <c r="M21" s="3"/>
    </row>
    <row r="22" spans="1:13">
      <c r="A22" s="224">
        <v>90151</v>
      </c>
      <c r="B22" s="224" t="s">
        <v>741</v>
      </c>
      <c r="C22" s="100">
        <v>3499.32</v>
      </c>
      <c r="F22" s="69"/>
      <c r="M22" s="3"/>
    </row>
    <row r="23" spans="1:13">
      <c r="A23" s="224">
        <v>90161</v>
      </c>
      <c r="B23" s="224" t="s">
        <v>742</v>
      </c>
      <c r="C23" s="100">
        <v>19107.830000000002</v>
      </c>
      <c r="F23" s="69"/>
      <c r="M23" s="3"/>
    </row>
    <row r="24" spans="1:13">
      <c r="A24" s="224">
        <v>90201</v>
      </c>
      <c r="B24" s="224" t="s">
        <v>743</v>
      </c>
      <c r="C24" s="100">
        <v>650654.12</v>
      </c>
      <c r="F24" s="69"/>
      <c r="M24" s="3"/>
    </row>
    <row r="25" spans="1:13">
      <c r="A25" s="224">
        <v>90203</v>
      </c>
      <c r="B25" s="224" t="s">
        <v>744</v>
      </c>
      <c r="C25" s="100">
        <v>108275.74</v>
      </c>
      <c r="F25" s="69"/>
      <c r="M25" s="3"/>
    </row>
    <row r="26" spans="1:13">
      <c r="A26" s="224">
        <v>90205</v>
      </c>
      <c r="B26" s="224" t="s">
        <v>745</v>
      </c>
      <c r="C26" s="100">
        <v>17587.310000000001</v>
      </c>
      <c r="F26" s="69"/>
      <c r="M26" s="3"/>
    </row>
    <row r="27" spans="1:13">
      <c r="A27" s="224">
        <v>90206</v>
      </c>
      <c r="B27" s="224" t="s">
        <v>746</v>
      </c>
      <c r="C27" s="100">
        <v>198714.17</v>
      </c>
      <c r="F27" s="69"/>
      <c r="M27" s="3"/>
    </row>
    <row r="28" spans="1:13">
      <c r="A28" s="224">
        <v>90211</v>
      </c>
      <c r="B28" s="224" t="s">
        <v>747</v>
      </c>
      <c r="C28" s="100">
        <v>84374.14</v>
      </c>
      <c r="F28" s="69"/>
      <c r="M28" s="3"/>
    </row>
    <row r="29" spans="1:13">
      <c r="A29" s="224">
        <v>90301</v>
      </c>
      <c r="B29" s="224" t="s">
        <v>748</v>
      </c>
      <c r="C29" s="100">
        <v>357961.79</v>
      </c>
      <c r="F29" s="69"/>
      <c r="M29" s="3"/>
    </row>
    <row r="30" spans="1:13">
      <c r="A30" s="224">
        <v>90305</v>
      </c>
      <c r="B30" s="224" t="s">
        <v>749</v>
      </c>
      <c r="C30" s="100">
        <v>94586.76</v>
      </c>
      <c r="F30" s="69"/>
      <c r="M30" s="3"/>
    </row>
    <row r="31" spans="1:13">
      <c r="A31" s="224">
        <v>90307</v>
      </c>
      <c r="B31" s="224" t="s">
        <v>750</v>
      </c>
      <c r="C31" s="100">
        <v>4525.25</v>
      </c>
      <c r="F31" s="69"/>
      <c r="M31" s="3"/>
    </row>
    <row r="32" spans="1:13">
      <c r="A32" s="224">
        <v>90401</v>
      </c>
      <c r="B32" s="224" t="s">
        <v>751</v>
      </c>
      <c r="C32" s="100">
        <v>745992.05</v>
      </c>
      <c r="F32" s="69"/>
      <c r="M32" s="3"/>
    </row>
    <row r="33" spans="1:13">
      <c r="A33" s="224">
        <v>90411</v>
      </c>
      <c r="B33" s="224" t="s">
        <v>752</v>
      </c>
      <c r="C33" s="100">
        <v>170773.52</v>
      </c>
      <c r="F33" s="69"/>
      <c r="M33" s="3"/>
    </row>
    <row r="34" spans="1:13">
      <c r="A34" s="224">
        <v>90413</v>
      </c>
      <c r="B34" s="224" t="s">
        <v>753</v>
      </c>
      <c r="C34" s="100">
        <v>20234.72</v>
      </c>
      <c r="F34" s="69"/>
      <c r="M34" s="3"/>
    </row>
    <row r="35" spans="1:13">
      <c r="A35" s="224">
        <v>90417</v>
      </c>
      <c r="B35" s="224" t="s">
        <v>754</v>
      </c>
      <c r="C35" s="100">
        <v>8960.24</v>
      </c>
      <c r="F35" s="69"/>
      <c r="M35" s="3"/>
    </row>
    <row r="36" spans="1:13">
      <c r="A36" s="224">
        <v>90421</v>
      </c>
      <c r="B36" s="224" t="s">
        <v>755</v>
      </c>
      <c r="C36" s="100">
        <v>9929.2199999999993</v>
      </c>
      <c r="F36" s="69"/>
      <c r="M36" s="3"/>
    </row>
    <row r="37" spans="1:13">
      <c r="A37" s="224">
        <v>90431</v>
      </c>
      <c r="B37" s="224" t="s">
        <v>756</v>
      </c>
      <c r="C37" s="100">
        <v>25477.17</v>
      </c>
      <c r="F37" s="69"/>
      <c r="M37" s="3"/>
    </row>
    <row r="38" spans="1:13">
      <c r="A38" s="224">
        <v>90441</v>
      </c>
      <c r="B38" s="224" t="s">
        <v>757</v>
      </c>
      <c r="C38" s="100">
        <v>5476.02</v>
      </c>
      <c r="F38" s="69"/>
      <c r="M38" s="3"/>
    </row>
    <row r="39" spans="1:13">
      <c r="A39" s="224">
        <v>90451</v>
      </c>
      <c r="B39" s="224" t="s">
        <v>758</v>
      </c>
      <c r="C39" s="100">
        <v>11750.47</v>
      </c>
      <c r="F39" s="69"/>
      <c r="M39" s="3"/>
    </row>
    <row r="40" spans="1:13">
      <c r="A40" s="224">
        <v>90461</v>
      </c>
      <c r="B40" s="224" t="s">
        <v>759</v>
      </c>
      <c r="C40" s="100">
        <v>1556.14</v>
      </c>
      <c r="F40" s="69"/>
      <c r="M40" s="3"/>
    </row>
    <row r="41" spans="1:13">
      <c r="A41" s="224">
        <v>90501</v>
      </c>
      <c r="B41" s="224" t="s">
        <v>760</v>
      </c>
      <c r="C41" s="100">
        <v>786568.7</v>
      </c>
      <c r="F41" s="69"/>
      <c r="M41" s="3"/>
    </row>
    <row r="42" spans="1:13">
      <c r="A42" s="224">
        <v>90507</v>
      </c>
      <c r="B42" s="224" t="s">
        <v>34</v>
      </c>
      <c r="C42" s="100">
        <v>9157.0400000000009</v>
      </c>
      <c r="F42" s="69"/>
      <c r="M42" s="3"/>
    </row>
    <row r="43" spans="1:13">
      <c r="A43" s="224">
        <v>90511</v>
      </c>
      <c r="B43" s="224" t="s">
        <v>761</v>
      </c>
      <c r="C43" s="100">
        <v>60485.5</v>
      </c>
      <c r="F43" s="69"/>
      <c r="M43" s="3"/>
    </row>
    <row r="44" spans="1:13">
      <c r="A44" s="224">
        <v>90521</v>
      </c>
      <c r="B44" s="224" t="s">
        <v>762</v>
      </c>
      <c r="C44" s="100">
        <v>60331.17</v>
      </c>
      <c r="F44" s="69"/>
      <c r="M44" s="3"/>
    </row>
    <row r="45" spans="1:13">
      <c r="A45" s="224">
        <v>90601</v>
      </c>
      <c r="B45" s="224" t="s">
        <v>763</v>
      </c>
      <c r="C45" s="100">
        <v>625366.18999999994</v>
      </c>
      <c r="F45" s="69"/>
      <c r="M45" s="3"/>
    </row>
    <row r="46" spans="1:13">
      <c r="A46" s="224">
        <v>90602</v>
      </c>
      <c r="B46" s="224" t="s">
        <v>259</v>
      </c>
      <c r="C46" s="100">
        <v>55243.47</v>
      </c>
      <c r="F46" s="69"/>
      <c r="M46" s="3"/>
    </row>
    <row r="47" spans="1:13">
      <c r="A47" s="224">
        <v>90605</v>
      </c>
      <c r="B47" s="224" t="s">
        <v>764</v>
      </c>
      <c r="C47" s="100">
        <v>28705.34</v>
      </c>
      <c r="F47" s="69"/>
      <c r="M47" s="3"/>
    </row>
    <row r="48" spans="1:13">
      <c r="A48" s="224">
        <v>90611</v>
      </c>
      <c r="B48" s="224" t="s">
        <v>765</v>
      </c>
      <c r="C48" s="100">
        <v>73545.320000000007</v>
      </c>
      <c r="F48" s="69"/>
      <c r="M48" s="3"/>
    </row>
    <row r="49" spans="1:13">
      <c r="A49" s="224">
        <v>90617</v>
      </c>
      <c r="B49" s="224" t="s">
        <v>766</v>
      </c>
      <c r="C49" s="100">
        <v>16833.349999999999</v>
      </c>
      <c r="F49" s="69"/>
      <c r="M49" s="3"/>
    </row>
    <row r="50" spans="1:13">
      <c r="A50" s="224">
        <v>90621</v>
      </c>
      <c r="B50" s="224" t="s">
        <v>767</v>
      </c>
      <c r="C50" s="100">
        <v>35331.75</v>
      </c>
      <c r="F50" s="69"/>
      <c r="M50" s="3"/>
    </row>
    <row r="51" spans="1:13">
      <c r="A51" s="224">
        <v>90631</v>
      </c>
      <c r="B51" s="224" t="s">
        <v>768</v>
      </c>
      <c r="C51" s="100">
        <v>199949.25</v>
      </c>
      <c r="F51" s="69"/>
      <c r="M51" s="3"/>
    </row>
    <row r="52" spans="1:13">
      <c r="A52" s="224">
        <v>90641</v>
      </c>
      <c r="B52" s="224" t="s">
        <v>769</v>
      </c>
      <c r="C52" s="100">
        <v>7645.54</v>
      </c>
      <c r="F52" s="69"/>
      <c r="M52" s="3"/>
    </row>
    <row r="53" spans="1:13">
      <c r="A53" s="224">
        <v>90651</v>
      </c>
      <c r="B53" s="224" t="s">
        <v>1930</v>
      </c>
      <c r="C53" s="100">
        <v>110911.29</v>
      </c>
      <c r="F53" s="69"/>
      <c r="M53" s="3"/>
    </row>
    <row r="54" spans="1:13">
      <c r="A54" s="224">
        <v>90701</v>
      </c>
      <c r="B54" s="224" t="s">
        <v>771</v>
      </c>
      <c r="C54" s="100">
        <v>1289223.42</v>
      </c>
      <c r="F54" s="69"/>
      <c r="M54" s="3"/>
    </row>
    <row r="55" spans="1:13">
      <c r="A55" s="224">
        <v>90704</v>
      </c>
      <c r="B55" s="224" t="s">
        <v>772</v>
      </c>
      <c r="C55" s="100">
        <v>31057.26</v>
      </c>
      <c r="F55" s="69"/>
      <c r="M55" s="3"/>
    </row>
    <row r="56" spans="1:13">
      <c r="A56" s="224">
        <v>90705</v>
      </c>
      <c r="B56" s="224" t="s">
        <v>773</v>
      </c>
      <c r="C56" s="100">
        <v>26090.1</v>
      </c>
      <c r="F56" s="69"/>
      <c r="M56" s="3"/>
    </row>
    <row r="57" spans="1:13">
      <c r="A57" s="224">
        <v>90709</v>
      </c>
      <c r="B57" s="224" t="s">
        <v>774</v>
      </c>
      <c r="C57" s="100">
        <v>81763.95</v>
      </c>
      <c r="F57" s="69"/>
      <c r="M57" s="3"/>
    </row>
    <row r="58" spans="1:13">
      <c r="A58" s="224">
        <v>90711</v>
      </c>
      <c r="B58" s="224" t="s">
        <v>775</v>
      </c>
      <c r="C58" s="100">
        <v>820543.64</v>
      </c>
      <c r="F58" s="69"/>
      <c r="M58" s="3"/>
    </row>
    <row r="59" spans="1:13">
      <c r="A59" s="224">
        <v>90721</v>
      </c>
      <c r="B59" s="224" t="s">
        <v>776</v>
      </c>
      <c r="C59" s="100">
        <v>13312.1</v>
      </c>
      <c r="F59" s="69"/>
      <c r="M59" s="3"/>
    </row>
    <row r="60" spans="1:13">
      <c r="A60" s="224">
        <v>90731</v>
      </c>
      <c r="B60" s="224" t="s">
        <v>777</v>
      </c>
      <c r="C60" s="100">
        <v>83710.77</v>
      </c>
      <c r="F60" s="69"/>
      <c r="M60" s="3"/>
    </row>
    <row r="61" spans="1:13">
      <c r="A61" s="224">
        <v>90741</v>
      </c>
      <c r="B61" s="224" t="s">
        <v>778</v>
      </c>
      <c r="C61" s="100">
        <v>7545.18</v>
      </c>
      <c r="F61" s="69"/>
      <c r="M61" s="3"/>
    </row>
    <row r="62" spans="1:13">
      <c r="A62" s="224">
        <v>90751</v>
      </c>
      <c r="B62" s="224" t="s">
        <v>779</v>
      </c>
      <c r="C62" s="100">
        <v>30362.59</v>
      </c>
      <c r="F62" s="69"/>
      <c r="M62" s="3"/>
    </row>
    <row r="63" spans="1:13">
      <c r="A63" s="224">
        <v>90801</v>
      </c>
      <c r="B63" s="224" t="s">
        <v>780</v>
      </c>
      <c r="C63" s="100">
        <v>602531.56000000006</v>
      </c>
      <c r="F63" s="69"/>
      <c r="M63" s="3"/>
    </row>
    <row r="64" spans="1:13">
      <c r="A64" s="224">
        <v>90804</v>
      </c>
      <c r="B64" s="224" t="s">
        <v>781</v>
      </c>
      <c r="C64" s="100">
        <v>2986.02</v>
      </c>
      <c r="F64" s="69"/>
      <c r="M64" s="3"/>
    </row>
    <row r="65" spans="1:13">
      <c r="A65" s="224">
        <v>90805</v>
      </c>
      <c r="B65" s="224" t="s">
        <v>782</v>
      </c>
      <c r="C65" s="100">
        <v>44785.26</v>
      </c>
      <c r="F65" s="69"/>
      <c r="M65" s="3"/>
    </row>
    <row r="66" spans="1:13">
      <c r="A66" s="224">
        <v>90808</v>
      </c>
      <c r="B66" s="224" t="s">
        <v>783</v>
      </c>
      <c r="C66" s="100">
        <v>80247.5</v>
      </c>
      <c r="F66" s="69"/>
      <c r="M66" s="3"/>
    </row>
    <row r="67" spans="1:13">
      <c r="A67" s="224">
        <v>90811</v>
      </c>
      <c r="B67" s="224" t="s">
        <v>784</v>
      </c>
      <c r="C67" s="100">
        <v>15156.78</v>
      </c>
      <c r="F67" s="69"/>
      <c r="M67" s="3"/>
    </row>
    <row r="68" spans="1:13">
      <c r="A68" s="224">
        <v>90812</v>
      </c>
      <c r="B68" s="224" t="s">
        <v>785</v>
      </c>
      <c r="C68" s="100">
        <v>114046.68</v>
      </c>
      <c r="F68" s="69"/>
      <c r="M68" s="3"/>
    </row>
    <row r="69" spans="1:13">
      <c r="A69" s="224">
        <v>90813</v>
      </c>
      <c r="B69" s="224" t="s">
        <v>786</v>
      </c>
      <c r="C69" s="100">
        <v>2274.73</v>
      </c>
      <c r="F69" s="69"/>
      <c r="M69" s="3"/>
    </row>
    <row r="70" spans="1:13">
      <c r="A70" s="224">
        <v>90861</v>
      </c>
      <c r="B70" s="224" t="s">
        <v>787</v>
      </c>
      <c r="C70" s="100">
        <v>7984.29</v>
      </c>
      <c r="F70" s="69"/>
      <c r="M70" s="3"/>
    </row>
    <row r="71" spans="1:13">
      <c r="A71" s="224">
        <v>90901</v>
      </c>
      <c r="B71" s="224" t="s">
        <v>788</v>
      </c>
      <c r="C71" s="100">
        <v>1170638.6100000001</v>
      </c>
      <c r="F71" s="69"/>
      <c r="M71" s="3"/>
    </row>
    <row r="72" spans="1:13">
      <c r="A72" s="224">
        <v>90911</v>
      </c>
      <c r="B72" s="224" t="s">
        <v>789</v>
      </c>
      <c r="C72" s="100">
        <v>183906.7</v>
      </c>
      <c r="F72" s="69"/>
      <c r="M72" s="3"/>
    </row>
    <row r="73" spans="1:13">
      <c r="A73" s="224">
        <v>90917</v>
      </c>
      <c r="B73" s="224" t="s">
        <v>790</v>
      </c>
      <c r="C73" s="100">
        <v>5624.28</v>
      </c>
      <c r="F73" s="69"/>
      <c r="M73" s="3"/>
    </row>
    <row r="74" spans="1:13">
      <c r="A74" s="224">
        <v>90918</v>
      </c>
      <c r="B74" s="224" t="s">
        <v>791</v>
      </c>
      <c r="C74" s="100">
        <v>5360.4</v>
      </c>
      <c r="F74" s="69"/>
      <c r="M74" s="3"/>
    </row>
    <row r="75" spans="1:13">
      <c r="A75" s="224">
        <v>90921</v>
      </c>
      <c r="B75" s="224" t="s">
        <v>792</v>
      </c>
      <c r="C75" s="100">
        <v>69213.990000000005</v>
      </c>
      <c r="F75" s="69"/>
      <c r="M75" s="3"/>
    </row>
    <row r="76" spans="1:13">
      <c r="A76" s="224">
        <v>90931</v>
      </c>
      <c r="B76" s="224" t="s">
        <v>793</v>
      </c>
      <c r="C76" s="100">
        <v>17293.41</v>
      </c>
      <c r="F76" s="69"/>
      <c r="M76" s="3"/>
    </row>
    <row r="77" spans="1:13">
      <c r="A77" s="224">
        <v>90941</v>
      </c>
      <c r="B77" s="224" t="s">
        <v>794</v>
      </c>
      <c r="C77" s="100">
        <v>41268.82</v>
      </c>
      <c r="F77" s="69"/>
      <c r="M77" s="3"/>
    </row>
    <row r="78" spans="1:13">
      <c r="A78" s="224">
        <v>91001</v>
      </c>
      <c r="B78" s="224" t="s">
        <v>795</v>
      </c>
      <c r="C78" s="100">
        <v>3599383.6</v>
      </c>
      <c r="F78" s="69"/>
      <c r="M78" s="3"/>
    </row>
    <row r="79" spans="1:13">
      <c r="A79" s="224">
        <v>91002</v>
      </c>
      <c r="B79" s="224" t="s">
        <v>796</v>
      </c>
      <c r="C79" s="100">
        <v>540811.48</v>
      </c>
      <c r="F79" s="69"/>
      <c r="M79" s="3"/>
    </row>
    <row r="80" spans="1:13">
      <c r="A80" s="224">
        <v>91003</v>
      </c>
      <c r="B80" s="224" t="s">
        <v>797</v>
      </c>
      <c r="C80" s="100">
        <v>311787.37</v>
      </c>
      <c r="F80" s="69"/>
      <c r="M80" s="3"/>
    </row>
    <row r="81" spans="1:13">
      <c r="A81" s="224">
        <v>91004</v>
      </c>
      <c r="B81" s="224" t="s">
        <v>798</v>
      </c>
      <c r="C81" s="100">
        <v>16893.27</v>
      </c>
      <c r="F81" s="69"/>
      <c r="M81" s="3"/>
    </row>
    <row r="82" spans="1:13">
      <c r="A82" s="224">
        <v>91006</v>
      </c>
      <c r="B82" s="224" t="s">
        <v>799</v>
      </c>
      <c r="C82" s="100">
        <v>516576.22</v>
      </c>
      <c r="F82" s="69"/>
      <c r="M82" s="3"/>
    </row>
    <row r="83" spans="1:13">
      <c r="A83" s="224">
        <v>91007</v>
      </c>
      <c r="B83" s="224" t="s">
        <v>800</v>
      </c>
      <c r="C83" s="100">
        <v>5931.51</v>
      </c>
      <c r="F83" s="69"/>
      <c r="M83" s="3"/>
    </row>
    <row r="84" spans="1:13">
      <c r="A84" s="224">
        <v>91008</v>
      </c>
      <c r="B84" s="224" t="s">
        <v>801</v>
      </c>
      <c r="C84" s="100">
        <v>83066.720000000001</v>
      </c>
      <c r="F84" s="69"/>
      <c r="M84" s="3"/>
    </row>
    <row r="85" spans="1:13">
      <c r="A85" s="224">
        <v>91009</v>
      </c>
      <c r="B85" s="224" t="s">
        <v>802</v>
      </c>
      <c r="C85" s="100">
        <v>11664.57</v>
      </c>
      <c r="F85" s="69"/>
      <c r="M85" s="3"/>
    </row>
    <row r="86" spans="1:13">
      <c r="A86" s="224">
        <v>91010</v>
      </c>
      <c r="B86" s="224" t="s">
        <v>803</v>
      </c>
      <c r="C86" s="100">
        <v>31940.04</v>
      </c>
      <c r="F86" s="69"/>
      <c r="M86" s="3"/>
    </row>
    <row r="87" spans="1:13">
      <c r="A87" s="224">
        <v>91011</v>
      </c>
      <c r="B87" s="224" t="s">
        <v>804</v>
      </c>
      <c r="C87" s="100">
        <v>185354.96</v>
      </c>
      <c r="F87" s="69"/>
      <c r="M87" s="3"/>
    </row>
    <row r="88" spans="1:13">
      <c r="A88" s="224">
        <v>91012</v>
      </c>
      <c r="B88" s="224" t="s">
        <v>805</v>
      </c>
      <c r="C88" s="100">
        <v>9806.56</v>
      </c>
      <c r="F88" s="69"/>
      <c r="M88" s="3"/>
    </row>
    <row r="89" spans="1:13">
      <c r="A89" s="224">
        <v>91013</v>
      </c>
      <c r="B89" s="224" t="s">
        <v>806</v>
      </c>
      <c r="C89" s="100">
        <v>31452.44</v>
      </c>
      <c r="F89" s="69"/>
      <c r="M89" s="3"/>
    </row>
    <row r="90" spans="1:13">
      <c r="A90" s="224">
        <v>91014</v>
      </c>
      <c r="B90" s="224" t="s">
        <v>807</v>
      </c>
      <c r="C90" s="100">
        <v>103119.86</v>
      </c>
      <c r="F90" s="69"/>
      <c r="M90" s="3"/>
    </row>
    <row r="91" spans="1:13">
      <c r="A91" s="224">
        <v>91015</v>
      </c>
      <c r="B91" s="224" t="s">
        <v>1636</v>
      </c>
      <c r="C91" s="100">
        <v>19093.82</v>
      </c>
      <c r="F91" s="69"/>
      <c r="M91" s="3"/>
    </row>
    <row r="92" spans="1:13">
      <c r="A92" s="224">
        <v>91017</v>
      </c>
      <c r="B92" s="224" t="s">
        <v>808</v>
      </c>
      <c r="C92" s="100">
        <v>14504.34</v>
      </c>
      <c r="F92" s="69"/>
      <c r="M92" s="3"/>
    </row>
    <row r="93" spans="1:13">
      <c r="A93" s="224">
        <v>91020</v>
      </c>
      <c r="B93" s="224" t="s">
        <v>809</v>
      </c>
      <c r="C93" s="100">
        <v>11759.15</v>
      </c>
      <c r="F93" s="69"/>
      <c r="M93" s="3"/>
    </row>
    <row r="94" spans="1:13">
      <c r="A94" s="224">
        <v>91021</v>
      </c>
      <c r="B94" s="224" t="s">
        <v>810</v>
      </c>
      <c r="C94" s="100">
        <v>495808.35</v>
      </c>
      <c r="F94" s="69"/>
      <c r="M94" s="3"/>
    </row>
    <row r="95" spans="1:13">
      <c r="A95" s="224">
        <v>91024</v>
      </c>
      <c r="B95" s="224" t="s">
        <v>811</v>
      </c>
      <c r="C95" s="100">
        <v>55900.43</v>
      </c>
      <c r="F95" s="69"/>
      <c r="M95" s="3"/>
    </row>
    <row r="96" spans="1:13">
      <c r="A96" s="224">
        <v>91026</v>
      </c>
      <c r="B96" s="224" t="s">
        <v>43</v>
      </c>
      <c r="C96" s="100">
        <v>42355.97</v>
      </c>
      <c r="F96" s="69"/>
      <c r="M96" s="3"/>
    </row>
    <row r="97" spans="1:13">
      <c r="A97" s="224">
        <v>91027</v>
      </c>
      <c r="B97" s="224" t="s">
        <v>812</v>
      </c>
      <c r="C97" s="100">
        <v>15229.15</v>
      </c>
      <c r="F97" s="69"/>
      <c r="M97" s="3"/>
    </row>
    <row r="98" spans="1:13">
      <c r="A98" s="224">
        <v>91032</v>
      </c>
      <c r="B98" s="224" t="s">
        <v>813</v>
      </c>
      <c r="C98" s="100">
        <v>20379.63</v>
      </c>
      <c r="F98" s="69"/>
      <c r="M98" s="3"/>
    </row>
    <row r="99" spans="1:13">
      <c r="A99" s="224">
        <v>91041</v>
      </c>
      <c r="B99" s="224" t="s">
        <v>814</v>
      </c>
      <c r="C99" s="100">
        <v>202620.59</v>
      </c>
      <c r="F99" s="69"/>
      <c r="M99" s="3"/>
    </row>
    <row r="100" spans="1:13">
      <c r="A100" s="224">
        <v>91042</v>
      </c>
      <c r="B100" s="224" t="s">
        <v>815</v>
      </c>
      <c r="C100" s="100">
        <v>126574.18</v>
      </c>
      <c r="F100" s="69"/>
      <c r="M100" s="3"/>
    </row>
    <row r="101" spans="1:13">
      <c r="A101" s="224">
        <v>91047</v>
      </c>
      <c r="B101" s="224" t="s">
        <v>816</v>
      </c>
      <c r="C101" s="100">
        <v>18916.89</v>
      </c>
      <c r="F101" s="69"/>
      <c r="M101" s="3"/>
    </row>
    <row r="102" spans="1:13">
      <c r="A102" s="224">
        <v>91051</v>
      </c>
      <c r="B102" s="224" t="s">
        <v>817</v>
      </c>
      <c r="C102" s="100">
        <v>37336.839999999997</v>
      </c>
      <c r="F102" s="69"/>
      <c r="M102" s="3"/>
    </row>
    <row r="103" spans="1:13">
      <c r="A103" s="224">
        <v>91057</v>
      </c>
      <c r="B103" s="224" t="s">
        <v>818</v>
      </c>
      <c r="C103" s="100">
        <v>12550.04</v>
      </c>
      <c r="F103" s="69"/>
      <c r="M103" s="3"/>
    </row>
    <row r="104" spans="1:13">
      <c r="A104" s="224">
        <v>91061</v>
      </c>
      <c r="B104" s="224" t="s">
        <v>819</v>
      </c>
      <c r="C104" s="100">
        <v>190362.02</v>
      </c>
      <c r="F104" s="69"/>
      <c r="M104" s="3"/>
    </row>
    <row r="105" spans="1:13">
      <c r="A105" s="224">
        <v>91067</v>
      </c>
      <c r="B105" s="224" t="s">
        <v>820</v>
      </c>
      <c r="C105" s="100">
        <v>9898.82</v>
      </c>
      <c r="F105" s="69"/>
      <c r="M105" s="3"/>
    </row>
    <row r="106" spans="1:13">
      <c r="A106" s="224">
        <v>91071</v>
      </c>
      <c r="B106" s="224" t="s">
        <v>821</v>
      </c>
      <c r="C106" s="100">
        <v>117012.39</v>
      </c>
      <c r="F106" s="69"/>
      <c r="M106" s="3"/>
    </row>
    <row r="107" spans="1:13">
      <c r="A107" s="224">
        <v>91077</v>
      </c>
      <c r="B107" s="224" t="s">
        <v>822</v>
      </c>
      <c r="C107" s="100">
        <v>3114.97</v>
      </c>
      <c r="F107" s="69"/>
      <c r="M107" s="3"/>
    </row>
    <row r="108" spans="1:13">
      <c r="A108" s="224">
        <v>91081</v>
      </c>
      <c r="B108" s="224" t="s">
        <v>823</v>
      </c>
      <c r="C108" s="100">
        <v>203994.04</v>
      </c>
      <c r="F108" s="69"/>
      <c r="M108" s="3"/>
    </row>
    <row r="109" spans="1:13">
      <c r="A109" s="224">
        <v>91091</v>
      </c>
      <c r="B109" s="224" t="s">
        <v>824</v>
      </c>
      <c r="C109" s="100">
        <v>277328.65000000002</v>
      </c>
      <c r="F109" s="69"/>
      <c r="M109" s="3"/>
    </row>
    <row r="110" spans="1:13">
      <c r="A110" s="224">
        <v>91101</v>
      </c>
      <c r="B110" s="224" t="s">
        <v>825</v>
      </c>
      <c r="C110" s="100">
        <v>6681835.1600000001</v>
      </c>
      <c r="F110" s="69"/>
      <c r="M110" s="3"/>
    </row>
    <row r="111" spans="1:13">
      <c r="A111" s="224">
        <v>91102</v>
      </c>
      <c r="B111" s="224" t="s">
        <v>826</v>
      </c>
      <c r="C111" s="100">
        <v>170492.43</v>
      </c>
      <c r="F111" s="69"/>
      <c r="M111" s="3"/>
    </row>
    <row r="112" spans="1:13">
      <c r="A112" s="224">
        <v>91104</v>
      </c>
      <c r="B112" s="224" t="s">
        <v>827</v>
      </c>
      <c r="C112" s="100">
        <v>11960.62</v>
      </c>
      <c r="F112" s="69"/>
      <c r="M112" s="3"/>
    </row>
    <row r="113" spans="1:13">
      <c r="A113" s="224">
        <v>91107</v>
      </c>
      <c r="B113" s="224" t="s">
        <v>828</v>
      </c>
      <c r="C113" s="100">
        <v>44039.77</v>
      </c>
      <c r="F113" s="69"/>
      <c r="M113" s="3"/>
    </row>
    <row r="114" spans="1:13">
      <c r="A114" s="224">
        <v>91108</v>
      </c>
      <c r="B114" s="224" t="s">
        <v>829</v>
      </c>
      <c r="C114" s="100">
        <v>697770.01</v>
      </c>
      <c r="F114" s="69"/>
      <c r="M114" s="3"/>
    </row>
    <row r="115" spans="1:13">
      <c r="A115" s="224">
        <v>91109</v>
      </c>
      <c r="B115" s="224" t="s">
        <v>830</v>
      </c>
      <c r="C115" s="100">
        <v>54714.07</v>
      </c>
      <c r="F115" s="69"/>
      <c r="M115" s="3"/>
    </row>
    <row r="116" spans="1:13">
      <c r="A116" s="224">
        <v>91111</v>
      </c>
      <c r="B116" s="224" t="s">
        <v>831</v>
      </c>
      <c r="C116" s="100">
        <v>120216.67</v>
      </c>
      <c r="F116" s="69"/>
      <c r="M116" s="3"/>
    </row>
    <row r="117" spans="1:13">
      <c r="A117" s="224">
        <v>91120</v>
      </c>
      <c r="B117" s="224" t="s">
        <v>832</v>
      </c>
      <c r="C117" s="100">
        <v>81787.649999999994</v>
      </c>
      <c r="F117" s="69"/>
      <c r="M117" s="3"/>
    </row>
    <row r="118" spans="1:13">
      <c r="A118" s="224">
        <v>91121</v>
      </c>
      <c r="B118" s="224" t="s">
        <v>833</v>
      </c>
      <c r="C118" s="100">
        <v>5084445.32</v>
      </c>
      <c r="F118" s="69"/>
      <c r="M118" s="3"/>
    </row>
    <row r="119" spans="1:13">
      <c r="A119" s="224">
        <v>91127</v>
      </c>
      <c r="B119" s="224" t="s">
        <v>834</v>
      </c>
      <c r="C119" s="100">
        <v>171480.43</v>
      </c>
      <c r="F119" s="69"/>
      <c r="M119" s="3"/>
    </row>
    <row r="120" spans="1:13">
      <c r="A120" s="224">
        <v>91128</v>
      </c>
      <c r="B120" s="224" t="s">
        <v>835</v>
      </c>
      <c r="C120" s="100">
        <v>264000</v>
      </c>
      <c r="F120" s="69"/>
      <c r="M120" s="3"/>
    </row>
    <row r="121" spans="1:13">
      <c r="A121" s="224">
        <v>91138</v>
      </c>
      <c r="B121" s="224" t="s">
        <v>836</v>
      </c>
      <c r="C121" s="100">
        <v>221760.66</v>
      </c>
      <c r="F121" s="69"/>
      <c r="M121" s="3"/>
    </row>
    <row r="122" spans="1:13">
      <c r="A122" s="224">
        <v>91141</v>
      </c>
      <c r="B122" s="224" t="s">
        <v>837</v>
      </c>
      <c r="C122" s="100">
        <v>293398.83</v>
      </c>
      <c r="F122" s="69"/>
      <c r="M122" s="3"/>
    </row>
    <row r="123" spans="1:13">
      <c r="A123" s="224">
        <v>91147</v>
      </c>
      <c r="B123" s="224" t="s">
        <v>838</v>
      </c>
      <c r="C123" s="100">
        <v>16252.57</v>
      </c>
      <c r="F123" s="69"/>
      <c r="M123" s="3"/>
    </row>
    <row r="124" spans="1:13">
      <c r="A124" s="224">
        <v>91151</v>
      </c>
      <c r="B124" s="224" t="s">
        <v>839</v>
      </c>
      <c r="C124" s="100">
        <v>282767.11</v>
      </c>
      <c r="F124" s="69"/>
      <c r="M124" s="3"/>
    </row>
    <row r="125" spans="1:13">
      <c r="A125" s="224">
        <v>91154</v>
      </c>
      <c r="B125" s="224" t="s">
        <v>840</v>
      </c>
      <c r="C125" s="100">
        <v>9739.98</v>
      </c>
      <c r="F125" s="69"/>
      <c r="M125" s="3"/>
    </row>
    <row r="126" spans="1:13">
      <c r="A126" s="224">
        <v>91161</v>
      </c>
      <c r="B126" s="224" t="s">
        <v>841</v>
      </c>
      <c r="C126" s="100">
        <v>42773.66</v>
      </c>
      <c r="F126" s="69"/>
      <c r="M126" s="3"/>
    </row>
    <row r="127" spans="1:13">
      <c r="A127" s="224">
        <v>91171</v>
      </c>
      <c r="B127" s="224" t="s">
        <v>842</v>
      </c>
      <c r="C127" s="100">
        <v>120474.56</v>
      </c>
      <c r="F127" s="69"/>
      <c r="M127" s="3"/>
    </row>
    <row r="128" spans="1:13">
      <c r="A128" s="224">
        <v>91201</v>
      </c>
      <c r="B128" s="224" t="s">
        <v>843</v>
      </c>
      <c r="C128" s="100">
        <v>1140236.78</v>
      </c>
      <c r="F128" s="69"/>
      <c r="M128" s="3"/>
    </row>
    <row r="129" spans="1:13">
      <c r="A129" s="224">
        <v>91202</v>
      </c>
      <c r="B129" s="224" t="s">
        <v>844</v>
      </c>
      <c r="C129" s="100">
        <v>93531.29</v>
      </c>
      <c r="F129" s="69"/>
      <c r="M129" s="3"/>
    </row>
    <row r="130" spans="1:13">
      <c r="A130" s="224">
        <v>91203</v>
      </c>
      <c r="B130" s="224" t="s">
        <v>845</v>
      </c>
      <c r="C130" s="100">
        <v>140746.18</v>
      </c>
      <c r="F130" s="69"/>
      <c r="M130" s="3"/>
    </row>
    <row r="131" spans="1:13">
      <c r="A131" s="224">
        <v>91206</v>
      </c>
      <c r="B131" s="224" t="s">
        <v>846</v>
      </c>
      <c r="C131" s="100">
        <v>486171.91</v>
      </c>
      <c r="F131" s="69"/>
      <c r="M131" s="3"/>
    </row>
    <row r="132" spans="1:13">
      <c r="A132" s="224">
        <v>91208</v>
      </c>
      <c r="B132" s="224" t="s">
        <v>847</v>
      </c>
      <c r="C132" s="100">
        <v>10067.58</v>
      </c>
      <c r="F132" s="69"/>
      <c r="M132" s="3"/>
    </row>
    <row r="133" spans="1:13">
      <c r="A133" s="224">
        <v>91211</v>
      </c>
      <c r="B133" s="224" t="s">
        <v>848</v>
      </c>
      <c r="C133" s="100">
        <v>216785.86</v>
      </c>
      <c r="F133" s="69"/>
      <c r="M133" s="3"/>
    </row>
    <row r="134" spans="1:13">
      <c r="A134" s="224">
        <v>91213</v>
      </c>
      <c r="B134" s="224" t="s">
        <v>849</v>
      </c>
      <c r="C134" s="100">
        <v>13869.39</v>
      </c>
      <c r="F134" s="69"/>
      <c r="M134" s="3"/>
    </row>
    <row r="135" spans="1:13">
      <c r="A135" s="224">
        <v>91214</v>
      </c>
      <c r="B135" s="224" t="s">
        <v>850</v>
      </c>
      <c r="C135" s="100">
        <v>14049.48</v>
      </c>
      <c r="F135" s="69"/>
      <c r="M135" s="3"/>
    </row>
    <row r="136" spans="1:13">
      <c r="A136" s="224">
        <v>91217</v>
      </c>
      <c r="B136" s="224" t="s">
        <v>851</v>
      </c>
      <c r="C136" s="100">
        <v>17716.47</v>
      </c>
      <c r="F136" s="69"/>
      <c r="M136" s="3"/>
    </row>
    <row r="137" spans="1:13">
      <c r="A137" s="224">
        <v>91221</v>
      </c>
      <c r="B137" s="224" t="s">
        <v>852</v>
      </c>
      <c r="C137" s="100">
        <v>57689.2</v>
      </c>
      <c r="F137" s="69"/>
      <c r="M137" s="3"/>
    </row>
    <row r="138" spans="1:13">
      <c r="A138" s="224">
        <v>91231</v>
      </c>
      <c r="B138" s="224" t="s">
        <v>853</v>
      </c>
      <c r="C138" s="100">
        <v>990888.77</v>
      </c>
      <c r="F138" s="69"/>
      <c r="M138" s="3"/>
    </row>
    <row r="139" spans="1:13">
      <c r="A139" s="224">
        <v>91233</v>
      </c>
      <c r="B139" s="224" t="s">
        <v>854</v>
      </c>
      <c r="C139" s="100">
        <v>30147.15</v>
      </c>
      <c r="F139" s="69"/>
      <c r="M139" s="3"/>
    </row>
    <row r="140" spans="1:13">
      <c r="A140" s="224">
        <v>91241</v>
      </c>
      <c r="B140" s="224" t="s">
        <v>855</v>
      </c>
      <c r="C140" s="100">
        <v>19589.04</v>
      </c>
      <c r="F140" s="69"/>
      <c r="M140" s="3"/>
    </row>
    <row r="141" spans="1:13">
      <c r="A141" s="224">
        <v>91251</v>
      </c>
      <c r="B141" s="224" t="s">
        <v>856</v>
      </c>
      <c r="C141" s="100">
        <v>11627</v>
      </c>
      <c r="F141" s="69"/>
      <c r="M141" s="3"/>
    </row>
    <row r="142" spans="1:13">
      <c r="A142" s="224">
        <v>91261</v>
      </c>
      <c r="B142" s="224" t="s">
        <v>857</v>
      </c>
      <c r="C142" s="100">
        <v>3996.03</v>
      </c>
      <c r="F142" s="69"/>
      <c r="M142" s="3"/>
    </row>
    <row r="143" spans="1:13">
      <c r="A143" s="224">
        <v>91301</v>
      </c>
      <c r="B143" s="224" t="s">
        <v>858</v>
      </c>
      <c r="C143" s="100">
        <v>4058843.46</v>
      </c>
      <c r="F143" s="69"/>
      <c r="M143" s="3"/>
    </row>
    <row r="144" spans="1:13">
      <c r="A144" s="224">
        <v>91302</v>
      </c>
      <c r="B144" s="224" t="s">
        <v>859</v>
      </c>
      <c r="C144" s="100">
        <v>280327.90999999997</v>
      </c>
      <c r="F144" s="69"/>
      <c r="M144" s="3"/>
    </row>
    <row r="145" spans="1:13">
      <c r="A145" s="224">
        <v>91306</v>
      </c>
      <c r="B145" s="224" t="s">
        <v>860</v>
      </c>
      <c r="C145" s="100">
        <v>968202.18</v>
      </c>
      <c r="F145" s="69"/>
      <c r="M145" s="3"/>
    </row>
    <row r="146" spans="1:13">
      <c r="A146" s="224">
        <v>91308</v>
      </c>
      <c r="B146" s="224" t="s">
        <v>861</v>
      </c>
      <c r="C146" s="100">
        <v>89774.06</v>
      </c>
      <c r="F146" s="69"/>
      <c r="M146" s="3"/>
    </row>
    <row r="147" spans="1:13">
      <c r="A147" s="224">
        <v>91311</v>
      </c>
      <c r="B147" s="224" t="s">
        <v>862</v>
      </c>
      <c r="C147" s="100">
        <v>4083525.78</v>
      </c>
      <c r="F147" s="69"/>
      <c r="M147" s="3"/>
    </row>
    <row r="148" spans="1:13">
      <c r="A148" s="224">
        <v>91317</v>
      </c>
      <c r="B148" s="224" t="s">
        <v>863</v>
      </c>
      <c r="C148" s="100">
        <v>64698.080000000002</v>
      </c>
      <c r="F148" s="69"/>
      <c r="M148" s="3"/>
    </row>
    <row r="149" spans="1:13">
      <c r="A149" s="224">
        <v>91321</v>
      </c>
      <c r="B149" s="224" t="s">
        <v>864</v>
      </c>
      <c r="C149" s="100">
        <v>50002.73</v>
      </c>
      <c r="F149" s="69"/>
      <c r="M149" s="3"/>
    </row>
    <row r="150" spans="1:13">
      <c r="A150" s="224">
        <v>91327</v>
      </c>
      <c r="B150" s="224" t="s">
        <v>865</v>
      </c>
      <c r="C150" s="100">
        <v>5813.44</v>
      </c>
      <c r="F150" s="69"/>
      <c r="M150" s="3"/>
    </row>
    <row r="151" spans="1:13">
      <c r="A151" s="224">
        <v>91331</v>
      </c>
      <c r="B151" s="224" t="s">
        <v>866</v>
      </c>
      <c r="C151" s="100">
        <v>1420948.35</v>
      </c>
      <c r="F151" s="69"/>
      <c r="M151" s="3"/>
    </row>
    <row r="152" spans="1:13">
      <c r="A152" s="224">
        <v>91341</v>
      </c>
      <c r="B152" s="224" t="s">
        <v>867</v>
      </c>
      <c r="C152" s="100">
        <v>17049.3</v>
      </c>
      <c r="F152" s="69"/>
      <c r="M152" s="3"/>
    </row>
    <row r="153" spans="1:13">
      <c r="A153" s="224">
        <v>91401</v>
      </c>
      <c r="B153" s="224" t="s">
        <v>868</v>
      </c>
      <c r="C153" s="100">
        <v>1845497.32</v>
      </c>
      <c r="F153" s="69"/>
      <c r="M153" s="3"/>
    </row>
    <row r="154" spans="1:13">
      <c r="A154" s="224">
        <v>91411</v>
      </c>
      <c r="B154" s="224" t="s">
        <v>869</v>
      </c>
      <c r="C154" s="100">
        <v>198816.85</v>
      </c>
      <c r="F154" s="69"/>
      <c r="M154" s="3"/>
    </row>
    <row r="155" spans="1:13">
      <c r="A155" s="305">
        <v>91414</v>
      </c>
      <c r="B155" s="305" t="s">
        <v>3608</v>
      </c>
      <c r="C155" s="315">
        <v>9397.24</v>
      </c>
      <c r="D155" s="224" t="s">
        <v>3614</v>
      </c>
      <c r="F155" s="69"/>
      <c r="M155" s="3"/>
    </row>
    <row r="156" spans="1:13">
      <c r="A156" s="224">
        <v>91417</v>
      </c>
      <c r="B156" s="224" t="s">
        <v>870</v>
      </c>
      <c r="C156" s="100">
        <v>6068.11</v>
      </c>
      <c r="F156" s="69"/>
      <c r="M156" s="3"/>
    </row>
    <row r="157" spans="1:13">
      <c r="A157" s="224">
        <v>91421</v>
      </c>
      <c r="B157" s="224" t="s">
        <v>871</v>
      </c>
      <c r="C157" s="100">
        <v>40352.5</v>
      </c>
      <c r="F157" s="69"/>
      <c r="M157" s="3"/>
    </row>
    <row r="158" spans="1:13">
      <c r="A158" s="224">
        <v>91423</v>
      </c>
      <c r="B158" s="224" t="s">
        <v>872</v>
      </c>
      <c r="C158" s="100">
        <v>24726.67</v>
      </c>
      <c r="F158" s="69"/>
      <c r="M158" s="3"/>
    </row>
    <row r="159" spans="1:13">
      <c r="A159" s="224">
        <v>91431</v>
      </c>
      <c r="B159" s="224" t="s">
        <v>873</v>
      </c>
      <c r="C159" s="100">
        <v>97752.53</v>
      </c>
      <c r="F159" s="69"/>
      <c r="M159" s="3"/>
    </row>
    <row r="160" spans="1:13">
      <c r="A160" s="224">
        <v>91441</v>
      </c>
      <c r="B160" s="224" t="s">
        <v>874</v>
      </c>
      <c r="C160" s="100">
        <v>390490.98</v>
      </c>
      <c r="F160" s="69"/>
      <c r="M160" s="3"/>
    </row>
    <row r="161" spans="1:13">
      <c r="A161" s="224">
        <v>91451</v>
      </c>
      <c r="B161" s="224" t="s">
        <v>875</v>
      </c>
      <c r="C161" s="100">
        <v>787423.33</v>
      </c>
      <c r="F161" s="69"/>
      <c r="M161" s="3"/>
    </row>
    <row r="162" spans="1:13">
      <c r="A162" s="224">
        <v>91457</v>
      </c>
      <c r="B162" s="224" t="s">
        <v>876</v>
      </c>
      <c r="C162" s="100">
        <v>30830.720000000001</v>
      </c>
      <c r="F162" s="69"/>
      <c r="M162" s="3"/>
    </row>
    <row r="163" spans="1:13">
      <c r="A163" s="224">
        <v>91461</v>
      </c>
      <c r="B163" s="224" t="s">
        <v>877</v>
      </c>
      <c r="C163" s="100">
        <v>3334.67</v>
      </c>
      <c r="F163" s="69"/>
      <c r="M163" s="3"/>
    </row>
    <row r="164" spans="1:13">
      <c r="A164" s="224">
        <v>91501</v>
      </c>
      <c r="B164" s="224" t="s">
        <v>878</v>
      </c>
      <c r="C164" s="100">
        <v>257328.54</v>
      </c>
      <c r="F164" s="69"/>
      <c r="M164" s="3"/>
    </row>
    <row r="165" spans="1:13">
      <c r="A165" s="224">
        <v>91504</v>
      </c>
      <c r="B165" s="224" t="s">
        <v>879</v>
      </c>
      <c r="C165" s="100">
        <v>7298.46</v>
      </c>
      <c r="F165" s="69"/>
      <c r="M165" s="3"/>
    </row>
    <row r="166" spans="1:13">
      <c r="A166" s="224">
        <v>91601</v>
      </c>
      <c r="B166" s="224" t="s">
        <v>880</v>
      </c>
      <c r="C166" s="100">
        <v>1614794.34</v>
      </c>
      <c r="F166" s="69"/>
      <c r="M166" s="3"/>
    </row>
    <row r="167" spans="1:13">
      <c r="A167" s="224">
        <v>91604</v>
      </c>
      <c r="B167" s="224" t="s">
        <v>881</v>
      </c>
      <c r="C167" s="100">
        <v>61385.89</v>
      </c>
      <c r="F167" s="69"/>
      <c r="M167" s="3"/>
    </row>
    <row r="168" spans="1:13">
      <c r="A168" s="224">
        <v>91608</v>
      </c>
      <c r="B168" s="224" t="s">
        <v>882</v>
      </c>
      <c r="C168" s="100">
        <v>58326.21</v>
      </c>
      <c r="F168" s="69"/>
      <c r="M168" s="3"/>
    </row>
    <row r="169" spans="1:13">
      <c r="A169" s="224">
        <v>91611</v>
      </c>
      <c r="B169" s="224" t="s">
        <v>883</v>
      </c>
      <c r="C169" s="100">
        <v>679728.61</v>
      </c>
      <c r="F169" s="69"/>
      <c r="M169" s="3"/>
    </row>
    <row r="170" spans="1:13">
      <c r="A170" s="224">
        <v>91621</v>
      </c>
      <c r="B170" s="224" t="s">
        <v>884</v>
      </c>
      <c r="C170" s="100">
        <v>134331.6</v>
      </c>
      <c r="F170" s="69"/>
      <c r="M170" s="3"/>
    </row>
    <row r="171" spans="1:13">
      <c r="A171" s="224">
        <v>91631</v>
      </c>
      <c r="B171" s="224" t="s">
        <v>885</v>
      </c>
      <c r="C171" s="100">
        <v>283340.06</v>
      </c>
      <c r="F171" s="69"/>
      <c r="M171" s="3"/>
    </row>
    <row r="172" spans="1:13">
      <c r="A172" s="224">
        <v>91633</v>
      </c>
      <c r="B172" s="224" t="s">
        <v>886</v>
      </c>
      <c r="C172" s="100">
        <v>13682.34</v>
      </c>
      <c r="F172" s="69"/>
      <c r="M172" s="3"/>
    </row>
    <row r="173" spans="1:13">
      <c r="A173" s="224">
        <v>91641</v>
      </c>
      <c r="B173" s="224" t="s">
        <v>887</v>
      </c>
      <c r="C173" s="100">
        <v>131410.69</v>
      </c>
      <c r="F173" s="69"/>
      <c r="M173" s="3"/>
    </row>
    <row r="174" spans="1:13">
      <c r="A174" s="224">
        <v>91651</v>
      </c>
      <c r="B174" s="224" t="s">
        <v>888</v>
      </c>
      <c r="C174" s="100">
        <v>279577.11</v>
      </c>
      <c r="F174" s="69"/>
      <c r="M174" s="3"/>
    </row>
    <row r="175" spans="1:13">
      <c r="A175" s="224">
        <v>91661</v>
      </c>
      <c r="B175" s="224" t="s">
        <v>889</v>
      </c>
      <c r="C175" s="100">
        <v>76004.77</v>
      </c>
      <c r="F175" s="69"/>
      <c r="M175" s="3"/>
    </row>
    <row r="176" spans="1:13">
      <c r="A176" s="224">
        <v>91671</v>
      </c>
      <c r="B176" s="224" t="s">
        <v>890</v>
      </c>
      <c r="C176" s="100">
        <v>46142.85</v>
      </c>
      <c r="F176" s="69"/>
      <c r="M176" s="3"/>
    </row>
    <row r="177" spans="1:13">
      <c r="A177" s="224">
        <v>91681</v>
      </c>
      <c r="B177" s="224" t="s">
        <v>891</v>
      </c>
      <c r="C177" s="100">
        <v>420625.88</v>
      </c>
      <c r="F177" s="69"/>
      <c r="M177" s="3"/>
    </row>
    <row r="178" spans="1:13">
      <c r="A178" s="224">
        <v>91691</v>
      </c>
      <c r="B178" s="224" t="s">
        <v>892</v>
      </c>
      <c r="C178" s="100">
        <v>14332.32</v>
      </c>
      <c r="F178" s="69"/>
      <c r="M178" s="3"/>
    </row>
    <row r="179" spans="1:13">
      <c r="A179" s="224">
        <v>91701</v>
      </c>
      <c r="B179" s="224" t="s">
        <v>893</v>
      </c>
      <c r="C179" s="100">
        <v>582513.18000000005</v>
      </c>
      <c r="F179" s="69"/>
      <c r="M179" s="3"/>
    </row>
    <row r="180" spans="1:13">
      <c r="A180" s="224">
        <v>91704</v>
      </c>
      <c r="B180" s="224" t="s">
        <v>894</v>
      </c>
      <c r="C180" s="100">
        <v>9702.58</v>
      </c>
      <c r="F180" s="69"/>
      <c r="M180" s="3"/>
    </row>
    <row r="181" spans="1:13">
      <c r="A181" s="224">
        <v>91706</v>
      </c>
      <c r="B181" s="224" t="s">
        <v>895</v>
      </c>
      <c r="C181" s="100">
        <v>137653</v>
      </c>
      <c r="F181" s="69"/>
      <c r="M181" s="3"/>
    </row>
    <row r="182" spans="1:13">
      <c r="A182" s="224">
        <v>91719</v>
      </c>
      <c r="B182" s="224" t="s">
        <v>896</v>
      </c>
      <c r="C182" s="100">
        <v>23258.15</v>
      </c>
      <c r="F182" s="69"/>
      <c r="M182" s="3"/>
    </row>
    <row r="183" spans="1:13">
      <c r="A183" s="224">
        <v>91801</v>
      </c>
      <c r="B183" s="224" t="s">
        <v>897</v>
      </c>
      <c r="C183" s="100">
        <v>4066001.47</v>
      </c>
      <c r="F183" s="69"/>
      <c r="M183" s="3"/>
    </row>
    <row r="184" spans="1:13">
      <c r="A184" s="224">
        <v>91804</v>
      </c>
      <c r="B184" s="224" t="s">
        <v>898</v>
      </c>
      <c r="C184" s="100">
        <v>105747.53</v>
      </c>
      <c r="F184" s="69"/>
      <c r="M184" s="3"/>
    </row>
    <row r="185" spans="1:13">
      <c r="A185" s="224">
        <v>91811</v>
      </c>
      <c r="B185" s="224" t="s">
        <v>899</v>
      </c>
      <c r="C185" s="100">
        <v>2212364.4300000002</v>
      </c>
      <c r="F185" s="69"/>
      <c r="M185" s="3"/>
    </row>
    <row r="186" spans="1:13">
      <c r="A186" s="224">
        <v>91812</v>
      </c>
      <c r="B186" s="224" t="s">
        <v>900</v>
      </c>
      <c r="C186" s="100">
        <v>29488.98</v>
      </c>
      <c r="F186" s="69"/>
      <c r="M186" s="3"/>
    </row>
    <row r="187" spans="1:13">
      <c r="A187" s="224">
        <v>91813</v>
      </c>
      <c r="B187" s="224" t="s">
        <v>901</v>
      </c>
      <c r="C187" s="100">
        <v>40206.25</v>
      </c>
      <c r="F187" s="69"/>
      <c r="M187" s="3"/>
    </row>
    <row r="188" spans="1:13">
      <c r="A188" s="224">
        <v>91818</v>
      </c>
      <c r="B188" s="224" t="s">
        <v>902</v>
      </c>
      <c r="C188" s="100">
        <v>229803.71</v>
      </c>
      <c r="F188" s="69"/>
      <c r="M188" s="3"/>
    </row>
    <row r="189" spans="1:13">
      <c r="A189" s="224">
        <v>91819</v>
      </c>
      <c r="B189" s="224" t="s">
        <v>903</v>
      </c>
      <c r="C189" s="100">
        <v>181272.71</v>
      </c>
      <c r="F189" s="69"/>
      <c r="M189" s="3"/>
    </row>
    <row r="190" spans="1:13">
      <c r="A190" s="224">
        <v>91821</v>
      </c>
      <c r="B190" s="224" t="s">
        <v>904</v>
      </c>
      <c r="C190" s="100">
        <v>85967.16</v>
      </c>
      <c r="F190" s="69"/>
      <c r="M190" s="3"/>
    </row>
    <row r="191" spans="1:13">
      <c r="A191" s="224">
        <v>91831</v>
      </c>
      <c r="B191" s="224" t="s">
        <v>905</v>
      </c>
      <c r="C191" s="100">
        <v>195579.38</v>
      </c>
      <c r="F191" s="69"/>
      <c r="M191" s="3"/>
    </row>
    <row r="192" spans="1:13">
      <c r="A192" s="224">
        <v>91841</v>
      </c>
      <c r="B192" s="224" t="s">
        <v>906</v>
      </c>
      <c r="C192" s="100">
        <v>138048.41</v>
      </c>
      <c r="F192" s="69"/>
      <c r="M192" s="3"/>
    </row>
    <row r="193" spans="1:13">
      <c r="A193" s="224">
        <v>91851</v>
      </c>
      <c r="B193" s="224" t="s">
        <v>907</v>
      </c>
      <c r="C193" s="100">
        <v>379290.56</v>
      </c>
      <c r="F193" s="69"/>
      <c r="M193" s="3"/>
    </row>
    <row r="194" spans="1:13">
      <c r="A194" s="224">
        <v>91861</v>
      </c>
      <c r="B194" s="224" t="s">
        <v>908</v>
      </c>
      <c r="C194" s="100">
        <v>3719.82</v>
      </c>
      <c r="F194" s="69"/>
      <c r="M194" s="3"/>
    </row>
    <row r="195" spans="1:13">
      <c r="A195" s="224">
        <v>91871</v>
      </c>
      <c r="B195" s="224" t="s">
        <v>909</v>
      </c>
      <c r="C195" s="100">
        <v>683244.37</v>
      </c>
      <c r="F195" s="69"/>
      <c r="M195" s="3"/>
    </row>
    <row r="196" spans="1:13">
      <c r="A196" s="224">
        <v>91881</v>
      </c>
      <c r="B196" s="224" t="s">
        <v>910</v>
      </c>
      <c r="C196" s="100">
        <v>8550.19</v>
      </c>
      <c r="F196" s="69"/>
      <c r="M196" s="3"/>
    </row>
    <row r="197" spans="1:13">
      <c r="A197" s="224">
        <v>91901</v>
      </c>
      <c r="B197" s="224" t="s">
        <v>911</v>
      </c>
      <c r="C197" s="100">
        <v>1892443.88</v>
      </c>
      <c r="F197" s="69"/>
      <c r="M197" s="3"/>
    </row>
    <row r="198" spans="1:13">
      <c r="A198" s="224">
        <v>91903</v>
      </c>
      <c r="B198" s="224" t="s">
        <v>912</v>
      </c>
      <c r="C198" s="100">
        <v>6755.16</v>
      </c>
      <c r="F198" s="69"/>
      <c r="M198" s="3"/>
    </row>
    <row r="199" spans="1:13">
      <c r="A199" s="224">
        <v>91904</v>
      </c>
      <c r="B199" s="224" t="s">
        <v>913</v>
      </c>
      <c r="C199" s="100">
        <v>20041.36</v>
      </c>
      <c r="F199" s="69"/>
      <c r="M199" s="3"/>
    </row>
    <row r="200" spans="1:13">
      <c r="A200" s="224">
        <v>91908</v>
      </c>
      <c r="B200" s="224" t="s">
        <v>914</v>
      </c>
      <c r="C200" s="100">
        <v>5525.64</v>
      </c>
      <c r="F200" s="69"/>
      <c r="M200" s="3"/>
    </row>
    <row r="201" spans="1:13">
      <c r="A201" s="224">
        <v>91911</v>
      </c>
      <c r="B201" s="224" t="s">
        <v>915</v>
      </c>
      <c r="C201" s="100">
        <v>238722.17</v>
      </c>
      <c r="F201" s="69"/>
      <c r="M201" s="3"/>
    </row>
    <row r="202" spans="1:13">
      <c r="A202" s="224">
        <v>91917</v>
      </c>
      <c r="B202" s="224" t="s">
        <v>916</v>
      </c>
      <c r="C202" s="100">
        <v>7857.52</v>
      </c>
      <c r="F202" s="69"/>
      <c r="M202" s="3"/>
    </row>
    <row r="203" spans="1:13">
      <c r="A203" s="224">
        <v>91921</v>
      </c>
      <c r="B203" s="224" t="s">
        <v>917</v>
      </c>
      <c r="C203" s="100">
        <v>190506.58</v>
      </c>
      <c r="F203" s="69"/>
      <c r="M203" s="3"/>
    </row>
    <row r="204" spans="1:13">
      <c r="A204" s="224">
        <v>92001</v>
      </c>
      <c r="B204" s="224" t="s">
        <v>918</v>
      </c>
      <c r="C204" s="100">
        <v>931122.95</v>
      </c>
      <c r="F204" s="69"/>
      <c r="M204" s="3"/>
    </row>
    <row r="205" spans="1:13">
      <c r="A205" s="224">
        <v>92005</v>
      </c>
      <c r="B205" s="224" t="s">
        <v>919</v>
      </c>
      <c r="C205" s="100">
        <v>23193.23</v>
      </c>
      <c r="F205" s="69"/>
      <c r="M205" s="3"/>
    </row>
    <row r="206" spans="1:13">
      <c r="A206" s="224">
        <v>92011</v>
      </c>
      <c r="B206" s="224" t="s">
        <v>920</v>
      </c>
      <c r="C206" s="100">
        <v>95059.520000000004</v>
      </c>
      <c r="F206" s="69"/>
      <c r="M206" s="3"/>
    </row>
    <row r="207" spans="1:13">
      <c r="A207" s="224">
        <v>92017</v>
      </c>
      <c r="B207" s="224" t="s">
        <v>921</v>
      </c>
      <c r="C207" s="100">
        <v>19823.349999999999</v>
      </c>
      <c r="F207" s="69"/>
      <c r="M207" s="3"/>
    </row>
    <row r="208" spans="1:13">
      <c r="A208" s="224">
        <v>92021</v>
      </c>
      <c r="B208" s="224" t="s">
        <v>922</v>
      </c>
      <c r="C208" s="100">
        <v>53295.42</v>
      </c>
      <c r="F208" s="69"/>
      <c r="M208" s="3"/>
    </row>
    <row r="209" spans="1:13">
      <c r="A209" s="224">
        <v>92101</v>
      </c>
      <c r="B209" s="224" t="s">
        <v>923</v>
      </c>
      <c r="C209" s="100">
        <v>404383.2</v>
      </c>
      <c r="F209" s="69"/>
      <c r="M209" s="3"/>
    </row>
    <row r="210" spans="1:13">
      <c r="A210" s="224">
        <v>92104</v>
      </c>
      <c r="B210" s="224" t="s">
        <v>924</v>
      </c>
      <c r="C210" s="100">
        <v>5700.74</v>
      </c>
      <c r="F210" s="69"/>
      <c r="M210" s="3"/>
    </row>
    <row r="211" spans="1:13">
      <c r="A211" s="224">
        <v>92109</v>
      </c>
      <c r="B211" s="224" t="s">
        <v>925</v>
      </c>
      <c r="C211" s="100">
        <v>87268.86</v>
      </c>
      <c r="F211" s="69"/>
      <c r="M211" s="3"/>
    </row>
    <row r="212" spans="1:13">
      <c r="A212" s="224">
        <v>92111</v>
      </c>
      <c r="B212" s="224" t="s">
        <v>926</v>
      </c>
      <c r="C212" s="100">
        <v>256369.32</v>
      </c>
      <c r="F212" s="69"/>
      <c r="M212" s="3"/>
    </row>
    <row r="213" spans="1:13">
      <c r="A213" s="224">
        <v>92113</v>
      </c>
      <c r="B213" s="224" t="s">
        <v>927</v>
      </c>
      <c r="C213" s="100">
        <v>13944.88</v>
      </c>
      <c r="F213" s="69"/>
      <c r="M213" s="3"/>
    </row>
    <row r="214" spans="1:13">
      <c r="A214" s="224">
        <v>92201</v>
      </c>
      <c r="B214" s="224" t="s">
        <v>928</v>
      </c>
      <c r="C214" s="100">
        <v>472315.86</v>
      </c>
      <c r="F214" s="69"/>
      <c r="M214" s="3"/>
    </row>
    <row r="215" spans="1:13">
      <c r="A215" s="224">
        <v>92214</v>
      </c>
      <c r="B215" s="224" t="s">
        <v>1925</v>
      </c>
      <c r="C215" s="100">
        <v>10286.44</v>
      </c>
      <c r="F215" s="69"/>
      <c r="M215" s="3"/>
    </row>
    <row r="216" spans="1:13">
      <c r="A216" s="224">
        <v>92301</v>
      </c>
      <c r="B216" s="224" t="s">
        <v>929</v>
      </c>
      <c r="C216" s="100">
        <v>2653029.66</v>
      </c>
      <c r="F216" s="69"/>
      <c r="M216" s="3"/>
    </row>
    <row r="217" spans="1:13">
      <c r="A217" s="224">
        <v>92302</v>
      </c>
      <c r="B217" s="224" t="s">
        <v>930</v>
      </c>
      <c r="C217" s="100">
        <v>151867.91</v>
      </c>
      <c r="F217" s="69"/>
      <c r="M217" s="3"/>
    </row>
    <row r="218" spans="1:13">
      <c r="A218" s="224">
        <v>92311</v>
      </c>
      <c r="B218" s="224" t="s">
        <v>931</v>
      </c>
      <c r="C218" s="100">
        <v>1165521.82</v>
      </c>
      <c r="F218" s="69"/>
      <c r="M218" s="3"/>
    </row>
    <row r="219" spans="1:13">
      <c r="A219" s="224">
        <v>92317</v>
      </c>
      <c r="B219" s="224" t="s">
        <v>932</v>
      </c>
      <c r="C219" s="100">
        <v>24439.37</v>
      </c>
      <c r="F219" s="69"/>
      <c r="M219" s="3"/>
    </row>
    <row r="220" spans="1:13">
      <c r="A220" s="224">
        <v>92321</v>
      </c>
      <c r="B220" s="224" t="s">
        <v>933</v>
      </c>
      <c r="C220" s="100">
        <v>656427.5</v>
      </c>
      <c r="F220" s="69"/>
      <c r="M220" s="3"/>
    </row>
    <row r="221" spans="1:13">
      <c r="A221" s="224">
        <v>92327</v>
      </c>
      <c r="B221" s="224" t="s">
        <v>934</v>
      </c>
      <c r="C221" s="100">
        <v>7418.43</v>
      </c>
      <c r="F221" s="69"/>
      <c r="M221" s="3"/>
    </row>
    <row r="222" spans="1:13">
      <c r="A222" s="224">
        <v>92331</v>
      </c>
      <c r="B222" s="224" t="s">
        <v>935</v>
      </c>
      <c r="C222" s="100">
        <v>76059.83</v>
      </c>
      <c r="F222" s="69"/>
      <c r="M222" s="3"/>
    </row>
    <row r="223" spans="1:13">
      <c r="A223" s="224">
        <v>92341</v>
      </c>
      <c r="B223" s="224" t="s">
        <v>936</v>
      </c>
      <c r="C223" s="100">
        <v>3394.65</v>
      </c>
      <c r="F223" s="69"/>
      <c r="M223" s="3"/>
    </row>
    <row r="224" spans="1:13">
      <c r="A224" s="224">
        <v>92351</v>
      </c>
      <c r="B224" s="224" t="s">
        <v>937</v>
      </c>
      <c r="C224" s="100">
        <v>10362.44</v>
      </c>
      <c r="F224" s="69"/>
      <c r="M224" s="3"/>
    </row>
    <row r="225" spans="1:13">
      <c r="A225" s="224">
        <v>92401</v>
      </c>
      <c r="B225" s="224" t="s">
        <v>938</v>
      </c>
      <c r="C225" s="100">
        <v>1500671.12</v>
      </c>
      <c r="F225" s="69"/>
      <c r="M225" s="3"/>
    </row>
    <row r="226" spans="1:13">
      <c r="A226" s="224">
        <v>92403</v>
      </c>
      <c r="B226" s="224" t="s">
        <v>939</v>
      </c>
      <c r="C226" s="100">
        <v>6780.76</v>
      </c>
      <c r="F226" s="69"/>
      <c r="M226" s="3"/>
    </row>
    <row r="227" spans="1:13">
      <c r="A227" s="224">
        <v>92411</v>
      </c>
      <c r="B227" s="224" t="s">
        <v>940</v>
      </c>
      <c r="C227" s="100">
        <v>239607.87</v>
      </c>
      <c r="F227" s="69"/>
      <c r="M227" s="3"/>
    </row>
    <row r="228" spans="1:13">
      <c r="A228" s="224">
        <v>92417</v>
      </c>
      <c r="B228" s="224" t="s">
        <v>941</v>
      </c>
      <c r="C228" s="100">
        <v>6047.18</v>
      </c>
      <c r="F228" s="69"/>
      <c r="M228" s="3"/>
    </row>
    <row r="229" spans="1:13">
      <c r="A229" s="224">
        <v>92421</v>
      </c>
      <c r="B229" s="224" t="s">
        <v>942</v>
      </c>
      <c r="C229" s="100">
        <v>8159.51</v>
      </c>
      <c r="F229" s="69"/>
      <c r="M229" s="3"/>
    </row>
    <row r="230" spans="1:13">
      <c r="A230" s="224">
        <v>92427</v>
      </c>
      <c r="B230" s="224" t="s">
        <v>943</v>
      </c>
      <c r="C230" s="100">
        <v>1795.8</v>
      </c>
      <c r="F230" s="69"/>
      <c r="M230" s="3"/>
    </row>
    <row r="231" spans="1:13">
      <c r="A231" s="224">
        <v>92431</v>
      </c>
      <c r="B231" s="224" t="s">
        <v>944</v>
      </c>
      <c r="C231" s="100">
        <v>18033.13</v>
      </c>
      <c r="F231" s="69"/>
      <c r="M231" s="3"/>
    </row>
    <row r="232" spans="1:13">
      <c r="A232" s="224">
        <v>92441</v>
      </c>
      <c r="B232" s="224" t="s">
        <v>945</v>
      </c>
      <c r="C232" s="100">
        <v>44251.38</v>
      </c>
      <c r="F232" s="69"/>
      <c r="M232" s="3"/>
    </row>
    <row r="233" spans="1:13">
      <c r="A233" s="224">
        <v>92444</v>
      </c>
      <c r="B233" s="224" t="s">
        <v>946</v>
      </c>
      <c r="C233" s="100">
        <v>4223.66</v>
      </c>
      <c r="F233" s="69"/>
      <c r="M233" s="3"/>
    </row>
    <row r="234" spans="1:13">
      <c r="A234" s="224">
        <v>92451</v>
      </c>
      <c r="B234" s="224" t="s">
        <v>947</v>
      </c>
      <c r="C234" s="100">
        <v>84987.63</v>
      </c>
      <c r="F234" s="69"/>
      <c r="M234" s="3"/>
    </row>
    <row r="235" spans="1:13">
      <c r="A235" s="224">
        <v>92461</v>
      </c>
      <c r="B235" s="224" t="s">
        <v>948</v>
      </c>
      <c r="C235" s="100">
        <v>42433.85</v>
      </c>
      <c r="F235" s="69"/>
      <c r="M235" s="3"/>
    </row>
    <row r="236" spans="1:13">
      <c r="A236" s="224">
        <v>92501</v>
      </c>
      <c r="B236" s="224" t="s">
        <v>949</v>
      </c>
      <c r="C236" s="100">
        <v>2146475.44</v>
      </c>
      <c r="F236" s="69"/>
      <c r="M236" s="3"/>
    </row>
    <row r="237" spans="1:13">
      <c r="A237" s="224">
        <v>92502</v>
      </c>
      <c r="B237" s="224" t="s">
        <v>950</v>
      </c>
      <c r="C237" s="100">
        <v>16386.57</v>
      </c>
      <c r="F237" s="69"/>
      <c r="M237" s="3"/>
    </row>
    <row r="238" spans="1:13">
      <c r="A238" s="224">
        <v>92504</v>
      </c>
      <c r="B238" s="224" t="s">
        <v>951</v>
      </c>
      <c r="C238" s="100">
        <v>55299.13</v>
      </c>
      <c r="F238" s="69"/>
      <c r="M238" s="3"/>
    </row>
    <row r="239" spans="1:13">
      <c r="A239" s="224">
        <v>92505</v>
      </c>
      <c r="B239" s="224" t="s">
        <v>952</v>
      </c>
      <c r="C239" s="100">
        <v>135467.60999999999</v>
      </c>
      <c r="F239" s="69"/>
      <c r="M239" s="3"/>
    </row>
    <row r="240" spans="1:13">
      <c r="A240" s="224">
        <v>92506</v>
      </c>
      <c r="B240" s="224" t="s">
        <v>953</v>
      </c>
      <c r="C240" s="100">
        <v>33883.61</v>
      </c>
      <c r="F240" s="69"/>
      <c r="M240" s="3"/>
    </row>
    <row r="241" spans="1:13">
      <c r="A241" s="224">
        <v>92507</v>
      </c>
      <c r="B241" s="224" t="s">
        <v>954</v>
      </c>
      <c r="C241" s="100">
        <v>46922.79</v>
      </c>
      <c r="F241" s="69"/>
      <c r="M241" s="3"/>
    </row>
    <row r="242" spans="1:13">
      <c r="A242" s="224">
        <v>92508</v>
      </c>
      <c r="B242" s="224" t="s">
        <v>955</v>
      </c>
      <c r="C242" s="100">
        <v>198359.12</v>
      </c>
      <c r="F242" s="69"/>
      <c r="M242" s="3"/>
    </row>
    <row r="243" spans="1:13">
      <c r="A243" s="224">
        <v>92511</v>
      </c>
      <c r="B243" s="224" t="s">
        <v>956</v>
      </c>
      <c r="C243" s="100">
        <v>1842811.88</v>
      </c>
      <c r="F243" s="69"/>
      <c r="M243" s="3"/>
    </row>
    <row r="244" spans="1:13">
      <c r="A244" s="224">
        <v>92513</v>
      </c>
      <c r="B244" s="224" t="s">
        <v>957</v>
      </c>
      <c r="C244" s="100">
        <v>1930138.27</v>
      </c>
      <c r="F244" s="69"/>
      <c r="M244" s="3"/>
    </row>
    <row r="245" spans="1:13">
      <c r="A245" s="224">
        <v>92521</v>
      </c>
      <c r="B245" s="224" t="s">
        <v>958</v>
      </c>
      <c r="C245" s="100">
        <v>42170.84</v>
      </c>
      <c r="F245" s="69"/>
      <c r="M245" s="3"/>
    </row>
    <row r="246" spans="1:13">
      <c r="A246" s="224">
        <v>92531</v>
      </c>
      <c r="B246" s="224" t="s">
        <v>959</v>
      </c>
      <c r="C246" s="100">
        <v>406480.1</v>
      </c>
      <c r="F246" s="69"/>
      <c r="M246" s="3"/>
    </row>
    <row r="247" spans="1:13">
      <c r="A247" s="224">
        <v>92541</v>
      </c>
      <c r="B247" s="224" t="s">
        <v>960</v>
      </c>
      <c r="C247" s="100">
        <v>72187.839999999997</v>
      </c>
      <c r="F247" s="69"/>
      <c r="M247" s="3"/>
    </row>
    <row r="248" spans="1:13">
      <c r="A248" s="224">
        <v>92551</v>
      </c>
      <c r="B248" s="224" t="s">
        <v>961</v>
      </c>
      <c r="C248" s="100">
        <v>24611.03</v>
      </c>
      <c r="F248" s="69"/>
      <c r="M248" s="3"/>
    </row>
    <row r="249" spans="1:13">
      <c r="A249" s="224">
        <v>92561</v>
      </c>
      <c r="B249" s="224" t="s">
        <v>962</v>
      </c>
      <c r="C249" s="100">
        <v>10163.27</v>
      </c>
      <c r="F249" s="69"/>
      <c r="M249" s="3"/>
    </row>
    <row r="250" spans="1:13">
      <c r="A250" s="224">
        <v>92571</v>
      </c>
      <c r="B250" s="224" t="s">
        <v>963</v>
      </c>
      <c r="C250" s="100">
        <v>4473.1099999999997</v>
      </c>
      <c r="F250" s="69"/>
      <c r="M250" s="3"/>
    </row>
    <row r="251" spans="1:13">
      <c r="A251" s="224">
        <v>92601</v>
      </c>
      <c r="B251" s="224" t="s">
        <v>964</v>
      </c>
      <c r="C251" s="100">
        <v>7178367.8200000003</v>
      </c>
      <c r="F251" s="69"/>
      <c r="M251" s="3"/>
    </row>
    <row r="252" spans="1:13">
      <c r="A252" s="224">
        <v>92602</v>
      </c>
      <c r="B252" s="224" t="s">
        <v>965</v>
      </c>
      <c r="C252" s="100">
        <v>1757.57</v>
      </c>
      <c r="F252" s="69"/>
      <c r="M252" s="3"/>
    </row>
    <row r="253" spans="1:13">
      <c r="A253" s="224">
        <v>92604</v>
      </c>
      <c r="B253" s="224" t="s">
        <v>966</v>
      </c>
      <c r="C253" s="100">
        <v>214142.14</v>
      </c>
      <c r="F253" s="69"/>
      <c r="M253" s="3"/>
    </row>
    <row r="254" spans="1:13">
      <c r="A254" s="224">
        <v>92607</v>
      </c>
      <c r="B254" s="224" t="s">
        <v>967</v>
      </c>
      <c r="C254" s="100">
        <v>34326.629999999997</v>
      </c>
      <c r="F254" s="69"/>
      <c r="M254" s="3"/>
    </row>
    <row r="255" spans="1:13">
      <c r="A255" s="224">
        <v>92611</v>
      </c>
      <c r="B255" s="224" t="s">
        <v>969</v>
      </c>
      <c r="C255" s="100">
        <v>6167512.8799999999</v>
      </c>
      <c r="F255" s="69"/>
      <c r="M255" s="3"/>
    </row>
    <row r="256" spans="1:13">
      <c r="A256" s="224">
        <v>92613</v>
      </c>
      <c r="B256" s="224" t="s">
        <v>970</v>
      </c>
      <c r="C256" s="100">
        <v>136275.84</v>
      </c>
      <c r="F256" s="69"/>
      <c r="M256" s="3"/>
    </row>
    <row r="257" spans="1:13">
      <c r="A257" s="224">
        <v>92614</v>
      </c>
      <c r="B257" s="224" t="s">
        <v>971</v>
      </c>
      <c r="C257" s="100">
        <v>5457746.2199999997</v>
      </c>
      <c r="F257" s="69"/>
      <c r="M257" s="3"/>
    </row>
    <row r="258" spans="1:13">
      <c r="A258" s="224">
        <v>92621</v>
      </c>
      <c r="B258" s="224" t="s">
        <v>972</v>
      </c>
      <c r="C258" s="100">
        <v>14902.76</v>
      </c>
      <c r="F258" s="69"/>
      <c r="M258" s="3"/>
    </row>
    <row r="259" spans="1:13">
      <c r="A259" s="224">
        <v>92631</v>
      </c>
      <c r="B259" s="224" t="s">
        <v>973</v>
      </c>
      <c r="C259" s="100">
        <v>454395</v>
      </c>
      <c r="F259" s="69"/>
      <c r="M259" s="3"/>
    </row>
    <row r="260" spans="1:13">
      <c r="A260" s="224">
        <v>92641</v>
      </c>
      <c r="B260" s="224" t="s">
        <v>974</v>
      </c>
      <c r="C260" s="100">
        <v>8058.08</v>
      </c>
      <c r="F260" s="69"/>
      <c r="M260" s="3"/>
    </row>
    <row r="261" spans="1:13">
      <c r="A261" s="224">
        <v>92651</v>
      </c>
      <c r="B261" s="224" t="s">
        <v>975</v>
      </c>
      <c r="C261" s="100">
        <v>2707.48</v>
      </c>
      <c r="F261" s="69"/>
      <c r="M261" s="3"/>
    </row>
    <row r="262" spans="1:13">
      <c r="A262" s="224">
        <v>92661</v>
      </c>
      <c r="B262" s="224" t="s">
        <v>976</v>
      </c>
      <c r="C262" s="100">
        <v>570542.14</v>
      </c>
      <c r="F262" s="69"/>
      <c r="M262" s="3"/>
    </row>
    <row r="263" spans="1:13">
      <c r="A263" s="224">
        <v>92671</v>
      </c>
      <c r="B263" s="224" t="s">
        <v>977</v>
      </c>
      <c r="C263" s="100">
        <v>5567.28</v>
      </c>
      <c r="F263" s="69"/>
      <c r="M263" s="3"/>
    </row>
    <row r="264" spans="1:13">
      <c r="A264" s="224">
        <v>92681</v>
      </c>
      <c r="B264" s="224" t="s">
        <v>978</v>
      </c>
      <c r="C264" s="100">
        <v>9049.08</v>
      </c>
      <c r="F264" s="69"/>
      <c r="M264" s="3"/>
    </row>
    <row r="265" spans="1:13">
      <c r="A265" s="224">
        <v>92701</v>
      </c>
      <c r="B265" s="224" t="s">
        <v>979</v>
      </c>
      <c r="C265" s="100">
        <v>1554456.54</v>
      </c>
      <c r="F265" s="69"/>
      <c r="M265" s="3"/>
    </row>
    <row r="266" spans="1:13">
      <c r="A266" s="224">
        <v>92704</v>
      </c>
      <c r="B266" s="224" t="s">
        <v>980</v>
      </c>
      <c r="C266" s="100">
        <v>20231.41</v>
      </c>
      <c r="F266" s="69"/>
      <c r="M266" s="3"/>
    </row>
    <row r="267" spans="1:13">
      <c r="A267" s="224">
        <v>92801</v>
      </c>
      <c r="B267" s="224" t="s">
        <v>981</v>
      </c>
      <c r="C267" s="100">
        <v>2947668.95</v>
      </c>
      <c r="F267" s="69"/>
      <c r="M267" s="3"/>
    </row>
    <row r="268" spans="1:13">
      <c r="A268" s="224">
        <v>92802</v>
      </c>
      <c r="B268" s="224" t="s">
        <v>982</v>
      </c>
      <c r="C268" s="100">
        <v>59756.03</v>
      </c>
      <c r="F268" s="69"/>
      <c r="M268" s="3"/>
    </row>
    <row r="269" spans="1:13">
      <c r="A269" s="224">
        <v>92804</v>
      </c>
      <c r="B269" s="224" t="s">
        <v>983</v>
      </c>
      <c r="C269" s="100">
        <v>70943.360000000001</v>
      </c>
      <c r="F269" s="69"/>
      <c r="M269" s="3"/>
    </row>
    <row r="270" spans="1:13">
      <c r="A270" s="224">
        <v>92811</v>
      </c>
      <c r="B270" s="224" t="s">
        <v>984</v>
      </c>
      <c r="C270" s="100">
        <v>502097.06</v>
      </c>
      <c r="F270" s="69"/>
      <c r="M270" s="3"/>
    </row>
    <row r="271" spans="1:13">
      <c r="A271" s="224">
        <v>92821</v>
      </c>
      <c r="B271" s="224" t="s">
        <v>985</v>
      </c>
      <c r="C271" s="100">
        <v>542419.52</v>
      </c>
      <c r="F271" s="69"/>
      <c r="M271" s="3"/>
    </row>
    <row r="272" spans="1:13">
      <c r="A272" s="224">
        <v>92831</v>
      </c>
      <c r="B272" s="224" t="s">
        <v>986</v>
      </c>
      <c r="C272" s="100">
        <v>146906.98000000001</v>
      </c>
      <c r="F272" s="69"/>
      <c r="M272" s="3"/>
    </row>
    <row r="273" spans="1:13">
      <c r="A273" s="224">
        <v>92841</v>
      </c>
      <c r="B273" s="224" t="s">
        <v>987</v>
      </c>
      <c r="C273" s="100">
        <v>134012.69</v>
      </c>
      <c r="F273" s="69"/>
      <c r="M273" s="3"/>
    </row>
    <row r="274" spans="1:13">
      <c r="A274" s="224">
        <v>92851</v>
      </c>
      <c r="B274" s="224" t="s">
        <v>988</v>
      </c>
      <c r="C274" s="100">
        <v>201341.28</v>
      </c>
      <c r="F274" s="69"/>
      <c r="M274" s="3"/>
    </row>
    <row r="275" spans="1:13">
      <c r="A275" s="224">
        <v>92861</v>
      </c>
      <c r="B275" s="224" t="s">
        <v>989</v>
      </c>
      <c r="C275" s="100">
        <v>163355.29999999999</v>
      </c>
      <c r="F275" s="69"/>
      <c r="M275" s="3"/>
    </row>
    <row r="276" spans="1:13">
      <c r="A276" s="224">
        <v>92901</v>
      </c>
      <c r="B276" s="224" t="s">
        <v>990</v>
      </c>
      <c r="C276" s="100">
        <v>2911769.34</v>
      </c>
      <c r="F276" s="69"/>
      <c r="M276" s="3"/>
    </row>
    <row r="277" spans="1:13">
      <c r="A277" s="224">
        <v>92911</v>
      </c>
      <c r="B277" s="224" t="s">
        <v>991</v>
      </c>
      <c r="C277" s="100">
        <v>1069188.3799999999</v>
      </c>
      <c r="F277" s="69"/>
      <c r="M277" s="3"/>
    </row>
    <row r="278" spans="1:13">
      <c r="A278" s="224">
        <v>92913</v>
      </c>
      <c r="B278" s="224" t="s">
        <v>992</v>
      </c>
      <c r="C278" s="100">
        <v>64321.72</v>
      </c>
      <c r="F278" s="69"/>
      <c r="M278" s="3"/>
    </row>
    <row r="279" spans="1:13">
      <c r="A279" s="224">
        <v>92914</v>
      </c>
      <c r="B279" s="224" t="s">
        <v>993</v>
      </c>
      <c r="C279" s="100">
        <v>14864.82</v>
      </c>
      <c r="F279" s="69"/>
      <c r="M279" s="3"/>
    </row>
    <row r="280" spans="1:13">
      <c r="A280" s="224">
        <v>92917</v>
      </c>
      <c r="B280" s="224" t="s">
        <v>994</v>
      </c>
      <c r="C280" s="100">
        <v>15957.8</v>
      </c>
      <c r="F280" s="69"/>
      <c r="M280" s="3"/>
    </row>
    <row r="281" spans="1:13">
      <c r="A281" s="224">
        <v>92921</v>
      </c>
      <c r="B281" s="224" t="s">
        <v>995</v>
      </c>
      <c r="C281" s="100">
        <v>58694.86</v>
      </c>
      <c r="F281" s="69"/>
      <c r="M281" s="3"/>
    </row>
    <row r="282" spans="1:13">
      <c r="A282" s="224">
        <v>92931</v>
      </c>
      <c r="B282" s="224" t="s">
        <v>996</v>
      </c>
      <c r="C282" s="100">
        <v>1173063.23</v>
      </c>
      <c r="F282" s="69"/>
      <c r="M282" s="3"/>
    </row>
    <row r="283" spans="1:13">
      <c r="A283" s="224">
        <v>92941</v>
      </c>
      <c r="B283" s="224" t="s">
        <v>81</v>
      </c>
      <c r="C283" s="100">
        <v>3668.61</v>
      </c>
      <c r="F283" s="69"/>
      <c r="M283" s="3"/>
    </row>
    <row r="284" spans="1:13">
      <c r="A284" s="224">
        <v>93001</v>
      </c>
      <c r="B284" s="224" t="s">
        <v>997</v>
      </c>
      <c r="C284" s="100">
        <v>1157133.98</v>
      </c>
      <c r="F284" s="69"/>
      <c r="M284" s="3"/>
    </row>
    <row r="285" spans="1:13">
      <c r="A285" s="224">
        <v>93009</v>
      </c>
      <c r="B285" s="224" t="s">
        <v>998</v>
      </c>
      <c r="C285" s="100">
        <v>5485.76</v>
      </c>
      <c r="F285" s="69"/>
      <c r="M285" s="3"/>
    </row>
    <row r="286" spans="1:13">
      <c r="A286" s="224">
        <v>93011</v>
      </c>
      <c r="B286" s="224" t="s">
        <v>999</v>
      </c>
      <c r="C286" s="100">
        <v>161395.35</v>
      </c>
      <c r="F286" s="69"/>
      <c r="M286" s="3"/>
    </row>
    <row r="287" spans="1:13">
      <c r="A287" s="224">
        <v>93021</v>
      </c>
      <c r="B287" s="224" t="s">
        <v>1000</v>
      </c>
      <c r="C287" s="100">
        <v>14982.44</v>
      </c>
      <c r="F287" s="69"/>
      <c r="M287" s="3"/>
    </row>
    <row r="288" spans="1:13">
      <c r="A288" s="224">
        <v>93027</v>
      </c>
      <c r="B288" s="304" t="s">
        <v>3609</v>
      </c>
      <c r="C288" s="100">
        <v>4619.82</v>
      </c>
      <c r="D288" s="224" t="s">
        <v>3612</v>
      </c>
      <c r="F288" s="69"/>
      <c r="M288" s="3"/>
    </row>
    <row r="289" spans="1:13">
      <c r="A289" s="224">
        <v>93031</v>
      </c>
      <c r="B289" s="224" t="s">
        <v>1002</v>
      </c>
      <c r="C289" s="100">
        <v>10966.06</v>
      </c>
      <c r="F289" s="69"/>
      <c r="M289" s="3"/>
    </row>
    <row r="290" spans="1:13">
      <c r="A290" s="224">
        <v>93101</v>
      </c>
      <c r="B290" s="224" t="s">
        <v>1003</v>
      </c>
      <c r="C290" s="100">
        <v>1606115.76</v>
      </c>
      <c r="F290" s="69"/>
      <c r="M290" s="3"/>
    </row>
    <row r="291" spans="1:13">
      <c r="A291" s="224">
        <v>93103</v>
      </c>
      <c r="B291" s="224" t="s">
        <v>260</v>
      </c>
      <c r="C291" s="100">
        <v>6272.57</v>
      </c>
      <c r="F291" s="69"/>
      <c r="M291" s="3"/>
    </row>
    <row r="292" spans="1:13">
      <c r="A292" s="224">
        <v>93108</v>
      </c>
      <c r="B292" s="224" t="s">
        <v>1004</v>
      </c>
      <c r="C292" s="100">
        <v>1216604.81</v>
      </c>
      <c r="F292" s="69"/>
      <c r="M292" s="3"/>
    </row>
    <row r="293" spans="1:13">
      <c r="A293" s="224">
        <v>93111</v>
      </c>
      <c r="B293" s="224" t="s">
        <v>1005</v>
      </c>
      <c r="C293" s="100">
        <v>29490.03</v>
      </c>
      <c r="F293" s="69"/>
      <c r="M293" s="3"/>
    </row>
    <row r="294" spans="1:13">
      <c r="A294" s="224">
        <v>93121</v>
      </c>
      <c r="B294" s="224" t="s">
        <v>1006</v>
      </c>
      <c r="C294" s="100">
        <v>34376.699999999997</v>
      </c>
      <c r="F294" s="69"/>
      <c r="M294" s="3"/>
    </row>
    <row r="295" spans="1:13">
      <c r="A295" s="224">
        <v>93127</v>
      </c>
      <c r="B295" s="224" t="s">
        <v>1007</v>
      </c>
      <c r="C295" s="100">
        <v>3063.77</v>
      </c>
      <c r="F295" s="69"/>
      <c r="M295" s="3"/>
    </row>
    <row r="296" spans="1:13">
      <c r="A296" s="224">
        <v>93131</v>
      </c>
      <c r="B296" s="224" t="s">
        <v>1008</v>
      </c>
      <c r="C296" s="100">
        <v>99350.17</v>
      </c>
      <c r="F296" s="69"/>
      <c r="M296" s="3"/>
    </row>
    <row r="297" spans="1:13">
      <c r="A297" s="224">
        <v>93137</v>
      </c>
      <c r="B297" s="224" t="s">
        <v>1009</v>
      </c>
      <c r="C297" s="100">
        <v>3215.07</v>
      </c>
      <c r="F297" s="69"/>
      <c r="M297" s="3"/>
    </row>
    <row r="298" spans="1:13">
      <c r="A298" s="224">
        <v>93141</v>
      </c>
      <c r="B298" s="224" t="s">
        <v>1010</v>
      </c>
      <c r="C298" s="100">
        <v>18666</v>
      </c>
      <c r="F298" s="69"/>
      <c r="M298" s="3"/>
    </row>
    <row r="299" spans="1:13">
      <c r="A299" s="224">
        <v>93151</v>
      </c>
      <c r="B299" s="224" t="s">
        <v>1011</v>
      </c>
      <c r="C299" s="100">
        <v>168668.45</v>
      </c>
      <c r="F299" s="69"/>
      <c r="M299" s="3"/>
    </row>
    <row r="300" spans="1:13">
      <c r="A300" s="224">
        <v>93157</v>
      </c>
      <c r="B300" s="224" t="s">
        <v>1012</v>
      </c>
      <c r="C300" s="100">
        <v>6856.04</v>
      </c>
      <c r="F300" s="69"/>
      <c r="M300" s="3"/>
    </row>
    <row r="301" spans="1:13">
      <c r="A301" s="224">
        <v>93161</v>
      </c>
      <c r="B301" s="224" t="s">
        <v>1013</v>
      </c>
      <c r="C301" s="100">
        <v>57378.37</v>
      </c>
      <c r="F301" s="69"/>
      <c r="M301" s="3"/>
    </row>
    <row r="302" spans="1:13">
      <c r="A302" s="224">
        <v>93171</v>
      </c>
      <c r="B302" s="224" t="s">
        <v>1014</v>
      </c>
      <c r="C302" s="100">
        <v>5049.51</v>
      </c>
      <c r="F302" s="69"/>
      <c r="M302" s="3"/>
    </row>
    <row r="303" spans="1:13">
      <c r="A303" s="224">
        <v>93181</v>
      </c>
      <c r="B303" s="224" t="s">
        <v>1015</v>
      </c>
      <c r="C303" s="100">
        <v>6285.27</v>
      </c>
      <c r="F303" s="69"/>
      <c r="M303" s="3"/>
    </row>
    <row r="304" spans="1:13">
      <c r="A304" s="224">
        <v>93191</v>
      </c>
      <c r="B304" s="224" t="s">
        <v>1016</v>
      </c>
      <c r="C304" s="100">
        <v>17982.41</v>
      </c>
      <c r="F304" s="69"/>
      <c r="M304" s="3"/>
    </row>
    <row r="305" spans="1:13">
      <c r="A305" s="224">
        <v>93201</v>
      </c>
      <c r="B305" s="224" t="s">
        <v>1017</v>
      </c>
      <c r="C305" s="100">
        <v>8195205.0199999996</v>
      </c>
      <c r="F305" s="69"/>
      <c r="M305" s="3"/>
    </row>
    <row r="306" spans="1:13">
      <c r="A306" s="224">
        <v>93204</v>
      </c>
      <c r="B306" s="224" t="s">
        <v>1019</v>
      </c>
      <c r="C306" s="100">
        <v>178972.2</v>
      </c>
      <c r="F306" s="69"/>
      <c r="M306" s="3"/>
    </row>
    <row r="307" spans="1:13">
      <c r="A307" s="224">
        <v>93209</v>
      </c>
      <c r="B307" s="224" t="s">
        <v>1020</v>
      </c>
      <c r="C307" s="100">
        <v>2614374.9900000002</v>
      </c>
      <c r="F307" s="69"/>
      <c r="M307" s="3"/>
    </row>
    <row r="308" spans="1:13">
      <c r="A308" s="224">
        <v>93211</v>
      </c>
      <c r="B308" s="224" t="s">
        <v>1021</v>
      </c>
      <c r="C308" s="100">
        <v>11446327.32</v>
      </c>
      <c r="F308" s="69"/>
      <c r="M308" s="3"/>
    </row>
    <row r="309" spans="1:13">
      <c r="A309" s="224">
        <v>93212</v>
      </c>
      <c r="B309" s="224" t="s">
        <v>1022</v>
      </c>
      <c r="C309" s="100">
        <v>239714.07</v>
      </c>
      <c r="F309" s="69"/>
      <c r="M309" s="3"/>
    </row>
    <row r="310" spans="1:13">
      <c r="A310" s="224">
        <v>93219</v>
      </c>
      <c r="B310" s="224" t="s">
        <v>1023</v>
      </c>
      <c r="C310" s="100">
        <v>148151.73000000001</v>
      </c>
      <c r="F310" s="69"/>
      <c r="M310" s="3"/>
    </row>
    <row r="311" spans="1:13">
      <c r="A311" s="224">
        <v>93301</v>
      </c>
      <c r="B311" s="224" t="s">
        <v>1024</v>
      </c>
      <c r="C311" s="100">
        <v>1217879.82</v>
      </c>
      <c r="F311" s="69"/>
      <c r="M311" s="3"/>
    </row>
    <row r="312" spans="1:13">
      <c r="A312" s="224">
        <v>93304</v>
      </c>
      <c r="B312" s="224" t="s">
        <v>1025</v>
      </c>
      <c r="C312" s="100">
        <v>23575.84</v>
      </c>
      <c r="F312" s="69"/>
      <c r="M312" s="3"/>
    </row>
    <row r="313" spans="1:13">
      <c r="A313" s="224">
        <v>93305</v>
      </c>
      <c r="B313" s="224" t="s">
        <v>1026</v>
      </c>
      <c r="C313" s="100">
        <v>21160.73</v>
      </c>
      <c r="F313" s="69"/>
      <c r="M313" s="3"/>
    </row>
    <row r="314" spans="1:13">
      <c r="A314" s="224">
        <v>93309</v>
      </c>
      <c r="B314" s="224" t="s">
        <v>1027</v>
      </c>
      <c r="C314" s="100">
        <v>102326.45</v>
      </c>
      <c r="F314" s="69"/>
      <c r="M314" s="3"/>
    </row>
    <row r="315" spans="1:13">
      <c r="A315" s="224">
        <v>93311</v>
      </c>
      <c r="B315" s="224" t="s">
        <v>1028</v>
      </c>
      <c r="C315" s="100">
        <v>587024.14</v>
      </c>
      <c r="F315" s="69"/>
      <c r="M315" s="3"/>
    </row>
    <row r="316" spans="1:13">
      <c r="A316" s="224">
        <v>93317</v>
      </c>
      <c r="B316" s="224" t="s">
        <v>1029</v>
      </c>
      <c r="C316" s="100">
        <v>24153.43</v>
      </c>
      <c r="F316" s="69"/>
      <c r="M316" s="3"/>
    </row>
    <row r="317" spans="1:13">
      <c r="A317" s="224">
        <v>93321</v>
      </c>
      <c r="B317" s="224" t="s">
        <v>1030</v>
      </c>
      <c r="C317" s="100">
        <v>3551024.55</v>
      </c>
      <c r="F317" s="69"/>
      <c r="M317" s="3"/>
    </row>
    <row r="318" spans="1:13">
      <c r="A318" s="224">
        <v>93323</v>
      </c>
      <c r="B318" s="224" t="s">
        <v>1031</v>
      </c>
      <c r="C318" s="100">
        <v>8939.7000000000007</v>
      </c>
      <c r="F318" s="69"/>
      <c r="M318" s="3"/>
    </row>
    <row r="319" spans="1:13">
      <c r="A319" s="224">
        <v>93331</v>
      </c>
      <c r="B319" s="224" t="s">
        <v>1032</v>
      </c>
      <c r="C319" s="100">
        <v>59492.94</v>
      </c>
      <c r="F319" s="69"/>
      <c r="M319" s="3"/>
    </row>
    <row r="320" spans="1:13">
      <c r="A320" s="224">
        <v>93333</v>
      </c>
      <c r="B320" s="224" t="s">
        <v>1033</v>
      </c>
      <c r="C320" s="100">
        <v>128244.78</v>
      </c>
      <c r="F320" s="69"/>
      <c r="M320" s="3"/>
    </row>
    <row r="321" spans="1:13">
      <c r="A321" s="224">
        <v>93341</v>
      </c>
      <c r="B321" s="224" t="s">
        <v>1034</v>
      </c>
      <c r="C321" s="100">
        <v>16069</v>
      </c>
      <c r="F321" s="69"/>
      <c r="M321" s="3"/>
    </row>
    <row r="322" spans="1:13">
      <c r="A322" s="224">
        <v>93351</v>
      </c>
      <c r="B322" s="224" t="s">
        <v>1035</v>
      </c>
      <c r="C322" s="100">
        <v>9853.19</v>
      </c>
      <c r="F322" s="69"/>
      <c r="M322" s="3"/>
    </row>
    <row r="323" spans="1:13">
      <c r="A323" s="224">
        <v>93401</v>
      </c>
      <c r="B323" s="224" t="s">
        <v>1036</v>
      </c>
      <c r="C323" s="100">
        <v>7243217.04</v>
      </c>
      <c r="F323" s="69"/>
      <c r="M323" s="3"/>
    </row>
    <row r="324" spans="1:13">
      <c r="A324" s="224">
        <v>93402</v>
      </c>
      <c r="B324" s="224" t="s">
        <v>1037</v>
      </c>
      <c r="C324" s="100">
        <v>21492.240000000002</v>
      </c>
      <c r="F324" s="69"/>
      <c r="M324" s="3"/>
    </row>
    <row r="325" spans="1:13">
      <c r="A325" s="224">
        <v>93406</v>
      </c>
      <c r="B325" s="224" t="s">
        <v>1038</v>
      </c>
      <c r="C325" s="100">
        <v>280895.17</v>
      </c>
      <c r="F325" s="69"/>
      <c r="M325" s="3"/>
    </row>
    <row r="326" spans="1:13">
      <c r="A326" s="224">
        <v>93411</v>
      </c>
      <c r="B326" s="224" t="s">
        <v>1040</v>
      </c>
      <c r="C326" s="100">
        <v>9444604.1300000008</v>
      </c>
      <c r="F326" s="69"/>
      <c r="M326" s="3"/>
    </row>
    <row r="327" spans="1:13">
      <c r="A327" s="224">
        <v>93413</v>
      </c>
      <c r="B327" s="224" t="s">
        <v>1041</v>
      </c>
      <c r="C327" s="100">
        <v>395125.02</v>
      </c>
      <c r="F327" s="69"/>
      <c r="M327" s="3"/>
    </row>
    <row r="328" spans="1:13">
      <c r="A328" s="224">
        <v>93417</v>
      </c>
      <c r="B328" s="224" t="s">
        <v>1042</v>
      </c>
      <c r="C328" s="100">
        <v>191519.15</v>
      </c>
      <c r="F328" s="69"/>
      <c r="M328" s="3"/>
    </row>
    <row r="329" spans="1:13">
      <c r="A329" s="224">
        <v>93421</v>
      </c>
      <c r="B329" s="224" t="s">
        <v>1043</v>
      </c>
      <c r="C329" s="100">
        <v>1010882.32</v>
      </c>
      <c r="F329" s="69"/>
      <c r="M329" s="3"/>
    </row>
    <row r="330" spans="1:13">
      <c r="A330" s="224">
        <v>93431</v>
      </c>
      <c r="B330" s="224" t="s">
        <v>1044</v>
      </c>
      <c r="C330" s="100">
        <v>73539.02</v>
      </c>
      <c r="F330" s="69"/>
      <c r="M330" s="3"/>
    </row>
    <row r="331" spans="1:13">
      <c r="A331" s="224">
        <v>93441</v>
      </c>
      <c r="B331" s="224" t="s">
        <v>1045</v>
      </c>
      <c r="C331" s="100">
        <v>81856.039999999994</v>
      </c>
      <c r="F331" s="69"/>
      <c r="M331" s="3"/>
    </row>
    <row r="332" spans="1:13">
      <c r="A332" s="224">
        <v>93442</v>
      </c>
      <c r="B332" s="224" t="s">
        <v>1046</v>
      </c>
      <c r="C332" s="100">
        <v>70393.5</v>
      </c>
      <c r="F332" s="69"/>
      <c r="M332" s="3"/>
    </row>
    <row r="333" spans="1:13">
      <c r="A333" s="224">
        <v>93451</v>
      </c>
      <c r="B333" s="224" t="s">
        <v>1047</v>
      </c>
      <c r="C333" s="100">
        <v>47773.23</v>
      </c>
      <c r="F333" s="69"/>
      <c r="M333" s="3"/>
    </row>
    <row r="334" spans="1:13">
      <c r="A334" s="224">
        <v>93461</v>
      </c>
      <c r="B334" s="224" t="s">
        <v>1048</v>
      </c>
      <c r="C334" s="100">
        <v>8560.68</v>
      </c>
      <c r="F334" s="69"/>
      <c r="M334" s="3"/>
    </row>
    <row r="335" spans="1:13">
      <c r="A335" s="224">
        <v>93471</v>
      </c>
      <c r="B335" s="224" t="s">
        <v>1049</v>
      </c>
      <c r="C335" s="100">
        <v>9132.39</v>
      </c>
      <c r="F335" s="69"/>
      <c r="M335" s="3"/>
    </row>
    <row r="336" spans="1:13">
      <c r="A336" s="224">
        <v>93501</v>
      </c>
      <c r="B336" s="224" t="s">
        <v>1050</v>
      </c>
      <c r="C336" s="100">
        <v>1961932.46</v>
      </c>
      <c r="F336" s="69"/>
      <c r="M336" s="3"/>
    </row>
    <row r="337" spans="1:13">
      <c r="A337" s="224">
        <v>93511</v>
      </c>
      <c r="B337" s="224" t="s">
        <v>1051</v>
      </c>
      <c r="C337" s="100">
        <v>54732.4</v>
      </c>
      <c r="F337" s="69"/>
      <c r="M337" s="3"/>
    </row>
    <row r="338" spans="1:13">
      <c r="A338" s="224">
        <v>93517</v>
      </c>
      <c r="B338" s="224" t="s">
        <v>1052</v>
      </c>
      <c r="C338" s="100">
        <v>4924.68</v>
      </c>
      <c r="F338" s="69"/>
      <c r="M338" s="3"/>
    </row>
    <row r="339" spans="1:13">
      <c r="A339" s="224">
        <v>93521</v>
      </c>
      <c r="B339" s="224" t="s">
        <v>1053</v>
      </c>
      <c r="C339" s="100">
        <v>254897.06</v>
      </c>
      <c r="F339" s="69"/>
      <c r="M339" s="3"/>
    </row>
    <row r="340" spans="1:13">
      <c r="A340" s="224">
        <v>93527</v>
      </c>
      <c r="B340" s="224" t="s">
        <v>1054</v>
      </c>
      <c r="C340" s="100">
        <v>9872.25</v>
      </c>
      <c r="F340" s="69"/>
      <c r="M340" s="3"/>
    </row>
    <row r="341" spans="1:13">
      <c r="A341" s="224">
        <v>93531</v>
      </c>
      <c r="B341" s="224" t="s">
        <v>1055</v>
      </c>
      <c r="C341" s="100">
        <v>13068.48</v>
      </c>
      <c r="F341" s="69"/>
      <c r="M341" s="3"/>
    </row>
    <row r="342" spans="1:13">
      <c r="A342" s="224">
        <v>93537</v>
      </c>
      <c r="B342" s="224" t="s">
        <v>1056</v>
      </c>
      <c r="C342" s="100">
        <v>4533.1000000000004</v>
      </c>
      <c r="F342" s="69"/>
      <c r="M342" s="3"/>
    </row>
    <row r="343" spans="1:13">
      <c r="A343" s="224">
        <v>93541</v>
      </c>
      <c r="B343" s="224" t="s">
        <v>1057</v>
      </c>
      <c r="C343" s="100">
        <v>53968.15</v>
      </c>
      <c r="F343" s="69"/>
      <c r="M343" s="3"/>
    </row>
    <row r="344" spans="1:13">
      <c r="A344" s="224">
        <v>93601</v>
      </c>
      <c r="B344" s="224" t="s">
        <v>1058</v>
      </c>
      <c r="C344" s="100">
        <v>5992723.9199999999</v>
      </c>
      <c r="F344" s="69"/>
      <c r="M344" s="3"/>
    </row>
    <row r="345" spans="1:13">
      <c r="A345" s="224">
        <v>93602</v>
      </c>
      <c r="B345" s="224" t="s">
        <v>1059</v>
      </c>
      <c r="C345" s="100">
        <v>108807.1</v>
      </c>
      <c r="F345" s="69"/>
      <c r="M345" s="3"/>
    </row>
    <row r="346" spans="1:13">
      <c r="A346" s="224">
        <v>93604</v>
      </c>
      <c r="B346" s="224" t="s">
        <v>1926</v>
      </c>
      <c r="C346" s="100">
        <v>16339.22</v>
      </c>
      <c r="F346" s="69"/>
      <c r="M346" s="3"/>
    </row>
    <row r="347" spans="1:13">
      <c r="A347" s="224">
        <v>93609</v>
      </c>
      <c r="B347" s="224" t="s">
        <v>1060</v>
      </c>
      <c r="C347" s="100">
        <v>1968207.82</v>
      </c>
      <c r="F347" s="69"/>
      <c r="M347" s="3"/>
    </row>
    <row r="348" spans="1:13">
      <c r="A348" s="224">
        <v>93610</v>
      </c>
      <c r="B348" s="224" t="s">
        <v>1061</v>
      </c>
      <c r="C348" s="100">
        <v>7152.4</v>
      </c>
      <c r="F348" s="69"/>
      <c r="M348" s="3"/>
    </row>
    <row r="349" spans="1:13">
      <c r="A349" s="224">
        <v>93611</v>
      </c>
      <c r="B349" s="224" t="s">
        <v>1062</v>
      </c>
      <c r="C349" s="100">
        <v>3643954.74</v>
      </c>
      <c r="F349" s="69"/>
      <c r="M349" s="3"/>
    </row>
    <row r="350" spans="1:13">
      <c r="A350" s="224">
        <v>93617</v>
      </c>
      <c r="B350" s="224" t="s">
        <v>1063</v>
      </c>
      <c r="C350" s="100">
        <v>57791.91</v>
      </c>
      <c r="F350" s="69"/>
      <c r="M350" s="3"/>
    </row>
    <row r="351" spans="1:13">
      <c r="A351" s="224">
        <v>93618</v>
      </c>
      <c r="B351" s="224" t="s">
        <v>1064</v>
      </c>
      <c r="C351" s="100">
        <v>26457.360000000001</v>
      </c>
      <c r="F351" s="69"/>
      <c r="M351" s="3"/>
    </row>
    <row r="352" spans="1:13">
      <c r="A352" s="224">
        <v>93621</v>
      </c>
      <c r="B352" s="224" t="s">
        <v>1065</v>
      </c>
      <c r="C352" s="100">
        <v>518880.93</v>
      </c>
      <c r="F352" s="69"/>
      <c r="M352" s="3"/>
    </row>
    <row r="353" spans="1:13">
      <c r="A353" s="224">
        <v>93623</v>
      </c>
      <c r="B353" s="224" t="s">
        <v>1066</v>
      </c>
      <c r="C353" s="100">
        <v>6913.62</v>
      </c>
      <c r="F353" s="69"/>
      <c r="M353" s="3"/>
    </row>
    <row r="354" spans="1:13">
      <c r="A354" s="224">
        <v>93631</v>
      </c>
      <c r="B354" s="224" t="s">
        <v>1067</v>
      </c>
      <c r="C354" s="100">
        <v>116246.94</v>
      </c>
      <c r="F354" s="69"/>
      <c r="M354" s="3"/>
    </row>
    <row r="355" spans="1:13">
      <c r="A355" s="224">
        <v>93641</v>
      </c>
      <c r="B355" s="224" t="s">
        <v>1068</v>
      </c>
      <c r="C355" s="100">
        <v>227358.34</v>
      </c>
      <c r="F355" s="69"/>
      <c r="M355" s="3"/>
    </row>
    <row r="356" spans="1:13">
      <c r="A356" s="224">
        <v>93647</v>
      </c>
      <c r="B356" s="224" t="s">
        <v>1069</v>
      </c>
      <c r="C356" s="100">
        <v>10194.91</v>
      </c>
      <c r="F356" s="69"/>
      <c r="M356" s="3"/>
    </row>
    <row r="357" spans="1:13">
      <c r="A357" s="224">
        <v>93651</v>
      </c>
      <c r="B357" s="224" t="s">
        <v>1070</v>
      </c>
      <c r="C357" s="100">
        <v>216921.48</v>
      </c>
      <c r="F357" s="69"/>
      <c r="M357" s="3"/>
    </row>
    <row r="358" spans="1:13">
      <c r="A358" s="224">
        <v>93661</v>
      </c>
      <c r="B358" s="224" t="s">
        <v>1071</v>
      </c>
      <c r="C358" s="100">
        <v>73068.05</v>
      </c>
      <c r="F358" s="69"/>
      <c r="M358" s="3"/>
    </row>
    <row r="359" spans="1:13">
      <c r="A359" s="224">
        <v>93671</v>
      </c>
      <c r="B359" s="224" t="s">
        <v>1072</v>
      </c>
      <c r="C359" s="100">
        <v>199416.52</v>
      </c>
      <c r="F359" s="69"/>
      <c r="M359" s="3"/>
    </row>
    <row r="360" spans="1:13">
      <c r="A360" s="224">
        <v>93681</v>
      </c>
      <c r="B360" s="224" t="s">
        <v>1073</v>
      </c>
      <c r="C360" s="100">
        <v>62533.82</v>
      </c>
      <c r="F360" s="69"/>
      <c r="M360" s="3"/>
    </row>
    <row r="361" spans="1:13">
      <c r="A361" s="224">
        <v>93691</v>
      </c>
      <c r="B361" s="224" t="s">
        <v>1074</v>
      </c>
      <c r="C361" s="100">
        <v>547057.78</v>
      </c>
      <c r="F361" s="69"/>
      <c r="M361" s="3"/>
    </row>
    <row r="362" spans="1:13">
      <c r="A362" s="224">
        <v>93701</v>
      </c>
      <c r="B362" s="224" t="s">
        <v>1075</v>
      </c>
      <c r="C362" s="100">
        <v>230165.51</v>
      </c>
      <c r="F362" s="69"/>
      <c r="M362" s="3"/>
    </row>
    <row r="363" spans="1:13">
      <c r="A363" s="224">
        <v>93704</v>
      </c>
      <c r="B363" s="224" t="s">
        <v>1076</v>
      </c>
      <c r="C363" s="100">
        <v>2097.84</v>
      </c>
      <c r="F363" s="69"/>
      <c r="M363" s="3"/>
    </row>
    <row r="364" spans="1:13">
      <c r="A364" s="224">
        <v>93801</v>
      </c>
      <c r="B364" s="224" t="s">
        <v>1077</v>
      </c>
      <c r="C364" s="100">
        <v>230712.81</v>
      </c>
      <c r="F364" s="69"/>
      <c r="M364" s="3"/>
    </row>
    <row r="365" spans="1:13">
      <c r="A365" s="224">
        <v>93803</v>
      </c>
      <c r="B365" s="224" t="s">
        <v>1078</v>
      </c>
      <c r="C365" s="100">
        <v>48348.65</v>
      </c>
      <c r="F365" s="69"/>
      <c r="M365" s="3"/>
    </row>
    <row r="366" spans="1:13">
      <c r="A366" s="224">
        <v>93806</v>
      </c>
      <c r="B366" s="224" t="s">
        <v>1079</v>
      </c>
      <c r="C366" s="100">
        <v>40415.230000000003</v>
      </c>
      <c r="F366" s="69"/>
      <c r="M366" s="3"/>
    </row>
    <row r="367" spans="1:13">
      <c r="A367" s="224">
        <v>93821</v>
      </c>
      <c r="B367" s="224" t="s">
        <v>1080</v>
      </c>
      <c r="C367" s="100">
        <v>34266.559999999998</v>
      </c>
      <c r="F367" s="69"/>
      <c r="M367" s="3"/>
    </row>
    <row r="368" spans="1:13">
      <c r="A368" s="224">
        <v>93901</v>
      </c>
      <c r="B368" s="224" t="s">
        <v>1081</v>
      </c>
      <c r="C368" s="100">
        <v>1059410.22</v>
      </c>
      <c r="F368" s="69"/>
      <c r="M368" s="3"/>
    </row>
    <row r="369" spans="1:13">
      <c r="A369" s="224">
        <v>93904</v>
      </c>
      <c r="B369" s="224" t="s">
        <v>1082</v>
      </c>
      <c r="C369" s="100">
        <v>23658.09</v>
      </c>
      <c r="F369" s="69"/>
      <c r="M369" s="3"/>
    </row>
    <row r="370" spans="1:13">
      <c r="A370" s="224">
        <v>93906</v>
      </c>
      <c r="B370" s="224" t="s">
        <v>1083</v>
      </c>
      <c r="C370" s="100">
        <v>1598215.31</v>
      </c>
      <c r="F370" s="69"/>
      <c r="M370" s="3"/>
    </row>
    <row r="371" spans="1:13">
      <c r="A371" s="224">
        <v>93908</v>
      </c>
      <c r="B371" s="224" t="s">
        <v>1084</v>
      </c>
      <c r="C371" s="100">
        <v>255757.96</v>
      </c>
      <c r="F371" s="69"/>
      <c r="M371" s="3"/>
    </row>
    <row r="372" spans="1:13">
      <c r="A372" s="224">
        <v>93910</v>
      </c>
      <c r="B372" s="224" t="s">
        <v>1085</v>
      </c>
      <c r="C372" s="100">
        <v>128757.39</v>
      </c>
      <c r="F372" s="69"/>
      <c r="M372" s="3"/>
    </row>
    <row r="373" spans="1:13">
      <c r="A373" s="224">
        <v>93911</v>
      </c>
      <c r="B373" s="224" t="s">
        <v>1086</v>
      </c>
      <c r="C373" s="100">
        <v>344208.25</v>
      </c>
      <c r="F373" s="69"/>
      <c r="M373" s="3"/>
    </row>
    <row r="374" spans="1:13">
      <c r="A374" s="224">
        <v>93913</v>
      </c>
      <c r="B374" s="224" t="s">
        <v>1087</v>
      </c>
      <c r="C374" s="100">
        <v>33212.26</v>
      </c>
      <c r="F374" s="69"/>
      <c r="M374" s="3"/>
    </row>
    <row r="375" spans="1:13">
      <c r="A375" s="224">
        <v>93914</v>
      </c>
      <c r="B375" s="224" t="s">
        <v>1088</v>
      </c>
      <c r="C375" s="100">
        <v>6747.15</v>
      </c>
      <c r="F375" s="69"/>
      <c r="M375" s="3"/>
    </row>
    <row r="376" spans="1:13">
      <c r="A376" s="224">
        <v>93921</v>
      </c>
      <c r="B376" s="224" t="s">
        <v>1089</v>
      </c>
      <c r="C376" s="100">
        <v>134011.79999999999</v>
      </c>
      <c r="F376" s="69"/>
      <c r="M376" s="3"/>
    </row>
    <row r="377" spans="1:13">
      <c r="A377" s="224">
        <v>93931</v>
      </c>
      <c r="B377" s="224" t="s">
        <v>1090</v>
      </c>
      <c r="C377" s="100">
        <v>251850.67</v>
      </c>
      <c r="F377" s="69"/>
      <c r="M377" s="3"/>
    </row>
    <row r="378" spans="1:13">
      <c r="A378" s="224">
        <v>94001</v>
      </c>
      <c r="B378" s="224" t="s">
        <v>1091</v>
      </c>
      <c r="C378" s="100">
        <v>513110.87</v>
      </c>
      <c r="F378" s="69"/>
      <c r="M378" s="3"/>
    </row>
    <row r="379" spans="1:13">
      <c r="A379" s="224">
        <v>94002</v>
      </c>
      <c r="B379" s="224" t="s">
        <v>1092</v>
      </c>
      <c r="C379" s="100">
        <v>5071.04</v>
      </c>
      <c r="F379" s="69"/>
      <c r="M379" s="3"/>
    </row>
    <row r="380" spans="1:13">
      <c r="A380" s="224">
        <v>94004</v>
      </c>
      <c r="B380" s="224" t="s">
        <v>1093</v>
      </c>
      <c r="C380" s="100">
        <v>4962.3599999999997</v>
      </c>
      <c r="F380" s="69"/>
      <c r="M380" s="3"/>
    </row>
    <row r="381" spans="1:13">
      <c r="A381" s="224">
        <v>94005</v>
      </c>
      <c r="B381" s="224" t="s">
        <v>1094</v>
      </c>
      <c r="C381" s="100">
        <v>2273.25</v>
      </c>
      <c r="F381" s="69"/>
      <c r="M381" s="3"/>
    </row>
    <row r="382" spans="1:13">
      <c r="A382" s="224">
        <v>94011</v>
      </c>
      <c r="B382" s="224" t="s">
        <v>1095</v>
      </c>
      <c r="C382" s="100">
        <v>12786.57</v>
      </c>
      <c r="F382" s="69"/>
      <c r="M382" s="3"/>
    </row>
    <row r="383" spans="1:13">
      <c r="A383" s="224">
        <v>94021</v>
      </c>
      <c r="B383" s="224" t="s">
        <v>1096</v>
      </c>
      <c r="C383" s="100">
        <v>55111.8</v>
      </c>
      <c r="F383" s="69"/>
      <c r="M383" s="3"/>
    </row>
    <row r="384" spans="1:13">
      <c r="A384" s="224">
        <v>94031</v>
      </c>
      <c r="B384" s="224" t="s">
        <v>1097</v>
      </c>
      <c r="C384" s="100">
        <v>7792.36</v>
      </c>
      <c r="F384" s="69"/>
      <c r="M384" s="3"/>
    </row>
    <row r="385" spans="1:13">
      <c r="A385" s="224">
        <v>94101</v>
      </c>
      <c r="B385" s="224" t="s">
        <v>1098</v>
      </c>
      <c r="C385" s="100">
        <v>9599201.9600000009</v>
      </c>
      <c r="F385" s="69"/>
      <c r="M385" s="3"/>
    </row>
    <row r="386" spans="1:13">
      <c r="A386" s="224">
        <v>94102</v>
      </c>
      <c r="B386" s="224" t="s">
        <v>1099</v>
      </c>
      <c r="C386" s="100">
        <v>137042.84</v>
      </c>
      <c r="F386" s="69"/>
      <c r="M386" s="3"/>
    </row>
    <row r="387" spans="1:13">
      <c r="A387" s="224">
        <v>94108</v>
      </c>
      <c r="B387" s="224" t="s">
        <v>1100</v>
      </c>
      <c r="C387" s="100">
        <v>151392.94</v>
      </c>
      <c r="F387" s="69"/>
      <c r="M387" s="3"/>
    </row>
    <row r="388" spans="1:13">
      <c r="A388" s="224">
        <v>94109</v>
      </c>
      <c r="B388" s="224" t="s">
        <v>1101</v>
      </c>
      <c r="C388" s="100">
        <v>40200.71</v>
      </c>
      <c r="F388" s="69"/>
      <c r="M388" s="3"/>
    </row>
    <row r="389" spans="1:13">
      <c r="A389" s="224">
        <v>94111</v>
      </c>
      <c r="B389" s="224" t="s">
        <v>1102</v>
      </c>
      <c r="C389" s="100">
        <v>12978769.220000001</v>
      </c>
      <c r="F389" s="69"/>
      <c r="M389" s="3"/>
    </row>
    <row r="390" spans="1:13">
      <c r="A390" s="224">
        <v>94112</v>
      </c>
      <c r="B390" s="224" t="s">
        <v>1103</v>
      </c>
      <c r="C390" s="100">
        <v>82758.67</v>
      </c>
      <c r="F390" s="69"/>
      <c r="M390" s="3"/>
    </row>
    <row r="391" spans="1:13">
      <c r="A391" s="224">
        <v>94117</v>
      </c>
      <c r="B391" s="224" t="s">
        <v>1104</v>
      </c>
      <c r="C391" s="100">
        <v>194383.9</v>
      </c>
      <c r="F391" s="69"/>
      <c r="M391" s="3"/>
    </row>
    <row r="392" spans="1:13">
      <c r="A392" s="224">
        <v>94118</v>
      </c>
      <c r="B392" s="224" t="s">
        <v>1105</v>
      </c>
      <c r="C392" s="100">
        <v>68053.460000000006</v>
      </c>
      <c r="F392" s="69"/>
      <c r="M392" s="3"/>
    </row>
    <row r="393" spans="1:13">
      <c r="A393" s="224">
        <v>94121</v>
      </c>
      <c r="B393" s="224" t="s">
        <v>1106</v>
      </c>
      <c r="C393" s="100">
        <v>6095981.1100000003</v>
      </c>
      <c r="F393" s="69"/>
      <c r="M393" s="3"/>
    </row>
    <row r="394" spans="1:13">
      <c r="A394" s="224">
        <v>94127</v>
      </c>
      <c r="B394" s="224" t="s">
        <v>1107</v>
      </c>
      <c r="C394" s="100">
        <v>78842.539999999994</v>
      </c>
      <c r="F394" s="69"/>
      <c r="M394" s="3"/>
    </row>
    <row r="395" spans="1:13">
      <c r="A395" s="224">
        <v>94131</v>
      </c>
      <c r="B395" s="224" t="s">
        <v>1108</v>
      </c>
      <c r="C395" s="100">
        <v>111105.76</v>
      </c>
      <c r="F395" s="69"/>
      <c r="M395" s="3"/>
    </row>
    <row r="396" spans="1:13">
      <c r="A396" s="224">
        <v>94151</v>
      </c>
      <c r="B396" s="224" t="s">
        <v>1109</v>
      </c>
      <c r="C396" s="100">
        <v>221139.94</v>
      </c>
      <c r="F396" s="69"/>
      <c r="M396" s="3"/>
    </row>
    <row r="397" spans="1:13">
      <c r="A397" s="224">
        <v>94157</v>
      </c>
      <c r="B397" s="224" t="s">
        <v>1110</v>
      </c>
      <c r="C397" s="100">
        <v>6177.25</v>
      </c>
      <c r="F397" s="69"/>
      <c r="M397" s="3"/>
    </row>
    <row r="398" spans="1:13">
      <c r="A398" s="224">
        <v>94161</v>
      </c>
      <c r="B398" s="224" t="s">
        <v>1111</v>
      </c>
      <c r="C398" s="100">
        <v>27374.38</v>
      </c>
      <c r="F398" s="69"/>
      <c r="M398" s="3"/>
    </row>
    <row r="399" spans="1:13">
      <c r="A399" s="224">
        <v>94168</v>
      </c>
      <c r="B399" s="224" t="s">
        <v>1112</v>
      </c>
      <c r="C399" s="100">
        <v>26467.71</v>
      </c>
      <c r="F399" s="69"/>
      <c r="M399" s="3"/>
    </row>
    <row r="400" spans="1:13">
      <c r="A400" s="224">
        <v>94171</v>
      </c>
      <c r="B400" s="224" t="s">
        <v>1113</v>
      </c>
      <c r="C400" s="100">
        <v>31059.79</v>
      </c>
      <c r="F400" s="69"/>
      <c r="M400" s="3"/>
    </row>
    <row r="401" spans="1:13">
      <c r="A401" s="224">
        <v>94172</v>
      </c>
      <c r="B401" s="224" t="s">
        <v>1114</v>
      </c>
      <c r="C401" s="100">
        <v>115972.98</v>
      </c>
      <c r="F401" s="69"/>
      <c r="M401" s="3"/>
    </row>
    <row r="402" spans="1:13">
      <c r="A402" s="224">
        <v>94201</v>
      </c>
      <c r="B402" s="224" t="s">
        <v>1115</v>
      </c>
      <c r="C402" s="100">
        <v>1773966.15</v>
      </c>
      <c r="F402" s="69"/>
      <c r="M402" s="3"/>
    </row>
    <row r="403" spans="1:13">
      <c r="A403" s="224">
        <v>94204</v>
      </c>
      <c r="B403" s="224" t="s">
        <v>1116</v>
      </c>
      <c r="C403" s="100">
        <v>18440.93</v>
      </c>
      <c r="F403" s="69"/>
      <c r="M403" s="3"/>
    </row>
    <row r="404" spans="1:13">
      <c r="A404" s="224">
        <v>94205</v>
      </c>
      <c r="B404" s="224" t="s">
        <v>1117</v>
      </c>
      <c r="C404" s="100">
        <v>12212.83</v>
      </c>
      <c r="F404" s="69"/>
      <c r="M404" s="3"/>
    </row>
    <row r="405" spans="1:13">
      <c r="A405" s="224">
        <v>94209</v>
      </c>
      <c r="B405" s="224" t="s">
        <v>1118</v>
      </c>
      <c r="C405" s="100">
        <v>171999.81</v>
      </c>
      <c r="F405" s="69"/>
      <c r="M405" s="3"/>
    </row>
    <row r="406" spans="1:13">
      <c r="A406" s="224">
        <v>94211</v>
      </c>
      <c r="B406" s="224" t="s">
        <v>1119</v>
      </c>
      <c r="C406" s="100">
        <v>80589.19</v>
      </c>
      <c r="F406" s="69"/>
      <c r="M406" s="3"/>
    </row>
    <row r="407" spans="1:13">
      <c r="A407" s="224">
        <v>94221</v>
      </c>
      <c r="B407" s="224" t="s">
        <v>1120</v>
      </c>
      <c r="C407" s="100">
        <v>500342.06</v>
      </c>
      <c r="F407" s="69"/>
      <c r="M407" s="3"/>
    </row>
    <row r="408" spans="1:13">
      <c r="A408" s="224">
        <v>94231</v>
      </c>
      <c r="B408" s="224" t="s">
        <v>1121</v>
      </c>
      <c r="C408" s="100">
        <v>84160.17</v>
      </c>
      <c r="F408" s="69"/>
      <c r="M408" s="3"/>
    </row>
    <row r="409" spans="1:13">
      <c r="A409" s="224">
        <v>94241</v>
      </c>
      <c r="B409" s="224" t="s">
        <v>1122</v>
      </c>
      <c r="C409" s="100">
        <v>59958.92</v>
      </c>
      <c r="F409" s="69"/>
      <c r="M409" s="3"/>
    </row>
    <row r="410" spans="1:13">
      <c r="A410" s="224">
        <v>94251</v>
      </c>
      <c r="B410" s="224" t="s">
        <v>1123</v>
      </c>
      <c r="C410" s="100">
        <v>9463.89</v>
      </c>
      <c r="F410" s="69"/>
      <c r="M410" s="3"/>
    </row>
    <row r="411" spans="1:13">
      <c r="A411" s="224">
        <v>94261</v>
      </c>
      <c r="B411" s="224" t="s">
        <v>1124</v>
      </c>
      <c r="C411" s="100">
        <v>22035.81</v>
      </c>
      <c r="F411" s="69"/>
      <c r="M411" s="3"/>
    </row>
    <row r="412" spans="1:13">
      <c r="A412" s="224">
        <v>94301</v>
      </c>
      <c r="B412" s="224" t="s">
        <v>1125</v>
      </c>
      <c r="C412" s="100">
        <v>3239941.57</v>
      </c>
      <c r="F412" s="69"/>
      <c r="M412" s="3"/>
    </row>
    <row r="413" spans="1:13">
      <c r="A413" s="224">
        <v>94311</v>
      </c>
      <c r="B413" s="224" t="s">
        <v>1126</v>
      </c>
      <c r="C413" s="100">
        <v>419427.19</v>
      </c>
      <c r="F413" s="69"/>
      <c r="M413" s="3"/>
    </row>
    <row r="414" spans="1:13">
      <c r="A414" s="224">
        <v>94313</v>
      </c>
      <c r="B414" s="224" t="s">
        <v>1127</v>
      </c>
      <c r="C414" s="100">
        <v>14861.95</v>
      </c>
      <c r="F414" s="69"/>
      <c r="M414" s="3"/>
    </row>
    <row r="415" spans="1:13">
      <c r="A415" s="224">
        <v>94317</v>
      </c>
      <c r="B415" s="224" t="s">
        <v>1128</v>
      </c>
      <c r="C415" s="100">
        <v>11140.83</v>
      </c>
      <c r="F415" s="69"/>
      <c r="M415" s="3"/>
    </row>
    <row r="416" spans="1:13">
      <c r="A416" s="224">
        <v>94321</v>
      </c>
      <c r="B416" s="224" t="s">
        <v>1129</v>
      </c>
      <c r="C416" s="100">
        <v>145358.07999999999</v>
      </c>
      <c r="F416" s="69"/>
      <c r="M416" s="3"/>
    </row>
    <row r="417" spans="1:13">
      <c r="A417" s="224">
        <v>94331</v>
      </c>
      <c r="B417" s="224" t="s">
        <v>1130</v>
      </c>
      <c r="C417" s="100">
        <v>80679.83</v>
      </c>
      <c r="F417" s="69"/>
      <c r="M417" s="3"/>
    </row>
    <row r="418" spans="1:13">
      <c r="A418" s="224">
        <v>94341</v>
      </c>
      <c r="B418" s="224" t="s">
        <v>1131</v>
      </c>
      <c r="C418" s="100">
        <v>43965.35</v>
      </c>
      <c r="F418" s="69"/>
      <c r="M418" s="3"/>
    </row>
    <row r="419" spans="1:13">
      <c r="A419" s="224">
        <v>94347</v>
      </c>
      <c r="B419" s="224" t="s">
        <v>1132</v>
      </c>
      <c r="C419" s="100">
        <v>9634.7199999999993</v>
      </c>
      <c r="F419" s="69"/>
      <c r="M419" s="3"/>
    </row>
    <row r="420" spans="1:13">
      <c r="A420" s="224">
        <v>94351</v>
      </c>
      <c r="B420" s="224" t="s">
        <v>1133</v>
      </c>
      <c r="C420" s="100">
        <v>121230.09</v>
      </c>
      <c r="F420" s="69"/>
      <c r="M420" s="3"/>
    </row>
    <row r="421" spans="1:13">
      <c r="A421" s="224">
        <v>94401</v>
      </c>
      <c r="B421" s="224" t="s">
        <v>1134</v>
      </c>
      <c r="C421" s="100">
        <v>1750399.96</v>
      </c>
      <c r="F421" s="69"/>
      <c r="M421" s="3"/>
    </row>
    <row r="422" spans="1:13">
      <c r="A422" s="224">
        <v>94403</v>
      </c>
      <c r="B422" s="224" t="s">
        <v>1136</v>
      </c>
      <c r="C422" s="100">
        <v>19099.13</v>
      </c>
      <c r="F422" s="69"/>
      <c r="M422" s="3"/>
    </row>
    <row r="423" spans="1:13">
      <c r="A423" s="224">
        <v>94408</v>
      </c>
      <c r="B423" s="224" t="s">
        <v>1137</v>
      </c>
      <c r="C423" s="100">
        <v>26973.09</v>
      </c>
      <c r="F423" s="69"/>
      <c r="M423" s="3"/>
    </row>
    <row r="424" spans="1:13">
      <c r="A424" s="224">
        <v>94411</v>
      </c>
      <c r="B424" s="224" t="s">
        <v>1138</v>
      </c>
      <c r="C424" s="100">
        <v>632538.21</v>
      </c>
      <c r="F424" s="69"/>
      <c r="M424" s="3"/>
    </row>
    <row r="425" spans="1:13">
      <c r="A425" s="224">
        <v>94412</v>
      </c>
      <c r="B425" s="224" t="s">
        <v>1139</v>
      </c>
      <c r="C425" s="100">
        <v>14756.76</v>
      </c>
      <c r="F425" s="69"/>
      <c r="M425" s="3"/>
    </row>
    <row r="426" spans="1:13">
      <c r="A426" s="224">
        <v>94421</v>
      </c>
      <c r="B426" s="224" t="s">
        <v>1140</v>
      </c>
      <c r="C426" s="100">
        <v>84715.51</v>
      </c>
      <c r="F426" s="69"/>
      <c r="M426" s="3"/>
    </row>
    <row r="427" spans="1:13">
      <c r="A427" s="224">
        <v>94427</v>
      </c>
      <c r="B427" s="224" t="s">
        <v>1141</v>
      </c>
      <c r="C427" s="100">
        <v>16735.419999999998</v>
      </c>
      <c r="F427" s="69"/>
      <c r="M427" s="3"/>
    </row>
    <row r="428" spans="1:13">
      <c r="A428" s="224">
        <v>94428</v>
      </c>
      <c r="B428" s="224" t="s">
        <v>1142</v>
      </c>
      <c r="C428" s="100">
        <v>39816.58</v>
      </c>
      <c r="F428" s="69"/>
      <c r="M428" s="3"/>
    </row>
    <row r="429" spans="1:13">
      <c r="A429" s="224">
        <v>94431</v>
      </c>
      <c r="B429" s="224" t="s">
        <v>1143</v>
      </c>
      <c r="C429" s="100">
        <v>325914.23999999999</v>
      </c>
      <c r="F429" s="69"/>
      <c r="M429" s="3"/>
    </row>
    <row r="430" spans="1:13">
      <c r="A430" s="224">
        <v>94437</v>
      </c>
      <c r="B430" s="224" t="s">
        <v>1144</v>
      </c>
      <c r="C430" s="100">
        <v>13614.41</v>
      </c>
      <c r="F430" s="69"/>
      <c r="M430" s="3"/>
    </row>
    <row r="431" spans="1:13">
      <c r="A431" s="224">
        <v>94501</v>
      </c>
      <c r="B431" t="s">
        <v>2019</v>
      </c>
      <c r="C431" s="100">
        <v>3126089.6</v>
      </c>
      <c r="F431" s="69"/>
      <c r="M431" s="3"/>
    </row>
    <row r="432" spans="1:13">
      <c r="A432" s="224">
        <v>94511</v>
      </c>
      <c r="B432" s="224" t="s">
        <v>1146</v>
      </c>
      <c r="C432" s="100">
        <v>976940.66</v>
      </c>
      <c r="F432" s="69"/>
      <c r="M432" s="3"/>
    </row>
    <row r="433" spans="1:13">
      <c r="A433" s="224">
        <v>94517</v>
      </c>
      <c r="B433" s="224" t="s">
        <v>1148</v>
      </c>
      <c r="C433" s="100">
        <v>39314.54</v>
      </c>
      <c r="F433" s="69"/>
      <c r="M433" s="3"/>
    </row>
    <row r="434" spans="1:13">
      <c r="A434" s="224">
        <v>94521</v>
      </c>
      <c r="B434" s="224" t="s">
        <v>1149</v>
      </c>
      <c r="C434" s="100">
        <v>65267.58</v>
      </c>
      <c r="F434" s="69"/>
      <c r="M434" s="3"/>
    </row>
    <row r="435" spans="1:13">
      <c r="A435" s="224">
        <v>94527</v>
      </c>
      <c r="B435" s="224" t="s">
        <v>1150</v>
      </c>
      <c r="C435" s="100">
        <v>3414.86</v>
      </c>
      <c r="F435" s="69"/>
      <c r="M435" s="3"/>
    </row>
    <row r="436" spans="1:13">
      <c r="A436" s="224">
        <v>94531</v>
      </c>
      <c r="B436" s="224" t="s">
        <v>1151</v>
      </c>
      <c r="C436" s="100">
        <v>15948.37</v>
      </c>
      <c r="F436" s="69"/>
      <c r="M436" s="3"/>
    </row>
    <row r="437" spans="1:13">
      <c r="A437" s="224">
        <v>94532</v>
      </c>
      <c r="B437" s="224" t="s">
        <v>1152</v>
      </c>
      <c r="C437" s="100">
        <v>56192.27</v>
      </c>
      <c r="F437" s="69"/>
      <c r="M437" s="3"/>
    </row>
    <row r="438" spans="1:13">
      <c r="A438" s="224">
        <v>94541</v>
      </c>
      <c r="B438" s="224" t="s">
        <v>1153</v>
      </c>
      <c r="C438" s="100">
        <v>139679.82999999999</v>
      </c>
      <c r="F438" s="69"/>
      <c r="M438" s="3"/>
    </row>
    <row r="439" spans="1:13">
      <c r="A439" s="224">
        <v>94547</v>
      </c>
      <c r="B439" s="224" t="s">
        <v>1154</v>
      </c>
      <c r="C439" s="100">
        <v>11084.4</v>
      </c>
      <c r="F439" s="69"/>
      <c r="M439" s="3"/>
    </row>
    <row r="440" spans="1:13">
      <c r="A440" s="224">
        <v>94551</v>
      </c>
      <c r="B440" s="224" t="s">
        <v>1155</v>
      </c>
      <c r="C440" s="100">
        <v>27954.14</v>
      </c>
      <c r="F440" s="69"/>
      <c r="M440" s="3"/>
    </row>
    <row r="441" spans="1:13">
      <c r="A441" s="224">
        <v>94601</v>
      </c>
      <c r="B441" s="224" t="s">
        <v>1156</v>
      </c>
      <c r="C441" s="100">
        <v>517654.13</v>
      </c>
      <c r="F441" s="69"/>
      <c r="M441" s="3"/>
    </row>
    <row r="442" spans="1:13">
      <c r="A442" s="224">
        <v>94604</v>
      </c>
      <c r="B442" s="224" t="s">
        <v>1157</v>
      </c>
      <c r="C442" s="100">
        <v>15507.61</v>
      </c>
      <c r="F442" s="69"/>
      <c r="M442" s="3"/>
    </row>
    <row r="443" spans="1:13">
      <c r="A443" s="318">
        <v>94606</v>
      </c>
      <c r="B443" s="318" t="s">
        <v>1158</v>
      </c>
      <c r="C443" s="319"/>
      <c r="D443" s="224" t="s">
        <v>3613</v>
      </c>
      <c r="F443" s="69"/>
      <c r="M443" s="3"/>
    </row>
    <row r="444" spans="1:13">
      <c r="A444" s="224">
        <v>94611</v>
      </c>
      <c r="B444" s="224" t="s">
        <v>1159</v>
      </c>
      <c r="C444" s="100">
        <v>182000.53</v>
      </c>
      <c r="F444" s="69"/>
      <c r="M444" s="3"/>
    </row>
    <row r="445" spans="1:13">
      <c r="A445" s="224">
        <v>94621</v>
      </c>
      <c r="B445" s="224" t="s">
        <v>1160</v>
      </c>
      <c r="C445" s="100">
        <v>72451.59</v>
      </c>
      <c r="F445" s="69"/>
      <c r="M445" s="3"/>
    </row>
    <row r="446" spans="1:13">
      <c r="A446" s="224">
        <v>94631</v>
      </c>
      <c r="B446" s="224" t="s">
        <v>1161</v>
      </c>
      <c r="C446" s="100">
        <v>22253.85</v>
      </c>
      <c r="F446" s="69"/>
      <c r="M446" s="3"/>
    </row>
    <row r="447" spans="1:13">
      <c r="A447" s="224">
        <v>94641</v>
      </c>
      <c r="B447" s="224" t="s">
        <v>1162</v>
      </c>
      <c r="C447" s="100">
        <v>8021.25</v>
      </c>
      <c r="F447" s="69"/>
      <c r="M447" s="3"/>
    </row>
    <row r="448" spans="1:13">
      <c r="A448" s="224">
        <v>94701</v>
      </c>
      <c r="B448" s="224" t="s">
        <v>1163</v>
      </c>
      <c r="C448" s="100">
        <v>1308817.07</v>
      </c>
      <c r="F448" s="69"/>
      <c r="M448" s="3"/>
    </row>
    <row r="449" spans="1:13">
      <c r="A449" s="224">
        <v>94704</v>
      </c>
      <c r="B449" s="224" t="s">
        <v>1164</v>
      </c>
      <c r="C449" s="100">
        <v>9096.06</v>
      </c>
      <c r="F449" s="69"/>
      <c r="M449" s="3"/>
    </row>
    <row r="450" spans="1:13">
      <c r="A450" s="224">
        <v>94711</v>
      </c>
      <c r="B450" s="224" t="s">
        <v>1165</v>
      </c>
      <c r="C450" s="100">
        <v>187247.17</v>
      </c>
      <c r="F450" s="69"/>
      <c r="M450" s="3"/>
    </row>
    <row r="451" spans="1:13">
      <c r="A451" s="224">
        <v>94801</v>
      </c>
      <c r="B451" s="224" t="s">
        <v>1166</v>
      </c>
      <c r="C451" s="100">
        <v>366548.61</v>
      </c>
      <c r="F451" s="69"/>
      <c r="M451" s="3"/>
    </row>
    <row r="452" spans="1:13">
      <c r="A452" s="224">
        <v>94804</v>
      </c>
      <c r="B452" s="224" t="s">
        <v>1167</v>
      </c>
      <c r="C452" s="100">
        <v>3162.67</v>
      </c>
      <c r="F452" s="69"/>
      <c r="M452" s="3"/>
    </row>
    <row r="453" spans="1:13">
      <c r="A453" s="224">
        <v>94812</v>
      </c>
      <c r="B453" s="224" t="s">
        <v>1168</v>
      </c>
      <c r="C453" s="100">
        <v>21880.21</v>
      </c>
      <c r="F453" s="69"/>
      <c r="M453" s="3"/>
    </row>
    <row r="454" spans="1:13">
      <c r="A454" s="224">
        <v>94901</v>
      </c>
      <c r="B454" s="224" t="s">
        <v>1169</v>
      </c>
      <c r="C454" s="100">
        <v>3778993.09</v>
      </c>
      <c r="F454" s="69"/>
      <c r="M454" s="3"/>
    </row>
    <row r="455" spans="1:13">
      <c r="A455" s="316">
        <v>94908</v>
      </c>
      <c r="B455" s="305" t="s">
        <v>3610</v>
      </c>
      <c r="C455" s="317">
        <v>16141.53</v>
      </c>
      <c r="D455" s="224" t="s">
        <v>3614</v>
      </c>
      <c r="F455" s="69"/>
      <c r="M455" s="3"/>
    </row>
    <row r="456" spans="1:13">
      <c r="A456" s="224">
        <v>94911</v>
      </c>
      <c r="B456" s="224" t="s">
        <v>1171</v>
      </c>
      <c r="C456" s="100">
        <v>1525735.3</v>
      </c>
      <c r="F456" s="69"/>
      <c r="M456" s="3"/>
    </row>
    <row r="457" spans="1:13">
      <c r="A457" s="224">
        <v>94917</v>
      </c>
      <c r="B457" s="224" t="s">
        <v>1172</v>
      </c>
      <c r="C457" s="100">
        <v>30511.35</v>
      </c>
      <c r="F457" s="69"/>
      <c r="M457" s="3"/>
    </row>
    <row r="458" spans="1:13">
      <c r="A458" s="224">
        <v>94921</v>
      </c>
      <c r="B458" s="224" t="s">
        <v>1173</v>
      </c>
      <c r="C458" s="100">
        <v>1918754.97</v>
      </c>
      <c r="F458" s="69"/>
      <c r="M458" s="3"/>
    </row>
    <row r="459" spans="1:13">
      <c r="A459" s="224">
        <v>94923</v>
      </c>
      <c r="B459" s="224" t="s">
        <v>1174</v>
      </c>
      <c r="C459" s="100">
        <v>17339.73</v>
      </c>
      <c r="F459" s="69"/>
      <c r="M459" s="3"/>
    </row>
    <row r="460" spans="1:13">
      <c r="A460" s="224">
        <v>94927</v>
      </c>
      <c r="B460" s="224" t="s">
        <v>1175</v>
      </c>
      <c r="C460" s="100">
        <v>22103.27</v>
      </c>
      <c r="F460" s="69"/>
      <c r="M460" s="3"/>
    </row>
    <row r="461" spans="1:13">
      <c r="A461" s="224">
        <v>94931</v>
      </c>
      <c r="B461" s="224" t="s">
        <v>1176</v>
      </c>
      <c r="C461" s="100">
        <v>114081.33</v>
      </c>
      <c r="F461" s="69"/>
      <c r="M461" s="3"/>
    </row>
    <row r="462" spans="1:13">
      <c r="A462" s="224">
        <v>94937</v>
      </c>
      <c r="B462" s="224" t="s">
        <v>1927</v>
      </c>
      <c r="C462" s="100">
        <v>3727.86</v>
      </c>
      <c r="F462" s="69"/>
      <c r="M462" s="3"/>
    </row>
    <row r="463" spans="1:13">
      <c r="A463" s="224">
        <v>94941</v>
      </c>
      <c r="B463" s="224" t="s">
        <v>1177</v>
      </c>
      <c r="C463" s="100">
        <v>281477.42</v>
      </c>
      <c r="F463" s="69"/>
      <c r="M463" s="3"/>
    </row>
    <row r="464" spans="1:13">
      <c r="A464" s="224">
        <v>94947</v>
      </c>
      <c r="B464" s="224" t="s">
        <v>1928</v>
      </c>
      <c r="C464" s="100">
        <v>4724.1499999999996</v>
      </c>
      <c r="F464" s="69"/>
      <c r="M464" s="3"/>
    </row>
    <row r="465" spans="1:13">
      <c r="A465" s="224">
        <v>95001</v>
      </c>
      <c r="B465" s="224" t="s">
        <v>1178</v>
      </c>
      <c r="C465" s="100">
        <v>1334062.3400000001</v>
      </c>
      <c r="F465" s="69"/>
      <c r="M465" s="3"/>
    </row>
    <row r="466" spans="1:13">
      <c r="A466" s="224">
        <v>95002</v>
      </c>
      <c r="B466" s="224" t="s">
        <v>1179</v>
      </c>
      <c r="C466" s="100">
        <v>119638.08</v>
      </c>
      <c r="F466" s="69"/>
      <c r="M466" s="3"/>
    </row>
    <row r="467" spans="1:13">
      <c r="A467" s="224">
        <v>95005</v>
      </c>
      <c r="B467" s="224" t="s">
        <v>1180</v>
      </c>
      <c r="C467" s="100">
        <v>116417.87</v>
      </c>
      <c r="F467" s="69"/>
      <c r="M467" s="3"/>
    </row>
    <row r="468" spans="1:13">
      <c r="A468" s="224">
        <v>95008</v>
      </c>
      <c r="B468" s="224" t="s">
        <v>1181</v>
      </c>
      <c r="C468" s="100">
        <v>72497.58</v>
      </c>
      <c r="F468" s="69"/>
      <c r="M468" s="3"/>
    </row>
    <row r="469" spans="1:13">
      <c r="A469" s="224">
        <v>95009</v>
      </c>
      <c r="B469" s="224" t="s">
        <v>1182</v>
      </c>
      <c r="C469" s="100">
        <v>2029833.13</v>
      </c>
      <c r="F469" s="69"/>
      <c r="M469" s="3"/>
    </row>
    <row r="470" spans="1:13">
      <c r="A470" s="224">
        <v>95011</v>
      </c>
      <c r="B470" s="224" t="s">
        <v>1183</v>
      </c>
      <c r="C470" s="100">
        <v>97915.11</v>
      </c>
      <c r="F470" s="69"/>
      <c r="M470" s="3"/>
    </row>
    <row r="471" spans="1:13">
      <c r="A471" s="224">
        <v>95017</v>
      </c>
      <c r="B471" s="224" t="s">
        <v>1184</v>
      </c>
      <c r="C471" s="100">
        <v>21114.34</v>
      </c>
      <c r="F471" s="69"/>
      <c r="M471" s="3"/>
    </row>
    <row r="472" spans="1:13">
      <c r="A472" s="224">
        <v>95101</v>
      </c>
      <c r="B472" s="224" t="s">
        <v>1185</v>
      </c>
      <c r="C472" s="100">
        <v>4367964.8600000003</v>
      </c>
      <c r="F472" s="69"/>
      <c r="M472" s="3"/>
    </row>
    <row r="473" spans="1:13">
      <c r="A473" s="224">
        <v>95103</v>
      </c>
      <c r="B473" s="224" t="s">
        <v>1186</v>
      </c>
      <c r="C473" s="100">
        <v>35618.67</v>
      </c>
      <c r="F473" s="69"/>
      <c r="M473" s="3"/>
    </row>
    <row r="474" spans="1:13">
      <c r="A474" s="224">
        <v>95104</v>
      </c>
      <c r="B474" s="224" t="s">
        <v>1187</v>
      </c>
      <c r="C474" s="100">
        <v>78150.95</v>
      </c>
      <c r="F474" s="69"/>
      <c r="M474" s="3"/>
    </row>
    <row r="475" spans="1:13">
      <c r="A475" s="224">
        <v>95105</v>
      </c>
      <c r="B475" s="224" t="s">
        <v>1188</v>
      </c>
      <c r="C475" s="100">
        <v>39688.6</v>
      </c>
      <c r="F475" s="69"/>
      <c r="M475" s="3"/>
    </row>
    <row r="476" spans="1:13">
      <c r="A476" s="224">
        <v>95106</v>
      </c>
      <c r="B476" s="224" t="s">
        <v>1189</v>
      </c>
      <c r="C476" s="100">
        <v>8990.35</v>
      </c>
      <c r="F476" s="69"/>
      <c r="M476" s="3"/>
    </row>
    <row r="477" spans="1:13">
      <c r="A477" s="224">
        <v>95110</v>
      </c>
      <c r="B477" s="224" t="s">
        <v>1190</v>
      </c>
      <c r="C477" s="100">
        <v>1868496.58</v>
      </c>
      <c r="F477" s="69"/>
      <c r="M477" s="3"/>
    </row>
    <row r="478" spans="1:13">
      <c r="A478" s="224">
        <v>95111</v>
      </c>
      <c r="B478" s="224" t="s">
        <v>1191</v>
      </c>
      <c r="C478" s="100">
        <v>529283.68999999994</v>
      </c>
      <c r="F478" s="69"/>
      <c r="M478" s="3"/>
    </row>
    <row r="479" spans="1:13">
      <c r="A479" s="224">
        <v>95113</v>
      </c>
      <c r="B479" s="224" t="s">
        <v>1192</v>
      </c>
      <c r="C479" s="100">
        <v>80547.34</v>
      </c>
      <c r="F479" s="69"/>
      <c r="M479" s="3"/>
    </row>
    <row r="480" spans="1:13">
      <c r="A480" s="224">
        <v>95121</v>
      </c>
      <c r="B480" s="224" t="s">
        <v>1193</v>
      </c>
      <c r="C480" s="100">
        <v>251846.37</v>
      </c>
      <c r="F480" s="69"/>
      <c r="M480" s="3"/>
    </row>
    <row r="481" spans="1:13">
      <c r="A481" s="224">
        <v>95122</v>
      </c>
      <c r="B481" s="224" t="s">
        <v>1194</v>
      </c>
      <c r="C481" s="100">
        <v>9862.3799999999992</v>
      </c>
      <c r="F481" s="69"/>
      <c r="M481" s="3"/>
    </row>
    <row r="482" spans="1:13">
      <c r="A482" s="224">
        <v>95123</v>
      </c>
      <c r="B482" s="224" t="s">
        <v>1195</v>
      </c>
      <c r="C482" s="100">
        <v>29249.16</v>
      </c>
      <c r="F482" s="69"/>
      <c r="M482" s="3"/>
    </row>
    <row r="483" spans="1:13">
      <c r="A483" s="224">
        <v>95131</v>
      </c>
      <c r="B483" s="224" t="s">
        <v>1196</v>
      </c>
      <c r="C483" s="100">
        <v>924241.19</v>
      </c>
      <c r="F483" s="69"/>
      <c r="M483" s="3"/>
    </row>
    <row r="484" spans="1:13">
      <c r="A484" s="224">
        <v>95141</v>
      </c>
      <c r="B484" s="224" t="s">
        <v>1197</v>
      </c>
      <c r="C484" s="100">
        <v>176830.05</v>
      </c>
      <c r="F484" s="69"/>
      <c r="M484" s="3"/>
    </row>
    <row r="485" spans="1:13">
      <c r="A485" s="224">
        <v>95151</v>
      </c>
      <c r="B485" s="224" t="s">
        <v>1198</v>
      </c>
      <c r="C485" s="100">
        <v>56199.7</v>
      </c>
      <c r="F485" s="69"/>
      <c r="M485" s="3"/>
    </row>
    <row r="486" spans="1:13">
      <c r="A486" s="224">
        <v>95161</v>
      </c>
      <c r="B486" s="224" t="s">
        <v>1199</v>
      </c>
      <c r="C486" s="100">
        <v>41952.11</v>
      </c>
      <c r="F486" s="69"/>
      <c r="M486" s="3"/>
    </row>
    <row r="487" spans="1:13">
      <c r="A487" s="224">
        <v>95171</v>
      </c>
      <c r="B487" s="224" t="s">
        <v>1200</v>
      </c>
      <c r="C487" s="100">
        <v>60797.65</v>
      </c>
      <c r="F487" s="69"/>
      <c r="M487" s="3"/>
    </row>
    <row r="488" spans="1:13">
      <c r="A488" s="224">
        <v>95181</v>
      </c>
      <c r="B488" s="224" t="s">
        <v>1201</v>
      </c>
      <c r="C488" s="100">
        <v>35456.300000000003</v>
      </c>
      <c r="F488" s="69"/>
      <c r="M488" s="3"/>
    </row>
    <row r="489" spans="1:13">
      <c r="A489" s="224">
        <v>95191</v>
      </c>
      <c r="B489" s="224" t="s">
        <v>1202</v>
      </c>
      <c r="C489" s="100">
        <v>46287.75</v>
      </c>
      <c r="F489" s="69"/>
      <c r="M489" s="3"/>
    </row>
    <row r="490" spans="1:13">
      <c r="A490" s="224">
        <v>95201</v>
      </c>
      <c r="B490" s="224" t="s">
        <v>1203</v>
      </c>
      <c r="C490" s="100">
        <v>346949.91</v>
      </c>
      <c r="F490" s="69"/>
      <c r="M490" s="3"/>
    </row>
    <row r="491" spans="1:13">
      <c r="A491" s="224">
        <v>95204</v>
      </c>
      <c r="B491" s="224" t="s">
        <v>1204</v>
      </c>
      <c r="C491" s="100">
        <v>5885.4</v>
      </c>
      <c r="F491" s="69"/>
      <c r="M491" s="3"/>
    </row>
    <row r="492" spans="1:13">
      <c r="A492" s="224">
        <v>95205</v>
      </c>
      <c r="B492" s="224" t="s">
        <v>1205</v>
      </c>
      <c r="C492" s="100">
        <v>2624.79</v>
      </c>
      <c r="F492" s="69"/>
      <c r="M492" s="3"/>
    </row>
    <row r="493" spans="1:13">
      <c r="A493" s="224">
        <v>95211</v>
      </c>
      <c r="B493" s="224" t="s">
        <v>1206</v>
      </c>
      <c r="C493" s="100">
        <v>3206.18</v>
      </c>
      <c r="F493" s="69"/>
      <c r="M493" s="3"/>
    </row>
    <row r="494" spans="1:13">
      <c r="A494" s="224">
        <v>95221</v>
      </c>
      <c r="B494" s="224" t="s">
        <v>1207</v>
      </c>
      <c r="C494" s="100">
        <v>23396.71</v>
      </c>
      <c r="F494" s="69"/>
      <c r="M494" s="3"/>
    </row>
    <row r="495" spans="1:13">
      <c r="A495" s="224">
        <v>95301</v>
      </c>
      <c r="B495" s="224" t="s">
        <v>1208</v>
      </c>
      <c r="C495" s="100">
        <v>1223993.3400000001</v>
      </c>
      <c r="F495" s="69"/>
      <c r="M495" s="3"/>
    </row>
    <row r="496" spans="1:13">
      <c r="A496" s="224">
        <v>95311</v>
      </c>
      <c r="B496" s="224" t="s">
        <v>1209</v>
      </c>
      <c r="C496" s="100">
        <v>1417794.66</v>
      </c>
      <c r="F496" s="69"/>
      <c r="M496" s="3"/>
    </row>
    <row r="497" spans="1:13">
      <c r="A497" s="224">
        <v>95317</v>
      </c>
      <c r="B497" s="224" t="s">
        <v>1210</v>
      </c>
      <c r="C497" s="100">
        <v>30162.59</v>
      </c>
      <c r="F497" s="69"/>
      <c r="M497" s="3"/>
    </row>
    <row r="498" spans="1:13">
      <c r="A498" s="224">
        <v>95321</v>
      </c>
      <c r="B498" s="224" t="s">
        <v>1211</v>
      </c>
      <c r="C498" s="100">
        <v>30408.560000000001</v>
      </c>
      <c r="F498" s="69"/>
      <c r="M498" s="3"/>
    </row>
    <row r="499" spans="1:13">
      <c r="A499" s="224">
        <v>95401</v>
      </c>
      <c r="B499" s="224" t="s">
        <v>1212</v>
      </c>
      <c r="C499" s="100">
        <v>1502831.29</v>
      </c>
      <c r="F499" s="69"/>
      <c r="M499" s="3"/>
    </row>
    <row r="500" spans="1:13">
      <c r="A500" s="224">
        <v>95404</v>
      </c>
      <c r="B500" s="224" t="s">
        <v>1213</v>
      </c>
      <c r="C500" s="100">
        <v>24185.22</v>
      </c>
      <c r="F500" s="69"/>
      <c r="M500" s="3"/>
    </row>
    <row r="501" spans="1:13">
      <c r="A501" s="224">
        <v>95405</v>
      </c>
      <c r="B501" s="224" t="s">
        <v>1214</v>
      </c>
      <c r="C501" s="100">
        <v>19182.87</v>
      </c>
      <c r="F501" s="69"/>
      <c r="M501" s="3"/>
    </row>
    <row r="502" spans="1:13">
      <c r="A502" s="224">
        <v>95411</v>
      </c>
      <c r="B502" s="224" t="s">
        <v>1215</v>
      </c>
      <c r="C502" s="100">
        <v>1143335.5900000001</v>
      </c>
      <c r="F502" s="69"/>
      <c r="M502" s="3"/>
    </row>
    <row r="503" spans="1:13">
      <c r="A503" s="224">
        <v>95413</v>
      </c>
      <c r="B503" s="224" t="s">
        <v>1217</v>
      </c>
      <c r="C503" s="100">
        <v>137022.91</v>
      </c>
      <c r="F503" s="69"/>
      <c r="M503" s="3"/>
    </row>
    <row r="504" spans="1:13">
      <c r="A504" s="224">
        <v>95415</v>
      </c>
      <c r="B504" s="224" t="s">
        <v>1218</v>
      </c>
      <c r="C504" s="100">
        <v>32316.3</v>
      </c>
      <c r="F504" s="69"/>
      <c r="M504" s="3"/>
    </row>
    <row r="505" spans="1:13">
      <c r="A505" s="224">
        <v>95421</v>
      </c>
      <c r="B505" s="224" t="s">
        <v>1219</v>
      </c>
      <c r="C505" s="100">
        <v>21571.33</v>
      </c>
      <c r="F505" s="69"/>
      <c r="M505" s="3"/>
    </row>
    <row r="506" spans="1:13">
      <c r="A506" s="224">
        <v>95431</v>
      </c>
      <c r="B506" s="224" t="s">
        <v>1220</v>
      </c>
      <c r="C506" s="100">
        <v>69044.070000000007</v>
      </c>
      <c r="F506" s="69"/>
      <c r="M506" s="3"/>
    </row>
    <row r="507" spans="1:13">
      <c r="A507" s="224">
        <v>95501</v>
      </c>
      <c r="B507" s="224" t="s">
        <v>1221</v>
      </c>
      <c r="C507" s="100">
        <v>2654863.9300000002</v>
      </c>
      <c r="F507" s="69"/>
      <c r="M507" s="3"/>
    </row>
    <row r="508" spans="1:13">
      <c r="A508" s="224">
        <v>95504</v>
      </c>
      <c r="B508" s="224" t="s">
        <v>1222</v>
      </c>
      <c r="C508" s="100">
        <v>15268.96</v>
      </c>
      <c r="F508" s="69"/>
      <c r="M508" s="3"/>
    </row>
    <row r="509" spans="1:13">
      <c r="A509" s="224">
        <v>95511</v>
      </c>
      <c r="B509" s="224" t="s">
        <v>1223</v>
      </c>
      <c r="C509" s="100">
        <v>550402.27</v>
      </c>
      <c r="F509" s="69"/>
      <c r="M509" s="3"/>
    </row>
    <row r="510" spans="1:13">
      <c r="A510" s="224">
        <v>95513</v>
      </c>
      <c r="B510" s="224" t="s">
        <v>1224</v>
      </c>
      <c r="C510" s="100">
        <v>35024.910000000003</v>
      </c>
      <c r="F510" s="69"/>
      <c r="M510" s="3"/>
    </row>
    <row r="511" spans="1:13">
      <c r="A511" s="224">
        <v>95517</v>
      </c>
      <c r="B511" s="224" t="s">
        <v>1225</v>
      </c>
      <c r="C511" s="100">
        <v>10129.99</v>
      </c>
      <c r="F511" s="69"/>
      <c r="M511" s="3"/>
    </row>
    <row r="512" spans="1:13">
      <c r="A512" s="224">
        <v>95601</v>
      </c>
      <c r="B512" s="224" t="s">
        <v>1226</v>
      </c>
      <c r="C512" s="100">
        <v>1296850.42</v>
      </c>
      <c r="F512" s="69"/>
      <c r="M512" s="3"/>
    </row>
    <row r="513" spans="1:13">
      <c r="A513" s="224">
        <v>95611</v>
      </c>
      <c r="B513" s="224" t="s">
        <v>1227</v>
      </c>
      <c r="C513" s="100">
        <v>210213.02</v>
      </c>
      <c r="F513" s="69"/>
      <c r="M513" s="3"/>
    </row>
    <row r="514" spans="1:13">
      <c r="A514" s="224">
        <v>95617</v>
      </c>
      <c r="B514" s="224" t="s">
        <v>1228</v>
      </c>
      <c r="C514" s="100">
        <v>9404.7999999999993</v>
      </c>
      <c r="F514" s="69"/>
      <c r="M514" s="3"/>
    </row>
    <row r="515" spans="1:13">
      <c r="A515" s="224">
        <v>95621</v>
      </c>
      <c r="B515" s="224" t="s">
        <v>1229</v>
      </c>
      <c r="C515" s="100">
        <v>249183.18</v>
      </c>
      <c r="F515" s="69"/>
      <c r="M515" s="3"/>
    </row>
    <row r="516" spans="1:13">
      <c r="A516" s="224">
        <v>95701</v>
      </c>
      <c r="B516" s="224" t="s">
        <v>1230</v>
      </c>
      <c r="C516" s="100">
        <v>621911.68000000005</v>
      </c>
      <c r="F516" s="69"/>
      <c r="M516" s="3"/>
    </row>
    <row r="517" spans="1:13">
      <c r="A517" s="224">
        <v>95711</v>
      </c>
      <c r="B517" s="224" t="s">
        <v>1231</v>
      </c>
      <c r="C517" s="100">
        <v>67222.19</v>
      </c>
      <c r="F517" s="69"/>
      <c r="M517" s="3"/>
    </row>
    <row r="518" spans="1:13">
      <c r="A518" s="224">
        <v>95721</v>
      </c>
      <c r="B518" s="224" t="s">
        <v>1232</v>
      </c>
      <c r="C518" s="100">
        <v>32958.31</v>
      </c>
      <c r="F518" s="69"/>
      <c r="M518" s="3"/>
    </row>
    <row r="519" spans="1:13">
      <c r="A519" s="224">
        <v>95733</v>
      </c>
      <c r="B519" s="224" t="s">
        <v>1233</v>
      </c>
      <c r="C519" s="100">
        <v>7777.11</v>
      </c>
      <c r="F519" s="69"/>
      <c r="M519" s="3"/>
    </row>
    <row r="520" spans="1:13">
      <c r="A520" s="224">
        <v>95801</v>
      </c>
      <c r="B520" s="224" t="s">
        <v>1234</v>
      </c>
      <c r="C520" s="100">
        <v>525070.02</v>
      </c>
      <c r="F520" s="69"/>
      <c r="M520" s="3"/>
    </row>
    <row r="521" spans="1:13">
      <c r="A521" s="224">
        <v>95802</v>
      </c>
      <c r="B521" s="224" t="s">
        <v>1235</v>
      </c>
      <c r="C521" s="100">
        <v>6018.25</v>
      </c>
      <c r="F521" s="69"/>
      <c r="M521" s="3"/>
    </row>
    <row r="522" spans="1:13">
      <c r="A522" s="224">
        <v>95804</v>
      </c>
      <c r="B522" s="224" t="s">
        <v>1236</v>
      </c>
      <c r="C522" s="100">
        <v>10226.129999999999</v>
      </c>
      <c r="F522" s="69"/>
      <c r="M522" s="3"/>
    </row>
    <row r="523" spans="1:13">
      <c r="A523" s="224">
        <v>95811</v>
      </c>
      <c r="B523" s="224" t="s">
        <v>1237</v>
      </c>
      <c r="C523" s="100">
        <v>280162.51</v>
      </c>
      <c r="F523" s="69"/>
      <c r="M523" s="3"/>
    </row>
    <row r="524" spans="1:13">
      <c r="A524" s="224">
        <v>95813</v>
      </c>
      <c r="B524" s="224" t="s">
        <v>1238</v>
      </c>
      <c r="C524" s="100">
        <v>62736.36</v>
      </c>
      <c r="F524" s="69"/>
      <c r="M524" s="3"/>
    </row>
    <row r="525" spans="1:13">
      <c r="A525" s="224">
        <v>95821</v>
      </c>
      <c r="B525" s="224" t="s">
        <v>1239</v>
      </c>
      <c r="C525" s="100">
        <v>2663.96</v>
      </c>
      <c r="F525" s="69"/>
      <c r="M525" s="3"/>
    </row>
    <row r="526" spans="1:13">
      <c r="A526" s="224">
        <v>95831</v>
      </c>
      <c r="B526" s="224" t="s">
        <v>1240</v>
      </c>
      <c r="C526" s="100">
        <v>15426.48</v>
      </c>
      <c r="F526" s="69"/>
      <c r="M526" s="3"/>
    </row>
    <row r="527" spans="1:13">
      <c r="A527" s="224">
        <v>95841</v>
      </c>
      <c r="B527" s="224" t="s">
        <v>1241</v>
      </c>
      <c r="C527" s="100">
        <v>12462.81</v>
      </c>
      <c r="F527" s="69"/>
      <c r="M527" s="3"/>
    </row>
    <row r="528" spans="1:13">
      <c r="A528" s="224">
        <v>95851</v>
      </c>
      <c r="B528" s="224" t="s">
        <v>1242</v>
      </c>
      <c r="C528" s="100">
        <v>140981.32999999999</v>
      </c>
      <c r="F528" s="69"/>
      <c r="M528" s="3"/>
    </row>
    <row r="529" spans="1:13">
      <c r="A529" s="224">
        <v>95853</v>
      </c>
      <c r="B529" s="224" t="s">
        <v>1243</v>
      </c>
      <c r="C529" s="100">
        <v>16338.43</v>
      </c>
      <c r="F529" s="69"/>
      <c r="M529" s="3"/>
    </row>
    <row r="530" spans="1:13">
      <c r="A530" s="224">
        <v>95901</v>
      </c>
      <c r="B530" s="224" t="s">
        <v>1244</v>
      </c>
      <c r="C530" s="100">
        <v>967578.94</v>
      </c>
      <c r="F530" s="69"/>
      <c r="M530" s="3"/>
    </row>
    <row r="531" spans="1:13">
      <c r="A531" s="224">
        <v>95908</v>
      </c>
      <c r="B531" s="224" t="s">
        <v>1245</v>
      </c>
      <c r="C531" s="100">
        <v>29379.15</v>
      </c>
      <c r="F531" s="69"/>
      <c r="M531" s="3"/>
    </row>
    <row r="532" spans="1:13">
      <c r="A532" s="224">
        <v>95911</v>
      </c>
      <c r="B532" s="224" t="s">
        <v>1246</v>
      </c>
      <c r="C532" s="100">
        <v>282029.78000000003</v>
      </c>
      <c r="F532" s="69"/>
      <c r="M532" s="3"/>
    </row>
    <row r="533" spans="1:13">
      <c r="A533" s="224">
        <v>95917</v>
      </c>
      <c r="B533" s="224" t="s">
        <v>1247</v>
      </c>
      <c r="C533" s="100">
        <v>12484.48</v>
      </c>
      <c r="F533" s="69"/>
      <c r="M533" s="3"/>
    </row>
    <row r="534" spans="1:13">
      <c r="A534" s="224">
        <v>95921</v>
      </c>
      <c r="B534" s="224" t="s">
        <v>1248</v>
      </c>
      <c r="C534" s="100">
        <v>29858.92</v>
      </c>
      <c r="F534" s="69"/>
      <c r="M534" s="3"/>
    </row>
    <row r="535" spans="1:13">
      <c r="A535" s="224">
        <v>96001</v>
      </c>
      <c r="B535" s="224" t="s">
        <v>1249</v>
      </c>
      <c r="C535" s="100">
        <v>23157786.77</v>
      </c>
      <c r="F535" s="69"/>
      <c r="M535" s="3"/>
    </row>
    <row r="536" spans="1:13">
      <c r="A536" s="224">
        <v>96003</v>
      </c>
      <c r="B536" s="224" t="s">
        <v>1250</v>
      </c>
      <c r="C536" s="100">
        <v>884055.93</v>
      </c>
      <c r="F536" s="69"/>
      <c r="M536" s="3"/>
    </row>
    <row r="537" spans="1:13">
      <c r="A537" s="224">
        <v>96004</v>
      </c>
      <c r="B537" s="224" t="s">
        <v>1251</v>
      </c>
      <c r="C537" s="100">
        <v>547641.63</v>
      </c>
      <c r="F537" s="69"/>
      <c r="M537" s="3"/>
    </row>
    <row r="538" spans="1:13">
      <c r="A538" s="224">
        <v>96005</v>
      </c>
      <c r="B538" s="224" t="s">
        <v>1252</v>
      </c>
      <c r="C538" s="100">
        <v>1353903.59</v>
      </c>
      <c r="F538" s="69"/>
      <c r="M538" s="3"/>
    </row>
    <row r="539" spans="1:13">
      <c r="A539" s="224">
        <v>96008</v>
      </c>
      <c r="B539" s="224" t="s">
        <v>1253</v>
      </c>
      <c r="C539" s="100">
        <v>2498363.63</v>
      </c>
      <c r="F539" s="69"/>
      <c r="M539" s="3"/>
    </row>
    <row r="540" spans="1:13">
      <c r="A540" s="224">
        <v>96009</v>
      </c>
      <c r="B540" s="224" t="s">
        <v>1254</v>
      </c>
      <c r="C540" s="100">
        <v>212749.71</v>
      </c>
      <c r="F540" s="69"/>
      <c r="M540" s="3"/>
    </row>
    <row r="541" spans="1:13">
      <c r="A541" s="224">
        <v>96011</v>
      </c>
      <c r="B541" s="224" t="s">
        <v>1255</v>
      </c>
      <c r="C541" s="100">
        <v>33715331.130000003</v>
      </c>
      <c r="F541" s="69"/>
      <c r="M541" s="3"/>
    </row>
    <row r="542" spans="1:13">
      <c r="A542" s="224">
        <v>96012</v>
      </c>
      <c r="B542" s="224" t="s">
        <v>1256</v>
      </c>
      <c r="C542" s="100">
        <v>1317958.1000000001</v>
      </c>
      <c r="F542" s="69"/>
      <c r="M542" s="3"/>
    </row>
    <row r="543" spans="1:13">
      <c r="A543" s="224">
        <v>96018</v>
      </c>
      <c r="B543" s="224" t="s">
        <v>1257</v>
      </c>
      <c r="C543" s="100">
        <v>18528.07</v>
      </c>
      <c r="F543" s="69"/>
      <c r="M543" s="3"/>
    </row>
    <row r="544" spans="1:13">
      <c r="A544" s="224">
        <v>96021</v>
      </c>
      <c r="B544" s="224" t="s">
        <v>1258</v>
      </c>
      <c r="C544" s="100">
        <v>379841.01</v>
      </c>
      <c r="F544" s="69"/>
      <c r="M544" s="3"/>
    </row>
    <row r="545" spans="1:13">
      <c r="A545" s="224">
        <v>96031</v>
      </c>
      <c r="B545" s="224" t="s">
        <v>1259</v>
      </c>
      <c r="C545" s="100">
        <v>394183.36</v>
      </c>
      <c r="F545" s="69"/>
      <c r="M545" s="3"/>
    </row>
    <row r="546" spans="1:13">
      <c r="A546" s="224">
        <v>96041</v>
      </c>
      <c r="B546" s="224" t="s">
        <v>1260</v>
      </c>
      <c r="C546" s="100">
        <v>888201.47</v>
      </c>
      <c r="F546" s="69"/>
      <c r="M546" s="3"/>
    </row>
    <row r="547" spans="1:13">
      <c r="A547" s="224">
        <v>96051</v>
      </c>
      <c r="B547" s="224" t="s">
        <v>1261</v>
      </c>
      <c r="C547" s="100">
        <v>472545.74</v>
      </c>
      <c r="F547" s="69"/>
      <c r="M547" s="3"/>
    </row>
    <row r="548" spans="1:13">
      <c r="A548" s="224">
        <v>96061</v>
      </c>
      <c r="B548" s="224" t="s">
        <v>1262</v>
      </c>
      <c r="C548" s="100">
        <v>177363.46</v>
      </c>
      <c r="F548" s="69"/>
      <c r="M548" s="3"/>
    </row>
    <row r="549" spans="1:13">
      <c r="A549" s="224">
        <v>96071</v>
      </c>
      <c r="B549" s="224" t="s">
        <v>1263</v>
      </c>
      <c r="C549" s="100">
        <v>714369.61</v>
      </c>
      <c r="F549" s="69"/>
      <c r="M549" s="3"/>
    </row>
    <row r="550" spans="1:13">
      <c r="A550" s="224">
        <v>96081</v>
      </c>
      <c r="B550" s="224" t="s">
        <v>1264</v>
      </c>
      <c r="C550" s="100">
        <v>270137.93</v>
      </c>
      <c r="F550" s="69"/>
      <c r="M550" s="3"/>
    </row>
    <row r="551" spans="1:13">
      <c r="A551" s="224">
        <v>96101</v>
      </c>
      <c r="B551" s="224" t="s">
        <v>1265</v>
      </c>
      <c r="C551" s="100">
        <v>382092.66</v>
      </c>
      <c r="F551" s="69"/>
      <c r="M551" s="3"/>
    </row>
    <row r="552" spans="1:13">
      <c r="A552" s="224">
        <v>96102</v>
      </c>
      <c r="B552" s="224" t="s">
        <v>1266</v>
      </c>
      <c r="C552" s="100">
        <v>5415.94</v>
      </c>
      <c r="F552" s="69"/>
      <c r="M552" s="3"/>
    </row>
    <row r="553" spans="1:13">
      <c r="A553" s="224">
        <v>96111</v>
      </c>
      <c r="B553" s="224" t="s">
        <v>1267</v>
      </c>
      <c r="C553" s="100">
        <v>94508.97</v>
      </c>
      <c r="F553" s="69"/>
      <c r="M553" s="3"/>
    </row>
    <row r="554" spans="1:13">
      <c r="A554" s="224">
        <v>96121</v>
      </c>
      <c r="B554" s="224" t="s">
        <v>1268</v>
      </c>
      <c r="C554" s="100">
        <v>10535.27</v>
      </c>
      <c r="F554" s="69"/>
      <c r="M554" s="3"/>
    </row>
    <row r="555" spans="1:13">
      <c r="A555" s="224">
        <v>96201</v>
      </c>
      <c r="B555" s="224" t="s">
        <v>1269</v>
      </c>
      <c r="C555" s="100">
        <v>572083.99</v>
      </c>
      <c r="F555" s="69"/>
      <c r="M555" s="3"/>
    </row>
    <row r="556" spans="1:13">
      <c r="A556" s="224">
        <v>96204</v>
      </c>
      <c r="B556" s="224" t="s">
        <v>1270</v>
      </c>
      <c r="C556" s="100">
        <v>10681.13</v>
      </c>
      <c r="F556" s="69"/>
      <c r="M556" s="3"/>
    </row>
    <row r="557" spans="1:13">
      <c r="A557" s="224">
        <v>96211</v>
      </c>
      <c r="B557" s="224" t="s">
        <v>1271</v>
      </c>
      <c r="C557" s="100">
        <v>18137.73</v>
      </c>
      <c r="F557" s="69"/>
      <c r="M557" s="3"/>
    </row>
    <row r="558" spans="1:13">
      <c r="A558" s="224">
        <v>96221</v>
      </c>
      <c r="B558" s="224" t="s">
        <v>1272</v>
      </c>
      <c r="C558" s="100">
        <v>106685.32</v>
      </c>
      <c r="F558" s="69"/>
      <c r="M558" s="3"/>
    </row>
    <row r="559" spans="1:13">
      <c r="A559" s="224">
        <v>96231</v>
      </c>
      <c r="B559" s="224" t="s">
        <v>1273</v>
      </c>
      <c r="C559" s="100">
        <v>52111.32</v>
      </c>
      <c r="F559" s="69"/>
      <c r="M559" s="3"/>
    </row>
    <row r="560" spans="1:13">
      <c r="A560" s="224">
        <v>96241</v>
      </c>
      <c r="B560" s="224" t="s">
        <v>1274</v>
      </c>
      <c r="C560" s="100">
        <v>27329.8</v>
      </c>
      <c r="F560" s="69"/>
      <c r="M560" s="3"/>
    </row>
    <row r="561" spans="1:13">
      <c r="A561" s="224">
        <v>96251</v>
      </c>
      <c r="B561" s="224" t="s">
        <v>1275</v>
      </c>
      <c r="C561" s="100">
        <v>43730.29</v>
      </c>
      <c r="F561" s="69"/>
      <c r="M561" s="3"/>
    </row>
    <row r="562" spans="1:13">
      <c r="A562" s="224">
        <v>96301</v>
      </c>
      <c r="B562" s="224" t="s">
        <v>1276</v>
      </c>
      <c r="C562" s="100">
        <v>2405174.9</v>
      </c>
      <c r="F562" s="69"/>
      <c r="M562" s="3"/>
    </row>
    <row r="563" spans="1:13">
      <c r="A563" s="224">
        <v>96302</v>
      </c>
      <c r="B563" s="224" t="s">
        <v>1277</v>
      </c>
      <c r="C563" s="100">
        <v>14739.66</v>
      </c>
      <c r="F563" s="69"/>
      <c r="M563" s="3"/>
    </row>
    <row r="564" spans="1:13">
      <c r="A564" s="224">
        <v>96304</v>
      </c>
      <c r="B564" s="224" t="s">
        <v>1278</v>
      </c>
      <c r="C564" s="100">
        <v>31357.46</v>
      </c>
      <c r="F564" s="69"/>
      <c r="M564" s="3"/>
    </row>
    <row r="565" spans="1:13">
      <c r="A565" s="224">
        <v>96305</v>
      </c>
      <c r="B565" s="224" t="s">
        <v>1279</v>
      </c>
      <c r="C565" s="100">
        <v>30657.06</v>
      </c>
      <c r="F565" s="69"/>
      <c r="M565" s="3"/>
    </row>
    <row r="566" spans="1:13">
      <c r="A566" s="224">
        <v>96310</v>
      </c>
      <c r="B566" s="224" t="s">
        <v>1280</v>
      </c>
      <c r="C566" s="100">
        <v>28567.53</v>
      </c>
      <c r="F566" s="69"/>
      <c r="M566" s="3"/>
    </row>
    <row r="567" spans="1:13">
      <c r="A567" s="224">
        <v>96311</v>
      </c>
      <c r="B567" s="224" t="s">
        <v>1281</v>
      </c>
      <c r="C567" s="100">
        <v>663857.11</v>
      </c>
      <c r="F567" s="69"/>
      <c r="M567" s="3"/>
    </row>
    <row r="568" spans="1:13">
      <c r="A568" s="224">
        <v>96312</v>
      </c>
      <c r="B568" s="224" t="s">
        <v>1282</v>
      </c>
      <c r="C568" s="100">
        <v>3369.29</v>
      </c>
      <c r="F568" s="69"/>
      <c r="M568" s="3"/>
    </row>
    <row r="569" spans="1:13">
      <c r="A569" s="224">
        <v>96318</v>
      </c>
      <c r="B569" s="224" t="s">
        <v>1283</v>
      </c>
      <c r="C569" s="100">
        <v>1322106.74</v>
      </c>
      <c r="F569" s="69"/>
      <c r="M569" s="3"/>
    </row>
    <row r="570" spans="1:13">
      <c r="A570" s="224">
        <v>96321</v>
      </c>
      <c r="B570" s="224" t="s">
        <v>1284</v>
      </c>
      <c r="C570" s="100">
        <v>20461.060000000001</v>
      </c>
      <c r="F570" s="69"/>
      <c r="M570" s="3"/>
    </row>
    <row r="571" spans="1:13">
      <c r="A571" s="224">
        <v>96331</v>
      </c>
      <c r="B571" s="224" t="s">
        <v>1285</v>
      </c>
      <c r="C571" s="100">
        <v>345366.52</v>
      </c>
      <c r="F571" s="69"/>
      <c r="M571" s="3"/>
    </row>
    <row r="572" spans="1:13">
      <c r="A572" s="224">
        <v>96341</v>
      </c>
      <c r="B572" s="224" t="s">
        <v>1286</v>
      </c>
      <c r="C572" s="100">
        <v>39947.449999999997</v>
      </c>
      <c r="F572" s="69"/>
      <c r="M572" s="3"/>
    </row>
    <row r="573" spans="1:13">
      <c r="A573" s="224">
        <v>96351</v>
      </c>
      <c r="B573" s="224" t="s">
        <v>1287</v>
      </c>
      <c r="C573" s="100">
        <v>542365.87</v>
      </c>
      <c r="F573" s="69"/>
      <c r="M573" s="3"/>
    </row>
    <row r="574" spans="1:13">
      <c r="A574" s="224">
        <v>96361</v>
      </c>
      <c r="B574" s="224" t="s">
        <v>1288</v>
      </c>
      <c r="C574" s="100">
        <v>24978.34</v>
      </c>
      <c r="F574" s="69"/>
      <c r="M574" s="3"/>
    </row>
    <row r="575" spans="1:13">
      <c r="A575" s="224">
        <v>96371</v>
      </c>
      <c r="B575" s="224" t="s">
        <v>1289</v>
      </c>
      <c r="C575" s="100">
        <v>79261.78</v>
      </c>
      <c r="F575" s="69"/>
      <c r="M575" s="3"/>
    </row>
    <row r="576" spans="1:13">
      <c r="A576" s="224">
        <v>96381</v>
      </c>
      <c r="B576" s="224" t="s">
        <v>1290</v>
      </c>
      <c r="C576" s="100">
        <v>17491.009999999998</v>
      </c>
      <c r="F576" s="69"/>
      <c r="M576" s="3"/>
    </row>
    <row r="577" spans="1:13">
      <c r="A577" s="224">
        <v>96391</v>
      </c>
      <c r="B577" s="224" t="s">
        <v>1291</v>
      </c>
      <c r="C577" s="100">
        <v>88368.9</v>
      </c>
      <c r="F577" s="69"/>
      <c r="M577" s="3"/>
    </row>
    <row r="578" spans="1:13">
      <c r="A578" s="224">
        <v>96401</v>
      </c>
      <c r="B578" s="224" t="s">
        <v>1292</v>
      </c>
      <c r="C578" s="100">
        <v>2342959.77</v>
      </c>
      <c r="F578" s="69"/>
      <c r="M578" s="3"/>
    </row>
    <row r="579" spans="1:13">
      <c r="A579" s="224">
        <v>96404</v>
      </c>
      <c r="B579" s="224" t="s">
        <v>1293</v>
      </c>
      <c r="C579" s="100">
        <v>67522.3</v>
      </c>
      <c r="F579" s="69"/>
      <c r="M579" s="3"/>
    </row>
    <row r="580" spans="1:13">
      <c r="A580" s="224">
        <v>96405</v>
      </c>
      <c r="B580" s="224" t="s">
        <v>1294</v>
      </c>
      <c r="C580" s="100">
        <v>94249.49</v>
      </c>
      <c r="F580" s="69"/>
      <c r="M580" s="3"/>
    </row>
    <row r="581" spans="1:13">
      <c r="A581" s="224">
        <v>96411</v>
      </c>
      <c r="B581" s="224" t="s">
        <v>1295</v>
      </c>
      <c r="C581" s="100">
        <v>34708.199999999997</v>
      </c>
      <c r="F581" s="69"/>
      <c r="M581" s="3"/>
    </row>
    <row r="582" spans="1:13">
      <c r="A582" s="224">
        <v>96421</v>
      </c>
      <c r="B582" s="224" t="s">
        <v>1296</v>
      </c>
      <c r="C582" s="100">
        <v>180831.57</v>
      </c>
      <c r="F582" s="69"/>
      <c r="M582" s="3"/>
    </row>
    <row r="583" spans="1:13">
      <c r="A583" s="224">
        <v>96431</v>
      </c>
      <c r="B583" s="224" t="s">
        <v>1297</v>
      </c>
      <c r="C583" s="100">
        <v>24442.02</v>
      </c>
      <c r="F583" s="69"/>
      <c r="M583" s="3"/>
    </row>
    <row r="584" spans="1:13">
      <c r="A584" s="224">
        <v>96441</v>
      </c>
      <c r="B584" s="224" t="s">
        <v>1298</v>
      </c>
      <c r="C584" s="100">
        <v>14878.04</v>
      </c>
      <c r="F584" s="69"/>
      <c r="M584" s="3"/>
    </row>
    <row r="585" spans="1:13">
      <c r="A585" s="224">
        <v>96451</v>
      </c>
      <c r="B585" s="224" t="s">
        <v>1299</v>
      </c>
      <c r="C585" s="100">
        <v>8090.47</v>
      </c>
      <c r="F585" s="69"/>
      <c r="M585" s="3"/>
    </row>
    <row r="586" spans="1:13">
      <c r="A586" s="224">
        <v>96461</v>
      </c>
      <c r="B586" s="224" t="s">
        <v>1300</v>
      </c>
      <c r="C586" s="100">
        <v>64279.5</v>
      </c>
      <c r="F586" s="69"/>
      <c r="M586" s="3"/>
    </row>
    <row r="587" spans="1:13">
      <c r="A587" s="224">
        <v>96501</v>
      </c>
      <c r="B587" s="224" t="s">
        <v>1301</v>
      </c>
      <c r="C587" s="100">
        <v>7712694.7999999998</v>
      </c>
      <c r="F587" s="69"/>
      <c r="M587" s="3"/>
    </row>
    <row r="588" spans="1:13">
      <c r="A588" s="224">
        <v>96502</v>
      </c>
      <c r="B588" s="224" t="s">
        <v>1302</v>
      </c>
      <c r="C588" s="100">
        <v>230207.83</v>
      </c>
      <c r="F588" s="69"/>
      <c r="M588" s="3"/>
    </row>
    <row r="589" spans="1:13">
      <c r="A589" s="224">
        <v>96503</v>
      </c>
      <c r="B589" s="224" t="s">
        <v>1303</v>
      </c>
      <c r="C589" s="100">
        <v>375468.31</v>
      </c>
      <c r="F589" s="69"/>
      <c r="M589" s="3"/>
    </row>
    <row r="590" spans="1:13">
      <c r="A590" s="224">
        <v>96504</v>
      </c>
      <c r="B590" s="224" t="s">
        <v>1304</v>
      </c>
      <c r="C590" s="100">
        <v>226955.75</v>
      </c>
      <c r="F590" s="69"/>
      <c r="M590" s="3"/>
    </row>
    <row r="591" spans="1:13">
      <c r="A591" s="224">
        <v>96507</v>
      </c>
      <c r="B591" s="224" t="s">
        <v>1305</v>
      </c>
      <c r="C591" s="100">
        <v>1259684.01</v>
      </c>
      <c r="F591" s="69"/>
      <c r="M591" s="3"/>
    </row>
    <row r="592" spans="1:13">
      <c r="A592" s="224">
        <v>96508</v>
      </c>
      <c r="B592" s="224" t="s">
        <v>1306</v>
      </c>
      <c r="C592" s="100">
        <v>12428.64</v>
      </c>
      <c r="F592" s="69"/>
      <c r="M592" s="3"/>
    </row>
    <row r="593" spans="1:13">
      <c r="A593" s="224">
        <v>96511</v>
      </c>
      <c r="B593" s="224" t="s">
        <v>1307</v>
      </c>
      <c r="C593" s="100">
        <v>309257.59999999998</v>
      </c>
      <c r="F593" s="69"/>
      <c r="M593" s="3"/>
    </row>
    <row r="594" spans="1:13">
      <c r="A594" s="224">
        <v>96512</v>
      </c>
      <c r="B594" s="224" t="s">
        <v>1308</v>
      </c>
      <c r="C594" s="100">
        <v>85706.67</v>
      </c>
      <c r="F594" s="69"/>
      <c r="M594" s="3"/>
    </row>
    <row r="595" spans="1:13">
      <c r="A595" s="224">
        <v>96521</v>
      </c>
      <c r="B595" s="224" t="s">
        <v>1309</v>
      </c>
      <c r="C595" s="100">
        <v>460571.24</v>
      </c>
      <c r="F595" s="69"/>
      <c r="M595" s="3"/>
    </row>
    <row r="596" spans="1:13">
      <c r="A596" s="224">
        <v>96531</v>
      </c>
      <c r="B596" s="224" t="s">
        <v>1310</v>
      </c>
      <c r="C596" s="100">
        <v>4419528.83</v>
      </c>
      <c r="F596" s="69"/>
      <c r="M596" s="3"/>
    </row>
    <row r="597" spans="1:13">
      <c r="A597" s="224">
        <v>96541</v>
      </c>
      <c r="B597" s="224" t="s">
        <v>1311</v>
      </c>
      <c r="C597" s="100">
        <v>184827.01</v>
      </c>
      <c r="F597" s="69"/>
      <c r="M597" s="3"/>
    </row>
    <row r="598" spans="1:13">
      <c r="A598" s="224">
        <v>96601</v>
      </c>
      <c r="B598" s="224" t="s">
        <v>1312</v>
      </c>
      <c r="C598" s="100">
        <v>934970.18</v>
      </c>
      <c r="F598" s="69"/>
      <c r="M598" s="3"/>
    </row>
    <row r="599" spans="1:13">
      <c r="A599" s="224">
        <v>96604</v>
      </c>
      <c r="B599" s="224" t="s">
        <v>1313</v>
      </c>
      <c r="C599" s="100">
        <v>4879.32</v>
      </c>
      <c r="F599" s="69"/>
      <c r="M599" s="3"/>
    </row>
    <row r="600" spans="1:13">
      <c r="A600" s="224">
        <v>96611</v>
      </c>
      <c r="B600" s="224" t="s">
        <v>1314</v>
      </c>
      <c r="C600" s="100">
        <v>12933.23</v>
      </c>
      <c r="F600" s="69"/>
      <c r="M600" s="3"/>
    </row>
    <row r="601" spans="1:13">
      <c r="A601" s="224">
        <v>96612</v>
      </c>
      <c r="B601" s="224" t="s">
        <v>1315</v>
      </c>
      <c r="C601" s="100">
        <v>37798.519999999997</v>
      </c>
      <c r="F601" s="69"/>
      <c r="M601" s="3"/>
    </row>
    <row r="602" spans="1:13">
      <c r="A602" s="224">
        <v>96621</v>
      </c>
      <c r="B602" s="224" t="s">
        <v>1316</v>
      </c>
      <c r="C602" s="100">
        <v>11740.14</v>
      </c>
      <c r="F602" s="69"/>
      <c r="M602" s="3"/>
    </row>
    <row r="603" spans="1:13">
      <c r="A603" s="224">
        <v>96631</v>
      </c>
      <c r="B603" s="224" t="s">
        <v>1317</v>
      </c>
      <c r="C603" s="100">
        <v>12770.71</v>
      </c>
      <c r="F603" s="69"/>
      <c r="M603" s="3"/>
    </row>
    <row r="604" spans="1:13">
      <c r="A604" s="224">
        <v>96641</v>
      </c>
      <c r="B604" s="224" t="s">
        <v>1318</v>
      </c>
      <c r="C604" s="100">
        <v>24181.47</v>
      </c>
      <c r="F604" s="69"/>
      <c r="M604" s="3"/>
    </row>
    <row r="605" spans="1:13">
      <c r="A605" s="224">
        <v>96651</v>
      </c>
      <c r="B605" s="224" t="s">
        <v>1319</v>
      </c>
      <c r="C605" s="100">
        <v>6302.25</v>
      </c>
      <c r="F605" s="69"/>
      <c r="M605" s="3"/>
    </row>
    <row r="606" spans="1:13">
      <c r="A606" s="224">
        <v>96661</v>
      </c>
      <c r="B606" s="224" t="s">
        <v>1320</v>
      </c>
      <c r="C606" s="100">
        <v>10314.379999999999</v>
      </c>
      <c r="F606" s="69"/>
      <c r="M606" s="3"/>
    </row>
    <row r="607" spans="1:13">
      <c r="A607" s="224">
        <v>96671</v>
      </c>
      <c r="B607" s="224" t="s">
        <v>1321</v>
      </c>
      <c r="C607" s="100">
        <v>9471.07</v>
      </c>
      <c r="F607" s="69"/>
      <c r="M607" s="3"/>
    </row>
    <row r="608" spans="1:13">
      <c r="A608" s="224">
        <v>96681</v>
      </c>
      <c r="B608" s="224" t="s">
        <v>1322</v>
      </c>
      <c r="C608" s="100">
        <v>17062.36</v>
      </c>
      <c r="F608" s="69"/>
      <c r="M608" s="3"/>
    </row>
    <row r="609" spans="1:13">
      <c r="A609" s="224">
        <v>96701</v>
      </c>
      <c r="B609" s="224" t="s">
        <v>1323</v>
      </c>
      <c r="C609" s="100">
        <v>4124754.67</v>
      </c>
      <c r="F609" s="69"/>
      <c r="M609" s="3"/>
    </row>
    <row r="610" spans="1:13">
      <c r="A610" s="224">
        <v>96704</v>
      </c>
      <c r="B610" s="224" t="s">
        <v>1324</v>
      </c>
      <c r="C610" s="100">
        <v>122330.28</v>
      </c>
      <c r="F610" s="69"/>
      <c r="M610" s="3"/>
    </row>
    <row r="611" spans="1:13">
      <c r="A611" s="224">
        <v>96708</v>
      </c>
      <c r="B611" s="224" t="s">
        <v>1325</v>
      </c>
      <c r="C611" s="100">
        <v>517121.77</v>
      </c>
      <c r="F611" s="69"/>
      <c r="M611" s="3"/>
    </row>
    <row r="612" spans="1:13">
      <c r="A612" s="224">
        <v>96711</v>
      </c>
      <c r="B612" s="224" t="s">
        <v>1326</v>
      </c>
      <c r="C612" s="100">
        <v>2019417.91</v>
      </c>
      <c r="F612" s="69"/>
      <c r="M612" s="3"/>
    </row>
    <row r="613" spans="1:13">
      <c r="A613" s="224">
        <v>96721</v>
      </c>
      <c r="B613" s="224" t="s">
        <v>1327</v>
      </c>
      <c r="C613" s="100">
        <v>111056.9</v>
      </c>
      <c r="F613" s="69"/>
      <c r="M613" s="3"/>
    </row>
    <row r="614" spans="1:13">
      <c r="A614" s="224">
        <v>96731</v>
      </c>
      <c r="B614" s="224" t="s">
        <v>1328</v>
      </c>
      <c r="C614" s="100">
        <v>87473.279999999999</v>
      </c>
      <c r="F614" s="69"/>
      <c r="M614" s="3"/>
    </row>
    <row r="615" spans="1:13">
      <c r="A615" s="224">
        <v>96733</v>
      </c>
      <c r="B615" s="224" t="s">
        <v>1329</v>
      </c>
      <c r="C615" s="100">
        <v>2001.93</v>
      </c>
      <c r="F615" s="69"/>
      <c r="M615" s="3"/>
    </row>
    <row r="616" spans="1:13">
      <c r="A616" s="224">
        <v>96741</v>
      </c>
      <c r="B616" s="224" t="s">
        <v>1330</v>
      </c>
      <c r="C616" s="100">
        <v>48053.03</v>
      </c>
      <c r="F616" s="69"/>
      <c r="M616" s="3"/>
    </row>
    <row r="617" spans="1:13">
      <c r="A617" s="224">
        <v>96751</v>
      </c>
      <c r="B617" s="224" t="s">
        <v>1331</v>
      </c>
      <c r="C617" s="100">
        <v>161440.89000000001</v>
      </c>
      <c r="F617" s="69"/>
      <c r="M617" s="3"/>
    </row>
    <row r="618" spans="1:13">
      <c r="A618" s="224">
        <v>96801</v>
      </c>
      <c r="B618" s="224" t="s">
        <v>1332</v>
      </c>
      <c r="C618" s="100">
        <v>4007411.43</v>
      </c>
      <c r="F618" s="69"/>
      <c r="M618" s="3"/>
    </row>
    <row r="619" spans="1:13">
      <c r="A619" s="224">
        <v>96804</v>
      </c>
      <c r="B619" s="224" t="s">
        <v>1333</v>
      </c>
      <c r="C619" s="100">
        <v>118045.31</v>
      </c>
      <c r="F619" s="69"/>
      <c r="M619" s="3"/>
    </row>
    <row r="620" spans="1:13">
      <c r="A620" s="224">
        <v>96808</v>
      </c>
      <c r="B620" s="224" t="s">
        <v>1334</v>
      </c>
      <c r="C620" s="100">
        <v>649544.71</v>
      </c>
      <c r="F620" s="69"/>
      <c r="M620" s="3"/>
    </row>
    <row r="621" spans="1:13">
      <c r="A621" s="224">
        <v>96811</v>
      </c>
      <c r="B621" s="224" t="s">
        <v>1335</v>
      </c>
      <c r="C621" s="100">
        <v>3174021.73</v>
      </c>
      <c r="F621" s="69"/>
      <c r="M621" s="3"/>
    </row>
    <row r="622" spans="1:13">
      <c r="A622" s="224">
        <v>96821</v>
      </c>
      <c r="B622" s="224" t="s">
        <v>1336</v>
      </c>
      <c r="C622" s="100">
        <v>676666.34</v>
      </c>
      <c r="F622" s="69"/>
      <c r="M622" s="3"/>
    </row>
    <row r="623" spans="1:13">
      <c r="A623" s="224">
        <v>96831</v>
      </c>
      <c r="B623" s="224" t="s">
        <v>1337</v>
      </c>
      <c r="C623" s="100">
        <v>470734.7</v>
      </c>
      <c r="F623" s="69"/>
      <c r="M623" s="3"/>
    </row>
    <row r="624" spans="1:13">
      <c r="A624" s="224">
        <v>96901</v>
      </c>
      <c r="B624" s="224" t="s">
        <v>1338</v>
      </c>
      <c r="C624" s="100">
        <v>493717.89</v>
      </c>
      <c r="F624" s="69"/>
      <c r="M624" s="3"/>
    </row>
    <row r="625" spans="1:13">
      <c r="A625" s="224">
        <v>96911</v>
      </c>
      <c r="B625" s="224" t="s">
        <v>1339</v>
      </c>
      <c r="C625" s="100">
        <v>2853.73</v>
      </c>
      <c r="F625" s="69"/>
      <c r="M625" s="3"/>
    </row>
    <row r="626" spans="1:13">
      <c r="A626" s="224">
        <v>96912</v>
      </c>
      <c r="B626" s="224" t="s">
        <v>1340</v>
      </c>
      <c r="C626" s="100">
        <v>32648.080000000002</v>
      </c>
      <c r="F626" s="69"/>
      <c r="M626" s="3"/>
    </row>
    <row r="627" spans="1:13">
      <c r="A627" s="224">
        <v>96918</v>
      </c>
      <c r="B627" s="224" t="s">
        <v>1341</v>
      </c>
      <c r="C627" s="100">
        <v>17912.900000000001</v>
      </c>
      <c r="F627" s="69"/>
      <c r="M627" s="3"/>
    </row>
    <row r="628" spans="1:13">
      <c r="A628" s="224">
        <v>97001</v>
      </c>
      <c r="B628" s="224" t="s">
        <v>1342</v>
      </c>
      <c r="C628" s="100">
        <v>721867.84</v>
      </c>
      <c r="F628" s="69"/>
      <c r="M628" s="3"/>
    </row>
    <row r="629" spans="1:13">
      <c r="A629" s="224">
        <v>97002</v>
      </c>
      <c r="B629" s="224" t="s">
        <v>1343</v>
      </c>
      <c r="C629" s="100">
        <v>204106.65</v>
      </c>
      <c r="F629" s="69"/>
      <c r="M629" s="3"/>
    </row>
    <row r="630" spans="1:13">
      <c r="A630" s="224">
        <v>97004</v>
      </c>
      <c r="B630" s="224" t="s">
        <v>1344</v>
      </c>
      <c r="C630" s="100">
        <v>10392.31</v>
      </c>
      <c r="F630" s="69"/>
      <c r="M630" s="3"/>
    </row>
    <row r="631" spans="1:13">
      <c r="A631" s="224">
        <v>97005</v>
      </c>
      <c r="B631" s="224" t="s">
        <v>1345</v>
      </c>
      <c r="C631" s="100">
        <v>16238.88</v>
      </c>
      <c r="F631" s="69"/>
      <c r="M631" s="3"/>
    </row>
    <row r="632" spans="1:13">
      <c r="A632" s="224">
        <v>97008</v>
      </c>
      <c r="B632" s="224" t="s">
        <v>1346</v>
      </c>
      <c r="C632" s="100">
        <v>155145</v>
      </c>
      <c r="F632" s="69"/>
      <c r="M632" s="3"/>
    </row>
    <row r="633" spans="1:13">
      <c r="A633" s="224">
        <v>97011</v>
      </c>
      <c r="B633" s="224" t="s">
        <v>1348</v>
      </c>
      <c r="C633" s="100">
        <v>961977.26</v>
      </c>
      <c r="F633" s="69"/>
      <c r="M633" s="3"/>
    </row>
    <row r="634" spans="1:13">
      <c r="A634" s="224">
        <v>97012</v>
      </c>
      <c r="B634" s="224" t="s">
        <v>1349</v>
      </c>
      <c r="C634" s="100">
        <v>18782.62</v>
      </c>
      <c r="F634" s="69"/>
      <c r="M634" s="3"/>
    </row>
    <row r="635" spans="1:13">
      <c r="A635" s="224">
        <v>97013</v>
      </c>
      <c r="B635" s="224" t="s">
        <v>1350</v>
      </c>
      <c r="C635" s="100">
        <v>7910.12</v>
      </c>
      <c r="F635" s="69"/>
      <c r="M635" s="3"/>
    </row>
    <row r="636" spans="1:13">
      <c r="A636" s="224">
        <v>97015</v>
      </c>
      <c r="B636" s="224" t="s">
        <v>1351</v>
      </c>
      <c r="C636" s="100">
        <v>25739.21</v>
      </c>
      <c r="F636" s="69"/>
      <c r="M636" s="3"/>
    </row>
    <row r="637" spans="1:13">
      <c r="A637" s="224">
        <v>97018</v>
      </c>
      <c r="B637" s="224" t="s">
        <v>1352</v>
      </c>
      <c r="C637" s="100">
        <v>7272.42</v>
      </c>
      <c r="F637" s="69"/>
      <c r="M637" s="3"/>
    </row>
    <row r="638" spans="1:13">
      <c r="A638" s="224">
        <v>97101</v>
      </c>
      <c r="B638" s="224" t="s">
        <v>1353</v>
      </c>
      <c r="C638" s="100">
        <v>1507424.15</v>
      </c>
      <c r="F638" s="69"/>
      <c r="M638" s="3"/>
    </row>
    <row r="639" spans="1:13">
      <c r="A639" s="224">
        <v>97104</v>
      </c>
      <c r="B639" s="224" t="s">
        <v>1354</v>
      </c>
      <c r="C639" s="100">
        <v>33330.050000000003</v>
      </c>
      <c r="F639" s="69"/>
      <c r="M639" s="3"/>
    </row>
    <row r="640" spans="1:13">
      <c r="A640" s="224">
        <v>97111</v>
      </c>
      <c r="B640" s="224" t="s">
        <v>1355</v>
      </c>
      <c r="C640" s="100">
        <v>123308.58</v>
      </c>
      <c r="F640" s="69"/>
      <c r="M640" s="3"/>
    </row>
    <row r="641" spans="1:13">
      <c r="A641" s="224">
        <v>97121</v>
      </c>
      <c r="B641" s="224" t="s">
        <v>1356</v>
      </c>
      <c r="C641" s="100">
        <v>87498.26</v>
      </c>
      <c r="F641" s="69"/>
      <c r="M641" s="3"/>
    </row>
    <row r="642" spans="1:13">
      <c r="A642" s="224">
        <v>97131</v>
      </c>
      <c r="B642" s="224" t="s">
        <v>1357</v>
      </c>
      <c r="C642" s="100">
        <v>304806.2</v>
      </c>
      <c r="F642" s="69"/>
      <c r="M642" s="3"/>
    </row>
    <row r="643" spans="1:13">
      <c r="A643" s="224">
        <v>97201</v>
      </c>
      <c r="B643" s="224" t="s">
        <v>1358</v>
      </c>
      <c r="C643" s="100">
        <v>304383.49</v>
      </c>
      <c r="F643" s="69"/>
      <c r="M643" s="3"/>
    </row>
    <row r="644" spans="1:13">
      <c r="A644" s="224">
        <v>97211</v>
      </c>
      <c r="B644" s="224" t="s">
        <v>1359</v>
      </c>
      <c r="C644" s="100">
        <v>70258.539999999994</v>
      </c>
      <c r="F644" s="69"/>
      <c r="M644" s="3"/>
    </row>
    <row r="645" spans="1:13">
      <c r="A645" s="224">
        <v>97213</v>
      </c>
      <c r="B645" s="224" t="s">
        <v>1360</v>
      </c>
      <c r="C645" s="100">
        <v>23304.04</v>
      </c>
      <c r="F645" s="69"/>
      <c r="M645" s="3"/>
    </row>
    <row r="646" spans="1:13">
      <c r="A646" s="224">
        <v>97217</v>
      </c>
      <c r="B646" s="224" t="s">
        <v>1361</v>
      </c>
      <c r="C646" s="100">
        <v>6485.94</v>
      </c>
      <c r="F646" s="69"/>
      <c r="M646" s="3"/>
    </row>
    <row r="647" spans="1:13">
      <c r="A647" s="224">
        <v>97221</v>
      </c>
      <c r="B647" s="224" t="s">
        <v>1362</v>
      </c>
      <c r="C647" s="100">
        <v>6527.57</v>
      </c>
      <c r="F647" s="69"/>
      <c r="M647" s="3"/>
    </row>
    <row r="648" spans="1:13">
      <c r="A648" s="224">
        <v>97301</v>
      </c>
      <c r="B648" s="224" t="s">
        <v>1363</v>
      </c>
      <c r="C648" s="100">
        <v>1310554.6299999999</v>
      </c>
      <c r="F648" s="69"/>
      <c r="M648" s="3"/>
    </row>
    <row r="649" spans="1:13">
      <c r="A649" s="305">
        <v>97302</v>
      </c>
      <c r="B649" s="305" t="s">
        <v>3611</v>
      </c>
      <c r="C649" s="315">
        <v>13605.94</v>
      </c>
      <c r="D649" s="224" t="s">
        <v>3614</v>
      </c>
      <c r="F649" s="69"/>
      <c r="M649" s="3"/>
    </row>
    <row r="650" spans="1:13">
      <c r="A650" s="224">
        <v>97304</v>
      </c>
      <c r="B650" s="224" t="s">
        <v>1364</v>
      </c>
      <c r="C650" s="100">
        <v>15484.61</v>
      </c>
      <c r="F650" s="69"/>
      <c r="M650" s="3"/>
    </row>
    <row r="651" spans="1:13">
      <c r="A651" s="224">
        <v>97311</v>
      </c>
      <c r="B651" s="224" t="s">
        <v>1365</v>
      </c>
      <c r="C651" s="100">
        <v>457999.83</v>
      </c>
      <c r="F651" s="69"/>
      <c r="M651" s="3"/>
    </row>
    <row r="652" spans="1:13">
      <c r="A652" s="224">
        <v>97401</v>
      </c>
      <c r="B652" s="224" t="s">
        <v>1366</v>
      </c>
      <c r="C652" s="100">
        <v>3809503.83</v>
      </c>
      <c r="F652" s="69"/>
      <c r="M652" s="3"/>
    </row>
    <row r="653" spans="1:13">
      <c r="A653" s="224">
        <v>97402</v>
      </c>
      <c r="B653" s="224" t="s">
        <v>1367</v>
      </c>
      <c r="C653" s="100">
        <v>28950.639999999999</v>
      </c>
      <c r="F653" s="69"/>
      <c r="M653" s="3"/>
    </row>
    <row r="654" spans="1:13">
      <c r="A654" s="224">
        <v>97404</v>
      </c>
      <c r="B654" s="224" t="s">
        <v>1368</v>
      </c>
      <c r="C654" s="100">
        <v>103441.72</v>
      </c>
      <c r="F654" s="69"/>
      <c r="M654" s="3"/>
    </row>
    <row r="655" spans="1:13">
      <c r="A655" s="224">
        <v>97405</v>
      </c>
      <c r="B655" s="224" t="s">
        <v>1369</v>
      </c>
      <c r="C655" s="100">
        <v>73694.429999999993</v>
      </c>
      <c r="F655" s="69"/>
      <c r="M655" s="3"/>
    </row>
    <row r="656" spans="1:13">
      <c r="A656" s="224">
        <v>97408</v>
      </c>
      <c r="B656" s="224" t="s">
        <v>1370</v>
      </c>
      <c r="C656" s="100">
        <v>28174.240000000002</v>
      </c>
      <c r="F656" s="69"/>
      <c r="M656" s="3"/>
    </row>
    <row r="657" spans="1:13">
      <c r="A657" s="224">
        <v>97411</v>
      </c>
      <c r="B657" s="224" t="s">
        <v>1371</v>
      </c>
      <c r="C657" s="100">
        <v>3251982.5</v>
      </c>
      <c r="F657" s="69"/>
      <c r="M657" s="3"/>
    </row>
    <row r="658" spans="1:13">
      <c r="A658" s="224">
        <v>97412</v>
      </c>
      <c r="B658" s="224" t="s">
        <v>1372</v>
      </c>
      <c r="C658" s="100">
        <v>2398436.5299999998</v>
      </c>
      <c r="F658" s="69"/>
      <c r="M658" s="3"/>
    </row>
    <row r="659" spans="1:13">
      <c r="A659" s="224">
        <v>97413</v>
      </c>
      <c r="B659" s="224" t="s">
        <v>1373</v>
      </c>
      <c r="C659" s="100">
        <v>173180.75</v>
      </c>
      <c r="F659" s="69"/>
      <c r="M659" s="3"/>
    </row>
    <row r="660" spans="1:13">
      <c r="A660" s="224">
        <v>97421</v>
      </c>
      <c r="B660" s="224" t="s">
        <v>1374</v>
      </c>
      <c r="C660" s="100">
        <v>215076.26</v>
      </c>
      <c r="F660" s="69"/>
      <c r="M660" s="3"/>
    </row>
    <row r="661" spans="1:13">
      <c r="A661" s="224">
        <v>97423</v>
      </c>
      <c r="B661" s="224" t="s">
        <v>1375</v>
      </c>
      <c r="C661" s="100">
        <v>46668.31</v>
      </c>
      <c r="F661" s="69"/>
      <c r="M661" s="3"/>
    </row>
    <row r="662" spans="1:13">
      <c r="A662" s="224">
        <v>97431</v>
      </c>
      <c r="B662" s="224" t="s">
        <v>1376</v>
      </c>
      <c r="C662" s="100">
        <v>53454.17</v>
      </c>
      <c r="F662" s="69"/>
      <c r="M662" s="3"/>
    </row>
    <row r="663" spans="1:13">
      <c r="A663" s="224">
        <v>97441</v>
      </c>
      <c r="B663" s="224" t="s">
        <v>1377</v>
      </c>
      <c r="C663" s="100">
        <v>22686.94</v>
      </c>
      <c r="F663" s="69"/>
      <c r="M663" s="3"/>
    </row>
    <row r="664" spans="1:13">
      <c r="A664" s="224">
        <v>97451</v>
      </c>
      <c r="B664" s="224" t="s">
        <v>1378</v>
      </c>
      <c r="C664" s="100">
        <v>316949.65000000002</v>
      </c>
      <c r="F664" s="69"/>
      <c r="M664" s="3"/>
    </row>
    <row r="665" spans="1:13">
      <c r="A665" s="322" t="s">
        <v>3507</v>
      </c>
      <c r="B665" s="323" t="s">
        <v>1379</v>
      </c>
      <c r="C665" s="324">
        <v>271562.37</v>
      </c>
      <c r="F665" s="69"/>
      <c r="M665" s="3"/>
    </row>
    <row r="666" spans="1:13">
      <c r="A666" s="322" t="s">
        <v>3508</v>
      </c>
      <c r="B666" s="323" t="s">
        <v>1380</v>
      </c>
      <c r="C666" s="324"/>
      <c r="F666" s="69"/>
      <c r="M666" s="3"/>
    </row>
    <row r="667" spans="1:13" ht="15.75" thickBot="1">
      <c r="A667" s="322">
        <v>97461</v>
      </c>
      <c r="B667" s="323" t="s">
        <v>1379</v>
      </c>
      <c r="C667" s="321"/>
      <c r="F667" s="69"/>
      <c r="M667" s="3"/>
    </row>
    <row r="668" spans="1:13" ht="15.75" thickTop="1">
      <c r="A668" s="224">
        <v>97471</v>
      </c>
      <c r="B668" s="224" t="s">
        <v>1381</v>
      </c>
      <c r="C668" s="100">
        <v>13513.06</v>
      </c>
      <c r="F668" s="69"/>
      <c r="M668" s="3"/>
    </row>
    <row r="669" spans="1:13">
      <c r="A669" s="224">
        <v>97481</v>
      </c>
      <c r="B669" s="224" t="s">
        <v>1382</v>
      </c>
      <c r="C669" s="100">
        <v>2293.6799999999998</v>
      </c>
      <c r="F669" s="69"/>
      <c r="M669" s="3"/>
    </row>
    <row r="670" spans="1:13">
      <c r="A670" s="224">
        <v>97501</v>
      </c>
      <c r="B670" s="224" t="s">
        <v>1384</v>
      </c>
      <c r="C670" s="100">
        <v>617897.54</v>
      </c>
      <c r="F670" s="69"/>
      <c r="M670" s="3"/>
    </row>
    <row r="671" spans="1:13">
      <c r="A671" s="224">
        <v>97511</v>
      </c>
      <c r="B671" s="224" t="s">
        <v>1385</v>
      </c>
      <c r="C671" s="100">
        <v>113224.63</v>
      </c>
      <c r="F671" s="69"/>
      <c r="M671" s="3"/>
    </row>
    <row r="672" spans="1:13">
      <c r="A672" s="224">
        <v>97521</v>
      </c>
      <c r="B672" s="224" t="s">
        <v>1386</v>
      </c>
      <c r="C672" s="100">
        <v>58675.13</v>
      </c>
      <c r="F672" s="69"/>
      <c r="M672" s="3"/>
    </row>
    <row r="673" spans="1:13">
      <c r="A673" s="224">
        <v>97527</v>
      </c>
      <c r="B673" s="224" t="s">
        <v>1637</v>
      </c>
      <c r="C673" s="100">
        <v>5220.5600000000004</v>
      </c>
      <c r="F673" s="69"/>
      <c r="M673" s="3"/>
    </row>
    <row r="674" spans="1:13">
      <c r="A674" s="224">
        <v>97531</v>
      </c>
      <c r="B674" s="224" t="s">
        <v>1387</v>
      </c>
      <c r="C674" s="100">
        <v>36951.83</v>
      </c>
      <c r="F674" s="69"/>
      <c r="M674" s="3"/>
    </row>
    <row r="675" spans="1:13">
      <c r="A675" s="224">
        <v>97601</v>
      </c>
      <c r="B675" s="224" t="s">
        <v>1388</v>
      </c>
      <c r="C675" s="100">
        <v>2666102.96</v>
      </c>
      <c r="F675" s="69"/>
      <c r="M675" s="3"/>
    </row>
    <row r="676" spans="1:13">
      <c r="A676" s="224">
        <v>97607</v>
      </c>
      <c r="B676" s="224" t="s">
        <v>1389</v>
      </c>
      <c r="C676" s="100">
        <v>20256.48</v>
      </c>
      <c r="F676" s="69"/>
      <c r="M676" s="3"/>
    </row>
    <row r="677" spans="1:13">
      <c r="A677" s="224">
        <v>97611</v>
      </c>
      <c r="B677" s="224" t="s">
        <v>1390</v>
      </c>
      <c r="C677" s="100">
        <v>1258191.96</v>
      </c>
      <c r="F677" s="69"/>
      <c r="M677" s="3"/>
    </row>
    <row r="678" spans="1:13">
      <c r="A678" s="224">
        <v>97613</v>
      </c>
      <c r="B678" s="224" t="s">
        <v>1391</v>
      </c>
      <c r="C678" s="100">
        <v>63114.559999999998</v>
      </c>
      <c r="F678" s="69"/>
      <c r="M678" s="3"/>
    </row>
    <row r="679" spans="1:13">
      <c r="A679" s="224">
        <v>97621</v>
      </c>
      <c r="B679" s="224" t="s">
        <v>1392</v>
      </c>
      <c r="C679" s="100">
        <v>205284.36</v>
      </c>
      <c r="F679" s="69"/>
      <c r="M679" s="3"/>
    </row>
    <row r="680" spans="1:13">
      <c r="A680" s="224">
        <v>97623</v>
      </c>
      <c r="B680" s="224" t="s">
        <v>1393</v>
      </c>
      <c r="C680" s="100">
        <v>12781.93</v>
      </c>
      <c r="F680" s="69"/>
      <c r="M680" s="3"/>
    </row>
    <row r="681" spans="1:13">
      <c r="A681" s="224">
        <v>97627</v>
      </c>
      <c r="B681" s="224" t="s">
        <v>1394</v>
      </c>
      <c r="C681" s="100">
        <v>5861.73</v>
      </c>
      <c r="F681" s="69"/>
      <c r="M681" s="3"/>
    </row>
    <row r="682" spans="1:13">
      <c r="A682" s="224">
        <v>97631</v>
      </c>
      <c r="B682" s="224" t="s">
        <v>1395</v>
      </c>
      <c r="C682" s="100">
        <v>99621.29</v>
      </c>
      <c r="F682" s="69"/>
      <c r="M682" s="3"/>
    </row>
    <row r="683" spans="1:13">
      <c r="A683" s="224">
        <v>97637</v>
      </c>
      <c r="B683" s="224" t="s">
        <v>1396</v>
      </c>
      <c r="C683" s="100">
        <v>3417.96</v>
      </c>
      <c r="F683" s="69"/>
      <c r="M683" s="3"/>
    </row>
    <row r="684" spans="1:13">
      <c r="A684" s="224">
        <v>97641</v>
      </c>
      <c r="B684" s="224" t="s">
        <v>1397</v>
      </c>
      <c r="C684" s="100">
        <v>32191.22</v>
      </c>
      <c r="F684" s="69"/>
      <c r="M684" s="3"/>
    </row>
    <row r="685" spans="1:13">
      <c r="A685" s="224">
        <v>97651</v>
      </c>
      <c r="B685" s="224" t="s">
        <v>1398</v>
      </c>
      <c r="C685" s="100">
        <v>247761.92000000001</v>
      </c>
      <c r="F685" s="69"/>
      <c r="M685" s="3"/>
    </row>
    <row r="686" spans="1:13">
      <c r="A686" s="224">
        <v>97661</v>
      </c>
      <c r="B686" s="224" t="s">
        <v>1399</v>
      </c>
      <c r="C686" s="100">
        <v>27440.38</v>
      </c>
      <c r="F686" s="69"/>
      <c r="M686" s="3"/>
    </row>
    <row r="687" spans="1:13">
      <c r="A687" s="224">
        <v>97701</v>
      </c>
      <c r="B687" s="224" t="s">
        <v>1400</v>
      </c>
      <c r="C687" s="100">
        <v>1300566.02</v>
      </c>
      <c r="F687" s="69"/>
      <c r="M687" s="3"/>
    </row>
    <row r="688" spans="1:13">
      <c r="A688" s="224">
        <v>97705</v>
      </c>
      <c r="B688" s="224" t="s">
        <v>1401</v>
      </c>
      <c r="C688" s="100">
        <v>23401.599999999999</v>
      </c>
      <c r="F688" s="69"/>
      <c r="M688" s="3"/>
    </row>
    <row r="689" spans="1:13">
      <c r="A689" s="224">
        <v>97711</v>
      </c>
      <c r="B689" s="224" t="s">
        <v>1402</v>
      </c>
      <c r="C689" s="100">
        <v>470783.95</v>
      </c>
      <c r="F689" s="69"/>
      <c r="M689" s="3"/>
    </row>
    <row r="690" spans="1:13">
      <c r="A690" s="224">
        <v>97713</v>
      </c>
      <c r="B690" s="224" t="s">
        <v>1403</v>
      </c>
      <c r="C690" s="100">
        <v>25874.71</v>
      </c>
      <c r="F690" s="69"/>
      <c r="M690" s="3"/>
    </row>
    <row r="691" spans="1:13">
      <c r="A691" s="224">
        <v>97717</v>
      </c>
      <c r="B691" s="224" t="s">
        <v>1404</v>
      </c>
      <c r="C691" s="100">
        <v>2655.27</v>
      </c>
      <c r="F691" s="69"/>
      <c r="M691" s="3"/>
    </row>
    <row r="692" spans="1:13">
      <c r="A692" s="224">
        <v>97721</v>
      </c>
      <c r="B692" s="224" t="s">
        <v>1405</v>
      </c>
      <c r="C692" s="100">
        <v>275367.78000000003</v>
      </c>
      <c r="F692" s="69"/>
      <c r="M692" s="3"/>
    </row>
    <row r="693" spans="1:13">
      <c r="A693" s="224">
        <v>97727</v>
      </c>
      <c r="B693" s="224" t="s">
        <v>1406</v>
      </c>
      <c r="C693" s="100">
        <v>11895.84</v>
      </c>
      <c r="F693" s="69"/>
      <c r="M693" s="3"/>
    </row>
    <row r="694" spans="1:13">
      <c r="A694" s="224">
        <v>97731</v>
      </c>
      <c r="B694" s="224" t="s">
        <v>1407</v>
      </c>
      <c r="C694" s="100">
        <v>22140.38</v>
      </c>
      <c r="F694" s="69"/>
      <c r="M694" s="3"/>
    </row>
    <row r="695" spans="1:13">
      <c r="A695" s="224">
        <v>97801</v>
      </c>
      <c r="B695" s="224" t="s">
        <v>1408</v>
      </c>
      <c r="C695" s="100">
        <v>3361962.07</v>
      </c>
      <c r="F695" s="69"/>
      <c r="M695" s="3"/>
    </row>
    <row r="696" spans="1:13">
      <c r="A696" s="224">
        <v>97802</v>
      </c>
      <c r="B696" s="224" t="s">
        <v>1409</v>
      </c>
      <c r="C696" s="100">
        <v>93376</v>
      </c>
      <c r="F696" s="69"/>
      <c r="M696" s="3"/>
    </row>
    <row r="697" spans="1:13">
      <c r="A697" s="224">
        <v>97803</v>
      </c>
      <c r="B697" s="224" t="s">
        <v>1410</v>
      </c>
      <c r="C697" s="100">
        <v>41006.910000000003</v>
      </c>
      <c r="F697" s="69"/>
      <c r="M697" s="3"/>
    </row>
    <row r="698" spans="1:13">
      <c r="A698" s="224">
        <v>97805</v>
      </c>
      <c r="B698" s="224" t="s">
        <v>1411</v>
      </c>
      <c r="C698" s="100">
        <v>45752.480000000003</v>
      </c>
      <c r="F698" s="69"/>
      <c r="M698" s="3"/>
    </row>
    <row r="699" spans="1:13">
      <c r="A699" s="224">
        <v>97811</v>
      </c>
      <c r="B699" s="224" t="s">
        <v>1412</v>
      </c>
      <c r="C699" s="100">
        <v>1273527.0900000001</v>
      </c>
      <c r="F699" s="69"/>
      <c r="M699" s="3"/>
    </row>
    <row r="700" spans="1:13">
      <c r="A700" s="224">
        <v>97817</v>
      </c>
      <c r="B700" s="224" t="s">
        <v>1413</v>
      </c>
      <c r="C700" s="100">
        <v>14797.59</v>
      </c>
      <c r="F700" s="69"/>
      <c r="M700" s="3"/>
    </row>
    <row r="701" spans="1:13">
      <c r="A701" s="224">
        <v>97818</v>
      </c>
      <c r="B701" s="224" t="s">
        <v>1414</v>
      </c>
      <c r="C701" s="100">
        <v>12986.46</v>
      </c>
      <c r="F701" s="69"/>
      <c r="M701" s="3"/>
    </row>
    <row r="702" spans="1:13">
      <c r="A702" s="224">
        <v>97821</v>
      </c>
      <c r="B702" s="224" t="s">
        <v>1415</v>
      </c>
      <c r="C702" s="100">
        <v>72126.17</v>
      </c>
      <c r="F702" s="69"/>
      <c r="M702" s="3"/>
    </row>
    <row r="703" spans="1:13">
      <c r="A703" s="224">
        <v>97823</v>
      </c>
      <c r="B703" s="224" t="s">
        <v>1416</v>
      </c>
      <c r="C703" s="100">
        <v>12923.82</v>
      </c>
      <c r="F703" s="69"/>
      <c r="M703" s="3"/>
    </row>
    <row r="704" spans="1:13">
      <c r="A704" s="224">
        <v>97831</v>
      </c>
      <c r="B704" s="224" t="s">
        <v>1417</v>
      </c>
      <c r="C704" s="100">
        <v>95356.43</v>
      </c>
      <c r="F704" s="69"/>
      <c r="M704" s="3"/>
    </row>
    <row r="705" spans="1:13">
      <c r="A705" s="224">
        <v>97837</v>
      </c>
      <c r="B705" s="224" t="s">
        <v>1418</v>
      </c>
      <c r="C705" s="100">
        <v>5278.85</v>
      </c>
      <c r="F705" s="69"/>
      <c r="M705" s="3"/>
    </row>
    <row r="706" spans="1:13">
      <c r="A706" s="224">
        <v>97840</v>
      </c>
      <c r="B706" s="224" t="s">
        <v>1419</v>
      </c>
      <c r="C706" s="100">
        <v>113061.3</v>
      </c>
      <c r="F706" s="69"/>
      <c r="M706" s="3"/>
    </row>
    <row r="707" spans="1:13">
      <c r="A707" s="224">
        <v>97841</v>
      </c>
      <c r="B707" s="224" t="s">
        <v>1420</v>
      </c>
      <c r="C707" s="100">
        <v>6519.48</v>
      </c>
      <c r="F707" s="69"/>
      <c r="M707" s="3"/>
    </row>
    <row r="708" spans="1:13">
      <c r="A708" s="224">
        <v>97847</v>
      </c>
      <c r="B708" s="224" t="s">
        <v>1421</v>
      </c>
      <c r="C708" s="100">
        <v>2620.02</v>
      </c>
      <c r="F708" s="69"/>
      <c r="M708" s="3"/>
    </row>
    <row r="709" spans="1:13">
      <c r="A709" s="224">
        <v>97851</v>
      </c>
      <c r="B709" s="224" t="s">
        <v>1422</v>
      </c>
      <c r="C709" s="100">
        <v>129599.1</v>
      </c>
      <c r="F709" s="69"/>
      <c r="M709" s="3"/>
    </row>
    <row r="710" spans="1:13">
      <c r="A710" s="224">
        <v>97853</v>
      </c>
      <c r="B710" s="224" t="s">
        <v>1423</v>
      </c>
      <c r="C710" s="100">
        <v>40368.82</v>
      </c>
      <c r="F710" s="69"/>
      <c r="M710" s="3"/>
    </row>
    <row r="711" spans="1:13">
      <c r="A711" s="224">
        <v>97861</v>
      </c>
      <c r="B711" s="224" t="s">
        <v>1424</v>
      </c>
      <c r="C711" s="100">
        <v>29878.78</v>
      </c>
      <c r="F711" s="69"/>
      <c r="M711" s="3"/>
    </row>
    <row r="712" spans="1:13">
      <c r="A712" s="224">
        <v>97871</v>
      </c>
      <c r="B712" s="224" t="s">
        <v>1425</v>
      </c>
      <c r="C712" s="100">
        <v>304564.14</v>
      </c>
      <c r="F712" s="69"/>
      <c r="M712" s="3"/>
    </row>
    <row r="713" spans="1:13">
      <c r="A713" s="224">
        <v>97877</v>
      </c>
      <c r="B713" s="224" t="s">
        <v>1426</v>
      </c>
      <c r="C713" s="100">
        <v>4873.97</v>
      </c>
      <c r="F713" s="69"/>
      <c r="M713" s="3"/>
    </row>
    <row r="714" spans="1:13">
      <c r="A714" s="224">
        <v>97901</v>
      </c>
      <c r="B714" s="224" t="s">
        <v>1427</v>
      </c>
      <c r="C714" s="100">
        <v>1996848.04</v>
      </c>
      <c r="F714" s="69"/>
      <c r="M714" s="3"/>
    </row>
    <row r="715" spans="1:13">
      <c r="A715" s="224">
        <v>97911</v>
      </c>
      <c r="B715" s="224" t="s">
        <v>1428</v>
      </c>
      <c r="C715" s="100">
        <v>686465.14</v>
      </c>
      <c r="F715" s="69"/>
      <c r="M715" s="3"/>
    </row>
    <row r="716" spans="1:13">
      <c r="A716" s="224">
        <v>97913</v>
      </c>
      <c r="B716" s="224" t="s">
        <v>1429</v>
      </c>
      <c r="C716" s="100">
        <v>25126.95</v>
      </c>
      <c r="F716" s="69"/>
      <c r="M716" s="3"/>
    </row>
    <row r="717" spans="1:13">
      <c r="A717" s="224">
        <v>97917</v>
      </c>
      <c r="B717" s="224" t="s">
        <v>1430</v>
      </c>
      <c r="C717" s="100">
        <v>14916.62</v>
      </c>
      <c r="F717" s="69"/>
      <c r="M717" s="3"/>
    </row>
    <row r="718" spans="1:13">
      <c r="A718" s="224">
        <v>97921</v>
      </c>
      <c r="B718" s="224" t="s">
        <v>1431</v>
      </c>
      <c r="C718" s="100">
        <v>114053.61</v>
      </c>
      <c r="F718" s="69"/>
      <c r="M718" s="3"/>
    </row>
    <row r="719" spans="1:13">
      <c r="A719" s="224">
        <v>97931</v>
      </c>
      <c r="B719" s="224" t="s">
        <v>1432</v>
      </c>
      <c r="C719" s="100">
        <v>37356.129999999997</v>
      </c>
      <c r="F719" s="69"/>
      <c r="M719" s="3"/>
    </row>
    <row r="720" spans="1:13">
      <c r="A720" s="224">
        <v>97941</v>
      </c>
      <c r="B720" s="224" t="s">
        <v>1433</v>
      </c>
      <c r="C720" s="100">
        <v>125305.7</v>
      </c>
      <c r="F720" s="69"/>
      <c r="M720" s="3"/>
    </row>
    <row r="721" spans="1:13">
      <c r="A721" s="224">
        <v>97947</v>
      </c>
      <c r="B721" s="224" t="s">
        <v>1434</v>
      </c>
      <c r="C721" s="100">
        <v>13950.1</v>
      </c>
      <c r="F721" s="69"/>
      <c r="M721" s="3"/>
    </row>
    <row r="722" spans="1:13">
      <c r="A722" s="224">
        <v>97948</v>
      </c>
      <c r="B722" s="224" t="s">
        <v>1435</v>
      </c>
      <c r="C722" s="100">
        <v>13531.02</v>
      </c>
      <c r="F722" s="69"/>
      <c r="M722" s="3"/>
    </row>
    <row r="723" spans="1:13">
      <c r="A723" s="224">
        <v>97951</v>
      </c>
      <c r="B723" s="224" t="s">
        <v>1436</v>
      </c>
      <c r="C723" s="100">
        <v>672611.52</v>
      </c>
      <c r="F723" s="69"/>
      <c r="M723" s="3"/>
    </row>
    <row r="724" spans="1:13">
      <c r="A724" s="224">
        <v>97957</v>
      </c>
      <c r="B724" s="224" t="s">
        <v>1437</v>
      </c>
      <c r="C724" s="100">
        <v>13718.14</v>
      </c>
      <c r="F724" s="69"/>
      <c r="M724" s="3"/>
    </row>
    <row r="725" spans="1:13">
      <c r="A725" s="224">
        <v>98001</v>
      </c>
      <c r="B725" s="224" t="s">
        <v>1438</v>
      </c>
      <c r="C725" s="100">
        <v>2800132.56</v>
      </c>
      <c r="F725" s="69"/>
      <c r="M725" s="3"/>
    </row>
    <row r="726" spans="1:13">
      <c r="A726" s="224">
        <v>98002</v>
      </c>
      <c r="B726" s="224" t="s">
        <v>1439</v>
      </c>
      <c r="C726" s="100">
        <v>5480.94</v>
      </c>
      <c r="F726" s="69"/>
      <c r="M726" s="3"/>
    </row>
    <row r="727" spans="1:13">
      <c r="A727" s="224">
        <v>98003</v>
      </c>
      <c r="B727" s="224" t="s">
        <v>1440</v>
      </c>
      <c r="C727" s="100">
        <v>74811.8</v>
      </c>
      <c r="F727" s="69"/>
      <c r="M727" s="3"/>
    </row>
    <row r="728" spans="1:13">
      <c r="A728" s="224">
        <v>98004</v>
      </c>
      <c r="B728" s="224" t="s">
        <v>1441</v>
      </c>
      <c r="C728" s="100">
        <v>93356.85</v>
      </c>
      <c r="F728" s="69"/>
      <c r="M728" s="3"/>
    </row>
    <row r="729" spans="1:13">
      <c r="A729" s="224">
        <v>98008</v>
      </c>
      <c r="B729" s="224" t="s">
        <v>1442</v>
      </c>
      <c r="C729" s="100">
        <v>3936.33</v>
      </c>
      <c r="F729" s="69"/>
      <c r="M729" s="3"/>
    </row>
    <row r="730" spans="1:13">
      <c r="A730" s="224">
        <v>98011</v>
      </c>
      <c r="B730" s="224" t="s">
        <v>1443</v>
      </c>
      <c r="C730" s="100">
        <v>1700205.21</v>
      </c>
      <c r="F730" s="69"/>
      <c r="M730" s="3"/>
    </row>
    <row r="731" spans="1:13">
      <c r="A731" s="224">
        <v>98013</v>
      </c>
      <c r="B731" s="224" t="s">
        <v>1444</v>
      </c>
      <c r="C731" s="100">
        <v>146569.63</v>
      </c>
      <c r="F731" s="69"/>
      <c r="M731" s="3"/>
    </row>
    <row r="732" spans="1:13">
      <c r="A732" s="224">
        <v>98021</v>
      </c>
      <c r="B732" s="224" t="s">
        <v>1445</v>
      </c>
      <c r="C732" s="100">
        <v>28375.53</v>
      </c>
      <c r="F732" s="69"/>
      <c r="M732" s="3"/>
    </row>
    <row r="733" spans="1:13">
      <c r="A733" s="224">
        <v>98023</v>
      </c>
      <c r="B733" s="224" t="s">
        <v>1446</v>
      </c>
      <c r="C733" s="100">
        <v>4560.75</v>
      </c>
      <c r="F733" s="69"/>
      <c r="M733" s="3"/>
    </row>
    <row r="734" spans="1:13">
      <c r="A734" s="224">
        <v>98031</v>
      </c>
      <c r="B734" s="224" t="s">
        <v>1447</v>
      </c>
      <c r="C734" s="100">
        <v>75174.78</v>
      </c>
      <c r="F734" s="69"/>
      <c r="M734" s="3"/>
    </row>
    <row r="735" spans="1:13">
      <c r="A735" s="224">
        <v>98041</v>
      </c>
      <c r="B735" s="224" t="s">
        <v>1448</v>
      </c>
      <c r="C735" s="100">
        <v>109208.83</v>
      </c>
      <c r="F735" s="69"/>
      <c r="M735" s="3"/>
    </row>
    <row r="736" spans="1:13">
      <c r="A736" s="224">
        <v>98051</v>
      </c>
      <c r="B736" s="224" t="s">
        <v>1449</v>
      </c>
      <c r="C736" s="100">
        <v>149784.16</v>
      </c>
      <c r="F736" s="69"/>
      <c r="M736" s="3"/>
    </row>
    <row r="737" spans="1:13">
      <c r="A737" s="224">
        <v>98061</v>
      </c>
      <c r="B737" s="224" t="s">
        <v>1450</v>
      </c>
      <c r="C737" s="100">
        <v>57980.75</v>
      </c>
      <c r="F737" s="69"/>
      <c r="M737" s="3"/>
    </row>
    <row r="738" spans="1:13">
      <c r="A738" s="224">
        <v>98071</v>
      </c>
      <c r="B738" s="224" t="s">
        <v>1451</v>
      </c>
      <c r="C738" s="100">
        <v>35560.61</v>
      </c>
      <c r="F738" s="69"/>
      <c r="M738" s="3"/>
    </row>
    <row r="739" spans="1:13">
      <c r="A739" s="224">
        <v>98081</v>
      </c>
      <c r="B739" s="224" t="s">
        <v>1452</v>
      </c>
      <c r="C739" s="100">
        <v>8432.65</v>
      </c>
      <c r="F739" s="69"/>
      <c r="M739" s="3"/>
    </row>
    <row r="740" spans="1:13">
      <c r="A740" s="224">
        <v>98091</v>
      </c>
      <c r="B740" s="224" t="s">
        <v>1453</v>
      </c>
      <c r="C740" s="100">
        <v>28107.68</v>
      </c>
      <c r="F740" s="69"/>
      <c r="M740" s="3"/>
    </row>
    <row r="741" spans="1:13">
      <c r="A741" s="224">
        <v>98101</v>
      </c>
      <c r="B741" s="224" t="s">
        <v>1454</v>
      </c>
      <c r="C741" s="100">
        <v>1512524.2</v>
      </c>
      <c r="F741" s="69"/>
      <c r="M741" s="3"/>
    </row>
    <row r="742" spans="1:13">
      <c r="A742" s="224">
        <v>98102</v>
      </c>
      <c r="B742" s="224" t="s">
        <v>1455</v>
      </c>
      <c r="C742" s="100">
        <v>85915.81</v>
      </c>
      <c r="F742" s="69"/>
      <c r="M742" s="3"/>
    </row>
    <row r="743" spans="1:13">
      <c r="A743" s="224">
        <v>98103</v>
      </c>
      <c r="B743" s="224" t="s">
        <v>1456</v>
      </c>
      <c r="C743" s="100">
        <v>278130.09000000003</v>
      </c>
      <c r="F743" s="69"/>
      <c r="M743" s="3"/>
    </row>
    <row r="744" spans="1:13">
      <c r="A744" s="224">
        <v>98107</v>
      </c>
      <c r="B744" s="224" t="s">
        <v>1457</v>
      </c>
      <c r="C744" s="100">
        <v>10953.72</v>
      </c>
      <c r="F744" s="69"/>
      <c r="M744" s="3"/>
    </row>
    <row r="745" spans="1:13">
      <c r="A745" s="224">
        <v>98109</v>
      </c>
      <c r="B745" s="224" t="s">
        <v>1458</v>
      </c>
      <c r="C745" s="100">
        <v>96341.54</v>
      </c>
      <c r="F745" s="69"/>
      <c r="M745" s="3"/>
    </row>
    <row r="746" spans="1:13">
      <c r="A746" s="224">
        <v>98111</v>
      </c>
      <c r="B746" s="224" t="s">
        <v>1459</v>
      </c>
      <c r="C746" s="100">
        <v>497398.92</v>
      </c>
      <c r="F746" s="69"/>
      <c r="M746" s="3"/>
    </row>
    <row r="747" spans="1:13">
      <c r="A747" s="224">
        <v>98113</v>
      </c>
      <c r="B747" s="224" t="s">
        <v>1460</v>
      </c>
      <c r="C747" s="100">
        <v>26297.14</v>
      </c>
      <c r="F747" s="69"/>
      <c r="M747" s="3"/>
    </row>
    <row r="748" spans="1:13">
      <c r="A748" s="224">
        <v>98121</v>
      </c>
      <c r="B748" s="224" t="s">
        <v>1461</v>
      </c>
      <c r="C748" s="100">
        <v>107607.24</v>
      </c>
      <c r="F748" s="69"/>
      <c r="M748" s="3"/>
    </row>
    <row r="749" spans="1:13">
      <c r="A749" s="224">
        <v>98131</v>
      </c>
      <c r="B749" s="224" t="s">
        <v>1462</v>
      </c>
      <c r="C749" s="100">
        <v>139198.78</v>
      </c>
      <c r="F749" s="69"/>
      <c r="M749" s="3"/>
    </row>
    <row r="750" spans="1:13">
      <c r="A750" s="224">
        <v>98141</v>
      </c>
      <c r="B750" s="224" t="s">
        <v>1463</v>
      </c>
      <c r="C750" s="100">
        <v>147750.82</v>
      </c>
      <c r="F750" s="69"/>
      <c r="M750" s="3"/>
    </row>
    <row r="751" spans="1:13">
      <c r="A751" s="224">
        <v>98147</v>
      </c>
      <c r="B751" s="224" t="s">
        <v>1464</v>
      </c>
      <c r="C751" s="100">
        <v>11095.36</v>
      </c>
      <c r="F751" s="69"/>
      <c r="M751" s="3"/>
    </row>
    <row r="752" spans="1:13">
      <c r="A752" s="224">
        <v>98161</v>
      </c>
      <c r="B752" s="224" t="s">
        <v>1465</v>
      </c>
      <c r="C752" s="100">
        <v>5704.32</v>
      </c>
      <c r="F752" s="69"/>
      <c r="M752" s="3"/>
    </row>
    <row r="753" spans="1:13">
      <c r="A753" s="224">
        <v>98201</v>
      </c>
      <c r="B753" s="224" t="s">
        <v>1466</v>
      </c>
      <c r="C753" s="100">
        <v>1704895.71</v>
      </c>
      <c r="F753" s="69"/>
      <c r="M753" s="3"/>
    </row>
    <row r="754" spans="1:13">
      <c r="A754" s="224">
        <v>98205</v>
      </c>
      <c r="B754" s="224" t="s">
        <v>1467</v>
      </c>
      <c r="C754" s="100">
        <v>21029.88</v>
      </c>
      <c r="F754" s="69"/>
      <c r="M754" s="3"/>
    </row>
    <row r="755" spans="1:13">
      <c r="A755" s="224">
        <v>98211</v>
      </c>
      <c r="B755" s="224" t="s">
        <v>1468</v>
      </c>
      <c r="C755" s="100">
        <v>456722.87</v>
      </c>
      <c r="F755" s="69"/>
      <c r="M755" s="3"/>
    </row>
    <row r="756" spans="1:13">
      <c r="A756" s="224">
        <v>98218</v>
      </c>
      <c r="B756" s="224" t="s">
        <v>1469</v>
      </c>
      <c r="C756" s="100">
        <v>9498.94</v>
      </c>
      <c r="F756" s="69"/>
      <c r="M756" s="3"/>
    </row>
    <row r="757" spans="1:13">
      <c r="A757" s="224">
        <v>98221</v>
      </c>
      <c r="B757" s="224" t="s">
        <v>1470</v>
      </c>
      <c r="C757" s="100">
        <v>12495.62</v>
      </c>
      <c r="F757" s="69"/>
      <c r="M757" s="3"/>
    </row>
    <row r="758" spans="1:13">
      <c r="A758" s="224">
        <v>98231</v>
      </c>
      <c r="B758" s="224" t="s">
        <v>1471</v>
      </c>
      <c r="C758" s="100">
        <v>17043.650000000001</v>
      </c>
      <c r="F758" s="69"/>
      <c r="M758" s="3"/>
    </row>
    <row r="759" spans="1:13">
      <c r="A759" s="224">
        <v>98237</v>
      </c>
      <c r="B759" s="224" t="s">
        <v>1472</v>
      </c>
      <c r="C759" s="100">
        <v>3889.8</v>
      </c>
      <c r="F759" s="69"/>
      <c r="M759" s="3"/>
    </row>
    <row r="760" spans="1:13">
      <c r="A760" s="224">
        <v>98241</v>
      </c>
      <c r="B760" s="224" t="s">
        <v>1473</v>
      </c>
      <c r="C760" s="100">
        <v>11328.54</v>
      </c>
      <c r="F760" s="69"/>
      <c r="M760" s="3"/>
    </row>
    <row r="761" spans="1:13">
      <c r="A761" s="224">
        <v>98251</v>
      </c>
      <c r="B761" s="224" t="s">
        <v>1474</v>
      </c>
      <c r="C761" s="100">
        <v>2656.4</v>
      </c>
      <c r="F761" s="69"/>
      <c r="M761" s="3"/>
    </row>
    <row r="762" spans="1:13">
      <c r="A762" s="224">
        <v>98261</v>
      </c>
      <c r="B762" s="224" t="s">
        <v>1475</v>
      </c>
      <c r="C762" s="100">
        <v>19562.740000000002</v>
      </c>
      <c r="F762" s="69"/>
      <c r="M762" s="3"/>
    </row>
    <row r="763" spans="1:13">
      <c r="A763" s="224">
        <v>98271</v>
      </c>
      <c r="B763" s="224" t="s">
        <v>1476</v>
      </c>
      <c r="C763" s="100">
        <v>4490.5</v>
      </c>
      <c r="F763" s="69"/>
      <c r="M763" s="3"/>
    </row>
    <row r="764" spans="1:13">
      <c r="A764" s="224">
        <v>98301</v>
      </c>
      <c r="B764" s="224" t="s">
        <v>1477</v>
      </c>
      <c r="C764" s="100">
        <v>980026.13</v>
      </c>
      <c r="F764" s="69"/>
      <c r="M764" s="3"/>
    </row>
    <row r="765" spans="1:13">
      <c r="A765" s="224">
        <v>98304</v>
      </c>
      <c r="B765" s="224" t="s">
        <v>1478</v>
      </c>
      <c r="C765" s="100">
        <v>15846.58</v>
      </c>
      <c r="F765" s="69"/>
      <c r="M765" s="3"/>
    </row>
    <row r="766" spans="1:13">
      <c r="A766" s="224">
        <v>98308</v>
      </c>
      <c r="B766" s="224" t="s">
        <v>1479</v>
      </c>
      <c r="C766" s="100">
        <v>16140.44</v>
      </c>
      <c r="F766" s="69"/>
      <c r="M766" s="3"/>
    </row>
    <row r="767" spans="1:13">
      <c r="A767" s="224">
        <v>98311</v>
      </c>
      <c r="B767" s="224" t="s">
        <v>1480</v>
      </c>
      <c r="C767" s="100">
        <v>564048.79</v>
      </c>
      <c r="F767" s="69"/>
      <c r="M767" s="3"/>
    </row>
    <row r="768" spans="1:13">
      <c r="A768" s="224">
        <v>98313</v>
      </c>
      <c r="B768" s="224" t="s">
        <v>1481</v>
      </c>
      <c r="C768" s="100">
        <v>263782.99</v>
      </c>
      <c r="F768" s="69"/>
      <c r="M768" s="3"/>
    </row>
    <row r="769" spans="1:13">
      <c r="A769" s="224">
        <v>98321</v>
      </c>
      <c r="B769" s="224" t="s">
        <v>1482</v>
      </c>
      <c r="C769" s="100">
        <v>10467.51</v>
      </c>
      <c r="F769" s="69"/>
      <c r="M769" s="3"/>
    </row>
    <row r="770" spans="1:13">
      <c r="A770" s="224">
        <v>98331</v>
      </c>
      <c r="B770" s="224" t="s">
        <v>1483</v>
      </c>
      <c r="C770" s="100">
        <v>6904.82</v>
      </c>
      <c r="F770" s="69"/>
      <c r="M770" s="3"/>
    </row>
    <row r="771" spans="1:13">
      <c r="A771" s="224">
        <v>98401</v>
      </c>
      <c r="B771" s="224" t="s">
        <v>1484</v>
      </c>
      <c r="C771" s="100">
        <v>1612340.34</v>
      </c>
      <c r="F771" s="69"/>
      <c r="M771" s="3"/>
    </row>
    <row r="772" spans="1:13">
      <c r="A772" s="224">
        <v>98404</v>
      </c>
      <c r="B772" s="224" t="s">
        <v>1485</v>
      </c>
      <c r="C772" s="100">
        <v>7986.34</v>
      </c>
      <c r="F772" s="69"/>
      <c r="M772" s="3"/>
    </row>
    <row r="773" spans="1:13">
      <c r="A773" s="224">
        <v>98411</v>
      </c>
      <c r="B773" s="224" t="s">
        <v>1486</v>
      </c>
      <c r="C773" s="100">
        <v>936688.33</v>
      </c>
      <c r="F773" s="69"/>
      <c r="M773" s="3"/>
    </row>
    <row r="774" spans="1:13">
      <c r="A774" s="224">
        <v>98414</v>
      </c>
      <c r="B774" s="224" t="s">
        <v>1487</v>
      </c>
      <c r="C774" s="100">
        <v>18009.400000000001</v>
      </c>
      <c r="F774" s="69"/>
      <c r="M774" s="3"/>
    </row>
    <row r="775" spans="1:13">
      <c r="A775" s="224">
        <v>98417</v>
      </c>
      <c r="B775" s="224" t="s">
        <v>1488</v>
      </c>
      <c r="C775" s="100">
        <v>17461.32</v>
      </c>
      <c r="F775" s="69"/>
      <c r="M775" s="3"/>
    </row>
    <row r="776" spans="1:13">
      <c r="A776" s="224">
        <v>98421</v>
      </c>
      <c r="B776" s="224" t="s">
        <v>1489</v>
      </c>
      <c r="C776" s="100">
        <v>54836.86</v>
      </c>
      <c r="F776" s="69"/>
      <c r="M776" s="3"/>
    </row>
    <row r="777" spans="1:13">
      <c r="A777" s="224">
        <v>98427</v>
      </c>
      <c r="B777" s="224" t="s">
        <v>1490</v>
      </c>
      <c r="C777" s="100">
        <v>3708.55</v>
      </c>
      <c r="F777" s="69"/>
      <c r="M777" s="3"/>
    </row>
    <row r="778" spans="1:13">
      <c r="A778" s="224">
        <v>98431</v>
      </c>
      <c r="B778" s="224" t="s">
        <v>1491</v>
      </c>
      <c r="C778" s="100">
        <v>94730.92</v>
      </c>
      <c r="F778" s="69"/>
      <c r="M778" s="3"/>
    </row>
    <row r="779" spans="1:13">
      <c r="A779" s="224">
        <v>98441</v>
      </c>
      <c r="B779" s="224" t="s">
        <v>1492</v>
      </c>
      <c r="C779" s="100">
        <v>49115.65</v>
      </c>
      <c r="F779" s="69"/>
      <c r="M779" s="3"/>
    </row>
    <row r="780" spans="1:13">
      <c r="A780" s="224">
        <v>98451</v>
      </c>
      <c r="B780" s="224" t="s">
        <v>1493</v>
      </c>
      <c r="C780" s="100">
        <v>27429.14</v>
      </c>
      <c r="F780" s="69"/>
      <c r="M780" s="3"/>
    </row>
    <row r="781" spans="1:13">
      <c r="A781" s="224">
        <v>98471</v>
      </c>
      <c r="B781" s="224" t="s">
        <v>1638</v>
      </c>
      <c r="C781" s="100">
        <v>4469.6499999999996</v>
      </c>
      <c r="F781" s="69"/>
      <c r="M781" s="3"/>
    </row>
    <row r="782" spans="1:13">
      <c r="A782" s="224">
        <v>98481</v>
      </c>
      <c r="B782" s="224" t="s">
        <v>1494</v>
      </c>
      <c r="C782" s="100">
        <v>32906.79</v>
      </c>
      <c r="F782" s="69"/>
      <c r="M782" s="3"/>
    </row>
    <row r="783" spans="1:13">
      <c r="A783" s="224">
        <v>98501</v>
      </c>
      <c r="B783" s="224" t="s">
        <v>1495</v>
      </c>
      <c r="C783" s="100">
        <v>932850.12</v>
      </c>
      <c r="F783" s="69"/>
      <c r="M783" s="3"/>
    </row>
    <row r="784" spans="1:13">
      <c r="A784" s="224">
        <v>98511</v>
      </c>
      <c r="B784" s="224" t="s">
        <v>1496</v>
      </c>
      <c r="C784" s="100">
        <v>23896.09</v>
      </c>
      <c r="F784" s="69"/>
      <c r="M784" s="3"/>
    </row>
    <row r="785" spans="1:13">
      <c r="A785" s="224">
        <v>98517</v>
      </c>
      <c r="B785" s="224" t="s">
        <v>1497</v>
      </c>
      <c r="C785" s="100">
        <v>3479.82</v>
      </c>
      <c r="F785" s="69"/>
      <c r="M785" s="3"/>
    </row>
    <row r="786" spans="1:13">
      <c r="A786" s="224">
        <v>98521</v>
      </c>
      <c r="B786" s="224" t="s">
        <v>1498</v>
      </c>
      <c r="C786" s="100">
        <v>326721.3</v>
      </c>
      <c r="F786" s="69"/>
      <c r="M786" s="3"/>
    </row>
    <row r="787" spans="1:13">
      <c r="A787" s="224">
        <v>98601</v>
      </c>
      <c r="B787" s="224" t="s">
        <v>1499</v>
      </c>
      <c r="C787" s="100">
        <v>1798525.15</v>
      </c>
      <c r="F787" s="69"/>
      <c r="M787" s="3"/>
    </row>
    <row r="788" spans="1:13">
      <c r="A788" s="224">
        <v>98604</v>
      </c>
      <c r="B788" s="224" t="s">
        <v>1500</v>
      </c>
      <c r="C788" s="100">
        <v>8906.5499999999993</v>
      </c>
      <c r="F788" s="69"/>
      <c r="M788" s="3"/>
    </row>
    <row r="789" spans="1:13">
      <c r="A789" s="224">
        <v>98607</v>
      </c>
      <c r="B789" s="224" t="s">
        <v>1501</v>
      </c>
      <c r="C789" s="100">
        <v>3495.24</v>
      </c>
      <c r="F789" s="69"/>
      <c r="M789" s="3"/>
    </row>
    <row r="790" spans="1:13">
      <c r="A790" s="224">
        <v>98608</v>
      </c>
      <c r="B790" s="224" t="s">
        <v>1502</v>
      </c>
      <c r="C790" s="100">
        <v>29312.71</v>
      </c>
      <c r="F790" s="69"/>
      <c r="M790" s="3"/>
    </row>
    <row r="791" spans="1:13">
      <c r="A791" s="224">
        <v>98611</v>
      </c>
      <c r="B791" s="224" t="s">
        <v>1503</v>
      </c>
      <c r="C791" s="100">
        <v>65307.22</v>
      </c>
      <c r="F791" s="69"/>
      <c r="M791" s="3"/>
    </row>
    <row r="792" spans="1:13">
      <c r="A792" s="224">
        <v>98621</v>
      </c>
      <c r="B792" s="224" t="s">
        <v>1504</v>
      </c>
      <c r="C792" s="100">
        <v>68981</v>
      </c>
      <c r="F792" s="69"/>
      <c r="M792" s="3"/>
    </row>
    <row r="793" spans="1:13">
      <c r="A793" s="224">
        <v>98627</v>
      </c>
      <c r="B793" s="224" t="s">
        <v>1505</v>
      </c>
      <c r="C793" s="100">
        <v>3807.08</v>
      </c>
      <c r="F793" s="69"/>
      <c r="M793" s="3"/>
    </row>
    <row r="794" spans="1:13">
      <c r="A794" s="224">
        <v>98631</v>
      </c>
      <c r="B794" s="224" t="s">
        <v>1506</v>
      </c>
      <c r="C794" s="100">
        <v>536120.5</v>
      </c>
      <c r="F794" s="69"/>
      <c r="M794" s="3"/>
    </row>
    <row r="795" spans="1:13">
      <c r="A795" s="224">
        <v>98637</v>
      </c>
      <c r="B795" s="224" t="s">
        <v>1507</v>
      </c>
      <c r="C795" s="100">
        <v>16562.830000000002</v>
      </c>
      <c r="F795" s="69"/>
      <c r="M795" s="3"/>
    </row>
    <row r="796" spans="1:13">
      <c r="A796" s="224">
        <v>98641</v>
      </c>
      <c r="B796" s="224" t="s">
        <v>1508</v>
      </c>
      <c r="C796" s="100">
        <v>155993.72</v>
      </c>
      <c r="F796" s="69"/>
      <c r="M796" s="3"/>
    </row>
    <row r="797" spans="1:13">
      <c r="A797" s="224">
        <v>98701</v>
      </c>
      <c r="B797" s="224" t="s">
        <v>1509</v>
      </c>
      <c r="C797" s="100">
        <v>535789.9</v>
      </c>
      <c r="F797" s="69"/>
      <c r="M797" s="3"/>
    </row>
    <row r="798" spans="1:13">
      <c r="A798" s="224">
        <v>98711</v>
      </c>
      <c r="B798" s="224" t="s">
        <v>1510</v>
      </c>
      <c r="C798" s="100">
        <v>77037.11</v>
      </c>
      <c r="F798" s="69"/>
      <c r="M798" s="3"/>
    </row>
    <row r="799" spans="1:13">
      <c r="A799" s="224">
        <v>98717</v>
      </c>
      <c r="B799" s="224" t="s">
        <v>1511</v>
      </c>
      <c r="C799" s="100">
        <v>10712.88</v>
      </c>
      <c r="F799" s="69"/>
      <c r="M799" s="3"/>
    </row>
    <row r="800" spans="1:13">
      <c r="A800" s="224">
        <v>98801</v>
      </c>
      <c r="B800" s="224" t="s">
        <v>1512</v>
      </c>
      <c r="C800" s="100">
        <v>1184009.6499999999</v>
      </c>
      <c r="F800" s="69"/>
      <c r="M800" s="3"/>
    </row>
    <row r="801" spans="1:13">
      <c r="A801" s="224">
        <v>98811</v>
      </c>
      <c r="B801" s="224" t="s">
        <v>1513</v>
      </c>
      <c r="C801" s="100">
        <v>373677.59</v>
      </c>
      <c r="F801" s="69"/>
      <c r="M801" s="3"/>
    </row>
    <row r="802" spans="1:13">
      <c r="A802" s="224">
        <v>98817</v>
      </c>
      <c r="B802" s="224" t="s">
        <v>1514</v>
      </c>
      <c r="C802" s="100">
        <v>11653.13</v>
      </c>
      <c r="F802" s="69"/>
      <c r="M802" s="3"/>
    </row>
    <row r="803" spans="1:13">
      <c r="A803" s="224">
        <v>98901</v>
      </c>
      <c r="B803" s="224" t="s">
        <v>1515</v>
      </c>
      <c r="C803" s="100">
        <v>173046.25</v>
      </c>
      <c r="F803" s="69"/>
      <c r="M803" s="3"/>
    </row>
    <row r="804" spans="1:13">
      <c r="A804" s="224">
        <v>98904</v>
      </c>
      <c r="B804" s="224" t="s">
        <v>1516</v>
      </c>
      <c r="C804" s="100">
        <v>1808.88</v>
      </c>
      <c r="F804" s="69"/>
      <c r="M804" s="3"/>
    </row>
    <row r="805" spans="1:13">
      <c r="A805" s="224">
        <v>98911</v>
      </c>
      <c r="B805" s="224" t="s">
        <v>1517</v>
      </c>
      <c r="C805" s="100">
        <v>20777.02</v>
      </c>
      <c r="F805" s="69"/>
      <c r="M805" s="3"/>
    </row>
    <row r="806" spans="1:13">
      <c r="A806" s="224">
        <v>99001</v>
      </c>
      <c r="B806" s="224" t="s">
        <v>1518</v>
      </c>
      <c r="C806" s="100">
        <v>4571287.33</v>
      </c>
      <c r="F806" s="69"/>
      <c r="M806" s="3"/>
    </row>
    <row r="807" spans="1:13">
      <c r="A807" s="224">
        <v>99011</v>
      </c>
      <c r="B807" s="224" t="s">
        <v>1519</v>
      </c>
      <c r="C807" s="100">
        <v>2077782.41</v>
      </c>
      <c r="F807" s="69"/>
      <c r="M807" s="3"/>
    </row>
    <row r="808" spans="1:13">
      <c r="A808" s="224">
        <v>99013</v>
      </c>
      <c r="B808" s="224" t="s">
        <v>1520</v>
      </c>
      <c r="C808" s="100">
        <v>30943.9</v>
      </c>
      <c r="F808" s="69"/>
      <c r="M808" s="3"/>
    </row>
    <row r="809" spans="1:13">
      <c r="A809" s="224">
        <v>99014</v>
      </c>
      <c r="B809" s="224" t="s">
        <v>1521</v>
      </c>
      <c r="C809" s="100">
        <v>17401.82</v>
      </c>
      <c r="F809" s="69"/>
      <c r="M809" s="3"/>
    </row>
    <row r="810" spans="1:13">
      <c r="A810" s="224">
        <v>99017</v>
      </c>
      <c r="B810" s="224" t="s">
        <v>1522</v>
      </c>
      <c r="C810" s="100">
        <v>24319.88</v>
      </c>
      <c r="F810" s="69"/>
      <c r="M810" s="3"/>
    </row>
    <row r="811" spans="1:13">
      <c r="A811" s="224">
        <v>99021</v>
      </c>
      <c r="B811" s="224" t="s">
        <v>1523</v>
      </c>
      <c r="C811" s="100">
        <v>69808.649999999994</v>
      </c>
      <c r="F811" s="69"/>
      <c r="M811" s="3"/>
    </row>
    <row r="812" spans="1:13">
      <c r="A812" s="224">
        <v>99022</v>
      </c>
      <c r="B812" s="224" t="s">
        <v>211</v>
      </c>
      <c r="C812" s="100">
        <v>12585.84</v>
      </c>
      <c r="F812" s="69"/>
      <c r="M812" s="3"/>
    </row>
    <row r="813" spans="1:13">
      <c r="A813" s="224">
        <v>99031</v>
      </c>
      <c r="B813" s="224" t="s">
        <v>1524</v>
      </c>
      <c r="C813" s="100">
        <v>63641.97</v>
      </c>
      <c r="F813" s="69"/>
      <c r="M813" s="3"/>
    </row>
    <row r="814" spans="1:13">
      <c r="A814" s="224">
        <v>99041</v>
      </c>
      <c r="B814" s="224" t="s">
        <v>1525</v>
      </c>
      <c r="C814" s="100">
        <v>318260.34000000003</v>
      </c>
      <c r="F814" s="69"/>
      <c r="M814" s="3"/>
    </row>
    <row r="815" spans="1:13">
      <c r="A815" s="224">
        <v>99047</v>
      </c>
      <c r="B815" s="224" t="s">
        <v>1526</v>
      </c>
      <c r="C815" s="100">
        <v>12566.55</v>
      </c>
      <c r="F815" s="69"/>
      <c r="M815" s="3"/>
    </row>
    <row r="816" spans="1:13">
      <c r="A816" s="224">
        <v>99051</v>
      </c>
      <c r="B816" s="224" t="s">
        <v>1527</v>
      </c>
      <c r="C816" s="100">
        <v>172602.91</v>
      </c>
      <c r="F816" s="69"/>
      <c r="M816" s="3"/>
    </row>
    <row r="817" spans="1:13">
      <c r="A817" s="224">
        <v>99061</v>
      </c>
      <c r="B817" s="224" t="s">
        <v>1528</v>
      </c>
      <c r="C817" s="100">
        <v>4790.1400000000003</v>
      </c>
      <c r="F817" s="69"/>
      <c r="M817" s="3"/>
    </row>
    <row r="818" spans="1:13">
      <c r="A818" s="224">
        <v>99071</v>
      </c>
      <c r="B818" s="224" t="s">
        <v>1529</v>
      </c>
      <c r="C818" s="100">
        <v>16812.310000000001</v>
      </c>
      <c r="F818" s="69"/>
      <c r="M818" s="3"/>
    </row>
    <row r="819" spans="1:13">
      <c r="A819" s="224">
        <v>99081</v>
      </c>
      <c r="B819" s="224" t="s">
        <v>1530</v>
      </c>
      <c r="C819" s="100">
        <v>15553.27</v>
      </c>
      <c r="F819" s="69"/>
      <c r="M819" s="3"/>
    </row>
    <row r="820" spans="1:13">
      <c r="A820" s="224">
        <v>99091</v>
      </c>
      <c r="B820" s="224" t="s">
        <v>1531</v>
      </c>
      <c r="C820" s="100">
        <v>8538.89</v>
      </c>
      <c r="F820" s="69"/>
      <c r="M820" s="3"/>
    </row>
    <row r="821" spans="1:13">
      <c r="A821" s="224">
        <v>99101</v>
      </c>
      <c r="B821" s="224" t="s">
        <v>1532</v>
      </c>
      <c r="C821" s="100">
        <v>1063529.71</v>
      </c>
      <c r="F821" s="69"/>
      <c r="M821" s="3"/>
    </row>
    <row r="822" spans="1:13">
      <c r="A822" s="224">
        <v>99104</v>
      </c>
      <c r="B822" s="224" t="s">
        <v>1533</v>
      </c>
      <c r="C822" s="100">
        <v>27904.52</v>
      </c>
      <c r="F822" s="69"/>
      <c r="M822" s="3"/>
    </row>
    <row r="823" spans="1:13">
      <c r="A823" s="224">
        <v>99109</v>
      </c>
      <c r="B823" s="224" t="s">
        <v>1534</v>
      </c>
      <c r="C823" s="100">
        <v>61735.47</v>
      </c>
      <c r="F823" s="69"/>
      <c r="M823" s="3"/>
    </row>
    <row r="824" spans="1:13">
      <c r="A824" s="224">
        <v>99110</v>
      </c>
      <c r="B824" s="224" t="s">
        <v>1535</v>
      </c>
      <c r="C824" s="100">
        <v>128752.07</v>
      </c>
      <c r="F824" s="69"/>
      <c r="M824" s="3"/>
    </row>
    <row r="825" spans="1:13">
      <c r="A825" s="224">
        <v>99111</v>
      </c>
      <c r="B825" s="224" t="s">
        <v>1536</v>
      </c>
      <c r="C825" s="100">
        <v>658079.44999999995</v>
      </c>
      <c r="F825" s="69"/>
      <c r="M825" s="3"/>
    </row>
    <row r="826" spans="1:13">
      <c r="A826" s="224">
        <v>99201</v>
      </c>
      <c r="B826" s="280" t="s">
        <v>1537</v>
      </c>
      <c r="C826" s="320">
        <v>18310367.219999999</v>
      </c>
      <c r="D826" s="224" t="s">
        <v>3615</v>
      </c>
      <c r="F826" s="69"/>
      <c r="M826" s="3"/>
    </row>
    <row r="827" spans="1:13">
      <c r="A827" s="224">
        <v>99202</v>
      </c>
      <c r="B827" s="224" t="s">
        <v>1538</v>
      </c>
      <c r="C827" s="100">
        <v>1352067.7</v>
      </c>
      <c r="F827" s="69"/>
      <c r="M827" s="3"/>
    </row>
    <row r="828" spans="1:13">
      <c r="A828" s="224">
        <v>99203</v>
      </c>
      <c r="B828" s="224" t="s">
        <v>1539</v>
      </c>
      <c r="C828" s="100">
        <v>171885.6</v>
      </c>
      <c r="F828" s="69"/>
      <c r="M828" s="3"/>
    </row>
    <row r="829" spans="1:13">
      <c r="A829" s="224">
        <v>99204</v>
      </c>
      <c r="B829" s="224" t="s">
        <v>1540</v>
      </c>
      <c r="C829" s="100">
        <v>483858.37</v>
      </c>
      <c r="F829" s="69"/>
      <c r="M829" s="3"/>
    </row>
    <row r="830" spans="1:13">
      <c r="A830" s="224">
        <v>99206</v>
      </c>
      <c r="B830" s="224" t="s">
        <v>1541</v>
      </c>
      <c r="C830" s="100">
        <v>845536.17</v>
      </c>
      <c r="F830" s="69"/>
      <c r="M830" s="3"/>
    </row>
    <row r="831" spans="1:13">
      <c r="A831" s="224">
        <v>99207</v>
      </c>
      <c r="B831" s="224" t="s">
        <v>1542</v>
      </c>
      <c r="C831" s="100">
        <v>201292.79999999999</v>
      </c>
      <c r="F831" s="69"/>
      <c r="M831" s="3"/>
    </row>
    <row r="832" spans="1:13">
      <c r="A832" s="224">
        <v>99208</v>
      </c>
      <c r="B832" s="224" t="s">
        <v>1543</v>
      </c>
      <c r="C832" s="100">
        <v>122693.87</v>
      </c>
      <c r="F832" s="69"/>
      <c r="M832" s="3"/>
    </row>
    <row r="833" spans="1:13">
      <c r="A833" s="224">
        <v>99210</v>
      </c>
      <c r="B833" s="224" t="s">
        <v>1544</v>
      </c>
      <c r="C833" s="100">
        <v>1026852.15</v>
      </c>
      <c r="F833" s="69"/>
      <c r="M833" s="3"/>
    </row>
    <row r="834" spans="1:13">
      <c r="A834" s="224">
        <v>99211</v>
      </c>
      <c r="B834" s="224" t="s">
        <v>1545</v>
      </c>
      <c r="C834" s="100">
        <v>19516825.870000001</v>
      </c>
      <c r="F834" s="69"/>
      <c r="M834" s="3"/>
    </row>
    <row r="835" spans="1:13">
      <c r="A835" s="224">
        <v>99212</v>
      </c>
      <c r="B835" s="224" t="s">
        <v>1546</v>
      </c>
      <c r="C835" s="100">
        <v>34625.85</v>
      </c>
      <c r="F835" s="69"/>
      <c r="M835" s="3"/>
    </row>
    <row r="836" spans="1:13">
      <c r="A836" s="224">
        <v>99213</v>
      </c>
      <c r="B836" s="224" t="s">
        <v>1547</v>
      </c>
      <c r="C836" s="100">
        <v>369196.19</v>
      </c>
      <c r="F836" s="69"/>
      <c r="M836" s="3"/>
    </row>
    <row r="837" spans="1:13">
      <c r="A837" s="224">
        <v>99218</v>
      </c>
      <c r="B837" s="224" t="s">
        <v>1548</v>
      </c>
      <c r="C837" s="100">
        <v>1864163.43</v>
      </c>
      <c r="F837" s="69"/>
      <c r="M837" s="3"/>
    </row>
    <row r="838" spans="1:13">
      <c r="A838" s="224">
        <v>99221</v>
      </c>
      <c r="B838" s="224" t="s">
        <v>1549</v>
      </c>
      <c r="C838" s="100">
        <v>6590863.1299999999</v>
      </c>
      <c r="F838" s="69"/>
      <c r="M838" s="3"/>
    </row>
    <row r="839" spans="1:13">
      <c r="A839" s="224">
        <v>99222</v>
      </c>
      <c r="B839" s="224" t="s">
        <v>1550</v>
      </c>
      <c r="C839" s="100">
        <v>17595.79</v>
      </c>
      <c r="F839" s="69"/>
      <c r="M839" s="3"/>
    </row>
    <row r="840" spans="1:13">
      <c r="A840" s="224">
        <v>99231</v>
      </c>
      <c r="B840" s="224" t="s">
        <v>1551</v>
      </c>
      <c r="C840" s="100">
        <v>187716.83</v>
      </c>
      <c r="F840" s="69"/>
      <c r="M840" s="3"/>
    </row>
    <row r="841" spans="1:13">
      <c r="A841" s="224">
        <v>99241</v>
      </c>
      <c r="B841" s="224" t="s">
        <v>1552</v>
      </c>
      <c r="C841" s="100">
        <v>277114.7</v>
      </c>
      <c r="F841" s="69"/>
      <c r="M841" s="3"/>
    </row>
    <row r="842" spans="1:13">
      <c r="A842" s="224">
        <v>99251</v>
      </c>
      <c r="B842" s="224" t="s">
        <v>1553</v>
      </c>
      <c r="C842" s="100">
        <v>831131.54</v>
      </c>
      <c r="F842" s="69"/>
      <c r="M842" s="3"/>
    </row>
    <row r="843" spans="1:13">
      <c r="A843" s="224">
        <v>99252</v>
      </c>
      <c r="B843" s="224" t="s">
        <v>1554</v>
      </c>
      <c r="C843" s="100">
        <v>253791.84</v>
      </c>
      <c r="F843" s="69"/>
      <c r="M843" s="3"/>
    </row>
    <row r="844" spans="1:13">
      <c r="A844" s="224">
        <v>99261</v>
      </c>
      <c r="B844" s="224" t="s">
        <v>1555</v>
      </c>
      <c r="C844" s="100">
        <v>1034040.67</v>
      </c>
      <c r="F844" s="69"/>
      <c r="M844" s="3"/>
    </row>
    <row r="845" spans="1:13">
      <c r="A845" s="224">
        <v>99271</v>
      </c>
      <c r="B845" s="224" t="s">
        <v>1556</v>
      </c>
      <c r="C845" s="100">
        <v>2116047.13</v>
      </c>
      <c r="F845" s="69"/>
      <c r="M845" s="3"/>
    </row>
    <row r="846" spans="1:13">
      <c r="A846" s="224">
        <v>99281</v>
      </c>
      <c r="B846" s="224" t="s">
        <v>1557</v>
      </c>
      <c r="C846" s="100">
        <v>1230835.01</v>
      </c>
      <c r="F846" s="69"/>
      <c r="M846" s="3"/>
    </row>
    <row r="847" spans="1:13">
      <c r="A847" s="224">
        <v>99291</v>
      </c>
      <c r="B847" s="224" t="s">
        <v>1558</v>
      </c>
      <c r="C847" s="100">
        <v>378307.26</v>
      </c>
      <c r="F847" s="69"/>
      <c r="M847" s="3"/>
    </row>
    <row r="848" spans="1:13">
      <c r="A848" s="224">
        <v>99301</v>
      </c>
      <c r="B848" s="224" t="s">
        <v>1559</v>
      </c>
      <c r="C848" s="100">
        <v>845563.06</v>
      </c>
      <c r="F848" s="69"/>
      <c r="M848" s="3"/>
    </row>
    <row r="849" spans="1:13">
      <c r="A849" s="224">
        <v>99304</v>
      </c>
      <c r="B849" s="224" t="s">
        <v>1560</v>
      </c>
      <c r="C849" s="100">
        <v>8536.4</v>
      </c>
      <c r="F849" s="69"/>
      <c r="M849" s="3"/>
    </row>
    <row r="850" spans="1:13">
      <c r="A850" s="224">
        <v>99311</v>
      </c>
      <c r="B850" s="224" t="s">
        <v>1561</v>
      </c>
      <c r="C850" s="100">
        <v>27314.45</v>
      </c>
      <c r="F850" s="69"/>
      <c r="M850" s="3"/>
    </row>
    <row r="851" spans="1:13">
      <c r="A851" s="224">
        <v>99321</v>
      </c>
      <c r="B851" s="224" t="s">
        <v>1562</v>
      </c>
      <c r="C851" s="100">
        <v>102142.15</v>
      </c>
      <c r="F851" s="69"/>
      <c r="M851" s="3"/>
    </row>
    <row r="852" spans="1:13">
      <c r="A852" s="224">
        <v>99401</v>
      </c>
      <c r="B852" s="224" t="s">
        <v>1563</v>
      </c>
      <c r="C852" s="100">
        <v>441768.67</v>
      </c>
      <c r="F852" s="69"/>
      <c r="M852" s="3"/>
    </row>
    <row r="853" spans="1:13">
      <c r="A853" s="224">
        <v>99404</v>
      </c>
      <c r="B853" s="224" t="s">
        <v>1564</v>
      </c>
      <c r="C853" s="100">
        <v>6125.76</v>
      </c>
      <c r="F853" s="69"/>
      <c r="M853" s="3"/>
    </row>
    <row r="854" spans="1:13">
      <c r="A854" s="224">
        <v>99405</v>
      </c>
      <c r="B854" s="224" t="s">
        <v>1565</v>
      </c>
      <c r="C854" s="100">
        <v>41002.129999999997</v>
      </c>
      <c r="F854" s="69"/>
      <c r="M854" s="3"/>
    </row>
    <row r="855" spans="1:13">
      <c r="A855" s="224">
        <v>99411</v>
      </c>
      <c r="B855" s="224" t="s">
        <v>1566</v>
      </c>
      <c r="C855" s="100">
        <v>95849.9</v>
      </c>
      <c r="F855" s="69"/>
      <c r="M855" s="3"/>
    </row>
    <row r="856" spans="1:13">
      <c r="A856" s="224">
        <v>99413</v>
      </c>
      <c r="B856" s="224" t="s">
        <v>1567</v>
      </c>
      <c r="C856" s="100">
        <v>17376.88</v>
      </c>
      <c r="F856" s="69"/>
      <c r="M856" s="3"/>
    </row>
    <row r="857" spans="1:13">
      <c r="A857" s="224">
        <v>99421</v>
      </c>
      <c r="B857" s="224" t="s">
        <v>1568</v>
      </c>
      <c r="C857" s="100">
        <v>6327.37</v>
      </c>
      <c r="F857" s="69"/>
      <c r="M857" s="3"/>
    </row>
    <row r="858" spans="1:13">
      <c r="A858" s="224">
        <v>99431</v>
      </c>
      <c r="B858" s="224" t="s">
        <v>1569</v>
      </c>
      <c r="C858" s="100">
        <v>8179.74</v>
      </c>
      <c r="F858" s="69"/>
      <c r="M858" s="3"/>
    </row>
    <row r="859" spans="1:13">
      <c r="A859" s="224">
        <v>99501</v>
      </c>
      <c r="B859" s="224" t="s">
        <v>1570</v>
      </c>
      <c r="C859" s="100">
        <v>929542.23</v>
      </c>
      <c r="F859" s="69"/>
      <c r="M859" s="3"/>
    </row>
    <row r="860" spans="1:13">
      <c r="A860" s="224">
        <v>99502</v>
      </c>
      <c r="B860" s="224" t="s">
        <v>1571</v>
      </c>
      <c r="C860" s="100">
        <v>73367.100000000006</v>
      </c>
      <c r="F860" s="69"/>
      <c r="M860" s="3"/>
    </row>
    <row r="861" spans="1:13">
      <c r="A861" s="224">
        <v>99508</v>
      </c>
      <c r="B861" s="224" t="s">
        <v>1572</v>
      </c>
      <c r="C861" s="100">
        <v>11474.81</v>
      </c>
      <c r="F861" s="69"/>
      <c r="M861" s="3"/>
    </row>
    <row r="862" spans="1:13">
      <c r="A862" s="224">
        <v>99509</v>
      </c>
      <c r="B862" s="224" t="s">
        <v>1573</v>
      </c>
      <c r="C862" s="100">
        <v>13482.37</v>
      </c>
      <c r="F862" s="69"/>
      <c r="M862" s="3"/>
    </row>
    <row r="863" spans="1:13">
      <c r="A863" s="224">
        <v>99511</v>
      </c>
      <c r="B863" s="224" t="s">
        <v>1574</v>
      </c>
      <c r="C863" s="100">
        <v>648161.24</v>
      </c>
      <c r="F863" s="69"/>
      <c r="M863" s="3"/>
    </row>
    <row r="864" spans="1:13">
      <c r="A864" s="224">
        <v>99521</v>
      </c>
      <c r="B864" s="224" t="s">
        <v>1575</v>
      </c>
      <c r="C864" s="100">
        <v>221063.9</v>
      </c>
      <c r="F864" s="69"/>
      <c r="M864" s="3"/>
    </row>
    <row r="865" spans="1:13">
      <c r="A865" s="224">
        <v>99527</v>
      </c>
      <c r="B865" s="224" t="s">
        <v>1576</v>
      </c>
      <c r="C865" s="100">
        <v>7218.65</v>
      </c>
      <c r="F865" s="69"/>
      <c r="M865" s="3"/>
    </row>
    <row r="866" spans="1:13">
      <c r="A866" s="224">
        <v>99531</v>
      </c>
      <c r="B866" s="224" t="s">
        <v>1577</v>
      </c>
      <c r="C866" s="100">
        <v>80439.8</v>
      </c>
      <c r="F866" s="69"/>
      <c r="M866" s="3"/>
    </row>
    <row r="867" spans="1:13">
      <c r="A867" s="224">
        <v>99601</v>
      </c>
      <c r="B867" s="224" t="s">
        <v>1578</v>
      </c>
      <c r="C867" s="100">
        <v>2929349</v>
      </c>
      <c r="F867" s="69"/>
      <c r="M867" s="3"/>
    </row>
    <row r="868" spans="1:13">
      <c r="A868" s="224">
        <v>99602</v>
      </c>
      <c r="B868" s="224" t="s">
        <v>1579</v>
      </c>
      <c r="C868" s="100">
        <v>27048.400000000001</v>
      </c>
      <c r="F868" s="69"/>
      <c r="M868" s="3"/>
    </row>
    <row r="869" spans="1:13">
      <c r="A869" s="224">
        <v>99603</v>
      </c>
      <c r="B869" s="224" t="s">
        <v>1580</v>
      </c>
      <c r="C869" s="100">
        <v>93955.91</v>
      </c>
      <c r="F869" s="69"/>
      <c r="M869" s="3"/>
    </row>
    <row r="870" spans="1:13">
      <c r="A870" s="224">
        <v>99604</v>
      </c>
      <c r="B870" s="224" t="s">
        <v>1581</v>
      </c>
      <c r="C870" s="100">
        <v>60756.54</v>
      </c>
      <c r="F870" s="69"/>
      <c r="M870" s="3"/>
    </row>
    <row r="871" spans="1:13">
      <c r="A871" s="224">
        <v>99609</v>
      </c>
      <c r="B871" s="224" t="s">
        <v>1582</v>
      </c>
      <c r="C871" s="100">
        <v>12222.47</v>
      </c>
      <c r="F871" s="69"/>
      <c r="M871" s="3"/>
    </row>
    <row r="872" spans="1:13">
      <c r="A872" s="224">
        <v>99610</v>
      </c>
      <c r="B872" s="224" t="s">
        <v>1583</v>
      </c>
      <c r="C872" s="100">
        <v>96910.04</v>
      </c>
      <c r="F872" s="69"/>
      <c r="M872" s="3"/>
    </row>
    <row r="873" spans="1:13">
      <c r="A873" s="224">
        <v>99611</v>
      </c>
      <c r="B873" s="224" t="s">
        <v>1584</v>
      </c>
      <c r="C873" s="100">
        <v>1650256.71</v>
      </c>
      <c r="F873" s="69"/>
      <c r="M873" s="3"/>
    </row>
    <row r="874" spans="1:13">
      <c r="A874" s="224">
        <v>99613</v>
      </c>
      <c r="B874" s="224" t="s">
        <v>1585</v>
      </c>
      <c r="C874" s="100">
        <v>181222.44</v>
      </c>
      <c r="F874" s="69"/>
      <c r="M874" s="3"/>
    </row>
    <row r="875" spans="1:13">
      <c r="A875" s="224">
        <v>99621</v>
      </c>
      <c r="B875" s="224" t="s">
        <v>1586</v>
      </c>
      <c r="C875" s="100">
        <v>179701.52</v>
      </c>
      <c r="F875" s="69"/>
      <c r="M875" s="3"/>
    </row>
    <row r="876" spans="1:13">
      <c r="A876" s="224">
        <v>99623</v>
      </c>
      <c r="B876" s="224" t="s">
        <v>1587</v>
      </c>
      <c r="C876" s="100">
        <v>7056.34</v>
      </c>
      <c r="F876" s="69"/>
      <c r="M876" s="3"/>
    </row>
    <row r="877" spans="1:13">
      <c r="A877" s="224">
        <v>99631</v>
      </c>
      <c r="B877" s="224" t="s">
        <v>1588</v>
      </c>
      <c r="C877" s="100">
        <v>48309.46</v>
      </c>
      <c r="F877" s="69"/>
      <c r="M877" s="3"/>
    </row>
    <row r="878" spans="1:13">
      <c r="A878" s="224">
        <v>99651</v>
      </c>
      <c r="B878" s="224" t="s">
        <v>1589</v>
      </c>
      <c r="C878" s="100">
        <v>35232.94</v>
      </c>
      <c r="F878" s="69"/>
      <c r="M878" s="3"/>
    </row>
    <row r="879" spans="1:13">
      <c r="A879" s="224">
        <v>99661</v>
      </c>
      <c r="B879" s="224" t="s">
        <v>1590</v>
      </c>
      <c r="C879" s="100">
        <v>50110.45</v>
      </c>
      <c r="F879" s="69"/>
      <c r="M879" s="3"/>
    </row>
    <row r="880" spans="1:13">
      <c r="A880" s="224">
        <v>99701</v>
      </c>
      <c r="B880" s="224" t="s">
        <v>1591</v>
      </c>
      <c r="C880" s="100">
        <v>1535406.56</v>
      </c>
      <c r="F880" s="69"/>
      <c r="M880" s="3"/>
    </row>
    <row r="881" spans="1:15">
      <c r="A881" s="224">
        <v>99705</v>
      </c>
      <c r="B881" s="224" t="s">
        <v>1592</v>
      </c>
      <c r="C881" s="100">
        <v>103448.72</v>
      </c>
      <c r="F881" s="69"/>
      <c r="M881" s="3"/>
    </row>
    <row r="882" spans="1:15">
      <c r="A882" s="224">
        <v>99711</v>
      </c>
      <c r="B882" s="224" t="s">
        <v>1593</v>
      </c>
      <c r="C882" s="100">
        <v>236603.96</v>
      </c>
      <c r="F882" s="69"/>
      <c r="M882" s="3"/>
    </row>
    <row r="883" spans="1:15">
      <c r="A883" s="224">
        <v>99717</v>
      </c>
      <c r="B883" s="224" t="s">
        <v>1594</v>
      </c>
      <c r="C883" s="100">
        <v>10021.69</v>
      </c>
      <c r="F883" s="69"/>
      <c r="M883" s="3"/>
    </row>
    <row r="884" spans="1:15">
      <c r="A884" s="224">
        <v>99721</v>
      </c>
      <c r="B884" s="224" t="s">
        <v>1595</v>
      </c>
      <c r="C884" s="100">
        <v>301573.78999999998</v>
      </c>
      <c r="F884" s="69"/>
      <c r="M884" s="3"/>
    </row>
    <row r="885" spans="1:15">
      <c r="A885" s="224">
        <v>99727</v>
      </c>
      <c r="B885" s="224" t="s">
        <v>1596</v>
      </c>
      <c r="C885" s="100">
        <v>47853.68</v>
      </c>
      <c r="F885" s="69"/>
      <c r="M885" s="3"/>
    </row>
    <row r="886" spans="1:15">
      <c r="A886" s="224">
        <v>99801</v>
      </c>
      <c r="B886" s="224" t="s">
        <v>1597</v>
      </c>
      <c r="C886" s="100">
        <v>2413658.79</v>
      </c>
      <c r="F886" s="69"/>
      <c r="M886" s="3"/>
    </row>
    <row r="887" spans="1:15">
      <c r="A887" s="224">
        <v>99802</v>
      </c>
      <c r="B887" s="224" t="s">
        <v>1598</v>
      </c>
      <c r="C887" s="100">
        <v>7863.72</v>
      </c>
      <c r="F887" s="69"/>
      <c r="M887" s="3"/>
    </row>
    <row r="888" spans="1:15">
      <c r="A888" s="224">
        <v>99804</v>
      </c>
      <c r="B888" s="224" t="s">
        <v>1599</v>
      </c>
      <c r="C888" s="100">
        <v>49647.28</v>
      </c>
      <c r="F888" s="69"/>
      <c r="M888" s="3"/>
    </row>
    <row r="889" spans="1:15">
      <c r="A889" s="224">
        <v>99811</v>
      </c>
      <c r="B889" s="224" t="s">
        <v>1600</v>
      </c>
      <c r="C889" s="100">
        <v>3255140.88</v>
      </c>
      <c r="F889" s="69"/>
      <c r="M889" s="3"/>
    </row>
    <row r="890" spans="1:15">
      <c r="A890" s="224">
        <v>99812</v>
      </c>
      <c r="B890" s="224" t="s">
        <v>1601</v>
      </c>
      <c r="C890" s="100">
        <v>22565.64</v>
      </c>
      <c r="F890" s="69"/>
      <c r="M890" s="3"/>
    </row>
    <row r="891" spans="1:15">
      <c r="A891" s="224">
        <v>99818</v>
      </c>
      <c r="B891" s="224" t="s">
        <v>1602</v>
      </c>
      <c r="C891" s="100">
        <v>15169.44</v>
      </c>
      <c r="F891" s="69"/>
      <c r="M891" s="3"/>
    </row>
    <row r="892" spans="1:15">
      <c r="A892" s="224">
        <v>99821</v>
      </c>
      <c r="B892" s="224" t="s">
        <v>1603</v>
      </c>
      <c r="C892" s="100">
        <v>54378.720000000001</v>
      </c>
      <c r="F892" s="69"/>
      <c r="M892" s="3"/>
    </row>
    <row r="893" spans="1:15">
      <c r="A893" s="224">
        <v>99831</v>
      </c>
      <c r="B893" s="224" t="s">
        <v>1604</v>
      </c>
      <c r="C893" s="100">
        <v>32536.22</v>
      </c>
      <c r="F893" s="69"/>
      <c r="M893" s="3"/>
    </row>
    <row r="894" spans="1:15">
      <c r="A894" s="224">
        <v>99841</v>
      </c>
      <c r="B894" s="224" t="s">
        <v>1605</v>
      </c>
      <c r="C894" s="100">
        <v>14928.34</v>
      </c>
      <c r="H894" s="69"/>
      <c r="M894" s="3"/>
      <c r="O894" s="3"/>
    </row>
    <row r="895" spans="1:15">
      <c r="A895" s="224">
        <v>99851</v>
      </c>
      <c r="B895" s="224" t="s">
        <v>1606</v>
      </c>
      <c r="C895" s="100">
        <v>5845.95</v>
      </c>
      <c r="F895" s="69"/>
      <c r="M895" s="3"/>
    </row>
    <row r="896" spans="1:15">
      <c r="A896" s="224">
        <v>99901</v>
      </c>
      <c r="B896" s="224" t="s">
        <v>1607</v>
      </c>
      <c r="C896" s="100">
        <v>808549.55</v>
      </c>
      <c r="F896" s="69"/>
      <c r="M896" s="3"/>
    </row>
    <row r="897" spans="1:13">
      <c r="A897" s="224">
        <v>99911</v>
      </c>
      <c r="B897" s="224" t="s">
        <v>1608</v>
      </c>
      <c r="C897" s="100">
        <v>140611.01</v>
      </c>
      <c r="F897" s="69"/>
      <c r="M897" s="3"/>
    </row>
    <row r="898" spans="1:13">
      <c r="A898" s="224">
        <v>99921</v>
      </c>
      <c r="B898" s="224" t="s">
        <v>1609</v>
      </c>
      <c r="C898" s="100">
        <v>71036.100000000006</v>
      </c>
      <c r="F898" s="69"/>
      <c r="M898" s="3"/>
    </row>
    <row r="899" spans="1:13">
      <c r="A899" s="224">
        <v>99931</v>
      </c>
      <c r="B899" s="224" t="s">
        <v>1610</v>
      </c>
      <c r="C899" s="100">
        <v>10998.46</v>
      </c>
      <c r="F899" s="69"/>
      <c r="M899" s="314"/>
    </row>
    <row r="900" spans="1:13">
      <c r="A900" s="224">
        <v>99941</v>
      </c>
      <c r="B900" s="224" t="s">
        <v>1611</v>
      </c>
      <c r="C900" s="100">
        <v>32467.22</v>
      </c>
      <c r="F900" s="69"/>
      <c r="M900" s="3"/>
    </row>
    <row r="901" spans="1:13">
      <c r="A901" s="224">
        <v>99991</v>
      </c>
      <c r="B901" s="224" t="s">
        <v>1612</v>
      </c>
      <c r="C901" s="100">
        <v>269354.76</v>
      </c>
      <c r="F901" s="69"/>
      <c r="M901" s="3"/>
    </row>
    <row r="902" spans="1:13">
      <c r="A902" s="224">
        <v>99999</v>
      </c>
      <c r="B902" s="224" t="s">
        <v>1613</v>
      </c>
      <c r="C902" s="100">
        <v>598364.74</v>
      </c>
      <c r="F902" s="69"/>
      <c r="M902" s="314"/>
    </row>
    <row r="903" spans="1:13">
      <c r="F903" s="69"/>
      <c r="M903" s="3"/>
    </row>
    <row r="928" spans="1:1">
      <c r="A928" s="224" t="s">
        <v>3502</v>
      </c>
    </row>
    <row r="929" spans="1:3">
      <c r="A929" s="224">
        <v>91119</v>
      </c>
      <c r="B929" s="224" t="s">
        <v>48</v>
      </c>
      <c r="C929" s="100">
        <v>0</v>
      </c>
    </row>
    <row r="930" spans="1:3">
      <c r="A930" s="224">
        <v>92414</v>
      </c>
      <c r="B930" s="224" t="s">
        <v>2054</v>
      </c>
      <c r="C930" s="100">
        <v>0</v>
      </c>
    </row>
    <row r="931" spans="1:3">
      <c r="A931" s="224">
        <v>92608</v>
      </c>
      <c r="B931" s="224" t="s">
        <v>968</v>
      </c>
      <c r="C931" s="100">
        <v>0</v>
      </c>
    </row>
    <row r="932" spans="1:3">
      <c r="A932" s="224">
        <v>93408</v>
      </c>
      <c r="B932" s="224" t="s">
        <v>1039</v>
      </c>
      <c r="C932" s="100">
        <v>0</v>
      </c>
    </row>
    <row r="933" spans="1:3">
      <c r="A933" s="224">
        <v>94402</v>
      </c>
      <c r="B933" s="224" t="s">
        <v>1135</v>
      </c>
      <c r="C933" s="100">
        <v>0</v>
      </c>
    </row>
    <row r="934" spans="1:3">
      <c r="A934" s="224">
        <v>95412</v>
      </c>
      <c r="B934" s="224" t="s">
        <v>1216</v>
      </c>
      <c r="C934" s="100">
        <v>0</v>
      </c>
    </row>
    <row r="935" spans="1:3">
      <c r="A935" s="224">
        <v>93202</v>
      </c>
      <c r="B935" s="224" t="s">
        <v>1018</v>
      </c>
      <c r="C935" s="100">
        <v>0</v>
      </c>
    </row>
    <row r="936" spans="1:3">
      <c r="A936" s="224">
        <v>93677</v>
      </c>
      <c r="B936" s="224" t="s">
        <v>98</v>
      </c>
      <c r="C936" s="100">
        <v>0</v>
      </c>
    </row>
    <row r="937" spans="1:3">
      <c r="A937" s="224">
        <v>94512</v>
      </c>
      <c r="B937" s="224" t="s">
        <v>1147</v>
      </c>
      <c r="C937" s="100">
        <v>0</v>
      </c>
    </row>
    <row r="938" spans="1:3">
      <c r="A938" s="224">
        <v>97010</v>
      </c>
      <c r="B938" s="224" t="s">
        <v>1347</v>
      </c>
      <c r="C938" s="100">
        <v>0</v>
      </c>
    </row>
    <row r="939" spans="1:3">
      <c r="A939" s="224">
        <v>97491</v>
      </c>
      <c r="B939" s="224" t="s">
        <v>3500</v>
      </c>
    </row>
    <row r="2366" spans="1:1">
      <c r="A2366" s="101"/>
    </row>
  </sheetData>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350"/>
  <sheetViews>
    <sheetView zoomScaleNormal="100" workbookViewId="0"/>
  </sheetViews>
  <sheetFormatPr defaultRowHeight="15"/>
  <cols>
    <col min="1" max="1" width="12.140625" style="99" bestFit="1" customWidth="1"/>
    <col min="2" max="2" width="55.5703125" style="99" bestFit="1" customWidth="1"/>
    <col min="3" max="3" width="27" style="100" bestFit="1" customWidth="1"/>
    <col min="4" max="4" width="9.140625" style="99"/>
    <col min="6" max="6" width="21" customWidth="1"/>
  </cols>
  <sheetData>
    <row r="1" spans="1:6" ht="15.75" thickBot="1">
      <c r="C1" s="239">
        <f>SUM(C4:C900)-SUM(C663,C664)</f>
        <v>489372689.15926653</v>
      </c>
      <c r="F1" s="239"/>
    </row>
    <row r="2" spans="1:6" ht="15.75" thickTop="1">
      <c r="A2" s="97" t="s">
        <v>1633</v>
      </c>
      <c r="B2" s="97" t="s">
        <v>1634</v>
      </c>
      <c r="C2" s="98" t="s">
        <v>1929</v>
      </c>
      <c r="D2" s="99" t="s">
        <v>1635</v>
      </c>
    </row>
    <row r="3" spans="1:6">
      <c r="A3" s="104" t="s">
        <v>691</v>
      </c>
      <c r="B3" s="103" t="s">
        <v>690</v>
      </c>
      <c r="C3" s="102">
        <v>0</v>
      </c>
    </row>
    <row r="4" spans="1:6">
      <c r="A4" s="99">
        <v>70505</v>
      </c>
      <c r="B4" s="99" t="s">
        <v>723</v>
      </c>
      <c r="C4" s="100">
        <v>199598.35992399999</v>
      </c>
    </row>
    <row r="5" spans="1:6">
      <c r="A5" s="99">
        <v>72265</v>
      </c>
      <c r="B5" s="99" t="s">
        <v>724</v>
      </c>
      <c r="C5" s="100">
        <v>73112.032791999998</v>
      </c>
    </row>
    <row r="6" spans="1:6">
      <c r="A6" s="99">
        <v>72593</v>
      </c>
      <c r="B6" s="99" t="s">
        <v>725</v>
      </c>
      <c r="C6" s="100">
        <v>2108.5935119999999</v>
      </c>
    </row>
    <row r="7" spans="1:6">
      <c r="A7" s="99">
        <v>72657</v>
      </c>
      <c r="B7" s="99" t="s">
        <v>726</v>
      </c>
      <c r="C7" s="100">
        <v>17248.676455000001</v>
      </c>
    </row>
    <row r="8" spans="1:6">
      <c r="A8" s="99">
        <v>90001</v>
      </c>
      <c r="B8" s="99" t="s">
        <v>727</v>
      </c>
      <c r="C8" s="100">
        <v>422349.85847900005</v>
      </c>
    </row>
    <row r="9" spans="1:6">
      <c r="A9" s="99">
        <v>90002</v>
      </c>
      <c r="B9" s="99" t="s">
        <v>728</v>
      </c>
      <c r="C9" s="100">
        <v>6507.4400000000005</v>
      </c>
    </row>
    <row r="10" spans="1:6">
      <c r="A10" s="99">
        <v>90011</v>
      </c>
      <c r="B10" s="99" t="s">
        <v>729</v>
      </c>
      <c r="C10" s="100">
        <v>89505.698597999988</v>
      </c>
    </row>
    <row r="11" spans="1:6">
      <c r="A11" s="99">
        <v>90092</v>
      </c>
      <c r="B11" s="99" t="s">
        <v>730</v>
      </c>
      <c r="C11" s="100">
        <v>190866.46999999997</v>
      </c>
    </row>
    <row r="12" spans="1:6">
      <c r="A12" s="99">
        <v>90096</v>
      </c>
      <c r="B12" s="99" t="s">
        <v>731</v>
      </c>
      <c r="C12" s="100">
        <v>544431.75999999989</v>
      </c>
    </row>
    <row r="13" spans="1:6">
      <c r="A13" s="99">
        <v>90098</v>
      </c>
      <c r="B13" s="99" t="s">
        <v>732</v>
      </c>
      <c r="C13" s="100">
        <v>156011.64000000001</v>
      </c>
    </row>
    <row r="14" spans="1:6">
      <c r="A14" s="99">
        <v>90099</v>
      </c>
      <c r="B14" s="99" t="s">
        <v>733</v>
      </c>
      <c r="C14" s="100">
        <v>309544.27999999997</v>
      </c>
    </row>
    <row r="15" spans="1:6">
      <c r="A15" s="99">
        <v>90101</v>
      </c>
      <c r="B15" s="99" t="s">
        <v>734</v>
      </c>
      <c r="C15" s="100">
        <v>3133228.3914639996</v>
      </c>
    </row>
    <row r="16" spans="1:6">
      <c r="A16" s="99">
        <v>90111</v>
      </c>
      <c r="B16" s="99" t="s">
        <v>735</v>
      </c>
      <c r="C16" s="100">
        <v>2405333.1541330004</v>
      </c>
    </row>
    <row r="17" spans="1:3">
      <c r="A17" s="99">
        <v>90114</v>
      </c>
      <c r="B17" s="99" t="s">
        <v>736</v>
      </c>
      <c r="C17" s="100">
        <v>1198986.5376889999</v>
      </c>
    </row>
    <row r="18" spans="1:3">
      <c r="A18" s="99">
        <v>90117</v>
      </c>
      <c r="B18" s="99" t="s">
        <v>737</v>
      </c>
      <c r="C18" s="100">
        <v>88275.01999999999</v>
      </c>
    </row>
    <row r="19" spans="1:3">
      <c r="A19" s="99">
        <v>90121</v>
      </c>
      <c r="B19" s="99" t="s">
        <v>738</v>
      </c>
      <c r="C19" s="100">
        <v>462400.56641199999</v>
      </c>
    </row>
    <row r="20" spans="1:3">
      <c r="A20" s="99">
        <v>90131</v>
      </c>
      <c r="B20" s="99" t="s">
        <v>739</v>
      </c>
      <c r="C20" s="100">
        <v>219611.64030300002</v>
      </c>
    </row>
    <row r="21" spans="1:3">
      <c r="A21" s="99">
        <v>90141</v>
      </c>
      <c r="B21" s="99" t="s">
        <v>740</v>
      </c>
      <c r="C21" s="100">
        <v>68863.357900000003</v>
      </c>
    </row>
    <row r="22" spans="1:3">
      <c r="A22" s="99">
        <v>90151</v>
      </c>
      <c r="B22" s="99" t="s">
        <v>741</v>
      </c>
      <c r="C22" s="100">
        <v>3287.6400000000012</v>
      </c>
    </row>
    <row r="23" spans="1:3">
      <c r="A23" s="99">
        <v>90161</v>
      </c>
      <c r="B23" s="99" t="s">
        <v>742</v>
      </c>
      <c r="C23" s="100">
        <v>16093.92</v>
      </c>
    </row>
    <row r="24" spans="1:3">
      <c r="A24" s="99">
        <v>90201</v>
      </c>
      <c r="B24" s="99" t="s">
        <v>743</v>
      </c>
      <c r="C24" s="100">
        <v>578316.74769100011</v>
      </c>
    </row>
    <row r="25" spans="1:3">
      <c r="A25" s="99">
        <v>90203</v>
      </c>
      <c r="B25" s="99" t="s">
        <v>744</v>
      </c>
      <c r="C25" s="100">
        <v>101603.37</v>
      </c>
    </row>
    <row r="26" spans="1:3">
      <c r="A26" s="99">
        <v>90205</v>
      </c>
      <c r="B26" s="99" t="s">
        <v>745</v>
      </c>
      <c r="C26" s="100">
        <v>16633.099999999999</v>
      </c>
    </row>
    <row r="27" spans="1:3">
      <c r="A27" s="99">
        <v>90206</v>
      </c>
      <c r="B27" s="99" t="s">
        <v>746</v>
      </c>
      <c r="C27" s="100">
        <v>199183.31</v>
      </c>
    </row>
    <row r="28" spans="1:3">
      <c r="A28" s="99">
        <v>90211</v>
      </c>
      <c r="B28" s="99" t="s">
        <v>747</v>
      </c>
      <c r="C28" s="100">
        <v>79199.972299999994</v>
      </c>
    </row>
    <row r="29" spans="1:3">
      <c r="A29" s="99">
        <v>90301</v>
      </c>
      <c r="B29" s="99" t="s">
        <v>748</v>
      </c>
      <c r="C29" s="100">
        <v>305923.23929700005</v>
      </c>
    </row>
    <row r="30" spans="1:3">
      <c r="A30" s="99">
        <v>90305</v>
      </c>
      <c r="B30" s="99" t="s">
        <v>749</v>
      </c>
      <c r="C30" s="100">
        <v>86244.7</v>
      </c>
    </row>
    <row r="31" spans="1:3">
      <c r="A31" s="99">
        <v>90307</v>
      </c>
      <c r="B31" s="99" t="s">
        <v>750</v>
      </c>
      <c r="C31" s="100">
        <v>4263.0800000000008</v>
      </c>
    </row>
    <row r="32" spans="1:3">
      <c r="A32" s="99">
        <v>90401</v>
      </c>
      <c r="B32" s="99" t="s">
        <v>751</v>
      </c>
      <c r="C32" s="100">
        <v>665185.52275500016</v>
      </c>
    </row>
    <row r="33" spans="1:3">
      <c r="A33" s="99">
        <v>90411</v>
      </c>
      <c r="B33" s="99" t="s">
        <v>752</v>
      </c>
      <c r="C33" s="100">
        <v>159556.95428000001</v>
      </c>
    </row>
    <row r="34" spans="1:3">
      <c r="A34" s="99">
        <v>90413</v>
      </c>
      <c r="B34" s="99" t="s">
        <v>753</v>
      </c>
      <c r="C34" s="100">
        <v>19071.850000000002</v>
      </c>
    </row>
    <row r="35" spans="1:3">
      <c r="A35" s="99">
        <v>90417</v>
      </c>
      <c r="B35" s="99" t="s">
        <v>754</v>
      </c>
      <c r="C35" s="100">
        <v>8909.3100000000013</v>
      </c>
    </row>
    <row r="36" spans="1:3">
      <c r="A36" s="99">
        <v>90421</v>
      </c>
      <c r="B36" s="99" t="s">
        <v>755</v>
      </c>
      <c r="C36" s="100">
        <v>8994.8979870000003</v>
      </c>
    </row>
    <row r="37" spans="1:3">
      <c r="A37" s="99">
        <v>90431</v>
      </c>
      <c r="B37" s="99" t="s">
        <v>756</v>
      </c>
      <c r="C37" s="100">
        <v>23132.455287999997</v>
      </c>
    </row>
    <row r="38" spans="1:3">
      <c r="A38" s="99">
        <v>90441</v>
      </c>
      <c r="B38" s="99" t="s">
        <v>757</v>
      </c>
      <c r="C38" s="100">
        <v>5251.9900000000007</v>
      </c>
    </row>
    <row r="39" spans="1:3">
      <c r="A39" s="99">
        <v>90451</v>
      </c>
      <c r="B39" s="99" t="s">
        <v>758</v>
      </c>
      <c r="C39" s="100">
        <v>9876.260000000002</v>
      </c>
    </row>
    <row r="40" spans="1:3">
      <c r="A40" s="99">
        <v>90461</v>
      </c>
      <c r="B40" s="99" t="s">
        <v>759</v>
      </c>
      <c r="C40" s="100">
        <v>4462.0399999999991</v>
      </c>
    </row>
    <row r="41" spans="1:3">
      <c r="A41" s="99">
        <v>90501</v>
      </c>
      <c r="B41" s="99" t="s">
        <v>760</v>
      </c>
      <c r="C41" s="100">
        <v>706559.66756500001</v>
      </c>
    </row>
    <row r="42" spans="1:3">
      <c r="A42" s="99">
        <v>90507</v>
      </c>
      <c r="B42" s="99" t="s">
        <v>34</v>
      </c>
      <c r="C42" s="100">
        <v>10999.19</v>
      </c>
    </row>
    <row r="43" spans="1:3">
      <c r="A43" s="99">
        <v>90511</v>
      </c>
      <c r="B43" s="99" t="s">
        <v>761</v>
      </c>
      <c r="C43" s="100">
        <v>54677.298566999991</v>
      </c>
    </row>
    <row r="44" spans="1:3">
      <c r="A44" s="99">
        <v>90521</v>
      </c>
      <c r="B44" s="99" t="s">
        <v>762</v>
      </c>
      <c r="C44" s="100">
        <v>56165.444559999989</v>
      </c>
    </row>
    <row r="45" spans="1:3">
      <c r="A45" s="99">
        <v>90601</v>
      </c>
      <c r="B45" s="99" t="s">
        <v>763</v>
      </c>
      <c r="C45" s="100">
        <v>569631.02223500004</v>
      </c>
    </row>
    <row r="46" spans="1:3">
      <c r="A46" s="99">
        <v>90602</v>
      </c>
      <c r="B46" s="99" t="s">
        <v>259</v>
      </c>
      <c r="C46" s="100">
        <v>43992.960000000006</v>
      </c>
    </row>
    <row r="47" spans="1:3">
      <c r="A47" s="99">
        <v>90605</v>
      </c>
      <c r="B47" s="99" t="s">
        <v>764</v>
      </c>
      <c r="C47" s="100">
        <v>27630.29</v>
      </c>
    </row>
    <row r="48" spans="1:3">
      <c r="A48" s="99">
        <v>90611</v>
      </c>
      <c r="B48" s="99" t="s">
        <v>765</v>
      </c>
      <c r="C48" s="100">
        <v>65699.086356999993</v>
      </c>
    </row>
    <row r="49" spans="1:3">
      <c r="A49" s="99">
        <v>90617</v>
      </c>
      <c r="B49" s="99" t="s">
        <v>766</v>
      </c>
      <c r="C49" s="100">
        <v>14672.75</v>
      </c>
    </row>
    <row r="50" spans="1:3">
      <c r="A50" s="99">
        <v>90621</v>
      </c>
      <c r="B50" s="99" t="s">
        <v>767</v>
      </c>
      <c r="C50" s="100">
        <v>27186.651186999999</v>
      </c>
    </row>
    <row r="51" spans="1:3">
      <c r="A51" s="99">
        <v>90631</v>
      </c>
      <c r="B51" s="99" t="s">
        <v>768</v>
      </c>
      <c r="C51" s="100">
        <v>183176.35238399997</v>
      </c>
    </row>
    <row r="52" spans="1:3">
      <c r="A52" s="99">
        <v>90641</v>
      </c>
      <c r="B52" s="99" t="s">
        <v>769</v>
      </c>
      <c r="C52" s="100">
        <v>7183.64</v>
      </c>
    </row>
    <row r="53" spans="1:3">
      <c r="A53" s="99">
        <v>90651</v>
      </c>
      <c r="B53" s="99" t="s">
        <v>1930</v>
      </c>
      <c r="C53" s="100">
        <v>102653.53967900001</v>
      </c>
    </row>
    <row r="54" spans="1:3">
      <c r="A54" s="99">
        <v>90701</v>
      </c>
      <c r="B54" s="99" t="s">
        <v>771</v>
      </c>
      <c r="C54" s="100">
        <v>1197981.5530330001</v>
      </c>
    </row>
    <row r="55" spans="1:3">
      <c r="A55" s="99">
        <v>90704</v>
      </c>
      <c r="B55" s="99" t="s">
        <v>772</v>
      </c>
      <c r="C55" s="100">
        <v>27041.129999999997</v>
      </c>
    </row>
    <row r="56" spans="1:3">
      <c r="A56" s="99">
        <v>90705</v>
      </c>
      <c r="B56" s="99" t="s">
        <v>773</v>
      </c>
      <c r="C56" s="100">
        <v>23511.609999999997</v>
      </c>
    </row>
    <row r="57" spans="1:3">
      <c r="A57" s="99">
        <v>90709</v>
      </c>
      <c r="B57" s="99" t="s">
        <v>774</v>
      </c>
      <c r="C57" s="100">
        <v>93850.66</v>
      </c>
    </row>
    <row r="58" spans="1:3">
      <c r="A58" s="99">
        <v>90711</v>
      </c>
      <c r="B58" s="99" t="s">
        <v>775</v>
      </c>
      <c r="C58" s="100">
        <v>779300.719193</v>
      </c>
    </row>
    <row r="59" spans="1:3">
      <c r="A59" s="99">
        <v>90721</v>
      </c>
      <c r="B59" s="99" t="s">
        <v>776</v>
      </c>
      <c r="C59" s="100">
        <v>14420.602866000001</v>
      </c>
    </row>
    <row r="60" spans="1:3">
      <c r="A60" s="99">
        <v>90731</v>
      </c>
      <c r="B60" s="99" t="s">
        <v>777</v>
      </c>
      <c r="C60" s="100">
        <v>79076.148457999996</v>
      </c>
    </row>
    <row r="61" spans="1:3">
      <c r="A61" s="99">
        <v>90741</v>
      </c>
      <c r="B61" s="99" t="s">
        <v>778</v>
      </c>
      <c r="C61" s="100">
        <v>7000.1099999999988</v>
      </c>
    </row>
    <row r="62" spans="1:3">
      <c r="A62" s="99">
        <v>90751</v>
      </c>
      <c r="B62" s="99" t="s">
        <v>779</v>
      </c>
      <c r="C62" s="100">
        <v>32337.097335999999</v>
      </c>
    </row>
    <row r="63" spans="1:3">
      <c r="A63" s="99">
        <v>90801</v>
      </c>
      <c r="B63" s="99" t="s">
        <v>780</v>
      </c>
      <c r="C63" s="100">
        <v>563452.00778100011</v>
      </c>
    </row>
    <row r="64" spans="1:3">
      <c r="A64" s="99">
        <v>90804</v>
      </c>
      <c r="B64" s="99" t="s">
        <v>781</v>
      </c>
      <c r="C64" s="100">
        <v>2846.16</v>
      </c>
    </row>
    <row r="65" spans="1:3">
      <c r="A65" s="99">
        <v>90805</v>
      </c>
      <c r="B65" s="99" t="s">
        <v>782</v>
      </c>
      <c r="C65" s="100">
        <v>40885.439999999995</v>
      </c>
    </row>
    <row r="66" spans="1:3">
      <c r="A66" s="99">
        <v>90808</v>
      </c>
      <c r="B66" s="99" t="s">
        <v>783</v>
      </c>
      <c r="C66" s="100">
        <v>59800.12000000001</v>
      </c>
    </row>
    <row r="67" spans="1:3">
      <c r="A67" s="99">
        <v>90811</v>
      </c>
      <c r="B67" s="99" t="s">
        <v>784</v>
      </c>
      <c r="C67" s="100">
        <v>11840</v>
      </c>
    </row>
    <row r="68" spans="1:3">
      <c r="A68" s="99">
        <v>90812</v>
      </c>
      <c r="B68" s="99" t="s">
        <v>785</v>
      </c>
      <c r="C68" s="100">
        <v>108049.17192200001</v>
      </c>
    </row>
    <row r="69" spans="1:3">
      <c r="A69" s="99">
        <v>90813</v>
      </c>
      <c r="B69" s="99" t="s">
        <v>786</v>
      </c>
      <c r="C69" s="100">
        <v>2202.62</v>
      </c>
    </row>
    <row r="70" spans="1:3">
      <c r="A70" s="99">
        <v>90861</v>
      </c>
      <c r="B70" s="99" t="s">
        <v>787</v>
      </c>
      <c r="C70" s="100">
        <v>6397.6289590000006</v>
      </c>
    </row>
    <row r="71" spans="1:3">
      <c r="A71" s="99">
        <v>90901</v>
      </c>
      <c r="B71" s="99" t="s">
        <v>788</v>
      </c>
      <c r="C71" s="100">
        <v>1076135.984125</v>
      </c>
    </row>
    <row r="72" spans="1:3">
      <c r="A72" s="99">
        <v>90911</v>
      </c>
      <c r="B72" s="99" t="s">
        <v>789</v>
      </c>
      <c r="C72" s="100">
        <v>172044.33497899998</v>
      </c>
    </row>
    <row r="73" spans="1:3">
      <c r="A73" s="99">
        <v>90917</v>
      </c>
      <c r="B73" s="99" t="s">
        <v>790</v>
      </c>
      <c r="C73" s="100">
        <v>6378.0800000000008</v>
      </c>
    </row>
    <row r="74" spans="1:3">
      <c r="A74" s="99">
        <v>90918</v>
      </c>
      <c r="B74" s="99" t="s">
        <v>791</v>
      </c>
      <c r="C74" s="100">
        <v>5036.16</v>
      </c>
    </row>
    <row r="75" spans="1:3">
      <c r="A75" s="99">
        <v>90921</v>
      </c>
      <c r="B75" s="99" t="s">
        <v>792</v>
      </c>
      <c r="C75" s="100">
        <v>62914.783684999995</v>
      </c>
    </row>
    <row r="76" spans="1:3">
      <c r="A76" s="99">
        <v>90931</v>
      </c>
      <c r="B76" s="99" t="s">
        <v>793</v>
      </c>
      <c r="C76" s="100">
        <v>16352.750000000004</v>
      </c>
    </row>
    <row r="77" spans="1:3">
      <c r="A77" s="99">
        <v>90941</v>
      </c>
      <c r="B77" s="99" t="s">
        <v>794</v>
      </c>
      <c r="C77" s="100">
        <v>39056.296876000008</v>
      </c>
    </row>
    <row r="78" spans="1:3">
      <c r="A78" s="99">
        <v>91001</v>
      </c>
      <c r="B78" s="99" t="s">
        <v>795</v>
      </c>
      <c r="C78" s="100">
        <v>3090374.0773109999</v>
      </c>
    </row>
    <row r="79" spans="1:3">
      <c r="A79" s="99">
        <v>91002</v>
      </c>
      <c r="B79" s="99" t="s">
        <v>796</v>
      </c>
      <c r="C79" s="100">
        <v>407170.49087800004</v>
      </c>
    </row>
    <row r="80" spans="1:3">
      <c r="A80" s="99">
        <v>91003</v>
      </c>
      <c r="B80" s="99" t="s">
        <v>797</v>
      </c>
      <c r="C80" s="100">
        <v>270617.24</v>
      </c>
    </row>
    <row r="81" spans="1:3">
      <c r="A81" s="99">
        <v>91004</v>
      </c>
      <c r="B81" s="99" t="s">
        <v>798</v>
      </c>
      <c r="C81" s="100">
        <v>17386.820000000003</v>
      </c>
    </row>
    <row r="82" spans="1:3">
      <c r="A82" s="99">
        <v>91006</v>
      </c>
      <c r="B82" s="99" t="s">
        <v>799</v>
      </c>
      <c r="C82" s="100">
        <v>473853.03</v>
      </c>
    </row>
    <row r="83" spans="1:3">
      <c r="A83" s="99">
        <v>91007</v>
      </c>
      <c r="B83" s="99" t="s">
        <v>800</v>
      </c>
      <c r="C83" s="100">
        <v>5144.5400000000009</v>
      </c>
    </row>
    <row r="84" spans="1:3">
      <c r="A84" s="99">
        <v>91008</v>
      </c>
      <c r="B84" s="99" t="s">
        <v>801</v>
      </c>
      <c r="C84" s="100">
        <v>75095.399999999994</v>
      </c>
    </row>
    <row r="85" spans="1:3">
      <c r="A85" s="99">
        <v>91009</v>
      </c>
      <c r="B85" s="99" t="s">
        <v>802</v>
      </c>
      <c r="C85" s="100">
        <v>11581.200000000003</v>
      </c>
    </row>
    <row r="86" spans="1:3">
      <c r="A86" s="99">
        <v>91010</v>
      </c>
      <c r="B86" s="99" t="s">
        <v>803</v>
      </c>
      <c r="C86" s="100">
        <v>30525.269999999997</v>
      </c>
    </row>
    <row r="87" spans="1:3">
      <c r="A87" s="99">
        <v>91011</v>
      </c>
      <c r="B87" s="99" t="s">
        <v>804</v>
      </c>
      <c r="C87" s="100">
        <v>170093.98634800001</v>
      </c>
    </row>
    <row r="88" spans="1:3">
      <c r="A88" s="99">
        <v>91012</v>
      </c>
      <c r="B88" s="99" t="s">
        <v>805</v>
      </c>
      <c r="C88" s="100">
        <v>7628.7055959999998</v>
      </c>
    </row>
    <row r="89" spans="1:3">
      <c r="A89" s="99">
        <v>91013</v>
      </c>
      <c r="B89" s="99" t="s">
        <v>806</v>
      </c>
      <c r="C89" s="100">
        <v>33972.910000000003</v>
      </c>
    </row>
    <row r="90" spans="1:3">
      <c r="A90" s="99">
        <v>91014</v>
      </c>
      <c r="B90" s="99" t="s">
        <v>807</v>
      </c>
      <c r="C90" s="100">
        <v>98530.085821999994</v>
      </c>
    </row>
    <row r="91" spans="1:3">
      <c r="A91" s="99">
        <v>91015</v>
      </c>
      <c r="B91" s="99" t="s">
        <v>1636</v>
      </c>
      <c r="C91" s="100">
        <v>17475.47</v>
      </c>
    </row>
    <row r="92" spans="1:3">
      <c r="A92" s="99">
        <v>91017</v>
      </c>
      <c r="B92" s="99" t="s">
        <v>808</v>
      </c>
      <c r="C92" s="100">
        <v>13122.92</v>
      </c>
    </row>
    <row r="93" spans="1:3">
      <c r="A93" s="99">
        <v>91020</v>
      </c>
      <c r="B93" s="99" t="s">
        <v>809</v>
      </c>
      <c r="C93" s="100">
        <v>13714.619999999997</v>
      </c>
    </row>
    <row r="94" spans="1:3">
      <c r="A94" s="99">
        <v>91021</v>
      </c>
      <c r="B94" s="99" t="s">
        <v>810</v>
      </c>
      <c r="C94" s="100">
        <v>437293.87982500001</v>
      </c>
    </row>
    <row r="95" spans="1:3">
      <c r="A95" s="99">
        <v>91024</v>
      </c>
      <c r="B95" s="99" t="s">
        <v>811</v>
      </c>
      <c r="C95" s="100">
        <v>47198.869999999995</v>
      </c>
    </row>
    <row r="96" spans="1:3">
      <c r="A96" s="99">
        <v>91026</v>
      </c>
      <c r="B96" s="99" t="s">
        <v>43</v>
      </c>
      <c r="C96" s="100">
        <v>47235.526725000003</v>
      </c>
    </row>
    <row r="97" spans="1:3">
      <c r="A97" s="99">
        <v>91027</v>
      </c>
      <c r="B97" s="99" t="s">
        <v>812</v>
      </c>
      <c r="C97" s="100">
        <v>14495.89</v>
      </c>
    </row>
    <row r="98" spans="1:3">
      <c r="A98" s="99">
        <v>91032</v>
      </c>
      <c r="B98" s="99" t="s">
        <v>813</v>
      </c>
      <c r="C98" s="100">
        <v>19389.870000000003</v>
      </c>
    </row>
    <row r="99" spans="1:3">
      <c r="A99" s="99">
        <v>91041</v>
      </c>
      <c r="B99" s="99" t="s">
        <v>814</v>
      </c>
      <c r="C99" s="100">
        <v>178639.54427299998</v>
      </c>
    </row>
    <row r="100" spans="1:3">
      <c r="A100" s="99">
        <v>91042</v>
      </c>
      <c r="B100" s="99" t="s">
        <v>815</v>
      </c>
      <c r="C100" s="100">
        <v>115345.57</v>
      </c>
    </row>
    <row r="101" spans="1:3">
      <c r="A101" s="99">
        <v>91047</v>
      </c>
      <c r="B101" s="99" t="s">
        <v>816</v>
      </c>
      <c r="C101" s="100">
        <v>18028.489999999998</v>
      </c>
    </row>
    <row r="102" spans="1:3">
      <c r="A102" s="99">
        <v>91051</v>
      </c>
      <c r="B102" s="99" t="s">
        <v>817</v>
      </c>
      <c r="C102" s="100">
        <v>33299.517023</v>
      </c>
    </row>
    <row r="103" spans="1:3">
      <c r="A103" s="99">
        <v>91057</v>
      </c>
      <c r="B103" s="99" t="s">
        <v>818</v>
      </c>
      <c r="C103" s="100">
        <v>10701.43</v>
      </c>
    </row>
    <row r="104" spans="1:3">
      <c r="A104" s="99">
        <v>91061</v>
      </c>
      <c r="B104" s="99" t="s">
        <v>819</v>
      </c>
      <c r="C104" s="100">
        <v>185817.85657800001</v>
      </c>
    </row>
    <row r="105" spans="1:3">
      <c r="A105" s="99">
        <v>91067</v>
      </c>
      <c r="B105" s="99" t="s">
        <v>820</v>
      </c>
      <c r="C105" s="100">
        <v>9145.5</v>
      </c>
    </row>
    <row r="106" spans="1:3">
      <c r="A106" s="99">
        <v>91071</v>
      </c>
      <c r="B106" s="99" t="s">
        <v>821</v>
      </c>
      <c r="C106" s="100">
        <v>107390.015474</v>
      </c>
    </row>
    <row r="107" spans="1:3">
      <c r="A107" s="99">
        <v>91077</v>
      </c>
      <c r="B107" s="99" t="s">
        <v>822</v>
      </c>
      <c r="C107" s="100">
        <v>2844.7599999999998</v>
      </c>
    </row>
    <row r="108" spans="1:3">
      <c r="A108" s="99">
        <v>91081</v>
      </c>
      <c r="B108" s="99" t="s">
        <v>823</v>
      </c>
      <c r="C108" s="100">
        <v>190608.10537000003</v>
      </c>
    </row>
    <row r="109" spans="1:3">
      <c r="A109" s="99">
        <v>91091</v>
      </c>
      <c r="B109" s="99" t="s">
        <v>824</v>
      </c>
      <c r="C109" s="100">
        <v>242147.15292600001</v>
      </c>
    </row>
    <row r="110" spans="1:3">
      <c r="A110" s="99">
        <v>91101</v>
      </c>
      <c r="B110" s="99" t="s">
        <v>825</v>
      </c>
      <c r="C110" s="100">
        <v>6369471.7086690003</v>
      </c>
    </row>
    <row r="111" spans="1:3">
      <c r="A111" s="99">
        <v>91102</v>
      </c>
      <c r="B111" s="99" t="s">
        <v>826</v>
      </c>
      <c r="C111" s="100">
        <v>161217.86000000002</v>
      </c>
    </row>
    <row r="112" spans="1:3">
      <c r="A112" s="99">
        <v>91104</v>
      </c>
      <c r="B112" s="99" t="s">
        <v>827</v>
      </c>
      <c r="C112" s="100">
        <v>7841.5</v>
      </c>
    </row>
    <row r="113" spans="1:3">
      <c r="A113" s="99">
        <v>91107</v>
      </c>
      <c r="B113" s="99" t="s">
        <v>828</v>
      </c>
      <c r="C113" s="100">
        <v>35656.780000000006</v>
      </c>
    </row>
    <row r="114" spans="1:3">
      <c r="A114" s="99">
        <v>91108</v>
      </c>
      <c r="B114" s="99" t="s">
        <v>829</v>
      </c>
      <c r="C114" s="100">
        <v>653593.38</v>
      </c>
    </row>
    <row r="115" spans="1:3">
      <c r="A115" s="99">
        <v>91109</v>
      </c>
      <c r="B115" s="99" t="s">
        <v>830</v>
      </c>
      <c r="C115" s="100">
        <v>52821.479999999996</v>
      </c>
    </row>
    <row r="116" spans="1:3">
      <c r="A116" s="99">
        <v>91111</v>
      </c>
      <c r="B116" s="99" t="s">
        <v>831</v>
      </c>
      <c r="C116" s="100">
        <v>113814.13794499999</v>
      </c>
    </row>
    <row r="117" spans="1:3">
      <c r="A117" s="99">
        <v>91120</v>
      </c>
      <c r="B117" s="99" t="s">
        <v>832</v>
      </c>
      <c r="C117" s="100">
        <v>51466.63</v>
      </c>
    </row>
    <row r="118" spans="1:3">
      <c r="A118" s="99">
        <v>91121</v>
      </c>
      <c r="B118" s="99" t="s">
        <v>833</v>
      </c>
      <c r="C118" s="100">
        <v>4668215.2035659999</v>
      </c>
    </row>
    <row r="119" spans="1:3">
      <c r="A119" s="99">
        <v>91127</v>
      </c>
      <c r="B119" s="99" t="s">
        <v>834</v>
      </c>
      <c r="C119" s="100">
        <v>160012.03236899999</v>
      </c>
    </row>
    <row r="120" spans="1:3">
      <c r="A120" s="99">
        <v>91128</v>
      </c>
      <c r="B120" s="99" t="s">
        <v>835</v>
      </c>
      <c r="C120" s="100">
        <v>247626.74780499999</v>
      </c>
    </row>
    <row r="121" spans="1:3">
      <c r="A121" s="99">
        <v>91138</v>
      </c>
      <c r="B121" s="99" t="s">
        <v>836</v>
      </c>
      <c r="C121" s="100">
        <v>195822.78</v>
      </c>
    </row>
    <row r="122" spans="1:3">
      <c r="A122" s="99">
        <v>91141</v>
      </c>
      <c r="B122" s="99" t="s">
        <v>837</v>
      </c>
      <c r="C122" s="100">
        <v>259024.40575499999</v>
      </c>
    </row>
    <row r="123" spans="1:3">
      <c r="A123" s="99">
        <v>91147</v>
      </c>
      <c r="B123" s="99" t="s">
        <v>838</v>
      </c>
      <c r="C123" s="100">
        <v>14428.590000000002</v>
      </c>
    </row>
    <row r="124" spans="1:3">
      <c r="A124" s="99">
        <v>91151</v>
      </c>
      <c r="B124" s="99" t="s">
        <v>839</v>
      </c>
      <c r="C124" s="100">
        <v>265563.67061900004</v>
      </c>
    </row>
    <row r="125" spans="1:3">
      <c r="A125" s="99">
        <v>91154</v>
      </c>
      <c r="B125" s="99" t="s">
        <v>840</v>
      </c>
      <c r="C125" s="100">
        <v>11031.759999999998</v>
      </c>
    </row>
    <row r="126" spans="1:3">
      <c r="A126" s="99">
        <v>91161</v>
      </c>
      <c r="B126" s="99" t="s">
        <v>841</v>
      </c>
      <c r="C126" s="100">
        <v>39612.641166000009</v>
      </c>
    </row>
    <row r="127" spans="1:3">
      <c r="A127" s="99">
        <v>91171</v>
      </c>
      <c r="B127" s="99" t="s">
        <v>842</v>
      </c>
      <c r="C127" s="100">
        <v>108457.14567499999</v>
      </c>
    </row>
    <row r="128" spans="1:3">
      <c r="A128" s="99">
        <v>91201</v>
      </c>
      <c r="B128" s="99" t="s">
        <v>843</v>
      </c>
      <c r="C128" s="100">
        <v>1055634.8347090003</v>
      </c>
    </row>
    <row r="129" spans="1:3">
      <c r="A129" s="99">
        <v>91202</v>
      </c>
      <c r="B129" s="99" t="s">
        <v>844</v>
      </c>
      <c r="C129" s="100">
        <v>98483.79</v>
      </c>
    </row>
    <row r="130" spans="1:3">
      <c r="A130" s="99">
        <v>91203</v>
      </c>
      <c r="B130" s="99" t="s">
        <v>845</v>
      </c>
      <c r="C130" s="100">
        <v>137099.06</v>
      </c>
    </row>
    <row r="131" spans="1:3">
      <c r="A131" s="99">
        <v>91206</v>
      </c>
      <c r="B131" s="99" t="s">
        <v>846</v>
      </c>
      <c r="C131" s="100">
        <v>441655</v>
      </c>
    </row>
    <row r="132" spans="1:3">
      <c r="A132" s="99">
        <v>91208</v>
      </c>
      <c r="B132" s="99" t="s">
        <v>847</v>
      </c>
      <c r="C132" s="100">
        <v>6701.2</v>
      </c>
    </row>
    <row r="133" spans="1:3">
      <c r="A133" s="99">
        <v>91211</v>
      </c>
      <c r="B133" s="99" t="s">
        <v>848</v>
      </c>
      <c r="C133" s="100">
        <v>205268.22583000001</v>
      </c>
    </row>
    <row r="134" spans="1:3">
      <c r="A134" s="99">
        <v>91213</v>
      </c>
      <c r="B134" s="99" t="s">
        <v>849</v>
      </c>
      <c r="C134" s="100">
        <v>11721.010000000004</v>
      </c>
    </row>
    <row r="135" spans="1:3">
      <c r="A135" s="99">
        <v>91214</v>
      </c>
      <c r="B135" s="99" t="s">
        <v>850</v>
      </c>
      <c r="C135" s="100">
        <v>11806.909999999998</v>
      </c>
    </row>
    <row r="136" spans="1:3">
      <c r="A136" s="99">
        <v>91217</v>
      </c>
      <c r="B136" s="99" t="s">
        <v>851</v>
      </c>
      <c r="C136" s="100">
        <v>14531.739999999998</v>
      </c>
    </row>
    <row r="137" spans="1:3">
      <c r="A137" s="99">
        <v>91221</v>
      </c>
      <c r="B137" s="99" t="s">
        <v>852</v>
      </c>
      <c r="C137" s="100">
        <v>57643.743760000005</v>
      </c>
    </row>
    <row r="138" spans="1:3">
      <c r="A138" s="99">
        <v>91231</v>
      </c>
      <c r="B138" s="99" t="s">
        <v>853</v>
      </c>
      <c r="C138" s="100">
        <v>907952.11949399998</v>
      </c>
    </row>
    <row r="139" spans="1:3">
      <c r="A139" s="99">
        <v>91233</v>
      </c>
      <c r="B139" s="99" t="s">
        <v>854</v>
      </c>
      <c r="C139" s="100">
        <v>22381.89</v>
      </c>
    </row>
    <row r="140" spans="1:3">
      <c r="A140" s="99">
        <v>91241</v>
      </c>
      <c r="B140" s="99" t="s">
        <v>855</v>
      </c>
      <c r="C140" s="100">
        <v>29020.192139000002</v>
      </c>
    </row>
    <row r="141" spans="1:3">
      <c r="A141" s="99">
        <v>91251</v>
      </c>
      <c r="B141" s="99" t="s">
        <v>856</v>
      </c>
      <c r="C141" s="100">
        <v>17207.91</v>
      </c>
    </row>
    <row r="142" spans="1:3">
      <c r="A142" s="99">
        <v>91261</v>
      </c>
      <c r="B142" s="99" t="s">
        <v>857</v>
      </c>
      <c r="C142" s="100">
        <v>4921.62</v>
      </c>
    </row>
    <row r="143" spans="1:3">
      <c r="A143" s="99">
        <v>91301</v>
      </c>
      <c r="B143" s="99" t="s">
        <v>858</v>
      </c>
      <c r="C143" s="100">
        <v>3634284.4051430002</v>
      </c>
    </row>
    <row r="144" spans="1:3">
      <c r="A144" s="99">
        <v>91302</v>
      </c>
      <c r="B144" s="99" t="s">
        <v>859</v>
      </c>
      <c r="C144" s="100">
        <v>256040.47000000003</v>
      </c>
    </row>
    <row r="145" spans="1:3">
      <c r="A145" s="99">
        <v>91306</v>
      </c>
      <c r="B145" s="99" t="s">
        <v>860</v>
      </c>
      <c r="C145" s="100">
        <v>913944.23</v>
      </c>
    </row>
    <row r="146" spans="1:3">
      <c r="A146" s="99">
        <v>91308</v>
      </c>
      <c r="B146" s="99" t="s">
        <v>861</v>
      </c>
      <c r="C146" s="100">
        <v>81846.029999999984</v>
      </c>
    </row>
    <row r="147" spans="1:3">
      <c r="A147" s="99">
        <v>91311</v>
      </c>
      <c r="B147" s="99" t="s">
        <v>862</v>
      </c>
      <c r="C147" s="100">
        <v>3635419.9090130003</v>
      </c>
    </row>
    <row r="148" spans="1:3">
      <c r="A148" s="99">
        <v>91317</v>
      </c>
      <c r="B148" s="99" t="s">
        <v>863</v>
      </c>
      <c r="C148" s="100">
        <v>55268.480000000003</v>
      </c>
    </row>
    <row r="149" spans="1:3">
      <c r="A149" s="99">
        <v>91321</v>
      </c>
      <c r="B149" s="99" t="s">
        <v>864</v>
      </c>
      <c r="C149" s="100">
        <v>46430.78</v>
      </c>
    </row>
    <row r="150" spans="1:3">
      <c r="A150" s="99">
        <v>91327</v>
      </c>
      <c r="B150" s="99" t="s">
        <v>865</v>
      </c>
      <c r="C150" s="100">
        <v>4873.43</v>
      </c>
    </row>
    <row r="151" spans="1:3">
      <c r="A151" s="99">
        <v>91331</v>
      </c>
      <c r="B151" s="99" t="s">
        <v>866</v>
      </c>
      <c r="C151" s="100">
        <v>1293706.053027</v>
      </c>
    </row>
    <row r="152" spans="1:3">
      <c r="A152" s="99">
        <v>91341</v>
      </c>
      <c r="B152" s="99" t="s">
        <v>867</v>
      </c>
      <c r="C152" s="100">
        <v>14437.970000000001</v>
      </c>
    </row>
    <row r="153" spans="1:3">
      <c r="A153" s="99">
        <v>91401</v>
      </c>
      <c r="B153" s="99" t="s">
        <v>868</v>
      </c>
      <c r="C153" s="100">
        <v>1665858.4738169999</v>
      </c>
    </row>
    <row r="154" spans="1:3">
      <c r="A154" s="99">
        <v>91411</v>
      </c>
      <c r="B154" s="99" t="s">
        <v>869</v>
      </c>
      <c r="C154" s="100">
        <v>184234.82984200001</v>
      </c>
    </row>
    <row r="155" spans="1:3">
      <c r="A155" s="99">
        <v>91417</v>
      </c>
      <c r="B155" s="99" t="s">
        <v>870</v>
      </c>
      <c r="C155" s="100">
        <v>5523.8099999999986</v>
      </c>
    </row>
    <row r="156" spans="1:3">
      <c r="A156" s="99">
        <v>91421</v>
      </c>
      <c r="B156" s="99" t="s">
        <v>871</v>
      </c>
      <c r="C156" s="100">
        <v>38840.82</v>
      </c>
    </row>
    <row r="157" spans="1:3">
      <c r="A157" s="99">
        <v>91423</v>
      </c>
      <c r="B157" s="99" t="s">
        <v>872</v>
      </c>
      <c r="C157" s="100">
        <v>19786.169999999998</v>
      </c>
    </row>
    <row r="158" spans="1:3">
      <c r="A158" s="99">
        <v>91431</v>
      </c>
      <c r="B158" s="99" t="s">
        <v>873</v>
      </c>
      <c r="C158" s="100">
        <v>88726.048506000021</v>
      </c>
    </row>
    <row r="159" spans="1:3">
      <c r="A159" s="99">
        <v>91441</v>
      </c>
      <c r="B159" s="99" t="s">
        <v>874</v>
      </c>
      <c r="C159" s="100">
        <v>350488.21</v>
      </c>
    </row>
    <row r="160" spans="1:3">
      <c r="A160" s="99">
        <v>91451</v>
      </c>
      <c r="B160" s="99" t="s">
        <v>875</v>
      </c>
      <c r="C160" s="100">
        <v>719186.37605899991</v>
      </c>
    </row>
    <row r="161" spans="1:3">
      <c r="A161" s="99">
        <v>91457</v>
      </c>
      <c r="B161" s="99" t="s">
        <v>876</v>
      </c>
      <c r="C161" s="100">
        <v>29814.83</v>
      </c>
    </row>
    <row r="162" spans="1:3">
      <c r="A162" s="99">
        <v>91461</v>
      </c>
      <c r="B162" s="99" t="s">
        <v>877</v>
      </c>
      <c r="C162" s="100">
        <v>3124.4399999999991</v>
      </c>
    </row>
    <row r="163" spans="1:3">
      <c r="A163" s="99">
        <v>91501</v>
      </c>
      <c r="B163" s="99" t="s">
        <v>878</v>
      </c>
      <c r="C163" s="100">
        <v>236941.69474500002</v>
      </c>
    </row>
    <row r="164" spans="1:3">
      <c r="A164" s="99">
        <v>91504</v>
      </c>
      <c r="B164" s="99" t="s">
        <v>879</v>
      </c>
      <c r="C164" s="100">
        <v>6938.7900000000009</v>
      </c>
    </row>
    <row r="165" spans="1:3">
      <c r="A165" s="99">
        <v>91601</v>
      </c>
      <c r="B165" s="99" t="s">
        <v>880</v>
      </c>
      <c r="C165" s="100">
        <v>1390327.9244510001</v>
      </c>
    </row>
    <row r="166" spans="1:3">
      <c r="A166" s="99">
        <v>91604</v>
      </c>
      <c r="B166" s="99" t="s">
        <v>881</v>
      </c>
      <c r="C166" s="100">
        <v>55839.060480000007</v>
      </c>
    </row>
    <row r="167" spans="1:3">
      <c r="A167" s="99">
        <v>91608</v>
      </c>
      <c r="B167" s="99" t="s">
        <v>882</v>
      </c>
      <c r="C167" s="100">
        <v>52378.559999999998</v>
      </c>
    </row>
    <row r="168" spans="1:3">
      <c r="A168" s="99">
        <v>91611</v>
      </c>
      <c r="B168" s="99" t="s">
        <v>883</v>
      </c>
      <c r="C168" s="100">
        <v>614656.173435</v>
      </c>
    </row>
    <row r="169" spans="1:3">
      <c r="A169" s="99">
        <v>91621</v>
      </c>
      <c r="B169" s="99" t="s">
        <v>884</v>
      </c>
      <c r="C169" s="100">
        <v>124283.424576</v>
      </c>
    </row>
    <row r="170" spans="1:3">
      <c r="A170" s="99">
        <v>91631</v>
      </c>
      <c r="B170" s="99" t="s">
        <v>885</v>
      </c>
      <c r="C170" s="100">
        <v>239433.455605</v>
      </c>
    </row>
    <row r="171" spans="1:3">
      <c r="A171" s="99">
        <v>91633</v>
      </c>
      <c r="B171" s="99" t="s">
        <v>886</v>
      </c>
      <c r="C171" s="100">
        <v>10219.19</v>
      </c>
    </row>
    <row r="172" spans="1:3">
      <c r="A172" s="99">
        <v>91641</v>
      </c>
      <c r="B172" s="99" t="s">
        <v>887</v>
      </c>
      <c r="C172" s="100">
        <v>115065.09437900002</v>
      </c>
    </row>
    <row r="173" spans="1:3">
      <c r="A173" s="99">
        <v>91651</v>
      </c>
      <c r="B173" s="99" t="s">
        <v>888</v>
      </c>
      <c r="C173" s="100">
        <v>238247.14399899999</v>
      </c>
    </row>
    <row r="174" spans="1:3">
      <c r="A174" s="99">
        <v>91661</v>
      </c>
      <c r="B174" s="99" t="s">
        <v>889</v>
      </c>
      <c r="C174" s="100">
        <v>66913.817007000005</v>
      </c>
    </row>
    <row r="175" spans="1:3">
      <c r="A175" s="99">
        <v>91671</v>
      </c>
      <c r="B175" s="99" t="s">
        <v>890</v>
      </c>
      <c r="C175" s="100">
        <v>47244.936606999996</v>
      </c>
    </row>
    <row r="176" spans="1:3">
      <c r="A176" s="99">
        <v>91681</v>
      </c>
      <c r="B176" s="99" t="s">
        <v>891</v>
      </c>
      <c r="C176" s="100">
        <v>400102.45603499998</v>
      </c>
    </row>
    <row r="177" spans="1:3">
      <c r="A177" s="99">
        <v>91691</v>
      </c>
      <c r="B177" s="99" t="s">
        <v>892</v>
      </c>
      <c r="C177" s="100">
        <v>11105.62</v>
      </c>
    </row>
    <row r="178" spans="1:3">
      <c r="A178" s="99">
        <v>91701</v>
      </c>
      <c r="B178" s="99" t="s">
        <v>893</v>
      </c>
      <c r="C178" s="100">
        <v>564446.92984800017</v>
      </c>
    </row>
    <row r="179" spans="1:3">
      <c r="A179" s="99">
        <v>91704</v>
      </c>
      <c r="B179" s="99" t="s">
        <v>894</v>
      </c>
      <c r="C179" s="100">
        <v>8607.8599999999988</v>
      </c>
    </row>
    <row r="180" spans="1:3">
      <c r="A180" s="99">
        <v>91706</v>
      </c>
      <c r="B180" s="99" t="s">
        <v>895</v>
      </c>
      <c r="C180" s="100">
        <v>166002.11359999995</v>
      </c>
    </row>
    <row r="181" spans="1:3">
      <c r="A181" s="99">
        <v>91719</v>
      </c>
      <c r="B181" s="99" t="s">
        <v>896</v>
      </c>
      <c r="C181" s="100">
        <v>22115.769999999997</v>
      </c>
    </row>
    <row r="182" spans="1:3">
      <c r="A182" s="99">
        <v>91801</v>
      </c>
      <c r="B182" s="99" t="s">
        <v>897</v>
      </c>
      <c r="C182" s="100">
        <v>3845158.3544530002</v>
      </c>
    </row>
    <row r="183" spans="1:3">
      <c r="A183" s="99">
        <v>91804</v>
      </c>
      <c r="B183" s="99" t="s">
        <v>898</v>
      </c>
      <c r="C183" s="100">
        <v>105464.52</v>
      </c>
    </row>
    <row r="184" spans="1:3">
      <c r="A184" s="99">
        <v>91811</v>
      </c>
      <c r="B184" s="99" t="s">
        <v>899</v>
      </c>
      <c r="C184" s="100">
        <v>2056779.1234909997</v>
      </c>
    </row>
    <row r="185" spans="1:3">
      <c r="A185" s="99">
        <v>91812</v>
      </c>
      <c r="B185" s="99" t="s">
        <v>900</v>
      </c>
      <c r="C185" s="100">
        <v>28370.39</v>
      </c>
    </row>
    <row r="186" spans="1:3">
      <c r="A186" s="99">
        <v>91813</v>
      </c>
      <c r="B186" s="99" t="s">
        <v>901</v>
      </c>
      <c r="C186" s="100">
        <v>41692.790000000008</v>
      </c>
    </row>
    <row r="187" spans="1:3">
      <c r="A187" s="99">
        <v>91818</v>
      </c>
      <c r="B187" s="99" t="s">
        <v>902</v>
      </c>
      <c r="C187" s="100">
        <v>468317.05</v>
      </c>
    </row>
    <row r="188" spans="1:3">
      <c r="A188" s="99">
        <v>91819</v>
      </c>
      <c r="B188" s="99" t="s">
        <v>903</v>
      </c>
      <c r="C188" s="100">
        <v>156994.41</v>
      </c>
    </row>
    <row r="189" spans="1:3">
      <c r="A189" s="99">
        <v>91821</v>
      </c>
      <c r="B189" s="99" t="s">
        <v>904</v>
      </c>
      <c r="C189" s="100">
        <v>75806.766482999999</v>
      </c>
    </row>
    <row r="190" spans="1:3">
      <c r="A190" s="99">
        <v>91831</v>
      </c>
      <c r="B190" s="99" t="s">
        <v>905</v>
      </c>
      <c r="C190" s="100">
        <v>165489.25399200001</v>
      </c>
    </row>
    <row r="191" spans="1:3">
      <c r="A191" s="99">
        <v>91841</v>
      </c>
      <c r="B191" s="99" t="s">
        <v>906</v>
      </c>
      <c r="C191" s="100">
        <v>125257.58873600001</v>
      </c>
    </row>
    <row r="192" spans="1:3">
      <c r="A192" s="99">
        <v>91851</v>
      </c>
      <c r="B192" s="99" t="s">
        <v>907</v>
      </c>
      <c r="C192" s="100">
        <v>362200.99266299995</v>
      </c>
    </row>
    <row r="193" spans="1:3">
      <c r="A193" s="99">
        <v>91861</v>
      </c>
      <c r="B193" s="99" t="s">
        <v>908</v>
      </c>
      <c r="C193" s="100">
        <v>7332.8851999999997</v>
      </c>
    </row>
    <row r="194" spans="1:3">
      <c r="A194" s="99">
        <v>91871</v>
      </c>
      <c r="B194" s="99" t="s">
        <v>909</v>
      </c>
      <c r="C194" s="100">
        <v>615146.46365599998</v>
      </c>
    </row>
    <row r="195" spans="1:3">
      <c r="A195" s="99">
        <v>91881</v>
      </c>
      <c r="B195" s="99" t="s">
        <v>910</v>
      </c>
      <c r="C195" s="100">
        <v>5098.6400000000003</v>
      </c>
    </row>
    <row r="196" spans="1:3">
      <c r="A196" s="99">
        <v>91901</v>
      </c>
      <c r="B196" s="99" t="s">
        <v>911</v>
      </c>
      <c r="C196" s="100">
        <v>1743893.915302</v>
      </c>
    </row>
    <row r="197" spans="1:3">
      <c r="A197" s="99">
        <v>91903</v>
      </c>
      <c r="B197" s="99" t="s">
        <v>912</v>
      </c>
      <c r="C197" s="100">
        <v>6537</v>
      </c>
    </row>
    <row r="198" spans="1:3">
      <c r="A198" s="99">
        <v>91904</v>
      </c>
      <c r="B198" s="99" t="s">
        <v>913</v>
      </c>
      <c r="C198" s="100">
        <v>16612.080000000002</v>
      </c>
    </row>
    <row r="199" spans="1:3">
      <c r="A199" s="99">
        <v>91908</v>
      </c>
      <c r="B199" s="99" t="s">
        <v>914</v>
      </c>
      <c r="C199" s="100">
        <v>5166.92</v>
      </c>
    </row>
    <row r="200" spans="1:3">
      <c r="A200" s="99">
        <v>91911</v>
      </c>
      <c r="B200" s="99" t="s">
        <v>915</v>
      </c>
      <c r="C200" s="100">
        <v>231598.926331</v>
      </c>
    </row>
    <row r="201" spans="1:3">
      <c r="A201" s="99">
        <v>91917</v>
      </c>
      <c r="B201" s="99" t="s">
        <v>916</v>
      </c>
      <c r="C201" s="100">
        <v>6945.38</v>
      </c>
    </row>
    <row r="202" spans="1:3">
      <c r="A202" s="99">
        <v>91921</v>
      </c>
      <c r="B202" s="99" t="s">
        <v>917</v>
      </c>
      <c r="C202" s="100">
        <v>166029.18340599997</v>
      </c>
    </row>
    <row r="203" spans="1:3">
      <c r="A203" s="99">
        <v>92001</v>
      </c>
      <c r="B203" s="99" t="s">
        <v>918</v>
      </c>
      <c r="C203" s="100">
        <v>863075.17729200004</v>
      </c>
    </row>
    <row r="204" spans="1:3">
      <c r="A204" s="99">
        <v>92005</v>
      </c>
      <c r="B204" s="99" t="s">
        <v>919</v>
      </c>
      <c r="C204" s="100">
        <v>23807.88</v>
      </c>
    </row>
    <row r="205" spans="1:3">
      <c r="A205" s="99">
        <v>92011</v>
      </c>
      <c r="B205" s="99" t="s">
        <v>920</v>
      </c>
      <c r="C205" s="100">
        <v>94487.101011999999</v>
      </c>
    </row>
    <row r="206" spans="1:3">
      <c r="A206" s="99">
        <v>92017</v>
      </c>
      <c r="B206" s="99" t="s">
        <v>921</v>
      </c>
      <c r="C206" s="100">
        <v>18378.2</v>
      </c>
    </row>
    <row r="207" spans="1:3">
      <c r="A207" s="99">
        <v>92021</v>
      </c>
      <c r="B207" s="99" t="s">
        <v>922</v>
      </c>
      <c r="C207" s="100">
        <v>56797.989972000003</v>
      </c>
    </row>
    <row r="208" spans="1:3">
      <c r="A208" s="99">
        <v>92101</v>
      </c>
      <c r="B208" s="99" t="s">
        <v>923</v>
      </c>
      <c r="C208" s="100">
        <v>385403.0670380001</v>
      </c>
    </row>
    <row r="209" spans="1:3">
      <c r="A209" s="99">
        <v>92104</v>
      </c>
      <c r="B209" s="99" t="s">
        <v>924</v>
      </c>
      <c r="C209" s="100">
        <v>5362.8700000000017</v>
      </c>
    </row>
    <row r="210" spans="1:3">
      <c r="A210" s="99">
        <v>92109</v>
      </c>
      <c r="B210" s="99" t="s">
        <v>925</v>
      </c>
      <c r="C210" s="100">
        <v>81663.56</v>
      </c>
    </row>
    <row r="211" spans="1:3">
      <c r="A211" s="99">
        <v>92111</v>
      </c>
      <c r="B211" s="99" t="s">
        <v>926</v>
      </c>
      <c r="C211" s="100">
        <v>241524.02997399998</v>
      </c>
    </row>
    <row r="212" spans="1:3">
      <c r="A212" s="99">
        <v>92113</v>
      </c>
      <c r="B212" s="99" t="s">
        <v>927</v>
      </c>
      <c r="C212" s="100">
        <v>12477.000000000002</v>
      </c>
    </row>
    <row r="213" spans="1:3">
      <c r="A213" s="99">
        <v>92201</v>
      </c>
      <c r="B213" s="99" t="s">
        <v>928</v>
      </c>
      <c r="C213" s="100">
        <v>466555.8311270001</v>
      </c>
    </row>
    <row r="214" spans="1:3">
      <c r="A214" s="99">
        <v>92214</v>
      </c>
      <c r="B214" s="99" t="s">
        <v>1925</v>
      </c>
      <c r="C214" s="100">
        <v>9828.880000000001</v>
      </c>
    </row>
    <row r="215" spans="1:3">
      <c r="A215" s="99">
        <v>92301</v>
      </c>
      <c r="B215" s="99" t="s">
        <v>929</v>
      </c>
      <c r="C215" s="100">
        <v>2605917.5594340004</v>
      </c>
    </row>
    <row r="216" spans="1:3">
      <c r="A216" s="99">
        <v>92302</v>
      </c>
      <c r="B216" s="99" t="s">
        <v>930</v>
      </c>
      <c r="C216" s="100">
        <v>142815.22</v>
      </c>
    </row>
    <row r="217" spans="1:3">
      <c r="A217" s="99">
        <v>92311</v>
      </c>
      <c r="B217" s="99" t="s">
        <v>931</v>
      </c>
      <c r="C217" s="100">
        <v>1034114.674845</v>
      </c>
    </row>
    <row r="218" spans="1:3">
      <c r="A218" s="99">
        <v>92317</v>
      </c>
      <c r="B218" s="99" t="s">
        <v>932</v>
      </c>
      <c r="C218" s="100">
        <v>22934.21</v>
      </c>
    </row>
    <row r="219" spans="1:3">
      <c r="A219" s="99">
        <v>92321</v>
      </c>
      <c r="B219" s="99" t="s">
        <v>933</v>
      </c>
      <c r="C219" s="100">
        <v>602728.47985499993</v>
      </c>
    </row>
    <row r="220" spans="1:3">
      <c r="A220" s="99">
        <v>92327</v>
      </c>
      <c r="B220" s="99" t="s">
        <v>934</v>
      </c>
      <c r="C220" s="100">
        <v>7041.69</v>
      </c>
    </row>
    <row r="221" spans="1:3">
      <c r="A221" s="99">
        <v>92331</v>
      </c>
      <c r="B221" s="99" t="s">
        <v>935</v>
      </c>
      <c r="C221" s="100">
        <v>66231.381802000004</v>
      </c>
    </row>
    <row r="222" spans="1:3">
      <c r="A222" s="99">
        <v>92341</v>
      </c>
      <c r="B222" s="99" t="s">
        <v>936</v>
      </c>
      <c r="C222" s="100">
        <v>3267.72</v>
      </c>
    </row>
    <row r="223" spans="1:3">
      <c r="A223" s="99">
        <v>92351</v>
      </c>
      <c r="B223" s="99" t="s">
        <v>937</v>
      </c>
      <c r="C223" s="100">
        <v>12788.924762000002</v>
      </c>
    </row>
    <row r="224" spans="1:3">
      <c r="A224" s="99">
        <v>92401</v>
      </c>
      <c r="B224" s="99" t="s">
        <v>938</v>
      </c>
      <c r="C224" s="100">
        <v>1332379.2514169996</v>
      </c>
    </row>
    <row r="225" spans="1:3">
      <c r="A225" s="99">
        <v>92403</v>
      </c>
      <c r="B225" s="99" t="s">
        <v>939</v>
      </c>
      <c r="C225" s="100">
        <v>6224.4000000000015</v>
      </c>
    </row>
    <row r="226" spans="1:3">
      <c r="A226" s="99">
        <v>92411</v>
      </c>
      <c r="B226" s="99" t="s">
        <v>940</v>
      </c>
      <c r="C226" s="100">
        <v>212765.27583899998</v>
      </c>
    </row>
    <row r="227" spans="1:3">
      <c r="A227" s="99">
        <v>92417</v>
      </c>
      <c r="B227" s="99" t="s">
        <v>941</v>
      </c>
      <c r="C227" s="100">
        <v>6522.4100000000008</v>
      </c>
    </row>
    <row r="228" spans="1:3">
      <c r="A228" s="99">
        <v>92421</v>
      </c>
      <c r="B228" s="99" t="s">
        <v>942</v>
      </c>
      <c r="C228" s="100">
        <v>9320.2999999999993</v>
      </c>
    </row>
    <row r="229" spans="1:3">
      <c r="A229" s="99">
        <v>92427</v>
      </c>
      <c r="B229" s="99" t="s">
        <v>943</v>
      </c>
      <c r="C229" s="100">
        <v>1693.1599999999996</v>
      </c>
    </row>
    <row r="230" spans="1:3">
      <c r="A230" s="99">
        <v>92431</v>
      </c>
      <c r="B230" s="99" t="s">
        <v>944</v>
      </c>
      <c r="C230" s="100">
        <v>16532.620814000002</v>
      </c>
    </row>
    <row r="231" spans="1:3">
      <c r="A231" s="99">
        <v>92441</v>
      </c>
      <c r="B231" s="99" t="s">
        <v>945</v>
      </c>
      <c r="C231" s="100">
        <v>48364.150368000002</v>
      </c>
    </row>
    <row r="232" spans="1:3">
      <c r="A232" s="99">
        <v>92444</v>
      </c>
      <c r="B232" s="99" t="s">
        <v>946</v>
      </c>
      <c r="C232" s="100">
        <v>3182.4399999999996</v>
      </c>
    </row>
    <row r="233" spans="1:3">
      <c r="A233" s="99">
        <v>92451</v>
      </c>
      <c r="B233" s="99" t="s">
        <v>947</v>
      </c>
      <c r="C233" s="100">
        <v>79859.869124999997</v>
      </c>
    </row>
    <row r="234" spans="1:3">
      <c r="A234" s="99">
        <v>92461</v>
      </c>
      <c r="B234" s="99" t="s">
        <v>948</v>
      </c>
      <c r="C234" s="100">
        <v>43080.702709999998</v>
      </c>
    </row>
    <row r="235" spans="1:3">
      <c r="A235" s="99">
        <v>92501</v>
      </c>
      <c r="B235" s="99" t="s">
        <v>949</v>
      </c>
      <c r="C235" s="100">
        <v>2001121.777825</v>
      </c>
    </row>
    <row r="236" spans="1:3">
      <c r="A236" s="99">
        <v>92502</v>
      </c>
      <c r="B236" s="99" t="s">
        <v>950</v>
      </c>
      <c r="C236" s="100">
        <v>15228.840000000002</v>
      </c>
    </row>
    <row r="237" spans="1:3">
      <c r="A237" s="99">
        <v>92504</v>
      </c>
      <c r="B237" s="99" t="s">
        <v>951</v>
      </c>
      <c r="C237" s="100">
        <v>50659.740000000005</v>
      </c>
    </row>
    <row r="238" spans="1:3">
      <c r="A238" s="99">
        <v>92505</v>
      </c>
      <c r="B238" s="99" t="s">
        <v>952</v>
      </c>
      <c r="C238" s="100">
        <v>127842.43000000001</v>
      </c>
    </row>
    <row r="239" spans="1:3">
      <c r="A239" s="99">
        <v>92506</v>
      </c>
      <c r="B239" s="99" t="s">
        <v>953</v>
      </c>
      <c r="C239" s="100">
        <v>34609.71</v>
      </c>
    </row>
    <row r="240" spans="1:3">
      <c r="A240" s="99">
        <v>92507</v>
      </c>
      <c r="B240" s="99" t="s">
        <v>954</v>
      </c>
      <c r="C240" s="100">
        <v>38660.58</v>
      </c>
    </row>
    <row r="241" spans="1:3">
      <c r="A241" s="99">
        <v>92508</v>
      </c>
      <c r="B241" s="99" t="s">
        <v>955</v>
      </c>
      <c r="C241" s="100">
        <v>159816</v>
      </c>
    </row>
    <row r="242" spans="1:3">
      <c r="A242" s="99">
        <v>92511</v>
      </c>
      <c r="B242" s="99" t="s">
        <v>956</v>
      </c>
      <c r="C242" s="100">
        <v>1640990.8191569999</v>
      </c>
    </row>
    <row r="243" spans="1:3">
      <c r="A243" s="99">
        <v>92513</v>
      </c>
      <c r="B243" s="99" t="s">
        <v>957</v>
      </c>
      <c r="C243" s="100">
        <v>1761601.3599999999</v>
      </c>
    </row>
    <row r="244" spans="1:3">
      <c r="A244" s="99">
        <v>92521</v>
      </c>
      <c r="B244" s="99" t="s">
        <v>958</v>
      </c>
      <c r="C244" s="100">
        <v>40372.620280000003</v>
      </c>
    </row>
    <row r="245" spans="1:3">
      <c r="A245" s="99">
        <v>92531</v>
      </c>
      <c r="B245" s="99" t="s">
        <v>959</v>
      </c>
      <c r="C245" s="100">
        <v>370926.782618</v>
      </c>
    </row>
    <row r="246" spans="1:3">
      <c r="A246" s="99">
        <v>92541</v>
      </c>
      <c r="B246" s="99" t="s">
        <v>960</v>
      </c>
      <c r="C246" s="100">
        <v>60143.347958000013</v>
      </c>
    </row>
    <row r="247" spans="1:3">
      <c r="A247" s="99">
        <v>92551</v>
      </c>
      <c r="B247" s="99" t="s">
        <v>961</v>
      </c>
      <c r="C247" s="100">
        <v>21253.668636000002</v>
      </c>
    </row>
    <row r="248" spans="1:3">
      <c r="A248" s="99">
        <v>92561</v>
      </c>
      <c r="B248" s="99" t="s">
        <v>962</v>
      </c>
      <c r="C248" s="100">
        <v>11018.495680000002</v>
      </c>
    </row>
    <row r="249" spans="1:3">
      <c r="A249" s="99">
        <v>92571</v>
      </c>
      <c r="B249" s="99" t="s">
        <v>963</v>
      </c>
      <c r="C249" s="100">
        <v>7102.0999999999985</v>
      </c>
    </row>
    <row r="250" spans="1:3">
      <c r="A250" s="99">
        <v>92601</v>
      </c>
      <c r="B250" s="99" t="s">
        <v>964</v>
      </c>
      <c r="C250" s="100">
        <v>6697593.5252949996</v>
      </c>
    </row>
    <row r="251" spans="1:3">
      <c r="A251" s="99">
        <v>92602</v>
      </c>
      <c r="B251" s="99" t="s">
        <v>965</v>
      </c>
      <c r="C251" s="100">
        <v>2450.3199999999997</v>
      </c>
    </row>
    <row r="252" spans="1:3">
      <c r="A252" s="99">
        <v>92604</v>
      </c>
      <c r="B252" s="99" t="s">
        <v>966</v>
      </c>
      <c r="C252" s="100">
        <v>193974.42305799999</v>
      </c>
    </row>
    <row r="253" spans="1:3">
      <c r="A253" s="99">
        <v>92607</v>
      </c>
      <c r="B253" s="99" t="s">
        <v>967</v>
      </c>
      <c r="C253" s="100">
        <v>40699.430000000008</v>
      </c>
    </row>
    <row r="254" spans="1:3">
      <c r="A254" s="99">
        <v>92611</v>
      </c>
      <c r="B254" s="99" t="s">
        <v>969</v>
      </c>
      <c r="C254" s="100">
        <v>5875981.5031309994</v>
      </c>
    </row>
    <row r="255" spans="1:3">
      <c r="A255" s="99">
        <v>92613</v>
      </c>
      <c r="B255" s="99" t="s">
        <v>970</v>
      </c>
      <c r="C255" s="100">
        <v>139518.66</v>
      </c>
    </row>
    <row r="256" spans="1:3">
      <c r="A256" s="99">
        <v>92614</v>
      </c>
      <c r="B256" s="99" t="s">
        <v>971</v>
      </c>
      <c r="C256" s="100">
        <v>4938040.5999999996</v>
      </c>
    </row>
    <row r="257" spans="1:3">
      <c r="A257" s="99">
        <v>92621</v>
      </c>
      <c r="B257" s="99" t="s">
        <v>972</v>
      </c>
      <c r="C257" s="100">
        <v>13553.4208</v>
      </c>
    </row>
    <row r="258" spans="1:3">
      <c r="A258" s="99">
        <v>92631</v>
      </c>
      <c r="B258" s="99" t="s">
        <v>973</v>
      </c>
      <c r="C258" s="100">
        <v>416152.80942599999</v>
      </c>
    </row>
    <row r="259" spans="1:3">
      <c r="A259" s="99">
        <v>92641</v>
      </c>
      <c r="B259" s="99" t="s">
        <v>974</v>
      </c>
      <c r="C259" s="100">
        <v>6991.6799999999985</v>
      </c>
    </row>
    <row r="260" spans="1:3">
      <c r="A260" s="99">
        <v>92651</v>
      </c>
      <c r="B260" s="99" t="s">
        <v>975</v>
      </c>
      <c r="C260" s="100">
        <v>2540.5800000000004</v>
      </c>
    </row>
    <row r="261" spans="1:3">
      <c r="A261" s="99">
        <v>92661</v>
      </c>
      <c r="B261" s="99" t="s">
        <v>976</v>
      </c>
      <c r="C261" s="100">
        <v>546521.55185399996</v>
      </c>
    </row>
    <row r="262" spans="1:3">
      <c r="A262" s="99">
        <v>92671</v>
      </c>
      <c r="B262" s="99" t="s">
        <v>977</v>
      </c>
      <c r="C262" s="100">
        <v>5417.0499999999993</v>
      </c>
    </row>
    <row r="263" spans="1:3">
      <c r="A263" s="99">
        <v>92681</v>
      </c>
      <c r="B263" s="99" t="s">
        <v>978</v>
      </c>
      <c r="C263" s="100">
        <v>12159.02</v>
      </c>
    </row>
    <row r="264" spans="1:3">
      <c r="A264" s="99">
        <v>92701</v>
      </c>
      <c r="B264" s="99" t="s">
        <v>979</v>
      </c>
      <c r="C264" s="100">
        <v>1394893.7693140002</v>
      </c>
    </row>
    <row r="265" spans="1:3">
      <c r="A265" s="99">
        <v>92704</v>
      </c>
      <c r="B265" s="99" t="s">
        <v>980</v>
      </c>
      <c r="C265" s="100">
        <v>19607.260000000002</v>
      </c>
    </row>
    <row r="266" spans="1:3">
      <c r="A266" s="99">
        <v>92801</v>
      </c>
      <c r="B266" s="99" t="s">
        <v>981</v>
      </c>
      <c r="C266" s="100">
        <v>2645230.5612229998</v>
      </c>
    </row>
    <row r="267" spans="1:3">
      <c r="A267" s="99">
        <v>92802</v>
      </c>
      <c r="B267" s="99" t="s">
        <v>982</v>
      </c>
      <c r="C267" s="100">
        <v>57706.16</v>
      </c>
    </row>
    <row r="268" spans="1:3">
      <c r="A268" s="99">
        <v>92804</v>
      </c>
      <c r="B268" s="99" t="s">
        <v>983</v>
      </c>
      <c r="C268" s="100">
        <v>66559.106287999995</v>
      </c>
    </row>
    <row r="269" spans="1:3">
      <c r="A269" s="99">
        <v>92811</v>
      </c>
      <c r="B269" s="99" t="s">
        <v>984</v>
      </c>
      <c r="C269" s="100">
        <v>479568.66514800006</v>
      </c>
    </row>
    <row r="270" spans="1:3">
      <c r="A270" s="99">
        <v>92821</v>
      </c>
      <c r="B270" s="99" t="s">
        <v>985</v>
      </c>
      <c r="C270" s="100">
        <v>501804.138882</v>
      </c>
    </row>
    <row r="271" spans="1:3">
      <c r="A271" s="99">
        <v>92831</v>
      </c>
      <c r="B271" s="99" t="s">
        <v>986</v>
      </c>
      <c r="C271" s="100">
        <v>134107.661356</v>
      </c>
    </row>
    <row r="272" spans="1:3">
      <c r="A272" s="99">
        <v>92841</v>
      </c>
      <c r="B272" s="99" t="s">
        <v>987</v>
      </c>
      <c r="C272" s="100">
        <v>125072.28184900001</v>
      </c>
    </row>
    <row r="273" spans="1:3">
      <c r="A273" s="99">
        <v>92851</v>
      </c>
      <c r="B273" s="99" t="s">
        <v>988</v>
      </c>
      <c r="C273" s="100">
        <v>192126.15648500001</v>
      </c>
    </row>
    <row r="274" spans="1:3">
      <c r="A274" s="99">
        <v>92861</v>
      </c>
      <c r="B274" s="99" t="s">
        <v>989</v>
      </c>
      <c r="C274" s="100">
        <v>135764.57145600001</v>
      </c>
    </row>
    <row r="275" spans="1:3">
      <c r="A275" s="99">
        <v>92901</v>
      </c>
      <c r="B275" s="99" t="s">
        <v>990</v>
      </c>
      <c r="C275" s="100">
        <v>2725234.2818569997</v>
      </c>
    </row>
    <row r="276" spans="1:3">
      <c r="A276" s="99">
        <v>92911</v>
      </c>
      <c r="B276" s="99" t="s">
        <v>991</v>
      </c>
      <c r="C276" s="100">
        <v>988074.58866500016</v>
      </c>
    </row>
    <row r="277" spans="1:3">
      <c r="A277" s="99">
        <v>92913</v>
      </c>
      <c r="B277" s="99" t="s">
        <v>992</v>
      </c>
      <c r="C277" s="100">
        <v>56980.31</v>
      </c>
    </row>
    <row r="278" spans="1:3">
      <c r="A278" s="99">
        <v>92914</v>
      </c>
      <c r="B278" s="99" t="s">
        <v>993</v>
      </c>
      <c r="C278" s="100">
        <v>14201.86</v>
      </c>
    </row>
    <row r="279" spans="1:3">
      <c r="A279" s="99">
        <v>92917</v>
      </c>
      <c r="B279" s="99" t="s">
        <v>994</v>
      </c>
      <c r="C279" s="100">
        <v>16093.97</v>
      </c>
    </row>
    <row r="280" spans="1:3">
      <c r="A280" s="99">
        <v>92921</v>
      </c>
      <c r="B280" s="99" t="s">
        <v>995</v>
      </c>
      <c r="C280" s="100">
        <v>47485.890067</v>
      </c>
    </row>
    <row r="281" spans="1:3">
      <c r="A281" s="99">
        <v>92931</v>
      </c>
      <c r="B281" s="99" t="s">
        <v>996</v>
      </c>
      <c r="C281" s="100">
        <v>1185078.8836500002</v>
      </c>
    </row>
    <row r="282" spans="1:3">
      <c r="A282" s="99">
        <v>92941</v>
      </c>
      <c r="B282" s="99" t="s">
        <v>81</v>
      </c>
      <c r="C282" s="100">
        <v>5800.37</v>
      </c>
    </row>
    <row r="283" spans="1:3">
      <c r="A283" s="99">
        <v>93001</v>
      </c>
      <c r="B283" s="99" t="s">
        <v>997</v>
      </c>
      <c r="C283" s="100">
        <v>1079124.403707</v>
      </c>
    </row>
    <row r="284" spans="1:3">
      <c r="A284" s="99">
        <v>93009</v>
      </c>
      <c r="B284" s="99" t="s">
        <v>998</v>
      </c>
      <c r="C284" s="100">
        <v>5770.45</v>
      </c>
    </row>
    <row r="285" spans="1:3">
      <c r="A285" s="99">
        <v>93011</v>
      </c>
      <c r="B285" s="99" t="s">
        <v>999</v>
      </c>
      <c r="C285" s="100">
        <v>154957.61987699999</v>
      </c>
    </row>
    <row r="286" spans="1:3">
      <c r="A286" s="99">
        <v>93021</v>
      </c>
      <c r="B286" s="99" t="s">
        <v>1000</v>
      </c>
      <c r="C286" s="100">
        <v>13963.15</v>
      </c>
    </row>
    <row r="287" spans="1:3">
      <c r="A287" s="99">
        <v>93027</v>
      </c>
      <c r="B287" s="99" t="s">
        <v>1001</v>
      </c>
      <c r="C287" s="100">
        <v>6210.89</v>
      </c>
    </row>
    <row r="288" spans="1:3">
      <c r="A288" s="99">
        <v>93031</v>
      </c>
      <c r="B288" s="99" t="s">
        <v>1002</v>
      </c>
      <c r="C288" s="100">
        <v>23728.551101000001</v>
      </c>
    </row>
    <row r="289" spans="1:3">
      <c r="A289" s="99">
        <v>93101</v>
      </c>
      <c r="B289" s="99" t="s">
        <v>1003</v>
      </c>
      <c r="C289" s="100">
        <v>1558580.6954580003</v>
      </c>
    </row>
    <row r="290" spans="1:3">
      <c r="A290" s="99">
        <v>93103</v>
      </c>
      <c r="B290" s="99" t="s">
        <v>260</v>
      </c>
      <c r="C290" s="100">
        <v>6012.1600000000008</v>
      </c>
    </row>
    <row r="291" spans="1:3">
      <c r="A291" s="99">
        <v>93108</v>
      </c>
      <c r="B291" s="99" t="s">
        <v>1004</v>
      </c>
      <c r="C291" s="100">
        <v>1177629.3799999999</v>
      </c>
    </row>
    <row r="292" spans="1:3">
      <c r="A292" s="99">
        <v>93111</v>
      </c>
      <c r="B292" s="99" t="s">
        <v>1005</v>
      </c>
      <c r="C292" s="100">
        <v>28174.565187</v>
      </c>
    </row>
    <row r="293" spans="1:3">
      <c r="A293" s="99">
        <v>93121</v>
      </c>
      <c r="B293" s="99" t="s">
        <v>1006</v>
      </c>
      <c r="C293" s="100">
        <v>31032.584706000001</v>
      </c>
    </row>
    <row r="294" spans="1:3">
      <c r="A294" s="99">
        <v>93127</v>
      </c>
      <c r="B294" s="99" t="s">
        <v>1007</v>
      </c>
      <c r="C294" s="100">
        <v>3229.7599999999998</v>
      </c>
    </row>
    <row r="295" spans="1:3">
      <c r="A295" s="99">
        <v>93131</v>
      </c>
      <c r="B295" s="99" t="s">
        <v>1008</v>
      </c>
      <c r="C295" s="100">
        <v>93827.233336999998</v>
      </c>
    </row>
    <row r="296" spans="1:3">
      <c r="A296" s="99">
        <v>93137</v>
      </c>
      <c r="B296" s="99" t="s">
        <v>1009</v>
      </c>
      <c r="C296" s="100">
        <v>2953.4300000000003</v>
      </c>
    </row>
    <row r="297" spans="1:3">
      <c r="A297" s="99">
        <v>93141</v>
      </c>
      <c r="B297" s="99" t="s">
        <v>1010</v>
      </c>
      <c r="C297" s="100">
        <v>16087.869999999999</v>
      </c>
    </row>
    <row r="298" spans="1:3">
      <c r="A298" s="99">
        <v>93151</v>
      </c>
      <c r="B298" s="99" t="s">
        <v>1011</v>
      </c>
      <c r="C298" s="100">
        <v>160775.82038700001</v>
      </c>
    </row>
    <row r="299" spans="1:3">
      <c r="A299" s="99">
        <v>93157</v>
      </c>
      <c r="B299" s="99" t="s">
        <v>1012</v>
      </c>
      <c r="C299" s="100">
        <v>6823.3200000000006</v>
      </c>
    </row>
    <row r="300" spans="1:3">
      <c r="A300" s="99">
        <v>93161</v>
      </c>
      <c r="B300" s="99" t="s">
        <v>1013</v>
      </c>
      <c r="C300" s="100">
        <v>51773.468675000004</v>
      </c>
    </row>
    <row r="301" spans="1:3">
      <c r="A301" s="99">
        <v>93171</v>
      </c>
      <c r="B301" s="99" t="s">
        <v>1014</v>
      </c>
      <c r="C301" s="100">
        <v>2322.04</v>
      </c>
    </row>
    <row r="302" spans="1:3">
      <c r="A302" s="99">
        <v>93181</v>
      </c>
      <c r="B302" s="99" t="s">
        <v>1015</v>
      </c>
      <c r="C302" s="100">
        <v>5787.3099999999995</v>
      </c>
    </row>
    <row r="303" spans="1:3">
      <c r="A303" s="99">
        <v>93191</v>
      </c>
      <c r="B303" s="99" t="s">
        <v>1016</v>
      </c>
      <c r="C303" s="100">
        <v>16585.351130000003</v>
      </c>
    </row>
    <row r="304" spans="1:3">
      <c r="A304" s="99">
        <v>93201</v>
      </c>
      <c r="B304" s="99" t="s">
        <v>1017</v>
      </c>
      <c r="C304" s="100">
        <v>7788677.8221599991</v>
      </c>
    </row>
    <row r="305" spans="1:3">
      <c r="A305" s="99">
        <v>93204</v>
      </c>
      <c r="B305" s="99" t="s">
        <v>1019</v>
      </c>
      <c r="C305" s="100">
        <v>169803.69318300002</v>
      </c>
    </row>
    <row r="306" spans="1:3">
      <c r="A306" s="99">
        <v>93209</v>
      </c>
      <c r="B306" s="99" t="s">
        <v>1020</v>
      </c>
      <c r="C306" s="100">
        <v>2328064.71</v>
      </c>
    </row>
    <row r="307" spans="1:3">
      <c r="A307" s="99">
        <v>93211</v>
      </c>
      <c r="B307" s="99" t="s">
        <v>1021</v>
      </c>
      <c r="C307" s="100">
        <v>10204404.299964001</v>
      </c>
    </row>
    <row r="308" spans="1:3">
      <c r="A308" s="99">
        <v>93212</v>
      </c>
      <c r="B308" s="99" t="s">
        <v>1022</v>
      </c>
      <c r="C308" s="100">
        <v>244862.24000000002</v>
      </c>
    </row>
    <row r="309" spans="1:3">
      <c r="A309" s="99">
        <v>93219</v>
      </c>
      <c r="B309" s="99" t="s">
        <v>1023</v>
      </c>
      <c r="C309" s="100">
        <v>129471.25</v>
      </c>
    </row>
    <row r="310" spans="1:3">
      <c r="A310" s="99">
        <v>93301</v>
      </c>
      <c r="B310" s="99" t="s">
        <v>1024</v>
      </c>
      <c r="C310" s="100">
        <v>1097553.0844130001</v>
      </c>
    </row>
    <row r="311" spans="1:3">
      <c r="A311" s="99">
        <v>93304</v>
      </c>
      <c r="B311" s="99" t="s">
        <v>1025</v>
      </c>
      <c r="C311" s="100">
        <v>20870.68</v>
      </c>
    </row>
    <row r="312" spans="1:3">
      <c r="A312" s="99">
        <v>93305</v>
      </c>
      <c r="B312" s="99" t="s">
        <v>1026</v>
      </c>
      <c r="C312" s="100">
        <v>20942.880000000005</v>
      </c>
    </row>
    <row r="313" spans="1:3">
      <c r="A313" s="99">
        <v>93309</v>
      </c>
      <c r="B313" s="99" t="s">
        <v>1027</v>
      </c>
      <c r="C313" s="100">
        <v>99537.62</v>
      </c>
    </row>
    <row r="314" spans="1:3">
      <c r="A314" s="99">
        <v>93311</v>
      </c>
      <c r="B314" s="99" t="s">
        <v>1028</v>
      </c>
      <c r="C314" s="100">
        <v>566417.25526200002</v>
      </c>
    </row>
    <row r="315" spans="1:3">
      <c r="A315" s="99">
        <v>93317</v>
      </c>
      <c r="B315" s="99" t="s">
        <v>1029</v>
      </c>
      <c r="C315" s="100">
        <v>21797.59</v>
      </c>
    </row>
    <row r="316" spans="1:3">
      <c r="A316" s="99">
        <v>93321</v>
      </c>
      <c r="B316" s="99" t="s">
        <v>1030</v>
      </c>
      <c r="C316" s="100">
        <v>3382414.9624279998</v>
      </c>
    </row>
    <row r="317" spans="1:3">
      <c r="A317" s="99">
        <v>93323</v>
      </c>
      <c r="B317" s="99" t="s">
        <v>1031</v>
      </c>
      <c r="C317" s="100">
        <v>9435.43</v>
      </c>
    </row>
    <row r="318" spans="1:3">
      <c r="A318" s="99">
        <v>93331</v>
      </c>
      <c r="B318" s="99" t="s">
        <v>1032</v>
      </c>
      <c r="C318" s="100">
        <v>65250.991547999991</v>
      </c>
    </row>
    <row r="319" spans="1:3">
      <c r="A319" s="99">
        <v>93333</v>
      </c>
      <c r="B319" s="99" t="s">
        <v>1033</v>
      </c>
      <c r="C319" s="100">
        <v>102856.65</v>
      </c>
    </row>
    <row r="320" spans="1:3">
      <c r="A320" s="99">
        <v>93341</v>
      </c>
      <c r="B320" s="99" t="s">
        <v>1034</v>
      </c>
      <c r="C320" s="100">
        <v>14255.500000000002</v>
      </c>
    </row>
    <row r="321" spans="1:3">
      <c r="A321" s="99">
        <v>93351</v>
      </c>
      <c r="B321" s="99" t="s">
        <v>1035</v>
      </c>
      <c r="C321" s="100">
        <v>9872.36</v>
      </c>
    </row>
    <row r="322" spans="1:3">
      <c r="A322" s="99">
        <v>93401</v>
      </c>
      <c r="B322" s="99" t="s">
        <v>1036</v>
      </c>
      <c r="C322" s="100">
        <v>6853482.3910630001</v>
      </c>
    </row>
    <row r="323" spans="1:3">
      <c r="A323" s="99">
        <v>93402</v>
      </c>
      <c r="B323" s="99" t="s">
        <v>1037</v>
      </c>
      <c r="C323" s="100">
        <v>39484.560000000005</v>
      </c>
    </row>
    <row r="324" spans="1:3">
      <c r="A324" s="99">
        <v>93406</v>
      </c>
      <c r="B324" s="99" t="s">
        <v>1038</v>
      </c>
      <c r="C324" s="100">
        <v>258772.74000000005</v>
      </c>
    </row>
    <row r="325" spans="1:3">
      <c r="A325" s="99">
        <v>93411</v>
      </c>
      <c r="B325" s="99" t="s">
        <v>1040</v>
      </c>
      <c r="C325" s="100">
        <v>8965258.650173001</v>
      </c>
    </row>
    <row r="326" spans="1:3">
      <c r="A326" s="99">
        <v>93413</v>
      </c>
      <c r="B326" s="99" t="s">
        <v>1041</v>
      </c>
      <c r="C326" s="100">
        <v>379792.76</v>
      </c>
    </row>
    <row r="327" spans="1:3">
      <c r="A327" s="99">
        <v>93417</v>
      </c>
      <c r="B327" s="99" t="s">
        <v>1042</v>
      </c>
      <c r="C327" s="100">
        <v>186966.16600900004</v>
      </c>
    </row>
    <row r="328" spans="1:3">
      <c r="A328" s="99">
        <v>93421</v>
      </c>
      <c r="B328" s="99" t="s">
        <v>1043</v>
      </c>
      <c r="C328" s="100">
        <v>954135.29383600014</v>
      </c>
    </row>
    <row r="329" spans="1:3">
      <c r="A329" s="99">
        <v>93431</v>
      </c>
      <c r="B329" s="99" t="s">
        <v>1044</v>
      </c>
      <c r="C329" s="100">
        <v>68106.5</v>
      </c>
    </row>
    <row r="330" spans="1:3">
      <c r="A330" s="99">
        <v>93441</v>
      </c>
      <c r="B330" s="99" t="s">
        <v>1045</v>
      </c>
      <c r="C330" s="100">
        <v>78286.12</v>
      </c>
    </row>
    <row r="331" spans="1:3">
      <c r="A331" s="99">
        <v>93442</v>
      </c>
      <c r="B331" s="99" t="s">
        <v>1046</v>
      </c>
      <c r="C331" s="100">
        <v>65679.22</v>
      </c>
    </row>
    <row r="332" spans="1:3">
      <c r="A332" s="99">
        <v>93451</v>
      </c>
      <c r="B332" s="99" t="s">
        <v>1047</v>
      </c>
      <c r="C332" s="100">
        <v>45716</v>
      </c>
    </row>
    <row r="333" spans="1:3">
      <c r="A333" s="99">
        <v>93461</v>
      </c>
      <c r="B333" s="99" t="s">
        <v>1048</v>
      </c>
      <c r="C333" s="100">
        <v>8763.8399999999983</v>
      </c>
    </row>
    <row r="334" spans="1:3">
      <c r="A334" s="99">
        <v>93471</v>
      </c>
      <c r="B334" s="99" t="s">
        <v>1049</v>
      </c>
      <c r="C334" s="100">
        <v>8892.32</v>
      </c>
    </row>
    <row r="335" spans="1:3">
      <c r="A335" s="99">
        <v>93501</v>
      </c>
      <c r="B335" s="99" t="s">
        <v>1050</v>
      </c>
      <c r="C335" s="100">
        <v>1804126.7719120001</v>
      </c>
    </row>
    <row r="336" spans="1:3">
      <c r="A336" s="99">
        <v>93511</v>
      </c>
      <c r="B336" s="99" t="s">
        <v>1051</v>
      </c>
      <c r="C336" s="100">
        <v>50009.618969000003</v>
      </c>
    </row>
    <row r="337" spans="1:3">
      <c r="A337" s="99">
        <v>93517</v>
      </c>
      <c r="B337" s="99" t="s">
        <v>1052</v>
      </c>
      <c r="C337" s="100">
        <v>4538.6400000000012</v>
      </c>
    </row>
    <row r="338" spans="1:3">
      <c r="A338" s="99">
        <v>93521</v>
      </c>
      <c r="B338" s="99" t="s">
        <v>1053</v>
      </c>
      <c r="C338" s="100">
        <v>223246.95448500002</v>
      </c>
    </row>
    <row r="339" spans="1:3">
      <c r="A339" s="99">
        <v>93527</v>
      </c>
      <c r="B339" s="99" t="s">
        <v>1054</v>
      </c>
      <c r="C339" s="100">
        <v>11035.699999999999</v>
      </c>
    </row>
    <row r="340" spans="1:3">
      <c r="A340" s="99">
        <v>93531</v>
      </c>
      <c r="B340" s="99" t="s">
        <v>1055</v>
      </c>
      <c r="C340" s="100">
        <v>11788.282504000001</v>
      </c>
    </row>
    <row r="341" spans="1:3">
      <c r="A341" s="99">
        <v>93537</v>
      </c>
      <c r="B341" s="99" t="s">
        <v>1056</v>
      </c>
      <c r="C341" s="100">
        <v>4241.51</v>
      </c>
    </row>
    <row r="342" spans="1:3">
      <c r="A342" s="99">
        <v>93541</v>
      </c>
      <c r="B342" s="99" t="s">
        <v>1057</v>
      </c>
      <c r="C342" s="100">
        <v>52146.455994000004</v>
      </c>
    </row>
    <row r="343" spans="1:3">
      <c r="A343" s="99">
        <v>93601</v>
      </c>
      <c r="B343" s="99" t="s">
        <v>1058</v>
      </c>
      <c r="C343" s="100">
        <v>5558464.9640430007</v>
      </c>
    </row>
    <row r="344" spans="1:3">
      <c r="A344" s="99">
        <v>93602</v>
      </c>
      <c r="B344" s="99" t="s">
        <v>1059</v>
      </c>
      <c r="C344" s="100">
        <v>91453.953639000014</v>
      </c>
    </row>
    <row r="345" spans="1:3">
      <c r="A345" s="99">
        <v>93604</v>
      </c>
      <c r="B345" s="99" t="s">
        <v>1926</v>
      </c>
      <c r="C345" s="100">
        <v>16372.449999999999</v>
      </c>
    </row>
    <row r="346" spans="1:3">
      <c r="A346" s="99">
        <v>93609</v>
      </c>
      <c r="B346" s="99" t="s">
        <v>1060</v>
      </c>
      <c r="C346" s="100">
        <v>1828677.9100000001</v>
      </c>
    </row>
    <row r="347" spans="1:3">
      <c r="A347" s="99">
        <v>93610</v>
      </c>
      <c r="B347" s="99" t="s">
        <v>1061</v>
      </c>
      <c r="C347" s="100">
        <v>6459.07</v>
      </c>
    </row>
    <row r="348" spans="1:3">
      <c r="A348" s="99">
        <v>93611</v>
      </c>
      <c r="B348" s="99" t="s">
        <v>1062</v>
      </c>
      <c r="C348" s="100">
        <v>3375519.6241810001</v>
      </c>
    </row>
    <row r="349" spans="1:3">
      <c r="A349" s="99">
        <v>93617</v>
      </c>
      <c r="B349" s="99" t="s">
        <v>1063</v>
      </c>
      <c r="C349" s="100">
        <v>53912.520000000004</v>
      </c>
    </row>
    <row r="350" spans="1:3">
      <c r="A350" s="99">
        <v>93618</v>
      </c>
      <c r="B350" s="99" t="s">
        <v>1064</v>
      </c>
      <c r="C350" s="100">
        <v>25051.18</v>
      </c>
    </row>
    <row r="351" spans="1:3">
      <c r="A351" s="99">
        <v>93621</v>
      </c>
      <c r="B351" s="99" t="s">
        <v>1065</v>
      </c>
      <c r="C351" s="100">
        <v>458650.89991600008</v>
      </c>
    </row>
    <row r="352" spans="1:3">
      <c r="A352" s="99">
        <v>93623</v>
      </c>
      <c r="B352" s="99" t="s">
        <v>1066</v>
      </c>
      <c r="C352" s="100">
        <v>8365.67</v>
      </c>
    </row>
    <row r="353" spans="1:3">
      <c r="A353" s="99">
        <v>93631</v>
      </c>
      <c r="B353" s="99" t="s">
        <v>1067</v>
      </c>
      <c r="C353" s="100">
        <v>105757.276954</v>
      </c>
    </row>
    <row r="354" spans="1:3">
      <c r="A354" s="99">
        <v>93641</v>
      </c>
      <c r="B354" s="99" t="s">
        <v>1068</v>
      </c>
      <c r="C354" s="100">
        <v>208215.98405499998</v>
      </c>
    </row>
    <row r="355" spans="1:3">
      <c r="A355" s="99">
        <v>93647</v>
      </c>
      <c r="B355" s="99" t="s">
        <v>1069</v>
      </c>
      <c r="C355" s="100">
        <v>9827.48</v>
      </c>
    </row>
    <row r="356" spans="1:3">
      <c r="A356" s="99">
        <v>93651</v>
      </c>
      <c r="B356" s="99" t="s">
        <v>1070</v>
      </c>
      <c r="C356" s="100">
        <v>203987.41549400002</v>
      </c>
    </row>
    <row r="357" spans="1:3">
      <c r="A357" s="99">
        <v>93661</v>
      </c>
      <c r="B357" s="99" t="s">
        <v>1071</v>
      </c>
      <c r="C357" s="100">
        <v>66947.608879000007</v>
      </c>
    </row>
    <row r="358" spans="1:3">
      <c r="A358" s="99">
        <v>93671</v>
      </c>
      <c r="B358" s="99" t="s">
        <v>1072</v>
      </c>
      <c r="C358" s="100">
        <v>187843.31096800003</v>
      </c>
    </row>
    <row r="359" spans="1:3">
      <c r="A359" s="99">
        <v>93681</v>
      </c>
      <c r="B359" s="99" t="s">
        <v>1073</v>
      </c>
      <c r="C359" s="100">
        <v>59051.143360000002</v>
      </c>
    </row>
    <row r="360" spans="1:3">
      <c r="A360" s="99">
        <v>93691</v>
      </c>
      <c r="B360" s="99" t="s">
        <v>1074</v>
      </c>
      <c r="C360" s="100">
        <v>498869.78561799997</v>
      </c>
    </row>
    <row r="361" spans="1:3">
      <c r="A361" s="99">
        <v>93701</v>
      </c>
      <c r="B361" s="99" t="s">
        <v>1075</v>
      </c>
      <c r="C361" s="100">
        <v>219010.728294</v>
      </c>
    </row>
    <row r="362" spans="1:3">
      <c r="A362" s="99">
        <v>93704</v>
      </c>
      <c r="B362" s="99" t="s">
        <v>1076</v>
      </c>
      <c r="C362" s="100">
        <v>2030.1600000000005</v>
      </c>
    </row>
    <row r="363" spans="1:3">
      <c r="A363" s="99">
        <v>93801</v>
      </c>
      <c r="B363" s="99" t="s">
        <v>1077</v>
      </c>
      <c r="C363" s="100">
        <v>205695.24369</v>
      </c>
    </row>
    <row r="364" spans="1:3">
      <c r="A364" s="99">
        <v>93803</v>
      </c>
      <c r="B364" s="99" t="s">
        <v>1078</v>
      </c>
      <c r="C364" s="100">
        <v>48471.5</v>
      </c>
    </row>
    <row r="365" spans="1:3">
      <c r="A365" s="99">
        <v>93806</v>
      </c>
      <c r="B365" s="99" t="s">
        <v>1079</v>
      </c>
      <c r="C365" s="100">
        <v>42552.42</v>
      </c>
    </row>
    <row r="366" spans="1:3">
      <c r="A366" s="99">
        <v>93821</v>
      </c>
      <c r="B366" s="99" t="s">
        <v>1080</v>
      </c>
      <c r="C366" s="100">
        <v>54684.81</v>
      </c>
    </row>
    <row r="367" spans="1:3">
      <c r="A367" s="99">
        <v>93901</v>
      </c>
      <c r="B367" s="99" t="s">
        <v>1081</v>
      </c>
      <c r="C367" s="100">
        <v>959406.95326500002</v>
      </c>
    </row>
    <row r="368" spans="1:3">
      <c r="A368" s="99">
        <v>93904</v>
      </c>
      <c r="B368" s="99" t="s">
        <v>1082</v>
      </c>
      <c r="C368" s="100">
        <v>20649.140000000003</v>
      </c>
    </row>
    <row r="369" spans="1:3">
      <c r="A369" s="99">
        <v>93906</v>
      </c>
      <c r="B369" s="99" t="s">
        <v>1083</v>
      </c>
      <c r="C369" s="100">
        <v>1531380.48</v>
      </c>
    </row>
    <row r="370" spans="1:3">
      <c r="A370" s="99">
        <v>93908</v>
      </c>
      <c r="B370" s="99" t="s">
        <v>1084</v>
      </c>
      <c r="C370" s="100">
        <v>243682.52000000002</v>
      </c>
    </row>
    <row r="371" spans="1:3">
      <c r="A371" s="99">
        <v>93910</v>
      </c>
      <c r="B371" s="99" t="s">
        <v>1085</v>
      </c>
      <c r="C371" s="100">
        <v>124943.65000000001</v>
      </c>
    </row>
    <row r="372" spans="1:3">
      <c r="A372" s="99">
        <v>93911</v>
      </c>
      <c r="B372" s="99" t="s">
        <v>1086</v>
      </c>
      <c r="C372" s="100">
        <v>321853.03904099995</v>
      </c>
    </row>
    <row r="373" spans="1:3">
      <c r="A373" s="99">
        <v>93913</v>
      </c>
      <c r="B373" s="99" t="s">
        <v>1087</v>
      </c>
      <c r="C373" s="100">
        <v>32427.699999999997</v>
      </c>
    </row>
    <row r="374" spans="1:3">
      <c r="A374" s="99">
        <v>93914</v>
      </c>
      <c r="B374" s="99" t="s">
        <v>1088</v>
      </c>
      <c r="C374" s="100">
        <v>6762.079999999999</v>
      </c>
    </row>
    <row r="375" spans="1:3">
      <c r="A375" s="99">
        <v>93921</v>
      </c>
      <c r="B375" s="99" t="s">
        <v>1089</v>
      </c>
      <c r="C375" s="100">
        <v>137542.52074600002</v>
      </c>
    </row>
    <row r="376" spans="1:3">
      <c r="A376" s="99">
        <v>93931</v>
      </c>
      <c r="B376" s="99" t="s">
        <v>1090</v>
      </c>
      <c r="C376" s="100">
        <v>238501.86077800003</v>
      </c>
    </row>
    <row r="377" spans="1:3">
      <c r="A377" s="99">
        <v>94001</v>
      </c>
      <c r="B377" s="99" t="s">
        <v>1091</v>
      </c>
      <c r="C377" s="100">
        <v>461320.33028500003</v>
      </c>
    </row>
    <row r="378" spans="1:3">
      <c r="A378" s="99">
        <v>94002</v>
      </c>
      <c r="B378" s="99" t="s">
        <v>1092</v>
      </c>
      <c r="C378" s="100">
        <v>4785.87</v>
      </c>
    </row>
    <row r="379" spans="1:3">
      <c r="A379" s="99">
        <v>94004</v>
      </c>
      <c r="B379" s="99" t="s">
        <v>1093</v>
      </c>
      <c r="C379" s="100">
        <v>4601.3499999999995</v>
      </c>
    </row>
    <row r="380" spans="1:3">
      <c r="A380" s="99">
        <v>94005</v>
      </c>
      <c r="B380" s="99" t="s">
        <v>1094</v>
      </c>
      <c r="C380" s="100">
        <v>2452.52</v>
      </c>
    </row>
    <row r="381" spans="1:3">
      <c r="A381" s="99">
        <v>94011</v>
      </c>
      <c r="B381" s="99" t="s">
        <v>1095</v>
      </c>
      <c r="C381" s="100">
        <v>11857.95</v>
      </c>
    </row>
    <row r="382" spans="1:3">
      <c r="A382" s="99">
        <v>94021</v>
      </c>
      <c r="B382" s="99" t="s">
        <v>1096</v>
      </c>
      <c r="C382" s="100">
        <v>48100.269094000003</v>
      </c>
    </row>
    <row r="383" spans="1:3">
      <c r="A383" s="99">
        <v>94031</v>
      </c>
      <c r="B383" s="99" t="s">
        <v>1097</v>
      </c>
      <c r="C383" s="100">
        <v>7086.7199999999993</v>
      </c>
    </row>
    <row r="384" spans="1:3">
      <c r="A384" s="99">
        <v>94101</v>
      </c>
      <c r="B384" s="99" t="s">
        <v>1098</v>
      </c>
      <c r="C384" s="100">
        <v>9082874.8624590002</v>
      </c>
    </row>
    <row r="385" spans="1:3">
      <c r="A385" s="99">
        <v>94102</v>
      </c>
      <c r="B385" s="99" t="s">
        <v>1099</v>
      </c>
      <c r="C385" s="100">
        <v>109831.07999999999</v>
      </c>
    </row>
    <row r="386" spans="1:3">
      <c r="A386" s="99">
        <v>94108</v>
      </c>
      <c r="B386" s="99" t="s">
        <v>1100</v>
      </c>
      <c r="C386" s="100">
        <v>141635.36000000002</v>
      </c>
    </row>
    <row r="387" spans="1:3">
      <c r="A387" s="99">
        <v>94109</v>
      </c>
      <c r="B387" s="99" t="s">
        <v>1101</v>
      </c>
      <c r="C387" s="100">
        <v>34308.53</v>
      </c>
    </row>
    <row r="388" spans="1:3">
      <c r="A388" s="99">
        <v>94111</v>
      </c>
      <c r="B388" s="99" t="s">
        <v>1102</v>
      </c>
      <c r="C388" s="100">
        <v>12055216.264962999</v>
      </c>
    </row>
    <row r="389" spans="1:3">
      <c r="A389" s="99">
        <v>94112</v>
      </c>
      <c r="B389" s="99" t="s">
        <v>1103</v>
      </c>
      <c r="C389" s="100">
        <v>76727.231180999996</v>
      </c>
    </row>
    <row r="390" spans="1:3">
      <c r="A390" s="99">
        <v>94117</v>
      </c>
      <c r="B390" s="99" t="s">
        <v>1104</v>
      </c>
      <c r="C390" s="100">
        <v>182766.8</v>
      </c>
    </row>
    <row r="391" spans="1:3">
      <c r="A391" s="99">
        <v>94118</v>
      </c>
      <c r="B391" s="99" t="s">
        <v>1105</v>
      </c>
      <c r="C391" s="100">
        <v>64547.740000000005</v>
      </c>
    </row>
    <row r="392" spans="1:3">
      <c r="A392" s="99">
        <v>94121</v>
      </c>
      <c r="B392" s="99" t="s">
        <v>1106</v>
      </c>
      <c r="C392" s="100">
        <v>5648220.7370290002</v>
      </c>
    </row>
    <row r="393" spans="1:3">
      <c r="A393" s="99">
        <v>94127</v>
      </c>
      <c r="B393" s="99" t="s">
        <v>1107</v>
      </c>
      <c r="C393" s="100">
        <v>77193.210000000006</v>
      </c>
    </row>
    <row r="394" spans="1:3">
      <c r="A394" s="99">
        <v>94131</v>
      </c>
      <c r="B394" s="99" t="s">
        <v>1108</v>
      </c>
      <c r="C394" s="100">
        <v>104615.19999999998</v>
      </c>
    </row>
    <row r="395" spans="1:3">
      <c r="A395" s="99">
        <v>94151</v>
      </c>
      <c r="B395" s="99" t="s">
        <v>1109</v>
      </c>
      <c r="C395" s="100">
        <v>198961.67816499999</v>
      </c>
    </row>
    <row r="396" spans="1:3">
      <c r="A396" s="99">
        <v>94157</v>
      </c>
      <c r="B396" s="99" t="s">
        <v>1110</v>
      </c>
      <c r="C396" s="100">
        <v>5164.3099999999995</v>
      </c>
    </row>
    <row r="397" spans="1:3">
      <c r="A397" s="99">
        <v>94161</v>
      </c>
      <c r="B397" s="99" t="s">
        <v>1111</v>
      </c>
      <c r="C397" s="100">
        <v>22912.52</v>
      </c>
    </row>
    <row r="398" spans="1:3">
      <c r="A398" s="99">
        <v>94168</v>
      </c>
      <c r="B398" s="99" t="s">
        <v>1112</v>
      </c>
      <c r="C398" s="100">
        <v>22540.27</v>
      </c>
    </row>
    <row r="399" spans="1:3">
      <c r="A399" s="99">
        <v>94171</v>
      </c>
      <c r="B399" s="99" t="s">
        <v>1113</v>
      </c>
      <c r="C399" s="100">
        <v>32386.33</v>
      </c>
    </row>
    <row r="400" spans="1:3">
      <c r="A400" s="99">
        <v>94172</v>
      </c>
      <c r="B400" s="99" t="s">
        <v>1114</v>
      </c>
      <c r="C400" s="100">
        <v>104259.5</v>
      </c>
    </row>
    <row r="401" spans="1:3">
      <c r="A401" s="99">
        <v>94201</v>
      </c>
      <c r="B401" s="99" t="s">
        <v>1115</v>
      </c>
      <c r="C401" s="100">
        <v>1635512.1504599999</v>
      </c>
    </row>
    <row r="402" spans="1:3">
      <c r="A402" s="99">
        <v>94204</v>
      </c>
      <c r="B402" s="99" t="s">
        <v>1116</v>
      </c>
      <c r="C402" s="100">
        <v>18471.009999999998</v>
      </c>
    </row>
    <row r="403" spans="1:3">
      <c r="A403" s="99">
        <v>94205</v>
      </c>
      <c r="B403" s="99" t="s">
        <v>1117</v>
      </c>
      <c r="C403" s="100">
        <v>11769.760000000002</v>
      </c>
    </row>
    <row r="404" spans="1:3">
      <c r="A404" s="99">
        <v>94209</v>
      </c>
      <c r="B404" s="99" t="s">
        <v>1118</v>
      </c>
      <c r="C404" s="100">
        <v>156050.97000000003</v>
      </c>
    </row>
    <row r="405" spans="1:3">
      <c r="A405" s="99">
        <v>94211</v>
      </c>
      <c r="B405" s="99" t="s">
        <v>1119</v>
      </c>
      <c r="C405" s="100">
        <v>63943.500736000002</v>
      </c>
    </row>
    <row r="406" spans="1:3">
      <c r="A406" s="99">
        <v>94221</v>
      </c>
      <c r="B406" s="99" t="s">
        <v>1120</v>
      </c>
      <c r="C406" s="100">
        <v>486207.10264300008</v>
      </c>
    </row>
    <row r="407" spans="1:3">
      <c r="A407" s="99">
        <v>94231</v>
      </c>
      <c r="B407" s="99" t="s">
        <v>1121</v>
      </c>
      <c r="C407" s="100">
        <v>89897.245670000004</v>
      </c>
    </row>
    <row r="408" spans="1:3">
      <c r="A408" s="99">
        <v>94241</v>
      </c>
      <c r="B408" s="99" t="s">
        <v>1122</v>
      </c>
      <c r="C408" s="100">
        <v>55125.916629999992</v>
      </c>
    </row>
    <row r="409" spans="1:3">
      <c r="A409" s="99">
        <v>94251</v>
      </c>
      <c r="B409" s="99" t="s">
        <v>1123</v>
      </c>
      <c r="C409" s="100">
        <v>9677.590000000002</v>
      </c>
    </row>
    <row r="410" spans="1:3">
      <c r="A410" s="99">
        <v>94261</v>
      </c>
      <c r="B410" s="99" t="s">
        <v>1124</v>
      </c>
      <c r="C410" s="100">
        <v>19409.425063999999</v>
      </c>
    </row>
    <row r="411" spans="1:3">
      <c r="A411" s="99">
        <v>94301</v>
      </c>
      <c r="B411" s="99" t="s">
        <v>1125</v>
      </c>
      <c r="C411" s="100">
        <v>3065671.0452169999</v>
      </c>
    </row>
    <row r="412" spans="1:3">
      <c r="A412" s="99">
        <v>94311</v>
      </c>
      <c r="B412" s="99" t="s">
        <v>1126</v>
      </c>
      <c r="C412" s="100">
        <v>371563.20278200001</v>
      </c>
    </row>
    <row r="413" spans="1:3">
      <c r="A413" s="99">
        <v>94313</v>
      </c>
      <c r="B413" s="99" t="s">
        <v>1127</v>
      </c>
      <c r="C413" s="100">
        <v>14194.599999999999</v>
      </c>
    </row>
    <row r="414" spans="1:3">
      <c r="A414" s="99">
        <v>94317</v>
      </c>
      <c r="B414" s="99" t="s">
        <v>1128</v>
      </c>
      <c r="C414" s="100">
        <v>10719.349999999999</v>
      </c>
    </row>
    <row r="415" spans="1:3">
      <c r="A415" s="99">
        <v>94321</v>
      </c>
      <c r="B415" s="99" t="s">
        <v>1129</v>
      </c>
      <c r="C415" s="100">
        <v>120686.365425</v>
      </c>
    </row>
    <row r="416" spans="1:3">
      <c r="A416" s="99">
        <v>94331</v>
      </c>
      <c r="B416" s="99" t="s">
        <v>1130</v>
      </c>
      <c r="C416" s="100">
        <v>79182.118302999996</v>
      </c>
    </row>
    <row r="417" spans="1:3">
      <c r="A417" s="99">
        <v>94341</v>
      </c>
      <c r="B417" s="99" t="s">
        <v>1131</v>
      </c>
      <c r="C417" s="100">
        <v>38623.656577000002</v>
      </c>
    </row>
    <row r="418" spans="1:3">
      <c r="A418" s="99">
        <v>94347</v>
      </c>
      <c r="B418" s="99" t="s">
        <v>1132</v>
      </c>
      <c r="C418" s="100">
        <v>6483.8899999999985</v>
      </c>
    </row>
    <row r="419" spans="1:3">
      <c r="A419" s="99">
        <v>94351</v>
      </c>
      <c r="B419" s="99" t="s">
        <v>1133</v>
      </c>
      <c r="C419" s="100">
        <v>111785.12687100001</v>
      </c>
    </row>
    <row r="420" spans="1:3">
      <c r="A420" s="99">
        <v>94401</v>
      </c>
      <c r="B420" s="99" t="s">
        <v>1134</v>
      </c>
      <c r="C420" s="100">
        <v>1613627.2014980002</v>
      </c>
    </row>
    <row r="421" spans="1:3">
      <c r="A421" s="99">
        <v>94403</v>
      </c>
      <c r="B421" s="99" t="s">
        <v>1136</v>
      </c>
      <c r="C421" s="100">
        <v>16659.03</v>
      </c>
    </row>
    <row r="422" spans="1:3">
      <c r="A422" s="99">
        <v>94408</v>
      </c>
      <c r="B422" s="99" t="s">
        <v>1137</v>
      </c>
      <c r="C422" s="100">
        <v>17934.949999999997</v>
      </c>
    </row>
    <row r="423" spans="1:3">
      <c r="A423" s="99">
        <v>94411</v>
      </c>
      <c r="B423" s="99" t="s">
        <v>1138</v>
      </c>
      <c r="C423" s="100">
        <v>585990.54008499999</v>
      </c>
    </row>
    <row r="424" spans="1:3">
      <c r="A424" s="99">
        <v>94412</v>
      </c>
      <c r="B424" s="99" t="s">
        <v>1139</v>
      </c>
      <c r="C424" s="100">
        <v>14142.96</v>
      </c>
    </row>
    <row r="425" spans="1:3">
      <c r="A425" s="99">
        <v>94421</v>
      </c>
      <c r="B425" s="99" t="s">
        <v>1140</v>
      </c>
      <c r="C425" s="100">
        <v>77726.415248000005</v>
      </c>
    </row>
    <row r="426" spans="1:3">
      <c r="A426" s="99">
        <v>94427</v>
      </c>
      <c r="B426" s="99" t="s">
        <v>1141</v>
      </c>
      <c r="C426" s="100">
        <v>10757.710000000001</v>
      </c>
    </row>
    <row r="427" spans="1:3">
      <c r="A427" s="99">
        <v>94428</v>
      </c>
      <c r="B427" s="99" t="s">
        <v>1142</v>
      </c>
      <c r="C427" s="100">
        <v>36851.619999999995</v>
      </c>
    </row>
    <row r="428" spans="1:3">
      <c r="A428" s="99">
        <v>94431</v>
      </c>
      <c r="B428" s="99" t="s">
        <v>1143</v>
      </c>
      <c r="C428" s="100">
        <v>304045.349315</v>
      </c>
    </row>
    <row r="429" spans="1:3">
      <c r="A429" s="99">
        <v>94437</v>
      </c>
      <c r="B429" s="99" t="s">
        <v>1144</v>
      </c>
      <c r="C429" s="100">
        <v>13413.12</v>
      </c>
    </row>
    <row r="430" spans="1:3">
      <c r="A430" s="99">
        <v>94501</v>
      </c>
      <c r="B430" s="99" t="s">
        <v>1145</v>
      </c>
      <c r="C430" s="100">
        <v>2853870.5257239998</v>
      </c>
    </row>
    <row r="431" spans="1:3">
      <c r="A431" s="99">
        <v>94511</v>
      </c>
      <c r="B431" s="99" t="s">
        <v>1146</v>
      </c>
      <c r="C431" s="100">
        <v>890338.96471899992</v>
      </c>
    </row>
    <row r="432" spans="1:3">
      <c r="A432" s="99">
        <v>94517</v>
      </c>
      <c r="B432" s="99" t="s">
        <v>1148</v>
      </c>
      <c r="C432" s="100">
        <v>31791.789999999997</v>
      </c>
    </row>
    <row r="433" spans="1:3">
      <c r="A433" s="99">
        <v>94521</v>
      </c>
      <c r="B433" s="99" t="s">
        <v>1149</v>
      </c>
      <c r="C433" s="100">
        <v>64723.504390999995</v>
      </c>
    </row>
    <row r="434" spans="1:3">
      <c r="A434" s="99">
        <v>94527</v>
      </c>
      <c r="B434" s="99" t="s">
        <v>1150</v>
      </c>
      <c r="C434" s="100">
        <v>2986.9899999999993</v>
      </c>
    </row>
    <row r="435" spans="1:3">
      <c r="A435" s="99">
        <v>94531</v>
      </c>
      <c r="B435" s="99" t="s">
        <v>1151</v>
      </c>
      <c r="C435" s="100">
        <v>12698.630000000003</v>
      </c>
    </row>
    <row r="436" spans="1:3">
      <c r="A436" s="99">
        <v>94532</v>
      </c>
      <c r="B436" s="99" t="s">
        <v>1152</v>
      </c>
      <c r="C436" s="100">
        <v>48849.310000000005</v>
      </c>
    </row>
    <row r="437" spans="1:3">
      <c r="A437" s="99">
        <v>94541</v>
      </c>
      <c r="B437" s="99" t="s">
        <v>1153</v>
      </c>
      <c r="C437" s="100">
        <v>129411.980834</v>
      </c>
    </row>
    <row r="438" spans="1:3">
      <c r="A438" s="99">
        <v>94547</v>
      </c>
      <c r="B438" s="99" t="s">
        <v>1154</v>
      </c>
      <c r="C438" s="100">
        <v>9094.68</v>
      </c>
    </row>
    <row r="439" spans="1:3">
      <c r="A439" s="99">
        <v>94551</v>
      </c>
      <c r="B439" s="99" t="s">
        <v>1155</v>
      </c>
      <c r="C439" s="100">
        <v>25718.100000000006</v>
      </c>
    </row>
    <row r="440" spans="1:3">
      <c r="A440" s="99">
        <v>94601</v>
      </c>
      <c r="B440" s="99" t="s">
        <v>1156</v>
      </c>
      <c r="C440" s="100">
        <v>537000.54036600003</v>
      </c>
    </row>
    <row r="441" spans="1:3">
      <c r="A441" s="99">
        <v>94604</v>
      </c>
      <c r="B441" s="99" t="s">
        <v>1157</v>
      </c>
      <c r="C441" s="100">
        <v>14502</v>
      </c>
    </row>
    <row r="442" spans="1:3">
      <c r="A442" s="99">
        <v>94606</v>
      </c>
      <c r="B442" s="99" t="s">
        <v>1158</v>
      </c>
      <c r="C442" s="100">
        <v>102034.16</v>
      </c>
    </row>
    <row r="443" spans="1:3">
      <c r="A443" s="99">
        <v>94611</v>
      </c>
      <c r="B443" s="99" t="s">
        <v>1159</v>
      </c>
      <c r="C443" s="100">
        <v>187145.61872799997</v>
      </c>
    </row>
    <row r="444" spans="1:3">
      <c r="A444" s="99">
        <v>94621</v>
      </c>
      <c r="B444" s="99" t="s">
        <v>1160</v>
      </c>
      <c r="C444" s="100">
        <v>69631.412878000003</v>
      </c>
    </row>
    <row r="445" spans="1:3">
      <c r="A445" s="99">
        <v>94631</v>
      </c>
      <c r="B445" s="99" t="s">
        <v>1161</v>
      </c>
      <c r="C445" s="100">
        <v>20549.580000000002</v>
      </c>
    </row>
    <row r="446" spans="1:3">
      <c r="A446" s="99">
        <v>94641</v>
      </c>
      <c r="B446" s="99" t="s">
        <v>1162</v>
      </c>
      <c r="C446" s="100">
        <v>4762.91</v>
      </c>
    </row>
    <row r="447" spans="1:3">
      <c r="A447" s="99">
        <v>94701</v>
      </c>
      <c r="B447" s="99" t="s">
        <v>1163</v>
      </c>
      <c r="C447" s="100">
        <v>1155891.8361340002</v>
      </c>
    </row>
    <row r="448" spans="1:3">
      <c r="A448" s="99">
        <v>94704</v>
      </c>
      <c r="B448" s="99" t="s">
        <v>1164</v>
      </c>
      <c r="C448" s="100">
        <v>8058.28</v>
      </c>
    </row>
    <row r="449" spans="1:3">
      <c r="A449" s="99">
        <v>94711</v>
      </c>
      <c r="B449" s="99" t="s">
        <v>1165</v>
      </c>
      <c r="C449" s="100">
        <v>168065.41291000001</v>
      </c>
    </row>
    <row r="450" spans="1:3">
      <c r="A450" s="99">
        <v>94801</v>
      </c>
      <c r="B450" s="99" t="s">
        <v>1166</v>
      </c>
      <c r="C450" s="100">
        <v>345761.46429200005</v>
      </c>
    </row>
    <row r="451" spans="1:3">
      <c r="A451" s="99">
        <v>94804</v>
      </c>
      <c r="B451" s="99" t="s">
        <v>1167</v>
      </c>
      <c r="C451" s="100">
        <v>2753.83</v>
      </c>
    </row>
    <row r="452" spans="1:3">
      <c r="A452" s="99">
        <v>94812</v>
      </c>
      <c r="B452" s="99" t="s">
        <v>1168</v>
      </c>
      <c r="C452" s="100">
        <v>20766.419999999998</v>
      </c>
    </row>
    <row r="453" spans="1:3">
      <c r="A453" s="99">
        <v>94901</v>
      </c>
      <c r="B453" s="99" t="s">
        <v>1169</v>
      </c>
      <c r="C453" s="100">
        <v>3458043.8182469993</v>
      </c>
    </row>
    <row r="454" spans="1:3">
      <c r="A454" s="99">
        <v>94908</v>
      </c>
      <c r="B454" s="99" t="s">
        <v>1170</v>
      </c>
      <c r="C454" s="100">
        <v>3618.6299999999992</v>
      </c>
    </row>
    <row r="455" spans="1:3">
      <c r="A455" s="99">
        <v>94911</v>
      </c>
      <c r="B455" s="99" t="s">
        <v>1171</v>
      </c>
      <c r="C455" s="100">
        <v>1437336.824187</v>
      </c>
    </row>
    <row r="456" spans="1:3">
      <c r="A456" s="99">
        <v>94917</v>
      </c>
      <c r="B456" s="99" t="s">
        <v>1172</v>
      </c>
      <c r="C456" s="100">
        <v>27816</v>
      </c>
    </row>
    <row r="457" spans="1:3">
      <c r="A457" s="99">
        <v>94921</v>
      </c>
      <c r="B457" s="99" t="s">
        <v>1173</v>
      </c>
      <c r="C457" s="100">
        <v>1763659.6569050001</v>
      </c>
    </row>
    <row r="458" spans="1:3">
      <c r="A458" s="99">
        <v>94923</v>
      </c>
      <c r="B458" s="99" t="s">
        <v>1174</v>
      </c>
      <c r="C458" s="100">
        <v>15966.150000000001</v>
      </c>
    </row>
    <row r="459" spans="1:3">
      <c r="A459" s="99">
        <v>94927</v>
      </c>
      <c r="B459" s="99" t="s">
        <v>1175</v>
      </c>
      <c r="C459" s="100">
        <v>20061.34</v>
      </c>
    </row>
    <row r="460" spans="1:3">
      <c r="A460" s="99">
        <v>94931</v>
      </c>
      <c r="B460" s="99" t="s">
        <v>1176</v>
      </c>
      <c r="C460" s="100">
        <v>101032.52410899999</v>
      </c>
    </row>
    <row r="461" spans="1:3">
      <c r="A461" s="99">
        <v>94937</v>
      </c>
      <c r="B461" s="99" t="s">
        <v>1927</v>
      </c>
      <c r="C461" s="100">
        <v>1620.49</v>
      </c>
    </row>
    <row r="462" spans="1:3">
      <c r="A462" s="99">
        <v>94941</v>
      </c>
      <c r="B462" s="99" t="s">
        <v>1177</v>
      </c>
      <c r="C462" s="100">
        <v>248810.82</v>
      </c>
    </row>
    <row r="463" spans="1:3">
      <c r="A463" s="99">
        <v>94947</v>
      </c>
      <c r="B463" s="99" t="s">
        <v>1928</v>
      </c>
      <c r="C463" s="100">
        <v>1125.1799999999998</v>
      </c>
    </row>
    <row r="464" spans="1:3">
      <c r="A464" s="99">
        <v>95001</v>
      </c>
      <c r="B464" s="99" t="s">
        <v>1178</v>
      </c>
      <c r="C464" s="100">
        <v>1230480.6535930003</v>
      </c>
    </row>
    <row r="465" spans="1:3">
      <c r="A465" s="99">
        <v>95002</v>
      </c>
      <c r="B465" s="99" t="s">
        <v>1179</v>
      </c>
      <c r="C465" s="100">
        <v>106939.05000000002</v>
      </c>
    </row>
    <row r="466" spans="1:3">
      <c r="A466" s="99">
        <v>95005</v>
      </c>
      <c r="B466" s="99" t="s">
        <v>1180</v>
      </c>
      <c r="C466" s="100">
        <v>115399.53000000001</v>
      </c>
    </row>
    <row r="467" spans="1:3">
      <c r="A467" s="99">
        <v>95008</v>
      </c>
      <c r="B467" s="99" t="s">
        <v>1181</v>
      </c>
      <c r="C467" s="100">
        <v>68090.84</v>
      </c>
    </row>
    <row r="468" spans="1:3">
      <c r="A468" s="99">
        <v>95009</v>
      </c>
      <c r="B468" s="99" t="s">
        <v>1182</v>
      </c>
      <c r="C468" s="100">
        <v>2002290.1400000001</v>
      </c>
    </row>
    <row r="469" spans="1:3">
      <c r="A469" s="99">
        <v>95011</v>
      </c>
      <c r="B469" s="99" t="s">
        <v>1183</v>
      </c>
      <c r="C469" s="100">
        <v>89092.706494000013</v>
      </c>
    </row>
    <row r="470" spans="1:3">
      <c r="A470" s="99">
        <v>95017</v>
      </c>
      <c r="B470" s="99" t="s">
        <v>1184</v>
      </c>
      <c r="C470" s="100">
        <v>17647.989999999998</v>
      </c>
    </row>
    <row r="471" spans="1:3">
      <c r="A471" s="99">
        <v>95101</v>
      </c>
      <c r="B471" s="99" t="s">
        <v>1185</v>
      </c>
      <c r="C471" s="100">
        <v>3950764.8615039992</v>
      </c>
    </row>
    <row r="472" spans="1:3">
      <c r="A472" s="99">
        <v>95103</v>
      </c>
      <c r="B472" s="99" t="s">
        <v>1186</v>
      </c>
      <c r="C472" s="100">
        <v>30191.260000000002</v>
      </c>
    </row>
    <row r="473" spans="1:3">
      <c r="A473" s="99">
        <v>95104</v>
      </c>
      <c r="B473" s="99" t="s">
        <v>1187</v>
      </c>
      <c r="C473" s="100">
        <v>61268.85</v>
      </c>
    </row>
    <row r="474" spans="1:3">
      <c r="A474" s="99">
        <v>95105</v>
      </c>
      <c r="B474" s="99" t="s">
        <v>1188</v>
      </c>
      <c r="C474" s="100">
        <v>35729.96</v>
      </c>
    </row>
    <row r="475" spans="1:3">
      <c r="A475" s="99">
        <v>95106</v>
      </c>
      <c r="B475" s="99" t="s">
        <v>1189</v>
      </c>
      <c r="C475" s="100">
        <v>8073.19</v>
      </c>
    </row>
    <row r="476" spans="1:3">
      <c r="A476" s="99">
        <v>95110</v>
      </c>
      <c r="B476" s="99" t="s">
        <v>1190</v>
      </c>
      <c r="C476" s="100">
        <v>1943181.54</v>
      </c>
    </row>
    <row r="477" spans="1:3">
      <c r="A477" s="99">
        <v>95111</v>
      </c>
      <c r="B477" s="99" t="s">
        <v>1191</v>
      </c>
      <c r="C477" s="100">
        <v>496429.25490499998</v>
      </c>
    </row>
    <row r="478" spans="1:3">
      <c r="A478" s="99">
        <v>95113</v>
      </c>
      <c r="B478" s="99" t="s">
        <v>1192</v>
      </c>
      <c r="C478" s="100">
        <v>74446.760000000009</v>
      </c>
    </row>
    <row r="479" spans="1:3">
      <c r="A479" s="99">
        <v>95121</v>
      </c>
      <c r="B479" s="99" t="s">
        <v>1193</v>
      </c>
      <c r="C479" s="100">
        <v>242310.35318199999</v>
      </c>
    </row>
    <row r="480" spans="1:3">
      <c r="A480" s="99">
        <v>95122</v>
      </c>
      <c r="B480" s="99" t="s">
        <v>1194</v>
      </c>
      <c r="C480" s="100">
        <v>4596.5411730000005</v>
      </c>
    </row>
    <row r="481" spans="1:3">
      <c r="A481" s="99">
        <v>95123</v>
      </c>
      <c r="B481" s="99" t="s">
        <v>1195</v>
      </c>
      <c r="C481" s="100">
        <v>29610.61</v>
      </c>
    </row>
    <row r="482" spans="1:3">
      <c r="A482" s="99">
        <v>95131</v>
      </c>
      <c r="B482" s="99" t="s">
        <v>1196</v>
      </c>
      <c r="C482" s="100">
        <v>811028.85985000001</v>
      </c>
    </row>
    <row r="483" spans="1:3">
      <c r="A483" s="99">
        <v>95141</v>
      </c>
      <c r="B483" s="99" t="s">
        <v>1197</v>
      </c>
      <c r="C483" s="100">
        <v>148359.611664</v>
      </c>
    </row>
    <row r="484" spans="1:3">
      <c r="A484" s="99">
        <v>95151</v>
      </c>
      <c r="B484" s="99" t="s">
        <v>1198</v>
      </c>
      <c r="C484" s="100">
        <v>51039.874939999994</v>
      </c>
    </row>
    <row r="485" spans="1:3">
      <c r="A485" s="99">
        <v>95161</v>
      </c>
      <c r="B485" s="99" t="s">
        <v>1199</v>
      </c>
      <c r="C485" s="100">
        <v>41171.789152000005</v>
      </c>
    </row>
    <row r="486" spans="1:3">
      <c r="A486" s="99">
        <v>95171</v>
      </c>
      <c r="B486" s="99" t="s">
        <v>1200</v>
      </c>
      <c r="C486" s="100">
        <v>47352.804093999999</v>
      </c>
    </row>
    <row r="487" spans="1:3">
      <c r="A487" s="99">
        <v>95181</v>
      </c>
      <c r="B487" s="99" t="s">
        <v>1201</v>
      </c>
      <c r="C487" s="100">
        <v>32737.288664</v>
      </c>
    </row>
    <row r="488" spans="1:3">
      <c r="A488" s="99">
        <v>95191</v>
      </c>
      <c r="B488" s="99" t="s">
        <v>1202</v>
      </c>
      <c r="C488" s="100">
        <v>35124.826186999999</v>
      </c>
    </row>
    <row r="489" spans="1:3">
      <c r="A489" s="99">
        <v>95201</v>
      </c>
      <c r="B489" s="99" t="s">
        <v>1203</v>
      </c>
      <c r="C489" s="100">
        <v>324382.05364799994</v>
      </c>
    </row>
    <row r="490" spans="1:3">
      <c r="A490" s="99">
        <v>95204</v>
      </c>
      <c r="B490" s="99" t="s">
        <v>1204</v>
      </c>
      <c r="C490" s="100">
        <v>6627.0800000000008</v>
      </c>
    </row>
    <row r="491" spans="1:3">
      <c r="A491" s="99">
        <v>95205</v>
      </c>
      <c r="B491" s="99" t="s">
        <v>1205</v>
      </c>
      <c r="C491" s="100">
        <v>2149.2399999999998</v>
      </c>
    </row>
    <row r="492" spans="1:3">
      <c r="A492" s="99">
        <v>95211</v>
      </c>
      <c r="B492" s="99" t="s">
        <v>1206</v>
      </c>
      <c r="C492" s="100">
        <v>3345.4599999999996</v>
      </c>
    </row>
    <row r="493" spans="1:3">
      <c r="A493" s="99">
        <v>95221</v>
      </c>
      <c r="B493" s="99" t="s">
        <v>1207</v>
      </c>
      <c r="C493" s="100">
        <v>24433.534168000002</v>
      </c>
    </row>
    <row r="494" spans="1:3">
      <c r="A494" s="99">
        <v>95301</v>
      </c>
      <c r="B494" s="99" t="s">
        <v>1208</v>
      </c>
      <c r="C494" s="100">
        <v>1161384.1130920001</v>
      </c>
    </row>
    <row r="495" spans="1:3">
      <c r="A495" s="99">
        <v>95311</v>
      </c>
      <c r="B495" s="99" t="s">
        <v>1209</v>
      </c>
      <c r="C495" s="100">
        <v>1353611.392217</v>
      </c>
    </row>
    <row r="496" spans="1:3">
      <c r="A496" s="99">
        <v>95317</v>
      </c>
      <c r="B496" s="99" t="s">
        <v>1210</v>
      </c>
      <c r="C496" s="100">
        <v>27496.489999999998</v>
      </c>
    </row>
    <row r="497" spans="1:3">
      <c r="A497" s="99">
        <v>95321</v>
      </c>
      <c r="B497" s="99" t="s">
        <v>1211</v>
      </c>
      <c r="C497" s="100">
        <v>27476.224288000005</v>
      </c>
    </row>
    <row r="498" spans="1:3">
      <c r="A498" s="99">
        <v>95401</v>
      </c>
      <c r="B498" s="99" t="s">
        <v>1212</v>
      </c>
      <c r="C498" s="100">
        <v>1369020.6456399998</v>
      </c>
    </row>
    <row r="499" spans="1:3">
      <c r="A499" s="99">
        <v>95404</v>
      </c>
      <c r="B499" s="99" t="s">
        <v>1213</v>
      </c>
      <c r="C499" s="100">
        <v>23078.973571000002</v>
      </c>
    </row>
    <row r="500" spans="1:3">
      <c r="A500" s="99">
        <v>95405</v>
      </c>
      <c r="B500" s="99" t="s">
        <v>1214</v>
      </c>
      <c r="C500" s="100">
        <v>19532.45</v>
      </c>
    </row>
    <row r="501" spans="1:3">
      <c r="A501" s="99">
        <v>95411</v>
      </c>
      <c r="B501" s="99" t="s">
        <v>1215</v>
      </c>
      <c r="C501" s="100">
        <v>1098228.3794750001</v>
      </c>
    </row>
    <row r="502" spans="1:3">
      <c r="A502" s="99">
        <v>95413</v>
      </c>
      <c r="B502" s="99" t="s">
        <v>1217</v>
      </c>
      <c r="C502" s="100">
        <v>130765.98</v>
      </c>
    </row>
    <row r="503" spans="1:3">
      <c r="A503" s="99">
        <v>95415</v>
      </c>
      <c r="B503" s="99" t="s">
        <v>1218</v>
      </c>
      <c r="C503" s="100">
        <v>31391.19</v>
      </c>
    </row>
    <row r="504" spans="1:3">
      <c r="A504" s="99">
        <v>95421</v>
      </c>
      <c r="B504" s="99" t="s">
        <v>1219</v>
      </c>
      <c r="C504" s="100">
        <v>19590.324793999996</v>
      </c>
    </row>
    <row r="505" spans="1:3">
      <c r="A505" s="99">
        <v>95431</v>
      </c>
      <c r="B505" s="99" t="s">
        <v>1220</v>
      </c>
      <c r="C505" s="100">
        <v>66123.850000000006</v>
      </c>
    </row>
    <row r="506" spans="1:3">
      <c r="A506" s="99">
        <v>95501</v>
      </c>
      <c r="B506" s="99" t="s">
        <v>1221</v>
      </c>
      <c r="C506" s="100">
        <v>2309249.2911149999</v>
      </c>
    </row>
    <row r="507" spans="1:3">
      <c r="A507" s="99">
        <v>95504</v>
      </c>
      <c r="B507" s="99" t="s">
        <v>1222</v>
      </c>
      <c r="C507" s="100">
        <v>10287.07</v>
      </c>
    </row>
    <row r="508" spans="1:3">
      <c r="A508" s="99">
        <v>95511</v>
      </c>
      <c r="B508" s="99" t="s">
        <v>1223</v>
      </c>
      <c r="C508" s="100">
        <v>509340.01929100003</v>
      </c>
    </row>
    <row r="509" spans="1:3">
      <c r="A509" s="99">
        <v>95513</v>
      </c>
      <c r="B509" s="99" t="s">
        <v>1224</v>
      </c>
      <c r="C509" s="100">
        <v>34360.18</v>
      </c>
    </row>
    <row r="510" spans="1:3">
      <c r="A510" s="99">
        <v>95517</v>
      </c>
      <c r="B510" s="99" t="s">
        <v>1225</v>
      </c>
      <c r="C510" s="100">
        <v>11099.99</v>
      </c>
    </row>
    <row r="511" spans="1:3">
      <c r="A511" s="99">
        <v>95601</v>
      </c>
      <c r="B511" s="99" t="s">
        <v>1226</v>
      </c>
      <c r="C511" s="100">
        <v>1263012.7079670001</v>
      </c>
    </row>
    <row r="512" spans="1:3">
      <c r="A512" s="99">
        <v>95611</v>
      </c>
      <c r="B512" s="99" t="s">
        <v>1227</v>
      </c>
      <c r="C512" s="100">
        <v>204619.09372800001</v>
      </c>
    </row>
    <row r="513" spans="1:3">
      <c r="A513" s="99">
        <v>95617</v>
      </c>
      <c r="B513" s="99" t="s">
        <v>1228</v>
      </c>
      <c r="C513" s="100">
        <v>8730.31</v>
      </c>
    </row>
    <row r="514" spans="1:3">
      <c r="A514" s="99">
        <v>95621</v>
      </c>
      <c r="B514" s="99" t="s">
        <v>1229</v>
      </c>
      <c r="C514" s="100">
        <v>260138.01698299998</v>
      </c>
    </row>
    <row r="515" spans="1:3">
      <c r="A515" s="99">
        <v>95701</v>
      </c>
      <c r="B515" s="99" t="s">
        <v>1230</v>
      </c>
      <c r="C515" s="100">
        <v>604598.16698300012</v>
      </c>
    </row>
    <row r="516" spans="1:3">
      <c r="A516" s="99">
        <v>95711</v>
      </c>
      <c r="B516" s="99" t="s">
        <v>1231</v>
      </c>
      <c r="C516" s="100">
        <v>60575.800004000004</v>
      </c>
    </row>
    <row r="517" spans="1:3">
      <c r="A517" s="99">
        <v>95721</v>
      </c>
      <c r="B517" s="99" t="s">
        <v>1232</v>
      </c>
      <c r="C517" s="100">
        <v>31048.057717000003</v>
      </c>
    </row>
    <row r="518" spans="1:3">
      <c r="A518" s="99">
        <v>95733</v>
      </c>
      <c r="B518" s="99" t="s">
        <v>1233</v>
      </c>
      <c r="C518" s="100">
        <v>7565.119999999999</v>
      </c>
    </row>
    <row r="519" spans="1:3">
      <c r="A519" s="99">
        <v>95801</v>
      </c>
      <c r="B519" s="99" t="s">
        <v>1234</v>
      </c>
      <c r="C519" s="100">
        <v>492639.09959200007</v>
      </c>
    </row>
    <row r="520" spans="1:3">
      <c r="A520" s="99">
        <v>95802</v>
      </c>
      <c r="B520" s="99" t="s">
        <v>1235</v>
      </c>
      <c r="C520" s="100">
        <v>5777.0899999999992</v>
      </c>
    </row>
    <row r="521" spans="1:3">
      <c r="A521" s="99">
        <v>95804</v>
      </c>
      <c r="B521" s="99" t="s">
        <v>1236</v>
      </c>
      <c r="C521" s="100">
        <v>7856.5900000000011</v>
      </c>
    </row>
    <row r="522" spans="1:3">
      <c r="A522" s="99">
        <v>95811</v>
      </c>
      <c r="B522" s="99" t="s">
        <v>1237</v>
      </c>
      <c r="C522" s="100">
        <v>262611.95967199997</v>
      </c>
    </row>
    <row r="523" spans="1:3">
      <c r="A523" s="99">
        <v>95813</v>
      </c>
      <c r="B523" s="99" t="s">
        <v>1238</v>
      </c>
      <c r="C523" s="100">
        <v>71429.14</v>
      </c>
    </row>
    <row r="524" spans="1:3">
      <c r="A524" s="99">
        <v>95821</v>
      </c>
      <c r="B524" s="99" t="s">
        <v>1239</v>
      </c>
      <c r="C524" s="100">
        <v>2011.8399999999997</v>
      </c>
    </row>
    <row r="525" spans="1:3">
      <c r="A525" s="99">
        <v>95831</v>
      </c>
      <c r="B525" s="99" t="s">
        <v>1240</v>
      </c>
      <c r="C525" s="100">
        <v>20645.45</v>
      </c>
    </row>
    <row r="526" spans="1:3">
      <c r="A526" s="99">
        <v>95841</v>
      </c>
      <c r="B526" s="99" t="s">
        <v>1241</v>
      </c>
      <c r="C526" s="100">
        <v>12838.9</v>
      </c>
    </row>
    <row r="527" spans="1:3">
      <c r="A527" s="99">
        <v>95851</v>
      </c>
      <c r="B527" s="99" t="s">
        <v>1242</v>
      </c>
      <c r="C527" s="100">
        <v>142997.08512</v>
      </c>
    </row>
    <row r="528" spans="1:3">
      <c r="A528" s="99">
        <v>95853</v>
      </c>
      <c r="B528" s="99" t="s">
        <v>1243</v>
      </c>
      <c r="C528" s="100">
        <v>15957.000000000004</v>
      </c>
    </row>
    <row r="529" spans="1:3">
      <c r="A529" s="99">
        <v>95901</v>
      </c>
      <c r="B529" s="99" t="s">
        <v>1244</v>
      </c>
      <c r="C529" s="100">
        <v>894780.33160400006</v>
      </c>
    </row>
    <row r="530" spans="1:3">
      <c r="A530" s="99">
        <v>95908</v>
      </c>
      <c r="B530" s="99" t="s">
        <v>1245</v>
      </c>
      <c r="C530" s="100">
        <v>26699.760000000002</v>
      </c>
    </row>
    <row r="531" spans="1:3">
      <c r="A531" s="99">
        <v>95911</v>
      </c>
      <c r="B531" s="99" t="s">
        <v>1246</v>
      </c>
      <c r="C531" s="100">
        <v>256697.63696700003</v>
      </c>
    </row>
    <row r="532" spans="1:3">
      <c r="A532" s="99">
        <v>95917</v>
      </c>
      <c r="B532" s="99" t="s">
        <v>1247</v>
      </c>
      <c r="C532" s="100">
        <v>11591.120000000003</v>
      </c>
    </row>
    <row r="533" spans="1:3">
      <c r="A533" s="99">
        <v>95921</v>
      </c>
      <c r="B533" s="99" t="s">
        <v>1248</v>
      </c>
      <c r="C533" s="100">
        <v>25012.856937000004</v>
      </c>
    </row>
    <row r="534" spans="1:3">
      <c r="A534" s="99">
        <v>96001</v>
      </c>
      <c r="B534" s="99" t="s">
        <v>1249</v>
      </c>
      <c r="C534" s="100">
        <v>21493968.407084994</v>
      </c>
    </row>
    <row r="535" spans="1:3">
      <c r="A535" s="99">
        <v>96003</v>
      </c>
      <c r="B535" s="99" t="s">
        <v>1250</v>
      </c>
      <c r="C535" s="100">
        <v>717558.54999999993</v>
      </c>
    </row>
    <row r="536" spans="1:3">
      <c r="A536" s="99">
        <v>96004</v>
      </c>
      <c r="B536" s="99" t="s">
        <v>1251</v>
      </c>
      <c r="C536" s="100">
        <v>500331.48470999999</v>
      </c>
    </row>
    <row r="537" spans="1:3">
      <c r="A537" s="99">
        <v>96005</v>
      </c>
      <c r="B537" s="99" t="s">
        <v>1252</v>
      </c>
      <c r="C537" s="100">
        <v>1319874.8399999999</v>
      </c>
    </row>
    <row r="538" spans="1:3">
      <c r="A538" s="99">
        <v>96008</v>
      </c>
      <c r="B538" s="99" t="s">
        <v>1253</v>
      </c>
      <c r="C538" s="100">
        <v>2319759.66</v>
      </c>
    </row>
    <row r="539" spans="1:3">
      <c r="A539" s="99">
        <v>96009</v>
      </c>
      <c r="B539" s="99" t="s">
        <v>1254</v>
      </c>
      <c r="C539" s="100">
        <v>213205.53999999998</v>
      </c>
    </row>
    <row r="540" spans="1:3">
      <c r="A540" s="99">
        <v>96011</v>
      </c>
      <c r="B540" s="99" t="s">
        <v>1255</v>
      </c>
      <c r="C540" s="100">
        <v>30490654.807767</v>
      </c>
    </row>
    <row r="541" spans="1:3">
      <c r="A541" s="99">
        <v>96012</v>
      </c>
      <c r="B541" s="99" t="s">
        <v>1256</v>
      </c>
      <c r="C541" s="100">
        <v>1227286.1099999999</v>
      </c>
    </row>
    <row r="542" spans="1:3">
      <c r="A542" s="99">
        <v>96018</v>
      </c>
      <c r="B542" s="99" t="s">
        <v>1257</v>
      </c>
      <c r="C542" s="100">
        <v>20816.02</v>
      </c>
    </row>
    <row r="543" spans="1:3">
      <c r="A543" s="99">
        <v>96021</v>
      </c>
      <c r="B543" s="99" t="s">
        <v>1258</v>
      </c>
      <c r="C543" s="100">
        <v>348072.00480200001</v>
      </c>
    </row>
    <row r="544" spans="1:3">
      <c r="A544" s="99">
        <v>96031</v>
      </c>
      <c r="B544" s="99" t="s">
        <v>1259</v>
      </c>
      <c r="C544" s="100">
        <v>343067.936842</v>
      </c>
    </row>
    <row r="545" spans="1:3">
      <c r="A545" s="99">
        <v>96041</v>
      </c>
      <c r="B545" s="99" t="s">
        <v>1260</v>
      </c>
      <c r="C545" s="100">
        <v>760331.48927600007</v>
      </c>
    </row>
    <row r="546" spans="1:3">
      <c r="A546" s="99">
        <v>96051</v>
      </c>
      <c r="B546" s="99" t="s">
        <v>1261</v>
      </c>
      <c r="C546" s="100">
        <v>447496.18057800003</v>
      </c>
    </row>
    <row r="547" spans="1:3">
      <c r="A547" s="99">
        <v>96061</v>
      </c>
      <c r="B547" s="99" t="s">
        <v>1262</v>
      </c>
      <c r="C547" s="100">
        <v>163294.99957099999</v>
      </c>
    </row>
    <row r="548" spans="1:3">
      <c r="A548" s="99">
        <v>96071</v>
      </c>
      <c r="B548" s="99" t="s">
        <v>1263</v>
      </c>
      <c r="C548" s="100">
        <v>601187.62337699998</v>
      </c>
    </row>
    <row r="549" spans="1:3">
      <c r="A549" s="99">
        <v>96081</v>
      </c>
      <c r="B549" s="99" t="s">
        <v>1264</v>
      </c>
      <c r="C549" s="100">
        <v>241286.98223299999</v>
      </c>
    </row>
    <row r="550" spans="1:3">
      <c r="A550" s="99">
        <v>96101</v>
      </c>
      <c r="B550" s="99" t="s">
        <v>1265</v>
      </c>
      <c r="C550" s="100">
        <v>406062.01996300003</v>
      </c>
    </row>
    <row r="551" spans="1:3">
      <c r="A551" s="99">
        <v>96102</v>
      </c>
      <c r="B551" s="99" t="s">
        <v>1266</v>
      </c>
      <c r="C551" s="100">
        <v>4192.87</v>
      </c>
    </row>
    <row r="552" spans="1:3">
      <c r="A552" s="99">
        <v>96111</v>
      </c>
      <c r="B552" s="99" t="s">
        <v>1267</v>
      </c>
      <c r="C552" s="100">
        <v>88704.742486999996</v>
      </c>
    </row>
    <row r="553" spans="1:3">
      <c r="A553" s="99">
        <v>96121</v>
      </c>
      <c r="B553" s="99" t="s">
        <v>1268</v>
      </c>
      <c r="C553" s="100">
        <v>9550.9943999999996</v>
      </c>
    </row>
    <row r="554" spans="1:3">
      <c r="A554" s="99">
        <v>96201</v>
      </c>
      <c r="B554" s="99" t="s">
        <v>1269</v>
      </c>
      <c r="C554" s="100">
        <v>543344.09012499999</v>
      </c>
    </row>
    <row r="555" spans="1:3">
      <c r="A555" s="99">
        <v>96204</v>
      </c>
      <c r="B555" s="99" t="s">
        <v>1270</v>
      </c>
      <c r="C555" s="100">
        <v>9259.8799999999992</v>
      </c>
    </row>
    <row r="556" spans="1:3">
      <c r="A556" s="99">
        <v>96211</v>
      </c>
      <c r="B556" s="99" t="s">
        <v>1271</v>
      </c>
      <c r="C556" s="100">
        <v>17551.462957999996</v>
      </c>
    </row>
    <row r="557" spans="1:3">
      <c r="A557" s="99">
        <v>96221</v>
      </c>
      <c r="B557" s="99" t="s">
        <v>1272</v>
      </c>
      <c r="C557" s="100">
        <v>105993.03014400002</v>
      </c>
    </row>
    <row r="558" spans="1:3">
      <c r="A558" s="99">
        <v>96231</v>
      </c>
      <c r="B558" s="99" t="s">
        <v>1273</v>
      </c>
      <c r="C558" s="100">
        <v>49677.441377999996</v>
      </c>
    </row>
    <row r="559" spans="1:3">
      <c r="A559" s="99">
        <v>96241</v>
      </c>
      <c r="B559" s="99" t="s">
        <v>1274</v>
      </c>
      <c r="C559" s="100">
        <v>23317.604755</v>
      </c>
    </row>
    <row r="560" spans="1:3">
      <c r="A560" s="99">
        <v>96251</v>
      </c>
      <c r="B560" s="99" t="s">
        <v>1275</v>
      </c>
      <c r="C560" s="100">
        <v>40415.916930000007</v>
      </c>
    </row>
    <row r="561" spans="1:3">
      <c r="A561" s="99">
        <v>96301</v>
      </c>
      <c r="B561" s="99" t="s">
        <v>1276</v>
      </c>
      <c r="C561" s="100">
        <v>2084751.7592920002</v>
      </c>
    </row>
    <row r="562" spans="1:3">
      <c r="A562" s="99">
        <v>96302</v>
      </c>
      <c r="B562" s="99" t="s">
        <v>1277</v>
      </c>
      <c r="C562" s="100">
        <v>12087.686940999996</v>
      </c>
    </row>
    <row r="563" spans="1:3">
      <c r="A563" s="99">
        <v>96304</v>
      </c>
      <c r="B563" s="99" t="s">
        <v>1278</v>
      </c>
      <c r="C563" s="100">
        <v>28971.4</v>
      </c>
    </row>
    <row r="564" spans="1:3">
      <c r="A564" s="99">
        <v>96305</v>
      </c>
      <c r="B564" s="99" t="s">
        <v>1279</v>
      </c>
      <c r="C564" s="100">
        <v>33688.550000000003</v>
      </c>
    </row>
    <row r="565" spans="1:3">
      <c r="A565" s="99">
        <v>96310</v>
      </c>
      <c r="B565" s="99" t="s">
        <v>1280</v>
      </c>
      <c r="C565" s="100">
        <v>29357.230000000003</v>
      </c>
    </row>
    <row r="566" spans="1:3">
      <c r="A566" s="99">
        <v>96311</v>
      </c>
      <c r="B566" s="99" t="s">
        <v>1281</v>
      </c>
      <c r="C566" s="100">
        <v>609721.62974</v>
      </c>
    </row>
    <row r="567" spans="1:3">
      <c r="A567" s="99">
        <v>96312</v>
      </c>
      <c r="B567" s="99" t="s">
        <v>1282</v>
      </c>
      <c r="C567" s="100">
        <v>3479.0469029999999</v>
      </c>
    </row>
    <row r="568" spans="1:3">
      <c r="A568" s="99">
        <v>96318</v>
      </c>
      <c r="B568" s="99" t="s">
        <v>1283</v>
      </c>
      <c r="C568" s="100">
        <v>1174353.58</v>
      </c>
    </row>
    <row r="569" spans="1:3">
      <c r="A569" s="99">
        <v>96321</v>
      </c>
      <c r="B569" s="99" t="s">
        <v>1284</v>
      </c>
      <c r="C569" s="100">
        <v>19104.935067000002</v>
      </c>
    </row>
    <row r="570" spans="1:3">
      <c r="A570" s="99">
        <v>96331</v>
      </c>
      <c r="B570" s="99" t="s">
        <v>1285</v>
      </c>
      <c r="C570" s="100">
        <v>302018.86944099999</v>
      </c>
    </row>
    <row r="571" spans="1:3">
      <c r="A571" s="99">
        <v>96341</v>
      </c>
      <c r="B571" s="99" t="s">
        <v>1286</v>
      </c>
      <c r="C571" s="100">
        <v>41905.197740000011</v>
      </c>
    </row>
    <row r="572" spans="1:3">
      <c r="A572" s="99">
        <v>96351</v>
      </c>
      <c r="B572" s="99" t="s">
        <v>1287</v>
      </c>
      <c r="C572" s="100">
        <v>506250.23961299995</v>
      </c>
    </row>
    <row r="573" spans="1:3">
      <c r="A573" s="99">
        <v>96361</v>
      </c>
      <c r="B573" s="99" t="s">
        <v>1288</v>
      </c>
      <c r="C573" s="100">
        <v>26123.995480000001</v>
      </c>
    </row>
    <row r="574" spans="1:3">
      <c r="A574" s="99">
        <v>96371</v>
      </c>
      <c r="B574" s="99" t="s">
        <v>1289</v>
      </c>
      <c r="C574" s="100">
        <v>71861.673995999998</v>
      </c>
    </row>
    <row r="575" spans="1:3">
      <c r="A575" s="99">
        <v>96381</v>
      </c>
      <c r="B575" s="99" t="s">
        <v>1290</v>
      </c>
      <c r="C575" s="100">
        <v>16380.713872</v>
      </c>
    </row>
    <row r="576" spans="1:3">
      <c r="A576" s="99">
        <v>96391</v>
      </c>
      <c r="B576" s="99" t="s">
        <v>1291</v>
      </c>
      <c r="C576" s="100">
        <v>82140.897186000017</v>
      </c>
    </row>
    <row r="577" spans="1:3">
      <c r="A577" s="99">
        <v>96401</v>
      </c>
      <c r="B577" s="99" t="s">
        <v>1292</v>
      </c>
      <c r="C577" s="100">
        <v>2141133.3190009994</v>
      </c>
    </row>
    <row r="578" spans="1:3">
      <c r="A578" s="99">
        <v>96404</v>
      </c>
      <c r="B578" s="99" t="s">
        <v>1293</v>
      </c>
      <c r="C578" s="100">
        <v>62860.887276000001</v>
      </c>
    </row>
    <row r="579" spans="1:3">
      <c r="A579" s="99">
        <v>96405</v>
      </c>
      <c r="B579" s="99" t="s">
        <v>1294</v>
      </c>
      <c r="C579" s="100">
        <v>90010.86</v>
      </c>
    </row>
    <row r="580" spans="1:3">
      <c r="A580" s="99">
        <v>96411</v>
      </c>
      <c r="B580" s="99" t="s">
        <v>1295</v>
      </c>
      <c r="C580" s="100">
        <v>30766.532431</v>
      </c>
    </row>
    <row r="581" spans="1:3">
      <c r="A581" s="99">
        <v>96421</v>
      </c>
      <c r="B581" s="99" t="s">
        <v>1296</v>
      </c>
      <c r="C581" s="100">
        <v>185496.66045900001</v>
      </c>
    </row>
    <row r="582" spans="1:3">
      <c r="A582" s="99">
        <v>96431</v>
      </c>
      <c r="B582" s="99" t="s">
        <v>1297</v>
      </c>
      <c r="C582" s="100">
        <v>21848.792980999999</v>
      </c>
    </row>
    <row r="583" spans="1:3">
      <c r="A583" s="99">
        <v>96441</v>
      </c>
      <c r="B583" s="99" t="s">
        <v>1298</v>
      </c>
      <c r="C583" s="100">
        <v>15351.509181999998</v>
      </c>
    </row>
    <row r="584" spans="1:3">
      <c r="A584" s="99">
        <v>96451</v>
      </c>
      <c r="B584" s="99" t="s">
        <v>1299</v>
      </c>
      <c r="C584" s="100">
        <v>8535.726243000001</v>
      </c>
    </row>
    <row r="585" spans="1:3">
      <c r="A585" s="99">
        <v>96461</v>
      </c>
      <c r="B585" s="99" t="s">
        <v>1300</v>
      </c>
      <c r="C585" s="100">
        <v>72030.852744999997</v>
      </c>
    </row>
    <row r="586" spans="1:3">
      <c r="A586" s="99">
        <v>96501</v>
      </c>
      <c r="B586" s="99" t="s">
        <v>1301</v>
      </c>
      <c r="C586" s="100">
        <v>6947458.8347050007</v>
      </c>
    </row>
    <row r="587" spans="1:3">
      <c r="A587" s="99">
        <v>96502</v>
      </c>
      <c r="B587" s="99" t="s">
        <v>1302</v>
      </c>
      <c r="C587" s="100">
        <v>215466.08110699998</v>
      </c>
    </row>
    <row r="588" spans="1:3">
      <c r="A588" s="99">
        <v>96503</v>
      </c>
      <c r="B588" s="99" t="s">
        <v>1303</v>
      </c>
      <c r="C588" s="100">
        <v>320388.37</v>
      </c>
    </row>
    <row r="589" spans="1:3">
      <c r="A589" s="99">
        <v>96504</v>
      </c>
      <c r="B589" s="99" t="s">
        <v>1304</v>
      </c>
      <c r="C589" s="100">
        <v>206958.63999999996</v>
      </c>
    </row>
    <row r="590" spans="1:3">
      <c r="A590" s="99">
        <v>96507</v>
      </c>
      <c r="B590" s="99" t="s">
        <v>1305</v>
      </c>
      <c r="C590" s="100">
        <v>1125154.73</v>
      </c>
    </row>
    <row r="591" spans="1:3">
      <c r="A591" s="99">
        <v>96508</v>
      </c>
      <c r="B591" s="99" t="s">
        <v>1306</v>
      </c>
      <c r="C591" s="100">
        <v>11724.36</v>
      </c>
    </row>
    <row r="592" spans="1:3">
      <c r="A592" s="99">
        <v>96511</v>
      </c>
      <c r="B592" s="99" t="s">
        <v>1307</v>
      </c>
      <c r="C592" s="100">
        <v>294294.28148300003</v>
      </c>
    </row>
    <row r="593" spans="1:3">
      <c r="A593" s="99">
        <v>96512</v>
      </c>
      <c r="B593" s="99" t="s">
        <v>1308</v>
      </c>
      <c r="C593" s="100">
        <v>79724.989999999991</v>
      </c>
    </row>
    <row r="594" spans="1:3">
      <c r="A594" s="99">
        <v>96521</v>
      </c>
      <c r="B594" s="99" t="s">
        <v>1309</v>
      </c>
      <c r="C594" s="100">
        <v>427905.02673099993</v>
      </c>
    </row>
    <row r="595" spans="1:3">
      <c r="A595" s="99">
        <v>96531</v>
      </c>
      <c r="B595" s="99" t="s">
        <v>1310</v>
      </c>
      <c r="C595" s="100">
        <v>4035511.3833110007</v>
      </c>
    </row>
    <row r="596" spans="1:3">
      <c r="A596" s="99">
        <v>96541</v>
      </c>
      <c r="B596" s="99" t="s">
        <v>1311</v>
      </c>
      <c r="C596" s="100">
        <v>170179.71100099999</v>
      </c>
    </row>
    <row r="597" spans="1:3">
      <c r="A597" s="99">
        <v>96601</v>
      </c>
      <c r="B597" s="99" t="s">
        <v>1312</v>
      </c>
      <c r="C597" s="100">
        <v>825607.21463499987</v>
      </c>
    </row>
    <row r="598" spans="1:3">
      <c r="A598" s="99">
        <v>96604</v>
      </c>
      <c r="B598" s="99" t="s">
        <v>1313</v>
      </c>
      <c r="C598" s="100">
        <v>4896.1500000000005</v>
      </c>
    </row>
    <row r="599" spans="1:3">
      <c r="A599" s="99">
        <v>96611</v>
      </c>
      <c r="B599" s="99" t="s">
        <v>1314</v>
      </c>
      <c r="C599" s="100">
        <v>12911.224444000001</v>
      </c>
    </row>
    <row r="600" spans="1:3">
      <c r="A600" s="99">
        <v>96612</v>
      </c>
      <c r="B600" s="99" t="s">
        <v>1315</v>
      </c>
      <c r="C600" s="100">
        <v>31707.240000000005</v>
      </c>
    </row>
    <row r="601" spans="1:3">
      <c r="A601" s="99">
        <v>96621</v>
      </c>
      <c r="B601" s="99" t="s">
        <v>1316</v>
      </c>
      <c r="C601" s="100">
        <v>12605.038852000001</v>
      </c>
    </row>
    <row r="602" spans="1:3">
      <c r="A602" s="99">
        <v>96631</v>
      </c>
      <c r="B602" s="99" t="s">
        <v>1317</v>
      </c>
      <c r="C602" s="100">
        <v>12532.912876000002</v>
      </c>
    </row>
    <row r="603" spans="1:3">
      <c r="A603" s="99">
        <v>96641</v>
      </c>
      <c r="B603" s="99" t="s">
        <v>1318</v>
      </c>
      <c r="C603" s="100">
        <v>22010.236868000004</v>
      </c>
    </row>
    <row r="604" spans="1:3">
      <c r="A604" s="99">
        <v>96651</v>
      </c>
      <c r="B604" s="99" t="s">
        <v>1319</v>
      </c>
      <c r="C604" s="100">
        <v>9566.3388990000021</v>
      </c>
    </row>
    <row r="605" spans="1:3">
      <c r="A605" s="99">
        <v>96661</v>
      </c>
      <c r="B605" s="99" t="s">
        <v>1320</v>
      </c>
      <c r="C605" s="100">
        <v>10878.912887999999</v>
      </c>
    </row>
    <row r="606" spans="1:3">
      <c r="A606" s="99">
        <v>96671</v>
      </c>
      <c r="B606" s="99" t="s">
        <v>1321</v>
      </c>
      <c r="C606" s="100">
        <v>8886.5600000000013</v>
      </c>
    </row>
    <row r="607" spans="1:3">
      <c r="A607" s="99">
        <v>96681</v>
      </c>
      <c r="B607" s="99" t="s">
        <v>1322</v>
      </c>
      <c r="C607" s="100">
        <v>15491.968362</v>
      </c>
    </row>
    <row r="608" spans="1:3">
      <c r="A608" s="99">
        <v>96701</v>
      </c>
      <c r="B608" s="99" t="s">
        <v>1323</v>
      </c>
      <c r="C608" s="100">
        <v>3929619.0721519999</v>
      </c>
    </row>
    <row r="609" spans="1:3">
      <c r="A609" s="99">
        <v>96704</v>
      </c>
      <c r="B609" s="99" t="s">
        <v>1324</v>
      </c>
      <c r="C609" s="100">
        <v>106960.89000000001</v>
      </c>
    </row>
    <row r="610" spans="1:3">
      <c r="A610" s="99">
        <v>96708</v>
      </c>
      <c r="B610" s="99" t="s">
        <v>1325</v>
      </c>
      <c r="C610" s="100">
        <v>480567.68000000005</v>
      </c>
    </row>
    <row r="611" spans="1:3">
      <c r="A611" s="99">
        <v>96711</v>
      </c>
      <c r="B611" s="99" t="s">
        <v>1326</v>
      </c>
      <c r="C611" s="100">
        <v>1894102.2236530003</v>
      </c>
    </row>
    <row r="612" spans="1:3">
      <c r="A612" s="99">
        <v>96721</v>
      </c>
      <c r="B612" s="99" t="s">
        <v>1327</v>
      </c>
      <c r="C612" s="100">
        <v>104621.357858</v>
      </c>
    </row>
    <row r="613" spans="1:3">
      <c r="A613" s="99">
        <v>96731</v>
      </c>
      <c r="B613" s="99" t="s">
        <v>1328</v>
      </c>
      <c r="C613" s="100">
        <v>80631.545297000004</v>
      </c>
    </row>
    <row r="614" spans="1:3">
      <c r="A614" s="99">
        <v>96733</v>
      </c>
      <c r="B614" s="99" t="s">
        <v>1329</v>
      </c>
      <c r="C614" s="100">
        <v>4498.5200000000004</v>
      </c>
    </row>
    <row r="615" spans="1:3">
      <c r="A615" s="99">
        <v>96741</v>
      </c>
      <c r="B615" s="99" t="s">
        <v>1330</v>
      </c>
      <c r="C615" s="100">
        <v>44667.781470000002</v>
      </c>
    </row>
    <row r="616" spans="1:3">
      <c r="A616" s="99">
        <v>96751</v>
      </c>
      <c r="B616" s="99" t="s">
        <v>1331</v>
      </c>
      <c r="C616" s="100">
        <v>119909.425178</v>
      </c>
    </row>
    <row r="617" spans="1:3">
      <c r="A617" s="99">
        <v>96801</v>
      </c>
      <c r="B617" s="99" t="s">
        <v>1332</v>
      </c>
      <c r="C617" s="100">
        <v>3782424.636343</v>
      </c>
    </row>
    <row r="618" spans="1:3">
      <c r="A618" s="99">
        <v>96804</v>
      </c>
      <c r="B618" s="99" t="s">
        <v>1333</v>
      </c>
      <c r="C618" s="100">
        <v>109632.67000000001</v>
      </c>
    </row>
    <row r="619" spans="1:3">
      <c r="A619" s="99">
        <v>96808</v>
      </c>
      <c r="B619" s="99" t="s">
        <v>1334</v>
      </c>
      <c r="C619" s="100">
        <v>612313.69000000006</v>
      </c>
    </row>
    <row r="620" spans="1:3">
      <c r="A620" s="99">
        <v>96811</v>
      </c>
      <c r="B620" s="99" t="s">
        <v>1335</v>
      </c>
      <c r="C620" s="100">
        <v>2828120.4347119997</v>
      </c>
    </row>
    <row r="621" spans="1:3">
      <c r="A621" s="99">
        <v>96821</v>
      </c>
      <c r="B621" s="99" t="s">
        <v>1336</v>
      </c>
      <c r="C621" s="100">
        <v>606075.7397700001</v>
      </c>
    </row>
    <row r="622" spans="1:3">
      <c r="A622" s="99">
        <v>96831</v>
      </c>
      <c r="B622" s="99" t="s">
        <v>1337</v>
      </c>
      <c r="C622" s="100">
        <v>437767.04067599995</v>
      </c>
    </row>
    <row r="623" spans="1:3">
      <c r="A623" s="99">
        <v>96901</v>
      </c>
      <c r="B623" s="99" t="s">
        <v>1338</v>
      </c>
      <c r="C623" s="100">
        <v>449406.94321300002</v>
      </c>
    </row>
    <row r="624" spans="1:3">
      <c r="A624" s="99">
        <v>96911</v>
      </c>
      <c r="B624" s="99" t="s">
        <v>1339</v>
      </c>
      <c r="C624" s="100">
        <v>2452.13</v>
      </c>
    </row>
    <row r="625" spans="1:3">
      <c r="A625" s="99">
        <v>96912</v>
      </c>
      <c r="B625" s="99" t="s">
        <v>1340</v>
      </c>
      <c r="C625" s="100">
        <v>26729.281722000007</v>
      </c>
    </row>
    <row r="626" spans="1:3">
      <c r="A626" s="99">
        <v>96918</v>
      </c>
      <c r="B626" s="99" t="s">
        <v>1341</v>
      </c>
      <c r="C626" s="100">
        <v>16749.66</v>
      </c>
    </row>
    <row r="627" spans="1:3">
      <c r="A627" s="99">
        <v>97001</v>
      </c>
      <c r="B627" s="99" t="s">
        <v>1342</v>
      </c>
      <c r="C627" s="100">
        <v>742552.89960899996</v>
      </c>
    </row>
    <row r="628" spans="1:3">
      <c r="A628" s="99">
        <v>97002</v>
      </c>
      <c r="B628" s="99" t="s">
        <v>1343</v>
      </c>
      <c r="C628" s="100">
        <v>185928.28999999998</v>
      </c>
    </row>
    <row r="629" spans="1:3">
      <c r="A629" s="99">
        <v>97004</v>
      </c>
      <c r="B629" s="99" t="s">
        <v>1344</v>
      </c>
      <c r="C629" s="100">
        <v>8806.36</v>
      </c>
    </row>
    <row r="630" spans="1:3">
      <c r="A630" s="99">
        <v>97005</v>
      </c>
      <c r="B630" s="99" t="s">
        <v>1345</v>
      </c>
      <c r="C630" s="100">
        <v>14967.799999999997</v>
      </c>
    </row>
    <row r="631" spans="1:3">
      <c r="A631" s="99">
        <v>97008</v>
      </c>
      <c r="B631" s="99" t="s">
        <v>1346</v>
      </c>
      <c r="C631" s="100">
        <v>139745.68</v>
      </c>
    </row>
    <row r="632" spans="1:3">
      <c r="A632" s="99">
        <v>97011</v>
      </c>
      <c r="B632" s="99" t="s">
        <v>1348</v>
      </c>
      <c r="C632" s="100">
        <v>918572.95422800002</v>
      </c>
    </row>
    <row r="633" spans="1:3">
      <c r="A633" s="99">
        <v>97012</v>
      </c>
      <c r="B633" s="99" t="s">
        <v>1349</v>
      </c>
      <c r="C633" s="100">
        <v>18023.54</v>
      </c>
    </row>
    <row r="634" spans="1:3">
      <c r="A634" s="99">
        <v>97013</v>
      </c>
      <c r="B634" s="99" t="s">
        <v>1350</v>
      </c>
      <c r="C634" s="100">
        <v>11938.57</v>
      </c>
    </row>
    <row r="635" spans="1:3">
      <c r="A635" s="99">
        <v>97015</v>
      </c>
      <c r="B635" s="99" t="s">
        <v>1351</v>
      </c>
      <c r="C635" s="100">
        <v>25312.84</v>
      </c>
    </row>
    <row r="636" spans="1:3">
      <c r="A636" s="99">
        <v>97018</v>
      </c>
      <c r="B636" s="99" t="s">
        <v>1352</v>
      </c>
      <c r="C636" s="100">
        <v>8583.6</v>
      </c>
    </row>
    <row r="637" spans="1:3">
      <c r="A637" s="99">
        <v>97101</v>
      </c>
      <c r="B637" s="99" t="s">
        <v>1353</v>
      </c>
      <c r="C637" s="100">
        <v>1330859.4145580002</v>
      </c>
    </row>
    <row r="638" spans="1:3">
      <c r="A638" s="99">
        <v>97104</v>
      </c>
      <c r="B638" s="99" t="s">
        <v>1354</v>
      </c>
      <c r="C638" s="100">
        <v>32872.47</v>
      </c>
    </row>
    <row r="639" spans="1:3">
      <c r="A639" s="99">
        <v>97111</v>
      </c>
      <c r="B639" s="99" t="s">
        <v>1355</v>
      </c>
      <c r="C639" s="100">
        <v>129965.58805100001</v>
      </c>
    </row>
    <row r="640" spans="1:3">
      <c r="A640" s="99">
        <v>97121</v>
      </c>
      <c r="B640" s="99" t="s">
        <v>1356</v>
      </c>
      <c r="C640" s="100">
        <v>76175.851093000005</v>
      </c>
    </row>
    <row r="641" spans="1:3">
      <c r="A641" s="99">
        <v>97131</v>
      </c>
      <c r="B641" s="99" t="s">
        <v>1357</v>
      </c>
      <c r="C641" s="100">
        <v>265411.48868800001</v>
      </c>
    </row>
    <row r="642" spans="1:3">
      <c r="A642" s="99">
        <v>97201</v>
      </c>
      <c r="B642" s="99" t="s">
        <v>1358</v>
      </c>
      <c r="C642" s="100">
        <v>262236.91270099999</v>
      </c>
    </row>
    <row r="643" spans="1:3">
      <c r="A643" s="99">
        <v>97211</v>
      </c>
      <c r="B643" s="99" t="s">
        <v>1359</v>
      </c>
      <c r="C643" s="100">
        <v>77866.373638999998</v>
      </c>
    </row>
    <row r="644" spans="1:3">
      <c r="A644" s="99">
        <v>97213</v>
      </c>
      <c r="B644" s="99" t="s">
        <v>1360</v>
      </c>
      <c r="C644" s="100">
        <v>21662.31</v>
      </c>
    </row>
    <row r="645" spans="1:3">
      <c r="A645" s="99">
        <v>97217</v>
      </c>
      <c r="B645" s="99" t="s">
        <v>1361</v>
      </c>
      <c r="C645" s="100">
        <v>6450.300000000002</v>
      </c>
    </row>
    <row r="646" spans="1:3">
      <c r="A646" s="99">
        <v>97221</v>
      </c>
      <c r="B646" s="99" t="s">
        <v>1362</v>
      </c>
      <c r="C646" s="100">
        <v>6192.4740069999989</v>
      </c>
    </row>
    <row r="647" spans="1:3">
      <c r="A647" s="99">
        <v>97301</v>
      </c>
      <c r="B647" s="99" t="s">
        <v>1363</v>
      </c>
      <c r="C647" s="100">
        <v>1231027.8763949999</v>
      </c>
    </row>
    <row r="648" spans="1:3">
      <c r="A648" s="99">
        <v>97304</v>
      </c>
      <c r="B648" s="99" t="s">
        <v>1364</v>
      </c>
      <c r="C648" s="100">
        <v>13751.589999999997</v>
      </c>
    </row>
    <row r="649" spans="1:3">
      <c r="A649" s="99">
        <v>97311</v>
      </c>
      <c r="B649" s="99" t="s">
        <v>1365</v>
      </c>
      <c r="C649" s="100">
        <v>427971.83612300002</v>
      </c>
    </row>
    <row r="650" spans="1:3">
      <c r="A650" s="99">
        <v>97401</v>
      </c>
      <c r="B650" s="99" t="s">
        <v>1366</v>
      </c>
      <c r="C650" s="100">
        <v>3585248.7287780009</v>
      </c>
    </row>
    <row r="651" spans="1:3">
      <c r="A651" s="99">
        <v>97402</v>
      </c>
      <c r="B651" s="99" t="s">
        <v>1367</v>
      </c>
      <c r="C651" s="100">
        <v>26436.659999999996</v>
      </c>
    </row>
    <row r="652" spans="1:3">
      <c r="A652" s="99">
        <v>97404</v>
      </c>
      <c r="B652" s="99" t="s">
        <v>1368</v>
      </c>
      <c r="C652" s="100">
        <v>90667.806000000011</v>
      </c>
    </row>
    <row r="653" spans="1:3">
      <c r="A653" s="99">
        <v>97405</v>
      </c>
      <c r="B653" s="99" t="s">
        <v>1369</v>
      </c>
      <c r="C653" s="100">
        <v>71138.849999999991</v>
      </c>
    </row>
    <row r="654" spans="1:3">
      <c r="A654" s="99">
        <v>97408</v>
      </c>
      <c r="B654" s="99" t="s">
        <v>1370</v>
      </c>
      <c r="C654" s="100">
        <v>25129.97</v>
      </c>
    </row>
    <row r="655" spans="1:3">
      <c r="A655" s="99">
        <v>97411</v>
      </c>
      <c r="B655" s="99" t="s">
        <v>1371</v>
      </c>
      <c r="C655" s="100">
        <v>3028532.566662</v>
      </c>
    </row>
    <row r="656" spans="1:3">
      <c r="A656" s="99">
        <v>97412</v>
      </c>
      <c r="B656" s="99" t="s">
        <v>1372</v>
      </c>
      <c r="C656" s="100">
        <v>2270407.4099999997</v>
      </c>
    </row>
    <row r="657" spans="1:4">
      <c r="A657" s="99">
        <v>97413</v>
      </c>
      <c r="B657" s="99" t="s">
        <v>1373</v>
      </c>
      <c r="C657" s="100">
        <v>148219.56</v>
      </c>
    </row>
    <row r="658" spans="1:4">
      <c r="A658" s="99">
        <v>97421</v>
      </c>
      <c r="B658" s="99" t="s">
        <v>1374</v>
      </c>
      <c r="C658" s="100">
        <v>210610.71908099996</v>
      </c>
    </row>
    <row r="659" spans="1:4">
      <c r="A659" s="99">
        <v>97423</v>
      </c>
      <c r="B659" s="99" t="s">
        <v>1375</v>
      </c>
      <c r="C659" s="100">
        <v>40514.759999999995</v>
      </c>
    </row>
    <row r="660" spans="1:4">
      <c r="A660" s="99">
        <v>97431</v>
      </c>
      <c r="B660" s="99" t="s">
        <v>1376</v>
      </c>
      <c r="C660" s="100">
        <v>50715.322505000004</v>
      </c>
    </row>
    <row r="661" spans="1:4">
      <c r="A661" s="99">
        <v>97441</v>
      </c>
      <c r="B661" s="99" t="s">
        <v>1377</v>
      </c>
      <c r="C661" s="100">
        <v>21551.558476999999</v>
      </c>
    </row>
    <row r="662" spans="1:4">
      <c r="A662" s="99">
        <v>97451</v>
      </c>
      <c r="B662" s="99" t="s">
        <v>1378</v>
      </c>
      <c r="C662" s="100">
        <v>257107.70754799998</v>
      </c>
    </row>
    <row r="663" spans="1:4">
      <c r="A663" s="279" t="s">
        <v>3507</v>
      </c>
      <c r="B663" s="280" t="s">
        <v>1379</v>
      </c>
      <c r="C663" s="281">
        <v>234518.86547600001</v>
      </c>
    </row>
    <row r="664" spans="1:4">
      <c r="A664" s="279" t="s">
        <v>3508</v>
      </c>
      <c r="B664" s="280" t="s">
        <v>1380</v>
      </c>
      <c r="C664" s="281">
        <v>8702.26</v>
      </c>
    </row>
    <row r="665" spans="1:4" ht="15.75" thickBot="1">
      <c r="A665" s="279">
        <v>97461</v>
      </c>
      <c r="B665" s="280" t="s">
        <v>1379</v>
      </c>
      <c r="C665" s="282">
        <f>SUM(C663:C664)</f>
        <v>243221.12547600002</v>
      </c>
      <c r="D665" s="224"/>
    </row>
    <row r="666" spans="1:4" ht="15.75" thickTop="1">
      <c r="A666" s="99">
        <v>97471</v>
      </c>
      <c r="B666" s="99" t="s">
        <v>1381</v>
      </c>
      <c r="C666" s="100">
        <v>12311.93</v>
      </c>
    </row>
    <row r="667" spans="1:4">
      <c r="A667" s="99">
        <v>97481</v>
      </c>
      <c r="B667" s="99" t="s">
        <v>1382</v>
      </c>
      <c r="C667" s="100">
        <v>4407.6821639999998</v>
      </c>
    </row>
    <row r="668" spans="1:4">
      <c r="A668" s="99">
        <v>97501</v>
      </c>
      <c r="B668" s="99" t="s">
        <v>1384</v>
      </c>
      <c r="C668" s="100">
        <v>543678.36481499998</v>
      </c>
    </row>
    <row r="669" spans="1:4">
      <c r="A669" s="99">
        <v>97511</v>
      </c>
      <c r="B669" s="99" t="s">
        <v>1385</v>
      </c>
      <c r="C669" s="100">
        <v>102058.77313199999</v>
      </c>
    </row>
    <row r="670" spans="1:4">
      <c r="A670" s="99">
        <v>97521</v>
      </c>
      <c r="B670" s="99" t="s">
        <v>1386</v>
      </c>
      <c r="C670" s="100">
        <v>58326.600235000005</v>
      </c>
    </row>
    <row r="671" spans="1:4">
      <c r="A671" s="99">
        <v>97527</v>
      </c>
      <c r="B671" s="99" t="s">
        <v>1637</v>
      </c>
      <c r="C671" s="100">
        <v>3761.7300000000005</v>
      </c>
    </row>
    <row r="672" spans="1:4">
      <c r="A672" s="99">
        <v>97531</v>
      </c>
      <c r="B672" s="99" t="s">
        <v>1387</v>
      </c>
      <c r="C672" s="100">
        <v>29948.854805999999</v>
      </c>
    </row>
    <row r="673" spans="1:3">
      <c r="A673" s="99">
        <v>97601</v>
      </c>
      <c r="B673" s="99" t="s">
        <v>1388</v>
      </c>
      <c r="C673" s="100">
        <v>2483068.8812990007</v>
      </c>
    </row>
    <row r="674" spans="1:3">
      <c r="A674" s="99">
        <v>97607</v>
      </c>
      <c r="B674" s="99" t="s">
        <v>1389</v>
      </c>
      <c r="C674" s="100">
        <v>18882.38</v>
      </c>
    </row>
    <row r="675" spans="1:3">
      <c r="A675" s="99">
        <v>97611</v>
      </c>
      <c r="B675" s="99" t="s">
        <v>1390</v>
      </c>
      <c r="C675" s="100">
        <v>1130810.4033589999</v>
      </c>
    </row>
    <row r="676" spans="1:3">
      <c r="A676" s="99">
        <v>97613</v>
      </c>
      <c r="B676" s="99" t="s">
        <v>1391</v>
      </c>
      <c r="C676" s="100">
        <v>63111.42</v>
      </c>
    </row>
    <row r="677" spans="1:3">
      <c r="A677" s="99">
        <v>97621</v>
      </c>
      <c r="B677" s="99" t="s">
        <v>1392</v>
      </c>
      <c r="C677" s="100">
        <v>187775.93035600003</v>
      </c>
    </row>
    <row r="678" spans="1:3">
      <c r="A678" s="99">
        <v>97623</v>
      </c>
      <c r="B678" s="99" t="s">
        <v>1393</v>
      </c>
      <c r="C678" s="100">
        <v>11408.899999999998</v>
      </c>
    </row>
    <row r="679" spans="1:3">
      <c r="A679" s="99">
        <v>97627</v>
      </c>
      <c r="B679" s="99" t="s">
        <v>1394</v>
      </c>
      <c r="C679" s="100">
        <v>5463.33</v>
      </c>
    </row>
    <row r="680" spans="1:3">
      <c r="A680" s="99">
        <v>97631</v>
      </c>
      <c r="B680" s="99" t="s">
        <v>1395</v>
      </c>
      <c r="C680" s="100">
        <v>92382.765471000021</v>
      </c>
    </row>
    <row r="681" spans="1:3">
      <c r="A681" s="99">
        <v>97637</v>
      </c>
      <c r="B681" s="99" t="s">
        <v>1396</v>
      </c>
      <c r="C681" s="100">
        <v>3307.5600000000009</v>
      </c>
    </row>
    <row r="682" spans="1:3">
      <c r="A682" s="99">
        <v>97641</v>
      </c>
      <c r="B682" s="99" t="s">
        <v>1397</v>
      </c>
      <c r="C682" s="100">
        <v>30439.012708000002</v>
      </c>
    </row>
    <row r="683" spans="1:3">
      <c r="A683" s="99">
        <v>97651</v>
      </c>
      <c r="B683" s="99" t="s">
        <v>1398</v>
      </c>
      <c r="C683" s="100">
        <v>232693.75414700003</v>
      </c>
    </row>
    <row r="684" spans="1:3">
      <c r="A684" s="99">
        <v>97661</v>
      </c>
      <c r="B684" s="99" t="s">
        <v>1399</v>
      </c>
      <c r="C684" s="100">
        <v>25899.940000000006</v>
      </c>
    </row>
    <row r="685" spans="1:3">
      <c r="A685" s="99">
        <v>97701</v>
      </c>
      <c r="B685" s="99" t="s">
        <v>1400</v>
      </c>
      <c r="C685" s="100">
        <v>1244784.924385</v>
      </c>
    </row>
    <row r="686" spans="1:3">
      <c r="A686" s="99">
        <v>97705</v>
      </c>
      <c r="B686" s="99" t="s">
        <v>1401</v>
      </c>
      <c r="C686" s="100">
        <v>23599.25</v>
      </c>
    </row>
    <row r="687" spans="1:3">
      <c r="A687" s="99">
        <v>97711</v>
      </c>
      <c r="B687" s="99" t="s">
        <v>1402</v>
      </c>
      <c r="C687" s="100">
        <v>457009.620253</v>
      </c>
    </row>
    <row r="688" spans="1:3">
      <c r="A688" s="99">
        <v>97713</v>
      </c>
      <c r="B688" s="99" t="s">
        <v>1403</v>
      </c>
      <c r="C688" s="100">
        <v>21943.34</v>
      </c>
    </row>
    <row r="689" spans="1:3">
      <c r="A689" s="99">
        <v>97717</v>
      </c>
      <c r="B689" s="99" t="s">
        <v>1404</v>
      </c>
      <c r="C689" s="100">
        <v>2473.4699999999993</v>
      </c>
    </row>
    <row r="690" spans="1:3">
      <c r="A690" s="99">
        <v>97721</v>
      </c>
      <c r="B690" s="99" t="s">
        <v>1405</v>
      </c>
      <c r="C690" s="100">
        <v>271324.76205899997</v>
      </c>
    </row>
    <row r="691" spans="1:3">
      <c r="A691" s="99">
        <v>97727</v>
      </c>
      <c r="B691" s="99" t="s">
        <v>1406</v>
      </c>
      <c r="C691" s="100">
        <v>11178.52</v>
      </c>
    </row>
    <row r="692" spans="1:3">
      <c r="A692" s="99">
        <v>97731</v>
      </c>
      <c r="B692" s="99" t="s">
        <v>1407</v>
      </c>
      <c r="C692" s="100">
        <v>19915.729999999996</v>
      </c>
    </row>
    <row r="693" spans="1:3">
      <c r="A693" s="99">
        <v>97801</v>
      </c>
      <c r="B693" s="99" t="s">
        <v>1408</v>
      </c>
      <c r="C693" s="100">
        <v>3252423.910648</v>
      </c>
    </row>
    <row r="694" spans="1:3">
      <c r="A694" s="99">
        <v>97802</v>
      </c>
      <c r="B694" s="99" t="s">
        <v>1409</v>
      </c>
      <c r="C694" s="100">
        <v>84582.720000000001</v>
      </c>
    </row>
    <row r="695" spans="1:3">
      <c r="A695" s="99">
        <v>97803</v>
      </c>
      <c r="B695" s="99" t="s">
        <v>1410</v>
      </c>
      <c r="C695" s="100">
        <v>39273.499999999993</v>
      </c>
    </row>
    <row r="696" spans="1:3">
      <c r="A696" s="99">
        <v>97805</v>
      </c>
      <c r="B696" s="99" t="s">
        <v>1411</v>
      </c>
      <c r="C696" s="100">
        <v>42170.28</v>
      </c>
    </row>
    <row r="697" spans="1:3">
      <c r="A697" s="99">
        <v>97811</v>
      </c>
      <c r="B697" s="99" t="s">
        <v>1412</v>
      </c>
      <c r="C697" s="100">
        <v>1170323.8581959999</v>
      </c>
    </row>
    <row r="698" spans="1:3">
      <c r="A698" s="99">
        <v>97817</v>
      </c>
      <c r="B698" s="99" t="s">
        <v>1413</v>
      </c>
      <c r="C698" s="100">
        <v>13790.329999999998</v>
      </c>
    </row>
    <row r="699" spans="1:3">
      <c r="A699" s="99">
        <v>97818</v>
      </c>
      <c r="B699" s="99" t="s">
        <v>1414</v>
      </c>
      <c r="C699" s="100">
        <v>10225.219999999999</v>
      </c>
    </row>
    <row r="700" spans="1:3">
      <c r="A700" s="99">
        <v>97821</v>
      </c>
      <c r="B700" s="99" t="s">
        <v>1415</v>
      </c>
      <c r="C700" s="100">
        <v>68059.790704999992</v>
      </c>
    </row>
    <row r="701" spans="1:3">
      <c r="A701" s="99">
        <v>97823</v>
      </c>
      <c r="B701" s="99" t="s">
        <v>1416</v>
      </c>
      <c r="C701" s="100">
        <v>11236.359999999999</v>
      </c>
    </row>
    <row r="702" spans="1:3">
      <c r="A702" s="99">
        <v>97831</v>
      </c>
      <c r="B702" s="99" t="s">
        <v>1417</v>
      </c>
      <c r="C702" s="100">
        <v>86433.48887099998</v>
      </c>
    </row>
    <row r="703" spans="1:3">
      <c r="A703" s="99">
        <v>97837</v>
      </c>
      <c r="B703" s="99" t="s">
        <v>1418</v>
      </c>
      <c r="C703" s="100">
        <v>7118.4000000000015</v>
      </c>
    </row>
    <row r="704" spans="1:3">
      <c r="A704" s="99">
        <v>97840</v>
      </c>
      <c r="B704" s="99" t="s">
        <v>1419</v>
      </c>
      <c r="C704" s="100">
        <v>115822.16071700001</v>
      </c>
    </row>
    <row r="705" spans="1:3">
      <c r="A705" s="99">
        <v>97841</v>
      </c>
      <c r="B705" s="99" t="s">
        <v>1420</v>
      </c>
      <c r="C705" s="100">
        <v>6778.5800000000008</v>
      </c>
    </row>
    <row r="706" spans="1:3">
      <c r="A706" s="99">
        <v>97847</v>
      </c>
      <c r="B706" s="99" t="s">
        <v>1421</v>
      </c>
      <c r="C706" s="100">
        <v>2336.88</v>
      </c>
    </row>
    <row r="707" spans="1:3">
      <c r="A707" s="99">
        <v>97851</v>
      </c>
      <c r="B707" s="99" t="s">
        <v>1422</v>
      </c>
      <c r="C707" s="100">
        <v>115501.535951</v>
      </c>
    </row>
    <row r="708" spans="1:3">
      <c r="A708" s="99">
        <v>97853</v>
      </c>
      <c r="B708" s="99" t="s">
        <v>1423</v>
      </c>
      <c r="C708" s="100">
        <v>40633.69</v>
      </c>
    </row>
    <row r="709" spans="1:3">
      <c r="A709" s="99">
        <v>97861</v>
      </c>
      <c r="B709" s="99" t="s">
        <v>1424</v>
      </c>
      <c r="C709" s="100">
        <v>26837.610023000001</v>
      </c>
    </row>
    <row r="710" spans="1:3">
      <c r="A710" s="99">
        <v>97871</v>
      </c>
      <c r="B710" s="99" t="s">
        <v>1425</v>
      </c>
      <c r="C710" s="100">
        <v>295105.89454799995</v>
      </c>
    </row>
    <row r="711" spans="1:3">
      <c r="A711" s="99">
        <v>97877</v>
      </c>
      <c r="B711" s="99" t="s">
        <v>1426</v>
      </c>
      <c r="C711" s="100">
        <v>2779.9199999999992</v>
      </c>
    </row>
    <row r="712" spans="1:3">
      <c r="A712" s="99">
        <v>97901</v>
      </c>
      <c r="B712" s="99" t="s">
        <v>1427</v>
      </c>
      <c r="C712" s="100">
        <v>2084645.477739</v>
      </c>
    </row>
    <row r="713" spans="1:3">
      <c r="A713" s="99">
        <v>97911</v>
      </c>
      <c r="B713" s="99" t="s">
        <v>1428</v>
      </c>
      <c r="C713" s="100">
        <v>644048.34705700004</v>
      </c>
    </row>
    <row r="714" spans="1:3">
      <c r="A714" s="99">
        <v>97913</v>
      </c>
      <c r="B714" s="99" t="s">
        <v>1429</v>
      </c>
      <c r="C714" s="100">
        <v>27203.829999999998</v>
      </c>
    </row>
    <row r="715" spans="1:3">
      <c r="A715" s="99">
        <v>97917</v>
      </c>
      <c r="B715" s="99" t="s">
        <v>1430</v>
      </c>
      <c r="C715" s="100">
        <v>13764.359999999999</v>
      </c>
    </row>
    <row r="716" spans="1:3">
      <c r="A716" s="99">
        <v>97921</v>
      </c>
      <c r="B716" s="99" t="s">
        <v>1431</v>
      </c>
      <c r="C716" s="100">
        <v>111642.365724</v>
      </c>
    </row>
    <row r="717" spans="1:3">
      <c r="A717" s="99">
        <v>97931</v>
      </c>
      <c r="B717" s="99" t="s">
        <v>1432</v>
      </c>
      <c r="C717" s="100">
        <v>33195.635265999998</v>
      </c>
    </row>
    <row r="718" spans="1:3">
      <c r="A718" s="99">
        <v>97941</v>
      </c>
      <c r="B718" s="99" t="s">
        <v>1433</v>
      </c>
      <c r="C718" s="100">
        <v>115094.14091699998</v>
      </c>
    </row>
    <row r="719" spans="1:3">
      <c r="A719" s="99">
        <v>97947</v>
      </c>
      <c r="B719" s="99" t="s">
        <v>1434</v>
      </c>
      <c r="C719" s="100">
        <v>13148.629999999997</v>
      </c>
    </row>
    <row r="720" spans="1:3">
      <c r="A720" s="99">
        <v>97948</v>
      </c>
      <c r="B720" s="99" t="s">
        <v>1435</v>
      </c>
      <c r="C720" s="100">
        <v>11621.970000000001</v>
      </c>
    </row>
    <row r="721" spans="1:3">
      <c r="A721" s="99">
        <v>97951</v>
      </c>
      <c r="B721" s="99" t="s">
        <v>1436</v>
      </c>
      <c r="C721" s="100">
        <v>633574.64743600006</v>
      </c>
    </row>
    <row r="722" spans="1:3">
      <c r="A722" s="99">
        <v>97957</v>
      </c>
      <c r="B722" s="99" t="s">
        <v>1437</v>
      </c>
      <c r="C722" s="100">
        <v>13052.769999999999</v>
      </c>
    </row>
    <row r="723" spans="1:3">
      <c r="A723" s="99">
        <v>98001</v>
      </c>
      <c r="B723" s="99" t="s">
        <v>1438</v>
      </c>
      <c r="C723" s="100">
        <v>2616829.3018160001</v>
      </c>
    </row>
    <row r="724" spans="1:3">
      <c r="A724" s="99">
        <v>98002</v>
      </c>
      <c r="B724" s="99" t="s">
        <v>1439</v>
      </c>
      <c r="C724" s="100">
        <v>4737.4800000000005</v>
      </c>
    </row>
    <row r="725" spans="1:3">
      <c r="A725" s="99">
        <v>98003</v>
      </c>
      <c r="B725" s="99" t="s">
        <v>1440</v>
      </c>
      <c r="C725" s="100">
        <v>72872.41</v>
      </c>
    </row>
    <row r="726" spans="1:3">
      <c r="A726" s="99">
        <v>98004</v>
      </c>
      <c r="B726" s="99" t="s">
        <v>1441</v>
      </c>
      <c r="C726" s="100">
        <v>81879.760000000009</v>
      </c>
    </row>
    <row r="727" spans="1:3">
      <c r="A727" s="99">
        <v>98008</v>
      </c>
      <c r="B727" s="99" t="s">
        <v>1442</v>
      </c>
      <c r="C727" s="100">
        <v>3731.2499999999995</v>
      </c>
    </row>
    <row r="728" spans="1:3">
      <c r="A728" s="99">
        <v>98011</v>
      </c>
      <c r="B728" s="99" t="s">
        <v>1443</v>
      </c>
      <c r="C728" s="100">
        <v>1591661.2954150001</v>
      </c>
    </row>
    <row r="729" spans="1:3">
      <c r="A729" s="99">
        <v>98013</v>
      </c>
      <c r="B729" s="99" t="s">
        <v>1444</v>
      </c>
      <c r="C729" s="100">
        <v>141746.74</v>
      </c>
    </row>
    <row r="730" spans="1:3">
      <c r="A730" s="99">
        <v>98021</v>
      </c>
      <c r="B730" s="99" t="s">
        <v>1445</v>
      </c>
      <c r="C730" s="100">
        <v>27245.126285000002</v>
      </c>
    </row>
    <row r="731" spans="1:3">
      <c r="A731" s="99">
        <v>98023</v>
      </c>
      <c r="B731" s="99" t="s">
        <v>1446</v>
      </c>
      <c r="C731" s="100">
        <v>7199.7799999999979</v>
      </c>
    </row>
    <row r="732" spans="1:3">
      <c r="A732" s="99">
        <v>98031</v>
      </c>
      <c r="B732" s="99" t="s">
        <v>1447</v>
      </c>
      <c r="C732" s="100">
        <v>74400.470067999995</v>
      </c>
    </row>
    <row r="733" spans="1:3">
      <c r="A733" s="99">
        <v>98041</v>
      </c>
      <c r="B733" s="99" t="s">
        <v>1448</v>
      </c>
      <c r="C733" s="100">
        <v>95602.720112999988</v>
      </c>
    </row>
    <row r="734" spans="1:3">
      <c r="A734" s="99">
        <v>98051</v>
      </c>
      <c r="B734" s="99" t="s">
        <v>1449</v>
      </c>
      <c r="C734" s="100">
        <v>141617.46240799999</v>
      </c>
    </row>
    <row r="735" spans="1:3">
      <c r="A735" s="99">
        <v>98061</v>
      </c>
      <c r="B735" s="99" t="s">
        <v>1450</v>
      </c>
      <c r="C735" s="100">
        <v>55302.944039000002</v>
      </c>
    </row>
    <row r="736" spans="1:3">
      <c r="A736" s="99">
        <v>98071</v>
      </c>
      <c r="B736" s="99" t="s">
        <v>1451</v>
      </c>
      <c r="C736" s="100">
        <v>30464.183948000002</v>
      </c>
    </row>
    <row r="737" spans="1:3">
      <c r="A737" s="99">
        <v>98081</v>
      </c>
      <c r="B737" s="99" t="s">
        <v>1452</v>
      </c>
      <c r="C737" s="100">
        <v>8013.5100000000011</v>
      </c>
    </row>
    <row r="738" spans="1:3">
      <c r="A738" s="99">
        <v>98091</v>
      </c>
      <c r="B738" s="99" t="s">
        <v>1453</v>
      </c>
      <c r="C738" s="100">
        <v>27903.107450999996</v>
      </c>
    </row>
    <row r="739" spans="1:3">
      <c r="A739" s="99">
        <v>98101</v>
      </c>
      <c r="B739" s="99" t="s">
        <v>1454</v>
      </c>
      <c r="C739" s="100">
        <v>1264504.6722260001</v>
      </c>
    </row>
    <row r="740" spans="1:3">
      <c r="A740" s="99">
        <v>98102</v>
      </c>
      <c r="B740" s="99" t="s">
        <v>1455</v>
      </c>
      <c r="C740" s="100">
        <v>75316.099999999991</v>
      </c>
    </row>
    <row r="741" spans="1:3">
      <c r="A741" s="99">
        <v>98103</v>
      </c>
      <c r="B741" s="99" t="s">
        <v>1456</v>
      </c>
      <c r="C741" s="100">
        <v>250406.86000000002</v>
      </c>
    </row>
    <row r="742" spans="1:3">
      <c r="A742" s="99">
        <v>98107</v>
      </c>
      <c r="B742" s="99" t="s">
        <v>1457</v>
      </c>
      <c r="C742" s="100">
        <v>9422.630000000001</v>
      </c>
    </row>
    <row r="743" spans="1:3">
      <c r="A743" s="99">
        <v>98109</v>
      </c>
      <c r="B743" s="99" t="s">
        <v>1458</v>
      </c>
      <c r="C743" s="100">
        <v>83279.889999999985</v>
      </c>
    </row>
    <row r="744" spans="1:3">
      <c r="A744" s="99">
        <v>98111</v>
      </c>
      <c r="B744" s="99" t="s">
        <v>1459</v>
      </c>
      <c r="C744" s="100">
        <v>454903.80161200004</v>
      </c>
    </row>
    <row r="745" spans="1:3">
      <c r="A745" s="99">
        <v>98113</v>
      </c>
      <c r="B745" s="99" t="s">
        <v>1460</v>
      </c>
      <c r="C745" s="100">
        <v>25001.439999999999</v>
      </c>
    </row>
    <row r="746" spans="1:3">
      <c r="A746" s="99">
        <v>98121</v>
      </c>
      <c r="B746" s="99" t="s">
        <v>1461</v>
      </c>
      <c r="C746" s="100">
        <v>95547.883016000007</v>
      </c>
    </row>
    <row r="747" spans="1:3">
      <c r="A747" s="99">
        <v>98131</v>
      </c>
      <c r="B747" s="99" t="s">
        <v>1462</v>
      </c>
      <c r="C747" s="100">
        <v>119074.043886</v>
      </c>
    </row>
    <row r="748" spans="1:3">
      <c r="A748" s="99">
        <v>98141</v>
      </c>
      <c r="B748" s="99" t="s">
        <v>1463</v>
      </c>
      <c r="C748" s="100">
        <v>135297.05971</v>
      </c>
    </row>
    <row r="749" spans="1:3">
      <c r="A749" s="99">
        <v>98147</v>
      </c>
      <c r="B749" s="99" t="s">
        <v>1464</v>
      </c>
      <c r="C749" s="100">
        <v>10696.96</v>
      </c>
    </row>
    <row r="750" spans="1:3">
      <c r="A750" s="99">
        <v>98161</v>
      </c>
      <c r="B750" s="99" t="s">
        <v>1465</v>
      </c>
      <c r="C750" s="100">
        <v>5373.2200000000012</v>
      </c>
    </row>
    <row r="751" spans="1:3">
      <c r="A751" s="99">
        <v>98201</v>
      </c>
      <c r="B751" s="99" t="s">
        <v>1466</v>
      </c>
      <c r="C751" s="100">
        <v>1507010.8795479999</v>
      </c>
    </row>
    <row r="752" spans="1:3">
      <c r="A752" s="99">
        <v>98205</v>
      </c>
      <c r="B752" s="99" t="s">
        <v>1467</v>
      </c>
      <c r="C752" s="100">
        <v>21656.190000000002</v>
      </c>
    </row>
    <row r="753" spans="1:3">
      <c r="A753" s="99">
        <v>98211</v>
      </c>
      <c r="B753" s="99" t="s">
        <v>1468</v>
      </c>
      <c r="C753" s="100">
        <v>397199.49350499996</v>
      </c>
    </row>
    <row r="754" spans="1:3">
      <c r="A754" s="99">
        <v>98218</v>
      </c>
      <c r="B754" s="99" t="s">
        <v>1469</v>
      </c>
      <c r="C754" s="100">
        <v>8526.1</v>
      </c>
    </row>
    <row r="755" spans="1:3">
      <c r="A755" s="99">
        <v>98221</v>
      </c>
      <c r="B755" s="99" t="s">
        <v>1470</v>
      </c>
      <c r="C755" s="100">
        <v>11112.230000000001</v>
      </c>
    </row>
    <row r="756" spans="1:3">
      <c r="A756" s="99">
        <v>98231</v>
      </c>
      <c r="B756" s="99" t="s">
        <v>1471</v>
      </c>
      <c r="C756" s="100">
        <v>16564.943503000002</v>
      </c>
    </row>
    <row r="757" spans="1:3">
      <c r="A757" s="99">
        <v>98237</v>
      </c>
      <c r="B757" s="99" t="s">
        <v>1472</v>
      </c>
      <c r="C757" s="100">
        <v>3817.7399999999989</v>
      </c>
    </row>
    <row r="758" spans="1:3">
      <c r="A758" s="99">
        <v>98241</v>
      </c>
      <c r="B758" s="99" t="s">
        <v>1473</v>
      </c>
      <c r="C758" s="100">
        <v>7467.9403830000001</v>
      </c>
    </row>
    <row r="759" spans="1:3">
      <c r="A759" s="99">
        <v>98251</v>
      </c>
      <c r="B759" s="99" t="s">
        <v>1474</v>
      </c>
      <c r="C759" s="100">
        <v>2395.2399999999998</v>
      </c>
    </row>
    <row r="760" spans="1:3">
      <c r="A760" s="99">
        <v>98261</v>
      </c>
      <c r="B760" s="99" t="s">
        <v>1475</v>
      </c>
      <c r="C760" s="100">
        <v>19407.86</v>
      </c>
    </row>
    <row r="761" spans="1:3">
      <c r="A761" s="99">
        <v>98271</v>
      </c>
      <c r="B761" s="99" t="s">
        <v>1476</v>
      </c>
      <c r="C761" s="100">
        <v>3923.2000000000003</v>
      </c>
    </row>
    <row r="762" spans="1:3">
      <c r="A762" s="99">
        <v>98301</v>
      </c>
      <c r="B762" s="99" t="s">
        <v>1477</v>
      </c>
      <c r="C762" s="100">
        <v>898600.60064500012</v>
      </c>
    </row>
    <row r="763" spans="1:3">
      <c r="A763" s="99">
        <v>98304</v>
      </c>
      <c r="B763" s="99" t="s">
        <v>1478</v>
      </c>
      <c r="C763" s="100">
        <v>13953.179999999997</v>
      </c>
    </row>
    <row r="764" spans="1:3">
      <c r="A764" s="99">
        <v>98308</v>
      </c>
      <c r="B764" s="99" t="s">
        <v>1479</v>
      </c>
      <c r="C764" s="100">
        <v>16525.679999999997</v>
      </c>
    </row>
    <row r="765" spans="1:3">
      <c r="A765" s="99">
        <v>98311</v>
      </c>
      <c r="B765" s="99" t="s">
        <v>1480</v>
      </c>
      <c r="C765" s="100">
        <v>482185.966518</v>
      </c>
    </row>
    <row r="766" spans="1:3">
      <c r="A766" s="99">
        <v>98313</v>
      </c>
      <c r="B766" s="99" t="s">
        <v>1481</v>
      </c>
      <c r="C766" s="100">
        <v>272640.74</v>
      </c>
    </row>
    <row r="767" spans="1:3">
      <c r="A767" s="99">
        <v>98321</v>
      </c>
      <c r="B767" s="99" t="s">
        <v>1482</v>
      </c>
      <c r="C767" s="100">
        <v>10544.287824000003</v>
      </c>
    </row>
    <row r="768" spans="1:3">
      <c r="A768" s="99">
        <v>98331</v>
      </c>
      <c r="B768" s="99" t="s">
        <v>1483</v>
      </c>
      <c r="C768" s="100">
        <v>6678.170000000001</v>
      </c>
    </row>
    <row r="769" spans="1:3">
      <c r="A769" s="99">
        <v>98401</v>
      </c>
      <c r="B769" s="99" t="s">
        <v>1484</v>
      </c>
      <c r="C769" s="100">
        <v>1479388.468752</v>
      </c>
    </row>
    <row r="770" spans="1:3">
      <c r="A770" s="99">
        <v>98404</v>
      </c>
      <c r="B770" s="99" t="s">
        <v>1485</v>
      </c>
      <c r="C770" s="100">
        <v>8376.9200000000019</v>
      </c>
    </row>
    <row r="771" spans="1:3">
      <c r="A771" s="99">
        <v>98411</v>
      </c>
      <c r="B771" s="99" t="s">
        <v>1486</v>
      </c>
      <c r="C771" s="100">
        <v>907144.48832900007</v>
      </c>
    </row>
    <row r="772" spans="1:3">
      <c r="A772" s="99">
        <v>98414</v>
      </c>
      <c r="B772" s="99" t="s">
        <v>1487</v>
      </c>
      <c r="C772" s="100">
        <v>18061.768465000001</v>
      </c>
    </row>
    <row r="773" spans="1:3">
      <c r="A773" s="99">
        <v>98417</v>
      </c>
      <c r="B773" s="99" t="s">
        <v>1488</v>
      </c>
      <c r="C773" s="100">
        <v>15438.2</v>
      </c>
    </row>
    <row r="774" spans="1:3">
      <c r="A774" s="99">
        <v>98421</v>
      </c>
      <c r="B774" s="99" t="s">
        <v>1489</v>
      </c>
      <c r="C774" s="100">
        <v>50452.712249000004</v>
      </c>
    </row>
    <row r="775" spans="1:3">
      <c r="A775" s="99">
        <v>98427</v>
      </c>
      <c r="B775" s="99" t="s">
        <v>1490</v>
      </c>
      <c r="C775" s="100">
        <v>3303.88</v>
      </c>
    </row>
    <row r="776" spans="1:3">
      <c r="A776" s="99">
        <v>98431</v>
      </c>
      <c r="B776" s="99" t="s">
        <v>1491</v>
      </c>
      <c r="C776" s="100">
        <v>82786.555381000013</v>
      </c>
    </row>
    <row r="777" spans="1:3">
      <c r="A777" s="99">
        <v>98441</v>
      </c>
      <c r="B777" s="99" t="s">
        <v>1492</v>
      </c>
      <c r="C777" s="100">
        <v>44922.586191000002</v>
      </c>
    </row>
    <row r="778" spans="1:3">
      <c r="A778" s="99">
        <v>98451</v>
      </c>
      <c r="B778" s="99" t="s">
        <v>1493</v>
      </c>
      <c r="C778" s="100">
        <v>26696.438054999999</v>
      </c>
    </row>
    <row r="779" spans="1:3">
      <c r="A779" s="99">
        <v>98471</v>
      </c>
      <c r="B779" s="99" t="s">
        <v>1638</v>
      </c>
      <c r="C779" s="100">
        <v>3934.46</v>
      </c>
    </row>
    <row r="780" spans="1:3">
      <c r="A780" s="99">
        <v>98481</v>
      </c>
      <c r="B780" s="99" t="s">
        <v>1494</v>
      </c>
      <c r="C780" s="100">
        <v>30725.660583000001</v>
      </c>
    </row>
    <row r="781" spans="1:3">
      <c r="A781" s="99">
        <v>98501</v>
      </c>
      <c r="B781" s="99" t="s">
        <v>1495</v>
      </c>
      <c r="C781" s="100">
        <v>837926.02255999984</v>
      </c>
    </row>
    <row r="782" spans="1:3">
      <c r="A782" s="99">
        <v>98511</v>
      </c>
      <c r="B782" s="99" t="s">
        <v>1496</v>
      </c>
      <c r="C782" s="100">
        <v>23329.99</v>
      </c>
    </row>
    <row r="783" spans="1:3">
      <c r="A783" s="99">
        <v>98517</v>
      </c>
      <c r="B783" s="99" t="s">
        <v>1497</v>
      </c>
      <c r="C783" s="100">
        <v>3273.8199999999997</v>
      </c>
    </row>
    <row r="784" spans="1:3">
      <c r="A784" s="99">
        <v>98521</v>
      </c>
      <c r="B784" s="99" t="s">
        <v>1498</v>
      </c>
      <c r="C784" s="100">
        <v>295494.87465499999</v>
      </c>
    </row>
    <row r="785" spans="1:3">
      <c r="A785" s="99">
        <v>98601</v>
      </c>
      <c r="B785" s="99" t="s">
        <v>1499</v>
      </c>
      <c r="C785" s="100">
        <v>1634846.488222</v>
      </c>
    </row>
    <row r="786" spans="1:3">
      <c r="A786" s="99">
        <v>98604</v>
      </c>
      <c r="B786" s="99" t="s">
        <v>1500</v>
      </c>
      <c r="C786" s="100">
        <v>7854.38</v>
      </c>
    </row>
    <row r="787" spans="1:3">
      <c r="A787" s="99">
        <v>98607</v>
      </c>
      <c r="B787" s="99" t="s">
        <v>1501</v>
      </c>
      <c r="C787" s="100">
        <v>4218.6099999999997</v>
      </c>
    </row>
    <row r="788" spans="1:3">
      <c r="A788" s="99">
        <v>98608</v>
      </c>
      <c r="B788" s="99" t="s">
        <v>1502</v>
      </c>
      <c r="C788" s="100">
        <v>25288.2</v>
      </c>
    </row>
    <row r="789" spans="1:3">
      <c r="A789" s="99">
        <v>98611</v>
      </c>
      <c r="B789" s="99" t="s">
        <v>1503</v>
      </c>
      <c r="C789" s="100">
        <v>57797.358418000003</v>
      </c>
    </row>
    <row r="790" spans="1:3">
      <c r="A790" s="99">
        <v>98621</v>
      </c>
      <c r="B790" s="99" t="s">
        <v>1504</v>
      </c>
      <c r="C790" s="100">
        <v>62283.899115000007</v>
      </c>
    </row>
    <row r="791" spans="1:3">
      <c r="A791" s="99">
        <v>98627</v>
      </c>
      <c r="B791" s="99" t="s">
        <v>1505</v>
      </c>
      <c r="C791" s="100">
        <v>3575.5699999999993</v>
      </c>
    </row>
    <row r="792" spans="1:3">
      <c r="A792" s="99">
        <v>98631</v>
      </c>
      <c r="B792" s="99" t="s">
        <v>1506</v>
      </c>
      <c r="C792" s="100">
        <v>508131.29309599998</v>
      </c>
    </row>
    <row r="793" spans="1:3">
      <c r="A793" s="99">
        <v>98637</v>
      </c>
      <c r="B793" s="99" t="s">
        <v>1507</v>
      </c>
      <c r="C793" s="100">
        <v>16672.61</v>
      </c>
    </row>
    <row r="794" spans="1:3">
      <c r="A794" s="99">
        <v>98641</v>
      </c>
      <c r="B794" s="99" t="s">
        <v>1508</v>
      </c>
      <c r="C794" s="100">
        <v>148772.99192100001</v>
      </c>
    </row>
    <row r="795" spans="1:3">
      <c r="A795" s="99">
        <v>98701</v>
      </c>
      <c r="B795" s="99" t="s">
        <v>1509</v>
      </c>
      <c r="C795" s="100">
        <v>523932.84547599999</v>
      </c>
    </row>
    <row r="796" spans="1:3">
      <c r="A796" s="99">
        <v>98711</v>
      </c>
      <c r="B796" s="99" t="s">
        <v>1510</v>
      </c>
      <c r="C796" s="100">
        <v>71577.823066000012</v>
      </c>
    </row>
    <row r="797" spans="1:3">
      <c r="A797" s="99">
        <v>98717</v>
      </c>
      <c r="B797" s="99" t="s">
        <v>1511</v>
      </c>
      <c r="C797" s="100">
        <v>8771.7100000000009</v>
      </c>
    </row>
    <row r="798" spans="1:3">
      <c r="A798" s="99">
        <v>98801</v>
      </c>
      <c r="B798" s="99" t="s">
        <v>1512</v>
      </c>
      <c r="C798" s="100">
        <v>1082761.0962100001</v>
      </c>
    </row>
    <row r="799" spans="1:3">
      <c r="A799" s="99">
        <v>98811</v>
      </c>
      <c r="B799" s="99" t="s">
        <v>1513</v>
      </c>
      <c r="C799" s="100">
        <v>335491.14703300002</v>
      </c>
    </row>
    <row r="800" spans="1:3">
      <c r="A800" s="99">
        <v>98817</v>
      </c>
      <c r="B800" s="99" t="s">
        <v>1514</v>
      </c>
      <c r="C800" s="100">
        <v>14010.05</v>
      </c>
    </row>
    <row r="801" spans="1:3">
      <c r="A801" s="99">
        <v>98901</v>
      </c>
      <c r="B801" s="99" t="s">
        <v>1515</v>
      </c>
      <c r="C801" s="100">
        <v>163215.02211299998</v>
      </c>
    </row>
    <row r="802" spans="1:3">
      <c r="A802" s="99">
        <v>98904</v>
      </c>
      <c r="B802" s="99" t="s">
        <v>1516</v>
      </c>
      <c r="C802" s="100">
        <v>1642.5600000000004</v>
      </c>
    </row>
    <row r="803" spans="1:3">
      <c r="A803" s="99">
        <v>98911</v>
      </c>
      <c r="B803" s="99" t="s">
        <v>1517</v>
      </c>
      <c r="C803" s="100">
        <v>20020.239999999998</v>
      </c>
    </row>
    <row r="804" spans="1:3">
      <c r="A804" s="99">
        <v>99001</v>
      </c>
      <c r="B804" s="99" t="s">
        <v>1518</v>
      </c>
      <c r="C804" s="100">
        <v>3958566.494459</v>
      </c>
    </row>
    <row r="805" spans="1:3">
      <c r="A805" s="99">
        <v>99011</v>
      </c>
      <c r="B805" s="99" t="s">
        <v>1519</v>
      </c>
      <c r="C805" s="100">
        <v>1899632.2208419999</v>
      </c>
    </row>
    <row r="806" spans="1:3">
      <c r="A806" s="99">
        <v>99013</v>
      </c>
      <c r="B806" s="99" t="s">
        <v>1520</v>
      </c>
      <c r="C806" s="100">
        <v>28477.32</v>
      </c>
    </row>
    <row r="807" spans="1:3">
      <c r="A807" s="99">
        <v>99014</v>
      </c>
      <c r="B807" s="99" t="s">
        <v>1521</v>
      </c>
      <c r="C807" s="100">
        <v>11820.69</v>
      </c>
    </row>
    <row r="808" spans="1:3">
      <c r="A808" s="99">
        <v>99017</v>
      </c>
      <c r="B808" s="99" t="s">
        <v>1522</v>
      </c>
      <c r="C808" s="100">
        <v>23294.35</v>
      </c>
    </row>
    <row r="809" spans="1:3">
      <c r="A809" s="99">
        <v>99021</v>
      </c>
      <c r="B809" s="99" t="s">
        <v>1523</v>
      </c>
      <c r="C809" s="100">
        <v>66405.295536000005</v>
      </c>
    </row>
    <row r="810" spans="1:3">
      <c r="A810" s="99">
        <v>99022</v>
      </c>
      <c r="B810" s="99" t="s">
        <v>211</v>
      </c>
      <c r="C810" s="100">
        <v>11974.439999999999</v>
      </c>
    </row>
    <row r="811" spans="1:3">
      <c r="A811" s="99">
        <v>99031</v>
      </c>
      <c r="B811" s="99" t="s">
        <v>1524</v>
      </c>
      <c r="C811" s="100">
        <v>59595.821819999997</v>
      </c>
    </row>
    <row r="812" spans="1:3">
      <c r="A812" s="99">
        <v>99041</v>
      </c>
      <c r="B812" s="99" t="s">
        <v>1525</v>
      </c>
      <c r="C812" s="100">
        <v>282617.76438100002</v>
      </c>
    </row>
    <row r="813" spans="1:3">
      <c r="A813" s="99">
        <v>99047</v>
      </c>
      <c r="B813" s="99" t="s">
        <v>1526</v>
      </c>
      <c r="C813" s="100">
        <v>9763.6999999999989</v>
      </c>
    </row>
    <row r="814" spans="1:3">
      <c r="A814" s="99">
        <v>99051</v>
      </c>
      <c r="B814" s="99" t="s">
        <v>1527</v>
      </c>
      <c r="C814" s="100">
        <v>158783.9</v>
      </c>
    </row>
    <row r="815" spans="1:3">
      <c r="A815" s="99">
        <v>99061</v>
      </c>
      <c r="B815" s="99" t="s">
        <v>1528</v>
      </c>
      <c r="C815" s="100">
        <v>8410.9900000000016</v>
      </c>
    </row>
    <row r="816" spans="1:3">
      <c r="A816" s="99">
        <v>99071</v>
      </c>
      <c r="B816" s="99" t="s">
        <v>1529</v>
      </c>
      <c r="C816" s="100">
        <v>13710.689999999999</v>
      </c>
    </row>
    <row r="817" spans="1:3">
      <c r="A817" s="99">
        <v>99081</v>
      </c>
      <c r="B817" s="99" t="s">
        <v>1530</v>
      </c>
      <c r="C817" s="100">
        <v>9239.989999999998</v>
      </c>
    </row>
    <row r="818" spans="1:3">
      <c r="A818" s="99">
        <v>99091</v>
      </c>
      <c r="B818" s="99" t="s">
        <v>1531</v>
      </c>
      <c r="C818" s="100">
        <v>4994.4399999999996</v>
      </c>
    </row>
    <row r="819" spans="1:3">
      <c r="A819" s="99">
        <v>99101</v>
      </c>
      <c r="B819" s="99" t="s">
        <v>1532</v>
      </c>
      <c r="C819" s="100">
        <v>1006565.2704879999</v>
      </c>
    </row>
    <row r="820" spans="1:3">
      <c r="A820" s="99">
        <v>99104</v>
      </c>
      <c r="B820" s="99" t="s">
        <v>1533</v>
      </c>
      <c r="C820" s="100">
        <v>25543.919999999998</v>
      </c>
    </row>
    <row r="821" spans="1:3">
      <c r="A821" s="99">
        <v>99109</v>
      </c>
      <c r="B821" s="99" t="s">
        <v>1534</v>
      </c>
      <c r="C821" s="100">
        <v>58597.740000000005</v>
      </c>
    </row>
    <row r="822" spans="1:3">
      <c r="A822" s="99">
        <v>99110</v>
      </c>
      <c r="B822" s="99" t="s">
        <v>1535</v>
      </c>
      <c r="C822" s="100">
        <v>123992.64999999998</v>
      </c>
    </row>
    <row r="823" spans="1:3">
      <c r="A823" s="99">
        <v>99111</v>
      </c>
      <c r="B823" s="99" t="s">
        <v>1536</v>
      </c>
      <c r="C823" s="100">
        <v>587063.10155899997</v>
      </c>
    </row>
    <row r="824" spans="1:3">
      <c r="A824" s="99">
        <v>99201</v>
      </c>
      <c r="B824" s="99" t="s">
        <v>1537</v>
      </c>
      <c r="C824" s="100">
        <v>16630537.853003003</v>
      </c>
    </row>
    <row r="825" spans="1:3">
      <c r="A825" s="99">
        <v>99202</v>
      </c>
      <c r="B825" s="99" t="s">
        <v>1538</v>
      </c>
      <c r="C825" s="100">
        <v>1207449.7444930002</v>
      </c>
    </row>
    <row r="826" spans="1:3">
      <c r="A826" s="99">
        <v>99203</v>
      </c>
      <c r="B826" s="99" t="s">
        <v>1539</v>
      </c>
      <c r="C826" s="100">
        <v>138128.78276</v>
      </c>
    </row>
    <row r="827" spans="1:3">
      <c r="A827" s="99">
        <v>99204</v>
      </c>
      <c r="B827" s="99" t="s">
        <v>1540</v>
      </c>
      <c r="C827" s="100">
        <v>441547.83713100001</v>
      </c>
    </row>
    <row r="828" spans="1:3">
      <c r="A828" s="99">
        <v>99206</v>
      </c>
      <c r="B828" s="99" t="s">
        <v>1541</v>
      </c>
      <c r="C828" s="100">
        <v>1331612.9225729997</v>
      </c>
    </row>
    <row r="829" spans="1:3">
      <c r="A829" s="99">
        <v>99207</v>
      </c>
      <c r="B829" s="99" t="s">
        <v>1542</v>
      </c>
      <c r="C829" s="100">
        <v>177544.7</v>
      </c>
    </row>
    <row r="830" spans="1:3">
      <c r="A830" s="99">
        <v>99208</v>
      </c>
      <c r="B830" s="99" t="s">
        <v>1543</v>
      </c>
      <c r="C830" s="100">
        <v>97509.21</v>
      </c>
    </row>
    <row r="831" spans="1:3">
      <c r="A831" s="99">
        <v>99210</v>
      </c>
      <c r="B831" s="99" t="s">
        <v>1544</v>
      </c>
      <c r="C831" s="100">
        <v>867924.78000000014</v>
      </c>
    </row>
    <row r="832" spans="1:3">
      <c r="A832" s="99">
        <v>99211</v>
      </c>
      <c r="B832" s="99" t="s">
        <v>1545</v>
      </c>
      <c r="C832" s="100">
        <v>18340588.707863003</v>
      </c>
    </row>
    <row r="833" spans="1:3">
      <c r="A833" s="99">
        <v>99212</v>
      </c>
      <c r="B833" s="99" t="s">
        <v>1546</v>
      </c>
      <c r="C833" s="100">
        <v>32043.030000000002</v>
      </c>
    </row>
    <row r="834" spans="1:3">
      <c r="A834" s="99">
        <v>99213</v>
      </c>
      <c r="B834" s="99" t="s">
        <v>1547</v>
      </c>
      <c r="C834" s="100">
        <v>380592.3</v>
      </c>
    </row>
    <row r="835" spans="1:3">
      <c r="A835" s="99">
        <v>99218</v>
      </c>
      <c r="B835" s="99" t="s">
        <v>1548</v>
      </c>
      <c r="C835" s="100">
        <v>1674667.3670470002</v>
      </c>
    </row>
    <row r="836" spans="1:3">
      <c r="A836" s="99">
        <v>99221</v>
      </c>
      <c r="B836" s="99" t="s">
        <v>1549</v>
      </c>
      <c r="C836" s="100">
        <v>6080354.9568809997</v>
      </c>
    </row>
    <row r="837" spans="1:3">
      <c r="A837" s="99">
        <v>99222</v>
      </c>
      <c r="B837" s="99" t="s">
        <v>1550</v>
      </c>
      <c r="C837" s="100">
        <v>16571.340000000004</v>
      </c>
    </row>
    <row r="838" spans="1:3">
      <c r="A838" s="99">
        <v>99231</v>
      </c>
      <c r="B838" s="99" t="s">
        <v>1551</v>
      </c>
      <c r="C838" s="100">
        <v>170674.69717500001</v>
      </c>
    </row>
    <row r="839" spans="1:3">
      <c r="A839" s="99">
        <v>99241</v>
      </c>
      <c r="B839" s="99" t="s">
        <v>1552</v>
      </c>
      <c r="C839" s="100">
        <v>256913.26326000004</v>
      </c>
    </row>
    <row r="840" spans="1:3">
      <c r="A840" s="99">
        <v>99251</v>
      </c>
      <c r="B840" s="99" t="s">
        <v>1553</v>
      </c>
      <c r="C840" s="100">
        <v>772183.60207700008</v>
      </c>
    </row>
    <row r="841" spans="1:3">
      <c r="A841" s="99">
        <v>99252</v>
      </c>
      <c r="B841" s="99" t="s">
        <v>1554</v>
      </c>
      <c r="C841" s="100">
        <v>237606.74</v>
      </c>
    </row>
    <row r="842" spans="1:3">
      <c r="A842" s="99">
        <v>99261</v>
      </c>
      <c r="B842" s="99" t="s">
        <v>1555</v>
      </c>
      <c r="C842" s="100">
        <v>905361.50458199997</v>
      </c>
    </row>
    <row r="843" spans="1:3">
      <c r="A843" s="99">
        <v>99271</v>
      </c>
      <c r="B843" s="99" t="s">
        <v>1556</v>
      </c>
      <c r="C843" s="100">
        <v>1965196.7309130002</v>
      </c>
    </row>
    <row r="844" spans="1:3">
      <c r="A844" s="99">
        <v>99281</v>
      </c>
      <c r="B844" s="99" t="s">
        <v>1557</v>
      </c>
      <c r="C844" s="100">
        <v>1110975.8299230002</v>
      </c>
    </row>
    <row r="845" spans="1:3">
      <c r="A845" s="99">
        <v>99291</v>
      </c>
      <c r="B845" s="99" t="s">
        <v>1558</v>
      </c>
      <c r="C845" s="100">
        <v>339511.85297300003</v>
      </c>
    </row>
    <row r="846" spans="1:3">
      <c r="A846" s="99">
        <v>99301</v>
      </c>
      <c r="B846" s="99" t="s">
        <v>1559</v>
      </c>
      <c r="C846" s="100">
        <v>823901.36969700002</v>
      </c>
    </row>
    <row r="847" spans="1:3">
      <c r="A847" s="99">
        <v>99304</v>
      </c>
      <c r="B847" s="99" t="s">
        <v>1560</v>
      </c>
      <c r="C847" s="100">
        <v>8236.340000000002</v>
      </c>
    </row>
    <row r="848" spans="1:3">
      <c r="A848" s="99">
        <v>99311</v>
      </c>
      <c r="B848" s="99" t="s">
        <v>1561</v>
      </c>
      <c r="C848" s="100">
        <v>29080.849220999997</v>
      </c>
    </row>
    <row r="849" spans="1:3">
      <c r="A849" s="99">
        <v>99321</v>
      </c>
      <c r="B849" s="99" t="s">
        <v>1562</v>
      </c>
      <c r="C849" s="100">
        <v>95723.904901999995</v>
      </c>
    </row>
    <row r="850" spans="1:3">
      <c r="A850" s="99">
        <v>99401</v>
      </c>
      <c r="B850" s="99" t="s">
        <v>1563</v>
      </c>
      <c r="C850" s="100">
        <v>413423.38850099995</v>
      </c>
    </row>
    <row r="851" spans="1:3">
      <c r="A851" s="99">
        <v>99404</v>
      </c>
      <c r="B851" s="99" t="s">
        <v>1564</v>
      </c>
      <c r="C851" s="100">
        <v>5670.5700000000006</v>
      </c>
    </row>
    <row r="852" spans="1:3">
      <c r="A852" s="99">
        <v>99405</v>
      </c>
      <c r="B852" s="99" t="s">
        <v>1565</v>
      </c>
      <c r="C852" s="100">
        <v>37755.47</v>
      </c>
    </row>
    <row r="853" spans="1:3">
      <c r="A853" s="99">
        <v>99411</v>
      </c>
      <c r="B853" s="99" t="s">
        <v>1566</v>
      </c>
      <c r="C853" s="100">
        <v>87340.425698000006</v>
      </c>
    </row>
    <row r="854" spans="1:3">
      <c r="A854" s="99">
        <v>99413</v>
      </c>
      <c r="B854" s="99" t="s">
        <v>1567</v>
      </c>
      <c r="C854" s="100">
        <v>15517.459999999997</v>
      </c>
    </row>
    <row r="855" spans="1:3">
      <c r="A855" s="99">
        <v>99421</v>
      </c>
      <c r="B855" s="99" t="s">
        <v>1568</v>
      </c>
      <c r="C855" s="100">
        <v>5425.83</v>
      </c>
    </row>
    <row r="856" spans="1:3">
      <c r="A856" s="99">
        <v>99431</v>
      </c>
      <c r="B856" s="99" t="s">
        <v>1569</v>
      </c>
      <c r="C856" s="100">
        <v>8235.1600000000017</v>
      </c>
    </row>
    <row r="857" spans="1:3">
      <c r="A857" s="99">
        <v>99501</v>
      </c>
      <c r="B857" s="99" t="s">
        <v>1570</v>
      </c>
      <c r="C857" s="100">
        <v>860942.16577800014</v>
      </c>
    </row>
    <row r="858" spans="1:3">
      <c r="A858" s="99">
        <v>99502</v>
      </c>
      <c r="B858" s="99" t="s">
        <v>1571</v>
      </c>
      <c r="C858" s="100">
        <v>70621.81</v>
      </c>
    </row>
    <row r="859" spans="1:3">
      <c r="A859" s="99">
        <v>99508</v>
      </c>
      <c r="B859" s="99" t="s">
        <v>1572</v>
      </c>
      <c r="C859" s="100">
        <v>10663.91</v>
      </c>
    </row>
    <row r="860" spans="1:3">
      <c r="A860" s="99">
        <v>99509</v>
      </c>
      <c r="B860" s="99" t="s">
        <v>1573</v>
      </c>
      <c r="C860" s="100">
        <v>12210.75</v>
      </c>
    </row>
    <row r="861" spans="1:3">
      <c r="A861" s="99">
        <v>99511</v>
      </c>
      <c r="B861" s="99" t="s">
        <v>1574</v>
      </c>
      <c r="C861" s="100">
        <v>608442.87239699997</v>
      </c>
    </row>
    <row r="862" spans="1:3">
      <c r="A862" s="99">
        <v>99521</v>
      </c>
      <c r="B862" s="99" t="s">
        <v>1575</v>
      </c>
      <c r="C862" s="100">
        <v>207271.33775300003</v>
      </c>
    </row>
    <row r="863" spans="1:3">
      <c r="A863" s="99">
        <v>99527</v>
      </c>
      <c r="B863" s="99" t="s">
        <v>1576</v>
      </c>
      <c r="C863" s="100">
        <v>6662.9900000000016</v>
      </c>
    </row>
    <row r="864" spans="1:3">
      <c r="A864" s="99">
        <v>99531</v>
      </c>
      <c r="B864" s="99" t="s">
        <v>1577</v>
      </c>
      <c r="C864" s="100">
        <v>76574.203280999995</v>
      </c>
    </row>
    <row r="865" spans="1:3">
      <c r="A865" s="99">
        <v>99601</v>
      </c>
      <c r="B865" s="99" t="s">
        <v>1578</v>
      </c>
      <c r="C865" s="100">
        <v>2762866.0642520003</v>
      </c>
    </row>
    <row r="866" spans="1:3">
      <c r="A866" s="99">
        <v>99602</v>
      </c>
      <c r="B866" s="99" t="s">
        <v>1579</v>
      </c>
      <c r="C866" s="100">
        <v>30210.42</v>
      </c>
    </row>
    <row r="867" spans="1:3">
      <c r="A867" s="99">
        <v>99603</v>
      </c>
      <c r="B867" s="99" t="s">
        <v>1580</v>
      </c>
      <c r="C867" s="100">
        <v>95619.120000000024</v>
      </c>
    </row>
    <row r="868" spans="1:3">
      <c r="A868" s="99">
        <v>99604</v>
      </c>
      <c r="B868" s="99" t="s">
        <v>1581</v>
      </c>
      <c r="C868" s="100">
        <v>60989.76599</v>
      </c>
    </row>
    <row r="869" spans="1:3">
      <c r="A869" s="99">
        <v>99609</v>
      </c>
      <c r="B869" s="99" t="s">
        <v>1582</v>
      </c>
      <c r="C869" s="100">
        <v>10625.980000000001</v>
      </c>
    </row>
    <row r="870" spans="1:3">
      <c r="A870" s="99">
        <v>99610</v>
      </c>
      <c r="B870" s="99" t="s">
        <v>1583</v>
      </c>
      <c r="C870" s="100">
        <v>91548.229999999981</v>
      </c>
    </row>
    <row r="871" spans="1:3">
      <c r="A871" s="99">
        <v>99611</v>
      </c>
      <c r="B871" s="99" t="s">
        <v>1584</v>
      </c>
      <c r="C871" s="100">
        <v>1569191.0500429999</v>
      </c>
    </row>
    <row r="872" spans="1:3">
      <c r="A872" s="99">
        <v>99613</v>
      </c>
      <c r="B872" s="99" t="s">
        <v>1585</v>
      </c>
      <c r="C872" s="100">
        <v>343923.36</v>
      </c>
    </row>
    <row r="873" spans="1:3">
      <c r="A873" s="99">
        <v>99621</v>
      </c>
      <c r="B873" s="99" t="s">
        <v>1586</v>
      </c>
      <c r="C873" s="100">
        <v>177823.09483700001</v>
      </c>
    </row>
    <row r="874" spans="1:3">
      <c r="A874" s="99">
        <v>99623</v>
      </c>
      <c r="B874" s="99" t="s">
        <v>1587</v>
      </c>
      <c r="C874" s="100">
        <v>9487.02</v>
      </c>
    </row>
    <row r="875" spans="1:3">
      <c r="A875" s="99">
        <v>99631</v>
      </c>
      <c r="B875" s="99" t="s">
        <v>1588</v>
      </c>
      <c r="C875" s="100">
        <v>51697.480938000008</v>
      </c>
    </row>
    <row r="876" spans="1:3">
      <c r="A876" s="99">
        <v>99651</v>
      </c>
      <c r="B876" s="99" t="s">
        <v>1589</v>
      </c>
      <c r="C876" s="100">
        <v>29238.939019000005</v>
      </c>
    </row>
    <row r="877" spans="1:3">
      <c r="A877" s="99">
        <v>99661</v>
      </c>
      <c r="B877" s="99" t="s">
        <v>1590</v>
      </c>
      <c r="C877" s="100">
        <v>43148.812318999997</v>
      </c>
    </row>
    <row r="878" spans="1:3">
      <c r="A878" s="99">
        <v>99701</v>
      </c>
      <c r="B878" s="99" t="s">
        <v>1591</v>
      </c>
      <c r="C878" s="100">
        <v>1391279.4990909998</v>
      </c>
    </row>
    <row r="879" spans="1:3">
      <c r="A879" s="99">
        <v>99705</v>
      </c>
      <c r="B879" s="99" t="s">
        <v>1592</v>
      </c>
      <c r="C879" s="100">
        <v>93269.37999999999</v>
      </c>
    </row>
    <row r="880" spans="1:3">
      <c r="A880" s="99">
        <v>99711</v>
      </c>
      <c r="B880" s="99" t="s">
        <v>1593</v>
      </c>
      <c r="C880" s="100">
        <v>225681.88054700001</v>
      </c>
    </row>
    <row r="881" spans="1:3">
      <c r="A881" s="99">
        <v>99717</v>
      </c>
      <c r="B881" s="99" t="s">
        <v>1594</v>
      </c>
      <c r="C881" s="100">
        <v>8973.93</v>
      </c>
    </row>
    <row r="882" spans="1:3">
      <c r="A882" s="99">
        <v>99721</v>
      </c>
      <c r="B882" s="99" t="s">
        <v>1595</v>
      </c>
      <c r="C882" s="100">
        <v>270994.72852900001</v>
      </c>
    </row>
    <row r="883" spans="1:3">
      <c r="A883" s="99">
        <v>99727</v>
      </c>
      <c r="B883" s="99" t="s">
        <v>1596</v>
      </c>
      <c r="C883" s="100">
        <v>49308.209999999992</v>
      </c>
    </row>
    <row r="884" spans="1:3">
      <c r="A884" s="99">
        <v>99801</v>
      </c>
      <c r="B884" s="99" t="s">
        <v>1597</v>
      </c>
      <c r="C884" s="100">
        <v>2325185.9260170003</v>
      </c>
    </row>
    <row r="885" spans="1:3">
      <c r="A885" s="99">
        <v>99802</v>
      </c>
      <c r="B885" s="99" t="s">
        <v>1598</v>
      </c>
      <c r="C885" s="100">
        <v>6755.72</v>
      </c>
    </row>
    <row r="886" spans="1:3">
      <c r="A886" s="99">
        <v>99804</v>
      </c>
      <c r="B886" s="99" t="s">
        <v>1599</v>
      </c>
      <c r="C886" s="100">
        <v>47970.469999999994</v>
      </c>
    </row>
    <row r="887" spans="1:3">
      <c r="A887" s="99">
        <v>99811</v>
      </c>
      <c r="B887" s="99" t="s">
        <v>1600</v>
      </c>
      <c r="C887" s="100">
        <v>3068778.4669929994</v>
      </c>
    </row>
    <row r="888" spans="1:3">
      <c r="A888" s="99">
        <v>99812</v>
      </c>
      <c r="B888" s="99" t="s">
        <v>1601</v>
      </c>
      <c r="C888" s="100">
        <v>21421.979999999992</v>
      </c>
    </row>
    <row r="889" spans="1:3">
      <c r="A889" s="99">
        <v>99818</v>
      </c>
      <c r="B889" s="99" t="s">
        <v>1602</v>
      </c>
      <c r="C889" s="100">
        <v>13445.47</v>
      </c>
    </row>
    <row r="890" spans="1:3">
      <c r="A890" s="99">
        <v>99821</v>
      </c>
      <c r="B890" s="99" t="s">
        <v>1603</v>
      </c>
      <c r="C890" s="100">
        <v>50520.730636000008</v>
      </c>
    </row>
    <row r="891" spans="1:3">
      <c r="A891" s="99">
        <v>99831</v>
      </c>
      <c r="B891" s="99" t="s">
        <v>1604</v>
      </c>
      <c r="C891" s="100">
        <v>27477.871489000001</v>
      </c>
    </row>
    <row r="892" spans="1:3">
      <c r="A892" s="99">
        <v>99841</v>
      </c>
      <c r="B892" s="99" t="s">
        <v>1605</v>
      </c>
      <c r="C892" s="100">
        <v>17368.88</v>
      </c>
    </row>
    <row r="893" spans="1:3">
      <c r="A893" s="99">
        <v>99851</v>
      </c>
      <c r="B893" s="99" t="s">
        <v>1606</v>
      </c>
      <c r="C893" s="100">
        <v>8025.38</v>
      </c>
    </row>
    <row r="894" spans="1:3">
      <c r="A894" s="99">
        <v>99901</v>
      </c>
      <c r="B894" s="99" t="s">
        <v>1607</v>
      </c>
      <c r="C894" s="100">
        <v>758558.04820900003</v>
      </c>
    </row>
    <row r="895" spans="1:3">
      <c r="A895" s="99">
        <v>99911</v>
      </c>
      <c r="B895" s="99" t="s">
        <v>1608</v>
      </c>
      <c r="C895" s="100">
        <v>126859.94261799997</v>
      </c>
    </row>
    <row r="896" spans="1:3">
      <c r="A896" s="99">
        <v>99921</v>
      </c>
      <c r="B896" s="99" t="s">
        <v>1609</v>
      </c>
      <c r="C896" s="100">
        <v>60518.37122500001</v>
      </c>
    </row>
    <row r="897" spans="1:4">
      <c r="A897" s="99">
        <v>99931</v>
      </c>
      <c r="B897" s="99" t="s">
        <v>1610</v>
      </c>
      <c r="C897" s="100">
        <v>9991.6402880000005</v>
      </c>
    </row>
    <row r="898" spans="1:4">
      <c r="A898" s="99">
        <v>99941</v>
      </c>
      <c r="B898" s="99" t="s">
        <v>1611</v>
      </c>
      <c r="C898" s="100">
        <v>34874.077293000002</v>
      </c>
    </row>
    <row r="899" spans="1:4">
      <c r="A899" s="99">
        <v>99991</v>
      </c>
      <c r="B899" s="99" t="s">
        <v>1612</v>
      </c>
      <c r="C899" s="240">
        <v>256527.41</v>
      </c>
    </row>
    <row r="900" spans="1:4">
      <c r="A900" s="99">
        <v>99999</v>
      </c>
      <c r="B900" s="99" t="s">
        <v>1613</v>
      </c>
      <c r="C900" s="100">
        <v>529104.24</v>
      </c>
    </row>
    <row r="901" spans="1:4">
      <c r="A901" s="224"/>
      <c r="B901" s="224"/>
      <c r="D901" s="224"/>
    </row>
    <row r="902" spans="1:4">
      <c r="A902" s="224"/>
      <c r="B902" s="224"/>
      <c r="D902" s="224"/>
    </row>
    <row r="903" spans="1:4">
      <c r="A903" s="224"/>
      <c r="B903" s="224"/>
      <c r="D903" s="224"/>
    </row>
    <row r="904" spans="1:4">
      <c r="A904" s="224"/>
      <c r="B904" s="224"/>
      <c r="D904" s="224"/>
    </row>
    <row r="905" spans="1:4">
      <c r="A905" s="224"/>
      <c r="B905" s="224"/>
      <c r="D905" s="224"/>
    </row>
    <row r="906" spans="1:4">
      <c r="A906" s="224"/>
      <c r="B906" s="224"/>
      <c r="D906" s="224"/>
    </row>
    <row r="907" spans="1:4">
      <c r="A907" s="224"/>
      <c r="B907" s="224"/>
      <c r="D907" s="224"/>
    </row>
    <row r="908" spans="1:4">
      <c r="A908" s="224"/>
      <c r="B908" s="224"/>
      <c r="D908" s="224"/>
    </row>
    <row r="909" spans="1:4">
      <c r="A909" s="224"/>
      <c r="B909" s="224"/>
      <c r="D909" s="224"/>
    </row>
    <row r="910" spans="1:4">
      <c r="A910" s="224"/>
      <c r="B910" s="224"/>
      <c r="D910" s="224"/>
    </row>
    <row r="912" spans="1:4">
      <c r="A912" s="99" t="s">
        <v>3502</v>
      </c>
    </row>
    <row r="913" spans="1:3">
      <c r="A913" s="99">
        <v>91119</v>
      </c>
      <c r="B913" s="99" t="s">
        <v>48</v>
      </c>
      <c r="C913" s="100">
        <v>0</v>
      </c>
    </row>
    <row r="914" spans="1:3">
      <c r="A914" s="99">
        <v>92414</v>
      </c>
      <c r="B914" s="99" t="s">
        <v>2054</v>
      </c>
      <c r="C914" s="100">
        <v>0</v>
      </c>
    </row>
    <row r="915" spans="1:3">
      <c r="A915" s="99">
        <v>92608</v>
      </c>
      <c r="B915" s="99" t="s">
        <v>968</v>
      </c>
      <c r="C915" s="100">
        <v>0</v>
      </c>
    </row>
    <row r="916" spans="1:3">
      <c r="A916" s="99">
        <v>93408</v>
      </c>
      <c r="B916" s="224" t="s">
        <v>1039</v>
      </c>
      <c r="C916" s="100">
        <v>0</v>
      </c>
    </row>
    <row r="917" spans="1:3">
      <c r="A917" s="224">
        <v>94402</v>
      </c>
      <c r="B917" s="224" t="s">
        <v>1135</v>
      </c>
      <c r="C917" s="100">
        <v>0</v>
      </c>
    </row>
    <row r="918" spans="1:3">
      <c r="A918" s="224">
        <v>95412</v>
      </c>
      <c r="B918" s="224" t="s">
        <v>1216</v>
      </c>
      <c r="C918" s="100">
        <v>0</v>
      </c>
    </row>
    <row r="919" spans="1:3">
      <c r="A919" s="224">
        <v>93202</v>
      </c>
      <c r="B919" s="224" t="s">
        <v>1018</v>
      </c>
      <c r="C919" s="100">
        <v>0</v>
      </c>
    </row>
    <row r="920" spans="1:3">
      <c r="A920" s="224">
        <v>93677</v>
      </c>
      <c r="B920" s="224" t="s">
        <v>98</v>
      </c>
      <c r="C920" s="100">
        <v>0</v>
      </c>
    </row>
    <row r="921" spans="1:3">
      <c r="A921" s="224">
        <v>94512</v>
      </c>
      <c r="B921" s="224" t="s">
        <v>1147</v>
      </c>
      <c r="C921" s="100">
        <v>0</v>
      </c>
    </row>
    <row r="922" spans="1:3">
      <c r="A922" s="224">
        <v>97010</v>
      </c>
      <c r="B922" s="224" t="s">
        <v>1347</v>
      </c>
      <c r="C922" s="100">
        <v>0</v>
      </c>
    </row>
    <row r="923" spans="1:3">
      <c r="A923" s="224">
        <v>97491</v>
      </c>
      <c r="B923" s="224" t="s">
        <v>3500</v>
      </c>
    </row>
    <row r="2350" spans="1:1">
      <c r="A2350" s="10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G80"/>
  <sheetViews>
    <sheetView workbookViewId="0">
      <pane xSplit="2" ySplit="2" topLeftCell="C3" activePane="bottomRight" state="frozen"/>
      <selection pane="topRight" activeCell="C1" sqref="C1"/>
      <selection pane="bottomLeft" activeCell="A3" sqref="A3"/>
      <selection pane="bottomRight" activeCell="E55" sqref="E55"/>
    </sheetView>
  </sheetViews>
  <sheetFormatPr defaultRowHeight="15"/>
  <cols>
    <col min="1" max="1" width="28.42578125" customWidth="1"/>
    <col min="2" max="2" width="16.42578125" customWidth="1"/>
    <col min="3" max="3" width="76.28515625" style="209" customWidth="1"/>
    <col min="4" max="4" width="13.5703125" customWidth="1"/>
    <col min="5" max="5" width="11.140625" bestFit="1" customWidth="1"/>
  </cols>
  <sheetData>
    <row r="2" spans="1:4">
      <c r="A2" s="299" t="s">
        <v>3517</v>
      </c>
      <c r="B2" s="299" t="s">
        <v>3590</v>
      </c>
      <c r="C2" s="299" t="s">
        <v>3592</v>
      </c>
      <c r="D2" s="299" t="s">
        <v>3591</v>
      </c>
    </row>
    <row r="3" spans="1:4">
      <c r="A3" t="s">
        <v>3518</v>
      </c>
      <c r="C3" t="s">
        <v>3601</v>
      </c>
    </row>
    <row r="4" spans="1:4">
      <c r="A4" t="s">
        <v>3518</v>
      </c>
      <c r="B4" t="s">
        <v>3519</v>
      </c>
      <c r="C4" s="128" t="s">
        <v>3761</v>
      </c>
      <c r="D4" t="s">
        <v>3572</v>
      </c>
    </row>
    <row r="5" spans="1:4" ht="39">
      <c r="A5" t="s">
        <v>3518</v>
      </c>
      <c r="B5" t="s">
        <v>3520</v>
      </c>
      <c r="C5" s="123" t="s">
        <v>3789</v>
      </c>
      <c r="D5" t="s">
        <v>3573</v>
      </c>
    </row>
    <row r="6" spans="1:4">
      <c r="A6" t="s">
        <v>3518</v>
      </c>
      <c r="B6" t="s">
        <v>3521</v>
      </c>
      <c r="C6" s="298" t="s">
        <v>3790</v>
      </c>
      <c r="D6" t="s">
        <v>3572</v>
      </c>
    </row>
    <row r="7" spans="1:4">
      <c r="A7" t="s">
        <v>3518</v>
      </c>
      <c r="B7" t="s">
        <v>3559</v>
      </c>
      <c r="C7" s="278" t="str">
        <f>CONCATENATE("Your employer contributions from 7/1/2023 through ",(TEXT(C8,"MM/DD/YYYY")))</f>
        <v>Your employer contributions from 7/1/2023 through 06/30/2024</v>
      </c>
      <c r="D7" t="s">
        <v>3572</v>
      </c>
    </row>
    <row r="8" spans="1:4">
      <c r="A8" t="s">
        <v>3518</v>
      </c>
      <c r="B8" t="s">
        <v>3523</v>
      </c>
      <c r="C8" s="295">
        <v>45473</v>
      </c>
      <c r="D8" t="s">
        <v>3563</v>
      </c>
    </row>
    <row r="9" spans="1:4">
      <c r="A9" t="s">
        <v>3518</v>
      </c>
      <c r="B9" t="s">
        <v>3618</v>
      </c>
      <c r="C9" s="295" t="s">
        <v>3619</v>
      </c>
      <c r="D9" s="227" t="s">
        <v>3623</v>
      </c>
    </row>
    <row r="10" spans="1:4">
      <c r="A10" t="s">
        <v>3518</v>
      </c>
      <c r="B10" t="s">
        <v>3620</v>
      </c>
      <c r="C10" s="295" t="s">
        <v>3619</v>
      </c>
      <c r="D10" s="227" t="s">
        <v>3624</v>
      </c>
    </row>
    <row r="11" spans="1:4">
      <c r="A11" t="s">
        <v>3518</v>
      </c>
      <c r="B11" t="s">
        <v>3621</v>
      </c>
      <c r="C11" s="295" t="s">
        <v>3619</v>
      </c>
      <c r="D11" s="227" t="s">
        <v>3625</v>
      </c>
    </row>
    <row r="12" spans="1:4">
      <c r="A12" t="s">
        <v>3518</v>
      </c>
      <c r="B12" t="s">
        <v>3622</v>
      </c>
      <c r="C12" s="295" t="s">
        <v>3619</v>
      </c>
      <c r="D12" s="227" t="s">
        <v>3626</v>
      </c>
    </row>
    <row r="13" spans="1:4">
      <c r="A13" t="s">
        <v>3518</v>
      </c>
      <c r="B13" t="s">
        <v>3524</v>
      </c>
      <c r="C13" s="295" t="s">
        <v>3791</v>
      </c>
      <c r="D13" t="s">
        <v>3566</v>
      </c>
    </row>
    <row r="14" spans="1:4">
      <c r="A14" t="s">
        <v>3518</v>
      </c>
      <c r="B14" t="s">
        <v>3525</v>
      </c>
      <c r="C14" s="295">
        <v>45291</v>
      </c>
      <c r="D14" t="s">
        <v>3565</v>
      </c>
    </row>
    <row r="15" spans="1:4">
      <c r="A15" t="s">
        <v>3518</v>
      </c>
      <c r="B15" t="s">
        <v>3526</v>
      </c>
      <c r="C15" s="295">
        <v>45382</v>
      </c>
      <c r="D15" t="s">
        <v>3564</v>
      </c>
    </row>
    <row r="16" spans="1:4">
      <c r="A16" t="s">
        <v>3518</v>
      </c>
      <c r="B16" t="s">
        <v>3527</v>
      </c>
      <c r="C16" s="225" t="s">
        <v>691</v>
      </c>
    </row>
    <row r="17" spans="1:4">
      <c r="A17" t="s">
        <v>3518</v>
      </c>
      <c r="B17" t="s">
        <v>3528</v>
      </c>
      <c r="C17" s="225" t="s">
        <v>3777</v>
      </c>
      <c r="D17" t="s">
        <v>3571</v>
      </c>
    </row>
    <row r="18" spans="1:4">
      <c r="A18" t="s">
        <v>3518</v>
      </c>
      <c r="B18" t="s">
        <v>3529</v>
      </c>
      <c r="C18" s="225" t="s">
        <v>3778</v>
      </c>
      <c r="D18" t="s">
        <v>3571</v>
      </c>
    </row>
    <row r="19" spans="1:4">
      <c r="A19" t="s">
        <v>3518</v>
      </c>
      <c r="B19" t="s">
        <v>3530</v>
      </c>
      <c r="C19" s="225" t="s">
        <v>3779</v>
      </c>
      <c r="D19" t="s">
        <v>3571</v>
      </c>
    </row>
    <row r="20" spans="1:4">
      <c r="A20" t="s">
        <v>3518</v>
      </c>
      <c r="B20" s="292" t="s">
        <v>3532</v>
      </c>
      <c r="C20" s="295">
        <v>45199</v>
      </c>
      <c r="D20" t="s">
        <v>3566</v>
      </c>
    </row>
    <row r="21" spans="1:4">
      <c r="A21" t="s">
        <v>3518</v>
      </c>
      <c r="B21" s="292" t="s">
        <v>3533</v>
      </c>
      <c r="C21" s="295">
        <v>45291</v>
      </c>
      <c r="D21" t="s">
        <v>3565</v>
      </c>
    </row>
    <row r="22" spans="1:4">
      <c r="A22" t="s">
        <v>3518</v>
      </c>
      <c r="B22" s="292" t="s">
        <v>3534</v>
      </c>
      <c r="C22" s="295">
        <v>45382</v>
      </c>
      <c r="D22" t="s">
        <v>3564</v>
      </c>
    </row>
    <row r="23" spans="1:4">
      <c r="A23" t="s">
        <v>3518</v>
      </c>
      <c r="B23" s="292" t="s">
        <v>3531</v>
      </c>
      <c r="C23" s="295">
        <v>45473</v>
      </c>
      <c r="D23" t="s">
        <v>3563</v>
      </c>
    </row>
    <row r="24" spans="1:4">
      <c r="A24" t="s">
        <v>3518</v>
      </c>
      <c r="B24" s="292" t="s">
        <v>3535</v>
      </c>
      <c r="C24" s="225" t="s">
        <v>3796</v>
      </c>
      <c r="D24" t="s">
        <v>3568</v>
      </c>
    </row>
    <row r="25" spans="1:4">
      <c r="A25" t="s">
        <v>3518</v>
      </c>
      <c r="B25" s="292" t="s">
        <v>3536</v>
      </c>
      <c r="C25" s="225" t="s">
        <v>3797</v>
      </c>
      <c r="D25" t="s">
        <v>3569</v>
      </c>
    </row>
    <row r="26" spans="1:4">
      <c r="A26" t="s">
        <v>3518</v>
      </c>
      <c r="B26" s="292" t="s">
        <v>3537</v>
      </c>
      <c r="C26" s="225" t="s">
        <v>3798</v>
      </c>
      <c r="D26" t="s">
        <v>3570</v>
      </c>
    </row>
    <row r="27" spans="1:4">
      <c r="A27" t="s">
        <v>3518</v>
      </c>
      <c r="B27" s="292" t="s">
        <v>3538</v>
      </c>
      <c r="C27" s="225" t="s">
        <v>3799</v>
      </c>
      <c r="D27" t="s">
        <v>3567</v>
      </c>
    </row>
    <row r="28" spans="1:4">
      <c r="A28" t="s">
        <v>3518</v>
      </c>
      <c r="B28" s="292" t="s">
        <v>3539</v>
      </c>
      <c r="C28" s="295">
        <v>45199</v>
      </c>
      <c r="D28" t="s">
        <v>3566</v>
      </c>
    </row>
    <row r="29" spans="1:4">
      <c r="A29" t="s">
        <v>3518</v>
      </c>
      <c r="B29" s="292" t="s">
        <v>3540</v>
      </c>
      <c r="C29" s="295">
        <v>45291</v>
      </c>
      <c r="D29" t="s">
        <v>3565</v>
      </c>
    </row>
    <row r="30" spans="1:4">
      <c r="A30" t="s">
        <v>3518</v>
      </c>
      <c r="B30" s="292" t="s">
        <v>3541</v>
      </c>
      <c r="C30" s="295">
        <v>45382</v>
      </c>
      <c r="D30" t="s">
        <v>3564</v>
      </c>
    </row>
    <row r="31" spans="1:4">
      <c r="A31" t="s">
        <v>3518</v>
      </c>
      <c r="B31" s="292" t="s">
        <v>3542</v>
      </c>
      <c r="C31" s="295">
        <v>45473</v>
      </c>
      <c r="D31" t="s">
        <v>3563</v>
      </c>
    </row>
    <row r="32" spans="1:4">
      <c r="A32" t="s">
        <v>3543</v>
      </c>
      <c r="B32" t="s">
        <v>3544</v>
      </c>
      <c r="C32" s="225" t="s">
        <v>3545</v>
      </c>
    </row>
    <row r="33" spans="1:7">
      <c r="A33" t="s">
        <v>3543</v>
      </c>
      <c r="B33" t="s">
        <v>3546</v>
      </c>
      <c r="C33" s="225" t="s">
        <v>3602</v>
      </c>
      <c r="D33" t="s">
        <v>3589</v>
      </c>
    </row>
    <row r="34" spans="1:7">
      <c r="A34" t="s">
        <v>3543</v>
      </c>
      <c r="B34" t="s">
        <v>3547</v>
      </c>
      <c r="C34" s="225" t="s">
        <v>3793</v>
      </c>
      <c r="D34" t="s">
        <v>3561</v>
      </c>
    </row>
    <row r="35" spans="1:7">
      <c r="A35" t="s">
        <v>3543</v>
      </c>
      <c r="B35" t="s">
        <v>3548</v>
      </c>
      <c r="C35" s="225" t="s">
        <v>3794</v>
      </c>
      <c r="D35" t="s">
        <v>3562</v>
      </c>
    </row>
    <row r="36" spans="1:7">
      <c r="A36" t="s">
        <v>3543</v>
      </c>
      <c r="B36" t="s">
        <v>3523</v>
      </c>
      <c r="C36" s="294">
        <v>2025</v>
      </c>
      <c r="D36" s="326" t="s">
        <v>3628</v>
      </c>
      <c r="E36" s="326"/>
      <c r="F36" s="326"/>
    </row>
    <row r="37" spans="1:7">
      <c r="A37" t="s">
        <v>3543</v>
      </c>
      <c r="B37" t="s">
        <v>3575</v>
      </c>
      <c r="C37" s="225" t="s">
        <v>3741</v>
      </c>
      <c r="D37" s="304" t="s">
        <v>3579</v>
      </c>
      <c r="E37" s="304"/>
      <c r="F37" s="304"/>
      <c r="G37" s="304"/>
    </row>
    <row r="38" spans="1:7">
      <c r="A38" t="s">
        <v>3543</v>
      </c>
      <c r="B38" t="s">
        <v>3574</v>
      </c>
      <c r="C38" s="225" t="s">
        <v>3739</v>
      </c>
      <c r="D38" s="304" t="s">
        <v>3580</v>
      </c>
      <c r="E38" s="304"/>
      <c r="F38" s="304"/>
      <c r="G38" s="304"/>
    </row>
    <row r="39" spans="1:7">
      <c r="A39" t="s">
        <v>3543</v>
      </c>
      <c r="B39" t="s">
        <v>3576</v>
      </c>
      <c r="C39" s="225" t="s">
        <v>3740</v>
      </c>
      <c r="D39" s="304" t="s">
        <v>3581</v>
      </c>
      <c r="E39" s="304"/>
      <c r="F39" s="304"/>
      <c r="G39" s="304"/>
    </row>
    <row r="40" spans="1:7">
      <c r="A40" t="s">
        <v>3543</v>
      </c>
      <c r="B40" t="s">
        <v>3577</v>
      </c>
      <c r="C40" s="296">
        <v>10182051000</v>
      </c>
      <c r="D40" s="372" t="s">
        <v>3631</v>
      </c>
    </row>
    <row r="41" spans="1:7">
      <c r="A41" t="s">
        <v>3543</v>
      </c>
      <c r="B41" t="s">
        <v>3578</v>
      </c>
      <c r="C41" s="296">
        <v>1899691000</v>
      </c>
      <c r="D41" s="372" t="s">
        <v>3631</v>
      </c>
    </row>
    <row r="42" spans="1:7">
      <c r="A42" t="s">
        <v>3596</v>
      </c>
      <c r="C42" s="300" t="s">
        <v>3630</v>
      </c>
      <c r="D42" s="372" t="s">
        <v>3632</v>
      </c>
    </row>
    <row r="43" spans="1:7">
      <c r="A43" t="s">
        <v>3721</v>
      </c>
      <c r="B43" t="s">
        <v>3582</v>
      </c>
      <c r="C43" s="225" t="s">
        <v>3792</v>
      </c>
      <c r="D43" t="s">
        <v>3560</v>
      </c>
    </row>
    <row r="44" spans="1:7">
      <c r="A44" t="s">
        <v>3594</v>
      </c>
      <c r="C44" s="225" t="s">
        <v>3595</v>
      </c>
    </row>
    <row r="45" spans="1:7">
      <c r="A45" t="s">
        <v>3587</v>
      </c>
      <c r="B45" t="s">
        <v>3584</v>
      </c>
      <c r="C45" s="225" t="s">
        <v>3763</v>
      </c>
      <c r="D45" s="209" t="s">
        <v>3588</v>
      </c>
    </row>
    <row r="46" spans="1:7">
      <c r="A46" t="s">
        <v>3727</v>
      </c>
      <c r="B46" t="s">
        <v>3544</v>
      </c>
      <c r="C46" s="225" t="s">
        <v>3593</v>
      </c>
      <c r="D46" s="209" t="s">
        <v>3588</v>
      </c>
    </row>
    <row r="47" spans="1:7">
      <c r="A47" t="s">
        <v>3727</v>
      </c>
      <c r="B47" t="s">
        <v>3586</v>
      </c>
      <c r="C47" s="225" t="s">
        <v>3762</v>
      </c>
      <c r="D47" s="209" t="s">
        <v>3560</v>
      </c>
    </row>
    <row r="48" spans="1:7">
      <c r="A48" t="s">
        <v>3543</v>
      </c>
      <c r="B48" t="s">
        <v>3600</v>
      </c>
      <c r="C48" s="225"/>
    </row>
    <row r="49" spans="1:5">
      <c r="A49" t="s">
        <v>3543</v>
      </c>
      <c r="B49" s="305" t="s">
        <v>3549</v>
      </c>
      <c r="C49" s="225" t="s">
        <v>3552</v>
      </c>
    </row>
    <row r="50" spans="1:5">
      <c r="A50" t="s">
        <v>3543</v>
      </c>
      <c r="B50" s="309" t="s">
        <v>3550</v>
      </c>
      <c r="C50" s="225" t="s">
        <v>3551</v>
      </c>
    </row>
    <row r="51" spans="1:5">
      <c r="A51" t="s">
        <v>3543</v>
      </c>
      <c r="B51" s="304" t="s">
        <v>3555</v>
      </c>
      <c r="C51" s="225" t="s">
        <v>3554</v>
      </c>
    </row>
    <row r="52" spans="1:5">
      <c r="A52" t="s">
        <v>3543</v>
      </c>
      <c r="B52" s="309" t="s">
        <v>3556</v>
      </c>
      <c r="C52" s="225" t="s">
        <v>3558</v>
      </c>
    </row>
    <row r="53" spans="1:5">
      <c r="A53" t="s">
        <v>3543</v>
      </c>
      <c r="B53" s="306" t="s">
        <v>3557</v>
      </c>
      <c r="C53" s="225" t="s">
        <v>3553</v>
      </c>
    </row>
    <row r="54" spans="1:5">
      <c r="A54" t="s">
        <v>3543</v>
      </c>
      <c r="B54" s="304" t="s">
        <v>3557</v>
      </c>
      <c r="C54" s="225" t="s">
        <v>3554</v>
      </c>
    </row>
    <row r="55" spans="1:5">
      <c r="A55" t="s">
        <v>3543</v>
      </c>
      <c r="B55" s="307" t="s">
        <v>3599</v>
      </c>
      <c r="C55" s="225" t="s">
        <v>3728</v>
      </c>
    </row>
    <row r="56" spans="1:5" s="209" customFormat="1">
      <c r="C56" s="225"/>
    </row>
    <row r="57" spans="1:5" s="209" customFormat="1">
      <c r="C57" s="225"/>
      <c r="D57" s="74" t="s">
        <v>3764</v>
      </c>
      <c r="E57" s="74" t="s">
        <v>3743</v>
      </c>
    </row>
    <row r="58" spans="1:5">
      <c r="A58" t="s">
        <v>3603</v>
      </c>
      <c r="B58" s="308"/>
      <c r="C58" s="225" t="s">
        <v>3604</v>
      </c>
      <c r="D58" s="311">
        <v>2023</v>
      </c>
      <c r="E58" s="311">
        <v>2022</v>
      </c>
    </row>
    <row r="59" spans="1:5">
      <c r="B59" s="304"/>
      <c r="C59" s="225" t="s">
        <v>3605</v>
      </c>
      <c r="D59" s="311">
        <v>2022</v>
      </c>
      <c r="E59" s="311">
        <v>2021</v>
      </c>
    </row>
    <row r="60" spans="1:5">
      <c r="B60" s="309"/>
      <c r="C60" s="225" t="s">
        <v>3606</v>
      </c>
      <c r="D60" s="311">
        <v>2021</v>
      </c>
      <c r="E60" s="311">
        <v>2020</v>
      </c>
    </row>
    <row r="61" spans="1:5" ht="17.25" customHeight="1">
      <c r="B61" s="310"/>
      <c r="C61" s="225" t="s">
        <v>3607</v>
      </c>
      <c r="D61" s="311">
        <v>2020</v>
      </c>
      <c r="E61" s="311">
        <v>2019</v>
      </c>
    </row>
    <row r="62" spans="1:5">
      <c r="B62" s="305"/>
      <c r="C62" s="225" t="s">
        <v>3627</v>
      </c>
    </row>
    <row r="64" spans="1:5">
      <c r="C64" s="364" t="s">
        <v>698</v>
      </c>
    </row>
    <row r="65" spans="1:3" ht="30">
      <c r="A65" t="s">
        <v>3716</v>
      </c>
      <c r="C65" s="365" t="s">
        <v>3715</v>
      </c>
    </row>
    <row r="68" spans="1:3">
      <c r="C68" s="225"/>
    </row>
    <row r="69" spans="1:3">
      <c r="C69" s="225"/>
    </row>
    <row r="70" spans="1:3">
      <c r="C70" s="225"/>
    </row>
    <row r="71" spans="1:3" ht="45">
      <c r="A71" t="s">
        <v>3597</v>
      </c>
      <c r="B71" s="85" t="s">
        <v>263</v>
      </c>
      <c r="C71" s="301" t="s">
        <v>3598</v>
      </c>
    </row>
    <row r="74" spans="1:3">
      <c r="C74"/>
    </row>
    <row r="75" spans="1:3">
      <c r="C75"/>
    </row>
    <row r="76" spans="1:3">
      <c r="C76"/>
    </row>
    <row r="77" spans="1:3">
      <c r="C77"/>
    </row>
    <row r="78" spans="1:3">
      <c r="C78"/>
    </row>
    <row r="79" spans="1:3">
      <c r="C79"/>
    </row>
    <row r="80" spans="1:3">
      <c r="C80"/>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339"/>
  <sheetViews>
    <sheetView workbookViewId="0"/>
  </sheetViews>
  <sheetFormatPr defaultRowHeight="15"/>
  <cols>
    <col min="1" max="1" width="12.140625" style="224" bestFit="1" customWidth="1"/>
    <col min="2" max="2" width="55.5703125" style="224" bestFit="1" customWidth="1"/>
    <col min="3" max="3" width="27" style="100" bestFit="1" customWidth="1"/>
    <col min="4" max="4" width="9.140625" style="224"/>
  </cols>
  <sheetData>
    <row r="1" spans="1:4" ht="15.75" thickBot="1">
      <c r="A1" s="224" t="s">
        <v>3496</v>
      </c>
      <c r="C1" s="262">
        <f>SUM(C4:C897)</f>
        <v>459089443.14000028</v>
      </c>
    </row>
    <row r="2" spans="1:4" ht="15.75" thickTop="1">
      <c r="A2" s="97" t="s">
        <v>1633</v>
      </c>
      <c r="B2" s="97" t="s">
        <v>1634</v>
      </c>
      <c r="C2" s="98" t="s">
        <v>3495</v>
      </c>
      <c r="D2" s="224" t="s">
        <v>1635</v>
      </c>
    </row>
    <row r="3" spans="1:4">
      <c r="A3" s="104" t="s">
        <v>691</v>
      </c>
      <c r="B3" s="103" t="s">
        <v>690</v>
      </c>
      <c r="C3" s="102">
        <v>0</v>
      </c>
    </row>
    <row r="4" spans="1:4">
      <c r="A4" s="224">
        <v>70505</v>
      </c>
      <c r="B4" s="224" t="s">
        <v>723</v>
      </c>
      <c r="C4" s="100">
        <v>195765.21000000002</v>
      </c>
    </row>
    <row r="5" spans="1:4">
      <c r="A5" s="224">
        <v>71786</v>
      </c>
      <c r="B5" s="224" t="s">
        <v>1487</v>
      </c>
      <c r="C5" s="100">
        <v>7060.1</v>
      </c>
    </row>
    <row r="6" spans="1:4">
      <c r="A6" s="224">
        <v>72265</v>
      </c>
      <c r="B6" s="224" t="s">
        <v>724</v>
      </c>
      <c r="C6" s="100">
        <v>61817.369999999995</v>
      </c>
    </row>
    <row r="7" spans="1:4">
      <c r="A7" s="224">
        <v>72593</v>
      </c>
      <c r="B7" s="224" t="s">
        <v>725</v>
      </c>
      <c r="C7" s="100">
        <v>1530.78</v>
      </c>
    </row>
    <row r="8" spans="1:4">
      <c r="A8" s="224">
        <v>72657</v>
      </c>
      <c r="B8" s="224" t="s">
        <v>726</v>
      </c>
      <c r="C8" s="100">
        <v>16620.140000000003</v>
      </c>
    </row>
    <row r="9" spans="1:4">
      <c r="A9" s="224">
        <v>90001</v>
      </c>
      <c r="B9" s="224" t="s">
        <v>727</v>
      </c>
      <c r="C9" s="100">
        <v>386652.24000000005</v>
      </c>
    </row>
    <row r="10" spans="1:4">
      <c r="A10" s="224">
        <v>90002</v>
      </c>
      <c r="B10" s="224" t="s">
        <v>728</v>
      </c>
      <c r="C10" s="100">
        <v>6252.5200000000013</v>
      </c>
    </row>
    <row r="11" spans="1:4">
      <c r="A11" s="224">
        <v>90011</v>
      </c>
      <c r="B11" s="224" t="s">
        <v>729</v>
      </c>
      <c r="C11" s="100">
        <v>84204.77</v>
      </c>
    </row>
    <row r="12" spans="1:4">
      <c r="A12" s="224">
        <v>90092</v>
      </c>
      <c r="B12" s="224" t="s">
        <v>730</v>
      </c>
      <c r="C12" s="100">
        <v>186641.43</v>
      </c>
    </row>
    <row r="13" spans="1:4">
      <c r="A13" s="224">
        <v>90096</v>
      </c>
      <c r="B13" s="224" t="s">
        <v>731</v>
      </c>
      <c r="C13" s="100">
        <v>535126.60000000009</v>
      </c>
    </row>
    <row r="14" spans="1:4">
      <c r="A14" s="224">
        <v>90098</v>
      </c>
      <c r="B14" s="224" t="s">
        <v>732</v>
      </c>
      <c r="C14" s="100">
        <v>140183.54999999999</v>
      </c>
    </row>
    <row r="15" spans="1:4">
      <c r="A15" s="224">
        <v>90099</v>
      </c>
      <c r="B15" s="224" t="s">
        <v>733</v>
      </c>
      <c r="C15" s="100">
        <v>271208.03000000003</v>
      </c>
    </row>
    <row r="16" spans="1:4">
      <c r="A16" s="224">
        <v>90101</v>
      </c>
      <c r="B16" s="224" t="s">
        <v>734</v>
      </c>
      <c r="C16" s="100">
        <v>2960721.15</v>
      </c>
    </row>
    <row r="17" spans="1:3">
      <c r="A17" s="224">
        <v>90111</v>
      </c>
      <c r="B17" s="224" t="s">
        <v>735</v>
      </c>
      <c r="C17" s="100">
        <v>2229765.8200000003</v>
      </c>
    </row>
    <row r="18" spans="1:3">
      <c r="A18" s="224">
        <v>90114</v>
      </c>
      <c r="B18" s="224" t="s">
        <v>736</v>
      </c>
      <c r="C18" s="100">
        <v>1108463.6299999999</v>
      </c>
    </row>
    <row r="19" spans="1:3">
      <c r="A19" s="224">
        <v>90117</v>
      </c>
      <c r="B19" s="224" t="s">
        <v>737</v>
      </c>
      <c r="C19" s="100">
        <v>80146.720000000001</v>
      </c>
    </row>
    <row r="20" spans="1:3">
      <c r="A20" s="224">
        <v>90121</v>
      </c>
      <c r="B20" s="224" t="s">
        <v>738</v>
      </c>
      <c r="C20" s="100">
        <v>452142.02</v>
      </c>
    </row>
    <row r="21" spans="1:3">
      <c r="A21" s="224">
        <v>90131</v>
      </c>
      <c r="B21" s="224" t="s">
        <v>739</v>
      </c>
      <c r="C21" s="100">
        <v>207243.40000000002</v>
      </c>
    </row>
    <row r="22" spans="1:3">
      <c r="A22" s="224">
        <v>90141</v>
      </c>
      <c r="B22" s="224" t="s">
        <v>740</v>
      </c>
      <c r="C22" s="100">
        <v>62654.990000000005</v>
      </c>
    </row>
    <row r="23" spans="1:3">
      <c r="A23" s="224">
        <v>90151</v>
      </c>
      <c r="B23" s="224" t="s">
        <v>741</v>
      </c>
      <c r="C23" s="100">
        <v>3085.3200000000011</v>
      </c>
    </row>
    <row r="24" spans="1:3">
      <c r="A24" s="224">
        <v>90161</v>
      </c>
      <c r="B24" s="224" t="s">
        <v>742</v>
      </c>
      <c r="C24" s="100">
        <v>15626.57</v>
      </c>
    </row>
    <row r="25" spans="1:3">
      <c r="A25" s="224">
        <v>90201</v>
      </c>
      <c r="B25" s="224" t="s">
        <v>743</v>
      </c>
      <c r="C25" s="100">
        <v>536124.22</v>
      </c>
    </row>
    <row r="26" spans="1:3">
      <c r="A26" s="224">
        <v>90203</v>
      </c>
      <c r="B26" s="224" t="s">
        <v>744</v>
      </c>
      <c r="C26" s="100">
        <v>91056.15</v>
      </c>
    </row>
    <row r="27" spans="1:3">
      <c r="A27" s="224">
        <v>90205</v>
      </c>
      <c r="B27" s="224" t="s">
        <v>745</v>
      </c>
      <c r="C27" s="100">
        <v>14232.99</v>
      </c>
    </row>
    <row r="28" spans="1:3">
      <c r="A28" s="224">
        <v>90206</v>
      </c>
      <c r="B28" s="224" t="s">
        <v>746</v>
      </c>
      <c r="C28" s="100">
        <v>184249.21999999997</v>
      </c>
    </row>
    <row r="29" spans="1:3">
      <c r="A29" s="224">
        <v>90211</v>
      </c>
      <c r="B29" s="224" t="s">
        <v>747</v>
      </c>
      <c r="C29" s="100">
        <v>71260.37</v>
      </c>
    </row>
    <row r="30" spans="1:3">
      <c r="A30" s="224">
        <v>90301</v>
      </c>
      <c r="B30" s="224" t="s">
        <v>748</v>
      </c>
      <c r="C30" s="100">
        <v>280575.03000000003</v>
      </c>
    </row>
    <row r="31" spans="1:3">
      <c r="A31" s="224">
        <v>90305</v>
      </c>
      <c r="B31" s="224" t="s">
        <v>749</v>
      </c>
      <c r="C31" s="100">
        <v>85892.08</v>
      </c>
    </row>
    <row r="32" spans="1:3">
      <c r="A32" s="224">
        <v>90307</v>
      </c>
      <c r="B32" s="224" t="s">
        <v>750</v>
      </c>
      <c r="C32" s="100">
        <v>4130.3200000000006</v>
      </c>
    </row>
    <row r="33" spans="1:3">
      <c r="A33" s="224">
        <v>90401</v>
      </c>
      <c r="B33" s="224" t="s">
        <v>751</v>
      </c>
      <c r="C33" s="100">
        <v>624954.77000000014</v>
      </c>
    </row>
    <row r="34" spans="1:3">
      <c r="A34" s="224">
        <v>90411</v>
      </c>
      <c r="B34" s="224" t="s">
        <v>752</v>
      </c>
      <c r="C34" s="100">
        <v>152316.79999999999</v>
      </c>
    </row>
    <row r="35" spans="1:3">
      <c r="A35" s="224">
        <v>90413</v>
      </c>
      <c r="B35" s="224" t="s">
        <v>753</v>
      </c>
      <c r="C35" s="100">
        <v>17002.28</v>
      </c>
    </row>
    <row r="36" spans="1:3">
      <c r="A36" s="224">
        <v>90417</v>
      </c>
      <c r="B36" s="224" t="s">
        <v>754</v>
      </c>
      <c r="C36" s="100">
        <v>8372.39</v>
      </c>
    </row>
    <row r="37" spans="1:3">
      <c r="A37" s="224">
        <v>90421</v>
      </c>
      <c r="B37" s="224" t="s">
        <v>755</v>
      </c>
      <c r="C37" s="100">
        <v>8533.869999999999</v>
      </c>
    </row>
    <row r="38" spans="1:3">
      <c r="A38" s="224">
        <v>90431</v>
      </c>
      <c r="B38" s="224" t="s">
        <v>756</v>
      </c>
      <c r="C38" s="100">
        <v>21843.879999999997</v>
      </c>
    </row>
    <row r="39" spans="1:3">
      <c r="A39" s="224">
        <v>90441</v>
      </c>
      <c r="B39" s="224" t="s">
        <v>757</v>
      </c>
      <c r="C39" s="100">
        <v>4909.9899999999989</v>
      </c>
    </row>
    <row r="40" spans="1:3">
      <c r="A40" s="224">
        <v>90451</v>
      </c>
      <c r="B40" s="224" t="s">
        <v>758</v>
      </c>
      <c r="C40" s="100">
        <v>7776.4400000000014</v>
      </c>
    </row>
    <row r="41" spans="1:3">
      <c r="A41" s="224">
        <v>90461</v>
      </c>
      <c r="B41" s="224" t="s">
        <v>759</v>
      </c>
      <c r="C41" s="100">
        <v>3690.6500000000005</v>
      </c>
    </row>
    <row r="42" spans="1:3">
      <c r="A42" s="224">
        <v>90501</v>
      </c>
      <c r="B42" s="224" t="s">
        <v>760</v>
      </c>
      <c r="C42" s="100">
        <v>670210.41999999993</v>
      </c>
    </row>
    <row r="43" spans="1:3">
      <c r="A43" s="224">
        <v>90507</v>
      </c>
      <c r="B43" s="224" t="s">
        <v>34</v>
      </c>
      <c r="C43" s="100">
        <v>10407.639999999998</v>
      </c>
    </row>
    <row r="44" spans="1:3">
      <c r="A44" s="224">
        <v>90511</v>
      </c>
      <c r="B44" s="224" t="s">
        <v>761</v>
      </c>
      <c r="C44" s="100">
        <v>52403.39</v>
      </c>
    </row>
    <row r="45" spans="1:3">
      <c r="A45" s="224">
        <v>90521</v>
      </c>
      <c r="B45" s="224" t="s">
        <v>762</v>
      </c>
      <c r="C45" s="100">
        <v>56198.41</v>
      </c>
    </row>
    <row r="46" spans="1:3">
      <c r="A46" s="224">
        <v>90601</v>
      </c>
      <c r="B46" s="224" t="s">
        <v>763</v>
      </c>
      <c r="C46" s="100">
        <v>540984.88</v>
      </c>
    </row>
    <row r="47" spans="1:3">
      <c r="A47" s="224">
        <v>90602</v>
      </c>
      <c r="B47" s="224" t="s">
        <v>259</v>
      </c>
      <c r="C47" s="100">
        <v>34827.93</v>
      </c>
    </row>
    <row r="48" spans="1:3">
      <c r="A48" s="224">
        <v>90605</v>
      </c>
      <c r="B48" s="224" t="s">
        <v>764</v>
      </c>
      <c r="C48" s="100">
        <v>25460.899999999998</v>
      </c>
    </row>
    <row r="49" spans="1:3">
      <c r="A49" s="224">
        <v>90611</v>
      </c>
      <c r="B49" s="224" t="s">
        <v>765</v>
      </c>
      <c r="C49" s="100">
        <v>64370.780000000006</v>
      </c>
    </row>
    <row r="50" spans="1:3">
      <c r="A50" s="224">
        <v>90617</v>
      </c>
      <c r="B50" s="224" t="s">
        <v>766</v>
      </c>
      <c r="C50" s="100">
        <v>15820.72</v>
      </c>
    </row>
    <row r="51" spans="1:3">
      <c r="A51" s="224">
        <v>90621</v>
      </c>
      <c r="B51" s="224" t="s">
        <v>767</v>
      </c>
      <c r="C51" s="100">
        <v>27531.68</v>
      </c>
    </row>
    <row r="52" spans="1:3">
      <c r="A52" s="224">
        <v>90631</v>
      </c>
      <c r="B52" s="224" t="s">
        <v>768</v>
      </c>
      <c r="C52" s="100">
        <v>175401.58999999997</v>
      </c>
    </row>
    <row r="53" spans="1:3">
      <c r="A53" s="224">
        <v>90641</v>
      </c>
      <c r="B53" s="224" t="s">
        <v>769</v>
      </c>
      <c r="C53" s="100">
        <v>6943.8999999999987</v>
      </c>
    </row>
    <row r="54" spans="1:3">
      <c r="A54" s="224">
        <v>90651</v>
      </c>
      <c r="B54" s="224" t="s">
        <v>770</v>
      </c>
      <c r="C54" s="100">
        <v>98054.44</v>
      </c>
    </row>
    <row r="55" spans="1:3">
      <c r="A55" s="224">
        <v>90701</v>
      </c>
      <c r="B55" s="224" t="s">
        <v>771</v>
      </c>
      <c r="C55" s="100">
        <v>1110621.1499999994</v>
      </c>
    </row>
    <row r="56" spans="1:3">
      <c r="A56" s="224">
        <v>90704</v>
      </c>
      <c r="B56" s="224" t="s">
        <v>772</v>
      </c>
      <c r="C56" s="100">
        <v>23859.120000000003</v>
      </c>
    </row>
    <row r="57" spans="1:3">
      <c r="A57" s="224">
        <v>90705</v>
      </c>
      <c r="B57" s="224" t="s">
        <v>773</v>
      </c>
      <c r="C57" s="100">
        <v>23099.5</v>
      </c>
    </row>
    <row r="58" spans="1:3">
      <c r="A58" s="224">
        <v>90709</v>
      </c>
      <c r="B58" s="224" t="s">
        <v>774</v>
      </c>
      <c r="C58" s="100">
        <v>61709.799999999996</v>
      </c>
    </row>
    <row r="59" spans="1:3">
      <c r="A59" s="224">
        <v>90711</v>
      </c>
      <c r="B59" s="224" t="s">
        <v>775</v>
      </c>
      <c r="C59" s="100">
        <v>774256.15</v>
      </c>
    </row>
    <row r="60" spans="1:3">
      <c r="A60" s="224">
        <v>90721</v>
      </c>
      <c r="B60" s="224" t="s">
        <v>776</v>
      </c>
      <c r="C60" s="100">
        <v>15288.730000000001</v>
      </c>
    </row>
    <row r="61" spans="1:3">
      <c r="A61" s="224">
        <v>90731</v>
      </c>
      <c r="B61" s="224" t="s">
        <v>777</v>
      </c>
      <c r="C61" s="100">
        <v>79539.97</v>
      </c>
    </row>
    <row r="62" spans="1:3">
      <c r="A62" s="224">
        <v>90741</v>
      </c>
      <c r="B62" s="224" t="s">
        <v>778</v>
      </c>
      <c r="C62" s="100">
        <v>6432.99</v>
      </c>
    </row>
    <row r="63" spans="1:3">
      <c r="A63" s="224">
        <v>90751</v>
      </c>
      <c r="B63" s="224" t="s">
        <v>779</v>
      </c>
      <c r="C63" s="100">
        <v>27590.68</v>
      </c>
    </row>
    <row r="64" spans="1:3">
      <c r="A64" s="224">
        <v>90801</v>
      </c>
      <c r="B64" s="224" t="s">
        <v>780</v>
      </c>
      <c r="C64" s="100">
        <v>521155.69000000006</v>
      </c>
    </row>
    <row r="65" spans="1:3">
      <c r="A65" s="224">
        <v>90804</v>
      </c>
      <c r="B65" s="224" t="s">
        <v>781</v>
      </c>
      <c r="C65" s="100">
        <v>2751.1200000000008</v>
      </c>
    </row>
    <row r="66" spans="1:3">
      <c r="A66" s="224">
        <v>90805</v>
      </c>
      <c r="B66" s="224" t="s">
        <v>782</v>
      </c>
      <c r="C66" s="100">
        <v>35600.44</v>
      </c>
    </row>
    <row r="67" spans="1:3">
      <c r="A67" s="224">
        <v>90808</v>
      </c>
      <c r="B67" s="224" t="s">
        <v>783</v>
      </c>
      <c r="C67" s="100">
        <v>56029.3</v>
      </c>
    </row>
    <row r="68" spans="1:3">
      <c r="A68" s="224">
        <v>90811</v>
      </c>
      <c r="B68" s="224" t="s">
        <v>784</v>
      </c>
      <c r="C68" s="100">
        <v>11655.32</v>
      </c>
    </row>
    <row r="69" spans="1:3">
      <c r="A69" s="224">
        <v>90812</v>
      </c>
      <c r="B69" s="224" t="s">
        <v>785</v>
      </c>
      <c r="C69" s="100">
        <v>105039.99</v>
      </c>
    </row>
    <row r="70" spans="1:3">
      <c r="A70" s="224">
        <v>90813</v>
      </c>
      <c r="B70" s="224" t="s">
        <v>786</v>
      </c>
      <c r="C70" s="100">
        <v>2060.62</v>
      </c>
    </row>
    <row r="71" spans="1:3">
      <c r="A71" s="224">
        <v>90861</v>
      </c>
      <c r="B71" s="224" t="s">
        <v>787</v>
      </c>
      <c r="C71" s="100">
        <v>3702.7200000000007</v>
      </c>
    </row>
    <row r="72" spans="1:3">
      <c r="A72" s="224">
        <v>90901</v>
      </c>
      <c r="B72" s="224" t="s">
        <v>788</v>
      </c>
      <c r="C72" s="100">
        <v>980897.39</v>
      </c>
    </row>
    <row r="73" spans="1:3">
      <c r="A73" s="224">
        <v>90911</v>
      </c>
      <c r="B73" s="224" t="s">
        <v>789</v>
      </c>
      <c r="C73" s="100">
        <v>159535.13999999998</v>
      </c>
    </row>
    <row r="74" spans="1:3">
      <c r="A74" s="224">
        <v>90917</v>
      </c>
      <c r="B74" s="224" t="s">
        <v>790</v>
      </c>
      <c r="C74" s="100">
        <v>5783.6</v>
      </c>
    </row>
    <row r="75" spans="1:3">
      <c r="A75" s="224">
        <v>90918</v>
      </c>
      <c r="B75" s="224" t="s">
        <v>791</v>
      </c>
      <c r="C75" s="100">
        <v>4772.9300000000012</v>
      </c>
    </row>
    <row r="76" spans="1:3">
      <c r="A76" s="224">
        <v>90921</v>
      </c>
      <c r="B76" s="224" t="s">
        <v>792</v>
      </c>
      <c r="C76" s="100">
        <v>59485.69</v>
      </c>
    </row>
    <row r="77" spans="1:3">
      <c r="A77" s="224">
        <v>90931</v>
      </c>
      <c r="B77" s="224" t="s">
        <v>793</v>
      </c>
      <c r="C77" s="100">
        <v>16167.949999999997</v>
      </c>
    </row>
    <row r="78" spans="1:3">
      <c r="A78" s="224">
        <v>90941</v>
      </c>
      <c r="B78" s="224" t="s">
        <v>794</v>
      </c>
      <c r="C78" s="100">
        <v>35454.619999999995</v>
      </c>
    </row>
    <row r="79" spans="1:3">
      <c r="A79" s="224">
        <v>91001</v>
      </c>
      <c r="B79" s="224" t="s">
        <v>795</v>
      </c>
      <c r="C79" s="100">
        <v>2867177.59</v>
      </c>
    </row>
    <row r="80" spans="1:3">
      <c r="A80" s="224">
        <v>91002</v>
      </c>
      <c r="B80" s="224" t="s">
        <v>796</v>
      </c>
      <c r="C80" s="100">
        <v>257314.64999999997</v>
      </c>
    </row>
    <row r="81" spans="1:3">
      <c r="A81" s="224">
        <v>91003</v>
      </c>
      <c r="B81" s="224" t="s">
        <v>797</v>
      </c>
      <c r="C81" s="100">
        <v>268788.57</v>
      </c>
    </row>
    <row r="82" spans="1:3">
      <c r="A82" s="224">
        <v>91004</v>
      </c>
      <c r="B82" s="224" t="s">
        <v>798</v>
      </c>
      <c r="C82" s="100">
        <v>13567.85</v>
      </c>
    </row>
    <row r="83" spans="1:3">
      <c r="A83" s="224">
        <v>91006</v>
      </c>
      <c r="B83" s="224" t="s">
        <v>799</v>
      </c>
      <c r="C83" s="100">
        <v>446629.41</v>
      </c>
    </row>
    <row r="84" spans="1:3">
      <c r="A84" s="224">
        <v>91007</v>
      </c>
      <c r="B84" s="224" t="s">
        <v>800</v>
      </c>
      <c r="C84" s="100">
        <v>9502.15</v>
      </c>
    </row>
    <row r="85" spans="1:3">
      <c r="A85" s="224">
        <v>91008</v>
      </c>
      <c r="B85" s="224" t="s">
        <v>801</v>
      </c>
      <c r="C85" s="100">
        <v>68974.3</v>
      </c>
    </row>
    <row r="86" spans="1:3">
      <c r="A86" s="224">
        <v>91009</v>
      </c>
      <c r="B86" s="224" t="s">
        <v>802</v>
      </c>
      <c r="C86" s="100">
        <v>11391.89</v>
      </c>
    </row>
    <row r="87" spans="1:3">
      <c r="A87" s="224">
        <v>91010</v>
      </c>
      <c r="B87" s="224" t="s">
        <v>803</v>
      </c>
      <c r="C87" s="100">
        <v>32517.29</v>
      </c>
    </row>
    <row r="88" spans="1:3">
      <c r="A88" s="224">
        <v>91011</v>
      </c>
      <c r="B88" s="224" t="s">
        <v>804</v>
      </c>
      <c r="C88" s="100">
        <v>159847.21000000002</v>
      </c>
    </row>
    <row r="89" spans="1:3">
      <c r="A89" s="224">
        <v>91012</v>
      </c>
      <c r="B89" s="224" t="s">
        <v>805</v>
      </c>
      <c r="C89" s="100">
        <v>8622.4599999999991</v>
      </c>
    </row>
    <row r="90" spans="1:3">
      <c r="A90" s="224">
        <v>91013</v>
      </c>
      <c r="B90" s="224" t="s">
        <v>806</v>
      </c>
      <c r="C90" s="100">
        <v>29321.600000000002</v>
      </c>
    </row>
    <row r="91" spans="1:3">
      <c r="A91" s="224">
        <v>91014</v>
      </c>
      <c r="B91" s="224" t="s">
        <v>807</v>
      </c>
      <c r="C91" s="100">
        <v>97691.510000000009</v>
      </c>
    </row>
    <row r="92" spans="1:3">
      <c r="A92" s="224">
        <v>91015</v>
      </c>
      <c r="B92" s="224" t="s">
        <v>1636</v>
      </c>
      <c r="C92" s="100">
        <v>3402</v>
      </c>
    </row>
    <row r="93" spans="1:3">
      <c r="A93" s="224">
        <v>91017</v>
      </c>
      <c r="B93" s="224" t="s">
        <v>808</v>
      </c>
      <c r="C93" s="100">
        <v>12461.869999999999</v>
      </c>
    </row>
    <row r="94" spans="1:3">
      <c r="A94" s="224">
        <v>91020</v>
      </c>
      <c r="B94" s="224" t="s">
        <v>809</v>
      </c>
      <c r="C94" s="100">
        <v>10948.67</v>
      </c>
    </row>
    <row r="95" spans="1:3">
      <c r="A95" s="224">
        <v>91021</v>
      </c>
      <c r="B95" s="224" t="s">
        <v>810</v>
      </c>
      <c r="C95" s="100">
        <v>387781.66</v>
      </c>
    </row>
    <row r="96" spans="1:3">
      <c r="A96" s="224">
        <v>91024</v>
      </c>
      <c r="B96" s="224" t="s">
        <v>811</v>
      </c>
      <c r="C96" s="100">
        <v>34457.870000000003</v>
      </c>
    </row>
    <row r="97" spans="1:3">
      <c r="A97" s="224">
        <v>91026</v>
      </c>
      <c r="B97" s="224" t="s">
        <v>43</v>
      </c>
      <c r="C97" s="100">
        <v>40780.620000000003</v>
      </c>
    </row>
    <row r="98" spans="1:3">
      <c r="A98" s="224">
        <v>91027</v>
      </c>
      <c r="B98" s="224" t="s">
        <v>812</v>
      </c>
      <c r="C98" s="100">
        <v>15968.389999999998</v>
      </c>
    </row>
    <row r="99" spans="1:3">
      <c r="A99" s="224">
        <v>91032</v>
      </c>
      <c r="B99" s="224" t="s">
        <v>813</v>
      </c>
      <c r="C99" s="100">
        <v>16167.770000000002</v>
      </c>
    </row>
    <row r="100" spans="1:3">
      <c r="A100" s="224">
        <v>91041</v>
      </c>
      <c r="B100" s="224" t="s">
        <v>814</v>
      </c>
      <c r="C100" s="100">
        <v>157510.79</v>
      </c>
    </row>
    <row r="101" spans="1:3">
      <c r="A101" s="224">
        <v>91042</v>
      </c>
      <c r="B101" s="224" t="s">
        <v>815</v>
      </c>
      <c r="C101" s="100">
        <v>99550.59</v>
      </c>
    </row>
    <row r="102" spans="1:3">
      <c r="A102" s="224">
        <v>91047</v>
      </c>
      <c r="B102" s="224" t="s">
        <v>816</v>
      </c>
      <c r="C102" s="100">
        <v>16395.95</v>
      </c>
    </row>
    <row r="103" spans="1:3">
      <c r="A103" s="224">
        <v>91051</v>
      </c>
      <c r="B103" s="224" t="s">
        <v>817</v>
      </c>
      <c r="C103" s="100">
        <v>30963.920000000006</v>
      </c>
    </row>
    <row r="104" spans="1:3">
      <c r="A104" s="224">
        <v>91057</v>
      </c>
      <c r="B104" s="224" t="s">
        <v>818</v>
      </c>
      <c r="C104" s="100">
        <v>9616.17</v>
      </c>
    </row>
    <row r="105" spans="1:3">
      <c r="A105" s="224">
        <v>91061</v>
      </c>
      <c r="B105" s="224" t="s">
        <v>819</v>
      </c>
      <c r="C105" s="100">
        <v>172504.15000000002</v>
      </c>
    </row>
    <row r="106" spans="1:3">
      <c r="A106" s="224">
        <v>91067</v>
      </c>
      <c r="B106" s="224" t="s">
        <v>820</v>
      </c>
      <c r="C106" s="100">
        <v>9046.159999999998</v>
      </c>
    </row>
    <row r="107" spans="1:3">
      <c r="A107" s="224">
        <v>91071</v>
      </c>
      <c r="B107" s="224" t="s">
        <v>821</v>
      </c>
      <c r="C107" s="100">
        <v>93244.52</v>
      </c>
    </row>
    <row r="108" spans="1:3">
      <c r="A108" s="224">
        <v>91077</v>
      </c>
      <c r="B108" s="224" t="s">
        <v>822</v>
      </c>
      <c r="C108" s="100">
        <v>3277.2500000000005</v>
      </c>
    </row>
    <row r="109" spans="1:3">
      <c r="A109" s="224">
        <v>91081</v>
      </c>
      <c r="B109" s="224" t="s">
        <v>823</v>
      </c>
      <c r="C109" s="100">
        <v>169111.91999999998</v>
      </c>
    </row>
    <row r="110" spans="1:3">
      <c r="A110" s="224">
        <v>91091</v>
      </c>
      <c r="B110" s="224" t="s">
        <v>824</v>
      </c>
      <c r="C110" s="100">
        <v>225749.38999999998</v>
      </c>
    </row>
    <row r="111" spans="1:3">
      <c r="A111" s="224">
        <v>91101</v>
      </c>
      <c r="B111" s="224" t="s">
        <v>825</v>
      </c>
      <c r="C111" s="100">
        <v>5894550.5700000012</v>
      </c>
    </row>
    <row r="112" spans="1:3">
      <c r="A112" s="224">
        <v>91102</v>
      </c>
      <c r="B112" s="224" t="s">
        <v>826</v>
      </c>
      <c r="C112" s="100">
        <v>156560.34</v>
      </c>
    </row>
    <row r="113" spans="1:3">
      <c r="A113" s="224">
        <v>91104</v>
      </c>
      <c r="B113" s="224" t="s">
        <v>827</v>
      </c>
      <c r="C113" s="100">
        <v>5627.5300000000007</v>
      </c>
    </row>
    <row r="114" spans="1:3">
      <c r="A114" s="224">
        <v>91107</v>
      </c>
      <c r="B114" s="224" t="s">
        <v>828</v>
      </c>
      <c r="C114" s="100">
        <v>36616.22</v>
      </c>
    </row>
    <row r="115" spans="1:3">
      <c r="A115" s="224">
        <v>91108</v>
      </c>
      <c r="B115" s="224" t="s">
        <v>829</v>
      </c>
      <c r="C115" s="100">
        <v>613475.99</v>
      </c>
    </row>
    <row r="116" spans="1:3">
      <c r="A116" s="224">
        <v>91109</v>
      </c>
      <c r="B116" s="224" t="s">
        <v>830</v>
      </c>
      <c r="C116" s="100">
        <v>45066.209999999992</v>
      </c>
    </row>
    <row r="117" spans="1:3">
      <c r="A117" s="224">
        <v>91111</v>
      </c>
      <c r="B117" s="224" t="s">
        <v>831</v>
      </c>
      <c r="C117" s="100">
        <v>110902.83</v>
      </c>
    </row>
    <row r="118" spans="1:3">
      <c r="A118" s="224">
        <v>91120</v>
      </c>
      <c r="B118" s="224" t="s">
        <v>832</v>
      </c>
      <c r="C118" s="100">
        <v>45448.52</v>
      </c>
    </row>
    <row r="119" spans="1:3">
      <c r="A119" s="224">
        <v>91121</v>
      </c>
      <c r="B119" s="224" t="s">
        <v>833</v>
      </c>
      <c r="C119" s="100">
        <v>4272051.3500000006</v>
      </c>
    </row>
    <row r="120" spans="1:3">
      <c r="A120" s="224">
        <v>91127</v>
      </c>
      <c r="B120" s="224" t="s">
        <v>834</v>
      </c>
      <c r="C120" s="100">
        <v>146935.43</v>
      </c>
    </row>
    <row r="121" spans="1:3">
      <c r="A121" s="224">
        <v>91128</v>
      </c>
      <c r="B121" s="224" t="s">
        <v>835</v>
      </c>
      <c r="C121" s="100">
        <v>238305.36999999997</v>
      </c>
    </row>
    <row r="122" spans="1:3">
      <c r="A122" s="224">
        <v>91138</v>
      </c>
      <c r="B122" s="224" t="s">
        <v>836</v>
      </c>
      <c r="C122" s="100">
        <v>220646.32000000004</v>
      </c>
    </row>
    <row r="123" spans="1:3">
      <c r="A123" s="224">
        <v>91141</v>
      </c>
      <c r="B123" s="224" t="s">
        <v>837</v>
      </c>
      <c r="C123" s="100">
        <v>236315.18</v>
      </c>
    </row>
    <row r="124" spans="1:3">
      <c r="A124" s="224">
        <v>91147</v>
      </c>
      <c r="B124" s="224" t="s">
        <v>838</v>
      </c>
      <c r="C124" s="100">
        <v>12125.199999999999</v>
      </c>
    </row>
    <row r="125" spans="1:3">
      <c r="A125" s="224">
        <v>91151</v>
      </c>
      <c r="B125" s="224" t="s">
        <v>839</v>
      </c>
      <c r="C125" s="100">
        <v>254759.84000000003</v>
      </c>
    </row>
    <row r="126" spans="1:3">
      <c r="A126" s="224">
        <v>91154</v>
      </c>
      <c r="B126" s="224" t="s">
        <v>840</v>
      </c>
      <c r="C126" s="100">
        <v>10901.680000000002</v>
      </c>
    </row>
    <row r="127" spans="1:3">
      <c r="A127" s="224">
        <v>91161</v>
      </c>
      <c r="B127" s="224" t="s">
        <v>841</v>
      </c>
      <c r="C127" s="100">
        <v>44456.920000000006</v>
      </c>
    </row>
    <row r="128" spans="1:3">
      <c r="A128" s="224">
        <v>91171</v>
      </c>
      <c r="B128" s="224" t="s">
        <v>842</v>
      </c>
      <c r="C128" s="100">
        <v>93650.89</v>
      </c>
    </row>
    <row r="129" spans="1:3">
      <c r="A129" s="224">
        <v>91201</v>
      </c>
      <c r="B129" s="224" t="s">
        <v>843</v>
      </c>
      <c r="C129" s="100">
        <v>970290.71999999974</v>
      </c>
    </row>
    <row r="130" spans="1:3">
      <c r="A130" s="224">
        <v>91202</v>
      </c>
      <c r="B130" s="224" t="s">
        <v>844</v>
      </c>
      <c r="C130" s="100">
        <v>96478.459999999992</v>
      </c>
    </row>
    <row r="131" spans="1:3">
      <c r="A131" s="224">
        <v>91203</v>
      </c>
      <c r="B131" s="224" t="s">
        <v>845</v>
      </c>
      <c r="C131" s="100">
        <v>127249.16000000002</v>
      </c>
    </row>
    <row r="132" spans="1:3">
      <c r="A132" s="224">
        <v>91206</v>
      </c>
      <c r="B132" s="224" t="s">
        <v>846</v>
      </c>
      <c r="C132" s="100">
        <v>388200.35</v>
      </c>
    </row>
    <row r="133" spans="1:3">
      <c r="A133" s="224">
        <v>91208</v>
      </c>
      <c r="B133" s="224" t="s">
        <v>847</v>
      </c>
      <c r="C133" s="100">
        <v>6397.7599999999993</v>
      </c>
    </row>
    <row r="134" spans="1:3">
      <c r="A134" s="224">
        <v>91211</v>
      </c>
      <c r="B134" s="224" t="s">
        <v>848</v>
      </c>
      <c r="C134" s="100">
        <v>223513.02000000002</v>
      </c>
    </row>
    <row r="135" spans="1:3">
      <c r="A135" s="224">
        <v>91213</v>
      </c>
      <c r="B135" s="224" t="s">
        <v>849</v>
      </c>
      <c r="C135" s="100">
        <v>12090.400000000001</v>
      </c>
    </row>
    <row r="136" spans="1:3">
      <c r="A136" s="224">
        <v>91214</v>
      </c>
      <c r="B136" s="224" t="s">
        <v>850</v>
      </c>
      <c r="C136" s="100">
        <v>9668.68</v>
      </c>
    </row>
    <row r="137" spans="1:3">
      <c r="A137" s="224">
        <v>91217</v>
      </c>
      <c r="B137" s="224" t="s">
        <v>851</v>
      </c>
      <c r="C137" s="100">
        <v>14934.26</v>
      </c>
    </row>
    <row r="138" spans="1:3">
      <c r="A138" s="224">
        <v>91221</v>
      </c>
      <c r="B138" s="224" t="s">
        <v>852</v>
      </c>
      <c r="C138" s="100">
        <v>59449.12999999999</v>
      </c>
    </row>
    <row r="139" spans="1:3">
      <c r="A139" s="224">
        <v>91231</v>
      </c>
      <c r="B139" s="224" t="s">
        <v>853</v>
      </c>
      <c r="C139" s="100">
        <v>867955.41</v>
      </c>
    </row>
    <row r="140" spans="1:3">
      <c r="A140" s="224">
        <v>91233</v>
      </c>
      <c r="B140" s="224" t="s">
        <v>854</v>
      </c>
      <c r="C140" s="100">
        <v>21828.269999999997</v>
      </c>
    </row>
    <row r="141" spans="1:3">
      <c r="A141" s="224">
        <v>91241</v>
      </c>
      <c r="B141" s="224" t="s">
        <v>855</v>
      </c>
      <c r="C141" s="100">
        <v>17215.53</v>
      </c>
    </row>
    <row r="142" spans="1:3">
      <c r="A142" s="224">
        <v>91251</v>
      </c>
      <c r="B142" s="224" t="s">
        <v>856</v>
      </c>
      <c r="C142" s="100">
        <v>11338.78</v>
      </c>
    </row>
    <row r="143" spans="1:3">
      <c r="A143" s="224">
        <v>91261</v>
      </c>
      <c r="B143" s="224" t="s">
        <v>857</v>
      </c>
      <c r="C143" s="100">
        <v>4665.82</v>
      </c>
    </row>
    <row r="144" spans="1:3">
      <c r="A144" s="224">
        <v>91301</v>
      </c>
      <c r="B144" s="224" t="s">
        <v>858</v>
      </c>
      <c r="C144" s="100">
        <v>3428603.0299999993</v>
      </c>
    </row>
    <row r="145" spans="1:3">
      <c r="A145" s="224">
        <v>91302</v>
      </c>
      <c r="B145" s="224" t="s">
        <v>859</v>
      </c>
      <c r="C145" s="100">
        <v>259187.16</v>
      </c>
    </row>
    <row r="146" spans="1:3">
      <c r="A146" s="224">
        <v>91306</v>
      </c>
      <c r="B146" s="224" t="s">
        <v>860</v>
      </c>
      <c r="C146" s="100">
        <v>766697.58</v>
      </c>
    </row>
    <row r="147" spans="1:3">
      <c r="A147" s="224">
        <v>91308</v>
      </c>
      <c r="B147" s="224" t="s">
        <v>861</v>
      </c>
      <c r="C147" s="100">
        <v>80232.03</v>
      </c>
    </row>
    <row r="148" spans="1:3">
      <c r="A148" s="224">
        <v>91311</v>
      </c>
      <c r="B148" s="224" t="s">
        <v>862</v>
      </c>
      <c r="C148" s="100">
        <v>3305761.2899999996</v>
      </c>
    </row>
    <row r="149" spans="1:3">
      <c r="A149" s="224">
        <v>91317</v>
      </c>
      <c r="B149" s="224" t="s">
        <v>863</v>
      </c>
      <c r="C149" s="100">
        <v>50865.250000000007</v>
      </c>
    </row>
    <row r="150" spans="1:3">
      <c r="A150" s="224">
        <v>91321</v>
      </c>
      <c r="B150" s="224" t="s">
        <v>864</v>
      </c>
      <c r="C150" s="100">
        <v>37213.020000000004</v>
      </c>
    </row>
    <row r="151" spans="1:3">
      <c r="A151" s="224">
        <v>91327</v>
      </c>
      <c r="B151" s="224" t="s">
        <v>865</v>
      </c>
      <c r="C151" s="100">
        <v>4494.54</v>
      </c>
    </row>
    <row r="152" spans="1:3">
      <c r="A152" s="224">
        <v>91331</v>
      </c>
      <c r="B152" s="224" t="s">
        <v>866</v>
      </c>
      <c r="C152" s="100">
        <v>1190887.2599999998</v>
      </c>
    </row>
    <row r="153" spans="1:3">
      <c r="A153" s="224">
        <v>91341</v>
      </c>
      <c r="B153" s="224" t="s">
        <v>867</v>
      </c>
      <c r="C153" s="100">
        <v>9160.6</v>
      </c>
    </row>
    <row r="154" spans="1:3">
      <c r="A154" s="224">
        <v>91401</v>
      </c>
      <c r="B154" s="224" t="s">
        <v>868</v>
      </c>
      <c r="C154" s="100">
        <v>1559429.54</v>
      </c>
    </row>
    <row r="155" spans="1:3">
      <c r="A155" s="224">
        <v>91411</v>
      </c>
      <c r="B155" s="224" t="s">
        <v>869</v>
      </c>
      <c r="C155" s="100">
        <v>168365.22</v>
      </c>
    </row>
    <row r="156" spans="1:3">
      <c r="A156" s="224">
        <v>91417</v>
      </c>
      <c r="B156" s="224" t="s">
        <v>870</v>
      </c>
      <c r="C156" s="100">
        <v>5288.7199999999993</v>
      </c>
    </row>
    <row r="157" spans="1:3">
      <c r="A157" s="224">
        <v>91421</v>
      </c>
      <c r="B157" s="224" t="s">
        <v>871</v>
      </c>
      <c r="C157" s="100">
        <v>36488.130000000005</v>
      </c>
    </row>
    <row r="158" spans="1:3">
      <c r="A158" s="224">
        <v>91423</v>
      </c>
      <c r="B158" s="224" t="s">
        <v>872</v>
      </c>
      <c r="C158" s="100">
        <v>20619.55</v>
      </c>
    </row>
    <row r="159" spans="1:3">
      <c r="A159" s="224">
        <v>91431</v>
      </c>
      <c r="B159" s="224" t="s">
        <v>873</v>
      </c>
      <c r="C159" s="100">
        <v>80269.81</v>
      </c>
    </row>
    <row r="160" spans="1:3">
      <c r="A160" s="224">
        <v>91441</v>
      </c>
      <c r="B160" s="224" t="s">
        <v>874</v>
      </c>
      <c r="C160" s="100">
        <v>316617.68</v>
      </c>
    </row>
    <row r="161" spans="1:3">
      <c r="A161" s="224">
        <v>91451</v>
      </c>
      <c r="B161" s="224" t="s">
        <v>875</v>
      </c>
      <c r="C161" s="100">
        <v>670223.22</v>
      </c>
    </row>
    <row r="162" spans="1:3">
      <c r="A162" s="224">
        <v>91457</v>
      </c>
      <c r="B162" s="224" t="s">
        <v>876</v>
      </c>
      <c r="C162" s="100">
        <v>30669.55</v>
      </c>
    </row>
    <row r="163" spans="1:3">
      <c r="A163" s="224">
        <v>91461</v>
      </c>
      <c r="B163" s="224" t="s">
        <v>877</v>
      </c>
      <c r="C163" s="100">
        <v>2932.1999999999994</v>
      </c>
    </row>
    <row r="164" spans="1:3">
      <c r="A164" s="224">
        <v>91501</v>
      </c>
      <c r="B164" s="224" t="s">
        <v>878</v>
      </c>
      <c r="C164" s="100">
        <v>231245.95999999996</v>
      </c>
    </row>
    <row r="165" spans="1:3">
      <c r="A165" s="224">
        <v>91504</v>
      </c>
      <c r="B165" s="224" t="s">
        <v>879</v>
      </c>
      <c r="C165" s="100">
        <v>6531.2399999999989</v>
      </c>
    </row>
    <row r="166" spans="1:3">
      <c r="A166" s="224">
        <v>91601</v>
      </c>
      <c r="B166" s="224" t="s">
        <v>880</v>
      </c>
      <c r="C166" s="100">
        <v>1323805.4799999997</v>
      </c>
    </row>
    <row r="167" spans="1:3">
      <c r="A167" s="224">
        <v>91604</v>
      </c>
      <c r="B167" s="224" t="s">
        <v>881</v>
      </c>
      <c r="C167" s="100">
        <v>50507.07</v>
      </c>
    </row>
    <row r="168" spans="1:3">
      <c r="A168" s="224">
        <v>91608</v>
      </c>
      <c r="B168" s="224" t="s">
        <v>882</v>
      </c>
      <c r="C168" s="100">
        <v>45013.06</v>
      </c>
    </row>
    <row r="169" spans="1:3">
      <c r="A169" s="224">
        <v>91611</v>
      </c>
      <c r="B169" s="224" t="s">
        <v>883</v>
      </c>
      <c r="C169" s="100">
        <v>598448.54</v>
      </c>
    </row>
    <row r="170" spans="1:3">
      <c r="A170" s="224">
        <v>91621</v>
      </c>
      <c r="B170" s="224" t="s">
        <v>884</v>
      </c>
      <c r="C170" s="100">
        <v>108513.93999999999</v>
      </c>
    </row>
    <row r="171" spans="1:3">
      <c r="A171" s="224">
        <v>91631</v>
      </c>
      <c r="B171" s="224" t="s">
        <v>885</v>
      </c>
      <c r="C171" s="100">
        <v>219721.63</v>
      </c>
    </row>
    <row r="172" spans="1:3">
      <c r="A172" s="224">
        <v>91633</v>
      </c>
      <c r="B172" s="224" t="s">
        <v>886</v>
      </c>
      <c r="C172" s="100">
        <v>11021.91</v>
      </c>
    </row>
    <row r="173" spans="1:3">
      <c r="A173" s="224">
        <v>91641</v>
      </c>
      <c r="B173" s="224" t="s">
        <v>887</v>
      </c>
      <c r="C173" s="100">
        <v>104378.45</v>
      </c>
    </row>
    <row r="174" spans="1:3">
      <c r="A174" s="224">
        <v>91651</v>
      </c>
      <c r="B174" s="224" t="s">
        <v>888</v>
      </c>
      <c r="C174" s="100">
        <v>205102.34999999998</v>
      </c>
    </row>
    <row r="175" spans="1:3">
      <c r="A175" s="224">
        <v>91661</v>
      </c>
      <c r="B175" s="224" t="s">
        <v>889</v>
      </c>
      <c r="C175" s="100">
        <v>56240.800000000003</v>
      </c>
    </row>
    <row r="176" spans="1:3">
      <c r="A176" s="224">
        <v>91671</v>
      </c>
      <c r="B176" s="224" t="s">
        <v>890</v>
      </c>
      <c r="C176" s="100">
        <v>43651.26</v>
      </c>
    </row>
    <row r="177" spans="1:3">
      <c r="A177" s="224">
        <v>91681</v>
      </c>
      <c r="B177" s="224" t="s">
        <v>891</v>
      </c>
      <c r="C177" s="100">
        <v>387831.85</v>
      </c>
    </row>
    <row r="178" spans="1:3">
      <c r="A178" s="224">
        <v>91691</v>
      </c>
      <c r="B178" s="224" t="s">
        <v>892</v>
      </c>
      <c r="C178" s="100">
        <v>10219.230000000003</v>
      </c>
    </row>
    <row r="179" spans="1:3">
      <c r="A179" s="224">
        <v>91701</v>
      </c>
      <c r="B179" s="224" t="s">
        <v>893</v>
      </c>
      <c r="C179" s="100">
        <v>542905.62</v>
      </c>
    </row>
    <row r="180" spans="1:3">
      <c r="A180" s="224">
        <v>91704</v>
      </c>
      <c r="B180" s="224" t="s">
        <v>894</v>
      </c>
      <c r="C180" s="100">
        <v>7505.7499999999982</v>
      </c>
    </row>
    <row r="181" spans="1:3">
      <c r="A181" s="224">
        <v>91706</v>
      </c>
      <c r="B181" s="224" t="s">
        <v>895</v>
      </c>
      <c r="C181" s="100">
        <v>121962.5</v>
      </c>
    </row>
    <row r="182" spans="1:3">
      <c r="A182" s="224">
        <v>91719</v>
      </c>
      <c r="B182" s="224" t="s">
        <v>896</v>
      </c>
      <c r="C182" s="100">
        <v>19656.21</v>
      </c>
    </row>
    <row r="183" spans="1:3">
      <c r="A183" s="224">
        <v>91801</v>
      </c>
      <c r="B183" s="224" t="s">
        <v>897</v>
      </c>
      <c r="C183" s="100">
        <v>3752769.06</v>
      </c>
    </row>
    <row r="184" spans="1:3">
      <c r="A184" s="224">
        <v>91804</v>
      </c>
      <c r="B184" s="224" t="s">
        <v>898</v>
      </c>
      <c r="C184" s="100">
        <v>95886.299999999988</v>
      </c>
    </row>
    <row r="185" spans="1:3">
      <c r="A185" s="224">
        <v>91811</v>
      </c>
      <c r="B185" s="224" t="s">
        <v>899</v>
      </c>
      <c r="C185" s="100">
        <v>1964157.7199999997</v>
      </c>
    </row>
    <row r="186" spans="1:3">
      <c r="A186" s="224">
        <v>91812</v>
      </c>
      <c r="B186" s="224" t="s">
        <v>900</v>
      </c>
      <c r="C186" s="100">
        <v>26136.170000000006</v>
      </c>
    </row>
    <row r="187" spans="1:3">
      <c r="A187" s="224">
        <v>91813</v>
      </c>
      <c r="B187" s="224" t="s">
        <v>901</v>
      </c>
      <c r="C187" s="100">
        <v>44451.83</v>
      </c>
    </row>
    <row r="188" spans="1:3">
      <c r="A188" s="224">
        <v>91818</v>
      </c>
      <c r="B188" s="224" t="s">
        <v>902</v>
      </c>
      <c r="C188" s="100">
        <v>453408.54</v>
      </c>
    </row>
    <row r="189" spans="1:3">
      <c r="A189" s="224">
        <v>91819</v>
      </c>
      <c r="B189" s="224" t="s">
        <v>903</v>
      </c>
      <c r="C189" s="100">
        <v>138657.20000000001</v>
      </c>
    </row>
    <row r="190" spans="1:3">
      <c r="A190" s="224">
        <v>91821</v>
      </c>
      <c r="B190" s="224" t="s">
        <v>904</v>
      </c>
      <c r="C190" s="100">
        <v>71126.36</v>
      </c>
    </row>
    <row r="191" spans="1:3">
      <c r="A191" s="224">
        <v>91831</v>
      </c>
      <c r="B191" s="224" t="s">
        <v>905</v>
      </c>
      <c r="C191" s="100">
        <v>150177.89000000001</v>
      </c>
    </row>
    <row r="192" spans="1:3">
      <c r="A192" s="224">
        <v>91841</v>
      </c>
      <c r="B192" s="224" t="s">
        <v>906</v>
      </c>
      <c r="C192" s="100">
        <v>126479.15999999997</v>
      </c>
    </row>
    <row r="193" spans="1:3">
      <c r="A193" s="224">
        <v>91851</v>
      </c>
      <c r="B193" s="224" t="s">
        <v>907</v>
      </c>
      <c r="C193" s="100">
        <v>326836.36</v>
      </c>
    </row>
    <row r="194" spans="1:3">
      <c r="A194" s="224">
        <v>91861</v>
      </c>
      <c r="B194" s="224" t="s">
        <v>908</v>
      </c>
      <c r="C194" s="100">
        <v>8022.880000000001</v>
      </c>
    </row>
    <row r="195" spans="1:3">
      <c r="A195" s="224">
        <v>91871</v>
      </c>
      <c r="B195" s="224" t="s">
        <v>909</v>
      </c>
      <c r="C195" s="100">
        <v>588754.54</v>
      </c>
    </row>
    <row r="196" spans="1:3">
      <c r="A196" s="224">
        <v>91881</v>
      </c>
      <c r="B196" s="224" t="s">
        <v>910</v>
      </c>
      <c r="C196" s="100">
        <v>6384.2999999999993</v>
      </c>
    </row>
    <row r="197" spans="1:3">
      <c r="A197" s="224">
        <v>91901</v>
      </c>
      <c r="B197" s="224" t="s">
        <v>911</v>
      </c>
      <c r="C197" s="100">
        <v>1652492.4700000002</v>
      </c>
    </row>
    <row r="198" spans="1:3">
      <c r="A198" s="224">
        <v>91903</v>
      </c>
      <c r="B198" s="224" t="s">
        <v>912</v>
      </c>
      <c r="C198" s="100">
        <v>5738.8700000000008</v>
      </c>
    </row>
    <row r="199" spans="1:3">
      <c r="A199" s="224">
        <v>91904</v>
      </c>
      <c r="B199" s="224" t="s">
        <v>913</v>
      </c>
      <c r="C199" s="100">
        <v>13231.24</v>
      </c>
    </row>
    <row r="200" spans="1:3">
      <c r="A200" s="224">
        <v>91908</v>
      </c>
      <c r="B200" s="224" t="s">
        <v>914</v>
      </c>
      <c r="C200" s="100">
        <v>5210.9399999999996</v>
      </c>
    </row>
    <row r="201" spans="1:3">
      <c r="A201" s="224">
        <v>91911</v>
      </c>
      <c r="B201" s="224" t="s">
        <v>915</v>
      </c>
      <c r="C201" s="100">
        <v>224256.72000000003</v>
      </c>
    </row>
    <row r="202" spans="1:3">
      <c r="A202" s="224">
        <v>91917</v>
      </c>
      <c r="B202" s="224" t="s">
        <v>916</v>
      </c>
      <c r="C202" s="100">
        <v>6386.670000000001</v>
      </c>
    </row>
    <row r="203" spans="1:3">
      <c r="A203" s="224">
        <v>91921</v>
      </c>
      <c r="B203" s="224" t="s">
        <v>917</v>
      </c>
      <c r="C203" s="100">
        <v>160504.93</v>
      </c>
    </row>
    <row r="204" spans="1:3">
      <c r="A204" s="224">
        <v>92001</v>
      </c>
      <c r="B204" s="224" t="s">
        <v>918</v>
      </c>
      <c r="C204" s="100">
        <v>790603.02999999991</v>
      </c>
    </row>
    <row r="205" spans="1:3">
      <c r="A205" s="224">
        <v>92005</v>
      </c>
      <c r="B205" s="224" t="s">
        <v>919</v>
      </c>
      <c r="C205" s="100">
        <v>20947.199999999997</v>
      </c>
    </row>
    <row r="206" spans="1:3">
      <c r="A206" s="224">
        <v>92011</v>
      </c>
      <c r="B206" s="224" t="s">
        <v>920</v>
      </c>
      <c r="C206" s="100">
        <v>90382.9</v>
      </c>
    </row>
    <row r="207" spans="1:3">
      <c r="A207" s="224">
        <v>92017</v>
      </c>
      <c r="B207" s="224" t="s">
        <v>921</v>
      </c>
      <c r="C207" s="100">
        <v>16941.37</v>
      </c>
    </row>
    <row r="208" spans="1:3">
      <c r="A208" s="224">
        <v>92021</v>
      </c>
      <c r="B208" s="224" t="s">
        <v>922</v>
      </c>
      <c r="C208" s="100">
        <v>72634.77</v>
      </c>
    </row>
    <row r="209" spans="1:3">
      <c r="A209" s="224">
        <v>92101</v>
      </c>
      <c r="B209" s="224" t="s">
        <v>923</v>
      </c>
      <c r="C209" s="100">
        <v>368518.74</v>
      </c>
    </row>
    <row r="210" spans="1:3">
      <c r="A210" s="224">
        <v>92104</v>
      </c>
      <c r="B210" s="224" t="s">
        <v>924</v>
      </c>
      <c r="C210" s="100">
        <v>5180.28</v>
      </c>
    </row>
    <row r="211" spans="1:3">
      <c r="A211" s="224">
        <v>92109</v>
      </c>
      <c r="B211" s="224" t="s">
        <v>925</v>
      </c>
      <c r="C211" s="100">
        <v>79222.569999999992</v>
      </c>
    </row>
    <row r="212" spans="1:3">
      <c r="A212" s="224">
        <v>92111</v>
      </c>
      <c r="B212" s="224" t="s">
        <v>926</v>
      </c>
      <c r="C212" s="100">
        <v>231048.73</v>
      </c>
    </row>
    <row r="213" spans="1:3">
      <c r="A213" s="224">
        <v>92113</v>
      </c>
      <c r="B213" s="224" t="s">
        <v>927</v>
      </c>
      <c r="C213" s="100">
        <v>10340.590000000002</v>
      </c>
    </row>
    <row r="214" spans="1:3">
      <c r="A214" s="224">
        <v>92201</v>
      </c>
      <c r="B214" s="224" t="s">
        <v>928</v>
      </c>
      <c r="C214" s="100">
        <v>452317.97000000003</v>
      </c>
    </row>
    <row r="215" spans="1:3">
      <c r="A215" s="224">
        <v>92301</v>
      </c>
      <c r="B215" s="224" t="s">
        <v>929</v>
      </c>
      <c r="C215" s="100">
        <v>2376667.8199999994</v>
      </c>
    </row>
    <row r="216" spans="1:3">
      <c r="A216" s="224">
        <v>92302</v>
      </c>
      <c r="B216" s="224" t="s">
        <v>930</v>
      </c>
      <c r="C216" s="100">
        <v>124071.08</v>
      </c>
    </row>
    <row r="217" spans="1:3">
      <c r="A217" s="224">
        <v>92311</v>
      </c>
      <c r="B217" s="224" t="s">
        <v>931</v>
      </c>
      <c r="C217" s="100">
        <v>989308.2</v>
      </c>
    </row>
    <row r="218" spans="1:3">
      <c r="A218" s="224">
        <v>92317</v>
      </c>
      <c r="B218" s="224" t="s">
        <v>932</v>
      </c>
      <c r="C218" s="100">
        <v>22749.040000000001</v>
      </c>
    </row>
    <row r="219" spans="1:3">
      <c r="A219" s="224">
        <v>92321</v>
      </c>
      <c r="B219" s="224" t="s">
        <v>933</v>
      </c>
      <c r="C219" s="100">
        <v>553265.69999999995</v>
      </c>
    </row>
    <row r="220" spans="1:3">
      <c r="A220" s="224">
        <v>92327</v>
      </c>
      <c r="B220" s="224" t="s">
        <v>934</v>
      </c>
      <c r="C220" s="100">
        <v>5653.369999999999</v>
      </c>
    </row>
    <row r="221" spans="1:3">
      <c r="A221" s="224">
        <v>92331</v>
      </c>
      <c r="B221" s="224" t="s">
        <v>935</v>
      </c>
      <c r="C221" s="100">
        <v>60877.5</v>
      </c>
    </row>
    <row r="222" spans="1:3">
      <c r="A222" s="224">
        <v>92341</v>
      </c>
      <c r="B222" s="224" t="s">
        <v>936</v>
      </c>
      <c r="C222" s="100">
        <v>3179.09</v>
      </c>
    </row>
    <row r="223" spans="1:3">
      <c r="A223" s="224">
        <v>92351</v>
      </c>
      <c r="B223" s="224" t="s">
        <v>937</v>
      </c>
      <c r="C223" s="100">
        <v>9506.67</v>
      </c>
    </row>
    <row r="224" spans="1:3">
      <c r="A224" s="224">
        <v>92401</v>
      </c>
      <c r="B224" s="224" t="s">
        <v>938</v>
      </c>
      <c r="C224" s="100">
        <v>1303902.4800000002</v>
      </c>
    </row>
    <row r="225" spans="1:3">
      <c r="A225" s="224">
        <v>92403</v>
      </c>
      <c r="B225" s="224" t="s">
        <v>939</v>
      </c>
      <c r="C225" s="100">
        <v>5891.95</v>
      </c>
    </row>
    <row r="226" spans="1:3">
      <c r="A226" s="224">
        <v>92411</v>
      </c>
      <c r="B226" s="224" t="s">
        <v>940</v>
      </c>
      <c r="C226" s="100">
        <v>203731.75000000003</v>
      </c>
    </row>
    <row r="227" spans="1:3">
      <c r="A227" s="224">
        <v>92417</v>
      </c>
      <c r="B227" s="224" t="s">
        <v>941</v>
      </c>
      <c r="C227" s="100">
        <v>5972.1200000000008</v>
      </c>
    </row>
    <row r="228" spans="1:3">
      <c r="A228" s="224">
        <v>92421</v>
      </c>
      <c r="B228" s="224" t="s">
        <v>942</v>
      </c>
      <c r="C228" s="100">
        <v>7579.9000000000005</v>
      </c>
    </row>
    <row r="229" spans="1:3">
      <c r="A229" s="224">
        <v>92427</v>
      </c>
      <c r="B229" s="224" t="s">
        <v>943</v>
      </c>
      <c r="C229" s="100">
        <v>1462.7</v>
      </c>
    </row>
    <row r="230" spans="1:3">
      <c r="A230" s="224">
        <v>92431</v>
      </c>
      <c r="B230" s="224" t="s">
        <v>944</v>
      </c>
      <c r="C230" s="100">
        <v>22456.17</v>
      </c>
    </row>
    <row r="231" spans="1:3">
      <c r="A231" s="224">
        <v>92441</v>
      </c>
      <c r="B231" s="224" t="s">
        <v>945</v>
      </c>
      <c r="C231" s="100">
        <v>38184.479999999996</v>
      </c>
    </row>
    <row r="232" spans="1:3">
      <c r="A232" s="224">
        <v>92444</v>
      </c>
      <c r="B232" s="224" t="s">
        <v>946</v>
      </c>
      <c r="C232" s="100">
        <v>2108.3200000000002</v>
      </c>
    </row>
    <row r="233" spans="1:3">
      <c r="A233" s="224">
        <v>92451</v>
      </c>
      <c r="B233" s="224" t="s">
        <v>947</v>
      </c>
      <c r="C233" s="100">
        <v>77937.69</v>
      </c>
    </row>
    <row r="234" spans="1:3">
      <c r="A234" s="224">
        <v>92461</v>
      </c>
      <c r="B234" s="224" t="s">
        <v>948</v>
      </c>
      <c r="C234" s="100">
        <v>40871.760000000002</v>
      </c>
    </row>
    <row r="235" spans="1:3">
      <c r="A235" s="224">
        <v>92501</v>
      </c>
      <c r="B235" s="224" t="s">
        <v>949</v>
      </c>
      <c r="C235" s="100">
        <v>1869584.19</v>
      </c>
    </row>
    <row r="236" spans="1:3">
      <c r="A236" s="224">
        <v>92502</v>
      </c>
      <c r="B236" s="224" t="s">
        <v>950</v>
      </c>
      <c r="C236" s="100">
        <v>14163.860000000004</v>
      </c>
    </row>
    <row r="237" spans="1:3">
      <c r="A237" s="224">
        <v>92504</v>
      </c>
      <c r="B237" s="224" t="s">
        <v>951</v>
      </c>
      <c r="C237" s="100">
        <v>49663.95</v>
      </c>
    </row>
    <row r="238" spans="1:3">
      <c r="A238" s="224">
        <v>92505</v>
      </c>
      <c r="B238" s="224" t="s">
        <v>952</v>
      </c>
      <c r="C238" s="100">
        <v>119135.69999999998</v>
      </c>
    </row>
    <row r="239" spans="1:3">
      <c r="A239" s="224">
        <v>92506</v>
      </c>
      <c r="B239" s="224" t="s">
        <v>953</v>
      </c>
      <c r="C239" s="100">
        <v>26569.89</v>
      </c>
    </row>
    <row r="240" spans="1:3">
      <c r="A240" s="224">
        <v>92507</v>
      </c>
      <c r="B240" s="224" t="s">
        <v>954</v>
      </c>
      <c r="C240" s="100">
        <v>40749.97</v>
      </c>
    </row>
    <row r="241" spans="1:3">
      <c r="A241" s="224">
        <v>92508</v>
      </c>
      <c r="B241" s="224" t="s">
        <v>955</v>
      </c>
      <c r="C241" s="100">
        <v>152020.5</v>
      </c>
    </row>
    <row r="242" spans="1:3">
      <c r="A242" s="224">
        <v>92511</v>
      </c>
      <c r="B242" s="224" t="s">
        <v>956</v>
      </c>
      <c r="C242" s="100">
        <v>1524503.0899999999</v>
      </c>
    </row>
    <row r="243" spans="1:3">
      <c r="A243" s="224">
        <v>92513</v>
      </c>
      <c r="B243" s="224" t="s">
        <v>957</v>
      </c>
      <c r="C243" s="100">
        <v>1669953.62</v>
      </c>
    </row>
    <row r="244" spans="1:3">
      <c r="A244" s="224">
        <v>92521</v>
      </c>
      <c r="B244" s="224" t="s">
        <v>958</v>
      </c>
      <c r="C244" s="100">
        <v>37384.129999999997</v>
      </c>
    </row>
    <row r="245" spans="1:3">
      <c r="A245" s="224">
        <v>92531</v>
      </c>
      <c r="B245" s="224" t="s">
        <v>959</v>
      </c>
      <c r="C245" s="100">
        <v>358463.95999999996</v>
      </c>
    </row>
    <row r="246" spans="1:3">
      <c r="A246" s="224">
        <v>92541</v>
      </c>
      <c r="B246" s="224" t="s">
        <v>960</v>
      </c>
      <c r="C246" s="100">
        <v>58963.51999999999</v>
      </c>
    </row>
    <row r="247" spans="1:3">
      <c r="A247" s="224">
        <v>92551</v>
      </c>
      <c r="B247" s="224" t="s">
        <v>961</v>
      </c>
      <c r="C247" s="100">
        <v>19992.34</v>
      </c>
    </row>
    <row r="248" spans="1:3">
      <c r="A248" s="224">
        <v>92561</v>
      </c>
      <c r="B248" s="224" t="s">
        <v>962</v>
      </c>
      <c r="C248" s="100">
        <v>11715.66</v>
      </c>
    </row>
    <row r="249" spans="1:3">
      <c r="A249" s="224">
        <v>92571</v>
      </c>
      <c r="B249" s="224" t="s">
        <v>963</v>
      </c>
      <c r="C249" s="100">
        <v>6486.43</v>
      </c>
    </row>
    <row r="250" spans="1:3">
      <c r="A250" s="224">
        <v>92601</v>
      </c>
      <c r="B250" s="224" t="s">
        <v>964</v>
      </c>
      <c r="C250" s="100">
        <v>7108398.0499999998</v>
      </c>
    </row>
    <row r="251" spans="1:3">
      <c r="A251" s="224">
        <v>92602</v>
      </c>
      <c r="B251" s="224" t="s">
        <v>965</v>
      </c>
      <c r="C251" s="100">
        <v>3604.4900000000002</v>
      </c>
    </row>
    <row r="252" spans="1:3">
      <c r="A252" s="224">
        <v>92604</v>
      </c>
      <c r="B252" s="224" t="s">
        <v>966</v>
      </c>
      <c r="C252" s="100">
        <v>178690.81</v>
      </c>
    </row>
    <row r="253" spans="1:3">
      <c r="A253" s="224">
        <v>92607</v>
      </c>
      <c r="B253" s="224" t="s">
        <v>967</v>
      </c>
      <c r="C253" s="100">
        <v>38426.509999999995</v>
      </c>
    </row>
    <row r="254" spans="1:3">
      <c r="A254" s="224">
        <v>92611</v>
      </c>
      <c r="B254" s="224" t="s">
        <v>969</v>
      </c>
      <c r="C254" s="100">
        <v>5890415</v>
      </c>
    </row>
    <row r="255" spans="1:3">
      <c r="A255" s="224">
        <v>92613</v>
      </c>
      <c r="B255" s="224" t="s">
        <v>970</v>
      </c>
      <c r="C255" s="100">
        <v>143120.74</v>
      </c>
    </row>
    <row r="256" spans="1:3">
      <c r="A256" s="224">
        <v>92614</v>
      </c>
      <c r="B256" s="224" t="s">
        <v>971</v>
      </c>
      <c r="C256" s="100">
        <v>4788008.4000000004</v>
      </c>
    </row>
    <row r="257" spans="1:3">
      <c r="A257" s="224">
        <v>92621</v>
      </c>
      <c r="B257" s="224" t="s">
        <v>972</v>
      </c>
      <c r="C257" s="100">
        <v>11242.970000000001</v>
      </c>
    </row>
    <row r="258" spans="1:3">
      <c r="A258" s="224">
        <v>92631</v>
      </c>
      <c r="B258" s="224" t="s">
        <v>973</v>
      </c>
      <c r="C258" s="100">
        <v>397128.06999999995</v>
      </c>
    </row>
    <row r="259" spans="1:3">
      <c r="A259" s="224">
        <v>92641</v>
      </c>
      <c r="B259" s="224" t="s">
        <v>974</v>
      </c>
      <c r="C259" s="100">
        <v>5720.12</v>
      </c>
    </row>
    <row r="260" spans="1:3">
      <c r="A260" s="224">
        <v>92651</v>
      </c>
      <c r="B260" s="224" t="s">
        <v>975</v>
      </c>
      <c r="C260" s="100">
        <v>3150.9599999999996</v>
      </c>
    </row>
    <row r="261" spans="1:3">
      <c r="A261" s="224">
        <v>92661</v>
      </c>
      <c r="B261" s="224" t="s">
        <v>976</v>
      </c>
      <c r="C261" s="100">
        <v>591164.32000000007</v>
      </c>
    </row>
    <row r="262" spans="1:3">
      <c r="A262" s="224">
        <v>92671</v>
      </c>
      <c r="B262" s="224" t="s">
        <v>977</v>
      </c>
      <c r="C262" s="100">
        <v>5278.6399999999994</v>
      </c>
    </row>
    <row r="263" spans="1:3">
      <c r="A263" s="224">
        <v>92681</v>
      </c>
      <c r="B263" s="224" t="s">
        <v>978</v>
      </c>
      <c r="C263" s="100">
        <v>11572</v>
      </c>
    </row>
    <row r="264" spans="1:3">
      <c r="A264" s="224">
        <v>92701</v>
      </c>
      <c r="B264" s="224" t="s">
        <v>979</v>
      </c>
      <c r="C264" s="100">
        <v>1358590.69</v>
      </c>
    </row>
    <row r="265" spans="1:3">
      <c r="A265" s="224">
        <v>92704</v>
      </c>
      <c r="B265" s="224" t="s">
        <v>980</v>
      </c>
      <c r="C265" s="100">
        <v>18894.43</v>
      </c>
    </row>
    <row r="266" spans="1:3">
      <c r="A266" s="224">
        <v>92801</v>
      </c>
      <c r="B266" s="224" t="s">
        <v>981</v>
      </c>
      <c r="C266" s="100">
        <v>2417020.3099999996</v>
      </c>
    </row>
    <row r="267" spans="1:3">
      <c r="A267" s="224">
        <v>92802</v>
      </c>
      <c r="B267" s="224" t="s">
        <v>982</v>
      </c>
      <c r="C267" s="100">
        <v>55827.79</v>
      </c>
    </row>
    <row r="268" spans="1:3">
      <c r="A268" s="224">
        <v>92804</v>
      </c>
      <c r="B268" s="224" t="s">
        <v>983</v>
      </c>
      <c r="C268" s="100">
        <v>57776.62999999999</v>
      </c>
    </row>
    <row r="269" spans="1:3">
      <c r="A269" s="224">
        <v>92811</v>
      </c>
      <c r="B269" s="224" t="s">
        <v>984</v>
      </c>
      <c r="C269" s="100">
        <v>442634.87</v>
      </c>
    </row>
    <row r="270" spans="1:3">
      <c r="A270" s="224">
        <v>92821</v>
      </c>
      <c r="B270" s="224" t="s">
        <v>985</v>
      </c>
      <c r="C270" s="100">
        <v>481049.22</v>
      </c>
    </row>
    <row r="271" spans="1:3">
      <c r="A271" s="224">
        <v>92831</v>
      </c>
      <c r="B271" s="224" t="s">
        <v>986</v>
      </c>
      <c r="C271" s="100">
        <v>122075.53</v>
      </c>
    </row>
    <row r="272" spans="1:3">
      <c r="A272" s="224">
        <v>92841</v>
      </c>
      <c r="B272" s="224" t="s">
        <v>987</v>
      </c>
      <c r="C272" s="100">
        <v>116983.39</v>
      </c>
    </row>
    <row r="273" spans="1:3">
      <c r="A273" s="224">
        <v>92851</v>
      </c>
      <c r="B273" s="224" t="s">
        <v>988</v>
      </c>
      <c r="C273" s="100">
        <v>187164.34</v>
      </c>
    </row>
    <row r="274" spans="1:3">
      <c r="A274" s="224">
        <v>92861</v>
      </c>
      <c r="B274" s="224" t="s">
        <v>989</v>
      </c>
      <c r="C274" s="100">
        <v>121951.41999999998</v>
      </c>
    </row>
    <row r="275" spans="1:3">
      <c r="A275" s="224">
        <v>92901</v>
      </c>
      <c r="B275" s="224" t="s">
        <v>990</v>
      </c>
      <c r="C275" s="100">
        <v>2645958.38</v>
      </c>
    </row>
    <row r="276" spans="1:3">
      <c r="A276" s="224">
        <v>92911</v>
      </c>
      <c r="B276" s="224" t="s">
        <v>991</v>
      </c>
      <c r="C276" s="100">
        <v>924132.14000000013</v>
      </c>
    </row>
    <row r="277" spans="1:3">
      <c r="A277" s="224">
        <v>92913</v>
      </c>
      <c r="B277" s="224" t="s">
        <v>992</v>
      </c>
      <c r="C277" s="100">
        <v>57759.520000000004</v>
      </c>
    </row>
    <row r="278" spans="1:3">
      <c r="A278" s="224">
        <v>92914</v>
      </c>
      <c r="B278" s="224" t="s">
        <v>993</v>
      </c>
      <c r="C278" s="100">
        <v>10513.27</v>
      </c>
    </row>
    <row r="279" spans="1:3">
      <c r="A279" s="224">
        <v>92917</v>
      </c>
      <c r="B279" s="224" t="s">
        <v>994</v>
      </c>
      <c r="C279" s="100">
        <v>16081.77</v>
      </c>
    </row>
    <row r="280" spans="1:3">
      <c r="A280" s="224">
        <v>92921</v>
      </c>
      <c r="B280" s="224" t="s">
        <v>995</v>
      </c>
      <c r="C280" s="100">
        <v>41072.51</v>
      </c>
    </row>
    <row r="281" spans="1:3">
      <c r="A281" s="224">
        <v>92931</v>
      </c>
      <c r="B281" s="224" t="s">
        <v>996</v>
      </c>
      <c r="C281" s="100">
        <v>1109331.3299999998</v>
      </c>
    </row>
    <row r="282" spans="1:3">
      <c r="A282" s="224">
        <v>92941</v>
      </c>
      <c r="B282" s="224" t="s">
        <v>81</v>
      </c>
      <c r="C282" s="100">
        <v>8546.51</v>
      </c>
    </row>
    <row r="283" spans="1:3">
      <c r="A283" s="224">
        <v>93001</v>
      </c>
      <c r="B283" s="224" t="s">
        <v>997</v>
      </c>
      <c r="C283" s="100">
        <v>981066.02</v>
      </c>
    </row>
    <row r="284" spans="1:3">
      <c r="A284" s="224">
        <v>93009</v>
      </c>
      <c r="B284" s="224" t="s">
        <v>998</v>
      </c>
      <c r="C284" s="100">
        <v>5347.5400000000009</v>
      </c>
    </row>
    <row r="285" spans="1:3">
      <c r="A285" s="224">
        <v>93011</v>
      </c>
      <c r="B285" s="224" t="s">
        <v>999</v>
      </c>
      <c r="C285" s="100">
        <v>118523.35</v>
      </c>
    </row>
    <row r="286" spans="1:3">
      <c r="A286" s="224">
        <v>93021</v>
      </c>
      <c r="B286" s="224" t="s">
        <v>1000</v>
      </c>
      <c r="C286" s="100">
        <v>12993.630000000001</v>
      </c>
    </row>
    <row r="287" spans="1:3">
      <c r="A287" s="224">
        <v>93027</v>
      </c>
      <c r="B287" s="224" t="s">
        <v>1001</v>
      </c>
      <c r="C287" s="100">
        <v>8270.2200000000012</v>
      </c>
    </row>
    <row r="288" spans="1:3">
      <c r="A288" s="224">
        <v>93031</v>
      </c>
      <c r="B288" s="224" t="s">
        <v>1002</v>
      </c>
      <c r="C288" s="100">
        <v>20396.899999999998</v>
      </c>
    </row>
    <row r="289" spans="1:3">
      <c r="A289" s="224">
        <v>93101</v>
      </c>
      <c r="B289" s="224" t="s">
        <v>1003</v>
      </c>
      <c r="C289" s="100">
        <v>1521216.6700000002</v>
      </c>
    </row>
    <row r="290" spans="1:3">
      <c r="A290" s="224">
        <v>93103</v>
      </c>
      <c r="B290" s="224" t="s">
        <v>260</v>
      </c>
      <c r="C290" s="100">
        <v>5686.3199999999988</v>
      </c>
    </row>
    <row r="291" spans="1:3">
      <c r="A291" s="224">
        <v>93108</v>
      </c>
      <c r="B291" s="224" t="s">
        <v>1004</v>
      </c>
      <c r="C291" s="100">
        <v>1189196.73</v>
      </c>
    </row>
    <row r="292" spans="1:3">
      <c r="A292" s="224">
        <v>93111</v>
      </c>
      <c r="B292" s="224" t="s">
        <v>1005</v>
      </c>
      <c r="C292" s="100">
        <v>27143.07</v>
      </c>
    </row>
    <row r="293" spans="1:3">
      <c r="A293" s="224">
        <v>93121</v>
      </c>
      <c r="B293" s="224" t="s">
        <v>1006</v>
      </c>
      <c r="C293" s="100">
        <v>28305.74</v>
      </c>
    </row>
    <row r="294" spans="1:3">
      <c r="A294" s="224">
        <v>93127</v>
      </c>
      <c r="B294" s="224" t="s">
        <v>1007</v>
      </c>
      <c r="C294" s="100">
        <v>3239.02</v>
      </c>
    </row>
    <row r="295" spans="1:3">
      <c r="A295" s="224">
        <v>93131</v>
      </c>
      <c r="B295" s="224" t="s">
        <v>1008</v>
      </c>
      <c r="C295" s="100">
        <v>95091.23</v>
      </c>
    </row>
    <row r="296" spans="1:3">
      <c r="A296" s="224">
        <v>93137</v>
      </c>
      <c r="B296" s="224" t="s">
        <v>1009</v>
      </c>
      <c r="C296" s="100">
        <v>2530.41</v>
      </c>
    </row>
    <row r="297" spans="1:3">
      <c r="A297" s="224">
        <v>93141</v>
      </c>
      <c r="B297" s="224" t="s">
        <v>1010</v>
      </c>
      <c r="C297" s="100">
        <v>16198.560000000001</v>
      </c>
    </row>
    <row r="298" spans="1:3">
      <c r="A298" s="224">
        <v>93151</v>
      </c>
      <c r="B298" s="224" t="s">
        <v>1011</v>
      </c>
      <c r="C298" s="100">
        <v>156182.22000000003</v>
      </c>
    </row>
    <row r="299" spans="1:3">
      <c r="A299" s="224">
        <v>93157</v>
      </c>
      <c r="B299" s="224" t="s">
        <v>1012</v>
      </c>
      <c r="C299" s="100">
        <v>6044.9999999999991</v>
      </c>
    </row>
    <row r="300" spans="1:3">
      <c r="A300" s="224">
        <v>93161</v>
      </c>
      <c r="B300" s="224" t="s">
        <v>1013</v>
      </c>
      <c r="C300" s="100">
        <v>47956.099999999991</v>
      </c>
    </row>
    <row r="301" spans="1:3">
      <c r="A301" s="224">
        <v>93171</v>
      </c>
      <c r="B301" s="224" t="s">
        <v>1014</v>
      </c>
      <c r="C301" s="100">
        <v>3888.96</v>
      </c>
    </row>
    <row r="302" spans="1:3">
      <c r="A302" s="224">
        <v>93181</v>
      </c>
      <c r="B302" s="224" t="s">
        <v>1015</v>
      </c>
      <c r="C302" s="100">
        <v>5393.2499999999991</v>
      </c>
    </row>
    <row r="303" spans="1:3">
      <c r="A303" s="224">
        <v>93191</v>
      </c>
      <c r="B303" s="224" t="s">
        <v>1016</v>
      </c>
      <c r="C303" s="100">
        <v>16088.93</v>
      </c>
    </row>
    <row r="304" spans="1:3">
      <c r="A304" s="224">
        <v>93201</v>
      </c>
      <c r="B304" s="224" t="s">
        <v>1017</v>
      </c>
      <c r="C304" s="100">
        <v>7119269.8700000001</v>
      </c>
    </row>
    <row r="305" spans="1:3">
      <c r="A305" s="224">
        <v>93204</v>
      </c>
      <c r="B305" s="224" t="s">
        <v>1019</v>
      </c>
      <c r="C305" s="100">
        <v>157546.01999999999</v>
      </c>
    </row>
    <row r="306" spans="1:3">
      <c r="A306" s="224">
        <v>93209</v>
      </c>
      <c r="B306" s="224" t="s">
        <v>1020</v>
      </c>
      <c r="C306" s="100">
        <v>2094524.8200000003</v>
      </c>
    </row>
    <row r="307" spans="1:3">
      <c r="A307" s="224">
        <v>93211</v>
      </c>
      <c r="B307" s="224" t="s">
        <v>1021</v>
      </c>
      <c r="C307" s="100">
        <v>9330077.1099999994</v>
      </c>
    </row>
    <row r="308" spans="1:3">
      <c r="A308" s="224">
        <v>93212</v>
      </c>
      <c r="B308" s="224" t="s">
        <v>1022</v>
      </c>
      <c r="C308" s="100">
        <v>193583.83000000002</v>
      </c>
    </row>
    <row r="309" spans="1:3">
      <c r="A309" s="224">
        <v>93219</v>
      </c>
      <c r="B309" s="224" t="s">
        <v>1023</v>
      </c>
      <c r="C309" s="100">
        <v>120178.79000000001</v>
      </c>
    </row>
    <row r="310" spans="1:3">
      <c r="A310" s="224">
        <v>93301</v>
      </c>
      <c r="B310" s="224" t="s">
        <v>1024</v>
      </c>
      <c r="C310" s="100">
        <v>1153745.6500000001</v>
      </c>
    </row>
    <row r="311" spans="1:3">
      <c r="A311" s="224">
        <v>93304</v>
      </c>
      <c r="B311" s="224" t="s">
        <v>1025</v>
      </c>
      <c r="C311" s="100">
        <v>18289.23</v>
      </c>
    </row>
    <row r="312" spans="1:3">
      <c r="A312" s="224">
        <v>93305</v>
      </c>
      <c r="B312" s="224" t="s">
        <v>1026</v>
      </c>
      <c r="C312" s="100">
        <v>19564.66</v>
      </c>
    </row>
    <row r="313" spans="1:3">
      <c r="A313" s="224">
        <v>93309</v>
      </c>
      <c r="B313" s="224" t="s">
        <v>1027</v>
      </c>
      <c r="C313" s="100">
        <v>89050.64</v>
      </c>
    </row>
    <row r="314" spans="1:3">
      <c r="A314" s="224">
        <v>93311</v>
      </c>
      <c r="B314" s="224" t="s">
        <v>1028</v>
      </c>
      <c r="C314" s="100">
        <v>529431.75</v>
      </c>
    </row>
    <row r="315" spans="1:3">
      <c r="A315" s="224">
        <v>93317</v>
      </c>
      <c r="B315" s="224" t="s">
        <v>1029</v>
      </c>
      <c r="C315" s="100">
        <v>21779.42</v>
      </c>
    </row>
    <row r="316" spans="1:3">
      <c r="A316" s="224">
        <v>93321</v>
      </c>
      <c r="B316" s="224" t="s">
        <v>1030</v>
      </c>
      <c r="C316" s="100">
        <v>3205901.8899999997</v>
      </c>
    </row>
    <row r="317" spans="1:3">
      <c r="A317" s="224">
        <v>93323</v>
      </c>
      <c r="B317" s="224" t="s">
        <v>1031</v>
      </c>
      <c r="C317" s="100">
        <v>8923.11</v>
      </c>
    </row>
    <row r="318" spans="1:3">
      <c r="A318" s="224">
        <v>93331</v>
      </c>
      <c r="B318" s="224" t="s">
        <v>1032</v>
      </c>
      <c r="C318" s="100">
        <v>56936.17</v>
      </c>
    </row>
    <row r="319" spans="1:3">
      <c r="A319" s="224">
        <v>93333</v>
      </c>
      <c r="B319" s="224" t="s">
        <v>1033</v>
      </c>
      <c r="C319" s="100">
        <v>190543.43</v>
      </c>
    </row>
    <row r="320" spans="1:3">
      <c r="A320" s="224">
        <v>93341</v>
      </c>
      <c r="B320" s="224" t="s">
        <v>1034</v>
      </c>
      <c r="C320" s="100">
        <v>12932.78</v>
      </c>
    </row>
    <row r="321" spans="1:3">
      <c r="A321" s="224">
        <v>93351</v>
      </c>
      <c r="B321" s="224" t="s">
        <v>1035</v>
      </c>
      <c r="C321" s="100">
        <v>16318.86</v>
      </c>
    </row>
    <row r="322" spans="1:3">
      <c r="A322" s="224">
        <v>93401</v>
      </c>
      <c r="B322" s="224" t="s">
        <v>1036</v>
      </c>
      <c r="C322" s="100">
        <v>6356857.0799999982</v>
      </c>
    </row>
    <row r="323" spans="1:3">
      <c r="A323" s="224">
        <v>93402</v>
      </c>
      <c r="B323" s="224" t="s">
        <v>1037</v>
      </c>
      <c r="C323" s="100">
        <v>38603.799999999996</v>
      </c>
    </row>
    <row r="324" spans="1:3">
      <c r="A324" s="224">
        <v>93406</v>
      </c>
      <c r="B324" s="224" t="s">
        <v>1038</v>
      </c>
      <c r="C324" s="100">
        <v>289720.40000000002</v>
      </c>
    </row>
    <row r="325" spans="1:3">
      <c r="A325" s="224">
        <v>93408</v>
      </c>
      <c r="B325" s="224" t="s">
        <v>1039</v>
      </c>
      <c r="C325" s="100">
        <v>73961.63</v>
      </c>
    </row>
    <row r="326" spans="1:3">
      <c r="A326" s="224">
        <v>93411</v>
      </c>
      <c r="B326" s="224" t="s">
        <v>1040</v>
      </c>
      <c r="C326" s="100">
        <v>8222693.9100000001</v>
      </c>
    </row>
    <row r="327" spans="1:3">
      <c r="A327" s="224">
        <v>93413</v>
      </c>
      <c r="B327" s="224" t="s">
        <v>1041</v>
      </c>
      <c r="C327" s="100">
        <v>378795.94</v>
      </c>
    </row>
    <row r="328" spans="1:3">
      <c r="A328" s="224">
        <v>93417</v>
      </c>
      <c r="B328" s="224" t="s">
        <v>1042</v>
      </c>
      <c r="C328" s="100">
        <v>172878.16</v>
      </c>
    </row>
    <row r="329" spans="1:3">
      <c r="A329" s="224">
        <v>93421</v>
      </c>
      <c r="B329" s="224" t="s">
        <v>1043</v>
      </c>
      <c r="C329" s="100">
        <v>893357</v>
      </c>
    </row>
    <row r="330" spans="1:3">
      <c r="A330" s="224">
        <v>93431</v>
      </c>
      <c r="B330" s="224" t="s">
        <v>1044</v>
      </c>
      <c r="C330" s="100">
        <v>61080.389999999992</v>
      </c>
    </row>
    <row r="331" spans="1:3">
      <c r="A331" s="224">
        <v>93441</v>
      </c>
      <c r="B331" s="224" t="s">
        <v>1045</v>
      </c>
      <c r="C331" s="100">
        <v>77932.77</v>
      </c>
    </row>
    <row r="332" spans="1:3">
      <c r="A332" s="224">
        <v>93442</v>
      </c>
      <c r="B332" s="224" t="s">
        <v>1046</v>
      </c>
      <c r="C332" s="100">
        <v>57506.510000000009</v>
      </c>
    </row>
    <row r="333" spans="1:3">
      <c r="A333" s="224">
        <v>93451</v>
      </c>
      <c r="B333" s="224" t="s">
        <v>1047</v>
      </c>
      <c r="C333" s="100">
        <v>41774.850000000006</v>
      </c>
    </row>
    <row r="334" spans="1:3">
      <c r="A334" s="224">
        <v>93461</v>
      </c>
      <c r="B334" s="224" t="s">
        <v>1048</v>
      </c>
      <c r="C334" s="100">
        <v>8263.56</v>
      </c>
    </row>
    <row r="335" spans="1:3">
      <c r="A335" s="224">
        <v>93471</v>
      </c>
      <c r="B335" s="224" t="s">
        <v>1049</v>
      </c>
      <c r="C335" s="100">
        <v>8324.42</v>
      </c>
    </row>
    <row r="336" spans="1:3">
      <c r="A336" s="224">
        <v>93501</v>
      </c>
      <c r="B336" s="224" t="s">
        <v>1050</v>
      </c>
      <c r="C336" s="100">
        <v>1661032.8799999997</v>
      </c>
    </row>
    <row r="337" spans="1:3">
      <c r="A337" s="224">
        <v>93511</v>
      </c>
      <c r="B337" s="224" t="s">
        <v>1051</v>
      </c>
      <c r="C337" s="100">
        <v>45050.15</v>
      </c>
    </row>
    <row r="338" spans="1:3">
      <c r="A338" s="224">
        <v>93517</v>
      </c>
      <c r="B338" s="224" t="s">
        <v>1052</v>
      </c>
      <c r="C338" s="100">
        <v>4387.0800000000008</v>
      </c>
    </row>
    <row r="339" spans="1:3">
      <c r="A339" s="224">
        <v>93521</v>
      </c>
      <c r="B339" s="224" t="s">
        <v>1053</v>
      </c>
      <c r="C339" s="100">
        <v>213304.85</v>
      </c>
    </row>
    <row r="340" spans="1:3">
      <c r="A340" s="224">
        <v>93527</v>
      </c>
      <c r="B340" s="224" t="s">
        <v>1054</v>
      </c>
      <c r="C340" s="100">
        <v>9590.98</v>
      </c>
    </row>
    <row r="341" spans="1:3">
      <c r="A341" s="224">
        <v>93531</v>
      </c>
      <c r="B341" s="224" t="s">
        <v>1055</v>
      </c>
      <c r="C341" s="100">
        <v>11623.46</v>
      </c>
    </row>
    <row r="342" spans="1:3">
      <c r="A342" s="224">
        <v>93537</v>
      </c>
      <c r="B342" s="224" t="s">
        <v>1056</v>
      </c>
      <c r="C342" s="100">
        <v>4063.54</v>
      </c>
    </row>
    <row r="343" spans="1:3">
      <c r="A343" s="224">
        <v>93541</v>
      </c>
      <c r="B343" s="224" t="s">
        <v>1057</v>
      </c>
      <c r="C343" s="100">
        <v>49275.9</v>
      </c>
    </row>
    <row r="344" spans="1:3">
      <c r="A344" s="224">
        <v>93601</v>
      </c>
      <c r="B344" s="224" t="s">
        <v>1058</v>
      </c>
      <c r="C344" s="100">
        <v>5038239.96</v>
      </c>
    </row>
    <row r="345" spans="1:3">
      <c r="A345" s="224">
        <v>93602</v>
      </c>
      <c r="B345" s="224" t="s">
        <v>1059</v>
      </c>
      <c r="C345" s="100">
        <v>82188.28</v>
      </c>
    </row>
    <row r="346" spans="1:3">
      <c r="A346" s="224">
        <v>93609</v>
      </c>
      <c r="B346" s="224" t="s">
        <v>1060</v>
      </c>
      <c r="C346" s="100">
        <v>1743934.2899999998</v>
      </c>
    </row>
    <row r="347" spans="1:3">
      <c r="A347" s="224">
        <v>93610</v>
      </c>
      <c r="B347" s="224" t="s">
        <v>1061</v>
      </c>
      <c r="C347" s="100">
        <v>5845.829999999999</v>
      </c>
    </row>
    <row r="348" spans="1:3">
      <c r="A348" s="224">
        <v>93611</v>
      </c>
      <c r="B348" s="224" t="s">
        <v>1062</v>
      </c>
      <c r="C348" s="100">
        <v>3250732.8200000003</v>
      </c>
    </row>
    <row r="349" spans="1:3">
      <c r="A349" s="224">
        <v>93617</v>
      </c>
      <c r="B349" s="224" t="s">
        <v>1063</v>
      </c>
      <c r="C349" s="100">
        <v>49099.679999999993</v>
      </c>
    </row>
    <row r="350" spans="1:3">
      <c r="A350" s="224">
        <v>93618</v>
      </c>
      <c r="B350" s="224" t="s">
        <v>1064</v>
      </c>
      <c r="C350" s="100">
        <v>23981.690000000002</v>
      </c>
    </row>
    <row r="351" spans="1:3">
      <c r="A351" s="224">
        <v>93621</v>
      </c>
      <c r="B351" s="224" t="s">
        <v>1065</v>
      </c>
      <c r="C351" s="100">
        <v>412639.11999999994</v>
      </c>
    </row>
    <row r="352" spans="1:3">
      <c r="A352" s="224">
        <v>93623</v>
      </c>
      <c r="B352" s="224" t="s">
        <v>1066</v>
      </c>
      <c r="C352" s="100">
        <v>8719.73</v>
      </c>
    </row>
    <row r="353" spans="1:3">
      <c r="A353" s="224">
        <v>93631</v>
      </c>
      <c r="B353" s="224" t="s">
        <v>1067</v>
      </c>
      <c r="C353" s="100">
        <v>100500.61</v>
      </c>
    </row>
    <row r="354" spans="1:3">
      <c r="A354" s="224">
        <v>93641</v>
      </c>
      <c r="B354" s="224" t="s">
        <v>1068</v>
      </c>
      <c r="C354" s="100">
        <v>197852.16</v>
      </c>
    </row>
    <row r="355" spans="1:3">
      <c r="A355" s="224">
        <v>93647</v>
      </c>
      <c r="B355" s="224" t="s">
        <v>1069</v>
      </c>
      <c r="C355" s="100">
        <v>9062</v>
      </c>
    </row>
    <row r="356" spans="1:3">
      <c r="A356" s="224">
        <v>93651</v>
      </c>
      <c r="B356" s="224" t="s">
        <v>1070</v>
      </c>
      <c r="C356" s="100">
        <v>185953.30000000002</v>
      </c>
    </row>
    <row r="357" spans="1:3">
      <c r="A357" s="224">
        <v>93661</v>
      </c>
      <c r="B357" s="224" t="s">
        <v>1071</v>
      </c>
      <c r="C357" s="100">
        <v>66083.95</v>
      </c>
    </row>
    <row r="358" spans="1:3">
      <c r="A358" s="224">
        <v>93671</v>
      </c>
      <c r="B358" s="224" t="s">
        <v>1072</v>
      </c>
      <c r="C358" s="100">
        <v>172671.45</v>
      </c>
    </row>
    <row r="359" spans="1:3">
      <c r="A359" s="224">
        <v>93681</v>
      </c>
      <c r="B359" s="224" t="s">
        <v>1073</v>
      </c>
      <c r="C359" s="100">
        <v>48114.98</v>
      </c>
    </row>
    <row r="360" spans="1:3">
      <c r="A360" s="224">
        <v>93691</v>
      </c>
      <c r="B360" s="224" t="s">
        <v>1074</v>
      </c>
      <c r="C360" s="100">
        <v>464181.78</v>
      </c>
    </row>
    <row r="361" spans="1:3">
      <c r="A361" s="224">
        <v>93701</v>
      </c>
      <c r="B361" s="224" t="s">
        <v>1075</v>
      </c>
      <c r="C361" s="100">
        <v>201820.37</v>
      </c>
    </row>
    <row r="362" spans="1:3">
      <c r="A362" s="224">
        <v>93704</v>
      </c>
      <c r="B362" s="224" t="s">
        <v>1076</v>
      </c>
      <c r="C362" s="100">
        <v>1962.36</v>
      </c>
    </row>
    <row r="363" spans="1:3">
      <c r="A363" s="224">
        <v>93801</v>
      </c>
      <c r="B363" s="224" t="s">
        <v>1077</v>
      </c>
      <c r="C363" s="100">
        <v>205983.46000000002</v>
      </c>
    </row>
    <row r="364" spans="1:3">
      <c r="A364" s="224">
        <v>93803</v>
      </c>
      <c r="B364" s="224" t="s">
        <v>1078</v>
      </c>
      <c r="C364" s="100">
        <v>50572.67</v>
      </c>
    </row>
    <row r="365" spans="1:3">
      <c r="A365" s="224">
        <v>93806</v>
      </c>
      <c r="B365" s="224" t="s">
        <v>1079</v>
      </c>
      <c r="C365" s="100">
        <v>41336.410000000003</v>
      </c>
    </row>
    <row r="366" spans="1:3">
      <c r="A366" s="224">
        <v>93821</v>
      </c>
      <c r="B366" s="224" t="s">
        <v>1080</v>
      </c>
      <c r="C366" s="100">
        <v>36176.929999999993</v>
      </c>
    </row>
    <row r="367" spans="1:3">
      <c r="A367" s="224">
        <v>93901</v>
      </c>
      <c r="B367" s="224" t="s">
        <v>1081</v>
      </c>
      <c r="C367" s="100">
        <v>887169.47</v>
      </c>
    </row>
    <row r="368" spans="1:3">
      <c r="A368" s="224">
        <v>93904</v>
      </c>
      <c r="B368" s="224" t="s">
        <v>1082</v>
      </c>
      <c r="C368" s="100">
        <v>17302.099999999999</v>
      </c>
    </row>
    <row r="369" spans="1:3">
      <c r="A369" s="224">
        <v>93906</v>
      </c>
      <c r="B369" s="224" t="s">
        <v>1083</v>
      </c>
      <c r="C369" s="100">
        <v>1486050.9699999997</v>
      </c>
    </row>
    <row r="370" spans="1:3">
      <c r="A370" s="224">
        <v>93908</v>
      </c>
      <c r="B370" s="224" t="s">
        <v>1084</v>
      </c>
      <c r="C370" s="100">
        <v>237113.54</v>
      </c>
    </row>
    <row r="371" spans="1:3">
      <c r="A371" s="224">
        <v>93910</v>
      </c>
      <c r="B371" s="224" t="s">
        <v>1085</v>
      </c>
      <c r="C371" s="100">
        <v>117577.95</v>
      </c>
    </row>
    <row r="372" spans="1:3">
      <c r="A372" s="224">
        <v>93911</v>
      </c>
      <c r="B372" s="224" t="s">
        <v>1086</v>
      </c>
      <c r="C372" s="100">
        <v>301989.03999999998</v>
      </c>
    </row>
    <row r="373" spans="1:3">
      <c r="A373" s="224">
        <v>93913</v>
      </c>
      <c r="B373" s="224" t="s">
        <v>1087</v>
      </c>
      <c r="C373" s="100">
        <v>29910.369999999995</v>
      </c>
    </row>
    <row r="374" spans="1:3">
      <c r="A374" s="224">
        <v>93914</v>
      </c>
      <c r="B374" s="224" t="s">
        <v>1088</v>
      </c>
      <c r="C374" s="100">
        <v>6536.2399999999989</v>
      </c>
    </row>
    <row r="375" spans="1:3">
      <c r="A375" s="224">
        <v>93921</v>
      </c>
      <c r="B375" s="224" t="s">
        <v>1089</v>
      </c>
      <c r="C375" s="100">
        <v>126883.54999999999</v>
      </c>
    </row>
    <row r="376" spans="1:3">
      <c r="A376" s="224">
        <v>93931</v>
      </c>
      <c r="B376" s="224" t="s">
        <v>1090</v>
      </c>
      <c r="C376" s="100">
        <v>212622.69</v>
      </c>
    </row>
    <row r="377" spans="1:3">
      <c r="A377" s="224">
        <v>94001</v>
      </c>
      <c r="B377" s="224" t="s">
        <v>1091</v>
      </c>
      <c r="C377" s="100">
        <v>430502.87</v>
      </c>
    </row>
    <row r="378" spans="1:3">
      <c r="A378" s="224">
        <v>94002</v>
      </c>
      <c r="B378" s="224" t="s">
        <v>1092</v>
      </c>
      <c r="C378" s="100">
        <v>4692.72</v>
      </c>
    </row>
    <row r="379" spans="1:3">
      <c r="A379" s="224">
        <v>94004</v>
      </c>
      <c r="B379" s="224" t="s">
        <v>1093</v>
      </c>
      <c r="C379" s="100">
        <v>4145.3</v>
      </c>
    </row>
    <row r="380" spans="1:3">
      <c r="A380" s="224">
        <v>94005</v>
      </c>
      <c r="B380" s="224" t="s">
        <v>1094</v>
      </c>
      <c r="C380" s="100">
        <v>560.08000000000004</v>
      </c>
    </row>
    <row r="381" spans="1:3">
      <c r="A381" s="224">
        <v>94011</v>
      </c>
      <c r="B381" s="224" t="s">
        <v>1095</v>
      </c>
      <c r="C381" s="100">
        <v>9232.909999999998</v>
      </c>
    </row>
    <row r="382" spans="1:3">
      <c r="A382" s="224">
        <v>94021</v>
      </c>
      <c r="B382" s="224" t="s">
        <v>1096</v>
      </c>
      <c r="C382" s="100">
        <v>47346.080000000002</v>
      </c>
    </row>
    <row r="383" spans="1:3">
      <c r="A383" s="224">
        <v>94031</v>
      </c>
      <c r="B383" s="224" t="s">
        <v>1097</v>
      </c>
      <c r="C383" s="100">
        <v>6799.77</v>
      </c>
    </row>
    <row r="384" spans="1:3">
      <c r="A384" s="224">
        <v>94101</v>
      </c>
      <c r="B384" s="224" t="s">
        <v>1098</v>
      </c>
      <c r="C384" s="100">
        <v>8515875.1699999981</v>
      </c>
    </row>
    <row r="385" spans="1:3">
      <c r="A385" s="224">
        <v>94102</v>
      </c>
      <c r="B385" s="224" t="s">
        <v>1099</v>
      </c>
      <c r="C385" s="100">
        <v>104557.32</v>
      </c>
    </row>
    <row r="386" spans="1:3">
      <c r="A386" s="224">
        <v>94108</v>
      </c>
      <c r="B386" s="224" t="s">
        <v>1100</v>
      </c>
      <c r="C386" s="100">
        <v>112936.31999999999</v>
      </c>
    </row>
    <row r="387" spans="1:3">
      <c r="A387" s="224">
        <v>94109</v>
      </c>
      <c r="B387" s="224" t="s">
        <v>1101</v>
      </c>
      <c r="C387" s="100">
        <v>31710.15</v>
      </c>
    </row>
    <row r="388" spans="1:3">
      <c r="A388" s="224">
        <v>94111</v>
      </c>
      <c r="B388" s="224" t="s">
        <v>1102</v>
      </c>
      <c r="C388" s="100">
        <v>11270051.1</v>
      </c>
    </row>
    <row r="389" spans="1:3">
      <c r="A389" s="224">
        <v>94112</v>
      </c>
      <c r="B389" s="224" t="s">
        <v>1103</v>
      </c>
      <c r="C389" s="100">
        <v>68639.710000000006</v>
      </c>
    </row>
    <row r="390" spans="1:3">
      <c r="A390" s="224">
        <v>94117</v>
      </c>
      <c r="B390" s="224" t="s">
        <v>1104</v>
      </c>
      <c r="C390" s="100">
        <v>179744.38999999998</v>
      </c>
    </row>
    <row r="391" spans="1:3">
      <c r="A391" s="224">
        <v>94118</v>
      </c>
      <c r="B391" s="224" t="s">
        <v>1105</v>
      </c>
      <c r="C391" s="100">
        <v>57233.17</v>
      </c>
    </row>
    <row r="392" spans="1:3">
      <c r="A392" s="224">
        <v>94121</v>
      </c>
      <c r="B392" s="224" t="s">
        <v>1106</v>
      </c>
      <c r="C392" s="100">
        <v>5240634.4200000009</v>
      </c>
    </row>
    <row r="393" spans="1:3">
      <c r="A393" s="224">
        <v>94127</v>
      </c>
      <c r="B393" s="224" t="s">
        <v>1107</v>
      </c>
      <c r="C393" s="100">
        <v>70092.83</v>
      </c>
    </row>
    <row r="394" spans="1:3">
      <c r="A394" s="224">
        <v>94131</v>
      </c>
      <c r="B394" s="224" t="s">
        <v>1108</v>
      </c>
      <c r="C394" s="100">
        <v>91155.82</v>
      </c>
    </row>
    <row r="395" spans="1:3">
      <c r="A395" s="224">
        <v>94151</v>
      </c>
      <c r="B395" s="224" t="s">
        <v>1109</v>
      </c>
      <c r="C395" s="100">
        <v>171244.06</v>
      </c>
    </row>
    <row r="396" spans="1:3">
      <c r="A396" s="224">
        <v>94157</v>
      </c>
      <c r="B396" s="224" t="s">
        <v>1110</v>
      </c>
      <c r="C396" s="100">
        <v>5185.84</v>
      </c>
    </row>
    <row r="397" spans="1:3">
      <c r="A397" s="224">
        <v>94161</v>
      </c>
      <c r="B397" s="224" t="s">
        <v>1111</v>
      </c>
      <c r="C397" s="100">
        <v>24924.69</v>
      </c>
    </row>
    <row r="398" spans="1:3">
      <c r="A398" s="224">
        <v>94168</v>
      </c>
      <c r="B398" s="224" t="s">
        <v>1112</v>
      </c>
      <c r="C398" s="100">
        <v>14686.17</v>
      </c>
    </row>
    <row r="399" spans="1:3">
      <c r="A399" s="224">
        <v>94171</v>
      </c>
      <c r="B399" s="224" t="s">
        <v>1113</v>
      </c>
      <c r="C399" s="100">
        <v>26827.68</v>
      </c>
    </row>
    <row r="400" spans="1:3">
      <c r="A400" s="224">
        <v>94172</v>
      </c>
      <c r="B400" s="224" t="s">
        <v>1114</v>
      </c>
      <c r="C400" s="100">
        <v>91552.690000000017</v>
      </c>
    </row>
    <row r="401" spans="1:3">
      <c r="A401" s="224">
        <v>94201</v>
      </c>
      <c r="B401" s="224" t="s">
        <v>1115</v>
      </c>
      <c r="C401" s="100">
        <v>1556105.08</v>
      </c>
    </row>
    <row r="402" spans="1:3">
      <c r="A402" s="224">
        <v>94204</v>
      </c>
      <c r="B402" s="224" t="s">
        <v>1116</v>
      </c>
      <c r="C402" s="100">
        <v>17428.339999999997</v>
      </c>
    </row>
    <row r="403" spans="1:3">
      <c r="A403" s="224">
        <v>94205</v>
      </c>
      <c r="B403" s="224" t="s">
        <v>1117</v>
      </c>
      <c r="C403" s="100">
        <v>11901.920000000002</v>
      </c>
    </row>
    <row r="404" spans="1:3">
      <c r="A404" s="224">
        <v>94209</v>
      </c>
      <c r="B404" s="224" t="s">
        <v>1118</v>
      </c>
      <c r="C404" s="100">
        <v>157002.72</v>
      </c>
    </row>
    <row r="405" spans="1:3">
      <c r="A405" s="224">
        <v>94211</v>
      </c>
      <c r="B405" s="224" t="s">
        <v>1119</v>
      </c>
      <c r="C405" s="100">
        <v>61663.42</v>
      </c>
    </row>
    <row r="406" spans="1:3">
      <c r="A406" s="224">
        <v>94221</v>
      </c>
      <c r="B406" s="224" t="s">
        <v>1120</v>
      </c>
      <c r="C406" s="100">
        <v>459327.54000000004</v>
      </c>
    </row>
    <row r="407" spans="1:3">
      <c r="A407" s="224">
        <v>94231</v>
      </c>
      <c r="B407" s="224" t="s">
        <v>1121</v>
      </c>
      <c r="C407" s="100">
        <v>101171.11</v>
      </c>
    </row>
    <row r="408" spans="1:3">
      <c r="A408" s="224">
        <v>94241</v>
      </c>
      <c r="B408" s="224" t="s">
        <v>1122</v>
      </c>
      <c r="C408" s="100">
        <v>53316.480000000003</v>
      </c>
    </row>
    <row r="409" spans="1:3">
      <c r="A409" s="224">
        <v>94251</v>
      </c>
      <c r="B409" s="224" t="s">
        <v>1123</v>
      </c>
      <c r="C409" s="100">
        <v>8455.2699999999986</v>
      </c>
    </row>
    <row r="410" spans="1:3">
      <c r="A410" s="224">
        <v>94261</v>
      </c>
      <c r="B410" s="224" t="s">
        <v>1124</v>
      </c>
      <c r="C410" s="100">
        <v>18725.829999999998</v>
      </c>
    </row>
    <row r="411" spans="1:3">
      <c r="A411" s="224">
        <v>94301</v>
      </c>
      <c r="B411" s="224" t="s">
        <v>1125</v>
      </c>
      <c r="C411" s="100">
        <v>2799559.67</v>
      </c>
    </row>
    <row r="412" spans="1:3">
      <c r="A412" s="224">
        <v>94311</v>
      </c>
      <c r="B412" s="224" t="s">
        <v>1126</v>
      </c>
      <c r="C412" s="100">
        <v>355079.11</v>
      </c>
    </row>
    <row r="413" spans="1:3">
      <c r="A413" s="224">
        <v>94313</v>
      </c>
      <c r="B413" s="224" t="s">
        <v>1127</v>
      </c>
      <c r="C413" s="100">
        <v>12662.720000000001</v>
      </c>
    </row>
    <row r="414" spans="1:3">
      <c r="A414" s="224">
        <v>94317</v>
      </c>
      <c r="B414" s="224" t="s">
        <v>1128</v>
      </c>
      <c r="C414" s="100">
        <v>9618.07</v>
      </c>
    </row>
    <row r="415" spans="1:3">
      <c r="A415" s="224">
        <v>94321</v>
      </c>
      <c r="B415" s="224" t="s">
        <v>1129</v>
      </c>
      <c r="C415" s="100">
        <v>115394.56999999999</v>
      </c>
    </row>
    <row r="416" spans="1:3">
      <c r="A416" s="224">
        <v>94331</v>
      </c>
      <c r="B416" s="224" t="s">
        <v>1130</v>
      </c>
      <c r="C416" s="100">
        <v>68283.989999999991</v>
      </c>
    </row>
    <row r="417" spans="1:3">
      <c r="A417" s="224">
        <v>94341</v>
      </c>
      <c r="B417" s="224" t="s">
        <v>1131</v>
      </c>
      <c r="C417" s="100">
        <v>38534.320000000007</v>
      </c>
    </row>
    <row r="418" spans="1:3">
      <c r="A418" s="224">
        <v>94347</v>
      </c>
      <c r="B418" s="224" t="s">
        <v>1132</v>
      </c>
      <c r="C418" s="100">
        <v>8690.85</v>
      </c>
    </row>
    <row r="419" spans="1:3">
      <c r="A419" s="224">
        <v>94351</v>
      </c>
      <c r="B419" s="224" t="s">
        <v>1133</v>
      </c>
      <c r="C419" s="100">
        <v>104638.5</v>
      </c>
    </row>
    <row r="420" spans="1:3">
      <c r="A420" s="224">
        <v>94401</v>
      </c>
      <c r="B420" s="224" t="s">
        <v>1134</v>
      </c>
      <c r="C420" s="100">
        <v>1551159.3999999997</v>
      </c>
    </row>
    <row r="421" spans="1:3">
      <c r="A421" s="224">
        <v>94403</v>
      </c>
      <c r="B421" s="224" t="s">
        <v>1136</v>
      </c>
      <c r="C421" s="100">
        <v>9903.66</v>
      </c>
    </row>
    <row r="422" spans="1:3">
      <c r="A422" s="224">
        <v>94408</v>
      </c>
      <c r="B422" s="224" t="s">
        <v>1137</v>
      </c>
      <c r="C422" s="100">
        <v>14750.309999999998</v>
      </c>
    </row>
    <row r="423" spans="1:3">
      <c r="A423" s="224">
        <v>94411</v>
      </c>
      <c r="B423" s="224" t="s">
        <v>1138</v>
      </c>
      <c r="C423" s="100">
        <v>555106.06000000006</v>
      </c>
    </row>
    <row r="424" spans="1:3">
      <c r="A424" s="224">
        <v>94412</v>
      </c>
      <c r="B424" s="224" t="s">
        <v>1139</v>
      </c>
      <c r="C424" s="100">
        <v>13059</v>
      </c>
    </row>
    <row r="425" spans="1:3">
      <c r="A425" s="224">
        <v>94421</v>
      </c>
      <c r="B425" s="224" t="s">
        <v>1140</v>
      </c>
      <c r="C425" s="100">
        <v>80768.41</v>
      </c>
    </row>
    <row r="426" spans="1:3">
      <c r="A426" s="224">
        <v>94427</v>
      </c>
      <c r="B426" s="224" t="s">
        <v>1141</v>
      </c>
      <c r="C426" s="100">
        <v>9339.9599999999991</v>
      </c>
    </row>
    <row r="427" spans="1:3">
      <c r="A427" s="224">
        <v>94428</v>
      </c>
      <c r="B427" s="224" t="s">
        <v>1142</v>
      </c>
      <c r="C427" s="100">
        <v>33460.42</v>
      </c>
    </row>
    <row r="428" spans="1:3">
      <c r="A428" s="224">
        <v>94431</v>
      </c>
      <c r="B428" s="224" t="s">
        <v>1143</v>
      </c>
      <c r="C428" s="100">
        <v>293285.85000000003</v>
      </c>
    </row>
    <row r="429" spans="1:3">
      <c r="A429" s="224">
        <v>94437</v>
      </c>
      <c r="B429" s="224" t="s">
        <v>1144</v>
      </c>
      <c r="C429" s="100">
        <v>12848.36</v>
      </c>
    </row>
    <row r="430" spans="1:3">
      <c r="A430" s="224">
        <v>94501</v>
      </c>
      <c r="B430" s="224" t="s">
        <v>1145</v>
      </c>
      <c r="C430" s="100">
        <v>2726192.4300000006</v>
      </c>
    </row>
    <row r="431" spans="1:3">
      <c r="A431" s="224">
        <v>94511</v>
      </c>
      <c r="B431" s="224" t="s">
        <v>1146</v>
      </c>
      <c r="C431" s="100">
        <v>773013.39999999991</v>
      </c>
    </row>
    <row r="432" spans="1:3">
      <c r="A432" s="224">
        <v>94517</v>
      </c>
      <c r="B432" s="224" t="s">
        <v>1148</v>
      </c>
      <c r="C432" s="100">
        <v>31749.57</v>
      </c>
    </row>
    <row r="433" spans="1:3">
      <c r="A433" s="224">
        <v>94521</v>
      </c>
      <c r="B433" s="224" t="s">
        <v>1149</v>
      </c>
      <c r="C433" s="100">
        <v>61288.84</v>
      </c>
    </row>
    <row r="434" spans="1:3">
      <c r="A434" s="224">
        <v>94527</v>
      </c>
      <c r="B434" s="224" t="s">
        <v>1150</v>
      </c>
      <c r="C434" s="100">
        <v>2381.9599999999996</v>
      </c>
    </row>
    <row r="435" spans="1:3">
      <c r="A435" s="224">
        <v>94531</v>
      </c>
      <c r="B435" s="224" t="s">
        <v>1151</v>
      </c>
      <c r="C435" s="100">
        <v>11395.84</v>
      </c>
    </row>
    <row r="436" spans="1:3">
      <c r="A436" s="224">
        <v>94532</v>
      </c>
      <c r="B436" s="224" t="s">
        <v>1152</v>
      </c>
      <c r="C436" s="100">
        <v>45014.320000000007</v>
      </c>
    </row>
    <row r="437" spans="1:3">
      <c r="A437" s="224">
        <v>94541</v>
      </c>
      <c r="B437" s="224" t="s">
        <v>1153</v>
      </c>
      <c r="C437" s="100">
        <v>124372.05</v>
      </c>
    </row>
    <row r="438" spans="1:3">
      <c r="A438" s="224">
        <v>94547</v>
      </c>
      <c r="B438" s="224" t="s">
        <v>1154</v>
      </c>
      <c r="C438" s="100">
        <v>8019.29</v>
      </c>
    </row>
    <row r="439" spans="1:3">
      <c r="A439" s="224">
        <v>94551</v>
      </c>
      <c r="B439" s="224" t="s">
        <v>1155</v>
      </c>
      <c r="C439" s="100">
        <v>24928.989999999998</v>
      </c>
    </row>
    <row r="440" spans="1:3">
      <c r="A440" s="224">
        <v>94601</v>
      </c>
      <c r="B440" s="224" t="s">
        <v>1156</v>
      </c>
      <c r="C440" s="100">
        <v>501425.24999999994</v>
      </c>
    </row>
    <row r="441" spans="1:3">
      <c r="A441" s="224">
        <v>94604</v>
      </c>
      <c r="B441" s="224" t="s">
        <v>1157</v>
      </c>
      <c r="C441" s="100">
        <v>14408.029999999997</v>
      </c>
    </row>
    <row r="442" spans="1:3">
      <c r="A442" s="224">
        <v>94606</v>
      </c>
      <c r="B442" s="224" t="s">
        <v>1158</v>
      </c>
      <c r="C442" s="100">
        <v>106916.28000000001</v>
      </c>
    </row>
    <row r="443" spans="1:3">
      <c r="A443" s="224">
        <v>94611</v>
      </c>
      <c r="B443" s="224" t="s">
        <v>1159</v>
      </c>
      <c r="C443" s="100">
        <v>191640.99</v>
      </c>
    </row>
    <row r="444" spans="1:3">
      <c r="A444" s="224">
        <v>94621</v>
      </c>
      <c r="B444" s="224" t="s">
        <v>1160</v>
      </c>
      <c r="C444" s="100">
        <v>66540.759999999995</v>
      </c>
    </row>
    <row r="445" spans="1:3">
      <c r="A445" s="224">
        <v>94631</v>
      </c>
      <c r="B445" s="224" t="s">
        <v>1161</v>
      </c>
      <c r="C445" s="100">
        <v>22452.62</v>
      </c>
    </row>
    <row r="446" spans="1:3">
      <c r="A446" s="224">
        <v>94641</v>
      </c>
      <c r="B446" s="224" t="s">
        <v>1162</v>
      </c>
      <c r="C446" s="100">
        <v>5004.1500000000005</v>
      </c>
    </row>
    <row r="447" spans="1:3">
      <c r="A447" s="224">
        <v>94701</v>
      </c>
      <c r="B447" s="224" t="s">
        <v>1163</v>
      </c>
      <c r="C447" s="100">
        <v>1148600.2299999997</v>
      </c>
    </row>
    <row r="448" spans="1:3">
      <c r="A448" s="224">
        <v>94704</v>
      </c>
      <c r="B448" s="224" t="s">
        <v>1164</v>
      </c>
      <c r="C448" s="100">
        <v>5070.34</v>
      </c>
    </row>
    <row r="449" spans="1:3">
      <c r="A449" s="224">
        <v>94711</v>
      </c>
      <c r="B449" s="224" t="s">
        <v>1165</v>
      </c>
      <c r="C449" s="100">
        <v>165327.16</v>
      </c>
    </row>
    <row r="450" spans="1:3">
      <c r="A450" s="224">
        <v>94801</v>
      </c>
      <c r="B450" s="224" t="s">
        <v>1166</v>
      </c>
      <c r="C450" s="100">
        <v>342416</v>
      </c>
    </row>
    <row r="451" spans="1:3">
      <c r="A451" s="224">
        <v>94804</v>
      </c>
      <c r="B451" s="224" t="s">
        <v>1167</v>
      </c>
      <c r="C451" s="100">
        <v>2740.2299999999996</v>
      </c>
    </row>
    <row r="452" spans="1:3">
      <c r="A452" s="224">
        <v>94812</v>
      </c>
      <c r="B452" s="224" t="s">
        <v>1168</v>
      </c>
      <c r="C452" s="100">
        <v>19657.82</v>
      </c>
    </row>
    <row r="453" spans="1:3">
      <c r="A453" s="224">
        <v>94901</v>
      </c>
      <c r="B453" s="224" t="s">
        <v>1169</v>
      </c>
      <c r="C453" s="100">
        <v>3201092.7600000002</v>
      </c>
    </row>
    <row r="454" spans="1:3">
      <c r="A454" s="224">
        <v>94908</v>
      </c>
      <c r="B454" s="224" t="s">
        <v>1170</v>
      </c>
      <c r="C454" s="100">
        <v>7868.0999999999976</v>
      </c>
    </row>
    <row r="455" spans="1:3">
      <c r="A455" s="224">
        <v>94911</v>
      </c>
      <c r="B455" s="224" t="s">
        <v>1171</v>
      </c>
      <c r="C455" s="100">
        <v>1295988.0899999996</v>
      </c>
    </row>
    <row r="456" spans="1:3">
      <c r="A456" s="224">
        <v>94917</v>
      </c>
      <c r="B456" s="224" t="s">
        <v>1172</v>
      </c>
      <c r="C456" s="100">
        <v>27131.370000000006</v>
      </c>
    </row>
    <row r="457" spans="1:3">
      <c r="A457" s="224">
        <v>94921</v>
      </c>
      <c r="B457" s="224" t="s">
        <v>1173</v>
      </c>
      <c r="C457" s="100">
        <v>1632572.15</v>
      </c>
    </row>
    <row r="458" spans="1:3">
      <c r="A458" s="224">
        <v>94923</v>
      </c>
      <c r="B458" s="224" t="s">
        <v>1174</v>
      </c>
      <c r="C458" s="100">
        <v>14810.389999999998</v>
      </c>
    </row>
    <row r="459" spans="1:3">
      <c r="A459" s="224">
        <v>94927</v>
      </c>
      <c r="B459" s="224" t="s">
        <v>1175</v>
      </c>
      <c r="C459" s="100">
        <v>17352.640000000003</v>
      </c>
    </row>
    <row r="460" spans="1:3">
      <c r="A460" s="224">
        <v>94931</v>
      </c>
      <c r="B460" s="224" t="s">
        <v>1176</v>
      </c>
      <c r="C460" s="100">
        <v>96301.56</v>
      </c>
    </row>
    <row r="461" spans="1:3">
      <c r="A461" s="224">
        <v>94941</v>
      </c>
      <c r="B461" s="224" t="s">
        <v>1177</v>
      </c>
      <c r="C461" s="100">
        <v>242953.81</v>
      </c>
    </row>
    <row r="462" spans="1:3">
      <c r="A462" s="224">
        <v>95001</v>
      </c>
      <c r="B462" s="224" t="s">
        <v>1178</v>
      </c>
      <c r="C462" s="100">
        <v>1196131.2100000002</v>
      </c>
    </row>
    <row r="463" spans="1:3">
      <c r="A463" s="224">
        <v>95002</v>
      </c>
      <c r="B463" s="224" t="s">
        <v>1179</v>
      </c>
      <c r="C463" s="100">
        <v>100854.15</v>
      </c>
    </row>
    <row r="464" spans="1:3">
      <c r="A464" s="224">
        <v>95005</v>
      </c>
      <c r="B464" s="224" t="s">
        <v>1180</v>
      </c>
      <c r="C464" s="100">
        <v>111066.47</v>
      </c>
    </row>
    <row r="465" spans="1:3">
      <c r="A465" s="224">
        <v>95008</v>
      </c>
      <c r="B465" s="224" t="s">
        <v>1181</v>
      </c>
      <c r="C465" s="100">
        <v>62834.27</v>
      </c>
    </row>
    <row r="466" spans="1:3">
      <c r="A466" s="224">
        <v>95009</v>
      </c>
      <c r="B466" s="224" t="s">
        <v>1182</v>
      </c>
      <c r="C466" s="100">
        <v>1917855.8800000001</v>
      </c>
    </row>
    <row r="467" spans="1:3">
      <c r="A467" s="224">
        <v>95011</v>
      </c>
      <c r="B467" s="224" t="s">
        <v>1183</v>
      </c>
      <c r="C467" s="100">
        <v>78934.12999999999</v>
      </c>
    </row>
    <row r="468" spans="1:3">
      <c r="A468" s="224">
        <v>95017</v>
      </c>
      <c r="B468" s="224" t="s">
        <v>1184</v>
      </c>
      <c r="C468" s="100">
        <v>15329.869999999999</v>
      </c>
    </row>
    <row r="469" spans="1:3">
      <c r="A469" s="224">
        <v>95101</v>
      </c>
      <c r="B469" s="224" t="s">
        <v>1185</v>
      </c>
      <c r="C469" s="100">
        <v>3555097.08</v>
      </c>
    </row>
    <row r="470" spans="1:3">
      <c r="A470" s="224">
        <v>95103</v>
      </c>
      <c r="B470" s="224" t="s">
        <v>1186</v>
      </c>
      <c r="C470" s="100">
        <v>33036.130000000005</v>
      </c>
    </row>
    <row r="471" spans="1:3">
      <c r="A471" s="224">
        <v>95104</v>
      </c>
      <c r="B471" s="224" t="s">
        <v>1187</v>
      </c>
      <c r="C471" s="100">
        <v>55855.62</v>
      </c>
    </row>
    <row r="472" spans="1:3">
      <c r="A472" s="224">
        <v>95105</v>
      </c>
      <c r="B472" s="224" t="s">
        <v>1188</v>
      </c>
      <c r="C472" s="100">
        <v>33363.379999999997</v>
      </c>
    </row>
    <row r="473" spans="1:3">
      <c r="A473" s="224">
        <v>95106</v>
      </c>
      <c r="B473" s="224" t="s">
        <v>1189</v>
      </c>
      <c r="C473" s="100">
        <v>5271.8500000000013</v>
      </c>
    </row>
    <row r="474" spans="1:3">
      <c r="A474" s="224">
        <v>95110</v>
      </c>
      <c r="B474" s="224" t="s">
        <v>1190</v>
      </c>
      <c r="C474" s="100">
        <v>1965505.0899999999</v>
      </c>
    </row>
    <row r="475" spans="1:3">
      <c r="A475" s="224">
        <v>95111</v>
      </c>
      <c r="B475" s="224" t="s">
        <v>1191</v>
      </c>
      <c r="C475" s="100">
        <v>470002.71</v>
      </c>
    </row>
    <row r="476" spans="1:3">
      <c r="A476" s="224">
        <v>95113</v>
      </c>
      <c r="B476" s="224" t="s">
        <v>1192</v>
      </c>
      <c r="C476" s="100">
        <v>66186.569999999992</v>
      </c>
    </row>
    <row r="477" spans="1:3">
      <c r="A477" s="224">
        <v>95121</v>
      </c>
      <c r="B477" s="224" t="s">
        <v>1193</v>
      </c>
      <c r="C477" s="100">
        <v>224753.49</v>
      </c>
    </row>
    <row r="478" spans="1:3">
      <c r="A478" s="224">
        <v>95122</v>
      </c>
      <c r="B478" s="224" t="s">
        <v>1194</v>
      </c>
      <c r="C478" s="100">
        <v>3102.9799999999996</v>
      </c>
    </row>
    <row r="479" spans="1:3">
      <c r="A479" s="224">
        <v>95123</v>
      </c>
      <c r="B479" s="224" t="s">
        <v>1195</v>
      </c>
      <c r="C479" s="100">
        <v>29190.510000000002</v>
      </c>
    </row>
    <row r="480" spans="1:3">
      <c r="A480" s="224">
        <v>95131</v>
      </c>
      <c r="B480" s="224" t="s">
        <v>1196</v>
      </c>
      <c r="C480" s="100">
        <v>749707.41</v>
      </c>
    </row>
    <row r="481" spans="1:3">
      <c r="A481" s="224">
        <v>95141</v>
      </c>
      <c r="B481" s="224" t="s">
        <v>1197</v>
      </c>
      <c r="C481" s="100">
        <v>131053.08999999998</v>
      </c>
    </row>
    <row r="482" spans="1:3">
      <c r="A482" s="224">
        <v>95151</v>
      </c>
      <c r="B482" s="224" t="s">
        <v>1198</v>
      </c>
      <c r="C482" s="100">
        <v>46662.899999999994</v>
      </c>
    </row>
    <row r="483" spans="1:3">
      <c r="A483" s="224">
        <v>95161</v>
      </c>
      <c r="B483" s="224" t="s">
        <v>1199</v>
      </c>
      <c r="C483" s="100">
        <v>38087.31</v>
      </c>
    </row>
    <row r="484" spans="1:3">
      <c r="A484" s="224">
        <v>95171</v>
      </c>
      <c r="B484" s="224" t="s">
        <v>1200</v>
      </c>
      <c r="C484" s="100">
        <v>53916.920000000006</v>
      </c>
    </row>
    <row r="485" spans="1:3">
      <c r="A485" s="224">
        <v>95181</v>
      </c>
      <c r="B485" s="224" t="s">
        <v>1201</v>
      </c>
      <c r="C485" s="100">
        <v>30098.97</v>
      </c>
    </row>
    <row r="486" spans="1:3">
      <c r="A486" s="224">
        <v>95191</v>
      </c>
      <c r="B486" s="224" t="s">
        <v>1202</v>
      </c>
      <c r="C486" s="100">
        <v>31310.749999999996</v>
      </c>
    </row>
    <row r="487" spans="1:3">
      <c r="A487" s="224">
        <v>95201</v>
      </c>
      <c r="B487" s="224" t="s">
        <v>1203</v>
      </c>
      <c r="C487" s="100">
        <v>303948.90000000002</v>
      </c>
    </row>
    <row r="488" spans="1:3">
      <c r="A488" s="224">
        <v>95204</v>
      </c>
      <c r="B488" s="224" t="s">
        <v>1204</v>
      </c>
      <c r="C488" s="100">
        <v>7225.91</v>
      </c>
    </row>
    <row r="489" spans="1:3">
      <c r="A489" s="224">
        <v>95205</v>
      </c>
      <c r="B489" s="224" t="s">
        <v>1205</v>
      </c>
      <c r="C489" s="100">
        <v>2455.0900000000006</v>
      </c>
    </row>
    <row r="490" spans="1:3">
      <c r="A490" s="224">
        <v>95211</v>
      </c>
      <c r="B490" s="224" t="s">
        <v>1206</v>
      </c>
      <c r="C490" s="100">
        <v>4221.8500000000013</v>
      </c>
    </row>
    <row r="491" spans="1:3">
      <c r="A491" s="224">
        <v>95221</v>
      </c>
      <c r="B491" s="224" t="s">
        <v>1207</v>
      </c>
      <c r="C491" s="100">
        <v>20360.849999999999</v>
      </c>
    </row>
    <row r="492" spans="1:3">
      <c r="A492" s="224">
        <v>95301</v>
      </c>
      <c r="B492" s="224" t="s">
        <v>1208</v>
      </c>
      <c r="C492" s="100">
        <v>1141657.08</v>
      </c>
    </row>
    <row r="493" spans="1:3">
      <c r="A493" s="224">
        <v>95311</v>
      </c>
      <c r="B493" s="224" t="s">
        <v>1209</v>
      </c>
      <c r="C493" s="100">
        <v>1275633.6600000001</v>
      </c>
    </row>
    <row r="494" spans="1:3">
      <c r="A494" s="224">
        <v>95317</v>
      </c>
      <c r="B494" s="224" t="s">
        <v>1210</v>
      </c>
      <c r="C494" s="100">
        <v>27510.729999999996</v>
      </c>
    </row>
    <row r="495" spans="1:3">
      <c r="A495" s="224">
        <v>95321</v>
      </c>
      <c r="B495" s="224" t="s">
        <v>1211</v>
      </c>
      <c r="C495" s="100">
        <v>27222.019999999997</v>
      </c>
    </row>
    <row r="496" spans="1:3">
      <c r="A496" s="224">
        <v>95401</v>
      </c>
      <c r="B496" s="224" t="s">
        <v>1212</v>
      </c>
      <c r="C496" s="100">
        <v>1351002.1300000001</v>
      </c>
    </row>
    <row r="497" spans="1:3">
      <c r="A497" s="224">
        <v>95404</v>
      </c>
      <c r="B497" s="224" t="s">
        <v>1213</v>
      </c>
      <c r="C497" s="100">
        <v>22122.720000000001</v>
      </c>
    </row>
    <row r="498" spans="1:3">
      <c r="A498" s="224">
        <v>95405</v>
      </c>
      <c r="B498" s="224" t="s">
        <v>1214</v>
      </c>
      <c r="C498" s="100">
        <v>17052.539999999997</v>
      </c>
    </row>
    <row r="499" spans="1:3">
      <c r="A499" s="224">
        <v>95411</v>
      </c>
      <c r="B499" s="224" t="s">
        <v>1215</v>
      </c>
      <c r="C499" s="100">
        <v>1058017.01</v>
      </c>
    </row>
    <row r="500" spans="1:3">
      <c r="A500" s="224">
        <v>95413</v>
      </c>
      <c r="B500" s="224" t="s">
        <v>1217</v>
      </c>
      <c r="C500" s="100">
        <v>285392.24</v>
      </c>
    </row>
    <row r="501" spans="1:3">
      <c r="A501" s="224">
        <v>95415</v>
      </c>
      <c r="B501" s="224" t="s">
        <v>1218</v>
      </c>
      <c r="C501" s="100">
        <v>28157.95</v>
      </c>
    </row>
    <row r="502" spans="1:3">
      <c r="A502" s="224">
        <v>95421</v>
      </c>
      <c r="B502" s="224" t="s">
        <v>1219</v>
      </c>
      <c r="C502" s="100">
        <v>18384.72</v>
      </c>
    </row>
    <row r="503" spans="1:3">
      <c r="A503" s="224">
        <v>95431</v>
      </c>
      <c r="B503" s="224" t="s">
        <v>1220</v>
      </c>
      <c r="C503" s="100">
        <v>61885.41</v>
      </c>
    </row>
    <row r="504" spans="1:3">
      <c r="A504" s="224">
        <v>95501</v>
      </c>
      <c r="B504" s="224" t="s">
        <v>1221</v>
      </c>
      <c r="C504" s="100">
        <v>2104813.36</v>
      </c>
    </row>
    <row r="505" spans="1:3">
      <c r="A505" s="224">
        <v>95504</v>
      </c>
      <c r="B505" s="224" t="s">
        <v>1222</v>
      </c>
      <c r="C505" s="100">
        <v>9296.76</v>
      </c>
    </row>
    <row r="506" spans="1:3">
      <c r="A506" s="224">
        <v>95511</v>
      </c>
      <c r="B506" s="224" t="s">
        <v>1223</v>
      </c>
      <c r="C506" s="100">
        <v>484187.91000000003</v>
      </c>
    </row>
    <row r="507" spans="1:3">
      <c r="A507" s="224">
        <v>95513</v>
      </c>
      <c r="B507" s="224" t="s">
        <v>1224</v>
      </c>
      <c r="C507" s="100">
        <v>31793.059999999998</v>
      </c>
    </row>
    <row r="508" spans="1:3">
      <c r="A508" s="224">
        <v>95517</v>
      </c>
      <c r="B508" s="224" t="s">
        <v>1225</v>
      </c>
      <c r="C508" s="100">
        <v>15695.159999999998</v>
      </c>
    </row>
    <row r="509" spans="1:3">
      <c r="A509" s="224">
        <v>95601</v>
      </c>
      <c r="B509" s="224" t="s">
        <v>1226</v>
      </c>
      <c r="C509" s="100">
        <v>1208852.72</v>
      </c>
    </row>
    <row r="510" spans="1:3">
      <c r="A510" s="224">
        <v>95611</v>
      </c>
      <c r="B510" s="224" t="s">
        <v>1227</v>
      </c>
      <c r="C510" s="100">
        <v>186383.46999999997</v>
      </c>
    </row>
    <row r="511" spans="1:3">
      <c r="A511" s="224">
        <v>95617</v>
      </c>
      <c r="B511" s="224" t="s">
        <v>1228</v>
      </c>
      <c r="C511" s="100">
        <v>8201.3799999999992</v>
      </c>
    </row>
    <row r="512" spans="1:3">
      <c r="A512" s="224">
        <v>95621</v>
      </c>
      <c r="B512" s="224" t="s">
        <v>1229</v>
      </c>
      <c r="C512" s="100">
        <v>227836.40000000002</v>
      </c>
    </row>
    <row r="513" spans="1:3">
      <c r="A513" s="224">
        <v>95701</v>
      </c>
      <c r="B513" s="224" t="s">
        <v>1230</v>
      </c>
      <c r="C513" s="100">
        <v>600622.13</v>
      </c>
    </row>
    <row r="514" spans="1:3">
      <c r="A514" s="224">
        <v>95711</v>
      </c>
      <c r="B514" s="224" t="s">
        <v>1231</v>
      </c>
      <c r="C514" s="100">
        <v>55784.89</v>
      </c>
    </row>
    <row r="515" spans="1:3">
      <c r="A515" s="224">
        <v>95721</v>
      </c>
      <c r="B515" s="224" t="s">
        <v>1232</v>
      </c>
      <c r="C515" s="100">
        <v>25093.100000000002</v>
      </c>
    </row>
    <row r="516" spans="1:3">
      <c r="A516" s="224">
        <v>95733</v>
      </c>
      <c r="B516" s="224" t="s">
        <v>1233</v>
      </c>
      <c r="C516" s="100">
        <v>6897.59</v>
      </c>
    </row>
    <row r="517" spans="1:3">
      <c r="A517" s="224">
        <v>95801</v>
      </c>
      <c r="B517" s="224" t="s">
        <v>1234</v>
      </c>
      <c r="C517" s="100">
        <v>449778.57</v>
      </c>
    </row>
    <row r="518" spans="1:3">
      <c r="A518" s="224">
        <v>95802</v>
      </c>
      <c r="B518" s="224" t="s">
        <v>1235</v>
      </c>
      <c r="C518" s="100">
        <v>5123.8600000000006</v>
      </c>
    </row>
    <row r="519" spans="1:3">
      <c r="A519" s="224">
        <v>95804</v>
      </c>
      <c r="B519" s="224" t="s">
        <v>1236</v>
      </c>
      <c r="C519" s="100">
        <v>7566.2199999999993</v>
      </c>
    </row>
    <row r="520" spans="1:3">
      <c r="A520" s="224">
        <v>95811</v>
      </c>
      <c r="B520" s="224" t="s">
        <v>1237</v>
      </c>
      <c r="C520" s="100">
        <v>243909.30000000002</v>
      </c>
    </row>
    <row r="521" spans="1:3">
      <c r="A521" s="224">
        <v>95813</v>
      </c>
      <c r="B521" s="224" t="s">
        <v>1238</v>
      </c>
      <c r="C521" s="100">
        <v>63298.64</v>
      </c>
    </row>
    <row r="522" spans="1:3">
      <c r="A522" s="224">
        <v>95821</v>
      </c>
      <c r="B522" s="224" t="s">
        <v>1239</v>
      </c>
      <c r="C522" s="100">
        <v>609.75</v>
      </c>
    </row>
    <row r="523" spans="1:3">
      <c r="A523" s="224">
        <v>95831</v>
      </c>
      <c r="B523" s="224" t="s">
        <v>1240</v>
      </c>
      <c r="C523" s="100">
        <v>22033.83</v>
      </c>
    </row>
    <row r="524" spans="1:3">
      <c r="A524" s="224">
        <v>95841</v>
      </c>
      <c r="B524" s="224" t="s">
        <v>1241</v>
      </c>
      <c r="C524" s="100">
        <v>10804.930000000002</v>
      </c>
    </row>
    <row r="525" spans="1:3">
      <c r="A525" s="224">
        <v>95851</v>
      </c>
      <c r="B525" s="224" t="s">
        <v>1242</v>
      </c>
      <c r="C525" s="100">
        <v>142459.17000000001</v>
      </c>
    </row>
    <row r="526" spans="1:3">
      <c r="A526" s="224">
        <v>95853</v>
      </c>
      <c r="B526" s="224" t="s">
        <v>1243</v>
      </c>
      <c r="C526" s="100">
        <v>14343.84</v>
      </c>
    </row>
    <row r="527" spans="1:3">
      <c r="A527" s="224">
        <v>95901</v>
      </c>
      <c r="B527" s="224" t="s">
        <v>1244</v>
      </c>
      <c r="C527" s="100">
        <v>815701.69</v>
      </c>
    </row>
    <row r="528" spans="1:3">
      <c r="A528" s="224">
        <v>95908</v>
      </c>
      <c r="B528" s="224" t="s">
        <v>1245</v>
      </c>
      <c r="C528" s="100">
        <v>24597.75</v>
      </c>
    </row>
    <row r="529" spans="1:3">
      <c r="A529" s="224">
        <v>95911</v>
      </c>
      <c r="B529" s="224" t="s">
        <v>1246</v>
      </c>
      <c r="C529" s="100">
        <v>244844.94000000006</v>
      </c>
    </row>
    <row r="530" spans="1:3">
      <c r="A530" s="224">
        <v>95917</v>
      </c>
      <c r="B530" s="224" t="s">
        <v>1247</v>
      </c>
      <c r="C530" s="100">
        <v>11000.839999999998</v>
      </c>
    </row>
    <row r="531" spans="1:3">
      <c r="A531" s="224">
        <v>95921</v>
      </c>
      <c r="B531" s="224" t="s">
        <v>1248</v>
      </c>
      <c r="C531" s="100">
        <v>19771.79</v>
      </c>
    </row>
    <row r="532" spans="1:3">
      <c r="A532" s="224">
        <v>96001</v>
      </c>
      <c r="B532" s="224" t="s">
        <v>1249</v>
      </c>
      <c r="C532" s="100">
        <v>20012604.810000002</v>
      </c>
    </row>
    <row r="533" spans="1:3">
      <c r="A533" s="224">
        <v>96003</v>
      </c>
      <c r="B533" s="224" t="s">
        <v>1250</v>
      </c>
      <c r="C533" s="100">
        <v>743373.24000000011</v>
      </c>
    </row>
    <row r="534" spans="1:3">
      <c r="A534" s="224">
        <v>96004</v>
      </c>
      <c r="B534" s="224" t="s">
        <v>1251</v>
      </c>
      <c r="C534" s="100">
        <v>462351.75999999995</v>
      </c>
    </row>
    <row r="535" spans="1:3">
      <c r="A535" s="224">
        <v>96005</v>
      </c>
      <c r="B535" s="224" t="s">
        <v>1252</v>
      </c>
      <c r="C535" s="100">
        <v>1240289.72</v>
      </c>
    </row>
    <row r="536" spans="1:3">
      <c r="A536" s="224">
        <v>96008</v>
      </c>
      <c r="B536" s="224" t="s">
        <v>1253</v>
      </c>
      <c r="C536" s="100">
        <v>2075075.95</v>
      </c>
    </row>
    <row r="537" spans="1:3">
      <c r="A537" s="224">
        <v>96009</v>
      </c>
      <c r="B537" s="224" t="s">
        <v>1254</v>
      </c>
      <c r="C537" s="100">
        <v>192063.00000000003</v>
      </c>
    </row>
    <row r="538" spans="1:3">
      <c r="A538" s="224">
        <v>96011</v>
      </c>
      <c r="B538" s="224" t="s">
        <v>1255</v>
      </c>
      <c r="C538" s="100">
        <v>28379211.379999995</v>
      </c>
    </row>
    <row r="539" spans="1:3">
      <c r="A539" s="224">
        <v>96012</v>
      </c>
      <c r="B539" s="224" t="s">
        <v>1256</v>
      </c>
      <c r="C539" s="100">
        <v>1092788.4099999999</v>
      </c>
    </row>
    <row r="540" spans="1:3">
      <c r="A540" s="224">
        <v>96018</v>
      </c>
      <c r="B540" s="224" t="s">
        <v>1257</v>
      </c>
      <c r="C540" s="100">
        <v>18034.45</v>
      </c>
    </row>
    <row r="541" spans="1:3">
      <c r="A541" s="224">
        <v>96021</v>
      </c>
      <c r="B541" s="224" t="s">
        <v>1258</v>
      </c>
      <c r="C541" s="100">
        <v>327690.39</v>
      </c>
    </row>
    <row r="542" spans="1:3">
      <c r="A542" s="224">
        <v>96031</v>
      </c>
      <c r="B542" s="224" t="s">
        <v>1259</v>
      </c>
      <c r="C542" s="100">
        <v>325475.47000000003</v>
      </c>
    </row>
    <row r="543" spans="1:3">
      <c r="A543" s="224">
        <v>96041</v>
      </c>
      <c r="B543" s="224" t="s">
        <v>1260</v>
      </c>
      <c r="C543" s="100">
        <v>721544.05</v>
      </c>
    </row>
    <row r="544" spans="1:3">
      <c r="A544" s="224">
        <v>96051</v>
      </c>
      <c r="B544" s="224" t="s">
        <v>1261</v>
      </c>
      <c r="C544" s="100">
        <v>418345.63999999996</v>
      </c>
    </row>
    <row r="545" spans="1:3">
      <c r="A545" s="224">
        <v>96061</v>
      </c>
      <c r="B545" s="224" t="s">
        <v>1262</v>
      </c>
      <c r="C545" s="100">
        <v>154987.99</v>
      </c>
    </row>
    <row r="546" spans="1:3">
      <c r="A546" s="224">
        <v>96071</v>
      </c>
      <c r="B546" s="224" t="s">
        <v>1263</v>
      </c>
      <c r="C546" s="100">
        <v>554008.97</v>
      </c>
    </row>
    <row r="547" spans="1:3">
      <c r="A547" s="224">
        <v>96081</v>
      </c>
      <c r="B547" s="224" t="s">
        <v>1264</v>
      </c>
      <c r="C547" s="100">
        <v>211520.19</v>
      </c>
    </row>
    <row r="548" spans="1:3">
      <c r="A548" s="224">
        <v>96101</v>
      </c>
      <c r="B548" s="224" t="s">
        <v>1265</v>
      </c>
      <c r="C548" s="100">
        <v>371540.89999999997</v>
      </c>
    </row>
    <row r="549" spans="1:3">
      <c r="A549" s="224">
        <v>96102</v>
      </c>
      <c r="B549" s="224" t="s">
        <v>1266</v>
      </c>
      <c r="C549" s="100">
        <v>5077.9400000000005</v>
      </c>
    </row>
    <row r="550" spans="1:3">
      <c r="A550" s="224">
        <v>96111</v>
      </c>
      <c r="B550" s="224" t="s">
        <v>1267</v>
      </c>
      <c r="C550" s="100">
        <v>74819.210000000006</v>
      </c>
    </row>
    <row r="551" spans="1:3">
      <c r="A551" s="224">
        <v>96121</v>
      </c>
      <c r="B551" s="224" t="s">
        <v>1268</v>
      </c>
      <c r="C551" s="100">
        <v>9052.41</v>
      </c>
    </row>
    <row r="552" spans="1:3">
      <c r="A552" s="224">
        <v>96201</v>
      </c>
      <c r="B552" s="224" t="s">
        <v>1269</v>
      </c>
      <c r="C552" s="100">
        <v>527645.28999999992</v>
      </c>
    </row>
    <row r="553" spans="1:3">
      <c r="A553" s="224">
        <v>96204</v>
      </c>
      <c r="B553" s="224" t="s">
        <v>1270</v>
      </c>
      <c r="C553" s="100">
        <v>8503.01</v>
      </c>
    </row>
    <row r="554" spans="1:3">
      <c r="A554" s="224">
        <v>96211</v>
      </c>
      <c r="B554" s="224" t="s">
        <v>1271</v>
      </c>
      <c r="C554" s="100">
        <v>16678.379999999997</v>
      </c>
    </row>
    <row r="555" spans="1:3">
      <c r="A555" s="224">
        <v>96221</v>
      </c>
      <c r="B555" s="224" t="s">
        <v>1272</v>
      </c>
      <c r="C555" s="100">
        <v>98415.24</v>
      </c>
    </row>
    <row r="556" spans="1:3">
      <c r="A556" s="224">
        <v>96231</v>
      </c>
      <c r="B556" s="224" t="s">
        <v>1273</v>
      </c>
      <c r="C556" s="100">
        <v>48595.12</v>
      </c>
    </row>
    <row r="557" spans="1:3">
      <c r="A557" s="224">
        <v>96241</v>
      </c>
      <c r="B557" s="224" t="s">
        <v>1274</v>
      </c>
      <c r="C557" s="100">
        <v>22791.16</v>
      </c>
    </row>
    <row r="558" spans="1:3">
      <c r="A558" s="224">
        <v>96251</v>
      </c>
      <c r="B558" s="224" t="s">
        <v>1275</v>
      </c>
      <c r="C558" s="100">
        <v>36737.410000000003</v>
      </c>
    </row>
    <row r="559" spans="1:3">
      <c r="A559" s="224">
        <v>96301</v>
      </c>
      <c r="B559" s="224" t="s">
        <v>1276</v>
      </c>
      <c r="C559" s="100">
        <v>1938349.7399999998</v>
      </c>
    </row>
    <row r="560" spans="1:3">
      <c r="A560" s="224">
        <v>96302</v>
      </c>
      <c r="B560" s="224" t="s">
        <v>1277</v>
      </c>
      <c r="C560" s="100">
        <v>12120.929999999998</v>
      </c>
    </row>
    <row r="561" spans="1:3">
      <c r="A561" s="224">
        <v>96304</v>
      </c>
      <c r="B561" s="224" t="s">
        <v>1278</v>
      </c>
      <c r="C561" s="100">
        <v>27293.760000000002</v>
      </c>
    </row>
    <row r="562" spans="1:3">
      <c r="A562" s="224">
        <v>96305</v>
      </c>
      <c r="B562" s="224" t="s">
        <v>1279</v>
      </c>
      <c r="C562" s="100">
        <v>30519.599999999999</v>
      </c>
    </row>
    <row r="563" spans="1:3">
      <c r="A563" s="224">
        <v>96310</v>
      </c>
      <c r="B563" s="224" t="s">
        <v>1280</v>
      </c>
      <c r="C563" s="100">
        <v>26766.78</v>
      </c>
    </row>
    <row r="564" spans="1:3">
      <c r="A564" s="224">
        <v>96311</v>
      </c>
      <c r="B564" s="224" t="s">
        <v>1281</v>
      </c>
      <c r="C564" s="100">
        <v>595123.57999999996</v>
      </c>
    </row>
    <row r="565" spans="1:3">
      <c r="A565" s="224">
        <v>96312</v>
      </c>
      <c r="B565" s="224" t="s">
        <v>1282</v>
      </c>
      <c r="C565" s="100">
        <v>4819.92</v>
      </c>
    </row>
    <row r="566" spans="1:3">
      <c r="A566" s="224">
        <v>96318</v>
      </c>
      <c r="B566" s="224" t="s">
        <v>1283</v>
      </c>
      <c r="C566" s="100">
        <v>1061237.49</v>
      </c>
    </row>
    <row r="567" spans="1:3">
      <c r="A567" s="224">
        <v>96321</v>
      </c>
      <c r="B567" s="224" t="s">
        <v>1284</v>
      </c>
      <c r="C567" s="100">
        <v>18736.629999999997</v>
      </c>
    </row>
    <row r="568" spans="1:3">
      <c r="A568" s="224">
        <v>96331</v>
      </c>
      <c r="B568" s="224" t="s">
        <v>1285</v>
      </c>
      <c r="C568" s="100">
        <v>321182.36000000004</v>
      </c>
    </row>
    <row r="569" spans="1:3">
      <c r="A569" s="224">
        <v>96341</v>
      </c>
      <c r="B569" s="224" t="s">
        <v>1286</v>
      </c>
      <c r="C569" s="100">
        <v>35035.769999999997</v>
      </c>
    </row>
    <row r="570" spans="1:3">
      <c r="A570" s="224">
        <v>96351</v>
      </c>
      <c r="B570" s="224" t="s">
        <v>1287</v>
      </c>
      <c r="C570" s="100">
        <v>488440.63</v>
      </c>
    </row>
    <row r="571" spans="1:3">
      <c r="A571" s="224">
        <v>96361</v>
      </c>
      <c r="B571" s="224" t="s">
        <v>1288</v>
      </c>
      <c r="C571" s="100">
        <v>24289.03</v>
      </c>
    </row>
    <row r="572" spans="1:3">
      <c r="A572" s="224">
        <v>96371</v>
      </c>
      <c r="B572" s="224" t="s">
        <v>1289</v>
      </c>
      <c r="C572" s="100">
        <v>67275.76999999999</v>
      </c>
    </row>
    <row r="573" spans="1:3">
      <c r="A573" s="224">
        <v>96381</v>
      </c>
      <c r="B573" s="224" t="s">
        <v>1290</v>
      </c>
      <c r="C573" s="100">
        <v>15357.089999999997</v>
      </c>
    </row>
    <row r="574" spans="1:3">
      <c r="A574" s="224">
        <v>96391</v>
      </c>
      <c r="B574" s="224" t="s">
        <v>1291</v>
      </c>
      <c r="C574" s="100">
        <v>74519.070000000007</v>
      </c>
    </row>
    <row r="575" spans="1:3">
      <c r="A575" s="224">
        <v>96401</v>
      </c>
      <c r="B575" s="224" t="s">
        <v>1292</v>
      </c>
      <c r="C575" s="100">
        <v>2040109.23</v>
      </c>
    </row>
    <row r="576" spans="1:3">
      <c r="A576" s="224">
        <v>96404</v>
      </c>
      <c r="B576" s="224" t="s">
        <v>1293</v>
      </c>
      <c r="C576" s="100">
        <v>57854.709999999992</v>
      </c>
    </row>
    <row r="577" spans="1:3">
      <c r="A577" s="224">
        <v>96405</v>
      </c>
      <c r="B577" s="224" t="s">
        <v>1294</v>
      </c>
      <c r="C577" s="100">
        <v>86618.239999999991</v>
      </c>
    </row>
    <row r="578" spans="1:3">
      <c r="A578" s="224">
        <v>96411</v>
      </c>
      <c r="B578" s="224" t="s">
        <v>1295</v>
      </c>
      <c r="C578" s="100">
        <v>28784.39</v>
      </c>
    </row>
    <row r="579" spans="1:3">
      <c r="A579" s="224">
        <v>96421</v>
      </c>
      <c r="B579" s="224" t="s">
        <v>1296</v>
      </c>
      <c r="C579" s="100">
        <v>170403.58000000002</v>
      </c>
    </row>
    <row r="580" spans="1:3">
      <c r="A580" s="224">
        <v>96431</v>
      </c>
      <c r="B580" s="224" t="s">
        <v>1297</v>
      </c>
      <c r="C580" s="100">
        <v>21289.47</v>
      </c>
    </row>
    <row r="581" spans="1:3">
      <c r="A581" s="224">
        <v>96441</v>
      </c>
      <c r="B581" s="224" t="s">
        <v>1298</v>
      </c>
      <c r="C581" s="100">
        <v>18706.769999999997</v>
      </c>
    </row>
    <row r="582" spans="1:3">
      <c r="A582" s="224">
        <v>96451</v>
      </c>
      <c r="B582" s="224" t="s">
        <v>1299</v>
      </c>
      <c r="C582" s="100">
        <v>8566.18</v>
      </c>
    </row>
    <row r="583" spans="1:3">
      <c r="A583" s="224">
        <v>96461</v>
      </c>
      <c r="B583" s="224" t="s">
        <v>1300</v>
      </c>
      <c r="C583" s="100">
        <v>63932.05999999999</v>
      </c>
    </row>
    <row r="584" spans="1:3">
      <c r="A584" s="224">
        <v>96501</v>
      </c>
      <c r="B584" s="224" t="s">
        <v>1301</v>
      </c>
      <c r="C584" s="100">
        <v>6399555.9400000004</v>
      </c>
    </row>
    <row r="585" spans="1:3">
      <c r="A585" s="224">
        <v>96502</v>
      </c>
      <c r="B585" s="224" t="s">
        <v>1302</v>
      </c>
      <c r="C585" s="100">
        <v>198105.11</v>
      </c>
    </row>
    <row r="586" spans="1:3">
      <c r="A586" s="224">
        <v>96503</v>
      </c>
      <c r="B586" s="224" t="s">
        <v>1303</v>
      </c>
      <c r="C586" s="100">
        <v>293862.68000000005</v>
      </c>
    </row>
    <row r="587" spans="1:3">
      <c r="A587" s="224">
        <v>96504</v>
      </c>
      <c r="B587" s="224" t="s">
        <v>1304</v>
      </c>
      <c r="C587" s="100">
        <v>189891.95</v>
      </c>
    </row>
    <row r="588" spans="1:3">
      <c r="A588" s="224">
        <v>96507</v>
      </c>
      <c r="B588" s="224" t="s">
        <v>1305</v>
      </c>
      <c r="C588" s="100">
        <v>1026624.38</v>
      </c>
    </row>
    <row r="589" spans="1:3">
      <c r="A589" s="224">
        <v>96508</v>
      </c>
      <c r="B589" s="224" t="s">
        <v>1306</v>
      </c>
      <c r="C589" s="100">
        <v>11086.08</v>
      </c>
    </row>
    <row r="590" spans="1:3">
      <c r="A590" s="224">
        <v>96511</v>
      </c>
      <c r="B590" s="224" t="s">
        <v>1307</v>
      </c>
      <c r="C590" s="100">
        <v>276057.34999999998</v>
      </c>
    </row>
    <row r="591" spans="1:3">
      <c r="A591" s="224">
        <v>96512</v>
      </c>
      <c r="B591" s="224" t="s">
        <v>1308</v>
      </c>
      <c r="C591" s="100">
        <v>72714.91</v>
      </c>
    </row>
    <row r="592" spans="1:3">
      <c r="A592" s="224">
        <v>96521</v>
      </c>
      <c r="B592" s="224" t="s">
        <v>1309</v>
      </c>
      <c r="C592" s="100">
        <v>408177.79</v>
      </c>
    </row>
    <row r="593" spans="1:3">
      <c r="A593" s="224">
        <v>96531</v>
      </c>
      <c r="B593" s="224" t="s">
        <v>1310</v>
      </c>
      <c r="C593" s="100">
        <v>3779880.6199999996</v>
      </c>
    </row>
    <row r="594" spans="1:3">
      <c r="A594" s="224">
        <v>96541</v>
      </c>
      <c r="B594" s="224" t="s">
        <v>1311</v>
      </c>
      <c r="C594" s="100">
        <v>156792.44</v>
      </c>
    </row>
    <row r="595" spans="1:3">
      <c r="A595" s="224">
        <v>96601</v>
      </c>
      <c r="B595" s="224" t="s">
        <v>1312</v>
      </c>
      <c r="C595" s="100">
        <v>878871.7100000002</v>
      </c>
    </row>
    <row r="596" spans="1:3">
      <c r="A596" s="224">
        <v>96604</v>
      </c>
      <c r="B596" s="224" t="s">
        <v>1313</v>
      </c>
      <c r="C596" s="100">
        <v>5010.91</v>
      </c>
    </row>
    <row r="597" spans="1:3">
      <c r="A597" s="224">
        <v>96611</v>
      </c>
      <c r="B597" s="224" t="s">
        <v>1314</v>
      </c>
      <c r="C597" s="100">
        <v>12016.16</v>
      </c>
    </row>
    <row r="598" spans="1:3">
      <c r="A598" s="224">
        <v>96612</v>
      </c>
      <c r="B598" s="224" t="s">
        <v>1315</v>
      </c>
      <c r="C598" s="100">
        <v>32834.22</v>
      </c>
    </row>
    <row r="599" spans="1:3">
      <c r="A599" s="224">
        <v>96621</v>
      </c>
      <c r="B599" s="224" t="s">
        <v>1316</v>
      </c>
      <c r="C599" s="100">
        <v>13235.42</v>
      </c>
    </row>
    <row r="600" spans="1:3">
      <c r="A600" s="224">
        <v>96631</v>
      </c>
      <c r="B600" s="224" t="s">
        <v>1317</v>
      </c>
      <c r="C600" s="100">
        <v>11904.52</v>
      </c>
    </row>
    <row r="601" spans="1:3">
      <c r="A601" s="224">
        <v>96641</v>
      </c>
      <c r="B601" s="224" t="s">
        <v>1318</v>
      </c>
      <c r="C601" s="100">
        <v>20865.260000000002</v>
      </c>
    </row>
    <row r="602" spans="1:3">
      <c r="A602" s="224">
        <v>96651</v>
      </c>
      <c r="B602" s="224" t="s">
        <v>1319</v>
      </c>
      <c r="C602" s="100">
        <v>11419.39</v>
      </c>
    </row>
    <row r="603" spans="1:3">
      <c r="A603" s="224">
        <v>96661</v>
      </c>
      <c r="B603" s="224" t="s">
        <v>1320</v>
      </c>
      <c r="C603" s="100">
        <v>10399.49</v>
      </c>
    </row>
    <row r="604" spans="1:3">
      <c r="A604" s="224">
        <v>96671</v>
      </c>
      <c r="B604" s="224" t="s">
        <v>1321</v>
      </c>
      <c r="C604" s="100">
        <v>8399.93</v>
      </c>
    </row>
    <row r="605" spans="1:3">
      <c r="A605" s="224">
        <v>96681</v>
      </c>
      <c r="B605" s="224" t="s">
        <v>1322</v>
      </c>
      <c r="C605" s="100">
        <v>12178.619999999999</v>
      </c>
    </row>
    <row r="606" spans="1:3">
      <c r="A606" s="224">
        <v>96701</v>
      </c>
      <c r="B606" s="224" t="s">
        <v>1323</v>
      </c>
      <c r="C606" s="100">
        <v>3657207.7199999997</v>
      </c>
    </row>
    <row r="607" spans="1:3">
      <c r="A607" s="224">
        <v>96704</v>
      </c>
      <c r="B607" s="224" t="s">
        <v>1324</v>
      </c>
      <c r="C607" s="100">
        <v>92320.030000000013</v>
      </c>
    </row>
    <row r="608" spans="1:3">
      <c r="A608" s="224">
        <v>96708</v>
      </c>
      <c r="B608" s="224" t="s">
        <v>1325</v>
      </c>
      <c r="C608" s="100">
        <v>441727.00000000006</v>
      </c>
    </row>
    <row r="609" spans="1:3">
      <c r="A609" s="224">
        <v>96711</v>
      </c>
      <c r="B609" s="224" t="s">
        <v>1326</v>
      </c>
      <c r="C609" s="100">
        <v>1869918</v>
      </c>
    </row>
    <row r="610" spans="1:3">
      <c r="A610" s="224">
        <v>96721</v>
      </c>
      <c r="B610" s="224" t="s">
        <v>1327</v>
      </c>
      <c r="C610" s="100">
        <v>96163.239999999991</v>
      </c>
    </row>
    <row r="611" spans="1:3">
      <c r="A611" s="224">
        <v>96731</v>
      </c>
      <c r="B611" s="224" t="s">
        <v>1328</v>
      </c>
      <c r="C611" s="100">
        <v>72355.61</v>
      </c>
    </row>
    <row r="612" spans="1:3">
      <c r="A612" s="224">
        <v>96733</v>
      </c>
      <c r="B612" s="224" t="s">
        <v>1329</v>
      </c>
      <c r="C612" s="100">
        <v>4278.46</v>
      </c>
    </row>
    <row r="613" spans="1:3">
      <c r="A613" s="224">
        <v>96741</v>
      </c>
      <c r="B613" s="224" t="s">
        <v>1330</v>
      </c>
      <c r="C613" s="100">
        <v>41447.850000000006</v>
      </c>
    </row>
    <row r="614" spans="1:3">
      <c r="A614" s="224">
        <v>96751</v>
      </c>
      <c r="B614" s="224" t="s">
        <v>1331</v>
      </c>
      <c r="C614" s="100">
        <v>115659.57999999999</v>
      </c>
    </row>
    <row r="615" spans="1:3">
      <c r="A615" s="224">
        <v>96801</v>
      </c>
      <c r="B615" s="224" t="s">
        <v>1332</v>
      </c>
      <c r="C615" s="100">
        <v>3611119.7</v>
      </c>
    </row>
    <row r="616" spans="1:3">
      <c r="A616" s="224">
        <v>96804</v>
      </c>
      <c r="B616" s="224" t="s">
        <v>1333</v>
      </c>
      <c r="C616" s="100">
        <v>109175.44</v>
      </c>
    </row>
    <row r="617" spans="1:3">
      <c r="A617" s="224">
        <v>96808</v>
      </c>
      <c r="B617" s="224" t="s">
        <v>1334</v>
      </c>
      <c r="C617" s="100">
        <v>593249.02</v>
      </c>
    </row>
    <row r="618" spans="1:3">
      <c r="A618" s="224">
        <v>96811</v>
      </c>
      <c r="B618" s="224" t="s">
        <v>1335</v>
      </c>
      <c r="C618" s="100">
        <v>2786024.5599999996</v>
      </c>
    </row>
    <row r="619" spans="1:3">
      <c r="A619" s="224">
        <v>96821</v>
      </c>
      <c r="B619" s="224" t="s">
        <v>1336</v>
      </c>
      <c r="C619" s="100">
        <v>603955.94999999995</v>
      </c>
    </row>
    <row r="620" spans="1:3">
      <c r="A620" s="224">
        <v>96831</v>
      </c>
      <c r="B620" s="224" t="s">
        <v>1337</v>
      </c>
      <c r="C620" s="100">
        <v>426593.44000000012</v>
      </c>
    </row>
    <row r="621" spans="1:3">
      <c r="A621" s="224">
        <v>96901</v>
      </c>
      <c r="B621" s="224" t="s">
        <v>1338</v>
      </c>
      <c r="C621" s="100">
        <v>411770.29</v>
      </c>
    </row>
    <row r="622" spans="1:3">
      <c r="A622" s="224">
        <v>96911</v>
      </c>
      <c r="B622" s="224" t="s">
        <v>1339</v>
      </c>
      <c r="C622" s="100">
        <v>1941.5699999999997</v>
      </c>
    </row>
    <row r="623" spans="1:3">
      <c r="A623" s="224">
        <v>96912</v>
      </c>
      <c r="B623" s="224" t="s">
        <v>1340</v>
      </c>
      <c r="C623" s="100">
        <v>24609.720000000005</v>
      </c>
    </row>
    <row r="624" spans="1:3">
      <c r="A624" s="224">
        <v>96918</v>
      </c>
      <c r="B624" s="224" t="s">
        <v>1341</v>
      </c>
      <c r="C624" s="100">
        <v>20288.789999999994</v>
      </c>
    </row>
    <row r="625" spans="1:3">
      <c r="A625" s="224">
        <v>97001</v>
      </c>
      <c r="B625" s="224" t="s">
        <v>1342</v>
      </c>
      <c r="C625" s="100">
        <v>710694.22</v>
      </c>
    </row>
    <row r="626" spans="1:3">
      <c r="A626" s="224">
        <v>97002</v>
      </c>
      <c r="B626" s="224" t="s">
        <v>1343</v>
      </c>
      <c r="C626" s="100">
        <v>182319.24</v>
      </c>
    </row>
    <row r="627" spans="1:3">
      <c r="A627" s="224">
        <v>97004</v>
      </c>
      <c r="B627" s="224" t="s">
        <v>1344</v>
      </c>
      <c r="C627" s="100">
        <v>8257.23</v>
      </c>
    </row>
    <row r="628" spans="1:3">
      <c r="A628" s="224">
        <v>97005</v>
      </c>
      <c r="B628" s="224" t="s">
        <v>1345</v>
      </c>
      <c r="C628" s="100">
        <v>15091.840000000004</v>
      </c>
    </row>
    <row r="629" spans="1:3">
      <c r="A629" s="224">
        <v>97008</v>
      </c>
      <c r="B629" s="224" t="s">
        <v>1346</v>
      </c>
      <c r="C629" s="100">
        <v>128453.32</v>
      </c>
    </row>
    <row r="630" spans="1:3">
      <c r="A630" s="224">
        <v>97011</v>
      </c>
      <c r="B630" s="224" t="s">
        <v>1348</v>
      </c>
      <c r="C630" s="100">
        <v>907457.56999999983</v>
      </c>
    </row>
    <row r="631" spans="1:3">
      <c r="A631" s="224">
        <v>97012</v>
      </c>
      <c r="B631" s="224" t="s">
        <v>1349</v>
      </c>
      <c r="C631" s="100">
        <v>12374.49</v>
      </c>
    </row>
    <row r="632" spans="1:3">
      <c r="A632" s="224">
        <v>97013</v>
      </c>
      <c r="B632" s="224" t="s">
        <v>1350</v>
      </c>
      <c r="C632" s="100">
        <v>11432.48</v>
      </c>
    </row>
    <row r="633" spans="1:3">
      <c r="A633" s="224">
        <v>97015</v>
      </c>
      <c r="B633" s="224" t="s">
        <v>1351</v>
      </c>
      <c r="C633" s="100">
        <v>23035.67</v>
      </c>
    </row>
    <row r="634" spans="1:3">
      <c r="A634" s="224">
        <v>97018</v>
      </c>
      <c r="B634" s="224" t="s">
        <v>1352</v>
      </c>
      <c r="C634" s="100">
        <v>8134.56</v>
      </c>
    </row>
    <row r="635" spans="1:3">
      <c r="A635" s="224">
        <v>97101</v>
      </c>
      <c r="B635" s="224" t="s">
        <v>1353</v>
      </c>
      <c r="C635" s="100">
        <v>1208499.9099999999</v>
      </c>
    </row>
    <row r="636" spans="1:3">
      <c r="A636" s="224">
        <v>97104</v>
      </c>
      <c r="B636" s="224" t="s">
        <v>1354</v>
      </c>
      <c r="C636" s="100">
        <v>29146.929999999997</v>
      </c>
    </row>
    <row r="637" spans="1:3">
      <c r="A637" s="224">
        <v>97111</v>
      </c>
      <c r="B637" s="224" t="s">
        <v>1355</v>
      </c>
      <c r="C637" s="100">
        <v>108870.45999999999</v>
      </c>
    </row>
    <row r="638" spans="1:3">
      <c r="A638" s="224">
        <v>97121</v>
      </c>
      <c r="B638" s="224" t="s">
        <v>1356</v>
      </c>
      <c r="C638" s="100">
        <v>66521.84</v>
      </c>
    </row>
    <row r="639" spans="1:3">
      <c r="A639" s="224">
        <v>97131</v>
      </c>
      <c r="B639" s="224" t="s">
        <v>1357</v>
      </c>
      <c r="C639" s="100">
        <v>280483.40000000002</v>
      </c>
    </row>
    <row r="640" spans="1:3">
      <c r="A640" s="224">
        <v>97201</v>
      </c>
      <c r="B640" s="224" t="s">
        <v>1358</v>
      </c>
      <c r="C640" s="100">
        <v>248231.81000000003</v>
      </c>
    </row>
    <row r="641" spans="1:3">
      <c r="A641" s="224">
        <v>97211</v>
      </c>
      <c r="B641" s="224" t="s">
        <v>1359</v>
      </c>
      <c r="C641" s="100">
        <v>74901.72</v>
      </c>
    </row>
    <row r="642" spans="1:3">
      <c r="A642" s="224">
        <v>97213</v>
      </c>
      <c r="B642" s="224" t="s">
        <v>1360</v>
      </c>
      <c r="C642" s="100">
        <v>24679.989999999998</v>
      </c>
    </row>
    <row r="643" spans="1:3">
      <c r="A643" s="224">
        <v>97217</v>
      </c>
      <c r="B643" s="224" t="s">
        <v>1361</v>
      </c>
      <c r="C643" s="100">
        <v>6889.51</v>
      </c>
    </row>
    <row r="644" spans="1:3">
      <c r="A644" s="224">
        <v>97221</v>
      </c>
      <c r="B644" s="224" t="s">
        <v>1362</v>
      </c>
      <c r="C644" s="100">
        <v>7777.7399999999989</v>
      </c>
    </row>
    <row r="645" spans="1:3">
      <c r="A645" s="224">
        <v>97301</v>
      </c>
      <c r="B645" s="224" t="s">
        <v>1363</v>
      </c>
      <c r="C645" s="100">
        <v>1186932.25</v>
      </c>
    </row>
    <row r="646" spans="1:3">
      <c r="A646" s="224">
        <v>97304</v>
      </c>
      <c r="B646" s="224" t="s">
        <v>1364</v>
      </c>
      <c r="C646" s="100">
        <v>13381.54</v>
      </c>
    </row>
    <row r="647" spans="1:3">
      <c r="A647" s="224">
        <v>97311</v>
      </c>
      <c r="B647" s="224" t="s">
        <v>1365</v>
      </c>
      <c r="C647" s="100">
        <v>407124.39999999997</v>
      </c>
    </row>
    <row r="648" spans="1:3">
      <c r="A648" s="224">
        <v>97401</v>
      </c>
      <c r="B648" s="224" t="s">
        <v>1366</v>
      </c>
      <c r="C648" s="100">
        <v>3322668.7800000003</v>
      </c>
    </row>
    <row r="649" spans="1:3">
      <c r="A649" s="224">
        <v>97402</v>
      </c>
      <c r="B649" s="224" t="s">
        <v>1367</v>
      </c>
      <c r="C649" s="100">
        <v>25207.209999999995</v>
      </c>
    </row>
    <row r="650" spans="1:3">
      <c r="A650" s="224">
        <v>97404</v>
      </c>
      <c r="B650" s="224" t="s">
        <v>1368</v>
      </c>
      <c r="C650" s="100">
        <v>84648.55</v>
      </c>
    </row>
    <row r="651" spans="1:3">
      <c r="A651" s="224">
        <v>97405</v>
      </c>
      <c r="B651" s="224" t="s">
        <v>1369</v>
      </c>
      <c r="C651" s="100">
        <v>65705.47</v>
      </c>
    </row>
    <row r="652" spans="1:3">
      <c r="A652" s="224">
        <v>97408</v>
      </c>
      <c r="B652" s="224" t="s">
        <v>1370</v>
      </c>
      <c r="C652" s="100">
        <v>27498.809999999994</v>
      </c>
    </row>
    <row r="653" spans="1:3">
      <c r="A653" s="224">
        <v>97411</v>
      </c>
      <c r="B653" s="224" t="s">
        <v>1371</v>
      </c>
      <c r="C653" s="100">
        <v>2979172.5</v>
      </c>
    </row>
    <row r="654" spans="1:3">
      <c r="A654" s="224">
        <v>97412</v>
      </c>
      <c r="B654" s="224" t="s">
        <v>1372</v>
      </c>
      <c r="C654" s="100">
        <v>2155643.56</v>
      </c>
    </row>
    <row r="655" spans="1:3">
      <c r="A655" s="224">
        <v>97413</v>
      </c>
      <c r="B655" s="224" t="s">
        <v>1373</v>
      </c>
      <c r="C655" s="100">
        <v>140808.79999999999</v>
      </c>
    </row>
    <row r="656" spans="1:3">
      <c r="A656" s="224">
        <v>97421</v>
      </c>
      <c r="B656" s="224" t="s">
        <v>1374</v>
      </c>
      <c r="C656" s="100">
        <v>192260.81000000003</v>
      </c>
    </row>
    <row r="657" spans="1:3">
      <c r="A657" s="224">
        <v>97423</v>
      </c>
      <c r="B657" s="224" t="s">
        <v>1375</v>
      </c>
      <c r="C657" s="100">
        <v>42975.929999999993</v>
      </c>
    </row>
    <row r="658" spans="1:3">
      <c r="A658" s="224">
        <v>97431</v>
      </c>
      <c r="B658" s="224" t="s">
        <v>1376</v>
      </c>
      <c r="C658" s="100">
        <v>44546.02</v>
      </c>
    </row>
    <row r="659" spans="1:3">
      <c r="A659" s="224">
        <v>97441</v>
      </c>
      <c r="B659" s="224" t="s">
        <v>1377</v>
      </c>
      <c r="C659" s="100">
        <v>25243.599999999999</v>
      </c>
    </row>
    <row r="660" spans="1:3">
      <c r="A660" s="224">
        <v>97451</v>
      </c>
      <c r="B660" s="224" t="s">
        <v>1378</v>
      </c>
      <c r="C660" s="100">
        <v>245214.42</v>
      </c>
    </row>
    <row r="661" spans="1:3">
      <c r="A661" s="224">
        <v>97461</v>
      </c>
      <c r="B661" s="224" t="s">
        <v>1379</v>
      </c>
      <c r="C661" s="100">
        <v>228349.53999999998</v>
      </c>
    </row>
    <row r="662" spans="1:3">
      <c r="A662" s="224">
        <v>97463</v>
      </c>
      <c r="B662" s="224" t="s">
        <v>1380</v>
      </c>
      <c r="C662" s="100">
        <v>16311.75</v>
      </c>
    </row>
    <row r="663" spans="1:3">
      <c r="A663" s="224">
        <v>97471</v>
      </c>
      <c r="B663" s="224" t="s">
        <v>1381</v>
      </c>
      <c r="C663" s="100">
        <v>10246.98</v>
      </c>
    </row>
    <row r="664" spans="1:3">
      <c r="A664" s="224">
        <v>97481</v>
      </c>
      <c r="B664" s="224" t="s">
        <v>1382</v>
      </c>
      <c r="C664" s="100">
        <v>6015.34</v>
      </c>
    </row>
    <row r="665" spans="1:3">
      <c r="A665" s="224">
        <v>97501</v>
      </c>
      <c r="B665" s="224" t="s">
        <v>1384</v>
      </c>
      <c r="C665" s="100">
        <v>517522.17</v>
      </c>
    </row>
    <row r="666" spans="1:3">
      <c r="A666" s="224">
        <v>97511</v>
      </c>
      <c r="B666" s="224" t="s">
        <v>1385</v>
      </c>
      <c r="C666" s="100">
        <v>112043.93</v>
      </c>
    </row>
    <row r="667" spans="1:3">
      <c r="A667" s="224">
        <v>97521</v>
      </c>
      <c r="B667" s="224" t="s">
        <v>1386</v>
      </c>
      <c r="C667" s="100">
        <v>56687.740000000005</v>
      </c>
    </row>
    <row r="668" spans="1:3">
      <c r="A668" s="224">
        <v>97527</v>
      </c>
      <c r="B668" s="224" t="s">
        <v>1637</v>
      </c>
      <c r="C668" s="100">
        <v>532.1099999999999</v>
      </c>
    </row>
    <row r="669" spans="1:3">
      <c r="A669" s="224">
        <v>97531</v>
      </c>
      <c r="B669" s="224" t="s">
        <v>1387</v>
      </c>
      <c r="C669" s="100">
        <v>25035.190000000002</v>
      </c>
    </row>
    <row r="670" spans="1:3">
      <c r="A670" s="224">
        <v>97601</v>
      </c>
      <c r="B670" s="224" t="s">
        <v>1388</v>
      </c>
      <c r="C670" s="100">
        <v>2286999.6</v>
      </c>
    </row>
    <row r="671" spans="1:3">
      <c r="A671" s="224">
        <v>97607</v>
      </c>
      <c r="B671" s="224" t="s">
        <v>1389</v>
      </c>
      <c r="C671" s="100">
        <v>17254.64</v>
      </c>
    </row>
    <row r="672" spans="1:3">
      <c r="A672" s="224">
        <v>97611</v>
      </c>
      <c r="B672" s="224" t="s">
        <v>1390</v>
      </c>
      <c r="C672" s="100">
        <v>1108487.7400000002</v>
      </c>
    </row>
    <row r="673" spans="1:3">
      <c r="A673" s="224">
        <v>97613</v>
      </c>
      <c r="B673" s="224" t="s">
        <v>1391</v>
      </c>
      <c r="C673" s="100">
        <v>60156.710000000006</v>
      </c>
    </row>
    <row r="674" spans="1:3">
      <c r="A674" s="224">
        <v>97621</v>
      </c>
      <c r="B674" s="224" t="s">
        <v>1392</v>
      </c>
      <c r="C674" s="100">
        <v>179046.86000000002</v>
      </c>
    </row>
    <row r="675" spans="1:3">
      <c r="A675" s="224">
        <v>97623</v>
      </c>
      <c r="B675" s="224" t="s">
        <v>1393</v>
      </c>
      <c r="C675" s="100">
        <v>11113.43</v>
      </c>
    </row>
    <row r="676" spans="1:3">
      <c r="A676" s="224">
        <v>97627</v>
      </c>
      <c r="B676" s="224" t="s">
        <v>1394</v>
      </c>
      <c r="C676" s="100">
        <v>5007.6000000000004</v>
      </c>
    </row>
    <row r="677" spans="1:3">
      <c r="A677" s="224">
        <v>97631</v>
      </c>
      <c r="B677" s="224" t="s">
        <v>1395</v>
      </c>
      <c r="C677" s="100">
        <v>85999.290000000008</v>
      </c>
    </row>
    <row r="678" spans="1:3">
      <c r="A678" s="224">
        <v>97637</v>
      </c>
      <c r="B678" s="224" t="s">
        <v>1396</v>
      </c>
      <c r="C678" s="100">
        <v>3072.1200000000008</v>
      </c>
    </row>
    <row r="679" spans="1:3">
      <c r="A679" s="224">
        <v>97641</v>
      </c>
      <c r="B679" s="224" t="s">
        <v>1397</v>
      </c>
      <c r="C679" s="100">
        <v>35026.46</v>
      </c>
    </row>
    <row r="680" spans="1:3">
      <c r="A680" s="224">
        <v>97651</v>
      </c>
      <c r="B680" s="224" t="s">
        <v>1398</v>
      </c>
      <c r="C680" s="100">
        <v>222466.38999999996</v>
      </c>
    </row>
    <row r="681" spans="1:3">
      <c r="A681" s="224">
        <v>97661</v>
      </c>
      <c r="B681" s="224" t="s">
        <v>1399</v>
      </c>
      <c r="C681" s="100">
        <v>24365.61</v>
      </c>
    </row>
    <row r="682" spans="1:3">
      <c r="A682" s="224">
        <v>97701</v>
      </c>
      <c r="B682" s="224" t="s">
        <v>1400</v>
      </c>
      <c r="C682" s="100">
        <v>1156151.48</v>
      </c>
    </row>
    <row r="683" spans="1:3">
      <c r="A683" s="224">
        <v>97705</v>
      </c>
      <c r="B683" s="224" t="s">
        <v>1401</v>
      </c>
      <c r="C683" s="100">
        <v>22208.679999999997</v>
      </c>
    </row>
    <row r="684" spans="1:3">
      <c r="A684" s="224">
        <v>97711</v>
      </c>
      <c r="B684" s="224" t="s">
        <v>1402</v>
      </c>
      <c r="C684" s="100">
        <v>424323.98000000004</v>
      </c>
    </row>
    <row r="685" spans="1:3">
      <c r="A685" s="224">
        <v>97713</v>
      </c>
      <c r="B685" s="224" t="s">
        <v>1403</v>
      </c>
      <c r="C685" s="100">
        <v>17328.420000000002</v>
      </c>
    </row>
    <row r="686" spans="1:3">
      <c r="A686" s="224">
        <v>97717</v>
      </c>
      <c r="B686" s="224" t="s">
        <v>1404</v>
      </c>
      <c r="C686" s="100">
        <v>2478.17</v>
      </c>
    </row>
    <row r="687" spans="1:3">
      <c r="A687" s="224">
        <v>97721</v>
      </c>
      <c r="B687" s="224" t="s">
        <v>1405</v>
      </c>
      <c r="C687" s="100">
        <v>255784.57999999996</v>
      </c>
    </row>
    <row r="688" spans="1:3">
      <c r="A688" s="224">
        <v>97727</v>
      </c>
      <c r="B688" s="224" t="s">
        <v>1406</v>
      </c>
      <c r="C688" s="100">
        <v>10991.85</v>
      </c>
    </row>
    <row r="689" spans="1:3">
      <c r="A689" s="224">
        <v>97731</v>
      </c>
      <c r="B689" s="224" t="s">
        <v>1407</v>
      </c>
      <c r="C689" s="100">
        <v>18459.8</v>
      </c>
    </row>
    <row r="690" spans="1:3">
      <c r="A690" s="224">
        <v>97801</v>
      </c>
      <c r="B690" s="224" t="s">
        <v>1408</v>
      </c>
      <c r="C690" s="100">
        <v>3179608.4800000004</v>
      </c>
    </row>
    <row r="691" spans="1:3">
      <c r="A691" s="224">
        <v>97802</v>
      </c>
      <c r="B691" s="224" t="s">
        <v>1409</v>
      </c>
      <c r="C691" s="100">
        <v>76715.05</v>
      </c>
    </row>
    <row r="692" spans="1:3">
      <c r="A692" s="224">
        <v>97803</v>
      </c>
      <c r="B692" s="224" t="s">
        <v>1410</v>
      </c>
      <c r="C692" s="100">
        <v>38230.68</v>
      </c>
    </row>
    <row r="693" spans="1:3">
      <c r="A693" s="224">
        <v>97805</v>
      </c>
      <c r="B693" s="224" t="s">
        <v>1411</v>
      </c>
      <c r="C693" s="100">
        <v>39470.879999999997</v>
      </c>
    </row>
    <row r="694" spans="1:3">
      <c r="A694" s="224">
        <v>97811</v>
      </c>
      <c r="B694" s="224" t="s">
        <v>1412</v>
      </c>
      <c r="C694" s="100">
        <v>1101269.8</v>
      </c>
    </row>
    <row r="695" spans="1:3">
      <c r="A695" s="224">
        <v>97817</v>
      </c>
      <c r="B695" s="224" t="s">
        <v>1413</v>
      </c>
      <c r="C695" s="100">
        <v>14126.599999999999</v>
      </c>
    </row>
    <row r="696" spans="1:3">
      <c r="A696" s="224">
        <v>97818</v>
      </c>
      <c r="B696" s="224" t="s">
        <v>1414</v>
      </c>
      <c r="C696" s="100">
        <v>9809.0300000000007</v>
      </c>
    </row>
    <row r="697" spans="1:3">
      <c r="A697" s="224">
        <v>97821</v>
      </c>
      <c r="B697" s="224" t="s">
        <v>1415</v>
      </c>
      <c r="C697" s="100">
        <v>61404.089999999989</v>
      </c>
    </row>
    <row r="698" spans="1:3">
      <c r="A698" s="224">
        <v>97823</v>
      </c>
      <c r="B698" s="224" t="s">
        <v>1416</v>
      </c>
      <c r="C698" s="100">
        <v>13091.509999999998</v>
      </c>
    </row>
    <row r="699" spans="1:3">
      <c r="A699" s="224">
        <v>97831</v>
      </c>
      <c r="B699" s="224" t="s">
        <v>1417</v>
      </c>
      <c r="C699" s="100">
        <v>78812.62000000001</v>
      </c>
    </row>
    <row r="700" spans="1:3">
      <c r="A700" s="224">
        <v>97837</v>
      </c>
      <c r="B700" s="224" t="s">
        <v>1418</v>
      </c>
      <c r="C700" s="100">
        <v>6053.01</v>
      </c>
    </row>
    <row r="701" spans="1:3">
      <c r="A701" s="224">
        <v>97840</v>
      </c>
      <c r="B701" s="224" t="s">
        <v>1419</v>
      </c>
      <c r="C701" s="100">
        <v>107784.15999999999</v>
      </c>
    </row>
    <row r="702" spans="1:3">
      <c r="A702" s="224">
        <v>97841</v>
      </c>
      <c r="B702" s="224" t="s">
        <v>1420</v>
      </c>
      <c r="C702" s="100">
        <v>6425.33</v>
      </c>
    </row>
    <row r="703" spans="1:3">
      <c r="A703" s="224">
        <v>97847</v>
      </c>
      <c r="B703" s="224" t="s">
        <v>1421</v>
      </c>
      <c r="C703" s="100">
        <v>2258.88</v>
      </c>
    </row>
    <row r="704" spans="1:3">
      <c r="A704" s="224">
        <v>97851</v>
      </c>
      <c r="B704" s="224" t="s">
        <v>1422</v>
      </c>
      <c r="C704" s="100">
        <v>116408.28</v>
      </c>
    </row>
    <row r="705" spans="1:3">
      <c r="A705" s="224">
        <v>97853</v>
      </c>
      <c r="B705" s="224" t="s">
        <v>1423</v>
      </c>
      <c r="C705" s="100">
        <v>44042.97</v>
      </c>
    </row>
    <row r="706" spans="1:3">
      <c r="A706" s="224">
        <v>97861</v>
      </c>
      <c r="B706" s="224" t="s">
        <v>1424</v>
      </c>
      <c r="C706" s="100">
        <v>27517.030000000006</v>
      </c>
    </row>
    <row r="707" spans="1:3">
      <c r="A707" s="224">
        <v>97871</v>
      </c>
      <c r="B707" s="224" t="s">
        <v>1425</v>
      </c>
      <c r="C707" s="100">
        <v>273653.89999999997</v>
      </c>
    </row>
    <row r="708" spans="1:3">
      <c r="A708" s="224">
        <v>97877</v>
      </c>
      <c r="B708" s="224" t="s">
        <v>1426</v>
      </c>
      <c r="C708" s="100">
        <v>2104.1</v>
      </c>
    </row>
    <row r="709" spans="1:3">
      <c r="A709" s="224">
        <v>97901</v>
      </c>
      <c r="B709" s="224" t="s">
        <v>1427</v>
      </c>
      <c r="C709" s="100">
        <v>2091023.4500000002</v>
      </c>
    </row>
    <row r="710" spans="1:3">
      <c r="A710" s="224">
        <v>97911</v>
      </c>
      <c r="B710" s="224" t="s">
        <v>1428</v>
      </c>
      <c r="C710" s="100">
        <v>613264.97999999986</v>
      </c>
    </row>
    <row r="711" spans="1:3">
      <c r="A711" s="224">
        <v>97913</v>
      </c>
      <c r="B711" s="224" t="s">
        <v>1429</v>
      </c>
      <c r="C711" s="100">
        <v>27559.27</v>
      </c>
    </row>
    <row r="712" spans="1:3">
      <c r="A712" s="224">
        <v>97917</v>
      </c>
      <c r="B712" s="224" t="s">
        <v>1430</v>
      </c>
      <c r="C712" s="100">
        <v>13418.630000000001</v>
      </c>
    </row>
    <row r="713" spans="1:3">
      <c r="A713" s="224">
        <v>97921</v>
      </c>
      <c r="B713" s="224" t="s">
        <v>1431</v>
      </c>
      <c r="C713" s="100">
        <v>103162.98000000001</v>
      </c>
    </row>
    <row r="714" spans="1:3">
      <c r="A714" s="224">
        <v>97931</v>
      </c>
      <c r="B714" s="224" t="s">
        <v>1432</v>
      </c>
      <c r="C714" s="100">
        <v>31939.190000000002</v>
      </c>
    </row>
    <row r="715" spans="1:3">
      <c r="A715" s="224">
        <v>97941</v>
      </c>
      <c r="B715" s="224" t="s">
        <v>1433</v>
      </c>
      <c r="C715" s="100">
        <v>106969.88</v>
      </c>
    </row>
    <row r="716" spans="1:3">
      <c r="A716" s="224">
        <v>97947</v>
      </c>
      <c r="B716" s="224" t="s">
        <v>1434</v>
      </c>
      <c r="C716" s="100">
        <v>11470.6</v>
      </c>
    </row>
    <row r="717" spans="1:3">
      <c r="A717" s="224">
        <v>97948</v>
      </c>
      <c r="B717" s="224" t="s">
        <v>1435</v>
      </c>
      <c r="C717" s="100">
        <v>10840.35</v>
      </c>
    </row>
    <row r="718" spans="1:3">
      <c r="A718" s="224">
        <v>97951</v>
      </c>
      <c r="B718" s="224" t="s">
        <v>1436</v>
      </c>
      <c r="C718" s="100">
        <v>597832.21</v>
      </c>
    </row>
    <row r="719" spans="1:3">
      <c r="A719" s="224">
        <v>97957</v>
      </c>
      <c r="B719" s="224" t="s">
        <v>1437</v>
      </c>
      <c r="C719" s="100">
        <v>12857.2</v>
      </c>
    </row>
    <row r="720" spans="1:3">
      <c r="A720" s="224">
        <v>98001</v>
      </c>
      <c r="B720" s="224" t="s">
        <v>1438</v>
      </c>
      <c r="C720" s="100">
        <v>2367016.2000000007</v>
      </c>
    </row>
    <row r="721" spans="1:3">
      <c r="A721" s="224">
        <v>98002</v>
      </c>
      <c r="B721" s="224" t="s">
        <v>1439</v>
      </c>
      <c r="C721" s="100">
        <v>4125.92</v>
      </c>
    </row>
    <row r="722" spans="1:3">
      <c r="A722" s="224">
        <v>98003</v>
      </c>
      <c r="B722" s="224" t="s">
        <v>1440</v>
      </c>
      <c r="C722" s="100">
        <v>70273.84</v>
      </c>
    </row>
    <row r="723" spans="1:3">
      <c r="A723" s="224">
        <v>98004</v>
      </c>
      <c r="B723" s="224" t="s">
        <v>1441</v>
      </c>
      <c r="C723" s="100">
        <v>78049.56</v>
      </c>
    </row>
    <row r="724" spans="1:3">
      <c r="A724" s="224">
        <v>98008</v>
      </c>
      <c r="B724" s="224" t="s">
        <v>1442</v>
      </c>
      <c r="C724" s="100">
        <v>3536.6600000000012</v>
      </c>
    </row>
    <row r="725" spans="1:3">
      <c r="A725" s="224">
        <v>98011</v>
      </c>
      <c r="B725" s="224" t="s">
        <v>1443</v>
      </c>
      <c r="C725" s="100">
        <v>1430081.8599999999</v>
      </c>
    </row>
    <row r="726" spans="1:3">
      <c r="A726" s="224">
        <v>98013</v>
      </c>
      <c r="B726" s="224" t="s">
        <v>1444</v>
      </c>
      <c r="C726" s="100">
        <v>138520.69</v>
      </c>
    </row>
    <row r="727" spans="1:3">
      <c r="A727" s="224">
        <v>98021</v>
      </c>
      <c r="B727" s="224" t="s">
        <v>1445</v>
      </c>
      <c r="C727" s="100">
        <v>28536.179999999993</v>
      </c>
    </row>
    <row r="728" spans="1:3">
      <c r="A728" s="224">
        <v>98023</v>
      </c>
      <c r="B728" s="224" t="s">
        <v>1446</v>
      </c>
      <c r="C728" s="100">
        <v>6869.3899999999994</v>
      </c>
    </row>
    <row r="729" spans="1:3">
      <c r="A729" s="224">
        <v>98031</v>
      </c>
      <c r="B729" s="224" t="s">
        <v>1447</v>
      </c>
      <c r="C729" s="100">
        <v>67740.09</v>
      </c>
    </row>
    <row r="730" spans="1:3">
      <c r="A730" s="224">
        <v>98041</v>
      </c>
      <c r="B730" s="224" t="s">
        <v>1448</v>
      </c>
      <c r="C730" s="100">
        <v>80473.600000000006</v>
      </c>
    </row>
    <row r="731" spans="1:3">
      <c r="A731" s="224">
        <v>98051</v>
      </c>
      <c r="B731" s="224" t="s">
        <v>1449</v>
      </c>
      <c r="C731" s="100">
        <v>136144.79</v>
      </c>
    </row>
    <row r="732" spans="1:3">
      <c r="A732" s="224">
        <v>98061</v>
      </c>
      <c r="B732" s="224" t="s">
        <v>1450</v>
      </c>
      <c r="C732" s="100">
        <v>47389.56</v>
      </c>
    </row>
    <row r="733" spans="1:3">
      <c r="A733" s="224">
        <v>98071</v>
      </c>
      <c r="B733" s="224" t="s">
        <v>1451</v>
      </c>
      <c r="C733" s="100">
        <v>28232.940000000002</v>
      </c>
    </row>
    <row r="734" spans="1:3">
      <c r="A734" s="224">
        <v>98081</v>
      </c>
      <c r="B734" s="224" t="s">
        <v>1452</v>
      </c>
      <c r="C734" s="100">
        <v>7556.3200000000006</v>
      </c>
    </row>
    <row r="735" spans="1:3">
      <c r="A735" s="224">
        <v>98091</v>
      </c>
      <c r="B735" s="224" t="s">
        <v>1453</v>
      </c>
      <c r="C735" s="100">
        <v>25240.61</v>
      </c>
    </row>
    <row r="736" spans="1:3">
      <c r="A736" s="224">
        <v>98101</v>
      </c>
      <c r="B736" s="224" t="s">
        <v>1454</v>
      </c>
      <c r="C736" s="100">
        <v>1210233.97</v>
      </c>
    </row>
    <row r="737" spans="1:3">
      <c r="A737" s="224">
        <v>98102</v>
      </c>
      <c r="B737" s="224" t="s">
        <v>1455</v>
      </c>
      <c r="C737" s="100">
        <v>71621.289999999994</v>
      </c>
    </row>
    <row r="738" spans="1:3">
      <c r="A738" s="224">
        <v>98103</v>
      </c>
      <c r="B738" s="224" t="s">
        <v>1456</v>
      </c>
      <c r="C738" s="100">
        <v>255161.38</v>
      </c>
    </row>
    <row r="739" spans="1:3">
      <c r="A739" s="224">
        <v>98107</v>
      </c>
      <c r="B739" s="224" t="s">
        <v>1457</v>
      </c>
      <c r="C739" s="100">
        <v>9241.77</v>
      </c>
    </row>
    <row r="740" spans="1:3">
      <c r="A740" s="224">
        <v>98109</v>
      </c>
      <c r="B740" s="224" t="s">
        <v>1458</v>
      </c>
      <c r="C740" s="100">
        <v>76015.76999999999</v>
      </c>
    </row>
    <row r="741" spans="1:3">
      <c r="A741" s="224">
        <v>98111</v>
      </c>
      <c r="B741" s="224" t="s">
        <v>1459</v>
      </c>
      <c r="C741" s="100">
        <v>432530.07</v>
      </c>
    </row>
    <row r="742" spans="1:3">
      <c r="A742" s="224">
        <v>98113</v>
      </c>
      <c r="B742" s="224" t="s">
        <v>1460</v>
      </c>
      <c r="C742" s="100">
        <v>23491.619999999995</v>
      </c>
    </row>
    <row r="743" spans="1:3">
      <c r="A743" s="224">
        <v>98121</v>
      </c>
      <c r="B743" s="224" t="s">
        <v>1461</v>
      </c>
      <c r="C743" s="100">
        <v>89370.18</v>
      </c>
    </row>
    <row r="744" spans="1:3">
      <c r="A744" s="224">
        <v>98131</v>
      </c>
      <c r="B744" s="224" t="s">
        <v>1462</v>
      </c>
      <c r="C744" s="100">
        <v>119696.65</v>
      </c>
    </row>
    <row r="745" spans="1:3">
      <c r="A745" s="224">
        <v>98141</v>
      </c>
      <c r="B745" s="224" t="s">
        <v>1463</v>
      </c>
      <c r="C745" s="100">
        <v>133558.14000000001</v>
      </c>
    </row>
    <row r="746" spans="1:3">
      <c r="A746" s="224">
        <v>98147</v>
      </c>
      <c r="B746" s="224" t="s">
        <v>1464</v>
      </c>
      <c r="C746" s="100">
        <v>9893.14</v>
      </c>
    </row>
    <row r="747" spans="1:3">
      <c r="A747" s="224">
        <v>98161</v>
      </c>
      <c r="B747" s="224" t="s">
        <v>1465</v>
      </c>
      <c r="C747" s="100">
        <v>5046.24</v>
      </c>
    </row>
    <row r="748" spans="1:3">
      <c r="A748" s="224">
        <v>98201</v>
      </c>
      <c r="B748" s="224" t="s">
        <v>1466</v>
      </c>
      <c r="C748" s="100">
        <v>1424603.84</v>
      </c>
    </row>
    <row r="749" spans="1:3">
      <c r="A749" s="224">
        <v>98205</v>
      </c>
      <c r="B749" s="224" t="s">
        <v>1467</v>
      </c>
      <c r="C749" s="100">
        <v>23504.78</v>
      </c>
    </row>
    <row r="750" spans="1:3">
      <c r="A750" s="224">
        <v>98211</v>
      </c>
      <c r="B750" s="224" t="s">
        <v>1468</v>
      </c>
      <c r="C750" s="100">
        <v>365217.98</v>
      </c>
    </row>
    <row r="751" spans="1:3">
      <c r="A751" s="224">
        <v>98218</v>
      </c>
      <c r="B751" s="224" t="s">
        <v>1469</v>
      </c>
      <c r="C751" s="100">
        <v>5829.3</v>
      </c>
    </row>
    <row r="752" spans="1:3">
      <c r="A752" s="224">
        <v>98221</v>
      </c>
      <c r="B752" s="224" t="s">
        <v>1470</v>
      </c>
      <c r="C752" s="100">
        <v>9739.18</v>
      </c>
    </row>
    <row r="753" spans="1:3">
      <c r="A753" s="224">
        <v>98231</v>
      </c>
      <c r="B753" s="224" t="s">
        <v>1471</v>
      </c>
      <c r="C753" s="100">
        <v>11487.39</v>
      </c>
    </row>
    <row r="754" spans="1:3">
      <c r="A754" s="224">
        <v>98237</v>
      </c>
      <c r="B754" s="224" t="s">
        <v>1472</v>
      </c>
      <c r="C754" s="100">
        <v>4384.5800000000008</v>
      </c>
    </row>
    <row r="755" spans="1:3">
      <c r="A755" s="224">
        <v>98241</v>
      </c>
      <c r="B755" s="224" t="s">
        <v>1473</v>
      </c>
      <c r="C755" s="100">
        <v>8387.880000000001</v>
      </c>
    </row>
    <row r="756" spans="1:3">
      <c r="A756" s="224">
        <v>98251</v>
      </c>
      <c r="B756" s="224" t="s">
        <v>1474</v>
      </c>
      <c r="C756" s="100">
        <v>2206.3900000000003</v>
      </c>
    </row>
    <row r="757" spans="1:3">
      <c r="A757" s="224">
        <v>98261</v>
      </c>
      <c r="B757" s="224" t="s">
        <v>1475</v>
      </c>
      <c r="C757" s="100">
        <v>16864.510000000002</v>
      </c>
    </row>
    <row r="758" spans="1:3">
      <c r="A758" s="224">
        <v>98271</v>
      </c>
      <c r="B758" s="224" t="s">
        <v>1476</v>
      </c>
      <c r="C758" s="100">
        <v>2676.11</v>
      </c>
    </row>
    <row r="759" spans="1:3">
      <c r="A759" s="224">
        <v>98301</v>
      </c>
      <c r="B759" s="224" t="s">
        <v>1477</v>
      </c>
      <c r="C759" s="100">
        <v>825877.5199999999</v>
      </c>
    </row>
    <row r="760" spans="1:3">
      <c r="A760" s="224">
        <v>98304</v>
      </c>
      <c r="B760" s="224" t="s">
        <v>1478</v>
      </c>
      <c r="C760" s="100">
        <v>12751.149999999998</v>
      </c>
    </row>
    <row r="761" spans="1:3">
      <c r="A761" s="224">
        <v>98308</v>
      </c>
      <c r="B761" s="224" t="s">
        <v>1479</v>
      </c>
      <c r="C761" s="100">
        <v>15362.639999999998</v>
      </c>
    </row>
    <row r="762" spans="1:3">
      <c r="A762" s="224">
        <v>98311</v>
      </c>
      <c r="B762" s="224" t="s">
        <v>1480</v>
      </c>
      <c r="C762" s="100">
        <v>462216.84</v>
      </c>
    </row>
    <row r="763" spans="1:3">
      <c r="A763" s="224">
        <v>98313</v>
      </c>
      <c r="B763" s="224" t="s">
        <v>1481</v>
      </c>
      <c r="C763" s="100">
        <v>259158.18</v>
      </c>
    </row>
    <row r="764" spans="1:3">
      <c r="A764" s="224">
        <v>98321</v>
      </c>
      <c r="B764" s="224" t="s">
        <v>1482</v>
      </c>
      <c r="C764" s="100">
        <v>10270.049999999999</v>
      </c>
    </row>
    <row r="765" spans="1:3">
      <c r="A765" s="224">
        <v>98331</v>
      </c>
      <c r="B765" s="224" t="s">
        <v>1483</v>
      </c>
      <c r="C765" s="100">
        <v>6280.6999999999989</v>
      </c>
    </row>
    <row r="766" spans="1:3">
      <c r="A766" s="224">
        <v>98401</v>
      </c>
      <c r="B766" s="224" t="s">
        <v>1484</v>
      </c>
      <c r="C766" s="100">
        <v>1399311.01</v>
      </c>
    </row>
    <row r="767" spans="1:3">
      <c r="A767" s="224">
        <v>98404</v>
      </c>
      <c r="B767" s="224" t="s">
        <v>1485</v>
      </c>
      <c r="C767" s="100">
        <v>5851.8099999999995</v>
      </c>
    </row>
    <row r="768" spans="1:3">
      <c r="A768" s="224">
        <v>98411</v>
      </c>
      <c r="B768" s="224" t="s">
        <v>1486</v>
      </c>
      <c r="C768" s="100">
        <v>869963.94000000006</v>
      </c>
    </row>
    <row r="769" spans="1:3">
      <c r="A769" s="224">
        <v>98414</v>
      </c>
      <c r="B769" s="224" t="s">
        <v>1487</v>
      </c>
      <c r="C769" s="100">
        <v>7367.21</v>
      </c>
    </row>
    <row r="770" spans="1:3">
      <c r="A770" s="224">
        <v>98417</v>
      </c>
      <c r="B770" s="224" t="s">
        <v>1488</v>
      </c>
      <c r="C770" s="100">
        <v>14125.46</v>
      </c>
    </row>
    <row r="771" spans="1:3">
      <c r="A771" s="224">
        <v>98421</v>
      </c>
      <c r="B771" s="224" t="s">
        <v>1489</v>
      </c>
      <c r="C771" s="100">
        <v>44395.67</v>
      </c>
    </row>
    <row r="772" spans="1:3">
      <c r="A772" s="224">
        <v>98427</v>
      </c>
      <c r="B772" s="224" t="s">
        <v>1490</v>
      </c>
      <c r="C772" s="100">
        <v>3231.11</v>
      </c>
    </row>
    <row r="773" spans="1:3">
      <c r="A773" s="224">
        <v>98431</v>
      </c>
      <c r="B773" s="224" t="s">
        <v>1491</v>
      </c>
      <c r="C773" s="100">
        <v>78481.45</v>
      </c>
    </row>
    <row r="774" spans="1:3">
      <c r="A774" s="224">
        <v>98441</v>
      </c>
      <c r="B774" s="224" t="s">
        <v>1492</v>
      </c>
      <c r="C774" s="100">
        <v>35571.949999999997</v>
      </c>
    </row>
    <row r="775" spans="1:3">
      <c r="A775" s="224">
        <v>98451</v>
      </c>
      <c r="B775" s="224" t="s">
        <v>1493</v>
      </c>
      <c r="C775" s="100">
        <v>26131.939999999995</v>
      </c>
    </row>
    <row r="776" spans="1:3">
      <c r="A776" s="224">
        <v>98471</v>
      </c>
      <c r="B776" s="224" t="s">
        <v>1638</v>
      </c>
      <c r="C776" s="100">
        <v>1832.3100000000002</v>
      </c>
    </row>
    <row r="777" spans="1:3">
      <c r="A777" s="224">
        <v>98481</v>
      </c>
      <c r="B777" s="224" t="s">
        <v>1494</v>
      </c>
      <c r="C777" s="100">
        <v>27197.510000000002</v>
      </c>
    </row>
    <row r="778" spans="1:3">
      <c r="A778" s="224">
        <v>98501</v>
      </c>
      <c r="B778" s="224" t="s">
        <v>1495</v>
      </c>
      <c r="C778" s="100">
        <v>760833.22</v>
      </c>
    </row>
    <row r="779" spans="1:3">
      <c r="A779" s="224">
        <v>98511</v>
      </c>
      <c r="B779" s="224" t="s">
        <v>1496</v>
      </c>
      <c r="C779" s="100">
        <v>23435.010000000002</v>
      </c>
    </row>
    <row r="780" spans="1:3">
      <c r="A780" s="224">
        <v>98517</v>
      </c>
      <c r="B780" s="224" t="s">
        <v>1497</v>
      </c>
      <c r="C780" s="100">
        <v>2484.0799999999995</v>
      </c>
    </row>
    <row r="781" spans="1:3">
      <c r="A781" s="224">
        <v>98521</v>
      </c>
      <c r="B781" s="224" t="s">
        <v>1498</v>
      </c>
      <c r="C781" s="100">
        <v>270882.26</v>
      </c>
    </row>
    <row r="782" spans="1:3">
      <c r="A782" s="224">
        <v>98601</v>
      </c>
      <c r="B782" s="224" t="s">
        <v>1499</v>
      </c>
      <c r="C782" s="100">
        <v>1494584.0999999999</v>
      </c>
    </row>
    <row r="783" spans="1:3">
      <c r="A783" s="224">
        <v>98604</v>
      </c>
      <c r="B783" s="224" t="s">
        <v>1500</v>
      </c>
      <c r="C783" s="100">
        <v>7587.5999999999995</v>
      </c>
    </row>
    <row r="784" spans="1:3">
      <c r="A784" s="224">
        <v>98607</v>
      </c>
      <c r="B784" s="224" t="s">
        <v>1501</v>
      </c>
      <c r="C784" s="100">
        <v>2774.2099999999996</v>
      </c>
    </row>
    <row r="785" spans="1:3">
      <c r="A785" s="224">
        <v>98608</v>
      </c>
      <c r="B785" s="224" t="s">
        <v>1502</v>
      </c>
      <c r="C785" s="100">
        <v>20059.189999999999</v>
      </c>
    </row>
    <row r="786" spans="1:3">
      <c r="A786" s="224">
        <v>98611</v>
      </c>
      <c r="B786" s="224" t="s">
        <v>1503</v>
      </c>
      <c r="C786" s="100">
        <v>49930.89</v>
      </c>
    </row>
    <row r="787" spans="1:3">
      <c r="A787" s="224">
        <v>98621</v>
      </c>
      <c r="B787" s="224" t="s">
        <v>1504</v>
      </c>
      <c r="C787" s="100">
        <v>55891.290000000008</v>
      </c>
    </row>
    <row r="788" spans="1:3">
      <c r="A788" s="224">
        <v>98627</v>
      </c>
      <c r="B788" s="224" t="s">
        <v>1505</v>
      </c>
      <c r="C788" s="100">
        <v>3353.9299999999994</v>
      </c>
    </row>
    <row r="789" spans="1:3">
      <c r="A789" s="224">
        <v>98631</v>
      </c>
      <c r="B789" s="224" t="s">
        <v>1506</v>
      </c>
      <c r="C789" s="100">
        <v>466622.49000000005</v>
      </c>
    </row>
    <row r="790" spans="1:3">
      <c r="A790" s="224">
        <v>98637</v>
      </c>
      <c r="B790" s="224" t="s">
        <v>1507</v>
      </c>
      <c r="C790" s="100">
        <v>15729.22</v>
      </c>
    </row>
    <row r="791" spans="1:3">
      <c r="A791" s="224">
        <v>98641</v>
      </c>
      <c r="B791" s="224" t="s">
        <v>1508</v>
      </c>
      <c r="C791" s="100">
        <v>140670.05999999997</v>
      </c>
    </row>
    <row r="792" spans="1:3">
      <c r="A792" s="224">
        <v>98701</v>
      </c>
      <c r="B792" s="224" t="s">
        <v>1509</v>
      </c>
      <c r="C792" s="100">
        <v>514112.93000000005</v>
      </c>
    </row>
    <row r="793" spans="1:3">
      <c r="A793" s="224">
        <v>98711</v>
      </c>
      <c r="B793" s="224" t="s">
        <v>1510</v>
      </c>
      <c r="C793" s="100">
        <v>70342.11</v>
      </c>
    </row>
    <row r="794" spans="1:3">
      <c r="A794" s="224">
        <v>98717</v>
      </c>
      <c r="B794" s="224" t="s">
        <v>1511</v>
      </c>
      <c r="C794" s="100">
        <v>8758.7200000000012</v>
      </c>
    </row>
    <row r="795" spans="1:3">
      <c r="A795" s="224">
        <v>98801</v>
      </c>
      <c r="B795" s="224" t="s">
        <v>1512</v>
      </c>
      <c r="C795" s="100">
        <v>1067051.19</v>
      </c>
    </row>
    <row r="796" spans="1:3">
      <c r="A796" s="224">
        <v>98811</v>
      </c>
      <c r="B796" s="224" t="s">
        <v>1513</v>
      </c>
      <c r="C796" s="100">
        <v>323262.17000000004</v>
      </c>
    </row>
    <row r="797" spans="1:3">
      <c r="A797" s="224">
        <v>98817</v>
      </c>
      <c r="B797" s="224" t="s">
        <v>1514</v>
      </c>
      <c r="C797" s="100">
        <v>14663.340000000002</v>
      </c>
    </row>
    <row r="798" spans="1:3">
      <c r="A798" s="224">
        <v>98901</v>
      </c>
      <c r="B798" s="224" t="s">
        <v>1515</v>
      </c>
      <c r="C798" s="100">
        <v>159126.34999999998</v>
      </c>
    </row>
    <row r="799" spans="1:3">
      <c r="A799" s="224">
        <v>98904</v>
      </c>
      <c r="B799" s="224" t="s">
        <v>1516</v>
      </c>
      <c r="C799" s="100">
        <v>1607.9500000000003</v>
      </c>
    </row>
    <row r="800" spans="1:3">
      <c r="A800" s="224">
        <v>98911</v>
      </c>
      <c r="B800" s="224" t="s">
        <v>1517</v>
      </c>
      <c r="C800" s="100">
        <v>17944.88</v>
      </c>
    </row>
    <row r="801" spans="1:3">
      <c r="A801" s="224">
        <v>99001</v>
      </c>
      <c r="B801" s="224" t="s">
        <v>1518</v>
      </c>
      <c r="C801" s="100">
        <v>3574722.4899999998</v>
      </c>
    </row>
    <row r="802" spans="1:3">
      <c r="A802" s="224">
        <v>99011</v>
      </c>
      <c r="B802" s="224" t="s">
        <v>1519</v>
      </c>
      <c r="C802" s="100">
        <v>1767796.6799999997</v>
      </c>
    </row>
    <row r="803" spans="1:3">
      <c r="A803" s="224">
        <v>99013</v>
      </c>
      <c r="B803" s="224" t="s">
        <v>1520</v>
      </c>
      <c r="C803" s="100">
        <v>27132.690000000002</v>
      </c>
    </row>
    <row r="804" spans="1:3">
      <c r="A804" s="224">
        <v>99014</v>
      </c>
      <c r="B804" s="224" t="s">
        <v>1521</v>
      </c>
      <c r="C804" s="100">
        <v>13999.21</v>
      </c>
    </row>
    <row r="805" spans="1:3">
      <c r="A805" s="224">
        <v>99017</v>
      </c>
      <c r="B805" s="224" t="s">
        <v>1522</v>
      </c>
      <c r="C805" s="100">
        <v>25055.15</v>
      </c>
    </row>
    <row r="806" spans="1:3">
      <c r="A806" s="224">
        <v>99021</v>
      </c>
      <c r="B806" s="224" t="s">
        <v>1523</v>
      </c>
      <c r="C806" s="100">
        <v>64601.440000000002</v>
      </c>
    </row>
    <row r="807" spans="1:3">
      <c r="A807" s="224">
        <v>99022</v>
      </c>
      <c r="B807" s="224" t="s">
        <v>211</v>
      </c>
      <c r="C807" s="100">
        <v>11386.439999999999</v>
      </c>
    </row>
    <row r="808" spans="1:3">
      <c r="A808" s="224">
        <v>99031</v>
      </c>
      <c r="B808" s="224" t="s">
        <v>1524</v>
      </c>
      <c r="C808" s="100">
        <v>59832.479999999996</v>
      </c>
    </row>
    <row r="809" spans="1:3">
      <c r="A809" s="224">
        <v>99041</v>
      </c>
      <c r="B809" s="224" t="s">
        <v>1525</v>
      </c>
      <c r="C809" s="100">
        <v>254000.11</v>
      </c>
    </row>
    <row r="810" spans="1:3">
      <c r="A810" s="224">
        <v>99047</v>
      </c>
      <c r="B810" s="224" t="s">
        <v>1526</v>
      </c>
      <c r="C810" s="100">
        <v>7761.09</v>
      </c>
    </row>
    <row r="811" spans="1:3">
      <c r="A811" s="224">
        <v>99051</v>
      </c>
      <c r="B811" s="224" t="s">
        <v>1527</v>
      </c>
      <c r="C811" s="100">
        <v>142316.86000000002</v>
      </c>
    </row>
    <row r="812" spans="1:3">
      <c r="A812" s="224">
        <v>99061</v>
      </c>
      <c r="B812" s="224" t="s">
        <v>1528</v>
      </c>
      <c r="C812" s="100">
        <v>7897.3700000000008</v>
      </c>
    </row>
    <row r="813" spans="1:3">
      <c r="A813" s="224">
        <v>99071</v>
      </c>
      <c r="B813" s="224" t="s">
        <v>1529</v>
      </c>
      <c r="C813" s="100">
        <v>15062.04</v>
      </c>
    </row>
    <row r="814" spans="1:3">
      <c r="A814" s="224">
        <v>99081</v>
      </c>
      <c r="B814" s="224" t="s">
        <v>1530</v>
      </c>
      <c r="C814" s="100">
        <v>10194.719999999999</v>
      </c>
    </row>
    <row r="815" spans="1:3">
      <c r="A815" s="224">
        <v>99091</v>
      </c>
      <c r="B815" s="224" t="s">
        <v>1531</v>
      </c>
      <c r="C815" s="100">
        <v>4830.9500000000007</v>
      </c>
    </row>
    <row r="816" spans="1:3">
      <c r="A816" s="224">
        <v>99101</v>
      </c>
      <c r="B816" s="224" t="s">
        <v>1532</v>
      </c>
      <c r="C816" s="100">
        <v>914274.04000000015</v>
      </c>
    </row>
    <row r="817" spans="1:3">
      <c r="A817" s="224">
        <v>99104</v>
      </c>
      <c r="B817" s="224" t="s">
        <v>1533</v>
      </c>
      <c r="C817" s="100">
        <v>22873.95</v>
      </c>
    </row>
    <row r="818" spans="1:3">
      <c r="A818" s="224">
        <v>99109</v>
      </c>
      <c r="B818" s="224" t="s">
        <v>1534</v>
      </c>
      <c r="C818" s="100">
        <v>56338.229999999996</v>
      </c>
    </row>
    <row r="819" spans="1:3">
      <c r="A819" s="224">
        <v>99110</v>
      </c>
      <c r="B819" s="224" t="s">
        <v>1535</v>
      </c>
      <c r="C819" s="100">
        <v>119962.69</v>
      </c>
    </row>
    <row r="820" spans="1:3">
      <c r="A820" s="224">
        <v>99111</v>
      </c>
      <c r="B820" s="224" t="s">
        <v>1536</v>
      </c>
      <c r="C820" s="100">
        <v>543583.17000000004</v>
      </c>
    </row>
    <row r="821" spans="1:3">
      <c r="A821" s="224">
        <v>99201</v>
      </c>
      <c r="B821" s="224" t="s">
        <v>1537</v>
      </c>
      <c r="C821" s="100">
        <v>15084486.749999998</v>
      </c>
    </row>
    <row r="822" spans="1:3">
      <c r="A822" s="224">
        <v>99202</v>
      </c>
      <c r="B822" s="224" t="s">
        <v>1538</v>
      </c>
      <c r="C822" s="100">
        <v>1072067.46</v>
      </c>
    </row>
    <row r="823" spans="1:3">
      <c r="A823" s="224">
        <v>99203</v>
      </c>
      <c r="B823" s="224" t="s">
        <v>1539</v>
      </c>
      <c r="C823" s="100">
        <v>126936.26</v>
      </c>
    </row>
    <row r="824" spans="1:3">
      <c r="A824" s="224">
        <v>99204</v>
      </c>
      <c r="B824" s="224" t="s">
        <v>1540</v>
      </c>
      <c r="C824" s="100">
        <v>375261.16000000003</v>
      </c>
    </row>
    <row r="825" spans="1:3">
      <c r="A825" s="224">
        <v>99206</v>
      </c>
      <c r="B825" s="224" t="s">
        <v>1541</v>
      </c>
      <c r="C825" s="100">
        <v>1210224.8699999999</v>
      </c>
    </row>
    <row r="826" spans="1:3">
      <c r="A826" s="224">
        <v>99207</v>
      </c>
      <c r="B826" s="224" t="s">
        <v>1542</v>
      </c>
      <c r="C826" s="100">
        <v>175075.09</v>
      </c>
    </row>
    <row r="827" spans="1:3">
      <c r="A827" s="224">
        <v>99208</v>
      </c>
      <c r="B827" s="224" t="s">
        <v>1543</v>
      </c>
      <c r="C827" s="100">
        <v>57804.040000000008</v>
      </c>
    </row>
    <row r="828" spans="1:3">
      <c r="A828" s="224">
        <v>99210</v>
      </c>
      <c r="B828" s="224" t="s">
        <v>1544</v>
      </c>
      <c r="C828" s="100">
        <v>789521.27</v>
      </c>
    </row>
    <row r="829" spans="1:3">
      <c r="A829" s="224">
        <v>99211</v>
      </c>
      <c r="B829" s="224" t="s">
        <v>1545</v>
      </c>
      <c r="C829" s="100">
        <v>16957538.619999997</v>
      </c>
    </row>
    <row r="830" spans="1:3">
      <c r="A830" s="224">
        <v>99212</v>
      </c>
      <c r="B830" s="224" t="s">
        <v>1546</v>
      </c>
      <c r="C830" s="100">
        <v>31804.81</v>
      </c>
    </row>
    <row r="831" spans="1:3">
      <c r="A831" s="224">
        <v>99213</v>
      </c>
      <c r="B831" s="224" t="s">
        <v>1547</v>
      </c>
      <c r="C831" s="100">
        <v>353816.66000000003</v>
      </c>
    </row>
    <row r="832" spans="1:3">
      <c r="A832" s="224">
        <v>99218</v>
      </c>
      <c r="B832" s="224" t="s">
        <v>1548</v>
      </c>
      <c r="C832" s="100">
        <v>1493014.0800000003</v>
      </c>
    </row>
    <row r="833" spans="1:3">
      <c r="A833" s="224">
        <v>99221</v>
      </c>
      <c r="B833" s="224" t="s">
        <v>1549</v>
      </c>
      <c r="C833" s="100">
        <v>5876509.1199999992</v>
      </c>
    </row>
    <row r="834" spans="1:3">
      <c r="A834" s="224">
        <v>99222</v>
      </c>
      <c r="B834" s="224" t="s">
        <v>1550</v>
      </c>
      <c r="C834" s="100">
        <v>15445.649999999998</v>
      </c>
    </row>
    <row r="835" spans="1:3">
      <c r="A835" s="224">
        <v>99231</v>
      </c>
      <c r="B835" s="224" t="s">
        <v>1551</v>
      </c>
      <c r="C835" s="100">
        <v>156904.40000000002</v>
      </c>
    </row>
    <row r="836" spans="1:3">
      <c r="A836" s="224">
        <v>99241</v>
      </c>
      <c r="B836" s="224" t="s">
        <v>1552</v>
      </c>
      <c r="C836" s="100">
        <v>226042.02999999997</v>
      </c>
    </row>
    <row r="837" spans="1:3">
      <c r="A837" s="224">
        <v>99251</v>
      </c>
      <c r="B837" s="224" t="s">
        <v>1553</v>
      </c>
      <c r="C837" s="100">
        <v>745407.53999999992</v>
      </c>
    </row>
    <row r="838" spans="1:3">
      <c r="A838" s="224">
        <v>99252</v>
      </c>
      <c r="B838" s="224" t="s">
        <v>1554</v>
      </c>
      <c r="C838" s="100">
        <v>212385.68000000002</v>
      </c>
    </row>
    <row r="839" spans="1:3">
      <c r="A839" s="224">
        <v>99261</v>
      </c>
      <c r="B839" s="224" t="s">
        <v>1555</v>
      </c>
      <c r="C839" s="100">
        <v>808835.41</v>
      </c>
    </row>
    <row r="840" spans="1:3">
      <c r="A840" s="224">
        <v>99271</v>
      </c>
      <c r="B840" s="224" t="s">
        <v>1556</v>
      </c>
      <c r="C840" s="100">
        <v>1751675.0799999998</v>
      </c>
    </row>
    <row r="841" spans="1:3">
      <c r="A841" s="224">
        <v>99281</v>
      </c>
      <c r="B841" s="224" t="s">
        <v>1557</v>
      </c>
      <c r="C841" s="100">
        <v>984779.61999999988</v>
      </c>
    </row>
    <row r="842" spans="1:3">
      <c r="A842" s="224">
        <v>99291</v>
      </c>
      <c r="B842" s="224" t="s">
        <v>1558</v>
      </c>
      <c r="C842" s="100">
        <v>299576.14999999997</v>
      </c>
    </row>
    <row r="843" spans="1:3">
      <c r="A843" s="224">
        <v>99301</v>
      </c>
      <c r="B843" s="224" t="s">
        <v>1559</v>
      </c>
      <c r="C843" s="100">
        <v>788880.01</v>
      </c>
    </row>
    <row r="844" spans="1:3">
      <c r="A844" s="224">
        <v>99304</v>
      </c>
      <c r="B844" s="224" t="s">
        <v>1560</v>
      </c>
      <c r="C844" s="100">
        <v>7554.29</v>
      </c>
    </row>
    <row r="845" spans="1:3">
      <c r="A845" s="224">
        <v>99311</v>
      </c>
      <c r="B845" s="224" t="s">
        <v>1561</v>
      </c>
      <c r="C845" s="100">
        <v>25361.440000000002</v>
      </c>
    </row>
    <row r="846" spans="1:3">
      <c r="A846" s="224">
        <v>99321</v>
      </c>
      <c r="B846" s="224" t="s">
        <v>1562</v>
      </c>
      <c r="C846" s="100">
        <v>98498.340000000011</v>
      </c>
    </row>
    <row r="847" spans="1:3">
      <c r="A847" s="224">
        <v>99401</v>
      </c>
      <c r="B847" s="224" t="s">
        <v>1563</v>
      </c>
      <c r="C847" s="100">
        <v>414565.11</v>
      </c>
    </row>
    <row r="848" spans="1:3">
      <c r="A848" s="224">
        <v>99404</v>
      </c>
      <c r="B848" s="224" t="s">
        <v>1564</v>
      </c>
      <c r="C848" s="100">
        <v>5392.6400000000012</v>
      </c>
    </row>
    <row r="849" spans="1:3">
      <c r="A849" s="224">
        <v>99405</v>
      </c>
      <c r="B849" s="224" t="s">
        <v>1565</v>
      </c>
      <c r="C849" s="100">
        <v>37797.960000000006</v>
      </c>
    </row>
    <row r="850" spans="1:3">
      <c r="A850" s="224">
        <v>99411</v>
      </c>
      <c r="B850" s="224" t="s">
        <v>1566</v>
      </c>
      <c r="C850" s="100">
        <v>75832.59</v>
      </c>
    </row>
    <row r="851" spans="1:3">
      <c r="A851" s="224">
        <v>99413</v>
      </c>
      <c r="B851" s="224" t="s">
        <v>1567</v>
      </c>
      <c r="C851" s="100">
        <v>18530.430000000004</v>
      </c>
    </row>
    <row r="852" spans="1:3">
      <c r="A852" s="224">
        <v>99421</v>
      </c>
      <c r="B852" s="224" t="s">
        <v>1568</v>
      </c>
      <c r="C852" s="100">
        <v>6211.08</v>
      </c>
    </row>
    <row r="853" spans="1:3">
      <c r="A853" s="224">
        <v>99431</v>
      </c>
      <c r="B853" s="224" t="s">
        <v>1569</v>
      </c>
      <c r="C853" s="100">
        <v>7581.2800000000007</v>
      </c>
    </row>
    <row r="854" spans="1:3">
      <c r="A854" s="224">
        <v>99501</v>
      </c>
      <c r="B854" s="224" t="s">
        <v>1570</v>
      </c>
      <c r="C854" s="100">
        <v>794395.29</v>
      </c>
    </row>
    <row r="855" spans="1:3">
      <c r="A855" s="224">
        <v>99502</v>
      </c>
      <c r="B855" s="224" t="s">
        <v>1571</v>
      </c>
      <c r="C855" s="100">
        <v>65830.87999999999</v>
      </c>
    </row>
    <row r="856" spans="1:3">
      <c r="A856" s="224">
        <v>99508</v>
      </c>
      <c r="B856" s="224" t="s">
        <v>1572</v>
      </c>
      <c r="C856" s="100">
        <v>9857.3000000000011</v>
      </c>
    </row>
    <row r="857" spans="1:3">
      <c r="A857" s="224">
        <v>99509</v>
      </c>
      <c r="B857" s="224" t="s">
        <v>1573</v>
      </c>
      <c r="C857" s="100">
        <v>11410.270000000002</v>
      </c>
    </row>
    <row r="858" spans="1:3">
      <c r="A858" s="224">
        <v>99511</v>
      </c>
      <c r="B858" s="224" t="s">
        <v>1574</v>
      </c>
      <c r="C858" s="100">
        <v>579707.17999999993</v>
      </c>
    </row>
    <row r="859" spans="1:3">
      <c r="A859" s="224">
        <v>99521</v>
      </c>
      <c r="B859" s="224" t="s">
        <v>1575</v>
      </c>
      <c r="C859" s="100">
        <v>176535.9</v>
      </c>
    </row>
    <row r="860" spans="1:3">
      <c r="A860" s="224">
        <v>99527</v>
      </c>
      <c r="B860" s="224" t="s">
        <v>1576</v>
      </c>
      <c r="C860" s="100">
        <v>5941.3</v>
      </c>
    </row>
    <row r="861" spans="1:3">
      <c r="A861" s="224">
        <v>99531</v>
      </c>
      <c r="B861" s="224" t="s">
        <v>1577</v>
      </c>
      <c r="C861" s="100">
        <v>72389.700000000012</v>
      </c>
    </row>
    <row r="862" spans="1:3">
      <c r="A862" s="224">
        <v>99601</v>
      </c>
      <c r="B862" s="224" t="s">
        <v>1578</v>
      </c>
      <c r="C862" s="100">
        <v>2548953.7600000002</v>
      </c>
    </row>
    <row r="863" spans="1:3">
      <c r="A863" s="224">
        <v>99602</v>
      </c>
      <c r="B863" s="224" t="s">
        <v>1579</v>
      </c>
      <c r="C863" s="100">
        <v>28151.17</v>
      </c>
    </row>
    <row r="864" spans="1:3">
      <c r="A864" s="224">
        <v>99603</v>
      </c>
      <c r="B864" s="224" t="s">
        <v>1580</v>
      </c>
      <c r="C864" s="100">
        <v>87236.890000000014</v>
      </c>
    </row>
    <row r="865" spans="1:3">
      <c r="A865" s="224">
        <v>99604</v>
      </c>
      <c r="B865" s="224" t="s">
        <v>1581</v>
      </c>
      <c r="C865" s="100">
        <v>52378.14</v>
      </c>
    </row>
    <row r="866" spans="1:3">
      <c r="A866" s="224">
        <v>99609</v>
      </c>
      <c r="B866" s="224" t="s">
        <v>1582</v>
      </c>
      <c r="C866" s="100">
        <v>9934.65</v>
      </c>
    </row>
    <row r="867" spans="1:3">
      <c r="A867" s="224">
        <v>99610</v>
      </c>
      <c r="B867" s="224" t="s">
        <v>1583</v>
      </c>
      <c r="C867" s="100">
        <v>85099.670000000013</v>
      </c>
    </row>
    <row r="868" spans="1:3">
      <c r="A868" s="224">
        <v>99611</v>
      </c>
      <c r="B868" s="224" t="s">
        <v>1584</v>
      </c>
      <c r="C868" s="100">
        <v>1474036.82</v>
      </c>
    </row>
    <row r="869" spans="1:3">
      <c r="A869" s="224">
        <v>99613</v>
      </c>
      <c r="B869" s="224" t="s">
        <v>1585</v>
      </c>
      <c r="C869" s="100">
        <v>310914.55000000005</v>
      </c>
    </row>
    <row r="870" spans="1:3">
      <c r="A870" s="224">
        <v>99621</v>
      </c>
      <c r="B870" s="224" t="s">
        <v>1586</v>
      </c>
      <c r="C870" s="100">
        <v>166447.64000000001</v>
      </c>
    </row>
    <row r="871" spans="1:3">
      <c r="A871" s="224">
        <v>99623</v>
      </c>
      <c r="B871" s="224" t="s">
        <v>1587</v>
      </c>
      <c r="C871" s="100">
        <v>11102.830000000002</v>
      </c>
    </row>
    <row r="872" spans="1:3">
      <c r="A872" s="224">
        <v>99631</v>
      </c>
      <c r="B872" s="224" t="s">
        <v>1588</v>
      </c>
      <c r="C872" s="100">
        <v>46230.900000000009</v>
      </c>
    </row>
    <row r="873" spans="1:3">
      <c r="A873" s="224">
        <v>99651</v>
      </c>
      <c r="B873" s="224" t="s">
        <v>1589</v>
      </c>
      <c r="C873" s="100">
        <v>30231.079999999998</v>
      </c>
    </row>
    <row r="874" spans="1:3">
      <c r="A874" s="224">
        <v>99661</v>
      </c>
      <c r="B874" s="224" t="s">
        <v>1590</v>
      </c>
      <c r="C874" s="100">
        <v>34513.29</v>
      </c>
    </row>
    <row r="875" spans="1:3">
      <c r="A875" s="224">
        <v>99701</v>
      </c>
      <c r="B875" s="224" t="s">
        <v>1591</v>
      </c>
      <c r="C875" s="100">
        <v>1295370.6500000001</v>
      </c>
    </row>
    <row r="876" spans="1:3">
      <c r="A876" s="224">
        <v>99705</v>
      </c>
      <c r="B876" s="224" t="s">
        <v>1592</v>
      </c>
      <c r="C876" s="100">
        <v>85450.72</v>
      </c>
    </row>
    <row r="877" spans="1:3">
      <c r="A877" s="224">
        <v>99711</v>
      </c>
      <c r="B877" s="224" t="s">
        <v>1593</v>
      </c>
      <c r="C877" s="100">
        <v>209493.55</v>
      </c>
    </row>
    <row r="878" spans="1:3">
      <c r="A878" s="224">
        <v>99717</v>
      </c>
      <c r="B878" s="224" t="s">
        <v>1594</v>
      </c>
      <c r="C878" s="100">
        <v>8060.3599999999979</v>
      </c>
    </row>
    <row r="879" spans="1:3">
      <c r="A879" s="224">
        <v>99721</v>
      </c>
      <c r="B879" s="224" t="s">
        <v>1595</v>
      </c>
      <c r="C879" s="100">
        <v>252724.99000000002</v>
      </c>
    </row>
    <row r="880" spans="1:3">
      <c r="A880" s="224">
        <v>99727</v>
      </c>
      <c r="B880" s="224" t="s">
        <v>1596</v>
      </c>
      <c r="C880" s="100">
        <v>46314.63</v>
      </c>
    </row>
    <row r="881" spans="1:3">
      <c r="A881" s="224">
        <v>99801</v>
      </c>
      <c r="B881" s="224" t="s">
        <v>1597</v>
      </c>
      <c r="C881" s="100">
        <v>2259452.0700000003</v>
      </c>
    </row>
    <row r="882" spans="1:3">
      <c r="A882" s="224">
        <v>99802</v>
      </c>
      <c r="B882" s="224" t="s">
        <v>1598</v>
      </c>
      <c r="C882" s="100">
        <v>4580.8500000000013</v>
      </c>
    </row>
    <row r="883" spans="1:3">
      <c r="A883" s="224">
        <v>99804</v>
      </c>
      <c r="B883" s="224" t="s">
        <v>1599</v>
      </c>
      <c r="C883" s="100">
        <v>46756.41</v>
      </c>
    </row>
    <row r="884" spans="1:3">
      <c r="A884" s="224">
        <v>99811</v>
      </c>
      <c r="B884" s="224" t="s">
        <v>1600</v>
      </c>
      <c r="C884" s="100">
        <v>2884355.86</v>
      </c>
    </row>
    <row r="885" spans="1:3">
      <c r="A885" s="224">
        <v>99812</v>
      </c>
      <c r="B885" s="224" t="s">
        <v>1601</v>
      </c>
      <c r="C885" s="100">
        <v>20069.04</v>
      </c>
    </row>
    <row r="886" spans="1:3">
      <c r="A886" s="224">
        <v>99818</v>
      </c>
      <c r="B886" s="224" t="s">
        <v>1602</v>
      </c>
      <c r="C886" s="100">
        <v>14369.52</v>
      </c>
    </row>
    <row r="887" spans="1:3">
      <c r="A887" s="224">
        <v>99821</v>
      </c>
      <c r="B887" s="224" t="s">
        <v>1603</v>
      </c>
      <c r="C887" s="100">
        <v>48801.23</v>
      </c>
    </row>
    <row r="888" spans="1:3">
      <c r="A888" s="224">
        <v>99831</v>
      </c>
      <c r="B888" s="224" t="s">
        <v>1604</v>
      </c>
      <c r="C888" s="100">
        <v>28273.86</v>
      </c>
    </row>
    <row r="889" spans="1:3">
      <c r="A889" s="224">
        <v>99841</v>
      </c>
      <c r="B889" s="224" t="s">
        <v>1605</v>
      </c>
      <c r="C889" s="100">
        <v>19337.829999999998</v>
      </c>
    </row>
    <row r="890" spans="1:3">
      <c r="A890" s="224">
        <v>99851</v>
      </c>
      <c r="B890" s="224" t="s">
        <v>1606</v>
      </c>
      <c r="C890" s="100">
        <v>7302.38</v>
      </c>
    </row>
    <row r="891" spans="1:3">
      <c r="A891" s="224">
        <v>99901</v>
      </c>
      <c r="B891" s="224" t="s">
        <v>1607</v>
      </c>
      <c r="C891" s="100">
        <v>760400.05</v>
      </c>
    </row>
    <row r="892" spans="1:3">
      <c r="A892" s="224">
        <v>99911</v>
      </c>
      <c r="B892" s="224" t="s">
        <v>1608</v>
      </c>
      <c r="C892" s="100">
        <v>122065.53</v>
      </c>
    </row>
    <row r="893" spans="1:3">
      <c r="A893" s="224">
        <v>99921</v>
      </c>
      <c r="B893" s="224" t="s">
        <v>1609</v>
      </c>
      <c r="C893" s="100">
        <v>65164.7</v>
      </c>
    </row>
    <row r="894" spans="1:3">
      <c r="A894" s="224">
        <v>99931</v>
      </c>
      <c r="B894" s="224" t="s">
        <v>1610</v>
      </c>
      <c r="C894" s="100">
        <v>8881.11</v>
      </c>
    </row>
    <row r="895" spans="1:3">
      <c r="A895" s="224">
        <v>99941</v>
      </c>
      <c r="B895" s="224" t="s">
        <v>1611</v>
      </c>
      <c r="C895" s="100">
        <v>32663.02</v>
      </c>
    </row>
    <row r="896" spans="1:3">
      <c r="A896" s="224">
        <v>99991</v>
      </c>
      <c r="B896" s="224" t="s">
        <v>1612</v>
      </c>
      <c r="C896" s="100">
        <v>239781.13999999998</v>
      </c>
    </row>
    <row r="897" spans="1:3">
      <c r="A897" s="224">
        <v>99999</v>
      </c>
      <c r="B897" s="224" t="s">
        <v>1613</v>
      </c>
      <c r="C897" s="100">
        <v>509175.93000000005</v>
      </c>
    </row>
    <row r="899" spans="1:3">
      <c r="A899" s="224" t="s">
        <v>3501</v>
      </c>
    </row>
    <row r="900" spans="1:3">
      <c r="A900" s="224">
        <v>91119</v>
      </c>
      <c r="B900" s="224" t="s">
        <v>48</v>
      </c>
      <c r="C900" s="100">
        <v>0</v>
      </c>
    </row>
    <row r="901" spans="1:3">
      <c r="A901" s="224">
        <v>92414</v>
      </c>
      <c r="B901" s="224" t="s">
        <v>2054</v>
      </c>
      <c r="C901" s="100">
        <v>0</v>
      </c>
    </row>
    <row r="902" spans="1:3">
      <c r="A902" s="224">
        <v>92608</v>
      </c>
      <c r="B902" s="224" t="s">
        <v>968</v>
      </c>
      <c r="C902" s="100">
        <v>0</v>
      </c>
    </row>
    <row r="903" spans="1:3">
      <c r="A903" s="224">
        <v>93408</v>
      </c>
      <c r="B903" s="224" t="s">
        <v>1039</v>
      </c>
      <c r="C903" s="100">
        <v>0</v>
      </c>
    </row>
    <row r="904" spans="1:3">
      <c r="A904" s="224">
        <v>94402</v>
      </c>
      <c r="B904" s="224" t="s">
        <v>1135</v>
      </c>
      <c r="C904" s="100">
        <v>0</v>
      </c>
    </row>
    <row r="905" spans="1:3">
      <c r="A905" s="224">
        <v>95412</v>
      </c>
      <c r="B905" s="224" t="s">
        <v>1216</v>
      </c>
      <c r="C905" s="100">
        <v>0</v>
      </c>
    </row>
    <row r="906" spans="1:3">
      <c r="A906" s="224">
        <v>93202</v>
      </c>
      <c r="B906" s="224" t="s">
        <v>1018</v>
      </c>
      <c r="C906" s="100">
        <v>0</v>
      </c>
    </row>
    <row r="907" spans="1:3">
      <c r="A907" s="224">
        <v>93677</v>
      </c>
      <c r="B907" s="224" t="s">
        <v>98</v>
      </c>
      <c r="C907" s="100">
        <v>0</v>
      </c>
    </row>
    <row r="908" spans="1:3">
      <c r="A908" s="224">
        <v>94512</v>
      </c>
      <c r="B908" s="224" t="s">
        <v>1147</v>
      </c>
      <c r="C908" s="100">
        <v>0</v>
      </c>
    </row>
    <row r="909" spans="1:3">
      <c r="A909" s="224">
        <v>97010</v>
      </c>
      <c r="B909" s="224" t="s">
        <v>1347</v>
      </c>
      <c r="C909" s="100">
        <v>0</v>
      </c>
    </row>
    <row r="910" spans="1:3">
      <c r="A910" s="224">
        <v>97491</v>
      </c>
      <c r="B910" s="224" t="s">
        <v>3500</v>
      </c>
    </row>
    <row r="2339" spans="1:1">
      <c r="A2339" s="101"/>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AB421-8EDB-4911-B386-B371A710B9CD}">
  <dimension ref="A1:AS913"/>
  <sheetViews>
    <sheetView workbookViewId="0">
      <pane xSplit="3" ySplit="6" topLeftCell="K668" activePane="bottomRight" state="frozen"/>
      <selection pane="topRight" activeCell="C1" sqref="C1"/>
      <selection pane="bottomLeft" activeCell="A7" sqref="A7"/>
      <selection pane="bottomRight" activeCell="O677" sqref="O677"/>
    </sheetView>
  </sheetViews>
  <sheetFormatPr defaultRowHeight="15"/>
  <cols>
    <col min="3" max="3" width="49.5703125" customWidth="1"/>
    <col min="4" max="4" width="13.42578125" customWidth="1"/>
    <col min="5" max="5" width="2.7109375" customWidth="1"/>
    <col min="6" max="10" width="18.7109375" customWidth="1"/>
    <col min="11" max="12" width="2.7109375" customWidth="1"/>
    <col min="13" max="17" width="14.7109375" customWidth="1"/>
    <col min="18" max="19" width="2.7109375" customWidth="1"/>
    <col min="20" max="24" width="15.7109375" customWidth="1"/>
    <col min="25" max="26" width="2.7109375" customWidth="1"/>
    <col min="27" max="31" width="13.7109375" customWidth="1"/>
    <col min="32" max="33" width="2.7109375" customWidth="1"/>
    <col min="34" max="38" width="14.7109375" customWidth="1"/>
    <col min="39" max="40" width="2.7109375" customWidth="1"/>
    <col min="41" max="45" width="14.7109375" customWidth="1"/>
  </cols>
  <sheetData>
    <row r="1" spans="1:45">
      <c r="B1" s="564" t="s">
        <v>3769</v>
      </c>
      <c r="C1" s="564"/>
    </row>
    <row r="2" spans="1:45">
      <c r="D2" s="341">
        <v>0.99999999999999989</v>
      </c>
      <c r="F2" s="92">
        <v>648784936.95750034</v>
      </c>
      <c r="G2" s="92">
        <v>1327200946.1174977</v>
      </c>
      <c r="H2" s="92">
        <v>217560999.99999988</v>
      </c>
      <c r="I2" s="92">
        <v>-103629999.99999994</v>
      </c>
      <c r="J2" s="92">
        <v>0</v>
      </c>
      <c r="M2" s="524">
        <v>459620999.99999982</v>
      </c>
      <c r="N2" s="524">
        <v>467563999.99999964</v>
      </c>
      <c r="O2" s="524">
        <v>246232999.99999997</v>
      </c>
      <c r="P2" s="2">
        <v>0</v>
      </c>
      <c r="Q2" s="2">
        <v>0</v>
      </c>
      <c r="T2" s="524">
        <v>189163999.99999994</v>
      </c>
      <c r="U2" s="524">
        <v>859637000.00000036</v>
      </c>
      <c r="V2" s="524">
        <v>-28672000.000000019</v>
      </c>
      <c r="W2" s="524">
        <v>-103629999.99999994</v>
      </c>
      <c r="X2" s="524">
        <v>0</v>
      </c>
      <c r="AA2" s="2">
        <v>281443000.00000024</v>
      </c>
      <c r="AB2" s="2">
        <v>0</v>
      </c>
      <c r="AC2" s="2">
        <v>0</v>
      </c>
      <c r="AD2" s="2">
        <v>0</v>
      </c>
      <c r="AE2" s="2">
        <v>0</v>
      </c>
      <c r="AH2" s="92">
        <v>64469876.739624679</v>
      </c>
      <c r="AI2" s="92">
        <v>46943863.861399636</v>
      </c>
      <c r="AJ2" s="92">
        <v>20309621.314889688</v>
      </c>
      <c r="AK2" s="2">
        <v>0</v>
      </c>
      <c r="AL2" s="2">
        <v>0</v>
      </c>
      <c r="AO2" s="92">
        <v>-64469939.782124855</v>
      </c>
      <c r="AP2" s="92">
        <v>-46943917.743899778</v>
      </c>
      <c r="AQ2" s="92">
        <v>-20309621.314889845</v>
      </c>
      <c r="AR2" s="92">
        <v>0</v>
      </c>
      <c r="AS2" s="92">
        <v>0</v>
      </c>
    </row>
    <row r="3" spans="1:45">
      <c r="D3" s="496">
        <v>1.0001383799999986</v>
      </c>
      <c r="E3" s="497"/>
      <c r="F3" s="498" t="e">
        <v>#N/A</v>
      </c>
      <c r="G3" s="498" t="e">
        <v>#N/A</v>
      </c>
      <c r="H3" s="498" t="e">
        <v>#N/A</v>
      </c>
      <c r="I3" s="498" t="e">
        <v>#N/A</v>
      </c>
      <c r="J3" s="498" t="e">
        <v>#N/A</v>
      </c>
      <c r="M3" s="498" t="e">
        <v>#N/A</v>
      </c>
      <c r="N3" s="498" t="e">
        <v>#N/A</v>
      </c>
      <c r="O3" s="498" t="e">
        <v>#N/A</v>
      </c>
      <c r="P3" s="498">
        <v>0</v>
      </c>
      <c r="Q3" s="498">
        <v>0</v>
      </c>
      <c r="T3" s="498" t="e">
        <v>#N/A</v>
      </c>
      <c r="U3" s="498" t="e">
        <v>#N/A</v>
      </c>
      <c r="V3" s="498" t="e">
        <v>#N/A</v>
      </c>
      <c r="W3" s="498" t="e">
        <v>#N/A</v>
      </c>
      <c r="X3" s="498">
        <v>0</v>
      </c>
      <c r="AA3" s="498">
        <v>281443000.00000024</v>
      </c>
      <c r="AB3" s="498">
        <v>0</v>
      </c>
      <c r="AC3" s="498">
        <v>0</v>
      </c>
      <c r="AD3" s="498">
        <v>0</v>
      </c>
      <c r="AE3" s="498">
        <v>0</v>
      </c>
      <c r="AH3" s="498" t="e">
        <v>#N/A</v>
      </c>
      <c r="AI3" s="498" t="e">
        <v>#N/A</v>
      </c>
      <c r="AJ3" s="498" t="e">
        <v>#N/A</v>
      </c>
      <c r="AK3" s="498">
        <v>0</v>
      </c>
      <c r="AL3" s="498">
        <v>0</v>
      </c>
      <c r="AO3" s="498" t="e">
        <v>#N/A</v>
      </c>
      <c r="AP3" s="498" t="e">
        <v>#N/A</v>
      </c>
      <c r="AQ3" s="498" t="e">
        <v>#N/A</v>
      </c>
      <c r="AR3" s="498">
        <v>0</v>
      </c>
      <c r="AS3" s="498">
        <v>0</v>
      </c>
    </row>
    <row r="4" spans="1:45">
      <c r="D4" s="496"/>
      <c r="E4" s="497"/>
      <c r="F4" s="498"/>
      <c r="G4" s="498"/>
      <c r="H4" s="498"/>
      <c r="I4" s="498"/>
      <c r="J4" s="498"/>
    </row>
    <row r="5" spans="1:45">
      <c r="F5">
        <v>2025</v>
      </c>
      <c r="G5">
        <v>2026</v>
      </c>
      <c r="H5">
        <v>2027</v>
      </c>
      <c r="I5">
        <v>2028</v>
      </c>
      <c r="J5">
        <v>2029</v>
      </c>
      <c r="M5">
        <v>2025</v>
      </c>
      <c r="N5">
        <v>2026</v>
      </c>
      <c r="O5">
        <v>2027</v>
      </c>
      <c r="P5">
        <v>2028</v>
      </c>
      <c r="Q5">
        <v>2029</v>
      </c>
      <c r="T5">
        <v>2025</v>
      </c>
      <c r="U5">
        <v>2026</v>
      </c>
      <c r="V5">
        <v>2027</v>
      </c>
      <c r="W5">
        <v>2028</v>
      </c>
      <c r="X5">
        <v>2029</v>
      </c>
      <c r="AA5">
        <v>2024</v>
      </c>
      <c r="AB5">
        <v>2025</v>
      </c>
      <c r="AC5">
        <v>2026</v>
      </c>
      <c r="AD5">
        <v>2027</v>
      </c>
      <c r="AE5">
        <v>2028</v>
      </c>
      <c r="AH5">
        <v>2025</v>
      </c>
      <c r="AI5">
        <v>2026</v>
      </c>
      <c r="AJ5">
        <v>2027</v>
      </c>
      <c r="AK5">
        <v>2028</v>
      </c>
      <c r="AL5">
        <v>2029</v>
      </c>
      <c r="AO5">
        <v>2025</v>
      </c>
      <c r="AP5">
        <v>2026</v>
      </c>
      <c r="AQ5">
        <v>2027</v>
      </c>
      <c r="AR5">
        <v>2028</v>
      </c>
      <c r="AS5">
        <v>2029</v>
      </c>
    </row>
    <row r="6" spans="1:45" s="293" customFormat="1" ht="114" customHeight="1">
      <c r="B6" s="364" t="s">
        <v>0</v>
      </c>
      <c r="C6" s="364" t="s">
        <v>3746</v>
      </c>
      <c r="D6" s="364" t="s">
        <v>3747</v>
      </c>
      <c r="E6" s="364"/>
      <c r="F6" s="364" t="s">
        <v>698</v>
      </c>
      <c r="G6" s="364" t="s">
        <v>698</v>
      </c>
      <c r="H6" s="364" t="s">
        <v>698</v>
      </c>
      <c r="I6" s="364" t="s">
        <v>698</v>
      </c>
      <c r="J6" s="364" t="s">
        <v>698</v>
      </c>
      <c r="K6" s="364"/>
      <c r="L6" s="364"/>
      <c r="M6" s="364" t="s">
        <v>3748</v>
      </c>
      <c r="N6" s="364" t="s">
        <v>3748</v>
      </c>
      <c r="O6" s="364" t="s">
        <v>3748</v>
      </c>
      <c r="P6" s="364" t="s">
        <v>3748</v>
      </c>
      <c r="Q6" s="364" t="s">
        <v>3748</v>
      </c>
      <c r="R6" s="364"/>
      <c r="S6" s="364"/>
      <c r="T6" s="364" t="s">
        <v>6</v>
      </c>
      <c r="U6" s="364" t="s">
        <v>6</v>
      </c>
      <c r="V6" s="364" t="s">
        <v>6</v>
      </c>
      <c r="W6" s="364" t="s">
        <v>6</v>
      </c>
      <c r="X6" s="364" t="s">
        <v>6</v>
      </c>
      <c r="Y6" s="364"/>
      <c r="Z6" s="364"/>
      <c r="AA6" s="402" t="s">
        <v>7</v>
      </c>
      <c r="AB6" s="402" t="s">
        <v>7</v>
      </c>
      <c r="AC6" s="402" t="s">
        <v>7</v>
      </c>
      <c r="AD6" s="402" t="s">
        <v>7</v>
      </c>
      <c r="AE6" s="402" t="s">
        <v>7</v>
      </c>
      <c r="AF6" s="364"/>
      <c r="AG6" s="364"/>
      <c r="AH6" s="402" t="s">
        <v>3749</v>
      </c>
      <c r="AI6" s="402" t="s">
        <v>3749</v>
      </c>
      <c r="AJ6" s="402" t="s">
        <v>3749</v>
      </c>
      <c r="AK6" s="402" t="s">
        <v>3749</v>
      </c>
      <c r="AL6" s="402" t="s">
        <v>3749</v>
      </c>
      <c r="AM6" s="364"/>
      <c r="AN6" s="364"/>
      <c r="AO6" s="402" t="s">
        <v>3750</v>
      </c>
      <c r="AP6" s="402" t="s">
        <v>3750</v>
      </c>
      <c r="AQ6" s="402" t="s">
        <v>3750</v>
      </c>
      <c r="AR6" s="402" t="s">
        <v>3750</v>
      </c>
      <c r="AS6" s="402" t="s">
        <v>3750</v>
      </c>
    </row>
    <row r="7" spans="1:45">
      <c r="A7" s="390">
        <v>70505</v>
      </c>
      <c r="B7" s="393">
        <v>70505</v>
      </c>
      <c r="C7" s="499" t="s">
        <v>723</v>
      </c>
      <c r="D7" s="378">
        <v>1.6280415212656266E-4</v>
      </c>
      <c r="F7" s="495">
        <v>62387.459046042903</v>
      </c>
      <c r="G7" s="495">
        <v>222587.40552604297</v>
      </c>
      <c r="H7" s="495">
        <v>54300.938073542929</v>
      </c>
      <c r="I7" s="495">
        <v>-16868.8914</v>
      </c>
      <c r="J7" s="495">
        <v>0</v>
      </c>
      <c r="M7" s="495">
        <v>74817.106379999997</v>
      </c>
      <c r="N7" s="495">
        <v>76110.067920000001</v>
      </c>
      <c r="O7" s="495">
        <v>40081.807740000004</v>
      </c>
      <c r="P7" s="495">
        <v>0</v>
      </c>
      <c r="Q7" s="495">
        <v>0</v>
      </c>
      <c r="T7" s="495">
        <v>30792.11592</v>
      </c>
      <c r="U7" s="495">
        <v>139931.71086000002</v>
      </c>
      <c r="V7" s="495">
        <v>-4667.2281600000006</v>
      </c>
      <c r="W7" s="495">
        <v>-16868.8914</v>
      </c>
      <c r="X7" s="495">
        <v>0</v>
      </c>
      <c r="AA7" s="495">
        <v>0</v>
      </c>
      <c r="AB7" s="495">
        <v>0</v>
      </c>
      <c r="AC7" s="495">
        <v>0</v>
      </c>
      <c r="AD7" s="495">
        <v>0</v>
      </c>
      <c r="AE7" s="495">
        <v>0</v>
      </c>
      <c r="AH7" s="495">
        <v>40631.522151042926</v>
      </c>
      <c r="AI7" s="495">
        <v>34988.150901042929</v>
      </c>
      <c r="AJ7" s="495">
        <v>18886.358493542924</v>
      </c>
      <c r="AK7" s="495">
        <v>0</v>
      </c>
      <c r="AL7" s="495">
        <v>0</v>
      </c>
      <c r="AO7" s="495">
        <v>-83853.285405000002</v>
      </c>
      <c r="AP7" s="495">
        <v>-28442.524154999999</v>
      </c>
      <c r="AQ7" s="495">
        <v>0</v>
      </c>
      <c r="AR7" s="495">
        <v>0</v>
      </c>
      <c r="AS7" s="495">
        <v>0</v>
      </c>
    </row>
    <row r="8" spans="1:45">
      <c r="A8" s="390">
        <v>72265</v>
      </c>
      <c r="B8" s="393">
        <v>72265</v>
      </c>
      <c r="C8" s="499" t="s">
        <v>724</v>
      </c>
      <c r="D8" s="378">
        <v>1.3982075039379902E-4</v>
      </c>
      <c r="F8" s="495">
        <v>81161.971453609498</v>
      </c>
      <c r="G8" s="495">
        <v>185439.03592860949</v>
      </c>
      <c r="H8" s="495">
        <v>22903.124066109463</v>
      </c>
      <c r="I8" s="495">
        <v>-14487.474</v>
      </c>
      <c r="J8" s="495">
        <v>0</v>
      </c>
      <c r="M8" s="495">
        <v>64255.015800000001</v>
      </c>
      <c r="N8" s="495">
        <v>65365.447200000002</v>
      </c>
      <c r="O8" s="495">
        <v>34423.373400000004</v>
      </c>
      <c r="P8" s="495">
        <v>0</v>
      </c>
      <c r="Q8" s="495">
        <v>0</v>
      </c>
      <c r="T8" s="495">
        <v>26445.127200000003</v>
      </c>
      <c r="U8" s="495">
        <v>120177.25260000001</v>
      </c>
      <c r="V8" s="495">
        <v>-4008.3456000000001</v>
      </c>
      <c r="W8" s="495">
        <v>-14487.474</v>
      </c>
      <c r="X8" s="495">
        <v>0</v>
      </c>
      <c r="AA8" s="495">
        <v>0</v>
      </c>
      <c r="AB8" s="495">
        <v>0</v>
      </c>
      <c r="AC8" s="495">
        <v>0</v>
      </c>
      <c r="AD8" s="495">
        <v>0</v>
      </c>
      <c r="AE8" s="495">
        <v>0</v>
      </c>
      <c r="AH8" s="495">
        <v>8544.4004875000228</v>
      </c>
      <c r="AI8" s="495">
        <v>7408.2398625000187</v>
      </c>
      <c r="AJ8" s="495">
        <v>0</v>
      </c>
      <c r="AK8" s="495">
        <v>0</v>
      </c>
      <c r="AL8" s="495">
        <v>0</v>
      </c>
      <c r="AO8" s="495">
        <v>-18082.572033890545</v>
      </c>
      <c r="AP8" s="495">
        <v>-7511.9037338905418</v>
      </c>
      <c r="AQ8" s="495">
        <v>-7511.9037338905418</v>
      </c>
      <c r="AR8" s="495">
        <v>0</v>
      </c>
      <c r="AS8" s="495">
        <v>0</v>
      </c>
    </row>
    <row r="9" spans="1:45">
      <c r="A9" s="390">
        <v>72593</v>
      </c>
      <c r="B9" s="393">
        <v>72593</v>
      </c>
      <c r="C9" s="499" t="s">
        <v>725</v>
      </c>
      <c r="D9" s="378">
        <v>9.9414387525900069E-6</v>
      </c>
      <c r="F9" s="495">
        <v>6852.9571913528453</v>
      </c>
      <c r="G9" s="495">
        <v>13978.846606352845</v>
      </c>
      <c r="H9" s="495">
        <v>-46.039038647153575</v>
      </c>
      <c r="I9" s="495">
        <v>-1030.0822000000001</v>
      </c>
      <c r="J9" s="495">
        <v>0</v>
      </c>
      <c r="M9" s="495">
        <v>4568.63274</v>
      </c>
      <c r="N9" s="495">
        <v>4647.5861599999998</v>
      </c>
      <c r="O9" s="495">
        <v>2447.55602</v>
      </c>
      <c r="P9" s="495">
        <v>0</v>
      </c>
      <c r="Q9" s="495">
        <v>0</v>
      </c>
      <c r="T9" s="495">
        <v>1880.29016</v>
      </c>
      <c r="U9" s="495">
        <v>8544.7917799999996</v>
      </c>
      <c r="V9" s="495">
        <v>-284.99968000000001</v>
      </c>
      <c r="W9" s="495">
        <v>-1030.0822000000001</v>
      </c>
      <c r="X9" s="495">
        <v>0</v>
      </c>
      <c r="AA9" s="495">
        <v>0</v>
      </c>
      <c r="AB9" s="495">
        <v>0</v>
      </c>
      <c r="AC9" s="495">
        <v>0</v>
      </c>
      <c r="AD9" s="495">
        <v>0</v>
      </c>
      <c r="AE9" s="495">
        <v>0</v>
      </c>
      <c r="AH9" s="495">
        <v>3953.0541599999997</v>
      </c>
      <c r="AI9" s="495">
        <v>3953.0541599999997</v>
      </c>
      <c r="AJ9" s="495">
        <v>0</v>
      </c>
      <c r="AK9" s="495">
        <v>0</v>
      </c>
      <c r="AL9" s="495">
        <v>0</v>
      </c>
      <c r="AO9" s="495">
        <v>-3549.0198686471535</v>
      </c>
      <c r="AP9" s="495">
        <v>-3166.5854936471537</v>
      </c>
      <c r="AQ9" s="495">
        <v>-2208.5953786471537</v>
      </c>
      <c r="AR9" s="495">
        <v>0</v>
      </c>
      <c r="AS9" s="495">
        <v>0</v>
      </c>
    </row>
    <row r="10" spans="1:45">
      <c r="B10" s="393">
        <v>72657</v>
      </c>
      <c r="C10" s="499" t="s">
        <v>726</v>
      </c>
      <c r="D10" s="378">
        <v>8.4282511880337166E-5</v>
      </c>
      <c r="F10" s="495">
        <v>100787.48429653463</v>
      </c>
      <c r="G10" s="495">
        <v>153916.14979153461</v>
      </c>
      <c r="H10" s="495">
        <v>59071.257359034644</v>
      </c>
      <c r="I10" s="495">
        <v>-8732.9001000000007</v>
      </c>
      <c r="J10" s="495">
        <v>0</v>
      </c>
      <c r="M10" s="495">
        <v>38732.26167</v>
      </c>
      <c r="N10" s="495">
        <v>39401.618280000002</v>
      </c>
      <c r="O10" s="495">
        <v>20750.054910000003</v>
      </c>
      <c r="P10" s="495">
        <v>0</v>
      </c>
      <c r="Q10" s="495">
        <v>0</v>
      </c>
      <c r="T10" s="495">
        <v>15940.850280000001</v>
      </c>
      <c r="U10" s="495">
        <v>72441.609989999997</v>
      </c>
      <c r="V10" s="495">
        <v>-2416.1894400000001</v>
      </c>
      <c r="W10" s="495">
        <v>-8732.9001000000007</v>
      </c>
      <c r="X10" s="495">
        <v>0</v>
      </c>
      <c r="AA10" s="495">
        <v>0</v>
      </c>
      <c r="AB10" s="495">
        <v>0</v>
      </c>
      <c r="AC10" s="495">
        <v>0</v>
      </c>
      <c r="AD10" s="495">
        <v>0</v>
      </c>
      <c r="AE10" s="495">
        <v>0</v>
      </c>
      <c r="AH10" s="495">
        <v>51895.809074034631</v>
      </c>
      <c r="AI10" s="495">
        <v>45701.170124034637</v>
      </c>
      <c r="AJ10" s="495">
        <v>40737.391889034639</v>
      </c>
      <c r="AK10" s="495">
        <v>0</v>
      </c>
      <c r="AL10" s="495">
        <v>0</v>
      </c>
      <c r="AO10" s="495">
        <v>-5781.4367274999986</v>
      </c>
      <c r="AP10" s="495">
        <v>-3628.2486024999998</v>
      </c>
      <c r="AQ10" s="495">
        <v>0</v>
      </c>
      <c r="AR10" s="495">
        <v>0</v>
      </c>
      <c r="AS10" s="495">
        <v>0</v>
      </c>
    </row>
    <row r="11" spans="1:45">
      <c r="A11" s="390">
        <v>90001</v>
      </c>
      <c r="B11" s="393">
        <v>90001</v>
      </c>
      <c r="C11" s="499" t="s">
        <v>727</v>
      </c>
      <c r="D11" s="378">
        <v>1.1767042075516191E-3</v>
      </c>
      <c r="F11" s="495">
        <v>826476.16394007741</v>
      </c>
      <c r="G11" s="495">
        <v>1623105.6821950777</v>
      </c>
      <c r="H11" s="495">
        <v>287344.41090507741</v>
      </c>
      <c r="I11" s="495">
        <v>-121923.80390000001</v>
      </c>
      <c r="J11" s="495">
        <v>0</v>
      </c>
      <c r="M11" s="495">
        <v>540757.89513000008</v>
      </c>
      <c r="N11" s="495">
        <v>550103.07292000006</v>
      </c>
      <c r="O11" s="495">
        <v>289700.51149</v>
      </c>
      <c r="P11" s="495">
        <v>0</v>
      </c>
      <c r="Q11" s="495">
        <v>0</v>
      </c>
      <c r="T11" s="495">
        <v>222557.12092000002</v>
      </c>
      <c r="U11" s="495">
        <v>1011388.71961</v>
      </c>
      <c r="V11" s="495">
        <v>-33733.468160000004</v>
      </c>
      <c r="W11" s="495">
        <v>-121923.80390000001</v>
      </c>
      <c r="X11" s="495">
        <v>0</v>
      </c>
      <c r="AA11" s="495">
        <v>0</v>
      </c>
      <c r="AB11" s="495">
        <v>0</v>
      </c>
      <c r="AC11" s="495">
        <v>0</v>
      </c>
      <c r="AD11" s="495">
        <v>0</v>
      </c>
      <c r="AE11" s="495">
        <v>0</v>
      </c>
      <c r="AH11" s="495">
        <v>79099.490595077325</v>
      </c>
      <c r="AI11" s="495">
        <v>72450.19924507731</v>
      </c>
      <c r="AJ11" s="495">
        <v>31377.367575077384</v>
      </c>
      <c r="AK11" s="495">
        <v>0</v>
      </c>
      <c r="AL11" s="495">
        <v>0</v>
      </c>
      <c r="AO11" s="495">
        <v>-15938.342704999988</v>
      </c>
      <c r="AP11" s="495">
        <v>-10836.309580000001</v>
      </c>
      <c r="AQ11" s="495">
        <v>0</v>
      </c>
      <c r="AR11" s="495">
        <v>0</v>
      </c>
      <c r="AS11" s="495">
        <v>0</v>
      </c>
    </row>
    <row r="12" spans="1:45">
      <c r="A12" s="390">
        <v>90002</v>
      </c>
      <c r="B12" s="393">
        <v>90002</v>
      </c>
      <c r="C12" s="499" t="s">
        <v>728</v>
      </c>
      <c r="D12" s="378">
        <v>4.6207439395339254E-6</v>
      </c>
      <c r="F12" s="495">
        <v>5596.4260167555494</v>
      </c>
      <c r="G12" s="495">
        <v>7858.292536755549</v>
      </c>
      <c r="H12" s="495">
        <v>1908.419481755549</v>
      </c>
      <c r="I12" s="495">
        <v>-478.7706</v>
      </c>
      <c r="J12" s="495">
        <v>0</v>
      </c>
      <c r="M12" s="495">
        <v>2123.44902</v>
      </c>
      <c r="N12" s="495">
        <v>2160.1456800000001</v>
      </c>
      <c r="O12" s="495">
        <v>1137.59646</v>
      </c>
      <c r="P12" s="495">
        <v>0</v>
      </c>
      <c r="Q12" s="495">
        <v>0</v>
      </c>
      <c r="T12" s="495">
        <v>873.93768</v>
      </c>
      <c r="U12" s="495">
        <v>3971.5229399999998</v>
      </c>
      <c r="V12" s="495">
        <v>-132.46464</v>
      </c>
      <c r="W12" s="495">
        <v>-478.7706</v>
      </c>
      <c r="X12" s="495">
        <v>0</v>
      </c>
      <c r="AA12" s="495">
        <v>0</v>
      </c>
      <c r="AB12" s="495">
        <v>0</v>
      </c>
      <c r="AC12" s="495">
        <v>0</v>
      </c>
      <c r="AD12" s="495">
        <v>0</v>
      </c>
      <c r="AE12" s="495">
        <v>0</v>
      </c>
      <c r="AH12" s="495">
        <v>3580.8340767555496</v>
      </c>
      <c r="AI12" s="495">
        <v>2310.5978267555492</v>
      </c>
      <c r="AJ12" s="495">
        <v>903.28766175554915</v>
      </c>
      <c r="AK12" s="495">
        <v>0</v>
      </c>
      <c r="AL12" s="495">
        <v>0</v>
      </c>
      <c r="AO12" s="495">
        <v>-981.79476000000045</v>
      </c>
      <c r="AP12" s="495">
        <v>-583.97391000000039</v>
      </c>
      <c r="AQ12" s="495">
        <v>0</v>
      </c>
      <c r="AR12" s="495">
        <v>0</v>
      </c>
      <c r="AS12" s="495">
        <v>0</v>
      </c>
    </row>
    <row r="13" spans="1:45">
      <c r="A13" s="390">
        <v>90011</v>
      </c>
      <c r="B13" s="393">
        <v>90011</v>
      </c>
      <c r="C13" s="499" t="s">
        <v>729</v>
      </c>
      <c r="D13" s="378">
        <v>1.4230099174681799E-4</v>
      </c>
      <c r="F13" s="495">
        <v>84518.411841391644</v>
      </c>
      <c r="G13" s="495">
        <v>184878.96767139164</v>
      </c>
      <c r="H13" s="495">
        <v>34356.195033891672</v>
      </c>
      <c r="I13" s="495">
        <v>-14744.4764</v>
      </c>
      <c r="J13" s="495">
        <v>0</v>
      </c>
      <c r="M13" s="495">
        <v>65394.87588</v>
      </c>
      <c r="N13" s="495">
        <v>66525.005919999996</v>
      </c>
      <c r="O13" s="495">
        <v>35034.031239999997</v>
      </c>
      <c r="P13" s="495">
        <v>0</v>
      </c>
      <c r="Q13" s="495">
        <v>0</v>
      </c>
      <c r="T13" s="495">
        <v>26914.253919999999</v>
      </c>
      <c r="U13" s="495">
        <v>122309.15235999999</v>
      </c>
      <c r="V13" s="495">
        <v>-4079.4521599999998</v>
      </c>
      <c r="W13" s="495">
        <v>-14744.4764</v>
      </c>
      <c r="X13" s="495">
        <v>0</v>
      </c>
      <c r="AA13" s="495">
        <v>0</v>
      </c>
      <c r="AB13" s="495">
        <v>0</v>
      </c>
      <c r="AC13" s="495">
        <v>0</v>
      </c>
      <c r="AD13" s="495">
        <v>0</v>
      </c>
      <c r="AE13" s="495">
        <v>0</v>
      </c>
      <c r="AH13" s="495">
        <v>13658.696516391676</v>
      </c>
      <c r="AI13" s="495">
        <v>9708.3015163916789</v>
      </c>
      <c r="AJ13" s="495">
        <v>3401.6159538916763</v>
      </c>
      <c r="AK13" s="495">
        <v>0</v>
      </c>
      <c r="AL13" s="495">
        <v>0</v>
      </c>
      <c r="AO13" s="495">
        <v>-21449.414475000023</v>
      </c>
      <c r="AP13" s="495">
        <v>-13663.492125000022</v>
      </c>
      <c r="AQ13" s="495">
        <v>0</v>
      </c>
      <c r="AR13" s="495">
        <v>0</v>
      </c>
      <c r="AS13" s="495">
        <v>0</v>
      </c>
    </row>
    <row r="14" spans="1:45">
      <c r="A14" s="390">
        <v>90092</v>
      </c>
      <c r="B14" s="393">
        <v>90092</v>
      </c>
      <c r="C14" s="499" t="s">
        <v>730</v>
      </c>
      <c r="D14" s="378">
        <v>3.2310788627467208E-4</v>
      </c>
      <c r="F14" s="495">
        <v>152131.55458907961</v>
      </c>
      <c r="G14" s="495">
        <v>373344.17432407965</v>
      </c>
      <c r="H14" s="495">
        <v>31792.698109079589</v>
      </c>
      <c r="I14" s="495">
        <v>-33478.707800000004</v>
      </c>
      <c r="J14" s="495">
        <v>0</v>
      </c>
      <c r="M14" s="495">
        <v>148485.16026</v>
      </c>
      <c r="N14" s="495">
        <v>151051.22584</v>
      </c>
      <c r="O14" s="495">
        <v>79548.032980000004</v>
      </c>
      <c r="P14" s="495">
        <v>0</v>
      </c>
      <c r="Q14" s="495">
        <v>0</v>
      </c>
      <c r="T14" s="495">
        <v>61111.321840000004</v>
      </c>
      <c r="U14" s="495">
        <v>277714.32922000001</v>
      </c>
      <c r="V14" s="495">
        <v>-9262.7763200000009</v>
      </c>
      <c r="W14" s="495">
        <v>-33478.707800000004</v>
      </c>
      <c r="X14" s="495">
        <v>0</v>
      </c>
      <c r="AA14" s="495">
        <v>0</v>
      </c>
      <c r="AB14" s="495">
        <v>0</v>
      </c>
      <c r="AC14" s="495">
        <v>0</v>
      </c>
      <c r="AD14" s="495">
        <v>0</v>
      </c>
      <c r="AE14" s="495">
        <v>0</v>
      </c>
      <c r="AH14" s="495">
        <v>8620.6895449999865</v>
      </c>
      <c r="AI14" s="495">
        <v>4812.9756949999864</v>
      </c>
      <c r="AJ14" s="495">
        <v>0</v>
      </c>
      <c r="AK14" s="495">
        <v>0</v>
      </c>
      <c r="AL14" s="495">
        <v>0</v>
      </c>
      <c r="AO14" s="495">
        <v>-66085.617055920389</v>
      </c>
      <c r="AP14" s="495">
        <v>-60234.356430920379</v>
      </c>
      <c r="AQ14" s="495">
        <v>-38492.55855092041</v>
      </c>
      <c r="AR14" s="495">
        <v>0</v>
      </c>
      <c r="AS14" s="495">
        <v>0</v>
      </c>
    </row>
    <row r="15" spans="1:45">
      <c r="A15" s="390">
        <v>90096</v>
      </c>
      <c r="B15" s="393">
        <v>90096</v>
      </c>
      <c r="C15" s="499" t="s">
        <v>731</v>
      </c>
      <c r="D15" s="378">
        <v>1.0036985459049201E-3</v>
      </c>
      <c r="F15" s="495">
        <v>862972.85444226873</v>
      </c>
      <c r="G15" s="495">
        <v>1463147.2272172689</v>
      </c>
      <c r="H15" s="495">
        <v>187739.99893726857</v>
      </c>
      <c r="I15" s="495">
        <v>-103997.88649999999</v>
      </c>
      <c r="J15" s="495">
        <v>0</v>
      </c>
      <c r="M15" s="495">
        <v>461252.65454999998</v>
      </c>
      <c r="N15" s="495">
        <v>469223.85219999996</v>
      </c>
      <c r="O15" s="495">
        <v>247107.12714999999</v>
      </c>
      <c r="P15" s="495">
        <v>0</v>
      </c>
      <c r="Q15" s="495">
        <v>0</v>
      </c>
      <c r="T15" s="495">
        <v>189835.53219999999</v>
      </c>
      <c r="U15" s="495">
        <v>862688.71135</v>
      </c>
      <c r="V15" s="495">
        <v>-28773.785599999999</v>
      </c>
      <c r="W15" s="495">
        <v>-103997.88649999999</v>
      </c>
      <c r="X15" s="495">
        <v>0</v>
      </c>
      <c r="AA15" s="495">
        <v>0</v>
      </c>
      <c r="AB15" s="495">
        <v>0</v>
      </c>
      <c r="AC15" s="495">
        <v>0</v>
      </c>
      <c r="AD15" s="495">
        <v>0</v>
      </c>
      <c r="AE15" s="495">
        <v>0</v>
      </c>
      <c r="AH15" s="495">
        <v>242478.01030500012</v>
      </c>
      <c r="AI15" s="495">
        <v>161828.00628000023</v>
      </c>
      <c r="AJ15" s="495">
        <v>0</v>
      </c>
      <c r="AK15" s="495">
        <v>0</v>
      </c>
      <c r="AL15" s="495">
        <v>0</v>
      </c>
      <c r="AO15" s="495">
        <v>-30593.342612731416</v>
      </c>
      <c r="AP15" s="495">
        <v>-30593.342612731416</v>
      </c>
      <c r="AQ15" s="495">
        <v>-30593.342612731416</v>
      </c>
      <c r="AR15" s="495">
        <v>0</v>
      </c>
      <c r="AS15" s="495">
        <v>0</v>
      </c>
    </row>
    <row r="16" spans="1:45">
      <c r="A16" s="390">
        <v>90098</v>
      </c>
      <c r="B16" s="393">
        <v>90098</v>
      </c>
      <c r="C16" s="499" t="s">
        <v>732</v>
      </c>
      <c r="D16" s="378">
        <v>1.4757183842644816E-4</v>
      </c>
      <c r="F16" s="495">
        <v>51549.742515428836</v>
      </c>
      <c r="G16" s="495">
        <v>155575.62996542885</v>
      </c>
      <c r="H16" s="495">
        <v>49206.357247928863</v>
      </c>
      <c r="I16" s="495">
        <v>-15290.606500000002</v>
      </c>
      <c r="J16" s="495">
        <v>0</v>
      </c>
      <c r="M16" s="495">
        <v>67817.078550000006</v>
      </c>
      <c r="N16" s="495">
        <v>68989.068200000009</v>
      </c>
      <c r="O16" s="495">
        <v>36331.679150000004</v>
      </c>
      <c r="P16" s="495">
        <v>0</v>
      </c>
      <c r="Q16" s="495">
        <v>0</v>
      </c>
      <c r="T16" s="495">
        <v>27911.148200000003</v>
      </c>
      <c r="U16" s="495">
        <v>126839.43935</v>
      </c>
      <c r="V16" s="495">
        <v>-4230.5536000000002</v>
      </c>
      <c r="W16" s="495">
        <v>-15290.606500000002</v>
      </c>
      <c r="X16" s="495">
        <v>0</v>
      </c>
      <c r="AA16" s="495">
        <v>0</v>
      </c>
      <c r="AB16" s="495">
        <v>0</v>
      </c>
      <c r="AC16" s="495">
        <v>0</v>
      </c>
      <c r="AD16" s="495">
        <v>0</v>
      </c>
      <c r="AE16" s="495">
        <v>0</v>
      </c>
      <c r="AH16" s="495">
        <v>33067.62010042886</v>
      </c>
      <c r="AI16" s="495">
        <v>23183.16010042886</v>
      </c>
      <c r="AJ16" s="495">
        <v>17105.231697928859</v>
      </c>
      <c r="AK16" s="495">
        <v>0</v>
      </c>
      <c r="AL16" s="495">
        <v>0</v>
      </c>
      <c r="AO16" s="495">
        <v>-77246.104335000025</v>
      </c>
      <c r="AP16" s="495">
        <v>-63436.037685000018</v>
      </c>
      <c r="AQ16" s="495">
        <v>0</v>
      </c>
      <c r="AR16" s="495">
        <v>0</v>
      </c>
      <c r="AS16" s="495">
        <v>0</v>
      </c>
    </row>
    <row r="17" spans="1:45">
      <c r="A17" s="390">
        <v>90099</v>
      </c>
      <c r="B17" s="393">
        <v>90099</v>
      </c>
      <c r="C17" s="499" t="s">
        <v>733</v>
      </c>
      <c r="D17" s="378">
        <v>7.9876827030726457E-4</v>
      </c>
      <c r="F17" s="495">
        <v>477263.27262187633</v>
      </c>
      <c r="G17" s="495">
        <v>991426.95757187635</v>
      </c>
      <c r="H17" s="495">
        <v>154448.24855187646</v>
      </c>
      <c r="I17" s="495">
        <v>-82764.099499999997</v>
      </c>
      <c r="J17" s="495">
        <v>0</v>
      </c>
      <c r="M17" s="495">
        <v>367076.31164999999</v>
      </c>
      <c r="N17" s="495">
        <v>373419.98860000004</v>
      </c>
      <c r="O17" s="495">
        <v>196653.98545000001</v>
      </c>
      <c r="P17" s="495">
        <v>0</v>
      </c>
      <c r="Q17" s="495">
        <v>0</v>
      </c>
      <c r="T17" s="495">
        <v>151075.82860000001</v>
      </c>
      <c r="U17" s="495">
        <v>686549.09005</v>
      </c>
      <c r="V17" s="495">
        <v>-22898.892800000001</v>
      </c>
      <c r="W17" s="495">
        <v>-82764.099499999997</v>
      </c>
      <c r="X17" s="495">
        <v>0</v>
      </c>
      <c r="AA17" s="495">
        <v>0</v>
      </c>
      <c r="AB17" s="495">
        <v>0</v>
      </c>
      <c r="AC17" s="495">
        <v>0</v>
      </c>
      <c r="AD17" s="495">
        <v>0</v>
      </c>
      <c r="AE17" s="495">
        <v>0</v>
      </c>
      <c r="AH17" s="495">
        <v>42566.830950000032</v>
      </c>
      <c r="AI17" s="495">
        <v>0</v>
      </c>
      <c r="AJ17" s="495">
        <v>0</v>
      </c>
      <c r="AK17" s="495">
        <v>0</v>
      </c>
      <c r="AL17" s="495">
        <v>0</v>
      </c>
      <c r="AO17" s="495">
        <v>-83455.698578123673</v>
      </c>
      <c r="AP17" s="495">
        <v>-68542.121078123659</v>
      </c>
      <c r="AQ17" s="495">
        <v>-19306.844098123533</v>
      </c>
      <c r="AR17" s="495">
        <v>0</v>
      </c>
      <c r="AS17" s="495">
        <v>0</v>
      </c>
    </row>
    <row r="18" spans="1:45">
      <c r="A18" s="390">
        <v>90101</v>
      </c>
      <c r="B18" s="393">
        <v>90101</v>
      </c>
      <c r="C18" s="499" t="s">
        <v>734</v>
      </c>
      <c r="D18" s="378">
        <v>6.0655278480691308E-3</v>
      </c>
      <c r="F18" s="495">
        <v>3915718.4770990168</v>
      </c>
      <c r="G18" s="495">
        <v>8132644.0030040173</v>
      </c>
      <c r="H18" s="495">
        <v>1330719.466334017</v>
      </c>
      <c r="I18" s="495">
        <v>-628477.60690000001</v>
      </c>
      <c r="J18" s="495">
        <v>0</v>
      </c>
      <c r="M18" s="495">
        <v>2787431.3052300001</v>
      </c>
      <c r="N18" s="495">
        <v>2835602.66132</v>
      </c>
      <c r="O18" s="495">
        <v>1493312.0387899999</v>
      </c>
      <c r="P18" s="495">
        <v>0</v>
      </c>
      <c r="Q18" s="495">
        <v>0</v>
      </c>
      <c r="T18" s="495">
        <v>1147209.6693199999</v>
      </c>
      <c r="U18" s="495">
        <v>5213380.3393099997</v>
      </c>
      <c r="V18" s="495">
        <v>-173885.07136</v>
      </c>
      <c r="W18" s="495">
        <v>-628477.60690000001</v>
      </c>
      <c r="X18" s="495">
        <v>0</v>
      </c>
      <c r="AA18" s="495">
        <v>0</v>
      </c>
      <c r="AB18" s="495">
        <v>0</v>
      </c>
      <c r="AC18" s="495">
        <v>0</v>
      </c>
      <c r="AD18" s="495">
        <v>0</v>
      </c>
      <c r="AE18" s="495">
        <v>0</v>
      </c>
      <c r="AH18" s="495">
        <v>123952.01924901709</v>
      </c>
      <c r="AI18" s="495">
        <v>83661.002374017349</v>
      </c>
      <c r="AJ18" s="495">
        <v>11292.498904017102</v>
      </c>
      <c r="AK18" s="495">
        <v>0</v>
      </c>
      <c r="AL18" s="495">
        <v>0</v>
      </c>
      <c r="AO18" s="495">
        <v>-142874.51670000004</v>
      </c>
      <c r="AP18" s="495">
        <v>0</v>
      </c>
      <c r="AQ18" s="495">
        <v>0</v>
      </c>
      <c r="AR18" s="495">
        <v>0</v>
      </c>
      <c r="AS18" s="495">
        <v>0</v>
      </c>
    </row>
    <row r="19" spans="1:45">
      <c r="A19" s="390">
        <v>90111</v>
      </c>
      <c r="B19" s="393">
        <v>90111</v>
      </c>
      <c r="C19" s="499" t="s">
        <v>735</v>
      </c>
      <c r="D19" s="378">
        <v>4.7763870215642521E-3</v>
      </c>
      <c r="F19" s="495">
        <v>3332186.1701345537</v>
      </c>
      <c r="G19" s="495">
        <v>6624046.6664895536</v>
      </c>
      <c r="H19" s="495">
        <v>1279175.0873595546</v>
      </c>
      <c r="I19" s="495">
        <v>-494903.71840000001</v>
      </c>
      <c r="J19" s="495">
        <v>0</v>
      </c>
      <c r="M19" s="495">
        <v>2195002.8172800001</v>
      </c>
      <c r="N19" s="495">
        <v>2232936.0435199998</v>
      </c>
      <c r="O19" s="495">
        <v>1175930.0134399999</v>
      </c>
      <c r="P19" s="495">
        <v>0</v>
      </c>
      <c r="Q19" s="495">
        <v>0</v>
      </c>
      <c r="T19" s="495">
        <v>903386.73152000003</v>
      </c>
      <c r="U19" s="495">
        <v>4105351.2281599999</v>
      </c>
      <c r="V19" s="495">
        <v>-136928.29696000001</v>
      </c>
      <c r="W19" s="495">
        <v>-494903.71840000001</v>
      </c>
      <c r="X19" s="495">
        <v>0</v>
      </c>
      <c r="AA19" s="495">
        <v>0</v>
      </c>
      <c r="AB19" s="495">
        <v>0</v>
      </c>
      <c r="AC19" s="495">
        <v>0</v>
      </c>
      <c r="AD19" s="495">
        <v>0</v>
      </c>
      <c r="AE19" s="495">
        <v>0</v>
      </c>
      <c r="AH19" s="495">
        <v>323135.81793455419</v>
      </c>
      <c r="AI19" s="495">
        <v>285759.39480955398</v>
      </c>
      <c r="AJ19" s="495">
        <v>240173.37087955457</v>
      </c>
      <c r="AK19" s="495">
        <v>0</v>
      </c>
      <c r="AL19" s="495">
        <v>0</v>
      </c>
      <c r="AO19" s="495">
        <v>-89339.196600000607</v>
      </c>
      <c r="AP19" s="495">
        <v>0</v>
      </c>
      <c r="AQ19" s="495">
        <v>0</v>
      </c>
      <c r="AR19" s="495">
        <v>0</v>
      </c>
      <c r="AS19" s="495">
        <v>0</v>
      </c>
    </row>
    <row r="20" spans="1:45">
      <c r="A20" s="390">
        <v>90114</v>
      </c>
      <c r="B20" s="393">
        <v>90114</v>
      </c>
      <c r="C20" s="499" t="s">
        <v>736</v>
      </c>
      <c r="D20" s="378">
        <v>1.2429439204948763E-3</v>
      </c>
      <c r="F20" s="495">
        <v>1606690.7819545185</v>
      </c>
      <c r="G20" s="495">
        <v>2249630.4627145184</v>
      </c>
      <c r="H20" s="495">
        <v>581392.53536201874</v>
      </c>
      <c r="I20" s="495">
        <v>-128787.2188</v>
      </c>
      <c r="J20" s="495">
        <v>0</v>
      </c>
      <c r="M20" s="495">
        <v>571198.59396000009</v>
      </c>
      <c r="N20" s="495">
        <v>581069.83663999999</v>
      </c>
      <c r="O20" s="495">
        <v>306008.52308000001</v>
      </c>
      <c r="P20" s="495">
        <v>0</v>
      </c>
      <c r="Q20" s="495">
        <v>0</v>
      </c>
      <c r="T20" s="495">
        <v>235085.45264</v>
      </c>
      <c r="U20" s="495">
        <v>1068322.4781200001</v>
      </c>
      <c r="V20" s="495">
        <v>-35632.414720000001</v>
      </c>
      <c r="W20" s="495">
        <v>-128787.2188</v>
      </c>
      <c r="X20" s="495">
        <v>0</v>
      </c>
      <c r="AA20" s="495">
        <v>0</v>
      </c>
      <c r="AB20" s="495">
        <v>0</v>
      </c>
      <c r="AC20" s="495">
        <v>0</v>
      </c>
      <c r="AD20" s="495">
        <v>0</v>
      </c>
      <c r="AE20" s="495">
        <v>0</v>
      </c>
      <c r="AH20" s="495">
        <v>807056.02670451859</v>
      </c>
      <c r="AI20" s="495">
        <v>600238.14795451867</v>
      </c>
      <c r="AJ20" s="495">
        <v>311016.42700201867</v>
      </c>
      <c r="AK20" s="495">
        <v>0</v>
      </c>
      <c r="AL20" s="495">
        <v>0</v>
      </c>
      <c r="AO20" s="495">
        <v>-6649.2913499999559</v>
      </c>
      <c r="AP20" s="495">
        <v>0</v>
      </c>
      <c r="AQ20" s="495">
        <v>0</v>
      </c>
      <c r="AR20" s="495">
        <v>0</v>
      </c>
      <c r="AS20" s="495">
        <v>0</v>
      </c>
    </row>
    <row r="21" spans="1:45">
      <c r="A21" s="390">
        <v>90117</v>
      </c>
      <c r="B21" s="393">
        <v>90117</v>
      </c>
      <c r="C21" s="499" t="s">
        <v>737</v>
      </c>
      <c r="D21" s="378">
        <v>1.6771478669917465E-4</v>
      </c>
      <c r="F21" s="495">
        <v>150588.30219604718</v>
      </c>
      <c r="G21" s="495">
        <v>259177.25841104717</v>
      </c>
      <c r="H21" s="495">
        <v>60284.911323547189</v>
      </c>
      <c r="I21" s="495">
        <v>-17377.7147</v>
      </c>
      <c r="J21" s="495">
        <v>0</v>
      </c>
      <c r="M21" s="495">
        <v>77073.845489999992</v>
      </c>
      <c r="N21" s="495">
        <v>78405.807159999997</v>
      </c>
      <c r="O21" s="495">
        <v>41290.81177</v>
      </c>
      <c r="P21" s="495">
        <v>0</v>
      </c>
      <c r="Q21" s="495">
        <v>0</v>
      </c>
      <c r="T21" s="495">
        <v>31720.91116</v>
      </c>
      <c r="U21" s="495">
        <v>144152.52852999998</v>
      </c>
      <c r="V21" s="495">
        <v>-4808.0076799999997</v>
      </c>
      <c r="W21" s="495">
        <v>-17377.7147</v>
      </c>
      <c r="X21" s="495">
        <v>0</v>
      </c>
      <c r="AA21" s="495">
        <v>0</v>
      </c>
      <c r="AB21" s="495">
        <v>0</v>
      </c>
      <c r="AC21" s="495">
        <v>0</v>
      </c>
      <c r="AD21" s="495">
        <v>0</v>
      </c>
      <c r="AE21" s="495">
        <v>0</v>
      </c>
      <c r="AH21" s="495">
        <v>43271.165846047188</v>
      </c>
      <c r="AI21" s="495">
        <v>36618.922721047187</v>
      </c>
      <c r="AJ21" s="495">
        <v>23802.107233547194</v>
      </c>
      <c r="AK21" s="495">
        <v>0</v>
      </c>
      <c r="AL21" s="495">
        <v>0</v>
      </c>
      <c r="AO21" s="495">
        <v>-1477.6203000000023</v>
      </c>
      <c r="AP21" s="495">
        <v>0</v>
      </c>
      <c r="AQ21" s="495">
        <v>0</v>
      </c>
      <c r="AR21" s="495">
        <v>0</v>
      </c>
      <c r="AS21" s="495">
        <v>0</v>
      </c>
    </row>
    <row r="22" spans="1:45">
      <c r="A22" s="390">
        <v>90121</v>
      </c>
      <c r="B22" s="393">
        <v>90121</v>
      </c>
      <c r="C22" s="499" t="s">
        <v>738</v>
      </c>
      <c r="D22" s="378">
        <v>1.0429343677825498E-3</v>
      </c>
      <c r="F22" s="495">
        <v>693834.7190542426</v>
      </c>
      <c r="G22" s="495">
        <v>1395938.9241342426</v>
      </c>
      <c r="H22" s="495">
        <v>252219.2844317425</v>
      </c>
      <c r="I22" s="495">
        <v>-108063.29140000002</v>
      </c>
      <c r="J22" s="495">
        <v>0</v>
      </c>
      <c r="M22" s="495">
        <v>479283.58638000005</v>
      </c>
      <c r="N22" s="495">
        <v>487566.38792000007</v>
      </c>
      <c r="O22" s="495">
        <v>256766.84774000003</v>
      </c>
      <c r="P22" s="495">
        <v>0</v>
      </c>
      <c r="Q22" s="495">
        <v>0</v>
      </c>
      <c r="T22" s="495">
        <v>197256.43592000002</v>
      </c>
      <c r="U22" s="495">
        <v>896412.27086000005</v>
      </c>
      <c r="V22" s="495">
        <v>-29898.588160000003</v>
      </c>
      <c r="W22" s="495">
        <v>-108063.29140000002</v>
      </c>
      <c r="X22" s="495">
        <v>0</v>
      </c>
      <c r="AA22" s="495">
        <v>0</v>
      </c>
      <c r="AB22" s="495">
        <v>0</v>
      </c>
      <c r="AC22" s="495">
        <v>0</v>
      </c>
      <c r="AD22" s="495">
        <v>0</v>
      </c>
      <c r="AE22" s="495">
        <v>0</v>
      </c>
      <c r="AH22" s="495">
        <v>41718.5112517425</v>
      </c>
      <c r="AI22" s="495">
        <v>25351.024851742506</v>
      </c>
      <c r="AJ22" s="495">
        <v>25351.024851742506</v>
      </c>
      <c r="AK22" s="495">
        <v>0</v>
      </c>
      <c r="AL22" s="495">
        <v>0</v>
      </c>
      <c r="AO22" s="495">
        <v>-24423.814497499949</v>
      </c>
      <c r="AP22" s="495">
        <v>-13390.759497499927</v>
      </c>
      <c r="AQ22" s="495">
        <v>0</v>
      </c>
      <c r="AR22" s="495">
        <v>0</v>
      </c>
      <c r="AS22" s="495">
        <v>0</v>
      </c>
    </row>
    <row r="23" spans="1:45">
      <c r="A23" s="390">
        <v>90131</v>
      </c>
      <c r="B23" s="393">
        <v>90131</v>
      </c>
      <c r="C23" s="499" t="s">
        <v>739</v>
      </c>
      <c r="D23" s="378">
        <v>5.0831521379522237E-4</v>
      </c>
      <c r="F23" s="495">
        <v>343523.00539855857</v>
      </c>
      <c r="G23" s="495">
        <v>692478.57896355854</v>
      </c>
      <c r="H23" s="495">
        <v>129346.71787355849</v>
      </c>
      <c r="I23" s="495">
        <v>-52668.911199999995</v>
      </c>
      <c r="J23" s="495">
        <v>0</v>
      </c>
      <c r="M23" s="495">
        <v>233597.77703999999</v>
      </c>
      <c r="N23" s="495">
        <v>237634.72735999999</v>
      </c>
      <c r="O23" s="495">
        <v>125145.45991999999</v>
      </c>
      <c r="P23" s="495">
        <v>0</v>
      </c>
      <c r="Q23" s="495">
        <v>0</v>
      </c>
      <c r="T23" s="495">
        <v>96140.711360000001</v>
      </c>
      <c r="U23" s="495">
        <v>436901.90888</v>
      </c>
      <c r="V23" s="495">
        <v>-14572.25728</v>
      </c>
      <c r="W23" s="495">
        <v>-52668.911199999995</v>
      </c>
      <c r="X23" s="495">
        <v>0</v>
      </c>
      <c r="AA23" s="495">
        <v>0</v>
      </c>
      <c r="AB23" s="495">
        <v>0</v>
      </c>
      <c r="AC23" s="495">
        <v>0</v>
      </c>
      <c r="AD23" s="495">
        <v>0</v>
      </c>
      <c r="AE23" s="495">
        <v>0</v>
      </c>
      <c r="AH23" s="495">
        <v>21813.174303558568</v>
      </c>
      <c r="AI23" s="495">
        <v>21813.174303558568</v>
      </c>
      <c r="AJ23" s="495">
        <v>18773.515233558501</v>
      </c>
      <c r="AK23" s="495">
        <v>0</v>
      </c>
      <c r="AL23" s="495">
        <v>0</v>
      </c>
      <c r="AO23" s="495">
        <v>-8028.6573050000152</v>
      </c>
      <c r="AP23" s="495">
        <v>-3871.2315800000069</v>
      </c>
      <c r="AQ23" s="495">
        <v>0</v>
      </c>
      <c r="AR23" s="495">
        <v>0</v>
      </c>
      <c r="AS23" s="495">
        <v>0</v>
      </c>
    </row>
    <row r="24" spans="1:45">
      <c r="A24" s="390">
        <v>90141</v>
      </c>
      <c r="B24" s="393">
        <v>90141</v>
      </c>
      <c r="C24" s="499" t="s">
        <v>740</v>
      </c>
      <c r="D24" s="378">
        <v>1.4200101280102277E-4</v>
      </c>
      <c r="F24" s="495">
        <v>96895.537400530928</v>
      </c>
      <c r="G24" s="495">
        <v>203610.43940553092</v>
      </c>
      <c r="H24" s="495">
        <v>36673.878620530944</v>
      </c>
      <c r="I24" s="495">
        <v>-14713.3874</v>
      </c>
      <c r="J24" s="495">
        <v>0</v>
      </c>
      <c r="M24" s="495">
        <v>65256.989579999994</v>
      </c>
      <c r="N24" s="495">
        <v>66384.736720000001</v>
      </c>
      <c r="O24" s="495">
        <v>34960.161339999999</v>
      </c>
      <c r="P24" s="495">
        <v>0</v>
      </c>
      <c r="Q24" s="495">
        <v>0</v>
      </c>
      <c r="T24" s="495">
        <v>26857.504719999997</v>
      </c>
      <c r="U24" s="495">
        <v>122051.26126</v>
      </c>
      <c r="V24" s="495">
        <v>-4070.8505599999999</v>
      </c>
      <c r="W24" s="495">
        <v>-14713.3874</v>
      </c>
      <c r="X24" s="495">
        <v>0</v>
      </c>
      <c r="AA24" s="495">
        <v>0</v>
      </c>
      <c r="AB24" s="495">
        <v>0</v>
      </c>
      <c r="AC24" s="495">
        <v>0</v>
      </c>
      <c r="AD24" s="495">
        <v>0</v>
      </c>
      <c r="AE24" s="495">
        <v>0</v>
      </c>
      <c r="AH24" s="495">
        <v>16658.837050530929</v>
      </c>
      <c r="AI24" s="495">
        <v>15174.441425530931</v>
      </c>
      <c r="AJ24" s="495">
        <v>5784.5678405309436</v>
      </c>
      <c r="AK24" s="495">
        <v>0</v>
      </c>
      <c r="AL24" s="495">
        <v>0</v>
      </c>
      <c r="AO24" s="495">
        <v>-11877.793949999992</v>
      </c>
      <c r="AP24" s="495">
        <v>0</v>
      </c>
      <c r="AQ24" s="495">
        <v>0</v>
      </c>
      <c r="AR24" s="495">
        <v>0</v>
      </c>
      <c r="AS24" s="495">
        <v>0</v>
      </c>
    </row>
    <row r="25" spans="1:45">
      <c r="A25" s="390">
        <v>90151</v>
      </c>
      <c r="B25" s="393">
        <v>90151</v>
      </c>
      <c r="C25" s="499" t="s">
        <v>741</v>
      </c>
      <c r="D25" s="378">
        <v>7.7010915416832519E-6</v>
      </c>
      <c r="F25" s="495">
        <v>4303.6506987592511</v>
      </c>
      <c r="G25" s="495">
        <v>9952.9963987592528</v>
      </c>
      <c r="H25" s="495">
        <v>1547.9737562592513</v>
      </c>
      <c r="I25" s="495">
        <v>-797.95100000000014</v>
      </c>
      <c r="J25" s="495">
        <v>0</v>
      </c>
      <c r="M25" s="495">
        <v>3539.0817000000002</v>
      </c>
      <c r="N25" s="495">
        <v>3600.2428000000004</v>
      </c>
      <c r="O25" s="495">
        <v>1895.9941000000001</v>
      </c>
      <c r="P25" s="495">
        <v>0</v>
      </c>
      <c r="Q25" s="495">
        <v>0</v>
      </c>
      <c r="T25" s="495">
        <v>1456.5628000000002</v>
      </c>
      <c r="U25" s="495">
        <v>6619.2049000000006</v>
      </c>
      <c r="V25" s="495">
        <v>-220.77440000000001</v>
      </c>
      <c r="W25" s="495">
        <v>-797.95100000000014</v>
      </c>
      <c r="X25" s="495">
        <v>0</v>
      </c>
      <c r="AA25" s="495">
        <v>0</v>
      </c>
      <c r="AB25" s="495">
        <v>0</v>
      </c>
      <c r="AC25" s="495">
        <v>0</v>
      </c>
      <c r="AD25" s="495">
        <v>0</v>
      </c>
      <c r="AE25" s="495">
        <v>0</v>
      </c>
      <c r="AH25" s="495">
        <v>127.27636499999917</v>
      </c>
      <c r="AI25" s="495">
        <v>127.27636499999917</v>
      </c>
      <c r="AJ25" s="495">
        <v>0</v>
      </c>
      <c r="AK25" s="495">
        <v>0</v>
      </c>
      <c r="AL25" s="495">
        <v>0</v>
      </c>
      <c r="AO25" s="495">
        <v>-819.27016624074827</v>
      </c>
      <c r="AP25" s="495">
        <v>-393.72766624074848</v>
      </c>
      <c r="AQ25" s="495">
        <v>-127.24594374074877</v>
      </c>
      <c r="AR25" s="495">
        <v>0</v>
      </c>
      <c r="AS25" s="495">
        <v>0</v>
      </c>
    </row>
    <row r="26" spans="1:45">
      <c r="A26" s="390">
        <v>90161</v>
      </c>
      <c r="B26" s="393">
        <v>90161</v>
      </c>
      <c r="C26" s="499" t="s">
        <v>742</v>
      </c>
      <c r="D26" s="378">
        <v>6.760949810968987E-6</v>
      </c>
      <c r="F26" s="495">
        <v>-6942.5074292711051</v>
      </c>
      <c r="G26" s="495">
        <v>3630.1096807288959</v>
      </c>
      <c r="H26" s="495">
        <v>-4563.8344442711041</v>
      </c>
      <c r="I26" s="495">
        <v>-700.53879999999992</v>
      </c>
      <c r="J26" s="495">
        <v>0</v>
      </c>
      <c r="M26" s="495">
        <v>3107.0379599999997</v>
      </c>
      <c r="N26" s="495">
        <v>3160.7326399999997</v>
      </c>
      <c r="O26" s="495">
        <v>1664.5350799999999</v>
      </c>
      <c r="P26" s="495">
        <v>0</v>
      </c>
      <c r="Q26" s="495">
        <v>0</v>
      </c>
      <c r="T26" s="495">
        <v>1278.74864</v>
      </c>
      <c r="U26" s="495">
        <v>5811.1461199999994</v>
      </c>
      <c r="V26" s="495">
        <v>-193.82272</v>
      </c>
      <c r="W26" s="495">
        <v>-700.53879999999992</v>
      </c>
      <c r="X26" s="495">
        <v>0</v>
      </c>
      <c r="AA26" s="495">
        <v>0</v>
      </c>
      <c r="AB26" s="495">
        <v>0</v>
      </c>
      <c r="AC26" s="495">
        <v>0</v>
      </c>
      <c r="AD26" s="495">
        <v>0</v>
      </c>
      <c r="AE26" s="495">
        <v>0</v>
      </c>
      <c r="AH26" s="495">
        <v>1721.9743500000009</v>
      </c>
      <c r="AI26" s="495">
        <v>1721.9743500000009</v>
      </c>
      <c r="AJ26" s="495">
        <v>0</v>
      </c>
      <c r="AK26" s="495">
        <v>0</v>
      </c>
      <c r="AL26" s="495">
        <v>0</v>
      </c>
      <c r="AO26" s="495">
        <v>-13050.268379271105</v>
      </c>
      <c r="AP26" s="495">
        <v>-7063.7434292711041</v>
      </c>
      <c r="AQ26" s="495">
        <v>-6034.5468042711036</v>
      </c>
      <c r="AR26" s="495">
        <v>0</v>
      </c>
      <c r="AS26" s="495">
        <v>0</v>
      </c>
    </row>
    <row r="27" spans="1:45">
      <c r="A27" s="390">
        <v>90201</v>
      </c>
      <c r="B27" s="393">
        <v>90201</v>
      </c>
      <c r="C27" s="499" t="s">
        <v>743</v>
      </c>
      <c r="D27" s="378">
        <v>2.0795579025303635E-3</v>
      </c>
      <c r="F27" s="495">
        <v>1364993.2236052977</v>
      </c>
      <c r="G27" s="495">
        <v>2847582.8092802982</v>
      </c>
      <c r="H27" s="495">
        <v>382238.8189777974</v>
      </c>
      <c r="I27" s="495">
        <v>-215472.67749999999</v>
      </c>
      <c r="J27" s="495">
        <v>0</v>
      </c>
      <c r="M27" s="495">
        <v>955666.96424999996</v>
      </c>
      <c r="N27" s="495">
        <v>972182.44699999993</v>
      </c>
      <c r="O27" s="495">
        <v>511979.96525000001</v>
      </c>
      <c r="P27" s="495">
        <v>0</v>
      </c>
      <c r="Q27" s="495">
        <v>0</v>
      </c>
      <c r="T27" s="495">
        <v>393319.24699999997</v>
      </c>
      <c r="U27" s="495">
        <v>1787400.2322499999</v>
      </c>
      <c r="V27" s="495">
        <v>-59616.256000000001</v>
      </c>
      <c r="W27" s="495">
        <v>-215472.67749999999</v>
      </c>
      <c r="X27" s="495">
        <v>0</v>
      </c>
      <c r="AA27" s="495">
        <v>0</v>
      </c>
      <c r="AB27" s="495">
        <v>0</v>
      </c>
      <c r="AC27" s="495">
        <v>0</v>
      </c>
      <c r="AD27" s="495">
        <v>0</v>
      </c>
      <c r="AE27" s="495">
        <v>0</v>
      </c>
      <c r="AH27" s="495">
        <v>186814.95284500072</v>
      </c>
      <c r="AI27" s="495">
        <v>184857.68989500072</v>
      </c>
      <c r="AJ27" s="495">
        <v>0</v>
      </c>
      <c r="AK27" s="495">
        <v>0</v>
      </c>
      <c r="AL27" s="495">
        <v>0</v>
      </c>
      <c r="AO27" s="495">
        <v>-170807.9404897028</v>
      </c>
      <c r="AP27" s="495">
        <v>-96857.559864702722</v>
      </c>
      <c r="AQ27" s="495">
        <v>-70124.89027220264</v>
      </c>
      <c r="AR27" s="495">
        <v>0</v>
      </c>
      <c r="AS27" s="495">
        <v>0</v>
      </c>
    </row>
    <row r="28" spans="1:45">
      <c r="A28" s="390">
        <v>90211</v>
      </c>
      <c r="B28" s="393">
        <v>90211</v>
      </c>
      <c r="C28" s="499" t="s">
        <v>747</v>
      </c>
      <c r="D28" s="378">
        <v>1.0733593837196101E-4</v>
      </c>
      <c r="F28" s="495">
        <v>56970.324592252313</v>
      </c>
      <c r="G28" s="495">
        <v>119859.69326225232</v>
      </c>
      <c r="H28" s="495">
        <v>-8076.3917777477072</v>
      </c>
      <c r="I28" s="495">
        <v>-11121.571599999999</v>
      </c>
      <c r="J28" s="495">
        <v>0</v>
      </c>
      <c r="M28" s="495">
        <v>49326.525719999998</v>
      </c>
      <c r="N28" s="495">
        <v>50178.968479999996</v>
      </c>
      <c r="O28" s="495">
        <v>26425.725559999999</v>
      </c>
      <c r="P28" s="495">
        <v>0</v>
      </c>
      <c r="Q28" s="495">
        <v>0</v>
      </c>
      <c r="T28" s="495">
        <v>20301.080480000001</v>
      </c>
      <c r="U28" s="495">
        <v>92256.242839999992</v>
      </c>
      <c r="V28" s="495">
        <v>-3077.0790400000001</v>
      </c>
      <c r="W28" s="495">
        <v>-11121.571599999999</v>
      </c>
      <c r="X28" s="495">
        <v>0</v>
      </c>
      <c r="AA28" s="495">
        <v>0</v>
      </c>
      <c r="AB28" s="495">
        <v>0</v>
      </c>
      <c r="AC28" s="495">
        <v>0</v>
      </c>
      <c r="AD28" s="495">
        <v>0</v>
      </c>
      <c r="AE28" s="495">
        <v>0</v>
      </c>
      <c r="AH28" s="495">
        <v>18767.756690000017</v>
      </c>
      <c r="AI28" s="495">
        <v>8849.5202400000198</v>
      </c>
      <c r="AJ28" s="495">
        <v>0</v>
      </c>
      <c r="AK28" s="495">
        <v>0</v>
      </c>
      <c r="AL28" s="495">
        <v>0</v>
      </c>
      <c r="AO28" s="495">
        <v>-31425.038297747706</v>
      </c>
      <c r="AP28" s="495">
        <v>-31425.038297747706</v>
      </c>
      <c r="AQ28" s="495">
        <v>-31425.038297747706</v>
      </c>
      <c r="AR28" s="495">
        <v>0</v>
      </c>
      <c r="AS28" s="495">
        <v>0</v>
      </c>
    </row>
    <row r="29" spans="1:45">
      <c r="A29" s="390">
        <v>90301</v>
      </c>
      <c r="B29" s="393">
        <v>90301</v>
      </c>
      <c r="C29" s="499" t="s">
        <v>748</v>
      </c>
      <c r="D29" s="378">
        <v>7.1383565568683112E-4</v>
      </c>
      <c r="F29" s="495">
        <v>512164.42239306006</v>
      </c>
      <c r="G29" s="495">
        <v>982472.90319805988</v>
      </c>
      <c r="H29" s="495">
        <v>182943.29378056017</v>
      </c>
      <c r="I29" s="495">
        <v>-73963.839899999992</v>
      </c>
      <c r="J29" s="495">
        <v>0</v>
      </c>
      <c r="M29" s="495">
        <v>328045.29632999998</v>
      </c>
      <c r="N29" s="495">
        <v>333714.45371999999</v>
      </c>
      <c r="O29" s="495">
        <v>175743.87909</v>
      </c>
      <c r="P29" s="495">
        <v>0</v>
      </c>
      <c r="Q29" s="495">
        <v>0</v>
      </c>
      <c r="T29" s="495">
        <v>135012.02171999999</v>
      </c>
      <c r="U29" s="495">
        <v>613548.71600999997</v>
      </c>
      <c r="V29" s="495">
        <v>-20464.066559999999</v>
      </c>
      <c r="W29" s="495">
        <v>-73963.839899999992</v>
      </c>
      <c r="X29" s="495">
        <v>0</v>
      </c>
      <c r="AA29" s="495">
        <v>0</v>
      </c>
      <c r="AB29" s="495">
        <v>0</v>
      </c>
      <c r="AC29" s="495">
        <v>0</v>
      </c>
      <c r="AD29" s="495">
        <v>0</v>
      </c>
      <c r="AE29" s="495">
        <v>0</v>
      </c>
      <c r="AH29" s="495">
        <v>53517.343590560078</v>
      </c>
      <c r="AI29" s="495">
        <v>39619.972715560027</v>
      </c>
      <c r="AJ29" s="495">
        <v>27663.481250560173</v>
      </c>
      <c r="AK29" s="495">
        <v>0</v>
      </c>
      <c r="AL29" s="495">
        <v>0</v>
      </c>
      <c r="AO29" s="495">
        <v>-4410.2392475000233</v>
      </c>
      <c r="AP29" s="495">
        <v>-4410.2392475000233</v>
      </c>
      <c r="AQ29" s="495">
        <v>0</v>
      </c>
      <c r="AR29" s="495">
        <v>0</v>
      </c>
      <c r="AS29" s="495">
        <v>0</v>
      </c>
    </row>
    <row r="30" spans="1:45">
      <c r="A30" s="390">
        <v>90305</v>
      </c>
      <c r="B30" s="393">
        <v>90305</v>
      </c>
      <c r="C30" s="499" t="s">
        <v>749</v>
      </c>
      <c r="D30" s="378">
        <v>1.238183127037622E-4</v>
      </c>
      <c r="F30" s="495">
        <v>71999.895774369492</v>
      </c>
      <c r="G30" s="495">
        <v>146922.3888743695</v>
      </c>
      <c r="H30" s="495">
        <v>17595.485386869481</v>
      </c>
      <c r="I30" s="495">
        <v>-12829.394</v>
      </c>
      <c r="J30" s="495">
        <v>0</v>
      </c>
      <c r="M30" s="495">
        <v>56901.0798</v>
      </c>
      <c r="N30" s="495">
        <v>57884.423199999997</v>
      </c>
      <c r="O30" s="495">
        <v>30483.645400000001</v>
      </c>
      <c r="P30" s="495">
        <v>0</v>
      </c>
      <c r="Q30" s="495">
        <v>0</v>
      </c>
      <c r="T30" s="495">
        <v>23418.503199999999</v>
      </c>
      <c r="U30" s="495">
        <v>106423.0606</v>
      </c>
      <c r="V30" s="495">
        <v>-3549.5936000000002</v>
      </c>
      <c r="W30" s="495">
        <v>-12829.394</v>
      </c>
      <c r="X30" s="495">
        <v>0</v>
      </c>
      <c r="AA30" s="495">
        <v>0</v>
      </c>
      <c r="AB30" s="495">
        <v>0</v>
      </c>
      <c r="AC30" s="495">
        <v>0</v>
      </c>
      <c r="AD30" s="495">
        <v>0</v>
      </c>
      <c r="AE30" s="495">
        <v>0</v>
      </c>
      <c r="AH30" s="495">
        <v>12586.054712499994</v>
      </c>
      <c r="AI30" s="495">
        <v>3520.6470124999978</v>
      </c>
      <c r="AJ30" s="495">
        <v>0</v>
      </c>
      <c r="AK30" s="495">
        <v>0</v>
      </c>
      <c r="AL30" s="495">
        <v>0</v>
      </c>
      <c r="AO30" s="495">
        <v>-20905.741938130504</v>
      </c>
      <c r="AP30" s="495">
        <v>-20905.741938130504</v>
      </c>
      <c r="AQ30" s="495">
        <v>-9338.5664131305202</v>
      </c>
      <c r="AR30" s="495">
        <v>0</v>
      </c>
      <c r="AS30" s="495">
        <v>0</v>
      </c>
    </row>
    <row r="31" spans="1:45">
      <c r="A31" s="390">
        <v>90307</v>
      </c>
      <c r="B31" s="393">
        <v>90307</v>
      </c>
      <c r="C31" s="499" t="s">
        <v>750</v>
      </c>
      <c r="D31" s="378">
        <v>4.54063086795657E-6</v>
      </c>
      <c r="F31" s="495">
        <v>5961.981418359348</v>
      </c>
      <c r="G31" s="495">
        <v>9956.6419333593494</v>
      </c>
      <c r="H31" s="495">
        <v>-6838.6371991406513</v>
      </c>
      <c r="I31" s="495">
        <v>-470.48019999999997</v>
      </c>
      <c r="J31" s="495">
        <v>0</v>
      </c>
      <c r="M31" s="495">
        <v>2086.6793399999997</v>
      </c>
      <c r="N31" s="495">
        <v>2122.7405599999997</v>
      </c>
      <c r="O31" s="495">
        <v>1117.8978199999999</v>
      </c>
      <c r="P31" s="495">
        <v>0</v>
      </c>
      <c r="Q31" s="495">
        <v>0</v>
      </c>
      <c r="T31" s="495">
        <v>858.80455999999992</v>
      </c>
      <c r="U31" s="495">
        <v>3902.7519799999995</v>
      </c>
      <c r="V31" s="495">
        <v>-130.17087999999998</v>
      </c>
      <c r="W31" s="495">
        <v>-470.48019999999997</v>
      </c>
      <c r="X31" s="495">
        <v>0</v>
      </c>
      <c r="AA31" s="495">
        <v>0</v>
      </c>
      <c r="AB31" s="495">
        <v>0</v>
      </c>
      <c r="AC31" s="495">
        <v>0</v>
      </c>
      <c r="AD31" s="495">
        <v>0</v>
      </c>
      <c r="AE31" s="495">
        <v>0</v>
      </c>
      <c r="AH31" s="495">
        <v>12263.650407499999</v>
      </c>
      <c r="AI31" s="495">
        <v>11757.513532499999</v>
      </c>
      <c r="AJ31" s="495">
        <v>0</v>
      </c>
      <c r="AK31" s="495">
        <v>0</v>
      </c>
      <c r="AL31" s="495">
        <v>0</v>
      </c>
      <c r="AO31" s="495">
        <v>-9247.1528891406506</v>
      </c>
      <c r="AP31" s="495">
        <v>-7826.3641391406509</v>
      </c>
      <c r="AQ31" s="495">
        <v>-7826.3641391406509</v>
      </c>
      <c r="AR31" s="495">
        <v>0</v>
      </c>
      <c r="AS31" s="495">
        <v>0</v>
      </c>
    </row>
    <row r="32" spans="1:45">
      <c r="A32" s="390">
        <v>90401</v>
      </c>
      <c r="B32" s="393">
        <v>90401</v>
      </c>
      <c r="C32" s="499" t="s">
        <v>751</v>
      </c>
      <c r="D32" s="378">
        <v>1.4132892347350475E-3</v>
      </c>
      <c r="F32" s="495">
        <v>947266.45391502848</v>
      </c>
      <c r="G32" s="495">
        <v>1910010.8603200286</v>
      </c>
      <c r="H32" s="495">
        <v>326283.68855002848</v>
      </c>
      <c r="I32" s="495">
        <v>-146437.4804</v>
      </c>
      <c r="J32" s="495">
        <v>0</v>
      </c>
      <c r="M32" s="495">
        <v>649481.24268000002</v>
      </c>
      <c r="N32" s="495">
        <v>660705.33711999992</v>
      </c>
      <c r="O32" s="495">
        <v>347946.92764000001</v>
      </c>
      <c r="P32" s="495">
        <v>0</v>
      </c>
      <c r="Q32" s="495">
        <v>0</v>
      </c>
      <c r="T32" s="495">
        <v>267303.86511999997</v>
      </c>
      <c r="U32" s="495">
        <v>1214735.8519599999</v>
      </c>
      <c r="V32" s="495">
        <v>-40515.829760000001</v>
      </c>
      <c r="W32" s="495">
        <v>-146437.4804</v>
      </c>
      <c r="X32" s="495">
        <v>0</v>
      </c>
      <c r="AA32" s="495">
        <v>0</v>
      </c>
      <c r="AB32" s="495">
        <v>0</v>
      </c>
      <c r="AC32" s="495">
        <v>0</v>
      </c>
      <c r="AD32" s="495">
        <v>0</v>
      </c>
      <c r="AE32" s="495">
        <v>0</v>
      </c>
      <c r="AH32" s="495">
        <v>37878.856730028463</v>
      </c>
      <c r="AI32" s="495">
        <v>37878.856730028463</v>
      </c>
      <c r="AJ32" s="495">
        <v>18852.590670028465</v>
      </c>
      <c r="AK32" s="495">
        <v>0</v>
      </c>
      <c r="AL32" s="495">
        <v>0</v>
      </c>
      <c r="AO32" s="495">
        <v>-7397.5106149999665</v>
      </c>
      <c r="AP32" s="495">
        <v>-3309.1854899999344</v>
      </c>
      <c r="AQ32" s="495">
        <v>0</v>
      </c>
      <c r="AR32" s="495">
        <v>0</v>
      </c>
      <c r="AS32" s="495">
        <v>0</v>
      </c>
    </row>
    <row r="33" spans="1:45">
      <c r="A33" s="390">
        <v>90411</v>
      </c>
      <c r="B33" s="393">
        <v>90411</v>
      </c>
      <c r="C33" s="499" t="s">
        <v>752</v>
      </c>
      <c r="D33" s="378">
        <v>3.3558965118396408E-4</v>
      </c>
      <c r="F33" s="495">
        <v>207283.5344013868</v>
      </c>
      <c r="G33" s="495">
        <v>436934.47776638682</v>
      </c>
      <c r="H33" s="495">
        <v>73194.311208886778</v>
      </c>
      <c r="I33" s="495">
        <v>-34772.010199999997</v>
      </c>
      <c r="J33" s="495">
        <v>0</v>
      </c>
      <c r="M33" s="495">
        <v>154221.23034000001</v>
      </c>
      <c r="N33" s="495">
        <v>156886.42456000001</v>
      </c>
      <c r="O33" s="495">
        <v>82621.020820000005</v>
      </c>
      <c r="P33" s="495">
        <v>0</v>
      </c>
      <c r="Q33" s="495">
        <v>0</v>
      </c>
      <c r="T33" s="495">
        <v>63472.088560000004</v>
      </c>
      <c r="U33" s="495">
        <v>288442.59898000001</v>
      </c>
      <c r="V33" s="495">
        <v>-9620.6028800000004</v>
      </c>
      <c r="W33" s="495">
        <v>-34772.010199999997</v>
      </c>
      <c r="X33" s="495">
        <v>0</v>
      </c>
      <c r="AA33" s="495">
        <v>0</v>
      </c>
      <c r="AB33" s="495">
        <v>0</v>
      </c>
      <c r="AC33" s="495">
        <v>0</v>
      </c>
      <c r="AD33" s="495">
        <v>0</v>
      </c>
      <c r="AE33" s="495">
        <v>0</v>
      </c>
      <c r="AH33" s="495">
        <v>193.89326888678079</v>
      </c>
      <c r="AI33" s="495">
        <v>193.89326888678079</v>
      </c>
      <c r="AJ33" s="495">
        <v>193.89326888678079</v>
      </c>
      <c r="AK33" s="495">
        <v>0</v>
      </c>
      <c r="AL33" s="495">
        <v>0</v>
      </c>
      <c r="AO33" s="495">
        <v>-10603.677767499987</v>
      </c>
      <c r="AP33" s="495">
        <v>-8588.4390425000129</v>
      </c>
      <c r="AQ33" s="495">
        <v>0</v>
      </c>
      <c r="AR33" s="495">
        <v>0</v>
      </c>
      <c r="AS33" s="495">
        <v>0</v>
      </c>
    </row>
    <row r="34" spans="1:45">
      <c r="A34" s="390">
        <v>90413</v>
      </c>
      <c r="B34" s="393">
        <v>90413</v>
      </c>
      <c r="C34" s="499" t="s">
        <v>753</v>
      </c>
      <c r="D34" s="378">
        <v>2.6834021682375243E-5</v>
      </c>
      <c r="F34" s="495">
        <v>18378.657473063067</v>
      </c>
      <c r="G34" s="495">
        <v>39174.519103063074</v>
      </c>
      <c r="H34" s="495">
        <v>9459.4559155630704</v>
      </c>
      <c r="I34" s="495">
        <v>-2780.3928999999998</v>
      </c>
      <c r="J34" s="495">
        <v>0</v>
      </c>
      <c r="M34" s="495">
        <v>12331.631429999999</v>
      </c>
      <c r="N34" s="495">
        <v>12544.742119999999</v>
      </c>
      <c r="O34" s="495">
        <v>6606.4313899999997</v>
      </c>
      <c r="P34" s="495">
        <v>0</v>
      </c>
      <c r="Q34" s="495">
        <v>0</v>
      </c>
      <c r="T34" s="495">
        <v>5075.2701200000001</v>
      </c>
      <c r="U34" s="495">
        <v>23064.060709999998</v>
      </c>
      <c r="V34" s="495">
        <v>-769.26976000000002</v>
      </c>
      <c r="W34" s="495">
        <v>-2780.3928999999998</v>
      </c>
      <c r="X34" s="495">
        <v>0</v>
      </c>
      <c r="AA34" s="495">
        <v>0</v>
      </c>
      <c r="AB34" s="495">
        <v>0</v>
      </c>
      <c r="AC34" s="495">
        <v>0</v>
      </c>
      <c r="AD34" s="495">
        <v>0</v>
      </c>
      <c r="AE34" s="495">
        <v>0</v>
      </c>
      <c r="AH34" s="495">
        <v>6748.1676480630713</v>
      </c>
      <c r="AI34" s="495">
        <v>5250.2563980630703</v>
      </c>
      <c r="AJ34" s="495">
        <v>3622.2942855630699</v>
      </c>
      <c r="AK34" s="495">
        <v>0</v>
      </c>
      <c r="AL34" s="495">
        <v>0</v>
      </c>
      <c r="AO34" s="495">
        <v>-5776.4117249999999</v>
      </c>
      <c r="AP34" s="495">
        <v>-1684.5401249999977</v>
      </c>
      <c r="AQ34" s="495">
        <v>0</v>
      </c>
      <c r="AR34" s="495">
        <v>0</v>
      </c>
      <c r="AS34" s="495">
        <v>0</v>
      </c>
    </row>
    <row r="35" spans="1:45">
      <c r="A35" s="390">
        <v>90417</v>
      </c>
      <c r="B35" s="393">
        <v>90417</v>
      </c>
      <c r="C35" s="499" t="s">
        <v>754</v>
      </c>
      <c r="D35" s="378">
        <v>1.8362657793229711E-5</v>
      </c>
      <c r="F35" s="495">
        <v>24805.115313177899</v>
      </c>
      <c r="G35" s="495">
        <v>36304.054773177901</v>
      </c>
      <c r="H35" s="495">
        <v>14343.1242656779</v>
      </c>
      <c r="I35" s="495">
        <v>-1902.6468</v>
      </c>
      <c r="J35" s="495">
        <v>0</v>
      </c>
      <c r="M35" s="495">
        <v>8438.64156</v>
      </c>
      <c r="N35" s="495">
        <v>8584.4750399999994</v>
      </c>
      <c r="O35" s="495">
        <v>4520.83788</v>
      </c>
      <c r="P35" s="495">
        <v>0</v>
      </c>
      <c r="Q35" s="495">
        <v>0</v>
      </c>
      <c r="T35" s="495">
        <v>3473.0510400000003</v>
      </c>
      <c r="U35" s="495">
        <v>15782.935320000001</v>
      </c>
      <c r="V35" s="495">
        <v>-526.41791999999998</v>
      </c>
      <c r="W35" s="495">
        <v>-1902.6468</v>
      </c>
      <c r="X35" s="495">
        <v>0</v>
      </c>
      <c r="AA35" s="495">
        <v>0</v>
      </c>
      <c r="AB35" s="495">
        <v>0</v>
      </c>
      <c r="AC35" s="495">
        <v>0</v>
      </c>
      <c r="AD35" s="495">
        <v>0</v>
      </c>
      <c r="AE35" s="495">
        <v>0</v>
      </c>
      <c r="AH35" s="495">
        <v>14265.551478177898</v>
      </c>
      <c r="AI35" s="495">
        <v>12513.131478177898</v>
      </c>
      <c r="AJ35" s="495">
        <v>10348.704305677898</v>
      </c>
      <c r="AK35" s="495">
        <v>0</v>
      </c>
      <c r="AL35" s="495">
        <v>0</v>
      </c>
      <c r="AO35" s="495">
        <v>-1372.1287650000015</v>
      </c>
      <c r="AP35" s="495">
        <v>-576.48706500000139</v>
      </c>
      <c r="AQ35" s="495">
        <v>0</v>
      </c>
      <c r="AR35" s="495">
        <v>0</v>
      </c>
      <c r="AS35" s="495">
        <v>0</v>
      </c>
    </row>
    <row r="36" spans="1:45">
      <c r="A36" s="390">
        <v>90421</v>
      </c>
      <c r="B36" s="393">
        <v>90421</v>
      </c>
      <c r="C36" s="499" t="s">
        <v>755</v>
      </c>
      <c r="D36" s="378">
        <v>1.2591846203940857E-5</v>
      </c>
      <c r="F36" s="495">
        <v>-737.23120396053127</v>
      </c>
      <c r="G36" s="495">
        <v>10231.124736039474</v>
      </c>
      <c r="H36" s="495">
        <v>1907.979656039473</v>
      </c>
      <c r="I36" s="495">
        <v>-1304.7017000000001</v>
      </c>
      <c r="J36" s="495">
        <v>0</v>
      </c>
      <c r="M36" s="495">
        <v>5786.6283899999999</v>
      </c>
      <c r="N36" s="495">
        <v>5886.63076</v>
      </c>
      <c r="O36" s="495">
        <v>3100.0734699999998</v>
      </c>
      <c r="P36" s="495">
        <v>0</v>
      </c>
      <c r="Q36" s="495">
        <v>0</v>
      </c>
      <c r="T36" s="495">
        <v>2381.57476</v>
      </c>
      <c r="U36" s="495">
        <v>10822.829830000001</v>
      </c>
      <c r="V36" s="495">
        <v>-360.98048</v>
      </c>
      <c r="W36" s="495">
        <v>-1304.7017000000001</v>
      </c>
      <c r="X36" s="495">
        <v>0</v>
      </c>
      <c r="AA36" s="495">
        <v>0</v>
      </c>
      <c r="AB36" s="495">
        <v>0</v>
      </c>
      <c r="AC36" s="495">
        <v>0</v>
      </c>
      <c r="AD36" s="495">
        <v>0</v>
      </c>
      <c r="AE36" s="495">
        <v>0</v>
      </c>
      <c r="AH36" s="495">
        <v>382.73259000000007</v>
      </c>
      <c r="AI36" s="495">
        <v>252.41134000000011</v>
      </c>
      <c r="AJ36" s="495">
        <v>0</v>
      </c>
      <c r="AK36" s="495">
        <v>0</v>
      </c>
      <c r="AL36" s="495">
        <v>0</v>
      </c>
      <c r="AO36" s="495">
        <v>-9288.1669439605303</v>
      </c>
      <c r="AP36" s="495">
        <v>-6730.7471939605284</v>
      </c>
      <c r="AQ36" s="495">
        <v>-831.11333396052669</v>
      </c>
      <c r="AR36" s="495">
        <v>0</v>
      </c>
      <c r="AS36" s="495">
        <v>0</v>
      </c>
    </row>
    <row r="37" spans="1:45">
      <c r="A37" s="390">
        <v>90431</v>
      </c>
      <c r="B37" s="393">
        <v>90431</v>
      </c>
      <c r="C37" s="499" t="s">
        <v>756</v>
      </c>
      <c r="D37" s="378">
        <v>2.7333986592033924E-5</v>
      </c>
      <c r="F37" s="495">
        <v>19445.820241164314</v>
      </c>
      <c r="G37" s="495">
        <v>41624.340171164316</v>
      </c>
      <c r="H37" s="495">
        <v>14092.847231164315</v>
      </c>
      <c r="I37" s="495">
        <v>-2832.2078999999999</v>
      </c>
      <c r="J37" s="495">
        <v>0</v>
      </c>
      <c r="M37" s="495">
        <v>12561.441930000001</v>
      </c>
      <c r="N37" s="495">
        <v>12778.52412</v>
      </c>
      <c r="O37" s="495">
        <v>6729.5478899999998</v>
      </c>
      <c r="P37" s="495">
        <v>0</v>
      </c>
      <c r="Q37" s="495">
        <v>0</v>
      </c>
      <c r="T37" s="495">
        <v>5169.8521200000005</v>
      </c>
      <c r="U37" s="495">
        <v>23493.879209999999</v>
      </c>
      <c r="V37" s="495">
        <v>-783.60576000000003</v>
      </c>
      <c r="W37" s="495">
        <v>-2832.2078999999999</v>
      </c>
      <c r="X37" s="495">
        <v>0</v>
      </c>
      <c r="AA37" s="495">
        <v>0</v>
      </c>
      <c r="AB37" s="495">
        <v>0</v>
      </c>
      <c r="AC37" s="495">
        <v>0</v>
      </c>
      <c r="AD37" s="495">
        <v>0</v>
      </c>
      <c r="AE37" s="495">
        <v>0</v>
      </c>
      <c r="AH37" s="495">
        <v>12704.493871164315</v>
      </c>
      <c r="AI37" s="495">
        <v>10772.412621164316</v>
      </c>
      <c r="AJ37" s="495">
        <v>8146.9051011643151</v>
      </c>
      <c r="AK37" s="495">
        <v>0</v>
      </c>
      <c r="AL37" s="495">
        <v>0</v>
      </c>
      <c r="AO37" s="495">
        <v>-10989.96768</v>
      </c>
      <c r="AP37" s="495">
        <v>-5420.4757799999988</v>
      </c>
      <c r="AQ37" s="495">
        <v>0</v>
      </c>
      <c r="AR37" s="495">
        <v>0</v>
      </c>
      <c r="AS37" s="495">
        <v>0</v>
      </c>
    </row>
    <row r="38" spans="1:45">
      <c r="A38" s="390">
        <v>90441</v>
      </c>
      <c r="B38" s="393">
        <v>90441</v>
      </c>
      <c r="C38" s="499" t="s">
        <v>757</v>
      </c>
      <c r="D38" s="378">
        <v>9.2514278342450416E-6</v>
      </c>
      <c r="F38" s="495">
        <v>8739.6602786231215</v>
      </c>
      <c r="G38" s="495">
        <v>11866.056428623122</v>
      </c>
      <c r="H38" s="495">
        <v>1618.6305886231216</v>
      </c>
      <c r="I38" s="495">
        <v>-958.57749999999999</v>
      </c>
      <c r="J38" s="495">
        <v>0</v>
      </c>
      <c r="M38" s="495">
        <v>4251.4942499999997</v>
      </c>
      <c r="N38" s="495">
        <v>4324.9669999999996</v>
      </c>
      <c r="O38" s="495">
        <v>2277.6552499999998</v>
      </c>
      <c r="P38" s="495">
        <v>0</v>
      </c>
      <c r="Q38" s="495">
        <v>0</v>
      </c>
      <c r="T38" s="495">
        <v>1749.7669999999998</v>
      </c>
      <c r="U38" s="495">
        <v>7951.6422499999999</v>
      </c>
      <c r="V38" s="495">
        <v>-265.21600000000001</v>
      </c>
      <c r="W38" s="495">
        <v>-958.57749999999999</v>
      </c>
      <c r="X38" s="495">
        <v>0</v>
      </c>
      <c r="AA38" s="495">
        <v>0</v>
      </c>
      <c r="AB38" s="495">
        <v>0</v>
      </c>
      <c r="AC38" s="495">
        <v>0</v>
      </c>
      <c r="AD38" s="495">
        <v>0</v>
      </c>
      <c r="AE38" s="495">
        <v>0</v>
      </c>
      <c r="AH38" s="495">
        <v>3761.1026699999998</v>
      </c>
      <c r="AI38" s="495">
        <v>612.15081999999984</v>
      </c>
      <c r="AJ38" s="495">
        <v>0</v>
      </c>
      <c r="AK38" s="495">
        <v>0</v>
      </c>
      <c r="AL38" s="495">
        <v>0</v>
      </c>
      <c r="AO38" s="495">
        <v>-1022.7036413768782</v>
      </c>
      <c r="AP38" s="495">
        <v>-1022.7036413768782</v>
      </c>
      <c r="AQ38" s="495">
        <v>-393.80866137687815</v>
      </c>
      <c r="AR38" s="495">
        <v>0</v>
      </c>
      <c r="AS38" s="495">
        <v>0</v>
      </c>
    </row>
    <row r="39" spans="1:45">
      <c r="A39" s="390">
        <v>90451</v>
      </c>
      <c r="B39" s="393">
        <v>90451</v>
      </c>
      <c r="C39" s="499" t="s">
        <v>758</v>
      </c>
      <c r="D39" s="378">
        <v>2.1123146539229448E-5</v>
      </c>
      <c r="F39" s="495">
        <v>17484.369639096803</v>
      </c>
      <c r="G39" s="495">
        <v>25273.9083590968</v>
      </c>
      <c r="H39" s="495">
        <v>4847.1218365968016</v>
      </c>
      <c r="I39" s="495">
        <v>-2188.6656000000003</v>
      </c>
      <c r="J39" s="495">
        <v>0</v>
      </c>
      <c r="M39" s="495">
        <v>9707.1955200000011</v>
      </c>
      <c r="N39" s="495">
        <v>9874.9516800000001</v>
      </c>
      <c r="O39" s="495">
        <v>5200.4409599999999</v>
      </c>
      <c r="P39" s="495">
        <v>0</v>
      </c>
      <c r="Q39" s="495">
        <v>0</v>
      </c>
      <c r="T39" s="495">
        <v>3995.1436800000001</v>
      </c>
      <c r="U39" s="495">
        <v>18155.533439999999</v>
      </c>
      <c r="V39" s="495">
        <v>-605.55264</v>
      </c>
      <c r="W39" s="495">
        <v>-2188.6656000000003</v>
      </c>
      <c r="X39" s="495">
        <v>0</v>
      </c>
      <c r="AA39" s="495">
        <v>0</v>
      </c>
      <c r="AB39" s="495">
        <v>0</v>
      </c>
      <c r="AC39" s="495">
        <v>0</v>
      </c>
      <c r="AD39" s="495">
        <v>0</v>
      </c>
      <c r="AE39" s="495">
        <v>0</v>
      </c>
      <c r="AH39" s="495">
        <v>7299.345716596803</v>
      </c>
      <c r="AI39" s="495">
        <v>252.23351659680179</v>
      </c>
      <c r="AJ39" s="495">
        <v>252.23351659680179</v>
      </c>
      <c r="AK39" s="495">
        <v>0</v>
      </c>
      <c r="AL39" s="495">
        <v>0</v>
      </c>
      <c r="AO39" s="495">
        <v>-3517.3152775000017</v>
      </c>
      <c r="AP39" s="495">
        <v>-3008.8102775000007</v>
      </c>
      <c r="AQ39" s="495">
        <v>0</v>
      </c>
      <c r="AR39" s="495">
        <v>0</v>
      </c>
      <c r="AS39" s="495">
        <v>0</v>
      </c>
    </row>
    <row r="40" spans="1:45">
      <c r="A40" s="390">
        <v>90461</v>
      </c>
      <c r="B40" s="393">
        <v>90461</v>
      </c>
      <c r="C40" s="499" t="s">
        <v>759</v>
      </c>
      <c r="D40" s="378">
        <v>7.1009852925528744E-6</v>
      </c>
      <c r="F40" s="495">
        <v>6833.7808295377481</v>
      </c>
      <c r="G40" s="495">
        <v>18129.33112953775</v>
      </c>
      <c r="H40" s="495">
        <v>8244.8571295377478</v>
      </c>
      <c r="I40" s="495">
        <v>-735.77300000000002</v>
      </c>
      <c r="J40" s="495">
        <v>0</v>
      </c>
      <c r="M40" s="495">
        <v>3263.3090999999999</v>
      </c>
      <c r="N40" s="495">
        <v>3319.7044000000001</v>
      </c>
      <c r="O40" s="495">
        <v>1748.2543000000001</v>
      </c>
      <c r="P40" s="495">
        <v>0</v>
      </c>
      <c r="Q40" s="495">
        <v>0</v>
      </c>
      <c r="T40" s="495">
        <v>1343.0644</v>
      </c>
      <c r="U40" s="495">
        <v>6103.4227000000001</v>
      </c>
      <c r="V40" s="495">
        <v>-203.5712</v>
      </c>
      <c r="W40" s="495">
        <v>-735.77300000000002</v>
      </c>
      <c r="X40" s="495">
        <v>0</v>
      </c>
      <c r="AA40" s="495">
        <v>0</v>
      </c>
      <c r="AB40" s="495">
        <v>0</v>
      </c>
      <c r="AC40" s="495">
        <v>0</v>
      </c>
      <c r="AD40" s="495">
        <v>0</v>
      </c>
      <c r="AE40" s="495">
        <v>0</v>
      </c>
      <c r="AH40" s="495">
        <v>8706.2040295377483</v>
      </c>
      <c r="AI40" s="495">
        <v>8706.2040295377483</v>
      </c>
      <c r="AJ40" s="495">
        <v>6700.1740295377476</v>
      </c>
      <c r="AK40" s="495">
        <v>0</v>
      </c>
      <c r="AL40" s="495">
        <v>0</v>
      </c>
      <c r="AO40" s="495">
        <v>-6478.7966999999999</v>
      </c>
      <c r="AP40" s="495">
        <v>0</v>
      </c>
      <c r="AQ40" s="495">
        <v>0</v>
      </c>
      <c r="AR40" s="495">
        <v>0</v>
      </c>
      <c r="AS40" s="495">
        <v>0</v>
      </c>
    </row>
    <row r="41" spans="1:45">
      <c r="A41" s="390">
        <v>90501</v>
      </c>
      <c r="B41" s="393">
        <v>90501</v>
      </c>
      <c r="C41" s="499" t="s">
        <v>760</v>
      </c>
      <c r="D41" s="378">
        <v>1.3168749333821793E-3</v>
      </c>
      <c r="F41" s="495">
        <v>685474.35057260678</v>
      </c>
      <c r="G41" s="495">
        <v>1554401.8323526073</v>
      </c>
      <c r="H41" s="495">
        <v>217198.2921901074</v>
      </c>
      <c r="I41" s="495">
        <v>-136447.5484</v>
      </c>
      <c r="J41" s="495">
        <v>0</v>
      </c>
      <c r="M41" s="495">
        <v>605173.77827999997</v>
      </c>
      <c r="N41" s="495">
        <v>615632.16752000002</v>
      </c>
      <c r="O41" s="495">
        <v>324210.06643999997</v>
      </c>
      <c r="P41" s="495">
        <v>0</v>
      </c>
      <c r="Q41" s="495">
        <v>0</v>
      </c>
      <c r="T41" s="495">
        <v>249068.45551999999</v>
      </c>
      <c r="U41" s="495">
        <v>1131866.84516</v>
      </c>
      <c r="V41" s="495">
        <v>-37751.848959999996</v>
      </c>
      <c r="W41" s="495">
        <v>-136447.5484</v>
      </c>
      <c r="X41" s="495">
        <v>0</v>
      </c>
      <c r="AA41" s="495">
        <v>0</v>
      </c>
      <c r="AB41" s="495">
        <v>0</v>
      </c>
      <c r="AC41" s="495">
        <v>0</v>
      </c>
      <c r="AD41" s="495">
        <v>0</v>
      </c>
      <c r="AE41" s="495">
        <v>0</v>
      </c>
      <c r="AH41" s="495">
        <v>30234.384599999874</v>
      </c>
      <c r="AI41" s="495">
        <v>0</v>
      </c>
      <c r="AJ41" s="495">
        <v>0</v>
      </c>
      <c r="AK41" s="495">
        <v>0</v>
      </c>
      <c r="AL41" s="495">
        <v>0</v>
      </c>
      <c r="AO41" s="495">
        <v>-199002.26782739296</v>
      </c>
      <c r="AP41" s="495">
        <v>-193097.18032739288</v>
      </c>
      <c r="AQ41" s="495">
        <v>-69259.925289892577</v>
      </c>
      <c r="AR41" s="495">
        <v>0</v>
      </c>
      <c r="AS41" s="495">
        <v>0</v>
      </c>
    </row>
    <row r="42" spans="1:45">
      <c r="A42" s="390">
        <v>90507</v>
      </c>
      <c r="B42" s="393">
        <v>90507</v>
      </c>
      <c r="C42" s="499" t="s">
        <v>34</v>
      </c>
      <c r="D42" s="378">
        <v>1.9502933845347409E-5</v>
      </c>
      <c r="F42" s="495">
        <v>20204.892668448749</v>
      </c>
      <c r="G42" s="495">
        <v>28375.033493448747</v>
      </c>
      <c r="H42" s="495">
        <v>7096.7982484487438</v>
      </c>
      <c r="I42" s="495">
        <v>-2020.7849999999999</v>
      </c>
      <c r="J42" s="495">
        <v>0</v>
      </c>
      <c r="M42" s="495">
        <v>8962.6095000000005</v>
      </c>
      <c r="N42" s="495">
        <v>9117.4979999999996</v>
      </c>
      <c r="O42" s="495">
        <v>4801.5434999999998</v>
      </c>
      <c r="P42" s="495">
        <v>0</v>
      </c>
      <c r="Q42" s="495">
        <v>0</v>
      </c>
      <c r="T42" s="495">
        <v>3688.6979999999999</v>
      </c>
      <c r="U42" s="495">
        <v>16762.9215</v>
      </c>
      <c r="V42" s="495">
        <v>-559.10400000000004</v>
      </c>
      <c r="W42" s="495">
        <v>-2020.7849999999999</v>
      </c>
      <c r="X42" s="495">
        <v>0</v>
      </c>
      <c r="AA42" s="495">
        <v>0</v>
      </c>
      <c r="AB42" s="495">
        <v>0</v>
      </c>
      <c r="AC42" s="495">
        <v>0</v>
      </c>
      <c r="AD42" s="495">
        <v>0</v>
      </c>
      <c r="AE42" s="495">
        <v>0</v>
      </c>
      <c r="AH42" s="495">
        <v>9739.7439084487469</v>
      </c>
      <c r="AI42" s="495">
        <v>4680.7727334487454</v>
      </c>
      <c r="AJ42" s="495">
        <v>2854.3587484487443</v>
      </c>
      <c r="AK42" s="495">
        <v>0</v>
      </c>
      <c r="AL42" s="495">
        <v>0</v>
      </c>
      <c r="AO42" s="495">
        <v>-2186.158739999998</v>
      </c>
      <c r="AP42" s="495">
        <v>-2186.158739999998</v>
      </c>
      <c r="AQ42" s="495">
        <v>0</v>
      </c>
      <c r="AR42" s="495">
        <v>0</v>
      </c>
      <c r="AS42" s="495">
        <v>0</v>
      </c>
    </row>
    <row r="43" spans="1:45">
      <c r="A43" s="390">
        <v>90511</v>
      </c>
      <c r="B43" s="393">
        <v>90511</v>
      </c>
      <c r="C43" s="499" t="s">
        <v>761</v>
      </c>
      <c r="D43" s="378">
        <v>1.1348684197862243E-4</v>
      </c>
      <c r="F43" s="495">
        <v>71204.033273647656</v>
      </c>
      <c r="G43" s="495">
        <v>137318.71829364763</v>
      </c>
      <c r="H43" s="495">
        <v>17849.285246147658</v>
      </c>
      <c r="I43" s="495">
        <v>-11758.8961</v>
      </c>
      <c r="J43" s="495">
        <v>0</v>
      </c>
      <c r="M43" s="495">
        <v>52153.194869999999</v>
      </c>
      <c r="N43" s="495">
        <v>53054.487079999999</v>
      </c>
      <c r="O43" s="495">
        <v>27940.058509999999</v>
      </c>
      <c r="P43" s="495">
        <v>0</v>
      </c>
      <c r="Q43" s="495">
        <v>0</v>
      </c>
      <c r="T43" s="495">
        <v>21464.43908</v>
      </c>
      <c r="U43" s="495">
        <v>97543.010389999996</v>
      </c>
      <c r="V43" s="495">
        <v>-3253.4118399999998</v>
      </c>
      <c r="W43" s="495">
        <v>-11758.8961</v>
      </c>
      <c r="X43" s="495">
        <v>0</v>
      </c>
      <c r="AA43" s="495">
        <v>0</v>
      </c>
      <c r="AB43" s="495">
        <v>0</v>
      </c>
      <c r="AC43" s="495">
        <v>0</v>
      </c>
      <c r="AD43" s="495">
        <v>0</v>
      </c>
      <c r="AE43" s="495">
        <v>0</v>
      </c>
      <c r="AH43" s="495">
        <v>12502.940999999999</v>
      </c>
      <c r="AI43" s="495">
        <v>0</v>
      </c>
      <c r="AJ43" s="495">
        <v>0</v>
      </c>
      <c r="AK43" s="495">
        <v>0</v>
      </c>
      <c r="AL43" s="495">
        <v>0</v>
      </c>
      <c r="AO43" s="495">
        <v>-14916.541676352357</v>
      </c>
      <c r="AP43" s="495">
        <v>-13278.779176352356</v>
      </c>
      <c r="AQ43" s="495">
        <v>-6837.3614238523423</v>
      </c>
      <c r="AR43" s="495">
        <v>0</v>
      </c>
      <c r="AS43" s="495">
        <v>0</v>
      </c>
    </row>
    <row r="44" spans="1:45">
      <c r="A44" s="390">
        <v>90521</v>
      </c>
      <c r="B44" s="393">
        <v>90521</v>
      </c>
      <c r="C44" s="499" t="s">
        <v>762</v>
      </c>
      <c r="D44" s="378">
        <v>1.4286118981769963E-4</v>
      </c>
      <c r="F44" s="495">
        <v>84294.730142665052</v>
      </c>
      <c r="G44" s="495">
        <v>187568.86925766504</v>
      </c>
      <c r="H44" s="495">
        <v>41450.016900165036</v>
      </c>
      <c r="I44" s="495">
        <v>-14802.5092</v>
      </c>
      <c r="J44" s="495">
        <v>0</v>
      </c>
      <c r="M44" s="495">
        <v>65652.263640000005</v>
      </c>
      <c r="N44" s="495">
        <v>66786.84176000001</v>
      </c>
      <c r="O44" s="495">
        <v>35171.921719999998</v>
      </c>
      <c r="P44" s="495">
        <v>0</v>
      </c>
      <c r="Q44" s="495">
        <v>0</v>
      </c>
      <c r="T44" s="495">
        <v>27020.18576</v>
      </c>
      <c r="U44" s="495">
        <v>122790.54908000001</v>
      </c>
      <c r="V44" s="495">
        <v>-4095.5084800000004</v>
      </c>
      <c r="W44" s="495">
        <v>-14802.5092</v>
      </c>
      <c r="X44" s="495">
        <v>0</v>
      </c>
      <c r="AA44" s="495">
        <v>0</v>
      </c>
      <c r="AB44" s="495">
        <v>0</v>
      </c>
      <c r="AC44" s="495">
        <v>0</v>
      </c>
      <c r="AD44" s="495">
        <v>0</v>
      </c>
      <c r="AE44" s="495">
        <v>0</v>
      </c>
      <c r="AH44" s="495">
        <v>10373.603660165041</v>
      </c>
      <c r="AI44" s="495">
        <v>10373.603660165041</v>
      </c>
      <c r="AJ44" s="495">
        <v>10373.603660165041</v>
      </c>
      <c r="AK44" s="495">
        <v>0</v>
      </c>
      <c r="AL44" s="495">
        <v>0</v>
      </c>
      <c r="AO44" s="495">
        <v>-18751.322917500001</v>
      </c>
      <c r="AP44" s="495">
        <v>-12382.125242500017</v>
      </c>
      <c r="AQ44" s="495">
        <v>0</v>
      </c>
      <c r="AR44" s="495">
        <v>0</v>
      </c>
      <c r="AS44" s="495">
        <v>0</v>
      </c>
    </row>
    <row r="45" spans="1:45">
      <c r="A45" s="390">
        <v>90601</v>
      </c>
      <c r="B45" s="393">
        <v>90601</v>
      </c>
      <c r="C45" s="499" t="s">
        <v>763</v>
      </c>
      <c r="D45" s="378">
        <v>1.1322375955301479E-3</v>
      </c>
      <c r="F45" s="495">
        <v>757916.42993451399</v>
      </c>
      <c r="G45" s="495">
        <v>1529981.2042545138</v>
      </c>
      <c r="H45" s="495">
        <v>302568.23899701401</v>
      </c>
      <c r="I45" s="495">
        <v>-117316.41409999999</v>
      </c>
      <c r="J45" s="495">
        <v>0</v>
      </c>
      <c r="M45" s="495">
        <v>520323.14546999999</v>
      </c>
      <c r="N45" s="495">
        <v>529315.17747999995</v>
      </c>
      <c r="O45" s="495">
        <v>278752.99231</v>
      </c>
      <c r="P45" s="495">
        <v>0</v>
      </c>
      <c r="Q45" s="495">
        <v>0</v>
      </c>
      <c r="T45" s="495">
        <v>214146.88948000001</v>
      </c>
      <c r="U45" s="495">
        <v>973169.25858999998</v>
      </c>
      <c r="V45" s="495">
        <v>-32458.711039999998</v>
      </c>
      <c r="W45" s="495">
        <v>-117316.41409999999</v>
      </c>
      <c r="X45" s="495">
        <v>0</v>
      </c>
      <c r="AA45" s="495">
        <v>0</v>
      </c>
      <c r="AB45" s="495">
        <v>0</v>
      </c>
      <c r="AC45" s="495">
        <v>0</v>
      </c>
      <c r="AD45" s="495">
        <v>0</v>
      </c>
      <c r="AE45" s="495">
        <v>0</v>
      </c>
      <c r="AH45" s="495">
        <v>61015.373249514021</v>
      </c>
      <c r="AI45" s="495">
        <v>61015.373249514021</v>
      </c>
      <c r="AJ45" s="495">
        <v>56273.957727014022</v>
      </c>
      <c r="AK45" s="495">
        <v>0</v>
      </c>
      <c r="AL45" s="495">
        <v>0</v>
      </c>
      <c r="AO45" s="495">
        <v>-37568.9782650001</v>
      </c>
      <c r="AP45" s="495">
        <v>-33518.60506500004</v>
      </c>
      <c r="AQ45" s="495">
        <v>0</v>
      </c>
      <c r="AR45" s="495">
        <v>0</v>
      </c>
      <c r="AS45" s="495">
        <v>0</v>
      </c>
    </row>
    <row r="46" spans="1:45">
      <c r="A46" s="390">
        <v>90602</v>
      </c>
      <c r="B46" s="393">
        <v>90602</v>
      </c>
      <c r="C46" s="499" t="s">
        <v>259</v>
      </c>
      <c r="D46" s="378">
        <v>6.6809850969315891E-5</v>
      </c>
      <c r="F46" s="495">
        <v>44626.679898326991</v>
      </c>
      <c r="G46" s="495">
        <v>86967.829323326965</v>
      </c>
      <c r="H46" s="495">
        <v>15740.532228326978</v>
      </c>
      <c r="I46" s="495">
        <v>-6922.4839999999995</v>
      </c>
      <c r="J46" s="495">
        <v>0</v>
      </c>
      <c r="M46" s="495">
        <v>30702.682799999999</v>
      </c>
      <c r="N46" s="495">
        <v>31233.2752</v>
      </c>
      <c r="O46" s="495">
        <v>16448.364399999999</v>
      </c>
      <c r="P46" s="495">
        <v>0</v>
      </c>
      <c r="Q46" s="495">
        <v>0</v>
      </c>
      <c r="T46" s="495">
        <v>12636.155199999999</v>
      </c>
      <c r="U46" s="495">
        <v>57423.751599999996</v>
      </c>
      <c r="V46" s="495">
        <v>-1915.2895999999998</v>
      </c>
      <c r="W46" s="495">
        <v>-6922.4839999999995</v>
      </c>
      <c r="X46" s="495">
        <v>0</v>
      </c>
      <c r="AA46" s="495">
        <v>0</v>
      </c>
      <c r="AB46" s="495">
        <v>0</v>
      </c>
      <c r="AC46" s="495">
        <v>0</v>
      </c>
      <c r="AD46" s="495">
        <v>0</v>
      </c>
      <c r="AE46" s="495">
        <v>0</v>
      </c>
      <c r="AH46" s="495">
        <v>6468.7386383269868</v>
      </c>
      <c r="AI46" s="495">
        <v>3491.6992633269756</v>
      </c>
      <c r="AJ46" s="495">
        <v>1207.4574283269785</v>
      </c>
      <c r="AK46" s="495">
        <v>0</v>
      </c>
      <c r="AL46" s="495">
        <v>0</v>
      </c>
      <c r="AO46" s="495">
        <v>-5180.8967399999892</v>
      </c>
      <c r="AP46" s="495">
        <v>-5180.8967399999892</v>
      </c>
      <c r="AQ46" s="495">
        <v>0</v>
      </c>
      <c r="AR46" s="495">
        <v>0</v>
      </c>
      <c r="AS46" s="495">
        <v>0</v>
      </c>
    </row>
    <row r="47" spans="1:45">
      <c r="A47" s="390">
        <v>90605</v>
      </c>
      <c r="B47" s="393">
        <v>90605</v>
      </c>
      <c r="C47" s="499" t="s">
        <v>764</v>
      </c>
      <c r="D47" s="378">
        <v>4.5206619430782147E-5</v>
      </c>
      <c r="F47" s="495">
        <v>22426.739756353014</v>
      </c>
      <c r="G47" s="495">
        <v>52173.573556353011</v>
      </c>
      <c r="H47" s="495">
        <v>2447.1744463530067</v>
      </c>
      <c r="I47" s="495">
        <v>-4684.076</v>
      </c>
      <c r="J47" s="495">
        <v>0</v>
      </c>
      <c r="M47" s="495">
        <v>20774.869200000001</v>
      </c>
      <c r="N47" s="495">
        <v>21133.892800000001</v>
      </c>
      <c r="O47" s="495">
        <v>11129.731600000001</v>
      </c>
      <c r="P47" s="495">
        <v>0</v>
      </c>
      <c r="Q47" s="495">
        <v>0</v>
      </c>
      <c r="T47" s="495">
        <v>8550.2127999999993</v>
      </c>
      <c r="U47" s="495">
        <v>38855.592400000001</v>
      </c>
      <c r="V47" s="495">
        <v>-1295.9744000000001</v>
      </c>
      <c r="W47" s="495">
        <v>-4684.076</v>
      </c>
      <c r="X47" s="495">
        <v>0</v>
      </c>
      <c r="AA47" s="495">
        <v>0</v>
      </c>
      <c r="AB47" s="495">
        <v>0</v>
      </c>
      <c r="AC47" s="495">
        <v>0</v>
      </c>
      <c r="AD47" s="495">
        <v>0</v>
      </c>
      <c r="AE47" s="495">
        <v>0</v>
      </c>
      <c r="AH47" s="495">
        <v>2984.1789300000055</v>
      </c>
      <c r="AI47" s="495">
        <v>1677.0532800000037</v>
      </c>
      <c r="AJ47" s="495">
        <v>0</v>
      </c>
      <c r="AK47" s="495">
        <v>0</v>
      </c>
      <c r="AL47" s="495">
        <v>0</v>
      </c>
      <c r="AO47" s="495">
        <v>-9882.5211736469937</v>
      </c>
      <c r="AP47" s="495">
        <v>-9492.9649236469941</v>
      </c>
      <c r="AQ47" s="495">
        <v>-7386.5827536469933</v>
      </c>
      <c r="AR47" s="495">
        <v>0</v>
      </c>
      <c r="AS47" s="495">
        <v>0</v>
      </c>
    </row>
    <row r="48" spans="1:45">
      <c r="A48" s="390">
        <v>90611</v>
      </c>
      <c r="B48" s="393">
        <v>90611</v>
      </c>
      <c r="C48" s="499" t="s">
        <v>765</v>
      </c>
      <c r="D48" s="378">
        <v>1.2414840823016888E-4</v>
      </c>
      <c r="F48" s="495">
        <v>63123.713938066277</v>
      </c>
      <c r="G48" s="495">
        <v>154667.33681806628</v>
      </c>
      <c r="H48" s="495">
        <v>21690.365095566285</v>
      </c>
      <c r="I48" s="495">
        <v>-12863.591899999999</v>
      </c>
      <c r="J48" s="495">
        <v>0</v>
      </c>
      <c r="M48" s="495">
        <v>57052.754729999993</v>
      </c>
      <c r="N48" s="495">
        <v>58038.719319999997</v>
      </c>
      <c r="O48" s="495">
        <v>30564.902289999998</v>
      </c>
      <c r="P48" s="495">
        <v>0</v>
      </c>
      <c r="Q48" s="495">
        <v>0</v>
      </c>
      <c r="T48" s="495">
        <v>23480.927319999999</v>
      </c>
      <c r="U48" s="495">
        <v>106706.74080999999</v>
      </c>
      <c r="V48" s="495">
        <v>-3559.0553599999998</v>
      </c>
      <c r="W48" s="495">
        <v>-12863.591899999999</v>
      </c>
      <c r="X48" s="495">
        <v>0</v>
      </c>
      <c r="AA48" s="495">
        <v>0</v>
      </c>
      <c r="AB48" s="495">
        <v>0</v>
      </c>
      <c r="AC48" s="495">
        <v>0</v>
      </c>
      <c r="AD48" s="495">
        <v>0</v>
      </c>
      <c r="AE48" s="495">
        <v>0</v>
      </c>
      <c r="AH48" s="495">
        <v>0</v>
      </c>
      <c r="AI48" s="495">
        <v>0</v>
      </c>
      <c r="AJ48" s="495">
        <v>0</v>
      </c>
      <c r="AK48" s="495">
        <v>0</v>
      </c>
      <c r="AL48" s="495">
        <v>0</v>
      </c>
      <c r="AO48" s="495">
        <v>-17409.968111933711</v>
      </c>
      <c r="AP48" s="495">
        <v>-10078.123311933723</v>
      </c>
      <c r="AQ48" s="495">
        <v>-5315.4818344337145</v>
      </c>
      <c r="AR48" s="495">
        <v>0</v>
      </c>
      <c r="AS48" s="495">
        <v>0</v>
      </c>
    </row>
    <row r="49" spans="1:45">
      <c r="A49" s="390">
        <v>90617</v>
      </c>
      <c r="B49" s="393">
        <v>90617</v>
      </c>
      <c r="C49" s="499" t="s">
        <v>766</v>
      </c>
      <c r="D49" s="378">
        <v>3.0924535774099041E-5</v>
      </c>
      <c r="F49" s="495">
        <v>23957.764886381301</v>
      </c>
      <c r="G49" s="495">
        <v>38415.265031381306</v>
      </c>
      <c r="H49" s="495">
        <v>2724.3638663812917</v>
      </c>
      <c r="I49" s="495">
        <v>-3204.2396000000003</v>
      </c>
      <c r="J49" s="495">
        <v>0</v>
      </c>
      <c r="M49" s="495">
        <v>14211.481320000001</v>
      </c>
      <c r="N49" s="495">
        <v>14457.078880000001</v>
      </c>
      <c r="O49" s="495">
        <v>7613.5243600000003</v>
      </c>
      <c r="P49" s="495">
        <v>0</v>
      </c>
      <c r="Q49" s="495">
        <v>0</v>
      </c>
      <c r="T49" s="495">
        <v>5848.9508800000003</v>
      </c>
      <c r="U49" s="495">
        <v>26579.976040000001</v>
      </c>
      <c r="V49" s="495">
        <v>-886.53824000000009</v>
      </c>
      <c r="W49" s="495">
        <v>-3204.2396000000003</v>
      </c>
      <c r="X49" s="495">
        <v>0</v>
      </c>
      <c r="AA49" s="495">
        <v>0</v>
      </c>
      <c r="AB49" s="495">
        <v>0</v>
      </c>
      <c r="AC49" s="495">
        <v>0</v>
      </c>
      <c r="AD49" s="495">
        <v>0</v>
      </c>
      <c r="AE49" s="495">
        <v>0</v>
      </c>
      <c r="AH49" s="495">
        <v>9278.5343700000049</v>
      </c>
      <c r="AI49" s="495">
        <v>2515.5799200000074</v>
      </c>
      <c r="AJ49" s="495">
        <v>0</v>
      </c>
      <c r="AK49" s="495">
        <v>0</v>
      </c>
      <c r="AL49" s="495">
        <v>0</v>
      </c>
      <c r="AO49" s="495">
        <v>-5381.2016836187086</v>
      </c>
      <c r="AP49" s="495">
        <v>-5137.3698086187087</v>
      </c>
      <c r="AQ49" s="495">
        <v>-4002.6222536187088</v>
      </c>
      <c r="AR49" s="495">
        <v>0</v>
      </c>
      <c r="AS49" s="495">
        <v>0</v>
      </c>
    </row>
    <row r="50" spans="1:45">
      <c r="A50" s="390">
        <v>90621</v>
      </c>
      <c r="B50" s="393">
        <v>90621</v>
      </c>
      <c r="C50" s="499" t="s">
        <v>767</v>
      </c>
      <c r="D50" s="378">
        <v>7.9591743181943033E-5</v>
      </c>
      <c r="F50" s="495">
        <v>67890.993801494915</v>
      </c>
      <c r="G50" s="495">
        <v>115611.0950564949</v>
      </c>
      <c r="H50" s="495">
        <v>21564.084401494922</v>
      </c>
      <c r="I50" s="495">
        <v>-8246.875399999999</v>
      </c>
      <c r="J50" s="495">
        <v>0</v>
      </c>
      <c r="M50" s="495">
        <v>36576.639179999998</v>
      </c>
      <c r="N50" s="495">
        <v>37208.743119999999</v>
      </c>
      <c r="O50" s="495">
        <v>19595.222139999998</v>
      </c>
      <c r="P50" s="495">
        <v>0</v>
      </c>
      <c r="Q50" s="495">
        <v>0</v>
      </c>
      <c r="T50" s="495">
        <v>15053.671119999999</v>
      </c>
      <c r="U50" s="495">
        <v>68409.912459999992</v>
      </c>
      <c r="V50" s="495">
        <v>-2281.71776</v>
      </c>
      <c r="W50" s="495">
        <v>-8246.875399999999</v>
      </c>
      <c r="X50" s="495">
        <v>0</v>
      </c>
      <c r="AA50" s="495">
        <v>0</v>
      </c>
      <c r="AB50" s="495">
        <v>0</v>
      </c>
      <c r="AC50" s="495">
        <v>0</v>
      </c>
      <c r="AD50" s="495">
        <v>0</v>
      </c>
      <c r="AE50" s="495">
        <v>0</v>
      </c>
      <c r="AH50" s="495">
        <v>17266.87787649492</v>
      </c>
      <c r="AI50" s="495">
        <v>9992.4394764949175</v>
      </c>
      <c r="AJ50" s="495">
        <v>4250.5800214949231</v>
      </c>
      <c r="AK50" s="495">
        <v>0</v>
      </c>
      <c r="AL50" s="495">
        <v>0</v>
      </c>
      <c r="AO50" s="495">
        <v>-1006.1943750000009</v>
      </c>
      <c r="AP50" s="495">
        <v>0</v>
      </c>
      <c r="AQ50" s="495">
        <v>0</v>
      </c>
      <c r="AR50" s="495">
        <v>0</v>
      </c>
      <c r="AS50" s="495">
        <v>0</v>
      </c>
    </row>
    <row r="51" spans="1:45">
      <c r="A51" s="390">
        <v>90631</v>
      </c>
      <c r="B51" s="500">
        <v>90631</v>
      </c>
      <c r="C51" s="501" t="s">
        <v>768</v>
      </c>
      <c r="D51" s="378">
        <v>4.5061674114243116E-4</v>
      </c>
      <c r="F51" s="495">
        <v>323650.54814728617</v>
      </c>
      <c r="G51" s="495">
        <v>600645.12519728625</v>
      </c>
      <c r="H51" s="495">
        <v>104775.78774228631</v>
      </c>
      <c r="I51" s="495">
        <v>-46690.496499999994</v>
      </c>
      <c r="J51" s="495">
        <v>0</v>
      </c>
      <c r="M51" s="495">
        <v>207082.24154999998</v>
      </c>
      <c r="N51" s="495">
        <v>210660.9602</v>
      </c>
      <c r="O51" s="495">
        <v>110940.27815</v>
      </c>
      <c r="P51" s="495">
        <v>0</v>
      </c>
      <c r="Q51" s="495">
        <v>0</v>
      </c>
      <c r="T51" s="495">
        <v>85227.840199999991</v>
      </c>
      <c r="U51" s="495">
        <v>387309.45035</v>
      </c>
      <c r="V51" s="495">
        <v>-12918.169599999999</v>
      </c>
      <c r="W51" s="495">
        <v>-46690.496499999994</v>
      </c>
      <c r="X51" s="495">
        <v>0</v>
      </c>
      <c r="AA51" s="495">
        <v>0</v>
      </c>
      <c r="AB51" s="495">
        <v>0</v>
      </c>
      <c r="AC51" s="495">
        <v>0</v>
      </c>
      <c r="AD51" s="495">
        <v>0</v>
      </c>
      <c r="AE51" s="495">
        <v>0</v>
      </c>
      <c r="AH51" s="495">
        <v>47209.621857286285</v>
      </c>
      <c r="AI51" s="495">
        <v>12542.376357286292</v>
      </c>
      <c r="AJ51" s="495">
        <v>6753.6791922863013</v>
      </c>
      <c r="AK51" s="495">
        <v>0</v>
      </c>
      <c r="AL51" s="495">
        <v>0</v>
      </c>
      <c r="AO51" s="495">
        <v>-15869.15546000002</v>
      </c>
      <c r="AP51" s="495">
        <v>-9867.6617100000258</v>
      </c>
      <c r="AQ51" s="495">
        <v>0</v>
      </c>
      <c r="AR51" s="495">
        <v>0</v>
      </c>
      <c r="AS51" s="495">
        <v>0</v>
      </c>
    </row>
    <row r="52" spans="1:45">
      <c r="A52" s="390">
        <v>90641</v>
      </c>
      <c r="B52" s="393">
        <v>90641</v>
      </c>
      <c r="C52" s="499" t="s">
        <v>769</v>
      </c>
      <c r="D52" s="378">
        <v>1.3271917167108632E-5</v>
      </c>
      <c r="F52" s="495">
        <v>9167.1933386571709</v>
      </c>
      <c r="G52" s="495">
        <v>15972.59480865717</v>
      </c>
      <c r="H52" s="495">
        <v>2474.7565436571736</v>
      </c>
      <c r="I52" s="495">
        <v>-1375.1701</v>
      </c>
      <c r="J52" s="495">
        <v>0</v>
      </c>
      <c r="M52" s="495">
        <v>6099.1706700000004</v>
      </c>
      <c r="N52" s="495">
        <v>6204.5742799999998</v>
      </c>
      <c r="O52" s="495">
        <v>3267.5119100000002</v>
      </c>
      <c r="P52" s="495">
        <v>0</v>
      </c>
      <c r="Q52" s="495">
        <v>0</v>
      </c>
      <c r="T52" s="495">
        <v>2510.2062799999999</v>
      </c>
      <c r="U52" s="495">
        <v>11407.38299</v>
      </c>
      <c r="V52" s="495">
        <v>-380.47744</v>
      </c>
      <c r="W52" s="495">
        <v>-1375.1701</v>
      </c>
      <c r="X52" s="495">
        <v>0</v>
      </c>
      <c r="AA52" s="495">
        <v>0</v>
      </c>
      <c r="AB52" s="495">
        <v>0</v>
      </c>
      <c r="AC52" s="495">
        <v>0</v>
      </c>
      <c r="AD52" s="495">
        <v>0</v>
      </c>
      <c r="AE52" s="495">
        <v>0</v>
      </c>
      <c r="AH52" s="495">
        <v>2386.9251000000004</v>
      </c>
      <c r="AI52" s="495">
        <v>0</v>
      </c>
      <c r="AJ52" s="495">
        <v>0</v>
      </c>
      <c r="AK52" s="495">
        <v>0</v>
      </c>
      <c r="AL52" s="495">
        <v>0</v>
      </c>
      <c r="AO52" s="495">
        <v>-1829.1087113428289</v>
      </c>
      <c r="AP52" s="495">
        <v>-1639.3624613428287</v>
      </c>
      <c r="AQ52" s="495">
        <v>-412.2779263428265</v>
      </c>
      <c r="AR52" s="495">
        <v>0</v>
      </c>
      <c r="AS52" s="495">
        <v>0</v>
      </c>
    </row>
    <row r="53" spans="1:45">
      <c r="A53" s="390">
        <v>90651</v>
      </c>
      <c r="B53" s="393">
        <v>90651</v>
      </c>
      <c r="C53" s="499" t="s">
        <v>1930</v>
      </c>
      <c r="D53" s="378">
        <v>8.9593266738216063E-5</v>
      </c>
      <c r="F53" s="495">
        <v>120024.15586351992</v>
      </c>
      <c r="G53" s="495">
        <v>150845.44029351993</v>
      </c>
      <c r="H53" s="495">
        <v>36381.732093519931</v>
      </c>
      <c r="I53" s="495">
        <v>-9283.1754000000001</v>
      </c>
      <c r="J53" s="495">
        <v>0</v>
      </c>
      <c r="M53" s="495">
        <v>41172.849180000005</v>
      </c>
      <c r="N53" s="495">
        <v>41884.383120000006</v>
      </c>
      <c r="O53" s="495">
        <v>22057.55214</v>
      </c>
      <c r="P53" s="495">
        <v>0</v>
      </c>
      <c r="Q53" s="495">
        <v>0</v>
      </c>
      <c r="T53" s="495">
        <v>16945.311120000002</v>
      </c>
      <c r="U53" s="495">
        <v>77006.282460000002</v>
      </c>
      <c r="V53" s="495">
        <v>-2568.4377600000003</v>
      </c>
      <c r="W53" s="495">
        <v>-9283.1754000000001</v>
      </c>
      <c r="X53" s="495">
        <v>0</v>
      </c>
      <c r="AA53" s="495">
        <v>0</v>
      </c>
      <c r="AB53" s="495">
        <v>0</v>
      </c>
      <c r="AC53" s="495">
        <v>0</v>
      </c>
      <c r="AD53" s="495">
        <v>0</v>
      </c>
      <c r="AE53" s="495">
        <v>0</v>
      </c>
      <c r="AH53" s="495">
        <v>70890.209563519922</v>
      </c>
      <c r="AI53" s="495">
        <v>40938.988713519939</v>
      </c>
      <c r="AJ53" s="495">
        <v>16892.617713519932</v>
      </c>
      <c r="AK53" s="495">
        <v>0</v>
      </c>
      <c r="AL53" s="495">
        <v>0</v>
      </c>
      <c r="AO53" s="495">
        <v>-8984.2140000000036</v>
      </c>
      <c r="AP53" s="495">
        <v>-8984.2140000000036</v>
      </c>
      <c r="AQ53" s="495">
        <v>0</v>
      </c>
      <c r="AR53" s="495">
        <v>0</v>
      </c>
      <c r="AS53" s="495">
        <v>0</v>
      </c>
    </row>
    <row r="54" spans="1:45">
      <c r="A54" s="390">
        <v>90701</v>
      </c>
      <c r="B54" s="393">
        <v>90701</v>
      </c>
      <c r="C54" s="499" t="s">
        <v>771</v>
      </c>
      <c r="D54" s="378">
        <v>2.3018207895213198E-3</v>
      </c>
      <c r="F54" s="495">
        <v>1259386.3060548292</v>
      </c>
      <c r="G54" s="495">
        <v>2883525.2294598292</v>
      </c>
      <c r="H54" s="495">
        <v>446580.02314232907</v>
      </c>
      <c r="I54" s="495">
        <v>-238502.37239999999</v>
      </c>
      <c r="J54" s="495">
        <v>0</v>
      </c>
      <c r="M54" s="495">
        <v>1057808.53908</v>
      </c>
      <c r="N54" s="495">
        <v>1076089.19472</v>
      </c>
      <c r="O54" s="495">
        <v>566700.32484000002</v>
      </c>
      <c r="P54" s="495">
        <v>0</v>
      </c>
      <c r="Q54" s="495">
        <v>0</v>
      </c>
      <c r="T54" s="495">
        <v>435357.16271999996</v>
      </c>
      <c r="U54" s="495">
        <v>1978437.3627599999</v>
      </c>
      <c r="V54" s="495">
        <v>-65988.03456</v>
      </c>
      <c r="W54" s="495">
        <v>-238502.37239999999</v>
      </c>
      <c r="X54" s="495">
        <v>0</v>
      </c>
      <c r="AA54" s="495">
        <v>0</v>
      </c>
      <c r="AB54" s="495">
        <v>0</v>
      </c>
      <c r="AC54" s="495">
        <v>0</v>
      </c>
      <c r="AD54" s="495">
        <v>0</v>
      </c>
      <c r="AE54" s="495">
        <v>0</v>
      </c>
      <c r="AH54" s="495">
        <v>0</v>
      </c>
      <c r="AI54" s="495">
        <v>0</v>
      </c>
      <c r="AJ54" s="495">
        <v>0</v>
      </c>
      <c r="AK54" s="495">
        <v>0</v>
      </c>
      <c r="AL54" s="495">
        <v>0</v>
      </c>
      <c r="AO54" s="495">
        <v>-233779.39574517071</v>
      </c>
      <c r="AP54" s="495">
        <v>-171001.32802017068</v>
      </c>
      <c r="AQ54" s="495">
        <v>-54132.267137670962</v>
      </c>
      <c r="AR54" s="495">
        <v>0</v>
      </c>
      <c r="AS54" s="495">
        <v>0</v>
      </c>
    </row>
    <row r="55" spans="1:45">
      <c r="A55" s="390">
        <v>90704</v>
      </c>
      <c r="B55" s="393">
        <v>90704</v>
      </c>
      <c r="C55" s="499" t="s">
        <v>772</v>
      </c>
      <c r="D55" s="378">
        <v>5.9668809140974341E-5</v>
      </c>
      <c r="F55" s="495">
        <v>26473.627563341135</v>
      </c>
      <c r="G55" s="495">
        <v>65228.658173341144</v>
      </c>
      <c r="H55" s="495">
        <v>4505.2236983411476</v>
      </c>
      <c r="I55" s="495">
        <v>-6182.5658000000003</v>
      </c>
      <c r="J55" s="495">
        <v>0</v>
      </c>
      <c r="M55" s="495">
        <v>27420.988860000001</v>
      </c>
      <c r="N55" s="495">
        <v>27894.86824</v>
      </c>
      <c r="O55" s="495">
        <v>14690.260780000001</v>
      </c>
      <c r="P55" s="495">
        <v>0</v>
      </c>
      <c r="Q55" s="495">
        <v>0</v>
      </c>
      <c r="T55" s="495">
        <v>11285.524240000001</v>
      </c>
      <c r="U55" s="495">
        <v>51285.943420000003</v>
      </c>
      <c r="V55" s="495">
        <v>-1710.57152</v>
      </c>
      <c r="W55" s="495">
        <v>-6182.5658000000003</v>
      </c>
      <c r="X55" s="495">
        <v>0</v>
      </c>
      <c r="AA55" s="495">
        <v>0</v>
      </c>
      <c r="AB55" s="495">
        <v>0</v>
      </c>
      <c r="AC55" s="495">
        <v>0</v>
      </c>
      <c r="AD55" s="495">
        <v>0</v>
      </c>
      <c r="AE55" s="495">
        <v>0</v>
      </c>
      <c r="AH55" s="495">
        <v>2216.4304499999926</v>
      </c>
      <c r="AI55" s="495">
        <v>0</v>
      </c>
      <c r="AJ55" s="495">
        <v>0</v>
      </c>
      <c r="AK55" s="495">
        <v>0</v>
      </c>
      <c r="AL55" s="495">
        <v>0</v>
      </c>
      <c r="AO55" s="495">
        <v>-14449.315986658863</v>
      </c>
      <c r="AP55" s="495">
        <v>-13952.153486658863</v>
      </c>
      <c r="AQ55" s="495">
        <v>-8474.4655616588534</v>
      </c>
      <c r="AR55" s="495">
        <v>0</v>
      </c>
      <c r="AS55" s="495">
        <v>0</v>
      </c>
    </row>
    <row r="56" spans="1:45">
      <c r="A56" s="390">
        <v>90705</v>
      </c>
      <c r="B56" s="393">
        <v>90705</v>
      </c>
      <c r="C56" s="499" t="s">
        <v>773</v>
      </c>
      <c r="D56" s="378">
        <v>2.562372087139734E-5</v>
      </c>
      <c r="F56" s="495">
        <v>1523.4880895080423</v>
      </c>
      <c r="G56" s="495">
        <v>16323.069634508043</v>
      </c>
      <c r="H56" s="495">
        <v>-6549.8249429919506</v>
      </c>
      <c r="I56" s="495">
        <v>-2655.0005999999998</v>
      </c>
      <c r="J56" s="495">
        <v>0</v>
      </c>
      <c r="M56" s="495">
        <v>11775.490019999999</v>
      </c>
      <c r="N56" s="495">
        <v>11978.989679999999</v>
      </c>
      <c r="O56" s="495">
        <v>6308.4894599999998</v>
      </c>
      <c r="P56" s="495">
        <v>0</v>
      </c>
      <c r="Q56" s="495">
        <v>0</v>
      </c>
      <c r="T56" s="495">
        <v>4846.3816799999995</v>
      </c>
      <c r="U56" s="495">
        <v>22023.899939999999</v>
      </c>
      <c r="V56" s="495">
        <v>-734.57664</v>
      </c>
      <c r="W56" s="495">
        <v>-2655.0005999999998</v>
      </c>
      <c r="X56" s="495">
        <v>0</v>
      </c>
      <c r="AA56" s="495">
        <v>0</v>
      </c>
      <c r="AB56" s="495">
        <v>0</v>
      </c>
      <c r="AC56" s="495">
        <v>0</v>
      </c>
      <c r="AD56" s="495">
        <v>0</v>
      </c>
      <c r="AE56" s="495">
        <v>0</v>
      </c>
      <c r="AH56" s="495">
        <v>3694.0507499999967</v>
      </c>
      <c r="AI56" s="495">
        <v>0</v>
      </c>
      <c r="AJ56" s="495">
        <v>0</v>
      </c>
      <c r="AK56" s="495">
        <v>0</v>
      </c>
      <c r="AL56" s="495">
        <v>0</v>
      </c>
      <c r="AO56" s="495">
        <v>-18792.434360491956</v>
      </c>
      <c r="AP56" s="495">
        <v>-17679.819985491959</v>
      </c>
      <c r="AQ56" s="495">
        <v>-12123.73776299195</v>
      </c>
      <c r="AR56" s="495">
        <v>0</v>
      </c>
      <c r="AS56" s="495">
        <v>0</v>
      </c>
    </row>
    <row r="57" spans="1:45">
      <c r="A57" s="390">
        <v>90709</v>
      </c>
      <c r="B57" s="393">
        <v>90709</v>
      </c>
      <c r="C57" s="499" t="s">
        <v>774</v>
      </c>
      <c r="D57" s="378">
        <v>1.5450280597820908E-4</v>
      </c>
      <c r="F57" s="495">
        <v>125505.0647905622</v>
      </c>
      <c r="G57" s="495">
        <v>235799.61497056222</v>
      </c>
      <c r="H57" s="495">
        <v>47728.027090562187</v>
      </c>
      <c r="I57" s="495">
        <v>-16008.7624</v>
      </c>
      <c r="J57" s="495">
        <v>0</v>
      </c>
      <c r="M57" s="495">
        <v>71002.252080000006</v>
      </c>
      <c r="N57" s="495">
        <v>72229.286720000004</v>
      </c>
      <c r="O57" s="495">
        <v>38038.073839999997</v>
      </c>
      <c r="P57" s="495">
        <v>0</v>
      </c>
      <c r="Q57" s="495">
        <v>0</v>
      </c>
      <c r="T57" s="495">
        <v>29222.05472</v>
      </c>
      <c r="U57" s="495">
        <v>132796.72375999999</v>
      </c>
      <c r="V57" s="495">
        <v>-4429.2505599999995</v>
      </c>
      <c r="W57" s="495">
        <v>-16008.7624</v>
      </c>
      <c r="X57" s="495">
        <v>0</v>
      </c>
      <c r="AA57" s="495">
        <v>0</v>
      </c>
      <c r="AB57" s="495">
        <v>0</v>
      </c>
      <c r="AC57" s="495">
        <v>0</v>
      </c>
      <c r="AD57" s="495">
        <v>0</v>
      </c>
      <c r="AE57" s="495">
        <v>0</v>
      </c>
      <c r="AH57" s="495">
        <v>35510.436990562215</v>
      </c>
      <c r="AI57" s="495">
        <v>30773.604490562218</v>
      </c>
      <c r="AJ57" s="495">
        <v>14119.203810562194</v>
      </c>
      <c r="AK57" s="495">
        <v>0</v>
      </c>
      <c r="AL57" s="495">
        <v>0</v>
      </c>
      <c r="AO57" s="495">
        <v>-10229.678999999996</v>
      </c>
      <c r="AP57" s="495">
        <v>0</v>
      </c>
      <c r="AQ57" s="495">
        <v>0</v>
      </c>
      <c r="AR57" s="495">
        <v>0</v>
      </c>
      <c r="AS57" s="495">
        <v>0</v>
      </c>
    </row>
    <row r="58" spans="1:45">
      <c r="A58" s="390">
        <v>90711</v>
      </c>
      <c r="B58" s="393">
        <v>90711</v>
      </c>
      <c r="C58" s="499" t="s">
        <v>775</v>
      </c>
      <c r="D58" s="378">
        <v>1.4726380366623321E-3</v>
      </c>
      <c r="F58" s="495">
        <v>910324.02133478504</v>
      </c>
      <c r="G58" s="495">
        <v>1902484.0215547848</v>
      </c>
      <c r="H58" s="495">
        <v>327058.55278478481</v>
      </c>
      <c r="I58" s="495">
        <v>-152586.88459999999</v>
      </c>
      <c r="J58" s="495">
        <v>0</v>
      </c>
      <c r="M58" s="495">
        <v>676755.15281999996</v>
      </c>
      <c r="N58" s="495">
        <v>688450.58487999998</v>
      </c>
      <c r="O58" s="495">
        <v>362558.39385999995</v>
      </c>
      <c r="P58" s="495">
        <v>0</v>
      </c>
      <c r="Q58" s="495">
        <v>0</v>
      </c>
      <c r="T58" s="495">
        <v>278528.85687999998</v>
      </c>
      <c r="U58" s="495">
        <v>1265746.7115399998</v>
      </c>
      <c r="V58" s="495">
        <v>-42217.226239999996</v>
      </c>
      <c r="W58" s="495">
        <v>-152586.88459999999</v>
      </c>
      <c r="X58" s="495">
        <v>0</v>
      </c>
      <c r="AA58" s="495">
        <v>0</v>
      </c>
      <c r="AB58" s="495">
        <v>0</v>
      </c>
      <c r="AC58" s="495">
        <v>0</v>
      </c>
      <c r="AD58" s="495">
        <v>0</v>
      </c>
      <c r="AE58" s="495">
        <v>0</v>
      </c>
      <c r="AH58" s="495">
        <v>18201.532474784977</v>
      </c>
      <c r="AI58" s="495">
        <v>7971.8534747848571</v>
      </c>
      <c r="AJ58" s="495">
        <v>6717.3851647848314</v>
      </c>
      <c r="AK58" s="495">
        <v>0</v>
      </c>
      <c r="AL58" s="495">
        <v>0</v>
      </c>
      <c r="AO58" s="495">
        <v>-63161.52083999991</v>
      </c>
      <c r="AP58" s="495">
        <v>-59685.128339999894</v>
      </c>
      <c r="AQ58" s="495">
        <v>0</v>
      </c>
      <c r="AR58" s="495">
        <v>0</v>
      </c>
      <c r="AS58" s="495">
        <v>0</v>
      </c>
    </row>
    <row r="59" spans="1:45">
      <c r="A59" s="390">
        <v>90721</v>
      </c>
      <c r="B59" s="393">
        <v>90721</v>
      </c>
      <c r="C59" s="499" t="s">
        <v>776</v>
      </c>
      <c r="D59" s="378">
        <v>1.0971633510058818E-5</v>
      </c>
      <c r="F59" s="495">
        <v>1814.2274253914302</v>
      </c>
      <c r="G59" s="495">
        <v>8578.32957039143</v>
      </c>
      <c r="H59" s="495">
        <v>-94.354012108575716</v>
      </c>
      <c r="I59" s="495">
        <v>-1136.8210999999999</v>
      </c>
      <c r="J59" s="495">
        <v>0</v>
      </c>
      <c r="M59" s="495">
        <v>5042.0423700000001</v>
      </c>
      <c r="N59" s="495">
        <v>5129.1770800000004</v>
      </c>
      <c r="O59" s="495">
        <v>2701.1760100000001</v>
      </c>
      <c r="P59" s="495">
        <v>0</v>
      </c>
      <c r="Q59" s="495">
        <v>0</v>
      </c>
      <c r="T59" s="495">
        <v>2075.1290800000002</v>
      </c>
      <c r="U59" s="495">
        <v>9430.2178899999999</v>
      </c>
      <c r="V59" s="495">
        <v>-314.53183999999999</v>
      </c>
      <c r="W59" s="495">
        <v>-1136.8210999999999</v>
      </c>
      <c r="X59" s="495">
        <v>0</v>
      </c>
      <c r="AA59" s="495">
        <v>0</v>
      </c>
      <c r="AB59" s="495">
        <v>0</v>
      </c>
      <c r="AC59" s="495">
        <v>0</v>
      </c>
      <c r="AD59" s="495">
        <v>0</v>
      </c>
      <c r="AE59" s="495">
        <v>0</v>
      </c>
      <c r="AH59" s="495">
        <v>2814.9637225000006</v>
      </c>
      <c r="AI59" s="495">
        <v>1568.5268475000003</v>
      </c>
      <c r="AJ59" s="495">
        <v>0</v>
      </c>
      <c r="AK59" s="495">
        <v>0</v>
      </c>
      <c r="AL59" s="495">
        <v>0</v>
      </c>
      <c r="AO59" s="495">
        <v>-8117.9077471085702</v>
      </c>
      <c r="AP59" s="495">
        <v>-7549.5922471085714</v>
      </c>
      <c r="AQ59" s="495">
        <v>-2480.9981821085757</v>
      </c>
      <c r="AR59" s="495">
        <v>0</v>
      </c>
      <c r="AS59" s="495">
        <v>0</v>
      </c>
    </row>
    <row r="60" spans="1:45">
      <c r="A60" s="390">
        <v>90731</v>
      </c>
      <c r="B60" s="393">
        <v>90731</v>
      </c>
      <c r="C60" s="499" t="s">
        <v>777</v>
      </c>
      <c r="D60" s="378">
        <v>1.3040924477393924E-4</v>
      </c>
      <c r="F60" s="495">
        <v>80864.87626569398</v>
      </c>
      <c r="G60" s="495">
        <v>154214.85110569399</v>
      </c>
      <c r="H60" s="495">
        <v>17997.479415693968</v>
      </c>
      <c r="I60" s="495">
        <v>-13512.315700000001</v>
      </c>
      <c r="J60" s="495">
        <v>0</v>
      </c>
      <c r="M60" s="495">
        <v>59929.982190000002</v>
      </c>
      <c r="N60" s="495">
        <v>60965.669959999999</v>
      </c>
      <c r="O60" s="495">
        <v>32106.32087</v>
      </c>
      <c r="P60" s="495">
        <v>0</v>
      </c>
      <c r="Q60" s="495">
        <v>0</v>
      </c>
      <c r="T60" s="495">
        <v>24665.093960000002</v>
      </c>
      <c r="U60" s="495">
        <v>112088.06843</v>
      </c>
      <c r="V60" s="495">
        <v>-3738.5420800000002</v>
      </c>
      <c r="W60" s="495">
        <v>-13512.315700000001</v>
      </c>
      <c r="X60" s="495">
        <v>0</v>
      </c>
      <c r="AA60" s="495">
        <v>0</v>
      </c>
      <c r="AB60" s="495">
        <v>0</v>
      </c>
      <c r="AC60" s="495">
        <v>0</v>
      </c>
      <c r="AD60" s="495">
        <v>0</v>
      </c>
      <c r="AE60" s="495">
        <v>0</v>
      </c>
      <c r="AH60" s="495">
        <v>20745.315469999972</v>
      </c>
      <c r="AI60" s="495">
        <v>5636.6280699999916</v>
      </c>
      <c r="AJ60" s="495">
        <v>0</v>
      </c>
      <c r="AK60" s="495">
        <v>0</v>
      </c>
      <c r="AL60" s="495">
        <v>0</v>
      </c>
      <c r="AO60" s="495">
        <v>-24475.515354306001</v>
      </c>
      <c r="AP60" s="495">
        <v>-24475.515354306001</v>
      </c>
      <c r="AQ60" s="495">
        <v>-10370.299374306032</v>
      </c>
      <c r="AR60" s="495">
        <v>0</v>
      </c>
      <c r="AS60" s="495">
        <v>0</v>
      </c>
    </row>
    <row r="61" spans="1:45">
      <c r="A61" s="390">
        <v>90741</v>
      </c>
      <c r="B61" s="393">
        <v>90741</v>
      </c>
      <c r="C61" s="499" t="s">
        <v>778</v>
      </c>
      <c r="D61" s="378">
        <v>1.4612179183089802E-5</v>
      </c>
      <c r="F61" s="495">
        <v>11874.38504616852</v>
      </c>
      <c r="G61" s="495">
        <v>21837.830581168524</v>
      </c>
      <c r="H61" s="495">
        <v>7102.681328668521</v>
      </c>
      <c r="I61" s="495">
        <v>-1514.0343</v>
      </c>
      <c r="J61" s="495">
        <v>0</v>
      </c>
      <c r="M61" s="495">
        <v>6715.0628100000004</v>
      </c>
      <c r="N61" s="495">
        <v>6831.1100400000005</v>
      </c>
      <c r="O61" s="495">
        <v>3597.4641300000003</v>
      </c>
      <c r="P61" s="495">
        <v>0</v>
      </c>
      <c r="Q61" s="495">
        <v>0</v>
      </c>
      <c r="T61" s="495">
        <v>2763.68604</v>
      </c>
      <c r="U61" s="495">
        <v>12559.29657</v>
      </c>
      <c r="V61" s="495">
        <v>-418.89792</v>
      </c>
      <c r="W61" s="495">
        <v>-1514.0343</v>
      </c>
      <c r="X61" s="495">
        <v>0</v>
      </c>
      <c r="AA61" s="495">
        <v>0</v>
      </c>
      <c r="AB61" s="495">
        <v>0</v>
      </c>
      <c r="AC61" s="495">
        <v>0</v>
      </c>
      <c r="AD61" s="495">
        <v>0</v>
      </c>
      <c r="AE61" s="495">
        <v>0</v>
      </c>
      <c r="AH61" s="495">
        <v>4729.8290511685191</v>
      </c>
      <c r="AI61" s="495">
        <v>4611.1221761685192</v>
      </c>
      <c r="AJ61" s="495">
        <v>3924.1151186685202</v>
      </c>
      <c r="AK61" s="495">
        <v>0</v>
      </c>
      <c r="AL61" s="495">
        <v>0</v>
      </c>
      <c r="AO61" s="495">
        <v>-2334.1928549999998</v>
      </c>
      <c r="AP61" s="495">
        <v>-2163.6982049999983</v>
      </c>
      <c r="AQ61" s="495">
        <v>0</v>
      </c>
      <c r="AR61" s="495">
        <v>0</v>
      </c>
      <c r="AS61" s="495">
        <v>0</v>
      </c>
    </row>
    <row r="62" spans="1:45">
      <c r="A62" s="390">
        <v>90751</v>
      </c>
      <c r="B62" s="393">
        <v>90751</v>
      </c>
      <c r="C62" s="499" t="s">
        <v>779</v>
      </c>
      <c r="D62" s="378">
        <v>1.6127384410189521E-4</v>
      </c>
      <c r="F62" s="495">
        <v>170409.24683140306</v>
      </c>
      <c r="G62" s="495">
        <v>239119.93783140308</v>
      </c>
      <c r="H62" s="495">
        <v>49840.013211403071</v>
      </c>
      <c r="I62" s="495">
        <v>-16710.337499999998</v>
      </c>
      <c r="J62" s="495">
        <v>0</v>
      </c>
      <c r="M62" s="495">
        <v>74113.886249999996</v>
      </c>
      <c r="N62" s="495">
        <v>75394.694999999992</v>
      </c>
      <c r="O62" s="495">
        <v>39705.071250000001</v>
      </c>
      <c r="P62" s="495">
        <v>0</v>
      </c>
      <c r="Q62" s="495">
        <v>0</v>
      </c>
      <c r="T62" s="495">
        <v>30502.695</v>
      </c>
      <c r="U62" s="495">
        <v>138616.46625</v>
      </c>
      <c r="V62" s="495">
        <v>-4623.3599999999997</v>
      </c>
      <c r="W62" s="495">
        <v>-16710.337499999998</v>
      </c>
      <c r="X62" s="495">
        <v>0</v>
      </c>
      <c r="AA62" s="495">
        <v>0</v>
      </c>
      <c r="AB62" s="495">
        <v>0</v>
      </c>
      <c r="AC62" s="495">
        <v>0</v>
      </c>
      <c r="AD62" s="495">
        <v>0</v>
      </c>
      <c r="AE62" s="495">
        <v>0</v>
      </c>
      <c r="AH62" s="495">
        <v>65792.665581403067</v>
      </c>
      <c r="AI62" s="495">
        <v>25108.776581403068</v>
      </c>
      <c r="AJ62" s="495">
        <v>14758.301961403071</v>
      </c>
      <c r="AK62" s="495">
        <v>0</v>
      </c>
      <c r="AL62" s="495">
        <v>0</v>
      </c>
      <c r="AO62" s="495">
        <v>0</v>
      </c>
      <c r="AP62" s="495">
        <v>0</v>
      </c>
      <c r="AQ62" s="495">
        <v>0</v>
      </c>
      <c r="AR62" s="495">
        <v>0</v>
      </c>
      <c r="AS62" s="495">
        <v>0</v>
      </c>
    </row>
    <row r="63" spans="1:45">
      <c r="A63" s="390">
        <v>90801</v>
      </c>
      <c r="B63" s="393">
        <v>90801</v>
      </c>
      <c r="C63" s="499" t="s">
        <v>780</v>
      </c>
      <c r="D63" s="378">
        <v>9.0942459878102697E-4</v>
      </c>
      <c r="F63" s="495">
        <v>301486.82345382118</v>
      </c>
      <c r="G63" s="495">
        <v>895078.23679382121</v>
      </c>
      <c r="H63" s="495">
        <v>-1491.0194486786786</v>
      </c>
      <c r="I63" s="495">
        <v>-94229.722699999998</v>
      </c>
      <c r="J63" s="495">
        <v>0</v>
      </c>
      <c r="M63" s="495">
        <v>417928.77908999997</v>
      </c>
      <c r="N63" s="495">
        <v>425151.26955999999</v>
      </c>
      <c r="O63" s="495">
        <v>223897.20457</v>
      </c>
      <c r="P63" s="495">
        <v>0</v>
      </c>
      <c r="Q63" s="495">
        <v>0</v>
      </c>
      <c r="T63" s="495">
        <v>172004.93356</v>
      </c>
      <c r="U63" s="495">
        <v>781659.32773000002</v>
      </c>
      <c r="V63" s="495">
        <v>-26071.16288</v>
      </c>
      <c r="W63" s="495">
        <v>-94229.722699999998</v>
      </c>
      <c r="X63" s="495">
        <v>0</v>
      </c>
      <c r="AA63" s="495">
        <v>0</v>
      </c>
      <c r="AB63" s="495">
        <v>0</v>
      </c>
      <c r="AC63" s="495">
        <v>0</v>
      </c>
      <c r="AD63" s="495">
        <v>0</v>
      </c>
      <c r="AE63" s="495">
        <v>0</v>
      </c>
      <c r="AH63" s="495">
        <v>52341.857549999957</v>
      </c>
      <c r="AI63" s="495">
        <v>0</v>
      </c>
      <c r="AJ63" s="495">
        <v>0</v>
      </c>
      <c r="AK63" s="495">
        <v>0</v>
      </c>
      <c r="AL63" s="495">
        <v>0</v>
      </c>
      <c r="AO63" s="495">
        <v>-340788.74674617877</v>
      </c>
      <c r="AP63" s="495">
        <v>-311732.36049617879</v>
      </c>
      <c r="AQ63" s="495">
        <v>-199317.06113867869</v>
      </c>
      <c r="AR63" s="495">
        <v>0</v>
      </c>
      <c r="AS63" s="495">
        <v>0</v>
      </c>
    </row>
    <row r="64" spans="1:45">
      <c r="A64" s="390">
        <v>90804</v>
      </c>
      <c r="B64" s="393">
        <v>90804</v>
      </c>
      <c r="C64" s="499" t="s">
        <v>781</v>
      </c>
      <c r="D64" s="378">
        <v>8.3712225496738358E-6</v>
      </c>
      <c r="F64" s="495">
        <v>8705.5041837649223</v>
      </c>
      <c r="G64" s="495">
        <v>14499.855403764923</v>
      </c>
      <c r="H64" s="495">
        <v>2189.7731587649232</v>
      </c>
      <c r="I64" s="495">
        <v>-867.3830999999999</v>
      </c>
      <c r="J64" s="495">
        <v>0</v>
      </c>
      <c r="M64" s="495">
        <v>3847.0277699999997</v>
      </c>
      <c r="N64" s="495">
        <v>3913.5106799999999</v>
      </c>
      <c r="O64" s="495">
        <v>2060.97021</v>
      </c>
      <c r="P64" s="495">
        <v>0</v>
      </c>
      <c r="Q64" s="495">
        <v>0</v>
      </c>
      <c r="T64" s="495">
        <v>1583.30268</v>
      </c>
      <c r="U64" s="495">
        <v>7195.1616899999999</v>
      </c>
      <c r="V64" s="495">
        <v>-239.98463999999998</v>
      </c>
      <c r="W64" s="495">
        <v>-867.3830999999999</v>
      </c>
      <c r="X64" s="495">
        <v>0</v>
      </c>
      <c r="AA64" s="495">
        <v>0</v>
      </c>
      <c r="AB64" s="495">
        <v>0</v>
      </c>
      <c r="AC64" s="495">
        <v>0</v>
      </c>
      <c r="AD64" s="495">
        <v>0</v>
      </c>
      <c r="AE64" s="495">
        <v>0</v>
      </c>
      <c r="AH64" s="495">
        <v>3616.1630337649221</v>
      </c>
      <c r="AI64" s="495">
        <v>3391.1830337649221</v>
      </c>
      <c r="AJ64" s="495">
        <v>368.78758876492293</v>
      </c>
      <c r="AK64" s="495">
        <v>0</v>
      </c>
      <c r="AL64" s="495">
        <v>0</v>
      </c>
      <c r="AO64" s="495">
        <v>-340.98930000000018</v>
      </c>
      <c r="AP64" s="495">
        <v>0</v>
      </c>
      <c r="AQ64" s="495">
        <v>0</v>
      </c>
      <c r="AR64" s="495">
        <v>0</v>
      </c>
      <c r="AS64" s="495">
        <v>0</v>
      </c>
    </row>
    <row r="65" spans="1:45">
      <c r="A65" s="390">
        <v>90805</v>
      </c>
      <c r="B65" s="393">
        <v>90805</v>
      </c>
      <c r="C65" s="499" t="s">
        <v>782</v>
      </c>
      <c r="D65" s="378">
        <v>5.3837912748002471E-5</v>
      </c>
      <c r="F65" s="495">
        <v>39176.869200530571</v>
      </c>
      <c r="G65" s="495">
        <v>72895.919230530577</v>
      </c>
      <c r="H65" s="495">
        <v>11923.296818030574</v>
      </c>
      <c r="I65" s="495">
        <v>-5578.4029</v>
      </c>
      <c r="J65" s="495">
        <v>0</v>
      </c>
      <c r="M65" s="495">
        <v>24741.398429999997</v>
      </c>
      <c r="N65" s="495">
        <v>25168.970119999998</v>
      </c>
      <c r="O65" s="495">
        <v>13254.722389999999</v>
      </c>
      <c r="P65" s="495">
        <v>0</v>
      </c>
      <c r="Q65" s="495">
        <v>0</v>
      </c>
      <c r="T65" s="495">
        <v>10182.698119999999</v>
      </c>
      <c r="U65" s="495">
        <v>46274.259709999998</v>
      </c>
      <c r="V65" s="495">
        <v>-1543.4137599999999</v>
      </c>
      <c r="W65" s="495">
        <v>-5578.4029</v>
      </c>
      <c r="X65" s="495">
        <v>0</v>
      </c>
      <c r="AA65" s="495">
        <v>0</v>
      </c>
      <c r="AB65" s="495">
        <v>0</v>
      </c>
      <c r="AC65" s="495">
        <v>0</v>
      </c>
      <c r="AD65" s="495">
        <v>0</v>
      </c>
      <c r="AE65" s="495">
        <v>0</v>
      </c>
      <c r="AH65" s="495">
        <v>6730.2336255305781</v>
      </c>
      <c r="AI65" s="495">
        <v>3361.834875530576</v>
      </c>
      <c r="AJ65" s="495">
        <v>211.98818803057475</v>
      </c>
      <c r="AK65" s="495">
        <v>0</v>
      </c>
      <c r="AL65" s="495">
        <v>0</v>
      </c>
      <c r="AO65" s="495">
        <v>-2477.4609750000027</v>
      </c>
      <c r="AP65" s="495">
        <v>-1909.1454749999948</v>
      </c>
      <c r="AQ65" s="495">
        <v>0</v>
      </c>
      <c r="AR65" s="495">
        <v>0</v>
      </c>
      <c r="AS65" s="495">
        <v>0</v>
      </c>
    </row>
    <row r="66" spans="1:45">
      <c r="A66" s="390">
        <v>90808</v>
      </c>
      <c r="B66" s="393">
        <v>90808</v>
      </c>
      <c r="C66" s="499" t="s">
        <v>783</v>
      </c>
      <c r="D66" s="378">
        <v>8.9653203184359112E-5</v>
      </c>
      <c r="F66" s="495">
        <v>45981.125009192088</v>
      </c>
      <c r="G66" s="495">
        <v>111059.33569919209</v>
      </c>
      <c r="H66" s="495">
        <v>25342.505504192086</v>
      </c>
      <c r="I66" s="495">
        <v>-9289.3932000000004</v>
      </c>
      <c r="J66" s="495">
        <v>0</v>
      </c>
      <c r="M66" s="495">
        <v>41200.426440000003</v>
      </c>
      <c r="N66" s="495">
        <v>41912.436959999999</v>
      </c>
      <c r="O66" s="495">
        <v>22072.326120000002</v>
      </c>
      <c r="P66" s="495">
        <v>0</v>
      </c>
      <c r="Q66" s="495">
        <v>0</v>
      </c>
      <c r="T66" s="495">
        <v>16956.660960000001</v>
      </c>
      <c r="U66" s="495">
        <v>77057.860679999998</v>
      </c>
      <c r="V66" s="495">
        <v>-2570.1580800000002</v>
      </c>
      <c r="W66" s="495">
        <v>-9289.3932000000004</v>
      </c>
      <c r="X66" s="495">
        <v>0</v>
      </c>
      <c r="AA66" s="495">
        <v>0</v>
      </c>
      <c r="AB66" s="495">
        <v>0</v>
      </c>
      <c r="AC66" s="495">
        <v>0</v>
      </c>
      <c r="AD66" s="495">
        <v>0</v>
      </c>
      <c r="AE66" s="495">
        <v>0</v>
      </c>
      <c r="AH66" s="495">
        <v>13560.711449192084</v>
      </c>
      <c r="AI66" s="495">
        <v>12767.703949192084</v>
      </c>
      <c r="AJ66" s="495">
        <v>5840.3374641920855</v>
      </c>
      <c r="AK66" s="495">
        <v>0</v>
      </c>
      <c r="AL66" s="495">
        <v>0</v>
      </c>
      <c r="AO66" s="495">
        <v>-25736.673839999996</v>
      </c>
      <c r="AP66" s="495">
        <v>-20678.665889999989</v>
      </c>
      <c r="AQ66" s="495">
        <v>0</v>
      </c>
      <c r="AR66" s="495">
        <v>0</v>
      </c>
      <c r="AS66" s="495">
        <v>0</v>
      </c>
    </row>
    <row r="67" spans="1:45">
      <c r="A67" s="390">
        <v>90811</v>
      </c>
      <c r="B67" s="393">
        <v>90811</v>
      </c>
      <c r="C67" s="499" t="s">
        <v>784</v>
      </c>
      <c r="D67" s="378">
        <v>2.739407139571694E-5</v>
      </c>
      <c r="F67" s="495">
        <v>18671.299986836471</v>
      </c>
      <c r="G67" s="495">
        <v>36515.963051836465</v>
      </c>
      <c r="H67" s="495">
        <v>9966.8647218364677</v>
      </c>
      <c r="I67" s="495">
        <v>-2838.4257000000002</v>
      </c>
      <c r="J67" s="495">
        <v>0</v>
      </c>
      <c r="M67" s="495">
        <v>12589.019190000001</v>
      </c>
      <c r="N67" s="495">
        <v>12806.577960000001</v>
      </c>
      <c r="O67" s="495">
        <v>6744.3218699999998</v>
      </c>
      <c r="P67" s="495">
        <v>0</v>
      </c>
      <c r="Q67" s="495">
        <v>0</v>
      </c>
      <c r="T67" s="495">
        <v>5181.2019600000003</v>
      </c>
      <c r="U67" s="495">
        <v>23545.457429999999</v>
      </c>
      <c r="V67" s="495">
        <v>-785.32608000000005</v>
      </c>
      <c r="W67" s="495">
        <v>-2838.4257000000002</v>
      </c>
      <c r="X67" s="495">
        <v>0</v>
      </c>
      <c r="AA67" s="495">
        <v>0</v>
      </c>
      <c r="AB67" s="495">
        <v>0</v>
      </c>
      <c r="AC67" s="495">
        <v>0</v>
      </c>
      <c r="AD67" s="495">
        <v>0</v>
      </c>
      <c r="AE67" s="495">
        <v>0</v>
      </c>
      <c r="AH67" s="495">
        <v>6426.3704468364704</v>
      </c>
      <c r="AI67" s="495">
        <v>5689.2192718364677</v>
      </c>
      <c r="AJ67" s="495">
        <v>4007.8689318364677</v>
      </c>
      <c r="AK67" s="495">
        <v>0</v>
      </c>
      <c r="AL67" s="495">
        <v>0</v>
      </c>
      <c r="AO67" s="495">
        <v>-5525.2916099999984</v>
      </c>
      <c r="AP67" s="495">
        <v>-5525.2916099999984</v>
      </c>
      <c r="AQ67" s="495">
        <v>0</v>
      </c>
      <c r="AR67" s="495">
        <v>0</v>
      </c>
      <c r="AS67" s="495">
        <v>0</v>
      </c>
    </row>
    <row r="68" spans="1:45">
      <c r="A68" s="390">
        <v>90812</v>
      </c>
      <c r="B68" s="393">
        <v>90812</v>
      </c>
      <c r="C68" s="499" t="s">
        <v>785</v>
      </c>
      <c r="D68" s="378">
        <v>1.8025663641214965E-4</v>
      </c>
      <c r="F68" s="495">
        <v>73076.343154026574</v>
      </c>
      <c r="G68" s="495">
        <v>200405.60768402656</v>
      </c>
      <c r="H68" s="495">
        <v>5610.498574026562</v>
      </c>
      <c r="I68" s="495">
        <v>-18677.234899999999</v>
      </c>
      <c r="J68" s="495">
        <v>0</v>
      </c>
      <c r="M68" s="495">
        <v>82837.492830000003</v>
      </c>
      <c r="N68" s="495">
        <v>84269.059720000005</v>
      </c>
      <c r="O68" s="495">
        <v>44378.57359</v>
      </c>
      <c r="P68" s="495">
        <v>0</v>
      </c>
      <c r="Q68" s="495">
        <v>0</v>
      </c>
      <c r="T68" s="495">
        <v>34093.027719999998</v>
      </c>
      <c r="U68" s="495">
        <v>154932.37651</v>
      </c>
      <c r="V68" s="495">
        <v>-5167.5545599999996</v>
      </c>
      <c r="W68" s="495">
        <v>-18677.234899999999</v>
      </c>
      <c r="X68" s="495">
        <v>0</v>
      </c>
      <c r="AA68" s="495">
        <v>0</v>
      </c>
      <c r="AB68" s="495">
        <v>0</v>
      </c>
      <c r="AC68" s="495">
        <v>0</v>
      </c>
      <c r="AD68" s="495">
        <v>0</v>
      </c>
      <c r="AE68" s="495">
        <v>0</v>
      </c>
      <c r="AH68" s="495">
        <v>0</v>
      </c>
      <c r="AI68" s="495">
        <v>0</v>
      </c>
      <c r="AJ68" s="495">
        <v>0</v>
      </c>
      <c r="AK68" s="495">
        <v>0</v>
      </c>
      <c r="AL68" s="495">
        <v>0</v>
      </c>
      <c r="AO68" s="495">
        <v>-43854.177395973427</v>
      </c>
      <c r="AP68" s="495">
        <v>-38795.82854597344</v>
      </c>
      <c r="AQ68" s="495">
        <v>-33600.520455973441</v>
      </c>
      <c r="AR68" s="495">
        <v>0</v>
      </c>
      <c r="AS68" s="495">
        <v>0</v>
      </c>
    </row>
    <row r="69" spans="1:45">
      <c r="A69" s="390">
        <v>90813</v>
      </c>
      <c r="B69" s="393">
        <v>90813</v>
      </c>
      <c r="C69" s="499" t="s">
        <v>786</v>
      </c>
      <c r="D69" s="378">
        <v>2.7103438974939092E-6</v>
      </c>
      <c r="F69" s="495">
        <v>3428.065737858773</v>
      </c>
      <c r="G69" s="495">
        <v>3043.5954478587746</v>
      </c>
      <c r="H69" s="495">
        <v>336.04694535877445</v>
      </c>
      <c r="I69" s="495">
        <v>-280.83729999999997</v>
      </c>
      <c r="J69" s="495">
        <v>0</v>
      </c>
      <c r="M69" s="495">
        <v>1245.5729099999999</v>
      </c>
      <c r="N69" s="495">
        <v>1267.09844</v>
      </c>
      <c r="O69" s="495">
        <v>667.29142999999999</v>
      </c>
      <c r="P69" s="495">
        <v>0</v>
      </c>
      <c r="Q69" s="495">
        <v>0</v>
      </c>
      <c r="T69" s="495">
        <v>512.63443999999993</v>
      </c>
      <c r="U69" s="495">
        <v>2329.61627</v>
      </c>
      <c r="V69" s="495">
        <v>-77.701120000000003</v>
      </c>
      <c r="W69" s="495">
        <v>-280.83729999999997</v>
      </c>
      <c r="X69" s="495">
        <v>0</v>
      </c>
      <c r="AA69" s="495">
        <v>0</v>
      </c>
      <c r="AB69" s="495">
        <v>0</v>
      </c>
      <c r="AC69" s="495">
        <v>0</v>
      </c>
      <c r="AD69" s="495">
        <v>0</v>
      </c>
      <c r="AE69" s="495">
        <v>0</v>
      </c>
      <c r="AH69" s="495">
        <v>2365.1256074999997</v>
      </c>
      <c r="AI69" s="495">
        <v>142.14795749999996</v>
      </c>
      <c r="AJ69" s="495">
        <v>0</v>
      </c>
      <c r="AK69" s="495">
        <v>0</v>
      </c>
      <c r="AL69" s="495">
        <v>0</v>
      </c>
      <c r="AO69" s="495">
        <v>-695.26721964122567</v>
      </c>
      <c r="AP69" s="495">
        <v>-695.26721964122567</v>
      </c>
      <c r="AQ69" s="495">
        <v>-253.54336464122559</v>
      </c>
      <c r="AR69" s="495">
        <v>0</v>
      </c>
      <c r="AS69" s="495">
        <v>0</v>
      </c>
    </row>
    <row r="70" spans="1:45">
      <c r="A70" s="390">
        <v>90861</v>
      </c>
      <c r="B70" s="393">
        <v>90861</v>
      </c>
      <c r="C70" s="499" t="s">
        <v>787</v>
      </c>
      <c r="D70" s="378">
        <v>4.9006946174347962E-6</v>
      </c>
      <c r="F70" s="495">
        <v>7560.8228673922495</v>
      </c>
      <c r="G70" s="495">
        <v>10983.493467392251</v>
      </c>
      <c r="H70" s="495">
        <v>824.67608489224881</v>
      </c>
      <c r="I70" s="495">
        <v>-507.78699999999998</v>
      </c>
      <c r="J70" s="495">
        <v>0</v>
      </c>
      <c r="M70" s="495">
        <v>2252.1428999999998</v>
      </c>
      <c r="N70" s="495">
        <v>2291.0636</v>
      </c>
      <c r="O70" s="495">
        <v>1206.5417</v>
      </c>
      <c r="P70" s="495">
        <v>0</v>
      </c>
      <c r="Q70" s="495">
        <v>0</v>
      </c>
      <c r="T70" s="495">
        <v>926.90359999999998</v>
      </c>
      <c r="U70" s="495">
        <v>4212.2213000000002</v>
      </c>
      <c r="V70" s="495">
        <v>-140.49279999999999</v>
      </c>
      <c r="W70" s="495">
        <v>-507.78699999999998</v>
      </c>
      <c r="X70" s="495">
        <v>0</v>
      </c>
      <c r="AA70" s="495">
        <v>0</v>
      </c>
      <c r="AB70" s="495">
        <v>0</v>
      </c>
      <c r="AC70" s="495">
        <v>0</v>
      </c>
      <c r="AD70" s="495">
        <v>0</v>
      </c>
      <c r="AE70" s="495">
        <v>0</v>
      </c>
      <c r="AH70" s="495">
        <v>5987.1063825000001</v>
      </c>
      <c r="AI70" s="495">
        <v>4721.5813825000005</v>
      </c>
      <c r="AJ70" s="495">
        <v>0</v>
      </c>
      <c r="AK70" s="495">
        <v>0</v>
      </c>
      <c r="AL70" s="495">
        <v>0</v>
      </c>
      <c r="AO70" s="495">
        <v>-1605.3300151077513</v>
      </c>
      <c r="AP70" s="495">
        <v>-241.37281510775119</v>
      </c>
      <c r="AQ70" s="495">
        <v>-241.37281510775119</v>
      </c>
      <c r="AR70" s="495">
        <v>0</v>
      </c>
      <c r="AS70" s="495">
        <v>0</v>
      </c>
    </row>
    <row r="71" spans="1:45">
      <c r="A71" s="390">
        <v>90901</v>
      </c>
      <c r="B71" s="393">
        <v>90901</v>
      </c>
      <c r="C71" s="499" t="s">
        <v>788</v>
      </c>
      <c r="D71" s="378">
        <v>1.8883695407864037E-3</v>
      </c>
      <c r="F71" s="495">
        <v>1086023.711531328</v>
      </c>
      <c r="G71" s="495">
        <v>2356811.1189713283</v>
      </c>
      <c r="H71" s="495">
        <v>312141.56693632866</v>
      </c>
      <c r="I71" s="495">
        <v>-195662.76670000001</v>
      </c>
      <c r="J71" s="495">
        <v>0</v>
      </c>
      <c r="M71" s="495">
        <v>867805.81388999999</v>
      </c>
      <c r="N71" s="495">
        <v>882802.91275999998</v>
      </c>
      <c r="O71" s="495">
        <v>464910.06497000001</v>
      </c>
      <c r="P71" s="495">
        <v>0</v>
      </c>
      <c r="Q71" s="495">
        <v>0</v>
      </c>
      <c r="T71" s="495">
        <v>357158.65675999998</v>
      </c>
      <c r="U71" s="495">
        <v>1623072.02333</v>
      </c>
      <c r="V71" s="495">
        <v>-54135.316480000001</v>
      </c>
      <c r="W71" s="495">
        <v>-195662.76670000001</v>
      </c>
      <c r="X71" s="495">
        <v>0</v>
      </c>
      <c r="AA71" s="495">
        <v>0</v>
      </c>
      <c r="AB71" s="495">
        <v>0</v>
      </c>
      <c r="AC71" s="495">
        <v>0</v>
      </c>
      <c r="AD71" s="495">
        <v>0</v>
      </c>
      <c r="AE71" s="495">
        <v>0</v>
      </c>
      <c r="AH71" s="495">
        <v>17835.260704999906</v>
      </c>
      <c r="AI71" s="495">
        <v>7712.2027050000615</v>
      </c>
      <c r="AJ71" s="495">
        <v>0</v>
      </c>
      <c r="AK71" s="495">
        <v>0</v>
      </c>
      <c r="AL71" s="495">
        <v>0</v>
      </c>
      <c r="AO71" s="495">
        <v>-156776.0198236717</v>
      </c>
      <c r="AP71" s="495">
        <v>-156776.0198236717</v>
      </c>
      <c r="AQ71" s="495">
        <v>-98633.181553671398</v>
      </c>
      <c r="AR71" s="495">
        <v>0</v>
      </c>
      <c r="AS71" s="495">
        <v>0</v>
      </c>
    </row>
    <row r="72" spans="1:45">
      <c r="A72" s="390">
        <v>90911</v>
      </c>
      <c r="B72" s="393">
        <v>90911</v>
      </c>
      <c r="C72" s="499" t="s">
        <v>789</v>
      </c>
      <c r="D72" s="378">
        <v>2.5478775554858309E-4</v>
      </c>
      <c r="F72" s="495">
        <v>93159.996128836836</v>
      </c>
      <c r="G72" s="495">
        <v>285830.33405383676</v>
      </c>
      <c r="H72" s="495">
        <v>19622.303568836811</v>
      </c>
      <c r="I72" s="495">
        <v>-26399.742499999997</v>
      </c>
      <c r="J72" s="495">
        <v>0</v>
      </c>
      <c r="M72" s="495">
        <v>117088.44975</v>
      </c>
      <c r="N72" s="495">
        <v>119111.92899999999</v>
      </c>
      <c r="O72" s="495">
        <v>62727.856749999999</v>
      </c>
      <c r="P72" s="495">
        <v>0</v>
      </c>
      <c r="Q72" s="495">
        <v>0</v>
      </c>
      <c r="T72" s="495">
        <v>48189.528999999995</v>
      </c>
      <c r="U72" s="495">
        <v>218992.52575</v>
      </c>
      <c r="V72" s="495">
        <v>-7304.192</v>
      </c>
      <c r="W72" s="495">
        <v>-26399.742499999997</v>
      </c>
      <c r="X72" s="495">
        <v>0</v>
      </c>
      <c r="AA72" s="495">
        <v>0</v>
      </c>
      <c r="AB72" s="495">
        <v>0</v>
      </c>
      <c r="AC72" s="495">
        <v>0</v>
      </c>
      <c r="AD72" s="495">
        <v>0</v>
      </c>
      <c r="AE72" s="495">
        <v>0</v>
      </c>
      <c r="AH72" s="495">
        <v>1240.6431250000023</v>
      </c>
      <c r="AI72" s="495">
        <v>0</v>
      </c>
      <c r="AJ72" s="495">
        <v>0</v>
      </c>
      <c r="AK72" s="495">
        <v>0</v>
      </c>
      <c r="AL72" s="495">
        <v>0</v>
      </c>
      <c r="AO72" s="495">
        <v>-73358.625746163176</v>
      </c>
      <c r="AP72" s="495">
        <v>-52274.120696163198</v>
      </c>
      <c r="AQ72" s="495">
        <v>-35801.361181163185</v>
      </c>
      <c r="AR72" s="495">
        <v>0</v>
      </c>
      <c r="AS72" s="495">
        <v>0</v>
      </c>
    </row>
    <row r="73" spans="1:45">
      <c r="A73" s="390">
        <v>90917</v>
      </c>
      <c r="B73" s="393">
        <v>90917</v>
      </c>
      <c r="C73" s="499" t="s">
        <v>790</v>
      </c>
      <c r="D73" s="378">
        <v>4.5806874037452477E-6</v>
      </c>
      <c r="F73" s="495">
        <v>810.44282380744789</v>
      </c>
      <c r="G73" s="495">
        <v>3112.911928807448</v>
      </c>
      <c r="H73" s="495">
        <v>-2330.0020986925506</v>
      </c>
      <c r="I73" s="495">
        <v>-474.62540000000001</v>
      </c>
      <c r="J73" s="495">
        <v>0</v>
      </c>
      <c r="M73" s="495">
        <v>2105.0641800000003</v>
      </c>
      <c r="N73" s="495">
        <v>2141.4431199999999</v>
      </c>
      <c r="O73" s="495">
        <v>1127.7471399999999</v>
      </c>
      <c r="P73" s="495">
        <v>0</v>
      </c>
      <c r="Q73" s="495">
        <v>0</v>
      </c>
      <c r="T73" s="495">
        <v>866.37112000000002</v>
      </c>
      <c r="U73" s="495">
        <v>3937.1374600000004</v>
      </c>
      <c r="V73" s="495">
        <v>-131.31775999999999</v>
      </c>
      <c r="W73" s="495">
        <v>-474.62540000000001</v>
      </c>
      <c r="X73" s="495">
        <v>0</v>
      </c>
      <c r="AA73" s="495">
        <v>0</v>
      </c>
      <c r="AB73" s="495">
        <v>0</v>
      </c>
      <c r="AC73" s="495">
        <v>0</v>
      </c>
      <c r="AD73" s="495">
        <v>0</v>
      </c>
      <c r="AE73" s="495">
        <v>0</v>
      </c>
      <c r="AH73" s="495">
        <v>1607.1628574999991</v>
      </c>
      <c r="AI73" s="495">
        <v>802.48668249999946</v>
      </c>
      <c r="AJ73" s="495">
        <v>0</v>
      </c>
      <c r="AK73" s="495">
        <v>0</v>
      </c>
      <c r="AL73" s="495">
        <v>0</v>
      </c>
      <c r="AO73" s="495">
        <v>-3768.1553336925508</v>
      </c>
      <c r="AP73" s="495">
        <v>-3768.1553336925508</v>
      </c>
      <c r="AQ73" s="495">
        <v>-3326.4314786925506</v>
      </c>
      <c r="AR73" s="495">
        <v>0</v>
      </c>
      <c r="AS73" s="495">
        <v>0</v>
      </c>
    </row>
    <row r="74" spans="1:45">
      <c r="A74" s="390">
        <v>90918</v>
      </c>
      <c r="B74" s="393">
        <v>90918</v>
      </c>
      <c r="C74" s="499" t="s">
        <v>791</v>
      </c>
      <c r="D74" s="378">
        <v>6.791066391580474E-6</v>
      </c>
      <c r="F74" s="495">
        <v>3141.0327560649739</v>
      </c>
      <c r="G74" s="495">
        <v>7852.204846064973</v>
      </c>
      <c r="H74" s="495">
        <v>892.83177106497283</v>
      </c>
      <c r="I74" s="495">
        <v>-703.64769999999999</v>
      </c>
      <c r="J74" s="495">
        <v>0</v>
      </c>
      <c r="M74" s="495">
        <v>3120.8265900000001</v>
      </c>
      <c r="N74" s="495">
        <v>3174.75956</v>
      </c>
      <c r="O74" s="495">
        <v>1671.9220700000001</v>
      </c>
      <c r="P74" s="495">
        <v>0</v>
      </c>
      <c r="Q74" s="495">
        <v>0</v>
      </c>
      <c r="T74" s="495">
        <v>1284.42356</v>
      </c>
      <c r="U74" s="495">
        <v>5836.93523</v>
      </c>
      <c r="V74" s="495">
        <v>-194.68288000000001</v>
      </c>
      <c r="W74" s="495">
        <v>-703.64769999999999</v>
      </c>
      <c r="X74" s="495">
        <v>0</v>
      </c>
      <c r="AA74" s="495">
        <v>0</v>
      </c>
      <c r="AB74" s="495">
        <v>0</v>
      </c>
      <c r="AC74" s="495">
        <v>0</v>
      </c>
      <c r="AD74" s="495">
        <v>0</v>
      </c>
      <c r="AE74" s="495">
        <v>0</v>
      </c>
      <c r="AH74" s="495">
        <v>371.06917499999986</v>
      </c>
      <c r="AI74" s="495">
        <v>248.47042499999998</v>
      </c>
      <c r="AJ74" s="495">
        <v>0</v>
      </c>
      <c r="AK74" s="495">
        <v>0</v>
      </c>
      <c r="AL74" s="495">
        <v>0</v>
      </c>
      <c r="AO74" s="495">
        <v>-1635.2865689350256</v>
      </c>
      <c r="AP74" s="495">
        <v>-1407.9603689350256</v>
      </c>
      <c r="AQ74" s="495">
        <v>-584.40741893502718</v>
      </c>
      <c r="AR74" s="495">
        <v>0</v>
      </c>
      <c r="AS74" s="495">
        <v>0</v>
      </c>
    </row>
    <row r="75" spans="1:45">
      <c r="A75" s="390">
        <v>90921</v>
      </c>
      <c r="B75" s="393">
        <v>90921</v>
      </c>
      <c r="C75" s="499" t="s">
        <v>792</v>
      </c>
      <c r="D75" s="378">
        <v>1.2330825948138636E-4</v>
      </c>
      <c r="F75" s="495">
        <v>86864.399123656185</v>
      </c>
      <c r="G75" s="495">
        <v>168284.73083865619</v>
      </c>
      <c r="H75" s="495">
        <v>30727.04784615618</v>
      </c>
      <c r="I75" s="495">
        <v>-12776.5427</v>
      </c>
      <c r="J75" s="495">
        <v>0</v>
      </c>
      <c r="M75" s="495">
        <v>56666.673089999997</v>
      </c>
      <c r="N75" s="495">
        <v>57645.965559999997</v>
      </c>
      <c r="O75" s="495">
        <v>30358.066569999999</v>
      </c>
      <c r="P75" s="495">
        <v>0</v>
      </c>
      <c r="Q75" s="495">
        <v>0</v>
      </c>
      <c r="T75" s="495">
        <v>23322.029559999999</v>
      </c>
      <c r="U75" s="495">
        <v>105984.64572999999</v>
      </c>
      <c r="V75" s="495">
        <v>-3534.9708799999999</v>
      </c>
      <c r="W75" s="495">
        <v>-12776.5427</v>
      </c>
      <c r="X75" s="495">
        <v>0</v>
      </c>
      <c r="AA75" s="495">
        <v>0</v>
      </c>
      <c r="AB75" s="495">
        <v>0</v>
      </c>
      <c r="AC75" s="495">
        <v>0</v>
      </c>
      <c r="AD75" s="495">
        <v>0</v>
      </c>
      <c r="AE75" s="495">
        <v>0</v>
      </c>
      <c r="AH75" s="495">
        <v>7319.2958711561987</v>
      </c>
      <c r="AI75" s="495">
        <v>4705.0445711561952</v>
      </c>
      <c r="AJ75" s="495">
        <v>3903.9521561561796</v>
      </c>
      <c r="AK75" s="495">
        <v>0</v>
      </c>
      <c r="AL75" s="495">
        <v>0</v>
      </c>
      <c r="AO75" s="495">
        <v>-443.59939749999467</v>
      </c>
      <c r="AP75" s="495">
        <v>-50.925022499995976</v>
      </c>
      <c r="AQ75" s="495">
        <v>0</v>
      </c>
      <c r="AR75" s="495">
        <v>0</v>
      </c>
      <c r="AS75" s="495">
        <v>0</v>
      </c>
    </row>
    <row r="76" spans="1:45">
      <c r="A76" s="390">
        <v>90931</v>
      </c>
      <c r="B76" s="393">
        <v>90931</v>
      </c>
      <c r="C76" s="499" t="s">
        <v>793</v>
      </c>
      <c r="D76" s="378">
        <v>2.6043869424558583E-5</v>
      </c>
      <c r="F76" s="495">
        <v>15523.902921713103</v>
      </c>
      <c r="G76" s="495">
        <v>36620.057111713097</v>
      </c>
      <c r="H76" s="495">
        <v>7105.653111713098</v>
      </c>
      <c r="I76" s="495">
        <v>-2698.5252</v>
      </c>
      <c r="J76" s="495">
        <v>0</v>
      </c>
      <c r="M76" s="495">
        <v>11968.530840000001</v>
      </c>
      <c r="N76" s="495">
        <v>12175.36656</v>
      </c>
      <c r="O76" s="495">
        <v>6411.9073200000003</v>
      </c>
      <c r="P76" s="495">
        <v>0</v>
      </c>
      <c r="Q76" s="495">
        <v>0</v>
      </c>
      <c r="T76" s="495">
        <v>4925.8305600000003</v>
      </c>
      <c r="U76" s="495">
        <v>22384.947480000003</v>
      </c>
      <c r="V76" s="495">
        <v>-746.61887999999999</v>
      </c>
      <c r="W76" s="495">
        <v>-2698.5252</v>
      </c>
      <c r="X76" s="495">
        <v>0</v>
      </c>
      <c r="AA76" s="495">
        <v>0</v>
      </c>
      <c r="AB76" s="495">
        <v>0</v>
      </c>
      <c r="AC76" s="495">
        <v>0</v>
      </c>
      <c r="AD76" s="495">
        <v>0</v>
      </c>
      <c r="AE76" s="495">
        <v>0</v>
      </c>
      <c r="AH76" s="495">
        <v>3098.4762217130974</v>
      </c>
      <c r="AI76" s="495">
        <v>2209.4799717130973</v>
      </c>
      <c r="AJ76" s="495">
        <v>1440.3646717130978</v>
      </c>
      <c r="AK76" s="495">
        <v>0</v>
      </c>
      <c r="AL76" s="495">
        <v>0</v>
      </c>
      <c r="AO76" s="495">
        <v>-4468.9346999999989</v>
      </c>
      <c r="AP76" s="495">
        <v>-149.73690000000101</v>
      </c>
      <c r="AQ76" s="495">
        <v>0</v>
      </c>
      <c r="AR76" s="495">
        <v>0</v>
      </c>
      <c r="AS76" s="495">
        <v>0</v>
      </c>
    </row>
    <row r="77" spans="1:45">
      <c r="A77" s="390">
        <v>90941</v>
      </c>
      <c r="B77" s="393">
        <v>90941</v>
      </c>
      <c r="C77" s="499" t="s">
        <v>794</v>
      </c>
      <c r="D77" s="378">
        <v>6.0488929621862529E-5</v>
      </c>
      <c r="F77" s="495">
        <v>20425.312325027164</v>
      </c>
      <c r="G77" s="495">
        <v>59478.837030027164</v>
      </c>
      <c r="H77" s="495">
        <v>750.51539752718236</v>
      </c>
      <c r="I77" s="495">
        <v>-6267.5423999999994</v>
      </c>
      <c r="J77" s="495">
        <v>0</v>
      </c>
      <c r="M77" s="495">
        <v>27797.878079999999</v>
      </c>
      <c r="N77" s="495">
        <v>28278.270719999997</v>
      </c>
      <c r="O77" s="495">
        <v>14892.171839999999</v>
      </c>
      <c r="P77" s="495">
        <v>0</v>
      </c>
      <c r="Q77" s="495">
        <v>0</v>
      </c>
      <c r="T77" s="495">
        <v>11440.638719999999</v>
      </c>
      <c r="U77" s="495">
        <v>51990.845759999997</v>
      </c>
      <c r="V77" s="495">
        <v>-1734.0825599999998</v>
      </c>
      <c r="W77" s="495">
        <v>-6267.5423999999994</v>
      </c>
      <c r="X77" s="495">
        <v>0</v>
      </c>
      <c r="AA77" s="495">
        <v>0</v>
      </c>
      <c r="AB77" s="495">
        <v>0</v>
      </c>
      <c r="AC77" s="495">
        <v>0</v>
      </c>
      <c r="AD77" s="495">
        <v>0</v>
      </c>
      <c r="AE77" s="495">
        <v>0</v>
      </c>
      <c r="AH77" s="495">
        <v>4376.0293499999971</v>
      </c>
      <c r="AI77" s="495">
        <v>0</v>
      </c>
      <c r="AJ77" s="495">
        <v>0</v>
      </c>
      <c r="AK77" s="495">
        <v>0</v>
      </c>
      <c r="AL77" s="495">
        <v>0</v>
      </c>
      <c r="AO77" s="495">
        <v>-23189.233824972831</v>
      </c>
      <c r="AP77" s="495">
        <v>-20790.279449972833</v>
      </c>
      <c r="AQ77" s="495">
        <v>-12407.573882472818</v>
      </c>
      <c r="AR77" s="495">
        <v>0</v>
      </c>
      <c r="AS77" s="495">
        <v>0</v>
      </c>
    </row>
    <row r="78" spans="1:45">
      <c r="A78" s="390">
        <v>91001</v>
      </c>
      <c r="B78" s="393">
        <v>91001</v>
      </c>
      <c r="C78" s="499" t="s">
        <v>795</v>
      </c>
      <c r="D78" s="378">
        <v>7.3177432246661466E-3</v>
      </c>
      <c r="F78" s="495">
        <v>4592418.5874973806</v>
      </c>
      <c r="G78" s="495">
        <v>9526655.3220823817</v>
      </c>
      <c r="H78" s="495">
        <v>1379554.6056548816</v>
      </c>
      <c r="I78" s="495">
        <v>-758225.47580000001</v>
      </c>
      <c r="J78" s="495">
        <v>0</v>
      </c>
      <c r="M78" s="495">
        <v>3362890.58586</v>
      </c>
      <c r="N78" s="495">
        <v>3421006.8162400001</v>
      </c>
      <c r="O78" s="495">
        <v>1801603.1417799999</v>
      </c>
      <c r="P78" s="495">
        <v>0</v>
      </c>
      <c r="Q78" s="495">
        <v>0</v>
      </c>
      <c r="T78" s="495">
        <v>1384048.67224</v>
      </c>
      <c r="U78" s="495">
        <v>6289671.6524200002</v>
      </c>
      <c r="V78" s="495">
        <v>-209783.27552</v>
      </c>
      <c r="W78" s="495">
        <v>-758225.47580000001</v>
      </c>
      <c r="X78" s="495">
        <v>0</v>
      </c>
      <c r="AA78" s="495">
        <v>0</v>
      </c>
      <c r="AB78" s="495">
        <v>0</v>
      </c>
      <c r="AC78" s="495">
        <v>0</v>
      </c>
      <c r="AD78" s="495">
        <v>0</v>
      </c>
      <c r="AE78" s="495">
        <v>0</v>
      </c>
      <c r="AH78" s="495">
        <v>177742.80844499925</v>
      </c>
      <c r="AI78" s="495">
        <v>131027.27434499896</v>
      </c>
      <c r="AJ78" s="495">
        <v>0</v>
      </c>
      <c r="AK78" s="495">
        <v>0</v>
      </c>
      <c r="AL78" s="495">
        <v>0</v>
      </c>
      <c r="AO78" s="495">
        <v>-332263.47904761869</v>
      </c>
      <c r="AP78" s="495">
        <v>-315050.42092261871</v>
      </c>
      <c r="AQ78" s="495">
        <v>-212265.26060511856</v>
      </c>
      <c r="AR78" s="495">
        <v>0</v>
      </c>
      <c r="AS78" s="495">
        <v>0</v>
      </c>
    </row>
    <row r="79" spans="1:45">
      <c r="A79" s="390">
        <v>91002</v>
      </c>
      <c r="B79" s="393">
        <v>91002</v>
      </c>
      <c r="C79" s="499" t="s">
        <v>796</v>
      </c>
      <c r="D79" s="378">
        <v>1.7275757816838128E-3</v>
      </c>
      <c r="F79" s="495">
        <v>1177811.364365302</v>
      </c>
      <c r="G79" s="495">
        <v>2271766.3268353022</v>
      </c>
      <c r="H79" s="495">
        <v>337637.65243030188</v>
      </c>
      <c r="I79" s="495">
        <v>-179002.1716</v>
      </c>
      <c r="J79" s="495">
        <v>0</v>
      </c>
      <c r="M79" s="495">
        <v>793912.54572000005</v>
      </c>
      <c r="N79" s="495">
        <v>807632.64848000009</v>
      </c>
      <c r="O79" s="495">
        <v>425323.18556000001</v>
      </c>
      <c r="P79" s="495">
        <v>0</v>
      </c>
      <c r="Q79" s="495">
        <v>0</v>
      </c>
      <c r="T79" s="495">
        <v>326746.76048</v>
      </c>
      <c r="U79" s="495">
        <v>1484868.1828400001</v>
      </c>
      <c r="V79" s="495">
        <v>-49525.719040000004</v>
      </c>
      <c r="W79" s="495">
        <v>-179002.1716</v>
      </c>
      <c r="X79" s="495">
        <v>0</v>
      </c>
      <c r="AA79" s="495">
        <v>0</v>
      </c>
      <c r="AB79" s="495">
        <v>0</v>
      </c>
      <c r="AC79" s="495">
        <v>0</v>
      </c>
      <c r="AD79" s="495">
        <v>0</v>
      </c>
      <c r="AE79" s="495">
        <v>0</v>
      </c>
      <c r="AH79" s="495">
        <v>241425.84849000012</v>
      </c>
      <c r="AI79" s="495">
        <v>91504.219589999993</v>
      </c>
      <c r="AJ79" s="495">
        <v>0</v>
      </c>
      <c r="AK79" s="495">
        <v>0</v>
      </c>
      <c r="AL79" s="495">
        <v>0</v>
      </c>
      <c r="AO79" s="495">
        <v>-184273.7903246982</v>
      </c>
      <c r="AP79" s="495">
        <v>-112238.72407469817</v>
      </c>
      <c r="AQ79" s="495">
        <v>-38159.814089698135</v>
      </c>
      <c r="AR79" s="495">
        <v>0</v>
      </c>
      <c r="AS79" s="495">
        <v>0</v>
      </c>
    </row>
    <row r="80" spans="1:45">
      <c r="A80" s="390">
        <v>91003</v>
      </c>
      <c r="B80" s="393">
        <v>91003</v>
      </c>
      <c r="C80" s="499" t="s">
        <v>797</v>
      </c>
      <c r="D80" s="378">
        <v>5.5040142908806657E-4</v>
      </c>
      <c r="F80" s="495">
        <v>333686.48665495968</v>
      </c>
      <c r="G80" s="495">
        <v>707814.09092495951</v>
      </c>
      <c r="H80" s="495">
        <v>101726.59898495967</v>
      </c>
      <c r="I80" s="495">
        <v>-57029.661599999999</v>
      </c>
      <c r="J80" s="495">
        <v>0</v>
      </c>
      <c r="M80" s="495">
        <v>252938.62871999998</v>
      </c>
      <c r="N80" s="495">
        <v>257309.82047999999</v>
      </c>
      <c r="O80" s="495">
        <v>135506.94456</v>
      </c>
      <c r="P80" s="495">
        <v>0</v>
      </c>
      <c r="Q80" s="495">
        <v>0</v>
      </c>
      <c r="T80" s="495">
        <v>104100.73247999999</v>
      </c>
      <c r="U80" s="495">
        <v>473075.43383999995</v>
      </c>
      <c r="V80" s="495">
        <v>-15778.775039999999</v>
      </c>
      <c r="W80" s="495">
        <v>-57029.661599999999</v>
      </c>
      <c r="X80" s="495">
        <v>0</v>
      </c>
      <c r="AA80" s="495">
        <v>0</v>
      </c>
      <c r="AB80" s="495">
        <v>0</v>
      </c>
      <c r="AC80" s="495">
        <v>0</v>
      </c>
      <c r="AD80" s="495">
        <v>0</v>
      </c>
      <c r="AE80" s="495">
        <v>0</v>
      </c>
      <c r="AH80" s="495">
        <v>18478.557769999999</v>
      </c>
      <c r="AI80" s="495">
        <v>7439.3065200000128</v>
      </c>
      <c r="AJ80" s="495">
        <v>0</v>
      </c>
      <c r="AK80" s="495">
        <v>0</v>
      </c>
      <c r="AL80" s="495">
        <v>0</v>
      </c>
      <c r="AO80" s="495">
        <v>-41831.432315040336</v>
      </c>
      <c r="AP80" s="495">
        <v>-30010.469915040405</v>
      </c>
      <c r="AQ80" s="495">
        <v>-18001.570535040344</v>
      </c>
      <c r="AR80" s="495">
        <v>0</v>
      </c>
      <c r="AS80" s="495">
        <v>0</v>
      </c>
    </row>
    <row r="81" spans="1:45">
      <c r="A81" s="390">
        <v>91004</v>
      </c>
      <c r="B81" s="393">
        <v>91004</v>
      </c>
      <c r="C81" s="499" t="s">
        <v>798</v>
      </c>
      <c r="D81" s="378">
        <v>4.1976282355735214E-5</v>
      </c>
      <c r="F81" s="495">
        <v>26189.371472668936</v>
      </c>
      <c r="G81" s="495">
        <v>55503.68249266893</v>
      </c>
      <c r="H81" s="495">
        <v>10408.850075168924</v>
      </c>
      <c r="I81" s="495">
        <v>-4349.3510999999999</v>
      </c>
      <c r="J81" s="495">
        <v>0</v>
      </c>
      <c r="M81" s="495">
        <v>19290.293369999999</v>
      </c>
      <c r="N81" s="495">
        <v>19623.661079999998</v>
      </c>
      <c r="O81" s="495">
        <v>10334.399009999999</v>
      </c>
      <c r="P81" s="495">
        <v>0</v>
      </c>
      <c r="Q81" s="495">
        <v>0</v>
      </c>
      <c r="T81" s="495">
        <v>7939.2130799999995</v>
      </c>
      <c r="U81" s="495">
        <v>36078.964890000003</v>
      </c>
      <c r="V81" s="495">
        <v>-1203.36384</v>
      </c>
      <c r="W81" s="495">
        <v>-4349.3510999999999</v>
      </c>
      <c r="X81" s="495">
        <v>0</v>
      </c>
      <c r="AA81" s="495">
        <v>0</v>
      </c>
      <c r="AB81" s="495">
        <v>0</v>
      </c>
      <c r="AC81" s="495">
        <v>0</v>
      </c>
      <c r="AD81" s="495">
        <v>0</v>
      </c>
      <c r="AE81" s="495">
        <v>0</v>
      </c>
      <c r="AH81" s="495">
        <v>1395.7545076689262</v>
      </c>
      <c r="AI81" s="495">
        <v>1395.7545076689262</v>
      </c>
      <c r="AJ81" s="495">
        <v>1277.8149051689256</v>
      </c>
      <c r="AK81" s="495">
        <v>0</v>
      </c>
      <c r="AL81" s="495">
        <v>0</v>
      </c>
      <c r="AO81" s="495">
        <v>-2435.8894849999942</v>
      </c>
      <c r="AP81" s="495">
        <v>-1594.6979849999971</v>
      </c>
      <c r="AQ81" s="495">
        <v>0</v>
      </c>
      <c r="AR81" s="495">
        <v>0</v>
      </c>
      <c r="AS81" s="495">
        <v>0</v>
      </c>
    </row>
    <row r="82" spans="1:45">
      <c r="A82" s="390">
        <v>91006</v>
      </c>
      <c r="B82" s="393">
        <v>91006</v>
      </c>
      <c r="C82" s="499" t="s">
        <v>799</v>
      </c>
      <c r="D82" s="378">
        <v>1.0159203884042055E-3</v>
      </c>
      <c r="F82" s="495">
        <v>621282.1671441634</v>
      </c>
      <c r="G82" s="495">
        <v>1289412.9910891633</v>
      </c>
      <c r="H82" s="495">
        <v>155298.3337041632</v>
      </c>
      <c r="I82" s="495">
        <v>-105264.2451</v>
      </c>
      <c r="J82" s="495">
        <v>0</v>
      </c>
      <c r="M82" s="495">
        <v>466869.22317000001</v>
      </c>
      <c r="N82" s="495">
        <v>474937.48428000003</v>
      </c>
      <c r="O82" s="495">
        <v>250116.09441000002</v>
      </c>
      <c r="P82" s="495">
        <v>0</v>
      </c>
      <c r="Q82" s="495">
        <v>0</v>
      </c>
      <c r="T82" s="495">
        <v>192147.11628000002</v>
      </c>
      <c r="U82" s="495">
        <v>873193.47548999998</v>
      </c>
      <c r="V82" s="495">
        <v>-29124.157440000003</v>
      </c>
      <c r="W82" s="495">
        <v>-105264.2451</v>
      </c>
      <c r="X82" s="495">
        <v>0</v>
      </c>
      <c r="AA82" s="495">
        <v>0</v>
      </c>
      <c r="AB82" s="495">
        <v>0</v>
      </c>
      <c r="AC82" s="495">
        <v>0</v>
      </c>
      <c r="AD82" s="495">
        <v>0</v>
      </c>
      <c r="AE82" s="495">
        <v>0</v>
      </c>
      <c r="AH82" s="495">
        <v>51842.15808000003</v>
      </c>
      <c r="AI82" s="495">
        <v>29677.853580000061</v>
      </c>
      <c r="AJ82" s="495">
        <v>0</v>
      </c>
      <c r="AK82" s="495">
        <v>0</v>
      </c>
      <c r="AL82" s="495">
        <v>0</v>
      </c>
      <c r="AO82" s="495">
        <v>-89576.330385836802</v>
      </c>
      <c r="AP82" s="495">
        <v>-88395.822260836809</v>
      </c>
      <c r="AQ82" s="495">
        <v>-65693.603265836806</v>
      </c>
      <c r="AR82" s="495">
        <v>0</v>
      </c>
      <c r="AS82" s="495">
        <v>0</v>
      </c>
    </row>
    <row r="83" spans="1:45">
      <c r="A83" s="390">
        <v>91007</v>
      </c>
      <c r="B83" s="393">
        <v>91007</v>
      </c>
      <c r="C83" s="499" t="s">
        <v>800</v>
      </c>
      <c r="D83" s="378">
        <v>9.9714069756615365E-6</v>
      </c>
      <c r="F83" s="495">
        <v>5258.2833516889223</v>
      </c>
      <c r="G83" s="495">
        <v>11986.817496688924</v>
      </c>
      <c r="H83" s="495">
        <v>1667.8941566889227</v>
      </c>
      <c r="I83" s="495">
        <v>-1033.1911</v>
      </c>
      <c r="J83" s="495">
        <v>0</v>
      </c>
      <c r="M83" s="495">
        <v>4582.42137</v>
      </c>
      <c r="N83" s="495">
        <v>4661.6130800000001</v>
      </c>
      <c r="O83" s="495">
        <v>2454.94301</v>
      </c>
      <c r="P83" s="495">
        <v>0</v>
      </c>
      <c r="Q83" s="495">
        <v>0</v>
      </c>
      <c r="T83" s="495">
        <v>1885.9650799999999</v>
      </c>
      <c r="U83" s="495">
        <v>8570.5808899999993</v>
      </c>
      <c r="V83" s="495">
        <v>-285.85983999999996</v>
      </c>
      <c r="W83" s="495">
        <v>-1033.1911</v>
      </c>
      <c r="X83" s="495">
        <v>0</v>
      </c>
      <c r="AA83" s="495">
        <v>0</v>
      </c>
      <c r="AB83" s="495">
        <v>0</v>
      </c>
      <c r="AC83" s="495">
        <v>0</v>
      </c>
      <c r="AD83" s="495">
        <v>0</v>
      </c>
      <c r="AE83" s="495">
        <v>0</v>
      </c>
      <c r="AH83" s="495">
        <v>284.15774999999985</v>
      </c>
      <c r="AI83" s="495">
        <v>0</v>
      </c>
      <c r="AJ83" s="495">
        <v>0</v>
      </c>
      <c r="AK83" s="495">
        <v>0</v>
      </c>
      <c r="AL83" s="495">
        <v>0</v>
      </c>
      <c r="AO83" s="495">
        <v>-1494.2608483110776</v>
      </c>
      <c r="AP83" s="495">
        <v>-1245.3764733110775</v>
      </c>
      <c r="AQ83" s="495">
        <v>-501.18901331107713</v>
      </c>
      <c r="AR83" s="495">
        <v>0</v>
      </c>
      <c r="AS83" s="495">
        <v>0</v>
      </c>
    </row>
    <row r="84" spans="1:45">
      <c r="A84" s="390">
        <v>91008</v>
      </c>
      <c r="B84" s="393">
        <v>91008</v>
      </c>
      <c r="C84" s="499" t="s">
        <v>801</v>
      </c>
      <c r="D84" s="378">
        <v>1.5895353217695106E-4</v>
      </c>
      <c r="F84" s="495">
        <v>92316.255602913297</v>
      </c>
      <c r="G84" s="495">
        <v>194773.83873291325</v>
      </c>
      <c r="H84" s="495">
        <v>11330.368285413278</v>
      </c>
      <c r="I84" s="495">
        <v>-16469.9159</v>
      </c>
      <c r="J84" s="495">
        <v>0</v>
      </c>
      <c r="M84" s="495">
        <v>73047.565529999993</v>
      </c>
      <c r="N84" s="495">
        <v>74309.946519999998</v>
      </c>
      <c r="O84" s="495">
        <v>39133.810689999998</v>
      </c>
      <c r="P84" s="495">
        <v>0</v>
      </c>
      <c r="Q84" s="495">
        <v>0</v>
      </c>
      <c r="T84" s="495">
        <v>30063.83452</v>
      </c>
      <c r="U84" s="495">
        <v>136622.10840999999</v>
      </c>
      <c r="V84" s="495">
        <v>-4556.8409599999995</v>
      </c>
      <c r="W84" s="495">
        <v>-16469.9159</v>
      </c>
      <c r="X84" s="495">
        <v>0</v>
      </c>
      <c r="AA84" s="495">
        <v>0</v>
      </c>
      <c r="AB84" s="495">
        <v>0</v>
      </c>
      <c r="AC84" s="495">
        <v>0</v>
      </c>
      <c r="AD84" s="495">
        <v>0</v>
      </c>
      <c r="AE84" s="495">
        <v>0</v>
      </c>
      <c r="AH84" s="495">
        <v>17623.988055000016</v>
      </c>
      <c r="AI84" s="495">
        <v>11372.517554999999</v>
      </c>
      <c r="AJ84" s="495">
        <v>0</v>
      </c>
      <c r="AK84" s="495">
        <v>0</v>
      </c>
      <c r="AL84" s="495">
        <v>0</v>
      </c>
      <c r="AO84" s="495">
        <v>-28419.13250208673</v>
      </c>
      <c r="AP84" s="495">
        <v>-27530.733752086722</v>
      </c>
      <c r="AQ84" s="495">
        <v>-23246.601444586719</v>
      </c>
      <c r="AR84" s="495">
        <v>0</v>
      </c>
      <c r="AS84" s="495">
        <v>0</v>
      </c>
    </row>
    <row r="85" spans="1:45">
      <c r="A85" s="390">
        <v>91009</v>
      </c>
      <c r="B85" s="393">
        <v>91009</v>
      </c>
      <c r="C85" s="499" t="s">
        <v>802</v>
      </c>
      <c r="D85" s="378">
        <v>1.0661566251546459E-5</v>
      </c>
      <c r="F85" s="495">
        <v>11725.798439418648</v>
      </c>
      <c r="G85" s="495">
        <v>14639.103124418651</v>
      </c>
      <c r="H85" s="495">
        <v>83.031069418648713</v>
      </c>
      <c r="I85" s="495">
        <v>-1104.6958</v>
      </c>
      <c r="J85" s="495">
        <v>0</v>
      </c>
      <c r="M85" s="495">
        <v>4899.5598599999994</v>
      </c>
      <c r="N85" s="495">
        <v>4984.2322399999994</v>
      </c>
      <c r="O85" s="495">
        <v>2624.8437799999997</v>
      </c>
      <c r="P85" s="495">
        <v>0</v>
      </c>
      <c r="Q85" s="495">
        <v>0</v>
      </c>
      <c r="T85" s="495">
        <v>2016.4882399999999</v>
      </c>
      <c r="U85" s="495">
        <v>9163.7304199999999</v>
      </c>
      <c r="V85" s="495">
        <v>-305.64351999999997</v>
      </c>
      <c r="W85" s="495">
        <v>-1104.6958</v>
      </c>
      <c r="X85" s="495">
        <v>0</v>
      </c>
      <c r="AA85" s="495">
        <v>0</v>
      </c>
      <c r="AB85" s="495">
        <v>0</v>
      </c>
      <c r="AC85" s="495">
        <v>0</v>
      </c>
      <c r="AD85" s="495">
        <v>0</v>
      </c>
      <c r="AE85" s="495">
        <v>0</v>
      </c>
      <c r="AH85" s="495">
        <v>7045.9195300000001</v>
      </c>
      <c r="AI85" s="495">
        <v>2727.3096550000009</v>
      </c>
      <c r="AJ85" s="495">
        <v>0</v>
      </c>
      <c r="AK85" s="495">
        <v>0</v>
      </c>
      <c r="AL85" s="495">
        <v>0</v>
      </c>
      <c r="AO85" s="495">
        <v>-2236.1691905813509</v>
      </c>
      <c r="AP85" s="495">
        <v>-2236.1691905813509</v>
      </c>
      <c r="AQ85" s="495">
        <v>-2236.1691905813509</v>
      </c>
      <c r="AR85" s="495">
        <v>0</v>
      </c>
      <c r="AS85" s="495">
        <v>0</v>
      </c>
    </row>
    <row r="86" spans="1:45">
      <c r="A86" s="390">
        <v>91010</v>
      </c>
      <c r="B86" s="393">
        <v>91010</v>
      </c>
      <c r="C86" s="499" t="s">
        <v>803</v>
      </c>
      <c r="D86" s="378">
        <v>5.6348270681632907E-5</v>
      </c>
      <c r="F86" s="495">
        <v>55144.273898648848</v>
      </c>
      <c r="G86" s="495">
        <v>89970.269813648832</v>
      </c>
      <c r="H86" s="495">
        <v>26412.378881148841</v>
      </c>
      <c r="I86" s="495">
        <v>-5838.5141999999996</v>
      </c>
      <c r="J86" s="495">
        <v>0</v>
      </c>
      <c r="M86" s="495">
        <v>25895.047139999999</v>
      </c>
      <c r="N86" s="495">
        <v>26342.555759999999</v>
      </c>
      <c r="O86" s="495">
        <v>13872.76722</v>
      </c>
      <c r="P86" s="495">
        <v>0</v>
      </c>
      <c r="Q86" s="495">
        <v>0</v>
      </c>
      <c r="T86" s="495">
        <v>10657.499760000001</v>
      </c>
      <c r="U86" s="495">
        <v>48431.948579999997</v>
      </c>
      <c r="V86" s="495">
        <v>-1615.38048</v>
      </c>
      <c r="W86" s="495">
        <v>-5838.5141999999996</v>
      </c>
      <c r="X86" s="495">
        <v>0</v>
      </c>
      <c r="AA86" s="495">
        <v>0</v>
      </c>
      <c r="AB86" s="495">
        <v>0</v>
      </c>
      <c r="AC86" s="495">
        <v>0</v>
      </c>
      <c r="AD86" s="495">
        <v>0</v>
      </c>
      <c r="AE86" s="495">
        <v>0</v>
      </c>
      <c r="AH86" s="495">
        <v>21114.793763648835</v>
      </c>
      <c r="AI86" s="495">
        <v>17718.832238648836</v>
      </c>
      <c r="AJ86" s="495">
        <v>14154.992141148839</v>
      </c>
      <c r="AK86" s="495">
        <v>0</v>
      </c>
      <c r="AL86" s="495">
        <v>0</v>
      </c>
      <c r="AO86" s="495">
        <v>-2523.0667649999905</v>
      </c>
      <c r="AP86" s="495">
        <v>-2523.0667649999905</v>
      </c>
      <c r="AQ86" s="495">
        <v>0</v>
      </c>
      <c r="AR86" s="495">
        <v>0</v>
      </c>
      <c r="AS86" s="495">
        <v>0</v>
      </c>
    </row>
    <row r="87" spans="1:45">
      <c r="A87" s="390">
        <v>91011</v>
      </c>
      <c r="B87" s="393">
        <v>91011</v>
      </c>
      <c r="C87" s="499" t="s">
        <v>804</v>
      </c>
      <c r="D87" s="378">
        <v>5.3854973865097647E-4</v>
      </c>
      <c r="F87" s="495">
        <v>462614.38145970996</v>
      </c>
      <c r="G87" s="495">
        <v>820083.62890470994</v>
      </c>
      <c r="H87" s="495">
        <v>166283.27110721002</v>
      </c>
      <c r="I87" s="495">
        <v>-55801.646099999998</v>
      </c>
      <c r="J87" s="495">
        <v>0</v>
      </c>
      <c r="M87" s="495">
        <v>247492.11986999999</v>
      </c>
      <c r="N87" s="495">
        <v>251769.18708</v>
      </c>
      <c r="O87" s="495">
        <v>132589.08351</v>
      </c>
      <c r="P87" s="495">
        <v>0</v>
      </c>
      <c r="Q87" s="495">
        <v>0</v>
      </c>
      <c r="T87" s="495">
        <v>101859.13907999999</v>
      </c>
      <c r="U87" s="495">
        <v>462888.73538999999</v>
      </c>
      <c r="V87" s="495">
        <v>-15439.011839999999</v>
      </c>
      <c r="W87" s="495">
        <v>-55801.646099999998</v>
      </c>
      <c r="X87" s="495">
        <v>0</v>
      </c>
      <c r="AA87" s="495">
        <v>0</v>
      </c>
      <c r="AB87" s="495">
        <v>0</v>
      </c>
      <c r="AC87" s="495">
        <v>0</v>
      </c>
      <c r="AD87" s="495">
        <v>0</v>
      </c>
      <c r="AE87" s="495">
        <v>0</v>
      </c>
      <c r="AH87" s="495">
        <v>117587.65813470999</v>
      </c>
      <c r="AI87" s="495">
        <v>105425.70643470995</v>
      </c>
      <c r="AJ87" s="495">
        <v>49133.199437210002</v>
      </c>
      <c r="AK87" s="495">
        <v>0</v>
      </c>
      <c r="AL87" s="495">
        <v>0</v>
      </c>
      <c r="AO87" s="495">
        <v>-4324.5356250000041</v>
      </c>
      <c r="AP87" s="495">
        <v>0</v>
      </c>
      <c r="AQ87" s="495">
        <v>0</v>
      </c>
      <c r="AR87" s="495">
        <v>0</v>
      </c>
      <c r="AS87" s="495">
        <v>0</v>
      </c>
    </row>
    <row r="88" spans="1:45">
      <c r="A88" s="390">
        <v>91012</v>
      </c>
      <c r="B88" s="393">
        <v>91012</v>
      </c>
      <c r="C88" s="499" t="s">
        <v>805</v>
      </c>
      <c r="D88" s="378">
        <v>1.7062452313037221E-5</v>
      </c>
      <c r="F88" s="495">
        <v>18451.781761114646</v>
      </c>
      <c r="G88" s="495">
        <v>30853.222121114643</v>
      </c>
      <c r="H88" s="495">
        <v>5346.7036811146472</v>
      </c>
      <c r="I88" s="495">
        <v>-1767.9277999999999</v>
      </c>
      <c r="J88" s="495">
        <v>0</v>
      </c>
      <c r="M88" s="495">
        <v>7841.1342599999998</v>
      </c>
      <c r="N88" s="495">
        <v>7976.6418399999993</v>
      </c>
      <c r="O88" s="495">
        <v>4200.7349800000002</v>
      </c>
      <c r="P88" s="495">
        <v>0</v>
      </c>
      <c r="Q88" s="495">
        <v>0</v>
      </c>
      <c r="T88" s="495">
        <v>3227.1378399999999</v>
      </c>
      <c r="U88" s="495">
        <v>14665.407219999999</v>
      </c>
      <c r="V88" s="495">
        <v>-489.14431999999999</v>
      </c>
      <c r="W88" s="495">
        <v>-1767.9277999999999</v>
      </c>
      <c r="X88" s="495">
        <v>0</v>
      </c>
      <c r="AA88" s="495">
        <v>0</v>
      </c>
      <c r="AB88" s="495">
        <v>0</v>
      </c>
      <c r="AC88" s="495">
        <v>0</v>
      </c>
      <c r="AD88" s="495">
        <v>0</v>
      </c>
      <c r="AE88" s="495">
        <v>0</v>
      </c>
      <c r="AH88" s="495">
        <v>10395.581811114645</v>
      </c>
      <c r="AI88" s="495">
        <v>8211.173061114645</v>
      </c>
      <c r="AJ88" s="495">
        <v>1635.1130211146469</v>
      </c>
      <c r="AK88" s="495">
        <v>0</v>
      </c>
      <c r="AL88" s="495">
        <v>0</v>
      </c>
      <c r="AO88" s="495">
        <v>-3012.07215</v>
      </c>
      <c r="AP88" s="495">
        <v>0</v>
      </c>
      <c r="AQ88" s="495">
        <v>0</v>
      </c>
      <c r="AR88" s="495">
        <v>0</v>
      </c>
      <c r="AS88" s="495">
        <v>0</v>
      </c>
    </row>
    <row r="89" spans="1:45">
      <c r="A89" s="390">
        <v>91013</v>
      </c>
      <c r="B89" s="393">
        <v>91013</v>
      </c>
      <c r="C89" s="499" t="s">
        <v>806</v>
      </c>
      <c r="D89" s="378">
        <v>2.6153802361667509E-5</v>
      </c>
      <c r="F89" s="495">
        <v>23590.947955445357</v>
      </c>
      <c r="G89" s="495">
        <v>37137.644030445357</v>
      </c>
      <c r="H89" s="495">
        <v>4743.3523079453635</v>
      </c>
      <c r="I89" s="495">
        <v>-2709.9245000000001</v>
      </c>
      <c r="J89" s="495">
        <v>0</v>
      </c>
      <c r="M89" s="495">
        <v>12019.08915</v>
      </c>
      <c r="N89" s="495">
        <v>12226.7986</v>
      </c>
      <c r="O89" s="495">
        <v>6438.9929499999998</v>
      </c>
      <c r="P89" s="495">
        <v>0</v>
      </c>
      <c r="Q89" s="495">
        <v>0</v>
      </c>
      <c r="T89" s="495">
        <v>4946.6385999999993</v>
      </c>
      <c r="U89" s="495">
        <v>22479.507549999998</v>
      </c>
      <c r="V89" s="495">
        <v>-749.77279999999996</v>
      </c>
      <c r="W89" s="495">
        <v>-2709.9245000000001</v>
      </c>
      <c r="X89" s="495">
        <v>0</v>
      </c>
      <c r="AA89" s="495">
        <v>0</v>
      </c>
      <c r="AB89" s="495">
        <v>0</v>
      </c>
      <c r="AC89" s="495">
        <v>0</v>
      </c>
      <c r="AD89" s="495">
        <v>0</v>
      </c>
      <c r="AE89" s="495">
        <v>0</v>
      </c>
      <c r="AH89" s="495">
        <v>9850.8278424999971</v>
      </c>
      <c r="AI89" s="495">
        <v>5031.7984674999989</v>
      </c>
      <c r="AJ89" s="495">
        <v>0</v>
      </c>
      <c r="AK89" s="495">
        <v>0</v>
      </c>
      <c r="AL89" s="495">
        <v>0</v>
      </c>
      <c r="AO89" s="495">
        <v>-3225.6076370546357</v>
      </c>
      <c r="AP89" s="495">
        <v>-2600.4605870546361</v>
      </c>
      <c r="AQ89" s="495">
        <v>-945.86784205463664</v>
      </c>
      <c r="AR89" s="495">
        <v>0</v>
      </c>
      <c r="AS89" s="495">
        <v>0</v>
      </c>
    </row>
    <row r="90" spans="1:45">
      <c r="A90" s="390">
        <v>91014</v>
      </c>
      <c r="B90" s="393">
        <v>91014</v>
      </c>
      <c r="C90" s="499" t="s">
        <v>807</v>
      </c>
      <c r="D90" s="378">
        <v>1.9841930824151589E-4</v>
      </c>
      <c r="F90" s="495">
        <v>165793.30248996394</v>
      </c>
      <c r="G90" s="495">
        <v>299226.46435496391</v>
      </c>
      <c r="H90" s="495">
        <v>78022.67717746392</v>
      </c>
      <c r="I90" s="495">
        <v>-20559.155699999999</v>
      </c>
      <c r="J90" s="495">
        <v>0</v>
      </c>
      <c r="M90" s="495">
        <v>91184.210189999998</v>
      </c>
      <c r="N90" s="495">
        <v>92760.021959999998</v>
      </c>
      <c r="O90" s="495">
        <v>48850.164870000001</v>
      </c>
      <c r="P90" s="495">
        <v>0</v>
      </c>
      <c r="Q90" s="495">
        <v>0</v>
      </c>
      <c r="T90" s="495">
        <v>37528.24596</v>
      </c>
      <c r="U90" s="495">
        <v>170543.38443000001</v>
      </c>
      <c r="V90" s="495">
        <v>-5688.2380800000001</v>
      </c>
      <c r="W90" s="495">
        <v>-20559.155699999999</v>
      </c>
      <c r="X90" s="495">
        <v>0</v>
      </c>
      <c r="AA90" s="495">
        <v>0</v>
      </c>
      <c r="AB90" s="495">
        <v>0</v>
      </c>
      <c r="AC90" s="495">
        <v>0</v>
      </c>
      <c r="AD90" s="495">
        <v>0</v>
      </c>
      <c r="AE90" s="495">
        <v>0</v>
      </c>
      <c r="AH90" s="495">
        <v>47939.465394963925</v>
      </c>
      <c r="AI90" s="495">
        <v>42803.468519963928</v>
      </c>
      <c r="AJ90" s="495">
        <v>34860.750387463922</v>
      </c>
      <c r="AK90" s="495">
        <v>0</v>
      </c>
      <c r="AL90" s="495">
        <v>0</v>
      </c>
      <c r="AO90" s="495">
        <v>-10858.619054999999</v>
      </c>
      <c r="AP90" s="495">
        <v>-6880.4105550000131</v>
      </c>
      <c r="AQ90" s="495">
        <v>0</v>
      </c>
      <c r="AR90" s="495">
        <v>0</v>
      </c>
      <c r="AS90" s="495">
        <v>0</v>
      </c>
    </row>
    <row r="91" spans="1:45">
      <c r="A91" s="390">
        <v>91015</v>
      </c>
      <c r="B91" s="393">
        <v>91015</v>
      </c>
      <c r="C91" s="499" t="s">
        <v>1636</v>
      </c>
      <c r="D91" s="378">
        <v>1.7012455822071351E-5</v>
      </c>
      <c r="F91" s="495">
        <v>20933.335760554524</v>
      </c>
      <c r="G91" s="495">
        <v>28247.425520554527</v>
      </c>
      <c r="H91" s="495">
        <v>5883.9876155545226</v>
      </c>
      <c r="I91" s="495">
        <v>-1762.7463000000002</v>
      </c>
      <c r="J91" s="495">
        <v>0</v>
      </c>
      <c r="M91" s="495">
        <v>7818.1532100000004</v>
      </c>
      <c r="N91" s="495">
        <v>7953.263640000001</v>
      </c>
      <c r="O91" s="495">
        <v>4188.4233300000005</v>
      </c>
      <c r="P91" s="495">
        <v>0</v>
      </c>
      <c r="Q91" s="495">
        <v>0</v>
      </c>
      <c r="T91" s="495">
        <v>3217.6796400000003</v>
      </c>
      <c r="U91" s="495">
        <v>14622.425370000001</v>
      </c>
      <c r="V91" s="495">
        <v>-487.71072000000004</v>
      </c>
      <c r="W91" s="495">
        <v>-1762.7463000000002</v>
      </c>
      <c r="X91" s="495">
        <v>0</v>
      </c>
      <c r="AA91" s="495">
        <v>0</v>
      </c>
      <c r="AB91" s="495">
        <v>0</v>
      </c>
      <c r="AC91" s="495">
        <v>0</v>
      </c>
      <c r="AD91" s="495">
        <v>0</v>
      </c>
      <c r="AE91" s="495">
        <v>0</v>
      </c>
      <c r="AH91" s="495">
        <v>11529.63512055452</v>
      </c>
      <c r="AI91" s="495">
        <v>7303.8687205545211</v>
      </c>
      <c r="AJ91" s="495">
        <v>2183.2750055545221</v>
      </c>
      <c r="AK91" s="495">
        <v>0</v>
      </c>
      <c r="AL91" s="495">
        <v>0</v>
      </c>
      <c r="AO91" s="495">
        <v>-1632.1322099999979</v>
      </c>
      <c r="AP91" s="495">
        <v>-1632.1322099999979</v>
      </c>
      <c r="AQ91" s="495">
        <v>0</v>
      </c>
      <c r="AR91" s="495">
        <v>0</v>
      </c>
      <c r="AS91" s="495">
        <v>0</v>
      </c>
    </row>
    <row r="92" spans="1:45">
      <c r="A92" s="390">
        <v>91017</v>
      </c>
      <c r="B92" s="393">
        <v>91017</v>
      </c>
      <c r="C92" s="499" t="s">
        <v>2009</v>
      </c>
      <c r="D92" s="378">
        <v>3.8775765146219855E-5</v>
      </c>
      <c r="F92" s="495">
        <v>35401.360249320918</v>
      </c>
      <c r="G92" s="495">
        <v>58701.260769320928</v>
      </c>
      <c r="H92" s="495">
        <v>12489.576659320928</v>
      </c>
      <c r="I92" s="495">
        <v>-4017.7351000000003</v>
      </c>
      <c r="J92" s="495">
        <v>0</v>
      </c>
      <c r="M92" s="495">
        <v>17819.506170000001</v>
      </c>
      <c r="N92" s="495">
        <v>18127.456280000002</v>
      </c>
      <c r="O92" s="495">
        <v>9546.4534100000001</v>
      </c>
      <c r="P92" s="495">
        <v>0</v>
      </c>
      <c r="Q92" s="495">
        <v>0</v>
      </c>
      <c r="T92" s="495">
        <v>7333.888280000001</v>
      </c>
      <c r="U92" s="495">
        <v>33328.126490000002</v>
      </c>
      <c r="V92" s="495">
        <v>-1111.6134400000001</v>
      </c>
      <c r="W92" s="495">
        <v>-4017.7351000000003</v>
      </c>
      <c r="X92" s="495">
        <v>0</v>
      </c>
      <c r="AA92" s="495">
        <v>0</v>
      </c>
      <c r="AB92" s="495">
        <v>0</v>
      </c>
      <c r="AC92" s="495">
        <v>0</v>
      </c>
      <c r="AD92" s="495">
        <v>0</v>
      </c>
      <c r="AE92" s="495">
        <v>0</v>
      </c>
      <c r="AH92" s="495">
        <v>10247.965799320922</v>
      </c>
      <c r="AI92" s="495">
        <v>7245.6779993209211</v>
      </c>
      <c r="AJ92" s="495">
        <v>4054.7366893209273</v>
      </c>
      <c r="AK92" s="495">
        <v>0</v>
      </c>
      <c r="AL92" s="495">
        <v>0</v>
      </c>
      <c r="AO92" s="495">
        <v>0</v>
      </c>
      <c r="AP92" s="495">
        <v>0</v>
      </c>
      <c r="AQ92" s="495">
        <v>0</v>
      </c>
      <c r="AR92" s="495">
        <v>0</v>
      </c>
      <c r="AS92" s="495">
        <v>0</v>
      </c>
    </row>
    <row r="93" spans="1:45">
      <c r="A93" s="390">
        <v>91020</v>
      </c>
      <c r="B93" s="393">
        <v>91020</v>
      </c>
      <c r="C93" s="499" t="s">
        <v>809</v>
      </c>
      <c r="D93" s="378">
        <v>3.9355843127455891E-5</v>
      </c>
      <c r="F93" s="495">
        <v>38725.841965818378</v>
      </c>
      <c r="G93" s="495">
        <v>63670.229965818377</v>
      </c>
      <c r="H93" s="495">
        <v>20059.197695818373</v>
      </c>
      <c r="I93" s="495">
        <v>-4077.8405000000002</v>
      </c>
      <c r="J93" s="495">
        <v>0</v>
      </c>
      <c r="M93" s="495">
        <v>18086.086350000001</v>
      </c>
      <c r="N93" s="495">
        <v>18398.643400000001</v>
      </c>
      <c r="O93" s="495">
        <v>9689.2685500000007</v>
      </c>
      <c r="P93" s="495">
        <v>0</v>
      </c>
      <c r="Q93" s="495">
        <v>0</v>
      </c>
      <c r="T93" s="495">
        <v>7443.6034</v>
      </c>
      <c r="U93" s="495">
        <v>33826.715949999998</v>
      </c>
      <c r="V93" s="495">
        <v>-1128.2432000000001</v>
      </c>
      <c r="W93" s="495">
        <v>-4077.8405000000002</v>
      </c>
      <c r="X93" s="495">
        <v>0</v>
      </c>
      <c r="AA93" s="495">
        <v>0</v>
      </c>
      <c r="AB93" s="495">
        <v>0</v>
      </c>
      <c r="AC93" s="495">
        <v>0</v>
      </c>
      <c r="AD93" s="495">
        <v>0</v>
      </c>
      <c r="AE93" s="495">
        <v>0</v>
      </c>
      <c r="AH93" s="495">
        <v>13585.468155818371</v>
      </c>
      <c r="AI93" s="495">
        <v>11834.186555818371</v>
      </c>
      <c r="AJ93" s="495">
        <v>11498.172345818371</v>
      </c>
      <c r="AK93" s="495">
        <v>0</v>
      </c>
      <c r="AL93" s="495">
        <v>0</v>
      </c>
      <c r="AO93" s="495">
        <v>-389.31593999999495</v>
      </c>
      <c r="AP93" s="495">
        <v>-389.31593999999495</v>
      </c>
      <c r="AQ93" s="495">
        <v>0</v>
      </c>
      <c r="AR93" s="495">
        <v>0</v>
      </c>
      <c r="AS93" s="495">
        <v>0</v>
      </c>
    </row>
    <row r="94" spans="1:45">
      <c r="A94" s="390">
        <v>91021</v>
      </c>
      <c r="B94" s="393">
        <v>91021</v>
      </c>
      <c r="C94" s="499" t="s">
        <v>810</v>
      </c>
      <c r="D94" s="378">
        <v>9.435296234967471E-4</v>
      </c>
      <c r="F94" s="495">
        <v>645087.82453582599</v>
      </c>
      <c r="G94" s="495">
        <v>1298940.3170258261</v>
      </c>
      <c r="H94" s="495">
        <v>229234.51178332616</v>
      </c>
      <c r="I94" s="495">
        <v>-97763.505699999994</v>
      </c>
      <c r="J94" s="495">
        <v>0</v>
      </c>
      <c r="M94" s="495">
        <v>433601.85519000003</v>
      </c>
      <c r="N94" s="495">
        <v>441095.20195999998</v>
      </c>
      <c r="O94" s="495">
        <v>232293.74987</v>
      </c>
      <c r="P94" s="495">
        <v>0</v>
      </c>
      <c r="Q94" s="495">
        <v>0</v>
      </c>
      <c r="T94" s="495">
        <v>178455.42595999999</v>
      </c>
      <c r="U94" s="495">
        <v>810972.94943000004</v>
      </c>
      <c r="V94" s="495">
        <v>-27048.878079999999</v>
      </c>
      <c r="W94" s="495">
        <v>-97763.505699999994</v>
      </c>
      <c r="X94" s="495">
        <v>0</v>
      </c>
      <c r="AA94" s="495">
        <v>0</v>
      </c>
      <c r="AB94" s="495">
        <v>0</v>
      </c>
      <c r="AC94" s="495">
        <v>0</v>
      </c>
      <c r="AD94" s="495">
        <v>0</v>
      </c>
      <c r="AE94" s="495">
        <v>0</v>
      </c>
      <c r="AH94" s="495">
        <v>51216.639385825998</v>
      </c>
      <c r="AI94" s="495">
        <v>46872.165635825993</v>
      </c>
      <c r="AJ94" s="495">
        <v>23989.639993326167</v>
      </c>
      <c r="AK94" s="495">
        <v>0</v>
      </c>
      <c r="AL94" s="495">
        <v>0</v>
      </c>
      <c r="AO94" s="495">
        <v>-18186.095999999961</v>
      </c>
      <c r="AP94" s="495">
        <v>0</v>
      </c>
      <c r="AQ94" s="495">
        <v>0</v>
      </c>
      <c r="AR94" s="495">
        <v>0</v>
      </c>
      <c r="AS94" s="495">
        <v>0</v>
      </c>
    </row>
    <row r="95" spans="1:45">
      <c r="A95" s="390">
        <v>91024</v>
      </c>
      <c r="B95" s="393">
        <v>91024</v>
      </c>
      <c r="C95" s="499" t="s">
        <v>811</v>
      </c>
      <c r="D95" s="378">
        <v>1.1297678875624659E-4</v>
      </c>
      <c r="F95" s="495">
        <v>103798.61882293434</v>
      </c>
      <c r="G95" s="495">
        <v>171614.86378293432</v>
      </c>
      <c r="H95" s="495">
        <v>32903.206065434366</v>
      </c>
      <c r="I95" s="495">
        <v>-11706.0448</v>
      </c>
      <c r="J95" s="495">
        <v>0</v>
      </c>
      <c r="M95" s="495">
        <v>51918.788160000004</v>
      </c>
      <c r="N95" s="495">
        <v>52816.029439999998</v>
      </c>
      <c r="O95" s="495">
        <v>27814.47968</v>
      </c>
      <c r="P95" s="495">
        <v>0</v>
      </c>
      <c r="Q95" s="495">
        <v>0</v>
      </c>
      <c r="T95" s="495">
        <v>21367.96544</v>
      </c>
      <c r="U95" s="495">
        <v>97104.595520000003</v>
      </c>
      <c r="V95" s="495">
        <v>-3238.7891199999999</v>
      </c>
      <c r="W95" s="495">
        <v>-11706.0448</v>
      </c>
      <c r="X95" s="495">
        <v>0</v>
      </c>
      <c r="AA95" s="495">
        <v>0</v>
      </c>
      <c r="AB95" s="495">
        <v>0</v>
      </c>
      <c r="AC95" s="495">
        <v>0</v>
      </c>
      <c r="AD95" s="495">
        <v>0</v>
      </c>
      <c r="AE95" s="495">
        <v>0</v>
      </c>
      <c r="AH95" s="495">
        <v>30511.865222934346</v>
      </c>
      <c r="AI95" s="495">
        <v>21694.238822934349</v>
      </c>
      <c r="AJ95" s="495">
        <v>8327.5155054343686</v>
      </c>
      <c r="AK95" s="495">
        <v>0</v>
      </c>
      <c r="AL95" s="495">
        <v>0</v>
      </c>
      <c r="AO95" s="495">
        <v>0</v>
      </c>
      <c r="AP95" s="495">
        <v>0</v>
      </c>
      <c r="AQ95" s="495">
        <v>0</v>
      </c>
      <c r="AR95" s="495">
        <v>0</v>
      </c>
      <c r="AS95" s="495">
        <v>0</v>
      </c>
    </row>
    <row r="96" spans="1:45">
      <c r="A96" s="390">
        <v>91026</v>
      </c>
      <c r="B96" s="500">
        <v>91026</v>
      </c>
      <c r="C96" s="501" t="s">
        <v>43</v>
      </c>
      <c r="D96" s="378">
        <v>1.9842969326931294E-5</v>
      </c>
      <c r="F96" s="495">
        <v>22659.881277257591</v>
      </c>
      <c r="G96" s="495">
        <v>40815.288292257588</v>
      </c>
      <c r="H96" s="495">
        <v>3017.7891622575962</v>
      </c>
      <c r="I96" s="495">
        <v>-2056.0192000000002</v>
      </c>
      <c r="J96" s="495">
        <v>0</v>
      </c>
      <c r="M96" s="495">
        <v>9118.8806399999994</v>
      </c>
      <c r="N96" s="495">
        <v>9276.46976</v>
      </c>
      <c r="O96" s="495">
        <v>4885.2627199999997</v>
      </c>
      <c r="P96" s="495">
        <v>0</v>
      </c>
      <c r="Q96" s="495">
        <v>0</v>
      </c>
      <c r="T96" s="495">
        <v>3753.0137599999998</v>
      </c>
      <c r="U96" s="495">
        <v>17055.198079999998</v>
      </c>
      <c r="V96" s="495">
        <v>-568.85248000000001</v>
      </c>
      <c r="W96" s="495">
        <v>-2056.0192000000002</v>
      </c>
      <c r="X96" s="495">
        <v>0</v>
      </c>
      <c r="AA96" s="495">
        <v>0</v>
      </c>
      <c r="AB96" s="495">
        <v>0</v>
      </c>
      <c r="AC96" s="495">
        <v>0</v>
      </c>
      <c r="AD96" s="495">
        <v>0</v>
      </c>
      <c r="AE96" s="495">
        <v>0</v>
      </c>
      <c r="AH96" s="495">
        <v>23248.559654999997</v>
      </c>
      <c r="AI96" s="495">
        <v>15782.241529999999</v>
      </c>
      <c r="AJ96" s="495">
        <v>0</v>
      </c>
      <c r="AK96" s="495">
        <v>0</v>
      </c>
      <c r="AL96" s="495">
        <v>0</v>
      </c>
      <c r="AO96" s="495">
        <v>-13460.572777742404</v>
      </c>
      <c r="AP96" s="495">
        <v>-1298.621077742403</v>
      </c>
      <c r="AQ96" s="495">
        <v>-1298.621077742403</v>
      </c>
      <c r="AR96" s="495">
        <v>0</v>
      </c>
      <c r="AS96" s="495">
        <v>0</v>
      </c>
    </row>
    <row r="97" spans="1:45">
      <c r="A97" s="390">
        <v>91027</v>
      </c>
      <c r="B97" s="393">
        <v>91027</v>
      </c>
      <c r="C97" s="499" t="s">
        <v>812</v>
      </c>
      <c r="D97" s="378">
        <v>1.6792441590313542E-5</v>
      </c>
      <c r="F97" s="495">
        <v>19833.168343089972</v>
      </c>
      <c r="G97" s="495">
        <v>31313.286733089975</v>
      </c>
      <c r="H97" s="495">
        <v>8176.3139430899755</v>
      </c>
      <c r="I97" s="495">
        <v>-1739.9476999999999</v>
      </c>
      <c r="J97" s="495">
        <v>0</v>
      </c>
      <c r="M97" s="495">
        <v>7717.0365899999997</v>
      </c>
      <c r="N97" s="495">
        <v>7850.3995599999998</v>
      </c>
      <c r="O97" s="495">
        <v>4134.2520700000005</v>
      </c>
      <c r="P97" s="495">
        <v>0</v>
      </c>
      <c r="Q97" s="495">
        <v>0</v>
      </c>
      <c r="T97" s="495">
        <v>3176.0635600000001</v>
      </c>
      <c r="U97" s="495">
        <v>14433.30523</v>
      </c>
      <c r="V97" s="495">
        <v>-481.40287999999998</v>
      </c>
      <c r="W97" s="495">
        <v>-1739.9476999999999</v>
      </c>
      <c r="X97" s="495">
        <v>0</v>
      </c>
      <c r="AA97" s="495">
        <v>0</v>
      </c>
      <c r="AB97" s="495">
        <v>0</v>
      </c>
      <c r="AC97" s="495">
        <v>0</v>
      </c>
      <c r="AD97" s="495">
        <v>0</v>
      </c>
      <c r="AE97" s="495">
        <v>0</v>
      </c>
      <c r="AH97" s="495">
        <v>11781.645693089973</v>
      </c>
      <c r="AI97" s="495">
        <v>9029.5819430899755</v>
      </c>
      <c r="AJ97" s="495">
        <v>4523.4647530899756</v>
      </c>
      <c r="AK97" s="495">
        <v>0</v>
      </c>
      <c r="AL97" s="495">
        <v>0</v>
      </c>
      <c r="AO97" s="495">
        <v>-2841.5774999999994</v>
      </c>
      <c r="AP97" s="495">
        <v>0</v>
      </c>
      <c r="AQ97" s="495">
        <v>0</v>
      </c>
      <c r="AR97" s="495">
        <v>0</v>
      </c>
      <c r="AS97" s="495">
        <v>0</v>
      </c>
    </row>
    <row r="98" spans="1:45">
      <c r="A98" s="390">
        <v>91032</v>
      </c>
      <c r="B98" s="393">
        <v>91032</v>
      </c>
      <c r="C98" s="499" t="s">
        <v>813</v>
      </c>
      <c r="D98" s="378">
        <v>4.09460875982664E-5</v>
      </c>
      <c r="F98" s="495">
        <v>40534.587813630336</v>
      </c>
      <c r="G98" s="495">
        <v>63836.245353630329</v>
      </c>
      <c r="H98" s="495">
        <v>14514.027148630343</v>
      </c>
      <c r="I98" s="495">
        <v>-4242.6121999999996</v>
      </c>
      <c r="J98" s="495">
        <v>0</v>
      </c>
      <c r="M98" s="495">
        <v>18816.883739999997</v>
      </c>
      <c r="N98" s="495">
        <v>19142.070159999999</v>
      </c>
      <c r="O98" s="495">
        <v>10080.77902</v>
      </c>
      <c r="P98" s="495">
        <v>0</v>
      </c>
      <c r="Q98" s="495">
        <v>0</v>
      </c>
      <c r="T98" s="495">
        <v>7744.3741599999994</v>
      </c>
      <c r="U98" s="495">
        <v>35193.538779999995</v>
      </c>
      <c r="V98" s="495">
        <v>-1173.83168</v>
      </c>
      <c r="W98" s="495">
        <v>-4242.6121999999996</v>
      </c>
      <c r="X98" s="495">
        <v>0</v>
      </c>
      <c r="AA98" s="495">
        <v>0</v>
      </c>
      <c r="AB98" s="495">
        <v>0</v>
      </c>
      <c r="AC98" s="495">
        <v>0</v>
      </c>
      <c r="AD98" s="495">
        <v>0</v>
      </c>
      <c r="AE98" s="495">
        <v>0</v>
      </c>
      <c r="AH98" s="495">
        <v>13973.329913630341</v>
      </c>
      <c r="AI98" s="495">
        <v>9500.63641363034</v>
      </c>
      <c r="AJ98" s="495">
        <v>5607.0798086303421</v>
      </c>
      <c r="AK98" s="495">
        <v>0</v>
      </c>
      <c r="AL98" s="495">
        <v>0</v>
      </c>
      <c r="AO98" s="495">
        <v>0</v>
      </c>
      <c r="AP98" s="495">
        <v>0</v>
      </c>
      <c r="AQ98" s="495">
        <v>0</v>
      </c>
      <c r="AR98" s="495">
        <v>0</v>
      </c>
      <c r="AS98" s="495">
        <v>0</v>
      </c>
    </row>
    <row r="99" spans="1:45">
      <c r="A99" s="390">
        <v>91041</v>
      </c>
      <c r="B99" s="393">
        <v>91041</v>
      </c>
      <c r="C99" s="499" t="s">
        <v>814</v>
      </c>
      <c r="D99" s="378">
        <v>4.1713170258619582E-4</v>
      </c>
      <c r="F99" s="495">
        <v>264301.0403372267</v>
      </c>
      <c r="G99" s="495">
        <v>539802.02598222671</v>
      </c>
      <c r="H99" s="495">
        <v>84858.840567226653</v>
      </c>
      <c r="I99" s="495">
        <v>-43220.964100000005</v>
      </c>
      <c r="J99" s="495">
        <v>0</v>
      </c>
      <c r="M99" s="495">
        <v>191694.13047</v>
      </c>
      <c r="N99" s="495">
        <v>195006.91748</v>
      </c>
      <c r="O99" s="495">
        <v>102696.39731</v>
      </c>
      <c r="P99" s="495">
        <v>0</v>
      </c>
      <c r="Q99" s="495">
        <v>0</v>
      </c>
      <c r="T99" s="495">
        <v>78894.629480000003</v>
      </c>
      <c r="U99" s="495">
        <v>358528.80359000002</v>
      </c>
      <c r="V99" s="495">
        <v>-11958.231040000001</v>
      </c>
      <c r="W99" s="495">
        <v>-43220.964100000005</v>
      </c>
      <c r="X99" s="495">
        <v>0</v>
      </c>
      <c r="AA99" s="495">
        <v>0</v>
      </c>
      <c r="AB99" s="495">
        <v>0</v>
      </c>
      <c r="AC99" s="495">
        <v>0</v>
      </c>
      <c r="AD99" s="495">
        <v>0</v>
      </c>
      <c r="AE99" s="495">
        <v>0</v>
      </c>
      <c r="AH99" s="495">
        <v>16425.712144999983</v>
      </c>
      <c r="AI99" s="495">
        <v>2956.6347950000054</v>
      </c>
      <c r="AJ99" s="495">
        <v>0</v>
      </c>
      <c r="AK99" s="495">
        <v>0</v>
      </c>
      <c r="AL99" s="495">
        <v>0</v>
      </c>
      <c r="AO99" s="495">
        <v>-22713.431757773276</v>
      </c>
      <c r="AP99" s="495">
        <v>-16690.329882773269</v>
      </c>
      <c r="AQ99" s="495">
        <v>-5879.3257027733525</v>
      </c>
      <c r="AR99" s="495">
        <v>0</v>
      </c>
      <c r="AS99" s="495">
        <v>0</v>
      </c>
    </row>
    <row r="100" spans="1:45">
      <c r="A100" s="390">
        <v>91042</v>
      </c>
      <c r="B100" s="393">
        <v>91042</v>
      </c>
      <c r="C100" s="499" t="s">
        <v>815</v>
      </c>
      <c r="D100" s="378">
        <v>5.4333041201858523E-4</v>
      </c>
      <c r="F100" s="495">
        <v>496062.40034825815</v>
      </c>
      <c r="G100" s="495">
        <v>790715.39004825812</v>
      </c>
      <c r="H100" s="495">
        <v>178755.45595075807</v>
      </c>
      <c r="I100" s="495">
        <v>-56296.997499999998</v>
      </c>
      <c r="J100" s="495">
        <v>0</v>
      </c>
      <c r="M100" s="495">
        <v>249689.10824999999</v>
      </c>
      <c r="N100" s="495">
        <v>254004.14300000001</v>
      </c>
      <c r="O100" s="495">
        <v>133766.07725</v>
      </c>
      <c r="P100" s="495">
        <v>0</v>
      </c>
      <c r="Q100" s="495">
        <v>0</v>
      </c>
      <c r="T100" s="495">
        <v>102763.34300000001</v>
      </c>
      <c r="U100" s="495">
        <v>466997.80025000003</v>
      </c>
      <c r="V100" s="495">
        <v>-15576.064</v>
      </c>
      <c r="W100" s="495">
        <v>-56296.997499999998</v>
      </c>
      <c r="X100" s="495">
        <v>0</v>
      </c>
      <c r="AA100" s="495">
        <v>0</v>
      </c>
      <c r="AB100" s="495">
        <v>0</v>
      </c>
      <c r="AC100" s="495">
        <v>0</v>
      </c>
      <c r="AD100" s="495">
        <v>0</v>
      </c>
      <c r="AE100" s="495">
        <v>0</v>
      </c>
      <c r="AH100" s="495">
        <v>167677.75165575813</v>
      </c>
      <c r="AI100" s="495">
        <v>81521.121855758087</v>
      </c>
      <c r="AJ100" s="495">
        <v>60565.442700758053</v>
      </c>
      <c r="AK100" s="495">
        <v>0</v>
      </c>
      <c r="AL100" s="495">
        <v>0</v>
      </c>
      <c r="AO100" s="495">
        <v>-24067.802557499977</v>
      </c>
      <c r="AP100" s="495">
        <v>-11807.67505749999</v>
      </c>
      <c r="AQ100" s="495">
        <v>0</v>
      </c>
      <c r="AR100" s="495">
        <v>0</v>
      </c>
      <c r="AS100" s="495">
        <v>0</v>
      </c>
    </row>
    <row r="101" spans="1:45">
      <c r="A101" s="390">
        <v>91047</v>
      </c>
      <c r="B101" s="393">
        <v>91047</v>
      </c>
      <c r="C101" s="499" t="s">
        <v>816</v>
      </c>
      <c r="D101" s="378">
        <v>1.0181481252242158E-5</v>
      </c>
      <c r="F101" s="495">
        <v>7105.5393490414472</v>
      </c>
      <c r="G101" s="495">
        <v>12346.442479041449</v>
      </c>
      <c r="H101" s="495">
        <v>1098.7543240414461</v>
      </c>
      <c r="I101" s="495">
        <v>-1054.9534000000001</v>
      </c>
      <c r="J101" s="495">
        <v>0</v>
      </c>
      <c r="M101" s="495">
        <v>4678.9417800000001</v>
      </c>
      <c r="N101" s="495">
        <v>4759.80152</v>
      </c>
      <c r="O101" s="495">
        <v>2506.6519400000002</v>
      </c>
      <c r="P101" s="495">
        <v>0</v>
      </c>
      <c r="Q101" s="495">
        <v>0</v>
      </c>
      <c r="T101" s="495">
        <v>1925.6895200000001</v>
      </c>
      <c r="U101" s="495">
        <v>8751.1046600000009</v>
      </c>
      <c r="V101" s="495">
        <v>-291.88096000000002</v>
      </c>
      <c r="W101" s="495">
        <v>-1054.9534000000001</v>
      </c>
      <c r="X101" s="495">
        <v>0</v>
      </c>
      <c r="AA101" s="495">
        <v>0</v>
      </c>
      <c r="AB101" s="495">
        <v>0</v>
      </c>
      <c r="AC101" s="495">
        <v>0</v>
      </c>
      <c r="AD101" s="495">
        <v>0</v>
      </c>
      <c r="AE101" s="495">
        <v>0</v>
      </c>
      <c r="AH101" s="495">
        <v>2799.846215</v>
      </c>
      <c r="AI101" s="495">
        <v>1134.4744650000002</v>
      </c>
      <c r="AJ101" s="495">
        <v>0</v>
      </c>
      <c r="AK101" s="495">
        <v>0</v>
      </c>
      <c r="AL101" s="495">
        <v>0</v>
      </c>
      <c r="AO101" s="495">
        <v>-2298.9381659585533</v>
      </c>
      <c r="AP101" s="495">
        <v>-2298.9381659585533</v>
      </c>
      <c r="AQ101" s="495">
        <v>-1116.0166559585541</v>
      </c>
      <c r="AR101" s="495">
        <v>0</v>
      </c>
      <c r="AS101" s="495">
        <v>0</v>
      </c>
    </row>
    <row r="102" spans="1:45">
      <c r="A102" s="390">
        <v>91051</v>
      </c>
      <c r="B102" s="393">
        <v>91051</v>
      </c>
      <c r="C102" s="499" t="s">
        <v>817</v>
      </c>
      <c r="D102" s="378">
        <v>4.129606303502748E-5</v>
      </c>
      <c r="F102" s="495">
        <v>43988.219805051216</v>
      </c>
      <c r="G102" s="495">
        <v>71411.10959505121</v>
      </c>
      <c r="H102" s="495">
        <v>18613.744787551215</v>
      </c>
      <c r="I102" s="495">
        <v>-4278.8827000000001</v>
      </c>
      <c r="J102" s="495">
        <v>0</v>
      </c>
      <c r="M102" s="495">
        <v>18977.751089999998</v>
      </c>
      <c r="N102" s="495">
        <v>19305.717560000001</v>
      </c>
      <c r="O102" s="495">
        <v>10166.960569999999</v>
      </c>
      <c r="P102" s="495">
        <v>0</v>
      </c>
      <c r="Q102" s="495">
        <v>0</v>
      </c>
      <c r="T102" s="495">
        <v>7810.5815599999996</v>
      </c>
      <c r="U102" s="495">
        <v>35494.41173</v>
      </c>
      <c r="V102" s="495">
        <v>-1183.86688</v>
      </c>
      <c r="W102" s="495">
        <v>-4278.8827000000001</v>
      </c>
      <c r="X102" s="495">
        <v>0</v>
      </c>
      <c r="AA102" s="495">
        <v>0</v>
      </c>
      <c r="AB102" s="495">
        <v>0</v>
      </c>
      <c r="AC102" s="495">
        <v>0</v>
      </c>
      <c r="AD102" s="495">
        <v>0</v>
      </c>
      <c r="AE102" s="495">
        <v>0</v>
      </c>
      <c r="AH102" s="495">
        <v>21348.590305051217</v>
      </c>
      <c r="AI102" s="495">
        <v>16610.980305051216</v>
      </c>
      <c r="AJ102" s="495">
        <v>9630.6510975512174</v>
      </c>
      <c r="AK102" s="495">
        <v>0</v>
      </c>
      <c r="AL102" s="495">
        <v>0</v>
      </c>
      <c r="AO102" s="495">
        <v>-4148.7031499999921</v>
      </c>
      <c r="AP102" s="495">
        <v>0</v>
      </c>
      <c r="AQ102" s="495">
        <v>0</v>
      </c>
      <c r="AR102" s="495">
        <v>0</v>
      </c>
      <c r="AS102" s="495">
        <v>0</v>
      </c>
    </row>
    <row r="103" spans="1:45">
      <c r="A103" s="390">
        <v>91057</v>
      </c>
      <c r="B103" s="393">
        <v>91057</v>
      </c>
      <c r="C103" s="499" t="s">
        <v>818</v>
      </c>
      <c r="D103" s="378">
        <v>8.5912367814316483E-6</v>
      </c>
      <c r="F103" s="495">
        <v>11401.150876229472</v>
      </c>
      <c r="G103" s="495">
        <v>15773.436741229474</v>
      </c>
      <c r="H103" s="495">
        <v>4831.9361512294727</v>
      </c>
      <c r="I103" s="495">
        <v>-890.18170000000009</v>
      </c>
      <c r="J103" s="495">
        <v>0</v>
      </c>
      <c r="M103" s="495">
        <v>3948.1443900000004</v>
      </c>
      <c r="N103" s="495">
        <v>4016.3747600000002</v>
      </c>
      <c r="O103" s="495">
        <v>2115.14147</v>
      </c>
      <c r="P103" s="495">
        <v>0</v>
      </c>
      <c r="Q103" s="495">
        <v>0</v>
      </c>
      <c r="T103" s="495">
        <v>1624.9187600000002</v>
      </c>
      <c r="U103" s="495">
        <v>7384.2818300000008</v>
      </c>
      <c r="V103" s="495">
        <v>-246.29248000000001</v>
      </c>
      <c r="W103" s="495">
        <v>-890.18170000000009</v>
      </c>
      <c r="X103" s="495">
        <v>0</v>
      </c>
      <c r="AA103" s="495">
        <v>0</v>
      </c>
      <c r="AB103" s="495">
        <v>0</v>
      </c>
      <c r="AC103" s="495">
        <v>0</v>
      </c>
      <c r="AD103" s="495">
        <v>0</v>
      </c>
      <c r="AE103" s="495">
        <v>0</v>
      </c>
      <c r="AH103" s="495">
        <v>7022.5773562294726</v>
      </c>
      <c r="AI103" s="495">
        <v>5226.2804812294726</v>
      </c>
      <c r="AJ103" s="495">
        <v>2963.0871612294723</v>
      </c>
      <c r="AK103" s="495">
        <v>0</v>
      </c>
      <c r="AL103" s="495">
        <v>0</v>
      </c>
      <c r="AO103" s="495">
        <v>-1194.4896300000005</v>
      </c>
      <c r="AP103" s="495">
        <v>-853.50032999999985</v>
      </c>
      <c r="AQ103" s="495">
        <v>0</v>
      </c>
      <c r="AR103" s="495">
        <v>0</v>
      </c>
      <c r="AS103" s="495">
        <v>0</v>
      </c>
    </row>
    <row r="104" spans="1:45">
      <c r="A104" s="390">
        <v>91061</v>
      </c>
      <c r="B104" s="393">
        <v>91061</v>
      </c>
      <c r="C104" s="499" t="s">
        <v>819</v>
      </c>
      <c r="D104" s="378">
        <v>4.0543000162200339E-4</v>
      </c>
      <c r="F104" s="495">
        <v>302981.21939365735</v>
      </c>
      <c r="G104" s="495">
        <v>579862.27441365737</v>
      </c>
      <c r="H104" s="495">
        <v>117356.47266615729</v>
      </c>
      <c r="I104" s="495">
        <v>-42008.4931</v>
      </c>
      <c r="J104" s="495">
        <v>0</v>
      </c>
      <c r="M104" s="495">
        <v>186316.56477</v>
      </c>
      <c r="N104" s="495">
        <v>189536.41868</v>
      </c>
      <c r="O104" s="495">
        <v>99815.471210000003</v>
      </c>
      <c r="P104" s="495">
        <v>0</v>
      </c>
      <c r="Q104" s="495">
        <v>0</v>
      </c>
      <c r="T104" s="495">
        <v>76681.410680000001</v>
      </c>
      <c r="U104" s="495">
        <v>348471.05069</v>
      </c>
      <c r="V104" s="495">
        <v>-11622.76864</v>
      </c>
      <c r="W104" s="495">
        <v>-42008.4931</v>
      </c>
      <c r="X104" s="495">
        <v>0</v>
      </c>
      <c r="AA104" s="495">
        <v>0</v>
      </c>
      <c r="AB104" s="495">
        <v>0</v>
      </c>
      <c r="AC104" s="495">
        <v>0</v>
      </c>
      <c r="AD104" s="495">
        <v>0</v>
      </c>
      <c r="AE104" s="495">
        <v>0</v>
      </c>
      <c r="AH104" s="495">
        <v>41854.805043657325</v>
      </c>
      <c r="AI104" s="495">
        <v>41854.805043657325</v>
      </c>
      <c r="AJ104" s="495">
        <v>29163.770096157285</v>
      </c>
      <c r="AK104" s="495">
        <v>0</v>
      </c>
      <c r="AL104" s="495">
        <v>0</v>
      </c>
      <c r="AO104" s="495">
        <v>-1871.5610999999772</v>
      </c>
      <c r="AP104" s="495">
        <v>0</v>
      </c>
      <c r="AQ104" s="495">
        <v>0</v>
      </c>
      <c r="AR104" s="495">
        <v>0</v>
      </c>
      <c r="AS104" s="495">
        <v>0</v>
      </c>
    </row>
    <row r="105" spans="1:45">
      <c r="A105" s="390">
        <v>91067</v>
      </c>
      <c r="B105" s="393">
        <v>91067</v>
      </c>
      <c r="C105" s="499" t="s">
        <v>820</v>
      </c>
      <c r="D105" s="378">
        <v>1.6732505144170483E-5</v>
      </c>
      <c r="F105" s="495">
        <v>15100.419209917825</v>
      </c>
      <c r="G105" s="495">
        <v>25733.357264917824</v>
      </c>
      <c r="H105" s="495">
        <v>4852.4191524178241</v>
      </c>
      <c r="I105" s="495">
        <v>-1733.7299</v>
      </c>
      <c r="J105" s="495">
        <v>0</v>
      </c>
      <c r="M105" s="495">
        <v>7689.4593300000006</v>
      </c>
      <c r="N105" s="495">
        <v>7822.3457200000003</v>
      </c>
      <c r="O105" s="495">
        <v>4119.4780900000005</v>
      </c>
      <c r="P105" s="495">
        <v>0</v>
      </c>
      <c r="Q105" s="495">
        <v>0</v>
      </c>
      <c r="T105" s="495">
        <v>3164.7137200000002</v>
      </c>
      <c r="U105" s="495">
        <v>14381.727010000001</v>
      </c>
      <c r="V105" s="495">
        <v>-479.68256000000002</v>
      </c>
      <c r="W105" s="495">
        <v>-1733.7299</v>
      </c>
      <c r="X105" s="495">
        <v>0</v>
      </c>
      <c r="AA105" s="495">
        <v>0</v>
      </c>
      <c r="AB105" s="495">
        <v>0</v>
      </c>
      <c r="AC105" s="495">
        <v>0</v>
      </c>
      <c r="AD105" s="495">
        <v>0</v>
      </c>
      <c r="AE105" s="495">
        <v>0</v>
      </c>
      <c r="AH105" s="495">
        <v>4530.4039099178244</v>
      </c>
      <c r="AI105" s="495">
        <v>3529.2845349178247</v>
      </c>
      <c r="AJ105" s="495">
        <v>1212.6236224178233</v>
      </c>
      <c r="AK105" s="495">
        <v>0</v>
      </c>
      <c r="AL105" s="495">
        <v>0</v>
      </c>
      <c r="AO105" s="495">
        <v>-284.15775000000122</v>
      </c>
      <c r="AP105" s="495">
        <v>0</v>
      </c>
      <c r="AQ105" s="495">
        <v>0</v>
      </c>
      <c r="AR105" s="495">
        <v>0</v>
      </c>
      <c r="AS105" s="495">
        <v>0</v>
      </c>
    </row>
    <row r="106" spans="1:45">
      <c r="A106" s="390">
        <v>91071</v>
      </c>
      <c r="B106" s="393">
        <v>91071</v>
      </c>
      <c r="C106" s="499" t="s">
        <v>821</v>
      </c>
      <c r="D106" s="378">
        <v>2.3581490319350584E-4</v>
      </c>
      <c r="F106" s="495">
        <v>184170.80261382542</v>
      </c>
      <c r="G106" s="495">
        <v>321146.87266882544</v>
      </c>
      <c r="H106" s="495">
        <v>77941.542291325459</v>
      </c>
      <c r="I106" s="495">
        <v>-24433.881399999998</v>
      </c>
      <c r="J106" s="495">
        <v>0</v>
      </c>
      <c r="M106" s="495">
        <v>108369.43938</v>
      </c>
      <c r="N106" s="495">
        <v>110242.23991999999</v>
      </c>
      <c r="O106" s="495">
        <v>58056.816740000002</v>
      </c>
      <c r="P106" s="495">
        <v>0</v>
      </c>
      <c r="Q106" s="495">
        <v>0</v>
      </c>
      <c r="T106" s="495">
        <v>44601.087919999998</v>
      </c>
      <c r="U106" s="495">
        <v>202685.21186000001</v>
      </c>
      <c r="V106" s="495">
        <v>-6760.2841600000002</v>
      </c>
      <c r="W106" s="495">
        <v>-24433.881399999998</v>
      </c>
      <c r="X106" s="495">
        <v>0</v>
      </c>
      <c r="AA106" s="495">
        <v>0</v>
      </c>
      <c r="AB106" s="495">
        <v>0</v>
      </c>
      <c r="AC106" s="495">
        <v>0</v>
      </c>
      <c r="AD106" s="495">
        <v>0</v>
      </c>
      <c r="AE106" s="495">
        <v>0</v>
      </c>
      <c r="AH106" s="495">
        <v>63582.765593825417</v>
      </c>
      <c r="AI106" s="495">
        <v>39656.683043825455</v>
      </c>
      <c r="AJ106" s="495">
        <v>26645.009711325452</v>
      </c>
      <c r="AK106" s="495">
        <v>0</v>
      </c>
      <c r="AL106" s="495">
        <v>0</v>
      </c>
      <c r="AO106" s="495">
        <v>-32382.490279999984</v>
      </c>
      <c r="AP106" s="495">
        <v>-31437.262154999989</v>
      </c>
      <c r="AQ106" s="495">
        <v>0</v>
      </c>
      <c r="AR106" s="495">
        <v>0</v>
      </c>
      <c r="AS106" s="495">
        <v>0</v>
      </c>
    </row>
    <row r="107" spans="1:45">
      <c r="A107" s="390">
        <v>91077</v>
      </c>
      <c r="B107" s="393">
        <v>91077</v>
      </c>
      <c r="C107" s="499" t="s">
        <v>822</v>
      </c>
      <c r="D107" s="378">
        <v>1.6782501635136349E-5</v>
      </c>
      <c r="F107" s="495">
        <v>14559.848872977942</v>
      </c>
      <c r="G107" s="495">
        <v>24835.517352977942</v>
      </c>
      <c r="H107" s="495">
        <v>5324.0427379779458</v>
      </c>
      <c r="I107" s="495">
        <v>-1738.9114</v>
      </c>
      <c r="J107" s="495">
        <v>0</v>
      </c>
      <c r="M107" s="495">
        <v>7712.4403799999991</v>
      </c>
      <c r="N107" s="495">
        <v>7845.7239199999995</v>
      </c>
      <c r="O107" s="495">
        <v>4131.7897399999993</v>
      </c>
      <c r="P107" s="495">
        <v>0</v>
      </c>
      <c r="Q107" s="495">
        <v>0</v>
      </c>
      <c r="T107" s="495">
        <v>3174.1719199999998</v>
      </c>
      <c r="U107" s="495">
        <v>14424.708859999999</v>
      </c>
      <c r="V107" s="495">
        <v>-481.11615999999998</v>
      </c>
      <c r="W107" s="495">
        <v>-1738.9114</v>
      </c>
      <c r="X107" s="495">
        <v>0</v>
      </c>
      <c r="AA107" s="495">
        <v>0</v>
      </c>
      <c r="AB107" s="495">
        <v>0</v>
      </c>
      <c r="AC107" s="495">
        <v>0</v>
      </c>
      <c r="AD107" s="495">
        <v>0</v>
      </c>
      <c r="AE107" s="495">
        <v>0</v>
      </c>
      <c r="AH107" s="495">
        <v>3673.2365729779426</v>
      </c>
      <c r="AI107" s="495">
        <v>2565.0845729779439</v>
      </c>
      <c r="AJ107" s="495">
        <v>1673.3691579779465</v>
      </c>
      <c r="AK107" s="495">
        <v>0</v>
      </c>
      <c r="AL107" s="495">
        <v>0</v>
      </c>
      <c r="AO107" s="495">
        <v>0</v>
      </c>
      <c r="AP107" s="495">
        <v>0</v>
      </c>
      <c r="AQ107" s="495">
        <v>0</v>
      </c>
      <c r="AR107" s="495">
        <v>0</v>
      </c>
      <c r="AS107" s="495">
        <v>0</v>
      </c>
    </row>
    <row r="108" spans="1:45">
      <c r="A108" s="390">
        <v>91081</v>
      </c>
      <c r="B108" s="393">
        <v>91081</v>
      </c>
      <c r="C108" s="499" t="s">
        <v>823</v>
      </c>
      <c r="D108" s="378">
        <v>4.3239398450938189E-4</v>
      </c>
      <c r="F108" s="495">
        <v>244395.94796567663</v>
      </c>
      <c r="G108" s="495">
        <v>524744.91159567668</v>
      </c>
      <c r="H108" s="495">
        <v>66577.013548176721</v>
      </c>
      <c r="I108" s="495">
        <v>-44802.357899999995</v>
      </c>
      <c r="J108" s="495">
        <v>0</v>
      </c>
      <c r="M108" s="495">
        <v>198707.94692999998</v>
      </c>
      <c r="N108" s="495">
        <v>202141.94412</v>
      </c>
      <c r="O108" s="495">
        <v>106453.91288999999</v>
      </c>
      <c r="P108" s="495">
        <v>0</v>
      </c>
      <c r="Q108" s="495">
        <v>0</v>
      </c>
      <c r="T108" s="495">
        <v>81781.272119999994</v>
      </c>
      <c r="U108" s="495">
        <v>371646.86420999997</v>
      </c>
      <c r="V108" s="495">
        <v>-12395.765759999998</v>
      </c>
      <c r="W108" s="495">
        <v>-44802.357899999995</v>
      </c>
      <c r="X108" s="495">
        <v>0</v>
      </c>
      <c r="AA108" s="495">
        <v>0</v>
      </c>
      <c r="AB108" s="495">
        <v>0</v>
      </c>
      <c r="AC108" s="495">
        <v>0</v>
      </c>
      <c r="AD108" s="495">
        <v>0</v>
      </c>
      <c r="AE108" s="495">
        <v>0</v>
      </c>
      <c r="AH108" s="495">
        <v>26881.323149999982</v>
      </c>
      <c r="AI108" s="495">
        <v>0</v>
      </c>
      <c r="AJ108" s="495">
        <v>0</v>
      </c>
      <c r="AK108" s="495">
        <v>0</v>
      </c>
      <c r="AL108" s="495">
        <v>0</v>
      </c>
      <c r="AO108" s="495">
        <v>-62974.594234323275</v>
      </c>
      <c r="AP108" s="495">
        <v>-49043.89673432328</v>
      </c>
      <c r="AQ108" s="495">
        <v>-27481.133581823276</v>
      </c>
      <c r="AR108" s="495">
        <v>0</v>
      </c>
      <c r="AS108" s="495">
        <v>0</v>
      </c>
    </row>
    <row r="109" spans="1:45">
      <c r="A109" s="390">
        <v>91091</v>
      </c>
      <c r="B109" s="393">
        <v>91091</v>
      </c>
      <c r="C109" s="499" t="s">
        <v>824</v>
      </c>
      <c r="D109" s="378">
        <v>5.5975284990424329E-4</v>
      </c>
      <c r="F109" s="495">
        <v>338569.69782220299</v>
      </c>
      <c r="G109" s="495">
        <v>733246.83389220305</v>
      </c>
      <c r="H109" s="495">
        <v>107938.98718470294</v>
      </c>
      <c r="I109" s="495">
        <v>-57998.602099999996</v>
      </c>
      <c r="J109" s="495">
        <v>0</v>
      </c>
      <c r="M109" s="495">
        <v>257236.08506999997</v>
      </c>
      <c r="N109" s="495">
        <v>261681.54387999998</v>
      </c>
      <c r="O109" s="495">
        <v>137809.22310999999</v>
      </c>
      <c r="P109" s="495">
        <v>0</v>
      </c>
      <c r="Q109" s="495">
        <v>0</v>
      </c>
      <c r="T109" s="495">
        <v>105869.41587999999</v>
      </c>
      <c r="U109" s="495">
        <v>481113.03978999995</v>
      </c>
      <c r="V109" s="495">
        <v>-16046.85824</v>
      </c>
      <c r="W109" s="495">
        <v>-57998.602099999996</v>
      </c>
      <c r="X109" s="495">
        <v>0</v>
      </c>
      <c r="AA109" s="495">
        <v>0</v>
      </c>
      <c r="AB109" s="495">
        <v>0</v>
      </c>
      <c r="AC109" s="495">
        <v>0</v>
      </c>
      <c r="AD109" s="495">
        <v>0</v>
      </c>
      <c r="AE109" s="495">
        <v>0</v>
      </c>
      <c r="AH109" s="495">
        <v>6760.621035000082</v>
      </c>
      <c r="AI109" s="495">
        <v>6760.621035000082</v>
      </c>
      <c r="AJ109" s="495">
        <v>0</v>
      </c>
      <c r="AK109" s="495">
        <v>0</v>
      </c>
      <c r="AL109" s="495">
        <v>0</v>
      </c>
      <c r="AO109" s="495">
        <v>-31296.424162797044</v>
      </c>
      <c r="AP109" s="495">
        <v>-16308.370812797042</v>
      </c>
      <c r="AQ109" s="495">
        <v>-13823.377685297044</v>
      </c>
      <c r="AR109" s="495">
        <v>0</v>
      </c>
      <c r="AS109" s="495">
        <v>0</v>
      </c>
    </row>
    <row r="110" spans="1:45">
      <c r="A110" s="390">
        <v>91101</v>
      </c>
      <c r="B110" s="393">
        <v>91101</v>
      </c>
      <c r="C110" s="499" t="s">
        <v>825</v>
      </c>
      <c r="D110" s="378">
        <v>1.4013674453603272E-2</v>
      </c>
      <c r="F110" s="495">
        <v>8806590.4508149419</v>
      </c>
      <c r="G110" s="495">
        <v>18665983.415089946</v>
      </c>
      <c r="H110" s="495">
        <v>3147284.6641449449</v>
      </c>
      <c r="I110" s="495">
        <v>-1452022.108</v>
      </c>
      <c r="J110" s="495">
        <v>0</v>
      </c>
      <c r="M110" s="495">
        <v>6440025.6036</v>
      </c>
      <c r="N110" s="495">
        <v>6551319.7424000008</v>
      </c>
      <c r="O110" s="495">
        <v>3450118.3028000002</v>
      </c>
      <c r="P110" s="495">
        <v>0</v>
      </c>
      <c r="Q110" s="495">
        <v>0</v>
      </c>
      <c r="T110" s="495">
        <v>2650490.3023999999</v>
      </c>
      <c r="U110" s="495">
        <v>12044889.7892</v>
      </c>
      <c r="V110" s="495">
        <v>-401740.59520000004</v>
      </c>
      <c r="W110" s="495">
        <v>-1452022.108</v>
      </c>
      <c r="X110" s="495">
        <v>0</v>
      </c>
      <c r="AA110" s="495">
        <v>0</v>
      </c>
      <c r="AB110" s="495">
        <v>0</v>
      </c>
      <c r="AC110" s="495">
        <v>0</v>
      </c>
      <c r="AD110" s="495">
        <v>0</v>
      </c>
      <c r="AE110" s="495">
        <v>0</v>
      </c>
      <c r="AH110" s="495">
        <v>184316.88430494268</v>
      </c>
      <c r="AI110" s="495">
        <v>184316.88430494268</v>
      </c>
      <c r="AJ110" s="495">
        <v>98906.956544944667</v>
      </c>
      <c r="AK110" s="495">
        <v>0</v>
      </c>
      <c r="AL110" s="495">
        <v>0</v>
      </c>
      <c r="AO110" s="495">
        <v>-468242.33949000016</v>
      </c>
      <c r="AP110" s="495">
        <v>-114543.00081499992</v>
      </c>
      <c r="AQ110" s="495">
        <v>0</v>
      </c>
      <c r="AR110" s="495">
        <v>0</v>
      </c>
      <c r="AS110" s="495">
        <v>0</v>
      </c>
    </row>
    <row r="111" spans="1:45">
      <c r="A111" s="390">
        <v>91102</v>
      </c>
      <c r="B111" s="393">
        <v>91102</v>
      </c>
      <c r="C111" s="499" t="s">
        <v>826</v>
      </c>
      <c r="D111" s="378">
        <v>4.8716209903292143E-4</v>
      </c>
      <c r="F111" s="495">
        <v>465791.90524912562</v>
      </c>
      <c r="G111" s="495">
        <v>757991.32843912556</v>
      </c>
      <c r="H111" s="495">
        <v>185893.62298162552</v>
      </c>
      <c r="I111" s="495">
        <v>-50477.136699999995</v>
      </c>
      <c r="J111" s="495">
        <v>0</v>
      </c>
      <c r="M111" s="495">
        <v>223876.79288999998</v>
      </c>
      <c r="N111" s="495">
        <v>227745.74875999999</v>
      </c>
      <c r="O111" s="495">
        <v>119937.63196999999</v>
      </c>
      <c r="P111" s="495">
        <v>0</v>
      </c>
      <c r="Q111" s="495">
        <v>0</v>
      </c>
      <c r="T111" s="495">
        <v>92139.892759999988</v>
      </c>
      <c r="U111" s="495">
        <v>418720.58632999996</v>
      </c>
      <c r="V111" s="495">
        <v>-13965.84448</v>
      </c>
      <c r="W111" s="495">
        <v>-50477.136699999995</v>
      </c>
      <c r="X111" s="495">
        <v>0</v>
      </c>
      <c r="AA111" s="495">
        <v>0</v>
      </c>
      <c r="AB111" s="495">
        <v>0</v>
      </c>
      <c r="AC111" s="495">
        <v>0</v>
      </c>
      <c r="AD111" s="495">
        <v>0</v>
      </c>
      <c r="AE111" s="495">
        <v>0</v>
      </c>
      <c r="AH111" s="495">
        <v>150798.49957662559</v>
      </c>
      <c r="AI111" s="495">
        <v>112437.2033266256</v>
      </c>
      <c r="AJ111" s="495">
        <v>79921.835491625534</v>
      </c>
      <c r="AK111" s="495">
        <v>0</v>
      </c>
      <c r="AL111" s="495">
        <v>0</v>
      </c>
      <c r="AO111" s="495">
        <v>-1023.2799774999876</v>
      </c>
      <c r="AP111" s="495">
        <v>-912.20997749999515</v>
      </c>
      <c r="AQ111" s="495">
        <v>0</v>
      </c>
      <c r="AR111" s="495">
        <v>0</v>
      </c>
      <c r="AS111" s="495">
        <v>0</v>
      </c>
    </row>
    <row r="112" spans="1:45">
      <c r="A112" s="390">
        <v>91104</v>
      </c>
      <c r="B112" s="393">
        <v>91104</v>
      </c>
      <c r="C112" s="499" t="s">
        <v>827</v>
      </c>
      <c r="D112" s="378">
        <v>1.6662480385310274E-5</v>
      </c>
      <c r="F112" s="495">
        <v>9423.7239941336502</v>
      </c>
      <c r="G112" s="495">
        <v>16079.36945413365</v>
      </c>
      <c r="H112" s="495">
        <v>-1324.6011433663489</v>
      </c>
      <c r="I112" s="495">
        <v>-1726.4757999999999</v>
      </c>
      <c r="J112" s="495">
        <v>0</v>
      </c>
      <c r="M112" s="495">
        <v>7657.28586</v>
      </c>
      <c r="N112" s="495">
        <v>7789.6162400000003</v>
      </c>
      <c r="O112" s="495">
        <v>4102.2417800000003</v>
      </c>
      <c r="P112" s="495">
        <v>0</v>
      </c>
      <c r="Q112" s="495">
        <v>0</v>
      </c>
      <c r="T112" s="495">
        <v>3151.4722400000001</v>
      </c>
      <c r="U112" s="495">
        <v>14321.55242</v>
      </c>
      <c r="V112" s="495">
        <v>-477.67552000000001</v>
      </c>
      <c r="W112" s="495">
        <v>-1726.4757999999999</v>
      </c>
      <c r="X112" s="495">
        <v>0</v>
      </c>
      <c r="AA112" s="495">
        <v>0</v>
      </c>
      <c r="AB112" s="495">
        <v>0</v>
      </c>
      <c r="AC112" s="495">
        <v>0</v>
      </c>
      <c r="AD112" s="495">
        <v>0</v>
      </c>
      <c r="AE112" s="495">
        <v>0</v>
      </c>
      <c r="AH112" s="495">
        <v>5218.7260424999977</v>
      </c>
      <c r="AI112" s="495">
        <v>571.96094249999987</v>
      </c>
      <c r="AJ112" s="495">
        <v>0</v>
      </c>
      <c r="AK112" s="495">
        <v>0</v>
      </c>
      <c r="AL112" s="495">
        <v>0</v>
      </c>
      <c r="AO112" s="495">
        <v>-6603.7601483663475</v>
      </c>
      <c r="AP112" s="495">
        <v>-6603.7601483663475</v>
      </c>
      <c r="AQ112" s="495">
        <v>-4949.1674033663494</v>
      </c>
      <c r="AR112" s="495">
        <v>0</v>
      </c>
      <c r="AS112" s="495">
        <v>0</v>
      </c>
    </row>
    <row r="113" spans="1:45">
      <c r="A113" s="390">
        <v>91107</v>
      </c>
      <c r="B113" s="393">
        <v>91107</v>
      </c>
      <c r="C113" s="499" t="s">
        <v>3756</v>
      </c>
      <c r="D113" s="378">
        <v>4.452654846761437E-5</v>
      </c>
      <c r="F113" s="495">
        <v>41670.894438735297</v>
      </c>
      <c r="G113" s="495">
        <v>65467.104333735289</v>
      </c>
      <c r="H113" s="495">
        <v>13770.822398735294</v>
      </c>
      <c r="I113" s="495">
        <v>-4613.6076000000003</v>
      </c>
      <c r="J113" s="495">
        <v>0</v>
      </c>
      <c r="M113" s="495">
        <v>20462.32692</v>
      </c>
      <c r="N113" s="495">
        <v>20815.949280000001</v>
      </c>
      <c r="O113" s="495">
        <v>10962.293159999999</v>
      </c>
      <c r="P113" s="495">
        <v>0</v>
      </c>
      <c r="Q113" s="495">
        <v>0</v>
      </c>
      <c r="T113" s="495">
        <v>8421.5812800000003</v>
      </c>
      <c r="U113" s="495">
        <v>38271.039239999998</v>
      </c>
      <c r="V113" s="495">
        <v>-1276.4774400000001</v>
      </c>
      <c r="W113" s="495">
        <v>-4613.6076000000003</v>
      </c>
      <c r="X113" s="495">
        <v>0</v>
      </c>
      <c r="AA113" s="495">
        <v>0</v>
      </c>
      <c r="AB113" s="495">
        <v>0</v>
      </c>
      <c r="AC113" s="495">
        <v>0</v>
      </c>
      <c r="AD113" s="495">
        <v>0</v>
      </c>
      <c r="AE113" s="495">
        <v>0</v>
      </c>
      <c r="AH113" s="495">
        <v>15152.829258735295</v>
      </c>
      <c r="AI113" s="495">
        <v>8745.9588337352961</v>
      </c>
      <c r="AJ113" s="495">
        <v>4085.0066787352957</v>
      </c>
      <c r="AK113" s="495">
        <v>0</v>
      </c>
      <c r="AL113" s="495">
        <v>0</v>
      </c>
      <c r="AO113" s="495">
        <v>-2365.8430200000012</v>
      </c>
      <c r="AP113" s="495">
        <v>-2365.8430200000012</v>
      </c>
      <c r="AQ113" s="495">
        <v>0</v>
      </c>
      <c r="AR113" s="495">
        <v>0</v>
      </c>
      <c r="AS113" s="495">
        <v>0</v>
      </c>
    </row>
    <row r="114" spans="1:45">
      <c r="A114" s="390">
        <v>91108</v>
      </c>
      <c r="B114" s="393">
        <v>91108</v>
      </c>
      <c r="C114" s="499" t="s">
        <v>829</v>
      </c>
      <c r="D114" s="378">
        <v>1.0861007743238286E-3</v>
      </c>
      <c r="F114" s="495">
        <v>683853.82690774254</v>
      </c>
      <c r="G114" s="495">
        <v>1445974.4484727427</v>
      </c>
      <c r="H114" s="495">
        <v>214213.72517524252</v>
      </c>
      <c r="I114" s="495">
        <v>-112535.96220000001</v>
      </c>
      <c r="J114" s="495">
        <v>0</v>
      </c>
      <c r="M114" s="495">
        <v>499120.82874000003</v>
      </c>
      <c r="N114" s="495">
        <v>507746.45016000007</v>
      </c>
      <c r="O114" s="495">
        <v>267394.26402</v>
      </c>
      <c r="P114" s="495">
        <v>0</v>
      </c>
      <c r="Q114" s="495">
        <v>0</v>
      </c>
      <c r="T114" s="495">
        <v>205420.75416000001</v>
      </c>
      <c r="U114" s="495">
        <v>933514.2037800001</v>
      </c>
      <c r="V114" s="495">
        <v>-31136.071680000001</v>
      </c>
      <c r="W114" s="495">
        <v>-112535.96220000001</v>
      </c>
      <c r="X114" s="495">
        <v>0</v>
      </c>
      <c r="AA114" s="495">
        <v>0</v>
      </c>
      <c r="AB114" s="495">
        <v>0</v>
      </c>
      <c r="AC114" s="495">
        <v>0</v>
      </c>
      <c r="AD114" s="495">
        <v>0</v>
      </c>
      <c r="AE114" s="495">
        <v>0</v>
      </c>
      <c r="AH114" s="495">
        <v>40172.659822500013</v>
      </c>
      <c r="AI114" s="495">
        <v>26758.261697500006</v>
      </c>
      <c r="AJ114" s="495">
        <v>0</v>
      </c>
      <c r="AK114" s="495">
        <v>0</v>
      </c>
      <c r="AL114" s="495">
        <v>0</v>
      </c>
      <c r="AO114" s="495">
        <v>-60860.415814757514</v>
      </c>
      <c r="AP114" s="495">
        <v>-22044.46716475748</v>
      </c>
      <c r="AQ114" s="495">
        <v>-22044.46716475748</v>
      </c>
      <c r="AR114" s="495">
        <v>0</v>
      </c>
      <c r="AS114" s="495">
        <v>0</v>
      </c>
    </row>
    <row r="115" spans="1:45">
      <c r="A115" s="390">
        <v>91109</v>
      </c>
      <c r="B115" s="393">
        <v>91109</v>
      </c>
      <c r="C115" s="499" t="s">
        <v>830</v>
      </c>
      <c r="D115" s="378">
        <v>7.8711686254911783E-5</v>
      </c>
      <c r="F115" s="495">
        <v>35851.153819136773</v>
      </c>
      <c r="G115" s="495">
        <v>94415.152894136758</v>
      </c>
      <c r="H115" s="495">
        <v>21786.140431636752</v>
      </c>
      <c r="I115" s="495">
        <v>-8155.6810000000005</v>
      </c>
      <c r="J115" s="495">
        <v>0</v>
      </c>
      <c r="M115" s="495">
        <v>36172.172700000003</v>
      </c>
      <c r="N115" s="495">
        <v>36797.286800000002</v>
      </c>
      <c r="O115" s="495">
        <v>19378.537100000001</v>
      </c>
      <c r="P115" s="495">
        <v>0</v>
      </c>
      <c r="Q115" s="495">
        <v>0</v>
      </c>
      <c r="T115" s="495">
        <v>14887.2068</v>
      </c>
      <c r="U115" s="495">
        <v>67653.431899999996</v>
      </c>
      <c r="V115" s="495">
        <v>-2256.4864000000002</v>
      </c>
      <c r="W115" s="495">
        <v>-8155.6810000000005</v>
      </c>
      <c r="X115" s="495">
        <v>0</v>
      </c>
      <c r="AA115" s="495">
        <v>0</v>
      </c>
      <c r="AB115" s="495">
        <v>0</v>
      </c>
      <c r="AC115" s="495">
        <v>0</v>
      </c>
      <c r="AD115" s="495">
        <v>0</v>
      </c>
      <c r="AE115" s="495">
        <v>0</v>
      </c>
      <c r="AH115" s="495">
        <v>5125.2953191367515</v>
      </c>
      <c r="AI115" s="495">
        <v>5125.2953191367515</v>
      </c>
      <c r="AJ115" s="495">
        <v>4664.0897316367509</v>
      </c>
      <c r="AK115" s="495">
        <v>0</v>
      </c>
      <c r="AL115" s="495">
        <v>0</v>
      </c>
      <c r="AO115" s="495">
        <v>-20333.520999999979</v>
      </c>
      <c r="AP115" s="495">
        <v>-15160.861124999989</v>
      </c>
      <c r="AQ115" s="495">
        <v>0</v>
      </c>
      <c r="AR115" s="495">
        <v>0</v>
      </c>
      <c r="AS115" s="495">
        <v>0</v>
      </c>
    </row>
    <row r="116" spans="1:45">
      <c r="A116" s="390">
        <v>91111</v>
      </c>
      <c r="B116" s="393">
        <v>91111</v>
      </c>
      <c r="C116" s="499" t="s">
        <v>831</v>
      </c>
      <c r="D116" s="378">
        <v>2.273736558849718E-4</v>
      </c>
      <c r="F116" s="495">
        <v>154774.3308642763</v>
      </c>
      <c r="G116" s="495">
        <v>316198.33405427629</v>
      </c>
      <c r="H116" s="495">
        <v>46998.394096776297</v>
      </c>
      <c r="I116" s="495">
        <v>-23559.244200000001</v>
      </c>
      <c r="J116" s="495">
        <v>0</v>
      </c>
      <c r="M116" s="495">
        <v>104490.23814</v>
      </c>
      <c r="N116" s="495">
        <v>106295.99976000001</v>
      </c>
      <c r="O116" s="495">
        <v>55978.610220000002</v>
      </c>
      <c r="P116" s="495">
        <v>0</v>
      </c>
      <c r="Q116" s="495">
        <v>0</v>
      </c>
      <c r="T116" s="495">
        <v>43004.54376</v>
      </c>
      <c r="U116" s="495">
        <v>195429.87557999999</v>
      </c>
      <c r="V116" s="495">
        <v>-6518.2924800000001</v>
      </c>
      <c r="W116" s="495">
        <v>-23559.244200000001</v>
      </c>
      <c r="X116" s="495">
        <v>0</v>
      </c>
      <c r="AA116" s="495">
        <v>0</v>
      </c>
      <c r="AB116" s="495">
        <v>0</v>
      </c>
      <c r="AC116" s="495">
        <v>0</v>
      </c>
      <c r="AD116" s="495">
        <v>0</v>
      </c>
      <c r="AE116" s="495">
        <v>0</v>
      </c>
      <c r="AH116" s="495">
        <v>22482.995534999995</v>
      </c>
      <c r="AI116" s="495">
        <v>22482.995534999995</v>
      </c>
      <c r="AJ116" s="495">
        <v>0</v>
      </c>
      <c r="AK116" s="495">
        <v>0</v>
      </c>
      <c r="AL116" s="495">
        <v>0</v>
      </c>
      <c r="AO116" s="495">
        <v>-15203.446570723705</v>
      </c>
      <c r="AP116" s="495">
        <v>-8010.5368207237061</v>
      </c>
      <c r="AQ116" s="495">
        <v>-2461.923643223703</v>
      </c>
      <c r="AR116" s="495">
        <v>0</v>
      </c>
      <c r="AS116" s="495">
        <v>0</v>
      </c>
    </row>
    <row r="117" spans="1:45">
      <c r="A117" s="390">
        <v>91120</v>
      </c>
      <c r="B117" s="393">
        <v>91120</v>
      </c>
      <c r="C117" s="499" t="s">
        <v>832</v>
      </c>
      <c r="D117" s="378">
        <v>2.8049158949155779E-4</v>
      </c>
      <c r="F117" s="495">
        <v>143723.44095424112</v>
      </c>
      <c r="G117" s="495">
        <v>334971.75457924115</v>
      </c>
      <c r="H117" s="495">
        <v>13161.793226741087</v>
      </c>
      <c r="I117" s="495">
        <v>-29063.033500000001</v>
      </c>
      <c r="J117" s="495">
        <v>0</v>
      </c>
      <c r="M117" s="495">
        <v>128900.70945000001</v>
      </c>
      <c r="N117" s="495">
        <v>131128.32380000001</v>
      </c>
      <c r="O117" s="495">
        <v>69056.044850000006</v>
      </c>
      <c r="P117" s="495">
        <v>0</v>
      </c>
      <c r="Q117" s="495">
        <v>0</v>
      </c>
      <c r="T117" s="495">
        <v>53051.043799999999</v>
      </c>
      <c r="U117" s="495">
        <v>241085.19665</v>
      </c>
      <c r="V117" s="495">
        <v>-8041.0624000000007</v>
      </c>
      <c r="W117" s="495">
        <v>-29063.033500000001</v>
      </c>
      <c r="X117" s="495">
        <v>0</v>
      </c>
      <c r="AA117" s="495">
        <v>0</v>
      </c>
      <c r="AB117" s="495">
        <v>0</v>
      </c>
      <c r="AC117" s="495">
        <v>0</v>
      </c>
      <c r="AD117" s="495">
        <v>0</v>
      </c>
      <c r="AE117" s="495">
        <v>0</v>
      </c>
      <c r="AH117" s="495">
        <v>47059.848045000021</v>
      </c>
      <c r="AI117" s="495">
        <v>36318.685095000023</v>
      </c>
      <c r="AJ117" s="495">
        <v>0</v>
      </c>
      <c r="AK117" s="495">
        <v>0</v>
      </c>
      <c r="AL117" s="495">
        <v>0</v>
      </c>
      <c r="AO117" s="495">
        <v>-85288.160340758914</v>
      </c>
      <c r="AP117" s="495">
        <v>-73560.450965758908</v>
      </c>
      <c r="AQ117" s="495">
        <v>-47853.189223258916</v>
      </c>
      <c r="AR117" s="495">
        <v>0</v>
      </c>
      <c r="AS117" s="495">
        <v>0</v>
      </c>
    </row>
    <row r="118" spans="1:45">
      <c r="A118" s="390">
        <v>91121</v>
      </c>
      <c r="B118" s="393">
        <v>91121</v>
      </c>
      <c r="C118" s="499" t="s">
        <v>833</v>
      </c>
      <c r="D118" s="378">
        <v>1.0265939716164886E-2</v>
      </c>
      <c r="F118" s="495">
        <v>6282380.2353021586</v>
      </c>
      <c r="G118" s="495">
        <v>13354819.438072158</v>
      </c>
      <c r="H118" s="495">
        <v>2100253.3047371591</v>
      </c>
      <c r="I118" s="495">
        <v>-1063701.8446</v>
      </c>
      <c r="J118" s="495">
        <v>0</v>
      </c>
      <c r="M118" s="495">
        <v>4717742.9848199999</v>
      </c>
      <c r="N118" s="495">
        <v>4799273.2728800001</v>
      </c>
      <c r="O118" s="495">
        <v>2527438.92986</v>
      </c>
      <c r="P118" s="495">
        <v>0</v>
      </c>
      <c r="Q118" s="495">
        <v>0</v>
      </c>
      <c r="T118" s="495">
        <v>1941658.7448799999</v>
      </c>
      <c r="U118" s="495">
        <v>8823675.2155399993</v>
      </c>
      <c r="V118" s="495">
        <v>-294301.45023999998</v>
      </c>
      <c r="W118" s="495">
        <v>-1063701.8446</v>
      </c>
      <c r="X118" s="495">
        <v>0</v>
      </c>
      <c r="AA118" s="495">
        <v>0</v>
      </c>
      <c r="AB118" s="495">
        <v>0</v>
      </c>
      <c r="AC118" s="495">
        <v>0</v>
      </c>
      <c r="AD118" s="495">
        <v>0</v>
      </c>
      <c r="AE118" s="495">
        <v>0</v>
      </c>
      <c r="AH118" s="495">
        <v>1363.9571999995969</v>
      </c>
      <c r="AI118" s="495">
        <v>0</v>
      </c>
      <c r="AJ118" s="495">
        <v>0</v>
      </c>
      <c r="AK118" s="495">
        <v>0</v>
      </c>
      <c r="AL118" s="495">
        <v>0</v>
      </c>
      <c r="AO118" s="495">
        <v>-378385.45159784023</v>
      </c>
      <c r="AP118" s="495">
        <v>-268129.05034784012</v>
      </c>
      <c r="AQ118" s="495">
        <v>-132884.17488284083</v>
      </c>
      <c r="AR118" s="495">
        <v>0</v>
      </c>
      <c r="AS118" s="495">
        <v>0</v>
      </c>
    </row>
    <row r="119" spans="1:45">
      <c r="A119" s="390">
        <v>91127</v>
      </c>
      <c r="B119" s="393">
        <v>91127</v>
      </c>
      <c r="C119" s="499" t="s">
        <v>834</v>
      </c>
      <c r="D119" s="378">
        <v>3.1426651868087115E-4</v>
      </c>
      <c r="F119" s="495">
        <v>219317.73588504936</v>
      </c>
      <c r="G119" s="495">
        <v>420261.67473004939</v>
      </c>
      <c r="H119" s="495">
        <v>62520.825150049401</v>
      </c>
      <c r="I119" s="495">
        <v>-32562.618599999998</v>
      </c>
      <c r="J119" s="495">
        <v>0</v>
      </c>
      <c r="M119" s="495">
        <v>144422.11061999999</v>
      </c>
      <c r="N119" s="495">
        <v>146917.96007999999</v>
      </c>
      <c r="O119" s="495">
        <v>77371.333259999999</v>
      </c>
      <c r="P119" s="495">
        <v>0</v>
      </c>
      <c r="Q119" s="495">
        <v>0</v>
      </c>
      <c r="T119" s="495">
        <v>59439.112079999999</v>
      </c>
      <c r="U119" s="495">
        <v>270115.13814</v>
      </c>
      <c r="V119" s="495">
        <v>-9009.3158399999993</v>
      </c>
      <c r="W119" s="495">
        <v>-32562.618599999998</v>
      </c>
      <c r="X119" s="495">
        <v>0</v>
      </c>
      <c r="AA119" s="495">
        <v>0</v>
      </c>
      <c r="AB119" s="495">
        <v>0</v>
      </c>
      <c r="AC119" s="495">
        <v>0</v>
      </c>
      <c r="AD119" s="495">
        <v>0</v>
      </c>
      <c r="AE119" s="495">
        <v>0</v>
      </c>
      <c r="AH119" s="495">
        <v>21297.705454999981</v>
      </c>
      <c r="AI119" s="495">
        <v>9069.7687799999912</v>
      </c>
      <c r="AJ119" s="495">
        <v>0</v>
      </c>
      <c r="AK119" s="495">
        <v>0</v>
      </c>
      <c r="AL119" s="495">
        <v>0</v>
      </c>
      <c r="AO119" s="495">
        <v>-5841.1922699506031</v>
      </c>
      <c r="AP119" s="495">
        <v>-5841.1922699506031</v>
      </c>
      <c r="AQ119" s="495">
        <v>-5841.1922699506031</v>
      </c>
      <c r="AR119" s="495">
        <v>0</v>
      </c>
      <c r="AS119" s="495">
        <v>0</v>
      </c>
    </row>
    <row r="120" spans="1:45">
      <c r="A120" s="390">
        <v>91128</v>
      </c>
      <c r="B120" s="393">
        <v>91128</v>
      </c>
      <c r="C120" s="499" t="s">
        <v>835</v>
      </c>
      <c r="D120" s="378">
        <v>5.976285298555376E-4</v>
      </c>
      <c r="F120" s="495">
        <v>442583.77188644186</v>
      </c>
      <c r="G120" s="495">
        <v>868085.81905144174</v>
      </c>
      <c r="H120" s="495">
        <v>122577.63438394174</v>
      </c>
      <c r="I120" s="495">
        <v>-61923.070200000002</v>
      </c>
      <c r="J120" s="495">
        <v>0</v>
      </c>
      <c r="M120" s="495">
        <v>274641.93234</v>
      </c>
      <c r="N120" s="495">
        <v>279388.19256</v>
      </c>
      <c r="O120" s="495">
        <v>147134.06682000001</v>
      </c>
      <c r="P120" s="495">
        <v>0</v>
      </c>
      <c r="Q120" s="495">
        <v>0</v>
      </c>
      <c r="T120" s="495">
        <v>113033.05656000001</v>
      </c>
      <c r="U120" s="495">
        <v>513667.49298000004</v>
      </c>
      <c r="V120" s="495">
        <v>-17132.666880000001</v>
      </c>
      <c r="W120" s="495">
        <v>-61923.070200000002</v>
      </c>
      <c r="X120" s="495">
        <v>0</v>
      </c>
      <c r="AA120" s="495">
        <v>0</v>
      </c>
      <c r="AB120" s="495">
        <v>0</v>
      </c>
      <c r="AC120" s="495">
        <v>0</v>
      </c>
      <c r="AD120" s="495">
        <v>0</v>
      </c>
      <c r="AE120" s="495">
        <v>0</v>
      </c>
      <c r="AH120" s="495">
        <v>91202.975942500052</v>
      </c>
      <c r="AI120" s="495">
        <v>82453.899067500053</v>
      </c>
      <c r="AJ120" s="495">
        <v>0</v>
      </c>
      <c r="AK120" s="495">
        <v>0</v>
      </c>
      <c r="AL120" s="495">
        <v>0</v>
      </c>
      <c r="AO120" s="495">
        <v>-36294.192956058221</v>
      </c>
      <c r="AP120" s="495">
        <v>-7423.7655560582643</v>
      </c>
      <c r="AQ120" s="495">
        <v>-7423.7655560582643</v>
      </c>
      <c r="AR120" s="495">
        <v>0</v>
      </c>
      <c r="AS120" s="495">
        <v>0</v>
      </c>
    </row>
    <row r="121" spans="1:45">
      <c r="A121" s="390">
        <v>91138</v>
      </c>
      <c r="B121" s="393">
        <v>91138</v>
      </c>
      <c r="C121" s="499" t="s">
        <v>836</v>
      </c>
      <c r="D121" s="378">
        <v>4.45635933453419E-4</v>
      </c>
      <c r="F121" s="495">
        <v>268257.27345649782</v>
      </c>
      <c r="G121" s="495">
        <v>563317.56672649784</v>
      </c>
      <c r="H121" s="495">
        <v>87791.459916497814</v>
      </c>
      <c r="I121" s="495">
        <v>-46174.419099999999</v>
      </c>
      <c r="J121" s="495">
        <v>0</v>
      </c>
      <c r="M121" s="495">
        <v>204793.32897</v>
      </c>
      <c r="N121" s="495">
        <v>208332.49148</v>
      </c>
      <c r="O121" s="495">
        <v>109714.03780999999</v>
      </c>
      <c r="P121" s="495">
        <v>0</v>
      </c>
      <c r="Q121" s="495">
        <v>0</v>
      </c>
      <c r="T121" s="495">
        <v>84285.803480000002</v>
      </c>
      <c r="U121" s="495">
        <v>383028.45809000003</v>
      </c>
      <c r="V121" s="495">
        <v>-12775.383040000001</v>
      </c>
      <c r="W121" s="495">
        <v>-46174.419099999999</v>
      </c>
      <c r="X121" s="495">
        <v>0</v>
      </c>
      <c r="AA121" s="495">
        <v>0</v>
      </c>
      <c r="AB121" s="495">
        <v>0</v>
      </c>
      <c r="AC121" s="495">
        <v>0</v>
      </c>
      <c r="AD121" s="495">
        <v>0</v>
      </c>
      <c r="AE121" s="495">
        <v>0</v>
      </c>
      <c r="AH121" s="495">
        <v>16594.812599999976</v>
      </c>
      <c r="AI121" s="495">
        <v>0</v>
      </c>
      <c r="AJ121" s="495">
        <v>0</v>
      </c>
      <c r="AK121" s="495">
        <v>0</v>
      </c>
      <c r="AL121" s="495">
        <v>0</v>
      </c>
      <c r="AO121" s="495">
        <v>-37416.671593502157</v>
      </c>
      <c r="AP121" s="495">
        <v>-28043.382843502164</v>
      </c>
      <c r="AQ121" s="495">
        <v>-9147.1948535021729</v>
      </c>
      <c r="AR121" s="495">
        <v>0</v>
      </c>
      <c r="AS121" s="495">
        <v>0</v>
      </c>
    </row>
    <row r="122" spans="1:45">
      <c r="A122" s="390">
        <v>91141</v>
      </c>
      <c r="B122" s="393">
        <v>91141</v>
      </c>
      <c r="C122" s="499" t="s">
        <v>837</v>
      </c>
      <c r="D122" s="378">
        <v>5.8916725427910919E-4</v>
      </c>
      <c r="F122" s="495">
        <v>333079.91370916861</v>
      </c>
      <c r="G122" s="495">
        <v>731867.58701416862</v>
      </c>
      <c r="H122" s="495">
        <v>114419.36111916852</v>
      </c>
      <c r="I122" s="495">
        <v>-61046.360399999998</v>
      </c>
      <c r="J122" s="495">
        <v>0</v>
      </c>
      <c r="M122" s="495">
        <v>270753.53868</v>
      </c>
      <c r="N122" s="495">
        <v>275432.60112000001</v>
      </c>
      <c r="O122" s="495">
        <v>145050.93563999998</v>
      </c>
      <c r="P122" s="495">
        <v>0</v>
      </c>
      <c r="Q122" s="495">
        <v>0</v>
      </c>
      <c r="T122" s="495">
        <v>111432.72911999999</v>
      </c>
      <c r="U122" s="495">
        <v>506394.96395999996</v>
      </c>
      <c r="V122" s="495">
        <v>-16890.101759999998</v>
      </c>
      <c r="W122" s="495">
        <v>-61046.360399999998</v>
      </c>
      <c r="X122" s="495">
        <v>0</v>
      </c>
      <c r="AA122" s="495">
        <v>0</v>
      </c>
      <c r="AB122" s="495">
        <v>0</v>
      </c>
      <c r="AC122" s="495">
        <v>0</v>
      </c>
      <c r="AD122" s="495">
        <v>0</v>
      </c>
      <c r="AE122" s="495">
        <v>0</v>
      </c>
      <c r="AH122" s="495">
        <v>10343.342100000009</v>
      </c>
      <c r="AI122" s="495">
        <v>0</v>
      </c>
      <c r="AJ122" s="495">
        <v>0</v>
      </c>
      <c r="AK122" s="495">
        <v>0</v>
      </c>
      <c r="AL122" s="495">
        <v>0</v>
      </c>
      <c r="AO122" s="495">
        <v>-59449.696190831382</v>
      </c>
      <c r="AP122" s="495">
        <v>-49959.978065831383</v>
      </c>
      <c r="AQ122" s="495">
        <v>-13741.472760831468</v>
      </c>
      <c r="AR122" s="495">
        <v>0</v>
      </c>
      <c r="AS122" s="495">
        <v>0</v>
      </c>
    </row>
    <row r="123" spans="1:45">
      <c r="A123" s="390">
        <v>91147</v>
      </c>
      <c r="B123" s="393">
        <v>91147</v>
      </c>
      <c r="C123" s="499" t="s">
        <v>838</v>
      </c>
      <c r="D123" s="378">
        <v>2.9924457597241715E-5</v>
      </c>
      <c r="F123" s="495">
        <v>16944.877337678798</v>
      </c>
      <c r="G123" s="495">
        <v>36622.259532678792</v>
      </c>
      <c r="H123" s="495">
        <v>3546.8351551787928</v>
      </c>
      <c r="I123" s="495">
        <v>-3100.6096000000002</v>
      </c>
      <c r="J123" s="495">
        <v>0</v>
      </c>
      <c r="M123" s="495">
        <v>13751.860320000002</v>
      </c>
      <c r="N123" s="495">
        <v>13989.514880000001</v>
      </c>
      <c r="O123" s="495">
        <v>7367.2913600000002</v>
      </c>
      <c r="P123" s="495">
        <v>0</v>
      </c>
      <c r="Q123" s="495">
        <v>0</v>
      </c>
      <c r="T123" s="495">
        <v>5659.7868800000006</v>
      </c>
      <c r="U123" s="495">
        <v>25720.339040000003</v>
      </c>
      <c r="V123" s="495">
        <v>-857.86624000000006</v>
      </c>
      <c r="W123" s="495">
        <v>-3100.6096000000002</v>
      </c>
      <c r="X123" s="495">
        <v>0</v>
      </c>
      <c r="AA123" s="495">
        <v>0</v>
      </c>
      <c r="AB123" s="495">
        <v>0</v>
      </c>
      <c r="AC123" s="495">
        <v>0</v>
      </c>
      <c r="AD123" s="495">
        <v>0</v>
      </c>
      <c r="AE123" s="495">
        <v>0</v>
      </c>
      <c r="AH123" s="495">
        <v>746.29699500000061</v>
      </c>
      <c r="AI123" s="495">
        <v>7.4868449999976292</v>
      </c>
      <c r="AJ123" s="495">
        <v>0</v>
      </c>
      <c r="AK123" s="495">
        <v>0</v>
      </c>
      <c r="AL123" s="495">
        <v>0</v>
      </c>
      <c r="AO123" s="495">
        <v>-3213.066857321206</v>
      </c>
      <c r="AP123" s="495">
        <v>-3095.0812323212067</v>
      </c>
      <c r="AQ123" s="495">
        <v>-2962.5899648212071</v>
      </c>
      <c r="AR123" s="495">
        <v>0</v>
      </c>
      <c r="AS123" s="495">
        <v>0</v>
      </c>
    </row>
    <row r="124" spans="1:45">
      <c r="A124" s="390">
        <v>91151</v>
      </c>
      <c r="B124" s="393">
        <v>91151</v>
      </c>
      <c r="C124" s="499" t="s">
        <v>839</v>
      </c>
      <c r="D124" s="378">
        <v>7.2511735645540225E-4</v>
      </c>
      <c r="F124" s="495">
        <v>506351.62537942454</v>
      </c>
      <c r="G124" s="495">
        <v>979984.19848942466</v>
      </c>
      <c r="H124" s="495">
        <v>152955.24200692456</v>
      </c>
      <c r="I124" s="495">
        <v>-75132.786300000007</v>
      </c>
      <c r="J124" s="495">
        <v>0</v>
      </c>
      <c r="M124" s="495">
        <v>333229.82121000002</v>
      </c>
      <c r="N124" s="495">
        <v>338988.57564</v>
      </c>
      <c r="O124" s="495">
        <v>178521.38733</v>
      </c>
      <c r="P124" s="495">
        <v>0</v>
      </c>
      <c r="Q124" s="495">
        <v>0</v>
      </c>
      <c r="T124" s="495">
        <v>137145.79164000001</v>
      </c>
      <c r="U124" s="495">
        <v>623245.42137</v>
      </c>
      <c r="V124" s="495">
        <v>-20787.486720000001</v>
      </c>
      <c r="W124" s="495">
        <v>-75132.786300000007</v>
      </c>
      <c r="X124" s="495">
        <v>0</v>
      </c>
      <c r="AA124" s="495">
        <v>0</v>
      </c>
      <c r="AB124" s="495">
        <v>0</v>
      </c>
      <c r="AC124" s="495">
        <v>0</v>
      </c>
      <c r="AD124" s="495">
        <v>0</v>
      </c>
      <c r="AE124" s="495">
        <v>0</v>
      </c>
      <c r="AH124" s="495">
        <v>69844.524584999992</v>
      </c>
      <c r="AI124" s="495">
        <v>34836.289785000015</v>
      </c>
      <c r="AJ124" s="495">
        <v>0</v>
      </c>
      <c r="AK124" s="495">
        <v>0</v>
      </c>
      <c r="AL124" s="495">
        <v>0</v>
      </c>
      <c r="AO124" s="495">
        <v>-33868.512055575469</v>
      </c>
      <c r="AP124" s="495">
        <v>-17086.088305575453</v>
      </c>
      <c r="AQ124" s="495">
        <v>-4778.6586030754552</v>
      </c>
      <c r="AR124" s="495">
        <v>0</v>
      </c>
      <c r="AS124" s="495">
        <v>0</v>
      </c>
    </row>
    <row r="125" spans="1:45">
      <c r="A125" s="390">
        <v>91154</v>
      </c>
      <c r="B125" s="393">
        <v>91154</v>
      </c>
      <c r="C125" s="499" t="s">
        <v>840</v>
      </c>
      <c r="D125" s="378">
        <v>2.1403097217130317E-5</v>
      </c>
      <c r="F125" s="495">
        <v>13610.199339733499</v>
      </c>
      <c r="G125" s="495">
        <v>25595.646139733501</v>
      </c>
      <c r="H125" s="495">
        <v>3016.6456397334964</v>
      </c>
      <c r="I125" s="495">
        <v>-2217.6819999999998</v>
      </c>
      <c r="J125" s="495">
        <v>0</v>
      </c>
      <c r="M125" s="495">
        <v>9835.8894</v>
      </c>
      <c r="N125" s="495">
        <v>10005.8696</v>
      </c>
      <c r="O125" s="495">
        <v>5269.3861999999999</v>
      </c>
      <c r="P125" s="495">
        <v>0</v>
      </c>
      <c r="Q125" s="495">
        <v>0</v>
      </c>
      <c r="T125" s="495">
        <v>4048.1095999999998</v>
      </c>
      <c r="U125" s="495">
        <v>18396.231799999998</v>
      </c>
      <c r="V125" s="495">
        <v>-613.58079999999995</v>
      </c>
      <c r="W125" s="495">
        <v>-2217.6819999999998</v>
      </c>
      <c r="X125" s="495">
        <v>0</v>
      </c>
      <c r="AA125" s="495">
        <v>0</v>
      </c>
      <c r="AB125" s="495">
        <v>0</v>
      </c>
      <c r="AC125" s="495">
        <v>0</v>
      </c>
      <c r="AD125" s="495">
        <v>0</v>
      </c>
      <c r="AE125" s="495">
        <v>0</v>
      </c>
      <c r="AH125" s="495">
        <v>2955.2406000000001</v>
      </c>
      <c r="AI125" s="495">
        <v>0</v>
      </c>
      <c r="AJ125" s="495">
        <v>0</v>
      </c>
      <c r="AK125" s="495">
        <v>0</v>
      </c>
      <c r="AL125" s="495">
        <v>0</v>
      </c>
      <c r="AO125" s="495">
        <v>-3229.0402602665008</v>
      </c>
      <c r="AP125" s="495">
        <v>-2806.4552602665008</v>
      </c>
      <c r="AQ125" s="495">
        <v>-1639.1597602665038</v>
      </c>
      <c r="AR125" s="495">
        <v>0</v>
      </c>
      <c r="AS125" s="495">
        <v>0</v>
      </c>
    </row>
    <row r="126" spans="1:45">
      <c r="A126" s="390">
        <v>91161</v>
      </c>
      <c r="B126" s="393">
        <v>91161</v>
      </c>
      <c r="C126" s="499" t="s">
        <v>841</v>
      </c>
      <c r="D126" s="378">
        <v>8.4592579138849527E-5</v>
      </c>
      <c r="F126" s="495">
        <v>44012.259245007444</v>
      </c>
      <c r="G126" s="495">
        <v>104710.08017500746</v>
      </c>
      <c r="H126" s="495">
        <v>26547.85981750744</v>
      </c>
      <c r="I126" s="495">
        <v>-8765.0254000000004</v>
      </c>
      <c r="J126" s="495">
        <v>0</v>
      </c>
      <c r="M126" s="495">
        <v>38874.744180000002</v>
      </c>
      <c r="N126" s="495">
        <v>39546.563120000006</v>
      </c>
      <c r="O126" s="495">
        <v>20826.387140000003</v>
      </c>
      <c r="P126" s="495">
        <v>0</v>
      </c>
      <c r="Q126" s="495">
        <v>0</v>
      </c>
      <c r="T126" s="495">
        <v>15999.491120000001</v>
      </c>
      <c r="U126" s="495">
        <v>72708.097460000005</v>
      </c>
      <c r="V126" s="495">
        <v>-2425.0777600000001</v>
      </c>
      <c r="W126" s="495">
        <v>-8765.0254000000004</v>
      </c>
      <c r="X126" s="495">
        <v>0</v>
      </c>
      <c r="AA126" s="495">
        <v>0</v>
      </c>
      <c r="AB126" s="495">
        <v>0</v>
      </c>
      <c r="AC126" s="495">
        <v>0</v>
      </c>
      <c r="AD126" s="495">
        <v>0</v>
      </c>
      <c r="AE126" s="495">
        <v>0</v>
      </c>
      <c r="AH126" s="495">
        <v>8260.2135375074358</v>
      </c>
      <c r="AI126" s="495">
        <v>8146.5504375074379</v>
      </c>
      <c r="AJ126" s="495">
        <v>8146.5504375074379</v>
      </c>
      <c r="AK126" s="495">
        <v>0</v>
      </c>
      <c r="AL126" s="495">
        <v>0</v>
      </c>
      <c r="AO126" s="495">
        <v>-19122.189592499995</v>
      </c>
      <c r="AP126" s="495">
        <v>-15691.130842499995</v>
      </c>
      <c r="AQ126" s="495">
        <v>0</v>
      </c>
      <c r="AR126" s="495">
        <v>0</v>
      </c>
      <c r="AS126" s="495">
        <v>0</v>
      </c>
    </row>
    <row r="127" spans="1:45">
      <c r="A127" s="390">
        <v>91171</v>
      </c>
      <c r="B127" s="393">
        <v>91171</v>
      </c>
      <c r="C127" s="499" t="s">
        <v>842</v>
      </c>
      <c r="D127" s="378">
        <v>2.7155022891582511E-4</v>
      </c>
      <c r="F127" s="495">
        <v>145304.02863659069</v>
      </c>
      <c r="G127" s="495">
        <v>308183.73814659065</v>
      </c>
      <c r="H127" s="495">
        <v>43912.47489659072</v>
      </c>
      <c r="I127" s="495">
        <v>-28136.581299999998</v>
      </c>
      <c r="J127" s="495">
        <v>0</v>
      </c>
      <c r="M127" s="495">
        <v>124791.69770999999</v>
      </c>
      <c r="N127" s="495">
        <v>126948.30163999999</v>
      </c>
      <c r="O127" s="495">
        <v>66854.721829999995</v>
      </c>
      <c r="P127" s="495">
        <v>0</v>
      </c>
      <c r="Q127" s="495">
        <v>0</v>
      </c>
      <c r="T127" s="495">
        <v>51359.91764</v>
      </c>
      <c r="U127" s="495">
        <v>233400.04186999999</v>
      </c>
      <c r="V127" s="495">
        <v>-7784.7347199999995</v>
      </c>
      <c r="W127" s="495">
        <v>-28136.581299999998</v>
      </c>
      <c r="X127" s="495">
        <v>0</v>
      </c>
      <c r="AA127" s="495">
        <v>0</v>
      </c>
      <c r="AB127" s="495">
        <v>0</v>
      </c>
      <c r="AC127" s="495">
        <v>0</v>
      </c>
      <c r="AD127" s="495">
        <v>0</v>
      </c>
      <c r="AE127" s="495">
        <v>0</v>
      </c>
      <c r="AH127" s="495">
        <v>34553.582400000014</v>
      </c>
      <c r="AI127" s="495">
        <v>0</v>
      </c>
      <c r="AJ127" s="495">
        <v>0</v>
      </c>
      <c r="AK127" s="495">
        <v>0</v>
      </c>
      <c r="AL127" s="495">
        <v>0</v>
      </c>
      <c r="AO127" s="495">
        <v>-65401.169113409313</v>
      </c>
      <c r="AP127" s="495">
        <v>-52164.605363409311</v>
      </c>
      <c r="AQ127" s="495">
        <v>-15157.512213409271</v>
      </c>
      <c r="AR127" s="495">
        <v>0</v>
      </c>
      <c r="AS127" s="495">
        <v>0</v>
      </c>
    </row>
    <row r="128" spans="1:45">
      <c r="A128" s="390">
        <v>91201</v>
      </c>
      <c r="B128" s="393">
        <v>91201</v>
      </c>
      <c r="C128" s="499" t="s">
        <v>843</v>
      </c>
      <c r="D128" s="378">
        <v>4.0257659654872793E-3</v>
      </c>
      <c r="F128" s="495">
        <v>2837284.020269467</v>
      </c>
      <c r="G128" s="495">
        <v>5606753.497089467</v>
      </c>
      <c r="H128" s="495">
        <v>1247860.5766169671</v>
      </c>
      <c r="I128" s="495">
        <v>-417128.36709999997</v>
      </c>
      <c r="J128" s="495">
        <v>0</v>
      </c>
      <c r="M128" s="495">
        <v>1850052.6605699998</v>
      </c>
      <c r="N128" s="495">
        <v>1882024.5858799999</v>
      </c>
      <c r="O128" s="495">
        <v>991129.68461</v>
      </c>
      <c r="P128" s="495">
        <v>0</v>
      </c>
      <c r="Q128" s="495">
        <v>0</v>
      </c>
      <c r="T128" s="495">
        <v>761417.25787999993</v>
      </c>
      <c r="U128" s="495">
        <v>3460185.06329</v>
      </c>
      <c r="V128" s="495">
        <v>-115409.67423999999</v>
      </c>
      <c r="W128" s="495">
        <v>-417128.36709999997</v>
      </c>
      <c r="X128" s="495">
        <v>0</v>
      </c>
      <c r="AA128" s="495">
        <v>0</v>
      </c>
      <c r="AB128" s="495">
        <v>0</v>
      </c>
      <c r="AC128" s="495">
        <v>0</v>
      </c>
      <c r="AD128" s="495">
        <v>0</v>
      </c>
      <c r="AE128" s="495">
        <v>0</v>
      </c>
      <c r="AH128" s="495">
        <v>427995.10938446713</v>
      </c>
      <c r="AI128" s="495">
        <v>396416.31908446719</v>
      </c>
      <c r="AJ128" s="495">
        <v>372140.56624696718</v>
      </c>
      <c r="AK128" s="495">
        <v>0</v>
      </c>
      <c r="AL128" s="495">
        <v>0</v>
      </c>
      <c r="AO128" s="495">
        <v>-202181.00756499977</v>
      </c>
      <c r="AP128" s="495">
        <v>-131872.47116500002</v>
      </c>
      <c r="AQ128" s="495">
        <v>0</v>
      </c>
      <c r="AR128" s="495">
        <v>0</v>
      </c>
      <c r="AS128" s="495">
        <v>0</v>
      </c>
    </row>
    <row r="129" spans="1:45">
      <c r="A129" s="390">
        <v>91202</v>
      </c>
      <c r="B129" s="393">
        <v>91202</v>
      </c>
      <c r="C129" s="499" t="s">
        <v>844</v>
      </c>
      <c r="D129" s="378">
        <v>0</v>
      </c>
      <c r="F129" s="495">
        <v>0</v>
      </c>
      <c r="G129" s="495">
        <v>0</v>
      </c>
      <c r="H129" s="495">
        <v>0</v>
      </c>
      <c r="I129" s="495">
        <v>0</v>
      </c>
      <c r="J129" s="495">
        <v>0</v>
      </c>
      <c r="M129" s="495">
        <v>0</v>
      </c>
      <c r="N129" s="495">
        <v>0</v>
      </c>
      <c r="O129" s="495">
        <v>0</v>
      </c>
      <c r="P129" s="495">
        <v>0</v>
      </c>
      <c r="Q129" s="495">
        <v>0</v>
      </c>
      <c r="T129" s="495">
        <v>0</v>
      </c>
      <c r="U129" s="495">
        <v>0</v>
      </c>
      <c r="V129" s="495">
        <v>0</v>
      </c>
      <c r="W129" s="495">
        <v>0</v>
      </c>
      <c r="X129" s="495">
        <v>0</v>
      </c>
      <c r="AA129" s="495">
        <v>0</v>
      </c>
      <c r="AB129" s="495">
        <v>0</v>
      </c>
      <c r="AC129" s="495">
        <v>0</v>
      </c>
      <c r="AD129" s="495">
        <v>0</v>
      </c>
      <c r="AE129" s="495">
        <v>0</v>
      </c>
      <c r="AH129" s="495">
        <v>0</v>
      </c>
      <c r="AI129" s="495">
        <v>0</v>
      </c>
      <c r="AJ129" s="495">
        <v>0</v>
      </c>
      <c r="AK129" s="495">
        <v>0</v>
      </c>
      <c r="AL129" s="495">
        <v>0</v>
      </c>
      <c r="AO129" s="495">
        <v>0</v>
      </c>
      <c r="AP129" s="495">
        <v>0</v>
      </c>
      <c r="AQ129" s="495">
        <v>0</v>
      </c>
      <c r="AR129" s="495">
        <v>0</v>
      </c>
      <c r="AS129" s="495">
        <v>0</v>
      </c>
    </row>
    <row r="130" spans="1:45">
      <c r="B130" s="393">
        <v>91203</v>
      </c>
      <c r="C130" s="499" t="s">
        <v>845</v>
      </c>
      <c r="D130" s="378">
        <v>0</v>
      </c>
      <c r="F130" s="495">
        <v>0</v>
      </c>
      <c r="G130" s="495">
        <v>0</v>
      </c>
      <c r="H130" s="495">
        <v>0</v>
      </c>
      <c r="I130" s="495">
        <v>0</v>
      </c>
      <c r="J130" s="495">
        <v>0</v>
      </c>
      <c r="M130" s="495">
        <v>0</v>
      </c>
      <c r="N130" s="495">
        <v>0</v>
      </c>
      <c r="O130" s="495">
        <v>0</v>
      </c>
      <c r="P130" s="495">
        <v>0</v>
      </c>
      <c r="Q130" s="495">
        <v>0</v>
      </c>
      <c r="T130" s="495">
        <v>0</v>
      </c>
      <c r="U130" s="495">
        <v>0</v>
      </c>
      <c r="V130" s="495">
        <v>0</v>
      </c>
      <c r="W130" s="495">
        <v>0</v>
      </c>
      <c r="X130" s="495">
        <v>0</v>
      </c>
      <c r="AA130" s="495">
        <v>0</v>
      </c>
      <c r="AB130" s="495">
        <v>0</v>
      </c>
      <c r="AC130" s="495">
        <v>0</v>
      </c>
      <c r="AD130" s="495">
        <v>0</v>
      </c>
      <c r="AE130" s="495">
        <v>0</v>
      </c>
      <c r="AH130" s="495">
        <v>0</v>
      </c>
      <c r="AI130" s="495">
        <v>0</v>
      </c>
      <c r="AJ130" s="495">
        <v>0</v>
      </c>
      <c r="AK130" s="495">
        <v>0</v>
      </c>
      <c r="AL130" s="495">
        <v>0</v>
      </c>
      <c r="AO130" s="495">
        <v>0</v>
      </c>
      <c r="AP130" s="495">
        <v>0</v>
      </c>
      <c r="AQ130" s="495">
        <v>0</v>
      </c>
      <c r="AR130" s="495">
        <v>0</v>
      </c>
      <c r="AS130" s="495">
        <v>0</v>
      </c>
    </row>
    <row r="131" spans="1:45">
      <c r="B131" s="393">
        <v>91206</v>
      </c>
      <c r="C131" s="499" t="s">
        <v>846</v>
      </c>
      <c r="D131" s="378">
        <v>0</v>
      </c>
      <c r="F131" s="495">
        <v>0</v>
      </c>
      <c r="G131" s="495">
        <v>0</v>
      </c>
      <c r="H131" s="495">
        <v>0</v>
      </c>
      <c r="I131" s="495">
        <v>0</v>
      </c>
      <c r="J131" s="495">
        <v>0</v>
      </c>
      <c r="M131" s="495">
        <v>0</v>
      </c>
      <c r="N131" s="495">
        <v>0</v>
      </c>
      <c r="O131" s="495">
        <v>0</v>
      </c>
      <c r="P131" s="495">
        <v>0</v>
      </c>
      <c r="Q131" s="495">
        <v>0</v>
      </c>
      <c r="T131" s="495">
        <v>0</v>
      </c>
      <c r="U131" s="495">
        <v>0</v>
      </c>
      <c r="V131" s="495">
        <v>0</v>
      </c>
      <c r="W131" s="495">
        <v>0</v>
      </c>
      <c r="X131" s="495">
        <v>0</v>
      </c>
      <c r="AA131" s="495">
        <v>0</v>
      </c>
      <c r="AB131" s="495">
        <v>0</v>
      </c>
      <c r="AC131" s="495">
        <v>0</v>
      </c>
      <c r="AD131" s="495">
        <v>0</v>
      </c>
      <c r="AE131" s="495">
        <v>0</v>
      </c>
      <c r="AH131" s="495">
        <v>0</v>
      </c>
      <c r="AI131" s="495">
        <v>0</v>
      </c>
      <c r="AJ131" s="495">
        <v>0</v>
      </c>
      <c r="AK131" s="495">
        <v>0</v>
      </c>
      <c r="AL131" s="495">
        <v>0</v>
      </c>
      <c r="AO131" s="495">
        <v>0</v>
      </c>
      <c r="AP131" s="495">
        <v>0</v>
      </c>
      <c r="AQ131" s="495">
        <v>0</v>
      </c>
      <c r="AR131" s="495">
        <v>0</v>
      </c>
      <c r="AS131" s="495">
        <v>0</v>
      </c>
    </row>
    <row r="132" spans="1:45">
      <c r="A132" s="390">
        <v>91208</v>
      </c>
      <c r="B132" s="393">
        <v>91208</v>
      </c>
      <c r="C132" s="499" t="s">
        <v>847</v>
      </c>
      <c r="D132" s="378">
        <v>2.1173143030195315E-5</v>
      </c>
      <c r="F132" s="495">
        <v>17248.819027156922</v>
      </c>
      <c r="G132" s="495">
        <v>27286.722672156924</v>
      </c>
      <c r="H132" s="495">
        <v>4505.1053621569172</v>
      </c>
      <c r="I132" s="495">
        <v>-2193.8471</v>
      </c>
      <c r="J132" s="495">
        <v>0</v>
      </c>
      <c r="M132" s="495">
        <v>9730.1765699999996</v>
      </c>
      <c r="N132" s="495">
        <v>9898.3298799999993</v>
      </c>
      <c r="O132" s="495">
        <v>5212.7526099999995</v>
      </c>
      <c r="P132" s="495">
        <v>0</v>
      </c>
      <c r="Q132" s="495">
        <v>0</v>
      </c>
      <c r="T132" s="495">
        <v>4004.6018799999997</v>
      </c>
      <c r="U132" s="495">
        <v>18198.515289999999</v>
      </c>
      <c r="V132" s="495">
        <v>-606.98623999999995</v>
      </c>
      <c r="W132" s="495">
        <v>-2193.8471</v>
      </c>
      <c r="X132" s="495">
        <v>0</v>
      </c>
      <c r="AA132" s="495">
        <v>0</v>
      </c>
      <c r="AB132" s="495">
        <v>0</v>
      </c>
      <c r="AC132" s="495">
        <v>0</v>
      </c>
      <c r="AD132" s="495">
        <v>0</v>
      </c>
      <c r="AE132" s="495">
        <v>0</v>
      </c>
      <c r="AH132" s="495">
        <v>5322.521029999999</v>
      </c>
      <c r="AI132" s="495">
        <v>832.82857999999942</v>
      </c>
      <c r="AJ132" s="495">
        <v>0</v>
      </c>
      <c r="AK132" s="495">
        <v>0</v>
      </c>
      <c r="AL132" s="495">
        <v>0</v>
      </c>
      <c r="AO132" s="495">
        <v>-1808.4804528430759</v>
      </c>
      <c r="AP132" s="495">
        <v>-1642.9510778430758</v>
      </c>
      <c r="AQ132" s="495">
        <v>-100.66100784308173</v>
      </c>
      <c r="AR132" s="495">
        <v>0</v>
      </c>
      <c r="AS132" s="495">
        <v>0</v>
      </c>
    </row>
    <row r="133" spans="1:45">
      <c r="A133" s="390">
        <v>91211</v>
      </c>
      <c r="B133" s="393">
        <v>91211</v>
      </c>
      <c r="C133" s="499" t="s">
        <v>848</v>
      </c>
      <c r="D133" s="378">
        <v>4.1046080580198137E-4</v>
      </c>
      <c r="F133" s="495">
        <v>237061.25196000593</v>
      </c>
      <c r="G133" s="495">
        <v>516092.740010006</v>
      </c>
      <c r="H133" s="495">
        <v>67960.330077505962</v>
      </c>
      <c r="I133" s="495">
        <v>-42529.752</v>
      </c>
      <c r="J133" s="495">
        <v>0</v>
      </c>
      <c r="M133" s="495">
        <v>188628.4584</v>
      </c>
      <c r="N133" s="495">
        <v>191888.26560000001</v>
      </c>
      <c r="O133" s="495">
        <v>101054.0232</v>
      </c>
      <c r="P133" s="495">
        <v>0</v>
      </c>
      <c r="Q133" s="495">
        <v>0</v>
      </c>
      <c r="T133" s="495">
        <v>77632.905599999998</v>
      </c>
      <c r="U133" s="495">
        <v>352795.02480000001</v>
      </c>
      <c r="V133" s="495">
        <v>-11766.988799999999</v>
      </c>
      <c r="W133" s="495">
        <v>-42529.752</v>
      </c>
      <c r="X133" s="495">
        <v>0</v>
      </c>
      <c r="AA133" s="495">
        <v>0</v>
      </c>
      <c r="AB133" s="495">
        <v>0</v>
      </c>
      <c r="AC133" s="495">
        <v>0</v>
      </c>
      <c r="AD133" s="495">
        <v>0</v>
      </c>
      <c r="AE133" s="495">
        <v>0</v>
      </c>
      <c r="AH133" s="495">
        <v>397.82084999996005</v>
      </c>
      <c r="AI133" s="495">
        <v>0</v>
      </c>
      <c r="AJ133" s="495">
        <v>0</v>
      </c>
      <c r="AK133" s="495">
        <v>0</v>
      </c>
      <c r="AL133" s="495">
        <v>0</v>
      </c>
      <c r="AO133" s="495">
        <v>-29597.932889994023</v>
      </c>
      <c r="AP133" s="495">
        <v>-28590.550389994045</v>
      </c>
      <c r="AQ133" s="495">
        <v>-21326.704322494046</v>
      </c>
      <c r="AR133" s="495">
        <v>0</v>
      </c>
      <c r="AS133" s="495">
        <v>0</v>
      </c>
    </row>
    <row r="134" spans="1:45">
      <c r="A134" s="390">
        <v>91213</v>
      </c>
      <c r="B134" s="393">
        <v>91213</v>
      </c>
      <c r="C134" s="499" t="s">
        <v>849</v>
      </c>
      <c r="D134" s="378">
        <v>2.0693058030891012E-5</v>
      </c>
      <c r="F134" s="495">
        <v>12428.582749279725</v>
      </c>
      <c r="G134" s="495">
        <v>24820.26741427973</v>
      </c>
      <c r="H134" s="495">
        <v>2357.6046967797265</v>
      </c>
      <c r="I134" s="495">
        <v>-2144.1046999999999</v>
      </c>
      <c r="J134" s="495">
        <v>0</v>
      </c>
      <c r="M134" s="495">
        <v>9509.5584899999994</v>
      </c>
      <c r="N134" s="495">
        <v>9673.8991600000008</v>
      </c>
      <c r="O134" s="495">
        <v>5094.56077</v>
      </c>
      <c r="P134" s="495">
        <v>0</v>
      </c>
      <c r="Q134" s="495">
        <v>0</v>
      </c>
      <c r="T134" s="495">
        <v>3913.8031599999999</v>
      </c>
      <c r="U134" s="495">
        <v>17785.88953</v>
      </c>
      <c r="V134" s="495">
        <v>-593.22368000000006</v>
      </c>
      <c r="W134" s="495">
        <v>-2144.1046999999999</v>
      </c>
      <c r="X134" s="495">
        <v>0</v>
      </c>
      <c r="AA134" s="495">
        <v>0</v>
      </c>
      <c r="AB134" s="495">
        <v>0</v>
      </c>
      <c r="AC134" s="495">
        <v>0</v>
      </c>
      <c r="AD134" s="495">
        <v>0</v>
      </c>
      <c r="AE134" s="495">
        <v>0</v>
      </c>
      <c r="AH134" s="495">
        <v>1989.1042499999985</v>
      </c>
      <c r="AI134" s="495">
        <v>0</v>
      </c>
      <c r="AJ134" s="495">
        <v>0</v>
      </c>
      <c r="AK134" s="495">
        <v>0</v>
      </c>
      <c r="AL134" s="495">
        <v>0</v>
      </c>
      <c r="AO134" s="495">
        <v>-2983.8831507202717</v>
      </c>
      <c r="AP134" s="495">
        <v>-2639.5212757202712</v>
      </c>
      <c r="AQ134" s="495">
        <v>-2143.7323932202735</v>
      </c>
      <c r="AR134" s="495">
        <v>0</v>
      </c>
      <c r="AS134" s="495">
        <v>0</v>
      </c>
    </row>
    <row r="135" spans="1:45">
      <c r="A135" s="390">
        <v>91214</v>
      </c>
      <c r="B135" s="393">
        <v>91214</v>
      </c>
      <c r="C135" s="499" t="s">
        <v>850</v>
      </c>
      <c r="D135" s="378">
        <v>2.2903437018726241E-5</v>
      </c>
      <c r="F135" s="495">
        <v>-2495.5381809627652</v>
      </c>
      <c r="G135" s="495">
        <v>15603.965894037237</v>
      </c>
      <c r="H135" s="495">
        <v>-5866.2400734627554</v>
      </c>
      <c r="I135" s="495">
        <v>-2373.127</v>
      </c>
      <c r="J135" s="495">
        <v>0</v>
      </c>
      <c r="M135" s="495">
        <v>10525.320900000001</v>
      </c>
      <c r="N135" s="495">
        <v>10707.215600000001</v>
      </c>
      <c r="O135" s="495">
        <v>5638.7357000000002</v>
      </c>
      <c r="P135" s="495">
        <v>0</v>
      </c>
      <c r="Q135" s="495">
        <v>0</v>
      </c>
      <c r="T135" s="495">
        <v>4331.8555999999999</v>
      </c>
      <c r="U135" s="495">
        <v>19685.687300000001</v>
      </c>
      <c r="V135" s="495">
        <v>-656.58879999999999</v>
      </c>
      <c r="W135" s="495">
        <v>-2373.127</v>
      </c>
      <c r="X135" s="495">
        <v>0</v>
      </c>
      <c r="AA135" s="495">
        <v>0</v>
      </c>
      <c r="AB135" s="495">
        <v>0</v>
      </c>
      <c r="AC135" s="495">
        <v>0</v>
      </c>
      <c r="AD135" s="495">
        <v>0</v>
      </c>
      <c r="AE135" s="495">
        <v>0</v>
      </c>
      <c r="AH135" s="495">
        <v>0</v>
      </c>
      <c r="AI135" s="495">
        <v>0</v>
      </c>
      <c r="AJ135" s="495">
        <v>0</v>
      </c>
      <c r="AK135" s="495">
        <v>0</v>
      </c>
      <c r="AL135" s="495">
        <v>0</v>
      </c>
      <c r="AO135" s="495">
        <v>-17352.714680962767</v>
      </c>
      <c r="AP135" s="495">
        <v>-14788.937005962764</v>
      </c>
      <c r="AQ135" s="495">
        <v>-10848.386973462755</v>
      </c>
      <c r="AR135" s="495">
        <v>0</v>
      </c>
      <c r="AS135" s="495">
        <v>0</v>
      </c>
    </row>
    <row r="136" spans="1:45">
      <c r="A136" s="390">
        <v>91217</v>
      </c>
      <c r="B136" s="393">
        <v>91217</v>
      </c>
      <c r="C136" s="499" t="s">
        <v>851</v>
      </c>
      <c r="D136" s="378">
        <v>2.3033398223729506E-5</v>
      </c>
      <c r="F136" s="495">
        <v>15899.712767993569</v>
      </c>
      <c r="G136" s="495">
        <v>30975.836497993576</v>
      </c>
      <c r="H136" s="495">
        <v>4938.041972993572</v>
      </c>
      <c r="I136" s="495">
        <v>-2386.5989</v>
      </c>
      <c r="J136" s="495">
        <v>0</v>
      </c>
      <c r="M136" s="495">
        <v>10585.07163</v>
      </c>
      <c r="N136" s="495">
        <v>10767.99892</v>
      </c>
      <c r="O136" s="495">
        <v>5670.7459900000003</v>
      </c>
      <c r="P136" s="495">
        <v>0</v>
      </c>
      <c r="Q136" s="495">
        <v>0</v>
      </c>
      <c r="T136" s="495">
        <v>4356.4469200000003</v>
      </c>
      <c r="U136" s="495">
        <v>19797.44011</v>
      </c>
      <c r="V136" s="495">
        <v>-660.31616000000008</v>
      </c>
      <c r="W136" s="495">
        <v>-2386.5989</v>
      </c>
      <c r="X136" s="495">
        <v>0</v>
      </c>
      <c r="AA136" s="495">
        <v>0</v>
      </c>
      <c r="AB136" s="495">
        <v>0</v>
      </c>
      <c r="AC136" s="495">
        <v>0</v>
      </c>
      <c r="AD136" s="495">
        <v>0</v>
      </c>
      <c r="AE136" s="495">
        <v>0</v>
      </c>
      <c r="AH136" s="495">
        <v>2107.660675000001</v>
      </c>
      <c r="AI136" s="495">
        <v>707.39067500000056</v>
      </c>
      <c r="AJ136" s="495">
        <v>0</v>
      </c>
      <c r="AK136" s="495">
        <v>0</v>
      </c>
      <c r="AL136" s="495">
        <v>0</v>
      </c>
      <c r="AO136" s="495">
        <v>-1149.4664570064297</v>
      </c>
      <c r="AP136" s="495">
        <v>-296.99320700642869</v>
      </c>
      <c r="AQ136" s="495">
        <v>-72.387857006428021</v>
      </c>
      <c r="AR136" s="495">
        <v>0</v>
      </c>
      <c r="AS136" s="495">
        <v>0</v>
      </c>
    </row>
    <row r="137" spans="1:45">
      <c r="A137" s="390">
        <v>91221</v>
      </c>
      <c r="B137" s="393">
        <v>91221</v>
      </c>
      <c r="C137" s="499" t="s">
        <v>852</v>
      </c>
      <c r="D137" s="378">
        <v>1.1522707592233054E-4</v>
      </c>
      <c r="F137" s="495">
        <v>106329.71312313998</v>
      </c>
      <c r="G137" s="495">
        <v>191849.55253314</v>
      </c>
      <c r="H137" s="495">
        <v>57680.473215640006</v>
      </c>
      <c r="I137" s="495">
        <v>-11939.212300000001</v>
      </c>
      <c r="J137" s="495">
        <v>0</v>
      </c>
      <c r="M137" s="495">
        <v>52952.935409999998</v>
      </c>
      <c r="N137" s="495">
        <v>53868.048439999999</v>
      </c>
      <c r="O137" s="495">
        <v>28368.503930000003</v>
      </c>
      <c r="P137" s="495">
        <v>0</v>
      </c>
      <c r="Q137" s="495">
        <v>0</v>
      </c>
      <c r="T137" s="495">
        <v>21793.584440000002</v>
      </c>
      <c r="U137" s="495">
        <v>99038.778770000004</v>
      </c>
      <c r="V137" s="495">
        <v>-3303.3011200000001</v>
      </c>
      <c r="W137" s="495">
        <v>-11939.212300000001</v>
      </c>
      <c r="X137" s="495">
        <v>0</v>
      </c>
      <c r="AA137" s="495">
        <v>0</v>
      </c>
      <c r="AB137" s="495">
        <v>0</v>
      </c>
      <c r="AC137" s="495">
        <v>0</v>
      </c>
      <c r="AD137" s="495">
        <v>0</v>
      </c>
      <c r="AE137" s="495">
        <v>0</v>
      </c>
      <c r="AH137" s="495">
        <v>43574.650323139991</v>
      </c>
      <c r="AI137" s="495">
        <v>38942.725323139988</v>
      </c>
      <c r="AJ137" s="495">
        <v>32615.270405640003</v>
      </c>
      <c r="AK137" s="495">
        <v>0</v>
      </c>
      <c r="AL137" s="495">
        <v>0</v>
      </c>
      <c r="AO137" s="495">
        <v>-11991.45704999999</v>
      </c>
      <c r="AP137" s="495">
        <v>0</v>
      </c>
      <c r="AQ137" s="495">
        <v>0</v>
      </c>
      <c r="AR137" s="495">
        <v>0</v>
      </c>
      <c r="AS137" s="495">
        <v>0</v>
      </c>
    </row>
    <row r="138" spans="1:45">
      <c r="A138" s="390">
        <v>91231</v>
      </c>
      <c r="B138" s="393">
        <v>91231</v>
      </c>
      <c r="C138" s="499" t="s">
        <v>853</v>
      </c>
      <c r="D138" s="378">
        <v>1.7548998283206695E-3</v>
      </c>
      <c r="F138" s="495">
        <v>1068535.7944363547</v>
      </c>
      <c r="G138" s="495">
        <v>2303148.120401355</v>
      </c>
      <c r="H138" s="495">
        <v>408296.88181635458</v>
      </c>
      <c r="I138" s="495">
        <v>-181833.3432</v>
      </c>
      <c r="J138" s="495">
        <v>0</v>
      </c>
      <c r="M138" s="495">
        <v>806469.39144000004</v>
      </c>
      <c r="N138" s="495">
        <v>820406.49696000002</v>
      </c>
      <c r="O138" s="495">
        <v>432050.27111999999</v>
      </c>
      <c r="P138" s="495">
        <v>0</v>
      </c>
      <c r="Q138" s="495">
        <v>0</v>
      </c>
      <c r="T138" s="495">
        <v>331914.72096000001</v>
      </c>
      <c r="U138" s="495">
        <v>1508353.4656799999</v>
      </c>
      <c r="V138" s="495">
        <v>-50309.038079999998</v>
      </c>
      <c r="W138" s="495">
        <v>-181833.3432</v>
      </c>
      <c r="X138" s="495">
        <v>0</v>
      </c>
      <c r="AA138" s="495">
        <v>0</v>
      </c>
      <c r="AB138" s="495">
        <v>0</v>
      </c>
      <c r="AC138" s="495">
        <v>0</v>
      </c>
      <c r="AD138" s="495">
        <v>0</v>
      </c>
      <c r="AE138" s="495">
        <v>0</v>
      </c>
      <c r="AH138" s="495">
        <v>26555.648776354603</v>
      </c>
      <c r="AI138" s="495">
        <v>26555.648776354603</v>
      </c>
      <c r="AJ138" s="495">
        <v>26555.648776354603</v>
      </c>
      <c r="AK138" s="495">
        <v>0</v>
      </c>
      <c r="AL138" s="495">
        <v>0</v>
      </c>
      <c r="AO138" s="495">
        <v>-96403.966739999843</v>
      </c>
      <c r="AP138" s="495">
        <v>-52167.491014999934</v>
      </c>
      <c r="AQ138" s="495">
        <v>0</v>
      </c>
      <c r="AR138" s="495">
        <v>0</v>
      </c>
      <c r="AS138" s="495">
        <v>0</v>
      </c>
    </row>
    <row r="139" spans="1:45">
      <c r="A139" s="390">
        <v>91233</v>
      </c>
      <c r="B139" s="393">
        <v>91233</v>
      </c>
      <c r="C139" s="499" t="s">
        <v>854</v>
      </c>
      <c r="D139" s="378">
        <v>5.2377777839735185E-5</v>
      </c>
      <c r="F139" s="495">
        <v>21673.270176674909</v>
      </c>
      <c r="G139" s="495">
        <v>57803.427871674903</v>
      </c>
      <c r="H139" s="495">
        <v>13815.363211674907</v>
      </c>
      <c r="I139" s="495">
        <v>-5427.1031000000003</v>
      </c>
      <c r="J139" s="495">
        <v>0</v>
      </c>
      <c r="M139" s="495">
        <v>24070.351770000001</v>
      </c>
      <c r="N139" s="495">
        <v>24486.326680000002</v>
      </c>
      <c r="O139" s="495">
        <v>12895.22221</v>
      </c>
      <c r="P139" s="495">
        <v>0</v>
      </c>
      <c r="Q139" s="495">
        <v>0</v>
      </c>
      <c r="T139" s="495">
        <v>9906.518680000001</v>
      </c>
      <c r="U139" s="495">
        <v>45019.189689999999</v>
      </c>
      <c r="V139" s="495">
        <v>-1501.5526400000001</v>
      </c>
      <c r="W139" s="495">
        <v>-5427.1031000000003</v>
      </c>
      <c r="X139" s="495">
        <v>0</v>
      </c>
      <c r="AA139" s="495">
        <v>0</v>
      </c>
      <c r="AB139" s="495">
        <v>0</v>
      </c>
      <c r="AC139" s="495">
        <v>0</v>
      </c>
      <c r="AD139" s="495">
        <v>0</v>
      </c>
      <c r="AE139" s="495">
        <v>0</v>
      </c>
      <c r="AH139" s="495">
        <v>3387.829991674912</v>
      </c>
      <c r="AI139" s="495">
        <v>2421.6936416749077</v>
      </c>
      <c r="AJ139" s="495">
        <v>2421.6936416749077</v>
      </c>
      <c r="AK139" s="495">
        <v>0</v>
      </c>
      <c r="AL139" s="495">
        <v>0</v>
      </c>
      <c r="AO139" s="495">
        <v>-15691.430265000005</v>
      </c>
      <c r="AP139" s="495">
        <v>-14123.782140000005</v>
      </c>
      <c r="AQ139" s="495">
        <v>0</v>
      </c>
      <c r="AR139" s="495">
        <v>0</v>
      </c>
      <c r="AS139" s="495">
        <v>0</v>
      </c>
    </row>
    <row r="140" spans="1:45">
      <c r="A140" s="390">
        <v>91241</v>
      </c>
      <c r="B140" s="393">
        <v>91241</v>
      </c>
      <c r="C140" s="499" t="s">
        <v>855</v>
      </c>
      <c r="D140" s="378">
        <v>2.3263500768204465E-5</v>
      </c>
      <c r="F140" s="495">
        <v>6247.2180555701489</v>
      </c>
      <c r="G140" s="495">
        <v>21891.793065570146</v>
      </c>
      <c r="H140" s="495">
        <v>-2044.3069694298501</v>
      </c>
      <c r="I140" s="495">
        <v>-2410.4338000000002</v>
      </c>
      <c r="J140" s="495">
        <v>0</v>
      </c>
      <c r="M140" s="495">
        <v>10690.784460000001</v>
      </c>
      <c r="N140" s="495">
        <v>10875.538640000001</v>
      </c>
      <c r="O140" s="495">
        <v>5727.3795799999998</v>
      </c>
      <c r="P140" s="495">
        <v>0</v>
      </c>
      <c r="Q140" s="495">
        <v>0</v>
      </c>
      <c r="T140" s="495">
        <v>4399.9546399999999</v>
      </c>
      <c r="U140" s="495">
        <v>19995.156620000002</v>
      </c>
      <c r="V140" s="495">
        <v>-666.91072000000008</v>
      </c>
      <c r="W140" s="495">
        <v>-2410.4338000000002</v>
      </c>
      <c r="X140" s="495">
        <v>0</v>
      </c>
      <c r="AA140" s="495">
        <v>0</v>
      </c>
      <c r="AB140" s="495">
        <v>0</v>
      </c>
      <c r="AC140" s="495">
        <v>0</v>
      </c>
      <c r="AD140" s="495">
        <v>0</v>
      </c>
      <c r="AE140" s="495">
        <v>0</v>
      </c>
      <c r="AH140" s="495">
        <v>1021.2375050000046</v>
      </c>
      <c r="AI140" s="495">
        <v>566.58510500000193</v>
      </c>
      <c r="AJ140" s="495">
        <v>0</v>
      </c>
      <c r="AK140" s="495">
        <v>0</v>
      </c>
      <c r="AL140" s="495">
        <v>0</v>
      </c>
      <c r="AO140" s="495">
        <v>-9864.7585494298564</v>
      </c>
      <c r="AP140" s="495">
        <v>-9545.4872994298566</v>
      </c>
      <c r="AQ140" s="495">
        <v>-7104.7758294298501</v>
      </c>
      <c r="AR140" s="495">
        <v>0</v>
      </c>
      <c r="AS140" s="495">
        <v>0</v>
      </c>
    </row>
    <row r="141" spans="1:45">
      <c r="A141" s="390">
        <v>91251</v>
      </c>
      <c r="B141" s="500">
        <v>91251</v>
      </c>
      <c r="C141" s="501" t="s">
        <v>856</v>
      </c>
      <c r="D141" s="378">
        <v>2.1903210484328958E-5</v>
      </c>
      <c r="F141" s="495">
        <v>5893.3357578347404</v>
      </c>
      <c r="G141" s="495">
        <v>19301.725232834739</v>
      </c>
      <c r="H141" s="495">
        <v>1688.2878753347395</v>
      </c>
      <c r="I141" s="495">
        <v>-2269.4969999999998</v>
      </c>
      <c r="J141" s="495">
        <v>0</v>
      </c>
      <c r="M141" s="495">
        <v>10065.6999</v>
      </c>
      <c r="N141" s="495">
        <v>10239.651600000001</v>
      </c>
      <c r="O141" s="495">
        <v>5392.5027</v>
      </c>
      <c r="P141" s="495">
        <v>0</v>
      </c>
      <c r="Q141" s="495">
        <v>0</v>
      </c>
      <c r="T141" s="495">
        <v>4142.6916000000001</v>
      </c>
      <c r="U141" s="495">
        <v>18826.050299999999</v>
      </c>
      <c r="V141" s="495">
        <v>-627.91679999999997</v>
      </c>
      <c r="W141" s="495">
        <v>-2269.4969999999998</v>
      </c>
      <c r="X141" s="495">
        <v>0</v>
      </c>
      <c r="AA141" s="495">
        <v>0</v>
      </c>
      <c r="AB141" s="495">
        <v>0</v>
      </c>
      <c r="AC141" s="495">
        <v>0</v>
      </c>
      <c r="AD141" s="495">
        <v>0</v>
      </c>
      <c r="AE141" s="495">
        <v>0</v>
      </c>
      <c r="AH141" s="495">
        <v>2898.4090500000038</v>
      </c>
      <c r="AI141" s="495">
        <v>0</v>
      </c>
      <c r="AJ141" s="495">
        <v>0</v>
      </c>
      <c r="AK141" s="495">
        <v>0</v>
      </c>
      <c r="AL141" s="495">
        <v>0</v>
      </c>
      <c r="AO141" s="495">
        <v>-11213.464792165263</v>
      </c>
      <c r="AP141" s="495">
        <v>-9763.9766671652633</v>
      </c>
      <c r="AQ141" s="495">
        <v>-3076.2980246652605</v>
      </c>
      <c r="AR141" s="495">
        <v>0</v>
      </c>
      <c r="AS141" s="495">
        <v>0</v>
      </c>
    </row>
    <row r="142" spans="1:45">
      <c r="A142" s="390">
        <v>91261</v>
      </c>
      <c r="B142" s="393">
        <v>91261</v>
      </c>
      <c r="C142" s="499" t="s">
        <v>857</v>
      </c>
      <c r="D142" s="378">
        <v>9.4313855302141764E-6</v>
      </c>
      <c r="F142" s="495">
        <v>4851.8605781395727</v>
      </c>
      <c r="G142" s="495">
        <v>11706.375933139574</v>
      </c>
      <c r="H142" s="495">
        <v>1553.5569006395745</v>
      </c>
      <c r="I142" s="495">
        <v>-977.23089999999991</v>
      </c>
      <c r="J142" s="495">
        <v>0</v>
      </c>
      <c r="M142" s="495">
        <v>4334.2260299999998</v>
      </c>
      <c r="N142" s="495">
        <v>4409.1285200000002</v>
      </c>
      <c r="O142" s="495">
        <v>2321.9771900000001</v>
      </c>
      <c r="P142" s="495">
        <v>0</v>
      </c>
      <c r="Q142" s="495">
        <v>0</v>
      </c>
      <c r="T142" s="495">
        <v>1783.8165199999999</v>
      </c>
      <c r="U142" s="495">
        <v>8106.37691</v>
      </c>
      <c r="V142" s="495">
        <v>-270.37696</v>
      </c>
      <c r="W142" s="495">
        <v>-977.23089999999991</v>
      </c>
      <c r="X142" s="495">
        <v>0</v>
      </c>
      <c r="AA142" s="495">
        <v>0</v>
      </c>
      <c r="AB142" s="495">
        <v>0</v>
      </c>
      <c r="AC142" s="495">
        <v>0</v>
      </c>
      <c r="AD142" s="495">
        <v>0</v>
      </c>
      <c r="AE142" s="495">
        <v>0</v>
      </c>
      <c r="AH142" s="495">
        <v>22.460534999998245</v>
      </c>
      <c r="AI142" s="495">
        <v>22.460534999998245</v>
      </c>
      <c r="AJ142" s="495">
        <v>0</v>
      </c>
      <c r="AK142" s="495">
        <v>0</v>
      </c>
      <c r="AL142" s="495">
        <v>0</v>
      </c>
      <c r="AO142" s="495">
        <v>-1288.6425068604258</v>
      </c>
      <c r="AP142" s="495">
        <v>-831.59003186042594</v>
      </c>
      <c r="AQ142" s="495">
        <v>-498.04332936042567</v>
      </c>
      <c r="AR142" s="495">
        <v>0</v>
      </c>
      <c r="AS142" s="495">
        <v>0</v>
      </c>
    </row>
    <row r="143" spans="1:45">
      <c r="A143" s="390">
        <v>91301</v>
      </c>
      <c r="B143" s="393">
        <v>91301</v>
      </c>
      <c r="C143" s="499" t="s">
        <v>858</v>
      </c>
      <c r="D143" s="378">
        <v>8.3304231876825882E-3</v>
      </c>
      <c r="F143" s="495">
        <v>5204213.1134002497</v>
      </c>
      <c r="G143" s="495">
        <v>10738654.764515249</v>
      </c>
      <c r="H143" s="495">
        <v>1738358.9190427484</v>
      </c>
      <c r="I143" s="495">
        <v>-863153.95970000001</v>
      </c>
      <c r="J143" s="495">
        <v>0</v>
      </c>
      <c r="M143" s="495">
        <v>3828270.63699</v>
      </c>
      <c r="N143" s="495">
        <v>3894429.39316</v>
      </c>
      <c r="O143" s="495">
        <v>2050921.4412700001</v>
      </c>
      <c r="P143" s="495">
        <v>0</v>
      </c>
      <c r="Q143" s="495">
        <v>0</v>
      </c>
      <c r="T143" s="495">
        <v>1575582.8971599999</v>
      </c>
      <c r="U143" s="495">
        <v>7160079.9040299999</v>
      </c>
      <c r="V143" s="495">
        <v>-238814.53568</v>
      </c>
      <c r="W143" s="495">
        <v>-863153.95970000001</v>
      </c>
      <c r="X143" s="495">
        <v>0</v>
      </c>
      <c r="AA143" s="495">
        <v>0</v>
      </c>
      <c r="AB143" s="495">
        <v>0</v>
      </c>
      <c r="AC143" s="495">
        <v>0</v>
      </c>
      <c r="AD143" s="495">
        <v>0</v>
      </c>
      <c r="AE143" s="495">
        <v>0</v>
      </c>
      <c r="AH143" s="495">
        <v>197262.31005000044</v>
      </c>
      <c r="AI143" s="495">
        <v>0</v>
      </c>
      <c r="AJ143" s="495">
        <v>0</v>
      </c>
      <c r="AK143" s="495">
        <v>0</v>
      </c>
      <c r="AL143" s="495">
        <v>0</v>
      </c>
      <c r="AO143" s="495">
        <v>-396902.73079975077</v>
      </c>
      <c r="AP143" s="495">
        <v>-315854.53267475066</v>
      </c>
      <c r="AQ143" s="495">
        <v>-73747.986547251581</v>
      </c>
      <c r="AR143" s="495">
        <v>0</v>
      </c>
      <c r="AS143" s="495">
        <v>0</v>
      </c>
    </row>
    <row r="144" spans="1:45">
      <c r="A144" s="390">
        <v>91302</v>
      </c>
      <c r="B144" s="393">
        <v>91302</v>
      </c>
      <c r="C144" s="499" t="s">
        <v>859</v>
      </c>
      <c r="D144" s="378">
        <v>5.0084407644047414E-4</v>
      </c>
      <c r="F144" s="495">
        <v>307825.39223737584</v>
      </c>
      <c r="G144" s="495">
        <v>639871.55448237585</v>
      </c>
      <c r="H144" s="495">
        <v>91925.818394875954</v>
      </c>
      <c r="I144" s="495">
        <v>-51894.795099999996</v>
      </c>
      <c r="J144" s="495">
        <v>0</v>
      </c>
      <c r="M144" s="495">
        <v>230164.40817000001</v>
      </c>
      <c r="N144" s="495">
        <v>234142.02427999998</v>
      </c>
      <c r="O144" s="495">
        <v>123306.09941</v>
      </c>
      <c r="P144" s="495">
        <v>0</v>
      </c>
      <c r="Q144" s="495">
        <v>0</v>
      </c>
      <c r="T144" s="495">
        <v>94727.656279999996</v>
      </c>
      <c r="U144" s="495">
        <v>430480.42048999999</v>
      </c>
      <c r="V144" s="495">
        <v>-14358.077439999999</v>
      </c>
      <c r="W144" s="495">
        <v>-51894.795099999996</v>
      </c>
      <c r="X144" s="495">
        <v>0</v>
      </c>
      <c r="AA144" s="495">
        <v>0</v>
      </c>
      <c r="AB144" s="495">
        <v>0</v>
      </c>
      <c r="AC144" s="495">
        <v>0</v>
      </c>
      <c r="AD144" s="495">
        <v>0</v>
      </c>
      <c r="AE144" s="495">
        <v>0</v>
      </c>
      <c r="AH144" s="495">
        <v>12212.781662499998</v>
      </c>
      <c r="AI144" s="495">
        <v>619.14546250001877</v>
      </c>
      <c r="AJ144" s="495">
        <v>0</v>
      </c>
      <c r="AK144" s="495">
        <v>0</v>
      </c>
      <c r="AL144" s="495">
        <v>0</v>
      </c>
      <c r="AO144" s="495">
        <v>-29279.453875124156</v>
      </c>
      <c r="AP144" s="495">
        <v>-25370.03575012416</v>
      </c>
      <c r="AQ144" s="495">
        <v>-17022.203575124047</v>
      </c>
      <c r="AR144" s="495">
        <v>0</v>
      </c>
      <c r="AS144" s="495">
        <v>0</v>
      </c>
    </row>
    <row r="145" spans="1:45">
      <c r="A145" s="390">
        <v>91306</v>
      </c>
      <c r="B145" s="393">
        <v>91306</v>
      </c>
      <c r="C145" s="499" t="s">
        <v>860</v>
      </c>
      <c r="D145" s="378">
        <v>2.0666258724872989E-3</v>
      </c>
      <c r="F145" s="495">
        <v>1183825.6936504492</v>
      </c>
      <c r="G145" s="495">
        <v>2449879.4663454494</v>
      </c>
      <c r="H145" s="495">
        <v>100949.5220279494</v>
      </c>
      <c r="I145" s="495">
        <v>-214132.74160000001</v>
      </c>
      <c r="J145" s="495">
        <v>0</v>
      </c>
      <c r="M145" s="495">
        <v>949724.06472000002</v>
      </c>
      <c r="N145" s="495">
        <v>966136.84447999997</v>
      </c>
      <c r="O145" s="495">
        <v>508796.17255999998</v>
      </c>
      <c r="P145" s="495">
        <v>0</v>
      </c>
      <c r="Q145" s="495">
        <v>0</v>
      </c>
      <c r="T145" s="495">
        <v>390873.35648000002</v>
      </c>
      <c r="U145" s="495">
        <v>1776285.1258399999</v>
      </c>
      <c r="V145" s="495">
        <v>-59245.527040000001</v>
      </c>
      <c r="W145" s="495">
        <v>-214132.74160000001</v>
      </c>
      <c r="X145" s="495">
        <v>0</v>
      </c>
      <c r="AA145" s="495">
        <v>0</v>
      </c>
      <c r="AB145" s="495">
        <v>0</v>
      </c>
      <c r="AC145" s="495">
        <v>0</v>
      </c>
      <c r="AD145" s="495">
        <v>0</v>
      </c>
      <c r="AE145" s="495">
        <v>0</v>
      </c>
      <c r="AH145" s="495">
        <v>294936.60001499974</v>
      </c>
      <c r="AI145" s="495">
        <v>129499.95796499983</v>
      </c>
      <c r="AJ145" s="495">
        <v>0</v>
      </c>
      <c r="AK145" s="495">
        <v>0</v>
      </c>
      <c r="AL145" s="495">
        <v>0</v>
      </c>
      <c r="AO145" s="495">
        <v>-451708.32756455056</v>
      </c>
      <c r="AP145" s="495">
        <v>-422042.46193955059</v>
      </c>
      <c r="AQ145" s="495">
        <v>-348601.12349205057</v>
      </c>
      <c r="AR145" s="495">
        <v>0</v>
      </c>
      <c r="AS145" s="495">
        <v>0</v>
      </c>
    </row>
    <row r="146" spans="1:45">
      <c r="A146" s="390">
        <v>91308</v>
      </c>
      <c r="B146" s="393">
        <v>91308</v>
      </c>
      <c r="C146" s="499" t="s">
        <v>861</v>
      </c>
      <c r="D146" s="378">
        <v>1.2131789472530894E-4</v>
      </c>
      <c r="F146" s="495">
        <v>111404.67358386322</v>
      </c>
      <c r="G146" s="495">
        <v>186123.70210886322</v>
      </c>
      <c r="H146" s="495">
        <v>58787.584208863213</v>
      </c>
      <c r="I146" s="495">
        <v>-12570.319</v>
      </c>
      <c r="J146" s="495">
        <v>0</v>
      </c>
      <c r="M146" s="495">
        <v>55752.027299999994</v>
      </c>
      <c r="N146" s="495">
        <v>56715.513199999994</v>
      </c>
      <c r="O146" s="495">
        <v>29868.062899999997</v>
      </c>
      <c r="P146" s="495">
        <v>0</v>
      </c>
      <c r="Q146" s="495">
        <v>0</v>
      </c>
      <c r="T146" s="495">
        <v>22945.593199999999</v>
      </c>
      <c r="U146" s="495">
        <v>104273.9681</v>
      </c>
      <c r="V146" s="495">
        <v>-3477.9135999999999</v>
      </c>
      <c r="W146" s="495">
        <v>-12570.319</v>
      </c>
      <c r="X146" s="495">
        <v>0</v>
      </c>
      <c r="AA146" s="495">
        <v>0</v>
      </c>
      <c r="AB146" s="495">
        <v>0</v>
      </c>
      <c r="AC146" s="495">
        <v>0</v>
      </c>
      <c r="AD146" s="495">
        <v>0</v>
      </c>
      <c r="AE146" s="495">
        <v>0</v>
      </c>
      <c r="AH146" s="495">
        <v>46557.716333863209</v>
      </c>
      <c r="AI146" s="495">
        <v>38984.884058863216</v>
      </c>
      <c r="AJ146" s="495">
        <v>32397.434908863215</v>
      </c>
      <c r="AK146" s="495">
        <v>0</v>
      </c>
      <c r="AL146" s="495">
        <v>0</v>
      </c>
      <c r="AO146" s="495">
        <v>-13850.663249999991</v>
      </c>
      <c r="AP146" s="495">
        <v>-13850.663249999991</v>
      </c>
      <c r="AQ146" s="495">
        <v>0</v>
      </c>
      <c r="AR146" s="495">
        <v>0</v>
      </c>
      <c r="AS146" s="495">
        <v>0</v>
      </c>
    </row>
    <row r="147" spans="1:45">
      <c r="A147" s="390">
        <v>91311</v>
      </c>
      <c r="B147" s="393">
        <v>91311</v>
      </c>
      <c r="C147" s="499" t="s">
        <v>862</v>
      </c>
      <c r="D147" s="378">
        <v>8.0740951841541606E-3</v>
      </c>
      <c r="F147" s="495">
        <v>4783709.3688866608</v>
      </c>
      <c r="G147" s="495">
        <v>10326647.49878666</v>
      </c>
      <c r="H147" s="495">
        <v>1788491.5376866609</v>
      </c>
      <c r="I147" s="495">
        <v>-836594.62699999986</v>
      </c>
      <c r="J147" s="495">
        <v>0</v>
      </c>
      <c r="M147" s="495">
        <v>3710474.3708999995</v>
      </c>
      <c r="N147" s="495">
        <v>3774597.4155999995</v>
      </c>
      <c r="O147" s="495">
        <v>1987814.3856999998</v>
      </c>
      <c r="P147" s="495">
        <v>0</v>
      </c>
      <c r="Q147" s="495">
        <v>0</v>
      </c>
      <c r="T147" s="495">
        <v>1527102.0555999998</v>
      </c>
      <c r="U147" s="495">
        <v>6939763.537299999</v>
      </c>
      <c r="V147" s="495">
        <v>-231466.18879999997</v>
      </c>
      <c r="W147" s="495">
        <v>-836594.62699999986</v>
      </c>
      <c r="X147" s="495">
        <v>0</v>
      </c>
      <c r="AA147" s="495">
        <v>0</v>
      </c>
      <c r="AB147" s="495">
        <v>0</v>
      </c>
      <c r="AC147" s="495">
        <v>0</v>
      </c>
      <c r="AD147" s="495">
        <v>0</v>
      </c>
      <c r="AE147" s="495">
        <v>0</v>
      </c>
      <c r="AH147" s="495">
        <v>59422.484786661429</v>
      </c>
      <c r="AI147" s="495">
        <v>32143.340786661109</v>
      </c>
      <c r="AJ147" s="495">
        <v>32143.340786661109</v>
      </c>
      <c r="AK147" s="495">
        <v>0</v>
      </c>
      <c r="AL147" s="495">
        <v>0</v>
      </c>
      <c r="AO147" s="495">
        <v>-513289.54239999957</v>
      </c>
      <c r="AP147" s="495">
        <v>-419856.79489999975</v>
      </c>
      <c r="AQ147" s="495">
        <v>0</v>
      </c>
      <c r="AR147" s="495">
        <v>0</v>
      </c>
      <c r="AS147" s="495">
        <v>0</v>
      </c>
    </row>
    <row r="148" spans="1:45">
      <c r="A148" s="390">
        <v>91317</v>
      </c>
      <c r="B148" s="393">
        <v>91317</v>
      </c>
      <c r="C148" s="499" t="s">
        <v>863</v>
      </c>
      <c r="D148" s="378">
        <v>1.4424136001192953E-4</v>
      </c>
      <c r="F148" s="495">
        <v>93175.299268124538</v>
      </c>
      <c r="G148" s="495">
        <v>182054.62743812453</v>
      </c>
      <c r="H148" s="495">
        <v>24531.207625624509</v>
      </c>
      <c r="I148" s="495">
        <v>-14945.518599999999</v>
      </c>
      <c r="J148" s="495">
        <v>0</v>
      </c>
      <c r="M148" s="495">
        <v>66286.54062</v>
      </c>
      <c r="N148" s="495">
        <v>67432.08008</v>
      </c>
      <c r="O148" s="495">
        <v>35511.723259999999</v>
      </c>
      <c r="P148" s="495">
        <v>0</v>
      </c>
      <c r="Q148" s="495">
        <v>0</v>
      </c>
      <c r="T148" s="495">
        <v>27281.232079999998</v>
      </c>
      <c r="U148" s="495">
        <v>123976.84814</v>
      </c>
      <c r="V148" s="495">
        <v>-4135.0758399999995</v>
      </c>
      <c r="W148" s="495">
        <v>-14945.518599999999</v>
      </c>
      <c r="X148" s="495">
        <v>0</v>
      </c>
      <c r="AA148" s="495">
        <v>0</v>
      </c>
      <c r="AB148" s="495">
        <v>0</v>
      </c>
      <c r="AC148" s="495">
        <v>0</v>
      </c>
      <c r="AD148" s="495">
        <v>0</v>
      </c>
      <c r="AE148" s="495">
        <v>0</v>
      </c>
      <c r="AH148" s="495">
        <v>12200.681187500013</v>
      </c>
      <c r="AI148" s="495">
        <v>2993.9700875000053</v>
      </c>
      <c r="AJ148" s="495">
        <v>0</v>
      </c>
      <c r="AK148" s="495">
        <v>0</v>
      </c>
      <c r="AL148" s="495">
        <v>0</v>
      </c>
      <c r="AO148" s="495">
        <v>-12593.154619375482</v>
      </c>
      <c r="AP148" s="495">
        <v>-12348.270869375481</v>
      </c>
      <c r="AQ148" s="495">
        <v>-6845.4397943754921</v>
      </c>
      <c r="AR148" s="495">
        <v>0</v>
      </c>
      <c r="AS148" s="495">
        <v>0</v>
      </c>
    </row>
    <row r="149" spans="1:45">
      <c r="A149" s="390">
        <v>91321</v>
      </c>
      <c r="B149" s="393">
        <v>91321</v>
      </c>
      <c r="C149" s="499" t="s">
        <v>864</v>
      </c>
      <c r="D149" s="378">
        <v>5.2737841589213412E-5</v>
      </c>
      <c r="F149" s="495">
        <v>23593.428163207816</v>
      </c>
      <c r="G149" s="495">
        <v>64412.891543207807</v>
      </c>
      <c r="H149" s="495">
        <v>8997.6940157078116</v>
      </c>
      <c r="I149" s="495">
        <v>-5464.4098999999997</v>
      </c>
      <c r="J149" s="495">
        <v>0</v>
      </c>
      <c r="M149" s="495">
        <v>24235.815329999998</v>
      </c>
      <c r="N149" s="495">
        <v>24654.649719999998</v>
      </c>
      <c r="O149" s="495">
        <v>12983.86609</v>
      </c>
      <c r="P149" s="495">
        <v>0</v>
      </c>
      <c r="Q149" s="495">
        <v>0</v>
      </c>
      <c r="T149" s="495">
        <v>9974.6177200000002</v>
      </c>
      <c r="U149" s="495">
        <v>45328.659009999996</v>
      </c>
      <c r="V149" s="495">
        <v>-1511.87456</v>
      </c>
      <c r="W149" s="495">
        <v>-5464.4098999999997</v>
      </c>
      <c r="X149" s="495">
        <v>0</v>
      </c>
      <c r="AA149" s="495">
        <v>0</v>
      </c>
      <c r="AB149" s="495">
        <v>0</v>
      </c>
      <c r="AC149" s="495">
        <v>0</v>
      </c>
      <c r="AD149" s="495">
        <v>0</v>
      </c>
      <c r="AE149" s="495">
        <v>0</v>
      </c>
      <c r="AH149" s="495">
        <v>0</v>
      </c>
      <c r="AI149" s="495">
        <v>0</v>
      </c>
      <c r="AJ149" s="495">
        <v>0</v>
      </c>
      <c r="AK149" s="495">
        <v>0</v>
      </c>
      <c r="AL149" s="495">
        <v>0</v>
      </c>
      <c r="AO149" s="495">
        <v>-10617.004886792183</v>
      </c>
      <c r="AP149" s="495">
        <v>-5570.4171867921832</v>
      </c>
      <c r="AQ149" s="495">
        <v>-2474.2975142921882</v>
      </c>
      <c r="AR149" s="495">
        <v>0</v>
      </c>
      <c r="AS149" s="495">
        <v>0</v>
      </c>
    </row>
    <row r="150" spans="1:45">
      <c r="A150" s="390">
        <v>91327</v>
      </c>
      <c r="B150" s="393">
        <v>91327</v>
      </c>
      <c r="C150" s="499" t="s">
        <v>865</v>
      </c>
      <c r="D150" s="378">
        <v>1.1081566447167745E-5</v>
      </c>
      <c r="F150" s="495">
        <v>7819.5609216236999</v>
      </c>
      <c r="G150" s="495">
        <v>16016.5310016237</v>
      </c>
      <c r="H150" s="495">
        <v>2183.567384123698</v>
      </c>
      <c r="I150" s="495">
        <v>-1148.2204000000002</v>
      </c>
      <c r="J150" s="495">
        <v>0</v>
      </c>
      <c r="M150" s="495">
        <v>5092.6006800000005</v>
      </c>
      <c r="N150" s="495">
        <v>5180.6091200000001</v>
      </c>
      <c r="O150" s="495">
        <v>2728.2616400000002</v>
      </c>
      <c r="P150" s="495">
        <v>0</v>
      </c>
      <c r="Q150" s="495">
        <v>0</v>
      </c>
      <c r="T150" s="495">
        <v>2095.93712</v>
      </c>
      <c r="U150" s="495">
        <v>9524.7779600000013</v>
      </c>
      <c r="V150" s="495">
        <v>-317.68576000000002</v>
      </c>
      <c r="W150" s="495">
        <v>-1148.2204000000002</v>
      </c>
      <c r="X150" s="495">
        <v>0</v>
      </c>
      <c r="AA150" s="495">
        <v>0</v>
      </c>
      <c r="AB150" s="495">
        <v>0</v>
      </c>
      <c r="AC150" s="495">
        <v>0</v>
      </c>
      <c r="AD150" s="495">
        <v>0</v>
      </c>
      <c r="AE150" s="495">
        <v>0</v>
      </c>
      <c r="AH150" s="495">
        <v>1699.5138150000012</v>
      </c>
      <c r="AI150" s="495">
        <v>1699.5138150000012</v>
      </c>
      <c r="AJ150" s="495">
        <v>0</v>
      </c>
      <c r="AK150" s="495">
        <v>0</v>
      </c>
      <c r="AL150" s="495">
        <v>0</v>
      </c>
      <c r="AO150" s="495">
        <v>-1068.4906933763007</v>
      </c>
      <c r="AP150" s="495">
        <v>-388.36989337630212</v>
      </c>
      <c r="AQ150" s="495">
        <v>-227.00849587630228</v>
      </c>
      <c r="AR150" s="495">
        <v>0</v>
      </c>
      <c r="AS150" s="495">
        <v>0</v>
      </c>
    </row>
    <row r="151" spans="1:45">
      <c r="A151" s="390">
        <v>91331</v>
      </c>
      <c r="B151" s="393">
        <v>91331</v>
      </c>
      <c r="C151" s="499" t="s">
        <v>866</v>
      </c>
      <c r="D151" s="378">
        <v>3.1620280711363385E-3</v>
      </c>
      <c r="F151" s="495">
        <v>2038234.552437376</v>
      </c>
      <c r="G151" s="495">
        <v>4178351.0944223762</v>
      </c>
      <c r="H151" s="495">
        <v>833149.80777737615</v>
      </c>
      <c r="I151" s="495">
        <v>-327632.46279999998</v>
      </c>
      <c r="J151" s="495">
        <v>0</v>
      </c>
      <c r="M151" s="495">
        <v>1453119.36876</v>
      </c>
      <c r="N151" s="495">
        <v>1478231.6398399998</v>
      </c>
      <c r="O151" s="495">
        <v>778480.40347999998</v>
      </c>
      <c r="P151" s="495">
        <v>0</v>
      </c>
      <c r="Q151" s="495">
        <v>0</v>
      </c>
      <c r="T151" s="495">
        <v>598053.33583999996</v>
      </c>
      <c r="U151" s="495">
        <v>2717793.9537200001</v>
      </c>
      <c r="V151" s="495">
        <v>-90648.248319999999</v>
      </c>
      <c r="W151" s="495">
        <v>-327632.46279999998</v>
      </c>
      <c r="X151" s="495">
        <v>0</v>
      </c>
      <c r="AA151" s="495">
        <v>0</v>
      </c>
      <c r="AB151" s="495">
        <v>0</v>
      </c>
      <c r="AC151" s="495">
        <v>0</v>
      </c>
      <c r="AD151" s="495">
        <v>0</v>
      </c>
      <c r="AE151" s="495">
        <v>0</v>
      </c>
      <c r="AH151" s="495">
        <v>213060.8602173765</v>
      </c>
      <c r="AI151" s="495">
        <v>145317.65261737618</v>
      </c>
      <c r="AJ151" s="495">
        <v>145317.65261737618</v>
      </c>
      <c r="AK151" s="495">
        <v>0</v>
      </c>
      <c r="AL151" s="495">
        <v>0</v>
      </c>
      <c r="AO151" s="495">
        <v>-225999.01238000038</v>
      </c>
      <c r="AP151" s="495">
        <v>-162992.15175500017</v>
      </c>
      <c r="AQ151" s="495">
        <v>0</v>
      </c>
      <c r="AR151" s="495">
        <v>0</v>
      </c>
      <c r="AS151" s="495">
        <v>0</v>
      </c>
    </row>
    <row r="152" spans="1:45">
      <c r="A152" s="390">
        <v>91341</v>
      </c>
      <c r="B152" s="393">
        <v>91341</v>
      </c>
      <c r="C152" s="499" t="s">
        <v>867</v>
      </c>
      <c r="D152" s="378">
        <v>7.6041250535666593E-5</v>
      </c>
      <c r="F152" s="495">
        <v>79230.490486726063</v>
      </c>
      <c r="G152" s="495">
        <v>132225.30976672604</v>
      </c>
      <c r="H152" s="495">
        <v>25752.212786726061</v>
      </c>
      <c r="I152" s="495">
        <v>-7878.9889000000003</v>
      </c>
      <c r="J152" s="495">
        <v>0</v>
      </c>
      <c r="M152" s="495">
        <v>34944.984629999999</v>
      </c>
      <c r="N152" s="495">
        <v>35548.890919999998</v>
      </c>
      <c r="O152" s="495">
        <v>18721.094990000001</v>
      </c>
      <c r="P152" s="495">
        <v>0</v>
      </c>
      <c r="Q152" s="495">
        <v>0</v>
      </c>
      <c r="T152" s="495">
        <v>14382.138920000001</v>
      </c>
      <c r="U152" s="495">
        <v>65358.201110000002</v>
      </c>
      <c r="V152" s="495">
        <v>-2179.9321599999998</v>
      </c>
      <c r="W152" s="495">
        <v>-7878.9889000000003</v>
      </c>
      <c r="X152" s="495">
        <v>0</v>
      </c>
      <c r="AA152" s="495">
        <v>0</v>
      </c>
      <c r="AB152" s="495">
        <v>0</v>
      </c>
      <c r="AC152" s="495">
        <v>0</v>
      </c>
      <c r="AD152" s="495">
        <v>0</v>
      </c>
      <c r="AE152" s="495">
        <v>0</v>
      </c>
      <c r="AH152" s="495">
        <v>31461.953296726057</v>
      </c>
      <c r="AI152" s="495">
        <v>31461.953296726057</v>
      </c>
      <c r="AJ152" s="495">
        <v>9211.0499567260595</v>
      </c>
      <c r="AK152" s="495">
        <v>0</v>
      </c>
      <c r="AL152" s="495">
        <v>0</v>
      </c>
      <c r="AO152" s="495">
        <v>-1558.5863600000039</v>
      </c>
      <c r="AP152" s="495">
        <v>-143.73556000000099</v>
      </c>
      <c r="AQ152" s="495">
        <v>0</v>
      </c>
      <c r="AR152" s="495">
        <v>0</v>
      </c>
      <c r="AS152" s="495">
        <v>0</v>
      </c>
    </row>
    <row r="153" spans="1:45">
      <c r="A153" s="390">
        <v>91401</v>
      </c>
      <c r="B153" s="393">
        <v>91401</v>
      </c>
      <c r="C153" s="499" t="s">
        <v>868</v>
      </c>
      <c r="D153" s="378">
        <v>3.5574666375147858E-3</v>
      </c>
      <c r="F153" s="495">
        <v>2116937.3861891199</v>
      </c>
      <c r="G153" s="495">
        <v>4570742.4532541204</v>
      </c>
      <c r="H153" s="495">
        <v>646621.91931661929</v>
      </c>
      <c r="I153" s="495">
        <v>-368605.69220000005</v>
      </c>
      <c r="J153" s="495">
        <v>0</v>
      </c>
      <c r="M153" s="495">
        <v>1634844.3197400002</v>
      </c>
      <c r="N153" s="495">
        <v>1663097.0941600001</v>
      </c>
      <c r="O153" s="495">
        <v>875836.00702000002</v>
      </c>
      <c r="P153" s="495">
        <v>0</v>
      </c>
      <c r="Q153" s="495">
        <v>0</v>
      </c>
      <c r="T153" s="495">
        <v>672844.99816000008</v>
      </c>
      <c r="U153" s="495">
        <v>3057677.2307800003</v>
      </c>
      <c r="V153" s="495">
        <v>-101984.58368000001</v>
      </c>
      <c r="W153" s="495">
        <v>-368605.69220000005</v>
      </c>
      <c r="X153" s="495">
        <v>0</v>
      </c>
      <c r="AA153" s="495">
        <v>0</v>
      </c>
      <c r="AB153" s="495">
        <v>0</v>
      </c>
      <c r="AC153" s="495">
        <v>0</v>
      </c>
      <c r="AD153" s="495">
        <v>0</v>
      </c>
      <c r="AE153" s="495">
        <v>0</v>
      </c>
      <c r="AH153" s="495">
        <v>40821.853450000184</v>
      </c>
      <c r="AI153" s="495">
        <v>29086.392825000119</v>
      </c>
      <c r="AJ153" s="495">
        <v>0</v>
      </c>
      <c r="AK153" s="495">
        <v>0</v>
      </c>
      <c r="AL153" s="495">
        <v>0</v>
      </c>
      <c r="AO153" s="495">
        <v>-231573.78516088048</v>
      </c>
      <c r="AP153" s="495">
        <v>-179118.26451088063</v>
      </c>
      <c r="AQ153" s="495">
        <v>-127229.50402338065</v>
      </c>
      <c r="AR153" s="495">
        <v>0</v>
      </c>
      <c r="AS153" s="495">
        <v>0</v>
      </c>
    </row>
    <row r="154" spans="1:45">
      <c r="A154" s="390">
        <v>91411</v>
      </c>
      <c r="B154" s="393">
        <v>91411</v>
      </c>
      <c r="C154" s="499" t="s">
        <v>869</v>
      </c>
      <c r="D154" s="378">
        <v>4.1107085200628896E-4</v>
      </c>
      <c r="F154" s="495">
        <v>258964.17032433941</v>
      </c>
      <c r="G154" s="495">
        <v>556664.80298433942</v>
      </c>
      <c r="H154" s="495">
        <v>66126.718249339465</v>
      </c>
      <c r="I154" s="495">
        <v>-42592.9663</v>
      </c>
      <c r="J154" s="495">
        <v>0</v>
      </c>
      <c r="M154" s="495">
        <v>188908.82721000002</v>
      </c>
      <c r="N154" s="495">
        <v>192173.47964000001</v>
      </c>
      <c r="O154" s="495">
        <v>101204.22533</v>
      </c>
      <c r="P154" s="495">
        <v>0</v>
      </c>
      <c r="Q154" s="495">
        <v>0</v>
      </c>
      <c r="T154" s="495">
        <v>77748.295639999997</v>
      </c>
      <c r="U154" s="495">
        <v>353319.40337000001</v>
      </c>
      <c r="V154" s="495">
        <v>-11784.478720000001</v>
      </c>
      <c r="W154" s="495">
        <v>-42592.9663</v>
      </c>
      <c r="X154" s="495">
        <v>0</v>
      </c>
      <c r="AA154" s="495">
        <v>0</v>
      </c>
      <c r="AB154" s="495">
        <v>0</v>
      </c>
      <c r="AC154" s="495">
        <v>0</v>
      </c>
      <c r="AD154" s="495">
        <v>0</v>
      </c>
      <c r="AE154" s="495">
        <v>0</v>
      </c>
      <c r="AH154" s="495">
        <v>49638.894230000005</v>
      </c>
      <c r="AI154" s="495">
        <v>42929.569230000008</v>
      </c>
      <c r="AJ154" s="495">
        <v>0</v>
      </c>
      <c r="AK154" s="495">
        <v>0</v>
      </c>
      <c r="AL154" s="495">
        <v>0</v>
      </c>
      <c r="AO154" s="495">
        <v>-57331.846755660597</v>
      </c>
      <c r="AP154" s="495">
        <v>-31757.649255660559</v>
      </c>
      <c r="AQ154" s="495">
        <v>-23293.028360660544</v>
      </c>
      <c r="AR154" s="495">
        <v>0</v>
      </c>
      <c r="AS154" s="495">
        <v>0</v>
      </c>
    </row>
    <row r="155" spans="1:45">
      <c r="A155" s="390">
        <v>91414</v>
      </c>
      <c r="B155" s="393">
        <v>91414</v>
      </c>
      <c r="C155" s="499" t="s">
        <v>3608</v>
      </c>
      <c r="D155" s="378">
        <v>2.583379514797796E-5</v>
      </c>
      <c r="F155" s="495">
        <v>11034.404699360573</v>
      </c>
      <c r="G155" s="495">
        <v>29071.027104360575</v>
      </c>
      <c r="H155" s="495">
        <v>1992.9554843605756</v>
      </c>
      <c r="I155" s="495">
        <v>-2676.7628999999997</v>
      </c>
      <c r="J155" s="495">
        <v>0</v>
      </c>
      <c r="M155" s="495">
        <v>11872.010429999998</v>
      </c>
      <c r="N155" s="495">
        <v>12077.178119999999</v>
      </c>
      <c r="O155" s="495">
        <v>6360.1983899999996</v>
      </c>
      <c r="P155" s="495">
        <v>0</v>
      </c>
      <c r="Q155" s="495">
        <v>0</v>
      </c>
      <c r="T155" s="495">
        <v>4886.1061199999995</v>
      </c>
      <c r="U155" s="495">
        <v>22204.423709999999</v>
      </c>
      <c r="V155" s="495">
        <v>-740.59775999999999</v>
      </c>
      <c r="W155" s="495">
        <v>-2676.7628999999997</v>
      </c>
      <c r="X155" s="495">
        <v>0</v>
      </c>
      <c r="AA155" s="495">
        <v>0</v>
      </c>
      <c r="AB155" s="495">
        <v>0</v>
      </c>
      <c r="AC155" s="495">
        <v>0</v>
      </c>
      <c r="AD155" s="495">
        <v>0</v>
      </c>
      <c r="AE155" s="495">
        <v>0</v>
      </c>
      <c r="AH155" s="495">
        <v>0</v>
      </c>
      <c r="AI155" s="495">
        <v>0</v>
      </c>
      <c r="AJ155" s="495">
        <v>0</v>
      </c>
      <c r="AK155" s="495">
        <v>0</v>
      </c>
      <c r="AL155" s="495">
        <v>0</v>
      </c>
      <c r="AO155" s="495">
        <v>-5723.7118506394254</v>
      </c>
      <c r="AP155" s="495">
        <v>-5210.5747256394261</v>
      </c>
      <c r="AQ155" s="495">
        <v>-3626.6451456394243</v>
      </c>
      <c r="AR155" s="495">
        <v>0</v>
      </c>
      <c r="AS155" s="495">
        <v>0</v>
      </c>
    </row>
    <row r="156" spans="1:45">
      <c r="A156" s="390">
        <v>91417</v>
      </c>
      <c r="B156" s="393">
        <v>91417</v>
      </c>
      <c r="C156" s="499" t="s">
        <v>870</v>
      </c>
      <c r="D156" s="378">
        <v>4.8707263943632675E-6</v>
      </c>
      <c r="F156" s="495">
        <v>6227.6759070561729</v>
      </c>
      <c r="G156" s="495">
        <v>8509.8801770561731</v>
      </c>
      <c r="H156" s="495">
        <v>2760.7396495561734</v>
      </c>
      <c r="I156" s="495">
        <v>-504.67809999999997</v>
      </c>
      <c r="J156" s="495">
        <v>0</v>
      </c>
      <c r="M156" s="495">
        <v>2238.3542699999998</v>
      </c>
      <c r="N156" s="495">
        <v>2277.0366800000002</v>
      </c>
      <c r="O156" s="495">
        <v>1199.15471</v>
      </c>
      <c r="P156" s="495">
        <v>0</v>
      </c>
      <c r="Q156" s="495">
        <v>0</v>
      </c>
      <c r="T156" s="495">
        <v>921.22867999999994</v>
      </c>
      <c r="U156" s="495">
        <v>4186.4321899999995</v>
      </c>
      <c r="V156" s="495">
        <v>-139.63264000000001</v>
      </c>
      <c r="W156" s="495">
        <v>-504.67809999999997</v>
      </c>
      <c r="X156" s="495">
        <v>0</v>
      </c>
      <c r="AA156" s="495">
        <v>0</v>
      </c>
      <c r="AB156" s="495">
        <v>0</v>
      </c>
      <c r="AC156" s="495">
        <v>0</v>
      </c>
      <c r="AD156" s="495">
        <v>0</v>
      </c>
      <c r="AE156" s="495">
        <v>0</v>
      </c>
      <c r="AH156" s="495">
        <v>4281.9799120561729</v>
      </c>
      <c r="AI156" s="495">
        <v>2862.4774120561733</v>
      </c>
      <c r="AJ156" s="495">
        <v>1701.2175795561734</v>
      </c>
      <c r="AK156" s="495">
        <v>0</v>
      </c>
      <c r="AL156" s="495">
        <v>0</v>
      </c>
      <c r="AO156" s="495">
        <v>-1213.8869549999999</v>
      </c>
      <c r="AP156" s="495">
        <v>-816.06610499999988</v>
      </c>
      <c r="AQ156" s="495">
        <v>0</v>
      </c>
      <c r="AR156" s="495">
        <v>0</v>
      </c>
      <c r="AS156" s="495">
        <v>0</v>
      </c>
    </row>
    <row r="157" spans="1:45">
      <c r="A157" s="390">
        <v>91421</v>
      </c>
      <c r="B157" s="393">
        <v>91421</v>
      </c>
      <c r="C157" s="499" t="s">
        <v>871</v>
      </c>
      <c r="D157" s="378">
        <v>1.0040482246266012E-4</v>
      </c>
      <c r="F157" s="495">
        <v>88676.943217118998</v>
      </c>
      <c r="G157" s="495">
        <v>146218.01393211898</v>
      </c>
      <c r="H157" s="495">
        <v>24129.049819618991</v>
      </c>
      <c r="I157" s="495">
        <v>-10403.415700000001</v>
      </c>
      <c r="J157" s="495">
        <v>0</v>
      </c>
      <c r="M157" s="495">
        <v>46141.352190000005</v>
      </c>
      <c r="N157" s="495">
        <v>46938.749960000001</v>
      </c>
      <c r="O157" s="495">
        <v>24719.330870000002</v>
      </c>
      <c r="P157" s="495">
        <v>0</v>
      </c>
      <c r="Q157" s="495">
        <v>0</v>
      </c>
      <c r="T157" s="495">
        <v>18990.17396</v>
      </c>
      <c r="U157" s="495">
        <v>86298.958429999999</v>
      </c>
      <c r="V157" s="495">
        <v>-2878.3820800000003</v>
      </c>
      <c r="W157" s="495">
        <v>-10403.415700000001</v>
      </c>
      <c r="X157" s="495">
        <v>0</v>
      </c>
      <c r="AA157" s="495">
        <v>0</v>
      </c>
      <c r="AB157" s="495">
        <v>0</v>
      </c>
      <c r="AC157" s="495">
        <v>0</v>
      </c>
      <c r="AD157" s="495">
        <v>0</v>
      </c>
      <c r="AE157" s="495">
        <v>0</v>
      </c>
      <c r="AH157" s="495">
        <v>24644.993429618982</v>
      </c>
      <c r="AI157" s="495">
        <v>14079.881904618982</v>
      </c>
      <c r="AJ157" s="495">
        <v>2288.1010296189897</v>
      </c>
      <c r="AK157" s="495">
        <v>0</v>
      </c>
      <c r="AL157" s="495">
        <v>0</v>
      </c>
      <c r="AO157" s="495">
        <v>-1099.5763625</v>
      </c>
      <c r="AP157" s="495">
        <v>-1099.5763625</v>
      </c>
      <c r="AQ157" s="495">
        <v>0</v>
      </c>
      <c r="AR157" s="495">
        <v>0</v>
      </c>
      <c r="AS157" s="495">
        <v>0</v>
      </c>
    </row>
    <row r="158" spans="1:45">
      <c r="A158" s="390">
        <v>91423</v>
      </c>
      <c r="B158" s="393">
        <v>91423</v>
      </c>
      <c r="C158" s="499" t="s">
        <v>872</v>
      </c>
      <c r="D158" s="378">
        <v>5.6728362699005469E-5</v>
      </c>
      <c r="F158" s="495">
        <v>30071.965312905784</v>
      </c>
      <c r="G158" s="495">
        <v>72240.179382905786</v>
      </c>
      <c r="H158" s="495">
        <v>9135.5107954057767</v>
      </c>
      <c r="I158" s="495">
        <v>-5877.8936000000003</v>
      </c>
      <c r="J158" s="495">
        <v>0</v>
      </c>
      <c r="M158" s="495">
        <v>26069.703119999998</v>
      </c>
      <c r="N158" s="495">
        <v>26520.230080000001</v>
      </c>
      <c r="O158" s="495">
        <v>13966.33576</v>
      </c>
      <c r="P158" s="495">
        <v>0</v>
      </c>
      <c r="Q158" s="495">
        <v>0</v>
      </c>
      <c r="T158" s="495">
        <v>10729.382079999999</v>
      </c>
      <c r="U158" s="495">
        <v>48758.610639999999</v>
      </c>
      <c r="V158" s="495">
        <v>-1626.27584</v>
      </c>
      <c r="W158" s="495">
        <v>-5877.8936000000003</v>
      </c>
      <c r="X158" s="495">
        <v>0</v>
      </c>
      <c r="AA158" s="495">
        <v>0</v>
      </c>
      <c r="AB158" s="495">
        <v>0</v>
      </c>
      <c r="AC158" s="495">
        <v>0</v>
      </c>
      <c r="AD158" s="495">
        <v>0</v>
      </c>
      <c r="AE158" s="495">
        <v>0</v>
      </c>
      <c r="AH158" s="495">
        <v>1459.9347750000079</v>
      </c>
      <c r="AI158" s="495">
        <v>1459.9347750000079</v>
      </c>
      <c r="AJ158" s="495">
        <v>0</v>
      </c>
      <c r="AK158" s="495">
        <v>0</v>
      </c>
      <c r="AL158" s="495">
        <v>0</v>
      </c>
      <c r="AO158" s="495">
        <v>-8187.0546620942241</v>
      </c>
      <c r="AP158" s="495">
        <v>-4498.5961120942229</v>
      </c>
      <c r="AQ158" s="495">
        <v>-3204.549124594223</v>
      </c>
      <c r="AR158" s="495">
        <v>0</v>
      </c>
      <c r="AS158" s="495">
        <v>0</v>
      </c>
    </row>
    <row r="159" spans="1:45">
      <c r="A159" s="390">
        <v>91431</v>
      </c>
      <c r="B159" s="393">
        <v>91431</v>
      </c>
      <c r="C159" s="499" t="s">
        <v>873</v>
      </c>
      <c r="D159" s="378">
        <v>1.7661609073911866E-4</v>
      </c>
      <c r="F159" s="495">
        <v>102952.4939582494</v>
      </c>
      <c r="G159" s="495">
        <v>220380.45992324944</v>
      </c>
      <c r="H159" s="495">
        <v>46514.725013249437</v>
      </c>
      <c r="I159" s="495">
        <v>-18300.021699999998</v>
      </c>
      <c r="J159" s="495">
        <v>0</v>
      </c>
      <c r="M159" s="495">
        <v>81164.472389999995</v>
      </c>
      <c r="N159" s="495">
        <v>82567.126759999999</v>
      </c>
      <c r="O159" s="495">
        <v>43482.285469999995</v>
      </c>
      <c r="P159" s="495">
        <v>0</v>
      </c>
      <c r="Q159" s="495">
        <v>0</v>
      </c>
      <c r="T159" s="495">
        <v>33404.470759999997</v>
      </c>
      <c r="U159" s="495">
        <v>151803.29783</v>
      </c>
      <c r="V159" s="495">
        <v>-5063.1884799999998</v>
      </c>
      <c r="W159" s="495">
        <v>-18300.021699999998</v>
      </c>
      <c r="X159" s="495">
        <v>0</v>
      </c>
      <c r="AA159" s="495">
        <v>0</v>
      </c>
      <c r="AB159" s="495">
        <v>0</v>
      </c>
      <c r="AC159" s="495">
        <v>0</v>
      </c>
      <c r="AD159" s="495">
        <v>0</v>
      </c>
      <c r="AE159" s="495">
        <v>0</v>
      </c>
      <c r="AH159" s="495">
        <v>16827.204703249437</v>
      </c>
      <c r="AI159" s="495">
        <v>10462.071103249438</v>
      </c>
      <c r="AJ159" s="495">
        <v>8095.628023249441</v>
      </c>
      <c r="AK159" s="495">
        <v>0</v>
      </c>
      <c r="AL159" s="495">
        <v>0</v>
      </c>
      <c r="AO159" s="495">
        <v>-28443.653895000032</v>
      </c>
      <c r="AP159" s="495">
        <v>-24452.035770000031</v>
      </c>
      <c r="AQ159" s="495">
        <v>0</v>
      </c>
      <c r="AR159" s="495">
        <v>0</v>
      </c>
      <c r="AS159" s="495">
        <v>0</v>
      </c>
    </row>
    <row r="160" spans="1:45">
      <c r="A160" s="390">
        <v>91441</v>
      </c>
      <c r="B160" s="393">
        <v>91441</v>
      </c>
      <c r="C160" s="499" t="s">
        <v>874</v>
      </c>
      <c r="D160" s="378">
        <v>9.2825740161838388E-4</v>
      </c>
      <c r="F160" s="495">
        <v>466784.26436226425</v>
      </c>
      <c r="G160" s="495">
        <v>1111218.0335822641</v>
      </c>
      <c r="H160" s="495">
        <v>88719.498057264253</v>
      </c>
      <c r="I160" s="495">
        <v>-96181.075600000011</v>
      </c>
      <c r="J160" s="495">
        <v>0</v>
      </c>
      <c r="M160" s="495">
        <v>426583.44252000004</v>
      </c>
      <c r="N160" s="495">
        <v>433955.49968000001</v>
      </c>
      <c r="O160" s="495">
        <v>228533.77196000001</v>
      </c>
      <c r="P160" s="495">
        <v>0</v>
      </c>
      <c r="Q160" s="495">
        <v>0</v>
      </c>
      <c r="T160" s="495">
        <v>175566.89168</v>
      </c>
      <c r="U160" s="495">
        <v>797846.29243999999</v>
      </c>
      <c r="V160" s="495">
        <v>-26611.056640000003</v>
      </c>
      <c r="W160" s="495">
        <v>-96181.075600000011</v>
      </c>
      <c r="X160" s="495">
        <v>0</v>
      </c>
      <c r="AA160" s="495">
        <v>0</v>
      </c>
      <c r="AB160" s="495">
        <v>0</v>
      </c>
      <c r="AC160" s="495">
        <v>0</v>
      </c>
      <c r="AD160" s="495">
        <v>0</v>
      </c>
      <c r="AE160" s="495">
        <v>0</v>
      </c>
      <c r="AH160" s="495">
        <v>48510.629249999984</v>
      </c>
      <c r="AI160" s="495">
        <v>42600.148050000003</v>
      </c>
      <c r="AJ160" s="495">
        <v>0</v>
      </c>
      <c r="AK160" s="495">
        <v>0</v>
      </c>
      <c r="AL160" s="495">
        <v>0</v>
      </c>
      <c r="AO160" s="495">
        <v>-183876.69908773579</v>
      </c>
      <c r="AP160" s="495">
        <v>-163183.90658773578</v>
      </c>
      <c r="AQ160" s="495">
        <v>-113203.21726273576</v>
      </c>
      <c r="AR160" s="495">
        <v>0</v>
      </c>
      <c r="AS160" s="495">
        <v>0</v>
      </c>
    </row>
    <row r="161" spans="1:45">
      <c r="A161" s="390">
        <v>91451</v>
      </c>
      <c r="B161" s="393">
        <v>91451</v>
      </c>
      <c r="C161" s="499" t="s">
        <v>875</v>
      </c>
      <c r="D161" s="378">
        <v>1.3923061377135383E-3</v>
      </c>
      <c r="F161" s="495">
        <v>822180.55807000026</v>
      </c>
      <c r="G161" s="495">
        <v>1765620.4954950004</v>
      </c>
      <c r="H161" s="495">
        <v>219167.33262500016</v>
      </c>
      <c r="I161" s="495">
        <v>-144263.323</v>
      </c>
      <c r="J161" s="495">
        <v>0</v>
      </c>
      <c r="M161" s="495">
        <v>639838.39410000003</v>
      </c>
      <c r="N161" s="495">
        <v>650895.84440000006</v>
      </c>
      <c r="O161" s="495">
        <v>342780.95929999999</v>
      </c>
      <c r="P161" s="495">
        <v>0</v>
      </c>
      <c r="Q161" s="495">
        <v>0</v>
      </c>
      <c r="T161" s="495">
        <v>263335.20439999999</v>
      </c>
      <c r="U161" s="495">
        <v>1196700.6677000001</v>
      </c>
      <c r="V161" s="495">
        <v>-39914.2912</v>
      </c>
      <c r="W161" s="495">
        <v>-144263.323</v>
      </c>
      <c r="X161" s="495">
        <v>0</v>
      </c>
      <c r="AA161" s="495">
        <v>0</v>
      </c>
      <c r="AB161" s="495">
        <v>0</v>
      </c>
      <c r="AC161" s="495">
        <v>0</v>
      </c>
      <c r="AD161" s="495">
        <v>0</v>
      </c>
      <c r="AE161" s="495">
        <v>0</v>
      </c>
      <c r="AH161" s="495">
        <v>14615.430734999989</v>
      </c>
      <c r="AI161" s="495">
        <v>4027.9226099999378</v>
      </c>
      <c r="AJ161" s="495">
        <v>0</v>
      </c>
      <c r="AK161" s="495">
        <v>0</v>
      </c>
      <c r="AL161" s="495">
        <v>0</v>
      </c>
      <c r="AO161" s="495">
        <v>-95608.471164999763</v>
      </c>
      <c r="AP161" s="495">
        <v>-86003.939214999788</v>
      </c>
      <c r="AQ161" s="495">
        <v>-83699.335474999854</v>
      </c>
      <c r="AR161" s="495">
        <v>0</v>
      </c>
      <c r="AS161" s="495">
        <v>0</v>
      </c>
    </row>
    <row r="162" spans="1:45">
      <c r="A162" s="390">
        <v>91457</v>
      </c>
      <c r="B162" s="393">
        <v>91457</v>
      </c>
      <c r="C162" s="499" t="s">
        <v>876</v>
      </c>
      <c r="D162" s="378">
        <v>1.6122458939862915E-5</v>
      </c>
      <c r="F162" s="495">
        <v>19211.090433084297</v>
      </c>
      <c r="G162" s="495">
        <v>25573.694528084299</v>
      </c>
      <c r="H162" s="495">
        <v>5654.6134405843004</v>
      </c>
      <c r="I162" s="495">
        <v>-1670.5156000000002</v>
      </c>
      <c r="J162" s="495">
        <v>0</v>
      </c>
      <c r="M162" s="495">
        <v>7409.0905200000007</v>
      </c>
      <c r="N162" s="495">
        <v>7537.1316800000004</v>
      </c>
      <c r="O162" s="495">
        <v>3969.2759600000004</v>
      </c>
      <c r="P162" s="495">
        <v>0</v>
      </c>
      <c r="Q162" s="495">
        <v>0</v>
      </c>
      <c r="T162" s="495">
        <v>3049.3236800000004</v>
      </c>
      <c r="U162" s="495">
        <v>13857.348440000002</v>
      </c>
      <c r="V162" s="495">
        <v>-462.19264000000004</v>
      </c>
      <c r="W162" s="495">
        <v>-1670.5156000000002</v>
      </c>
      <c r="X162" s="495">
        <v>0</v>
      </c>
      <c r="AA162" s="495">
        <v>0</v>
      </c>
      <c r="AB162" s="495">
        <v>0</v>
      </c>
      <c r="AC162" s="495">
        <v>0</v>
      </c>
      <c r="AD162" s="495">
        <v>0</v>
      </c>
      <c r="AE162" s="495">
        <v>0</v>
      </c>
      <c r="AH162" s="495">
        <v>9463.9265080842961</v>
      </c>
      <c r="AI162" s="495">
        <v>4890.4646830842994</v>
      </c>
      <c r="AJ162" s="495">
        <v>2147.5301205842998</v>
      </c>
      <c r="AK162" s="495">
        <v>0</v>
      </c>
      <c r="AL162" s="495">
        <v>0</v>
      </c>
      <c r="AO162" s="495">
        <v>-711.25027499999896</v>
      </c>
      <c r="AP162" s="495">
        <v>-711.25027499999896</v>
      </c>
      <c r="AQ162" s="495">
        <v>0</v>
      </c>
      <c r="AR162" s="495">
        <v>0</v>
      </c>
      <c r="AS162" s="495">
        <v>0</v>
      </c>
    </row>
    <row r="163" spans="1:45">
      <c r="B163" s="393">
        <v>91461</v>
      </c>
      <c r="C163" s="499" t="s">
        <v>877</v>
      </c>
      <c r="D163" s="378">
        <v>0</v>
      </c>
      <c r="F163" s="495">
        <v>0</v>
      </c>
      <c r="G163" s="495">
        <v>0</v>
      </c>
      <c r="H163" s="495">
        <v>0</v>
      </c>
      <c r="I163" s="495">
        <v>0</v>
      </c>
      <c r="J163" s="495">
        <v>0</v>
      </c>
      <c r="M163" s="495">
        <v>0</v>
      </c>
      <c r="N163" s="495">
        <v>0</v>
      </c>
      <c r="O163" s="495">
        <v>0</v>
      </c>
      <c r="P163" s="495">
        <v>0</v>
      </c>
      <c r="Q163" s="495">
        <v>0</v>
      </c>
      <c r="T163" s="495">
        <v>0</v>
      </c>
      <c r="U163" s="495">
        <v>0</v>
      </c>
      <c r="V163" s="495">
        <v>0</v>
      </c>
      <c r="W163" s="495">
        <v>0</v>
      </c>
      <c r="X163" s="495">
        <v>0</v>
      </c>
      <c r="AA163" s="495">
        <v>0</v>
      </c>
      <c r="AB163" s="495">
        <v>0</v>
      </c>
      <c r="AC163" s="495">
        <v>0</v>
      </c>
      <c r="AD163" s="495">
        <v>0</v>
      </c>
      <c r="AE163" s="495">
        <v>0</v>
      </c>
      <c r="AH163" s="495">
        <v>0</v>
      </c>
      <c r="AI163" s="495">
        <v>0</v>
      </c>
      <c r="AJ163" s="495">
        <v>0</v>
      </c>
      <c r="AK163" s="495">
        <v>0</v>
      </c>
      <c r="AL163" s="495">
        <v>0</v>
      </c>
      <c r="AO163" s="495">
        <v>0</v>
      </c>
      <c r="AP163" s="495">
        <v>0</v>
      </c>
      <c r="AQ163" s="495">
        <v>0</v>
      </c>
      <c r="AR163" s="495">
        <v>0</v>
      </c>
      <c r="AS163" s="495">
        <v>0</v>
      </c>
    </row>
    <row r="164" spans="1:45">
      <c r="A164" s="390">
        <v>91501</v>
      </c>
      <c r="B164" s="393">
        <v>91501</v>
      </c>
      <c r="C164" s="499" t="s">
        <v>878</v>
      </c>
      <c r="D164" s="378">
        <v>4.9215284667711073E-4</v>
      </c>
      <c r="F164" s="495">
        <v>329041.59274752613</v>
      </c>
      <c r="G164" s="495">
        <v>659287.31205252616</v>
      </c>
      <c r="H164" s="495">
        <v>119589.72097252609</v>
      </c>
      <c r="I164" s="495">
        <v>-50994.250399999997</v>
      </c>
      <c r="J164" s="495">
        <v>0</v>
      </c>
      <c r="M164" s="495">
        <v>226170.30168</v>
      </c>
      <c r="N164" s="495">
        <v>230078.89311999999</v>
      </c>
      <c r="O164" s="495">
        <v>121166.33464</v>
      </c>
      <c r="P164" s="495">
        <v>0</v>
      </c>
      <c r="Q164" s="495">
        <v>0</v>
      </c>
      <c r="T164" s="495">
        <v>93083.821119999993</v>
      </c>
      <c r="U164" s="495">
        <v>423010.17495999997</v>
      </c>
      <c r="V164" s="495">
        <v>-14108.91776</v>
      </c>
      <c r="W164" s="495">
        <v>-50994.250399999997</v>
      </c>
      <c r="X164" s="495">
        <v>0</v>
      </c>
      <c r="AA164" s="495">
        <v>0</v>
      </c>
      <c r="AB164" s="495">
        <v>0</v>
      </c>
      <c r="AC164" s="495">
        <v>0</v>
      </c>
      <c r="AD164" s="495">
        <v>0</v>
      </c>
      <c r="AE164" s="495">
        <v>0</v>
      </c>
      <c r="AH164" s="495">
        <v>16121.530067526062</v>
      </c>
      <c r="AI164" s="495">
        <v>12532.304092526083</v>
      </c>
      <c r="AJ164" s="495">
        <v>12532.304092526083</v>
      </c>
      <c r="AK164" s="495">
        <v>0</v>
      </c>
      <c r="AL164" s="495">
        <v>0</v>
      </c>
      <c r="AO164" s="495">
        <v>-6334.0601199998982</v>
      </c>
      <c r="AP164" s="495">
        <v>-6334.0601199998982</v>
      </c>
      <c r="AQ164" s="495">
        <v>0</v>
      </c>
      <c r="AR164" s="495">
        <v>0</v>
      </c>
      <c r="AS164" s="495">
        <v>0</v>
      </c>
    </row>
    <row r="165" spans="1:45">
      <c r="A165" s="390">
        <v>91504</v>
      </c>
      <c r="B165" s="393">
        <v>91504</v>
      </c>
      <c r="C165" s="499" t="s">
        <v>879</v>
      </c>
      <c r="D165" s="378">
        <v>2.7004039423167185E-6</v>
      </c>
      <c r="F165" s="495">
        <v>-991.55510725325075</v>
      </c>
      <c r="G165" s="495">
        <v>-763.35525725325169</v>
      </c>
      <c r="H165" s="495">
        <v>-3206.5508197532499</v>
      </c>
      <c r="I165" s="495">
        <v>-279.80099999999999</v>
      </c>
      <c r="J165" s="495">
        <v>0</v>
      </c>
      <c r="M165" s="495">
        <v>1240.9766999999999</v>
      </c>
      <c r="N165" s="495">
        <v>1262.4228000000001</v>
      </c>
      <c r="O165" s="495">
        <v>664.82910000000004</v>
      </c>
      <c r="P165" s="495">
        <v>0</v>
      </c>
      <c r="Q165" s="495">
        <v>0</v>
      </c>
      <c r="T165" s="495">
        <v>510.74279999999999</v>
      </c>
      <c r="U165" s="495">
        <v>2321.0198999999998</v>
      </c>
      <c r="V165" s="495">
        <v>-77.414400000000001</v>
      </c>
      <c r="W165" s="495">
        <v>-279.80099999999999</v>
      </c>
      <c r="X165" s="495">
        <v>0</v>
      </c>
      <c r="AA165" s="495">
        <v>0</v>
      </c>
      <c r="AB165" s="495">
        <v>0</v>
      </c>
      <c r="AC165" s="495">
        <v>0</v>
      </c>
      <c r="AD165" s="495">
        <v>0</v>
      </c>
      <c r="AE165" s="495">
        <v>0</v>
      </c>
      <c r="AH165" s="495">
        <v>2959.8363875000005</v>
      </c>
      <c r="AI165" s="495">
        <v>1356.3130374999998</v>
      </c>
      <c r="AJ165" s="495">
        <v>0</v>
      </c>
      <c r="AK165" s="495">
        <v>0</v>
      </c>
      <c r="AL165" s="495">
        <v>0</v>
      </c>
      <c r="AO165" s="495">
        <v>-5703.1109947532514</v>
      </c>
      <c r="AP165" s="495">
        <v>-5703.1109947532514</v>
      </c>
      <c r="AQ165" s="495">
        <v>-3793.9655197532502</v>
      </c>
      <c r="AR165" s="495">
        <v>0</v>
      </c>
      <c r="AS165" s="495">
        <v>0</v>
      </c>
    </row>
    <row r="166" spans="1:45">
      <c r="A166" s="390">
        <v>91601</v>
      </c>
      <c r="B166" s="393">
        <v>91601</v>
      </c>
      <c r="C166" s="499" t="s">
        <v>880</v>
      </c>
      <c r="D166" s="378">
        <v>3.000744138721726E-3</v>
      </c>
      <c r="F166" s="495">
        <v>2107807.8013483607</v>
      </c>
      <c r="G166" s="495">
        <v>4046220.7530733612</v>
      </c>
      <c r="H166" s="495">
        <v>631378.99752086133</v>
      </c>
      <c r="I166" s="495">
        <v>-310921.08899999998</v>
      </c>
      <c r="J166" s="495">
        <v>0</v>
      </c>
      <c r="M166" s="495">
        <v>1379000.8862999999</v>
      </c>
      <c r="N166" s="495">
        <v>1402832.2692</v>
      </c>
      <c r="O166" s="495">
        <v>738772.86990000005</v>
      </c>
      <c r="P166" s="495">
        <v>0</v>
      </c>
      <c r="Q166" s="495">
        <v>0</v>
      </c>
      <c r="T166" s="495">
        <v>567548.74919999996</v>
      </c>
      <c r="U166" s="495">
        <v>2579168.8911000001</v>
      </c>
      <c r="V166" s="495">
        <v>-86024.601599999995</v>
      </c>
      <c r="W166" s="495">
        <v>-310921.08899999998</v>
      </c>
      <c r="X166" s="495">
        <v>0</v>
      </c>
      <c r="AA166" s="495">
        <v>0</v>
      </c>
      <c r="AB166" s="495">
        <v>0</v>
      </c>
      <c r="AC166" s="495">
        <v>0</v>
      </c>
      <c r="AD166" s="495">
        <v>0</v>
      </c>
      <c r="AE166" s="495">
        <v>0</v>
      </c>
      <c r="AH166" s="495">
        <v>182627.43662749996</v>
      </c>
      <c r="AI166" s="495">
        <v>85588.863552500232</v>
      </c>
      <c r="AJ166" s="495">
        <v>0</v>
      </c>
      <c r="AK166" s="495">
        <v>0</v>
      </c>
      <c r="AL166" s="495">
        <v>0</v>
      </c>
      <c r="AO166" s="495">
        <v>-21369.270779138809</v>
      </c>
      <c r="AP166" s="495">
        <v>-21369.270779138809</v>
      </c>
      <c r="AQ166" s="495">
        <v>-21369.270779138809</v>
      </c>
      <c r="AR166" s="495">
        <v>0</v>
      </c>
      <c r="AS166" s="495">
        <v>0</v>
      </c>
    </row>
    <row r="167" spans="1:45">
      <c r="A167" s="390">
        <v>91602</v>
      </c>
      <c r="B167" s="393">
        <v>91602</v>
      </c>
      <c r="C167" s="300" t="s">
        <v>3787</v>
      </c>
      <c r="D167" s="514">
        <v>2.6979999999999999E-5</v>
      </c>
      <c r="F167" s="495">
        <v>42987.467112243437</v>
      </c>
      <c r="G167" s="495">
        <v>61291.130792243435</v>
      </c>
      <c r="H167" s="495">
        <v>31353.043592243441</v>
      </c>
      <c r="I167" s="495">
        <v>-2795.9373999999998</v>
      </c>
      <c r="J167" s="495">
        <v>0</v>
      </c>
      <c r="M167" s="495">
        <v>12400.57458</v>
      </c>
      <c r="N167" s="495">
        <v>12614.87672</v>
      </c>
      <c r="O167" s="495">
        <v>6643.3663399999996</v>
      </c>
      <c r="P167" s="495"/>
      <c r="Q167" s="495"/>
      <c r="T167" s="495">
        <v>5103.6447200000002</v>
      </c>
      <c r="U167" s="495">
        <v>23193.006259999998</v>
      </c>
      <c r="V167" s="495">
        <v>-773.57056</v>
      </c>
      <c r="W167" s="495">
        <v>-2795.9373999999998</v>
      </c>
      <c r="X167" s="495">
        <v>0</v>
      </c>
      <c r="AA167" s="495">
        <v>0</v>
      </c>
      <c r="AB167" s="495"/>
      <c r="AC167" s="495"/>
      <c r="AD167" s="495"/>
      <c r="AE167" s="495"/>
      <c r="AH167" s="495">
        <v>25483.24781224344</v>
      </c>
      <c r="AI167" s="495">
        <v>25483.24781224344</v>
      </c>
      <c r="AJ167" s="495">
        <v>25483.24781224344</v>
      </c>
      <c r="AK167" s="495">
        <v>0</v>
      </c>
      <c r="AL167" s="495">
        <v>0</v>
      </c>
      <c r="AO167" s="495">
        <v>0</v>
      </c>
      <c r="AP167" s="495">
        <v>0</v>
      </c>
      <c r="AQ167" s="495">
        <v>0</v>
      </c>
      <c r="AR167" s="495">
        <v>0</v>
      </c>
      <c r="AS167" s="495">
        <v>0</v>
      </c>
    </row>
    <row r="168" spans="1:45">
      <c r="A168" s="390">
        <v>91604</v>
      </c>
      <c r="B168" s="393">
        <v>91604</v>
      </c>
      <c r="C168" s="499" t="s">
        <v>881</v>
      </c>
      <c r="D168" s="378">
        <v>8.1061966402927465E-5</v>
      </c>
      <c r="F168" s="495">
        <v>69032.088020462601</v>
      </c>
      <c r="G168" s="495">
        <v>115900.07339546262</v>
      </c>
      <c r="H168" s="495">
        <v>18793.695192962594</v>
      </c>
      <c r="I168" s="495">
        <v>-8399.2115000000013</v>
      </c>
      <c r="J168" s="495">
        <v>0</v>
      </c>
      <c r="M168" s="495">
        <v>37252.282050000002</v>
      </c>
      <c r="N168" s="495">
        <v>37896.0622</v>
      </c>
      <c r="O168" s="495">
        <v>19957.184650000003</v>
      </c>
      <c r="P168" s="495">
        <v>0</v>
      </c>
      <c r="Q168" s="495">
        <v>0</v>
      </c>
      <c r="T168" s="495">
        <v>15331.742200000001</v>
      </c>
      <c r="U168" s="495">
        <v>69673.578850000005</v>
      </c>
      <c r="V168" s="495">
        <v>-2323.8656000000001</v>
      </c>
      <c r="W168" s="495">
        <v>-8399.2115000000013</v>
      </c>
      <c r="X168" s="495">
        <v>0</v>
      </c>
      <c r="AA168" s="495">
        <v>0</v>
      </c>
      <c r="AB168" s="495">
        <v>0</v>
      </c>
      <c r="AC168" s="495">
        <v>0</v>
      </c>
      <c r="AD168" s="495">
        <v>0</v>
      </c>
      <c r="AE168" s="495">
        <v>0</v>
      </c>
      <c r="AH168" s="495">
        <v>16448.063770462606</v>
      </c>
      <c r="AI168" s="495">
        <v>8330.4323454626065</v>
      </c>
      <c r="AJ168" s="495">
        <v>1160.3761429625924</v>
      </c>
      <c r="AK168" s="495">
        <v>0</v>
      </c>
      <c r="AL168" s="495">
        <v>0</v>
      </c>
      <c r="AO168" s="495">
        <v>0</v>
      </c>
      <c r="AP168" s="495">
        <v>0</v>
      </c>
      <c r="AQ168" s="495">
        <v>0</v>
      </c>
      <c r="AR168" s="495">
        <v>0</v>
      </c>
      <c r="AS168" s="495">
        <v>0</v>
      </c>
    </row>
    <row r="169" spans="1:45">
      <c r="A169" s="390">
        <v>91608</v>
      </c>
      <c r="B169" s="393">
        <v>91608</v>
      </c>
      <c r="C169" s="499" t="s">
        <v>882</v>
      </c>
      <c r="D169" s="378">
        <v>1.7308562636073657E-4</v>
      </c>
      <c r="F169" s="495">
        <v>96532.141408704658</v>
      </c>
      <c r="G169" s="495">
        <v>210793.41234370464</v>
      </c>
      <c r="H169" s="495">
        <v>10848.058908704646</v>
      </c>
      <c r="I169" s="495">
        <v>-17934.2078</v>
      </c>
      <c r="J169" s="495">
        <v>0</v>
      </c>
      <c r="M169" s="495">
        <v>79542.010259999995</v>
      </c>
      <c r="N169" s="495">
        <v>80916.625839999993</v>
      </c>
      <c r="O169" s="495">
        <v>42613.082979999999</v>
      </c>
      <c r="P169" s="495">
        <v>0</v>
      </c>
      <c r="Q169" s="495">
        <v>0</v>
      </c>
      <c r="T169" s="495">
        <v>32736.721839999998</v>
      </c>
      <c r="U169" s="495">
        <v>148768.77922</v>
      </c>
      <c r="V169" s="495">
        <v>-4961.9763199999998</v>
      </c>
      <c r="W169" s="495">
        <v>-17934.2078</v>
      </c>
      <c r="X169" s="495">
        <v>0</v>
      </c>
      <c r="AA169" s="495">
        <v>0</v>
      </c>
      <c r="AB169" s="495">
        <v>0</v>
      </c>
      <c r="AC169" s="495">
        <v>0</v>
      </c>
      <c r="AD169" s="495">
        <v>0</v>
      </c>
      <c r="AE169" s="495">
        <v>0</v>
      </c>
      <c r="AH169" s="495">
        <v>24716.390730000003</v>
      </c>
      <c r="AI169" s="495">
        <v>15452.84808</v>
      </c>
      <c r="AJ169" s="495">
        <v>0</v>
      </c>
      <c r="AK169" s="495">
        <v>0</v>
      </c>
      <c r="AL169" s="495">
        <v>0</v>
      </c>
      <c r="AO169" s="495">
        <v>-40462.981421295357</v>
      </c>
      <c r="AP169" s="495">
        <v>-34344.840796295357</v>
      </c>
      <c r="AQ169" s="495">
        <v>-26803.047751295351</v>
      </c>
      <c r="AR169" s="495">
        <v>0</v>
      </c>
      <c r="AS169" s="495">
        <v>0</v>
      </c>
    </row>
    <row r="170" spans="1:45">
      <c r="A170" s="390">
        <v>91611</v>
      </c>
      <c r="B170" s="393">
        <v>91611</v>
      </c>
      <c r="C170" s="499" t="s">
        <v>883</v>
      </c>
      <c r="D170" s="378">
        <v>1.2628469746254905E-3</v>
      </c>
      <c r="F170" s="495">
        <v>677166.00496494852</v>
      </c>
      <c r="G170" s="495">
        <v>1505592.334849949</v>
      </c>
      <c r="H170" s="495">
        <v>231218.00507494857</v>
      </c>
      <c r="I170" s="495">
        <v>-130849.45580000001</v>
      </c>
      <c r="J170" s="495">
        <v>0</v>
      </c>
      <c r="M170" s="495">
        <v>580345.05186000001</v>
      </c>
      <c r="N170" s="495">
        <v>590374.36024000007</v>
      </c>
      <c r="O170" s="495">
        <v>310908.55978000001</v>
      </c>
      <c r="P170" s="495">
        <v>0</v>
      </c>
      <c r="Q170" s="495">
        <v>0</v>
      </c>
      <c r="T170" s="495">
        <v>238849.81624000001</v>
      </c>
      <c r="U170" s="495">
        <v>1085429.2544200001</v>
      </c>
      <c r="V170" s="495">
        <v>-36202.987520000002</v>
      </c>
      <c r="W170" s="495">
        <v>-130849.45580000001</v>
      </c>
      <c r="X170" s="495">
        <v>0</v>
      </c>
      <c r="AA170" s="495">
        <v>0</v>
      </c>
      <c r="AB170" s="495">
        <v>0</v>
      </c>
      <c r="AC170" s="495">
        <v>0</v>
      </c>
      <c r="AD170" s="495">
        <v>0</v>
      </c>
      <c r="AE170" s="495">
        <v>0</v>
      </c>
      <c r="AH170" s="495">
        <v>62003.221049999876</v>
      </c>
      <c r="AI170" s="495">
        <v>0</v>
      </c>
      <c r="AJ170" s="495">
        <v>0</v>
      </c>
      <c r="AK170" s="495">
        <v>0</v>
      </c>
      <c r="AL170" s="495">
        <v>0</v>
      </c>
      <c r="AO170" s="495">
        <v>-204032.08418505135</v>
      </c>
      <c r="AP170" s="495">
        <v>-170211.27981005129</v>
      </c>
      <c r="AQ170" s="495">
        <v>-43487.567185051419</v>
      </c>
      <c r="AR170" s="495">
        <v>0</v>
      </c>
      <c r="AS170" s="495">
        <v>0</v>
      </c>
    </row>
    <row r="171" spans="1:45">
      <c r="A171" s="390">
        <v>91621</v>
      </c>
      <c r="B171" s="393">
        <v>91621</v>
      </c>
      <c r="C171" s="499" t="s">
        <v>884</v>
      </c>
      <c r="D171" s="378">
        <v>2.8684247906208269E-4</v>
      </c>
      <c r="F171" s="495">
        <v>124407.8320878768</v>
      </c>
      <c r="G171" s="495">
        <v>330400.22186287679</v>
      </c>
      <c r="H171" s="495">
        <v>47704.791632876906</v>
      </c>
      <c r="I171" s="495">
        <v>-29721.083999999999</v>
      </c>
      <c r="J171" s="495">
        <v>0</v>
      </c>
      <c r="M171" s="495">
        <v>131819.30279999998</v>
      </c>
      <c r="N171" s="495">
        <v>134097.35519999999</v>
      </c>
      <c r="O171" s="495">
        <v>70619.624400000001</v>
      </c>
      <c r="P171" s="495">
        <v>0</v>
      </c>
      <c r="Q171" s="495">
        <v>0</v>
      </c>
      <c r="T171" s="495">
        <v>54252.235199999996</v>
      </c>
      <c r="U171" s="495">
        <v>246543.89159999997</v>
      </c>
      <c r="V171" s="495">
        <v>-8223.1296000000002</v>
      </c>
      <c r="W171" s="495">
        <v>-29721.083999999999</v>
      </c>
      <c r="X171" s="495">
        <v>0</v>
      </c>
      <c r="AA171" s="495">
        <v>0</v>
      </c>
      <c r="AB171" s="495">
        <v>0</v>
      </c>
      <c r="AC171" s="495">
        <v>0</v>
      </c>
      <c r="AD171" s="495">
        <v>0</v>
      </c>
      <c r="AE171" s="495">
        <v>0</v>
      </c>
      <c r="AH171" s="495">
        <v>170.49465000000782</v>
      </c>
      <c r="AI171" s="495">
        <v>0</v>
      </c>
      <c r="AJ171" s="495">
        <v>0</v>
      </c>
      <c r="AK171" s="495">
        <v>0</v>
      </c>
      <c r="AL171" s="495">
        <v>0</v>
      </c>
      <c r="AO171" s="495">
        <v>-61834.200562123173</v>
      </c>
      <c r="AP171" s="495">
        <v>-50241.024937123169</v>
      </c>
      <c r="AQ171" s="495">
        <v>-14691.703167123094</v>
      </c>
      <c r="AR171" s="495">
        <v>0</v>
      </c>
      <c r="AS171" s="495">
        <v>0</v>
      </c>
    </row>
    <row r="172" spans="1:45">
      <c r="A172" s="390">
        <v>91631</v>
      </c>
      <c r="B172" s="393">
        <v>91631</v>
      </c>
      <c r="C172" s="499" t="s">
        <v>885</v>
      </c>
      <c r="D172" s="378">
        <v>6.1764136856572085E-4</v>
      </c>
      <c r="F172" s="495">
        <v>361655.46768060367</v>
      </c>
      <c r="G172" s="495">
        <v>789280.20840560365</v>
      </c>
      <c r="H172" s="495">
        <v>91407.94011310373</v>
      </c>
      <c r="I172" s="495">
        <v>-63996.7065</v>
      </c>
      <c r="J172" s="495">
        <v>0</v>
      </c>
      <c r="M172" s="495">
        <v>283838.94855000003</v>
      </c>
      <c r="N172" s="495">
        <v>288744.1482</v>
      </c>
      <c r="O172" s="495">
        <v>152061.18914999999</v>
      </c>
      <c r="P172" s="495">
        <v>0</v>
      </c>
      <c r="Q172" s="495">
        <v>0</v>
      </c>
      <c r="T172" s="495">
        <v>116818.2282</v>
      </c>
      <c r="U172" s="495">
        <v>530868.82935000001</v>
      </c>
      <c r="V172" s="495">
        <v>-17706.393599999999</v>
      </c>
      <c r="W172" s="495">
        <v>-63996.7065</v>
      </c>
      <c r="X172" s="495">
        <v>0</v>
      </c>
      <c r="AA172" s="495">
        <v>0</v>
      </c>
      <c r="AB172" s="495">
        <v>0</v>
      </c>
      <c r="AC172" s="495">
        <v>0</v>
      </c>
      <c r="AD172" s="495">
        <v>0</v>
      </c>
      <c r="AE172" s="495">
        <v>0</v>
      </c>
      <c r="AH172" s="495">
        <v>18919.25731499993</v>
      </c>
      <c r="AI172" s="495">
        <v>18919.25731499993</v>
      </c>
      <c r="AJ172" s="495">
        <v>0</v>
      </c>
      <c r="AK172" s="495">
        <v>0</v>
      </c>
      <c r="AL172" s="495">
        <v>0</v>
      </c>
      <c r="AO172" s="495">
        <v>-57920.966384396292</v>
      </c>
      <c r="AP172" s="495">
        <v>-49252.026459396249</v>
      </c>
      <c r="AQ172" s="495">
        <v>-42946.85543689625</v>
      </c>
      <c r="AR172" s="495">
        <v>0</v>
      </c>
      <c r="AS172" s="495">
        <v>0</v>
      </c>
    </row>
    <row r="173" spans="1:45">
      <c r="A173" s="390">
        <v>91633</v>
      </c>
      <c r="B173" s="393">
        <v>91633</v>
      </c>
      <c r="C173" s="499" t="s">
        <v>886</v>
      </c>
      <c r="D173" s="378">
        <v>2.8144167117744922E-5</v>
      </c>
      <c r="F173" s="495">
        <v>28171.369420238349</v>
      </c>
      <c r="G173" s="495">
        <v>29492.565160238355</v>
      </c>
      <c r="H173" s="495">
        <v>7134.1075252383471</v>
      </c>
      <c r="I173" s="495">
        <v>-2916.1482000000001</v>
      </c>
      <c r="J173" s="495">
        <v>0</v>
      </c>
      <c r="M173" s="495">
        <v>12933.73494</v>
      </c>
      <c r="N173" s="495">
        <v>13157.250960000001</v>
      </c>
      <c r="O173" s="495">
        <v>6928.9966200000008</v>
      </c>
      <c r="P173" s="495">
        <v>0</v>
      </c>
      <c r="Q173" s="495">
        <v>0</v>
      </c>
      <c r="T173" s="495">
        <v>5323.0749599999999</v>
      </c>
      <c r="U173" s="495">
        <v>24190.18518</v>
      </c>
      <c r="V173" s="495">
        <v>-806.83008000000007</v>
      </c>
      <c r="W173" s="495">
        <v>-2916.1482000000001</v>
      </c>
      <c r="X173" s="495">
        <v>0</v>
      </c>
      <c r="AA173" s="495">
        <v>0</v>
      </c>
      <c r="AB173" s="495">
        <v>0</v>
      </c>
      <c r="AC173" s="495">
        <v>0</v>
      </c>
      <c r="AD173" s="495">
        <v>0</v>
      </c>
      <c r="AE173" s="495">
        <v>0</v>
      </c>
      <c r="AH173" s="495">
        <v>21471.298985238347</v>
      </c>
      <c r="AI173" s="495">
        <v>1011.940985238346</v>
      </c>
      <c r="AJ173" s="495">
        <v>1011.940985238346</v>
      </c>
      <c r="AK173" s="495">
        <v>0</v>
      </c>
      <c r="AL173" s="495">
        <v>0</v>
      </c>
      <c r="AO173" s="495">
        <v>-11556.739464999997</v>
      </c>
      <c r="AP173" s="495">
        <v>-8866.8119649999971</v>
      </c>
      <c r="AQ173" s="495">
        <v>0</v>
      </c>
      <c r="AR173" s="495">
        <v>0</v>
      </c>
      <c r="AS173" s="495">
        <v>0</v>
      </c>
    </row>
    <row r="174" spans="1:45">
      <c r="A174" s="390">
        <v>91641</v>
      </c>
      <c r="B174" s="393">
        <v>91641</v>
      </c>
      <c r="C174" s="499" t="s">
        <v>887</v>
      </c>
      <c r="D174" s="378">
        <v>3.4118050507728377E-4</v>
      </c>
      <c r="F174" s="495">
        <v>216022.76484400878</v>
      </c>
      <c r="G174" s="495">
        <v>454252.84829900879</v>
      </c>
      <c r="H174" s="495">
        <v>68877.925226508713</v>
      </c>
      <c r="I174" s="495">
        <v>-35351.301899999999</v>
      </c>
      <c r="J174" s="495">
        <v>0</v>
      </c>
      <c r="M174" s="495">
        <v>156790.51173</v>
      </c>
      <c r="N174" s="495">
        <v>159500.10731999998</v>
      </c>
      <c r="O174" s="495">
        <v>83997.46329</v>
      </c>
      <c r="P174" s="495">
        <v>0</v>
      </c>
      <c r="Q174" s="495">
        <v>0</v>
      </c>
      <c r="T174" s="495">
        <v>64529.515319999999</v>
      </c>
      <c r="U174" s="495">
        <v>293247.96980999998</v>
      </c>
      <c r="V174" s="495">
        <v>-9780.879359999999</v>
      </c>
      <c r="W174" s="495">
        <v>-35351.301899999999</v>
      </c>
      <c r="X174" s="495">
        <v>0</v>
      </c>
      <c r="AA174" s="495">
        <v>0</v>
      </c>
      <c r="AB174" s="495">
        <v>0</v>
      </c>
      <c r="AC174" s="495">
        <v>0</v>
      </c>
      <c r="AD174" s="495">
        <v>0</v>
      </c>
      <c r="AE174" s="495">
        <v>0</v>
      </c>
      <c r="AH174" s="495">
        <v>10773.569955000072</v>
      </c>
      <c r="AI174" s="495">
        <v>10773.569955000072</v>
      </c>
      <c r="AJ174" s="495">
        <v>0</v>
      </c>
      <c r="AK174" s="495">
        <v>0</v>
      </c>
      <c r="AL174" s="495">
        <v>0</v>
      </c>
      <c r="AO174" s="495">
        <v>-16070.832160991307</v>
      </c>
      <c r="AP174" s="495">
        <v>-9268.7987859912937</v>
      </c>
      <c r="AQ174" s="495">
        <v>-5338.6587034912764</v>
      </c>
      <c r="AR174" s="495">
        <v>0</v>
      </c>
      <c r="AS174" s="495">
        <v>0</v>
      </c>
    </row>
    <row r="175" spans="1:45">
      <c r="A175" s="390">
        <v>91651</v>
      </c>
      <c r="B175" s="393">
        <v>91651</v>
      </c>
      <c r="C175" s="499" t="s">
        <v>888</v>
      </c>
      <c r="D175" s="378">
        <v>5.6573373577011282E-4</v>
      </c>
      <c r="F175" s="495">
        <v>338242.12036169396</v>
      </c>
      <c r="G175" s="495">
        <v>727643.15361169411</v>
      </c>
      <c r="H175" s="495">
        <v>108319.76076169399</v>
      </c>
      <c r="I175" s="495">
        <v>-58618.309500000003</v>
      </c>
      <c r="J175" s="495">
        <v>0</v>
      </c>
      <c r="M175" s="495">
        <v>259984.61864999999</v>
      </c>
      <c r="N175" s="495">
        <v>264477.57660000003</v>
      </c>
      <c r="O175" s="495">
        <v>139281.69644999999</v>
      </c>
      <c r="P175" s="495">
        <v>0</v>
      </c>
      <c r="Q175" s="495">
        <v>0</v>
      </c>
      <c r="T175" s="495">
        <v>107000.61660000001</v>
      </c>
      <c r="U175" s="495">
        <v>486253.66905000003</v>
      </c>
      <c r="V175" s="495">
        <v>-16218.316800000001</v>
      </c>
      <c r="W175" s="495">
        <v>-58618.309500000003</v>
      </c>
      <c r="X175" s="495">
        <v>0</v>
      </c>
      <c r="AA175" s="495">
        <v>0</v>
      </c>
      <c r="AB175" s="495">
        <v>0</v>
      </c>
      <c r="AC175" s="495">
        <v>0</v>
      </c>
      <c r="AD175" s="495">
        <v>0</v>
      </c>
      <c r="AE175" s="495">
        <v>0</v>
      </c>
      <c r="AH175" s="495">
        <v>6003.3865499999438</v>
      </c>
      <c r="AI175" s="495">
        <v>149.73690000002443</v>
      </c>
      <c r="AJ175" s="495">
        <v>0</v>
      </c>
      <c r="AK175" s="495">
        <v>0</v>
      </c>
      <c r="AL175" s="495">
        <v>0</v>
      </c>
      <c r="AO175" s="495">
        <v>-34746.50143830599</v>
      </c>
      <c r="AP175" s="495">
        <v>-23237.828938305989</v>
      </c>
      <c r="AQ175" s="495">
        <v>-14743.618888305995</v>
      </c>
      <c r="AR175" s="495">
        <v>0</v>
      </c>
      <c r="AS175" s="495">
        <v>0</v>
      </c>
    </row>
    <row r="176" spans="1:45">
      <c r="A176" s="390">
        <v>91661</v>
      </c>
      <c r="B176" s="393">
        <v>91661</v>
      </c>
      <c r="C176" s="499" t="s">
        <v>889</v>
      </c>
      <c r="D176" s="378">
        <v>1.4181096679233648E-4</v>
      </c>
      <c r="F176" s="495">
        <v>19504.753280902471</v>
      </c>
      <c r="G176" s="495">
        <v>120241.69649590248</v>
      </c>
      <c r="H176" s="495">
        <v>-1617.6207365975497</v>
      </c>
      <c r="I176" s="495">
        <v>-14693.697700000001</v>
      </c>
      <c r="J176" s="495">
        <v>0</v>
      </c>
      <c r="M176" s="495">
        <v>65169.661590000003</v>
      </c>
      <c r="N176" s="495">
        <v>66295.899560000005</v>
      </c>
      <c r="O176" s="495">
        <v>34913.377070000002</v>
      </c>
      <c r="P176" s="495">
        <v>0</v>
      </c>
      <c r="Q176" s="495">
        <v>0</v>
      </c>
      <c r="T176" s="495">
        <v>26821.563560000002</v>
      </c>
      <c r="U176" s="495">
        <v>121887.93023000001</v>
      </c>
      <c r="V176" s="495">
        <v>-4065.4028800000001</v>
      </c>
      <c r="W176" s="495">
        <v>-14693.697700000001</v>
      </c>
      <c r="X176" s="495">
        <v>0</v>
      </c>
      <c r="AA176" s="495">
        <v>0</v>
      </c>
      <c r="AB176" s="495">
        <v>0</v>
      </c>
      <c r="AC176" s="495">
        <v>0</v>
      </c>
      <c r="AD176" s="495">
        <v>0</v>
      </c>
      <c r="AE176" s="495">
        <v>0</v>
      </c>
      <c r="AH176" s="495">
        <v>7729.0908000000054</v>
      </c>
      <c r="AI176" s="495">
        <v>0</v>
      </c>
      <c r="AJ176" s="495">
        <v>0</v>
      </c>
      <c r="AK176" s="495">
        <v>0</v>
      </c>
      <c r="AL176" s="495">
        <v>0</v>
      </c>
      <c r="AO176" s="495">
        <v>-80215.562669097548</v>
      </c>
      <c r="AP176" s="495">
        <v>-67942.133294097541</v>
      </c>
      <c r="AQ176" s="495">
        <v>-32465.594926597551</v>
      </c>
      <c r="AR176" s="495">
        <v>0</v>
      </c>
      <c r="AS176" s="495">
        <v>0</v>
      </c>
    </row>
    <row r="177" spans="1:45">
      <c r="A177" s="390">
        <v>91671</v>
      </c>
      <c r="B177" s="393">
        <v>91671</v>
      </c>
      <c r="C177" s="499" t="s">
        <v>890</v>
      </c>
      <c r="D177" s="378">
        <v>8.4022441112790679E-5</v>
      </c>
      <c r="F177" s="495">
        <v>42022.199348622002</v>
      </c>
      <c r="G177" s="495">
        <v>101464.37118362202</v>
      </c>
      <c r="H177" s="495">
        <v>19160.058166122017</v>
      </c>
      <c r="I177" s="495">
        <v>-8705.9562999999998</v>
      </c>
      <c r="J177" s="495">
        <v>0</v>
      </c>
      <c r="M177" s="495">
        <v>38612.76021</v>
      </c>
      <c r="N177" s="495">
        <v>39280.051640000005</v>
      </c>
      <c r="O177" s="495">
        <v>20686.034330000002</v>
      </c>
      <c r="P177" s="495">
        <v>0</v>
      </c>
      <c r="Q177" s="495">
        <v>0</v>
      </c>
      <c r="T177" s="495">
        <v>15891.667640000001</v>
      </c>
      <c r="U177" s="495">
        <v>72218.104370000001</v>
      </c>
      <c r="V177" s="495">
        <v>-2408.7347199999999</v>
      </c>
      <c r="W177" s="495">
        <v>-8705.9562999999998</v>
      </c>
      <c r="X177" s="495">
        <v>0</v>
      </c>
      <c r="AA177" s="495">
        <v>0</v>
      </c>
      <c r="AB177" s="495">
        <v>0</v>
      </c>
      <c r="AC177" s="495">
        <v>0</v>
      </c>
      <c r="AD177" s="495">
        <v>0</v>
      </c>
      <c r="AE177" s="495">
        <v>0</v>
      </c>
      <c r="AH177" s="495">
        <v>1069.2063086220123</v>
      </c>
      <c r="AI177" s="495">
        <v>1069.2063086220123</v>
      </c>
      <c r="AJ177" s="495">
        <v>882.75855612201576</v>
      </c>
      <c r="AK177" s="495">
        <v>0</v>
      </c>
      <c r="AL177" s="495">
        <v>0</v>
      </c>
      <c r="AO177" s="495">
        <v>-13551.434810000017</v>
      </c>
      <c r="AP177" s="495">
        <v>-11102.991135000011</v>
      </c>
      <c r="AQ177" s="495">
        <v>0</v>
      </c>
      <c r="AR177" s="495">
        <v>0</v>
      </c>
      <c r="AS177" s="495">
        <v>0</v>
      </c>
    </row>
    <row r="178" spans="1:45">
      <c r="A178" s="390">
        <v>91681</v>
      </c>
      <c r="B178" s="393">
        <v>91681</v>
      </c>
      <c r="C178" s="499" t="s">
        <v>891</v>
      </c>
      <c r="D178" s="378">
        <v>4.5115676258787851E-4</v>
      </c>
      <c r="F178" s="495">
        <v>453310.62272083561</v>
      </c>
      <c r="G178" s="495">
        <v>713301.77566083567</v>
      </c>
      <c r="H178" s="495">
        <v>156581.85897833569</v>
      </c>
      <c r="I178" s="495">
        <v>-46746.456700000002</v>
      </c>
      <c r="J178" s="495">
        <v>0</v>
      </c>
      <c r="M178" s="495">
        <v>207330.43689000001</v>
      </c>
      <c r="N178" s="495">
        <v>210913.44476000001</v>
      </c>
      <c r="O178" s="495">
        <v>111073.24397000001</v>
      </c>
      <c r="P178" s="495">
        <v>0</v>
      </c>
      <c r="Q178" s="495">
        <v>0</v>
      </c>
      <c r="T178" s="495">
        <v>85329.988760000007</v>
      </c>
      <c r="U178" s="495">
        <v>387773.65432999999</v>
      </c>
      <c r="V178" s="495">
        <v>-12933.652480000001</v>
      </c>
      <c r="W178" s="495">
        <v>-46746.456700000002</v>
      </c>
      <c r="X178" s="495">
        <v>0</v>
      </c>
      <c r="AA178" s="495">
        <v>0</v>
      </c>
      <c r="AB178" s="495">
        <v>0</v>
      </c>
      <c r="AC178" s="495">
        <v>0</v>
      </c>
      <c r="AD178" s="495">
        <v>0</v>
      </c>
      <c r="AE178" s="495">
        <v>0</v>
      </c>
      <c r="AH178" s="495">
        <v>164173.76218583569</v>
      </c>
      <c r="AI178" s="495">
        <v>115864.9796858357</v>
      </c>
      <c r="AJ178" s="495">
        <v>58442.267488335696</v>
      </c>
      <c r="AK178" s="495">
        <v>0</v>
      </c>
      <c r="AL178" s="495">
        <v>0</v>
      </c>
      <c r="AO178" s="495">
        <v>-3523.5651150000631</v>
      </c>
      <c r="AP178" s="495">
        <v>-1250.3031150000461</v>
      </c>
      <c r="AQ178" s="495">
        <v>0</v>
      </c>
      <c r="AR178" s="495">
        <v>0</v>
      </c>
      <c r="AS178" s="495">
        <v>0</v>
      </c>
    </row>
    <row r="179" spans="1:45">
      <c r="A179" s="390">
        <v>91691</v>
      </c>
      <c r="B179" s="393">
        <v>91691</v>
      </c>
      <c r="C179" s="499" t="s">
        <v>892</v>
      </c>
      <c r="D179" s="378">
        <v>3.7575552647959099E-5</v>
      </c>
      <c r="F179" s="495">
        <v>25204.768385877924</v>
      </c>
      <c r="G179" s="495">
        <v>47393.38958087792</v>
      </c>
      <c r="H179" s="495">
        <v>3818.2429258779221</v>
      </c>
      <c r="I179" s="495">
        <v>-3893.3791000000001</v>
      </c>
      <c r="J179" s="495">
        <v>0</v>
      </c>
      <c r="M179" s="495">
        <v>17267.96097</v>
      </c>
      <c r="N179" s="495">
        <v>17566.37948</v>
      </c>
      <c r="O179" s="495">
        <v>9250.9738099999995</v>
      </c>
      <c r="P179" s="495">
        <v>0</v>
      </c>
      <c r="Q179" s="495">
        <v>0</v>
      </c>
      <c r="T179" s="495">
        <v>7106.8914800000002</v>
      </c>
      <c r="U179" s="495">
        <v>32296.562089999999</v>
      </c>
      <c r="V179" s="495">
        <v>-1077.20704</v>
      </c>
      <c r="W179" s="495">
        <v>-3893.3791000000001</v>
      </c>
      <c r="X179" s="495">
        <v>0</v>
      </c>
      <c r="AA179" s="495">
        <v>0</v>
      </c>
      <c r="AB179" s="495">
        <v>0</v>
      </c>
      <c r="AC179" s="495">
        <v>0</v>
      </c>
      <c r="AD179" s="495">
        <v>0</v>
      </c>
      <c r="AE179" s="495">
        <v>0</v>
      </c>
      <c r="AH179" s="495">
        <v>7434.4100400000007</v>
      </c>
      <c r="AI179" s="495">
        <v>3683.5277400000032</v>
      </c>
      <c r="AJ179" s="495">
        <v>0</v>
      </c>
      <c r="AK179" s="495">
        <v>0</v>
      </c>
      <c r="AL179" s="495">
        <v>0</v>
      </c>
      <c r="AO179" s="495">
        <v>-6604.4941041220764</v>
      </c>
      <c r="AP179" s="495">
        <v>-6153.079729122077</v>
      </c>
      <c r="AQ179" s="495">
        <v>-4355.5238441220772</v>
      </c>
      <c r="AR179" s="495">
        <v>0</v>
      </c>
      <c r="AS179" s="495">
        <v>0</v>
      </c>
    </row>
    <row r="180" spans="1:45">
      <c r="A180" s="390">
        <v>91701</v>
      </c>
      <c r="B180" s="393">
        <v>91701</v>
      </c>
      <c r="C180" s="499" t="s">
        <v>893</v>
      </c>
      <c r="D180" s="378">
        <v>1.1356081304804552E-3</v>
      </c>
      <c r="F180" s="495">
        <v>570480.90052476642</v>
      </c>
      <c r="G180" s="495">
        <v>1481212.376714766</v>
      </c>
      <c r="H180" s="495">
        <v>317171.62827976636</v>
      </c>
      <c r="I180" s="495">
        <v>-117665.64719999999</v>
      </c>
      <c r="J180" s="495">
        <v>0</v>
      </c>
      <c r="M180" s="495">
        <v>521872.06823999999</v>
      </c>
      <c r="N180" s="495">
        <v>530890.86815999995</v>
      </c>
      <c r="O180" s="495">
        <v>279582.79751999996</v>
      </c>
      <c r="P180" s="495">
        <v>0</v>
      </c>
      <c r="Q180" s="495">
        <v>0</v>
      </c>
      <c r="T180" s="495">
        <v>214784.37216</v>
      </c>
      <c r="U180" s="495">
        <v>976066.23527999991</v>
      </c>
      <c r="V180" s="495">
        <v>-32555.335679999997</v>
      </c>
      <c r="W180" s="495">
        <v>-117665.64719999999</v>
      </c>
      <c r="X180" s="495">
        <v>0</v>
      </c>
      <c r="AA180" s="495">
        <v>0</v>
      </c>
      <c r="AB180" s="495">
        <v>0</v>
      </c>
      <c r="AC180" s="495">
        <v>0</v>
      </c>
      <c r="AD180" s="495">
        <v>0</v>
      </c>
      <c r="AE180" s="495">
        <v>0</v>
      </c>
      <c r="AH180" s="495">
        <v>122678.61469476651</v>
      </c>
      <c r="AI180" s="495">
        <v>81362.07784476642</v>
      </c>
      <c r="AJ180" s="495">
        <v>70144.166439766399</v>
      </c>
      <c r="AK180" s="495">
        <v>0</v>
      </c>
      <c r="AL180" s="495">
        <v>0</v>
      </c>
      <c r="AO180" s="495">
        <v>-288854.15457000007</v>
      </c>
      <c r="AP180" s="495">
        <v>-107106.80457000004</v>
      </c>
      <c r="AQ180" s="495">
        <v>0</v>
      </c>
      <c r="AR180" s="495">
        <v>0</v>
      </c>
      <c r="AS180" s="495">
        <v>0</v>
      </c>
    </row>
    <row r="181" spans="1:45">
      <c r="A181" s="390">
        <v>91704</v>
      </c>
      <c r="B181" s="393">
        <v>91704</v>
      </c>
      <c r="C181" s="499" t="s">
        <v>894</v>
      </c>
      <c r="D181" s="378">
        <v>2.0873015726860147E-5</v>
      </c>
      <c r="F181" s="495">
        <v>19750.286611296171</v>
      </c>
      <c r="G181" s="495">
        <v>33371.019181296171</v>
      </c>
      <c r="H181" s="495">
        <v>9478.7795487961721</v>
      </c>
      <c r="I181" s="495">
        <v>-2162.7581</v>
      </c>
      <c r="J181" s="495">
        <v>0</v>
      </c>
      <c r="M181" s="495">
        <v>9592.2902699999995</v>
      </c>
      <c r="N181" s="495">
        <v>9758.0606799999987</v>
      </c>
      <c r="O181" s="495">
        <v>5138.8827099999999</v>
      </c>
      <c r="P181" s="495">
        <v>0</v>
      </c>
      <c r="Q181" s="495">
        <v>0</v>
      </c>
      <c r="T181" s="495">
        <v>3947.8526799999995</v>
      </c>
      <c r="U181" s="495">
        <v>17940.624189999999</v>
      </c>
      <c r="V181" s="495">
        <v>-598.38463999999999</v>
      </c>
      <c r="W181" s="495">
        <v>-2162.7581</v>
      </c>
      <c r="X181" s="495">
        <v>0</v>
      </c>
      <c r="AA181" s="495">
        <v>0</v>
      </c>
      <c r="AB181" s="495">
        <v>0</v>
      </c>
      <c r="AC181" s="495">
        <v>0</v>
      </c>
      <c r="AD181" s="495">
        <v>0</v>
      </c>
      <c r="AE181" s="495">
        <v>0</v>
      </c>
      <c r="AH181" s="495">
        <v>6861.4991762961727</v>
      </c>
      <c r="AI181" s="495">
        <v>6323.6898262961731</v>
      </c>
      <c r="AJ181" s="495">
        <v>4938.2814787961725</v>
      </c>
      <c r="AK181" s="495">
        <v>0</v>
      </c>
      <c r="AL181" s="495">
        <v>0</v>
      </c>
      <c r="AO181" s="495">
        <v>-651.35551500000179</v>
      </c>
      <c r="AP181" s="495">
        <v>-651.35551500000179</v>
      </c>
      <c r="AQ181" s="495">
        <v>0</v>
      </c>
      <c r="AR181" s="495">
        <v>0</v>
      </c>
      <c r="AS181" s="495">
        <v>0</v>
      </c>
    </row>
    <row r="182" spans="1:45">
      <c r="A182" s="390">
        <v>91706</v>
      </c>
      <c r="B182" s="393">
        <v>91706</v>
      </c>
      <c r="C182" s="499" t="s">
        <v>895</v>
      </c>
      <c r="D182" s="378">
        <v>1.9306864520538826E-4</v>
      </c>
      <c r="F182" s="495">
        <v>120761.10871753059</v>
      </c>
      <c r="G182" s="495">
        <v>267162.22480753064</v>
      </c>
      <c r="H182" s="495">
        <v>51049.074022530578</v>
      </c>
      <c r="I182" s="495">
        <v>-20004.735199999999</v>
      </c>
      <c r="J182" s="495">
        <v>0</v>
      </c>
      <c r="M182" s="495">
        <v>88725.237840000002</v>
      </c>
      <c r="N182" s="495">
        <v>90258.554560000004</v>
      </c>
      <c r="O182" s="495">
        <v>47532.818319999998</v>
      </c>
      <c r="P182" s="495">
        <v>0</v>
      </c>
      <c r="Q182" s="495">
        <v>0</v>
      </c>
      <c r="T182" s="495">
        <v>36516.218560000001</v>
      </c>
      <c r="U182" s="495">
        <v>165944.32648000002</v>
      </c>
      <c r="V182" s="495">
        <v>-5534.8428800000002</v>
      </c>
      <c r="W182" s="495">
        <v>-20004.735199999999</v>
      </c>
      <c r="X182" s="495">
        <v>0</v>
      </c>
      <c r="AA182" s="495">
        <v>0</v>
      </c>
      <c r="AB182" s="495">
        <v>0</v>
      </c>
      <c r="AC182" s="495">
        <v>0</v>
      </c>
      <c r="AD182" s="495">
        <v>0</v>
      </c>
      <c r="AE182" s="495">
        <v>0</v>
      </c>
      <c r="AH182" s="495">
        <v>22391.729037530597</v>
      </c>
      <c r="AI182" s="495">
        <v>18640.846737530585</v>
      </c>
      <c r="AJ182" s="495">
        <v>9051.0985825305852</v>
      </c>
      <c r="AK182" s="495">
        <v>0</v>
      </c>
      <c r="AL182" s="495">
        <v>0</v>
      </c>
      <c r="AO182" s="495">
        <v>-26872.076720000005</v>
      </c>
      <c r="AP182" s="495">
        <v>-7681.5029700000014</v>
      </c>
      <c r="AQ182" s="495">
        <v>0</v>
      </c>
      <c r="AR182" s="495">
        <v>0</v>
      </c>
      <c r="AS182" s="495">
        <v>0</v>
      </c>
    </row>
    <row r="183" spans="1:45">
      <c r="A183" s="390">
        <v>91719</v>
      </c>
      <c r="B183" s="393">
        <v>91719</v>
      </c>
      <c r="C183" s="499" t="s">
        <v>896</v>
      </c>
      <c r="D183" s="378">
        <v>3.2064811826216735E-5</v>
      </c>
      <c r="F183" s="495">
        <v>6711.6874291521417</v>
      </c>
      <c r="G183" s="495">
        <v>36251.646239152142</v>
      </c>
      <c r="H183" s="495">
        <v>7072.2892891521406</v>
      </c>
      <c r="I183" s="495">
        <v>-3322.3778000000002</v>
      </c>
      <c r="J183" s="495">
        <v>0</v>
      </c>
      <c r="M183" s="495">
        <v>14735.449260000001</v>
      </c>
      <c r="N183" s="495">
        <v>14990.101840000001</v>
      </c>
      <c r="O183" s="495">
        <v>7894.2299800000001</v>
      </c>
      <c r="P183" s="495">
        <v>0</v>
      </c>
      <c r="Q183" s="495">
        <v>0</v>
      </c>
      <c r="T183" s="495">
        <v>6064.5978400000004</v>
      </c>
      <c r="U183" s="495">
        <v>27559.962220000001</v>
      </c>
      <c r="V183" s="495">
        <v>-919.22432000000003</v>
      </c>
      <c r="W183" s="495">
        <v>-3322.3778000000002</v>
      </c>
      <c r="X183" s="495">
        <v>0</v>
      </c>
      <c r="AA183" s="495">
        <v>0</v>
      </c>
      <c r="AB183" s="495">
        <v>0</v>
      </c>
      <c r="AC183" s="495">
        <v>0</v>
      </c>
      <c r="AD183" s="495">
        <v>0</v>
      </c>
      <c r="AE183" s="495">
        <v>0</v>
      </c>
      <c r="AH183" s="495">
        <v>97.283629152141202</v>
      </c>
      <c r="AI183" s="495">
        <v>97.283629152141202</v>
      </c>
      <c r="AJ183" s="495">
        <v>97.283629152141202</v>
      </c>
      <c r="AK183" s="495">
        <v>0</v>
      </c>
      <c r="AL183" s="495">
        <v>0</v>
      </c>
      <c r="AO183" s="495">
        <v>-14185.643300000003</v>
      </c>
      <c r="AP183" s="495">
        <v>-6395.7014500000032</v>
      </c>
      <c r="AQ183" s="495">
        <v>0</v>
      </c>
      <c r="AR183" s="495">
        <v>0</v>
      </c>
      <c r="AS183" s="495">
        <v>0</v>
      </c>
    </row>
    <row r="184" spans="1:45">
      <c r="A184" s="390">
        <v>91801</v>
      </c>
      <c r="B184" s="393">
        <v>91801</v>
      </c>
      <c r="C184" s="499" t="s">
        <v>897</v>
      </c>
      <c r="D184" s="378">
        <v>7.693798878449073E-3</v>
      </c>
      <c r="F184" s="495">
        <v>4980778.7768095238</v>
      </c>
      <c r="G184" s="495">
        <v>10179772.282469522</v>
      </c>
      <c r="H184" s="495">
        <v>1668620.5202670232</v>
      </c>
      <c r="I184" s="495">
        <v>-797190.3557999999</v>
      </c>
      <c r="J184" s="495">
        <v>0</v>
      </c>
      <c r="M184" s="495">
        <v>3535708.0818599998</v>
      </c>
      <c r="N184" s="495">
        <v>3596810.8802399999</v>
      </c>
      <c r="O184" s="495">
        <v>1894186.74978</v>
      </c>
      <c r="P184" s="495">
        <v>0</v>
      </c>
      <c r="Q184" s="495">
        <v>0</v>
      </c>
      <c r="T184" s="495">
        <v>1455174.3362399999</v>
      </c>
      <c r="U184" s="495">
        <v>6612895.1644199993</v>
      </c>
      <c r="V184" s="495">
        <v>-220563.94751999999</v>
      </c>
      <c r="W184" s="495">
        <v>-797190.3557999999</v>
      </c>
      <c r="X184" s="495">
        <v>0</v>
      </c>
      <c r="AA184" s="495">
        <v>0</v>
      </c>
      <c r="AB184" s="495">
        <v>0</v>
      </c>
      <c r="AC184" s="495">
        <v>0</v>
      </c>
      <c r="AD184" s="495">
        <v>0</v>
      </c>
      <c r="AE184" s="495">
        <v>0</v>
      </c>
      <c r="AH184" s="495">
        <v>71603.890007500304</v>
      </c>
      <c r="AI184" s="495">
        <v>23126.577857500175</v>
      </c>
      <c r="AJ184" s="495">
        <v>0</v>
      </c>
      <c r="AK184" s="495">
        <v>0</v>
      </c>
      <c r="AL184" s="495">
        <v>0</v>
      </c>
      <c r="AO184" s="495">
        <v>-81707.531297976573</v>
      </c>
      <c r="AP184" s="495">
        <v>-53060.34004797689</v>
      </c>
      <c r="AQ184" s="495">
        <v>-5002.2819929768702</v>
      </c>
      <c r="AR184" s="495">
        <v>0</v>
      </c>
      <c r="AS184" s="495">
        <v>0</v>
      </c>
    </row>
    <row r="185" spans="1:45">
      <c r="A185" s="390">
        <v>91804</v>
      </c>
      <c r="B185" s="393">
        <v>91804</v>
      </c>
      <c r="C185" s="499" t="s">
        <v>898</v>
      </c>
      <c r="D185" s="378">
        <v>2.2313300396281045E-4</v>
      </c>
      <c r="F185" s="495">
        <v>227226.74462427769</v>
      </c>
      <c r="G185" s="495">
        <v>343478.06197427772</v>
      </c>
      <c r="H185" s="495">
        <v>75664.293029277687</v>
      </c>
      <c r="I185" s="495">
        <v>-23119.852999999999</v>
      </c>
      <c r="J185" s="495">
        <v>0</v>
      </c>
      <c r="M185" s="495">
        <v>102541.4451</v>
      </c>
      <c r="N185" s="495">
        <v>104313.5284</v>
      </c>
      <c r="O185" s="495">
        <v>54934.582300000002</v>
      </c>
      <c r="P185" s="495">
        <v>0</v>
      </c>
      <c r="Q185" s="495">
        <v>0</v>
      </c>
      <c r="T185" s="495">
        <v>42202.488400000002</v>
      </c>
      <c r="U185" s="495">
        <v>191785.0147</v>
      </c>
      <c r="V185" s="495">
        <v>-6396.7232000000004</v>
      </c>
      <c r="W185" s="495">
        <v>-23119.852999999999</v>
      </c>
      <c r="X185" s="495">
        <v>0</v>
      </c>
      <c r="AA185" s="495">
        <v>0</v>
      </c>
      <c r="AB185" s="495">
        <v>0</v>
      </c>
      <c r="AC185" s="495">
        <v>0</v>
      </c>
      <c r="AD185" s="495">
        <v>0</v>
      </c>
      <c r="AE185" s="495">
        <v>0</v>
      </c>
      <c r="AH185" s="495">
        <v>82482.811124277694</v>
      </c>
      <c r="AI185" s="495">
        <v>47379.518874277681</v>
      </c>
      <c r="AJ185" s="495">
        <v>27126.433929277686</v>
      </c>
      <c r="AK185" s="495">
        <v>0</v>
      </c>
      <c r="AL185" s="495">
        <v>0</v>
      </c>
      <c r="AO185" s="495">
        <v>0</v>
      </c>
      <c r="AP185" s="495">
        <v>0</v>
      </c>
      <c r="AQ185" s="495">
        <v>0</v>
      </c>
      <c r="AR185" s="495">
        <v>0</v>
      </c>
      <c r="AS185" s="495">
        <v>0</v>
      </c>
    </row>
    <row r="186" spans="1:45">
      <c r="A186" s="390">
        <v>91811</v>
      </c>
      <c r="B186" s="393">
        <v>91811</v>
      </c>
      <c r="C186" s="499" t="s">
        <v>899</v>
      </c>
      <c r="D186" s="378">
        <v>3.7129296134916037E-3</v>
      </c>
      <c r="F186" s="495">
        <v>2109222.8681854364</v>
      </c>
      <c r="G186" s="495">
        <v>4685127.1124154357</v>
      </c>
      <c r="H186" s="495">
        <v>581301.36627793661</v>
      </c>
      <c r="I186" s="495">
        <v>-384713.93939999997</v>
      </c>
      <c r="J186" s="495">
        <v>0</v>
      </c>
      <c r="M186" s="495">
        <v>1706287.80798</v>
      </c>
      <c r="N186" s="495">
        <v>1735775.24232</v>
      </c>
      <c r="O186" s="495">
        <v>914110.46453999996</v>
      </c>
      <c r="P186" s="495">
        <v>0</v>
      </c>
      <c r="Q186" s="495">
        <v>0</v>
      </c>
      <c r="T186" s="495">
        <v>702248.65032000002</v>
      </c>
      <c r="U186" s="495">
        <v>3191299.2060599998</v>
      </c>
      <c r="V186" s="495">
        <v>-106441.35936</v>
      </c>
      <c r="W186" s="495">
        <v>-384713.93939999997</v>
      </c>
      <c r="X186" s="495">
        <v>0</v>
      </c>
      <c r="AA186" s="495">
        <v>0</v>
      </c>
      <c r="AB186" s="495">
        <v>0</v>
      </c>
      <c r="AC186" s="495">
        <v>0</v>
      </c>
      <c r="AD186" s="495">
        <v>0</v>
      </c>
      <c r="AE186" s="495">
        <v>0</v>
      </c>
      <c r="AH186" s="495">
        <v>76763.470462500118</v>
      </c>
      <c r="AI186" s="495">
        <v>37913.910462499945</v>
      </c>
      <c r="AJ186" s="495">
        <v>0</v>
      </c>
      <c r="AK186" s="495">
        <v>0</v>
      </c>
      <c r="AL186" s="495">
        <v>0</v>
      </c>
      <c r="AO186" s="495">
        <v>-376077.06057706376</v>
      </c>
      <c r="AP186" s="495">
        <v>-279861.24642706354</v>
      </c>
      <c r="AQ186" s="495">
        <v>-226367.73890206328</v>
      </c>
      <c r="AR186" s="495">
        <v>0</v>
      </c>
      <c r="AS186" s="495">
        <v>0</v>
      </c>
    </row>
    <row r="187" spans="1:45">
      <c r="A187" s="390">
        <v>91812</v>
      </c>
      <c r="B187" s="500">
        <v>91812</v>
      </c>
      <c r="C187" s="501" t="s">
        <v>900</v>
      </c>
      <c r="D187" s="378">
        <v>6.1559180915120014E-5</v>
      </c>
      <c r="F187" s="495">
        <v>50051.356739513867</v>
      </c>
      <c r="G187" s="495">
        <v>92226.370639513872</v>
      </c>
      <c r="H187" s="495">
        <v>12604.324624513873</v>
      </c>
      <c r="I187" s="495">
        <v>-6378.4265000000005</v>
      </c>
      <c r="J187" s="495">
        <v>0</v>
      </c>
      <c r="M187" s="495">
        <v>28289.672550000003</v>
      </c>
      <c r="N187" s="495">
        <v>28778.564200000001</v>
      </c>
      <c r="O187" s="495">
        <v>15155.641150000001</v>
      </c>
      <c r="P187" s="495">
        <v>0</v>
      </c>
      <c r="Q187" s="495">
        <v>0</v>
      </c>
      <c r="T187" s="495">
        <v>11643.0442</v>
      </c>
      <c r="U187" s="495">
        <v>52910.657350000001</v>
      </c>
      <c r="V187" s="495">
        <v>-1764.7616</v>
      </c>
      <c r="W187" s="495">
        <v>-6378.4265000000005</v>
      </c>
      <c r="X187" s="495">
        <v>0</v>
      </c>
      <c r="AA187" s="495">
        <v>0</v>
      </c>
      <c r="AB187" s="495">
        <v>0</v>
      </c>
      <c r="AC187" s="495">
        <v>0</v>
      </c>
      <c r="AD187" s="495">
        <v>0</v>
      </c>
      <c r="AE187" s="495">
        <v>0</v>
      </c>
      <c r="AH187" s="495">
        <v>13576.277764999992</v>
      </c>
      <c r="AI187" s="495">
        <v>11323.704014999992</v>
      </c>
      <c r="AJ187" s="495">
        <v>0</v>
      </c>
      <c r="AK187" s="495">
        <v>0</v>
      </c>
      <c r="AL187" s="495">
        <v>0</v>
      </c>
      <c r="AO187" s="495">
        <v>-3457.6377754861319</v>
      </c>
      <c r="AP187" s="495">
        <v>-786.55492548612938</v>
      </c>
      <c r="AQ187" s="495">
        <v>-786.55492548612938</v>
      </c>
      <c r="AR187" s="495">
        <v>0</v>
      </c>
      <c r="AS187" s="495">
        <v>0</v>
      </c>
    </row>
    <row r="188" spans="1:45">
      <c r="A188" s="390">
        <v>91813</v>
      </c>
      <c r="B188" s="393">
        <v>91813</v>
      </c>
      <c r="C188" s="499" t="s">
        <v>901</v>
      </c>
      <c r="D188" s="378">
        <v>4.0456062643784908E-5</v>
      </c>
      <c r="F188" s="495">
        <v>12851.586840641117</v>
      </c>
      <c r="G188" s="495">
        <v>41875.912290641121</v>
      </c>
      <c r="H188" s="495">
        <v>12166.257718141114</v>
      </c>
      <c r="I188" s="495">
        <v>-4191.8334999999997</v>
      </c>
      <c r="J188" s="495">
        <v>0</v>
      </c>
      <c r="M188" s="495">
        <v>18591.669450000001</v>
      </c>
      <c r="N188" s="495">
        <v>18912.963800000001</v>
      </c>
      <c r="O188" s="495">
        <v>9960.1248500000002</v>
      </c>
      <c r="P188" s="495">
        <v>0</v>
      </c>
      <c r="Q188" s="495">
        <v>0</v>
      </c>
      <c r="T188" s="495">
        <v>7651.6837999999998</v>
      </c>
      <c r="U188" s="495">
        <v>34772.316650000001</v>
      </c>
      <c r="V188" s="495">
        <v>-1159.7824000000001</v>
      </c>
      <c r="W188" s="495">
        <v>-4191.8334999999997</v>
      </c>
      <c r="X188" s="495">
        <v>0</v>
      </c>
      <c r="AA188" s="495">
        <v>0</v>
      </c>
      <c r="AB188" s="495">
        <v>0</v>
      </c>
      <c r="AC188" s="495">
        <v>0</v>
      </c>
      <c r="AD188" s="495">
        <v>0</v>
      </c>
      <c r="AE188" s="495">
        <v>0</v>
      </c>
      <c r="AH188" s="495">
        <v>9477.8061856411132</v>
      </c>
      <c r="AI188" s="495">
        <v>8786.9424356411128</v>
      </c>
      <c r="AJ188" s="495">
        <v>3365.9152681411142</v>
      </c>
      <c r="AK188" s="495">
        <v>0</v>
      </c>
      <c r="AL188" s="495">
        <v>0</v>
      </c>
      <c r="AO188" s="495">
        <v>-22869.572594999998</v>
      </c>
      <c r="AP188" s="495">
        <v>-20596.310594999999</v>
      </c>
      <c r="AQ188" s="495">
        <v>0</v>
      </c>
      <c r="AR188" s="495">
        <v>0</v>
      </c>
      <c r="AS188" s="495">
        <v>0</v>
      </c>
    </row>
    <row r="189" spans="1:45">
      <c r="A189" s="390">
        <v>91818</v>
      </c>
      <c r="B189" s="393">
        <v>91818</v>
      </c>
      <c r="C189" s="499" t="s">
        <v>902</v>
      </c>
      <c r="D189" s="378">
        <v>4.6137830037590934E-4</v>
      </c>
      <c r="F189" s="495">
        <v>324545.39625032514</v>
      </c>
      <c r="G189" s="495">
        <v>633416.18198532506</v>
      </c>
      <c r="H189" s="495">
        <v>130865.52938282507</v>
      </c>
      <c r="I189" s="495">
        <v>-47805.5553</v>
      </c>
      <c r="J189" s="495">
        <v>0</v>
      </c>
      <c r="M189" s="495">
        <v>212027.76350999999</v>
      </c>
      <c r="N189" s="495">
        <v>215691.94884</v>
      </c>
      <c r="O189" s="495">
        <v>113589.74523</v>
      </c>
      <c r="P189" s="495">
        <v>0</v>
      </c>
      <c r="Q189" s="495">
        <v>0</v>
      </c>
      <c r="T189" s="495">
        <v>87263.244839999999</v>
      </c>
      <c r="U189" s="495">
        <v>396559.14447</v>
      </c>
      <c r="V189" s="495">
        <v>-13226.680319999999</v>
      </c>
      <c r="W189" s="495">
        <v>-47805.5553</v>
      </c>
      <c r="X189" s="495">
        <v>0</v>
      </c>
      <c r="AA189" s="495">
        <v>0</v>
      </c>
      <c r="AB189" s="495">
        <v>0</v>
      </c>
      <c r="AC189" s="495">
        <v>0</v>
      </c>
      <c r="AD189" s="495">
        <v>0</v>
      </c>
      <c r="AE189" s="495">
        <v>0</v>
      </c>
      <c r="AH189" s="495">
        <v>47183.356905325069</v>
      </c>
      <c r="AI189" s="495">
        <v>43094.057680325059</v>
      </c>
      <c r="AJ189" s="495">
        <v>30502.464472825071</v>
      </c>
      <c r="AK189" s="495">
        <v>0</v>
      </c>
      <c r="AL189" s="495">
        <v>0</v>
      </c>
      <c r="AO189" s="495">
        <v>-21928.969004999984</v>
      </c>
      <c r="AP189" s="495">
        <v>-21928.969004999984</v>
      </c>
      <c r="AQ189" s="495">
        <v>0</v>
      </c>
      <c r="AR189" s="495">
        <v>0</v>
      </c>
      <c r="AS189" s="495">
        <v>0</v>
      </c>
    </row>
    <row r="190" spans="1:45">
      <c r="A190" s="390">
        <v>91819</v>
      </c>
      <c r="B190" s="393">
        <v>91819</v>
      </c>
      <c r="C190" s="499" t="s">
        <v>903</v>
      </c>
      <c r="D190" s="378">
        <v>2.5045705059966719E-4</v>
      </c>
      <c r="F190" s="495">
        <v>194291.86227032993</v>
      </c>
      <c r="G190" s="495">
        <v>372279.62646532996</v>
      </c>
      <c r="H190" s="495">
        <v>95884.561375329955</v>
      </c>
      <c r="I190" s="495">
        <v>-25951.024600000001</v>
      </c>
      <c r="J190" s="495">
        <v>0</v>
      </c>
      <c r="M190" s="495">
        <v>115098.29082000001</v>
      </c>
      <c r="N190" s="495">
        <v>117087.37688</v>
      </c>
      <c r="O190" s="495">
        <v>61661.667860000001</v>
      </c>
      <c r="P190" s="495">
        <v>0</v>
      </c>
      <c r="Q190" s="495">
        <v>0</v>
      </c>
      <c r="T190" s="495">
        <v>47370.448880000004</v>
      </c>
      <c r="U190" s="495">
        <v>215270.29754</v>
      </c>
      <c r="V190" s="495">
        <v>-7180.0422399999998</v>
      </c>
      <c r="W190" s="495">
        <v>-25951.024600000001</v>
      </c>
      <c r="X190" s="495">
        <v>0</v>
      </c>
      <c r="AA190" s="495">
        <v>0</v>
      </c>
      <c r="AB190" s="495">
        <v>0</v>
      </c>
      <c r="AC190" s="495">
        <v>0</v>
      </c>
      <c r="AD190" s="495">
        <v>0</v>
      </c>
      <c r="AE190" s="495">
        <v>0</v>
      </c>
      <c r="AH190" s="495">
        <v>63123.810550329959</v>
      </c>
      <c r="AI190" s="495">
        <v>56048.616175329953</v>
      </c>
      <c r="AJ190" s="495">
        <v>41402.935755329956</v>
      </c>
      <c r="AK190" s="495">
        <v>0</v>
      </c>
      <c r="AL190" s="495">
        <v>0</v>
      </c>
      <c r="AO190" s="495">
        <v>-31300.687980000024</v>
      </c>
      <c r="AP190" s="495">
        <v>-16126.664130000012</v>
      </c>
      <c r="AQ190" s="495">
        <v>0</v>
      </c>
      <c r="AR190" s="495">
        <v>0</v>
      </c>
      <c r="AS190" s="495">
        <v>0</v>
      </c>
    </row>
    <row r="191" spans="1:45">
      <c r="A191" s="390">
        <v>91821</v>
      </c>
      <c r="B191" s="393">
        <v>91821</v>
      </c>
      <c r="C191" s="499" t="s">
        <v>904</v>
      </c>
      <c r="D191" s="378">
        <v>1.7328561232460003E-4</v>
      </c>
      <c r="F191" s="495">
        <v>130739.62863594518</v>
      </c>
      <c r="G191" s="495">
        <v>242641.76964594523</v>
      </c>
      <c r="H191" s="495">
        <v>45867.772290945191</v>
      </c>
      <c r="I191" s="495">
        <v>-17954.933799999999</v>
      </c>
      <c r="J191" s="495">
        <v>0</v>
      </c>
      <c r="M191" s="495">
        <v>79633.934460000004</v>
      </c>
      <c r="N191" s="495">
        <v>81010.138640000005</v>
      </c>
      <c r="O191" s="495">
        <v>42662.329579999998</v>
      </c>
      <c r="P191" s="495">
        <v>0</v>
      </c>
      <c r="Q191" s="495">
        <v>0</v>
      </c>
      <c r="T191" s="495">
        <v>32774.554640000002</v>
      </c>
      <c r="U191" s="495">
        <v>148940.70662000001</v>
      </c>
      <c r="V191" s="495">
        <v>-4967.71072</v>
      </c>
      <c r="W191" s="495">
        <v>-17954.933799999999</v>
      </c>
      <c r="X191" s="495">
        <v>0</v>
      </c>
      <c r="AA191" s="495">
        <v>0</v>
      </c>
      <c r="AB191" s="495">
        <v>0</v>
      </c>
      <c r="AC191" s="495">
        <v>0</v>
      </c>
      <c r="AD191" s="495">
        <v>0</v>
      </c>
      <c r="AE191" s="495">
        <v>0</v>
      </c>
      <c r="AH191" s="495">
        <v>18331.139535945178</v>
      </c>
      <c r="AI191" s="495">
        <v>12690.924385945182</v>
      </c>
      <c r="AJ191" s="495">
        <v>8173.1534309451945</v>
      </c>
      <c r="AK191" s="495">
        <v>0</v>
      </c>
      <c r="AL191" s="495">
        <v>0</v>
      </c>
      <c r="AO191" s="495">
        <v>0</v>
      </c>
      <c r="AP191" s="495">
        <v>0</v>
      </c>
      <c r="AQ191" s="495">
        <v>0</v>
      </c>
      <c r="AR191" s="495">
        <v>0</v>
      </c>
      <c r="AS191" s="495">
        <v>0</v>
      </c>
    </row>
    <row r="192" spans="1:45">
      <c r="A192" s="390">
        <v>91831</v>
      </c>
      <c r="B192" s="393">
        <v>91831</v>
      </c>
      <c r="C192" s="499" t="s">
        <v>905</v>
      </c>
      <c r="D192" s="378">
        <v>4.9718365085708882E-4</v>
      </c>
      <c r="F192" s="495">
        <v>370782.03046387457</v>
      </c>
      <c r="G192" s="495">
        <v>694020.03539887466</v>
      </c>
      <c r="H192" s="495">
        <v>127469.51094387461</v>
      </c>
      <c r="I192" s="495">
        <v>-51515.509300000005</v>
      </c>
      <c r="J192" s="495">
        <v>0</v>
      </c>
      <c r="M192" s="495">
        <v>228482.19531000001</v>
      </c>
      <c r="N192" s="495">
        <v>232430.74004000003</v>
      </c>
      <c r="O192" s="495">
        <v>122404.88663000001</v>
      </c>
      <c r="P192" s="495">
        <v>0</v>
      </c>
      <c r="Q192" s="495">
        <v>0</v>
      </c>
      <c r="T192" s="495">
        <v>94035.316040000005</v>
      </c>
      <c r="U192" s="495">
        <v>427334.14907000004</v>
      </c>
      <c r="V192" s="495">
        <v>-14253.137920000001</v>
      </c>
      <c r="W192" s="495">
        <v>-51515.509300000005</v>
      </c>
      <c r="X192" s="495">
        <v>0</v>
      </c>
      <c r="AA192" s="495">
        <v>0</v>
      </c>
      <c r="AB192" s="495">
        <v>0</v>
      </c>
      <c r="AC192" s="495">
        <v>0</v>
      </c>
      <c r="AD192" s="495">
        <v>0</v>
      </c>
      <c r="AE192" s="495">
        <v>0</v>
      </c>
      <c r="AH192" s="495">
        <v>60354.718223874581</v>
      </c>
      <c r="AI192" s="495">
        <v>40520.507273874602</v>
      </c>
      <c r="AJ192" s="495">
        <v>19317.7622338746</v>
      </c>
      <c r="AK192" s="495">
        <v>0</v>
      </c>
      <c r="AL192" s="495">
        <v>0</v>
      </c>
      <c r="AO192" s="495">
        <v>-12090.199110000016</v>
      </c>
      <c r="AP192" s="495">
        <v>-6265.3609850000212</v>
      </c>
      <c r="AQ192" s="495">
        <v>0</v>
      </c>
      <c r="AR192" s="495">
        <v>0</v>
      </c>
      <c r="AS192" s="495">
        <v>0</v>
      </c>
    </row>
    <row r="193" spans="1:45">
      <c r="A193" s="390">
        <v>91841</v>
      </c>
      <c r="B193" s="393">
        <v>91841</v>
      </c>
      <c r="C193" s="499" t="s">
        <v>906</v>
      </c>
      <c r="D193" s="378">
        <v>3.0396501617880293E-4</v>
      </c>
      <c r="F193" s="495">
        <v>195885.96141966371</v>
      </c>
      <c r="G193" s="495">
        <v>407279.55346466374</v>
      </c>
      <c r="H193" s="495">
        <v>61298.257964663739</v>
      </c>
      <c r="I193" s="495">
        <v>-31495.229599999999</v>
      </c>
      <c r="J193" s="495">
        <v>0</v>
      </c>
      <c r="M193" s="495">
        <v>139688.01431999999</v>
      </c>
      <c r="N193" s="495">
        <v>142102.05088</v>
      </c>
      <c r="O193" s="495">
        <v>74835.133360000007</v>
      </c>
      <c r="P193" s="495">
        <v>0</v>
      </c>
      <c r="Q193" s="495">
        <v>0</v>
      </c>
      <c r="T193" s="495">
        <v>57490.722880000001</v>
      </c>
      <c r="U193" s="495">
        <v>261260.87703999999</v>
      </c>
      <c r="V193" s="495">
        <v>-8713.99424</v>
      </c>
      <c r="W193" s="495">
        <v>-31495.229599999999</v>
      </c>
      <c r="X193" s="495">
        <v>0</v>
      </c>
      <c r="AA193" s="495">
        <v>0</v>
      </c>
      <c r="AB193" s="495">
        <v>0</v>
      </c>
      <c r="AC193" s="495">
        <v>0</v>
      </c>
      <c r="AD193" s="495">
        <v>0</v>
      </c>
      <c r="AE193" s="495">
        <v>0</v>
      </c>
      <c r="AH193" s="495">
        <v>14749.084650000015</v>
      </c>
      <c r="AI193" s="495">
        <v>14749.084650000015</v>
      </c>
      <c r="AJ193" s="495">
        <v>0</v>
      </c>
      <c r="AK193" s="495">
        <v>0</v>
      </c>
      <c r="AL193" s="495">
        <v>0</v>
      </c>
      <c r="AO193" s="495">
        <v>-16041.860430336257</v>
      </c>
      <c r="AP193" s="495">
        <v>-10832.459105336258</v>
      </c>
      <c r="AQ193" s="495">
        <v>-4822.8811553362666</v>
      </c>
      <c r="AR193" s="495">
        <v>0</v>
      </c>
      <c r="AS193" s="495">
        <v>0</v>
      </c>
    </row>
    <row r="194" spans="1:45">
      <c r="A194" s="390">
        <v>91851</v>
      </c>
      <c r="B194" s="393">
        <v>91851</v>
      </c>
      <c r="C194" s="499" t="s">
        <v>907</v>
      </c>
      <c r="D194" s="378">
        <v>6.9657306905239046E-4</v>
      </c>
      <c r="F194" s="495">
        <v>503701.75665470498</v>
      </c>
      <c r="G194" s="495">
        <v>989298.17074970505</v>
      </c>
      <c r="H194" s="495">
        <v>169811.343137205</v>
      </c>
      <c r="I194" s="495">
        <v>-72175.186100000006</v>
      </c>
      <c r="J194" s="495">
        <v>0</v>
      </c>
      <c r="M194" s="495">
        <v>320112.23787000001</v>
      </c>
      <c r="N194" s="495">
        <v>325644.29908000003</v>
      </c>
      <c r="O194" s="495">
        <v>171493.89751000001</v>
      </c>
      <c r="P194" s="495">
        <v>0</v>
      </c>
      <c r="Q194" s="495">
        <v>0</v>
      </c>
      <c r="T194" s="495">
        <v>131747.05108</v>
      </c>
      <c r="U194" s="495">
        <v>598711.38139</v>
      </c>
      <c r="V194" s="495">
        <v>-19969.187840000002</v>
      </c>
      <c r="W194" s="495">
        <v>-72175.186100000006</v>
      </c>
      <c r="X194" s="495">
        <v>0</v>
      </c>
      <c r="AA194" s="495">
        <v>0</v>
      </c>
      <c r="AB194" s="495">
        <v>0</v>
      </c>
      <c r="AC194" s="495">
        <v>0</v>
      </c>
      <c r="AD194" s="495">
        <v>0</v>
      </c>
      <c r="AE194" s="495">
        <v>0</v>
      </c>
      <c r="AH194" s="495">
        <v>78496.464654705007</v>
      </c>
      <c r="AI194" s="495">
        <v>64942.490279705016</v>
      </c>
      <c r="AJ194" s="495">
        <v>18286.633467204985</v>
      </c>
      <c r="AK194" s="495">
        <v>0</v>
      </c>
      <c r="AL194" s="495">
        <v>0</v>
      </c>
      <c r="AO194" s="495">
        <v>-26653.996950000001</v>
      </c>
      <c r="AP194" s="495">
        <v>0</v>
      </c>
      <c r="AQ194" s="495">
        <v>0</v>
      </c>
      <c r="AR194" s="495">
        <v>0</v>
      </c>
      <c r="AS194" s="495">
        <v>0</v>
      </c>
    </row>
    <row r="195" spans="1:45">
      <c r="A195" s="390">
        <v>91861</v>
      </c>
      <c r="B195" s="393">
        <v>91861</v>
      </c>
      <c r="C195" s="499" t="s">
        <v>908</v>
      </c>
      <c r="D195" s="378">
        <v>1.5752306877667538E-5</v>
      </c>
      <c r="F195" s="495">
        <v>20390.290638939368</v>
      </c>
      <c r="G195" s="495">
        <v>31107.554463939367</v>
      </c>
      <c r="H195" s="495">
        <v>12735.224331439369</v>
      </c>
      <c r="I195" s="495">
        <v>-1632.1724999999999</v>
      </c>
      <c r="J195" s="495">
        <v>0</v>
      </c>
      <c r="M195" s="495">
        <v>7239.0307499999999</v>
      </c>
      <c r="N195" s="495">
        <v>7364.1329999999998</v>
      </c>
      <c r="O195" s="495">
        <v>3878.16975</v>
      </c>
      <c r="P195" s="495">
        <v>0</v>
      </c>
      <c r="Q195" s="495">
        <v>0</v>
      </c>
      <c r="T195" s="495">
        <v>2979.3330000000001</v>
      </c>
      <c r="U195" s="495">
        <v>13539.28275</v>
      </c>
      <c r="V195" s="495">
        <v>-451.584</v>
      </c>
      <c r="W195" s="495">
        <v>-1632.1724999999999</v>
      </c>
      <c r="X195" s="495">
        <v>0</v>
      </c>
      <c r="AA195" s="495">
        <v>0</v>
      </c>
      <c r="AB195" s="495">
        <v>0</v>
      </c>
      <c r="AC195" s="495">
        <v>0</v>
      </c>
      <c r="AD195" s="495">
        <v>0</v>
      </c>
      <c r="AE195" s="495">
        <v>0</v>
      </c>
      <c r="AH195" s="495">
        <v>10826.003253939369</v>
      </c>
      <c r="AI195" s="495">
        <v>10630.888878939368</v>
      </c>
      <c r="AJ195" s="495">
        <v>9308.6385814393689</v>
      </c>
      <c r="AK195" s="495">
        <v>0</v>
      </c>
      <c r="AL195" s="495">
        <v>0</v>
      </c>
      <c r="AO195" s="495">
        <v>-654.07636499999978</v>
      </c>
      <c r="AP195" s="495">
        <v>-426.75016499999981</v>
      </c>
      <c r="AQ195" s="495">
        <v>0</v>
      </c>
      <c r="AR195" s="495">
        <v>0</v>
      </c>
      <c r="AS195" s="495">
        <v>0</v>
      </c>
    </row>
    <row r="196" spans="1:45">
      <c r="A196" s="390">
        <v>91871</v>
      </c>
      <c r="B196" s="393">
        <v>91871</v>
      </c>
      <c r="C196" s="499" t="s">
        <v>909</v>
      </c>
      <c r="D196" s="378">
        <v>1.2131995689511437E-3</v>
      </c>
      <c r="F196" s="495">
        <v>730220.81532885658</v>
      </c>
      <c r="G196" s="495">
        <v>1560229.2770488563</v>
      </c>
      <c r="H196" s="495">
        <v>221952.16013885621</v>
      </c>
      <c r="I196" s="495">
        <v>-125705.2626</v>
      </c>
      <c r="J196" s="495">
        <v>0</v>
      </c>
      <c r="M196" s="495">
        <v>557529.46542000002</v>
      </c>
      <c r="N196" s="495">
        <v>567164.48328000004</v>
      </c>
      <c r="O196" s="495">
        <v>298685.55365999998</v>
      </c>
      <c r="P196" s="495">
        <v>0</v>
      </c>
      <c r="Q196" s="495">
        <v>0</v>
      </c>
      <c r="T196" s="495">
        <v>229459.71528</v>
      </c>
      <c r="U196" s="495">
        <v>1042756.87374</v>
      </c>
      <c r="V196" s="495">
        <v>-34779.709439999999</v>
      </c>
      <c r="W196" s="495">
        <v>-125705.2626</v>
      </c>
      <c r="X196" s="495">
        <v>0</v>
      </c>
      <c r="AA196" s="495">
        <v>0</v>
      </c>
      <c r="AB196" s="495">
        <v>0</v>
      </c>
      <c r="AC196" s="495">
        <v>0</v>
      </c>
      <c r="AD196" s="495">
        <v>0</v>
      </c>
      <c r="AE196" s="495">
        <v>0</v>
      </c>
      <c r="AH196" s="495">
        <v>12902.941530000262</v>
      </c>
      <c r="AI196" s="495">
        <v>6169.1602800002038</v>
      </c>
      <c r="AJ196" s="495">
        <v>0</v>
      </c>
      <c r="AK196" s="495">
        <v>0</v>
      </c>
      <c r="AL196" s="495">
        <v>0</v>
      </c>
      <c r="AO196" s="495">
        <v>-69671.306901143762</v>
      </c>
      <c r="AP196" s="495">
        <v>-55861.240251143827</v>
      </c>
      <c r="AQ196" s="495">
        <v>-41953.684081143772</v>
      </c>
      <c r="AR196" s="495">
        <v>0</v>
      </c>
      <c r="AS196" s="495">
        <v>0</v>
      </c>
    </row>
    <row r="197" spans="1:45">
      <c r="A197" s="390">
        <v>91881</v>
      </c>
      <c r="B197" s="393">
        <v>91881</v>
      </c>
      <c r="C197" s="499" t="s">
        <v>910</v>
      </c>
      <c r="D197" s="378">
        <v>2.3023458268552313E-5</v>
      </c>
      <c r="F197" s="495">
        <v>16073.549860381534</v>
      </c>
      <c r="G197" s="495">
        <v>28247.196780381542</v>
      </c>
      <c r="H197" s="495">
        <v>266.65662788153804</v>
      </c>
      <c r="I197" s="495">
        <v>-2385.5626000000002</v>
      </c>
      <c r="J197" s="495">
        <v>0</v>
      </c>
      <c r="M197" s="495">
        <v>10580.475420000001</v>
      </c>
      <c r="N197" s="495">
        <v>10763.323280000001</v>
      </c>
      <c r="O197" s="495">
        <v>5668.2836600000001</v>
      </c>
      <c r="P197" s="495">
        <v>0</v>
      </c>
      <c r="Q197" s="495">
        <v>0</v>
      </c>
      <c r="T197" s="495">
        <v>4354.5552799999996</v>
      </c>
      <c r="U197" s="495">
        <v>19788.84374</v>
      </c>
      <c r="V197" s="495">
        <v>-660.02944000000002</v>
      </c>
      <c r="W197" s="495">
        <v>-2385.5626000000002</v>
      </c>
      <c r="X197" s="495">
        <v>0</v>
      </c>
      <c r="AA197" s="495">
        <v>0</v>
      </c>
      <c r="AB197" s="495">
        <v>0</v>
      </c>
      <c r="AC197" s="495">
        <v>0</v>
      </c>
      <c r="AD197" s="495">
        <v>0</v>
      </c>
      <c r="AE197" s="495">
        <v>0</v>
      </c>
      <c r="AH197" s="495">
        <v>8049.3493949999975</v>
      </c>
      <c r="AI197" s="495">
        <v>3900.6462450000008</v>
      </c>
      <c r="AJ197" s="495">
        <v>0</v>
      </c>
      <c r="AK197" s="495">
        <v>0</v>
      </c>
      <c r="AL197" s="495">
        <v>0</v>
      </c>
      <c r="AO197" s="495">
        <v>-6910.8302346184628</v>
      </c>
      <c r="AP197" s="495">
        <v>-6205.6164846184629</v>
      </c>
      <c r="AQ197" s="495">
        <v>-4741.5975921184618</v>
      </c>
      <c r="AR197" s="495">
        <v>0</v>
      </c>
      <c r="AS197" s="495">
        <v>0</v>
      </c>
    </row>
    <row r="198" spans="1:45">
      <c r="A198" s="390">
        <v>91901</v>
      </c>
      <c r="B198" s="393">
        <v>91901</v>
      </c>
      <c r="C198" s="499" t="s">
        <v>911</v>
      </c>
      <c r="D198" s="378">
        <v>4.1566552952605222E-3</v>
      </c>
      <c r="F198" s="495">
        <v>3071835.89592554</v>
      </c>
      <c r="G198" s="495">
        <v>5939755.1985905394</v>
      </c>
      <c r="H198" s="495">
        <v>1254002.7967780386</v>
      </c>
      <c r="I198" s="495">
        <v>-430690.4252</v>
      </c>
      <c r="J198" s="495">
        <v>0</v>
      </c>
      <c r="M198" s="495">
        <v>1910203.2608399999</v>
      </c>
      <c r="N198" s="495">
        <v>1943214.6865599998</v>
      </c>
      <c r="O198" s="495">
        <v>1023354.1973199999</v>
      </c>
      <c r="P198" s="495">
        <v>0</v>
      </c>
      <c r="Q198" s="495">
        <v>0</v>
      </c>
      <c r="T198" s="495">
        <v>786173.15055999998</v>
      </c>
      <c r="U198" s="495">
        <v>3572685.7574799997</v>
      </c>
      <c r="V198" s="495">
        <v>-119161.97888</v>
      </c>
      <c r="W198" s="495">
        <v>-430690.4252</v>
      </c>
      <c r="X198" s="495">
        <v>0</v>
      </c>
      <c r="AA198" s="495">
        <v>0</v>
      </c>
      <c r="AB198" s="495">
        <v>0</v>
      </c>
      <c r="AC198" s="495">
        <v>0</v>
      </c>
      <c r="AD198" s="495">
        <v>0</v>
      </c>
      <c r="AE198" s="495">
        <v>0</v>
      </c>
      <c r="AH198" s="495">
        <v>456984.76451303979</v>
      </c>
      <c r="AI198" s="495">
        <v>456984.76451303979</v>
      </c>
      <c r="AJ198" s="495">
        <v>349810.57833803876</v>
      </c>
      <c r="AK198" s="495">
        <v>0</v>
      </c>
      <c r="AL198" s="495">
        <v>0</v>
      </c>
      <c r="AO198" s="495">
        <v>-81525.2799874997</v>
      </c>
      <c r="AP198" s="495">
        <v>-33130.009962499957</v>
      </c>
      <c r="AQ198" s="495">
        <v>0</v>
      </c>
      <c r="AR198" s="495">
        <v>0</v>
      </c>
      <c r="AS198" s="495">
        <v>0</v>
      </c>
    </row>
    <row r="199" spans="1:45">
      <c r="A199" s="390">
        <v>91903</v>
      </c>
      <c r="B199" s="393">
        <v>91903</v>
      </c>
      <c r="C199" s="499" t="s">
        <v>912</v>
      </c>
      <c r="D199" s="378">
        <v>7.2410348102732889E-6</v>
      </c>
      <c r="F199" s="495">
        <v>7261.9535611061028</v>
      </c>
      <c r="G199" s="495">
        <v>11332.3840761061</v>
      </c>
      <c r="H199" s="495">
        <v>3756.0580811061</v>
      </c>
      <c r="I199" s="495">
        <v>-750.28120000000001</v>
      </c>
      <c r="J199" s="495">
        <v>0</v>
      </c>
      <c r="M199" s="495">
        <v>3327.6560399999998</v>
      </c>
      <c r="N199" s="495">
        <v>3385.16336</v>
      </c>
      <c r="O199" s="495">
        <v>1782.7269200000001</v>
      </c>
      <c r="P199" s="495">
        <v>0</v>
      </c>
      <c r="Q199" s="495">
        <v>0</v>
      </c>
      <c r="T199" s="495">
        <v>1369.54736</v>
      </c>
      <c r="U199" s="495">
        <v>6223.7718800000002</v>
      </c>
      <c r="V199" s="495">
        <v>-207.58528000000001</v>
      </c>
      <c r="W199" s="495">
        <v>-750.28120000000001</v>
      </c>
      <c r="X199" s="495">
        <v>0</v>
      </c>
      <c r="AA199" s="495">
        <v>0</v>
      </c>
      <c r="AB199" s="495">
        <v>0</v>
      </c>
      <c r="AC199" s="495">
        <v>0</v>
      </c>
      <c r="AD199" s="495">
        <v>0</v>
      </c>
      <c r="AE199" s="495">
        <v>0</v>
      </c>
      <c r="AH199" s="495">
        <v>3594.5292011061001</v>
      </c>
      <c r="AI199" s="495">
        <v>2412.2385761060996</v>
      </c>
      <c r="AJ199" s="495">
        <v>2180.9164411060997</v>
      </c>
      <c r="AK199" s="495">
        <v>0</v>
      </c>
      <c r="AL199" s="495">
        <v>0</v>
      </c>
      <c r="AO199" s="495">
        <v>-1029.7790399999988</v>
      </c>
      <c r="AP199" s="495">
        <v>-688.78973999999948</v>
      </c>
      <c r="AQ199" s="495">
        <v>0</v>
      </c>
      <c r="AR199" s="495">
        <v>0</v>
      </c>
      <c r="AS199" s="495">
        <v>0</v>
      </c>
    </row>
    <row r="200" spans="1:45">
      <c r="A200" s="390">
        <v>91904</v>
      </c>
      <c r="B200" s="393">
        <v>91904</v>
      </c>
      <c r="C200" s="499" t="s">
        <v>913</v>
      </c>
      <c r="D200" s="378">
        <v>5.0347504905409052E-5</v>
      </c>
      <c r="F200" s="495">
        <v>23331.046856433852</v>
      </c>
      <c r="G200" s="495">
        <v>40893.613121433853</v>
      </c>
      <c r="H200" s="495">
        <v>-8254.9854060661601</v>
      </c>
      <c r="I200" s="495">
        <v>-5216.7341999999999</v>
      </c>
      <c r="J200" s="495">
        <v>0</v>
      </c>
      <c r="M200" s="495">
        <v>23137.32114</v>
      </c>
      <c r="N200" s="495">
        <v>23537.171760000001</v>
      </c>
      <c r="O200" s="495">
        <v>12395.36922</v>
      </c>
      <c r="P200" s="495">
        <v>0</v>
      </c>
      <c r="Q200" s="495">
        <v>0</v>
      </c>
      <c r="T200" s="495">
        <v>9522.5157600000002</v>
      </c>
      <c r="U200" s="495">
        <v>43274.126580000004</v>
      </c>
      <c r="V200" s="495">
        <v>-1443.3484800000001</v>
      </c>
      <c r="W200" s="495">
        <v>-5216.7341999999999</v>
      </c>
      <c r="X200" s="495">
        <v>0</v>
      </c>
      <c r="AA200" s="495">
        <v>0</v>
      </c>
      <c r="AB200" s="495">
        <v>0</v>
      </c>
      <c r="AC200" s="495">
        <v>0</v>
      </c>
      <c r="AD200" s="495">
        <v>0</v>
      </c>
      <c r="AE200" s="495">
        <v>0</v>
      </c>
      <c r="AH200" s="495">
        <v>17674.61205</v>
      </c>
      <c r="AI200" s="495">
        <v>0</v>
      </c>
      <c r="AJ200" s="495">
        <v>0</v>
      </c>
      <c r="AK200" s="495">
        <v>0</v>
      </c>
      <c r="AL200" s="495">
        <v>0</v>
      </c>
      <c r="AO200" s="495">
        <v>-27003.402093566154</v>
      </c>
      <c r="AP200" s="495">
        <v>-25917.685218566156</v>
      </c>
      <c r="AQ200" s="495">
        <v>-19207.00614606616</v>
      </c>
      <c r="AR200" s="495">
        <v>0</v>
      </c>
      <c r="AS200" s="495">
        <v>0</v>
      </c>
    </row>
    <row r="201" spans="1:45">
      <c r="A201" s="390">
        <v>91908</v>
      </c>
      <c r="B201" s="393">
        <v>91908</v>
      </c>
      <c r="C201" s="499" t="s">
        <v>914</v>
      </c>
      <c r="D201" s="378">
        <v>1.546226788704952E-5</v>
      </c>
      <c r="F201" s="495">
        <v>8108.8350556906462</v>
      </c>
      <c r="G201" s="495">
        <v>20263.168640690645</v>
      </c>
      <c r="H201" s="495">
        <v>4417.8535431906466</v>
      </c>
      <c r="I201" s="495">
        <v>-1602.1198000000002</v>
      </c>
      <c r="J201" s="495">
        <v>0</v>
      </c>
      <c r="M201" s="495">
        <v>7105.7406600000004</v>
      </c>
      <c r="N201" s="495">
        <v>7228.5394400000005</v>
      </c>
      <c r="O201" s="495">
        <v>3806.7621800000002</v>
      </c>
      <c r="P201" s="495">
        <v>0</v>
      </c>
      <c r="Q201" s="495">
        <v>0</v>
      </c>
      <c r="T201" s="495">
        <v>2924.4754400000002</v>
      </c>
      <c r="U201" s="495">
        <v>13289.988020000001</v>
      </c>
      <c r="V201" s="495">
        <v>-443.26912000000004</v>
      </c>
      <c r="W201" s="495">
        <v>-1602.1198000000002</v>
      </c>
      <c r="X201" s="495">
        <v>0</v>
      </c>
      <c r="AA201" s="495">
        <v>0</v>
      </c>
      <c r="AB201" s="495">
        <v>0</v>
      </c>
      <c r="AC201" s="495">
        <v>0</v>
      </c>
      <c r="AD201" s="495">
        <v>0</v>
      </c>
      <c r="AE201" s="495">
        <v>0</v>
      </c>
      <c r="AH201" s="495">
        <v>1224.855133190646</v>
      </c>
      <c r="AI201" s="495">
        <v>1054.3604831906464</v>
      </c>
      <c r="AJ201" s="495">
        <v>1054.3604831906464</v>
      </c>
      <c r="AK201" s="495">
        <v>0</v>
      </c>
      <c r="AL201" s="495">
        <v>0</v>
      </c>
      <c r="AO201" s="495">
        <v>-3146.2361775000013</v>
      </c>
      <c r="AP201" s="495">
        <v>-1309.719302500001</v>
      </c>
      <c r="AQ201" s="495">
        <v>0</v>
      </c>
      <c r="AR201" s="495">
        <v>0</v>
      </c>
      <c r="AS201" s="495">
        <v>0</v>
      </c>
    </row>
    <row r="202" spans="1:45">
      <c r="A202" s="390">
        <v>91911</v>
      </c>
      <c r="B202" s="393">
        <v>91911</v>
      </c>
      <c r="C202" s="499" t="s">
        <v>915</v>
      </c>
      <c r="D202" s="378">
        <v>5.6687386346469055E-4</v>
      </c>
      <c r="F202" s="495">
        <v>316390.73434196494</v>
      </c>
      <c r="G202" s="495">
        <v>675180.697106965</v>
      </c>
      <c r="H202" s="495">
        <v>107640.66816446497</v>
      </c>
      <c r="I202" s="495">
        <v>-58736.447699999997</v>
      </c>
      <c r="J202" s="495">
        <v>0</v>
      </c>
      <c r="M202" s="495">
        <v>260508.58658999999</v>
      </c>
      <c r="N202" s="495">
        <v>265010.59956</v>
      </c>
      <c r="O202" s="495">
        <v>139562.40206999998</v>
      </c>
      <c r="P202" s="495">
        <v>0</v>
      </c>
      <c r="Q202" s="495">
        <v>0</v>
      </c>
      <c r="T202" s="495">
        <v>107216.26355999999</v>
      </c>
      <c r="U202" s="495">
        <v>487233.65522999997</v>
      </c>
      <c r="V202" s="495">
        <v>-16251.002879999998</v>
      </c>
      <c r="W202" s="495">
        <v>-58736.447699999997</v>
      </c>
      <c r="X202" s="495">
        <v>0</v>
      </c>
      <c r="AA202" s="495">
        <v>0</v>
      </c>
      <c r="AB202" s="495">
        <v>0</v>
      </c>
      <c r="AC202" s="495">
        <v>0</v>
      </c>
      <c r="AD202" s="495">
        <v>0</v>
      </c>
      <c r="AE202" s="495">
        <v>0</v>
      </c>
      <c r="AH202" s="495">
        <v>34098.929999999935</v>
      </c>
      <c r="AI202" s="495">
        <v>0</v>
      </c>
      <c r="AJ202" s="495">
        <v>0</v>
      </c>
      <c r="AK202" s="495">
        <v>0</v>
      </c>
      <c r="AL202" s="495">
        <v>0</v>
      </c>
      <c r="AO202" s="495">
        <v>-85433.045808034934</v>
      </c>
      <c r="AP202" s="495">
        <v>-77063.557683034946</v>
      </c>
      <c r="AQ202" s="495">
        <v>-15670.731025535015</v>
      </c>
      <c r="AR202" s="495">
        <v>0</v>
      </c>
      <c r="AS202" s="495">
        <v>0</v>
      </c>
    </row>
    <row r="203" spans="1:45">
      <c r="A203" s="390">
        <v>91917</v>
      </c>
      <c r="B203" s="393">
        <v>91917</v>
      </c>
      <c r="C203" s="499" t="s">
        <v>916</v>
      </c>
      <c r="D203" s="378">
        <v>1.5792363413456216E-5</v>
      </c>
      <c r="F203" s="495">
        <v>15742.160606887472</v>
      </c>
      <c r="G203" s="495">
        <v>25584.479846887472</v>
      </c>
      <c r="H203" s="495">
        <v>8201.1282918874695</v>
      </c>
      <c r="I203" s="495">
        <v>-1636.3177000000001</v>
      </c>
      <c r="J203" s="495">
        <v>0</v>
      </c>
      <c r="M203" s="495">
        <v>7257.4155899999996</v>
      </c>
      <c r="N203" s="495">
        <v>7382.8355599999995</v>
      </c>
      <c r="O203" s="495">
        <v>3888.0190699999998</v>
      </c>
      <c r="P203" s="495">
        <v>0</v>
      </c>
      <c r="Q203" s="495">
        <v>0</v>
      </c>
      <c r="T203" s="495">
        <v>2986.8995599999998</v>
      </c>
      <c r="U203" s="495">
        <v>13573.668229999999</v>
      </c>
      <c r="V203" s="495">
        <v>-452.73088000000001</v>
      </c>
      <c r="W203" s="495">
        <v>-1636.3177000000001</v>
      </c>
      <c r="X203" s="495">
        <v>0</v>
      </c>
      <c r="AA203" s="495">
        <v>0</v>
      </c>
      <c r="AB203" s="495">
        <v>0</v>
      </c>
      <c r="AC203" s="495">
        <v>0</v>
      </c>
      <c r="AD203" s="495">
        <v>0</v>
      </c>
      <c r="AE203" s="495">
        <v>0</v>
      </c>
      <c r="AH203" s="495">
        <v>7543.1145668874697</v>
      </c>
      <c r="AI203" s="495">
        <v>6559.5820668874694</v>
      </c>
      <c r="AJ203" s="495">
        <v>4765.8401018874692</v>
      </c>
      <c r="AK203" s="495">
        <v>0</v>
      </c>
      <c r="AL203" s="495">
        <v>0</v>
      </c>
      <c r="AO203" s="495">
        <v>-2045.269109999997</v>
      </c>
      <c r="AP203" s="495">
        <v>-1931.6060099999972</v>
      </c>
      <c r="AQ203" s="495">
        <v>0</v>
      </c>
      <c r="AR203" s="495">
        <v>0</v>
      </c>
      <c r="AS203" s="495">
        <v>0</v>
      </c>
    </row>
    <row r="204" spans="1:45">
      <c r="A204" s="390">
        <v>91921</v>
      </c>
      <c r="B204" s="393">
        <v>91921</v>
      </c>
      <c r="C204" s="499" t="s">
        <v>917</v>
      </c>
      <c r="D204" s="378">
        <v>4.5772781474770117E-4</v>
      </c>
      <c r="F204" s="495">
        <v>343323.84875943593</v>
      </c>
      <c r="G204" s="495">
        <v>642281.75451943604</v>
      </c>
      <c r="H204" s="495">
        <v>129994.37207693604</v>
      </c>
      <c r="I204" s="495">
        <v>-47427.305799999995</v>
      </c>
      <c r="J204" s="495">
        <v>0</v>
      </c>
      <c r="M204" s="495">
        <v>210350.14685999998</v>
      </c>
      <c r="N204" s="495">
        <v>213985.34023999999</v>
      </c>
      <c r="O204" s="495">
        <v>112690.99477999999</v>
      </c>
      <c r="P204" s="495">
        <v>0</v>
      </c>
      <c r="Q204" s="495">
        <v>0</v>
      </c>
      <c r="T204" s="495">
        <v>86572.796239999996</v>
      </c>
      <c r="U204" s="495">
        <v>393421.46941999998</v>
      </c>
      <c r="V204" s="495">
        <v>-13122.02752</v>
      </c>
      <c r="W204" s="495">
        <v>-47427.305799999995</v>
      </c>
      <c r="X204" s="495">
        <v>0</v>
      </c>
      <c r="AA204" s="495">
        <v>0</v>
      </c>
      <c r="AB204" s="495">
        <v>0</v>
      </c>
      <c r="AC204" s="495">
        <v>0</v>
      </c>
      <c r="AD204" s="495">
        <v>0</v>
      </c>
      <c r="AE204" s="495">
        <v>0</v>
      </c>
      <c r="AH204" s="495">
        <v>55637.557981935941</v>
      </c>
      <c r="AI204" s="495">
        <v>36542.157181935996</v>
      </c>
      <c r="AJ204" s="495">
        <v>30425.404816936054</v>
      </c>
      <c r="AK204" s="495">
        <v>0</v>
      </c>
      <c r="AL204" s="495">
        <v>0</v>
      </c>
      <c r="AO204" s="495">
        <v>-9236.6523224999983</v>
      </c>
      <c r="AP204" s="495">
        <v>-1667.2123224999959</v>
      </c>
      <c r="AQ204" s="495">
        <v>0</v>
      </c>
      <c r="AR204" s="495">
        <v>0</v>
      </c>
      <c r="AS204" s="495">
        <v>0</v>
      </c>
    </row>
    <row r="205" spans="1:45">
      <c r="A205" s="390">
        <v>92001</v>
      </c>
      <c r="B205" s="393">
        <v>92001</v>
      </c>
      <c r="C205" s="499" t="s">
        <v>918</v>
      </c>
      <c r="D205" s="378">
        <v>1.7034121957206828E-3</v>
      </c>
      <c r="F205" s="495">
        <v>995685.35497464996</v>
      </c>
      <c r="G205" s="495">
        <v>2038928.5968096498</v>
      </c>
      <c r="H205" s="495">
        <v>190147.84167964972</v>
      </c>
      <c r="I205" s="495">
        <v>-176498.47080000001</v>
      </c>
      <c r="J205" s="495">
        <v>0</v>
      </c>
      <c r="M205" s="495">
        <v>782808.10236000002</v>
      </c>
      <c r="N205" s="495">
        <v>796336.30223999999</v>
      </c>
      <c r="O205" s="495">
        <v>419374.19627999997</v>
      </c>
      <c r="P205" s="495">
        <v>0</v>
      </c>
      <c r="Q205" s="495">
        <v>0</v>
      </c>
      <c r="T205" s="495">
        <v>322176.55823999998</v>
      </c>
      <c r="U205" s="495">
        <v>1464099.35292</v>
      </c>
      <c r="V205" s="495">
        <v>-48833.003519999998</v>
      </c>
      <c r="W205" s="495">
        <v>-176498.47080000001</v>
      </c>
      <c r="X205" s="495">
        <v>0</v>
      </c>
      <c r="AA205" s="495">
        <v>0</v>
      </c>
      <c r="AB205" s="495">
        <v>0</v>
      </c>
      <c r="AC205" s="495">
        <v>0</v>
      </c>
      <c r="AD205" s="495">
        <v>0</v>
      </c>
      <c r="AE205" s="495">
        <v>0</v>
      </c>
      <c r="AH205" s="495">
        <v>112207.75272499991</v>
      </c>
      <c r="AI205" s="495">
        <v>0</v>
      </c>
      <c r="AJ205" s="495">
        <v>0</v>
      </c>
      <c r="AK205" s="495">
        <v>0</v>
      </c>
      <c r="AL205" s="495">
        <v>0</v>
      </c>
      <c r="AO205" s="495">
        <v>-221507.05835035013</v>
      </c>
      <c r="AP205" s="495">
        <v>-221507.05835035013</v>
      </c>
      <c r="AQ205" s="495">
        <v>-180393.35108035029</v>
      </c>
      <c r="AR205" s="495">
        <v>0</v>
      </c>
      <c r="AS205" s="495">
        <v>0</v>
      </c>
    </row>
    <row r="206" spans="1:45">
      <c r="A206" s="390">
        <v>92005</v>
      </c>
      <c r="B206" s="393">
        <v>92005</v>
      </c>
      <c r="C206" s="499" t="s">
        <v>919</v>
      </c>
      <c r="D206" s="378">
        <v>3.3685024520098774E-5</v>
      </c>
      <c r="F206" s="495">
        <v>26085.451787300201</v>
      </c>
      <c r="G206" s="495">
        <v>48753.590542300204</v>
      </c>
      <c r="H206" s="495">
        <v>11693.591397300203</v>
      </c>
      <c r="I206" s="495">
        <v>-3490.2584000000002</v>
      </c>
      <c r="J206" s="495">
        <v>0</v>
      </c>
      <c r="M206" s="495">
        <v>15480.035280000002</v>
      </c>
      <c r="N206" s="495">
        <v>15747.555520000002</v>
      </c>
      <c r="O206" s="495">
        <v>8293.1274400000002</v>
      </c>
      <c r="P206" s="495">
        <v>0</v>
      </c>
      <c r="Q206" s="495">
        <v>0</v>
      </c>
      <c r="T206" s="495">
        <v>6371.0435200000002</v>
      </c>
      <c r="U206" s="495">
        <v>28952.574160000004</v>
      </c>
      <c r="V206" s="495">
        <v>-965.6729600000001</v>
      </c>
      <c r="W206" s="495">
        <v>-3490.2584000000002</v>
      </c>
      <c r="X206" s="495">
        <v>0</v>
      </c>
      <c r="AA206" s="495">
        <v>0</v>
      </c>
      <c r="AB206" s="495">
        <v>0</v>
      </c>
      <c r="AC206" s="495">
        <v>0</v>
      </c>
      <c r="AD206" s="495">
        <v>0</v>
      </c>
      <c r="AE206" s="495">
        <v>0</v>
      </c>
      <c r="AH206" s="495">
        <v>6808.478227300202</v>
      </c>
      <c r="AI206" s="495">
        <v>5490.9351023002009</v>
      </c>
      <c r="AJ206" s="495">
        <v>4366.1369173002013</v>
      </c>
      <c r="AK206" s="495">
        <v>0</v>
      </c>
      <c r="AL206" s="495">
        <v>0</v>
      </c>
      <c r="AO206" s="495">
        <v>-2574.1052400000035</v>
      </c>
      <c r="AP206" s="495">
        <v>-1437.4742400000005</v>
      </c>
      <c r="AQ206" s="495">
        <v>0</v>
      </c>
      <c r="AR206" s="495">
        <v>0</v>
      </c>
      <c r="AS206" s="495">
        <v>0</v>
      </c>
    </row>
    <row r="207" spans="1:45">
      <c r="A207" s="390">
        <v>92011</v>
      </c>
      <c r="B207" s="393">
        <v>92011</v>
      </c>
      <c r="C207" s="499" t="s">
        <v>920</v>
      </c>
      <c r="D207" s="378">
        <v>2.0486039919633529E-4</v>
      </c>
      <c r="F207" s="495">
        <v>115016.67272960808</v>
      </c>
      <c r="G207" s="495">
        <v>253117.10123460807</v>
      </c>
      <c r="H207" s="495">
        <v>26196.057629608091</v>
      </c>
      <c r="I207" s="495">
        <v>-21226.532900000002</v>
      </c>
      <c r="J207" s="495">
        <v>0</v>
      </c>
      <c r="M207" s="495">
        <v>94144.169429999994</v>
      </c>
      <c r="N207" s="495">
        <v>95771.134120000002</v>
      </c>
      <c r="O207" s="495">
        <v>50435.90539</v>
      </c>
      <c r="P207" s="495">
        <v>0</v>
      </c>
      <c r="Q207" s="495">
        <v>0</v>
      </c>
      <c r="T207" s="495">
        <v>38746.462120000004</v>
      </c>
      <c r="U207" s="495">
        <v>176079.44670999999</v>
      </c>
      <c r="V207" s="495">
        <v>-5872.8857600000001</v>
      </c>
      <c r="W207" s="495">
        <v>-21226.532900000002</v>
      </c>
      <c r="X207" s="495">
        <v>0</v>
      </c>
      <c r="AA207" s="495">
        <v>0</v>
      </c>
      <c r="AB207" s="495">
        <v>0</v>
      </c>
      <c r="AC207" s="495">
        <v>0</v>
      </c>
      <c r="AD207" s="495">
        <v>0</v>
      </c>
      <c r="AE207" s="495">
        <v>0</v>
      </c>
      <c r="AH207" s="495">
        <v>11606.285490000017</v>
      </c>
      <c r="AI207" s="495">
        <v>8025.8978400000124</v>
      </c>
      <c r="AJ207" s="495">
        <v>0</v>
      </c>
      <c r="AK207" s="495">
        <v>0</v>
      </c>
      <c r="AL207" s="495">
        <v>0</v>
      </c>
      <c r="AO207" s="495">
        <v>-29480.244310391914</v>
      </c>
      <c r="AP207" s="495">
        <v>-26759.377435391914</v>
      </c>
      <c r="AQ207" s="495">
        <v>-18366.962000391912</v>
      </c>
      <c r="AR207" s="495">
        <v>0</v>
      </c>
      <c r="AS207" s="495">
        <v>0</v>
      </c>
    </row>
    <row r="208" spans="1:45">
      <c r="A208" s="390">
        <v>92017</v>
      </c>
      <c r="B208" s="393">
        <v>92017</v>
      </c>
      <c r="C208" s="499" t="s">
        <v>921</v>
      </c>
      <c r="D208" s="378">
        <v>1.7112597161543045E-5</v>
      </c>
      <c r="F208" s="495">
        <v>14626.649724174764</v>
      </c>
      <c r="G208" s="495">
        <v>22360.466034174766</v>
      </c>
      <c r="H208" s="495">
        <v>8386.8094266747721</v>
      </c>
      <c r="I208" s="495">
        <v>-1773.1093000000001</v>
      </c>
      <c r="J208" s="495">
        <v>0</v>
      </c>
      <c r="M208" s="495">
        <v>7864.1153100000001</v>
      </c>
      <c r="N208" s="495">
        <v>8000.0200400000003</v>
      </c>
      <c r="O208" s="495">
        <v>4213.0466299999998</v>
      </c>
      <c r="P208" s="495">
        <v>0</v>
      </c>
      <c r="Q208" s="495">
        <v>0</v>
      </c>
      <c r="T208" s="495">
        <v>3236.5960399999999</v>
      </c>
      <c r="U208" s="495">
        <v>14708.389070000001</v>
      </c>
      <c r="V208" s="495">
        <v>-490.57792000000001</v>
      </c>
      <c r="W208" s="495">
        <v>-1773.1093000000001</v>
      </c>
      <c r="X208" s="495">
        <v>0</v>
      </c>
      <c r="AA208" s="495">
        <v>0</v>
      </c>
      <c r="AB208" s="495">
        <v>0</v>
      </c>
      <c r="AC208" s="495">
        <v>0</v>
      </c>
      <c r="AD208" s="495">
        <v>0</v>
      </c>
      <c r="AE208" s="495">
        <v>0</v>
      </c>
      <c r="AH208" s="495">
        <v>13835.32393917477</v>
      </c>
      <c r="AI208" s="495">
        <v>9961.4424891747713</v>
      </c>
      <c r="AJ208" s="495">
        <v>4664.340716674772</v>
      </c>
      <c r="AK208" s="495">
        <v>0</v>
      </c>
      <c r="AL208" s="495">
        <v>0</v>
      </c>
      <c r="AO208" s="495">
        <v>-10309.385565000004</v>
      </c>
      <c r="AP208" s="495">
        <v>-10309.385565000004</v>
      </c>
      <c r="AQ208" s="495">
        <v>0</v>
      </c>
      <c r="AR208" s="495">
        <v>0</v>
      </c>
      <c r="AS208" s="495">
        <v>0</v>
      </c>
    </row>
    <row r="209" spans="1:45">
      <c r="A209" s="390">
        <v>92021</v>
      </c>
      <c r="B209" s="393">
        <v>92021</v>
      </c>
      <c r="C209" s="499" t="s">
        <v>922</v>
      </c>
      <c r="D209" s="378">
        <v>1.517325256345721E-4</v>
      </c>
      <c r="F209" s="495">
        <v>109709.8313820312</v>
      </c>
      <c r="G209" s="495">
        <v>223433.57051703124</v>
      </c>
      <c r="H209" s="495">
        <v>21025.399334531259</v>
      </c>
      <c r="I209" s="495">
        <v>-15721.7073</v>
      </c>
      <c r="J209" s="495">
        <v>0</v>
      </c>
      <c r="M209" s="495">
        <v>69729.101909999998</v>
      </c>
      <c r="N209" s="495">
        <v>70934.134439999994</v>
      </c>
      <c r="O209" s="495">
        <v>37356.008430000002</v>
      </c>
      <c r="P209" s="495">
        <v>0</v>
      </c>
      <c r="Q209" s="495">
        <v>0</v>
      </c>
      <c r="T209" s="495">
        <v>28698.07044</v>
      </c>
      <c r="U209" s="495">
        <v>130415.52927</v>
      </c>
      <c r="V209" s="495">
        <v>-4349.8291200000003</v>
      </c>
      <c r="W209" s="495">
        <v>-15721.7073</v>
      </c>
      <c r="X209" s="495">
        <v>0</v>
      </c>
      <c r="AA209" s="495">
        <v>0</v>
      </c>
      <c r="AB209" s="495">
        <v>0</v>
      </c>
      <c r="AC209" s="495">
        <v>0</v>
      </c>
      <c r="AD209" s="495">
        <v>0</v>
      </c>
      <c r="AE209" s="495">
        <v>0</v>
      </c>
      <c r="AH209" s="495">
        <v>39090.663809999969</v>
      </c>
      <c r="AI209" s="495">
        <v>38355.106934999974</v>
      </c>
      <c r="AJ209" s="495">
        <v>0</v>
      </c>
      <c r="AK209" s="495">
        <v>0</v>
      </c>
      <c r="AL209" s="495">
        <v>0</v>
      </c>
      <c r="AO209" s="495">
        <v>-27808.004777968741</v>
      </c>
      <c r="AP209" s="495">
        <v>-16271.200127968743</v>
      </c>
      <c r="AQ209" s="495">
        <v>-11980.77997546874</v>
      </c>
      <c r="AR209" s="495">
        <v>0</v>
      </c>
      <c r="AS209" s="495">
        <v>0</v>
      </c>
    </row>
    <row r="210" spans="1:45">
      <c r="A210" s="390">
        <v>92101</v>
      </c>
      <c r="B210" s="393">
        <v>92101</v>
      </c>
      <c r="C210" s="499" t="s">
        <v>923</v>
      </c>
      <c r="D210" s="378">
        <v>6.9323265068269469E-4</v>
      </c>
      <c r="F210" s="495">
        <v>445901.32997478876</v>
      </c>
      <c r="G210" s="495">
        <v>872557.53152978863</v>
      </c>
      <c r="H210" s="495">
        <v>180742.10020978865</v>
      </c>
      <c r="I210" s="495">
        <v>-71829.061900000001</v>
      </c>
      <c r="J210" s="495">
        <v>0</v>
      </c>
      <c r="M210" s="495">
        <v>318577.10373000003</v>
      </c>
      <c r="N210" s="495">
        <v>324082.63532</v>
      </c>
      <c r="O210" s="495">
        <v>170671.47929000002</v>
      </c>
      <c r="P210" s="495">
        <v>0</v>
      </c>
      <c r="Q210" s="495">
        <v>0</v>
      </c>
      <c r="T210" s="495">
        <v>131115.24332000001</v>
      </c>
      <c r="U210" s="495">
        <v>595840.19380999997</v>
      </c>
      <c r="V210" s="495">
        <v>-19873.423360000001</v>
      </c>
      <c r="W210" s="495">
        <v>-71829.061900000001</v>
      </c>
      <c r="X210" s="495">
        <v>0</v>
      </c>
      <c r="AA210" s="495">
        <v>0</v>
      </c>
      <c r="AB210" s="495">
        <v>0</v>
      </c>
      <c r="AC210" s="495">
        <v>0</v>
      </c>
      <c r="AD210" s="495">
        <v>0</v>
      </c>
      <c r="AE210" s="495">
        <v>0</v>
      </c>
      <c r="AH210" s="495">
        <v>73518.324804788615</v>
      </c>
      <c r="AI210" s="495">
        <v>29944.044279788632</v>
      </c>
      <c r="AJ210" s="495">
        <v>29944.044279788632</v>
      </c>
      <c r="AK210" s="495">
        <v>0</v>
      </c>
      <c r="AL210" s="495">
        <v>0</v>
      </c>
      <c r="AO210" s="495">
        <v>-77309.341879999905</v>
      </c>
      <c r="AP210" s="495">
        <v>-77309.341879999905</v>
      </c>
      <c r="AQ210" s="495">
        <v>0</v>
      </c>
      <c r="AR210" s="495">
        <v>0</v>
      </c>
      <c r="AS210" s="495">
        <v>0</v>
      </c>
    </row>
    <row r="211" spans="1:45">
      <c r="A211" s="390">
        <v>92104</v>
      </c>
      <c r="B211" s="393">
        <v>92104</v>
      </c>
      <c r="C211" s="499" t="s">
        <v>924</v>
      </c>
      <c r="D211" s="378">
        <v>7.2410348102732889E-6</v>
      </c>
      <c r="F211" s="495">
        <v>6624.5084611060993</v>
      </c>
      <c r="G211" s="495">
        <v>10858.634051106099</v>
      </c>
      <c r="H211" s="495">
        <v>2113.8068211060981</v>
      </c>
      <c r="I211" s="495">
        <v>-750.28120000000001</v>
      </c>
      <c r="J211" s="495">
        <v>0</v>
      </c>
      <c r="M211" s="495">
        <v>3327.6560399999998</v>
      </c>
      <c r="N211" s="495">
        <v>3385.16336</v>
      </c>
      <c r="O211" s="495">
        <v>1782.7269200000001</v>
      </c>
      <c r="P211" s="495">
        <v>0</v>
      </c>
      <c r="Q211" s="495">
        <v>0</v>
      </c>
      <c r="T211" s="495">
        <v>1369.54736</v>
      </c>
      <c r="U211" s="495">
        <v>6223.7718800000002</v>
      </c>
      <c r="V211" s="495">
        <v>-207.58528000000001</v>
      </c>
      <c r="W211" s="495">
        <v>-750.28120000000001</v>
      </c>
      <c r="X211" s="495">
        <v>0</v>
      </c>
      <c r="AA211" s="495">
        <v>0</v>
      </c>
      <c r="AB211" s="495">
        <v>0</v>
      </c>
      <c r="AC211" s="495">
        <v>0</v>
      </c>
      <c r="AD211" s="495">
        <v>0</v>
      </c>
      <c r="AE211" s="495">
        <v>0</v>
      </c>
      <c r="AH211" s="495">
        <v>1987.1998211060979</v>
      </c>
      <c r="AI211" s="495">
        <v>1309.5935711060979</v>
      </c>
      <c r="AJ211" s="495">
        <v>538.6651811060982</v>
      </c>
      <c r="AK211" s="495">
        <v>0</v>
      </c>
      <c r="AL211" s="495">
        <v>0</v>
      </c>
      <c r="AO211" s="495">
        <v>-59.894759999998954</v>
      </c>
      <c r="AP211" s="495">
        <v>-59.894759999998954</v>
      </c>
      <c r="AQ211" s="495">
        <v>0</v>
      </c>
      <c r="AR211" s="495">
        <v>0</v>
      </c>
      <c r="AS211" s="495">
        <v>0</v>
      </c>
    </row>
    <row r="212" spans="1:45">
      <c r="A212" s="390">
        <v>92109</v>
      </c>
      <c r="B212" s="393">
        <v>92109</v>
      </c>
      <c r="C212" s="499" t="s">
        <v>925</v>
      </c>
      <c r="D212" s="378">
        <v>1.68774949679715E-4</v>
      </c>
      <c r="F212" s="495">
        <v>83481.711902921874</v>
      </c>
      <c r="G212" s="495">
        <v>196700.37865292188</v>
      </c>
      <c r="H212" s="495">
        <v>6140.0205854218657</v>
      </c>
      <c r="I212" s="495">
        <v>-17487.5625</v>
      </c>
      <c r="J212" s="495">
        <v>0</v>
      </c>
      <c r="M212" s="495">
        <v>77561.043749999997</v>
      </c>
      <c r="N212" s="495">
        <v>78901.425000000003</v>
      </c>
      <c r="O212" s="495">
        <v>41551.818750000006</v>
      </c>
      <c r="P212" s="495">
        <v>0</v>
      </c>
      <c r="Q212" s="495">
        <v>0</v>
      </c>
      <c r="T212" s="495">
        <v>31921.425000000003</v>
      </c>
      <c r="U212" s="495">
        <v>145063.74374999999</v>
      </c>
      <c r="V212" s="495">
        <v>-4838.4000000000005</v>
      </c>
      <c r="W212" s="495">
        <v>-17487.5625</v>
      </c>
      <c r="X212" s="495">
        <v>0</v>
      </c>
      <c r="AA212" s="495">
        <v>0</v>
      </c>
      <c r="AB212" s="495">
        <v>0</v>
      </c>
      <c r="AC212" s="495">
        <v>0</v>
      </c>
      <c r="AD212" s="495">
        <v>0</v>
      </c>
      <c r="AE212" s="495">
        <v>0</v>
      </c>
      <c r="AH212" s="495">
        <v>6817.7769150000095</v>
      </c>
      <c r="AI212" s="495">
        <v>4544.514915000007</v>
      </c>
      <c r="AJ212" s="495">
        <v>0</v>
      </c>
      <c r="AK212" s="495">
        <v>0</v>
      </c>
      <c r="AL212" s="495">
        <v>0</v>
      </c>
      <c r="AO212" s="495">
        <v>-32818.533762078143</v>
      </c>
      <c r="AP212" s="495">
        <v>-31809.305012078141</v>
      </c>
      <c r="AQ212" s="495">
        <v>-30573.398164578139</v>
      </c>
      <c r="AR212" s="495">
        <v>0</v>
      </c>
      <c r="AS212" s="495">
        <v>0</v>
      </c>
    </row>
    <row r="213" spans="1:45">
      <c r="A213" s="390">
        <v>92111</v>
      </c>
      <c r="B213" s="393">
        <v>92111</v>
      </c>
      <c r="C213" s="499" t="s">
        <v>926</v>
      </c>
      <c r="D213" s="378">
        <v>5.5824257014747017E-4</v>
      </c>
      <c r="F213" s="495">
        <v>347873.95473528723</v>
      </c>
      <c r="G213" s="495">
        <v>738062.92244528723</v>
      </c>
      <c r="H213" s="495">
        <v>122162.2677927873</v>
      </c>
      <c r="I213" s="495">
        <v>-57842.120800000004</v>
      </c>
      <c r="J213" s="495">
        <v>0</v>
      </c>
      <c r="M213" s="495">
        <v>256542.05736000001</v>
      </c>
      <c r="N213" s="495">
        <v>260975.52224000002</v>
      </c>
      <c r="O213" s="495">
        <v>137437.41128</v>
      </c>
      <c r="P213" s="495">
        <v>0</v>
      </c>
      <c r="Q213" s="495">
        <v>0</v>
      </c>
      <c r="T213" s="495">
        <v>105583.77824</v>
      </c>
      <c r="U213" s="495">
        <v>479814.98792000004</v>
      </c>
      <c r="V213" s="495">
        <v>-16003.563520000002</v>
      </c>
      <c r="W213" s="495">
        <v>-57842.120800000004</v>
      </c>
      <c r="X213" s="495">
        <v>0</v>
      </c>
      <c r="AA213" s="495">
        <v>0</v>
      </c>
      <c r="AB213" s="495">
        <v>0</v>
      </c>
      <c r="AC213" s="495">
        <v>0</v>
      </c>
      <c r="AD213" s="495">
        <v>0</v>
      </c>
      <c r="AE213" s="495">
        <v>0</v>
      </c>
      <c r="AH213" s="495">
        <v>7623.8042777872579</v>
      </c>
      <c r="AI213" s="495">
        <v>7623.8042777872579</v>
      </c>
      <c r="AJ213" s="495">
        <v>728.42003278730044</v>
      </c>
      <c r="AK213" s="495">
        <v>0</v>
      </c>
      <c r="AL213" s="495">
        <v>0</v>
      </c>
      <c r="AO213" s="495">
        <v>-21875.68514250002</v>
      </c>
      <c r="AP213" s="495">
        <v>-10351.391992499994</v>
      </c>
      <c r="AQ213" s="495">
        <v>0</v>
      </c>
      <c r="AR213" s="495">
        <v>0</v>
      </c>
      <c r="AS213" s="495">
        <v>0</v>
      </c>
    </row>
    <row r="214" spans="1:45">
      <c r="A214" s="390">
        <v>92113</v>
      </c>
      <c r="B214" s="393">
        <v>92113</v>
      </c>
      <c r="C214" s="499" t="s">
        <v>927</v>
      </c>
      <c r="D214" s="378">
        <v>1.3061991248067969E-5</v>
      </c>
      <c r="F214" s="495">
        <v>7919.8622788046478</v>
      </c>
      <c r="G214" s="495">
        <v>17377.028338804645</v>
      </c>
      <c r="H214" s="495">
        <v>3115.297776304646</v>
      </c>
      <c r="I214" s="495">
        <v>-1353.4078</v>
      </c>
      <c r="J214" s="495">
        <v>0</v>
      </c>
      <c r="M214" s="495">
        <v>6002.6502600000003</v>
      </c>
      <c r="N214" s="495">
        <v>6106.3858399999999</v>
      </c>
      <c r="O214" s="495">
        <v>3215.8029799999999</v>
      </c>
      <c r="P214" s="495">
        <v>0</v>
      </c>
      <c r="Q214" s="495">
        <v>0</v>
      </c>
      <c r="T214" s="495">
        <v>2470.4818399999999</v>
      </c>
      <c r="U214" s="495">
        <v>11226.85922</v>
      </c>
      <c r="V214" s="495">
        <v>-374.45632000000001</v>
      </c>
      <c r="W214" s="495">
        <v>-1353.4078</v>
      </c>
      <c r="X214" s="495">
        <v>0</v>
      </c>
      <c r="AA214" s="495">
        <v>0</v>
      </c>
      <c r="AB214" s="495">
        <v>0</v>
      </c>
      <c r="AC214" s="495">
        <v>0</v>
      </c>
      <c r="AD214" s="495">
        <v>0</v>
      </c>
      <c r="AE214" s="495">
        <v>0</v>
      </c>
      <c r="AH214" s="495">
        <v>2441.1168038046462</v>
      </c>
      <c r="AI214" s="495">
        <v>1503.7180538046459</v>
      </c>
      <c r="AJ214" s="495">
        <v>273.95111630464589</v>
      </c>
      <c r="AK214" s="495">
        <v>0</v>
      </c>
      <c r="AL214" s="495">
        <v>0</v>
      </c>
      <c r="AO214" s="495">
        <v>-2994.3866250000001</v>
      </c>
      <c r="AP214" s="495">
        <v>-1459.9347750000006</v>
      </c>
      <c r="AQ214" s="495">
        <v>0</v>
      </c>
      <c r="AR214" s="495">
        <v>0</v>
      </c>
      <c r="AS214" s="495">
        <v>0</v>
      </c>
    </row>
    <row r="215" spans="1:45">
      <c r="A215" s="390">
        <v>92201</v>
      </c>
      <c r="B215" s="393">
        <v>92201</v>
      </c>
      <c r="C215" s="499" t="s">
        <v>928</v>
      </c>
      <c r="D215" s="378">
        <v>1.0988626382685614E-3</v>
      </c>
      <c r="F215" s="495">
        <v>756189.80654568656</v>
      </c>
      <c r="G215" s="495">
        <v>1418689.1307706863</v>
      </c>
      <c r="H215" s="495">
        <v>174674.70479818631</v>
      </c>
      <c r="I215" s="495">
        <v>-113858.281</v>
      </c>
      <c r="J215" s="495">
        <v>0</v>
      </c>
      <c r="M215" s="495">
        <v>504985.59269999998</v>
      </c>
      <c r="N215" s="495">
        <v>513712.56679999997</v>
      </c>
      <c r="O215" s="495">
        <v>270536.19709999999</v>
      </c>
      <c r="P215" s="495">
        <v>0</v>
      </c>
      <c r="Q215" s="495">
        <v>0</v>
      </c>
      <c r="T215" s="495">
        <v>207834.48679999998</v>
      </c>
      <c r="U215" s="495">
        <v>944483.17189999996</v>
      </c>
      <c r="V215" s="495">
        <v>-31501.9264</v>
      </c>
      <c r="W215" s="495">
        <v>-113858.281</v>
      </c>
      <c r="X215" s="495">
        <v>0</v>
      </c>
      <c r="AA215" s="495">
        <v>0</v>
      </c>
      <c r="AB215" s="495">
        <v>0</v>
      </c>
      <c r="AC215" s="495">
        <v>0</v>
      </c>
      <c r="AD215" s="495">
        <v>0</v>
      </c>
      <c r="AE215" s="495">
        <v>0</v>
      </c>
      <c r="AH215" s="495">
        <v>120752.28383000016</v>
      </c>
      <c r="AI215" s="495">
        <v>37875.948855000097</v>
      </c>
      <c r="AJ215" s="495">
        <v>0</v>
      </c>
      <c r="AK215" s="495">
        <v>0</v>
      </c>
      <c r="AL215" s="495">
        <v>0</v>
      </c>
      <c r="AO215" s="495">
        <v>-77382.556784313652</v>
      </c>
      <c r="AP215" s="495">
        <v>-77382.556784313652</v>
      </c>
      <c r="AQ215" s="495">
        <v>-64359.565901813694</v>
      </c>
      <c r="AR215" s="495">
        <v>0</v>
      </c>
      <c r="AS215" s="495">
        <v>0</v>
      </c>
    </row>
    <row r="216" spans="1:45">
      <c r="A216" s="390">
        <v>92214</v>
      </c>
      <c r="B216" s="393">
        <v>92214</v>
      </c>
      <c r="C216" s="499" t="s">
        <v>1925</v>
      </c>
      <c r="D216" s="378">
        <v>3.4515084956164158E-5</v>
      </c>
      <c r="F216" s="495">
        <v>26251.156406598271</v>
      </c>
      <c r="G216" s="495">
        <v>44914.718791598265</v>
      </c>
      <c r="H216" s="495">
        <v>904.50446159826697</v>
      </c>
      <c r="I216" s="495">
        <v>-3576.2712999999999</v>
      </c>
      <c r="J216" s="495">
        <v>0</v>
      </c>
      <c r="M216" s="495">
        <v>15861.520710000001</v>
      </c>
      <c r="N216" s="495">
        <v>16135.63364</v>
      </c>
      <c r="O216" s="495">
        <v>8497.5008300000009</v>
      </c>
      <c r="P216" s="495">
        <v>0</v>
      </c>
      <c r="Q216" s="495">
        <v>0</v>
      </c>
      <c r="T216" s="495">
        <v>6528.0496400000002</v>
      </c>
      <c r="U216" s="495">
        <v>29666.07287</v>
      </c>
      <c r="V216" s="495">
        <v>-989.47072000000003</v>
      </c>
      <c r="W216" s="495">
        <v>-3576.2712999999999</v>
      </c>
      <c r="X216" s="495">
        <v>0</v>
      </c>
      <c r="AA216" s="495">
        <v>0</v>
      </c>
      <c r="AB216" s="495">
        <v>0</v>
      </c>
      <c r="AC216" s="495">
        <v>0</v>
      </c>
      <c r="AD216" s="495">
        <v>0</v>
      </c>
      <c r="AE216" s="495">
        <v>0</v>
      </c>
      <c r="AH216" s="495">
        <v>12849.340065</v>
      </c>
      <c r="AI216" s="495">
        <v>8100.7662899999996</v>
      </c>
      <c r="AJ216" s="495">
        <v>0</v>
      </c>
      <c r="AK216" s="495">
        <v>0</v>
      </c>
      <c r="AL216" s="495">
        <v>0</v>
      </c>
      <c r="AO216" s="495">
        <v>-8987.7540084017346</v>
      </c>
      <c r="AP216" s="495">
        <v>-8987.7540084017346</v>
      </c>
      <c r="AQ216" s="495">
        <v>-6603.5256484017336</v>
      </c>
      <c r="AR216" s="495">
        <v>0</v>
      </c>
      <c r="AS216" s="495">
        <v>0</v>
      </c>
    </row>
    <row r="217" spans="1:45">
      <c r="A217" s="390">
        <v>92301</v>
      </c>
      <c r="B217" s="393">
        <v>92301</v>
      </c>
      <c r="C217" s="499" t="s">
        <v>929</v>
      </c>
      <c r="D217" s="378">
        <v>5.6907723997663973E-3</v>
      </c>
      <c r="F217" s="495">
        <v>3905229.8151639393</v>
      </c>
      <c r="G217" s="495">
        <v>7652330.7115939399</v>
      </c>
      <c r="H217" s="495">
        <v>1044564.42736644</v>
      </c>
      <c r="I217" s="495">
        <v>-589647.44590000005</v>
      </c>
      <c r="J217" s="495">
        <v>0</v>
      </c>
      <c r="M217" s="495">
        <v>2615211.31653</v>
      </c>
      <c r="N217" s="495">
        <v>2660406.4305199999</v>
      </c>
      <c r="O217" s="495">
        <v>1401048.53369</v>
      </c>
      <c r="P217" s="495">
        <v>0</v>
      </c>
      <c r="Q217" s="495">
        <v>0</v>
      </c>
      <c r="T217" s="495">
        <v>1076329.9185200001</v>
      </c>
      <c r="U217" s="495">
        <v>4891274.3554100003</v>
      </c>
      <c r="V217" s="495">
        <v>-163141.67296</v>
      </c>
      <c r="W217" s="495">
        <v>-589647.44590000005</v>
      </c>
      <c r="X217" s="495">
        <v>0</v>
      </c>
      <c r="AA217" s="495">
        <v>0</v>
      </c>
      <c r="AB217" s="495">
        <v>0</v>
      </c>
      <c r="AC217" s="495">
        <v>0</v>
      </c>
      <c r="AD217" s="495">
        <v>0</v>
      </c>
      <c r="AE217" s="495">
        <v>0</v>
      </c>
      <c r="AH217" s="495">
        <v>493824.30409499933</v>
      </c>
      <c r="AI217" s="495">
        <v>329353.79839499947</v>
      </c>
      <c r="AJ217" s="495">
        <v>0</v>
      </c>
      <c r="AK217" s="495">
        <v>0</v>
      </c>
      <c r="AL217" s="495">
        <v>0</v>
      </c>
      <c r="AO217" s="495">
        <v>-280135.72398106015</v>
      </c>
      <c r="AP217" s="495">
        <v>-228703.87273106008</v>
      </c>
      <c r="AQ217" s="495">
        <v>-193342.43336355995</v>
      </c>
      <c r="AR217" s="495">
        <v>0</v>
      </c>
      <c r="AS217" s="495">
        <v>0</v>
      </c>
    </row>
    <row r="218" spans="1:45">
      <c r="A218" s="390">
        <v>92302</v>
      </c>
      <c r="B218" s="393">
        <v>92302</v>
      </c>
      <c r="C218" s="499" t="s">
        <v>930</v>
      </c>
      <c r="D218" s="378">
        <v>2.3963540656250597E-4</v>
      </c>
      <c r="F218" s="495">
        <v>138859.59572161894</v>
      </c>
      <c r="G218" s="495">
        <v>310808.39669661887</v>
      </c>
      <c r="H218" s="495">
        <v>55130.563164118954</v>
      </c>
      <c r="I218" s="495">
        <v>-24829.748</v>
      </c>
      <c r="J218" s="495">
        <v>0</v>
      </c>
      <c r="M218" s="495">
        <v>110125.19160000001</v>
      </c>
      <c r="N218" s="495">
        <v>112028.33439999999</v>
      </c>
      <c r="O218" s="495">
        <v>58997.426800000001</v>
      </c>
      <c r="P218" s="495">
        <v>0</v>
      </c>
      <c r="Q218" s="495">
        <v>0</v>
      </c>
      <c r="T218" s="495">
        <v>45323.6944</v>
      </c>
      <c r="U218" s="495">
        <v>205969.0252</v>
      </c>
      <c r="V218" s="495">
        <v>-6869.8112000000001</v>
      </c>
      <c r="W218" s="495">
        <v>-24829.748</v>
      </c>
      <c r="X218" s="495">
        <v>0</v>
      </c>
      <c r="AA218" s="495">
        <v>0</v>
      </c>
      <c r="AB218" s="495">
        <v>0</v>
      </c>
      <c r="AC218" s="495">
        <v>0</v>
      </c>
      <c r="AD218" s="495">
        <v>0</v>
      </c>
      <c r="AE218" s="495">
        <v>0</v>
      </c>
      <c r="AH218" s="495">
        <v>10742.351786618943</v>
      </c>
      <c r="AI218" s="495">
        <v>5366.4761616189426</v>
      </c>
      <c r="AJ218" s="495">
        <v>3002.9475641189492</v>
      </c>
      <c r="AK218" s="495">
        <v>0</v>
      </c>
      <c r="AL218" s="495">
        <v>0</v>
      </c>
      <c r="AO218" s="495">
        <v>-27331.642064999982</v>
      </c>
      <c r="AP218" s="495">
        <v>-12555.439065000017</v>
      </c>
      <c r="AQ218" s="495">
        <v>0</v>
      </c>
      <c r="AR218" s="495">
        <v>0</v>
      </c>
      <c r="AS218" s="495">
        <v>0</v>
      </c>
    </row>
    <row r="219" spans="1:45">
      <c r="A219" s="390">
        <v>92311</v>
      </c>
      <c r="B219" s="393">
        <v>92311</v>
      </c>
      <c r="C219" s="499" t="s">
        <v>931</v>
      </c>
      <c r="D219" s="378">
        <v>2.1123127252749251E-3</v>
      </c>
      <c r="F219" s="495">
        <v>1317479.7598471798</v>
      </c>
      <c r="G219" s="495">
        <v>2787199.5436721798</v>
      </c>
      <c r="H219" s="495">
        <v>454779.54213967989</v>
      </c>
      <c r="I219" s="495">
        <v>-218866.56000000003</v>
      </c>
      <c r="J219" s="495">
        <v>0</v>
      </c>
      <c r="M219" s="495">
        <v>970719.55200000003</v>
      </c>
      <c r="N219" s="495">
        <v>987495.16800000006</v>
      </c>
      <c r="O219" s="495">
        <v>520044.09600000002</v>
      </c>
      <c r="P219" s="495">
        <v>0</v>
      </c>
      <c r="Q219" s="495">
        <v>0</v>
      </c>
      <c r="T219" s="495">
        <v>399514.36800000002</v>
      </c>
      <c r="U219" s="495">
        <v>1815553.344</v>
      </c>
      <c r="V219" s="495">
        <v>-60555.264000000003</v>
      </c>
      <c r="W219" s="495">
        <v>-218866.56000000003</v>
      </c>
      <c r="X219" s="495">
        <v>0</v>
      </c>
      <c r="AA219" s="495">
        <v>0</v>
      </c>
      <c r="AB219" s="495">
        <v>0</v>
      </c>
      <c r="AC219" s="495">
        <v>0</v>
      </c>
      <c r="AD219" s="495">
        <v>0</v>
      </c>
      <c r="AE219" s="495">
        <v>0</v>
      </c>
      <c r="AH219" s="495">
        <v>8787.374375000014</v>
      </c>
      <c r="AI219" s="495">
        <v>0</v>
      </c>
      <c r="AJ219" s="495">
        <v>0</v>
      </c>
      <c r="AK219" s="495">
        <v>0</v>
      </c>
      <c r="AL219" s="495">
        <v>0</v>
      </c>
      <c r="AO219" s="495">
        <v>-61541.534527820251</v>
      </c>
      <c r="AP219" s="495">
        <v>-15848.968327820252</v>
      </c>
      <c r="AQ219" s="495">
        <v>-4709.2898603200738</v>
      </c>
      <c r="AR219" s="495">
        <v>0</v>
      </c>
      <c r="AS219" s="495">
        <v>0</v>
      </c>
    </row>
    <row r="220" spans="1:45">
      <c r="A220" s="390">
        <v>92317</v>
      </c>
      <c r="B220" s="393">
        <v>92317</v>
      </c>
      <c r="C220" s="499" t="s">
        <v>932</v>
      </c>
      <c r="D220" s="378">
        <v>4.0155935340449743E-5</v>
      </c>
      <c r="F220" s="495">
        <v>40197.690724780376</v>
      </c>
      <c r="G220" s="495">
        <v>66128.440874780383</v>
      </c>
      <c r="H220" s="495">
        <v>16326.086164780372</v>
      </c>
      <c r="I220" s="495">
        <v>-4160.7444999999998</v>
      </c>
      <c r="J220" s="495">
        <v>0</v>
      </c>
      <c r="M220" s="495">
        <v>18453.783149999999</v>
      </c>
      <c r="N220" s="495">
        <v>18772.694599999999</v>
      </c>
      <c r="O220" s="495">
        <v>9886.2549500000005</v>
      </c>
      <c r="P220" s="495">
        <v>0</v>
      </c>
      <c r="Q220" s="495">
        <v>0</v>
      </c>
      <c r="T220" s="495">
        <v>7594.9345999999996</v>
      </c>
      <c r="U220" s="495">
        <v>34514.42555</v>
      </c>
      <c r="V220" s="495">
        <v>-1151.1808000000001</v>
      </c>
      <c r="W220" s="495">
        <v>-4160.7444999999998</v>
      </c>
      <c r="X220" s="495">
        <v>0</v>
      </c>
      <c r="AA220" s="495">
        <v>0</v>
      </c>
      <c r="AB220" s="495">
        <v>0</v>
      </c>
      <c r="AC220" s="495">
        <v>0</v>
      </c>
      <c r="AD220" s="495">
        <v>0</v>
      </c>
      <c r="AE220" s="495">
        <v>0</v>
      </c>
      <c r="AH220" s="495">
        <v>15853.919474780374</v>
      </c>
      <c r="AI220" s="495">
        <v>12841.320724780373</v>
      </c>
      <c r="AJ220" s="495">
        <v>7591.0120147803718</v>
      </c>
      <c r="AK220" s="495">
        <v>0</v>
      </c>
      <c r="AL220" s="495">
        <v>0</v>
      </c>
      <c r="AO220" s="495">
        <v>-1704.9465</v>
      </c>
      <c r="AP220" s="495">
        <v>0</v>
      </c>
      <c r="AQ220" s="495">
        <v>0</v>
      </c>
      <c r="AR220" s="495">
        <v>0</v>
      </c>
      <c r="AS220" s="495">
        <v>0</v>
      </c>
    </row>
    <row r="221" spans="1:45">
      <c r="A221" s="390">
        <v>92321</v>
      </c>
      <c r="B221" s="393">
        <v>92321</v>
      </c>
      <c r="C221" s="499" t="s">
        <v>933</v>
      </c>
      <c r="D221" s="378">
        <v>1.3087237250642633E-3</v>
      </c>
      <c r="F221" s="495">
        <v>893732.67576880706</v>
      </c>
      <c r="G221" s="495">
        <v>1826267.996548807</v>
      </c>
      <c r="H221" s="495">
        <v>281593.72550380707</v>
      </c>
      <c r="I221" s="495">
        <v>-135602.9639</v>
      </c>
      <c r="J221" s="495">
        <v>0</v>
      </c>
      <c r="M221" s="495">
        <v>601427.86713000003</v>
      </c>
      <c r="N221" s="495">
        <v>611821.52092000004</v>
      </c>
      <c r="O221" s="495">
        <v>322203.26749</v>
      </c>
      <c r="P221" s="495">
        <v>0</v>
      </c>
      <c r="Q221" s="495">
        <v>0</v>
      </c>
      <c r="T221" s="495">
        <v>247526.76892</v>
      </c>
      <c r="U221" s="495">
        <v>1124860.8036100001</v>
      </c>
      <c r="V221" s="495">
        <v>-37518.172160000002</v>
      </c>
      <c r="W221" s="495">
        <v>-135602.9639</v>
      </c>
      <c r="X221" s="495">
        <v>0</v>
      </c>
      <c r="AA221" s="495">
        <v>0</v>
      </c>
      <c r="AB221" s="495">
        <v>0</v>
      </c>
      <c r="AC221" s="495">
        <v>0</v>
      </c>
      <c r="AD221" s="495">
        <v>0</v>
      </c>
      <c r="AE221" s="495">
        <v>0</v>
      </c>
      <c r="AH221" s="495">
        <v>92677.041844999796</v>
      </c>
      <c r="AI221" s="495">
        <v>92677.041844999796</v>
      </c>
      <c r="AJ221" s="495">
        <v>0</v>
      </c>
      <c r="AK221" s="495">
        <v>0</v>
      </c>
      <c r="AL221" s="495">
        <v>0</v>
      </c>
      <c r="AO221" s="495">
        <v>-47899.002126192776</v>
      </c>
      <c r="AP221" s="495">
        <v>-3091.3698261928967</v>
      </c>
      <c r="AQ221" s="495">
        <v>-3091.3698261928967</v>
      </c>
      <c r="AR221" s="495">
        <v>0</v>
      </c>
      <c r="AS221" s="495">
        <v>0</v>
      </c>
    </row>
    <row r="222" spans="1:45">
      <c r="A222" s="390">
        <v>92327</v>
      </c>
      <c r="B222" s="393">
        <v>92327</v>
      </c>
      <c r="C222" s="499" t="s">
        <v>934</v>
      </c>
      <c r="D222" s="378">
        <v>8.1212400948444938E-6</v>
      </c>
      <c r="F222" s="495">
        <v>13679.7552684643</v>
      </c>
      <c r="G222" s="495">
        <v>17441.894113464299</v>
      </c>
      <c r="H222" s="495">
        <v>6227.0251309643008</v>
      </c>
      <c r="I222" s="495">
        <v>-841.47559999999999</v>
      </c>
      <c r="J222" s="495">
        <v>0</v>
      </c>
      <c r="M222" s="495">
        <v>3732.1225199999999</v>
      </c>
      <c r="N222" s="495">
        <v>3796.6196800000002</v>
      </c>
      <c r="O222" s="495">
        <v>1999.4119600000001</v>
      </c>
      <c r="P222" s="495">
        <v>0</v>
      </c>
      <c r="Q222" s="495">
        <v>0</v>
      </c>
      <c r="T222" s="495">
        <v>1536.0116800000001</v>
      </c>
      <c r="U222" s="495">
        <v>6980.2524400000002</v>
      </c>
      <c r="V222" s="495">
        <v>-232.81664000000001</v>
      </c>
      <c r="W222" s="495">
        <v>-841.47559999999999</v>
      </c>
      <c r="X222" s="495">
        <v>0</v>
      </c>
      <c r="AA222" s="495">
        <v>0</v>
      </c>
      <c r="AB222" s="495">
        <v>0</v>
      </c>
      <c r="AC222" s="495">
        <v>0</v>
      </c>
      <c r="AD222" s="495">
        <v>0</v>
      </c>
      <c r="AE222" s="495">
        <v>0</v>
      </c>
      <c r="AH222" s="495">
        <v>8595.7289834642997</v>
      </c>
      <c r="AI222" s="495">
        <v>6792.2983584643007</v>
      </c>
      <c r="AJ222" s="495">
        <v>4460.4298109643005</v>
      </c>
      <c r="AK222" s="495">
        <v>0</v>
      </c>
      <c r="AL222" s="495">
        <v>0</v>
      </c>
      <c r="AO222" s="495">
        <v>-184.1079150000013</v>
      </c>
      <c r="AP222" s="495">
        <v>-127.27636500000096</v>
      </c>
      <c r="AQ222" s="495">
        <v>0</v>
      </c>
      <c r="AR222" s="495">
        <v>0</v>
      </c>
      <c r="AS222" s="495">
        <v>0</v>
      </c>
    </row>
    <row r="223" spans="1:45">
      <c r="A223" s="390">
        <v>92331</v>
      </c>
      <c r="B223" s="393">
        <v>92331</v>
      </c>
      <c r="C223" s="499" t="s">
        <v>935</v>
      </c>
      <c r="D223" s="378">
        <v>1.3613020822980217E-4</v>
      </c>
      <c r="F223" s="495">
        <v>72407.61528227228</v>
      </c>
      <c r="G223" s="495">
        <v>162971.25216727227</v>
      </c>
      <c r="H223" s="495">
        <v>21258.834159772228</v>
      </c>
      <c r="I223" s="495">
        <v>-14105.079299999999</v>
      </c>
      <c r="J223" s="495">
        <v>0</v>
      </c>
      <c r="M223" s="495">
        <v>62559.014309999999</v>
      </c>
      <c r="N223" s="495">
        <v>63640.136039999998</v>
      </c>
      <c r="O223" s="495">
        <v>33514.773629999996</v>
      </c>
      <c r="P223" s="495">
        <v>0</v>
      </c>
      <c r="Q223" s="495">
        <v>0</v>
      </c>
      <c r="T223" s="495">
        <v>25747.11204</v>
      </c>
      <c r="U223" s="495">
        <v>117005.19206999999</v>
      </c>
      <c r="V223" s="495">
        <v>-3902.54592</v>
      </c>
      <c r="W223" s="495">
        <v>-14105.079299999999</v>
      </c>
      <c r="X223" s="495">
        <v>0</v>
      </c>
      <c r="AA223" s="495">
        <v>0</v>
      </c>
      <c r="AB223" s="495">
        <v>0</v>
      </c>
      <c r="AC223" s="495">
        <v>0</v>
      </c>
      <c r="AD223" s="495">
        <v>0</v>
      </c>
      <c r="AE223" s="495">
        <v>0</v>
      </c>
      <c r="AH223" s="495">
        <v>3501.8865725000214</v>
      </c>
      <c r="AI223" s="495">
        <v>1512.7823225000029</v>
      </c>
      <c r="AJ223" s="495">
        <v>0</v>
      </c>
      <c r="AK223" s="495">
        <v>0</v>
      </c>
      <c r="AL223" s="495">
        <v>0</v>
      </c>
      <c r="AO223" s="495">
        <v>-19400.397640227744</v>
      </c>
      <c r="AP223" s="495">
        <v>-19186.858265227751</v>
      </c>
      <c r="AQ223" s="495">
        <v>-8353.3935502277673</v>
      </c>
      <c r="AR223" s="495">
        <v>0</v>
      </c>
      <c r="AS223" s="495">
        <v>0</v>
      </c>
    </row>
    <row r="224" spans="1:45">
      <c r="A224" s="390">
        <v>92341</v>
      </c>
      <c r="B224" s="393">
        <v>92341</v>
      </c>
      <c r="C224" s="499" t="s">
        <v>936</v>
      </c>
      <c r="D224" s="378">
        <v>5.4807725986708349E-6</v>
      </c>
      <c r="F224" s="495">
        <v>997.90169638969928</v>
      </c>
      <c r="G224" s="495">
        <v>5507.8272013896985</v>
      </c>
      <c r="H224" s="495">
        <v>204.02546138969888</v>
      </c>
      <c r="I224" s="495">
        <v>-567.89239999999995</v>
      </c>
      <c r="J224" s="495">
        <v>0</v>
      </c>
      <c r="M224" s="495">
        <v>2518.7230800000002</v>
      </c>
      <c r="N224" s="495">
        <v>2562.25072</v>
      </c>
      <c r="O224" s="495">
        <v>1349.3568399999999</v>
      </c>
      <c r="P224" s="495">
        <v>0</v>
      </c>
      <c r="Q224" s="495">
        <v>0</v>
      </c>
      <c r="T224" s="495">
        <v>1036.6187199999999</v>
      </c>
      <c r="U224" s="495">
        <v>4710.8107600000003</v>
      </c>
      <c r="V224" s="495">
        <v>-157.12255999999999</v>
      </c>
      <c r="W224" s="495">
        <v>-567.89239999999995</v>
      </c>
      <c r="X224" s="495">
        <v>0</v>
      </c>
      <c r="AA224" s="495">
        <v>0</v>
      </c>
      <c r="AB224" s="495">
        <v>0</v>
      </c>
      <c r="AC224" s="495">
        <v>0</v>
      </c>
      <c r="AD224" s="495">
        <v>0</v>
      </c>
      <c r="AE224" s="495">
        <v>0</v>
      </c>
      <c r="AH224" s="495">
        <v>0</v>
      </c>
      <c r="AI224" s="495">
        <v>0</v>
      </c>
      <c r="AJ224" s="495">
        <v>0</v>
      </c>
      <c r="AK224" s="495">
        <v>0</v>
      </c>
      <c r="AL224" s="495">
        <v>0</v>
      </c>
      <c r="AO224" s="495">
        <v>-2557.4401036103009</v>
      </c>
      <c r="AP224" s="495">
        <v>-1765.2342786103013</v>
      </c>
      <c r="AQ224" s="495">
        <v>-988.20881861030102</v>
      </c>
      <c r="AR224" s="495">
        <v>0</v>
      </c>
      <c r="AS224" s="495">
        <v>0</v>
      </c>
    </row>
    <row r="225" spans="1:45">
      <c r="A225" s="390">
        <v>92351</v>
      </c>
      <c r="B225" s="393">
        <v>92351</v>
      </c>
      <c r="C225" s="499" t="s">
        <v>937</v>
      </c>
      <c r="D225" s="378">
        <v>2.9764379811626962E-5</v>
      </c>
      <c r="F225" s="495">
        <v>20273.795853386393</v>
      </c>
      <c r="G225" s="495">
        <v>37335.632838386395</v>
      </c>
      <c r="H225" s="495">
        <v>1482.2808333863959</v>
      </c>
      <c r="I225" s="495">
        <v>-3084.0288</v>
      </c>
      <c r="J225" s="495">
        <v>0</v>
      </c>
      <c r="M225" s="495">
        <v>13678.320959999999</v>
      </c>
      <c r="N225" s="495">
        <v>13914.70464</v>
      </c>
      <c r="O225" s="495">
        <v>7327.89408</v>
      </c>
      <c r="P225" s="495">
        <v>0</v>
      </c>
      <c r="Q225" s="495">
        <v>0</v>
      </c>
      <c r="T225" s="495">
        <v>5629.5206399999997</v>
      </c>
      <c r="U225" s="495">
        <v>25582.797119999999</v>
      </c>
      <c r="V225" s="495">
        <v>-853.27872000000002</v>
      </c>
      <c r="W225" s="495">
        <v>-3084.0288</v>
      </c>
      <c r="X225" s="495">
        <v>0</v>
      </c>
      <c r="AA225" s="495">
        <v>0</v>
      </c>
      <c r="AB225" s="495">
        <v>0</v>
      </c>
      <c r="AC225" s="495">
        <v>0</v>
      </c>
      <c r="AD225" s="495">
        <v>0</v>
      </c>
      <c r="AE225" s="495">
        <v>0</v>
      </c>
      <c r="AH225" s="495">
        <v>6811.350915</v>
      </c>
      <c r="AI225" s="495">
        <v>3683.5277399999995</v>
      </c>
      <c r="AJ225" s="495">
        <v>0</v>
      </c>
      <c r="AK225" s="495">
        <v>0</v>
      </c>
      <c r="AL225" s="495">
        <v>0</v>
      </c>
      <c r="AO225" s="495">
        <v>-5845.396661613604</v>
      </c>
      <c r="AP225" s="495">
        <v>-5845.396661613604</v>
      </c>
      <c r="AQ225" s="495">
        <v>-4992.3345266136039</v>
      </c>
      <c r="AR225" s="495">
        <v>0</v>
      </c>
      <c r="AS225" s="495">
        <v>0</v>
      </c>
    </row>
    <row r="226" spans="1:45">
      <c r="A226" s="390">
        <v>92401</v>
      </c>
      <c r="B226" s="393">
        <v>92401</v>
      </c>
      <c r="C226" s="499" t="s">
        <v>938</v>
      </c>
      <c r="D226" s="378">
        <v>2.6017451397418248E-3</v>
      </c>
      <c r="F226" s="495">
        <v>1890526.0899992348</v>
      </c>
      <c r="G226" s="495">
        <v>3562637.7212592349</v>
      </c>
      <c r="H226" s="495">
        <v>610028.22352173482</v>
      </c>
      <c r="I226" s="495">
        <v>-269578.93680000002</v>
      </c>
      <c r="J226" s="495">
        <v>0</v>
      </c>
      <c r="M226" s="495">
        <v>1195639.68456</v>
      </c>
      <c r="N226" s="495">
        <v>1216302.2870400001</v>
      </c>
      <c r="O226" s="495">
        <v>640540.67688000004</v>
      </c>
      <c r="P226" s="495">
        <v>0</v>
      </c>
      <c r="Q226" s="495">
        <v>0</v>
      </c>
      <c r="T226" s="495">
        <v>492083.66304000001</v>
      </c>
      <c r="U226" s="495">
        <v>2236225.30632</v>
      </c>
      <c r="V226" s="495">
        <v>-74586.193920000005</v>
      </c>
      <c r="W226" s="495">
        <v>-269578.93680000002</v>
      </c>
      <c r="X226" s="495">
        <v>0</v>
      </c>
      <c r="AA226" s="495">
        <v>0</v>
      </c>
      <c r="AB226" s="495">
        <v>0</v>
      </c>
      <c r="AC226" s="495">
        <v>0</v>
      </c>
      <c r="AD226" s="495">
        <v>0</v>
      </c>
      <c r="AE226" s="495">
        <v>0</v>
      </c>
      <c r="AH226" s="495">
        <v>217514.39282423494</v>
      </c>
      <c r="AI226" s="495">
        <v>124821.77832423479</v>
      </c>
      <c r="AJ226" s="495">
        <v>44073.740561734798</v>
      </c>
      <c r="AK226" s="495">
        <v>0</v>
      </c>
      <c r="AL226" s="495">
        <v>0</v>
      </c>
      <c r="AO226" s="495">
        <v>-14711.65042500008</v>
      </c>
      <c r="AP226" s="495">
        <v>-14711.65042500008</v>
      </c>
      <c r="AQ226" s="495">
        <v>0</v>
      </c>
      <c r="AR226" s="495">
        <v>0</v>
      </c>
      <c r="AS226" s="495">
        <v>0</v>
      </c>
    </row>
    <row r="227" spans="1:45">
      <c r="A227" s="390">
        <v>92403</v>
      </c>
      <c r="B227" s="393">
        <v>92403</v>
      </c>
      <c r="C227" s="499" t="s">
        <v>939</v>
      </c>
      <c r="D227" s="378">
        <v>1.1961771731738951E-5</v>
      </c>
      <c r="F227" s="495">
        <v>9436.3255664819008</v>
      </c>
      <c r="G227" s="495">
        <v>18430.126701481902</v>
      </c>
      <c r="H227" s="495">
        <v>3087.4911939818999</v>
      </c>
      <c r="I227" s="495">
        <v>-1239.4148</v>
      </c>
      <c r="J227" s="495">
        <v>0</v>
      </c>
      <c r="M227" s="495">
        <v>5497.0671600000005</v>
      </c>
      <c r="N227" s="495">
        <v>5592.0654400000003</v>
      </c>
      <c r="O227" s="495">
        <v>2944.94668</v>
      </c>
      <c r="P227" s="495">
        <v>0</v>
      </c>
      <c r="Q227" s="495">
        <v>0</v>
      </c>
      <c r="T227" s="495">
        <v>2262.4014400000001</v>
      </c>
      <c r="U227" s="495">
        <v>10281.258520000001</v>
      </c>
      <c r="V227" s="495">
        <v>-342.91712000000001</v>
      </c>
      <c r="W227" s="495">
        <v>-1239.4148</v>
      </c>
      <c r="X227" s="495">
        <v>0</v>
      </c>
      <c r="AA227" s="495">
        <v>0</v>
      </c>
      <c r="AB227" s="495">
        <v>0</v>
      </c>
      <c r="AC227" s="495">
        <v>0</v>
      </c>
      <c r="AD227" s="495">
        <v>0</v>
      </c>
      <c r="AE227" s="495">
        <v>0</v>
      </c>
      <c r="AH227" s="495">
        <v>3836.4558664819006</v>
      </c>
      <c r="AI227" s="495">
        <v>2556.8027414819003</v>
      </c>
      <c r="AJ227" s="495">
        <v>485.46163398189987</v>
      </c>
      <c r="AK227" s="495">
        <v>0</v>
      </c>
      <c r="AL227" s="495">
        <v>0</v>
      </c>
      <c r="AO227" s="495">
        <v>-2159.5989000000004</v>
      </c>
      <c r="AP227" s="495">
        <v>0</v>
      </c>
      <c r="AQ227" s="495">
        <v>0</v>
      </c>
      <c r="AR227" s="495">
        <v>0</v>
      </c>
      <c r="AS227" s="495">
        <v>0</v>
      </c>
    </row>
    <row r="228" spans="1:45">
      <c r="A228" s="390">
        <v>92411</v>
      </c>
      <c r="B228" s="393">
        <v>92411</v>
      </c>
      <c r="C228" s="499" t="s">
        <v>940</v>
      </c>
      <c r="D228" s="378">
        <v>3.8190657844379238E-4</v>
      </c>
      <c r="F228" s="495">
        <v>210110.9301151745</v>
      </c>
      <c r="G228" s="495">
        <v>500424.40094017441</v>
      </c>
      <c r="H228" s="495">
        <v>84883.815722674481</v>
      </c>
      <c r="I228" s="495">
        <v>-39571.1155</v>
      </c>
      <c r="J228" s="495">
        <v>0</v>
      </c>
      <c r="M228" s="495">
        <v>175506.27885</v>
      </c>
      <c r="N228" s="495">
        <v>178539.31339999998</v>
      </c>
      <c r="O228" s="495">
        <v>94024.071049999999</v>
      </c>
      <c r="P228" s="495">
        <v>0</v>
      </c>
      <c r="Q228" s="495">
        <v>0</v>
      </c>
      <c r="T228" s="495">
        <v>72232.273399999991</v>
      </c>
      <c r="U228" s="495">
        <v>328252.38844999997</v>
      </c>
      <c r="V228" s="495">
        <v>-10948.403199999999</v>
      </c>
      <c r="W228" s="495">
        <v>-39571.1155</v>
      </c>
      <c r="X228" s="495">
        <v>0</v>
      </c>
      <c r="AA228" s="495">
        <v>0</v>
      </c>
      <c r="AB228" s="495">
        <v>0</v>
      </c>
      <c r="AC228" s="495">
        <v>0</v>
      </c>
      <c r="AD228" s="495">
        <v>0</v>
      </c>
      <c r="AE228" s="495">
        <v>0</v>
      </c>
      <c r="AH228" s="495">
        <v>1808.1478726744808</v>
      </c>
      <c r="AI228" s="495">
        <v>1808.1478726744808</v>
      </c>
      <c r="AJ228" s="495">
        <v>1808.1478726744808</v>
      </c>
      <c r="AK228" s="495">
        <v>0</v>
      </c>
      <c r="AL228" s="495">
        <v>0</v>
      </c>
      <c r="AO228" s="495">
        <v>-39435.770007499981</v>
      </c>
      <c r="AP228" s="495">
        <v>-8175.4487824999887</v>
      </c>
      <c r="AQ228" s="495">
        <v>0</v>
      </c>
      <c r="AR228" s="495">
        <v>0</v>
      </c>
      <c r="AS228" s="495">
        <v>0</v>
      </c>
    </row>
    <row r="229" spans="1:45">
      <c r="A229" s="390">
        <v>92417</v>
      </c>
      <c r="B229" s="393">
        <v>92417</v>
      </c>
      <c r="C229" s="499" t="s">
        <v>941</v>
      </c>
      <c r="D229" s="378">
        <v>1.1101594715062084E-5</v>
      </c>
      <c r="F229" s="495">
        <v>8527.3340118477463</v>
      </c>
      <c r="G229" s="495">
        <v>16366.517536847745</v>
      </c>
      <c r="H229" s="495">
        <v>1839.9008343477485</v>
      </c>
      <c r="I229" s="495">
        <v>-1150.2930000000001</v>
      </c>
      <c r="J229" s="495">
        <v>0</v>
      </c>
      <c r="M229" s="495">
        <v>5101.7930999999999</v>
      </c>
      <c r="N229" s="495">
        <v>5189.9603999999999</v>
      </c>
      <c r="O229" s="495">
        <v>2733.1863000000003</v>
      </c>
      <c r="P229" s="495">
        <v>0</v>
      </c>
      <c r="Q229" s="495">
        <v>0</v>
      </c>
      <c r="T229" s="495">
        <v>2099.7204000000002</v>
      </c>
      <c r="U229" s="495">
        <v>9541.9706999999999</v>
      </c>
      <c r="V229" s="495">
        <v>-318.25920000000002</v>
      </c>
      <c r="W229" s="495">
        <v>-1150.2930000000001</v>
      </c>
      <c r="X229" s="495">
        <v>0</v>
      </c>
      <c r="AA229" s="495">
        <v>0</v>
      </c>
      <c r="AB229" s="495">
        <v>0</v>
      </c>
      <c r="AC229" s="495">
        <v>0</v>
      </c>
      <c r="AD229" s="495">
        <v>0</v>
      </c>
      <c r="AE229" s="495">
        <v>0</v>
      </c>
      <c r="AH229" s="495">
        <v>2627.8825949999982</v>
      </c>
      <c r="AI229" s="495">
        <v>2627.8825949999982</v>
      </c>
      <c r="AJ229" s="495">
        <v>0</v>
      </c>
      <c r="AK229" s="495">
        <v>0</v>
      </c>
      <c r="AL229" s="495">
        <v>0</v>
      </c>
      <c r="AO229" s="495">
        <v>-1302.0620831522515</v>
      </c>
      <c r="AP229" s="495">
        <v>-993.29615815225145</v>
      </c>
      <c r="AQ229" s="495">
        <v>-575.02626565225194</v>
      </c>
      <c r="AR229" s="495">
        <v>0</v>
      </c>
      <c r="AS229" s="495">
        <v>0</v>
      </c>
    </row>
    <row r="230" spans="1:45">
      <c r="A230" s="390">
        <v>92421</v>
      </c>
      <c r="B230" s="393">
        <v>92421</v>
      </c>
      <c r="C230" s="499" t="s">
        <v>942</v>
      </c>
      <c r="D230" s="378">
        <v>8.4813038443227208E-6</v>
      </c>
      <c r="F230" s="495">
        <v>4229.8632924971971</v>
      </c>
      <c r="G230" s="495">
        <v>12089.012097497198</v>
      </c>
      <c r="H230" s="495">
        <v>2433.0792549971975</v>
      </c>
      <c r="I230" s="495">
        <v>-878.78240000000005</v>
      </c>
      <c r="J230" s="495">
        <v>0</v>
      </c>
      <c r="M230" s="495">
        <v>3897.58608</v>
      </c>
      <c r="N230" s="495">
        <v>3964.94272</v>
      </c>
      <c r="O230" s="495">
        <v>2088.05584</v>
      </c>
      <c r="P230" s="495">
        <v>0</v>
      </c>
      <c r="Q230" s="495">
        <v>0</v>
      </c>
      <c r="T230" s="495">
        <v>1604.1107200000001</v>
      </c>
      <c r="U230" s="495">
        <v>7289.7217600000004</v>
      </c>
      <c r="V230" s="495">
        <v>-243.13856000000001</v>
      </c>
      <c r="W230" s="495">
        <v>-878.78240000000005</v>
      </c>
      <c r="X230" s="495">
        <v>0</v>
      </c>
      <c r="AA230" s="495">
        <v>0</v>
      </c>
      <c r="AB230" s="495">
        <v>0</v>
      </c>
      <c r="AC230" s="495">
        <v>0</v>
      </c>
      <c r="AD230" s="495">
        <v>0</v>
      </c>
      <c r="AE230" s="495">
        <v>0</v>
      </c>
      <c r="AH230" s="495">
        <v>2235.3884774971975</v>
      </c>
      <c r="AI230" s="495">
        <v>931.6766024971979</v>
      </c>
      <c r="AJ230" s="495">
        <v>588.16197499719772</v>
      </c>
      <c r="AK230" s="495">
        <v>0</v>
      </c>
      <c r="AL230" s="495">
        <v>0</v>
      </c>
      <c r="AO230" s="495">
        <v>-3507.2219849999997</v>
      </c>
      <c r="AP230" s="495">
        <v>-97.328984999999676</v>
      </c>
      <c r="AQ230" s="495">
        <v>0</v>
      </c>
      <c r="AR230" s="495">
        <v>0</v>
      </c>
      <c r="AS230" s="495">
        <v>0</v>
      </c>
    </row>
    <row r="231" spans="1:45">
      <c r="A231" s="390">
        <v>92427</v>
      </c>
      <c r="B231" s="393">
        <v>92427</v>
      </c>
      <c r="C231" s="499" t="s">
        <v>943</v>
      </c>
      <c r="D231" s="378">
        <v>1.2801772122981522E-6</v>
      </c>
      <c r="F231" s="495">
        <v>1725.5178868391995</v>
      </c>
      <c r="G231" s="495">
        <v>2378.2753418391994</v>
      </c>
      <c r="H231" s="495">
        <v>723.45355433919917</v>
      </c>
      <c r="I231" s="495">
        <v>-132.6464</v>
      </c>
      <c r="J231" s="495">
        <v>0</v>
      </c>
      <c r="M231" s="495">
        <v>588.31488000000002</v>
      </c>
      <c r="N231" s="495">
        <v>598.48192000000006</v>
      </c>
      <c r="O231" s="495">
        <v>315.17824000000002</v>
      </c>
      <c r="P231" s="495">
        <v>0</v>
      </c>
      <c r="Q231" s="495">
        <v>0</v>
      </c>
      <c r="T231" s="495">
        <v>242.12992</v>
      </c>
      <c r="U231" s="495">
        <v>1100.33536</v>
      </c>
      <c r="V231" s="495">
        <v>-36.700160000000004</v>
      </c>
      <c r="W231" s="495">
        <v>-132.6464</v>
      </c>
      <c r="X231" s="495">
        <v>0</v>
      </c>
      <c r="AA231" s="495">
        <v>0</v>
      </c>
      <c r="AB231" s="495">
        <v>0</v>
      </c>
      <c r="AC231" s="495">
        <v>0</v>
      </c>
      <c r="AD231" s="495">
        <v>0</v>
      </c>
      <c r="AE231" s="495">
        <v>0</v>
      </c>
      <c r="AH231" s="495">
        <v>1121.0388618391992</v>
      </c>
      <c r="AI231" s="495">
        <v>791.76073683919924</v>
      </c>
      <c r="AJ231" s="495">
        <v>444.9754743391992</v>
      </c>
      <c r="AK231" s="495">
        <v>0</v>
      </c>
      <c r="AL231" s="495">
        <v>0</v>
      </c>
      <c r="AO231" s="495">
        <v>-225.96577499999975</v>
      </c>
      <c r="AP231" s="495">
        <v>-112.30267499999977</v>
      </c>
      <c r="AQ231" s="495">
        <v>0</v>
      </c>
      <c r="AR231" s="495">
        <v>0</v>
      </c>
      <c r="AS231" s="495">
        <v>0</v>
      </c>
    </row>
    <row r="232" spans="1:45">
      <c r="A232" s="390">
        <v>92431</v>
      </c>
      <c r="B232" s="500">
        <v>92431</v>
      </c>
      <c r="C232" s="501" t="s">
        <v>944</v>
      </c>
      <c r="D232" s="378">
        <v>5.5908538933197198E-6</v>
      </c>
      <c r="F232" s="495">
        <v>1914.1894926219702</v>
      </c>
      <c r="G232" s="495">
        <v>2395.2591076219705</v>
      </c>
      <c r="H232" s="495">
        <v>944.03043762197194</v>
      </c>
      <c r="I232" s="495">
        <v>-579.29169999999999</v>
      </c>
      <c r="J232" s="495">
        <v>0</v>
      </c>
      <c r="M232" s="495">
        <v>2569.2813900000001</v>
      </c>
      <c r="N232" s="495">
        <v>2613.6827600000001</v>
      </c>
      <c r="O232" s="495">
        <v>1376.44247</v>
      </c>
      <c r="P232" s="495">
        <v>0</v>
      </c>
      <c r="Q232" s="495">
        <v>0</v>
      </c>
      <c r="T232" s="495">
        <v>1057.4267600000001</v>
      </c>
      <c r="U232" s="495">
        <v>4805.3708299999998</v>
      </c>
      <c r="V232" s="495">
        <v>-160.27647999999999</v>
      </c>
      <c r="W232" s="495">
        <v>-579.29169999999999</v>
      </c>
      <c r="X232" s="495">
        <v>0</v>
      </c>
      <c r="AA232" s="495">
        <v>0</v>
      </c>
      <c r="AB232" s="495">
        <v>0</v>
      </c>
      <c r="AC232" s="495">
        <v>0</v>
      </c>
      <c r="AD232" s="495">
        <v>0</v>
      </c>
      <c r="AE232" s="495">
        <v>0</v>
      </c>
      <c r="AH232" s="495">
        <v>6211.1724849999991</v>
      </c>
      <c r="AI232" s="495">
        <v>2899.8966599999999</v>
      </c>
      <c r="AJ232" s="495">
        <v>0</v>
      </c>
      <c r="AK232" s="495">
        <v>0</v>
      </c>
      <c r="AL232" s="495">
        <v>0</v>
      </c>
      <c r="AO232" s="495">
        <v>-7923.6911423780293</v>
      </c>
      <c r="AP232" s="495">
        <v>-7923.6911423780293</v>
      </c>
      <c r="AQ232" s="495">
        <v>-272.13555237802802</v>
      </c>
      <c r="AR232" s="495">
        <v>0</v>
      </c>
      <c r="AS232" s="495">
        <v>0</v>
      </c>
    </row>
    <row r="233" spans="1:45">
      <c r="A233" s="390">
        <v>92441</v>
      </c>
      <c r="B233" s="393">
        <v>92441</v>
      </c>
      <c r="C233" s="499" t="s">
        <v>945</v>
      </c>
      <c r="D233" s="378">
        <v>9.8794698081495228E-5</v>
      </c>
      <c r="F233" s="495">
        <v>68874.348666582955</v>
      </c>
      <c r="G233" s="495">
        <v>132051.60002158297</v>
      </c>
      <c r="H233" s="495">
        <v>35113.340316582951</v>
      </c>
      <c r="I233" s="495">
        <v>-10236.571400000001</v>
      </c>
      <c r="J233" s="495">
        <v>0</v>
      </c>
      <c r="M233" s="495">
        <v>45401.362379999999</v>
      </c>
      <c r="N233" s="495">
        <v>46185.971919999996</v>
      </c>
      <c r="O233" s="495">
        <v>24322.89574</v>
      </c>
      <c r="P233" s="495">
        <v>0</v>
      </c>
      <c r="Q233" s="495">
        <v>0</v>
      </c>
      <c r="T233" s="495">
        <v>18685.619920000001</v>
      </c>
      <c r="U233" s="495">
        <v>84914.942859999996</v>
      </c>
      <c r="V233" s="495">
        <v>-2832.2201599999999</v>
      </c>
      <c r="W233" s="495">
        <v>-10236.571400000001</v>
      </c>
      <c r="X233" s="495">
        <v>0</v>
      </c>
      <c r="AA233" s="495">
        <v>0</v>
      </c>
      <c r="AB233" s="495">
        <v>0</v>
      </c>
      <c r="AC233" s="495">
        <v>0</v>
      </c>
      <c r="AD233" s="495">
        <v>0</v>
      </c>
      <c r="AE233" s="495">
        <v>0</v>
      </c>
      <c r="AH233" s="495">
        <v>20665.21485158295</v>
      </c>
      <c r="AI233" s="495">
        <v>15834.533101582947</v>
      </c>
      <c r="AJ233" s="495">
        <v>13622.664736582952</v>
      </c>
      <c r="AK233" s="495">
        <v>0</v>
      </c>
      <c r="AL233" s="495">
        <v>0</v>
      </c>
      <c r="AO233" s="495">
        <v>-15877.848484999991</v>
      </c>
      <c r="AP233" s="495">
        <v>-14883.847859999994</v>
      </c>
      <c r="AQ233" s="495">
        <v>0</v>
      </c>
      <c r="AR233" s="495">
        <v>0</v>
      </c>
      <c r="AS233" s="495">
        <v>0</v>
      </c>
    </row>
    <row r="234" spans="1:45">
      <c r="A234" s="390">
        <v>92444</v>
      </c>
      <c r="B234" s="393">
        <v>92444</v>
      </c>
      <c r="C234" s="499" t="s">
        <v>946</v>
      </c>
      <c r="D234" s="378">
        <v>7.22100654237895E-6</v>
      </c>
      <c r="F234" s="495">
        <v>1109.3481958820503</v>
      </c>
      <c r="G234" s="495">
        <v>5953.4349658820502</v>
      </c>
      <c r="H234" s="495">
        <v>-771.97252911795067</v>
      </c>
      <c r="I234" s="495">
        <v>-748.20860000000005</v>
      </c>
      <c r="J234" s="495">
        <v>0</v>
      </c>
      <c r="M234" s="495">
        <v>3318.46362</v>
      </c>
      <c r="N234" s="495">
        <v>3375.8120800000002</v>
      </c>
      <c r="O234" s="495">
        <v>1777.8022600000002</v>
      </c>
      <c r="P234" s="495">
        <v>0</v>
      </c>
      <c r="Q234" s="495">
        <v>0</v>
      </c>
      <c r="T234" s="495">
        <v>1365.7640800000001</v>
      </c>
      <c r="U234" s="495">
        <v>6206.5791400000007</v>
      </c>
      <c r="V234" s="495">
        <v>-207.01184000000001</v>
      </c>
      <c r="W234" s="495">
        <v>-748.20860000000005</v>
      </c>
      <c r="X234" s="495">
        <v>0</v>
      </c>
      <c r="AA234" s="495">
        <v>0</v>
      </c>
      <c r="AB234" s="495">
        <v>0</v>
      </c>
      <c r="AC234" s="495">
        <v>0</v>
      </c>
      <c r="AD234" s="495">
        <v>0</v>
      </c>
      <c r="AE234" s="495">
        <v>0</v>
      </c>
      <c r="AH234" s="495">
        <v>568.31550000000107</v>
      </c>
      <c r="AI234" s="495">
        <v>0</v>
      </c>
      <c r="AJ234" s="495">
        <v>0</v>
      </c>
      <c r="AK234" s="495">
        <v>0</v>
      </c>
      <c r="AL234" s="495">
        <v>0</v>
      </c>
      <c r="AO234" s="495">
        <v>-4143.1950041179516</v>
      </c>
      <c r="AP234" s="495">
        <v>-3628.9562541179512</v>
      </c>
      <c r="AQ234" s="495">
        <v>-2342.7629491179509</v>
      </c>
      <c r="AR234" s="495">
        <v>0</v>
      </c>
      <c r="AS234" s="495">
        <v>0</v>
      </c>
    </row>
    <row r="235" spans="1:45">
      <c r="A235" s="390">
        <v>92451</v>
      </c>
      <c r="B235" s="393">
        <v>92451</v>
      </c>
      <c r="C235" s="499" t="s">
        <v>947</v>
      </c>
      <c r="D235" s="378">
        <v>1.2658874140493911E-4</v>
      </c>
      <c r="F235" s="495">
        <v>124558.4960704004</v>
      </c>
      <c r="G235" s="495">
        <v>200855.2848154004</v>
      </c>
      <c r="H235" s="495">
        <v>50175.093262900409</v>
      </c>
      <c r="I235" s="495">
        <v>-13116.4491</v>
      </c>
      <c r="J235" s="495">
        <v>0</v>
      </c>
      <c r="M235" s="495">
        <v>58174.22997</v>
      </c>
      <c r="N235" s="495">
        <v>59179.57548</v>
      </c>
      <c r="O235" s="495">
        <v>31165.71081</v>
      </c>
      <c r="P235" s="495">
        <v>0</v>
      </c>
      <c r="Q235" s="495">
        <v>0</v>
      </c>
      <c r="T235" s="495">
        <v>23942.48748</v>
      </c>
      <c r="U235" s="495">
        <v>108804.25509000001</v>
      </c>
      <c r="V235" s="495">
        <v>-3629.0150400000002</v>
      </c>
      <c r="W235" s="495">
        <v>-13116.4491</v>
      </c>
      <c r="X235" s="495">
        <v>0</v>
      </c>
      <c r="AA235" s="495">
        <v>0</v>
      </c>
      <c r="AB235" s="495">
        <v>0</v>
      </c>
      <c r="AC235" s="495">
        <v>0</v>
      </c>
      <c r="AD235" s="495">
        <v>0</v>
      </c>
      <c r="AE235" s="495">
        <v>0</v>
      </c>
      <c r="AH235" s="495">
        <v>45653.635125400404</v>
      </c>
      <c r="AI235" s="495">
        <v>36083.310750400407</v>
      </c>
      <c r="AJ235" s="495">
        <v>22638.397492900411</v>
      </c>
      <c r="AK235" s="495">
        <v>0</v>
      </c>
      <c r="AL235" s="495">
        <v>0</v>
      </c>
      <c r="AO235" s="495">
        <v>-3211.8565050000061</v>
      </c>
      <c r="AP235" s="495">
        <v>-3211.8565050000061</v>
      </c>
      <c r="AQ235" s="495">
        <v>0</v>
      </c>
      <c r="AR235" s="495">
        <v>0</v>
      </c>
      <c r="AS235" s="495">
        <v>0</v>
      </c>
    </row>
    <row r="236" spans="1:45">
      <c r="A236" s="390">
        <v>92461</v>
      </c>
      <c r="B236" s="393">
        <v>92461</v>
      </c>
      <c r="C236" s="499" t="s">
        <v>948</v>
      </c>
      <c r="D236" s="378">
        <v>1.1114650178578394E-4</v>
      </c>
      <c r="F236" s="495">
        <v>97965.947179933806</v>
      </c>
      <c r="G236" s="495">
        <v>166294.42135993383</v>
      </c>
      <c r="H236" s="495">
        <v>41874.446389933793</v>
      </c>
      <c r="I236" s="495">
        <v>-11516.401900000001</v>
      </c>
      <c r="J236" s="495">
        <v>0</v>
      </c>
      <c r="M236" s="495">
        <v>51077.681730000004</v>
      </c>
      <c r="N236" s="495">
        <v>51960.387320000002</v>
      </c>
      <c r="O236" s="495">
        <v>27363.87329</v>
      </c>
      <c r="P236" s="495">
        <v>0</v>
      </c>
      <c r="Q236" s="495">
        <v>0</v>
      </c>
      <c r="T236" s="495">
        <v>21021.795320000001</v>
      </c>
      <c r="U236" s="495">
        <v>95531.45981</v>
      </c>
      <c r="V236" s="495">
        <v>-3186.31936</v>
      </c>
      <c r="W236" s="495">
        <v>-11516.401900000001</v>
      </c>
      <c r="X236" s="495">
        <v>0</v>
      </c>
      <c r="AA236" s="495">
        <v>0</v>
      </c>
      <c r="AB236" s="495">
        <v>0</v>
      </c>
      <c r="AC236" s="495">
        <v>0</v>
      </c>
      <c r="AD236" s="495">
        <v>0</v>
      </c>
      <c r="AE236" s="495">
        <v>0</v>
      </c>
      <c r="AH236" s="495">
        <v>28036.854219933797</v>
      </c>
      <c r="AI236" s="495">
        <v>19341.627069933795</v>
      </c>
      <c r="AJ236" s="495">
        <v>17696.892459933795</v>
      </c>
      <c r="AK236" s="495">
        <v>0</v>
      </c>
      <c r="AL236" s="495">
        <v>0</v>
      </c>
      <c r="AO236" s="495">
        <v>-2170.3840899999859</v>
      </c>
      <c r="AP236" s="495">
        <v>-539.05283999998687</v>
      </c>
      <c r="AQ236" s="495">
        <v>0</v>
      </c>
      <c r="AR236" s="495">
        <v>0</v>
      </c>
      <c r="AS236" s="495">
        <v>0</v>
      </c>
    </row>
    <row r="237" spans="1:45">
      <c r="A237" s="390">
        <v>92501</v>
      </c>
      <c r="B237" s="393">
        <v>92501</v>
      </c>
      <c r="C237" s="499" t="s">
        <v>949</v>
      </c>
      <c r="D237" s="378">
        <v>3.9565457495662646E-3</v>
      </c>
      <c r="F237" s="495">
        <v>2477567.3646116396</v>
      </c>
      <c r="G237" s="495">
        <v>5100390.7579216398</v>
      </c>
      <c r="H237" s="495">
        <v>428880.57659663935</v>
      </c>
      <c r="I237" s="495">
        <v>-409956.13479999994</v>
      </c>
      <c r="J237" s="495">
        <v>0</v>
      </c>
      <c r="M237" s="495">
        <v>1818242.2911599998</v>
      </c>
      <c r="N237" s="495">
        <v>1849664.4814399998</v>
      </c>
      <c r="O237" s="495">
        <v>974087.89867999987</v>
      </c>
      <c r="P237" s="495">
        <v>0</v>
      </c>
      <c r="Q237" s="495">
        <v>0</v>
      </c>
      <c r="T237" s="495">
        <v>748325.21743999992</v>
      </c>
      <c r="U237" s="495">
        <v>3400689.5865199999</v>
      </c>
      <c r="V237" s="495">
        <v>-113425.28511999999</v>
      </c>
      <c r="W237" s="495">
        <v>-409956.13479999994</v>
      </c>
      <c r="X237" s="495">
        <v>0</v>
      </c>
      <c r="AA237" s="495">
        <v>0</v>
      </c>
      <c r="AB237" s="495">
        <v>0</v>
      </c>
      <c r="AC237" s="495">
        <v>0</v>
      </c>
      <c r="AD237" s="495">
        <v>0</v>
      </c>
      <c r="AE237" s="495">
        <v>0</v>
      </c>
      <c r="AH237" s="495">
        <v>361709.72970000037</v>
      </c>
      <c r="AI237" s="495">
        <v>300746.56365000049</v>
      </c>
      <c r="AJ237" s="495">
        <v>0</v>
      </c>
      <c r="AK237" s="495">
        <v>0</v>
      </c>
      <c r="AL237" s="495">
        <v>0</v>
      </c>
      <c r="AO237" s="495">
        <v>-450709.87368836056</v>
      </c>
      <c r="AP237" s="495">
        <v>-450709.87368836056</v>
      </c>
      <c r="AQ237" s="495">
        <v>-431782.0369633605</v>
      </c>
      <c r="AR237" s="495">
        <v>0</v>
      </c>
      <c r="AS237" s="495">
        <v>0</v>
      </c>
    </row>
    <row r="238" spans="1:45">
      <c r="A238" s="390">
        <v>92502</v>
      </c>
      <c r="B238" s="393">
        <v>92502</v>
      </c>
      <c r="C238" s="499" t="s">
        <v>950</v>
      </c>
      <c r="D238" s="378">
        <v>1.759253380330739E-5</v>
      </c>
      <c r="F238" s="495">
        <v>12574.821689551965</v>
      </c>
      <c r="G238" s="495">
        <v>21827.904079551969</v>
      </c>
      <c r="H238" s="495">
        <v>3735.2748720519712</v>
      </c>
      <c r="I238" s="495">
        <v>-1822.8516999999999</v>
      </c>
      <c r="J238" s="495">
        <v>0</v>
      </c>
      <c r="M238" s="495">
        <v>8084.7333899999994</v>
      </c>
      <c r="N238" s="495">
        <v>8224.4507599999997</v>
      </c>
      <c r="O238" s="495">
        <v>4331.2384700000002</v>
      </c>
      <c r="P238" s="495">
        <v>0</v>
      </c>
      <c r="Q238" s="495">
        <v>0</v>
      </c>
      <c r="T238" s="495">
        <v>3327.3947599999997</v>
      </c>
      <c r="U238" s="495">
        <v>15121.01483</v>
      </c>
      <c r="V238" s="495">
        <v>-504.34047999999996</v>
      </c>
      <c r="W238" s="495">
        <v>-1822.8516999999999</v>
      </c>
      <c r="X238" s="495">
        <v>0</v>
      </c>
      <c r="AA238" s="495">
        <v>0</v>
      </c>
      <c r="AB238" s="495">
        <v>0</v>
      </c>
      <c r="AC238" s="495">
        <v>0</v>
      </c>
      <c r="AD238" s="495">
        <v>0</v>
      </c>
      <c r="AE238" s="495">
        <v>0</v>
      </c>
      <c r="AH238" s="495">
        <v>4226.5941224999988</v>
      </c>
      <c r="AI238" s="495">
        <v>1546.3390724999999</v>
      </c>
      <c r="AJ238" s="495">
        <v>0</v>
      </c>
      <c r="AK238" s="495">
        <v>0</v>
      </c>
      <c r="AL238" s="495">
        <v>0</v>
      </c>
      <c r="AO238" s="495">
        <v>-3063.9005829480311</v>
      </c>
      <c r="AP238" s="495">
        <v>-3063.9005829480311</v>
      </c>
      <c r="AQ238" s="495">
        <v>-91.623117948029176</v>
      </c>
      <c r="AR238" s="495">
        <v>0</v>
      </c>
      <c r="AS238" s="495">
        <v>0</v>
      </c>
    </row>
    <row r="239" spans="1:45">
      <c r="A239" s="390">
        <v>92504</v>
      </c>
      <c r="B239" s="393">
        <v>92504</v>
      </c>
      <c r="C239" s="499" t="s">
        <v>951</v>
      </c>
      <c r="D239" s="378">
        <v>1.098262680376971E-4</v>
      </c>
      <c r="F239" s="495">
        <v>93339.32156264651</v>
      </c>
      <c r="G239" s="495">
        <v>160958.5850726465</v>
      </c>
      <c r="H239" s="495">
        <v>22952.558435146511</v>
      </c>
      <c r="I239" s="495">
        <v>-11379.610299999998</v>
      </c>
      <c r="J239" s="495">
        <v>0</v>
      </c>
      <c r="M239" s="495">
        <v>50470.98201</v>
      </c>
      <c r="N239" s="495">
        <v>51343.202839999998</v>
      </c>
      <c r="O239" s="495">
        <v>27038.845729999997</v>
      </c>
      <c r="P239" s="495">
        <v>0</v>
      </c>
      <c r="Q239" s="495">
        <v>0</v>
      </c>
      <c r="T239" s="495">
        <v>20772.098839999999</v>
      </c>
      <c r="U239" s="495">
        <v>94396.738969999991</v>
      </c>
      <c r="V239" s="495">
        <v>-3148.4723199999999</v>
      </c>
      <c r="W239" s="495">
        <v>-11379.610299999998</v>
      </c>
      <c r="X239" s="495">
        <v>0</v>
      </c>
      <c r="AA239" s="495">
        <v>0</v>
      </c>
      <c r="AB239" s="495">
        <v>0</v>
      </c>
      <c r="AC239" s="495">
        <v>0</v>
      </c>
      <c r="AD239" s="495">
        <v>0</v>
      </c>
      <c r="AE239" s="495">
        <v>0</v>
      </c>
      <c r="AH239" s="495">
        <v>23034.055687499986</v>
      </c>
      <c r="AI239" s="495">
        <v>16156.458237499988</v>
      </c>
      <c r="AJ239" s="495">
        <v>0</v>
      </c>
      <c r="AK239" s="495">
        <v>0</v>
      </c>
      <c r="AL239" s="495">
        <v>0</v>
      </c>
      <c r="AO239" s="495">
        <v>-937.81497485348518</v>
      </c>
      <c r="AP239" s="495">
        <v>-937.81497485348518</v>
      </c>
      <c r="AQ239" s="495">
        <v>-937.81497485348518</v>
      </c>
      <c r="AR239" s="495">
        <v>0</v>
      </c>
      <c r="AS239" s="495">
        <v>0</v>
      </c>
    </row>
    <row r="240" spans="1:45">
      <c r="A240" s="390">
        <v>92505</v>
      </c>
      <c r="B240" s="393">
        <v>92505</v>
      </c>
      <c r="C240" s="499" t="s">
        <v>952</v>
      </c>
      <c r="D240" s="378">
        <v>9.183361394912281E-5</v>
      </c>
      <c r="F240" s="495">
        <v>64880.325018613534</v>
      </c>
      <c r="G240" s="495">
        <v>118198.86791361353</v>
      </c>
      <c r="H240" s="495">
        <v>14923.132158613531</v>
      </c>
      <c r="I240" s="495">
        <v>-9515.3065999999999</v>
      </c>
      <c r="J240" s="495">
        <v>0</v>
      </c>
      <c r="M240" s="495">
        <v>42202.400219999996</v>
      </c>
      <c r="N240" s="495">
        <v>42931.726479999998</v>
      </c>
      <c r="O240" s="495">
        <v>22609.11406</v>
      </c>
      <c r="P240" s="495">
        <v>0</v>
      </c>
      <c r="Q240" s="495">
        <v>0</v>
      </c>
      <c r="T240" s="495">
        <v>17369.038479999999</v>
      </c>
      <c r="U240" s="495">
        <v>78931.869340000005</v>
      </c>
      <c r="V240" s="495">
        <v>-2632.6630399999999</v>
      </c>
      <c r="W240" s="495">
        <v>-9515.3065999999999</v>
      </c>
      <c r="X240" s="495">
        <v>0</v>
      </c>
      <c r="AA240" s="495">
        <v>0</v>
      </c>
      <c r="AB240" s="495">
        <v>0</v>
      </c>
      <c r="AC240" s="495">
        <v>0</v>
      </c>
      <c r="AD240" s="495">
        <v>0</v>
      </c>
      <c r="AE240" s="495">
        <v>0</v>
      </c>
      <c r="AH240" s="495">
        <v>15063.943840000004</v>
      </c>
      <c r="AI240" s="495">
        <v>6090.3296150000024</v>
      </c>
      <c r="AJ240" s="495">
        <v>0</v>
      </c>
      <c r="AK240" s="495">
        <v>0</v>
      </c>
      <c r="AL240" s="495">
        <v>0</v>
      </c>
      <c r="AO240" s="495">
        <v>-9755.057521386474</v>
      </c>
      <c r="AP240" s="495">
        <v>-9755.057521386474</v>
      </c>
      <c r="AQ240" s="495">
        <v>-5053.3188613864695</v>
      </c>
      <c r="AR240" s="495">
        <v>0</v>
      </c>
      <c r="AS240" s="495">
        <v>0</v>
      </c>
    </row>
    <row r="241" spans="1:45">
      <c r="A241" s="390">
        <v>92506</v>
      </c>
      <c r="B241" s="393">
        <v>92506</v>
      </c>
      <c r="C241" s="499" t="s">
        <v>953</v>
      </c>
      <c r="D241" s="378">
        <v>6.8820243993287646E-5</v>
      </c>
      <c r="F241" s="495">
        <v>58513.002403344028</v>
      </c>
      <c r="G241" s="495">
        <v>101626.05211334403</v>
      </c>
      <c r="H241" s="495">
        <v>10483.01857584402</v>
      </c>
      <c r="I241" s="495">
        <v>-7130.7803000000004</v>
      </c>
      <c r="J241" s="495">
        <v>0</v>
      </c>
      <c r="M241" s="495">
        <v>31626.52101</v>
      </c>
      <c r="N241" s="495">
        <v>32173.078839999998</v>
      </c>
      <c r="O241" s="495">
        <v>16943.292730000001</v>
      </c>
      <c r="P241" s="495">
        <v>0</v>
      </c>
      <c r="Q241" s="495">
        <v>0</v>
      </c>
      <c r="T241" s="495">
        <v>13016.37484</v>
      </c>
      <c r="U241" s="495">
        <v>59151.62197</v>
      </c>
      <c r="V241" s="495">
        <v>-1972.9203199999999</v>
      </c>
      <c r="W241" s="495">
        <v>-7130.7803000000004</v>
      </c>
      <c r="X241" s="495">
        <v>0</v>
      </c>
      <c r="AA241" s="495">
        <v>0</v>
      </c>
      <c r="AB241" s="495">
        <v>0</v>
      </c>
      <c r="AC241" s="495">
        <v>0</v>
      </c>
      <c r="AD241" s="495">
        <v>0</v>
      </c>
      <c r="AE241" s="495">
        <v>0</v>
      </c>
      <c r="AH241" s="495">
        <v>19494.091387500011</v>
      </c>
      <c r="AI241" s="495">
        <v>14788.705137500012</v>
      </c>
      <c r="AJ241" s="495">
        <v>0</v>
      </c>
      <c r="AK241" s="495">
        <v>0</v>
      </c>
      <c r="AL241" s="495">
        <v>0</v>
      </c>
      <c r="AO241" s="495">
        <v>-5623.9848341559864</v>
      </c>
      <c r="AP241" s="495">
        <v>-4487.3538341559815</v>
      </c>
      <c r="AQ241" s="495">
        <v>-4487.3538341559815</v>
      </c>
      <c r="AR241" s="495">
        <v>0</v>
      </c>
      <c r="AS241" s="495">
        <v>0</v>
      </c>
    </row>
    <row r="242" spans="1:45">
      <c r="A242" s="390">
        <v>92507</v>
      </c>
      <c r="B242" s="393">
        <v>92507</v>
      </c>
      <c r="C242" s="499" t="s">
        <v>954</v>
      </c>
      <c r="D242" s="378">
        <v>1.0323533596752006E-4</v>
      </c>
      <c r="F242" s="495">
        <v>58870.348358822033</v>
      </c>
      <c r="G242" s="495">
        <v>137208.43205382206</v>
      </c>
      <c r="H242" s="495">
        <v>22347.823366322045</v>
      </c>
      <c r="I242" s="495">
        <v>-10696.688600000001</v>
      </c>
      <c r="J242" s="495">
        <v>0</v>
      </c>
      <c r="M242" s="495">
        <v>47442.079620000004</v>
      </c>
      <c r="N242" s="495">
        <v>48261.956080000004</v>
      </c>
      <c r="O242" s="495">
        <v>25416.170260000003</v>
      </c>
      <c r="P242" s="495">
        <v>0</v>
      </c>
      <c r="Q242" s="495">
        <v>0</v>
      </c>
      <c r="T242" s="495">
        <v>19525.50808</v>
      </c>
      <c r="U242" s="495">
        <v>88731.731140000004</v>
      </c>
      <c r="V242" s="495">
        <v>-2959.5238400000003</v>
      </c>
      <c r="W242" s="495">
        <v>-10696.688600000001</v>
      </c>
      <c r="X242" s="495">
        <v>0</v>
      </c>
      <c r="AA242" s="495">
        <v>0</v>
      </c>
      <c r="AB242" s="495">
        <v>0</v>
      </c>
      <c r="AC242" s="495">
        <v>0</v>
      </c>
      <c r="AD242" s="495">
        <v>0</v>
      </c>
      <c r="AE242" s="495">
        <v>0</v>
      </c>
      <c r="AH242" s="495">
        <v>4080.3305249999894</v>
      </c>
      <c r="AI242" s="495">
        <v>4080.3305249999894</v>
      </c>
      <c r="AJ242" s="495">
        <v>0</v>
      </c>
      <c r="AK242" s="495">
        <v>0</v>
      </c>
      <c r="AL242" s="495">
        <v>0</v>
      </c>
      <c r="AO242" s="495">
        <v>-12177.569866177955</v>
      </c>
      <c r="AP242" s="495">
        <v>-3865.5856911779547</v>
      </c>
      <c r="AQ242" s="495">
        <v>-108.82305367795448</v>
      </c>
      <c r="AR242" s="495">
        <v>0</v>
      </c>
      <c r="AS242" s="495">
        <v>0</v>
      </c>
    </row>
    <row r="243" spans="1:45">
      <c r="A243" s="390">
        <v>92508</v>
      </c>
      <c r="B243" s="393">
        <v>92508</v>
      </c>
      <c r="C243" s="499" t="s">
        <v>955</v>
      </c>
      <c r="D243" s="378">
        <v>2.6576932901381907E-4</v>
      </c>
      <c r="F243" s="495">
        <v>195718.60191184029</v>
      </c>
      <c r="G243" s="495">
        <v>364096.36286684033</v>
      </c>
      <c r="H243" s="495">
        <v>68610.14810184027</v>
      </c>
      <c r="I243" s="495">
        <v>-27537.599899999997</v>
      </c>
      <c r="J243" s="495">
        <v>0</v>
      </c>
      <c r="M243" s="495">
        <v>122135.08833</v>
      </c>
      <c r="N243" s="495">
        <v>124245.78172</v>
      </c>
      <c r="O243" s="495">
        <v>65431.495089999997</v>
      </c>
      <c r="P243" s="495">
        <v>0</v>
      </c>
      <c r="Q243" s="495">
        <v>0</v>
      </c>
      <c r="T243" s="495">
        <v>50266.549719999995</v>
      </c>
      <c r="U243" s="495">
        <v>228431.34000999999</v>
      </c>
      <c r="V243" s="495">
        <v>-7619.0105599999997</v>
      </c>
      <c r="W243" s="495">
        <v>-27537.599899999997</v>
      </c>
      <c r="X243" s="495">
        <v>0</v>
      </c>
      <c r="AA243" s="495">
        <v>0</v>
      </c>
      <c r="AB243" s="495">
        <v>0</v>
      </c>
      <c r="AC243" s="495">
        <v>0</v>
      </c>
      <c r="AD243" s="495">
        <v>0</v>
      </c>
      <c r="AE243" s="495">
        <v>0</v>
      </c>
      <c r="AH243" s="495">
        <v>38769.811941840257</v>
      </c>
      <c r="AI243" s="495">
        <v>26872.089216840272</v>
      </c>
      <c r="AJ243" s="495">
        <v>10797.663571840276</v>
      </c>
      <c r="AK243" s="495">
        <v>0</v>
      </c>
      <c r="AL243" s="495">
        <v>0</v>
      </c>
      <c r="AO243" s="495">
        <v>-15452.848079999956</v>
      </c>
      <c r="AP243" s="495">
        <v>-15452.848079999956</v>
      </c>
      <c r="AQ243" s="495">
        <v>0</v>
      </c>
      <c r="AR243" s="495">
        <v>0</v>
      </c>
      <c r="AS243" s="495">
        <v>0</v>
      </c>
    </row>
    <row r="244" spans="1:45">
      <c r="A244" s="390">
        <v>92511</v>
      </c>
      <c r="B244" s="393">
        <v>92511</v>
      </c>
      <c r="C244" s="499" t="s">
        <v>956</v>
      </c>
      <c r="D244" s="378">
        <v>3.4380689344291541E-3</v>
      </c>
      <c r="F244" s="495">
        <v>2382507.930854266</v>
      </c>
      <c r="G244" s="495">
        <v>4775056.2232392654</v>
      </c>
      <c r="H244" s="495">
        <v>934913.16658926569</v>
      </c>
      <c r="I244" s="495">
        <v>-356234.34279999998</v>
      </c>
      <c r="J244" s="495">
        <v>0</v>
      </c>
      <c r="M244" s="495">
        <v>1579974.7647599999</v>
      </c>
      <c r="N244" s="495">
        <v>1607279.3038399999</v>
      </c>
      <c r="O244" s="495">
        <v>846440.71148000006</v>
      </c>
      <c r="P244" s="495">
        <v>0</v>
      </c>
      <c r="Q244" s="495">
        <v>0</v>
      </c>
      <c r="T244" s="495">
        <v>650262.59984000004</v>
      </c>
      <c r="U244" s="495">
        <v>2955053.76572</v>
      </c>
      <c r="V244" s="495">
        <v>-98561.720320000008</v>
      </c>
      <c r="W244" s="495">
        <v>-356234.34279999998</v>
      </c>
      <c r="X244" s="495">
        <v>0</v>
      </c>
      <c r="AA244" s="495">
        <v>0</v>
      </c>
      <c r="AB244" s="495">
        <v>0</v>
      </c>
      <c r="AC244" s="495">
        <v>0</v>
      </c>
      <c r="AD244" s="495">
        <v>0</v>
      </c>
      <c r="AE244" s="495">
        <v>0</v>
      </c>
      <c r="AH244" s="495">
        <v>225226.18482926564</v>
      </c>
      <c r="AI244" s="495">
        <v>225226.18482926564</v>
      </c>
      <c r="AJ244" s="495">
        <v>187034.17542926566</v>
      </c>
      <c r="AK244" s="495">
        <v>0</v>
      </c>
      <c r="AL244" s="495">
        <v>0</v>
      </c>
      <c r="AO244" s="495">
        <v>-72955.618574999564</v>
      </c>
      <c r="AP244" s="495">
        <v>-12503.031149999759</v>
      </c>
      <c r="AQ244" s="495">
        <v>0</v>
      </c>
      <c r="AR244" s="495">
        <v>0</v>
      </c>
      <c r="AS244" s="495">
        <v>0</v>
      </c>
    </row>
    <row r="245" spans="1:45">
      <c r="A245" s="390">
        <v>92513</v>
      </c>
      <c r="B245" s="393">
        <v>92513</v>
      </c>
      <c r="C245" s="499" t="s">
        <v>957</v>
      </c>
      <c r="D245" s="378">
        <v>5.7257975379449372E-3</v>
      </c>
      <c r="F245" s="495">
        <v>5632714.6341587529</v>
      </c>
      <c r="G245" s="495">
        <v>9306553.6158837527</v>
      </c>
      <c r="H245" s="495">
        <v>2834743.5215687528</v>
      </c>
      <c r="I245" s="495">
        <v>-593276.56850000005</v>
      </c>
      <c r="J245" s="495">
        <v>0</v>
      </c>
      <c r="M245" s="495">
        <v>2631307.24395</v>
      </c>
      <c r="N245" s="495">
        <v>2676780.5218000002</v>
      </c>
      <c r="O245" s="495">
        <v>1409671.61335</v>
      </c>
      <c r="P245" s="495">
        <v>0</v>
      </c>
      <c r="Q245" s="495">
        <v>0</v>
      </c>
      <c r="T245" s="495">
        <v>1082954.4418000001</v>
      </c>
      <c r="U245" s="495">
        <v>4921378.8431500001</v>
      </c>
      <c r="V245" s="495">
        <v>-164145.76640000002</v>
      </c>
      <c r="W245" s="495">
        <v>-593276.56850000005</v>
      </c>
      <c r="X245" s="495">
        <v>0</v>
      </c>
      <c r="AA245" s="495">
        <v>0</v>
      </c>
      <c r="AB245" s="495">
        <v>0</v>
      </c>
      <c r="AC245" s="495">
        <v>0</v>
      </c>
      <c r="AD245" s="495">
        <v>0</v>
      </c>
      <c r="AE245" s="495">
        <v>0</v>
      </c>
      <c r="AH245" s="495">
        <v>2066842.6348887521</v>
      </c>
      <c r="AI245" s="495">
        <v>1781150.4330387523</v>
      </c>
      <c r="AJ245" s="495">
        <v>1589217.6746187527</v>
      </c>
      <c r="AK245" s="495">
        <v>0</v>
      </c>
      <c r="AL245" s="495">
        <v>0</v>
      </c>
      <c r="AO245" s="495">
        <v>-148389.68647999992</v>
      </c>
      <c r="AP245" s="495">
        <v>-72756.182104999898</v>
      </c>
      <c r="AQ245" s="495">
        <v>0</v>
      </c>
      <c r="AR245" s="495">
        <v>0</v>
      </c>
      <c r="AS245" s="495">
        <v>0</v>
      </c>
    </row>
    <row r="246" spans="1:45">
      <c r="A246" s="390">
        <v>92521</v>
      </c>
      <c r="B246" s="393">
        <v>92521</v>
      </c>
      <c r="C246" s="499" t="s">
        <v>958</v>
      </c>
      <c r="D246" s="378">
        <v>5.8138649473846846E-5</v>
      </c>
      <c r="F246" s="495">
        <v>30550.827423701317</v>
      </c>
      <c r="G246" s="495">
        <v>66635.219278701305</v>
      </c>
      <c r="H246" s="495">
        <v>7253.6507762013061</v>
      </c>
      <c r="I246" s="495">
        <v>-6024.0119000000004</v>
      </c>
      <c r="J246" s="495">
        <v>0</v>
      </c>
      <c r="M246" s="495">
        <v>26717.76873</v>
      </c>
      <c r="N246" s="495">
        <v>27179.495320000002</v>
      </c>
      <c r="O246" s="495">
        <v>14313.524289999999</v>
      </c>
      <c r="P246" s="495">
        <v>0</v>
      </c>
      <c r="Q246" s="495">
        <v>0</v>
      </c>
      <c r="T246" s="495">
        <v>10996.10332</v>
      </c>
      <c r="U246" s="495">
        <v>49970.698810000002</v>
      </c>
      <c r="V246" s="495">
        <v>-1666.70336</v>
      </c>
      <c r="W246" s="495">
        <v>-6024.0119000000004</v>
      </c>
      <c r="X246" s="495">
        <v>0</v>
      </c>
      <c r="AA246" s="495">
        <v>0</v>
      </c>
      <c r="AB246" s="495">
        <v>0</v>
      </c>
      <c r="AC246" s="495">
        <v>0</v>
      </c>
      <c r="AD246" s="495">
        <v>0</v>
      </c>
      <c r="AE246" s="495">
        <v>0</v>
      </c>
      <c r="AH246" s="495">
        <v>4436.7200325000049</v>
      </c>
      <c r="AI246" s="495">
        <v>1084.7898075000012</v>
      </c>
      <c r="AJ246" s="495">
        <v>0</v>
      </c>
      <c r="AK246" s="495">
        <v>0</v>
      </c>
      <c r="AL246" s="495">
        <v>0</v>
      </c>
      <c r="AO246" s="495">
        <v>-11599.764658798691</v>
      </c>
      <c r="AP246" s="495">
        <v>-11599.764658798691</v>
      </c>
      <c r="AQ246" s="495">
        <v>-5393.1701537986937</v>
      </c>
      <c r="AR246" s="495">
        <v>0</v>
      </c>
      <c r="AS246" s="495">
        <v>0</v>
      </c>
    </row>
    <row r="247" spans="1:45">
      <c r="A247" s="390">
        <v>92531</v>
      </c>
      <c r="B247" s="393">
        <v>92531</v>
      </c>
      <c r="C247" s="499" t="s">
        <v>959</v>
      </c>
      <c r="D247" s="378">
        <v>8.5074592786173284E-4</v>
      </c>
      <c r="F247" s="495">
        <v>540470.27919407026</v>
      </c>
      <c r="G247" s="495">
        <v>1122279.2686390702</v>
      </c>
      <c r="H247" s="495">
        <v>122043.96799907033</v>
      </c>
      <c r="I247" s="495">
        <v>-88149.750599999999</v>
      </c>
      <c r="J247" s="495">
        <v>0</v>
      </c>
      <c r="M247" s="495">
        <v>390962.81501999998</v>
      </c>
      <c r="N247" s="495">
        <v>397719.28967999999</v>
      </c>
      <c r="O247" s="495">
        <v>209450.71445999999</v>
      </c>
      <c r="P247" s="495">
        <v>0</v>
      </c>
      <c r="Q247" s="495">
        <v>0</v>
      </c>
      <c r="T247" s="495">
        <v>160906.68167999998</v>
      </c>
      <c r="U247" s="495">
        <v>731224.42493999994</v>
      </c>
      <c r="V247" s="495">
        <v>-24388.976639999997</v>
      </c>
      <c r="W247" s="495">
        <v>-88149.750599999999</v>
      </c>
      <c r="X247" s="495">
        <v>0</v>
      </c>
      <c r="AA247" s="495">
        <v>0</v>
      </c>
      <c r="AB247" s="495">
        <v>0</v>
      </c>
      <c r="AC247" s="495">
        <v>0</v>
      </c>
      <c r="AD247" s="495">
        <v>0</v>
      </c>
      <c r="AE247" s="495">
        <v>0</v>
      </c>
      <c r="AH247" s="495">
        <v>78103.397669999977</v>
      </c>
      <c r="AI247" s="495">
        <v>71169.94856999995</v>
      </c>
      <c r="AJ247" s="495">
        <v>0</v>
      </c>
      <c r="AK247" s="495">
        <v>0</v>
      </c>
      <c r="AL247" s="495">
        <v>0</v>
      </c>
      <c r="AO247" s="495">
        <v>-89502.615175929677</v>
      </c>
      <c r="AP247" s="495">
        <v>-77834.39455092969</v>
      </c>
      <c r="AQ247" s="495">
        <v>-63017.76982092965</v>
      </c>
      <c r="AR247" s="495">
        <v>0</v>
      </c>
      <c r="AS247" s="495">
        <v>0</v>
      </c>
    </row>
    <row r="248" spans="1:45">
      <c r="A248" s="390">
        <v>92541</v>
      </c>
      <c r="B248" s="393">
        <v>92541</v>
      </c>
      <c r="C248" s="499" t="s">
        <v>960</v>
      </c>
      <c r="D248" s="378">
        <v>1.3931054881388325E-4</v>
      </c>
      <c r="F248" s="495">
        <v>76501.250515396168</v>
      </c>
      <c r="G248" s="495">
        <v>176624.65498039615</v>
      </c>
      <c r="H248" s="495">
        <v>37135.759725396187</v>
      </c>
      <c r="I248" s="495">
        <v>-14434.6227</v>
      </c>
      <c r="J248" s="495">
        <v>0</v>
      </c>
      <c r="M248" s="495">
        <v>64020.609089999998</v>
      </c>
      <c r="N248" s="495">
        <v>65126.989560000002</v>
      </c>
      <c r="O248" s="495">
        <v>34297.794569999998</v>
      </c>
      <c r="P248" s="495">
        <v>0</v>
      </c>
      <c r="Q248" s="495">
        <v>0</v>
      </c>
      <c r="T248" s="495">
        <v>26348.653559999999</v>
      </c>
      <c r="U248" s="495">
        <v>119738.83773</v>
      </c>
      <c r="V248" s="495">
        <v>-3993.7228800000003</v>
      </c>
      <c r="W248" s="495">
        <v>-14434.6227</v>
      </c>
      <c r="X248" s="495">
        <v>0</v>
      </c>
      <c r="AA248" s="495">
        <v>0</v>
      </c>
      <c r="AB248" s="495">
        <v>0</v>
      </c>
      <c r="AC248" s="495">
        <v>0</v>
      </c>
      <c r="AD248" s="495">
        <v>0</v>
      </c>
      <c r="AE248" s="495">
        <v>0</v>
      </c>
      <c r="AH248" s="495">
        <v>6831.6880353961933</v>
      </c>
      <c r="AI248" s="495">
        <v>6831.6880353961933</v>
      </c>
      <c r="AJ248" s="495">
        <v>6831.6880353961933</v>
      </c>
      <c r="AK248" s="495">
        <v>0</v>
      </c>
      <c r="AL248" s="495">
        <v>0</v>
      </c>
      <c r="AO248" s="495">
        <v>-20699.700170000007</v>
      </c>
      <c r="AP248" s="495">
        <v>-15072.860345000008</v>
      </c>
      <c r="AQ248" s="495">
        <v>0</v>
      </c>
      <c r="AR248" s="495">
        <v>0</v>
      </c>
      <c r="AS248" s="495">
        <v>0</v>
      </c>
    </row>
    <row r="249" spans="1:45">
      <c r="A249" s="390">
        <v>92551</v>
      </c>
      <c r="B249" s="393">
        <v>92551</v>
      </c>
      <c r="C249" s="499" t="s">
        <v>961</v>
      </c>
      <c r="D249" s="378">
        <v>5.6528376735141996E-5</v>
      </c>
      <c r="F249" s="495">
        <v>23022.273323165296</v>
      </c>
      <c r="G249" s="495">
        <v>63859.751893165288</v>
      </c>
      <c r="H249" s="495">
        <v>6858.4804331652795</v>
      </c>
      <c r="I249" s="495">
        <v>-5857.1675999999998</v>
      </c>
      <c r="J249" s="495">
        <v>0</v>
      </c>
      <c r="M249" s="495">
        <v>25977.778920000001</v>
      </c>
      <c r="N249" s="495">
        <v>26426.717280000001</v>
      </c>
      <c r="O249" s="495">
        <v>13917.08916</v>
      </c>
      <c r="P249" s="495">
        <v>0</v>
      </c>
      <c r="Q249" s="495">
        <v>0</v>
      </c>
      <c r="T249" s="495">
        <v>10691.549279999999</v>
      </c>
      <c r="U249" s="495">
        <v>48586.683239999998</v>
      </c>
      <c r="V249" s="495">
        <v>-1620.54144</v>
      </c>
      <c r="W249" s="495">
        <v>-5857.1675999999998</v>
      </c>
      <c r="X249" s="495">
        <v>0</v>
      </c>
      <c r="AA249" s="495">
        <v>0</v>
      </c>
      <c r="AB249" s="495">
        <v>0</v>
      </c>
      <c r="AC249" s="495">
        <v>0</v>
      </c>
      <c r="AD249" s="495">
        <v>0</v>
      </c>
      <c r="AE249" s="495">
        <v>0</v>
      </c>
      <c r="AH249" s="495">
        <v>0</v>
      </c>
      <c r="AI249" s="495">
        <v>0</v>
      </c>
      <c r="AJ249" s="495">
        <v>0</v>
      </c>
      <c r="AK249" s="495">
        <v>0</v>
      </c>
      <c r="AL249" s="495">
        <v>0</v>
      </c>
      <c r="AO249" s="495">
        <v>-13647.054876834709</v>
      </c>
      <c r="AP249" s="495">
        <v>-11153.648626834711</v>
      </c>
      <c r="AQ249" s="495">
        <v>-5438.0672868347192</v>
      </c>
      <c r="AR249" s="495">
        <v>0</v>
      </c>
      <c r="AS249" s="495">
        <v>0</v>
      </c>
    </row>
    <row r="250" spans="1:45">
      <c r="A250" s="390">
        <v>92561</v>
      </c>
      <c r="B250" s="393">
        <v>92561</v>
      </c>
      <c r="C250" s="499" t="s">
        <v>962</v>
      </c>
      <c r="D250" s="378">
        <v>9.861474038552609E-6</v>
      </c>
      <c r="F250" s="495">
        <v>4543.5569929566482</v>
      </c>
      <c r="G250" s="495">
        <v>12635.540177956649</v>
      </c>
      <c r="H250" s="495">
        <v>1892.5947804566486</v>
      </c>
      <c r="I250" s="495">
        <v>-1021.7918000000001</v>
      </c>
      <c r="J250" s="495">
        <v>0</v>
      </c>
      <c r="M250" s="495">
        <v>4531.8630600000006</v>
      </c>
      <c r="N250" s="495">
        <v>4610.1810400000004</v>
      </c>
      <c r="O250" s="495">
        <v>2427.8573799999999</v>
      </c>
      <c r="P250" s="495">
        <v>0</v>
      </c>
      <c r="Q250" s="495">
        <v>0</v>
      </c>
      <c r="T250" s="495">
        <v>1865.1570400000001</v>
      </c>
      <c r="U250" s="495">
        <v>8476.0208199999997</v>
      </c>
      <c r="V250" s="495">
        <v>-282.70591999999999</v>
      </c>
      <c r="W250" s="495">
        <v>-1021.7918000000001</v>
      </c>
      <c r="X250" s="495">
        <v>0</v>
      </c>
      <c r="AA250" s="495">
        <v>0</v>
      </c>
      <c r="AB250" s="495">
        <v>0</v>
      </c>
      <c r="AC250" s="495">
        <v>0</v>
      </c>
      <c r="AD250" s="495">
        <v>0</v>
      </c>
      <c r="AE250" s="495">
        <v>0</v>
      </c>
      <c r="AH250" s="495">
        <v>976.59536750000052</v>
      </c>
      <c r="AI250" s="495">
        <v>333.46099250000043</v>
      </c>
      <c r="AJ250" s="495">
        <v>0</v>
      </c>
      <c r="AK250" s="495">
        <v>0</v>
      </c>
      <c r="AL250" s="495">
        <v>0</v>
      </c>
      <c r="AO250" s="495">
        <v>-2830.058474543353</v>
      </c>
      <c r="AP250" s="495">
        <v>-784.12267454335176</v>
      </c>
      <c r="AQ250" s="495">
        <v>-252.55667954335149</v>
      </c>
      <c r="AR250" s="495">
        <v>0</v>
      </c>
      <c r="AS250" s="495">
        <v>0</v>
      </c>
    </row>
    <row r="251" spans="1:45">
      <c r="A251" s="390">
        <v>92571</v>
      </c>
      <c r="B251" s="393">
        <v>92571</v>
      </c>
      <c r="C251" s="499" t="s">
        <v>963</v>
      </c>
      <c r="D251" s="378">
        <v>8.2912578356364379E-6</v>
      </c>
      <c r="F251" s="495">
        <v>6546.0403853687258</v>
      </c>
      <c r="G251" s="495">
        <v>10436.330325368725</v>
      </c>
      <c r="H251" s="495">
        <v>1003.9242178687241</v>
      </c>
      <c r="I251" s="495">
        <v>-859.09270000000004</v>
      </c>
      <c r="J251" s="495">
        <v>0</v>
      </c>
      <c r="M251" s="495">
        <v>3810.2580900000003</v>
      </c>
      <c r="N251" s="495">
        <v>3876.10556</v>
      </c>
      <c r="O251" s="495">
        <v>2041.2715700000001</v>
      </c>
      <c r="P251" s="495">
        <v>0</v>
      </c>
      <c r="Q251" s="495">
        <v>0</v>
      </c>
      <c r="T251" s="495">
        <v>1568.16956</v>
      </c>
      <c r="U251" s="495">
        <v>7126.3907300000001</v>
      </c>
      <c r="V251" s="495">
        <v>-237.69088000000002</v>
      </c>
      <c r="W251" s="495">
        <v>-859.09270000000004</v>
      </c>
      <c r="X251" s="495">
        <v>0</v>
      </c>
      <c r="AA251" s="495">
        <v>0</v>
      </c>
      <c r="AB251" s="495">
        <v>0</v>
      </c>
      <c r="AC251" s="495">
        <v>0</v>
      </c>
      <c r="AD251" s="495">
        <v>0</v>
      </c>
      <c r="AE251" s="495">
        <v>0</v>
      </c>
      <c r="AH251" s="495">
        <v>2205.4499350000015</v>
      </c>
      <c r="AI251" s="495">
        <v>471.67123500000127</v>
      </c>
      <c r="AJ251" s="495">
        <v>0</v>
      </c>
      <c r="AK251" s="495">
        <v>0</v>
      </c>
      <c r="AL251" s="495">
        <v>0</v>
      </c>
      <c r="AO251" s="495">
        <v>-1037.837199631276</v>
      </c>
      <c r="AP251" s="495">
        <v>-1037.837199631276</v>
      </c>
      <c r="AQ251" s="495">
        <v>-799.6564721312759</v>
      </c>
      <c r="AR251" s="495">
        <v>0</v>
      </c>
      <c r="AS251" s="495">
        <v>0</v>
      </c>
    </row>
    <row r="252" spans="1:45">
      <c r="A252" s="390">
        <v>92601</v>
      </c>
      <c r="B252" s="393">
        <v>92601</v>
      </c>
      <c r="C252" s="499" t="s">
        <v>964</v>
      </c>
      <c r="D252" s="378">
        <v>1.1690830658882193E-2</v>
      </c>
      <c r="F252" s="495">
        <v>7050074.0361846406</v>
      </c>
      <c r="G252" s="495">
        <v>15248978.72068464</v>
      </c>
      <c r="H252" s="495">
        <v>2466298.6445371388</v>
      </c>
      <c r="I252" s="495">
        <v>-1211341.433</v>
      </c>
      <c r="J252" s="495">
        <v>0</v>
      </c>
      <c r="M252" s="495">
        <v>5372555.8311000001</v>
      </c>
      <c r="N252" s="495">
        <v>5465402.3523999993</v>
      </c>
      <c r="O252" s="495">
        <v>2878242.1602999996</v>
      </c>
      <c r="P252" s="495">
        <v>0</v>
      </c>
      <c r="Q252" s="495">
        <v>0</v>
      </c>
      <c r="T252" s="495">
        <v>2211156.9123999998</v>
      </c>
      <c r="U252" s="495">
        <v>10048382.856699999</v>
      </c>
      <c r="V252" s="495">
        <v>-335149.87519999995</v>
      </c>
      <c r="W252" s="495">
        <v>-1211341.433</v>
      </c>
      <c r="X252" s="495">
        <v>0</v>
      </c>
      <c r="AA252" s="495">
        <v>0</v>
      </c>
      <c r="AB252" s="495">
        <v>0</v>
      </c>
      <c r="AC252" s="495">
        <v>0</v>
      </c>
      <c r="AD252" s="495">
        <v>0</v>
      </c>
      <c r="AE252" s="495">
        <v>0</v>
      </c>
      <c r="AH252" s="495">
        <v>201500.64629250066</v>
      </c>
      <c r="AI252" s="495">
        <v>121500.81129250024</v>
      </c>
      <c r="AJ252" s="495">
        <v>0</v>
      </c>
      <c r="AK252" s="495">
        <v>0</v>
      </c>
      <c r="AL252" s="495">
        <v>0</v>
      </c>
      <c r="AO252" s="495">
        <v>-735139.35360785923</v>
      </c>
      <c r="AP252" s="495">
        <v>-386307.29970785952</v>
      </c>
      <c r="AQ252" s="495">
        <v>-76793.640562860528</v>
      </c>
      <c r="AR252" s="495">
        <v>0</v>
      </c>
      <c r="AS252" s="495">
        <v>0</v>
      </c>
    </row>
    <row r="253" spans="1:45">
      <c r="A253" s="390">
        <v>92602</v>
      </c>
      <c r="B253" s="393">
        <v>92602</v>
      </c>
      <c r="C253" s="499" t="s">
        <v>965</v>
      </c>
      <c r="D253" s="378">
        <v>4.5306909127793793E-6</v>
      </c>
      <c r="F253" s="495">
        <v>2004.5528732473235</v>
      </c>
      <c r="G253" s="495">
        <v>5012.0627282473233</v>
      </c>
      <c r="H253" s="495">
        <v>1502.0227157473232</v>
      </c>
      <c r="I253" s="495">
        <v>-469.44389999999999</v>
      </c>
      <c r="J253" s="495">
        <v>0</v>
      </c>
      <c r="M253" s="495">
        <v>2082.08313</v>
      </c>
      <c r="N253" s="495">
        <v>2118.0649199999998</v>
      </c>
      <c r="O253" s="495">
        <v>1115.4354899999998</v>
      </c>
      <c r="P253" s="495">
        <v>0</v>
      </c>
      <c r="Q253" s="495">
        <v>0</v>
      </c>
      <c r="T253" s="495">
        <v>856.91291999999999</v>
      </c>
      <c r="U253" s="495">
        <v>3894.1556099999998</v>
      </c>
      <c r="V253" s="495">
        <v>-129.88416000000001</v>
      </c>
      <c r="W253" s="495">
        <v>-469.44389999999999</v>
      </c>
      <c r="X253" s="495">
        <v>0</v>
      </c>
      <c r="AA253" s="495">
        <v>0</v>
      </c>
      <c r="AB253" s="495">
        <v>0</v>
      </c>
      <c r="AC253" s="495">
        <v>0</v>
      </c>
      <c r="AD253" s="495">
        <v>0</v>
      </c>
      <c r="AE253" s="495">
        <v>0</v>
      </c>
      <c r="AH253" s="495">
        <v>800.62913574732374</v>
      </c>
      <c r="AI253" s="495">
        <v>516.47138574732344</v>
      </c>
      <c r="AJ253" s="495">
        <v>516.47138574732344</v>
      </c>
      <c r="AK253" s="495">
        <v>0</v>
      </c>
      <c r="AL253" s="495">
        <v>0</v>
      </c>
      <c r="AO253" s="495">
        <v>-1735.0723125</v>
      </c>
      <c r="AP253" s="495">
        <v>-1516.6291874999999</v>
      </c>
      <c r="AQ253" s="495">
        <v>0</v>
      </c>
      <c r="AR253" s="495">
        <v>0</v>
      </c>
      <c r="AS253" s="495">
        <v>0</v>
      </c>
    </row>
    <row r="254" spans="1:45">
      <c r="A254" s="390">
        <v>92604</v>
      </c>
      <c r="B254" s="393">
        <v>92604</v>
      </c>
      <c r="C254" s="499" t="s">
        <v>966</v>
      </c>
      <c r="D254" s="378">
        <v>2.9004299627159806E-4</v>
      </c>
      <c r="F254" s="495">
        <v>153816.18889872491</v>
      </c>
      <c r="G254" s="495">
        <v>361209.51707372494</v>
      </c>
      <c r="H254" s="495">
        <v>51102.388688724917</v>
      </c>
      <c r="I254" s="495">
        <v>-30052.7</v>
      </c>
      <c r="J254" s="495">
        <v>0</v>
      </c>
      <c r="M254" s="495">
        <v>133290.09</v>
      </c>
      <c r="N254" s="495">
        <v>135593.56</v>
      </c>
      <c r="O254" s="495">
        <v>71407.570000000007</v>
      </c>
      <c r="P254" s="495">
        <v>0</v>
      </c>
      <c r="Q254" s="495">
        <v>0</v>
      </c>
      <c r="T254" s="495">
        <v>54857.56</v>
      </c>
      <c r="U254" s="495">
        <v>249294.73</v>
      </c>
      <c r="V254" s="495">
        <v>-8314.8799999999992</v>
      </c>
      <c r="W254" s="495">
        <v>-30052.7</v>
      </c>
      <c r="X254" s="495">
        <v>0</v>
      </c>
      <c r="AA254" s="495">
        <v>0</v>
      </c>
      <c r="AB254" s="495">
        <v>0</v>
      </c>
      <c r="AC254" s="495">
        <v>0</v>
      </c>
      <c r="AD254" s="495">
        <v>0</v>
      </c>
      <c r="AE254" s="495">
        <v>0</v>
      </c>
      <c r="AH254" s="495">
        <v>0</v>
      </c>
      <c r="AI254" s="495">
        <v>0</v>
      </c>
      <c r="AJ254" s="495">
        <v>0</v>
      </c>
      <c r="AK254" s="495">
        <v>0</v>
      </c>
      <c r="AL254" s="495">
        <v>0</v>
      </c>
      <c r="AO254" s="495">
        <v>-34331.461101275097</v>
      </c>
      <c r="AP254" s="495">
        <v>-23678.772926275109</v>
      </c>
      <c r="AQ254" s="495">
        <v>-11990.301311275092</v>
      </c>
      <c r="AR254" s="495">
        <v>0</v>
      </c>
      <c r="AS254" s="495">
        <v>0</v>
      </c>
    </row>
    <row r="255" spans="1:45">
      <c r="A255" s="390">
        <v>92607</v>
      </c>
      <c r="B255" s="393">
        <v>92607</v>
      </c>
      <c r="C255" s="499" t="s">
        <v>967</v>
      </c>
      <c r="D255" s="378">
        <v>1.6655463073670258E-4</v>
      </c>
      <c r="F255" s="495">
        <v>171892.56570055231</v>
      </c>
      <c r="G255" s="495">
        <v>238606.80515555231</v>
      </c>
      <c r="H255" s="495">
        <v>54652.009030552304</v>
      </c>
      <c r="I255" s="495">
        <v>-17257.5039</v>
      </c>
      <c r="J255" s="495">
        <v>0</v>
      </c>
      <c r="M255" s="495">
        <v>76540.685129999998</v>
      </c>
      <c r="N255" s="495">
        <v>77863.432919999992</v>
      </c>
      <c r="O255" s="495">
        <v>41005.181489999995</v>
      </c>
      <c r="P255" s="495">
        <v>0</v>
      </c>
      <c r="Q255" s="495">
        <v>0</v>
      </c>
      <c r="T255" s="495">
        <v>31501.480919999998</v>
      </c>
      <c r="U255" s="495">
        <v>143155.34961</v>
      </c>
      <c r="V255" s="495">
        <v>-4774.7481600000001</v>
      </c>
      <c r="W255" s="495">
        <v>-17257.5039</v>
      </c>
      <c r="X255" s="495">
        <v>0</v>
      </c>
      <c r="AA255" s="495">
        <v>0</v>
      </c>
      <c r="AB255" s="495">
        <v>0</v>
      </c>
      <c r="AC255" s="495">
        <v>0</v>
      </c>
      <c r="AD255" s="495">
        <v>0</v>
      </c>
      <c r="AE255" s="495">
        <v>0</v>
      </c>
      <c r="AH255" s="495">
        <v>69106.020925552322</v>
      </c>
      <c r="AI255" s="495">
        <v>21481.182025552316</v>
      </c>
      <c r="AJ255" s="495">
        <v>18421.575700552308</v>
      </c>
      <c r="AK255" s="495">
        <v>0</v>
      </c>
      <c r="AL255" s="495">
        <v>0</v>
      </c>
      <c r="AO255" s="495">
        <v>-5255.6212750000168</v>
      </c>
      <c r="AP255" s="495">
        <v>-3893.1594000000159</v>
      </c>
      <c r="AQ255" s="495">
        <v>0</v>
      </c>
      <c r="AR255" s="495">
        <v>0</v>
      </c>
      <c r="AS255" s="495">
        <v>0</v>
      </c>
    </row>
    <row r="256" spans="1:45">
      <c r="A256" s="390">
        <v>92611</v>
      </c>
      <c r="B256" s="393">
        <v>92611</v>
      </c>
      <c r="C256" s="499" t="s">
        <v>969</v>
      </c>
      <c r="D256" s="378">
        <v>1.034326114391285E-2</v>
      </c>
      <c r="F256" s="495">
        <v>5972990.6850507287</v>
      </c>
      <c r="G256" s="495">
        <v>12825107.670480728</v>
      </c>
      <c r="H256" s="495">
        <v>1483675.7612382299</v>
      </c>
      <c r="I256" s="495">
        <v>-1071713.4799000002</v>
      </c>
      <c r="J256" s="495">
        <v>0</v>
      </c>
      <c r="M256" s="495">
        <v>4753276.2843300002</v>
      </c>
      <c r="N256" s="495">
        <v>4835420.6457200004</v>
      </c>
      <c r="O256" s="495">
        <v>2546475.20309</v>
      </c>
      <c r="P256" s="495">
        <v>0</v>
      </c>
      <c r="Q256" s="495">
        <v>0</v>
      </c>
      <c r="T256" s="495">
        <v>1956283.0137200002</v>
      </c>
      <c r="U256" s="495">
        <v>8890133.7520100009</v>
      </c>
      <c r="V256" s="495">
        <v>-296518.08256000001</v>
      </c>
      <c r="W256" s="495">
        <v>-1071713.4799000002</v>
      </c>
      <c r="X256" s="495">
        <v>0</v>
      </c>
      <c r="AA256" s="495">
        <v>0</v>
      </c>
      <c r="AB256" s="495">
        <v>0</v>
      </c>
      <c r="AC256" s="495">
        <v>0</v>
      </c>
      <c r="AD256" s="495">
        <v>0</v>
      </c>
      <c r="AE256" s="495">
        <v>0</v>
      </c>
      <c r="AH256" s="495">
        <v>163878.1142500001</v>
      </c>
      <c r="AI256" s="495">
        <v>0</v>
      </c>
      <c r="AJ256" s="495">
        <v>0</v>
      </c>
      <c r="AK256" s="495">
        <v>0</v>
      </c>
      <c r="AL256" s="495">
        <v>0</v>
      </c>
      <c r="AO256" s="495">
        <v>-900446.72724927159</v>
      </c>
      <c r="AP256" s="495">
        <v>-900446.72724927159</v>
      </c>
      <c r="AQ256" s="495">
        <v>-766281.35929177003</v>
      </c>
      <c r="AR256" s="495">
        <v>0</v>
      </c>
      <c r="AS256" s="495">
        <v>0</v>
      </c>
    </row>
    <row r="257" spans="1:45">
      <c r="A257" s="390">
        <v>92613</v>
      </c>
      <c r="B257" s="393">
        <v>92613</v>
      </c>
      <c r="C257" s="499" t="s">
        <v>970</v>
      </c>
      <c r="D257" s="378">
        <v>1.9553894660323003E-4</v>
      </c>
      <c r="F257" s="495">
        <v>132200.73881020077</v>
      </c>
      <c r="G257" s="495">
        <v>267903.31107020075</v>
      </c>
      <c r="H257" s="495">
        <v>55773.490505200753</v>
      </c>
      <c r="I257" s="495">
        <v>-20260.701300000001</v>
      </c>
      <c r="J257" s="495">
        <v>0</v>
      </c>
      <c r="M257" s="495">
        <v>89860.501709999997</v>
      </c>
      <c r="N257" s="495">
        <v>91413.437640000004</v>
      </c>
      <c r="O257" s="495">
        <v>48141.013830000004</v>
      </c>
      <c r="P257" s="495">
        <v>0</v>
      </c>
      <c r="Q257" s="495">
        <v>0</v>
      </c>
      <c r="T257" s="495">
        <v>36983.45364</v>
      </c>
      <c r="U257" s="495">
        <v>168067.62987</v>
      </c>
      <c r="V257" s="495">
        <v>-5605.6627200000003</v>
      </c>
      <c r="W257" s="495">
        <v>-20260.701300000001</v>
      </c>
      <c r="X257" s="495">
        <v>0</v>
      </c>
      <c r="AA257" s="495">
        <v>0</v>
      </c>
      <c r="AB257" s="495">
        <v>0</v>
      </c>
      <c r="AC257" s="495">
        <v>0</v>
      </c>
      <c r="AD257" s="495">
        <v>0</v>
      </c>
      <c r="AE257" s="495">
        <v>0</v>
      </c>
      <c r="AH257" s="495">
        <v>28578.526040200748</v>
      </c>
      <c r="AI257" s="495">
        <v>22153.117290200746</v>
      </c>
      <c r="AJ257" s="495">
        <v>13238.139395200747</v>
      </c>
      <c r="AK257" s="495">
        <v>0</v>
      </c>
      <c r="AL257" s="495">
        <v>0</v>
      </c>
      <c r="AO257" s="495">
        <v>-23221.742579999995</v>
      </c>
      <c r="AP257" s="495">
        <v>-13730.873729999981</v>
      </c>
      <c r="AQ257" s="495">
        <v>0</v>
      </c>
      <c r="AR257" s="495">
        <v>0</v>
      </c>
      <c r="AS257" s="495">
        <v>0</v>
      </c>
    </row>
    <row r="258" spans="1:45">
      <c r="A258" s="390">
        <v>92614</v>
      </c>
      <c r="B258" s="393">
        <v>92614</v>
      </c>
      <c r="C258" s="499" t="s">
        <v>971</v>
      </c>
      <c r="D258" s="378">
        <v>6.3192354123692797E-3</v>
      </c>
      <c r="F258" s="495">
        <v>5187318.0187432561</v>
      </c>
      <c r="G258" s="495">
        <v>8864655.0722432565</v>
      </c>
      <c r="H258" s="495">
        <v>1819493.1838307558</v>
      </c>
      <c r="I258" s="495">
        <v>-654765.429</v>
      </c>
      <c r="J258" s="495">
        <v>0</v>
      </c>
      <c r="M258" s="495">
        <v>2904023.3643</v>
      </c>
      <c r="N258" s="495">
        <v>2954209.6211999999</v>
      </c>
      <c r="O258" s="495">
        <v>1555773.9638999999</v>
      </c>
      <c r="P258" s="495">
        <v>0</v>
      </c>
      <c r="Q258" s="495">
        <v>0</v>
      </c>
      <c r="T258" s="495">
        <v>1195194.9012</v>
      </c>
      <c r="U258" s="495">
        <v>5431444.4571000002</v>
      </c>
      <c r="V258" s="495">
        <v>-181158.29759999999</v>
      </c>
      <c r="W258" s="495">
        <v>-654765.429</v>
      </c>
      <c r="X258" s="495">
        <v>0</v>
      </c>
      <c r="AA258" s="495">
        <v>0</v>
      </c>
      <c r="AB258" s="495">
        <v>0</v>
      </c>
      <c r="AC258" s="495">
        <v>0</v>
      </c>
      <c r="AD258" s="495">
        <v>0</v>
      </c>
      <c r="AE258" s="495">
        <v>0</v>
      </c>
      <c r="AH258" s="495">
        <v>1268615.036768256</v>
      </c>
      <c r="AI258" s="495">
        <v>607288.083018256</v>
      </c>
      <c r="AJ258" s="495">
        <v>444877.51753075595</v>
      </c>
      <c r="AK258" s="495">
        <v>0</v>
      </c>
      <c r="AL258" s="495">
        <v>0</v>
      </c>
      <c r="AO258" s="495">
        <v>-180515.28352499896</v>
      </c>
      <c r="AP258" s="495">
        <v>-128287.08907499866</v>
      </c>
      <c r="AQ258" s="495">
        <v>0</v>
      </c>
      <c r="AR258" s="495">
        <v>0</v>
      </c>
      <c r="AS258" s="495">
        <v>0</v>
      </c>
    </row>
    <row r="259" spans="1:45">
      <c r="A259" s="390">
        <v>92621</v>
      </c>
      <c r="B259" s="393">
        <v>92621</v>
      </c>
      <c r="C259" s="499" t="s">
        <v>972</v>
      </c>
      <c r="D259" s="378">
        <v>2.3543451446105336E-5</v>
      </c>
      <c r="F259" s="495">
        <v>15819.858981206848</v>
      </c>
      <c r="G259" s="495">
        <v>31943.293946206846</v>
      </c>
      <c r="H259" s="495">
        <v>5243.3217937068448</v>
      </c>
      <c r="I259" s="495">
        <v>-2439.4502000000002</v>
      </c>
      <c r="J259" s="495">
        <v>0</v>
      </c>
      <c r="M259" s="495">
        <v>10819.478340000001</v>
      </c>
      <c r="N259" s="495">
        <v>11006.456560000001</v>
      </c>
      <c r="O259" s="495">
        <v>5796.3248200000007</v>
      </c>
      <c r="P259" s="495">
        <v>0</v>
      </c>
      <c r="Q259" s="495">
        <v>0</v>
      </c>
      <c r="T259" s="495">
        <v>4452.9205600000005</v>
      </c>
      <c r="U259" s="495">
        <v>20235.85498</v>
      </c>
      <c r="V259" s="495">
        <v>-674.93888000000004</v>
      </c>
      <c r="W259" s="495">
        <v>-2439.4502000000002</v>
      </c>
      <c r="X259" s="495">
        <v>0</v>
      </c>
      <c r="AA259" s="495">
        <v>0</v>
      </c>
      <c r="AB259" s="495">
        <v>0</v>
      </c>
      <c r="AC259" s="495">
        <v>0</v>
      </c>
      <c r="AD259" s="495">
        <v>0</v>
      </c>
      <c r="AE259" s="495">
        <v>0</v>
      </c>
      <c r="AH259" s="495">
        <v>5004.1689862068433</v>
      </c>
      <c r="AI259" s="495">
        <v>4362.0496112068431</v>
      </c>
      <c r="AJ259" s="495">
        <v>121.93585370684377</v>
      </c>
      <c r="AK259" s="495">
        <v>0</v>
      </c>
      <c r="AL259" s="495">
        <v>0</v>
      </c>
      <c r="AO259" s="495">
        <v>-4456.7089049999977</v>
      </c>
      <c r="AP259" s="495">
        <v>-3661.0672049999994</v>
      </c>
      <c r="AQ259" s="495">
        <v>0</v>
      </c>
      <c r="AR259" s="495">
        <v>0</v>
      </c>
      <c r="AS259" s="495">
        <v>0</v>
      </c>
    </row>
    <row r="260" spans="1:45">
      <c r="A260" s="390">
        <v>92631</v>
      </c>
      <c r="B260" s="393">
        <v>92631</v>
      </c>
      <c r="C260" s="499" t="s">
        <v>973</v>
      </c>
      <c r="D260" s="378">
        <v>7.9659794785521794E-4</v>
      </c>
      <c r="F260" s="495">
        <v>463582.60893256671</v>
      </c>
      <c r="G260" s="495">
        <v>948163.34276256675</v>
      </c>
      <c r="H260" s="495">
        <v>97689.264822566896</v>
      </c>
      <c r="I260" s="495">
        <v>-82539.222399999999</v>
      </c>
      <c r="J260" s="495">
        <v>0</v>
      </c>
      <c r="M260" s="495">
        <v>366078.93408000004</v>
      </c>
      <c r="N260" s="495">
        <v>372405.37472000002</v>
      </c>
      <c r="O260" s="495">
        <v>196119.65984000001</v>
      </c>
      <c r="P260" s="495">
        <v>0</v>
      </c>
      <c r="Q260" s="495">
        <v>0</v>
      </c>
      <c r="T260" s="495">
        <v>150665.34272000002</v>
      </c>
      <c r="U260" s="495">
        <v>684683.67775999999</v>
      </c>
      <c r="V260" s="495">
        <v>-22836.674559999999</v>
      </c>
      <c r="W260" s="495">
        <v>-82539.222399999999</v>
      </c>
      <c r="X260" s="495">
        <v>0</v>
      </c>
      <c r="AA260" s="495">
        <v>0</v>
      </c>
      <c r="AB260" s="495">
        <v>0</v>
      </c>
      <c r="AC260" s="495">
        <v>0</v>
      </c>
      <c r="AD260" s="495">
        <v>0</v>
      </c>
      <c r="AE260" s="495">
        <v>0</v>
      </c>
      <c r="AH260" s="495">
        <v>55764.041850000038</v>
      </c>
      <c r="AI260" s="495">
        <v>0</v>
      </c>
      <c r="AJ260" s="495">
        <v>0</v>
      </c>
      <c r="AK260" s="495">
        <v>0</v>
      </c>
      <c r="AL260" s="495">
        <v>0</v>
      </c>
      <c r="AO260" s="495">
        <v>-108925.70971743335</v>
      </c>
      <c r="AP260" s="495">
        <v>-108925.70971743335</v>
      </c>
      <c r="AQ260" s="495">
        <v>-75593.720457433126</v>
      </c>
      <c r="AR260" s="495">
        <v>0</v>
      </c>
      <c r="AS260" s="495">
        <v>0</v>
      </c>
    </row>
    <row r="261" spans="1:45">
      <c r="A261" s="390">
        <v>92641</v>
      </c>
      <c r="B261" s="393">
        <v>92641</v>
      </c>
      <c r="C261" s="499" t="s">
        <v>974</v>
      </c>
      <c r="D261" s="378">
        <v>7.4810773099254394E-6</v>
      </c>
      <c r="F261" s="495">
        <v>7936.1212562946994</v>
      </c>
      <c r="G261" s="495">
        <v>11970.573486294699</v>
      </c>
      <c r="H261" s="495">
        <v>2540.1747837946973</v>
      </c>
      <c r="I261" s="495">
        <v>-775.15240000000006</v>
      </c>
      <c r="J261" s="495">
        <v>0</v>
      </c>
      <c r="M261" s="495">
        <v>3437.9650800000004</v>
      </c>
      <c r="N261" s="495">
        <v>3497.3787200000002</v>
      </c>
      <c r="O261" s="495">
        <v>1841.82284</v>
      </c>
      <c r="P261" s="495">
        <v>0</v>
      </c>
      <c r="Q261" s="495">
        <v>0</v>
      </c>
      <c r="T261" s="495">
        <v>1414.9467200000001</v>
      </c>
      <c r="U261" s="495">
        <v>6430.0847600000006</v>
      </c>
      <c r="V261" s="495">
        <v>-214.46656000000002</v>
      </c>
      <c r="W261" s="495">
        <v>-775.15240000000006</v>
      </c>
      <c r="X261" s="495">
        <v>0</v>
      </c>
      <c r="AA261" s="495">
        <v>0</v>
      </c>
      <c r="AB261" s="495">
        <v>0</v>
      </c>
      <c r="AC261" s="495">
        <v>0</v>
      </c>
      <c r="AD261" s="495">
        <v>0</v>
      </c>
      <c r="AE261" s="495">
        <v>0</v>
      </c>
      <c r="AH261" s="495">
        <v>3865.9226112946972</v>
      </c>
      <c r="AI261" s="495">
        <v>2484.8338612946968</v>
      </c>
      <c r="AJ261" s="495">
        <v>912.81850379469734</v>
      </c>
      <c r="AK261" s="495">
        <v>0</v>
      </c>
      <c r="AL261" s="495">
        <v>0</v>
      </c>
      <c r="AO261" s="495">
        <v>-782.71315499999832</v>
      </c>
      <c r="AP261" s="495">
        <v>-441.72385499999905</v>
      </c>
      <c r="AQ261" s="495">
        <v>0</v>
      </c>
      <c r="AR261" s="495">
        <v>0</v>
      </c>
      <c r="AS261" s="495">
        <v>0</v>
      </c>
    </row>
    <row r="262" spans="1:45">
      <c r="A262" s="390">
        <v>92651</v>
      </c>
      <c r="B262" s="393">
        <v>92651</v>
      </c>
      <c r="C262" s="499" t="s">
        <v>975</v>
      </c>
      <c r="D262" s="378">
        <v>3.570520914170776E-6</v>
      </c>
      <c r="F262" s="495">
        <v>1714.9705674929241</v>
      </c>
      <c r="G262" s="495">
        <v>3918.6329124929239</v>
      </c>
      <c r="H262" s="495">
        <v>398.7045849929242</v>
      </c>
      <c r="I262" s="495">
        <v>-369.95910000000003</v>
      </c>
      <c r="J262" s="495">
        <v>0</v>
      </c>
      <c r="M262" s="495">
        <v>1640.8469700000001</v>
      </c>
      <c r="N262" s="495">
        <v>1669.2034800000001</v>
      </c>
      <c r="O262" s="495">
        <v>879.05181000000005</v>
      </c>
      <c r="P262" s="495">
        <v>0</v>
      </c>
      <c r="Q262" s="495">
        <v>0</v>
      </c>
      <c r="T262" s="495">
        <v>675.31547999999998</v>
      </c>
      <c r="U262" s="495">
        <v>3068.90409</v>
      </c>
      <c r="V262" s="495">
        <v>-102.35904000000001</v>
      </c>
      <c r="W262" s="495">
        <v>-369.95910000000003</v>
      </c>
      <c r="X262" s="495">
        <v>0</v>
      </c>
      <c r="AA262" s="495">
        <v>0</v>
      </c>
      <c r="AB262" s="495">
        <v>0</v>
      </c>
      <c r="AC262" s="495">
        <v>0</v>
      </c>
      <c r="AD262" s="495">
        <v>0</v>
      </c>
      <c r="AE262" s="495">
        <v>0</v>
      </c>
      <c r="AH262" s="495">
        <v>368.2570575000002</v>
      </c>
      <c r="AI262" s="495">
        <v>149.97428249999984</v>
      </c>
      <c r="AJ262" s="495">
        <v>0</v>
      </c>
      <c r="AK262" s="495">
        <v>0</v>
      </c>
      <c r="AL262" s="495">
        <v>0</v>
      </c>
      <c r="AO262" s="495">
        <v>-969.44894000707563</v>
      </c>
      <c r="AP262" s="495">
        <v>-969.44894000707563</v>
      </c>
      <c r="AQ262" s="495">
        <v>-377.9881850070758</v>
      </c>
      <c r="AR262" s="495">
        <v>0</v>
      </c>
      <c r="AS262" s="495">
        <v>0</v>
      </c>
    </row>
    <row r="263" spans="1:45">
      <c r="A263" s="390">
        <v>92661</v>
      </c>
      <c r="B263" s="393">
        <v>92661</v>
      </c>
      <c r="C263" s="499" t="s">
        <v>976</v>
      </c>
      <c r="D263" s="378">
        <v>3.9753886407163381E-4</v>
      </c>
      <c r="F263" s="495">
        <v>281530.9146877696</v>
      </c>
      <c r="G263" s="495">
        <v>612810.06739276962</v>
      </c>
      <c r="H263" s="495">
        <v>138231.01343276969</v>
      </c>
      <c r="I263" s="495">
        <v>-41190.852400000003</v>
      </c>
      <c r="J263" s="495">
        <v>0</v>
      </c>
      <c r="M263" s="495">
        <v>182690.15508</v>
      </c>
      <c r="N263" s="495">
        <v>185847.33872</v>
      </c>
      <c r="O263" s="495">
        <v>97872.692840000003</v>
      </c>
      <c r="P263" s="495">
        <v>0</v>
      </c>
      <c r="Q263" s="495">
        <v>0</v>
      </c>
      <c r="T263" s="495">
        <v>75188.906719999999</v>
      </c>
      <c r="U263" s="495">
        <v>341688.51475999999</v>
      </c>
      <c r="V263" s="495">
        <v>-11396.546560000001</v>
      </c>
      <c r="W263" s="495">
        <v>-41190.852400000003</v>
      </c>
      <c r="X263" s="495">
        <v>0</v>
      </c>
      <c r="AA263" s="495">
        <v>0</v>
      </c>
      <c r="AB263" s="495">
        <v>0</v>
      </c>
      <c r="AC263" s="495">
        <v>0</v>
      </c>
      <c r="AD263" s="495">
        <v>0</v>
      </c>
      <c r="AE263" s="495">
        <v>0</v>
      </c>
      <c r="AH263" s="495">
        <v>169681.27755776967</v>
      </c>
      <c r="AI263" s="495">
        <v>119459.14818276967</v>
      </c>
      <c r="AJ263" s="495">
        <v>51754.867152769686</v>
      </c>
      <c r="AK263" s="495">
        <v>0</v>
      </c>
      <c r="AL263" s="495">
        <v>0</v>
      </c>
      <c r="AO263" s="495">
        <v>-146029.42467000009</v>
      </c>
      <c r="AP263" s="495">
        <v>-34184.934270000136</v>
      </c>
      <c r="AQ263" s="495">
        <v>0</v>
      </c>
      <c r="AR263" s="495">
        <v>0</v>
      </c>
      <c r="AS263" s="495">
        <v>0</v>
      </c>
    </row>
    <row r="264" spans="1:45">
      <c r="A264" s="390">
        <v>92671</v>
      </c>
      <c r="B264" s="393">
        <v>92671</v>
      </c>
      <c r="C264" s="499" t="s">
        <v>977</v>
      </c>
      <c r="D264" s="378">
        <v>2.6403191386337019E-6</v>
      </c>
      <c r="F264" s="495">
        <v>6930.4772970746008</v>
      </c>
      <c r="G264" s="495">
        <v>6999.2702620746004</v>
      </c>
      <c r="H264" s="495">
        <v>2206.2020695746005</v>
      </c>
      <c r="I264" s="495">
        <v>-273.58320000000003</v>
      </c>
      <c r="J264" s="495">
        <v>0</v>
      </c>
      <c r="M264" s="495">
        <v>1213.3994400000001</v>
      </c>
      <c r="N264" s="495">
        <v>1234.36896</v>
      </c>
      <c r="O264" s="495">
        <v>650.05511999999999</v>
      </c>
      <c r="P264" s="495">
        <v>0</v>
      </c>
      <c r="Q264" s="495">
        <v>0</v>
      </c>
      <c r="T264" s="495">
        <v>499.39296000000002</v>
      </c>
      <c r="U264" s="495">
        <v>2269.4416799999999</v>
      </c>
      <c r="V264" s="495">
        <v>-75.69408</v>
      </c>
      <c r="W264" s="495">
        <v>-273.58320000000003</v>
      </c>
      <c r="X264" s="495">
        <v>0</v>
      </c>
      <c r="AA264" s="495">
        <v>0</v>
      </c>
      <c r="AB264" s="495">
        <v>0</v>
      </c>
      <c r="AC264" s="495">
        <v>0</v>
      </c>
      <c r="AD264" s="495">
        <v>0</v>
      </c>
      <c r="AE264" s="495">
        <v>0</v>
      </c>
      <c r="AH264" s="495">
        <v>5217.6848970746005</v>
      </c>
      <c r="AI264" s="495">
        <v>3495.4596220746007</v>
      </c>
      <c r="AJ264" s="495">
        <v>1631.8410295746003</v>
      </c>
      <c r="AK264" s="495">
        <v>0</v>
      </c>
      <c r="AL264" s="495">
        <v>0</v>
      </c>
      <c r="AO264" s="495">
        <v>0</v>
      </c>
      <c r="AP264" s="495">
        <v>0</v>
      </c>
      <c r="AQ264" s="495">
        <v>0</v>
      </c>
      <c r="AR264" s="495">
        <v>0</v>
      </c>
      <c r="AS264" s="495">
        <v>0</v>
      </c>
    </row>
    <row r="265" spans="1:45">
      <c r="A265" s="390">
        <v>92681</v>
      </c>
      <c r="B265" s="393">
        <v>92681</v>
      </c>
      <c r="C265" s="499" t="s">
        <v>978</v>
      </c>
      <c r="D265" s="378">
        <v>7.3910242831708933E-6</v>
      </c>
      <c r="F265" s="495">
        <v>1217.6903127864725</v>
      </c>
      <c r="G265" s="495">
        <v>7302.6894527864724</v>
      </c>
      <c r="H265" s="495">
        <v>260.80931778647414</v>
      </c>
      <c r="I265" s="495">
        <v>-765.8257000000001</v>
      </c>
      <c r="J265" s="495">
        <v>0</v>
      </c>
      <c r="M265" s="495">
        <v>3396.5991900000004</v>
      </c>
      <c r="N265" s="495">
        <v>3455.2979600000003</v>
      </c>
      <c r="O265" s="495">
        <v>1819.6618700000001</v>
      </c>
      <c r="P265" s="495">
        <v>0</v>
      </c>
      <c r="Q265" s="495">
        <v>0</v>
      </c>
      <c r="T265" s="495">
        <v>1397.9219600000001</v>
      </c>
      <c r="U265" s="495">
        <v>6352.7174300000006</v>
      </c>
      <c r="V265" s="495">
        <v>-211.88608000000002</v>
      </c>
      <c r="W265" s="495">
        <v>-765.8257000000001</v>
      </c>
      <c r="X265" s="495">
        <v>0</v>
      </c>
      <c r="AA265" s="495">
        <v>0</v>
      </c>
      <c r="AB265" s="495">
        <v>0</v>
      </c>
      <c r="AC265" s="495">
        <v>0</v>
      </c>
      <c r="AD265" s="495">
        <v>0</v>
      </c>
      <c r="AE265" s="495">
        <v>0</v>
      </c>
      <c r="AH265" s="495">
        <v>0</v>
      </c>
      <c r="AI265" s="495">
        <v>0</v>
      </c>
      <c r="AJ265" s="495">
        <v>0</v>
      </c>
      <c r="AK265" s="495">
        <v>0</v>
      </c>
      <c r="AL265" s="495">
        <v>0</v>
      </c>
      <c r="AO265" s="495">
        <v>-3576.830837213528</v>
      </c>
      <c r="AP265" s="495">
        <v>-2505.3259372135281</v>
      </c>
      <c r="AQ265" s="495">
        <v>-1346.966472213526</v>
      </c>
      <c r="AR265" s="495">
        <v>0</v>
      </c>
      <c r="AS265" s="495">
        <v>0</v>
      </c>
    </row>
    <row r="266" spans="1:45">
      <c r="A266" s="390">
        <v>92701</v>
      </c>
      <c r="B266" s="393">
        <v>92701</v>
      </c>
      <c r="C266" s="499" t="s">
        <v>979</v>
      </c>
      <c r="D266" s="378">
        <v>2.8565828917813739E-3</v>
      </c>
      <c r="F266" s="495">
        <v>1666547.3708661329</v>
      </c>
      <c r="G266" s="495">
        <v>3519181.4838761324</v>
      </c>
      <c r="H266" s="495">
        <v>470149.14609613258</v>
      </c>
      <c r="I266" s="495">
        <v>-295983.86079999997</v>
      </c>
      <c r="J266" s="495">
        <v>0</v>
      </c>
      <c r="M266" s="495">
        <v>1312751.1153599999</v>
      </c>
      <c r="N266" s="495">
        <v>1335437.59424</v>
      </c>
      <c r="O266" s="495">
        <v>703280.84528000001</v>
      </c>
      <c r="P266" s="495">
        <v>0</v>
      </c>
      <c r="Q266" s="495">
        <v>0</v>
      </c>
      <c r="T266" s="495">
        <v>540282.65023999999</v>
      </c>
      <c r="U266" s="495">
        <v>2455260.8139200001</v>
      </c>
      <c r="V266" s="495">
        <v>-81891.819520000005</v>
      </c>
      <c r="W266" s="495">
        <v>-295983.86079999997</v>
      </c>
      <c r="X266" s="495">
        <v>0</v>
      </c>
      <c r="AA266" s="495">
        <v>0</v>
      </c>
      <c r="AB266" s="495">
        <v>0</v>
      </c>
      <c r="AC266" s="495">
        <v>0</v>
      </c>
      <c r="AD266" s="495">
        <v>0</v>
      </c>
      <c r="AE266" s="495">
        <v>0</v>
      </c>
      <c r="AH266" s="495">
        <v>101501.14830000023</v>
      </c>
      <c r="AI266" s="495">
        <v>0</v>
      </c>
      <c r="AJ266" s="495">
        <v>0</v>
      </c>
      <c r="AK266" s="495">
        <v>0</v>
      </c>
      <c r="AL266" s="495">
        <v>0</v>
      </c>
      <c r="AO266" s="495">
        <v>-287987.54303386738</v>
      </c>
      <c r="AP266" s="495">
        <v>-271516.92428386747</v>
      </c>
      <c r="AQ266" s="495">
        <v>-151239.87966386744</v>
      </c>
      <c r="AR266" s="495">
        <v>0</v>
      </c>
      <c r="AS266" s="495">
        <v>0</v>
      </c>
    </row>
    <row r="267" spans="1:45">
      <c r="A267" s="390">
        <v>92704</v>
      </c>
      <c r="B267" s="393">
        <v>92704</v>
      </c>
      <c r="C267" s="499" t="s">
        <v>980</v>
      </c>
      <c r="D267" s="378">
        <v>3.2694886298418645E-5</v>
      </c>
      <c r="F267" s="495">
        <v>14861.367496209721</v>
      </c>
      <c r="G267" s="495">
        <v>37023.394161209711</v>
      </c>
      <c r="H267" s="495">
        <v>4191.2424912097194</v>
      </c>
      <c r="I267" s="495">
        <v>-3387.6647000000003</v>
      </c>
      <c r="J267" s="495">
        <v>0</v>
      </c>
      <c r="M267" s="495">
        <v>15025.010490000001</v>
      </c>
      <c r="N267" s="495">
        <v>15284.667160000001</v>
      </c>
      <c r="O267" s="495">
        <v>8049.3567700000003</v>
      </c>
      <c r="P267" s="495">
        <v>0</v>
      </c>
      <c r="Q267" s="495">
        <v>0</v>
      </c>
      <c r="T267" s="495">
        <v>6183.7711600000002</v>
      </c>
      <c r="U267" s="495">
        <v>28101.533530000001</v>
      </c>
      <c r="V267" s="495">
        <v>-937.28768000000002</v>
      </c>
      <c r="W267" s="495">
        <v>-3387.6647000000003</v>
      </c>
      <c r="X267" s="495">
        <v>0</v>
      </c>
      <c r="AA267" s="495">
        <v>0</v>
      </c>
      <c r="AB267" s="495">
        <v>0</v>
      </c>
      <c r="AC267" s="495">
        <v>0</v>
      </c>
      <c r="AD267" s="495">
        <v>0</v>
      </c>
      <c r="AE267" s="495">
        <v>0</v>
      </c>
      <c r="AH267" s="495">
        <v>568.31550000000607</v>
      </c>
      <c r="AI267" s="495">
        <v>0</v>
      </c>
      <c r="AJ267" s="495">
        <v>0</v>
      </c>
      <c r="AK267" s="495">
        <v>0</v>
      </c>
      <c r="AL267" s="495">
        <v>0</v>
      </c>
      <c r="AO267" s="495">
        <v>-6915.7296537902866</v>
      </c>
      <c r="AP267" s="495">
        <v>-6362.8065287902873</v>
      </c>
      <c r="AQ267" s="495">
        <v>-2920.8265987902805</v>
      </c>
      <c r="AR267" s="495">
        <v>0</v>
      </c>
      <c r="AS267" s="495">
        <v>0</v>
      </c>
    </row>
    <row r="268" spans="1:45">
      <c r="A268" s="390">
        <v>92801</v>
      </c>
      <c r="B268" s="393">
        <v>92801</v>
      </c>
      <c r="C268" s="499" t="s">
        <v>981</v>
      </c>
      <c r="D268" s="378">
        <v>5.1667648155396505E-3</v>
      </c>
      <c r="F268" s="495">
        <v>3288161.1290846122</v>
      </c>
      <c r="G268" s="495">
        <v>6652096.6120096119</v>
      </c>
      <c r="H268" s="495">
        <v>1353720.2884521126</v>
      </c>
      <c r="I268" s="495">
        <v>-535352.57999999996</v>
      </c>
      <c r="J268" s="495">
        <v>0</v>
      </c>
      <c r="M268" s="495">
        <v>2374402.0859999997</v>
      </c>
      <c r="N268" s="495">
        <v>2415435.6239999998</v>
      </c>
      <c r="O268" s="495">
        <v>1272039.6779999998</v>
      </c>
      <c r="P268" s="495">
        <v>0</v>
      </c>
      <c r="Q268" s="495">
        <v>0</v>
      </c>
      <c r="T268" s="495">
        <v>977221.22399999993</v>
      </c>
      <c r="U268" s="495">
        <v>4440884.7419999996</v>
      </c>
      <c r="V268" s="495">
        <v>-148119.552</v>
      </c>
      <c r="W268" s="495">
        <v>-535352.57999999996</v>
      </c>
      <c r="X268" s="495">
        <v>0</v>
      </c>
      <c r="AA268" s="495">
        <v>0</v>
      </c>
      <c r="AB268" s="495">
        <v>0</v>
      </c>
      <c r="AC268" s="495">
        <v>0</v>
      </c>
      <c r="AD268" s="495">
        <v>0</v>
      </c>
      <c r="AE268" s="495">
        <v>0</v>
      </c>
      <c r="AH268" s="495">
        <v>557323.4239246127</v>
      </c>
      <c r="AI268" s="495">
        <v>312720.43272461288</v>
      </c>
      <c r="AJ268" s="495">
        <v>229800.16245211277</v>
      </c>
      <c r="AK268" s="495">
        <v>0</v>
      </c>
      <c r="AL268" s="495">
        <v>0</v>
      </c>
      <c r="AO268" s="495">
        <v>-620785.60484000004</v>
      </c>
      <c r="AP268" s="495">
        <v>-516944.18671500019</v>
      </c>
      <c r="AQ268" s="495">
        <v>0</v>
      </c>
      <c r="AR268" s="495">
        <v>0</v>
      </c>
      <c r="AS268" s="495">
        <v>0</v>
      </c>
    </row>
    <row r="269" spans="1:45">
      <c r="A269" s="390">
        <v>92802</v>
      </c>
      <c r="B269" s="393">
        <v>92802</v>
      </c>
      <c r="C269" s="499" t="s">
        <v>982</v>
      </c>
      <c r="D269" s="378">
        <v>9.917464174132784E-5</v>
      </c>
      <c r="F269" s="495">
        <v>69925.653968339859</v>
      </c>
      <c r="G269" s="495">
        <v>136014.52402833986</v>
      </c>
      <c r="H269" s="495">
        <v>15947.89385083987</v>
      </c>
      <c r="I269" s="495">
        <v>-10275.950800000001</v>
      </c>
      <c r="J269" s="495">
        <v>0</v>
      </c>
      <c r="M269" s="495">
        <v>45576.018360000002</v>
      </c>
      <c r="N269" s="495">
        <v>46363.646240000002</v>
      </c>
      <c r="O269" s="495">
        <v>24416.46428</v>
      </c>
      <c r="P269" s="495">
        <v>0</v>
      </c>
      <c r="Q269" s="495">
        <v>0</v>
      </c>
      <c r="T269" s="495">
        <v>18757.502240000002</v>
      </c>
      <c r="U269" s="495">
        <v>85241.604919999998</v>
      </c>
      <c r="V269" s="495">
        <v>-2843.1155200000003</v>
      </c>
      <c r="W269" s="495">
        <v>-10275.950800000001</v>
      </c>
      <c r="X269" s="495">
        <v>0</v>
      </c>
      <c r="AA269" s="495">
        <v>0</v>
      </c>
      <c r="AB269" s="495">
        <v>0</v>
      </c>
      <c r="AC269" s="495">
        <v>0</v>
      </c>
      <c r="AD269" s="495">
        <v>0</v>
      </c>
      <c r="AE269" s="495">
        <v>0</v>
      </c>
      <c r="AH269" s="495">
        <v>16733.057532499999</v>
      </c>
      <c r="AI269" s="495">
        <v>14743.953282499995</v>
      </c>
      <c r="AJ269" s="495">
        <v>0</v>
      </c>
      <c r="AK269" s="495">
        <v>0</v>
      </c>
      <c r="AL269" s="495">
        <v>0</v>
      </c>
      <c r="AO269" s="495">
        <v>-11140.924164160138</v>
      </c>
      <c r="AP269" s="495">
        <v>-10334.680414160137</v>
      </c>
      <c r="AQ269" s="495">
        <v>-5625.4549091601311</v>
      </c>
      <c r="AR269" s="495">
        <v>0</v>
      </c>
      <c r="AS269" s="495">
        <v>0</v>
      </c>
    </row>
    <row r="270" spans="1:45">
      <c r="A270" s="390">
        <v>92804</v>
      </c>
      <c r="B270" s="393">
        <v>92804</v>
      </c>
      <c r="C270" s="499" t="s">
        <v>983</v>
      </c>
      <c r="D270" s="378">
        <v>1.4658170020476801E-4</v>
      </c>
      <c r="F270" s="495">
        <v>89449.024324338403</v>
      </c>
      <c r="G270" s="495">
        <v>183540.15445933837</v>
      </c>
      <c r="H270" s="495">
        <v>29138.239781838354</v>
      </c>
      <c r="I270" s="495">
        <v>-15188.0128</v>
      </c>
      <c r="J270" s="495">
        <v>0</v>
      </c>
      <c r="M270" s="495">
        <v>67362.05376000001</v>
      </c>
      <c r="N270" s="495">
        <v>68526.179839999997</v>
      </c>
      <c r="O270" s="495">
        <v>36087.908479999998</v>
      </c>
      <c r="P270" s="495">
        <v>0</v>
      </c>
      <c r="Q270" s="495">
        <v>0</v>
      </c>
      <c r="T270" s="495">
        <v>27723.875840000001</v>
      </c>
      <c r="U270" s="495">
        <v>125988.39872000001</v>
      </c>
      <c r="V270" s="495">
        <v>-4202.1683199999998</v>
      </c>
      <c r="W270" s="495">
        <v>-15188.0128</v>
      </c>
      <c r="X270" s="495">
        <v>0</v>
      </c>
      <c r="AA270" s="495">
        <v>0</v>
      </c>
      <c r="AB270" s="495">
        <v>0</v>
      </c>
      <c r="AC270" s="495">
        <v>0</v>
      </c>
      <c r="AD270" s="495">
        <v>0</v>
      </c>
      <c r="AE270" s="495">
        <v>0</v>
      </c>
      <c r="AH270" s="495">
        <v>8183.7432000000117</v>
      </c>
      <c r="AI270" s="495">
        <v>0</v>
      </c>
      <c r="AJ270" s="495">
        <v>0</v>
      </c>
      <c r="AK270" s="495">
        <v>0</v>
      </c>
      <c r="AL270" s="495">
        <v>0</v>
      </c>
      <c r="AO270" s="495">
        <v>-13820.648475661616</v>
      </c>
      <c r="AP270" s="495">
        <v>-10974.424100661621</v>
      </c>
      <c r="AQ270" s="495">
        <v>-2747.5003781616429</v>
      </c>
      <c r="AR270" s="495">
        <v>0</v>
      </c>
      <c r="AS270" s="495">
        <v>0</v>
      </c>
    </row>
    <row r="271" spans="1:45">
      <c r="A271" s="390">
        <v>92811</v>
      </c>
      <c r="B271" s="393">
        <v>92811</v>
      </c>
      <c r="C271" s="499" t="s">
        <v>984</v>
      </c>
      <c r="D271" s="378">
        <v>9.1484543493355473E-4</v>
      </c>
      <c r="F271" s="495">
        <v>593909.35160453839</v>
      </c>
      <c r="G271" s="495">
        <v>1195881.8471645382</v>
      </c>
      <c r="H271" s="495">
        <v>213985.26442203851</v>
      </c>
      <c r="I271" s="495">
        <v>-94791.397299999997</v>
      </c>
      <c r="J271" s="495">
        <v>0</v>
      </c>
      <c r="M271" s="495">
        <v>420419.92491</v>
      </c>
      <c r="N271" s="495">
        <v>427685.46643999999</v>
      </c>
      <c r="O271" s="495">
        <v>225231.78743</v>
      </c>
      <c r="P271" s="495">
        <v>0</v>
      </c>
      <c r="Q271" s="495">
        <v>0</v>
      </c>
      <c r="T271" s="495">
        <v>173030.20243999999</v>
      </c>
      <c r="U271" s="495">
        <v>786318.56027000002</v>
      </c>
      <c r="V271" s="495">
        <v>-26226.565119999999</v>
      </c>
      <c r="W271" s="495">
        <v>-94791.397299999997</v>
      </c>
      <c r="X271" s="495">
        <v>0</v>
      </c>
      <c r="AA271" s="495">
        <v>0</v>
      </c>
      <c r="AB271" s="495">
        <v>0</v>
      </c>
      <c r="AC271" s="495">
        <v>0</v>
      </c>
      <c r="AD271" s="495">
        <v>0</v>
      </c>
      <c r="AE271" s="495">
        <v>0</v>
      </c>
      <c r="AH271" s="495">
        <v>40944.801989538595</v>
      </c>
      <c r="AI271" s="495">
        <v>21281.085689538508</v>
      </c>
      <c r="AJ271" s="495">
        <v>14980.042112038529</v>
      </c>
      <c r="AK271" s="495">
        <v>0</v>
      </c>
      <c r="AL271" s="495">
        <v>0</v>
      </c>
      <c r="AO271" s="495">
        <v>-40485.577735000203</v>
      </c>
      <c r="AP271" s="495">
        <v>-39403.265235000174</v>
      </c>
      <c r="AQ271" s="495">
        <v>0</v>
      </c>
      <c r="AR271" s="495">
        <v>0</v>
      </c>
      <c r="AS271" s="495">
        <v>0</v>
      </c>
    </row>
    <row r="272" spans="1:45">
      <c r="A272" s="390">
        <v>92821</v>
      </c>
      <c r="B272" s="393">
        <v>92821</v>
      </c>
      <c r="C272" s="499" t="s">
        <v>985</v>
      </c>
      <c r="D272" s="378">
        <v>9.3392822022574096E-4</v>
      </c>
      <c r="F272" s="495">
        <v>636114.65911578212</v>
      </c>
      <c r="G272" s="495">
        <v>1227879.6956307823</v>
      </c>
      <c r="H272" s="495">
        <v>202441.98607578216</v>
      </c>
      <c r="I272" s="495">
        <v>-96768.657699999996</v>
      </c>
      <c r="J272" s="495">
        <v>0</v>
      </c>
      <c r="M272" s="495">
        <v>429189.49358999997</v>
      </c>
      <c r="N272" s="495">
        <v>436606.58756000001</v>
      </c>
      <c r="O272" s="495">
        <v>229929.91307000001</v>
      </c>
      <c r="P272" s="495">
        <v>0</v>
      </c>
      <c r="Q272" s="495">
        <v>0</v>
      </c>
      <c r="T272" s="495">
        <v>176639.45155999999</v>
      </c>
      <c r="U272" s="495">
        <v>802720.43423000001</v>
      </c>
      <c r="V272" s="495">
        <v>-26773.62688</v>
      </c>
      <c r="W272" s="495">
        <v>-96768.657699999996</v>
      </c>
      <c r="X272" s="495">
        <v>0</v>
      </c>
      <c r="AA272" s="495">
        <v>0</v>
      </c>
      <c r="AB272" s="495">
        <v>0</v>
      </c>
      <c r="AC272" s="495">
        <v>0</v>
      </c>
      <c r="AD272" s="495">
        <v>0</v>
      </c>
      <c r="AE272" s="495">
        <v>0</v>
      </c>
      <c r="AH272" s="495">
        <v>62504.657840000029</v>
      </c>
      <c r="AI272" s="495">
        <v>20771.617714999971</v>
      </c>
      <c r="AJ272" s="495">
        <v>0</v>
      </c>
      <c r="AK272" s="495">
        <v>0</v>
      </c>
      <c r="AL272" s="495">
        <v>0</v>
      </c>
      <c r="AO272" s="495">
        <v>-32218.94387421781</v>
      </c>
      <c r="AP272" s="495">
        <v>-32218.94387421781</v>
      </c>
      <c r="AQ272" s="495">
        <v>-714.30011421785457</v>
      </c>
      <c r="AR272" s="495">
        <v>0</v>
      </c>
      <c r="AS272" s="495">
        <v>0</v>
      </c>
    </row>
    <row r="273" spans="1:45">
      <c r="A273" s="390">
        <v>92831</v>
      </c>
      <c r="B273" s="393">
        <v>92831</v>
      </c>
      <c r="C273" s="499" t="s">
        <v>986</v>
      </c>
      <c r="D273" s="378">
        <v>2.8752255002525046E-4</v>
      </c>
      <c r="F273" s="495">
        <v>224685.06020549469</v>
      </c>
      <c r="G273" s="495">
        <v>391460.75928549469</v>
      </c>
      <c r="H273" s="495">
        <v>53951.526260494618</v>
      </c>
      <c r="I273" s="495">
        <v>-29791.5524</v>
      </c>
      <c r="J273" s="495">
        <v>0</v>
      </c>
      <c r="M273" s="495">
        <v>132131.84508</v>
      </c>
      <c r="N273" s="495">
        <v>134415.29871999999</v>
      </c>
      <c r="O273" s="495">
        <v>70787.062839999999</v>
      </c>
      <c r="P273" s="495">
        <v>0</v>
      </c>
      <c r="Q273" s="495">
        <v>0</v>
      </c>
      <c r="T273" s="495">
        <v>54380.866719999998</v>
      </c>
      <c r="U273" s="495">
        <v>247128.44476000001</v>
      </c>
      <c r="V273" s="495">
        <v>-8242.6265600000006</v>
      </c>
      <c r="W273" s="495">
        <v>-29791.5524</v>
      </c>
      <c r="X273" s="495">
        <v>0</v>
      </c>
      <c r="AA273" s="495">
        <v>0</v>
      </c>
      <c r="AB273" s="495">
        <v>0</v>
      </c>
      <c r="AC273" s="495">
        <v>0</v>
      </c>
      <c r="AD273" s="495">
        <v>0</v>
      </c>
      <c r="AE273" s="495">
        <v>0</v>
      </c>
      <c r="AH273" s="495">
        <v>52288.105050000057</v>
      </c>
      <c r="AI273" s="495">
        <v>24032.772450000062</v>
      </c>
      <c r="AJ273" s="495">
        <v>0</v>
      </c>
      <c r="AK273" s="495">
        <v>0</v>
      </c>
      <c r="AL273" s="495">
        <v>0</v>
      </c>
      <c r="AO273" s="495">
        <v>-14115.756644505378</v>
      </c>
      <c r="AP273" s="495">
        <v>-14115.756644505378</v>
      </c>
      <c r="AQ273" s="495">
        <v>-8592.9100195053725</v>
      </c>
      <c r="AR273" s="495">
        <v>0</v>
      </c>
      <c r="AS273" s="495">
        <v>0</v>
      </c>
    </row>
    <row r="274" spans="1:45">
      <c r="A274" s="390">
        <v>92841</v>
      </c>
      <c r="B274" s="393">
        <v>92841</v>
      </c>
      <c r="C274" s="499" t="s">
        <v>987</v>
      </c>
      <c r="D274" s="378">
        <v>2.1656210016052774E-4</v>
      </c>
      <c r="F274" s="495">
        <v>110531.59517317718</v>
      </c>
      <c r="G274" s="495">
        <v>265563.20945317711</v>
      </c>
      <c r="H274" s="495">
        <v>33233.346750677221</v>
      </c>
      <c r="I274" s="495">
        <v>-22439.0039</v>
      </c>
      <c r="J274" s="495">
        <v>0</v>
      </c>
      <c r="M274" s="495">
        <v>99521.735130000001</v>
      </c>
      <c r="N274" s="495">
        <v>101241.63291999999</v>
      </c>
      <c r="O274" s="495">
        <v>53316.831489999997</v>
      </c>
      <c r="P274" s="495">
        <v>0</v>
      </c>
      <c r="Q274" s="495">
        <v>0</v>
      </c>
      <c r="T274" s="495">
        <v>40959.680919999999</v>
      </c>
      <c r="U274" s="495">
        <v>186137.19960999998</v>
      </c>
      <c r="V274" s="495">
        <v>-6208.3481599999996</v>
      </c>
      <c r="W274" s="495">
        <v>-22439.0039</v>
      </c>
      <c r="X274" s="495">
        <v>0</v>
      </c>
      <c r="AA274" s="495">
        <v>0</v>
      </c>
      <c r="AB274" s="495">
        <v>0</v>
      </c>
      <c r="AC274" s="495">
        <v>0</v>
      </c>
      <c r="AD274" s="495">
        <v>0</v>
      </c>
      <c r="AE274" s="495">
        <v>0</v>
      </c>
      <c r="AH274" s="495">
        <v>437.29305749999185</v>
      </c>
      <c r="AI274" s="495">
        <v>437.29305749999185</v>
      </c>
      <c r="AJ274" s="495">
        <v>0</v>
      </c>
      <c r="AK274" s="495">
        <v>0</v>
      </c>
      <c r="AL274" s="495">
        <v>0</v>
      </c>
      <c r="AO274" s="495">
        <v>-30387.113934322802</v>
      </c>
      <c r="AP274" s="495">
        <v>-22252.916134322801</v>
      </c>
      <c r="AQ274" s="495">
        <v>-13875.136579322774</v>
      </c>
      <c r="AR274" s="495">
        <v>0</v>
      </c>
      <c r="AS274" s="495">
        <v>0</v>
      </c>
    </row>
    <row r="275" spans="1:45">
      <c r="A275" s="390">
        <v>92851</v>
      </c>
      <c r="B275" s="393">
        <v>92851</v>
      </c>
      <c r="C275" s="499" t="s">
        <v>988</v>
      </c>
      <c r="D275" s="378">
        <v>3.6175354185834869E-4</v>
      </c>
      <c r="F275" s="495">
        <v>216956.35578944435</v>
      </c>
      <c r="G275" s="495">
        <v>454712.01731444424</v>
      </c>
      <c r="H275" s="495">
        <v>78517.870441944222</v>
      </c>
      <c r="I275" s="495">
        <v>-37482.970999999998</v>
      </c>
      <c r="J275" s="495">
        <v>0</v>
      </c>
      <c r="M275" s="495">
        <v>166244.91570000001</v>
      </c>
      <c r="N275" s="495">
        <v>169117.8988</v>
      </c>
      <c r="O275" s="495">
        <v>89062.4761</v>
      </c>
      <c r="P275" s="495">
        <v>0</v>
      </c>
      <c r="Q275" s="495">
        <v>0</v>
      </c>
      <c r="T275" s="495">
        <v>68420.618799999997</v>
      </c>
      <c r="U275" s="495">
        <v>310930.70290000003</v>
      </c>
      <c r="V275" s="495">
        <v>-10370.662400000001</v>
      </c>
      <c r="W275" s="495">
        <v>-37482.970999999998</v>
      </c>
      <c r="X275" s="495">
        <v>0</v>
      </c>
      <c r="AA275" s="495">
        <v>0</v>
      </c>
      <c r="AB275" s="495">
        <v>0</v>
      </c>
      <c r="AC275" s="495">
        <v>0</v>
      </c>
      <c r="AD275" s="495">
        <v>0</v>
      </c>
      <c r="AE275" s="495">
        <v>0</v>
      </c>
      <c r="AH275" s="495">
        <v>16975.944217500029</v>
      </c>
      <c r="AI275" s="495">
        <v>2995.3829174999992</v>
      </c>
      <c r="AJ275" s="495">
        <v>0</v>
      </c>
      <c r="AK275" s="495">
        <v>0</v>
      </c>
      <c r="AL275" s="495">
        <v>0</v>
      </c>
      <c r="AO275" s="495">
        <v>-34685.122928055709</v>
      </c>
      <c r="AP275" s="495">
        <v>-28331.967303055721</v>
      </c>
      <c r="AQ275" s="495">
        <v>-173.94325805577478</v>
      </c>
      <c r="AR275" s="495">
        <v>0</v>
      </c>
      <c r="AS275" s="495">
        <v>0</v>
      </c>
    </row>
    <row r="276" spans="1:45">
      <c r="A276" s="390">
        <v>92861</v>
      </c>
      <c r="B276" s="393">
        <v>92861</v>
      </c>
      <c r="C276" s="499" t="s">
        <v>989</v>
      </c>
      <c r="D276" s="378">
        <v>3.5376241132604747E-4</v>
      </c>
      <c r="F276" s="495">
        <v>182896.20683243626</v>
      </c>
      <c r="G276" s="495">
        <v>395947.67181743629</v>
      </c>
      <c r="H276" s="495">
        <v>37403.279717436271</v>
      </c>
      <c r="I276" s="495">
        <v>-36654.967300000004</v>
      </c>
      <c r="J276" s="495">
        <v>0</v>
      </c>
      <c r="M276" s="495">
        <v>162572.54391000001</v>
      </c>
      <c r="N276" s="495">
        <v>165382.06244000001</v>
      </c>
      <c r="O276" s="495">
        <v>87095.074430000008</v>
      </c>
      <c r="P276" s="495">
        <v>0</v>
      </c>
      <c r="Q276" s="495">
        <v>0</v>
      </c>
      <c r="T276" s="495">
        <v>66909.198440000007</v>
      </c>
      <c r="U276" s="495">
        <v>304062.20327</v>
      </c>
      <c r="V276" s="495">
        <v>-10141.573120000001</v>
      </c>
      <c r="W276" s="495">
        <v>-36654.967300000004</v>
      </c>
      <c r="X276" s="495">
        <v>0</v>
      </c>
      <c r="AA276" s="495">
        <v>0</v>
      </c>
      <c r="AB276" s="495">
        <v>0</v>
      </c>
      <c r="AC276" s="495">
        <v>0</v>
      </c>
      <c r="AD276" s="495">
        <v>0</v>
      </c>
      <c r="AE276" s="495">
        <v>0</v>
      </c>
      <c r="AH276" s="495">
        <v>41487.031500000012</v>
      </c>
      <c r="AI276" s="495">
        <v>0</v>
      </c>
      <c r="AJ276" s="495">
        <v>0</v>
      </c>
      <c r="AK276" s="495">
        <v>0</v>
      </c>
      <c r="AL276" s="495">
        <v>0</v>
      </c>
      <c r="AO276" s="495">
        <v>-88072.567017563721</v>
      </c>
      <c r="AP276" s="495">
        <v>-73496.593892563731</v>
      </c>
      <c r="AQ276" s="495">
        <v>-39550.221592563736</v>
      </c>
      <c r="AR276" s="495">
        <v>0</v>
      </c>
      <c r="AS276" s="495">
        <v>0</v>
      </c>
    </row>
    <row r="277" spans="1:45">
      <c r="A277" s="390">
        <v>92901</v>
      </c>
      <c r="B277" s="500">
        <v>92901</v>
      </c>
      <c r="C277" s="501" t="s">
        <v>990</v>
      </c>
      <c r="D277" s="378">
        <v>5.1230083910619581E-3</v>
      </c>
      <c r="F277" s="495">
        <v>3393149.1841945047</v>
      </c>
      <c r="G277" s="495">
        <v>6776429.660194505</v>
      </c>
      <c r="H277" s="495">
        <v>1312711.6525470056</v>
      </c>
      <c r="I277" s="495">
        <v>-530818.76749999996</v>
      </c>
      <c r="J277" s="495">
        <v>0</v>
      </c>
      <c r="M277" s="495">
        <v>2354293.6672499999</v>
      </c>
      <c r="N277" s="495">
        <v>2394979.699</v>
      </c>
      <c r="O277" s="495">
        <v>1261266.98425</v>
      </c>
      <c r="P277" s="495">
        <v>0</v>
      </c>
      <c r="Q277" s="495">
        <v>0</v>
      </c>
      <c r="T277" s="495">
        <v>968945.299</v>
      </c>
      <c r="U277" s="495">
        <v>4403275.6232500002</v>
      </c>
      <c r="V277" s="495">
        <v>-146865.152</v>
      </c>
      <c r="W277" s="495">
        <v>-530818.76749999996</v>
      </c>
      <c r="X277" s="495">
        <v>0</v>
      </c>
      <c r="AA277" s="495">
        <v>0</v>
      </c>
      <c r="AB277" s="495">
        <v>0</v>
      </c>
      <c r="AC277" s="495">
        <v>0</v>
      </c>
      <c r="AD277" s="495">
        <v>0</v>
      </c>
      <c r="AE277" s="495">
        <v>0</v>
      </c>
      <c r="AH277" s="495">
        <v>354717.28858950565</v>
      </c>
      <c r="AI277" s="495">
        <v>262981.40858950577</v>
      </c>
      <c r="AJ277" s="495">
        <v>198309.82029700553</v>
      </c>
      <c r="AK277" s="495">
        <v>0</v>
      </c>
      <c r="AL277" s="495">
        <v>0</v>
      </c>
      <c r="AO277" s="495">
        <v>-284807.0706450009</v>
      </c>
      <c r="AP277" s="495">
        <v>-284807.0706450009</v>
      </c>
      <c r="AQ277" s="495">
        <v>0</v>
      </c>
      <c r="AR277" s="495">
        <v>0</v>
      </c>
      <c r="AS277" s="495">
        <v>0</v>
      </c>
    </row>
    <row r="278" spans="1:45">
      <c r="A278" s="390">
        <v>92911</v>
      </c>
      <c r="B278" s="393">
        <v>92911</v>
      </c>
      <c r="C278" s="499" t="s">
        <v>991</v>
      </c>
      <c r="D278" s="378">
        <v>1.6471038332172986E-3</v>
      </c>
      <c r="F278" s="495">
        <v>894337.26961894846</v>
      </c>
      <c r="G278" s="495">
        <v>2009691.3778289482</v>
      </c>
      <c r="H278" s="495">
        <v>213817.94357894865</v>
      </c>
      <c r="I278" s="495">
        <v>-170664.1018</v>
      </c>
      <c r="J278" s="495">
        <v>0</v>
      </c>
      <c r="M278" s="495">
        <v>756931.44006000005</v>
      </c>
      <c r="N278" s="495">
        <v>770012.44903999998</v>
      </c>
      <c r="O278" s="495">
        <v>405511.27837999997</v>
      </c>
      <c r="P278" s="495">
        <v>0</v>
      </c>
      <c r="Q278" s="495">
        <v>0</v>
      </c>
      <c r="T278" s="495">
        <v>311526.62504000001</v>
      </c>
      <c r="U278" s="495">
        <v>1415701.7898200001</v>
      </c>
      <c r="V278" s="495">
        <v>-47218.769919999999</v>
      </c>
      <c r="W278" s="495">
        <v>-170664.1018</v>
      </c>
      <c r="X278" s="495">
        <v>0</v>
      </c>
      <c r="AA278" s="495">
        <v>0</v>
      </c>
      <c r="AB278" s="495">
        <v>0</v>
      </c>
      <c r="AC278" s="495">
        <v>0</v>
      </c>
      <c r="AD278" s="495">
        <v>0</v>
      </c>
      <c r="AE278" s="495">
        <v>0</v>
      </c>
      <c r="AH278" s="495">
        <v>18740.158449999988</v>
      </c>
      <c r="AI278" s="495">
        <v>7233.5609499999555</v>
      </c>
      <c r="AJ278" s="495">
        <v>0</v>
      </c>
      <c r="AK278" s="495">
        <v>0</v>
      </c>
      <c r="AL278" s="495">
        <v>0</v>
      </c>
      <c r="AO278" s="495">
        <v>-192860.9539310516</v>
      </c>
      <c r="AP278" s="495">
        <v>-183256.42198105151</v>
      </c>
      <c r="AQ278" s="495">
        <v>-144474.56488105134</v>
      </c>
      <c r="AR278" s="495">
        <v>0</v>
      </c>
      <c r="AS278" s="495">
        <v>0</v>
      </c>
    </row>
    <row r="279" spans="1:45">
      <c r="A279" s="390">
        <v>92913</v>
      </c>
      <c r="B279" s="393">
        <v>92913</v>
      </c>
      <c r="C279" s="499" t="s">
        <v>992</v>
      </c>
      <c r="D279" s="378">
        <v>1.2901913462453216E-5</v>
      </c>
      <c r="F279" s="495">
        <v>31469.429844512233</v>
      </c>
      <c r="G279" s="495">
        <v>27275.199269512243</v>
      </c>
      <c r="H279" s="495">
        <v>7884.4770345122424</v>
      </c>
      <c r="I279" s="495">
        <v>-1336.827</v>
      </c>
      <c r="J279" s="495">
        <v>0</v>
      </c>
      <c r="M279" s="495">
        <v>5929.1108999999997</v>
      </c>
      <c r="N279" s="495">
        <v>6031.5756000000001</v>
      </c>
      <c r="O279" s="495">
        <v>3176.4057000000003</v>
      </c>
      <c r="P279" s="495">
        <v>0</v>
      </c>
      <c r="Q279" s="495">
        <v>0</v>
      </c>
      <c r="T279" s="495">
        <v>2440.2156</v>
      </c>
      <c r="U279" s="495">
        <v>11089.317300000001</v>
      </c>
      <c r="V279" s="495">
        <v>-369.86880000000002</v>
      </c>
      <c r="W279" s="495">
        <v>-1336.827</v>
      </c>
      <c r="X279" s="495">
        <v>0</v>
      </c>
      <c r="AA279" s="495">
        <v>0</v>
      </c>
      <c r="AB279" s="495">
        <v>0</v>
      </c>
      <c r="AC279" s="495">
        <v>0</v>
      </c>
      <c r="AD279" s="495">
        <v>0</v>
      </c>
      <c r="AE279" s="495">
        <v>0</v>
      </c>
      <c r="AH279" s="495">
        <v>26070.33566451224</v>
      </c>
      <c r="AI279" s="495">
        <v>12669.886289512242</v>
      </c>
      <c r="AJ279" s="495">
        <v>5077.9401345122424</v>
      </c>
      <c r="AK279" s="495">
        <v>0</v>
      </c>
      <c r="AL279" s="495">
        <v>0</v>
      </c>
      <c r="AO279" s="495">
        <v>-2970.232320000001</v>
      </c>
      <c r="AP279" s="495">
        <v>-2515.579920000001</v>
      </c>
      <c r="AQ279" s="495">
        <v>0</v>
      </c>
      <c r="AR279" s="495">
        <v>0</v>
      </c>
      <c r="AS279" s="495">
        <v>0</v>
      </c>
    </row>
    <row r="280" spans="1:45">
      <c r="A280" s="390">
        <v>92914</v>
      </c>
      <c r="B280" s="393">
        <v>92914</v>
      </c>
      <c r="C280" s="499" t="s">
        <v>993</v>
      </c>
      <c r="D280" s="378">
        <v>4.1156161874847026E-5</v>
      </c>
      <c r="F280" s="495">
        <v>32846.599398482875</v>
      </c>
      <c r="G280" s="495">
        <v>60036.885248482853</v>
      </c>
      <c r="H280" s="495">
        <v>16473.160395982864</v>
      </c>
      <c r="I280" s="495">
        <v>-4264.3744999999999</v>
      </c>
      <c r="J280" s="495">
        <v>0</v>
      </c>
      <c r="M280" s="495">
        <v>18913.404149999998</v>
      </c>
      <c r="N280" s="495">
        <v>19240.258599999997</v>
      </c>
      <c r="O280" s="495">
        <v>10132.487949999999</v>
      </c>
      <c r="P280" s="495">
        <v>0</v>
      </c>
      <c r="Q280" s="495">
        <v>0</v>
      </c>
      <c r="T280" s="495">
        <v>7784.0985999999994</v>
      </c>
      <c r="U280" s="495">
        <v>35374.062549999995</v>
      </c>
      <c r="V280" s="495">
        <v>-1179.8527999999999</v>
      </c>
      <c r="W280" s="495">
        <v>-4264.3744999999999</v>
      </c>
      <c r="X280" s="495">
        <v>0</v>
      </c>
      <c r="AA280" s="495">
        <v>0</v>
      </c>
      <c r="AB280" s="495">
        <v>0</v>
      </c>
      <c r="AC280" s="495">
        <v>0</v>
      </c>
      <c r="AD280" s="495">
        <v>0</v>
      </c>
      <c r="AE280" s="495">
        <v>0</v>
      </c>
      <c r="AH280" s="495">
        <v>10351.962303482866</v>
      </c>
      <c r="AI280" s="495">
        <v>9158.4997534828653</v>
      </c>
      <c r="AJ280" s="495">
        <v>7520.5252459828662</v>
      </c>
      <c r="AK280" s="495">
        <v>0</v>
      </c>
      <c r="AL280" s="495">
        <v>0</v>
      </c>
      <c r="AO280" s="495">
        <v>-4202.8656549999969</v>
      </c>
      <c r="AP280" s="495">
        <v>-3735.9356549999975</v>
      </c>
      <c r="AQ280" s="495">
        <v>0</v>
      </c>
      <c r="AR280" s="495">
        <v>0</v>
      </c>
      <c r="AS280" s="495">
        <v>0</v>
      </c>
    </row>
    <row r="281" spans="1:45">
      <c r="A281" s="390">
        <v>92917</v>
      </c>
      <c r="B281" s="393">
        <v>92917</v>
      </c>
      <c r="C281" s="499" t="s">
        <v>994</v>
      </c>
      <c r="D281" s="378">
        <v>4.3946470486378327E-5</v>
      </c>
      <c r="F281" s="495">
        <v>46249.958122237847</v>
      </c>
      <c r="G281" s="495">
        <v>68422.562387237849</v>
      </c>
      <c r="H281" s="495">
        <v>8783.3215022378427</v>
      </c>
      <c r="I281" s="495">
        <v>-4553.5021999999999</v>
      </c>
      <c r="J281" s="495">
        <v>0</v>
      </c>
      <c r="M281" s="495">
        <v>20195.746740000002</v>
      </c>
      <c r="N281" s="495">
        <v>20544.762160000002</v>
      </c>
      <c r="O281" s="495">
        <v>10819.47802</v>
      </c>
      <c r="P281" s="495">
        <v>0</v>
      </c>
      <c r="Q281" s="495">
        <v>0</v>
      </c>
      <c r="T281" s="495">
        <v>8311.8661600000014</v>
      </c>
      <c r="U281" s="495">
        <v>37772.449780000003</v>
      </c>
      <c r="V281" s="495">
        <v>-1259.8476800000001</v>
      </c>
      <c r="W281" s="495">
        <v>-4553.5021999999999</v>
      </c>
      <c r="X281" s="495">
        <v>0</v>
      </c>
      <c r="AA281" s="495">
        <v>0</v>
      </c>
      <c r="AB281" s="495">
        <v>0</v>
      </c>
      <c r="AC281" s="495">
        <v>0</v>
      </c>
      <c r="AD281" s="495">
        <v>0</v>
      </c>
      <c r="AE281" s="495">
        <v>0</v>
      </c>
      <c r="AH281" s="495">
        <v>18518.654059999997</v>
      </c>
      <c r="AI281" s="495">
        <v>10881.659285</v>
      </c>
      <c r="AJ281" s="495">
        <v>0</v>
      </c>
      <c r="AK281" s="495">
        <v>0</v>
      </c>
      <c r="AL281" s="495">
        <v>0</v>
      </c>
      <c r="AO281" s="495">
        <v>-776.3088377621566</v>
      </c>
      <c r="AP281" s="495">
        <v>-776.3088377621566</v>
      </c>
      <c r="AQ281" s="495">
        <v>-776.3088377621566</v>
      </c>
      <c r="AR281" s="495">
        <v>0</v>
      </c>
      <c r="AS281" s="495">
        <v>0</v>
      </c>
    </row>
    <row r="282" spans="1:45">
      <c r="A282" s="390">
        <v>92921</v>
      </c>
      <c r="B282" s="393">
        <v>92921</v>
      </c>
      <c r="C282" s="499" t="s">
        <v>995</v>
      </c>
      <c r="D282" s="378">
        <v>7.3670942119756575E-5</v>
      </c>
      <c r="F282" s="495">
        <v>56856.008370176118</v>
      </c>
      <c r="G282" s="495">
        <v>112817.11103017611</v>
      </c>
      <c r="H282" s="495">
        <v>21559.409435176131</v>
      </c>
      <c r="I282" s="495">
        <v>-7633.3858</v>
      </c>
      <c r="J282" s="495">
        <v>0</v>
      </c>
      <c r="M282" s="495">
        <v>33855.682860000001</v>
      </c>
      <c r="N282" s="495">
        <v>34440.764239999997</v>
      </c>
      <c r="O282" s="495">
        <v>18137.522779999999</v>
      </c>
      <c r="P282" s="495">
        <v>0</v>
      </c>
      <c r="Q282" s="495">
        <v>0</v>
      </c>
      <c r="T282" s="495">
        <v>13933.820239999999</v>
      </c>
      <c r="U282" s="495">
        <v>63320.861419999994</v>
      </c>
      <c r="V282" s="495">
        <v>-2111.9795199999999</v>
      </c>
      <c r="W282" s="495">
        <v>-7633.3858</v>
      </c>
      <c r="X282" s="495">
        <v>0</v>
      </c>
      <c r="AA282" s="495">
        <v>0</v>
      </c>
      <c r="AB282" s="495">
        <v>0</v>
      </c>
      <c r="AC282" s="495">
        <v>0</v>
      </c>
      <c r="AD282" s="495">
        <v>0</v>
      </c>
      <c r="AE282" s="495">
        <v>0</v>
      </c>
      <c r="AH282" s="495">
        <v>18049.980460176128</v>
      </c>
      <c r="AI282" s="495">
        <v>15968.880460176129</v>
      </c>
      <c r="AJ282" s="495">
        <v>5533.8661751761329</v>
      </c>
      <c r="AK282" s="495">
        <v>0</v>
      </c>
      <c r="AL282" s="495">
        <v>0</v>
      </c>
      <c r="AO282" s="495">
        <v>-8983.4751900000083</v>
      </c>
      <c r="AP282" s="495">
        <v>-913.39509000000498</v>
      </c>
      <c r="AQ282" s="495">
        <v>0</v>
      </c>
      <c r="AR282" s="495">
        <v>0</v>
      </c>
      <c r="AS282" s="495">
        <v>0</v>
      </c>
    </row>
    <row r="283" spans="1:45">
      <c r="A283" s="390">
        <v>92931</v>
      </c>
      <c r="B283" s="393">
        <v>92931</v>
      </c>
      <c r="C283" s="499" t="s">
        <v>996</v>
      </c>
      <c r="D283" s="378">
        <v>2.346627437024375E-3</v>
      </c>
      <c r="F283" s="495">
        <v>1627020.5245067007</v>
      </c>
      <c r="G283" s="495">
        <v>3152710.8553367001</v>
      </c>
      <c r="H283" s="495">
        <v>539202.43596420076</v>
      </c>
      <c r="I283" s="495">
        <v>-243144.9964</v>
      </c>
      <c r="J283" s="495">
        <v>0</v>
      </c>
      <c r="M283" s="495">
        <v>1078399.5598800001</v>
      </c>
      <c r="N283" s="495">
        <v>1097036.06192</v>
      </c>
      <c r="O283" s="495">
        <v>577731.56324000005</v>
      </c>
      <c r="P283" s="495">
        <v>0</v>
      </c>
      <c r="Q283" s="495">
        <v>0</v>
      </c>
      <c r="T283" s="495">
        <v>443831.70991999999</v>
      </c>
      <c r="U283" s="495">
        <v>2016949.10036</v>
      </c>
      <c r="V283" s="495">
        <v>-67272.540160000004</v>
      </c>
      <c r="W283" s="495">
        <v>-243144.9964</v>
      </c>
      <c r="X283" s="495">
        <v>0</v>
      </c>
      <c r="AA283" s="495">
        <v>0</v>
      </c>
      <c r="AB283" s="495">
        <v>0</v>
      </c>
      <c r="AC283" s="495">
        <v>0</v>
      </c>
      <c r="AD283" s="495">
        <v>0</v>
      </c>
      <c r="AE283" s="495">
        <v>0</v>
      </c>
      <c r="AH283" s="495">
        <v>118083.5756392006</v>
      </c>
      <c r="AI283" s="495">
        <v>52020.013989200488</v>
      </c>
      <c r="AJ283" s="495">
        <v>28743.412884200734</v>
      </c>
      <c r="AK283" s="495">
        <v>0</v>
      </c>
      <c r="AL283" s="495">
        <v>0</v>
      </c>
      <c r="AO283" s="495">
        <v>-13294.320932500064</v>
      </c>
      <c r="AP283" s="495">
        <v>-13294.320932500064</v>
      </c>
      <c r="AQ283" s="495">
        <v>0</v>
      </c>
      <c r="AR283" s="495">
        <v>0</v>
      </c>
      <c r="AS283" s="495">
        <v>0</v>
      </c>
    </row>
    <row r="284" spans="1:45">
      <c r="A284" s="390">
        <v>92941</v>
      </c>
      <c r="B284" s="393">
        <v>92941</v>
      </c>
      <c r="C284" s="499" t="s">
        <v>81</v>
      </c>
      <c r="D284" s="378">
        <v>3.4804678874162299E-6</v>
      </c>
      <c r="F284" s="495">
        <v>3129.0752739846985</v>
      </c>
      <c r="G284" s="495">
        <v>5274.4654289847003</v>
      </c>
      <c r="H284" s="495">
        <v>4219.2865789846992</v>
      </c>
      <c r="I284" s="495">
        <v>-360.63240000000002</v>
      </c>
      <c r="J284" s="495">
        <v>0</v>
      </c>
      <c r="M284" s="495">
        <v>1599.48108</v>
      </c>
      <c r="N284" s="495">
        <v>1627.1227200000001</v>
      </c>
      <c r="O284" s="495">
        <v>856.89084000000003</v>
      </c>
      <c r="P284" s="495">
        <v>0</v>
      </c>
      <c r="Q284" s="495">
        <v>0</v>
      </c>
      <c r="T284" s="495">
        <v>658.29072000000008</v>
      </c>
      <c r="U284" s="495">
        <v>2991.53676</v>
      </c>
      <c r="V284" s="495">
        <v>-99.778559999999999</v>
      </c>
      <c r="W284" s="495">
        <v>-360.63240000000002</v>
      </c>
      <c r="X284" s="495">
        <v>0</v>
      </c>
      <c r="AA284" s="495">
        <v>0</v>
      </c>
      <c r="AB284" s="495">
        <v>0</v>
      </c>
      <c r="AC284" s="495">
        <v>0</v>
      </c>
      <c r="AD284" s="495">
        <v>0</v>
      </c>
      <c r="AE284" s="495">
        <v>0</v>
      </c>
      <c r="AH284" s="495">
        <v>4204.3099239846988</v>
      </c>
      <c r="AI284" s="495">
        <v>3875.1492989846988</v>
      </c>
      <c r="AJ284" s="495">
        <v>3462.1742989846989</v>
      </c>
      <c r="AK284" s="495">
        <v>0</v>
      </c>
      <c r="AL284" s="495">
        <v>0</v>
      </c>
      <c r="AO284" s="495">
        <v>-3333.0064499999999</v>
      </c>
      <c r="AP284" s="495">
        <v>-3219.3433499999996</v>
      </c>
      <c r="AQ284" s="495">
        <v>0</v>
      </c>
      <c r="AR284" s="495">
        <v>0</v>
      </c>
      <c r="AS284" s="495">
        <v>0</v>
      </c>
    </row>
    <row r="285" spans="1:45">
      <c r="A285" s="390">
        <v>93001</v>
      </c>
      <c r="B285" s="393">
        <v>93001</v>
      </c>
      <c r="C285" s="499" t="s">
        <v>997</v>
      </c>
      <c r="D285" s="378">
        <v>2.3418267353888722E-3</v>
      </c>
      <c r="F285" s="495">
        <v>1445943.8620279294</v>
      </c>
      <c r="G285" s="495">
        <v>2900934.2051579296</v>
      </c>
      <c r="H285" s="495">
        <v>331517.9909504297</v>
      </c>
      <c r="I285" s="495">
        <v>-242647.5724</v>
      </c>
      <c r="J285" s="495">
        <v>0</v>
      </c>
      <c r="M285" s="495">
        <v>1076193.3790799999</v>
      </c>
      <c r="N285" s="495">
        <v>1094791.7547200001</v>
      </c>
      <c r="O285" s="495">
        <v>576549.64483999996</v>
      </c>
      <c r="P285" s="495">
        <v>0</v>
      </c>
      <c r="Q285" s="495">
        <v>0</v>
      </c>
      <c r="T285" s="495">
        <v>442923.72271999996</v>
      </c>
      <c r="U285" s="495">
        <v>2012822.8427599999</v>
      </c>
      <c r="V285" s="495">
        <v>-67134.914560000005</v>
      </c>
      <c r="W285" s="495">
        <v>-242647.5724</v>
      </c>
      <c r="X285" s="495">
        <v>0</v>
      </c>
      <c r="AA285" s="495">
        <v>0</v>
      </c>
      <c r="AB285" s="495">
        <v>0</v>
      </c>
      <c r="AC285" s="495">
        <v>0</v>
      </c>
      <c r="AD285" s="495">
        <v>0</v>
      </c>
      <c r="AE285" s="495">
        <v>0</v>
      </c>
      <c r="AH285" s="495">
        <v>154638.64755000023</v>
      </c>
      <c r="AI285" s="495">
        <v>0</v>
      </c>
      <c r="AJ285" s="495">
        <v>0</v>
      </c>
      <c r="AK285" s="495">
        <v>0</v>
      </c>
      <c r="AL285" s="495">
        <v>0</v>
      </c>
      <c r="AO285" s="495">
        <v>-227811.88732207069</v>
      </c>
      <c r="AP285" s="495">
        <v>-206680.39232207046</v>
      </c>
      <c r="AQ285" s="495">
        <v>-177896.73932957029</v>
      </c>
      <c r="AR285" s="495">
        <v>0</v>
      </c>
      <c r="AS285" s="495">
        <v>0</v>
      </c>
    </row>
    <row r="286" spans="1:45">
      <c r="A286" s="390">
        <v>93009</v>
      </c>
      <c r="B286" s="393">
        <v>93009</v>
      </c>
      <c r="C286" s="499" t="s">
        <v>998</v>
      </c>
      <c r="D286" s="378">
        <v>8.2912578356364379E-6</v>
      </c>
      <c r="F286" s="495">
        <v>7979.7995103687244</v>
      </c>
      <c r="G286" s="495">
        <v>13933.221500368723</v>
      </c>
      <c r="H286" s="495">
        <v>5196.5567978687241</v>
      </c>
      <c r="I286" s="495">
        <v>-859.09270000000004</v>
      </c>
      <c r="J286" s="495">
        <v>0</v>
      </c>
      <c r="M286" s="495">
        <v>3810.2580900000003</v>
      </c>
      <c r="N286" s="495">
        <v>3876.10556</v>
      </c>
      <c r="O286" s="495">
        <v>2041.2715700000001</v>
      </c>
      <c r="P286" s="495">
        <v>0</v>
      </c>
      <c r="Q286" s="495">
        <v>0</v>
      </c>
      <c r="T286" s="495">
        <v>1568.16956</v>
      </c>
      <c r="U286" s="495">
        <v>7126.3907300000001</v>
      </c>
      <c r="V286" s="495">
        <v>-237.69088000000002</v>
      </c>
      <c r="W286" s="495">
        <v>-859.09270000000004</v>
      </c>
      <c r="X286" s="495">
        <v>0</v>
      </c>
      <c r="AA286" s="495">
        <v>0</v>
      </c>
      <c r="AB286" s="495">
        <v>0</v>
      </c>
      <c r="AC286" s="495">
        <v>0</v>
      </c>
      <c r="AD286" s="495">
        <v>0</v>
      </c>
      <c r="AE286" s="495">
        <v>0</v>
      </c>
      <c r="AH286" s="495">
        <v>3590.653465368724</v>
      </c>
      <c r="AI286" s="495">
        <v>3522.1859653687238</v>
      </c>
      <c r="AJ286" s="495">
        <v>3392.9761078687238</v>
      </c>
      <c r="AK286" s="495">
        <v>0</v>
      </c>
      <c r="AL286" s="495">
        <v>0</v>
      </c>
      <c r="AO286" s="495">
        <v>-989.28160500000058</v>
      </c>
      <c r="AP286" s="495">
        <v>-591.46075499999961</v>
      </c>
      <c r="AQ286" s="495">
        <v>0</v>
      </c>
      <c r="AR286" s="495">
        <v>0</v>
      </c>
      <c r="AS286" s="495">
        <v>0</v>
      </c>
    </row>
    <row r="287" spans="1:45">
      <c r="A287" s="390">
        <v>93011</v>
      </c>
      <c r="B287" s="393">
        <v>93011</v>
      </c>
      <c r="C287" s="499" t="s">
        <v>999</v>
      </c>
      <c r="D287" s="378">
        <v>1.8054667540276767E-4</v>
      </c>
      <c r="F287" s="495">
        <v>45390.595262275252</v>
      </c>
      <c r="G287" s="495">
        <v>236095.8160822753</v>
      </c>
      <c r="H287" s="495">
        <v>31043.870242275269</v>
      </c>
      <c r="I287" s="495">
        <v>-18707.2876</v>
      </c>
      <c r="J287" s="495">
        <v>0</v>
      </c>
      <c r="M287" s="495">
        <v>82970.782920000012</v>
      </c>
      <c r="N287" s="495">
        <v>84404.653280000013</v>
      </c>
      <c r="O287" s="495">
        <v>44449.981160000003</v>
      </c>
      <c r="P287" s="495">
        <v>0</v>
      </c>
      <c r="Q287" s="495">
        <v>0</v>
      </c>
      <c r="T287" s="495">
        <v>34147.885280000002</v>
      </c>
      <c r="U287" s="495">
        <v>155181.67124000003</v>
      </c>
      <c r="V287" s="495">
        <v>-5175.8694400000004</v>
      </c>
      <c r="W287" s="495">
        <v>-18707.2876</v>
      </c>
      <c r="X287" s="495">
        <v>0</v>
      </c>
      <c r="AA287" s="495">
        <v>0</v>
      </c>
      <c r="AB287" s="495">
        <v>0</v>
      </c>
      <c r="AC287" s="495">
        <v>0</v>
      </c>
      <c r="AD287" s="495">
        <v>0</v>
      </c>
      <c r="AE287" s="495">
        <v>0</v>
      </c>
      <c r="AH287" s="495">
        <v>10751.109419999993</v>
      </c>
      <c r="AI287" s="495">
        <v>10751.109419999993</v>
      </c>
      <c r="AJ287" s="495">
        <v>0</v>
      </c>
      <c r="AK287" s="495">
        <v>0</v>
      </c>
      <c r="AL287" s="495">
        <v>0</v>
      </c>
      <c r="AO287" s="495">
        <v>-82479.182357724756</v>
      </c>
      <c r="AP287" s="495">
        <v>-14241.617857724734</v>
      </c>
      <c r="AQ287" s="495">
        <v>-8230.2414777247322</v>
      </c>
      <c r="AR287" s="495">
        <v>0</v>
      </c>
      <c r="AS287" s="495">
        <v>0</v>
      </c>
    </row>
    <row r="288" spans="1:45">
      <c r="A288" s="390">
        <v>93021</v>
      </c>
      <c r="B288" s="393">
        <v>93021</v>
      </c>
      <c r="C288" s="499" t="s">
        <v>1000</v>
      </c>
      <c r="D288" s="378">
        <v>1.8412654284195581E-5</v>
      </c>
      <c r="F288" s="495">
        <v>10808.531713738024</v>
      </c>
      <c r="G288" s="495">
        <v>23232.733348738024</v>
      </c>
      <c r="H288" s="495">
        <v>5425.8038912380225</v>
      </c>
      <c r="I288" s="495">
        <v>-1907.8283000000001</v>
      </c>
      <c r="J288" s="495">
        <v>0</v>
      </c>
      <c r="M288" s="495">
        <v>8461.6226100000003</v>
      </c>
      <c r="N288" s="495">
        <v>8607.8532400000004</v>
      </c>
      <c r="O288" s="495">
        <v>4533.1495300000006</v>
      </c>
      <c r="P288" s="495">
        <v>0</v>
      </c>
      <c r="Q288" s="495">
        <v>0</v>
      </c>
      <c r="T288" s="495">
        <v>3482.5092400000003</v>
      </c>
      <c r="U288" s="495">
        <v>15825.917170000001</v>
      </c>
      <c r="V288" s="495">
        <v>-527.85152000000005</v>
      </c>
      <c r="W288" s="495">
        <v>-1907.8283000000001</v>
      </c>
      <c r="X288" s="495">
        <v>0</v>
      </c>
      <c r="AA288" s="495">
        <v>0</v>
      </c>
      <c r="AB288" s="495">
        <v>0</v>
      </c>
      <c r="AC288" s="495">
        <v>0</v>
      </c>
      <c r="AD288" s="495">
        <v>0</v>
      </c>
      <c r="AE288" s="495">
        <v>0</v>
      </c>
      <c r="AH288" s="495">
        <v>3785.9778787380219</v>
      </c>
      <c r="AI288" s="495">
        <v>3493.2147537380224</v>
      </c>
      <c r="AJ288" s="495">
        <v>1420.5058812380221</v>
      </c>
      <c r="AK288" s="495">
        <v>0</v>
      </c>
      <c r="AL288" s="495">
        <v>0</v>
      </c>
      <c r="AO288" s="495">
        <v>-4921.5780149999991</v>
      </c>
      <c r="AP288" s="495">
        <v>-4694.2518149999996</v>
      </c>
      <c r="AQ288" s="495">
        <v>0</v>
      </c>
      <c r="AR288" s="495">
        <v>0</v>
      </c>
      <c r="AS288" s="495">
        <v>0</v>
      </c>
    </row>
    <row r="289" spans="1:45">
      <c r="A289" s="390">
        <v>93027</v>
      </c>
      <c r="B289" s="393">
        <v>93027</v>
      </c>
      <c r="C289" s="499" t="s">
        <v>1001</v>
      </c>
      <c r="D289" s="378">
        <v>0</v>
      </c>
      <c r="F289" s="495">
        <v>0</v>
      </c>
      <c r="G289" s="495">
        <v>0</v>
      </c>
      <c r="H289" s="495">
        <v>0</v>
      </c>
      <c r="I289" s="495">
        <v>0</v>
      </c>
      <c r="J289" s="495">
        <v>0</v>
      </c>
      <c r="M289" s="495">
        <v>0</v>
      </c>
      <c r="N289" s="495">
        <v>0</v>
      </c>
      <c r="O289" s="495">
        <v>0</v>
      </c>
      <c r="P289" s="495">
        <v>0</v>
      </c>
      <c r="Q289" s="495">
        <v>0</v>
      </c>
      <c r="T289" s="495">
        <v>0</v>
      </c>
      <c r="U289" s="495">
        <v>0</v>
      </c>
      <c r="V289" s="495">
        <v>0</v>
      </c>
      <c r="W289" s="495">
        <v>0</v>
      </c>
      <c r="X289" s="495">
        <v>0</v>
      </c>
      <c r="AA289" s="495">
        <v>0</v>
      </c>
      <c r="AB289" s="495">
        <v>0</v>
      </c>
      <c r="AC289" s="495">
        <v>0</v>
      </c>
      <c r="AD289" s="495">
        <v>0</v>
      </c>
      <c r="AE289" s="495">
        <v>0</v>
      </c>
      <c r="AH289" s="495">
        <v>0</v>
      </c>
      <c r="AI289" s="495">
        <v>0</v>
      </c>
      <c r="AJ289" s="495">
        <v>0</v>
      </c>
      <c r="AK289" s="495">
        <v>0</v>
      </c>
      <c r="AL289" s="495">
        <v>0</v>
      </c>
      <c r="AO289" s="495">
        <v>0</v>
      </c>
      <c r="AP289" s="495">
        <v>0</v>
      </c>
      <c r="AQ289" s="495">
        <v>0</v>
      </c>
      <c r="AR289" s="495">
        <v>0</v>
      </c>
      <c r="AS289" s="495">
        <v>0</v>
      </c>
    </row>
    <row r="290" spans="1:45">
      <c r="A290" s="390">
        <v>93028</v>
      </c>
      <c r="B290" s="393">
        <v>93028</v>
      </c>
      <c r="C290" s="499" t="s">
        <v>3609</v>
      </c>
      <c r="D290" s="378">
        <v>1.5132172360642823E-5</v>
      </c>
      <c r="F290" s="495">
        <v>6208.2033419938198</v>
      </c>
      <c r="G290" s="495">
        <v>14832.195146993818</v>
      </c>
      <c r="H290" s="495">
        <v>6926.5754944938208</v>
      </c>
      <c r="I290" s="495">
        <v>-1567.9219000000001</v>
      </c>
      <c r="J290" s="495">
        <v>0</v>
      </c>
      <c r="M290" s="495">
        <v>6954.0657300000003</v>
      </c>
      <c r="N290" s="495">
        <v>7074.2433200000005</v>
      </c>
      <c r="O290" s="495">
        <v>3725.5052900000001</v>
      </c>
      <c r="P290" s="495">
        <v>0</v>
      </c>
      <c r="Q290" s="495">
        <v>0</v>
      </c>
      <c r="T290" s="495">
        <v>2862.05132</v>
      </c>
      <c r="U290" s="495">
        <v>13006.30781</v>
      </c>
      <c r="V290" s="495">
        <v>-433.80736000000002</v>
      </c>
      <c r="W290" s="495">
        <v>-1567.9219000000001</v>
      </c>
      <c r="X290" s="495">
        <v>0</v>
      </c>
      <c r="AA290" s="495">
        <v>0</v>
      </c>
      <c r="AB290" s="495">
        <v>0</v>
      </c>
      <c r="AC290" s="495">
        <v>0</v>
      </c>
      <c r="AD290" s="495">
        <v>0</v>
      </c>
      <c r="AE290" s="495">
        <v>0</v>
      </c>
      <c r="AH290" s="495">
        <v>6396.7331719938211</v>
      </c>
      <c r="AI290" s="495">
        <v>3952.9765219938204</v>
      </c>
      <c r="AJ290" s="495">
        <v>3634.8775644938205</v>
      </c>
      <c r="AK290" s="495">
        <v>0</v>
      </c>
      <c r="AL290" s="495">
        <v>0</v>
      </c>
      <c r="AO290" s="495">
        <v>-10004.646880000002</v>
      </c>
      <c r="AP290" s="495">
        <v>-9201.3325050000021</v>
      </c>
      <c r="AQ290" s="495">
        <v>0</v>
      </c>
      <c r="AR290" s="495">
        <v>0</v>
      </c>
      <c r="AS290" s="495">
        <v>0</v>
      </c>
    </row>
    <row r="291" spans="1:45">
      <c r="A291" s="390">
        <v>93031</v>
      </c>
      <c r="B291" s="393">
        <v>93031</v>
      </c>
      <c r="C291" s="499" t="s">
        <v>1002</v>
      </c>
      <c r="D291" s="378">
        <v>0</v>
      </c>
      <c r="F291" s="495">
        <v>-2751.2034875000027</v>
      </c>
      <c r="G291" s="495">
        <v>-8973.8867124999997</v>
      </c>
      <c r="H291" s="495">
        <v>-7496.2393199999997</v>
      </c>
      <c r="I291" s="495">
        <v>0</v>
      </c>
      <c r="J291" s="495">
        <v>0</v>
      </c>
      <c r="M291" s="495">
        <v>0</v>
      </c>
      <c r="N291" s="495">
        <v>0</v>
      </c>
      <c r="O291" s="495">
        <v>0</v>
      </c>
      <c r="P291" s="495">
        <v>0</v>
      </c>
      <c r="Q291" s="495">
        <v>0</v>
      </c>
      <c r="T291" s="495">
        <v>0</v>
      </c>
      <c r="U291" s="495">
        <v>0</v>
      </c>
      <c r="V291" s="495">
        <v>0</v>
      </c>
      <c r="W291" s="495">
        <v>0</v>
      </c>
      <c r="X291" s="495">
        <v>0</v>
      </c>
      <c r="AA291" s="495">
        <v>0</v>
      </c>
      <c r="AB291" s="495">
        <v>0</v>
      </c>
      <c r="AC291" s="495">
        <v>0</v>
      </c>
      <c r="AD291" s="495">
        <v>0</v>
      </c>
      <c r="AE291" s="495">
        <v>0</v>
      </c>
      <c r="AH291" s="495">
        <v>8990.0769474999979</v>
      </c>
      <c r="AI291" s="495">
        <v>2767.3937225</v>
      </c>
      <c r="AJ291" s="495">
        <v>0</v>
      </c>
      <c r="AK291" s="495">
        <v>0</v>
      </c>
      <c r="AL291" s="495">
        <v>0</v>
      </c>
      <c r="AO291" s="495">
        <v>-11741.280435000001</v>
      </c>
      <c r="AP291" s="495">
        <v>-11741.280435000001</v>
      </c>
      <c r="AQ291" s="495">
        <v>-7496.2393199999997</v>
      </c>
      <c r="AR291" s="495">
        <v>0</v>
      </c>
      <c r="AS291" s="495">
        <v>0</v>
      </c>
    </row>
    <row r="292" spans="1:45">
      <c r="A292" s="390">
        <v>93101</v>
      </c>
      <c r="B292" s="393">
        <v>93101</v>
      </c>
      <c r="C292" s="499" t="s">
        <v>1003</v>
      </c>
      <c r="D292" s="378">
        <v>2.5997547749857476E-3</v>
      </c>
      <c r="F292" s="495">
        <v>1426994.8154844432</v>
      </c>
      <c r="G292" s="495">
        <v>3158697.1158794435</v>
      </c>
      <c r="H292" s="495">
        <v>433722.76790444332</v>
      </c>
      <c r="I292" s="495">
        <v>-269372.71309999999</v>
      </c>
      <c r="J292" s="495">
        <v>0</v>
      </c>
      <c r="M292" s="495">
        <v>1194725.03877</v>
      </c>
      <c r="N292" s="495">
        <v>1215371.8346800001</v>
      </c>
      <c r="O292" s="495">
        <v>640050.67321000004</v>
      </c>
      <c r="P292" s="495">
        <v>0</v>
      </c>
      <c r="Q292" s="495">
        <v>0</v>
      </c>
      <c r="T292" s="495">
        <v>491707.22668000002</v>
      </c>
      <c r="U292" s="495">
        <v>2234514.6286900002</v>
      </c>
      <c r="V292" s="495">
        <v>-74529.136640000012</v>
      </c>
      <c r="W292" s="495">
        <v>-269372.71309999999</v>
      </c>
      <c r="X292" s="495">
        <v>0</v>
      </c>
      <c r="AA292" s="495">
        <v>0</v>
      </c>
      <c r="AB292" s="495">
        <v>0</v>
      </c>
      <c r="AC292" s="495">
        <v>0</v>
      </c>
      <c r="AD292" s="495">
        <v>0</v>
      </c>
      <c r="AE292" s="495">
        <v>0</v>
      </c>
      <c r="AH292" s="495">
        <v>68776.058574999683</v>
      </c>
      <c r="AI292" s="495">
        <v>12058.171674999991</v>
      </c>
      <c r="AJ292" s="495">
        <v>0</v>
      </c>
      <c r="AK292" s="495">
        <v>0</v>
      </c>
      <c r="AL292" s="495">
        <v>0</v>
      </c>
      <c r="AO292" s="495">
        <v>-328213.50854055665</v>
      </c>
      <c r="AP292" s="495">
        <v>-303247.51916555665</v>
      </c>
      <c r="AQ292" s="495">
        <v>-131798.76866555665</v>
      </c>
      <c r="AR292" s="495">
        <v>0</v>
      </c>
      <c r="AS292" s="495">
        <v>0</v>
      </c>
    </row>
    <row r="293" spans="1:45">
      <c r="A293" s="390">
        <v>93103</v>
      </c>
      <c r="B293" s="393">
        <v>93103</v>
      </c>
      <c r="C293" s="499" t="s">
        <v>260</v>
      </c>
      <c r="D293" s="378">
        <v>0</v>
      </c>
      <c r="F293" s="495">
        <v>0</v>
      </c>
      <c r="G293" s="495">
        <v>0</v>
      </c>
      <c r="H293" s="495">
        <v>0</v>
      </c>
      <c r="I293" s="495">
        <v>0</v>
      </c>
      <c r="J293" s="495">
        <v>0</v>
      </c>
      <c r="M293" s="495">
        <v>0</v>
      </c>
      <c r="N293" s="495">
        <v>0</v>
      </c>
      <c r="O293" s="495">
        <v>0</v>
      </c>
      <c r="P293" s="495">
        <v>0</v>
      </c>
      <c r="Q293" s="495">
        <v>0</v>
      </c>
      <c r="T293" s="495">
        <v>0</v>
      </c>
      <c r="U293" s="495">
        <v>0</v>
      </c>
      <c r="V293" s="495">
        <v>0</v>
      </c>
      <c r="W293" s="495">
        <v>0</v>
      </c>
      <c r="X293" s="495">
        <v>0</v>
      </c>
      <c r="AA293" s="495">
        <v>0</v>
      </c>
      <c r="AB293" s="495">
        <v>0</v>
      </c>
      <c r="AC293" s="495">
        <v>0</v>
      </c>
      <c r="AD293" s="495">
        <v>0</v>
      </c>
      <c r="AE293" s="495">
        <v>0</v>
      </c>
      <c r="AH293" s="495">
        <v>0</v>
      </c>
      <c r="AI293" s="495">
        <v>0</v>
      </c>
      <c r="AJ293" s="495">
        <v>0</v>
      </c>
      <c r="AK293" s="495">
        <v>0</v>
      </c>
      <c r="AL293" s="495">
        <v>0</v>
      </c>
      <c r="AO293" s="495">
        <v>0</v>
      </c>
      <c r="AP293" s="495">
        <v>0</v>
      </c>
      <c r="AQ293" s="495">
        <v>0</v>
      </c>
      <c r="AR293" s="495">
        <v>0</v>
      </c>
      <c r="AS293" s="495">
        <v>0</v>
      </c>
    </row>
    <row r="294" spans="1:45">
      <c r="A294" s="390">
        <v>93108</v>
      </c>
      <c r="B294" s="393">
        <v>93108</v>
      </c>
      <c r="C294" s="499" t="s">
        <v>1004</v>
      </c>
      <c r="D294" s="378">
        <v>3.9007174720621846E-3</v>
      </c>
      <c r="F294" s="495">
        <v>3262251.7060213182</v>
      </c>
      <c r="G294" s="495">
        <v>5777234.5548363179</v>
      </c>
      <c r="H294" s="495">
        <v>877985.17724131746</v>
      </c>
      <c r="I294" s="495">
        <v>-404171.50819999998</v>
      </c>
      <c r="J294" s="495">
        <v>0</v>
      </c>
      <c r="M294" s="495">
        <v>1792586.24694</v>
      </c>
      <c r="N294" s="495">
        <v>1823565.0589599998</v>
      </c>
      <c r="O294" s="495">
        <v>960343.17261999997</v>
      </c>
      <c r="P294" s="495">
        <v>0</v>
      </c>
      <c r="Q294" s="495">
        <v>0</v>
      </c>
      <c r="T294" s="495">
        <v>737766.08296000003</v>
      </c>
      <c r="U294" s="495">
        <v>3352704.6491799997</v>
      </c>
      <c r="V294" s="495">
        <v>-111824.81408</v>
      </c>
      <c r="W294" s="495">
        <v>-404171.50819999998</v>
      </c>
      <c r="X294" s="495">
        <v>0</v>
      </c>
      <c r="AA294" s="495">
        <v>0</v>
      </c>
      <c r="AB294" s="495">
        <v>0</v>
      </c>
      <c r="AC294" s="495">
        <v>0</v>
      </c>
      <c r="AD294" s="495">
        <v>0</v>
      </c>
      <c r="AE294" s="495">
        <v>0</v>
      </c>
      <c r="AH294" s="495">
        <v>745326.64716131822</v>
      </c>
      <c r="AI294" s="495">
        <v>609158.25336131803</v>
      </c>
      <c r="AJ294" s="495">
        <v>29466.818701317534</v>
      </c>
      <c r="AK294" s="495">
        <v>0</v>
      </c>
      <c r="AL294" s="495">
        <v>0</v>
      </c>
      <c r="AO294" s="495">
        <v>-13427.271040000021</v>
      </c>
      <c r="AP294" s="495">
        <v>-8193.4066650000168</v>
      </c>
      <c r="AQ294" s="495">
        <v>0</v>
      </c>
      <c r="AR294" s="495">
        <v>0</v>
      </c>
      <c r="AS294" s="495">
        <v>0</v>
      </c>
    </row>
    <row r="295" spans="1:45">
      <c r="A295" s="390">
        <v>93111</v>
      </c>
      <c r="B295" s="393">
        <v>93111</v>
      </c>
      <c r="C295" s="499" t="s">
        <v>1005</v>
      </c>
      <c r="D295" s="378">
        <v>5.1947689331396749E-5</v>
      </c>
      <c r="F295" s="495">
        <v>30522.226536857823</v>
      </c>
      <c r="G295" s="495">
        <v>60740.909676857831</v>
      </c>
      <c r="H295" s="495">
        <v>6291.3310918578209</v>
      </c>
      <c r="I295" s="495">
        <v>-5382.5421999999999</v>
      </c>
      <c r="J295" s="495">
        <v>0</v>
      </c>
      <c r="M295" s="495">
        <v>23872.714739999999</v>
      </c>
      <c r="N295" s="495">
        <v>24285.274160000001</v>
      </c>
      <c r="O295" s="495">
        <v>12789.34202</v>
      </c>
      <c r="P295" s="495">
        <v>0</v>
      </c>
      <c r="Q295" s="495">
        <v>0</v>
      </c>
      <c r="T295" s="495">
        <v>9825.1781599999995</v>
      </c>
      <c r="U295" s="495">
        <v>44649.54578</v>
      </c>
      <c r="V295" s="495">
        <v>-1489.2236800000001</v>
      </c>
      <c r="W295" s="495">
        <v>-5382.5421999999999</v>
      </c>
      <c r="X295" s="495">
        <v>0</v>
      </c>
      <c r="AA295" s="495">
        <v>0</v>
      </c>
      <c r="AB295" s="495">
        <v>0</v>
      </c>
      <c r="AC295" s="495">
        <v>0</v>
      </c>
      <c r="AD295" s="495">
        <v>0</v>
      </c>
      <c r="AE295" s="495">
        <v>0</v>
      </c>
      <c r="AH295" s="495">
        <v>5621.4644550000012</v>
      </c>
      <c r="AI295" s="495">
        <v>603.2205550000017</v>
      </c>
      <c r="AJ295" s="495">
        <v>0</v>
      </c>
      <c r="AK295" s="495">
        <v>0</v>
      </c>
      <c r="AL295" s="495">
        <v>0</v>
      </c>
      <c r="AO295" s="495">
        <v>-8797.1308181421791</v>
      </c>
      <c r="AP295" s="495">
        <v>-8797.1308181421791</v>
      </c>
      <c r="AQ295" s="495">
        <v>-5008.78724814218</v>
      </c>
      <c r="AR295" s="495">
        <v>0</v>
      </c>
      <c r="AS295" s="495">
        <v>0</v>
      </c>
    </row>
    <row r="296" spans="1:45">
      <c r="A296" s="390">
        <v>93121</v>
      </c>
      <c r="B296" s="393">
        <v>93121</v>
      </c>
      <c r="C296" s="499" t="s">
        <v>1006</v>
      </c>
      <c r="D296" s="378">
        <v>3.5335205437052345E-5</v>
      </c>
      <c r="F296" s="495">
        <v>28169.468255784319</v>
      </c>
      <c r="G296" s="495">
        <v>49390.782860784326</v>
      </c>
      <c r="H296" s="495">
        <v>23480.972660784322</v>
      </c>
      <c r="I296" s="495">
        <v>-3661.2479000000003</v>
      </c>
      <c r="J296" s="495">
        <v>0</v>
      </c>
      <c r="M296" s="495">
        <v>16238.409930000002</v>
      </c>
      <c r="N296" s="495">
        <v>16519.036120000001</v>
      </c>
      <c r="O296" s="495">
        <v>8699.4118900000012</v>
      </c>
      <c r="P296" s="495">
        <v>0</v>
      </c>
      <c r="Q296" s="495">
        <v>0</v>
      </c>
      <c r="T296" s="495">
        <v>6683.1641200000004</v>
      </c>
      <c r="U296" s="495">
        <v>30370.975210000001</v>
      </c>
      <c r="V296" s="495">
        <v>-1012.98176</v>
      </c>
      <c r="W296" s="495">
        <v>-3661.2479000000003</v>
      </c>
      <c r="X296" s="495">
        <v>0</v>
      </c>
      <c r="AA296" s="495">
        <v>0</v>
      </c>
      <c r="AB296" s="495">
        <v>0</v>
      </c>
      <c r="AC296" s="495">
        <v>0</v>
      </c>
      <c r="AD296" s="495">
        <v>0</v>
      </c>
      <c r="AE296" s="495">
        <v>0</v>
      </c>
      <c r="AH296" s="495">
        <v>24189.612055784317</v>
      </c>
      <c r="AI296" s="495">
        <v>21442.489380784322</v>
      </c>
      <c r="AJ296" s="495">
        <v>15794.542530784322</v>
      </c>
      <c r="AK296" s="495">
        <v>0</v>
      </c>
      <c r="AL296" s="495">
        <v>0</v>
      </c>
      <c r="AO296" s="495">
        <v>-18941.717850000001</v>
      </c>
      <c r="AP296" s="495">
        <v>-18941.717850000001</v>
      </c>
      <c r="AQ296" s="495">
        <v>0</v>
      </c>
      <c r="AR296" s="495">
        <v>0</v>
      </c>
      <c r="AS296" s="495">
        <v>0</v>
      </c>
    </row>
    <row r="297" spans="1:45">
      <c r="A297" s="390">
        <v>93127</v>
      </c>
      <c r="B297" s="393">
        <v>93127</v>
      </c>
      <c r="C297" s="499" t="s">
        <v>1007</v>
      </c>
      <c r="D297" s="378">
        <v>5.8009281699003416E-6</v>
      </c>
      <c r="F297" s="495">
        <v>6391.8781399744985</v>
      </c>
      <c r="G297" s="495">
        <v>10211.273664974498</v>
      </c>
      <c r="H297" s="495">
        <v>1180.5679849744984</v>
      </c>
      <c r="I297" s="495">
        <v>-601.05400000000009</v>
      </c>
      <c r="J297" s="495">
        <v>0</v>
      </c>
      <c r="M297" s="495">
        <v>2665.8018000000002</v>
      </c>
      <c r="N297" s="495">
        <v>2711.8712</v>
      </c>
      <c r="O297" s="495">
        <v>1428.1514000000002</v>
      </c>
      <c r="P297" s="495">
        <v>0</v>
      </c>
      <c r="Q297" s="495">
        <v>0</v>
      </c>
      <c r="T297" s="495">
        <v>1097.1512</v>
      </c>
      <c r="U297" s="495">
        <v>4985.8946000000005</v>
      </c>
      <c r="V297" s="495">
        <v>-166.29760000000002</v>
      </c>
      <c r="W297" s="495">
        <v>-601.05400000000009</v>
      </c>
      <c r="X297" s="495">
        <v>0</v>
      </c>
      <c r="AA297" s="495">
        <v>0</v>
      </c>
      <c r="AB297" s="495">
        <v>0</v>
      </c>
      <c r="AC297" s="495">
        <v>0</v>
      </c>
      <c r="AD297" s="495">
        <v>0</v>
      </c>
      <c r="AE297" s="495">
        <v>0</v>
      </c>
      <c r="AH297" s="495">
        <v>3108.0318049999996</v>
      </c>
      <c r="AI297" s="495">
        <v>2594.7936799999998</v>
      </c>
      <c r="AJ297" s="495">
        <v>0</v>
      </c>
      <c r="AK297" s="495">
        <v>0</v>
      </c>
      <c r="AL297" s="495">
        <v>0</v>
      </c>
      <c r="AO297" s="495">
        <v>-479.10666502550157</v>
      </c>
      <c r="AP297" s="495">
        <v>-81.285815025501734</v>
      </c>
      <c r="AQ297" s="495">
        <v>-81.285815025501734</v>
      </c>
      <c r="AR297" s="495">
        <v>0</v>
      </c>
      <c r="AS297" s="495">
        <v>0</v>
      </c>
    </row>
    <row r="298" spans="1:45">
      <c r="A298" s="390">
        <v>93131</v>
      </c>
      <c r="B298" s="393">
        <v>93131</v>
      </c>
      <c r="C298" s="499" t="s">
        <v>1008</v>
      </c>
      <c r="D298" s="378">
        <v>1.6700474751293534E-4</v>
      </c>
      <c r="F298" s="495">
        <v>114869.91854309343</v>
      </c>
      <c r="G298" s="495">
        <v>225091.9611980934</v>
      </c>
      <c r="H298" s="495">
        <v>57347.799480593407</v>
      </c>
      <c r="I298" s="495">
        <v>-17304.1374</v>
      </c>
      <c r="J298" s="495">
        <v>0</v>
      </c>
      <c r="M298" s="495">
        <v>76747.514580000003</v>
      </c>
      <c r="N298" s="495">
        <v>78073.836720000007</v>
      </c>
      <c r="O298" s="495">
        <v>41115.986340000003</v>
      </c>
      <c r="P298" s="495">
        <v>0</v>
      </c>
      <c r="Q298" s="495">
        <v>0</v>
      </c>
      <c r="T298" s="495">
        <v>31586.604719999999</v>
      </c>
      <c r="U298" s="495">
        <v>143542.18626000002</v>
      </c>
      <c r="V298" s="495">
        <v>-4787.65056</v>
      </c>
      <c r="W298" s="495">
        <v>-17304.1374</v>
      </c>
      <c r="X298" s="495">
        <v>0</v>
      </c>
      <c r="AA298" s="495">
        <v>0</v>
      </c>
      <c r="AB298" s="495">
        <v>0</v>
      </c>
      <c r="AC298" s="495">
        <v>0</v>
      </c>
      <c r="AD298" s="495">
        <v>0</v>
      </c>
      <c r="AE298" s="495">
        <v>0</v>
      </c>
      <c r="AH298" s="495">
        <v>28869.05787809343</v>
      </c>
      <c r="AI298" s="495">
        <v>25809.19685309341</v>
      </c>
      <c r="AJ298" s="495">
        <v>21019.463700593406</v>
      </c>
      <c r="AK298" s="495">
        <v>0</v>
      </c>
      <c r="AL298" s="495">
        <v>0</v>
      </c>
      <c r="AO298" s="495">
        <v>-22333.258634999998</v>
      </c>
      <c r="AP298" s="495">
        <v>-22333.258634999998</v>
      </c>
      <c r="AQ298" s="495">
        <v>0</v>
      </c>
      <c r="AR298" s="495">
        <v>0</v>
      </c>
      <c r="AS298" s="495">
        <v>0</v>
      </c>
    </row>
    <row r="299" spans="1:45">
      <c r="A299" s="390">
        <v>93137</v>
      </c>
      <c r="B299" s="393">
        <v>93137</v>
      </c>
      <c r="C299" s="499" t="s">
        <v>1009</v>
      </c>
      <c r="D299" s="378">
        <v>4.9707193762950035E-6</v>
      </c>
      <c r="F299" s="495">
        <v>4469.6919831764262</v>
      </c>
      <c r="G299" s="495">
        <v>7441.9382781764252</v>
      </c>
      <c r="H299" s="495">
        <v>1884.7727806764249</v>
      </c>
      <c r="I299" s="495">
        <v>-515.04110000000003</v>
      </c>
      <c r="J299" s="495">
        <v>0</v>
      </c>
      <c r="M299" s="495">
        <v>2284.31637</v>
      </c>
      <c r="N299" s="495">
        <v>2323.7930799999999</v>
      </c>
      <c r="O299" s="495">
        <v>1223.77801</v>
      </c>
      <c r="P299" s="495">
        <v>0</v>
      </c>
      <c r="Q299" s="495">
        <v>0</v>
      </c>
      <c r="T299" s="495">
        <v>940.14508000000001</v>
      </c>
      <c r="U299" s="495">
        <v>4272.3958899999998</v>
      </c>
      <c r="V299" s="495">
        <v>-142.49984000000001</v>
      </c>
      <c r="W299" s="495">
        <v>-515.04110000000003</v>
      </c>
      <c r="X299" s="495">
        <v>0</v>
      </c>
      <c r="AA299" s="495">
        <v>0</v>
      </c>
      <c r="AB299" s="495">
        <v>0</v>
      </c>
      <c r="AC299" s="495">
        <v>0</v>
      </c>
      <c r="AD299" s="495">
        <v>0</v>
      </c>
      <c r="AE299" s="495">
        <v>0</v>
      </c>
      <c r="AH299" s="495">
        <v>1627.0596281764253</v>
      </c>
      <c r="AI299" s="495">
        <v>1227.5784031764249</v>
      </c>
      <c r="AJ299" s="495">
        <v>803.49461067642483</v>
      </c>
      <c r="AK299" s="495">
        <v>0</v>
      </c>
      <c r="AL299" s="495">
        <v>0</v>
      </c>
      <c r="AO299" s="495">
        <v>-381.8290949999988</v>
      </c>
      <c r="AP299" s="495">
        <v>-381.8290949999988</v>
      </c>
      <c r="AQ299" s="495">
        <v>0</v>
      </c>
      <c r="AR299" s="495">
        <v>0</v>
      </c>
      <c r="AS299" s="495">
        <v>0</v>
      </c>
    </row>
    <row r="300" spans="1:45">
      <c r="A300" s="390">
        <v>93141</v>
      </c>
      <c r="B300" s="393">
        <v>93141</v>
      </c>
      <c r="C300" s="499" t="s">
        <v>1010</v>
      </c>
      <c r="D300" s="378">
        <v>4.2226264810564554E-5</v>
      </c>
      <c r="F300" s="495">
        <v>31983.050275469534</v>
      </c>
      <c r="G300" s="495">
        <v>57643.952770469528</v>
      </c>
      <c r="H300" s="495">
        <v>6094.1245629695341</v>
      </c>
      <c r="I300" s="495">
        <v>-4375.2586000000001</v>
      </c>
      <c r="J300" s="495">
        <v>0</v>
      </c>
      <c r="M300" s="495">
        <v>19405.198619999999</v>
      </c>
      <c r="N300" s="495">
        <v>19740.552080000001</v>
      </c>
      <c r="O300" s="495">
        <v>10395.957259999999</v>
      </c>
      <c r="P300" s="495">
        <v>0</v>
      </c>
      <c r="Q300" s="495">
        <v>0</v>
      </c>
      <c r="T300" s="495">
        <v>7986.5040799999997</v>
      </c>
      <c r="U300" s="495">
        <v>36293.87414</v>
      </c>
      <c r="V300" s="495">
        <v>-1210.5318399999999</v>
      </c>
      <c r="W300" s="495">
        <v>-4375.2586000000001</v>
      </c>
      <c r="X300" s="495">
        <v>0</v>
      </c>
      <c r="AA300" s="495">
        <v>0</v>
      </c>
      <c r="AB300" s="495">
        <v>0</v>
      </c>
      <c r="AC300" s="495">
        <v>0</v>
      </c>
      <c r="AD300" s="495">
        <v>0</v>
      </c>
      <c r="AE300" s="495">
        <v>0</v>
      </c>
      <c r="AH300" s="495">
        <v>9068.62601</v>
      </c>
      <c r="AI300" s="495">
        <v>6086.8049849999952</v>
      </c>
      <c r="AJ300" s="495">
        <v>0</v>
      </c>
      <c r="AK300" s="495">
        <v>0</v>
      </c>
      <c r="AL300" s="495">
        <v>0</v>
      </c>
      <c r="AO300" s="495">
        <v>-4477.2784345304672</v>
      </c>
      <c r="AP300" s="495">
        <v>-4477.2784345304672</v>
      </c>
      <c r="AQ300" s="495">
        <v>-3091.3008570304655</v>
      </c>
      <c r="AR300" s="495">
        <v>0</v>
      </c>
      <c r="AS300" s="495">
        <v>0</v>
      </c>
    </row>
    <row r="301" spans="1:45">
      <c r="A301" s="390">
        <v>93151</v>
      </c>
      <c r="B301" s="393">
        <v>93151</v>
      </c>
      <c r="C301" s="499" t="s">
        <v>1011</v>
      </c>
      <c r="D301" s="378">
        <v>3.0997587026774392E-4</v>
      </c>
      <c r="F301" s="495">
        <v>149799.92931949077</v>
      </c>
      <c r="G301" s="495">
        <v>352604.71367449069</v>
      </c>
      <c r="H301" s="495">
        <v>43426.094816990757</v>
      </c>
      <c r="I301" s="495">
        <v>-32118.045899999997</v>
      </c>
      <c r="J301" s="495">
        <v>0</v>
      </c>
      <c r="M301" s="495">
        <v>142450.33653</v>
      </c>
      <c r="N301" s="495">
        <v>144912.11051999999</v>
      </c>
      <c r="O301" s="495">
        <v>76314.993689999988</v>
      </c>
      <c r="P301" s="495">
        <v>0</v>
      </c>
      <c r="Q301" s="495">
        <v>0</v>
      </c>
      <c r="T301" s="495">
        <v>58627.59852</v>
      </c>
      <c r="U301" s="495">
        <v>266427.29540999996</v>
      </c>
      <c r="V301" s="495">
        <v>-8886.3129599999993</v>
      </c>
      <c r="W301" s="495">
        <v>-32118.045899999997</v>
      </c>
      <c r="X301" s="495">
        <v>0</v>
      </c>
      <c r="AA301" s="495">
        <v>0</v>
      </c>
      <c r="AB301" s="495">
        <v>0</v>
      </c>
      <c r="AC301" s="495">
        <v>0</v>
      </c>
      <c r="AD301" s="495">
        <v>0</v>
      </c>
      <c r="AE301" s="495">
        <v>0</v>
      </c>
      <c r="AH301" s="495">
        <v>11536.804649999962</v>
      </c>
      <c r="AI301" s="495">
        <v>0</v>
      </c>
      <c r="AJ301" s="495">
        <v>0</v>
      </c>
      <c r="AK301" s="495">
        <v>0</v>
      </c>
      <c r="AL301" s="495">
        <v>0</v>
      </c>
      <c r="AO301" s="495">
        <v>-62814.810380509218</v>
      </c>
      <c r="AP301" s="495">
        <v>-58734.692255509239</v>
      </c>
      <c r="AQ301" s="495">
        <v>-24002.585913009236</v>
      </c>
      <c r="AR301" s="495">
        <v>0</v>
      </c>
      <c r="AS301" s="495">
        <v>0</v>
      </c>
    </row>
    <row r="302" spans="1:45">
      <c r="A302" s="390">
        <v>93157</v>
      </c>
      <c r="B302" s="393">
        <v>93157</v>
      </c>
      <c r="C302" s="499" t="s">
        <v>1012</v>
      </c>
      <c r="D302" s="378">
        <v>1.843268255208992E-5</v>
      </c>
      <c r="F302" s="495">
        <v>14938.753641462072</v>
      </c>
      <c r="G302" s="495">
        <v>21623.384796462073</v>
      </c>
      <c r="H302" s="495">
        <v>4511.6077214620727</v>
      </c>
      <c r="I302" s="495">
        <v>-1909.9009000000001</v>
      </c>
      <c r="J302" s="495">
        <v>0</v>
      </c>
      <c r="M302" s="495">
        <v>8470.8150299999998</v>
      </c>
      <c r="N302" s="495">
        <v>8617.2045200000011</v>
      </c>
      <c r="O302" s="495">
        <v>4538.0741900000003</v>
      </c>
      <c r="P302" s="495">
        <v>0</v>
      </c>
      <c r="Q302" s="495">
        <v>0</v>
      </c>
      <c r="T302" s="495">
        <v>3486.2925200000004</v>
      </c>
      <c r="U302" s="495">
        <v>15843.109910000001</v>
      </c>
      <c r="V302" s="495">
        <v>-528.42496000000006</v>
      </c>
      <c r="W302" s="495">
        <v>-1909.9009000000001</v>
      </c>
      <c r="X302" s="495">
        <v>0</v>
      </c>
      <c r="AA302" s="495">
        <v>0</v>
      </c>
      <c r="AB302" s="495">
        <v>0</v>
      </c>
      <c r="AC302" s="495">
        <v>0</v>
      </c>
      <c r="AD302" s="495">
        <v>0</v>
      </c>
      <c r="AE302" s="495">
        <v>0</v>
      </c>
      <c r="AH302" s="495">
        <v>7151.2498414620713</v>
      </c>
      <c r="AI302" s="495">
        <v>501.95849146207229</v>
      </c>
      <c r="AJ302" s="495">
        <v>501.95849146207229</v>
      </c>
      <c r="AK302" s="495">
        <v>0</v>
      </c>
      <c r="AL302" s="495">
        <v>0</v>
      </c>
      <c r="AO302" s="495">
        <v>-4169.6037500000002</v>
      </c>
      <c r="AP302" s="495">
        <v>-3338.8881250000004</v>
      </c>
      <c r="AQ302" s="495">
        <v>0</v>
      </c>
      <c r="AR302" s="495">
        <v>0</v>
      </c>
      <c r="AS302" s="495">
        <v>0</v>
      </c>
    </row>
    <row r="303" spans="1:45">
      <c r="A303" s="390">
        <v>93161</v>
      </c>
      <c r="B303" s="393">
        <v>93161</v>
      </c>
      <c r="C303" s="499" t="s">
        <v>1013</v>
      </c>
      <c r="D303" s="378">
        <v>7.0650530963750312E-5</v>
      </c>
      <c r="F303" s="495">
        <v>26411.58535884459</v>
      </c>
      <c r="G303" s="495">
        <v>83633.308623844583</v>
      </c>
      <c r="H303" s="495">
        <v>15239.699431344588</v>
      </c>
      <c r="I303" s="495">
        <v>-7320.4232000000002</v>
      </c>
      <c r="J303" s="495">
        <v>0</v>
      </c>
      <c r="M303" s="495">
        <v>32467.62744</v>
      </c>
      <c r="N303" s="495">
        <v>33028.720959999999</v>
      </c>
      <c r="O303" s="495">
        <v>17393.899120000002</v>
      </c>
      <c r="P303" s="495">
        <v>0</v>
      </c>
      <c r="Q303" s="495">
        <v>0</v>
      </c>
      <c r="T303" s="495">
        <v>13362.544960000001</v>
      </c>
      <c r="U303" s="495">
        <v>60724.757680000002</v>
      </c>
      <c r="V303" s="495">
        <v>-2025.3900800000001</v>
      </c>
      <c r="W303" s="495">
        <v>-7320.4232000000002</v>
      </c>
      <c r="X303" s="495">
        <v>0</v>
      </c>
      <c r="AA303" s="495">
        <v>0</v>
      </c>
      <c r="AB303" s="495">
        <v>0</v>
      </c>
      <c r="AC303" s="495">
        <v>0</v>
      </c>
      <c r="AD303" s="495">
        <v>0</v>
      </c>
      <c r="AE303" s="495">
        <v>0</v>
      </c>
      <c r="AH303" s="495">
        <v>0</v>
      </c>
      <c r="AI303" s="495">
        <v>0</v>
      </c>
      <c r="AJ303" s="495">
        <v>0</v>
      </c>
      <c r="AK303" s="495">
        <v>0</v>
      </c>
      <c r="AL303" s="495">
        <v>0</v>
      </c>
      <c r="AO303" s="495">
        <v>-19418.587041155413</v>
      </c>
      <c r="AP303" s="495">
        <v>-10120.17001615542</v>
      </c>
      <c r="AQ303" s="495">
        <v>-128.80960865541283</v>
      </c>
      <c r="AR303" s="495">
        <v>0</v>
      </c>
      <c r="AS303" s="495">
        <v>0</v>
      </c>
    </row>
    <row r="304" spans="1:45">
      <c r="A304" s="390">
        <v>93171</v>
      </c>
      <c r="B304" s="393">
        <v>93171</v>
      </c>
      <c r="C304" s="499" t="s">
        <v>1014</v>
      </c>
      <c r="D304" s="378">
        <v>1.6222451921794649E-5</v>
      </c>
      <c r="F304" s="495">
        <v>15522.307584204551</v>
      </c>
      <c r="G304" s="495">
        <v>27949.543529204548</v>
      </c>
      <c r="H304" s="495">
        <v>7474.0933117045497</v>
      </c>
      <c r="I304" s="495">
        <v>-1680.8786</v>
      </c>
      <c r="J304" s="495">
        <v>0</v>
      </c>
      <c r="M304" s="495">
        <v>7455.0526200000004</v>
      </c>
      <c r="N304" s="495">
        <v>7583.8880800000006</v>
      </c>
      <c r="O304" s="495">
        <v>3993.8992600000001</v>
      </c>
      <c r="P304" s="495">
        <v>0</v>
      </c>
      <c r="Q304" s="495">
        <v>0</v>
      </c>
      <c r="T304" s="495">
        <v>3068.24008</v>
      </c>
      <c r="U304" s="495">
        <v>13943.31214</v>
      </c>
      <c r="V304" s="495">
        <v>-465.05984000000001</v>
      </c>
      <c r="W304" s="495">
        <v>-1680.8786</v>
      </c>
      <c r="X304" s="495">
        <v>0</v>
      </c>
      <c r="AA304" s="495">
        <v>0</v>
      </c>
      <c r="AB304" s="495">
        <v>0</v>
      </c>
      <c r="AC304" s="495">
        <v>0</v>
      </c>
      <c r="AD304" s="495">
        <v>0</v>
      </c>
      <c r="AE304" s="495">
        <v>0</v>
      </c>
      <c r="AH304" s="495">
        <v>6522.6125317045498</v>
      </c>
      <c r="AI304" s="495">
        <v>6468.3206567045499</v>
      </c>
      <c r="AJ304" s="495">
        <v>3945.2538917045495</v>
      </c>
      <c r="AK304" s="495">
        <v>0</v>
      </c>
      <c r="AL304" s="495">
        <v>0</v>
      </c>
      <c r="AO304" s="495">
        <v>-1523.5976474999993</v>
      </c>
      <c r="AP304" s="495">
        <v>-45.977347500000178</v>
      </c>
      <c r="AQ304" s="495">
        <v>0</v>
      </c>
      <c r="AR304" s="495">
        <v>0</v>
      </c>
      <c r="AS304" s="495">
        <v>0</v>
      </c>
    </row>
    <row r="305" spans="1:45">
      <c r="A305" s="390">
        <v>93181</v>
      </c>
      <c r="B305" s="393">
        <v>93181</v>
      </c>
      <c r="C305" s="499" t="s">
        <v>1015</v>
      </c>
      <c r="D305" s="378">
        <v>1.6762473367242011E-5</v>
      </c>
      <c r="F305" s="495">
        <v>12642.049395253895</v>
      </c>
      <c r="G305" s="495">
        <v>21759.764605253891</v>
      </c>
      <c r="H305" s="495">
        <v>2410.4610277538941</v>
      </c>
      <c r="I305" s="495">
        <v>-1736.8387999999998</v>
      </c>
      <c r="J305" s="495">
        <v>0</v>
      </c>
      <c r="M305" s="495">
        <v>7703.2479599999997</v>
      </c>
      <c r="N305" s="495">
        <v>7836.3726399999996</v>
      </c>
      <c r="O305" s="495">
        <v>4126.8650799999996</v>
      </c>
      <c r="P305" s="495">
        <v>0</v>
      </c>
      <c r="Q305" s="495">
        <v>0</v>
      </c>
      <c r="T305" s="495">
        <v>3170.3886399999997</v>
      </c>
      <c r="U305" s="495">
        <v>14407.516119999998</v>
      </c>
      <c r="V305" s="495">
        <v>-480.54271999999997</v>
      </c>
      <c r="W305" s="495">
        <v>-1736.8387999999998</v>
      </c>
      <c r="X305" s="495">
        <v>0</v>
      </c>
      <c r="AA305" s="495">
        <v>0</v>
      </c>
      <c r="AB305" s="495">
        <v>0</v>
      </c>
      <c r="AC305" s="495">
        <v>0</v>
      </c>
      <c r="AD305" s="495">
        <v>0</v>
      </c>
      <c r="AE305" s="495">
        <v>0</v>
      </c>
      <c r="AH305" s="495">
        <v>4080.312495000001</v>
      </c>
      <c r="AI305" s="495">
        <v>1579.724295</v>
      </c>
      <c r="AJ305" s="495">
        <v>0</v>
      </c>
      <c r="AK305" s="495">
        <v>0</v>
      </c>
      <c r="AL305" s="495">
        <v>0</v>
      </c>
      <c r="AO305" s="495">
        <v>-2311.8996997461054</v>
      </c>
      <c r="AP305" s="495">
        <v>-2063.8484497461059</v>
      </c>
      <c r="AQ305" s="495">
        <v>-1235.8613322461053</v>
      </c>
      <c r="AR305" s="495">
        <v>0</v>
      </c>
      <c r="AS305" s="495">
        <v>0</v>
      </c>
    </row>
    <row r="306" spans="1:45">
      <c r="A306" s="390">
        <v>93191</v>
      </c>
      <c r="B306" s="393">
        <v>93191</v>
      </c>
      <c r="C306" s="499" t="s">
        <v>1016</v>
      </c>
      <c r="D306" s="378">
        <v>2.7564089136508886E-5</v>
      </c>
      <c r="F306" s="495">
        <v>25804.111628740895</v>
      </c>
      <c r="G306" s="495">
        <v>39397.809238740891</v>
      </c>
      <c r="H306" s="495">
        <v>7618.0386287408992</v>
      </c>
      <c r="I306" s="495">
        <v>-2856.0428000000002</v>
      </c>
      <c r="J306" s="495">
        <v>0</v>
      </c>
      <c r="M306" s="495">
        <v>12667.154759999999</v>
      </c>
      <c r="N306" s="495">
        <v>12886.063840000001</v>
      </c>
      <c r="O306" s="495">
        <v>6786.1814800000002</v>
      </c>
      <c r="P306" s="495">
        <v>0</v>
      </c>
      <c r="Q306" s="495">
        <v>0</v>
      </c>
      <c r="T306" s="495">
        <v>5213.3598400000001</v>
      </c>
      <c r="U306" s="495">
        <v>23691.595720000001</v>
      </c>
      <c r="V306" s="495">
        <v>-790.20032000000003</v>
      </c>
      <c r="W306" s="495">
        <v>-2856.0428000000002</v>
      </c>
      <c r="X306" s="495">
        <v>0</v>
      </c>
      <c r="AA306" s="495">
        <v>0</v>
      </c>
      <c r="AB306" s="495">
        <v>0</v>
      </c>
      <c r="AC306" s="495">
        <v>0</v>
      </c>
      <c r="AD306" s="495">
        <v>0</v>
      </c>
      <c r="AE306" s="495">
        <v>0</v>
      </c>
      <c r="AH306" s="495">
        <v>8342.8603487408982</v>
      </c>
      <c r="AI306" s="495">
        <v>3239.4129987408987</v>
      </c>
      <c r="AJ306" s="495">
        <v>1622.0574687408989</v>
      </c>
      <c r="AK306" s="495">
        <v>0</v>
      </c>
      <c r="AL306" s="495">
        <v>0</v>
      </c>
      <c r="AO306" s="495">
        <v>-419.26332000000355</v>
      </c>
      <c r="AP306" s="495">
        <v>-419.26332000000355</v>
      </c>
      <c r="AQ306" s="495">
        <v>0</v>
      </c>
      <c r="AR306" s="495">
        <v>0</v>
      </c>
      <c r="AS306" s="495">
        <v>0</v>
      </c>
    </row>
    <row r="307" spans="1:45">
      <c r="A307" s="390">
        <v>93201</v>
      </c>
      <c r="B307" s="393">
        <v>93201</v>
      </c>
      <c r="C307" s="499" t="s">
        <v>1017</v>
      </c>
      <c r="D307" s="378">
        <v>1.5689622553169379E-2</v>
      </c>
      <c r="F307" s="495">
        <v>10755333.20881198</v>
      </c>
      <c r="G307" s="495">
        <v>21626840.875311982</v>
      </c>
      <c r="H307" s="495">
        <v>3828548.6775069786</v>
      </c>
      <c r="I307" s="495">
        <v>-1625674.8990000002</v>
      </c>
      <c r="J307" s="495">
        <v>0</v>
      </c>
      <c r="M307" s="495">
        <v>7210212.5133000007</v>
      </c>
      <c r="N307" s="495">
        <v>7334816.7372000003</v>
      </c>
      <c r="O307" s="495">
        <v>3862730.9409000003</v>
      </c>
      <c r="P307" s="495">
        <v>0</v>
      </c>
      <c r="Q307" s="495">
        <v>0</v>
      </c>
      <c r="T307" s="495">
        <v>2967472.4172</v>
      </c>
      <c r="U307" s="495">
        <v>13485383.510100001</v>
      </c>
      <c r="V307" s="495">
        <v>-449786.26560000004</v>
      </c>
      <c r="W307" s="495">
        <v>-1625674.8990000002</v>
      </c>
      <c r="X307" s="495">
        <v>0</v>
      </c>
      <c r="AA307" s="495">
        <v>0</v>
      </c>
      <c r="AB307" s="495">
        <v>0</v>
      </c>
      <c r="AC307" s="495">
        <v>0</v>
      </c>
      <c r="AD307" s="495">
        <v>0</v>
      </c>
      <c r="AE307" s="495">
        <v>0</v>
      </c>
      <c r="AH307" s="495">
        <v>907214.43676198029</v>
      </c>
      <c r="AI307" s="495">
        <v>806640.62801197998</v>
      </c>
      <c r="AJ307" s="495">
        <v>415604.00220697862</v>
      </c>
      <c r="AK307" s="495">
        <v>0</v>
      </c>
      <c r="AL307" s="495">
        <v>0</v>
      </c>
      <c r="AO307" s="495">
        <v>-329566.15845000092</v>
      </c>
      <c r="AP307" s="495">
        <v>0</v>
      </c>
      <c r="AQ307" s="495">
        <v>0</v>
      </c>
      <c r="AR307" s="495">
        <v>0</v>
      </c>
      <c r="AS307" s="495">
        <v>0</v>
      </c>
    </row>
    <row r="308" spans="1:45">
      <c r="A308" s="390">
        <v>93204</v>
      </c>
      <c r="B308" s="393">
        <v>93204</v>
      </c>
      <c r="C308" s="499" t="s">
        <v>1019</v>
      </c>
      <c r="D308" s="378">
        <v>3.4958169585002914E-4</v>
      </c>
      <c r="F308" s="495">
        <v>276302.88172560983</v>
      </c>
      <c r="G308" s="495">
        <v>512720.5924306098</v>
      </c>
      <c r="H308" s="495">
        <v>84893.509540609826</v>
      </c>
      <c r="I308" s="495">
        <v>-36221.793900000004</v>
      </c>
      <c r="J308" s="495">
        <v>0</v>
      </c>
      <c r="M308" s="495">
        <v>160651.32813000001</v>
      </c>
      <c r="N308" s="495">
        <v>163427.64492000002</v>
      </c>
      <c r="O308" s="495">
        <v>86065.820490000013</v>
      </c>
      <c r="P308" s="495">
        <v>0</v>
      </c>
      <c r="Q308" s="495">
        <v>0</v>
      </c>
      <c r="T308" s="495">
        <v>66118.492920000004</v>
      </c>
      <c r="U308" s="495">
        <v>300468.92061000003</v>
      </c>
      <c r="V308" s="495">
        <v>-10021.72416</v>
      </c>
      <c r="W308" s="495">
        <v>-36221.793900000004</v>
      </c>
      <c r="X308" s="495">
        <v>0</v>
      </c>
      <c r="AA308" s="495">
        <v>0</v>
      </c>
      <c r="AB308" s="495">
        <v>0</v>
      </c>
      <c r="AC308" s="495">
        <v>0</v>
      </c>
      <c r="AD308" s="495">
        <v>0</v>
      </c>
      <c r="AE308" s="495">
        <v>0</v>
      </c>
      <c r="AH308" s="495">
        <v>59592.24502560978</v>
      </c>
      <c r="AI308" s="495">
        <v>48824.026900609781</v>
      </c>
      <c r="AJ308" s="495">
        <v>8849.413210609815</v>
      </c>
      <c r="AK308" s="495">
        <v>0</v>
      </c>
      <c r="AL308" s="495">
        <v>0</v>
      </c>
      <c r="AO308" s="495">
        <v>-10059.18435000001</v>
      </c>
      <c r="AP308" s="495">
        <v>0</v>
      </c>
      <c r="AQ308" s="495">
        <v>0</v>
      </c>
      <c r="AR308" s="495">
        <v>0</v>
      </c>
      <c r="AS308" s="495">
        <v>0</v>
      </c>
    </row>
    <row r="309" spans="1:45">
      <c r="A309" s="390">
        <v>93209</v>
      </c>
      <c r="B309" s="393">
        <v>93209</v>
      </c>
      <c r="C309" s="499" t="s">
        <v>3722</v>
      </c>
      <c r="D309" s="378">
        <v>9.7526137264575801E-3</v>
      </c>
      <c r="F309" s="495">
        <v>9075620.7568274811</v>
      </c>
      <c r="G309" s="495">
        <v>14968633.406322481</v>
      </c>
      <c r="H309" s="495">
        <v>2520247.3181624813</v>
      </c>
      <c r="I309" s="495">
        <v>-1010513.7471</v>
      </c>
      <c r="J309" s="495">
        <v>0</v>
      </c>
      <c r="M309" s="495">
        <v>4481842.5065700002</v>
      </c>
      <c r="N309" s="495">
        <v>4559296.0498799998</v>
      </c>
      <c r="O309" s="495">
        <v>2401059.8426100002</v>
      </c>
      <c r="P309" s="495">
        <v>0</v>
      </c>
      <c r="Q309" s="495">
        <v>0</v>
      </c>
      <c r="T309" s="495">
        <v>1844570.3218799999</v>
      </c>
      <c r="U309" s="495">
        <v>8382466.5252900003</v>
      </c>
      <c r="V309" s="495">
        <v>-279585.54624</v>
      </c>
      <c r="W309" s="495">
        <v>-1010513.7471</v>
      </c>
      <c r="X309" s="495">
        <v>0</v>
      </c>
      <c r="AA309" s="495">
        <v>0</v>
      </c>
      <c r="AB309" s="495">
        <v>0</v>
      </c>
      <c r="AC309" s="495">
        <v>0</v>
      </c>
      <c r="AD309" s="495">
        <v>0</v>
      </c>
      <c r="AE309" s="495">
        <v>0</v>
      </c>
      <c r="AH309" s="495">
        <v>2891704.040447481</v>
      </c>
      <c r="AI309" s="495">
        <v>2169366.9432224813</v>
      </c>
      <c r="AJ309" s="495">
        <v>398773.02179248107</v>
      </c>
      <c r="AK309" s="495">
        <v>0</v>
      </c>
      <c r="AL309" s="495">
        <v>0</v>
      </c>
      <c r="AO309" s="495">
        <v>-142496.1120699998</v>
      </c>
      <c r="AP309" s="495">
        <v>-142496.1120699998</v>
      </c>
      <c r="AQ309" s="495">
        <v>0</v>
      </c>
      <c r="AR309" s="495">
        <v>0</v>
      </c>
      <c r="AS309" s="495">
        <v>0</v>
      </c>
    </row>
    <row r="310" spans="1:45">
      <c r="A310" s="390">
        <v>93211</v>
      </c>
      <c r="B310" s="393">
        <v>93211</v>
      </c>
      <c r="C310" s="499" t="s">
        <v>1021</v>
      </c>
      <c r="D310" s="378">
        <v>1.9300287089004785E-2</v>
      </c>
      <c r="F310" s="495">
        <v>10166722.162051963</v>
      </c>
      <c r="G310" s="495">
        <v>23580700.336856961</v>
      </c>
      <c r="H310" s="495">
        <v>3464861.8575344589</v>
      </c>
      <c r="I310" s="495">
        <v>-1999792.6709</v>
      </c>
      <c r="J310" s="495">
        <v>0</v>
      </c>
      <c r="M310" s="495">
        <v>8869504.0740300007</v>
      </c>
      <c r="N310" s="495">
        <v>9022783.5605200008</v>
      </c>
      <c r="O310" s="495">
        <v>4751664.0811900003</v>
      </c>
      <c r="P310" s="495">
        <v>0</v>
      </c>
      <c r="Q310" s="495">
        <v>0</v>
      </c>
      <c r="T310" s="495">
        <v>3650379.0485200002</v>
      </c>
      <c r="U310" s="495">
        <v>16588784.832910001</v>
      </c>
      <c r="V310" s="495">
        <v>-553295.91295999999</v>
      </c>
      <c r="W310" s="495">
        <v>-1999792.6709</v>
      </c>
      <c r="X310" s="495">
        <v>0</v>
      </c>
      <c r="AA310" s="495">
        <v>0</v>
      </c>
      <c r="AB310" s="495">
        <v>0</v>
      </c>
      <c r="AC310" s="495">
        <v>0</v>
      </c>
      <c r="AD310" s="495">
        <v>0</v>
      </c>
      <c r="AE310" s="495">
        <v>0</v>
      </c>
      <c r="AH310" s="495">
        <v>126194.44926750101</v>
      </c>
      <c r="AI310" s="495">
        <v>126194.44926750101</v>
      </c>
      <c r="AJ310" s="495">
        <v>0</v>
      </c>
      <c r="AK310" s="495">
        <v>0</v>
      </c>
      <c r="AL310" s="495">
        <v>0</v>
      </c>
      <c r="AO310" s="495">
        <v>-2479355.4097655397</v>
      </c>
      <c r="AP310" s="495">
        <v>-2157062.5058405381</v>
      </c>
      <c r="AQ310" s="495">
        <v>-733506.31069554086</v>
      </c>
      <c r="AR310" s="495">
        <v>0</v>
      </c>
      <c r="AS310" s="495">
        <v>0</v>
      </c>
    </row>
    <row r="311" spans="1:45">
      <c r="A311" s="390">
        <v>93212</v>
      </c>
      <c r="B311" s="393">
        <v>93212</v>
      </c>
      <c r="C311" s="499" t="s">
        <v>1022</v>
      </c>
      <c r="D311" s="378">
        <v>2.4578631016916738E-4</v>
      </c>
      <c r="F311" s="495">
        <v>253982.17510301434</v>
      </c>
      <c r="G311" s="495">
        <v>418289.07367801433</v>
      </c>
      <c r="H311" s="495">
        <v>122654.72984801437</v>
      </c>
      <c r="I311" s="495">
        <v>-25467.072499999998</v>
      </c>
      <c r="J311" s="495">
        <v>0</v>
      </c>
      <c r="M311" s="495">
        <v>112951.86074999999</v>
      </c>
      <c r="N311" s="495">
        <v>114903.85299999999</v>
      </c>
      <c r="O311" s="495">
        <v>60511.759749999997</v>
      </c>
      <c r="P311" s="495">
        <v>0</v>
      </c>
      <c r="Q311" s="495">
        <v>0</v>
      </c>
      <c r="T311" s="495">
        <v>46487.053</v>
      </c>
      <c r="U311" s="495">
        <v>211255.79274999999</v>
      </c>
      <c r="V311" s="495">
        <v>-7046.1439999999993</v>
      </c>
      <c r="W311" s="495">
        <v>-25467.072499999998</v>
      </c>
      <c r="X311" s="495">
        <v>0</v>
      </c>
      <c r="AA311" s="495">
        <v>0</v>
      </c>
      <c r="AB311" s="495">
        <v>0</v>
      </c>
      <c r="AC311" s="495">
        <v>0</v>
      </c>
      <c r="AD311" s="495">
        <v>0</v>
      </c>
      <c r="AE311" s="495">
        <v>0</v>
      </c>
      <c r="AH311" s="495">
        <v>116242.76886301435</v>
      </c>
      <c r="AI311" s="495">
        <v>101098.66823801436</v>
      </c>
      <c r="AJ311" s="495">
        <v>69189.114098014368</v>
      </c>
      <c r="AK311" s="495">
        <v>0</v>
      </c>
      <c r="AL311" s="495">
        <v>0</v>
      </c>
      <c r="AO311" s="495">
        <v>-21699.507510000039</v>
      </c>
      <c r="AP311" s="495">
        <v>-8969.2403100000374</v>
      </c>
      <c r="AQ311" s="495">
        <v>0</v>
      </c>
      <c r="AR311" s="495">
        <v>0</v>
      </c>
      <c r="AS311" s="495">
        <v>0</v>
      </c>
    </row>
    <row r="312" spans="1:45">
      <c r="A312" s="390">
        <v>93219</v>
      </c>
      <c r="B312" s="393">
        <v>93219</v>
      </c>
      <c r="C312" s="499" t="s">
        <v>1023</v>
      </c>
      <c r="D312" s="378">
        <v>4.4090525657677611E-4</v>
      </c>
      <c r="F312" s="495">
        <v>402414.51391850988</v>
      </c>
      <c r="G312" s="495">
        <v>673003.56590851001</v>
      </c>
      <c r="H312" s="495">
        <v>181842.21287851001</v>
      </c>
      <c r="I312" s="495">
        <v>-45684.249199999998</v>
      </c>
      <c r="J312" s="495">
        <v>0</v>
      </c>
      <c r="M312" s="495">
        <v>202619.32164000001</v>
      </c>
      <c r="N312" s="495">
        <v>206120.91376</v>
      </c>
      <c r="O312" s="495">
        <v>108549.35572000001</v>
      </c>
      <c r="P312" s="495">
        <v>0</v>
      </c>
      <c r="Q312" s="495">
        <v>0</v>
      </c>
      <c r="T312" s="495">
        <v>83391.057759999996</v>
      </c>
      <c r="U312" s="495">
        <v>378962.37508000003</v>
      </c>
      <c r="V312" s="495">
        <v>-12639.76448</v>
      </c>
      <c r="W312" s="495">
        <v>-45684.249199999998</v>
      </c>
      <c r="X312" s="495">
        <v>0</v>
      </c>
      <c r="AA312" s="495">
        <v>0</v>
      </c>
      <c r="AB312" s="495">
        <v>0</v>
      </c>
      <c r="AC312" s="495">
        <v>0</v>
      </c>
      <c r="AD312" s="495">
        <v>0</v>
      </c>
      <c r="AE312" s="495">
        <v>0</v>
      </c>
      <c r="AH312" s="495">
        <v>131352.67032850994</v>
      </c>
      <c r="AI312" s="495">
        <v>95605.625378509954</v>
      </c>
      <c r="AJ312" s="495">
        <v>85932.621638509983</v>
      </c>
      <c r="AK312" s="495">
        <v>0</v>
      </c>
      <c r="AL312" s="495">
        <v>0</v>
      </c>
      <c r="AO312" s="495">
        <v>-14948.535810000008</v>
      </c>
      <c r="AP312" s="495">
        <v>-7685.3483100000012</v>
      </c>
      <c r="AQ312" s="495">
        <v>0</v>
      </c>
      <c r="AR312" s="495">
        <v>0</v>
      </c>
      <c r="AS312" s="495">
        <v>0</v>
      </c>
    </row>
    <row r="313" spans="1:45">
      <c r="A313" s="390">
        <v>93301</v>
      </c>
      <c r="B313" s="393">
        <v>93301</v>
      </c>
      <c r="C313" s="499" t="s">
        <v>1024</v>
      </c>
      <c r="D313" s="378">
        <v>2.2630450243751E-3</v>
      </c>
      <c r="F313" s="495">
        <v>1506450.5129305082</v>
      </c>
      <c r="G313" s="495">
        <v>2910222.8473155079</v>
      </c>
      <c r="H313" s="495">
        <v>403627.68176300853</v>
      </c>
      <c r="I313" s="495">
        <v>-234484.63729999997</v>
      </c>
      <c r="J313" s="495">
        <v>0</v>
      </c>
      <c r="M313" s="495">
        <v>1039989.03291</v>
      </c>
      <c r="N313" s="495">
        <v>1057961.73844</v>
      </c>
      <c r="O313" s="495">
        <v>557153.87142999994</v>
      </c>
      <c r="P313" s="495">
        <v>0</v>
      </c>
      <c r="Q313" s="495">
        <v>0</v>
      </c>
      <c r="T313" s="495">
        <v>428023.27443999995</v>
      </c>
      <c r="U313" s="495">
        <v>1945109.2362699998</v>
      </c>
      <c r="V313" s="495">
        <v>-64876.421119999992</v>
      </c>
      <c r="W313" s="495">
        <v>-234484.63729999997</v>
      </c>
      <c r="X313" s="495">
        <v>0</v>
      </c>
      <c r="AA313" s="495">
        <v>0</v>
      </c>
      <c r="AB313" s="495">
        <v>0</v>
      </c>
      <c r="AC313" s="495">
        <v>0</v>
      </c>
      <c r="AD313" s="495">
        <v>0</v>
      </c>
      <c r="AE313" s="495">
        <v>0</v>
      </c>
      <c r="AH313" s="495">
        <v>150984.22216999967</v>
      </c>
      <c r="AI313" s="495">
        <v>19697.889194999712</v>
      </c>
      <c r="AJ313" s="495">
        <v>0</v>
      </c>
      <c r="AK313" s="495">
        <v>0</v>
      </c>
      <c r="AL313" s="495">
        <v>0</v>
      </c>
      <c r="AO313" s="495">
        <v>-112546.0165894914</v>
      </c>
      <c r="AP313" s="495">
        <v>-112546.0165894914</v>
      </c>
      <c r="AQ313" s="495">
        <v>-88649.768546991399</v>
      </c>
      <c r="AR313" s="495">
        <v>0</v>
      </c>
      <c r="AS313" s="495">
        <v>0</v>
      </c>
    </row>
    <row r="314" spans="1:45">
      <c r="A314" s="390">
        <v>93304</v>
      </c>
      <c r="B314" s="393">
        <v>93304</v>
      </c>
      <c r="C314" s="499" t="s">
        <v>1025</v>
      </c>
      <c r="D314" s="378">
        <v>2.4023536445409639E-5</v>
      </c>
      <c r="F314" s="495">
        <v>7045.6919965840425</v>
      </c>
      <c r="G314" s="495">
        <v>27890.829091584048</v>
      </c>
      <c r="H314" s="495">
        <v>-1848.1162209159502</v>
      </c>
      <c r="I314" s="495">
        <v>-2489.1925999999999</v>
      </c>
      <c r="J314" s="495">
        <v>0</v>
      </c>
      <c r="M314" s="495">
        <v>11040.09642</v>
      </c>
      <c r="N314" s="495">
        <v>11230.887280000001</v>
      </c>
      <c r="O314" s="495">
        <v>5914.5166600000002</v>
      </c>
      <c r="P314" s="495">
        <v>0</v>
      </c>
      <c r="Q314" s="495">
        <v>0</v>
      </c>
      <c r="T314" s="495">
        <v>4543.7192800000003</v>
      </c>
      <c r="U314" s="495">
        <v>20648.480739999999</v>
      </c>
      <c r="V314" s="495">
        <v>-688.70144000000005</v>
      </c>
      <c r="W314" s="495">
        <v>-2489.1925999999999</v>
      </c>
      <c r="X314" s="495">
        <v>0</v>
      </c>
      <c r="AA314" s="495">
        <v>0</v>
      </c>
      <c r="AB314" s="495">
        <v>0</v>
      </c>
      <c r="AC314" s="495">
        <v>0</v>
      </c>
      <c r="AD314" s="495">
        <v>0</v>
      </c>
      <c r="AE314" s="495">
        <v>0</v>
      </c>
      <c r="AH314" s="495">
        <v>5241.9306374999951</v>
      </c>
      <c r="AI314" s="495">
        <v>3085.3925124999951</v>
      </c>
      <c r="AJ314" s="495">
        <v>0</v>
      </c>
      <c r="AK314" s="495">
        <v>0</v>
      </c>
      <c r="AL314" s="495">
        <v>0</v>
      </c>
      <c r="AO314" s="495">
        <v>-13780.054340915951</v>
      </c>
      <c r="AP314" s="495">
        <v>-7073.9314409159506</v>
      </c>
      <c r="AQ314" s="495">
        <v>-7073.9314409159506</v>
      </c>
      <c r="AR314" s="495">
        <v>0</v>
      </c>
      <c r="AS314" s="495">
        <v>0</v>
      </c>
    </row>
    <row r="315" spans="1:45">
      <c r="A315" s="390">
        <v>93305</v>
      </c>
      <c r="B315" s="393">
        <v>93305</v>
      </c>
      <c r="C315" s="499" t="s">
        <v>1026</v>
      </c>
      <c r="D315" s="378">
        <v>2.5773858701834901E-5</v>
      </c>
      <c r="F315" s="495">
        <v>15452.281453688422</v>
      </c>
      <c r="G315" s="495">
        <v>33040.557548688419</v>
      </c>
      <c r="H315" s="495">
        <v>3170.5151536884241</v>
      </c>
      <c r="I315" s="495">
        <v>-2670.5450999999998</v>
      </c>
      <c r="J315" s="495">
        <v>0</v>
      </c>
      <c r="M315" s="495">
        <v>11844.43317</v>
      </c>
      <c r="N315" s="495">
        <v>12049.12428</v>
      </c>
      <c r="O315" s="495">
        <v>6345.4244099999996</v>
      </c>
      <c r="P315" s="495">
        <v>0</v>
      </c>
      <c r="Q315" s="495">
        <v>0</v>
      </c>
      <c r="T315" s="495">
        <v>4874.7562799999996</v>
      </c>
      <c r="U315" s="495">
        <v>22152.84549</v>
      </c>
      <c r="V315" s="495">
        <v>-738.87743999999998</v>
      </c>
      <c r="W315" s="495">
        <v>-2670.5450999999998</v>
      </c>
      <c r="X315" s="495">
        <v>0</v>
      </c>
      <c r="AA315" s="495">
        <v>0</v>
      </c>
      <c r="AB315" s="495">
        <v>0</v>
      </c>
      <c r="AC315" s="495">
        <v>0</v>
      </c>
      <c r="AD315" s="495">
        <v>0</v>
      </c>
      <c r="AE315" s="495">
        <v>0</v>
      </c>
      <c r="AH315" s="495">
        <v>1907.9339699999989</v>
      </c>
      <c r="AI315" s="495">
        <v>1274.619594999999</v>
      </c>
      <c r="AJ315" s="495">
        <v>0</v>
      </c>
      <c r="AK315" s="495">
        <v>0</v>
      </c>
      <c r="AL315" s="495">
        <v>0</v>
      </c>
      <c r="AO315" s="495">
        <v>-3174.8419663115747</v>
      </c>
      <c r="AP315" s="495">
        <v>-2436.0318163115753</v>
      </c>
      <c r="AQ315" s="495">
        <v>-2436.0318163115753</v>
      </c>
      <c r="AR315" s="495">
        <v>0</v>
      </c>
      <c r="AS315" s="495">
        <v>0</v>
      </c>
    </row>
    <row r="316" spans="1:45">
      <c r="A316" s="390">
        <v>93309</v>
      </c>
      <c r="B316" s="393">
        <v>93309</v>
      </c>
      <c r="C316" s="499" t="s">
        <v>1027</v>
      </c>
      <c r="D316" s="378">
        <v>1.8242695886419621E-4</v>
      </c>
      <c r="F316" s="495">
        <v>134901.70481833597</v>
      </c>
      <c r="G316" s="495">
        <v>251557.24951833594</v>
      </c>
      <c r="H316" s="495">
        <v>45013.538563335991</v>
      </c>
      <c r="I316" s="495">
        <v>-18902.111999999997</v>
      </c>
      <c r="J316" s="495">
        <v>0</v>
      </c>
      <c r="M316" s="495">
        <v>83834.8704</v>
      </c>
      <c r="N316" s="495">
        <v>85283.673599999995</v>
      </c>
      <c r="O316" s="495">
        <v>44912.8992</v>
      </c>
      <c r="P316" s="495">
        <v>0</v>
      </c>
      <c r="Q316" s="495">
        <v>0</v>
      </c>
      <c r="T316" s="495">
        <v>34503.513599999998</v>
      </c>
      <c r="U316" s="495">
        <v>156797.78879999998</v>
      </c>
      <c r="V316" s="495">
        <v>-5229.7727999999997</v>
      </c>
      <c r="W316" s="495">
        <v>-18902.111999999997</v>
      </c>
      <c r="X316" s="495">
        <v>0</v>
      </c>
      <c r="AA316" s="495">
        <v>0</v>
      </c>
      <c r="AB316" s="495">
        <v>0</v>
      </c>
      <c r="AC316" s="495">
        <v>0</v>
      </c>
      <c r="AD316" s="495">
        <v>0</v>
      </c>
      <c r="AE316" s="495">
        <v>0</v>
      </c>
      <c r="AH316" s="495">
        <v>16563.320818335993</v>
      </c>
      <c r="AI316" s="495">
        <v>9475.787118335993</v>
      </c>
      <c r="AJ316" s="495">
        <v>5330.4121633359919</v>
      </c>
      <c r="AK316" s="495">
        <v>0</v>
      </c>
      <c r="AL316" s="495">
        <v>0</v>
      </c>
      <c r="AO316" s="495">
        <v>0</v>
      </c>
      <c r="AP316" s="495">
        <v>0</v>
      </c>
      <c r="AQ316" s="495">
        <v>0</v>
      </c>
      <c r="AR316" s="495">
        <v>0</v>
      </c>
      <c r="AS316" s="495">
        <v>0</v>
      </c>
    </row>
    <row r="317" spans="1:45">
      <c r="A317" s="390">
        <v>93311</v>
      </c>
      <c r="B317" s="393">
        <v>93311</v>
      </c>
      <c r="C317" s="499" t="s">
        <v>1028</v>
      </c>
      <c r="D317" s="378">
        <v>1.1326176875475205E-3</v>
      </c>
      <c r="F317" s="495">
        <v>608707.64797377074</v>
      </c>
      <c r="G317" s="495">
        <v>1383861.6059487709</v>
      </c>
      <c r="H317" s="495">
        <v>181583.09941127076</v>
      </c>
      <c r="I317" s="495">
        <v>-117355.79349999999</v>
      </c>
      <c r="J317" s="495">
        <v>0</v>
      </c>
      <c r="M317" s="495">
        <v>520497.80144999997</v>
      </c>
      <c r="N317" s="495">
        <v>529492.85179999995</v>
      </c>
      <c r="O317" s="495">
        <v>278846.56084999995</v>
      </c>
      <c r="P317" s="495">
        <v>0</v>
      </c>
      <c r="Q317" s="495">
        <v>0</v>
      </c>
      <c r="T317" s="495">
        <v>214218.77179999999</v>
      </c>
      <c r="U317" s="495">
        <v>973495.92064999987</v>
      </c>
      <c r="V317" s="495">
        <v>-32469.606399999997</v>
      </c>
      <c r="W317" s="495">
        <v>-117355.79349999999</v>
      </c>
      <c r="X317" s="495">
        <v>0</v>
      </c>
      <c r="AA317" s="495">
        <v>0</v>
      </c>
      <c r="AB317" s="495">
        <v>0</v>
      </c>
      <c r="AC317" s="495">
        <v>0</v>
      </c>
      <c r="AD317" s="495">
        <v>0</v>
      </c>
      <c r="AE317" s="495">
        <v>0</v>
      </c>
      <c r="AH317" s="495">
        <v>17163.128099999973</v>
      </c>
      <c r="AI317" s="495">
        <v>0</v>
      </c>
      <c r="AJ317" s="495">
        <v>0</v>
      </c>
      <c r="AK317" s="495">
        <v>0</v>
      </c>
      <c r="AL317" s="495">
        <v>0</v>
      </c>
      <c r="AO317" s="495">
        <v>-143172.05337622907</v>
      </c>
      <c r="AP317" s="495">
        <v>-119127.16650122905</v>
      </c>
      <c r="AQ317" s="495">
        <v>-64793.85503872922</v>
      </c>
      <c r="AR317" s="495">
        <v>0</v>
      </c>
      <c r="AS317" s="495">
        <v>0</v>
      </c>
    </row>
    <row r="318" spans="1:45">
      <c r="A318" s="390">
        <v>93317</v>
      </c>
      <c r="B318" s="393">
        <v>93317</v>
      </c>
      <c r="C318" s="499" t="s">
        <v>1029</v>
      </c>
      <c r="D318" s="378">
        <v>3.3504918466589686E-5</v>
      </c>
      <c r="F318" s="495">
        <v>22836.745950283748</v>
      </c>
      <c r="G318" s="495">
        <v>45324.594050283747</v>
      </c>
      <c r="H318" s="495">
        <v>10530.099185283751</v>
      </c>
      <c r="I318" s="495">
        <v>-3471.605</v>
      </c>
      <c r="J318" s="495">
        <v>0</v>
      </c>
      <c r="M318" s="495">
        <v>15397.3035</v>
      </c>
      <c r="N318" s="495">
        <v>15663.394</v>
      </c>
      <c r="O318" s="495">
        <v>8248.8055000000004</v>
      </c>
      <c r="P318" s="495">
        <v>0</v>
      </c>
      <c r="Q318" s="495">
        <v>0</v>
      </c>
      <c r="T318" s="495">
        <v>6336.9940000000006</v>
      </c>
      <c r="U318" s="495">
        <v>28797.839500000002</v>
      </c>
      <c r="V318" s="495">
        <v>-960.51200000000006</v>
      </c>
      <c r="W318" s="495">
        <v>-3471.605</v>
      </c>
      <c r="X318" s="495">
        <v>0</v>
      </c>
      <c r="AA318" s="495">
        <v>0</v>
      </c>
      <c r="AB318" s="495">
        <v>0</v>
      </c>
      <c r="AC318" s="495">
        <v>0</v>
      </c>
      <c r="AD318" s="495">
        <v>0</v>
      </c>
      <c r="AE318" s="495">
        <v>0</v>
      </c>
      <c r="AH318" s="495">
        <v>6246.9290302837508</v>
      </c>
      <c r="AI318" s="495">
        <v>5610.0202802837503</v>
      </c>
      <c r="AJ318" s="495">
        <v>3241.8056852837503</v>
      </c>
      <c r="AK318" s="495">
        <v>0</v>
      </c>
      <c r="AL318" s="495">
        <v>0</v>
      </c>
      <c r="AO318" s="495">
        <v>-5144.4805800000031</v>
      </c>
      <c r="AP318" s="495">
        <v>-4746.659730000003</v>
      </c>
      <c r="AQ318" s="495">
        <v>0</v>
      </c>
      <c r="AR318" s="495">
        <v>0</v>
      </c>
      <c r="AS318" s="495">
        <v>0</v>
      </c>
    </row>
    <row r="319" spans="1:45">
      <c r="A319" s="390">
        <v>93321</v>
      </c>
      <c r="B319" s="393">
        <v>93321</v>
      </c>
      <c r="C319" s="499" t="s">
        <v>1030</v>
      </c>
      <c r="D319" s="378">
        <v>6.7232352473060872E-3</v>
      </c>
      <c r="F319" s="495">
        <v>4786375.8331733905</v>
      </c>
      <c r="G319" s="495">
        <v>9599267.9934883919</v>
      </c>
      <c r="H319" s="495">
        <v>2087036.5084858905</v>
      </c>
      <c r="I319" s="495">
        <v>-696625.73120000004</v>
      </c>
      <c r="J319" s="495">
        <v>0</v>
      </c>
      <c r="M319" s="495">
        <v>3089682.6710399999</v>
      </c>
      <c r="N319" s="495">
        <v>3143077.4233599999</v>
      </c>
      <c r="O319" s="495">
        <v>1655237.32192</v>
      </c>
      <c r="P319" s="495">
        <v>0</v>
      </c>
      <c r="Q319" s="495">
        <v>0</v>
      </c>
      <c r="T319" s="495">
        <v>1271605.80736</v>
      </c>
      <c r="U319" s="495">
        <v>5778686.22688</v>
      </c>
      <c r="V319" s="495">
        <v>-192740.06528000001</v>
      </c>
      <c r="W319" s="495">
        <v>-696625.73120000004</v>
      </c>
      <c r="X319" s="495">
        <v>0</v>
      </c>
      <c r="AA319" s="495">
        <v>0</v>
      </c>
      <c r="AB319" s="495">
        <v>0</v>
      </c>
      <c r="AC319" s="495">
        <v>0</v>
      </c>
      <c r="AD319" s="495">
        <v>0</v>
      </c>
      <c r="AE319" s="495">
        <v>0</v>
      </c>
      <c r="AH319" s="495">
        <v>801157.02857839013</v>
      </c>
      <c r="AI319" s="495">
        <v>771007.55045339023</v>
      </c>
      <c r="AJ319" s="495">
        <v>624539.25184589042</v>
      </c>
      <c r="AK319" s="495">
        <v>0</v>
      </c>
      <c r="AL319" s="495">
        <v>0</v>
      </c>
      <c r="AO319" s="495">
        <v>-376069.67380499933</v>
      </c>
      <c r="AP319" s="495">
        <v>-93503.207204999868</v>
      </c>
      <c r="AQ319" s="495">
        <v>0</v>
      </c>
      <c r="AR319" s="495">
        <v>0</v>
      </c>
      <c r="AS319" s="495">
        <v>0</v>
      </c>
    </row>
    <row r="320" spans="1:45">
      <c r="A320" s="390">
        <v>93323</v>
      </c>
      <c r="B320" s="393">
        <v>93323</v>
      </c>
      <c r="C320" s="499" t="s">
        <v>1031</v>
      </c>
      <c r="D320" s="378">
        <v>3.3454921975623812E-5</v>
      </c>
      <c r="F320" s="495">
        <v>17426.623212223611</v>
      </c>
      <c r="G320" s="495">
        <v>37485.692712223616</v>
      </c>
      <c r="H320" s="495">
        <v>18205.618599723617</v>
      </c>
      <c r="I320" s="495">
        <v>-3466.4234999999999</v>
      </c>
      <c r="J320" s="495">
        <v>0</v>
      </c>
      <c r="M320" s="495">
        <v>15374.32245</v>
      </c>
      <c r="N320" s="495">
        <v>15640.015799999999</v>
      </c>
      <c r="O320" s="495">
        <v>8236.4938500000007</v>
      </c>
      <c r="P320" s="495">
        <v>0</v>
      </c>
      <c r="Q320" s="495">
        <v>0</v>
      </c>
      <c r="T320" s="495">
        <v>6327.5357999999997</v>
      </c>
      <c r="U320" s="495">
        <v>28754.857650000002</v>
      </c>
      <c r="V320" s="495">
        <v>-959.07839999999999</v>
      </c>
      <c r="W320" s="495">
        <v>-3466.4234999999999</v>
      </c>
      <c r="X320" s="495">
        <v>0</v>
      </c>
      <c r="AA320" s="495">
        <v>0</v>
      </c>
      <c r="AB320" s="495">
        <v>0</v>
      </c>
      <c r="AC320" s="495">
        <v>0</v>
      </c>
      <c r="AD320" s="495">
        <v>0</v>
      </c>
      <c r="AE320" s="495">
        <v>0</v>
      </c>
      <c r="AH320" s="495">
        <v>18986.086287223614</v>
      </c>
      <c r="AI320" s="495">
        <v>15064.709337223616</v>
      </c>
      <c r="AJ320" s="495">
        <v>10928.203149723615</v>
      </c>
      <c r="AK320" s="495">
        <v>0</v>
      </c>
      <c r="AL320" s="495">
        <v>0</v>
      </c>
      <c r="AO320" s="495">
        <v>-23261.321324999997</v>
      </c>
      <c r="AP320" s="495">
        <v>-21973.890074999996</v>
      </c>
      <c r="AQ320" s="495">
        <v>0</v>
      </c>
      <c r="AR320" s="495">
        <v>0</v>
      </c>
      <c r="AS320" s="495">
        <v>0</v>
      </c>
    </row>
    <row r="321" spans="1:45">
      <c r="A321" s="390">
        <v>93331</v>
      </c>
      <c r="B321" s="393">
        <v>93331</v>
      </c>
      <c r="C321" s="499" t="s">
        <v>1032</v>
      </c>
      <c r="D321" s="378">
        <v>8.3462391399448979E-5</v>
      </c>
      <c r="F321" s="495">
        <v>51221.634597348573</v>
      </c>
      <c r="G321" s="495">
        <v>100598.7944973486</v>
      </c>
      <c r="H321" s="495">
        <v>9494.4824598485939</v>
      </c>
      <c r="I321" s="495">
        <v>-8647.923499999999</v>
      </c>
      <c r="J321" s="495">
        <v>0</v>
      </c>
      <c r="M321" s="495">
        <v>38355.372449999995</v>
      </c>
      <c r="N321" s="495">
        <v>39018.215799999998</v>
      </c>
      <c r="O321" s="495">
        <v>20548.14385</v>
      </c>
      <c r="P321" s="495">
        <v>0</v>
      </c>
      <c r="Q321" s="495">
        <v>0</v>
      </c>
      <c r="T321" s="495">
        <v>15785.735799999999</v>
      </c>
      <c r="U321" s="495">
        <v>71736.707649999997</v>
      </c>
      <c r="V321" s="495">
        <v>-2392.6783999999998</v>
      </c>
      <c r="W321" s="495">
        <v>-8647.923499999999</v>
      </c>
      <c r="X321" s="495">
        <v>0</v>
      </c>
      <c r="AA321" s="495">
        <v>0</v>
      </c>
      <c r="AB321" s="495">
        <v>0</v>
      </c>
      <c r="AC321" s="495">
        <v>0</v>
      </c>
      <c r="AD321" s="495">
        <v>0</v>
      </c>
      <c r="AE321" s="495">
        <v>0</v>
      </c>
      <c r="AH321" s="495">
        <v>9672.1029624999865</v>
      </c>
      <c r="AI321" s="495">
        <v>2435.4476624999988</v>
      </c>
      <c r="AJ321" s="495">
        <v>0</v>
      </c>
      <c r="AK321" s="495">
        <v>0</v>
      </c>
      <c r="AL321" s="495">
        <v>0</v>
      </c>
      <c r="AO321" s="495">
        <v>-12591.5766151514</v>
      </c>
      <c r="AP321" s="495">
        <v>-12591.5766151514</v>
      </c>
      <c r="AQ321" s="495">
        <v>-8660.9829901514058</v>
      </c>
      <c r="AR321" s="495">
        <v>0</v>
      </c>
      <c r="AS321" s="495">
        <v>0</v>
      </c>
    </row>
    <row r="322" spans="1:45">
      <c r="A322" s="390">
        <v>93333</v>
      </c>
      <c r="B322" s="500">
        <v>93333</v>
      </c>
      <c r="C322" s="501" t="s">
        <v>1033</v>
      </c>
      <c r="D322" s="378">
        <v>1.3918058760887996E-4</v>
      </c>
      <c r="F322" s="495">
        <v>85942.853728939896</v>
      </c>
      <c r="G322" s="495">
        <v>170698.70173893991</v>
      </c>
      <c r="H322" s="495">
        <v>21117.220998939894</v>
      </c>
      <c r="I322" s="495">
        <v>-14421.150799999999</v>
      </c>
      <c r="J322" s="495">
        <v>0</v>
      </c>
      <c r="M322" s="495">
        <v>63960.858359999998</v>
      </c>
      <c r="N322" s="495">
        <v>65066.206239999992</v>
      </c>
      <c r="O322" s="495">
        <v>34265.78428</v>
      </c>
      <c r="P322" s="495">
        <v>0</v>
      </c>
      <c r="Q322" s="495">
        <v>0</v>
      </c>
      <c r="T322" s="495">
        <v>26324.062239999999</v>
      </c>
      <c r="U322" s="495">
        <v>119627.08491999999</v>
      </c>
      <c r="V322" s="495">
        <v>-3989.9955199999995</v>
      </c>
      <c r="W322" s="495">
        <v>-14421.150799999999</v>
      </c>
      <c r="X322" s="495">
        <v>0</v>
      </c>
      <c r="AA322" s="495">
        <v>0</v>
      </c>
      <c r="AB322" s="495">
        <v>0</v>
      </c>
      <c r="AC322" s="495">
        <v>0</v>
      </c>
      <c r="AD322" s="495">
        <v>0</v>
      </c>
      <c r="AE322" s="495">
        <v>0</v>
      </c>
      <c r="AH322" s="495">
        <v>18623.252120000005</v>
      </c>
      <c r="AI322" s="495">
        <v>7322.6146200000003</v>
      </c>
      <c r="AJ322" s="495">
        <v>0</v>
      </c>
      <c r="AK322" s="495">
        <v>0</v>
      </c>
      <c r="AL322" s="495">
        <v>0</v>
      </c>
      <c r="AO322" s="495">
        <v>-22965.318991060107</v>
      </c>
      <c r="AP322" s="495">
        <v>-21317.204041060104</v>
      </c>
      <c r="AQ322" s="495">
        <v>-9158.5677610601051</v>
      </c>
      <c r="AR322" s="495">
        <v>0</v>
      </c>
      <c r="AS322" s="495">
        <v>0</v>
      </c>
    </row>
    <row r="323" spans="1:45">
      <c r="A323" s="390">
        <v>93341</v>
      </c>
      <c r="B323" s="393">
        <v>93341</v>
      </c>
      <c r="C323" s="499" t="s">
        <v>1034</v>
      </c>
      <c r="D323" s="378">
        <v>3.9255850145524158E-5</v>
      </c>
      <c r="F323" s="495">
        <v>32371.929164698122</v>
      </c>
      <c r="G323" s="495">
        <v>64266.04753969812</v>
      </c>
      <c r="H323" s="495">
        <v>11278.861684698117</v>
      </c>
      <c r="I323" s="495">
        <v>-4067.4775</v>
      </c>
      <c r="J323" s="495">
        <v>0</v>
      </c>
      <c r="M323" s="495">
        <v>18040.124250000001</v>
      </c>
      <c r="N323" s="495">
        <v>18351.886999999999</v>
      </c>
      <c r="O323" s="495">
        <v>9664.6452499999996</v>
      </c>
      <c r="P323" s="495">
        <v>0</v>
      </c>
      <c r="Q323" s="495">
        <v>0</v>
      </c>
      <c r="T323" s="495">
        <v>7424.6869999999999</v>
      </c>
      <c r="U323" s="495">
        <v>33740.752249999998</v>
      </c>
      <c r="V323" s="495">
        <v>-1125.376</v>
      </c>
      <c r="W323" s="495">
        <v>-4067.4775</v>
      </c>
      <c r="X323" s="495">
        <v>0</v>
      </c>
      <c r="AA323" s="495">
        <v>0</v>
      </c>
      <c r="AB323" s="495">
        <v>0</v>
      </c>
      <c r="AC323" s="495">
        <v>0</v>
      </c>
      <c r="AD323" s="495">
        <v>0</v>
      </c>
      <c r="AE323" s="495">
        <v>0</v>
      </c>
      <c r="AH323" s="495">
        <v>13726.903914698123</v>
      </c>
      <c r="AI323" s="495">
        <v>12173.408289698124</v>
      </c>
      <c r="AJ323" s="495">
        <v>2739.5924346981174</v>
      </c>
      <c r="AK323" s="495">
        <v>0</v>
      </c>
      <c r="AL323" s="495">
        <v>0</v>
      </c>
      <c r="AO323" s="495">
        <v>-6819.7860000000001</v>
      </c>
      <c r="AP323" s="495">
        <v>0</v>
      </c>
      <c r="AQ323" s="495">
        <v>0</v>
      </c>
      <c r="AR323" s="495">
        <v>0</v>
      </c>
      <c r="AS323" s="495">
        <v>0</v>
      </c>
    </row>
    <row r="324" spans="1:45">
      <c r="A324" s="390">
        <v>93351</v>
      </c>
      <c r="B324" s="393">
        <v>93351</v>
      </c>
      <c r="C324" s="499" t="s">
        <v>1035</v>
      </c>
      <c r="D324" s="378">
        <v>2.0532980245276259E-5</v>
      </c>
      <c r="F324" s="495">
        <v>3116.9754149873152</v>
      </c>
      <c r="G324" s="495">
        <v>16397.557394987314</v>
      </c>
      <c r="H324" s="495">
        <v>1646.8769349873214</v>
      </c>
      <c r="I324" s="495">
        <v>-2127.5239000000001</v>
      </c>
      <c r="J324" s="495">
        <v>0</v>
      </c>
      <c r="M324" s="495">
        <v>9436.0191300000006</v>
      </c>
      <c r="N324" s="495">
        <v>9599.0889200000001</v>
      </c>
      <c r="O324" s="495">
        <v>5055.1634900000008</v>
      </c>
      <c r="P324" s="495">
        <v>0</v>
      </c>
      <c r="Q324" s="495">
        <v>0</v>
      </c>
      <c r="T324" s="495">
        <v>3883.5369200000005</v>
      </c>
      <c r="U324" s="495">
        <v>17648.347610000001</v>
      </c>
      <c r="V324" s="495">
        <v>-588.63616000000002</v>
      </c>
      <c r="W324" s="495">
        <v>-2127.5239000000001</v>
      </c>
      <c r="X324" s="495">
        <v>0</v>
      </c>
      <c r="AA324" s="495">
        <v>0</v>
      </c>
      <c r="AB324" s="495">
        <v>0</v>
      </c>
      <c r="AC324" s="495">
        <v>0</v>
      </c>
      <c r="AD324" s="495">
        <v>0</v>
      </c>
      <c r="AE324" s="495">
        <v>0</v>
      </c>
      <c r="AH324" s="495">
        <v>1136.6309999999976</v>
      </c>
      <c r="AI324" s="495">
        <v>0</v>
      </c>
      <c r="AJ324" s="495">
        <v>0</v>
      </c>
      <c r="AK324" s="495">
        <v>0</v>
      </c>
      <c r="AL324" s="495">
        <v>0</v>
      </c>
      <c r="AO324" s="495">
        <v>-11339.211635012683</v>
      </c>
      <c r="AP324" s="495">
        <v>-10849.879135012683</v>
      </c>
      <c r="AQ324" s="495">
        <v>-2819.6503950126794</v>
      </c>
      <c r="AR324" s="495">
        <v>0</v>
      </c>
      <c r="AS324" s="495">
        <v>0</v>
      </c>
    </row>
    <row r="325" spans="1:45">
      <c r="A325" s="390">
        <v>93401</v>
      </c>
      <c r="B325" s="393">
        <v>93401</v>
      </c>
      <c r="C325" s="499" t="s">
        <v>1036</v>
      </c>
      <c r="D325" s="378">
        <v>1.2957638186394404E-2</v>
      </c>
      <c r="F325" s="495">
        <v>8096516.446813955</v>
      </c>
      <c r="G325" s="495">
        <v>17152135.809733957</v>
      </c>
      <c r="H325" s="495">
        <v>2665117.8065764541</v>
      </c>
      <c r="I325" s="495">
        <v>-1342601.2635999999</v>
      </c>
      <c r="J325" s="495">
        <v>0</v>
      </c>
      <c r="M325" s="495">
        <v>5954720.9821199998</v>
      </c>
      <c r="N325" s="495">
        <v>6057628.2660800004</v>
      </c>
      <c r="O325" s="495">
        <v>3190125.8027599999</v>
      </c>
      <c r="P325" s="495">
        <v>0</v>
      </c>
      <c r="Q325" s="495">
        <v>0</v>
      </c>
      <c r="T325" s="495">
        <v>2450755.8180800001</v>
      </c>
      <c r="U325" s="495">
        <v>11137216.273640001</v>
      </c>
      <c r="V325" s="495">
        <v>-371466.40383999998</v>
      </c>
      <c r="W325" s="495">
        <v>-1342601.2635999999</v>
      </c>
      <c r="X325" s="495">
        <v>0</v>
      </c>
      <c r="AA325" s="495">
        <v>0</v>
      </c>
      <c r="AB325" s="495">
        <v>0</v>
      </c>
      <c r="AC325" s="495">
        <v>0</v>
      </c>
      <c r="AD325" s="495">
        <v>0</v>
      </c>
      <c r="AE325" s="495">
        <v>0</v>
      </c>
      <c r="AH325" s="495">
        <v>149537.02087249933</v>
      </c>
      <c r="AI325" s="495">
        <v>120094.08962249942</v>
      </c>
      <c r="AJ325" s="495">
        <v>0</v>
      </c>
      <c r="AK325" s="495">
        <v>0</v>
      </c>
      <c r="AL325" s="495">
        <v>0</v>
      </c>
      <c r="AO325" s="495">
        <v>-458497.37425854558</v>
      </c>
      <c r="AP325" s="495">
        <v>-162802.81960854528</v>
      </c>
      <c r="AQ325" s="495">
        <v>-153541.59234354622</v>
      </c>
      <c r="AR325" s="495">
        <v>0</v>
      </c>
      <c r="AS325" s="495">
        <v>0</v>
      </c>
    </row>
    <row r="326" spans="1:45">
      <c r="A326" s="390">
        <v>93402</v>
      </c>
      <c r="B326" s="393">
        <v>93402</v>
      </c>
      <c r="C326" s="499" t="s">
        <v>1037</v>
      </c>
      <c r="D326" s="378">
        <v>0</v>
      </c>
      <c r="F326" s="495">
        <v>0</v>
      </c>
      <c r="G326" s="495">
        <v>0</v>
      </c>
      <c r="H326" s="495">
        <v>0</v>
      </c>
      <c r="I326" s="495">
        <v>0</v>
      </c>
      <c r="J326" s="495">
        <v>0</v>
      </c>
      <c r="M326" s="495">
        <v>0</v>
      </c>
      <c r="N326" s="495">
        <v>0</v>
      </c>
      <c r="O326" s="495">
        <v>0</v>
      </c>
      <c r="P326" s="495">
        <v>0</v>
      </c>
      <c r="Q326" s="495">
        <v>0</v>
      </c>
      <c r="T326" s="495">
        <v>0</v>
      </c>
      <c r="U326" s="495">
        <v>0</v>
      </c>
      <c r="V326" s="495">
        <v>0</v>
      </c>
      <c r="W326" s="495">
        <v>0</v>
      </c>
      <c r="X326" s="495">
        <v>0</v>
      </c>
      <c r="AA326" s="495">
        <v>0</v>
      </c>
      <c r="AB326" s="495">
        <v>0</v>
      </c>
      <c r="AC326" s="495">
        <v>0</v>
      </c>
      <c r="AD326" s="495">
        <v>0</v>
      </c>
      <c r="AE326" s="495">
        <v>0</v>
      </c>
      <c r="AH326" s="495">
        <v>0</v>
      </c>
      <c r="AI326" s="495">
        <v>0</v>
      </c>
      <c r="AJ326" s="495">
        <v>0</v>
      </c>
      <c r="AK326" s="495">
        <v>0</v>
      </c>
      <c r="AL326" s="495">
        <v>0</v>
      </c>
      <c r="AO326" s="495">
        <v>0</v>
      </c>
      <c r="AP326" s="495">
        <v>0</v>
      </c>
      <c r="AQ326" s="495">
        <v>0</v>
      </c>
      <c r="AR326" s="495">
        <v>0</v>
      </c>
      <c r="AS326" s="495">
        <v>0</v>
      </c>
    </row>
    <row r="327" spans="1:45">
      <c r="A327" s="390">
        <v>93406</v>
      </c>
      <c r="B327" s="393">
        <v>93406</v>
      </c>
      <c r="C327" s="499" t="s">
        <v>1038</v>
      </c>
      <c r="D327" s="378">
        <v>5.5098150706930254E-4</v>
      </c>
      <c r="F327" s="495">
        <v>329840.22278395703</v>
      </c>
      <c r="G327" s="495">
        <v>692754.28085895709</v>
      </c>
      <c r="H327" s="495">
        <v>96239.499221457052</v>
      </c>
      <c r="I327" s="495">
        <v>-57089.767</v>
      </c>
      <c r="J327" s="495">
        <v>0</v>
      </c>
      <c r="M327" s="495">
        <v>253205.2089</v>
      </c>
      <c r="N327" s="495">
        <v>257581.00760000001</v>
      </c>
      <c r="O327" s="495">
        <v>135649.7597</v>
      </c>
      <c r="P327" s="495">
        <v>0</v>
      </c>
      <c r="Q327" s="495">
        <v>0</v>
      </c>
      <c r="T327" s="495">
        <v>104210.4476</v>
      </c>
      <c r="U327" s="495">
        <v>473574.0233</v>
      </c>
      <c r="V327" s="495">
        <v>-15795.4048</v>
      </c>
      <c r="W327" s="495">
        <v>-57089.767</v>
      </c>
      <c r="X327" s="495">
        <v>0</v>
      </c>
      <c r="AA327" s="495">
        <v>0</v>
      </c>
      <c r="AB327" s="495">
        <v>0</v>
      </c>
      <c r="AC327" s="495">
        <v>0</v>
      </c>
      <c r="AD327" s="495">
        <v>0</v>
      </c>
      <c r="AE327" s="495">
        <v>0</v>
      </c>
      <c r="AH327" s="495">
        <v>11025.320699999953</v>
      </c>
      <c r="AI327" s="495">
        <v>0</v>
      </c>
      <c r="AJ327" s="495">
        <v>0</v>
      </c>
      <c r="AK327" s="495">
        <v>0</v>
      </c>
      <c r="AL327" s="495">
        <v>0</v>
      </c>
      <c r="AO327" s="495">
        <v>-38600.754416042939</v>
      </c>
      <c r="AP327" s="495">
        <v>-38400.750041042949</v>
      </c>
      <c r="AQ327" s="495">
        <v>-23614.855678542939</v>
      </c>
      <c r="AR327" s="495">
        <v>0</v>
      </c>
      <c r="AS327" s="495">
        <v>0</v>
      </c>
    </row>
    <row r="328" spans="1:45">
      <c r="A328" s="390">
        <v>93411</v>
      </c>
      <c r="B328" s="393">
        <v>93411</v>
      </c>
      <c r="C328" s="499" t="s">
        <v>1040</v>
      </c>
      <c r="D328" s="378">
        <v>1.5691232825908081E-2</v>
      </c>
      <c r="F328" s="495">
        <v>9155324.3110875133</v>
      </c>
      <c r="G328" s="495">
        <v>20642410.00807251</v>
      </c>
      <c r="H328" s="495">
        <v>3589362.6486700107</v>
      </c>
      <c r="I328" s="495">
        <v>-1625841.7433</v>
      </c>
      <c r="J328" s="495">
        <v>0</v>
      </c>
      <c r="M328" s="495">
        <v>7210952.5031099999</v>
      </c>
      <c r="N328" s="495">
        <v>7335569.5152400006</v>
      </c>
      <c r="O328" s="495">
        <v>3863127.3760299999</v>
      </c>
      <c r="P328" s="495">
        <v>0</v>
      </c>
      <c r="Q328" s="495">
        <v>0</v>
      </c>
      <c r="T328" s="495">
        <v>2967776.9712399999</v>
      </c>
      <c r="U328" s="495">
        <v>13486767.525669999</v>
      </c>
      <c r="V328" s="495">
        <v>-449832.42752000003</v>
      </c>
      <c r="W328" s="495">
        <v>-1625841.7433</v>
      </c>
      <c r="X328" s="495">
        <v>0</v>
      </c>
      <c r="AA328" s="495">
        <v>0</v>
      </c>
      <c r="AB328" s="495">
        <v>0</v>
      </c>
      <c r="AC328" s="495">
        <v>0</v>
      </c>
      <c r="AD328" s="495">
        <v>0</v>
      </c>
      <c r="AE328" s="495">
        <v>0</v>
      </c>
      <c r="AH328" s="495">
        <v>360091.61016751104</v>
      </c>
      <c r="AI328" s="495">
        <v>360091.61016751104</v>
      </c>
      <c r="AJ328" s="495">
        <v>176067.70016001092</v>
      </c>
      <c r="AK328" s="495">
        <v>0</v>
      </c>
      <c r="AL328" s="495">
        <v>0</v>
      </c>
      <c r="AO328" s="495">
        <v>-1383496.7734299968</v>
      </c>
      <c r="AP328" s="495">
        <v>-540018.6430049967</v>
      </c>
      <c r="AQ328" s="495">
        <v>0</v>
      </c>
      <c r="AR328" s="495">
        <v>0</v>
      </c>
      <c r="AS328" s="495">
        <v>0</v>
      </c>
    </row>
    <row r="329" spans="1:45">
      <c r="A329" s="390">
        <v>93413</v>
      </c>
      <c r="B329" s="393">
        <v>93413</v>
      </c>
      <c r="C329" s="499" t="s">
        <v>1041</v>
      </c>
      <c r="D329" s="378">
        <v>5.233874497097222E-4</v>
      </c>
      <c r="F329" s="495">
        <v>183466.44064488038</v>
      </c>
      <c r="G329" s="495">
        <v>546949.17880488024</v>
      </c>
      <c r="H329" s="495">
        <v>18532.318517380263</v>
      </c>
      <c r="I329" s="495">
        <v>-54230.615300000005</v>
      </c>
      <c r="J329" s="495">
        <v>0</v>
      </c>
      <c r="M329" s="495">
        <v>240524.26551000003</v>
      </c>
      <c r="N329" s="495">
        <v>244680.91684000002</v>
      </c>
      <c r="O329" s="495">
        <v>128856.19123000001</v>
      </c>
      <c r="P329" s="495">
        <v>0</v>
      </c>
      <c r="Q329" s="495">
        <v>0</v>
      </c>
      <c r="T329" s="495">
        <v>98991.412840000005</v>
      </c>
      <c r="U329" s="495">
        <v>449856.63847000001</v>
      </c>
      <c r="V329" s="495">
        <v>-15004.34432</v>
      </c>
      <c r="W329" s="495">
        <v>-54230.615300000005</v>
      </c>
      <c r="X329" s="495">
        <v>0</v>
      </c>
      <c r="AA329" s="495">
        <v>0</v>
      </c>
      <c r="AB329" s="495">
        <v>0</v>
      </c>
      <c r="AC329" s="495">
        <v>0</v>
      </c>
      <c r="AD329" s="495">
        <v>0</v>
      </c>
      <c r="AE329" s="495">
        <v>0</v>
      </c>
      <c r="AH329" s="495">
        <v>3132.7749999999942</v>
      </c>
      <c r="AI329" s="495">
        <v>0</v>
      </c>
      <c r="AJ329" s="495">
        <v>0</v>
      </c>
      <c r="AK329" s="495">
        <v>0</v>
      </c>
      <c r="AL329" s="495">
        <v>0</v>
      </c>
      <c r="AO329" s="495">
        <v>-159182.01270511971</v>
      </c>
      <c r="AP329" s="495">
        <v>-147588.37650511976</v>
      </c>
      <c r="AQ329" s="495">
        <v>-95319.528392619744</v>
      </c>
      <c r="AR329" s="495">
        <v>0</v>
      </c>
      <c r="AS329" s="495">
        <v>0</v>
      </c>
    </row>
    <row r="330" spans="1:45">
      <c r="A330" s="390">
        <v>93417</v>
      </c>
      <c r="B330" s="393">
        <v>93417</v>
      </c>
      <c r="C330" s="499" t="s">
        <v>1042</v>
      </c>
      <c r="D330" s="378">
        <v>2.7372055136787164E-4</v>
      </c>
      <c r="F330" s="495">
        <v>207165.57285090012</v>
      </c>
      <c r="G330" s="495">
        <v>383165.99060590006</v>
      </c>
      <c r="H330" s="495">
        <v>65291.153825900146</v>
      </c>
      <c r="I330" s="495">
        <v>-28361.4584</v>
      </c>
      <c r="J330" s="495">
        <v>0</v>
      </c>
      <c r="M330" s="495">
        <v>125789.07528</v>
      </c>
      <c r="N330" s="495">
        <v>127962.91552</v>
      </c>
      <c r="O330" s="495">
        <v>67389.047439999995</v>
      </c>
      <c r="P330" s="495">
        <v>0</v>
      </c>
      <c r="Q330" s="495">
        <v>0</v>
      </c>
      <c r="T330" s="495">
        <v>51770.40352</v>
      </c>
      <c r="U330" s="495">
        <v>235265.45415999999</v>
      </c>
      <c r="V330" s="495">
        <v>-7846.9529599999996</v>
      </c>
      <c r="W330" s="495">
        <v>-28361.4584</v>
      </c>
      <c r="X330" s="495">
        <v>0</v>
      </c>
      <c r="AA330" s="495">
        <v>0</v>
      </c>
      <c r="AB330" s="495">
        <v>0</v>
      </c>
      <c r="AC330" s="495">
        <v>0</v>
      </c>
      <c r="AD330" s="495">
        <v>0</v>
      </c>
      <c r="AE330" s="495">
        <v>0</v>
      </c>
      <c r="AH330" s="495">
        <v>34978.225160900154</v>
      </c>
      <c r="AI330" s="495">
        <v>22468.174535900151</v>
      </c>
      <c r="AJ330" s="495">
        <v>5749.0593459001539</v>
      </c>
      <c r="AK330" s="495">
        <v>0</v>
      </c>
      <c r="AL330" s="495">
        <v>0</v>
      </c>
      <c r="AO330" s="495">
        <v>-5372.1311100000385</v>
      </c>
      <c r="AP330" s="495">
        <v>-2530.553610000039</v>
      </c>
      <c r="AQ330" s="495">
        <v>0</v>
      </c>
      <c r="AR330" s="495">
        <v>0</v>
      </c>
      <c r="AS330" s="495">
        <v>0</v>
      </c>
    </row>
    <row r="331" spans="1:45">
      <c r="A331" s="390">
        <v>93421</v>
      </c>
      <c r="B331" s="393">
        <v>93421</v>
      </c>
      <c r="C331" s="499" t="s">
        <v>1043</v>
      </c>
      <c r="D331" s="378">
        <v>1.9275053696821019E-3</v>
      </c>
      <c r="F331" s="495">
        <v>1139867.5228296807</v>
      </c>
      <c r="G331" s="495">
        <v>2455461.8855246808</v>
      </c>
      <c r="H331" s="495">
        <v>388832.94725968124</v>
      </c>
      <c r="I331" s="495">
        <v>-199717.80860000002</v>
      </c>
      <c r="J331" s="495">
        <v>0</v>
      </c>
      <c r="M331" s="495">
        <v>885790.78362</v>
      </c>
      <c r="N331" s="495">
        <v>901098.69208000007</v>
      </c>
      <c r="O331" s="495">
        <v>474545.16226000001</v>
      </c>
      <c r="P331" s="495">
        <v>0</v>
      </c>
      <c r="Q331" s="495">
        <v>0</v>
      </c>
      <c r="T331" s="495">
        <v>364560.64408</v>
      </c>
      <c r="U331" s="495">
        <v>1656709.6191400001</v>
      </c>
      <c r="V331" s="495">
        <v>-55257.251840000004</v>
      </c>
      <c r="W331" s="495">
        <v>-199717.80860000002</v>
      </c>
      <c r="X331" s="495">
        <v>0</v>
      </c>
      <c r="AA331" s="495">
        <v>0</v>
      </c>
      <c r="AB331" s="495">
        <v>0</v>
      </c>
      <c r="AC331" s="495">
        <v>0</v>
      </c>
      <c r="AD331" s="495">
        <v>0</v>
      </c>
      <c r="AE331" s="495">
        <v>0</v>
      </c>
      <c r="AH331" s="495">
        <v>18981.737699999761</v>
      </c>
      <c r="AI331" s="495">
        <v>0</v>
      </c>
      <c r="AJ331" s="495">
        <v>0</v>
      </c>
      <c r="AK331" s="495">
        <v>0</v>
      </c>
      <c r="AL331" s="495">
        <v>0</v>
      </c>
      <c r="AO331" s="495">
        <v>-129465.64257031897</v>
      </c>
      <c r="AP331" s="495">
        <v>-102346.42569531901</v>
      </c>
      <c r="AQ331" s="495">
        <v>-30454.963160318777</v>
      </c>
      <c r="AR331" s="495">
        <v>0</v>
      </c>
      <c r="AS331" s="495">
        <v>0</v>
      </c>
    </row>
    <row r="332" spans="1:45">
      <c r="A332" s="390">
        <v>93431</v>
      </c>
      <c r="B332" s="393">
        <v>93431</v>
      </c>
      <c r="C332" s="499" t="s">
        <v>1044</v>
      </c>
      <c r="D332" s="378">
        <v>1.4752184193548228E-4</v>
      </c>
      <c r="F332" s="495">
        <v>90749.020727368712</v>
      </c>
      <c r="G332" s="495">
        <v>201561.20652736875</v>
      </c>
      <c r="H332" s="495">
        <v>32820.32850236872</v>
      </c>
      <c r="I332" s="495">
        <v>-15285.425000000001</v>
      </c>
      <c r="J332" s="495">
        <v>0</v>
      </c>
      <c r="M332" s="495">
        <v>67794.097500000003</v>
      </c>
      <c r="N332" s="495">
        <v>68965.69</v>
      </c>
      <c r="O332" s="495">
        <v>36319.3675</v>
      </c>
      <c r="P332" s="495">
        <v>0</v>
      </c>
      <c r="Q332" s="495">
        <v>0</v>
      </c>
      <c r="T332" s="495">
        <v>27901.690000000002</v>
      </c>
      <c r="U332" s="495">
        <v>126796.4575</v>
      </c>
      <c r="V332" s="495">
        <v>-4229.12</v>
      </c>
      <c r="W332" s="495">
        <v>-15285.425000000001</v>
      </c>
      <c r="X332" s="495">
        <v>0</v>
      </c>
      <c r="AA332" s="495">
        <v>0</v>
      </c>
      <c r="AB332" s="495">
        <v>0</v>
      </c>
      <c r="AC332" s="495">
        <v>0</v>
      </c>
      <c r="AD332" s="495">
        <v>0</v>
      </c>
      <c r="AE332" s="495">
        <v>0</v>
      </c>
      <c r="AH332" s="495">
        <v>8788.741202368723</v>
      </c>
      <c r="AI332" s="495">
        <v>7543.1099523687208</v>
      </c>
      <c r="AJ332" s="495">
        <v>730.08100236871906</v>
      </c>
      <c r="AK332" s="495">
        <v>0</v>
      </c>
      <c r="AL332" s="495">
        <v>0</v>
      </c>
      <c r="AO332" s="495">
        <v>-13735.507975000008</v>
      </c>
      <c r="AP332" s="495">
        <v>-1744.0509250000032</v>
      </c>
      <c r="AQ332" s="495">
        <v>0</v>
      </c>
      <c r="AR332" s="495">
        <v>0</v>
      </c>
      <c r="AS332" s="495">
        <v>0</v>
      </c>
    </row>
    <row r="333" spans="1:45">
      <c r="A333" s="390">
        <v>93441</v>
      </c>
      <c r="B333" s="393">
        <v>93441</v>
      </c>
      <c r="C333" s="499" t="s">
        <v>1045</v>
      </c>
      <c r="D333" s="378">
        <v>1.3727033592437991E-4</v>
      </c>
      <c r="F333" s="495">
        <v>81769.827250043134</v>
      </c>
      <c r="G333" s="495">
        <v>164167.55407504307</v>
      </c>
      <c r="H333" s="495">
        <v>42277.284602543121</v>
      </c>
      <c r="I333" s="495">
        <v>-14223.217500000001</v>
      </c>
      <c r="J333" s="495">
        <v>0</v>
      </c>
      <c r="M333" s="495">
        <v>63082.982250000001</v>
      </c>
      <c r="N333" s="495">
        <v>64173.159</v>
      </c>
      <c r="O333" s="495">
        <v>33795.479250000004</v>
      </c>
      <c r="P333" s="495">
        <v>0</v>
      </c>
      <c r="Q333" s="495">
        <v>0</v>
      </c>
      <c r="T333" s="495">
        <v>25962.759000000002</v>
      </c>
      <c r="U333" s="495">
        <v>117985.17825</v>
      </c>
      <c r="V333" s="495">
        <v>-3935.232</v>
      </c>
      <c r="W333" s="495">
        <v>-14223.217500000001</v>
      </c>
      <c r="X333" s="495">
        <v>0</v>
      </c>
      <c r="AA333" s="495">
        <v>0</v>
      </c>
      <c r="AB333" s="495">
        <v>0</v>
      </c>
      <c r="AC333" s="495">
        <v>0</v>
      </c>
      <c r="AD333" s="495">
        <v>0</v>
      </c>
      <c r="AE333" s="495">
        <v>0</v>
      </c>
      <c r="AH333" s="495">
        <v>31127.595870043137</v>
      </c>
      <c r="AI333" s="495">
        <v>18851.981070043119</v>
      </c>
      <c r="AJ333" s="495">
        <v>12417.037352543115</v>
      </c>
      <c r="AK333" s="495">
        <v>0</v>
      </c>
      <c r="AL333" s="495">
        <v>0</v>
      </c>
      <c r="AO333" s="495">
        <v>-38403.509870000016</v>
      </c>
      <c r="AP333" s="495">
        <v>-36842.764245000013</v>
      </c>
      <c r="AQ333" s="495">
        <v>0</v>
      </c>
      <c r="AR333" s="495">
        <v>0</v>
      </c>
      <c r="AS333" s="495">
        <v>0</v>
      </c>
    </row>
    <row r="334" spans="1:45">
      <c r="A334" s="390">
        <v>93442</v>
      </c>
      <c r="B334" s="393">
        <v>93442</v>
      </c>
      <c r="C334" s="499" t="s">
        <v>1046</v>
      </c>
      <c r="D334" s="378">
        <v>1.7584596674919634E-4</v>
      </c>
      <c r="F334" s="495">
        <v>129890.58589712347</v>
      </c>
      <c r="G334" s="495">
        <v>243446.39274212348</v>
      </c>
      <c r="H334" s="495">
        <v>49643.117419623493</v>
      </c>
      <c r="I334" s="495">
        <v>-18220.226600000002</v>
      </c>
      <c r="J334" s="495">
        <v>0</v>
      </c>
      <c r="M334" s="495">
        <v>80810.56422</v>
      </c>
      <c r="N334" s="495">
        <v>82207.102480000001</v>
      </c>
      <c r="O334" s="495">
        <v>43292.68606</v>
      </c>
      <c r="P334" s="495">
        <v>0</v>
      </c>
      <c r="Q334" s="495">
        <v>0</v>
      </c>
      <c r="T334" s="495">
        <v>33258.814480000001</v>
      </c>
      <c r="U334" s="495">
        <v>151141.37734000001</v>
      </c>
      <c r="V334" s="495">
        <v>-5041.1110399999998</v>
      </c>
      <c r="W334" s="495">
        <v>-18220.226600000002</v>
      </c>
      <c r="X334" s="495">
        <v>0</v>
      </c>
      <c r="AA334" s="495">
        <v>0</v>
      </c>
      <c r="AB334" s="495">
        <v>0</v>
      </c>
      <c r="AC334" s="495">
        <v>0</v>
      </c>
      <c r="AD334" s="495">
        <v>0</v>
      </c>
      <c r="AE334" s="495">
        <v>0</v>
      </c>
      <c r="AH334" s="495">
        <v>23208.441554623481</v>
      </c>
      <c r="AI334" s="495">
        <v>14229.056654623491</v>
      </c>
      <c r="AJ334" s="495">
        <v>11391.542399623489</v>
      </c>
      <c r="AK334" s="495">
        <v>0</v>
      </c>
      <c r="AL334" s="495">
        <v>0</v>
      </c>
      <c r="AO334" s="495">
        <v>-7387.234357500005</v>
      </c>
      <c r="AP334" s="495">
        <v>-4131.1437325000006</v>
      </c>
      <c r="AQ334" s="495">
        <v>0</v>
      </c>
      <c r="AR334" s="495">
        <v>0</v>
      </c>
      <c r="AS334" s="495">
        <v>0</v>
      </c>
    </row>
    <row r="335" spans="1:45">
      <c r="A335" s="390">
        <v>93451</v>
      </c>
      <c r="B335" s="393">
        <v>93451</v>
      </c>
      <c r="C335" s="499" t="s">
        <v>1047</v>
      </c>
      <c r="D335" s="378">
        <v>8.9673231452253447E-5</v>
      </c>
      <c r="F335" s="495">
        <v>88643.80129941614</v>
      </c>
      <c r="G335" s="495">
        <v>137812.21280941615</v>
      </c>
      <c r="H335" s="495">
        <v>32255.224814416139</v>
      </c>
      <c r="I335" s="495">
        <v>-9291.4657999999999</v>
      </c>
      <c r="J335" s="495">
        <v>0</v>
      </c>
      <c r="M335" s="495">
        <v>41209.618860000002</v>
      </c>
      <c r="N335" s="495">
        <v>41921.788240000002</v>
      </c>
      <c r="O335" s="495">
        <v>22077.250780000002</v>
      </c>
      <c r="P335" s="495">
        <v>0</v>
      </c>
      <c r="Q335" s="495">
        <v>0</v>
      </c>
      <c r="T335" s="495">
        <v>16960.444240000001</v>
      </c>
      <c r="U335" s="495">
        <v>77075.053420000011</v>
      </c>
      <c r="V335" s="495">
        <v>-2570.7315200000003</v>
      </c>
      <c r="W335" s="495">
        <v>-9291.4657999999999</v>
      </c>
      <c r="X335" s="495">
        <v>0</v>
      </c>
      <c r="AA335" s="495">
        <v>0</v>
      </c>
      <c r="AB335" s="495">
        <v>0</v>
      </c>
      <c r="AC335" s="495">
        <v>0</v>
      </c>
      <c r="AD335" s="495">
        <v>0</v>
      </c>
      <c r="AE335" s="495">
        <v>0</v>
      </c>
      <c r="AH335" s="495">
        <v>30473.738199416141</v>
      </c>
      <c r="AI335" s="495">
        <v>18815.371149416133</v>
      </c>
      <c r="AJ335" s="495">
        <v>12748.705554416138</v>
      </c>
      <c r="AK335" s="495">
        <v>0</v>
      </c>
      <c r="AL335" s="495">
        <v>0</v>
      </c>
      <c r="AO335" s="495">
        <v>0</v>
      </c>
      <c r="AP335" s="495">
        <v>0</v>
      </c>
      <c r="AQ335" s="495">
        <v>0</v>
      </c>
      <c r="AR335" s="495">
        <v>0</v>
      </c>
      <c r="AS335" s="495">
        <v>0</v>
      </c>
    </row>
    <row r="336" spans="1:45">
      <c r="A336" s="390">
        <v>93461</v>
      </c>
      <c r="B336" s="393">
        <v>93461</v>
      </c>
      <c r="C336" s="499" t="s">
        <v>1048</v>
      </c>
      <c r="D336" s="378">
        <v>1.331197370289731E-5</v>
      </c>
      <c r="F336" s="495">
        <v>6588.8964066052686</v>
      </c>
      <c r="G336" s="495">
        <v>15834.37584160527</v>
      </c>
      <c r="H336" s="495">
        <v>1867.8521641052716</v>
      </c>
      <c r="I336" s="495">
        <v>-1379.3153</v>
      </c>
      <c r="J336" s="495">
        <v>0</v>
      </c>
      <c r="M336" s="495">
        <v>6117.5555100000001</v>
      </c>
      <c r="N336" s="495">
        <v>6223.2768399999995</v>
      </c>
      <c r="O336" s="495">
        <v>3277.36123</v>
      </c>
      <c r="P336" s="495">
        <v>0</v>
      </c>
      <c r="Q336" s="495">
        <v>0</v>
      </c>
      <c r="T336" s="495">
        <v>2517.7728400000001</v>
      </c>
      <c r="U336" s="495">
        <v>11441.768469999999</v>
      </c>
      <c r="V336" s="495">
        <v>-381.62432000000001</v>
      </c>
      <c r="W336" s="495">
        <v>-1379.3153</v>
      </c>
      <c r="X336" s="495">
        <v>0</v>
      </c>
      <c r="AA336" s="495">
        <v>0</v>
      </c>
      <c r="AB336" s="495">
        <v>0</v>
      </c>
      <c r="AC336" s="495">
        <v>0</v>
      </c>
      <c r="AD336" s="495">
        <v>0</v>
      </c>
      <c r="AE336" s="495">
        <v>0</v>
      </c>
      <c r="AH336" s="495">
        <v>0</v>
      </c>
      <c r="AI336" s="495">
        <v>0</v>
      </c>
      <c r="AJ336" s="495">
        <v>0</v>
      </c>
      <c r="AK336" s="495">
        <v>0</v>
      </c>
      <c r="AL336" s="495">
        <v>0</v>
      </c>
      <c r="AO336" s="495">
        <v>-2046.4319433947308</v>
      </c>
      <c r="AP336" s="495">
        <v>-1830.6694683947289</v>
      </c>
      <c r="AQ336" s="495">
        <v>-1027.8847458947284</v>
      </c>
      <c r="AR336" s="495">
        <v>0</v>
      </c>
      <c r="AS336" s="495">
        <v>0</v>
      </c>
    </row>
    <row r="337" spans="1:45">
      <c r="A337" s="390">
        <v>93471</v>
      </c>
      <c r="B337" s="393">
        <v>93471</v>
      </c>
      <c r="C337" s="499" t="s">
        <v>1049</v>
      </c>
      <c r="D337" s="378">
        <v>1.1911775240773083E-5</v>
      </c>
      <c r="F337" s="495">
        <v>12790.692490921774</v>
      </c>
      <c r="G337" s="495">
        <v>19518.666925921771</v>
      </c>
      <c r="H337" s="495">
        <v>3812.4054484217713</v>
      </c>
      <c r="I337" s="495">
        <v>-1234.2332999999999</v>
      </c>
      <c r="J337" s="495">
        <v>0</v>
      </c>
      <c r="M337" s="495">
        <v>5474.0861100000002</v>
      </c>
      <c r="N337" s="495">
        <v>5568.6872400000002</v>
      </c>
      <c r="O337" s="495">
        <v>2932.6350299999999</v>
      </c>
      <c r="P337" s="495">
        <v>0</v>
      </c>
      <c r="Q337" s="495">
        <v>0</v>
      </c>
      <c r="T337" s="495">
        <v>2252.9432400000001</v>
      </c>
      <c r="U337" s="495">
        <v>10238.276669999999</v>
      </c>
      <c r="V337" s="495">
        <v>-341.48352</v>
      </c>
      <c r="W337" s="495">
        <v>-1234.2332999999999</v>
      </c>
      <c r="X337" s="495">
        <v>0</v>
      </c>
      <c r="AA337" s="495">
        <v>0</v>
      </c>
      <c r="AB337" s="495">
        <v>0</v>
      </c>
      <c r="AC337" s="495">
        <v>0</v>
      </c>
      <c r="AD337" s="495">
        <v>0</v>
      </c>
      <c r="AE337" s="495">
        <v>0</v>
      </c>
      <c r="AH337" s="495">
        <v>5631.9786409217722</v>
      </c>
      <c r="AI337" s="495">
        <v>3711.7030159217729</v>
      </c>
      <c r="AJ337" s="495">
        <v>1221.2539384217714</v>
      </c>
      <c r="AK337" s="495">
        <v>0</v>
      </c>
      <c r="AL337" s="495">
        <v>0</v>
      </c>
      <c r="AO337" s="495">
        <v>-568.31549999999925</v>
      </c>
      <c r="AP337" s="495">
        <v>0</v>
      </c>
      <c r="AQ337" s="495">
        <v>0</v>
      </c>
      <c r="AR337" s="495">
        <v>0</v>
      </c>
      <c r="AS337" s="495">
        <v>0</v>
      </c>
    </row>
    <row r="338" spans="1:45">
      <c r="A338" s="390">
        <v>93501</v>
      </c>
      <c r="B338" s="393">
        <v>93501</v>
      </c>
      <c r="C338" s="499" t="s">
        <v>1050</v>
      </c>
      <c r="D338" s="378">
        <v>3.5434745928487207E-3</v>
      </c>
      <c r="F338" s="495">
        <v>2343847.952589897</v>
      </c>
      <c r="G338" s="495">
        <v>4675723.1664398964</v>
      </c>
      <c r="H338" s="495">
        <v>841776.65274489613</v>
      </c>
      <c r="I338" s="495">
        <v>-367155.90850000002</v>
      </c>
      <c r="J338" s="495">
        <v>0</v>
      </c>
      <c r="M338" s="495">
        <v>1628414.2219499999</v>
      </c>
      <c r="N338" s="495">
        <v>1656555.8737999999</v>
      </c>
      <c r="O338" s="495">
        <v>872391.20735000004</v>
      </c>
      <c r="P338" s="495">
        <v>0</v>
      </c>
      <c r="Q338" s="495">
        <v>0</v>
      </c>
      <c r="T338" s="495">
        <v>670198.59380000003</v>
      </c>
      <c r="U338" s="495">
        <v>3045650.9091500002</v>
      </c>
      <c r="V338" s="495">
        <v>-101583.4624</v>
      </c>
      <c r="W338" s="495">
        <v>-367155.90850000002</v>
      </c>
      <c r="X338" s="495">
        <v>0</v>
      </c>
      <c r="AA338" s="495">
        <v>0</v>
      </c>
      <c r="AB338" s="495">
        <v>0</v>
      </c>
      <c r="AC338" s="495">
        <v>0</v>
      </c>
      <c r="AD338" s="495">
        <v>0</v>
      </c>
      <c r="AE338" s="495">
        <v>0</v>
      </c>
      <c r="AH338" s="495">
        <v>142687.66114489635</v>
      </c>
      <c r="AI338" s="495">
        <v>70968.907794896091</v>
      </c>
      <c r="AJ338" s="495">
        <v>70968.907794896091</v>
      </c>
      <c r="AK338" s="495">
        <v>0</v>
      </c>
      <c r="AL338" s="495">
        <v>0</v>
      </c>
      <c r="AO338" s="495">
        <v>-97452.524304999533</v>
      </c>
      <c r="AP338" s="495">
        <v>-97452.524304999533</v>
      </c>
      <c r="AQ338" s="495">
        <v>0</v>
      </c>
      <c r="AR338" s="495">
        <v>0</v>
      </c>
      <c r="AS338" s="495">
        <v>0</v>
      </c>
    </row>
    <row r="339" spans="1:45">
      <c r="A339" s="390">
        <v>93511</v>
      </c>
      <c r="B339" s="393">
        <v>93511</v>
      </c>
      <c r="C339" s="499" t="s">
        <v>1051</v>
      </c>
      <c r="D339" s="378">
        <v>9.791449279692402E-5</v>
      </c>
      <c r="F339" s="495">
        <v>56326.290334224708</v>
      </c>
      <c r="G339" s="495">
        <v>98901.377684224717</v>
      </c>
      <c r="H339" s="495">
        <v>1010.9788067247282</v>
      </c>
      <c r="I339" s="495">
        <v>-10145.376999999999</v>
      </c>
      <c r="J339" s="495">
        <v>0</v>
      </c>
      <c r="M339" s="495">
        <v>44996.895899999996</v>
      </c>
      <c r="N339" s="495">
        <v>45774.515599999999</v>
      </c>
      <c r="O339" s="495">
        <v>24106.2107</v>
      </c>
      <c r="P339" s="495">
        <v>0</v>
      </c>
      <c r="Q339" s="495">
        <v>0</v>
      </c>
      <c r="T339" s="495">
        <v>18519.155599999998</v>
      </c>
      <c r="U339" s="495">
        <v>84158.462299999999</v>
      </c>
      <c r="V339" s="495">
        <v>-2806.9887999999996</v>
      </c>
      <c r="W339" s="495">
        <v>-10145.376999999999</v>
      </c>
      <c r="X339" s="495">
        <v>0</v>
      </c>
      <c r="AA339" s="495">
        <v>0</v>
      </c>
      <c r="AB339" s="495">
        <v>0</v>
      </c>
      <c r="AC339" s="495">
        <v>0</v>
      </c>
      <c r="AD339" s="495">
        <v>0</v>
      </c>
      <c r="AE339" s="495">
        <v>0</v>
      </c>
      <c r="AH339" s="495">
        <v>25631.029049999997</v>
      </c>
      <c r="AI339" s="495">
        <v>0</v>
      </c>
      <c r="AJ339" s="495">
        <v>0</v>
      </c>
      <c r="AK339" s="495">
        <v>0</v>
      </c>
      <c r="AL339" s="495">
        <v>0</v>
      </c>
      <c r="AO339" s="495">
        <v>-32820.790215775276</v>
      </c>
      <c r="AP339" s="495">
        <v>-31031.600215775274</v>
      </c>
      <c r="AQ339" s="495">
        <v>-20288.243093275272</v>
      </c>
      <c r="AR339" s="495">
        <v>0</v>
      </c>
      <c r="AS339" s="495">
        <v>0</v>
      </c>
    </row>
    <row r="340" spans="1:45">
      <c r="A340" s="390">
        <v>93517</v>
      </c>
      <c r="B340" s="393">
        <v>93517</v>
      </c>
      <c r="C340" s="499" t="s">
        <v>1052</v>
      </c>
      <c r="D340" s="378">
        <v>7.1610700962358909E-6</v>
      </c>
      <c r="F340" s="495">
        <v>8587.7054502098963</v>
      </c>
      <c r="G340" s="495">
        <v>9667.5528352098972</v>
      </c>
      <c r="H340" s="495">
        <v>2817.3800602098972</v>
      </c>
      <c r="I340" s="495">
        <v>-741.99080000000004</v>
      </c>
      <c r="J340" s="495">
        <v>0</v>
      </c>
      <c r="M340" s="495">
        <v>3290.88636</v>
      </c>
      <c r="N340" s="495">
        <v>3347.7582400000001</v>
      </c>
      <c r="O340" s="495">
        <v>1763.02828</v>
      </c>
      <c r="P340" s="495">
        <v>0</v>
      </c>
      <c r="Q340" s="495">
        <v>0</v>
      </c>
      <c r="T340" s="495">
        <v>1354.4142400000001</v>
      </c>
      <c r="U340" s="495">
        <v>6155.0009200000004</v>
      </c>
      <c r="V340" s="495">
        <v>-205.29151999999999</v>
      </c>
      <c r="W340" s="495">
        <v>-741.99080000000004</v>
      </c>
      <c r="X340" s="495">
        <v>0</v>
      </c>
      <c r="AA340" s="495">
        <v>0</v>
      </c>
      <c r="AB340" s="495">
        <v>0</v>
      </c>
      <c r="AC340" s="495">
        <v>0</v>
      </c>
      <c r="AD340" s="495">
        <v>0</v>
      </c>
      <c r="AE340" s="495">
        <v>0</v>
      </c>
      <c r="AH340" s="495">
        <v>6038.7214502098959</v>
      </c>
      <c r="AI340" s="495">
        <v>2261.1102752098968</v>
      </c>
      <c r="AJ340" s="495">
        <v>1259.6433002098972</v>
      </c>
      <c r="AK340" s="495">
        <v>0</v>
      </c>
      <c r="AL340" s="495">
        <v>0</v>
      </c>
      <c r="AO340" s="495">
        <v>-2096.3165999999997</v>
      </c>
      <c r="AP340" s="495">
        <v>-2096.3165999999997</v>
      </c>
      <c r="AQ340" s="495">
        <v>0</v>
      </c>
      <c r="AR340" s="495">
        <v>0</v>
      </c>
      <c r="AS340" s="495">
        <v>0</v>
      </c>
    </row>
    <row r="341" spans="1:45">
      <c r="A341" s="390">
        <v>93521</v>
      </c>
      <c r="B341" s="393">
        <v>93521</v>
      </c>
      <c r="C341" s="499" t="s">
        <v>1053</v>
      </c>
      <c r="D341" s="378">
        <v>3.6665423647578351E-4</v>
      </c>
      <c r="F341" s="495">
        <v>209367.74711933651</v>
      </c>
      <c r="G341" s="495">
        <v>457508.01416933647</v>
      </c>
      <c r="H341" s="495">
        <v>81727.004806836383</v>
      </c>
      <c r="I341" s="495">
        <v>-37990.758000000002</v>
      </c>
      <c r="J341" s="495">
        <v>0</v>
      </c>
      <c r="M341" s="495">
        <v>168497.05860000002</v>
      </c>
      <c r="N341" s="495">
        <v>171408.96240000002</v>
      </c>
      <c r="O341" s="495">
        <v>90269.017800000001</v>
      </c>
      <c r="P341" s="495">
        <v>0</v>
      </c>
      <c r="Q341" s="495">
        <v>0</v>
      </c>
      <c r="T341" s="495">
        <v>69347.522400000002</v>
      </c>
      <c r="U341" s="495">
        <v>315142.92420000001</v>
      </c>
      <c r="V341" s="495">
        <v>-10511.155200000001</v>
      </c>
      <c r="W341" s="495">
        <v>-37990.758000000002</v>
      </c>
      <c r="X341" s="495">
        <v>0</v>
      </c>
      <c r="AA341" s="495">
        <v>0</v>
      </c>
      <c r="AB341" s="495">
        <v>0</v>
      </c>
      <c r="AC341" s="495">
        <v>0</v>
      </c>
      <c r="AD341" s="495">
        <v>0</v>
      </c>
      <c r="AE341" s="495">
        <v>0</v>
      </c>
      <c r="AH341" s="495">
        <v>23795.912444336413</v>
      </c>
      <c r="AI341" s="495">
        <v>14192.657444336393</v>
      </c>
      <c r="AJ341" s="495">
        <v>1969.14220683639</v>
      </c>
      <c r="AK341" s="495">
        <v>0</v>
      </c>
      <c r="AL341" s="495">
        <v>0</v>
      </c>
      <c r="AO341" s="495">
        <v>-52272.746324999913</v>
      </c>
      <c r="AP341" s="495">
        <v>-43236.529874999935</v>
      </c>
      <c r="AQ341" s="495">
        <v>0</v>
      </c>
      <c r="AR341" s="495">
        <v>0</v>
      </c>
      <c r="AS341" s="495">
        <v>0</v>
      </c>
    </row>
    <row r="342" spans="1:45">
      <c r="A342" s="390">
        <v>93527</v>
      </c>
      <c r="B342" s="393">
        <v>93527</v>
      </c>
      <c r="C342" s="499" t="s">
        <v>1054</v>
      </c>
      <c r="D342" s="378">
        <v>1.0571513224791913E-5</v>
      </c>
      <c r="F342" s="495">
        <v>6015.7978709104236</v>
      </c>
      <c r="G342" s="495">
        <v>11919.954990910424</v>
      </c>
      <c r="H342" s="495">
        <v>-229.86039658957452</v>
      </c>
      <c r="I342" s="495">
        <v>-1095.3691000000001</v>
      </c>
      <c r="J342" s="495">
        <v>0</v>
      </c>
      <c r="M342" s="495">
        <v>4858.1939700000003</v>
      </c>
      <c r="N342" s="495">
        <v>4942.1514800000004</v>
      </c>
      <c r="O342" s="495">
        <v>2602.6828100000002</v>
      </c>
      <c r="P342" s="495">
        <v>0</v>
      </c>
      <c r="Q342" s="495">
        <v>0</v>
      </c>
      <c r="T342" s="495">
        <v>1999.4634800000001</v>
      </c>
      <c r="U342" s="495">
        <v>9086.3630900000007</v>
      </c>
      <c r="V342" s="495">
        <v>-303.06304</v>
      </c>
      <c r="W342" s="495">
        <v>-1095.3691000000001</v>
      </c>
      <c r="X342" s="495">
        <v>0</v>
      </c>
      <c r="AA342" s="495">
        <v>0</v>
      </c>
      <c r="AB342" s="495">
        <v>0</v>
      </c>
      <c r="AC342" s="495">
        <v>0</v>
      </c>
      <c r="AD342" s="495">
        <v>0</v>
      </c>
      <c r="AE342" s="495">
        <v>0</v>
      </c>
      <c r="AH342" s="495">
        <v>1725.0548125</v>
      </c>
      <c r="AI342" s="495">
        <v>458.35481249999975</v>
      </c>
      <c r="AJ342" s="495">
        <v>0</v>
      </c>
      <c r="AK342" s="495">
        <v>0</v>
      </c>
      <c r="AL342" s="495">
        <v>0</v>
      </c>
      <c r="AO342" s="495">
        <v>-2566.9143915895775</v>
      </c>
      <c r="AP342" s="495">
        <v>-2566.9143915895775</v>
      </c>
      <c r="AQ342" s="495">
        <v>-2529.4801665895748</v>
      </c>
      <c r="AR342" s="495">
        <v>0</v>
      </c>
      <c r="AS342" s="495">
        <v>0</v>
      </c>
    </row>
    <row r="343" spans="1:45">
      <c r="A343" s="390">
        <v>93531</v>
      </c>
      <c r="B343" s="393">
        <v>93531</v>
      </c>
      <c r="C343" s="499" t="s">
        <v>1055</v>
      </c>
      <c r="D343" s="378">
        <v>1.7002515866894162E-5</v>
      </c>
      <c r="F343" s="495">
        <v>10220.537140442497</v>
      </c>
      <c r="G343" s="495">
        <v>19806.985590442499</v>
      </c>
      <c r="H343" s="495">
        <v>7460.2105304424967</v>
      </c>
      <c r="I343" s="495">
        <v>-1761.71</v>
      </c>
      <c r="J343" s="495">
        <v>0</v>
      </c>
      <c r="M343" s="495">
        <v>7813.5569999999998</v>
      </c>
      <c r="N343" s="495">
        <v>7948.5879999999997</v>
      </c>
      <c r="O343" s="495">
        <v>4185.9610000000002</v>
      </c>
      <c r="P343" s="495">
        <v>0</v>
      </c>
      <c r="Q343" s="495">
        <v>0</v>
      </c>
      <c r="T343" s="495">
        <v>3215.788</v>
      </c>
      <c r="U343" s="495">
        <v>14613.829</v>
      </c>
      <c r="V343" s="495">
        <v>-487.42399999999998</v>
      </c>
      <c r="W343" s="495">
        <v>-1761.71</v>
      </c>
      <c r="X343" s="495">
        <v>0</v>
      </c>
      <c r="AA343" s="495">
        <v>0</v>
      </c>
      <c r="AB343" s="495">
        <v>0</v>
      </c>
      <c r="AC343" s="495">
        <v>0</v>
      </c>
      <c r="AD343" s="495">
        <v>0</v>
      </c>
      <c r="AE343" s="495">
        <v>0</v>
      </c>
      <c r="AH343" s="495">
        <v>7546.5111604424956</v>
      </c>
      <c r="AI343" s="495">
        <v>5599.8876104424962</v>
      </c>
      <c r="AJ343" s="495">
        <v>3761.6735304424965</v>
      </c>
      <c r="AK343" s="495">
        <v>0</v>
      </c>
      <c r="AL343" s="495">
        <v>0</v>
      </c>
      <c r="AO343" s="495">
        <v>-8355.3190199999972</v>
      </c>
      <c r="AP343" s="495">
        <v>-8355.3190199999972</v>
      </c>
      <c r="AQ343" s="495">
        <v>0</v>
      </c>
      <c r="AR343" s="495">
        <v>0</v>
      </c>
      <c r="AS343" s="495">
        <v>0</v>
      </c>
    </row>
    <row r="344" spans="1:45">
      <c r="A344" s="390">
        <v>93537</v>
      </c>
      <c r="B344" s="393">
        <v>93537</v>
      </c>
      <c r="C344" s="499" t="s">
        <v>1056</v>
      </c>
      <c r="D344" s="378">
        <v>8.5712085135373095E-6</v>
      </c>
      <c r="F344" s="495">
        <v>2635.1655235054213</v>
      </c>
      <c r="G344" s="495">
        <v>8665.2447685054212</v>
      </c>
      <c r="H344" s="495">
        <v>356.29776100542153</v>
      </c>
      <c r="I344" s="495">
        <v>-888.1090999999999</v>
      </c>
      <c r="J344" s="495">
        <v>0</v>
      </c>
      <c r="M344" s="495">
        <v>3938.9519699999996</v>
      </c>
      <c r="N344" s="495">
        <v>4007.0234799999998</v>
      </c>
      <c r="O344" s="495">
        <v>2110.2168099999999</v>
      </c>
      <c r="P344" s="495">
        <v>0</v>
      </c>
      <c r="Q344" s="495">
        <v>0</v>
      </c>
      <c r="T344" s="495">
        <v>1621.1354799999999</v>
      </c>
      <c r="U344" s="495">
        <v>7367.0890899999995</v>
      </c>
      <c r="V344" s="495">
        <v>-245.71903999999998</v>
      </c>
      <c r="W344" s="495">
        <v>-888.1090999999999</v>
      </c>
      <c r="X344" s="495">
        <v>0</v>
      </c>
      <c r="AA344" s="495">
        <v>0</v>
      </c>
      <c r="AB344" s="495">
        <v>0</v>
      </c>
      <c r="AC344" s="495">
        <v>0</v>
      </c>
      <c r="AD344" s="495">
        <v>0</v>
      </c>
      <c r="AE344" s="495">
        <v>0</v>
      </c>
      <c r="AH344" s="495">
        <v>284.15775000000076</v>
      </c>
      <c r="AI344" s="495">
        <v>0</v>
      </c>
      <c r="AJ344" s="495">
        <v>0</v>
      </c>
      <c r="AK344" s="495">
        <v>0</v>
      </c>
      <c r="AL344" s="495">
        <v>0</v>
      </c>
      <c r="AO344" s="495">
        <v>-3209.0796764945781</v>
      </c>
      <c r="AP344" s="495">
        <v>-2708.8678014945781</v>
      </c>
      <c r="AQ344" s="495">
        <v>-1508.2000089945784</v>
      </c>
      <c r="AR344" s="495">
        <v>0</v>
      </c>
      <c r="AS344" s="495">
        <v>0</v>
      </c>
    </row>
    <row r="345" spans="1:45">
      <c r="A345" s="390">
        <v>93541</v>
      </c>
      <c r="B345" s="393">
        <v>93541</v>
      </c>
      <c r="C345" s="499" t="s">
        <v>1057</v>
      </c>
      <c r="D345" s="378">
        <v>1.912383582349256E-4</v>
      </c>
      <c r="F345" s="495">
        <v>102914.80507452998</v>
      </c>
      <c r="G345" s="495">
        <v>231113.89938453003</v>
      </c>
      <c r="H345" s="495">
        <v>19971.891707029994</v>
      </c>
      <c r="I345" s="495">
        <v>-19815.0923</v>
      </c>
      <c r="J345" s="495">
        <v>0</v>
      </c>
      <c r="M345" s="495">
        <v>87884.131410000002</v>
      </c>
      <c r="N345" s="495">
        <v>89402.91244</v>
      </c>
      <c r="O345" s="495">
        <v>47082.211930000005</v>
      </c>
      <c r="P345" s="495">
        <v>0</v>
      </c>
      <c r="Q345" s="495">
        <v>0</v>
      </c>
      <c r="T345" s="495">
        <v>36170.048439999999</v>
      </c>
      <c r="U345" s="495">
        <v>164371.19077000002</v>
      </c>
      <c r="V345" s="495">
        <v>-5482.3731200000002</v>
      </c>
      <c r="W345" s="495">
        <v>-19815.0923</v>
      </c>
      <c r="X345" s="495">
        <v>0</v>
      </c>
      <c r="AA345" s="495">
        <v>0</v>
      </c>
      <c r="AB345" s="495">
        <v>0</v>
      </c>
      <c r="AC345" s="495">
        <v>0</v>
      </c>
      <c r="AD345" s="495">
        <v>0</v>
      </c>
      <c r="AE345" s="495">
        <v>0</v>
      </c>
      <c r="AH345" s="495">
        <v>13831.554194999988</v>
      </c>
      <c r="AI345" s="495">
        <v>6670.7788950000086</v>
      </c>
      <c r="AJ345" s="495">
        <v>0</v>
      </c>
      <c r="AK345" s="495">
        <v>0</v>
      </c>
      <c r="AL345" s="495">
        <v>0</v>
      </c>
      <c r="AO345" s="495">
        <v>-34970.928970470013</v>
      </c>
      <c r="AP345" s="495">
        <v>-29330.982720470012</v>
      </c>
      <c r="AQ345" s="495">
        <v>-21627.947102970007</v>
      </c>
      <c r="AR345" s="495">
        <v>0</v>
      </c>
      <c r="AS345" s="495">
        <v>0</v>
      </c>
    </row>
    <row r="346" spans="1:45">
      <c r="A346" s="390">
        <v>93601</v>
      </c>
      <c r="B346" s="393">
        <v>93601</v>
      </c>
      <c r="C346" s="499" t="s">
        <v>1058</v>
      </c>
      <c r="D346" s="378">
        <v>1.2253793965951129E-2</v>
      </c>
      <c r="F346" s="495">
        <v>8782843.4844753016</v>
      </c>
      <c r="G346" s="495">
        <v>17031819.438080303</v>
      </c>
      <c r="H346" s="495">
        <v>2376983.9513828028</v>
      </c>
      <c r="I346" s="495">
        <v>-1269672.6874000002</v>
      </c>
      <c r="J346" s="495">
        <v>0</v>
      </c>
      <c r="M346" s="495">
        <v>5631267.2995800003</v>
      </c>
      <c r="N346" s="495">
        <v>5728584.7767200004</v>
      </c>
      <c r="O346" s="495">
        <v>3016841.79134</v>
      </c>
      <c r="P346" s="495">
        <v>0</v>
      </c>
      <c r="Q346" s="495">
        <v>0</v>
      </c>
      <c r="T346" s="495">
        <v>2317633.5447200001</v>
      </c>
      <c r="U346" s="495">
        <v>10532255.331260001</v>
      </c>
      <c r="V346" s="495">
        <v>-351288.77056000003</v>
      </c>
      <c r="W346" s="495">
        <v>-1269672.6874000002</v>
      </c>
      <c r="X346" s="495">
        <v>0</v>
      </c>
      <c r="AA346" s="495">
        <v>0</v>
      </c>
      <c r="AB346" s="495">
        <v>0</v>
      </c>
      <c r="AC346" s="495">
        <v>0</v>
      </c>
      <c r="AD346" s="495">
        <v>0</v>
      </c>
      <c r="AE346" s="495">
        <v>0</v>
      </c>
      <c r="AH346" s="495">
        <v>1166897.1501225</v>
      </c>
      <c r="AI346" s="495">
        <v>1059548.3994974997</v>
      </c>
      <c r="AJ346" s="495">
        <v>0</v>
      </c>
      <c r="AK346" s="495">
        <v>0</v>
      </c>
      <c r="AL346" s="495">
        <v>0</v>
      </c>
      <c r="AO346" s="495">
        <v>-332954.50994719681</v>
      </c>
      <c r="AP346" s="495">
        <v>-288569.06939719687</v>
      </c>
      <c r="AQ346" s="495">
        <v>-288569.06939719687</v>
      </c>
      <c r="AR346" s="495">
        <v>0</v>
      </c>
      <c r="AS346" s="495">
        <v>0</v>
      </c>
    </row>
    <row r="347" spans="1:45">
      <c r="A347" s="390">
        <v>93602</v>
      </c>
      <c r="B347" s="393">
        <v>93602</v>
      </c>
      <c r="C347" s="499" t="s">
        <v>1059</v>
      </c>
      <c r="D347" s="378">
        <v>2.0194992097743794E-4</v>
      </c>
      <c r="F347" s="495">
        <v>187187.81943950875</v>
      </c>
      <c r="G347" s="495">
        <v>313723.90008450876</v>
      </c>
      <c r="H347" s="495">
        <v>97831.590782008774</v>
      </c>
      <c r="I347" s="495">
        <v>-20924.9696</v>
      </c>
      <c r="J347" s="495">
        <v>0</v>
      </c>
      <c r="M347" s="495">
        <v>92806.672319999998</v>
      </c>
      <c r="N347" s="495">
        <v>94410.52287999999</v>
      </c>
      <c r="O347" s="495">
        <v>49719.367359999997</v>
      </c>
      <c r="P347" s="495">
        <v>0</v>
      </c>
      <c r="Q347" s="495">
        <v>0</v>
      </c>
      <c r="T347" s="495">
        <v>38195.994879999998</v>
      </c>
      <c r="U347" s="495">
        <v>173577.90304</v>
      </c>
      <c r="V347" s="495">
        <v>-5789.4502400000001</v>
      </c>
      <c r="W347" s="495">
        <v>-20924.9696</v>
      </c>
      <c r="X347" s="495">
        <v>0</v>
      </c>
      <c r="AA347" s="495">
        <v>0</v>
      </c>
      <c r="AB347" s="495">
        <v>0</v>
      </c>
      <c r="AC347" s="495">
        <v>0</v>
      </c>
      <c r="AD347" s="495">
        <v>0</v>
      </c>
      <c r="AE347" s="495">
        <v>0</v>
      </c>
      <c r="AH347" s="495">
        <v>76616.752244508767</v>
      </c>
      <c r="AI347" s="495">
        <v>66167.074169508764</v>
      </c>
      <c r="AJ347" s="495">
        <v>53901.673662008776</v>
      </c>
      <c r="AK347" s="495">
        <v>0</v>
      </c>
      <c r="AL347" s="495">
        <v>0</v>
      </c>
      <c r="AO347" s="495">
        <v>-20431.600005000015</v>
      </c>
      <c r="AP347" s="495">
        <v>-20431.600005000015</v>
      </c>
      <c r="AQ347" s="495">
        <v>0</v>
      </c>
      <c r="AR347" s="495">
        <v>0</v>
      </c>
      <c r="AS347" s="495">
        <v>0</v>
      </c>
    </row>
    <row r="348" spans="1:45">
      <c r="A348" s="390">
        <v>93604</v>
      </c>
      <c r="B348" s="393">
        <v>93604</v>
      </c>
      <c r="C348" s="499" t="s">
        <v>1926</v>
      </c>
      <c r="D348" s="378">
        <v>1.8212668320332108E-5</v>
      </c>
      <c r="F348" s="495">
        <v>18490.358573997517</v>
      </c>
      <c r="G348" s="495">
        <v>26448.268908997517</v>
      </c>
      <c r="H348" s="495">
        <v>3401.3441089975167</v>
      </c>
      <c r="I348" s="495">
        <v>-1887.1023</v>
      </c>
      <c r="J348" s="495">
        <v>0</v>
      </c>
      <c r="M348" s="495">
        <v>8369.6984100000009</v>
      </c>
      <c r="N348" s="495">
        <v>8514.3404399999999</v>
      </c>
      <c r="O348" s="495">
        <v>4483.9029300000002</v>
      </c>
      <c r="P348" s="495">
        <v>0</v>
      </c>
      <c r="Q348" s="495">
        <v>0</v>
      </c>
      <c r="T348" s="495">
        <v>3444.6764400000002</v>
      </c>
      <c r="U348" s="495">
        <v>15653.98977</v>
      </c>
      <c r="V348" s="495">
        <v>-522.11712</v>
      </c>
      <c r="W348" s="495">
        <v>-1887.1023</v>
      </c>
      <c r="X348" s="495">
        <v>0</v>
      </c>
      <c r="AA348" s="495">
        <v>0</v>
      </c>
      <c r="AB348" s="495">
        <v>0</v>
      </c>
      <c r="AC348" s="495">
        <v>0</v>
      </c>
      <c r="AD348" s="495">
        <v>0</v>
      </c>
      <c r="AE348" s="495">
        <v>0</v>
      </c>
      <c r="AH348" s="495">
        <v>7236.4254249999994</v>
      </c>
      <c r="AI348" s="495">
        <v>2840.3804000000005</v>
      </c>
      <c r="AJ348" s="495">
        <v>0</v>
      </c>
      <c r="AK348" s="495">
        <v>0</v>
      </c>
      <c r="AL348" s="495">
        <v>0</v>
      </c>
      <c r="AO348" s="495">
        <v>-560.44170100248357</v>
      </c>
      <c r="AP348" s="495">
        <v>-560.44170100248357</v>
      </c>
      <c r="AQ348" s="495">
        <v>-560.44170100248357</v>
      </c>
      <c r="AR348" s="495">
        <v>0</v>
      </c>
      <c r="AS348" s="495">
        <v>0</v>
      </c>
    </row>
    <row r="349" spans="1:45">
      <c r="A349" s="390">
        <v>93609</v>
      </c>
      <c r="B349" s="393">
        <v>93609</v>
      </c>
      <c r="C349" s="499" t="s">
        <v>1060</v>
      </c>
      <c r="D349" s="378">
        <v>6.8631859589048895E-3</v>
      </c>
      <c r="F349" s="495">
        <v>6573953.2682759594</v>
      </c>
      <c r="G349" s="495">
        <v>10669398.69354596</v>
      </c>
      <c r="H349" s="495">
        <v>2181316.6511184582</v>
      </c>
      <c r="I349" s="495">
        <v>-711126.67709999997</v>
      </c>
      <c r="J349" s="495">
        <v>0</v>
      </c>
      <c r="M349" s="495">
        <v>3153997.4375700001</v>
      </c>
      <c r="N349" s="495">
        <v>3208503.6538800001</v>
      </c>
      <c r="O349" s="495">
        <v>1689692.7056100001</v>
      </c>
      <c r="P349" s="495">
        <v>0</v>
      </c>
      <c r="Q349" s="495">
        <v>0</v>
      </c>
      <c r="T349" s="495">
        <v>1298075.5258800001</v>
      </c>
      <c r="U349" s="495">
        <v>5898975.2322899997</v>
      </c>
      <c r="V349" s="495">
        <v>-196752.13824</v>
      </c>
      <c r="W349" s="495">
        <v>-711126.67709999997</v>
      </c>
      <c r="X349" s="495">
        <v>0</v>
      </c>
      <c r="AA349" s="495">
        <v>0</v>
      </c>
      <c r="AB349" s="495">
        <v>0</v>
      </c>
      <c r="AC349" s="495">
        <v>0</v>
      </c>
      <c r="AD349" s="495">
        <v>0</v>
      </c>
      <c r="AE349" s="495">
        <v>0</v>
      </c>
      <c r="AH349" s="495">
        <v>2154327.1814934593</v>
      </c>
      <c r="AI349" s="495">
        <v>1594366.6840434589</v>
      </c>
      <c r="AJ349" s="495">
        <v>688376.08374845819</v>
      </c>
      <c r="AK349" s="495">
        <v>0</v>
      </c>
      <c r="AL349" s="495">
        <v>0</v>
      </c>
      <c r="AO349" s="495">
        <v>-32446.876667500008</v>
      </c>
      <c r="AP349" s="495">
        <v>-32446.876667500008</v>
      </c>
      <c r="AQ349" s="495">
        <v>0</v>
      </c>
      <c r="AR349" s="495">
        <v>0</v>
      </c>
      <c r="AS349" s="495">
        <v>0</v>
      </c>
    </row>
    <row r="350" spans="1:45">
      <c r="A350" s="390">
        <v>93610</v>
      </c>
      <c r="B350" s="393">
        <v>93610</v>
      </c>
      <c r="C350" s="499" t="s">
        <v>1061</v>
      </c>
      <c r="D350" s="378">
        <v>1.4682203941950009E-5</v>
      </c>
      <c r="F350" s="495">
        <v>7912.6861369526951</v>
      </c>
      <c r="G350" s="495">
        <v>18430.576691952694</v>
      </c>
      <c r="H350" s="495">
        <v>2447.0134044526958</v>
      </c>
      <c r="I350" s="495">
        <v>-1521.2883999999999</v>
      </c>
      <c r="J350" s="495">
        <v>0</v>
      </c>
      <c r="M350" s="495">
        <v>6747.2362800000001</v>
      </c>
      <c r="N350" s="495">
        <v>6863.8395200000004</v>
      </c>
      <c r="O350" s="495">
        <v>3614.7004400000001</v>
      </c>
      <c r="P350" s="495">
        <v>0</v>
      </c>
      <c r="Q350" s="495">
        <v>0</v>
      </c>
      <c r="T350" s="495">
        <v>2776.9275200000002</v>
      </c>
      <c r="U350" s="495">
        <v>12619.471159999999</v>
      </c>
      <c r="V350" s="495">
        <v>-420.90496000000002</v>
      </c>
      <c r="W350" s="495">
        <v>-1521.2883999999999</v>
      </c>
      <c r="X350" s="495">
        <v>0</v>
      </c>
      <c r="AA350" s="495">
        <v>0</v>
      </c>
      <c r="AB350" s="495">
        <v>0</v>
      </c>
      <c r="AC350" s="495">
        <v>0</v>
      </c>
      <c r="AD350" s="495">
        <v>0</v>
      </c>
      <c r="AE350" s="495">
        <v>0</v>
      </c>
      <c r="AH350" s="495">
        <v>0</v>
      </c>
      <c r="AI350" s="495">
        <v>0</v>
      </c>
      <c r="AJ350" s="495">
        <v>0</v>
      </c>
      <c r="AK350" s="495">
        <v>0</v>
      </c>
      <c r="AL350" s="495">
        <v>0</v>
      </c>
      <c r="AO350" s="495">
        <v>-1611.4776630473052</v>
      </c>
      <c r="AP350" s="495">
        <v>-1052.7339880473046</v>
      </c>
      <c r="AQ350" s="495">
        <v>-746.78207554730443</v>
      </c>
      <c r="AR350" s="495">
        <v>0</v>
      </c>
      <c r="AS350" s="495">
        <v>0</v>
      </c>
    </row>
    <row r="351" spans="1:45">
      <c r="A351" s="390">
        <v>93611</v>
      </c>
      <c r="B351" s="393">
        <v>93611</v>
      </c>
      <c r="C351" s="499" t="s">
        <v>1062</v>
      </c>
      <c r="D351" s="378">
        <v>6.4401933917026498E-3</v>
      </c>
      <c r="F351" s="495">
        <v>4223568.0818155836</v>
      </c>
      <c r="G351" s="495">
        <v>8467611.3624055814</v>
      </c>
      <c r="H351" s="495">
        <v>1162741.0178555832</v>
      </c>
      <c r="I351" s="495">
        <v>-667298.4412</v>
      </c>
      <c r="J351" s="495">
        <v>0</v>
      </c>
      <c r="M351" s="495">
        <v>2959609.9280399997</v>
      </c>
      <c r="N351" s="495">
        <v>3010756.8113599997</v>
      </c>
      <c r="O351" s="495">
        <v>1585553.38292</v>
      </c>
      <c r="P351" s="495">
        <v>0</v>
      </c>
      <c r="Q351" s="495">
        <v>0</v>
      </c>
      <c r="T351" s="495">
        <v>1218072.39536</v>
      </c>
      <c r="U351" s="495">
        <v>5535408.9558799993</v>
      </c>
      <c r="V351" s="495">
        <v>-184625.88928</v>
      </c>
      <c r="W351" s="495">
        <v>-667298.4412</v>
      </c>
      <c r="X351" s="495">
        <v>0</v>
      </c>
      <c r="AA351" s="495">
        <v>0</v>
      </c>
      <c r="AB351" s="495">
        <v>0</v>
      </c>
      <c r="AC351" s="495">
        <v>0</v>
      </c>
      <c r="AD351" s="495">
        <v>0</v>
      </c>
      <c r="AE351" s="495">
        <v>0</v>
      </c>
      <c r="AH351" s="495">
        <v>284072.23420000018</v>
      </c>
      <c r="AI351" s="495">
        <v>159632.0709500004</v>
      </c>
      <c r="AJ351" s="495">
        <v>0</v>
      </c>
      <c r="AK351" s="495">
        <v>0</v>
      </c>
      <c r="AL351" s="495">
        <v>0</v>
      </c>
      <c r="AO351" s="495">
        <v>-238186.47578441672</v>
      </c>
      <c r="AP351" s="495">
        <v>-238186.47578441672</v>
      </c>
      <c r="AQ351" s="495">
        <v>-238186.47578441672</v>
      </c>
      <c r="AR351" s="495">
        <v>0</v>
      </c>
      <c r="AS351" s="495">
        <v>0</v>
      </c>
    </row>
    <row r="352" spans="1:45">
      <c r="A352" s="390">
        <v>93617</v>
      </c>
      <c r="B352" s="393">
        <v>93617</v>
      </c>
      <c r="C352" s="499" t="s">
        <v>1063</v>
      </c>
      <c r="D352" s="378">
        <v>9.4043992936958045E-5</v>
      </c>
      <c r="F352" s="495">
        <v>75531.233550871053</v>
      </c>
      <c r="G352" s="495">
        <v>134592.14638087107</v>
      </c>
      <c r="H352" s="495">
        <v>20007.001668371042</v>
      </c>
      <c r="I352" s="495">
        <v>-9744.3289000000004</v>
      </c>
      <c r="J352" s="495">
        <v>0</v>
      </c>
      <c r="M352" s="495">
        <v>43218.162630000006</v>
      </c>
      <c r="N352" s="495">
        <v>43965.04292</v>
      </c>
      <c r="O352" s="495">
        <v>23153.288990000001</v>
      </c>
      <c r="P352" s="495">
        <v>0</v>
      </c>
      <c r="Q352" s="495">
        <v>0</v>
      </c>
      <c r="T352" s="495">
        <v>17787.090920000002</v>
      </c>
      <c r="U352" s="495">
        <v>80831.667110000009</v>
      </c>
      <c r="V352" s="495">
        <v>-2696.0281600000003</v>
      </c>
      <c r="W352" s="495">
        <v>-9744.3289000000004</v>
      </c>
      <c r="X352" s="495">
        <v>0</v>
      </c>
      <c r="AA352" s="495">
        <v>0</v>
      </c>
      <c r="AB352" s="495">
        <v>0</v>
      </c>
      <c r="AC352" s="495">
        <v>0</v>
      </c>
      <c r="AD352" s="495">
        <v>0</v>
      </c>
      <c r="AE352" s="495">
        <v>0</v>
      </c>
      <c r="AH352" s="495">
        <v>15942.375512499995</v>
      </c>
      <c r="AI352" s="495">
        <v>10245.695512499995</v>
      </c>
      <c r="AJ352" s="495">
        <v>0</v>
      </c>
      <c r="AK352" s="495">
        <v>0</v>
      </c>
      <c r="AL352" s="495">
        <v>0</v>
      </c>
      <c r="AO352" s="495">
        <v>-1416.3955116289508</v>
      </c>
      <c r="AP352" s="495">
        <v>-450.25916162895737</v>
      </c>
      <c r="AQ352" s="495">
        <v>-450.25916162895737</v>
      </c>
      <c r="AR352" s="495">
        <v>0</v>
      </c>
      <c r="AS352" s="495">
        <v>0</v>
      </c>
    </row>
    <row r="353" spans="1:45">
      <c r="A353" s="390">
        <v>93618</v>
      </c>
      <c r="B353" s="393">
        <v>93618</v>
      </c>
      <c r="C353" s="499" t="s">
        <v>1064</v>
      </c>
      <c r="D353" s="378">
        <v>7.3610560600993637E-6</v>
      </c>
      <c r="F353" s="495">
        <v>23544.121252450401</v>
      </c>
      <c r="G353" s="495">
        <v>21358.972037450396</v>
      </c>
      <c r="H353" s="495">
        <v>7015.7426024503993</v>
      </c>
      <c r="I353" s="495">
        <v>-762.71680000000003</v>
      </c>
      <c r="J353" s="495">
        <v>0</v>
      </c>
      <c r="M353" s="495">
        <v>3382.8105599999999</v>
      </c>
      <c r="N353" s="495">
        <v>3441.2710400000001</v>
      </c>
      <c r="O353" s="495">
        <v>1812.2748799999999</v>
      </c>
      <c r="P353" s="495">
        <v>0</v>
      </c>
      <c r="Q353" s="495">
        <v>0</v>
      </c>
      <c r="T353" s="495">
        <v>1392.24704</v>
      </c>
      <c r="U353" s="495">
        <v>6326.92832</v>
      </c>
      <c r="V353" s="495">
        <v>-211.02591999999999</v>
      </c>
      <c r="W353" s="495">
        <v>-762.71680000000003</v>
      </c>
      <c r="X353" s="495">
        <v>0</v>
      </c>
      <c r="AA353" s="495">
        <v>0</v>
      </c>
      <c r="AB353" s="495">
        <v>0</v>
      </c>
      <c r="AC353" s="495">
        <v>0</v>
      </c>
      <c r="AD353" s="495">
        <v>0</v>
      </c>
      <c r="AE353" s="495">
        <v>0</v>
      </c>
      <c r="AH353" s="495">
        <v>19508.558522450399</v>
      </c>
      <c r="AI353" s="495">
        <v>12159.772897450399</v>
      </c>
      <c r="AJ353" s="495">
        <v>5414.4936424503994</v>
      </c>
      <c r="AK353" s="495">
        <v>0</v>
      </c>
      <c r="AL353" s="495">
        <v>0</v>
      </c>
      <c r="AO353" s="495">
        <v>-739.49486999999976</v>
      </c>
      <c r="AP353" s="495">
        <v>-569.00022000000013</v>
      </c>
      <c r="AQ353" s="495">
        <v>0</v>
      </c>
      <c r="AR353" s="495">
        <v>0</v>
      </c>
      <c r="AS353" s="495">
        <v>0</v>
      </c>
    </row>
    <row r="354" spans="1:45">
      <c r="A354" s="390">
        <v>93621</v>
      </c>
      <c r="B354" s="393">
        <v>93621</v>
      </c>
      <c r="C354" s="499" t="s">
        <v>1065</v>
      </c>
      <c r="D354" s="378">
        <v>1.3301069423710392E-3</v>
      </c>
      <c r="F354" s="495">
        <v>890356.36054331635</v>
      </c>
      <c r="G354" s="495">
        <v>1762528.0470533166</v>
      </c>
      <c r="H354" s="495">
        <v>326479.88655331649</v>
      </c>
      <c r="I354" s="495">
        <v>-137818.57329999999</v>
      </c>
      <c r="J354" s="495">
        <v>0</v>
      </c>
      <c r="M354" s="495">
        <v>611254.56410999992</v>
      </c>
      <c r="N354" s="495">
        <v>621818.03923999995</v>
      </c>
      <c r="O354" s="495">
        <v>327467.72902999999</v>
      </c>
      <c r="P354" s="495">
        <v>0</v>
      </c>
      <c r="Q354" s="495">
        <v>0</v>
      </c>
      <c r="T354" s="495">
        <v>251571.09524</v>
      </c>
      <c r="U354" s="495">
        <v>1143239.8426699999</v>
      </c>
      <c r="V354" s="495">
        <v>-38131.179519999998</v>
      </c>
      <c r="W354" s="495">
        <v>-137818.57329999999</v>
      </c>
      <c r="X354" s="495">
        <v>0</v>
      </c>
      <c r="AA354" s="495">
        <v>0</v>
      </c>
      <c r="AB354" s="495">
        <v>0</v>
      </c>
      <c r="AC354" s="495">
        <v>0</v>
      </c>
      <c r="AD354" s="495">
        <v>0</v>
      </c>
      <c r="AE354" s="495">
        <v>0</v>
      </c>
      <c r="AH354" s="495">
        <v>94884.191843316483</v>
      </c>
      <c r="AI354" s="495">
        <v>37143.337043316511</v>
      </c>
      <c r="AJ354" s="495">
        <v>37143.337043316511</v>
      </c>
      <c r="AK354" s="495">
        <v>0</v>
      </c>
      <c r="AL354" s="495">
        <v>0</v>
      </c>
      <c r="AO354" s="495">
        <v>-67353.490649999934</v>
      </c>
      <c r="AP354" s="495">
        <v>-39673.171899999958</v>
      </c>
      <c r="AQ354" s="495">
        <v>0</v>
      </c>
      <c r="AR354" s="495">
        <v>0</v>
      </c>
      <c r="AS354" s="495">
        <v>0</v>
      </c>
    </row>
    <row r="355" spans="1:45">
      <c r="A355" s="390">
        <v>93623</v>
      </c>
      <c r="B355" s="393">
        <v>93623</v>
      </c>
      <c r="C355" s="499" t="s">
        <v>1066</v>
      </c>
      <c r="D355" s="378">
        <v>1.0011463511450214E-5</v>
      </c>
      <c r="F355" s="495">
        <v>8289.1275446370237</v>
      </c>
      <c r="G355" s="495">
        <v>14562.671054637023</v>
      </c>
      <c r="H355" s="495">
        <v>2371.2057571370237</v>
      </c>
      <c r="I355" s="495">
        <v>-1037.3363000000002</v>
      </c>
      <c r="J355" s="495">
        <v>0</v>
      </c>
      <c r="M355" s="495">
        <v>4600.8062100000006</v>
      </c>
      <c r="N355" s="495">
        <v>4680.3156400000007</v>
      </c>
      <c r="O355" s="495">
        <v>2464.7923300000002</v>
      </c>
      <c r="P355" s="495">
        <v>0</v>
      </c>
      <c r="Q355" s="495">
        <v>0</v>
      </c>
      <c r="T355" s="495">
        <v>1893.5316400000002</v>
      </c>
      <c r="U355" s="495">
        <v>8604.9663700000001</v>
      </c>
      <c r="V355" s="495">
        <v>-287.00672000000003</v>
      </c>
      <c r="W355" s="495">
        <v>-1037.3363000000002</v>
      </c>
      <c r="X355" s="495">
        <v>0</v>
      </c>
      <c r="AA355" s="495">
        <v>0</v>
      </c>
      <c r="AB355" s="495">
        <v>0</v>
      </c>
      <c r="AC355" s="495">
        <v>0</v>
      </c>
      <c r="AD355" s="495">
        <v>0</v>
      </c>
      <c r="AE355" s="495">
        <v>0</v>
      </c>
      <c r="AH355" s="495">
        <v>1908.4527946370231</v>
      </c>
      <c r="AI355" s="495">
        <v>1277.3890446370233</v>
      </c>
      <c r="AJ355" s="495">
        <v>193.42014713702338</v>
      </c>
      <c r="AK355" s="495">
        <v>0</v>
      </c>
      <c r="AL355" s="495">
        <v>0</v>
      </c>
      <c r="AO355" s="495">
        <v>-113.6630999999993</v>
      </c>
      <c r="AP355" s="495">
        <v>0</v>
      </c>
      <c r="AQ355" s="495">
        <v>0</v>
      </c>
      <c r="AR355" s="495">
        <v>0</v>
      </c>
      <c r="AS355" s="495">
        <v>0</v>
      </c>
    </row>
    <row r="356" spans="1:45">
      <c r="A356" s="390">
        <v>93631</v>
      </c>
      <c r="B356" s="393">
        <v>93631</v>
      </c>
      <c r="C356" s="499" t="s">
        <v>1067</v>
      </c>
      <c r="D356" s="378">
        <v>2.7429054103639055E-4</v>
      </c>
      <c r="F356" s="495">
        <v>186558.66365978561</v>
      </c>
      <c r="G356" s="495">
        <v>365422.19865978567</v>
      </c>
      <c r="H356" s="495">
        <v>68358.754237285597</v>
      </c>
      <c r="I356" s="495">
        <v>-28420.527500000004</v>
      </c>
      <c r="J356" s="495">
        <v>0</v>
      </c>
      <c r="M356" s="495">
        <v>126051.05925000001</v>
      </c>
      <c r="N356" s="495">
        <v>128229.42700000001</v>
      </c>
      <c r="O356" s="495">
        <v>67529.400250000006</v>
      </c>
      <c r="P356" s="495">
        <v>0</v>
      </c>
      <c r="Q356" s="495">
        <v>0</v>
      </c>
      <c r="T356" s="495">
        <v>51878.227000000006</v>
      </c>
      <c r="U356" s="495">
        <v>235755.44725000003</v>
      </c>
      <c r="V356" s="495">
        <v>-7863.2960000000003</v>
      </c>
      <c r="W356" s="495">
        <v>-28420.527500000004</v>
      </c>
      <c r="X356" s="495">
        <v>0</v>
      </c>
      <c r="AA356" s="495">
        <v>0</v>
      </c>
      <c r="AB356" s="495">
        <v>0</v>
      </c>
      <c r="AC356" s="495">
        <v>0</v>
      </c>
      <c r="AD356" s="495">
        <v>0</v>
      </c>
      <c r="AE356" s="495">
        <v>0</v>
      </c>
      <c r="AH356" s="495">
        <v>22048.064237285609</v>
      </c>
      <c r="AI356" s="495">
        <v>8692.6499872855948</v>
      </c>
      <c r="AJ356" s="495">
        <v>8692.6499872855948</v>
      </c>
      <c r="AK356" s="495">
        <v>0</v>
      </c>
      <c r="AL356" s="495">
        <v>0</v>
      </c>
      <c r="AO356" s="495">
        <v>-13418.686827500002</v>
      </c>
      <c r="AP356" s="495">
        <v>-7255.3255775000007</v>
      </c>
      <c r="AQ356" s="495">
        <v>0</v>
      </c>
      <c r="AR356" s="495">
        <v>0</v>
      </c>
      <c r="AS356" s="495">
        <v>0</v>
      </c>
    </row>
    <row r="357" spans="1:45">
      <c r="A357" s="390">
        <v>93641</v>
      </c>
      <c r="B357" s="393">
        <v>93641</v>
      </c>
      <c r="C357" s="499" t="s">
        <v>1068</v>
      </c>
      <c r="D357" s="378">
        <v>3.8993776551188232E-4</v>
      </c>
      <c r="F357" s="495">
        <v>280067.76820263074</v>
      </c>
      <c r="G357" s="495">
        <v>518506.51293263078</v>
      </c>
      <c r="H357" s="495">
        <v>86780.90486763067</v>
      </c>
      <c r="I357" s="495">
        <v>-40403.2644</v>
      </c>
      <c r="J357" s="495">
        <v>0</v>
      </c>
      <c r="M357" s="495">
        <v>179197.03547999999</v>
      </c>
      <c r="N357" s="495">
        <v>182293.85232000001</v>
      </c>
      <c r="O357" s="495">
        <v>96001.322039999999</v>
      </c>
      <c r="P357" s="495">
        <v>0</v>
      </c>
      <c r="Q357" s="495">
        <v>0</v>
      </c>
      <c r="T357" s="495">
        <v>73751.260320000001</v>
      </c>
      <c r="U357" s="495">
        <v>335155.27356</v>
      </c>
      <c r="V357" s="495">
        <v>-11178.639359999999</v>
      </c>
      <c r="W357" s="495">
        <v>-40403.2644</v>
      </c>
      <c r="X357" s="495">
        <v>0</v>
      </c>
      <c r="AA357" s="495">
        <v>0</v>
      </c>
      <c r="AB357" s="495">
        <v>0</v>
      </c>
      <c r="AC357" s="495">
        <v>0</v>
      </c>
      <c r="AD357" s="495">
        <v>0</v>
      </c>
      <c r="AE357" s="495">
        <v>0</v>
      </c>
      <c r="AH357" s="495">
        <v>36507.976032630657</v>
      </c>
      <c r="AI357" s="495">
        <v>10445.890682630677</v>
      </c>
      <c r="AJ357" s="495">
        <v>1958.2221876306721</v>
      </c>
      <c r="AK357" s="495">
        <v>0</v>
      </c>
      <c r="AL357" s="495">
        <v>0</v>
      </c>
      <c r="AO357" s="495">
        <v>-9388.5036299998901</v>
      </c>
      <c r="AP357" s="495">
        <v>-9388.5036299998901</v>
      </c>
      <c r="AQ357" s="495">
        <v>0</v>
      </c>
      <c r="AR357" s="495">
        <v>0</v>
      </c>
      <c r="AS357" s="495">
        <v>0</v>
      </c>
    </row>
    <row r="358" spans="1:45">
      <c r="A358" s="390">
        <v>93647</v>
      </c>
      <c r="B358" s="393">
        <v>93647</v>
      </c>
      <c r="C358" s="499" t="s">
        <v>1069</v>
      </c>
      <c r="D358" s="378">
        <v>3.2804819235527567E-6</v>
      </c>
      <c r="F358" s="495">
        <v>7575.6795467441989</v>
      </c>
      <c r="G358" s="495">
        <v>7353.0411767441992</v>
      </c>
      <c r="H358" s="495">
        <v>1302.7301567442</v>
      </c>
      <c r="I358" s="495">
        <v>-339.90640000000002</v>
      </c>
      <c r="J358" s="495">
        <v>0</v>
      </c>
      <c r="M358" s="495">
        <v>1507.5568799999999</v>
      </c>
      <c r="N358" s="495">
        <v>1533.6099199999999</v>
      </c>
      <c r="O358" s="495">
        <v>807.64423999999997</v>
      </c>
      <c r="P358" s="495">
        <v>0</v>
      </c>
      <c r="Q358" s="495">
        <v>0</v>
      </c>
      <c r="T358" s="495">
        <v>620.45791999999994</v>
      </c>
      <c r="U358" s="495">
        <v>2819.6093599999999</v>
      </c>
      <c r="V358" s="495">
        <v>-94.044160000000005</v>
      </c>
      <c r="W358" s="495">
        <v>-339.90640000000002</v>
      </c>
      <c r="X358" s="495">
        <v>0</v>
      </c>
      <c r="AA358" s="495">
        <v>0</v>
      </c>
      <c r="AB358" s="495">
        <v>0</v>
      </c>
      <c r="AC358" s="495">
        <v>0</v>
      </c>
      <c r="AD358" s="495">
        <v>0</v>
      </c>
      <c r="AE358" s="495">
        <v>0</v>
      </c>
      <c r="AH358" s="495">
        <v>6157.2122367442007</v>
      </c>
      <c r="AI358" s="495">
        <v>3538.8747367442002</v>
      </c>
      <c r="AJ358" s="495">
        <v>589.1300767442001</v>
      </c>
      <c r="AK358" s="495">
        <v>0</v>
      </c>
      <c r="AL358" s="495">
        <v>0</v>
      </c>
      <c r="AO358" s="495">
        <v>-709.54749000000049</v>
      </c>
      <c r="AP358" s="495">
        <v>-539.05284000000017</v>
      </c>
      <c r="AQ358" s="495">
        <v>0</v>
      </c>
      <c r="AR358" s="495">
        <v>0</v>
      </c>
      <c r="AS358" s="495">
        <v>0</v>
      </c>
    </row>
    <row r="359" spans="1:45">
      <c r="A359" s="390">
        <v>93651</v>
      </c>
      <c r="B359" s="393">
        <v>93651</v>
      </c>
      <c r="C359" s="499" t="s">
        <v>1070</v>
      </c>
      <c r="D359" s="378">
        <v>4.2467286469980429E-4</v>
      </c>
      <c r="F359" s="495">
        <v>234146.83873919334</v>
      </c>
      <c r="G359" s="495">
        <v>527558.35819919326</v>
      </c>
      <c r="H359" s="495">
        <v>60500.532841693326</v>
      </c>
      <c r="I359" s="495">
        <v>-44002.334300000002</v>
      </c>
      <c r="J359" s="495">
        <v>0</v>
      </c>
      <c r="M359" s="495">
        <v>195159.67281000002</v>
      </c>
      <c r="N359" s="495">
        <v>198532.35004000002</v>
      </c>
      <c r="O359" s="495">
        <v>104552.99413000001</v>
      </c>
      <c r="P359" s="495">
        <v>0</v>
      </c>
      <c r="Q359" s="495">
        <v>0</v>
      </c>
      <c r="T359" s="495">
        <v>80320.926040000006</v>
      </c>
      <c r="U359" s="495">
        <v>365010.46656999999</v>
      </c>
      <c r="V359" s="495">
        <v>-12174.41792</v>
      </c>
      <c r="W359" s="495">
        <v>-44002.334300000002</v>
      </c>
      <c r="X359" s="495">
        <v>0</v>
      </c>
      <c r="AA359" s="495">
        <v>0</v>
      </c>
      <c r="AB359" s="495">
        <v>0</v>
      </c>
      <c r="AC359" s="495">
        <v>0</v>
      </c>
      <c r="AD359" s="495">
        <v>0</v>
      </c>
      <c r="AE359" s="495">
        <v>0</v>
      </c>
      <c r="AH359" s="495">
        <v>4963.7782349999597</v>
      </c>
      <c r="AI359" s="495">
        <v>4963.7782349999597</v>
      </c>
      <c r="AJ359" s="495">
        <v>0</v>
      </c>
      <c r="AK359" s="495">
        <v>0</v>
      </c>
      <c r="AL359" s="495">
        <v>0</v>
      </c>
      <c r="AO359" s="495">
        <v>-46297.538345806657</v>
      </c>
      <c r="AP359" s="495">
        <v>-40948.236645806661</v>
      </c>
      <c r="AQ359" s="495">
        <v>-31878.043368306673</v>
      </c>
      <c r="AR359" s="495">
        <v>0</v>
      </c>
      <c r="AS359" s="495">
        <v>0</v>
      </c>
    </row>
    <row r="360" spans="1:45">
      <c r="A360" s="390">
        <v>93661</v>
      </c>
      <c r="B360" s="393">
        <v>93661</v>
      </c>
      <c r="C360" s="499" t="s">
        <v>1071</v>
      </c>
      <c r="D360" s="378">
        <v>2.5347746175567346E-4</v>
      </c>
      <c r="F360" s="495">
        <v>244217.17706916155</v>
      </c>
      <c r="G360" s="495">
        <v>407476.98973416165</v>
      </c>
      <c r="H360" s="495">
        <v>102742.27103916155</v>
      </c>
      <c r="I360" s="495">
        <v>-26263.9872</v>
      </c>
      <c r="J360" s="495">
        <v>0</v>
      </c>
      <c r="M360" s="495">
        <v>116486.34624</v>
      </c>
      <c r="N360" s="495">
        <v>118499.42016000001</v>
      </c>
      <c r="O360" s="495">
        <v>62405.291520000006</v>
      </c>
      <c r="P360" s="495">
        <v>0</v>
      </c>
      <c r="Q360" s="495">
        <v>0</v>
      </c>
      <c r="T360" s="495">
        <v>47941.724160000005</v>
      </c>
      <c r="U360" s="495">
        <v>217866.40128000002</v>
      </c>
      <c r="V360" s="495">
        <v>-7266.6316800000004</v>
      </c>
      <c r="W360" s="495">
        <v>-26263.9872</v>
      </c>
      <c r="X360" s="495">
        <v>0</v>
      </c>
      <c r="AA360" s="495">
        <v>0</v>
      </c>
      <c r="AB360" s="495">
        <v>0</v>
      </c>
      <c r="AC360" s="495">
        <v>0</v>
      </c>
      <c r="AD360" s="495">
        <v>0</v>
      </c>
      <c r="AE360" s="495">
        <v>0</v>
      </c>
      <c r="AH360" s="495">
        <v>84173.722709161564</v>
      </c>
      <c r="AI360" s="495">
        <v>75364.832459161553</v>
      </c>
      <c r="AJ360" s="495">
        <v>47603.611199161547</v>
      </c>
      <c r="AK360" s="495">
        <v>0</v>
      </c>
      <c r="AL360" s="495">
        <v>0</v>
      </c>
      <c r="AO360" s="495">
        <v>-4384.6160400000008</v>
      </c>
      <c r="AP360" s="495">
        <v>-4253.6641649999947</v>
      </c>
      <c r="AQ360" s="495">
        <v>0</v>
      </c>
      <c r="AR360" s="495">
        <v>0</v>
      </c>
      <c r="AS360" s="495">
        <v>0</v>
      </c>
    </row>
    <row r="361" spans="1:45">
      <c r="A361" s="390">
        <v>93671</v>
      </c>
      <c r="B361" s="393">
        <v>93671</v>
      </c>
      <c r="C361" s="499" t="s">
        <v>1072</v>
      </c>
      <c r="D361" s="378">
        <v>3.3451954824824652E-4</v>
      </c>
      <c r="F361" s="495">
        <v>205306.07689940007</v>
      </c>
      <c r="G361" s="495">
        <v>428101.31666940014</v>
      </c>
      <c r="H361" s="495">
        <v>20993.147441900204</v>
      </c>
      <c r="I361" s="495">
        <v>-34661.126100000001</v>
      </c>
      <c r="J361" s="495">
        <v>0</v>
      </c>
      <c r="M361" s="495">
        <v>153729.43587000002</v>
      </c>
      <c r="N361" s="495">
        <v>156386.13108000002</v>
      </c>
      <c r="O361" s="495">
        <v>82357.551510000005</v>
      </c>
      <c r="P361" s="495">
        <v>0</v>
      </c>
      <c r="Q361" s="495">
        <v>0</v>
      </c>
      <c r="T361" s="495">
        <v>63269.683080000003</v>
      </c>
      <c r="U361" s="495">
        <v>287522.78739000001</v>
      </c>
      <c r="V361" s="495">
        <v>-9589.9238400000013</v>
      </c>
      <c r="W361" s="495">
        <v>-34661.126100000001</v>
      </c>
      <c r="X361" s="495">
        <v>0</v>
      </c>
      <c r="AA361" s="495">
        <v>0</v>
      </c>
      <c r="AB361" s="495">
        <v>0</v>
      </c>
      <c r="AC361" s="495">
        <v>0</v>
      </c>
      <c r="AD361" s="495">
        <v>0</v>
      </c>
      <c r="AE361" s="495">
        <v>0</v>
      </c>
      <c r="AH361" s="495">
        <v>50140.556494999866</v>
      </c>
      <c r="AI361" s="495">
        <v>37217.106494999884</v>
      </c>
      <c r="AJ361" s="495">
        <v>0</v>
      </c>
      <c r="AK361" s="495">
        <v>0</v>
      </c>
      <c r="AL361" s="495">
        <v>0</v>
      </c>
      <c r="AO361" s="495">
        <v>-61833.598545599816</v>
      </c>
      <c r="AP361" s="495">
        <v>-53024.70829559979</v>
      </c>
      <c r="AQ361" s="495">
        <v>-51774.480228099797</v>
      </c>
      <c r="AR361" s="495">
        <v>0</v>
      </c>
      <c r="AS361" s="495">
        <v>0</v>
      </c>
    </row>
    <row r="362" spans="1:45">
      <c r="A362" s="390">
        <v>93681</v>
      </c>
      <c r="B362" s="393">
        <v>93681</v>
      </c>
      <c r="C362" s="499" t="s">
        <v>1073</v>
      </c>
      <c r="D362" s="378">
        <v>2.0835080703892871E-4</v>
      </c>
      <c r="F362" s="495">
        <v>132240.54008620483</v>
      </c>
      <c r="G362" s="495">
        <v>278182.61800620484</v>
      </c>
      <c r="H362" s="495">
        <v>52513.013653704824</v>
      </c>
      <c r="I362" s="495">
        <v>-21588.2016</v>
      </c>
      <c r="J362" s="495">
        <v>0</v>
      </c>
      <c r="M362" s="495">
        <v>95748.24672000001</v>
      </c>
      <c r="N362" s="495">
        <v>97402.932480000003</v>
      </c>
      <c r="O362" s="495">
        <v>51295.258560000002</v>
      </c>
      <c r="P362" s="495">
        <v>0</v>
      </c>
      <c r="Q362" s="495">
        <v>0</v>
      </c>
      <c r="T362" s="495">
        <v>39406.644480000003</v>
      </c>
      <c r="U362" s="495">
        <v>179079.57984000002</v>
      </c>
      <c r="V362" s="495">
        <v>-5972.9510399999999</v>
      </c>
      <c r="W362" s="495">
        <v>-21588.2016</v>
      </c>
      <c r="X362" s="495">
        <v>0</v>
      </c>
      <c r="AA362" s="495">
        <v>0</v>
      </c>
      <c r="AB362" s="495">
        <v>0</v>
      </c>
      <c r="AC362" s="495">
        <v>0</v>
      </c>
      <c r="AD362" s="495">
        <v>0</v>
      </c>
      <c r="AE362" s="495">
        <v>0</v>
      </c>
      <c r="AH362" s="495">
        <v>8277.9924287048034</v>
      </c>
      <c r="AI362" s="495">
        <v>7198.192978704812</v>
      </c>
      <c r="AJ362" s="495">
        <v>7190.7061337048253</v>
      </c>
      <c r="AK362" s="495">
        <v>0</v>
      </c>
      <c r="AL362" s="495">
        <v>0</v>
      </c>
      <c r="AO362" s="495">
        <v>-11192.343542499999</v>
      </c>
      <c r="AP362" s="495">
        <v>-5498.0872925000003</v>
      </c>
      <c r="AQ362" s="495">
        <v>0</v>
      </c>
      <c r="AR362" s="495">
        <v>0</v>
      </c>
      <c r="AS362" s="495">
        <v>0</v>
      </c>
    </row>
    <row r="363" spans="1:45">
      <c r="A363" s="390">
        <v>93691</v>
      </c>
      <c r="B363" s="393">
        <v>93691</v>
      </c>
      <c r="C363" s="499" t="s">
        <v>1074</v>
      </c>
      <c r="D363" s="378">
        <v>1.2515652738569194E-3</v>
      </c>
      <c r="F363" s="495">
        <v>944567.06591608399</v>
      </c>
      <c r="G363" s="495">
        <v>1770382.0033710841</v>
      </c>
      <c r="H363" s="495">
        <v>376593.89346858423</v>
      </c>
      <c r="I363" s="495">
        <v>-129680.50940000001</v>
      </c>
      <c r="J363" s="495">
        <v>0</v>
      </c>
      <c r="M363" s="495">
        <v>575160.52698000008</v>
      </c>
      <c r="N363" s="495">
        <v>585100.23832</v>
      </c>
      <c r="O363" s="495">
        <v>308131.05154000001</v>
      </c>
      <c r="P363" s="495">
        <v>0</v>
      </c>
      <c r="Q363" s="495">
        <v>0</v>
      </c>
      <c r="T363" s="495">
        <v>236716.04632000002</v>
      </c>
      <c r="U363" s="495">
        <v>1075732.5490600001</v>
      </c>
      <c r="V363" s="495">
        <v>-35879.567360000001</v>
      </c>
      <c r="W363" s="495">
        <v>-129680.50940000001</v>
      </c>
      <c r="X363" s="495">
        <v>0</v>
      </c>
      <c r="AA363" s="495">
        <v>0</v>
      </c>
      <c r="AB363" s="495">
        <v>0</v>
      </c>
      <c r="AC363" s="495">
        <v>0</v>
      </c>
      <c r="AD363" s="495">
        <v>0</v>
      </c>
      <c r="AE363" s="495">
        <v>0</v>
      </c>
      <c r="AH363" s="495">
        <v>172439.01228358402</v>
      </c>
      <c r="AI363" s="495">
        <v>125837.14128358397</v>
      </c>
      <c r="AJ363" s="495">
        <v>104342.4092885842</v>
      </c>
      <c r="AK363" s="495">
        <v>0</v>
      </c>
      <c r="AL363" s="495">
        <v>0</v>
      </c>
      <c r="AO363" s="495">
        <v>-39748.519667500019</v>
      </c>
      <c r="AP363" s="495">
        <v>-16287.925292500004</v>
      </c>
      <c r="AQ363" s="495">
        <v>0</v>
      </c>
      <c r="AR363" s="495">
        <v>0</v>
      </c>
      <c r="AS363" s="495">
        <v>0</v>
      </c>
    </row>
    <row r="364" spans="1:45">
      <c r="A364" s="390">
        <v>93701</v>
      </c>
      <c r="B364" s="393">
        <v>93701</v>
      </c>
      <c r="C364" s="499" t="s">
        <v>1075</v>
      </c>
      <c r="D364" s="378">
        <v>4.1382125243957156E-4</v>
      </c>
      <c r="F364" s="495">
        <v>260954.82228014627</v>
      </c>
      <c r="G364" s="495">
        <v>531527.41489014623</v>
      </c>
      <c r="H364" s="495">
        <v>92820.984675146261</v>
      </c>
      <c r="I364" s="495">
        <v>-42877.948799999998</v>
      </c>
      <c r="J364" s="495">
        <v>0</v>
      </c>
      <c r="M364" s="495">
        <v>190172.78495999999</v>
      </c>
      <c r="N364" s="495">
        <v>193459.28064000001</v>
      </c>
      <c r="O364" s="495">
        <v>101881.36607999999</v>
      </c>
      <c r="P364" s="495">
        <v>0</v>
      </c>
      <c r="Q364" s="495">
        <v>0</v>
      </c>
      <c r="T364" s="495">
        <v>78268.496639999998</v>
      </c>
      <c r="U364" s="495">
        <v>355683.40512000001</v>
      </c>
      <c r="V364" s="495">
        <v>-11863.326719999999</v>
      </c>
      <c r="W364" s="495">
        <v>-42877.948799999998</v>
      </c>
      <c r="X364" s="495">
        <v>0</v>
      </c>
      <c r="AA364" s="495">
        <v>0</v>
      </c>
      <c r="AB364" s="495">
        <v>0</v>
      </c>
      <c r="AC364" s="495">
        <v>0</v>
      </c>
      <c r="AD364" s="495">
        <v>0</v>
      </c>
      <c r="AE364" s="495">
        <v>0</v>
      </c>
      <c r="AH364" s="495">
        <v>17067.664365146258</v>
      </c>
      <c r="AI364" s="495">
        <v>2802.9453151462712</v>
      </c>
      <c r="AJ364" s="495">
        <v>2802.9453151462712</v>
      </c>
      <c r="AK364" s="495">
        <v>0</v>
      </c>
      <c r="AL364" s="495">
        <v>0</v>
      </c>
      <c r="AO364" s="495">
        <v>-24554.123684999962</v>
      </c>
      <c r="AP364" s="495">
        <v>-20418.216184999976</v>
      </c>
      <c r="AQ364" s="495">
        <v>0</v>
      </c>
      <c r="AR364" s="495">
        <v>0</v>
      </c>
      <c r="AS364" s="495">
        <v>0</v>
      </c>
    </row>
    <row r="365" spans="1:45">
      <c r="A365" s="390">
        <v>93704</v>
      </c>
      <c r="B365" s="393">
        <v>93704</v>
      </c>
      <c r="C365" s="499" t="s">
        <v>1076</v>
      </c>
      <c r="D365" s="378">
        <v>2.6504074513508505E-6</v>
      </c>
      <c r="F365" s="495">
        <v>4714.0977171866243</v>
      </c>
      <c r="G365" s="495">
        <v>6158.310067186625</v>
      </c>
      <c r="H365" s="495">
        <v>2432.7232746866243</v>
      </c>
      <c r="I365" s="495">
        <v>-274.61950000000002</v>
      </c>
      <c r="J365" s="495">
        <v>0</v>
      </c>
      <c r="M365" s="495">
        <v>1217.9956500000001</v>
      </c>
      <c r="N365" s="495">
        <v>1239.0445999999999</v>
      </c>
      <c r="O365" s="495">
        <v>652.51745000000005</v>
      </c>
      <c r="P365" s="495">
        <v>0</v>
      </c>
      <c r="Q365" s="495">
        <v>0</v>
      </c>
      <c r="T365" s="495">
        <v>501.28460000000001</v>
      </c>
      <c r="U365" s="495">
        <v>2278.0380500000001</v>
      </c>
      <c r="V365" s="495">
        <v>-75.980800000000002</v>
      </c>
      <c r="W365" s="495">
        <v>-274.61950000000002</v>
      </c>
      <c r="X365" s="495">
        <v>0</v>
      </c>
      <c r="AA365" s="495">
        <v>0</v>
      </c>
      <c r="AB365" s="495">
        <v>0</v>
      </c>
      <c r="AC365" s="495">
        <v>0</v>
      </c>
      <c r="AD365" s="495">
        <v>0</v>
      </c>
      <c r="AE365" s="495">
        <v>0</v>
      </c>
      <c r="AH365" s="495">
        <v>3394.3411021866241</v>
      </c>
      <c r="AI365" s="495">
        <v>2813.4248521866243</v>
      </c>
      <c r="AJ365" s="495">
        <v>1856.1866246866243</v>
      </c>
      <c r="AK365" s="495">
        <v>0</v>
      </c>
      <c r="AL365" s="495">
        <v>0</v>
      </c>
      <c r="AO365" s="495">
        <v>-399.52363499999979</v>
      </c>
      <c r="AP365" s="495">
        <v>-172.19743499999981</v>
      </c>
      <c r="AQ365" s="495">
        <v>0</v>
      </c>
      <c r="AR365" s="495">
        <v>0</v>
      </c>
      <c r="AS365" s="495">
        <v>0</v>
      </c>
    </row>
    <row r="366" spans="1:45">
      <c r="A366" s="390">
        <v>93801</v>
      </c>
      <c r="B366" s="393">
        <v>93801</v>
      </c>
      <c r="C366" s="499" t="s">
        <v>1077</v>
      </c>
      <c r="D366" s="378">
        <v>6.3570404741315539E-4</v>
      </c>
      <c r="F366" s="495">
        <v>504269.75541542075</v>
      </c>
      <c r="G366" s="495">
        <v>813843.70380042074</v>
      </c>
      <c r="H366" s="495">
        <v>179134.64156542081</v>
      </c>
      <c r="I366" s="495">
        <v>-65868.264299999995</v>
      </c>
      <c r="J366" s="495">
        <v>0</v>
      </c>
      <c r="M366" s="495">
        <v>292139.70380999998</v>
      </c>
      <c r="N366" s="495">
        <v>297188.35404000001</v>
      </c>
      <c r="O366" s="495">
        <v>156508.15713000001</v>
      </c>
      <c r="P366" s="495">
        <v>0</v>
      </c>
      <c r="Q366" s="495">
        <v>0</v>
      </c>
      <c r="T366" s="495">
        <v>120234.53004</v>
      </c>
      <c r="U366" s="495">
        <v>546393.87356999994</v>
      </c>
      <c r="V366" s="495">
        <v>-18224.209920000001</v>
      </c>
      <c r="W366" s="495">
        <v>-65868.264299999995</v>
      </c>
      <c r="X366" s="495">
        <v>0</v>
      </c>
      <c r="AA366" s="495">
        <v>0</v>
      </c>
      <c r="AB366" s="495">
        <v>0</v>
      </c>
      <c r="AC366" s="495">
        <v>0</v>
      </c>
      <c r="AD366" s="495">
        <v>0</v>
      </c>
      <c r="AE366" s="495">
        <v>0</v>
      </c>
      <c r="AH366" s="495">
        <v>181224.62285542078</v>
      </c>
      <c r="AI366" s="495">
        <v>40850.69435542079</v>
      </c>
      <c r="AJ366" s="495">
        <v>40850.69435542079</v>
      </c>
      <c r="AK366" s="495">
        <v>0</v>
      </c>
      <c r="AL366" s="495">
        <v>0</v>
      </c>
      <c r="AO366" s="495">
        <v>-89329.10129000005</v>
      </c>
      <c r="AP366" s="495">
        <v>-70589.218165000028</v>
      </c>
      <c r="AQ366" s="495">
        <v>0</v>
      </c>
      <c r="AR366" s="495">
        <v>0</v>
      </c>
      <c r="AS366" s="495">
        <v>0</v>
      </c>
    </row>
    <row r="367" spans="1:45">
      <c r="A367" s="390">
        <v>93803</v>
      </c>
      <c r="B367" s="500">
        <v>93803</v>
      </c>
      <c r="C367" s="501" t="s">
        <v>1078</v>
      </c>
      <c r="D367" s="378">
        <v>1.1753744789209751E-4</v>
      </c>
      <c r="F367" s="495">
        <v>75232.035556517774</v>
      </c>
      <c r="G367" s="495">
        <v>146439.71477651779</v>
      </c>
      <c r="H367" s="495">
        <v>26833.548396517785</v>
      </c>
      <c r="I367" s="495">
        <v>-12178.597599999999</v>
      </c>
      <c r="J367" s="495">
        <v>0</v>
      </c>
      <c r="M367" s="495">
        <v>54014.659919999998</v>
      </c>
      <c r="N367" s="495">
        <v>54948.121279999999</v>
      </c>
      <c r="O367" s="495">
        <v>28937.302159999999</v>
      </c>
      <c r="P367" s="495">
        <v>0</v>
      </c>
      <c r="Q367" s="495">
        <v>0</v>
      </c>
      <c r="T367" s="495">
        <v>22230.55328</v>
      </c>
      <c r="U367" s="495">
        <v>101024.54024</v>
      </c>
      <c r="V367" s="495">
        <v>-3369.5334400000002</v>
      </c>
      <c r="W367" s="495">
        <v>-12178.597599999999</v>
      </c>
      <c r="X367" s="495">
        <v>0</v>
      </c>
      <c r="AA367" s="495">
        <v>0</v>
      </c>
      <c r="AB367" s="495">
        <v>0</v>
      </c>
      <c r="AC367" s="495">
        <v>0</v>
      </c>
      <c r="AD367" s="495">
        <v>0</v>
      </c>
      <c r="AE367" s="495">
        <v>0</v>
      </c>
      <c r="AH367" s="495">
        <v>9785.5487765177822</v>
      </c>
      <c r="AI367" s="495">
        <v>1265.7796765177841</v>
      </c>
      <c r="AJ367" s="495">
        <v>1265.7796765177841</v>
      </c>
      <c r="AK367" s="495">
        <v>0</v>
      </c>
      <c r="AL367" s="495">
        <v>0</v>
      </c>
      <c r="AO367" s="495">
        <v>-10798.726420000003</v>
      </c>
      <c r="AP367" s="495">
        <v>-10798.726420000003</v>
      </c>
      <c r="AQ367" s="495">
        <v>0</v>
      </c>
      <c r="AR367" s="495">
        <v>0</v>
      </c>
      <c r="AS367" s="495">
        <v>0</v>
      </c>
    </row>
    <row r="368" spans="1:45">
      <c r="A368" s="390">
        <v>93806</v>
      </c>
      <c r="B368" s="393">
        <v>93806</v>
      </c>
      <c r="C368" s="499" t="s">
        <v>1079</v>
      </c>
      <c r="D368" s="378">
        <v>1.4665172496362822E-4</v>
      </c>
      <c r="F368" s="495">
        <v>136439.1653026226</v>
      </c>
      <c r="G368" s="495">
        <v>207374.30688262256</v>
      </c>
      <c r="H368" s="495">
        <v>52276.602857622544</v>
      </c>
      <c r="I368" s="495">
        <v>-15195.266900000001</v>
      </c>
      <c r="J368" s="495">
        <v>0</v>
      </c>
      <c r="M368" s="495">
        <v>67394.227230000004</v>
      </c>
      <c r="N368" s="495">
        <v>68558.909319999992</v>
      </c>
      <c r="O368" s="495">
        <v>36105.144789999998</v>
      </c>
      <c r="P368" s="495">
        <v>0</v>
      </c>
      <c r="Q368" s="495">
        <v>0</v>
      </c>
      <c r="T368" s="495">
        <v>27737.117320000001</v>
      </c>
      <c r="U368" s="495">
        <v>126048.57330999999</v>
      </c>
      <c r="V368" s="495">
        <v>-4204.1753600000002</v>
      </c>
      <c r="W368" s="495">
        <v>-15195.266900000001</v>
      </c>
      <c r="X368" s="495">
        <v>0</v>
      </c>
      <c r="AA368" s="495">
        <v>0</v>
      </c>
      <c r="AB368" s="495">
        <v>0</v>
      </c>
      <c r="AC368" s="495">
        <v>0</v>
      </c>
      <c r="AD368" s="495">
        <v>0</v>
      </c>
      <c r="AE368" s="495">
        <v>0</v>
      </c>
      <c r="AH368" s="495">
        <v>53337.932427622545</v>
      </c>
      <c r="AI368" s="495">
        <v>20375.633427622546</v>
      </c>
      <c r="AJ368" s="495">
        <v>20375.633427622546</v>
      </c>
      <c r="AK368" s="495">
        <v>0</v>
      </c>
      <c r="AL368" s="495">
        <v>0</v>
      </c>
      <c r="AO368" s="495">
        <v>-12030.111674999967</v>
      </c>
      <c r="AP368" s="495">
        <v>-7608.8091749999658</v>
      </c>
      <c r="AQ368" s="495">
        <v>0</v>
      </c>
      <c r="AR368" s="495">
        <v>0</v>
      </c>
      <c r="AS368" s="495">
        <v>0</v>
      </c>
    </row>
    <row r="369" spans="1:45">
      <c r="A369" s="390">
        <v>93821</v>
      </c>
      <c r="B369" s="393">
        <v>93821</v>
      </c>
      <c r="C369" s="499" t="s">
        <v>1080</v>
      </c>
      <c r="D369" s="378">
        <v>4.6446888464831574E-5</v>
      </c>
      <c r="F369" s="495">
        <v>14994.512812744104</v>
      </c>
      <c r="G369" s="495">
        <v>49410.480752744101</v>
      </c>
      <c r="H369" s="495">
        <v>3107.0391802440954</v>
      </c>
      <c r="I369" s="495">
        <v>-4812.5772000000006</v>
      </c>
      <c r="J369" s="495">
        <v>0</v>
      </c>
      <c r="M369" s="495">
        <v>21344.79924</v>
      </c>
      <c r="N369" s="495">
        <v>21713.672160000002</v>
      </c>
      <c r="O369" s="495">
        <v>11435.060520000001</v>
      </c>
      <c r="P369" s="495">
        <v>0</v>
      </c>
      <c r="Q369" s="495">
        <v>0</v>
      </c>
      <c r="T369" s="495">
        <v>8784.7761600000013</v>
      </c>
      <c r="U369" s="495">
        <v>39921.542280000001</v>
      </c>
      <c r="V369" s="495">
        <v>-1331.5276800000001</v>
      </c>
      <c r="W369" s="495">
        <v>-4812.5772000000006</v>
      </c>
      <c r="X369" s="495">
        <v>0</v>
      </c>
      <c r="AA369" s="495">
        <v>0</v>
      </c>
      <c r="AB369" s="495">
        <v>0</v>
      </c>
      <c r="AC369" s="495">
        <v>0</v>
      </c>
      <c r="AD369" s="495">
        <v>0</v>
      </c>
      <c r="AE369" s="495">
        <v>0</v>
      </c>
      <c r="AH369" s="495">
        <v>670.05874999999833</v>
      </c>
      <c r="AI369" s="495">
        <v>0</v>
      </c>
      <c r="AJ369" s="495">
        <v>0</v>
      </c>
      <c r="AK369" s="495">
        <v>0</v>
      </c>
      <c r="AL369" s="495">
        <v>0</v>
      </c>
      <c r="AO369" s="495">
        <v>-15805.121337255894</v>
      </c>
      <c r="AP369" s="495">
        <v>-12224.733687255904</v>
      </c>
      <c r="AQ369" s="495">
        <v>-6996.4936597559044</v>
      </c>
      <c r="AR369" s="495">
        <v>0</v>
      </c>
      <c r="AS369" s="495">
        <v>0</v>
      </c>
    </row>
    <row r="370" spans="1:45">
      <c r="A370" s="390">
        <v>93901</v>
      </c>
      <c r="B370" s="393">
        <v>93901</v>
      </c>
      <c r="C370" s="499" t="s">
        <v>1081</v>
      </c>
      <c r="D370" s="378">
        <v>1.7291259696188346E-3</v>
      </c>
      <c r="F370" s="495">
        <v>1009520.5861826661</v>
      </c>
      <c r="G370" s="495">
        <v>2099264.7698526657</v>
      </c>
      <c r="H370" s="495">
        <v>282496.89126266586</v>
      </c>
      <c r="I370" s="495">
        <v>-179162.79809999999</v>
      </c>
      <c r="J370" s="495">
        <v>0</v>
      </c>
      <c r="M370" s="495">
        <v>794624.95826999994</v>
      </c>
      <c r="N370" s="495">
        <v>808357.37268000003</v>
      </c>
      <c r="O370" s="495">
        <v>425704.84671000001</v>
      </c>
      <c r="P370" s="495">
        <v>0</v>
      </c>
      <c r="Q370" s="495">
        <v>0</v>
      </c>
      <c r="T370" s="495">
        <v>327039.96467999998</v>
      </c>
      <c r="U370" s="495">
        <v>1486200.6201899999</v>
      </c>
      <c r="V370" s="495">
        <v>-49570.160640000002</v>
      </c>
      <c r="W370" s="495">
        <v>-179162.79809999999</v>
      </c>
      <c r="X370" s="495">
        <v>0</v>
      </c>
      <c r="AA370" s="495">
        <v>0</v>
      </c>
      <c r="AB370" s="495">
        <v>0</v>
      </c>
      <c r="AC370" s="495">
        <v>0</v>
      </c>
      <c r="AD370" s="495">
        <v>0</v>
      </c>
      <c r="AE370" s="495">
        <v>0</v>
      </c>
      <c r="AH370" s="495">
        <v>91280.55312000023</v>
      </c>
      <c r="AI370" s="495">
        <v>8131.6668699999573</v>
      </c>
      <c r="AJ370" s="495">
        <v>0</v>
      </c>
      <c r="AK370" s="495">
        <v>0</v>
      </c>
      <c r="AL370" s="495">
        <v>0</v>
      </c>
      <c r="AO370" s="495">
        <v>-203424.88988733417</v>
      </c>
      <c r="AP370" s="495">
        <v>-203424.88988733417</v>
      </c>
      <c r="AQ370" s="495">
        <v>-93637.79480733411</v>
      </c>
      <c r="AR370" s="495">
        <v>0</v>
      </c>
      <c r="AS370" s="495">
        <v>0</v>
      </c>
    </row>
    <row r="371" spans="1:45">
      <c r="A371" s="390">
        <v>93904</v>
      </c>
      <c r="B371" s="393">
        <v>93904</v>
      </c>
      <c r="C371" s="499" t="s">
        <v>1082</v>
      </c>
      <c r="D371" s="378">
        <v>3.7135524184443474E-5</v>
      </c>
      <c r="F371" s="495">
        <v>41038.213350948819</v>
      </c>
      <c r="G371" s="495">
        <v>63548.402405948815</v>
      </c>
      <c r="H371" s="495">
        <v>17188.582160948816</v>
      </c>
      <c r="I371" s="495">
        <v>-3847.7819</v>
      </c>
      <c r="J371" s="495">
        <v>0</v>
      </c>
      <c r="M371" s="495">
        <v>17065.727729999999</v>
      </c>
      <c r="N371" s="495">
        <v>17360.651320000001</v>
      </c>
      <c r="O371" s="495">
        <v>9142.6312899999994</v>
      </c>
      <c r="P371" s="495">
        <v>0</v>
      </c>
      <c r="Q371" s="495">
        <v>0</v>
      </c>
      <c r="T371" s="495">
        <v>7023.6593199999998</v>
      </c>
      <c r="U371" s="495">
        <v>31918.321809999998</v>
      </c>
      <c r="V371" s="495">
        <v>-1064.5913599999999</v>
      </c>
      <c r="W371" s="495">
        <v>-3847.7819</v>
      </c>
      <c r="X371" s="495">
        <v>0</v>
      </c>
      <c r="AA371" s="495">
        <v>0</v>
      </c>
      <c r="AB371" s="495">
        <v>0</v>
      </c>
      <c r="AC371" s="495">
        <v>0</v>
      </c>
      <c r="AD371" s="495">
        <v>0</v>
      </c>
      <c r="AE371" s="495">
        <v>0</v>
      </c>
      <c r="AH371" s="495">
        <v>17630.804900948817</v>
      </c>
      <c r="AI371" s="495">
        <v>14269.429275948816</v>
      </c>
      <c r="AJ371" s="495">
        <v>9110.5422309488167</v>
      </c>
      <c r="AK371" s="495">
        <v>0</v>
      </c>
      <c r="AL371" s="495">
        <v>0</v>
      </c>
      <c r="AO371" s="495">
        <v>-681.97859999999855</v>
      </c>
      <c r="AP371" s="495">
        <v>0</v>
      </c>
      <c r="AQ371" s="495">
        <v>0</v>
      </c>
      <c r="AR371" s="495">
        <v>0</v>
      </c>
      <c r="AS371" s="495">
        <v>0</v>
      </c>
    </row>
    <row r="372" spans="1:45">
      <c r="A372" s="390">
        <v>93906</v>
      </c>
      <c r="B372" s="393">
        <v>93906</v>
      </c>
      <c r="C372" s="499" t="s">
        <v>1083</v>
      </c>
      <c r="D372" s="378">
        <v>3.4411494303888436E-3</v>
      </c>
      <c r="F372" s="495">
        <v>2224003.9251362677</v>
      </c>
      <c r="G372" s="495">
        <v>4529998.5831262683</v>
      </c>
      <c r="H372" s="495">
        <v>668216.65406376845</v>
      </c>
      <c r="I372" s="495">
        <v>-356553.5232</v>
      </c>
      <c r="J372" s="495">
        <v>0</v>
      </c>
      <c r="M372" s="495">
        <v>1581390.39744</v>
      </c>
      <c r="N372" s="495">
        <v>1608719.40096</v>
      </c>
      <c r="O372" s="495">
        <v>847199.10912000004</v>
      </c>
      <c r="P372" s="495">
        <v>0</v>
      </c>
      <c r="Q372" s="495">
        <v>0</v>
      </c>
      <c r="T372" s="495">
        <v>650845.22496000002</v>
      </c>
      <c r="U372" s="495">
        <v>2957701.4476800002</v>
      </c>
      <c r="V372" s="495">
        <v>-98650.030079999997</v>
      </c>
      <c r="W372" s="495">
        <v>-356553.5232</v>
      </c>
      <c r="X372" s="495">
        <v>0</v>
      </c>
      <c r="AA372" s="495">
        <v>0</v>
      </c>
      <c r="AB372" s="495">
        <v>0</v>
      </c>
      <c r="AC372" s="495">
        <v>0</v>
      </c>
      <c r="AD372" s="495">
        <v>0</v>
      </c>
      <c r="AE372" s="495">
        <v>0</v>
      </c>
      <c r="AH372" s="495">
        <v>111250.68742499976</v>
      </c>
      <c r="AI372" s="495">
        <v>52145.875425000078</v>
      </c>
      <c r="AJ372" s="495">
        <v>0</v>
      </c>
      <c r="AK372" s="495">
        <v>0</v>
      </c>
      <c r="AL372" s="495">
        <v>0</v>
      </c>
      <c r="AO372" s="495">
        <v>-119482.38468873154</v>
      </c>
      <c r="AP372" s="495">
        <v>-88568.140938731638</v>
      </c>
      <c r="AQ372" s="495">
        <v>-80332.424976231559</v>
      </c>
      <c r="AR372" s="495">
        <v>0</v>
      </c>
      <c r="AS372" s="495">
        <v>0</v>
      </c>
    </row>
    <row r="373" spans="1:45">
      <c r="A373" s="390">
        <v>93908</v>
      </c>
      <c r="B373" s="393">
        <v>93908</v>
      </c>
      <c r="C373" s="499" t="s">
        <v>1084</v>
      </c>
      <c r="D373" s="378">
        <v>5.9012742427771785E-4</v>
      </c>
      <c r="F373" s="495">
        <v>333208.2345274231</v>
      </c>
      <c r="G373" s="495">
        <v>727074.78816742299</v>
      </c>
      <c r="H373" s="495">
        <v>75903.158529923006</v>
      </c>
      <c r="I373" s="495">
        <v>-61145.845200000003</v>
      </c>
      <c r="J373" s="495">
        <v>0</v>
      </c>
      <c r="M373" s="495">
        <v>271194.77484000003</v>
      </c>
      <c r="N373" s="495">
        <v>275881.46256000001</v>
      </c>
      <c r="O373" s="495">
        <v>145287.31932000001</v>
      </c>
      <c r="P373" s="495">
        <v>0</v>
      </c>
      <c r="Q373" s="495">
        <v>0</v>
      </c>
      <c r="T373" s="495">
        <v>111614.32656</v>
      </c>
      <c r="U373" s="495">
        <v>507220.21548000001</v>
      </c>
      <c r="V373" s="495">
        <v>-16917.62688</v>
      </c>
      <c r="W373" s="495">
        <v>-61145.845200000003</v>
      </c>
      <c r="X373" s="495">
        <v>0</v>
      </c>
      <c r="AA373" s="495">
        <v>0</v>
      </c>
      <c r="AB373" s="495">
        <v>0</v>
      </c>
      <c r="AC373" s="495">
        <v>0</v>
      </c>
      <c r="AD373" s="495">
        <v>0</v>
      </c>
      <c r="AE373" s="495">
        <v>0</v>
      </c>
      <c r="AH373" s="495">
        <v>22827.984975000028</v>
      </c>
      <c r="AI373" s="495">
        <v>10893.359475000005</v>
      </c>
      <c r="AJ373" s="495">
        <v>0</v>
      </c>
      <c r="AK373" s="495">
        <v>0</v>
      </c>
      <c r="AL373" s="495">
        <v>0</v>
      </c>
      <c r="AO373" s="495">
        <v>-72428.851847576967</v>
      </c>
      <c r="AP373" s="495">
        <v>-66920.249347576988</v>
      </c>
      <c r="AQ373" s="495">
        <v>-52466.533910077007</v>
      </c>
      <c r="AR373" s="495">
        <v>0</v>
      </c>
      <c r="AS373" s="495">
        <v>0</v>
      </c>
    </row>
    <row r="374" spans="1:45">
      <c r="A374" s="390">
        <v>93910</v>
      </c>
      <c r="B374" s="393">
        <v>93910</v>
      </c>
      <c r="C374" s="499" t="s">
        <v>1085</v>
      </c>
      <c r="D374" s="378">
        <v>2.8532225935013237E-4</v>
      </c>
      <c r="F374" s="495">
        <v>126243.46856834911</v>
      </c>
      <c r="G374" s="495">
        <v>325788.89239834913</v>
      </c>
      <c r="H374" s="495">
        <v>27992.517435849128</v>
      </c>
      <c r="I374" s="495">
        <v>-29563.5664</v>
      </c>
      <c r="J374" s="495">
        <v>0</v>
      </c>
      <c r="M374" s="495">
        <v>131120.67887999999</v>
      </c>
      <c r="N374" s="495">
        <v>133386.65792</v>
      </c>
      <c r="O374" s="495">
        <v>70245.35024</v>
      </c>
      <c r="P374" s="495">
        <v>0</v>
      </c>
      <c r="Q374" s="495">
        <v>0</v>
      </c>
      <c r="T374" s="495">
        <v>53964.70592</v>
      </c>
      <c r="U374" s="495">
        <v>245237.24335999999</v>
      </c>
      <c r="V374" s="495">
        <v>-8179.5481600000003</v>
      </c>
      <c r="W374" s="495">
        <v>-29563.5664</v>
      </c>
      <c r="X374" s="495">
        <v>0</v>
      </c>
      <c r="AA374" s="495">
        <v>0</v>
      </c>
      <c r="AB374" s="495">
        <v>0</v>
      </c>
      <c r="AC374" s="495">
        <v>0</v>
      </c>
      <c r="AD374" s="495">
        <v>0</v>
      </c>
      <c r="AE374" s="495">
        <v>0</v>
      </c>
      <c r="AH374" s="495">
        <v>0</v>
      </c>
      <c r="AI374" s="495">
        <v>0</v>
      </c>
      <c r="AJ374" s="495">
        <v>0</v>
      </c>
      <c r="AK374" s="495">
        <v>0</v>
      </c>
      <c r="AL374" s="495">
        <v>0</v>
      </c>
      <c r="AO374" s="495">
        <v>-58841.916231650888</v>
      </c>
      <c r="AP374" s="495">
        <v>-52835.008881650894</v>
      </c>
      <c r="AQ374" s="495">
        <v>-34073.284644150874</v>
      </c>
      <c r="AR374" s="495">
        <v>0</v>
      </c>
      <c r="AS374" s="495">
        <v>0</v>
      </c>
    </row>
    <row r="375" spans="1:45">
      <c r="A375" s="390">
        <v>93911</v>
      </c>
      <c r="B375" s="393">
        <v>93911</v>
      </c>
      <c r="C375" s="499" t="s">
        <v>1086</v>
      </c>
      <c r="D375" s="378">
        <v>4.9746360153498964E-4</v>
      </c>
      <c r="F375" s="495">
        <v>346330.46751451137</v>
      </c>
      <c r="G375" s="495">
        <v>691886.19315451151</v>
      </c>
      <c r="H375" s="495">
        <v>191279.15846701135</v>
      </c>
      <c r="I375" s="495">
        <v>-51544.525699999998</v>
      </c>
      <c r="J375" s="495">
        <v>0</v>
      </c>
      <c r="M375" s="495">
        <v>228610.88919000002</v>
      </c>
      <c r="N375" s="495">
        <v>232561.65796000001</v>
      </c>
      <c r="O375" s="495">
        <v>122473.83186999999</v>
      </c>
      <c r="P375" s="495">
        <v>0</v>
      </c>
      <c r="Q375" s="495">
        <v>0</v>
      </c>
      <c r="T375" s="495">
        <v>94088.281960000008</v>
      </c>
      <c r="U375" s="495">
        <v>427574.84743000002</v>
      </c>
      <c r="V375" s="495">
        <v>-14261.166080000001</v>
      </c>
      <c r="W375" s="495">
        <v>-51544.525699999998</v>
      </c>
      <c r="X375" s="495">
        <v>0</v>
      </c>
      <c r="AA375" s="495">
        <v>0</v>
      </c>
      <c r="AB375" s="495">
        <v>0</v>
      </c>
      <c r="AC375" s="495">
        <v>0</v>
      </c>
      <c r="AD375" s="495">
        <v>0</v>
      </c>
      <c r="AE375" s="495">
        <v>0</v>
      </c>
      <c r="AH375" s="495">
        <v>106825.72158951133</v>
      </c>
      <c r="AI375" s="495">
        <v>104259.78158951132</v>
      </c>
      <c r="AJ375" s="495">
        <v>83066.492677011338</v>
      </c>
      <c r="AK375" s="495">
        <v>0</v>
      </c>
      <c r="AL375" s="495">
        <v>0</v>
      </c>
      <c r="AO375" s="495">
        <v>-83194.425224999955</v>
      </c>
      <c r="AP375" s="495">
        <v>-72510.093824999902</v>
      </c>
      <c r="AQ375" s="495">
        <v>0</v>
      </c>
      <c r="AR375" s="495">
        <v>0</v>
      </c>
      <c r="AS375" s="495">
        <v>0</v>
      </c>
    </row>
    <row r="376" spans="1:45">
      <c r="A376" s="390">
        <v>93913</v>
      </c>
      <c r="B376" s="393">
        <v>93913</v>
      </c>
      <c r="C376" s="499" t="s">
        <v>1087</v>
      </c>
      <c r="D376" s="378">
        <v>3.3614999761238565E-5</v>
      </c>
      <c r="F376" s="495">
        <v>29469.900671516007</v>
      </c>
      <c r="G376" s="495">
        <v>45831.012031516002</v>
      </c>
      <c r="H376" s="495">
        <v>6334.8867415160166</v>
      </c>
      <c r="I376" s="495">
        <v>-3483.0043000000001</v>
      </c>
      <c r="J376" s="495">
        <v>0</v>
      </c>
      <c r="M376" s="495">
        <v>15447.861809999999</v>
      </c>
      <c r="N376" s="495">
        <v>15714.82604</v>
      </c>
      <c r="O376" s="495">
        <v>8275.89113</v>
      </c>
      <c r="P376" s="495">
        <v>0</v>
      </c>
      <c r="Q376" s="495">
        <v>0</v>
      </c>
      <c r="T376" s="495">
        <v>6357.8020399999996</v>
      </c>
      <c r="U376" s="495">
        <v>28892.399569999998</v>
      </c>
      <c r="V376" s="495">
        <v>-963.66591999999991</v>
      </c>
      <c r="W376" s="495">
        <v>-3483.0043000000001</v>
      </c>
      <c r="X376" s="495">
        <v>0</v>
      </c>
      <c r="AA376" s="495">
        <v>0</v>
      </c>
      <c r="AB376" s="495">
        <v>0</v>
      </c>
      <c r="AC376" s="495">
        <v>0</v>
      </c>
      <c r="AD376" s="495">
        <v>0</v>
      </c>
      <c r="AE376" s="495">
        <v>0</v>
      </c>
      <c r="AH376" s="495">
        <v>10917.576170000002</v>
      </c>
      <c r="AI376" s="495">
        <v>4477.1257700000006</v>
      </c>
      <c r="AJ376" s="495">
        <v>0</v>
      </c>
      <c r="AK376" s="495">
        <v>0</v>
      </c>
      <c r="AL376" s="495">
        <v>0</v>
      </c>
      <c r="AO376" s="495">
        <v>-3253.3393484839917</v>
      </c>
      <c r="AP376" s="495">
        <v>-3253.3393484839917</v>
      </c>
      <c r="AQ376" s="495">
        <v>-977.33846848398389</v>
      </c>
      <c r="AR376" s="495">
        <v>0</v>
      </c>
      <c r="AS376" s="495">
        <v>0</v>
      </c>
    </row>
    <row r="377" spans="1:45">
      <c r="A377" s="390">
        <v>93914</v>
      </c>
      <c r="B377" s="393">
        <v>93914</v>
      </c>
      <c r="C377" s="499" t="s">
        <v>1088</v>
      </c>
      <c r="D377" s="378">
        <v>6.6609568290372502E-6</v>
      </c>
      <c r="F377" s="495">
        <v>8004.0889446086467</v>
      </c>
      <c r="G377" s="495">
        <v>11782.370729608649</v>
      </c>
      <c r="H377" s="495">
        <v>4114.9618046086471</v>
      </c>
      <c r="I377" s="495">
        <v>-690.17579999999998</v>
      </c>
      <c r="J377" s="495">
        <v>0</v>
      </c>
      <c r="M377" s="495">
        <v>3061.0758599999999</v>
      </c>
      <c r="N377" s="495">
        <v>3113.97624</v>
      </c>
      <c r="O377" s="495">
        <v>1639.9117799999999</v>
      </c>
      <c r="P377" s="495">
        <v>0</v>
      </c>
      <c r="Q377" s="495">
        <v>0</v>
      </c>
      <c r="T377" s="495">
        <v>1259.83224</v>
      </c>
      <c r="U377" s="495">
        <v>5725.1824200000001</v>
      </c>
      <c r="V377" s="495">
        <v>-190.95552000000001</v>
      </c>
      <c r="W377" s="495">
        <v>-690.17579999999998</v>
      </c>
      <c r="X377" s="495">
        <v>0</v>
      </c>
      <c r="AA377" s="495">
        <v>0</v>
      </c>
      <c r="AB377" s="495">
        <v>0</v>
      </c>
      <c r="AC377" s="495">
        <v>0</v>
      </c>
      <c r="AD377" s="495">
        <v>0</v>
      </c>
      <c r="AE377" s="495">
        <v>0</v>
      </c>
      <c r="AH377" s="495">
        <v>4246.0546446086473</v>
      </c>
      <c r="AI377" s="495">
        <v>3392.4227696086473</v>
      </c>
      <c r="AJ377" s="495">
        <v>2666.0055446086471</v>
      </c>
      <c r="AK377" s="495">
        <v>0</v>
      </c>
      <c r="AL377" s="495">
        <v>0</v>
      </c>
      <c r="AO377" s="495">
        <v>-562.87380000000053</v>
      </c>
      <c r="AP377" s="495">
        <v>-449.21069999999986</v>
      </c>
      <c r="AQ377" s="495">
        <v>0</v>
      </c>
      <c r="AR377" s="495">
        <v>0</v>
      </c>
      <c r="AS377" s="495">
        <v>0</v>
      </c>
    </row>
    <row r="378" spans="1:45">
      <c r="A378" s="390">
        <v>93921</v>
      </c>
      <c r="B378" s="393">
        <v>93921</v>
      </c>
      <c r="C378" s="499" t="s">
        <v>1089</v>
      </c>
      <c r="D378" s="378">
        <v>2.7713099449642764E-4</v>
      </c>
      <c r="F378" s="495">
        <v>188044.0559716007</v>
      </c>
      <c r="G378" s="495">
        <v>363106.88311160065</v>
      </c>
      <c r="H378" s="495">
        <v>85661.837769100646</v>
      </c>
      <c r="I378" s="495">
        <v>-28714.836700000003</v>
      </c>
      <c r="J378" s="495">
        <v>0</v>
      </c>
      <c r="M378" s="495">
        <v>127356.38289000001</v>
      </c>
      <c r="N378" s="495">
        <v>129557.30876000001</v>
      </c>
      <c r="O378" s="495">
        <v>68228.701970000009</v>
      </c>
      <c r="P378" s="495">
        <v>0</v>
      </c>
      <c r="Q378" s="495">
        <v>0</v>
      </c>
      <c r="T378" s="495">
        <v>52415.45276</v>
      </c>
      <c r="U378" s="495">
        <v>238196.81633</v>
      </c>
      <c r="V378" s="495">
        <v>-7944.7244800000008</v>
      </c>
      <c r="W378" s="495">
        <v>-28714.836700000003</v>
      </c>
      <c r="X378" s="495">
        <v>0</v>
      </c>
      <c r="AA378" s="495">
        <v>0</v>
      </c>
      <c r="AB378" s="495">
        <v>0</v>
      </c>
      <c r="AC378" s="495">
        <v>0</v>
      </c>
      <c r="AD378" s="495">
        <v>0</v>
      </c>
      <c r="AE378" s="495">
        <v>0</v>
      </c>
      <c r="AH378" s="495">
        <v>47324.264656600695</v>
      </c>
      <c r="AI378" s="495">
        <v>29365.494856600657</v>
      </c>
      <c r="AJ378" s="495">
        <v>25377.860279100649</v>
      </c>
      <c r="AK378" s="495">
        <v>0</v>
      </c>
      <c r="AL378" s="495">
        <v>0</v>
      </c>
      <c r="AO378" s="495">
        <v>-39052.044334999999</v>
      </c>
      <c r="AP378" s="495">
        <v>-34012.736835000003</v>
      </c>
      <c r="AQ378" s="495">
        <v>0</v>
      </c>
      <c r="AR378" s="495">
        <v>0</v>
      </c>
      <c r="AS378" s="495">
        <v>0</v>
      </c>
    </row>
    <row r="379" spans="1:45">
      <c r="A379" s="390">
        <v>93931</v>
      </c>
      <c r="B379" s="393">
        <v>93931</v>
      </c>
      <c r="C379" s="499" t="s">
        <v>1090</v>
      </c>
      <c r="D379" s="378">
        <v>5.4202026658321551E-4</v>
      </c>
      <c r="F379" s="495">
        <v>293260.04400108272</v>
      </c>
      <c r="G379" s="495">
        <v>678214.95054108277</v>
      </c>
      <c r="H379" s="495">
        <v>97740.540441082849</v>
      </c>
      <c r="I379" s="495">
        <v>-56161.242200000001</v>
      </c>
      <c r="J379" s="495">
        <v>0</v>
      </c>
      <c r="M379" s="495">
        <v>249087.00474</v>
      </c>
      <c r="N379" s="495">
        <v>253391.63415999999</v>
      </c>
      <c r="O379" s="495">
        <v>133443.51201999999</v>
      </c>
      <c r="P379" s="495">
        <v>0</v>
      </c>
      <c r="Q379" s="495">
        <v>0</v>
      </c>
      <c r="T379" s="495">
        <v>102515.53816</v>
      </c>
      <c r="U379" s="495">
        <v>465871.67577999999</v>
      </c>
      <c r="V379" s="495">
        <v>-15538.50368</v>
      </c>
      <c r="W379" s="495">
        <v>-56161.242200000001</v>
      </c>
      <c r="X379" s="495">
        <v>0</v>
      </c>
      <c r="AA379" s="495">
        <v>0</v>
      </c>
      <c r="AB379" s="495">
        <v>0</v>
      </c>
      <c r="AC379" s="495">
        <v>0</v>
      </c>
      <c r="AD379" s="495">
        <v>0</v>
      </c>
      <c r="AE379" s="495">
        <v>0</v>
      </c>
      <c r="AH379" s="495">
        <v>0</v>
      </c>
      <c r="AI379" s="495">
        <v>0</v>
      </c>
      <c r="AJ379" s="495">
        <v>0</v>
      </c>
      <c r="AK379" s="495">
        <v>0</v>
      </c>
      <c r="AL379" s="495">
        <v>0</v>
      </c>
      <c r="AO379" s="495">
        <v>-58342.498898917271</v>
      </c>
      <c r="AP379" s="495">
        <v>-41048.359398917208</v>
      </c>
      <c r="AQ379" s="495">
        <v>-20164.467898917159</v>
      </c>
      <c r="AR379" s="495">
        <v>0</v>
      </c>
      <c r="AS379" s="495">
        <v>0</v>
      </c>
    </row>
    <row r="380" spans="1:45">
      <c r="A380" s="390">
        <v>94001</v>
      </c>
      <c r="B380" s="393">
        <v>94001</v>
      </c>
      <c r="C380" s="499" t="s">
        <v>1091</v>
      </c>
      <c r="D380" s="378">
        <v>1.0952621491313191E-3</v>
      </c>
      <c r="F380" s="495">
        <v>741511.23745535745</v>
      </c>
      <c r="G380" s="495">
        <v>1539155.4935803572</v>
      </c>
      <c r="H380" s="495">
        <v>287152.12651785748</v>
      </c>
      <c r="I380" s="495">
        <v>-113485.21299999999</v>
      </c>
      <c r="J380" s="495">
        <v>0</v>
      </c>
      <c r="M380" s="495">
        <v>503330.95709999994</v>
      </c>
      <c r="N380" s="495">
        <v>512029.33639999997</v>
      </c>
      <c r="O380" s="495">
        <v>269649.75829999999</v>
      </c>
      <c r="P380" s="495">
        <v>0</v>
      </c>
      <c r="Q380" s="495">
        <v>0</v>
      </c>
      <c r="T380" s="495">
        <v>207153.49639999997</v>
      </c>
      <c r="U380" s="495">
        <v>941388.47869999986</v>
      </c>
      <c r="V380" s="495">
        <v>-31398.707199999997</v>
      </c>
      <c r="W380" s="495">
        <v>-113485.21299999999</v>
      </c>
      <c r="X380" s="495">
        <v>0</v>
      </c>
      <c r="AA380" s="495">
        <v>0</v>
      </c>
      <c r="AB380" s="495">
        <v>0</v>
      </c>
      <c r="AC380" s="495">
        <v>0</v>
      </c>
      <c r="AD380" s="495">
        <v>0</v>
      </c>
      <c r="AE380" s="495">
        <v>0</v>
      </c>
      <c r="AH380" s="495">
        <v>92754.441017857564</v>
      </c>
      <c r="AI380" s="495">
        <v>92736.552892857566</v>
      </c>
      <c r="AJ380" s="495">
        <v>48901.075417857486</v>
      </c>
      <c r="AK380" s="495">
        <v>0</v>
      </c>
      <c r="AL380" s="495">
        <v>0</v>
      </c>
      <c r="AO380" s="495">
        <v>-61727.657062500046</v>
      </c>
      <c r="AP380" s="495">
        <v>-6998.8744125000376</v>
      </c>
      <c r="AQ380" s="495">
        <v>0</v>
      </c>
      <c r="AR380" s="495">
        <v>0</v>
      </c>
      <c r="AS380" s="495">
        <v>0</v>
      </c>
    </row>
    <row r="381" spans="1:45">
      <c r="A381" s="390">
        <v>94002</v>
      </c>
      <c r="B381" s="393">
        <v>94002</v>
      </c>
      <c r="C381" s="499" t="s">
        <v>1092</v>
      </c>
      <c r="D381" s="378">
        <v>1.9503082202887365E-6</v>
      </c>
      <c r="F381" s="495">
        <v>3211.1836093448765</v>
      </c>
      <c r="G381" s="495">
        <v>3895.2316093448762</v>
      </c>
      <c r="H381" s="495">
        <v>1388.9041968448755</v>
      </c>
      <c r="I381" s="495">
        <v>-202.07849999999999</v>
      </c>
      <c r="J381" s="495">
        <v>0</v>
      </c>
      <c r="M381" s="495">
        <v>896.26094999999998</v>
      </c>
      <c r="N381" s="495">
        <v>911.74979999999994</v>
      </c>
      <c r="O381" s="495">
        <v>480.15434999999997</v>
      </c>
      <c r="P381" s="495">
        <v>0</v>
      </c>
      <c r="Q381" s="495">
        <v>0</v>
      </c>
      <c r="T381" s="495">
        <v>368.8698</v>
      </c>
      <c r="U381" s="495">
        <v>1676.29215</v>
      </c>
      <c r="V381" s="495">
        <v>-55.910399999999996</v>
      </c>
      <c r="W381" s="495">
        <v>-202.07849999999999</v>
      </c>
      <c r="X381" s="495">
        <v>0</v>
      </c>
      <c r="AA381" s="495">
        <v>0</v>
      </c>
      <c r="AB381" s="495">
        <v>0</v>
      </c>
      <c r="AC381" s="495">
        <v>0</v>
      </c>
      <c r="AD381" s="495">
        <v>0</v>
      </c>
      <c r="AE381" s="495">
        <v>0</v>
      </c>
      <c r="AH381" s="495">
        <v>3148.0293343448757</v>
      </c>
      <c r="AI381" s="495">
        <v>2168.1768343448757</v>
      </c>
      <c r="AJ381" s="495">
        <v>964.66024684487559</v>
      </c>
      <c r="AK381" s="495">
        <v>0</v>
      </c>
      <c r="AL381" s="495">
        <v>0</v>
      </c>
      <c r="AO381" s="495">
        <v>-1201.9764749999995</v>
      </c>
      <c r="AP381" s="495">
        <v>-860.98717499999952</v>
      </c>
      <c r="AQ381" s="495">
        <v>0</v>
      </c>
      <c r="AR381" s="495">
        <v>0</v>
      </c>
      <c r="AS381" s="495">
        <v>0</v>
      </c>
    </row>
    <row r="382" spans="1:45">
      <c r="A382" s="390">
        <v>94004</v>
      </c>
      <c r="B382" s="393">
        <v>94004</v>
      </c>
      <c r="C382" s="499" t="s">
        <v>1093</v>
      </c>
      <c r="D382" s="378">
        <v>1.0871640528127081E-5</v>
      </c>
      <c r="F382" s="495">
        <v>11149.224911771169</v>
      </c>
      <c r="G382" s="495">
        <v>18068.15113177117</v>
      </c>
      <c r="H382" s="495">
        <v>5301.5516967711701</v>
      </c>
      <c r="I382" s="495">
        <v>-1126.4580999999998</v>
      </c>
      <c r="J382" s="495">
        <v>0</v>
      </c>
      <c r="M382" s="495">
        <v>4996.0802699999995</v>
      </c>
      <c r="N382" s="495">
        <v>5082.4206799999993</v>
      </c>
      <c r="O382" s="495">
        <v>2676.5527099999999</v>
      </c>
      <c r="P382" s="495">
        <v>0</v>
      </c>
      <c r="Q382" s="495">
        <v>0</v>
      </c>
      <c r="T382" s="495">
        <v>2056.2126799999996</v>
      </c>
      <c r="U382" s="495">
        <v>9344.2541899999997</v>
      </c>
      <c r="V382" s="495">
        <v>-311.66463999999996</v>
      </c>
      <c r="W382" s="495">
        <v>-1126.4580999999998</v>
      </c>
      <c r="X382" s="495">
        <v>0</v>
      </c>
      <c r="AA382" s="495">
        <v>0</v>
      </c>
      <c r="AB382" s="495">
        <v>0</v>
      </c>
      <c r="AC382" s="495">
        <v>0</v>
      </c>
      <c r="AD382" s="495">
        <v>0</v>
      </c>
      <c r="AE382" s="495">
        <v>0</v>
      </c>
      <c r="AH382" s="495">
        <v>4932.05303177117</v>
      </c>
      <c r="AI382" s="495">
        <v>4135.6080317711694</v>
      </c>
      <c r="AJ382" s="495">
        <v>2936.6636267711701</v>
      </c>
      <c r="AK382" s="495">
        <v>0</v>
      </c>
      <c r="AL382" s="495">
        <v>0</v>
      </c>
      <c r="AO382" s="495">
        <v>-835.12107000000071</v>
      </c>
      <c r="AP382" s="495">
        <v>-494.13177000000053</v>
      </c>
      <c r="AQ382" s="495">
        <v>0</v>
      </c>
      <c r="AR382" s="495">
        <v>0</v>
      </c>
      <c r="AS382" s="495">
        <v>0</v>
      </c>
    </row>
    <row r="383" spans="1:45">
      <c r="A383" s="390">
        <v>94005</v>
      </c>
      <c r="B383" s="393">
        <v>94005</v>
      </c>
      <c r="C383" s="499" t="s">
        <v>1094</v>
      </c>
      <c r="D383" s="378">
        <v>1.1491775045151798E-5</v>
      </c>
      <c r="F383" s="495">
        <v>9355.6190587167239</v>
      </c>
      <c r="G383" s="495">
        <v>16825.080498716721</v>
      </c>
      <c r="H383" s="495">
        <v>307.10409371672404</v>
      </c>
      <c r="I383" s="495">
        <v>-1190.7086999999999</v>
      </c>
      <c r="J383" s="495">
        <v>0</v>
      </c>
      <c r="M383" s="495">
        <v>5281.04529</v>
      </c>
      <c r="N383" s="495">
        <v>5372.3103600000004</v>
      </c>
      <c r="O383" s="495">
        <v>2829.2171699999999</v>
      </c>
      <c r="P383" s="495">
        <v>0</v>
      </c>
      <c r="Q383" s="495">
        <v>0</v>
      </c>
      <c r="T383" s="495">
        <v>2173.4943600000001</v>
      </c>
      <c r="U383" s="495">
        <v>9877.2291299999997</v>
      </c>
      <c r="V383" s="495">
        <v>-329.44128000000001</v>
      </c>
      <c r="W383" s="495">
        <v>-1190.7086999999999</v>
      </c>
      <c r="X383" s="495">
        <v>0</v>
      </c>
      <c r="AA383" s="495">
        <v>0</v>
      </c>
      <c r="AB383" s="495">
        <v>0</v>
      </c>
      <c r="AC383" s="495">
        <v>0</v>
      </c>
      <c r="AD383" s="495">
        <v>0</v>
      </c>
      <c r="AE383" s="495">
        <v>0</v>
      </c>
      <c r="AH383" s="495">
        <v>4982.3559899999991</v>
      </c>
      <c r="AI383" s="495">
        <v>4656.8175899999987</v>
      </c>
      <c r="AJ383" s="495">
        <v>0</v>
      </c>
      <c r="AK383" s="495">
        <v>0</v>
      </c>
      <c r="AL383" s="495">
        <v>0</v>
      </c>
      <c r="AO383" s="495">
        <v>-3081.2765812832754</v>
      </c>
      <c r="AP383" s="495">
        <v>-3081.2765812832754</v>
      </c>
      <c r="AQ383" s="495">
        <v>-2192.6717962832759</v>
      </c>
      <c r="AR383" s="495">
        <v>0</v>
      </c>
      <c r="AS383" s="495">
        <v>0</v>
      </c>
    </row>
    <row r="384" spans="1:45">
      <c r="A384" s="390">
        <v>94011</v>
      </c>
      <c r="B384" s="393">
        <v>94011</v>
      </c>
      <c r="C384" s="499" t="s">
        <v>1095</v>
      </c>
      <c r="D384" s="378">
        <v>2.0933100530543164E-5</v>
      </c>
      <c r="F384" s="495">
        <v>4533.3652569683218</v>
      </c>
      <c r="G384" s="495">
        <v>18410.060936968322</v>
      </c>
      <c r="H384" s="495">
        <v>2397.2754394683188</v>
      </c>
      <c r="I384" s="495">
        <v>-2168.9758999999999</v>
      </c>
      <c r="J384" s="495">
        <v>0</v>
      </c>
      <c r="M384" s="495">
        <v>9619.8675300000014</v>
      </c>
      <c r="N384" s="495">
        <v>9786.114520000001</v>
      </c>
      <c r="O384" s="495">
        <v>5153.6566900000007</v>
      </c>
      <c r="P384" s="495">
        <v>0</v>
      </c>
      <c r="Q384" s="495">
        <v>0</v>
      </c>
      <c r="T384" s="495">
        <v>3959.2025200000003</v>
      </c>
      <c r="U384" s="495">
        <v>17992.202410000002</v>
      </c>
      <c r="V384" s="495">
        <v>-600.10496000000001</v>
      </c>
      <c r="W384" s="495">
        <v>-2168.9758999999999</v>
      </c>
      <c r="X384" s="495">
        <v>0</v>
      </c>
      <c r="AA384" s="495">
        <v>0</v>
      </c>
      <c r="AB384" s="495">
        <v>0</v>
      </c>
      <c r="AC384" s="495">
        <v>0</v>
      </c>
      <c r="AD384" s="495">
        <v>0</v>
      </c>
      <c r="AE384" s="495">
        <v>0</v>
      </c>
      <c r="AH384" s="495">
        <v>1648.1149499999992</v>
      </c>
      <c r="AI384" s="495">
        <v>0</v>
      </c>
      <c r="AJ384" s="495">
        <v>0</v>
      </c>
      <c r="AK384" s="495">
        <v>0</v>
      </c>
      <c r="AL384" s="495">
        <v>0</v>
      </c>
      <c r="AO384" s="495">
        <v>-10693.81974303168</v>
      </c>
      <c r="AP384" s="495">
        <v>-9368.2559930316802</v>
      </c>
      <c r="AQ384" s="495">
        <v>-2156.2762905316822</v>
      </c>
      <c r="AR384" s="495">
        <v>0</v>
      </c>
      <c r="AS384" s="495">
        <v>0</v>
      </c>
    </row>
    <row r="385" spans="1:45">
      <c r="A385" s="390">
        <v>94021</v>
      </c>
      <c r="B385" s="393">
        <v>94021</v>
      </c>
      <c r="C385" s="499" t="s">
        <v>1096</v>
      </c>
      <c r="D385" s="378">
        <v>7.3040867647554666E-5</v>
      </c>
      <c r="F385" s="495">
        <v>37051.475803118577</v>
      </c>
      <c r="G385" s="495">
        <v>90485.056483118577</v>
      </c>
      <c r="H385" s="495">
        <v>5453.5421931185665</v>
      </c>
      <c r="I385" s="495">
        <v>-7568.0989</v>
      </c>
      <c r="J385" s="495">
        <v>0</v>
      </c>
      <c r="M385" s="495">
        <v>33566.121630000001</v>
      </c>
      <c r="N385" s="495">
        <v>34146.198919999995</v>
      </c>
      <c r="O385" s="495">
        <v>17982.395990000001</v>
      </c>
      <c r="P385" s="495">
        <v>0</v>
      </c>
      <c r="Q385" s="495">
        <v>0</v>
      </c>
      <c r="T385" s="495">
        <v>13814.646919999999</v>
      </c>
      <c r="U385" s="495">
        <v>62779.290109999994</v>
      </c>
      <c r="V385" s="495">
        <v>-2093.9161599999998</v>
      </c>
      <c r="W385" s="495">
        <v>-7568.0989</v>
      </c>
      <c r="X385" s="495">
        <v>0</v>
      </c>
      <c r="AA385" s="495">
        <v>0</v>
      </c>
      <c r="AB385" s="495">
        <v>0</v>
      </c>
      <c r="AC385" s="495">
        <v>0</v>
      </c>
      <c r="AD385" s="495">
        <v>0</v>
      </c>
      <c r="AE385" s="495">
        <v>0</v>
      </c>
      <c r="AH385" s="495">
        <v>6844.5186200000098</v>
      </c>
      <c r="AI385" s="495">
        <v>5959.5286200000082</v>
      </c>
      <c r="AJ385" s="495">
        <v>0</v>
      </c>
      <c r="AK385" s="495">
        <v>0</v>
      </c>
      <c r="AL385" s="495">
        <v>0</v>
      </c>
      <c r="AO385" s="495">
        <v>-17173.811366881429</v>
      </c>
      <c r="AP385" s="495">
        <v>-12399.961166881432</v>
      </c>
      <c r="AQ385" s="495">
        <v>-10434.937636881434</v>
      </c>
      <c r="AR385" s="495">
        <v>0</v>
      </c>
      <c r="AS385" s="495">
        <v>0</v>
      </c>
    </row>
    <row r="386" spans="1:45">
      <c r="A386" s="390">
        <v>94031</v>
      </c>
      <c r="B386" s="393">
        <v>94031</v>
      </c>
      <c r="C386" s="499" t="s">
        <v>1097</v>
      </c>
      <c r="D386" s="378">
        <v>2.1403542289750191E-6</v>
      </c>
      <c r="F386" s="495">
        <v>2606.1572914733488</v>
      </c>
      <c r="G386" s="495">
        <v>2513.0500064733483</v>
      </c>
      <c r="H386" s="495">
        <v>-251.03990602665147</v>
      </c>
      <c r="I386" s="495">
        <v>-221.76819999999998</v>
      </c>
      <c r="J386" s="495">
        <v>0</v>
      </c>
      <c r="M386" s="495">
        <v>983.58893999999998</v>
      </c>
      <c r="N386" s="495">
        <v>1000.58696</v>
      </c>
      <c r="O386" s="495">
        <v>526.93862000000001</v>
      </c>
      <c r="P386" s="495">
        <v>0</v>
      </c>
      <c r="Q386" s="495">
        <v>0</v>
      </c>
      <c r="T386" s="495">
        <v>404.81095999999997</v>
      </c>
      <c r="U386" s="495">
        <v>1839.6231799999998</v>
      </c>
      <c r="V386" s="495">
        <v>-61.358079999999994</v>
      </c>
      <c r="W386" s="495">
        <v>-221.76819999999998</v>
      </c>
      <c r="X386" s="495">
        <v>0</v>
      </c>
      <c r="AA386" s="495">
        <v>0</v>
      </c>
      <c r="AB386" s="495">
        <v>0</v>
      </c>
      <c r="AC386" s="495">
        <v>0</v>
      </c>
      <c r="AD386" s="495">
        <v>0</v>
      </c>
      <c r="AE386" s="495">
        <v>0</v>
      </c>
      <c r="AH386" s="495">
        <v>2684.4227624999994</v>
      </c>
      <c r="AI386" s="495">
        <v>1025.8421374999998</v>
      </c>
      <c r="AJ386" s="495">
        <v>0</v>
      </c>
      <c r="AK386" s="495">
        <v>0</v>
      </c>
      <c r="AL386" s="495">
        <v>0</v>
      </c>
      <c r="AO386" s="495">
        <v>-1466.6653710266507</v>
      </c>
      <c r="AP386" s="495">
        <v>-1353.0022710266512</v>
      </c>
      <c r="AQ386" s="495">
        <v>-716.62044602665151</v>
      </c>
      <c r="AR386" s="495">
        <v>0</v>
      </c>
      <c r="AS386" s="495">
        <v>0</v>
      </c>
    </row>
    <row r="387" spans="1:45">
      <c r="A387" s="390">
        <v>94101</v>
      </c>
      <c r="B387" s="393">
        <v>94101</v>
      </c>
      <c r="C387" s="499" t="s">
        <v>1098</v>
      </c>
      <c r="D387" s="378">
        <v>2.065772801796786E-2</v>
      </c>
      <c r="F387" s="495">
        <v>15238156.313548937</v>
      </c>
      <c r="G387" s="495">
        <v>28879552.107018944</v>
      </c>
      <c r="H387" s="495">
        <v>4816958.4697989384</v>
      </c>
      <c r="I387" s="495">
        <v>-2140443.4520999999</v>
      </c>
      <c r="J387" s="495">
        <v>0</v>
      </c>
      <c r="M387" s="495">
        <v>9493320.0800700001</v>
      </c>
      <c r="N387" s="495">
        <v>9657380.1238800008</v>
      </c>
      <c r="O387" s="495">
        <v>5085861.3581100004</v>
      </c>
      <c r="P387" s="495">
        <v>0</v>
      </c>
      <c r="Q387" s="495">
        <v>0</v>
      </c>
      <c r="T387" s="495">
        <v>3907119.9958799998</v>
      </c>
      <c r="U387" s="495">
        <v>17755518.554790001</v>
      </c>
      <c r="V387" s="495">
        <v>-592210.69824000006</v>
      </c>
      <c r="W387" s="495">
        <v>-2140443.4520999999</v>
      </c>
      <c r="X387" s="495">
        <v>0</v>
      </c>
      <c r="AA387" s="495">
        <v>0</v>
      </c>
      <c r="AB387" s="495">
        <v>0</v>
      </c>
      <c r="AC387" s="495">
        <v>0</v>
      </c>
      <c r="AD387" s="495">
        <v>0</v>
      </c>
      <c r="AE387" s="495">
        <v>0</v>
      </c>
      <c r="AH387" s="495">
        <v>2073357.6260389364</v>
      </c>
      <c r="AI387" s="495">
        <v>1702294.8167889379</v>
      </c>
      <c r="AJ387" s="495">
        <v>323307.80992893782</v>
      </c>
      <c r="AK387" s="495">
        <v>0</v>
      </c>
      <c r="AL387" s="495">
        <v>0</v>
      </c>
      <c r="AO387" s="495">
        <v>-235641.38843999896</v>
      </c>
      <c r="AP387" s="495">
        <v>-235641.38843999896</v>
      </c>
      <c r="AQ387" s="495">
        <v>0</v>
      </c>
      <c r="AR387" s="495">
        <v>0</v>
      </c>
      <c r="AS387" s="495">
        <v>0</v>
      </c>
    </row>
    <row r="388" spans="1:45">
      <c r="A388" s="390">
        <v>94102</v>
      </c>
      <c r="B388" s="393">
        <v>94102</v>
      </c>
      <c r="C388" s="499" t="s">
        <v>1099</v>
      </c>
      <c r="D388" s="378">
        <v>3.4854156113738315E-4</v>
      </c>
      <c r="F388" s="495">
        <v>166086.49340895918</v>
      </c>
      <c r="G388" s="495">
        <v>398429.21352395922</v>
      </c>
      <c r="H388" s="495">
        <v>62198.650908959178</v>
      </c>
      <c r="I388" s="495">
        <v>-36114.018700000001</v>
      </c>
      <c r="J388" s="495">
        <v>0</v>
      </c>
      <c r="M388" s="495">
        <v>160173.32229000001</v>
      </c>
      <c r="N388" s="495">
        <v>162941.37836</v>
      </c>
      <c r="O388" s="495">
        <v>85809.738170000011</v>
      </c>
      <c r="P388" s="495">
        <v>0</v>
      </c>
      <c r="Q388" s="495">
        <v>0</v>
      </c>
      <c r="T388" s="495">
        <v>65921.762360000008</v>
      </c>
      <c r="U388" s="495">
        <v>299574.89813000005</v>
      </c>
      <c r="V388" s="495">
        <v>-9991.9052800000009</v>
      </c>
      <c r="W388" s="495">
        <v>-36114.018700000001</v>
      </c>
      <c r="X388" s="495">
        <v>0</v>
      </c>
      <c r="AA388" s="495">
        <v>0</v>
      </c>
      <c r="AB388" s="495">
        <v>0</v>
      </c>
      <c r="AC388" s="495">
        <v>0</v>
      </c>
      <c r="AD388" s="495">
        <v>0</v>
      </c>
      <c r="AE388" s="495">
        <v>0</v>
      </c>
      <c r="AH388" s="495">
        <v>27676.964850000033</v>
      </c>
      <c r="AI388" s="495">
        <v>0</v>
      </c>
      <c r="AJ388" s="495">
        <v>0</v>
      </c>
      <c r="AK388" s="495">
        <v>0</v>
      </c>
      <c r="AL388" s="495">
        <v>0</v>
      </c>
      <c r="AO388" s="495">
        <v>-87685.556091040882</v>
      </c>
      <c r="AP388" s="495">
        <v>-64087.062966040881</v>
      </c>
      <c r="AQ388" s="495">
        <v>-13619.181981040825</v>
      </c>
      <c r="AR388" s="495">
        <v>0</v>
      </c>
      <c r="AS388" s="495">
        <v>0</v>
      </c>
    </row>
    <row r="389" spans="1:45">
      <c r="A389" s="390">
        <v>94108</v>
      </c>
      <c r="B389" s="393">
        <v>94108</v>
      </c>
      <c r="C389" s="499" t="s">
        <v>1100</v>
      </c>
      <c r="D389" s="378">
        <v>3.7521550503414366E-4</v>
      </c>
      <c r="F389" s="495">
        <v>150923.72761022992</v>
      </c>
      <c r="G389" s="495">
        <v>417007.52524522995</v>
      </c>
      <c r="H389" s="495">
        <v>42083.072482729847</v>
      </c>
      <c r="I389" s="495">
        <v>-38877.830799999996</v>
      </c>
      <c r="J389" s="495">
        <v>0</v>
      </c>
      <c r="M389" s="495">
        <v>172431.41436</v>
      </c>
      <c r="N389" s="495">
        <v>175411.31023999999</v>
      </c>
      <c r="O389" s="495">
        <v>92376.77227999999</v>
      </c>
      <c r="P389" s="495">
        <v>0</v>
      </c>
      <c r="Q389" s="495">
        <v>0</v>
      </c>
      <c r="T389" s="495">
        <v>70966.766239999997</v>
      </c>
      <c r="U389" s="495">
        <v>322501.41691999999</v>
      </c>
      <c r="V389" s="495">
        <v>-10756.587519999999</v>
      </c>
      <c r="W389" s="495">
        <v>-38877.830799999996</v>
      </c>
      <c r="X389" s="495">
        <v>0</v>
      </c>
      <c r="AA389" s="495">
        <v>0</v>
      </c>
      <c r="AB389" s="495">
        <v>0</v>
      </c>
      <c r="AC389" s="495">
        <v>0</v>
      </c>
      <c r="AD389" s="495">
        <v>0</v>
      </c>
      <c r="AE389" s="495">
        <v>0</v>
      </c>
      <c r="AH389" s="495">
        <v>11991.457049999997</v>
      </c>
      <c r="AI389" s="495">
        <v>0</v>
      </c>
      <c r="AJ389" s="495">
        <v>0</v>
      </c>
      <c r="AK389" s="495">
        <v>0</v>
      </c>
      <c r="AL389" s="495">
        <v>0</v>
      </c>
      <c r="AO389" s="495">
        <v>-104465.91003977005</v>
      </c>
      <c r="AP389" s="495">
        <v>-80905.201914770048</v>
      </c>
      <c r="AQ389" s="495">
        <v>-39537.112277270142</v>
      </c>
      <c r="AR389" s="495">
        <v>0</v>
      </c>
      <c r="AS389" s="495">
        <v>0</v>
      </c>
    </row>
    <row r="390" spans="1:45">
      <c r="A390" s="390">
        <v>94109</v>
      </c>
      <c r="B390" s="393">
        <v>94109</v>
      </c>
      <c r="C390" s="499" t="s">
        <v>1101</v>
      </c>
      <c r="D390" s="378">
        <v>1.1343684548765656E-4</v>
      </c>
      <c r="F390" s="495">
        <v>68007.029348087497</v>
      </c>
      <c r="G390" s="495">
        <v>139149.36216808751</v>
      </c>
      <c r="H390" s="495">
        <v>11831.634120587516</v>
      </c>
      <c r="I390" s="495">
        <v>-11753.714599999999</v>
      </c>
      <c r="J390" s="495">
        <v>0</v>
      </c>
      <c r="M390" s="495">
        <v>52130.213819999997</v>
      </c>
      <c r="N390" s="495">
        <v>53031.10888</v>
      </c>
      <c r="O390" s="495">
        <v>27927.746859999999</v>
      </c>
      <c r="P390" s="495">
        <v>0</v>
      </c>
      <c r="Q390" s="495">
        <v>0</v>
      </c>
      <c r="T390" s="495">
        <v>21454.980879999999</v>
      </c>
      <c r="U390" s="495">
        <v>97500.028539999999</v>
      </c>
      <c r="V390" s="495">
        <v>-3251.9782399999999</v>
      </c>
      <c r="W390" s="495">
        <v>-11753.714599999999</v>
      </c>
      <c r="X390" s="495">
        <v>0</v>
      </c>
      <c r="AA390" s="495">
        <v>0</v>
      </c>
      <c r="AB390" s="495">
        <v>0</v>
      </c>
      <c r="AC390" s="495">
        <v>0</v>
      </c>
      <c r="AD390" s="495">
        <v>0</v>
      </c>
      <c r="AE390" s="495">
        <v>0</v>
      </c>
      <c r="AH390" s="495">
        <v>15710.058554999978</v>
      </c>
      <c r="AI390" s="495">
        <v>6730.6736549999878</v>
      </c>
      <c r="AJ390" s="495">
        <v>0</v>
      </c>
      <c r="AK390" s="495">
        <v>0</v>
      </c>
      <c r="AL390" s="495">
        <v>0</v>
      </c>
      <c r="AO390" s="495">
        <v>-21288.223906912484</v>
      </c>
      <c r="AP390" s="495">
        <v>-18112.448906912483</v>
      </c>
      <c r="AQ390" s="495">
        <v>-12844.134499412483</v>
      </c>
      <c r="AR390" s="495">
        <v>0</v>
      </c>
      <c r="AS390" s="495">
        <v>0</v>
      </c>
    </row>
    <row r="391" spans="1:45">
      <c r="A391" s="390">
        <v>94111</v>
      </c>
      <c r="B391" s="393">
        <v>94111</v>
      </c>
      <c r="C391" s="499" t="s">
        <v>1102</v>
      </c>
      <c r="D391" s="378">
        <v>2.3443890481329957E-2</v>
      </c>
      <c r="F391" s="495">
        <v>15702604.534168798</v>
      </c>
      <c r="G391" s="495">
        <v>31535907.218463797</v>
      </c>
      <c r="H391" s="495">
        <v>5775575.6591213001</v>
      </c>
      <c r="I391" s="495">
        <v>-2429130.7245999998</v>
      </c>
      <c r="J391" s="495">
        <v>0</v>
      </c>
      <c r="M391" s="495">
        <v>10773709.280820001</v>
      </c>
      <c r="N391" s="495">
        <v>10959896.53688</v>
      </c>
      <c r="O391" s="495">
        <v>5771804.9378599999</v>
      </c>
      <c r="P391" s="495">
        <v>0</v>
      </c>
      <c r="Q391" s="495">
        <v>0</v>
      </c>
      <c r="T391" s="495">
        <v>4434083.6088800002</v>
      </c>
      <c r="U391" s="495">
        <v>20150252.327539999</v>
      </c>
      <c r="V391" s="495">
        <v>-672083.72224000003</v>
      </c>
      <c r="W391" s="495">
        <v>-2429130.7245999998</v>
      </c>
      <c r="X391" s="495">
        <v>0</v>
      </c>
      <c r="AA391" s="495">
        <v>0</v>
      </c>
      <c r="AB391" s="495">
        <v>0</v>
      </c>
      <c r="AC391" s="495">
        <v>0</v>
      </c>
      <c r="AD391" s="495">
        <v>0</v>
      </c>
      <c r="AE391" s="495">
        <v>0</v>
      </c>
      <c r="AH391" s="495">
        <v>845143.5825538002</v>
      </c>
      <c r="AI391" s="495">
        <v>776090.29212880041</v>
      </c>
      <c r="AJ391" s="495">
        <v>675854.44350130018</v>
      </c>
      <c r="AK391" s="495">
        <v>0</v>
      </c>
      <c r="AL391" s="495">
        <v>0</v>
      </c>
      <c r="AO391" s="495">
        <v>-350331.93808500213</v>
      </c>
      <c r="AP391" s="495">
        <v>-350331.93808500213</v>
      </c>
      <c r="AQ391" s="495">
        <v>0</v>
      </c>
      <c r="AR391" s="495">
        <v>0</v>
      </c>
      <c r="AS391" s="495">
        <v>0</v>
      </c>
    </row>
    <row r="392" spans="1:45">
      <c r="A392" s="390">
        <v>94112</v>
      </c>
      <c r="B392" s="393">
        <v>94112</v>
      </c>
      <c r="C392" s="499" t="s">
        <v>1103</v>
      </c>
      <c r="D392" s="378">
        <v>1.6178389732427105E-4</v>
      </c>
      <c r="F392" s="495">
        <v>124075.30280711636</v>
      </c>
      <c r="G392" s="495">
        <v>238816.90671711639</v>
      </c>
      <c r="H392" s="495">
        <v>31829.849912116362</v>
      </c>
      <c r="I392" s="495">
        <v>-16763.1888</v>
      </c>
      <c r="J392" s="495">
        <v>0</v>
      </c>
      <c r="M392" s="495">
        <v>74348.292959999992</v>
      </c>
      <c r="N392" s="495">
        <v>75633.15264</v>
      </c>
      <c r="O392" s="495">
        <v>39830.650079999999</v>
      </c>
      <c r="P392" s="495">
        <v>0</v>
      </c>
      <c r="Q392" s="495">
        <v>0</v>
      </c>
      <c r="T392" s="495">
        <v>30599.16864</v>
      </c>
      <c r="U392" s="495">
        <v>139054.88112000001</v>
      </c>
      <c r="V392" s="495">
        <v>-4637.98272</v>
      </c>
      <c r="W392" s="495">
        <v>-16763.1888</v>
      </c>
      <c r="X392" s="495">
        <v>0</v>
      </c>
      <c r="AA392" s="495">
        <v>0</v>
      </c>
      <c r="AB392" s="495">
        <v>0</v>
      </c>
      <c r="AC392" s="495">
        <v>0</v>
      </c>
      <c r="AD392" s="495">
        <v>0</v>
      </c>
      <c r="AE392" s="495">
        <v>0</v>
      </c>
      <c r="AH392" s="495">
        <v>33378.842090000013</v>
      </c>
      <c r="AI392" s="495">
        <v>27866.037090000013</v>
      </c>
      <c r="AJ392" s="495">
        <v>0</v>
      </c>
      <c r="AK392" s="495">
        <v>0</v>
      </c>
      <c r="AL392" s="495">
        <v>0</v>
      </c>
      <c r="AO392" s="495">
        <v>-14251.000882883645</v>
      </c>
      <c r="AP392" s="495">
        <v>-3737.1641328836358</v>
      </c>
      <c r="AQ392" s="495">
        <v>-3362.817447883639</v>
      </c>
      <c r="AR392" s="495">
        <v>0</v>
      </c>
      <c r="AS392" s="495">
        <v>0</v>
      </c>
    </row>
    <row r="393" spans="1:45">
      <c r="A393" s="390">
        <v>94117</v>
      </c>
      <c r="B393" s="393">
        <v>94117</v>
      </c>
      <c r="C393" s="499" t="s">
        <v>1104</v>
      </c>
      <c r="D393" s="378">
        <v>4.2447287873594079E-4</v>
      </c>
      <c r="F393" s="495">
        <v>312944.17496195307</v>
      </c>
      <c r="G393" s="495">
        <v>558984.43824695307</v>
      </c>
      <c r="H393" s="495">
        <v>61858.591579453001</v>
      </c>
      <c r="I393" s="495">
        <v>-43981.6083</v>
      </c>
      <c r="J393" s="495">
        <v>0</v>
      </c>
      <c r="M393" s="495">
        <v>195067.74861000001</v>
      </c>
      <c r="N393" s="495">
        <v>198438.83723999999</v>
      </c>
      <c r="O393" s="495">
        <v>104503.74753000001</v>
      </c>
      <c r="P393" s="495">
        <v>0</v>
      </c>
      <c r="Q393" s="495">
        <v>0</v>
      </c>
      <c r="T393" s="495">
        <v>80283.093240000002</v>
      </c>
      <c r="U393" s="495">
        <v>364838.53917</v>
      </c>
      <c r="V393" s="495">
        <v>-12168.68352</v>
      </c>
      <c r="W393" s="495">
        <v>-43981.6083</v>
      </c>
      <c r="X393" s="495">
        <v>0</v>
      </c>
      <c r="AA393" s="495">
        <v>0</v>
      </c>
      <c r="AB393" s="495">
        <v>0</v>
      </c>
      <c r="AC393" s="495">
        <v>0</v>
      </c>
      <c r="AD393" s="495">
        <v>0</v>
      </c>
      <c r="AE393" s="495">
        <v>0</v>
      </c>
      <c r="AH393" s="495">
        <v>68069.805542500064</v>
      </c>
      <c r="AI393" s="495">
        <v>26183.534267500101</v>
      </c>
      <c r="AJ393" s="495">
        <v>0</v>
      </c>
      <c r="AK393" s="495">
        <v>0</v>
      </c>
      <c r="AL393" s="495">
        <v>0</v>
      </c>
      <c r="AO393" s="495">
        <v>-30476.472430547001</v>
      </c>
      <c r="AP393" s="495">
        <v>-30476.472430547001</v>
      </c>
      <c r="AQ393" s="495">
        <v>-30476.472430547001</v>
      </c>
      <c r="AR393" s="495">
        <v>0</v>
      </c>
      <c r="AS393" s="495">
        <v>0</v>
      </c>
    </row>
    <row r="394" spans="1:45">
      <c r="A394" s="390">
        <v>94118</v>
      </c>
      <c r="B394" s="393">
        <v>94118</v>
      </c>
      <c r="C394" s="499" t="s">
        <v>1105</v>
      </c>
      <c r="D394" s="378">
        <v>1.6581447496985177E-4</v>
      </c>
      <c r="F394" s="495">
        <v>115001.75401226251</v>
      </c>
      <c r="G394" s="495">
        <v>225845.00035226252</v>
      </c>
      <c r="H394" s="495">
        <v>48130.246112262495</v>
      </c>
      <c r="I394" s="495">
        <v>-17180.8177</v>
      </c>
      <c r="J394" s="495">
        <v>0</v>
      </c>
      <c r="M394" s="495">
        <v>76200.565589999998</v>
      </c>
      <c r="N394" s="495">
        <v>77517.435559999998</v>
      </c>
      <c r="O394" s="495">
        <v>40822.969069999999</v>
      </c>
      <c r="P394" s="495">
        <v>0</v>
      </c>
      <c r="Q394" s="495">
        <v>0</v>
      </c>
      <c r="T394" s="495">
        <v>31361.49956</v>
      </c>
      <c r="U394" s="495">
        <v>142519.21823</v>
      </c>
      <c r="V394" s="495">
        <v>-4753.5308800000003</v>
      </c>
      <c r="W394" s="495">
        <v>-17180.8177</v>
      </c>
      <c r="X394" s="495">
        <v>0</v>
      </c>
      <c r="AA394" s="495">
        <v>0</v>
      </c>
      <c r="AB394" s="495">
        <v>0</v>
      </c>
      <c r="AC394" s="495">
        <v>0</v>
      </c>
      <c r="AD394" s="495">
        <v>0</v>
      </c>
      <c r="AE394" s="495">
        <v>0</v>
      </c>
      <c r="AH394" s="495">
        <v>14390.901472262496</v>
      </c>
      <c r="AI394" s="495">
        <v>12060.807922262491</v>
      </c>
      <c r="AJ394" s="495">
        <v>12060.807922262491</v>
      </c>
      <c r="AK394" s="495">
        <v>0</v>
      </c>
      <c r="AL394" s="495">
        <v>0</v>
      </c>
      <c r="AO394" s="495">
        <v>-6951.2126099999896</v>
      </c>
      <c r="AP394" s="495">
        <v>-6252.4613599999884</v>
      </c>
      <c r="AQ394" s="495">
        <v>0</v>
      </c>
      <c r="AR394" s="495">
        <v>0</v>
      </c>
      <c r="AS394" s="495">
        <v>0</v>
      </c>
    </row>
    <row r="395" spans="1:45">
      <c r="A395" s="390">
        <v>94121</v>
      </c>
      <c r="B395" s="393">
        <v>94121</v>
      </c>
      <c r="C395" s="499" t="s">
        <v>1106</v>
      </c>
      <c r="D395" s="378">
        <v>9.7525137334756474E-3</v>
      </c>
      <c r="F395" s="495">
        <v>6099888.9537263606</v>
      </c>
      <c r="G395" s="495">
        <v>12762780.311246362</v>
      </c>
      <c r="H395" s="495">
        <v>1969303.6678913597</v>
      </c>
      <c r="I395" s="495">
        <v>-1010503.3841</v>
      </c>
      <c r="J395" s="495">
        <v>0</v>
      </c>
      <c r="M395" s="495">
        <v>4481796.5444700001</v>
      </c>
      <c r="N395" s="495">
        <v>4559249.2934800005</v>
      </c>
      <c r="O395" s="495">
        <v>2401035.2193100001</v>
      </c>
      <c r="P395" s="495">
        <v>0</v>
      </c>
      <c r="Q395" s="495">
        <v>0</v>
      </c>
      <c r="T395" s="495">
        <v>1844551.4054800002</v>
      </c>
      <c r="U395" s="495">
        <v>8382380.5615900001</v>
      </c>
      <c r="V395" s="495">
        <v>-279582.67904000002</v>
      </c>
      <c r="W395" s="495">
        <v>-1010503.3841</v>
      </c>
      <c r="X395" s="495">
        <v>0</v>
      </c>
      <c r="AA395" s="495">
        <v>0</v>
      </c>
      <c r="AB395" s="495">
        <v>0</v>
      </c>
      <c r="AC395" s="495">
        <v>0</v>
      </c>
      <c r="AD395" s="495">
        <v>0</v>
      </c>
      <c r="AE395" s="495">
        <v>0</v>
      </c>
      <c r="AH395" s="495">
        <v>237352.92566500045</v>
      </c>
      <c r="AI395" s="495">
        <v>94122.033165000379</v>
      </c>
      <c r="AJ395" s="495">
        <v>0</v>
      </c>
      <c r="AK395" s="495">
        <v>0</v>
      </c>
      <c r="AL395" s="495">
        <v>0</v>
      </c>
      <c r="AO395" s="495">
        <v>-463811.92188864062</v>
      </c>
      <c r="AP395" s="495">
        <v>-272971.57698864024</v>
      </c>
      <c r="AQ395" s="495">
        <v>-152148.87237864058</v>
      </c>
      <c r="AR395" s="495">
        <v>0</v>
      </c>
      <c r="AS395" s="495">
        <v>0</v>
      </c>
    </row>
    <row r="396" spans="1:45">
      <c r="A396" s="390">
        <v>94127</v>
      </c>
      <c r="B396" s="393">
        <v>94127</v>
      </c>
      <c r="C396" s="499" t="s">
        <v>1107</v>
      </c>
      <c r="D396" s="378">
        <v>1.8884802155112124E-4</v>
      </c>
      <c r="F396" s="495">
        <v>117348.43621775601</v>
      </c>
      <c r="G396" s="495">
        <v>244509.07023775601</v>
      </c>
      <c r="H396" s="495">
        <v>33004.333625256004</v>
      </c>
      <c r="I396" s="495">
        <v>-19567.4166</v>
      </c>
      <c r="J396" s="495">
        <v>0</v>
      </c>
      <c r="M396" s="495">
        <v>86785.637220000004</v>
      </c>
      <c r="N396" s="495">
        <v>88285.434479999996</v>
      </c>
      <c r="O396" s="495">
        <v>46493.715060000002</v>
      </c>
      <c r="P396" s="495">
        <v>0</v>
      </c>
      <c r="Q396" s="495">
        <v>0</v>
      </c>
      <c r="T396" s="495">
        <v>35717.946479999999</v>
      </c>
      <c r="U396" s="495">
        <v>162316.65833999999</v>
      </c>
      <c r="V396" s="495">
        <v>-5413.8470399999997</v>
      </c>
      <c r="W396" s="495">
        <v>-19567.4166</v>
      </c>
      <c r="X396" s="495">
        <v>0</v>
      </c>
      <c r="AA396" s="495">
        <v>0</v>
      </c>
      <c r="AB396" s="495">
        <v>0</v>
      </c>
      <c r="AC396" s="495">
        <v>0</v>
      </c>
      <c r="AD396" s="495">
        <v>0</v>
      </c>
      <c r="AE396" s="495">
        <v>0</v>
      </c>
      <c r="AH396" s="495">
        <v>3848.5716749999956</v>
      </c>
      <c r="AI396" s="495">
        <v>2882.4353249999949</v>
      </c>
      <c r="AJ396" s="495">
        <v>0</v>
      </c>
      <c r="AK396" s="495">
        <v>0</v>
      </c>
      <c r="AL396" s="495">
        <v>0</v>
      </c>
      <c r="AO396" s="495">
        <v>-9003.7191572439897</v>
      </c>
      <c r="AP396" s="495">
        <v>-8975.4579072439938</v>
      </c>
      <c r="AQ396" s="495">
        <v>-8075.534394743996</v>
      </c>
      <c r="AR396" s="495">
        <v>0</v>
      </c>
      <c r="AS396" s="495">
        <v>0</v>
      </c>
    </row>
    <row r="397" spans="1:45">
      <c r="A397" s="390">
        <v>94131</v>
      </c>
      <c r="B397" s="393">
        <v>94131</v>
      </c>
      <c r="C397" s="499" t="s">
        <v>1108</v>
      </c>
      <c r="D397" s="378">
        <v>2.5901831915802728E-4</v>
      </c>
      <c r="F397" s="495">
        <v>199854.55762372343</v>
      </c>
      <c r="G397" s="495">
        <v>358114.43585372344</v>
      </c>
      <c r="H397" s="495">
        <v>71031.764131223405</v>
      </c>
      <c r="I397" s="495">
        <v>-26838.097400000002</v>
      </c>
      <c r="J397" s="495">
        <v>0</v>
      </c>
      <c r="M397" s="495">
        <v>119032.64658000002</v>
      </c>
      <c r="N397" s="495">
        <v>121089.72472000001</v>
      </c>
      <c r="O397" s="495">
        <v>63769.422340000005</v>
      </c>
      <c r="P397" s="495">
        <v>0</v>
      </c>
      <c r="Q397" s="495">
        <v>0</v>
      </c>
      <c r="T397" s="495">
        <v>48989.692720000006</v>
      </c>
      <c r="U397" s="495">
        <v>222628.79026000001</v>
      </c>
      <c r="V397" s="495">
        <v>-7425.4745600000006</v>
      </c>
      <c r="W397" s="495">
        <v>-26838.097400000002</v>
      </c>
      <c r="X397" s="495">
        <v>0</v>
      </c>
      <c r="AA397" s="495">
        <v>0</v>
      </c>
      <c r="AB397" s="495">
        <v>0</v>
      </c>
      <c r="AC397" s="495">
        <v>0</v>
      </c>
      <c r="AD397" s="495">
        <v>0</v>
      </c>
      <c r="AE397" s="495">
        <v>0</v>
      </c>
      <c r="AH397" s="495">
        <v>35495.066268723393</v>
      </c>
      <c r="AI397" s="495">
        <v>15376.697568723401</v>
      </c>
      <c r="AJ397" s="495">
        <v>14687.816351223402</v>
      </c>
      <c r="AK397" s="495">
        <v>0</v>
      </c>
      <c r="AL397" s="495">
        <v>0</v>
      </c>
      <c r="AO397" s="495">
        <v>-3662.847944999995</v>
      </c>
      <c r="AP397" s="495">
        <v>-980.77669500000138</v>
      </c>
      <c r="AQ397" s="495">
        <v>0</v>
      </c>
      <c r="AR397" s="495">
        <v>0</v>
      </c>
      <c r="AS397" s="495">
        <v>0</v>
      </c>
    </row>
    <row r="398" spans="1:45">
      <c r="A398" s="390">
        <v>94151</v>
      </c>
      <c r="B398" s="393">
        <v>94151</v>
      </c>
      <c r="C398" s="499" t="s">
        <v>1109</v>
      </c>
      <c r="D398" s="378">
        <v>4.9590347364479061E-4</v>
      </c>
      <c r="F398" s="495">
        <v>320831.51151453541</v>
      </c>
      <c r="G398" s="495">
        <v>637536.95876953541</v>
      </c>
      <c r="H398" s="495">
        <v>123632.92726953543</v>
      </c>
      <c r="I398" s="495">
        <v>-51382.862899999993</v>
      </c>
      <c r="J398" s="495">
        <v>0</v>
      </c>
      <c r="M398" s="495">
        <v>227893.88042999999</v>
      </c>
      <c r="N398" s="495">
        <v>231832.25811999998</v>
      </c>
      <c r="O398" s="495">
        <v>122089.70838999999</v>
      </c>
      <c r="P398" s="495">
        <v>0</v>
      </c>
      <c r="Q398" s="495">
        <v>0</v>
      </c>
      <c r="T398" s="495">
        <v>93793.186119999984</v>
      </c>
      <c r="U398" s="495">
        <v>426233.81370999996</v>
      </c>
      <c r="V398" s="495">
        <v>-14216.437759999999</v>
      </c>
      <c r="W398" s="495">
        <v>-51382.862899999993</v>
      </c>
      <c r="X398" s="495">
        <v>0</v>
      </c>
      <c r="AA398" s="495">
        <v>0</v>
      </c>
      <c r="AB398" s="495">
        <v>0</v>
      </c>
      <c r="AC398" s="495">
        <v>0</v>
      </c>
      <c r="AD398" s="495">
        <v>0</v>
      </c>
      <c r="AE398" s="495">
        <v>0</v>
      </c>
      <c r="AH398" s="495">
        <v>48892.45028953546</v>
      </c>
      <c r="AI398" s="495">
        <v>15759.656639535453</v>
      </c>
      <c r="AJ398" s="495">
        <v>15759.656639535453</v>
      </c>
      <c r="AK398" s="495">
        <v>0</v>
      </c>
      <c r="AL398" s="495">
        <v>0</v>
      </c>
      <c r="AO398" s="495">
        <v>-49748.005325000006</v>
      </c>
      <c r="AP398" s="495">
        <v>-36288.769700000004</v>
      </c>
      <c r="AQ398" s="495">
        <v>0</v>
      </c>
      <c r="AR398" s="495">
        <v>0</v>
      </c>
      <c r="AS398" s="495">
        <v>0</v>
      </c>
    </row>
    <row r="399" spans="1:45">
      <c r="A399" s="390">
        <v>94157</v>
      </c>
      <c r="B399" s="393">
        <v>94157</v>
      </c>
      <c r="C399" s="499" t="s">
        <v>1110</v>
      </c>
      <c r="D399" s="378">
        <v>2.3723557499614429E-5</v>
      </c>
      <c r="F399" s="495">
        <v>16192.4611807233</v>
      </c>
      <c r="G399" s="495">
        <v>33890.532675723298</v>
      </c>
      <c r="H399" s="495">
        <v>8484.3831457232955</v>
      </c>
      <c r="I399" s="495">
        <v>-2458.1035999999999</v>
      </c>
      <c r="J399" s="495">
        <v>0</v>
      </c>
      <c r="M399" s="495">
        <v>10902.21012</v>
      </c>
      <c r="N399" s="495">
        <v>11090.61808</v>
      </c>
      <c r="O399" s="495">
        <v>5840.6467599999996</v>
      </c>
      <c r="P399" s="495">
        <v>0</v>
      </c>
      <c r="Q399" s="495">
        <v>0</v>
      </c>
      <c r="T399" s="495">
        <v>4486.9700800000001</v>
      </c>
      <c r="U399" s="495">
        <v>20390.589639999998</v>
      </c>
      <c r="V399" s="495">
        <v>-680.09983999999997</v>
      </c>
      <c r="W399" s="495">
        <v>-2458.1035999999999</v>
      </c>
      <c r="X399" s="495">
        <v>0</v>
      </c>
      <c r="AA399" s="495">
        <v>0</v>
      </c>
      <c r="AB399" s="495">
        <v>0</v>
      </c>
      <c r="AC399" s="495">
        <v>0</v>
      </c>
      <c r="AD399" s="495">
        <v>0</v>
      </c>
      <c r="AE399" s="495">
        <v>0</v>
      </c>
      <c r="AH399" s="495">
        <v>3788.0206157232997</v>
      </c>
      <c r="AI399" s="495">
        <v>3788.0206157232997</v>
      </c>
      <c r="AJ399" s="495">
        <v>3323.8362257232957</v>
      </c>
      <c r="AK399" s="495">
        <v>0</v>
      </c>
      <c r="AL399" s="495">
        <v>0</v>
      </c>
      <c r="AO399" s="495">
        <v>-2984.7396350000004</v>
      </c>
      <c r="AP399" s="495">
        <v>-1378.6956600000003</v>
      </c>
      <c r="AQ399" s="495">
        <v>0</v>
      </c>
      <c r="AR399" s="495">
        <v>0</v>
      </c>
      <c r="AS399" s="495">
        <v>0</v>
      </c>
    </row>
    <row r="400" spans="1:45">
      <c r="A400" s="390">
        <v>94161</v>
      </c>
      <c r="B400" s="393">
        <v>94161</v>
      </c>
      <c r="C400" s="499" t="s">
        <v>1111</v>
      </c>
      <c r="D400" s="378">
        <v>5.4317997747306774E-5</v>
      </c>
      <c r="F400" s="495">
        <v>40124.561428407753</v>
      </c>
      <c r="G400" s="495">
        <v>75946.517463407756</v>
      </c>
      <c r="H400" s="495">
        <v>14627.881383407763</v>
      </c>
      <c r="I400" s="495">
        <v>-5628.1453000000001</v>
      </c>
      <c r="J400" s="495">
        <v>0</v>
      </c>
      <c r="M400" s="495">
        <v>24962.016510000001</v>
      </c>
      <c r="N400" s="495">
        <v>25393.400839999998</v>
      </c>
      <c r="O400" s="495">
        <v>13372.91423</v>
      </c>
      <c r="P400" s="495">
        <v>0</v>
      </c>
      <c r="Q400" s="495">
        <v>0</v>
      </c>
      <c r="T400" s="495">
        <v>10273.49684</v>
      </c>
      <c r="U400" s="495">
        <v>46686.885470000001</v>
      </c>
      <c r="V400" s="495">
        <v>-1557.17632</v>
      </c>
      <c r="W400" s="495">
        <v>-5628.1453000000001</v>
      </c>
      <c r="X400" s="495">
        <v>0</v>
      </c>
      <c r="AA400" s="495">
        <v>0</v>
      </c>
      <c r="AB400" s="495">
        <v>0</v>
      </c>
      <c r="AC400" s="495">
        <v>0</v>
      </c>
      <c r="AD400" s="495">
        <v>0</v>
      </c>
      <c r="AE400" s="495">
        <v>0</v>
      </c>
      <c r="AH400" s="495">
        <v>5850.0850884077608</v>
      </c>
      <c r="AI400" s="495">
        <v>4599.9419634077622</v>
      </c>
      <c r="AJ400" s="495">
        <v>2812.1434734077629</v>
      </c>
      <c r="AK400" s="495">
        <v>0</v>
      </c>
      <c r="AL400" s="495">
        <v>0</v>
      </c>
      <c r="AO400" s="495">
        <v>-961.03701000000387</v>
      </c>
      <c r="AP400" s="495">
        <v>-733.71081000000436</v>
      </c>
      <c r="AQ400" s="495">
        <v>0</v>
      </c>
      <c r="AR400" s="495">
        <v>0</v>
      </c>
      <c r="AS400" s="495">
        <v>0</v>
      </c>
    </row>
    <row r="401" spans="1:45">
      <c r="B401" s="393">
        <v>94168</v>
      </c>
      <c r="C401" s="499" t="s">
        <v>1112</v>
      </c>
      <c r="D401" s="378">
        <v>0</v>
      </c>
      <c r="F401" s="495">
        <v>0</v>
      </c>
      <c r="G401" s="495">
        <v>0</v>
      </c>
      <c r="H401" s="495">
        <v>0</v>
      </c>
      <c r="I401" s="495">
        <v>0</v>
      </c>
      <c r="J401" s="495">
        <v>0</v>
      </c>
      <c r="M401" s="495">
        <v>0</v>
      </c>
      <c r="N401" s="495">
        <v>0</v>
      </c>
      <c r="O401" s="495">
        <v>0</v>
      </c>
      <c r="P401" s="495">
        <v>0</v>
      </c>
      <c r="Q401" s="495">
        <v>0</v>
      </c>
      <c r="T401" s="495">
        <v>0</v>
      </c>
      <c r="U401" s="495">
        <v>0</v>
      </c>
      <c r="V401" s="495">
        <v>0</v>
      </c>
      <c r="W401" s="495">
        <v>0</v>
      </c>
      <c r="X401" s="495">
        <v>0</v>
      </c>
      <c r="AA401" s="495">
        <v>0</v>
      </c>
      <c r="AB401" s="495">
        <v>0</v>
      </c>
      <c r="AC401" s="495">
        <v>0</v>
      </c>
      <c r="AD401" s="495">
        <v>0</v>
      </c>
      <c r="AE401" s="495">
        <v>0</v>
      </c>
      <c r="AH401" s="495">
        <v>0</v>
      </c>
      <c r="AI401" s="495">
        <v>0</v>
      </c>
      <c r="AJ401" s="495">
        <v>0</v>
      </c>
      <c r="AK401" s="495">
        <v>0</v>
      </c>
      <c r="AL401" s="495">
        <v>0</v>
      </c>
      <c r="AO401" s="495">
        <v>0</v>
      </c>
      <c r="AP401" s="495">
        <v>0</v>
      </c>
      <c r="AQ401" s="495">
        <v>0</v>
      </c>
      <c r="AR401" s="495">
        <v>0</v>
      </c>
      <c r="AS401" s="495">
        <v>0</v>
      </c>
    </row>
    <row r="402" spans="1:45">
      <c r="A402" s="390">
        <v>94171</v>
      </c>
      <c r="B402" s="393">
        <v>94171</v>
      </c>
      <c r="C402" s="499" t="s">
        <v>1113</v>
      </c>
      <c r="D402" s="378">
        <v>7.246078966631863E-5</v>
      </c>
      <c r="F402" s="495">
        <v>42144.848949121086</v>
      </c>
      <c r="G402" s="495">
        <v>98190.253574121074</v>
      </c>
      <c r="H402" s="495">
        <v>16426.839376621097</v>
      </c>
      <c r="I402" s="495">
        <v>-7507.9934999999996</v>
      </c>
      <c r="J402" s="495">
        <v>0</v>
      </c>
      <c r="M402" s="495">
        <v>33299.541449999997</v>
      </c>
      <c r="N402" s="495">
        <v>33875.0118</v>
      </c>
      <c r="O402" s="495">
        <v>17839.580849999998</v>
      </c>
      <c r="P402" s="495">
        <v>0</v>
      </c>
      <c r="Q402" s="495">
        <v>0</v>
      </c>
      <c r="T402" s="495">
        <v>13704.9318</v>
      </c>
      <c r="U402" s="495">
        <v>62280.700649999999</v>
      </c>
      <c r="V402" s="495">
        <v>-2077.2864</v>
      </c>
      <c r="W402" s="495">
        <v>-7507.9934999999996</v>
      </c>
      <c r="X402" s="495">
        <v>0</v>
      </c>
      <c r="AA402" s="495">
        <v>0</v>
      </c>
      <c r="AB402" s="495">
        <v>0</v>
      </c>
      <c r="AC402" s="495">
        <v>0</v>
      </c>
      <c r="AD402" s="495">
        <v>0</v>
      </c>
      <c r="AE402" s="495">
        <v>0</v>
      </c>
      <c r="AH402" s="495">
        <v>4924.5597316210951</v>
      </c>
      <c r="AI402" s="495">
        <v>4924.5597316210951</v>
      </c>
      <c r="AJ402" s="495">
        <v>664.54492662109897</v>
      </c>
      <c r="AK402" s="495">
        <v>0</v>
      </c>
      <c r="AL402" s="495">
        <v>0</v>
      </c>
      <c r="AO402" s="495">
        <v>-9784.184032500003</v>
      </c>
      <c r="AP402" s="495">
        <v>-2890.018607500002</v>
      </c>
      <c r="AQ402" s="495">
        <v>0</v>
      </c>
      <c r="AR402" s="495">
        <v>0</v>
      </c>
      <c r="AS402" s="495">
        <v>0</v>
      </c>
    </row>
    <row r="403" spans="1:45">
      <c r="A403" s="390">
        <v>94172</v>
      </c>
      <c r="B403" s="393">
        <v>94172</v>
      </c>
      <c r="C403" s="499" t="s">
        <v>1114</v>
      </c>
      <c r="D403" s="378">
        <v>3.3526964397027453E-4</v>
      </c>
      <c r="F403" s="495">
        <v>205722.18058280199</v>
      </c>
      <c r="G403" s="495">
        <v>437652.19737780205</v>
      </c>
      <c r="H403" s="495">
        <v>77567.359445301961</v>
      </c>
      <c r="I403" s="495">
        <v>-34738.848599999998</v>
      </c>
      <c r="J403" s="495">
        <v>0</v>
      </c>
      <c r="M403" s="495">
        <v>154074.15161999999</v>
      </c>
      <c r="N403" s="495">
        <v>156736.80408</v>
      </c>
      <c r="O403" s="495">
        <v>82542.226259999996</v>
      </c>
      <c r="P403" s="495">
        <v>0</v>
      </c>
      <c r="Q403" s="495">
        <v>0</v>
      </c>
      <c r="T403" s="495">
        <v>63411.556080000002</v>
      </c>
      <c r="U403" s="495">
        <v>288167.51514000003</v>
      </c>
      <c r="V403" s="495">
        <v>-9611.4278400000003</v>
      </c>
      <c r="W403" s="495">
        <v>-34738.848599999998</v>
      </c>
      <c r="X403" s="495">
        <v>0</v>
      </c>
      <c r="AA403" s="495">
        <v>0</v>
      </c>
      <c r="AB403" s="495">
        <v>0</v>
      </c>
      <c r="AC403" s="495">
        <v>0</v>
      </c>
      <c r="AD403" s="495">
        <v>0</v>
      </c>
      <c r="AE403" s="495">
        <v>0</v>
      </c>
      <c r="AH403" s="495">
        <v>14411.58762530196</v>
      </c>
      <c r="AI403" s="495">
        <v>4636.5610253019622</v>
      </c>
      <c r="AJ403" s="495">
        <v>4636.5610253019622</v>
      </c>
      <c r="AK403" s="495">
        <v>0</v>
      </c>
      <c r="AL403" s="495">
        <v>0</v>
      </c>
      <c r="AO403" s="495">
        <v>-26175.114742499987</v>
      </c>
      <c r="AP403" s="495">
        <v>-11888.682867499983</v>
      </c>
      <c r="AQ403" s="495">
        <v>0</v>
      </c>
      <c r="AR403" s="495">
        <v>0</v>
      </c>
      <c r="AS403" s="495">
        <v>0</v>
      </c>
    </row>
    <row r="404" spans="1:45">
      <c r="A404" s="390">
        <v>94201</v>
      </c>
      <c r="B404" s="393">
        <v>94201</v>
      </c>
      <c r="C404" s="499" t="s">
        <v>1115</v>
      </c>
      <c r="D404" s="378">
        <v>2.557638591469832E-3</v>
      </c>
      <c r="F404" s="495">
        <v>1474906.399067705</v>
      </c>
      <c r="G404" s="495">
        <v>3182406.6451027049</v>
      </c>
      <c r="H404" s="495">
        <v>404298.64941770502</v>
      </c>
      <c r="I404" s="495">
        <v>-265008.85379999998</v>
      </c>
      <c r="J404" s="495">
        <v>0</v>
      </c>
      <c r="M404" s="495">
        <v>1175370.3984600001</v>
      </c>
      <c r="N404" s="495">
        <v>1195682.7146399999</v>
      </c>
      <c r="O404" s="495">
        <v>629681.80157999997</v>
      </c>
      <c r="P404" s="495">
        <v>0</v>
      </c>
      <c r="Q404" s="495">
        <v>0</v>
      </c>
      <c r="T404" s="495">
        <v>483741.53064000001</v>
      </c>
      <c r="U404" s="495">
        <v>2198315.3146199998</v>
      </c>
      <c r="V404" s="495">
        <v>-73321.758719999998</v>
      </c>
      <c r="W404" s="495">
        <v>-265008.85379999998</v>
      </c>
      <c r="X404" s="495">
        <v>0</v>
      </c>
      <c r="AA404" s="495">
        <v>0</v>
      </c>
      <c r="AB404" s="495">
        <v>0</v>
      </c>
      <c r="AC404" s="495">
        <v>0</v>
      </c>
      <c r="AD404" s="495">
        <v>0</v>
      </c>
      <c r="AE404" s="495">
        <v>0</v>
      </c>
      <c r="AH404" s="495">
        <v>42891.672730000108</v>
      </c>
      <c r="AI404" s="495">
        <v>5276.1396050001495</v>
      </c>
      <c r="AJ404" s="495">
        <v>0</v>
      </c>
      <c r="AK404" s="495">
        <v>0</v>
      </c>
      <c r="AL404" s="495">
        <v>0</v>
      </c>
      <c r="AO404" s="495">
        <v>-227097.202762295</v>
      </c>
      <c r="AP404" s="495">
        <v>-216867.52376229488</v>
      </c>
      <c r="AQ404" s="495">
        <v>-152061.39344229491</v>
      </c>
      <c r="AR404" s="495">
        <v>0</v>
      </c>
      <c r="AS404" s="495">
        <v>0</v>
      </c>
    </row>
    <row r="405" spans="1:45">
      <c r="A405" s="390">
        <v>94204</v>
      </c>
      <c r="B405" s="393">
        <v>94204</v>
      </c>
      <c r="C405" s="499" t="s">
        <v>1116</v>
      </c>
      <c r="D405" s="378">
        <v>3.8385733173670097E-5</v>
      </c>
      <c r="F405" s="495">
        <v>19568.042177451945</v>
      </c>
      <c r="G405" s="495">
        <v>42566.377532451945</v>
      </c>
      <c r="H405" s="495">
        <v>4004.8865199519405</v>
      </c>
      <c r="I405" s="495">
        <v>-3977.3194000000003</v>
      </c>
      <c r="J405" s="495">
        <v>0</v>
      </c>
      <c r="M405" s="495">
        <v>17640.253980000001</v>
      </c>
      <c r="N405" s="495">
        <v>17945.106320000003</v>
      </c>
      <c r="O405" s="495">
        <v>9450.4225399999996</v>
      </c>
      <c r="P405" s="495">
        <v>0</v>
      </c>
      <c r="Q405" s="495">
        <v>0</v>
      </c>
      <c r="T405" s="495">
        <v>7260.1143200000006</v>
      </c>
      <c r="U405" s="495">
        <v>32992.868060000001</v>
      </c>
      <c r="V405" s="495">
        <v>-1100.43136</v>
      </c>
      <c r="W405" s="495">
        <v>-3977.3194000000003</v>
      </c>
      <c r="X405" s="495">
        <v>0</v>
      </c>
      <c r="AA405" s="495">
        <v>0</v>
      </c>
      <c r="AB405" s="495">
        <v>0</v>
      </c>
      <c r="AC405" s="495">
        <v>0</v>
      </c>
      <c r="AD405" s="495">
        <v>0</v>
      </c>
      <c r="AE405" s="495">
        <v>0</v>
      </c>
      <c r="AH405" s="495">
        <v>3807.7138499999965</v>
      </c>
      <c r="AI405" s="495">
        <v>0</v>
      </c>
      <c r="AJ405" s="495">
        <v>0</v>
      </c>
      <c r="AK405" s="495">
        <v>0</v>
      </c>
      <c r="AL405" s="495">
        <v>0</v>
      </c>
      <c r="AO405" s="495">
        <v>-9140.0399725480529</v>
      </c>
      <c r="AP405" s="495">
        <v>-8371.5968475480531</v>
      </c>
      <c r="AQ405" s="495">
        <v>-4345.1046600480586</v>
      </c>
      <c r="AR405" s="495">
        <v>0</v>
      </c>
      <c r="AS405" s="495">
        <v>0</v>
      </c>
    </row>
    <row r="406" spans="1:45">
      <c r="A406" s="390">
        <v>94205</v>
      </c>
      <c r="B406" s="393">
        <v>94205</v>
      </c>
      <c r="C406" s="499" t="s">
        <v>1117</v>
      </c>
      <c r="D406" s="378">
        <v>1.0481608555577326E-5</v>
      </c>
      <c r="F406" s="495">
        <v>15034.518589902196</v>
      </c>
      <c r="G406" s="495">
        <v>18754.837194902197</v>
      </c>
      <c r="H406" s="495">
        <v>5543.2366974021988</v>
      </c>
      <c r="I406" s="495">
        <v>-1086.0424</v>
      </c>
      <c r="J406" s="495">
        <v>0</v>
      </c>
      <c r="M406" s="495">
        <v>4816.8280800000002</v>
      </c>
      <c r="N406" s="495">
        <v>4900.0707199999997</v>
      </c>
      <c r="O406" s="495">
        <v>2580.5218399999999</v>
      </c>
      <c r="P406" s="495">
        <v>0</v>
      </c>
      <c r="Q406" s="495">
        <v>0</v>
      </c>
      <c r="T406" s="495">
        <v>1982.4387199999999</v>
      </c>
      <c r="U406" s="495">
        <v>9008.9957599999998</v>
      </c>
      <c r="V406" s="495">
        <v>-300.48255999999998</v>
      </c>
      <c r="W406" s="495">
        <v>-1086.0424</v>
      </c>
      <c r="X406" s="495">
        <v>0</v>
      </c>
      <c r="AA406" s="495">
        <v>0</v>
      </c>
      <c r="AB406" s="495">
        <v>0</v>
      </c>
      <c r="AC406" s="495">
        <v>0</v>
      </c>
      <c r="AD406" s="495">
        <v>0</v>
      </c>
      <c r="AE406" s="495">
        <v>0</v>
      </c>
      <c r="AH406" s="495">
        <v>10264.186784902198</v>
      </c>
      <c r="AI406" s="495">
        <v>6874.7057099021986</v>
      </c>
      <c r="AJ406" s="495">
        <v>3263.1974174021989</v>
      </c>
      <c r="AK406" s="495">
        <v>0</v>
      </c>
      <c r="AL406" s="495">
        <v>0</v>
      </c>
      <c r="AO406" s="495">
        <v>-2028.9349950000023</v>
      </c>
      <c r="AP406" s="495">
        <v>-2028.9349950000023</v>
      </c>
      <c r="AQ406" s="495">
        <v>0</v>
      </c>
      <c r="AR406" s="495">
        <v>0</v>
      </c>
      <c r="AS406" s="495">
        <v>0</v>
      </c>
    </row>
    <row r="407" spans="1:45">
      <c r="A407" s="390">
        <v>94209</v>
      </c>
      <c r="B407" s="393">
        <v>94209</v>
      </c>
      <c r="C407" s="499" t="s">
        <v>1118</v>
      </c>
      <c r="D407" s="378">
        <v>3.1323632392340231E-4</v>
      </c>
      <c r="F407" s="495">
        <v>237516.50361351093</v>
      </c>
      <c r="G407" s="495">
        <v>455313.92692851095</v>
      </c>
      <c r="H407" s="495">
        <v>75335.424843510933</v>
      </c>
      <c r="I407" s="495">
        <v>-32455.879699999998</v>
      </c>
      <c r="J407" s="495">
        <v>0</v>
      </c>
      <c r="M407" s="495">
        <v>143948.70098999998</v>
      </c>
      <c r="N407" s="495">
        <v>146436.36916</v>
      </c>
      <c r="O407" s="495">
        <v>77117.713269999993</v>
      </c>
      <c r="P407" s="495">
        <v>0</v>
      </c>
      <c r="Q407" s="495">
        <v>0</v>
      </c>
      <c r="T407" s="495">
        <v>59244.273159999997</v>
      </c>
      <c r="U407" s="495">
        <v>269229.71203</v>
      </c>
      <c r="V407" s="495">
        <v>-8979.7836799999986</v>
      </c>
      <c r="W407" s="495">
        <v>-32455.879699999998</v>
      </c>
      <c r="X407" s="495">
        <v>0</v>
      </c>
      <c r="AA407" s="495">
        <v>0</v>
      </c>
      <c r="AB407" s="495">
        <v>0</v>
      </c>
      <c r="AC407" s="495">
        <v>0</v>
      </c>
      <c r="AD407" s="495">
        <v>0</v>
      </c>
      <c r="AE407" s="495">
        <v>0</v>
      </c>
      <c r="AH407" s="495">
        <v>48417.753863510938</v>
      </c>
      <c r="AI407" s="495">
        <v>39647.84573851095</v>
      </c>
      <c r="AJ407" s="495">
        <v>7197.4952535109369</v>
      </c>
      <c r="AK407" s="495">
        <v>0</v>
      </c>
      <c r="AL407" s="495">
        <v>0</v>
      </c>
      <c r="AO407" s="495">
        <v>-14094.224399999977</v>
      </c>
      <c r="AP407" s="495">
        <v>0</v>
      </c>
      <c r="AQ407" s="495">
        <v>0</v>
      </c>
      <c r="AR407" s="495">
        <v>0</v>
      </c>
      <c r="AS407" s="495">
        <v>0</v>
      </c>
    </row>
    <row r="408" spans="1:45">
      <c r="A408" s="390">
        <v>94211</v>
      </c>
      <c r="B408" s="393">
        <v>94211</v>
      </c>
      <c r="C408" s="499" t="s">
        <v>1119</v>
      </c>
      <c r="D408" s="378">
        <v>8.0661994475200518E-5</v>
      </c>
      <c r="F408" s="495">
        <v>27601.242528481598</v>
      </c>
      <c r="G408" s="495">
        <v>74415.472553481581</v>
      </c>
      <c r="H408" s="495">
        <v>13137.427948481607</v>
      </c>
      <c r="I408" s="495">
        <v>-8357.7595000000001</v>
      </c>
      <c r="J408" s="495">
        <v>0</v>
      </c>
      <c r="M408" s="495">
        <v>37068.433649999999</v>
      </c>
      <c r="N408" s="495">
        <v>37709.036599999999</v>
      </c>
      <c r="O408" s="495">
        <v>19858.691449999998</v>
      </c>
      <c r="P408" s="495">
        <v>0</v>
      </c>
      <c r="Q408" s="495">
        <v>0</v>
      </c>
      <c r="T408" s="495">
        <v>15256.076599999999</v>
      </c>
      <c r="U408" s="495">
        <v>69329.72404999999</v>
      </c>
      <c r="V408" s="495">
        <v>-2312.3968</v>
      </c>
      <c r="W408" s="495">
        <v>-8357.7595000000001</v>
      </c>
      <c r="X408" s="495">
        <v>0</v>
      </c>
      <c r="AA408" s="495">
        <v>0</v>
      </c>
      <c r="AB408" s="495">
        <v>0</v>
      </c>
      <c r="AC408" s="495">
        <v>0</v>
      </c>
      <c r="AD408" s="495">
        <v>0</v>
      </c>
      <c r="AE408" s="495">
        <v>0</v>
      </c>
      <c r="AH408" s="495">
        <v>11339.979640000001</v>
      </c>
      <c r="AI408" s="495">
        <v>3439.9592649999977</v>
      </c>
      <c r="AJ408" s="495">
        <v>0</v>
      </c>
      <c r="AK408" s="495">
        <v>0</v>
      </c>
      <c r="AL408" s="495">
        <v>0</v>
      </c>
      <c r="AO408" s="495">
        <v>-36063.247361518399</v>
      </c>
      <c r="AP408" s="495">
        <v>-36063.247361518399</v>
      </c>
      <c r="AQ408" s="495">
        <v>-4408.8667015183928</v>
      </c>
      <c r="AR408" s="495">
        <v>0</v>
      </c>
      <c r="AS408" s="495">
        <v>0</v>
      </c>
    </row>
    <row r="409" spans="1:45">
      <c r="A409" s="390">
        <v>94221</v>
      </c>
      <c r="B409" s="393">
        <v>94221</v>
      </c>
      <c r="C409" s="499" t="s">
        <v>1120</v>
      </c>
      <c r="D409" s="378">
        <v>7.922672429063021E-4</v>
      </c>
      <c r="F409" s="495">
        <v>459938.88966156053</v>
      </c>
      <c r="G409" s="495">
        <v>992971.23838656058</v>
      </c>
      <c r="H409" s="495">
        <v>138228.93178906036</v>
      </c>
      <c r="I409" s="495">
        <v>-82090.50450000001</v>
      </c>
      <c r="J409" s="495">
        <v>0</v>
      </c>
      <c r="M409" s="495">
        <v>364088.77515</v>
      </c>
      <c r="N409" s="495">
        <v>370380.82260000001</v>
      </c>
      <c r="O409" s="495">
        <v>195053.47095000002</v>
      </c>
      <c r="P409" s="495">
        <v>0</v>
      </c>
      <c r="Q409" s="495">
        <v>0</v>
      </c>
      <c r="T409" s="495">
        <v>149846.26260000002</v>
      </c>
      <c r="U409" s="495">
        <v>680961.44955000002</v>
      </c>
      <c r="V409" s="495">
        <v>-22712.524800000003</v>
      </c>
      <c r="W409" s="495">
        <v>-82090.50450000001</v>
      </c>
      <c r="X409" s="495">
        <v>0</v>
      </c>
      <c r="AA409" s="495">
        <v>0</v>
      </c>
      <c r="AB409" s="495">
        <v>0</v>
      </c>
      <c r="AC409" s="495">
        <v>0</v>
      </c>
      <c r="AD409" s="495">
        <v>0</v>
      </c>
      <c r="AE409" s="495">
        <v>0</v>
      </c>
      <c r="AH409" s="495">
        <v>4374.8856749999977</v>
      </c>
      <c r="AI409" s="495">
        <v>0</v>
      </c>
      <c r="AJ409" s="495">
        <v>0</v>
      </c>
      <c r="AK409" s="495">
        <v>0</v>
      </c>
      <c r="AL409" s="495">
        <v>0</v>
      </c>
      <c r="AO409" s="495">
        <v>-58371.033763439482</v>
      </c>
      <c r="AP409" s="495">
        <v>-58371.033763439482</v>
      </c>
      <c r="AQ409" s="495">
        <v>-34112.014360939655</v>
      </c>
      <c r="AR409" s="495">
        <v>0</v>
      </c>
      <c r="AS409" s="495">
        <v>0</v>
      </c>
    </row>
    <row r="410" spans="1:45">
      <c r="A410" s="390">
        <v>94231</v>
      </c>
      <c r="B410" s="393">
        <v>94231</v>
      </c>
      <c r="C410" s="499" t="s">
        <v>1121</v>
      </c>
      <c r="D410" s="378">
        <v>1.5973359612205058E-4</v>
      </c>
      <c r="F410" s="495">
        <v>117028.24882165126</v>
      </c>
      <c r="G410" s="495">
        <v>223259.52605665126</v>
      </c>
      <c r="H410" s="495">
        <v>26965.457964151243</v>
      </c>
      <c r="I410" s="495">
        <v>-16550.747299999999</v>
      </c>
      <c r="J410" s="495">
        <v>0</v>
      </c>
      <c r="M410" s="495">
        <v>73406.069910000006</v>
      </c>
      <c r="N410" s="495">
        <v>74674.646439999997</v>
      </c>
      <c r="O410" s="495">
        <v>39325.872430000003</v>
      </c>
      <c r="P410" s="495">
        <v>0</v>
      </c>
      <c r="Q410" s="495">
        <v>0</v>
      </c>
      <c r="T410" s="495">
        <v>30211.382440000001</v>
      </c>
      <c r="U410" s="495">
        <v>137292.62526999999</v>
      </c>
      <c r="V410" s="495">
        <v>-4579.2051199999996</v>
      </c>
      <c r="W410" s="495">
        <v>-16550.747299999999</v>
      </c>
      <c r="X410" s="495">
        <v>0</v>
      </c>
      <c r="AA410" s="495">
        <v>0</v>
      </c>
      <c r="AB410" s="495">
        <v>0</v>
      </c>
      <c r="AC410" s="495">
        <v>0</v>
      </c>
      <c r="AD410" s="495">
        <v>0</v>
      </c>
      <c r="AE410" s="495">
        <v>0</v>
      </c>
      <c r="AH410" s="495">
        <v>23894.692989999992</v>
      </c>
      <c r="AI410" s="495">
        <v>19218.731114999995</v>
      </c>
      <c r="AJ410" s="495">
        <v>0</v>
      </c>
      <c r="AK410" s="495">
        <v>0</v>
      </c>
      <c r="AL410" s="495">
        <v>0</v>
      </c>
      <c r="AO410" s="495">
        <v>-10483.896518348749</v>
      </c>
      <c r="AP410" s="495">
        <v>-7926.4767683487553</v>
      </c>
      <c r="AQ410" s="495">
        <v>-7781.2093458487616</v>
      </c>
      <c r="AR410" s="495">
        <v>0</v>
      </c>
      <c r="AS410" s="495">
        <v>0</v>
      </c>
    </row>
    <row r="411" spans="1:45">
      <c r="A411" s="390">
        <v>94241</v>
      </c>
      <c r="B411" s="393">
        <v>94241</v>
      </c>
      <c r="C411" s="499" t="s">
        <v>1122</v>
      </c>
      <c r="D411" s="378">
        <v>1.1216660823053559E-4</v>
      </c>
      <c r="F411" s="495">
        <v>28478.841081360326</v>
      </c>
      <c r="G411" s="495">
        <v>119968.80913136034</v>
      </c>
      <c r="H411" s="495">
        <v>8086.1883113603399</v>
      </c>
      <c r="I411" s="495">
        <v>-11622.104499999999</v>
      </c>
      <c r="J411" s="495">
        <v>0</v>
      </c>
      <c r="M411" s="495">
        <v>51546.495150000002</v>
      </c>
      <c r="N411" s="495">
        <v>52437.302600000003</v>
      </c>
      <c r="O411" s="495">
        <v>27615.03095</v>
      </c>
      <c r="P411" s="495">
        <v>0</v>
      </c>
      <c r="Q411" s="495">
        <v>0</v>
      </c>
      <c r="T411" s="495">
        <v>21214.742600000001</v>
      </c>
      <c r="U411" s="495">
        <v>96408.289550000001</v>
      </c>
      <c r="V411" s="495">
        <v>-3215.5648000000001</v>
      </c>
      <c r="W411" s="495">
        <v>-11622.104499999999</v>
      </c>
      <c r="X411" s="495">
        <v>0</v>
      </c>
      <c r="AA411" s="495">
        <v>0</v>
      </c>
      <c r="AB411" s="495">
        <v>0</v>
      </c>
      <c r="AC411" s="495">
        <v>0</v>
      </c>
      <c r="AD411" s="495">
        <v>0</v>
      </c>
      <c r="AE411" s="495">
        <v>0</v>
      </c>
      <c r="AH411" s="495">
        <v>0</v>
      </c>
      <c r="AI411" s="495">
        <v>0</v>
      </c>
      <c r="AJ411" s="495">
        <v>0</v>
      </c>
      <c r="AK411" s="495">
        <v>0</v>
      </c>
      <c r="AL411" s="495">
        <v>0</v>
      </c>
      <c r="AO411" s="495">
        <v>-44282.396668639674</v>
      </c>
      <c r="AP411" s="495">
        <v>-28876.783018639671</v>
      </c>
      <c r="AQ411" s="495">
        <v>-16313.27783863966</v>
      </c>
      <c r="AR411" s="495">
        <v>0</v>
      </c>
      <c r="AS411" s="495">
        <v>0</v>
      </c>
    </row>
    <row r="412" spans="1:45">
      <c r="A412" s="390">
        <v>94251</v>
      </c>
      <c r="B412" s="500">
        <v>94251</v>
      </c>
      <c r="C412" s="501" t="s">
        <v>1123</v>
      </c>
      <c r="D412" s="378">
        <v>2.1483210288707672E-5</v>
      </c>
      <c r="F412" s="495">
        <v>11433.617838129703</v>
      </c>
      <c r="G412" s="495">
        <v>23467.845543129704</v>
      </c>
      <c r="H412" s="495">
        <v>2129.3890406296969</v>
      </c>
      <c r="I412" s="495">
        <v>-2225.9724000000001</v>
      </c>
      <c r="J412" s="495">
        <v>0</v>
      </c>
      <c r="M412" s="495">
        <v>9872.6590800000013</v>
      </c>
      <c r="N412" s="495">
        <v>10043.274720000001</v>
      </c>
      <c r="O412" s="495">
        <v>5289.0848400000004</v>
      </c>
      <c r="P412" s="495">
        <v>0</v>
      </c>
      <c r="Q412" s="495">
        <v>0</v>
      </c>
      <c r="T412" s="495">
        <v>4063.2427200000002</v>
      </c>
      <c r="U412" s="495">
        <v>18465.002759999999</v>
      </c>
      <c r="V412" s="495">
        <v>-615.87455999999997</v>
      </c>
      <c r="W412" s="495">
        <v>-2225.9724000000001</v>
      </c>
      <c r="X412" s="495">
        <v>0</v>
      </c>
      <c r="AA412" s="495">
        <v>0</v>
      </c>
      <c r="AB412" s="495">
        <v>0</v>
      </c>
      <c r="AC412" s="495">
        <v>0</v>
      </c>
      <c r="AD412" s="495">
        <v>0</v>
      </c>
      <c r="AE412" s="495">
        <v>0</v>
      </c>
      <c r="AH412" s="495">
        <v>3523.5560999999989</v>
      </c>
      <c r="AI412" s="495">
        <v>0</v>
      </c>
      <c r="AJ412" s="495">
        <v>0</v>
      </c>
      <c r="AK412" s="495">
        <v>0</v>
      </c>
      <c r="AL412" s="495">
        <v>0</v>
      </c>
      <c r="AO412" s="495">
        <v>-6025.8400618702981</v>
      </c>
      <c r="AP412" s="495">
        <v>-5040.4319368702982</v>
      </c>
      <c r="AQ412" s="495">
        <v>-2543.8212393703034</v>
      </c>
      <c r="AR412" s="495">
        <v>0</v>
      </c>
      <c r="AS412" s="495">
        <v>0</v>
      </c>
    </row>
    <row r="413" spans="1:45">
      <c r="A413" s="390">
        <v>94261</v>
      </c>
      <c r="B413" s="393">
        <v>94261</v>
      </c>
      <c r="C413" s="499" t="s">
        <v>1124</v>
      </c>
      <c r="D413" s="378">
        <v>3.6375340149698342E-5</v>
      </c>
      <c r="F413" s="495">
        <v>19649.88978493492</v>
      </c>
      <c r="G413" s="495">
        <v>46365.440179934922</v>
      </c>
      <c r="H413" s="495">
        <v>7953.7259924349146</v>
      </c>
      <c r="I413" s="495">
        <v>-3769.0230999999999</v>
      </c>
      <c r="J413" s="495">
        <v>0</v>
      </c>
      <c r="M413" s="495">
        <v>16716.41577</v>
      </c>
      <c r="N413" s="495">
        <v>17005.302680000001</v>
      </c>
      <c r="O413" s="495">
        <v>8955.4942099999989</v>
      </c>
      <c r="P413" s="495">
        <v>0</v>
      </c>
      <c r="Q413" s="495">
        <v>0</v>
      </c>
      <c r="T413" s="495">
        <v>6879.8946799999994</v>
      </c>
      <c r="U413" s="495">
        <v>31264.99769</v>
      </c>
      <c r="V413" s="495">
        <v>-1042.8006399999999</v>
      </c>
      <c r="W413" s="495">
        <v>-3769.0230999999999</v>
      </c>
      <c r="X413" s="495">
        <v>0</v>
      </c>
      <c r="AA413" s="495">
        <v>0</v>
      </c>
      <c r="AB413" s="495">
        <v>0</v>
      </c>
      <c r="AC413" s="495">
        <v>0</v>
      </c>
      <c r="AD413" s="495">
        <v>0</v>
      </c>
      <c r="AE413" s="495">
        <v>0</v>
      </c>
      <c r="AH413" s="495">
        <v>102.23929743491362</v>
      </c>
      <c r="AI413" s="495">
        <v>41.032422434914679</v>
      </c>
      <c r="AJ413" s="495">
        <v>41.032422434914679</v>
      </c>
      <c r="AK413" s="495">
        <v>0</v>
      </c>
      <c r="AL413" s="495">
        <v>0</v>
      </c>
      <c r="AO413" s="495">
        <v>-4048.6599624999922</v>
      </c>
      <c r="AP413" s="495">
        <v>-1945.8926124999921</v>
      </c>
      <c r="AQ413" s="495">
        <v>0</v>
      </c>
      <c r="AR413" s="495">
        <v>0</v>
      </c>
      <c r="AS413" s="495">
        <v>0</v>
      </c>
    </row>
    <row r="414" spans="1:45">
      <c r="A414" s="390">
        <v>94301</v>
      </c>
      <c r="B414" s="393">
        <v>94301</v>
      </c>
      <c r="C414" s="499" t="s">
        <v>1125</v>
      </c>
      <c r="D414" s="378">
        <v>6.1755641903834084E-3</v>
      </c>
      <c r="F414" s="495">
        <v>4522740.2653465159</v>
      </c>
      <c r="G414" s="495">
        <v>8755186.0739965159</v>
      </c>
      <c r="H414" s="495">
        <v>1642139.8367365156</v>
      </c>
      <c r="I414" s="495">
        <v>-639878.97950000002</v>
      </c>
      <c r="J414" s="495">
        <v>0</v>
      </c>
      <c r="M414" s="495">
        <v>2837998.8076500003</v>
      </c>
      <c r="N414" s="495">
        <v>2887044.0526000001</v>
      </c>
      <c r="O414" s="495">
        <v>1520402.59345</v>
      </c>
      <c r="P414" s="495">
        <v>0</v>
      </c>
      <c r="Q414" s="495">
        <v>0</v>
      </c>
      <c r="T414" s="495">
        <v>1168021.4926</v>
      </c>
      <c r="U414" s="495">
        <v>5307957.6020499999</v>
      </c>
      <c r="V414" s="495">
        <v>-177039.56480000002</v>
      </c>
      <c r="W414" s="495">
        <v>-639878.97950000002</v>
      </c>
      <c r="X414" s="495">
        <v>0</v>
      </c>
      <c r="AA414" s="495">
        <v>0</v>
      </c>
      <c r="AB414" s="495">
        <v>0</v>
      </c>
      <c r="AC414" s="495">
        <v>0</v>
      </c>
      <c r="AD414" s="495">
        <v>0</v>
      </c>
      <c r="AE414" s="495">
        <v>0</v>
      </c>
      <c r="AH414" s="495">
        <v>655104.7893465159</v>
      </c>
      <c r="AI414" s="495">
        <v>560184.41934651602</v>
      </c>
      <c r="AJ414" s="495">
        <v>298776.80808651575</v>
      </c>
      <c r="AK414" s="495">
        <v>0</v>
      </c>
      <c r="AL414" s="495">
        <v>0</v>
      </c>
      <c r="AO414" s="495">
        <v>-138384.8242500003</v>
      </c>
      <c r="AP414" s="495">
        <v>0</v>
      </c>
      <c r="AQ414" s="495">
        <v>0</v>
      </c>
      <c r="AR414" s="495">
        <v>0</v>
      </c>
      <c r="AS414" s="495">
        <v>0</v>
      </c>
    </row>
    <row r="415" spans="1:45">
      <c r="A415" s="390">
        <v>94311</v>
      </c>
      <c r="B415" s="393">
        <v>94311</v>
      </c>
      <c r="C415" s="499" t="s">
        <v>1126</v>
      </c>
      <c r="D415" s="378">
        <v>7.4422017001548278E-4</v>
      </c>
      <c r="F415" s="495">
        <v>423597.05851839203</v>
      </c>
      <c r="G415" s="495">
        <v>915780.70510339213</v>
      </c>
      <c r="H415" s="495">
        <v>141274.14157089207</v>
      </c>
      <c r="I415" s="495">
        <v>-77112.119299999991</v>
      </c>
      <c r="J415" s="495">
        <v>0</v>
      </c>
      <c r="M415" s="495">
        <v>342008.58230999997</v>
      </c>
      <c r="N415" s="495">
        <v>347919.04803999997</v>
      </c>
      <c r="O415" s="495">
        <v>183224.43763</v>
      </c>
      <c r="P415" s="495">
        <v>0</v>
      </c>
      <c r="Q415" s="495">
        <v>0</v>
      </c>
      <c r="T415" s="495">
        <v>140758.82404000001</v>
      </c>
      <c r="U415" s="495">
        <v>639664.48806999996</v>
      </c>
      <c r="V415" s="495">
        <v>-21335.121919999998</v>
      </c>
      <c r="W415" s="495">
        <v>-77112.119299999991</v>
      </c>
      <c r="X415" s="495">
        <v>0</v>
      </c>
      <c r="AA415" s="495">
        <v>0</v>
      </c>
      <c r="AB415" s="495">
        <v>0</v>
      </c>
      <c r="AC415" s="495">
        <v>0</v>
      </c>
      <c r="AD415" s="495">
        <v>0</v>
      </c>
      <c r="AE415" s="495">
        <v>0</v>
      </c>
      <c r="AH415" s="495">
        <v>19663.716299999971</v>
      </c>
      <c r="AI415" s="495">
        <v>0</v>
      </c>
      <c r="AJ415" s="495">
        <v>0</v>
      </c>
      <c r="AK415" s="495">
        <v>0</v>
      </c>
      <c r="AL415" s="495">
        <v>0</v>
      </c>
      <c r="AO415" s="495">
        <v>-78834.064131607898</v>
      </c>
      <c r="AP415" s="495">
        <v>-71802.831006607899</v>
      </c>
      <c r="AQ415" s="495">
        <v>-20615.174139107912</v>
      </c>
      <c r="AR415" s="495">
        <v>0</v>
      </c>
      <c r="AS415" s="495">
        <v>0</v>
      </c>
    </row>
    <row r="416" spans="1:45">
      <c r="A416" s="390">
        <v>94313</v>
      </c>
      <c r="B416" s="393">
        <v>94313</v>
      </c>
      <c r="C416" s="499" t="s">
        <v>1127</v>
      </c>
      <c r="D416" s="378">
        <v>2.1493150243884864E-5</v>
      </c>
      <c r="F416" s="495">
        <v>21506.668370741721</v>
      </c>
      <c r="G416" s="495">
        <v>33763.157610741713</v>
      </c>
      <c r="H416" s="495">
        <v>10864.049885741719</v>
      </c>
      <c r="I416" s="495">
        <v>-2227.0086999999999</v>
      </c>
      <c r="J416" s="495">
        <v>0</v>
      </c>
      <c r="M416" s="495">
        <v>9877.2552899999991</v>
      </c>
      <c r="N416" s="495">
        <v>10047.950359999999</v>
      </c>
      <c r="O416" s="495">
        <v>5291.5471699999998</v>
      </c>
      <c r="P416" s="495">
        <v>0</v>
      </c>
      <c r="Q416" s="495">
        <v>0</v>
      </c>
      <c r="T416" s="495">
        <v>4065.13436</v>
      </c>
      <c r="U416" s="495">
        <v>18473.599129999999</v>
      </c>
      <c r="V416" s="495">
        <v>-616.16128000000003</v>
      </c>
      <c r="W416" s="495">
        <v>-2227.0086999999999</v>
      </c>
      <c r="X416" s="495">
        <v>0</v>
      </c>
      <c r="AA416" s="495">
        <v>0</v>
      </c>
      <c r="AB416" s="495">
        <v>0</v>
      </c>
      <c r="AC416" s="495">
        <v>0</v>
      </c>
      <c r="AD416" s="495">
        <v>0</v>
      </c>
      <c r="AE416" s="495">
        <v>0</v>
      </c>
      <c r="AH416" s="495">
        <v>10184.674470741722</v>
      </c>
      <c r="AI416" s="495">
        <v>7862.0038707417179</v>
      </c>
      <c r="AJ416" s="495">
        <v>6188.6639957417183</v>
      </c>
      <c r="AK416" s="495">
        <v>0</v>
      </c>
      <c r="AL416" s="495">
        <v>0</v>
      </c>
      <c r="AO416" s="495">
        <v>-2620.3957500000006</v>
      </c>
      <c r="AP416" s="495">
        <v>-2620.3957500000006</v>
      </c>
      <c r="AQ416" s="495">
        <v>0</v>
      </c>
      <c r="AR416" s="495">
        <v>0</v>
      </c>
      <c r="AS416" s="495">
        <v>0</v>
      </c>
    </row>
    <row r="417" spans="1:45">
      <c r="A417" s="390">
        <v>94317</v>
      </c>
      <c r="B417" s="393">
        <v>94317</v>
      </c>
      <c r="C417" s="499" t="s">
        <v>1128</v>
      </c>
      <c r="D417" s="378">
        <v>1.8162671829366238E-5</v>
      </c>
      <c r="F417" s="495">
        <v>18965.137935937393</v>
      </c>
      <c r="G417" s="495">
        <v>27301.666520937393</v>
      </c>
      <c r="H417" s="495">
        <v>5603.2242434373957</v>
      </c>
      <c r="I417" s="495">
        <v>-1881.9207999999999</v>
      </c>
      <c r="J417" s="495">
        <v>0</v>
      </c>
      <c r="M417" s="495">
        <v>8346.7173599999987</v>
      </c>
      <c r="N417" s="495">
        <v>8490.9622399999989</v>
      </c>
      <c r="O417" s="495">
        <v>4471.5912799999996</v>
      </c>
      <c r="P417" s="495">
        <v>0</v>
      </c>
      <c r="Q417" s="495">
        <v>0</v>
      </c>
      <c r="T417" s="495">
        <v>3435.2182399999997</v>
      </c>
      <c r="U417" s="495">
        <v>15611.007919999998</v>
      </c>
      <c r="V417" s="495">
        <v>-520.68351999999993</v>
      </c>
      <c r="W417" s="495">
        <v>-1881.9207999999999</v>
      </c>
      <c r="X417" s="495">
        <v>0</v>
      </c>
      <c r="AA417" s="495">
        <v>0</v>
      </c>
      <c r="AB417" s="495">
        <v>0</v>
      </c>
      <c r="AC417" s="495">
        <v>0</v>
      </c>
      <c r="AD417" s="495">
        <v>0</v>
      </c>
      <c r="AE417" s="495">
        <v>0</v>
      </c>
      <c r="AH417" s="495">
        <v>7183.2023359373952</v>
      </c>
      <c r="AI417" s="495">
        <v>3199.6963609373965</v>
      </c>
      <c r="AJ417" s="495">
        <v>1652.3164834373958</v>
      </c>
      <c r="AK417" s="495">
        <v>0</v>
      </c>
      <c r="AL417" s="495">
        <v>0</v>
      </c>
      <c r="AO417" s="495">
        <v>0</v>
      </c>
      <c r="AP417" s="495">
        <v>0</v>
      </c>
      <c r="AQ417" s="495">
        <v>0</v>
      </c>
      <c r="AR417" s="495">
        <v>0</v>
      </c>
      <c r="AS417" s="495">
        <v>0</v>
      </c>
    </row>
    <row r="418" spans="1:45">
      <c r="A418" s="390">
        <v>94321</v>
      </c>
      <c r="B418" s="393">
        <v>94321</v>
      </c>
      <c r="C418" s="499" t="s">
        <v>1129</v>
      </c>
      <c r="D418" s="378">
        <v>3.4407095502828679E-4</v>
      </c>
      <c r="F418" s="495">
        <v>247837.65081888408</v>
      </c>
      <c r="G418" s="495">
        <v>478034.80048888404</v>
      </c>
      <c r="H418" s="495">
        <v>69593.773683884036</v>
      </c>
      <c r="I418" s="495">
        <v>-35650.792600000001</v>
      </c>
      <c r="J418" s="495">
        <v>0</v>
      </c>
      <c r="M418" s="495">
        <v>158118.81641999999</v>
      </c>
      <c r="N418" s="495">
        <v>160851.36728000001</v>
      </c>
      <c r="O418" s="495">
        <v>84709.076660000006</v>
      </c>
      <c r="P418" s="495">
        <v>0</v>
      </c>
      <c r="Q418" s="495">
        <v>0</v>
      </c>
      <c r="T418" s="495">
        <v>65076.199280000001</v>
      </c>
      <c r="U418" s="495">
        <v>295732.32074</v>
      </c>
      <c r="V418" s="495">
        <v>-9863.7414399999998</v>
      </c>
      <c r="W418" s="495">
        <v>-35650.792600000001</v>
      </c>
      <c r="X418" s="495">
        <v>0</v>
      </c>
      <c r="AA418" s="495">
        <v>0</v>
      </c>
      <c r="AB418" s="495">
        <v>0</v>
      </c>
      <c r="AC418" s="495">
        <v>0</v>
      </c>
      <c r="AD418" s="495">
        <v>0</v>
      </c>
      <c r="AE418" s="495">
        <v>0</v>
      </c>
      <c r="AH418" s="495">
        <v>41246.119690000007</v>
      </c>
      <c r="AI418" s="495">
        <v>35951.829689999999</v>
      </c>
      <c r="AJ418" s="495">
        <v>0</v>
      </c>
      <c r="AK418" s="495">
        <v>0</v>
      </c>
      <c r="AL418" s="495">
        <v>0</v>
      </c>
      <c r="AO418" s="495">
        <v>-16603.484571115932</v>
      </c>
      <c r="AP418" s="495">
        <v>-14500.717221115967</v>
      </c>
      <c r="AQ418" s="495">
        <v>-5251.5615361159762</v>
      </c>
      <c r="AR418" s="495">
        <v>0</v>
      </c>
      <c r="AS418" s="495">
        <v>0</v>
      </c>
    </row>
    <row r="419" spans="1:45">
      <c r="A419" s="390">
        <v>94331</v>
      </c>
      <c r="B419" s="393">
        <v>94331</v>
      </c>
      <c r="C419" s="499" t="s">
        <v>1130</v>
      </c>
      <c r="D419" s="378">
        <v>1.5713333351920555E-4</v>
      </c>
      <c r="F419" s="495">
        <v>105512.93850502475</v>
      </c>
      <c r="G419" s="495">
        <v>207307.84679002472</v>
      </c>
      <c r="H419" s="495">
        <v>42127.650455024748</v>
      </c>
      <c r="I419" s="495">
        <v>-16281.309299999999</v>
      </c>
      <c r="J419" s="495">
        <v>0</v>
      </c>
      <c r="M419" s="495">
        <v>72211.055309999996</v>
      </c>
      <c r="N419" s="495">
        <v>73458.980039999995</v>
      </c>
      <c r="O419" s="495">
        <v>38685.66663</v>
      </c>
      <c r="P419" s="495">
        <v>0</v>
      </c>
      <c r="Q419" s="495">
        <v>0</v>
      </c>
      <c r="T419" s="495">
        <v>29719.556039999999</v>
      </c>
      <c r="U419" s="495">
        <v>135057.56907</v>
      </c>
      <c r="V419" s="495">
        <v>-4504.6579199999996</v>
      </c>
      <c r="W419" s="495">
        <v>-16281.309299999999</v>
      </c>
      <c r="X419" s="495">
        <v>0</v>
      </c>
      <c r="AA419" s="495">
        <v>0</v>
      </c>
      <c r="AB419" s="495">
        <v>0</v>
      </c>
      <c r="AC419" s="495">
        <v>0</v>
      </c>
      <c r="AD419" s="495">
        <v>0</v>
      </c>
      <c r="AE419" s="495">
        <v>0</v>
      </c>
      <c r="AH419" s="495">
        <v>17437.510595024756</v>
      </c>
      <c r="AI419" s="495">
        <v>7946.6417450247427</v>
      </c>
      <c r="AJ419" s="495">
        <v>7946.6417450247427</v>
      </c>
      <c r="AK419" s="495">
        <v>0</v>
      </c>
      <c r="AL419" s="495">
        <v>0</v>
      </c>
      <c r="AO419" s="495">
        <v>-13855.183439999997</v>
      </c>
      <c r="AP419" s="495">
        <v>-9155.3440650000011</v>
      </c>
      <c r="AQ419" s="495">
        <v>0</v>
      </c>
      <c r="AR419" s="495">
        <v>0</v>
      </c>
      <c r="AS419" s="495">
        <v>0</v>
      </c>
    </row>
    <row r="420" spans="1:45">
      <c r="A420" s="390">
        <v>94341</v>
      </c>
      <c r="B420" s="393">
        <v>94341</v>
      </c>
      <c r="C420" s="499" t="s">
        <v>1131</v>
      </c>
      <c r="D420" s="378">
        <v>7.6261264767424409E-5</v>
      </c>
      <c r="F420" s="495">
        <v>26020.135091690609</v>
      </c>
      <c r="G420" s="495">
        <v>72397.860141690588</v>
      </c>
      <c r="H420" s="495">
        <v>355.75451919062471</v>
      </c>
      <c r="I420" s="495">
        <v>-7901.7874999999995</v>
      </c>
      <c r="J420" s="495">
        <v>0</v>
      </c>
      <c r="M420" s="495">
        <v>35046.10125</v>
      </c>
      <c r="N420" s="495">
        <v>35651.754999999997</v>
      </c>
      <c r="O420" s="495">
        <v>18775.266250000001</v>
      </c>
      <c r="P420" s="495">
        <v>0</v>
      </c>
      <c r="Q420" s="495">
        <v>0</v>
      </c>
      <c r="T420" s="495">
        <v>14423.754999999999</v>
      </c>
      <c r="U420" s="495">
        <v>65547.321249999994</v>
      </c>
      <c r="V420" s="495">
        <v>-2186.2399999999998</v>
      </c>
      <c r="W420" s="495">
        <v>-7901.7874999999995</v>
      </c>
      <c r="X420" s="495">
        <v>0</v>
      </c>
      <c r="AA420" s="495">
        <v>0</v>
      </c>
      <c r="AB420" s="495">
        <v>0</v>
      </c>
      <c r="AC420" s="495">
        <v>0</v>
      </c>
      <c r="AD420" s="495">
        <v>0</v>
      </c>
      <c r="AE420" s="495">
        <v>0</v>
      </c>
      <c r="AH420" s="495">
        <v>10172.847450000001</v>
      </c>
      <c r="AI420" s="495">
        <v>0</v>
      </c>
      <c r="AJ420" s="495">
        <v>0</v>
      </c>
      <c r="AK420" s="495">
        <v>0</v>
      </c>
      <c r="AL420" s="495">
        <v>0</v>
      </c>
      <c r="AO420" s="495">
        <v>-33622.56860830939</v>
      </c>
      <c r="AP420" s="495">
        <v>-28801.216108309389</v>
      </c>
      <c r="AQ420" s="495">
        <v>-16233.271730809378</v>
      </c>
      <c r="AR420" s="495">
        <v>0</v>
      </c>
      <c r="AS420" s="495">
        <v>0</v>
      </c>
    </row>
    <row r="421" spans="1:45">
      <c r="A421" s="390">
        <v>94347</v>
      </c>
      <c r="B421" s="393">
        <v>94347</v>
      </c>
      <c r="C421" s="499" t="s">
        <v>1132</v>
      </c>
      <c r="D421" s="378">
        <v>7.6211268276458539E-6</v>
      </c>
      <c r="F421" s="495">
        <v>-5286.0221121369468</v>
      </c>
      <c r="G421" s="495">
        <v>1046.6906328630521</v>
      </c>
      <c r="H421" s="495">
        <v>-9237.4644846369501</v>
      </c>
      <c r="I421" s="495">
        <v>-789.66060000000004</v>
      </c>
      <c r="J421" s="495">
        <v>0</v>
      </c>
      <c r="M421" s="495">
        <v>3502.3120199999998</v>
      </c>
      <c r="N421" s="495">
        <v>3562.8376800000001</v>
      </c>
      <c r="O421" s="495">
        <v>1876.29546</v>
      </c>
      <c r="P421" s="495">
        <v>0</v>
      </c>
      <c r="Q421" s="495">
        <v>0</v>
      </c>
      <c r="T421" s="495">
        <v>1441.42968</v>
      </c>
      <c r="U421" s="495">
        <v>6550.4339399999999</v>
      </c>
      <c r="V421" s="495">
        <v>-218.48063999999999</v>
      </c>
      <c r="W421" s="495">
        <v>-789.66060000000004</v>
      </c>
      <c r="X421" s="495">
        <v>0</v>
      </c>
      <c r="AA421" s="495">
        <v>0</v>
      </c>
      <c r="AB421" s="495">
        <v>0</v>
      </c>
      <c r="AC421" s="495">
        <v>0</v>
      </c>
      <c r="AD421" s="495">
        <v>0</v>
      </c>
      <c r="AE421" s="495">
        <v>0</v>
      </c>
      <c r="AH421" s="495">
        <v>3921.7363400000027</v>
      </c>
      <c r="AI421" s="495">
        <v>3720.9619650000022</v>
      </c>
      <c r="AJ421" s="495">
        <v>0</v>
      </c>
      <c r="AK421" s="495">
        <v>0</v>
      </c>
      <c r="AL421" s="495">
        <v>0</v>
      </c>
      <c r="AO421" s="495">
        <v>-14151.500152136949</v>
      </c>
      <c r="AP421" s="495">
        <v>-12787.54295213695</v>
      </c>
      <c r="AQ421" s="495">
        <v>-10895.27930463695</v>
      </c>
      <c r="AR421" s="495">
        <v>0</v>
      </c>
      <c r="AS421" s="495">
        <v>0</v>
      </c>
    </row>
    <row r="422" spans="1:45">
      <c r="A422" s="390">
        <v>94351</v>
      </c>
      <c r="B422" s="393">
        <v>94351</v>
      </c>
      <c r="C422" s="499" t="s">
        <v>1133</v>
      </c>
      <c r="D422" s="378">
        <v>2.78941253198996E-4</v>
      </c>
      <c r="F422" s="495">
        <v>157160.92711187719</v>
      </c>
      <c r="G422" s="495">
        <v>348362.34931187722</v>
      </c>
      <c r="H422" s="495">
        <v>62156.496854377227</v>
      </c>
      <c r="I422" s="495">
        <v>-28902.406999999999</v>
      </c>
      <c r="J422" s="495">
        <v>0</v>
      </c>
      <c r="M422" s="495">
        <v>128188.2969</v>
      </c>
      <c r="N422" s="495">
        <v>130403.5996</v>
      </c>
      <c r="O422" s="495">
        <v>68674.383700000006</v>
      </c>
      <c r="P422" s="495">
        <v>0</v>
      </c>
      <c r="Q422" s="495">
        <v>0</v>
      </c>
      <c r="T422" s="495">
        <v>52757.839599999999</v>
      </c>
      <c r="U422" s="495">
        <v>239752.75930000001</v>
      </c>
      <c r="V422" s="495">
        <v>-7996.6207999999997</v>
      </c>
      <c r="W422" s="495">
        <v>-28902.406999999999</v>
      </c>
      <c r="X422" s="495">
        <v>0</v>
      </c>
      <c r="AA422" s="495">
        <v>0</v>
      </c>
      <c r="AB422" s="495">
        <v>0</v>
      </c>
      <c r="AC422" s="495">
        <v>0</v>
      </c>
      <c r="AD422" s="495">
        <v>0</v>
      </c>
      <c r="AE422" s="495">
        <v>0</v>
      </c>
      <c r="AH422" s="495">
        <v>12156.075576877214</v>
      </c>
      <c r="AI422" s="495">
        <v>7382.2253768772134</v>
      </c>
      <c r="AJ422" s="495">
        <v>1478.7339543772177</v>
      </c>
      <c r="AK422" s="495">
        <v>0</v>
      </c>
      <c r="AL422" s="495">
        <v>0</v>
      </c>
      <c r="AO422" s="495">
        <v>-35941.284965000013</v>
      </c>
      <c r="AP422" s="495">
        <v>-29176.234965000018</v>
      </c>
      <c r="AQ422" s="495">
        <v>0</v>
      </c>
      <c r="AR422" s="495">
        <v>0</v>
      </c>
      <c r="AS422" s="495">
        <v>0</v>
      </c>
    </row>
    <row r="423" spans="1:45">
      <c r="A423" s="390">
        <v>94401</v>
      </c>
      <c r="B423" s="393">
        <v>94401</v>
      </c>
      <c r="C423" s="499" t="s">
        <v>1134</v>
      </c>
      <c r="D423" s="378">
        <v>3.3199714368237149E-3</v>
      </c>
      <c r="F423" s="495">
        <v>1955029.3753964731</v>
      </c>
      <c r="G423" s="495">
        <v>4067351.6475764727</v>
      </c>
      <c r="H423" s="495">
        <v>370275.14344647317</v>
      </c>
      <c r="I423" s="495">
        <v>-343997.71240000002</v>
      </c>
      <c r="J423" s="495">
        <v>0</v>
      </c>
      <c r="M423" s="495">
        <v>1525702.7170800001</v>
      </c>
      <c r="N423" s="495">
        <v>1552069.34672</v>
      </c>
      <c r="O423" s="495">
        <v>817365.51884000003</v>
      </c>
      <c r="P423" s="495">
        <v>0</v>
      </c>
      <c r="Q423" s="495">
        <v>0</v>
      </c>
      <c r="T423" s="495">
        <v>627926.11472000007</v>
      </c>
      <c r="U423" s="495">
        <v>2853547.8287599999</v>
      </c>
      <c r="V423" s="495">
        <v>-95176.130560000005</v>
      </c>
      <c r="W423" s="495">
        <v>-343997.71240000002</v>
      </c>
      <c r="X423" s="495">
        <v>0</v>
      </c>
      <c r="AA423" s="495">
        <v>0</v>
      </c>
      <c r="AB423" s="495">
        <v>0</v>
      </c>
      <c r="AC423" s="495">
        <v>0</v>
      </c>
      <c r="AD423" s="495">
        <v>0</v>
      </c>
      <c r="AE423" s="495">
        <v>0</v>
      </c>
      <c r="AH423" s="495">
        <v>233482.6392899997</v>
      </c>
      <c r="AI423" s="495">
        <v>82594.874039999762</v>
      </c>
      <c r="AJ423" s="495">
        <v>0</v>
      </c>
      <c r="AK423" s="495">
        <v>0</v>
      </c>
      <c r="AL423" s="495">
        <v>0</v>
      </c>
      <c r="AO423" s="495">
        <v>-432082.09569352702</v>
      </c>
      <c r="AP423" s="495">
        <v>-420860.40194352693</v>
      </c>
      <c r="AQ423" s="495">
        <v>-351914.2448335269</v>
      </c>
      <c r="AR423" s="495">
        <v>0</v>
      </c>
      <c r="AS423" s="495">
        <v>0</v>
      </c>
    </row>
    <row r="424" spans="1:45">
      <c r="A424" s="390">
        <v>94403</v>
      </c>
      <c r="B424" s="393">
        <v>94403</v>
      </c>
      <c r="C424" s="499" t="s">
        <v>1136</v>
      </c>
      <c r="D424" s="378">
        <v>3.890572635122312E-5</v>
      </c>
      <c r="F424" s="495">
        <v>17581.657810777244</v>
      </c>
      <c r="G424" s="495">
        <v>44898.392285777249</v>
      </c>
      <c r="H424" s="495">
        <v>-556.26023422275648</v>
      </c>
      <c r="I424" s="495">
        <v>-4031.2069999999999</v>
      </c>
      <c r="J424" s="495">
        <v>0</v>
      </c>
      <c r="M424" s="495">
        <v>17879.2569</v>
      </c>
      <c r="N424" s="495">
        <v>18188.239599999997</v>
      </c>
      <c r="O424" s="495">
        <v>9578.4636999999984</v>
      </c>
      <c r="P424" s="495">
        <v>0</v>
      </c>
      <c r="Q424" s="495">
        <v>0</v>
      </c>
      <c r="T424" s="495">
        <v>7358.4795999999997</v>
      </c>
      <c r="U424" s="495">
        <v>33439.879300000001</v>
      </c>
      <c r="V424" s="495">
        <v>-1115.3407999999999</v>
      </c>
      <c r="W424" s="495">
        <v>-4031.2069999999999</v>
      </c>
      <c r="X424" s="495">
        <v>0</v>
      </c>
      <c r="AA424" s="495">
        <v>0</v>
      </c>
      <c r="AB424" s="495">
        <v>0</v>
      </c>
      <c r="AC424" s="495">
        <v>0</v>
      </c>
      <c r="AD424" s="495">
        <v>0</v>
      </c>
      <c r="AE424" s="495">
        <v>0</v>
      </c>
      <c r="AH424" s="495">
        <v>2289.6565200000036</v>
      </c>
      <c r="AI424" s="495">
        <v>2289.6565200000036</v>
      </c>
      <c r="AJ424" s="495">
        <v>0</v>
      </c>
      <c r="AK424" s="495">
        <v>0</v>
      </c>
      <c r="AL424" s="495">
        <v>0</v>
      </c>
      <c r="AO424" s="495">
        <v>-9945.7352092227575</v>
      </c>
      <c r="AP424" s="495">
        <v>-9019.383134222755</v>
      </c>
      <c r="AQ424" s="495">
        <v>-9019.383134222755</v>
      </c>
      <c r="AR424" s="495">
        <v>0</v>
      </c>
      <c r="AS424" s="495">
        <v>0</v>
      </c>
    </row>
    <row r="425" spans="1:45">
      <c r="A425" s="390">
        <v>94408</v>
      </c>
      <c r="B425" s="393">
        <v>94408</v>
      </c>
      <c r="C425" s="499" t="s">
        <v>1137</v>
      </c>
      <c r="D425" s="378">
        <v>5.8698699187188547E-5</v>
      </c>
      <c r="F425" s="495">
        <v>25472.481849974709</v>
      </c>
      <c r="G425" s="495">
        <v>68397.811689974696</v>
      </c>
      <c r="H425" s="495">
        <v>5967.6129424747196</v>
      </c>
      <c r="I425" s="495">
        <v>-6082.0447000000004</v>
      </c>
      <c r="J425" s="495">
        <v>0</v>
      </c>
      <c r="M425" s="495">
        <v>26975.156490000001</v>
      </c>
      <c r="N425" s="495">
        <v>27441.331160000002</v>
      </c>
      <c r="O425" s="495">
        <v>14451.414770000001</v>
      </c>
      <c r="P425" s="495">
        <v>0</v>
      </c>
      <c r="Q425" s="495">
        <v>0</v>
      </c>
      <c r="T425" s="495">
        <v>11102.035160000001</v>
      </c>
      <c r="U425" s="495">
        <v>50452.095529999999</v>
      </c>
      <c r="V425" s="495">
        <v>-1682.7596800000001</v>
      </c>
      <c r="W425" s="495">
        <v>-6082.0447000000004</v>
      </c>
      <c r="X425" s="495">
        <v>0</v>
      </c>
      <c r="AA425" s="495">
        <v>0</v>
      </c>
      <c r="AB425" s="495">
        <v>0</v>
      </c>
      <c r="AC425" s="495">
        <v>0</v>
      </c>
      <c r="AD425" s="495">
        <v>0</v>
      </c>
      <c r="AE425" s="495">
        <v>0</v>
      </c>
      <c r="AH425" s="495">
        <v>0</v>
      </c>
      <c r="AI425" s="495">
        <v>0</v>
      </c>
      <c r="AJ425" s="495">
        <v>0</v>
      </c>
      <c r="AK425" s="495">
        <v>0</v>
      </c>
      <c r="AL425" s="495">
        <v>0</v>
      </c>
      <c r="AO425" s="495">
        <v>-12604.709800025292</v>
      </c>
      <c r="AP425" s="495">
        <v>-9495.6150000252928</v>
      </c>
      <c r="AQ425" s="495">
        <v>-6801.0421475252806</v>
      </c>
      <c r="AR425" s="495">
        <v>0</v>
      </c>
      <c r="AS425" s="495">
        <v>0</v>
      </c>
    </row>
    <row r="426" spans="1:45">
      <c r="A426" s="390">
        <v>94411</v>
      </c>
      <c r="B426" s="393">
        <v>94411</v>
      </c>
      <c r="C426" s="499" t="s">
        <v>1138</v>
      </c>
      <c r="D426" s="378">
        <v>1.1315775528348744E-3</v>
      </c>
      <c r="F426" s="495">
        <v>744634.87720712041</v>
      </c>
      <c r="G426" s="495">
        <v>1505832.1013921204</v>
      </c>
      <c r="H426" s="495">
        <v>238285.16841962046</v>
      </c>
      <c r="I426" s="495">
        <v>-117248.0183</v>
      </c>
      <c r="J426" s="495">
        <v>0</v>
      </c>
      <c r="M426" s="495">
        <v>520019.79561000003</v>
      </c>
      <c r="N426" s="495">
        <v>529006.58524000004</v>
      </c>
      <c r="O426" s="495">
        <v>278590.47853000002</v>
      </c>
      <c r="P426" s="495">
        <v>0</v>
      </c>
      <c r="Q426" s="495">
        <v>0</v>
      </c>
      <c r="T426" s="495">
        <v>214022.04123999999</v>
      </c>
      <c r="U426" s="495">
        <v>972601.89817000006</v>
      </c>
      <c r="V426" s="495">
        <v>-32439.787520000002</v>
      </c>
      <c r="W426" s="495">
        <v>-117248.0183</v>
      </c>
      <c r="X426" s="495">
        <v>0</v>
      </c>
      <c r="AA426" s="495">
        <v>0</v>
      </c>
      <c r="AB426" s="495">
        <v>0</v>
      </c>
      <c r="AC426" s="495">
        <v>0</v>
      </c>
      <c r="AD426" s="495">
        <v>0</v>
      </c>
      <c r="AE426" s="495">
        <v>0</v>
      </c>
      <c r="AH426" s="495">
        <v>29271.681229999856</v>
      </c>
      <c r="AI426" s="495">
        <v>22902.258854999833</v>
      </c>
      <c r="AJ426" s="495">
        <v>0</v>
      </c>
      <c r="AK426" s="495">
        <v>0</v>
      </c>
      <c r="AL426" s="495">
        <v>0</v>
      </c>
      <c r="AO426" s="495">
        <v>-18678.640872879558</v>
      </c>
      <c r="AP426" s="495">
        <v>-18678.640872879558</v>
      </c>
      <c r="AQ426" s="495">
        <v>-7865.5225903795435</v>
      </c>
      <c r="AR426" s="495">
        <v>0</v>
      </c>
      <c r="AS426" s="495">
        <v>0</v>
      </c>
    </row>
    <row r="427" spans="1:45">
      <c r="A427" s="390">
        <v>94412</v>
      </c>
      <c r="B427" s="393">
        <v>94412</v>
      </c>
      <c r="C427" s="499" t="s">
        <v>1139</v>
      </c>
      <c r="D427" s="378">
        <v>2.9084308848459189E-5</v>
      </c>
      <c r="F427" s="495">
        <v>24664.030748268688</v>
      </c>
      <c r="G427" s="495">
        <v>39709.846353268687</v>
      </c>
      <c r="H427" s="495">
        <v>5780.7954457686883</v>
      </c>
      <c r="I427" s="495">
        <v>-3013.5603999999998</v>
      </c>
      <c r="J427" s="495">
        <v>0</v>
      </c>
      <c r="M427" s="495">
        <v>13365.778679999999</v>
      </c>
      <c r="N427" s="495">
        <v>13596.761119999999</v>
      </c>
      <c r="O427" s="495">
        <v>7160.4556400000001</v>
      </c>
      <c r="P427" s="495">
        <v>0</v>
      </c>
      <c r="Q427" s="495">
        <v>0</v>
      </c>
      <c r="T427" s="495">
        <v>5500.8891199999998</v>
      </c>
      <c r="U427" s="495">
        <v>24998.24396</v>
      </c>
      <c r="V427" s="495">
        <v>-833.78175999999996</v>
      </c>
      <c r="W427" s="495">
        <v>-3013.5603999999998</v>
      </c>
      <c r="X427" s="495">
        <v>0</v>
      </c>
      <c r="AA427" s="495">
        <v>0</v>
      </c>
      <c r="AB427" s="495">
        <v>0</v>
      </c>
      <c r="AC427" s="495">
        <v>0</v>
      </c>
      <c r="AD427" s="495">
        <v>0</v>
      </c>
      <c r="AE427" s="495">
        <v>0</v>
      </c>
      <c r="AH427" s="495">
        <v>6576.6934600000004</v>
      </c>
      <c r="AI427" s="495">
        <v>1894.1717849999991</v>
      </c>
      <c r="AJ427" s="495">
        <v>0</v>
      </c>
      <c r="AK427" s="495">
        <v>0</v>
      </c>
      <c r="AL427" s="495">
        <v>0</v>
      </c>
      <c r="AO427" s="495">
        <v>-779.33051173131184</v>
      </c>
      <c r="AP427" s="495">
        <v>-779.33051173131184</v>
      </c>
      <c r="AQ427" s="495">
        <v>-545.87843423131176</v>
      </c>
      <c r="AR427" s="495">
        <v>0</v>
      </c>
      <c r="AS427" s="495">
        <v>0</v>
      </c>
    </row>
    <row r="428" spans="1:45">
      <c r="A428" s="390">
        <v>94415</v>
      </c>
      <c r="B428" s="393">
        <v>94415</v>
      </c>
      <c r="C428" s="499" t="s">
        <v>3770</v>
      </c>
      <c r="D428" s="378">
        <v>2.2843352215043221E-5</v>
      </c>
      <c r="F428" s="495">
        <v>28617.444048365098</v>
      </c>
      <c r="G428" s="495">
        <v>44112.465488365102</v>
      </c>
      <c r="H428" s="495">
        <v>2778.9820758650922</v>
      </c>
      <c r="I428" s="495">
        <v>-2366.9092000000001</v>
      </c>
      <c r="J428" s="495">
        <v>0</v>
      </c>
      <c r="M428" s="495">
        <v>10497.743640000001</v>
      </c>
      <c r="N428" s="495">
        <v>10679.161760000001</v>
      </c>
      <c r="O428" s="495">
        <v>5623.9617200000002</v>
      </c>
      <c r="P428" s="495">
        <v>0</v>
      </c>
      <c r="Q428" s="495">
        <v>0</v>
      </c>
      <c r="T428" s="495">
        <v>4320.50576</v>
      </c>
      <c r="U428" s="495">
        <v>19634.109080000002</v>
      </c>
      <c r="V428" s="495">
        <v>-654.86848000000009</v>
      </c>
      <c r="W428" s="495">
        <v>-2366.9092000000001</v>
      </c>
      <c r="X428" s="495">
        <v>0</v>
      </c>
      <c r="AA428" s="495">
        <v>0</v>
      </c>
      <c r="AB428" s="495">
        <v>0</v>
      </c>
      <c r="AC428" s="495">
        <v>0</v>
      </c>
      <c r="AD428" s="495">
        <v>0</v>
      </c>
      <c r="AE428" s="495">
        <v>0</v>
      </c>
      <c r="AH428" s="495">
        <v>17406.914625000005</v>
      </c>
      <c r="AI428" s="495">
        <v>17406.914625000005</v>
      </c>
      <c r="AJ428" s="495">
        <v>0</v>
      </c>
      <c r="AK428" s="495">
        <v>0</v>
      </c>
      <c r="AL428" s="495">
        <v>0</v>
      </c>
      <c r="AO428" s="495">
        <v>-3607.7199766349077</v>
      </c>
      <c r="AP428" s="495">
        <v>-3607.7199766349077</v>
      </c>
      <c r="AQ428" s="495">
        <v>-2190.111164134908</v>
      </c>
      <c r="AR428" s="495">
        <v>0</v>
      </c>
      <c r="AS428" s="495">
        <v>0</v>
      </c>
    </row>
    <row r="429" spans="1:45">
      <c r="A429" s="390">
        <v>94417</v>
      </c>
      <c r="B429" s="393">
        <v>94417</v>
      </c>
      <c r="C429" s="499" t="s">
        <v>3771</v>
      </c>
      <c r="D429" s="378">
        <v>3.9975977644480605E-5</v>
      </c>
      <c r="F429" s="495">
        <v>62542.903100263924</v>
      </c>
      <c r="G429" s="495">
        <v>89659.190620263922</v>
      </c>
      <c r="H429" s="495">
        <v>8460.2461327639248</v>
      </c>
      <c r="I429" s="495">
        <v>-4142.0910999999996</v>
      </c>
      <c r="J429" s="495">
        <v>0</v>
      </c>
      <c r="M429" s="495">
        <v>18371.051370000001</v>
      </c>
      <c r="N429" s="495">
        <v>18688.533080000001</v>
      </c>
      <c r="O429" s="495">
        <v>9841.9330099999988</v>
      </c>
      <c r="P429" s="495">
        <v>0</v>
      </c>
      <c r="Q429" s="495">
        <v>0</v>
      </c>
      <c r="T429" s="495">
        <v>7560.88508</v>
      </c>
      <c r="U429" s="495">
        <v>34359.690889999998</v>
      </c>
      <c r="V429" s="495">
        <v>-1146.0198399999999</v>
      </c>
      <c r="W429" s="495">
        <v>-4142.0910999999996</v>
      </c>
      <c r="X429" s="495">
        <v>0</v>
      </c>
      <c r="AA429" s="495">
        <v>0</v>
      </c>
      <c r="AB429" s="495">
        <v>0</v>
      </c>
      <c r="AC429" s="495">
        <v>0</v>
      </c>
      <c r="AD429" s="495">
        <v>0</v>
      </c>
      <c r="AE429" s="495">
        <v>0</v>
      </c>
      <c r="AH429" s="495">
        <v>36846.633687499998</v>
      </c>
      <c r="AI429" s="495">
        <v>36846.633687499998</v>
      </c>
      <c r="AJ429" s="495">
        <v>0</v>
      </c>
      <c r="AK429" s="495">
        <v>0</v>
      </c>
      <c r="AL429" s="495">
        <v>0</v>
      </c>
      <c r="AO429" s="495">
        <v>-235.66703723607498</v>
      </c>
      <c r="AP429" s="495">
        <v>-235.66703723607498</v>
      </c>
      <c r="AQ429" s="495">
        <v>-235.66703723607498</v>
      </c>
      <c r="AR429" s="495">
        <v>0</v>
      </c>
      <c r="AS429" s="495">
        <v>0</v>
      </c>
    </row>
    <row r="430" spans="1:45">
      <c r="A430" s="390">
        <v>94421</v>
      </c>
      <c r="B430" s="393">
        <v>94421</v>
      </c>
      <c r="C430" s="499" t="s">
        <v>1140</v>
      </c>
      <c r="D430" s="378">
        <v>1.6618462703204715E-4</v>
      </c>
      <c r="F430" s="495">
        <v>111757.53751890734</v>
      </c>
      <c r="G430" s="495">
        <v>217973.59000390736</v>
      </c>
      <c r="H430" s="495">
        <v>33972.262621407361</v>
      </c>
      <c r="I430" s="495">
        <v>-17219.160799999998</v>
      </c>
      <c r="J430" s="495">
        <v>0</v>
      </c>
      <c r="M430" s="495">
        <v>76370.625359999991</v>
      </c>
      <c r="N430" s="495">
        <v>77690.434240000002</v>
      </c>
      <c r="O430" s="495">
        <v>40914.075279999997</v>
      </c>
      <c r="P430" s="495">
        <v>0</v>
      </c>
      <c r="Q430" s="495">
        <v>0</v>
      </c>
      <c r="T430" s="495">
        <v>31431.490239999999</v>
      </c>
      <c r="U430" s="495">
        <v>142837.28391999999</v>
      </c>
      <c r="V430" s="495">
        <v>-4764.1395199999997</v>
      </c>
      <c r="W430" s="495">
        <v>-17219.160799999998</v>
      </c>
      <c r="X430" s="495">
        <v>0</v>
      </c>
      <c r="AA430" s="495">
        <v>0</v>
      </c>
      <c r="AB430" s="495">
        <v>0</v>
      </c>
      <c r="AC430" s="495">
        <v>0</v>
      </c>
      <c r="AD430" s="495">
        <v>0</v>
      </c>
      <c r="AE430" s="495">
        <v>0</v>
      </c>
      <c r="AH430" s="495">
        <v>8310.6185974999898</v>
      </c>
      <c r="AI430" s="495">
        <v>1547.6641474999997</v>
      </c>
      <c r="AJ430" s="495">
        <v>0</v>
      </c>
      <c r="AK430" s="495">
        <v>0</v>
      </c>
      <c r="AL430" s="495">
        <v>0</v>
      </c>
      <c r="AO430" s="495">
        <v>-4355.196678592647</v>
      </c>
      <c r="AP430" s="495">
        <v>-4101.7923035926488</v>
      </c>
      <c r="AQ430" s="495">
        <v>-2177.6731385926369</v>
      </c>
      <c r="AR430" s="495">
        <v>0</v>
      </c>
      <c r="AS430" s="495">
        <v>0</v>
      </c>
    </row>
    <row r="431" spans="1:45">
      <c r="A431" s="390">
        <v>94427</v>
      </c>
      <c r="B431" s="393">
        <v>94427</v>
      </c>
      <c r="C431" s="499" t="s">
        <v>1141</v>
      </c>
      <c r="D431" s="378">
        <v>2.9724471633378245E-5</v>
      </c>
      <c r="F431" s="495">
        <v>27740.284922938295</v>
      </c>
      <c r="G431" s="495">
        <v>45169.37329293829</v>
      </c>
      <c r="H431" s="495">
        <v>8544.0919929382908</v>
      </c>
      <c r="I431" s="495">
        <v>-3079.8836000000001</v>
      </c>
      <c r="J431" s="495">
        <v>0</v>
      </c>
      <c r="M431" s="495">
        <v>13659.93612</v>
      </c>
      <c r="N431" s="495">
        <v>13896.00208</v>
      </c>
      <c r="O431" s="495">
        <v>7318.0447599999998</v>
      </c>
      <c r="P431" s="495">
        <v>0</v>
      </c>
      <c r="Q431" s="495">
        <v>0</v>
      </c>
      <c r="T431" s="495">
        <v>5621.9540800000004</v>
      </c>
      <c r="U431" s="495">
        <v>25548.411639999998</v>
      </c>
      <c r="V431" s="495">
        <v>-852.13184000000001</v>
      </c>
      <c r="W431" s="495">
        <v>-3079.8836000000001</v>
      </c>
      <c r="X431" s="495">
        <v>0</v>
      </c>
      <c r="AA431" s="495">
        <v>0</v>
      </c>
      <c r="AB431" s="495">
        <v>0</v>
      </c>
      <c r="AC431" s="495">
        <v>0</v>
      </c>
      <c r="AD431" s="495">
        <v>0</v>
      </c>
      <c r="AE431" s="495">
        <v>0</v>
      </c>
      <c r="AH431" s="495">
        <v>8458.3947229382939</v>
      </c>
      <c r="AI431" s="495">
        <v>5724.9595729382918</v>
      </c>
      <c r="AJ431" s="495">
        <v>2078.179072938291</v>
      </c>
      <c r="AK431" s="495">
        <v>0</v>
      </c>
      <c r="AL431" s="495">
        <v>0</v>
      </c>
      <c r="AO431" s="495">
        <v>0</v>
      </c>
      <c r="AP431" s="495">
        <v>0</v>
      </c>
      <c r="AQ431" s="495">
        <v>0</v>
      </c>
      <c r="AR431" s="495">
        <v>0</v>
      </c>
      <c r="AS431" s="495">
        <v>0</v>
      </c>
    </row>
    <row r="432" spans="1:45">
      <c r="A432" s="390">
        <v>94428</v>
      </c>
      <c r="B432" s="393">
        <v>94428</v>
      </c>
      <c r="C432" s="499" t="s">
        <v>1142</v>
      </c>
      <c r="D432" s="378">
        <v>6.5509645489123401E-5</v>
      </c>
      <c r="F432" s="495">
        <v>35193.761633763759</v>
      </c>
      <c r="G432" s="495">
        <v>82483.579933763758</v>
      </c>
      <c r="H432" s="495">
        <v>12797.612943763743</v>
      </c>
      <c r="I432" s="495">
        <v>-6787.7650000000003</v>
      </c>
      <c r="J432" s="495">
        <v>0</v>
      </c>
      <c r="M432" s="495">
        <v>30105.175500000001</v>
      </c>
      <c r="N432" s="495">
        <v>30625.442000000003</v>
      </c>
      <c r="O432" s="495">
        <v>16128.261500000002</v>
      </c>
      <c r="P432" s="495">
        <v>0</v>
      </c>
      <c r="Q432" s="495">
        <v>0</v>
      </c>
      <c r="T432" s="495">
        <v>12390.242000000002</v>
      </c>
      <c r="U432" s="495">
        <v>56306.223500000007</v>
      </c>
      <c r="V432" s="495">
        <v>-1878.0160000000001</v>
      </c>
      <c r="W432" s="495">
        <v>-6787.7650000000003</v>
      </c>
      <c r="X432" s="495">
        <v>0</v>
      </c>
      <c r="AA432" s="495">
        <v>0</v>
      </c>
      <c r="AB432" s="495">
        <v>0</v>
      </c>
      <c r="AC432" s="495">
        <v>0</v>
      </c>
      <c r="AD432" s="495">
        <v>0</v>
      </c>
      <c r="AE432" s="495">
        <v>0</v>
      </c>
      <c r="AH432" s="495">
        <v>44.8387500000008</v>
      </c>
      <c r="AI432" s="495">
        <v>0</v>
      </c>
      <c r="AJ432" s="495">
        <v>0</v>
      </c>
      <c r="AK432" s="495">
        <v>0</v>
      </c>
      <c r="AL432" s="495">
        <v>0</v>
      </c>
      <c r="AO432" s="495">
        <v>-7346.4946162362485</v>
      </c>
      <c r="AP432" s="495">
        <v>-4448.0855662362428</v>
      </c>
      <c r="AQ432" s="495">
        <v>-1452.6325562362604</v>
      </c>
      <c r="AR432" s="495">
        <v>0</v>
      </c>
      <c r="AS432" s="495">
        <v>0</v>
      </c>
    </row>
    <row r="433" spans="1:45">
      <c r="A433" s="390">
        <v>94431</v>
      </c>
      <c r="B433" s="393">
        <v>94431</v>
      </c>
      <c r="C433" s="499" t="s">
        <v>1143</v>
      </c>
      <c r="D433" s="378">
        <v>3.8937756744100065E-4</v>
      </c>
      <c r="F433" s="495">
        <v>252266.12270135738</v>
      </c>
      <c r="G433" s="495">
        <v>515999.57079635735</v>
      </c>
      <c r="H433" s="495">
        <v>64145.088001357355</v>
      </c>
      <c r="I433" s="495">
        <v>-40345.231599999999</v>
      </c>
      <c r="J433" s="495">
        <v>0</v>
      </c>
      <c r="M433" s="495">
        <v>178939.64772000001</v>
      </c>
      <c r="N433" s="495">
        <v>182032.01648000002</v>
      </c>
      <c r="O433" s="495">
        <v>95863.431560000012</v>
      </c>
      <c r="P433" s="495">
        <v>0</v>
      </c>
      <c r="Q433" s="495">
        <v>0</v>
      </c>
      <c r="T433" s="495">
        <v>73645.328479999996</v>
      </c>
      <c r="U433" s="495">
        <v>334673.87684000004</v>
      </c>
      <c r="V433" s="495">
        <v>-11162.583040000001</v>
      </c>
      <c r="W433" s="495">
        <v>-40345.231599999999</v>
      </c>
      <c r="X433" s="495">
        <v>0</v>
      </c>
      <c r="AA433" s="495">
        <v>0</v>
      </c>
      <c r="AB433" s="495">
        <v>0</v>
      </c>
      <c r="AC433" s="495">
        <v>0</v>
      </c>
      <c r="AD433" s="495">
        <v>0</v>
      </c>
      <c r="AE433" s="495">
        <v>0</v>
      </c>
      <c r="AH433" s="495">
        <v>28527.239910000004</v>
      </c>
      <c r="AI433" s="495">
        <v>25515.167760000011</v>
      </c>
      <c r="AJ433" s="495">
        <v>0</v>
      </c>
      <c r="AK433" s="495">
        <v>0</v>
      </c>
      <c r="AL433" s="495">
        <v>0</v>
      </c>
      <c r="AO433" s="495">
        <v>-28846.09340864265</v>
      </c>
      <c r="AP433" s="495">
        <v>-26221.490283642655</v>
      </c>
      <c r="AQ433" s="495">
        <v>-20555.760518642659</v>
      </c>
      <c r="AR433" s="495">
        <v>0</v>
      </c>
      <c r="AS433" s="495">
        <v>0</v>
      </c>
    </row>
    <row r="434" spans="1:45">
      <c r="A434" s="390">
        <v>94437</v>
      </c>
      <c r="B434" s="393">
        <v>94437</v>
      </c>
      <c r="C434" s="499" t="s">
        <v>1144</v>
      </c>
      <c r="D434" s="378">
        <v>1.0011463511450214E-5</v>
      </c>
      <c r="F434" s="495">
        <v>11004.150257137029</v>
      </c>
      <c r="G434" s="495">
        <v>14660.038892137029</v>
      </c>
      <c r="H434" s="495">
        <v>3342.6002371370232</v>
      </c>
      <c r="I434" s="495">
        <v>-1037.3363000000002</v>
      </c>
      <c r="J434" s="495">
        <v>0</v>
      </c>
      <c r="M434" s="495">
        <v>4600.8062100000006</v>
      </c>
      <c r="N434" s="495">
        <v>4680.3156400000007</v>
      </c>
      <c r="O434" s="495">
        <v>2464.7923300000002</v>
      </c>
      <c r="P434" s="495">
        <v>0</v>
      </c>
      <c r="Q434" s="495">
        <v>0</v>
      </c>
      <c r="T434" s="495">
        <v>1893.5316400000002</v>
      </c>
      <c r="U434" s="495">
        <v>8604.9663700000001</v>
      </c>
      <c r="V434" s="495">
        <v>-287.00672000000003</v>
      </c>
      <c r="W434" s="495">
        <v>-1037.3363000000002</v>
      </c>
      <c r="X434" s="495">
        <v>0</v>
      </c>
      <c r="AA434" s="495">
        <v>0</v>
      </c>
      <c r="AB434" s="495">
        <v>0</v>
      </c>
      <c r="AC434" s="495">
        <v>0</v>
      </c>
      <c r="AD434" s="495">
        <v>0</v>
      </c>
      <c r="AE434" s="495">
        <v>0</v>
      </c>
      <c r="AH434" s="495">
        <v>7414.7082671370244</v>
      </c>
      <c r="AI434" s="495">
        <v>4279.6527421370238</v>
      </c>
      <c r="AJ434" s="495">
        <v>1164.8146271370229</v>
      </c>
      <c r="AK434" s="495">
        <v>0</v>
      </c>
      <c r="AL434" s="495">
        <v>0</v>
      </c>
      <c r="AO434" s="495">
        <v>-2904.8958599999978</v>
      </c>
      <c r="AP434" s="495">
        <v>-2904.8958599999978</v>
      </c>
      <c r="AQ434" s="495">
        <v>0</v>
      </c>
      <c r="AR434" s="495">
        <v>0</v>
      </c>
      <c r="AS434" s="495">
        <v>0</v>
      </c>
    </row>
    <row r="435" spans="1:45">
      <c r="A435" s="390">
        <v>94501</v>
      </c>
      <c r="B435" s="393">
        <v>94501</v>
      </c>
      <c r="C435" s="499" t="s">
        <v>2019</v>
      </c>
      <c r="D435" s="378">
        <v>6.1653327126402011E-3</v>
      </c>
      <c r="F435" s="495">
        <v>4470149.0741469134</v>
      </c>
      <c r="G435" s="495">
        <v>8556823.6004419141</v>
      </c>
      <c r="H435" s="495">
        <v>1698198.6339669146</v>
      </c>
      <c r="I435" s="495">
        <v>-638818.84460000007</v>
      </c>
      <c r="J435" s="495">
        <v>0</v>
      </c>
      <c r="M435" s="495">
        <v>2833296.8848200003</v>
      </c>
      <c r="N435" s="495">
        <v>2882260.8728800002</v>
      </c>
      <c r="O435" s="495">
        <v>1517883.62986</v>
      </c>
      <c r="P435" s="495">
        <v>0</v>
      </c>
      <c r="Q435" s="495">
        <v>0</v>
      </c>
      <c r="T435" s="495">
        <v>1166086.34488</v>
      </c>
      <c r="U435" s="495">
        <v>5299163.5155400001</v>
      </c>
      <c r="V435" s="495">
        <v>-176746.25024000002</v>
      </c>
      <c r="W435" s="495">
        <v>-638818.84460000007</v>
      </c>
      <c r="X435" s="495">
        <v>0</v>
      </c>
      <c r="AA435" s="495">
        <v>0</v>
      </c>
      <c r="AB435" s="495">
        <v>0</v>
      </c>
      <c r="AC435" s="495">
        <v>0</v>
      </c>
      <c r="AD435" s="495">
        <v>0</v>
      </c>
      <c r="AE435" s="495">
        <v>0</v>
      </c>
      <c r="AH435" s="495">
        <v>498258.32002191432</v>
      </c>
      <c r="AI435" s="495">
        <v>401303.69572191453</v>
      </c>
      <c r="AJ435" s="495">
        <v>357061.25434691459</v>
      </c>
      <c r="AK435" s="495">
        <v>0</v>
      </c>
      <c r="AL435" s="495">
        <v>0</v>
      </c>
      <c r="AO435" s="495">
        <v>-27492.475575001015</v>
      </c>
      <c r="AP435" s="495">
        <v>-25904.483700001183</v>
      </c>
      <c r="AQ435" s="495">
        <v>0</v>
      </c>
      <c r="AR435" s="495">
        <v>0</v>
      </c>
      <c r="AS435" s="495">
        <v>0</v>
      </c>
    </row>
    <row r="436" spans="1:45">
      <c r="A436" s="390">
        <v>94511</v>
      </c>
      <c r="B436" s="393">
        <v>94511</v>
      </c>
      <c r="C436" s="499" t="s">
        <v>1146</v>
      </c>
      <c r="D436" s="378">
        <v>2.4256890987160479E-3</v>
      </c>
      <c r="F436" s="495">
        <v>1652595.8906172588</v>
      </c>
      <c r="G436" s="495">
        <v>3162581.7165472582</v>
      </c>
      <c r="H436" s="495">
        <v>429180.3593147588</v>
      </c>
      <c r="I436" s="495">
        <v>-251336.94789999997</v>
      </c>
      <c r="J436" s="495">
        <v>0</v>
      </c>
      <c r="M436" s="495">
        <v>1114732.59993</v>
      </c>
      <c r="N436" s="495">
        <v>1133996.99612</v>
      </c>
      <c r="O436" s="495">
        <v>597196.28188999998</v>
      </c>
      <c r="P436" s="495">
        <v>0</v>
      </c>
      <c r="Q436" s="495">
        <v>0</v>
      </c>
      <c r="T436" s="495">
        <v>458785.12411999999</v>
      </c>
      <c r="U436" s="495">
        <v>2084903.4052099998</v>
      </c>
      <c r="V436" s="495">
        <v>-69539.061759999997</v>
      </c>
      <c r="W436" s="495">
        <v>-251336.94789999997</v>
      </c>
      <c r="X436" s="495">
        <v>0</v>
      </c>
      <c r="AA436" s="495">
        <v>0</v>
      </c>
      <c r="AB436" s="495">
        <v>0</v>
      </c>
      <c r="AC436" s="495">
        <v>0</v>
      </c>
      <c r="AD436" s="495">
        <v>0</v>
      </c>
      <c r="AE436" s="495">
        <v>0</v>
      </c>
      <c r="AH436" s="495">
        <v>275980.77328499977</v>
      </c>
      <c r="AI436" s="495">
        <v>88891.310684999684</v>
      </c>
      <c r="AJ436" s="495">
        <v>0</v>
      </c>
      <c r="AK436" s="495">
        <v>0</v>
      </c>
      <c r="AL436" s="495">
        <v>0</v>
      </c>
      <c r="AO436" s="495">
        <v>-196902.60671774106</v>
      </c>
      <c r="AP436" s="495">
        <v>-145209.99546774116</v>
      </c>
      <c r="AQ436" s="495">
        <v>-98476.86081524122</v>
      </c>
      <c r="AR436" s="495">
        <v>0</v>
      </c>
      <c r="AS436" s="495">
        <v>0</v>
      </c>
    </row>
    <row r="437" spans="1:45">
      <c r="A437" s="390">
        <v>94517</v>
      </c>
      <c r="B437" s="393">
        <v>94517</v>
      </c>
      <c r="C437" s="499" t="s">
        <v>1148</v>
      </c>
      <c r="D437" s="378">
        <v>6.2359273128113866E-5</v>
      </c>
      <c r="F437" s="495">
        <v>41853.437223475848</v>
      </c>
      <c r="G437" s="495">
        <v>70687.514498475852</v>
      </c>
      <c r="H437" s="495">
        <v>5638.9167134758682</v>
      </c>
      <c r="I437" s="495">
        <v>-6461.3305</v>
      </c>
      <c r="J437" s="495">
        <v>0</v>
      </c>
      <c r="M437" s="495">
        <v>28657.369349999997</v>
      </c>
      <c r="N437" s="495">
        <v>29152.615399999999</v>
      </c>
      <c r="O437" s="495">
        <v>15352.627549999999</v>
      </c>
      <c r="P437" s="495">
        <v>0</v>
      </c>
      <c r="Q437" s="495">
        <v>0</v>
      </c>
      <c r="T437" s="495">
        <v>11794.375399999999</v>
      </c>
      <c r="U437" s="495">
        <v>53598.366949999996</v>
      </c>
      <c r="V437" s="495">
        <v>-1787.6992</v>
      </c>
      <c r="W437" s="495">
        <v>-6461.3305</v>
      </c>
      <c r="X437" s="495">
        <v>0</v>
      </c>
      <c r="AA437" s="495">
        <v>0</v>
      </c>
      <c r="AB437" s="495">
        <v>0</v>
      </c>
      <c r="AC437" s="495">
        <v>0</v>
      </c>
      <c r="AD437" s="495">
        <v>0</v>
      </c>
      <c r="AE437" s="495">
        <v>0</v>
      </c>
      <c r="AH437" s="495">
        <v>15586.706529999996</v>
      </c>
      <c r="AI437" s="495">
        <v>2121.5462050000024</v>
      </c>
      <c r="AJ437" s="495">
        <v>0</v>
      </c>
      <c r="AK437" s="495">
        <v>0</v>
      </c>
      <c r="AL437" s="495">
        <v>0</v>
      </c>
      <c r="AO437" s="495">
        <v>-14185.014056524142</v>
      </c>
      <c r="AP437" s="495">
        <v>-14185.014056524142</v>
      </c>
      <c r="AQ437" s="495">
        <v>-7926.0116365241302</v>
      </c>
      <c r="AR437" s="495">
        <v>0</v>
      </c>
      <c r="AS437" s="495">
        <v>0</v>
      </c>
    </row>
    <row r="438" spans="1:45">
      <c r="A438" s="390">
        <v>94521</v>
      </c>
      <c r="B438" s="393">
        <v>94521</v>
      </c>
      <c r="C438" s="499" t="s">
        <v>1149</v>
      </c>
      <c r="D438" s="378">
        <v>1.2942919486497626E-4</v>
      </c>
      <c r="F438" s="495">
        <v>70277.028607215441</v>
      </c>
      <c r="G438" s="495">
        <v>165808.91536721544</v>
      </c>
      <c r="H438" s="495">
        <v>10538.437074715479</v>
      </c>
      <c r="I438" s="495">
        <v>-13410.7583</v>
      </c>
      <c r="J438" s="495">
        <v>0</v>
      </c>
      <c r="M438" s="495">
        <v>59479.553609999995</v>
      </c>
      <c r="N438" s="495">
        <v>60507.457239999996</v>
      </c>
      <c r="O438" s="495">
        <v>31865.01253</v>
      </c>
      <c r="P438" s="495">
        <v>0</v>
      </c>
      <c r="Q438" s="495">
        <v>0</v>
      </c>
      <c r="T438" s="495">
        <v>24479.713240000001</v>
      </c>
      <c r="U438" s="495">
        <v>111245.62417</v>
      </c>
      <c r="V438" s="495">
        <v>-3710.4435199999998</v>
      </c>
      <c r="W438" s="495">
        <v>-13410.7583</v>
      </c>
      <c r="X438" s="495">
        <v>0</v>
      </c>
      <c r="AA438" s="495">
        <v>0</v>
      </c>
      <c r="AB438" s="495">
        <v>0</v>
      </c>
      <c r="AC438" s="495">
        <v>0</v>
      </c>
      <c r="AD438" s="495">
        <v>0</v>
      </c>
      <c r="AE438" s="495">
        <v>0</v>
      </c>
      <c r="AH438" s="495">
        <v>15849.650864999978</v>
      </c>
      <c r="AI438" s="495">
        <v>15849.650864999978</v>
      </c>
      <c r="AJ438" s="495">
        <v>0</v>
      </c>
      <c r="AK438" s="495">
        <v>0</v>
      </c>
      <c r="AL438" s="495">
        <v>0</v>
      </c>
      <c r="AO438" s="495">
        <v>-29531.889107784526</v>
      </c>
      <c r="AP438" s="495">
        <v>-21793.81690778452</v>
      </c>
      <c r="AQ438" s="495">
        <v>-17616.13193528452</v>
      </c>
      <c r="AR438" s="495">
        <v>0</v>
      </c>
      <c r="AS438" s="495">
        <v>0</v>
      </c>
    </row>
    <row r="439" spans="1:45">
      <c r="A439" s="390">
        <v>94527</v>
      </c>
      <c r="B439" s="393">
        <v>94527</v>
      </c>
      <c r="C439" s="499" t="s">
        <v>1150</v>
      </c>
      <c r="D439" s="378">
        <v>1.063159802847493E-5</v>
      </c>
      <c r="F439" s="495">
        <v>9916.0392790825754</v>
      </c>
      <c r="G439" s="495">
        <v>17240.389184082575</v>
      </c>
      <c r="H439" s="495">
        <v>5604.2210340825732</v>
      </c>
      <c r="I439" s="495">
        <v>-1101.5869</v>
      </c>
      <c r="J439" s="495">
        <v>0</v>
      </c>
      <c r="M439" s="495">
        <v>4885.7712300000003</v>
      </c>
      <c r="N439" s="495">
        <v>4970.20532</v>
      </c>
      <c r="O439" s="495">
        <v>2617.4567900000002</v>
      </c>
      <c r="P439" s="495">
        <v>0</v>
      </c>
      <c r="Q439" s="495">
        <v>0</v>
      </c>
      <c r="T439" s="495">
        <v>2010.81332</v>
      </c>
      <c r="U439" s="495">
        <v>9137.9413100000002</v>
      </c>
      <c r="V439" s="495">
        <v>-304.78336000000002</v>
      </c>
      <c r="W439" s="495">
        <v>-1101.5869</v>
      </c>
      <c r="X439" s="495">
        <v>0</v>
      </c>
      <c r="AA439" s="495">
        <v>0</v>
      </c>
      <c r="AB439" s="495">
        <v>0</v>
      </c>
      <c r="AC439" s="495">
        <v>0</v>
      </c>
      <c r="AD439" s="495">
        <v>0</v>
      </c>
      <c r="AE439" s="495">
        <v>0</v>
      </c>
      <c r="AH439" s="495">
        <v>3713.1532540825738</v>
      </c>
      <c r="AI439" s="495">
        <v>3656.321704082573</v>
      </c>
      <c r="AJ439" s="495">
        <v>3291.5476040825729</v>
      </c>
      <c r="AK439" s="495">
        <v>0</v>
      </c>
      <c r="AL439" s="495">
        <v>0</v>
      </c>
      <c r="AO439" s="495">
        <v>-693.69852499999899</v>
      </c>
      <c r="AP439" s="495">
        <v>-524.079149999999</v>
      </c>
      <c r="AQ439" s="495">
        <v>0</v>
      </c>
      <c r="AR439" s="495">
        <v>0</v>
      </c>
      <c r="AS439" s="495">
        <v>0</v>
      </c>
    </row>
    <row r="440" spans="1:45">
      <c r="A440" s="390">
        <v>94531</v>
      </c>
      <c r="B440" s="393">
        <v>94531</v>
      </c>
      <c r="C440" s="499" t="s">
        <v>1151</v>
      </c>
      <c r="D440" s="378">
        <v>2.4583586158751336E-5</v>
      </c>
      <c r="F440" s="495">
        <v>23926.863397857447</v>
      </c>
      <c r="G440" s="495">
        <v>37797.704977857444</v>
      </c>
      <c r="H440" s="495">
        <v>5068.8360253574419</v>
      </c>
      <c r="I440" s="495">
        <v>-2547.2253999999998</v>
      </c>
      <c r="J440" s="495">
        <v>0</v>
      </c>
      <c r="M440" s="495">
        <v>11297.484179999999</v>
      </c>
      <c r="N440" s="495">
        <v>11492.723119999999</v>
      </c>
      <c r="O440" s="495">
        <v>6052.4071399999993</v>
      </c>
      <c r="P440" s="495">
        <v>0</v>
      </c>
      <c r="Q440" s="495">
        <v>0</v>
      </c>
      <c r="T440" s="495">
        <v>4649.6511199999995</v>
      </c>
      <c r="U440" s="495">
        <v>21129.87746</v>
      </c>
      <c r="V440" s="495">
        <v>-704.75775999999996</v>
      </c>
      <c r="W440" s="495">
        <v>-2547.2253999999998</v>
      </c>
      <c r="X440" s="495">
        <v>0</v>
      </c>
      <c r="AA440" s="495">
        <v>0</v>
      </c>
      <c r="AB440" s="495">
        <v>0</v>
      </c>
      <c r="AC440" s="495">
        <v>0</v>
      </c>
      <c r="AD440" s="495">
        <v>0</v>
      </c>
      <c r="AE440" s="495">
        <v>0</v>
      </c>
      <c r="AH440" s="495">
        <v>8258.5414525000033</v>
      </c>
      <c r="AI440" s="495">
        <v>5453.9177525000032</v>
      </c>
      <c r="AJ440" s="495">
        <v>0</v>
      </c>
      <c r="AK440" s="495">
        <v>0</v>
      </c>
      <c r="AL440" s="495">
        <v>0</v>
      </c>
      <c r="AO440" s="495">
        <v>-278.81335464255699</v>
      </c>
      <c r="AP440" s="495">
        <v>-278.81335464255699</v>
      </c>
      <c r="AQ440" s="495">
        <v>-278.81335464255699</v>
      </c>
      <c r="AR440" s="495">
        <v>0</v>
      </c>
      <c r="AS440" s="495">
        <v>0</v>
      </c>
    </row>
    <row r="441" spans="1:45">
      <c r="A441" s="390">
        <v>94532</v>
      </c>
      <c r="B441" s="393">
        <v>94532</v>
      </c>
      <c r="C441" s="499" t="s">
        <v>1152</v>
      </c>
      <c r="D441" s="378">
        <v>1.2952918784690798E-4</v>
      </c>
      <c r="F441" s="495">
        <v>91769.340220835729</v>
      </c>
      <c r="G441" s="495">
        <v>174577.00240583575</v>
      </c>
      <c r="H441" s="495">
        <v>16265.462785835734</v>
      </c>
      <c r="I441" s="495">
        <v>-13421.121300000001</v>
      </c>
      <c r="J441" s="495">
        <v>0</v>
      </c>
      <c r="M441" s="495">
        <v>59525.51571</v>
      </c>
      <c r="N441" s="495">
        <v>60554.213640000002</v>
      </c>
      <c r="O441" s="495">
        <v>31889.635829999999</v>
      </c>
      <c r="P441" s="495">
        <v>0</v>
      </c>
      <c r="Q441" s="495">
        <v>0</v>
      </c>
      <c r="T441" s="495">
        <v>24498.629639999999</v>
      </c>
      <c r="U441" s="495">
        <v>111331.58787</v>
      </c>
      <c r="V441" s="495">
        <v>-3713.3107199999999</v>
      </c>
      <c r="W441" s="495">
        <v>-13421.121300000001</v>
      </c>
      <c r="X441" s="495">
        <v>0</v>
      </c>
      <c r="AA441" s="495">
        <v>0</v>
      </c>
      <c r="AB441" s="495">
        <v>0</v>
      </c>
      <c r="AC441" s="495">
        <v>0</v>
      </c>
      <c r="AD441" s="495">
        <v>0</v>
      </c>
      <c r="AE441" s="495">
        <v>0</v>
      </c>
      <c r="AH441" s="495">
        <v>24654.55418499999</v>
      </c>
      <c r="AI441" s="495">
        <v>19600.560209999996</v>
      </c>
      <c r="AJ441" s="495">
        <v>0</v>
      </c>
      <c r="AK441" s="495">
        <v>0</v>
      </c>
      <c r="AL441" s="495">
        <v>0</v>
      </c>
      <c r="AO441" s="495">
        <v>-16909.359314164267</v>
      </c>
      <c r="AP441" s="495">
        <v>-16909.359314164267</v>
      </c>
      <c r="AQ441" s="495">
        <v>-11910.862324164264</v>
      </c>
      <c r="AR441" s="495">
        <v>0</v>
      </c>
      <c r="AS441" s="495">
        <v>0</v>
      </c>
    </row>
    <row r="442" spans="1:45">
      <c r="A442" s="390">
        <v>94537</v>
      </c>
      <c r="B442" s="393">
        <v>94537</v>
      </c>
      <c r="C442" s="499" t="s">
        <v>3772</v>
      </c>
      <c r="D442" s="378">
        <v>1.4562182692123933E-5</v>
      </c>
      <c r="F442" s="495">
        <v>21314.987470608397</v>
      </c>
      <c r="G442" s="495">
        <v>31192.724430608396</v>
      </c>
      <c r="H442" s="495">
        <v>8102.9251231083963</v>
      </c>
      <c r="I442" s="495">
        <v>-1508.8527999999999</v>
      </c>
      <c r="J442" s="495">
        <v>0</v>
      </c>
      <c r="M442" s="495">
        <v>6692.08176</v>
      </c>
      <c r="N442" s="495">
        <v>6807.7318399999995</v>
      </c>
      <c r="O442" s="495">
        <v>3585.1524799999997</v>
      </c>
      <c r="P442" s="495">
        <v>0</v>
      </c>
      <c r="Q442" s="495">
        <v>0</v>
      </c>
      <c r="T442" s="495">
        <v>2754.22784</v>
      </c>
      <c r="U442" s="495">
        <v>12516.31472</v>
      </c>
      <c r="V442" s="495">
        <v>-417.46431999999999</v>
      </c>
      <c r="W442" s="495">
        <v>-1508.8527999999999</v>
      </c>
      <c r="X442" s="495">
        <v>0</v>
      </c>
      <c r="AA442" s="495">
        <v>0</v>
      </c>
      <c r="AB442" s="495">
        <v>0</v>
      </c>
      <c r="AC442" s="495">
        <v>0</v>
      </c>
      <c r="AD442" s="495">
        <v>0</v>
      </c>
      <c r="AE442" s="495">
        <v>0</v>
      </c>
      <c r="AH442" s="495">
        <v>11868.677870608397</v>
      </c>
      <c r="AI442" s="495">
        <v>11868.677870608397</v>
      </c>
      <c r="AJ442" s="495">
        <v>4935.2369631083966</v>
      </c>
      <c r="AK442" s="495">
        <v>0</v>
      </c>
      <c r="AL442" s="495">
        <v>0</v>
      </c>
      <c r="AO442" s="495">
        <v>0</v>
      </c>
      <c r="AP442" s="495">
        <v>0</v>
      </c>
      <c r="AQ442" s="495">
        <v>0</v>
      </c>
      <c r="AR442" s="495">
        <v>0</v>
      </c>
      <c r="AS442" s="495">
        <v>0</v>
      </c>
    </row>
    <row r="443" spans="1:45">
      <c r="A443" s="390">
        <v>94541</v>
      </c>
      <c r="B443" s="393">
        <v>94541</v>
      </c>
      <c r="C443" s="499" t="s">
        <v>1153</v>
      </c>
      <c r="D443" s="378">
        <v>2.5408765631752096E-4</v>
      </c>
      <c r="F443" s="495">
        <v>152883.42524599505</v>
      </c>
      <c r="G443" s="495">
        <v>327297.36949599517</v>
      </c>
      <c r="H443" s="495">
        <v>66100.611870995112</v>
      </c>
      <c r="I443" s="495">
        <v>-26327.201500000003</v>
      </c>
      <c r="J443" s="495">
        <v>0</v>
      </c>
      <c r="M443" s="495">
        <v>116766.71505000001</v>
      </c>
      <c r="N443" s="495">
        <v>118784.63420000001</v>
      </c>
      <c r="O443" s="495">
        <v>62555.493650000004</v>
      </c>
      <c r="P443" s="495">
        <v>0</v>
      </c>
      <c r="Q443" s="495">
        <v>0</v>
      </c>
      <c r="T443" s="495">
        <v>48057.114200000004</v>
      </c>
      <c r="U443" s="495">
        <v>218390.77985000002</v>
      </c>
      <c r="V443" s="495">
        <v>-7284.1216000000004</v>
      </c>
      <c r="W443" s="495">
        <v>-26327.201500000003</v>
      </c>
      <c r="X443" s="495">
        <v>0</v>
      </c>
      <c r="AA443" s="495">
        <v>0</v>
      </c>
      <c r="AB443" s="495">
        <v>0</v>
      </c>
      <c r="AC443" s="495">
        <v>0</v>
      </c>
      <c r="AD443" s="495">
        <v>0</v>
      </c>
      <c r="AE443" s="495">
        <v>0</v>
      </c>
      <c r="AH443" s="495">
        <v>15467.295245995079</v>
      </c>
      <c r="AI443" s="495">
        <v>13705.517195995115</v>
      </c>
      <c r="AJ443" s="495">
        <v>10829.23982099511</v>
      </c>
      <c r="AK443" s="495">
        <v>0</v>
      </c>
      <c r="AL443" s="495">
        <v>0</v>
      </c>
      <c r="AO443" s="495">
        <v>-27407.69925000002</v>
      </c>
      <c r="AP443" s="495">
        <v>-23583.561750000015</v>
      </c>
      <c r="AQ443" s="495">
        <v>0</v>
      </c>
      <c r="AR443" s="495">
        <v>0</v>
      </c>
      <c r="AS443" s="495">
        <v>0</v>
      </c>
    </row>
    <row r="444" spans="1:45">
      <c r="A444" s="390">
        <v>94547</v>
      </c>
      <c r="B444" s="393">
        <v>94547</v>
      </c>
      <c r="C444" s="499" t="s">
        <v>1154</v>
      </c>
      <c r="D444" s="378">
        <v>2.2163281251875448E-5</v>
      </c>
      <c r="F444" s="495">
        <v>25728.104543247395</v>
      </c>
      <c r="G444" s="495">
        <v>39132.676578247396</v>
      </c>
      <c r="H444" s="495">
        <v>19854.185988247402</v>
      </c>
      <c r="I444" s="495">
        <v>-2296.4408000000003</v>
      </c>
      <c r="J444" s="495">
        <v>0</v>
      </c>
      <c r="M444" s="495">
        <v>10185.201360000001</v>
      </c>
      <c r="N444" s="495">
        <v>10361.21824</v>
      </c>
      <c r="O444" s="495">
        <v>5456.5232800000003</v>
      </c>
      <c r="P444" s="495">
        <v>0</v>
      </c>
      <c r="Q444" s="495">
        <v>0</v>
      </c>
      <c r="T444" s="495">
        <v>4191.8742400000001</v>
      </c>
      <c r="U444" s="495">
        <v>19049.555920000003</v>
      </c>
      <c r="V444" s="495">
        <v>-635.37152000000003</v>
      </c>
      <c r="W444" s="495">
        <v>-2296.4408000000003</v>
      </c>
      <c r="X444" s="495">
        <v>0</v>
      </c>
      <c r="AA444" s="495">
        <v>0</v>
      </c>
      <c r="AB444" s="495">
        <v>0</v>
      </c>
      <c r="AC444" s="495">
        <v>0</v>
      </c>
      <c r="AD444" s="495">
        <v>0</v>
      </c>
      <c r="AE444" s="495">
        <v>0</v>
      </c>
      <c r="AH444" s="495">
        <v>19391.900473247399</v>
      </c>
      <c r="AI444" s="495">
        <v>17762.773948247399</v>
      </c>
      <c r="AJ444" s="495">
        <v>15033.034228247401</v>
      </c>
      <c r="AK444" s="495">
        <v>0</v>
      </c>
      <c r="AL444" s="495">
        <v>0</v>
      </c>
      <c r="AO444" s="495">
        <v>-8040.8715300000013</v>
      </c>
      <c r="AP444" s="495">
        <v>-8040.8715300000013</v>
      </c>
      <c r="AQ444" s="495">
        <v>0</v>
      </c>
      <c r="AR444" s="495">
        <v>0</v>
      </c>
      <c r="AS444" s="495">
        <v>0</v>
      </c>
    </row>
    <row r="445" spans="1:45">
      <c r="A445" s="390">
        <v>94551</v>
      </c>
      <c r="B445" s="393">
        <v>94551</v>
      </c>
      <c r="C445" s="499" t="s">
        <v>1155</v>
      </c>
      <c r="D445" s="378">
        <v>7.4000889288623314E-5</v>
      </c>
      <c r="F445" s="495">
        <v>64815.958996372938</v>
      </c>
      <c r="G445" s="495">
        <v>106607.67276137295</v>
      </c>
      <c r="H445" s="495">
        <v>19514.648863872953</v>
      </c>
      <c r="I445" s="495">
        <v>-7667.5837000000001</v>
      </c>
      <c r="J445" s="495">
        <v>0</v>
      </c>
      <c r="M445" s="495">
        <v>34007.357790000002</v>
      </c>
      <c r="N445" s="495">
        <v>34595.060360000003</v>
      </c>
      <c r="O445" s="495">
        <v>18218.77967</v>
      </c>
      <c r="P445" s="495">
        <v>0</v>
      </c>
      <c r="Q445" s="495">
        <v>0</v>
      </c>
      <c r="T445" s="495">
        <v>13996.244360000001</v>
      </c>
      <c r="U445" s="495">
        <v>63604.54163</v>
      </c>
      <c r="V445" s="495">
        <v>-2121.44128</v>
      </c>
      <c r="W445" s="495">
        <v>-7667.5837000000001</v>
      </c>
      <c r="X445" s="495">
        <v>0</v>
      </c>
      <c r="AA445" s="495">
        <v>0</v>
      </c>
      <c r="AB445" s="495">
        <v>0</v>
      </c>
      <c r="AC445" s="495">
        <v>0</v>
      </c>
      <c r="AD445" s="495">
        <v>0</v>
      </c>
      <c r="AE445" s="495">
        <v>0</v>
      </c>
      <c r="AH445" s="495">
        <v>16830.295853872936</v>
      </c>
      <c r="AI445" s="495">
        <v>8426.0097788729418</v>
      </c>
      <c r="AJ445" s="495">
        <v>3417.3104738729526</v>
      </c>
      <c r="AK445" s="495">
        <v>0</v>
      </c>
      <c r="AL445" s="495">
        <v>0</v>
      </c>
      <c r="AO445" s="495">
        <v>-17.939007500001026</v>
      </c>
      <c r="AP445" s="495">
        <v>-17.939007500001026</v>
      </c>
      <c r="AQ445" s="495">
        <v>0</v>
      </c>
      <c r="AR445" s="495">
        <v>0</v>
      </c>
      <c r="AS445" s="495">
        <v>0</v>
      </c>
    </row>
    <row r="446" spans="1:45">
      <c r="A446" s="390">
        <v>94601</v>
      </c>
      <c r="B446" s="393">
        <v>94601</v>
      </c>
      <c r="C446" s="499" t="s">
        <v>1156</v>
      </c>
      <c r="D446" s="378">
        <v>7.9236723588823384E-4</v>
      </c>
      <c r="F446" s="495">
        <v>404830.94023768022</v>
      </c>
      <c r="G446" s="495">
        <v>961634.0134376802</v>
      </c>
      <c r="H446" s="495">
        <v>128025.31222018032</v>
      </c>
      <c r="I446" s="495">
        <v>-82100.867499999993</v>
      </c>
      <c r="J446" s="495">
        <v>0</v>
      </c>
      <c r="M446" s="495">
        <v>364134.73725000001</v>
      </c>
      <c r="N446" s="495">
        <v>370427.57899999997</v>
      </c>
      <c r="O446" s="495">
        <v>195078.09424999999</v>
      </c>
      <c r="P446" s="495">
        <v>0</v>
      </c>
      <c r="Q446" s="495">
        <v>0</v>
      </c>
      <c r="T446" s="495">
        <v>149865.179</v>
      </c>
      <c r="U446" s="495">
        <v>681047.41324999998</v>
      </c>
      <c r="V446" s="495">
        <v>-22715.392</v>
      </c>
      <c r="W446" s="495">
        <v>-82100.867499999993</v>
      </c>
      <c r="X446" s="495">
        <v>0</v>
      </c>
      <c r="AA446" s="495">
        <v>0</v>
      </c>
      <c r="AB446" s="495">
        <v>0</v>
      </c>
      <c r="AC446" s="495">
        <v>0</v>
      </c>
      <c r="AD446" s="495">
        <v>0</v>
      </c>
      <c r="AE446" s="495">
        <v>0</v>
      </c>
      <c r="AH446" s="495">
        <v>12365.759202500019</v>
      </c>
      <c r="AI446" s="495">
        <v>4755.6017024999892</v>
      </c>
      <c r="AJ446" s="495">
        <v>0</v>
      </c>
      <c r="AK446" s="495">
        <v>0</v>
      </c>
      <c r="AL446" s="495">
        <v>0</v>
      </c>
      <c r="AO446" s="495">
        <v>-121534.73521481977</v>
      </c>
      <c r="AP446" s="495">
        <v>-94596.580514819638</v>
      </c>
      <c r="AQ446" s="495">
        <v>-44337.390029819682</v>
      </c>
      <c r="AR446" s="495">
        <v>0</v>
      </c>
      <c r="AS446" s="495">
        <v>0</v>
      </c>
    </row>
    <row r="447" spans="1:45">
      <c r="A447" s="390">
        <v>94604</v>
      </c>
      <c r="B447" s="393">
        <v>94604</v>
      </c>
      <c r="C447" s="499" t="s">
        <v>1157</v>
      </c>
      <c r="D447" s="378">
        <v>2.0122920004832165E-5</v>
      </c>
      <c r="F447" s="495">
        <v>12132.921002894298</v>
      </c>
      <c r="G447" s="495">
        <v>26212.387172894301</v>
      </c>
      <c r="H447" s="495">
        <v>4705.8572053942971</v>
      </c>
      <c r="I447" s="495">
        <v>-2085.0356000000002</v>
      </c>
      <c r="J447" s="495">
        <v>0</v>
      </c>
      <c r="M447" s="495">
        <v>9247.5745200000001</v>
      </c>
      <c r="N447" s="495">
        <v>9407.3876799999998</v>
      </c>
      <c r="O447" s="495">
        <v>4954.2079599999997</v>
      </c>
      <c r="P447" s="495">
        <v>0</v>
      </c>
      <c r="Q447" s="495">
        <v>0</v>
      </c>
      <c r="T447" s="495">
        <v>3805.9796799999999</v>
      </c>
      <c r="U447" s="495">
        <v>17295.89644</v>
      </c>
      <c r="V447" s="495">
        <v>-576.88063999999997</v>
      </c>
      <c r="W447" s="495">
        <v>-2085.0356000000002</v>
      </c>
      <c r="X447" s="495">
        <v>0</v>
      </c>
      <c r="AA447" s="495">
        <v>0</v>
      </c>
      <c r="AB447" s="495">
        <v>0</v>
      </c>
      <c r="AC447" s="495">
        <v>0</v>
      </c>
      <c r="AD447" s="495">
        <v>0</v>
      </c>
      <c r="AE447" s="495">
        <v>0</v>
      </c>
      <c r="AH447" s="495">
        <v>2394.3273378942981</v>
      </c>
      <c r="AI447" s="495">
        <v>1403.2748378942983</v>
      </c>
      <c r="AJ447" s="495">
        <v>328.52988539429816</v>
      </c>
      <c r="AK447" s="495">
        <v>0</v>
      </c>
      <c r="AL447" s="495">
        <v>0</v>
      </c>
      <c r="AO447" s="495">
        <v>-3314.9605349999993</v>
      </c>
      <c r="AP447" s="495">
        <v>-1894.1717849999995</v>
      </c>
      <c r="AQ447" s="495">
        <v>0</v>
      </c>
      <c r="AR447" s="495">
        <v>0</v>
      </c>
      <c r="AS447" s="495">
        <v>0</v>
      </c>
    </row>
    <row r="448" spans="1:45">
      <c r="A448" s="390">
        <v>94606</v>
      </c>
      <c r="B448" s="393">
        <v>94606</v>
      </c>
      <c r="C448" s="499" t="s">
        <v>1158</v>
      </c>
      <c r="D448" s="378">
        <v>0</v>
      </c>
      <c r="F448" s="495">
        <v>0</v>
      </c>
      <c r="G448" s="495">
        <v>0</v>
      </c>
      <c r="H448" s="495">
        <v>0</v>
      </c>
      <c r="I448" s="495">
        <v>0</v>
      </c>
      <c r="J448" s="495">
        <v>0</v>
      </c>
      <c r="M448" s="495">
        <v>0</v>
      </c>
      <c r="N448" s="495">
        <v>0</v>
      </c>
      <c r="O448" s="495">
        <v>0</v>
      </c>
      <c r="P448" s="495">
        <v>0</v>
      </c>
      <c r="Q448" s="495">
        <v>0</v>
      </c>
      <c r="T448" s="495">
        <v>0</v>
      </c>
      <c r="U448" s="495">
        <v>0</v>
      </c>
      <c r="V448" s="495">
        <v>0</v>
      </c>
      <c r="W448" s="495">
        <v>0</v>
      </c>
      <c r="X448" s="495">
        <v>0</v>
      </c>
      <c r="AA448" s="495">
        <v>0</v>
      </c>
      <c r="AB448" s="495">
        <v>0</v>
      </c>
      <c r="AC448" s="495">
        <v>0</v>
      </c>
      <c r="AD448" s="495">
        <v>0</v>
      </c>
      <c r="AE448" s="495">
        <v>0</v>
      </c>
      <c r="AH448" s="495">
        <v>0</v>
      </c>
      <c r="AI448" s="495">
        <v>0</v>
      </c>
      <c r="AJ448" s="495">
        <v>0</v>
      </c>
      <c r="AK448" s="495">
        <v>0</v>
      </c>
      <c r="AL448" s="495">
        <v>0</v>
      </c>
      <c r="AO448" s="495">
        <v>0</v>
      </c>
      <c r="AP448" s="495">
        <v>0</v>
      </c>
      <c r="AQ448" s="495">
        <v>0</v>
      </c>
      <c r="AR448" s="495">
        <v>0</v>
      </c>
      <c r="AS448" s="495">
        <v>0</v>
      </c>
    </row>
    <row r="449" spans="1:45">
      <c r="A449" s="390">
        <v>94611</v>
      </c>
      <c r="B449" s="393">
        <v>94611</v>
      </c>
      <c r="C449" s="499" t="s">
        <v>1159</v>
      </c>
      <c r="D449" s="378">
        <v>3.2436803521907593E-4</v>
      </c>
      <c r="F449" s="495">
        <v>228000.19643569476</v>
      </c>
      <c r="G449" s="495">
        <v>429762.72630569478</v>
      </c>
      <c r="H449" s="495">
        <v>70581.891693194746</v>
      </c>
      <c r="I449" s="495">
        <v>-33609.281600000002</v>
      </c>
      <c r="J449" s="495">
        <v>0</v>
      </c>
      <c r="M449" s="495">
        <v>149064.28272000002</v>
      </c>
      <c r="N449" s="495">
        <v>151640.35648000002</v>
      </c>
      <c r="O449" s="495">
        <v>79858.286560000008</v>
      </c>
      <c r="P449" s="495">
        <v>0</v>
      </c>
      <c r="Q449" s="495">
        <v>0</v>
      </c>
      <c r="T449" s="495">
        <v>61349.66848</v>
      </c>
      <c r="U449" s="495">
        <v>278797.47184000001</v>
      </c>
      <c r="V449" s="495">
        <v>-9298.9030400000011</v>
      </c>
      <c r="W449" s="495">
        <v>-33609.281600000002</v>
      </c>
      <c r="X449" s="495">
        <v>0</v>
      </c>
      <c r="AA449" s="495">
        <v>0</v>
      </c>
      <c r="AB449" s="495">
        <v>0</v>
      </c>
      <c r="AC449" s="495">
        <v>0</v>
      </c>
      <c r="AD449" s="495">
        <v>0</v>
      </c>
      <c r="AE449" s="495">
        <v>0</v>
      </c>
      <c r="AH449" s="495">
        <v>19046.180010694759</v>
      </c>
      <c r="AI449" s="495">
        <v>784.83276069475323</v>
      </c>
      <c r="AJ449" s="495">
        <v>22.508173194739356</v>
      </c>
      <c r="AK449" s="495">
        <v>0</v>
      </c>
      <c r="AL449" s="495">
        <v>0</v>
      </c>
      <c r="AO449" s="495">
        <v>-1459.9347749999934</v>
      </c>
      <c r="AP449" s="495">
        <v>-1459.9347749999934</v>
      </c>
      <c r="AQ449" s="495">
        <v>0</v>
      </c>
      <c r="AR449" s="495">
        <v>0</v>
      </c>
      <c r="AS449" s="495">
        <v>0</v>
      </c>
    </row>
    <row r="450" spans="1:45">
      <c r="A450" s="390">
        <v>94621</v>
      </c>
      <c r="B450" s="393">
        <v>94621</v>
      </c>
      <c r="C450" s="499" t="s">
        <v>1160</v>
      </c>
      <c r="D450" s="378">
        <v>6.8720102653815955E-5</v>
      </c>
      <c r="F450" s="495">
        <v>27138.29931472375</v>
      </c>
      <c r="G450" s="495">
        <v>76036.392524723749</v>
      </c>
      <c r="H450" s="495">
        <v>26615.122564723759</v>
      </c>
      <c r="I450" s="495">
        <v>-7120.4173000000001</v>
      </c>
      <c r="J450" s="495">
        <v>0</v>
      </c>
      <c r="M450" s="495">
        <v>31580.55891</v>
      </c>
      <c r="N450" s="495">
        <v>32126.32244</v>
      </c>
      <c r="O450" s="495">
        <v>16918.669429999998</v>
      </c>
      <c r="P450" s="495">
        <v>0</v>
      </c>
      <c r="Q450" s="495">
        <v>0</v>
      </c>
      <c r="T450" s="495">
        <v>12997.45844</v>
      </c>
      <c r="U450" s="495">
        <v>59065.65827</v>
      </c>
      <c r="V450" s="495">
        <v>-1970.05312</v>
      </c>
      <c r="W450" s="495">
        <v>-7120.4173000000001</v>
      </c>
      <c r="X450" s="495">
        <v>0</v>
      </c>
      <c r="AA450" s="495">
        <v>0</v>
      </c>
      <c r="AB450" s="495">
        <v>0</v>
      </c>
      <c r="AC450" s="495">
        <v>0</v>
      </c>
      <c r="AD450" s="495">
        <v>0</v>
      </c>
      <c r="AE450" s="495">
        <v>0</v>
      </c>
      <c r="AH450" s="495">
        <v>18397.061084723755</v>
      </c>
      <c r="AI450" s="495">
        <v>17157.634834723758</v>
      </c>
      <c r="AJ450" s="495">
        <v>11666.506254723759</v>
      </c>
      <c r="AK450" s="495">
        <v>0</v>
      </c>
      <c r="AL450" s="495">
        <v>0</v>
      </c>
      <c r="AO450" s="495">
        <v>-35836.779120000007</v>
      </c>
      <c r="AP450" s="495">
        <v>-32313.223020000005</v>
      </c>
      <c r="AQ450" s="495">
        <v>0</v>
      </c>
      <c r="AR450" s="495">
        <v>0</v>
      </c>
      <c r="AS450" s="495">
        <v>0</v>
      </c>
    </row>
    <row r="451" spans="1:45">
      <c r="A451" s="390">
        <v>94631</v>
      </c>
      <c r="B451" s="393">
        <v>94631</v>
      </c>
      <c r="C451" s="499" t="s">
        <v>1161</v>
      </c>
      <c r="D451" s="378">
        <v>3.9915892840797592E-5</v>
      </c>
      <c r="F451" s="495">
        <v>25446.309742091766</v>
      </c>
      <c r="G451" s="495">
        <v>55838.303202091767</v>
      </c>
      <c r="H451" s="495">
        <v>8004.0591620917648</v>
      </c>
      <c r="I451" s="495">
        <v>-4135.8733000000002</v>
      </c>
      <c r="J451" s="495">
        <v>0</v>
      </c>
      <c r="M451" s="495">
        <v>18343.474110000003</v>
      </c>
      <c r="N451" s="495">
        <v>18660.479240000001</v>
      </c>
      <c r="O451" s="495">
        <v>9827.1590300000007</v>
      </c>
      <c r="P451" s="495">
        <v>0</v>
      </c>
      <c r="Q451" s="495">
        <v>0</v>
      </c>
      <c r="T451" s="495">
        <v>7549.5352400000002</v>
      </c>
      <c r="U451" s="495">
        <v>34308.112670000002</v>
      </c>
      <c r="V451" s="495">
        <v>-1144.29952</v>
      </c>
      <c r="W451" s="495">
        <v>-4135.8733000000002</v>
      </c>
      <c r="X451" s="495">
        <v>0</v>
      </c>
      <c r="AA451" s="495">
        <v>0</v>
      </c>
      <c r="AB451" s="495">
        <v>0</v>
      </c>
      <c r="AC451" s="495">
        <v>0</v>
      </c>
      <c r="AD451" s="495">
        <v>0</v>
      </c>
      <c r="AE451" s="495">
        <v>0</v>
      </c>
      <c r="AH451" s="495">
        <v>5428.8727199999994</v>
      </c>
      <c r="AI451" s="495">
        <v>4312.4227200000005</v>
      </c>
      <c r="AJ451" s="495">
        <v>0</v>
      </c>
      <c r="AK451" s="495">
        <v>0</v>
      </c>
      <c r="AL451" s="495">
        <v>0</v>
      </c>
      <c r="AO451" s="495">
        <v>-5875.5723279082367</v>
      </c>
      <c r="AP451" s="495">
        <v>-1442.7114279082352</v>
      </c>
      <c r="AQ451" s="495">
        <v>-678.80034790823538</v>
      </c>
      <c r="AR451" s="495">
        <v>0</v>
      </c>
      <c r="AS451" s="495">
        <v>0</v>
      </c>
    </row>
    <row r="452" spans="1:45">
      <c r="A452" s="390">
        <v>94641</v>
      </c>
      <c r="B452" s="393">
        <v>94641</v>
      </c>
      <c r="C452" s="499" t="s">
        <v>1162</v>
      </c>
      <c r="D452" s="378">
        <v>1.5082175869676954E-5</v>
      </c>
      <c r="F452" s="495">
        <v>7530.7239414336982</v>
      </c>
      <c r="G452" s="495">
        <v>13694.6605714337</v>
      </c>
      <c r="H452" s="495">
        <v>3493.269848933699</v>
      </c>
      <c r="I452" s="495">
        <v>-1562.7403999999999</v>
      </c>
      <c r="J452" s="495">
        <v>0</v>
      </c>
      <c r="M452" s="495">
        <v>6931.0846799999999</v>
      </c>
      <c r="N452" s="495">
        <v>7050.8651199999995</v>
      </c>
      <c r="O452" s="495">
        <v>3713.19364</v>
      </c>
      <c r="P452" s="495">
        <v>0</v>
      </c>
      <c r="Q452" s="495">
        <v>0</v>
      </c>
      <c r="T452" s="495">
        <v>2852.59312</v>
      </c>
      <c r="U452" s="495">
        <v>12963.32596</v>
      </c>
      <c r="V452" s="495">
        <v>-432.37376</v>
      </c>
      <c r="W452" s="495">
        <v>-1562.7403999999999</v>
      </c>
      <c r="X452" s="495">
        <v>0</v>
      </c>
      <c r="AA452" s="495">
        <v>0</v>
      </c>
      <c r="AB452" s="495">
        <v>0</v>
      </c>
      <c r="AC452" s="495">
        <v>0</v>
      </c>
      <c r="AD452" s="495">
        <v>0</v>
      </c>
      <c r="AE452" s="495">
        <v>0</v>
      </c>
      <c r="AH452" s="495">
        <v>5497.7841189336978</v>
      </c>
      <c r="AI452" s="495">
        <v>212.44996893369898</v>
      </c>
      <c r="AJ452" s="495">
        <v>212.44996893369898</v>
      </c>
      <c r="AK452" s="495">
        <v>0</v>
      </c>
      <c r="AL452" s="495">
        <v>0</v>
      </c>
      <c r="AO452" s="495">
        <v>-7750.737977499999</v>
      </c>
      <c r="AP452" s="495">
        <v>-6531.9804774999993</v>
      </c>
      <c r="AQ452" s="495">
        <v>0</v>
      </c>
      <c r="AR452" s="495">
        <v>0</v>
      </c>
      <c r="AS452" s="495">
        <v>0</v>
      </c>
    </row>
    <row r="453" spans="1:45">
      <c r="A453" s="390">
        <v>94701</v>
      </c>
      <c r="B453" s="393">
        <v>94701</v>
      </c>
      <c r="C453" s="499" t="s">
        <v>1163</v>
      </c>
      <c r="D453" s="378">
        <v>2.4111269160239242E-3</v>
      </c>
      <c r="F453" s="495">
        <v>1558933.6595341505</v>
      </c>
      <c r="G453" s="495">
        <v>3188882.2015791503</v>
      </c>
      <c r="H453" s="495">
        <v>495930.65119165054</v>
      </c>
      <c r="I453" s="495">
        <v>-249828.09510000001</v>
      </c>
      <c r="J453" s="495">
        <v>0</v>
      </c>
      <c r="M453" s="495">
        <v>1108040.5181700001</v>
      </c>
      <c r="N453" s="495">
        <v>1127189.26428</v>
      </c>
      <c r="O453" s="495">
        <v>593611.12941000005</v>
      </c>
      <c r="P453" s="495">
        <v>0</v>
      </c>
      <c r="Q453" s="495">
        <v>0</v>
      </c>
      <c r="T453" s="495">
        <v>456030.89627999999</v>
      </c>
      <c r="U453" s="495">
        <v>2072387.0904900001</v>
      </c>
      <c r="V453" s="495">
        <v>-69121.597439999998</v>
      </c>
      <c r="W453" s="495">
        <v>-249828.09510000001</v>
      </c>
      <c r="X453" s="495">
        <v>0</v>
      </c>
      <c r="AA453" s="495">
        <v>0</v>
      </c>
      <c r="AB453" s="495">
        <v>0</v>
      </c>
      <c r="AC453" s="495">
        <v>0</v>
      </c>
      <c r="AD453" s="495">
        <v>0</v>
      </c>
      <c r="AE453" s="495">
        <v>0</v>
      </c>
      <c r="AH453" s="495">
        <v>48494.769699999772</v>
      </c>
      <c r="AI453" s="495">
        <v>36573.237824999844</v>
      </c>
      <c r="AJ453" s="495">
        <v>0</v>
      </c>
      <c r="AK453" s="495">
        <v>0</v>
      </c>
      <c r="AL453" s="495">
        <v>0</v>
      </c>
      <c r="AO453" s="495">
        <v>-53632.524615849456</v>
      </c>
      <c r="AP453" s="495">
        <v>-47267.391015849396</v>
      </c>
      <c r="AQ453" s="495">
        <v>-28558.880778349441</v>
      </c>
      <c r="AR453" s="495">
        <v>0</v>
      </c>
      <c r="AS453" s="495">
        <v>0</v>
      </c>
    </row>
    <row r="454" spans="1:45">
      <c r="A454" s="390">
        <v>94704</v>
      </c>
      <c r="B454" s="393">
        <v>94704</v>
      </c>
      <c r="C454" s="499" t="s">
        <v>1164</v>
      </c>
      <c r="D454" s="378">
        <v>1.3712093988164214E-5</v>
      </c>
      <c r="F454" s="495">
        <v>8958.5285485862769</v>
      </c>
      <c r="G454" s="495">
        <v>15623.735483586275</v>
      </c>
      <c r="H454" s="495">
        <v>3133.8594085862733</v>
      </c>
      <c r="I454" s="495">
        <v>-1420.7673</v>
      </c>
      <c r="J454" s="495">
        <v>0</v>
      </c>
      <c r="M454" s="495">
        <v>6301.40391</v>
      </c>
      <c r="N454" s="495">
        <v>6410.3024399999995</v>
      </c>
      <c r="O454" s="495">
        <v>3375.8544299999999</v>
      </c>
      <c r="P454" s="495">
        <v>0</v>
      </c>
      <c r="Q454" s="495">
        <v>0</v>
      </c>
      <c r="T454" s="495">
        <v>2593.4384399999999</v>
      </c>
      <c r="U454" s="495">
        <v>11785.62327</v>
      </c>
      <c r="V454" s="495">
        <v>-393.09312</v>
      </c>
      <c r="W454" s="495">
        <v>-1420.7673</v>
      </c>
      <c r="X454" s="495">
        <v>0</v>
      </c>
      <c r="AA454" s="495">
        <v>0</v>
      </c>
      <c r="AB454" s="495">
        <v>0</v>
      </c>
      <c r="AC454" s="495">
        <v>0</v>
      </c>
      <c r="AD454" s="495">
        <v>0</v>
      </c>
      <c r="AE454" s="495">
        <v>0</v>
      </c>
      <c r="AH454" s="495">
        <v>4106.5824985862737</v>
      </c>
      <c r="AI454" s="495">
        <v>1470.7060735862733</v>
      </c>
      <c r="AJ454" s="495">
        <v>151.09809858627341</v>
      </c>
      <c r="AK454" s="495">
        <v>0</v>
      </c>
      <c r="AL454" s="495">
        <v>0</v>
      </c>
      <c r="AO454" s="495">
        <v>-4042.8962999999967</v>
      </c>
      <c r="AP454" s="495">
        <v>-4042.8962999999967</v>
      </c>
      <c r="AQ454" s="495">
        <v>0</v>
      </c>
      <c r="AR454" s="495">
        <v>0</v>
      </c>
      <c r="AS454" s="495">
        <v>0</v>
      </c>
    </row>
    <row r="455" spans="1:45">
      <c r="A455" s="390">
        <v>94711</v>
      </c>
      <c r="B455" s="393">
        <v>94711</v>
      </c>
      <c r="C455" s="499" t="s">
        <v>1165</v>
      </c>
      <c r="D455" s="378">
        <v>3.0083452372814775E-4</v>
      </c>
      <c r="F455" s="495">
        <v>170321.43613709998</v>
      </c>
      <c r="G455" s="495">
        <v>368447.66905209998</v>
      </c>
      <c r="H455" s="495">
        <v>26625.922544599984</v>
      </c>
      <c r="I455" s="495">
        <v>-31170.867699999999</v>
      </c>
      <c r="J455" s="495">
        <v>0</v>
      </c>
      <c r="M455" s="495">
        <v>138249.40059</v>
      </c>
      <c r="N455" s="495">
        <v>140638.57556</v>
      </c>
      <c r="O455" s="495">
        <v>74064.424069999994</v>
      </c>
      <c r="P455" s="495">
        <v>0</v>
      </c>
      <c r="Q455" s="495">
        <v>0</v>
      </c>
      <c r="T455" s="495">
        <v>56898.639560000003</v>
      </c>
      <c r="U455" s="495">
        <v>258570.21322999999</v>
      </c>
      <c r="V455" s="495">
        <v>-8624.2508799999996</v>
      </c>
      <c r="W455" s="495">
        <v>-31170.867699999999</v>
      </c>
      <c r="X455" s="495">
        <v>0</v>
      </c>
      <c r="AA455" s="495">
        <v>0</v>
      </c>
      <c r="AB455" s="495">
        <v>0</v>
      </c>
      <c r="AC455" s="495">
        <v>0</v>
      </c>
      <c r="AD455" s="495">
        <v>0</v>
      </c>
      <c r="AE455" s="495">
        <v>0</v>
      </c>
      <c r="AH455" s="495">
        <v>14702.422257499968</v>
      </c>
      <c r="AI455" s="495">
        <v>8053.1309074999826</v>
      </c>
      <c r="AJ455" s="495">
        <v>0</v>
      </c>
      <c r="AK455" s="495">
        <v>0</v>
      </c>
      <c r="AL455" s="495">
        <v>0</v>
      </c>
      <c r="AO455" s="495">
        <v>-39529.02627040002</v>
      </c>
      <c r="AP455" s="495">
        <v>-38814.25064540001</v>
      </c>
      <c r="AQ455" s="495">
        <v>-38814.25064540001</v>
      </c>
      <c r="AR455" s="495">
        <v>0</v>
      </c>
      <c r="AS455" s="495">
        <v>0</v>
      </c>
    </row>
    <row r="456" spans="1:45">
      <c r="A456" s="390">
        <v>94801</v>
      </c>
      <c r="B456" s="393">
        <v>94801</v>
      </c>
      <c r="C456" s="499" t="s">
        <v>1166</v>
      </c>
      <c r="D456" s="378">
        <v>6.1699126582562464E-4</v>
      </c>
      <c r="F456" s="495">
        <v>406742.23691082204</v>
      </c>
      <c r="G456" s="495">
        <v>798119.69891082204</v>
      </c>
      <c r="H456" s="495">
        <v>124006.07438082209</v>
      </c>
      <c r="I456" s="495">
        <v>-63929.346999999994</v>
      </c>
      <c r="J456" s="495">
        <v>0</v>
      </c>
      <c r="M456" s="495">
        <v>283540.1949</v>
      </c>
      <c r="N456" s="495">
        <v>288440.2316</v>
      </c>
      <c r="O456" s="495">
        <v>151901.13769999999</v>
      </c>
      <c r="P456" s="495">
        <v>0</v>
      </c>
      <c r="Q456" s="495">
        <v>0</v>
      </c>
      <c r="T456" s="495">
        <v>116695.27159999999</v>
      </c>
      <c r="U456" s="495">
        <v>530310.06530000002</v>
      </c>
      <c r="V456" s="495">
        <v>-17687.756799999999</v>
      </c>
      <c r="W456" s="495">
        <v>-63929.346999999994</v>
      </c>
      <c r="X456" s="495">
        <v>0</v>
      </c>
      <c r="AA456" s="495">
        <v>0</v>
      </c>
      <c r="AB456" s="495">
        <v>0</v>
      </c>
      <c r="AC456" s="495">
        <v>0</v>
      </c>
      <c r="AD456" s="495">
        <v>0</v>
      </c>
      <c r="AE456" s="495">
        <v>0</v>
      </c>
      <c r="AH456" s="495">
        <v>34442.925889999955</v>
      </c>
      <c r="AI456" s="495">
        <v>7305.5574900000065</v>
      </c>
      <c r="AJ456" s="495">
        <v>0</v>
      </c>
      <c r="AK456" s="495">
        <v>0</v>
      </c>
      <c r="AL456" s="495">
        <v>0</v>
      </c>
      <c r="AO456" s="495">
        <v>-27936.155479177913</v>
      </c>
      <c r="AP456" s="495">
        <v>-27936.155479177913</v>
      </c>
      <c r="AQ456" s="495">
        <v>-10207.306519177902</v>
      </c>
      <c r="AR456" s="495">
        <v>0</v>
      </c>
      <c r="AS456" s="495">
        <v>0</v>
      </c>
    </row>
    <row r="457" spans="1:45">
      <c r="A457" s="390">
        <v>94804</v>
      </c>
      <c r="B457" s="500">
        <v>94804</v>
      </c>
      <c r="C457" s="501" t="s">
        <v>1167</v>
      </c>
      <c r="D457" s="378">
        <v>4.0406659582978876E-6</v>
      </c>
      <c r="F457" s="495">
        <v>6256.2297127581023</v>
      </c>
      <c r="G457" s="495">
        <v>6345.6514277581009</v>
      </c>
      <c r="H457" s="495">
        <v>3617.6445052580998</v>
      </c>
      <c r="I457" s="495">
        <v>-418.66520000000003</v>
      </c>
      <c r="J457" s="495">
        <v>0</v>
      </c>
      <c r="M457" s="495">
        <v>1856.8688400000001</v>
      </c>
      <c r="N457" s="495">
        <v>1888.95856</v>
      </c>
      <c r="O457" s="495">
        <v>994.78132000000005</v>
      </c>
      <c r="P457" s="495">
        <v>0</v>
      </c>
      <c r="Q457" s="495">
        <v>0</v>
      </c>
      <c r="T457" s="495">
        <v>764.22256000000004</v>
      </c>
      <c r="U457" s="495">
        <v>3472.9334800000001</v>
      </c>
      <c r="V457" s="495">
        <v>-115.83488000000001</v>
      </c>
      <c r="W457" s="495">
        <v>-418.66520000000003</v>
      </c>
      <c r="X457" s="495">
        <v>0</v>
      </c>
      <c r="AA457" s="495">
        <v>0</v>
      </c>
      <c r="AB457" s="495">
        <v>0</v>
      </c>
      <c r="AC457" s="495">
        <v>0</v>
      </c>
      <c r="AD457" s="495">
        <v>0</v>
      </c>
      <c r="AE457" s="495">
        <v>0</v>
      </c>
      <c r="AH457" s="495">
        <v>6637.3631577581</v>
      </c>
      <c r="AI457" s="495">
        <v>3985.9842327580996</v>
      </c>
      <c r="AJ457" s="495">
        <v>2738.6980652580996</v>
      </c>
      <c r="AK457" s="495">
        <v>0</v>
      </c>
      <c r="AL457" s="495">
        <v>0</v>
      </c>
      <c r="AO457" s="495">
        <v>-3002.2248449999988</v>
      </c>
      <c r="AP457" s="495">
        <v>-3002.2248449999988</v>
      </c>
      <c r="AQ457" s="495">
        <v>0</v>
      </c>
      <c r="AR457" s="495">
        <v>0</v>
      </c>
      <c r="AS457" s="495">
        <v>0</v>
      </c>
    </row>
    <row r="458" spans="1:45">
      <c r="A458" s="390">
        <v>94812</v>
      </c>
      <c r="B458" s="393">
        <v>94812</v>
      </c>
      <c r="C458" s="499" t="s">
        <v>1168</v>
      </c>
      <c r="D458" s="378">
        <v>2.000289875500609E-5</v>
      </c>
      <c r="F458" s="495">
        <v>15941.292736550005</v>
      </c>
      <c r="G458" s="495">
        <v>28736.935311550009</v>
      </c>
      <c r="H458" s="495">
        <v>5965.3124040500024</v>
      </c>
      <c r="I458" s="495">
        <v>-2072.6000000000004</v>
      </c>
      <c r="J458" s="495">
        <v>0</v>
      </c>
      <c r="M458" s="495">
        <v>9192.42</v>
      </c>
      <c r="N458" s="495">
        <v>9351.2800000000007</v>
      </c>
      <c r="O458" s="495">
        <v>4924.6600000000008</v>
      </c>
      <c r="P458" s="495">
        <v>0</v>
      </c>
      <c r="Q458" s="495">
        <v>0</v>
      </c>
      <c r="T458" s="495">
        <v>3783.28</v>
      </c>
      <c r="U458" s="495">
        <v>17192.740000000002</v>
      </c>
      <c r="V458" s="495">
        <v>-573.44000000000005</v>
      </c>
      <c r="W458" s="495">
        <v>-2072.6000000000004</v>
      </c>
      <c r="X458" s="495">
        <v>0</v>
      </c>
      <c r="AA458" s="495">
        <v>0</v>
      </c>
      <c r="AB458" s="495">
        <v>0</v>
      </c>
      <c r="AC458" s="495">
        <v>0</v>
      </c>
      <c r="AD458" s="495">
        <v>0</v>
      </c>
      <c r="AE458" s="495">
        <v>0</v>
      </c>
      <c r="AH458" s="495">
        <v>5744.9060015500017</v>
      </c>
      <c r="AI458" s="495">
        <v>3892.4291265500019</v>
      </c>
      <c r="AJ458" s="495">
        <v>1614.0924040500017</v>
      </c>
      <c r="AK458" s="495">
        <v>0</v>
      </c>
      <c r="AL458" s="495">
        <v>0</v>
      </c>
      <c r="AO458" s="495">
        <v>-2779.3132649999984</v>
      </c>
      <c r="AP458" s="495">
        <v>-1699.513814999998</v>
      </c>
      <c r="AQ458" s="495">
        <v>0</v>
      </c>
      <c r="AR458" s="495">
        <v>0</v>
      </c>
      <c r="AS458" s="495">
        <v>0</v>
      </c>
    </row>
    <row r="459" spans="1:45">
      <c r="A459" s="390">
        <v>94901</v>
      </c>
      <c r="B459" s="393">
        <v>94901</v>
      </c>
      <c r="C459" s="499" t="s">
        <v>1169</v>
      </c>
      <c r="D459" s="378">
        <v>7.643191451133657E-3</v>
      </c>
      <c r="F459" s="495">
        <v>5292086.0961926738</v>
      </c>
      <c r="G459" s="495">
        <v>10204598.943602674</v>
      </c>
      <c r="H459" s="495">
        <v>2126569.9790401743</v>
      </c>
      <c r="I459" s="495">
        <v>-791946.67779999995</v>
      </c>
      <c r="J459" s="495">
        <v>0</v>
      </c>
      <c r="M459" s="495">
        <v>3512451.2592600002</v>
      </c>
      <c r="N459" s="495">
        <v>3573152.1418400002</v>
      </c>
      <c r="O459" s="495">
        <v>1881727.35998</v>
      </c>
      <c r="P459" s="495">
        <v>0</v>
      </c>
      <c r="Q459" s="495">
        <v>0</v>
      </c>
      <c r="T459" s="495">
        <v>1445602.63784</v>
      </c>
      <c r="U459" s="495">
        <v>6569397.5322200004</v>
      </c>
      <c r="V459" s="495">
        <v>-219113.14431999999</v>
      </c>
      <c r="W459" s="495">
        <v>-791946.67779999995</v>
      </c>
      <c r="X459" s="495">
        <v>0</v>
      </c>
      <c r="AA459" s="495">
        <v>0</v>
      </c>
      <c r="AB459" s="495">
        <v>0</v>
      </c>
      <c r="AC459" s="495">
        <v>0</v>
      </c>
      <c r="AD459" s="495">
        <v>0</v>
      </c>
      <c r="AE459" s="495">
        <v>0</v>
      </c>
      <c r="AH459" s="495">
        <v>778831.45671767404</v>
      </c>
      <c r="AI459" s="495">
        <v>469895.1509176743</v>
      </c>
      <c r="AJ459" s="495">
        <v>463955.76338017441</v>
      </c>
      <c r="AK459" s="495">
        <v>0</v>
      </c>
      <c r="AL459" s="495">
        <v>0</v>
      </c>
      <c r="AO459" s="495">
        <v>-444799.25762499962</v>
      </c>
      <c r="AP459" s="495">
        <v>-407845.88137499942</v>
      </c>
      <c r="AQ459" s="495">
        <v>0</v>
      </c>
      <c r="AR459" s="495">
        <v>0</v>
      </c>
      <c r="AS459" s="495">
        <v>0</v>
      </c>
    </row>
    <row r="460" spans="1:45">
      <c r="A460" s="390">
        <v>94908</v>
      </c>
      <c r="B460" s="393">
        <v>94908</v>
      </c>
      <c r="C460" s="499" t="s">
        <v>3610</v>
      </c>
      <c r="D460" s="378">
        <v>5.4558040246958925E-5</v>
      </c>
      <c r="F460" s="495">
        <v>27040.098223596353</v>
      </c>
      <c r="G460" s="495">
        <v>64866.637648596341</v>
      </c>
      <c r="H460" s="495">
        <v>5938.7505060963576</v>
      </c>
      <c r="I460" s="495">
        <v>-5653.0164999999997</v>
      </c>
      <c r="J460" s="495">
        <v>0</v>
      </c>
      <c r="M460" s="495">
        <v>25072.325549999998</v>
      </c>
      <c r="N460" s="495">
        <v>25505.6162</v>
      </c>
      <c r="O460" s="495">
        <v>13432.01015</v>
      </c>
      <c r="P460" s="495">
        <v>0</v>
      </c>
      <c r="Q460" s="495">
        <v>0</v>
      </c>
      <c r="T460" s="495">
        <v>10318.896199999999</v>
      </c>
      <c r="U460" s="495">
        <v>46893.198349999999</v>
      </c>
      <c r="V460" s="495">
        <v>-1564.0575999999999</v>
      </c>
      <c r="W460" s="495">
        <v>-5653.0164999999997</v>
      </c>
      <c r="X460" s="495">
        <v>0</v>
      </c>
      <c r="AA460" s="495">
        <v>0</v>
      </c>
      <c r="AB460" s="495">
        <v>0</v>
      </c>
      <c r="AC460" s="495">
        <v>0</v>
      </c>
      <c r="AD460" s="495">
        <v>0</v>
      </c>
      <c r="AE460" s="495">
        <v>0</v>
      </c>
      <c r="AH460" s="495">
        <v>284.1577500000094</v>
      </c>
      <c r="AI460" s="495">
        <v>0</v>
      </c>
      <c r="AJ460" s="495">
        <v>0</v>
      </c>
      <c r="AK460" s="495">
        <v>0</v>
      </c>
      <c r="AL460" s="495">
        <v>0</v>
      </c>
      <c r="AO460" s="495">
        <v>-8635.2812764036589</v>
      </c>
      <c r="AP460" s="495">
        <v>-7532.1769014036581</v>
      </c>
      <c r="AQ460" s="495">
        <v>-5929.2020439036423</v>
      </c>
      <c r="AR460" s="495">
        <v>0</v>
      </c>
      <c r="AS460" s="495">
        <v>0</v>
      </c>
    </row>
    <row r="461" spans="1:45">
      <c r="A461" s="390">
        <v>94911</v>
      </c>
      <c r="B461" s="393">
        <v>94911</v>
      </c>
      <c r="C461" s="499" t="s">
        <v>1171</v>
      </c>
      <c r="D461" s="378">
        <v>3.0487513034342965E-3</v>
      </c>
      <c r="F461" s="495">
        <v>2035027.1270735806</v>
      </c>
      <c r="G461" s="495">
        <v>4026989.96499858</v>
      </c>
      <c r="H461" s="495">
        <v>753353.88935857988</v>
      </c>
      <c r="I461" s="495">
        <v>-315895.32899999997</v>
      </c>
      <c r="J461" s="495">
        <v>0</v>
      </c>
      <c r="M461" s="495">
        <v>1401062.6942999999</v>
      </c>
      <c r="N461" s="495">
        <v>1425275.3411999999</v>
      </c>
      <c r="O461" s="495">
        <v>750592.05389999994</v>
      </c>
      <c r="P461" s="495">
        <v>0</v>
      </c>
      <c r="Q461" s="495">
        <v>0</v>
      </c>
      <c r="T461" s="495">
        <v>576628.62119999994</v>
      </c>
      <c r="U461" s="495">
        <v>2620431.4671</v>
      </c>
      <c r="V461" s="495">
        <v>-87400.857600000003</v>
      </c>
      <c r="W461" s="495">
        <v>-315895.32899999997</v>
      </c>
      <c r="X461" s="495">
        <v>0</v>
      </c>
      <c r="AA461" s="495">
        <v>0</v>
      </c>
      <c r="AB461" s="495">
        <v>0</v>
      </c>
      <c r="AC461" s="495">
        <v>0</v>
      </c>
      <c r="AD461" s="495">
        <v>0</v>
      </c>
      <c r="AE461" s="495">
        <v>0</v>
      </c>
      <c r="AH461" s="495">
        <v>167497.24890358004</v>
      </c>
      <c r="AI461" s="495">
        <v>91444.594028579799</v>
      </c>
      <c r="AJ461" s="495">
        <v>90162.693058579956</v>
      </c>
      <c r="AK461" s="495">
        <v>0</v>
      </c>
      <c r="AL461" s="495">
        <v>0</v>
      </c>
      <c r="AO461" s="495">
        <v>-110161.43732999949</v>
      </c>
      <c r="AP461" s="495">
        <v>-110161.43732999949</v>
      </c>
      <c r="AQ461" s="495">
        <v>0</v>
      </c>
      <c r="AR461" s="495">
        <v>0</v>
      </c>
      <c r="AS461" s="495">
        <v>0</v>
      </c>
    </row>
    <row r="462" spans="1:45">
      <c r="A462" s="390">
        <v>94917</v>
      </c>
      <c r="B462" s="393">
        <v>94917</v>
      </c>
      <c r="C462" s="499" t="s">
        <v>1172</v>
      </c>
      <c r="D462" s="378">
        <v>3.1154638318574003E-5</v>
      </c>
      <c r="F462" s="495">
        <v>30374.98244895786</v>
      </c>
      <c r="G462" s="495">
        <v>48360.024148957862</v>
      </c>
      <c r="H462" s="495">
        <v>11620.104943957866</v>
      </c>
      <c r="I462" s="495">
        <v>-3228.0744999999997</v>
      </c>
      <c r="J462" s="495">
        <v>0</v>
      </c>
      <c r="M462" s="495">
        <v>14317.194149999999</v>
      </c>
      <c r="N462" s="495">
        <v>14564.6186</v>
      </c>
      <c r="O462" s="495">
        <v>7670.1579499999998</v>
      </c>
      <c r="P462" s="495">
        <v>0</v>
      </c>
      <c r="Q462" s="495">
        <v>0</v>
      </c>
      <c r="T462" s="495">
        <v>5892.4585999999999</v>
      </c>
      <c r="U462" s="495">
        <v>26777.69255</v>
      </c>
      <c r="V462" s="495">
        <v>-893.13279999999997</v>
      </c>
      <c r="W462" s="495">
        <v>-3228.0744999999997</v>
      </c>
      <c r="X462" s="495">
        <v>0</v>
      </c>
      <c r="AA462" s="495">
        <v>0</v>
      </c>
      <c r="AB462" s="495">
        <v>0</v>
      </c>
      <c r="AC462" s="495">
        <v>0</v>
      </c>
      <c r="AD462" s="495">
        <v>0</v>
      </c>
      <c r="AE462" s="495">
        <v>0</v>
      </c>
      <c r="AH462" s="495">
        <v>13620.504158957863</v>
      </c>
      <c r="AI462" s="495">
        <v>9847.7404089578649</v>
      </c>
      <c r="AJ462" s="495">
        <v>4843.0797939578661</v>
      </c>
      <c r="AK462" s="495">
        <v>0</v>
      </c>
      <c r="AL462" s="495">
        <v>0</v>
      </c>
      <c r="AO462" s="495">
        <v>-3455.1744600000038</v>
      </c>
      <c r="AP462" s="495">
        <v>-2830.0274100000006</v>
      </c>
      <c r="AQ462" s="495">
        <v>0</v>
      </c>
      <c r="AR462" s="495">
        <v>0</v>
      </c>
      <c r="AS462" s="495">
        <v>0</v>
      </c>
    </row>
    <row r="463" spans="1:45">
      <c r="A463" s="390">
        <v>94921</v>
      </c>
      <c r="B463" s="393">
        <v>94921</v>
      </c>
      <c r="C463" s="499" t="s">
        <v>1173</v>
      </c>
      <c r="D463" s="378">
        <v>4.1489141471830505E-3</v>
      </c>
      <c r="F463" s="495">
        <v>2634491.3962088311</v>
      </c>
      <c r="G463" s="495">
        <v>5480695.5952588301</v>
      </c>
      <c r="H463" s="495">
        <v>1060765.2900613302</v>
      </c>
      <c r="I463" s="495">
        <v>-429888.32899999997</v>
      </c>
      <c r="J463" s="495">
        <v>0</v>
      </c>
      <c r="M463" s="495">
        <v>1906645.7943</v>
      </c>
      <c r="N463" s="495">
        <v>1939595.7411999998</v>
      </c>
      <c r="O463" s="495">
        <v>1021448.3539</v>
      </c>
      <c r="P463" s="495">
        <v>0</v>
      </c>
      <c r="Q463" s="495">
        <v>0</v>
      </c>
      <c r="T463" s="495">
        <v>784709.02119999996</v>
      </c>
      <c r="U463" s="495">
        <v>3566032.1670999997</v>
      </c>
      <c r="V463" s="495">
        <v>-118940.05759999999</v>
      </c>
      <c r="W463" s="495">
        <v>-429888.32899999997</v>
      </c>
      <c r="X463" s="495">
        <v>0</v>
      </c>
      <c r="AA463" s="495">
        <v>0</v>
      </c>
      <c r="AB463" s="495">
        <v>0</v>
      </c>
      <c r="AC463" s="495">
        <v>0</v>
      </c>
      <c r="AD463" s="495">
        <v>0</v>
      </c>
      <c r="AE463" s="495">
        <v>0</v>
      </c>
      <c r="AH463" s="495">
        <v>192355.92376133072</v>
      </c>
      <c r="AI463" s="495">
        <v>158256.99376133009</v>
      </c>
      <c r="AJ463" s="495">
        <v>158256.99376133009</v>
      </c>
      <c r="AK463" s="495">
        <v>0</v>
      </c>
      <c r="AL463" s="495">
        <v>0</v>
      </c>
      <c r="AO463" s="495">
        <v>-249219.3430524994</v>
      </c>
      <c r="AP463" s="495">
        <v>-183189.3068024994</v>
      </c>
      <c r="AQ463" s="495">
        <v>0</v>
      </c>
      <c r="AR463" s="495">
        <v>0</v>
      </c>
      <c r="AS463" s="495">
        <v>0</v>
      </c>
    </row>
    <row r="464" spans="1:45">
      <c r="A464" s="390">
        <v>94923</v>
      </c>
      <c r="B464" s="393">
        <v>94923</v>
      </c>
      <c r="C464" s="499" t="s">
        <v>1174</v>
      </c>
      <c r="D464" s="378">
        <v>2.0923160575365975E-5</v>
      </c>
      <c r="F464" s="495">
        <v>8020.0732618562961</v>
      </c>
      <c r="G464" s="495">
        <v>17267.587231856298</v>
      </c>
      <c r="H464" s="495">
        <v>-4374.5783256437035</v>
      </c>
      <c r="I464" s="495">
        <v>-2167.9396000000002</v>
      </c>
      <c r="J464" s="495">
        <v>0</v>
      </c>
      <c r="M464" s="495">
        <v>9615.2713199999998</v>
      </c>
      <c r="N464" s="495">
        <v>9781.4388799999997</v>
      </c>
      <c r="O464" s="495">
        <v>5151.1943599999995</v>
      </c>
      <c r="P464" s="495">
        <v>0</v>
      </c>
      <c r="Q464" s="495">
        <v>0</v>
      </c>
      <c r="T464" s="495">
        <v>3957.31088</v>
      </c>
      <c r="U464" s="495">
        <v>17983.606039999999</v>
      </c>
      <c r="V464" s="495">
        <v>-599.81823999999995</v>
      </c>
      <c r="W464" s="495">
        <v>-2167.9396000000002</v>
      </c>
      <c r="X464" s="495">
        <v>0</v>
      </c>
      <c r="AA464" s="495">
        <v>0</v>
      </c>
      <c r="AB464" s="495">
        <v>0</v>
      </c>
      <c r="AC464" s="495">
        <v>0</v>
      </c>
      <c r="AD464" s="495">
        <v>0</v>
      </c>
      <c r="AE464" s="495">
        <v>0</v>
      </c>
      <c r="AH464" s="495">
        <v>4944.9487499999987</v>
      </c>
      <c r="AI464" s="495">
        <v>0</v>
      </c>
      <c r="AJ464" s="495">
        <v>0</v>
      </c>
      <c r="AK464" s="495">
        <v>0</v>
      </c>
      <c r="AL464" s="495">
        <v>0</v>
      </c>
      <c r="AO464" s="495">
        <v>-10497.457688143704</v>
      </c>
      <c r="AP464" s="495">
        <v>-10497.457688143704</v>
      </c>
      <c r="AQ464" s="495">
        <v>-8925.9544456437034</v>
      </c>
      <c r="AR464" s="495">
        <v>0</v>
      </c>
      <c r="AS464" s="495">
        <v>0</v>
      </c>
    </row>
    <row r="465" spans="1:45">
      <c r="A465" s="390">
        <v>94927</v>
      </c>
      <c r="B465" s="393">
        <v>94927</v>
      </c>
      <c r="C465" s="499" t="s">
        <v>1175</v>
      </c>
      <c r="D465" s="378">
        <v>2.4423656730676544E-5</v>
      </c>
      <c r="F465" s="495">
        <v>23448.559526065037</v>
      </c>
      <c r="G465" s="495">
        <v>28432.897096065037</v>
      </c>
      <c r="H465" s="495">
        <v>6232.2722435650403</v>
      </c>
      <c r="I465" s="495">
        <v>-2530.6446000000001</v>
      </c>
      <c r="J465" s="495">
        <v>0</v>
      </c>
      <c r="M465" s="495">
        <v>11223.944820000001</v>
      </c>
      <c r="N465" s="495">
        <v>11417.91288</v>
      </c>
      <c r="O465" s="495">
        <v>6013.0098600000001</v>
      </c>
      <c r="P465" s="495">
        <v>0</v>
      </c>
      <c r="Q465" s="495">
        <v>0</v>
      </c>
      <c r="T465" s="495">
        <v>4619.3848799999996</v>
      </c>
      <c r="U465" s="495">
        <v>20992.33554</v>
      </c>
      <c r="V465" s="495">
        <v>-700.17024000000004</v>
      </c>
      <c r="W465" s="495">
        <v>-2530.6446000000001</v>
      </c>
      <c r="X465" s="495">
        <v>0</v>
      </c>
      <c r="AA465" s="495">
        <v>0</v>
      </c>
      <c r="AB465" s="495">
        <v>0</v>
      </c>
      <c r="AC465" s="495">
        <v>0</v>
      </c>
      <c r="AD465" s="495">
        <v>0</v>
      </c>
      <c r="AE465" s="495">
        <v>0</v>
      </c>
      <c r="AH465" s="495">
        <v>16282.483181065041</v>
      </c>
      <c r="AI465" s="495">
        <v>4699.9020310650412</v>
      </c>
      <c r="AJ465" s="495">
        <v>919.43262356504056</v>
      </c>
      <c r="AK465" s="495">
        <v>0</v>
      </c>
      <c r="AL465" s="495">
        <v>0</v>
      </c>
      <c r="AO465" s="495">
        <v>-8677.2533550000044</v>
      </c>
      <c r="AP465" s="495">
        <v>-8677.2533550000044</v>
      </c>
      <c r="AQ465" s="495">
        <v>0</v>
      </c>
      <c r="AR465" s="495">
        <v>0</v>
      </c>
      <c r="AS465" s="495">
        <v>0</v>
      </c>
    </row>
    <row r="466" spans="1:45">
      <c r="A466" s="390">
        <v>94931</v>
      </c>
      <c r="B466" s="393">
        <v>94931</v>
      </c>
      <c r="C466" s="499" t="s">
        <v>1176</v>
      </c>
      <c r="D466" s="378">
        <v>3.4744148997859408E-4</v>
      </c>
      <c r="F466" s="495">
        <v>318614.9170841364</v>
      </c>
      <c r="G466" s="495">
        <v>529812.52262413641</v>
      </c>
      <c r="H466" s="495">
        <v>116876.11394663644</v>
      </c>
      <c r="I466" s="495">
        <v>-36000.025699999998</v>
      </c>
      <c r="J466" s="495">
        <v>0</v>
      </c>
      <c r="M466" s="495">
        <v>159667.73918999999</v>
      </c>
      <c r="N466" s="495">
        <v>162427.05796000001</v>
      </c>
      <c r="O466" s="495">
        <v>85538.881869999997</v>
      </c>
      <c r="P466" s="495">
        <v>0</v>
      </c>
      <c r="Q466" s="495">
        <v>0</v>
      </c>
      <c r="T466" s="495">
        <v>65713.681960000002</v>
      </c>
      <c r="U466" s="495">
        <v>298629.29742999998</v>
      </c>
      <c r="V466" s="495">
        <v>-9960.3660799999998</v>
      </c>
      <c r="W466" s="495">
        <v>-36000.025699999998</v>
      </c>
      <c r="X466" s="495">
        <v>0</v>
      </c>
      <c r="AA466" s="495">
        <v>0</v>
      </c>
      <c r="AB466" s="495">
        <v>0</v>
      </c>
      <c r="AC466" s="495">
        <v>0</v>
      </c>
      <c r="AD466" s="495">
        <v>0</v>
      </c>
      <c r="AE466" s="495">
        <v>0</v>
      </c>
      <c r="AH466" s="495">
        <v>99075.43685163639</v>
      </c>
      <c r="AI466" s="495">
        <v>73273.9131516364</v>
      </c>
      <c r="AJ466" s="495">
        <v>41297.598156636435</v>
      </c>
      <c r="AK466" s="495">
        <v>0</v>
      </c>
      <c r="AL466" s="495">
        <v>0</v>
      </c>
      <c r="AO466" s="495">
        <v>-5841.9409175000037</v>
      </c>
      <c r="AP466" s="495">
        <v>-4517.7459174999967</v>
      </c>
      <c r="AQ466" s="495">
        <v>0</v>
      </c>
      <c r="AR466" s="495">
        <v>0</v>
      </c>
      <c r="AS466" s="495">
        <v>0</v>
      </c>
    </row>
    <row r="467" spans="1:45">
      <c r="A467" s="390">
        <v>94937</v>
      </c>
      <c r="B467" s="393">
        <v>94937</v>
      </c>
      <c r="C467" s="499" t="s">
        <v>1927</v>
      </c>
      <c r="D467" s="378">
        <v>7.1311018731643614E-6</v>
      </c>
      <c r="F467" s="495">
        <v>2304.3967523738243</v>
      </c>
      <c r="G467" s="495">
        <v>7615.8149823738249</v>
      </c>
      <c r="H467" s="495">
        <v>367.20476487382325</v>
      </c>
      <c r="I467" s="495">
        <v>-738.88190000000009</v>
      </c>
      <c r="J467" s="495">
        <v>0</v>
      </c>
      <c r="M467" s="495">
        <v>3277.09773</v>
      </c>
      <c r="N467" s="495">
        <v>3333.7313200000003</v>
      </c>
      <c r="O467" s="495">
        <v>1755.64129</v>
      </c>
      <c r="P467" s="495">
        <v>0</v>
      </c>
      <c r="Q467" s="495">
        <v>0</v>
      </c>
      <c r="T467" s="495">
        <v>1348.7393200000001</v>
      </c>
      <c r="U467" s="495">
        <v>6129.2118100000007</v>
      </c>
      <c r="V467" s="495">
        <v>-204.43136000000001</v>
      </c>
      <c r="W467" s="495">
        <v>-738.88190000000009</v>
      </c>
      <c r="X467" s="495">
        <v>0</v>
      </c>
      <c r="AA467" s="495">
        <v>0</v>
      </c>
      <c r="AB467" s="495">
        <v>0</v>
      </c>
      <c r="AC467" s="495">
        <v>0</v>
      </c>
      <c r="AD467" s="495">
        <v>0</v>
      </c>
      <c r="AE467" s="495">
        <v>0</v>
      </c>
      <c r="AH467" s="495">
        <v>0</v>
      </c>
      <c r="AI467" s="495">
        <v>0</v>
      </c>
      <c r="AJ467" s="495">
        <v>0</v>
      </c>
      <c r="AK467" s="495">
        <v>0</v>
      </c>
      <c r="AL467" s="495">
        <v>0</v>
      </c>
      <c r="AO467" s="495">
        <v>-2321.4402976261758</v>
      </c>
      <c r="AP467" s="495">
        <v>-1847.1281476261768</v>
      </c>
      <c r="AQ467" s="495">
        <v>-1184.0051651261767</v>
      </c>
      <c r="AR467" s="495">
        <v>0</v>
      </c>
      <c r="AS467" s="495">
        <v>0</v>
      </c>
    </row>
    <row r="468" spans="1:45">
      <c r="A468" s="390">
        <v>94941</v>
      </c>
      <c r="B468" s="393">
        <v>94941</v>
      </c>
      <c r="C468" s="499" t="s">
        <v>1177</v>
      </c>
      <c r="D468" s="378">
        <v>0</v>
      </c>
      <c r="F468" s="495">
        <v>21258.374424999998</v>
      </c>
      <c r="G468" s="495">
        <v>21013.54765</v>
      </c>
      <c r="H468" s="495">
        <v>0</v>
      </c>
      <c r="I468" s="495">
        <v>0</v>
      </c>
      <c r="J468" s="495">
        <v>0</v>
      </c>
      <c r="M468" s="495">
        <v>0</v>
      </c>
      <c r="N468" s="495">
        <v>0</v>
      </c>
      <c r="O468" s="495">
        <v>0</v>
      </c>
      <c r="P468" s="495">
        <v>0</v>
      </c>
      <c r="Q468" s="495">
        <v>0</v>
      </c>
      <c r="T468" s="495">
        <v>0</v>
      </c>
      <c r="U468" s="495">
        <v>0</v>
      </c>
      <c r="V468" s="495">
        <v>0</v>
      </c>
      <c r="W468" s="495">
        <v>0</v>
      </c>
      <c r="X468" s="495">
        <v>0</v>
      </c>
      <c r="AA468" s="495">
        <v>0</v>
      </c>
      <c r="AB468" s="495">
        <v>0</v>
      </c>
      <c r="AC468" s="495">
        <v>0</v>
      </c>
      <c r="AD468" s="495">
        <v>0</v>
      </c>
      <c r="AE468" s="495">
        <v>0</v>
      </c>
      <c r="AH468" s="495">
        <v>26941.223124999997</v>
      </c>
      <c r="AI468" s="495">
        <v>25730.26</v>
      </c>
      <c r="AJ468" s="495">
        <v>0</v>
      </c>
      <c r="AK468" s="495">
        <v>0</v>
      </c>
      <c r="AL468" s="495">
        <v>0</v>
      </c>
      <c r="AO468" s="495">
        <v>-5682.8486999999996</v>
      </c>
      <c r="AP468" s="495">
        <v>-4716.7123499999998</v>
      </c>
      <c r="AQ468" s="495">
        <v>0</v>
      </c>
      <c r="AR468" s="495">
        <v>0</v>
      </c>
      <c r="AS468" s="495">
        <v>0</v>
      </c>
    </row>
    <row r="469" spans="1:45">
      <c r="A469" s="390">
        <v>94947</v>
      </c>
      <c r="B469" s="393">
        <v>94947</v>
      </c>
      <c r="C469" s="499" t="s">
        <v>1928</v>
      </c>
      <c r="D469" s="378">
        <v>1.354207624737227E-5</v>
      </c>
      <c r="F469" s="495">
        <v>18070.608269181845</v>
      </c>
      <c r="G469" s="495">
        <v>27286.592184181845</v>
      </c>
      <c r="H469" s="495">
        <v>7182.6444816818484</v>
      </c>
      <c r="I469" s="495">
        <v>-1403.1502</v>
      </c>
      <c r="J469" s="495">
        <v>0</v>
      </c>
      <c r="M469" s="495">
        <v>6223.2683400000005</v>
      </c>
      <c r="N469" s="495">
        <v>6330.8165600000002</v>
      </c>
      <c r="O469" s="495">
        <v>3333.9948200000003</v>
      </c>
      <c r="P469" s="495">
        <v>0</v>
      </c>
      <c r="Q469" s="495">
        <v>0</v>
      </c>
      <c r="T469" s="495">
        <v>2561.2805600000002</v>
      </c>
      <c r="U469" s="495">
        <v>11639.484980000001</v>
      </c>
      <c r="V469" s="495">
        <v>-388.21888000000001</v>
      </c>
      <c r="W469" s="495">
        <v>-1403.1502</v>
      </c>
      <c r="X469" s="495">
        <v>0</v>
      </c>
      <c r="AA469" s="495">
        <v>0</v>
      </c>
      <c r="AB469" s="495">
        <v>0</v>
      </c>
      <c r="AC469" s="495">
        <v>0</v>
      </c>
      <c r="AD469" s="495">
        <v>0</v>
      </c>
      <c r="AE469" s="495">
        <v>0</v>
      </c>
      <c r="AH469" s="495">
        <v>10593.185019181845</v>
      </c>
      <c r="AI469" s="495">
        <v>9316.290644181845</v>
      </c>
      <c r="AJ469" s="495">
        <v>4236.868541681848</v>
      </c>
      <c r="AK469" s="495">
        <v>0</v>
      </c>
      <c r="AL469" s="495">
        <v>0</v>
      </c>
      <c r="AO469" s="495">
        <v>-1307.1256500000004</v>
      </c>
      <c r="AP469" s="495">
        <v>0</v>
      </c>
      <c r="AQ469" s="495">
        <v>0</v>
      </c>
      <c r="AR469" s="495">
        <v>0</v>
      </c>
      <c r="AS469" s="495">
        <v>0</v>
      </c>
    </row>
    <row r="470" spans="1:45">
      <c r="A470" s="390">
        <v>95001</v>
      </c>
      <c r="B470" s="393">
        <v>95001</v>
      </c>
      <c r="C470" s="499" t="s">
        <v>1178</v>
      </c>
      <c r="D470" s="378">
        <v>2.1397167366258192E-3</v>
      </c>
      <c r="F470" s="495">
        <v>1519998.1762541286</v>
      </c>
      <c r="G470" s="495">
        <v>2889505.647754129</v>
      </c>
      <c r="H470" s="495">
        <v>264478.11560662853</v>
      </c>
      <c r="I470" s="495">
        <v>-221706.022</v>
      </c>
      <c r="J470" s="495">
        <v>0</v>
      </c>
      <c r="M470" s="495">
        <v>983313.16740000003</v>
      </c>
      <c r="N470" s="495">
        <v>1000306.4216</v>
      </c>
      <c r="O470" s="495">
        <v>526790.88020000001</v>
      </c>
      <c r="P470" s="495">
        <v>0</v>
      </c>
      <c r="Q470" s="495">
        <v>0</v>
      </c>
      <c r="T470" s="495">
        <v>404697.46160000004</v>
      </c>
      <c r="U470" s="495">
        <v>1839107.3978000002</v>
      </c>
      <c r="V470" s="495">
        <v>-61340.876800000005</v>
      </c>
      <c r="W470" s="495">
        <v>-221706.022</v>
      </c>
      <c r="X470" s="495">
        <v>0</v>
      </c>
      <c r="AA470" s="495">
        <v>0</v>
      </c>
      <c r="AB470" s="495">
        <v>0</v>
      </c>
      <c r="AC470" s="495">
        <v>0</v>
      </c>
      <c r="AD470" s="495">
        <v>0</v>
      </c>
      <c r="AE470" s="495">
        <v>0</v>
      </c>
      <c r="AH470" s="495">
        <v>332959.43504749995</v>
      </c>
      <c r="AI470" s="495">
        <v>251063.71614750009</v>
      </c>
      <c r="AJ470" s="495">
        <v>0</v>
      </c>
      <c r="AK470" s="495">
        <v>0</v>
      </c>
      <c r="AL470" s="495">
        <v>0</v>
      </c>
      <c r="AO470" s="495">
        <v>-200971.88779337145</v>
      </c>
      <c r="AP470" s="495">
        <v>-200971.88779337145</v>
      </c>
      <c r="AQ470" s="495">
        <v>-200971.88779337145</v>
      </c>
      <c r="AR470" s="495">
        <v>0</v>
      </c>
      <c r="AS470" s="495">
        <v>0</v>
      </c>
    </row>
    <row r="471" spans="1:45">
      <c r="A471" s="390">
        <v>95002</v>
      </c>
      <c r="B471" s="393">
        <v>95002</v>
      </c>
      <c r="C471" s="499" t="s">
        <v>1179</v>
      </c>
      <c r="D471" s="378">
        <v>1.6106376982531461E-4</v>
      </c>
      <c r="F471" s="495">
        <v>117040.80378405057</v>
      </c>
      <c r="G471" s="495">
        <v>220121.50939905053</v>
      </c>
      <c r="H471" s="495">
        <v>39154.558024050544</v>
      </c>
      <c r="I471" s="495">
        <v>-16688.575199999999</v>
      </c>
      <c r="J471" s="495">
        <v>0</v>
      </c>
      <c r="M471" s="495">
        <v>74017.365839999999</v>
      </c>
      <c r="N471" s="495">
        <v>75296.506559999994</v>
      </c>
      <c r="O471" s="495">
        <v>39653.36232</v>
      </c>
      <c r="P471" s="495">
        <v>0</v>
      </c>
      <c r="Q471" s="495">
        <v>0</v>
      </c>
      <c r="T471" s="495">
        <v>30462.970559999998</v>
      </c>
      <c r="U471" s="495">
        <v>138435.94248</v>
      </c>
      <c r="V471" s="495">
        <v>-4617.3388799999993</v>
      </c>
      <c r="W471" s="495">
        <v>-16688.575199999999</v>
      </c>
      <c r="X471" s="495">
        <v>0</v>
      </c>
      <c r="AA471" s="495">
        <v>0</v>
      </c>
      <c r="AB471" s="495">
        <v>0</v>
      </c>
      <c r="AC471" s="495">
        <v>0</v>
      </c>
      <c r="AD471" s="495">
        <v>0</v>
      </c>
      <c r="AE471" s="495">
        <v>0</v>
      </c>
      <c r="AH471" s="495">
        <v>18250.469584050545</v>
      </c>
      <c r="AI471" s="495">
        <v>12079.062559050539</v>
      </c>
      <c r="AJ471" s="495">
        <v>4118.5345840505415</v>
      </c>
      <c r="AK471" s="495">
        <v>0</v>
      </c>
      <c r="AL471" s="495">
        <v>0</v>
      </c>
      <c r="AO471" s="495">
        <v>-5690.002199999979</v>
      </c>
      <c r="AP471" s="495">
        <v>-5690.002199999979</v>
      </c>
      <c r="AQ471" s="495">
        <v>0</v>
      </c>
      <c r="AR471" s="495">
        <v>0</v>
      </c>
      <c r="AS471" s="495">
        <v>0</v>
      </c>
    </row>
    <row r="472" spans="1:45">
      <c r="A472" s="390">
        <v>95005</v>
      </c>
      <c r="B472" s="393">
        <v>95005</v>
      </c>
      <c r="C472" s="499" t="s">
        <v>1180</v>
      </c>
      <c r="D472" s="378">
        <v>1.7484588857233902E-4</v>
      </c>
      <c r="F472" s="495">
        <v>107641.96926092106</v>
      </c>
      <c r="G472" s="495">
        <v>224319.36340592106</v>
      </c>
      <c r="H472" s="495">
        <v>29657.89144842104</v>
      </c>
      <c r="I472" s="495">
        <v>-18116.596600000001</v>
      </c>
      <c r="J472" s="495">
        <v>0</v>
      </c>
      <c r="M472" s="495">
        <v>80350.943220000001</v>
      </c>
      <c r="N472" s="495">
        <v>81739.538480000003</v>
      </c>
      <c r="O472" s="495">
        <v>43046.45306</v>
      </c>
      <c r="P472" s="495">
        <v>0</v>
      </c>
      <c r="Q472" s="495">
        <v>0</v>
      </c>
      <c r="T472" s="495">
        <v>33069.650480000004</v>
      </c>
      <c r="U472" s="495">
        <v>150281.74034000002</v>
      </c>
      <c r="V472" s="495">
        <v>-5012.4390400000002</v>
      </c>
      <c r="W472" s="495">
        <v>-18116.596600000001</v>
      </c>
      <c r="X472" s="495">
        <v>0</v>
      </c>
      <c r="AA472" s="495">
        <v>0</v>
      </c>
      <c r="AB472" s="495">
        <v>0</v>
      </c>
      <c r="AC472" s="495">
        <v>0</v>
      </c>
      <c r="AD472" s="495">
        <v>0</v>
      </c>
      <c r="AE472" s="495">
        <v>0</v>
      </c>
      <c r="AH472" s="495">
        <v>3868.5589975000039</v>
      </c>
      <c r="AI472" s="495">
        <v>1774.7733725000071</v>
      </c>
      <c r="AJ472" s="495">
        <v>0</v>
      </c>
      <c r="AK472" s="495">
        <v>0</v>
      </c>
      <c r="AL472" s="495">
        <v>0</v>
      </c>
      <c r="AO472" s="495">
        <v>-9647.1834365789473</v>
      </c>
      <c r="AP472" s="495">
        <v>-9476.688786578954</v>
      </c>
      <c r="AQ472" s="495">
        <v>-8376.1225715789624</v>
      </c>
      <c r="AR472" s="495">
        <v>0</v>
      </c>
      <c r="AS472" s="495">
        <v>0</v>
      </c>
    </row>
    <row r="473" spans="1:45">
      <c r="A473" s="390">
        <v>95008</v>
      </c>
      <c r="B473" s="393">
        <v>95008</v>
      </c>
      <c r="C473" s="499" t="s">
        <v>1181</v>
      </c>
      <c r="D473" s="378">
        <v>1.4760180664951967E-4</v>
      </c>
      <c r="F473" s="495">
        <v>125163.43211326489</v>
      </c>
      <c r="G473" s="495">
        <v>228950.0549932649</v>
      </c>
      <c r="H473" s="495">
        <v>41347.370243264886</v>
      </c>
      <c r="I473" s="495">
        <v>-15293.715399999999</v>
      </c>
      <c r="J473" s="495">
        <v>0</v>
      </c>
      <c r="M473" s="495">
        <v>67830.867180000001</v>
      </c>
      <c r="N473" s="495">
        <v>69003.095119999998</v>
      </c>
      <c r="O473" s="495">
        <v>36339.066139999995</v>
      </c>
      <c r="P473" s="495">
        <v>0</v>
      </c>
      <c r="Q473" s="495">
        <v>0</v>
      </c>
      <c r="T473" s="495">
        <v>27916.823119999997</v>
      </c>
      <c r="U473" s="495">
        <v>126865.22846</v>
      </c>
      <c r="V473" s="495">
        <v>-4231.4137599999995</v>
      </c>
      <c r="W473" s="495">
        <v>-15293.715399999999</v>
      </c>
      <c r="X473" s="495">
        <v>0</v>
      </c>
      <c r="AA473" s="495">
        <v>0</v>
      </c>
      <c r="AB473" s="495">
        <v>0</v>
      </c>
      <c r="AC473" s="495">
        <v>0</v>
      </c>
      <c r="AD473" s="495">
        <v>0</v>
      </c>
      <c r="AE473" s="495">
        <v>0</v>
      </c>
      <c r="AH473" s="495">
        <v>36917.506413264891</v>
      </c>
      <c r="AI473" s="495">
        <v>33081.73141326489</v>
      </c>
      <c r="AJ473" s="495">
        <v>9239.7178632648865</v>
      </c>
      <c r="AK473" s="495">
        <v>0</v>
      </c>
      <c r="AL473" s="495">
        <v>0</v>
      </c>
      <c r="AO473" s="495">
        <v>-7501.764599999995</v>
      </c>
      <c r="AP473" s="495">
        <v>0</v>
      </c>
      <c r="AQ473" s="495">
        <v>0</v>
      </c>
      <c r="AR473" s="495">
        <v>0</v>
      </c>
      <c r="AS473" s="495">
        <v>0</v>
      </c>
    </row>
    <row r="474" spans="1:45">
      <c r="A474" s="390">
        <v>95009</v>
      </c>
      <c r="B474" s="393">
        <v>95009</v>
      </c>
      <c r="C474" s="499" t="s">
        <v>1182</v>
      </c>
      <c r="D474" s="378">
        <v>9.9235689385445188E-3</v>
      </c>
      <c r="F474" s="495">
        <v>11202484.590439823</v>
      </c>
      <c r="G474" s="495">
        <v>17440547.164739825</v>
      </c>
      <c r="H474" s="495">
        <v>3329909.7037823228</v>
      </c>
      <c r="I474" s="495">
        <v>-1028227.223</v>
      </c>
      <c r="J474" s="495">
        <v>0</v>
      </c>
      <c r="M474" s="495">
        <v>4560405.5241</v>
      </c>
      <c r="N474" s="495">
        <v>4639216.7643999998</v>
      </c>
      <c r="O474" s="495">
        <v>2443148.4493</v>
      </c>
      <c r="P474" s="495">
        <v>0</v>
      </c>
      <c r="Q474" s="495">
        <v>0</v>
      </c>
      <c r="T474" s="495">
        <v>1876904.1243999999</v>
      </c>
      <c r="U474" s="495">
        <v>8529404.2776999995</v>
      </c>
      <c r="V474" s="495">
        <v>-284486.45120000001</v>
      </c>
      <c r="W474" s="495">
        <v>-1028227.223</v>
      </c>
      <c r="X474" s="495">
        <v>0</v>
      </c>
      <c r="AA474" s="495">
        <v>0</v>
      </c>
      <c r="AB474" s="495">
        <v>0</v>
      </c>
      <c r="AC474" s="495">
        <v>0</v>
      </c>
      <c r="AD474" s="495">
        <v>0</v>
      </c>
      <c r="AE474" s="495">
        <v>0</v>
      </c>
      <c r="AH474" s="495">
        <v>4783688.3494173223</v>
      </c>
      <c r="AI474" s="495">
        <v>4290439.5301173218</v>
      </c>
      <c r="AJ474" s="495">
        <v>1171247.7056823228</v>
      </c>
      <c r="AK474" s="495">
        <v>0</v>
      </c>
      <c r="AL474" s="495">
        <v>0</v>
      </c>
      <c r="AO474" s="495">
        <v>-18513.407477499917</v>
      </c>
      <c r="AP474" s="495">
        <v>-18513.407477499917</v>
      </c>
      <c r="AQ474" s="495">
        <v>0</v>
      </c>
      <c r="AR474" s="495">
        <v>0</v>
      </c>
      <c r="AS474" s="495">
        <v>0</v>
      </c>
    </row>
    <row r="475" spans="1:45">
      <c r="A475" s="390">
        <v>95010</v>
      </c>
      <c r="B475" s="393">
        <v>95010</v>
      </c>
      <c r="C475" s="499" t="s">
        <v>3719</v>
      </c>
      <c r="D475" s="378">
        <v>2.1763160966608544E-5</v>
      </c>
      <c r="F475" s="495">
        <v>7100.7169637663883</v>
      </c>
      <c r="G475" s="495">
        <v>22311.899873766393</v>
      </c>
      <c r="H475" s="495">
        <v>-1870.9171962336104</v>
      </c>
      <c r="I475" s="495">
        <v>-2254.9887999999996</v>
      </c>
      <c r="J475" s="495">
        <v>0</v>
      </c>
      <c r="M475" s="495">
        <v>10001.352959999998</v>
      </c>
      <c r="N475" s="495">
        <v>10174.192639999999</v>
      </c>
      <c r="O475" s="495">
        <v>5358.0300799999995</v>
      </c>
      <c r="P475" s="495">
        <v>0</v>
      </c>
      <c r="Q475" s="495">
        <v>0</v>
      </c>
      <c r="T475" s="495">
        <v>4116.2086399999998</v>
      </c>
      <c r="U475" s="495">
        <v>18705.701119999998</v>
      </c>
      <c r="V475" s="495">
        <v>-623.90271999999993</v>
      </c>
      <c r="W475" s="495">
        <v>-2254.9887999999996</v>
      </c>
      <c r="X475" s="495">
        <v>0</v>
      </c>
      <c r="AA475" s="495">
        <v>0</v>
      </c>
      <c r="AB475" s="495">
        <v>0</v>
      </c>
      <c r="AC475" s="495">
        <v>0</v>
      </c>
      <c r="AD475" s="495">
        <v>0</v>
      </c>
      <c r="AE475" s="495">
        <v>0</v>
      </c>
      <c r="AH475" s="495">
        <v>3323.4744600000031</v>
      </c>
      <c r="AI475" s="495">
        <v>2755.1589600000043</v>
      </c>
      <c r="AJ475" s="495">
        <v>0</v>
      </c>
      <c r="AK475" s="495">
        <v>0</v>
      </c>
      <c r="AL475" s="495">
        <v>0</v>
      </c>
      <c r="AO475" s="495">
        <v>-10340.31909623361</v>
      </c>
      <c r="AP475" s="495">
        <v>-9323.15284623361</v>
      </c>
      <c r="AQ475" s="495">
        <v>-6605.0445562336099</v>
      </c>
      <c r="AR475" s="495">
        <v>0</v>
      </c>
      <c r="AS475" s="495">
        <v>0</v>
      </c>
    </row>
    <row r="476" spans="1:45">
      <c r="A476" s="390">
        <v>95011</v>
      </c>
      <c r="B476" s="393">
        <v>95011</v>
      </c>
      <c r="C476" s="499" t="s">
        <v>1183</v>
      </c>
      <c r="D476" s="378">
        <v>2.3988553737487527E-4</v>
      </c>
      <c r="F476" s="495">
        <v>177138.9316494196</v>
      </c>
      <c r="G476" s="495">
        <v>338775.95387441956</v>
      </c>
      <c r="H476" s="495">
        <v>36519.954491919561</v>
      </c>
      <c r="I476" s="495">
        <v>-24855.655500000001</v>
      </c>
      <c r="J476" s="495">
        <v>0</v>
      </c>
      <c r="M476" s="495">
        <v>110240.09685</v>
      </c>
      <c r="N476" s="495">
        <v>112145.2254</v>
      </c>
      <c r="O476" s="495">
        <v>59058.985050000003</v>
      </c>
      <c r="P476" s="495">
        <v>0</v>
      </c>
      <c r="Q476" s="495">
        <v>0</v>
      </c>
      <c r="T476" s="495">
        <v>45370.985399999998</v>
      </c>
      <c r="U476" s="495">
        <v>206183.93445</v>
      </c>
      <c r="V476" s="495">
        <v>-6876.9791999999998</v>
      </c>
      <c r="W476" s="495">
        <v>-24855.655500000001</v>
      </c>
      <c r="X476" s="495">
        <v>0</v>
      </c>
      <c r="AA476" s="495">
        <v>0</v>
      </c>
      <c r="AB476" s="495">
        <v>0</v>
      </c>
      <c r="AC476" s="495">
        <v>0</v>
      </c>
      <c r="AD476" s="495">
        <v>0</v>
      </c>
      <c r="AE476" s="495">
        <v>0</v>
      </c>
      <c r="AH476" s="495">
        <v>50192.790885000024</v>
      </c>
      <c r="AI476" s="495">
        <v>44793.793635000024</v>
      </c>
      <c r="AJ476" s="495">
        <v>0</v>
      </c>
      <c r="AK476" s="495">
        <v>0</v>
      </c>
      <c r="AL476" s="495">
        <v>0</v>
      </c>
      <c r="AO476" s="495">
        <v>-28664.941485580432</v>
      </c>
      <c r="AP476" s="495">
        <v>-24346.999610580435</v>
      </c>
      <c r="AQ476" s="495">
        <v>-15662.051358080436</v>
      </c>
      <c r="AR476" s="495">
        <v>0</v>
      </c>
      <c r="AS476" s="495">
        <v>0</v>
      </c>
    </row>
    <row r="477" spans="1:45">
      <c r="A477" s="390">
        <v>95017</v>
      </c>
      <c r="B477" s="393">
        <v>95017</v>
      </c>
      <c r="C477" s="499" t="s">
        <v>1184</v>
      </c>
      <c r="D477" s="378">
        <v>4.3446505576719647E-5</v>
      </c>
      <c r="F477" s="495">
        <v>51397.418329136592</v>
      </c>
      <c r="G477" s="495">
        <v>59555.311219136587</v>
      </c>
      <c r="H477" s="495">
        <v>14061.102186636592</v>
      </c>
      <c r="I477" s="495">
        <v>-4501.6871999999994</v>
      </c>
      <c r="J477" s="495">
        <v>0</v>
      </c>
      <c r="M477" s="495">
        <v>19965.936239999999</v>
      </c>
      <c r="N477" s="495">
        <v>20310.980159999999</v>
      </c>
      <c r="O477" s="495">
        <v>10696.361519999999</v>
      </c>
      <c r="P477" s="495">
        <v>0</v>
      </c>
      <c r="Q477" s="495">
        <v>0</v>
      </c>
      <c r="T477" s="495">
        <v>8217.2841599999992</v>
      </c>
      <c r="U477" s="495">
        <v>37342.631280000001</v>
      </c>
      <c r="V477" s="495">
        <v>-1245.5116799999998</v>
      </c>
      <c r="W477" s="495">
        <v>-4501.6871999999994</v>
      </c>
      <c r="X477" s="495">
        <v>0</v>
      </c>
      <c r="AA477" s="495">
        <v>0</v>
      </c>
      <c r="AB477" s="495">
        <v>0</v>
      </c>
      <c r="AC477" s="495">
        <v>0</v>
      </c>
      <c r="AD477" s="495">
        <v>0</v>
      </c>
      <c r="AE477" s="495">
        <v>0</v>
      </c>
      <c r="AH477" s="495">
        <v>27229.20924663659</v>
      </c>
      <c r="AI477" s="495">
        <v>4610.2523466365928</v>
      </c>
      <c r="AJ477" s="495">
        <v>4610.2523466365928</v>
      </c>
      <c r="AK477" s="495">
        <v>0</v>
      </c>
      <c r="AL477" s="495">
        <v>0</v>
      </c>
      <c r="AO477" s="495">
        <v>-4015.0113175000006</v>
      </c>
      <c r="AP477" s="495">
        <v>-2708.5525675000017</v>
      </c>
      <c r="AQ477" s="495">
        <v>0</v>
      </c>
      <c r="AR477" s="495">
        <v>0</v>
      </c>
      <c r="AS477" s="495">
        <v>0</v>
      </c>
    </row>
    <row r="478" spans="1:45">
      <c r="A478" s="390">
        <v>95101</v>
      </c>
      <c r="B478" s="393">
        <v>95101</v>
      </c>
      <c r="C478" s="499" t="s">
        <v>1185</v>
      </c>
      <c r="D478" s="378">
        <v>1.0041806485667678E-2</v>
      </c>
      <c r="F478" s="495">
        <v>7047386.0816541826</v>
      </c>
      <c r="G478" s="495">
        <v>13664784.140274182</v>
      </c>
      <c r="H478" s="495">
        <v>2049338.4906766827</v>
      </c>
      <c r="I478" s="495">
        <v>-1040478.3616000001</v>
      </c>
      <c r="J478" s="495">
        <v>0</v>
      </c>
      <c r="M478" s="495">
        <v>4614741.9187200004</v>
      </c>
      <c r="N478" s="495">
        <v>4694492.1804799996</v>
      </c>
      <c r="O478" s="495">
        <v>2472258.1145600001</v>
      </c>
      <c r="P478" s="495">
        <v>0</v>
      </c>
      <c r="Q478" s="495">
        <v>0</v>
      </c>
      <c r="T478" s="495">
        <v>1899267.0924800001</v>
      </c>
      <c r="U478" s="495">
        <v>8631030.56384</v>
      </c>
      <c r="V478" s="495">
        <v>-287876.05504000001</v>
      </c>
      <c r="W478" s="495">
        <v>-1040478.3616000001</v>
      </c>
      <c r="X478" s="495">
        <v>0</v>
      </c>
      <c r="AA478" s="495">
        <v>0</v>
      </c>
      <c r="AB478" s="495">
        <v>0</v>
      </c>
      <c r="AC478" s="495">
        <v>0</v>
      </c>
      <c r="AD478" s="495">
        <v>0</v>
      </c>
      <c r="AE478" s="495">
        <v>0</v>
      </c>
      <c r="AH478" s="495">
        <v>892066.94140499993</v>
      </c>
      <c r="AI478" s="495">
        <v>632630.91565499944</v>
      </c>
      <c r="AJ478" s="495">
        <v>0</v>
      </c>
      <c r="AK478" s="495">
        <v>0</v>
      </c>
      <c r="AL478" s="495">
        <v>0</v>
      </c>
      <c r="AO478" s="495">
        <v>-358689.87095081841</v>
      </c>
      <c r="AP478" s="495">
        <v>-293369.51970081811</v>
      </c>
      <c r="AQ478" s="495">
        <v>-135043.56884331754</v>
      </c>
      <c r="AR478" s="495">
        <v>0</v>
      </c>
      <c r="AS478" s="495">
        <v>0</v>
      </c>
    </row>
    <row r="479" spans="1:45">
      <c r="A479" s="390">
        <v>95103</v>
      </c>
      <c r="B479" s="393">
        <v>95103</v>
      </c>
      <c r="C479" s="499" t="s">
        <v>1186</v>
      </c>
      <c r="D479" s="378">
        <v>4.09460875982664E-5</v>
      </c>
      <c r="F479" s="495">
        <v>31419.093563630337</v>
      </c>
      <c r="G479" s="495">
        <v>55203.225353630332</v>
      </c>
      <c r="H479" s="495">
        <v>15122.069248630338</v>
      </c>
      <c r="I479" s="495">
        <v>-4242.6121999999996</v>
      </c>
      <c r="J479" s="495">
        <v>0</v>
      </c>
      <c r="M479" s="495">
        <v>18816.883739999997</v>
      </c>
      <c r="N479" s="495">
        <v>19142.070159999999</v>
      </c>
      <c r="O479" s="495">
        <v>10080.77902</v>
      </c>
      <c r="P479" s="495">
        <v>0</v>
      </c>
      <c r="Q479" s="495">
        <v>0</v>
      </c>
      <c r="T479" s="495">
        <v>7744.3741599999994</v>
      </c>
      <c r="U479" s="495">
        <v>35193.538779999995</v>
      </c>
      <c r="V479" s="495">
        <v>-1173.83168</v>
      </c>
      <c r="W479" s="495">
        <v>-4242.6121999999996</v>
      </c>
      <c r="X479" s="495">
        <v>0</v>
      </c>
      <c r="AA479" s="495">
        <v>0</v>
      </c>
      <c r="AB479" s="495">
        <v>0</v>
      </c>
      <c r="AC479" s="495">
        <v>0</v>
      </c>
      <c r="AD479" s="495">
        <v>0</v>
      </c>
      <c r="AE479" s="495">
        <v>0</v>
      </c>
      <c r="AH479" s="495">
        <v>14426.023573630337</v>
      </c>
      <c r="AI479" s="495">
        <v>10435.804323630338</v>
      </c>
      <c r="AJ479" s="495">
        <v>6215.1219086303381</v>
      </c>
      <c r="AK479" s="495">
        <v>0</v>
      </c>
      <c r="AL479" s="495">
        <v>0</v>
      </c>
      <c r="AO479" s="495">
        <v>-9568.1879099999969</v>
      </c>
      <c r="AP479" s="495">
        <v>-9568.1879099999969</v>
      </c>
      <c r="AQ479" s="495">
        <v>0</v>
      </c>
      <c r="AR479" s="495">
        <v>0</v>
      </c>
      <c r="AS479" s="495">
        <v>0</v>
      </c>
    </row>
    <row r="480" spans="1:45">
      <c r="A480" s="390">
        <v>95104</v>
      </c>
      <c r="B480" s="393">
        <v>95104</v>
      </c>
      <c r="C480" s="499" t="s">
        <v>1187</v>
      </c>
      <c r="D480" s="378">
        <v>1.5684314617104759E-4</v>
      </c>
      <c r="F480" s="495">
        <v>137217.223384276</v>
      </c>
      <c r="G480" s="495">
        <v>217188.33342927598</v>
      </c>
      <c r="H480" s="495">
        <v>39004.850586776018</v>
      </c>
      <c r="I480" s="495">
        <v>-16251.256600000001</v>
      </c>
      <c r="J480" s="495">
        <v>0</v>
      </c>
      <c r="M480" s="495">
        <v>72077.765220000001</v>
      </c>
      <c r="N480" s="495">
        <v>73323.386480000001</v>
      </c>
      <c r="O480" s="495">
        <v>38614.259060000004</v>
      </c>
      <c r="P480" s="495">
        <v>0</v>
      </c>
      <c r="Q480" s="495">
        <v>0</v>
      </c>
      <c r="T480" s="495">
        <v>29664.698480000003</v>
      </c>
      <c r="U480" s="495">
        <v>134808.27434</v>
      </c>
      <c r="V480" s="495">
        <v>-4496.3430399999997</v>
      </c>
      <c r="W480" s="495">
        <v>-16251.256600000001</v>
      </c>
      <c r="X480" s="495">
        <v>0</v>
      </c>
      <c r="AA480" s="495">
        <v>0</v>
      </c>
      <c r="AB480" s="495">
        <v>0</v>
      </c>
      <c r="AC480" s="495">
        <v>0</v>
      </c>
      <c r="AD480" s="495">
        <v>0</v>
      </c>
      <c r="AE480" s="495">
        <v>0</v>
      </c>
      <c r="AH480" s="495">
        <v>37368.931469276009</v>
      </c>
      <c r="AI480" s="495">
        <v>10950.84439427601</v>
      </c>
      <c r="AJ480" s="495">
        <v>4886.9345667760108</v>
      </c>
      <c r="AK480" s="495">
        <v>0</v>
      </c>
      <c r="AL480" s="495">
        <v>0</v>
      </c>
      <c r="AO480" s="495">
        <v>-1894.1717850000064</v>
      </c>
      <c r="AP480" s="495">
        <v>-1894.1717850000064</v>
      </c>
      <c r="AQ480" s="495">
        <v>0</v>
      </c>
      <c r="AR480" s="495">
        <v>0</v>
      </c>
      <c r="AS480" s="495">
        <v>0</v>
      </c>
    </row>
    <row r="481" spans="1:45">
      <c r="A481" s="390">
        <v>95105</v>
      </c>
      <c r="B481" s="393">
        <v>95105</v>
      </c>
      <c r="C481" s="499" t="s">
        <v>1188</v>
      </c>
      <c r="D481" s="378">
        <v>5.4168008274409167E-5</v>
      </c>
      <c r="F481" s="495">
        <v>23607.372126727401</v>
      </c>
      <c r="G481" s="495">
        <v>55543.650511727406</v>
      </c>
      <c r="H481" s="495">
        <v>3451.0236867274016</v>
      </c>
      <c r="I481" s="495">
        <v>-5612.6008000000002</v>
      </c>
      <c r="J481" s="495">
        <v>0</v>
      </c>
      <c r="M481" s="495">
        <v>24893.073360000002</v>
      </c>
      <c r="N481" s="495">
        <v>25323.266240000001</v>
      </c>
      <c r="O481" s="495">
        <v>13335.979280000001</v>
      </c>
      <c r="P481" s="495">
        <v>0</v>
      </c>
      <c r="Q481" s="495">
        <v>0</v>
      </c>
      <c r="T481" s="495">
        <v>10245.122240000001</v>
      </c>
      <c r="U481" s="495">
        <v>46557.939920000004</v>
      </c>
      <c r="V481" s="495">
        <v>-1552.8755200000001</v>
      </c>
      <c r="W481" s="495">
        <v>-5612.6008000000002</v>
      </c>
      <c r="X481" s="495">
        <v>0</v>
      </c>
      <c r="AA481" s="495">
        <v>0</v>
      </c>
      <c r="AB481" s="495">
        <v>0</v>
      </c>
      <c r="AC481" s="495">
        <v>0</v>
      </c>
      <c r="AD481" s="495">
        <v>0</v>
      </c>
      <c r="AE481" s="495">
        <v>0</v>
      </c>
      <c r="AH481" s="495">
        <v>7160.7752999999975</v>
      </c>
      <c r="AI481" s="495">
        <v>0</v>
      </c>
      <c r="AJ481" s="495">
        <v>0</v>
      </c>
      <c r="AK481" s="495">
        <v>0</v>
      </c>
      <c r="AL481" s="495">
        <v>0</v>
      </c>
      <c r="AO481" s="495">
        <v>-18691.598773272599</v>
      </c>
      <c r="AP481" s="495">
        <v>-16337.555648272597</v>
      </c>
      <c r="AQ481" s="495">
        <v>-8332.0800732726002</v>
      </c>
      <c r="AR481" s="495">
        <v>0</v>
      </c>
      <c r="AS481" s="495">
        <v>0</v>
      </c>
    </row>
    <row r="482" spans="1:45">
      <c r="A482" s="390">
        <v>95106</v>
      </c>
      <c r="B482" s="393">
        <v>95106</v>
      </c>
      <c r="C482" s="499" t="s">
        <v>1189</v>
      </c>
      <c r="D482" s="378">
        <v>5.0187427119794298E-5</v>
      </c>
      <c r="F482" s="495">
        <v>67896.553959641431</v>
      </c>
      <c r="G482" s="495">
        <v>100010.20573964145</v>
      </c>
      <c r="H482" s="495">
        <v>31457.606992141442</v>
      </c>
      <c r="I482" s="495">
        <v>-5200.1534000000001</v>
      </c>
      <c r="J482" s="495">
        <v>0</v>
      </c>
      <c r="M482" s="495">
        <v>23063.781779999998</v>
      </c>
      <c r="N482" s="495">
        <v>23462.361519999999</v>
      </c>
      <c r="O482" s="495">
        <v>12355.971939999999</v>
      </c>
      <c r="P482" s="495">
        <v>0</v>
      </c>
      <c r="Q482" s="495">
        <v>0</v>
      </c>
      <c r="T482" s="495">
        <v>9492.2495199999994</v>
      </c>
      <c r="U482" s="495">
        <v>43136.58466</v>
      </c>
      <c r="V482" s="495">
        <v>-1438.7609599999998</v>
      </c>
      <c r="W482" s="495">
        <v>-5200.1534000000001</v>
      </c>
      <c r="X482" s="495">
        <v>0</v>
      </c>
      <c r="AA482" s="495">
        <v>0</v>
      </c>
      <c r="AB482" s="495">
        <v>0</v>
      </c>
      <c r="AC482" s="495">
        <v>0</v>
      </c>
      <c r="AD482" s="495">
        <v>0</v>
      </c>
      <c r="AE482" s="495">
        <v>0</v>
      </c>
      <c r="AH482" s="495">
        <v>35340.522659641443</v>
      </c>
      <c r="AI482" s="495">
        <v>33411.259559641439</v>
      </c>
      <c r="AJ482" s="495">
        <v>20540.396012141442</v>
      </c>
      <c r="AK482" s="495">
        <v>0</v>
      </c>
      <c r="AL482" s="495">
        <v>0</v>
      </c>
      <c r="AO482" s="495">
        <v>0</v>
      </c>
      <c r="AP482" s="495">
        <v>0</v>
      </c>
      <c r="AQ482" s="495">
        <v>0</v>
      </c>
      <c r="AR482" s="495">
        <v>0</v>
      </c>
      <c r="AS482" s="495">
        <v>0</v>
      </c>
    </row>
    <row r="483" spans="1:45">
      <c r="A483" s="390">
        <v>95110</v>
      </c>
      <c r="B483" s="393">
        <v>95110</v>
      </c>
      <c r="C483" s="499" t="s">
        <v>1190</v>
      </c>
      <c r="D483" s="378">
        <v>1.5626013071052037E-3</v>
      </c>
      <c r="F483" s="495">
        <v>579507.5943424498</v>
      </c>
      <c r="G483" s="495">
        <v>1638973.0615874501</v>
      </c>
      <c r="H483" s="495">
        <v>73928.549347449793</v>
      </c>
      <c r="I483" s="495">
        <v>-161908.4031</v>
      </c>
      <c r="J483" s="495">
        <v>0</v>
      </c>
      <c r="M483" s="495">
        <v>718098.06177000003</v>
      </c>
      <c r="N483" s="495">
        <v>730507.96667999995</v>
      </c>
      <c r="O483" s="495">
        <v>384707.05220999999</v>
      </c>
      <c r="P483" s="495">
        <v>0</v>
      </c>
      <c r="Q483" s="495">
        <v>0</v>
      </c>
      <c r="T483" s="495">
        <v>295544.15867999999</v>
      </c>
      <c r="U483" s="495">
        <v>1343071.05969</v>
      </c>
      <c r="V483" s="495">
        <v>-44796.272640000003</v>
      </c>
      <c r="W483" s="495">
        <v>-161908.4031</v>
      </c>
      <c r="X483" s="495">
        <v>0</v>
      </c>
      <c r="AA483" s="495">
        <v>0</v>
      </c>
      <c r="AB483" s="495">
        <v>0</v>
      </c>
      <c r="AC483" s="495">
        <v>0</v>
      </c>
      <c r="AD483" s="495">
        <v>0</v>
      </c>
      <c r="AE483" s="495">
        <v>0</v>
      </c>
      <c r="AH483" s="495">
        <v>164137.26339500002</v>
      </c>
      <c r="AI483" s="495">
        <v>68814.067770000023</v>
      </c>
      <c r="AJ483" s="495">
        <v>0</v>
      </c>
      <c r="AK483" s="495">
        <v>0</v>
      </c>
      <c r="AL483" s="495">
        <v>0</v>
      </c>
      <c r="AO483" s="495">
        <v>-598271.88950255036</v>
      </c>
      <c r="AP483" s="495">
        <v>-503420.03255255008</v>
      </c>
      <c r="AQ483" s="495">
        <v>-265982.23022255022</v>
      </c>
      <c r="AR483" s="495">
        <v>0</v>
      </c>
      <c r="AS483" s="495">
        <v>0</v>
      </c>
    </row>
    <row r="484" spans="1:45">
      <c r="A484" s="390">
        <v>95111</v>
      </c>
      <c r="B484" s="393">
        <v>95111</v>
      </c>
      <c r="C484" s="499" t="s">
        <v>1191</v>
      </c>
      <c r="D484" s="378">
        <v>8.6650832305211749E-4</v>
      </c>
      <c r="F484" s="495">
        <v>530248.67340312176</v>
      </c>
      <c r="G484" s="495">
        <v>1085608.7965581217</v>
      </c>
      <c r="H484" s="495">
        <v>161259.15119562185</v>
      </c>
      <c r="I484" s="495">
        <v>-89782.959400000007</v>
      </c>
      <c r="J484" s="495">
        <v>0</v>
      </c>
      <c r="M484" s="495">
        <v>398206.44198</v>
      </c>
      <c r="N484" s="495">
        <v>405088.09831999999</v>
      </c>
      <c r="O484" s="495">
        <v>213331.34654</v>
      </c>
      <c r="P484" s="495">
        <v>0</v>
      </c>
      <c r="Q484" s="495">
        <v>0</v>
      </c>
      <c r="T484" s="495">
        <v>163887.90632000001</v>
      </c>
      <c r="U484" s="495">
        <v>744772.30405999999</v>
      </c>
      <c r="V484" s="495">
        <v>-24840.84736</v>
      </c>
      <c r="W484" s="495">
        <v>-89782.959400000007</v>
      </c>
      <c r="X484" s="495">
        <v>0</v>
      </c>
      <c r="AA484" s="495">
        <v>0</v>
      </c>
      <c r="AB484" s="495">
        <v>0</v>
      </c>
      <c r="AC484" s="495">
        <v>0</v>
      </c>
      <c r="AD484" s="495">
        <v>0</v>
      </c>
      <c r="AE484" s="495">
        <v>0</v>
      </c>
      <c r="AH484" s="495">
        <v>46633.12711250002</v>
      </c>
      <c r="AI484" s="495">
        <v>14227.196187499998</v>
      </c>
      <c r="AJ484" s="495">
        <v>0</v>
      </c>
      <c r="AK484" s="495">
        <v>0</v>
      </c>
      <c r="AL484" s="495">
        <v>0</v>
      </c>
      <c r="AO484" s="495">
        <v>-78478.802009378182</v>
      </c>
      <c r="AP484" s="495">
        <v>-78478.802009378182</v>
      </c>
      <c r="AQ484" s="495">
        <v>-27231.347984378139</v>
      </c>
      <c r="AR484" s="495">
        <v>0</v>
      </c>
      <c r="AS484" s="495">
        <v>0</v>
      </c>
    </row>
    <row r="485" spans="1:45">
      <c r="A485" s="390">
        <v>95113</v>
      </c>
      <c r="B485" s="393">
        <v>95113</v>
      </c>
      <c r="C485" s="499" t="s">
        <v>1192</v>
      </c>
      <c r="D485" s="378">
        <v>4.8607122604160979E-5</v>
      </c>
      <c r="F485" s="495">
        <v>55321.08320694149</v>
      </c>
      <c r="G485" s="495">
        <v>69247.821181941501</v>
      </c>
      <c r="H485" s="495">
        <v>9705.6141044414799</v>
      </c>
      <c r="I485" s="495">
        <v>-5036.4180000000006</v>
      </c>
      <c r="J485" s="495">
        <v>0</v>
      </c>
      <c r="M485" s="495">
        <v>22337.580600000001</v>
      </c>
      <c r="N485" s="495">
        <v>22723.610400000001</v>
      </c>
      <c r="O485" s="495">
        <v>11966.9238</v>
      </c>
      <c r="P485" s="495">
        <v>0</v>
      </c>
      <c r="Q485" s="495">
        <v>0</v>
      </c>
      <c r="T485" s="495">
        <v>9193.3703999999998</v>
      </c>
      <c r="U485" s="495">
        <v>41778.358200000002</v>
      </c>
      <c r="V485" s="495">
        <v>-1393.4592</v>
      </c>
      <c r="W485" s="495">
        <v>-5036.4180000000006</v>
      </c>
      <c r="X485" s="495">
        <v>0</v>
      </c>
      <c r="AA485" s="495">
        <v>0</v>
      </c>
      <c r="AB485" s="495">
        <v>0</v>
      </c>
      <c r="AC485" s="495">
        <v>0</v>
      </c>
      <c r="AD485" s="495">
        <v>0</v>
      </c>
      <c r="AE485" s="495">
        <v>0</v>
      </c>
      <c r="AH485" s="495">
        <v>31837.8670575</v>
      </c>
      <c r="AI485" s="495">
        <v>12793.587432500002</v>
      </c>
      <c r="AJ485" s="495">
        <v>0</v>
      </c>
      <c r="AK485" s="495">
        <v>0</v>
      </c>
      <c r="AL485" s="495">
        <v>0</v>
      </c>
      <c r="AO485" s="495">
        <v>-8047.7348505585096</v>
      </c>
      <c r="AP485" s="495">
        <v>-8047.7348505585096</v>
      </c>
      <c r="AQ485" s="495">
        <v>-867.85049555852038</v>
      </c>
      <c r="AR485" s="495">
        <v>0</v>
      </c>
      <c r="AS485" s="495">
        <v>0</v>
      </c>
    </row>
    <row r="486" spans="1:45">
      <c r="A486" s="390">
        <v>95121</v>
      </c>
      <c r="B486" s="393">
        <v>95121</v>
      </c>
      <c r="C486" s="499" t="s">
        <v>1193</v>
      </c>
      <c r="D486" s="378">
        <v>4.790509472507941E-4</v>
      </c>
      <c r="F486" s="495">
        <v>270995.75236327335</v>
      </c>
      <c r="G486" s="495">
        <v>608970.87624327326</v>
      </c>
      <c r="H486" s="495">
        <v>94701.196995773251</v>
      </c>
      <c r="I486" s="495">
        <v>-49636.697399999997</v>
      </c>
      <c r="J486" s="495">
        <v>0</v>
      </c>
      <c r="M486" s="495">
        <v>220149.26658</v>
      </c>
      <c r="N486" s="495">
        <v>223953.80471999999</v>
      </c>
      <c r="O486" s="495">
        <v>117940.68234</v>
      </c>
      <c r="P486" s="495">
        <v>0</v>
      </c>
      <c r="Q486" s="495">
        <v>0</v>
      </c>
      <c r="T486" s="495">
        <v>90605.772719999994</v>
      </c>
      <c r="U486" s="495">
        <v>411748.93025999999</v>
      </c>
      <c r="V486" s="495">
        <v>-13733.314560000001</v>
      </c>
      <c r="W486" s="495">
        <v>-49636.697399999997</v>
      </c>
      <c r="X486" s="495">
        <v>0</v>
      </c>
      <c r="AA486" s="495">
        <v>0</v>
      </c>
      <c r="AB486" s="495">
        <v>0</v>
      </c>
      <c r="AC486" s="495">
        <v>0</v>
      </c>
      <c r="AD486" s="495">
        <v>0</v>
      </c>
      <c r="AE486" s="495">
        <v>0</v>
      </c>
      <c r="AH486" s="495">
        <v>0</v>
      </c>
      <c r="AI486" s="495">
        <v>0</v>
      </c>
      <c r="AJ486" s="495">
        <v>0</v>
      </c>
      <c r="AK486" s="495">
        <v>0</v>
      </c>
      <c r="AL486" s="495">
        <v>0</v>
      </c>
      <c r="AO486" s="495">
        <v>-39759.286936726669</v>
      </c>
      <c r="AP486" s="495">
        <v>-26731.858736726681</v>
      </c>
      <c r="AQ486" s="495">
        <v>-9506.1707842267551</v>
      </c>
      <c r="AR486" s="495">
        <v>0</v>
      </c>
      <c r="AS486" s="495">
        <v>0</v>
      </c>
    </row>
    <row r="487" spans="1:45">
      <c r="A487" s="390">
        <v>95122</v>
      </c>
      <c r="B487" s="393">
        <v>95122</v>
      </c>
      <c r="C487" s="499" t="s">
        <v>1194</v>
      </c>
      <c r="D487" s="378">
        <v>9.191343030562025E-6</v>
      </c>
      <c r="F487" s="495">
        <v>761.52734545097701</v>
      </c>
      <c r="G487" s="495">
        <v>6759.2950354509767</v>
      </c>
      <c r="H487" s="495">
        <v>-939.30674204902698</v>
      </c>
      <c r="I487" s="495">
        <v>-952.35969999999998</v>
      </c>
      <c r="J487" s="495">
        <v>0</v>
      </c>
      <c r="M487" s="495">
        <v>4223.9169899999997</v>
      </c>
      <c r="N487" s="495">
        <v>4296.9131600000001</v>
      </c>
      <c r="O487" s="495">
        <v>2262.8812699999999</v>
      </c>
      <c r="P487" s="495">
        <v>0</v>
      </c>
      <c r="Q487" s="495">
        <v>0</v>
      </c>
      <c r="T487" s="495">
        <v>1738.41716</v>
      </c>
      <c r="U487" s="495">
        <v>7900.0640300000005</v>
      </c>
      <c r="V487" s="495">
        <v>-263.49567999999999</v>
      </c>
      <c r="W487" s="495">
        <v>-952.35969999999998</v>
      </c>
      <c r="X487" s="495">
        <v>0</v>
      </c>
      <c r="AA487" s="495">
        <v>0</v>
      </c>
      <c r="AB487" s="495">
        <v>0</v>
      </c>
      <c r="AC487" s="495">
        <v>0</v>
      </c>
      <c r="AD487" s="495">
        <v>0</v>
      </c>
      <c r="AE487" s="495">
        <v>0</v>
      </c>
      <c r="AH487" s="495">
        <v>4337.8682324999991</v>
      </c>
      <c r="AI487" s="495">
        <v>2509.7094824999995</v>
      </c>
      <c r="AJ487" s="495">
        <v>0</v>
      </c>
      <c r="AK487" s="495">
        <v>0</v>
      </c>
      <c r="AL487" s="495">
        <v>0</v>
      </c>
      <c r="AO487" s="495">
        <v>-9538.6750370490226</v>
      </c>
      <c r="AP487" s="495">
        <v>-7947.3916370490233</v>
      </c>
      <c r="AQ487" s="495">
        <v>-2938.6923320490268</v>
      </c>
      <c r="AR487" s="495">
        <v>0</v>
      </c>
      <c r="AS487" s="495">
        <v>0</v>
      </c>
    </row>
    <row r="488" spans="1:45">
      <c r="A488" s="390">
        <v>95123</v>
      </c>
      <c r="B488" s="393">
        <v>95123</v>
      </c>
      <c r="C488" s="499" t="s">
        <v>1195</v>
      </c>
      <c r="D488" s="378">
        <v>4.687697697317001E-5</v>
      </c>
      <c r="F488" s="495">
        <v>17885.830352561145</v>
      </c>
      <c r="G488" s="495">
        <v>54055.431097561144</v>
      </c>
      <c r="H488" s="495">
        <v>4183.2516600611507</v>
      </c>
      <c r="I488" s="495">
        <v>-4857.1380999999992</v>
      </c>
      <c r="J488" s="495">
        <v>0</v>
      </c>
      <c r="M488" s="495">
        <v>21542.436269999998</v>
      </c>
      <c r="N488" s="495">
        <v>21914.724679999999</v>
      </c>
      <c r="O488" s="495">
        <v>11540.940709999999</v>
      </c>
      <c r="P488" s="495">
        <v>0</v>
      </c>
      <c r="Q488" s="495">
        <v>0</v>
      </c>
      <c r="T488" s="495">
        <v>8866.1166799999992</v>
      </c>
      <c r="U488" s="495">
        <v>40291.18619</v>
      </c>
      <c r="V488" s="495">
        <v>-1343.85664</v>
      </c>
      <c r="W488" s="495">
        <v>-4857.1380999999992</v>
      </c>
      <c r="X488" s="495">
        <v>0</v>
      </c>
      <c r="AA488" s="495">
        <v>0</v>
      </c>
      <c r="AB488" s="495">
        <v>0</v>
      </c>
      <c r="AC488" s="495">
        <v>0</v>
      </c>
      <c r="AD488" s="495">
        <v>0</v>
      </c>
      <c r="AE488" s="495">
        <v>0</v>
      </c>
      <c r="AH488" s="495">
        <v>636.38182499999562</v>
      </c>
      <c r="AI488" s="495">
        <v>636.38182499999562</v>
      </c>
      <c r="AJ488" s="495">
        <v>0</v>
      </c>
      <c r="AK488" s="495">
        <v>0</v>
      </c>
      <c r="AL488" s="495">
        <v>0</v>
      </c>
      <c r="AO488" s="495">
        <v>-13159.10442243885</v>
      </c>
      <c r="AP488" s="495">
        <v>-8786.8615974388485</v>
      </c>
      <c r="AQ488" s="495">
        <v>-6013.8324099388483</v>
      </c>
      <c r="AR488" s="495">
        <v>0</v>
      </c>
      <c r="AS488" s="495">
        <v>0</v>
      </c>
    </row>
    <row r="489" spans="1:45">
      <c r="A489" s="390">
        <v>95131</v>
      </c>
      <c r="B489" s="393">
        <v>95131</v>
      </c>
      <c r="C489" s="499" t="s">
        <v>1196</v>
      </c>
      <c r="D489" s="378">
        <v>2.2843481286102985E-3</v>
      </c>
      <c r="F489" s="495">
        <v>1664746.745281622</v>
      </c>
      <c r="G489" s="495">
        <v>3128196.2095166221</v>
      </c>
      <c r="H489" s="495">
        <v>511977.84907162184</v>
      </c>
      <c r="I489" s="495">
        <v>-236691.95629999999</v>
      </c>
      <c r="J489" s="495">
        <v>0</v>
      </c>
      <c r="M489" s="495">
        <v>1049778.9602099999</v>
      </c>
      <c r="N489" s="495">
        <v>1067920.85164</v>
      </c>
      <c r="O489" s="495">
        <v>562398.63433000003</v>
      </c>
      <c r="P489" s="495">
        <v>0</v>
      </c>
      <c r="Q489" s="495">
        <v>0</v>
      </c>
      <c r="T489" s="495">
        <v>432052.46763999999</v>
      </c>
      <c r="U489" s="495">
        <v>1963419.50437</v>
      </c>
      <c r="V489" s="495">
        <v>-65487.134720000002</v>
      </c>
      <c r="W489" s="495">
        <v>-236691.95629999999</v>
      </c>
      <c r="X489" s="495">
        <v>0</v>
      </c>
      <c r="AA489" s="495">
        <v>0</v>
      </c>
      <c r="AB489" s="495">
        <v>0</v>
      </c>
      <c r="AC489" s="495">
        <v>0</v>
      </c>
      <c r="AD489" s="495">
        <v>0</v>
      </c>
      <c r="AE489" s="495">
        <v>0</v>
      </c>
      <c r="AH489" s="495">
        <v>260667.44312162214</v>
      </c>
      <c r="AI489" s="495">
        <v>153483.13982162211</v>
      </c>
      <c r="AJ489" s="495">
        <v>15066.349461621779</v>
      </c>
      <c r="AK489" s="495">
        <v>0</v>
      </c>
      <c r="AL489" s="495">
        <v>0</v>
      </c>
      <c r="AO489" s="495">
        <v>-77752.125689999899</v>
      </c>
      <c r="AP489" s="495">
        <v>-56627.286314999918</v>
      </c>
      <c r="AQ489" s="495">
        <v>0</v>
      </c>
      <c r="AR489" s="495">
        <v>0</v>
      </c>
      <c r="AS489" s="495">
        <v>0</v>
      </c>
    </row>
    <row r="490" spans="1:45">
      <c r="A490" s="390">
        <v>95141</v>
      </c>
      <c r="B490" s="393">
        <v>95141</v>
      </c>
      <c r="C490" s="499" t="s">
        <v>1197</v>
      </c>
      <c r="D490" s="378">
        <v>4.4881642239504E-4</v>
      </c>
      <c r="F490" s="495">
        <v>254875.80691462173</v>
      </c>
      <c r="G490" s="495">
        <v>558464.98191462178</v>
      </c>
      <c r="H490" s="495">
        <v>36031.504482121789</v>
      </c>
      <c r="I490" s="495">
        <v>-46503.962500000001</v>
      </c>
      <c r="J490" s="495">
        <v>0</v>
      </c>
      <c r="M490" s="495">
        <v>206254.92374999999</v>
      </c>
      <c r="N490" s="495">
        <v>209819.345</v>
      </c>
      <c r="O490" s="495">
        <v>110497.05875</v>
      </c>
      <c r="P490" s="495">
        <v>0</v>
      </c>
      <c r="Q490" s="495">
        <v>0</v>
      </c>
      <c r="T490" s="495">
        <v>84887.345000000001</v>
      </c>
      <c r="U490" s="495">
        <v>385762.10375000001</v>
      </c>
      <c r="V490" s="495">
        <v>-12866.56</v>
      </c>
      <c r="W490" s="495">
        <v>-46503.962500000001</v>
      </c>
      <c r="X490" s="495">
        <v>0</v>
      </c>
      <c r="AA490" s="495">
        <v>0</v>
      </c>
      <c r="AB490" s="495">
        <v>0</v>
      </c>
      <c r="AC490" s="495">
        <v>0</v>
      </c>
      <c r="AD490" s="495">
        <v>0</v>
      </c>
      <c r="AE490" s="495">
        <v>0</v>
      </c>
      <c r="AH490" s="495">
        <v>54361.549034999945</v>
      </c>
      <c r="AI490" s="495">
        <v>41574.45028499997</v>
      </c>
      <c r="AJ490" s="495">
        <v>0</v>
      </c>
      <c r="AK490" s="495">
        <v>0</v>
      </c>
      <c r="AL490" s="495">
        <v>0</v>
      </c>
      <c r="AO490" s="495">
        <v>-90628.010870378217</v>
      </c>
      <c r="AP490" s="495">
        <v>-78690.917120378217</v>
      </c>
      <c r="AQ490" s="495">
        <v>-61598.99426787821</v>
      </c>
      <c r="AR490" s="495">
        <v>0</v>
      </c>
      <c r="AS490" s="495">
        <v>0</v>
      </c>
    </row>
    <row r="491" spans="1:45">
      <c r="A491" s="390">
        <v>95151</v>
      </c>
      <c r="B491" s="393">
        <v>95151</v>
      </c>
      <c r="C491" s="499" t="s">
        <v>1198</v>
      </c>
      <c r="D491" s="378">
        <v>1.4630160116932718E-4</v>
      </c>
      <c r="F491" s="495">
        <v>103238.45748620166</v>
      </c>
      <c r="G491" s="495">
        <v>206998.72374120165</v>
      </c>
      <c r="H491" s="495">
        <v>57190.866938701671</v>
      </c>
      <c r="I491" s="495">
        <v>-15158.996399999998</v>
      </c>
      <c r="J491" s="495">
        <v>0</v>
      </c>
      <c r="M491" s="495">
        <v>67233.359879999989</v>
      </c>
      <c r="N491" s="495">
        <v>68395.26191999999</v>
      </c>
      <c r="O491" s="495">
        <v>36018.963239999997</v>
      </c>
      <c r="P491" s="495">
        <v>0</v>
      </c>
      <c r="Q491" s="495">
        <v>0</v>
      </c>
      <c r="T491" s="495">
        <v>27670.909919999998</v>
      </c>
      <c r="U491" s="495">
        <v>125747.70035999999</v>
      </c>
      <c r="V491" s="495">
        <v>-4194.1401599999999</v>
      </c>
      <c r="W491" s="495">
        <v>-15158.996399999998</v>
      </c>
      <c r="X491" s="495">
        <v>0</v>
      </c>
      <c r="AA491" s="495">
        <v>0</v>
      </c>
      <c r="AB491" s="495">
        <v>0</v>
      </c>
      <c r="AC491" s="495">
        <v>0</v>
      </c>
      <c r="AD491" s="495">
        <v>0</v>
      </c>
      <c r="AE491" s="495">
        <v>0</v>
      </c>
      <c r="AH491" s="495">
        <v>26900.495708701666</v>
      </c>
      <c r="AI491" s="495">
        <v>25366.043858701669</v>
      </c>
      <c r="AJ491" s="495">
        <v>25366.043858701669</v>
      </c>
      <c r="AK491" s="495">
        <v>0</v>
      </c>
      <c r="AL491" s="495">
        <v>0</v>
      </c>
      <c r="AO491" s="495">
        <v>-18566.308022499987</v>
      </c>
      <c r="AP491" s="495">
        <v>-12510.282397499988</v>
      </c>
      <c r="AQ491" s="495">
        <v>0</v>
      </c>
      <c r="AR491" s="495">
        <v>0</v>
      </c>
      <c r="AS491" s="495">
        <v>0</v>
      </c>
    </row>
    <row r="492" spans="1:45">
      <c r="A492" s="390">
        <v>95161</v>
      </c>
      <c r="B492" s="393">
        <v>95161</v>
      </c>
      <c r="C492" s="499" t="s">
        <v>1199</v>
      </c>
      <c r="D492" s="378">
        <v>6.166911385222895E-5</v>
      </c>
      <c r="F492" s="495">
        <v>41281.324648246169</v>
      </c>
      <c r="G492" s="495">
        <v>77944.460983246172</v>
      </c>
      <c r="H492" s="495">
        <v>16309.02144074615</v>
      </c>
      <c r="I492" s="495">
        <v>-6389.8258000000005</v>
      </c>
      <c r="J492" s="495">
        <v>0</v>
      </c>
      <c r="M492" s="495">
        <v>28340.23086</v>
      </c>
      <c r="N492" s="495">
        <v>28829.99624</v>
      </c>
      <c r="O492" s="495">
        <v>15182.726780000001</v>
      </c>
      <c r="P492" s="495">
        <v>0</v>
      </c>
      <c r="Q492" s="495">
        <v>0</v>
      </c>
      <c r="T492" s="495">
        <v>11663.85224</v>
      </c>
      <c r="U492" s="495">
        <v>53005.217420000001</v>
      </c>
      <c r="V492" s="495">
        <v>-1767.91552</v>
      </c>
      <c r="W492" s="495">
        <v>-6389.8258000000005</v>
      </c>
      <c r="X492" s="495">
        <v>0</v>
      </c>
      <c r="AA492" s="495">
        <v>0</v>
      </c>
      <c r="AB492" s="495">
        <v>0</v>
      </c>
      <c r="AC492" s="495">
        <v>0</v>
      </c>
      <c r="AD492" s="495">
        <v>0</v>
      </c>
      <c r="AE492" s="495">
        <v>0</v>
      </c>
      <c r="AH492" s="495">
        <v>12754.574933246155</v>
      </c>
      <c r="AI492" s="495">
        <v>7586.5807082461524</v>
      </c>
      <c r="AJ492" s="495">
        <v>2894.210180746149</v>
      </c>
      <c r="AK492" s="495">
        <v>0</v>
      </c>
      <c r="AL492" s="495">
        <v>0</v>
      </c>
      <c r="AO492" s="495">
        <v>-11477.333384999994</v>
      </c>
      <c r="AP492" s="495">
        <v>-11477.333384999994</v>
      </c>
      <c r="AQ492" s="495">
        <v>0</v>
      </c>
      <c r="AR492" s="495">
        <v>0</v>
      </c>
      <c r="AS492" s="495">
        <v>0</v>
      </c>
    </row>
    <row r="493" spans="1:45">
      <c r="A493" s="390">
        <v>95171</v>
      </c>
      <c r="B493" s="393">
        <v>95171</v>
      </c>
      <c r="C493" s="499" t="s">
        <v>1200</v>
      </c>
      <c r="D493" s="378">
        <v>1.0286518390532468E-4</v>
      </c>
      <c r="F493" s="495">
        <v>66478.416564677114</v>
      </c>
      <c r="G493" s="495">
        <v>127512.66641467708</v>
      </c>
      <c r="H493" s="495">
        <v>46340.654637177096</v>
      </c>
      <c r="I493" s="495">
        <v>-10658.345500000001</v>
      </c>
      <c r="J493" s="495">
        <v>0</v>
      </c>
      <c r="M493" s="495">
        <v>47272.019850000004</v>
      </c>
      <c r="N493" s="495">
        <v>48088.957399999999</v>
      </c>
      <c r="O493" s="495">
        <v>25325.064050000001</v>
      </c>
      <c r="P493" s="495">
        <v>0</v>
      </c>
      <c r="Q493" s="495">
        <v>0</v>
      </c>
      <c r="T493" s="495">
        <v>19455.517400000001</v>
      </c>
      <c r="U493" s="495">
        <v>88413.66545</v>
      </c>
      <c r="V493" s="495">
        <v>-2948.9152000000004</v>
      </c>
      <c r="W493" s="495">
        <v>-10658.345500000001</v>
      </c>
      <c r="X493" s="495">
        <v>0</v>
      </c>
      <c r="AA493" s="495">
        <v>0</v>
      </c>
      <c r="AB493" s="495">
        <v>0</v>
      </c>
      <c r="AC493" s="495">
        <v>0</v>
      </c>
      <c r="AD493" s="495">
        <v>0</v>
      </c>
      <c r="AE493" s="495">
        <v>0</v>
      </c>
      <c r="AH493" s="495">
        <v>43126.223819677107</v>
      </c>
      <c r="AI493" s="495">
        <v>30907.440569677095</v>
      </c>
      <c r="AJ493" s="495">
        <v>23964.505787177095</v>
      </c>
      <c r="AK493" s="495">
        <v>0</v>
      </c>
      <c r="AL493" s="495">
        <v>0</v>
      </c>
      <c r="AO493" s="495">
        <v>-43375.344505000001</v>
      </c>
      <c r="AP493" s="495">
        <v>-39897.397004999999</v>
      </c>
      <c r="AQ493" s="495">
        <v>0</v>
      </c>
      <c r="AR493" s="495">
        <v>0</v>
      </c>
      <c r="AS493" s="495">
        <v>0</v>
      </c>
    </row>
    <row r="494" spans="1:45">
      <c r="A494" s="390">
        <v>95181</v>
      </c>
      <c r="B494" s="393">
        <v>95181</v>
      </c>
      <c r="C494" s="499" t="s">
        <v>1201</v>
      </c>
      <c r="D494" s="378">
        <v>7.6091247026632467E-5</v>
      </c>
      <c r="F494" s="495">
        <v>51280.767562286186</v>
      </c>
      <c r="G494" s="495">
        <v>101016.7323422862</v>
      </c>
      <c r="H494" s="495">
        <v>15486.079932286179</v>
      </c>
      <c r="I494" s="495">
        <v>-7884.1704</v>
      </c>
      <c r="J494" s="495">
        <v>0</v>
      </c>
      <c r="M494" s="495">
        <v>34967.965680000001</v>
      </c>
      <c r="N494" s="495">
        <v>35572.269120000004</v>
      </c>
      <c r="O494" s="495">
        <v>18733.406640000001</v>
      </c>
      <c r="P494" s="495">
        <v>0</v>
      </c>
      <c r="Q494" s="495">
        <v>0</v>
      </c>
      <c r="T494" s="495">
        <v>14391.59712</v>
      </c>
      <c r="U494" s="495">
        <v>65401.182960000006</v>
      </c>
      <c r="V494" s="495">
        <v>-2181.3657600000001</v>
      </c>
      <c r="W494" s="495">
        <v>-7884.1704</v>
      </c>
      <c r="X494" s="495">
        <v>0</v>
      </c>
      <c r="AA494" s="495">
        <v>0</v>
      </c>
      <c r="AB494" s="495">
        <v>0</v>
      </c>
      <c r="AC494" s="495">
        <v>0</v>
      </c>
      <c r="AD494" s="495">
        <v>0</v>
      </c>
      <c r="AE494" s="495">
        <v>0</v>
      </c>
      <c r="AH494" s="495">
        <v>3501.1045800000084</v>
      </c>
      <c r="AI494" s="495">
        <v>1227.8425799999986</v>
      </c>
      <c r="AJ494" s="495">
        <v>0</v>
      </c>
      <c r="AK494" s="495">
        <v>0</v>
      </c>
      <c r="AL494" s="495">
        <v>0</v>
      </c>
      <c r="AO494" s="495">
        <v>-1579.8998177138192</v>
      </c>
      <c r="AP494" s="495">
        <v>-1184.5623177138177</v>
      </c>
      <c r="AQ494" s="495">
        <v>-1065.960947713821</v>
      </c>
      <c r="AR494" s="495">
        <v>0</v>
      </c>
      <c r="AS494" s="495">
        <v>0</v>
      </c>
    </row>
    <row r="495" spans="1:45">
      <c r="A495" s="390">
        <v>95191</v>
      </c>
      <c r="B495" s="393">
        <v>95191</v>
      </c>
      <c r="C495" s="499" t="s">
        <v>1202</v>
      </c>
      <c r="D495" s="378">
        <v>1.2574859265615659E-4</v>
      </c>
      <c r="F495" s="495">
        <v>113360.17960599031</v>
      </c>
      <c r="G495" s="495">
        <v>183232.81871099031</v>
      </c>
      <c r="H495" s="495">
        <v>21838.889833490313</v>
      </c>
      <c r="I495" s="495">
        <v>-13029.3999</v>
      </c>
      <c r="J495" s="495">
        <v>0</v>
      </c>
      <c r="M495" s="495">
        <v>57788.148330000004</v>
      </c>
      <c r="N495" s="495">
        <v>58786.82172</v>
      </c>
      <c r="O495" s="495">
        <v>30958.875090000001</v>
      </c>
      <c r="P495" s="495">
        <v>0</v>
      </c>
      <c r="Q495" s="495">
        <v>0</v>
      </c>
      <c r="T495" s="495">
        <v>23783.58972</v>
      </c>
      <c r="U495" s="495">
        <v>108082.16001000001</v>
      </c>
      <c r="V495" s="495">
        <v>-3604.9305600000002</v>
      </c>
      <c r="W495" s="495">
        <v>-13029.3999</v>
      </c>
      <c r="X495" s="495">
        <v>0</v>
      </c>
      <c r="AA495" s="495">
        <v>0</v>
      </c>
      <c r="AB495" s="495">
        <v>0</v>
      </c>
      <c r="AC495" s="495">
        <v>0</v>
      </c>
      <c r="AD495" s="495">
        <v>0</v>
      </c>
      <c r="AE495" s="495">
        <v>0</v>
      </c>
      <c r="AH495" s="495">
        <v>41037.101320000002</v>
      </c>
      <c r="AI495" s="495">
        <v>25612.496744999997</v>
      </c>
      <c r="AJ495" s="495">
        <v>0</v>
      </c>
      <c r="AK495" s="495">
        <v>0</v>
      </c>
      <c r="AL495" s="495">
        <v>0</v>
      </c>
      <c r="AO495" s="495">
        <v>-9248.6597640096879</v>
      </c>
      <c r="AP495" s="495">
        <v>-9248.6597640096879</v>
      </c>
      <c r="AQ495" s="495">
        <v>-5515.0546965096873</v>
      </c>
      <c r="AR495" s="495">
        <v>0</v>
      </c>
      <c r="AS495" s="495">
        <v>0</v>
      </c>
    </row>
    <row r="496" spans="1:45">
      <c r="A496" s="390">
        <v>95201</v>
      </c>
      <c r="B496" s="393">
        <v>95201</v>
      </c>
      <c r="C496" s="499" t="s">
        <v>1203</v>
      </c>
      <c r="D496" s="378">
        <v>6.7304964587417944E-4</v>
      </c>
      <c r="F496" s="495">
        <v>420967.242638722</v>
      </c>
      <c r="G496" s="495">
        <v>836155.67036372214</v>
      </c>
      <c r="H496" s="495">
        <v>177079.21265372209</v>
      </c>
      <c r="I496" s="495">
        <v>-69737.808499999999</v>
      </c>
      <c r="J496" s="495">
        <v>0</v>
      </c>
      <c r="M496" s="495">
        <v>309301.95194999996</v>
      </c>
      <c r="N496" s="495">
        <v>314647.19380000001</v>
      </c>
      <c r="O496" s="495">
        <v>165702.49734999999</v>
      </c>
      <c r="P496" s="495">
        <v>0</v>
      </c>
      <c r="Q496" s="495">
        <v>0</v>
      </c>
      <c r="T496" s="495">
        <v>127297.91379999999</v>
      </c>
      <c r="U496" s="495">
        <v>578492.71915000002</v>
      </c>
      <c r="V496" s="495">
        <v>-19294.822399999997</v>
      </c>
      <c r="W496" s="495">
        <v>-69737.808499999999</v>
      </c>
      <c r="X496" s="495">
        <v>0</v>
      </c>
      <c r="AA496" s="495">
        <v>0</v>
      </c>
      <c r="AB496" s="495">
        <v>0</v>
      </c>
      <c r="AC496" s="495">
        <v>0</v>
      </c>
      <c r="AD496" s="495">
        <v>0</v>
      </c>
      <c r="AE496" s="495">
        <v>0</v>
      </c>
      <c r="AH496" s="495">
        <v>89890.0128037221</v>
      </c>
      <c r="AI496" s="495">
        <v>30671.537703722119</v>
      </c>
      <c r="AJ496" s="495">
        <v>30671.537703722119</v>
      </c>
      <c r="AK496" s="495">
        <v>0</v>
      </c>
      <c r="AL496" s="495">
        <v>0</v>
      </c>
      <c r="AO496" s="495">
        <v>-105522.63591500005</v>
      </c>
      <c r="AP496" s="495">
        <v>-87655.780290000053</v>
      </c>
      <c r="AQ496" s="495">
        <v>0</v>
      </c>
      <c r="AR496" s="495">
        <v>0</v>
      </c>
      <c r="AS496" s="495">
        <v>0</v>
      </c>
    </row>
    <row r="497" spans="1:45">
      <c r="A497" s="390">
        <v>95204</v>
      </c>
      <c r="B497" s="393">
        <v>95204</v>
      </c>
      <c r="C497" s="499" t="s">
        <v>1204</v>
      </c>
      <c r="D497" s="378">
        <v>5.8308963929718703E-6</v>
      </c>
      <c r="F497" s="495">
        <v>7721.7075128105716</v>
      </c>
      <c r="G497" s="495">
        <v>11979.748517810574</v>
      </c>
      <c r="H497" s="495">
        <v>5094.9323603105731</v>
      </c>
      <c r="I497" s="495">
        <v>-604.16290000000004</v>
      </c>
      <c r="J497" s="495">
        <v>0</v>
      </c>
      <c r="M497" s="495">
        <v>2679.5904300000002</v>
      </c>
      <c r="N497" s="495">
        <v>2725.8981199999998</v>
      </c>
      <c r="O497" s="495">
        <v>1435.5383899999999</v>
      </c>
      <c r="P497" s="495">
        <v>0</v>
      </c>
      <c r="Q497" s="495">
        <v>0</v>
      </c>
      <c r="T497" s="495">
        <v>1102.8261199999999</v>
      </c>
      <c r="U497" s="495">
        <v>5011.6837100000002</v>
      </c>
      <c r="V497" s="495">
        <v>-167.15776</v>
      </c>
      <c r="W497" s="495">
        <v>-604.16290000000004</v>
      </c>
      <c r="X497" s="495">
        <v>0</v>
      </c>
      <c r="AA497" s="495">
        <v>0</v>
      </c>
      <c r="AB497" s="495">
        <v>0</v>
      </c>
      <c r="AC497" s="495">
        <v>0</v>
      </c>
      <c r="AD497" s="495">
        <v>0</v>
      </c>
      <c r="AE497" s="495">
        <v>0</v>
      </c>
      <c r="AH497" s="495">
        <v>5107.572127810573</v>
      </c>
      <c r="AI497" s="495">
        <v>4444.3115028105731</v>
      </c>
      <c r="AJ497" s="495">
        <v>3826.5517303105735</v>
      </c>
      <c r="AK497" s="495">
        <v>0</v>
      </c>
      <c r="AL497" s="495">
        <v>0</v>
      </c>
      <c r="AO497" s="495">
        <v>-1168.2811650000001</v>
      </c>
      <c r="AP497" s="495">
        <v>-202.14481500000034</v>
      </c>
      <c r="AQ497" s="495">
        <v>0</v>
      </c>
      <c r="AR497" s="495">
        <v>0</v>
      </c>
      <c r="AS497" s="495">
        <v>0</v>
      </c>
    </row>
    <row r="498" spans="1:45">
      <c r="A498" s="390">
        <v>95205</v>
      </c>
      <c r="B498" s="393">
        <v>95205</v>
      </c>
      <c r="C498" s="499" t="s">
        <v>1205</v>
      </c>
      <c r="D498" s="378">
        <v>4.3505848592702871E-6</v>
      </c>
      <c r="F498" s="495">
        <v>3811.0478237308744</v>
      </c>
      <c r="G498" s="495">
        <v>8547.6203737308751</v>
      </c>
      <c r="H498" s="495">
        <v>693.57366373087461</v>
      </c>
      <c r="I498" s="495">
        <v>-450.79050000000001</v>
      </c>
      <c r="J498" s="495">
        <v>0</v>
      </c>
      <c r="M498" s="495">
        <v>1999.3513499999999</v>
      </c>
      <c r="N498" s="495">
        <v>2033.9033999999999</v>
      </c>
      <c r="O498" s="495">
        <v>1071.11355</v>
      </c>
      <c r="P498" s="495">
        <v>0</v>
      </c>
      <c r="Q498" s="495">
        <v>0</v>
      </c>
      <c r="T498" s="495">
        <v>822.86339999999996</v>
      </c>
      <c r="U498" s="495">
        <v>3739.4209499999997</v>
      </c>
      <c r="V498" s="495">
        <v>-124.72319999999999</v>
      </c>
      <c r="W498" s="495">
        <v>-450.79050000000001</v>
      </c>
      <c r="X498" s="495">
        <v>0</v>
      </c>
      <c r="AA498" s="495">
        <v>0</v>
      </c>
      <c r="AB498" s="495">
        <v>0</v>
      </c>
      <c r="AC498" s="495">
        <v>0</v>
      </c>
      <c r="AD498" s="495">
        <v>0</v>
      </c>
      <c r="AE498" s="495">
        <v>0</v>
      </c>
      <c r="AH498" s="495">
        <v>3755.1266799999994</v>
      </c>
      <c r="AI498" s="495">
        <v>3324.1591799999997</v>
      </c>
      <c r="AJ498" s="495">
        <v>0</v>
      </c>
      <c r="AK498" s="495">
        <v>0</v>
      </c>
      <c r="AL498" s="495">
        <v>0</v>
      </c>
      <c r="AO498" s="495">
        <v>-2766.2936062691251</v>
      </c>
      <c r="AP498" s="495">
        <v>-549.86315626912528</v>
      </c>
      <c r="AQ498" s="495">
        <v>-252.8166862691254</v>
      </c>
      <c r="AR498" s="495">
        <v>0</v>
      </c>
      <c r="AS498" s="495">
        <v>0</v>
      </c>
    </row>
    <row r="499" spans="1:45">
      <c r="A499" s="390">
        <v>95211</v>
      </c>
      <c r="B499" s="393">
        <v>95211</v>
      </c>
      <c r="C499" s="499" t="s">
        <v>1206</v>
      </c>
      <c r="D499" s="378">
        <v>1.3402620159811689E-6</v>
      </c>
      <c r="F499" s="495">
        <v>1668.8168825113501</v>
      </c>
      <c r="G499" s="495">
        <v>2326.1408725113502</v>
      </c>
      <c r="H499" s="495">
        <v>577.21230501135028</v>
      </c>
      <c r="I499" s="495">
        <v>-138.86420000000001</v>
      </c>
      <c r="J499" s="495">
        <v>0</v>
      </c>
      <c r="M499" s="495">
        <v>615.89214000000004</v>
      </c>
      <c r="N499" s="495">
        <v>626.5357600000001</v>
      </c>
      <c r="O499" s="495">
        <v>329.95222000000001</v>
      </c>
      <c r="P499" s="495">
        <v>0</v>
      </c>
      <c r="Q499" s="495">
        <v>0</v>
      </c>
      <c r="T499" s="495">
        <v>253.47976000000003</v>
      </c>
      <c r="U499" s="495">
        <v>1151.9135800000001</v>
      </c>
      <c r="V499" s="495">
        <v>-38.420480000000005</v>
      </c>
      <c r="W499" s="495">
        <v>-138.86420000000001</v>
      </c>
      <c r="X499" s="495">
        <v>0</v>
      </c>
      <c r="AA499" s="495">
        <v>0</v>
      </c>
      <c r="AB499" s="495">
        <v>0</v>
      </c>
      <c r="AC499" s="495">
        <v>0</v>
      </c>
      <c r="AD499" s="495">
        <v>0</v>
      </c>
      <c r="AE499" s="495">
        <v>0</v>
      </c>
      <c r="AH499" s="495">
        <v>953.60551751135029</v>
      </c>
      <c r="AI499" s="495">
        <v>645.02051751135025</v>
      </c>
      <c r="AJ499" s="495">
        <v>285.68056501135027</v>
      </c>
      <c r="AK499" s="495">
        <v>0</v>
      </c>
      <c r="AL499" s="495">
        <v>0</v>
      </c>
      <c r="AO499" s="495">
        <v>-154.16053500000012</v>
      </c>
      <c r="AP499" s="495">
        <v>-97.328985000000017</v>
      </c>
      <c r="AQ499" s="495">
        <v>0</v>
      </c>
      <c r="AR499" s="495">
        <v>0</v>
      </c>
      <c r="AS499" s="495">
        <v>0</v>
      </c>
    </row>
    <row r="500" spans="1:45">
      <c r="A500" s="390">
        <v>95221</v>
      </c>
      <c r="B500" s="393">
        <v>95221</v>
      </c>
      <c r="C500" s="499" t="s">
        <v>1207</v>
      </c>
      <c r="D500" s="378">
        <v>5.1307526546477693E-5</v>
      </c>
      <c r="F500" s="495">
        <v>38958.581887188251</v>
      </c>
      <c r="G500" s="495">
        <v>77853.210562188251</v>
      </c>
      <c r="H500" s="495">
        <v>28574.584484688246</v>
      </c>
      <c r="I500" s="495">
        <v>-5316.2190000000001</v>
      </c>
      <c r="J500" s="495">
        <v>0</v>
      </c>
      <c r="M500" s="495">
        <v>23578.5573</v>
      </c>
      <c r="N500" s="495">
        <v>23986.033200000002</v>
      </c>
      <c r="O500" s="495">
        <v>12631.752899999999</v>
      </c>
      <c r="P500" s="495">
        <v>0</v>
      </c>
      <c r="Q500" s="495">
        <v>0</v>
      </c>
      <c r="T500" s="495">
        <v>9704.1131999999998</v>
      </c>
      <c r="U500" s="495">
        <v>44099.378100000002</v>
      </c>
      <c r="V500" s="495">
        <v>-1470.8735999999999</v>
      </c>
      <c r="W500" s="495">
        <v>-5316.2190000000001</v>
      </c>
      <c r="X500" s="495">
        <v>0</v>
      </c>
      <c r="AA500" s="495">
        <v>0</v>
      </c>
      <c r="AB500" s="495">
        <v>0</v>
      </c>
      <c r="AC500" s="495">
        <v>0</v>
      </c>
      <c r="AD500" s="495">
        <v>0</v>
      </c>
      <c r="AE500" s="495">
        <v>0</v>
      </c>
      <c r="AH500" s="495">
        <v>19942.421617188247</v>
      </c>
      <c r="AI500" s="495">
        <v>19942.421617188247</v>
      </c>
      <c r="AJ500" s="495">
        <v>17413.705184688246</v>
      </c>
      <c r="AK500" s="495">
        <v>0</v>
      </c>
      <c r="AL500" s="495">
        <v>0</v>
      </c>
      <c r="AO500" s="495">
        <v>-14266.510229999998</v>
      </c>
      <c r="AP500" s="495">
        <v>-10174.622355000003</v>
      </c>
      <c r="AQ500" s="495">
        <v>0</v>
      </c>
      <c r="AR500" s="495">
        <v>0</v>
      </c>
      <c r="AS500" s="495">
        <v>0</v>
      </c>
    </row>
    <row r="501" spans="1:45">
      <c r="A501" s="390">
        <v>95301</v>
      </c>
      <c r="B501" s="393">
        <v>95301</v>
      </c>
      <c r="C501" s="499" t="s">
        <v>1208</v>
      </c>
      <c r="D501" s="378">
        <v>2.6144970637313803E-3</v>
      </c>
      <c r="F501" s="495">
        <v>2069346.4464170665</v>
      </c>
      <c r="G501" s="495">
        <v>3733235.8378770663</v>
      </c>
      <c r="H501" s="495">
        <v>833257.2360995661</v>
      </c>
      <c r="I501" s="495">
        <v>-270900.2193</v>
      </c>
      <c r="J501" s="495">
        <v>0</v>
      </c>
      <c r="M501" s="495">
        <v>1201499.85231</v>
      </c>
      <c r="N501" s="495">
        <v>1222263.72804</v>
      </c>
      <c r="O501" s="495">
        <v>643680.1476299999</v>
      </c>
      <c r="P501" s="495">
        <v>0</v>
      </c>
      <c r="Q501" s="495">
        <v>0</v>
      </c>
      <c r="T501" s="495">
        <v>494495.50403999997</v>
      </c>
      <c r="U501" s="495">
        <v>2247185.6780699999</v>
      </c>
      <c r="V501" s="495">
        <v>-74951.76191999999</v>
      </c>
      <c r="W501" s="495">
        <v>-270900.2193</v>
      </c>
      <c r="X501" s="495">
        <v>0</v>
      </c>
      <c r="AA501" s="495">
        <v>0</v>
      </c>
      <c r="AB501" s="495">
        <v>0</v>
      </c>
      <c r="AC501" s="495">
        <v>0</v>
      </c>
      <c r="AD501" s="495">
        <v>0</v>
      </c>
      <c r="AE501" s="495">
        <v>0</v>
      </c>
      <c r="AH501" s="495">
        <v>387643.47717206617</v>
      </c>
      <c r="AI501" s="495">
        <v>278078.81887206616</v>
      </c>
      <c r="AJ501" s="495">
        <v>264528.85038956621</v>
      </c>
      <c r="AK501" s="495">
        <v>0</v>
      </c>
      <c r="AL501" s="495">
        <v>0</v>
      </c>
      <c r="AO501" s="495">
        <v>-14292.387104999663</v>
      </c>
      <c r="AP501" s="495">
        <v>-14292.387104999663</v>
      </c>
      <c r="AQ501" s="495">
        <v>0</v>
      </c>
      <c r="AR501" s="495">
        <v>0</v>
      </c>
      <c r="AS501" s="495">
        <v>0</v>
      </c>
    </row>
    <row r="502" spans="1:45">
      <c r="A502" s="390">
        <v>95311</v>
      </c>
      <c r="B502" s="500">
        <v>95311</v>
      </c>
      <c r="C502" s="501" t="s">
        <v>1209</v>
      </c>
      <c r="D502" s="378">
        <v>2.2313902727893273E-3</v>
      </c>
      <c r="F502" s="495">
        <v>1561789.6545134489</v>
      </c>
      <c r="G502" s="495">
        <v>3025946.5854234491</v>
      </c>
      <c r="H502" s="495">
        <v>602738.50740344916</v>
      </c>
      <c r="I502" s="495">
        <v>-231204.74780000001</v>
      </c>
      <c r="J502" s="495">
        <v>0</v>
      </c>
      <c r="M502" s="495">
        <v>1025442.0282600001</v>
      </c>
      <c r="N502" s="495">
        <v>1043163.3378400001</v>
      </c>
      <c r="O502" s="495">
        <v>549360.59698000003</v>
      </c>
      <c r="P502" s="495">
        <v>0</v>
      </c>
      <c r="Q502" s="495">
        <v>0</v>
      </c>
      <c r="T502" s="495">
        <v>422036.23384</v>
      </c>
      <c r="U502" s="495">
        <v>1917901.7252199999</v>
      </c>
      <c r="V502" s="495">
        <v>-63968.952319999997</v>
      </c>
      <c r="W502" s="495">
        <v>-231204.74780000001</v>
      </c>
      <c r="X502" s="495">
        <v>0</v>
      </c>
      <c r="AA502" s="495">
        <v>0</v>
      </c>
      <c r="AB502" s="495">
        <v>0</v>
      </c>
      <c r="AC502" s="495">
        <v>0</v>
      </c>
      <c r="AD502" s="495">
        <v>0</v>
      </c>
      <c r="AE502" s="495">
        <v>0</v>
      </c>
      <c r="AH502" s="495">
        <v>216072.58965344925</v>
      </c>
      <c r="AI502" s="495">
        <v>166642.71960344911</v>
      </c>
      <c r="AJ502" s="495">
        <v>117346.86274344916</v>
      </c>
      <c r="AK502" s="495">
        <v>0</v>
      </c>
      <c r="AL502" s="495">
        <v>0</v>
      </c>
      <c r="AO502" s="495">
        <v>-101761.19724000013</v>
      </c>
      <c r="AP502" s="495">
        <v>-101761.19724000013</v>
      </c>
      <c r="AQ502" s="495">
        <v>0</v>
      </c>
      <c r="AR502" s="495">
        <v>0</v>
      </c>
      <c r="AS502" s="495">
        <v>0</v>
      </c>
    </row>
    <row r="503" spans="1:45">
      <c r="A503" s="390">
        <v>95317</v>
      </c>
      <c r="B503" s="393">
        <v>95317</v>
      </c>
      <c r="C503" s="499" t="s">
        <v>1210</v>
      </c>
      <c r="D503" s="378">
        <v>5.7258444189275639E-5</v>
      </c>
      <c r="F503" s="495">
        <v>68502.093741343124</v>
      </c>
      <c r="G503" s="495">
        <v>101676.78214134312</v>
      </c>
      <c r="H503" s="495">
        <v>34343.180746343118</v>
      </c>
      <c r="I503" s="495">
        <v>-5932.8175000000001</v>
      </c>
      <c r="J503" s="495">
        <v>0</v>
      </c>
      <c r="M503" s="495">
        <v>26313.302250000001</v>
      </c>
      <c r="N503" s="495">
        <v>26768.039000000001</v>
      </c>
      <c r="O503" s="495">
        <v>14096.839250000001</v>
      </c>
      <c r="P503" s="495">
        <v>0</v>
      </c>
      <c r="Q503" s="495">
        <v>0</v>
      </c>
      <c r="T503" s="495">
        <v>10829.639000000001</v>
      </c>
      <c r="U503" s="495">
        <v>49214.218250000005</v>
      </c>
      <c r="V503" s="495">
        <v>-1641.472</v>
      </c>
      <c r="W503" s="495">
        <v>-5932.8175000000001</v>
      </c>
      <c r="X503" s="495">
        <v>0</v>
      </c>
      <c r="AA503" s="495">
        <v>0</v>
      </c>
      <c r="AB503" s="495">
        <v>0</v>
      </c>
      <c r="AC503" s="495">
        <v>0</v>
      </c>
      <c r="AD503" s="495">
        <v>0</v>
      </c>
      <c r="AE503" s="495">
        <v>0</v>
      </c>
      <c r="AH503" s="495">
        <v>33919.653481343121</v>
      </c>
      <c r="AI503" s="495">
        <v>28255.025881343117</v>
      </c>
      <c r="AJ503" s="495">
        <v>21887.813496343118</v>
      </c>
      <c r="AK503" s="495">
        <v>0</v>
      </c>
      <c r="AL503" s="495">
        <v>0</v>
      </c>
      <c r="AO503" s="495">
        <v>-2560.5009899999959</v>
      </c>
      <c r="AP503" s="495">
        <v>-2560.5009899999959</v>
      </c>
      <c r="AQ503" s="495">
        <v>0</v>
      </c>
      <c r="AR503" s="495">
        <v>0</v>
      </c>
      <c r="AS503" s="495">
        <v>0</v>
      </c>
    </row>
    <row r="504" spans="1:45">
      <c r="A504" s="390">
        <v>95321</v>
      </c>
      <c r="B504" s="393">
        <v>95321</v>
      </c>
      <c r="C504" s="499" t="s">
        <v>1211</v>
      </c>
      <c r="D504" s="378">
        <v>5.8438628419642053E-5</v>
      </c>
      <c r="F504" s="495">
        <v>54874.205777062074</v>
      </c>
      <c r="G504" s="495">
        <v>86189.403757062086</v>
      </c>
      <c r="H504" s="495">
        <v>15831.193049562065</v>
      </c>
      <c r="I504" s="495">
        <v>-6055.1009000000004</v>
      </c>
      <c r="J504" s="495">
        <v>0</v>
      </c>
      <c r="M504" s="495">
        <v>26855.655030000002</v>
      </c>
      <c r="N504" s="495">
        <v>27319.764520000001</v>
      </c>
      <c r="O504" s="495">
        <v>14387.394190000001</v>
      </c>
      <c r="P504" s="495">
        <v>0</v>
      </c>
      <c r="Q504" s="495">
        <v>0</v>
      </c>
      <c r="T504" s="495">
        <v>11052.85252</v>
      </c>
      <c r="U504" s="495">
        <v>50228.589910000002</v>
      </c>
      <c r="V504" s="495">
        <v>-1675.3049599999999</v>
      </c>
      <c r="W504" s="495">
        <v>-6055.1009000000004</v>
      </c>
      <c r="X504" s="495">
        <v>0</v>
      </c>
      <c r="AA504" s="495">
        <v>0</v>
      </c>
      <c r="AB504" s="495">
        <v>0</v>
      </c>
      <c r="AC504" s="495">
        <v>0</v>
      </c>
      <c r="AD504" s="495">
        <v>0</v>
      </c>
      <c r="AE504" s="495">
        <v>0</v>
      </c>
      <c r="AH504" s="495">
        <v>17305.952354562076</v>
      </c>
      <c r="AI504" s="495">
        <v>8981.3034545620758</v>
      </c>
      <c r="AJ504" s="495">
        <v>3119.1038195620649</v>
      </c>
      <c r="AK504" s="495">
        <v>0</v>
      </c>
      <c r="AL504" s="495">
        <v>0</v>
      </c>
      <c r="AO504" s="495">
        <v>-340.25412750000214</v>
      </c>
      <c r="AP504" s="495">
        <v>-340.25412750000214</v>
      </c>
      <c r="AQ504" s="495">
        <v>0</v>
      </c>
      <c r="AR504" s="495">
        <v>0</v>
      </c>
      <c r="AS504" s="495">
        <v>0</v>
      </c>
    </row>
    <row r="505" spans="1:45">
      <c r="A505" s="390">
        <v>95401</v>
      </c>
      <c r="B505" s="393">
        <v>95401</v>
      </c>
      <c r="C505" s="499" t="s">
        <v>1212</v>
      </c>
      <c r="D505" s="378">
        <v>2.3078217036550837E-3</v>
      </c>
      <c r="F505" s="495">
        <v>1373880.2047470449</v>
      </c>
      <c r="G505" s="495">
        <v>2990297.4652520451</v>
      </c>
      <c r="H505" s="495">
        <v>574653.633569545</v>
      </c>
      <c r="I505" s="495">
        <v>-239124.15240000002</v>
      </c>
      <c r="J505" s="495">
        <v>0</v>
      </c>
      <c r="M505" s="495">
        <v>1060566.26508</v>
      </c>
      <c r="N505" s="495">
        <v>1078894.5787200001</v>
      </c>
      <c r="O505" s="495">
        <v>568177.72284000006</v>
      </c>
      <c r="P505" s="495">
        <v>0</v>
      </c>
      <c r="Q505" s="495">
        <v>0</v>
      </c>
      <c r="T505" s="495">
        <v>436492.14672000002</v>
      </c>
      <c r="U505" s="495">
        <v>1983595.1847600001</v>
      </c>
      <c r="V505" s="495">
        <v>-66160.066560000007</v>
      </c>
      <c r="W505" s="495">
        <v>-239124.15240000002</v>
      </c>
      <c r="X505" s="495">
        <v>0</v>
      </c>
      <c r="AA505" s="495">
        <v>0</v>
      </c>
      <c r="AB505" s="495">
        <v>0</v>
      </c>
      <c r="AC505" s="495">
        <v>0</v>
      </c>
      <c r="AD505" s="495">
        <v>0</v>
      </c>
      <c r="AE505" s="495">
        <v>0</v>
      </c>
      <c r="AH505" s="495">
        <v>96882.59176204502</v>
      </c>
      <c r="AI505" s="495">
        <v>95640.306137045001</v>
      </c>
      <c r="AJ505" s="495">
        <v>72635.977289544971</v>
      </c>
      <c r="AK505" s="495">
        <v>0</v>
      </c>
      <c r="AL505" s="495">
        <v>0</v>
      </c>
      <c r="AO505" s="495">
        <v>-220060.79881500016</v>
      </c>
      <c r="AP505" s="495">
        <v>-167832.60436500009</v>
      </c>
      <c r="AQ505" s="495">
        <v>0</v>
      </c>
      <c r="AR505" s="495">
        <v>0</v>
      </c>
      <c r="AS505" s="495">
        <v>0</v>
      </c>
    </row>
    <row r="506" spans="1:45">
      <c r="A506" s="390">
        <v>95404</v>
      </c>
      <c r="B506" s="393">
        <v>95404</v>
      </c>
      <c r="C506" s="499" t="s">
        <v>1213</v>
      </c>
      <c r="D506" s="378">
        <v>5.5798309281008353E-5</v>
      </c>
      <c r="F506" s="495">
        <v>44250.200692487459</v>
      </c>
      <c r="G506" s="495">
        <v>87934.351157487457</v>
      </c>
      <c r="H506" s="495">
        <v>21297.684539987466</v>
      </c>
      <c r="I506" s="495">
        <v>-5781.5177000000003</v>
      </c>
      <c r="J506" s="495">
        <v>0</v>
      </c>
      <c r="M506" s="495">
        <v>25642.255590000001</v>
      </c>
      <c r="N506" s="495">
        <v>26085.395560000001</v>
      </c>
      <c r="O506" s="495">
        <v>13737.33907</v>
      </c>
      <c r="P506" s="495">
        <v>0</v>
      </c>
      <c r="Q506" s="495">
        <v>0</v>
      </c>
      <c r="T506" s="495">
        <v>10553.459559999999</v>
      </c>
      <c r="U506" s="495">
        <v>47959.148229999999</v>
      </c>
      <c r="V506" s="495">
        <v>-1599.61088</v>
      </c>
      <c r="W506" s="495">
        <v>-5781.5177000000003</v>
      </c>
      <c r="X506" s="495">
        <v>0</v>
      </c>
      <c r="AA506" s="495">
        <v>0</v>
      </c>
      <c r="AB506" s="495">
        <v>0</v>
      </c>
      <c r="AC506" s="495">
        <v>0</v>
      </c>
      <c r="AD506" s="495">
        <v>0</v>
      </c>
      <c r="AE506" s="495">
        <v>0</v>
      </c>
      <c r="AH506" s="495">
        <v>14752.920489987464</v>
      </c>
      <c r="AI506" s="495">
        <v>14677.761114987465</v>
      </c>
      <c r="AJ506" s="495">
        <v>9159.9563499874639</v>
      </c>
      <c r="AK506" s="495">
        <v>0</v>
      </c>
      <c r="AL506" s="495">
        <v>0</v>
      </c>
      <c r="AO506" s="495">
        <v>-6698.4349475000054</v>
      </c>
      <c r="AP506" s="495">
        <v>-787.95374749999974</v>
      </c>
      <c r="AQ506" s="495">
        <v>0</v>
      </c>
      <c r="AR506" s="495">
        <v>0</v>
      </c>
      <c r="AS506" s="495">
        <v>0</v>
      </c>
    </row>
    <row r="507" spans="1:45">
      <c r="A507" s="390">
        <v>95405</v>
      </c>
      <c r="B507" s="393">
        <v>95405</v>
      </c>
      <c r="C507" s="499" t="s">
        <v>1214</v>
      </c>
      <c r="D507" s="378">
        <v>3.8485726155601837E-5</v>
      </c>
      <c r="F507" s="495">
        <v>10168.7518410722</v>
      </c>
      <c r="G507" s="495">
        <v>38029.895071072198</v>
      </c>
      <c r="H507" s="495">
        <v>993.38015107218962</v>
      </c>
      <c r="I507" s="495">
        <v>-3987.6823999999997</v>
      </c>
      <c r="J507" s="495">
        <v>0</v>
      </c>
      <c r="M507" s="495">
        <v>17686.216079999998</v>
      </c>
      <c r="N507" s="495">
        <v>17991.862719999997</v>
      </c>
      <c r="O507" s="495">
        <v>9475.0458399999989</v>
      </c>
      <c r="P507" s="495">
        <v>0</v>
      </c>
      <c r="Q507" s="495">
        <v>0</v>
      </c>
      <c r="T507" s="495">
        <v>7279.0307199999997</v>
      </c>
      <c r="U507" s="495">
        <v>33078.831760000001</v>
      </c>
      <c r="V507" s="495">
        <v>-1103.29856</v>
      </c>
      <c r="W507" s="495">
        <v>-3987.6823999999997</v>
      </c>
      <c r="X507" s="495">
        <v>0</v>
      </c>
      <c r="AA507" s="495">
        <v>0</v>
      </c>
      <c r="AB507" s="495">
        <v>0</v>
      </c>
      <c r="AC507" s="495">
        <v>0</v>
      </c>
      <c r="AD507" s="495">
        <v>0</v>
      </c>
      <c r="AE507" s="495">
        <v>0</v>
      </c>
      <c r="AH507" s="495">
        <v>1079.7994500000023</v>
      </c>
      <c r="AI507" s="495">
        <v>0</v>
      </c>
      <c r="AJ507" s="495">
        <v>0</v>
      </c>
      <c r="AK507" s="495">
        <v>0</v>
      </c>
      <c r="AL507" s="495">
        <v>0</v>
      </c>
      <c r="AO507" s="495">
        <v>-15876.294408927799</v>
      </c>
      <c r="AP507" s="495">
        <v>-13040.799408927796</v>
      </c>
      <c r="AQ507" s="495">
        <v>-7378.36712892781</v>
      </c>
      <c r="AR507" s="495">
        <v>0</v>
      </c>
      <c r="AS507" s="495">
        <v>0</v>
      </c>
    </row>
    <row r="508" spans="1:45">
      <c r="A508" s="390">
        <v>95411</v>
      </c>
      <c r="B508" s="393">
        <v>95411</v>
      </c>
      <c r="C508" s="499" t="s">
        <v>1215</v>
      </c>
      <c r="D508" s="378">
        <v>1.8767578928489659E-3</v>
      </c>
      <c r="F508" s="495">
        <v>1061607.7502312665</v>
      </c>
      <c r="G508" s="495">
        <v>2392946.8626612667</v>
      </c>
      <c r="H508" s="495">
        <v>317491.49072126648</v>
      </c>
      <c r="I508" s="495">
        <v>-194459.62239999999</v>
      </c>
      <c r="J508" s="495">
        <v>0</v>
      </c>
      <c r="M508" s="495">
        <v>862469.61407999997</v>
      </c>
      <c r="N508" s="495">
        <v>877374.49471999996</v>
      </c>
      <c r="O508" s="495">
        <v>462051.29983999999</v>
      </c>
      <c r="P508" s="495">
        <v>0</v>
      </c>
      <c r="Q508" s="495">
        <v>0</v>
      </c>
      <c r="T508" s="495">
        <v>354962.46272000001</v>
      </c>
      <c r="U508" s="495">
        <v>1613091.6377600001</v>
      </c>
      <c r="V508" s="495">
        <v>-53802.434560000002</v>
      </c>
      <c r="W508" s="495">
        <v>-194459.62239999999</v>
      </c>
      <c r="X508" s="495">
        <v>0</v>
      </c>
      <c r="AA508" s="495">
        <v>0</v>
      </c>
      <c r="AB508" s="495">
        <v>0</v>
      </c>
      <c r="AC508" s="495">
        <v>0</v>
      </c>
      <c r="AD508" s="495">
        <v>0</v>
      </c>
      <c r="AE508" s="495">
        <v>0</v>
      </c>
      <c r="AH508" s="495">
        <v>38181.689320000078</v>
      </c>
      <c r="AI508" s="495">
        <v>6408.7393200000079</v>
      </c>
      <c r="AJ508" s="495">
        <v>0</v>
      </c>
      <c r="AK508" s="495">
        <v>0</v>
      </c>
      <c r="AL508" s="495">
        <v>0</v>
      </c>
      <c r="AO508" s="495">
        <v>-194006.01588873356</v>
      </c>
      <c r="AP508" s="495">
        <v>-103928.00913873348</v>
      </c>
      <c r="AQ508" s="495">
        <v>-90757.374558733471</v>
      </c>
      <c r="AR508" s="495">
        <v>0</v>
      </c>
      <c r="AS508" s="495">
        <v>0</v>
      </c>
    </row>
    <row r="509" spans="1:45">
      <c r="A509" s="390">
        <v>95413</v>
      </c>
      <c r="B509" s="393">
        <v>95413</v>
      </c>
      <c r="C509" s="499" t="s">
        <v>1217</v>
      </c>
      <c r="D509" s="378">
        <v>2.1619194809833236E-4</v>
      </c>
      <c r="F509" s="495">
        <v>118169.29091653228</v>
      </c>
      <c r="G509" s="495">
        <v>251921.49692653224</v>
      </c>
      <c r="H509" s="495">
        <v>26795.285141532324</v>
      </c>
      <c r="I509" s="495">
        <v>-22400.660799999998</v>
      </c>
      <c r="J509" s="495">
        <v>0</v>
      </c>
      <c r="M509" s="495">
        <v>99351.675359999994</v>
      </c>
      <c r="N509" s="495">
        <v>101068.63424</v>
      </c>
      <c r="O509" s="495">
        <v>53225.725279999999</v>
      </c>
      <c r="P509" s="495">
        <v>0</v>
      </c>
      <c r="Q509" s="495">
        <v>0</v>
      </c>
      <c r="T509" s="495">
        <v>40889.690239999996</v>
      </c>
      <c r="U509" s="495">
        <v>185819.13391999999</v>
      </c>
      <c r="V509" s="495">
        <v>-6197.7395200000001</v>
      </c>
      <c r="W509" s="495">
        <v>-22400.660799999998</v>
      </c>
      <c r="X509" s="495">
        <v>0</v>
      </c>
      <c r="AA509" s="495">
        <v>0</v>
      </c>
      <c r="AB509" s="495">
        <v>0</v>
      </c>
      <c r="AC509" s="495">
        <v>0</v>
      </c>
      <c r="AD509" s="495">
        <v>0</v>
      </c>
      <c r="AE509" s="495">
        <v>0</v>
      </c>
      <c r="AH509" s="495">
        <v>14264.719050000014</v>
      </c>
      <c r="AI509" s="495">
        <v>0</v>
      </c>
      <c r="AJ509" s="495">
        <v>0</v>
      </c>
      <c r="AK509" s="495">
        <v>0</v>
      </c>
      <c r="AL509" s="495">
        <v>0</v>
      </c>
      <c r="AO509" s="495">
        <v>-36336.793733467726</v>
      </c>
      <c r="AP509" s="495">
        <v>-34966.27123346772</v>
      </c>
      <c r="AQ509" s="495">
        <v>-20232.700618467672</v>
      </c>
      <c r="AR509" s="495">
        <v>0</v>
      </c>
      <c r="AS509" s="495">
        <v>0</v>
      </c>
    </row>
    <row r="510" spans="1:45">
      <c r="A510" s="390">
        <v>95415</v>
      </c>
      <c r="B510" s="393">
        <v>95415</v>
      </c>
      <c r="C510" s="499" t="s">
        <v>1218</v>
      </c>
      <c r="D510" s="378">
        <v>4.55166866892945E-5</v>
      </c>
      <c r="F510" s="495">
        <v>11589.38534232579</v>
      </c>
      <c r="G510" s="495">
        <v>37333.680327325776</v>
      </c>
      <c r="H510" s="495">
        <v>-4006.1141151742268</v>
      </c>
      <c r="I510" s="495">
        <v>-4716.2013000000006</v>
      </c>
      <c r="J510" s="495">
        <v>0</v>
      </c>
      <c r="M510" s="495">
        <v>20917.351710000003</v>
      </c>
      <c r="N510" s="495">
        <v>21278.837640000002</v>
      </c>
      <c r="O510" s="495">
        <v>11206.063830000001</v>
      </c>
      <c r="P510" s="495">
        <v>0</v>
      </c>
      <c r="Q510" s="495">
        <v>0</v>
      </c>
      <c r="T510" s="495">
        <v>8608.8536400000012</v>
      </c>
      <c r="U510" s="495">
        <v>39122.079870000001</v>
      </c>
      <c r="V510" s="495">
        <v>-1304.8627200000001</v>
      </c>
      <c r="W510" s="495">
        <v>-4716.2013000000006</v>
      </c>
      <c r="X510" s="495">
        <v>0</v>
      </c>
      <c r="AA510" s="495">
        <v>0</v>
      </c>
      <c r="AB510" s="495">
        <v>0</v>
      </c>
      <c r="AC510" s="495">
        <v>0</v>
      </c>
      <c r="AD510" s="495">
        <v>0</v>
      </c>
      <c r="AE510" s="495">
        <v>0</v>
      </c>
      <c r="AH510" s="495">
        <v>7160.7753000000048</v>
      </c>
      <c r="AI510" s="495">
        <v>0</v>
      </c>
      <c r="AJ510" s="495">
        <v>0</v>
      </c>
      <c r="AK510" s="495">
        <v>0</v>
      </c>
      <c r="AL510" s="495">
        <v>0</v>
      </c>
      <c r="AO510" s="495">
        <v>-25097.595307674223</v>
      </c>
      <c r="AP510" s="495">
        <v>-23067.237182674224</v>
      </c>
      <c r="AQ510" s="495">
        <v>-13907.315225174229</v>
      </c>
      <c r="AR510" s="495">
        <v>0</v>
      </c>
      <c r="AS510" s="495">
        <v>0</v>
      </c>
    </row>
    <row r="511" spans="1:45">
      <c r="A511" s="390">
        <v>95416</v>
      </c>
      <c r="B511" s="393">
        <v>95416</v>
      </c>
      <c r="C511" s="300" t="s">
        <v>3786</v>
      </c>
      <c r="D511" s="378">
        <v>0</v>
      </c>
      <c r="F511" s="495">
        <v>16898.05787821615</v>
      </c>
      <c r="G511" s="495">
        <v>23451.55643821615</v>
      </c>
      <c r="H511" s="495">
        <v>12732.43403821615</v>
      </c>
      <c r="I511" s="495">
        <v>-1001.0658000000001</v>
      </c>
      <c r="J511" s="495">
        <v>0</v>
      </c>
      <c r="M511" s="495">
        <v>4439.9388600000002</v>
      </c>
      <c r="N511" s="495">
        <v>4516.66824</v>
      </c>
      <c r="O511" s="495">
        <v>2378.61078</v>
      </c>
      <c r="P511" s="495"/>
      <c r="Q511" s="495"/>
      <c r="T511" s="495">
        <v>1827.3242400000001</v>
      </c>
      <c r="U511" s="495">
        <v>8304.0934200000011</v>
      </c>
      <c r="V511" s="495">
        <v>-276.97152</v>
      </c>
      <c r="W511" s="495">
        <v>-1001.0658000000001</v>
      </c>
      <c r="X511" s="495">
        <v>0</v>
      </c>
      <c r="AA511" s="495"/>
      <c r="AB511" s="495"/>
      <c r="AC511" s="495"/>
      <c r="AD511" s="495"/>
      <c r="AE511" s="495"/>
      <c r="AH511" s="495">
        <v>10630.79477821615</v>
      </c>
      <c r="AI511" s="495">
        <v>10630.79477821615</v>
      </c>
      <c r="AJ511" s="495">
        <v>10630.79477821615</v>
      </c>
      <c r="AK511" s="495">
        <v>0</v>
      </c>
      <c r="AL511" s="495">
        <v>0</v>
      </c>
      <c r="AO511" s="495">
        <v>0</v>
      </c>
      <c r="AP511" s="495">
        <v>0</v>
      </c>
      <c r="AQ511" s="495">
        <v>0</v>
      </c>
      <c r="AR511" s="495">
        <v>0</v>
      </c>
      <c r="AS511" s="495">
        <v>0</v>
      </c>
    </row>
    <row r="512" spans="1:45">
      <c r="A512" s="390">
        <v>95421</v>
      </c>
      <c r="B512" s="393">
        <v>95421</v>
      </c>
      <c r="C512" s="499" t="s">
        <v>1219</v>
      </c>
      <c r="D512" s="378">
        <v>1.5922324618459484E-5</v>
      </c>
      <c r="F512" s="495">
        <v>-6676.9264941561996</v>
      </c>
      <c r="G512" s="495">
        <v>573.71082584379474</v>
      </c>
      <c r="H512" s="495">
        <v>-12848.938221656201</v>
      </c>
      <c r="I512" s="495">
        <v>-1649.7896000000001</v>
      </c>
      <c r="J512" s="495">
        <v>0</v>
      </c>
      <c r="M512" s="495">
        <v>7317.1663200000003</v>
      </c>
      <c r="N512" s="495">
        <v>7443.61888</v>
      </c>
      <c r="O512" s="495">
        <v>3920.02936</v>
      </c>
      <c r="P512" s="495">
        <v>0</v>
      </c>
      <c r="Q512" s="495">
        <v>0</v>
      </c>
      <c r="T512" s="495">
        <v>3011.4908799999998</v>
      </c>
      <c r="U512" s="495">
        <v>13685.421039999999</v>
      </c>
      <c r="V512" s="495">
        <v>-456.45823999999999</v>
      </c>
      <c r="W512" s="495">
        <v>-1649.7896000000001</v>
      </c>
      <c r="X512" s="495">
        <v>0</v>
      </c>
      <c r="AA512" s="495">
        <v>0</v>
      </c>
      <c r="AB512" s="495">
        <v>0</v>
      </c>
      <c r="AC512" s="495">
        <v>0</v>
      </c>
      <c r="AD512" s="495">
        <v>0</v>
      </c>
      <c r="AE512" s="495">
        <v>0</v>
      </c>
      <c r="AH512" s="495">
        <v>7039.477242500001</v>
      </c>
      <c r="AI512" s="495">
        <v>1754.1430925000004</v>
      </c>
      <c r="AJ512" s="495">
        <v>0</v>
      </c>
      <c r="AK512" s="495">
        <v>0</v>
      </c>
      <c r="AL512" s="495">
        <v>0</v>
      </c>
      <c r="AO512" s="495">
        <v>-24045.060936656198</v>
      </c>
      <c r="AP512" s="495">
        <v>-22309.472186656203</v>
      </c>
      <c r="AQ512" s="495">
        <v>-16312.509341656201</v>
      </c>
      <c r="AR512" s="495">
        <v>0</v>
      </c>
      <c r="AS512" s="495">
        <v>0</v>
      </c>
    </row>
    <row r="513" spans="1:45">
      <c r="A513" s="390">
        <v>95431</v>
      </c>
      <c r="B513" s="393">
        <v>95431</v>
      </c>
      <c r="C513" s="499" t="s">
        <v>1220</v>
      </c>
      <c r="D513" s="378">
        <v>1.0621569058773766E-4</v>
      </c>
      <c r="F513" s="495">
        <v>71440.857039705486</v>
      </c>
      <c r="G513" s="495">
        <v>132808.9863397055</v>
      </c>
      <c r="H513" s="495">
        <v>45129.016189705493</v>
      </c>
      <c r="I513" s="495">
        <v>-11005.506000000001</v>
      </c>
      <c r="J513" s="495">
        <v>0</v>
      </c>
      <c r="M513" s="495">
        <v>48811.750200000002</v>
      </c>
      <c r="N513" s="495">
        <v>49655.296800000004</v>
      </c>
      <c r="O513" s="495">
        <v>26149.944600000003</v>
      </c>
      <c r="P513" s="495">
        <v>0</v>
      </c>
      <c r="Q513" s="495">
        <v>0</v>
      </c>
      <c r="T513" s="495">
        <v>20089.216800000002</v>
      </c>
      <c r="U513" s="495">
        <v>91293.449400000012</v>
      </c>
      <c r="V513" s="495">
        <v>-3044.9664000000002</v>
      </c>
      <c r="W513" s="495">
        <v>-11005.506000000001</v>
      </c>
      <c r="X513" s="495">
        <v>0</v>
      </c>
      <c r="AA513" s="495">
        <v>0</v>
      </c>
      <c r="AB513" s="495">
        <v>0</v>
      </c>
      <c r="AC513" s="495">
        <v>0</v>
      </c>
      <c r="AD513" s="495">
        <v>0</v>
      </c>
      <c r="AE513" s="495">
        <v>0</v>
      </c>
      <c r="AH513" s="495">
        <v>40286.739189705491</v>
      </c>
      <c r="AI513" s="495">
        <v>24203.410539705492</v>
      </c>
      <c r="AJ513" s="495">
        <v>22024.037989705492</v>
      </c>
      <c r="AK513" s="495">
        <v>0</v>
      </c>
      <c r="AL513" s="495">
        <v>0</v>
      </c>
      <c r="AO513" s="495">
        <v>-37746.849150000009</v>
      </c>
      <c r="AP513" s="495">
        <v>-32343.17040000001</v>
      </c>
      <c r="AQ513" s="495">
        <v>0</v>
      </c>
      <c r="AR513" s="495">
        <v>0</v>
      </c>
      <c r="AS513" s="495">
        <v>0</v>
      </c>
    </row>
    <row r="514" spans="1:45">
      <c r="A514" s="390">
        <v>95501</v>
      </c>
      <c r="B514" s="393">
        <v>95501</v>
      </c>
      <c r="C514" s="499" t="s">
        <v>1221</v>
      </c>
      <c r="D514" s="378">
        <v>5.1233083700077536E-3</v>
      </c>
      <c r="F514" s="495">
        <v>3049534.2663353635</v>
      </c>
      <c r="G514" s="495">
        <v>6319367.8410603637</v>
      </c>
      <c r="H514" s="495">
        <v>612558.10380036442</v>
      </c>
      <c r="I514" s="495">
        <v>-530849.85649999999</v>
      </c>
      <c r="J514" s="495">
        <v>0</v>
      </c>
      <c r="M514" s="495">
        <v>2354431.5535499998</v>
      </c>
      <c r="N514" s="495">
        <v>2395119.9682</v>
      </c>
      <c r="O514" s="495">
        <v>1261340.85415</v>
      </c>
      <c r="P514" s="495">
        <v>0</v>
      </c>
      <c r="Q514" s="495">
        <v>0</v>
      </c>
      <c r="T514" s="495">
        <v>969002.04819999996</v>
      </c>
      <c r="U514" s="495">
        <v>4403533.5143499998</v>
      </c>
      <c r="V514" s="495">
        <v>-146873.7536</v>
      </c>
      <c r="W514" s="495">
        <v>-530849.85649999999</v>
      </c>
      <c r="X514" s="495">
        <v>0</v>
      </c>
      <c r="AA514" s="495">
        <v>0</v>
      </c>
      <c r="AB514" s="495">
        <v>0</v>
      </c>
      <c r="AC514" s="495">
        <v>0</v>
      </c>
      <c r="AD514" s="495">
        <v>0</v>
      </c>
      <c r="AE514" s="495">
        <v>0</v>
      </c>
      <c r="AH514" s="495">
        <v>320788.53490499896</v>
      </c>
      <c r="AI514" s="495">
        <v>115402.22882999972</v>
      </c>
      <c r="AJ514" s="495">
        <v>0</v>
      </c>
      <c r="AK514" s="495">
        <v>0</v>
      </c>
      <c r="AL514" s="495">
        <v>0</v>
      </c>
      <c r="AO514" s="495">
        <v>-594687.87031963572</v>
      </c>
      <c r="AP514" s="495">
        <v>-594687.87031963572</v>
      </c>
      <c r="AQ514" s="495">
        <v>-501908.99674963567</v>
      </c>
      <c r="AR514" s="495">
        <v>0</v>
      </c>
      <c r="AS514" s="495">
        <v>0</v>
      </c>
    </row>
    <row r="515" spans="1:45">
      <c r="A515" s="390">
        <v>95504</v>
      </c>
      <c r="B515" s="393">
        <v>95504</v>
      </c>
      <c r="C515" s="499" t="s">
        <v>1222</v>
      </c>
      <c r="D515" s="378">
        <v>3.0844571060061643E-5</v>
      </c>
      <c r="F515" s="495">
        <v>28527.683425485095</v>
      </c>
      <c r="G515" s="495">
        <v>40786.883340485103</v>
      </c>
      <c r="H515" s="495">
        <v>6458.7300654850997</v>
      </c>
      <c r="I515" s="495">
        <v>-3195.9492000000005</v>
      </c>
      <c r="J515" s="495">
        <v>0</v>
      </c>
      <c r="M515" s="495">
        <v>14174.711640000001</v>
      </c>
      <c r="N515" s="495">
        <v>14419.673760000001</v>
      </c>
      <c r="O515" s="495">
        <v>7593.8257200000007</v>
      </c>
      <c r="P515" s="495">
        <v>0</v>
      </c>
      <c r="Q515" s="495">
        <v>0</v>
      </c>
      <c r="T515" s="495">
        <v>5833.8177600000008</v>
      </c>
      <c r="U515" s="495">
        <v>26511.205080000003</v>
      </c>
      <c r="V515" s="495">
        <v>-884.24448000000007</v>
      </c>
      <c r="W515" s="495">
        <v>-3195.9492000000005</v>
      </c>
      <c r="X515" s="495">
        <v>0</v>
      </c>
      <c r="AA515" s="495">
        <v>0</v>
      </c>
      <c r="AB515" s="495">
        <v>0</v>
      </c>
      <c r="AC515" s="495">
        <v>0</v>
      </c>
      <c r="AD515" s="495">
        <v>0</v>
      </c>
      <c r="AE515" s="495">
        <v>0</v>
      </c>
      <c r="AH515" s="495">
        <v>9518.689699999999</v>
      </c>
      <c r="AI515" s="495">
        <v>855.54017499999918</v>
      </c>
      <c r="AJ515" s="495">
        <v>0</v>
      </c>
      <c r="AK515" s="495">
        <v>0</v>
      </c>
      <c r="AL515" s="495">
        <v>0</v>
      </c>
      <c r="AO515" s="495">
        <v>-999.53567451490744</v>
      </c>
      <c r="AP515" s="495">
        <v>-999.53567451490744</v>
      </c>
      <c r="AQ515" s="495">
        <v>-250.85117451490038</v>
      </c>
      <c r="AR515" s="495">
        <v>0</v>
      </c>
      <c r="AS515" s="495">
        <v>0</v>
      </c>
    </row>
    <row r="516" spans="1:45">
      <c r="A516" s="390">
        <v>95511</v>
      </c>
      <c r="B516" s="393">
        <v>95511</v>
      </c>
      <c r="C516" s="499" t="s">
        <v>1223</v>
      </c>
      <c r="D516" s="378">
        <v>1.0416641305254289E-3</v>
      </c>
      <c r="F516" s="495">
        <v>655415.18475001561</v>
      </c>
      <c r="G516" s="495">
        <v>1303511.3457850157</v>
      </c>
      <c r="H516" s="495">
        <v>166759.55246251577</v>
      </c>
      <c r="I516" s="495">
        <v>-107931.68130000001</v>
      </c>
      <c r="J516" s="495">
        <v>0</v>
      </c>
      <c r="M516" s="495">
        <v>478699.86771000002</v>
      </c>
      <c r="N516" s="495">
        <v>486972.58164000005</v>
      </c>
      <c r="O516" s="495">
        <v>256454.13183</v>
      </c>
      <c r="P516" s="495">
        <v>0</v>
      </c>
      <c r="Q516" s="495">
        <v>0</v>
      </c>
      <c r="T516" s="495">
        <v>197016.19764</v>
      </c>
      <c r="U516" s="495">
        <v>895320.53187000006</v>
      </c>
      <c r="V516" s="495">
        <v>-29862.174720000003</v>
      </c>
      <c r="W516" s="495">
        <v>-107931.68130000001</v>
      </c>
      <c r="X516" s="495">
        <v>0</v>
      </c>
      <c r="AA516" s="495">
        <v>0</v>
      </c>
      <c r="AB516" s="495">
        <v>0</v>
      </c>
      <c r="AC516" s="495">
        <v>0</v>
      </c>
      <c r="AD516" s="495">
        <v>0</v>
      </c>
      <c r="AE516" s="495">
        <v>0</v>
      </c>
      <c r="AH516" s="495">
        <v>58480.887125000008</v>
      </c>
      <c r="AI516" s="495">
        <v>0</v>
      </c>
      <c r="AJ516" s="495">
        <v>0</v>
      </c>
      <c r="AK516" s="495">
        <v>0</v>
      </c>
      <c r="AL516" s="495">
        <v>0</v>
      </c>
      <c r="AO516" s="495">
        <v>-78781.767724984384</v>
      </c>
      <c r="AP516" s="495">
        <v>-78781.767724984384</v>
      </c>
      <c r="AQ516" s="495">
        <v>-59832.404647484218</v>
      </c>
      <c r="AR516" s="495">
        <v>0</v>
      </c>
      <c r="AS516" s="495">
        <v>0</v>
      </c>
    </row>
    <row r="517" spans="1:45">
      <c r="A517" s="390">
        <v>95513</v>
      </c>
      <c r="B517" s="393">
        <v>95513</v>
      </c>
      <c r="C517" s="499" t="s">
        <v>1224</v>
      </c>
      <c r="D517" s="378">
        <v>4.8767200389775732E-5</v>
      </c>
      <c r="F517" s="495">
        <v>39230.067591233892</v>
      </c>
      <c r="G517" s="495">
        <v>67395.8198512339</v>
      </c>
      <c r="H517" s="495">
        <v>14921.954406233894</v>
      </c>
      <c r="I517" s="495">
        <v>-5052.9988000000003</v>
      </c>
      <c r="J517" s="495">
        <v>0</v>
      </c>
      <c r="M517" s="495">
        <v>22411.11996</v>
      </c>
      <c r="N517" s="495">
        <v>22798.42064</v>
      </c>
      <c r="O517" s="495">
        <v>12006.32108</v>
      </c>
      <c r="P517" s="495">
        <v>0</v>
      </c>
      <c r="Q517" s="495">
        <v>0</v>
      </c>
      <c r="T517" s="495">
        <v>9223.6366400000006</v>
      </c>
      <c r="U517" s="495">
        <v>41915.900119999998</v>
      </c>
      <c r="V517" s="495">
        <v>-1398.0467200000001</v>
      </c>
      <c r="W517" s="495">
        <v>-5052.9988000000003</v>
      </c>
      <c r="X517" s="495">
        <v>0</v>
      </c>
      <c r="AA517" s="495">
        <v>0</v>
      </c>
      <c r="AB517" s="495">
        <v>0</v>
      </c>
      <c r="AC517" s="495">
        <v>0</v>
      </c>
      <c r="AD517" s="495">
        <v>0</v>
      </c>
      <c r="AE517" s="495">
        <v>0</v>
      </c>
      <c r="AH517" s="495">
        <v>11802.917881233894</v>
      </c>
      <c r="AI517" s="495">
        <v>6889.1059812338935</v>
      </c>
      <c r="AJ517" s="495">
        <v>4313.6800462338942</v>
      </c>
      <c r="AK517" s="495">
        <v>0</v>
      </c>
      <c r="AL517" s="495">
        <v>0</v>
      </c>
      <c r="AO517" s="495">
        <v>-4207.6068899999991</v>
      </c>
      <c r="AP517" s="495">
        <v>-4207.6068899999991</v>
      </c>
      <c r="AQ517" s="495">
        <v>0</v>
      </c>
      <c r="AR517" s="495">
        <v>0</v>
      </c>
      <c r="AS517" s="495">
        <v>0</v>
      </c>
    </row>
    <row r="518" spans="1:45">
      <c r="A518" s="390">
        <v>95517</v>
      </c>
      <c r="B518" s="393">
        <v>95517</v>
      </c>
      <c r="C518" s="499" t="s">
        <v>1225</v>
      </c>
      <c r="D518" s="378">
        <v>1.8022622311645823E-5</v>
      </c>
      <c r="F518" s="495">
        <v>16957.89640436905</v>
      </c>
      <c r="G518" s="495">
        <v>27646.511849369053</v>
      </c>
      <c r="H518" s="495">
        <v>5501.1452718690443</v>
      </c>
      <c r="I518" s="495">
        <v>-1867.4126000000001</v>
      </c>
      <c r="J518" s="495">
        <v>0</v>
      </c>
      <c r="M518" s="495">
        <v>8282.3704199999993</v>
      </c>
      <c r="N518" s="495">
        <v>8425.5032800000008</v>
      </c>
      <c r="O518" s="495">
        <v>4437.1186600000001</v>
      </c>
      <c r="P518" s="495">
        <v>0</v>
      </c>
      <c r="Q518" s="495">
        <v>0</v>
      </c>
      <c r="T518" s="495">
        <v>3408.7352799999999</v>
      </c>
      <c r="U518" s="495">
        <v>15490.658740000001</v>
      </c>
      <c r="V518" s="495">
        <v>-516.66944000000001</v>
      </c>
      <c r="W518" s="495">
        <v>-1867.4126000000001</v>
      </c>
      <c r="X518" s="495">
        <v>0</v>
      </c>
      <c r="AA518" s="495">
        <v>0</v>
      </c>
      <c r="AB518" s="495">
        <v>0</v>
      </c>
      <c r="AC518" s="495">
        <v>0</v>
      </c>
      <c r="AD518" s="495">
        <v>0</v>
      </c>
      <c r="AE518" s="495">
        <v>0</v>
      </c>
      <c r="AH518" s="495">
        <v>5266.7907043690502</v>
      </c>
      <c r="AI518" s="495">
        <v>3730.3498293690495</v>
      </c>
      <c r="AJ518" s="495">
        <v>1580.6960518690444</v>
      </c>
      <c r="AK518" s="495">
        <v>0</v>
      </c>
      <c r="AL518" s="495">
        <v>0</v>
      </c>
      <c r="AO518" s="495">
        <v>0</v>
      </c>
      <c r="AP518" s="495">
        <v>0</v>
      </c>
      <c r="AQ518" s="495">
        <v>0</v>
      </c>
      <c r="AR518" s="495">
        <v>0</v>
      </c>
      <c r="AS518" s="495">
        <v>0</v>
      </c>
    </row>
    <row r="519" spans="1:45">
      <c r="A519" s="390">
        <v>95601</v>
      </c>
      <c r="B519" s="393">
        <v>95601</v>
      </c>
      <c r="C519" s="499" t="s">
        <v>1226</v>
      </c>
      <c r="D519" s="378">
        <v>2.2220689685537622E-3</v>
      </c>
      <c r="F519" s="495">
        <v>1496417.0828065414</v>
      </c>
      <c r="G519" s="495">
        <v>2970422.2749465411</v>
      </c>
      <c r="H519" s="495">
        <v>353965.58527904149</v>
      </c>
      <c r="I519" s="495">
        <v>-230238.91619999998</v>
      </c>
      <c r="J519" s="495">
        <v>0</v>
      </c>
      <c r="M519" s="495">
        <v>1021158.3605399999</v>
      </c>
      <c r="N519" s="495">
        <v>1038805.6413599999</v>
      </c>
      <c r="O519" s="495">
        <v>547065.70542000001</v>
      </c>
      <c r="P519" s="495">
        <v>0</v>
      </c>
      <c r="Q519" s="495">
        <v>0</v>
      </c>
      <c r="T519" s="495">
        <v>420273.22535999998</v>
      </c>
      <c r="U519" s="495">
        <v>1909889.9083799999</v>
      </c>
      <c r="V519" s="495">
        <v>-63701.729279999992</v>
      </c>
      <c r="W519" s="495">
        <v>-230238.91619999998</v>
      </c>
      <c r="X519" s="495">
        <v>0</v>
      </c>
      <c r="AA519" s="495">
        <v>0</v>
      </c>
      <c r="AB519" s="495">
        <v>0</v>
      </c>
      <c r="AC519" s="495">
        <v>0</v>
      </c>
      <c r="AD519" s="495">
        <v>0</v>
      </c>
      <c r="AE519" s="495">
        <v>0</v>
      </c>
      <c r="AH519" s="495">
        <v>206320.86606749997</v>
      </c>
      <c r="AI519" s="495">
        <v>151125.11606750003</v>
      </c>
      <c r="AJ519" s="495">
        <v>0</v>
      </c>
      <c r="AK519" s="495">
        <v>0</v>
      </c>
      <c r="AL519" s="495">
        <v>0</v>
      </c>
      <c r="AO519" s="495">
        <v>-151335.36916095839</v>
      </c>
      <c r="AP519" s="495">
        <v>-129398.39086095855</v>
      </c>
      <c r="AQ519" s="495">
        <v>-129398.39086095855</v>
      </c>
      <c r="AR519" s="495">
        <v>0</v>
      </c>
      <c r="AS519" s="495">
        <v>0</v>
      </c>
    </row>
    <row r="520" spans="1:45">
      <c r="A520" s="390">
        <v>95611</v>
      </c>
      <c r="B520" s="393">
        <v>95611</v>
      </c>
      <c r="C520" s="499" t="s">
        <v>1227</v>
      </c>
      <c r="D520" s="378">
        <v>3.2888863781913811E-4</v>
      </c>
      <c r="F520" s="495">
        <v>193214.77276383003</v>
      </c>
      <c r="G520" s="495">
        <v>424322.66285383003</v>
      </c>
      <c r="H520" s="495">
        <v>50030.008483830024</v>
      </c>
      <c r="I520" s="495">
        <v>-34077.689200000001</v>
      </c>
      <c r="J520" s="495">
        <v>0</v>
      </c>
      <c r="M520" s="495">
        <v>151141.76964000001</v>
      </c>
      <c r="N520" s="495">
        <v>153753.74575999999</v>
      </c>
      <c r="O520" s="495">
        <v>80971.259720000002</v>
      </c>
      <c r="P520" s="495">
        <v>0</v>
      </c>
      <c r="Q520" s="495">
        <v>0</v>
      </c>
      <c r="T520" s="495">
        <v>62204.689760000001</v>
      </c>
      <c r="U520" s="495">
        <v>282683.03107999999</v>
      </c>
      <c r="V520" s="495">
        <v>-9428.5004800000006</v>
      </c>
      <c r="W520" s="495">
        <v>-34077.689200000001</v>
      </c>
      <c r="X520" s="495">
        <v>0</v>
      </c>
      <c r="AA520" s="495">
        <v>0</v>
      </c>
      <c r="AB520" s="495">
        <v>0</v>
      </c>
      <c r="AC520" s="495">
        <v>0</v>
      </c>
      <c r="AD520" s="495">
        <v>0</v>
      </c>
      <c r="AE520" s="495">
        <v>0</v>
      </c>
      <c r="AH520" s="495">
        <v>18372.447759999981</v>
      </c>
      <c r="AI520" s="495">
        <v>14284.900259999995</v>
      </c>
      <c r="AJ520" s="495">
        <v>0</v>
      </c>
      <c r="AK520" s="495">
        <v>0</v>
      </c>
      <c r="AL520" s="495">
        <v>0</v>
      </c>
      <c r="AO520" s="495">
        <v>-38504.13439616996</v>
      </c>
      <c r="AP520" s="495">
        <v>-26399.014246169972</v>
      </c>
      <c r="AQ520" s="495">
        <v>-21512.750756169975</v>
      </c>
      <c r="AR520" s="495">
        <v>0</v>
      </c>
      <c r="AS520" s="495">
        <v>0</v>
      </c>
    </row>
    <row r="521" spans="1:45">
      <c r="A521" s="390">
        <v>95617</v>
      </c>
      <c r="B521" s="393">
        <v>95617</v>
      </c>
      <c r="C521" s="499" t="s">
        <v>1228</v>
      </c>
      <c r="D521" s="378">
        <v>1.7852604570853881E-5</v>
      </c>
      <c r="F521" s="495">
        <v>15563.171474964625</v>
      </c>
      <c r="G521" s="495">
        <v>26885.432399964622</v>
      </c>
      <c r="H521" s="495">
        <v>5773.5215249646208</v>
      </c>
      <c r="I521" s="495">
        <v>-1849.7954999999999</v>
      </c>
      <c r="J521" s="495">
        <v>0</v>
      </c>
      <c r="M521" s="495">
        <v>8204.2348500000007</v>
      </c>
      <c r="N521" s="495">
        <v>8346.0174000000006</v>
      </c>
      <c r="O521" s="495">
        <v>4395.2590499999997</v>
      </c>
      <c r="P521" s="495">
        <v>0</v>
      </c>
      <c r="Q521" s="495">
        <v>0</v>
      </c>
      <c r="T521" s="495">
        <v>3376.5774000000001</v>
      </c>
      <c r="U521" s="495">
        <v>15344.52045</v>
      </c>
      <c r="V521" s="495">
        <v>-511.79520000000002</v>
      </c>
      <c r="W521" s="495">
        <v>-1849.7954999999999</v>
      </c>
      <c r="X521" s="495">
        <v>0</v>
      </c>
      <c r="AA521" s="495">
        <v>0</v>
      </c>
      <c r="AB521" s="495">
        <v>0</v>
      </c>
      <c r="AC521" s="495">
        <v>0</v>
      </c>
      <c r="AD521" s="495">
        <v>0</v>
      </c>
      <c r="AE521" s="495">
        <v>0</v>
      </c>
      <c r="AH521" s="495">
        <v>3982.3592249646244</v>
      </c>
      <c r="AI521" s="495">
        <v>3194.8945499646225</v>
      </c>
      <c r="AJ521" s="495">
        <v>1890.0576749646211</v>
      </c>
      <c r="AK521" s="495">
        <v>0</v>
      </c>
      <c r="AL521" s="495">
        <v>0</v>
      </c>
      <c r="AO521" s="495">
        <v>0</v>
      </c>
      <c r="AP521" s="495">
        <v>0</v>
      </c>
      <c r="AQ521" s="495">
        <v>0</v>
      </c>
      <c r="AR521" s="495">
        <v>0</v>
      </c>
      <c r="AS521" s="495">
        <v>0</v>
      </c>
    </row>
    <row r="522" spans="1:45">
      <c r="A522" s="390">
        <v>95621</v>
      </c>
      <c r="B522" s="393">
        <v>95621</v>
      </c>
      <c r="C522" s="499" t="s">
        <v>1229</v>
      </c>
      <c r="D522" s="378">
        <v>3.9781896310707465E-4</v>
      </c>
      <c r="F522" s="495">
        <v>244571.47423840646</v>
      </c>
      <c r="G522" s="495">
        <v>517555.5415234064</v>
      </c>
      <c r="H522" s="495">
        <v>114223.51819590638</v>
      </c>
      <c r="I522" s="495">
        <v>-41219.868799999997</v>
      </c>
      <c r="J522" s="495">
        <v>0</v>
      </c>
      <c r="M522" s="495">
        <v>182818.84896</v>
      </c>
      <c r="N522" s="495">
        <v>185978.25664000001</v>
      </c>
      <c r="O522" s="495">
        <v>97941.63807999999</v>
      </c>
      <c r="P522" s="495">
        <v>0</v>
      </c>
      <c r="Q522" s="495">
        <v>0</v>
      </c>
      <c r="T522" s="495">
        <v>75241.872640000001</v>
      </c>
      <c r="U522" s="495">
        <v>341929.21311999997</v>
      </c>
      <c r="V522" s="495">
        <v>-11404.574719999999</v>
      </c>
      <c r="W522" s="495">
        <v>-41219.868799999997</v>
      </c>
      <c r="X522" s="495">
        <v>0</v>
      </c>
      <c r="AA522" s="495">
        <v>0</v>
      </c>
      <c r="AB522" s="495">
        <v>0</v>
      </c>
      <c r="AC522" s="495">
        <v>0</v>
      </c>
      <c r="AD522" s="495">
        <v>0</v>
      </c>
      <c r="AE522" s="495">
        <v>0</v>
      </c>
      <c r="AH522" s="495">
        <v>49767.015893406395</v>
      </c>
      <c r="AI522" s="495">
        <v>40401.394018406398</v>
      </c>
      <c r="AJ522" s="495">
        <v>27686.454835906392</v>
      </c>
      <c r="AK522" s="495">
        <v>0</v>
      </c>
      <c r="AL522" s="495">
        <v>0</v>
      </c>
      <c r="AO522" s="495">
        <v>-63256.263254999954</v>
      </c>
      <c r="AP522" s="495">
        <v>-50753.322254999992</v>
      </c>
      <c r="AQ522" s="495">
        <v>0</v>
      </c>
      <c r="AR522" s="495">
        <v>0</v>
      </c>
      <c r="AS522" s="495">
        <v>0</v>
      </c>
    </row>
    <row r="523" spans="1:45">
      <c r="A523" s="390">
        <v>95701</v>
      </c>
      <c r="B523" s="393">
        <v>95701</v>
      </c>
      <c r="C523" s="499" t="s">
        <v>1230</v>
      </c>
      <c r="D523" s="378">
        <v>1.1002229285524371E-3</v>
      </c>
      <c r="F523" s="495">
        <v>639941.85808092216</v>
      </c>
      <c r="G523" s="495">
        <v>1386048.4032909221</v>
      </c>
      <c r="H523" s="495">
        <v>222725.12491342207</v>
      </c>
      <c r="I523" s="495">
        <v>-113999.2178</v>
      </c>
      <c r="J523" s="495">
        <v>0</v>
      </c>
      <c r="M523" s="495">
        <v>505610.67725999997</v>
      </c>
      <c r="N523" s="495">
        <v>514348.45383999997</v>
      </c>
      <c r="O523" s="495">
        <v>270871.07397999999</v>
      </c>
      <c r="P523" s="495">
        <v>0</v>
      </c>
      <c r="Q523" s="495">
        <v>0</v>
      </c>
      <c r="T523" s="495">
        <v>208091.74983999997</v>
      </c>
      <c r="U523" s="495">
        <v>945652.27821999998</v>
      </c>
      <c r="V523" s="495">
        <v>-31540.920319999997</v>
      </c>
      <c r="W523" s="495">
        <v>-113999.2178</v>
      </c>
      <c r="X523" s="495">
        <v>0</v>
      </c>
      <c r="AA523" s="495">
        <v>0</v>
      </c>
      <c r="AB523" s="495">
        <v>0</v>
      </c>
      <c r="AC523" s="495">
        <v>0</v>
      </c>
      <c r="AD523" s="495">
        <v>0</v>
      </c>
      <c r="AE523" s="495">
        <v>0</v>
      </c>
      <c r="AH523" s="495">
        <v>9511.2078325000475</v>
      </c>
      <c r="AI523" s="495">
        <v>4112.2105825000326</v>
      </c>
      <c r="AJ523" s="495">
        <v>0</v>
      </c>
      <c r="AK523" s="495">
        <v>0</v>
      </c>
      <c r="AL523" s="495">
        <v>0</v>
      </c>
      <c r="AO523" s="495">
        <v>-83271.776851577873</v>
      </c>
      <c r="AP523" s="495">
        <v>-78064.539351577827</v>
      </c>
      <c r="AQ523" s="495">
        <v>-16605.0287465779</v>
      </c>
      <c r="AR523" s="495">
        <v>0</v>
      </c>
      <c r="AS523" s="495">
        <v>0</v>
      </c>
    </row>
    <row r="524" spans="1:45">
      <c r="A524" s="390">
        <v>95711</v>
      </c>
      <c r="B524" s="393">
        <v>95711</v>
      </c>
      <c r="C524" s="499" t="s">
        <v>1231</v>
      </c>
      <c r="D524" s="378">
        <v>1.8460736962895989E-4</v>
      </c>
      <c r="F524" s="495">
        <v>118152.23859025742</v>
      </c>
      <c r="G524" s="495">
        <v>248245.85952025742</v>
      </c>
      <c r="H524" s="495">
        <v>40027.521757757415</v>
      </c>
      <c r="I524" s="495">
        <v>-19128.025399999999</v>
      </c>
      <c r="J524" s="495">
        <v>0</v>
      </c>
      <c r="M524" s="495">
        <v>84836.84418</v>
      </c>
      <c r="N524" s="495">
        <v>86302.96312</v>
      </c>
      <c r="O524" s="495">
        <v>45449.687140000002</v>
      </c>
      <c r="P524" s="495">
        <v>0</v>
      </c>
      <c r="Q524" s="495">
        <v>0</v>
      </c>
      <c r="T524" s="495">
        <v>34915.89112</v>
      </c>
      <c r="U524" s="495">
        <v>158671.79746</v>
      </c>
      <c r="V524" s="495">
        <v>-5292.2777599999999</v>
      </c>
      <c r="W524" s="495">
        <v>-19128.025399999999</v>
      </c>
      <c r="X524" s="495">
        <v>0</v>
      </c>
      <c r="AA524" s="495">
        <v>0</v>
      </c>
      <c r="AB524" s="495">
        <v>0</v>
      </c>
      <c r="AC524" s="495">
        <v>0</v>
      </c>
      <c r="AD524" s="495">
        <v>0</v>
      </c>
      <c r="AE524" s="495">
        <v>0</v>
      </c>
      <c r="AH524" s="495">
        <v>11005.310775000009</v>
      </c>
      <c r="AI524" s="495">
        <v>9470.8589250000041</v>
      </c>
      <c r="AJ524" s="495">
        <v>0</v>
      </c>
      <c r="AK524" s="495">
        <v>0</v>
      </c>
      <c r="AL524" s="495">
        <v>0</v>
      </c>
      <c r="AO524" s="495">
        <v>-12605.807484742592</v>
      </c>
      <c r="AP524" s="495">
        <v>-6199.7599847425954</v>
      </c>
      <c r="AQ524" s="495">
        <v>-129.88762224258971</v>
      </c>
      <c r="AR524" s="495">
        <v>0</v>
      </c>
      <c r="AS524" s="495">
        <v>0</v>
      </c>
    </row>
    <row r="525" spans="1:45">
      <c r="A525" s="390">
        <v>95721</v>
      </c>
      <c r="B525" s="393">
        <v>95721</v>
      </c>
      <c r="C525" s="499" t="s">
        <v>1232</v>
      </c>
      <c r="D525" s="378">
        <v>5.3177870052729037E-5</v>
      </c>
      <c r="F525" s="495">
        <v>33182.073685636933</v>
      </c>
      <c r="G525" s="495">
        <v>71337.112205636935</v>
      </c>
      <c r="H525" s="495">
        <v>10938.807460636914</v>
      </c>
      <c r="I525" s="495">
        <v>-5510.0070999999998</v>
      </c>
      <c r="J525" s="495">
        <v>0</v>
      </c>
      <c r="M525" s="495">
        <v>24438.048569999999</v>
      </c>
      <c r="N525" s="495">
        <v>24860.37788</v>
      </c>
      <c r="O525" s="495">
        <v>13092.20861</v>
      </c>
      <c r="P525" s="495">
        <v>0</v>
      </c>
      <c r="Q525" s="495">
        <v>0</v>
      </c>
      <c r="T525" s="495">
        <v>10057.84988</v>
      </c>
      <c r="U525" s="495">
        <v>45706.899290000001</v>
      </c>
      <c r="V525" s="495">
        <v>-1524.4902400000001</v>
      </c>
      <c r="W525" s="495">
        <v>-5510.0070999999998</v>
      </c>
      <c r="X525" s="495">
        <v>0</v>
      </c>
      <c r="AA525" s="495">
        <v>0</v>
      </c>
      <c r="AB525" s="495">
        <v>0</v>
      </c>
      <c r="AC525" s="495">
        <v>0</v>
      </c>
      <c r="AD525" s="495">
        <v>0</v>
      </c>
      <c r="AE525" s="495">
        <v>0</v>
      </c>
      <c r="AH525" s="495">
        <v>3065.9684450000123</v>
      </c>
      <c r="AI525" s="495">
        <v>1398.7459450000124</v>
      </c>
      <c r="AJ525" s="495">
        <v>0</v>
      </c>
      <c r="AK525" s="495">
        <v>0</v>
      </c>
      <c r="AL525" s="495">
        <v>0</v>
      </c>
      <c r="AO525" s="495">
        <v>-4379.7932093630825</v>
      </c>
      <c r="AP525" s="495">
        <v>-628.91090936308501</v>
      </c>
      <c r="AQ525" s="495">
        <v>-628.91090936308501</v>
      </c>
      <c r="AR525" s="495">
        <v>0</v>
      </c>
      <c r="AS525" s="495">
        <v>0</v>
      </c>
    </row>
    <row r="526" spans="1:45">
      <c r="A526" s="390">
        <v>95733</v>
      </c>
      <c r="B526" s="393">
        <v>95733</v>
      </c>
      <c r="C526" s="499" t="s">
        <v>1233</v>
      </c>
      <c r="D526" s="378">
        <v>1.0201509520136497E-5</v>
      </c>
      <c r="F526" s="495">
        <v>5639.9631267654977</v>
      </c>
      <c r="G526" s="495">
        <v>12532.1512267655</v>
      </c>
      <c r="H526" s="495">
        <v>1486.059694265497</v>
      </c>
      <c r="I526" s="495">
        <v>-1057.0260000000001</v>
      </c>
      <c r="J526" s="495">
        <v>0</v>
      </c>
      <c r="M526" s="495">
        <v>4688.1342000000004</v>
      </c>
      <c r="N526" s="495">
        <v>4769.1527999999998</v>
      </c>
      <c r="O526" s="495">
        <v>2511.5766000000003</v>
      </c>
      <c r="P526" s="495">
        <v>0</v>
      </c>
      <c r="Q526" s="495">
        <v>0</v>
      </c>
      <c r="T526" s="495">
        <v>1929.4728</v>
      </c>
      <c r="U526" s="495">
        <v>8768.2974000000013</v>
      </c>
      <c r="V526" s="495">
        <v>-292.45440000000002</v>
      </c>
      <c r="W526" s="495">
        <v>-1057.0260000000001</v>
      </c>
      <c r="X526" s="495">
        <v>0</v>
      </c>
      <c r="AA526" s="495">
        <v>0</v>
      </c>
      <c r="AB526" s="495">
        <v>0</v>
      </c>
      <c r="AC526" s="495">
        <v>0</v>
      </c>
      <c r="AD526" s="495">
        <v>0</v>
      </c>
      <c r="AE526" s="495">
        <v>0</v>
      </c>
      <c r="AH526" s="495">
        <v>1011.1634475000001</v>
      </c>
      <c r="AI526" s="495">
        <v>528.85594750000018</v>
      </c>
      <c r="AJ526" s="495">
        <v>0</v>
      </c>
      <c r="AK526" s="495">
        <v>0</v>
      </c>
      <c r="AL526" s="495">
        <v>0</v>
      </c>
      <c r="AO526" s="495">
        <v>-1988.8073207345024</v>
      </c>
      <c r="AP526" s="495">
        <v>-1534.1549207345015</v>
      </c>
      <c r="AQ526" s="495">
        <v>-733.06250573450325</v>
      </c>
      <c r="AR526" s="495">
        <v>0</v>
      </c>
      <c r="AS526" s="495">
        <v>0</v>
      </c>
    </row>
    <row r="527" spans="1:45">
      <c r="A527" s="390">
        <v>95801</v>
      </c>
      <c r="B527" s="393">
        <v>95801</v>
      </c>
      <c r="C527" s="499" t="s">
        <v>1234</v>
      </c>
      <c r="D527" s="378">
        <v>7.6572340857208486E-4</v>
      </c>
      <c r="F527" s="495">
        <v>440444.90988424595</v>
      </c>
      <c r="G527" s="495">
        <v>938388.67336924607</v>
      </c>
      <c r="H527" s="495">
        <v>121979.59226174591</v>
      </c>
      <c r="I527" s="495">
        <v>-79340.164300000004</v>
      </c>
      <c r="J527" s="495">
        <v>0</v>
      </c>
      <c r="M527" s="495">
        <v>351890.43381000002</v>
      </c>
      <c r="N527" s="495">
        <v>357971.67404000001</v>
      </c>
      <c r="O527" s="495">
        <v>188518.44713000002</v>
      </c>
      <c r="P527" s="495">
        <v>0</v>
      </c>
      <c r="Q527" s="495">
        <v>0</v>
      </c>
      <c r="T527" s="495">
        <v>144825.85003999999</v>
      </c>
      <c r="U527" s="495">
        <v>658146.68356999999</v>
      </c>
      <c r="V527" s="495">
        <v>-21951.569920000002</v>
      </c>
      <c r="W527" s="495">
        <v>-79340.164300000004</v>
      </c>
      <c r="X527" s="495">
        <v>0</v>
      </c>
      <c r="AA527" s="495">
        <v>0</v>
      </c>
      <c r="AB527" s="495">
        <v>0</v>
      </c>
      <c r="AC527" s="495">
        <v>0</v>
      </c>
      <c r="AD527" s="495">
        <v>0</v>
      </c>
      <c r="AE527" s="495">
        <v>0</v>
      </c>
      <c r="AH527" s="495">
        <v>36583.600697499933</v>
      </c>
      <c r="AI527" s="495">
        <v>15125.290422499966</v>
      </c>
      <c r="AJ527" s="495">
        <v>0</v>
      </c>
      <c r="AK527" s="495">
        <v>0</v>
      </c>
      <c r="AL527" s="495">
        <v>0</v>
      </c>
      <c r="AO527" s="495">
        <v>-92854.974663253975</v>
      </c>
      <c r="AP527" s="495">
        <v>-92854.974663253975</v>
      </c>
      <c r="AQ527" s="495">
        <v>-44587.284948254091</v>
      </c>
      <c r="AR527" s="495">
        <v>0</v>
      </c>
      <c r="AS527" s="495">
        <v>0</v>
      </c>
    </row>
    <row r="528" spans="1:45">
      <c r="A528" s="390">
        <v>95802</v>
      </c>
      <c r="B528" s="393">
        <v>95802</v>
      </c>
      <c r="C528" s="499" t="s">
        <v>1235</v>
      </c>
      <c r="D528" s="378">
        <v>1.1331697259537045E-5</v>
      </c>
      <c r="F528" s="495">
        <v>10278.198399424324</v>
      </c>
      <c r="G528" s="495">
        <v>17061.713229424324</v>
      </c>
      <c r="H528" s="495">
        <v>1251.3587519243245</v>
      </c>
      <c r="I528" s="495">
        <v>-1174.1279</v>
      </c>
      <c r="J528" s="495">
        <v>0</v>
      </c>
      <c r="M528" s="495">
        <v>5207.5059300000003</v>
      </c>
      <c r="N528" s="495">
        <v>5297.5001199999997</v>
      </c>
      <c r="O528" s="495">
        <v>2789.8198899999998</v>
      </c>
      <c r="P528" s="495">
        <v>0</v>
      </c>
      <c r="Q528" s="495">
        <v>0</v>
      </c>
      <c r="T528" s="495">
        <v>2143.2281199999998</v>
      </c>
      <c r="U528" s="495">
        <v>9739.6872100000001</v>
      </c>
      <c r="V528" s="495">
        <v>-324.85376000000002</v>
      </c>
      <c r="W528" s="495">
        <v>-1174.1279</v>
      </c>
      <c r="X528" s="495">
        <v>0</v>
      </c>
      <c r="AA528" s="495">
        <v>0</v>
      </c>
      <c r="AB528" s="495">
        <v>0</v>
      </c>
      <c r="AC528" s="495">
        <v>0</v>
      </c>
      <c r="AD528" s="495">
        <v>0</v>
      </c>
      <c r="AE528" s="495">
        <v>0</v>
      </c>
      <c r="AH528" s="495">
        <v>4785.5477949999995</v>
      </c>
      <c r="AI528" s="495">
        <v>3825.7777949999991</v>
      </c>
      <c r="AJ528" s="495">
        <v>0</v>
      </c>
      <c r="AK528" s="495">
        <v>0</v>
      </c>
      <c r="AL528" s="495">
        <v>0</v>
      </c>
      <c r="AO528" s="495">
        <v>-1858.0834455756751</v>
      </c>
      <c r="AP528" s="495">
        <v>-1801.2518955756752</v>
      </c>
      <c r="AQ528" s="495">
        <v>-1213.6073780756753</v>
      </c>
      <c r="AR528" s="495">
        <v>0</v>
      </c>
      <c r="AS528" s="495">
        <v>0</v>
      </c>
    </row>
    <row r="529" spans="1:45">
      <c r="A529" s="390">
        <v>95804</v>
      </c>
      <c r="B529" s="393">
        <v>95804</v>
      </c>
      <c r="C529" s="499" t="s">
        <v>1236</v>
      </c>
      <c r="D529" s="378">
        <v>2.7464096154577149E-5</v>
      </c>
      <c r="F529" s="495">
        <v>16676.971965120654</v>
      </c>
      <c r="G529" s="495">
        <v>35304.334850120649</v>
      </c>
      <c r="H529" s="495">
        <v>4997.7673376206512</v>
      </c>
      <c r="I529" s="495">
        <v>-2845.6798000000003</v>
      </c>
      <c r="J529" s="495">
        <v>0</v>
      </c>
      <c r="M529" s="495">
        <v>12621.192660000001</v>
      </c>
      <c r="N529" s="495">
        <v>12839.30744</v>
      </c>
      <c r="O529" s="495">
        <v>6761.55818</v>
      </c>
      <c r="P529" s="495">
        <v>0</v>
      </c>
      <c r="Q529" s="495">
        <v>0</v>
      </c>
      <c r="T529" s="495">
        <v>5194.44344</v>
      </c>
      <c r="U529" s="495">
        <v>23605.632020000001</v>
      </c>
      <c r="V529" s="495">
        <v>-787.33312000000001</v>
      </c>
      <c r="W529" s="495">
        <v>-2845.6798000000003</v>
      </c>
      <c r="X529" s="495">
        <v>0</v>
      </c>
      <c r="AA529" s="495">
        <v>0</v>
      </c>
      <c r="AB529" s="495">
        <v>0</v>
      </c>
      <c r="AC529" s="495">
        <v>0</v>
      </c>
      <c r="AD529" s="495">
        <v>0</v>
      </c>
      <c r="AE529" s="495">
        <v>0</v>
      </c>
      <c r="AH529" s="495">
        <v>1393.228875000005</v>
      </c>
      <c r="AI529" s="495">
        <v>711.25027500000101</v>
      </c>
      <c r="AJ529" s="495">
        <v>0</v>
      </c>
      <c r="AK529" s="495">
        <v>0</v>
      </c>
      <c r="AL529" s="495">
        <v>0</v>
      </c>
      <c r="AO529" s="495">
        <v>-2531.893009879348</v>
      </c>
      <c r="AP529" s="495">
        <v>-1851.8548848793478</v>
      </c>
      <c r="AQ529" s="495">
        <v>-976.4577223793483</v>
      </c>
      <c r="AR529" s="495">
        <v>0</v>
      </c>
      <c r="AS529" s="495">
        <v>0</v>
      </c>
    </row>
    <row r="530" spans="1:45">
      <c r="A530" s="390">
        <v>95811</v>
      </c>
      <c r="B530" s="393">
        <v>95811</v>
      </c>
      <c r="C530" s="499" t="s">
        <v>1237</v>
      </c>
      <c r="D530" s="378">
        <v>5.0846520326812005E-4</v>
      </c>
      <c r="F530" s="495">
        <v>312310.97827523889</v>
      </c>
      <c r="G530" s="495">
        <v>667312.98066523881</v>
      </c>
      <c r="H530" s="495">
        <v>119900.34885023889</v>
      </c>
      <c r="I530" s="495">
        <v>-52684.455699999991</v>
      </c>
      <c r="J530" s="495">
        <v>0</v>
      </c>
      <c r="M530" s="495">
        <v>233666.72018999996</v>
      </c>
      <c r="N530" s="495">
        <v>237704.86195999998</v>
      </c>
      <c r="O530" s="495">
        <v>125182.39486999999</v>
      </c>
      <c r="P530" s="495">
        <v>0</v>
      </c>
      <c r="Q530" s="495">
        <v>0</v>
      </c>
      <c r="T530" s="495">
        <v>96169.085959999997</v>
      </c>
      <c r="U530" s="495">
        <v>437030.85442999995</v>
      </c>
      <c r="V530" s="495">
        <v>-14576.558079999999</v>
      </c>
      <c r="W530" s="495">
        <v>-52684.455699999991</v>
      </c>
      <c r="X530" s="495">
        <v>0</v>
      </c>
      <c r="AA530" s="495">
        <v>0</v>
      </c>
      <c r="AB530" s="495">
        <v>0</v>
      </c>
      <c r="AC530" s="495">
        <v>0</v>
      </c>
      <c r="AD530" s="495">
        <v>0</v>
      </c>
      <c r="AE530" s="495">
        <v>0</v>
      </c>
      <c r="AH530" s="495">
        <v>9294.512060238907</v>
      </c>
      <c r="AI530" s="495">
        <v>9294.512060238907</v>
      </c>
      <c r="AJ530" s="495">
        <v>9294.512060238907</v>
      </c>
      <c r="AK530" s="495">
        <v>0</v>
      </c>
      <c r="AL530" s="495">
        <v>0</v>
      </c>
      <c r="AO530" s="495">
        <v>-26819.339934999967</v>
      </c>
      <c r="AP530" s="495">
        <v>-16717.247785</v>
      </c>
      <c r="AQ530" s="495">
        <v>0</v>
      </c>
      <c r="AR530" s="495">
        <v>0</v>
      </c>
      <c r="AS530" s="495">
        <v>0</v>
      </c>
    </row>
    <row r="531" spans="1:45">
      <c r="A531" s="390">
        <v>95813</v>
      </c>
      <c r="B531" s="393">
        <v>95813</v>
      </c>
      <c r="C531" s="499" t="s">
        <v>1238</v>
      </c>
      <c r="D531" s="378">
        <v>3.1884705772707646E-5</v>
      </c>
      <c r="F531" s="495">
        <v>18775.904092135683</v>
      </c>
      <c r="G531" s="495">
        <v>41411.895522135688</v>
      </c>
      <c r="H531" s="495">
        <v>3231.2602371356879</v>
      </c>
      <c r="I531" s="495">
        <v>-3303.7244000000001</v>
      </c>
      <c r="J531" s="495">
        <v>0</v>
      </c>
      <c r="M531" s="495">
        <v>14652.717479999999</v>
      </c>
      <c r="N531" s="495">
        <v>14905.94032</v>
      </c>
      <c r="O531" s="495">
        <v>7849.9080400000003</v>
      </c>
      <c r="P531" s="495">
        <v>0</v>
      </c>
      <c r="Q531" s="495">
        <v>0</v>
      </c>
      <c r="T531" s="495">
        <v>6030.5483199999999</v>
      </c>
      <c r="U531" s="495">
        <v>27405.227559999999</v>
      </c>
      <c r="V531" s="495">
        <v>-914.06335999999999</v>
      </c>
      <c r="W531" s="495">
        <v>-3303.7244000000001</v>
      </c>
      <c r="X531" s="495">
        <v>0</v>
      </c>
      <c r="AA531" s="495">
        <v>0</v>
      </c>
      <c r="AB531" s="495">
        <v>0</v>
      </c>
      <c r="AC531" s="495">
        <v>0</v>
      </c>
      <c r="AD531" s="495">
        <v>0</v>
      </c>
      <c r="AE531" s="495">
        <v>0</v>
      </c>
      <c r="AH531" s="495">
        <v>6173.2520849999974</v>
      </c>
      <c r="AI531" s="495">
        <v>2805.3120849999968</v>
      </c>
      <c r="AJ531" s="495">
        <v>0</v>
      </c>
      <c r="AK531" s="495">
        <v>0</v>
      </c>
      <c r="AL531" s="495">
        <v>0</v>
      </c>
      <c r="AO531" s="495">
        <v>-8080.6137928643147</v>
      </c>
      <c r="AP531" s="495">
        <v>-3704.5844428643122</v>
      </c>
      <c r="AQ531" s="495">
        <v>-3704.5844428643122</v>
      </c>
      <c r="AR531" s="495">
        <v>0</v>
      </c>
      <c r="AS531" s="495">
        <v>0</v>
      </c>
    </row>
    <row r="532" spans="1:45">
      <c r="A532" s="390">
        <v>95821</v>
      </c>
      <c r="B532" s="393">
        <v>95821</v>
      </c>
      <c r="C532" s="499" t="s">
        <v>1239</v>
      </c>
      <c r="D532" s="378">
        <v>1.9503082202887365E-6</v>
      </c>
      <c r="F532" s="495">
        <v>-3119.3924031551232</v>
      </c>
      <c r="G532" s="495">
        <v>-1628.5670031551244</v>
      </c>
      <c r="H532" s="495">
        <v>409.1812368448746</v>
      </c>
      <c r="I532" s="495">
        <v>-202.07849999999999</v>
      </c>
      <c r="J532" s="495">
        <v>0</v>
      </c>
      <c r="M532" s="495">
        <v>896.26094999999998</v>
      </c>
      <c r="N532" s="495">
        <v>911.74979999999994</v>
      </c>
      <c r="O532" s="495">
        <v>480.15434999999997</v>
      </c>
      <c r="P532" s="495">
        <v>0</v>
      </c>
      <c r="Q532" s="495">
        <v>0</v>
      </c>
      <c r="T532" s="495">
        <v>368.8698</v>
      </c>
      <c r="U532" s="495">
        <v>1676.29215</v>
      </c>
      <c r="V532" s="495">
        <v>-55.910399999999996</v>
      </c>
      <c r="W532" s="495">
        <v>-202.07849999999999</v>
      </c>
      <c r="X532" s="495">
        <v>0</v>
      </c>
      <c r="AA532" s="495">
        <v>0</v>
      </c>
      <c r="AB532" s="495">
        <v>0</v>
      </c>
      <c r="AC532" s="495">
        <v>0</v>
      </c>
      <c r="AD532" s="495">
        <v>0</v>
      </c>
      <c r="AE532" s="495">
        <v>0</v>
      </c>
      <c r="AH532" s="495">
        <v>885.76043000000038</v>
      </c>
      <c r="AI532" s="495">
        <v>260.61337999999989</v>
      </c>
      <c r="AJ532" s="495">
        <v>0</v>
      </c>
      <c r="AK532" s="495">
        <v>0</v>
      </c>
      <c r="AL532" s="495">
        <v>0</v>
      </c>
      <c r="AO532" s="495">
        <v>-5270.2835831551238</v>
      </c>
      <c r="AP532" s="495">
        <v>-4477.222333155124</v>
      </c>
      <c r="AQ532" s="495">
        <v>-15.06271315512538</v>
      </c>
      <c r="AR532" s="495">
        <v>0</v>
      </c>
      <c r="AS532" s="495">
        <v>0</v>
      </c>
    </row>
    <row r="533" spans="1:45">
      <c r="A533" s="390">
        <v>95831</v>
      </c>
      <c r="B533" s="393">
        <v>95831</v>
      </c>
      <c r="C533" s="499" t="s">
        <v>1240</v>
      </c>
      <c r="D533" s="378">
        <v>1.9522962113241748E-5</v>
      </c>
      <c r="F533" s="495">
        <v>15914.012971172795</v>
      </c>
      <c r="G533" s="495">
        <v>27798.414716172792</v>
      </c>
      <c r="H533" s="495">
        <v>5458.1447786727967</v>
      </c>
      <c r="I533" s="495">
        <v>-2022.8576</v>
      </c>
      <c r="J533" s="495">
        <v>0</v>
      </c>
      <c r="M533" s="495">
        <v>8971.8019199999999</v>
      </c>
      <c r="N533" s="495">
        <v>9126.8492800000004</v>
      </c>
      <c r="O533" s="495">
        <v>4806.4681599999994</v>
      </c>
      <c r="P533" s="495">
        <v>0</v>
      </c>
      <c r="Q533" s="495">
        <v>0</v>
      </c>
      <c r="T533" s="495">
        <v>3692.48128</v>
      </c>
      <c r="U533" s="495">
        <v>16780.114239999999</v>
      </c>
      <c r="V533" s="495">
        <v>-559.67743999999993</v>
      </c>
      <c r="W533" s="495">
        <v>-2022.8576</v>
      </c>
      <c r="X533" s="495">
        <v>0</v>
      </c>
      <c r="AA533" s="495">
        <v>0</v>
      </c>
      <c r="AB533" s="495">
        <v>0</v>
      </c>
      <c r="AC533" s="495">
        <v>0</v>
      </c>
      <c r="AD533" s="495">
        <v>0</v>
      </c>
      <c r="AE533" s="495">
        <v>0</v>
      </c>
      <c r="AH533" s="495">
        <v>4436.3901961727979</v>
      </c>
      <c r="AI533" s="495">
        <v>2452.9645711727981</v>
      </c>
      <c r="AJ533" s="495">
        <v>1211.3540586727975</v>
      </c>
      <c r="AK533" s="495">
        <v>0</v>
      </c>
      <c r="AL533" s="495">
        <v>0</v>
      </c>
      <c r="AO533" s="495">
        <v>-1186.660425000003</v>
      </c>
      <c r="AP533" s="495">
        <v>-561.51337500000159</v>
      </c>
      <c r="AQ533" s="495">
        <v>0</v>
      </c>
      <c r="AR533" s="495">
        <v>0</v>
      </c>
      <c r="AS533" s="495">
        <v>0</v>
      </c>
    </row>
    <row r="534" spans="1:45">
      <c r="A534" s="390">
        <v>95841</v>
      </c>
      <c r="B534" s="393">
        <v>95841</v>
      </c>
      <c r="C534" s="499" t="s">
        <v>1241</v>
      </c>
      <c r="D534" s="378">
        <v>1.6142338850217293E-5</v>
      </c>
      <c r="F534" s="495">
        <v>4437.5494358083461</v>
      </c>
      <c r="G534" s="495">
        <v>17317.301300808344</v>
      </c>
      <c r="H534" s="495">
        <v>-780.54790919165634</v>
      </c>
      <c r="I534" s="495">
        <v>-1672.5882000000001</v>
      </c>
      <c r="J534" s="495">
        <v>0</v>
      </c>
      <c r="M534" s="495">
        <v>7418.282940000001</v>
      </c>
      <c r="N534" s="495">
        <v>7546.4829600000003</v>
      </c>
      <c r="O534" s="495">
        <v>3974.2006200000005</v>
      </c>
      <c r="P534" s="495">
        <v>0</v>
      </c>
      <c r="Q534" s="495">
        <v>0</v>
      </c>
      <c r="T534" s="495">
        <v>3053.1069600000001</v>
      </c>
      <c r="U534" s="495">
        <v>13874.541180000002</v>
      </c>
      <c r="V534" s="495">
        <v>-462.76608000000004</v>
      </c>
      <c r="W534" s="495">
        <v>-1672.5882000000001</v>
      </c>
      <c r="X534" s="495">
        <v>0</v>
      </c>
      <c r="AA534" s="495">
        <v>0</v>
      </c>
      <c r="AB534" s="495">
        <v>0</v>
      </c>
      <c r="AC534" s="495">
        <v>0</v>
      </c>
      <c r="AD534" s="495">
        <v>0</v>
      </c>
      <c r="AE534" s="495">
        <v>0</v>
      </c>
      <c r="AH534" s="495">
        <v>531.40398499999856</v>
      </c>
      <c r="AI534" s="495">
        <v>188.2596099999987</v>
      </c>
      <c r="AJ534" s="495">
        <v>0</v>
      </c>
      <c r="AK534" s="495">
        <v>0</v>
      </c>
      <c r="AL534" s="495">
        <v>0</v>
      </c>
      <c r="AO534" s="495">
        <v>-6565.2444491916549</v>
      </c>
      <c r="AP534" s="495">
        <v>-4291.982449191657</v>
      </c>
      <c r="AQ534" s="495">
        <v>-4291.982449191657</v>
      </c>
      <c r="AR534" s="495">
        <v>0</v>
      </c>
      <c r="AS534" s="495">
        <v>0</v>
      </c>
    </row>
    <row r="535" spans="1:45">
      <c r="A535" s="390">
        <v>95851</v>
      </c>
      <c r="B535" s="393">
        <v>95851</v>
      </c>
      <c r="C535" s="499" t="s">
        <v>1242</v>
      </c>
      <c r="D535" s="378">
        <v>7.5351091259781677E-5</v>
      </c>
      <c r="F535" s="495">
        <v>36029.791336496324</v>
      </c>
      <c r="G535" s="495">
        <v>94783.321876496324</v>
      </c>
      <c r="H535" s="495">
        <v>23377.260633996331</v>
      </c>
      <c r="I535" s="495">
        <v>-7807.484199999999</v>
      </c>
      <c r="J535" s="495">
        <v>0</v>
      </c>
      <c r="M535" s="495">
        <v>34627.846139999994</v>
      </c>
      <c r="N535" s="495">
        <v>35226.271759999996</v>
      </c>
      <c r="O535" s="495">
        <v>18551.194219999998</v>
      </c>
      <c r="P535" s="495">
        <v>0</v>
      </c>
      <c r="Q535" s="495">
        <v>0</v>
      </c>
      <c r="T535" s="495">
        <v>14251.615759999999</v>
      </c>
      <c r="U535" s="495">
        <v>64765.051579999992</v>
      </c>
      <c r="V535" s="495">
        <v>-2160.1484799999998</v>
      </c>
      <c r="W535" s="495">
        <v>-7807.484199999999</v>
      </c>
      <c r="X535" s="495">
        <v>0</v>
      </c>
      <c r="AA535" s="495">
        <v>0</v>
      </c>
      <c r="AB535" s="495">
        <v>0</v>
      </c>
      <c r="AC535" s="495">
        <v>0</v>
      </c>
      <c r="AD535" s="495">
        <v>0</v>
      </c>
      <c r="AE535" s="495">
        <v>0</v>
      </c>
      <c r="AH535" s="495">
        <v>15065.981471496332</v>
      </c>
      <c r="AI535" s="495">
        <v>12932.623971496334</v>
      </c>
      <c r="AJ535" s="495">
        <v>6986.2148939963336</v>
      </c>
      <c r="AK535" s="495">
        <v>0</v>
      </c>
      <c r="AL535" s="495">
        <v>0</v>
      </c>
      <c r="AO535" s="495">
        <v>-27915.652034999999</v>
      </c>
      <c r="AP535" s="495">
        <v>-18140.625434999994</v>
      </c>
      <c r="AQ535" s="495">
        <v>0</v>
      </c>
      <c r="AR535" s="495">
        <v>0</v>
      </c>
      <c r="AS535" s="495">
        <v>0</v>
      </c>
    </row>
    <row r="536" spans="1:45">
      <c r="A536" s="390">
        <v>95853</v>
      </c>
      <c r="B536" s="393">
        <v>95853</v>
      </c>
      <c r="C536" s="499" t="s">
        <v>1243</v>
      </c>
      <c r="D536" s="378">
        <v>2.1653228029499618E-5</v>
      </c>
      <c r="F536" s="495">
        <v>11743.754167534127</v>
      </c>
      <c r="G536" s="495">
        <v>27008.020642534128</v>
      </c>
      <c r="H536" s="495">
        <v>5276.5680075341224</v>
      </c>
      <c r="I536" s="495">
        <v>-2243.5895</v>
      </c>
      <c r="J536" s="495">
        <v>0</v>
      </c>
      <c r="M536" s="495">
        <v>9950.7946499999998</v>
      </c>
      <c r="N536" s="495">
        <v>10122.7606</v>
      </c>
      <c r="O536" s="495">
        <v>5330.94445</v>
      </c>
      <c r="P536" s="495">
        <v>0</v>
      </c>
      <c r="Q536" s="495">
        <v>0</v>
      </c>
      <c r="T536" s="495">
        <v>4095.4006000000004</v>
      </c>
      <c r="U536" s="495">
        <v>18611.141050000002</v>
      </c>
      <c r="V536" s="495">
        <v>-620.74880000000007</v>
      </c>
      <c r="W536" s="495">
        <v>-2243.5895</v>
      </c>
      <c r="X536" s="495">
        <v>0</v>
      </c>
      <c r="AA536" s="495">
        <v>0</v>
      </c>
      <c r="AB536" s="495">
        <v>0</v>
      </c>
      <c r="AC536" s="495">
        <v>0</v>
      </c>
      <c r="AD536" s="495">
        <v>0</v>
      </c>
      <c r="AE536" s="495">
        <v>0</v>
      </c>
      <c r="AH536" s="495">
        <v>1891.8858875341225</v>
      </c>
      <c r="AI536" s="495">
        <v>1388.6465125341233</v>
      </c>
      <c r="AJ536" s="495">
        <v>566.37235753412313</v>
      </c>
      <c r="AK536" s="495">
        <v>0</v>
      </c>
      <c r="AL536" s="495">
        <v>0</v>
      </c>
      <c r="AO536" s="495">
        <v>-4194.3269699999973</v>
      </c>
      <c r="AP536" s="495">
        <v>-3114.5275199999969</v>
      </c>
      <c r="AQ536" s="495">
        <v>0</v>
      </c>
      <c r="AR536" s="495">
        <v>0</v>
      </c>
      <c r="AS536" s="495">
        <v>0</v>
      </c>
    </row>
    <row r="537" spans="1:45">
      <c r="A537" s="390">
        <v>95901</v>
      </c>
      <c r="B537" s="393">
        <v>95901</v>
      </c>
      <c r="C537" s="499" t="s">
        <v>1244</v>
      </c>
      <c r="D537" s="378">
        <v>2.1317256060935179E-3</v>
      </c>
      <c r="F537" s="495">
        <v>1357926.9120721202</v>
      </c>
      <c r="G537" s="495">
        <v>2710485.7260071202</v>
      </c>
      <c r="H537" s="495">
        <v>490726.26994212001</v>
      </c>
      <c r="I537" s="495">
        <v>-220878.01829999997</v>
      </c>
      <c r="J537" s="495">
        <v>0</v>
      </c>
      <c r="M537" s="495">
        <v>979640.79560999991</v>
      </c>
      <c r="N537" s="495">
        <v>996570.58523999993</v>
      </c>
      <c r="O537" s="495">
        <v>524823.47852999996</v>
      </c>
      <c r="P537" s="495">
        <v>0</v>
      </c>
      <c r="Q537" s="495">
        <v>0</v>
      </c>
      <c r="T537" s="495">
        <v>403186.04123999999</v>
      </c>
      <c r="U537" s="495">
        <v>1832238.8981699999</v>
      </c>
      <c r="V537" s="495">
        <v>-61111.787519999998</v>
      </c>
      <c r="W537" s="495">
        <v>-220878.01829999997</v>
      </c>
      <c r="X537" s="495">
        <v>0</v>
      </c>
      <c r="AA537" s="495">
        <v>0</v>
      </c>
      <c r="AB537" s="495">
        <v>0</v>
      </c>
      <c r="AC537" s="495">
        <v>0</v>
      </c>
      <c r="AD537" s="495">
        <v>0</v>
      </c>
      <c r="AE537" s="495">
        <v>0</v>
      </c>
      <c r="AH537" s="495">
        <v>165683.56093211999</v>
      </c>
      <c r="AI537" s="495">
        <v>27014.578932120035</v>
      </c>
      <c r="AJ537" s="495">
        <v>27014.578932120035</v>
      </c>
      <c r="AK537" s="495">
        <v>0</v>
      </c>
      <c r="AL537" s="495">
        <v>0</v>
      </c>
      <c r="AO537" s="495">
        <v>-190583.48570999978</v>
      </c>
      <c r="AP537" s="495">
        <v>-145338.33633499974</v>
      </c>
      <c r="AQ537" s="495">
        <v>0</v>
      </c>
      <c r="AR537" s="495">
        <v>0</v>
      </c>
      <c r="AS537" s="495">
        <v>0</v>
      </c>
    </row>
    <row r="538" spans="1:45">
      <c r="A538" s="390">
        <v>95908</v>
      </c>
      <c r="B538" s="393">
        <v>95908</v>
      </c>
      <c r="C538" s="499" t="s">
        <v>1245</v>
      </c>
      <c r="D538" s="378">
        <v>7.525109827784993E-5</v>
      </c>
      <c r="F538" s="495">
        <v>60073.406822876073</v>
      </c>
      <c r="G538" s="495">
        <v>110949.86818787607</v>
      </c>
      <c r="H538" s="495">
        <v>18012.981062876064</v>
      </c>
      <c r="I538" s="495">
        <v>-7797.1212000000005</v>
      </c>
      <c r="J538" s="495">
        <v>0</v>
      </c>
      <c r="M538" s="495">
        <v>34581.884040000004</v>
      </c>
      <c r="N538" s="495">
        <v>35179.515360000005</v>
      </c>
      <c r="O538" s="495">
        <v>18526.570920000002</v>
      </c>
      <c r="P538" s="495">
        <v>0</v>
      </c>
      <c r="Q538" s="495">
        <v>0</v>
      </c>
      <c r="T538" s="495">
        <v>14232.699360000001</v>
      </c>
      <c r="U538" s="495">
        <v>64679.087880000006</v>
      </c>
      <c r="V538" s="495">
        <v>-2157.2812800000002</v>
      </c>
      <c r="W538" s="495">
        <v>-7797.1212000000005</v>
      </c>
      <c r="X538" s="495">
        <v>0</v>
      </c>
      <c r="AA538" s="495">
        <v>0</v>
      </c>
      <c r="AB538" s="495">
        <v>0</v>
      </c>
      <c r="AC538" s="495">
        <v>0</v>
      </c>
      <c r="AD538" s="495">
        <v>0</v>
      </c>
      <c r="AE538" s="495">
        <v>0</v>
      </c>
      <c r="AH538" s="495">
        <v>12463.32754787607</v>
      </c>
      <c r="AI538" s="495">
        <v>12125.274422876068</v>
      </c>
      <c r="AJ538" s="495">
        <v>1643.6914228760625</v>
      </c>
      <c r="AK538" s="495">
        <v>0</v>
      </c>
      <c r="AL538" s="495">
        <v>0</v>
      </c>
      <c r="AO538" s="495">
        <v>-1204.5041250000031</v>
      </c>
      <c r="AP538" s="495">
        <v>-1034.0094750000062</v>
      </c>
      <c r="AQ538" s="495">
        <v>0</v>
      </c>
      <c r="AR538" s="495">
        <v>0</v>
      </c>
      <c r="AS538" s="495">
        <v>0</v>
      </c>
    </row>
    <row r="539" spans="1:45">
      <c r="A539" s="390">
        <v>95911</v>
      </c>
      <c r="B539" s="393">
        <v>95911</v>
      </c>
      <c r="C539" s="499" t="s">
        <v>1246</v>
      </c>
      <c r="D539" s="378">
        <v>6.060997453871432E-4</v>
      </c>
      <c r="F539" s="495">
        <v>418042.40548382676</v>
      </c>
      <c r="G539" s="495">
        <v>784040.67499382677</v>
      </c>
      <c r="H539" s="495">
        <v>109705.4794738269</v>
      </c>
      <c r="I539" s="495">
        <v>-62800.816300000006</v>
      </c>
      <c r="J539" s="495">
        <v>0</v>
      </c>
      <c r="M539" s="495">
        <v>278534.92220999999</v>
      </c>
      <c r="N539" s="495">
        <v>283348.45964000002</v>
      </c>
      <c r="O539" s="495">
        <v>149219.66033000001</v>
      </c>
      <c r="P539" s="495">
        <v>0</v>
      </c>
      <c r="Q539" s="495">
        <v>0</v>
      </c>
      <c r="T539" s="495">
        <v>114635.27564000001</v>
      </c>
      <c r="U539" s="495">
        <v>520948.61837000004</v>
      </c>
      <c r="V539" s="495">
        <v>-17375.51872</v>
      </c>
      <c r="W539" s="495">
        <v>-62800.816300000006</v>
      </c>
      <c r="X539" s="495">
        <v>0</v>
      </c>
      <c r="AA539" s="495">
        <v>0</v>
      </c>
      <c r="AB539" s="495">
        <v>0</v>
      </c>
      <c r="AC539" s="495">
        <v>0</v>
      </c>
      <c r="AD539" s="495">
        <v>0</v>
      </c>
      <c r="AE539" s="495">
        <v>0</v>
      </c>
      <c r="AH539" s="495">
        <v>62398.050809999884</v>
      </c>
      <c r="AI539" s="495">
        <v>9942.5301599998893</v>
      </c>
      <c r="AJ539" s="495">
        <v>0</v>
      </c>
      <c r="AK539" s="495">
        <v>0</v>
      </c>
      <c r="AL539" s="495">
        <v>0</v>
      </c>
      <c r="AO539" s="495">
        <v>-37525.843176173104</v>
      </c>
      <c r="AP539" s="495">
        <v>-30198.93317617309</v>
      </c>
      <c r="AQ539" s="495">
        <v>-22138.662136173127</v>
      </c>
      <c r="AR539" s="495">
        <v>0</v>
      </c>
      <c r="AS539" s="495">
        <v>0</v>
      </c>
    </row>
    <row r="540" spans="1:45">
      <c r="A540" s="390">
        <v>95917</v>
      </c>
      <c r="B540" s="393">
        <v>95917</v>
      </c>
      <c r="C540" s="499" t="s">
        <v>1247</v>
      </c>
      <c r="D540" s="378">
        <v>3.4845180482570853E-5</v>
      </c>
      <c r="F540" s="495">
        <v>24501.215220295086</v>
      </c>
      <c r="G540" s="495">
        <v>48682.153635295086</v>
      </c>
      <c r="H540" s="495">
        <v>10350.150670295094</v>
      </c>
      <c r="I540" s="495">
        <v>-3610.4692</v>
      </c>
      <c r="J540" s="495">
        <v>0</v>
      </c>
      <c r="M540" s="495">
        <v>16013.19564</v>
      </c>
      <c r="N540" s="495">
        <v>16289.929759999999</v>
      </c>
      <c r="O540" s="495">
        <v>8578.7577199999996</v>
      </c>
      <c r="P540" s="495">
        <v>0</v>
      </c>
      <c r="Q540" s="495">
        <v>0</v>
      </c>
      <c r="T540" s="495">
        <v>6590.4737599999999</v>
      </c>
      <c r="U540" s="495">
        <v>29949.753079999999</v>
      </c>
      <c r="V540" s="495">
        <v>-998.93247999999994</v>
      </c>
      <c r="W540" s="495">
        <v>-3610.4692</v>
      </c>
      <c r="X540" s="495">
        <v>0</v>
      </c>
      <c r="AA540" s="495">
        <v>0</v>
      </c>
      <c r="AB540" s="495">
        <v>0</v>
      </c>
      <c r="AC540" s="495">
        <v>0</v>
      </c>
      <c r="AD540" s="495">
        <v>0</v>
      </c>
      <c r="AE540" s="495">
        <v>0</v>
      </c>
      <c r="AH540" s="495">
        <v>2770.3254302950945</v>
      </c>
      <c r="AI540" s="495">
        <v>2770.3254302950945</v>
      </c>
      <c r="AJ540" s="495">
        <v>2770.3254302950945</v>
      </c>
      <c r="AK540" s="495">
        <v>0</v>
      </c>
      <c r="AL540" s="495">
        <v>0</v>
      </c>
      <c r="AO540" s="495">
        <v>-872.77961000000789</v>
      </c>
      <c r="AP540" s="495">
        <v>-327.85463500000435</v>
      </c>
      <c r="AQ540" s="495">
        <v>0</v>
      </c>
      <c r="AR540" s="495">
        <v>0</v>
      </c>
      <c r="AS540" s="495">
        <v>0</v>
      </c>
    </row>
    <row r="541" spans="1:45">
      <c r="A541" s="390">
        <v>95921</v>
      </c>
      <c r="B541" s="393">
        <v>95921</v>
      </c>
      <c r="C541" s="499" t="s">
        <v>1248</v>
      </c>
      <c r="D541" s="378">
        <v>4.1316091302921822E-5</v>
      </c>
      <c r="F541" s="495">
        <v>35131.762220275261</v>
      </c>
      <c r="G541" s="495">
        <v>57858.85318027527</v>
      </c>
      <c r="H541" s="495">
        <v>14093.66155777526</v>
      </c>
      <c r="I541" s="495">
        <v>-4280.9553000000005</v>
      </c>
      <c r="J541" s="495">
        <v>0</v>
      </c>
      <c r="M541" s="495">
        <v>18986.943510000001</v>
      </c>
      <c r="N541" s="495">
        <v>19315.06884</v>
      </c>
      <c r="O541" s="495">
        <v>10171.88523</v>
      </c>
      <c r="P541" s="495">
        <v>0</v>
      </c>
      <c r="Q541" s="495">
        <v>0</v>
      </c>
      <c r="T541" s="495">
        <v>7814.3648400000002</v>
      </c>
      <c r="U541" s="495">
        <v>35511.604470000006</v>
      </c>
      <c r="V541" s="495">
        <v>-1184.4403200000002</v>
      </c>
      <c r="W541" s="495">
        <v>-4280.9553000000005</v>
      </c>
      <c r="X541" s="495">
        <v>0</v>
      </c>
      <c r="AA541" s="495">
        <v>0</v>
      </c>
      <c r="AB541" s="495">
        <v>0</v>
      </c>
      <c r="AC541" s="495">
        <v>0</v>
      </c>
      <c r="AD541" s="495">
        <v>0</v>
      </c>
      <c r="AE541" s="495">
        <v>0</v>
      </c>
      <c r="AH541" s="495">
        <v>12156.231665275263</v>
      </c>
      <c r="AI541" s="495">
        <v>6857.9576652752621</v>
      </c>
      <c r="AJ541" s="495">
        <v>5106.2166477752598</v>
      </c>
      <c r="AK541" s="495">
        <v>0</v>
      </c>
      <c r="AL541" s="495">
        <v>0</v>
      </c>
      <c r="AO541" s="495">
        <v>-3825.7777950000045</v>
      </c>
      <c r="AP541" s="495">
        <v>-3825.7777950000045</v>
      </c>
      <c r="AQ541" s="495">
        <v>0</v>
      </c>
      <c r="AR541" s="495">
        <v>0</v>
      </c>
      <c r="AS541" s="495">
        <v>0</v>
      </c>
    </row>
    <row r="542" spans="1:45">
      <c r="A542" s="390">
        <v>96001</v>
      </c>
      <c r="B542" s="393">
        <v>96001</v>
      </c>
      <c r="C542" s="499" t="s">
        <v>1249</v>
      </c>
      <c r="D542" s="378">
        <v>4.1962251738108761E-2</v>
      </c>
      <c r="F542" s="495">
        <v>24299973.717605039</v>
      </c>
      <c r="G542" s="495">
        <v>53591096.64557004</v>
      </c>
      <c r="H542" s="495">
        <v>8508253.7499925364</v>
      </c>
      <c r="I542" s="495">
        <v>-4347904.4252000004</v>
      </c>
      <c r="J542" s="495">
        <v>0</v>
      </c>
      <c r="M542" s="495">
        <v>19283877.060839999</v>
      </c>
      <c r="N542" s="495">
        <v>19617133.88656</v>
      </c>
      <c r="O542" s="495">
        <v>10330961.59732</v>
      </c>
      <c r="P542" s="495">
        <v>0</v>
      </c>
      <c r="Q542" s="495">
        <v>0</v>
      </c>
      <c r="T542" s="495">
        <v>7936572.3505600002</v>
      </c>
      <c r="U542" s="495">
        <v>36066964.357479997</v>
      </c>
      <c r="V542" s="495">
        <v>-1202963.5788799999</v>
      </c>
      <c r="W542" s="495">
        <v>-4347904.4252000004</v>
      </c>
      <c r="X542" s="495">
        <v>0</v>
      </c>
      <c r="AA542" s="495">
        <v>0</v>
      </c>
      <c r="AB542" s="495">
        <v>0</v>
      </c>
      <c r="AC542" s="495">
        <v>0</v>
      </c>
      <c r="AD542" s="495">
        <v>0</v>
      </c>
      <c r="AE542" s="495">
        <v>0</v>
      </c>
      <c r="AH542" s="495">
        <v>0</v>
      </c>
      <c r="AI542" s="495">
        <v>0</v>
      </c>
      <c r="AJ542" s="495">
        <v>0</v>
      </c>
      <c r="AK542" s="495">
        <v>0</v>
      </c>
      <c r="AL542" s="495">
        <v>0</v>
      </c>
      <c r="AO542" s="495">
        <v>-2920475.6937949574</v>
      </c>
      <c r="AP542" s="495">
        <v>-2093001.5984699584</v>
      </c>
      <c r="AQ542" s="495">
        <v>-619744.26844746363</v>
      </c>
      <c r="AR542" s="495">
        <v>0</v>
      </c>
      <c r="AS542" s="495">
        <v>0</v>
      </c>
    </row>
    <row r="543" spans="1:45">
      <c r="A543" s="390">
        <v>96003</v>
      </c>
      <c r="B543" s="393">
        <v>96003</v>
      </c>
      <c r="C543" s="499" t="s">
        <v>3723</v>
      </c>
      <c r="D543" s="378">
        <v>1.8710769859288916E-3</v>
      </c>
      <c r="F543" s="495">
        <v>953580.02828263596</v>
      </c>
      <c r="G543" s="495">
        <v>2284641.9101826362</v>
      </c>
      <c r="H543" s="495">
        <v>278239.48433763627</v>
      </c>
      <c r="I543" s="495">
        <v>-193871.00399999999</v>
      </c>
      <c r="J543" s="495">
        <v>0</v>
      </c>
      <c r="M543" s="495">
        <v>859858.96679999994</v>
      </c>
      <c r="N543" s="495">
        <v>874718.73119999992</v>
      </c>
      <c r="O543" s="495">
        <v>460652.69639999996</v>
      </c>
      <c r="P543" s="495">
        <v>0</v>
      </c>
      <c r="Q543" s="495">
        <v>0</v>
      </c>
      <c r="T543" s="495">
        <v>353888.01120000001</v>
      </c>
      <c r="U543" s="495">
        <v>1608208.8995999999</v>
      </c>
      <c r="V543" s="495">
        <v>-53639.577599999997</v>
      </c>
      <c r="W543" s="495">
        <v>-193871.00399999999</v>
      </c>
      <c r="X543" s="495">
        <v>0</v>
      </c>
      <c r="AA543" s="495">
        <v>0</v>
      </c>
      <c r="AB543" s="495">
        <v>0</v>
      </c>
      <c r="AC543" s="495">
        <v>0</v>
      </c>
      <c r="AD543" s="495">
        <v>0</v>
      </c>
      <c r="AE543" s="495">
        <v>0</v>
      </c>
      <c r="AH543" s="495">
        <v>0</v>
      </c>
      <c r="AI543" s="495">
        <v>0</v>
      </c>
      <c r="AJ543" s="495">
        <v>0</v>
      </c>
      <c r="AK543" s="495">
        <v>0</v>
      </c>
      <c r="AL543" s="495">
        <v>0</v>
      </c>
      <c r="AO543" s="495">
        <v>-260166.94971736392</v>
      </c>
      <c r="AP543" s="495">
        <v>-198285.72061736393</v>
      </c>
      <c r="AQ543" s="495">
        <v>-128773.63446236364</v>
      </c>
      <c r="AR543" s="495">
        <v>0</v>
      </c>
      <c r="AS543" s="495">
        <v>0</v>
      </c>
    </row>
    <row r="544" spans="1:45">
      <c r="A544" s="390">
        <v>96004</v>
      </c>
      <c r="B544" s="393">
        <v>96004</v>
      </c>
      <c r="C544" s="499" t="s">
        <v>1251</v>
      </c>
      <c r="D544" s="378">
        <v>1.5499995209460856E-3</v>
      </c>
      <c r="F544" s="495">
        <v>1402303.8792637982</v>
      </c>
      <c r="G544" s="495">
        <v>2432500.8133337977</v>
      </c>
      <c r="H544" s="495">
        <v>489813.88810629799</v>
      </c>
      <c r="I544" s="495">
        <v>-160602.66510000001</v>
      </c>
      <c r="J544" s="495">
        <v>0</v>
      </c>
      <c r="M544" s="495">
        <v>712306.83716999996</v>
      </c>
      <c r="N544" s="495">
        <v>724616.66027999995</v>
      </c>
      <c r="O544" s="495">
        <v>381604.51640999998</v>
      </c>
      <c r="P544" s="495">
        <v>0</v>
      </c>
      <c r="Q544" s="495">
        <v>0</v>
      </c>
      <c r="T544" s="495">
        <v>293160.69228000002</v>
      </c>
      <c r="U544" s="495">
        <v>1332239.6334899999</v>
      </c>
      <c r="V544" s="495">
        <v>-44435.005440000001</v>
      </c>
      <c r="W544" s="495">
        <v>-160602.66510000001</v>
      </c>
      <c r="X544" s="495">
        <v>0</v>
      </c>
      <c r="AA544" s="495">
        <v>0</v>
      </c>
      <c r="AB544" s="495">
        <v>0</v>
      </c>
      <c r="AC544" s="495">
        <v>0</v>
      </c>
      <c r="AD544" s="495">
        <v>0</v>
      </c>
      <c r="AE544" s="495">
        <v>0</v>
      </c>
      <c r="AH544" s="495">
        <v>396836.34981379809</v>
      </c>
      <c r="AI544" s="495">
        <v>375644.51956379804</v>
      </c>
      <c r="AJ544" s="495">
        <v>152644.37713629799</v>
      </c>
      <c r="AK544" s="495">
        <v>0</v>
      </c>
      <c r="AL544" s="495">
        <v>0</v>
      </c>
      <c r="AO544" s="495">
        <v>0</v>
      </c>
      <c r="AP544" s="495">
        <v>0</v>
      </c>
      <c r="AQ544" s="495">
        <v>0</v>
      </c>
      <c r="AR544" s="495">
        <v>0</v>
      </c>
      <c r="AS544" s="495">
        <v>0</v>
      </c>
    </row>
    <row r="545" spans="1:45">
      <c r="A545" s="390">
        <v>96005</v>
      </c>
      <c r="B545" s="393">
        <v>96005</v>
      </c>
      <c r="C545" s="499" t="s">
        <v>1252</v>
      </c>
      <c r="D545" s="378">
        <v>2.6320695692667938E-3</v>
      </c>
      <c r="F545" s="495">
        <v>1661430.6549913937</v>
      </c>
      <c r="G545" s="495">
        <v>3528392.899596394</v>
      </c>
      <c r="H545" s="495">
        <v>604347.852701394</v>
      </c>
      <c r="I545" s="495">
        <v>-272720.99839999998</v>
      </c>
      <c r="J545" s="495">
        <v>0</v>
      </c>
      <c r="M545" s="495">
        <v>1209575.39328</v>
      </c>
      <c r="N545" s="495">
        <v>1230478.82752</v>
      </c>
      <c r="O545" s="495">
        <v>648006.46143999998</v>
      </c>
      <c r="P545" s="495">
        <v>0</v>
      </c>
      <c r="Q545" s="495">
        <v>0</v>
      </c>
      <c r="T545" s="495">
        <v>497819.11551999999</v>
      </c>
      <c r="U545" s="495">
        <v>2262289.5001599998</v>
      </c>
      <c r="V545" s="495">
        <v>-75455.528959999996</v>
      </c>
      <c r="W545" s="495">
        <v>-272720.99839999998</v>
      </c>
      <c r="X545" s="495">
        <v>0</v>
      </c>
      <c r="AA545" s="495">
        <v>0</v>
      </c>
      <c r="AB545" s="495">
        <v>0</v>
      </c>
      <c r="AC545" s="495">
        <v>0</v>
      </c>
      <c r="AD545" s="495">
        <v>0</v>
      </c>
      <c r="AE545" s="495">
        <v>0</v>
      </c>
      <c r="AH545" s="495">
        <v>37696.554081393748</v>
      </c>
      <c r="AI545" s="495">
        <v>37696.554081393748</v>
      </c>
      <c r="AJ545" s="495">
        <v>31796.920221394001</v>
      </c>
      <c r="AK545" s="495">
        <v>0</v>
      </c>
      <c r="AL545" s="495">
        <v>0</v>
      </c>
      <c r="AO545" s="495">
        <v>-83660.407889999915</v>
      </c>
      <c r="AP545" s="495">
        <v>-2071.9821650000522</v>
      </c>
      <c r="AQ545" s="495">
        <v>0</v>
      </c>
      <c r="AR545" s="495">
        <v>0</v>
      </c>
      <c r="AS545" s="495">
        <v>0</v>
      </c>
    </row>
    <row r="546" spans="1:45">
      <c r="A546" s="390">
        <v>96008</v>
      </c>
      <c r="B546" s="393">
        <v>96008</v>
      </c>
      <c r="C546" s="499" t="s">
        <v>1253</v>
      </c>
      <c r="D546" s="378">
        <v>5.6293233001459258E-3</v>
      </c>
      <c r="F546" s="495">
        <v>2969639.9178206576</v>
      </c>
      <c r="G546" s="495">
        <v>7002164.0295356587</v>
      </c>
      <c r="H546" s="495">
        <v>973058.48049815791</v>
      </c>
      <c r="I546" s="495">
        <v>-583280.41870000004</v>
      </c>
      <c r="J546" s="495">
        <v>0</v>
      </c>
      <c r="M546" s="495">
        <v>2586972.2022899999</v>
      </c>
      <c r="N546" s="495">
        <v>2631679.2983599999</v>
      </c>
      <c r="O546" s="495">
        <v>1385919.97817</v>
      </c>
      <c r="P546" s="495">
        <v>0</v>
      </c>
      <c r="Q546" s="495">
        <v>0</v>
      </c>
      <c r="T546" s="495">
        <v>1064707.68236</v>
      </c>
      <c r="U546" s="495">
        <v>4838458.25813</v>
      </c>
      <c r="V546" s="495">
        <v>-161380.06528000001</v>
      </c>
      <c r="W546" s="495">
        <v>-583280.41870000004</v>
      </c>
      <c r="X546" s="495">
        <v>0</v>
      </c>
      <c r="AA546" s="495">
        <v>0</v>
      </c>
      <c r="AB546" s="495">
        <v>0</v>
      </c>
      <c r="AC546" s="495">
        <v>0</v>
      </c>
      <c r="AD546" s="495">
        <v>0</v>
      </c>
      <c r="AE546" s="495">
        <v>0</v>
      </c>
      <c r="AH546" s="495">
        <v>0</v>
      </c>
      <c r="AI546" s="495">
        <v>0</v>
      </c>
      <c r="AJ546" s="495">
        <v>0</v>
      </c>
      <c r="AK546" s="495">
        <v>0</v>
      </c>
      <c r="AL546" s="495">
        <v>0</v>
      </c>
      <c r="AO546" s="495">
        <v>-682039.96682934242</v>
      </c>
      <c r="AP546" s="495">
        <v>-467973.5269543418</v>
      </c>
      <c r="AQ546" s="495">
        <v>-251481.43239184207</v>
      </c>
      <c r="AR546" s="495">
        <v>0</v>
      </c>
      <c r="AS546" s="495">
        <v>0</v>
      </c>
    </row>
    <row r="547" spans="1:45">
      <c r="A547" s="390">
        <v>96009</v>
      </c>
      <c r="B547" s="393">
        <v>96009</v>
      </c>
      <c r="C547" s="499" t="s">
        <v>1254</v>
      </c>
      <c r="D547" s="378">
        <v>3.920279748923515E-4</v>
      </c>
      <c r="F547" s="495">
        <v>280564.08580604399</v>
      </c>
      <c r="G547" s="495">
        <v>550700.77490104397</v>
      </c>
      <c r="H547" s="495">
        <v>117691.0064960439</v>
      </c>
      <c r="I547" s="495">
        <v>-40619.8511</v>
      </c>
      <c r="J547" s="495">
        <v>0</v>
      </c>
      <c r="M547" s="495">
        <v>180157.64337000001</v>
      </c>
      <c r="N547" s="495">
        <v>183271.06108000001</v>
      </c>
      <c r="O547" s="495">
        <v>96515.949009999997</v>
      </c>
      <c r="P547" s="495">
        <v>0</v>
      </c>
      <c r="Q547" s="495">
        <v>0</v>
      </c>
      <c r="T547" s="495">
        <v>74146.613079999996</v>
      </c>
      <c r="U547" s="495">
        <v>336951.91489000001</v>
      </c>
      <c r="V547" s="495">
        <v>-11238.563840000001</v>
      </c>
      <c r="W547" s="495">
        <v>-40619.8511</v>
      </c>
      <c r="X547" s="495">
        <v>0</v>
      </c>
      <c r="AA547" s="495">
        <v>0</v>
      </c>
      <c r="AB547" s="495">
        <v>0</v>
      </c>
      <c r="AC547" s="495">
        <v>0</v>
      </c>
      <c r="AD547" s="495">
        <v>0</v>
      </c>
      <c r="AE547" s="495">
        <v>0</v>
      </c>
      <c r="AH547" s="495">
        <v>42067.434991043927</v>
      </c>
      <c r="AI547" s="495">
        <v>42067.434991043927</v>
      </c>
      <c r="AJ547" s="495">
        <v>32413.621326043918</v>
      </c>
      <c r="AK547" s="495">
        <v>0</v>
      </c>
      <c r="AL547" s="495">
        <v>0</v>
      </c>
      <c r="AO547" s="495">
        <v>-15807.605634999938</v>
      </c>
      <c r="AP547" s="495">
        <v>-11589.636059999957</v>
      </c>
      <c r="AQ547" s="495">
        <v>0</v>
      </c>
      <c r="AR547" s="495">
        <v>0</v>
      </c>
      <c r="AS547" s="495">
        <v>0</v>
      </c>
    </row>
    <row r="548" spans="1:45">
      <c r="A548" s="390">
        <v>96011</v>
      </c>
      <c r="B548" s="500">
        <v>96011</v>
      </c>
      <c r="C548" s="501" t="s">
        <v>1255</v>
      </c>
      <c r="D548" s="378">
        <v>6.203359287045386E-2</v>
      </c>
      <c r="F548" s="495">
        <v>35706663.314548433</v>
      </c>
      <c r="G548" s="495">
        <v>79955118.307783425</v>
      </c>
      <c r="H548" s="495">
        <v>12586497.188493438</v>
      </c>
      <c r="I548" s="495">
        <v>-6427589.6083000004</v>
      </c>
      <c r="J548" s="495">
        <v>0</v>
      </c>
      <c r="M548" s="495">
        <v>28507721.348610003</v>
      </c>
      <c r="N548" s="495">
        <v>29000381.237240002</v>
      </c>
      <c r="O548" s="495">
        <v>15272456.547530001</v>
      </c>
      <c r="P548" s="495">
        <v>0</v>
      </c>
      <c r="Q548" s="495">
        <v>0</v>
      </c>
      <c r="T548" s="495">
        <v>11732785.493240001</v>
      </c>
      <c r="U548" s="495">
        <v>53318477.73917</v>
      </c>
      <c r="V548" s="495">
        <v>-1778363.8835200001</v>
      </c>
      <c r="W548" s="495">
        <v>-6427589.6083000004</v>
      </c>
      <c r="X548" s="495">
        <v>0</v>
      </c>
      <c r="AA548" s="495">
        <v>0</v>
      </c>
      <c r="AB548" s="495">
        <v>0</v>
      </c>
      <c r="AC548" s="495">
        <v>0</v>
      </c>
      <c r="AD548" s="495">
        <v>0</v>
      </c>
      <c r="AE548" s="495">
        <v>0</v>
      </c>
      <c r="AH548" s="495">
        <v>0</v>
      </c>
      <c r="AI548" s="495">
        <v>0</v>
      </c>
      <c r="AJ548" s="495">
        <v>0</v>
      </c>
      <c r="AK548" s="495">
        <v>0</v>
      </c>
      <c r="AL548" s="495">
        <v>0</v>
      </c>
      <c r="AO548" s="495">
        <v>-4533843.5273015741</v>
      </c>
      <c r="AP548" s="495">
        <v>-2363740.6686265697</v>
      </c>
      <c r="AQ548" s="495">
        <v>-907595.47551656328</v>
      </c>
      <c r="AR548" s="495">
        <v>0</v>
      </c>
      <c r="AS548" s="495">
        <v>0</v>
      </c>
    </row>
    <row r="549" spans="1:45">
      <c r="A549" s="390">
        <v>96012</v>
      </c>
      <c r="B549" s="393">
        <v>96012</v>
      </c>
      <c r="C549" s="499" t="s">
        <v>3724</v>
      </c>
      <c r="D549" s="378">
        <v>2.6199877762852286E-3</v>
      </c>
      <c r="F549" s="495">
        <v>1970959.8911835689</v>
      </c>
      <c r="G549" s="495">
        <v>3879645.3184085684</v>
      </c>
      <c r="H549" s="495">
        <v>716541.57364606857</v>
      </c>
      <c r="I549" s="495">
        <v>-271469.14799999999</v>
      </c>
      <c r="J549" s="495">
        <v>0</v>
      </c>
      <c r="M549" s="495">
        <v>1204023.1716</v>
      </c>
      <c r="N549" s="495">
        <v>1224830.6544000001</v>
      </c>
      <c r="O549" s="495">
        <v>645031.96680000005</v>
      </c>
      <c r="P549" s="495">
        <v>0</v>
      </c>
      <c r="Q549" s="495">
        <v>0</v>
      </c>
      <c r="T549" s="495">
        <v>495534.01440000004</v>
      </c>
      <c r="U549" s="495">
        <v>2251905.0852000001</v>
      </c>
      <c r="V549" s="495">
        <v>-75109.171199999997</v>
      </c>
      <c r="W549" s="495">
        <v>-271469.14799999999</v>
      </c>
      <c r="X549" s="495">
        <v>0</v>
      </c>
      <c r="AA549" s="495">
        <v>0</v>
      </c>
      <c r="AB549" s="495">
        <v>0</v>
      </c>
      <c r="AC549" s="495">
        <v>0</v>
      </c>
      <c r="AD549" s="495">
        <v>0</v>
      </c>
      <c r="AE549" s="495">
        <v>0</v>
      </c>
      <c r="AH549" s="495">
        <v>412629.10693356866</v>
      </c>
      <c r="AI549" s="495">
        <v>402909.57880856865</v>
      </c>
      <c r="AJ549" s="495">
        <v>146618.77804606856</v>
      </c>
      <c r="AK549" s="495">
        <v>0</v>
      </c>
      <c r="AL549" s="495">
        <v>0</v>
      </c>
      <c r="AO549" s="495">
        <v>-141226.40174999996</v>
      </c>
      <c r="AP549" s="495">
        <v>0</v>
      </c>
      <c r="AQ549" s="495">
        <v>0</v>
      </c>
      <c r="AR549" s="495">
        <v>0</v>
      </c>
      <c r="AS549" s="495">
        <v>0</v>
      </c>
    </row>
    <row r="550" spans="1:45">
      <c r="A550" s="390">
        <v>96018</v>
      </c>
      <c r="B550" s="393">
        <v>96018</v>
      </c>
      <c r="C550" s="499" t="s">
        <v>1257</v>
      </c>
      <c r="D550" s="378">
        <v>3.0544592114266436E-5</v>
      </c>
      <c r="F550" s="495">
        <v>16813.852322124345</v>
      </c>
      <c r="G550" s="495">
        <v>37706.769187124344</v>
      </c>
      <c r="H550" s="495">
        <v>5101.7034121243405</v>
      </c>
      <c r="I550" s="495">
        <v>-3164.8602000000001</v>
      </c>
      <c r="J550" s="495">
        <v>0</v>
      </c>
      <c r="M550" s="495">
        <v>14036.825340000001</v>
      </c>
      <c r="N550" s="495">
        <v>14279.404560000001</v>
      </c>
      <c r="O550" s="495">
        <v>7519.9558200000001</v>
      </c>
      <c r="P550" s="495">
        <v>0</v>
      </c>
      <c r="Q550" s="495">
        <v>0</v>
      </c>
      <c r="T550" s="495">
        <v>5777.0685600000006</v>
      </c>
      <c r="U550" s="495">
        <v>26253.313980000003</v>
      </c>
      <c r="V550" s="495">
        <v>-875.6428800000001</v>
      </c>
      <c r="W550" s="495">
        <v>-3164.8602000000001</v>
      </c>
      <c r="X550" s="495">
        <v>0</v>
      </c>
      <c r="AA550" s="495">
        <v>0</v>
      </c>
      <c r="AB550" s="495">
        <v>0</v>
      </c>
      <c r="AC550" s="495">
        <v>0</v>
      </c>
      <c r="AD550" s="495">
        <v>0</v>
      </c>
      <c r="AE550" s="495">
        <v>0</v>
      </c>
      <c r="AH550" s="495">
        <v>2787.6000499999991</v>
      </c>
      <c r="AI550" s="495">
        <v>1711.3981749999984</v>
      </c>
      <c r="AJ550" s="495">
        <v>0</v>
      </c>
      <c r="AK550" s="495">
        <v>0</v>
      </c>
      <c r="AL550" s="495">
        <v>0</v>
      </c>
      <c r="AO550" s="495">
        <v>-5787.6416278756606</v>
      </c>
      <c r="AP550" s="495">
        <v>-4537.3475278756541</v>
      </c>
      <c r="AQ550" s="495">
        <v>-1542.6095278756593</v>
      </c>
      <c r="AR550" s="495">
        <v>0</v>
      </c>
      <c r="AS550" s="495">
        <v>0</v>
      </c>
    </row>
    <row r="551" spans="1:45">
      <c r="A551" s="390">
        <v>96021</v>
      </c>
      <c r="B551" s="393">
        <v>96021</v>
      </c>
      <c r="C551" s="499" t="s">
        <v>1258</v>
      </c>
      <c r="D551" s="378">
        <v>7.3710909641021272E-4</v>
      </c>
      <c r="F551" s="495">
        <v>472053.65123124234</v>
      </c>
      <c r="G551" s="495">
        <v>934097.22563124239</v>
      </c>
      <c r="H551" s="495">
        <v>146029.32957624231</v>
      </c>
      <c r="I551" s="495">
        <v>-76375.31</v>
      </c>
      <c r="J551" s="495">
        <v>0</v>
      </c>
      <c r="M551" s="495">
        <v>338740.67700000003</v>
      </c>
      <c r="N551" s="495">
        <v>344594.66800000001</v>
      </c>
      <c r="O551" s="495">
        <v>181473.72100000002</v>
      </c>
      <c r="P551" s="495">
        <v>0</v>
      </c>
      <c r="Q551" s="495">
        <v>0</v>
      </c>
      <c r="T551" s="495">
        <v>139413.86800000002</v>
      </c>
      <c r="U551" s="495">
        <v>633552.46900000004</v>
      </c>
      <c r="V551" s="495">
        <v>-21131.263999999999</v>
      </c>
      <c r="W551" s="495">
        <v>-76375.31</v>
      </c>
      <c r="X551" s="495">
        <v>0</v>
      </c>
      <c r="AA551" s="495">
        <v>0</v>
      </c>
      <c r="AB551" s="495">
        <v>0</v>
      </c>
      <c r="AC551" s="495">
        <v>0</v>
      </c>
      <c r="AD551" s="495">
        <v>0</v>
      </c>
      <c r="AE551" s="495">
        <v>0</v>
      </c>
      <c r="AH551" s="495">
        <v>43589.798850000021</v>
      </c>
      <c r="AI551" s="495">
        <v>0</v>
      </c>
      <c r="AJ551" s="495">
        <v>0</v>
      </c>
      <c r="AK551" s="495">
        <v>0</v>
      </c>
      <c r="AL551" s="495">
        <v>0</v>
      </c>
      <c r="AO551" s="495">
        <v>-49690.692618757719</v>
      </c>
      <c r="AP551" s="495">
        <v>-44049.911368757719</v>
      </c>
      <c r="AQ551" s="495">
        <v>-14313.127423757727</v>
      </c>
      <c r="AR551" s="495">
        <v>0</v>
      </c>
      <c r="AS551" s="495">
        <v>0</v>
      </c>
    </row>
    <row r="552" spans="1:45">
      <c r="A552" s="390">
        <v>96031</v>
      </c>
      <c r="B552" s="393">
        <v>96031</v>
      </c>
      <c r="C552" s="499" t="s">
        <v>1259</v>
      </c>
      <c r="D552" s="378">
        <v>8.7464944305731633E-4</v>
      </c>
      <c r="F552" s="495">
        <v>611234.5420243101</v>
      </c>
      <c r="G552" s="495">
        <v>1199449.1340693103</v>
      </c>
      <c r="H552" s="495">
        <v>268267.36277681007</v>
      </c>
      <c r="I552" s="495">
        <v>-90626.507600000012</v>
      </c>
      <c r="J552" s="495">
        <v>0</v>
      </c>
      <c r="M552" s="495">
        <v>401947.75692000001</v>
      </c>
      <c r="N552" s="495">
        <v>408894.06928</v>
      </c>
      <c r="O552" s="495">
        <v>215335.68316000002</v>
      </c>
      <c r="P552" s="495">
        <v>0</v>
      </c>
      <c r="Q552" s="495">
        <v>0</v>
      </c>
      <c r="T552" s="495">
        <v>165427.70128000001</v>
      </c>
      <c r="U552" s="495">
        <v>751769.74924000003</v>
      </c>
      <c r="V552" s="495">
        <v>-25074.237440000001</v>
      </c>
      <c r="W552" s="495">
        <v>-90626.507600000012</v>
      </c>
      <c r="X552" s="495">
        <v>0</v>
      </c>
      <c r="AA552" s="495">
        <v>0</v>
      </c>
      <c r="AB552" s="495">
        <v>0</v>
      </c>
      <c r="AC552" s="495">
        <v>0</v>
      </c>
      <c r="AD552" s="495">
        <v>0</v>
      </c>
      <c r="AE552" s="495">
        <v>0</v>
      </c>
      <c r="AH552" s="495">
        <v>100056.55845681002</v>
      </c>
      <c r="AI552" s="495">
        <v>78005.917056810053</v>
      </c>
      <c r="AJ552" s="495">
        <v>78005.917056810053</v>
      </c>
      <c r="AK552" s="495">
        <v>0</v>
      </c>
      <c r="AL552" s="495">
        <v>0</v>
      </c>
      <c r="AO552" s="495">
        <v>-56197.4746324999</v>
      </c>
      <c r="AP552" s="495">
        <v>-39220.601507499916</v>
      </c>
      <c r="AQ552" s="495">
        <v>0</v>
      </c>
      <c r="AR552" s="495">
        <v>0</v>
      </c>
      <c r="AS552" s="495">
        <v>0</v>
      </c>
    </row>
    <row r="553" spans="1:45">
      <c r="A553" s="390">
        <v>96041</v>
      </c>
      <c r="B553" s="393">
        <v>96041</v>
      </c>
      <c r="C553" s="499" t="s">
        <v>1260</v>
      </c>
      <c r="D553" s="378">
        <v>2.0488932891662712E-3</v>
      </c>
      <c r="F553" s="495">
        <v>1391665.1655918297</v>
      </c>
      <c r="G553" s="495">
        <v>2776514.4567318298</v>
      </c>
      <c r="H553" s="495">
        <v>545339.60774432914</v>
      </c>
      <c r="I553" s="495">
        <v>-212295.3817</v>
      </c>
      <c r="J553" s="495">
        <v>0</v>
      </c>
      <c r="M553" s="495">
        <v>941574.98439</v>
      </c>
      <c r="N553" s="495">
        <v>957846.93475999997</v>
      </c>
      <c r="O553" s="495">
        <v>504430.46146999998</v>
      </c>
      <c r="P553" s="495">
        <v>0</v>
      </c>
      <c r="Q553" s="495">
        <v>0</v>
      </c>
      <c r="T553" s="495">
        <v>387519.47875999997</v>
      </c>
      <c r="U553" s="495">
        <v>1761043.76183</v>
      </c>
      <c r="V553" s="495">
        <v>-58737.172479999994</v>
      </c>
      <c r="W553" s="495">
        <v>-212295.3817</v>
      </c>
      <c r="X553" s="495">
        <v>0</v>
      </c>
      <c r="AA553" s="495">
        <v>0</v>
      </c>
      <c r="AB553" s="495">
        <v>0</v>
      </c>
      <c r="AC553" s="495">
        <v>0</v>
      </c>
      <c r="AD553" s="495">
        <v>0</v>
      </c>
      <c r="AE553" s="495">
        <v>0</v>
      </c>
      <c r="AH553" s="495">
        <v>150283.22980432934</v>
      </c>
      <c r="AI553" s="495">
        <v>99646.31875432923</v>
      </c>
      <c r="AJ553" s="495">
        <v>99646.31875432923</v>
      </c>
      <c r="AK553" s="495">
        <v>0</v>
      </c>
      <c r="AL553" s="495">
        <v>0</v>
      </c>
      <c r="AO553" s="495">
        <v>-87712.527362499561</v>
      </c>
      <c r="AP553" s="495">
        <v>-42022.558612499619</v>
      </c>
      <c r="AQ553" s="495">
        <v>0</v>
      </c>
      <c r="AR553" s="495">
        <v>0</v>
      </c>
      <c r="AS553" s="495">
        <v>0</v>
      </c>
    </row>
    <row r="554" spans="1:45">
      <c r="A554" s="390">
        <v>96051</v>
      </c>
      <c r="B554" s="393">
        <v>96051</v>
      </c>
      <c r="C554" s="499" t="s">
        <v>1261</v>
      </c>
      <c r="D554" s="378">
        <v>1.1384585238956694E-3</v>
      </c>
      <c r="F554" s="495">
        <v>829648.15036919329</v>
      </c>
      <c r="G554" s="495">
        <v>1646333.7441841937</v>
      </c>
      <c r="H554" s="495">
        <v>331002.71457669337</v>
      </c>
      <c r="I554" s="495">
        <v>-117960.99269999999</v>
      </c>
      <c r="J554" s="495">
        <v>0</v>
      </c>
      <c r="M554" s="495">
        <v>523181.98808999994</v>
      </c>
      <c r="N554" s="495">
        <v>532223.42556</v>
      </c>
      <c r="O554" s="495">
        <v>280284.56156999996</v>
      </c>
      <c r="P554" s="495">
        <v>0</v>
      </c>
      <c r="Q554" s="495">
        <v>0</v>
      </c>
      <c r="T554" s="495">
        <v>215323.48955999999</v>
      </c>
      <c r="U554" s="495">
        <v>978516.20072999992</v>
      </c>
      <c r="V554" s="495">
        <v>-32637.050879999999</v>
      </c>
      <c r="W554" s="495">
        <v>-117960.99269999999</v>
      </c>
      <c r="X554" s="495">
        <v>0</v>
      </c>
      <c r="AA554" s="495">
        <v>0</v>
      </c>
      <c r="AB554" s="495">
        <v>0</v>
      </c>
      <c r="AC554" s="495">
        <v>0</v>
      </c>
      <c r="AD554" s="495">
        <v>0</v>
      </c>
      <c r="AE554" s="495">
        <v>0</v>
      </c>
      <c r="AH554" s="495">
        <v>135594.11789419351</v>
      </c>
      <c r="AI554" s="495">
        <v>135594.11789419351</v>
      </c>
      <c r="AJ554" s="495">
        <v>83355.203886693402</v>
      </c>
      <c r="AK554" s="495">
        <v>0</v>
      </c>
      <c r="AL554" s="495">
        <v>0</v>
      </c>
      <c r="AO554" s="495">
        <v>-44451.445175000088</v>
      </c>
      <c r="AP554" s="495">
        <v>0</v>
      </c>
      <c r="AQ554" s="495">
        <v>0</v>
      </c>
      <c r="AR554" s="495">
        <v>0</v>
      </c>
      <c r="AS554" s="495">
        <v>0</v>
      </c>
    </row>
    <row r="555" spans="1:45">
      <c r="A555" s="390">
        <v>96061</v>
      </c>
      <c r="B555" s="393">
        <v>96061</v>
      </c>
      <c r="C555" s="499" t="s">
        <v>1262</v>
      </c>
      <c r="D555" s="378">
        <v>3.9526854863765554E-4</v>
      </c>
      <c r="F555" s="495">
        <v>269913.22120984003</v>
      </c>
      <c r="G555" s="495">
        <v>544520.71939484007</v>
      </c>
      <c r="H555" s="495">
        <v>95479.450752339995</v>
      </c>
      <c r="I555" s="495">
        <v>-40955.612300000001</v>
      </c>
      <c r="J555" s="495">
        <v>0</v>
      </c>
      <c r="M555" s="495">
        <v>181646.81541000001</v>
      </c>
      <c r="N555" s="495">
        <v>184785.96844</v>
      </c>
      <c r="O555" s="495">
        <v>97313.743929999997</v>
      </c>
      <c r="P555" s="495">
        <v>0</v>
      </c>
      <c r="Q555" s="495">
        <v>0</v>
      </c>
      <c r="T555" s="495">
        <v>74759.504440000004</v>
      </c>
      <c r="U555" s="495">
        <v>339737.13877000002</v>
      </c>
      <c r="V555" s="495">
        <v>-11331.46112</v>
      </c>
      <c r="W555" s="495">
        <v>-40955.612300000001</v>
      </c>
      <c r="X555" s="495">
        <v>0</v>
      </c>
      <c r="AA555" s="495">
        <v>0</v>
      </c>
      <c r="AB555" s="495">
        <v>0</v>
      </c>
      <c r="AC555" s="495">
        <v>0</v>
      </c>
      <c r="AD555" s="495">
        <v>0</v>
      </c>
      <c r="AE555" s="495">
        <v>0</v>
      </c>
      <c r="AH555" s="495">
        <v>31718.096857340031</v>
      </c>
      <c r="AI555" s="495">
        <v>27967.214557340019</v>
      </c>
      <c r="AJ555" s="495">
        <v>9497.167942339991</v>
      </c>
      <c r="AK555" s="495">
        <v>0</v>
      </c>
      <c r="AL555" s="495">
        <v>0</v>
      </c>
      <c r="AO555" s="495">
        <v>-18211.195497499997</v>
      </c>
      <c r="AP555" s="495">
        <v>-7969.6023724999977</v>
      </c>
      <c r="AQ555" s="495">
        <v>0</v>
      </c>
      <c r="AR555" s="495">
        <v>0</v>
      </c>
      <c r="AS555" s="495">
        <v>0</v>
      </c>
    </row>
    <row r="556" spans="1:45">
      <c r="A556" s="390">
        <v>96071</v>
      </c>
      <c r="B556" s="393">
        <v>96071</v>
      </c>
      <c r="C556" s="499" t="s">
        <v>1263</v>
      </c>
      <c r="D556" s="378">
        <v>1.4182399258434481E-3</v>
      </c>
      <c r="F556" s="495">
        <v>1037356.0969954811</v>
      </c>
      <c r="G556" s="495">
        <v>1979874.4103004811</v>
      </c>
      <c r="H556" s="495">
        <v>384243.40342048102</v>
      </c>
      <c r="I556" s="495">
        <v>-146950.44889999999</v>
      </c>
      <c r="J556" s="495">
        <v>0</v>
      </c>
      <c r="M556" s="495">
        <v>651756.36663000006</v>
      </c>
      <c r="N556" s="495">
        <v>663019.77892000007</v>
      </c>
      <c r="O556" s="495">
        <v>349165.78099</v>
      </c>
      <c r="P556" s="495">
        <v>0</v>
      </c>
      <c r="Q556" s="495">
        <v>0</v>
      </c>
      <c r="T556" s="495">
        <v>268240.22691999999</v>
      </c>
      <c r="U556" s="495">
        <v>1218991.0551100001</v>
      </c>
      <c r="V556" s="495">
        <v>-40657.756159999997</v>
      </c>
      <c r="W556" s="495">
        <v>-146950.44889999999</v>
      </c>
      <c r="X556" s="495">
        <v>0</v>
      </c>
      <c r="AA556" s="495">
        <v>0</v>
      </c>
      <c r="AB556" s="495">
        <v>0</v>
      </c>
      <c r="AC556" s="495">
        <v>0</v>
      </c>
      <c r="AD556" s="495">
        <v>0</v>
      </c>
      <c r="AE556" s="495">
        <v>0</v>
      </c>
      <c r="AH556" s="495">
        <v>117494.26665548093</v>
      </c>
      <c r="AI556" s="495">
        <v>97998.339480481023</v>
      </c>
      <c r="AJ556" s="495">
        <v>75735.378590481036</v>
      </c>
      <c r="AK556" s="495">
        <v>0</v>
      </c>
      <c r="AL556" s="495">
        <v>0</v>
      </c>
      <c r="AO556" s="495">
        <v>-134.7632099999928</v>
      </c>
      <c r="AP556" s="495">
        <v>-134.7632099999928</v>
      </c>
      <c r="AQ556" s="495">
        <v>0</v>
      </c>
      <c r="AR556" s="495">
        <v>0</v>
      </c>
      <c r="AS556" s="495">
        <v>0</v>
      </c>
    </row>
    <row r="557" spans="1:45">
      <c r="A557" s="390">
        <v>96081</v>
      </c>
      <c r="B557" s="393">
        <v>96081</v>
      </c>
      <c r="C557" s="499" t="s">
        <v>1264</v>
      </c>
      <c r="D557" s="378">
        <v>7.0686463159928153E-4</v>
      </c>
      <c r="F557" s="495">
        <v>492051.59571247868</v>
      </c>
      <c r="G557" s="495">
        <v>967203.53567247861</v>
      </c>
      <c r="H557" s="495">
        <v>177859.48409747862</v>
      </c>
      <c r="I557" s="495">
        <v>-73241.538799999995</v>
      </c>
      <c r="J557" s="495">
        <v>0</v>
      </c>
      <c r="M557" s="495">
        <v>324841.73796</v>
      </c>
      <c r="N557" s="495">
        <v>330455.53263999999</v>
      </c>
      <c r="O557" s="495">
        <v>174027.63507999998</v>
      </c>
      <c r="P557" s="495">
        <v>0</v>
      </c>
      <c r="Q557" s="495">
        <v>0</v>
      </c>
      <c r="T557" s="495">
        <v>133693.54863999999</v>
      </c>
      <c r="U557" s="495">
        <v>607557.04611999996</v>
      </c>
      <c r="V557" s="495">
        <v>-20264.222719999998</v>
      </c>
      <c r="W557" s="495">
        <v>-73241.538799999995</v>
      </c>
      <c r="X557" s="495">
        <v>0</v>
      </c>
      <c r="AA557" s="495">
        <v>0</v>
      </c>
      <c r="AB557" s="495">
        <v>0</v>
      </c>
      <c r="AC557" s="495">
        <v>0</v>
      </c>
      <c r="AD557" s="495">
        <v>0</v>
      </c>
      <c r="AE557" s="495">
        <v>0</v>
      </c>
      <c r="AH557" s="495">
        <v>53515.156087478659</v>
      </c>
      <c r="AI557" s="495">
        <v>35101.733887478687</v>
      </c>
      <c r="AJ557" s="495">
        <v>24096.071737478647</v>
      </c>
      <c r="AK557" s="495">
        <v>0</v>
      </c>
      <c r="AL557" s="495">
        <v>0</v>
      </c>
      <c r="AO557" s="495">
        <v>-19998.846974999979</v>
      </c>
      <c r="AP557" s="495">
        <v>-5910.7769750000152</v>
      </c>
      <c r="AQ557" s="495">
        <v>0</v>
      </c>
      <c r="AR557" s="495">
        <v>0</v>
      </c>
      <c r="AS557" s="495">
        <v>0</v>
      </c>
    </row>
    <row r="558" spans="1:45">
      <c r="A558" s="390">
        <v>96101</v>
      </c>
      <c r="B558" s="393">
        <v>96101</v>
      </c>
      <c r="C558" s="499" t="s">
        <v>1265</v>
      </c>
      <c r="D558" s="378">
        <v>6.5033625486413951E-4</v>
      </c>
      <c r="F558" s="495">
        <v>449179.4653768139</v>
      </c>
      <c r="G558" s="495">
        <v>864713.02501681366</v>
      </c>
      <c r="H558" s="495">
        <v>164045.89864431374</v>
      </c>
      <c r="I558" s="495">
        <v>-67384.371199999994</v>
      </c>
      <c r="J558" s="495">
        <v>0</v>
      </c>
      <c r="M558" s="495">
        <v>298863.95903999999</v>
      </c>
      <c r="N558" s="495">
        <v>304028.81535999995</v>
      </c>
      <c r="O558" s="495">
        <v>160110.54591999998</v>
      </c>
      <c r="P558" s="495">
        <v>0</v>
      </c>
      <c r="Q558" s="495">
        <v>0</v>
      </c>
      <c r="T558" s="495">
        <v>123001.99935999999</v>
      </c>
      <c r="U558" s="495">
        <v>558970.36287999991</v>
      </c>
      <c r="V558" s="495">
        <v>-18643.681279999997</v>
      </c>
      <c r="W558" s="495">
        <v>-67384.371199999994</v>
      </c>
      <c r="X558" s="495">
        <v>0</v>
      </c>
      <c r="AA558" s="495">
        <v>0</v>
      </c>
      <c r="AB558" s="495">
        <v>0</v>
      </c>
      <c r="AC558" s="495">
        <v>0</v>
      </c>
      <c r="AD558" s="495">
        <v>0</v>
      </c>
      <c r="AE558" s="495">
        <v>0</v>
      </c>
      <c r="AH558" s="495">
        <v>63033.244471813916</v>
      </c>
      <c r="AI558" s="495">
        <v>37433.584271813816</v>
      </c>
      <c r="AJ558" s="495">
        <v>22579.034004313766</v>
      </c>
      <c r="AK558" s="495">
        <v>0</v>
      </c>
      <c r="AL558" s="495">
        <v>0</v>
      </c>
      <c r="AO558" s="495">
        <v>-35719.737495000023</v>
      </c>
      <c r="AP558" s="495">
        <v>-35719.737495000023</v>
      </c>
      <c r="AQ558" s="495">
        <v>0</v>
      </c>
      <c r="AR558" s="495">
        <v>0</v>
      </c>
      <c r="AS558" s="495">
        <v>0</v>
      </c>
    </row>
    <row r="559" spans="1:45">
      <c r="A559" s="390">
        <v>96102</v>
      </c>
      <c r="B559" s="393">
        <v>96102</v>
      </c>
      <c r="C559" s="499" t="s">
        <v>1266</v>
      </c>
      <c r="D559" s="378">
        <v>5.3208431705960398E-6</v>
      </c>
      <c r="F559" s="495">
        <v>586.20752459729874</v>
      </c>
      <c r="G559" s="495">
        <v>6362.2497945972991</v>
      </c>
      <c r="H559" s="495">
        <v>462.01721959729889</v>
      </c>
      <c r="I559" s="495">
        <v>-551.3116</v>
      </c>
      <c r="J559" s="495">
        <v>0</v>
      </c>
      <c r="M559" s="495">
        <v>2445.18372</v>
      </c>
      <c r="N559" s="495">
        <v>2487.4404799999998</v>
      </c>
      <c r="O559" s="495">
        <v>1309.95956</v>
      </c>
      <c r="P559" s="495">
        <v>0</v>
      </c>
      <c r="Q559" s="495">
        <v>0</v>
      </c>
      <c r="T559" s="495">
        <v>1006.35248</v>
      </c>
      <c r="U559" s="495">
        <v>4573.2688399999997</v>
      </c>
      <c r="V559" s="495">
        <v>-152.53504000000001</v>
      </c>
      <c r="W559" s="495">
        <v>-551.3116</v>
      </c>
      <c r="X559" s="495">
        <v>0</v>
      </c>
      <c r="AA559" s="495">
        <v>0</v>
      </c>
      <c r="AB559" s="495">
        <v>0</v>
      </c>
      <c r="AC559" s="495">
        <v>0</v>
      </c>
      <c r="AD559" s="495">
        <v>0</v>
      </c>
      <c r="AE559" s="495">
        <v>0</v>
      </c>
      <c r="AH559" s="495">
        <v>348.70372500000008</v>
      </c>
      <c r="AI559" s="495">
        <v>71.816225000000031</v>
      </c>
      <c r="AJ559" s="495">
        <v>0</v>
      </c>
      <c r="AK559" s="495">
        <v>0</v>
      </c>
      <c r="AL559" s="495">
        <v>0</v>
      </c>
      <c r="AO559" s="495">
        <v>-3214.0324004027011</v>
      </c>
      <c r="AP559" s="495">
        <v>-770.27575040270165</v>
      </c>
      <c r="AQ559" s="495">
        <v>-695.40730040270114</v>
      </c>
      <c r="AR559" s="495">
        <v>0</v>
      </c>
      <c r="AS559" s="495">
        <v>0</v>
      </c>
    </row>
    <row r="560" spans="1:45">
      <c r="A560" s="390">
        <v>96111</v>
      </c>
      <c r="B560" s="393">
        <v>96111</v>
      </c>
      <c r="C560" s="499" t="s">
        <v>1267</v>
      </c>
      <c r="D560" s="378">
        <v>1.6927506294691364E-4</v>
      </c>
      <c r="F560" s="495">
        <v>106741.77819602315</v>
      </c>
      <c r="G560" s="495">
        <v>217447.8625460231</v>
      </c>
      <c r="H560" s="495">
        <v>27280.949701023099</v>
      </c>
      <c r="I560" s="495">
        <v>-17539.377499999999</v>
      </c>
      <c r="J560" s="495">
        <v>0</v>
      </c>
      <c r="M560" s="495">
        <v>77790.854250000004</v>
      </c>
      <c r="N560" s="495">
        <v>79135.206999999995</v>
      </c>
      <c r="O560" s="495">
        <v>41674.935249999995</v>
      </c>
      <c r="P560" s="495">
        <v>0</v>
      </c>
      <c r="Q560" s="495">
        <v>0</v>
      </c>
      <c r="T560" s="495">
        <v>32016.006999999998</v>
      </c>
      <c r="U560" s="495">
        <v>145493.56224999999</v>
      </c>
      <c r="V560" s="495">
        <v>-4852.7359999999999</v>
      </c>
      <c r="W560" s="495">
        <v>-17539.377499999999</v>
      </c>
      <c r="X560" s="495">
        <v>0</v>
      </c>
      <c r="AA560" s="495">
        <v>0</v>
      </c>
      <c r="AB560" s="495">
        <v>0</v>
      </c>
      <c r="AC560" s="495">
        <v>0</v>
      </c>
      <c r="AD560" s="495">
        <v>0</v>
      </c>
      <c r="AE560" s="495">
        <v>0</v>
      </c>
      <c r="AH560" s="495">
        <v>7844.2724600000456</v>
      </c>
      <c r="AI560" s="495">
        <v>3728.4488100000326</v>
      </c>
      <c r="AJ560" s="495">
        <v>0</v>
      </c>
      <c r="AK560" s="495">
        <v>0</v>
      </c>
      <c r="AL560" s="495">
        <v>0</v>
      </c>
      <c r="AO560" s="495">
        <v>-10909.355513976901</v>
      </c>
      <c r="AP560" s="495">
        <v>-10909.355513976901</v>
      </c>
      <c r="AQ560" s="495">
        <v>-9541.249548976899</v>
      </c>
      <c r="AR560" s="495">
        <v>0</v>
      </c>
      <c r="AS560" s="495">
        <v>0</v>
      </c>
    </row>
    <row r="561" spans="1:45">
      <c r="A561" s="390">
        <v>96121</v>
      </c>
      <c r="B561" s="393">
        <v>96121</v>
      </c>
      <c r="C561" s="499" t="s">
        <v>1268</v>
      </c>
      <c r="D561" s="378">
        <v>1.1211676009710969E-5</v>
      </c>
      <c r="F561" s="495">
        <v>893.75509558002432</v>
      </c>
      <c r="G561" s="495">
        <v>9572.7044305800246</v>
      </c>
      <c r="H561" s="495">
        <v>-2234.6213494199746</v>
      </c>
      <c r="I561" s="495">
        <v>-1161.6922999999999</v>
      </c>
      <c r="J561" s="495">
        <v>0</v>
      </c>
      <c r="M561" s="495">
        <v>5152.3514099999993</v>
      </c>
      <c r="N561" s="495">
        <v>5241.3924399999996</v>
      </c>
      <c r="O561" s="495">
        <v>2760.2719299999999</v>
      </c>
      <c r="P561" s="495">
        <v>0</v>
      </c>
      <c r="Q561" s="495">
        <v>0</v>
      </c>
      <c r="T561" s="495">
        <v>2120.52844</v>
      </c>
      <c r="U561" s="495">
        <v>9636.5307699999994</v>
      </c>
      <c r="V561" s="495">
        <v>-321.41311999999999</v>
      </c>
      <c r="W561" s="495">
        <v>-1161.6922999999999</v>
      </c>
      <c r="X561" s="495">
        <v>0</v>
      </c>
      <c r="AA561" s="495">
        <v>0</v>
      </c>
      <c r="AB561" s="495">
        <v>0</v>
      </c>
      <c r="AC561" s="495">
        <v>0</v>
      </c>
      <c r="AD561" s="495">
        <v>0</v>
      </c>
      <c r="AE561" s="495">
        <v>0</v>
      </c>
      <c r="AH561" s="495">
        <v>176.38812499999949</v>
      </c>
      <c r="AI561" s="495">
        <v>0</v>
      </c>
      <c r="AJ561" s="495">
        <v>0</v>
      </c>
      <c r="AK561" s="495">
        <v>0</v>
      </c>
      <c r="AL561" s="495">
        <v>0</v>
      </c>
      <c r="AO561" s="495">
        <v>-6555.5128794199745</v>
      </c>
      <c r="AP561" s="495">
        <v>-5305.2187794199745</v>
      </c>
      <c r="AQ561" s="495">
        <v>-4673.4801594199744</v>
      </c>
      <c r="AR561" s="495">
        <v>0</v>
      </c>
      <c r="AS561" s="495">
        <v>0</v>
      </c>
    </row>
    <row r="562" spans="1:45">
      <c r="A562" s="390">
        <v>96201</v>
      </c>
      <c r="B562" s="393">
        <v>96201</v>
      </c>
      <c r="C562" s="499" t="s">
        <v>1269</v>
      </c>
      <c r="D562" s="378">
        <v>1.0603269156219937E-3</v>
      </c>
      <c r="F562" s="495">
        <v>742891.37772905396</v>
      </c>
      <c r="G562" s="495">
        <v>1413453.2904240543</v>
      </c>
      <c r="H562" s="495">
        <v>298733.72262155393</v>
      </c>
      <c r="I562" s="495">
        <v>-109865.41710000001</v>
      </c>
      <c r="J562" s="495">
        <v>0</v>
      </c>
      <c r="M562" s="495">
        <v>487276.39556999999</v>
      </c>
      <c r="N562" s="495">
        <v>495697.32588000002</v>
      </c>
      <c r="O562" s="495">
        <v>261048.83961</v>
      </c>
      <c r="P562" s="495">
        <v>0</v>
      </c>
      <c r="Q562" s="495">
        <v>0</v>
      </c>
      <c r="T562" s="495">
        <v>200545.99788000001</v>
      </c>
      <c r="U562" s="495">
        <v>911361.35829</v>
      </c>
      <c r="V562" s="495">
        <v>-30397.194240000001</v>
      </c>
      <c r="W562" s="495">
        <v>-109865.41710000001</v>
      </c>
      <c r="X562" s="495">
        <v>0</v>
      </c>
      <c r="AA562" s="495">
        <v>0</v>
      </c>
      <c r="AB562" s="495">
        <v>0</v>
      </c>
      <c r="AC562" s="495">
        <v>0</v>
      </c>
      <c r="AD562" s="495">
        <v>0</v>
      </c>
      <c r="AE562" s="495">
        <v>0</v>
      </c>
      <c r="AH562" s="495">
        <v>140347.1736090538</v>
      </c>
      <c r="AI562" s="495">
        <v>90164.914959054004</v>
      </c>
      <c r="AJ562" s="495">
        <v>68082.077251553972</v>
      </c>
      <c r="AK562" s="495">
        <v>0</v>
      </c>
      <c r="AL562" s="495">
        <v>0</v>
      </c>
      <c r="AO562" s="495">
        <v>-85278.189329999819</v>
      </c>
      <c r="AP562" s="495">
        <v>-83770.308704999799</v>
      </c>
      <c r="AQ562" s="495">
        <v>0</v>
      </c>
      <c r="AR562" s="495">
        <v>0</v>
      </c>
      <c r="AS562" s="495">
        <v>0</v>
      </c>
    </row>
    <row r="563" spans="1:45">
      <c r="A563" s="390">
        <v>96204</v>
      </c>
      <c r="B563" s="393">
        <v>96204</v>
      </c>
      <c r="C563" s="499" t="s">
        <v>1270</v>
      </c>
      <c r="D563" s="378">
        <v>1.2111761204636556E-5</v>
      </c>
      <c r="F563" s="495">
        <v>8253.1953056622733</v>
      </c>
      <c r="G563" s="495">
        <v>16335.203840662274</v>
      </c>
      <c r="H563" s="495">
        <v>2879.1288106622728</v>
      </c>
      <c r="I563" s="495">
        <v>-1254.9593</v>
      </c>
      <c r="J563" s="495">
        <v>0</v>
      </c>
      <c r="M563" s="495">
        <v>5566.0103099999997</v>
      </c>
      <c r="N563" s="495">
        <v>5662.2000399999997</v>
      </c>
      <c r="O563" s="495">
        <v>2981.8816299999999</v>
      </c>
      <c r="P563" s="495">
        <v>0</v>
      </c>
      <c r="Q563" s="495">
        <v>0</v>
      </c>
      <c r="T563" s="495">
        <v>2290.7760399999997</v>
      </c>
      <c r="U563" s="495">
        <v>10410.20407</v>
      </c>
      <c r="V563" s="495">
        <v>-347.21791999999999</v>
      </c>
      <c r="W563" s="495">
        <v>-1254.9593</v>
      </c>
      <c r="X563" s="495">
        <v>0</v>
      </c>
      <c r="AA563" s="495">
        <v>0</v>
      </c>
      <c r="AB563" s="495">
        <v>0</v>
      </c>
      <c r="AC563" s="495">
        <v>0</v>
      </c>
      <c r="AD563" s="495">
        <v>0</v>
      </c>
      <c r="AE563" s="495">
        <v>0</v>
      </c>
      <c r="AH563" s="495">
        <v>2168.4037156622735</v>
      </c>
      <c r="AI563" s="495">
        <v>1295.9843406622736</v>
      </c>
      <c r="AJ563" s="495">
        <v>244.46510066227302</v>
      </c>
      <c r="AK563" s="495">
        <v>0</v>
      </c>
      <c r="AL563" s="495">
        <v>0</v>
      </c>
      <c r="AO563" s="495">
        <v>-1771.9947599999987</v>
      </c>
      <c r="AP563" s="495">
        <v>-1033.1846099999993</v>
      </c>
      <c r="AQ563" s="495">
        <v>0</v>
      </c>
      <c r="AR563" s="495">
        <v>0</v>
      </c>
      <c r="AS563" s="495">
        <v>0</v>
      </c>
    </row>
    <row r="564" spans="1:45">
      <c r="A564" s="390">
        <v>96211</v>
      </c>
      <c r="B564" s="393">
        <v>96211</v>
      </c>
      <c r="C564" s="499" t="s">
        <v>1271</v>
      </c>
      <c r="D564" s="378">
        <v>2.9754439856449773E-5</v>
      </c>
      <c r="F564" s="495">
        <v>41367.620508274376</v>
      </c>
      <c r="G564" s="495">
        <v>59151.99383327437</v>
      </c>
      <c r="H564" s="495">
        <v>20213.06558827437</v>
      </c>
      <c r="I564" s="495">
        <v>-3082.9925000000003</v>
      </c>
      <c r="J564" s="495">
        <v>0</v>
      </c>
      <c r="M564" s="495">
        <v>13673.724750000001</v>
      </c>
      <c r="N564" s="495">
        <v>13910.029</v>
      </c>
      <c r="O564" s="495">
        <v>7325.4317500000006</v>
      </c>
      <c r="P564" s="495">
        <v>0</v>
      </c>
      <c r="Q564" s="495">
        <v>0</v>
      </c>
      <c r="T564" s="495">
        <v>5627.6289999999999</v>
      </c>
      <c r="U564" s="495">
        <v>25574.20075</v>
      </c>
      <c r="V564" s="495">
        <v>-852.99200000000008</v>
      </c>
      <c r="W564" s="495">
        <v>-3082.9925000000003</v>
      </c>
      <c r="X564" s="495">
        <v>0</v>
      </c>
      <c r="AA564" s="495">
        <v>0</v>
      </c>
      <c r="AB564" s="495">
        <v>0</v>
      </c>
      <c r="AC564" s="495">
        <v>0</v>
      </c>
      <c r="AD564" s="495">
        <v>0</v>
      </c>
      <c r="AE564" s="495">
        <v>0</v>
      </c>
      <c r="AH564" s="495">
        <v>23251.224398274371</v>
      </c>
      <c r="AI564" s="495">
        <v>20057.080023274371</v>
      </c>
      <c r="AJ564" s="495">
        <v>13740.625838274371</v>
      </c>
      <c r="AK564" s="495">
        <v>0</v>
      </c>
      <c r="AL564" s="495">
        <v>0</v>
      </c>
      <c r="AO564" s="495">
        <v>-1184.9576400000024</v>
      </c>
      <c r="AP564" s="495">
        <v>-389.31594000000223</v>
      </c>
      <c r="AQ564" s="495">
        <v>0</v>
      </c>
      <c r="AR564" s="495">
        <v>0</v>
      </c>
      <c r="AS564" s="495">
        <v>0</v>
      </c>
    </row>
    <row r="565" spans="1:45">
      <c r="A565" s="390">
        <v>96221</v>
      </c>
      <c r="B565" s="393">
        <v>96221</v>
      </c>
      <c r="C565" s="499" t="s">
        <v>1272</v>
      </c>
      <c r="D565" s="378">
        <v>1.8109678516093218E-4</v>
      </c>
      <c r="F565" s="495">
        <v>115685.05298093657</v>
      </c>
      <c r="G565" s="495">
        <v>233141.65512593658</v>
      </c>
      <c r="H565" s="495">
        <v>49868.943883436601</v>
      </c>
      <c r="I565" s="495">
        <v>-18764.284100000001</v>
      </c>
      <c r="J565" s="495">
        <v>0</v>
      </c>
      <c r="M565" s="495">
        <v>83223.574470000007</v>
      </c>
      <c r="N565" s="495">
        <v>84661.813479999997</v>
      </c>
      <c r="O565" s="495">
        <v>44585.409310000003</v>
      </c>
      <c r="P565" s="495">
        <v>0</v>
      </c>
      <c r="Q565" s="495">
        <v>0</v>
      </c>
      <c r="T565" s="495">
        <v>34251.925479999998</v>
      </c>
      <c r="U565" s="495">
        <v>155654.47159</v>
      </c>
      <c r="V565" s="495">
        <v>-5191.63904</v>
      </c>
      <c r="W565" s="495">
        <v>-18764.284100000001</v>
      </c>
      <c r="X565" s="495">
        <v>0</v>
      </c>
      <c r="AA565" s="495">
        <v>0</v>
      </c>
      <c r="AB565" s="495">
        <v>0</v>
      </c>
      <c r="AC565" s="495">
        <v>0</v>
      </c>
      <c r="AD565" s="495">
        <v>0</v>
      </c>
      <c r="AE565" s="495">
        <v>0</v>
      </c>
      <c r="AH565" s="495">
        <v>18221.889715936602</v>
      </c>
      <c r="AI565" s="495">
        <v>12837.706740936606</v>
      </c>
      <c r="AJ565" s="495">
        <v>10475.1736134366</v>
      </c>
      <c r="AK565" s="495">
        <v>0</v>
      </c>
      <c r="AL565" s="495">
        <v>0</v>
      </c>
      <c r="AO565" s="495">
        <v>-20012.336685000024</v>
      </c>
      <c r="AP565" s="495">
        <v>-20012.336685000024</v>
      </c>
      <c r="AQ565" s="495">
        <v>0</v>
      </c>
      <c r="AR565" s="495">
        <v>0</v>
      </c>
      <c r="AS565" s="495">
        <v>0</v>
      </c>
    </row>
    <row r="566" spans="1:45">
      <c r="A566" s="390">
        <v>96231</v>
      </c>
      <c r="B566" s="393">
        <v>96231</v>
      </c>
      <c r="C566" s="499" t="s">
        <v>1273</v>
      </c>
      <c r="D566" s="378">
        <v>1.0089499577468157E-4</v>
      </c>
      <c r="F566" s="495">
        <v>60921.388102608224</v>
      </c>
      <c r="G566" s="495">
        <v>127308.81900760821</v>
      </c>
      <c r="H566" s="495">
        <v>11047.3314101082</v>
      </c>
      <c r="I566" s="495">
        <v>-10454.1944</v>
      </c>
      <c r="J566" s="495">
        <v>0</v>
      </c>
      <c r="M566" s="495">
        <v>46366.566480000001</v>
      </c>
      <c r="N566" s="495">
        <v>47167.856319999999</v>
      </c>
      <c r="O566" s="495">
        <v>24839.98504</v>
      </c>
      <c r="P566" s="495">
        <v>0</v>
      </c>
      <c r="Q566" s="495">
        <v>0</v>
      </c>
      <c r="T566" s="495">
        <v>19082.864320000001</v>
      </c>
      <c r="U566" s="495">
        <v>86720.180559999993</v>
      </c>
      <c r="V566" s="495">
        <v>-2892.43136</v>
      </c>
      <c r="W566" s="495">
        <v>-10454.1944</v>
      </c>
      <c r="X566" s="495">
        <v>0</v>
      </c>
      <c r="AA566" s="495">
        <v>0</v>
      </c>
      <c r="AB566" s="495">
        <v>0</v>
      </c>
      <c r="AC566" s="495">
        <v>0</v>
      </c>
      <c r="AD566" s="495">
        <v>0</v>
      </c>
      <c r="AE566" s="495">
        <v>0</v>
      </c>
      <c r="AH566" s="495">
        <v>8469.0318424999969</v>
      </c>
      <c r="AI566" s="495">
        <v>5002.3072924999979</v>
      </c>
      <c r="AJ566" s="495">
        <v>0</v>
      </c>
      <c r="AK566" s="495">
        <v>0</v>
      </c>
      <c r="AL566" s="495">
        <v>0</v>
      </c>
      <c r="AO566" s="495">
        <v>-12997.074539891781</v>
      </c>
      <c r="AP566" s="495">
        <v>-11581.525164891782</v>
      </c>
      <c r="AQ566" s="495">
        <v>-10900.222269891801</v>
      </c>
      <c r="AR566" s="495">
        <v>0</v>
      </c>
      <c r="AS566" s="495">
        <v>0</v>
      </c>
    </row>
    <row r="567" spans="1:45">
      <c r="A567" s="390">
        <v>96241</v>
      </c>
      <c r="B567" s="393">
        <v>96241</v>
      </c>
      <c r="C567" s="499" t="s">
        <v>1274</v>
      </c>
      <c r="D567" s="378">
        <v>4.765704091826952E-5</v>
      </c>
      <c r="F567" s="495">
        <v>19767.632696299115</v>
      </c>
      <c r="G567" s="495">
        <v>53108.92012129911</v>
      </c>
      <c r="H567" s="495">
        <v>6650.4850387991137</v>
      </c>
      <c r="I567" s="495">
        <v>-4937.9695000000002</v>
      </c>
      <c r="J567" s="495">
        <v>0</v>
      </c>
      <c r="M567" s="495">
        <v>21900.94065</v>
      </c>
      <c r="N567" s="495">
        <v>22279.424599999998</v>
      </c>
      <c r="O567" s="495">
        <v>11733.00245</v>
      </c>
      <c r="P567" s="495">
        <v>0</v>
      </c>
      <c r="Q567" s="495">
        <v>0</v>
      </c>
      <c r="T567" s="495">
        <v>9013.6646000000001</v>
      </c>
      <c r="U567" s="495">
        <v>40961.703049999996</v>
      </c>
      <c r="V567" s="495">
        <v>-1366.2208000000001</v>
      </c>
      <c r="W567" s="495">
        <v>-4937.9695000000002</v>
      </c>
      <c r="X567" s="495">
        <v>0</v>
      </c>
      <c r="AA567" s="495">
        <v>0</v>
      </c>
      <c r="AB567" s="495">
        <v>0</v>
      </c>
      <c r="AC567" s="495">
        <v>0</v>
      </c>
      <c r="AD567" s="495">
        <v>0</v>
      </c>
      <c r="AE567" s="495">
        <v>0</v>
      </c>
      <c r="AH567" s="495">
        <v>1534.4518499999976</v>
      </c>
      <c r="AI567" s="495">
        <v>0</v>
      </c>
      <c r="AJ567" s="495">
        <v>0</v>
      </c>
      <c r="AK567" s="495">
        <v>0</v>
      </c>
      <c r="AL567" s="495">
        <v>0</v>
      </c>
      <c r="AO567" s="495">
        <v>-12681.424403700883</v>
      </c>
      <c r="AP567" s="495">
        <v>-10132.207528700883</v>
      </c>
      <c r="AQ567" s="495">
        <v>-3716.2966112008871</v>
      </c>
      <c r="AR567" s="495">
        <v>0</v>
      </c>
      <c r="AS567" s="495">
        <v>0</v>
      </c>
    </row>
    <row r="568" spans="1:45">
      <c r="A568" s="390">
        <v>96251</v>
      </c>
      <c r="B568" s="393">
        <v>96251</v>
      </c>
      <c r="C568" s="499" t="s">
        <v>1275</v>
      </c>
      <c r="D568" s="378">
        <v>8.3542356113486377E-5</v>
      </c>
      <c r="F568" s="495">
        <v>30134.695570744789</v>
      </c>
      <c r="G568" s="495">
        <v>90929.244525744783</v>
      </c>
      <c r="H568" s="495">
        <v>-3964.6082392552016</v>
      </c>
      <c r="I568" s="495">
        <v>-8656.2138999999988</v>
      </c>
      <c r="J568" s="495">
        <v>0</v>
      </c>
      <c r="M568" s="495">
        <v>38392.14213</v>
      </c>
      <c r="N568" s="495">
        <v>39055.620919999994</v>
      </c>
      <c r="O568" s="495">
        <v>20567.842489999999</v>
      </c>
      <c r="P568" s="495">
        <v>0</v>
      </c>
      <c r="Q568" s="495">
        <v>0</v>
      </c>
      <c r="T568" s="495">
        <v>15800.868919999999</v>
      </c>
      <c r="U568" s="495">
        <v>71805.478609999991</v>
      </c>
      <c r="V568" s="495">
        <v>-2394.9721599999998</v>
      </c>
      <c r="W568" s="495">
        <v>-8656.2138999999988</v>
      </c>
      <c r="X568" s="495">
        <v>0</v>
      </c>
      <c r="AA568" s="495">
        <v>0</v>
      </c>
      <c r="AB568" s="495">
        <v>0</v>
      </c>
      <c r="AC568" s="495">
        <v>0</v>
      </c>
      <c r="AD568" s="495">
        <v>0</v>
      </c>
      <c r="AE568" s="495">
        <v>0</v>
      </c>
      <c r="AH568" s="495">
        <v>5660.0548200000012</v>
      </c>
      <c r="AI568" s="495">
        <v>5660.0548200000012</v>
      </c>
      <c r="AJ568" s="495">
        <v>0</v>
      </c>
      <c r="AK568" s="495">
        <v>0</v>
      </c>
      <c r="AL568" s="495">
        <v>0</v>
      </c>
      <c r="AO568" s="495">
        <v>-29718.370299255217</v>
      </c>
      <c r="AP568" s="495">
        <v>-25591.909824255199</v>
      </c>
      <c r="AQ568" s="495">
        <v>-22137.4785692552</v>
      </c>
      <c r="AR568" s="495">
        <v>0</v>
      </c>
      <c r="AS568" s="495">
        <v>0</v>
      </c>
    </row>
    <row r="569" spans="1:45">
      <c r="A569" s="390">
        <v>96301</v>
      </c>
      <c r="B569" s="393">
        <v>96301</v>
      </c>
      <c r="C569" s="499" t="s">
        <v>1276</v>
      </c>
      <c r="D569" s="378">
        <v>4.762084909639675E-3</v>
      </c>
      <c r="F569" s="495">
        <v>3013314.4287493583</v>
      </c>
      <c r="G569" s="495">
        <v>6346810.2266293587</v>
      </c>
      <c r="H569" s="495">
        <v>971899.03886935802</v>
      </c>
      <c r="I569" s="495">
        <v>-493421.80939999997</v>
      </c>
      <c r="J569" s="495">
        <v>0</v>
      </c>
      <c r="M569" s="495">
        <v>2188430.23698</v>
      </c>
      <c r="N569" s="495">
        <v>2226249.8783200001</v>
      </c>
      <c r="O569" s="495">
        <v>1172408.88154</v>
      </c>
      <c r="P569" s="495">
        <v>0</v>
      </c>
      <c r="Q569" s="495">
        <v>0</v>
      </c>
      <c r="T569" s="495">
        <v>900681.68631999998</v>
      </c>
      <c r="U569" s="495">
        <v>4093058.4190599998</v>
      </c>
      <c r="V569" s="495">
        <v>-136518.28735999999</v>
      </c>
      <c r="W569" s="495">
        <v>-493421.80939999997</v>
      </c>
      <c r="X569" s="495">
        <v>0</v>
      </c>
      <c r="AA569" s="495">
        <v>0</v>
      </c>
      <c r="AB569" s="495">
        <v>0</v>
      </c>
      <c r="AC569" s="495">
        <v>0</v>
      </c>
      <c r="AD569" s="495">
        <v>0</v>
      </c>
      <c r="AE569" s="495">
        <v>0</v>
      </c>
      <c r="AH569" s="495">
        <v>132247.63008000038</v>
      </c>
      <c r="AI569" s="495">
        <v>132247.63008000038</v>
      </c>
      <c r="AJ569" s="495">
        <v>0</v>
      </c>
      <c r="AK569" s="495">
        <v>0</v>
      </c>
      <c r="AL569" s="495">
        <v>0</v>
      </c>
      <c r="AO569" s="495">
        <v>-208045.12463064218</v>
      </c>
      <c r="AP569" s="495">
        <v>-104745.70083064221</v>
      </c>
      <c r="AQ569" s="495">
        <v>-63991.555310641954</v>
      </c>
      <c r="AR569" s="495">
        <v>0</v>
      </c>
      <c r="AS569" s="495">
        <v>0</v>
      </c>
    </row>
    <row r="570" spans="1:45">
      <c r="A570" s="390">
        <v>96302</v>
      </c>
      <c r="B570" s="393">
        <v>96302</v>
      </c>
      <c r="C570" s="499" t="s">
        <v>1277</v>
      </c>
      <c r="D570" s="378">
        <v>1.9752916300176749E-5</v>
      </c>
      <c r="F570" s="495">
        <v>14963.444758749367</v>
      </c>
      <c r="G570" s="495">
        <v>22831.648308749362</v>
      </c>
      <c r="H570" s="495">
        <v>4227.0175162493697</v>
      </c>
      <c r="I570" s="495">
        <v>-2046.6924999999999</v>
      </c>
      <c r="J570" s="495">
        <v>0</v>
      </c>
      <c r="M570" s="495">
        <v>9077.5147500000003</v>
      </c>
      <c r="N570" s="495">
        <v>9234.3889999999992</v>
      </c>
      <c r="O570" s="495">
        <v>4863.1017499999998</v>
      </c>
      <c r="P570" s="495">
        <v>0</v>
      </c>
      <c r="Q570" s="495">
        <v>0</v>
      </c>
      <c r="T570" s="495">
        <v>3735.9889999999996</v>
      </c>
      <c r="U570" s="495">
        <v>16977.830749999997</v>
      </c>
      <c r="V570" s="495">
        <v>-566.27199999999993</v>
      </c>
      <c r="W570" s="495">
        <v>-2046.6924999999999</v>
      </c>
      <c r="X570" s="495">
        <v>0</v>
      </c>
      <c r="AA570" s="495">
        <v>0</v>
      </c>
      <c r="AB570" s="495">
        <v>0</v>
      </c>
      <c r="AC570" s="495">
        <v>0</v>
      </c>
      <c r="AD570" s="495">
        <v>0</v>
      </c>
      <c r="AE570" s="495">
        <v>0</v>
      </c>
      <c r="AH570" s="495">
        <v>7632.7421775000003</v>
      </c>
      <c r="AI570" s="495">
        <v>2102.2297274999992</v>
      </c>
      <c r="AJ570" s="495">
        <v>0</v>
      </c>
      <c r="AK570" s="495">
        <v>0</v>
      </c>
      <c r="AL570" s="495">
        <v>0</v>
      </c>
      <c r="AO570" s="495">
        <v>-5482.8011687506332</v>
      </c>
      <c r="AP570" s="495">
        <v>-5482.8011687506332</v>
      </c>
      <c r="AQ570" s="495">
        <v>-69.812233750630185</v>
      </c>
      <c r="AR570" s="495">
        <v>0</v>
      </c>
      <c r="AS570" s="495">
        <v>0</v>
      </c>
    </row>
    <row r="571" spans="1:45">
      <c r="A571" s="390">
        <v>96304</v>
      </c>
      <c r="B571" s="393">
        <v>96304</v>
      </c>
      <c r="C571" s="499" t="s">
        <v>1278</v>
      </c>
      <c r="D571" s="378">
        <v>7.3960981110374587E-5</v>
      </c>
      <c r="F571" s="495">
        <v>72114.113715924861</v>
      </c>
      <c r="G571" s="495">
        <v>122110.70241592485</v>
      </c>
      <c r="H571" s="495">
        <v>35666.253363424854</v>
      </c>
      <c r="I571" s="495">
        <v>-7663.4384999999993</v>
      </c>
      <c r="J571" s="495">
        <v>0</v>
      </c>
      <c r="M571" s="495">
        <v>33988.972949999996</v>
      </c>
      <c r="N571" s="495">
        <v>34576.357799999998</v>
      </c>
      <c r="O571" s="495">
        <v>18208.930349999999</v>
      </c>
      <c r="P571" s="495">
        <v>0</v>
      </c>
      <c r="Q571" s="495">
        <v>0</v>
      </c>
      <c r="T571" s="495">
        <v>13988.677799999999</v>
      </c>
      <c r="U571" s="495">
        <v>63570.156149999995</v>
      </c>
      <c r="V571" s="495">
        <v>-2120.2943999999998</v>
      </c>
      <c r="W571" s="495">
        <v>-7663.4384999999993</v>
      </c>
      <c r="X571" s="495">
        <v>0</v>
      </c>
      <c r="AA571" s="495">
        <v>0</v>
      </c>
      <c r="AB571" s="495">
        <v>0</v>
      </c>
      <c r="AC571" s="495">
        <v>0</v>
      </c>
      <c r="AD571" s="495">
        <v>0</v>
      </c>
      <c r="AE571" s="495">
        <v>0</v>
      </c>
      <c r="AH571" s="495">
        <v>24704.778465924865</v>
      </c>
      <c r="AI571" s="495">
        <v>23964.188465924864</v>
      </c>
      <c r="AJ571" s="495">
        <v>19577.617413424854</v>
      </c>
      <c r="AK571" s="495">
        <v>0</v>
      </c>
      <c r="AL571" s="495">
        <v>0</v>
      </c>
      <c r="AO571" s="495">
        <v>-568.31550000000061</v>
      </c>
      <c r="AP571" s="495">
        <v>0</v>
      </c>
      <c r="AQ571" s="495">
        <v>0</v>
      </c>
      <c r="AR571" s="495">
        <v>0</v>
      </c>
      <c r="AS571" s="495">
        <v>0</v>
      </c>
    </row>
    <row r="572" spans="1:45">
      <c r="A572" s="390">
        <v>96305</v>
      </c>
      <c r="B572" s="393">
        <v>96305</v>
      </c>
      <c r="C572" s="499" t="s">
        <v>1279</v>
      </c>
      <c r="D572" s="378">
        <v>3.8145690674017946E-5</v>
      </c>
      <c r="F572" s="495">
        <v>26712.601919763343</v>
      </c>
      <c r="G572" s="495">
        <v>51565.713459763327</v>
      </c>
      <c r="H572" s="495">
        <v>8860.1374572633358</v>
      </c>
      <c r="I572" s="495">
        <v>-3952.4481999999998</v>
      </c>
      <c r="J572" s="495">
        <v>0</v>
      </c>
      <c r="M572" s="495">
        <v>17529.944939999998</v>
      </c>
      <c r="N572" s="495">
        <v>17832.890959999997</v>
      </c>
      <c r="O572" s="495">
        <v>9391.3266199999998</v>
      </c>
      <c r="P572" s="495">
        <v>0</v>
      </c>
      <c r="Q572" s="495">
        <v>0</v>
      </c>
      <c r="T572" s="495">
        <v>7214.7149599999993</v>
      </c>
      <c r="U572" s="495">
        <v>32786.555179999996</v>
      </c>
      <c r="V572" s="495">
        <v>-1093.55008</v>
      </c>
      <c r="W572" s="495">
        <v>-3952.4481999999998</v>
      </c>
      <c r="X572" s="495">
        <v>0</v>
      </c>
      <c r="AA572" s="495">
        <v>0</v>
      </c>
      <c r="AB572" s="495">
        <v>0</v>
      </c>
      <c r="AC572" s="495">
        <v>0</v>
      </c>
      <c r="AD572" s="495">
        <v>0</v>
      </c>
      <c r="AE572" s="495">
        <v>0</v>
      </c>
      <c r="AH572" s="495">
        <v>2024.7735697633368</v>
      </c>
      <c r="AI572" s="495">
        <v>946.26731976333645</v>
      </c>
      <c r="AJ572" s="495">
        <v>562.36091726333643</v>
      </c>
      <c r="AK572" s="495">
        <v>0</v>
      </c>
      <c r="AL572" s="495">
        <v>0</v>
      </c>
      <c r="AO572" s="495">
        <v>-56.831549999993513</v>
      </c>
      <c r="AP572" s="495">
        <v>0</v>
      </c>
      <c r="AQ572" s="495">
        <v>0</v>
      </c>
      <c r="AR572" s="495">
        <v>0</v>
      </c>
      <c r="AS572" s="495">
        <v>0</v>
      </c>
    </row>
    <row r="573" spans="1:45">
      <c r="A573" s="390">
        <v>96310</v>
      </c>
      <c r="B573" s="393">
        <v>96310</v>
      </c>
      <c r="C573" s="499" t="s">
        <v>1280</v>
      </c>
      <c r="D573" s="378">
        <v>6.4849602793849966E-5</v>
      </c>
      <c r="F573" s="495">
        <v>63699.171793870089</v>
      </c>
      <c r="G573" s="495">
        <v>110796.56550887009</v>
      </c>
      <c r="H573" s="495">
        <v>32722.084606370099</v>
      </c>
      <c r="I573" s="495">
        <v>-6719.3691999999992</v>
      </c>
      <c r="J573" s="495">
        <v>0</v>
      </c>
      <c r="M573" s="495">
        <v>29801.825639999999</v>
      </c>
      <c r="N573" s="495">
        <v>30316.849759999997</v>
      </c>
      <c r="O573" s="495">
        <v>15965.747719999999</v>
      </c>
      <c r="P573" s="495">
        <v>0</v>
      </c>
      <c r="Q573" s="495">
        <v>0</v>
      </c>
      <c r="T573" s="495">
        <v>12265.393759999999</v>
      </c>
      <c r="U573" s="495">
        <v>55738.863079999996</v>
      </c>
      <c r="V573" s="495">
        <v>-1859.0924799999998</v>
      </c>
      <c r="W573" s="495">
        <v>-6719.3691999999992</v>
      </c>
      <c r="X573" s="495">
        <v>0</v>
      </c>
      <c r="AA573" s="495">
        <v>0</v>
      </c>
      <c r="AB573" s="495">
        <v>0</v>
      </c>
      <c r="AC573" s="495">
        <v>0</v>
      </c>
      <c r="AD573" s="495">
        <v>0</v>
      </c>
      <c r="AE573" s="495">
        <v>0</v>
      </c>
      <c r="AH573" s="495">
        <v>28906.390793870087</v>
      </c>
      <c r="AI573" s="495">
        <v>24740.852668870088</v>
      </c>
      <c r="AJ573" s="495">
        <v>18615.429366370099</v>
      </c>
      <c r="AK573" s="495">
        <v>0</v>
      </c>
      <c r="AL573" s="495">
        <v>0</v>
      </c>
      <c r="AO573" s="495">
        <v>-7274.4383999999991</v>
      </c>
      <c r="AP573" s="495">
        <v>0</v>
      </c>
      <c r="AQ573" s="495">
        <v>0</v>
      </c>
      <c r="AR573" s="495">
        <v>0</v>
      </c>
      <c r="AS573" s="495">
        <v>0</v>
      </c>
    </row>
    <row r="574" spans="1:45">
      <c r="A574" s="390">
        <v>96311</v>
      </c>
      <c r="B574" s="393">
        <v>96311</v>
      </c>
      <c r="C574" s="499" t="s">
        <v>1281</v>
      </c>
      <c r="D574" s="378">
        <v>1.3342775695343403E-3</v>
      </c>
      <c r="F574" s="495">
        <v>805106.89521753136</v>
      </c>
      <c r="G574" s="495">
        <v>1704992.9281475316</v>
      </c>
      <c r="H574" s="495">
        <v>273977.08474503126</v>
      </c>
      <c r="I574" s="495">
        <v>-138250.71040000001</v>
      </c>
      <c r="J574" s="495">
        <v>0</v>
      </c>
      <c r="M574" s="495">
        <v>613171.18368000002</v>
      </c>
      <c r="N574" s="495">
        <v>623767.78112000006</v>
      </c>
      <c r="O574" s="495">
        <v>328494.52064</v>
      </c>
      <c r="P574" s="495">
        <v>0</v>
      </c>
      <c r="Q574" s="495">
        <v>0</v>
      </c>
      <c r="T574" s="495">
        <v>252359.90912000003</v>
      </c>
      <c r="U574" s="495">
        <v>1146824.52896</v>
      </c>
      <c r="V574" s="495">
        <v>-38250.741760000004</v>
      </c>
      <c r="W574" s="495">
        <v>-138250.71040000001</v>
      </c>
      <c r="X574" s="495">
        <v>0</v>
      </c>
      <c r="AA574" s="495">
        <v>0</v>
      </c>
      <c r="AB574" s="495">
        <v>0</v>
      </c>
      <c r="AC574" s="495">
        <v>0</v>
      </c>
      <c r="AD574" s="495">
        <v>0</v>
      </c>
      <c r="AE574" s="495">
        <v>0</v>
      </c>
      <c r="AH574" s="495">
        <v>27108.649349999963</v>
      </c>
      <c r="AI574" s="495">
        <v>0</v>
      </c>
      <c r="AJ574" s="495">
        <v>0</v>
      </c>
      <c r="AK574" s="495">
        <v>0</v>
      </c>
      <c r="AL574" s="495">
        <v>0</v>
      </c>
      <c r="AO574" s="495">
        <v>-87532.846932468543</v>
      </c>
      <c r="AP574" s="495">
        <v>-65599.381932468576</v>
      </c>
      <c r="AQ574" s="495">
        <v>-16266.694134968719</v>
      </c>
      <c r="AR574" s="495">
        <v>0</v>
      </c>
      <c r="AS574" s="495">
        <v>0</v>
      </c>
    </row>
    <row r="575" spans="1:45">
      <c r="A575" s="390">
        <v>96312</v>
      </c>
      <c r="B575" s="393">
        <v>96312</v>
      </c>
      <c r="C575" s="499" t="s">
        <v>1282</v>
      </c>
      <c r="D575" s="378">
        <v>1.4132094183785499E-5</v>
      </c>
      <c r="F575" s="495">
        <v>11985.212593291322</v>
      </c>
      <c r="G575" s="495">
        <v>19949.84502329132</v>
      </c>
      <c r="H575" s="495">
        <v>9069.9415832913219</v>
      </c>
      <c r="I575" s="495">
        <v>-1464.2918999999999</v>
      </c>
      <c r="J575" s="495">
        <v>0</v>
      </c>
      <c r="M575" s="495">
        <v>6494.4447300000002</v>
      </c>
      <c r="N575" s="495">
        <v>6606.6793200000002</v>
      </c>
      <c r="O575" s="495">
        <v>3479.2722899999999</v>
      </c>
      <c r="P575" s="495">
        <v>0</v>
      </c>
      <c r="Q575" s="495">
        <v>0</v>
      </c>
      <c r="T575" s="495">
        <v>2672.8873199999998</v>
      </c>
      <c r="U575" s="495">
        <v>12146.67081</v>
      </c>
      <c r="V575" s="495">
        <v>-405.13535999999999</v>
      </c>
      <c r="W575" s="495">
        <v>-1464.2918999999999</v>
      </c>
      <c r="X575" s="495">
        <v>0</v>
      </c>
      <c r="AA575" s="495">
        <v>0</v>
      </c>
      <c r="AB575" s="495">
        <v>0</v>
      </c>
      <c r="AC575" s="495">
        <v>0</v>
      </c>
      <c r="AD575" s="495">
        <v>0</v>
      </c>
      <c r="AE575" s="495">
        <v>0</v>
      </c>
      <c r="AH575" s="495">
        <v>9045.4112732913236</v>
      </c>
      <c r="AI575" s="495">
        <v>6317.4968732913221</v>
      </c>
      <c r="AJ575" s="495">
        <v>5995.8046532913222</v>
      </c>
      <c r="AK575" s="495">
        <v>0</v>
      </c>
      <c r="AL575" s="495">
        <v>0</v>
      </c>
      <c r="AO575" s="495">
        <v>-6227.5307300000022</v>
      </c>
      <c r="AP575" s="495">
        <v>-5121.0019800000018</v>
      </c>
      <c r="AQ575" s="495">
        <v>0</v>
      </c>
      <c r="AR575" s="495">
        <v>0</v>
      </c>
      <c r="AS575" s="495">
        <v>0</v>
      </c>
    </row>
    <row r="576" spans="1:45">
      <c r="A576" s="390">
        <v>96318</v>
      </c>
      <c r="B576" s="393">
        <v>96318</v>
      </c>
      <c r="C576" s="499" t="s">
        <v>1283</v>
      </c>
      <c r="D576" s="378">
        <v>3.1456157215633976E-3</v>
      </c>
      <c r="F576" s="495">
        <v>2297081.0859085429</v>
      </c>
      <c r="G576" s="495">
        <v>4316502.2190835429</v>
      </c>
      <c r="H576" s="495">
        <v>696357.57914854283</v>
      </c>
      <c r="I576" s="495">
        <v>-325931.89449999999</v>
      </c>
      <c r="J576" s="495">
        <v>0</v>
      </c>
      <c r="M576" s="495">
        <v>1445576.9881500001</v>
      </c>
      <c r="N576" s="495">
        <v>1470558.9146</v>
      </c>
      <c r="O576" s="495">
        <v>774439.71995000006</v>
      </c>
      <c r="P576" s="495">
        <v>0</v>
      </c>
      <c r="Q576" s="495">
        <v>0</v>
      </c>
      <c r="T576" s="495">
        <v>594949.15460000001</v>
      </c>
      <c r="U576" s="495">
        <v>2703687.3105500001</v>
      </c>
      <c r="V576" s="495">
        <v>-90177.7408</v>
      </c>
      <c r="W576" s="495">
        <v>-325931.89449999999</v>
      </c>
      <c r="X576" s="495">
        <v>0</v>
      </c>
      <c r="AA576" s="495">
        <v>0</v>
      </c>
      <c r="AB576" s="495">
        <v>0</v>
      </c>
      <c r="AC576" s="495">
        <v>0</v>
      </c>
      <c r="AD576" s="495">
        <v>0</v>
      </c>
      <c r="AE576" s="495">
        <v>0</v>
      </c>
      <c r="AH576" s="495">
        <v>256554.94315854262</v>
      </c>
      <c r="AI576" s="495">
        <v>142255.99393354275</v>
      </c>
      <c r="AJ576" s="495">
        <v>12095.599998542806</v>
      </c>
      <c r="AK576" s="495">
        <v>0</v>
      </c>
      <c r="AL576" s="495">
        <v>0</v>
      </c>
      <c r="AO576" s="495">
        <v>0</v>
      </c>
      <c r="AP576" s="495">
        <v>0</v>
      </c>
      <c r="AQ576" s="495">
        <v>0</v>
      </c>
      <c r="AR576" s="495">
        <v>0</v>
      </c>
      <c r="AS576" s="495">
        <v>0</v>
      </c>
    </row>
    <row r="577" spans="1:45">
      <c r="A577" s="390">
        <v>96321</v>
      </c>
      <c r="B577" s="393">
        <v>96321</v>
      </c>
      <c r="C577" s="499" t="s">
        <v>1284</v>
      </c>
      <c r="D577" s="378">
        <v>3.8005641156297534E-5</v>
      </c>
      <c r="F577" s="495">
        <v>23482.907113194997</v>
      </c>
      <c r="G577" s="495">
        <v>48742.973588195004</v>
      </c>
      <c r="H577" s="495">
        <v>15212.794405694989</v>
      </c>
      <c r="I577" s="495">
        <v>-3937.94</v>
      </c>
      <c r="J577" s="495">
        <v>0</v>
      </c>
      <c r="M577" s="495">
        <v>17465.598000000002</v>
      </c>
      <c r="N577" s="495">
        <v>17767.432000000001</v>
      </c>
      <c r="O577" s="495">
        <v>9356.8540000000012</v>
      </c>
      <c r="P577" s="495">
        <v>0</v>
      </c>
      <c r="Q577" s="495">
        <v>0</v>
      </c>
      <c r="T577" s="495">
        <v>7188.232</v>
      </c>
      <c r="U577" s="495">
        <v>32666.206000000002</v>
      </c>
      <c r="V577" s="495">
        <v>-1089.5360000000001</v>
      </c>
      <c r="W577" s="495">
        <v>-3937.94</v>
      </c>
      <c r="X577" s="495">
        <v>0</v>
      </c>
      <c r="AA577" s="495">
        <v>0</v>
      </c>
      <c r="AB577" s="495">
        <v>0</v>
      </c>
      <c r="AC577" s="495">
        <v>0</v>
      </c>
      <c r="AD577" s="495">
        <v>0</v>
      </c>
      <c r="AE577" s="495">
        <v>0</v>
      </c>
      <c r="AH577" s="495">
        <v>9910.5307531949893</v>
      </c>
      <c r="AI577" s="495">
        <v>8319.2473531949872</v>
      </c>
      <c r="AJ577" s="495">
        <v>6945.476405694988</v>
      </c>
      <c r="AK577" s="495">
        <v>0</v>
      </c>
      <c r="AL577" s="495">
        <v>0</v>
      </c>
      <c r="AO577" s="495">
        <v>-11081.453639999994</v>
      </c>
      <c r="AP577" s="495">
        <v>-10009.911764999993</v>
      </c>
      <c r="AQ577" s="495">
        <v>0</v>
      </c>
      <c r="AR577" s="495">
        <v>0</v>
      </c>
      <c r="AS577" s="495">
        <v>0</v>
      </c>
    </row>
    <row r="578" spans="1:45">
      <c r="A578" s="390">
        <v>96331</v>
      </c>
      <c r="B578" s="393">
        <v>96331</v>
      </c>
      <c r="C578" s="499" t="s">
        <v>1285</v>
      </c>
      <c r="D578" s="378">
        <v>6.5098635760423571E-4</v>
      </c>
      <c r="F578" s="495">
        <v>399806.9531590952</v>
      </c>
      <c r="G578" s="495">
        <v>836920.76142409514</v>
      </c>
      <c r="H578" s="495">
        <v>148726.48277659519</v>
      </c>
      <c r="I578" s="495">
        <v>-67451.7307</v>
      </c>
      <c r="J578" s="495">
        <v>0</v>
      </c>
      <c r="M578" s="495">
        <v>299162.71269000001</v>
      </c>
      <c r="N578" s="495">
        <v>304332.73196</v>
      </c>
      <c r="O578" s="495">
        <v>160270.59737</v>
      </c>
      <c r="P578" s="495">
        <v>0</v>
      </c>
      <c r="Q578" s="495">
        <v>0</v>
      </c>
      <c r="T578" s="495">
        <v>123124.95596000001</v>
      </c>
      <c r="U578" s="495">
        <v>559529.12693000003</v>
      </c>
      <c r="V578" s="495">
        <v>-18662.318080000001</v>
      </c>
      <c r="W578" s="495">
        <v>-67451.7307</v>
      </c>
      <c r="X578" s="495">
        <v>0</v>
      </c>
      <c r="AA578" s="495">
        <v>0</v>
      </c>
      <c r="AB578" s="495">
        <v>0</v>
      </c>
      <c r="AC578" s="495">
        <v>0</v>
      </c>
      <c r="AD578" s="495">
        <v>0</v>
      </c>
      <c r="AE578" s="495">
        <v>0</v>
      </c>
      <c r="AH578" s="495">
        <v>20871.438586595224</v>
      </c>
      <c r="AI578" s="495">
        <v>7118.2034865951764</v>
      </c>
      <c r="AJ578" s="495">
        <v>7118.2034865951764</v>
      </c>
      <c r="AK578" s="495">
        <v>0</v>
      </c>
      <c r="AL578" s="495">
        <v>0</v>
      </c>
      <c r="AO578" s="495">
        <v>-43352.154077500061</v>
      </c>
      <c r="AP578" s="495">
        <v>-34059.300952500038</v>
      </c>
      <c r="AQ578" s="495">
        <v>0</v>
      </c>
      <c r="AR578" s="495">
        <v>0</v>
      </c>
      <c r="AS578" s="495">
        <v>0</v>
      </c>
    </row>
    <row r="579" spans="1:45">
      <c r="A579" s="390">
        <v>96341</v>
      </c>
      <c r="B579" s="393">
        <v>96341</v>
      </c>
      <c r="C579" s="499" t="s">
        <v>1286</v>
      </c>
      <c r="D579" s="378">
        <v>9.2013571645091941E-5</v>
      </c>
      <c r="F579" s="495">
        <v>58649.865755629973</v>
      </c>
      <c r="G579" s="495">
        <v>119775.36233062999</v>
      </c>
      <c r="H579" s="495">
        <v>24829.40053062997</v>
      </c>
      <c r="I579" s="495">
        <v>-9533.9599999999991</v>
      </c>
      <c r="J579" s="495">
        <v>0</v>
      </c>
      <c r="M579" s="495">
        <v>42285.131999999998</v>
      </c>
      <c r="N579" s="495">
        <v>43015.887999999999</v>
      </c>
      <c r="O579" s="495">
        <v>22653.436000000002</v>
      </c>
      <c r="P579" s="495">
        <v>0</v>
      </c>
      <c r="Q579" s="495">
        <v>0</v>
      </c>
      <c r="T579" s="495">
        <v>17403.088</v>
      </c>
      <c r="U579" s="495">
        <v>79086.604000000007</v>
      </c>
      <c r="V579" s="495">
        <v>-2637.8240000000001</v>
      </c>
      <c r="W579" s="495">
        <v>-9533.9599999999991</v>
      </c>
      <c r="X579" s="495">
        <v>0</v>
      </c>
      <c r="AA579" s="495">
        <v>0</v>
      </c>
      <c r="AB579" s="495">
        <v>0</v>
      </c>
      <c r="AC579" s="495">
        <v>0</v>
      </c>
      <c r="AD579" s="495">
        <v>0</v>
      </c>
      <c r="AE579" s="495">
        <v>0</v>
      </c>
      <c r="AH579" s="495">
        <v>8564.6708306299661</v>
      </c>
      <c r="AI579" s="495">
        <v>4813.7885306299686</v>
      </c>
      <c r="AJ579" s="495">
        <v>4813.7885306299686</v>
      </c>
      <c r="AK579" s="495">
        <v>0</v>
      </c>
      <c r="AL579" s="495">
        <v>0</v>
      </c>
      <c r="AO579" s="495">
        <v>-9603.0250749999941</v>
      </c>
      <c r="AP579" s="495">
        <v>-7140.9181999999928</v>
      </c>
      <c r="AQ579" s="495">
        <v>0</v>
      </c>
      <c r="AR579" s="495">
        <v>0</v>
      </c>
      <c r="AS579" s="495">
        <v>0</v>
      </c>
    </row>
    <row r="580" spans="1:45">
      <c r="A580" s="390">
        <v>96351</v>
      </c>
      <c r="B580" s="393">
        <v>96351</v>
      </c>
      <c r="C580" s="499" t="s">
        <v>1287</v>
      </c>
      <c r="D580" s="378">
        <v>1.0539260295605031E-3</v>
      </c>
      <c r="F580" s="495">
        <v>649688.36508235824</v>
      </c>
      <c r="G580" s="495">
        <v>1357715.6754273586</v>
      </c>
      <c r="H580" s="495">
        <v>229413.60890985819</v>
      </c>
      <c r="I580" s="495">
        <v>-109202.18510000002</v>
      </c>
      <c r="J580" s="495">
        <v>0</v>
      </c>
      <c r="M580" s="495">
        <v>484334.82117000007</v>
      </c>
      <c r="N580" s="495">
        <v>492704.91628000006</v>
      </c>
      <c r="O580" s="495">
        <v>259472.94841000001</v>
      </c>
      <c r="P580" s="495">
        <v>0</v>
      </c>
      <c r="Q580" s="495">
        <v>0</v>
      </c>
      <c r="T580" s="495">
        <v>199335.34828000001</v>
      </c>
      <c r="U580" s="495">
        <v>905859.6814900001</v>
      </c>
      <c r="V580" s="495">
        <v>-30213.693440000003</v>
      </c>
      <c r="W580" s="495">
        <v>-109202.18510000002</v>
      </c>
      <c r="X580" s="495">
        <v>0</v>
      </c>
      <c r="AA580" s="495">
        <v>0</v>
      </c>
      <c r="AB580" s="495">
        <v>0</v>
      </c>
      <c r="AC580" s="495">
        <v>0</v>
      </c>
      <c r="AD580" s="495">
        <v>0</v>
      </c>
      <c r="AE580" s="495">
        <v>0</v>
      </c>
      <c r="AH580" s="495">
        <v>22148.16378985815</v>
      </c>
      <c r="AI580" s="495">
        <v>154.35393985818882</v>
      </c>
      <c r="AJ580" s="495">
        <v>154.35393985818882</v>
      </c>
      <c r="AK580" s="495">
        <v>0</v>
      </c>
      <c r="AL580" s="495">
        <v>0</v>
      </c>
      <c r="AO580" s="495">
        <v>-56129.968157499869</v>
      </c>
      <c r="AP580" s="495">
        <v>-41003.276282499879</v>
      </c>
      <c r="AQ580" s="495">
        <v>0</v>
      </c>
      <c r="AR580" s="495">
        <v>0</v>
      </c>
      <c r="AS580" s="495">
        <v>0</v>
      </c>
    </row>
    <row r="581" spans="1:45">
      <c r="A581" s="390">
        <v>96361</v>
      </c>
      <c r="B581" s="393">
        <v>96361</v>
      </c>
      <c r="C581" s="499" t="s">
        <v>1288</v>
      </c>
      <c r="D581" s="378">
        <v>8.5252621834122961E-5</v>
      </c>
      <c r="F581" s="495">
        <v>82100.813584901072</v>
      </c>
      <c r="G581" s="495">
        <v>131435.19492490109</v>
      </c>
      <c r="H581" s="495">
        <v>27888.628034901085</v>
      </c>
      <c r="I581" s="495">
        <v>-8833.4212000000007</v>
      </c>
      <c r="J581" s="495">
        <v>0</v>
      </c>
      <c r="M581" s="495">
        <v>39178.094040000004</v>
      </c>
      <c r="N581" s="495">
        <v>39855.155360000004</v>
      </c>
      <c r="O581" s="495">
        <v>20988.90092</v>
      </c>
      <c r="P581" s="495">
        <v>0</v>
      </c>
      <c r="Q581" s="495">
        <v>0</v>
      </c>
      <c r="T581" s="495">
        <v>16124.33936</v>
      </c>
      <c r="U581" s="495">
        <v>73275.457880000002</v>
      </c>
      <c r="V581" s="495">
        <v>-2444.00128</v>
      </c>
      <c r="W581" s="495">
        <v>-8833.4212000000007</v>
      </c>
      <c r="X581" s="495">
        <v>0</v>
      </c>
      <c r="AA581" s="495">
        <v>0</v>
      </c>
      <c r="AB581" s="495">
        <v>0</v>
      </c>
      <c r="AC581" s="495">
        <v>0</v>
      </c>
      <c r="AD581" s="495">
        <v>0</v>
      </c>
      <c r="AE581" s="495">
        <v>0</v>
      </c>
      <c r="AH581" s="495">
        <v>29157.253714901082</v>
      </c>
      <c r="AI581" s="495">
        <v>19495.890214901083</v>
      </c>
      <c r="AJ581" s="495">
        <v>9343.7283949010871</v>
      </c>
      <c r="AK581" s="495">
        <v>0</v>
      </c>
      <c r="AL581" s="495">
        <v>0</v>
      </c>
      <c r="AO581" s="495">
        <v>-2358.8735300000062</v>
      </c>
      <c r="AP581" s="495">
        <v>-1191.3085300000057</v>
      </c>
      <c r="AQ581" s="495">
        <v>0</v>
      </c>
      <c r="AR581" s="495">
        <v>0</v>
      </c>
      <c r="AS581" s="495">
        <v>0</v>
      </c>
    </row>
    <row r="582" spans="1:45">
      <c r="A582" s="390">
        <v>96371</v>
      </c>
      <c r="B582" s="393">
        <v>96371</v>
      </c>
      <c r="C582" s="499" t="s">
        <v>1289</v>
      </c>
      <c r="D582" s="378">
        <v>1.8347718188955935E-4</v>
      </c>
      <c r="F582" s="495">
        <v>144184.70165509856</v>
      </c>
      <c r="G582" s="495">
        <v>257529.88885509854</v>
      </c>
      <c r="H582" s="495">
        <v>36713.107280098557</v>
      </c>
      <c r="I582" s="495">
        <v>-19010.923499999997</v>
      </c>
      <c r="J582" s="495">
        <v>0</v>
      </c>
      <c r="M582" s="495">
        <v>84317.472450000001</v>
      </c>
      <c r="N582" s="495">
        <v>85774.6158</v>
      </c>
      <c r="O582" s="495">
        <v>45171.443849999996</v>
      </c>
      <c r="P582" s="495">
        <v>0</v>
      </c>
      <c r="Q582" s="495">
        <v>0</v>
      </c>
      <c r="T582" s="495">
        <v>34702.135799999996</v>
      </c>
      <c r="U582" s="495">
        <v>157700.40764999998</v>
      </c>
      <c r="V582" s="495">
        <v>-5259.8783999999996</v>
      </c>
      <c r="W582" s="495">
        <v>-19010.923499999997</v>
      </c>
      <c r="X582" s="495">
        <v>0</v>
      </c>
      <c r="AA582" s="495">
        <v>0</v>
      </c>
      <c r="AB582" s="495">
        <v>0</v>
      </c>
      <c r="AC582" s="495">
        <v>0</v>
      </c>
      <c r="AD582" s="495">
        <v>0</v>
      </c>
      <c r="AE582" s="495">
        <v>0</v>
      </c>
      <c r="AH582" s="495">
        <v>31399.577950000006</v>
      </c>
      <c r="AI582" s="495">
        <v>20289.349949999996</v>
      </c>
      <c r="AJ582" s="495">
        <v>0</v>
      </c>
      <c r="AK582" s="495">
        <v>0</v>
      </c>
      <c r="AL582" s="495">
        <v>0</v>
      </c>
      <c r="AO582" s="495">
        <v>-6234.4845449014392</v>
      </c>
      <c r="AP582" s="495">
        <v>-6234.4845449014392</v>
      </c>
      <c r="AQ582" s="495">
        <v>-3198.4581699014379</v>
      </c>
      <c r="AR582" s="495">
        <v>0</v>
      </c>
      <c r="AS582" s="495">
        <v>0</v>
      </c>
    </row>
    <row r="583" spans="1:45">
      <c r="A583" s="390">
        <v>96381</v>
      </c>
      <c r="B583" s="393">
        <v>96381</v>
      </c>
      <c r="C583" s="499" t="s">
        <v>1290</v>
      </c>
      <c r="D583" s="378">
        <v>3.6995474666723062E-5</v>
      </c>
      <c r="F583" s="495">
        <v>34541.024869380468</v>
      </c>
      <c r="G583" s="495">
        <v>54808.142609380469</v>
      </c>
      <c r="H583" s="495">
        <v>8721.71602938047</v>
      </c>
      <c r="I583" s="495">
        <v>-3833.2737000000002</v>
      </c>
      <c r="J583" s="495">
        <v>0</v>
      </c>
      <c r="M583" s="495">
        <v>17001.380790000003</v>
      </c>
      <c r="N583" s="495">
        <v>17295.192360000001</v>
      </c>
      <c r="O583" s="495">
        <v>9108.1586700000007</v>
      </c>
      <c r="P583" s="495">
        <v>0</v>
      </c>
      <c r="Q583" s="495">
        <v>0</v>
      </c>
      <c r="T583" s="495">
        <v>6997.1763600000004</v>
      </c>
      <c r="U583" s="495">
        <v>31797.972630000004</v>
      </c>
      <c r="V583" s="495">
        <v>-1060.5772800000002</v>
      </c>
      <c r="W583" s="495">
        <v>-3833.2737000000002</v>
      </c>
      <c r="X583" s="495">
        <v>0</v>
      </c>
      <c r="AA583" s="495">
        <v>0</v>
      </c>
      <c r="AB583" s="495">
        <v>0</v>
      </c>
      <c r="AC583" s="495">
        <v>0</v>
      </c>
      <c r="AD583" s="495">
        <v>0</v>
      </c>
      <c r="AE583" s="495">
        <v>0</v>
      </c>
      <c r="AH583" s="495">
        <v>10542.467719380464</v>
      </c>
      <c r="AI583" s="495">
        <v>5714.9776193804655</v>
      </c>
      <c r="AJ583" s="495">
        <v>674.1346393804688</v>
      </c>
      <c r="AK583" s="495">
        <v>0</v>
      </c>
      <c r="AL583" s="495">
        <v>0</v>
      </c>
      <c r="AO583" s="495">
        <v>0</v>
      </c>
      <c r="AP583" s="495">
        <v>0</v>
      </c>
      <c r="AQ583" s="495">
        <v>0</v>
      </c>
      <c r="AR583" s="495">
        <v>0</v>
      </c>
      <c r="AS583" s="495">
        <v>0</v>
      </c>
    </row>
    <row r="584" spans="1:45">
      <c r="A584" s="390">
        <v>96391</v>
      </c>
      <c r="B584" s="393">
        <v>96391</v>
      </c>
      <c r="C584" s="499" t="s">
        <v>1291</v>
      </c>
      <c r="D584" s="378">
        <v>1.7827635996878937E-4</v>
      </c>
      <c r="F584" s="495">
        <v>111975.65534684552</v>
      </c>
      <c r="G584" s="495">
        <v>228986.11479684556</v>
      </c>
      <c r="H584" s="495">
        <v>34507.34354184557</v>
      </c>
      <c r="I584" s="495">
        <v>-18472.047500000001</v>
      </c>
      <c r="J584" s="495">
        <v>0</v>
      </c>
      <c r="M584" s="495">
        <v>81927.443249999997</v>
      </c>
      <c r="N584" s="495">
        <v>83343.282999999996</v>
      </c>
      <c r="O584" s="495">
        <v>43891.032249999997</v>
      </c>
      <c r="P584" s="495">
        <v>0</v>
      </c>
      <c r="Q584" s="495">
        <v>0</v>
      </c>
      <c r="T584" s="495">
        <v>33718.483</v>
      </c>
      <c r="U584" s="495">
        <v>153230.29525</v>
      </c>
      <c r="V584" s="495">
        <v>-5110.7839999999997</v>
      </c>
      <c r="W584" s="495">
        <v>-18472.047500000001</v>
      </c>
      <c r="X584" s="495">
        <v>0</v>
      </c>
      <c r="AA584" s="495">
        <v>0</v>
      </c>
      <c r="AB584" s="495">
        <v>0</v>
      </c>
      <c r="AC584" s="495">
        <v>0</v>
      </c>
      <c r="AD584" s="495">
        <v>0</v>
      </c>
      <c r="AE584" s="495">
        <v>0</v>
      </c>
      <c r="AH584" s="495">
        <v>8561.5594649999694</v>
      </c>
      <c r="AI584" s="495">
        <v>264.15316499999608</v>
      </c>
      <c r="AJ584" s="495">
        <v>0</v>
      </c>
      <c r="AK584" s="495">
        <v>0</v>
      </c>
      <c r="AL584" s="495">
        <v>0</v>
      </c>
      <c r="AO584" s="495">
        <v>-12231.830368154438</v>
      </c>
      <c r="AP584" s="495">
        <v>-7851.6166181544359</v>
      </c>
      <c r="AQ584" s="495">
        <v>-4272.9047081544286</v>
      </c>
      <c r="AR584" s="495">
        <v>0</v>
      </c>
      <c r="AS584" s="495">
        <v>0</v>
      </c>
    </row>
    <row r="585" spans="1:45">
      <c r="A585" s="390">
        <v>96401</v>
      </c>
      <c r="B585" s="393">
        <v>96401</v>
      </c>
      <c r="C585" s="499" t="s">
        <v>1292</v>
      </c>
      <c r="D585" s="378">
        <v>3.9454540948063799E-3</v>
      </c>
      <c r="F585" s="495">
        <v>2432491.9190324051</v>
      </c>
      <c r="G585" s="495">
        <v>5006456.3799274052</v>
      </c>
      <c r="H585" s="495">
        <v>747100.50364740542</v>
      </c>
      <c r="I585" s="495">
        <v>-408806.87809999997</v>
      </c>
      <c r="J585" s="495">
        <v>0</v>
      </c>
      <c r="M585" s="495">
        <v>1813145.0942699998</v>
      </c>
      <c r="N585" s="495">
        <v>1844479.1966799998</v>
      </c>
      <c r="O585" s="495">
        <v>971357.17470999993</v>
      </c>
      <c r="P585" s="495">
        <v>0</v>
      </c>
      <c r="Q585" s="495">
        <v>0</v>
      </c>
      <c r="T585" s="495">
        <v>746227.38867999997</v>
      </c>
      <c r="U585" s="495">
        <v>3391156.2121899999</v>
      </c>
      <c r="V585" s="495">
        <v>-113107.31263999999</v>
      </c>
      <c r="W585" s="495">
        <v>-408806.87809999997</v>
      </c>
      <c r="X585" s="495">
        <v>0</v>
      </c>
      <c r="AA585" s="495">
        <v>0</v>
      </c>
      <c r="AB585" s="495">
        <v>0</v>
      </c>
      <c r="AC585" s="495">
        <v>0</v>
      </c>
      <c r="AD585" s="495">
        <v>0</v>
      </c>
      <c r="AE585" s="495">
        <v>0</v>
      </c>
      <c r="AH585" s="495">
        <v>102298.46502500027</v>
      </c>
      <c r="AI585" s="495">
        <v>0</v>
      </c>
      <c r="AJ585" s="495">
        <v>0</v>
      </c>
      <c r="AK585" s="495">
        <v>0</v>
      </c>
      <c r="AL585" s="495">
        <v>0</v>
      </c>
      <c r="AO585" s="495">
        <v>-229179.02894259462</v>
      </c>
      <c r="AP585" s="495">
        <v>-229179.02894259462</v>
      </c>
      <c r="AQ585" s="495">
        <v>-111149.35842259452</v>
      </c>
      <c r="AR585" s="495">
        <v>0</v>
      </c>
      <c r="AS585" s="495">
        <v>0</v>
      </c>
    </row>
    <row r="586" spans="1:45">
      <c r="A586" s="390">
        <v>96404</v>
      </c>
      <c r="B586" s="393">
        <v>96404</v>
      </c>
      <c r="C586" s="499" t="s">
        <v>1293</v>
      </c>
      <c r="D586" s="378">
        <v>1.024451837097034E-4</v>
      </c>
      <c r="F586" s="495">
        <v>82714.442819971999</v>
      </c>
      <c r="G586" s="495">
        <v>143001.78134997201</v>
      </c>
      <c r="H586" s="495">
        <v>20027.402322472015</v>
      </c>
      <c r="I586" s="495">
        <v>-10614.820899999999</v>
      </c>
      <c r="J586" s="495">
        <v>0</v>
      </c>
      <c r="M586" s="495">
        <v>47078.979029999995</v>
      </c>
      <c r="N586" s="495">
        <v>47892.580519999996</v>
      </c>
      <c r="O586" s="495">
        <v>25221.646189999999</v>
      </c>
      <c r="P586" s="495">
        <v>0</v>
      </c>
      <c r="Q586" s="495">
        <v>0</v>
      </c>
      <c r="T586" s="495">
        <v>19376.068519999997</v>
      </c>
      <c r="U586" s="495">
        <v>88052.617910000001</v>
      </c>
      <c r="V586" s="495">
        <v>-2936.8729599999997</v>
      </c>
      <c r="W586" s="495">
        <v>-10614.820899999999</v>
      </c>
      <c r="X586" s="495">
        <v>0</v>
      </c>
      <c r="AA586" s="495">
        <v>0</v>
      </c>
      <c r="AB586" s="495">
        <v>0</v>
      </c>
      <c r="AC586" s="495">
        <v>0</v>
      </c>
      <c r="AD586" s="495">
        <v>0</v>
      </c>
      <c r="AE586" s="495">
        <v>0</v>
      </c>
      <c r="AH586" s="495">
        <v>18516.766177500002</v>
      </c>
      <c r="AI586" s="495">
        <v>9313.9538275000086</v>
      </c>
      <c r="AJ586" s="495">
        <v>0</v>
      </c>
      <c r="AK586" s="495">
        <v>0</v>
      </c>
      <c r="AL586" s="495">
        <v>0</v>
      </c>
      <c r="AO586" s="495">
        <v>-2257.3709075279839</v>
      </c>
      <c r="AP586" s="495">
        <v>-2257.3709075279839</v>
      </c>
      <c r="AQ586" s="495">
        <v>-2257.3709075279839</v>
      </c>
      <c r="AR586" s="495">
        <v>0</v>
      </c>
      <c r="AS586" s="495">
        <v>0</v>
      </c>
    </row>
    <row r="587" spans="1:45">
      <c r="A587" s="390">
        <v>96405</v>
      </c>
      <c r="B587" s="393">
        <v>96405</v>
      </c>
      <c r="C587" s="499" t="s">
        <v>1294</v>
      </c>
      <c r="D587" s="378">
        <v>9.0123348228486226E-5</v>
      </c>
      <c r="F587" s="495">
        <v>33167.118041957234</v>
      </c>
      <c r="G587" s="495">
        <v>99659.659026957248</v>
      </c>
      <c r="H587" s="495">
        <v>5067.7147244572698</v>
      </c>
      <c r="I587" s="495">
        <v>-9338.0992999999999</v>
      </c>
      <c r="J587" s="495">
        <v>0</v>
      </c>
      <c r="M587" s="495">
        <v>41416.44831</v>
      </c>
      <c r="N587" s="495">
        <v>42132.192040000002</v>
      </c>
      <c r="O587" s="495">
        <v>22188.055629999999</v>
      </c>
      <c r="P587" s="495">
        <v>0</v>
      </c>
      <c r="Q587" s="495">
        <v>0</v>
      </c>
      <c r="T587" s="495">
        <v>17045.568040000002</v>
      </c>
      <c r="U587" s="495">
        <v>77461.890070000009</v>
      </c>
      <c r="V587" s="495">
        <v>-2583.6339200000002</v>
      </c>
      <c r="W587" s="495">
        <v>-9338.0992999999999</v>
      </c>
      <c r="X587" s="495">
        <v>0</v>
      </c>
      <c r="AA587" s="495">
        <v>0</v>
      </c>
      <c r="AB587" s="495">
        <v>0</v>
      </c>
      <c r="AC587" s="495">
        <v>0</v>
      </c>
      <c r="AD587" s="495">
        <v>0</v>
      </c>
      <c r="AE587" s="495">
        <v>0</v>
      </c>
      <c r="AH587" s="495">
        <v>8114.3790325000009</v>
      </c>
      <c r="AI587" s="495">
        <v>4552.3009075000045</v>
      </c>
      <c r="AJ587" s="495">
        <v>0</v>
      </c>
      <c r="AK587" s="495">
        <v>0</v>
      </c>
      <c r="AL587" s="495">
        <v>0</v>
      </c>
      <c r="AO587" s="495">
        <v>-33409.277340542772</v>
      </c>
      <c r="AP587" s="495">
        <v>-24486.72399054277</v>
      </c>
      <c r="AQ587" s="495">
        <v>-14536.706985542729</v>
      </c>
      <c r="AR587" s="495">
        <v>0</v>
      </c>
      <c r="AS587" s="495">
        <v>0</v>
      </c>
    </row>
    <row r="588" spans="1:45">
      <c r="A588" s="390">
        <v>96411</v>
      </c>
      <c r="B588" s="393">
        <v>96411</v>
      </c>
      <c r="C588" s="499" t="s">
        <v>1295</v>
      </c>
      <c r="D588" s="378">
        <v>8.0811983948098125E-5</v>
      </c>
      <c r="F588" s="495">
        <v>65169.609842662001</v>
      </c>
      <c r="G588" s="495">
        <v>126201.514792662</v>
      </c>
      <c r="H588" s="495">
        <v>22584.699065162</v>
      </c>
      <c r="I588" s="495">
        <v>-8373.3040000000001</v>
      </c>
      <c r="J588" s="495">
        <v>0</v>
      </c>
      <c r="M588" s="495">
        <v>37137.376799999998</v>
      </c>
      <c r="N588" s="495">
        <v>37779.171199999997</v>
      </c>
      <c r="O588" s="495">
        <v>19895.626400000001</v>
      </c>
      <c r="P588" s="495">
        <v>0</v>
      </c>
      <c r="Q588" s="495">
        <v>0</v>
      </c>
      <c r="T588" s="495">
        <v>15284.4512</v>
      </c>
      <c r="U588" s="495">
        <v>69458.669599999994</v>
      </c>
      <c r="V588" s="495">
        <v>-2316.6976</v>
      </c>
      <c r="W588" s="495">
        <v>-8373.3040000000001</v>
      </c>
      <c r="X588" s="495">
        <v>0</v>
      </c>
      <c r="AA588" s="495">
        <v>0</v>
      </c>
      <c r="AB588" s="495">
        <v>0</v>
      </c>
      <c r="AC588" s="495">
        <v>0</v>
      </c>
      <c r="AD588" s="495">
        <v>0</v>
      </c>
      <c r="AE588" s="495">
        <v>0</v>
      </c>
      <c r="AH588" s="495">
        <v>20371.677310162009</v>
      </c>
      <c r="AI588" s="495">
        <v>19313.13106016201</v>
      </c>
      <c r="AJ588" s="495">
        <v>5005.7702651619984</v>
      </c>
      <c r="AK588" s="495">
        <v>0</v>
      </c>
      <c r="AL588" s="495">
        <v>0</v>
      </c>
      <c r="AO588" s="495">
        <v>-7623.8954675000023</v>
      </c>
      <c r="AP588" s="495">
        <v>-349.45706749999954</v>
      </c>
      <c r="AQ588" s="495">
        <v>0</v>
      </c>
      <c r="AR588" s="495">
        <v>0</v>
      </c>
      <c r="AS588" s="495">
        <v>0</v>
      </c>
    </row>
    <row r="589" spans="1:45">
      <c r="A589" s="390">
        <v>96421</v>
      </c>
      <c r="B589" s="393">
        <v>96421</v>
      </c>
      <c r="C589" s="499" t="s">
        <v>1296</v>
      </c>
      <c r="D589" s="378">
        <v>4.1503140489300948E-4</v>
      </c>
      <c r="F589" s="495">
        <v>187605.65288870153</v>
      </c>
      <c r="G589" s="495">
        <v>491470.97600870155</v>
      </c>
      <c r="H589" s="495">
        <v>-16539.992106298552</v>
      </c>
      <c r="I589" s="495">
        <v>-43003.341100000005</v>
      </c>
      <c r="J589" s="495">
        <v>0</v>
      </c>
      <c r="M589" s="495">
        <v>190728.92637</v>
      </c>
      <c r="N589" s="495">
        <v>194025.03308000002</v>
      </c>
      <c r="O589" s="495">
        <v>102179.30801000001</v>
      </c>
      <c r="P589" s="495">
        <v>0</v>
      </c>
      <c r="Q589" s="495">
        <v>0</v>
      </c>
      <c r="T589" s="495">
        <v>78497.385080000007</v>
      </c>
      <c r="U589" s="495">
        <v>356723.56589000003</v>
      </c>
      <c r="V589" s="495">
        <v>-11898.019840000001</v>
      </c>
      <c r="W589" s="495">
        <v>-43003.341100000005</v>
      </c>
      <c r="X589" s="495">
        <v>0</v>
      </c>
      <c r="AA589" s="495">
        <v>0</v>
      </c>
      <c r="AB589" s="495">
        <v>0</v>
      </c>
      <c r="AC589" s="495">
        <v>0</v>
      </c>
      <c r="AD589" s="495">
        <v>0</v>
      </c>
      <c r="AE589" s="495">
        <v>0</v>
      </c>
      <c r="AH589" s="495">
        <v>74314.423470000009</v>
      </c>
      <c r="AI589" s="495">
        <v>74314.423470000009</v>
      </c>
      <c r="AJ589" s="495">
        <v>0</v>
      </c>
      <c r="AK589" s="495">
        <v>0</v>
      </c>
      <c r="AL589" s="495">
        <v>0</v>
      </c>
      <c r="AO589" s="495">
        <v>-155935.08203129855</v>
      </c>
      <c r="AP589" s="495">
        <v>-133592.04643129854</v>
      </c>
      <c r="AQ589" s="495">
        <v>-106821.28027629857</v>
      </c>
      <c r="AR589" s="495">
        <v>0</v>
      </c>
      <c r="AS589" s="495">
        <v>0</v>
      </c>
    </row>
    <row r="590" spans="1:45">
      <c r="A590" s="390">
        <v>96431</v>
      </c>
      <c r="B590" s="393">
        <v>96431</v>
      </c>
      <c r="C590" s="499" t="s">
        <v>1297</v>
      </c>
      <c r="D590" s="378">
        <v>3.7385506639272814E-5</v>
      </c>
      <c r="F590" s="495">
        <v>25182.80027874943</v>
      </c>
      <c r="G590" s="495">
        <v>46859.36620874943</v>
      </c>
      <c r="H590" s="495">
        <v>635.36580874943684</v>
      </c>
      <c r="I590" s="495">
        <v>-3873.6893999999998</v>
      </c>
      <c r="J590" s="495">
        <v>0</v>
      </c>
      <c r="M590" s="495">
        <v>17180.632979999998</v>
      </c>
      <c r="N590" s="495">
        <v>17477.54232</v>
      </c>
      <c r="O590" s="495">
        <v>9204.1895399999994</v>
      </c>
      <c r="P590" s="495">
        <v>0</v>
      </c>
      <c r="Q590" s="495">
        <v>0</v>
      </c>
      <c r="T590" s="495">
        <v>7070.9503199999999</v>
      </c>
      <c r="U590" s="495">
        <v>32133.231059999998</v>
      </c>
      <c r="V590" s="495">
        <v>-1071.75936</v>
      </c>
      <c r="W590" s="495">
        <v>-3873.6893999999998</v>
      </c>
      <c r="X590" s="495">
        <v>0</v>
      </c>
      <c r="AA590" s="495">
        <v>0</v>
      </c>
      <c r="AB590" s="495">
        <v>0</v>
      </c>
      <c r="AC590" s="495">
        <v>0</v>
      </c>
      <c r="AD590" s="495">
        <v>0</v>
      </c>
      <c r="AE590" s="495">
        <v>0</v>
      </c>
      <c r="AH590" s="495">
        <v>8428.2813499999938</v>
      </c>
      <c r="AI590" s="495">
        <v>4745.6571999999915</v>
      </c>
      <c r="AJ590" s="495">
        <v>0</v>
      </c>
      <c r="AK590" s="495">
        <v>0</v>
      </c>
      <c r="AL590" s="495">
        <v>0</v>
      </c>
      <c r="AO590" s="495">
        <v>-7497.0643712505625</v>
      </c>
      <c r="AP590" s="495">
        <v>-7497.0643712505625</v>
      </c>
      <c r="AQ590" s="495">
        <v>-7497.0643712505625</v>
      </c>
      <c r="AR590" s="495">
        <v>0</v>
      </c>
      <c r="AS590" s="495">
        <v>0</v>
      </c>
    </row>
    <row r="591" spans="1:45">
      <c r="A591" s="390">
        <v>96441</v>
      </c>
      <c r="B591" s="393">
        <v>96441</v>
      </c>
      <c r="C591" s="499" t="s">
        <v>1298</v>
      </c>
      <c r="D591" s="378">
        <v>2.2173221207052637E-5</v>
      </c>
      <c r="F591" s="495">
        <v>9673.8949508594178</v>
      </c>
      <c r="G591" s="495">
        <v>23770.438770859415</v>
      </c>
      <c r="H591" s="495">
        <v>6774.8748333594194</v>
      </c>
      <c r="I591" s="495">
        <v>-2297.4771000000001</v>
      </c>
      <c r="J591" s="495">
        <v>0</v>
      </c>
      <c r="M591" s="495">
        <v>10189.797570000001</v>
      </c>
      <c r="N591" s="495">
        <v>10365.89388</v>
      </c>
      <c r="O591" s="495">
        <v>5458.9856099999997</v>
      </c>
      <c r="P591" s="495">
        <v>0</v>
      </c>
      <c r="Q591" s="495">
        <v>0</v>
      </c>
      <c r="T591" s="495">
        <v>4193.7658799999999</v>
      </c>
      <c r="U591" s="495">
        <v>19058.152289999998</v>
      </c>
      <c r="V591" s="495">
        <v>-635.65823999999998</v>
      </c>
      <c r="W591" s="495">
        <v>-2297.4771000000001</v>
      </c>
      <c r="X591" s="495">
        <v>0</v>
      </c>
      <c r="AA591" s="495">
        <v>0</v>
      </c>
      <c r="AB591" s="495">
        <v>0</v>
      </c>
      <c r="AC591" s="495">
        <v>0</v>
      </c>
      <c r="AD591" s="495">
        <v>0</v>
      </c>
      <c r="AE591" s="495">
        <v>0</v>
      </c>
      <c r="AH591" s="495">
        <v>3114.084525859415</v>
      </c>
      <c r="AI591" s="495">
        <v>2170.1456258594185</v>
      </c>
      <c r="AJ591" s="495">
        <v>1951.547463359419</v>
      </c>
      <c r="AK591" s="495">
        <v>0</v>
      </c>
      <c r="AL591" s="495">
        <v>0</v>
      </c>
      <c r="AO591" s="495">
        <v>-7823.753025</v>
      </c>
      <c r="AP591" s="495">
        <v>-7823.753025</v>
      </c>
      <c r="AQ591" s="495">
        <v>0</v>
      </c>
      <c r="AR591" s="495">
        <v>0</v>
      </c>
      <c r="AS591" s="495">
        <v>0</v>
      </c>
    </row>
    <row r="592" spans="1:45">
      <c r="A592" s="390">
        <v>96451</v>
      </c>
      <c r="B592" s="393">
        <v>96451</v>
      </c>
      <c r="C592" s="499" t="s">
        <v>1299</v>
      </c>
      <c r="D592" s="378">
        <v>1.3411966684829047E-5</v>
      </c>
      <c r="F592" s="495">
        <v>8536.1375202255222</v>
      </c>
      <c r="G592" s="495">
        <v>17606.67563022552</v>
      </c>
      <c r="H592" s="495">
        <v>-1590.4748647744809</v>
      </c>
      <c r="I592" s="495">
        <v>-1389.6783</v>
      </c>
      <c r="J592" s="495">
        <v>0</v>
      </c>
      <c r="M592" s="495">
        <v>6163.5176099999999</v>
      </c>
      <c r="N592" s="495">
        <v>6270.0332399999998</v>
      </c>
      <c r="O592" s="495">
        <v>3301.9845300000002</v>
      </c>
      <c r="P592" s="495">
        <v>0</v>
      </c>
      <c r="Q592" s="495">
        <v>0</v>
      </c>
      <c r="T592" s="495">
        <v>2536.6892400000002</v>
      </c>
      <c r="U592" s="495">
        <v>11527.732170000001</v>
      </c>
      <c r="V592" s="495">
        <v>-384.49152000000004</v>
      </c>
      <c r="W592" s="495">
        <v>-1389.6783</v>
      </c>
      <c r="X592" s="495">
        <v>0</v>
      </c>
      <c r="AA592" s="495">
        <v>0</v>
      </c>
      <c r="AB592" s="495">
        <v>0</v>
      </c>
      <c r="AC592" s="495">
        <v>0</v>
      </c>
      <c r="AD592" s="495">
        <v>0</v>
      </c>
      <c r="AE592" s="495">
        <v>0</v>
      </c>
      <c r="AH592" s="495">
        <v>5129.3008100000025</v>
      </c>
      <c r="AI592" s="495">
        <v>4477.133310000002</v>
      </c>
      <c r="AJ592" s="495">
        <v>0</v>
      </c>
      <c r="AK592" s="495">
        <v>0</v>
      </c>
      <c r="AL592" s="495">
        <v>0</v>
      </c>
      <c r="AO592" s="495">
        <v>-5293.3701397744808</v>
      </c>
      <c r="AP592" s="495">
        <v>-4668.2230897744812</v>
      </c>
      <c r="AQ592" s="495">
        <v>-4507.9678747744811</v>
      </c>
      <c r="AR592" s="495">
        <v>0</v>
      </c>
      <c r="AS592" s="495">
        <v>0</v>
      </c>
    </row>
    <row r="593" spans="1:45">
      <c r="A593" s="390">
        <v>96461</v>
      </c>
      <c r="B593" s="500">
        <v>96461</v>
      </c>
      <c r="C593" s="501" t="s">
        <v>1300</v>
      </c>
      <c r="D593" s="378">
        <v>1.1113641347306679E-4</v>
      </c>
      <c r="F593" s="495">
        <v>31916.79218482181</v>
      </c>
      <c r="G593" s="495">
        <v>115802.95347982179</v>
      </c>
      <c r="H593" s="495">
        <v>10442.9776248218</v>
      </c>
      <c r="I593" s="495">
        <v>-11515.365600000001</v>
      </c>
      <c r="J593" s="495">
        <v>0</v>
      </c>
      <c r="M593" s="495">
        <v>51073.085520000001</v>
      </c>
      <c r="N593" s="495">
        <v>51955.71168</v>
      </c>
      <c r="O593" s="495">
        <v>27361.410960000001</v>
      </c>
      <c r="P593" s="495">
        <v>0</v>
      </c>
      <c r="Q593" s="495">
        <v>0</v>
      </c>
      <c r="T593" s="495">
        <v>21019.903680000003</v>
      </c>
      <c r="U593" s="495">
        <v>95522.863440000001</v>
      </c>
      <c r="V593" s="495">
        <v>-3186.0326400000004</v>
      </c>
      <c r="W593" s="495">
        <v>-11515.365600000001</v>
      </c>
      <c r="X593" s="495">
        <v>0</v>
      </c>
      <c r="AA593" s="495">
        <v>0</v>
      </c>
      <c r="AB593" s="495">
        <v>0</v>
      </c>
      <c r="AC593" s="495">
        <v>0</v>
      </c>
      <c r="AD593" s="495">
        <v>0</v>
      </c>
      <c r="AE593" s="495">
        <v>0</v>
      </c>
      <c r="AH593" s="495">
        <v>0</v>
      </c>
      <c r="AI593" s="495">
        <v>0</v>
      </c>
      <c r="AJ593" s="495">
        <v>0</v>
      </c>
      <c r="AK593" s="495">
        <v>0</v>
      </c>
      <c r="AL593" s="495">
        <v>0</v>
      </c>
      <c r="AO593" s="495">
        <v>-40176.197015178201</v>
      </c>
      <c r="AP593" s="495">
        <v>-31675.621640178197</v>
      </c>
      <c r="AQ593" s="495">
        <v>-13732.400695178199</v>
      </c>
      <c r="AR593" s="495">
        <v>0</v>
      </c>
      <c r="AS593" s="495">
        <v>0</v>
      </c>
    </row>
    <row r="594" spans="1:45">
      <c r="A594" s="390">
        <v>96501</v>
      </c>
      <c r="B594" s="393">
        <v>96501</v>
      </c>
      <c r="C594" s="499" t="s">
        <v>1301</v>
      </c>
      <c r="D594" s="378">
        <v>1.5476390931423369E-2</v>
      </c>
      <c r="F594" s="495">
        <v>10973176.0950111</v>
      </c>
      <c r="G594" s="495">
        <v>21305489.630061101</v>
      </c>
      <c r="H594" s="495">
        <v>3712869.4305186002</v>
      </c>
      <c r="I594" s="495">
        <v>-1603580.983</v>
      </c>
      <c r="J594" s="495">
        <v>0</v>
      </c>
      <c r="M594" s="495">
        <v>7112221.3160999995</v>
      </c>
      <c r="N594" s="495">
        <v>7235132.0923999995</v>
      </c>
      <c r="O594" s="495">
        <v>3810234.0652999999</v>
      </c>
      <c r="P594" s="495">
        <v>0</v>
      </c>
      <c r="Q594" s="495">
        <v>0</v>
      </c>
      <c r="T594" s="495">
        <v>2927142.6524</v>
      </c>
      <c r="U594" s="495">
        <v>13302108.901699999</v>
      </c>
      <c r="V594" s="495">
        <v>-443673.39519999997</v>
      </c>
      <c r="W594" s="495">
        <v>-1603580.983</v>
      </c>
      <c r="X594" s="495">
        <v>0</v>
      </c>
      <c r="AA594" s="495">
        <v>0</v>
      </c>
      <c r="AB594" s="495">
        <v>0</v>
      </c>
      <c r="AC594" s="495">
        <v>0</v>
      </c>
      <c r="AD594" s="495">
        <v>0</v>
      </c>
      <c r="AE594" s="495">
        <v>0</v>
      </c>
      <c r="AH594" s="495">
        <v>944289.95763360197</v>
      </c>
      <c r="AI594" s="495">
        <v>778726.46708360268</v>
      </c>
      <c r="AJ594" s="495">
        <v>346308.76041860052</v>
      </c>
      <c r="AK594" s="495">
        <v>0</v>
      </c>
      <c r="AL594" s="495">
        <v>0</v>
      </c>
      <c r="AO594" s="495">
        <v>-10477.831122499891</v>
      </c>
      <c r="AP594" s="495">
        <v>-10477.831122499891</v>
      </c>
      <c r="AQ594" s="495">
        <v>0</v>
      </c>
      <c r="AR594" s="495">
        <v>0</v>
      </c>
      <c r="AS594" s="495">
        <v>0</v>
      </c>
    </row>
    <row r="595" spans="1:45">
      <c r="A595" s="390">
        <v>96502</v>
      </c>
      <c r="B595" s="393">
        <v>96502</v>
      </c>
      <c r="C595" s="499" t="s">
        <v>1302</v>
      </c>
      <c r="D595" s="378">
        <v>3.586831342113766E-4</v>
      </c>
      <c r="F595" s="495">
        <v>247741.5139025524</v>
      </c>
      <c r="G595" s="495">
        <v>488963.1314075524</v>
      </c>
      <c r="H595" s="495">
        <v>74963.997752552401</v>
      </c>
      <c r="I595" s="495">
        <v>-37164.8269</v>
      </c>
      <c r="J595" s="495">
        <v>0</v>
      </c>
      <c r="M595" s="495">
        <v>164833.87922999999</v>
      </c>
      <c r="N595" s="495">
        <v>167682.47731999998</v>
      </c>
      <c r="O595" s="495">
        <v>88306.540789999999</v>
      </c>
      <c r="P595" s="495">
        <v>0</v>
      </c>
      <c r="Q595" s="495">
        <v>0</v>
      </c>
      <c r="T595" s="495">
        <v>67839.885320000001</v>
      </c>
      <c r="U595" s="495">
        <v>308291.61731</v>
      </c>
      <c r="V595" s="495">
        <v>-10282.639359999999</v>
      </c>
      <c r="W595" s="495">
        <v>-37164.8269</v>
      </c>
      <c r="X595" s="495">
        <v>0</v>
      </c>
      <c r="AA595" s="495">
        <v>0</v>
      </c>
      <c r="AB595" s="495">
        <v>0</v>
      </c>
      <c r="AC595" s="495">
        <v>0</v>
      </c>
      <c r="AD595" s="495">
        <v>0</v>
      </c>
      <c r="AE595" s="495">
        <v>0</v>
      </c>
      <c r="AH595" s="495">
        <v>21898.760765000014</v>
      </c>
      <c r="AI595" s="495">
        <v>18058.270140000008</v>
      </c>
      <c r="AJ595" s="495">
        <v>0</v>
      </c>
      <c r="AK595" s="495">
        <v>0</v>
      </c>
      <c r="AL595" s="495">
        <v>0</v>
      </c>
      <c r="AO595" s="495">
        <v>-6831.011412447604</v>
      </c>
      <c r="AP595" s="495">
        <v>-5069.2333624475959</v>
      </c>
      <c r="AQ595" s="495">
        <v>-3059.9036774475921</v>
      </c>
      <c r="AR595" s="495">
        <v>0</v>
      </c>
      <c r="AS595" s="495">
        <v>0</v>
      </c>
    </row>
    <row r="596" spans="1:45">
      <c r="A596" s="390">
        <v>96503</v>
      </c>
      <c r="B596" s="393">
        <v>96503</v>
      </c>
      <c r="C596" s="499" t="s">
        <v>1303</v>
      </c>
      <c r="D596" s="378">
        <v>3.4271066474441129E-4</v>
      </c>
      <c r="F596" s="495">
        <v>446267.76737114857</v>
      </c>
      <c r="G596" s="495">
        <v>619266.19695614849</v>
      </c>
      <c r="H596" s="495">
        <v>130561.54256864853</v>
      </c>
      <c r="I596" s="495">
        <v>-35509.855799999998</v>
      </c>
      <c r="J596" s="495">
        <v>0</v>
      </c>
      <c r="M596" s="495">
        <v>157493.73186</v>
      </c>
      <c r="N596" s="495">
        <v>160215.48024</v>
      </c>
      <c r="O596" s="495">
        <v>84374.199779999995</v>
      </c>
      <c r="P596" s="495">
        <v>0</v>
      </c>
      <c r="Q596" s="495">
        <v>0</v>
      </c>
      <c r="T596" s="495">
        <v>64818.936240000003</v>
      </c>
      <c r="U596" s="495">
        <v>294563.21441999997</v>
      </c>
      <c r="V596" s="495">
        <v>-9824.7475200000008</v>
      </c>
      <c r="W596" s="495">
        <v>-35509.855799999998</v>
      </c>
      <c r="X596" s="495">
        <v>0</v>
      </c>
      <c r="AA596" s="495">
        <v>0</v>
      </c>
      <c r="AB596" s="495">
        <v>0</v>
      </c>
      <c r="AC596" s="495">
        <v>0</v>
      </c>
      <c r="AD596" s="495">
        <v>0</v>
      </c>
      <c r="AE596" s="495">
        <v>0</v>
      </c>
      <c r="AH596" s="495">
        <v>227251.32917114854</v>
      </c>
      <c r="AI596" s="495">
        <v>164487.50229614851</v>
      </c>
      <c r="AJ596" s="495">
        <v>56012.090308648534</v>
      </c>
      <c r="AK596" s="495">
        <v>0</v>
      </c>
      <c r="AL596" s="495">
        <v>0</v>
      </c>
      <c r="AO596" s="495">
        <v>-3296.2299000000057</v>
      </c>
      <c r="AP596" s="495">
        <v>0</v>
      </c>
      <c r="AQ596" s="495">
        <v>0</v>
      </c>
      <c r="AR596" s="495">
        <v>0</v>
      </c>
      <c r="AS596" s="495">
        <v>0</v>
      </c>
    </row>
    <row r="597" spans="1:45">
      <c r="A597" s="390">
        <v>96504</v>
      </c>
      <c r="B597" s="393">
        <v>96504</v>
      </c>
      <c r="C597" s="499" t="s">
        <v>1304</v>
      </c>
      <c r="D597" s="378">
        <v>3.1903725209330266E-4</v>
      </c>
      <c r="F597" s="495">
        <v>186203.9669784854</v>
      </c>
      <c r="G597" s="495">
        <v>413314.84414348548</v>
      </c>
      <c r="H597" s="495">
        <v>73230.564648485437</v>
      </c>
      <c r="I597" s="495">
        <v>-33056.933700000001</v>
      </c>
      <c r="J597" s="495">
        <v>0</v>
      </c>
      <c r="M597" s="495">
        <v>146614.50279</v>
      </c>
      <c r="N597" s="495">
        <v>149148.24036</v>
      </c>
      <c r="O597" s="495">
        <v>78545.864669999995</v>
      </c>
      <c r="P597" s="495">
        <v>0</v>
      </c>
      <c r="Q597" s="495">
        <v>0</v>
      </c>
      <c r="T597" s="495">
        <v>60341.424360000005</v>
      </c>
      <c r="U597" s="495">
        <v>274215.60662999999</v>
      </c>
      <c r="V597" s="495">
        <v>-9146.0812800000003</v>
      </c>
      <c r="W597" s="495">
        <v>-33056.933700000001</v>
      </c>
      <c r="X597" s="495">
        <v>0</v>
      </c>
      <c r="AA597" s="495">
        <v>0</v>
      </c>
      <c r="AB597" s="495">
        <v>0</v>
      </c>
      <c r="AC597" s="495">
        <v>0</v>
      </c>
      <c r="AD597" s="495">
        <v>0</v>
      </c>
      <c r="AE597" s="495">
        <v>0</v>
      </c>
      <c r="AH597" s="495">
        <v>13211.684168485441</v>
      </c>
      <c r="AI597" s="495">
        <v>11752.689793485431</v>
      </c>
      <c r="AJ597" s="495">
        <v>3830.7812584854355</v>
      </c>
      <c r="AK597" s="495">
        <v>0</v>
      </c>
      <c r="AL597" s="495">
        <v>0</v>
      </c>
      <c r="AO597" s="495">
        <v>-33963.644340000013</v>
      </c>
      <c r="AP597" s="495">
        <v>-21801.692639999979</v>
      </c>
      <c r="AQ597" s="495">
        <v>0</v>
      </c>
      <c r="AR597" s="495">
        <v>0</v>
      </c>
      <c r="AS597" s="495">
        <v>0</v>
      </c>
    </row>
    <row r="598" spans="1:45">
      <c r="A598" s="390">
        <v>96507</v>
      </c>
      <c r="B598" s="393">
        <v>96507</v>
      </c>
      <c r="C598" s="499" t="s">
        <v>1305</v>
      </c>
      <c r="D598" s="378">
        <v>2.3058813353899724E-3</v>
      </c>
      <c r="F598" s="495">
        <v>1394612.0247578106</v>
      </c>
      <c r="G598" s="495">
        <v>2960825.3854728108</v>
      </c>
      <c r="H598" s="495">
        <v>404361.80291781097</v>
      </c>
      <c r="I598" s="495">
        <v>-238923.1102</v>
      </c>
      <c r="J598" s="495">
        <v>0</v>
      </c>
      <c r="M598" s="495">
        <v>1059674.6003400001</v>
      </c>
      <c r="N598" s="495">
        <v>1077987.50456</v>
      </c>
      <c r="O598" s="495">
        <v>567700.03081999999</v>
      </c>
      <c r="P598" s="495">
        <v>0</v>
      </c>
      <c r="Q598" s="495">
        <v>0</v>
      </c>
      <c r="T598" s="495">
        <v>436125.16856000002</v>
      </c>
      <c r="U598" s="495">
        <v>1981927.4889799999</v>
      </c>
      <c r="V598" s="495">
        <v>-66104.442880000002</v>
      </c>
      <c r="W598" s="495">
        <v>-238923.1102</v>
      </c>
      <c r="X598" s="495">
        <v>0</v>
      </c>
      <c r="AA598" s="495">
        <v>0</v>
      </c>
      <c r="AB598" s="495">
        <v>0</v>
      </c>
      <c r="AC598" s="495">
        <v>0</v>
      </c>
      <c r="AD598" s="495">
        <v>0</v>
      </c>
      <c r="AE598" s="495">
        <v>0</v>
      </c>
      <c r="AH598" s="495">
        <v>37179.456414999862</v>
      </c>
      <c r="AI598" s="495">
        <v>25694.852039999925</v>
      </c>
      <c r="AJ598" s="495">
        <v>0</v>
      </c>
      <c r="AK598" s="495">
        <v>0</v>
      </c>
      <c r="AL598" s="495">
        <v>0</v>
      </c>
      <c r="AO598" s="495">
        <v>-138367.20055718932</v>
      </c>
      <c r="AP598" s="495">
        <v>-124784.46010718917</v>
      </c>
      <c r="AQ598" s="495">
        <v>-97233.785022189055</v>
      </c>
      <c r="AR598" s="495">
        <v>0</v>
      </c>
      <c r="AS598" s="495">
        <v>0</v>
      </c>
    </row>
    <row r="599" spans="1:45">
      <c r="A599" s="390">
        <v>96508</v>
      </c>
      <c r="B599" s="393">
        <v>96508</v>
      </c>
      <c r="C599" s="499" t="s">
        <v>1306</v>
      </c>
      <c r="D599" s="378">
        <v>1.3992044666065084E-5</v>
      </c>
      <c r="F599" s="495">
        <v>17912.745724222972</v>
      </c>
      <c r="G599" s="495">
        <v>23114.368314222971</v>
      </c>
      <c r="H599" s="495">
        <v>5129.015071722969</v>
      </c>
      <c r="I599" s="495">
        <v>-1449.7837</v>
      </c>
      <c r="J599" s="495">
        <v>0</v>
      </c>
      <c r="M599" s="495">
        <v>6430.0977899999998</v>
      </c>
      <c r="N599" s="495">
        <v>6541.2203600000003</v>
      </c>
      <c r="O599" s="495">
        <v>3444.7996699999999</v>
      </c>
      <c r="P599" s="495">
        <v>0</v>
      </c>
      <c r="Q599" s="495">
        <v>0</v>
      </c>
      <c r="T599" s="495">
        <v>2646.40436</v>
      </c>
      <c r="U599" s="495">
        <v>12026.32163</v>
      </c>
      <c r="V599" s="495">
        <v>-401.12128000000001</v>
      </c>
      <c r="W599" s="495">
        <v>-1449.7837</v>
      </c>
      <c r="X599" s="495">
        <v>0</v>
      </c>
      <c r="AA599" s="495">
        <v>0</v>
      </c>
      <c r="AB599" s="495">
        <v>0</v>
      </c>
      <c r="AC599" s="495">
        <v>0</v>
      </c>
      <c r="AD599" s="495">
        <v>0</v>
      </c>
      <c r="AE599" s="495">
        <v>0</v>
      </c>
      <c r="AH599" s="495">
        <v>8836.24357422297</v>
      </c>
      <c r="AI599" s="495">
        <v>4546.8263242229705</v>
      </c>
      <c r="AJ599" s="495">
        <v>2085.3366817229689</v>
      </c>
      <c r="AK599" s="495">
        <v>0</v>
      </c>
      <c r="AL599" s="495">
        <v>0</v>
      </c>
      <c r="AO599" s="495">
        <v>0</v>
      </c>
      <c r="AP599" s="495">
        <v>0</v>
      </c>
      <c r="AQ599" s="495">
        <v>0</v>
      </c>
      <c r="AR599" s="495">
        <v>0</v>
      </c>
      <c r="AS599" s="495">
        <v>0</v>
      </c>
    </row>
    <row r="600" spans="1:45">
      <c r="A600" s="390">
        <v>96511</v>
      </c>
      <c r="B600" s="393">
        <v>96511</v>
      </c>
      <c r="C600" s="499" t="s">
        <v>1307</v>
      </c>
      <c r="D600" s="378">
        <v>5.5684237168534601E-4</v>
      </c>
      <c r="F600" s="495">
        <v>350557.21736960363</v>
      </c>
      <c r="G600" s="495">
        <v>726752.20102960372</v>
      </c>
      <c r="H600" s="495">
        <v>126060.80549710369</v>
      </c>
      <c r="I600" s="495">
        <v>-57697.038800000002</v>
      </c>
      <c r="J600" s="495">
        <v>0</v>
      </c>
      <c r="M600" s="495">
        <v>255898.58796</v>
      </c>
      <c r="N600" s="495">
        <v>260320.93264000001</v>
      </c>
      <c r="O600" s="495">
        <v>137092.68508</v>
      </c>
      <c r="P600" s="495">
        <v>0</v>
      </c>
      <c r="Q600" s="495">
        <v>0</v>
      </c>
      <c r="T600" s="495">
        <v>105318.94864</v>
      </c>
      <c r="U600" s="495">
        <v>478611.49612000003</v>
      </c>
      <c r="V600" s="495">
        <v>-15963.42272</v>
      </c>
      <c r="W600" s="495">
        <v>-57697.038800000002</v>
      </c>
      <c r="X600" s="495">
        <v>0</v>
      </c>
      <c r="AA600" s="495">
        <v>0</v>
      </c>
      <c r="AB600" s="495">
        <v>0</v>
      </c>
      <c r="AC600" s="495">
        <v>0</v>
      </c>
      <c r="AD600" s="495">
        <v>0</v>
      </c>
      <c r="AE600" s="495">
        <v>0</v>
      </c>
      <c r="AH600" s="495">
        <v>6611.8321846036197</v>
      </c>
      <c r="AI600" s="495">
        <v>5091.9236846036874</v>
      </c>
      <c r="AJ600" s="495">
        <v>4931.5431371037048</v>
      </c>
      <c r="AK600" s="495">
        <v>0</v>
      </c>
      <c r="AL600" s="495">
        <v>0</v>
      </c>
      <c r="AO600" s="495">
        <v>-17272.151414999949</v>
      </c>
      <c r="AP600" s="495">
        <v>-17272.151414999949</v>
      </c>
      <c r="AQ600" s="495">
        <v>0</v>
      </c>
      <c r="AR600" s="495">
        <v>0</v>
      </c>
      <c r="AS600" s="495">
        <v>0</v>
      </c>
    </row>
    <row r="601" spans="1:45">
      <c r="A601" s="390">
        <v>96512</v>
      </c>
      <c r="B601" s="393">
        <v>96512</v>
      </c>
      <c r="C601" s="499" t="s">
        <v>1308</v>
      </c>
      <c r="D601" s="378">
        <v>1.4904206164743257E-4</v>
      </c>
      <c r="F601" s="495">
        <v>119487.48720939652</v>
      </c>
      <c r="G601" s="495">
        <v>214080.40542939655</v>
      </c>
      <c r="H601" s="495">
        <v>41050.270859396522</v>
      </c>
      <c r="I601" s="495">
        <v>-15442.9426</v>
      </c>
      <c r="J601" s="495">
        <v>0</v>
      </c>
      <c r="M601" s="495">
        <v>68492.721420000002</v>
      </c>
      <c r="N601" s="495">
        <v>69676.38728000001</v>
      </c>
      <c r="O601" s="495">
        <v>36693.641660000001</v>
      </c>
      <c r="P601" s="495">
        <v>0</v>
      </c>
      <c r="Q601" s="495">
        <v>0</v>
      </c>
      <c r="T601" s="495">
        <v>28189.219280000001</v>
      </c>
      <c r="U601" s="495">
        <v>128103.10574</v>
      </c>
      <c r="V601" s="495">
        <v>-4272.7014399999998</v>
      </c>
      <c r="W601" s="495">
        <v>-15442.9426</v>
      </c>
      <c r="X601" s="495">
        <v>0</v>
      </c>
      <c r="AA601" s="495">
        <v>0</v>
      </c>
      <c r="AB601" s="495">
        <v>0</v>
      </c>
      <c r="AC601" s="495">
        <v>0</v>
      </c>
      <c r="AD601" s="495">
        <v>0</v>
      </c>
      <c r="AE601" s="495">
        <v>0</v>
      </c>
      <c r="AH601" s="495">
        <v>22805.54650939651</v>
      </c>
      <c r="AI601" s="495">
        <v>16300.912409396537</v>
      </c>
      <c r="AJ601" s="495">
        <v>8629.3306393965231</v>
      </c>
      <c r="AK601" s="495">
        <v>0</v>
      </c>
      <c r="AL601" s="495">
        <v>0</v>
      </c>
      <c r="AO601" s="495">
        <v>0</v>
      </c>
      <c r="AP601" s="495">
        <v>0</v>
      </c>
      <c r="AQ601" s="495">
        <v>0</v>
      </c>
      <c r="AR601" s="495">
        <v>0</v>
      </c>
      <c r="AS601" s="495">
        <v>0</v>
      </c>
    </row>
    <row r="602" spans="1:45">
      <c r="A602" s="390">
        <v>96521</v>
      </c>
      <c r="B602" s="393">
        <v>96521</v>
      </c>
      <c r="C602" s="499" t="s">
        <v>1309</v>
      </c>
      <c r="D602" s="378">
        <v>9.1408525089880968E-4</v>
      </c>
      <c r="F602" s="495">
        <v>496650.32067602442</v>
      </c>
      <c r="G602" s="495">
        <v>1117044.0600260245</v>
      </c>
      <c r="H602" s="495">
        <v>92395.141993524623</v>
      </c>
      <c r="I602" s="495">
        <v>-94712.638500000001</v>
      </c>
      <c r="J602" s="495">
        <v>0</v>
      </c>
      <c r="M602" s="495">
        <v>420070.61294999998</v>
      </c>
      <c r="N602" s="495">
        <v>427330.11780000001</v>
      </c>
      <c r="O602" s="495">
        <v>225044.65034999998</v>
      </c>
      <c r="P602" s="495">
        <v>0</v>
      </c>
      <c r="Q602" s="495">
        <v>0</v>
      </c>
      <c r="T602" s="495">
        <v>172886.43779999999</v>
      </c>
      <c r="U602" s="495">
        <v>785665.23615000001</v>
      </c>
      <c r="V602" s="495">
        <v>-26204.774399999998</v>
      </c>
      <c r="W602" s="495">
        <v>-94712.638500000001</v>
      </c>
      <c r="X602" s="495">
        <v>0</v>
      </c>
      <c r="AA602" s="495">
        <v>0</v>
      </c>
      <c r="AB602" s="495">
        <v>0</v>
      </c>
      <c r="AC602" s="495">
        <v>0</v>
      </c>
      <c r="AD602" s="495">
        <v>0</v>
      </c>
      <c r="AE602" s="495">
        <v>0</v>
      </c>
      <c r="AH602" s="495">
        <v>45678.214334999968</v>
      </c>
      <c r="AI602" s="495">
        <v>39028.922985000012</v>
      </c>
      <c r="AJ602" s="495">
        <v>0</v>
      </c>
      <c r="AK602" s="495">
        <v>0</v>
      </c>
      <c r="AL602" s="495">
        <v>0</v>
      </c>
      <c r="AO602" s="495">
        <v>-141984.9444089754</v>
      </c>
      <c r="AP602" s="495">
        <v>-134980.21690897539</v>
      </c>
      <c r="AQ602" s="495">
        <v>-106444.73395647536</v>
      </c>
      <c r="AR602" s="495">
        <v>0</v>
      </c>
      <c r="AS602" s="495">
        <v>0</v>
      </c>
    </row>
    <row r="603" spans="1:45">
      <c r="A603" s="390">
        <v>96531</v>
      </c>
      <c r="B603" s="393">
        <v>96531</v>
      </c>
      <c r="C603" s="499" t="s">
        <v>1310</v>
      </c>
      <c r="D603" s="378">
        <v>7.5124420225205941E-3</v>
      </c>
      <c r="F603" s="495">
        <v>4432279.1399681726</v>
      </c>
      <c r="G603" s="495">
        <v>9448422.8920231722</v>
      </c>
      <c r="H603" s="495">
        <v>1415245.9420506731</v>
      </c>
      <c r="I603" s="495">
        <v>-778399.12789999996</v>
      </c>
      <c r="J603" s="495">
        <v>0</v>
      </c>
      <c r="M603" s="495">
        <v>3452365.00593</v>
      </c>
      <c r="N603" s="495">
        <v>3512027.50012</v>
      </c>
      <c r="O603" s="495">
        <v>1849537.3198899999</v>
      </c>
      <c r="P603" s="495">
        <v>0</v>
      </c>
      <c r="Q603" s="495">
        <v>0</v>
      </c>
      <c r="T603" s="495">
        <v>1420873.2281200001</v>
      </c>
      <c r="U603" s="495">
        <v>6457017.1872100001</v>
      </c>
      <c r="V603" s="495">
        <v>-215364.85376</v>
      </c>
      <c r="W603" s="495">
        <v>-778399.12789999996</v>
      </c>
      <c r="X603" s="495">
        <v>0</v>
      </c>
      <c r="AA603" s="495">
        <v>0</v>
      </c>
      <c r="AB603" s="495">
        <v>0</v>
      </c>
      <c r="AC603" s="495">
        <v>0</v>
      </c>
      <c r="AD603" s="495">
        <v>0</v>
      </c>
      <c r="AE603" s="495">
        <v>0</v>
      </c>
      <c r="AH603" s="495">
        <v>197094.62206749991</v>
      </c>
      <c r="AI603" s="495">
        <v>47798.140217499807</v>
      </c>
      <c r="AJ603" s="495">
        <v>0</v>
      </c>
      <c r="AK603" s="495">
        <v>0</v>
      </c>
      <c r="AL603" s="495">
        <v>0</v>
      </c>
      <c r="AO603" s="495">
        <v>-638053.71614932758</v>
      </c>
      <c r="AP603" s="495">
        <v>-568419.93552432745</v>
      </c>
      <c r="AQ603" s="495">
        <v>-218926.52407932671</v>
      </c>
      <c r="AR603" s="495">
        <v>0</v>
      </c>
      <c r="AS603" s="495">
        <v>0</v>
      </c>
    </row>
    <row r="604" spans="1:45">
      <c r="A604" s="390">
        <v>96541</v>
      </c>
      <c r="B604" s="393">
        <v>96541</v>
      </c>
      <c r="C604" s="499" t="s">
        <v>1311</v>
      </c>
      <c r="D604" s="378">
        <v>4.2595304191210244E-4</v>
      </c>
      <c r="F604" s="495">
        <v>258324.90136353264</v>
      </c>
      <c r="G604" s="495">
        <v>542631.30777853273</v>
      </c>
      <c r="H604" s="495">
        <v>81716.002636032645</v>
      </c>
      <c r="I604" s="495">
        <v>-44134.9807</v>
      </c>
      <c r="J604" s="495">
        <v>0</v>
      </c>
      <c r="M604" s="495">
        <v>195747.98769000001</v>
      </c>
      <c r="N604" s="495">
        <v>199130.83196000001</v>
      </c>
      <c r="O604" s="495">
        <v>104868.17237</v>
      </c>
      <c r="P604" s="495">
        <v>0</v>
      </c>
      <c r="Q604" s="495">
        <v>0</v>
      </c>
      <c r="T604" s="495">
        <v>80563.055959999998</v>
      </c>
      <c r="U604" s="495">
        <v>366110.80193000002</v>
      </c>
      <c r="V604" s="495">
        <v>-12211.11808</v>
      </c>
      <c r="W604" s="495">
        <v>-44134.9807</v>
      </c>
      <c r="X604" s="495">
        <v>0</v>
      </c>
      <c r="AA604" s="495">
        <v>0</v>
      </c>
      <c r="AB604" s="495">
        <v>0</v>
      </c>
      <c r="AC604" s="495">
        <v>0</v>
      </c>
      <c r="AD604" s="495">
        <v>0</v>
      </c>
      <c r="AE604" s="495">
        <v>0</v>
      </c>
      <c r="AH604" s="495">
        <v>14445.097064999984</v>
      </c>
      <c r="AI604" s="495">
        <v>1998.9876149999945</v>
      </c>
      <c r="AJ604" s="495">
        <v>0</v>
      </c>
      <c r="AK604" s="495">
        <v>0</v>
      </c>
      <c r="AL604" s="495">
        <v>0</v>
      </c>
      <c r="AO604" s="495">
        <v>-32431.23935146736</v>
      </c>
      <c r="AP604" s="495">
        <v>-24609.313726467357</v>
      </c>
      <c r="AQ604" s="495">
        <v>-10941.051653967355</v>
      </c>
      <c r="AR604" s="495">
        <v>0</v>
      </c>
      <c r="AS604" s="495">
        <v>0</v>
      </c>
    </row>
    <row r="605" spans="1:45">
      <c r="A605" s="390">
        <v>96601</v>
      </c>
      <c r="B605" s="393">
        <v>96601</v>
      </c>
      <c r="C605" s="499" t="s">
        <v>1312</v>
      </c>
      <c r="D605" s="378">
        <v>1.4823194046473757E-3</v>
      </c>
      <c r="F605" s="495">
        <v>929726.85602822481</v>
      </c>
      <c r="G605" s="495">
        <v>1919685.3358282251</v>
      </c>
      <c r="H605" s="495">
        <v>323304.84943322494</v>
      </c>
      <c r="I605" s="495">
        <v>-153590.02300000002</v>
      </c>
      <c r="J605" s="495">
        <v>0</v>
      </c>
      <c r="M605" s="495">
        <v>681204.28410000005</v>
      </c>
      <c r="N605" s="495">
        <v>692976.60440000007</v>
      </c>
      <c r="O605" s="495">
        <v>364941.92930000002</v>
      </c>
      <c r="P605" s="495">
        <v>0</v>
      </c>
      <c r="Q605" s="495">
        <v>0</v>
      </c>
      <c r="T605" s="495">
        <v>280359.9644</v>
      </c>
      <c r="U605" s="495">
        <v>1274067.9977000002</v>
      </c>
      <c r="V605" s="495">
        <v>-42494.771200000003</v>
      </c>
      <c r="W605" s="495">
        <v>-153590.02300000002</v>
      </c>
      <c r="X605" s="495">
        <v>0</v>
      </c>
      <c r="AA605" s="495">
        <v>0</v>
      </c>
      <c r="AB605" s="495">
        <v>0</v>
      </c>
      <c r="AC605" s="495">
        <v>0</v>
      </c>
      <c r="AD605" s="495">
        <v>0</v>
      </c>
      <c r="AE605" s="495">
        <v>0</v>
      </c>
      <c r="AH605" s="495">
        <v>16379.565133224918</v>
      </c>
      <c r="AI605" s="495">
        <v>857.69133322491689</v>
      </c>
      <c r="AJ605" s="495">
        <v>857.69133322491689</v>
      </c>
      <c r="AK605" s="495">
        <v>0</v>
      </c>
      <c r="AL605" s="495">
        <v>0</v>
      </c>
      <c r="AO605" s="495">
        <v>-48216.957605000076</v>
      </c>
      <c r="AP605" s="495">
        <v>-48216.957605000076</v>
      </c>
      <c r="AQ605" s="495">
        <v>0</v>
      </c>
      <c r="AR605" s="495">
        <v>0</v>
      </c>
      <c r="AS605" s="495">
        <v>0</v>
      </c>
    </row>
    <row r="606" spans="1:45">
      <c r="A606" s="390">
        <v>96604</v>
      </c>
      <c r="B606" s="393">
        <v>96604</v>
      </c>
      <c r="C606" s="499" t="s">
        <v>1313</v>
      </c>
      <c r="D606" s="378">
        <v>4.3706131271646259E-6</v>
      </c>
      <c r="F606" s="495">
        <v>5528.2559764549223</v>
      </c>
      <c r="G606" s="495">
        <v>7314.4624214549231</v>
      </c>
      <c r="H606" s="495">
        <v>2040.6721539549237</v>
      </c>
      <c r="I606" s="495">
        <v>-452.86309999999997</v>
      </c>
      <c r="J606" s="495">
        <v>0</v>
      </c>
      <c r="M606" s="495">
        <v>2008.5437699999998</v>
      </c>
      <c r="N606" s="495">
        <v>2043.2546799999998</v>
      </c>
      <c r="O606" s="495">
        <v>1076.0382099999999</v>
      </c>
      <c r="P606" s="495">
        <v>0</v>
      </c>
      <c r="Q606" s="495">
        <v>0</v>
      </c>
      <c r="T606" s="495">
        <v>826.64667999999995</v>
      </c>
      <c r="U606" s="495">
        <v>3756.6136899999997</v>
      </c>
      <c r="V606" s="495">
        <v>-125.29664</v>
      </c>
      <c r="W606" s="495">
        <v>-452.86309999999997</v>
      </c>
      <c r="X606" s="495">
        <v>0</v>
      </c>
      <c r="AA606" s="495">
        <v>0</v>
      </c>
      <c r="AB606" s="495">
        <v>0</v>
      </c>
      <c r="AC606" s="495">
        <v>0</v>
      </c>
      <c r="AD606" s="495">
        <v>0</v>
      </c>
      <c r="AE606" s="495">
        <v>0</v>
      </c>
      <c r="AH606" s="495">
        <v>3164.736761454923</v>
      </c>
      <c r="AI606" s="495">
        <v>1986.2652864549234</v>
      </c>
      <c r="AJ606" s="495">
        <v>1089.9305839549238</v>
      </c>
      <c r="AK606" s="495">
        <v>0</v>
      </c>
      <c r="AL606" s="495">
        <v>0</v>
      </c>
      <c r="AO606" s="495">
        <v>-471.67123499999991</v>
      </c>
      <c r="AP606" s="495">
        <v>-471.67123499999991</v>
      </c>
      <c r="AQ606" s="495">
        <v>0</v>
      </c>
      <c r="AR606" s="495">
        <v>0</v>
      </c>
      <c r="AS606" s="495">
        <v>0</v>
      </c>
    </row>
    <row r="607" spans="1:45">
      <c r="A607" s="390">
        <v>96611</v>
      </c>
      <c r="B607" s="393">
        <v>96611</v>
      </c>
      <c r="C607" s="499" t="s">
        <v>1314</v>
      </c>
      <c r="D607" s="378">
        <v>3.4045088269577001E-5</v>
      </c>
      <c r="F607" s="495">
        <v>45484.249798833094</v>
      </c>
      <c r="G607" s="495">
        <v>68163.067913833089</v>
      </c>
      <c r="H607" s="495">
        <v>17054.202441333087</v>
      </c>
      <c r="I607" s="495">
        <v>-3527.5652</v>
      </c>
      <c r="J607" s="495">
        <v>0</v>
      </c>
      <c r="M607" s="495">
        <v>15645.49884</v>
      </c>
      <c r="N607" s="495">
        <v>15915.878559999999</v>
      </c>
      <c r="O607" s="495">
        <v>8381.7713199999998</v>
      </c>
      <c r="P607" s="495">
        <v>0</v>
      </c>
      <c r="Q607" s="495">
        <v>0</v>
      </c>
      <c r="T607" s="495">
        <v>6439.1425600000002</v>
      </c>
      <c r="U607" s="495">
        <v>29262.04348</v>
      </c>
      <c r="V607" s="495">
        <v>-975.99487999999997</v>
      </c>
      <c r="W607" s="495">
        <v>-3527.5652</v>
      </c>
      <c r="X607" s="495">
        <v>0</v>
      </c>
      <c r="AA607" s="495">
        <v>0</v>
      </c>
      <c r="AB607" s="495">
        <v>0</v>
      </c>
      <c r="AC607" s="495">
        <v>0</v>
      </c>
      <c r="AD607" s="495">
        <v>0</v>
      </c>
      <c r="AE607" s="495">
        <v>0</v>
      </c>
      <c r="AH607" s="495">
        <v>24934.060248833091</v>
      </c>
      <c r="AI607" s="495">
        <v>22985.145873833091</v>
      </c>
      <c r="AJ607" s="495">
        <v>9648.4260013330877</v>
      </c>
      <c r="AK607" s="495">
        <v>0</v>
      </c>
      <c r="AL607" s="495">
        <v>0</v>
      </c>
      <c r="AO607" s="495">
        <v>-1534.4518499999999</v>
      </c>
      <c r="AP607" s="495">
        <v>0</v>
      </c>
      <c r="AQ607" s="495">
        <v>0</v>
      </c>
      <c r="AR607" s="495">
        <v>0</v>
      </c>
      <c r="AS607" s="495">
        <v>0</v>
      </c>
    </row>
    <row r="608" spans="1:45">
      <c r="A608" s="390">
        <v>96612</v>
      </c>
      <c r="B608" s="393">
        <v>96612</v>
      </c>
      <c r="C608" s="499" t="s">
        <v>1315</v>
      </c>
      <c r="D608" s="378">
        <v>2.927435485714547E-5</v>
      </c>
      <c r="F608" s="495">
        <v>16970.864130397174</v>
      </c>
      <c r="G608" s="495">
        <v>40045.644350397175</v>
      </c>
      <c r="H608" s="495">
        <v>7987.2675828971715</v>
      </c>
      <c r="I608" s="495">
        <v>-3033.2500999999997</v>
      </c>
      <c r="J608" s="495">
        <v>0</v>
      </c>
      <c r="M608" s="495">
        <v>13453.106669999999</v>
      </c>
      <c r="N608" s="495">
        <v>13685.59828</v>
      </c>
      <c r="O608" s="495">
        <v>7207.2399100000002</v>
      </c>
      <c r="P608" s="495">
        <v>0</v>
      </c>
      <c r="Q608" s="495">
        <v>0</v>
      </c>
      <c r="T608" s="495">
        <v>5536.8302800000001</v>
      </c>
      <c r="U608" s="495">
        <v>25161.574990000001</v>
      </c>
      <c r="V608" s="495">
        <v>-839.22943999999995</v>
      </c>
      <c r="W608" s="495">
        <v>-3033.2500999999997</v>
      </c>
      <c r="X608" s="495">
        <v>0</v>
      </c>
      <c r="AA608" s="495">
        <v>0</v>
      </c>
      <c r="AB608" s="495">
        <v>0</v>
      </c>
      <c r="AC608" s="495">
        <v>0</v>
      </c>
      <c r="AD608" s="495">
        <v>0</v>
      </c>
      <c r="AE608" s="495">
        <v>0</v>
      </c>
      <c r="AH608" s="495">
        <v>7644.6962153971708</v>
      </c>
      <c r="AI608" s="495">
        <v>4440.2749653971705</v>
      </c>
      <c r="AJ608" s="495">
        <v>1619.2571128971713</v>
      </c>
      <c r="AK608" s="495">
        <v>0</v>
      </c>
      <c r="AL608" s="495">
        <v>0</v>
      </c>
      <c r="AO608" s="495">
        <v>-9663.7690349999975</v>
      </c>
      <c r="AP608" s="495">
        <v>-3241.8038849999957</v>
      </c>
      <c r="AQ608" s="495">
        <v>0</v>
      </c>
      <c r="AR608" s="495">
        <v>0</v>
      </c>
      <c r="AS608" s="495">
        <v>0</v>
      </c>
    </row>
    <row r="609" spans="1:45">
      <c r="A609" s="390">
        <v>96621</v>
      </c>
      <c r="B609" s="393">
        <v>96621</v>
      </c>
      <c r="C609" s="499" t="s">
        <v>1316</v>
      </c>
      <c r="D609" s="378">
        <v>1.620242365390031E-5</v>
      </c>
      <c r="F609" s="495">
        <v>1694.2446439804935</v>
      </c>
      <c r="G609" s="495">
        <v>12333.644118980494</v>
      </c>
      <c r="H609" s="495">
        <v>-7376.7675785195006</v>
      </c>
      <c r="I609" s="495">
        <v>-1678.806</v>
      </c>
      <c r="J609" s="495">
        <v>0</v>
      </c>
      <c r="M609" s="495">
        <v>7445.8602000000001</v>
      </c>
      <c r="N609" s="495">
        <v>7574.5368000000008</v>
      </c>
      <c r="O609" s="495">
        <v>3988.9746</v>
      </c>
      <c r="P609" s="495">
        <v>0</v>
      </c>
      <c r="Q609" s="495">
        <v>0</v>
      </c>
      <c r="T609" s="495">
        <v>3064.4567999999999</v>
      </c>
      <c r="U609" s="495">
        <v>13926.119400000001</v>
      </c>
      <c r="V609" s="495">
        <v>-464.4864</v>
      </c>
      <c r="W609" s="495">
        <v>-1678.806</v>
      </c>
      <c r="X609" s="495">
        <v>0</v>
      </c>
      <c r="AA609" s="495">
        <v>0</v>
      </c>
      <c r="AB609" s="495">
        <v>0</v>
      </c>
      <c r="AC609" s="495">
        <v>0</v>
      </c>
      <c r="AD609" s="495">
        <v>0</v>
      </c>
      <c r="AE609" s="495">
        <v>0</v>
      </c>
      <c r="AH609" s="495">
        <v>2685.1325799999954</v>
      </c>
      <c r="AI609" s="495">
        <v>2163.6982049999947</v>
      </c>
      <c r="AJ609" s="495">
        <v>0</v>
      </c>
      <c r="AK609" s="495">
        <v>0</v>
      </c>
      <c r="AL609" s="495">
        <v>0</v>
      </c>
      <c r="AO609" s="495">
        <v>-11501.204936019501</v>
      </c>
      <c r="AP609" s="495">
        <v>-11330.710286019501</v>
      </c>
      <c r="AQ609" s="495">
        <v>-10901.2557785195</v>
      </c>
      <c r="AR609" s="495">
        <v>0</v>
      </c>
      <c r="AS609" s="495">
        <v>0</v>
      </c>
    </row>
    <row r="610" spans="1:45">
      <c r="A610" s="390">
        <v>96631</v>
      </c>
      <c r="B610" s="393">
        <v>96631</v>
      </c>
      <c r="C610" s="499" t="s">
        <v>1317</v>
      </c>
      <c r="D610" s="378">
        <v>3.0694581587164036E-5</v>
      </c>
      <c r="F610" s="495">
        <v>29311.39871130473</v>
      </c>
      <c r="G610" s="495">
        <v>49336.526801304724</v>
      </c>
      <c r="H610" s="495">
        <v>14644.07038880473</v>
      </c>
      <c r="I610" s="495">
        <v>-3180.4047</v>
      </c>
      <c r="J610" s="495">
        <v>0</v>
      </c>
      <c r="M610" s="495">
        <v>14105.76849</v>
      </c>
      <c r="N610" s="495">
        <v>14349.53916</v>
      </c>
      <c r="O610" s="495">
        <v>7556.89077</v>
      </c>
      <c r="P610" s="495">
        <v>0</v>
      </c>
      <c r="Q610" s="495">
        <v>0</v>
      </c>
      <c r="T610" s="495">
        <v>5805.4431599999998</v>
      </c>
      <c r="U610" s="495">
        <v>26382.259529999999</v>
      </c>
      <c r="V610" s="495">
        <v>-879.94367999999997</v>
      </c>
      <c r="W610" s="495">
        <v>-3180.4047</v>
      </c>
      <c r="X610" s="495">
        <v>0</v>
      </c>
      <c r="AA610" s="495">
        <v>0</v>
      </c>
      <c r="AB610" s="495">
        <v>0</v>
      </c>
      <c r="AC610" s="495">
        <v>0</v>
      </c>
      <c r="AD610" s="495">
        <v>0</v>
      </c>
      <c r="AE610" s="495">
        <v>0</v>
      </c>
      <c r="AH610" s="495">
        <v>10560.64803630473</v>
      </c>
      <c r="AI610" s="495">
        <v>9765.1890863047302</v>
      </c>
      <c r="AJ610" s="495">
        <v>7967.1232988047304</v>
      </c>
      <c r="AK610" s="495">
        <v>0</v>
      </c>
      <c r="AL610" s="495">
        <v>0</v>
      </c>
      <c r="AO610" s="495">
        <v>-1160.4609750000004</v>
      </c>
      <c r="AP610" s="495">
        <v>-1160.4609750000004</v>
      </c>
      <c r="AQ610" s="495">
        <v>0</v>
      </c>
      <c r="AR610" s="495">
        <v>0</v>
      </c>
      <c r="AS610" s="495">
        <v>0</v>
      </c>
    </row>
    <row r="611" spans="1:45">
      <c r="A611" s="390">
        <v>96641</v>
      </c>
      <c r="B611" s="393">
        <v>96641</v>
      </c>
      <c r="C611" s="499" t="s">
        <v>1318</v>
      </c>
      <c r="D611" s="378">
        <v>3.2204712986397189E-5</v>
      </c>
      <c r="F611" s="495">
        <v>16772.520310720498</v>
      </c>
      <c r="G611" s="495">
        <v>40569.423460720493</v>
      </c>
      <c r="H611" s="495">
        <v>4780.6882807204966</v>
      </c>
      <c r="I611" s="495">
        <v>-3336.8859999999995</v>
      </c>
      <c r="J611" s="495">
        <v>0</v>
      </c>
      <c r="M611" s="495">
        <v>14799.796199999999</v>
      </c>
      <c r="N611" s="495">
        <v>15055.560799999999</v>
      </c>
      <c r="O611" s="495">
        <v>7928.7025999999996</v>
      </c>
      <c r="P611" s="495">
        <v>0</v>
      </c>
      <c r="Q611" s="495">
        <v>0</v>
      </c>
      <c r="T611" s="495">
        <v>6091.0807999999997</v>
      </c>
      <c r="U611" s="495">
        <v>27680.311399999999</v>
      </c>
      <c r="V611" s="495">
        <v>-923.23839999999996</v>
      </c>
      <c r="W611" s="495">
        <v>-3336.8859999999995</v>
      </c>
      <c r="X611" s="495">
        <v>0</v>
      </c>
      <c r="AA611" s="495">
        <v>0</v>
      </c>
      <c r="AB611" s="495">
        <v>0</v>
      </c>
      <c r="AC611" s="495">
        <v>0</v>
      </c>
      <c r="AD611" s="495">
        <v>0</v>
      </c>
      <c r="AE611" s="495">
        <v>0</v>
      </c>
      <c r="AH611" s="495">
        <v>1953.2700900000009</v>
      </c>
      <c r="AI611" s="495">
        <v>267.95884000000115</v>
      </c>
      <c r="AJ611" s="495">
        <v>0</v>
      </c>
      <c r="AK611" s="495">
        <v>0</v>
      </c>
      <c r="AL611" s="495">
        <v>0</v>
      </c>
      <c r="AO611" s="495">
        <v>-6071.6267792795052</v>
      </c>
      <c r="AP611" s="495">
        <v>-2434.4075792795052</v>
      </c>
      <c r="AQ611" s="495">
        <v>-2224.7759192795033</v>
      </c>
      <c r="AR611" s="495">
        <v>0</v>
      </c>
      <c r="AS611" s="495">
        <v>0</v>
      </c>
    </row>
    <row r="612" spans="1:45">
      <c r="A612" s="390">
        <v>96651</v>
      </c>
      <c r="B612" s="393">
        <v>96651</v>
      </c>
      <c r="C612" s="499" t="s">
        <v>1319</v>
      </c>
      <c r="D612" s="378">
        <v>2.4253638989884598E-5</v>
      </c>
      <c r="F612" s="495">
        <v>18693.540346660622</v>
      </c>
      <c r="G612" s="495">
        <v>36127.18399666062</v>
      </c>
      <c r="H612" s="495">
        <v>10842.947056660621</v>
      </c>
      <c r="I612" s="495">
        <v>-2513.0275000000001</v>
      </c>
      <c r="J612" s="495">
        <v>0</v>
      </c>
      <c r="M612" s="495">
        <v>11145.80925</v>
      </c>
      <c r="N612" s="495">
        <v>11338.427</v>
      </c>
      <c r="O612" s="495">
        <v>5971.1502499999997</v>
      </c>
      <c r="P612" s="495">
        <v>0</v>
      </c>
      <c r="Q612" s="495">
        <v>0</v>
      </c>
      <c r="T612" s="495">
        <v>4587.2269999999999</v>
      </c>
      <c r="U612" s="495">
        <v>20846.197250000001</v>
      </c>
      <c r="V612" s="495">
        <v>-695.29600000000005</v>
      </c>
      <c r="W612" s="495">
        <v>-2513.0275000000001</v>
      </c>
      <c r="X612" s="495">
        <v>0</v>
      </c>
      <c r="AA612" s="495">
        <v>0</v>
      </c>
      <c r="AB612" s="495">
        <v>0</v>
      </c>
      <c r="AC612" s="495">
        <v>0</v>
      </c>
      <c r="AD612" s="495">
        <v>0</v>
      </c>
      <c r="AE612" s="495">
        <v>0</v>
      </c>
      <c r="AH612" s="495">
        <v>5892.1628066606208</v>
      </c>
      <c r="AI612" s="495">
        <v>5567.0928066606211</v>
      </c>
      <c r="AJ612" s="495">
        <v>5567.0928066606211</v>
      </c>
      <c r="AK612" s="495">
        <v>0</v>
      </c>
      <c r="AL612" s="495">
        <v>0</v>
      </c>
      <c r="AO612" s="495">
        <v>-2931.6587099999997</v>
      </c>
      <c r="AP612" s="495">
        <v>-1624.5330600000007</v>
      </c>
      <c r="AQ612" s="495">
        <v>0</v>
      </c>
      <c r="AR612" s="495">
        <v>0</v>
      </c>
      <c r="AS612" s="495">
        <v>0</v>
      </c>
    </row>
    <row r="613" spans="1:45">
      <c r="A613" s="390">
        <v>96661</v>
      </c>
      <c r="B613" s="393">
        <v>96661</v>
      </c>
      <c r="C613" s="499" t="s">
        <v>1320</v>
      </c>
      <c r="D613" s="378">
        <v>1.4712172165021538E-5</v>
      </c>
      <c r="F613" s="495">
        <v>1415.4661472887819</v>
      </c>
      <c r="G613" s="495">
        <v>12438.831457288781</v>
      </c>
      <c r="H613" s="495">
        <v>-371.84770021122267</v>
      </c>
      <c r="I613" s="495">
        <v>-1524.3973000000001</v>
      </c>
      <c r="J613" s="495">
        <v>0</v>
      </c>
      <c r="M613" s="495">
        <v>6761.0249100000001</v>
      </c>
      <c r="N613" s="495">
        <v>6877.8664399999998</v>
      </c>
      <c r="O613" s="495">
        <v>3622.08743</v>
      </c>
      <c r="P613" s="495">
        <v>0</v>
      </c>
      <c r="Q613" s="495">
        <v>0</v>
      </c>
      <c r="T613" s="495">
        <v>2782.6024400000001</v>
      </c>
      <c r="U613" s="495">
        <v>12645.260270000001</v>
      </c>
      <c r="V613" s="495">
        <v>-421.76511999999997</v>
      </c>
      <c r="W613" s="495">
        <v>-1524.3973000000001</v>
      </c>
      <c r="X613" s="495">
        <v>0</v>
      </c>
      <c r="AA613" s="495">
        <v>0</v>
      </c>
      <c r="AB613" s="495">
        <v>0</v>
      </c>
      <c r="AC613" s="495">
        <v>0</v>
      </c>
      <c r="AD613" s="495">
        <v>0</v>
      </c>
      <c r="AE613" s="495">
        <v>0</v>
      </c>
      <c r="AH613" s="495">
        <v>56.831550000000789</v>
      </c>
      <c r="AI613" s="495">
        <v>0</v>
      </c>
      <c r="AJ613" s="495">
        <v>0</v>
      </c>
      <c r="AK613" s="495">
        <v>0</v>
      </c>
      <c r="AL613" s="495">
        <v>0</v>
      </c>
      <c r="AO613" s="495">
        <v>-8184.9927527112195</v>
      </c>
      <c r="AP613" s="495">
        <v>-7084.2952527112193</v>
      </c>
      <c r="AQ613" s="495">
        <v>-3572.1700102112227</v>
      </c>
      <c r="AR613" s="495">
        <v>0</v>
      </c>
      <c r="AS613" s="495">
        <v>0</v>
      </c>
    </row>
    <row r="614" spans="1:45">
      <c r="A614" s="390">
        <v>96671</v>
      </c>
      <c r="B614" s="393">
        <v>96671</v>
      </c>
      <c r="C614" s="499" t="s">
        <v>1321</v>
      </c>
      <c r="D614" s="378">
        <v>1.0071548315133231E-5</v>
      </c>
      <c r="F614" s="495">
        <v>9229.6537528091721</v>
      </c>
      <c r="G614" s="495">
        <v>16804.510097809172</v>
      </c>
      <c r="H614" s="495">
        <v>3026.0320678091721</v>
      </c>
      <c r="I614" s="495">
        <v>-1043.5541000000001</v>
      </c>
      <c r="J614" s="495">
        <v>0</v>
      </c>
      <c r="M614" s="495">
        <v>4628.3834699999998</v>
      </c>
      <c r="N614" s="495">
        <v>4708.3694800000003</v>
      </c>
      <c r="O614" s="495">
        <v>2479.5663100000002</v>
      </c>
      <c r="P614" s="495">
        <v>0</v>
      </c>
      <c r="Q614" s="495">
        <v>0</v>
      </c>
      <c r="T614" s="495">
        <v>1904.88148</v>
      </c>
      <c r="U614" s="495">
        <v>8656.5445899999995</v>
      </c>
      <c r="V614" s="495">
        <v>-288.72703999999999</v>
      </c>
      <c r="W614" s="495">
        <v>-1043.5541000000001</v>
      </c>
      <c r="X614" s="495">
        <v>0</v>
      </c>
      <c r="AA614" s="495">
        <v>0</v>
      </c>
      <c r="AB614" s="495">
        <v>0</v>
      </c>
      <c r="AC614" s="495">
        <v>0</v>
      </c>
      <c r="AD614" s="495">
        <v>0</v>
      </c>
      <c r="AE614" s="495">
        <v>0</v>
      </c>
      <c r="AH614" s="495">
        <v>5367.4716528091722</v>
      </c>
      <c r="AI614" s="495">
        <v>3439.5960278091716</v>
      </c>
      <c r="AJ614" s="495">
        <v>835.19279780917191</v>
      </c>
      <c r="AK614" s="495">
        <v>0</v>
      </c>
      <c r="AL614" s="495">
        <v>0</v>
      </c>
      <c r="AO614" s="495">
        <v>-2671.0828499999998</v>
      </c>
      <c r="AP614" s="495">
        <v>0</v>
      </c>
      <c r="AQ614" s="495">
        <v>0</v>
      </c>
      <c r="AR614" s="495">
        <v>0</v>
      </c>
      <c r="AS614" s="495">
        <v>0</v>
      </c>
    </row>
    <row r="615" spans="1:45">
      <c r="A615" s="390">
        <v>96681</v>
      </c>
      <c r="B615" s="393">
        <v>96681</v>
      </c>
      <c r="C615" s="499" t="s">
        <v>1322</v>
      </c>
      <c r="D615" s="378">
        <v>2.4703607408577412E-5</v>
      </c>
      <c r="F615" s="495">
        <v>31639.662639201742</v>
      </c>
      <c r="G615" s="495">
        <v>47255.325439201755</v>
      </c>
      <c r="H615" s="495">
        <v>15800.273086701747</v>
      </c>
      <c r="I615" s="495">
        <v>-2559.6610000000001</v>
      </c>
      <c r="J615" s="495">
        <v>0</v>
      </c>
      <c r="M615" s="495">
        <v>11352.6387</v>
      </c>
      <c r="N615" s="495">
        <v>11548.8308</v>
      </c>
      <c r="O615" s="495">
        <v>6081.9551000000001</v>
      </c>
      <c r="P615" s="495">
        <v>0</v>
      </c>
      <c r="Q615" s="495">
        <v>0</v>
      </c>
      <c r="T615" s="495">
        <v>4672.3508000000002</v>
      </c>
      <c r="U615" s="495">
        <v>21233.033900000002</v>
      </c>
      <c r="V615" s="495">
        <v>-708.19839999999999</v>
      </c>
      <c r="W615" s="495">
        <v>-2559.6610000000001</v>
      </c>
      <c r="X615" s="495">
        <v>0</v>
      </c>
      <c r="AA615" s="495">
        <v>0</v>
      </c>
      <c r="AB615" s="495">
        <v>0</v>
      </c>
      <c r="AC615" s="495">
        <v>0</v>
      </c>
      <c r="AD615" s="495">
        <v>0</v>
      </c>
      <c r="AE615" s="495">
        <v>0</v>
      </c>
      <c r="AH615" s="495">
        <v>18001.598239201747</v>
      </c>
      <c r="AI615" s="495">
        <v>14473.460739201746</v>
      </c>
      <c r="AJ615" s="495">
        <v>10426.516386701747</v>
      </c>
      <c r="AK615" s="495">
        <v>0</v>
      </c>
      <c r="AL615" s="495">
        <v>0</v>
      </c>
      <c r="AO615" s="495">
        <v>-2386.9250999999995</v>
      </c>
      <c r="AP615" s="495">
        <v>0</v>
      </c>
      <c r="AQ615" s="495">
        <v>0</v>
      </c>
      <c r="AR615" s="495">
        <v>0</v>
      </c>
      <c r="AS615" s="495">
        <v>0</v>
      </c>
    </row>
    <row r="616" spans="1:45">
      <c r="A616" s="390">
        <v>96701</v>
      </c>
      <c r="B616" s="393">
        <v>96701</v>
      </c>
      <c r="C616" s="499" t="s">
        <v>1323</v>
      </c>
      <c r="D616" s="378">
        <v>8.5689884913093765E-3</v>
      </c>
      <c r="F616" s="495">
        <v>5806156.6625323808</v>
      </c>
      <c r="G616" s="495">
        <v>11622346.668602379</v>
      </c>
      <c r="H616" s="495">
        <v>2205951.3554598819</v>
      </c>
      <c r="I616" s="495">
        <v>-887872.82359999989</v>
      </c>
      <c r="J616" s="495">
        <v>0</v>
      </c>
      <c r="M616" s="495">
        <v>3937904.0341199995</v>
      </c>
      <c r="N616" s="495">
        <v>4005957.4340799996</v>
      </c>
      <c r="O616" s="495">
        <v>2109655.3987599998</v>
      </c>
      <c r="P616" s="495">
        <v>0</v>
      </c>
      <c r="Q616" s="495">
        <v>0</v>
      </c>
      <c r="T616" s="495">
        <v>1620704.1860799999</v>
      </c>
      <c r="U616" s="495">
        <v>7365129.1176399989</v>
      </c>
      <c r="V616" s="495">
        <v>-245653.66783999998</v>
      </c>
      <c r="W616" s="495">
        <v>-887872.82359999989</v>
      </c>
      <c r="X616" s="495">
        <v>0</v>
      </c>
      <c r="AA616" s="495">
        <v>0</v>
      </c>
      <c r="AB616" s="495">
        <v>0</v>
      </c>
      <c r="AC616" s="495">
        <v>0</v>
      </c>
      <c r="AD616" s="495">
        <v>0</v>
      </c>
      <c r="AE616" s="495">
        <v>0</v>
      </c>
      <c r="AH616" s="495">
        <v>454987.57748988178</v>
      </c>
      <c r="AI616" s="495">
        <v>341949.62453988194</v>
      </c>
      <c r="AJ616" s="495">
        <v>341949.62453988194</v>
      </c>
      <c r="AK616" s="495">
        <v>0</v>
      </c>
      <c r="AL616" s="495">
        <v>0</v>
      </c>
      <c r="AO616" s="495">
        <v>-207439.13515750051</v>
      </c>
      <c r="AP616" s="495">
        <v>-90689.507657501032</v>
      </c>
      <c r="AQ616" s="495">
        <v>0</v>
      </c>
      <c r="AR616" s="495">
        <v>0</v>
      </c>
      <c r="AS616" s="495">
        <v>0</v>
      </c>
    </row>
    <row r="617" spans="1:45">
      <c r="A617" s="390">
        <v>96704</v>
      </c>
      <c r="B617" s="393">
        <v>96704</v>
      </c>
      <c r="C617" s="499" t="s">
        <v>1324</v>
      </c>
      <c r="D617" s="378">
        <v>2.8216179867640568E-4</v>
      </c>
      <c r="F617" s="495">
        <v>249790.5703504493</v>
      </c>
      <c r="G617" s="495">
        <v>413618.22952044924</v>
      </c>
      <c r="H617" s="495">
        <v>66154.310600449244</v>
      </c>
      <c r="I617" s="495">
        <v>-29236.095600000001</v>
      </c>
      <c r="J617" s="495">
        <v>0</v>
      </c>
      <c r="M617" s="495">
        <v>129668.27652000001</v>
      </c>
      <c r="N617" s="495">
        <v>131909.15568</v>
      </c>
      <c r="O617" s="495">
        <v>69467.253960000002</v>
      </c>
      <c r="P617" s="495">
        <v>0</v>
      </c>
      <c r="Q617" s="495">
        <v>0</v>
      </c>
      <c r="T617" s="495">
        <v>53366.947680000005</v>
      </c>
      <c r="U617" s="495">
        <v>242520.79044000001</v>
      </c>
      <c r="V617" s="495">
        <v>-8088.9446400000006</v>
      </c>
      <c r="W617" s="495">
        <v>-29236.095600000001</v>
      </c>
      <c r="X617" s="495">
        <v>0</v>
      </c>
      <c r="AA617" s="495">
        <v>0</v>
      </c>
      <c r="AB617" s="495">
        <v>0</v>
      </c>
      <c r="AC617" s="495">
        <v>0</v>
      </c>
      <c r="AD617" s="495">
        <v>0</v>
      </c>
      <c r="AE617" s="495">
        <v>0</v>
      </c>
      <c r="AH617" s="495">
        <v>66755.346150449288</v>
      </c>
      <c r="AI617" s="495">
        <v>39188.283400449276</v>
      </c>
      <c r="AJ617" s="495">
        <v>4776.001280449249</v>
      </c>
      <c r="AK617" s="495">
        <v>0</v>
      </c>
      <c r="AL617" s="495">
        <v>0</v>
      </c>
      <c r="AO617" s="495">
        <v>0</v>
      </c>
      <c r="AP617" s="495">
        <v>0</v>
      </c>
      <c r="AQ617" s="495">
        <v>0</v>
      </c>
      <c r="AR617" s="495">
        <v>0</v>
      </c>
      <c r="AS617" s="495">
        <v>0</v>
      </c>
    </row>
    <row r="618" spans="1:45">
      <c r="A618" s="390">
        <v>96708</v>
      </c>
      <c r="B618" s="393">
        <v>96708</v>
      </c>
      <c r="C618" s="499" t="s">
        <v>1325</v>
      </c>
      <c r="D618" s="378">
        <v>9.7594441075972492E-4</v>
      </c>
      <c r="F618" s="495">
        <v>830327.64995639911</v>
      </c>
      <c r="G618" s="495">
        <v>1517157.880406399</v>
      </c>
      <c r="H618" s="495">
        <v>369860.76397139928</v>
      </c>
      <c r="I618" s="495">
        <v>-101122.15399999999</v>
      </c>
      <c r="J618" s="495">
        <v>0</v>
      </c>
      <c r="M618" s="495">
        <v>448498.17180000001</v>
      </c>
      <c r="N618" s="495">
        <v>456248.95120000001</v>
      </c>
      <c r="O618" s="495">
        <v>240274.16139999998</v>
      </c>
      <c r="P618" s="495">
        <v>0</v>
      </c>
      <c r="Q618" s="495">
        <v>0</v>
      </c>
      <c r="T618" s="495">
        <v>184586.23120000001</v>
      </c>
      <c r="U618" s="495">
        <v>838833.78460000001</v>
      </c>
      <c r="V618" s="495">
        <v>-27978.137599999998</v>
      </c>
      <c r="W618" s="495">
        <v>-101122.15399999999</v>
      </c>
      <c r="X618" s="495">
        <v>0</v>
      </c>
      <c r="AA618" s="495">
        <v>0</v>
      </c>
      <c r="AB618" s="495">
        <v>0</v>
      </c>
      <c r="AC618" s="495">
        <v>0</v>
      </c>
      <c r="AD618" s="495">
        <v>0</v>
      </c>
      <c r="AE618" s="495">
        <v>0</v>
      </c>
      <c r="AH618" s="495">
        <v>237764.14210639906</v>
      </c>
      <c r="AI618" s="495">
        <v>222075.14460639906</v>
      </c>
      <c r="AJ618" s="495">
        <v>157564.74017139932</v>
      </c>
      <c r="AK618" s="495">
        <v>0</v>
      </c>
      <c r="AL618" s="495">
        <v>0</v>
      </c>
      <c r="AO618" s="495">
        <v>-40520.895149999997</v>
      </c>
      <c r="AP618" s="495">
        <v>0</v>
      </c>
      <c r="AQ618" s="495">
        <v>0</v>
      </c>
      <c r="AR618" s="495">
        <v>0</v>
      </c>
      <c r="AS618" s="495">
        <v>0</v>
      </c>
    </row>
    <row r="619" spans="1:45">
      <c r="A619" s="390">
        <v>96711</v>
      </c>
      <c r="B619" s="393">
        <v>96711</v>
      </c>
      <c r="C619" s="499" t="s">
        <v>1326</v>
      </c>
      <c r="D619" s="378">
        <v>3.4997080800583118E-3</v>
      </c>
      <c r="F619" s="495">
        <v>1996199.1598296759</v>
      </c>
      <c r="G619" s="495">
        <v>4447432.3023196757</v>
      </c>
      <c r="H619" s="495">
        <v>432424.33973467571</v>
      </c>
      <c r="I619" s="495">
        <v>-362621.05969999998</v>
      </c>
      <c r="J619" s="495">
        <v>0</v>
      </c>
      <c r="M619" s="495">
        <v>1608301.2069900001</v>
      </c>
      <c r="N619" s="495">
        <v>1636095.2731600001</v>
      </c>
      <c r="O619" s="495">
        <v>861616.05127000005</v>
      </c>
      <c r="P619" s="495">
        <v>0</v>
      </c>
      <c r="Q619" s="495">
        <v>0</v>
      </c>
      <c r="T619" s="495">
        <v>661920.77716000006</v>
      </c>
      <c r="U619" s="495">
        <v>3008033.1940299999</v>
      </c>
      <c r="V619" s="495">
        <v>-100328.77568000001</v>
      </c>
      <c r="W619" s="495">
        <v>-362621.05969999998</v>
      </c>
      <c r="X619" s="495">
        <v>0</v>
      </c>
      <c r="AA619" s="495">
        <v>0</v>
      </c>
      <c r="AB619" s="495">
        <v>0</v>
      </c>
      <c r="AC619" s="495">
        <v>0</v>
      </c>
      <c r="AD619" s="495">
        <v>0</v>
      </c>
      <c r="AE619" s="495">
        <v>0</v>
      </c>
      <c r="AH619" s="495">
        <v>162868.82613000029</v>
      </c>
      <c r="AI619" s="495">
        <v>162868.82613000029</v>
      </c>
      <c r="AJ619" s="495">
        <v>0</v>
      </c>
      <c r="AK619" s="495">
        <v>0</v>
      </c>
      <c r="AL619" s="495">
        <v>0</v>
      </c>
      <c r="AO619" s="495">
        <v>-436891.65045032441</v>
      </c>
      <c r="AP619" s="495">
        <v>-359564.99100032437</v>
      </c>
      <c r="AQ619" s="495">
        <v>-328862.93585532438</v>
      </c>
      <c r="AR619" s="495">
        <v>0</v>
      </c>
      <c r="AS619" s="495">
        <v>0</v>
      </c>
    </row>
    <row r="620" spans="1:45">
      <c r="A620" s="390">
        <v>96721</v>
      </c>
      <c r="B620" s="393">
        <v>96721</v>
      </c>
      <c r="C620" s="499" t="s">
        <v>1327</v>
      </c>
      <c r="D620" s="378">
        <v>2.8878269896965425E-4</v>
      </c>
      <c r="F620" s="495">
        <v>202131.38128960977</v>
      </c>
      <c r="G620" s="495">
        <v>395111.09982960974</v>
      </c>
      <c r="H620" s="495">
        <v>88253.435724609764</v>
      </c>
      <c r="I620" s="495">
        <v>-29922.126199999999</v>
      </c>
      <c r="J620" s="495">
        <v>0</v>
      </c>
      <c r="M620" s="495">
        <v>132710.96754000001</v>
      </c>
      <c r="N620" s="495">
        <v>135004.42936000001</v>
      </c>
      <c r="O620" s="495">
        <v>71097.316420000003</v>
      </c>
      <c r="P620" s="495">
        <v>0</v>
      </c>
      <c r="Q620" s="495">
        <v>0</v>
      </c>
      <c r="T620" s="495">
        <v>54619.213360000002</v>
      </c>
      <c r="U620" s="495">
        <v>248211.58738000001</v>
      </c>
      <c r="V620" s="495">
        <v>-8278.7532800000008</v>
      </c>
      <c r="W620" s="495">
        <v>-29922.126199999999</v>
      </c>
      <c r="X620" s="495">
        <v>0</v>
      </c>
      <c r="AA620" s="495">
        <v>0</v>
      </c>
      <c r="AB620" s="495">
        <v>0</v>
      </c>
      <c r="AC620" s="495">
        <v>0</v>
      </c>
      <c r="AD620" s="495">
        <v>0</v>
      </c>
      <c r="AE620" s="495">
        <v>0</v>
      </c>
      <c r="AH620" s="495">
        <v>32027.332384609756</v>
      </c>
      <c r="AI620" s="495">
        <v>25434.872584609759</v>
      </c>
      <c r="AJ620" s="495">
        <v>25434.872584609759</v>
      </c>
      <c r="AK620" s="495">
        <v>0</v>
      </c>
      <c r="AL620" s="495">
        <v>0</v>
      </c>
      <c r="AO620" s="495">
        <v>-17226.131995000003</v>
      </c>
      <c r="AP620" s="495">
        <v>-13539.789495000006</v>
      </c>
      <c r="AQ620" s="495">
        <v>0</v>
      </c>
      <c r="AR620" s="495">
        <v>0</v>
      </c>
      <c r="AS620" s="495">
        <v>0</v>
      </c>
    </row>
    <row r="621" spans="1:45">
      <c r="A621" s="390">
        <v>96722</v>
      </c>
      <c r="B621" s="393">
        <v>96722</v>
      </c>
      <c r="C621" s="499" t="s">
        <v>3757</v>
      </c>
      <c r="D621" s="378">
        <v>2.6623947405794619E-5</v>
      </c>
      <c r="F621" s="495">
        <v>30219.832638210544</v>
      </c>
      <c r="G621" s="495">
        <v>36868.064783210546</v>
      </c>
      <c r="H621" s="495">
        <v>1526.057448210544</v>
      </c>
      <c r="I621" s="495">
        <v>-2758.6306</v>
      </c>
      <c r="J621" s="495">
        <v>0</v>
      </c>
      <c r="M621" s="495">
        <v>12235.11102</v>
      </c>
      <c r="N621" s="495">
        <v>12446.553679999999</v>
      </c>
      <c r="O621" s="495">
        <v>6554.72246</v>
      </c>
      <c r="P621" s="495">
        <v>0</v>
      </c>
      <c r="Q621" s="495">
        <v>0</v>
      </c>
      <c r="T621" s="495">
        <v>5035.5456800000002</v>
      </c>
      <c r="U621" s="495">
        <v>22883.536939999998</v>
      </c>
      <c r="V621" s="495">
        <v>-763.24864000000002</v>
      </c>
      <c r="W621" s="495">
        <v>-2758.6306</v>
      </c>
      <c r="X621" s="495">
        <v>0</v>
      </c>
      <c r="AA621" s="495">
        <v>0</v>
      </c>
      <c r="AB621" s="495">
        <v>0</v>
      </c>
      <c r="AC621" s="495">
        <v>0</v>
      </c>
      <c r="AD621" s="495">
        <v>0</v>
      </c>
      <c r="AE621" s="495">
        <v>0</v>
      </c>
      <c r="AH621" s="495">
        <v>19526.941755000003</v>
      </c>
      <c r="AI621" s="495">
        <v>8115.7399800000021</v>
      </c>
      <c r="AJ621" s="495">
        <v>0</v>
      </c>
      <c r="AK621" s="495">
        <v>0</v>
      </c>
      <c r="AL621" s="495">
        <v>0</v>
      </c>
      <c r="AO621" s="495">
        <v>-6577.765816789456</v>
      </c>
      <c r="AP621" s="495">
        <v>-6577.765816789456</v>
      </c>
      <c r="AQ621" s="495">
        <v>-4265.4163717894562</v>
      </c>
      <c r="AR621" s="495">
        <v>0</v>
      </c>
      <c r="AS621" s="495">
        <v>0</v>
      </c>
    </row>
    <row r="622" spans="1:45">
      <c r="A622" s="390">
        <v>96731</v>
      </c>
      <c r="B622" s="393">
        <v>96731</v>
      </c>
      <c r="C622" s="499" t="s">
        <v>1328</v>
      </c>
      <c r="D622" s="378">
        <v>2.1998263160180091E-4</v>
      </c>
      <c r="F622" s="495">
        <v>117624.76432648985</v>
      </c>
      <c r="G622" s="495">
        <v>262811.71790148981</v>
      </c>
      <c r="H622" s="495">
        <v>30742.777338989828</v>
      </c>
      <c r="I622" s="495">
        <v>-22793.4185</v>
      </c>
      <c r="J622" s="495">
        <v>0</v>
      </c>
      <c r="M622" s="495">
        <v>101093.63895000001</v>
      </c>
      <c r="N622" s="495">
        <v>102840.70180000001</v>
      </c>
      <c r="O622" s="495">
        <v>54158.948349999999</v>
      </c>
      <c r="P622" s="495">
        <v>0</v>
      </c>
      <c r="Q622" s="495">
        <v>0</v>
      </c>
      <c r="T622" s="495">
        <v>41606.621800000001</v>
      </c>
      <c r="U622" s="495">
        <v>189077.15815</v>
      </c>
      <c r="V622" s="495">
        <v>-6306.4063999999998</v>
      </c>
      <c r="W622" s="495">
        <v>-22793.4185</v>
      </c>
      <c r="X622" s="495">
        <v>0</v>
      </c>
      <c r="AA622" s="495">
        <v>0</v>
      </c>
      <c r="AB622" s="495">
        <v>0</v>
      </c>
      <c r="AC622" s="495">
        <v>0</v>
      </c>
      <c r="AD622" s="495">
        <v>0</v>
      </c>
      <c r="AE622" s="495">
        <v>0</v>
      </c>
      <c r="AH622" s="495">
        <v>18470.253750000003</v>
      </c>
      <c r="AI622" s="495">
        <v>0</v>
      </c>
      <c r="AJ622" s="495">
        <v>0</v>
      </c>
      <c r="AK622" s="495">
        <v>0</v>
      </c>
      <c r="AL622" s="495">
        <v>0</v>
      </c>
      <c r="AO622" s="495">
        <v>-43545.750173510169</v>
      </c>
      <c r="AP622" s="495">
        <v>-29106.142048510173</v>
      </c>
      <c r="AQ622" s="495">
        <v>-17109.76461101017</v>
      </c>
      <c r="AR622" s="495">
        <v>0</v>
      </c>
      <c r="AS622" s="495">
        <v>0</v>
      </c>
    </row>
    <row r="623" spans="1:45">
      <c r="B623" s="393">
        <v>96733</v>
      </c>
      <c r="C623" s="499" t="s">
        <v>1329</v>
      </c>
      <c r="D623" s="378">
        <v>0</v>
      </c>
      <c r="F623" s="495">
        <v>0</v>
      </c>
      <c r="G623" s="495">
        <v>0</v>
      </c>
      <c r="H623" s="495">
        <v>0</v>
      </c>
      <c r="I623" s="495">
        <v>0</v>
      </c>
      <c r="J623" s="495">
        <v>0</v>
      </c>
      <c r="M623" s="495">
        <v>0</v>
      </c>
      <c r="N623" s="495">
        <v>0</v>
      </c>
      <c r="O623" s="495">
        <v>0</v>
      </c>
      <c r="P623" s="495">
        <v>0</v>
      </c>
      <c r="Q623" s="495">
        <v>0</v>
      </c>
      <c r="T623" s="495">
        <v>0</v>
      </c>
      <c r="U623" s="495">
        <v>0</v>
      </c>
      <c r="V623" s="495">
        <v>0</v>
      </c>
      <c r="W623" s="495">
        <v>0</v>
      </c>
      <c r="X623" s="495">
        <v>0</v>
      </c>
      <c r="AA623" s="495">
        <v>0</v>
      </c>
      <c r="AB623" s="495">
        <v>0</v>
      </c>
      <c r="AC623" s="495">
        <v>0</v>
      </c>
      <c r="AD623" s="495">
        <v>0</v>
      </c>
      <c r="AE623" s="495">
        <v>0</v>
      </c>
      <c r="AH623" s="495">
        <v>0</v>
      </c>
      <c r="AI623" s="495">
        <v>0</v>
      </c>
      <c r="AJ623" s="495">
        <v>0</v>
      </c>
      <c r="AK623" s="495">
        <v>0</v>
      </c>
      <c r="AL623" s="495">
        <v>0</v>
      </c>
      <c r="AO623" s="495">
        <v>0</v>
      </c>
      <c r="AP623" s="495">
        <v>0</v>
      </c>
      <c r="AQ623" s="495">
        <v>0</v>
      </c>
      <c r="AR623" s="495">
        <v>0</v>
      </c>
      <c r="AS623" s="495">
        <v>0</v>
      </c>
    </row>
    <row r="624" spans="1:45">
      <c r="A624" s="390">
        <v>96741</v>
      </c>
      <c r="B624" s="393">
        <v>96741</v>
      </c>
      <c r="C624" s="499" t="s">
        <v>1330</v>
      </c>
      <c r="D624" s="378">
        <v>7.2520726112461692E-5</v>
      </c>
      <c r="F624" s="495">
        <v>38923.817707293259</v>
      </c>
      <c r="G624" s="495">
        <v>92709.857867293249</v>
      </c>
      <c r="H624" s="495">
        <v>11489.734267293257</v>
      </c>
      <c r="I624" s="495">
        <v>-7514.2112999999999</v>
      </c>
      <c r="J624" s="495">
        <v>0</v>
      </c>
      <c r="M624" s="495">
        <v>33327.118709999995</v>
      </c>
      <c r="N624" s="495">
        <v>33903.065640000001</v>
      </c>
      <c r="O624" s="495">
        <v>17854.35483</v>
      </c>
      <c r="P624" s="495">
        <v>0</v>
      </c>
      <c r="Q624" s="495">
        <v>0</v>
      </c>
      <c r="T624" s="495">
        <v>13716.281639999999</v>
      </c>
      <c r="U624" s="495">
        <v>62332.278869999995</v>
      </c>
      <c r="V624" s="495">
        <v>-2079.0067199999999</v>
      </c>
      <c r="W624" s="495">
        <v>-7514.2112999999999</v>
      </c>
      <c r="X624" s="495">
        <v>0</v>
      </c>
      <c r="AA624" s="495">
        <v>0</v>
      </c>
      <c r="AB624" s="495">
        <v>0</v>
      </c>
      <c r="AC624" s="495">
        <v>0</v>
      </c>
      <c r="AD624" s="495">
        <v>0</v>
      </c>
      <c r="AE624" s="495">
        <v>0</v>
      </c>
      <c r="AH624" s="495">
        <v>1565.0284500000055</v>
      </c>
      <c r="AI624" s="495">
        <v>760.1272000000065</v>
      </c>
      <c r="AJ624" s="495">
        <v>0</v>
      </c>
      <c r="AK624" s="495">
        <v>0</v>
      </c>
      <c r="AL624" s="495">
        <v>0</v>
      </c>
      <c r="AO624" s="495">
        <v>-9684.6110927067402</v>
      </c>
      <c r="AP624" s="495">
        <v>-4285.6138427067435</v>
      </c>
      <c r="AQ624" s="495">
        <v>-4285.6138427067435</v>
      </c>
      <c r="AR624" s="495">
        <v>0</v>
      </c>
      <c r="AS624" s="495">
        <v>0</v>
      </c>
    </row>
    <row r="625" spans="1:45">
      <c r="A625" s="390">
        <v>96751</v>
      </c>
      <c r="B625" s="393">
        <v>96751</v>
      </c>
      <c r="C625" s="499" t="s">
        <v>1331</v>
      </c>
      <c r="D625" s="378">
        <v>2.8421209987862614E-4</v>
      </c>
      <c r="F625" s="495">
        <v>114583.01366091434</v>
      </c>
      <c r="G625" s="495">
        <v>315505.21360591432</v>
      </c>
      <c r="H625" s="495">
        <v>4714.5215084143565</v>
      </c>
      <c r="I625" s="495">
        <v>-29448.537099999998</v>
      </c>
      <c r="J625" s="495">
        <v>0</v>
      </c>
      <c r="M625" s="495">
        <v>130610.49957</v>
      </c>
      <c r="N625" s="495">
        <v>132867.66188</v>
      </c>
      <c r="O625" s="495">
        <v>69972.031609999991</v>
      </c>
      <c r="P625" s="495">
        <v>0</v>
      </c>
      <c r="Q625" s="495">
        <v>0</v>
      </c>
      <c r="T625" s="495">
        <v>53754.73388</v>
      </c>
      <c r="U625" s="495">
        <v>244283.04629</v>
      </c>
      <c r="V625" s="495">
        <v>-8147.7222399999991</v>
      </c>
      <c r="W625" s="495">
        <v>-29448.537099999998</v>
      </c>
      <c r="X625" s="495">
        <v>0</v>
      </c>
      <c r="AA625" s="495">
        <v>0</v>
      </c>
      <c r="AB625" s="495">
        <v>0</v>
      </c>
      <c r="AC625" s="495">
        <v>0</v>
      </c>
      <c r="AD625" s="495">
        <v>0</v>
      </c>
      <c r="AE625" s="495">
        <v>0</v>
      </c>
      <c r="AH625" s="495">
        <v>7978.2469049999709</v>
      </c>
      <c r="AI625" s="495">
        <v>6955.2790049999676</v>
      </c>
      <c r="AJ625" s="495">
        <v>0</v>
      </c>
      <c r="AK625" s="495">
        <v>0</v>
      </c>
      <c r="AL625" s="495">
        <v>0</v>
      </c>
      <c r="AO625" s="495">
        <v>-77760.46669408564</v>
      </c>
      <c r="AP625" s="495">
        <v>-68600.773569085635</v>
      </c>
      <c r="AQ625" s="495">
        <v>-57109.787861585632</v>
      </c>
      <c r="AR625" s="495">
        <v>0</v>
      </c>
      <c r="AS625" s="495">
        <v>0</v>
      </c>
    </row>
    <row r="626" spans="1:45">
      <c r="A626" s="390">
        <v>96801</v>
      </c>
      <c r="B626" s="393">
        <v>96801</v>
      </c>
      <c r="C626" s="499" t="s">
        <v>1332</v>
      </c>
      <c r="D626" s="378">
        <v>7.3883937556298972E-3</v>
      </c>
      <c r="F626" s="495">
        <v>5210861.6345937243</v>
      </c>
      <c r="G626" s="495">
        <v>10431826.147468725</v>
      </c>
      <c r="H626" s="495">
        <v>2138974.206366227</v>
      </c>
      <c r="I626" s="495">
        <v>-765545.89899999998</v>
      </c>
      <c r="J626" s="495">
        <v>0</v>
      </c>
      <c r="M626" s="495">
        <v>3395358.2132999999</v>
      </c>
      <c r="N626" s="495">
        <v>3454035.5372000001</v>
      </c>
      <c r="O626" s="495">
        <v>1818997.0409000001</v>
      </c>
      <c r="P626" s="495">
        <v>0</v>
      </c>
      <c r="Q626" s="495">
        <v>0</v>
      </c>
      <c r="T626" s="495">
        <v>1397411.2172000001</v>
      </c>
      <c r="U626" s="495">
        <v>6350396.4101</v>
      </c>
      <c r="V626" s="495">
        <v>-211808.66560000001</v>
      </c>
      <c r="W626" s="495">
        <v>-765545.89899999998</v>
      </c>
      <c r="X626" s="495">
        <v>0</v>
      </c>
      <c r="AA626" s="495">
        <v>0</v>
      </c>
      <c r="AB626" s="495">
        <v>0</v>
      </c>
      <c r="AC626" s="495">
        <v>0</v>
      </c>
      <c r="AD626" s="495">
        <v>0</v>
      </c>
      <c r="AE626" s="495">
        <v>0</v>
      </c>
      <c r="AH626" s="495">
        <v>692665.63039872702</v>
      </c>
      <c r="AI626" s="495">
        <v>645430.00977372727</v>
      </c>
      <c r="AJ626" s="495">
        <v>531785.83106622705</v>
      </c>
      <c r="AK626" s="495">
        <v>0</v>
      </c>
      <c r="AL626" s="495">
        <v>0</v>
      </c>
      <c r="AO626" s="495">
        <v>-274573.42630500242</v>
      </c>
      <c r="AP626" s="495">
        <v>-18035.80960500185</v>
      </c>
      <c r="AQ626" s="495">
        <v>0</v>
      </c>
      <c r="AR626" s="495">
        <v>0</v>
      </c>
      <c r="AS626" s="495">
        <v>0</v>
      </c>
    </row>
    <row r="627" spans="1:45">
      <c r="A627" s="390">
        <v>96804</v>
      </c>
      <c r="B627" s="393">
        <v>96804</v>
      </c>
      <c r="C627" s="499" t="s">
        <v>1333</v>
      </c>
      <c r="D627" s="378">
        <v>2.6637937521812666E-4</v>
      </c>
      <c r="F627" s="495">
        <v>181161.92362617375</v>
      </c>
      <c r="G627" s="495">
        <v>359059.71651617374</v>
      </c>
      <c r="H627" s="495">
        <v>64362.379653673786</v>
      </c>
      <c r="I627" s="495">
        <v>-27600.814200000001</v>
      </c>
      <c r="J627" s="495">
        <v>0</v>
      </c>
      <c r="M627" s="495">
        <v>122415.45714</v>
      </c>
      <c r="N627" s="495">
        <v>124530.99576000001</v>
      </c>
      <c r="O627" s="495">
        <v>65581.697220000002</v>
      </c>
      <c r="P627" s="495">
        <v>0</v>
      </c>
      <c r="Q627" s="495">
        <v>0</v>
      </c>
      <c r="T627" s="495">
        <v>50381.939760000001</v>
      </c>
      <c r="U627" s="495">
        <v>228955.71858000002</v>
      </c>
      <c r="V627" s="495">
        <v>-7636.5004799999997</v>
      </c>
      <c r="W627" s="495">
        <v>-27600.814200000001</v>
      </c>
      <c r="X627" s="495">
        <v>0</v>
      </c>
      <c r="AA627" s="495">
        <v>0</v>
      </c>
      <c r="AB627" s="495">
        <v>0</v>
      </c>
      <c r="AC627" s="495">
        <v>0</v>
      </c>
      <c r="AD627" s="495">
        <v>0</v>
      </c>
      <c r="AE627" s="495">
        <v>0</v>
      </c>
      <c r="AH627" s="495">
        <v>16579.498338673759</v>
      </c>
      <c r="AI627" s="495">
        <v>8850.4075386737368</v>
      </c>
      <c r="AJ627" s="495">
        <v>6417.182913673787</v>
      </c>
      <c r="AK627" s="495">
        <v>0</v>
      </c>
      <c r="AL627" s="495">
        <v>0</v>
      </c>
      <c r="AO627" s="495">
        <v>-8214.9716125000123</v>
      </c>
      <c r="AP627" s="495">
        <v>-3277.4053625000088</v>
      </c>
      <c r="AQ627" s="495">
        <v>0</v>
      </c>
      <c r="AR627" s="495">
        <v>0</v>
      </c>
      <c r="AS627" s="495">
        <v>0</v>
      </c>
    </row>
    <row r="628" spans="1:45">
      <c r="A628" s="390">
        <v>96808</v>
      </c>
      <c r="B628" s="393">
        <v>96808</v>
      </c>
      <c r="C628" s="499" t="s">
        <v>1334</v>
      </c>
      <c r="D628" s="378">
        <v>1.1234862809631015E-3</v>
      </c>
      <c r="F628" s="495">
        <v>651886.70206149179</v>
      </c>
      <c r="G628" s="495">
        <v>1422510.6168814916</v>
      </c>
      <c r="H628" s="495">
        <v>261735.43784399191</v>
      </c>
      <c r="I628" s="495">
        <v>-116409.6516</v>
      </c>
      <c r="J628" s="495">
        <v>0</v>
      </c>
      <c r="M628" s="495">
        <v>516301.46171999996</v>
      </c>
      <c r="N628" s="495">
        <v>525223.99248000002</v>
      </c>
      <c r="O628" s="495">
        <v>276598.45355999999</v>
      </c>
      <c r="P628" s="495">
        <v>0</v>
      </c>
      <c r="Q628" s="495">
        <v>0</v>
      </c>
      <c r="T628" s="495">
        <v>212491.70447999999</v>
      </c>
      <c r="U628" s="495">
        <v>965647.43483999989</v>
      </c>
      <c r="V628" s="495">
        <v>-32207.831039999997</v>
      </c>
      <c r="W628" s="495">
        <v>-116409.6516</v>
      </c>
      <c r="X628" s="495">
        <v>0</v>
      </c>
      <c r="AA628" s="495">
        <v>0</v>
      </c>
      <c r="AB628" s="495">
        <v>0</v>
      </c>
      <c r="AC628" s="495">
        <v>0</v>
      </c>
      <c r="AD628" s="495">
        <v>0</v>
      </c>
      <c r="AE628" s="495">
        <v>0</v>
      </c>
      <c r="AH628" s="495">
        <v>17344.815323991901</v>
      </c>
      <c r="AI628" s="495">
        <v>17344.815323991901</v>
      </c>
      <c r="AJ628" s="495">
        <v>17344.815323991901</v>
      </c>
      <c r="AK628" s="495">
        <v>0</v>
      </c>
      <c r="AL628" s="495">
        <v>0</v>
      </c>
      <c r="AO628" s="495">
        <v>-94251.279462500097</v>
      </c>
      <c r="AP628" s="495">
        <v>-85705.625762499985</v>
      </c>
      <c r="AQ628" s="495">
        <v>0</v>
      </c>
      <c r="AR628" s="495">
        <v>0</v>
      </c>
      <c r="AS628" s="495">
        <v>0</v>
      </c>
    </row>
    <row r="629" spans="1:45">
      <c r="A629" s="390">
        <v>96811</v>
      </c>
      <c r="B629" s="393">
        <v>96811</v>
      </c>
      <c r="C629" s="499" t="s">
        <v>1335</v>
      </c>
      <c r="D629" s="378">
        <v>5.5944781196633556E-3</v>
      </c>
      <c r="F629" s="495">
        <v>3721335.8928378657</v>
      </c>
      <c r="G629" s="495">
        <v>7654795.2027628664</v>
      </c>
      <c r="H629" s="495">
        <v>1261164.9829878646</v>
      </c>
      <c r="I629" s="495">
        <v>-579669.94949999999</v>
      </c>
      <c r="J629" s="495">
        <v>0</v>
      </c>
      <c r="M629" s="495">
        <v>2570959.0066500003</v>
      </c>
      <c r="N629" s="495">
        <v>2615389.3686000002</v>
      </c>
      <c r="O629" s="495">
        <v>1377341.2204500001</v>
      </c>
      <c r="P629" s="495">
        <v>0</v>
      </c>
      <c r="Q629" s="495">
        <v>0</v>
      </c>
      <c r="T629" s="495">
        <v>1058117.2086</v>
      </c>
      <c r="U629" s="495">
        <v>4808508.5050500007</v>
      </c>
      <c r="V629" s="495">
        <v>-160381.13280000002</v>
      </c>
      <c r="W629" s="495">
        <v>-579669.94949999999</v>
      </c>
      <c r="X629" s="495">
        <v>0</v>
      </c>
      <c r="AA629" s="495">
        <v>0</v>
      </c>
      <c r="AB629" s="495">
        <v>0</v>
      </c>
      <c r="AC629" s="495">
        <v>0</v>
      </c>
      <c r="AD629" s="495">
        <v>0</v>
      </c>
      <c r="AE629" s="495">
        <v>0</v>
      </c>
      <c r="AH629" s="495">
        <v>230897.32911286521</v>
      </c>
      <c r="AI629" s="495">
        <v>230897.32911286521</v>
      </c>
      <c r="AJ629" s="495">
        <v>44204.89533786448</v>
      </c>
      <c r="AK629" s="495">
        <v>0</v>
      </c>
      <c r="AL629" s="495">
        <v>0</v>
      </c>
      <c r="AO629" s="495">
        <v>-138637.65152499964</v>
      </c>
      <c r="AP629" s="495">
        <v>0</v>
      </c>
      <c r="AQ629" s="495">
        <v>0</v>
      </c>
      <c r="AR629" s="495">
        <v>0</v>
      </c>
      <c r="AS629" s="495">
        <v>0</v>
      </c>
    </row>
    <row r="630" spans="1:45">
      <c r="A630" s="390">
        <v>96821</v>
      </c>
      <c r="B630" s="393">
        <v>96821</v>
      </c>
      <c r="C630" s="499" t="s">
        <v>1336</v>
      </c>
      <c r="D630" s="378">
        <v>1.0995228293213749E-3</v>
      </c>
      <c r="F630" s="495">
        <v>706558.75043558038</v>
      </c>
      <c r="G630" s="495">
        <v>1453157.2782705803</v>
      </c>
      <c r="H630" s="495">
        <v>273276.17251558014</v>
      </c>
      <c r="I630" s="495">
        <v>-113926.6768</v>
      </c>
      <c r="J630" s="495">
        <v>0</v>
      </c>
      <c r="M630" s="495">
        <v>505288.94256</v>
      </c>
      <c r="N630" s="495">
        <v>514021.15904</v>
      </c>
      <c r="O630" s="495">
        <v>270698.71087999997</v>
      </c>
      <c r="P630" s="495">
        <v>0</v>
      </c>
      <c r="Q630" s="495">
        <v>0</v>
      </c>
      <c r="T630" s="495">
        <v>207959.33504000001</v>
      </c>
      <c r="U630" s="495">
        <v>945050.53232</v>
      </c>
      <c r="V630" s="495">
        <v>-31520.849920000001</v>
      </c>
      <c r="W630" s="495">
        <v>-113926.6768</v>
      </c>
      <c r="X630" s="495">
        <v>0</v>
      </c>
      <c r="AA630" s="495">
        <v>0</v>
      </c>
      <c r="AB630" s="495">
        <v>0</v>
      </c>
      <c r="AC630" s="495">
        <v>0</v>
      </c>
      <c r="AD630" s="495">
        <v>0</v>
      </c>
      <c r="AE630" s="495">
        <v>0</v>
      </c>
      <c r="AH630" s="495">
        <v>64201.97559558013</v>
      </c>
      <c r="AI630" s="495">
        <v>55088.399970580103</v>
      </c>
      <c r="AJ630" s="495">
        <v>34098.311555580156</v>
      </c>
      <c r="AK630" s="495">
        <v>0</v>
      </c>
      <c r="AL630" s="495">
        <v>0</v>
      </c>
      <c r="AO630" s="495">
        <v>-70891.502759999858</v>
      </c>
      <c r="AP630" s="495">
        <v>-61002.813059999869</v>
      </c>
      <c r="AQ630" s="495">
        <v>0</v>
      </c>
      <c r="AR630" s="495">
        <v>0</v>
      </c>
      <c r="AS630" s="495">
        <v>0</v>
      </c>
    </row>
    <row r="631" spans="1:45">
      <c r="A631" s="390">
        <v>96831</v>
      </c>
      <c r="B631" s="393">
        <v>96831</v>
      </c>
      <c r="C631" s="499" t="s">
        <v>1337</v>
      </c>
      <c r="D631" s="378">
        <v>9.6543298233861595E-4</v>
      </c>
      <c r="F631" s="495">
        <v>769632.8532686613</v>
      </c>
      <c r="G631" s="495">
        <v>1399088.9808836612</v>
      </c>
      <c r="H631" s="495">
        <v>301206.24477866106</v>
      </c>
      <c r="I631" s="495">
        <v>-100033.00270000001</v>
      </c>
      <c r="J631" s="495">
        <v>0</v>
      </c>
      <c r="M631" s="495">
        <v>443667.55509000004</v>
      </c>
      <c r="N631" s="495">
        <v>451334.85356000002</v>
      </c>
      <c r="O631" s="495">
        <v>237686.25257000001</v>
      </c>
      <c r="P631" s="495">
        <v>0</v>
      </c>
      <c r="Q631" s="495">
        <v>0</v>
      </c>
      <c r="T631" s="495">
        <v>182598.11756000001</v>
      </c>
      <c r="U631" s="495">
        <v>829798.99973000004</v>
      </c>
      <c r="V631" s="495">
        <v>-27676.794880000001</v>
      </c>
      <c r="W631" s="495">
        <v>-100033.00270000001</v>
      </c>
      <c r="X631" s="495">
        <v>0</v>
      </c>
      <c r="AA631" s="495">
        <v>0</v>
      </c>
      <c r="AB631" s="495">
        <v>0</v>
      </c>
      <c r="AC631" s="495">
        <v>0</v>
      </c>
      <c r="AD631" s="495">
        <v>0</v>
      </c>
      <c r="AE631" s="495">
        <v>0</v>
      </c>
      <c r="AH631" s="495">
        <v>143367.18061866122</v>
      </c>
      <c r="AI631" s="495">
        <v>117955.12759366119</v>
      </c>
      <c r="AJ631" s="495">
        <v>91196.787088661076</v>
      </c>
      <c r="AK631" s="495">
        <v>0</v>
      </c>
      <c r="AL631" s="495">
        <v>0</v>
      </c>
      <c r="AO631" s="495">
        <v>0</v>
      </c>
      <c r="AP631" s="495">
        <v>0</v>
      </c>
      <c r="AQ631" s="495">
        <v>0</v>
      </c>
      <c r="AR631" s="495">
        <v>0</v>
      </c>
      <c r="AS631" s="495">
        <v>0</v>
      </c>
    </row>
    <row r="632" spans="1:45">
      <c r="A632" s="390">
        <v>96901</v>
      </c>
      <c r="B632" s="393">
        <v>96901</v>
      </c>
      <c r="C632" s="499" t="s">
        <v>1338</v>
      </c>
      <c r="D632" s="378">
        <v>8.0551928016305637E-4</v>
      </c>
      <c r="F632" s="495">
        <v>518746.24308499362</v>
      </c>
      <c r="G632" s="495">
        <v>1079393.8245099934</v>
      </c>
      <c r="H632" s="495">
        <v>145776.23920249345</v>
      </c>
      <c r="I632" s="495">
        <v>-83463.601999999999</v>
      </c>
      <c r="J632" s="495">
        <v>0</v>
      </c>
      <c r="M632" s="495">
        <v>370178.75339999999</v>
      </c>
      <c r="N632" s="495">
        <v>376576.04559999995</v>
      </c>
      <c r="O632" s="495">
        <v>198316.0582</v>
      </c>
      <c r="P632" s="495">
        <v>0</v>
      </c>
      <c r="Q632" s="495">
        <v>0</v>
      </c>
      <c r="T632" s="495">
        <v>152352.6856</v>
      </c>
      <c r="U632" s="495">
        <v>692351.6398</v>
      </c>
      <c r="V632" s="495">
        <v>-23092.428799999998</v>
      </c>
      <c r="W632" s="495">
        <v>-83463.601999999999</v>
      </c>
      <c r="X632" s="495">
        <v>0</v>
      </c>
      <c r="AA632" s="495">
        <v>0</v>
      </c>
      <c r="AB632" s="495">
        <v>0</v>
      </c>
      <c r="AC632" s="495">
        <v>0</v>
      </c>
      <c r="AD632" s="495">
        <v>0</v>
      </c>
      <c r="AE632" s="495">
        <v>0</v>
      </c>
      <c r="AH632" s="495">
        <v>53539.181360000221</v>
      </c>
      <c r="AI632" s="495">
        <v>48013.136985000223</v>
      </c>
      <c r="AJ632" s="495">
        <v>0</v>
      </c>
      <c r="AK632" s="495">
        <v>0</v>
      </c>
      <c r="AL632" s="495">
        <v>0</v>
      </c>
      <c r="AO632" s="495">
        <v>-57324.377275006686</v>
      </c>
      <c r="AP632" s="495">
        <v>-37546.997875006593</v>
      </c>
      <c r="AQ632" s="495">
        <v>-29447.390197506567</v>
      </c>
      <c r="AR632" s="495">
        <v>0</v>
      </c>
      <c r="AS632" s="495">
        <v>0</v>
      </c>
    </row>
    <row r="633" spans="1:45">
      <c r="A633" s="390">
        <v>96911</v>
      </c>
      <c r="B633" s="393">
        <v>96911</v>
      </c>
      <c r="C633" s="499" t="s">
        <v>1339</v>
      </c>
      <c r="D633" s="378">
        <v>1.5602762477389808E-6</v>
      </c>
      <c r="F633" s="495">
        <v>2494.3903124759004</v>
      </c>
      <c r="G633" s="495">
        <v>2073.9103474759004</v>
      </c>
      <c r="H633" s="495">
        <v>-585.42916252410043</v>
      </c>
      <c r="I633" s="495">
        <v>-161.6628</v>
      </c>
      <c r="J633" s="495">
        <v>0</v>
      </c>
      <c r="M633" s="495">
        <v>717.00876000000005</v>
      </c>
      <c r="N633" s="495">
        <v>729.39984000000004</v>
      </c>
      <c r="O633" s="495">
        <v>384.12348000000003</v>
      </c>
      <c r="P633" s="495">
        <v>0</v>
      </c>
      <c r="Q633" s="495">
        <v>0</v>
      </c>
      <c r="T633" s="495">
        <v>295.09584000000001</v>
      </c>
      <c r="U633" s="495">
        <v>1341.0337200000001</v>
      </c>
      <c r="V633" s="495">
        <v>-44.728320000000004</v>
      </c>
      <c r="W633" s="495">
        <v>-161.6628</v>
      </c>
      <c r="X633" s="495">
        <v>0</v>
      </c>
      <c r="AA633" s="495">
        <v>0</v>
      </c>
      <c r="AB633" s="495">
        <v>0</v>
      </c>
      <c r="AC633" s="495">
        <v>0</v>
      </c>
      <c r="AD633" s="495">
        <v>0</v>
      </c>
      <c r="AE633" s="495">
        <v>0</v>
      </c>
      <c r="AH633" s="495">
        <v>2407.1100350000006</v>
      </c>
      <c r="AI633" s="495">
        <v>928.30111000000045</v>
      </c>
      <c r="AJ633" s="495">
        <v>0</v>
      </c>
      <c r="AK633" s="495">
        <v>0</v>
      </c>
      <c r="AL633" s="495">
        <v>0</v>
      </c>
      <c r="AO633" s="495">
        <v>-924.82432252410047</v>
      </c>
      <c r="AP633" s="495">
        <v>-924.82432252410047</v>
      </c>
      <c r="AQ633" s="495">
        <v>-924.82432252410047</v>
      </c>
      <c r="AR633" s="495">
        <v>0</v>
      </c>
      <c r="AS633" s="495">
        <v>0</v>
      </c>
    </row>
    <row r="634" spans="1:45">
      <c r="A634" s="390">
        <v>96912</v>
      </c>
      <c r="B634" s="393">
        <v>96912</v>
      </c>
      <c r="C634" s="499" t="s">
        <v>1340</v>
      </c>
      <c r="D634" s="378">
        <v>6.0238947167033188E-5</v>
      </c>
      <c r="F634" s="495">
        <v>26804.765072226546</v>
      </c>
      <c r="G634" s="495">
        <v>69872.711827226551</v>
      </c>
      <c r="H634" s="495">
        <v>10006.837069726549</v>
      </c>
      <c r="I634" s="495">
        <v>-6241.6349</v>
      </c>
      <c r="J634" s="495">
        <v>0</v>
      </c>
      <c r="M634" s="495">
        <v>27682.972829999999</v>
      </c>
      <c r="N634" s="495">
        <v>28161.379719999997</v>
      </c>
      <c r="O634" s="495">
        <v>14830.613589999999</v>
      </c>
      <c r="P634" s="495">
        <v>0</v>
      </c>
      <c r="Q634" s="495">
        <v>0</v>
      </c>
      <c r="T634" s="495">
        <v>11393.34772</v>
      </c>
      <c r="U634" s="495">
        <v>51775.93651</v>
      </c>
      <c r="V634" s="495">
        <v>-1726.9145599999999</v>
      </c>
      <c r="W634" s="495">
        <v>-6241.6349</v>
      </c>
      <c r="X634" s="495">
        <v>0</v>
      </c>
      <c r="AA634" s="495">
        <v>0</v>
      </c>
      <c r="AB634" s="495">
        <v>0</v>
      </c>
      <c r="AC634" s="495">
        <v>0</v>
      </c>
      <c r="AD634" s="495">
        <v>0</v>
      </c>
      <c r="AE634" s="495">
        <v>0</v>
      </c>
      <c r="AH634" s="495">
        <v>0</v>
      </c>
      <c r="AI634" s="495">
        <v>0</v>
      </c>
      <c r="AJ634" s="495">
        <v>0</v>
      </c>
      <c r="AK634" s="495">
        <v>0</v>
      </c>
      <c r="AL634" s="495">
        <v>0</v>
      </c>
      <c r="AO634" s="495">
        <v>-12271.555477773451</v>
      </c>
      <c r="AP634" s="495">
        <v>-10064.604402773446</v>
      </c>
      <c r="AQ634" s="495">
        <v>-3096.8619602734498</v>
      </c>
      <c r="AR634" s="495">
        <v>0</v>
      </c>
      <c r="AS634" s="495">
        <v>0</v>
      </c>
    </row>
    <row r="635" spans="1:45">
      <c r="A635" s="390">
        <v>96918</v>
      </c>
      <c r="B635" s="393">
        <v>96918</v>
      </c>
      <c r="C635" s="499" t="s">
        <v>1341</v>
      </c>
      <c r="D635" s="378">
        <v>4.0345981349136028E-5</v>
      </c>
      <c r="F635" s="495">
        <v>35521.297194408835</v>
      </c>
      <c r="G635" s="495">
        <v>53157.617109408835</v>
      </c>
      <c r="H635" s="495">
        <v>14918.72900190883</v>
      </c>
      <c r="I635" s="495">
        <v>-4180.4341999999997</v>
      </c>
      <c r="J635" s="495">
        <v>0</v>
      </c>
      <c r="M635" s="495">
        <v>18541.111139999997</v>
      </c>
      <c r="N635" s="495">
        <v>18861.531759999998</v>
      </c>
      <c r="O635" s="495">
        <v>9933.0392199999987</v>
      </c>
      <c r="P635" s="495">
        <v>0</v>
      </c>
      <c r="Q635" s="495">
        <v>0</v>
      </c>
      <c r="T635" s="495">
        <v>7630.875759999999</v>
      </c>
      <c r="U635" s="495">
        <v>34677.756579999994</v>
      </c>
      <c r="V635" s="495">
        <v>-1156.6284799999999</v>
      </c>
      <c r="W635" s="495">
        <v>-4180.4341999999997</v>
      </c>
      <c r="X635" s="495">
        <v>0</v>
      </c>
      <c r="AA635" s="495">
        <v>0</v>
      </c>
      <c r="AB635" s="495">
        <v>0</v>
      </c>
      <c r="AC635" s="495">
        <v>0</v>
      </c>
      <c r="AD635" s="495">
        <v>0</v>
      </c>
      <c r="AE635" s="495">
        <v>0</v>
      </c>
      <c r="AH635" s="495">
        <v>17038.300109408829</v>
      </c>
      <c r="AI635" s="495">
        <v>7307.3185844088293</v>
      </c>
      <c r="AJ635" s="495">
        <v>6142.3182619088311</v>
      </c>
      <c r="AK635" s="495">
        <v>0</v>
      </c>
      <c r="AL635" s="495">
        <v>0</v>
      </c>
      <c r="AO635" s="495">
        <v>-7688.9898149999899</v>
      </c>
      <c r="AP635" s="495">
        <v>-7688.9898149999899</v>
      </c>
      <c r="AQ635" s="495">
        <v>0</v>
      </c>
      <c r="AR635" s="495">
        <v>0</v>
      </c>
      <c r="AS635" s="495">
        <v>0</v>
      </c>
    </row>
    <row r="636" spans="1:45">
      <c r="A636" s="390">
        <v>97001</v>
      </c>
      <c r="B636" s="393">
        <v>97001</v>
      </c>
      <c r="C636" s="499" t="s">
        <v>1342</v>
      </c>
      <c r="D636" s="378">
        <v>1.4072783806461063E-3</v>
      </c>
      <c r="F636" s="495">
        <v>953367.04887770128</v>
      </c>
      <c r="G636" s="495">
        <v>1880855.2920727013</v>
      </c>
      <c r="H636" s="495">
        <v>348656.95457770105</v>
      </c>
      <c r="I636" s="495">
        <v>-145814.66409999999</v>
      </c>
      <c r="J636" s="495">
        <v>0</v>
      </c>
      <c r="M636" s="495">
        <v>646718.92047000001</v>
      </c>
      <c r="N636" s="495">
        <v>657895.27748000005</v>
      </c>
      <c r="O636" s="495">
        <v>346467.06731000001</v>
      </c>
      <c r="P636" s="495">
        <v>0</v>
      </c>
      <c r="Q636" s="495">
        <v>0</v>
      </c>
      <c r="T636" s="495">
        <v>266166.98947999999</v>
      </c>
      <c r="U636" s="495">
        <v>1209569.43359</v>
      </c>
      <c r="V636" s="495">
        <v>-40343.511040000005</v>
      </c>
      <c r="W636" s="495">
        <v>-145814.66409999999</v>
      </c>
      <c r="X636" s="495">
        <v>0</v>
      </c>
      <c r="AA636" s="495">
        <v>0</v>
      </c>
      <c r="AB636" s="495">
        <v>0</v>
      </c>
      <c r="AC636" s="495">
        <v>0</v>
      </c>
      <c r="AD636" s="495">
        <v>0</v>
      </c>
      <c r="AE636" s="495">
        <v>0</v>
      </c>
      <c r="AH636" s="495">
        <v>91481.527067701041</v>
      </c>
      <c r="AI636" s="495">
        <v>64390.969142701062</v>
      </c>
      <c r="AJ636" s="495">
        <v>42533.398307701042</v>
      </c>
      <c r="AK636" s="495">
        <v>0</v>
      </c>
      <c r="AL636" s="495">
        <v>0</v>
      </c>
      <c r="AO636" s="495">
        <v>-51000.388139999835</v>
      </c>
      <c r="AP636" s="495">
        <v>-51000.388139999835</v>
      </c>
      <c r="AQ636" s="495">
        <v>0</v>
      </c>
      <c r="AR636" s="495">
        <v>0</v>
      </c>
      <c r="AS636" s="495">
        <v>0</v>
      </c>
    </row>
    <row r="637" spans="1:45">
      <c r="A637" s="390">
        <v>97002</v>
      </c>
      <c r="B637" s="393">
        <v>97002</v>
      </c>
      <c r="C637" s="499" t="s">
        <v>1343</v>
      </c>
      <c r="D637" s="378">
        <v>3.8166653594414021E-4</v>
      </c>
      <c r="F637" s="495">
        <v>155324.5632699859</v>
      </c>
      <c r="G637" s="495">
        <v>451557.07790498587</v>
      </c>
      <c r="H637" s="495">
        <v>42411.66969998589</v>
      </c>
      <c r="I637" s="495">
        <v>-39546.244299999998</v>
      </c>
      <c r="J637" s="495">
        <v>0</v>
      </c>
      <c r="M637" s="495">
        <v>175395.96981000001</v>
      </c>
      <c r="N637" s="495">
        <v>178427.09804000001</v>
      </c>
      <c r="O637" s="495">
        <v>93964.975130000006</v>
      </c>
      <c r="P637" s="495">
        <v>0</v>
      </c>
      <c r="Q637" s="495">
        <v>0</v>
      </c>
      <c r="T637" s="495">
        <v>72186.874039999995</v>
      </c>
      <c r="U637" s="495">
        <v>328046.07556999999</v>
      </c>
      <c r="V637" s="495">
        <v>-10941.521919999999</v>
      </c>
      <c r="W637" s="495">
        <v>-39546.244299999998</v>
      </c>
      <c r="X637" s="495">
        <v>0</v>
      </c>
      <c r="AA637" s="495">
        <v>0</v>
      </c>
      <c r="AB637" s="495">
        <v>0</v>
      </c>
      <c r="AC637" s="495">
        <v>0</v>
      </c>
      <c r="AD637" s="495">
        <v>0</v>
      </c>
      <c r="AE637" s="495">
        <v>0</v>
      </c>
      <c r="AH637" s="495">
        <v>7127.4764400000113</v>
      </c>
      <c r="AI637" s="495">
        <v>7127.4764400000113</v>
      </c>
      <c r="AJ637" s="495">
        <v>0</v>
      </c>
      <c r="AK637" s="495">
        <v>0</v>
      </c>
      <c r="AL637" s="495">
        <v>0</v>
      </c>
      <c r="AO637" s="495">
        <v>-99385.75702001412</v>
      </c>
      <c r="AP637" s="495">
        <v>-62043.572145014106</v>
      </c>
      <c r="AQ637" s="495">
        <v>-40611.783510014116</v>
      </c>
      <c r="AR637" s="495">
        <v>0</v>
      </c>
      <c r="AS637" s="495">
        <v>0</v>
      </c>
    </row>
    <row r="638" spans="1:45">
      <c r="A638" s="390">
        <v>97004</v>
      </c>
      <c r="B638" s="500">
        <v>97004</v>
      </c>
      <c r="C638" s="501" t="s">
        <v>1344</v>
      </c>
      <c r="D638" s="378">
        <v>1.6842438081279408E-5</v>
      </c>
      <c r="F638" s="495">
        <v>11722.240231150103</v>
      </c>
      <c r="G638" s="495">
        <v>22753.361971150101</v>
      </c>
      <c r="H638" s="495">
        <v>7047.0871686500977</v>
      </c>
      <c r="I638" s="495">
        <v>-1745.1292000000001</v>
      </c>
      <c r="J638" s="495">
        <v>0</v>
      </c>
      <c r="M638" s="495">
        <v>7740.0176400000009</v>
      </c>
      <c r="N638" s="495">
        <v>7873.7777600000009</v>
      </c>
      <c r="O638" s="495">
        <v>4146.5637200000001</v>
      </c>
      <c r="P638" s="495">
        <v>0</v>
      </c>
      <c r="Q638" s="495">
        <v>0</v>
      </c>
      <c r="T638" s="495">
        <v>3185.5217600000001</v>
      </c>
      <c r="U638" s="495">
        <v>14476.287080000002</v>
      </c>
      <c r="V638" s="495">
        <v>-482.83648000000005</v>
      </c>
      <c r="W638" s="495">
        <v>-1745.1292000000001</v>
      </c>
      <c r="X638" s="495">
        <v>0</v>
      </c>
      <c r="AA638" s="495">
        <v>0</v>
      </c>
      <c r="AB638" s="495">
        <v>0</v>
      </c>
      <c r="AC638" s="495">
        <v>0</v>
      </c>
      <c r="AD638" s="495">
        <v>0</v>
      </c>
      <c r="AE638" s="495">
        <v>0</v>
      </c>
      <c r="AH638" s="495">
        <v>3783.9519861500985</v>
      </c>
      <c r="AI638" s="495">
        <v>3390.5482861500977</v>
      </c>
      <c r="AJ638" s="495">
        <v>3383.3599286500976</v>
      </c>
      <c r="AK638" s="495">
        <v>0</v>
      </c>
      <c r="AL638" s="495">
        <v>0</v>
      </c>
      <c r="AO638" s="495">
        <v>-2987.2511549999972</v>
      </c>
      <c r="AP638" s="495">
        <v>-2987.2511549999972</v>
      </c>
      <c r="AQ638" s="495">
        <v>0</v>
      </c>
      <c r="AR638" s="495">
        <v>0</v>
      </c>
      <c r="AS638" s="495">
        <v>0</v>
      </c>
    </row>
    <row r="639" spans="1:45">
      <c r="A639" s="390">
        <v>97005</v>
      </c>
      <c r="B639" s="393">
        <v>97005</v>
      </c>
      <c r="C639" s="499" t="s">
        <v>1345</v>
      </c>
      <c r="D639" s="378">
        <v>2.8544287403011827E-5</v>
      </c>
      <c r="F639" s="495">
        <v>24489.929362219351</v>
      </c>
      <c r="G639" s="495">
        <v>43688.109227219349</v>
      </c>
      <c r="H639" s="495">
        <v>25259.709549719351</v>
      </c>
      <c r="I639" s="495">
        <v>-2957.6002000000003</v>
      </c>
      <c r="J639" s="495">
        <v>0</v>
      </c>
      <c r="M639" s="495">
        <v>13117.583340000001</v>
      </c>
      <c r="N639" s="495">
        <v>13344.27656</v>
      </c>
      <c r="O639" s="495">
        <v>7027.4898200000007</v>
      </c>
      <c r="P639" s="495">
        <v>0</v>
      </c>
      <c r="Q639" s="495">
        <v>0</v>
      </c>
      <c r="T639" s="495">
        <v>5398.7405600000002</v>
      </c>
      <c r="U639" s="495">
        <v>24534.039980000001</v>
      </c>
      <c r="V639" s="495">
        <v>-818.29888000000005</v>
      </c>
      <c r="W639" s="495">
        <v>-2957.6002000000003</v>
      </c>
      <c r="X639" s="495">
        <v>0</v>
      </c>
      <c r="AA639" s="495">
        <v>0</v>
      </c>
      <c r="AB639" s="495">
        <v>0</v>
      </c>
      <c r="AC639" s="495">
        <v>0</v>
      </c>
      <c r="AD639" s="495">
        <v>0</v>
      </c>
      <c r="AE639" s="495">
        <v>0</v>
      </c>
      <c r="AH639" s="495">
        <v>21994.648792219352</v>
      </c>
      <c r="AI639" s="495">
        <v>21824.154142219351</v>
      </c>
      <c r="AJ639" s="495">
        <v>19050.518609719351</v>
      </c>
      <c r="AK639" s="495">
        <v>0</v>
      </c>
      <c r="AL639" s="495">
        <v>0</v>
      </c>
      <c r="AO639" s="495">
        <v>-16021.043330000002</v>
      </c>
      <c r="AP639" s="495">
        <v>-16014.361455000002</v>
      </c>
      <c r="AQ639" s="495">
        <v>0</v>
      </c>
      <c r="AR639" s="495">
        <v>0</v>
      </c>
      <c r="AS639" s="495">
        <v>0</v>
      </c>
    </row>
    <row r="640" spans="1:45">
      <c r="A640" s="390">
        <v>97008</v>
      </c>
      <c r="B640" s="393">
        <v>97008</v>
      </c>
      <c r="C640" s="499" t="s">
        <v>1346</v>
      </c>
      <c r="D640" s="378">
        <v>2.4759671722927564E-4</v>
      </c>
      <c r="F640" s="495">
        <v>115569.30036829092</v>
      </c>
      <c r="G640" s="495">
        <v>257571.62205329092</v>
      </c>
      <c r="H640" s="495">
        <v>51504.22847329091</v>
      </c>
      <c r="I640" s="495">
        <v>-25654.642800000001</v>
      </c>
      <c r="J640" s="495">
        <v>0</v>
      </c>
      <c r="M640" s="495">
        <v>113783.77476000001</v>
      </c>
      <c r="N640" s="495">
        <v>115750.14384</v>
      </c>
      <c r="O640" s="495">
        <v>60957.441480000009</v>
      </c>
      <c r="P640" s="495">
        <v>0</v>
      </c>
      <c r="Q640" s="495">
        <v>0</v>
      </c>
      <c r="T640" s="495">
        <v>46829.439840000006</v>
      </c>
      <c r="U640" s="495">
        <v>212811.73572000003</v>
      </c>
      <c r="V640" s="495">
        <v>-7098.040320000001</v>
      </c>
      <c r="W640" s="495">
        <v>-25654.642800000001</v>
      </c>
      <c r="X640" s="495">
        <v>0</v>
      </c>
      <c r="AA640" s="495">
        <v>0</v>
      </c>
      <c r="AB640" s="495">
        <v>0</v>
      </c>
      <c r="AC640" s="495">
        <v>0</v>
      </c>
      <c r="AD640" s="495">
        <v>0</v>
      </c>
      <c r="AE640" s="495">
        <v>0</v>
      </c>
      <c r="AH640" s="495">
        <v>42250.603240000026</v>
      </c>
      <c r="AI640" s="495">
        <v>4571.2855899999849</v>
      </c>
      <c r="AJ640" s="495">
        <v>0</v>
      </c>
      <c r="AK640" s="495">
        <v>0</v>
      </c>
      <c r="AL640" s="495">
        <v>0</v>
      </c>
      <c r="AO640" s="495">
        <v>-87294.517471709114</v>
      </c>
      <c r="AP640" s="495">
        <v>-75561.543096709094</v>
      </c>
      <c r="AQ640" s="495">
        <v>-2355.1726867090983</v>
      </c>
      <c r="AR640" s="495">
        <v>0</v>
      </c>
      <c r="AS640" s="495">
        <v>0</v>
      </c>
    </row>
    <row r="641" spans="1:45">
      <c r="A641" s="390">
        <v>97011</v>
      </c>
      <c r="B641" s="393">
        <v>97011</v>
      </c>
      <c r="C641" s="499" t="s">
        <v>1348</v>
      </c>
      <c r="D641" s="378">
        <v>1.583254308600306E-3</v>
      </c>
      <c r="F641" s="495">
        <v>760001.99866128177</v>
      </c>
      <c r="G641" s="495">
        <v>1799232.2997812817</v>
      </c>
      <c r="H641" s="495">
        <v>187673.58180378156</v>
      </c>
      <c r="I641" s="495">
        <v>-164048.36260000002</v>
      </c>
      <c r="J641" s="495">
        <v>0</v>
      </c>
      <c r="M641" s="495">
        <v>727589.23542000004</v>
      </c>
      <c r="N641" s="495">
        <v>740163.1632800001</v>
      </c>
      <c r="O641" s="495">
        <v>389791.76366</v>
      </c>
      <c r="P641" s="495">
        <v>0</v>
      </c>
      <c r="Q641" s="495">
        <v>0</v>
      </c>
      <c r="T641" s="495">
        <v>299450.39528</v>
      </c>
      <c r="U641" s="495">
        <v>1360822.5637400001</v>
      </c>
      <c r="V641" s="495">
        <v>-45388.349440000005</v>
      </c>
      <c r="W641" s="495">
        <v>-164048.36260000002</v>
      </c>
      <c r="X641" s="495">
        <v>0</v>
      </c>
      <c r="AA641" s="495">
        <v>0</v>
      </c>
      <c r="AB641" s="495">
        <v>0</v>
      </c>
      <c r="AC641" s="495">
        <v>0</v>
      </c>
      <c r="AD641" s="495">
        <v>0</v>
      </c>
      <c r="AE641" s="495">
        <v>0</v>
      </c>
      <c r="AH641" s="495">
        <v>50239.090199999977</v>
      </c>
      <c r="AI641" s="495">
        <v>0</v>
      </c>
      <c r="AJ641" s="495">
        <v>0</v>
      </c>
      <c r="AK641" s="495">
        <v>0</v>
      </c>
      <c r="AL641" s="495">
        <v>0</v>
      </c>
      <c r="AO641" s="495">
        <v>-317276.72223871836</v>
      </c>
      <c r="AP641" s="495">
        <v>-301753.42723871837</v>
      </c>
      <c r="AQ641" s="495">
        <v>-156729.83241621841</v>
      </c>
      <c r="AR641" s="495">
        <v>0</v>
      </c>
      <c r="AS641" s="495">
        <v>0</v>
      </c>
    </row>
    <row r="642" spans="1:45">
      <c r="A642" s="390">
        <v>97012</v>
      </c>
      <c r="B642" s="393">
        <v>97012</v>
      </c>
      <c r="C642" s="499" t="s">
        <v>1349</v>
      </c>
      <c r="D642" s="378">
        <v>2.5633809184114486E-5</v>
      </c>
      <c r="F642" s="495">
        <v>20635.672284620076</v>
      </c>
      <c r="G642" s="495">
        <v>36061.360414620074</v>
      </c>
      <c r="H642" s="495">
        <v>7597.7217821200702</v>
      </c>
      <c r="I642" s="495">
        <v>-2656.0369000000001</v>
      </c>
      <c r="J642" s="495">
        <v>0</v>
      </c>
      <c r="M642" s="495">
        <v>11780.086230000001</v>
      </c>
      <c r="N642" s="495">
        <v>11983.66532</v>
      </c>
      <c r="O642" s="495">
        <v>6310.9517900000001</v>
      </c>
      <c r="P642" s="495">
        <v>0</v>
      </c>
      <c r="Q642" s="495">
        <v>0</v>
      </c>
      <c r="T642" s="495">
        <v>4848.2733200000002</v>
      </c>
      <c r="U642" s="495">
        <v>22032.496309999999</v>
      </c>
      <c r="V642" s="495">
        <v>-734.86336000000006</v>
      </c>
      <c r="W642" s="495">
        <v>-2656.0369000000001</v>
      </c>
      <c r="X642" s="495">
        <v>0</v>
      </c>
      <c r="AA642" s="495">
        <v>0</v>
      </c>
      <c r="AB642" s="495">
        <v>0</v>
      </c>
      <c r="AC642" s="495">
        <v>0</v>
      </c>
      <c r="AD642" s="495">
        <v>0</v>
      </c>
      <c r="AE642" s="495">
        <v>0</v>
      </c>
      <c r="AH642" s="495">
        <v>4958.1420496200717</v>
      </c>
      <c r="AI642" s="495">
        <v>2996.0280996200704</v>
      </c>
      <c r="AJ642" s="495">
        <v>2021.6333521200709</v>
      </c>
      <c r="AK642" s="495">
        <v>0</v>
      </c>
      <c r="AL642" s="495">
        <v>0</v>
      </c>
      <c r="AO642" s="495">
        <v>-950.82931499999836</v>
      </c>
      <c r="AP642" s="495">
        <v>-950.82931499999836</v>
      </c>
      <c r="AQ642" s="495">
        <v>0</v>
      </c>
      <c r="AR642" s="495">
        <v>0</v>
      </c>
      <c r="AS642" s="495">
        <v>0</v>
      </c>
    </row>
    <row r="643" spans="1:45">
      <c r="A643" s="390">
        <v>97013</v>
      </c>
      <c r="B643" s="393">
        <v>97013</v>
      </c>
      <c r="C643" s="499" t="s">
        <v>1350</v>
      </c>
      <c r="D643" s="378">
        <v>1.0411583796717119E-5</v>
      </c>
      <c r="F643" s="495">
        <v>208.60848661803175</v>
      </c>
      <c r="G643" s="495">
        <v>5270.2062466180269</v>
      </c>
      <c r="H643" s="495">
        <v>-6957.5667783819781</v>
      </c>
      <c r="I643" s="495">
        <v>-1078.7882999999999</v>
      </c>
      <c r="J643" s="495">
        <v>0</v>
      </c>
      <c r="M643" s="495">
        <v>4784.6546100000005</v>
      </c>
      <c r="N643" s="495">
        <v>4867.3412399999997</v>
      </c>
      <c r="O643" s="495">
        <v>2563.2855300000001</v>
      </c>
      <c r="P643" s="495">
        <v>0</v>
      </c>
      <c r="Q643" s="495">
        <v>0</v>
      </c>
      <c r="T643" s="495">
        <v>1969.19724</v>
      </c>
      <c r="U643" s="495">
        <v>8948.8211700000011</v>
      </c>
      <c r="V643" s="495">
        <v>-298.47552000000002</v>
      </c>
      <c r="W643" s="495">
        <v>-1078.7882999999999</v>
      </c>
      <c r="X643" s="495">
        <v>0</v>
      </c>
      <c r="AA643" s="495">
        <v>0</v>
      </c>
      <c r="AB643" s="495">
        <v>0</v>
      </c>
      <c r="AC643" s="495">
        <v>0</v>
      </c>
      <c r="AD643" s="495">
        <v>0</v>
      </c>
      <c r="AE643" s="495">
        <v>0</v>
      </c>
      <c r="AH643" s="495">
        <v>4399.107775000004</v>
      </c>
      <c r="AI643" s="495">
        <v>2398.3949750000002</v>
      </c>
      <c r="AJ643" s="495">
        <v>0</v>
      </c>
      <c r="AK643" s="495">
        <v>0</v>
      </c>
      <c r="AL643" s="495">
        <v>0</v>
      </c>
      <c r="AO643" s="495">
        <v>-10944.351138381973</v>
      </c>
      <c r="AP643" s="495">
        <v>-10944.351138381973</v>
      </c>
      <c r="AQ643" s="495">
        <v>-9222.3767883819783</v>
      </c>
      <c r="AR643" s="495">
        <v>0</v>
      </c>
      <c r="AS643" s="495">
        <v>0</v>
      </c>
    </row>
    <row r="644" spans="1:45">
      <c r="A644" s="390">
        <v>97015</v>
      </c>
      <c r="B644" s="393">
        <v>97015</v>
      </c>
      <c r="C644" s="499" t="s">
        <v>1351</v>
      </c>
      <c r="D644" s="378">
        <v>3.7325570193129758E-5</v>
      </c>
      <c r="F644" s="495">
        <v>18006.636933077283</v>
      </c>
      <c r="G644" s="495">
        <v>43081.83325307729</v>
      </c>
      <c r="H644" s="495">
        <v>5192.9925380772929</v>
      </c>
      <c r="I644" s="495">
        <v>-3867.4716000000003</v>
      </c>
      <c r="J644" s="495">
        <v>0</v>
      </c>
      <c r="M644" s="495">
        <v>17153.05572</v>
      </c>
      <c r="N644" s="495">
        <v>17449.48848</v>
      </c>
      <c r="O644" s="495">
        <v>9189.4155600000013</v>
      </c>
      <c r="P644" s="495">
        <v>0</v>
      </c>
      <c r="Q644" s="495">
        <v>0</v>
      </c>
      <c r="T644" s="495">
        <v>7059.6004800000001</v>
      </c>
      <c r="U644" s="495">
        <v>32081.652840000002</v>
      </c>
      <c r="V644" s="495">
        <v>-1070.0390400000001</v>
      </c>
      <c r="W644" s="495">
        <v>-3867.4716000000003</v>
      </c>
      <c r="X644" s="495">
        <v>0</v>
      </c>
      <c r="AA644" s="495">
        <v>0</v>
      </c>
      <c r="AB644" s="495">
        <v>0</v>
      </c>
      <c r="AC644" s="495">
        <v>0</v>
      </c>
      <c r="AD644" s="495">
        <v>0</v>
      </c>
      <c r="AE644" s="495">
        <v>0</v>
      </c>
      <c r="AH644" s="495">
        <v>795.92924499999754</v>
      </c>
      <c r="AI644" s="495">
        <v>325.31424499999957</v>
      </c>
      <c r="AJ644" s="495">
        <v>0</v>
      </c>
      <c r="AK644" s="495">
        <v>0</v>
      </c>
      <c r="AL644" s="495">
        <v>0</v>
      </c>
      <c r="AO644" s="495">
        <v>-7001.9485119227129</v>
      </c>
      <c r="AP644" s="495">
        <v>-6774.622311922717</v>
      </c>
      <c r="AQ644" s="495">
        <v>-2926.3839819227087</v>
      </c>
      <c r="AR644" s="495">
        <v>0</v>
      </c>
      <c r="AS644" s="495">
        <v>0</v>
      </c>
    </row>
    <row r="645" spans="1:45">
      <c r="A645" s="390">
        <v>97018</v>
      </c>
      <c r="B645" s="393">
        <v>97018</v>
      </c>
      <c r="C645" s="499" t="s">
        <v>1352</v>
      </c>
      <c r="D645" s="378">
        <v>1.8402269256398516E-6</v>
      </c>
      <c r="F645" s="495">
        <v>-5418.6559743873995</v>
      </c>
      <c r="G645" s="495">
        <v>-752.34363438740002</v>
      </c>
      <c r="H645" s="495">
        <v>843.0935206125996</v>
      </c>
      <c r="I645" s="495">
        <v>-190.67920000000001</v>
      </c>
      <c r="J645" s="495">
        <v>0</v>
      </c>
      <c r="M645" s="495">
        <v>845.70263999999997</v>
      </c>
      <c r="N645" s="495">
        <v>860.31776000000002</v>
      </c>
      <c r="O645" s="495">
        <v>453.06871999999998</v>
      </c>
      <c r="P645" s="495">
        <v>0</v>
      </c>
      <c r="Q645" s="495">
        <v>0</v>
      </c>
      <c r="T645" s="495">
        <v>348.06175999999999</v>
      </c>
      <c r="U645" s="495">
        <v>1581.73208</v>
      </c>
      <c r="V645" s="495">
        <v>-52.756479999999996</v>
      </c>
      <c r="W645" s="495">
        <v>-190.67920000000001</v>
      </c>
      <c r="X645" s="495">
        <v>0</v>
      </c>
      <c r="AA645" s="495">
        <v>0</v>
      </c>
      <c r="AB645" s="495">
        <v>0</v>
      </c>
      <c r="AC645" s="495">
        <v>0</v>
      </c>
      <c r="AD645" s="495">
        <v>0</v>
      </c>
      <c r="AE645" s="495">
        <v>0</v>
      </c>
      <c r="AH645" s="495">
        <v>2642.3110656126</v>
      </c>
      <c r="AI645" s="495">
        <v>1911.6348156125998</v>
      </c>
      <c r="AJ645" s="495">
        <v>442.78128061259963</v>
      </c>
      <c r="AK645" s="495">
        <v>0</v>
      </c>
      <c r="AL645" s="495">
        <v>0</v>
      </c>
      <c r="AO645" s="495">
        <v>-9254.7314399999996</v>
      </c>
      <c r="AP645" s="495">
        <v>-5106.0282900000002</v>
      </c>
      <c r="AQ645" s="495">
        <v>0</v>
      </c>
      <c r="AR645" s="495">
        <v>0</v>
      </c>
      <c r="AS645" s="495">
        <v>0</v>
      </c>
    </row>
    <row r="646" spans="1:45">
      <c r="A646" s="390">
        <v>97101</v>
      </c>
      <c r="B646" s="393">
        <v>97101</v>
      </c>
      <c r="C646" s="499" t="s">
        <v>1353</v>
      </c>
      <c r="D646" s="378">
        <v>2.8701849044748891E-3</v>
      </c>
      <c r="F646" s="495">
        <v>1808661.1501059853</v>
      </c>
      <c r="G646" s="495">
        <v>3731668.9213159857</v>
      </c>
      <c r="H646" s="495">
        <v>678142.29194848542</v>
      </c>
      <c r="I646" s="495">
        <v>-297393.22879999998</v>
      </c>
      <c r="J646" s="495">
        <v>0</v>
      </c>
      <c r="M646" s="495">
        <v>1319001.9609599998</v>
      </c>
      <c r="N646" s="495">
        <v>1341796.4646399999</v>
      </c>
      <c r="O646" s="495">
        <v>706629.61407999997</v>
      </c>
      <c r="P646" s="495">
        <v>0</v>
      </c>
      <c r="Q646" s="495">
        <v>0</v>
      </c>
      <c r="T646" s="495">
        <v>542855.28064000001</v>
      </c>
      <c r="U646" s="495">
        <v>2466951.8771199998</v>
      </c>
      <c r="V646" s="495">
        <v>-82281.758719999998</v>
      </c>
      <c r="W646" s="495">
        <v>-297393.22879999998</v>
      </c>
      <c r="X646" s="495">
        <v>0</v>
      </c>
      <c r="AA646" s="495">
        <v>0</v>
      </c>
      <c r="AB646" s="495">
        <v>0</v>
      </c>
      <c r="AC646" s="495">
        <v>0</v>
      </c>
      <c r="AD646" s="495">
        <v>0</v>
      </c>
      <c r="AE646" s="495">
        <v>0</v>
      </c>
      <c r="AH646" s="495">
        <v>114093.11219098569</v>
      </c>
      <c r="AI646" s="495">
        <v>70957.965740985572</v>
      </c>
      <c r="AJ646" s="495">
        <v>53794.436588485478</v>
      </c>
      <c r="AK646" s="495">
        <v>0</v>
      </c>
      <c r="AL646" s="495">
        <v>0</v>
      </c>
      <c r="AO646" s="495">
        <v>-167289.20368500007</v>
      </c>
      <c r="AP646" s="495">
        <v>-148037.38618499995</v>
      </c>
      <c r="AQ646" s="495">
        <v>0</v>
      </c>
      <c r="AR646" s="495">
        <v>0</v>
      </c>
      <c r="AS646" s="495">
        <v>0</v>
      </c>
    </row>
    <row r="647" spans="1:45">
      <c r="A647" s="390">
        <v>97104</v>
      </c>
      <c r="B647" s="393">
        <v>97104</v>
      </c>
      <c r="C647" s="499" t="s">
        <v>1354</v>
      </c>
      <c r="D647" s="378">
        <v>7.011036116076299E-5</v>
      </c>
      <c r="F647" s="495">
        <v>56450.881210295222</v>
      </c>
      <c r="G647" s="495">
        <v>98609.777085295238</v>
      </c>
      <c r="H647" s="495">
        <v>6623.1163552952439</v>
      </c>
      <c r="I647" s="495">
        <v>-7264.4629999999997</v>
      </c>
      <c r="J647" s="495">
        <v>0</v>
      </c>
      <c r="M647" s="495">
        <v>32219.432099999998</v>
      </c>
      <c r="N647" s="495">
        <v>32776.236400000002</v>
      </c>
      <c r="O647" s="495">
        <v>17260.933300000001</v>
      </c>
      <c r="P647" s="495">
        <v>0</v>
      </c>
      <c r="Q647" s="495">
        <v>0</v>
      </c>
      <c r="T647" s="495">
        <v>13260.3964</v>
      </c>
      <c r="U647" s="495">
        <v>60260.553699999997</v>
      </c>
      <c r="V647" s="495">
        <v>-2009.9071999999999</v>
      </c>
      <c r="W647" s="495">
        <v>-7264.4629999999997</v>
      </c>
      <c r="X647" s="495">
        <v>0</v>
      </c>
      <c r="AA647" s="495">
        <v>0</v>
      </c>
      <c r="AB647" s="495">
        <v>0</v>
      </c>
      <c r="AC647" s="495">
        <v>0</v>
      </c>
      <c r="AD647" s="495">
        <v>0</v>
      </c>
      <c r="AE647" s="495">
        <v>0</v>
      </c>
      <c r="AH647" s="495">
        <v>19598.962454999986</v>
      </c>
      <c r="AI647" s="495">
        <v>14200.896729999993</v>
      </c>
      <c r="AJ647" s="495">
        <v>0</v>
      </c>
      <c r="AK647" s="495">
        <v>0</v>
      </c>
      <c r="AL647" s="495">
        <v>0</v>
      </c>
      <c r="AO647" s="495">
        <v>-8627.909744704757</v>
      </c>
      <c r="AP647" s="495">
        <v>-8627.909744704757</v>
      </c>
      <c r="AQ647" s="495">
        <v>-8627.909744704757</v>
      </c>
      <c r="AR647" s="495">
        <v>0</v>
      </c>
      <c r="AS647" s="495">
        <v>0</v>
      </c>
    </row>
    <row r="648" spans="1:45">
      <c r="A648" s="390">
        <v>97111</v>
      </c>
      <c r="B648" s="393">
        <v>97111</v>
      </c>
      <c r="C648" s="499" t="s">
        <v>1355</v>
      </c>
      <c r="D648" s="378">
        <v>3.9465835407580805E-4</v>
      </c>
      <c r="F648" s="495">
        <v>282222.37724550639</v>
      </c>
      <c r="G648" s="495">
        <v>535025.21884550632</v>
      </c>
      <c r="H648" s="495">
        <v>105077.12046050641</v>
      </c>
      <c r="I648" s="495">
        <v>-40892.398000000001</v>
      </c>
      <c r="J648" s="495">
        <v>0</v>
      </c>
      <c r="M648" s="495">
        <v>181366.4466</v>
      </c>
      <c r="N648" s="495">
        <v>184500.75440000001</v>
      </c>
      <c r="O648" s="495">
        <v>97163.541800000006</v>
      </c>
      <c r="P648" s="495">
        <v>0</v>
      </c>
      <c r="Q648" s="495">
        <v>0</v>
      </c>
      <c r="T648" s="495">
        <v>74644.114400000006</v>
      </c>
      <c r="U648" s="495">
        <v>339212.76020000002</v>
      </c>
      <c r="V648" s="495">
        <v>-11313.9712</v>
      </c>
      <c r="W648" s="495">
        <v>-40892.398000000001</v>
      </c>
      <c r="X648" s="495">
        <v>0</v>
      </c>
      <c r="AA648" s="495">
        <v>0</v>
      </c>
      <c r="AB648" s="495">
        <v>0</v>
      </c>
      <c r="AC648" s="495">
        <v>0</v>
      </c>
      <c r="AD648" s="495">
        <v>0</v>
      </c>
      <c r="AE648" s="495">
        <v>0</v>
      </c>
      <c r="AH648" s="495">
        <v>49053.248240506364</v>
      </c>
      <c r="AI648" s="495">
        <v>22626.577490506392</v>
      </c>
      <c r="AJ648" s="495">
        <v>19227.549860506413</v>
      </c>
      <c r="AK648" s="495">
        <v>0</v>
      </c>
      <c r="AL648" s="495">
        <v>0</v>
      </c>
      <c r="AO648" s="495">
        <v>-22841.431994999992</v>
      </c>
      <c r="AP648" s="495">
        <v>-11314.873244999981</v>
      </c>
      <c r="AQ648" s="495">
        <v>0</v>
      </c>
      <c r="AR648" s="495">
        <v>0</v>
      </c>
      <c r="AS648" s="495">
        <v>0</v>
      </c>
    </row>
    <row r="649" spans="1:45">
      <c r="A649" s="390">
        <v>97121</v>
      </c>
      <c r="B649" s="393">
        <v>97121</v>
      </c>
      <c r="C649" s="499" t="s">
        <v>1356</v>
      </c>
      <c r="D649" s="378">
        <v>1.9635906708411822E-4</v>
      </c>
      <c r="F649" s="495">
        <v>168601.29439688672</v>
      </c>
      <c r="G649" s="495">
        <v>278017.36842688674</v>
      </c>
      <c r="H649" s="495">
        <v>45804.643584386744</v>
      </c>
      <c r="I649" s="495">
        <v>-20345.677900000002</v>
      </c>
      <c r="J649" s="495">
        <v>0</v>
      </c>
      <c r="M649" s="495">
        <v>90237.390930000009</v>
      </c>
      <c r="N649" s="495">
        <v>91796.840120000008</v>
      </c>
      <c r="O649" s="495">
        <v>48342.924890000002</v>
      </c>
      <c r="P649" s="495">
        <v>0</v>
      </c>
      <c r="Q649" s="495">
        <v>0</v>
      </c>
      <c r="T649" s="495">
        <v>37138.568120000004</v>
      </c>
      <c r="U649" s="495">
        <v>168772.53221</v>
      </c>
      <c r="V649" s="495">
        <v>-5629.1737600000006</v>
      </c>
      <c r="W649" s="495">
        <v>-20345.677900000002</v>
      </c>
      <c r="X649" s="495">
        <v>0</v>
      </c>
      <c r="AA649" s="495">
        <v>0</v>
      </c>
      <c r="AB649" s="495">
        <v>0</v>
      </c>
      <c r="AC649" s="495">
        <v>0</v>
      </c>
      <c r="AD649" s="495">
        <v>0</v>
      </c>
      <c r="AE649" s="495">
        <v>0</v>
      </c>
      <c r="AH649" s="495">
        <v>41225.335346886728</v>
      </c>
      <c r="AI649" s="495">
        <v>17447.99609688672</v>
      </c>
      <c r="AJ649" s="495">
        <v>3090.8924543867392</v>
      </c>
      <c r="AK649" s="495">
        <v>0</v>
      </c>
      <c r="AL649" s="495">
        <v>0</v>
      </c>
      <c r="AO649" s="495">
        <v>0</v>
      </c>
      <c r="AP649" s="495">
        <v>0</v>
      </c>
      <c r="AQ649" s="495">
        <v>0</v>
      </c>
      <c r="AR649" s="495">
        <v>0</v>
      </c>
      <c r="AS649" s="495">
        <v>0</v>
      </c>
    </row>
    <row r="650" spans="1:45">
      <c r="A650" s="390">
        <v>97131</v>
      </c>
      <c r="B650" s="393">
        <v>97131</v>
      </c>
      <c r="C650" s="499" t="s">
        <v>1357</v>
      </c>
      <c r="D650" s="378">
        <v>7.3763917790048298E-4</v>
      </c>
      <c r="F650" s="495">
        <v>400687.51145967958</v>
      </c>
      <c r="G650" s="495">
        <v>912664.95651467948</v>
      </c>
      <c r="H650" s="495">
        <v>61371.667307179596</v>
      </c>
      <c r="I650" s="495">
        <v>-76430.233900000007</v>
      </c>
      <c r="J650" s="495">
        <v>0</v>
      </c>
      <c r="M650" s="495">
        <v>338984.27613000001</v>
      </c>
      <c r="N650" s="495">
        <v>344842.47691999999</v>
      </c>
      <c r="O650" s="495">
        <v>181604.22448999999</v>
      </c>
      <c r="P650" s="495">
        <v>0</v>
      </c>
      <c r="Q650" s="495">
        <v>0</v>
      </c>
      <c r="T650" s="495">
        <v>139514.12492</v>
      </c>
      <c r="U650" s="495">
        <v>634008.07660999999</v>
      </c>
      <c r="V650" s="495">
        <v>-21146.460160000002</v>
      </c>
      <c r="W650" s="495">
        <v>-76430.233900000007</v>
      </c>
      <c r="X650" s="495">
        <v>0</v>
      </c>
      <c r="AA650" s="495">
        <v>0</v>
      </c>
      <c r="AB650" s="495">
        <v>0</v>
      </c>
      <c r="AC650" s="495">
        <v>0</v>
      </c>
      <c r="AD650" s="495">
        <v>0</v>
      </c>
      <c r="AE650" s="495">
        <v>0</v>
      </c>
      <c r="AH650" s="495">
        <v>81439.133984999935</v>
      </c>
      <c r="AI650" s="495">
        <v>75414.98968499995</v>
      </c>
      <c r="AJ650" s="495">
        <v>0</v>
      </c>
      <c r="AK650" s="495">
        <v>0</v>
      </c>
      <c r="AL650" s="495">
        <v>0</v>
      </c>
      <c r="AO650" s="495">
        <v>-159250.02357532035</v>
      </c>
      <c r="AP650" s="495">
        <v>-141600.58670032036</v>
      </c>
      <c r="AQ650" s="495">
        <v>-99086.097022820381</v>
      </c>
      <c r="AR650" s="495">
        <v>0</v>
      </c>
      <c r="AS650" s="495">
        <v>0</v>
      </c>
    </row>
    <row r="651" spans="1:45">
      <c r="A651" s="390">
        <v>97201</v>
      </c>
      <c r="B651" s="393">
        <v>97201</v>
      </c>
      <c r="C651" s="499" t="s">
        <v>1358</v>
      </c>
      <c r="D651" s="378">
        <v>7.2103678231885573E-4</v>
      </c>
      <c r="F651" s="495">
        <v>538404.64091121813</v>
      </c>
      <c r="G651" s="495">
        <v>977460.20671621838</v>
      </c>
      <c r="H651" s="495">
        <v>173499.52920121822</v>
      </c>
      <c r="I651" s="495">
        <v>-74709.975900000005</v>
      </c>
      <c r="J651" s="495">
        <v>0</v>
      </c>
      <c r="M651" s="495">
        <v>331354.56753</v>
      </c>
      <c r="N651" s="495">
        <v>337080.91452000005</v>
      </c>
      <c r="O651" s="495">
        <v>177516.75669000001</v>
      </c>
      <c r="P651" s="495">
        <v>0</v>
      </c>
      <c r="Q651" s="495">
        <v>0</v>
      </c>
      <c r="T651" s="495">
        <v>136374.00252000001</v>
      </c>
      <c r="U651" s="495">
        <v>619738.10241000005</v>
      </c>
      <c r="V651" s="495">
        <v>-20670.504960000002</v>
      </c>
      <c r="W651" s="495">
        <v>-74709.975900000005</v>
      </c>
      <c r="X651" s="495">
        <v>0</v>
      </c>
      <c r="AA651" s="495">
        <v>0</v>
      </c>
      <c r="AB651" s="495">
        <v>0</v>
      </c>
      <c r="AC651" s="495">
        <v>0</v>
      </c>
      <c r="AD651" s="495">
        <v>0</v>
      </c>
      <c r="AE651" s="495">
        <v>0</v>
      </c>
      <c r="AH651" s="495">
        <v>99476.0540412181</v>
      </c>
      <c r="AI651" s="495">
        <v>37586.496091218141</v>
      </c>
      <c r="AJ651" s="495">
        <v>16653.277471218185</v>
      </c>
      <c r="AK651" s="495">
        <v>0</v>
      </c>
      <c r="AL651" s="495">
        <v>0</v>
      </c>
      <c r="AO651" s="495">
        <v>-28799.98318000001</v>
      </c>
      <c r="AP651" s="495">
        <v>-16945.306305000006</v>
      </c>
      <c r="AQ651" s="495">
        <v>0</v>
      </c>
      <c r="AR651" s="495">
        <v>0</v>
      </c>
      <c r="AS651" s="495">
        <v>0</v>
      </c>
    </row>
    <row r="652" spans="1:45">
      <c r="A652" s="390">
        <v>97211</v>
      </c>
      <c r="B652" s="393">
        <v>97211</v>
      </c>
      <c r="C652" s="499" t="s">
        <v>1359</v>
      </c>
      <c r="D652" s="378">
        <v>8.9593266738216063E-5</v>
      </c>
      <c r="F652" s="495">
        <v>15796.899038519936</v>
      </c>
      <c r="G652" s="495">
        <v>117310.30869351994</v>
      </c>
      <c r="H652" s="495">
        <v>13019.935673519924</v>
      </c>
      <c r="I652" s="495">
        <v>-9283.1754000000001</v>
      </c>
      <c r="J652" s="495">
        <v>0</v>
      </c>
      <c r="M652" s="495">
        <v>41172.849180000005</v>
      </c>
      <c r="N652" s="495">
        <v>41884.383120000006</v>
      </c>
      <c r="O652" s="495">
        <v>22057.55214</v>
      </c>
      <c r="P652" s="495">
        <v>0</v>
      </c>
      <c r="Q652" s="495">
        <v>0</v>
      </c>
      <c r="T652" s="495">
        <v>16945.311120000002</v>
      </c>
      <c r="U652" s="495">
        <v>77006.282460000002</v>
      </c>
      <c r="V652" s="495">
        <v>-2568.4377600000003</v>
      </c>
      <c r="W652" s="495">
        <v>-9283.1754000000001</v>
      </c>
      <c r="X652" s="495">
        <v>0</v>
      </c>
      <c r="AA652" s="495">
        <v>0</v>
      </c>
      <c r="AB652" s="495">
        <v>0</v>
      </c>
      <c r="AC652" s="495">
        <v>0</v>
      </c>
      <c r="AD652" s="495">
        <v>0</v>
      </c>
      <c r="AE652" s="495">
        <v>0</v>
      </c>
      <c r="AH652" s="495">
        <v>5350.7911950000052</v>
      </c>
      <c r="AI652" s="495">
        <v>4888.8218200000083</v>
      </c>
      <c r="AJ652" s="495">
        <v>0</v>
      </c>
      <c r="AK652" s="495">
        <v>0</v>
      </c>
      <c r="AL652" s="495">
        <v>0</v>
      </c>
      <c r="AO652" s="495">
        <v>-47672.052456480073</v>
      </c>
      <c r="AP652" s="495">
        <v>-6469.1787064800756</v>
      </c>
      <c r="AQ652" s="495">
        <v>-6469.1787064800756</v>
      </c>
      <c r="AR652" s="495">
        <v>0</v>
      </c>
      <c r="AS652" s="495">
        <v>0</v>
      </c>
    </row>
    <row r="653" spans="1:45">
      <c r="A653" s="390">
        <v>97213</v>
      </c>
      <c r="B653" s="393">
        <v>97213</v>
      </c>
      <c r="C653" s="499" t="s">
        <v>1360</v>
      </c>
      <c r="D653" s="378">
        <v>2.8294156590642529E-5</v>
      </c>
      <c r="F653" s="495">
        <v>16459.966696918724</v>
      </c>
      <c r="G653" s="495">
        <v>34977.422211918725</v>
      </c>
      <c r="H653" s="495">
        <v>5176.1268819187226</v>
      </c>
      <c r="I653" s="495">
        <v>-2931.6927000000001</v>
      </c>
      <c r="J653" s="495">
        <v>0</v>
      </c>
      <c r="M653" s="495">
        <v>13002.678089999999</v>
      </c>
      <c r="N653" s="495">
        <v>13227.385559999999</v>
      </c>
      <c r="O653" s="495">
        <v>6965.9315699999997</v>
      </c>
      <c r="P653" s="495">
        <v>0</v>
      </c>
      <c r="Q653" s="495">
        <v>0</v>
      </c>
      <c r="T653" s="495">
        <v>5351.44956</v>
      </c>
      <c r="U653" s="495">
        <v>24319.130729999997</v>
      </c>
      <c r="V653" s="495">
        <v>-811.13087999999993</v>
      </c>
      <c r="W653" s="495">
        <v>-2931.6927000000001</v>
      </c>
      <c r="X653" s="495">
        <v>0</v>
      </c>
      <c r="AA653" s="495">
        <v>0</v>
      </c>
      <c r="AB653" s="495">
        <v>0</v>
      </c>
      <c r="AC653" s="495">
        <v>0</v>
      </c>
      <c r="AD653" s="495">
        <v>0</v>
      </c>
      <c r="AE653" s="495">
        <v>0</v>
      </c>
      <c r="AH653" s="495">
        <v>1764.8033649999979</v>
      </c>
      <c r="AI653" s="495">
        <v>1089.8702399999984</v>
      </c>
      <c r="AJ653" s="495">
        <v>0</v>
      </c>
      <c r="AK653" s="495">
        <v>0</v>
      </c>
      <c r="AL653" s="495">
        <v>0</v>
      </c>
      <c r="AO653" s="495">
        <v>-3658.9643180812718</v>
      </c>
      <c r="AP653" s="495">
        <v>-3658.9643180812718</v>
      </c>
      <c r="AQ653" s="495">
        <v>-978.67380808127746</v>
      </c>
      <c r="AR653" s="495">
        <v>0</v>
      </c>
      <c r="AS653" s="495">
        <v>0</v>
      </c>
    </row>
    <row r="654" spans="1:45">
      <c r="A654" s="390">
        <v>97217</v>
      </c>
      <c r="B654" s="393">
        <v>97217</v>
      </c>
      <c r="C654" s="499" t="s">
        <v>1361</v>
      </c>
      <c r="D654" s="378">
        <v>7.5511020687856467E-6</v>
      </c>
      <c r="F654" s="495">
        <v>5293.3896970788719</v>
      </c>
      <c r="G654" s="495">
        <v>10050.050172078872</v>
      </c>
      <c r="H654" s="495">
        <v>-1219.5892204211259</v>
      </c>
      <c r="I654" s="495">
        <v>-782.40649999999994</v>
      </c>
      <c r="J654" s="495">
        <v>0</v>
      </c>
      <c r="M654" s="495">
        <v>3470.1385499999997</v>
      </c>
      <c r="N654" s="495">
        <v>3530.1081999999997</v>
      </c>
      <c r="O654" s="495">
        <v>1859.0591499999998</v>
      </c>
      <c r="P654" s="495">
        <v>0</v>
      </c>
      <c r="Q654" s="495">
        <v>0</v>
      </c>
      <c r="T654" s="495">
        <v>1428.1882000000001</v>
      </c>
      <c r="U654" s="495">
        <v>6490.2593499999994</v>
      </c>
      <c r="V654" s="495">
        <v>-216.4736</v>
      </c>
      <c r="W654" s="495">
        <v>-782.40649999999994</v>
      </c>
      <c r="X654" s="495">
        <v>0</v>
      </c>
      <c r="AA654" s="495">
        <v>0</v>
      </c>
      <c r="AB654" s="495">
        <v>0</v>
      </c>
      <c r="AC654" s="495">
        <v>0</v>
      </c>
      <c r="AD654" s="495">
        <v>0</v>
      </c>
      <c r="AE654" s="495">
        <v>0</v>
      </c>
      <c r="AH654" s="495">
        <v>3469.3577899999991</v>
      </c>
      <c r="AI654" s="495">
        <v>3047.1459149999991</v>
      </c>
      <c r="AJ654" s="495">
        <v>0</v>
      </c>
      <c r="AK654" s="495">
        <v>0</v>
      </c>
      <c r="AL654" s="495">
        <v>0</v>
      </c>
      <c r="AO654" s="495">
        <v>-3074.294842921126</v>
      </c>
      <c r="AP654" s="495">
        <v>-3017.4632929211257</v>
      </c>
      <c r="AQ654" s="495">
        <v>-2862.1747704211257</v>
      </c>
      <c r="AR654" s="495">
        <v>0</v>
      </c>
      <c r="AS654" s="495">
        <v>0</v>
      </c>
    </row>
    <row r="655" spans="1:45">
      <c r="A655" s="390">
        <v>97221</v>
      </c>
      <c r="B655" s="393">
        <v>97221</v>
      </c>
      <c r="C655" s="499" t="s">
        <v>1362</v>
      </c>
      <c r="D655" s="378">
        <v>5.1607653849812864E-6</v>
      </c>
      <c r="F655" s="495">
        <v>3685.0357028048984</v>
      </c>
      <c r="G655" s="495">
        <v>10554.871662804899</v>
      </c>
      <c r="H655" s="495">
        <v>5013.0138378048996</v>
      </c>
      <c r="I655" s="495">
        <v>-534.73079999999993</v>
      </c>
      <c r="J655" s="495">
        <v>0</v>
      </c>
      <c r="M655" s="495">
        <v>2371.6443599999998</v>
      </c>
      <c r="N655" s="495">
        <v>2412.63024</v>
      </c>
      <c r="O655" s="495">
        <v>1270.5622799999999</v>
      </c>
      <c r="P655" s="495">
        <v>0</v>
      </c>
      <c r="Q655" s="495">
        <v>0</v>
      </c>
      <c r="T655" s="495">
        <v>976.08623999999998</v>
      </c>
      <c r="U655" s="495">
        <v>4435.7269200000001</v>
      </c>
      <c r="V655" s="495">
        <v>-147.94752</v>
      </c>
      <c r="W655" s="495">
        <v>-534.73079999999993</v>
      </c>
      <c r="X655" s="495">
        <v>0</v>
      </c>
      <c r="AA655" s="495">
        <v>0</v>
      </c>
      <c r="AB655" s="495">
        <v>0</v>
      </c>
      <c r="AC655" s="495">
        <v>0</v>
      </c>
      <c r="AD655" s="495">
        <v>0</v>
      </c>
      <c r="AE655" s="495">
        <v>0</v>
      </c>
      <c r="AH655" s="495">
        <v>6430.876152804899</v>
      </c>
      <c r="AI655" s="495">
        <v>4230.5936528048996</v>
      </c>
      <c r="AJ655" s="495">
        <v>3890.3990778048992</v>
      </c>
      <c r="AK655" s="495">
        <v>0</v>
      </c>
      <c r="AL655" s="495">
        <v>0</v>
      </c>
      <c r="AO655" s="495">
        <v>-6093.5710500000005</v>
      </c>
      <c r="AP655" s="495">
        <v>-524.07914999999969</v>
      </c>
      <c r="AQ655" s="495">
        <v>0</v>
      </c>
      <c r="AR655" s="495">
        <v>0</v>
      </c>
      <c r="AS655" s="495">
        <v>0</v>
      </c>
    </row>
    <row r="656" spans="1:45">
      <c r="A656" s="390">
        <v>97301</v>
      </c>
      <c r="B656" s="393">
        <v>97301</v>
      </c>
      <c r="C656" s="499" t="s">
        <v>1363</v>
      </c>
      <c r="D656" s="378">
        <v>2.2167280971152718E-3</v>
      </c>
      <c r="F656" s="495">
        <v>1421424.62076672</v>
      </c>
      <c r="G656" s="495">
        <v>2997610.1938917199</v>
      </c>
      <c r="H656" s="495">
        <v>623712.43472922011</v>
      </c>
      <c r="I656" s="495">
        <v>-229685.53199999998</v>
      </c>
      <c r="J656" s="495">
        <v>0</v>
      </c>
      <c r="M656" s="495">
        <v>1018703.9844</v>
      </c>
      <c r="N656" s="495">
        <v>1036308.8496</v>
      </c>
      <c r="O656" s="495">
        <v>545750.82120000001</v>
      </c>
      <c r="P656" s="495">
        <v>0</v>
      </c>
      <c r="Q656" s="495">
        <v>0</v>
      </c>
      <c r="T656" s="495">
        <v>419263.08959999995</v>
      </c>
      <c r="U656" s="495">
        <v>1905299.4467999998</v>
      </c>
      <c r="V656" s="495">
        <v>-63548.620799999997</v>
      </c>
      <c r="W656" s="495">
        <v>-229685.53199999998</v>
      </c>
      <c r="X656" s="495">
        <v>0</v>
      </c>
      <c r="AA656" s="495">
        <v>0</v>
      </c>
      <c r="AB656" s="495">
        <v>0</v>
      </c>
      <c r="AC656" s="495">
        <v>0</v>
      </c>
      <c r="AD656" s="495">
        <v>0</v>
      </c>
      <c r="AE656" s="495">
        <v>0</v>
      </c>
      <c r="AH656" s="495">
        <v>171306.64079172007</v>
      </c>
      <c r="AI656" s="495">
        <v>159058.31891671999</v>
      </c>
      <c r="AJ656" s="495">
        <v>141510.23432922002</v>
      </c>
      <c r="AK656" s="495">
        <v>0</v>
      </c>
      <c r="AL656" s="495">
        <v>0</v>
      </c>
      <c r="AO656" s="495">
        <v>-187849.09402500003</v>
      </c>
      <c r="AP656" s="495">
        <v>-103056.42142499963</v>
      </c>
      <c r="AQ656" s="495">
        <v>0</v>
      </c>
      <c r="AR656" s="495">
        <v>0</v>
      </c>
      <c r="AS656" s="495">
        <v>0</v>
      </c>
    </row>
    <row r="657" spans="1:45">
      <c r="A657" s="390">
        <v>97302</v>
      </c>
      <c r="B657" s="393">
        <v>97302</v>
      </c>
      <c r="C657" s="499" t="s">
        <v>3611</v>
      </c>
      <c r="D657" s="378">
        <v>4.691688515141873E-5</v>
      </c>
      <c r="F657" s="495">
        <v>39865.775558009278</v>
      </c>
      <c r="G657" s="495">
        <v>68615.030218009284</v>
      </c>
      <c r="H657" s="495">
        <v>19680.700800509265</v>
      </c>
      <c r="I657" s="495">
        <v>-4861.2833000000001</v>
      </c>
      <c r="J657" s="495">
        <v>0</v>
      </c>
      <c r="M657" s="495">
        <v>21560.821110000001</v>
      </c>
      <c r="N657" s="495">
        <v>21933.427240000001</v>
      </c>
      <c r="O657" s="495">
        <v>11550.79003</v>
      </c>
      <c r="P657" s="495">
        <v>0</v>
      </c>
      <c r="Q657" s="495">
        <v>0</v>
      </c>
      <c r="T657" s="495">
        <v>8873.6832400000003</v>
      </c>
      <c r="U657" s="495">
        <v>40325.571670000005</v>
      </c>
      <c r="V657" s="495">
        <v>-1345.00352</v>
      </c>
      <c r="W657" s="495">
        <v>-4861.2833000000001</v>
      </c>
      <c r="X657" s="495">
        <v>0</v>
      </c>
      <c r="AA657" s="495">
        <v>0</v>
      </c>
      <c r="AB657" s="495">
        <v>0</v>
      </c>
      <c r="AC657" s="495">
        <v>0</v>
      </c>
      <c r="AD657" s="495">
        <v>0</v>
      </c>
      <c r="AE657" s="495">
        <v>0</v>
      </c>
      <c r="AH657" s="495">
        <v>15967.286893009266</v>
      </c>
      <c r="AI657" s="495">
        <v>12892.046993009264</v>
      </c>
      <c r="AJ657" s="495">
        <v>9474.9142905092649</v>
      </c>
      <c r="AK657" s="495">
        <v>0</v>
      </c>
      <c r="AL657" s="495">
        <v>0</v>
      </c>
      <c r="AO657" s="495">
        <v>-6536.015684999993</v>
      </c>
      <c r="AP657" s="495">
        <v>-6536.015684999993</v>
      </c>
      <c r="AQ657" s="495">
        <v>0</v>
      </c>
      <c r="AR657" s="495">
        <v>0</v>
      </c>
      <c r="AS657" s="495">
        <v>0</v>
      </c>
    </row>
    <row r="658" spans="1:45">
      <c r="A658" s="390">
        <v>97304</v>
      </c>
      <c r="B658" s="393">
        <v>97304</v>
      </c>
      <c r="C658" s="499" t="s">
        <v>1364</v>
      </c>
      <c r="D658" s="378">
        <v>2.5693745630257545E-5</v>
      </c>
      <c r="F658" s="495">
        <v>31588.088442792221</v>
      </c>
      <c r="G658" s="495">
        <v>43850.377632792224</v>
      </c>
      <c r="H658" s="495">
        <v>9635.8535927922258</v>
      </c>
      <c r="I658" s="495">
        <v>-2662.2547</v>
      </c>
      <c r="J658" s="495">
        <v>0</v>
      </c>
      <c r="M658" s="495">
        <v>11807.663489999999</v>
      </c>
      <c r="N658" s="495">
        <v>12011.719160000001</v>
      </c>
      <c r="O658" s="495">
        <v>6325.72577</v>
      </c>
      <c r="P658" s="495">
        <v>0</v>
      </c>
      <c r="Q658" s="495">
        <v>0</v>
      </c>
      <c r="T658" s="495">
        <v>4859.6231600000001</v>
      </c>
      <c r="U658" s="495">
        <v>22084.074529999998</v>
      </c>
      <c r="V658" s="495">
        <v>-736.58367999999996</v>
      </c>
      <c r="W658" s="495">
        <v>-2662.2547</v>
      </c>
      <c r="X658" s="495">
        <v>0</v>
      </c>
      <c r="AA658" s="495">
        <v>0</v>
      </c>
      <c r="AB658" s="495">
        <v>0</v>
      </c>
      <c r="AC658" s="495">
        <v>0</v>
      </c>
      <c r="AD658" s="495">
        <v>0</v>
      </c>
      <c r="AE658" s="495">
        <v>0</v>
      </c>
      <c r="AH658" s="495">
        <v>14920.801792792223</v>
      </c>
      <c r="AI658" s="495">
        <v>9754.5839427922219</v>
      </c>
      <c r="AJ658" s="495">
        <v>4046.7115027922255</v>
      </c>
      <c r="AK658" s="495">
        <v>0</v>
      </c>
      <c r="AL658" s="495">
        <v>0</v>
      </c>
      <c r="AO658" s="495">
        <v>0</v>
      </c>
      <c r="AP658" s="495">
        <v>0</v>
      </c>
      <c r="AQ658" s="495">
        <v>0</v>
      </c>
      <c r="AR658" s="495">
        <v>0</v>
      </c>
      <c r="AS658" s="495">
        <v>0</v>
      </c>
    </row>
    <row r="659" spans="1:45">
      <c r="A659" s="390">
        <v>97311</v>
      </c>
      <c r="B659" s="393">
        <v>97311</v>
      </c>
      <c r="C659" s="499" t="s">
        <v>1365</v>
      </c>
      <c r="D659" s="378">
        <v>6.9576303688421938E-4</v>
      </c>
      <c r="F659" s="495">
        <v>359736.57080063102</v>
      </c>
      <c r="G659" s="495">
        <v>866562.57148563105</v>
      </c>
      <c r="H659" s="495">
        <v>139693.74076313106</v>
      </c>
      <c r="I659" s="495">
        <v>-72091.24579999999</v>
      </c>
      <c r="J659" s="495">
        <v>0</v>
      </c>
      <c r="M659" s="495">
        <v>319739.94485999999</v>
      </c>
      <c r="N659" s="495">
        <v>325265.57224000001</v>
      </c>
      <c r="O659" s="495">
        <v>171294.44877999998</v>
      </c>
      <c r="P659" s="495">
        <v>0</v>
      </c>
      <c r="Q659" s="495">
        <v>0</v>
      </c>
      <c r="T659" s="495">
        <v>131593.82824</v>
      </c>
      <c r="U659" s="495">
        <v>598015.07542000001</v>
      </c>
      <c r="V659" s="495">
        <v>-19945.963519999998</v>
      </c>
      <c r="W659" s="495">
        <v>-72091.24579999999</v>
      </c>
      <c r="X659" s="495">
        <v>0</v>
      </c>
      <c r="AA659" s="495">
        <v>0</v>
      </c>
      <c r="AB659" s="495">
        <v>0</v>
      </c>
      <c r="AC659" s="495">
        <v>0</v>
      </c>
      <c r="AD659" s="495">
        <v>0</v>
      </c>
      <c r="AE659" s="495">
        <v>0</v>
      </c>
      <c r="AH659" s="495">
        <v>10058.347292499995</v>
      </c>
      <c r="AI659" s="495">
        <v>8849.4391674999788</v>
      </c>
      <c r="AJ659" s="495">
        <v>0</v>
      </c>
      <c r="AK659" s="495">
        <v>0</v>
      </c>
      <c r="AL659" s="495">
        <v>0</v>
      </c>
      <c r="AO659" s="495">
        <v>-101655.54959186893</v>
      </c>
      <c r="AP659" s="495">
        <v>-65567.515341868959</v>
      </c>
      <c r="AQ659" s="495">
        <v>-11654.744496868938</v>
      </c>
      <c r="AR659" s="495">
        <v>0</v>
      </c>
      <c r="AS659" s="495">
        <v>0</v>
      </c>
    </row>
    <row r="660" spans="1:45">
      <c r="A660" s="390">
        <v>97401</v>
      </c>
      <c r="B660" s="393">
        <v>97401</v>
      </c>
      <c r="C660" s="499" t="s">
        <v>1366</v>
      </c>
      <c r="D660" s="378">
        <v>6.2188506181745139E-3</v>
      </c>
      <c r="F660" s="495">
        <v>3406765.6537788603</v>
      </c>
      <c r="G660" s="495">
        <v>7720868.2082088608</v>
      </c>
      <c r="H660" s="495">
        <v>1187802.0859013591</v>
      </c>
      <c r="I660" s="495">
        <v>-644364.08589999995</v>
      </c>
      <c r="J660" s="495">
        <v>0</v>
      </c>
      <c r="M660" s="495">
        <v>2857891.2045300002</v>
      </c>
      <c r="N660" s="495">
        <v>2907280.2225199998</v>
      </c>
      <c r="O660" s="495">
        <v>1531059.5576899999</v>
      </c>
      <c r="P660" s="495">
        <v>0</v>
      </c>
      <c r="Q660" s="495">
        <v>0</v>
      </c>
      <c r="T660" s="495">
        <v>1176208.51052</v>
      </c>
      <c r="U660" s="495">
        <v>5345162.6914100004</v>
      </c>
      <c r="V660" s="495">
        <v>-178280.48895999999</v>
      </c>
      <c r="W660" s="495">
        <v>-644364.08589999995</v>
      </c>
      <c r="X660" s="495">
        <v>0</v>
      </c>
      <c r="AA660" s="495">
        <v>0</v>
      </c>
      <c r="AB660" s="495">
        <v>0</v>
      </c>
      <c r="AC660" s="495">
        <v>0</v>
      </c>
      <c r="AD660" s="495">
        <v>0</v>
      </c>
      <c r="AE660" s="495">
        <v>0</v>
      </c>
      <c r="AH660" s="495">
        <v>47402.345072499942</v>
      </c>
      <c r="AI660" s="495">
        <v>47402.345072499942</v>
      </c>
      <c r="AJ660" s="495">
        <v>0</v>
      </c>
      <c r="AK660" s="495">
        <v>0</v>
      </c>
      <c r="AL660" s="495">
        <v>0</v>
      </c>
      <c r="AO660" s="495">
        <v>-674736.40634364006</v>
      </c>
      <c r="AP660" s="495">
        <v>-578977.05079364008</v>
      </c>
      <c r="AQ660" s="495">
        <v>-164976.98282864084</v>
      </c>
      <c r="AR660" s="495">
        <v>0</v>
      </c>
      <c r="AS660" s="495">
        <v>0</v>
      </c>
    </row>
    <row r="661" spans="1:45">
      <c r="A661" s="390">
        <v>97402</v>
      </c>
      <c r="B661" s="393">
        <v>97402</v>
      </c>
      <c r="C661" s="499" t="s">
        <v>1367</v>
      </c>
      <c r="D661" s="378">
        <v>3.7265485389446738E-5</v>
      </c>
      <c r="F661" s="495">
        <v>15231.36852490513</v>
      </c>
      <c r="G661" s="495">
        <v>43353.254684905136</v>
      </c>
      <c r="H661" s="495">
        <v>13061.277947405144</v>
      </c>
      <c r="I661" s="495">
        <v>-3861.2538</v>
      </c>
      <c r="J661" s="495">
        <v>0</v>
      </c>
      <c r="M661" s="495">
        <v>17125.478459999998</v>
      </c>
      <c r="N661" s="495">
        <v>17421.434639999999</v>
      </c>
      <c r="O661" s="495">
        <v>9174.6415799999995</v>
      </c>
      <c r="P661" s="495">
        <v>0</v>
      </c>
      <c r="Q661" s="495">
        <v>0</v>
      </c>
      <c r="T661" s="495">
        <v>7048.2506400000002</v>
      </c>
      <c r="U661" s="495">
        <v>32030.074619999999</v>
      </c>
      <c r="V661" s="495">
        <v>-1068.31872</v>
      </c>
      <c r="W661" s="495">
        <v>-3861.2538</v>
      </c>
      <c r="X661" s="495">
        <v>0</v>
      </c>
      <c r="AA661" s="495">
        <v>0</v>
      </c>
      <c r="AB661" s="495">
        <v>0</v>
      </c>
      <c r="AC661" s="495">
        <v>0</v>
      </c>
      <c r="AD661" s="495">
        <v>0</v>
      </c>
      <c r="AE661" s="495">
        <v>0</v>
      </c>
      <c r="AH661" s="495">
        <v>5768.3947499051437</v>
      </c>
      <c r="AI661" s="495">
        <v>5768.3947499051437</v>
      </c>
      <c r="AJ661" s="495">
        <v>4954.9550874051447</v>
      </c>
      <c r="AK661" s="495">
        <v>0</v>
      </c>
      <c r="AL661" s="495">
        <v>0</v>
      </c>
      <c r="AO661" s="495">
        <v>-14710.755325000009</v>
      </c>
      <c r="AP661" s="495">
        <v>-11866.649325000006</v>
      </c>
      <c r="AQ661" s="495">
        <v>0</v>
      </c>
      <c r="AR661" s="495">
        <v>0</v>
      </c>
      <c r="AS661" s="495">
        <v>0</v>
      </c>
    </row>
    <row r="662" spans="1:45">
      <c r="A662" s="390">
        <v>97404</v>
      </c>
      <c r="B662" s="393">
        <v>97404</v>
      </c>
      <c r="C662" s="499" t="s">
        <v>1368</v>
      </c>
      <c r="D662" s="378">
        <v>2.9089308497555775E-4</v>
      </c>
      <c r="F662" s="495">
        <v>208516.34533324692</v>
      </c>
      <c r="G662" s="495">
        <v>391135.07775824697</v>
      </c>
      <c r="H662" s="495">
        <v>69737.773343247012</v>
      </c>
      <c r="I662" s="495">
        <v>-30140.785499999998</v>
      </c>
      <c r="J662" s="495">
        <v>0</v>
      </c>
      <c r="M662" s="495">
        <v>133680.76785</v>
      </c>
      <c r="N662" s="495">
        <v>135990.98939999999</v>
      </c>
      <c r="O662" s="495">
        <v>71616.868050000005</v>
      </c>
      <c r="P662" s="495">
        <v>0</v>
      </c>
      <c r="Q662" s="495">
        <v>0</v>
      </c>
      <c r="T662" s="495">
        <v>55018.349399999999</v>
      </c>
      <c r="U662" s="495">
        <v>250025.42144999999</v>
      </c>
      <c r="V662" s="495">
        <v>-8339.2512000000006</v>
      </c>
      <c r="W662" s="495">
        <v>-30140.785499999998</v>
      </c>
      <c r="X662" s="495">
        <v>0</v>
      </c>
      <c r="AA662" s="495">
        <v>0</v>
      </c>
      <c r="AB662" s="495">
        <v>0</v>
      </c>
      <c r="AC662" s="495">
        <v>0</v>
      </c>
      <c r="AD662" s="495">
        <v>0</v>
      </c>
      <c r="AE662" s="495">
        <v>0</v>
      </c>
      <c r="AH662" s="495">
        <v>31903.03241324694</v>
      </c>
      <c r="AI662" s="495">
        <v>11671.00061324697</v>
      </c>
      <c r="AJ662" s="495">
        <v>6460.1564932470137</v>
      </c>
      <c r="AK662" s="495">
        <v>0</v>
      </c>
      <c r="AL662" s="495">
        <v>0</v>
      </c>
      <c r="AO662" s="495">
        <v>-12085.804329999999</v>
      </c>
      <c r="AP662" s="495">
        <v>-6552.3337049999973</v>
      </c>
      <c r="AQ662" s="495">
        <v>0</v>
      </c>
      <c r="AR662" s="495">
        <v>0</v>
      </c>
      <c r="AS662" s="495">
        <v>0</v>
      </c>
    </row>
    <row r="663" spans="1:45">
      <c r="A663" s="390">
        <v>97405</v>
      </c>
      <c r="B663" s="393">
        <v>97405</v>
      </c>
      <c r="C663" s="499" t="s">
        <v>1369</v>
      </c>
      <c r="D663" s="378">
        <v>8.0761987457132251E-5</v>
      </c>
      <c r="F663" s="495">
        <v>54343.753104601848</v>
      </c>
      <c r="G663" s="495">
        <v>104376.44427960184</v>
      </c>
      <c r="H663" s="495">
        <v>15046.891939601846</v>
      </c>
      <c r="I663" s="495">
        <v>-8368.1224999999995</v>
      </c>
      <c r="J663" s="495">
        <v>0</v>
      </c>
      <c r="M663" s="495">
        <v>37114.395749999996</v>
      </c>
      <c r="N663" s="495">
        <v>37755.792999999998</v>
      </c>
      <c r="O663" s="495">
        <v>19883.314749999998</v>
      </c>
      <c r="P663" s="495">
        <v>0</v>
      </c>
      <c r="Q663" s="495">
        <v>0</v>
      </c>
      <c r="T663" s="495">
        <v>15274.993</v>
      </c>
      <c r="U663" s="495">
        <v>69415.687749999997</v>
      </c>
      <c r="V663" s="495">
        <v>-2315.2640000000001</v>
      </c>
      <c r="W663" s="495">
        <v>-8368.1224999999995</v>
      </c>
      <c r="X663" s="495">
        <v>0</v>
      </c>
      <c r="AA663" s="495">
        <v>0</v>
      </c>
      <c r="AB663" s="495">
        <v>0</v>
      </c>
      <c r="AC663" s="495">
        <v>0</v>
      </c>
      <c r="AD663" s="495">
        <v>0</v>
      </c>
      <c r="AE663" s="495">
        <v>0</v>
      </c>
      <c r="AH663" s="495">
        <v>10730.435294999999</v>
      </c>
      <c r="AI663" s="495">
        <v>5071.7296700000006</v>
      </c>
      <c r="AJ663" s="495">
        <v>0</v>
      </c>
      <c r="AK663" s="495">
        <v>0</v>
      </c>
      <c r="AL663" s="495">
        <v>0</v>
      </c>
      <c r="AO663" s="495">
        <v>-8776.0709403981509</v>
      </c>
      <c r="AP663" s="495">
        <v>-7866.7661403981529</v>
      </c>
      <c r="AQ663" s="495">
        <v>-2521.1588103981521</v>
      </c>
      <c r="AR663" s="495">
        <v>0</v>
      </c>
      <c r="AS663" s="495">
        <v>0</v>
      </c>
    </row>
    <row r="664" spans="1:45">
      <c r="A664" s="390">
        <v>97408</v>
      </c>
      <c r="B664" s="393">
        <v>97408</v>
      </c>
      <c r="C664" s="499" t="s">
        <v>1370</v>
      </c>
      <c r="D664" s="378">
        <v>3.7265485389446738E-5</v>
      </c>
      <c r="F664" s="495">
        <v>32949.015024905137</v>
      </c>
      <c r="G664" s="495">
        <v>54980.94885990514</v>
      </c>
      <c r="H664" s="495">
        <v>9914.8869474051426</v>
      </c>
      <c r="I664" s="495">
        <v>-3861.2538</v>
      </c>
      <c r="J664" s="495">
        <v>0</v>
      </c>
      <c r="M664" s="495">
        <v>17125.478459999998</v>
      </c>
      <c r="N664" s="495">
        <v>17421.434639999999</v>
      </c>
      <c r="O664" s="495">
        <v>9174.6415799999995</v>
      </c>
      <c r="P664" s="495">
        <v>0</v>
      </c>
      <c r="Q664" s="495">
        <v>0</v>
      </c>
      <c r="T664" s="495">
        <v>7048.2506400000002</v>
      </c>
      <c r="U664" s="495">
        <v>32030.074619999999</v>
      </c>
      <c r="V664" s="495">
        <v>-1068.31872</v>
      </c>
      <c r="W664" s="495">
        <v>-3861.2538</v>
      </c>
      <c r="X664" s="495">
        <v>0</v>
      </c>
      <c r="AA664" s="495">
        <v>0</v>
      </c>
      <c r="AB664" s="495">
        <v>0</v>
      </c>
      <c r="AC664" s="495">
        <v>0</v>
      </c>
      <c r="AD664" s="495">
        <v>0</v>
      </c>
      <c r="AE664" s="495">
        <v>0</v>
      </c>
      <c r="AH664" s="495">
        <v>9116.2752249051391</v>
      </c>
      <c r="AI664" s="495">
        <v>5529.4395999051394</v>
      </c>
      <c r="AJ664" s="495">
        <v>1808.5640874051423</v>
      </c>
      <c r="AK664" s="495">
        <v>0</v>
      </c>
      <c r="AL664" s="495">
        <v>0</v>
      </c>
      <c r="AO664" s="495">
        <v>-340.98930000000291</v>
      </c>
      <c r="AP664" s="495">
        <v>0</v>
      </c>
      <c r="AQ664" s="495">
        <v>0</v>
      </c>
      <c r="AR664" s="495">
        <v>0</v>
      </c>
      <c r="AS664" s="495">
        <v>0</v>
      </c>
    </row>
    <row r="665" spans="1:45">
      <c r="A665" s="390">
        <v>97411</v>
      </c>
      <c r="B665" s="393">
        <v>97411</v>
      </c>
      <c r="C665" s="499" t="s">
        <v>1371</v>
      </c>
      <c r="D665" s="378">
        <v>5.4949033576367603E-3</v>
      </c>
      <c r="F665" s="495">
        <v>3182792.2463400429</v>
      </c>
      <c r="G665" s="495">
        <v>6902688.1745550428</v>
      </c>
      <c r="H665" s="495">
        <v>1110582.9868725429</v>
      </c>
      <c r="I665" s="495">
        <v>-569352.54670000006</v>
      </c>
      <c r="J665" s="495">
        <v>0</v>
      </c>
      <c r="M665" s="495">
        <v>2525199.1398900002</v>
      </c>
      <c r="N665" s="495">
        <v>2568838.6967600002</v>
      </c>
      <c r="O665" s="495">
        <v>1352826.26297</v>
      </c>
      <c r="P665" s="495">
        <v>0</v>
      </c>
      <c r="Q665" s="495">
        <v>0</v>
      </c>
      <c r="T665" s="495">
        <v>1039284.04076</v>
      </c>
      <c r="U665" s="495">
        <v>4722923.0453300001</v>
      </c>
      <c r="V665" s="495">
        <v>-157526.54848</v>
      </c>
      <c r="W665" s="495">
        <v>-569352.54670000006</v>
      </c>
      <c r="X665" s="495">
        <v>0</v>
      </c>
      <c r="AA665" s="495">
        <v>0</v>
      </c>
      <c r="AB665" s="495">
        <v>0</v>
      </c>
      <c r="AC665" s="495">
        <v>0</v>
      </c>
      <c r="AD665" s="495">
        <v>0</v>
      </c>
      <c r="AE665" s="495">
        <v>0</v>
      </c>
      <c r="AH665" s="495">
        <v>39327.432599999942</v>
      </c>
      <c r="AI665" s="495">
        <v>0</v>
      </c>
      <c r="AJ665" s="495">
        <v>0</v>
      </c>
      <c r="AK665" s="495">
        <v>0</v>
      </c>
      <c r="AL665" s="495">
        <v>0</v>
      </c>
      <c r="AO665" s="495">
        <v>-421018.36690995737</v>
      </c>
      <c r="AP665" s="495">
        <v>-389073.56753495743</v>
      </c>
      <c r="AQ665" s="495">
        <v>-84716.727617457189</v>
      </c>
      <c r="AR665" s="495">
        <v>0</v>
      </c>
      <c r="AS665" s="495">
        <v>0</v>
      </c>
    </row>
    <row r="666" spans="1:45">
      <c r="A666" s="390">
        <v>97412</v>
      </c>
      <c r="B666" s="393">
        <v>97412</v>
      </c>
      <c r="C666" s="499" t="s">
        <v>1372</v>
      </c>
      <c r="D666" s="378">
        <v>3.8999773162953339E-3</v>
      </c>
      <c r="F666" s="495">
        <v>2507777.4856705284</v>
      </c>
      <c r="G666" s="495">
        <v>5088094.1628205283</v>
      </c>
      <c r="H666" s="495">
        <v>953660.25950302754</v>
      </c>
      <c r="I666" s="495">
        <v>-404094.82199999999</v>
      </c>
      <c r="J666" s="495">
        <v>0</v>
      </c>
      <c r="M666" s="495">
        <v>1792246.1273999999</v>
      </c>
      <c r="N666" s="495">
        <v>1823219.0615999999</v>
      </c>
      <c r="O666" s="495">
        <v>960160.96019999997</v>
      </c>
      <c r="P666" s="495">
        <v>0</v>
      </c>
      <c r="Q666" s="495">
        <v>0</v>
      </c>
      <c r="T666" s="495">
        <v>737626.10159999994</v>
      </c>
      <c r="U666" s="495">
        <v>3352068.5178</v>
      </c>
      <c r="V666" s="495">
        <v>-111803.5968</v>
      </c>
      <c r="W666" s="495">
        <v>-404094.82199999999</v>
      </c>
      <c r="X666" s="495">
        <v>0</v>
      </c>
      <c r="AA666" s="495">
        <v>0</v>
      </c>
      <c r="AB666" s="495">
        <v>0</v>
      </c>
      <c r="AC666" s="495">
        <v>0</v>
      </c>
      <c r="AD666" s="495">
        <v>0</v>
      </c>
      <c r="AE666" s="495">
        <v>0</v>
      </c>
      <c r="AH666" s="495">
        <v>231507.15735552774</v>
      </c>
      <c r="AI666" s="495">
        <v>166408.48410552763</v>
      </c>
      <c r="AJ666" s="495">
        <v>105302.89610302763</v>
      </c>
      <c r="AK666" s="495">
        <v>0</v>
      </c>
      <c r="AL666" s="495">
        <v>0</v>
      </c>
      <c r="AO666" s="495">
        <v>-253601.90068499953</v>
      </c>
      <c r="AP666" s="495">
        <v>-253601.90068499953</v>
      </c>
      <c r="AQ666" s="495">
        <v>0</v>
      </c>
      <c r="AR666" s="495">
        <v>0</v>
      </c>
      <c r="AS666" s="495">
        <v>0</v>
      </c>
    </row>
    <row r="667" spans="1:45">
      <c r="A667" s="390">
        <v>97413</v>
      </c>
      <c r="B667" s="393">
        <v>97413</v>
      </c>
      <c r="C667" s="499" t="s">
        <v>1373</v>
      </c>
      <c r="D667" s="378">
        <v>2.934334111322597E-4</v>
      </c>
      <c r="F667" s="495">
        <v>179424.31836670134</v>
      </c>
      <c r="G667" s="495">
        <v>378692.77743170143</v>
      </c>
      <c r="H667" s="495">
        <v>39007.872021701412</v>
      </c>
      <c r="I667" s="495">
        <v>-30404.005699999998</v>
      </c>
      <c r="J667" s="495">
        <v>0</v>
      </c>
      <c r="M667" s="495">
        <v>134848.20518999998</v>
      </c>
      <c r="N667" s="495">
        <v>137178.60196</v>
      </c>
      <c r="O667" s="495">
        <v>72242.299870000003</v>
      </c>
      <c r="P667" s="495">
        <v>0</v>
      </c>
      <c r="Q667" s="495">
        <v>0</v>
      </c>
      <c r="T667" s="495">
        <v>55498.825959999995</v>
      </c>
      <c r="U667" s="495">
        <v>252208.89942999999</v>
      </c>
      <c r="V667" s="495">
        <v>-8412.0780799999993</v>
      </c>
      <c r="W667" s="495">
        <v>-30404.005699999998</v>
      </c>
      <c r="X667" s="495">
        <v>0</v>
      </c>
      <c r="AA667" s="495">
        <v>0</v>
      </c>
      <c r="AB667" s="495">
        <v>0</v>
      </c>
      <c r="AC667" s="495">
        <v>0</v>
      </c>
      <c r="AD667" s="495">
        <v>0</v>
      </c>
      <c r="AE667" s="495">
        <v>0</v>
      </c>
      <c r="AH667" s="495">
        <v>22083.380184999987</v>
      </c>
      <c r="AI667" s="495">
        <v>14127.625809999983</v>
      </c>
      <c r="AJ667" s="495">
        <v>0</v>
      </c>
      <c r="AK667" s="495">
        <v>0</v>
      </c>
      <c r="AL667" s="495">
        <v>0</v>
      </c>
      <c r="AO667" s="495">
        <v>-33006.092968298617</v>
      </c>
      <c r="AP667" s="495">
        <v>-24822.349768298591</v>
      </c>
      <c r="AQ667" s="495">
        <v>-24822.349768298591</v>
      </c>
      <c r="AR667" s="495">
        <v>0</v>
      </c>
      <c r="AS667" s="495">
        <v>0</v>
      </c>
    </row>
    <row r="668" spans="1:45">
      <c r="A668" s="390">
        <v>97421</v>
      </c>
      <c r="B668" s="393">
        <v>97421</v>
      </c>
      <c r="C668" s="499" t="s">
        <v>1374</v>
      </c>
      <c r="D668" s="378">
        <v>3.7483556137431104E-4</v>
      </c>
      <c r="F668" s="495">
        <v>184116.68430847296</v>
      </c>
      <c r="G668" s="495">
        <v>459123.55703847297</v>
      </c>
      <c r="H668" s="495">
        <v>81860.18076847287</v>
      </c>
      <c r="I668" s="495">
        <v>-38838.451399999998</v>
      </c>
      <c r="J668" s="495">
        <v>0</v>
      </c>
      <c r="M668" s="495">
        <v>172256.75838000001</v>
      </c>
      <c r="N668" s="495">
        <v>175233.63592</v>
      </c>
      <c r="O668" s="495">
        <v>92283.203739999997</v>
      </c>
      <c r="P668" s="495">
        <v>0</v>
      </c>
      <c r="Q668" s="495">
        <v>0</v>
      </c>
      <c r="T668" s="495">
        <v>70894.883920000007</v>
      </c>
      <c r="U668" s="495">
        <v>322174.75485999999</v>
      </c>
      <c r="V668" s="495">
        <v>-10745.692160000001</v>
      </c>
      <c r="W668" s="495">
        <v>-38838.451399999998</v>
      </c>
      <c r="X668" s="495">
        <v>0</v>
      </c>
      <c r="AA668" s="495">
        <v>0</v>
      </c>
      <c r="AB668" s="495">
        <v>0</v>
      </c>
      <c r="AC668" s="495">
        <v>0</v>
      </c>
      <c r="AD668" s="495">
        <v>0</v>
      </c>
      <c r="AE668" s="495">
        <v>0</v>
      </c>
      <c r="AH668" s="495">
        <v>322.66918847287343</v>
      </c>
      <c r="AI668" s="495">
        <v>322.66918847287343</v>
      </c>
      <c r="AJ668" s="495">
        <v>322.66918847287343</v>
      </c>
      <c r="AK668" s="495">
        <v>0</v>
      </c>
      <c r="AL668" s="495">
        <v>0</v>
      </c>
      <c r="AO668" s="495">
        <v>-59357.627179999923</v>
      </c>
      <c r="AP668" s="495">
        <v>-38607.50292999993</v>
      </c>
      <c r="AQ668" s="495">
        <v>0</v>
      </c>
      <c r="AR668" s="495">
        <v>0</v>
      </c>
      <c r="AS668" s="495">
        <v>0</v>
      </c>
    </row>
    <row r="669" spans="1:45">
      <c r="A669" s="390">
        <v>97423</v>
      </c>
      <c r="B669" s="393">
        <v>97423</v>
      </c>
      <c r="C669" s="499" t="s">
        <v>1375</v>
      </c>
      <c r="D669" s="378">
        <v>3.5995396489865737E-5</v>
      </c>
      <c r="F669" s="495">
        <v>44528.424145677964</v>
      </c>
      <c r="G669" s="495">
        <v>65079.672685677957</v>
      </c>
      <c r="H669" s="495">
        <v>14275.879238177969</v>
      </c>
      <c r="I669" s="495">
        <v>-3729.6437000000001</v>
      </c>
      <c r="J669" s="495">
        <v>0</v>
      </c>
      <c r="M669" s="495">
        <v>16541.75979</v>
      </c>
      <c r="N669" s="495">
        <v>16827.628359999999</v>
      </c>
      <c r="O669" s="495">
        <v>8861.9256700000005</v>
      </c>
      <c r="P669" s="495">
        <v>0</v>
      </c>
      <c r="Q669" s="495">
        <v>0</v>
      </c>
      <c r="T669" s="495">
        <v>6808.0123599999997</v>
      </c>
      <c r="U669" s="495">
        <v>30938.335629999998</v>
      </c>
      <c r="V669" s="495">
        <v>-1031.9052799999999</v>
      </c>
      <c r="W669" s="495">
        <v>-3729.6437000000001</v>
      </c>
      <c r="X669" s="495">
        <v>0</v>
      </c>
      <c r="AA669" s="495">
        <v>0</v>
      </c>
      <c r="AB669" s="495">
        <v>0</v>
      </c>
      <c r="AC669" s="495">
        <v>0</v>
      </c>
      <c r="AD669" s="495">
        <v>0</v>
      </c>
      <c r="AE669" s="495">
        <v>0</v>
      </c>
      <c r="AH669" s="495">
        <v>23395.082445677963</v>
      </c>
      <c r="AI669" s="495">
        <v>17313.708695677964</v>
      </c>
      <c r="AJ669" s="495">
        <v>6445.8588481779689</v>
      </c>
      <c r="AK669" s="495">
        <v>0</v>
      </c>
      <c r="AL669" s="495">
        <v>0</v>
      </c>
      <c r="AO669" s="495">
        <v>-2216.430449999998</v>
      </c>
      <c r="AP669" s="495">
        <v>0</v>
      </c>
      <c r="AQ669" s="495">
        <v>0</v>
      </c>
      <c r="AR669" s="495">
        <v>0</v>
      </c>
      <c r="AS669" s="495">
        <v>0</v>
      </c>
    </row>
    <row r="670" spans="1:45">
      <c r="A670" s="390">
        <v>97431</v>
      </c>
      <c r="B670" s="393">
        <v>97431</v>
      </c>
      <c r="C670" s="499" t="s">
        <v>1376</v>
      </c>
      <c r="D670" s="378">
        <v>7.2990871156588792E-5</v>
      </c>
      <c r="F670" s="495">
        <v>35873.660490058421</v>
      </c>
      <c r="G670" s="495">
        <v>89029.120670058415</v>
      </c>
      <c r="H670" s="495">
        <v>10670.503967558441</v>
      </c>
      <c r="I670" s="495">
        <v>-7562.9173999999994</v>
      </c>
      <c r="J670" s="495">
        <v>0</v>
      </c>
      <c r="M670" s="495">
        <v>33543.140579999999</v>
      </c>
      <c r="N670" s="495">
        <v>34122.820719999996</v>
      </c>
      <c r="O670" s="495">
        <v>17970.084339999998</v>
      </c>
      <c r="P670" s="495">
        <v>0</v>
      </c>
      <c r="Q670" s="495">
        <v>0</v>
      </c>
      <c r="T670" s="495">
        <v>13805.18872</v>
      </c>
      <c r="U670" s="495">
        <v>62736.308259999998</v>
      </c>
      <c r="V670" s="495">
        <v>-2092.4825599999999</v>
      </c>
      <c r="W670" s="495">
        <v>-7562.9173999999994</v>
      </c>
      <c r="X670" s="495">
        <v>0</v>
      </c>
      <c r="AA670" s="495">
        <v>0</v>
      </c>
      <c r="AB670" s="495">
        <v>0</v>
      </c>
      <c r="AC670" s="495">
        <v>0</v>
      </c>
      <c r="AD670" s="495">
        <v>0</v>
      </c>
      <c r="AE670" s="495">
        <v>0</v>
      </c>
      <c r="AH670" s="495">
        <v>1400.6250074999989</v>
      </c>
      <c r="AI670" s="495">
        <v>214.60375750000094</v>
      </c>
      <c r="AJ670" s="495">
        <v>0</v>
      </c>
      <c r="AK670" s="495">
        <v>0</v>
      </c>
      <c r="AL670" s="495">
        <v>0</v>
      </c>
      <c r="AO670" s="495">
        <v>-12875.293817441576</v>
      </c>
      <c r="AP670" s="495">
        <v>-8044.6120674415652</v>
      </c>
      <c r="AQ670" s="495">
        <v>-5207.097812441556</v>
      </c>
      <c r="AR670" s="495">
        <v>0</v>
      </c>
      <c r="AS670" s="495">
        <v>0</v>
      </c>
    </row>
    <row r="671" spans="1:45">
      <c r="A671" s="390">
        <v>97441</v>
      </c>
      <c r="B671" s="393">
        <v>97441</v>
      </c>
      <c r="C671" s="499" t="s">
        <v>1377</v>
      </c>
      <c r="D671" s="378">
        <v>1.0781587501372535E-5</v>
      </c>
      <c r="F671" s="495">
        <v>-26536.931144237053</v>
      </c>
      <c r="G671" s="495">
        <v>-3291.4420142370509</v>
      </c>
      <c r="H671" s="495">
        <v>-15856.649729237051</v>
      </c>
      <c r="I671" s="495">
        <v>-1117.1314</v>
      </c>
      <c r="J671" s="495">
        <v>0</v>
      </c>
      <c r="M671" s="495">
        <v>4954.7143800000003</v>
      </c>
      <c r="N671" s="495">
        <v>5040.3399200000003</v>
      </c>
      <c r="O671" s="495">
        <v>2654.39174</v>
      </c>
      <c r="P671" s="495">
        <v>0</v>
      </c>
      <c r="Q671" s="495">
        <v>0</v>
      </c>
      <c r="T671" s="495">
        <v>2039.1879200000001</v>
      </c>
      <c r="U671" s="495">
        <v>9266.8868600000005</v>
      </c>
      <c r="V671" s="495">
        <v>-309.08416</v>
      </c>
      <c r="W671" s="495">
        <v>-1117.1314</v>
      </c>
      <c r="X671" s="495">
        <v>0</v>
      </c>
      <c r="AA671" s="495">
        <v>0</v>
      </c>
      <c r="AB671" s="495">
        <v>0</v>
      </c>
      <c r="AC671" s="495">
        <v>0</v>
      </c>
      <c r="AD671" s="495">
        <v>0</v>
      </c>
      <c r="AE671" s="495">
        <v>0</v>
      </c>
      <c r="AH671" s="495">
        <v>1841.763869999998</v>
      </c>
      <c r="AI671" s="495">
        <v>1841.763869999998</v>
      </c>
      <c r="AJ671" s="495">
        <v>0</v>
      </c>
      <c r="AK671" s="495">
        <v>0</v>
      </c>
      <c r="AL671" s="495">
        <v>0</v>
      </c>
      <c r="AO671" s="495">
        <v>-35372.597314237049</v>
      </c>
      <c r="AP671" s="495">
        <v>-19440.432664237051</v>
      </c>
      <c r="AQ671" s="495">
        <v>-18201.957309237052</v>
      </c>
      <c r="AR671" s="495">
        <v>0</v>
      </c>
      <c r="AS671" s="495">
        <v>0</v>
      </c>
    </row>
    <row r="672" spans="1:45">
      <c r="A672" s="390">
        <v>97451</v>
      </c>
      <c r="B672" s="393">
        <v>97451</v>
      </c>
      <c r="C672" s="499" t="s">
        <v>1378</v>
      </c>
      <c r="D672" s="378">
        <v>6.2212206298753437E-4</v>
      </c>
      <c r="F672" s="495">
        <v>347277.38606579095</v>
      </c>
      <c r="G672" s="495">
        <v>803376.74312079092</v>
      </c>
      <c r="H672" s="495">
        <v>141458.00542329089</v>
      </c>
      <c r="I672" s="495">
        <v>-64460.9689</v>
      </c>
      <c r="J672" s="495">
        <v>0</v>
      </c>
      <c r="M672" s="495">
        <v>285898.05063000001</v>
      </c>
      <c r="N672" s="495">
        <v>290838.83491999999</v>
      </c>
      <c r="O672" s="495">
        <v>153164.31299000001</v>
      </c>
      <c r="P672" s="495">
        <v>0</v>
      </c>
      <c r="Q672" s="495">
        <v>0</v>
      </c>
      <c r="T672" s="495">
        <v>117665.68291999999</v>
      </c>
      <c r="U672" s="495">
        <v>534720.00310999993</v>
      </c>
      <c r="V672" s="495">
        <v>-17834.844160000001</v>
      </c>
      <c r="W672" s="495">
        <v>-64460.9689</v>
      </c>
      <c r="X672" s="495">
        <v>0</v>
      </c>
      <c r="AA672" s="495">
        <v>0</v>
      </c>
      <c r="AB672" s="495">
        <v>0</v>
      </c>
      <c r="AC672" s="495">
        <v>0</v>
      </c>
      <c r="AD672" s="495">
        <v>0</v>
      </c>
      <c r="AE672" s="495">
        <v>0</v>
      </c>
      <c r="AH672" s="495">
        <v>6128.5365932908899</v>
      </c>
      <c r="AI672" s="495">
        <v>6128.5365932908899</v>
      </c>
      <c r="AJ672" s="495">
        <v>6128.5365932908899</v>
      </c>
      <c r="AK672" s="495">
        <v>0</v>
      </c>
      <c r="AL672" s="495">
        <v>0</v>
      </c>
      <c r="AO672" s="495">
        <v>-62414.884077499897</v>
      </c>
      <c r="AP672" s="495">
        <v>-28310.631502499949</v>
      </c>
      <c r="AQ672" s="495">
        <v>0</v>
      </c>
      <c r="AR672" s="495">
        <v>0</v>
      </c>
      <c r="AS672" s="495">
        <v>0</v>
      </c>
    </row>
    <row r="673" spans="1:45">
      <c r="A673" s="390">
        <v>97461</v>
      </c>
      <c r="B673" s="393">
        <v>97461</v>
      </c>
      <c r="C673" s="499" t="s">
        <v>1379</v>
      </c>
      <c r="D673" s="378">
        <v>4.9219290321289946E-4</v>
      </c>
      <c r="F673" s="495">
        <v>277389.00199047406</v>
      </c>
      <c r="G673" s="495">
        <v>626334.15241047402</v>
      </c>
      <c r="H673" s="495">
        <v>140119.97349297412</v>
      </c>
      <c r="I673" s="495">
        <v>-50998.395599999996</v>
      </c>
      <c r="J673" s="495">
        <v>0</v>
      </c>
      <c r="M673" s="495">
        <v>226188.68651999999</v>
      </c>
      <c r="N673" s="495">
        <v>230097.59568</v>
      </c>
      <c r="O673" s="495">
        <v>121176.18395999999</v>
      </c>
      <c r="P673" s="495">
        <v>0</v>
      </c>
      <c r="Q673" s="495">
        <v>0</v>
      </c>
      <c r="T673" s="495">
        <v>93091.38768</v>
      </c>
      <c r="U673" s="495">
        <v>423044.56043999997</v>
      </c>
      <c r="V673" s="495">
        <v>-14110.064639999999</v>
      </c>
      <c r="W673" s="495">
        <v>-50998.395599999996</v>
      </c>
      <c r="X673" s="495">
        <v>0</v>
      </c>
      <c r="AA673" s="495">
        <v>0</v>
      </c>
      <c r="AB673" s="495">
        <v>0</v>
      </c>
      <c r="AC673" s="495">
        <v>0</v>
      </c>
      <c r="AD673" s="495">
        <v>0</v>
      </c>
      <c r="AE673" s="495">
        <v>0</v>
      </c>
      <c r="AH673" s="495">
        <v>33053.854172974112</v>
      </c>
      <c r="AI673" s="495">
        <v>33053.854172974112</v>
      </c>
      <c r="AJ673" s="495">
        <v>33053.854172974112</v>
      </c>
      <c r="AK673" s="495">
        <v>0</v>
      </c>
      <c r="AL673" s="495">
        <v>0</v>
      </c>
      <c r="AO673" s="495">
        <v>-74944.926382500067</v>
      </c>
      <c r="AP673" s="495">
        <v>-59861.857882500073</v>
      </c>
      <c r="AQ673" s="495">
        <v>0</v>
      </c>
      <c r="AR673" s="495">
        <v>0</v>
      </c>
      <c r="AS673" s="495">
        <v>0</v>
      </c>
    </row>
    <row r="674" spans="1:45">
      <c r="A674" s="390">
        <v>97471</v>
      </c>
      <c r="B674" s="393">
        <v>97471</v>
      </c>
      <c r="C674" s="499" t="s">
        <v>1381</v>
      </c>
      <c r="D674" s="378">
        <v>2.1833185725468752E-5</v>
      </c>
      <c r="F674" s="495">
        <v>13992.599917050571</v>
      </c>
      <c r="G674" s="495">
        <v>25443.383447050572</v>
      </c>
      <c r="H674" s="495">
        <v>4510.4043395505696</v>
      </c>
      <c r="I674" s="495">
        <v>-2262.2428999999997</v>
      </c>
      <c r="J674" s="495">
        <v>0</v>
      </c>
      <c r="M674" s="495">
        <v>10033.52643</v>
      </c>
      <c r="N674" s="495">
        <v>10206.922119999999</v>
      </c>
      <c r="O674" s="495">
        <v>5375.2663899999998</v>
      </c>
      <c r="P674" s="495">
        <v>0</v>
      </c>
      <c r="Q674" s="495">
        <v>0</v>
      </c>
      <c r="T674" s="495">
        <v>4129.4501199999995</v>
      </c>
      <c r="U674" s="495">
        <v>18765.87571</v>
      </c>
      <c r="V674" s="495">
        <v>-625.90976000000001</v>
      </c>
      <c r="W674" s="495">
        <v>-2262.2428999999997</v>
      </c>
      <c r="X674" s="495">
        <v>0</v>
      </c>
      <c r="AA674" s="495">
        <v>0</v>
      </c>
      <c r="AB674" s="495">
        <v>0</v>
      </c>
      <c r="AC674" s="495">
        <v>0</v>
      </c>
      <c r="AD674" s="495">
        <v>0</v>
      </c>
      <c r="AE674" s="495">
        <v>0</v>
      </c>
      <c r="AH674" s="495">
        <v>3359.0377499999995</v>
      </c>
      <c r="AI674" s="495">
        <v>0</v>
      </c>
      <c r="AJ674" s="495">
        <v>0</v>
      </c>
      <c r="AK674" s="495">
        <v>0</v>
      </c>
      <c r="AL674" s="495">
        <v>0</v>
      </c>
      <c r="AO674" s="495">
        <v>-3529.4143829494269</v>
      </c>
      <c r="AP674" s="495">
        <v>-3529.4143829494269</v>
      </c>
      <c r="AQ674" s="495">
        <v>-238.95229044943039</v>
      </c>
      <c r="AR674" s="495">
        <v>0</v>
      </c>
      <c r="AS674" s="495">
        <v>0</v>
      </c>
    </row>
    <row r="675" spans="1:45">
      <c r="A675" s="390">
        <v>97481</v>
      </c>
      <c r="B675" s="393">
        <v>97481</v>
      </c>
      <c r="C675" s="499" t="s">
        <v>1382</v>
      </c>
      <c r="D675" s="378">
        <v>1.4202267300185665E-6</v>
      </c>
      <c r="F675" s="495">
        <v>1419.8165684075493</v>
      </c>
      <c r="G675" s="495">
        <v>1973.9260634075495</v>
      </c>
      <c r="H675" s="495">
        <v>315.3681259075496</v>
      </c>
      <c r="I675" s="495">
        <v>-147.15459999999999</v>
      </c>
      <c r="J675" s="495">
        <v>0</v>
      </c>
      <c r="M675" s="495">
        <v>652.66182000000003</v>
      </c>
      <c r="N675" s="495">
        <v>663.94087999999999</v>
      </c>
      <c r="O675" s="495">
        <v>349.65085999999997</v>
      </c>
      <c r="P675" s="495">
        <v>0</v>
      </c>
      <c r="Q675" s="495">
        <v>0</v>
      </c>
      <c r="T675" s="495">
        <v>268.61288000000002</v>
      </c>
      <c r="U675" s="495">
        <v>1220.68454</v>
      </c>
      <c r="V675" s="495">
        <v>-40.714239999999997</v>
      </c>
      <c r="W675" s="495">
        <v>-147.15459999999999</v>
      </c>
      <c r="X675" s="495">
        <v>0</v>
      </c>
      <c r="AA675" s="495">
        <v>0</v>
      </c>
      <c r="AB675" s="495">
        <v>0</v>
      </c>
      <c r="AC675" s="495">
        <v>0</v>
      </c>
      <c r="AD675" s="495">
        <v>0</v>
      </c>
      <c r="AE675" s="495">
        <v>0</v>
      </c>
      <c r="AH675" s="495">
        <v>760.58144340754961</v>
      </c>
      <c r="AI675" s="495">
        <v>351.34021840754968</v>
      </c>
      <c r="AJ675" s="495">
        <v>6.4315059075496492</v>
      </c>
      <c r="AK675" s="495">
        <v>0</v>
      </c>
      <c r="AL675" s="495">
        <v>0</v>
      </c>
      <c r="AO675" s="495">
        <v>-262.03957500000024</v>
      </c>
      <c r="AP675" s="495">
        <v>-262.03957500000024</v>
      </c>
      <c r="AQ675" s="495">
        <v>0</v>
      </c>
      <c r="AR675" s="495">
        <v>0</v>
      </c>
      <c r="AS675" s="495">
        <v>0</v>
      </c>
    </row>
    <row r="676" spans="1:45">
      <c r="A676" s="390">
        <v>97501</v>
      </c>
      <c r="B676" s="393">
        <v>97501</v>
      </c>
      <c r="C676" s="499" t="s">
        <v>1384</v>
      </c>
      <c r="D676" s="378">
        <v>1.2419738105410904E-3</v>
      </c>
      <c r="F676" s="495">
        <v>787689.70834115206</v>
      </c>
      <c r="G676" s="495">
        <v>1643059.4117061521</v>
      </c>
      <c r="H676" s="495">
        <v>178180.56726615233</v>
      </c>
      <c r="I676" s="495">
        <v>-128686.6977</v>
      </c>
      <c r="J676" s="495">
        <v>0</v>
      </c>
      <c r="M676" s="495">
        <v>570752.76159000001</v>
      </c>
      <c r="N676" s="495">
        <v>580616.29955999996</v>
      </c>
      <c r="O676" s="495">
        <v>305769.67706999998</v>
      </c>
      <c r="P676" s="495">
        <v>0</v>
      </c>
      <c r="Q676" s="495">
        <v>0</v>
      </c>
      <c r="T676" s="495">
        <v>234901.96356</v>
      </c>
      <c r="U676" s="495">
        <v>1067488.63023</v>
      </c>
      <c r="V676" s="495">
        <v>-35604.602879999999</v>
      </c>
      <c r="W676" s="495">
        <v>-128686.6977</v>
      </c>
      <c r="X676" s="495">
        <v>0</v>
      </c>
      <c r="AA676" s="495">
        <v>0</v>
      </c>
      <c r="AB676" s="495">
        <v>0</v>
      </c>
      <c r="AC676" s="495">
        <v>0</v>
      </c>
      <c r="AD676" s="495">
        <v>0</v>
      </c>
      <c r="AE676" s="495">
        <v>0</v>
      </c>
      <c r="AH676" s="495">
        <v>101534.10799499985</v>
      </c>
      <c r="AI676" s="495">
        <v>90186.534869999858</v>
      </c>
      <c r="AJ676" s="495">
        <v>0</v>
      </c>
      <c r="AK676" s="495">
        <v>0</v>
      </c>
      <c r="AL676" s="495">
        <v>0</v>
      </c>
      <c r="AO676" s="495">
        <v>-119499.12480384755</v>
      </c>
      <c r="AP676" s="495">
        <v>-95232.052953847597</v>
      </c>
      <c r="AQ676" s="495">
        <v>-91984.506923847628</v>
      </c>
      <c r="AR676" s="495">
        <v>0</v>
      </c>
      <c r="AS676" s="495">
        <v>0</v>
      </c>
    </row>
    <row r="677" spans="1:45">
      <c r="A677" s="525">
        <v>97463</v>
      </c>
      <c r="B677" s="525">
        <v>97463</v>
      </c>
      <c r="C677" s="269" t="s">
        <v>1380</v>
      </c>
      <c r="D677" s="378">
        <v>5.0607427315415581E-5</v>
      </c>
      <c r="F677" s="495" t="e">
        <v>#N/A</v>
      </c>
      <c r="G677" s="495" t="e">
        <v>#N/A</v>
      </c>
      <c r="H677" s="495" t="e">
        <v>#N/A</v>
      </c>
      <c r="I677" s="495" t="e">
        <v>#N/A</v>
      </c>
      <c r="J677" s="495" t="e">
        <v>#N/A</v>
      </c>
      <c r="M677" s="495" t="e">
        <v>#N/A</v>
      </c>
      <c r="N677" s="495" t="e">
        <v>#N/A</v>
      </c>
      <c r="O677" s="495" t="e">
        <v>#N/A</v>
      </c>
      <c r="P677" s="495"/>
      <c r="Q677" s="495"/>
      <c r="T677" s="495" t="e">
        <v>#N/A</v>
      </c>
      <c r="U677" s="495" t="e">
        <v>#N/A</v>
      </c>
      <c r="V677" s="495" t="e">
        <v>#N/A</v>
      </c>
      <c r="W677" s="495" t="e">
        <v>#N/A</v>
      </c>
      <c r="X677" s="495" t="e">
        <v>#N/A</v>
      </c>
      <c r="AA677" s="495">
        <v>0</v>
      </c>
      <c r="AB677" s="495"/>
      <c r="AC677" s="495"/>
      <c r="AD677" s="495"/>
      <c r="AE677" s="495"/>
      <c r="AH677" s="495" t="e">
        <v>#N/A</v>
      </c>
      <c r="AI677" s="495" t="e">
        <v>#N/A</v>
      </c>
      <c r="AJ677" s="495" t="e">
        <v>#N/A</v>
      </c>
      <c r="AK677" s="495" t="e">
        <v>#N/A</v>
      </c>
      <c r="AL677" s="495" t="e">
        <v>#N/A</v>
      </c>
      <c r="AO677" s="495" t="e">
        <v>#N/A</v>
      </c>
      <c r="AP677" s="495" t="e">
        <v>#N/A</v>
      </c>
      <c r="AQ677" s="495" t="e">
        <v>#N/A</v>
      </c>
      <c r="AR677" s="495" t="e">
        <v>#N/A</v>
      </c>
      <c r="AS677" s="495" t="e">
        <v>#N/A</v>
      </c>
    </row>
    <row r="678" spans="1:45">
      <c r="A678" s="390">
        <v>97511</v>
      </c>
      <c r="B678" s="393">
        <v>97511</v>
      </c>
      <c r="C678" s="499" t="s">
        <v>1385</v>
      </c>
      <c r="D678" s="378">
        <v>2.1375161492356214E-4</v>
      </c>
      <c r="F678" s="495">
        <v>106048.92480919835</v>
      </c>
      <c r="G678" s="495">
        <v>251512.53845419837</v>
      </c>
      <c r="H678" s="495">
        <v>26777.618734198331</v>
      </c>
      <c r="I678" s="495">
        <v>-22147.803599999999</v>
      </c>
      <c r="J678" s="495">
        <v>0</v>
      </c>
      <c r="M678" s="495">
        <v>98230.200120000009</v>
      </c>
      <c r="N678" s="495">
        <v>99927.778080000004</v>
      </c>
      <c r="O678" s="495">
        <v>52624.91676</v>
      </c>
      <c r="P678" s="495">
        <v>0</v>
      </c>
      <c r="Q678" s="495">
        <v>0</v>
      </c>
      <c r="T678" s="495">
        <v>40428.130080000003</v>
      </c>
      <c r="U678" s="495">
        <v>183721.61964000002</v>
      </c>
      <c r="V678" s="495">
        <v>-6127.7798400000001</v>
      </c>
      <c r="W678" s="495">
        <v>-22147.803599999999</v>
      </c>
      <c r="X678" s="495">
        <v>0</v>
      </c>
      <c r="AA678" s="495">
        <v>0</v>
      </c>
      <c r="AB678" s="495">
        <v>0</v>
      </c>
      <c r="AC678" s="495">
        <v>0</v>
      </c>
      <c r="AD678" s="495">
        <v>0</v>
      </c>
      <c r="AE678" s="495">
        <v>0</v>
      </c>
      <c r="AH678" s="495">
        <v>852.47324999999546</v>
      </c>
      <c r="AI678" s="495">
        <v>0</v>
      </c>
      <c r="AJ678" s="495">
        <v>0</v>
      </c>
      <c r="AK678" s="495">
        <v>0</v>
      </c>
      <c r="AL678" s="495">
        <v>0</v>
      </c>
      <c r="AO678" s="495">
        <v>-33461.87864080166</v>
      </c>
      <c r="AP678" s="495">
        <v>-32136.85926580165</v>
      </c>
      <c r="AQ678" s="495">
        <v>-19719.518185801666</v>
      </c>
      <c r="AR678" s="495">
        <v>0</v>
      </c>
      <c r="AS678" s="495">
        <v>0</v>
      </c>
    </row>
    <row r="679" spans="1:45">
      <c r="A679" s="390">
        <v>97517</v>
      </c>
      <c r="B679" s="393">
        <v>97517</v>
      </c>
      <c r="C679" s="499" t="s">
        <v>3733</v>
      </c>
      <c r="D679" s="378">
        <v>1.1151591206027953E-5</v>
      </c>
      <c r="F679" s="495">
        <v>13570.457424907869</v>
      </c>
      <c r="G679" s="495">
        <v>18352.510499907872</v>
      </c>
      <c r="H679" s="495">
        <v>2201.2294599078705</v>
      </c>
      <c r="I679" s="495">
        <v>-1155.4745</v>
      </c>
      <c r="J679" s="495">
        <v>0</v>
      </c>
      <c r="M679" s="495">
        <v>5124.7741500000002</v>
      </c>
      <c r="N679" s="495">
        <v>5213.3386</v>
      </c>
      <c r="O679" s="495">
        <v>2745.4979499999999</v>
      </c>
      <c r="P679" s="495">
        <v>0</v>
      </c>
      <c r="Q679" s="495">
        <v>0</v>
      </c>
      <c r="T679" s="495">
        <v>2109.1786000000002</v>
      </c>
      <c r="U679" s="495">
        <v>9584.95255</v>
      </c>
      <c r="V679" s="495">
        <v>-319.69279999999998</v>
      </c>
      <c r="W679" s="495">
        <v>-1155.4745</v>
      </c>
      <c r="X679" s="495">
        <v>0</v>
      </c>
      <c r="AA679" s="495">
        <v>0</v>
      </c>
      <c r="AB679" s="495">
        <v>0</v>
      </c>
      <c r="AC679" s="495">
        <v>0</v>
      </c>
      <c r="AD679" s="495">
        <v>0</v>
      </c>
      <c r="AE679" s="495">
        <v>0</v>
      </c>
      <c r="AH679" s="495">
        <v>7172.037119999999</v>
      </c>
      <c r="AI679" s="495">
        <v>4387.2911699999995</v>
      </c>
      <c r="AJ679" s="495">
        <v>0</v>
      </c>
      <c r="AK679" s="495">
        <v>0</v>
      </c>
      <c r="AL679" s="495">
        <v>0</v>
      </c>
      <c r="AO679" s="495">
        <v>-835.53244509212982</v>
      </c>
      <c r="AP679" s="495">
        <v>-833.07182009212988</v>
      </c>
      <c r="AQ679" s="495">
        <v>-224.57569009212989</v>
      </c>
      <c r="AR679" s="495">
        <v>0</v>
      </c>
      <c r="AS679" s="495">
        <v>0</v>
      </c>
    </row>
    <row r="680" spans="1:45">
      <c r="A680" s="390">
        <v>97521</v>
      </c>
      <c r="B680" s="393">
        <v>97521</v>
      </c>
      <c r="C680" s="499" t="s">
        <v>1386</v>
      </c>
      <c r="D680" s="378">
        <v>1.3686027568393582E-4</v>
      </c>
      <c r="F680" s="495">
        <v>85425.861987950077</v>
      </c>
      <c r="G680" s="495">
        <v>180950.57270295007</v>
      </c>
      <c r="H680" s="495">
        <v>31771.761252950062</v>
      </c>
      <c r="I680" s="495">
        <v>-14180.7292</v>
      </c>
      <c r="J680" s="495">
        <v>0</v>
      </c>
      <c r="M680" s="495">
        <v>62894.537640000002</v>
      </c>
      <c r="N680" s="495">
        <v>63981.457759999998</v>
      </c>
      <c r="O680" s="495">
        <v>33694.523719999997</v>
      </c>
      <c r="P680" s="495">
        <v>0</v>
      </c>
      <c r="Q680" s="495">
        <v>0</v>
      </c>
      <c r="T680" s="495">
        <v>25885.20176</v>
      </c>
      <c r="U680" s="495">
        <v>117632.72708</v>
      </c>
      <c r="V680" s="495">
        <v>-3923.4764799999998</v>
      </c>
      <c r="W680" s="495">
        <v>-14180.7292</v>
      </c>
      <c r="X680" s="495">
        <v>0</v>
      </c>
      <c r="AA680" s="495">
        <v>0</v>
      </c>
      <c r="AB680" s="495">
        <v>0</v>
      </c>
      <c r="AC680" s="495">
        <v>0</v>
      </c>
      <c r="AD680" s="495">
        <v>0</v>
      </c>
      <c r="AE680" s="495">
        <v>0</v>
      </c>
      <c r="AH680" s="495">
        <v>2000.7140129500676</v>
      </c>
      <c r="AI680" s="495">
        <v>2000.7140129500676</v>
      </c>
      <c r="AJ680" s="495">
        <v>2000.7140129500676</v>
      </c>
      <c r="AK680" s="495">
        <v>0</v>
      </c>
      <c r="AL680" s="495">
        <v>0</v>
      </c>
      <c r="AO680" s="495">
        <v>-5354.5914249999914</v>
      </c>
      <c r="AP680" s="495">
        <v>-2664.3261500000008</v>
      </c>
      <c r="AQ680" s="495">
        <v>0</v>
      </c>
      <c r="AR680" s="495">
        <v>0</v>
      </c>
      <c r="AS680" s="495">
        <v>0</v>
      </c>
    </row>
    <row r="681" spans="1:45">
      <c r="A681" s="390">
        <v>97527</v>
      </c>
      <c r="B681" s="393">
        <v>97527</v>
      </c>
      <c r="C681" s="499" t="s">
        <v>1637</v>
      </c>
      <c r="D681" s="378">
        <v>3.9006164405774731E-6</v>
      </c>
      <c r="F681" s="495">
        <v>4326.4593811897475</v>
      </c>
      <c r="G681" s="495">
        <v>8038.7485061897487</v>
      </c>
      <c r="H681" s="495">
        <v>1460.4881736897496</v>
      </c>
      <c r="I681" s="495">
        <v>-404.15699999999998</v>
      </c>
      <c r="J681" s="495">
        <v>0</v>
      </c>
      <c r="M681" s="495">
        <v>1792.5219</v>
      </c>
      <c r="N681" s="495">
        <v>1823.4995999999999</v>
      </c>
      <c r="O681" s="495">
        <v>960.30869999999993</v>
      </c>
      <c r="P681" s="495">
        <v>0</v>
      </c>
      <c r="Q681" s="495">
        <v>0</v>
      </c>
      <c r="T681" s="495">
        <v>737.7396</v>
      </c>
      <c r="U681" s="495">
        <v>3352.5843</v>
      </c>
      <c r="V681" s="495">
        <v>-111.82079999999999</v>
      </c>
      <c r="W681" s="495">
        <v>-404.15699999999998</v>
      </c>
      <c r="X681" s="495">
        <v>0</v>
      </c>
      <c r="AA681" s="495">
        <v>0</v>
      </c>
      <c r="AB681" s="495">
        <v>0</v>
      </c>
      <c r="AC681" s="495">
        <v>0</v>
      </c>
      <c r="AD681" s="495">
        <v>0</v>
      </c>
      <c r="AE681" s="495">
        <v>0</v>
      </c>
      <c r="AH681" s="495">
        <v>3898.9652311897489</v>
      </c>
      <c r="AI681" s="495">
        <v>2862.6646061897491</v>
      </c>
      <c r="AJ681" s="495">
        <v>612.00027368974975</v>
      </c>
      <c r="AK681" s="495">
        <v>0</v>
      </c>
      <c r="AL681" s="495">
        <v>0</v>
      </c>
      <c r="AO681" s="495">
        <v>-2102.767350000001</v>
      </c>
      <c r="AP681" s="495">
        <v>0</v>
      </c>
      <c r="AQ681" s="495">
        <v>0</v>
      </c>
      <c r="AR681" s="495">
        <v>0</v>
      </c>
      <c r="AS681" s="495">
        <v>0</v>
      </c>
    </row>
    <row r="682" spans="1:45">
      <c r="A682" s="390">
        <v>97531</v>
      </c>
      <c r="B682" s="393">
        <v>97531</v>
      </c>
      <c r="C682" s="499" t="s">
        <v>1387</v>
      </c>
      <c r="D682" s="378">
        <v>6.2639223806014744E-5</v>
      </c>
      <c r="F682" s="495">
        <v>38269.200274112576</v>
      </c>
      <c r="G682" s="495">
        <v>92928.63367911258</v>
      </c>
      <c r="H682" s="495">
        <v>25049.339896612575</v>
      </c>
      <c r="I682" s="495">
        <v>-6490.3469000000005</v>
      </c>
      <c r="J682" s="495">
        <v>0</v>
      </c>
      <c r="M682" s="495">
        <v>28786.06323</v>
      </c>
      <c r="N682" s="495">
        <v>29283.533320000002</v>
      </c>
      <c r="O682" s="495">
        <v>15421.57279</v>
      </c>
      <c r="P682" s="495">
        <v>0</v>
      </c>
      <c r="Q682" s="495">
        <v>0</v>
      </c>
      <c r="T682" s="495">
        <v>11847.34132</v>
      </c>
      <c r="U682" s="495">
        <v>53839.065309999998</v>
      </c>
      <c r="V682" s="495">
        <v>-1795.7273600000001</v>
      </c>
      <c r="W682" s="495">
        <v>-6490.3469000000005</v>
      </c>
      <c r="X682" s="495">
        <v>0</v>
      </c>
      <c r="AA682" s="495">
        <v>0</v>
      </c>
      <c r="AB682" s="495">
        <v>0</v>
      </c>
      <c r="AC682" s="495">
        <v>0</v>
      </c>
      <c r="AD682" s="495">
        <v>0</v>
      </c>
      <c r="AE682" s="495">
        <v>0</v>
      </c>
      <c r="AH682" s="495">
        <v>14970.130239112577</v>
      </c>
      <c r="AI682" s="495">
        <v>14125.944614112577</v>
      </c>
      <c r="AJ682" s="495">
        <v>11423.494466612576</v>
      </c>
      <c r="AK682" s="495">
        <v>0</v>
      </c>
      <c r="AL682" s="495">
        <v>0</v>
      </c>
      <c r="AO682" s="495">
        <v>-17334.334515000002</v>
      </c>
      <c r="AP682" s="495">
        <v>-4319.909564999999</v>
      </c>
      <c r="AQ682" s="495">
        <v>0</v>
      </c>
      <c r="AR682" s="495">
        <v>0</v>
      </c>
      <c r="AS682" s="495">
        <v>0</v>
      </c>
    </row>
    <row r="683" spans="1:45">
      <c r="A683" s="390">
        <v>97601</v>
      </c>
      <c r="B683" s="393">
        <v>97601</v>
      </c>
      <c r="C683" s="499" t="s">
        <v>1388</v>
      </c>
      <c r="D683" s="378">
        <v>5.6623982784617171E-3</v>
      </c>
      <c r="F683" s="495">
        <v>3725606.2343811248</v>
      </c>
      <c r="G683" s="495">
        <v>7550352.3218911262</v>
      </c>
      <c r="H683" s="495">
        <v>1529083.9072036254</v>
      </c>
      <c r="I683" s="495">
        <v>-586707.4628000001</v>
      </c>
      <c r="J683" s="495">
        <v>0</v>
      </c>
      <c r="M683" s="495">
        <v>2602171.86876</v>
      </c>
      <c r="N683" s="495">
        <v>2647141.6398400003</v>
      </c>
      <c r="O683" s="495">
        <v>1394062.9034800001</v>
      </c>
      <c r="P683" s="495">
        <v>0</v>
      </c>
      <c r="Q683" s="495">
        <v>0</v>
      </c>
      <c r="T683" s="495">
        <v>1070963.3358400001</v>
      </c>
      <c r="U683" s="495">
        <v>4866886.4537200006</v>
      </c>
      <c r="V683" s="495">
        <v>-162328.24832000001</v>
      </c>
      <c r="W683" s="495">
        <v>-586707.4628000001</v>
      </c>
      <c r="X683" s="495">
        <v>0</v>
      </c>
      <c r="AA683" s="495">
        <v>0</v>
      </c>
      <c r="AB683" s="495">
        <v>0</v>
      </c>
      <c r="AC683" s="495">
        <v>0</v>
      </c>
      <c r="AD683" s="495">
        <v>0</v>
      </c>
      <c r="AE683" s="495">
        <v>0</v>
      </c>
      <c r="AH683" s="495">
        <v>408682.25849362521</v>
      </c>
      <c r="AI683" s="495">
        <v>297349.25204362546</v>
      </c>
      <c r="AJ683" s="495">
        <v>297349.25204362546</v>
      </c>
      <c r="AK683" s="495">
        <v>0</v>
      </c>
      <c r="AL683" s="495">
        <v>0</v>
      </c>
      <c r="AO683" s="495">
        <v>-356211.22871250019</v>
      </c>
      <c r="AP683" s="495">
        <v>-261025.02371250011</v>
      </c>
      <c r="AQ683" s="495">
        <v>0</v>
      </c>
      <c r="AR683" s="495">
        <v>0</v>
      </c>
      <c r="AS683" s="495">
        <v>0</v>
      </c>
    </row>
    <row r="684" spans="1:45">
      <c r="A684" s="390">
        <v>97607</v>
      </c>
      <c r="B684" s="500">
        <v>97607</v>
      </c>
      <c r="C684" s="501" t="s">
        <v>1389</v>
      </c>
      <c r="D684" s="378">
        <v>3.0114503605928E-5</v>
      </c>
      <c r="F684" s="495">
        <v>28289.075144807277</v>
      </c>
      <c r="G684" s="495">
        <v>45412.818529807271</v>
      </c>
      <c r="H684" s="495">
        <v>8236.2193323072715</v>
      </c>
      <c r="I684" s="495">
        <v>-3120.2993000000001</v>
      </c>
      <c r="J684" s="495">
        <v>0</v>
      </c>
      <c r="M684" s="495">
        <v>13839.188310000001</v>
      </c>
      <c r="N684" s="495">
        <v>14078.35204</v>
      </c>
      <c r="O684" s="495">
        <v>7414.0756300000003</v>
      </c>
      <c r="P684" s="495">
        <v>0</v>
      </c>
      <c r="Q684" s="495">
        <v>0</v>
      </c>
      <c r="T684" s="495">
        <v>5695.72804</v>
      </c>
      <c r="U684" s="495">
        <v>25883.67007</v>
      </c>
      <c r="V684" s="495">
        <v>-863.31392000000005</v>
      </c>
      <c r="W684" s="495">
        <v>-3120.2993000000001</v>
      </c>
      <c r="X684" s="495">
        <v>0</v>
      </c>
      <c r="AA684" s="495">
        <v>0</v>
      </c>
      <c r="AB684" s="495">
        <v>0</v>
      </c>
      <c r="AC684" s="495">
        <v>0</v>
      </c>
      <c r="AD684" s="495">
        <v>0</v>
      </c>
      <c r="AE684" s="495">
        <v>0</v>
      </c>
      <c r="AH684" s="495">
        <v>8754.1587948072756</v>
      </c>
      <c r="AI684" s="495">
        <v>5450.7964198072732</v>
      </c>
      <c r="AJ684" s="495">
        <v>1685.4576223072704</v>
      </c>
      <c r="AK684" s="495">
        <v>0</v>
      </c>
      <c r="AL684" s="495">
        <v>0</v>
      </c>
      <c r="AO684" s="495">
        <v>0</v>
      </c>
      <c r="AP684" s="495">
        <v>0</v>
      </c>
      <c r="AQ684" s="495">
        <v>0</v>
      </c>
      <c r="AR684" s="495">
        <v>0</v>
      </c>
      <c r="AS684" s="495">
        <v>0</v>
      </c>
    </row>
    <row r="685" spans="1:45">
      <c r="A685" s="390">
        <v>97611</v>
      </c>
      <c r="B685" s="393">
        <v>97611</v>
      </c>
      <c r="C685" s="499" t="s">
        <v>1390</v>
      </c>
      <c r="D685" s="378">
        <v>2.3517981423645338E-3</v>
      </c>
      <c r="F685" s="495">
        <v>1527998.7974171175</v>
      </c>
      <c r="G685" s="495">
        <v>3136594.6606671177</v>
      </c>
      <c r="H685" s="495">
        <v>539473.72354711802</v>
      </c>
      <c r="I685" s="495">
        <v>-243680.76350000003</v>
      </c>
      <c r="J685" s="495">
        <v>0</v>
      </c>
      <c r="M685" s="495">
        <v>1080775.80045</v>
      </c>
      <c r="N685" s="495">
        <v>1099453.3678000001</v>
      </c>
      <c r="O685" s="495">
        <v>579004.58785000001</v>
      </c>
      <c r="P685" s="495">
        <v>0</v>
      </c>
      <c r="Q685" s="495">
        <v>0</v>
      </c>
      <c r="T685" s="495">
        <v>444809.68780000001</v>
      </c>
      <c r="U685" s="495">
        <v>2021393.4236500002</v>
      </c>
      <c r="V685" s="495">
        <v>-67420.774400000009</v>
      </c>
      <c r="W685" s="495">
        <v>-243680.76350000003</v>
      </c>
      <c r="X685" s="495">
        <v>0</v>
      </c>
      <c r="AA685" s="495">
        <v>0</v>
      </c>
      <c r="AB685" s="495">
        <v>0</v>
      </c>
      <c r="AC685" s="495">
        <v>0</v>
      </c>
      <c r="AD685" s="495">
        <v>0</v>
      </c>
      <c r="AE685" s="495">
        <v>0</v>
      </c>
      <c r="AH685" s="495">
        <v>47928.461607117941</v>
      </c>
      <c r="AI685" s="495">
        <v>47282.460357118027</v>
      </c>
      <c r="AJ685" s="495">
        <v>27889.91009711798</v>
      </c>
      <c r="AK685" s="495">
        <v>0</v>
      </c>
      <c r="AL685" s="495">
        <v>0</v>
      </c>
      <c r="AO685" s="495">
        <v>-45515.152440000311</v>
      </c>
      <c r="AP685" s="495">
        <v>-31534.591140000484</v>
      </c>
      <c r="AQ685" s="495">
        <v>0</v>
      </c>
      <c r="AR685" s="495">
        <v>0</v>
      </c>
      <c r="AS685" s="495">
        <v>0</v>
      </c>
    </row>
    <row r="686" spans="1:45">
      <c r="A686" s="390">
        <v>97613</v>
      </c>
      <c r="B686" s="393">
        <v>97613</v>
      </c>
      <c r="C686" s="499" t="s">
        <v>1391</v>
      </c>
      <c r="D686" s="378">
        <v>9.7144368807001706E-5</v>
      </c>
      <c r="F686" s="495">
        <v>78153.634948098799</v>
      </c>
      <c r="G686" s="495">
        <v>147840.3859030988</v>
      </c>
      <c r="H686" s="495">
        <v>32080.098073098798</v>
      </c>
      <c r="I686" s="495">
        <v>-10065.581899999999</v>
      </c>
      <c r="J686" s="495">
        <v>0</v>
      </c>
      <c r="M686" s="495">
        <v>44642.987730000001</v>
      </c>
      <c r="N686" s="495">
        <v>45414.491320000001</v>
      </c>
      <c r="O686" s="495">
        <v>23916.611290000001</v>
      </c>
      <c r="P686" s="495">
        <v>0</v>
      </c>
      <c r="Q686" s="495">
        <v>0</v>
      </c>
      <c r="T686" s="495">
        <v>18373.499319999999</v>
      </c>
      <c r="U686" s="495">
        <v>83496.541809999995</v>
      </c>
      <c r="V686" s="495">
        <v>-2784.9113600000001</v>
      </c>
      <c r="W686" s="495">
        <v>-10065.581899999999</v>
      </c>
      <c r="X686" s="495">
        <v>0</v>
      </c>
      <c r="AA686" s="495">
        <v>0</v>
      </c>
      <c r="AB686" s="495">
        <v>0</v>
      </c>
      <c r="AC686" s="495">
        <v>0</v>
      </c>
      <c r="AD686" s="495">
        <v>0</v>
      </c>
      <c r="AE686" s="495">
        <v>0</v>
      </c>
      <c r="AH686" s="495">
        <v>24230.195898098798</v>
      </c>
      <c r="AI686" s="495">
        <v>18929.352773098799</v>
      </c>
      <c r="AJ686" s="495">
        <v>10948.398143098795</v>
      </c>
      <c r="AK686" s="495">
        <v>0</v>
      </c>
      <c r="AL686" s="495">
        <v>0</v>
      </c>
      <c r="AO686" s="495">
        <v>-9093.0479999999989</v>
      </c>
      <c r="AP686" s="495">
        <v>0</v>
      </c>
      <c r="AQ686" s="495">
        <v>0</v>
      </c>
      <c r="AR686" s="495">
        <v>0</v>
      </c>
      <c r="AS686" s="495">
        <v>0</v>
      </c>
    </row>
    <row r="687" spans="1:45">
      <c r="A687" s="390">
        <v>97621</v>
      </c>
      <c r="B687" s="393">
        <v>97621</v>
      </c>
      <c r="C687" s="499" t="s">
        <v>1392</v>
      </c>
      <c r="D687" s="378">
        <v>3.8870758479055004E-4</v>
      </c>
      <c r="F687" s="495">
        <v>252396.4647788516</v>
      </c>
      <c r="G687" s="495">
        <v>534817.89187885146</v>
      </c>
      <c r="H687" s="495">
        <v>132273.99721885164</v>
      </c>
      <c r="I687" s="495">
        <v>-40275.799500000001</v>
      </c>
      <c r="J687" s="495">
        <v>0</v>
      </c>
      <c r="M687" s="495">
        <v>178631.70165</v>
      </c>
      <c r="N687" s="495">
        <v>181718.74859999999</v>
      </c>
      <c r="O687" s="495">
        <v>95698.455449999994</v>
      </c>
      <c r="P687" s="495">
        <v>0</v>
      </c>
      <c r="Q687" s="495">
        <v>0</v>
      </c>
      <c r="T687" s="495">
        <v>73518.588600000003</v>
      </c>
      <c r="U687" s="495">
        <v>334097.92005000002</v>
      </c>
      <c r="V687" s="495">
        <v>-11143.372799999999</v>
      </c>
      <c r="W687" s="495">
        <v>-40275.799500000001</v>
      </c>
      <c r="X687" s="495">
        <v>0</v>
      </c>
      <c r="AA687" s="495">
        <v>0</v>
      </c>
      <c r="AB687" s="495">
        <v>0</v>
      </c>
      <c r="AC687" s="495">
        <v>0</v>
      </c>
      <c r="AD687" s="495">
        <v>0</v>
      </c>
      <c r="AE687" s="495">
        <v>0</v>
      </c>
      <c r="AH687" s="495">
        <v>53859.973548851616</v>
      </c>
      <c r="AI687" s="495">
        <v>53859.973548851616</v>
      </c>
      <c r="AJ687" s="495">
        <v>47718.914568851629</v>
      </c>
      <c r="AK687" s="495">
        <v>0</v>
      </c>
      <c r="AL687" s="495">
        <v>0</v>
      </c>
      <c r="AO687" s="495">
        <v>-53613.799020000035</v>
      </c>
      <c r="AP687" s="495">
        <v>-34858.75032000005</v>
      </c>
      <c r="AQ687" s="495">
        <v>0</v>
      </c>
      <c r="AR687" s="495">
        <v>0</v>
      </c>
      <c r="AS687" s="495">
        <v>0</v>
      </c>
    </row>
    <row r="688" spans="1:45">
      <c r="A688" s="390">
        <v>97623</v>
      </c>
      <c r="B688" s="393">
        <v>97623</v>
      </c>
      <c r="C688" s="499" t="s">
        <v>1393</v>
      </c>
      <c r="D688" s="378">
        <v>2.1983323555906313E-5</v>
      </c>
      <c r="F688" s="495">
        <v>11694.719606230945</v>
      </c>
      <c r="G688" s="495">
        <v>26942.097861230948</v>
      </c>
      <c r="H688" s="495">
        <v>4521.0724762309474</v>
      </c>
      <c r="I688" s="495">
        <v>-2277.7874000000002</v>
      </c>
      <c r="J688" s="495">
        <v>0</v>
      </c>
      <c r="M688" s="495">
        <v>10102.469579999999</v>
      </c>
      <c r="N688" s="495">
        <v>10277.05672</v>
      </c>
      <c r="O688" s="495">
        <v>5412.2013399999996</v>
      </c>
      <c r="P688" s="495">
        <v>0</v>
      </c>
      <c r="Q688" s="495">
        <v>0</v>
      </c>
      <c r="T688" s="495">
        <v>4157.8247199999996</v>
      </c>
      <c r="U688" s="495">
        <v>18894.821260000001</v>
      </c>
      <c r="V688" s="495">
        <v>-630.21055999999999</v>
      </c>
      <c r="W688" s="495">
        <v>-2277.7874000000002</v>
      </c>
      <c r="X688" s="495">
        <v>0</v>
      </c>
      <c r="AA688" s="495">
        <v>0</v>
      </c>
      <c r="AB688" s="495">
        <v>0</v>
      </c>
      <c r="AC688" s="495">
        <v>0</v>
      </c>
      <c r="AD688" s="495">
        <v>0</v>
      </c>
      <c r="AE688" s="495">
        <v>0</v>
      </c>
      <c r="AH688" s="495">
        <v>273.19677999999931</v>
      </c>
      <c r="AI688" s="495">
        <v>97.50740500000029</v>
      </c>
      <c r="AJ688" s="495">
        <v>0</v>
      </c>
      <c r="AK688" s="495">
        <v>0</v>
      </c>
      <c r="AL688" s="495">
        <v>0</v>
      </c>
      <c r="AO688" s="495">
        <v>-2838.7714737690512</v>
      </c>
      <c r="AP688" s="495">
        <v>-2327.2875237690532</v>
      </c>
      <c r="AQ688" s="495">
        <v>-260.91830376905295</v>
      </c>
      <c r="AR688" s="495">
        <v>0</v>
      </c>
      <c r="AS688" s="495">
        <v>0</v>
      </c>
    </row>
    <row r="689" spans="1:45">
      <c r="A689" s="390">
        <v>97627</v>
      </c>
      <c r="B689" s="393">
        <v>97627</v>
      </c>
      <c r="C689" s="499" t="s">
        <v>1394</v>
      </c>
      <c r="D689" s="378">
        <v>5.8108681250775315E-6</v>
      </c>
      <c r="F689" s="495">
        <v>11274.649447586524</v>
      </c>
      <c r="G689" s="495">
        <v>14151.331607586522</v>
      </c>
      <c r="H689" s="495">
        <v>3575.3864100865239</v>
      </c>
      <c r="I689" s="495">
        <v>-602.09030000000007</v>
      </c>
      <c r="J689" s="495">
        <v>0</v>
      </c>
      <c r="M689" s="495">
        <v>2670.3980100000003</v>
      </c>
      <c r="N689" s="495">
        <v>2716.54684</v>
      </c>
      <c r="O689" s="495">
        <v>1430.61373</v>
      </c>
      <c r="P689" s="495">
        <v>0</v>
      </c>
      <c r="Q689" s="495">
        <v>0</v>
      </c>
      <c r="T689" s="495">
        <v>1099.0428400000001</v>
      </c>
      <c r="U689" s="495">
        <v>4994.4909699999998</v>
      </c>
      <c r="V689" s="495">
        <v>-166.58432000000002</v>
      </c>
      <c r="W689" s="495">
        <v>-602.09030000000007</v>
      </c>
      <c r="X689" s="495">
        <v>0</v>
      </c>
      <c r="AA689" s="495">
        <v>0</v>
      </c>
      <c r="AB689" s="495">
        <v>0</v>
      </c>
      <c r="AC689" s="495">
        <v>0</v>
      </c>
      <c r="AD689" s="495">
        <v>0</v>
      </c>
      <c r="AE689" s="495">
        <v>0</v>
      </c>
      <c r="AH689" s="495">
        <v>8016.6925475865228</v>
      </c>
      <c r="AI689" s="495">
        <v>6440.2937975865234</v>
      </c>
      <c r="AJ689" s="495">
        <v>2311.3570000865238</v>
      </c>
      <c r="AK689" s="495">
        <v>0</v>
      </c>
      <c r="AL689" s="495">
        <v>0</v>
      </c>
      <c r="AO689" s="495">
        <v>-511.48395000000005</v>
      </c>
      <c r="AP689" s="495">
        <v>0</v>
      </c>
      <c r="AQ689" s="495">
        <v>0</v>
      </c>
      <c r="AR689" s="495">
        <v>0</v>
      </c>
      <c r="AS689" s="495">
        <v>0</v>
      </c>
    </row>
    <row r="690" spans="1:45">
      <c r="A690" s="390">
        <v>97631</v>
      </c>
      <c r="B690" s="393">
        <v>97631</v>
      </c>
      <c r="C690" s="499" t="s">
        <v>1395</v>
      </c>
      <c r="D690" s="378">
        <v>2.5188721728486291E-4</v>
      </c>
      <c r="F690" s="495">
        <v>207007.39917134965</v>
      </c>
      <c r="G690" s="495">
        <v>374564.90762134967</v>
      </c>
      <c r="H690" s="495">
        <v>72614.349686349626</v>
      </c>
      <c r="I690" s="495">
        <v>-26099.215500000002</v>
      </c>
      <c r="J690" s="495">
        <v>0</v>
      </c>
      <c r="M690" s="495">
        <v>115755.54885000001</v>
      </c>
      <c r="N690" s="495">
        <v>117755.99340000001</v>
      </c>
      <c r="O690" s="495">
        <v>62013.781050000005</v>
      </c>
      <c r="P690" s="495">
        <v>0</v>
      </c>
      <c r="Q690" s="495">
        <v>0</v>
      </c>
      <c r="T690" s="495">
        <v>47640.953400000006</v>
      </c>
      <c r="U690" s="495">
        <v>216499.57845000003</v>
      </c>
      <c r="V690" s="495">
        <v>-7221.043200000001</v>
      </c>
      <c r="W690" s="495">
        <v>-26099.215500000002</v>
      </c>
      <c r="X690" s="495">
        <v>0</v>
      </c>
      <c r="AA690" s="495">
        <v>0</v>
      </c>
      <c r="AB690" s="495">
        <v>0</v>
      </c>
      <c r="AC690" s="495">
        <v>0</v>
      </c>
      <c r="AD690" s="495">
        <v>0</v>
      </c>
      <c r="AE690" s="495">
        <v>0</v>
      </c>
      <c r="AH690" s="495">
        <v>43610.896921349631</v>
      </c>
      <c r="AI690" s="495">
        <v>40309.33577134963</v>
      </c>
      <c r="AJ690" s="495">
        <v>17821.611836349628</v>
      </c>
      <c r="AK690" s="495">
        <v>0</v>
      </c>
      <c r="AL690" s="495">
        <v>0</v>
      </c>
      <c r="AO690" s="495">
        <v>0</v>
      </c>
      <c r="AP690" s="495">
        <v>0</v>
      </c>
      <c r="AQ690" s="495">
        <v>0</v>
      </c>
      <c r="AR690" s="495">
        <v>0</v>
      </c>
      <c r="AS690" s="495">
        <v>0</v>
      </c>
    </row>
    <row r="691" spans="1:45">
      <c r="A691" s="390">
        <v>97637</v>
      </c>
      <c r="B691" s="393">
        <v>97637</v>
      </c>
      <c r="C691" s="499" t="s">
        <v>1396</v>
      </c>
      <c r="D691" s="378">
        <v>4.3005883683044195E-6</v>
      </c>
      <c r="F691" s="495">
        <v>5083.9516106707497</v>
      </c>
      <c r="G691" s="495">
        <v>5908.2202606707497</v>
      </c>
      <c r="H691" s="495">
        <v>1034.9069581707499</v>
      </c>
      <c r="I691" s="495">
        <v>-445.60900000000004</v>
      </c>
      <c r="J691" s="495">
        <v>0</v>
      </c>
      <c r="M691" s="495">
        <v>1976.3703</v>
      </c>
      <c r="N691" s="495">
        <v>2010.5252000000003</v>
      </c>
      <c r="O691" s="495">
        <v>1058.8019000000002</v>
      </c>
      <c r="P691" s="495">
        <v>0</v>
      </c>
      <c r="Q691" s="495">
        <v>0</v>
      </c>
      <c r="T691" s="495">
        <v>813.40520000000004</v>
      </c>
      <c r="U691" s="495">
        <v>3696.4391000000005</v>
      </c>
      <c r="V691" s="495">
        <v>-123.28960000000001</v>
      </c>
      <c r="W691" s="495">
        <v>-445.60900000000004</v>
      </c>
      <c r="X691" s="495">
        <v>0</v>
      </c>
      <c r="AA691" s="495">
        <v>0</v>
      </c>
      <c r="AB691" s="495">
        <v>0</v>
      </c>
      <c r="AC691" s="495">
        <v>0</v>
      </c>
      <c r="AD691" s="495">
        <v>0</v>
      </c>
      <c r="AE691" s="495">
        <v>0</v>
      </c>
      <c r="AH691" s="495">
        <v>2416.2173031707489</v>
      </c>
      <c r="AI691" s="495">
        <v>256.61840317074882</v>
      </c>
      <c r="AJ691" s="495">
        <v>99.394658170749722</v>
      </c>
      <c r="AK691" s="495">
        <v>0</v>
      </c>
      <c r="AL691" s="495">
        <v>0</v>
      </c>
      <c r="AO691" s="495">
        <v>-122.04119249999974</v>
      </c>
      <c r="AP691" s="495">
        <v>-55.362442499999815</v>
      </c>
      <c r="AQ691" s="495">
        <v>0</v>
      </c>
      <c r="AR691" s="495">
        <v>0</v>
      </c>
      <c r="AS691" s="495">
        <v>0</v>
      </c>
    </row>
    <row r="692" spans="1:45">
      <c r="A692" s="390">
        <v>97641</v>
      </c>
      <c r="B692" s="393">
        <v>97641</v>
      </c>
      <c r="C692" s="499" t="s">
        <v>1397</v>
      </c>
      <c r="D692" s="378">
        <v>9.4173954141961303E-5</v>
      </c>
      <c r="F692" s="495">
        <v>68753.795612327362</v>
      </c>
      <c r="G692" s="495">
        <v>115488.51039732737</v>
      </c>
      <c r="H692" s="495">
        <v>23184.027174827384</v>
      </c>
      <c r="I692" s="495">
        <v>-9757.8008000000009</v>
      </c>
      <c r="J692" s="495">
        <v>0</v>
      </c>
      <c r="M692" s="495">
        <v>43277.913360000006</v>
      </c>
      <c r="N692" s="495">
        <v>44025.826240000002</v>
      </c>
      <c r="O692" s="495">
        <v>23185.299280000003</v>
      </c>
      <c r="P692" s="495">
        <v>0</v>
      </c>
      <c r="Q692" s="495">
        <v>0</v>
      </c>
      <c r="T692" s="495">
        <v>17811.682240000002</v>
      </c>
      <c r="U692" s="495">
        <v>80943.41992</v>
      </c>
      <c r="V692" s="495">
        <v>-2699.7555200000002</v>
      </c>
      <c r="W692" s="495">
        <v>-9757.8008000000009</v>
      </c>
      <c r="X692" s="495">
        <v>0</v>
      </c>
      <c r="AA692" s="495">
        <v>0</v>
      </c>
      <c r="AB692" s="495">
        <v>0</v>
      </c>
      <c r="AC692" s="495">
        <v>0</v>
      </c>
      <c r="AD692" s="495">
        <v>0</v>
      </c>
      <c r="AE692" s="495">
        <v>0</v>
      </c>
      <c r="AH692" s="495">
        <v>20593.452032327379</v>
      </c>
      <c r="AI692" s="495">
        <v>2805.1768823273815</v>
      </c>
      <c r="AJ692" s="495">
        <v>2698.4834148273803</v>
      </c>
      <c r="AK692" s="495">
        <v>0</v>
      </c>
      <c r="AL692" s="495">
        <v>0</v>
      </c>
      <c r="AO692" s="495">
        <v>-12929.252020000029</v>
      </c>
      <c r="AP692" s="495">
        <v>-12285.912645000033</v>
      </c>
      <c r="AQ692" s="495">
        <v>0</v>
      </c>
      <c r="AR692" s="495">
        <v>0</v>
      </c>
      <c r="AS692" s="495">
        <v>0</v>
      </c>
    </row>
    <row r="693" spans="1:45">
      <c r="A693" s="390">
        <v>97651</v>
      </c>
      <c r="B693" s="393">
        <v>97651</v>
      </c>
      <c r="C693" s="499" t="s">
        <v>1398</v>
      </c>
      <c r="D693" s="378">
        <v>4.4671612470185366E-4</v>
      </c>
      <c r="F693" s="495">
        <v>223082.95915359657</v>
      </c>
      <c r="G693" s="495">
        <v>505312.87692859647</v>
      </c>
      <c r="H693" s="495">
        <v>60278.117748596509</v>
      </c>
      <c r="I693" s="495">
        <v>-46286.339500000002</v>
      </c>
      <c r="J693" s="495">
        <v>0</v>
      </c>
      <c r="M693" s="495">
        <v>205289.71964999998</v>
      </c>
      <c r="N693" s="495">
        <v>208837.46059999999</v>
      </c>
      <c r="O693" s="495">
        <v>109979.96945</v>
      </c>
      <c r="P693" s="495">
        <v>0</v>
      </c>
      <c r="Q693" s="495">
        <v>0</v>
      </c>
      <c r="T693" s="495">
        <v>84490.100599999991</v>
      </c>
      <c r="U693" s="495">
        <v>383956.86605000001</v>
      </c>
      <c r="V693" s="495">
        <v>-12806.3488</v>
      </c>
      <c r="W693" s="495">
        <v>-46286.339500000002</v>
      </c>
      <c r="X693" s="495">
        <v>0</v>
      </c>
      <c r="AA693" s="495">
        <v>0</v>
      </c>
      <c r="AB693" s="495">
        <v>0</v>
      </c>
      <c r="AC693" s="495">
        <v>0</v>
      </c>
      <c r="AD693" s="495">
        <v>0</v>
      </c>
      <c r="AE693" s="495">
        <v>0</v>
      </c>
      <c r="AH693" s="495">
        <v>27563.301750000042</v>
      </c>
      <c r="AI693" s="495">
        <v>0</v>
      </c>
      <c r="AJ693" s="495">
        <v>0</v>
      </c>
      <c r="AK693" s="495">
        <v>0</v>
      </c>
      <c r="AL693" s="495">
        <v>0</v>
      </c>
      <c r="AO693" s="495">
        <v>-94260.162846403458</v>
      </c>
      <c r="AP693" s="495">
        <v>-87481.449721403478</v>
      </c>
      <c r="AQ693" s="495">
        <v>-36895.502901403488</v>
      </c>
      <c r="AR693" s="495">
        <v>0</v>
      </c>
      <c r="AS693" s="495">
        <v>0</v>
      </c>
    </row>
    <row r="694" spans="1:45">
      <c r="A694" s="390">
        <v>97661</v>
      </c>
      <c r="B694" s="393">
        <v>97661</v>
      </c>
      <c r="C694" s="499" t="s">
        <v>1399</v>
      </c>
      <c r="D694" s="378">
        <v>6.8650226252495704E-5</v>
      </c>
      <c r="F694" s="495">
        <v>61511.348523939574</v>
      </c>
      <c r="G694" s="495">
        <v>108008.28298893958</v>
      </c>
      <c r="H694" s="495">
        <v>26072.885668939576</v>
      </c>
      <c r="I694" s="495">
        <v>-7113.1631999999991</v>
      </c>
      <c r="J694" s="495">
        <v>0</v>
      </c>
      <c r="M694" s="495">
        <v>31548.385439999998</v>
      </c>
      <c r="N694" s="495">
        <v>32093.592959999998</v>
      </c>
      <c r="O694" s="495">
        <v>16901.433119999998</v>
      </c>
      <c r="P694" s="495">
        <v>0</v>
      </c>
      <c r="Q694" s="495">
        <v>0</v>
      </c>
      <c r="T694" s="495">
        <v>12984.216959999998</v>
      </c>
      <c r="U694" s="495">
        <v>59005.483679999998</v>
      </c>
      <c r="V694" s="495">
        <v>-1968.0460799999998</v>
      </c>
      <c r="W694" s="495">
        <v>-7113.1631999999991</v>
      </c>
      <c r="X694" s="495">
        <v>0</v>
      </c>
      <c r="AA694" s="495">
        <v>0</v>
      </c>
      <c r="AB694" s="495">
        <v>0</v>
      </c>
      <c r="AC694" s="495">
        <v>0</v>
      </c>
      <c r="AD694" s="495">
        <v>0</v>
      </c>
      <c r="AE694" s="495">
        <v>0</v>
      </c>
      <c r="AH694" s="495">
        <v>17581.361563939579</v>
      </c>
      <c r="AI694" s="495">
        <v>17114.000938939578</v>
      </c>
      <c r="AJ694" s="495">
        <v>11139.498628939578</v>
      </c>
      <c r="AK694" s="495">
        <v>0</v>
      </c>
      <c r="AL694" s="495">
        <v>0</v>
      </c>
      <c r="AO694" s="495">
        <v>-602.61543999999958</v>
      </c>
      <c r="AP694" s="495">
        <v>-204.79458999999952</v>
      </c>
      <c r="AQ694" s="495">
        <v>0</v>
      </c>
      <c r="AR694" s="495">
        <v>0</v>
      </c>
      <c r="AS694" s="495">
        <v>0</v>
      </c>
    </row>
    <row r="695" spans="1:45">
      <c r="A695" s="390">
        <v>97701</v>
      </c>
      <c r="B695" s="393">
        <v>97701</v>
      </c>
      <c r="C695" s="499" t="s">
        <v>1400</v>
      </c>
      <c r="D695" s="378">
        <v>2.1862737063852999E-3</v>
      </c>
      <c r="F695" s="495">
        <v>1240066.1732381042</v>
      </c>
      <c r="G695" s="495">
        <v>2757887.3897631043</v>
      </c>
      <c r="H695" s="495">
        <v>359988.81274310412</v>
      </c>
      <c r="I695" s="495">
        <v>-226529.99849999999</v>
      </c>
      <c r="J695" s="495">
        <v>0</v>
      </c>
      <c r="M695" s="495">
        <v>1004708.52495</v>
      </c>
      <c r="N695" s="495">
        <v>1022071.5257999999</v>
      </c>
      <c r="O695" s="495">
        <v>538253.02634999994</v>
      </c>
      <c r="P695" s="495">
        <v>0</v>
      </c>
      <c r="Q695" s="495">
        <v>0</v>
      </c>
      <c r="T695" s="495">
        <v>413503.04579999996</v>
      </c>
      <c r="U695" s="495">
        <v>1879123.50015</v>
      </c>
      <c r="V695" s="495">
        <v>-62675.558399999994</v>
      </c>
      <c r="W695" s="495">
        <v>-226529.99849999999</v>
      </c>
      <c r="X695" s="495">
        <v>0</v>
      </c>
      <c r="AA695" s="495">
        <v>0</v>
      </c>
      <c r="AB695" s="495">
        <v>0</v>
      </c>
      <c r="AC695" s="495">
        <v>0</v>
      </c>
      <c r="AD695" s="495">
        <v>0</v>
      </c>
      <c r="AE695" s="495">
        <v>0</v>
      </c>
      <c r="AH695" s="495">
        <v>29729.06398500019</v>
      </c>
      <c r="AI695" s="495">
        <v>2393.1096100001596</v>
      </c>
      <c r="AJ695" s="495">
        <v>0</v>
      </c>
      <c r="AK695" s="495">
        <v>0</v>
      </c>
      <c r="AL695" s="495">
        <v>0</v>
      </c>
      <c r="AO695" s="495">
        <v>-207874.46149689576</v>
      </c>
      <c r="AP695" s="495">
        <v>-145700.7457968957</v>
      </c>
      <c r="AQ695" s="495">
        <v>-115588.65520689584</v>
      </c>
      <c r="AR695" s="495">
        <v>0</v>
      </c>
      <c r="AS695" s="495">
        <v>0</v>
      </c>
    </row>
    <row r="696" spans="1:45">
      <c r="A696" s="390">
        <v>97705</v>
      </c>
      <c r="B696" s="393">
        <v>97705</v>
      </c>
      <c r="C696" s="499" t="s">
        <v>1401</v>
      </c>
      <c r="D696" s="378">
        <v>2.291337697390343E-5</v>
      </c>
      <c r="F696" s="495">
        <v>18934.773864149265</v>
      </c>
      <c r="G696" s="495">
        <v>33127.652799149277</v>
      </c>
      <c r="H696" s="495">
        <v>-3448.8120883507308</v>
      </c>
      <c r="I696" s="495">
        <v>-2374.1632999999997</v>
      </c>
      <c r="J696" s="495">
        <v>0</v>
      </c>
      <c r="M696" s="495">
        <v>10529.91711</v>
      </c>
      <c r="N696" s="495">
        <v>10711.891239999999</v>
      </c>
      <c r="O696" s="495">
        <v>5641.1980299999996</v>
      </c>
      <c r="P696" s="495">
        <v>0</v>
      </c>
      <c r="Q696" s="495">
        <v>0</v>
      </c>
      <c r="T696" s="495">
        <v>4333.7472399999997</v>
      </c>
      <c r="U696" s="495">
        <v>19694.283670000001</v>
      </c>
      <c r="V696" s="495">
        <v>-656.87551999999994</v>
      </c>
      <c r="W696" s="495">
        <v>-2374.1632999999997</v>
      </c>
      <c r="X696" s="495">
        <v>0</v>
      </c>
      <c r="AA696" s="495">
        <v>0</v>
      </c>
      <c r="AB696" s="495">
        <v>0</v>
      </c>
      <c r="AC696" s="495">
        <v>0</v>
      </c>
      <c r="AD696" s="495">
        <v>0</v>
      </c>
      <c r="AE696" s="495">
        <v>0</v>
      </c>
      <c r="AH696" s="495">
        <v>16417.8098875</v>
      </c>
      <c r="AI696" s="495">
        <v>13363.2317625</v>
      </c>
      <c r="AJ696" s="495">
        <v>0</v>
      </c>
      <c r="AK696" s="495">
        <v>0</v>
      </c>
      <c r="AL696" s="495">
        <v>0</v>
      </c>
      <c r="AO696" s="495">
        <v>-12346.700373350734</v>
      </c>
      <c r="AP696" s="495">
        <v>-10641.753873350728</v>
      </c>
      <c r="AQ696" s="495">
        <v>-8433.1345983507308</v>
      </c>
      <c r="AR696" s="495">
        <v>0</v>
      </c>
      <c r="AS696" s="495">
        <v>0</v>
      </c>
    </row>
    <row r="697" spans="1:45">
      <c r="A697" s="390">
        <v>97711</v>
      </c>
      <c r="B697" s="393">
        <v>97711</v>
      </c>
      <c r="C697" s="499" t="s">
        <v>1402</v>
      </c>
      <c r="D697" s="378">
        <v>7.0426422063889649E-4</v>
      </c>
      <c r="F697" s="495">
        <v>367699.18783335236</v>
      </c>
      <c r="G697" s="495">
        <v>859405.05881835229</v>
      </c>
      <c r="H697" s="495">
        <v>89876.483148352403</v>
      </c>
      <c r="I697" s="495">
        <v>-72972.1008</v>
      </c>
      <c r="J697" s="495">
        <v>0</v>
      </c>
      <c r="M697" s="495">
        <v>323646.72336</v>
      </c>
      <c r="N697" s="495">
        <v>329239.86624</v>
      </c>
      <c r="O697" s="495">
        <v>173387.42928000001</v>
      </c>
      <c r="P697" s="495">
        <v>0</v>
      </c>
      <c r="Q697" s="495">
        <v>0</v>
      </c>
      <c r="T697" s="495">
        <v>133201.72224</v>
      </c>
      <c r="U697" s="495">
        <v>605321.98991999996</v>
      </c>
      <c r="V697" s="495">
        <v>-20189.675520000001</v>
      </c>
      <c r="W697" s="495">
        <v>-72972.1008</v>
      </c>
      <c r="X697" s="495">
        <v>0</v>
      </c>
      <c r="AA697" s="495">
        <v>0</v>
      </c>
      <c r="AB697" s="495">
        <v>0</v>
      </c>
      <c r="AC697" s="495">
        <v>0</v>
      </c>
      <c r="AD697" s="495">
        <v>0</v>
      </c>
      <c r="AE697" s="495">
        <v>0</v>
      </c>
      <c r="AH697" s="495">
        <v>8228.6756249999744</v>
      </c>
      <c r="AI697" s="495">
        <v>0</v>
      </c>
      <c r="AJ697" s="495">
        <v>0</v>
      </c>
      <c r="AK697" s="495">
        <v>0</v>
      </c>
      <c r="AL697" s="495">
        <v>0</v>
      </c>
      <c r="AO697" s="495">
        <v>-97377.933391647603</v>
      </c>
      <c r="AP697" s="495">
        <v>-75156.797341647631</v>
      </c>
      <c r="AQ697" s="495">
        <v>-63321.270611647618</v>
      </c>
      <c r="AR697" s="495">
        <v>0</v>
      </c>
      <c r="AS697" s="495">
        <v>0</v>
      </c>
    </row>
    <row r="698" spans="1:45">
      <c r="A698" s="390">
        <v>97713</v>
      </c>
      <c r="B698" s="393">
        <v>97713</v>
      </c>
      <c r="C698" s="499" t="s">
        <v>1403</v>
      </c>
      <c r="D698" s="378">
        <v>7.4831098082228648E-5</v>
      </c>
      <c r="F698" s="495">
        <v>48073.560315671042</v>
      </c>
      <c r="G698" s="495">
        <v>94288.159085671025</v>
      </c>
      <c r="H698" s="495">
        <v>20685.901768171036</v>
      </c>
      <c r="I698" s="495">
        <v>-7753.5966000000008</v>
      </c>
      <c r="J698" s="495">
        <v>0</v>
      </c>
      <c r="M698" s="495">
        <v>34388.843220000002</v>
      </c>
      <c r="N698" s="495">
        <v>34983.138480000001</v>
      </c>
      <c r="O698" s="495">
        <v>18423.153060000001</v>
      </c>
      <c r="P698" s="495">
        <v>0</v>
      </c>
      <c r="Q698" s="495">
        <v>0</v>
      </c>
      <c r="T698" s="495">
        <v>14153.250480000001</v>
      </c>
      <c r="U698" s="495">
        <v>64318.040340000007</v>
      </c>
      <c r="V698" s="495">
        <v>-2145.2390399999999</v>
      </c>
      <c r="W698" s="495">
        <v>-7753.5966000000008</v>
      </c>
      <c r="X698" s="495">
        <v>0</v>
      </c>
      <c r="AA698" s="495">
        <v>0</v>
      </c>
      <c r="AB698" s="495">
        <v>0</v>
      </c>
      <c r="AC698" s="495">
        <v>0</v>
      </c>
      <c r="AD698" s="495">
        <v>0</v>
      </c>
      <c r="AE698" s="495">
        <v>0</v>
      </c>
      <c r="AH698" s="495">
        <v>12478.067848171042</v>
      </c>
      <c r="AI698" s="495">
        <v>4407.9877481710355</v>
      </c>
      <c r="AJ698" s="495">
        <v>4407.9877481710355</v>
      </c>
      <c r="AK698" s="495">
        <v>0</v>
      </c>
      <c r="AL698" s="495">
        <v>0</v>
      </c>
      <c r="AO698" s="495">
        <v>-12946.601232500008</v>
      </c>
      <c r="AP698" s="495">
        <v>-9421.0074825000065</v>
      </c>
      <c r="AQ698" s="495">
        <v>0</v>
      </c>
      <c r="AR698" s="495">
        <v>0</v>
      </c>
      <c r="AS698" s="495">
        <v>0</v>
      </c>
    </row>
    <row r="699" spans="1:45">
      <c r="A699" s="390">
        <v>97717</v>
      </c>
      <c r="B699" s="393">
        <v>97717</v>
      </c>
      <c r="C699" s="499" t="s">
        <v>1404</v>
      </c>
      <c r="D699" s="378">
        <v>1.3461963175794915E-5</v>
      </c>
      <c r="F699" s="495">
        <v>8544.2391082856448</v>
      </c>
      <c r="G699" s="495">
        <v>20906.663318285646</v>
      </c>
      <c r="H699" s="495">
        <v>6153.6983207856465</v>
      </c>
      <c r="I699" s="495">
        <v>-1394.8598</v>
      </c>
      <c r="J699" s="495">
        <v>0</v>
      </c>
      <c r="M699" s="495">
        <v>6186.4986600000002</v>
      </c>
      <c r="N699" s="495">
        <v>6293.4114399999999</v>
      </c>
      <c r="O699" s="495">
        <v>3314.2961799999998</v>
      </c>
      <c r="P699" s="495">
        <v>0</v>
      </c>
      <c r="Q699" s="495">
        <v>0</v>
      </c>
      <c r="T699" s="495">
        <v>2546.1474400000002</v>
      </c>
      <c r="U699" s="495">
        <v>11570.714019999999</v>
      </c>
      <c r="V699" s="495">
        <v>-385.92511999999999</v>
      </c>
      <c r="W699" s="495">
        <v>-1394.8598</v>
      </c>
      <c r="X699" s="495">
        <v>0</v>
      </c>
      <c r="AA699" s="495">
        <v>0</v>
      </c>
      <c r="AB699" s="495">
        <v>0</v>
      </c>
      <c r="AC699" s="495">
        <v>0</v>
      </c>
      <c r="AD699" s="495">
        <v>0</v>
      </c>
      <c r="AE699" s="495">
        <v>0</v>
      </c>
      <c r="AH699" s="495">
        <v>3791.8466532856464</v>
      </c>
      <c r="AI699" s="495">
        <v>3499.235403285647</v>
      </c>
      <c r="AJ699" s="495">
        <v>3225.327260785647</v>
      </c>
      <c r="AK699" s="495">
        <v>0</v>
      </c>
      <c r="AL699" s="495">
        <v>0</v>
      </c>
      <c r="AO699" s="495">
        <v>-3980.2536449999998</v>
      </c>
      <c r="AP699" s="495">
        <v>-456.69754500000067</v>
      </c>
      <c r="AQ699" s="495">
        <v>0</v>
      </c>
      <c r="AR699" s="495">
        <v>0</v>
      </c>
      <c r="AS699" s="495">
        <v>0</v>
      </c>
    </row>
    <row r="700" spans="1:45">
      <c r="A700" s="390">
        <v>97721</v>
      </c>
      <c r="B700" s="393">
        <v>97721</v>
      </c>
      <c r="C700" s="499" t="s">
        <v>1405</v>
      </c>
      <c r="D700" s="378">
        <v>4.7003956191620118E-4</v>
      </c>
      <c r="F700" s="495">
        <v>285334.36055483879</v>
      </c>
      <c r="G700" s="495">
        <v>593924.71327483875</v>
      </c>
      <c r="H700" s="495">
        <v>107897.58498983881</v>
      </c>
      <c r="I700" s="495">
        <v>-48702.991099999999</v>
      </c>
      <c r="J700" s="495">
        <v>0</v>
      </c>
      <c r="M700" s="495">
        <v>216008.08137</v>
      </c>
      <c r="N700" s="495">
        <v>219741.05308000001</v>
      </c>
      <c r="O700" s="495">
        <v>115722.12301</v>
      </c>
      <c r="P700" s="495">
        <v>0</v>
      </c>
      <c r="Q700" s="495">
        <v>0</v>
      </c>
      <c r="T700" s="495">
        <v>88901.405079999997</v>
      </c>
      <c r="U700" s="495">
        <v>404003.60089</v>
      </c>
      <c r="V700" s="495">
        <v>-13474.97984</v>
      </c>
      <c r="W700" s="495">
        <v>-48702.991099999999</v>
      </c>
      <c r="X700" s="495">
        <v>0</v>
      </c>
      <c r="AA700" s="495">
        <v>0</v>
      </c>
      <c r="AB700" s="495">
        <v>0</v>
      </c>
      <c r="AC700" s="495">
        <v>0</v>
      </c>
      <c r="AD700" s="495">
        <v>0</v>
      </c>
      <c r="AE700" s="495">
        <v>0</v>
      </c>
      <c r="AH700" s="495">
        <v>19346.845369838804</v>
      </c>
      <c r="AI700" s="495">
        <v>5650.4418198388175</v>
      </c>
      <c r="AJ700" s="495">
        <v>5650.4418198388175</v>
      </c>
      <c r="AK700" s="495">
        <v>0</v>
      </c>
      <c r="AL700" s="495">
        <v>0</v>
      </c>
      <c r="AO700" s="495">
        <v>-38921.971265000015</v>
      </c>
      <c r="AP700" s="495">
        <v>-35470.382515000034</v>
      </c>
      <c r="AQ700" s="495">
        <v>0</v>
      </c>
      <c r="AR700" s="495">
        <v>0</v>
      </c>
      <c r="AS700" s="495">
        <v>0</v>
      </c>
    </row>
    <row r="701" spans="1:45">
      <c r="A701" s="390">
        <v>97727</v>
      </c>
      <c r="B701" s="393">
        <v>97727</v>
      </c>
      <c r="C701" s="499" t="s">
        <v>1406</v>
      </c>
      <c r="D701" s="378">
        <v>1.5652313895735802E-5</v>
      </c>
      <c r="F701" s="495">
        <v>6260.5019753191245</v>
      </c>
      <c r="G701" s="495">
        <v>15968.980550319126</v>
      </c>
      <c r="H701" s="495">
        <v>1297.8463003191273</v>
      </c>
      <c r="I701" s="495">
        <v>-1621.8095000000001</v>
      </c>
      <c r="J701" s="495">
        <v>0</v>
      </c>
      <c r="M701" s="495">
        <v>7193.0686500000002</v>
      </c>
      <c r="N701" s="495">
        <v>7317.3766000000005</v>
      </c>
      <c r="O701" s="495">
        <v>3853.5464500000003</v>
      </c>
      <c r="P701" s="495">
        <v>0</v>
      </c>
      <c r="Q701" s="495">
        <v>0</v>
      </c>
      <c r="T701" s="495">
        <v>2960.4166</v>
      </c>
      <c r="U701" s="495">
        <v>13453.31905</v>
      </c>
      <c r="V701" s="495">
        <v>-448.71680000000003</v>
      </c>
      <c r="W701" s="495">
        <v>-1621.8095000000001</v>
      </c>
      <c r="X701" s="495">
        <v>0</v>
      </c>
      <c r="AA701" s="495">
        <v>0</v>
      </c>
      <c r="AB701" s="495">
        <v>0</v>
      </c>
      <c r="AC701" s="495">
        <v>0</v>
      </c>
      <c r="AD701" s="495">
        <v>0</v>
      </c>
      <c r="AE701" s="495">
        <v>0</v>
      </c>
      <c r="AH701" s="495">
        <v>1433.3434250000009</v>
      </c>
      <c r="AI701" s="495">
        <v>524.61160000000018</v>
      </c>
      <c r="AJ701" s="495">
        <v>0</v>
      </c>
      <c r="AK701" s="495">
        <v>0</v>
      </c>
      <c r="AL701" s="495">
        <v>0</v>
      </c>
      <c r="AO701" s="495">
        <v>-5326.3266996808761</v>
      </c>
      <c r="AP701" s="495">
        <v>-5326.3266996808761</v>
      </c>
      <c r="AQ701" s="495">
        <v>-2106.9833496808728</v>
      </c>
      <c r="AR701" s="495">
        <v>0</v>
      </c>
      <c r="AS701" s="495">
        <v>0</v>
      </c>
    </row>
    <row r="702" spans="1:45">
      <c r="A702" s="390">
        <v>97731</v>
      </c>
      <c r="B702" s="393">
        <v>97731</v>
      </c>
      <c r="C702" s="499" t="s">
        <v>1407</v>
      </c>
      <c r="D702" s="378">
        <v>2.4313575436027657E-5</v>
      </c>
      <c r="F702" s="495">
        <v>13595.067117332761</v>
      </c>
      <c r="G702" s="495">
        <v>29136.230652332764</v>
      </c>
      <c r="H702" s="495">
        <v>3369.7975673327683</v>
      </c>
      <c r="I702" s="495">
        <v>-2519.2453</v>
      </c>
      <c r="J702" s="495">
        <v>0</v>
      </c>
      <c r="M702" s="495">
        <v>11173.38651</v>
      </c>
      <c r="N702" s="495">
        <v>11366.48084</v>
      </c>
      <c r="O702" s="495">
        <v>5985.9242299999996</v>
      </c>
      <c r="P702" s="495">
        <v>0</v>
      </c>
      <c r="Q702" s="495">
        <v>0</v>
      </c>
      <c r="T702" s="495">
        <v>4598.5768399999997</v>
      </c>
      <c r="U702" s="495">
        <v>20897.77547</v>
      </c>
      <c r="V702" s="495">
        <v>-697.01631999999995</v>
      </c>
      <c r="W702" s="495">
        <v>-2519.2453</v>
      </c>
      <c r="X702" s="495">
        <v>0</v>
      </c>
      <c r="AA702" s="495">
        <v>0</v>
      </c>
      <c r="AB702" s="495">
        <v>0</v>
      </c>
      <c r="AC702" s="495">
        <v>0</v>
      </c>
      <c r="AD702" s="495">
        <v>0</v>
      </c>
      <c r="AE702" s="495">
        <v>0</v>
      </c>
      <c r="AH702" s="495">
        <v>2485.1202299999986</v>
      </c>
      <c r="AI702" s="495">
        <v>1306.664604999999</v>
      </c>
      <c r="AJ702" s="495">
        <v>0</v>
      </c>
      <c r="AK702" s="495">
        <v>0</v>
      </c>
      <c r="AL702" s="495">
        <v>0</v>
      </c>
      <c r="AO702" s="495">
        <v>-4662.0164626672367</v>
      </c>
      <c r="AP702" s="495">
        <v>-4434.690262667239</v>
      </c>
      <c r="AQ702" s="495">
        <v>-1919.1103426672316</v>
      </c>
      <c r="AR702" s="495">
        <v>0</v>
      </c>
      <c r="AS702" s="495">
        <v>0</v>
      </c>
    </row>
    <row r="703" spans="1:45">
      <c r="A703" s="390">
        <v>97801</v>
      </c>
      <c r="B703" s="393">
        <v>97801</v>
      </c>
      <c r="C703" s="499" t="s">
        <v>1408</v>
      </c>
      <c r="D703" s="378">
        <v>5.6747800503890774E-3</v>
      </c>
      <c r="F703" s="495">
        <v>3599423.1588798114</v>
      </c>
      <c r="G703" s="495">
        <v>7261804.0947948107</v>
      </c>
      <c r="H703" s="495">
        <v>984871.63099231047</v>
      </c>
      <c r="I703" s="495">
        <v>-587990.40220000001</v>
      </c>
      <c r="J703" s="495">
        <v>0</v>
      </c>
      <c r="M703" s="495">
        <v>2607861.9767399998</v>
      </c>
      <c r="N703" s="495">
        <v>2652930.0821599998</v>
      </c>
      <c r="O703" s="495">
        <v>1397111.2680199998</v>
      </c>
      <c r="P703" s="495">
        <v>0</v>
      </c>
      <c r="Q703" s="495">
        <v>0</v>
      </c>
      <c r="T703" s="495">
        <v>1073305.18616</v>
      </c>
      <c r="U703" s="495">
        <v>4877528.75978</v>
      </c>
      <c r="V703" s="495">
        <v>-162683.20767999999</v>
      </c>
      <c r="W703" s="495">
        <v>-587990.40220000001</v>
      </c>
      <c r="X703" s="495">
        <v>0</v>
      </c>
      <c r="AA703" s="495">
        <v>0</v>
      </c>
      <c r="AB703" s="495">
        <v>0</v>
      </c>
      <c r="AC703" s="495">
        <v>0</v>
      </c>
      <c r="AD703" s="495">
        <v>0</v>
      </c>
      <c r="AE703" s="495">
        <v>0</v>
      </c>
      <c r="AH703" s="495">
        <v>256074.84103250015</v>
      </c>
      <c r="AI703" s="495">
        <v>69164.097907500109</v>
      </c>
      <c r="AJ703" s="495">
        <v>0</v>
      </c>
      <c r="AK703" s="495">
        <v>0</v>
      </c>
      <c r="AL703" s="495">
        <v>0</v>
      </c>
      <c r="AO703" s="495">
        <v>-337818.84505268902</v>
      </c>
      <c r="AP703" s="495">
        <v>-337818.84505268902</v>
      </c>
      <c r="AQ703" s="495">
        <v>-249556.42934768938</v>
      </c>
      <c r="AR703" s="495">
        <v>0</v>
      </c>
      <c r="AS703" s="495">
        <v>0</v>
      </c>
    </row>
    <row r="704" spans="1:45">
      <c r="A704" s="390">
        <v>97802</v>
      </c>
      <c r="B704" s="393">
        <v>97802</v>
      </c>
      <c r="C704" s="499" t="s">
        <v>1409</v>
      </c>
      <c r="D704" s="378">
        <v>1.0168499967495828E-4</v>
      </c>
      <c r="F704" s="495">
        <v>23257.918091458137</v>
      </c>
      <c r="G704" s="495">
        <v>103237.63441145816</v>
      </c>
      <c r="H704" s="495">
        <v>9708.2161739581607</v>
      </c>
      <c r="I704" s="495">
        <v>-10536.062099999999</v>
      </c>
      <c r="J704" s="495">
        <v>0</v>
      </c>
      <c r="M704" s="495">
        <v>46729.667069999996</v>
      </c>
      <c r="N704" s="495">
        <v>47537.231879999999</v>
      </c>
      <c r="O704" s="495">
        <v>25034.509109999999</v>
      </c>
      <c r="P704" s="495">
        <v>0</v>
      </c>
      <c r="Q704" s="495">
        <v>0</v>
      </c>
      <c r="T704" s="495">
        <v>19232.303879999999</v>
      </c>
      <c r="U704" s="495">
        <v>87399.293789999996</v>
      </c>
      <c r="V704" s="495">
        <v>-2915.0822399999997</v>
      </c>
      <c r="W704" s="495">
        <v>-10536.062099999999</v>
      </c>
      <c r="X704" s="495">
        <v>0</v>
      </c>
      <c r="AA704" s="495">
        <v>0</v>
      </c>
      <c r="AB704" s="495">
        <v>0</v>
      </c>
      <c r="AC704" s="495">
        <v>0</v>
      </c>
      <c r="AD704" s="495">
        <v>0</v>
      </c>
      <c r="AE704" s="495">
        <v>0</v>
      </c>
      <c r="AH704" s="495">
        <v>1862.6565625000003</v>
      </c>
      <c r="AI704" s="495">
        <v>1862.6565625000003</v>
      </c>
      <c r="AJ704" s="495">
        <v>0</v>
      </c>
      <c r="AK704" s="495">
        <v>0</v>
      </c>
      <c r="AL704" s="495">
        <v>0</v>
      </c>
      <c r="AO704" s="495">
        <v>-44566.709421041844</v>
      </c>
      <c r="AP704" s="495">
        <v>-33561.547821041844</v>
      </c>
      <c r="AQ704" s="495">
        <v>-12411.210696041839</v>
      </c>
      <c r="AR704" s="495">
        <v>0</v>
      </c>
      <c r="AS704" s="495">
        <v>0</v>
      </c>
    </row>
    <row r="705" spans="1:45">
      <c r="A705" s="390">
        <v>97803</v>
      </c>
      <c r="B705" s="393">
        <v>97803</v>
      </c>
      <c r="C705" s="499" t="s">
        <v>1410</v>
      </c>
      <c r="D705" s="378">
        <v>9.0533408468930319E-5</v>
      </c>
      <c r="F705" s="495">
        <v>69192.846529050279</v>
      </c>
      <c r="G705" s="495">
        <v>130536.81564905026</v>
      </c>
      <c r="H705" s="495">
        <v>31234.49487405027</v>
      </c>
      <c r="I705" s="495">
        <v>-9380.5875999999989</v>
      </c>
      <c r="J705" s="495">
        <v>0</v>
      </c>
      <c r="M705" s="495">
        <v>41604.892919999998</v>
      </c>
      <c r="N705" s="495">
        <v>42323.893279999997</v>
      </c>
      <c r="O705" s="495">
        <v>22289.011159999998</v>
      </c>
      <c r="P705" s="495">
        <v>0</v>
      </c>
      <c r="Q705" s="495">
        <v>0</v>
      </c>
      <c r="T705" s="495">
        <v>17123.12528</v>
      </c>
      <c r="U705" s="495">
        <v>77814.341239999994</v>
      </c>
      <c r="V705" s="495">
        <v>-2595.3894399999999</v>
      </c>
      <c r="W705" s="495">
        <v>-9380.5875999999989</v>
      </c>
      <c r="X705" s="495">
        <v>0</v>
      </c>
      <c r="AA705" s="495">
        <v>0</v>
      </c>
      <c r="AB705" s="495">
        <v>0</v>
      </c>
      <c r="AC705" s="495">
        <v>0</v>
      </c>
      <c r="AD705" s="495">
        <v>0</v>
      </c>
      <c r="AE705" s="495">
        <v>0</v>
      </c>
      <c r="AH705" s="495">
        <v>13084.740654050271</v>
      </c>
      <c r="AI705" s="495">
        <v>11540.87315405027</v>
      </c>
      <c r="AJ705" s="495">
        <v>11540.87315405027</v>
      </c>
      <c r="AK705" s="495">
        <v>0</v>
      </c>
      <c r="AL705" s="495">
        <v>0</v>
      </c>
      <c r="AO705" s="495">
        <v>-2619.9123250000043</v>
      </c>
      <c r="AP705" s="495">
        <v>-1142.2920250000057</v>
      </c>
      <c r="AQ705" s="495">
        <v>0</v>
      </c>
      <c r="AR705" s="495">
        <v>0</v>
      </c>
      <c r="AS705" s="495">
        <v>0</v>
      </c>
    </row>
    <row r="706" spans="1:45">
      <c r="A706" s="390">
        <v>97805</v>
      </c>
      <c r="B706" s="393">
        <v>97805</v>
      </c>
      <c r="C706" s="499" t="s">
        <v>1411</v>
      </c>
      <c r="D706" s="378">
        <v>8.0461860153797094E-5</v>
      </c>
      <c r="F706" s="495">
        <v>48071.21026374113</v>
      </c>
      <c r="G706" s="495">
        <v>102895.7421887411</v>
      </c>
      <c r="H706" s="495">
        <v>11895.163366241119</v>
      </c>
      <c r="I706" s="495">
        <v>-8337.0334999999995</v>
      </c>
      <c r="J706" s="495">
        <v>0</v>
      </c>
      <c r="M706" s="495">
        <v>36976.509450000005</v>
      </c>
      <c r="N706" s="495">
        <v>37615.523800000003</v>
      </c>
      <c r="O706" s="495">
        <v>19809.44485</v>
      </c>
      <c r="P706" s="495">
        <v>0</v>
      </c>
      <c r="Q706" s="495">
        <v>0</v>
      </c>
      <c r="T706" s="495">
        <v>15218.2438</v>
      </c>
      <c r="U706" s="495">
        <v>69157.796650000004</v>
      </c>
      <c r="V706" s="495">
        <v>-2306.6624000000002</v>
      </c>
      <c r="W706" s="495">
        <v>-8337.0334999999995</v>
      </c>
      <c r="X706" s="495">
        <v>0</v>
      </c>
      <c r="AA706" s="495">
        <v>0</v>
      </c>
      <c r="AB706" s="495">
        <v>0</v>
      </c>
      <c r="AC706" s="495">
        <v>0</v>
      </c>
      <c r="AD706" s="495">
        <v>0</v>
      </c>
      <c r="AE706" s="495">
        <v>0</v>
      </c>
      <c r="AH706" s="495">
        <v>3756.6934049999945</v>
      </c>
      <c r="AI706" s="495">
        <v>3586.198754999994</v>
      </c>
      <c r="AJ706" s="495">
        <v>0</v>
      </c>
      <c r="AK706" s="495">
        <v>0</v>
      </c>
      <c r="AL706" s="495">
        <v>0</v>
      </c>
      <c r="AO706" s="495">
        <v>-7880.2363912588771</v>
      </c>
      <c r="AP706" s="495">
        <v>-7463.7770162588786</v>
      </c>
      <c r="AQ706" s="495">
        <v>-5607.6190837588802</v>
      </c>
      <c r="AR706" s="495">
        <v>0</v>
      </c>
      <c r="AS706" s="495">
        <v>0</v>
      </c>
    </row>
    <row r="707" spans="1:45">
      <c r="A707" s="390">
        <v>97811</v>
      </c>
      <c r="B707" s="393">
        <v>97811</v>
      </c>
      <c r="C707" s="499" t="s">
        <v>1412</v>
      </c>
      <c r="D707" s="378">
        <v>1.9770726622848713E-3</v>
      </c>
      <c r="F707" s="495">
        <v>1120128.5637173774</v>
      </c>
      <c r="G707" s="495">
        <v>2511156.0004723771</v>
      </c>
      <c r="H707" s="495">
        <v>409892.75335487747</v>
      </c>
      <c r="I707" s="495">
        <v>-204853.7114</v>
      </c>
      <c r="J707" s="495">
        <v>0</v>
      </c>
      <c r="M707" s="495">
        <v>908569.60037999996</v>
      </c>
      <c r="N707" s="495">
        <v>924271.16391999996</v>
      </c>
      <c r="O707" s="495">
        <v>486748.46974000003</v>
      </c>
      <c r="P707" s="495">
        <v>0</v>
      </c>
      <c r="Q707" s="495">
        <v>0</v>
      </c>
      <c r="T707" s="495">
        <v>373935.61192</v>
      </c>
      <c r="U707" s="495">
        <v>1699313.2288599999</v>
      </c>
      <c r="V707" s="495">
        <v>-56678.23616</v>
      </c>
      <c r="W707" s="495">
        <v>-204853.7114</v>
      </c>
      <c r="X707" s="495">
        <v>0</v>
      </c>
      <c r="AA707" s="495">
        <v>0</v>
      </c>
      <c r="AB707" s="495">
        <v>0</v>
      </c>
      <c r="AC707" s="495">
        <v>0</v>
      </c>
      <c r="AD707" s="495">
        <v>0</v>
      </c>
      <c r="AE707" s="495">
        <v>0</v>
      </c>
      <c r="AH707" s="495">
        <v>29918.595927499991</v>
      </c>
      <c r="AI707" s="495">
        <v>27411.331552500022</v>
      </c>
      <c r="AJ707" s="495">
        <v>0</v>
      </c>
      <c r="AK707" s="495">
        <v>0</v>
      </c>
      <c r="AL707" s="495">
        <v>0</v>
      </c>
      <c r="AO707" s="495">
        <v>-192295.24451012263</v>
      </c>
      <c r="AP707" s="495">
        <v>-139839.72386012255</v>
      </c>
      <c r="AQ707" s="495">
        <v>-20177.480225122519</v>
      </c>
      <c r="AR707" s="495">
        <v>0</v>
      </c>
      <c r="AS707" s="495">
        <v>0</v>
      </c>
    </row>
    <row r="708" spans="1:45">
      <c r="A708" s="390">
        <v>97813</v>
      </c>
      <c r="B708" s="390">
        <v>97813</v>
      </c>
      <c r="C708" s="300" t="s">
        <v>3785</v>
      </c>
      <c r="D708" s="378">
        <v>1.114E-4</v>
      </c>
      <c r="F708" s="495">
        <v>181725.19970284644</v>
      </c>
      <c r="G708" s="495">
        <v>257293.95794284643</v>
      </c>
      <c r="H708" s="495">
        <v>133691.15834284644</v>
      </c>
      <c r="I708" s="495">
        <v>-11543.3457</v>
      </c>
      <c r="J708" s="495">
        <v>0</v>
      </c>
      <c r="M708" s="495">
        <v>51197.183190000003</v>
      </c>
      <c r="N708" s="495">
        <v>52081.953959999999</v>
      </c>
      <c r="O708" s="495">
        <v>27427.89387</v>
      </c>
      <c r="P708" s="495"/>
      <c r="Q708" s="495"/>
      <c r="T708" s="495">
        <v>21070.97796</v>
      </c>
      <c r="U708" s="495">
        <v>95754.965429999997</v>
      </c>
      <c r="V708" s="495">
        <v>-3193.7740800000001</v>
      </c>
      <c r="W708" s="495">
        <v>-11543.3457</v>
      </c>
      <c r="X708" s="495">
        <v>0</v>
      </c>
      <c r="AA708" s="495">
        <v>0</v>
      </c>
      <c r="AB708" s="495"/>
      <c r="AC708" s="495"/>
      <c r="AD708" s="495"/>
      <c r="AE708" s="495"/>
      <c r="AH708" s="495">
        <v>109457.03855284644</v>
      </c>
      <c r="AI708" s="495">
        <v>109457.03855284644</v>
      </c>
      <c r="AJ708" s="495">
        <v>109457.03855284644</v>
      </c>
      <c r="AK708" s="495">
        <v>0</v>
      </c>
      <c r="AL708" s="495">
        <v>0</v>
      </c>
      <c r="AO708" s="495">
        <v>0</v>
      </c>
      <c r="AP708" s="495">
        <v>0</v>
      </c>
      <c r="AQ708" s="495">
        <v>0</v>
      </c>
      <c r="AR708" s="495">
        <v>0</v>
      </c>
      <c r="AS708" s="495">
        <v>0</v>
      </c>
    </row>
    <row r="709" spans="1:45">
      <c r="A709" s="390">
        <v>97817</v>
      </c>
      <c r="B709" s="393">
        <v>97817</v>
      </c>
      <c r="C709" s="499" t="s">
        <v>1413</v>
      </c>
      <c r="D709" s="378">
        <v>2.421358245409592E-5</v>
      </c>
      <c r="F709" s="495">
        <v>22151.494216212519</v>
      </c>
      <c r="G709" s="495">
        <v>35676.211801212521</v>
      </c>
      <c r="H709" s="495">
        <v>6598.7058962125257</v>
      </c>
      <c r="I709" s="495">
        <v>-2508.8823000000002</v>
      </c>
      <c r="J709" s="495">
        <v>0</v>
      </c>
      <c r="M709" s="495">
        <v>11127.42441</v>
      </c>
      <c r="N709" s="495">
        <v>11319.72444</v>
      </c>
      <c r="O709" s="495">
        <v>5961.3009300000003</v>
      </c>
      <c r="P709" s="495">
        <v>0</v>
      </c>
      <c r="Q709" s="495">
        <v>0</v>
      </c>
      <c r="T709" s="495">
        <v>4579.6604399999997</v>
      </c>
      <c r="U709" s="495">
        <v>20811.81177</v>
      </c>
      <c r="V709" s="495">
        <v>-694.14912000000004</v>
      </c>
      <c r="W709" s="495">
        <v>-2508.8823000000002</v>
      </c>
      <c r="X709" s="495">
        <v>0</v>
      </c>
      <c r="AA709" s="495">
        <v>0</v>
      </c>
      <c r="AB709" s="495">
        <v>0</v>
      </c>
      <c r="AC709" s="495">
        <v>0</v>
      </c>
      <c r="AD709" s="495">
        <v>0</v>
      </c>
      <c r="AE709" s="495">
        <v>0</v>
      </c>
      <c r="AH709" s="495">
        <v>6444.4093662125197</v>
      </c>
      <c r="AI709" s="495">
        <v>3544.6755912125227</v>
      </c>
      <c r="AJ709" s="495">
        <v>1331.5540862125251</v>
      </c>
      <c r="AK709" s="495">
        <v>0</v>
      </c>
      <c r="AL709" s="495">
        <v>0</v>
      </c>
      <c r="AO709" s="495">
        <v>0</v>
      </c>
      <c r="AP709" s="495">
        <v>0</v>
      </c>
      <c r="AQ709" s="495">
        <v>0</v>
      </c>
      <c r="AR709" s="495">
        <v>0</v>
      </c>
      <c r="AS709" s="495">
        <v>0</v>
      </c>
    </row>
    <row r="710" spans="1:45">
      <c r="A710" s="390">
        <v>97818</v>
      </c>
      <c r="B710" s="393">
        <v>97818</v>
      </c>
      <c r="C710" s="499" t="s">
        <v>1414</v>
      </c>
      <c r="D710" s="378">
        <v>2.1943267020117636E-5</v>
      </c>
      <c r="F710" s="495">
        <v>21713.547025782846</v>
      </c>
      <c r="G710" s="495">
        <v>34340.896640782848</v>
      </c>
      <c r="H710" s="495">
        <v>4854.4420957828479</v>
      </c>
      <c r="I710" s="495">
        <v>-2273.6421999999998</v>
      </c>
      <c r="J710" s="495">
        <v>0</v>
      </c>
      <c r="M710" s="495">
        <v>10084.08474</v>
      </c>
      <c r="N710" s="495">
        <v>10258.354160000001</v>
      </c>
      <c r="O710" s="495">
        <v>5402.3520200000003</v>
      </c>
      <c r="P710" s="495">
        <v>0</v>
      </c>
      <c r="Q710" s="495">
        <v>0</v>
      </c>
      <c r="T710" s="495">
        <v>4150.2581600000003</v>
      </c>
      <c r="U710" s="495">
        <v>18860.43578</v>
      </c>
      <c r="V710" s="495">
        <v>-629.06367999999998</v>
      </c>
      <c r="W710" s="495">
        <v>-2273.6421999999998</v>
      </c>
      <c r="X710" s="495">
        <v>0</v>
      </c>
      <c r="AA710" s="495">
        <v>0</v>
      </c>
      <c r="AB710" s="495">
        <v>0</v>
      </c>
      <c r="AC710" s="495">
        <v>0</v>
      </c>
      <c r="AD710" s="495">
        <v>0</v>
      </c>
      <c r="AE710" s="495">
        <v>0</v>
      </c>
      <c r="AH710" s="495">
        <v>7479.204125782845</v>
      </c>
      <c r="AI710" s="495">
        <v>5222.1067007828469</v>
      </c>
      <c r="AJ710" s="495">
        <v>81.153755782847796</v>
      </c>
      <c r="AK710" s="495">
        <v>0</v>
      </c>
      <c r="AL710" s="495">
        <v>0</v>
      </c>
      <c r="AO710" s="495">
        <v>0</v>
      </c>
      <c r="AP710" s="495">
        <v>0</v>
      </c>
      <c r="AQ710" s="495">
        <v>0</v>
      </c>
      <c r="AR710" s="495">
        <v>0</v>
      </c>
      <c r="AS710" s="495">
        <v>0</v>
      </c>
    </row>
    <row r="711" spans="1:45">
      <c r="A711" s="390">
        <v>97821</v>
      </c>
      <c r="B711" s="393">
        <v>97821</v>
      </c>
      <c r="C711" s="499" t="s">
        <v>1415</v>
      </c>
      <c r="D711" s="378">
        <v>1.3837055544070893E-4</v>
      </c>
      <c r="F711" s="495">
        <v>99173.134349865883</v>
      </c>
      <c r="G711" s="495">
        <v>182116.45132486592</v>
      </c>
      <c r="H711" s="495">
        <v>42306.627144865895</v>
      </c>
      <c r="I711" s="495">
        <v>-14337.210500000001</v>
      </c>
      <c r="J711" s="495">
        <v>0</v>
      </c>
      <c r="M711" s="495">
        <v>63588.565350000004</v>
      </c>
      <c r="N711" s="495">
        <v>64687.479400000004</v>
      </c>
      <c r="O711" s="495">
        <v>34066.335550000003</v>
      </c>
      <c r="P711" s="495">
        <v>0</v>
      </c>
      <c r="Q711" s="495">
        <v>0</v>
      </c>
      <c r="T711" s="495">
        <v>26170.839400000001</v>
      </c>
      <c r="U711" s="495">
        <v>118930.77895000001</v>
      </c>
      <c r="V711" s="495">
        <v>-3966.7712000000001</v>
      </c>
      <c r="W711" s="495">
        <v>-14337.210500000001</v>
      </c>
      <c r="X711" s="495">
        <v>0</v>
      </c>
      <c r="AA711" s="495">
        <v>0</v>
      </c>
      <c r="AB711" s="495">
        <v>0</v>
      </c>
      <c r="AC711" s="495">
        <v>0</v>
      </c>
      <c r="AD711" s="495">
        <v>0</v>
      </c>
      <c r="AE711" s="495">
        <v>0</v>
      </c>
      <c r="AH711" s="495">
        <v>27008.008584865896</v>
      </c>
      <c r="AI711" s="495">
        <v>14505.067584865898</v>
      </c>
      <c r="AJ711" s="495">
        <v>12207.062794865891</v>
      </c>
      <c r="AK711" s="495">
        <v>0</v>
      </c>
      <c r="AL711" s="495">
        <v>0</v>
      </c>
      <c r="AO711" s="495">
        <v>-17594.278985000008</v>
      </c>
      <c r="AP711" s="495">
        <v>-16006.874610000006</v>
      </c>
      <c r="AQ711" s="495">
        <v>0</v>
      </c>
      <c r="AR711" s="495">
        <v>0</v>
      </c>
      <c r="AS711" s="495">
        <v>0</v>
      </c>
    </row>
    <row r="712" spans="1:45">
      <c r="A712" s="390">
        <v>97823</v>
      </c>
      <c r="B712" s="393">
        <v>97823</v>
      </c>
      <c r="C712" s="499" t="s">
        <v>1416</v>
      </c>
      <c r="D712" s="378">
        <v>2.0462955486416053E-5</v>
      </c>
      <c r="F712" s="495">
        <v>21737.455374203142</v>
      </c>
      <c r="G712" s="495">
        <v>35130.485834203144</v>
      </c>
      <c r="H712" s="495">
        <v>11153.722219203144</v>
      </c>
      <c r="I712" s="495">
        <v>-2120.2698</v>
      </c>
      <c r="J712" s="495">
        <v>0</v>
      </c>
      <c r="M712" s="495">
        <v>9403.8456600000009</v>
      </c>
      <c r="N712" s="495">
        <v>9566.3594400000002</v>
      </c>
      <c r="O712" s="495">
        <v>5037.9271800000006</v>
      </c>
      <c r="P712" s="495">
        <v>0</v>
      </c>
      <c r="Q712" s="495">
        <v>0</v>
      </c>
      <c r="T712" s="495">
        <v>3870.2954400000003</v>
      </c>
      <c r="U712" s="495">
        <v>17588.173020000002</v>
      </c>
      <c r="V712" s="495">
        <v>-586.62912000000006</v>
      </c>
      <c r="W712" s="495">
        <v>-2120.2698</v>
      </c>
      <c r="X712" s="495">
        <v>0</v>
      </c>
      <c r="AA712" s="495">
        <v>0</v>
      </c>
      <c r="AB712" s="495">
        <v>0</v>
      </c>
      <c r="AC712" s="495">
        <v>0</v>
      </c>
      <c r="AD712" s="495">
        <v>0</v>
      </c>
      <c r="AE712" s="495">
        <v>0</v>
      </c>
      <c r="AH712" s="495">
        <v>10567.108704203143</v>
      </c>
      <c r="AI712" s="495">
        <v>8829.4537042031443</v>
      </c>
      <c r="AJ712" s="495">
        <v>6702.424159203144</v>
      </c>
      <c r="AK712" s="495">
        <v>0</v>
      </c>
      <c r="AL712" s="495">
        <v>0</v>
      </c>
      <c r="AO712" s="495">
        <v>-2103.7944300000017</v>
      </c>
      <c r="AP712" s="495">
        <v>-853.50033000000076</v>
      </c>
      <c r="AQ712" s="495">
        <v>0</v>
      </c>
      <c r="AR712" s="495">
        <v>0</v>
      </c>
      <c r="AS712" s="495">
        <v>0</v>
      </c>
    </row>
    <row r="713" spans="1:45">
      <c r="A713" s="390">
        <v>97831</v>
      </c>
      <c r="B713" s="393">
        <v>97831</v>
      </c>
      <c r="C713" s="499" t="s">
        <v>1417</v>
      </c>
      <c r="D713" s="378">
        <v>1.8057679198337916E-4</v>
      </c>
      <c r="F713" s="495">
        <v>106013.19672261141</v>
      </c>
      <c r="G713" s="495">
        <v>229762.10419761139</v>
      </c>
      <c r="H713" s="495">
        <v>30638.073757611353</v>
      </c>
      <c r="I713" s="495">
        <v>-18710.396499999999</v>
      </c>
      <c r="J713" s="495">
        <v>0</v>
      </c>
      <c r="M713" s="495">
        <v>82984.571549999993</v>
      </c>
      <c r="N713" s="495">
        <v>84418.680200000003</v>
      </c>
      <c r="O713" s="495">
        <v>44457.368150000002</v>
      </c>
      <c r="P713" s="495">
        <v>0</v>
      </c>
      <c r="Q713" s="495">
        <v>0</v>
      </c>
      <c r="T713" s="495">
        <v>34153.5602</v>
      </c>
      <c r="U713" s="495">
        <v>155207.46035000001</v>
      </c>
      <c r="V713" s="495">
        <v>-5176.7295999999997</v>
      </c>
      <c r="W713" s="495">
        <v>-18710.396499999999</v>
      </c>
      <c r="X713" s="495">
        <v>0</v>
      </c>
      <c r="AA713" s="495">
        <v>0</v>
      </c>
      <c r="AB713" s="495">
        <v>0</v>
      </c>
      <c r="AC713" s="495">
        <v>0</v>
      </c>
      <c r="AD713" s="495">
        <v>0</v>
      </c>
      <c r="AE713" s="495">
        <v>0</v>
      </c>
      <c r="AH713" s="495">
        <v>4062.9057950000224</v>
      </c>
      <c r="AI713" s="495">
        <v>2141.2376700000186</v>
      </c>
      <c r="AJ713" s="495">
        <v>0</v>
      </c>
      <c r="AK713" s="495">
        <v>0</v>
      </c>
      <c r="AL713" s="495">
        <v>0</v>
      </c>
      <c r="AO713" s="495">
        <v>-15187.840822388629</v>
      </c>
      <c r="AP713" s="495">
        <v>-12005.274022388643</v>
      </c>
      <c r="AQ713" s="495">
        <v>-8642.5647923886499</v>
      </c>
      <c r="AR713" s="495">
        <v>0</v>
      </c>
      <c r="AS713" s="495">
        <v>0</v>
      </c>
    </row>
    <row r="714" spans="1:45">
      <c r="A714" s="390">
        <v>97837</v>
      </c>
      <c r="B714" s="393">
        <v>97837</v>
      </c>
      <c r="C714" s="499" t="s">
        <v>1418</v>
      </c>
      <c r="D714" s="378">
        <v>1.4192030629928558E-5</v>
      </c>
      <c r="F714" s="495">
        <v>6863.6567139634753</v>
      </c>
      <c r="G714" s="495">
        <v>16719.161403963473</v>
      </c>
      <c r="H714" s="495">
        <v>2095.5087739634714</v>
      </c>
      <c r="I714" s="495">
        <v>-1470.5097000000001</v>
      </c>
      <c r="J714" s="495">
        <v>0</v>
      </c>
      <c r="M714" s="495">
        <v>6522.0219900000002</v>
      </c>
      <c r="N714" s="495">
        <v>6634.7331599999998</v>
      </c>
      <c r="O714" s="495">
        <v>3494.0462699999998</v>
      </c>
      <c r="P714" s="495">
        <v>0</v>
      </c>
      <c r="Q714" s="495">
        <v>0</v>
      </c>
      <c r="T714" s="495">
        <v>2684.2371600000001</v>
      </c>
      <c r="U714" s="495">
        <v>12198.249029999999</v>
      </c>
      <c r="V714" s="495">
        <v>-406.85568000000001</v>
      </c>
      <c r="W714" s="495">
        <v>-1470.5097000000001</v>
      </c>
      <c r="X714" s="495">
        <v>0</v>
      </c>
      <c r="AA714" s="495">
        <v>0</v>
      </c>
      <c r="AB714" s="495">
        <v>0</v>
      </c>
      <c r="AC714" s="495">
        <v>0</v>
      </c>
      <c r="AD714" s="495">
        <v>0</v>
      </c>
      <c r="AE714" s="495">
        <v>0</v>
      </c>
      <c r="AH714" s="495">
        <v>397.82085000000006</v>
      </c>
      <c r="AI714" s="495">
        <v>0</v>
      </c>
      <c r="AJ714" s="495">
        <v>0</v>
      </c>
      <c r="AK714" s="495">
        <v>0</v>
      </c>
      <c r="AL714" s="495">
        <v>0</v>
      </c>
      <c r="AO714" s="495">
        <v>-2740.423286036525</v>
      </c>
      <c r="AP714" s="495">
        <v>-2113.8207860365251</v>
      </c>
      <c r="AQ714" s="495">
        <v>-991.6818160365284</v>
      </c>
      <c r="AR714" s="495">
        <v>0</v>
      </c>
      <c r="AS714" s="495">
        <v>0</v>
      </c>
    </row>
    <row r="715" spans="1:45">
      <c r="A715" s="390">
        <v>97840</v>
      </c>
      <c r="B715" s="393">
        <v>97840</v>
      </c>
      <c r="C715" s="499" t="s">
        <v>1419</v>
      </c>
      <c r="D715" s="378">
        <v>1.1034626121525013E-4</v>
      </c>
      <c r="F715" s="495">
        <v>71618.096458471817</v>
      </c>
      <c r="G715" s="495">
        <v>124691.3949134718</v>
      </c>
      <c r="H715" s="495">
        <v>-3068.150039028209</v>
      </c>
      <c r="I715" s="495">
        <v>-11433.4979</v>
      </c>
      <c r="J715" s="495">
        <v>0</v>
      </c>
      <c r="M715" s="495">
        <v>50709.984929999999</v>
      </c>
      <c r="N715" s="495">
        <v>51586.33612</v>
      </c>
      <c r="O715" s="495">
        <v>27166.886889999998</v>
      </c>
      <c r="P715" s="495">
        <v>0</v>
      </c>
      <c r="Q715" s="495">
        <v>0</v>
      </c>
      <c r="T715" s="495">
        <v>20870.464120000001</v>
      </c>
      <c r="U715" s="495">
        <v>94843.750209999998</v>
      </c>
      <c r="V715" s="495">
        <v>-3163.3817599999998</v>
      </c>
      <c r="W715" s="495">
        <v>-11433.4979</v>
      </c>
      <c r="X715" s="495">
        <v>0</v>
      </c>
      <c r="AA715" s="495">
        <v>0</v>
      </c>
      <c r="AB715" s="495">
        <v>0</v>
      </c>
      <c r="AC715" s="495">
        <v>0</v>
      </c>
      <c r="AD715" s="495">
        <v>0</v>
      </c>
      <c r="AE715" s="495">
        <v>0</v>
      </c>
      <c r="AH715" s="495">
        <v>37358.793382500015</v>
      </c>
      <c r="AI715" s="495">
        <v>15582.454557499994</v>
      </c>
      <c r="AJ715" s="495">
        <v>0</v>
      </c>
      <c r="AK715" s="495">
        <v>0</v>
      </c>
      <c r="AL715" s="495">
        <v>0</v>
      </c>
      <c r="AO715" s="495">
        <v>-37321.145974028179</v>
      </c>
      <c r="AP715" s="495">
        <v>-37321.145974028179</v>
      </c>
      <c r="AQ715" s="495">
        <v>-27071.655169028207</v>
      </c>
      <c r="AR715" s="495">
        <v>0</v>
      </c>
      <c r="AS715" s="495">
        <v>0</v>
      </c>
    </row>
    <row r="716" spans="1:45">
      <c r="A716" s="390">
        <v>97841</v>
      </c>
      <c r="B716" s="393">
        <v>97841</v>
      </c>
      <c r="C716" s="499" t="s">
        <v>1420</v>
      </c>
      <c r="D716" s="378">
        <v>2.0703294701148118E-6</v>
      </c>
      <c r="F716" s="495">
        <v>-4894.0976243108225</v>
      </c>
      <c r="G716" s="495">
        <v>-4211.9121293108228</v>
      </c>
      <c r="H716" s="495">
        <v>-2776.1649418108241</v>
      </c>
      <c r="I716" s="495">
        <v>-214.51410000000001</v>
      </c>
      <c r="J716" s="495">
        <v>0</v>
      </c>
      <c r="M716" s="495">
        <v>951.41547000000003</v>
      </c>
      <c r="N716" s="495">
        <v>967.85748000000001</v>
      </c>
      <c r="O716" s="495">
        <v>509.70231000000001</v>
      </c>
      <c r="P716" s="495">
        <v>0</v>
      </c>
      <c r="Q716" s="495">
        <v>0</v>
      </c>
      <c r="T716" s="495">
        <v>391.56948</v>
      </c>
      <c r="U716" s="495">
        <v>1779.44859</v>
      </c>
      <c r="V716" s="495">
        <v>-59.351040000000005</v>
      </c>
      <c r="W716" s="495">
        <v>-214.51410000000001</v>
      </c>
      <c r="X716" s="495">
        <v>0</v>
      </c>
      <c r="AA716" s="495">
        <v>0</v>
      </c>
      <c r="AB716" s="495">
        <v>0</v>
      </c>
      <c r="AC716" s="495">
        <v>0</v>
      </c>
      <c r="AD716" s="495">
        <v>0</v>
      </c>
      <c r="AE716" s="495">
        <v>0</v>
      </c>
      <c r="AH716" s="495">
        <v>1818.4486625000002</v>
      </c>
      <c r="AI716" s="495">
        <v>1096.3130374999998</v>
      </c>
      <c r="AJ716" s="495">
        <v>0</v>
      </c>
      <c r="AK716" s="495">
        <v>0</v>
      </c>
      <c r="AL716" s="495">
        <v>0</v>
      </c>
      <c r="AO716" s="495">
        <v>-8055.5312368108225</v>
      </c>
      <c r="AP716" s="495">
        <v>-8055.5312368108225</v>
      </c>
      <c r="AQ716" s="495">
        <v>-3226.5162118108242</v>
      </c>
      <c r="AR716" s="495">
        <v>0</v>
      </c>
      <c r="AS716" s="495">
        <v>0</v>
      </c>
    </row>
    <row r="717" spans="1:45">
      <c r="A717" s="390">
        <v>97847</v>
      </c>
      <c r="B717" s="393">
        <v>97847</v>
      </c>
      <c r="C717" s="499" t="s">
        <v>1421</v>
      </c>
      <c r="D717" s="378">
        <v>1.6602692296707174E-6</v>
      </c>
      <c r="F717" s="495">
        <v>2608.0613010961506</v>
      </c>
      <c r="G717" s="495">
        <v>3194.2359110961506</v>
      </c>
      <c r="H717" s="495">
        <v>847.05304859615023</v>
      </c>
      <c r="I717" s="495">
        <v>-172.0258</v>
      </c>
      <c r="J717" s="495">
        <v>0</v>
      </c>
      <c r="M717" s="495">
        <v>762.97086000000002</v>
      </c>
      <c r="N717" s="495">
        <v>776.15624000000003</v>
      </c>
      <c r="O717" s="495">
        <v>408.74678</v>
      </c>
      <c r="P717" s="495">
        <v>0</v>
      </c>
      <c r="Q717" s="495">
        <v>0</v>
      </c>
      <c r="T717" s="495">
        <v>314.01224000000002</v>
      </c>
      <c r="U717" s="495">
        <v>1426.9974199999999</v>
      </c>
      <c r="V717" s="495">
        <v>-47.59552</v>
      </c>
      <c r="W717" s="495">
        <v>-172.0258</v>
      </c>
      <c r="X717" s="495">
        <v>0</v>
      </c>
      <c r="AA717" s="495">
        <v>0</v>
      </c>
      <c r="AB717" s="495">
        <v>0</v>
      </c>
      <c r="AC717" s="495">
        <v>0</v>
      </c>
      <c r="AD717" s="495">
        <v>0</v>
      </c>
      <c r="AE717" s="495">
        <v>0</v>
      </c>
      <c r="AH717" s="495">
        <v>1700.2124260961502</v>
      </c>
      <c r="AI717" s="495">
        <v>1103.3849260961504</v>
      </c>
      <c r="AJ717" s="495">
        <v>485.90178859615025</v>
      </c>
      <c r="AK717" s="495">
        <v>0</v>
      </c>
      <c r="AL717" s="495">
        <v>0</v>
      </c>
      <c r="AO717" s="495">
        <v>-169.13422499999984</v>
      </c>
      <c r="AP717" s="495">
        <v>-112.30267499999985</v>
      </c>
      <c r="AQ717" s="495">
        <v>0</v>
      </c>
      <c r="AR717" s="495">
        <v>0</v>
      </c>
      <c r="AS717" s="495">
        <v>0</v>
      </c>
    </row>
    <row r="718" spans="1:45">
      <c r="A718" s="390">
        <v>97851</v>
      </c>
      <c r="B718" s="393">
        <v>97851</v>
      </c>
      <c r="C718" s="499" t="s">
        <v>1422</v>
      </c>
      <c r="D718" s="378">
        <v>2.142017316997949E-4</v>
      </c>
      <c r="F718" s="495">
        <v>95523.295289239351</v>
      </c>
      <c r="G718" s="495">
        <v>252938.09260923936</v>
      </c>
      <c r="H718" s="495">
        <v>35884.718284239367</v>
      </c>
      <c r="I718" s="495">
        <v>-22194.437099999999</v>
      </c>
      <c r="J718" s="495">
        <v>0</v>
      </c>
      <c r="M718" s="495">
        <v>98437.029569999999</v>
      </c>
      <c r="N718" s="495">
        <v>100138.18187999999</v>
      </c>
      <c r="O718" s="495">
        <v>52735.721610000001</v>
      </c>
      <c r="P718" s="495">
        <v>0</v>
      </c>
      <c r="Q718" s="495">
        <v>0</v>
      </c>
      <c r="T718" s="495">
        <v>40513.253879999997</v>
      </c>
      <c r="U718" s="495">
        <v>184108.45629</v>
      </c>
      <c r="V718" s="495">
        <v>-6140.6822400000001</v>
      </c>
      <c r="W718" s="495">
        <v>-22194.437099999999</v>
      </c>
      <c r="X718" s="495">
        <v>0</v>
      </c>
      <c r="AA718" s="495">
        <v>0</v>
      </c>
      <c r="AB718" s="495">
        <v>0</v>
      </c>
      <c r="AC718" s="495">
        <v>0</v>
      </c>
      <c r="AD718" s="495">
        <v>0</v>
      </c>
      <c r="AE718" s="495">
        <v>0</v>
      </c>
      <c r="AH718" s="495">
        <v>0</v>
      </c>
      <c r="AI718" s="495">
        <v>0</v>
      </c>
      <c r="AJ718" s="495">
        <v>0</v>
      </c>
      <c r="AK718" s="495">
        <v>0</v>
      </c>
      <c r="AL718" s="495">
        <v>0</v>
      </c>
      <c r="AO718" s="495">
        <v>-43426.988160760637</v>
      </c>
      <c r="AP718" s="495">
        <v>-31308.545560760638</v>
      </c>
      <c r="AQ718" s="495">
        <v>-10710.321085760632</v>
      </c>
      <c r="AR718" s="495">
        <v>0</v>
      </c>
      <c r="AS718" s="495">
        <v>0</v>
      </c>
    </row>
    <row r="719" spans="1:45">
      <c r="A719" s="390">
        <v>97853</v>
      </c>
      <c r="B719" s="393">
        <v>97853</v>
      </c>
      <c r="C719" s="499" t="s">
        <v>1423</v>
      </c>
      <c r="D719" s="378">
        <v>6.1859159860915228E-5</v>
      </c>
      <c r="F719" s="495">
        <v>16933.197530374619</v>
      </c>
      <c r="G719" s="495">
        <v>62643.316880374616</v>
      </c>
      <c r="H719" s="495">
        <v>-2360.8475021253817</v>
      </c>
      <c r="I719" s="495">
        <v>-6409.5154999999995</v>
      </c>
      <c r="J719" s="495">
        <v>0</v>
      </c>
      <c r="M719" s="495">
        <v>28427.558850000001</v>
      </c>
      <c r="N719" s="495">
        <v>28918.8334</v>
      </c>
      <c r="O719" s="495">
        <v>15229.511049999999</v>
      </c>
      <c r="P719" s="495">
        <v>0</v>
      </c>
      <c r="Q719" s="495">
        <v>0</v>
      </c>
      <c r="T719" s="495">
        <v>11699.7934</v>
      </c>
      <c r="U719" s="495">
        <v>53168.548450000002</v>
      </c>
      <c r="V719" s="495">
        <v>-1773.3632</v>
      </c>
      <c r="W719" s="495">
        <v>-6409.5154999999995</v>
      </c>
      <c r="X719" s="495">
        <v>0</v>
      </c>
      <c r="AA719" s="495">
        <v>0</v>
      </c>
      <c r="AB719" s="495">
        <v>0</v>
      </c>
      <c r="AC719" s="495">
        <v>0</v>
      </c>
      <c r="AD719" s="495">
        <v>0</v>
      </c>
      <c r="AE719" s="495">
        <v>0</v>
      </c>
      <c r="AH719" s="495">
        <v>0</v>
      </c>
      <c r="AI719" s="495">
        <v>0</v>
      </c>
      <c r="AJ719" s="495">
        <v>0</v>
      </c>
      <c r="AK719" s="495">
        <v>0</v>
      </c>
      <c r="AL719" s="495">
        <v>0</v>
      </c>
      <c r="AO719" s="495">
        <v>-23194.154719625385</v>
      </c>
      <c r="AP719" s="495">
        <v>-19444.064969625389</v>
      </c>
      <c r="AQ719" s="495">
        <v>-15816.995352125381</v>
      </c>
      <c r="AR719" s="495">
        <v>0</v>
      </c>
      <c r="AS719" s="495">
        <v>0</v>
      </c>
    </row>
    <row r="720" spans="1:45">
      <c r="A720" s="390">
        <v>97861</v>
      </c>
      <c r="B720" s="393">
        <v>97861</v>
      </c>
      <c r="C720" s="499" t="s">
        <v>1424</v>
      </c>
      <c r="D720" s="378">
        <v>6.8670106162850082E-5</v>
      </c>
      <c r="F720" s="495">
        <v>52943.546751663649</v>
      </c>
      <c r="G720" s="495">
        <v>99043.549586663648</v>
      </c>
      <c r="H720" s="495">
        <v>11675.059399163643</v>
      </c>
      <c r="I720" s="495">
        <v>-7115.2357999999995</v>
      </c>
      <c r="J720" s="495">
        <v>0</v>
      </c>
      <c r="M720" s="495">
        <v>31557.577859999998</v>
      </c>
      <c r="N720" s="495">
        <v>32102.944239999997</v>
      </c>
      <c r="O720" s="495">
        <v>16906.357779999998</v>
      </c>
      <c r="P720" s="495">
        <v>0</v>
      </c>
      <c r="Q720" s="495">
        <v>0</v>
      </c>
      <c r="T720" s="495">
        <v>12988.000239999999</v>
      </c>
      <c r="U720" s="495">
        <v>59022.676419999996</v>
      </c>
      <c r="V720" s="495">
        <v>-1968.61952</v>
      </c>
      <c r="W720" s="495">
        <v>-7115.2357999999995</v>
      </c>
      <c r="X720" s="495">
        <v>0</v>
      </c>
      <c r="AA720" s="495">
        <v>0</v>
      </c>
      <c r="AB720" s="495">
        <v>0</v>
      </c>
      <c r="AC720" s="495">
        <v>0</v>
      </c>
      <c r="AD720" s="495">
        <v>0</v>
      </c>
      <c r="AE720" s="495">
        <v>0</v>
      </c>
      <c r="AH720" s="495">
        <v>13265.868200000003</v>
      </c>
      <c r="AI720" s="495">
        <v>12615.333825000002</v>
      </c>
      <c r="AJ720" s="495">
        <v>0</v>
      </c>
      <c r="AK720" s="495">
        <v>0</v>
      </c>
      <c r="AL720" s="495">
        <v>0</v>
      </c>
      <c r="AO720" s="495">
        <v>-4867.8995483363524</v>
      </c>
      <c r="AP720" s="495">
        <v>-4697.4048983363518</v>
      </c>
      <c r="AQ720" s="495">
        <v>-3262.6788608363554</v>
      </c>
      <c r="AR720" s="495">
        <v>0</v>
      </c>
      <c r="AS720" s="495">
        <v>0</v>
      </c>
    </row>
    <row r="721" spans="1:45">
      <c r="A721" s="390">
        <v>97871</v>
      </c>
      <c r="B721" s="393">
        <v>97871</v>
      </c>
      <c r="C721" s="499" t="s">
        <v>1425</v>
      </c>
      <c r="D721" s="378">
        <v>2.1815234463133825E-4</v>
      </c>
      <c r="F721" s="495">
        <v>104115.30664598933</v>
      </c>
      <c r="G721" s="495">
        <v>204054.88751598934</v>
      </c>
      <c r="H721" s="495">
        <v>-36470.279376510684</v>
      </c>
      <c r="I721" s="495">
        <v>-22603.775600000001</v>
      </c>
      <c r="J721" s="495">
        <v>0</v>
      </c>
      <c r="M721" s="495">
        <v>100252.53252000001</v>
      </c>
      <c r="N721" s="495">
        <v>101985.05968000001</v>
      </c>
      <c r="O721" s="495">
        <v>53708.341959999998</v>
      </c>
      <c r="P721" s="495">
        <v>0</v>
      </c>
      <c r="Q721" s="495">
        <v>0</v>
      </c>
      <c r="T721" s="495">
        <v>41260.451679999998</v>
      </c>
      <c r="U721" s="495">
        <v>187504.02244</v>
      </c>
      <c r="V721" s="495">
        <v>-6253.9366399999999</v>
      </c>
      <c r="W721" s="495">
        <v>-22603.775600000001</v>
      </c>
      <c r="X721" s="495">
        <v>0</v>
      </c>
      <c r="AA721" s="495">
        <v>0</v>
      </c>
      <c r="AB721" s="495">
        <v>0</v>
      </c>
      <c r="AC721" s="495">
        <v>0</v>
      </c>
      <c r="AD721" s="495">
        <v>0</v>
      </c>
      <c r="AE721" s="495">
        <v>0</v>
      </c>
      <c r="AH721" s="495">
        <v>50891.837777500026</v>
      </c>
      <c r="AI721" s="495">
        <v>2855.3207275000022</v>
      </c>
      <c r="AJ721" s="495">
        <v>0</v>
      </c>
      <c r="AK721" s="495">
        <v>0</v>
      </c>
      <c r="AL721" s="495">
        <v>0</v>
      </c>
      <c r="AO721" s="495">
        <v>-88289.515331510716</v>
      </c>
      <c r="AP721" s="495">
        <v>-88289.515331510716</v>
      </c>
      <c r="AQ721" s="495">
        <v>-83924.684696510682</v>
      </c>
      <c r="AR721" s="495">
        <v>0</v>
      </c>
      <c r="AS721" s="495">
        <v>0</v>
      </c>
    </row>
    <row r="722" spans="1:45">
      <c r="A722" s="390">
        <v>97877</v>
      </c>
      <c r="B722" s="393">
        <v>97877</v>
      </c>
      <c r="C722" s="499" t="s">
        <v>1426</v>
      </c>
      <c r="D722" s="378">
        <v>8.9413605757326846E-6</v>
      </c>
      <c r="F722" s="495">
        <v>5534.2844801503488</v>
      </c>
      <c r="G722" s="495">
        <v>11512.045770150349</v>
      </c>
      <c r="H722" s="495">
        <v>1757.1914901503492</v>
      </c>
      <c r="I722" s="495">
        <v>-926.45220000000006</v>
      </c>
      <c r="J722" s="495">
        <v>0</v>
      </c>
      <c r="M722" s="495">
        <v>4109.0117399999999</v>
      </c>
      <c r="N722" s="495">
        <v>4180.0221600000004</v>
      </c>
      <c r="O722" s="495">
        <v>2201.3230200000003</v>
      </c>
      <c r="P722" s="495">
        <v>0</v>
      </c>
      <c r="Q722" s="495">
        <v>0</v>
      </c>
      <c r="T722" s="495">
        <v>1691.1261600000003</v>
      </c>
      <c r="U722" s="495">
        <v>7685.1547800000008</v>
      </c>
      <c r="V722" s="495">
        <v>-256.32768000000004</v>
      </c>
      <c r="W722" s="495">
        <v>-926.45220000000006</v>
      </c>
      <c r="X722" s="495">
        <v>0</v>
      </c>
      <c r="AA722" s="495">
        <v>0</v>
      </c>
      <c r="AB722" s="495">
        <v>0</v>
      </c>
      <c r="AC722" s="495">
        <v>0</v>
      </c>
      <c r="AD722" s="495">
        <v>0</v>
      </c>
      <c r="AE722" s="495">
        <v>0</v>
      </c>
      <c r="AH722" s="495">
        <v>478.19899000000078</v>
      </c>
      <c r="AI722" s="495">
        <v>194.04124000000002</v>
      </c>
      <c r="AJ722" s="495">
        <v>0</v>
      </c>
      <c r="AK722" s="495">
        <v>0</v>
      </c>
      <c r="AL722" s="495">
        <v>0</v>
      </c>
      <c r="AO722" s="495">
        <v>-744.05240984965212</v>
      </c>
      <c r="AP722" s="495">
        <v>-547.17240984965201</v>
      </c>
      <c r="AQ722" s="495">
        <v>-187.80384984965099</v>
      </c>
      <c r="AR722" s="495">
        <v>0</v>
      </c>
      <c r="AS722" s="495">
        <v>0</v>
      </c>
    </row>
    <row r="723" spans="1:45">
      <c r="A723" s="390">
        <v>97901</v>
      </c>
      <c r="B723" s="393">
        <v>97901</v>
      </c>
      <c r="C723" s="499" t="s">
        <v>1427</v>
      </c>
      <c r="D723" s="378">
        <v>3.6628122111306695E-3</v>
      </c>
      <c r="F723" s="495">
        <v>2451742.2074540807</v>
      </c>
      <c r="G723" s="495">
        <v>4996756.5322240805</v>
      </c>
      <c r="H723" s="495">
        <v>1038439.1270015808</v>
      </c>
      <c r="I723" s="495">
        <v>-379521.04009999998</v>
      </c>
      <c r="J723" s="495">
        <v>0</v>
      </c>
      <c r="M723" s="495">
        <v>1683256.19967</v>
      </c>
      <c r="N723" s="495">
        <v>1712345.6102799999</v>
      </c>
      <c r="O723" s="495">
        <v>901771.72891000006</v>
      </c>
      <c r="P723" s="495">
        <v>0</v>
      </c>
      <c r="Q723" s="495">
        <v>0</v>
      </c>
      <c r="T723" s="495">
        <v>692769.64228000003</v>
      </c>
      <c r="U723" s="495">
        <v>3148222.79599</v>
      </c>
      <c r="V723" s="495">
        <v>-105004.60544</v>
      </c>
      <c r="W723" s="495">
        <v>-379521.04009999998</v>
      </c>
      <c r="X723" s="495">
        <v>0</v>
      </c>
      <c r="AA723" s="495">
        <v>0</v>
      </c>
      <c r="AB723" s="495">
        <v>0</v>
      </c>
      <c r="AC723" s="495">
        <v>0</v>
      </c>
      <c r="AD723" s="495">
        <v>0</v>
      </c>
      <c r="AE723" s="495">
        <v>0</v>
      </c>
      <c r="AH723" s="495">
        <v>287268.59464908077</v>
      </c>
      <c r="AI723" s="495">
        <v>280167.64214908076</v>
      </c>
      <c r="AJ723" s="495">
        <v>241672.00353158067</v>
      </c>
      <c r="AK723" s="495">
        <v>0</v>
      </c>
      <c r="AL723" s="495">
        <v>0</v>
      </c>
      <c r="AO723" s="495">
        <v>-211552.2291450004</v>
      </c>
      <c r="AP723" s="495">
        <v>-143979.51619500056</v>
      </c>
      <c r="AQ723" s="495">
        <v>0</v>
      </c>
      <c r="AR723" s="495">
        <v>0</v>
      </c>
      <c r="AS723" s="495">
        <v>0</v>
      </c>
    </row>
    <row r="724" spans="1:45">
      <c r="A724" s="390">
        <v>97911</v>
      </c>
      <c r="B724" s="393">
        <v>97911</v>
      </c>
      <c r="C724" s="499" t="s">
        <v>1428</v>
      </c>
      <c r="D724" s="378">
        <v>1.0691682832157947E-3</v>
      </c>
      <c r="F724" s="495">
        <v>689290.92635808431</v>
      </c>
      <c r="G724" s="495">
        <v>1386212.148818084</v>
      </c>
      <c r="H724" s="495">
        <v>198838.55926058412</v>
      </c>
      <c r="I724" s="495">
        <v>-110781.50630000001</v>
      </c>
      <c r="J724" s="495">
        <v>0</v>
      </c>
      <c r="M724" s="495">
        <v>491339.44521000003</v>
      </c>
      <c r="N724" s="495">
        <v>499830.59164</v>
      </c>
      <c r="O724" s="495">
        <v>263225.53933</v>
      </c>
      <c r="P724" s="495">
        <v>0</v>
      </c>
      <c r="Q724" s="495">
        <v>0</v>
      </c>
      <c r="T724" s="495">
        <v>202218.20764000001</v>
      </c>
      <c r="U724" s="495">
        <v>918960.54937000002</v>
      </c>
      <c r="V724" s="495">
        <v>-30650.654719999999</v>
      </c>
      <c r="W724" s="495">
        <v>-110781.50630000001</v>
      </c>
      <c r="X724" s="495">
        <v>0</v>
      </c>
      <c r="AA724" s="495">
        <v>0</v>
      </c>
      <c r="AB724" s="495">
        <v>0</v>
      </c>
      <c r="AC724" s="495">
        <v>0</v>
      </c>
      <c r="AD724" s="495">
        <v>0</v>
      </c>
      <c r="AE724" s="495">
        <v>0</v>
      </c>
      <c r="AH724" s="495">
        <v>48763.198422499991</v>
      </c>
      <c r="AI724" s="495">
        <v>20450.932722500002</v>
      </c>
      <c r="AJ724" s="495">
        <v>0</v>
      </c>
      <c r="AK724" s="495">
        <v>0</v>
      </c>
      <c r="AL724" s="495">
        <v>0</v>
      </c>
      <c r="AO724" s="495">
        <v>-53029.924914415846</v>
      </c>
      <c r="AP724" s="495">
        <v>-53029.924914415846</v>
      </c>
      <c r="AQ724" s="495">
        <v>-33736.325349415885</v>
      </c>
      <c r="AR724" s="495">
        <v>0</v>
      </c>
      <c r="AS724" s="495">
        <v>0</v>
      </c>
    </row>
    <row r="725" spans="1:45">
      <c r="A725" s="390">
        <v>97913</v>
      </c>
      <c r="B725" s="393">
        <v>97913</v>
      </c>
      <c r="C725" s="499" t="s">
        <v>1429</v>
      </c>
      <c r="D725" s="378">
        <v>2.6263883656316392E-5</v>
      </c>
      <c r="F725" s="495">
        <v>22160.585489177647</v>
      </c>
      <c r="G725" s="495">
        <v>36165.790099177641</v>
      </c>
      <c r="H725" s="495">
        <v>1750.0757041776469</v>
      </c>
      <c r="I725" s="495">
        <v>-2721.3238000000001</v>
      </c>
      <c r="J725" s="495">
        <v>0</v>
      </c>
      <c r="M725" s="495">
        <v>12069.64746</v>
      </c>
      <c r="N725" s="495">
        <v>12278.23064</v>
      </c>
      <c r="O725" s="495">
        <v>6466.0785799999994</v>
      </c>
      <c r="P725" s="495">
        <v>0</v>
      </c>
      <c r="Q725" s="495">
        <v>0</v>
      </c>
      <c r="T725" s="495">
        <v>4967.4466400000001</v>
      </c>
      <c r="U725" s="495">
        <v>22574.067619999998</v>
      </c>
      <c r="V725" s="495">
        <v>-752.92671999999993</v>
      </c>
      <c r="W725" s="495">
        <v>-2721.3238000000001</v>
      </c>
      <c r="X725" s="495">
        <v>0</v>
      </c>
      <c r="AA725" s="495">
        <v>0</v>
      </c>
      <c r="AB725" s="495">
        <v>0</v>
      </c>
      <c r="AC725" s="495">
        <v>0</v>
      </c>
      <c r="AD725" s="495">
        <v>0</v>
      </c>
      <c r="AE725" s="495">
        <v>0</v>
      </c>
      <c r="AH725" s="495">
        <v>9882.2092449999964</v>
      </c>
      <c r="AI725" s="495">
        <v>5276.5679949999976</v>
      </c>
      <c r="AJ725" s="495">
        <v>0</v>
      </c>
      <c r="AK725" s="495">
        <v>0</v>
      </c>
      <c r="AL725" s="495">
        <v>0</v>
      </c>
      <c r="AO725" s="495">
        <v>-4758.717855822355</v>
      </c>
      <c r="AP725" s="495">
        <v>-3963.076155822353</v>
      </c>
      <c r="AQ725" s="495">
        <v>-3963.076155822353</v>
      </c>
      <c r="AR725" s="495">
        <v>0</v>
      </c>
      <c r="AS725" s="495">
        <v>0</v>
      </c>
    </row>
    <row r="726" spans="1:45">
      <c r="A726" s="390">
        <v>97917</v>
      </c>
      <c r="B726" s="393">
        <v>97917</v>
      </c>
      <c r="C726" s="499" t="s">
        <v>1430</v>
      </c>
      <c r="D726" s="378">
        <v>2.2533284956530864E-5</v>
      </c>
      <c r="F726" s="495">
        <v>21560.656049892314</v>
      </c>
      <c r="G726" s="495">
        <v>32803.319829892309</v>
      </c>
      <c r="H726" s="495">
        <v>4757.923297392319</v>
      </c>
      <c r="I726" s="495">
        <v>-2334.7838999999999</v>
      </c>
      <c r="J726" s="495">
        <v>0</v>
      </c>
      <c r="M726" s="495">
        <v>10355.261129999999</v>
      </c>
      <c r="N726" s="495">
        <v>10534.216919999999</v>
      </c>
      <c r="O726" s="495">
        <v>5547.6294900000003</v>
      </c>
      <c r="P726" s="495">
        <v>0</v>
      </c>
      <c r="Q726" s="495">
        <v>0</v>
      </c>
      <c r="T726" s="495">
        <v>4261.86492</v>
      </c>
      <c r="U726" s="495">
        <v>19367.621609999998</v>
      </c>
      <c r="V726" s="495">
        <v>-645.98015999999996</v>
      </c>
      <c r="W726" s="495">
        <v>-2334.7838999999999</v>
      </c>
      <c r="X726" s="495">
        <v>0</v>
      </c>
      <c r="AA726" s="495">
        <v>0</v>
      </c>
      <c r="AB726" s="495">
        <v>0</v>
      </c>
      <c r="AC726" s="495">
        <v>0</v>
      </c>
      <c r="AD726" s="495">
        <v>0</v>
      </c>
      <c r="AE726" s="495">
        <v>0</v>
      </c>
      <c r="AH726" s="495">
        <v>7087.256032499994</v>
      </c>
      <c r="AI726" s="495">
        <v>3045.2073324999947</v>
      </c>
      <c r="AJ726" s="495">
        <v>0</v>
      </c>
      <c r="AK726" s="495">
        <v>0</v>
      </c>
      <c r="AL726" s="495">
        <v>0</v>
      </c>
      <c r="AO726" s="495">
        <v>-143.72603260768119</v>
      </c>
      <c r="AP726" s="495">
        <v>-143.72603260768119</v>
      </c>
      <c r="AQ726" s="495">
        <v>-143.72603260768119</v>
      </c>
      <c r="AR726" s="495">
        <v>0</v>
      </c>
      <c r="AS726" s="495">
        <v>0</v>
      </c>
    </row>
    <row r="727" spans="1:45">
      <c r="A727" s="390">
        <v>97921</v>
      </c>
      <c r="B727" s="393">
        <v>97921</v>
      </c>
      <c r="C727" s="499" t="s">
        <v>1431</v>
      </c>
      <c r="D727" s="378">
        <v>2.0622054112267083E-4</v>
      </c>
      <c r="F727" s="495">
        <v>134112.39552734344</v>
      </c>
      <c r="G727" s="495">
        <v>274055.7231423434</v>
      </c>
      <c r="H727" s="495">
        <v>46922.447004843416</v>
      </c>
      <c r="I727" s="495">
        <v>-21367.469700000001</v>
      </c>
      <c r="J727" s="495">
        <v>0</v>
      </c>
      <c r="M727" s="495">
        <v>94769.253989999997</v>
      </c>
      <c r="N727" s="495">
        <v>96407.021160000004</v>
      </c>
      <c r="O727" s="495">
        <v>50770.782270000003</v>
      </c>
      <c r="P727" s="495">
        <v>0</v>
      </c>
      <c r="Q727" s="495">
        <v>0</v>
      </c>
      <c r="T727" s="495">
        <v>39003.725160000002</v>
      </c>
      <c r="U727" s="495">
        <v>177248.55303000001</v>
      </c>
      <c r="V727" s="495">
        <v>-5911.87968</v>
      </c>
      <c r="W727" s="495">
        <v>-21367.469700000001</v>
      </c>
      <c r="X727" s="495">
        <v>0</v>
      </c>
      <c r="AA727" s="495">
        <v>0</v>
      </c>
      <c r="AB727" s="495">
        <v>0</v>
      </c>
      <c r="AC727" s="495">
        <v>0</v>
      </c>
      <c r="AD727" s="495">
        <v>0</v>
      </c>
      <c r="AE727" s="495">
        <v>0</v>
      </c>
      <c r="AH727" s="495">
        <v>6023.6255023434042</v>
      </c>
      <c r="AI727" s="495">
        <v>5004.5586273434074</v>
      </c>
      <c r="AJ727" s="495">
        <v>2063.5444148434094</v>
      </c>
      <c r="AK727" s="495">
        <v>0</v>
      </c>
      <c r="AL727" s="495">
        <v>0</v>
      </c>
      <c r="AO727" s="495">
        <v>-5684.2091249999794</v>
      </c>
      <c r="AP727" s="495">
        <v>-4604.4096749999881</v>
      </c>
      <c r="AQ727" s="495">
        <v>0</v>
      </c>
      <c r="AR727" s="495">
        <v>0</v>
      </c>
      <c r="AS727" s="495">
        <v>0</v>
      </c>
    </row>
    <row r="728" spans="1:45">
      <c r="A728" s="390">
        <v>97931</v>
      </c>
      <c r="B728" s="393">
        <v>97931</v>
      </c>
      <c r="C728" s="499" t="s">
        <v>1432</v>
      </c>
      <c r="D728" s="378">
        <v>5.3077877070797297E-5</v>
      </c>
      <c r="F728" s="495">
        <v>28536.956972016676</v>
      </c>
      <c r="G728" s="495">
        <v>72301.957992016673</v>
      </c>
      <c r="H728" s="495">
        <v>23634.459249516665</v>
      </c>
      <c r="I728" s="495">
        <v>-5499.6440999999995</v>
      </c>
      <c r="J728" s="495">
        <v>0</v>
      </c>
      <c r="M728" s="495">
        <v>24392.086469999998</v>
      </c>
      <c r="N728" s="495">
        <v>24813.621479999998</v>
      </c>
      <c r="O728" s="495">
        <v>13067.58531</v>
      </c>
      <c r="P728" s="495">
        <v>0</v>
      </c>
      <c r="Q728" s="495">
        <v>0</v>
      </c>
      <c r="T728" s="495">
        <v>10038.93348</v>
      </c>
      <c r="U728" s="495">
        <v>45620.935590000001</v>
      </c>
      <c r="V728" s="495">
        <v>-1521.6230399999999</v>
      </c>
      <c r="W728" s="495">
        <v>-5499.6440999999995</v>
      </c>
      <c r="X728" s="495">
        <v>0</v>
      </c>
      <c r="AA728" s="495">
        <v>0</v>
      </c>
      <c r="AB728" s="495">
        <v>0</v>
      </c>
      <c r="AC728" s="495">
        <v>0</v>
      </c>
      <c r="AD728" s="495">
        <v>0</v>
      </c>
      <c r="AE728" s="495">
        <v>0</v>
      </c>
      <c r="AH728" s="495">
        <v>13868.813457016668</v>
      </c>
      <c r="AI728" s="495">
        <v>13868.813457016668</v>
      </c>
      <c r="AJ728" s="495">
        <v>12088.496979516665</v>
      </c>
      <c r="AK728" s="495">
        <v>0</v>
      </c>
      <c r="AL728" s="495">
        <v>0</v>
      </c>
      <c r="AO728" s="495">
        <v>-19762.876434999991</v>
      </c>
      <c r="AP728" s="495">
        <v>-12001.412534999999</v>
      </c>
      <c r="AQ728" s="495">
        <v>0</v>
      </c>
      <c r="AR728" s="495">
        <v>0</v>
      </c>
      <c r="AS728" s="495">
        <v>0</v>
      </c>
    </row>
    <row r="729" spans="1:45">
      <c r="A729" s="390">
        <v>97941</v>
      </c>
      <c r="B729" s="393">
        <v>97941</v>
      </c>
      <c r="C729" s="499" t="s">
        <v>1433</v>
      </c>
      <c r="D729" s="378">
        <v>1.7817636698685765E-4</v>
      </c>
      <c r="F729" s="495">
        <v>92621.879858225322</v>
      </c>
      <c r="G729" s="495">
        <v>211554.86793322529</v>
      </c>
      <c r="H729" s="495">
        <v>32063.233250725327</v>
      </c>
      <c r="I729" s="495">
        <v>-18461.684499999999</v>
      </c>
      <c r="J729" s="495">
        <v>0</v>
      </c>
      <c r="M729" s="495">
        <v>81881.481149999992</v>
      </c>
      <c r="N729" s="495">
        <v>83296.526599999997</v>
      </c>
      <c r="O729" s="495">
        <v>43866.408949999997</v>
      </c>
      <c r="P729" s="495">
        <v>0</v>
      </c>
      <c r="Q729" s="495">
        <v>0</v>
      </c>
      <c r="T729" s="495">
        <v>33699.566599999998</v>
      </c>
      <c r="U729" s="495">
        <v>153144.33155</v>
      </c>
      <c r="V729" s="495">
        <v>-5107.9168</v>
      </c>
      <c r="W729" s="495">
        <v>-18461.684499999999</v>
      </c>
      <c r="X729" s="495">
        <v>0</v>
      </c>
      <c r="AA729" s="495">
        <v>0</v>
      </c>
      <c r="AB729" s="495">
        <v>0</v>
      </c>
      <c r="AC729" s="495">
        <v>0</v>
      </c>
      <c r="AD729" s="495">
        <v>0</v>
      </c>
      <c r="AE729" s="495">
        <v>0</v>
      </c>
      <c r="AH729" s="495">
        <v>6164.299797500018</v>
      </c>
      <c r="AI729" s="495">
        <v>3947.8693475000036</v>
      </c>
      <c r="AJ729" s="495">
        <v>0</v>
      </c>
      <c r="AK729" s="495">
        <v>0</v>
      </c>
      <c r="AL729" s="495">
        <v>0</v>
      </c>
      <c r="AO729" s="495">
        <v>-29123.467689274697</v>
      </c>
      <c r="AP729" s="495">
        <v>-28833.859564274699</v>
      </c>
      <c r="AQ729" s="495">
        <v>-6695.2588992746714</v>
      </c>
      <c r="AR729" s="495">
        <v>0</v>
      </c>
      <c r="AS729" s="495">
        <v>0</v>
      </c>
    </row>
    <row r="730" spans="1:45">
      <c r="A730" s="390">
        <v>97947</v>
      </c>
      <c r="B730" s="500">
        <v>97947</v>
      </c>
      <c r="C730" s="501" t="s">
        <v>1434</v>
      </c>
      <c r="D730" s="378">
        <v>1.0611569760580591E-5</v>
      </c>
      <c r="F730" s="495">
        <v>5994.4525263585228</v>
      </c>
      <c r="G730" s="495">
        <v>10085.158361358521</v>
      </c>
      <c r="H730" s="495">
        <v>-1483.1562961414752</v>
      </c>
      <c r="I730" s="495">
        <v>-1099.5143</v>
      </c>
      <c r="J730" s="495">
        <v>0</v>
      </c>
      <c r="M730" s="495">
        <v>4876.57881</v>
      </c>
      <c r="N730" s="495">
        <v>4960.8540400000002</v>
      </c>
      <c r="O730" s="495">
        <v>2612.5321300000001</v>
      </c>
      <c r="P730" s="495">
        <v>0</v>
      </c>
      <c r="Q730" s="495">
        <v>0</v>
      </c>
      <c r="T730" s="495">
        <v>2007.0300400000001</v>
      </c>
      <c r="U730" s="495">
        <v>9120.7485699999997</v>
      </c>
      <c r="V730" s="495">
        <v>-304.20992000000001</v>
      </c>
      <c r="W730" s="495">
        <v>-1099.5143</v>
      </c>
      <c r="X730" s="495">
        <v>0</v>
      </c>
      <c r="AA730" s="495">
        <v>0</v>
      </c>
      <c r="AB730" s="495">
        <v>0</v>
      </c>
      <c r="AC730" s="495">
        <v>0</v>
      </c>
      <c r="AD730" s="495">
        <v>0</v>
      </c>
      <c r="AE730" s="495">
        <v>0</v>
      </c>
      <c r="AH730" s="495">
        <v>4002.8883975000003</v>
      </c>
      <c r="AI730" s="495">
        <v>895.60047250000025</v>
      </c>
      <c r="AJ730" s="495">
        <v>0</v>
      </c>
      <c r="AK730" s="495">
        <v>0</v>
      </c>
      <c r="AL730" s="495">
        <v>0</v>
      </c>
      <c r="AO730" s="495">
        <v>-4892.0447211414785</v>
      </c>
      <c r="AP730" s="495">
        <v>-4892.0447211414785</v>
      </c>
      <c r="AQ730" s="495">
        <v>-3791.4785061414755</v>
      </c>
      <c r="AR730" s="495">
        <v>0</v>
      </c>
      <c r="AS730" s="495">
        <v>0</v>
      </c>
    </row>
    <row r="731" spans="1:45">
      <c r="A731" s="390">
        <v>97948</v>
      </c>
      <c r="B731" s="393">
        <v>97948</v>
      </c>
      <c r="C731" s="499" t="s">
        <v>1435</v>
      </c>
      <c r="D731" s="378">
        <v>2.4043564713303978E-5</v>
      </c>
      <c r="F731" s="495">
        <v>12551.699061808098</v>
      </c>
      <c r="G731" s="495">
        <v>31331.770201808107</v>
      </c>
      <c r="H731" s="495">
        <v>3418.7942293081019</v>
      </c>
      <c r="I731" s="495">
        <v>-2491.2651999999998</v>
      </c>
      <c r="J731" s="495">
        <v>0</v>
      </c>
      <c r="M731" s="495">
        <v>11049.288839999999</v>
      </c>
      <c r="N731" s="495">
        <v>11240.23856</v>
      </c>
      <c r="O731" s="495">
        <v>5919.4413199999999</v>
      </c>
      <c r="P731" s="495">
        <v>0</v>
      </c>
      <c r="Q731" s="495">
        <v>0</v>
      </c>
      <c r="T731" s="495">
        <v>4547.5025599999999</v>
      </c>
      <c r="U731" s="495">
        <v>20665.673480000001</v>
      </c>
      <c r="V731" s="495">
        <v>-689.27488000000005</v>
      </c>
      <c r="W731" s="495">
        <v>-2491.2651999999998</v>
      </c>
      <c r="X731" s="495">
        <v>0</v>
      </c>
      <c r="AA731" s="495">
        <v>0</v>
      </c>
      <c r="AB731" s="495">
        <v>0</v>
      </c>
      <c r="AC731" s="495">
        <v>0</v>
      </c>
      <c r="AD731" s="495">
        <v>0</v>
      </c>
      <c r="AE731" s="495">
        <v>0</v>
      </c>
      <c r="AH731" s="495">
        <v>3851.3252050000001</v>
      </c>
      <c r="AI731" s="495">
        <v>2912.3827050000009</v>
      </c>
      <c r="AJ731" s="495">
        <v>0</v>
      </c>
      <c r="AK731" s="495">
        <v>0</v>
      </c>
      <c r="AL731" s="495">
        <v>0</v>
      </c>
      <c r="AO731" s="495">
        <v>-6896.4175431919011</v>
      </c>
      <c r="AP731" s="495">
        <v>-3486.5245431918979</v>
      </c>
      <c r="AQ731" s="495">
        <v>-1811.3722106918981</v>
      </c>
      <c r="AR731" s="495">
        <v>0</v>
      </c>
      <c r="AS731" s="495">
        <v>0</v>
      </c>
    </row>
    <row r="732" spans="1:45">
      <c r="A732" s="390">
        <v>97951</v>
      </c>
      <c r="B732" s="393">
        <v>97951</v>
      </c>
      <c r="C732" s="499" t="s">
        <v>1436</v>
      </c>
      <c r="D732" s="378">
        <v>1.0268820819590871E-3</v>
      </c>
      <c r="F732" s="495">
        <v>611555.09171194269</v>
      </c>
      <c r="G732" s="495">
        <v>1296436.6446669425</v>
      </c>
      <c r="H732" s="495">
        <v>217461.20794694245</v>
      </c>
      <c r="I732" s="495">
        <v>-106400.02989999999</v>
      </c>
      <c r="J732" s="495">
        <v>0</v>
      </c>
      <c r="M732" s="495">
        <v>471906.66933</v>
      </c>
      <c r="N732" s="495">
        <v>480061.98572</v>
      </c>
      <c r="O732" s="495">
        <v>252814.80809000001</v>
      </c>
      <c r="P732" s="495">
        <v>0</v>
      </c>
      <c r="Q732" s="495">
        <v>0</v>
      </c>
      <c r="T732" s="495">
        <v>194220.35372000001</v>
      </c>
      <c r="U732" s="495">
        <v>882615.09701000003</v>
      </c>
      <c r="V732" s="495">
        <v>-29438.402559999999</v>
      </c>
      <c r="W732" s="495">
        <v>-106400.02989999999</v>
      </c>
      <c r="X732" s="495">
        <v>0</v>
      </c>
      <c r="AA732" s="495">
        <v>0</v>
      </c>
      <c r="AB732" s="495">
        <v>0</v>
      </c>
      <c r="AC732" s="495">
        <v>0</v>
      </c>
      <c r="AD732" s="495">
        <v>0</v>
      </c>
      <c r="AE732" s="495">
        <v>0</v>
      </c>
      <c r="AH732" s="495">
        <v>26962.076484999969</v>
      </c>
      <c r="AI732" s="495">
        <v>11713.182109999936</v>
      </c>
      <c r="AJ732" s="495">
        <v>0</v>
      </c>
      <c r="AK732" s="495">
        <v>0</v>
      </c>
      <c r="AL732" s="495">
        <v>0</v>
      </c>
      <c r="AO732" s="495">
        <v>-81534.00782305724</v>
      </c>
      <c r="AP732" s="495">
        <v>-77953.62017305725</v>
      </c>
      <c r="AQ732" s="495">
        <v>-5915.1975830575684</v>
      </c>
      <c r="AR732" s="495">
        <v>0</v>
      </c>
      <c r="AS732" s="495">
        <v>0</v>
      </c>
    </row>
    <row r="733" spans="1:45">
      <c r="A733" s="390">
        <v>97957</v>
      </c>
      <c r="B733" s="393">
        <v>97957</v>
      </c>
      <c r="C733" s="499" t="s">
        <v>1437</v>
      </c>
      <c r="D733" s="378">
        <v>1.1601707982260724E-5</v>
      </c>
      <c r="F733" s="495">
        <v>17697.559079948998</v>
      </c>
      <c r="G733" s="495">
        <v>21779.494829949002</v>
      </c>
      <c r="H733" s="495">
        <v>5836.3226699489987</v>
      </c>
      <c r="I733" s="495">
        <v>-1202.1080000000002</v>
      </c>
      <c r="J733" s="495">
        <v>0</v>
      </c>
      <c r="M733" s="495">
        <v>5331.6036000000004</v>
      </c>
      <c r="N733" s="495">
        <v>5423.7424000000001</v>
      </c>
      <c r="O733" s="495">
        <v>2856.3028000000004</v>
      </c>
      <c r="P733" s="495">
        <v>0</v>
      </c>
      <c r="Q733" s="495">
        <v>0</v>
      </c>
      <c r="T733" s="495">
        <v>2194.3024</v>
      </c>
      <c r="U733" s="495">
        <v>9971.7892000000011</v>
      </c>
      <c r="V733" s="495">
        <v>-332.59520000000003</v>
      </c>
      <c r="W733" s="495">
        <v>-1202.1080000000002</v>
      </c>
      <c r="X733" s="495">
        <v>0</v>
      </c>
      <c r="AA733" s="495">
        <v>0</v>
      </c>
      <c r="AB733" s="495">
        <v>0</v>
      </c>
      <c r="AC733" s="495">
        <v>0</v>
      </c>
      <c r="AD733" s="495">
        <v>0</v>
      </c>
      <c r="AE733" s="495">
        <v>0</v>
      </c>
      <c r="AH733" s="495">
        <v>10740.653299948997</v>
      </c>
      <c r="AI733" s="495">
        <v>6952.9634499489994</v>
      </c>
      <c r="AJ733" s="495">
        <v>3312.615069948999</v>
      </c>
      <c r="AK733" s="495">
        <v>0</v>
      </c>
      <c r="AL733" s="495">
        <v>0</v>
      </c>
      <c r="AO733" s="495">
        <v>-569.00021999999831</v>
      </c>
      <c r="AP733" s="495">
        <v>-569.00021999999831</v>
      </c>
      <c r="AQ733" s="495">
        <v>0</v>
      </c>
      <c r="AR733" s="495">
        <v>0</v>
      </c>
      <c r="AS733" s="495">
        <v>0</v>
      </c>
    </row>
    <row r="734" spans="1:45">
      <c r="A734" s="390">
        <v>98001</v>
      </c>
      <c r="B734" s="393">
        <v>98001</v>
      </c>
      <c r="C734" s="499" t="s">
        <v>1438</v>
      </c>
      <c r="D734" s="378">
        <v>5.41127109685406E-3</v>
      </c>
      <c r="F734" s="495">
        <v>3463518.0662757875</v>
      </c>
      <c r="G734" s="495">
        <v>7168132.1522957888</v>
      </c>
      <c r="H734" s="495">
        <v>1140851.099405789</v>
      </c>
      <c r="I734" s="495">
        <v>-560687.0061</v>
      </c>
      <c r="J734" s="495">
        <v>0</v>
      </c>
      <c r="M734" s="495">
        <v>2486765.6318699997</v>
      </c>
      <c r="N734" s="495">
        <v>2529740.9950799998</v>
      </c>
      <c r="O734" s="495">
        <v>1332236.25951</v>
      </c>
      <c r="P734" s="495">
        <v>0</v>
      </c>
      <c r="Q734" s="495">
        <v>0</v>
      </c>
      <c r="T734" s="495">
        <v>1023466.1470799999</v>
      </c>
      <c r="U734" s="495">
        <v>4651040.1993899997</v>
      </c>
      <c r="V734" s="495">
        <v>-155128.99583999999</v>
      </c>
      <c r="W734" s="495">
        <v>-560687.0061</v>
      </c>
      <c r="X734" s="495">
        <v>0</v>
      </c>
      <c r="AA734" s="495">
        <v>0</v>
      </c>
      <c r="AB734" s="495">
        <v>0</v>
      </c>
      <c r="AC734" s="495">
        <v>0</v>
      </c>
      <c r="AD734" s="495">
        <v>0</v>
      </c>
      <c r="AE734" s="495">
        <v>0</v>
      </c>
      <c r="AH734" s="495">
        <v>101323.33556999988</v>
      </c>
      <c r="AI734" s="495">
        <v>75146.563070000149</v>
      </c>
      <c r="AJ734" s="495">
        <v>0</v>
      </c>
      <c r="AK734" s="495">
        <v>0</v>
      </c>
      <c r="AL734" s="495">
        <v>0</v>
      </c>
      <c r="AO734" s="495">
        <v>-148037.04824421159</v>
      </c>
      <c r="AP734" s="495">
        <v>-87795.605244211154</v>
      </c>
      <c r="AQ734" s="495">
        <v>-36256.164264210864</v>
      </c>
      <c r="AR734" s="495">
        <v>0</v>
      </c>
      <c r="AS734" s="495">
        <v>0</v>
      </c>
    </row>
    <row r="735" spans="1:45">
      <c r="A735" s="390">
        <v>98002</v>
      </c>
      <c r="B735" s="393">
        <v>98002</v>
      </c>
      <c r="C735" s="499" t="s">
        <v>1439</v>
      </c>
      <c r="D735" s="378">
        <v>1.2421828463148913E-5</v>
      </c>
      <c r="F735" s="495">
        <v>10658.728666635045</v>
      </c>
      <c r="G735" s="495">
        <v>17561.441536635044</v>
      </c>
      <c r="H735" s="495">
        <v>2846.0146091350443</v>
      </c>
      <c r="I735" s="495">
        <v>-1287.0845999999999</v>
      </c>
      <c r="J735" s="495">
        <v>0</v>
      </c>
      <c r="M735" s="495">
        <v>5708.4928199999995</v>
      </c>
      <c r="N735" s="495">
        <v>5807.1448799999998</v>
      </c>
      <c r="O735" s="495">
        <v>3058.2138599999998</v>
      </c>
      <c r="P735" s="495">
        <v>0</v>
      </c>
      <c r="Q735" s="495">
        <v>0</v>
      </c>
      <c r="T735" s="495">
        <v>2349.4168799999998</v>
      </c>
      <c r="U735" s="495">
        <v>10676.69154</v>
      </c>
      <c r="V735" s="495">
        <v>-356.10624000000001</v>
      </c>
      <c r="W735" s="495">
        <v>-1287.0845999999999</v>
      </c>
      <c r="X735" s="495">
        <v>0</v>
      </c>
      <c r="AA735" s="495">
        <v>0</v>
      </c>
      <c r="AB735" s="495">
        <v>0</v>
      </c>
      <c r="AC735" s="495">
        <v>0</v>
      </c>
      <c r="AD735" s="495">
        <v>0</v>
      </c>
      <c r="AE735" s="495">
        <v>0</v>
      </c>
      <c r="AH735" s="495">
        <v>3661.3456841350444</v>
      </c>
      <c r="AI735" s="495">
        <v>1274.4205841350445</v>
      </c>
      <c r="AJ735" s="495">
        <v>143.90698913504457</v>
      </c>
      <c r="AK735" s="495">
        <v>0</v>
      </c>
      <c r="AL735" s="495">
        <v>0</v>
      </c>
      <c r="AO735" s="495">
        <v>-1060.5267174999997</v>
      </c>
      <c r="AP735" s="495">
        <v>-196.81546750000007</v>
      </c>
      <c r="AQ735" s="495">
        <v>0</v>
      </c>
      <c r="AR735" s="495">
        <v>0</v>
      </c>
      <c r="AS735" s="495">
        <v>0</v>
      </c>
    </row>
    <row r="736" spans="1:45">
      <c r="A736" s="390">
        <v>98003</v>
      </c>
      <c r="B736" s="393">
        <v>98003</v>
      </c>
      <c r="C736" s="499" t="s">
        <v>1440</v>
      </c>
      <c r="D736" s="378">
        <v>1.0242515544180906E-4</v>
      </c>
      <c r="F736" s="495">
        <v>86224.233942248015</v>
      </c>
      <c r="G736" s="495">
        <v>151090.83360224802</v>
      </c>
      <c r="H736" s="495">
        <v>38323.32891224802</v>
      </c>
      <c r="I736" s="495">
        <v>-10612.748300000001</v>
      </c>
      <c r="J736" s="495">
        <v>0</v>
      </c>
      <c r="M736" s="495">
        <v>47069.786610000003</v>
      </c>
      <c r="N736" s="495">
        <v>47883.229240000001</v>
      </c>
      <c r="O736" s="495">
        <v>25216.721530000003</v>
      </c>
      <c r="P736" s="495">
        <v>0</v>
      </c>
      <c r="Q736" s="495">
        <v>0</v>
      </c>
      <c r="T736" s="495">
        <v>19372.285240000001</v>
      </c>
      <c r="U736" s="495">
        <v>88035.425170000002</v>
      </c>
      <c r="V736" s="495">
        <v>-2936.29952</v>
      </c>
      <c r="W736" s="495">
        <v>-10612.748300000001</v>
      </c>
      <c r="X736" s="495">
        <v>0</v>
      </c>
      <c r="AA736" s="495">
        <v>0</v>
      </c>
      <c r="AB736" s="495">
        <v>0</v>
      </c>
      <c r="AC736" s="495">
        <v>0</v>
      </c>
      <c r="AD736" s="495">
        <v>0</v>
      </c>
      <c r="AE736" s="495">
        <v>0</v>
      </c>
      <c r="AH736" s="495">
        <v>21908.42607224801</v>
      </c>
      <c r="AI736" s="495">
        <v>17298.443172248015</v>
      </c>
      <c r="AJ736" s="495">
        <v>16042.906902248014</v>
      </c>
      <c r="AK736" s="495">
        <v>0</v>
      </c>
      <c r="AL736" s="495">
        <v>0</v>
      </c>
      <c r="AO736" s="495">
        <v>-2126.2639800000084</v>
      </c>
      <c r="AP736" s="495">
        <v>-2126.2639800000084</v>
      </c>
      <c r="AQ736" s="495">
        <v>0</v>
      </c>
      <c r="AR736" s="495">
        <v>0</v>
      </c>
      <c r="AS736" s="495">
        <v>0</v>
      </c>
    </row>
    <row r="737" spans="1:45">
      <c r="A737" s="390">
        <v>98004</v>
      </c>
      <c r="B737" s="393">
        <v>98004</v>
      </c>
      <c r="C737" s="499" t="s">
        <v>1441</v>
      </c>
      <c r="D737" s="378">
        <v>2.0952105131411791E-4</v>
      </c>
      <c r="F737" s="495">
        <v>183312.50442681171</v>
      </c>
      <c r="G737" s="495">
        <v>300718.6489418117</v>
      </c>
      <c r="H737" s="495">
        <v>57258.843731811721</v>
      </c>
      <c r="I737" s="495">
        <v>-21709.448700000001</v>
      </c>
      <c r="J737" s="495">
        <v>0</v>
      </c>
      <c r="M737" s="495">
        <v>96286.003290000008</v>
      </c>
      <c r="N737" s="495">
        <v>97949.982359999995</v>
      </c>
      <c r="O737" s="495">
        <v>51583.351170000002</v>
      </c>
      <c r="P737" s="495">
        <v>0</v>
      </c>
      <c r="Q737" s="495">
        <v>0</v>
      </c>
      <c r="T737" s="495">
        <v>39627.966359999999</v>
      </c>
      <c r="U737" s="495">
        <v>180085.35513000001</v>
      </c>
      <c r="V737" s="495">
        <v>-6006.4972800000005</v>
      </c>
      <c r="W737" s="495">
        <v>-21709.448700000001</v>
      </c>
      <c r="X737" s="495">
        <v>0</v>
      </c>
      <c r="AA737" s="495">
        <v>0</v>
      </c>
      <c r="AB737" s="495">
        <v>0</v>
      </c>
      <c r="AC737" s="495">
        <v>0</v>
      </c>
      <c r="AD737" s="495">
        <v>0</v>
      </c>
      <c r="AE737" s="495">
        <v>0</v>
      </c>
      <c r="AH737" s="495">
        <v>47398.534776811684</v>
      </c>
      <c r="AI737" s="495">
        <v>22683.311451811704</v>
      </c>
      <c r="AJ737" s="495">
        <v>11681.989841811726</v>
      </c>
      <c r="AK737" s="495">
        <v>0</v>
      </c>
      <c r="AL737" s="495">
        <v>0</v>
      </c>
      <c r="AO737" s="495">
        <v>0</v>
      </c>
      <c r="AP737" s="495">
        <v>0</v>
      </c>
      <c r="AQ737" s="495">
        <v>0</v>
      </c>
      <c r="AR737" s="495">
        <v>0</v>
      </c>
      <c r="AS737" s="495">
        <v>0</v>
      </c>
    </row>
    <row r="738" spans="1:45">
      <c r="A738" s="390">
        <v>98008</v>
      </c>
      <c r="B738" s="393">
        <v>98008</v>
      </c>
      <c r="C738" s="499" t="s">
        <v>1442</v>
      </c>
      <c r="D738" s="378">
        <v>5.6507903394627781E-6</v>
      </c>
      <c r="F738" s="495">
        <v>3497.7128757941246</v>
      </c>
      <c r="G738" s="495">
        <v>7158.8148257941248</v>
      </c>
      <c r="H738" s="495">
        <v>886.35094829412469</v>
      </c>
      <c r="I738" s="495">
        <v>-585.5095</v>
      </c>
      <c r="J738" s="495">
        <v>0</v>
      </c>
      <c r="M738" s="495">
        <v>2596.8586500000001</v>
      </c>
      <c r="N738" s="495">
        <v>2641.7366000000002</v>
      </c>
      <c r="O738" s="495">
        <v>1391.2164500000001</v>
      </c>
      <c r="P738" s="495">
        <v>0</v>
      </c>
      <c r="Q738" s="495">
        <v>0</v>
      </c>
      <c r="T738" s="495">
        <v>1068.7765999999999</v>
      </c>
      <c r="U738" s="495">
        <v>4856.9490500000002</v>
      </c>
      <c r="V738" s="495">
        <v>-161.99680000000001</v>
      </c>
      <c r="W738" s="495">
        <v>-585.5095</v>
      </c>
      <c r="X738" s="495">
        <v>0</v>
      </c>
      <c r="AA738" s="495">
        <v>0</v>
      </c>
      <c r="AB738" s="495">
        <v>0</v>
      </c>
      <c r="AC738" s="495">
        <v>0</v>
      </c>
      <c r="AD738" s="495">
        <v>0</v>
      </c>
      <c r="AE738" s="495">
        <v>0</v>
      </c>
      <c r="AH738" s="495">
        <v>598.63328250000018</v>
      </c>
      <c r="AI738" s="495">
        <v>369.8532825000002</v>
      </c>
      <c r="AJ738" s="495">
        <v>0</v>
      </c>
      <c r="AK738" s="495">
        <v>0</v>
      </c>
      <c r="AL738" s="495">
        <v>0</v>
      </c>
      <c r="AO738" s="495">
        <v>-766.55565670587566</v>
      </c>
      <c r="AP738" s="495">
        <v>-709.72410670587578</v>
      </c>
      <c r="AQ738" s="495">
        <v>-342.86870170587531</v>
      </c>
      <c r="AR738" s="495">
        <v>0</v>
      </c>
      <c r="AS738" s="495">
        <v>0</v>
      </c>
    </row>
    <row r="739" spans="1:45">
      <c r="A739" s="390">
        <v>98011</v>
      </c>
      <c r="B739" s="393">
        <v>98011</v>
      </c>
      <c r="C739" s="499" t="s">
        <v>1443</v>
      </c>
      <c r="D739" s="378">
        <v>2.8683645574596036E-3</v>
      </c>
      <c r="F739" s="495">
        <v>1499445.9787205977</v>
      </c>
      <c r="G739" s="495">
        <v>3490973.0820105975</v>
      </c>
      <c r="H739" s="495">
        <v>576881.57371809799</v>
      </c>
      <c r="I739" s="495">
        <v>-297204.62219999998</v>
      </c>
      <c r="J739" s="495">
        <v>0</v>
      </c>
      <c r="M739" s="495">
        <v>1318165.45074</v>
      </c>
      <c r="N739" s="495">
        <v>1340945.49816</v>
      </c>
      <c r="O739" s="495">
        <v>706181.47002000001</v>
      </c>
      <c r="P739" s="495">
        <v>0</v>
      </c>
      <c r="Q739" s="495">
        <v>0</v>
      </c>
      <c r="T739" s="495">
        <v>542511.00215999992</v>
      </c>
      <c r="U739" s="495">
        <v>2465387.3377799997</v>
      </c>
      <c r="V739" s="495">
        <v>-82229.575679999994</v>
      </c>
      <c r="W739" s="495">
        <v>-297204.62219999998</v>
      </c>
      <c r="X739" s="495">
        <v>0</v>
      </c>
      <c r="AA739" s="495">
        <v>0</v>
      </c>
      <c r="AB739" s="495">
        <v>0</v>
      </c>
      <c r="AC739" s="495">
        <v>0</v>
      </c>
      <c r="AD739" s="495">
        <v>0</v>
      </c>
      <c r="AE739" s="495">
        <v>0</v>
      </c>
      <c r="AH739" s="495">
        <v>0</v>
      </c>
      <c r="AI739" s="495">
        <v>0</v>
      </c>
      <c r="AJ739" s="495">
        <v>0</v>
      </c>
      <c r="AK739" s="495">
        <v>0</v>
      </c>
      <c r="AL739" s="495">
        <v>0</v>
      </c>
      <c r="AO739" s="495">
        <v>-361230.47417940223</v>
      </c>
      <c r="AP739" s="495">
        <v>-315359.75392940221</v>
      </c>
      <c r="AQ739" s="495">
        <v>-47070.320621901948</v>
      </c>
      <c r="AR739" s="495">
        <v>0</v>
      </c>
      <c r="AS739" s="495">
        <v>0</v>
      </c>
    </row>
    <row r="740" spans="1:45">
      <c r="A740" s="390">
        <v>98013</v>
      </c>
      <c r="B740" s="393">
        <v>98013</v>
      </c>
      <c r="C740" s="499" t="s">
        <v>1444</v>
      </c>
      <c r="D740" s="378">
        <v>1.0758592082679035E-4</v>
      </c>
      <c r="F740" s="495">
        <v>58189.977432552943</v>
      </c>
      <c r="G740" s="495">
        <v>132172.09690255293</v>
      </c>
      <c r="H740" s="495">
        <v>13960.523130052919</v>
      </c>
      <c r="I740" s="495">
        <v>-11147.4791</v>
      </c>
      <c r="J740" s="495">
        <v>0</v>
      </c>
      <c r="M740" s="495">
        <v>49441.430970000001</v>
      </c>
      <c r="N740" s="495">
        <v>50295.859479999999</v>
      </c>
      <c r="O740" s="495">
        <v>26487.283810000001</v>
      </c>
      <c r="P740" s="495">
        <v>0</v>
      </c>
      <c r="Q740" s="495">
        <v>0</v>
      </c>
      <c r="T740" s="495">
        <v>20348.371480000002</v>
      </c>
      <c r="U740" s="495">
        <v>92471.152090000003</v>
      </c>
      <c r="V740" s="495">
        <v>-3084.2470400000002</v>
      </c>
      <c r="W740" s="495">
        <v>-11147.4791</v>
      </c>
      <c r="X740" s="495">
        <v>0</v>
      </c>
      <c r="AA740" s="495">
        <v>0</v>
      </c>
      <c r="AB740" s="495">
        <v>0</v>
      </c>
      <c r="AC740" s="495">
        <v>0</v>
      </c>
      <c r="AD740" s="495">
        <v>0</v>
      </c>
      <c r="AE740" s="495">
        <v>0</v>
      </c>
      <c r="AH740" s="495">
        <v>3291.3909674999959</v>
      </c>
      <c r="AI740" s="495">
        <v>1625.218467499999</v>
      </c>
      <c r="AJ740" s="495">
        <v>0</v>
      </c>
      <c r="AK740" s="495">
        <v>0</v>
      </c>
      <c r="AL740" s="495">
        <v>0</v>
      </c>
      <c r="AO740" s="495">
        <v>-14891.215984947063</v>
      </c>
      <c r="AP740" s="495">
        <v>-12220.133134947071</v>
      </c>
      <c r="AQ740" s="495">
        <v>-9442.5136399470794</v>
      </c>
      <c r="AR740" s="495">
        <v>0</v>
      </c>
      <c r="AS740" s="495">
        <v>0</v>
      </c>
    </row>
    <row r="741" spans="1:45">
      <c r="A741" s="390">
        <v>98021</v>
      </c>
      <c r="B741" s="393">
        <v>98021</v>
      </c>
      <c r="C741" s="499" t="s">
        <v>1445</v>
      </c>
      <c r="D741" s="378">
        <v>4.4056551781027214E-5</v>
      </c>
      <c r="F741" s="495">
        <v>32486.078430970119</v>
      </c>
      <c r="G741" s="495">
        <v>52010.485805970115</v>
      </c>
      <c r="H741" s="495">
        <v>9444.8241784701167</v>
      </c>
      <c r="I741" s="495">
        <v>-4564.9014999999999</v>
      </c>
      <c r="J741" s="495">
        <v>0</v>
      </c>
      <c r="M741" s="495">
        <v>20246.305049999999</v>
      </c>
      <c r="N741" s="495">
        <v>20596.194200000002</v>
      </c>
      <c r="O741" s="495">
        <v>10846.56365</v>
      </c>
      <c r="P741" s="495">
        <v>0</v>
      </c>
      <c r="Q741" s="495">
        <v>0</v>
      </c>
      <c r="T741" s="495">
        <v>8332.6741999999995</v>
      </c>
      <c r="U741" s="495">
        <v>37867.009850000002</v>
      </c>
      <c r="V741" s="495">
        <v>-1263.0016000000001</v>
      </c>
      <c r="W741" s="495">
        <v>-4564.9014999999999</v>
      </c>
      <c r="X741" s="495">
        <v>0</v>
      </c>
      <c r="AA741" s="495">
        <v>0</v>
      </c>
      <c r="AB741" s="495">
        <v>0</v>
      </c>
      <c r="AC741" s="495">
        <v>0</v>
      </c>
      <c r="AD741" s="495">
        <v>0</v>
      </c>
      <c r="AE741" s="495">
        <v>0</v>
      </c>
      <c r="AH741" s="495">
        <v>11974.405907500002</v>
      </c>
      <c r="AI741" s="495">
        <v>1614.5884824999994</v>
      </c>
      <c r="AJ741" s="495">
        <v>0</v>
      </c>
      <c r="AK741" s="495">
        <v>0</v>
      </c>
      <c r="AL741" s="495">
        <v>0</v>
      </c>
      <c r="AO741" s="495">
        <v>-8067.3067265298814</v>
      </c>
      <c r="AP741" s="495">
        <v>-8067.3067265298814</v>
      </c>
      <c r="AQ741" s="495">
        <v>-138.73787152988416</v>
      </c>
      <c r="AR741" s="495">
        <v>0</v>
      </c>
      <c r="AS741" s="495">
        <v>0</v>
      </c>
    </row>
    <row r="742" spans="1:45">
      <c r="A742" s="390">
        <v>98023</v>
      </c>
      <c r="B742" s="393">
        <v>98023</v>
      </c>
      <c r="C742" s="499" t="s">
        <v>1446</v>
      </c>
      <c r="D742" s="378">
        <v>5.8108681250775315E-6</v>
      </c>
      <c r="F742" s="495">
        <v>2090.3040725865258</v>
      </c>
      <c r="G742" s="495">
        <v>6238.2141825865247</v>
      </c>
      <c r="H742" s="495">
        <v>513.8925300865244</v>
      </c>
      <c r="I742" s="495">
        <v>-602.09030000000007</v>
      </c>
      <c r="J742" s="495">
        <v>0</v>
      </c>
      <c r="M742" s="495">
        <v>2670.3980100000003</v>
      </c>
      <c r="N742" s="495">
        <v>2716.54684</v>
      </c>
      <c r="O742" s="495">
        <v>1430.61373</v>
      </c>
      <c r="P742" s="495">
        <v>0</v>
      </c>
      <c r="Q742" s="495">
        <v>0</v>
      </c>
      <c r="T742" s="495">
        <v>1099.0428400000001</v>
      </c>
      <c r="U742" s="495">
        <v>4994.4909699999998</v>
      </c>
      <c r="V742" s="495">
        <v>-166.58432000000002</v>
      </c>
      <c r="W742" s="495">
        <v>-602.09030000000007</v>
      </c>
      <c r="X742" s="495">
        <v>0</v>
      </c>
      <c r="AA742" s="495">
        <v>0</v>
      </c>
      <c r="AB742" s="495">
        <v>0</v>
      </c>
      <c r="AC742" s="495">
        <v>0</v>
      </c>
      <c r="AD742" s="495">
        <v>0</v>
      </c>
      <c r="AE742" s="495">
        <v>0</v>
      </c>
      <c r="AH742" s="495">
        <v>113.66310000000067</v>
      </c>
      <c r="AI742" s="495">
        <v>0</v>
      </c>
      <c r="AJ742" s="495">
        <v>0</v>
      </c>
      <c r="AK742" s="495">
        <v>0</v>
      </c>
      <c r="AL742" s="495">
        <v>0</v>
      </c>
      <c r="AO742" s="495">
        <v>-1792.7998774134755</v>
      </c>
      <c r="AP742" s="495">
        <v>-1472.8236274134754</v>
      </c>
      <c r="AQ742" s="495">
        <v>-750.1368799134757</v>
      </c>
      <c r="AR742" s="495">
        <v>0</v>
      </c>
      <c r="AS742" s="495">
        <v>0</v>
      </c>
    </row>
    <row r="743" spans="1:45">
      <c r="A743" s="390">
        <v>98031</v>
      </c>
      <c r="B743" s="393">
        <v>98031</v>
      </c>
      <c r="C743" s="499" t="s">
        <v>1447</v>
      </c>
      <c r="D743" s="378">
        <v>2.2047265655628239E-4</v>
      </c>
      <c r="F743" s="495">
        <v>181865.07554947911</v>
      </c>
      <c r="G743" s="495">
        <v>333933.77841447911</v>
      </c>
      <c r="H743" s="495">
        <v>65159.385529479056</v>
      </c>
      <c r="I743" s="495">
        <v>-22844.197199999999</v>
      </c>
      <c r="J743" s="495">
        <v>0</v>
      </c>
      <c r="M743" s="495">
        <v>101318.85324</v>
      </c>
      <c r="N743" s="495">
        <v>103069.80816</v>
      </c>
      <c r="O743" s="495">
        <v>54279.60252</v>
      </c>
      <c r="P743" s="495">
        <v>0</v>
      </c>
      <c r="Q743" s="495">
        <v>0</v>
      </c>
      <c r="T743" s="495">
        <v>41699.312160000001</v>
      </c>
      <c r="U743" s="495">
        <v>189498.38027999998</v>
      </c>
      <c r="V743" s="495">
        <v>-6320.45568</v>
      </c>
      <c r="W743" s="495">
        <v>-22844.197199999999</v>
      </c>
      <c r="X743" s="495">
        <v>0</v>
      </c>
      <c r="AA743" s="495">
        <v>0</v>
      </c>
      <c r="AB743" s="495">
        <v>0</v>
      </c>
      <c r="AC743" s="495">
        <v>0</v>
      </c>
      <c r="AD743" s="495">
        <v>0</v>
      </c>
      <c r="AE743" s="495">
        <v>0</v>
      </c>
      <c r="AH743" s="495">
        <v>47177.566069479093</v>
      </c>
      <c r="AI743" s="495">
        <v>47177.566069479093</v>
      </c>
      <c r="AJ743" s="495">
        <v>17200.238689479054</v>
      </c>
      <c r="AK743" s="495">
        <v>0</v>
      </c>
      <c r="AL743" s="495">
        <v>0</v>
      </c>
      <c r="AO743" s="495">
        <v>-8330.6559200000047</v>
      </c>
      <c r="AP743" s="495">
        <v>-5811.9760949999982</v>
      </c>
      <c r="AQ743" s="495">
        <v>0</v>
      </c>
      <c r="AR743" s="495">
        <v>0</v>
      </c>
      <c r="AS743" s="495">
        <v>0</v>
      </c>
    </row>
    <row r="744" spans="1:45">
      <c r="A744" s="390">
        <v>98041</v>
      </c>
      <c r="B744" s="393">
        <v>98041</v>
      </c>
      <c r="C744" s="499" t="s">
        <v>1448</v>
      </c>
      <c r="D744" s="378">
        <v>2.3673501665632578E-4</v>
      </c>
      <c r="F744" s="495">
        <v>149651.14110163174</v>
      </c>
      <c r="G744" s="495">
        <v>325361.33710163168</v>
      </c>
      <c r="H744" s="495">
        <v>71865.795821631735</v>
      </c>
      <c r="I744" s="495">
        <v>-24529.221000000001</v>
      </c>
      <c r="J744" s="495">
        <v>0</v>
      </c>
      <c r="M744" s="495">
        <v>108792.2907</v>
      </c>
      <c r="N744" s="495">
        <v>110672.39880000001</v>
      </c>
      <c r="O744" s="495">
        <v>58283.3511</v>
      </c>
      <c r="P744" s="495">
        <v>0</v>
      </c>
      <c r="Q744" s="495">
        <v>0</v>
      </c>
      <c r="T744" s="495">
        <v>44775.118800000004</v>
      </c>
      <c r="U744" s="495">
        <v>203476.0779</v>
      </c>
      <c r="V744" s="495">
        <v>-6786.6624000000002</v>
      </c>
      <c r="W744" s="495">
        <v>-24529.221000000001</v>
      </c>
      <c r="X744" s="495">
        <v>0</v>
      </c>
      <c r="AA744" s="495">
        <v>0</v>
      </c>
      <c r="AB744" s="495">
        <v>0</v>
      </c>
      <c r="AC744" s="495">
        <v>0</v>
      </c>
      <c r="AD744" s="495">
        <v>0</v>
      </c>
      <c r="AE744" s="495">
        <v>0</v>
      </c>
      <c r="AH744" s="495">
        <v>20369.107121631736</v>
      </c>
      <c r="AI744" s="495">
        <v>20369.107121631736</v>
      </c>
      <c r="AJ744" s="495">
        <v>20369.107121631736</v>
      </c>
      <c r="AK744" s="495">
        <v>0</v>
      </c>
      <c r="AL744" s="495">
        <v>0</v>
      </c>
      <c r="AO744" s="495">
        <v>-24285.375520000016</v>
      </c>
      <c r="AP744" s="495">
        <v>-9156.2467200000319</v>
      </c>
      <c r="AQ744" s="495">
        <v>0</v>
      </c>
      <c r="AR744" s="495">
        <v>0</v>
      </c>
      <c r="AS744" s="495">
        <v>0</v>
      </c>
    </row>
    <row r="745" spans="1:45">
      <c r="A745" s="390">
        <v>98051</v>
      </c>
      <c r="B745" s="393">
        <v>98051</v>
      </c>
      <c r="C745" s="499" t="s">
        <v>1449</v>
      </c>
      <c r="D745" s="378">
        <v>3.7363534887605026E-4</v>
      </c>
      <c r="F745" s="495">
        <v>294921.24558252987</v>
      </c>
      <c r="G745" s="495">
        <v>508780.19228752988</v>
      </c>
      <c r="H745" s="495">
        <v>109296.85313502987</v>
      </c>
      <c r="I745" s="495">
        <v>-38714.095399999998</v>
      </c>
      <c r="J745" s="495">
        <v>0</v>
      </c>
      <c r="M745" s="495">
        <v>171705.21317999999</v>
      </c>
      <c r="N745" s="495">
        <v>174672.55911999999</v>
      </c>
      <c r="O745" s="495">
        <v>91987.724139999991</v>
      </c>
      <c r="P745" s="495">
        <v>0</v>
      </c>
      <c r="Q745" s="495">
        <v>0</v>
      </c>
      <c r="T745" s="495">
        <v>70667.887119999999</v>
      </c>
      <c r="U745" s="495">
        <v>321143.19046000001</v>
      </c>
      <c r="V745" s="495">
        <v>-10711.285759999999</v>
      </c>
      <c r="W745" s="495">
        <v>-38714.095399999998</v>
      </c>
      <c r="X745" s="495">
        <v>0</v>
      </c>
      <c r="AA745" s="495">
        <v>0</v>
      </c>
      <c r="AB745" s="495">
        <v>0</v>
      </c>
      <c r="AC745" s="495">
        <v>0</v>
      </c>
      <c r="AD745" s="495">
        <v>0</v>
      </c>
      <c r="AE745" s="495">
        <v>0</v>
      </c>
      <c r="AH745" s="495">
        <v>78827.820455029869</v>
      </c>
      <c r="AI745" s="495">
        <v>28020.41475502988</v>
      </c>
      <c r="AJ745" s="495">
        <v>28020.41475502988</v>
      </c>
      <c r="AK745" s="495">
        <v>0</v>
      </c>
      <c r="AL745" s="495">
        <v>0</v>
      </c>
      <c r="AO745" s="495">
        <v>-26279.675172499996</v>
      </c>
      <c r="AP745" s="495">
        <v>-15055.972047499996</v>
      </c>
      <c r="AQ745" s="495">
        <v>0</v>
      </c>
      <c r="AR745" s="495">
        <v>0</v>
      </c>
      <c r="AS745" s="495">
        <v>0</v>
      </c>
    </row>
    <row r="746" spans="1:45">
      <c r="A746" s="390">
        <v>98061</v>
      </c>
      <c r="B746" s="393">
        <v>98061</v>
      </c>
      <c r="C746" s="499" t="s">
        <v>1450</v>
      </c>
      <c r="D746" s="378">
        <v>1.1920765707694541E-4</v>
      </c>
      <c r="F746" s="495">
        <v>68647.000615225945</v>
      </c>
      <c r="G746" s="495">
        <v>145263.27158022593</v>
      </c>
      <c r="H746" s="495">
        <v>15831.038170225922</v>
      </c>
      <c r="I746" s="495">
        <v>-12351.6597</v>
      </c>
      <c r="J746" s="495">
        <v>0</v>
      </c>
      <c r="M746" s="495">
        <v>54782.226990000003</v>
      </c>
      <c r="N746" s="495">
        <v>55728.953160000005</v>
      </c>
      <c r="O746" s="495">
        <v>29348.511269999999</v>
      </c>
      <c r="P746" s="495">
        <v>0</v>
      </c>
      <c r="Q746" s="495">
        <v>0</v>
      </c>
      <c r="T746" s="495">
        <v>22546.457160000002</v>
      </c>
      <c r="U746" s="495">
        <v>102460.13403</v>
      </c>
      <c r="V746" s="495">
        <v>-3417.4156800000001</v>
      </c>
      <c r="W746" s="495">
        <v>-12351.6597</v>
      </c>
      <c r="X746" s="495">
        <v>0</v>
      </c>
      <c r="AA746" s="495">
        <v>0</v>
      </c>
      <c r="AB746" s="495">
        <v>0</v>
      </c>
      <c r="AC746" s="495">
        <v>0</v>
      </c>
      <c r="AD746" s="495">
        <v>0</v>
      </c>
      <c r="AE746" s="495">
        <v>0</v>
      </c>
      <c r="AH746" s="495">
        <v>4773.8502000000008</v>
      </c>
      <c r="AI746" s="495">
        <v>0</v>
      </c>
      <c r="AJ746" s="495">
        <v>0</v>
      </c>
      <c r="AK746" s="495">
        <v>0</v>
      </c>
      <c r="AL746" s="495">
        <v>0</v>
      </c>
      <c r="AO746" s="495">
        <v>-13455.533734774055</v>
      </c>
      <c r="AP746" s="495">
        <v>-12925.815609774059</v>
      </c>
      <c r="AQ746" s="495">
        <v>-10100.057419774075</v>
      </c>
      <c r="AR746" s="495">
        <v>0</v>
      </c>
      <c r="AS746" s="495">
        <v>0</v>
      </c>
    </row>
    <row r="747" spans="1:45">
      <c r="A747" s="390">
        <v>98071</v>
      </c>
      <c r="B747" s="393">
        <v>98071</v>
      </c>
      <c r="C747" s="499" t="s">
        <v>1451</v>
      </c>
      <c r="D747" s="378">
        <v>9.5104007559958427E-5</v>
      </c>
      <c r="F747" s="495">
        <v>84117.002357745703</v>
      </c>
      <c r="G747" s="495">
        <v>148411.33594774568</v>
      </c>
      <c r="H747" s="495">
        <v>38882.841310245713</v>
      </c>
      <c r="I747" s="495">
        <v>-9854.1767</v>
      </c>
      <c r="J747" s="495">
        <v>0</v>
      </c>
      <c r="M747" s="495">
        <v>43705.360889999996</v>
      </c>
      <c r="N747" s="495">
        <v>44460.660759999999</v>
      </c>
      <c r="O747" s="495">
        <v>23414.295969999999</v>
      </c>
      <c r="P747" s="495">
        <v>0</v>
      </c>
      <c r="Q747" s="495">
        <v>0</v>
      </c>
      <c r="T747" s="495">
        <v>17987.604759999998</v>
      </c>
      <c r="U747" s="495">
        <v>81742.882329999993</v>
      </c>
      <c r="V747" s="495">
        <v>-2726.4204799999998</v>
      </c>
      <c r="W747" s="495">
        <v>-9854.1767</v>
      </c>
      <c r="X747" s="495">
        <v>0</v>
      </c>
      <c r="AA747" s="495">
        <v>0</v>
      </c>
      <c r="AB747" s="495">
        <v>0</v>
      </c>
      <c r="AC747" s="495">
        <v>0</v>
      </c>
      <c r="AD747" s="495">
        <v>0</v>
      </c>
      <c r="AE747" s="495">
        <v>0</v>
      </c>
      <c r="AH747" s="495">
        <v>22878.689107745704</v>
      </c>
      <c r="AI747" s="495">
        <v>22207.792857745702</v>
      </c>
      <c r="AJ747" s="495">
        <v>18194.96582024571</v>
      </c>
      <c r="AK747" s="495">
        <v>0</v>
      </c>
      <c r="AL747" s="495">
        <v>0</v>
      </c>
      <c r="AO747" s="495">
        <v>-454.65240000000631</v>
      </c>
      <c r="AP747" s="495">
        <v>0</v>
      </c>
      <c r="AQ747" s="495">
        <v>0</v>
      </c>
      <c r="AR747" s="495">
        <v>0</v>
      </c>
      <c r="AS747" s="495">
        <v>0</v>
      </c>
    </row>
    <row r="748" spans="1:45">
      <c r="A748" s="390">
        <v>98081</v>
      </c>
      <c r="B748" s="393">
        <v>98081</v>
      </c>
      <c r="C748" s="499" t="s">
        <v>1452</v>
      </c>
      <c r="D748" s="378">
        <v>8.5712085135373095E-6</v>
      </c>
      <c r="F748" s="495">
        <v>4574.6038235054175</v>
      </c>
      <c r="G748" s="495">
        <v>10670.896018505418</v>
      </c>
      <c r="H748" s="495">
        <v>5519.2843610054206</v>
      </c>
      <c r="I748" s="495">
        <v>-888.1090999999999</v>
      </c>
      <c r="J748" s="495">
        <v>0</v>
      </c>
      <c r="M748" s="495">
        <v>3938.9519699999996</v>
      </c>
      <c r="N748" s="495">
        <v>4007.0234799999998</v>
      </c>
      <c r="O748" s="495">
        <v>2110.2168099999999</v>
      </c>
      <c r="P748" s="495">
        <v>0</v>
      </c>
      <c r="Q748" s="495">
        <v>0</v>
      </c>
      <c r="T748" s="495">
        <v>1621.1354799999999</v>
      </c>
      <c r="U748" s="495">
        <v>7367.0890899999995</v>
      </c>
      <c r="V748" s="495">
        <v>-245.71903999999998</v>
      </c>
      <c r="W748" s="495">
        <v>-888.1090999999999</v>
      </c>
      <c r="X748" s="495">
        <v>0</v>
      </c>
      <c r="AA748" s="495">
        <v>0</v>
      </c>
      <c r="AB748" s="495">
        <v>0</v>
      </c>
      <c r="AC748" s="495">
        <v>0</v>
      </c>
      <c r="AD748" s="495">
        <v>0</v>
      </c>
      <c r="AE748" s="495">
        <v>0</v>
      </c>
      <c r="AH748" s="495">
        <v>4968.9366385054209</v>
      </c>
      <c r="AI748" s="495">
        <v>4739.7197635054208</v>
      </c>
      <c r="AJ748" s="495">
        <v>3654.7865910054211</v>
      </c>
      <c r="AK748" s="495">
        <v>0</v>
      </c>
      <c r="AL748" s="495">
        <v>0</v>
      </c>
      <c r="AO748" s="495">
        <v>-5954.4202650000016</v>
      </c>
      <c r="AP748" s="495">
        <v>-5442.9363150000008</v>
      </c>
      <c r="AQ748" s="495">
        <v>0</v>
      </c>
      <c r="AR748" s="495">
        <v>0</v>
      </c>
      <c r="AS748" s="495">
        <v>0</v>
      </c>
    </row>
    <row r="749" spans="1:45">
      <c r="A749" s="390">
        <v>98091</v>
      </c>
      <c r="B749" s="393">
        <v>98091</v>
      </c>
      <c r="C749" s="499" t="s">
        <v>1453</v>
      </c>
      <c r="D749" s="378">
        <v>6.7259967745548669E-5</v>
      </c>
      <c r="F749" s="495">
        <v>55728.267953368115</v>
      </c>
      <c r="G749" s="495">
        <v>95636.569953368089</v>
      </c>
      <c r="H749" s="495">
        <v>11261.492698368116</v>
      </c>
      <c r="I749" s="495">
        <v>-6969.1174999999994</v>
      </c>
      <c r="J749" s="495">
        <v>0</v>
      </c>
      <c r="M749" s="495">
        <v>30909.512249999996</v>
      </c>
      <c r="N749" s="495">
        <v>31443.678999999996</v>
      </c>
      <c r="O749" s="495">
        <v>16559.169249999999</v>
      </c>
      <c r="P749" s="495">
        <v>0</v>
      </c>
      <c r="Q749" s="495">
        <v>0</v>
      </c>
      <c r="T749" s="495">
        <v>12721.278999999999</v>
      </c>
      <c r="U749" s="495">
        <v>57810.588249999993</v>
      </c>
      <c r="V749" s="495">
        <v>-1928.1919999999998</v>
      </c>
      <c r="W749" s="495">
        <v>-6969.1174999999994</v>
      </c>
      <c r="X749" s="495">
        <v>0</v>
      </c>
      <c r="AA749" s="495">
        <v>0</v>
      </c>
      <c r="AB749" s="495">
        <v>0</v>
      </c>
      <c r="AC749" s="495">
        <v>0</v>
      </c>
      <c r="AD749" s="495">
        <v>0</v>
      </c>
      <c r="AE749" s="495">
        <v>0</v>
      </c>
      <c r="AH749" s="495">
        <v>15466.961254999998</v>
      </c>
      <c r="AI749" s="495">
        <v>9751.7872549999956</v>
      </c>
      <c r="AJ749" s="495">
        <v>0</v>
      </c>
      <c r="AK749" s="495">
        <v>0</v>
      </c>
      <c r="AL749" s="495">
        <v>0</v>
      </c>
      <c r="AO749" s="495">
        <v>-3369.4845516318837</v>
      </c>
      <c r="AP749" s="495">
        <v>-3369.4845516318837</v>
      </c>
      <c r="AQ749" s="495">
        <v>-3369.4845516318837</v>
      </c>
      <c r="AR749" s="495">
        <v>0</v>
      </c>
      <c r="AS749" s="495">
        <v>0</v>
      </c>
    </row>
    <row r="750" spans="1:45">
      <c r="A750" s="390">
        <v>98101</v>
      </c>
      <c r="B750" s="393">
        <v>98101</v>
      </c>
      <c r="C750" s="499" t="s">
        <v>1454</v>
      </c>
      <c r="D750" s="378">
        <v>2.5537379750292543E-3</v>
      </c>
      <c r="F750" s="495">
        <v>1442455.1664365151</v>
      </c>
      <c r="G750" s="495">
        <v>3221298.2181715155</v>
      </c>
      <c r="H750" s="495">
        <v>438228.06740401534</v>
      </c>
      <c r="I750" s="495">
        <v>-264604.69680000003</v>
      </c>
      <c r="J750" s="495">
        <v>0</v>
      </c>
      <c r="M750" s="495">
        <v>1173577.87656</v>
      </c>
      <c r="N750" s="495">
        <v>1193859.2150400002</v>
      </c>
      <c r="O750" s="495">
        <v>628721.49288000003</v>
      </c>
      <c r="P750" s="495">
        <v>0</v>
      </c>
      <c r="Q750" s="495">
        <v>0</v>
      </c>
      <c r="T750" s="495">
        <v>483003.79104000004</v>
      </c>
      <c r="U750" s="495">
        <v>2194962.7303200001</v>
      </c>
      <c r="V750" s="495">
        <v>-73209.937920000011</v>
      </c>
      <c r="W750" s="495">
        <v>-264604.69680000003</v>
      </c>
      <c r="X750" s="495">
        <v>0</v>
      </c>
      <c r="AA750" s="495">
        <v>0</v>
      </c>
      <c r="AB750" s="495">
        <v>0</v>
      </c>
      <c r="AC750" s="495">
        <v>0</v>
      </c>
      <c r="AD750" s="495">
        <v>0</v>
      </c>
      <c r="AE750" s="495">
        <v>0</v>
      </c>
      <c r="AH750" s="495">
        <v>0</v>
      </c>
      <c r="AI750" s="495">
        <v>0</v>
      </c>
      <c r="AJ750" s="495">
        <v>0</v>
      </c>
      <c r="AK750" s="495">
        <v>0</v>
      </c>
      <c r="AL750" s="495">
        <v>0</v>
      </c>
      <c r="AO750" s="495">
        <v>-214126.50116348497</v>
      </c>
      <c r="AP750" s="495">
        <v>-167523.72718848483</v>
      </c>
      <c r="AQ750" s="495">
        <v>-117283.48755598467</v>
      </c>
      <c r="AR750" s="495">
        <v>0</v>
      </c>
      <c r="AS750" s="495">
        <v>0</v>
      </c>
    </row>
    <row r="751" spans="1:45">
      <c r="A751" s="390">
        <v>98102</v>
      </c>
      <c r="B751" s="393">
        <v>98102</v>
      </c>
      <c r="C751" s="499" t="s">
        <v>1455</v>
      </c>
      <c r="D751" s="378">
        <v>1.9126832645799714E-4</v>
      </c>
      <c r="F751" s="495">
        <v>157477.01332236599</v>
      </c>
      <c r="G751" s="495">
        <v>269594.42793736601</v>
      </c>
      <c r="H751" s="495">
        <v>53481.178802366005</v>
      </c>
      <c r="I751" s="495">
        <v>-19818.2012</v>
      </c>
      <c r="J751" s="495">
        <v>0</v>
      </c>
      <c r="M751" s="495">
        <v>87897.920039999997</v>
      </c>
      <c r="N751" s="495">
        <v>89416.939359999989</v>
      </c>
      <c r="O751" s="495">
        <v>47089.598919999997</v>
      </c>
      <c r="P751" s="495">
        <v>0</v>
      </c>
      <c r="Q751" s="495">
        <v>0</v>
      </c>
      <c r="T751" s="495">
        <v>36175.723359999996</v>
      </c>
      <c r="U751" s="495">
        <v>164396.97988</v>
      </c>
      <c r="V751" s="495">
        <v>-5483.2332799999995</v>
      </c>
      <c r="W751" s="495">
        <v>-19818.2012</v>
      </c>
      <c r="X751" s="495">
        <v>0</v>
      </c>
      <c r="AA751" s="495">
        <v>0</v>
      </c>
      <c r="AB751" s="495">
        <v>0</v>
      </c>
      <c r="AC751" s="495">
        <v>0</v>
      </c>
      <c r="AD751" s="495">
        <v>0</v>
      </c>
      <c r="AE751" s="495">
        <v>0</v>
      </c>
      <c r="AH751" s="495">
        <v>33523.159442365999</v>
      </c>
      <c r="AI751" s="495">
        <v>15900.298217366002</v>
      </c>
      <c r="AJ751" s="495">
        <v>11874.813162366005</v>
      </c>
      <c r="AK751" s="495">
        <v>0</v>
      </c>
      <c r="AL751" s="495">
        <v>0</v>
      </c>
      <c r="AO751" s="495">
        <v>-119.78951999999049</v>
      </c>
      <c r="AP751" s="495">
        <v>-119.78951999999049</v>
      </c>
      <c r="AQ751" s="495">
        <v>0</v>
      </c>
      <c r="AR751" s="495">
        <v>0</v>
      </c>
      <c r="AS751" s="495">
        <v>0</v>
      </c>
    </row>
    <row r="752" spans="1:45">
      <c r="A752" s="390">
        <v>98103</v>
      </c>
      <c r="B752" s="393">
        <v>98103</v>
      </c>
      <c r="C752" s="499" t="s">
        <v>3725</v>
      </c>
      <c r="D752" s="378">
        <v>4.3748472513550294E-4</v>
      </c>
      <c r="F752" s="495">
        <v>211270.07457769738</v>
      </c>
      <c r="G752" s="495">
        <v>511602.12374769739</v>
      </c>
      <c r="H752" s="495">
        <v>50980.542210197382</v>
      </c>
      <c r="I752" s="495">
        <v>-45329.834600000002</v>
      </c>
      <c r="J752" s="495">
        <v>0</v>
      </c>
      <c r="M752" s="495">
        <v>201047.41782</v>
      </c>
      <c r="N752" s="495">
        <v>204521.84487999999</v>
      </c>
      <c r="O752" s="495">
        <v>107707.23886</v>
      </c>
      <c r="P752" s="495">
        <v>0</v>
      </c>
      <c r="Q752" s="495">
        <v>0</v>
      </c>
      <c r="T752" s="495">
        <v>82744.116880000001</v>
      </c>
      <c r="U752" s="495">
        <v>376022.41654000001</v>
      </c>
      <c r="V752" s="495">
        <v>-12541.70624</v>
      </c>
      <c r="W752" s="495">
        <v>-45329.834600000002</v>
      </c>
      <c r="X752" s="495">
        <v>0</v>
      </c>
      <c r="AA752" s="495">
        <v>0</v>
      </c>
      <c r="AB752" s="495">
        <v>0</v>
      </c>
      <c r="AC752" s="495">
        <v>0</v>
      </c>
      <c r="AD752" s="495">
        <v>0</v>
      </c>
      <c r="AE752" s="495">
        <v>0</v>
      </c>
      <c r="AH752" s="495">
        <v>0</v>
      </c>
      <c r="AI752" s="495">
        <v>0</v>
      </c>
      <c r="AJ752" s="495">
        <v>0</v>
      </c>
      <c r="AK752" s="495">
        <v>0</v>
      </c>
      <c r="AL752" s="495">
        <v>0</v>
      </c>
      <c r="AO752" s="495">
        <v>-72521.460122302626</v>
      </c>
      <c r="AP752" s="495">
        <v>-68942.13767230259</v>
      </c>
      <c r="AQ752" s="495">
        <v>-44184.990409802616</v>
      </c>
      <c r="AR752" s="495">
        <v>0</v>
      </c>
      <c r="AS752" s="495">
        <v>0</v>
      </c>
    </row>
    <row r="753" spans="1:45">
      <c r="A753" s="390">
        <v>98107</v>
      </c>
      <c r="B753" s="393">
        <v>98107</v>
      </c>
      <c r="C753" s="499" t="s">
        <v>1457</v>
      </c>
      <c r="D753" s="378">
        <v>2.3433518508996411E-5</v>
      </c>
      <c r="F753" s="495">
        <v>19252.639384974573</v>
      </c>
      <c r="G753" s="495">
        <v>36682.522814974574</v>
      </c>
      <c r="H753" s="495">
        <v>8627.9589374745701</v>
      </c>
      <c r="I753" s="495">
        <v>-2428.0509000000002</v>
      </c>
      <c r="J753" s="495">
        <v>0</v>
      </c>
      <c r="M753" s="495">
        <v>10768.920030000001</v>
      </c>
      <c r="N753" s="495">
        <v>10955.024520000001</v>
      </c>
      <c r="O753" s="495">
        <v>5769.2391900000002</v>
      </c>
      <c r="P753" s="495">
        <v>0</v>
      </c>
      <c r="Q753" s="495">
        <v>0</v>
      </c>
      <c r="T753" s="495">
        <v>4432.1125200000006</v>
      </c>
      <c r="U753" s="495">
        <v>20141.294910000001</v>
      </c>
      <c r="V753" s="495">
        <v>-671.78496000000007</v>
      </c>
      <c r="W753" s="495">
        <v>-2428.0509000000002</v>
      </c>
      <c r="X753" s="495">
        <v>0</v>
      </c>
      <c r="AA753" s="495">
        <v>0</v>
      </c>
      <c r="AB753" s="495">
        <v>0</v>
      </c>
      <c r="AC753" s="495">
        <v>0</v>
      </c>
      <c r="AD753" s="495">
        <v>0</v>
      </c>
      <c r="AE753" s="495">
        <v>0</v>
      </c>
      <c r="AH753" s="495">
        <v>6950.0158849745721</v>
      </c>
      <c r="AI753" s="495">
        <v>5586.2033849745712</v>
      </c>
      <c r="AJ753" s="495">
        <v>3530.5047074745689</v>
      </c>
      <c r="AK753" s="495">
        <v>0</v>
      </c>
      <c r="AL753" s="495">
        <v>0</v>
      </c>
      <c r="AO753" s="495">
        <v>-2898.4090500000011</v>
      </c>
      <c r="AP753" s="495">
        <v>0</v>
      </c>
      <c r="AQ753" s="495">
        <v>0</v>
      </c>
      <c r="AR753" s="495">
        <v>0</v>
      </c>
      <c r="AS753" s="495">
        <v>0</v>
      </c>
    </row>
    <row r="754" spans="1:45">
      <c r="A754" s="390">
        <v>98109</v>
      </c>
      <c r="B754" s="393">
        <v>98109</v>
      </c>
      <c r="C754" s="499" t="s">
        <v>1458</v>
      </c>
      <c r="D754" s="378">
        <v>1.4548148068843899E-4</v>
      </c>
      <c r="F754" s="495">
        <v>86919.135987015645</v>
      </c>
      <c r="G754" s="495">
        <v>191690.27959701567</v>
      </c>
      <c r="H754" s="495">
        <v>35224.026339515636</v>
      </c>
      <c r="I754" s="495">
        <v>-15074.0198</v>
      </c>
      <c r="J754" s="495">
        <v>0</v>
      </c>
      <c r="M754" s="495">
        <v>66856.470660000006</v>
      </c>
      <c r="N754" s="495">
        <v>68011.85944</v>
      </c>
      <c r="O754" s="495">
        <v>35817.052179999999</v>
      </c>
      <c r="P754" s="495">
        <v>0</v>
      </c>
      <c r="Q754" s="495">
        <v>0</v>
      </c>
      <c r="T754" s="495">
        <v>27515.795440000002</v>
      </c>
      <c r="U754" s="495">
        <v>125042.79802</v>
      </c>
      <c r="V754" s="495">
        <v>-4170.6291200000005</v>
      </c>
      <c r="W754" s="495">
        <v>-15074.0198</v>
      </c>
      <c r="X754" s="495">
        <v>0</v>
      </c>
      <c r="AA754" s="495">
        <v>0</v>
      </c>
      <c r="AB754" s="495">
        <v>0</v>
      </c>
      <c r="AC754" s="495">
        <v>0</v>
      </c>
      <c r="AD754" s="495">
        <v>0</v>
      </c>
      <c r="AE754" s="495">
        <v>0</v>
      </c>
      <c r="AH754" s="495">
        <v>7148.1649020156456</v>
      </c>
      <c r="AI754" s="495">
        <v>7148.1649020156456</v>
      </c>
      <c r="AJ754" s="495">
        <v>3577.6032795156407</v>
      </c>
      <c r="AK754" s="495">
        <v>0</v>
      </c>
      <c r="AL754" s="495">
        <v>0</v>
      </c>
      <c r="AO754" s="495">
        <v>-14601.295015000018</v>
      </c>
      <c r="AP754" s="495">
        <v>-8512.542764999991</v>
      </c>
      <c r="AQ754" s="495">
        <v>0</v>
      </c>
      <c r="AR754" s="495">
        <v>0</v>
      </c>
      <c r="AS754" s="495">
        <v>0</v>
      </c>
    </row>
    <row r="755" spans="1:45">
      <c r="A755" s="390">
        <v>98111</v>
      </c>
      <c r="B755" s="393">
        <v>98111</v>
      </c>
      <c r="C755" s="499" t="s">
        <v>1459</v>
      </c>
      <c r="D755" s="378">
        <v>9.5741173522570326E-4</v>
      </c>
      <c r="F755" s="495">
        <v>540747.64927631686</v>
      </c>
      <c r="G755" s="495">
        <v>1200743.3335963169</v>
      </c>
      <c r="H755" s="495">
        <v>177212.17313881696</v>
      </c>
      <c r="I755" s="495">
        <v>-99201.890100000004</v>
      </c>
      <c r="J755" s="495">
        <v>0</v>
      </c>
      <c r="M755" s="495">
        <v>439981.39467000001</v>
      </c>
      <c r="N755" s="495">
        <v>447584.99027999997</v>
      </c>
      <c r="O755" s="495">
        <v>235711.46390999999</v>
      </c>
      <c r="P755" s="495">
        <v>0</v>
      </c>
      <c r="Q755" s="495">
        <v>0</v>
      </c>
      <c r="T755" s="495">
        <v>181081.02228</v>
      </c>
      <c r="U755" s="495">
        <v>822904.71098999993</v>
      </c>
      <c r="V755" s="495">
        <v>-27446.845440000001</v>
      </c>
      <c r="W755" s="495">
        <v>-99201.890100000004</v>
      </c>
      <c r="X755" s="495">
        <v>0</v>
      </c>
      <c r="AA755" s="495">
        <v>0</v>
      </c>
      <c r="AB755" s="495">
        <v>0</v>
      </c>
      <c r="AC755" s="495">
        <v>0</v>
      </c>
      <c r="AD755" s="495">
        <v>0</v>
      </c>
      <c r="AE755" s="495">
        <v>0</v>
      </c>
      <c r="AH755" s="495">
        <v>5683.1549999999115</v>
      </c>
      <c r="AI755" s="495">
        <v>0</v>
      </c>
      <c r="AJ755" s="495">
        <v>0</v>
      </c>
      <c r="AK755" s="495">
        <v>0</v>
      </c>
      <c r="AL755" s="495">
        <v>0</v>
      </c>
      <c r="AO755" s="495">
        <v>-85997.922673683002</v>
      </c>
      <c r="AP755" s="495">
        <v>-69746.367673683009</v>
      </c>
      <c r="AQ755" s="495">
        <v>-31052.445331183022</v>
      </c>
      <c r="AR755" s="495">
        <v>0</v>
      </c>
      <c r="AS755" s="495">
        <v>0</v>
      </c>
    </row>
    <row r="756" spans="1:45">
      <c r="A756" s="390">
        <v>98113</v>
      </c>
      <c r="B756" s="393">
        <v>98113</v>
      </c>
      <c r="C756" s="499" t="s">
        <v>1460</v>
      </c>
      <c r="D756" s="378">
        <v>2.1923238752223297E-5</v>
      </c>
      <c r="F756" s="495">
        <v>14063.277060558798</v>
      </c>
      <c r="G756" s="495">
        <v>30453.496480558795</v>
      </c>
      <c r="H756" s="495">
        <v>6603.3480855587923</v>
      </c>
      <c r="I756" s="495">
        <v>-2271.5695999999998</v>
      </c>
      <c r="J756" s="495">
        <v>0</v>
      </c>
      <c r="M756" s="495">
        <v>10074.892320000001</v>
      </c>
      <c r="N756" s="495">
        <v>10249.00288</v>
      </c>
      <c r="O756" s="495">
        <v>5397.4273599999997</v>
      </c>
      <c r="P756" s="495">
        <v>0</v>
      </c>
      <c r="Q756" s="495">
        <v>0</v>
      </c>
      <c r="T756" s="495">
        <v>4146.4748799999998</v>
      </c>
      <c r="U756" s="495">
        <v>18843.243040000001</v>
      </c>
      <c r="V756" s="495">
        <v>-628.49023999999997</v>
      </c>
      <c r="W756" s="495">
        <v>-2271.5695999999998</v>
      </c>
      <c r="X756" s="495">
        <v>0</v>
      </c>
      <c r="AA756" s="495">
        <v>0</v>
      </c>
      <c r="AB756" s="495">
        <v>0</v>
      </c>
      <c r="AC756" s="495">
        <v>0</v>
      </c>
      <c r="AD756" s="495">
        <v>0</v>
      </c>
      <c r="AE756" s="495">
        <v>0</v>
      </c>
      <c r="AH756" s="495">
        <v>6024.314000558792</v>
      </c>
      <c r="AI756" s="495">
        <v>3622.2777505587919</v>
      </c>
      <c r="AJ756" s="495">
        <v>1834.4109655587927</v>
      </c>
      <c r="AK756" s="495">
        <v>0</v>
      </c>
      <c r="AL756" s="495">
        <v>0</v>
      </c>
      <c r="AO756" s="495">
        <v>-6182.4041399999942</v>
      </c>
      <c r="AP756" s="495">
        <v>-2261.027189999998</v>
      </c>
      <c r="AQ756" s="495">
        <v>0</v>
      </c>
      <c r="AR756" s="495">
        <v>0</v>
      </c>
      <c r="AS756" s="495">
        <v>0</v>
      </c>
    </row>
    <row r="757" spans="1:45">
      <c r="A757" s="390">
        <v>98121</v>
      </c>
      <c r="B757" s="393">
        <v>98121</v>
      </c>
      <c r="C757" s="499" t="s">
        <v>1461</v>
      </c>
      <c r="D757" s="378">
        <v>2.1229148001529485E-4</v>
      </c>
      <c r="F757" s="495">
        <v>175271.79671034266</v>
      </c>
      <c r="G757" s="495">
        <v>315346.30142034264</v>
      </c>
      <c r="H757" s="495">
        <v>90731.458947842621</v>
      </c>
      <c r="I757" s="495">
        <v>-21996.503800000002</v>
      </c>
      <c r="J757" s="495">
        <v>0</v>
      </c>
      <c r="M757" s="495">
        <v>97559.153460000001</v>
      </c>
      <c r="N757" s="495">
        <v>99245.134640000004</v>
      </c>
      <c r="O757" s="495">
        <v>52265.416580000005</v>
      </c>
      <c r="P757" s="495">
        <v>0</v>
      </c>
      <c r="Q757" s="495">
        <v>0</v>
      </c>
      <c r="T757" s="495">
        <v>40151.950640000003</v>
      </c>
      <c r="U757" s="495">
        <v>182466.54962000001</v>
      </c>
      <c r="V757" s="495">
        <v>-6085.9187199999997</v>
      </c>
      <c r="W757" s="495">
        <v>-21996.503800000002</v>
      </c>
      <c r="X757" s="495">
        <v>0</v>
      </c>
      <c r="AA757" s="495">
        <v>0</v>
      </c>
      <c r="AB757" s="495">
        <v>0</v>
      </c>
      <c r="AC757" s="495">
        <v>0</v>
      </c>
      <c r="AD757" s="495">
        <v>0</v>
      </c>
      <c r="AE757" s="495">
        <v>0</v>
      </c>
      <c r="AH757" s="495">
        <v>62299.255605342609</v>
      </c>
      <c r="AI757" s="495">
        <v>56327.244355342613</v>
      </c>
      <c r="AJ757" s="495">
        <v>44551.96108784261</v>
      </c>
      <c r="AK757" s="495">
        <v>0</v>
      </c>
      <c r="AL757" s="495">
        <v>0</v>
      </c>
      <c r="AO757" s="495">
        <v>-24738.562994999964</v>
      </c>
      <c r="AP757" s="495">
        <v>-22692.627194999957</v>
      </c>
      <c r="AQ757" s="495">
        <v>0</v>
      </c>
      <c r="AR757" s="495">
        <v>0</v>
      </c>
      <c r="AS757" s="495">
        <v>0</v>
      </c>
    </row>
    <row r="758" spans="1:45">
      <c r="A758" s="390">
        <v>98131</v>
      </c>
      <c r="B758" s="393">
        <v>98131</v>
      </c>
      <c r="C758" s="499" t="s">
        <v>1462</v>
      </c>
      <c r="D758" s="378">
        <v>2.7824115396793387E-4</v>
      </c>
      <c r="F758" s="495">
        <v>205918.08051653544</v>
      </c>
      <c r="G758" s="495">
        <v>408247.88151653542</v>
      </c>
      <c r="H758" s="495">
        <v>55063.418236535406</v>
      </c>
      <c r="I758" s="495">
        <v>-28829.865999999998</v>
      </c>
      <c r="J758" s="495">
        <v>0</v>
      </c>
      <c r="M758" s="495">
        <v>127866.5622</v>
      </c>
      <c r="N758" s="495">
        <v>130076.3048</v>
      </c>
      <c r="O758" s="495">
        <v>68502.020600000003</v>
      </c>
      <c r="P758" s="495">
        <v>0</v>
      </c>
      <c r="Q758" s="495">
        <v>0</v>
      </c>
      <c r="T758" s="495">
        <v>52625.424800000001</v>
      </c>
      <c r="U758" s="495">
        <v>239151.0134</v>
      </c>
      <c r="V758" s="495">
        <v>-7976.5503999999992</v>
      </c>
      <c r="W758" s="495">
        <v>-28829.865999999998</v>
      </c>
      <c r="X758" s="495">
        <v>0</v>
      </c>
      <c r="AA758" s="495">
        <v>0</v>
      </c>
      <c r="AB758" s="495">
        <v>0</v>
      </c>
      <c r="AC758" s="495">
        <v>0</v>
      </c>
      <c r="AD758" s="495">
        <v>0</v>
      </c>
      <c r="AE758" s="495">
        <v>0</v>
      </c>
      <c r="AH758" s="495">
        <v>54530.070280000036</v>
      </c>
      <c r="AI758" s="495">
        <v>44482.615280000042</v>
      </c>
      <c r="AJ758" s="495">
        <v>0</v>
      </c>
      <c r="AK758" s="495">
        <v>0</v>
      </c>
      <c r="AL758" s="495">
        <v>0</v>
      </c>
      <c r="AO758" s="495">
        <v>-29103.97676346459</v>
      </c>
      <c r="AP758" s="495">
        <v>-5462.0519634645989</v>
      </c>
      <c r="AQ758" s="495">
        <v>-5462.0519634645989</v>
      </c>
      <c r="AR758" s="495">
        <v>0</v>
      </c>
      <c r="AS758" s="495">
        <v>0</v>
      </c>
    </row>
    <row r="759" spans="1:45">
      <c r="A759" s="390">
        <v>98141</v>
      </c>
      <c r="B759" s="393">
        <v>98141</v>
      </c>
      <c r="C759" s="499" t="s">
        <v>1463</v>
      </c>
      <c r="D759" s="378">
        <v>3.0048454829138669E-4</v>
      </c>
      <c r="F759" s="495">
        <v>187107.70328317909</v>
      </c>
      <c r="G759" s="495">
        <v>394952.27429817908</v>
      </c>
      <c r="H759" s="495">
        <v>65191.046585679105</v>
      </c>
      <c r="I759" s="495">
        <v>-31134.5972</v>
      </c>
      <c r="J759" s="495">
        <v>0</v>
      </c>
      <c r="M759" s="495">
        <v>138088.53324000002</v>
      </c>
      <c r="N759" s="495">
        <v>140474.92816000001</v>
      </c>
      <c r="O759" s="495">
        <v>73978.24252</v>
      </c>
      <c r="P759" s="495">
        <v>0</v>
      </c>
      <c r="Q759" s="495">
        <v>0</v>
      </c>
      <c r="T759" s="495">
        <v>56832.432160000004</v>
      </c>
      <c r="U759" s="495">
        <v>258269.34028</v>
      </c>
      <c r="V759" s="495">
        <v>-8614.2156800000012</v>
      </c>
      <c r="W759" s="495">
        <v>-31134.5972</v>
      </c>
      <c r="X759" s="495">
        <v>0</v>
      </c>
      <c r="AA759" s="495">
        <v>0</v>
      </c>
      <c r="AB759" s="495">
        <v>0</v>
      </c>
      <c r="AC759" s="495">
        <v>0</v>
      </c>
      <c r="AD759" s="495">
        <v>0</v>
      </c>
      <c r="AE759" s="495">
        <v>0</v>
      </c>
      <c r="AH759" s="495">
        <v>4145.3246249999702</v>
      </c>
      <c r="AI759" s="495">
        <v>3406.5144749999945</v>
      </c>
      <c r="AJ759" s="495">
        <v>0</v>
      </c>
      <c r="AK759" s="495">
        <v>0</v>
      </c>
      <c r="AL759" s="495">
        <v>0</v>
      </c>
      <c r="AO759" s="495">
        <v>-11958.586741820895</v>
      </c>
      <c r="AP759" s="495">
        <v>-7198.5086168208945</v>
      </c>
      <c r="AQ759" s="495">
        <v>-172.98025432089344</v>
      </c>
      <c r="AR759" s="495">
        <v>0</v>
      </c>
      <c r="AS759" s="495">
        <v>0</v>
      </c>
    </row>
    <row r="760" spans="1:45">
      <c r="A760" s="390">
        <v>98147</v>
      </c>
      <c r="B760" s="393">
        <v>98147</v>
      </c>
      <c r="C760" s="499" t="s">
        <v>1464</v>
      </c>
      <c r="D760" s="378">
        <v>9.2213112536335546E-6</v>
      </c>
      <c r="F760" s="495">
        <v>9661.7979807870488</v>
      </c>
      <c r="G760" s="495">
        <v>13294.102275787051</v>
      </c>
      <c r="H760" s="495">
        <v>1536.7140132870502</v>
      </c>
      <c r="I760" s="495">
        <v>-955.46860000000004</v>
      </c>
      <c r="J760" s="495">
        <v>0</v>
      </c>
      <c r="M760" s="495">
        <v>4237.7056199999997</v>
      </c>
      <c r="N760" s="495">
        <v>4310.9400800000003</v>
      </c>
      <c r="O760" s="495">
        <v>2270.2682599999998</v>
      </c>
      <c r="P760" s="495">
        <v>0</v>
      </c>
      <c r="Q760" s="495">
        <v>0</v>
      </c>
      <c r="T760" s="495">
        <v>1744.0920799999999</v>
      </c>
      <c r="U760" s="495">
        <v>7925.8531400000002</v>
      </c>
      <c r="V760" s="495">
        <v>-264.35584</v>
      </c>
      <c r="W760" s="495">
        <v>-955.46860000000004</v>
      </c>
      <c r="X760" s="495">
        <v>0</v>
      </c>
      <c r="AA760" s="495">
        <v>0</v>
      </c>
      <c r="AB760" s="495">
        <v>0</v>
      </c>
      <c r="AC760" s="495">
        <v>0</v>
      </c>
      <c r="AD760" s="495">
        <v>0</v>
      </c>
      <c r="AE760" s="495">
        <v>0</v>
      </c>
      <c r="AH760" s="495">
        <v>4635.8436124999989</v>
      </c>
      <c r="AI760" s="495">
        <v>2013.1523874999998</v>
      </c>
      <c r="AJ760" s="495">
        <v>0</v>
      </c>
      <c r="AK760" s="495">
        <v>0</v>
      </c>
      <c r="AL760" s="495">
        <v>0</v>
      </c>
      <c r="AO760" s="495">
        <v>-955.84333171294986</v>
      </c>
      <c r="AP760" s="495">
        <v>-955.84333171294986</v>
      </c>
      <c r="AQ760" s="495">
        <v>-469.19840671294969</v>
      </c>
      <c r="AR760" s="495">
        <v>0</v>
      </c>
      <c r="AS760" s="495">
        <v>0</v>
      </c>
    </row>
    <row r="761" spans="1:45">
      <c r="A761" s="390">
        <v>98161</v>
      </c>
      <c r="B761" s="393">
        <v>98161</v>
      </c>
      <c r="C761" s="499" t="s">
        <v>1465</v>
      </c>
      <c r="D761" s="378">
        <v>6.410974374207909E-6</v>
      </c>
      <c r="F761" s="495">
        <v>5853.1632043080226</v>
      </c>
      <c r="G761" s="495">
        <v>8718.9183893080208</v>
      </c>
      <c r="H761" s="495">
        <v>1049.8010768080233</v>
      </c>
      <c r="I761" s="495">
        <v>-664.26829999999995</v>
      </c>
      <c r="J761" s="495">
        <v>0</v>
      </c>
      <c r="M761" s="495">
        <v>2946.1706099999997</v>
      </c>
      <c r="N761" s="495">
        <v>2997.0852399999999</v>
      </c>
      <c r="O761" s="495">
        <v>1578.3535299999999</v>
      </c>
      <c r="P761" s="495">
        <v>0</v>
      </c>
      <c r="Q761" s="495">
        <v>0</v>
      </c>
      <c r="T761" s="495">
        <v>1212.54124</v>
      </c>
      <c r="U761" s="495">
        <v>5510.2731699999995</v>
      </c>
      <c r="V761" s="495">
        <v>-183.78752</v>
      </c>
      <c r="W761" s="495">
        <v>-664.26829999999995</v>
      </c>
      <c r="X761" s="495">
        <v>0</v>
      </c>
      <c r="AA761" s="495">
        <v>0</v>
      </c>
      <c r="AB761" s="495">
        <v>0</v>
      </c>
      <c r="AC761" s="495">
        <v>0</v>
      </c>
      <c r="AD761" s="495">
        <v>0</v>
      </c>
      <c r="AE761" s="495">
        <v>0</v>
      </c>
      <c r="AH761" s="495">
        <v>2039.2162874999992</v>
      </c>
      <c r="AI761" s="495">
        <v>556.3249124999993</v>
      </c>
      <c r="AJ761" s="495">
        <v>0</v>
      </c>
      <c r="AK761" s="495">
        <v>0</v>
      </c>
      <c r="AL761" s="495">
        <v>0</v>
      </c>
      <c r="AO761" s="495">
        <v>-344.76493319197652</v>
      </c>
      <c r="AP761" s="495">
        <v>-344.76493319197652</v>
      </c>
      <c r="AQ761" s="495">
        <v>-344.76493319197652</v>
      </c>
      <c r="AR761" s="495">
        <v>0</v>
      </c>
      <c r="AS761" s="495">
        <v>0</v>
      </c>
    </row>
    <row r="762" spans="1:45">
      <c r="A762" s="390">
        <v>98201</v>
      </c>
      <c r="B762" s="393">
        <v>98201</v>
      </c>
      <c r="C762" s="499" t="s">
        <v>1466</v>
      </c>
      <c r="D762" s="378">
        <v>2.9589679906873944E-3</v>
      </c>
      <c r="F762" s="495">
        <v>1852154.0405404316</v>
      </c>
      <c r="G762" s="495">
        <v>3754556.8694454315</v>
      </c>
      <c r="H762" s="495">
        <v>743454.77024793136</v>
      </c>
      <c r="I762" s="495">
        <v>-306592.46389999997</v>
      </c>
      <c r="J762" s="495">
        <v>0</v>
      </c>
      <c r="M762" s="495">
        <v>1359802.5171300001</v>
      </c>
      <c r="N762" s="495">
        <v>1383302.1209199999</v>
      </c>
      <c r="O762" s="495">
        <v>728487.71748999995</v>
      </c>
      <c r="P762" s="495">
        <v>0</v>
      </c>
      <c r="Q762" s="495">
        <v>0</v>
      </c>
      <c r="T762" s="495">
        <v>559647.36892000004</v>
      </c>
      <c r="U762" s="495">
        <v>2543261.8536100001</v>
      </c>
      <c r="V762" s="495">
        <v>-84826.972160000005</v>
      </c>
      <c r="W762" s="495">
        <v>-306592.46389999997</v>
      </c>
      <c r="X762" s="495">
        <v>0</v>
      </c>
      <c r="AA762" s="495">
        <v>0</v>
      </c>
      <c r="AB762" s="495">
        <v>0</v>
      </c>
      <c r="AC762" s="495">
        <v>0</v>
      </c>
      <c r="AD762" s="495">
        <v>0</v>
      </c>
      <c r="AE762" s="495">
        <v>0</v>
      </c>
      <c r="AH762" s="495">
        <v>303719.39541043161</v>
      </c>
      <c r="AI762" s="495">
        <v>131292.47271043138</v>
      </c>
      <c r="AJ762" s="495">
        <v>99794.024917931354</v>
      </c>
      <c r="AK762" s="495">
        <v>0</v>
      </c>
      <c r="AL762" s="495">
        <v>0</v>
      </c>
      <c r="AO762" s="495">
        <v>-371015.24092000036</v>
      </c>
      <c r="AP762" s="495">
        <v>-303299.57779500028</v>
      </c>
      <c r="AQ762" s="495">
        <v>0</v>
      </c>
      <c r="AR762" s="495">
        <v>0</v>
      </c>
      <c r="AS762" s="495">
        <v>0</v>
      </c>
    </row>
    <row r="763" spans="1:45">
      <c r="A763" s="390">
        <v>98205</v>
      </c>
      <c r="B763" s="393">
        <v>98205</v>
      </c>
      <c r="C763" s="499" t="s">
        <v>1467</v>
      </c>
      <c r="D763" s="378">
        <v>3.48350921698537E-5</v>
      </c>
      <c r="F763" s="495">
        <v>12474.143950183059</v>
      </c>
      <c r="G763" s="495">
        <v>36389.70573018305</v>
      </c>
      <c r="H763" s="495">
        <v>-1560.9522748169293</v>
      </c>
      <c r="I763" s="495">
        <v>-3609.4328999999998</v>
      </c>
      <c r="J763" s="495">
        <v>0</v>
      </c>
      <c r="M763" s="495">
        <v>16008.599429999998</v>
      </c>
      <c r="N763" s="495">
        <v>16285.254119999998</v>
      </c>
      <c r="O763" s="495">
        <v>8576.2953899999993</v>
      </c>
      <c r="P763" s="495">
        <v>0</v>
      </c>
      <c r="Q763" s="495">
        <v>0</v>
      </c>
      <c r="T763" s="495">
        <v>6588.5821199999991</v>
      </c>
      <c r="U763" s="495">
        <v>29941.156709999996</v>
      </c>
      <c r="V763" s="495">
        <v>-998.64575999999988</v>
      </c>
      <c r="W763" s="495">
        <v>-3609.4328999999998</v>
      </c>
      <c r="X763" s="495">
        <v>0</v>
      </c>
      <c r="AA763" s="495">
        <v>0</v>
      </c>
      <c r="AB763" s="495">
        <v>0</v>
      </c>
      <c r="AC763" s="495">
        <v>0</v>
      </c>
      <c r="AD763" s="495">
        <v>0</v>
      </c>
      <c r="AE763" s="495">
        <v>0</v>
      </c>
      <c r="AH763" s="495">
        <v>2483.9207399999896</v>
      </c>
      <c r="AI763" s="495">
        <v>1063.1319899999899</v>
      </c>
      <c r="AJ763" s="495">
        <v>0</v>
      </c>
      <c r="AK763" s="495">
        <v>0</v>
      </c>
      <c r="AL763" s="495">
        <v>0</v>
      </c>
      <c r="AO763" s="495">
        <v>-12606.958339816929</v>
      </c>
      <c r="AP763" s="495">
        <v>-10899.837089816929</v>
      </c>
      <c r="AQ763" s="495">
        <v>-9138.6019048169292</v>
      </c>
      <c r="AR763" s="495">
        <v>0</v>
      </c>
      <c r="AS763" s="495">
        <v>0</v>
      </c>
    </row>
    <row r="764" spans="1:45">
      <c r="A764" s="390">
        <v>98211</v>
      </c>
      <c r="B764" s="393">
        <v>98211</v>
      </c>
      <c r="C764" s="499" t="s">
        <v>1468</v>
      </c>
      <c r="D764" s="378">
        <v>7.7164420963427125E-4</v>
      </c>
      <c r="F764" s="495">
        <v>347286.77346556447</v>
      </c>
      <c r="G764" s="495">
        <v>895096.91974556446</v>
      </c>
      <c r="H764" s="495">
        <v>33617.762788064574</v>
      </c>
      <c r="I764" s="495">
        <v>-79953.653900000005</v>
      </c>
      <c r="J764" s="495">
        <v>0</v>
      </c>
      <c r="M764" s="495">
        <v>354611.39013000001</v>
      </c>
      <c r="N764" s="495">
        <v>360739.65291999996</v>
      </c>
      <c r="O764" s="495">
        <v>189976.14648999998</v>
      </c>
      <c r="P764" s="495">
        <v>0</v>
      </c>
      <c r="Q764" s="495">
        <v>0</v>
      </c>
      <c r="T764" s="495">
        <v>145945.70092</v>
      </c>
      <c r="U764" s="495">
        <v>663235.73460999993</v>
      </c>
      <c r="V764" s="495">
        <v>-22121.30816</v>
      </c>
      <c r="W764" s="495">
        <v>-79953.653900000005</v>
      </c>
      <c r="X764" s="495">
        <v>0</v>
      </c>
      <c r="AA764" s="495">
        <v>0</v>
      </c>
      <c r="AB764" s="495">
        <v>0</v>
      </c>
      <c r="AC764" s="495">
        <v>0</v>
      </c>
      <c r="AD764" s="495">
        <v>0</v>
      </c>
      <c r="AE764" s="495">
        <v>0</v>
      </c>
      <c r="AH764" s="495">
        <v>43146.687734999912</v>
      </c>
      <c r="AI764" s="495">
        <v>43146.687734999912</v>
      </c>
      <c r="AJ764" s="495">
        <v>0</v>
      </c>
      <c r="AK764" s="495">
        <v>0</v>
      </c>
      <c r="AL764" s="495">
        <v>0</v>
      </c>
      <c r="AO764" s="495">
        <v>-196417.00531943547</v>
      </c>
      <c r="AP764" s="495">
        <v>-172025.15551943544</v>
      </c>
      <c r="AQ764" s="495">
        <v>-134237.07554193542</v>
      </c>
      <c r="AR764" s="495">
        <v>0</v>
      </c>
      <c r="AS764" s="495">
        <v>0</v>
      </c>
    </row>
    <row r="765" spans="1:45">
      <c r="A765" s="390">
        <v>98218</v>
      </c>
      <c r="B765" s="393">
        <v>98218</v>
      </c>
      <c r="C765" s="499" t="s">
        <v>1469</v>
      </c>
      <c r="D765" s="378">
        <v>1.0141573073993438E-5</v>
      </c>
      <c r="F765" s="495">
        <v>2579.8329560933489</v>
      </c>
      <c r="G765" s="495">
        <v>10448.651746093348</v>
      </c>
      <c r="H765" s="495">
        <v>-1534.3163164066505</v>
      </c>
      <c r="I765" s="495">
        <v>-1050.8081999999999</v>
      </c>
      <c r="J765" s="495">
        <v>0</v>
      </c>
      <c r="M765" s="495">
        <v>4660.5569399999995</v>
      </c>
      <c r="N765" s="495">
        <v>4741.0989599999994</v>
      </c>
      <c r="O765" s="495">
        <v>2496.8026199999999</v>
      </c>
      <c r="P765" s="495">
        <v>0</v>
      </c>
      <c r="Q765" s="495">
        <v>0</v>
      </c>
      <c r="T765" s="495">
        <v>1918.1229599999999</v>
      </c>
      <c r="U765" s="495">
        <v>8716.7191800000001</v>
      </c>
      <c r="V765" s="495">
        <v>-290.73408000000001</v>
      </c>
      <c r="W765" s="495">
        <v>-1050.8081999999999</v>
      </c>
      <c r="X765" s="495">
        <v>0</v>
      </c>
      <c r="AA765" s="495">
        <v>0</v>
      </c>
      <c r="AB765" s="495">
        <v>0</v>
      </c>
      <c r="AC765" s="495">
        <v>0</v>
      </c>
      <c r="AD765" s="495">
        <v>0</v>
      </c>
      <c r="AE765" s="495">
        <v>0</v>
      </c>
      <c r="AH765" s="495">
        <v>1615.6186374999997</v>
      </c>
      <c r="AI765" s="495">
        <v>843.5211374999999</v>
      </c>
      <c r="AJ765" s="495">
        <v>0</v>
      </c>
      <c r="AK765" s="495">
        <v>0</v>
      </c>
      <c r="AL765" s="495">
        <v>0</v>
      </c>
      <c r="AO765" s="495">
        <v>-5614.46558140665</v>
      </c>
      <c r="AP765" s="495">
        <v>-3852.6875314066506</v>
      </c>
      <c r="AQ765" s="495">
        <v>-3740.3848564066502</v>
      </c>
      <c r="AR765" s="495">
        <v>0</v>
      </c>
      <c r="AS765" s="495">
        <v>0</v>
      </c>
    </row>
    <row r="766" spans="1:45">
      <c r="A766" s="390">
        <v>98221</v>
      </c>
      <c r="B766" s="393">
        <v>98221</v>
      </c>
      <c r="C766" s="499" t="s">
        <v>1470</v>
      </c>
      <c r="D766" s="378">
        <v>1.8942735774465751E-5</v>
      </c>
      <c r="F766" s="495">
        <v>4717.385654675345</v>
      </c>
      <c r="G766" s="495">
        <v>18290.179044675344</v>
      </c>
      <c r="H766" s="495">
        <v>-3223.1129978246463</v>
      </c>
      <c r="I766" s="495">
        <v>-1962.7522000000001</v>
      </c>
      <c r="J766" s="495">
        <v>0</v>
      </c>
      <c r="M766" s="495">
        <v>8705.2217400000009</v>
      </c>
      <c r="N766" s="495">
        <v>8855.6621599999999</v>
      </c>
      <c r="O766" s="495">
        <v>4663.6530200000007</v>
      </c>
      <c r="P766" s="495">
        <v>0</v>
      </c>
      <c r="Q766" s="495">
        <v>0</v>
      </c>
      <c r="T766" s="495">
        <v>3582.7661600000001</v>
      </c>
      <c r="U766" s="495">
        <v>16281.524780000002</v>
      </c>
      <c r="V766" s="495">
        <v>-543.04768000000001</v>
      </c>
      <c r="W766" s="495">
        <v>-1962.7522000000001</v>
      </c>
      <c r="X766" s="495">
        <v>0</v>
      </c>
      <c r="AA766" s="495">
        <v>0</v>
      </c>
      <c r="AB766" s="495">
        <v>0</v>
      </c>
      <c r="AC766" s="495">
        <v>0</v>
      </c>
      <c r="AD766" s="495">
        <v>0</v>
      </c>
      <c r="AE766" s="495">
        <v>0</v>
      </c>
      <c r="AH766" s="495">
        <v>1474.9084649999941</v>
      </c>
      <c r="AI766" s="495">
        <v>1474.9084649999941</v>
      </c>
      <c r="AJ766" s="495">
        <v>0</v>
      </c>
      <c r="AK766" s="495">
        <v>0</v>
      </c>
      <c r="AL766" s="495">
        <v>0</v>
      </c>
      <c r="AO766" s="495">
        <v>-9045.5107103246482</v>
      </c>
      <c r="AP766" s="495">
        <v>-8321.916360324647</v>
      </c>
      <c r="AQ766" s="495">
        <v>-7343.7183378246473</v>
      </c>
      <c r="AR766" s="495">
        <v>0</v>
      </c>
      <c r="AS766" s="495">
        <v>0</v>
      </c>
    </row>
    <row r="767" spans="1:45">
      <c r="A767" s="390">
        <v>98231</v>
      </c>
      <c r="B767" s="393">
        <v>98231</v>
      </c>
      <c r="C767" s="499" t="s">
        <v>1471</v>
      </c>
      <c r="D767" s="378">
        <v>2.1813157457574414E-5</v>
      </c>
      <c r="F767" s="495">
        <v>3076.1968268265264</v>
      </c>
      <c r="G767" s="495">
        <v>27266.027611826525</v>
      </c>
      <c r="H767" s="495">
        <v>6665.615129326522</v>
      </c>
      <c r="I767" s="495">
        <v>-2260.1702999999998</v>
      </c>
      <c r="J767" s="495">
        <v>0</v>
      </c>
      <c r="M767" s="495">
        <v>10024.33401</v>
      </c>
      <c r="N767" s="495">
        <v>10197.57084</v>
      </c>
      <c r="O767" s="495">
        <v>5370.3417300000001</v>
      </c>
      <c r="P767" s="495">
        <v>0</v>
      </c>
      <c r="Q767" s="495">
        <v>0</v>
      </c>
      <c r="T767" s="495">
        <v>4125.6668399999999</v>
      </c>
      <c r="U767" s="495">
        <v>18748.682969999998</v>
      </c>
      <c r="V767" s="495">
        <v>-625.33632</v>
      </c>
      <c r="W767" s="495">
        <v>-2260.1702999999998</v>
      </c>
      <c r="X767" s="495">
        <v>0</v>
      </c>
      <c r="AA767" s="495">
        <v>0</v>
      </c>
      <c r="AB767" s="495">
        <v>0</v>
      </c>
      <c r="AC767" s="495">
        <v>0</v>
      </c>
      <c r="AD767" s="495">
        <v>0</v>
      </c>
      <c r="AE767" s="495">
        <v>0</v>
      </c>
      <c r="AH767" s="495">
        <v>2985.0583418265223</v>
      </c>
      <c r="AI767" s="495">
        <v>2489.9464668265227</v>
      </c>
      <c r="AJ767" s="495">
        <v>1920.6097193265223</v>
      </c>
      <c r="AK767" s="495">
        <v>0</v>
      </c>
      <c r="AL767" s="495">
        <v>0</v>
      </c>
      <c r="AO767" s="495">
        <v>-14058.862364999997</v>
      </c>
      <c r="AP767" s="495">
        <v>-4170.1726649999991</v>
      </c>
      <c r="AQ767" s="495">
        <v>0</v>
      </c>
      <c r="AR767" s="495">
        <v>0</v>
      </c>
      <c r="AS767" s="495">
        <v>0</v>
      </c>
    </row>
    <row r="768" spans="1:45">
      <c r="A768" s="390">
        <v>98237</v>
      </c>
      <c r="B768" s="393">
        <v>98237</v>
      </c>
      <c r="C768" s="499" t="s">
        <v>1472</v>
      </c>
      <c r="D768" s="378">
        <v>8.0311870680899494E-6</v>
      </c>
      <c r="F768" s="495">
        <v>7318.4343499560728</v>
      </c>
      <c r="G768" s="495">
        <v>12825.709154956072</v>
      </c>
      <c r="H768" s="495">
        <v>2333.5495049560732</v>
      </c>
      <c r="I768" s="495">
        <v>-832.14889999999991</v>
      </c>
      <c r="J768" s="495">
        <v>0</v>
      </c>
      <c r="M768" s="495">
        <v>3690.7566299999999</v>
      </c>
      <c r="N768" s="495">
        <v>3754.5389199999995</v>
      </c>
      <c r="O768" s="495">
        <v>1977.2509899999998</v>
      </c>
      <c r="P768" s="495">
        <v>0</v>
      </c>
      <c r="Q768" s="495">
        <v>0</v>
      </c>
      <c r="T768" s="495">
        <v>1518.9869199999998</v>
      </c>
      <c r="U768" s="495">
        <v>6902.8851099999993</v>
      </c>
      <c r="V768" s="495">
        <v>-230.23615999999998</v>
      </c>
      <c r="W768" s="495">
        <v>-832.14889999999991</v>
      </c>
      <c r="X768" s="495">
        <v>0</v>
      </c>
      <c r="AA768" s="495">
        <v>0</v>
      </c>
      <c r="AB768" s="495">
        <v>0</v>
      </c>
      <c r="AC768" s="495">
        <v>0</v>
      </c>
      <c r="AD768" s="495">
        <v>0</v>
      </c>
      <c r="AE768" s="495">
        <v>0</v>
      </c>
      <c r="AH768" s="495">
        <v>2336.016999956074</v>
      </c>
      <c r="AI768" s="495">
        <v>2168.285124956074</v>
      </c>
      <c r="AJ768" s="495">
        <v>586.53467495607345</v>
      </c>
      <c r="AK768" s="495">
        <v>0</v>
      </c>
      <c r="AL768" s="495">
        <v>0</v>
      </c>
      <c r="AO768" s="495">
        <v>-227.32619999999997</v>
      </c>
      <c r="AP768" s="495">
        <v>0</v>
      </c>
      <c r="AQ768" s="495">
        <v>0</v>
      </c>
      <c r="AR768" s="495">
        <v>0</v>
      </c>
      <c r="AS768" s="495">
        <v>0</v>
      </c>
    </row>
    <row r="769" spans="1:45">
      <c r="A769" s="390">
        <v>98241</v>
      </c>
      <c r="B769" s="393">
        <v>98241</v>
      </c>
      <c r="C769" s="499" t="s">
        <v>1473</v>
      </c>
      <c r="D769" s="378">
        <v>1.9642835005527862E-5</v>
      </c>
      <c r="F769" s="495">
        <v>26285.005750017095</v>
      </c>
      <c r="G769" s="495">
        <v>37468.297215017097</v>
      </c>
      <c r="H769" s="495">
        <v>13172.199880017097</v>
      </c>
      <c r="I769" s="495">
        <v>-2035.2932000000001</v>
      </c>
      <c r="J769" s="495">
        <v>0</v>
      </c>
      <c r="M769" s="495">
        <v>9026.9564399999999</v>
      </c>
      <c r="N769" s="495">
        <v>9182.9569600000013</v>
      </c>
      <c r="O769" s="495">
        <v>4836.0161200000002</v>
      </c>
      <c r="P769" s="495">
        <v>0</v>
      </c>
      <c r="Q769" s="495">
        <v>0</v>
      </c>
      <c r="T769" s="495">
        <v>3715.1809600000001</v>
      </c>
      <c r="U769" s="495">
        <v>16883.270680000001</v>
      </c>
      <c r="V769" s="495">
        <v>-563.11808000000008</v>
      </c>
      <c r="W769" s="495">
        <v>-2035.2932000000001</v>
      </c>
      <c r="X769" s="495">
        <v>0</v>
      </c>
      <c r="AA769" s="495">
        <v>0</v>
      </c>
      <c r="AB769" s="495">
        <v>0</v>
      </c>
      <c r="AC769" s="495">
        <v>0</v>
      </c>
      <c r="AD769" s="495">
        <v>0</v>
      </c>
      <c r="AE769" s="495">
        <v>0</v>
      </c>
      <c r="AH769" s="495">
        <v>13542.868350017096</v>
      </c>
      <c r="AI769" s="495">
        <v>11402.069575017096</v>
      </c>
      <c r="AJ769" s="495">
        <v>8899.3018400170968</v>
      </c>
      <c r="AK769" s="495">
        <v>0</v>
      </c>
      <c r="AL769" s="495">
        <v>0</v>
      </c>
      <c r="AO769" s="495">
        <v>0</v>
      </c>
      <c r="AP769" s="495">
        <v>0</v>
      </c>
      <c r="AQ769" s="495">
        <v>0</v>
      </c>
      <c r="AR769" s="495">
        <v>0</v>
      </c>
      <c r="AS769" s="495">
        <v>0</v>
      </c>
    </row>
    <row r="770" spans="1:45">
      <c r="A770" s="390">
        <v>98251</v>
      </c>
      <c r="B770" s="393">
        <v>98251</v>
      </c>
      <c r="C770" s="499" t="s">
        <v>1474</v>
      </c>
      <c r="D770" s="378">
        <v>1.7503222564252635E-6</v>
      </c>
      <c r="F770" s="495">
        <v>2366.7853821043736</v>
      </c>
      <c r="G770" s="495">
        <v>3188.8449071043738</v>
      </c>
      <c r="H770" s="495">
        <v>889.41857460437404</v>
      </c>
      <c r="I770" s="495">
        <v>-181.35249999999999</v>
      </c>
      <c r="J770" s="495">
        <v>0</v>
      </c>
      <c r="M770" s="495">
        <v>804.33674999999994</v>
      </c>
      <c r="N770" s="495">
        <v>818.23699999999997</v>
      </c>
      <c r="O770" s="495">
        <v>430.90775000000002</v>
      </c>
      <c r="P770" s="495">
        <v>0</v>
      </c>
      <c r="Q770" s="495">
        <v>0</v>
      </c>
      <c r="T770" s="495">
        <v>331.03699999999998</v>
      </c>
      <c r="U770" s="495">
        <v>1504.36475</v>
      </c>
      <c r="V770" s="495">
        <v>-50.176000000000002</v>
      </c>
      <c r="W770" s="495">
        <v>-181.35249999999999</v>
      </c>
      <c r="X770" s="495">
        <v>0</v>
      </c>
      <c r="AA770" s="495">
        <v>0</v>
      </c>
      <c r="AB770" s="495">
        <v>0</v>
      </c>
      <c r="AC770" s="495">
        <v>0</v>
      </c>
      <c r="AD770" s="495">
        <v>0</v>
      </c>
      <c r="AE770" s="495">
        <v>0</v>
      </c>
      <c r="AH770" s="495">
        <v>1678.9195471043738</v>
      </c>
      <c r="AI770" s="495">
        <v>1143.2564221043738</v>
      </c>
      <c r="AJ770" s="495">
        <v>508.68682460437395</v>
      </c>
      <c r="AK770" s="495">
        <v>0</v>
      </c>
      <c r="AL770" s="495">
        <v>0</v>
      </c>
      <c r="AO770" s="495">
        <v>-447.50791500000003</v>
      </c>
      <c r="AP770" s="495">
        <v>-277.01326499999993</v>
      </c>
      <c r="AQ770" s="495">
        <v>0</v>
      </c>
      <c r="AR770" s="495">
        <v>0</v>
      </c>
      <c r="AS770" s="495">
        <v>0</v>
      </c>
    </row>
    <row r="771" spans="1:45">
      <c r="A771" s="390">
        <v>98261</v>
      </c>
      <c r="B771" s="393">
        <v>98261</v>
      </c>
      <c r="C771" s="499" t="s">
        <v>1475</v>
      </c>
      <c r="D771" s="378">
        <v>2.4053504668481167E-5</v>
      </c>
      <c r="F771" s="495">
        <v>12088.268881920125</v>
      </c>
      <c r="G771" s="495">
        <v>31336.652506920123</v>
      </c>
      <c r="H771" s="495">
        <v>6970.7604144201205</v>
      </c>
      <c r="I771" s="495">
        <v>-2492.3015</v>
      </c>
      <c r="J771" s="495">
        <v>0</v>
      </c>
      <c r="M771" s="495">
        <v>11053.885049999999</v>
      </c>
      <c r="N771" s="495">
        <v>11244.914199999999</v>
      </c>
      <c r="O771" s="495">
        <v>5921.9036499999993</v>
      </c>
      <c r="P771" s="495">
        <v>0</v>
      </c>
      <c r="Q771" s="495">
        <v>0</v>
      </c>
      <c r="T771" s="495">
        <v>4549.3941999999997</v>
      </c>
      <c r="U771" s="495">
        <v>20674.269849999997</v>
      </c>
      <c r="V771" s="495">
        <v>-689.5616</v>
      </c>
      <c r="W771" s="495">
        <v>-2492.3015</v>
      </c>
      <c r="X771" s="495">
        <v>0</v>
      </c>
      <c r="AA771" s="495">
        <v>0</v>
      </c>
      <c r="AB771" s="495">
        <v>0</v>
      </c>
      <c r="AC771" s="495">
        <v>0</v>
      </c>
      <c r="AD771" s="495">
        <v>0</v>
      </c>
      <c r="AE771" s="495">
        <v>0</v>
      </c>
      <c r="AH771" s="495">
        <v>3797.9073669201216</v>
      </c>
      <c r="AI771" s="495">
        <v>2809.009241920121</v>
      </c>
      <c r="AJ771" s="495">
        <v>1738.418364420121</v>
      </c>
      <c r="AK771" s="495">
        <v>0</v>
      </c>
      <c r="AL771" s="495">
        <v>0</v>
      </c>
      <c r="AO771" s="495">
        <v>-7312.9177349999964</v>
      </c>
      <c r="AP771" s="495">
        <v>-3391.5407849999983</v>
      </c>
      <c r="AQ771" s="495">
        <v>0</v>
      </c>
      <c r="AR771" s="495">
        <v>0</v>
      </c>
      <c r="AS771" s="495">
        <v>0</v>
      </c>
    </row>
    <row r="772" spans="1:45">
      <c r="A772" s="390">
        <v>98271</v>
      </c>
      <c r="B772" s="393">
        <v>98271</v>
      </c>
      <c r="C772" s="499" t="s">
        <v>1476</v>
      </c>
      <c r="D772" s="378">
        <v>1.354207624737227E-5</v>
      </c>
      <c r="F772" s="495">
        <v>9983.2258316818479</v>
      </c>
      <c r="G772" s="495">
        <v>19156.292646681846</v>
      </c>
      <c r="H772" s="495">
        <v>1545.9320616818475</v>
      </c>
      <c r="I772" s="495">
        <v>-1403.1502</v>
      </c>
      <c r="J772" s="495">
        <v>0</v>
      </c>
      <c r="M772" s="495">
        <v>6223.2683400000005</v>
      </c>
      <c r="N772" s="495">
        <v>6330.8165600000002</v>
      </c>
      <c r="O772" s="495">
        <v>3333.9948200000003</v>
      </c>
      <c r="P772" s="495">
        <v>0</v>
      </c>
      <c r="Q772" s="495">
        <v>0</v>
      </c>
      <c r="T772" s="495">
        <v>2561.2805600000002</v>
      </c>
      <c r="U772" s="495">
        <v>11639.484980000001</v>
      </c>
      <c r="V772" s="495">
        <v>-388.21888000000001</v>
      </c>
      <c r="W772" s="495">
        <v>-1403.1502</v>
      </c>
      <c r="X772" s="495">
        <v>0</v>
      </c>
      <c r="AA772" s="495">
        <v>0</v>
      </c>
      <c r="AB772" s="495">
        <v>0</v>
      </c>
      <c r="AC772" s="495">
        <v>0</v>
      </c>
      <c r="AD772" s="495">
        <v>0</v>
      </c>
      <c r="AE772" s="495">
        <v>0</v>
      </c>
      <c r="AH772" s="495">
        <v>4135.1169299999992</v>
      </c>
      <c r="AI772" s="495">
        <v>3623.6329799999985</v>
      </c>
      <c r="AJ772" s="495">
        <v>0</v>
      </c>
      <c r="AK772" s="495">
        <v>0</v>
      </c>
      <c r="AL772" s="495">
        <v>0</v>
      </c>
      <c r="AO772" s="495">
        <v>-2936.4399983181529</v>
      </c>
      <c r="AP772" s="495">
        <v>-2437.6418733181536</v>
      </c>
      <c r="AQ772" s="495">
        <v>-1399.843878318153</v>
      </c>
      <c r="AR772" s="495">
        <v>0</v>
      </c>
      <c r="AS772" s="495">
        <v>0</v>
      </c>
    </row>
    <row r="773" spans="1:45">
      <c r="A773" s="390">
        <v>98301</v>
      </c>
      <c r="B773" s="393">
        <v>98301</v>
      </c>
      <c r="C773" s="499" t="s">
        <v>1477</v>
      </c>
      <c r="D773" s="378">
        <v>1.9281854406452696E-3</v>
      </c>
      <c r="F773" s="495">
        <v>1209247.4929722995</v>
      </c>
      <c r="G773" s="495">
        <v>2515195.6766722994</v>
      </c>
      <c r="H773" s="495">
        <v>366020.78604729916</v>
      </c>
      <c r="I773" s="495">
        <v>-199788.277</v>
      </c>
      <c r="J773" s="495">
        <v>0</v>
      </c>
      <c r="M773" s="495">
        <v>886103.32589999994</v>
      </c>
      <c r="N773" s="495">
        <v>901416.63560000004</v>
      </c>
      <c r="O773" s="495">
        <v>474712.60070000001</v>
      </c>
      <c r="P773" s="495">
        <v>0</v>
      </c>
      <c r="Q773" s="495">
        <v>0</v>
      </c>
      <c r="T773" s="495">
        <v>364689.27559999999</v>
      </c>
      <c r="U773" s="495">
        <v>1657294.1723</v>
      </c>
      <c r="V773" s="495">
        <v>-55276.748800000001</v>
      </c>
      <c r="W773" s="495">
        <v>-199788.277</v>
      </c>
      <c r="X773" s="495">
        <v>0</v>
      </c>
      <c r="AA773" s="495">
        <v>0</v>
      </c>
      <c r="AB773" s="495">
        <v>0</v>
      </c>
      <c r="AC773" s="495">
        <v>0</v>
      </c>
      <c r="AD773" s="495">
        <v>0</v>
      </c>
      <c r="AE773" s="495">
        <v>0</v>
      </c>
      <c r="AH773" s="495">
        <v>48784.516200000384</v>
      </c>
      <c r="AI773" s="495">
        <v>34065.144750000523</v>
      </c>
      <c r="AJ773" s="495">
        <v>0</v>
      </c>
      <c r="AK773" s="495">
        <v>0</v>
      </c>
      <c r="AL773" s="495">
        <v>0</v>
      </c>
      <c r="AO773" s="495">
        <v>-90329.624727700808</v>
      </c>
      <c r="AP773" s="495">
        <v>-77580.275977700803</v>
      </c>
      <c r="AQ773" s="495">
        <v>-53415.065852700827</v>
      </c>
      <c r="AR773" s="495">
        <v>0</v>
      </c>
      <c r="AS773" s="495">
        <v>0</v>
      </c>
    </row>
    <row r="774" spans="1:45">
      <c r="A774" s="390">
        <v>98304</v>
      </c>
      <c r="B774" s="393">
        <v>98304</v>
      </c>
      <c r="C774" s="499" t="s">
        <v>1478</v>
      </c>
      <c r="D774" s="378">
        <v>1.4832193414847612E-5</v>
      </c>
      <c r="F774" s="495">
        <v>7017.7002261330754</v>
      </c>
      <c r="G774" s="495">
        <v>17924.067331133072</v>
      </c>
      <c r="H774" s="495">
        <v>3503.7277411330738</v>
      </c>
      <c r="I774" s="495">
        <v>-1536.8329000000001</v>
      </c>
      <c r="J774" s="495">
        <v>0</v>
      </c>
      <c r="M774" s="495">
        <v>6816.1794300000001</v>
      </c>
      <c r="N774" s="495">
        <v>6933.9741199999999</v>
      </c>
      <c r="O774" s="495">
        <v>3651.6353899999999</v>
      </c>
      <c r="P774" s="495">
        <v>0</v>
      </c>
      <c r="Q774" s="495">
        <v>0</v>
      </c>
      <c r="T774" s="495">
        <v>2805.3021200000003</v>
      </c>
      <c r="U774" s="495">
        <v>12748.41671</v>
      </c>
      <c r="V774" s="495">
        <v>-425.20576</v>
      </c>
      <c r="W774" s="495">
        <v>-1536.8329000000001</v>
      </c>
      <c r="X774" s="495">
        <v>0</v>
      </c>
      <c r="AA774" s="495">
        <v>0</v>
      </c>
      <c r="AB774" s="495">
        <v>0</v>
      </c>
      <c r="AC774" s="495">
        <v>0</v>
      </c>
      <c r="AD774" s="495">
        <v>0</v>
      </c>
      <c r="AE774" s="495">
        <v>0</v>
      </c>
      <c r="AH774" s="495">
        <v>1709.9928061330734</v>
      </c>
      <c r="AI774" s="495">
        <v>1191.493431133074</v>
      </c>
      <c r="AJ774" s="495">
        <v>277.2981111330738</v>
      </c>
      <c r="AK774" s="495">
        <v>0</v>
      </c>
      <c r="AL774" s="495">
        <v>0</v>
      </c>
      <c r="AO774" s="495">
        <v>-4313.7741299999989</v>
      </c>
      <c r="AP774" s="495">
        <v>-2949.8169300000009</v>
      </c>
      <c r="AQ774" s="495">
        <v>0</v>
      </c>
      <c r="AR774" s="495">
        <v>0</v>
      </c>
      <c r="AS774" s="495">
        <v>0</v>
      </c>
    </row>
    <row r="775" spans="1:45">
      <c r="A775" s="390">
        <v>98308</v>
      </c>
      <c r="B775" s="500">
        <v>98308</v>
      </c>
      <c r="C775" s="501" t="s">
        <v>1479</v>
      </c>
      <c r="D775" s="378">
        <v>4.104608058019814E-5</v>
      </c>
      <c r="F775" s="495">
        <v>47530.90300225059</v>
      </c>
      <c r="G775" s="495">
        <v>68179.413542250593</v>
      </c>
      <c r="H775" s="495">
        <v>19340.031159750586</v>
      </c>
      <c r="I775" s="495">
        <v>-4252.9751999999999</v>
      </c>
      <c r="J775" s="495">
        <v>0</v>
      </c>
      <c r="M775" s="495">
        <v>18862.845840000002</v>
      </c>
      <c r="N775" s="495">
        <v>19188.826560000001</v>
      </c>
      <c r="O775" s="495">
        <v>10105.402319999999</v>
      </c>
      <c r="P775" s="495">
        <v>0</v>
      </c>
      <c r="Q775" s="495">
        <v>0</v>
      </c>
      <c r="T775" s="495">
        <v>7763.2905600000004</v>
      </c>
      <c r="U775" s="495">
        <v>35279.502480000003</v>
      </c>
      <c r="V775" s="495">
        <v>-1176.6988799999999</v>
      </c>
      <c r="W775" s="495">
        <v>-4252.9751999999999</v>
      </c>
      <c r="X775" s="495">
        <v>0</v>
      </c>
      <c r="AA775" s="495">
        <v>0</v>
      </c>
      <c r="AB775" s="495">
        <v>0</v>
      </c>
      <c r="AC775" s="495">
        <v>0</v>
      </c>
      <c r="AD775" s="495">
        <v>0</v>
      </c>
      <c r="AE775" s="495">
        <v>0</v>
      </c>
      <c r="AH775" s="495">
        <v>21556.122117250587</v>
      </c>
      <c r="AI775" s="495">
        <v>14362.440017250587</v>
      </c>
      <c r="AJ775" s="495">
        <v>10411.327719750587</v>
      </c>
      <c r="AK775" s="495">
        <v>0</v>
      </c>
      <c r="AL775" s="495">
        <v>0</v>
      </c>
      <c r="AO775" s="495">
        <v>-651.35551500000179</v>
      </c>
      <c r="AP775" s="495">
        <v>-651.35551500000179</v>
      </c>
      <c r="AQ775" s="495">
        <v>0</v>
      </c>
      <c r="AR775" s="495">
        <v>0</v>
      </c>
      <c r="AS775" s="495">
        <v>0</v>
      </c>
    </row>
    <row r="776" spans="1:45">
      <c r="A776" s="390">
        <v>98311</v>
      </c>
      <c r="B776" s="393">
        <v>98311</v>
      </c>
      <c r="C776" s="499" t="s">
        <v>1480</v>
      </c>
      <c r="D776" s="378">
        <v>8.2258173247609352E-4</v>
      </c>
      <c r="F776" s="495">
        <v>430347.37725860777</v>
      </c>
      <c r="G776" s="495">
        <v>1013758.6661186077</v>
      </c>
      <c r="H776" s="495">
        <v>131761.28770360793</v>
      </c>
      <c r="I776" s="495">
        <v>-85231.529800000004</v>
      </c>
      <c r="J776" s="495">
        <v>0</v>
      </c>
      <c r="M776" s="495">
        <v>378019.88766000001</v>
      </c>
      <c r="N776" s="495">
        <v>384552.68744000001</v>
      </c>
      <c r="O776" s="495">
        <v>202516.79318000001</v>
      </c>
      <c r="P776" s="495">
        <v>0</v>
      </c>
      <c r="Q776" s="495">
        <v>0</v>
      </c>
      <c r="T776" s="495">
        <v>155579.82344000001</v>
      </c>
      <c r="U776" s="495">
        <v>707017.04702000006</v>
      </c>
      <c r="V776" s="495">
        <v>-23581.573120000001</v>
      </c>
      <c r="W776" s="495">
        <v>-85231.529800000004</v>
      </c>
      <c r="X776" s="495">
        <v>0</v>
      </c>
      <c r="AA776" s="495">
        <v>0</v>
      </c>
      <c r="AB776" s="495">
        <v>0</v>
      </c>
      <c r="AC776" s="495">
        <v>0</v>
      </c>
      <c r="AD776" s="495">
        <v>0</v>
      </c>
      <c r="AE776" s="495">
        <v>0</v>
      </c>
      <c r="AH776" s="495">
        <v>6384.4024999999674</v>
      </c>
      <c r="AI776" s="495">
        <v>0</v>
      </c>
      <c r="AJ776" s="495">
        <v>0</v>
      </c>
      <c r="AK776" s="495">
        <v>0</v>
      </c>
      <c r="AL776" s="495">
        <v>0</v>
      </c>
      <c r="AO776" s="495">
        <v>-109636.73634139217</v>
      </c>
      <c r="AP776" s="495">
        <v>-77811.068341392223</v>
      </c>
      <c r="AQ776" s="495">
        <v>-47173.932356392092</v>
      </c>
      <c r="AR776" s="495">
        <v>0</v>
      </c>
      <c r="AS776" s="495">
        <v>0</v>
      </c>
    </row>
    <row r="777" spans="1:45">
      <c r="A777" s="390">
        <v>98313</v>
      </c>
      <c r="B777" s="393">
        <v>98313</v>
      </c>
      <c r="C777" s="499" t="s">
        <v>1481</v>
      </c>
      <c r="D777" s="378">
        <v>1.5410283405048214E-4</v>
      </c>
      <c r="F777" s="495">
        <v>184194.1513735812</v>
      </c>
      <c r="G777" s="495">
        <v>237319.55177858123</v>
      </c>
      <c r="H777" s="495">
        <v>71239.438926081188</v>
      </c>
      <c r="I777" s="495">
        <v>-15967.310399999998</v>
      </c>
      <c r="J777" s="495">
        <v>0</v>
      </c>
      <c r="M777" s="495">
        <v>70818.403679999989</v>
      </c>
      <c r="N777" s="495">
        <v>72042.261119999996</v>
      </c>
      <c r="O777" s="495">
        <v>37939.58064</v>
      </c>
      <c r="P777" s="495">
        <v>0</v>
      </c>
      <c r="Q777" s="495">
        <v>0</v>
      </c>
      <c r="T777" s="495">
        <v>29146.389119999996</v>
      </c>
      <c r="U777" s="495">
        <v>132452.86895999999</v>
      </c>
      <c r="V777" s="495">
        <v>-4417.7817599999998</v>
      </c>
      <c r="W777" s="495">
        <v>-15967.310399999998</v>
      </c>
      <c r="X777" s="495">
        <v>0</v>
      </c>
      <c r="AA777" s="495">
        <v>0</v>
      </c>
      <c r="AB777" s="495">
        <v>0</v>
      </c>
      <c r="AC777" s="495">
        <v>0</v>
      </c>
      <c r="AD777" s="495">
        <v>0</v>
      </c>
      <c r="AE777" s="495">
        <v>0</v>
      </c>
      <c r="AH777" s="495">
        <v>128469.12567858119</v>
      </c>
      <c r="AI777" s="495">
        <v>77064.188803581201</v>
      </c>
      <c r="AJ777" s="495">
        <v>37717.640046081186</v>
      </c>
      <c r="AK777" s="495">
        <v>0</v>
      </c>
      <c r="AL777" s="495">
        <v>0</v>
      </c>
      <c r="AO777" s="495">
        <v>-44239.767104999977</v>
      </c>
      <c r="AP777" s="495">
        <v>-44239.767104999977</v>
      </c>
      <c r="AQ777" s="495">
        <v>0</v>
      </c>
      <c r="AR777" s="495">
        <v>0</v>
      </c>
      <c r="AS777" s="495">
        <v>0</v>
      </c>
    </row>
    <row r="778" spans="1:45">
      <c r="A778" s="390">
        <v>98321</v>
      </c>
      <c r="B778" s="393">
        <v>98321</v>
      </c>
      <c r="C778" s="499" t="s">
        <v>1482</v>
      </c>
      <c r="D778" s="378">
        <v>1.2691839185872594E-5</v>
      </c>
      <c r="F778" s="495">
        <v>9926.7640971597211</v>
      </c>
      <c r="G778" s="495">
        <v>17889.923362159723</v>
      </c>
      <c r="H778" s="495">
        <v>-241.08803284027863</v>
      </c>
      <c r="I778" s="495">
        <v>-1315.0647000000001</v>
      </c>
      <c r="J778" s="495">
        <v>0</v>
      </c>
      <c r="M778" s="495">
        <v>5832.5904900000005</v>
      </c>
      <c r="N778" s="495">
        <v>5933.3871600000002</v>
      </c>
      <c r="O778" s="495">
        <v>3124.69677</v>
      </c>
      <c r="P778" s="495">
        <v>0</v>
      </c>
      <c r="Q778" s="495">
        <v>0</v>
      </c>
      <c r="T778" s="495">
        <v>2400.49116</v>
      </c>
      <c r="U778" s="495">
        <v>10908.793530000001</v>
      </c>
      <c r="V778" s="495">
        <v>-363.84768000000003</v>
      </c>
      <c r="W778" s="495">
        <v>-1315.0647000000001</v>
      </c>
      <c r="X778" s="495">
        <v>0</v>
      </c>
      <c r="AA778" s="495">
        <v>0</v>
      </c>
      <c r="AB778" s="495">
        <v>0</v>
      </c>
      <c r="AC778" s="495">
        <v>0</v>
      </c>
      <c r="AD778" s="495">
        <v>0</v>
      </c>
      <c r="AE778" s="495">
        <v>0</v>
      </c>
      <c r="AH778" s="495">
        <v>5093.4404200000008</v>
      </c>
      <c r="AI778" s="495">
        <v>4049.679795</v>
      </c>
      <c r="AJ778" s="495">
        <v>0</v>
      </c>
      <c r="AK778" s="495">
        <v>0</v>
      </c>
      <c r="AL778" s="495">
        <v>0</v>
      </c>
      <c r="AO778" s="495">
        <v>-3399.7579728402789</v>
      </c>
      <c r="AP778" s="495">
        <v>-3001.9371228402788</v>
      </c>
      <c r="AQ778" s="495">
        <v>-3001.9371228402788</v>
      </c>
      <c r="AR778" s="495">
        <v>0</v>
      </c>
      <c r="AS778" s="495">
        <v>0</v>
      </c>
    </row>
    <row r="779" spans="1:45">
      <c r="A779" s="390">
        <v>98331</v>
      </c>
      <c r="B779" s="393">
        <v>98331</v>
      </c>
      <c r="C779" s="499" t="s">
        <v>1483</v>
      </c>
      <c r="D779" s="378">
        <v>4.0206376904035488E-6</v>
      </c>
      <c r="F779" s="495">
        <v>1547.6399975340505</v>
      </c>
      <c r="G779" s="495">
        <v>4008.39766753405</v>
      </c>
      <c r="H779" s="495">
        <v>1254.2313150340492</v>
      </c>
      <c r="I779" s="495">
        <v>-416.59259999999995</v>
      </c>
      <c r="J779" s="495">
        <v>0</v>
      </c>
      <c r="M779" s="495">
        <v>1847.6764199999998</v>
      </c>
      <c r="N779" s="495">
        <v>1879.6072799999997</v>
      </c>
      <c r="O779" s="495">
        <v>989.85665999999992</v>
      </c>
      <c r="P779" s="495">
        <v>0</v>
      </c>
      <c r="Q779" s="495">
        <v>0</v>
      </c>
      <c r="T779" s="495">
        <v>760.43927999999994</v>
      </c>
      <c r="U779" s="495">
        <v>3455.7407399999997</v>
      </c>
      <c r="V779" s="495">
        <v>-115.26143999999999</v>
      </c>
      <c r="W779" s="495">
        <v>-416.59259999999995</v>
      </c>
      <c r="X779" s="495">
        <v>0</v>
      </c>
      <c r="AA779" s="495">
        <v>0</v>
      </c>
      <c r="AB779" s="495">
        <v>0</v>
      </c>
      <c r="AC779" s="495">
        <v>0</v>
      </c>
      <c r="AD779" s="495">
        <v>0</v>
      </c>
      <c r="AE779" s="495">
        <v>0</v>
      </c>
      <c r="AH779" s="495">
        <v>878.61715253404964</v>
      </c>
      <c r="AI779" s="495">
        <v>612.14250253404953</v>
      </c>
      <c r="AJ779" s="495">
        <v>379.63609503404928</v>
      </c>
      <c r="AK779" s="495">
        <v>0</v>
      </c>
      <c r="AL779" s="495">
        <v>0</v>
      </c>
      <c r="AO779" s="495">
        <v>-1939.092854999999</v>
      </c>
      <c r="AP779" s="495">
        <v>-1939.092854999999</v>
      </c>
      <c r="AQ779" s="495">
        <v>0</v>
      </c>
      <c r="AR779" s="495">
        <v>0</v>
      </c>
      <c r="AS779" s="495">
        <v>0</v>
      </c>
    </row>
    <row r="780" spans="1:45">
      <c r="A780" s="390">
        <v>98401</v>
      </c>
      <c r="B780" s="393">
        <v>98401</v>
      </c>
      <c r="C780" s="499" t="s">
        <v>1484</v>
      </c>
      <c r="D780" s="378">
        <v>2.742265989366686E-3</v>
      </c>
      <c r="F780" s="495">
        <v>1772527.8781356867</v>
      </c>
      <c r="G780" s="495">
        <v>3661170.5773456865</v>
      </c>
      <c r="H780" s="495">
        <v>660627.71664568596</v>
      </c>
      <c r="I780" s="495">
        <v>-284138.95179999998</v>
      </c>
      <c r="J780" s="495">
        <v>0</v>
      </c>
      <c r="M780" s="495">
        <v>1260216.43506</v>
      </c>
      <c r="N780" s="495">
        <v>1281995.0290399999</v>
      </c>
      <c r="O780" s="495">
        <v>675136.41338000004</v>
      </c>
      <c r="P780" s="495">
        <v>0</v>
      </c>
      <c r="Q780" s="495">
        <v>0</v>
      </c>
      <c r="T780" s="495">
        <v>518661.20504000003</v>
      </c>
      <c r="U780" s="495">
        <v>2357004.3048200002</v>
      </c>
      <c r="V780" s="495">
        <v>-78614.609920000003</v>
      </c>
      <c r="W780" s="495">
        <v>-284138.95179999998</v>
      </c>
      <c r="X780" s="495">
        <v>0</v>
      </c>
      <c r="AA780" s="495">
        <v>0</v>
      </c>
      <c r="AB780" s="495">
        <v>0</v>
      </c>
      <c r="AC780" s="495">
        <v>0</v>
      </c>
      <c r="AD780" s="495">
        <v>0</v>
      </c>
      <c r="AE780" s="495">
        <v>0</v>
      </c>
      <c r="AH780" s="495">
        <v>105565.61498568604</v>
      </c>
      <c r="AI780" s="495">
        <v>83563.372485685992</v>
      </c>
      <c r="AJ780" s="495">
        <v>64105.913185685888</v>
      </c>
      <c r="AK780" s="495">
        <v>0</v>
      </c>
      <c r="AL780" s="495">
        <v>0</v>
      </c>
      <c r="AO780" s="495">
        <v>-111915.37694999929</v>
      </c>
      <c r="AP780" s="495">
        <v>-61392.128999999535</v>
      </c>
      <c r="AQ780" s="495">
        <v>0</v>
      </c>
      <c r="AR780" s="495">
        <v>0</v>
      </c>
      <c r="AS780" s="495">
        <v>0</v>
      </c>
    </row>
    <row r="781" spans="1:45">
      <c r="A781" s="390">
        <v>98404</v>
      </c>
      <c r="B781" s="393">
        <v>98404</v>
      </c>
      <c r="C781" s="499" t="s">
        <v>1485</v>
      </c>
      <c r="D781" s="378">
        <v>2.713400062817045E-5</v>
      </c>
      <c r="F781" s="495">
        <v>14627.498476423827</v>
      </c>
      <c r="G781" s="495">
        <v>26662.172756423824</v>
      </c>
      <c r="H781" s="495">
        <v>1557.3317689238256</v>
      </c>
      <c r="I781" s="495">
        <v>-2811.4818999999998</v>
      </c>
      <c r="J781" s="495">
        <v>0</v>
      </c>
      <c r="M781" s="495">
        <v>12469.51773</v>
      </c>
      <c r="N781" s="495">
        <v>12685.01132</v>
      </c>
      <c r="O781" s="495">
        <v>6680.3012899999994</v>
      </c>
      <c r="P781" s="495">
        <v>0</v>
      </c>
      <c r="Q781" s="495">
        <v>0</v>
      </c>
      <c r="T781" s="495">
        <v>5132.0193200000003</v>
      </c>
      <c r="U781" s="495">
        <v>23321.951809999999</v>
      </c>
      <c r="V781" s="495">
        <v>-777.87135999999998</v>
      </c>
      <c r="W781" s="495">
        <v>-2811.4818999999998</v>
      </c>
      <c r="X781" s="495">
        <v>0</v>
      </c>
      <c r="AA781" s="495">
        <v>0</v>
      </c>
      <c r="AB781" s="495">
        <v>0</v>
      </c>
      <c r="AC781" s="495">
        <v>0</v>
      </c>
      <c r="AD781" s="495">
        <v>0</v>
      </c>
      <c r="AE781" s="495">
        <v>0</v>
      </c>
      <c r="AH781" s="495">
        <v>7444.9330499999996</v>
      </c>
      <c r="AI781" s="495">
        <v>0</v>
      </c>
      <c r="AJ781" s="495">
        <v>0</v>
      </c>
      <c r="AK781" s="495">
        <v>0</v>
      </c>
      <c r="AL781" s="495">
        <v>0</v>
      </c>
      <c r="AO781" s="495">
        <v>-10418.971623576172</v>
      </c>
      <c r="AP781" s="495">
        <v>-9344.790373576172</v>
      </c>
      <c r="AQ781" s="495">
        <v>-4345.0981610761737</v>
      </c>
      <c r="AR781" s="495">
        <v>0</v>
      </c>
      <c r="AS781" s="495">
        <v>0</v>
      </c>
    </row>
    <row r="782" spans="1:45">
      <c r="A782" s="390">
        <v>98411</v>
      </c>
      <c r="B782" s="393">
        <v>98411</v>
      </c>
      <c r="C782" s="499" t="s">
        <v>1486</v>
      </c>
      <c r="D782" s="378">
        <v>1.834631621020333E-3</v>
      </c>
      <c r="F782" s="495">
        <v>1163781.4395194179</v>
      </c>
      <c r="G782" s="495">
        <v>2398013.2665044176</v>
      </c>
      <c r="H782" s="495">
        <v>347750.6961494179</v>
      </c>
      <c r="I782" s="495">
        <v>-190094.7268</v>
      </c>
      <c r="J782" s="495">
        <v>0</v>
      </c>
      <c r="M782" s="495">
        <v>843110.37755999994</v>
      </c>
      <c r="N782" s="495">
        <v>857680.69903999998</v>
      </c>
      <c r="O782" s="495">
        <v>451679.96587999997</v>
      </c>
      <c r="P782" s="495">
        <v>0</v>
      </c>
      <c r="Q782" s="495">
        <v>0</v>
      </c>
      <c r="T782" s="495">
        <v>346994.87504000001</v>
      </c>
      <c r="U782" s="495">
        <v>1576883.7273200001</v>
      </c>
      <c r="V782" s="495">
        <v>-52594.769919999999</v>
      </c>
      <c r="W782" s="495">
        <v>-190094.7268</v>
      </c>
      <c r="X782" s="495">
        <v>0</v>
      </c>
      <c r="AA782" s="495">
        <v>0</v>
      </c>
      <c r="AB782" s="495">
        <v>0</v>
      </c>
      <c r="AC782" s="495">
        <v>0</v>
      </c>
      <c r="AD782" s="495">
        <v>0</v>
      </c>
      <c r="AE782" s="495">
        <v>0</v>
      </c>
      <c r="AH782" s="495">
        <v>52249.492890000038</v>
      </c>
      <c r="AI782" s="495">
        <v>27641.431739999956</v>
      </c>
      <c r="AJ782" s="495">
        <v>0</v>
      </c>
      <c r="AK782" s="495">
        <v>0</v>
      </c>
      <c r="AL782" s="495">
        <v>0</v>
      </c>
      <c r="AO782" s="495">
        <v>-78573.305970582194</v>
      </c>
      <c r="AP782" s="495">
        <v>-64192.591595582155</v>
      </c>
      <c r="AQ782" s="495">
        <v>-51334.4998105821</v>
      </c>
      <c r="AR782" s="495">
        <v>0</v>
      </c>
      <c r="AS782" s="495">
        <v>0</v>
      </c>
    </row>
    <row r="783" spans="1:45">
      <c r="A783" s="390">
        <v>98414</v>
      </c>
      <c r="B783" s="393">
        <v>98414</v>
      </c>
      <c r="C783" s="499" t="s">
        <v>1487</v>
      </c>
      <c r="D783" s="378">
        <v>3.8265711923844021E-5</v>
      </c>
      <c r="F783" s="495">
        <v>21282.687811107651</v>
      </c>
      <c r="G783" s="495">
        <v>49332.629021107663</v>
      </c>
      <c r="H783" s="495">
        <v>7823.7400186076484</v>
      </c>
      <c r="I783" s="495">
        <v>-3964.8838000000005</v>
      </c>
      <c r="J783" s="495">
        <v>0</v>
      </c>
      <c r="M783" s="495">
        <v>17585.099460000001</v>
      </c>
      <c r="N783" s="495">
        <v>17888.998640000002</v>
      </c>
      <c r="O783" s="495">
        <v>9420.8745800000015</v>
      </c>
      <c r="P783" s="495">
        <v>0</v>
      </c>
      <c r="Q783" s="495">
        <v>0</v>
      </c>
      <c r="T783" s="495">
        <v>7237.4146400000009</v>
      </c>
      <c r="U783" s="495">
        <v>32889.711620000002</v>
      </c>
      <c r="V783" s="495">
        <v>-1096.99072</v>
      </c>
      <c r="W783" s="495">
        <v>-3964.8838000000005</v>
      </c>
      <c r="X783" s="495">
        <v>0</v>
      </c>
      <c r="AA783" s="495">
        <v>0</v>
      </c>
      <c r="AB783" s="495">
        <v>0</v>
      </c>
      <c r="AC783" s="495">
        <v>0</v>
      </c>
      <c r="AD783" s="495">
        <v>0</v>
      </c>
      <c r="AE783" s="495">
        <v>0</v>
      </c>
      <c r="AH783" s="495">
        <v>7.4868450000048767</v>
      </c>
      <c r="AI783" s="495">
        <v>7.4868450000048767</v>
      </c>
      <c r="AJ783" s="495">
        <v>0</v>
      </c>
      <c r="AK783" s="495">
        <v>0</v>
      </c>
      <c r="AL783" s="495">
        <v>0</v>
      </c>
      <c r="AO783" s="495">
        <v>-3547.3131338923531</v>
      </c>
      <c r="AP783" s="495">
        <v>-1453.5680838923543</v>
      </c>
      <c r="AQ783" s="495">
        <v>-500.14384139235312</v>
      </c>
      <c r="AR783" s="495">
        <v>0</v>
      </c>
      <c r="AS783" s="495">
        <v>0</v>
      </c>
    </row>
    <row r="784" spans="1:45">
      <c r="A784" s="390">
        <v>98417</v>
      </c>
      <c r="B784" s="393">
        <v>98417</v>
      </c>
      <c r="C784" s="499" t="s">
        <v>1488</v>
      </c>
      <c r="D784" s="378">
        <v>2.8314184858536868E-5</v>
      </c>
      <c r="F784" s="495">
        <v>30836.683649642771</v>
      </c>
      <c r="G784" s="495">
        <v>47728.06360964277</v>
      </c>
      <c r="H784" s="495">
        <v>7562.9323721427727</v>
      </c>
      <c r="I784" s="495">
        <v>-2933.7653</v>
      </c>
      <c r="J784" s="495">
        <v>0</v>
      </c>
      <c r="M784" s="495">
        <v>13011.870509999999</v>
      </c>
      <c r="N784" s="495">
        <v>13236.73684</v>
      </c>
      <c r="O784" s="495">
        <v>6970.8562299999994</v>
      </c>
      <c r="P784" s="495">
        <v>0</v>
      </c>
      <c r="Q784" s="495">
        <v>0</v>
      </c>
      <c r="T784" s="495">
        <v>5355.2328399999997</v>
      </c>
      <c r="U784" s="495">
        <v>24336.323469999999</v>
      </c>
      <c r="V784" s="495">
        <v>-811.70431999999994</v>
      </c>
      <c r="W784" s="495">
        <v>-2933.7653</v>
      </c>
      <c r="X784" s="495">
        <v>0</v>
      </c>
      <c r="AA784" s="495">
        <v>0</v>
      </c>
      <c r="AB784" s="495">
        <v>0</v>
      </c>
      <c r="AC784" s="495">
        <v>0</v>
      </c>
      <c r="AD784" s="495">
        <v>0</v>
      </c>
      <c r="AE784" s="495">
        <v>0</v>
      </c>
      <c r="AH784" s="495">
        <v>13037.895799642771</v>
      </c>
      <c r="AI784" s="495">
        <v>10155.003299642771</v>
      </c>
      <c r="AJ784" s="495">
        <v>1403.7804621427729</v>
      </c>
      <c r="AK784" s="495">
        <v>0</v>
      </c>
      <c r="AL784" s="495">
        <v>0</v>
      </c>
      <c r="AO784" s="495">
        <v>-568.31549999999879</v>
      </c>
      <c r="AP784" s="495">
        <v>0</v>
      </c>
      <c r="AQ784" s="495">
        <v>0</v>
      </c>
      <c r="AR784" s="495">
        <v>0</v>
      </c>
      <c r="AS784" s="495">
        <v>0</v>
      </c>
    </row>
    <row r="785" spans="1:45">
      <c r="A785" s="390">
        <v>98421</v>
      </c>
      <c r="B785" s="393">
        <v>98421</v>
      </c>
      <c r="C785" s="499" t="s">
        <v>1489</v>
      </c>
      <c r="D785" s="378">
        <v>1.3361985029617174E-4</v>
      </c>
      <c r="F785" s="495">
        <v>96996.738234153963</v>
      </c>
      <c r="G785" s="495">
        <v>183408.91698415394</v>
      </c>
      <c r="H785" s="495">
        <v>12566.655596653956</v>
      </c>
      <c r="I785" s="495">
        <v>-13844.967999999999</v>
      </c>
      <c r="J785" s="495">
        <v>0</v>
      </c>
      <c r="M785" s="495">
        <v>61405.365599999997</v>
      </c>
      <c r="N785" s="495">
        <v>62466.5504</v>
      </c>
      <c r="O785" s="495">
        <v>32896.728799999997</v>
      </c>
      <c r="P785" s="495">
        <v>0</v>
      </c>
      <c r="Q785" s="495">
        <v>0</v>
      </c>
      <c r="T785" s="495">
        <v>25272.310399999998</v>
      </c>
      <c r="U785" s="495">
        <v>114847.50319999999</v>
      </c>
      <c r="V785" s="495">
        <v>-3830.5791999999997</v>
      </c>
      <c r="W785" s="495">
        <v>-13844.967999999999</v>
      </c>
      <c r="X785" s="495">
        <v>0</v>
      </c>
      <c r="AA785" s="495">
        <v>0</v>
      </c>
      <c r="AB785" s="495">
        <v>0</v>
      </c>
      <c r="AC785" s="495">
        <v>0</v>
      </c>
      <c r="AD785" s="495">
        <v>0</v>
      </c>
      <c r="AE785" s="495">
        <v>0</v>
      </c>
      <c r="AH785" s="495">
        <v>30839.932825000014</v>
      </c>
      <c r="AI785" s="495">
        <v>26615.733975000003</v>
      </c>
      <c r="AJ785" s="495">
        <v>0</v>
      </c>
      <c r="AK785" s="495">
        <v>0</v>
      </c>
      <c r="AL785" s="495">
        <v>0</v>
      </c>
      <c r="AO785" s="495">
        <v>-20520.870590846043</v>
      </c>
      <c r="AP785" s="495">
        <v>-20520.870590846043</v>
      </c>
      <c r="AQ785" s="495">
        <v>-16499.494003346041</v>
      </c>
      <c r="AR785" s="495">
        <v>0</v>
      </c>
      <c r="AS785" s="495">
        <v>0</v>
      </c>
    </row>
    <row r="786" spans="1:45">
      <c r="A786" s="390">
        <v>98427</v>
      </c>
      <c r="B786" s="393">
        <v>98427</v>
      </c>
      <c r="C786" s="499" t="s">
        <v>1490</v>
      </c>
      <c r="D786" s="378">
        <v>6.8510028377235332E-6</v>
      </c>
      <c r="F786" s="495">
        <v>7454.6898142371238</v>
      </c>
      <c r="G786" s="495">
        <v>9479.1015142371234</v>
      </c>
      <c r="H786" s="495">
        <v>902.7496617371238</v>
      </c>
      <c r="I786" s="495">
        <v>-709.8655</v>
      </c>
      <c r="J786" s="495">
        <v>0</v>
      </c>
      <c r="M786" s="495">
        <v>3148.4038499999997</v>
      </c>
      <c r="N786" s="495">
        <v>3202.8134</v>
      </c>
      <c r="O786" s="495">
        <v>1686.69605</v>
      </c>
      <c r="P786" s="495">
        <v>0</v>
      </c>
      <c r="Q786" s="495">
        <v>0</v>
      </c>
      <c r="T786" s="495">
        <v>1295.7734</v>
      </c>
      <c r="U786" s="495">
        <v>5888.5134499999995</v>
      </c>
      <c r="V786" s="495">
        <v>-196.4032</v>
      </c>
      <c r="W786" s="495">
        <v>-709.8655</v>
      </c>
      <c r="X786" s="495">
        <v>0</v>
      </c>
      <c r="AA786" s="495">
        <v>0</v>
      </c>
      <c r="AB786" s="495">
        <v>0</v>
      </c>
      <c r="AC786" s="495">
        <v>0</v>
      </c>
      <c r="AD786" s="495">
        <v>0</v>
      </c>
      <c r="AE786" s="495">
        <v>0</v>
      </c>
      <c r="AH786" s="495">
        <v>3598.0557525000004</v>
      </c>
      <c r="AI786" s="495">
        <v>975.31785250000007</v>
      </c>
      <c r="AJ786" s="495">
        <v>0</v>
      </c>
      <c r="AK786" s="495">
        <v>0</v>
      </c>
      <c r="AL786" s="495">
        <v>0</v>
      </c>
      <c r="AO786" s="495">
        <v>-587.54318826287624</v>
      </c>
      <c r="AP786" s="495">
        <v>-587.54318826287624</v>
      </c>
      <c r="AQ786" s="495">
        <v>-587.54318826287624</v>
      </c>
      <c r="AR786" s="495">
        <v>0</v>
      </c>
      <c r="AS786" s="495">
        <v>0</v>
      </c>
    </row>
    <row r="787" spans="1:45">
      <c r="A787" s="390">
        <v>98431</v>
      </c>
      <c r="B787" s="393">
        <v>98431</v>
      </c>
      <c r="C787" s="499" t="s">
        <v>1491</v>
      </c>
      <c r="D787" s="378">
        <v>2.4956690535991876E-4</v>
      </c>
      <c r="F787" s="495">
        <v>121984.94799285976</v>
      </c>
      <c r="G787" s="495">
        <v>305338.5252978598</v>
      </c>
      <c r="H787" s="495">
        <v>56681.022640359763</v>
      </c>
      <c r="I787" s="495">
        <v>-25858.793899999997</v>
      </c>
      <c r="J787" s="495">
        <v>0</v>
      </c>
      <c r="M787" s="495">
        <v>114689.22812999999</v>
      </c>
      <c r="N787" s="495">
        <v>116671.24491999998</v>
      </c>
      <c r="O787" s="495">
        <v>61442.520489999995</v>
      </c>
      <c r="P787" s="495">
        <v>0</v>
      </c>
      <c r="Q787" s="495">
        <v>0</v>
      </c>
      <c r="T787" s="495">
        <v>47202.092919999996</v>
      </c>
      <c r="U787" s="495">
        <v>214505.22060999999</v>
      </c>
      <c r="V787" s="495">
        <v>-7154.524159999999</v>
      </c>
      <c r="W787" s="495">
        <v>-25858.793899999997</v>
      </c>
      <c r="X787" s="495">
        <v>0</v>
      </c>
      <c r="AA787" s="495">
        <v>0</v>
      </c>
      <c r="AB787" s="495">
        <v>0</v>
      </c>
      <c r="AC787" s="495">
        <v>0</v>
      </c>
      <c r="AD787" s="495">
        <v>0</v>
      </c>
      <c r="AE787" s="495">
        <v>0</v>
      </c>
      <c r="AH787" s="495">
        <v>2393.0263103597717</v>
      </c>
      <c r="AI787" s="495">
        <v>2393.0263103597717</v>
      </c>
      <c r="AJ787" s="495">
        <v>2393.0263103597717</v>
      </c>
      <c r="AK787" s="495">
        <v>0</v>
      </c>
      <c r="AL787" s="495">
        <v>0</v>
      </c>
      <c r="AO787" s="495">
        <v>-42299.39936749998</v>
      </c>
      <c r="AP787" s="495">
        <v>-28230.966542499966</v>
      </c>
      <c r="AQ787" s="495">
        <v>0</v>
      </c>
      <c r="AR787" s="495">
        <v>0</v>
      </c>
      <c r="AS787" s="495">
        <v>0</v>
      </c>
    </row>
    <row r="788" spans="1:45">
      <c r="A788" s="390">
        <v>98441</v>
      </c>
      <c r="B788" s="393">
        <v>98441</v>
      </c>
      <c r="C788" s="499" t="s">
        <v>1492</v>
      </c>
      <c r="D788" s="378">
        <v>1.2620864938756656E-4</v>
      </c>
      <c r="F788" s="495">
        <v>80467.194231143469</v>
      </c>
      <c r="G788" s="495">
        <v>172138.17949614345</v>
      </c>
      <c r="H788" s="495">
        <v>42213.542948643444</v>
      </c>
      <c r="I788" s="495">
        <v>-13077.069700000002</v>
      </c>
      <c r="J788" s="495">
        <v>0</v>
      </c>
      <c r="M788" s="495">
        <v>57999.573990000004</v>
      </c>
      <c r="N788" s="495">
        <v>59001.901160000001</v>
      </c>
      <c r="O788" s="495">
        <v>31072.142270000004</v>
      </c>
      <c r="P788" s="495">
        <v>0</v>
      </c>
      <c r="Q788" s="495">
        <v>0</v>
      </c>
      <c r="T788" s="495">
        <v>23870.605160000003</v>
      </c>
      <c r="U788" s="495">
        <v>108477.59303</v>
      </c>
      <c r="V788" s="495">
        <v>-3618.1196800000002</v>
      </c>
      <c r="W788" s="495">
        <v>-13077.069700000002</v>
      </c>
      <c r="X788" s="495">
        <v>0</v>
      </c>
      <c r="AA788" s="495">
        <v>0</v>
      </c>
      <c r="AB788" s="495">
        <v>0</v>
      </c>
      <c r="AC788" s="495">
        <v>0</v>
      </c>
      <c r="AD788" s="495">
        <v>0</v>
      </c>
      <c r="AE788" s="495">
        <v>0</v>
      </c>
      <c r="AH788" s="495">
        <v>15522.097401143441</v>
      </c>
      <c r="AI788" s="495">
        <v>15522.097401143441</v>
      </c>
      <c r="AJ788" s="495">
        <v>14759.520358643444</v>
      </c>
      <c r="AK788" s="495">
        <v>0</v>
      </c>
      <c r="AL788" s="495">
        <v>0</v>
      </c>
      <c r="AO788" s="495">
        <v>-16925.082319999983</v>
      </c>
      <c r="AP788" s="495">
        <v>-10863.412094999985</v>
      </c>
      <c r="AQ788" s="495">
        <v>0</v>
      </c>
      <c r="AR788" s="495">
        <v>0</v>
      </c>
      <c r="AS788" s="495">
        <v>0</v>
      </c>
    </row>
    <row r="789" spans="1:45">
      <c r="A789" s="390">
        <v>98451</v>
      </c>
      <c r="B789" s="393">
        <v>98451</v>
      </c>
      <c r="C789" s="499" t="s">
        <v>1493</v>
      </c>
      <c r="D789" s="378">
        <v>4.4106548271993081E-5</v>
      </c>
      <c r="F789" s="495">
        <v>24509.411044030276</v>
      </c>
      <c r="G789" s="495">
        <v>54506.781794030278</v>
      </c>
      <c r="H789" s="495">
        <v>13976.742044030258</v>
      </c>
      <c r="I789" s="495">
        <v>-4570.0830000000005</v>
      </c>
      <c r="J789" s="495">
        <v>0</v>
      </c>
      <c r="M789" s="495">
        <v>20269.286100000001</v>
      </c>
      <c r="N789" s="495">
        <v>20619.572400000001</v>
      </c>
      <c r="O789" s="495">
        <v>10858.8753</v>
      </c>
      <c r="P789" s="495">
        <v>0</v>
      </c>
      <c r="Q789" s="495">
        <v>0</v>
      </c>
      <c r="T789" s="495">
        <v>8342.1324000000004</v>
      </c>
      <c r="U789" s="495">
        <v>37909.991699999999</v>
      </c>
      <c r="V789" s="495">
        <v>-1264.4352000000001</v>
      </c>
      <c r="W789" s="495">
        <v>-4570.0830000000005</v>
      </c>
      <c r="X789" s="495">
        <v>0</v>
      </c>
      <c r="AA789" s="495">
        <v>0</v>
      </c>
      <c r="AB789" s="495">
        <v>0</v>
      </c>
      <c r="AC789" s="495">
        <v>0</v>
      </c>
      <c r="AD789" s="495">
        <v>0</v>
      </c>
      <c r="AE789" s="495">
        <v>0</v>
      </c>
      <c r="AH789" s="495">
        <v>5064.28054403026</v>
      </c>
      <c r="AI789" s="495">
        <v>4382.3019440302578</v>
      </c>
      <c r="AJ789" s="495">
        <v>4382.3019440302578</v>
      </c>
      <c r="AK789" s="495">
        <v>0</v>
      </c>
      <c r="AL789" s="495">
        <v>0</v>
      </c>
      <c r="AO789" s="495">
        <v>-9166.2879999999877</v>
      </c>
      <c r="AP789" s="495">
        <v>-8405.084249999989</v>
      </c>
      <c r="AQ789" s="495">
        <v>0</v>
      </c>
      <c r="AR789" s="495">
        <v>0</v>
      </c>
      <c r="AS789" s="495">
        <v>0</v>
      </c>
    </row>
    <row r="790" spans="1:45">
      <c r="A790" s="390">
        <v>98471</v>
      </c>
      <c r="B790" s="393">
        <v>98471</v>
      </c>
      <c r="C790" s="499" t="s">
        <v>1638</v>
      </c>
      <c r="D790" s="378">
        <v>1.3381998461757517E-5</v>
      </c>
      <c r="F790" s="495">
        <v>9889.9512848894447</v>
      </c>
      <c r="G790" s="495">
        <v>18982.217189889445</v>
      </c>
      <c r="H790" s="495">
        <v>2028.2354998894466</v>
      </c>
      <c r="I790" s="495">
        <v>-1386.5694000000001</v>
      </c>
      <c r="J790" s="495">
        <v>0</v>
      </c>
      <c r="M790" s="495">
        <v>6149.7289799999999</v>
      </c>
      <c r="N790" s="495">
        <v>6256.0063200000004</v>
      </c>
      <c r="O790" s="495">
        <v>3294.5975400000002</v>
      </c>
      <c r="P790" s="495">
        <v>0</v>
      </c>
      <c r="Q790" s="495">
        <v>0</v>
      </c>
      <c r="T790" s="495">
        <v>2531.0143200000002</v>
      </c>
      <c r="U790" s="495">
        <v>11501.943060000001</v>
      </c>
      <c r="V790" s="495">
        <v>-383.63136000000003</v>
      </c>
      <c r="W790" s="495">
        <v>-1386.5694000000001</v>
      </c>
      <c r="X790" s="495">
        <v>0</v>
      </c>
      <c r="AA790" s="495">
        <v>0</v>
      </c>
      <c r="AB790" s="495">
        <v>0</v>
      </c>
      <c r="AC790" s="495">
        <v>0</v>
      </c>
      <c r="AD790" s="495">
        <v>0</v>
      </c>
      <c r="AE790" s="495">
        <v>0</v>
      </c>
      <c r="AH790" s="495">
        <v>3515.0692199999985</v>
      </c>
      <c r="AI790" s="495">
        <v>2889.922169999998</v>
      </c>
      <c r="AJ790" s="495">
        <v>0</v>
      </c>
      <c r="AK790" s="495">
        <v>0</v>
      </c>
      <c r="AL790" s="495">
        <v>0</v>
      </c>
      <c r="AO790" s="495">
        <v>-2305.8612351105539</v>
      </c>
      <c r="AP790" s="495">
        <v>-1665.6543601105541</v>
      </c>
      <c r="AQ790" s="495">
        <v>-882.73068011055375</v>
      </c>
      <c r="AR790" s="495">
        <v>0</v>
      </c>
      <c r="AS790" s="495">
        <v>0</v>
      </c>
    </row>
    <row r="791" spans="1:45">
      <c r="A791" s="390">
        <v>98481</v>
      </c>
      <c r="B791" s="393">
        <v>98481</v>
      </c>
      <c r="C791" s="499" t="s">
        <v>1494</v>
      </c>
      <c r="D791" s="378">
        <v>7.948181024483411E-5</v>
      </c>
      <c r="F791" s="495">
        <v>53839.523305262686</v>
      </c>
      <c r="G791" s="495">
        <v>107061.66635026268</v>
      </c>
      <c r="H791" s="495">
        <v>20118.70126526268</v>
      </c>
      <c r="I791" s="495">
        <v>-8235.4760999999999</v>
      </c>
      <c r="J791" s="495">
        <v>0</v>
      </c>
      <c r="M791" s="495">
        <v>36526.080869999998</v>
      </c>
      <c r="N791" s="495">
        <v>37157.311079999999</v>
      </c>
      <c r="O791" s="495">
        <v>19568.13651</v>
      </c>
      <c r="P791" s="495">
        <v>0</v>
      </c>
      <c r="Q791" s="495">
        <v>0</v>
      </c>
      <c r="T791" s="495">
        <v>15032.863079999999</v>
      </c>
      <c r="U791" s="495">
        <v>68315.35239</v>
      </c>
      <c r="V791" s="495">
        <v>-2278.5638399999998</v>
      </c>
      <c r="W791" s="495">
        <v>-8235.4760999999999</v>
      </c>
      <c r="X791" s="495">
        <v>0</v>
      </c>
      <c r="AA791" s="495">
        <v>0</v>
      </c>
      <c r="AB791" s="495">
        <v>0</v>
      </c>
      <c r="AC791" s="495">
        <v>0</v>
      </c>
      <c r="AD791" s="495">
        <v>0</v>
      </c>
      <c r="AE791" s="495">
        <v>0</v>
      </c>
      <c r="AH791" s="495">
        <v>6068.5269452626871</v>
      </c>
      <c r="AI791" s="495">
        <v>2829.1285952626804</v>
      </c>
      <c r="AJ791" s="495">
        <v>2829.1285952626804</v>
      </c>
      <c r="AK791" s="495">
        <v>0</v>
      </c>
      <c r="AL791" s="495">
        <v>0</v>
      </c>
      <c r="AO791" s="495">
        <v>-3787.9475900000002</v>
      </c>
      <c r="AP791" s="495">
        <v>-1240.1257149999988</v>
      </c>
      <c r="AQ791" s="495">
        <v>0</v>
      </c>
      <c r="AR791" s="495">
        <v>0</v>
      </c>
      <c r="AS791" s="495">
        <v>0</v>
      </c>
    </row>
    <row r="792" spans="1:45">
      <c r="A792" s="390">
        <v>98501</v>
      </c>
      <c r="B792" s="393">
        <v>98501</v>
      </c>
      <c r="C792" s="499" t="s">
        <v>1495</v>
      </c>
      <c r="D792" s="378">
        <v>1.8579850264577522E-3</v>
      </c>
      <c r="F792" s="495">
        <v>954504.26063099643</v>
      </c>
      <c r="G792" s="495">
        <v>2247354.9762909967</v>
      </c>
      <c r="H792" s="495">
        <v>267455.4343059964</v>
      </c>
      <c r="I792" s="495">
        <v>-192514.48730000001</v>
      </c>
      <c r="J792" s="495">
        <v>0</v>
      </c>
      <c r="M792" s="495">
        <v>853842.52791000006</v>
      </c>
      <c r="N792" s="495">
        <v>868598.31844000006</v>
      </c>
      <c r="O792" s="495">
        <v>457429.50643000001</v>
      </c>
      <c r="P792" s="495">
        <v>0</v>
      </c>
      <c r="Q792" s="495">
        <v>0</v>
      </c>
      <c r="T792" s="495">
        <v>351411.85444000002</v>
      </c>
      <c r="U792" s="495">
        <v>1596956.2512700001</v>
      </c>
      <c r="V792" s="495">
        <v>-53264.261120000003</v>
      </c>
      <c r="W792" s="495">
        <v>-192514.48730000001</v>
      </c>
      <c r="X792" s="495">
        <v>0</v>
      </c>
      <c r="AA792" s="495">
        <v>0</v>
      </c>
      <c r="AB792" s="495">
        <v>0</v>
      </c>
      <c r="AC792" s="495">
        <v>0</v>
      </c>
      <c r="AD792" s="495">
        <v>0</v>
      </c>
      <c r="AE792" s="495">
        <v>0</v>
      </c>
      <c r="AH792" s="495">
        <v>0</v>
      </c>
      <c r="AI792" s="495">
        <v>0</v>
      </c>
      <c r="AJ792" s="495">
        <v>0</v>
      </c>
      <c r="AK792" s="495">
        <v>0</v>
      </c>
      <c r="AL792" s="495">
        <v>0</v>
      </c>
      <c r="AO792" s="495">
        <v>-250750.12171900363</v>
      </c>
      <c r="AP792" s="495">
        <v>-218199.59341900356</v>
      </c>
      <c r="AQ792" s="495">
        <v>-136709.81100400363</v>
      </c>
      <c r="AR792" s="495">
        <v>0</v>
      </c>
      <c r="AS792" s="495">
        <v>0</v>
      </c>
    </row>
    <row r="793" spans="1:45">
      <c r="A793" s="390">
        <v>98511</v>
      </c>
      <c r="B793" s="393">
        <v>98511</v>
      </c>
      <c r="C793" s="499" t="s">
        <v>1496</v>
      </c>
      <c r="D793" s="378">
        <v>6.973026914339042E-5</v>
      </c>
      <c r="F793" s="495">
        <v>55437.416146038289</v>
      </c>
      <c r="G793" s="495">
        <v>92896.412441038294</v>
      </c>
      <c r="H793" s="495">
        <v>18470.996181038299</v>
      </c>
      <c r="I793" s="495">
        <v>-7225.0835999999999</v>
      </c>
      <c r="J793" s="495">
        <v>0</v>
      </c>
      <c r="M793" s="495">
        <v>32044.776120000002</v>
      </c>
      <c r="N793" s="495">
        <v>32598.562080000003</v>
      </c>
      <c r="O793" s="495">
        <v>17167.36476</v>
      </c>
      <c r="P793" s="495">
        <v>0</v>
      </c>
      <c r="Q793" s="495">
        <v>0</v>
      </c>
      <c r="T793" s="495">
        <v>13188.514080000001</v>
      </c>
      <c r="U793" s="495">
        <v>59933.891640000002</v>
      </c>
      <c r="V793" s="495">
        <v>-1999.0118400000001</v>
      </c>
      <c r="W793" s="495">
        <v>-7225.0835999999999</v>
      </c>
      <c r="X793" s="495">
        <v>0</v>
      </c>
      <c r="AA793" s="495">
        <v>0</v>
      </c>
      <c r="AB793" s="495">
        <v>0</v>
      </c>
      <c r="AC793" s="495">
        <v>0</v>
      </c>
      <c r="AD793" s="495">
        <v>0</v>
      </c>
      <c r="AE793" s="495">
        <v>0</v>
      </c>
      <c r="AH793" s="495">
        <v>14898.906941038298</v>
      </c>
      <c r="AI793" s="495">
        <v>3703.0915910383019</v>
      </c>
      <c r="AJ793" s="495">
        <v>3302.643261038299</v>
      </c>
      <c r="AK793" s="495">
        <v>0</v>
      </c>
      <c r="AL793" s="495">
        <v>0</v>
      </c>
      <c r="AO793" s="495">
        <v>-4694.7809950000119</v>
      </c>
      <c r="AP793" s="495">
        <v>-3339.1328700000122</v>
      </c>
      <c r="AQ793" s="495">
        <v>0</v>
      </c>
      <c r="AR793" s="495">
        <v>0</v>
      </c>
      <c r="AS793" s="495">
        <v>0</v>
      </c>
    </row>
    <row r="794" spans="1:45">
      <c r="A794" s="390">
        <v>98517</v>
      </c>
      <c r="B794" s="393">
        <v>98517</v>
      </c>
      <c r="C794" s="499" t="s">
        <v>1497</v>
      </c>
      <c r="D794" s="378">
        <v>1.6922551152856764E-5</v>
      </c>
      <c r="F794" s="495">
        <v>5666.9516545463011</v>
      </c>
      <c r="G794" s="495">
        <v>17480.170499546301</v>
      </c>
      <c r="H794" s="495">
        <v>2756.9030095462981</v>
      </c>
      <c r="I794" s="495">
        <v>-1753.4196000000002</v>
      </c>
      <c r="J794" s="495">
        <v>0</v>
      </c>
      <c r="M794" s="495">
        <v>7776.7873200000004</v>
      </c>
      <c r="N794" s="495">
        <v>7911.1828800000003</v>
      </c>
      <c r="O794" s="495">
        <v>4166.2623599999997</v>
      </c>
      <c r="P794" s="495">
        <v>0</v>
      </c>
      <c r="Q794" s="495">
        <v>0</v>
      </c>
      <c r="T794" s="495">
        <v>3200.65488</v>
      </c>
      <c r="U794" s="495">
        <v>14545.05804</v>
      </c>
      <c r="V794" s="495">
        <v>-485.13024000000001</v>
      </c>
      <c r="W794" s="495">
        <v>-1753.4196000000002</v>
      </c>
      <c r="X794" s="495">
        <v>0</v>
      </c>
      <c r="AA794" s="495">
        <v>0</v>
      </c>
      <c r="AB794" s="495">
        <v>0</v>
      </c>
      <c r="AC794" s="495">
        <v>0</v>
      </c>
      <c r="AD794" s="495">
        <v>0</v>
      </c>
      <c r="AE794" s="495">
        <v>0</v>
      </c>
      <c r="AH794" s="495">
        <v>1989.1042499999994</v>
      </c>
      <c r="AI794" s="495">
        <v>0</v>
      </c>
      <c r="AJ794" s="495">
        <v>0</v>
      </c>
      <c r="AK794" s="495">
        <v>0</v>
      </c>
      <c r="AL794" s="495">
        <v>0</v>
      </c>
      <c r="AO794" s="495">
        <v>-7299.5947954537005</v>
      </c>
      <c r="AP794" s="495">
        <v>-4976.0704204537014</v>
      </c>
      <c r="AQ794" s="495">
        <v>-924.22911045370165</v>
      </c>
      <c r="AR794" s="495">
        <v>0</v>
      </c>
      <c r="AS794" s="495">
        <v>0</v>
      </c>
    </row>
    <row r="795" spans="1:45">
      <c r="A795" s="390">
        <v>98521</v>
      </c>
      <c r="B795" s="393">
        <v>98521</v>
      </c>
      <c r="C795" s="499" t="s">
        <v>1498</v>
      </c>
      <c r="D795" s="378">
        <v>5.637935158625412E-4</v>
      </c>
      <c r="F795" s="495">
        <v>288031.29960996122</v>
      </c>
      <c r="G795" s="495">
        <v>678830.3775949612</v>
      </c>
      <c r="H795" s="495">
        <v>95411.756429961184</v>
      </c>
      <c r="I795" s="495">
        <v>-58417.267300000007</v>
      </c>
      <c r="J795" s="495">
        <v>0</v>
      </c>
      <c r="M795" s="495">
        <v>259092.95391000001</v>
      </c>
      <c r="N795" s="495">
        <v>263570.50244000001</v>
      </c>
      <c r="O795" s="495">
        <v>138804.00443</v>
      </c>
      <c r="P795" s="495">
        <v>0</v>
      </c>
      <c r="Q795" s="495">
        <v>0</v>
      </c>
      <c r="T795" s="495">
        <v>106633.63844000001</v>
      </c>
      <c r="U795" s="495">
        <v>484585.97327000002</v>
      </c>
      <c r="V795" s="495">
        <v>-16162.693120000002</v>
      </c>
      <c r="W795" s="495">
        <v>-58417.267300000007</v>
      </c>
      <c r="X795" s="495">
        <v>0</v>
      </c>
      <c r="AA795" s="495">
        <v>0</v>
      </c>
      <c r="AB795" s="495">
        <v>0</v>
      </c>
      <c r="AC795" s="495">
        <v>0</v>
      </c>
      <c r="AD795" s="495">
        <v>0</v>
      </c>
      <c r="AE795" s="495">
        <v>0</v>
      </c>
      <c r="AH795" s="495">
        <v>0</v>
      </c>
      <c r="AI795" s="495">
        <v>0</v>
      </c>
      <c r="AJ795" s="495">
        <v>0</v>
      </c>
      <c r="AK795" s="495">
        <v>0</v>
      </c>
      <c r="AL795" s="495">
        <v>0</v>
      </c>
      <c r="AO795" s="495">
        <v>-77695.292740038858</v>
      </c>
      <c r="AP795" s="495">
        <v>-69326.098115038825</v>
      </c>
      <c r="AQ795" s="495">
        <v>-27229.554880038813</v>
      </c>
      <c r="AR795" s="495">
        <v>0</v>
      </c>
      <c r="AS795" s="495">
        <v>0</v>
      </c>
    </row>
    <row r="796" spans="1:45">
      <c r="A796" s="390">
        <v>98601</v>
      </c>
      <c r="B796" s="393">
        <v>98601</v>
      </c>
      <c r="C796" s="499" t="s">
        <v>1499</v>
      </c>
      <c r="D796" s="378">
        <v>3.4615724776970109E-3</v>
      </c>
      <c r="F796" s="495">
        <v>2149748.4112425242</v>
      </c>
      <c r="G796" s="495">
        <v>4519850.5351275243</v>
      </c>
      <c r="H796" s="495">
        <v>763857.62364252459</v>
      </c>
      <c r="I796" s="495">
        <v>-358669.64780000004</v>
      </c>
      <c r="J796" s="495">
        <v>0</v>
      </c>
      <c r="M796" s="495">
        <v>1590775.8582600001</v>
      </c>
      <c r="N796" s="495">
        <v>1618267.0578400001</v>
      </c>
      <c r="O796" s="495">
        <v>852227.18698</v>
      </c>
      <c r="P796" s="495">
        <v>0</v>
      </c>
      <c r="Q796" s="495">
        <v>0</v>
      </c>
      <c r="T796" s="495">
        <v>654707.95384000009</v>
      </c>
      <c r="U796" s="495">
        <v>2975255.2352200001</v>
      </c>
      <c r="V796" s="495">
        <v>-99235.512320000009</v>
      </c>
      <c r="W796" s="495">
        <v>-358669.64780000004</v>
      </c>
      <c r="X796" s="495">
        <v>0</v>
      </c>
      <c r="AA796" s="495">
        <v>0</v>
      </c>
      <c r="AB796" s="495">
        <v>0</v>
      </c>
      <c r="AC796" s="495">
        <v>0</v>
      </c>
      <c r="AD796" s="495">
        <v>0</v>
      </c>
      <c r="AE796" s="495">
        <v>0</v>
      </c>
      <c r="AH796" s="495">
        <v>10865.948982524555</v>
      </c>
      <c r="AI796" s="495">
        <v>10865.948982524555</v>
      </c>
      <c r="AJ796" s="495">
        <v>10865.948982524555</v>
      </c>
      <c r="AK796" s="495">
        <v>0</v>
      </c>
      <c r="AL796" s="495">
        <v>0</v>
      </c>
      <c r="AO796" s="495">
        <v>-106601.34984000061</v>
      </c>
      <c r="AP796" s="495">
        <v>-84537.706915000905</v>
      </c>
      <c r="AQ796" s="495">
        <v>0</v>
      </c>
      <c r="AR796" s="495">
        <v>0</v>
      </c>
      <c r="AS796" s="495">
        <v>0</v>
      </c>
    </row>
    <row r="797" spans="1:45">
      <c r="A797" s="390">
        <v>98604</v>
      </c>
      <c r="B797" s="393">
        <v>98604</v>
      </c>
      <c r="C797" s="499" t="s">
        <v>1500</v>
      </c>
      <c r="D797" s="378">
        <v>1.7482600866198465E-5</v>
      </c>
      <c r="F797" s="495">
        <v>14877.031268319686</v>
      </c>
      <c r="G797" s="495">
        <v>24763.496048319688</v>
      </c>
      <c r="H797" s="495">
        <v>6226.168995819693</v>
      </c>
      <c r="I797" s="495">
        <v>-1811.4523999999999</v>
      </c>
      <c r="J797" s="495">
        <v>0</v>
      </c>
      <c r="M797" s="495">
        <v>8034.1750799999991</v>
      </c>
      <c r="N797" s="495">
        <v>8173.0187199999991</v>
      </c>
      <c r="O797" s="495">
        <v>4304.1528399999997</v>
      </c>
      <c r="P797" s="495">
        <v>0</v>
      </c>
      <c r="Q797" s="495">
        <v>0</v>
      </c>
      <c r="T797" s="495">
        <v>3306.5867199999998</v>
      </c>
      <c r="U797" s="495">
        <v>15026.454759999999</v>
      </c>
      <c r="V797" s="495">
        <v>-501.18655999999999</v>
      </c>
      <c r="W797" s="495">
        <v>-1811.4523999999999</v>
      </c>
      <c r="X797" s="495">
        <v>0</v>
      </c>
      <c r="AA797" s="495">
        <v>0</v>
      </c>
      <c r="AB797" s="495">
        <v>0</v>
      </c>
      <c r="AC797" s="495">
        <v>0</v>
      </c>
      <c r="AD797" s="495">
        <v>0</v>
      </c>
      <c r="AE797" s="495">
        <v>0</v>
      </c>
      <c r="AH797" s="495">
        <v>5325.6254233196923</v>
      </c>
      <c r="AI797" s="495">
        <v>3353.3785233196936</v>
      </c>
      <c r="AJ797" s="495">
        <v>2423.2027158196934</v>
      </c>
      <c r="AK797" s="495">
        <v>0</v>
      </c>
      <c r="AL797" s="495">
        <v>0</v>
      </c>
      <c r="AO797" s="495">
        <v>-1789.3559550000023</v>
      </c>
      <c r="AP797" s="495">
        <v>-1789.3559550000023</v>
      </c>
      <c r="AQ797" s="495">
        <v>0</v>
      </c>
      <c r="AR797" s="495">
        <v>0</v>
      </c>
      <c r="AS797" s="495">
        <v>0</v>
      </c>
    </row>
    <row r="798" spans="1:45">
      <c r="A798" s="390">
        <v>98607</v>
      </c>
      <c r="B798" s="393">
        <v>98607</v>
      </c>
      <c r="C798" s="499" t="s">
        <v>1501</v>
      </c>
      <c r="D798" s="378">
        <v>8.6812898081861944E-6</v>
      </c>
      <c r="F798" s="495">
        <v>8599.5708322376995</v>
      </c>
      <c r="G798" s="495">
        <v>10573.431087237703</v>
      </c>
      <c r="H798" s="495">
        <v>4238.8859572376996</v>
      </c>
      <c r="I798" s="495">
        <v>-899.50839999999994</v>
      </c>
      <c r="J798" s="495">
        <v>0</v>
      </c>
      <c r="M798" s="495">
        <v>3989.51028</v>
      </c>
      <c r="N798" s="495">
        <v>4058.45552</v>
      </c>
      <c r="O798" s="495">
        <v>2137.3024399999999</v>
      </c>
      <c r="P798" s="495">
        <v>0</v>
      </c>
      <c r="Q798" s="495">
        <v>0</v>
      </c>
      <c r="T798" s="495">
        <v>1641.94352</v>
      </c>
      <c r="U798" s="495">
        <v>7461.6491599999999</v>
      </c>
      <c r="V798" s="495">
        <v>-248.87296000000001</v>
      </c>
      <c r="W798" s="495">
        <v>-899.50839999999994</v>
      </c>
      <c r="X798" s="495">
        <v>0</v>
      </c>
      <c r="AA798" s="495">
        <v>0</v>
      </c>
      <c r="AB798" s="495">
        <v>0</v>
      </c>
      <c r="AC798" s="495">
        <v>0</v>
      </c>
      <c r="AD798" s="495">
        <v>0</v>
      </c>
      <c r="AE798" s="495">
        <v>0</v>
      </c>
      <c r="AH798" s="495">
        <v>7942.5628672376988</v>
      </c>
      <c r="AI798" s="495">
        <v>3680.1966172376992</v>
      </c>
      <c r="AJ798" s="495">
        <v>2350.4564772376993</v>
      </c>
      <c r="AK798" s="495">
        <v>0</v>
      </c>
      <c r="AL798" s="495">
        <v>0</v>
      </c>
      <c r="AO798" s="495">
        <v>-4974.4458349999986</v>
      </c>
      <c r="AP798" s="495">
        <v>-4626.8702099999982</v>
      </c>
      <c r="AQ798" s="495">
        <v>0</v>
      </c>
      <c r="AR798" s="495">
        <v>0</v>
      </c>
      <c r="AS798" s="495">
        <v>0</v>
      </c>
    </row>
    <row r="799" spans="1:45">
      <c r="A799" s="390">
        <v>98608</v>
      </c>
      <c r="B799" s="393">
        <v>98608</v>
      </c>
      <c r="C799" s="499" t="s">
        <v>1502</v>
      </c>
      <c r="D799" s="378">
        <v>5.5608263272322075E-5</v>
      </c>
      <c r="F799" s="495">
        <v>31484.966935358992</v>
      </c>
      <c r="G799" s="495">
        <v>70833.482110358978</v>
      </c>
      <c r="H799" s="495">
        <v>10108.415402858993</v>
      </c>
      <c r="I799" s="495">
        <v>-5761.8280000000004</v>
      </c>
      <c r="J799" s="495">
        <v>0</v>
      </c>
      <c r="M799" s="495">
        <v>25554.927600000003</v>
      </c>
      <c r="N799" s="495">
        <v>25996.558400000002</v>
      </c>
      <c r="O799" s="495">
        <v>13690.5548</v>
      </c>
      <c r="P799" s="495">
        <v>0</v>
      </c>
      <c r="Q799" s="495">
        <v>0</v>
      </c>
      <c r="T799" s="495">
        <v>10517.518400000001</v>
      </c>
      <c r="U799" s="495">
        <v>47795.817200000005</v>
      </c>
      <c r="V799" s="495">
        <v>-1594.1632000000002</v>
      </c>
      <c r="W799" s="495">
        <v>-5761.8280000000004</v>
      </c>
      <c r="X799" s="495">
        <v>0</v>
      </c>
      <c r="AA799" s="495">
        <v>0</v>
      </c>
      <c r="AB799" s="495">
        <v>0</v>
      </c>
      <c r="AC799" s="495">
        <v>0</v>
      </c>
      <c r="AD799" s="495">
        <v>0</v>
      </c>
      <c r="AE799" s="495">
        <v>0</v>
      </c>
      <c r="AH799" s="495">
        <v>3217.0729474999989</v>
      </c>
      <c r="AI799" s="495">
        <v>1776.7548224999991</v>
      </c>
      <c r="AJ799" s="495">
        <v>0</v>
      </c>
      <c r="AK799" s="495">
        <v>0</v>
      </c>
      <c r="AL799" s="495">
        <v>0</v>
      </c>
      <c r="AO799" s="495">
        <v>-7804.5520121410073</v>
      </c>
      <c r="AP799" s="495">
        <v>-4735.6483121410083</v>
      </c>
      <c r="AQ799" s="495">
        <v>-1987.9761971410062</v>
      </c>
      <c r="AR799" s="495">
        <v>0</v>
      </c>
      <c r="AS799" s="495">
        <v>0</v>
      </c>
    </row>
    <row r="800" spans="1:45">
      <c r="A800" s="390">
        <v>98611</v>
      </c>
      <c r="B800" s="393">
        <v>98611</v>
      </c>
      <c r="C800" s="499" t="s">
        <v>1503</v>
      </c>
      <c r="D800" s="378">
        <v>1.426911720769077E-4</v>
      </c>
      <c r="F800" s="495">
        <v>106216.85052576064</v>
      </c>
      <c r="G800" s="495">
        <v>195635.83282076064</v>
      </c>
      <c r="H800" s="495">
        <v>40169.346073260647</v>
      </c>
      <c r="I800" s="495">
        <v>-14784.892099999999</v>
      </c>
      <c r="J800" s="495">
        <v>0</v>
      </c>
      <c r="M800" s="495">
        <v>65574.128069999992</v>
      </c>
      <c r="N800" s="495">
        <v>66707.355879999988</v>
      </c>
      <c r="O800" s="495">
        <v>35130.062109999999</v>
      </c>
      <c r="P800" s="495">
        <v>0</v>
      </c>
      <c r="Q800" s="495">
        <v>0</v>
      </c>
      <c r="T800" s="495">
        <v>26988.027879999998</v>
      </c>
      <c r="U800" s="495">
        <v>122644.41078999999</v>
      </c>
      <c r="V800" s="495">
        <v>-4090.6342399999999</v>
      </c>
      <c r="W800" s="495">
        <v>-14784.892099999999</v>
      </c>
      <c r="X800" s="495">
        <v>0</v>
      </c>
      <c r="AA800" s="495">
        <v>0</v>
      </c>
      <c r="AB800" s="495">
        <v>0</v>
      </c>
      <c r="AC800" s="495">
        <v>0</v>
      </c>
      <c r="AD800" s="495">
        <v>0</v>
      </c>
      <c r="AE800" s="495">
        <v>0</v>
      </c>
      <c r="AH800" s="495">
        <v>20553.059753260652</v>
      </c>
      <c r="AI800" s="495">
        <v>9129.9182032606514</v>
      </c>
      <c r="AJ800" s="495">
        <v>9129.9182032606514</v>
      </c>
      <c r="AK800" s="495">
        <v>0</v>
      </c>
      <c r="AL800" s="495">
        <v>0</v>
      </c>
      <c r="AO800" s="495">
        <v>-6898.3651774999944</v>
      </c>
      <c r="AP800" s="495">
        <v>-2845.8520524999972</v>
      </c>
      <c r="AQ800" s="495">
        <v>0</v>
      </c>
      <c r="AR800" s="495">
        <v>0</v>
      </c>
      <c r="AS800" s="495">
        <v>0</v>
      </c>
    </row>
    <row r="801" spans="1:45">
      <c r="A801" s="390">
        <v>98621</v>
      </c>
      <c r="B801" s="393">
        <v>98621</v>
      </c>
      <c r="C801" s="499" t="s">
        <v>1504</v>
      </c>
      <c r="D801" s="378">
        <v>1.4724174290004145E-4</v>
      </c>
      <c r="F801" s="495">
        <v>97103.408689231976</v>
      </c>
      <c r="G801" s="495">
        <v>199628.40928423201</v>
      </c>
      <c r="H801" s="495">
        <v>35737.213619231996</v>
      </c>
      <c r="I801" s="495">
        <v>-15256.408599999999</v>
      </c>
      <c r="J801" s="495">
        <v>0</v>
      </c>
      <c r="M801" s="495">
        <v>67665.403619999997</v>
      </c>
      <c r="N801" s="495">
        <v>68834.772079999995</v>
      </c>
      <c r="O801" s="495">
        <v>36250.422259999999</v>
      </c>
      <c r="P801" s="495">
        <v>0</v>
      </c>
      <c r="Q801" s="495">
        <v>0</v>
      </c>
      <c r="T801" s="495">
        <v>27848.724079999996</v>
      </c>
      <c r="U801" s="495">
        <v>126555.75913999999</v>
      </c>
      <c r="V801" s="495">
        <v>-4221.09184</v>
      </c>
      <c r="W801" s="495">
        <v>-15256.408599999999</v>
      </c>
      <c r="X801" s="495">
        <v>0</v>
      </c>
      <c r="AA801" s="495">
        <v>0</v>
      </c>
      <c r="AB801" s="495">
        <v>0</v>
      </c>
      <c r="AC801" s="495">
        <v>0</v>
      </c>
      <c r="AD801" s="495">
        <v>0</v>
      </c>
      <c r="AE801" s="495">
        <v>0</v>
      </c>
      <c r="AH801" s="495">
        <v>5624.5155192319944</v>
      </c>
      <c r="AI801" s="495">
        <v>5624.5155192319944</v>
      </c>
      <c r="AJ801" s="495">
        <v>3707.8831992319992</v>
      </c>
      <c r="AK801" s="495">
        <v>0</v>
      </c>
      <c r="AL801" s="495">
        <v>0</v>
      </c>
      <c r="AO801" s="495">
        <v>-4035.2345300000197</v>
      </c>
      <c r="AP801" s="495">
        <v>-1386.6374550000037</v>
      </c>
      <c r="AQ801" s="495">
        <v>0</v>
      </c>
      <c r="AR801" s="495">
        <v>0</v>
      </c>
      <c r="AS801" s="495">
        <v>0</v>
      </c>
    </row>
    <row r="802" spans="1:45">
      <c r="A802" s="390">
        <v>98627</v>
      </c>
      <c r="B802" s="393">
        <v>98627</v>
      </c>
      <c r="C802" s="499" t="s">
        <v>1505</v>
      </c>
      <c r="D802" s="378">
        <v>8.711258031257724E-6</v>
      </c>
      <c r="F802" s="495">
        <v>4617.344680073772</v>
      </c>
      <c r="G802" s="495">
        <v>10554.159290073772</v>
      </c>
      <c r="H802" s="495">
        <v>1451.6517325737723</v>
      </c>
      <c r="I802" s="495">
        <v>-902.6173</v>
      </c>
      <c r="J802" s="495">
        <v>0</v>
      </c>
      <c r="M802" s="495">
        <v>4003.29891</v>
      </c>
      <c r="N802" s="495">
        <v>4072.4824399999998</v>
      </c>
      <c r="O802" s="495">
        <v>2144.6894299999999</v>
      </c>
      <c r="P802" s="495">
        <v>0</v>
      </c>
      <c r="Q802" s="495">
        <v>0</v>
      </c>
      <c r="T802" s="495">
        <v>1647.61844</v>
      </c>
      <c r="U802" s="495">
        <v>7487.4382699999996</v>
      </c>
      <c r="V802" s="495">
        <v>-249.73311999999999</v>
      </c>
      <c r="W802" s="495">
        <v>-902.6173</v>
      </c>
      <c r="X802" s="495">
        <v>0</v>
      </c>
      <c r="AA802" s="495">
        <v>0</v>
      </c>
      <c r="AB802" s="495">
        <v>0</v>
      </c>
      <c r="AC802" s="495">
        <v>0</v>
      </c>
      <c r="AD802" s="495">
        <v>0</v>
      </c>
      <c r="AE802" s="495">
        <v>0</v>
      </c>
      <c r="AH802" s="495">
        <v>14.030222500000491</v>
      </c>
      <c r="AI802" s="495">
        <v>14.030222500000491</v>
      </c>
      <c r="AJ802" s="495">
        <v>0</v>
      </c>
      <c r="AK802" s="495">
        <v>0</v>
      </c>
      <c r="AL802" s="495">
        <v>0</v>
      </c>
      <c r="AO802" s="495">
        <v>-1047.6028924262284</v>
      </c>
      <c r="AP802" s="495">
        <v>-1019.7916424262282</v>
      </c>
      <c r="AQ802" s="495">
        <v>-443.30457742622775</v>
      </c>
      <c r="AR802" s="495">
        <v>0</v>
      </c>
      <c r="AS802" s="495">
        <v>0</v>
      </c>
    </row>
    <row r="803" spans="1:45">
      <c r="A803" s="390">
        <v>98631</v>
      </c>
      <c r="B803" s="393">
        <v>98631</v>
      </c>
      <c r="C803" s="499" t="s">
        <v>1506</v>
      </c>
      <c r="D803" s="378">
        <v>7.4645042891367244E-4</v>
      </c>
      <c r="F803" s="495">
        <v>449465.96327837376</v>
      </c>
      <c r="G803" s="495">
        <v>949272.66234337375</v>
      </c>
      <c r="H803" s="495">
        <v>158827.44403087377</v>
      </c>
      <c r="I803" s="495">
        <v>-77343.214200000002</v>
      </c>
      <c r="J803" s="495">
        <v>0</v>
      </c>
      <c r="M803" s="495">
        <v>343033.53713999997</v>
      </c>
      <c r="N803" s="495">
        <v>348961.71575999999</v>
      </c>
      <c r="O803" s="495">
        <v>183773.53722</v>
      </c>
      <c r="P803" s="495">
        <v>0</v>
      </c>
      <c r="Q803" s="495">
        <v>0</v>
      </c>
      <c r="T803" s="495">
        <v>141180.65975999998</v>
      </c>
      <c r="U803" s="495">
        <v>641581.47858</v>
      </c>
      <c r="V803" s="495">
        <v>-21399.06048</v>
      </c>
      <c r="W803" s="495">
        <v>-77343.214200000002</v>
      </c>
      <c r="X803" s="495">
        <v>0</v>
      </c>
      <c r="AA803" s="495">
        <v>0</v>
      </c>
      <c r="AB803" s="495">
        <v>0</v>
      </c>
      <c r="AC803" s="495">
        <v>0</v>
      </c>
      <c r="AD803" s="495">
        <v>0</v>
      </c>
      <c r="AE803" s="495">
        <v>0</v>
      </c>
      <c r="AH803" s="495">
        <v>30682.618262500037</v>
      </c>
      <c r="AI803" s="495">
        <v>15919.745137500024</v>
      </c>
      <c r="AJ803" s="495">
        <v>0</v>
      </c>
      <c r="AK803" s="495">
        <v>0</v>
      </c>
      <c r="AL803" s="495">
        <v>0</v>
      </c>
      <c r="AO803" s="495">
        <v>-65430.851884126256</v>
      </c>
      <c r="AP803" s="495">
        <v>-57190.277134126169</v>
      </c>
      <c r="AQ803" s="495">
        <v>-3547.0327091262589</v>
      </c>
      <c r="AR803" s="495">
        <v>0</v>
      </c>
      <c r="AS803" s="495">
        <v>0</v>
      </c>
    </row>
    <row r="804" spans="1:45">
      <c r="A804" s="390">
        <v>98637</v>
      </c>
      <c r="B804" s="393">
        <v>98637</v>
      </c>
      <c r="C804" s="499" t="s">
        <v>1507</v>
      </c>
      <c r="D804" s="378">
        <v>1.4282083656683104E-5</v>
      </c>
      <c r="F804" s="495">
        <v>8761.1399574716997</v>
      </c>
      <c r="G804" s="495">
        <v>15753.111712471702</v>
      </c>
      <c r="H804" s="495">
        <v>-812.27464002829811</v>
      </c>
      <c r="I804" s="495">
        <v>-1479.8364000000001</v>
      </c>
      <c r="J804" s="495">
        <v>0</v>
      </c>
      <c r="M804" s="495">
        <v>6563.3878800000002</v>
      </c>
      <c r="N804" s="495">
        <v>6676.8139200000005</v>
      </c>
      <c r="O804" s="495">
        <v>3516.2072400000002</v>
      </c>
      <c r="P804" s="495">
        <v>0</v>
      </c>
      <c r="Q804" s="495">
        <v>0</v>
      </c>
      <c r="T804" s="495">
        <v>2701.2619199999999</v>
      </c>
      <c r="U804" s="495">
        <v>12275.61636</v>
      </c>
      <c r="V804" s="495">
        <v>-409.43616000000003</v>
      </c>
      <c r="W804" s="495">
        <v>-1479.8364000000001</v>
      </c>
      <c r="X804" s="495">
        <v>0</v>
      </c>
      <c r="AA804" s="495">
        <v>0</v>
      </c>
      <c r="AB804" s="495">
        <v>0</v>
      </c>
      <c r="AC804" s="495">
        <v>0</v>
      </c>
      <c r="AD804" s="495">
        <v>0</v>
      </c>
      <c r="AE804" s="495">
        <v>0</v>
      </c>
      <c r="AH804" s="495">
        <v>4531.0757825000001</v>
      </c>
      <c r="AI804" s="495">
        <v>1835.2670575000002</v>
      </c>
      <c r="AJ804" s="495">
        <v>0</v>
      </c>
      <c r="AK804" s="495">
        <v>0</v>
      </c>
      <c r="AL804" s="495">
        <v>0</v>
      </c>
      <c r="AO804" s="495">
        <v>-5034.5856250282995</v>
      </c>
      <c r="AP804" s="495">
        <v>-5034.5856250282995</v>
      </c>
      <c r="AQ804" s="495">
        <v>-3919.0457200282981</v>
      </c>
      <c r="AR804" s="495">
        <v>0</v>
      </c>
      <c r="AS804" s="495">
        <v>0</v>
      </c>
    </row>
    <row r="805" spans="1:45">
      <c r="A805" s="390">
        <v>98641</v>
      </c>
      <c r="B805" s="393">
        <v>98641</v>
      </c>
      <c r="C805" s="499" t="s">
        <v>1508</v>
      </c>
      <c r="D805" s="378">
        <v>2.428059555489498E-4</v>
      </c>
      <c r="F805" s="495">
        <v>114020.32804713082</v>
      </c>
      <c r="G805" s="495">
        <v>290679.97106713086</v>
      </c>
      <c r="H805" s="495">
        <v>35390.122184630811</v>
      </c>
      <c r="I805" s="495">
        <v>-25158.255100000002</v>
      </c>
      <c r="J805" s="495">
        <v>0</v>
      </c>
      <c r="M805" s="495">
        <v>111582.19017</v>
      </c>
      <c r="N805" s="495">
        <v>113510.51228000001</v>
      </c>
      <c r="O805" s="495">
        <v>59777.985410000001</v>
      </c>
      <c r="P805" s="495">
        <v>0</v>
      </c>
      <c r="Q805" s="495">
        <v>0</v>
      </c>
      <c r="T805" s="495">
        <v>45923.344280000005</v>
      </c>
      <c r="U805" s="495">
        <v>208694.07449</v>
      </c>
      <c r="V805" s="495">
        <v>-6960.7014399999998</v>
      </c>
      <c r="W805" s="495">
        <v>-25158.255100000002</v>
      </c>
      <c r="X805" s="495">
        <v>0</v>
      </c>
      <c r="AA805" s="495">
        <v>0</v>
      </c>
      <c r="AB805" s="495">
        <v>0</v>
      </c>
      <c r="AC805" s="495">
        <v>0</v>
      </c>
      <c r="AD805" s="495">
        <v>0</v>
      </c>
      <c r="AE805" s="495">
        <v>0</v>
      </c>
      <c r="AH805" s="495">
        <v>3923.3819974999933</v>
      </c>
      <c r="AI805" s="495">
        <v>3923.3819974999933</v>
      </c>
      <c r="AJ805" s="495">
        <v>0</v>
      </c>
      <c r="AK805" s="495">
        <v>0</v>
      </c>
      <c r="AL805" s="495">
        <v>0</v>
      </c>
      <c r="AO805" s="495">
        <v>-47408.588400369175</v>
      </c>
      <c r="AP805" s="495">
        <v>-35447.997700369153</v>
      </c>
      <c r="AQ805" s="495">
        <v>-17427.161785369193</v>
      </c>
      <c r="AR805" s="495">
        <v>0</v>
      </c>
      <c r="AS805" s="495">
        <v>0</v>
      </c>
    </row>
    <row r="806" spans="1:45">
      <c r="A806" s="390">
        <v>98701</v>
      </c>
      <c r="B806" s="393">
        <v>98701</v>
      </c>
      <c r="C806" s="499" t="s">
        <v>1509</v>
      </c>
      <c r="D806" s="378">
        <v>1.085950784850931E-3</v>
      </c>
      <c r="F806" s="495">
        <v>725770.10956856259</v>
      </c>
      <c r="G806" s="495">
        <v>1438174.1447085624</v>
      </c>
      <c r="H806" s="495">
        <v>262641.73547856248</v>
      </c>
      <c r="I806" s="495">
        <v>-112520.41770000001</v>
      </c>
      <c r="J806" s="495">
        <v>0</v>
      </c>
      <c r="M806" s="495">
        <v>499051.88559000002</v>
      </c>
      <c r="N806" s="495">
        <v>507676.31556000008</v>
      </c>
      <c r="O806" s="495">
        <v>267357.32907000004</v>
      </c>
      <c r="P806" s="495">
        <v>0</v>
      </c>
      <c r="Q806" s="495">
        <v>0</v>
      </c>
      <c r="T806" s="495">
        <v>205392.37956000003</v>
      </c>
      <c r="U806" s="495">
        <v>933385.25823000004</v>
      </c>
      <c r="V806" s="495">
        <v>-31131.770880000004</v>
      </c>
      <c r="W806" s="495">
        <v>-112520.41770000001</v>
      </c>
      <c r="X806" s="495">
        <v>0</v>
      </c>
      <c r="AA806" s="495">
        <v>0</v>
      </c>
      <c r="AB806" s="495">
        <v>0</v>
      </c>
      <c r="AC806" s="495">
        <v>0</v>
      </c>
      <c r="AD806" s="495">
        <v>0</v>
      </c>
      <c r="AE806" s="495">
        <v>0</v>
      </c>
      <c r="AH806" s="495">
        <v>65353.568278562481</v>
      </c>
      <c r="AI806" s="495">
        <v>32959.58477856245</v>
      </c>
      <c r="AJ806" s="495">
        <v>26416.177288562438</v>
      </c>
      <c r="AK806" s="495">
        <v>0</v>
      </c>
      <c r="AL806" s="495">
        <v>0</v>
      </c>
      <c r="AO806" s="495">
        <v>-44027.723860000013</v>
      </c>
      <c r="AP806" s="495">
        <v>-35847.013860000021</v>
      </c>
      <c r="AQ806" s="495">
        <v>0</v>
      </c>
      <c r="AR806" s="495">
        <v>0</v>
      </c>
      <c r="AS806" s="495">
        <v>0</v>
      </c>
    </row>
    <row r="807" spans="1:45">
      <c r="A807" s="390">
        <v>98711</v>
      </c>
      <c r="B807" s="393">
        <v>98711</v>
      </c>
      <c r="C807" s="499" t="s">
        <v>1510</v>
      </c>
      <c r="D807" s="378">
        <v>1.6499435448896359E-4</v>
      </c>
      <c r="F807" s="495">
        <v>102024.12151307636</v>
      </c>
      <c r="G807" s="495">
        <v>210691.67060807633</v>
      </c>
      <c r="H807" s="495">
        <v>41993.812573076357</v>
      </c>
      <c r="I807" s="495">
        <v>-17095.841099999998</v>
      </c>
      <c r="J807" s="495">
        <v>0</v>
      </c>
      <c r="M807" s="495">
        <v>75823.676370000001</v>
      </c>
      <c r="N807" s="495">
        <v>77134.033079999994</v>
      </c>
      <c r="O807" s="495">
        <v>40621.058009999993</v>
      </c>
      <c r="P807" s="495">
        <v>0</v>
      </c>
      <c r="Q807" s="495">
        <v>0</v>
      </c>
      <c r="T807" s="495">
        <v>31206.385079999996</v>
      </c>
      <c r="U807" s="495">
        <v>141814.31589</v>
      </c>
      <c r="V807" s="495">
        <v>-4730.0198399999999</v>
      </c>
      <c r="W807" s="495">
        <v>-17095.841099999998</v>
      </c>
      <c r="X807" s="495">
        <v>0</v>
      </c>
      <c r="AA807" s="495">
        <v>0</v>
      </c>
      <c r="AB807" s="495">
        <v>0</v>
      </c>
      <c r="AC807" s="495">
        <v>0</v>
      </c>
      <c r="AD807" s="495">
        <v>0</v>
      </c>
      <c r="AE807" s="495">
        <v>0</v>
      </c>
      <c r="AH807" s="495">
        <v>11842.760953076384</v>
      </c>
      <c r="AI807" s="495">
        <v>6102.7744030763679</v>
      </c>
      <c r="AJ807" s="495">
        <v>6102.7744030763679</v>
      </c>
      <c r="AK807" s="495">
        <v>0</v>
      </c>
      <c r="AL807" s="495">
        <v>0</v>
      </c>
      <c r="AO807" s="495">
        <v>-16848.700890000026</v>
      </c>
      <c r="AP807" s="495">
        <v>-14359.45276500002</v>
      </c>
      <c r="AQ807" s="495">
        <v>0</v>
      </c>
      <c r="AR807" s="495">
        <v>0</v>
      </c>
      <c r="AS807" s="495">
        <v>0</v>
      </c>
    </row>
    <row r="808" spans="1:45">
      <c r="A808" s="390">
        <v>98717</v>
      </c>
      <c r="B808" s="393">
        <v>98717</v>
      </c>
      <c r="C808" s="499" t="s">
        <v>1511</v>
      </c>
      <c r="D808" s="378">
        <v>1.35720444704438E-5</v>
      </c>
      <c r="F808" s="495">
        <v>9554.0883545179186</v>
      </c>
      <c r="G808" s="495">
        <v>13560.853749517921</v>
      </c>
      <c r="H808" s="495">
        <v>-1280.4054029820772</v>
      </c>
      <c r="I808" s="495">
        <v>-1406.2591</v>
      </c>
      <c r="J808" s="495">
        <v>0</v>
      </c>
      <c r="M808" s="495">
        <v>6237.0569700000005</v>
      </c>
      <c r="N808" s="495">
        <v>6344.8434800000005</v>
      </c>
      <c r="O808" s="495">
        <v>3341.3818100000003</v>
      </c>
      <c r="P808" s="495">
        <v>0</v>
      </c>
      <c r="Q808" s="495">
        <v>0</v>
      </c>
      <c r="T808" s="495">
        <v>2566.9554800000001</v>
      </c>
      <c r="U808" s="495">
        <v>11665.274090000001</v>
      </c>
      <c r="V808" s="495">
        <v>-389.07904000000002</v>
      </c>
      <c r="W808" s="495">
        <v>-1406.2591</v>
      </c>
      <c r="X808" s="495">
        <v>0</v>
      </c>
      <c r="AA808" s="495">
        <v>0</v>
      </c>
      <c r="AB808" s="495">
        <v>0</v>
      </c>
      <c r="AC808" s="495">
        <v>0</v>
      </c>
      <c r="AD808" s="495">
        <v>0</v>
      </c>
      <c r="AE808" s="495">
        <v>0</v>
      </c>
      <c r="AH808" s="495">
        <v>6860.8553075</v>
      </c>
      <c r="AI808" s="495">
        <v>1348.1949574999999</v>
      </c>
      <c r="AJ808" s="495">
        <v>0</v>
      </c>
      <c r="AK808" s="495">
        <v>0</v>
      </c>
      <c r="AL808" s="495">
        <v>0</v>
      </c>
      <c r="AO808" s="495">
        <v>-6110.7794029820816</v>
      </c>
      <c r="AP808" s="495">
        <v>-5797.4587779820813</v>
      </c>
      <c r="AQ808" s="495">
        <v>-4232.7081729820775</v>
      </c>
      <c r="AR808" s="495">
        <v>0</v>
      </c>
      <c r="AS808" s="495">
        <v>0</v>
      </c>
    </row>
    <row r="809" spans="1:45">
      <c r="A809" s="390">
        <v>98801</v>
      </c>
      <c r="B809" s="393">
        <v>98801</v>
      </c>
      <c r="C809" s="499" t="s">
        <v>1512</v>
      </c>
      <c r="D809" s="378">
        <v>2.2259995532174113E-3</v>
      </c>
      <c r="F809" s="495">
        <v>1401581.9955105679</v>
      </c>
      <c r="G809" s="495">
        <v>2904528.0178555679</v>
      </c>
      <c r="H809" s="495">
        <v>541297.27664806799</v>
      </c>
      <c r="I809" s="495">
        <v>-230646.18209999998</v>
      </c>
      <c r="J809" s="495">
        <v>0</v>
      </c>
      <c r="M809" s="495">
        <v>1022964.6710699999</v>
      </c>
      <c r="N809" s="495">
        <v>1040643.16788</v>
      </c>
      <c r="O809" s="495">
        <v>548033.40110999998</v>
      </c>
      <c r="P809" s="495">
        <v>0</v>
      </c>
      <c r="Q809" s="495">
        <v>0</v>
      </c>
      <c r="T809" s="495">
        <v>421016.63987999997</v>
      </c>
      <c r="U809" s="495">
        <v>1913268.2817899999</v>
      </c>
      <c r="V809" s="495">
        <v>-63814.410239999997</v>
      </c>
      <c r="W809" s="495">
        <v>-230646.18209999998</v>
      </c>
      <c r="X809" s="495">
        <v>0</v>
      </c>
      <c r="AA809" s="495">
        <v>0</v>
      </c>
      <c r="AB809" s="495">
        <v>0</v>
      </c>
      <c r="AC809" s="495">
        <v>0</v>
      </c>
      <c r="AD809" s="495">
        <v>0</v>
      </c>
      <c r="AE809" s="495">
        <v>0</v>
      </c>
      <c r="AH809" s="495">
        <v>112600.15187556809</v>
      </c>
      <c r="AI809" s="495">
        <v>105047.72000056808</v>
      </c>
      <c r="AJ809" s="495">
        <v>57078.285778068006</v>
      </c>
      <c r="AK809" s="495">
        <v>0</v>
      </c>
      <c r="AL809" s="495">
        <v>0</v>
      </c>
      <c r="AO809" s="495">
        <v>-154999.46731500013</v>
      </c>
      <c r="AP809" s="495">
        <v>-154431.15181500011</v>
      </c>
      <c r="AQ809" s="495">
        <v>0</v>
      </c>
      <c r="AR809" s="495">
        <v>0</v>
      </c>
      <c r="AS809" s="495">
        <v>0</v>
      </c>
    </row>
    <row r="810" spans="1:45">
      <c r="A810" s="390">
        <v>98811</v>
      </c>
      <c r="B810" s="393">
        <v>98811</v>
      </c>
      <c r="C810" s="499" t="s">
        <v>1513</v>
      </c>
      <c r="D810" s="378">
        <v>6.4712579769944699E-4</v>
      </c>
      <c r="F810" s="495">
        <v>516186.92302085366</v>
      </c>
      <c r="G810" s="495">
        <v>919072.51797585364</v>
      </c>
      <c r="H810" s="495">
        <v>191098.16422335349</v>
      </c>
      <c r="I810" s="495">
        <v>-67051.718900000007</v>
      </c>
      <c r="J810" s="495">
        <v>0</v>
      </c>
      <c r="M810" s="495">
        <v>297388.57563000004</v>
      </c>
      <c r="N810" s="495">
        <v>302527.93492000003</v>
      </c>
      <c r="O810" s="495">
        <v>159320.13799000002</v>
      </c>
      <c r="P810" s="495">
        <v>0</v>
      </c>
      <c r="Q810" s="495">
        <v>0</v>
      </c>
      <c r="T810" s="495">
        <v>122394.78292000001</v>
      </c>
      <c r="U810" s="495">
        <v>556210.9281100001</v>
      </c>
      <c r="V810" s="495">
        <v>-18551.64416</v>
      </c>
      <c r="W810" s="495">
        <v>-67051.718900000007</v>
      </c>
      <c r="X810" s="495">
        <v>0</v>
      </c>
      <c r="AA810" s="495">
        <v>0</v>
      </c>
      <c r="AB810" s="495">
        <v>0</v>
      </c>
      <c r="AC810" s="495">
        <v>0</v>
      </c>
      <c r="AD810" s="495">
        <v>0</v>
      </c>
      <c r="AE810" s="495">
        <v>0</v>
      </c>
      <c r="AH810" s="495">
        <v>96920.156775853553</v>
      </c>
      <c r="AI810" s="495">
        <v>60850.247250853499</v>
      </c>
      <c r="AJ810" s="495">
        <v>50329.670393353488</v>
      </c>
      <c r="AK810" s="495">
        <v>0</v>
      </c>
      <c r="AL810" s="495">
        <v>0</v>
      </c>
      <c r="AO810" s="495">
        <v>-516.59230499995465</v>
      </c>
      <c r="AP810" s="495">
        <v>-516.59230499995465</v>
      </c>
      <c r="AQ810" s="495">
        <v>0</v>
      </c>
      <c r="AR810" s="495">
        <v>0</v>
      </c>
      <c r="AS810" s="495">
        <v>0</v>
      </c>
    </row>
    <row r="811" spans="1:45">
      <c r="A811" s="390">
        <v>98817</v>
      </c>
      <c r="B811" s="393">
        <v>98817</v>
      </c>
      <c r="C811" s="499" t="s">
        <v>1514</v>
      </c>
      <c r="D811" s="378">
        <v>7.7611763453662684E-6</v>
      </c>
      <c r="F811" s="495">
        <v>5646.6213194313968</v>
      </c>
      <c r="G811" s="495">
        <v>11189.343804431399</v>
      </c>
      <c r="H811" s="495">
        <v>1846.0581269313975</v>
      </c>
      <c r="I811" s="495">
        <v>-804.16880000000003</v>
      </c>
      <c r="J811" s="495">
        <v>0</v>
      </c>
      <c r="M811" s="495">
        <v>3566.6589600000002</v>
      </c>
      <c r="N811" s="495">
        <v>3628.29664</v>
      </c>
      <c r="O811" s="495">
        <v>1910.7680800000001</v>
      </c>
      <c r="P811" s="495">
        <v>0</v>
      </c>
      <c r="Q811" s="495">
        <v>0</v>
      </c>
      <c r="T811" s="495">
        <v>1467.91264</v>
      </c>
      <c r="U811" s="495">
        <v>6670.7831200000001</v>
      </c>
      <c r="V811" s="495">
        <v>-222.49472</v>
      </c>
      <c r="W811" s="495">
        <v>-804.16880000000003</v>
      </c>
      <c r="X811" s="495">
        <v>0</v>
      </c>
      <c r="AA811" s="495">
        <v>0</v>
      </c>
      <c r="AB811" s="495">
        <v>0</v>
      </c>
      <c r="AC811" s="495">
        <v>0</v>
      </c>
      <c r="AD811" s="495">
        <v>0</v>
      </c>
      <c r="AE811" s="495">
        <v>0</v>
      </c>
      <c r="AH811" s="495">
        <v>3600.3099244313976</v>
      </c>
      <c r="AI811" s="495">
        <v>2230.4092994313974</v>
      </c>
      <c r="AJ811" s="495">
        <v>157.78476693139737</v>
      </c>
      <c r="AK811" s="495">
        <v>0</v>
      </c>
      <c r="AL811" s="495">
        <v>0</v>
      </c>
      <c r="AO811" s="495">
        <v>-2988.260205</v>
      </c>
      <c r="AP811" s="495">
        <v>-1340.1452549999999</v>
      </c>
      <c r="AQ811" s="495">
        <v>0</v>
      </c>
      <c r="AR811" s="495">
        <v>0</v>
      </c>
      <c r="AS811" s="495">
        <v>0</v>
      </c>
    </row>
    <row r="812" spans="1:45">
      <c r="A812" s="390">
        <v>98901</v>
      </c>
      <c r="B812" s="393">
        <v>98901</v>
      </c>
      <c r="C812" s="499" t="s">
        <v>1515</v>
      </c>
      <c r="D812" s="378">
        <v>2.5224728103434118E-4</v>
      </c>
      <c r="F812" s="495">
        <v>176551.24205788251</v>
      </c>
      <c r="G812" s="495">
        <v>348734.65681788255</v>
      </c>
      <c r="H812" s="495">
        <v>77855.045410382503</v>
      </c>
      <c r="I812" s="495">
        <v>-26136.522300000001</v>
      </c>
      <c r="J812" s="495">
        <v>0</v>
      </c>
      <c r="M812" s="495">
        <v>115921.01241</v>
      </c>
      <c r="N812" s="495">
        <v>117924.31644</v>
      </c>
      <c r="O812" s="495">
        <v>62102.424930000001</v>
      </c>
      <c r="P812" s="495">
        <v>0</v>
      </c>
      <c r="Q812" s="495">
        <v>0</v>
      </c>
      <c r="T812" s="495">
        <v>47709.052439999999</v>
      </c>
      <c r="U812" s="495">
        <v>216809.04777</v>
      </c>
      <c r="V812" s="495">
        <v>-7231.3651200000004</v>
      </c>
      <c r="W812" s="495">
        <v>-26136.522300000001</v>
      </c>
      <c r="X812" s="495">
        <v>0</v>
      </c>
      <c r="AA812" s="495">
        <v>0</v>
      </c>
      <c r="AB812" s="495">
        <v>0</v>
      </c>
      <c r="AC812" s="495">
        <v>0</v>
      </c>
      <c r="AD812" s="495">
        <v>0</v>
      </c>
      <c r="AE812" s="495">
        <v>0</v>
      </c>
      <c r="AH812" s="495">
        <v>42138.531222882491</v>
      </c>
      <c r="AI812" s="495">
        <v>35091.734972882492</v>
      </c>
      <c r="AJ812" s="495">
        <v>22983.985600382501</v>
      </c>
      <c r="AK812" s="495">
        <v>0</v>
      </c>
      <c r="AL812" s="495">
        <v>0</v>
      </c>
      <c r="AO812" s="495">
        <v>-29217.354014999968</v>
      </c>
      <c r="AP812" s="495">
        <v>-21090.442364999974</v>
      </c>
      <c r="AQ812" s="495">
        <v>0</v>
      </c>
      <c r="AR812" s="495">
        <v>0</v>
      </c>
      <c r="AS812" s="495">
        <v>0</v>
      </c>
    </row>
    <row r="813" spans="1:45">
      <c r="A813" s="390">
        <v>98904</v>
      </c>
      <c r="B813" s="393">
        <v>98904</v>
      </c>
      <c r="C813" s="499" t="s">
        <v>1516</v>
      </c>
      <c r="D813" s="378">
        <v>3.0404394239006062E-6</v>
      </c>
      <c r="F813" s="495">
        <v>2436.7043015555987</v>
      </c>
      <c r="G813" s="495">
        <v>4390.8245665555987</v>
      </c>
      <c r="H813" s="495">
        <v>762.95625405559952</v>
      </c>
      <c r="I813" s="495">
        <v>-315.03520000000003</v>
      </c>
      <c r="J813" s="495">
        <v>0</v>
      </c>
      <c r="M813" s="495">
        <v>1397.24784</v>
      </c>
      <c r="N813" s="495">
        <v>1421.39456</v>
      </c>
      <c r="O813" s="495">
        <v>748.54831999999999</v>
      </c>
      <c r="P813" s="495">
        <v>0</v>
      </c>
      <c r="Q813" s="495">
        <v>0</v>
      </c>
      <c r="T813" s="495">
        <v>575.05856000000006</v>
      </c>
      <c r="U813" s="495">
        <v>2613.29648</v>
      </c>
      <c r="V813" s="495">
        <v>-87.162880000000001</v>
      </c>
      <c r="W813" s="495">
        <v>-315.03520000000003</v>
      </c>
      <c r="X813" s="495">
        <v>0</v>
      </c>
      <c r="AA813" s="495">
        <v>0</v>
      </c>
      <c r="AB813" s="495">
        <v>0</v>
      </c>
      <c r="AC813" s="495">
        <v>0</v>
      </c>
      <c r="AD813" s="495">
        <v>0</v>
      </c>
      <c r="AE813" s="495">
        <v>0</v>
      </c>
      <c r="AH813" s="495">
        <v>464.39790155559893</v>
      </c>
      <c r="AI813" s="495">
        <v>356.13352655559908</v>
      </c>
      <c r="AJ813" s="495">
        <v>101.57081405559948</v>
      </c>
      <c r="AK813" s="495">
        <v>0</v>
      </c>
      <c r="AL813" s="495">
        <v>0</v>
      </c>
      <c r="AO813" s="495">
        <v>0</v>
      </c>
      <c r="AP813" s="495">
        <v>0</v>
      </c>
      <c r="AQ813" s="495">
        <v>0</v>
      </c>
      <c r="AR813" s="495">
        <v>0</v>
      </c>
      <c r="AS813" s="495">
        <v>0</v>
      </c>
    </row>
    <row r="814" spans="1:45">
      <c r="A814" s="390">
        <v>98911</v>
      </c>
      <c r="B814" s="393">
        <v>98911</v>
      </c>
      <c r="C814" s="499" t="s">
        <v>1517</v>
      </c>
      <c r="D814" s="378">
        <v>2.4703607408577412E-5</v>
      </c>
      <c r="F814" s="495">
        <v>19091.233189201754</v>
      </c>
      <c r="G814" s="495">
        <v>30572.398989201756</v>
      </c>
      <c r="H814" s="495">
        <v>4471.5841667017512</v>
      </c>
      <c r="I814" s="495">
        <v>-2559.6610000000001</v>
      </c>
      <c r="J814" s="495">
        <v>0</v>
      </c>
      <c r="M814" s="495">
        <v>11352.6387</v>
      </c>
      <c r="N814" s="495">
        <v>11548.8308</v>
      </c>
      <c r="O814" s="495">
        <v>6081.9551000000001</v>
      </c>
      <c r="P814" s="495">
        <v>0</v>
      </c>
      <c r="Q814" s="495">
        <v>0</v>
      </c>
      <c r="T814" s="495">
        <v>4672.3508000000002</v>
      </c>
      <c r="U814" s="495">
        <v>21233.033900000002</v>
      </c>
      <c r="V814" s="495">
        <v>-708.19839999999999</v>
      </c>
      <c r="W814" s="495">
        <v>-2559.6610000000001</v>
      </c>
      <c r="X814" s="495">
        <v>0</v>
      </c>
      <c r="AA814" s="495">
        <v>0</v>
      </c>
      <c r="AB814" s="495">
        <v>0</v>
      </c>
      <c r="AC814" s="495">
        <v>0</v>
      </c>
      <c r="AD814" s="495">
        <v>0</v>
      </c>
      <c r="AE814" s="495">
        <v>0</v>
      </c>
      <c r="AH814" s="495">
        <v>5847.6143174999997</v>
      </c>
      <c r="AI814" s="495">
        <v>571.90491750000001</v>
      </c>
      <c r="AJ814" s="495">
        <v>0</v>
      </c>
      <c r="AK814" s="495">
        <v>0</v>
      </c>
      <c r="AL814" s="495">
        <v>0</v>
      </c>
      <c r="AO814" s="495">
        <v>-2781.3706282982457</v>
      </c>
      <c r="AP814" s="495">
        <v>-2781.3706282982457</v>
      </c>
      <c r="AQ814" s="495">
        <v>-902.17253329824871</v>
      </c>
      <c r="AR814" s="495">
        <v>0</v>
      </c>
      <c r="AS814" s="495">
        <v>0</v>
      </c>
    </row>
    <row r="815" spans="1:45">
      <c r="A815" s="390">
        <v>99001</v>
      </c>
      <c r="B815" s="393">
        <v>99001</v>
      </c>
      <c r="C815" s="499" t="s">
        <v>1518</v>
      </c>
      <c r="D815" s="378">
        <v>9.482533720762739E-3</v>
      </c>
      <c r="F815" s="495">
        <v>5823268.8012598623</v>
      </c>
      <c r="G815" s="495">
        <v>12165150.954489861</v>
      </c>
      <c r="H815" s="495">
        <v>1775741.6562373589</v>
      </c>
      <c r="I815" s="495">
        <v>-982529.50190000003</v>
      </c>
      <c r="J815" s="495">
        <v>0</v>
      </c>
      <c r="M815" s="495">
        <v>4357726.4517300008</v>
      </c>
      <c r="N815" s="495">
        <v>4433035.0673200004</v>
      </c>
      <c r="O815" s="495">
        <v>2334567.08329</v>
      </c>
      <c r="P815" s="495">
        <v>0</v>
      </c>
      <c r="Q815" s="495">
        <v>0</v>
      </c>
      <c r="T815" s="495">
        <v>1793488.4753200002</v>
      </c>
      <c r="U815" s="495">
        <v>8150330.1498100003</v>
      </c>
      <c r="V815" s="495">
        <v>-271842.95936000004</v>
      </c>
      <c r="W815" s="495">
        <v>-982529.50190000003</v>
      </c>
      <c r="X815" s="495">
        <v>0</v>
      </c>
      <c r="AA815" s="495">
        <v>0</v>
      </c>
      <c r="AB815" s="495">
        <v>0</v>
      </c>
      <c r="AC815" s="495">
        <v>0</v>
      </c>
      <c r="AD815" s="495">
        <v>0</v>
      </c>
      <c r="AE815" s="495">
        <v>0</v>
      </c>
      <c r="AH815" s="495">
        <v>156400.42560000019</v>
      </c>
      <c r="AI815" s="495">
        <v>0</v>
      </c>
      <c r="AJ815" s="495">
        <v>0</v>
      </c>
      <c r="AK815" s="495">
        <v>0</v>
      </c>
      <c r="AL815" s="495">
        <v>0</v>
      </c>
      <c r="AO815" s="495">
        <v>-484346.55139013985</v>
      </c>
      <c r="AP815" s="495">
        <v>-418214.26264014002</v>
      </c>
      <c r="AQ815" s="495">
        <v>-286982.46769264113</v>
      </c>
      <c r="AR815" s="495">
        <v>0</v>
      </c>
      <c r="AS815" s="495">
        <v>0</v>
      </c>
    </row>
    <row r="816" spans="1:45">
      <c r="A816" s="390">
        <v>99011</v>
      </c>
      <c r="B816" s="393">
        <v>99011</v>
      </c>
      <c r="C816" s="499" t="s">
        <v>1519</v>
      </c>
      <c r="D816" s="378">
        <v>3.8991772240823397E-3</v>
      </c>
      <c r="F816" s="495">
        <v>2643159.9407615662</v>
      </c>
      <c r="G816" s="495">
        <v>5308920.565086565</v>
      </c>
      <c r="H816" s="495">
        <v>932988.65023406595</v>
      </c>
      <c r="I816" s="495">
        <v>-404011.91800000001</v>
      </c>
      <c r="J816" s="495">
        <v>0</v>
      </c>
      <c r="M816" s="495">
        <v>1791878.4305999998</v>
      </c>
      <c r="N816" s="495">
        <v>1822845.0104</v>
      </c>
      <c r="O816" s="495">
        <v>959963.97379999992</v>
      </c>
      <c r="P816" s="495">
        <v>0</v>
      </c>
      <c r="Q816" s="495">
        <v>0</v>
      </c>
      <c r="T816" s="495">
        <v>737474.77040000004</v>
      </c>
      <c r="U816" s="495">
        <v>3351380.8081999999</v>
      </c>
      <c r="V816" s="495">
        <v>-111780.65919999999</v>
      </c>
      <c r="W816" s="495">
        <v>-404011.91800000001</v>
      </c>
      <c r="X816" s="495">
        <v>0</v>
      </c>
      <c r="AA816" s="495">
        <v>0</v>
      </c>
      <c r="AB816" s="495">
        <v>0</v>
      </c>
      <c r="AC816" s="495">
        <v>0</v>
      </c>
      <c r="AD816" s="495">
        <v>0</v>
      </c>
      <c r="AE816" s="495">
        <v>0</v>
      </c>
      <c r="AH816" s="495">
        <v>139385.03656656609</v>
      </c>
      <c r="AI816" s="495">
        <v>136858.44469156605</v>
      </c>
      <c r="AJ816" s="495">
        <v>84805.33563406601</v>
      </c>
      <c r="AK816" s="495">
        <v>0</v>
      </c>
      <c r="AL816" s="495">
        <v>0</v>
      </c>
      <c r="AO816" s="495">
        <v>-25578.296804999962</v>
      </c>
      <c r="AP816" s="495">
        <v>-2163.6982050002844</v>
      </c>
      <c r="AQ816" s="495">
        <v>0</v>
      </c>
      <c r="AR816" s="495">
        <v>0</v>
      </c>
      <c r="AS816" s="495">
        <v>0</v>
      </c>
    </row>
    <row r="817" spans="1:45">
      <c r="A817" s="390">
        <v>99013</v>
      </c>
      <c r="B817" s="393">
        <v>99013</v>
      </c>
      <c r="C817" s="499" t="s">
        <v>1520</v>
      </c>
      <c r="D817" s="378">
        <v>5.2127647027365887E-5</v>
      </c>
      <c r="F817" s="495">
        <v>21756.416348874303</v>
      </c>
      <c r="G817" s="495">
        <v>64415.442043874304</v>
      </c>
      <c r="H817" s="495">
        <v>15409.111343874303</v>
      </c>
      <c r="I817" s="495">
        <v>-5401.1956</v>
      </c>
      <c r="J817" s="495">
        <v>0</v>
      </c>
      <c r="M817" s="495">
        <v>23955.446520000001</v>
      </c>
      <c r="N817" s="495">
        <v>24369.435680000002</v>
      </c>
      <c r="O817" s="495">
        <v>12833.66396</v>
      </c>
      <c r="P817" s="495">
        <v>0</v>
      </c>
      <c r="Q817" s="495">
        <v>0</v>
      </c>
      <c r="T817" s="495">
        <v>9859.22768</v>
      </c>
      <c r="U817" s="495">
        <v>44804.280440000002</v>
      </c>
      <c r="V817" s="495">
        <v>-1494.38464</v>
      </c>
      <c r="W817" s="495">
        <v>-5401.1956</v>
      </c>
      <c r="X817" s="495">
        <v>0</v>
      </c>
      <c r="AA817" s="495">
        <v>0</v>
      </c>
      <c r="AB817" s="495">
        <v>0</v>
      </c>
      <c r="AC817" s="495">
        <v>0</v>
      </c>
      <c r="AD817" s="495">
        <v>0</v>
      </c>
      <c r="AE817" s="495">
        <v>0</v>
      </c>
      <c r="AH817" s="495">
        <v>4450.5452738743024</v>
      </c>
      <c r="AI817" s="495">
        <v>4450.5452738743024</v>
      </c>
      <c r="AJ817" s="495">
        <v>4069.8320238743031</v>
      </c>
      <c r="AK817" s="495">
        <v>0</v>
      </c>
      <c r="AL817" s="495">
        <v>0</v>
      </c>
      <c r="AO817" s="495">
        <v>-16508.803125000002</v>
      </c>
      <c r="AP817" s="495">
        <v>-9208.8193499999979</v>
      </c>
      <c r="AQ817" s="495">
        <v>0</v>
      </c>
      <c r="AR817" s="495">
        <v>0</v>
      </c>
      <c r="AS817" s="495">
        <v>0</v>
      </c>
    </row>
    <row r="818" spans="1:45">
      <c r="A818" s="390">
        <v>99014</v>
      </c>
      <c r="B818" s="393">
        <v>99014</v>
      </c>
      <c r="C818" s="499" t="s">
        <v>1521</v>
      </c>
      <c r="D818" s="378">
        <v>4.0506059134750781E-5</v>
      </c>
      <c r="F818" s="495">
        <v>45339.004478701238</v>
      </c>
      <c r="G818" s="495">
        <v>73330.471103701246</v>
      </c>
      <c r="H818" s="495">
        <v>22462.184823701242</v>
      </c>
      <c r="I818" s="495">
        <v>-4197.0150000000003</v>
      </c>
      <c r="J818" s="495">
        <v>0</v>
      </c>
      <c r="M818" s="495">
        <v>18614.6505</v>
      </c>
      <c r="N818" s="495">
        <v>18936.342000000001</v>
      </c>
      <c r="O818" s="495">
        <v>9972.4364999999998</v>
      </c>
      <c r="P818" s="495">
        <v>0</v>
      </c>
      <c r="Q818" s="495">
        <v>0</v>
      </c>
      <c r="T818" s="495">
        <v>7661.1420000000007</v>
      </c>
      <c r="U818" s="495">
        <v>34815.298500000004</v>
      </c>
      <c r="V818" s="495">
        <v>-1161.2160000000001</v>
      </c>
      <c r="W818" s="495">
        <v>-4197.0150000000003</v>
      </c>
      <c r="X818" s="495">
        <v>0</v>
      </c>
      <c r="AA818" s="495">
        <v>0</v>
      </c>
      <c r="AB818" s="495">
        <v>0</v>
      </c>
      <c r="AC818" s="495">
        <v>0</v>
      </c>
      <c r="AD818" s="495">
        <v>0</v>
      </c>
      <c r="AE818" s="495">
        <v>0</v>
      </c>
      <c r="AH818" s="495">
        <v>19631.527478701239</v>
      </c>
      <c r="AI818" s="495">
        <v>19578.830603701237</v>
      </c>
      <c r="AJ818" s="495">
        <v>13650.964323701242</v>
      </c>
      <c r="AK818" s="495">
        <v>0</v>
      </c>
      <c r="AL818" s="495">
        <v>0</v>
      </c>
      <c r="AO818" s="495">
        <v>-568.31550000000152</v>
      </c>
      <c r="AP818" s="495">
        <v>0</v>
      </c>
      <c r="AQ818" s="495">
        <v>0</v>
      </c>
      <c r="AR818" s="495">
        <v>0</v>
      </c>
      <c r="AS818" s="495">
        <v>0</v>
      </c>
    </row>
    <row r="819" spans="1:45">
      <c r="A819" s="390">
        <v>99017</v>
      </c>
      <c r="B819" s="393">
        <v>99017</v>
      </c>
      <c r="C819" s="499" t="s">
        <v>1522</v>
      </c>
      <c r="D819" s="378">
        <v>3.2724854521490169E-5</v>
      </c>
      <c r="F819" s="495">
        <v>13603.020331545791</v>
      </c>
      <c r="G819" s="495">
        <v>38429.000526545795</v>
      </c>
      <c r="H819" s="495">
        <v>4798.8059465457927</v>
      </c>
      <c r="I819" s="495">
        <v>-3390.7736</v>
      </c>
      <c r="J819" s="495">
        <v>0</v>
      </c>
      <c r="M819" s="495">
        <v>15038.79912</v>
      </c>
      <c r="N819" s="495">
        <v>15298.694079999999</v>
      </c>
      <c r="O819" s="495">
        <v>8056.7437599999994</v>
      </c>
      <c r="P819" s="495">
        <v>0</v>
      </c>
      <c r="Q819" s="495">
        <v>0</v>
      </c>
      <c r="T819" s="495">
        <v>6189.4460799999997</v>
      </c>
      <c r="U819" s="495">
        <v>28127.322639999999</v>
      </c>
      <c r="V819" s="495">
        <v>-938.14783999999997</v>
      </c>
      <c r="W819" s="495">
        <v>-3390.7736</v>
      </c>
      <c r="X819" s="495">
        <v>0</v>
      </c>
      <c r="AA819" s="495">
        <v>0</v>
      </c>
      <c r="AB819" s="495">
        <v>0</v>
      </c>
      <c r="AC819" s="495">
        <v>0</v>
      </c>
      <c r="AD819" s="495">
        <v>0</v>
      </c>
      <c r="AE819" s="495">
        <v>0</v>
      </c>
      <c r="AH819" s="495">
        <v>2504.0021149999993</v>
      </c>
      <c r="AI819" s="495">
        <v>1949.6439899999987</v>
      </c>
      <c r="AJ819" s="495">
        <v>0</v>
      </c>
      <c r="AK819" s="495">
        <v>0</v>
      </c>
      <c r="AL819" s="495">
        <v>0</v>
      </c>
      <c r="AO819" s="495">
        <v>-10129.226983454206</v>
      </c>
      <c r="AP819" s="495">
        <v>-6946.6601834542025</v>
      </c>
      <c r="AQ819" s="495">
        <v>-2319.789973454207</v>
      </c>
      <c r="AR819" s="495">
        <v>0</v>
      </c>
      <c r="AS819" s="495">
        <v>0</v>
      </c>
    </row>
    <row r="820" spans="1:45">
      <c r="A820" s="390">
        <v>99021</v>
      </c>
      <c r="B820" s="500">
        <v>99021</v>
      </c>
      <c r="C820" s="501" t="s">
        <v>1523</v>
      </c>
      <c r="D820" s="378">
        <v>1.3161954558491714E-4</v>
      </c>
      <c r="F820" s="495">
        <v>87541.326824248958</v>
      </c>
      <c r="G820" s="495">
        <v>176415.78917424899</v>
      </c>
      <c r="H820" s="495">
        <v>44616.45195424898</v>
      </c>
      <c r="I820" s="495">
        <v>-13637.708000000001</v>
      </c>
      <c r="J820" s="495">
        <v>0</v>
      </c>
      <c r="M820" s="495">
        <v>60486.123599999999</v>
      </c>
      <c r="N820" s="495">
        <v>61531.422400000003</v>
      </c>
      <c r="O820" s="495">
        <v>32404.2628</v>
      </c>
      <c r="P820" s="495">
        <v>0</v>
      </c>
      <c r="Q820" s="495">
        <v>0</v>
      </c>
      <c r="T820" s="495">
        <v>24893.982400000001</v>
      </c>
      <c r="U820" s="495">
        <v>113128.2292</v>
      </c>
      <c r="V820" s="495">
        <v>-3773.2352000000001</v>
      </c>
      <c r="W820" s="495">
        <v>-13637.708000000001</v>
      </c>
      <c r="X820" s="495">
        <v>0</v>
      </c>
      <c r="AA820" s="495">
        <v>0</v>
      </c>
      <c r="AB820" s="495">
        <v>0</v>
      </c>
      <c r="AC820" s="495">
        <v>0</v>
      </c>
      <c r="AD820" s="495">
        <v>0</v>
      </c>
      <c r="AE820" s="495">
        <v>0</v>
      </c>
      <c r="AH820" s="495">
        <v>20889.77451424898</v>
      </c>
      <c r="AI820" s="495">
        <v>18616.512514248978</v>
      </c>
      <c r="AJ820" s="495">
        <v>15985.424354248978</v>
      </c>
      <c r="AK820" s="495">
        <v>0</v>
      </c>
      <c r="AL820" s="495">
        <v>0</v>
      </c>
      <c r="AO820" s="495">
        <v>-18728.553690000019</v>
      </c>
      <c r="AP820" s="495">
        <v>-16860.374940000016</v>
      </c>
      <c r="AQ820" s="495">
        <v>0</v>
      </c>
      <c r="AR820" s="495">
        <v>0</v>
      </c>
      <c r="AS820" s="495">
        <v>0</v>
      </c>
    </row>
    <row r="821" spans="1:45">
      <c r="A821" s="390">
        <v>99022</v>
      </c>
      <c r="B821" s="393">
        <v>99022</v>
      </c>
      <c r="C821" s="499" t="s">
        <v>211</v>
      </c>
      <c r="D821" s="378">
        <v>5.4807725986708349E-6</v>
      </c>
      <c r="F821" s="495">
        <v>11798.219921389698</v>
      </c>
      <c r="G821" s="495">
        <v>13000.793901389699</v>
      </c>
      <c r="H821" s="495">
        <v>4614.0236013896983</v>
      </c>
      <c r="I821" s="495">
        <v>-567.89239999999995</v>
      </c>
      <c r="J821" s="495">
        <v>0</v>
      </c>
      <c r="M821" s="495">
        <v>2518.7230800000002</v>
      </c>
      <c r="N821" s="495">
        <v>2562.25072</v>
      </c>
      <c r="O821" s="495">
        <v>1349.3568399999999</v>
      </c>
      <c r="P821" s="495">
        <v>0</v>
      </c>
      <c r="Q821" s="495">
        <v>0</v>
      </c>
      <c r="T821" s="495">
        <v>1036.6187199999999</v>
      </c>
      <c r="U821" s="495">
        <v>4710.8107600000003</v>
      </c>
      <c r="V821" s="495">
        <v>-157.12255999999999</v>
      </c>
      <c r="W821" s="495">
        <v>-567.89239999999995</v>
      </c>
      <c r="X821" s="495">
        <v>0</v>
      </c>
      <c r="AA821" s="495">
        <v>0</v>
      </c>
      <c r="AB821" s="495">
        <v>0</v>
      </c>
      <c r="AC821" s="495">
        <v>0</v>
      </c>
      <c r="AD821" s="495">
        <v>0</v>
      </c>
      <c r="AE821" s="495">
        <v>0</v>
      </c>
      <c r="AH821" s="495">
        <v>9482.2888213896986</v>
      </c>
      <c r="AI821" s="495">
        <v>6626.1538213896984</v>
      </c>
      <c r="AJ821" s="495">
        <v>3421.7893213896987</v>
      </c>
      <c r="AK821" s="495">
        <v>0</v>
      </c>
      <c r="AL821" s="495">
        <v>0</v>
      </c>
      <c r="AO821" s="495">
        <v>-1239.4106999999997</v>
      </c>
      <c r="AP821" s="495">
        <v>-898.42139999999949</v>
      </c>
      <c r="AQ821" s="495">
        <v>0</v>
      </c>
      <c r="AR821" s="495">
        <v>0</v>
      </c>
      <c r="AS821" s="495">
        <v>0</v>
      </c>
    </row>
    <row r="822" spans="1:45">
      <c r="A822" s="390">
        <v>99031</v>
      </c>
      <c r="B822" s="393">
        <v>99031</v>
      </c>
      <c r="C822" s="499" t="s">
        <v>1524</v>
      </c>
      <c r="D822" s="378">
        <v>8.5142540539474081E-5</v>
      </c>
      <c r="F822" s="495">
        <v>42656.713701168796</v>
      </c>
      <c r="G822" s="495">
        <v>90009.806656168832</v>
      </c>
      <c r="H822" s="495">
        <v>3808.4922186688163</v>
      </c>
      <c r="I822" s="495">
        <v>-8822.0219000000016</v>
      </c>
      <c r="J822" s="495">
        <v>0</v>
      </c>
      <c r="M822" s="495">
        <v>39127.535730000003</v>
      </c>
      <c r="N822" s="495">
        <v>39803.723320000005</v>
      </c>
      <c r="O822" s="495">
        <v>20961.815290000002</v>
      </c>
      <c r="P822" s="495">
        <v>0</v>
      </c>
      <c r="Q822" s="495">
        <v>0</v>
      </c>
      <c r="T822" s="495">
        <v>16103.531320000002</v>
      </c>
      <c r="U822" s="495">
        <v>73180.897810000009</v>
      </c>
      <c r="V822" s="495">
        <v>-2440.8473600000002</v>
      </c>
      <c r="W822" s="495">
        <v>-8822.0219000000016</v>
      </c>
      <c r="X822" s="495">
        <v>0</v>
      </c>
      <c r="AA822" s="495">
        <v>0</v>
      </c>
      <c r="AB822" s="495">
        <v>0</v>
      </c>
      <c r="AC822" s="495">
        <v>0</v>
      </c>
      <c r="AD822" s="495">
        <v>0</v>
      </c>
      <c r="AE822" s="495">
        <v>0</v>
      </c>
      <c r="AH822" s="495">
        <v>11048.540862499984</v>
      </c>
      <c r="AI822" s="495">
        <v>534.70411249999597</v>
      </c>
      <c r="AJ822" s="495">
        <v>0</v>
      </c>
      <c r="AK822" s="495">
        <v>0</v>
      </c>
      <c r="AL822" s="495">
        <v>0</v>
      </c>
      <c r="AO822" s="495">
        <v>-23622.894211331186</v>
      </c>
      <c r="AP822" s="495">
        <v>-23509.518586331182</v>
      </c>
      <c r="AQ822" s="495">
        <v>-14712.475711331186</v>
      </c>
      <c r="AR822" s="495">
        <v>0</v>
      </c>
      <c r="AS822" s="495">
        <v>0</v>
      </c>
    </row>
    <row r="823" spans="1:45">
      <c r="A823" s="390">
        <v>99041</v>
      </c>
      <c r="B823" s="393">
        <v>99041</v>
      </c>
      <c r="C823" s="499" t="s">
        <v>1525</v>
      </c>
      <c r="D823" s="378">
        <v>6.780403935183688E-4</v>
      </c>
      <c r="F823" s="495">
        <v>483258.66228712269</v>
      </c>
      <c r="G823" s="495">
        <v>934986.63332712278</v>
      </c>
      <c r="H823" s="495">
        <v>166479.16746462276</v>
      </c>
      <c r="I823" s="495">
        <v>-70254.922200000001</v>
      </c>
      <c r="J823" s="495">
        <v>0</v>
      </c>
      <c r="M823" s="495">
        <v>311595.46074000001</v>
      </c>
      <c r="N823" s="495">
        <v>316980.33816000004</v>
      </c>
      <c r="O823" s="495">
        <v>166931.20002000002</v>
      </c>
      <c r="P823" s="495">
        <v>0</v>
      </c>
      <c r="Q823" s="495">
        <v>0</v>
      </c>
      <c r="T823" s="495">
        <v>128241.84216</v>
      </c>
      <c r="U823" s="495">
        <v>582782.30778000003</v>
      </c>
      <c r="V823" s="495">
        <v>-19437.895680000001</v>
      </c>
      <c r="W823" s="495">
        <v>-70254.922200000001</v>
      </c>
      <c r="X823" s="495">
        <v>0</v>
      </c>
      <c r="AA823" s="495">
        <v>0</v>
      </c>
      <c r="AB823" s="495">
        <v>0</v>
      </c>
      <c r="AC823" s="495">
        <v>0</v>
      </c>
      <c r="AD823" s="495">
        <v>0</v>
      </c>
      <c r="AE823" s="495">
        <v>0</v>
      </c>
      <c r="AH823" s="495">
        <v>45607.675949622615</v>
      </c>
      <c r="AI823" s="495">
        <v>36841.988449622644</v>
      </c>
      <c r="AJ823" s="495">
        <v>18985.863124622738</v>
      </c>
      <c r="AK823" s="495">
        <v>0</v>
      </c>
      <c r="AL823" s="495">
        <v>0</v>
      </c>
      <c r="AO823" s="495">
        <v>-2186.3165624999965</v>
      </c>
      <c r="AP823" s="495">
        <v>-1618.0010624999995</v>
      </c>
      <c r="AQ823" s="495">
        <v>0</v>
      </c>
      <c r="AR823" s="495">
        <v>0</v>
      </c>
      <c r="AS823" s="495">
        <v>0</v>
      </c>
    </row>
    <row r="824" spans="1:45">
      <c r="A824" s="390">
        <v>99047</v>
      </c>
      <c r="B824" s="393">
        <v>99047</v>
      </c>
      <c r="C824" s="499" t="s">
        <v>1526</v>
      </c>
      <c r="D824" s="378">
        <v>2.000289875500609E-5</v>
      </c>
      <c r="F824" s="495">
        <v>19795.084874049997</v>
      </c>
      <c r="G824" s="495">
        <v>33094.465724050002</v>
      </c>
      <c r="H824" s="495">
        <v>6074.3810440500001</v>
      </c>
      <c r="I824" s="495">
        <v>-2072.6000000000004</v>
      </c>
      <c r="J824" s="495">
        <v>0</v>
      </c>
      <c r="M824" s="495">
        <v>9192.42</v>
      </c>
      <c r="N824" s="495">
        <v>9351.2800000000007</v>
      </c>
      <c r="O824" s="495">
        <v>4924.6600000000008</v>
      </c>
      <c r="P824" s="495">
        <v>0</v>
      </c>
      <c r="Q824" s="495">
        <v>0</v>
      </c>
      <c r="T824" s="495">
        <v>3783.28</v>
      </c>
      <c r="U824" s="495">
        <v>17192.740000000002</v>
      </c>
      <c r="V824" s="495">
        <v>-573.44000000000005</v>
      </c>
      <c r="W824" s="495">
        <v>-2072.6000000000004</v>
      </c>
      <c r="X824" s="495">
        <v>0</v>
      </c>
      <c r="AA824" s="495">
        <v>0</v>
      </c>
      <c r="AB824" s="495">
        <v>0</v>
      </c>
      <c r="AC824" s="495">
        <v>0</v>
      </c>
      <c r="AD824" s="495">
        <v>0</v>
      </c>
      <c r="AE824" s="495">
        <v>0</v>
      </c>
      <c r="AH824" s="495">
        <v>8637.9944740499977</v>
      </c>
      <c r="AI824" s="495">
        <v>6550.4457240499978</v>
      </c>
      <c r="AJ824" s="495">
        <v>1723.1610440499985</v>
      </c>
      <c r="AK824" s="495">
        <v>0</v>
      </c>
      <c r="AL824" s="495">
        <v>0</v>
      </c>
      <c r="AO824" s="495">
        <v>-1818.6095999999989</v>
      </c>
      <c r="AP824" s="495">
        <v>0</v>
      </c>
      <c r="AQ824" s="495">
        <v>0</v>
      </c>
      <c r="AR824" s="495">
        <v>0</v>
      </c>
      <c r="AS824" s="495">
        <v>0</v>
      </c>
    </row>
    <row r="825" spans="1:45">
      <c r="A825" s="390">
        <v>99051</v>
      </c>
      <c r="B825" s="393">
        <v>99051</v>
      </c>
      <c r="C825" s="499" t="s">
        <v>1527</v>
      </c>
      <c r="D825" s="378">
        <v>3.4695131666657265E-4</v>
      </c>
      <c r="F825" s="495">
        <v>189220.98308614705</v>
      </c>
      <c r="G825" s="495">
        <v>409674.72436114703</v>
      </c>
      <c r="H825" s="495">
        <v>36513.860576147112</v>
      </c>
      <c r="I825" s="495">
        <v>-35949.246999999996</v>
      </c>
      <c r="J825" s="495">
        <v>0</v>
      </c>
      <c r="M825" s="495">
        <v>159442.52489999999</v>
      </c>
      <c r="N825" s="495">
        <v>162197.9516</v>
      </c>
      <c r="O825" s="495">
        <v>85418.227699999989</v>
      </c>
      <c r="P825" s="495">
        <v>0</v>
      </c>
      <c r="Q825" s="495">
        <v>0</v>
      </c>
      <c r="T825" s="495">
        <v>65620.991599999994</v>
      </c>
      <c r="U825" s="495">
        <v>298208.07529999997</v>
      </c>
      <c r="V825" s="495">
        <v>-9946.3167999999987</v>
      </c>
      <c r="W825" s="495">
        <v>-35949.246999999996</v>
      </c>
      <c r="X825" s="495">
        <v>0</v>
      </c>
      <c r="AA825" s="495">
        <v>0</v>
      </c>
      <c r="AB825" s="495">
        <v>0</v>
      </c>
      <c r="AC825" s="495">
        <v>0</v>
      </c>
      <c r="AD825" s="495">
        <v>0</v>
      </c>
      <c r="AE825" s="495">
        <v>0</v>
      </c>
      <c r="AH825" s="495">
        <v>26890.512779999961</v>
      </c>
      <c r="AI825" s="495">
        <v>179.68427999994219</v>
      </c>
      <c r="AJ825" s="495">
        <v>0</v>
      </c>
      <c r="AK825" s="495">
        <v>0</v>
      </c>
      <c r="AL825" s="495">
        <v>0</v>
      </c>
      <c r="AO825" s="495">
        <v>-62733.046193852861</v>
      </c>
      <c r="AP825" s="495">
        <v>-50910.986818852864</v>
      </c>
      <c r="AQ825" s="495">
        <v>-38958.050323852876</v>
      </c>
      <c r="AR825" s="495">
        <v>0</v>
      </c>
      <c r="AS825" s="495">
        <v>0</v>
      </c>
    </row>
    <row r="826" spans="1:45">
      <c r="A826" s="390">
        <v>99061</v>
      </c>
      <c r="B826" s="393">
        <v>99061</v>
      </c>
      <c r="C826" s="499" t="s">
        <v>1528</v>
      </c>
      <c r="D826" s="378">
        <v>3.3304784145186251E-6</v>
      </c>
      <c r="F826" s="495">
        <v>4291.4803973043227</v>
      </c>
      <c r="G826" s="495">
        <v>6081.9768273043228</v>
      </c>
      <c r="H826" s="495">
        <v>1953.3741223043235</v>
      </c>
      <c r="I826" s="495">
        <v>-345.08789999999999</v>
      </c>
      <c r="J826" s="495">
        <v>0</v>
      </c>
      <c r="M826" s="495">
        <v>1530.53793</v>
      </c>
      <c r="N826" s="495">
        <v>1556.98812</v>
      </c>
      <c r="O826" s="495">
        <v>819.95588999999995</v>
      </c>
      <c r="P826" s="495">
        <v>0</v>
      </c>
      <c r="Q826" s="495">
        <v>0</v>
      </c>
      <c r="T826" s="495">
        <v>629.91611999999998</v>
      </c>
      <c r="U826" s="495">
        <v>2862.59121</v>
      </c>
      <c r="V826" s="495">
        <v>-95.477760000000004</v>
      </c>
      <c r="W826" s="495">
        <v>-345.08789999999999</v>
      </c>
      <c r="X826" s="495">
        <v>0</v>
      </c>
      <c r="AA826" s="495">
        <v>0</v>
      </c>
      <c r="AB826" s="495">
        <v>0</v>
      </c>
      <c r="AC826" s="495">
        <v>0</v>
      </c>
      <c r="AD826" s="495">
        <v>0</v>
      </c>
      <c r="AE826" s="495">
        <v>0</v>
      </c>
      <c r="AH826" s="495">
        <v>3319.3895573043233</v>
      </c>
      <c r="AI826" s="495">
        <v>2396.1083073043233</v>
      </c>
      <c r="AJ826" s="495">
        <v>1228.8959923043235</v>
      </c>
      <c r="AK826" s="495">
        <v>0</v>
      </c>
      <c r="AL826" s="495">
        <v>0</v>
      </c>
      <c r="AO826" s="495">
        <v>-1188.3632100000007</v>
      </c>
      <c r="AP826" s="495">
        <v>-733.71081000000049</v>
      </c>
      <c r="AQ826" s="495">
        <v>0</v>
      </c>
      <c r="AR826" s="495">
        <v>0</v>
      </c>
      <c r="AS826" s="495">
        <v>0</v>
      </c>
    </row>
    <row r="827" spans="1:45">
      <c r="A827" s="390">
        <v>99071</v>
      </c>
      <c r="B827" s="393">
        <v>99071</v>
      </c>
      <c r="C827" s="499" t="s">
        <v>1529</v>
      </c>
      <c r="D827" s="378">
        <v>1.8262664811297974E-5</v>
      </c>
      <c r="F827" s="495">
        <v>13795.828537057643</v>
      </c>
      <c r="G827" s="495">
        <v>32079.735397057651</v>
      </c>
      <c r="H827" s="495">
        <v>1868.379614557648</v>
      </c>
      <c r="I827" s="495">
        <v>-1892.2838000000002</v>
      </c>
      <c r="J827" s="495">
        <v>0</v>
      </c>
      <c r="M827" s="495">
        <v>8392.6794600000012</v>
      </c>
      <c r="N827" s="495">
        <v>8537.718640000001</v>
      </c>
      <c r="O827" s="495">
        <v>4496.2145800000008</v>
      </c>
      <c r="P827" s="495">
        <v>0</v>
      </c>
      <c r="Q827" s="495">
        <v>0</v>
      </c>
      <c r="T827" s="495">
        <v>3454.1346400000002</v>
      </c>
      <c r="U827" s="495">
        <v>15696.97162</v>
      </c>
      <c r="V827" s="495">
        <v>-523.55072000000007</v>
      </c>
      <c r="W827" s="495">
        <v>-1892.2838000000002</v>
      </c>
      <c r="X827" s="495">
        <v>0</v>
      </c>
      <c r="AA827" s="495">
        <v>0</v>
      </c>
      <c r="AB827" s="495">
        <v>0</v>
      </c>
      <c r="AC827" s="495">
        <v>0</v>
      </c>
      <c r="AD827" s="495">
        <v>0</v>
      </c>
      <c r="AE827" s="495">
        <v>0</v>
      </c>
      <c r="AH827" s="495">
        <v>12237.041882499996</v>
      </c>
      <c r="AI827" s="495">
        <v>9949.3293824999964</v>
      </c>
      <c r="AJ827" s="495">
        <v>0</v>
      </c>
      <c r="AK827" s="495">
        <v>0</v>
      </c>
      <c r="AL827" s="495">
        <v>0</v>
      </c>
      <c r="AO827" s="495">
        <v>-10288.027445442354</v>
      </c>
      <c r="AP827" s="495">
        <v>-2104.2842454423526</v>
      </c>
      <c r="AQ827" s="495">
        <v>-2104.2842454423526</v>
      </c>
      <c r="AR827" s="495">
        <v>0</v>
      </c>
      <c r="AS827" s="495">
        <v>0</v>
      </c>
    </row>
    <row r="828" spans="1:45">
      <c r="A828" s="390">
        <v>99081</v>
      </c>
      <c r="B828" s="393">
        <v>99081</v>
      </c>
      <c r="C828" s="499" t="s">
        <v>1530</v>
      </c>
      <c r="D828" s="378">
        <v>7.2760768612113844E-5</v>
      </c>
      <c r="F828" s="495">
        <v>47024.466777481888</v>
      </c>
      <c r="G828" s="495">
        <v>86806.157702481898</v>
      </c>
      <c r="H828" s="495">
        <v>16352.69712998188</v>
      </c>
      <c r="I828" s="495">
        <v>-7539.0825000000004</v>
      </c>
      <c r="J828" s="495">
        <v>0</v>
      </c>
      <c r="M828" s="495">
        <v>33437.427750000003</v>
      </c>
      <c r="N828" s="495">
        <v>34015.281000000003</v>
      </c>
      <c r="O828" s="495">
        <v>17913.45075</v>
      </c>
      <c r="P828" s="495">
        <v>0</v>
      </c>
      <c r="Q828" s="495">
        <v>0</v>
      </c>
      <c r="T828" s="495">
        <v>13761.681</v>
      </c>
      <c r="U828" s="495">
        <v>62538.591750000007</v>
      </c>
      <c r="V828" s="495">
        <v>-2085.8880000000004</v>
      </c>
      <c r="W828" s="495">
        <v>-7539.0825000000004</v>
      </c>
      <c r="X828" s="495">
        <v>0</v>
      </c>
      <c r="AA828" s="495">
        <v>0</v>
      </c>
      <c r="AB828" s="495">
        <v>0</v>
      </c>
      <c r="AC828" s="495">
        <v>0</v>
      </c>
      <c r="AD828" s="495">
        <v>0</v>
      </c>
      <c r="AE828" s="495">
        <v>0</v>
      </c>
      <c r="AH828" s="495">
        <v>14960.348079981884</v>
      </c>
      <c r="AI828" s="495">
        <v>525.13437998188056</v>
      </c>
      <c r="AJ828" s="495">
        <v>525.13437998188056</v>
      </c>
      <c r="AK828" s="495">
        <v>0</v>
      </c>
      <c r="AL828" s="495">
        <v>0</v>
      </c>
      <c r="AO828" s="495">
        <v>-15134.990052499996</v>
      </c>
      <c r="AP828" s="495">
        <v>-10272.849427499996</v>
      </c>
      <c r="AQ828" s="495">
        <v>0</v>
      </c>
      <c r="AR828" s="495">
        <v>0</v>
      </c>
      <c r="AS828" s="495">
        <v>0</v>
      </c>
    </row>
    <row r="829" spans="1:45">
      <c r="A829" s="390">
        <v>99091</v>
      </c>
      <c r="B829" s="393">
        <v>99091</v>
      </c>
      <c r="C829" s="499" t="s">
        <v>1531</v>
      </c>
      <c r="D829" s="378">
        <v>1.0371527260928441E-5</v>
      </c>
      <c r="F829" s="495">
        <v>13073.945281169921</v>
      </c>
      <c r="G829" s="495">
        <v>18725.950826169927</v>
      </c>
      <c r="H829" s="495">
        <v>4937.4698211699233</v>
      </c>
      <c r="I829" s="495">
        <v>-1074.6431</v>
      </c>
      <c r="J829" s="495">
        <v>0</v>
      </c>
      <c r="M829" s="495">
        <v>4766.2697699999999</v>
      </c>
      <c r="N829" s="495">
        <v>4848.63868</v>
      </c>
      <c r="O829" s="495">
        <v>2553.4362100000003</v>
      </c>
      <c r="P829" s="495">
        <v>0</v>
      </c>
      <c r="Q829" s="495">
        <v>0</v>
      </c>
      <c r="T829" s="495">
        <v>1961.6306800000002</v>
      </c>
      <c r="U829" s="495">
        <v>8914.4356900000002</v>
      </c>
      <c r="V829" s="495">
        <v>-297.32864000000001</v>
      </c>
      <c r="W829" s="495">
        <v>-1074.6431</v>
      </c>
      <c r="X829" s="495">
        <v>0</v>
      </c>
      <c r="AA829" s="495">
        <v>0</v>
      </c>
      <c r="AB829" s="495">
        <v>0</v>
      </c>
      <c r="AC829" s="495">
        <v>0</v>
      </c>
      <c r="AD829" s="495">
        <v>0</v>
      </c>
      <c r="AE829" s="495">
        <v>0</v>
      </c>
      <c r="AH829" s="495">
        <v>6405.939591169923</v>
      </c>
      <c r="AI829" s="495">
        <v>5022.7712161699237</v>
      </c>
      <c r="AJ829" s="495">
        <v>2681.3622511699236</v>
      </c>
      <c r="AK829" s="495">
        <v>0</v>
      </c>
      <c r="AL829" s="495">
        <v>0</v>
      </c>
      <c r="AO829" s="495">
        <v>-59.894760000000787</v>
      </c>
      <c r="AP829" s="495">
        <v>-59.894760000000787</v>
      </c>
      <c r="AQ829" s="495">
        <v>0</v>
      </c>
      <c r="AR829" s="495">
        <v>0</v>
      </c>
      <c r="AS829" s="495">
        <v>0</v>
      </c>
    </row>
    <row r="830" spans="1:45">
      <c r="A830" s="390">
        <v>99101</v>
      </c>
      <c r="B830" s="393">
        <v>99101</v>
      </c>
      <c r="C830" s="499" t="s">
        <v>1532</v>
      </c>
      <c r="D830" s="378">
        <v>1.6008670190290476E-3</v>
      </c>
      <c r="F830" s="495">
        <v>906860.13007855741</v>
      </c>
      <c r="G830" s="495">
        <v>2046633.1198585583</v>
      </c>
      <c r="H830" s="495">
        <v>239400.57082605752</v>
      </c>
      <c r="I830" s="495">
        <v>-165873.28690000001</v>
      </c>
      <c r="J830" s="495">
        <v>0</v>
      </c>
      <c r="M830" s="495">
        <v>735683.16122999997</v>
      </c>
      <c r="N830" s="495">
        <v>748396.96531999996</v>
      </c>
      <c r="O830" s="495">
        <v>394127.92679</v>
      </c>
      <c r="P830" s="495">
        <v>0</v>
      </c>
      <c r="Q830" s="495">
        <v>0</v>
      </c>
      <c r="T830" s="495">
        <v>302781.57332000002</v>
      </c>
      <c r="U830" s="495">
        <v>1375960.77131</v>
      </c>
      <c r="V830" s="495">
        <v>-45893.263359999997</v>
      </c>
      <c r="W830" s="495">
        <v>-165873.28690000001</v>
      </c>
      <c r="X830" s="495">
        <v>0</v>
      </c>
      <c r="AA830" s="495">
        <v>0</v>
      </c>
      <c r="AB830" s="495">
        <v>0</v>
      </c>
      <c r="AC830" s="495">
        <v>0</v>
      </c>
      <c r="AD830" s="495">
        <v>0</v>
      </c>
      <c r="AE830" s="495">
        <v>0</v>
      </c>
      <c r="AH830" s="495">
        <v>54463.564582500207</v>
      </c>
      <c r="AI830" s="495">
        <v>31109.475832500269</v>
      </c>
      <c r="AJ830" s="495">
        <v>0</v>
      </c>
      <c r="AK830" s="495">
        <v>0</v>
      </c>
      <c r="AL830" s="495">
        <v>0</v>
      </c>
      <c r="AO830" s="495">
        <v>-186068.16905394266</v>
      </c>
      <c r="AP830" s="495">
        <v>-108834.0926039425</v>
      </c>
      <c r="AQ830" s="495">
        <v>-108834.0926039425</v>
      </c>
      <c r="AR830" s="495">
        <v>0</v>
      </c>
      <c r="AS830" s="495">
        <v>0</v>
      </c>
    </row>
    <row r="831" spans="1:45">
      <c r="A831" s="390">
        <v>99104</v>
      </c>
      <c r="B831" s="393">
        <v>99104</v>
      </c>
      <c r="C831" s="499" t="s">
        <v>1533</v>
      </c>
      <c r="D831" s="378">
        <v>3.1174666586468338E-5</v>
      </c>
      <c r="F831" s="495">
        <v>29738.159289181924</v>
      </c>
      <c r="G831" s="495">
        <v>45639.367909181929</v>
      </c>
      <c r="H831" s="495">
        <v>6826.6151741819212</v>
      </c>
      <c r="I831" s="495">
        <v>-3230.1471000000001</v>
      </c>
      <c r="J831" s="495">
        <v>0</v>
      </c>
      <c r="M831" s="495">
        <v>14326.386570000001</v>
      </c>
      <c r="N831" s="495">
        <v>14573.969880000001</v>
      </c>
      <c r="O831" s="495">
        <v>7675.0826100000004</v>
      </c>
      <c r="P831" s="495">
        <v>0</v>
      </c>
      <c r="Q831" s="495">
        <v>0</v>
      </c>
      <c r="T831" s="495">
        <v>5896.2418800000005</v>
      </c>
      <c r="U831" s="495">
        <v>26794.885290000002</v>
      </c>
      <c r="V831" s="495">
        <v>-893.70624000000009</v>
      </c>
      <c r="W831" s="495">
        <v>-3230.1471000000001</v>
      </c>
      <c r="X831" s="495">
        <v>0</v>
      </c>
      <c r="AA831" s="495">
        <v>0</v>
      </c>
      <c r="AB831" s="495">
        <v>0</v>
      </c>
      <c r="AC831" s="495">
        <v>0</v>
      </c>
      <c r="AD831" s="495">
        <v>0</v>
      </c>
      <c r="AE831" s="495">
        <v>0</v>
      </c>
      <c r="AH831" s="495">
        <v>9515.5308391819235</v>
      </c>
      <c r="AI831" s="495">
        <v>4270.512739181926</v>
      </c>
      <c r="AJ831" s="495">
        <v>45.238804181921296</v>
      </c>
      <c r="AK831" s="495">
        <v>0</v>
      </c>
      <c r="AL831" s="495">
        <v>0</v>
      </c>
      <c r="AO831" s="495">
        <v>0</v>
      </c>
      <c r="AP831" s="495">
        <v>0</v>
      </c>
      <c r="AQ831" s="495">
        <v>0</v>
      </c>
      <c r="AR831" s="495">
        <v>0</v>
      </c>
      <c r="AS831" s="495">
        <v>0</v>
      </c>
    </row>
    <row r="832" spans="1:45">
      <c r="A832" s="390">
        <v>99109</v>
      </c>
      <c r="B832" s="393">
        <v>99109</v>
      </c>
      <c r="C832" s="499" t="s">
        <v>1534</v>
      </c>
      <c r="D832" s="378">
        <v>9.4974046354955155E-5</v>
      </c>
      <c r="F832" s="495">
        <v>40913.377258789405</v>
      </c>
      <c r="G832" s="495">
        <v>100013.1410937894</v>
      </c>
      <c r="H832" s="495">
        <v>8316.3855837894007</v>
      </c>
      <c r="I832" s="495">
        <v>-9840.7047999999995</v>
      </c>
      <c r="J832" s="495">
        <v>0</v>
      </c>
      <c r="M832" s="495">
        <v>43645.610159999997</v>
      </c>
      <c r="N832" s="495">
        <v>44399.877439999997</v>
      </c>
      <c r="O832" s="495">
        <v>23382.285680000001</v>
      </c>
      <c r="P832" s="495">
        <v>0</v>
      </c>
      <c r="Q832" s="495">
        <v>0</v>
      </c>
      <c r="T832" s="495">
        <v>17963.013439999999</v>
      </c>
      <c r="U832" s="495">
        <v>81631.129520000002</v>
      </c>
      <c r="V832" s="495">
        <v>-2722.6931199999999</v>
      </c>
      <c r="W832" s="495">
        <v>-9840.7047999999995</v>
      </c>
      <c r="X832" s="495">
        <v>0</v>
      </c>
      <c r="AA832" s="495">
        <v>0</v>
      </c>
      <c r="AB832" s="495">
        <v>0</v>
      </c>
      <c r="AC832" s="495">
        <v>0</v>
      </c>
      <c r="AD832" s="495">
        <v>0</v>
      </c>
      <c r="AE832" s="495">
        <v>0</v>
      </c>
      <c r="AH832" s="495">
        <v>6421.9651500000182</v>
      </c>
      <c r="AI832" s="495">
        <v>0</v>
      </c>
      <c r="AJ832" s="495">
        <v>0</v>
      </c>
      <c r="AK832" s="495">
        <v>0</v>
      </c>
      <c r="AL832" s="495">
        <v>0</v>
      </c>
      <c r="AO832" s="495">
        <v>-27117.211491210608</v>
      </c>
      <c r="AP832" s="495">
        <v>-26017.86586621061</v>
      </c>
      <c r="AQ832" s="495">
        <v>-12343.2069762106</v>
      </c>
      <c r="AR832" s="495">
        <v>0</v>
      </c>
      <c r="AS832" s="495">
        <v>0</v>
      </c>
    </row>
    <row r="833" spans="1:45">
      <c r="A833" s="390">
        <v>99110</v>
      </c>
      <c r="B833" s="393">
        <v>99110</v>
      </c>
      <c r="C833" s="499" t="s">
        <v>1535</v>
      </c>
      <c r="D833" s="378">
        <v>1.5581309977111873E-4</v>
      </c>
      <c r="F833" s="495">
        <v>112768.71121273741</v>
      </c>
      <c r="G833" s="495">
        <v>209868.90197773743</v>
      </c>
      <c r="H833" s="495">
        <v>37701.098880237434</v>
      </c>
      <c r="I833" s="495">
        <v>-16144.5177</v>
      </c>
      <c r="J833" s="495">
        <v>0</v>
      </c>
      <c r="M833" s="495">
        <v>71604.355589999992</v>
      </c>
      <c r="N833" s="495">
        <v>72841.795559999999</v>
      </c>
      <c r="O833" s="495">
        <v>38360.639069999997</v>
      </c>
      <c r="P833" s="495">
        <v>0</v>
      </c>
      <c r="Q833" s="495">
        <v>0</v>
      </c>
      <c r="T833" s="495">
        <v>29469.859560000001</v>
      </c>
      <c r="U833" s="495">
        <v>133922.84823</v>
      </c>
      <c r="V833" s="495">
        <v>-4466.81088</v>
      </c>
      <c r="W833" s="495">
        <v>-16144.5177</v>
      </c>
      <c r="X833" s="495">
        <v>0</v>
      </c>
      <c r="AA833" s="495">
        <v>0</v>
      </c>
      <c r="AB833" s="495">
        <v>0</v>
      </c>
      <c r="AC833" s="495">
        <v>0</v>
      </c>
      <c r="AD833" s="495">
        <v>0</v>
      </c>
      <c r="AE833" s="495">
        <v>0</v>
      </c>
      <c r="AH833" s="495">
        <v>36311.539707737436</v>
      </c>
      <c r="AI833" s="495">
        <v>21753.989082737429</v>
      </c>
      <c r="AJ833" s="495">
        <v>3807.2706902374302</v>
      </c>
      <c r="AK833" s="495">
        <v>0</v>
      </c>
      <c r="AL833" s="495">
        <v>0</v>
      </c>
      <c r="AO833" s="495">
        <v>-24617.043645000012</v>
      </c>
      <c r="AP833" s="495">
        <v>-18649.730895000001</v>
      </c>
      <c r="AQ833" s="495">
        <v>0</v>
      </c>
      <c r="AR833" s="495">
        <v>0</v>
      </c>
      <c r="AS833" s="495">
        <v>0</v>
      </c>
    </row>
    <row r="834" spans="1:45">
      <c r="A834" s="390">
        <v>99111</v>
      </c>
      <c r="B834" s="393">
        <v>99111</v>
      </c>
      <c r="C834" s="499" t="s">
        <v>1536</v>
      </c>
      <c r="D834" s="378">
        <v>1.1636622445714455E-3</v>
      </c>
      <c r="F834" s="495">
        <v>594028.78905149642</v>
      </c>
      <c r="G834" s="495">
        <v>1387910.8502414962</v>
      </c>
      <c r="H834" s="495">
        <v>180937.66343899639</v>
      </c>
      <c r="I834" s="495">
        <v>-120572.46870000001</v>
      </c>
      <c r="J834" s="495">
        <v>0</v>
      </c>
      <c r="M834" s="495">
        <v>534764.43729000003</v>
      </c>
      <c r="N834" s="495">
        <v>544006.03836000001</v>
      </c>
      <c r="O834" s="495">
        <v>286489.63317000004</v>
      </c>
      <c r="P834" s="495">
        <v>0</v>
      </c>
      <c r="Q834" s="495">
        <v>0</v>
      </c>
      <c r="T834" s="495">
        <v>220090.42236000003</v>
      </c>
      <c r="U834" s="495">
        <v>1000179.0531300001</v>
      </c>
      <c r="V834" s="495">
        <v>-33359.585279999999</v>
      </c>
      <c r="W834" s="495">
        <v>-120572.46870000001</v>
      </c>
      <c r="X834" s="495">
        <v>0</v>
      </c>
      <c r="AA834" s="495">
        <v>0</v>
      </c>
      <c r="AB834" s="495">
        <v>0</v>
      </c>
      <c r="AC834" s="495">
        <v>0</v>
      </c>
      <c r="AD834" s="495">
        <v>0</v>
      </c>
      <c r="AE834" s="495">
        <v>0</v>
      </c>
      <c r="AH834" s="495">
        <v>14094.224400000065</v>
      </c>
      <c r="AI834" s="495">
        <v>0</v>
      </c>
      <c r="AJ834" s="495">
        <v>0</v>
      </c>
      <c r="AK834" s="495">
        <v>0</v>
      </c>
      <c r="AL834" s="495">
        <v>0</v>
      </c>
      <c r="AO834" s="495">
        <v>-174920.2949985037</v>
      </c>
      <c r="AP834" s="495">
        <v>-156274.24124850368</v>
      </c>
      <c r="AQ834" s="495">
        <v>-72192.384451003658</v>
      </c>
      <c r="AR834" s="495">
        <v>0</v>
      </c>
      <c r="AS834" s="495">
        <v>0</v>
      </c>
    </row>
    <row r="835" spans="1:45">
      <c r="A835" s="390">
        <v>99201</v>
      </c>
      <c r="B835" s="393">
        <v>99201</v>
      </c>
      <c r="C835" s="499" t="s">
        <v>3738</v>
      </c>
      <c r="D835" s="378">
        <v>3.7916142838384889E-2</v>
      </c>
      <c r="F835" s="495">
        <v>25349535.440990217</v>
      </c>
      <c r="G835" s="495">
        <v>51661810.038145207</v>
      </c>
      <c r="H835" s="495">
        <v>7859611.8922977112</v>
      </c>
      <c r="I835" s="495">
        <v>-3928668.2238999996</v>
      </c>
      <c r="J835" s="495">
        <v>0</v>
      </c>
      <c r="M835" s="495">
        <v>17424475.70913</v>
      </c>
      <c r="N835" s="495">
        <v>17725599.048919998</v>
      </c>
      <c r="O835" s="495">
        <v>9334823.5334900003</v>
      </c>
      <c r="P835" s="495">
        <v>0</v>
      </c>
      <c r="Q835" s="495">
        <v>0</v>
      </c>
      <c r="T835" s="495">
        <v>7171307.4969199998</v>
      </c>
      <c r="U835" s="495">
        <v>32589294.277609996</v>
      </c>
      <c r="V835" s="495">
        <v>-1086970.7161599998</v>
      </c>
      <c r="W835" s="495">
        <v>-3928668.2238999996</v>
      </c>
      <c r="X835" s="495">
        <v>0</v>
      </c>
      <c r="AA835" s="495">
        <v>0</v>
      </c>
      <c r="AB835" s="495">
        <v>0</v>
      </c>
      <c r="AC835" s="495">
        <v>0</v>
      </c>
      <c r="AD835" s="495">
        <v>0</v>
      </c>
      <c r="AE835" s="495">
        <v>0</v>
      </c>
      <c r="AH835" s="495">
        <v>1823225.1679800027</v>
      </c>
      <c r="AI835" s="495">
        <v>1737764.1061050021</v>
      </c>
      <c r="AJ835" s="495">
        <v>0</v>
      </c>
      <c r="AK835" s="495">
        <v>0</v>
      </c>
      <c r="AL835" s="495">
        <v>0</v>
      </c>
      <c r="AO835" s="495">
        <v>-1069472.9330397898</v>
      </c>
      <c r="AP835" s="495">
        <v>-390847.39448978915</v>
      </c>
      <c r="AQ835" s="495">
        <v>-388240.92503228947</v>
      </c>
      <c r="AR835" s="495">
        <v>0</v>
      </c>
      <c r="AS835" s="495">
        <v>0</v>
      </c>
    </row>
    <row r="836" spans="1:45">
      <c r="A836" s="390">
        <v>99202</v>
      </c>
      <c r="B836" s="393">
        <v>99202</v>
      </c>
      <c r="C836" s="499" t="s">
        <v>1538</v>
      </c>
      <c r="D836" s="378">
        <v>3.4965976158755508E-3</v>
      </c>
      <c r="F836" s="495">
        <v>2385037.4142623357</v>
      </c>
      <c r="G836" s="495">
        <v>4808548.3986673355</v>
      </c>
      <c r="H836" s="495">
        <v>717209.25474483625</v>
      </c>
      <c r="I836" s="495">
        <v>-362298.77039999998</v>
      </c>
      <c r="J836" s="495">
        <v>0</v>
      </c>
      <c r="M836" s="495">
        <v>1606871.78568</v>
      </c>
      <c r="N836" s="495">
        <v>1634641.14912</v>
      </c>
      <c r="O836" s="495">
        <v>860850.26663999993</v>
      </c>
      <c r="P836" s="495">
        <v>0</v>
      </c>
      <c r="Q836" s="495">
        <v>0</v>
      </c>
      <c r="T836" s="495">
        <v>661332.47711999994</v>
      </c>
      <c r="U836" s="495">
        <v>3005359.7229599999</v>
      </c>
      <c r="V836" s="495">
        <v>-100239.60575999999</v>
      </c>
      <c r="W836" s="495">
        <v>-362298.77039999998</v>
      </c>
      <c r="X836" s="495">
        <v>0</v>
      </c>
      <c r="AA836" s="495">
        <v>0</v>
      </c>
      <c r="AB836" s="495">
        <v>0</v>
      </c>
      <c r="AC836" s="495">
        <v>0</v>
      </c>
      <c r="AD836" s="495">
        <v>0</v>
      </c>
      <c r="AE836" s="495">
        <v>0</v>
      </c>
      <c r="AH836" s="495">
        <v>285562.7644049995</v>
      </c>
      <c r="AI836" s="495">
        <v>266524.19515499979</v>
      </c>
      <c r="AJ836" s="495">
        <v>0</v>
      </c>
      <c r="AK836" s="495">
        <v>0</v>
      </c>
      <c r="AL836" s="495">
        <v>0</v>
      </c>
      <c r="AO836" s="495">
        <v>-168729.61294266355</v>
      </c>
      <c r="AP836" s="495">
        <v>-97976.668567663597</v>
      </c>
      <c r="AQ836" s="495">
        <v>-43401.406135163692</v>
      </c>
      <c r="AR836" s="495">
        <v>0</v>
      </c>
      <c r="AS836" s="495">
        <v>0</v>
      </c>
    </row>
    <row r="837" spans="1:45">
      <c r="A837" s="390">
        <v>99203</v>
      </c>
      <c r="B837" s="393">
        <v>99203</v>
      </c>
      <c r="C837" s="499" t="s">
        <v>1539</v>
      </c>
      <c r="D837" s="378">
        <v>4.3921501912403386E-4</v>
      </c>
      <c r="F837" s="495">
        <v>302541.17754457786</v>
      </c>
      <c r="G837" s="495">
        <v>583048.83264457795</v>
      </c>
      <c r="H837" s="495">
        <v>85177.47481457793</v>
      </c>
      <c r="I837" s="495">
        <v>-45509.114500000003</v>
      </c>
      <c r="J837" s="495">
        <v>0</v>
      </c>
      <c r="M837" s="495">
        <v>201842.56215000001</v>
      </c>
      <c r="N837" s="495">
        <v>205330.73060000001</v>
      </c>
      <c r="O837" s="495">
        <v>108133.22195000001</v>
      </c>
      <c r="P837" s="495">
        <v>0</v>
      </c>
      <c r="Q837" s="495">
        <v>0</v>
      </c>
      <c r="T837" s="495">
        <v>83071.370600000009</v>
      </c>
      <c r="U837" s="495">
        <v>377509.58855000004</v>
      </c>
      <c r="V837" s="495">
        <v>-12591.308800000001</v>
      </c>
      <c r="W837" s="495">
        <v>-45509.114500000003</v>
      </c>
      <c r="X837" s="495">
        <v>0</v>
      </c>
      <c r="AA837" s="495">
        <v>0</v>
      </c>
      <c r="AB837" s="495">
        <v>0</v>
      </c>
      <c r="AC837" s="495">
        <v>0</v>
      </c>
      <c r="AD837" s="495">
        <v>0</v>
      </c>
      <c r="AE837" s="495">
        <v>0</v>
      </c>
      <c r="AH837" s="495">
        <v>47151.987539999915</v>
      </c>
      <c r="AI837" s="495">
        <v>24646.69373999993</v>
      </c>
      <c r="AJ837" s="495">
        <v>0</v>
      </c>
      <c r="AK837" s="495">
        <v>0</v>
      </c>
      <c r="AL837" s="495">
        <v>0</v>
      </c>
      <c r="AO837" s="495">
        <v>-29524.742745422056</v>
      </c>
      <c r="AP837" s="495">
        <v>-24438.180245422056</v>
      </c>
      <c r="AQ837" s="495">
        <v>-10364.438335422074</v>
      </c>
      <c r="AR837" s="495">
        <v>0</v>
      </c>
      <c r="AS837" s="495">
        <v>0</v>
      </c>
    </row>
    <row r="838" spans="1:45">
      <c r="A838" s="390">
        <v>99204</v>
      </c>
      <c r="B838" s="393">
        <v>99204</v>
      </c>
      <c r="C838" s="499" t="s">
        <v>1540</v>
      </c>
      <c r="D838" s="378">
        <v>1.3159447316066423E-3</v>
      </c>
      <c r="F838" s="495">
        <v>911786.32477718929</v>
      </c>
      <c r="G838" s="495">
        <v>1769328.585052189</v>
      </c>
      <c r="H838" s="495">
        <v>221082.47479468913</v>
      </c>
      <c r="I838" s="495">
        <v>-136351.17250000002</v>
      </c>
      <c r="J838" s="495">
        <v>0</v>
      </c>
      <c r="M838" s="495">
        <v>604746.33075000008</v>
      </c>
      <c r="N838" s="495">
        <v>615197.33299999998</v>
      </c>
      <c r="O838" s="495">
        <v>323981.06975000002</v>
      </c>
      <c r="P838" s="495">
        <v>0</v>
      </c>
      <c r="Q838" s="495">
        <v>0</v>
      </c>
      <c r="T838" s="495">
        <v>248892.53300000002</v>
      </c>
      <c r="U838" s="495">
        <v>1131067.3827500001</v>
      </c>
      <c r="V838" s="495">
        <v>-37725.184000000001</v>
      </c>
      <c r="W838" s="495">
        <v>-136351.17250000002</v>
      </c>
      <c r="X838" s="495">
        <v>0</v>
      </c>
      <c r="AA838" s="495">
        <v>0</v>
      </c>
      <c r="AB838" s="495">
        <v>0</v>
      </c>
      <c r="AC838" s="495">
        <v>0</v>
      </c>
      <c r="AD838" s="495">
        <v>0</v>
      </c>
      <c r="AE838" s="495">
        <v>0</v>
      </c>
      <c r="AH838" s="495">
        <v>171344.59213500004</v>
      </c>
      <c r="AI838" s="495">
        <v>120935.00728499994</v>
      </c>
      <c r="AJ838" s="495">
        <v>0</v>
      </c>
      <c r="AK838" s="495">
        <v>0</v>
      </c>
      <c r="AL838" s="495">
        <v>0</v>
      </c>
      <c r="AO838" s="495">
        <v>-113197.13110781091</v>
      </c>
      <c r="AP838" s="495">
        <v>-97871.137982810935</v>
      </c>
      <c r="AQ838" s="495">
        <v>-65173.410955310886</v>
      </c>
      <c r="AR838" s="495">
        <v>0</v>
      </c>
      <c r="AS838" s="495">
        <v>0</v>
      </c>
    </row>
    <row r="839" spans="1:45">
      <c r="A839" s="390">
        <v>99206</v>
      </c>
      <c r="B839" s="393">
        <v>99206</v>
      </c>
      <c r="C839" s="499" t="s">
        <v>1541</v>
      </c>
      <c r="D839" s="378">
        <v>1.9646607737768998E-3</v>
      </c>
      <c r="F839" s="495">
        <v>1185968.7857708542</v>
      </c>
      <c r="G839" s="495">
        <v>2507157.4725658549</v>
      </c>
      <c r="H839" s="495">
        <v>371645.20559085452</v>
      </c>
      <c r="I839" s="495">
        <v>-203567.66310000001</v>
      </c>
      <c r="J839" s="495">
        <v>0</v>
      </c>
      <c r="M839" s="495">
        <v>902865.70377000002</v>
      </c>
      <c r="N839" s="495">
        <v>918468.69467999996</v>
      </c>
      <c r="O839" s="495">
        <v>483692.71821000002</v>
      </c>
      <c r="P839" s="495">
        <v>0</v>
      </c>
      <c r="Q839" s="495">
        <v>0</v>
      </c>
      <c r="T839" s="495">
        <v>371588.08668000001</v>
      </c>
      <c r="U839" s="495">
        <v>1688645.13369</v>
      </c>
      <c r="V839" s="495">
        <v>-56322.416640000003</v>
      </c>
      <c r="W839" s="495">
        <v>-203567.66310000001</v>
      </c>
      <c r="X839" s="495">
        <v>0</v>
      </c>
      <c r="AA839" s="495">
        <v>0</v>
      </c>
      <c r="AB839" s="495">
        <v>0</v>
      </c>
      <c r="AC839" s="495">
        <v>0</v>
      </c>
      <c r="AD839" s="495">
        <v>0</v>
      </c>
      <c r="AE839" s="495">
        <v>0</v>
      </c>
      <c r="AH839" s="495">
        <v>36088.03424999956</v>
      </c>
      <c r="AI839" s="495">
        <v>0</v>
      </c>
      <c r="AJ839" s="495">
        <v>0</v>
      </c>
      <c r="AK839" s="495">
        <v>0</v>
      </c>
      <c r="AL839" s="495">
        <v>0</v>
      </c>
      <c r="AO839" s="495">
        <v>-124573.03892914526</v>
      </c>
      <c r="AP839" s="495">
        <v>-99956.355804145278</v>
      </c>
      <c r="AQ839" s="495">
        <v>-55725.095979145495</v>
      </c>
      <c r="AR839" s="495">
        <v>0</v>
      </c>
      <c r="AS839" s="495">
        <v>0</v>
      </c>
    </row>
    <row r="840" spans="1:45">
      <c r="A840" s="390">
        <v>99207</v>
      </c>
      <c r="B840" s="393">
        <v>99207</v>
      </c>
      <c r="C840" s="499" t="s">
        <v>1542</v>
      </c>
      <c r="D840" s="378">
        <v>1.1555717144873724E-4</v>
      </c>
      <c r="F840" s="495">
        <v>168105.02493683682</v>
      </c>
      <c r="G840" s="495">
        <v>206125.94960183682</v>
      </c>
      <c r="H840" s="495">
        <v>48518.189164336836</v>
      </c>
      <c r="I840" s="495">
        <v>-11973.4102</v>
      </c>
      <c r="J840" s="495">
        <v>0</v>
      </c>
      <c r="M840" s="495">
        <v>53104.610339999999</v>
      </c>
      <c r="N840" s="495">
        <v>54022.344559999998</v>
      </c>
      <c r="O840" s="495">
        <v>28449.76082</v>
      </c>
      <c r="P840" s="495">
        <v>0</v>
      </c>
      <c r="Q840" s="495">
        <v>0</v>
      </c>
      <c r="T840" s="495">
        <v>21856.008559999998</v>
      </c>
      <c r="U840" s="495">
        <v>99322.458979999996</v>
      </c>
      <c r="V840" s="495">
        <v>-3312.7628799999998</v>
      </c>
      <c r="W840" s="495">
        <v>-11973.4102</v>
      </c>
      <c r="X840" s="495">
        <v>0</v>
      </c>
      <c r="AA840" s="495">
        <v>0</v>
      </c>
      <c r="AB840" s="495">
        <v>0</v>
      </c>
      <c r="AC840" s="495">
        <v>0</v>
      </c>
      <c r="AD840" s="495">
        <v>0</v>
      </c>
      <c r="AE840" s="495">
        <v>0</v>
      </c>
      <c r="AH840" s="495">
        <v>107182.24041183681</v>
      </c>
      <c r="AI840" s="495">
        <v>66818.980436836835</v>
      </c>
      <c r="AJ840" s="495">
        <v>23381.191224336835</v>
      </c>
      <c r="AK840" s="495">
        <v>0</v>
      </c>
      <c r="AL840" s="495">
        <v>0</v>
      </c>
      <c r="AO840" s="495">
        <v>-14037.834374999999</v>
      </c>
      <c r="AP840" s="495">
        <v>-14037.834374999999</v>
      </c>
      <c r="AQ840" s="495">
        <v>0</v>
      </c>
      <c r="AR840" s="495">
        <v>0</v>
      </c>
      <c r="AS840" s="495">
        <v>0</v>
      </c>
    </row>
    <row r="841" spans="1:45">
      <c r="A841" s="390">
        <v>99208</v>
      </c>
      <c r="B841" s="393">
        <v>99208</v>
      </c>
      <c r="C841" s="499" t="s">
        <v>1543</v>
      </c>
      <c r="D841" s="378">
        <v>3.488516283958955E-4</v>
      </c>
      <c r="F841" s="495">
        <v>251965.38793243188</v>
      </c>
      <c r="G841" s="495">
        <v>482761.16485743196</v>
      </c>
      <c r="H841" s="495">
        <v>78553.955827431928</v>
      </c>
      <c r="I841" s="495">
        <v>-36146.144</v>
      </c>
      <c r="J841" s="495">
        <v>0</v>
      </c>
      <c r="M841" s="495">
        <v>160315.80480000001</v>
      </c>
      <c r="N841" s="495">
        <v>163086.32320000001</v>
      </c>
      <c r="O841" s="495">
        <v>85886.070400000011</v>
      </c>
      <c r="P841" s="495">
        <v>0</v>
      </c>
      <c r="Q841" s="495">
        <v>0</v>
      </c>
      <c r="T841" s="495">
        <v>65980.403200000001</v>
      </c>
      <c r="U841" s="495">
        <v>299841.38560000004</v>
      </c>
      <c r="V841" s="495">
        <v>-10000.793600000001</v>
      </c>
      <c r="W841" s="495">
        <v>-36146.144</v>
      </c>
      <c r="X841" s="495">
        <v>0</v>
      </c>
      <c r="AA841" s="495">
        <v>0</v>
      </c>
      <c r="AB841" s="495">
        <v>0</v>
      </c>
      <c r="AC841" s="495">
        <v>0</v>
      </c>
      <c r="AD841" s="495">
        <v>0</v>
      </c>
      <c r="AE841" s="495">
        <v>0</v>
      </c>
      <c r="AH841" s="495">
        <v>41726.912692431928</v>
      </c>
      <c r="AI841" s="495">
        <v>32481.295817431928</v>
      </c>
      <c r="AJ841" s="495">
        <v>2668.6790274319283</v>
      </c>
      <c r="AK841" s="495">
        <v>0</v>
      </c>
      <c r="AL841" s="495">
        <v>0</v>
      </c>
      <c r="AO841" s="495">
        <v>-16057.732760000028</v>
      </c>
      <c r="AP841" s="495">
        <v>-12647.839760000003</v>
      </c>
      <c r="AQ841" s="495">
        <v>0</v>
      </c>
      <c r="AR841" s="495">
        <v>0</v>
      </c>
      <c r="AS841" s="495">
        <v>0</v>
      </c>
    </row>
    <row r="842" spans="1:45">
      <c r="A842" s="390">
        <v>99210</v>
      </c>
      <c r="B842" s="393">
        <v>99210</v>
      </c>
      <c r="C842" s="499" t="s">
        <v>1544</v>
      </c>
      <c r="D842" s="378">
        <v>1.9822633958929241E-3</v>
      </c>
      <c r="F842" s="495">
        <v>1391353.0225805182</v>
      </c>
      <c r="G842" s="495">
        <v>2694507.5887255184</v>
      </c>
      <c r="H842" s="495">
        <v>522970.31512801826</v>
      </c>
      <c r="I842" s="495">
        <v>-205391.55110000001</v>
      </c>
      <c r="J842" s="495">
        <v>0</v>
      </c>
      <c r="M842" s="495">
        <v>910955.03336999996</v>
      </c>
      <c r="N842" s="495">
        <v>926697.82108000002</v>
      </c>
      <c r="O842" s="495">
        <v>488026.41901000001</v>
      </c>
      <c r="P842" s="495">
        <v>0</v>
      </c>
      <c r="Q842" s="495">
        <v>0</v>
      </c>
      <c r="T842" s="495">
        <v>374917.37307999999</v>
      </c>
      <c r="U842" s="495">
        <v>1703774.74489</v>
      </c>
      <c r="V842" s="495">
        <v>-56827.043839999998</v>
      </c>
      <c r="W842" s="495">
        <v>-205391.55110000001</v>
      </c>
      <c r="X842" s="495">
        <v>0</v>
      </c>
      <c r="AA842" s="495">
        <v>0</v>
      </c>
      <c r="AB842" s="495">
        <v>0</v>
      </c>
      <c r="AC842" s="495">
        <v>0</v>
      </c>
      <c r="AD842" s="495">
        <v>0</v>
      </c>
      <c r="AE842" s="495">
        <v>0</v>
      </c>
      <c r="AH842" s="495">
        <v>149585.6200255182</v>
      </c>
      <c r="AI842" s="495">
        <v>108140.02665051821</v>
      </c>
      <c r="AJ842" s="495">
        <v>91770.939958018222</v>
      </c>
      <c r="AK842" s="495">
        <v>0</v>
      </c>
      <c r="AL842" s="495">
        <v>0</v>
      </c>
      <c r="AO842" s="495">
        <v>-44105.003894999827</v>
      </c>
      <c r="AP842" s="495">
        <v>-44105.003894999827</v>
      </c>
      <c r="AQ842" s="495">
        <v>0</v>
      </c>
      <c r="AR842" s="495">
        <v>0</v>
      </c>
      <c r="AS842" s="495">
        <v>0</v>
      </c>
    </row>
    <row r="843" spans="1:45">
      <c r="A843" s="390">
        <v>99211</v>
      </c>
      <c r="B843" s="393">
        <v>99211</v>
      </c>
      <c r="C843" s="499" t="s">
        <v>1545</v>
      </c>
      <c r="D843" s="378">
        <v>3.1183876177476314E-2</v>
      </c>
      <c r="F843" s="495">
        <v>16212720.884093165</v>
      </c>
      <c r="G843" s="495">
        <v>38392777.833503164</v>
      </c>
      <c r="H843" s="495">
        <v>5553833.4400556553</v>
      </c>
      <c r="I843" s="495">
        <v>-3231106.7138</v>
      </c>
      <c r="J843" s="495">
        <v>0</v>
      </c>
      <c r="M843" s="495">
        <v>14330642.660460001</v>
      </c>
      <c r="N843" s="495">
        <v>14578299.522640001</v>
      </c>
      <c r="O843" s="495">
        <v>7677362.7275799997</v>
      </c>
      <c r="P843" s="495">
        <v>0</v>
      </c>
      <c r="Q843" s="495">
        <v>0</v>
      </c>
      <c r="T843" s="495">
        <v>5897993.5386399999</v>
      </c>
      <c r="U843" s="495">
        <v>26802845.528620001</v>
      </c>
      <c r="V843" s="495">
        <v>-893971.74271999998</v>
      </c>
      <c r="W843" s="495">
        <v>-3231106.7138</v>
      </c>
      <c r="X843" s="495">
        <v>0</v>
      </c>
      <c r="AA843" s="495">
        <v>0</v>
      </c>
      <c r="AB843" s="495">
        <v>0</v>
      </c>
      <c r="AC843" s="495">
        <v>0</v>
      </c>
      <c r="AD843" s="495">
        <v>0</v>
      </c>
      <c r="AE843" s="495">
        <v>0</v>
      </c>
      <c r="AH843" s="495">
        <v>0</v>
      </c>
      <c r="AI843" s="495">
        <v>0</v>
      </c>
      <c r="AJ843" s="495">
        <v>0</v>
      </c>
      <c r="AK843" s="495">
        <v>0</v>
      </c>
      <c r="AL843" s="495">
        <v>0</v>
      </c>
      <c r="AO843" s="495">
        <v>-4015915.3150068372</v>
      </c>
      <c r="AP843" s="495">
        <v>-2988367.2177568367</v>
      </c>
      <c r="AQ843" s="495">
        <v>-1229557.544804344</v>
      </c>
      <c r="AR843" s="495">
        <v>0</v>
      </c>
      <c r="AS843" s="495">
        <v>0</v>
      </c>
    </row>
    <row r="844" spans="1:45">
      <c r="A844" s="390">
        <v>99212</v>
      </c>
      <c r="B844" s="393">
        <v>99212</v>
      </c>
      <c r="C844" s="499" t="s">
        <v>1546</v>
      </c>
      <c r="D844" s="378">
        <v>9.2523624867467782E-5</v>
      </c>
      <c r="F844" s="495">
        <v>58642.42643134325</v>
      </c>
      <c r="G844" s="495">
        <v>125055.90779134323</v>
      </c>
      <c r="H844" s="495">
        <v>10203.824271343256</v>
      </c>
      <c r="I844" s="495">
        <v>-9586.8112999999994</v>
      </c>
      <c r="J844" s="495">
        <v>0</v>
      </c>
      <c r="M844" s="495">
        <v>42519.538709999993</v>
      </c>
      <c r="N844" s="495">
        <v>43254.34564</v>
      </c>
      <c r="O844" s="495">
        <v>22779.01483</v>
      </c>
      <c r="P844" s="495">
        <v>0</v>
      </c>
      <c r="Q844" s="495">
        <v>0</v>
      </c>
      <c r="T844" s="495">
        <v>17499.56164</v>
      </c>
      <c r="U844" s="495">
        <v>79525.01887</v>
      </c>
      <c r="V844" s="495">
        <v>-2652.4467199999999</v>
      </c>
      <c r="W844" s="495">
        <v>-9586.8112999999994</v>
      </c>
      <c r="X844" s="495">
        <v>0</v>
      </c>
      <c r="AA844" s="495">
        <v>0</v>
      </c>
      <c r="AB844" s="495">
        <v>0</v>
      </c>
      <c r="AC844" s="495">
        <v>0</v>
      </c>
      <c r="AD844" s="495">
        <v>0</v>
      </c>
      <c r="AE844" s="495">
        <v>0</v>
      </c>
      <c r="AH844" s="495">
        <v>19825.165559999987</v>
      </c>
      <c r="AI844" s="495">
        <v>19825.165559999987</v>
      </c>
      <c r="AJ844" s="495">
        <v>0</v>
      </c>
      <c r="AK844" s="495">
        <v>0</v>
      </c>
      <c r="AL844" s="495">
        <v>0</v>
      </c>
      <c r="AO844" s="495">
        <v>-21201.839478656741</v>
      </c>
      <c r="AP844" s="495">
        <v>-17548.622278656745</v>
      </c>
      <c r="AQ844" s="495">
        <v>-9922.7438386567446</v>
      </c>
      <c r="AR844" s="495">
        <v>0</v>
      </c>
      <c r="AS844" s="495">
        <v>0</v>
      </c>
    </row>
    <row r="845" spans="1:45">
      <c r="A845" s="390">
        <v>99213</v>
      </c>
      <c r="B845" s="393">
        <v>99213</v>
      </c>
      <c r="C845" s="499" t="s">
        <v>1547</v>
      </c>
      <c r="D845" s="378">
        <v>6.8188092515526321E-4</v>
      </c>
      <c r="F845" s="495">
        <v>542391.92221014015</v>
      </c>
      <c r="G845" s="495">
        <v>1042753.1518401401</v>
      </c>
      <c r="H845" s="495">
        <v>270024.15766764025</v>
      </c>
      <c r="I845" s="495">
        <v>-70652.861399999994</v>
      </c>
      <c r="J845" s="495">
        <v>0</v>
      </c>
      <c r="M845" s="495">
        <v>313360.40538000001</v>
      </c>
      <c r="N845" s="495">
        <v>318775.78392000002</v>
      </c>
      <c r="O845" s="495">
        <v>167876.73473999999</v>
      </c>
      <c r="P845" s="495">
        <v>0</v>
      </c>
      <c r="Q845" s="495">
        <v>0</v>
      </c>
      <c r="T845" s="495">
        <v>128968.23192000001</v>
      </c>
      <c r="U845" s="495">
        <v>586083.31385999999</v>
      </c>
      <c r="V845" s="495">
        <v>-19547.996159999999</v>
      </c>
      <c r="W845" s="495">
        <v>-70652.861399999994</v>
      </c>
      <c r="X845" s="495">
        <v>0</v>
      </c>
      <c r="AA845" s="495">
        <v>0</v>
      </c>
      <c r="AB845" s="495">
        <v>0</v>
      </c>
      <c r="AC845" s="495">
        <v>0</v>
      </c>
      <c r="AD845" s="495">
        <v>0</v>
      </c>
      <c r="AE845" s="495">
        <v>0</v>
      </c>
      <c r="AH845" s="495">
        <v>156060.42560514025</v>
      </c>
      <c r="AI845" s="495">
        <v>141719.83185514025</v>
      </c>
      <c r="AJ845" s="495">
        <v>121695.41908764024</v>
      </c>
      <c r="AK845" s="495">
        <v>0</v>
      </c>
      <c r="AL845" s="495">
        <v>0</v>
      </c>
      <c r="AO845" s="495">
        <v>-55997.140695000009</v>
      </c>
      <c r="AP845" s="495">
        <v>-3825.7777950000636</v>
      </c>
      <c r="AQ845" s="495">
        <v>0</v>
      </c>
      <c r="AR845" s="495">
        <v>0</v>
      </c>
      <c r="AS845" s="495">
        <v>0</v>
      </c>
    </row>
    <row r="846" spans="1:45">
      <c r="A846" s="390">
        <v>99218</v>
      </c>
      <c r="B846" s="393">
        <v>99218</v>
      </c>
      <c r="C846" s="499" t="s">
        <v>1548</v>
      </c>
      <c r="D846" s="378">
        <v>4.3135485862800761E-3</v>
      </c>
      <c r="F846" s="495">
        <v>3371253.4014853737</v>
      </c>
      <c r="G846" s="495">
        <v>6414973.5664703734</v>
      </c>
      <c r="H846" s="495">
        <v>1457664.1126103741</v>
      </c>
      <c r="I846" s="495">
        <v>-446946.86329999997</v>
      </c>
      <c r="J846" s="495">
        <v>0</v>
      </c>
      <c r="M846" s="495">
        <v>1982304.0071099999</v>
      </c>
      <c r="N846" s="495">
        <v>2016561.4512399998</v>
      </c>
      <c r="O846" s="495">
        <v>1061980.7680299999</v>
      </c>
      <c r="P846" s="495">
        <v>0</v>
      </c>
      <c r="Q846" s="495">
        <v>0</v>
      </c>
      <c r="T846" s="495">
        <v>815847.30723999988</v>
      </c>
      <c r="U846" s="495">
        <v>3707537.0136699998</v>
      </c>
      <c r="V846" s="495">
        <v>-123659.75551999999</v>
      </c>
      <c r="W846" s="495">
        <v>-446946.86329999997</v>
      </c>
      <c r="X846" s="495">
        <v>0</v>
      </c>
      <c r="AA846" s="495">
        <v>0</v>
      </c>
      <c r="AB846" s="495">
        <v>0</v>
      </c>
      <c r="AC846" s="495">
        <v>0</v>
      </c>
      <c r="AD846" s="495">
        <v>0</v>
      </c>
      <c r="AE846" s="495">
        <v>0</v>
      </c>
      <c r="AH846" s="495">
        <v>692221.01593537407</v>
      </c>
      <c r="AI846" s="495">
        <v>690875.10156037402</v>
      </c>
      <c r="AJ846" s="495">
        <v>519343.10010037431</v>
      </c>
      <c r="AK846" s="495">
        <v>0</v>
      </c>
      <c r="AL846" s="495">
        <v>0</v>
      </c>
      <c r="AO846" s="495">
        <v>-119118.92879999988</v>
      </c>
      <c r="AP846" s="495">
        <v>0</v>
      </c>
      <c r="AQ846" s="495">
        <v>0</v>
      </c>
      <c r="AR846" s="495">
        <v>0</v>
      </c>
      <c r="AS846" s="495">
        <v>0</v>
      </c>
    </row>
    <row r="847" spans="1:45">
      <c r="A847" s="390">
        <v>99219</v>
      </c>
      <c r="B847" s="393">
        <v>99219</v>
      </c>
      <c r="C847" s="499" t="s">
        <v>3758</v>
      </c>
      <c r="D847" s="378">
        <v>1.8572732069810335E-5</v>
      </c>
      <c r="F847" s="495">
        <v>26515.762973030418</v>
      </c>
      <c r="G847" s="495">
        <v>28897.159168030423</v>
      </c>
      <c r="H847" s="495">
        <v>9165.2055930304214</v>
      </c>
      <c r="I847" s="495">
        <v>-1924.4091000000001</v>
      </c>
      <c r="J847" s="495">
        <v>0</v>
      </c>
      <c r="M847" s="495">
        <v>8535.1619699999992</v>
      </c>
      <c r="N847" s="495">
        <v>8682.6634799999993</v>
      </c>
      <c r="O847" s="495">
        <v>4572.5468099999998</v>
      </c>
      <c r="P847" s="495">
        <v>0</v>
      </c>
      <c r="Q847" s="495">
        <v>0</v>
      </c>
      <c r="T847" s="495">
        <v>3512.7754799999998</v>
      </c>
      <c r="U847" s="495">
        <v>15963.45909</v>
      </c>
      <c r="V847" s="495">
        <v>-532.43903999999998</v>
      </c>
      <c r="W847" s="495">
        <v>-1924.4091000000001</v>
      </c>
      <c r="X847" s="495">
        <v>0</v>
      </c>
      <c r="AA847" s="495">
        <v>0</v>
      </c>
      <c r="AB847" s="495">
        <v>0</v>
      </c>
      <c r="AC847" s="495">
        <v>0</v>
      </c>
      <c r="AD847" s="495">
        <v>0</v>
      </c>
      <c r="AE847" s="495">
        <v>0</v>
      </c>
      <c r="AH847" s="495">
        <v>16863.615923030418</v>
      </c>
      <c r="AI847" s="495">
        <v>6646.8269980304212</v>
      </c>
      <c r="AJ847" s="495">
        <v>5125.0978230304218</v>
      </c>
      <c r="AK847" s="495">
        <v>0</v>
      </c>
      <c r="AL847" s="495">
        <v>0</v>
      </c>
      <c r="AO847" s="495">
        <v>-2395.790399999998</v>
      </c>
      <c r="AP847" s="495">
        <v>-2395.790399999998</v>
      </c>
      <c r="AQ847" s="495">
        <v>0</v>
      </c>
      <c r="AR847" s="495">
        <v>0</v>
      </c>
      <c r="AS847" s="495">
        <v>0</v>
      </c>
    </row>
    <row r="848" spans="1:45">
      <c r="A848" s="390">
        <v>99221</v>
      </c>
      <c r="B848" s="393">
        <v>99221</v>
      </c>
      <c r="C848" s="499" t="s">
        <v>1549</v>
      </c>
      <c r="D848" s="378">
        <v>1.2040112375786428E-2</v>
      </c>
      <c r="F848" s="495">
        <v>7704853.5504443906</v>
      </c>
      <c r="G848" s="495">
        <v>15913654.788724393</v>
      </c>
      <c r="H848" s="495">
        <v>2148517.2170043895</v>
      </c>
      <c r="I848" s="495">
        <v>-1247532.1379</v>
      </c>
      <c r="J848" s="495">
        <v>0</v>
      </c>
      <c r="M848" s="495">
        <v>5533069.27293</v>
      </c>
      <c r="N848" s="495">
        <v>5628689.7281200001</v>
      </c>
      <c r="O848" s="495">
        <v>2964234.1108900001</v>
      </c>
      <c r="P848" s="495">
        <v>0</v>
      </c>
      <c r="Q848" s="495">
        <v>0</v>
      </c>
      <c r="T848" s="495">
        <v>2277218.6561199999</v>
      </c>
      <c r="U848" s="495">
        <v>10348593.88621</v>
      </c>
      <c r="V848" s="495">
        <v>-345162.99776</v>
      </c>
      <c r="W848" s="495">
        <v>-1247532.1379</v>
      </c>
      <c r="X848" s="495">
        <v>0</v>
      </c>
      <c r="AA848" s="495">
        <v>0</v>
      </c>
      <c r="AB848" s="495">
        <v>0</v>
      </c>
      <c r="AC848" s="495">
        <v>0</v>
      </c>
      <c r="AD848" s="495">
        <v>0</v>
      </c>
      <c r="AE848" s="495">
        <v>0</v>
      </c>
      <c r="AH848" s="495">
        <v>659312.77661000181</v>
      </c>
      <c r="AI848" s="495">
        <v>531476.15286000201</v>
      </c>
      <c r="AJ848" s="495">
        <v>0</v>
      </c>
      <c r="AK848" s="495">
        <v>0</v>
      </c>
      <c r="AL848" s="495">
        <v>0</v>
      </c>
      <c r="AO848" s="495">
        <v>-764747.15521561191</v>
      </c>
      <c r="AP848" s="495">
        <v>-595104.97846561042</v>
      </c>
      <c r="AQ848" s="495">
        <v>-470553.89612561022</v>
      </c>
      <c r="AR848" s="495">
        <v>0</v>
      </c>
      <c r="AS848" s="495">
        <v>0</v>
      </c>
    </row>
    <row r="849" spans="1:45">
      <c r="A849" s="390">
        <v>99222</v>
      </c>
      <c r="B849" s="393">
        <v>99222</v>
      </c>
      <c r="C849" s="499" t="s">
        <v>1550</v>
      </c>
      <c r="D849" s="378">
        <v>3.8015581111474723E-5</v>
      </c>
      <c r="F849" s="495">
        <v>35433.592970807018</v>
      </c>
      <c r="G849" s="495">
        <v>61900.708655807008</v>
      </c>
      <c r="H849" s="495">
        <v>21277.715350807011</v>
      </c>
      <c r="I849" s="495">
        <v>-3938.9762999999998</v>
      </c>
      <c r="J849" s="495">
        <v>0</v>
      </c>
      <c r="M849" s="495">
        <v>17470.194209999998</v>
      </c>
      <c r="N849" s="495">
        <v>17772.107639999998</v>
      </c>
      <c r="O849" s="495">
        <v>9359.3163299999997</v>
      </c>
      <c r="P849" s="495">
        <v>0</v>
      </c>
      <c r="Q849" s="495">
        <v>0</v>
      </c>
      <c r="T849" s="495">
        <v>7190.1236399999998</v>
      </c>
      <c r="U849" s="495">
        <v>32674.802369999998</v>
      </c>
      <c r="V849" s="495">
        <v>-1089.8227199999999</v>
      </c>
      <c r="W849" s="495">
        <v>-3938.9762999999998</v>
      </c>
      <c r="X849" s="495">
        <v>0</v>
      </c>
      <c r="AA849" s="495">
        <v>0</v>
      </c>
      <c r="AB849" s="495">
        <v>0</v>
      </c>
      <c r="AC849" s="495">
        <v>0</v>
      </c>
      <c r="AD849" s="495">
        <v>0</v>
      </c>
      <c r="AE849" s="495">
        <v>0</v>
      </c>
      <c r="AH849" s="495">
        <v>14401.665080807012</v>
      </c>
      <c r="AI849" s="495">
        <v>14059.220705807013</v>
      </c>
      <c r="AJ849" s="495">
        <v>13008.221740807014</v>
      </c>
      <c r="AK849" s="495">
        <v>0</v>
      </c>
      <c r="AL849" s="495">
        <v>0</v>
      </c>
      <c r="AO849" s="495">
        <v>-3628.3899599999941</v>
      </c>
      <c r="AP849" s="495">
        <v>-2605.4220599999999</v>
      </c>
      <c r="AQ849" s="495">
        <v>0</v>
      </c>
      <c r="AR849" s="495">
        <v>0</v>
      </c>
      <c r="AS849" s="495">
        <v>0</v>
      </c>
    </row>
    <row r="850" spans="1:45">
      <c r="A850" s="390">
        <v>99231</v>
      </c>
      <c r="B850" s="393">
        <v>99231</v>
      </c>
      <c r="C850" s="499" t="s">
        <v>1551</v>
      </c>
      <c r="D850" s="378">
        <v>5.5066149985561299E-4</v>
      </c>
      <c r="F850" s="495">
        <v>407385.64742787211</v>
      </c>
      <c r="G850" s="495">
        <v>751847.49730787205</v>
      </c>
      <c r="H850" s="495">
        <v>93504.515557872131</v>
      </c>
      <c r="I850" s="495">
        <v>-57056.605399999993</v>
      </c>
      <c r="J850" s="495">
        <v>0</v>
      </c>
      <c r="M850" s="495">
        <v>253058.13017999998</v>
      </c>
      <c r="N850" s="495">
        <v>257431.38711999997</v>
      </c>
      <c r="O850" s="495">
        <v>135570.96513999999</v>
      </c>
      <c r="P850" s="495">
        <v>0</v>
      </c>
      <c r="Q850" s="495">
        <v>0</v>
      </c>
      <c r="T850" s="495">
        <v>104149.91511999999</v>
      </c>
      <c r="U850" s="495">
        <v>473298.93945999997</v>
      </c>
      <c r="V850" s="495">
        <v>-15786.229759999998</v>
      </c>
      <c r="W850" s="495">
        <v>-57056.605399999993</v>
      </c>
      <c r="X850" s="495">
        <v>0</v>
      </c>
      <c r="AA850" s="495">
        <v>0</v>
      </c>
      <c r="AB850" s="495">
        <v>0</v>
      </c>
      <c r="AC850" s="495">
        <v>0</v>
      </c>
      <c r="AD850" s="495">
        <v>0</v>
      </c>
      <c r="AE850" s="495">
        <v>0</v>
      </c>
      <c r="AH850" s="495">
        <v>90094.07984999998</v>
      </c>
      <c r="AI850" s="495">
        <v>58097.917199999967</v>
      </c>
      <c r="AJ850" s="495">
        <v>0</v>
      </c>
      <c r="AK850" s="495">
        <v>0</v>
      </c>
      <c r="AL850" s="495">
        <v>0</v>
      </c>
      <c r="AO850" s="495">
        <v>-39916.477722127856</v>
      </c>
      <c r="AP850" s="495">
        <v>-36980.746472127845</v>
      </c>
      <c r="AQ850" s="495">
        <v>-26280.21982212786</v>
      </c>
      <c r="AR850" s="495">
        <v>0</v>
      </c>
      <c r="AS850" s="495">
        <v>0</v>
      </c>
    </row>
    <row r="851" spans="1:45">
      <c r="A851" s="390">
        <v>99241</v>
      </c>
      <c r="B851" s="393">
        <v>99241</v>
      </c>
      <c r="C851" s="499" t="s">
        <v>1552</v>
      </c>
      <c r="D851" s="378">
        <v>6.5290669760145292E-4</v>
      </c>
      <c r="F851" s="495">
        <v>481797.93250810378</v>
      </c>
      <c r="G851" s="495">
        <v>917704.6423181037</v>
      </c>
      <c r="H851" s="495">
        <v>156383.2438381039</v>
      </c>
      <c r="I851" s="495">
        <v>-67650.700299999997</v>
      </c>
      <c r="J851" s="495">
        <v>0</v>
      </c>
      <c r="M851" s="495">
        <v>300045.18501000002</v>
      </c>
      <c r="N851" s="495">
        <v>305230.45483999996</v>
      </c>
      <c r="O851" s="495">
        <v>160743.36473</v>
      </c>
      <c r="P851" s="495">
        <v>0</v>
      </c>
      <c r="Q851" s="495">
        <v>0</v>
      </c>
      <c r="T851" s="495">
        <v>123488.15084</v>
      </c>
      <c r="U851" s="495">
        <v>561179.62997000001</v>
      </c>
      <c r="V851" s="495">
        <v>-18717.368319999998</v>
      </c>
      <c r="W851" s="495">
        <v>-67650.700299999997</v>
      </c>
      <c r="X851" s="495">
        <v>0</v>
      </c>
      <c r="AA851" s="495">
        <v>0</v>
      </c>
      <c r="AB851" s="495">
        <v>0</v>
      </c>
      <c r="AC851" s="495">
        <v>0</v>
      </c>
      <c r="AD851" s="495">
        <v>0</v>
      </c>
      <c r="AE851" s="495">
        <v>0</v>
      </c>
      <c r="AH851" s="495">
        <v>72955.332668103816</v>
      </c>
      <c r="AI851" s="495">
        <v>60566.054768103888</v>
      </c>
      <c r="AJ851" s="495">
        <v>14357.247428103903</v>
      </c>
      <c r="AK851" s="495">
        <v>0</v>
      </c>
      <c r="AL851" s="495">
        <v>0</v>
      </c>
      <c r="AO851" s="495">
        <v>-14690.736010000022</v>
      </c>
      <c r="AP851" s="495">
        <v>-9271.4972600000328</v>
      </c>
      <c r="AQ851" s="495">
        <v>0</v>
      </c>
      <c r="AR851" s="495">
        <v>0</v>
      </c>
      <c r="AS851" s="495">
        <v>0</v>
      </c>
    </row>
    <row r="852" spans="1:45">
      <c r="A852" s="390">
        <v>99251</v>
      </c>
      <c r="B852" s="393">
        <v>99251</v>
      </c>
      <c r="C852" s="499" t="s">
        <v>1553</v>
      </c>
      <c r="D852" s="378">
        <v>1.8286507351544636E-3</v>
      </c>
      <c r="F852" s="495">
        <v>1197828.4330549273</v>
      </c>
      <c r="G852" s="495">
        <v>2366583.0001349272</v>
      </c>
      <c r="H852" s="495">
        <v>333544.2680924267</v>
      </c>
      <c r="I852" s="495">
        <v>-189475.01939999999</v>
      </c>
      <c r="J852" s="495">
        <v>0</v>
      </c>
      <c r="M852" s="495">
        <v>840361.84398000001</v>
      </c>
      <c r="N852" s="495">
        <v>854884.66631999996</v>
      </c>
      <c r="O852" s="495">
        <v>450207.49253999995</v>
      </c>
      <c r="P852" s="495">
        <v>0</v>
      </c>
      <c r="Q852" s="495">
        <v>0</v>
      </c>
      <c r="T852" s="495">
        <v>345863.67431999999</v>
      </c>
      <c r="U852" s="495">
        <v>1571743.09806</v>
      </c>
      <c r="V852" s="495">
        <v>-52423.31136</v>
      </c>
      <c r="W852" s="495">
        <v>-189475.01939999999</v>
      </c>
      <c r="X852" s="495">
        <v>0</v>
      </c>
      <c r="AA852" s="495">
        <v>0</v>
      </c>
      <c r="AB852" s="495">
        <v>0</v>
      </c>
      <c r="AC852" s="495">
        <v>0</v>
      </c>
      <c r="AD852" s="495">
        <v>0</v>
      </c>
      <c r="AE852" s="495">
        <v>0</v>
      </c>
      <c r="AH852" s="495">
        <v>146288.50921500058</v>
      </c>
      <c r="AI852" s="495">
        <v>49390.716465000325</v>
      </c>
      <c r="AJ852" s="495">
        <v>0</v>
      </c>
      <c r="AK852" s="495">
        <v>0</v>
      </c>
      <c r="AL852" s="495">
        <v>0</v>
      </c>
      <c r="AO852" s="495">
        <v>-134685.59446007328</v>
      </c>
      <c r="AP852" s="495">
        <v>-109435.48071007327</v>
      </c>
      <c r="AQ852" s="495">
        <v>-64239.913087573266</v>
      </c>
      <c r="AR852" s="495">
        <v>0</v>
      </c>
      <c r="AS852" s="495">
        <v>0</v>
      </c>
    </row>
    <row r="853" spans="1:45">
      <c r="A853" s="390">
        <v>99252</v>
      </c>
      <c r="B853" s="393">
        <v>99252</v>
      </c>
      <c r="C853" s="499" t="s">
        <v>1554</v>
      </c>
      <c r="D853" s="378">
        <v>7.4140968477851715E-4</v>
      </c>
      <c r="F853" s="495">
        <v>448532.5206669129</v>
      </c>
      <c r="G853" s="495">
        <v>931271.41596691299</v>
      </c>
      <c r="H853" s="495">
        <v>101774.15253441298</v>
      </c>
      <c r="I853" s="495">
        <v>-76820.918999999994</v>
      </c>
      <c r="J853" s="495">
        <v>0</v>
      </c>
      <c r="M853" s="495">
        <v>340717.04729999998</v>
      </c>
      <c r="N853" s="495">
        <v>346605.19319999998</v>
      </c>
      <c r="O853" s="495">
        <v>182532.52289999998</v>
      </c>
      <c r="P853" s="495">
        <v>0</v>
      </c>
      <c r="Q853" s="495">
        <v>0</v>
      </c>
      <c r="T853" s="495">
        <v>140227.2732</v>
      </c>
      <c r="U853" s="495">
        <v>637248.9081</v>
      </c>
      <c r="V853" s="495">
        <v>-21254.553599999999</v>
      </c>
      <c r="W853" s="495">
        <v>-76820.918999999994</v>
      </c>
      <c r="X853" s="495">
        <v>0</v>
      </c>
      <c r="AA853" s="495">
        <v>0</v>
      </c>
      <c r="AB853" s="495">
        <v>0</v>
      </c>
      <c r="AC853" s="495">
        <v>0</v>
      </c>
      <c r="AD853" s="495">
        <v>0</v>
      </c>
      <c r="AE853" s="495">
        <v>0</v>
      </c>
      <c r="AH853" s="495">
        <v>89181.955034999948</v>
      </c>
      <c r="AI853" s="495">
        <v>44569.188284999997</v>
      </c>
      <c r="AJ853" s="495">
        <v>0</v>
      </c>
      <c r="AK853" s="495">
        <v>0</v>
      </c>
      <c r="AL853" s="495">
        <v>0</v>
      </c>
      <c r="AO853" s="495">
        <v>-121593.75486808701</v>
      </c>
      <c r="AP853" s="495">
        <v>-97151.873618087033</v>
      </c>
      <c r="AQ853" s="495">
        <v>-59503.81676558702</v>
      </c>
      <c r="AR853" s="495">
        <v>0</v>
      </c>
      <c r="AS853" s="495">
        <v>0</v>
      </c>
    </row>
    <row r="854" spans="1:45">
      <c r="A854" s="390">
        <v>99261</v>
      </c>
      <c r="B854" s="393">
        <v>99261</v>
      </c>
      <c r="C854" s="499" t="s">
        <v>1555</v>
      </c>
      <c r="D854" s="378">
        <v>3.1402748501249069E-3</v>
      </c>
      <c r="F854" s="495">
        <v>2500299.2424437203</v>
      </c>
      <c r="G854" s="495">
        <v>4558997.5693037203</v>
      </c>
      <c r="H854" s="495">
        <v>878305.59961872105</v>
      </c>
      <c r="I854" s="495">
        <v>-325378.51029999997</v>
      </c>
      <c r="J854" s="495">
        <v>0</v>
      </c>
      <c r="M854" s="495">
        <v>1443122.6120099998</v>
      </c>
      <c r="N854" s="495">
        <v>1468062.1228399999</v>
      </c>
      <c r="O854" s="495">
        <v>773124.83572999993</v>
      </c>
      <c r="P854" s="495">
        <v>0</v>
      </c>
      <c r="Q854" s="495">
        <v>0</v>
      </c>
      <c r="T854" s="495">
        <v>593939.01883999992</v>
      </c>
      <c r="U854" s="495">
        <v>2699096.8489699997</v>
      </c>
      <c r="V854" s="495">
        <v>-90024.63231999999</v>
      </c>
      <c r="W854" s="495">
        <v>-325378.51029999997</v>
      </c>
      <c r="X854" s="495">
        <v>0</v>
      </c>
      <c r="AA854" s="495">
        <v>0</v>
      </c>
      <c r="AB854" s="495">
        <v>0</v>
      </c>
      <c r="AC854" s="495">
        <v>0</v>
      </c>
      <c r="AD854" s="495">
        <v>0</v>
      </c>
      <c r="AE854" s="495">
        <v>0</v>
      </c>
      <c r="AH854" s="495">
        <v>580338.70293872058</v>
      </c>
      <c r="AI854" s="495">
        <v>456900.57633872057</v>
      </c>
      <c r="AJ854" s="495">
        <v>195205.39620872104</v>
      </c>
      <c r="AK854" s="495">
        <v>0</v>
      </c>
      <c r="AL854" s="495">
        <v>0</v>
      </c>
      <c r="AO854" s="495">
        <v>-117101.09134499991</v>
      </c>
      <c r="AP854" s="495">
        <v>-65061.978844999918</v>
      </c>
      <c r="AQ854" s="495">
        <v>0</v>
      </c>
      <c r="AR854" s="495">
        <v>0</v>
      </c>
      <c r="AS854" s="495">
        <v>0</v>
      </c>
    </row>
    <row r="855" spans="1:45">
      <c r="A855" s="390">
        <v>99271</v>
      </c>
      <c r="B855" s="393">
        <v>99271</v>
      </c>
      <c r="C855" s="499" t="s">
        <v>1556</v>
      </c>
      <c r="D855" s="378">
        <v>5.4445159445531029E-3</v>
      </c>
      <c r="F855" s="495">
        <v>3630266.5958406595</v>
      </c>
      <c r="G855" s="495">
        <v>7423453.1367506599</v>
      </c>
      <c r="H855" s="495">
        <v>1152974.0079181592</v>
      </c>
      <c r="I855" s="495">
        <v>-564131.66729999997</v>
      </c>
      <c r="J855" s="495">
        <v>0</v>
      </c>
      <c r="M855" s="495">
        <v>2502043.4339100001</v>
      </c>
      <c r="N855" s="495">
        <v>2545282.8224400003</v>
      </c>
      <c r="O855" s="495">
        <v>1340421.04443</v>
      </c>
      <c r="P855" s="495">
        <v>0</v>
      </c>
      <c r="Q855" s="495">
        <v>0</v>
      </c>
      <c r="T855" s="495">
        <v>1029753.95844</v>
      </c>
      <c r="U855" s="495">
        <v>4679614.5332700005</v>
      </c>
      <c r="V855" s="495">
        <v>-156082.05312</v>
      </c>
      <c r="W855" s="495">
        <v>-564131.66729999997</v>
      </c>
      <c r="X855" s="495">
        <v>0</v>
      </c>
      <c r="AA855" s="495">
        <v>0</v>
      </c>
      <c r="AB855" s="495">
        <v>0</v>
      </c>
      <c r="AC855" s="495">
        <v>0</v>
      </c>
      <c r="AD855" s="495">
        <v>0</v>
      </c>
      <c r="AE855" s="495">
        <v>0</v>
      </c>
      <c r="AH855" s="495">
        <v>249409.26748500002</v>
      </c>
      <c r="AI855" s="495">
        <v>249409.26748500002</v>
      </c>
      <c r="AJ855" s="495">
        <v>0</v>
      </c>
      <c r="AK855" s="495">
        <v>0</v>
      </c>
      <c r="AL855" s="495">
        <v>0</v>
      </c>
      <c r="AO855" s="495">
        <v>-150940.06399434124</v>
      </c>
      <c r="AP855" s="495">
        <v>-50853.486444340844</v>
      </c>
      <c r="AQ855" s="495">
        <v>-31364.983391840768</v>
      </c>
      <c r="AR855" s="495">
        <v>0</v>
      </c>
      <c r="AS855" s="495">
        <v>0</v>
      </c>
    </row>
    <row r="856" spans="1:45">
      <c r="A856" s="390">
        <v>99281</v>
      </c>
      <c r="B856" s="393">
        <v>99281</v>
      </c>
      <c r="C856" s="499" t="s">
        <v>1557</v>
      </c>
      <c r="D856" s="378">
        <v>3.8786541837922406E-3</v>
      </c>
      <c r="F856" s="495">
        <v>2564131.7571666911</v>
      </c>
      <c r="G856" s="495">
        <v>5145667.363721692</v>
      </c>
      <c r="H856" s="495">
        <v>888712.81604419055</v>
      </c>
      <c r="I856" s="495">
        <v>-401885.43040000001</v>
      </c>
      <c r="J856" s="495">
        <v>0</v>
      </c>
      <c r="M856" s="495">
        <v>1782447.00768</v>
      </c>
      <c r="N856" s="495">
        <v>1813250.59712</v>
      </c>
      <c r="O856" s="495">
        <v>954911.27263999998</v>
      </c>
      <c r="P856" s="495">
        <v>0</v>
      </c>
      <c r="Q856" s="495">
        <v>0</v>
      </c>
      <c r="T856" s="495">
        <v>733593.12511999998</v>
      </c>
      <c r="U856" s="495">
        <v>3333741.0569599997</v>
      </c>
      <c r="V856" s="495">
        <v>-111192.30976</v>
      </c>
      <c r="W856" s="495">
        <v>-401885.43040000001</v>
      </c>
      <c r="X856" s="495">
        <v>0</v>
      </c>
      <c r="AA856" s="495">
        <v>0</v>
      </c>
      <c r="AB856" s="495">
        <v>0</v>
      </c>
      <c r="AC856" s="495">
        <v>0</v>
      </c>
      <c r="AD856" s="495">
        <v>0</v>
      </c>
      <c r="AE856" s="495">
        <v>0</v>
      </c>
      <c r="AH856" s="495">
        <v>204272.35355919113</v>
      </c>
      <c r="AI856" s="495">
        <v>56680.818209191581</v>
      </c>
      <c r="AJ856" s="495">
        <v>44993.853164190543</v>
      </c>
      <c r="AK856" s="495">
        <v>0</v>
      </c>
      <c r="AL856" s="495">
        <v>0</v>
      </c>
      <c r="AO856" s="495">
        <v>-156180.72919249989</v>
      </c>
      <c r="AP856" s="495">
        <v>-58005.108567499905</v>
      </c>
      <c r="AQ856" s="495">
        <v>0</v>
      </c>
      <c r="AR856" s="495">
        <v>0</v>
      </c>
      <c r="AS856" s="495">
        <v>0</v>
      </c>
    </row>
    <row r="857" spans="1:45">
      <c r="A857" s="390">
        <v>99291</v>
      </c>
      <c r="B857" s="393">
        <v>99291</v>
      </c>
      <c r="C857" s="499" t="s">
        <v>1558</v>
      </c>
      <c r="D857" s="378">
        <v>1.3171249158370087E-3</v>
      </c>
      <c r="F857" s="495">
        <v>948768.57755040796</v>
      </c>
      <c r="G857" s="495">
        <v>1738969.6558554079</v>
      </c>
      <c r="H857" s="495">
        <v>299871.93267790804</v>
      </c>
      <c r="I857" s="495">
        <v>-136473.4559</v>
      </c>
      <c r="J857" s="495">
        <v>0</v>
      </c>
      <c r="M857" s="495">
        <v>605288.68353000004</v>
      </c>
      <c r="N857" s="495">
        <v>615749.05851999996</v>
      </c>
      <c r="O857" s="495">
        <v>324271.62469000003</v>
      </c>
      <c r="P857" s="495">
        <v>0</v>
      </c>
      <c r="Q857" s="495">
        <v>0</v>
      </c>
      <c r="T857" s="495">
        <v>249115.74652000002</v>
      </c>
      <c r="U857" s="495">
        <v>1132081.7544100001</v>
      </c>
      <c r="V857" s="495">
        <v>-37759.016960000001</v>
      </c>
      <c r="W857" s="495">
        <v>-136473.4559</v>
      </c>
      <c r="X857" s="495">
        <v>0</v>
      </c>
      <c r="AA857" s="495">
        <v>0</v>
      </c>
      <c r="AB857" s="495">
        <v>0</v>
      </c>
      <c r="AC857" s="495">
        <v>0</v>
      </c>
      <c r="AD857" s="495">
        <v>0</v>
      </c>
      <c r="AE857" s="495">
        <v>0</v>
      </c>
      <c r="AH857" s="495">
        <v>175938.4878929079</v>
      </c>
      <c r="AI857" s="495">
        <v>26244.185192907851</v>
      </c>
      <c r="AJ857" s="495">
        <v>13359.324947908011</v>
      </c>
      <c r="AK857" s="495">
        <v>0</v>
      </c>
      <c r="AL857" s="495">
        <v>0</v>
      </c>
      <c r="AO857" s="495">
        <v>-81574.340392500075</v>
      </c>
      <c r="AP857" s="495">
        <v>-35105.342267500062</v>
      </c>
      <c r="AQ857" s="495">
        <v>0</v>
      </c>
      <c r="AR857" s="495">
        <v>0</v>
      </c>
      <c r="AS857" s="495">
        <v>0</v>
      </c>
    </row>
    <row r="858" spans="1:45">
      <c r="A858" s="390">
        <v>99301</v>
      </c>
      <c r="B858" s="393">
        <v>99301</v>
      </c>
      <c r="C858" s="499" t="s">
        <v>1559</v>
      </c>
      <c r="D858" s="378">
        <v>1.4487744296449974E-3</v>
      </c>
      <c r="F858" s="495">
        <v>1003401.6143474925</v>
      </c>
      <c r="G858" s="495">
        <v>2002946.2211074925</v>
      </c>
      <c r="H858" s="495">
        <v>461901.98932749266</v>
      </c>
      <c r="I858" s="495">
        <v>-150114.27280000001</v>
      </c>
      <c r="J858" s="495">
        <v>0</v>
      </c>
      <c r="M858" s="495">
        <v>665788.59576000005</v>
      </c>
      <c r="N858" s="495">
        <v>677294.50783999998</v>
      </c>
      <c r="O858" s="495">
        <v>356683.27448000002</v>
      </c>
      <c r="P858" s="495">
        <v>0</v>
      </c>
      <c r="Q858" s="495">
        <v>0</v>
      </c>
      <c r="T858" s="495">
        <v>274015.40383999998</v>
      </c>
      <c r="U858" s="495">
        <v>1245235.77272</v>
      </c>
      <c r="V858" s="495">
        <v>-41533.11232</v>
      </c>
      <c r="W858" s="495">
        <v>-150114.27280000001</v>
      </c>
      <c r="X858" s="495">
        <v>0</v>
      </c>
      <c r="AA858" s="495">
        <v>0</v>
      </c>
      <c r="AB858" s="495">
        <v>0</v>
      </c>
      <c r="AC858" s="495">
        <v>0</v>
      </c>
      <c r="AD858" s="495">
        <v>0</v>
      </c>
      <c r="AE858" s="495">
        <v>0</v>
      </c>
      <c r="AH858" s="495">
        <v>164328.49930749257</v>
      </c>
      <c r="AI858" s="495">
        <v>164328.49930749257</v>
      </c>
      <c r="AJ858" s="495">
        <v>146751.82716749265</v>
      </c>
      <c r="AK858" s="495">
        <v>0</v>
      </c>
      <c r="AL858" s="495">
        <v>0</v>
      </c>
      <c r="AO858" s="495">
        <v>-100730.88456000006</v>
      </c>
      <c r="AP858" s="495">
        <v>-83912.55875999984</v>
      </c>
      <c r="AQ858" s="495">
        <v>0</v>
      </c>
      <c r="AR858" s="495">
        <v>0</v>
      </c>
      <c r="AS858" s="495">
        <v>0</v>
      </c>
    </row>
    <row r="859" spans="1:45">
      <c r="A859" s="390">
        <v>99304</v>
      </c>
      <c r="B859" s="393">
        <v>99304</v>
      </c>
      <c r="C859" s="499" t="s">
        <v>1560</v>
      </c>
      <c r="D859" s="378">
        <v>1.6212363609077502E-5</v>
      </c>
      <c r="F859" s="495">
        <v>18557.297851592521</v>
      </c>
      <c r="G859" s="495">
        <v>27721.019011592518</v>
      </c>
      <c r="H859" s="495">
        <v>993.59426659251858</v>
      </c>
      <c r="I859" s="495">
        <v>-1679.8422999999998</v>
      </c>
      <c r="J859" s="495">
        <v>0</v>
      </c>
      <c r="M859" s="495">
        <v>7450.4564099999998</v>
      </c>
      <c r="N859" s="495">
        <v>7579.2124399999993</v>
      </c>
      <c r="O859" s="495">
        <v>3991.4369299999998</v>
      </c>
      <c r="P859" s="495">
        <v>0</v>
      </c>
      <c r="Q859" s="495">
        <v>0</v>
      </c>
      <c r="T859" s="495">
        <v>3066.3484399999998</v>
      </c>
      <c r="U859" s="495">
        <v>13934.715769999999</v>
      </c>
      <c r="V859" s="495">
        <v>-464.77311999999995</v>
      </c>
      <c r="W859" s="495">
        <v>-1679.8422999999998</v>
      </c>
      <c r="X859" s="495">
        <v>0</v>
      </c>
      <c r="AA859" s="495">
        <v>0</v>
      </c>
      <c r="AB859" s="495">
        <v>0</v>
      </c>
      <c r="AC859" s="495">
        <v>0</v>
      </c>
      <c r="AD859" s="495">
        <v>0</v>
      </c>
      <c r="AE859" s="495">
        <v>0</v>
      </c>
      <c r="AH859" s="495">
        <v>11458.421660000002</v>
      </c>
      <c r="AI859" s="495">
        <v>9568.1879100000024</v>
      </c>
      <c r="AJ859" s="495">
        <v>0</v>
      </c>
      <c r="AK859" s="495">
        <v>0</v>
      </c>
      <c r="AL859" s="495">
        <v>0</v>
      </c>
      <c r="AO859" s="495">
        <v>-3417.9286584074812</v>
      </c>
      <c r="AP859" s="495">
        <v>-3361.0971084074818</v>
      </c>
      <c r="AQ859" s="495">
        <v>-2533.0695434074814</v>
      </c>
      <c r="AR859" s="495">
        <v>0</v>
      </c>
      <c r="AS859" s="495">
        <v>0</v>
      </c>
    </row>
    <row r="860" spans="1:45">
      <c r="A860" s="390">
        <v>99311</v>
      </c>
      <c r="B860" s="393">
        <v>99311</v>
      </c>
      <c r="C860" s="499" t="s">
        <v>1561</v>
      </c>
      <c r="D860" s="378">
        <v>4.8137125917573823E-5</v>
      </c>
      <c r="F860" s="495">
        <v>24183.482299176318</v>
      </c>
      <c r="G860" s="495">
        <v>58333.626604176316</v>
      </c>
      <c r="H860" s="495">
        <v>16742.18602417631</v>
      </c>
      <c r="I860" s="495">
        <v>-4987.7119000000002</v>
      </c>
      <c r="J860" s="495">
        <v>0</v>
      </c>
      <c r="M860" s="495">
        <v>22121.558730000001</v>
      </c>
      <c r="N860" s="495">
        <v>22503.855320000002</v>
      </c>
      <c r="O860" s="495">
        <v>11851.194290000001</v>
      </c>
      <c r="P860" s="495">
        <v>0</v>
      </c>
      <c r="Q860" s="495">
        <v>0</v>
      </c>
      <c r="T860" s="495">
        <v>9104.4633200000007</v>
      </c>
      <c r="U860" s="495">
        <v>41374.328809999999</v>
      </c>
      <c r="V860" s="495">
        <v>-1379.9833599999999</v>
      </c>
      <c r="W860" s="495">
        <v>-4987.7119000000002</v>
      </c>
      <c r="X860" s="495">
        <v>0</v>
      </c>
      <c r="AA860" s="495">
        <v>0</v>
      </c>
      <c r="AB860" s="495">
        <v>0</v>
      </c>
      <c r="AC860" s="495">
        <v>0</v>
      </c>
      <c r="AD860" s="495">
        <v>0</v>
      </c>
      <c r="AE860" s="495">
        <v>0</v>
      </c>
      <c r="AH860" s="495">
        <v>6441.4697441763092</v>
      </c>
      <c r="AI860" s="495">
        <v>6270.9750941763086</v>
      </c>
      <c r="AJ860" s="495">
        <v>6270.9750941763086</v>
      </c>
      <c r="AK860" s="495">
        <v>0</v>
      </c>
      <c r="AL860" s="495">
        <v>0</v>
      </c>
      <c r="AO860" s="495">
        <v>-13484.009494999995</v>
      </c>
      <c r="AP860" s="495">
        <v>-11815.532619999994</v>
      </c>
      <c r="AQ860" s="495">
        <v>0</v>
      </c>
      <c r="AR860" s="495">
        <v>0</v>
      </c>
      <c r="AS860" s="495">
        <v>0</v>
      </c>
    </row>
    <row r="861" spans="1:45">
      <c r="A861" s="390">
        <v>99321</v>
      </c>
      <c r="B861" s="393">
        <v>99321</v>
      </c>
      <c r="C861" s="499" t="s">
        <v>1562</v>
      </c>
      <c r="D861" s="378">
        <v>7.4471034332750427E-5</v>
      </c>
      <c r="F861" s="495">
        <v>85355.483529138146</v>
      </c>
      <c r="G861" s="495">
        <v>120829.27443913814</v>
      </c>
      <c r="H861" s="495">
        <v>16792.817204138133</v>
      </c>
      <c r="I861" s="495">
        <v>-7716.2898000000005</v>
      </c>
      <c r="J861" s="495">
        <v>0</v>
      </c>
      <c r="M861" s="495">
        <v>34223.379659999999</v>
      </c>
      <c r="N861" s="495">
        <v>34814.815439999998</v>
      </c>
      <c r="O861" s="495">
        <v>18334.509180000001</v>
      </c>
      <c r="P861" s="495">
        <v>0</v>
      </c>
      <c r="Q861" s="495">
        <v>0</v>
      </c>
      <c r="T861" s="495">
        <v>14085.15144</v>
      </c>
      <c r="U861" s="495">
        <v>64008.571020000003</v>
      </c>
      <c r="V861" s="495">
        <v>-2134.9171200000001</v>
      </c>
      <c r="W861" s="495">
        <v>-7716.2898000000005</v>
      </c>
      <c r="X861" s="495">
        <v>0</v>
      </c>
      <c r="AA861" s="495">
        <v>0</v>
      </c>
      <c r="AB861" s="495">
        <v>0</v>
      </c>
      <c r="AC861" s="495">
        <v>0</v>
      </c>
      <c r="AD861" s="495">
        <v>0</v>
      </c>
      <c r="AE861" s="495">
        <v>0</v>
      </c>
      <c r="AH861" s="495">
        <v>39302.862249138139</v>
      </c>
      <c r="AI861" s="495">
        <v>22500.019749138133</v>
      </c>
      <c r="AJ861" s="495">
        <v>593.22514413813406</v>
      </c>
      <c r="AK861" s="495">
        <v>0</v>
      </c>
      <c r="AL861" s="495">
        <v>0</v>
      </c>
      <c r="AO861" s="495">
        <v>-2255.9098199999949</v>
      </c>
      <c r="AP861" s="495">
        <v>-494.13176999999416</v>
      </c>
      <c r="AQ861" s="495">
        <v>0</v>
      </c>
      <c r="AR861" s="495">
        <v>0</v>
      </c>
      <c r="AS861" s="495">
        <v>0</v>
      </c>
    </row>
    <row r="862" spans="1:45">
      <c r="A862" s="390">
        <v>99401</v>
      </c>
      <c r="B862" s="393">
        <v>99401</v>
      </c>
      <c r="C862" s="499" t="s">
        <v>1563</v>
      </c>
      <c r="D862" s="378">
        <v>6.0181903692919307E-4</v>
      </c>
      <c r="F862" s="495">
        <v>290545.31966337992</v>
      </c>
      <c r="G862" s="495">
        <v>667113.12604337989</v>
      </c>
      <c r="H862" s="495">
        <v>76147.812945880127</v>
      </c>
      <c r="I862" s="495">
        <v>-62357.279899999994</v>
      </c>
      <c r="J862" s="495">
        <v>0</v>
      </c>
      <c r="M862" s="495">
        <v>276567.74433000002</v>
      </c>
      <c r="N862" s="495">
        <v>281347.28571999999</v>
      </c>
      <c r="O862" s="495">
        <v>148165.78308999998</v>
      </c>
      <c r="P862" s="495">
        <v>0</v>
      </c>
      <c r="Q862" s="495">
        <v>0</v>
      </c>
      <c r="T862" s="495">
        <v>113825.65372</v>
      </c>
      <c r="U862" s="495">
        <v>517269.37200999999</v>
      </c>
      <c r="V862" s="495">
        <v>-17252.80256</v>
      </c>
      <c r="W862" s="495">
        <v>-62357.279899999994</v>
      </c>
      <c r="X862" s="495">
        <v>0</v>
      </c>
      <c r="AA862" s="495">
        <v>0</v>
      </c>
      <c r="AB862" s="495">
        <v>0</v>
      </c>
      <c r="AC862" s="495">
        <v>0</v>
      </c>
      <c r="AD862" s="495">
        <v>0</v>
      </c>
      <c r="AE862" s="495">
        <v>0</v>
      </c>
      <c r="AH862" s="495">
        <v>40052.444592499931</v>
      </c>
      <c r="AI862" s="495">
        <v>8169.9450424999814</v>
      </c>
      <c r="AJ862" s="495">
        <v>0</v>
      </c>
      <c r="AK862" s="495">
        <v>0</v>
      </c>
      <c r="AL862" s="495">
        <v>0</v>
      </c>
      <c r="AO862" s="495">
        <v>-139900.52297912</v>
      </c>
      <c r="AP862" s="495">
        <v>-139673.47672911998</v>
      </c>
      <c r="AQ862" s="495">
        <v>-54765.167584119859</v>
      </c>
      <c r="AR862" s="495">
        <v>0</v>
      </c>
      <c r="AS862" s="495">
        <v>0</v>
      </c>
    </row>
    <row r="863" spans="1:45">
      <c r="A863" s="390">
        <v>99404</v>
      </c>
      <c r="B863" s="393">
        <v>99404</v>
      </c>
      <c r="C863" s="499" t="s">
        <v>1564</v>
      </c>
      <c r="D863" s="378">
        <v>5.7108751431457955E-6</v>
      </c>
      <c r="F863" s="495">
        <v>5574.8223339662754</v>
      </c>
      <c r="G863" s="495">
        <v>8637.1357939662776</v>
      </c>
      <c r="H863" s="495">
        <v>1750.2525589662741</v>
      </c>
      <c r="I863" s="495">
        <v>-591.72730000000001</v>
      </c>
      <c r="J863" s="495">
        <v>0</v>
      </c>
      <c r="M863" s="495">
        <v>2624.4359100000001</v>
      </c>
      <c r="N863" s="495">
        <v>2669.7904400000002</v>
      </c>
      <c r="O863" s="495">
        <v>1405.9904300000001</v>
      </c>
      <c r="P863" s="495">
        <v>0</v>
      </c>
      <c r="Q863" s="495">
        <v>0</v>
      </c>
      <c r="T863" s="495">
        <v>1080.12644</v>
      </c>
      <c r="U863" s="495">
        <v>4908.5272700000005</v>
      </c>
      <c r="V863" s="495">
        <v>-163.71712000000002</v>
      </c>
      <c r="W863" s="495">
        <v>-591.72730000000001</v>
      </c>
      <c r="X863" s="495">
        <v>0</v>
      </c>
      <c r="AA863" s="495">
        <v>0</v>
      </c>
      <c r="AB863" s="495">
        <v>0</v>
      </c>
      <c r="AC863" s="495">
        <v>0</v>
      </c>
      <c r="AD863" s="495">
        <v>0</v>
      </c>
      <c r="AE863" s="495">
        <v>0</v>
      </c>
      <c r="AH863" s="495">
        <v>2478.0548539662741</v>
      </c>
      <c r="AI863" s="495">
        <v>1552.9498539662743</v>
      </c>
      <c r="AJ863" s="495">
        <v>507.9792489662741</v>
      </c>
      <c r="AK863" s="495">
        <v>0</v>
      </c>
      <c r="AL863" s="495">
        <v>0</v>
      </c>
      <c r="AO863" s="495">
        <v>-607.79486999999892</v>
      </c>
      <c r="AP863" s="495">
        <v>-494.13176999999871</v>
      </c>
      <c r="AQ863" s="495">
        <v>0</v>
      </c>
      <c r="AR863" s="495">
        <v>0</v>
      </c>
      <c r="AS863" s="495">
        <v>0</v>
      </c>
    </row>
    <row r="864" spans="1:45">
      <c r="A864" s="390">
        <v>99405</v>
      </c>
      <c r="B864" s="393">
        <v>99405</v>
      </c>
      <c r="C864" s="499" t="s">
        <v>1565</v>
      </c>
      <c r="D864" s="378">
        <v>6.1609177406085887E-5</v>
      </c>
      <c r="F864" s="495">
        <v>51022.094540074002</v>
      </c>
      <c r="G864" s="495">
        <v>89309.421490074004</v>
      </c>
      <c r="H864" s="495">
        <v>17583.159190073995</v>
      </c>
      <c r="I864" s="495">
        <v>-6383.6080000000011</v>
      </c>
      <c r="J864" s="495">
        <v>0</v>
      </c>
      <c r="M864" s="495">
        <v>28312.653600000001</v>
      </c>
      <c r="N864" s="495">
        <v>28801.942400000004</v>
      </c>
      <c r="O864" s="495">
        <v>15167.952800000001</v>
      </c>
      <c r="P864" s="495">
        <v>0</v>
      </c>
      <c r="Q864" s="495">
        <v>0</v>
      </c>
      <c r="T864" s="495">
        <v>11652.502400000001</v>
      </c>
      <c r="U864" s="495">
        <v>52953.639200000005</v>
      </c>
      <c r="V864" s="495">
        <v>-1766.1952000000001</v>
      </c>
      <c r="W864" s="495">
        <v>-6383.6080000000011</v>
      </c>
      <c r="X864" s="495">
        <v>0</v>
      </c>
      <c r="AA864" s="495">
        <v>0</v>
      </c>
      <c r="AB864" s="495">
        <v>0</v>
      </c>
      <c r="AC864" s="495">
        <v>0</v>
      </c>
      <c r="AD864" s="495">
        <v>0</v>
      </c>
      <c r="AE864" s="495">
        <v>0</v>
      </c>
      <c r="AH864" s="495">
        <v>11056.938540074003</v>
      </c>
      <c r="AI864" s="495">
        <v>7553.8398900740031</v>
      </c>
      <c r="AJ864" s="495">
        <v>4181.4015900739923</v>
      </c>
      <c r="AK864" s="495">
        <v>0</v>
      </c>
      <c r="AL864" s="495">
        <v>0</v>
      </c>
      <c r="AO864" s="495">
        <v>0</v>
      </c>
      <c r="AP864" s="495">
        <v>0</v>
      </c>
      <c r="AQ864" s="495">
        <v>0</v>
      </c>
      <c r="AR864" s="495">
        <v>0</v>
      </c>
      <c r="AS864" s="495">
        <v>0</v>
      </c>
    </row>
    <row r="865" spans="1:45">
      <c r="A865" s="390">
        <v>99411</v>
      </c>
      <c r="B865" s="500">
        <v>99411</v>
      </c>
      <c r="C865" s="501" t="s">
        <v>1566</v>
      </c>
      <c r="D865" s="378">
        <v>1.6273412736770245E-4</v>
      </c>
      <c r="F865" s="495">
        <v>112524.60706775874</v>
      </c>
      <c r="G865" s="495">
        <v>231617.85702775873</v>
      </c>
      <c r="H865" s="495">
        <v>48043.009197758714</v>
      </c>
      <c r="I865" s="495">
        <v>-16861.637299999999</v>
      </c>
      <c r="J865" s="495">
        <v>0</v>
      </c>
      <c r="M865" s="495">
        <v>74784.932910000003</v>
      </c>
      <c r="N865" s="495">
        <v>76077.338439999992</v>
      </c>
      <c r="O865" s="495">
        <v>40064.571429999996</v>
      </c>
      <c r="P865" s="495">
        <v>0</v>
      </c>
      <c r="Q865" s="495">
        <v>0</v>
      </c>
      <c r="T865" s="495">
        <v>30778.87444</v>
      </c>
      <c r="U865" s="495">
        <v>139871.53626999998</v>
      </c>
      <c r="V865" s="495">
        <v>-4665.2211200000002</v>
      </c>
      <c r="W865" s="495">
        <v>-16861.637299999999</v>
      </c>
      <c r="X865" s="495">
        <v>0</v>
      </c>
      <c r="AA865" s="495">
        <v>0</v>
      </c>
      <c r="AB865" s="495">
        <v>0</v>
      </c>
      <c r="AC865" s="495">
        <v>0</v>
      </c>
      <c r="AD865" s="495">
        <v>0</v>
      </c>
      <c r="AE865" s="495">
        <v>0</v>
      </c>
      <c r="AH865" s="495">
        <v>19429.083027758737</v>
      </c>
      <c r="AI865" s="495">
        <v>17225.608027758739</v>
      </c>
      <c r="AJ865" s="495">
        <v>12643.658887758724</v>
      </c>
      <c r="AK865" s="495">
        <v>0</v>
      </c>
      <c r="AL865" s="495">
        <v>0</v>
      </c>
      <c r="AO865" s="495">
        <v>-12468.283309999992</v>
      </c>
      <c r="AP865" s="495">
        <v>-1556.625709999993</v>
      </c>
      <c r="AQ865" s="495">
        <v>0</v>
      </c>
      <c r="AR865" s="495">
        <v>0</v>
      </c>
      <c r="AS865" s="495">
        <v>0</v>
      </c>
    </row>
    <row r="866" spans="1:45">
      <c r="A866" s="390">
        <v>99413</v>
      </c>
      <c r="B866" s="393">
        <v>99413</v>
      </c>
      <c r="C866" s="499" t="s">
        <v>1567</v>
      </c>
      <c r="D866" s="378">
        <v>3.1504613755335077E-5</v>
      </c>
      <c r="F866" s="495">
        <v>20518.036140378736</v>
      </c>
      <c r="G866" s="495">
        <v>35897.315815378737</v>
      </c>
      <c r="H866" s="495">
        <v>1286.1284828787375</v>
      </c>
      <c r="I866" s="495">
        <v>-3264.3449999999998</v>
      </c>
      <c r="J866" s="495">
        <v>0</v>
      </c>
      <c r="M866" s="495">
        <v>14478.0615</v>
      </c>
      <c r="N866" s="495">
        <v>14728.266</v>
      </c>
      <c r="O866" s="495">
        <v>7756.3395</v>
      </c>
      <c r="P866" s="495">
        <v>0</v>
      </c>
      <c r="Q866" s="495">
        <v>0</v>
      </c>
      <c r="T866" s="495">
        <v>5958.6660000000002</v>
      </c>
      <c r="U866" s="495">
        <v>27078.565500000001</v>
      </c>
      <c r="V866" s="495">
        <v>-903.16800000000001</v>
      </c>
      <c r="W866" s="495">
        <v>-3264.3449999999998</v>
      </c>
      <c r="X866" s="495">
        <v>0</v>
      </c>
      <c r="AA866" s="495">
        <v>0</v>
      </c>
      <c r="AB866" s="495">
        <v>0</v>
      </c>
      <c r="AC866" s="495">
        <v>0</v>
      </c>
      <c r="AD866" s="495">
        <v>0</v>
      </c>
      <c r="AE866" s="495">
        <v>0</v>
      </c>
      <c r="AH866" s="495">
        <v>8321.1553224999989</v>
      </c>
      <c r="AI866" s="495">
        <v>2330.3309974999993</v>
      </c>
      <c r="AJ866" s="495">
        <v>0</v>
      </c>
      <c r="AK866" s="495">
        <v>0</v>
      </c>
      <c r="AL866" s="495">
        <v>0</v>
      </c>
      <c r="AO866" s="495">
        <v>-8239.8466821212642</v>
      </c>
      <c r="AP866" s="495">
        <v>-8239.8466821212642</v>
      </c>
      <c r="AQ866" s="495">
        <v>-5567.0430171212629</v>
      </c>
      <c r="AR866" s="495">
        <v>0</v>
      </c>
      <c r="AS866" s="495">
        <v>0</v>
      </c>
    </row>
    <row r="867" spans="1:45">
      <c r="A867" s="390">
        <v>99421</v>
      </c>
      <c r="B867" s="393">
        <v>99421</v>
      </c>
      <c r="C867" s="499" t="s">
        <v>1568</v>
      </c>
      <c r="D867" s="378">
        <v>1.0051520047238892E-5</v>
      </c>
      <c r="F867" s="495">
        <v>2730.1190375851261</v>
      </c>
      <c r="G867" s="495">
        <v>11060.074937585126</v>
      </c>
      <c r="H867" s="495">
        <v>546.65893758512289</v>
      </c>
      <c r="I867" s="495">
        <v>-1041.4815000000001</v>
      </c>
      <c r="J867" s="495">
        <v>0</v>
      </c>
      <c r="M867" s="495">
        <v>4619.1910500000004</v>
      </c>
      <c r="N867" s="495">
        <v>4699.0182000000004</v>
      </c>
      <c r="O867" s="495">
        <v>2474.64165</v>
      </c>
      <c r="P867" s="495">
        <v>0</v>
      </c>
      <c r="Q867" s="495">
        <v>0</v>
      </c>
      <c r="T867" s="495">
        <v>1901.0982000000001</v>
      </c>
      <c r="U867" s="495">
        <v>8639.3518500000009</v>
      </c>
      <c r="V867" s="495">
        <v>-288.15359999999998</v>
      </c>
      <c r="W867" s="495">
        <v>-1041.4815000000001</v>
      </c>
      <c r="X867" s="495">
        <v>0</v>
      </c>
      <c r="AA867" s="495">
        <v>0</v>
      </c>
      <c r="AB867" s="495">
        <v>0</v>
      </c>
      <c r="AC867" s="495">
        <v>0</v>
      </c>
      <c r="AD867" s="495">
        <v>0</v>
      </c>
      <c r="AE867" s="495">
        <v>0</v>
      </c>
      <c r="AH867" s="495">
        <v>149.73690000000107</v>
      </c>
      <c r="AI867" s="495">
        <v>149.73690000000107</v>
      </c>
      <c r="AJ867" s="495">
        <v>0</v>
      </c>
      <c r="AK867" s="495">
        <v>0</v>
      </c>
      <c r="AL867" s="495">
        <v>0</v>
      </c>
      <c r="AO867" s="495">
        <v>-3939.9071124148754</v>
      </c>
      <c r="AP867" s="495">
        <v>-2428.0320124148766</v>
      </c>
      <c r="AQ867" s="495">
        <v>-1639.829112414877</v>
      </c>
      <c r="AR867" s="495">
        <v>0</v>
      </c>
      <c r="AS867" s="495">
        <v>0</v>
      </c>
    </row>
    <row r="868" spans="1:45">
      <c r="A868" s="390">
        <v>99431</v>
      </c>
      <c r="B868" s="393">
        <v>99431</v>
      </c>
      <c r="C868" s="499" t="s">
        <v>1569</v>
      </c>
      <c r="D868" s="378">
        <v>1.3962076442993557E-5</v>
      </c>
      <c r="F868" s="495">
        <v>4596.0579388868982</v>
      </c>
      <c r="G868" s="495">
        <v>14757.4596238869</v>
      </c>
      <c r="H868" s="495">
        <v>950.85705638689569</v>
      </c>
      <c r="I868" s="495">
        <v>-1446.6748</v>
      </c>
      <c r="J868" s="495">
        <v>0</v>
      </c>
      <c r="M868" s="495">
        <v>6416.3091599999998</v>
      </c>
      <c r="N868" s="495">
        <v>6527.19344</v>
      </c>
      <c r="O868" s="495">
        <v>3437.4126799999999</v>
      </c>
      <c r="P868" s="495">
        <v>0</v>
      </c>
      <c r="Q868" s="495">
        <v>0</v>
      </c>
      <c r="T868" s="495">
        <v>2640.7294400000001</v>
      </c>
      <c r="U868" s="495">
        <v>12000.532520000001</v>
      </c>
      <c r="V868" s="495">
        <v>-400.26112000000001</v>
      </c>
      <c r="W868" s="495">
        <v>-1446.6748</v>
      </c>
      <c r="X868" s="495">
        <v>0</v>
      </c>
      <c r="AA868" s="495">
        <v>0</v>
      </c>
      <c r="AB868" s="495">
        <v>0</v>
      </c>
      <c r="AC868" s="495">
        <v>0</v>
      </c>
      <c r="AD868" s="495">
        <v>0</v>
      </c>
      <c r="AE868" s="495">
        <v>0</v>
      </c>
      <c r="AH868" s="495">
        <v>0</v>
      </c>
      <c r="AI868" s="495">
        <v>0</v>
      </c>
      <c r="AJ868" s="495">
        <v>0</v>
      </c>
      <c r="AK868" s="495">
        <v>0</v>
      </c>
      <c r="AL868" s="495">
        <v>0</v>
      </c>
      <c r="AO868" s="495">
        <v>-4460.9806611131016</v>
      </c>
      <c r="AP868" s="495">
        <v>-3770.2663361131004</v>
      </c>
      <c r="AQ868" s="495">
        <v>-2086.2945036131041</v>
      </c>
      <c r="AR868" s="495">
        <v>0</v>
      </c>
      <c r="AS868" s="495">
        <v>0</v>
      </c>
    </row>
    <row r="869" spans="1:45">
      <c r="A869" s="390">
        <v>99501</v>
      </c>
      <c r="B869" s="393">
        <v>99501</v>
      </c>
      <c r="C869" s="499" t="s">
        <v>1570</v>
      </c>
      <c r="D869" s="378">
        <v>1.589445268742756E-3</v>
      </c>
      <c r="F869" s="495">
        <v>1044711.4666106242</v>
      </c>
      <c r="G869" s="495">
        <v>2080271.1211456244</v>
      </c>
      <c r="H869" s="495">
        <v>335269.93132812425</v>
      </c>
      <c r="I869" s="495">
        <v>-164689.83230000001</v>
      </c>
      <c r="J869" s="495">
        <v>0</v>
      </c>
      <c r="M869" s="495">
        <v>730434.28940999997</v>
      </c>
      <c r="N869" s="495">
        <v>743057.38443999994</v>
      </c>
      <c r="O869" s="495">
        <v>391315.94592999999</v>
      </c>
      <c r="P869" s="495">
        <v>0</v>
      </c>
      <c r="Q869" s="495">
        <v>0</v>
      </c>
      <c r="T869" s="495">
        <v>300621.32043999998</v>
      </c>
      <c r="U869" s="495">
        <v>1366143.7167700001</v>
      </c>
      <c r="V869" s="495">
        <v>-45565.829120000002</v>
      </c>
      <c r="W869" s="495">
        <v>-164689.83230000001</v>
      </c>
      <c r="X869" s="495">
        <v>0</v>
      </c>
      <c r="AA869" s="495">
        <v>0</v>
      </c>
      <c r="AB869" s="495">
        <v>0</v>
      </c>
      <c r="AC869" s="495">
        <v>0</v>
      </c>
      <c r="AD869" s="495">
        <v>0</v>
      </c>
      <c r="AE869" s="495">
        <v>0</v>
      </c>
      <c r="AH869" s="495">
        <v>78512.997477500117</v>
      </c>
      <c r="AI869" s="495">
        <v>35927.160652499937</v>
      </c>
      <c r="AJ869" s="495">
        <v>0</v>
      </c>
      <c r="AK869" s="495">
        <v>0</v>
      </c>
      <c r="AL869" s="495">
        <v>0</v>
      </c>
      <c r="AO869" s="495">
        <v>-64857.1407168757</v>
      </c>
      <c r="AP869" s="495">
        <v>-64857.1407168757</v>
      </c>
      <c r="AQ869" s="495">
        <v>-10480.185481875742</v>
      </c>
      <c r="AR869" s="495">
        <v>0</v>
      </c>
      <c r="AS869" s="495">
        <v>0</v>
      </c>
    </row>
    <row r="870" spans="1:45">
      <c r="A870" s="390">
        <v>99502</v>
      </c>
      <c r="B870" s="393">
        <v>99502</v>
      </c>
      <c r="C870" s="499" t="s">
        <v>1571</v>
      </c>
      <c r="D870" s="378">
        <v>1.6622453521029587E-4</v>
      </c>
      <c r="F870" s="495">
        <v>113989.32877435545</v>
      </c>
      <c r="G870" s="495">
        <v>229811.0735493555</v>
      </c>
      <c r="H870" s="495">
        <v>44906.298321855451</v>
      </c>
      <c r="I870" s="495">
        <v>-17223.306</v>
      </c>
      <c r="J870" s="495">
        <v>0</v>
      </c>
      <c r="M870" s="495">
        <v>76389.010200000004</v>
      </c>
      <c r="N870" s="495">
        <v>77709.136800000007</v>
      </c>
      <c r="O870" s="495">
        <v>40923.924599999998</v>
      </c>
      <c r="P870" s="495">
        <v>0</v>
      </c>
      <c r="Q870" s="495">
        <v>0</v>
      </c>
      <c r="T870" s="495">
        <v>31439.056799999998</v>
      </c>
      <c r="U870" s="495">
        <v>142871.66940000001</v>
      </c>
      <c r="V870" s="495">
        <v>-4765.2864</v>
      </c>
      <c r="W870" s="495">
        <v>-17223.306</v>
      </c>
      <c r="X870" s="495">
        <v>0</v>
      </c>
      <c r="AA870" s="495">
        <v>0</v>
      </c>
      <c r="AB870" s="495">
        <v>0</v>
      </c>
      <c r="AC870" s="495">
        <v>0</v>
      </c>
      <c r="AD870" s="495">
        <v>0</v>
      </c>
      <c r="AE870" s="495">
        <v>0</v>
      </c>
      <c r="AH870" s="495">
        <v>9503.8314668554722</v>
      </c>
      <c r="AI870" s="495">
        <v>9503.8314668554722</v>
      </c>
      <c r="AJ870" s="495">
        <v>8747.6601218554497</v>
      </c>
      <c r="AK870" s="495">
        <v>0</v>
      </c>
      <c r="AL870" s="495">
        <v>0</v>
      </c>
      <c r="AO870" s="495">
        <v>-3342.5696925000229</v>
      </c>
      <c r="AP870" s="495">
        <v>-273.56411750000552</v>
      </c>
      <c r="AQ870" s="495">
        <v>0</v>
      </c>
      <c r="AR870" s="495">
        <v>0</v>
      </c>
      <c r="AS870" s="495">
        <v>0</v>
      </c>
    </row>
    <row r="871" spans="1:45">
      <c r="A871" s="390">
        <v>99508</v>
      </c>
      <c r="B871" s="393">
        <v>99508</v>
      </c>
      <c r="C871" s="499" t="s">
        <v>1572</v>
      </c>
      <c r="D871" s="378">
        <v>2.9334291303288529E-5</v>
      </c>
      <c r="F871" s="495">
        <v>25315.261763569331</v>
      </c>
      <c r="G871" s="495">
        <v>46315.212668569337</v>
      </c>
      <c r="H871" s="495">
        <v>3932.1149935693252</v>
      </c>
      <c r="I871" s="495">
        <v>-3039.4678999999996</v>
      </c>
      <c r="J871" s="495">
        <v>0</v>
      </c>
      <c r="M871" s="495">
        <v>13480.683929999999</v>
      </c>
      <c r="N871" s="495">
        <v>13713.652119999999</v>
      </c>
      <c r="O871" s="495">
        <v>7222.0138899999993</v>
      </c>
      <c r="P871" s="495">
        <v>0</v>
      </c>
      <c r="Q871" s="495">
        <v>0</v>
      </c>
      <c r="T871" s="495">
        <v>5548.18012</v>
      </c>
      <c r="U871" s="495">
        <v>25213.15321</v>
      </c>
      <c r="V871" s="495">
        <v>-840.94975999999997</v>
      </c>
      <c r="W871" s="495">
        <v>-3039.4678999999996</v>
      </c>
      <c r="X871" s="495">
        <v>0</v>
      </c>
      <c r="AA871" s="495">
        <v>0</v>
      </c>
      <c r="AB871" s="495">
        <v>0</v>
      </c>
      <c r="AC871" s="495">
        <v>0</v>
      </c>
      <c r="AD871" s="495">
        <v>0</v>
      </c>
      <c r="AE871" s="495">
        <v>0</v>
      </c>
      <c r="AH871" s="495">
        <v>10785.046075000002</v>
      </c>
      <c r="AI871" s="495">
        <v>10182.109200000003</v>
      </c>
      <c r="AJ871" s="495">
        <v>0</v>
      </c>
      <c r="AK871" s="495">
        <v>0</v>
      </c>
      <c r="AL871" s="495">
        <v>0</v>
      </c>
      <c r="AO871" s="495">
        <v>-4498.6483614306726</v>
      </c>
      <c r="AP871" s="495">
        <v>-2793.7018614306739</v>
      </c>
      <c r="AQ871" s="495">
        <v>-2448.9491364306737</v>
      </c>
      <c r="AR871" s="495">
        <v>0</v>
      </c>
      <c r="AS871" s="495">
        <v>0</v>
      </c>
    </row>
    <row r="872" spans="1:45">
      <c r="A872" s="390">
        <v>99509</v>
      </c>
      <c r="B872" s="393">
        <v>99509</v>
      </c>
      <c r="C872" s="499" t="s">
        <v>1573</v>
      </c>
      <c r="D872" s="378">
        <v>2.3713469186897279E-5</v>
      </c>
      <c r="F872" s="495">
        <v>17285.055460611271</v>
      </c>
      <c r="G872" s="495">
        <v>31947.151320611276</v>
      </c>
      <c r="H872" s="495">
        <v>5831.8794806112719</v>
      </c>
      <c r="I872" s="495">
        <v>-2457.0673000000002</v>
      </c>
      <c r="J872" s="495">
        <v>0</v>
      </c>
      <c r="M872" s="495">
        <v>10897.61391</v>
      </c>
      <c r="N872" s="495">
        <v>11085.942440000001</v>
      </c>
      <c r="O872" s="495">
        <v>5838.1844300000002</v>
      </c>
      <c r="P872" s="495">
        <v>0</v>
      </c>
      <c r="Q872" s="495">
        <v>0</v>
      </c>
      <c r="T872" s="495">
        <v>4485.0784400000002</v>
      </c>
      <c r="U872" s="495">
        <v>20381.993270000003</v>
      </c>
      <c r="V872" s="495">
        <v>-679.81312000000003</v>
      </c>
      <c r="W872" s="495">
        <v>-2457.0673000000002</v>
      </c>
      <c r="X872" s="495">
        <v>0</v>
      </c>
      <c r="AA872" s="495">
        <v>0</v>
      </c>
      <c r="AB872" s="495">
        <v>0</v>
      </c>
      <c r="AC872" s="495">
        <v>0</v>
      </c>
      <c r="AD872" s="495">
        <v>0</v>
      </c>
      <c r="AE872" s="495">
        <v>0</v>
      </c>
      <c r="AH872" s="495">
        <v>2231.7842906112701</v>
      </c>
      <c r="AI872" s="495">
        <v>808.63679061127164</v>
      </c>
      <c r="AJ872" s="495">
        <v>673.50817061127123</v>
      </c>
      <c r="AK872" s="495">
        <v>0</v>
      </c>
      <c r="AL872" s="495">
        <v>0</v>
      </c>
      <c r="AO872" s="495">
        <v>-329.42117999999971</v>
      </c>
      <c r="AP872" s="495">
        <v>-329.42117999999971</v>
      </c>
      <c r="AQ872" s="495">
        <v>0</v>
      </c>
      <c r="AR872" s="495">
        <v>0</v>
      </c>
      <c r="AS872" s="495">
        <v>0</v>
      </c>
    </row>
    <row r="873" spans="1:45">
      <c r="A873" s="390">
        <v>99511</v>
      </c>
      <c r="B873" s="393">
        <v>99511</v>
      </c>
      <c r="C873" s="499" t="s">
        <v>1574</v>
      </c>
      <c r="D873" s="378">
        <v>1.1621719930825667E-3</v>
      </c>
      <c r="F873" s="495">
        <v>620681.99215480522</v>
      </c>
      <c r="G873" s="495">
        <v>1399766.924329805</v>
      </c>
      <c r="H873" s="495">
        <v>140375.83323730514</v>
      </c>
      <c r="I873" s="495">
        <v>-120418.06000000001</v>
      </c>
      <c r="J873" s="495">
        <v>0</v>
      </c>
      <c r="M873" s="495">
        <v>534079.60200000007</v>
      </c>
      <c r="N873" s="495">
        <v>543309.36800000002</v>
      </c>
      <c r="O873" s="495">
        <v>286122.74599999998</v>
      </c>
      <c r="P873" s="495">
        <v>0</v>
      </c>
      <c r="Q873" s="495">
        <v>0</v>
      </c>
      <c r="T873" s="495">
        <v>219808.568</v>
      </c>
      <c r="U873" s="495">
        <v>998898.19400000002</v>
      </c>
      <c r="V873" s="495">
        <v>-33316.864000000001</v>
      </c>
      <c r="W873" s="495">
        <v>-120418.06000000001</v>
      </c>
      <c r="X873" s="495">
        <v>0</v>
      </c>
      <c r="AA873" s="495">
        <v>0</v>
      </c>
      <c r="AB873" s="495">
        <v>0</v>
      </c>
      <c r="AC873" s="495">
        <v>0</v>
      </c>
      <c r="AD873" s="495">
        <v>0</v>
      </c>
      <c r="AE873" s="495">
        <v>0</v>
      </c>
      <c r="AH873" s="495">
        <v>9234.4598250002018</v>
      </c>
      <c r="AI873" s="495">
        <v>0</v>
      </c>
      <c r="AJ873" s="495">
        <v>0</v>
      </c>
      <c r="AK873" s="495">
        <v>0</v>
      </c>
      <c r="AL873" s="495">
        <v>0</v>
      </c>
      <c r="AO873" s="495">
        <v>-142440.63767019502</v>
      </c>
      <c r="AP873" s="495">
        <v>-142440.63767019502</v>
      </c>
      <c r="AQ873" s="495">
        <v>-112430.04876269485</v>
      </c>
      <c r="AR873" s="495">
        <v>0</v>
      </c>
      <c r="AS873" s="495">
        <v>0</v>
      </c>
    </row>
    <row r="874" spans="1:45">
      <c r="A874" s="390">
        <v>99521</v>
      </c>
      <c r="B874" s="393">
        <v>99521</v>
      </c>
      <c r="C874" s="499" t="s">
        <v>1575</v>
      </c>
      <c r="D874" s="378">
        <v>5.2787808408671282E-4</v>
      </c>
      <c r="F874" s="495">
        <v>294013.75318767922</v>
      </c>
      <c r="G874" s="495">
        <v>663440.66323767917</v>
      </c>
      <c r="H874" s="495">
        <v>58837.260212679335</v>
      </c>
      <c r="I874" s="495">
        <v>-54695.914000000004</v>
      </c>
      <c r="J874" s="495">
        <v>0</v>
      </c>
      <c r="M874" s="495">
        <v>242587.96380000003</v>
      </c>
      <c r="N874" s="495">
        <v>246780.27920000002</v>
      </c>
      <c r="O874" s="495">
        <v>129961.77740000001</v>
      </c>
      <c r="P874" s="495">
        <v>0</v>
      </c>
      <c r="Q874" s="495">
        <v>0</v>
      </c>
      <c r="T874" s="495">
        <v>99840.7592</v>
      </c>
      <c r="U874" s="495">
        <v>453716.40860000002</v>
      </c>
      <c r="V874" s="495">
        <v>-15133.081600000001</v>
      </c>
      <c r="W874" s="495">
        <v>-54695.914000000004</v>
      </c>
      <c r="X874" s="495">
        <v>0</v>
      </c>
      <c r="AA874" s="495">
        <v>0</v>
      </c>
      <c r="AB874" s="495">
        <v>0</v>
      </c>
      <c r="AC874" s="495">
        <v>0</v>
      </c>
      <c r="AD874" s="495">
        <v>0</v>
      </c>
      <c r="AE874" s="495">
        <v>0</v>
      </c>
      <c r="AH874" s="495">
        <v>41402.252849999859</v>
      </c>
      <c r="AI874" s="495">
        <v>41402.252849999859</v>
      </c>
      <c r="AJ874" s="495">
        <v>0</v>
      </c>
      <c r="AK874" s="495">
        <v>0</v>
      </c>
      <c r="AL874" s="495">
        <v>0</v>
      </c>
      <c r="AO874" s="495">
        <v>-89817.222662320666</v>
      </c>
      <c r="AP874" s="495">
        <v>-78458.277412320676</v>
      </c>
      <c r="AQ874" s="495">
        <v>-55991.435587320666</v>
      </c>
      <c r="AR874" s="495">
        <v>0</v>
      </c>
      <c r="AS874" s="495">
        <v>0</v>
      </c>
    </row>
    <row r="875" spans="1:45">
      <c r="A875" s="390">
        <v>99527</v>
      </c>
      <c r="B875" s="393">
        <v>99527</v>
      </c>
      <c r="C875" s="499" t="s">
        <v>1576</v>
      </c>
      <c r="D875" s="378">
        <v>1.0201509520136497E-5</v>
      </c>
      <c r="F875" s="495">
        <v>9422.5520267654956</v>
      </c>
      <c r="G875" s="495">
        <v>15192.656801765497</v>
      </c>
      <c r="H875" s="495">
        <v>2821.8127542654952</v>
      </c>
      <c r="I875" s="495">
        <v>-1057.0260000000001</v>
      </c>
      <c r="J875" s="495">
        <v>0</v>
      </c>
      <c r="M875" s="495">
        <v>4688.1342000000004</v>
      </c>
      <c r="N875" s="495">
        <v>4769.1527999999998</v>
      </c>
      <c r="O875" s="495">
        <v>2511.5766000000003</v>
      </c>
      <c r="P875" s="495">
        <v>0</v>
      </c>
      <c r="Q875" s="495">
        <v>0</v>
      </c>
      <c r="T875" s="495">
        <v>1929.4728</v>
      </c>
      <c r="U875" s="495">
        <v>8768.2974000000013</v>
      </c>
      <c r="V875" s="495">
        <v>-292.45440000000002</v>
      </c>
      <c r="W875" s="495">
        <v>-1057.0260000000001</v>
      </c>
      <c r="X875" s="495">
        <v>0</v>
      </c>
      <c r="AA875" s="495">
        <v>0</v>
      </c>
      <c r="AB875" s="495">
        <v>0</v>
      </c>
      <c r="AC875" s="495">
        <v>0</v>
      </c>
      <c r="AD875" s="495">
        <v>0</v>
      </c>
      <c r="AE875" s="495">
        <v>0</v>
      </c>
      <c r="AH875" s="495">
        <v>2804.9450267654952</v>
      </c>
      <c r="AI875" s="495">
        <v>1655.2066017654952</v>
      </c>
      <c r="AJ875" s="495">
        <v>602.69055426549494</v>
      </c>
      <c r="AK875" s="495">
        <v>0</v>
      </c>
      <c r="AL875" s="495">
        <v>0</v>
      </c>
      <c r="AO875" s="495">
        <v>0</v>
      </c>
      <c r="AP875" s="495">
        <v>0</v>
      </c>
      <c r="AQ875" s="495">
        <v>0</v>
      </c>
      <c r="AR875" s="495">
        <v>0</v>
      </c>
      <c r="AS875" s="495">
        <v>0</v>
      </c>
    </row>
    <row r="876" spans="1:45">
      <c r="A876" s="390">
        <v>99531</v>
      </c>
      <c r="B876" s="393">
        <v>99531</v>
      </c>
      <c r="C876" s="499" t="s">
        <v>1577</v>
      </c>
      <c r="D876" s="378">
        <v>1.0587565510615377E-4</v>
      </c>
      <c r="F876" s="495">
        <v>108279.56381839662</v>
      </c>
      <c r="G876" s="495">
        <v>167303.83527839661</v>
      </c>
      <c r="H876" s="495">
        <v>32777.309055896614</v>
      </c>
      <c r="I876" s="495">
        <v>-10970.2718</v>
      </c>
      <c r="J876" s="495">
        <v>0</v>
      </c>
      <c r="M876" s="495">
        <v>48655.479060000005</v>
      </c>
      <c r="N876" s="495">
        <v>49496.325040000003</v>
      </c>
      <c r="O876" s="495">
        <v>26066.22538</v>
      </c>
      <c r="P876" s="495">
        <v>0</v>
      </c>
      <c r="Q876" s="495">
        <v>0</v>
      </c>
      <c r="T876" s="495">
        <v>20024.901040000001</v>
      </c>
      <c r="U876" s="495">
        <v>91001.172820000007</v>
      </c>
      <c r="V876" s="495">
        <v>-3035.21792</v>
      </c>
      <c r="W876" s="495">
        <v>-10970.2718</v>
      </c>
      <c r="X876" s="495">
        <v>0</v>
      </c>
      <c r="AA876" s="495">
        <v>0</v>
      </c>
      <c r="AB876" s="495">
        <v>0</v>
      </c>
      <c r="AC876" s="495">
        <v>0</v>
      </c>
      <c r="AD876" s="495">
        <v>0</v>
      </c>
      <c r="AE876" s="495">
        <v>0</v>
      </c>
      <c r="AH876" s="495">
        <v>39599.183718396613</v>
      </c>
      <c r="AI876" s="495">
        <v>26806.337418396615</v>
      </c>
      <c r="AJ876" s="495">
        <v>9746.3015958966153</v>
      </c>
      <c r="AK876" s="495">
        <v>0</v>
      </c>
      <c r="AL876" s="495">
        <v>0</v>
      </c>
      <c r="AO876" s="495">
        <v>0</v>
      </c>
      <c r="AP876" s="495">
        <v>0</v>
      </c>
      <c r="AQ876" s="495">
        <v>0</v>
      </c>
      <c r="AR876" s="495">
        <v>0</v>
      </c>
      <c r="AS876" s="495">
        <v>0</v>
      </c>
    </row>
    <row r="877" spans="1:45">
      <c r="A877" s="390">
        <v>99601</v>
      </c>
      <c r="B877" s="393">
        <v>99601</v>
      </c>
      <c r="C877" s="499" t="s">
        <v>1578</v>
      </c>
      <c r="D877" s="378">
        <v>4.8383461744070993E-3</v>
      </c>
      <c r="F877" s="495">
        <v>2838595.1390660503</v>
      </c>
      <c r="G877" s="495">
        <v>6187042.0140460506</v>
      </c>
      <c r="H877" s="495">
        <v>860026.92374855001</v>
      </c>
      <c r="I877" s="495">
        <v>-501323.5969</v>
      </c>
      <c r="J877" s="495">
        <v>0</v>
      </c>
      <c r="M877" s="495">
        <v>2223476.3382299999</v>
      </c>
      <c r="N877" s="495">
        <v>2261901.63332</v>
      </c>
      <c r="O877" s="495">
        <v>1191184.1477900001</v>
      </c>
      <c r="P877" s="495">
        <v>0</v>
      </c>
      <c r="Q877" s="495">
        <v>0</v>
      </c>
      <c r="T877" s="495">
        <v>915105.44131999998</v>
      </c>
      <c r="U877" s="495">
        <v>4158605.7403099998</v>
      </c>
      <c r="V877" s="495">
        <v>-138704.52736000001</v>
      </c>
      <c r="W877" s="495">
        <v>-501323.5969</v>
      </c>
      <c r="X877" s="495">
        <v>0</v>
      </c>
      <c r="AA877" s="495">
        <v>0</v>
      </c>
      <c r="AB877" s="495">
        <v>0</v>
      </c>
      <c r="AC877" s="495">
        <v>0</v>
      </c>
      <c r="AD877" s="495">
        <v>0</v>
      </c>
      <c r="AE877" s="495">
        <v>0</v>
      </c>
      <c r="AH877" s="495">
        <v>20057.257754999766</v>
      </c>
      <c r="AI877" s="495">
        <v>20057.257754999766</v>
      </c>
      <c r="AJ877" s="495">
        <v>0</v>
      </c>
      <c r="AK877" s="495">
        <v>0</v>
      </c>
      <c r="AL877" s="495">
        <v>0</v>
      </c>
      <c r="AO877" s="495">
        <v>-320043.89823894942</v>
      </c>
      <c r="AP877" s="495">
        <v>-253522.61733894976</v>
      </c>
      <c r="AQ877" s="495">
        <v>-192452.69668145006</v>
      </c>
      <c r="AR877" s="495">
        <v>0</v>
      </c>
      <c r="AS877" s="495">
        <v>0</v>
      </c>
    </row>
    <row r="878" spans="1:45">
      <c r="A878" s="390">
        <v>99602</v>
      </c>
      <c r="B878" s="393">
        <v>99602</v>
      </c>
      <c r="C878" s="499" t="s">
        <v>1579</v>
      </c>
      <c r="D878" s="378">
        <v>5.2407746062806716E-5</v>
      </c>
      <c r="F878" s="495">
        <v>24507.105724510981</v>
      </c>
      <c r="G878" s="495">
        <v>62131.015599510982</v>
      </c>
      <c r="H878" s="495">
        <v>9400.7383670109866</v>
      </c>
      <c r="I878" s="495">
        <v>-5430.2119999999995</v>
      </c>
      <c r="J878" s="495">
        <v>0</v>
      </c>
      <c r="M878" s="495">
        <v>24084.1404</v>
      </c>
      <c r="N878" s="495">
        <v>24500.353599999999</v>
      </c>
      <c r="O878" s="495">
        <v>12902.609200000001</v>
      </c>
      <c r="P878" s="495">
        <v>0</v>
      </c>
      <c r="Q878" s="495">
        <v>0</v>
      </c>
      <c r="T878" s="495">
        <v>9912.1936000000005</v>
      </c>
      <c r="U878" s="495">
        <v>45044.978799999997</v>
      </c>
      <c r="V878" s="495">
        <v>-1502.4128000000001</v>
      </c>
      <c r="W878" s="495">
        <v>-5430.2119999999995</v>
      </c>
      <c r="X878" s="495">
        <v>0</v>
      </c>
      <c r="AA878" s="495">
        <v>0</v>
      </c>
      <c r="AB878" s="495">
        <v>0</v>
      </c>
      <c r="AC878" s="495">
        <v>0</v>
      </c>
      <c r="AD878" s="495">
        <v>0</v>
      </c>
      <c r="AE878" s="495">
        <v>0</v>
      </c>
      <c r="AH878" s="495">
        <v>0</v>
      </c>
      <c r="AI878" s="495">
        <v>0</v>
      </c>
      <c r="AJ878" s="495">
        <v>0</v>
      </c>
      <c r="AK878" s="495">
        <v>0</v>
      </c>
      <c r="AL878" s="495">
        <v>0</v>
      </c>
      <c r="AO878" s="495">
        <v>-9489.2282754890221</v>
      </c>
      <c r="AP878" s="495">
        <v>-7414.3168004890176</v>
      </c>
      <c r="AQ878" s="495">
        <v>-1999.4580329890141</v>
      </c>
      <c r="AR878" s="495">
        <v>0</v>
      </c>
      <c r="AS878" s="495">
        <v>0</v>
      </c>
    </row>
    <row r="879" spans="1:45">
      <c r="A879" s="390">
        <v>99603</v>
      </c>
      <c r="B879" s="393">
        <v>99603</v>
      </c>
      <c r="C879" s="499" t="s">
        <v>1580</v>
      </c>
      <c r="D879" s="378">
        <v>1.4519144169782098E-4</v>
      </c>
      <c r="F879" s="495">
        <v>89091.309466266874</v>
      </c>
      <c r="G879" s="495">
        <v>181798.87956126686</v>
      </c>
      <c r="H879" s="495">
        <v>18497.352031266888</v>
      </c>
      <c r="I879" s="495">
        <v>-15043.9671</v>
      </c>
      <c r="J879" s="495">
        <v>0</v>
      </c>
      <c r="M879" s="495">
        <v>66723.180569999997</v>
      </c>
      <c r="N879" s="495">
        <v>67876.265879999992</v>
      </c>
      <c r="O879" s="495">
        <v>35745.644609999996</v>
      </c>
      <c r="P879" s="495">
        <v>0</v>
      </c>
      <c r="Q879" s="495">
        <v>0</v>
      </c>
      <c r="T879" s="495">
        <v>27460.937879999998</v>
      </c>
      <c r="U879" s="495">
        <v>124793.50328999999</v>
      </c>
      <c r="V879" s="495">
        <v>-4162.3142399999997</v>
      </c>
      <c r="W879" s="495">
        <v>-15043.9671</v>
      </c>
      <c r="X879" s="495">
        <v>0</v>
      </c>
      <c r="AA879" s="495">
        <v>0</v>
      </c>
      <c r="AB879" s="495">
        <v>0</v>
      </c>
      <c r="AC879" s="495">
        <v>0</v>
      </c>
      <c r="AD879" s="495">
        <v>0</v>
      </c>
      <c r="AE879" s="495">
        <v>0</v>
      </c>
      <c r="AH879" s="495">
        <v>8127.9325650000028</v>
      </c>
      <c r="AI879" s="495">
        <v>2349.8519400000005</v>
      </c>
      <c r="AJ879" s="495">
        <v>0</v>
      </c>
      <c r="AK879" s="495">
        <v>0</v>
      </c>
      <c r="AL879" s="495">
        <v>0</v>
      </c>
      <c r="AO879" s="495">
        <v>-13220.741548733131</v>
      </c>
      <c r="AP879" s="495">
        <v>-13220.741548733131</v>
      </c>
      <c r="AQ879" s="495">
        <v>-13085.978338733108</v>
      </c>
      <c r="AR879" s="495">
        <v>0</v>
      </c>
      <c r="AS879" s="495">
        <v>0</v>
      </c>
    </row>
    <row r="880" spans="1:45">
      <c r="A880" s="390">
        <v>99604</v>
      </c>
      <c r="B880" s="393">
        <v>99604</v>
      </c>
      <c r="C880" s="499" t="s">
        <v>1581</v>
      </c>
      <c r="D880" s="378">
        <v>1.3094941457692655E-4</v>
      </c>
      <c r="F880" s="495">
        <v>108249.24815174326</v>
      </c>
      <c r="G880" s="495">
        <v>195134.64545674322</v>
      </c>
      <c r="H880" s="495">
        <v>50424.339791743274</v>
      </c>
      <c r="I880" s="495">
        <v>-13568.275899999999</v>
      </c>
      <c r="J880" s="495">
        <v>0</v>
      </c>
      <c r="M880" s="495">
        <v>60178.177530000001</v>
      </c>
      <c r="N880" s="495">
        <v>61218.154519999996</v>
      </c>
      <c r="O880" s="495">
        <v>32239.286689999997</v>
      </c>
      <c r="P880" s="495">
        <v>0</v>
      </c>
      <c r="Q880" s="495">
        <v>0</v>
      </c>
      <c r="T880" s="495">
        <v>24767.24252</v>
      </c>
      <c r="U880" s="495">
        <v>112552.27240999999</v>
      </c>
      <c r="V880" s="495">
        <v>-3754.0249599999997</v>
      </c>
      <c r="W880" s="495">
        <v>-13568.275899999999</v>
      </c>
      <c r="X880" s="495">
        <v>0</v>
      </c>
      <c r="AA880" s="495">
        <v>0</v>
      </c>
      <c r="AB880" s="495">
        <v>0</v>
      </c>
      <c r="AC880" s="495">
        <v>0</v>
      </c>
      <c r="AD880" s="495">
        <v>0</v>
      </c>
      <c r="AE880" s="495">
        <v>0</v>
      </c>
      <c r="AH880" s="495">
        <v>25579.828981743281</v>
      </c>
      <c r="AI880" s="495">
        <v>23640.219406743279</v>
      </c>
      <c r="AJ880" s="495">
        <v>21939.078061743276</v>
      </c>
      <c r="AK880" s="495">
        <v>0</v>
      </c>
      <c r="AL880" s="495">
        <v>0</v>
      </c>
      <c r="AO880" s="495">
        <v>-2276.000880000026</v>
      </c>
      <c r="AP880" s="495">
        <v>-2276.000880000026</v>
      </c>
      <c r="AQ880" s="495">
        <v>0</v>
      </c>
      <c r="AR880" s="495">
        <v>0</v>
      </c>
      <c r="AS880" s="495">
        <v>0</v>
      </c>
    </row>
    <row r="881" spans="1:45">
      <c r="A881" s="390">
        <v>99609</v>
      </c>
      <c r="B881" s="393">
        <v>99609</v>
      </c>
      <c r="C881" s="499" t="s">
        <v>1582</v>
      </c>
      <c r="D881" s="378">
        <v>3.2724854521490169E-5</v>
      </c>
      <c r="F881" s="495">
        <v>13864.381919045802</v>
      </c>
      <c r="G881" s="495">
        <v>35745.7464890458</v>
      </c>
      <c r="H881" s="495">
        <v>1595.7014465457951</v>
      </c>
      <c r="I881" s="495">
        <v>-3390.7736</v>
      </c>
      <c r="J881" s="495">
        <v>0</v>
      </c>
      <c r="M881" s="495">
        <v>15038.79912</v>
      </c>
      <c r="N881" s="495">
        <v>15298.694079999999</v>
      </c>
      <c r="O881" s="495">
        <v>8056.7437599999994</v>
      </c>
      <c r="P881" s="495">
        <v>0</v>
      </c>
      <c r="Q881" s="495">
        <v>0</v>
      </c>
      <c r="T881" s="495">
        <v>6189.4460799999997</v>
      </c>
      <c r="U881" s="495">
        <v>28127.322639999999</v>
      </c>
      <c r="V881" s="495">
        <v>-938.14783999999997</v>
      </c>
      <c r="W881" s="495">
        <v>-3390.7736</v>
      </c>
      <c r="X881" s="495">
        <v>0</v>
      </c>
      <c r="AA881" s="495">
        <v>0</v>
      </c>
      <c r="AB881" s="495">
        <v>0</v>
      </c>
      <c r="AC881" s="495">
        <v>0</v>
      </c>
      <c r="AD881" s="495">
        <v>0</v>
      </c>
      <c r="AE881" s="495">
        <v>0</v>
      </c>
      <c r="AH881" s="495">
        <v>3077.0752650000059</v>
      </c>
      <c r="AI881" s="495">
        <v>576.48706500000412</v>
      </c>
      <c r="AJ881" s="495">
        <v>0</v>
      </c>
      <c r="AK881" s="495">
        <v>0</v>
      </c>
      <c r="AL881" s="495">
        <v>0</v>
      </c>
      <c r="AO881" s="495">
        <v>-10440.938545954203</v>
      </c>
      <c r="AP881" s="495">
        <v>-8256.7572959542031</v>
      </c>
      <c r="AQ881" s="495">
        <v>-5522.8944734542047</v>
      </c>
      <c r="AR881" s="495">
        <v>0</v>
      </c>
      <c r="AS881" s="495">
        <v>0</v>
      </c>
    </row>
    <row r="882" spans="1:45">
      <c r="A882" s="390">
        <v>99610</v>
      </c>
      <c r="B882" s="393">
        <v>99610</v>
      </c>
      <c r="C882" s="499" t="s">
        <v>1583</v>
      </c>
      <c r="D882" s="378">
        <v>1.8350715011263087E-4</v>
      </c>
      <c r="F882" s="495">
        <v>119701.76456543469</v>
      </c>
      <c r="G882" s="495">
        <v>235889.44597043467</v>
      </c>
      <c r="H882" s="495">
        <v>39152.679035434696</v>
      </c>
      <c r="I882" s="495">
        <v>-19014.0324</v>
      </c>
      <c r="J882" s="495">
        <v>0</v>
      </c>
      <c r="M882" s="495">
        <v>84331.261079999997</v>
      </c>
      <c r="N882" s="495">
        <v>85788.642720000003</v>
      </c>
      <c r="O882" s="495">
        <v>45178.830840000002</v>
      </c>
      <c r="P882" s="495">
        <v>0</v>
      </c>
      <c r="Q882" s="495">
        <v>0</v>
      </c>
      <c r="T882" s="495">
        <v>34707.810720000001</v>
      </c>
      <c r="U882" s="495">
        <v>157726.19675999999</v>
      </c>
      <c r="V882" s="495">
        <v>-5260.7385599999998</v>
      </c>
      <c r="W882" s="495">
        <v>-19014.0324</v>
      </c>
      <c r="X882" s="495">
        <v>0</v>
      </c>
      <c r="AA882" s="495">
        <v>0</v>
      </c>
      <c r="AB882" s="495">
        <v>0</v>
      </c>
      <c r="AC882" s="495">
        <v>0</v>
      </c>
      <c r="AD882" s="495">
        <v>0</v>
      </c>
      <c r="AE882" s="495">
        <v>0</v>
      </c>
      <c r="AH882" s="495">
        <v>8558.7760549999875</v>
      </c>
      <c r="AI882" s="495">
        <v>147.7066549999945</v>
      </c>
      <c r="AJ882" s="495">
        <v>0</v>
      </c>
      <c r="AK882" s="495">
        <v>0</v>
      </c>
      <c r="AL882" s="495">
        <v>0</v>
      </c>
      <c r="AO882" s="495">
        <v>-7896.0832895653148</v>
      </c>
      <c r="AP882" s="495">
        <v>-7773.1001645653159</v>
      </c>
      <c r="AQ882" s="495">
        <v>-765.41324456530992</v>
      </c>
      <c r="AR882" s="495">
        <v>0</v>
      </c>
      <c r="AS882" s="495">
        <v>0</v>
      </c>
    </row>
    <row r="883" spans="1:45">
      <c r="A883" s="390">
        <v>99611</v>
      </c>
      <c r="B883" s="393">
        <v>99611</v>
      </c>
      <c r="C883" s="499" t="s">
        <v>1584</v>
      </c>
      <c r="D883" s="378">
        <v>2.4365006544404921E-3</v>
      </c>
      <c r="F883" s="495">
        <v>1141960.0332833575</v>
      </c>
      <c r="G883" s="495">
        <v>3003463.040923357</v>
      </c>
      <c r="H883" s="495">
        <v>372123.90930085792</v>
      </c>
      <c r="I883" s="495">
        <v>-252457.18819999998</v>
      </c>
      <c r="J883" s="495">
        <v>0</v>
      </c>
      <c r="M883" s="495">
        <v>1119701.1029399999</v>
      </c>
      <c r="N883" s="495">
        <v>1139051.3629599998</v>
      </c>
      <c r="O883" s="495">
        <v>599858.06062</v>
      </c>
      <c r="P883" s="495">
        <v>0</v>
      </c>
      <c r="Q883" s="495">
        <v>0</v>
      </c>
      <c r="T883" s="495">
        <v>460829.98695999995</v>
      </c>
      <c r="U883" s="495">
        <v>2094196.0811799997</v>
      </c>
      <c r="V883" s="495">
        <v>-69849.006079999992</v>
      </c>
      <c r="W883" s="495">
        <v>-252457.18819999998</v>
      </c>
      <c r="X883" s="495">
        <v>0</v>
      </c>
      <c r="AA883" s="495">
        <v>0</v>
      </c>
      <c r="AB883" s="495">
        <v>0</v>
      </c>
      <c r="AC883" s="495">
        <v>0</v>
      </c>
      <c r="AD883" s="495">
        <v>0</v>
      </c>
      <c r="AE883" s="495">
        <v>0</v>
      </c>
      <c r="AH883" s="495">
        <v>17126.815917499945</v>
      </c>
      <c r="AI883" s="495">
        <v>17126.815917499945</v>
      </c>
      <c r="AJ883" s="495">
        <v>0</v>
      </c>
      <c r="AK883" s="495">
        <v>0</v>
      </c>
      <c r="AL883" s="495">
        <v>0</v>
      </c>
      <c r="AO883" s="495">
        <v>-455697.87253414246</v>
      </c>
      <c r="AP883" s="495">
        <v>-246911.21913414216</v>
      </c>
      <c r="AQ883" s="495">
        <v>-157885.14523914212</v>
      </c>
      <c r="AR883" s="495">
        <v>0</v>
      </c>
      <c r="AS883" s="495">
        <v>0</v>
      </c>
    </row>
    <row r="884" spans="1:45">
      <c r="A884" s="390">
        <v>99613</v>
      </c>
      <c r="B884" s="393">
        <v>99613</v>
      </c>
      <c r="C884" s="499" t="s">
        <v>1585</v>
      </c>
      <c r="D884" s="378">
        <v>3.5155203233821222E-4</v>
      </c>
      <c r="F884" s="495">
        <v>198974.95090017875</v>
      </c>
      <c r="G884" s="495">
        <v>435244.69552517869</v>
      </c>
      <c r="H884" s="495">
        <v>40785.712627678702</v>
      </c>
      <c r="I884" s="495">
        <v>-36425.945</v>
      </c>
      <c r="J884" s="495">
        <v>0</v>
      </c>
      <c r="M884" s="495">
        <v>161556.78149999998</v>
      </c>
      <c r="N884" s="495">
        <v>164348.74599999998</v>
      </c>
      <c r="O884" s="495">
        <v>86550.8995</v>
      </c>
      <c r="P884" s="495">
        <v>0</v>
      </c>
      <c r="Q884" s="495">
        <v>0</v>
      </c>
      <c r="T884" s="495">
        <v>66491.145999999993</v>
      </c>
      <c r="U884" s="495">
        <v>302162.40549999999</v>
      </c>
      <c r="V884" s="495">
        <v>-10078.207999999999</v>
      </c>
      <c r="W884" s="495">
        <v>-36425.945</v>
      </c>
      <c r="X884" s="495">
        <v>0</v>
      </c>
      <c r="AA884" s="495">
        <v>0</v>
      </c>
      <c r="AB884" s="495">
        <v>0</v>
      </c>
      <c r="AC884" s="495">
        <v>0</v>
      </c>
      <c r="AD884" s="495">
        <v>0</v>
      </c>
      <c r="AE884" s="495">
        <v>0</v>
      </c>
      <c r="AH884" s="495">
        <v>20678.49968000003</v>
      </c>
      <c r="AI884" s="495">
        <v>18485.020305000005</v>
      </c>
      <c r="AJ884" s="495">
        <v>0</v>
      </c>
      <c r="AK884" s="495">
        <v>0</v>
      </c>
      <c r="AL884" s="495">
        <v>0</v>
      </c>
      <c r="AO884" s="495">
        <v>-49751.476279821291</v>
      </c>
      <c r="AP884" s="495">
        <v>-49751.476279821291</v>
      </c>
      <c r="AQ884" s="495">
        <v>-35686.978872321299</v>
      </c>
      <c r="AR884" s="495">
        <v>0</v>
      </c>
      <c r="AS884" s="495">
        <v>0</v>
      </c>
    </row>
    <row r="885" spans="1:45">
      <c r="A885" s="390">
        <v>99621</v>
      </c>
      <c r="B885" s="393">
        <v>99621</v>
      </c>
      <c r="C885" s="499" t="s">
        <v>1586</v>
      </c>
      <c r="D885" s="378">
        <v>3.6468404834514038E-4</v>
      </c>
      <c r="F885" s="495">
        <v>232841.55321976746</v>
      </c>
      <c r="G885" s="495">
        <v>467078.14564976736</v>
      </c>
      <c r="H885" s="495">
        <v>80739.934199767406</v>
      </c>
      <c r="I885" s="495">
        <v>-37786.606899999999</v>
      </c>
      <c r="J885" s="495">
        <v>0</v>
      </c>
      <c r="M885" s="495">
        <v>167591.60523000002</v>
      </c>
      <c r="N885" s="495">
        <v>170487.86132</v>
      </c>
      <c r="O885" s="495">
        <v>89783.93879</v>
      </c>
      <c r="P885" s="495">
        <v>0</v>
      </c>
      <c r="Q885" s="495">
        <v>0</v>
      </c>
      <c r="T885" s="495">
        <v>68974.869319999998</v>
      </c>
      <c r="U885" s="495">
        <v>313449.43930999999</v>
      </c>
      <c r="V885" s="495">
        <v>-10454.67136</v>
      </c>
      <c r="W885" s="495">
        <v>-37786.606899999999</v>
      </c>
      <c r="X885" s="495">
        <v>0</v>
      </c>
      <c r="AA885" s="495">
        <v>0</v>
      </c>
      <c r="AB885" s="495">
        <v>0</v>
      </c>
      <c r="AC885" s="495">
        <v>0</v>
      </c>
      <c r="AD885" s="495">
        <v>0</v>
      </c>
      <c r="AE885" s="495">
        <v>0</v>
      </c>
      <c r="AH885" s="495">
        <v>17493.995419767409</v>
      </c>
      <c r="AI885" s="495">
        <v>1410.6667697673984</v>
      </c>
      <c r="AJ885" s="495">
        <v>1410.6667697673984</v>
      </c>
      <c r="AK885" s="495">
        <v>0</v>
      </c>
      <c r="AL885" s="495">
        <v>0</v>
      </c>
      <c r="AO885" s="495">
        <v>-21218.916749999982</v>
      </c>
      <c r="AP885" s="495">
        <v>-18269.821749999981</v>
      </c>
      <c r="AQ885" s="495">
        <v>0</v>
      </c>
      <c r="AR885" s="495">
        <v>0</v>
      </c>
      <c r="AS885" s="495">
        <v>0</v>
      </c>
    </row>
    <row r="886" spans="1:45">
      <c r="A886" s="390">
        <v>99623</v>
      </c>
      <c r="B886" s="393">
        <v>99623</v>
      </c>
      <c r="C886" s="499" t="s">
        <v>1587</v>
      </c>
      <c r="D886" s="378">
        <v>2.7904569690712646E-6</v>
      </c>
      <c r="F886" s="495">
        <v>-6386.1951512450305</v>
      </c>
      <c r="G886" s="495">
        <v>-3677.0784112450301</v>
      </c>
      <c r="H886" s="495">
        <v>1063.7315262549732</v>
      </c>
      <c r="I886" s="495">
        <v>-289.1277</v>
      </c>
      <c r="J886" s="495">
        <v>0</v>
      </c>
      <c r="M886" s="495">
        <v>1282.34259</v>
      </c>
      <c r="N886" s="495">
        <v>1304.5035599999999</v>
      </c>
      <c r="O886" s="495">
        <v>686.99006999999995</v>
      </c>
      <c r="P886" s="495">
        <v>0</v>
      </c>
      <c r="Q886" s="495">
        <v>0</v>
      </c>
      <c r="T886" s="495">
        <v>527.76756</v>
      </c>
      <c r="U886" s="495">
        <v>2398.3872299999998</v>
      </c>
      <c r="V886" s="495">
        <v>-79.994879999999995</v>
      </c>
      <c r="W886" s="495">
        <v>-289.1277</v>
      </c>
      <c r="X886" s="495">
        <v>0</v>
      </c>
      <c r="AA886" s="495">
        <v>0</v>
      </c>
      <c r="AB886" s="495">
        <v>0</v>
      </c>
      <c r="AC886" s="495">
        <v>0</v>
      </c>
      <c r="AD886" s="495">
        <v>0</v>
      </c>
      <c r="AE886" s="495">
        <v>0</v>
      </c>
      <c r="AH886" s="495">
        <v>1417.0736737549732</v>
      </c>
      <c r="AI886" s="495">
        <v>1417.0736737549732</v>
      </c>
      <c r="AJ886" s="495">
        <v>456.73633625497314</v>
      </c>
      <c r="AK886" s="495">
        <v>0</v>
      </c>
      <c r="AL886" s="495">
        <v>0</v>
      </c>
      <c r="AO886" s="495">
        <v>-9613.3789750000033</v>
      </c>
      <c r="AP886" s="495">
        <v>-8797.0428750000028</v>
      </c>
      <c r="AQ886" s="495">
        <v>0</v>
      </c>
      <c r="AR886" s="495">
        <v>0</v>
      </c>
      <c r="AS886" s="495">
        <v>0</v>
      </c>
    </row>
    <row r="887" spans="1:45">
      <c r="A887" s="390">
        <v>99624</v>
      </c>
      <c r="B887" s="393">
        <v>99624</v>
      </c>
      <c r="C887" s="499" t="s">
        <v>3759</v>
      </c>
      <c r="D887" s="378">
        <v>9.7704418520343407E-5</v>
      </c>
      <c r="F887" s="495">
        <v>124856.15164937222</v>
      </c>
      <c r="G887" s="495">
        <v>144063.93733937221</v>
      </c>
      <c r="H887" s="495">
        <v>29815.514019372207</v>
      </c>
      <c r="I887" s="495">
        <v>-10123.6147</v>
      </c>
      <c r="J887" s="495">
        <v>0</v>
      </c>
      <c r="M887" s="495">
        <v>44900.375489999999</v>
      </c>
      <c r="N887" s="495">
        <v>45676.327160000001</v>
      </c>
      <c r="O887" s="495">
        <v>24054.501769999999</v>
      </c>
      <c r="P887" s="495">
        <v>0</v>
      </c>
      <c r="Q887" s="495">
        <v>0</v>
      </c>
      <c r="T887" s="495">
        <v>18479.43116</v>
      </c>
      <c r="U887" s="495">
        <v>83977.938529999999</v>
      </c>
      <c r="V887" s="495">
        <v>-2800.9676799999997</v>
      </c>
      <c r="W887" s="495">
        <v>-10123.6147</v>
      </c>
      <c r="X887" s="495">
        <v>0</v>
      </c>
      <c r="AA887" s="495">
        <v>0</v>
      </c>
      <c r="AB887" s="495">
        <v>0</v>
      </c>
      <c r="AC887" s="495">
        <v>0</v>
      </c>
      <c r="AD887" s="495">
        <v>0</v>
      </c>
      <c r="AE887" s="495">
        <v>0</v>
      </c>
      <c r="AH887" s="495">
        <v>62726.182339372208</v>
      </c>
      <c r="AI887" s="495">
        <v>15659.508989372212</v>
      </c>
      <c r="AJ887" s="495">
        <v>8561.9799293722062</v>
      </c>
      <c r="AK887" s="495">
        <v>0</v>
      </c>
      <c r="AL887" s="495">
        <v>0</v>
      </c>
      <c r="AO887" s="495">
        <v>-1249.8373400000019</v>
      </c>
      <c r="AP887" s="495">
        <v>-1249.8373400000019</v>
      </c>
      <c r="AQ887" s="495">
        <v>0</v>
      </c>
      <c r="AR887" s="495">
        <v>0</v>
      </c>
      <c r="AS887" s="495">
        <v>0</v>
      </c>
    </row>
    <row r="888" spans="1:45">
      <c r="A888" s="390">
        <v>99631</v>
      </c>
      <c r="B888" s="393">
        <v>99631</v>
      </c>
      <c r="C888" s="499" t="s">
        <v>1588</v>
      </c>
      <c r="D888" s="378">
        <v>6.7279996013443004E-5</v>
      </c>
      <c r="F888" s="495">
        <v>42069.077356092137</v>
      </c>
      <c r="G888" s="495">
        <v>97164.304701092144</v>
      </c>
      <c r="H888" s="495">
        <v>15803.797068592143</v>
      </c>
      <c r="I888" s="495">
        <v>-6971.1900999999998</v>
      </c>
      <c r="J888" s="495">
        <v>0</v>
      </c>
      <c r="M888" s="495">
        <v>30918.704669999999</v>
      </c>
      <c r="N888" s="495">
        <v>31453.030279999999</v>
      </c>
      <c r="O888" s="495">
        <v>16564.09391</v>
      </c>
      <c r="P888" s="495">
        <v>0</v>
      </c>
      <c r="Q888" s="495">
        <v>0</v>
      </c>
      <c r="T888" s="495">
        <v>12725.06228</v>
      </c>
      <c r="U888" s="495">
        <v>57827.780989999999</v>
      </c>
      <c r="V888" s="495">
        <v>-1928.7654399999999</v>
      </c>
      <c r="W888" s="495">
        <v>-6971.1900999999998</v>
      </c>
      <c r="X888" s="495">
        <v>0</v>
      </c>
      <c r="AA888" s="495">
        <v>0</v>
      </c>
      <c r="AB888" s="495">
        <v>0</v>
      </c>
      <c r="AC888" s="495">
        <v>0</v>
      </c>
      <c r="AD888" s="495">
        <v>0</v>
      </c>
      <c r="AE888" s="495">
        <v>0</v>
      </c>
      <c r="AH888" s="495">
        <v>10246.272806092136</v>
      </c>
      <c r="AI888" s="495">
        <v>7883.4934310921335</v>
      </c>
      <c r="AJ888" s="495">
        <v>1168.4685985921424</v>
      </c>
      <c r="AK888" s="495">
        <v>0</v>
      </c>
      <c r="AL888" s="495">
        <v>0</v>
      </c>
      <c r="AO888" s="495">
        <v>-11820.962399999997</v>
      </c>
      <c r="AP888" s="495">
        <v>0</v>
      </c>
      <c r="AQ888" s="495">
        <v>0</v>
      </c>
      <c r="AR888" s="495">
        <v>0</v>
      </c>
      <c r="AS888" s="495">
        <v>0</v>
      </c>
    </row>
    <row r="889" spans="1:45">
      <c r="A889" s="390">
        <v>99651</v>
      </c>
      <c r="B889" s="393">
        <v>99651</v>
      </c>
      <c r="C889" s="499" t="s">
        <v>1589</v>
      </c>
      <c r="D889" s="378">
        <v>5.0267391833831696E-5</v>
      </c>
      <c r="F889" s="495">
        <v>35145.722333037658</v>
      </c>
      <c r="G889" s="495">
        <v>80040.442843037643</v>
      </c>
      <c r="H889" s="495">
        <v>11466.660233037648</v>
      </c>
      <c r="I889" s="495">
        <v>-5208.4438</v>
      </c>
      <c r="J889" s="495">
        <v>0</v>
      </c>
      <c r="M889" s="495">
        <v>23100.551460000002</v>
      </c>
      <c r="N889" s="495">
        <v>23499.766640000002</v>
      </c>
      <c r="O889" s="495">
        <v>12375.67058</v>
      </c>
      <c r="P889" s="495">
        <v>0</v>
      </c>
      <c r="Q889" s="495">
        <v>0</v>
      </c>
      <c r="T889" s="495">
        <v>9507.3826399999998</v>
      </c>
      <c r="U889" s="495">
        <v>43205.355620000002</v>
      </c>
      <c r="V889" s="495">
        <v>-1441.0547200000001</v>
      </c>
      <c r="W889" s="495">
        <v>-5208.4438</v>
      </c>
      <c r="X889" s="495">
        <v>0</v>
      </c>
      <c r="AA889" s="495">
        <v>0</v>
      </c>
      <c r="AB889" s="495">
        <v>0</v>
      </c>
      <c r="AC889" s="495">
        <v>0</v>
      </c>
      <c r="AD889" s="495">
        <v>0</v>
      </c>
      <c r="AE889" s="495">
        <v>0</v>
      </c>
      <c r="AH889" s="495">
        <v>17009.331553037649</v>
      </c>
      <c r="AI889" s="495">
        <v>14337.786553037649</v>
      </c>
      <c r="AJ889" s="495">
        <v>532.04437303764826</v>
      </c>
      <c r="AK889" s="495">
        <v>0</v>
      </c>
      <c r="AL889" s="495">
        <v>0</v>
      </c>
      <c r="AO889" s="495">
        <v>-14471.543319999997</v>
      </c>
      <c r="AP889" s="495">
        <v>-1002.4659699999993</v>
      </c>
      <c r="AQ889" s="495">
        <v>0</v>
      </c>
      <c r="AR889" s="495">
        <v>0</v>
      </c>
      <c r="AS889" s="495">
        <v>0</v>
      </c>
    </row>
    <row r="890" spans="1:45">
      <c r="A890" s="390">
        <v>99661</v>
      </c>
      <c r="B890" s="393">
        <v>99661</v>
      </c>
      <c r="C890" s="499" t="s">
        <v>1590</v>
      </c>
      <c r="D890" s="378">
        <v>3.8115574093406457E-5</v>
      </c>
      <c r="F890" s="495">
        <v>31899.777484427268</v>
      </c>
      <c r="G890" s="495">
        <v>55095.146119427271</v>
      </c>
      <c r="H890" s="495">
        <v>9715.7910419272612</v>
      </c>
      <c r="I890" s="495">
        <v>-3949.3393000000001</v>
      </c>
      <c r="J890" s="495">
        <v>0</v>
      </c>
      <c r="M890" s="495">
        <v>17516.156309999998</v>
      </c>
      <c r="N890" s="495">
        <v>17818.86404</v>
      </c>
      <c r="O890" s="495">
        <v>9383.9396299999989</v>
      </c>
      <c r="P890" s="495">
        <v>0</v>
      </c>
      <c r="Q890" s="495">
        <v>0</v>
      </c>
      <c r="T890" s="495">
        <v>7209.0400399999999</v>
      </c>
      <c r="U890" s="495">
        <v>32760.766069999998</v>
      </c>
      <c r="V890" s="495">
        <v>-1092.68992</v>
      </c>
      <c r="W890" s="495">
        <v>-3949.3393000000001</v>
      </c>
      <c r="X890" s="495">
        <v>0</v>
      </c>
      <c r="AA890" s="495">
        <v>0</v>
      </c>
      <c r="AB890" s="495">
        <v>0</v>
      </c>
      <c r="AC890" s="495">
        <v>0</v>
      </c>
      <c r="AD890" s="495">
        <v>0</v>
      </c>
      <c r="AE890" s="495">
        <v>0</v>
      </c>
      <c r="AH890" s="495">
        <v>7174.5811344272706</v>
      </c>
      <c r="AI890" s="495">
        <v>4515.5160094272715</v>
      </c>
      <c r="AJ890" s="495">
        <v>1424.5413319272634</v>
      </c>
      <c r="AK890" s="495">
        <v>0</v>
      </c>
      <c r="AL890" s="495">
        <v>0</v>
      </c>
      <c r="AO890" s="495">
        <v>0</v>
      </c>
      <c r="AP890" s="495">
        <v>0</v>
      </c>
      <c r="AQ890" s="495">
        <v>0</v>
      </c>
      <c r="AR890" s="495">
        <v>0</v>
      </c>
      <c r="AS890" s="495">
        <v>0</v>
      </c>
    </row>
    <row r="891" spans="1:45">
      <c r="A891" s="390">
        <v>99701</v>
      </c>
      <c r="B891" s="393">
        <v>99701</v>
      </c>
      <c r="C891" s="499" t="s">
        <v>1591</v>
      </c>
      <c r="D891" s="378">
        <v>2.8978690148612242E-3</v>
      </c>
      <c r="F891" s="495">
        <v>1673343.7771010697</v>
      </c>
      <c r="G891" s="495">
        <v>3679015.2097660694</v>
      </c>
      <c r="H891" s="495">
        <v>611846.18227856909</v>
      </c>
      <c r="I891" s="495">
        <v>-300261.7072</v>
      </c>
      <c r="J891" s="495">
        <v>0</v>
      </c>
      <c r="M891" s="495">
        <v>1331724.27024</v>
      </c>
      <c r="N891" s="495">
        <v>1354738.63616</v>
      </c>
      <c r="O891" s="495">
        <v>713445.34351999999</v>
      </c>
      <c r="P891" s="495">
        <v>0</v>
      </c>
      <c r="Q891" s="495">
        <v>0</v>
      </c>
      <c r="T891" s="495">
        <v>548091.34016000002</v>
      </c>
      <c r="U891" s="495">
        <v>2490746.62928</v>
      </c>
      <c r="V891" s="495">
        <v>-83075.399679999988</v>
      </c>
      <c r="W891" s="495">
        <v>-300261.7072</v>
      </c>
      <c r="X891" s="495">
        <v>0</v>
      </c>
      <c r="AA891" s="495">
        <v>0</v>
      </c>
      <c r="AB891" s="495">
        <v>0</v>
      </c>
      <c r="AC891" s="495">
        <v>0</v>
      </c>
      <c r="AD891" s="495">
        <v>0</v>
      </c>
      <c r="AE891" s="495">
        <v>0</v>
      </c>
      <c r="AH891" s="495">
        <v>4830.6817500002217</v>
      </c>
      <c r="AI891" s="495">
        <v>0</v>
      </c>
      <c r="AJ891" s="495">
        <v>0</v>
      </c>
      <c r="AK891" s="495">
        <v>0</v>
      </c>
      <c r="AL891" s="495">
        <v>0</v>
      </c>
      <c r="AO891" s="495">
        <v>-211302.51504893077</v>
      </c>
      <c r="AP891" s="495">
        <v>-166470.05567393065</v>
      </c>
      <c r="AQ891" s="495">
        <v>-18523.761561430827</v>
      </c>
      <c r="AR891" s="495">
        <v>0</v>
      </c>
      <c r="AS891" s="495">
        <v>0</v>
      </c>
    </row>
    <row r="892" spans="1:45">
      <c r="A892" s="390">
        <v>99705</v>
      </c>
      <c r="B892" s="393">
        <v>99705</v>
      </c>
      <c r="C892" s="499" t="s">
        <v>1592</v>
      </c>
      <c r="D892" s="378">
        <v>1.4065081082986441E-4</v>
      </c>
      <c r="F892" s="495">
        <v>94781.091847907534</v>
      </c>
      <c r="G892" s="495">
        <v>197058.49175290755</v>
      </c>
      <c r="H892" s="495">
        <v>38053.322810407524</v>
      </c>
      <c r="I892" s="495">
        <v>-14573.486899999998</v>
      </c>
      <c r="J892" s="495">
        <v>0</v>
      </c>
      <c r="M892" s="495">
        <v>64636.501229999994</v>
      </c>
      <c r="N892" s="495">
        <v>65753.525320000001</v>
      </c>
      <c r="O892" s="495">
        <v>34627.746789999997</v>
      </c>
      <c r="P892" s="495">
        <v>0</v>
      </c>
      <c r="Q892" s="495">
        <v>0</v>
      </c>
      <c r="T892" s="495">
        <v>26602.133319999997</v>
      </c>
      <c r="U892" s="495">
        <v>120890.75130999999</v>
      </c>
      <c r="V892" s="495">
        <v>-4032.1433599999996</v>
      </c>
      <c r="W892" s="495">
        <v>-14573.486899999998</v>
      </c>
      <c r="X892" s="495">
        <v>0</v>
      </c>
      <c r="AA892" s="495">
        <v>0</v>
      </c>
      <c r="AB892" s="495">
        <v>0</v>
      </c>
      <c r="AC892" s="495">
        <v>0</v>
      </c>
      <c r="AD892" s="495">
        <v>0</v>
      </c>
      <c r="AE892" s="495">
        <v>0</v>
      </c>
      <c r="AH892" s="495">
        <v>22432.686132907525</v>
      </c>
      <c r="AI892" s="495">
        <v>15153.388007907521</v>
      </c>
      <c r="AJ892" s="495">
        <v>7457.7193804075259</v>
      </c>
      <c r="AK892" s="495">
        <v>0</v>
      </c>
      <c r="AL892" s="495">
        <v>0</v>
      </c>
      <c r="AO892" s="495">
        <v>-18890.228834999973</v>
      </c>
      <c r="AP892" s="495">
        <v>-4739.1728849999508</v>
      </c>
      <c r="AQ892" s="495">
        <v>0</v>
      </c>
      <c r="AR892" s="495">
        <v>0</v>
      </c>
      <c r="AS892" s="495">
        <v>0</v>
      </c>
    </row>
    <row r="893" spans="1:45">
      <c r="A893" s="390">
        <v>99711</v>
      </c>
      <c r="B893" s="393">
        <v>99711</v>
      </c>
      <c r="C893" s="499" t="s">
        <v>1593</v>
      </c>
      <c r="D893" s="378">
        <v>4.0371973590136678E-4</v>
      </c>
      <c r="F893" s="495">
        <v>301741.17311700125</v>
      </c>
      <c r="G893" s="495">
        <v>582459.44822700124</v>
      </c>
      <c r="H893" s="495">
        <v>134885.60985200116</v>
      </c>
      <c r="I893" s="495">
        <v>-41831.285800000005</v>
      </c>
      <c r="J893" s="495">
        <v>0</v>
      </c>
      <c r="M893" s="495">
        <v>185530.61286000002</v>
      </c>
      <c r="N893" s="495">
        <v>188736.88424000001</v>
      </c>
      <c r="O893" s="495">
        <v>99394.412779999999</v>
      </c>
      <c r="P893" s="495">
        <v>0</v>
      </c>
      <c r="Q893" s="495">
        <v>0</v>
      </c>
      <c r="T893" s="495">
        <v>76357.940240000011</v>
      </c>
      <c r="U893" s="495">
        <v>347001.07141999999</v>
      </c>
      <c r="V893" s="495">
        <v>-11573.739520000001</v>
      </c>
      <c r="W893" s="495">
        <v>-41831.285800000005</v>
      </c>
      <c r="X893" s="495">
        <v>0</v>
      </c>
      <c r="AA893" s="495">
        <v>0</v>
      </c>
      <c r="AB893" s="495">
        <v>0</v>
      </c>
      <c r="AC893" s="495">
        <v>0</v>
      </c>
      <c r="AD893" s="495">
        <v>0</v>
      </c>
      <c r="AE893" s="495">
        <v>0</v>
      </c>
      <c r="AH893" s="495">
        <v>61471.475017001154</v>
      </c>
      <c r="AI893" s="495">
        <v>55780.57501700116</v>
      </c>
      <c r="AJ893" s="495">
        <v>47064.936592001162</v>
      </c>
      <c r="AK893" s="495">
        <v>0</v>
      </c>
      <c r="AL893" s="495">
        <v>0</v>
      </c>
      <c r="AO893" s="495">
        <v>-21618.854999999916</v>
      </c>
      <c r="AP893" s="495">
        <v>-9059.0824499998926</v>
      </c>
      <c r="AQ893" s="495">
        <v>0</v>
      </c>
      <c r="AR893" s="495">
        <v>0</v>
      </c>
      <c r="AS893" s="495">
        <v>0</v>
      </c>
    </row>
    <row r="894" spans="1:45">
      <c r="A894" s="390">
        <v>99717</v>
      </c>
      <c r="B894" s="393">
        <v>99717</v>
      </c>
      <c r="C894" s="499" t="s">
        <v>1594</v>
      </c>
      <c r="D894" s="378">
        <v>1.8072618802611693E-5</v>
      </c>
      <c r="F894" s="495">
        <v>11794.83059242918</v>
      </c>
      <c r="G894" s="495">
        <v>22899.156362429174</v>
      </c>
      <c r="H894" s="495">
        <v>3107.5521574291779</v>
      </c>
      <c r="I894" s="495">
        <v>-1872.5941000000003</v>
      </c>
      <c r="J894" s="495">
        <v>0</v>
      </c>
      <c r="M894" s="495">
        <v>8305.3514700000014</v>
      </c>
      <c r="N894" s="495">
        <v>8448.88148</v>
      </c>
      <c r="O894" s="495">
        <v>4449.4303100000006</v>
      </c>
      <c r="P894" s="495">
        <v>0</v>
      </c>
      <c r="Q894" s="495">
        <v>0</v>
      </c>
      <c r="T894" s="495">
        <v>3418.1934800000004</v>
      </c>
      <c r="U894" s="495">
        <v>15533.640590000001</v>
      </c>
      <c r="V894" s="495">
        <v>-518.10304000000008</v>
      </c>
      <c r="W894" s="495">
        <v>-1872.5941000000003</v>
      </c>
      <c r="X894" s="495">
        <v>0</v>
      </c>
      <c r="AA894" s="495">
        <v>0</v>
      </c>
      <c r="AB894" s="495">
        <v>0</v>
      </c>
      <c r="AC894" s="495">
        <v>0</v>
      </c>
      <c r="AD894" s="495">
        <v>0</v>
      </c>
      <c r="AE894" s="495">
        <v>0</v>
      </c>
      <c r="AH894" s="495">
        <v>1179.5608650000004</v>
      </c>
      <c r="AI894" s="495">
        <v>24.909515000000283</v>
      </c>
      <c r="AJ894" s="495">
        <v>0</v>
      </c>
      <c r="AK894" s="495">
        <v>0</v>
      </c>
      <c r="AL894" s="495">
        <v>0</v>
      </c>
      <c r="AO894" s="495">
        <v>-1108.2752225708227</v>
      </c>
      <c r="AP894" s="495">
        <v>-1108.2752225708227</v>
      </c>
      <c r="AQ894" s="495">
        <v>-823.77511257082301</v>
      </c>
      <c r="AR894" s="495">
        <v>0</v>
      </c>
      <c r="AS894" s="495">
        <v>0</v>
      </c>
    </row>
    <row r="895" spans="1:45">
      <c r="A895" s="390">
        <v>99721</v>
      </c>
      <c r="B895" s="393">
        <v>99721</v>
      </c>
      <c r="C895" s="499" t="s">
        <v>1595</v>
      </c>
      <c r="D895" s="378">
        <v>6.107504575497486E-4</v>
      </c>
      <c r="F895" s="495">
        <v>392142.71788591833</v>
      </c>
      <c r="G895" s="495">
        <v>793356.29274591838</v>
      </c>
      <c r="H895" s="495">
        <v>126245.08723091839</v>
      </c>
      <c r="I895" s="495">
        <v>-63282.695799999994</v>
      </c>
      <c r="J895" s="495">
        <v>0</v>
      </c>
      <c r="M895" s="495">
        <v>280672.15985999996</v>
      </c>
      <c r="N895" s="495">
        <v>285522.63224000001</v>
      </c>
      <c r="O895" s="495">
        <v>150364.64377999998</v>
      </c>
      <c r="P895" s="495">
        <v>0</v>
      </c>
      <c r="Q895" s="495">
        <v>0</v>
      </c>
      <c r="T895" s="495">
        <v>115514.88823999999</v>
      </c>
      <c r="U895" s="495">
        <v>524945.93041999999</v>
      </c>
      <c r="V895" s="495">
        <v>-17508.843519999999</v>
      </c>
      <c r="W895" s="495">
        <v>-63282.695799999994</v>
      </c>
      <c r="X895" s="495">
        <v>0</v>
      </c>
      <c r="AA895" s="495">
        <v>0</v>
      </c>
      <c r="AB895" s="495">
        <v>0</v>
      </c>
      <c r="AC895" s="495">
        <v>0</v>
      </c>
      <c r="AD895" s="495">
        <v>0</v>
      </c>
      <c r="AE895" s="495">
        <v>0</v>
      </c>
      <c r="AH895" s="495">
        <v>18947.474845000048</v>
      </c>
      <c r="AI895" s="495">
        <v>534.05264499998884</v>
      </c>
      <c r="AJ895" s="495">
        <v>0</v>
      </c>
      <c r="AK895" s="495">
        <v>0</v>
      </c>
      <c r="AL895" s="495">
        <v>0</v>
      </c>
      <c r="AO895" s="495">
        <v>-22991.805059081635</v>
      </c>
      <c r="AP895" s="495">
        <v>-17646.322559081636</v>
      </c>
      <c r="AQ895" s="495">
        <v>-6610.713029081593</v>
      </c>
      <c r="AR895" s="495">
        <v>0</v>
      </c>
      <c r="AS895" s="495">
        <v>0</v>
      </c>
    </row>
    <row r="896" spans="1:45">
      <c r="A896" s="390">
        <v>99727</v>
      </c>
      <c r="B896" s="393">
        <v>99727</v>
      </c>
      <c r="C896" s="499" t="s">
        <v>1596</v>
      </c>
      <c r="D896" s="378">
        <v>4.0115878804661066E-5</v>
      </c>
      <c r="F896" s="495">
        <v>40496.37720683228</v>
      </c>
      <c r="G896" s="495">
        <v>63063.338566832266</v>
      </c>
      <c r="H896" s="495">
        <v>3323.441644332268</v>
      </c>
      <c r="I896" s="495">
        <v>-4156.5992999999999</v>
      </c>
      <c r="J896" s="495">
        <v>0</v>
      </c>
      <c r="M896" s="495">
        <v>18435.39831</v>
      </c>
      <c r="N896" s="495">
        <v>18753.992040000001</v>
      </c>
      <c r="O896" s="495">
        <v>9876.4056299999993</v>
      </c>
      <c r="P896" s="495">
        <v>0</v>
      </c>
      <c r="Q896" s="495">
        <v>0</v>
      </c>
      <c r="T896" s="495">
        <v>7587.3680400000003</v>
      </c>
      <c r="U896" s="495">
        <v>34480.040070000003</v>
      </c>
      <c r="V896" s="495">
        <v>-1150.0339200000001</v>
      </c>
      <c r="W896" s="495">
        <v>-4156.5992999999999</v>
      </c>
      <c r="X896" s="495">
        <v>0</v>
      </c>
      <c r="AA896" s="495">
        <v>0</v>
      </c>
      <c r="AB896" s="495">
        <v>0</v>
      </c>
      <c r="AC896" s="495">
        <v>0</v>
      </c>
      <c r="AD896" s="495">
        <v>0</v>
      </c>
      <c r="AE896" s="495">
        <v>0</v>
      </c>
      <c r="AH896" s="495">
        <v>21182.745005000004</v>
      </c>
      <c r="AI896" s="495">
        <v>16538.440605</v>
      </c>
      <c r="AJ896" s="495">
        <v>0</v>
      </c>
      <c r="AK896" s="495">
        <v>0</v>
      </c>
      <c r="AL896" s="495">
        <v>0</v>
      </c>
      <c r="AO896" s="495">
        <v>-6709.1341481677318</v>
      </c>
      <c r="AP896" s="495">
        <v>-6709.1341481677318</v>
      </c>
      <c r="AQ896" s="495">
        <v>-5402.9300656677315</v>
      </c>
      <c r="AR896" s="495">
        <v>0</v>
      </c>
      <c r="AS896" s="495">
        <v>0</v>
      </c>
    </row>
    <row r="897" spans="1:45">
      <c r="A897" s="390">
        <v>99801</v>
      </c>
      <c r="B897" s="393">
        <v>99801</v>
      </c>
      <c r="C897" s="499" t="s">
        <v>1597</v>
      </c>
      <c r="D897" s="378">
        <v>4.662790246648521E-3</v>
      </c>
      <c r="F897" s="495">
        <v>3094443.098452175</v>
      </c>
      <c r="G897" s="495">
        <v>6360715.1036521746</v>
      </c>
      <c r="H897" s="495">
        <v>1396351.4349571746</v>
      </c>
      <c r="I897" s="495">
        <v>-483133.42299999995</v>
      </c>
      <c r="J897" s="495">
        <v>0</v>
      </c>
      <c r="M897" s="495">
        <v>2142799.0641000001</v>
      </c>
      <c r="N897" s="495">
        <v>2179830.1244000001</v>
      </c>
      <c r="O897" s="495">
        <v>1147962.8692999999</v>
      </c>
      <c r="P897" s="495">
        <v>0</v>
      </c>
      <c r="Q897" s="495">
        <v>0</v>
      </c>
      <c r="T897" s="495">
        <v>881901.48439999996</v>
      </c>
      <c r="U897" s="495">
        <v>4007713.6576999999</v>
      </c>
      <c r="V897" s="495">
        <v>-133671.73119999998</v>
      </c>
      <c r="W897" s="495">
        <v>-483133.42299999995</v>
      </c>
      <c r="X897" s="495">
        <v>0</v>
      </c>
      <c r="AA897" s="495">
        <v>0</v>
      </c>
      <c r="AB897" s="495">
        <v>0</v>
      </c>
      <c r="AC897" s="495">
        <v>0</v>
      </c>
      <c r="AD897" s="495">
        <v>0</v>
      </c>
      <c r="AE897" s="495">
        <v>0</v>
      </c>
      <c r="AH897" s="495">
        <v>450349.29714217491</v>
      </c>
      <c r="AI897" s="495">
        <v>450349.29714217491</v>
      </c>
      <c r="AJ897" s="495">
        <v>382060.29685717484</v>
      </c>
      <c r="AK897" s="495">
        <v>0</v>
      </c>
      <c r="AL897" s="495">
        <v>0</v>
      </c>
      <c r="AO897" s="495">
        <v>-380606.74719000014</v>
      </c>
      <c r="AP897" s="495">
        <v>-277177.97559000016</v>
      </c>
      <c r="AQ897" s="495">
        <v>0</v>
      </c>
      <c r="AR897" s="495">
        <v>0</v>
      </c>
      <c r="AS897" s="495">
        <v>0</v>
      </c>
    </row>
    <row r="898" spans="1:45">
      <c r="A898" s="390">
        <v>99802</v>
      </c>
      <c r="B898" s="393">
        <v>99802</v>
      </c>
      <c r="C898" s="499" t="s">
        <v>1598</v>
      </c>
      <c r="D898" s="378">
        <v>8.9312722630155348E-6</v>
      </c>
      <c r="F898" s="495">
        <v>9199.4615225383204</v>
      </c>
      <c r="G898" s="495">
        <v>18066.647327538321</v>
      </c>
      <c r="H898" s="495">
        <v>4797.6990450383209</v>
      </c>
      <c r="I898" s="495">
        <v>-925.41589999999997</v>
      </c>
      <c r="J898" s="495">
        <v>0</v>
      </c>
      <c r="M898" s="495">
        <v>4104.4155299999993</v>
      </c>
      <c r="N898" s="495">
        <v>4175.3465200000001</v>
      </c>
      <c r="O898" s="495">
        <v>2198.86069</v>
      </c>
      <c r="P898" s="495">
        <v>0</v>
      </c>
      <c r="Q898" s="495">
        <v>0</v>
      </c>
      <c r="T898" s="495">
        <v>1689.2345199999997</v>
      </c>
      <c r="U898" s="495">
        <v>7676.5584099999996</v>
      </c>
      <c r="V898" s="495">
        <v>-256.04095999999998</v>
      </c>
      <c r="W898" s="495">
        <v>-925.41589999999997</v>
      </c>
      <c r="X898" s="495">
        <v>0</v>
      </c>
      <c r="AA898" s="495">
        <v>0</v>
      </c>
      <c r="AB898" s="495">
        <v>0</v>
      </c>
      <c r="AC898" s="495">
        <v>0</v>
      </c>
      <c r="AD898" s="495">
        <v>0</v>
      </c>
      <c r="AE898" s="495">
        <v>0</v>
      </c>
      <c r="AH898" s="495">
        <v>7725.0092725383211</v>
      </c>
      <c r="AI898" s="495">
        <v>6214.7423975383208</v>
      </c>
      <c r="AJ898" s="495">
        <v>2854.8793150383208</v>
      </c>
      <c r="AK898" s="495">
        <v>0</v>
      </c>
      <c r="AL898" s="495">
        <v>0</v>
      </c>
      <c r="AO898" s="495">
        <v>-4319.1977999999999</v>
      </c>
      <c r="AP898" s="495">
        <v>0</v>
      </c>
      <c r="AQ898" s="495">
        <v>0</v>
      </c>
      <c r="AR898" s="495">
        <v>0</v>
      </c>
      <c r="AS898" s="495">
        <v>0</v>
      </c>
    </row>
    <row r="899" spans="1:45">
      <c r="A899" s="390">
        <v>99804</v>
      </c>
      <c r="B899" s="393">
        <v>99804</v>
      </c>
      <c r="C899" s="499" t="s">
        <v>1599</v>
      </c>
      <c r="D899" s="378">
        <v>9.07333944327938E-5</v>
      </c>
      <c r="F899" s="495">
        <v>66476.155831290773</v>
      </c>
      <c r="G899" s="495">
        <v>117730.72365129077</v>
      </c>
      <c r="H899" s="495">
        <v>18038.178156290785</v>
      </c>
      <c r="I899" s="495">
        <v>-9401.3135999999995</v>
      </c>
      <c r="J899" s="495">
        <v>0</v>
      </c>
      <c r="M899" s="495">
        <v>41696.81712</v>
      </c>
      <c r="N899" s="495">
        <v>42417.406080000001</v>
      </c>
      <c r="O899" s="495">
        <v>22338.25776</v>
      </c>
      <c r="P899" s="495">
        <v>0</v>
      </c>
      <c r="Q899" s="495">
        <v>0</v>
      </c>
      <c r="T899" s="495">
        <v>17160.95808</v>
      </c>
      <c r="U899" s="495">
        <v>77986.268639999995</v>
      </c>
      <c r="V899" s="495">
        <v>-2601.1238399999997</v>
      </c>
      <c r="W899" s="495">
        <v>-9401.3135999999995</v>
      </c>
      <c r="X899" s="495">
        <v>0</v>
      </c>
      <c r="AA899" s="495">
        <v>0</v>
      </c>
      <c r="AB899" s="495">
        <v>0</v>
      </c>
      <c r="AC899" s="495">
        <v>0</v>
      </c>
      <c r="AD899" s="495">
        <v>0</v>
      </c>
      <c r="AE899" s="495">
        <v>0</v>
      </c>
      <c r="AH899" s="495">
        <v>12776.258784999995</v>
      </c>
      <c r="AI899" s="495">
        <v>2484.9270849999994</v>
      </c>
      <c r="AJ899" s="495">
        <v>0</v>
      </c>
      <c r="AK899" s="495">
        <v>0</v>
      </c>
      <c r="AL899" s="495">
        <v>0</v>
      </c>
      <c r="AO899" s="495">
        <v>-5157.8781537092336</v>
      </c>
      <c r="AP899" s="495">
        <v>-5157.8781537092336</v>
      </c>
      <c r="AQ899" s="495">
        <v>-1698.9557637092166</v>
      </c>
      <c r="AR899" s="495">
        <v>0</v>
      </c>
      <c r="AS899" s="495">
        <v>0</v>
      </c>
    </row>
    <row r="900" spans="1:45">
      <c r="A900" s="390">
        <v>99811</v>
      </c>
      <c r="B900" s="393">
        <v>99811</v>
      </c>
      <c r="C900" s="499" t="s">
        <v>1600</v>
      </c>
      <c r="D900" s="378">
        <v>5.4045700834892338E-3</v>
      </c>
      <c r="F900" s="495">
        <v>2751559.095788233</v>
      </c>
      <c r="G900" s="495">
        <v>6607207.4526832327</v>
      </c>
      <c r="H900" s="495">
        <v>793927.54202073324</v>
      </c>
      <c r="I900" s="495">
        <v>-559992.6851</v>
      </c>
      <c r="J900" s="495">
        <v>0</v>
      </c>
      <c r="M900" s="495">
        <v>2483686.17117</v>
      </c>
      <c r="N900" s="495">
        <v>2526608.3162799999</v>
      </c>
      <c r="O900" s="495">
        <v>1330586.49841</v>
      </c>
      <c r="P900" s="495">
        <v>0</v>
      </c>
      <c r="Q900" s="495">
        <v>0</v>
      </c>
      <c r="T900" s="495">
        <v>1022198.7482799999</v>
      </c>
      <c r="U900" s="495">
        <v>4645280.6314899996</v>
      </c>
      <c r="V900" s="495">
        <v>-154936.89343999999</v>
      </c>
      <c r="W900" s="495">
        <v>-559992.6851</v>
      </c>
      <c r="X900" s="495">
        <v>0</v>
      </c>
      <c r="AA900" s="495">
        <v>0</v>
      </c>
      <c r="AB900" s="495">
        <v>0</v>
      </c>
      <c r="AC900" s="495">
        <v>0</v>
      </c>
      <c r="AD900" s="495">
        <v>0</v>
      </c>
      <c r="AE900" s="495">
        <v>0</v>
      </c>
      <c r="AH900" s="495">
        <v>0</v>
      </c>
      <c r="AI900" s="495">
        <v>0</v>
      </c>
      <c r="AJ900" s="495">
        <v>0</v>
      </c>
      <c r="AK900" s="495">
        <v>0</v>
      </c>
      <c r="AL900" s="495">
        <v>0</v>
      </c>
      <c r="AO900" s="495">
        <v>-754325.82366176671</v>
      </c>
      <c r="AP900" s="495">
        <v>-564681.49508676678</v>
      </c>
      <c r="AQ900" s="495">
        <v>-381722.06294926675</v>
      </c>
      <c r="AR900" s="495">
        <v>0</v>
      </c>
      <c r="AS900" s="495">
        <v>0</v>
      </c>
    </row>
    <row r="901" spans="1:45">
      <c r="A901" s="390">
        <v>99812</v>
      </c>
      <c r="B901" s="393">
        <v>99812</v>
      </c>
      <c r="C901" s="499" t="s">
        <v>1601</v>
      </c>
      <c r="D901" s="378">
        <v>1.8742749810602277E-5</v>
      </c>
      <c r="F901" s="495">
        <v>29826.59546493485</v>
      </c>
      <c r="G901" s="495">
        <v>37728.423404934845</v>
      </c>
      <c r="H901" s="495">
        <v>12330.098099934847</v>
      </c>
      <c r="I901" s="495">
        <v>-1942.0262</v>
      </c>
      <c r="J901" s="495">
        <v>0</v>
      </c>
      <c r="M901" s="495">
        <v>8613.2975399999996</v>
      </c>
      <c r="N901" s="495">
        <v>8762.1493599999994</v>
      </c>
      <c r="O901" s="495">
        <v>4614.4064200000003</v>
      </c>
      <c r="P901" s="495">
        <v>0</v>
      </c>
      <c r="Q901" s="495">
        <v>0</v>
      </c>
      <c r="T901" s="495">
        <v>3544.93336</v>
      </c>
      <c r="U901" s="495">
        <v>16109.597379999999</v>
      </c>
      <c r="V901" s="495">
        <v>-537.31327999999996</v>
      </c>
      <c r="W901" s="495">
        <v>-1942.0262</v>
      </c>
      <c r="X901" s="495">
        <v>0</v>
      </c>
      <c r="AA901" s="495">
        <v>0</v>
      </c>
      <c r="AB901" s="495">
        <v>0</v>
      </c>
      <c r="AC901" s="495">
        <v>0</v>
      </c>
      <c r="AD901" s="495">
        <v>0</v>
      </c>
      <c r="AE901" s="495">
        <v>0</v>
      </c>
      <c r="AH901" s="495">
        <v>19099.370024934848</v>
      </c>
      <c r="AI901" s="495">
        <v>13889.861274934847</v>
      </c>
      <c r="AJ901" s="495">
        <v>8253.0049599348458</v>
      </c>
      <c r="AK901" s="495">
        <v>0</v>
      </c>
      <c r="AL901" s="495">
        <v>0</v>
      </c>
      <c r="AO901" s="495">
        <v>-1431.0054599999958</v>
      </c>
      <c r="AP901" s="495">
        <v>-1033.1846099999975</v>
      </c>
      <c r="AQ901" s="495">
        <v>0</v>
      </c>
      <c r="AR901" s="495">
        <v>0</v>
      </c>
      <c r="AS901" s="495">
        <v>0</v>
      </c>
    </row>
    <row r="902" spans="1:45">
      <c r="A902" s="390">
        <v>99818</v>
      </c>
      <c r="B902" s="393">
        <v>99818</v>
      </c>
      <c r="C902" s="499" t="s">
        <v>1602</v>
      </c>
      <c r="D902" s="378">
        <v>2.4923621640335225E-5</v>
      </c>
      <c r="F902" s="495">
        <v>9587.8010566662924</v>
      </c>
      <c r="G902" s="495">
        <v>18709.397776666294</v>
      </c>
      <c r="H902" s="495">
        <v>-9276.4425808337019</v>
      </c>
      <c r="I902" s="495">
        <v>-2582.4595999999997</v>
      </c>
      <c r="J902" s="495">
        <v>0</v>
      </c>
      <c r="M902" s="495">
        <v>11453.75532</v>
      </c>
      <c r="N902" s="495">
        <v>11651.694879999999</v>
      </c>
      <c r="O902" s="495">
        <v>6136.1263599999993</v>
      </c>
      <c r="P902" s="495">
        <v>0</v>
      </c>
      <c r="Q902" s="495">
        <v>0</v>
      </c>
      <c r="T902" s="495">
        <v>4713.9668799999999</v>
      </c>
      <c r="U902" s="495">
        <v>21422.154039999998</v>
      </c>
      <c r="V902" s="495">
        <v>-714.50623999999993</v>
      </c>
      <c r="W902" s="495">
        <v>-2582.4595999999997</v>
      </c>
      <c r="X902" s="495">
        <v>0</v>
      </c>
      <c r="AA902" s="495">
        <v>0</v>
      </c>
      <c r="AB902" s="495">
        <v>0</v>
      </c>
      <c r="AC902" s="495">
        <v>0</v>
      </c>
      <c r="AD902" s="495">
        <v>0</v>
      </c>
      <c r="AE902" s="495">
        <v>0</v>
      </c>
      <c r="AH902" s="495">
        <v>10493.772734999997</v>
      </c>
      <c r="AI902" s="495">
        <v>1969.0402350000008</v>
      </c>
      <c r="AJ902" s="495">
        <v>0</v>
      </c>
      <c r="AK902" s="495">
        <v>0</v>
      </c>
      <c r="AL902" s="495">
        <v>0</v>
      </c>
      <c r="AO902" s="495">
        <v>-17073.693878333703</v>
      </c>
      <c r="AP902" s="495">
        <v>-16333.491378333702</v>
      </c>
      <c r="AQ902" s="495">
        <v>-14698.062700833701</v>
      </c>
      <c r="AR902" s="495">
        <v>0</v>
      </c>
      <c r="AS902" s="495">
        <v>0</v>
      </c>
    </row>
    <row r="903" spans="1:45">
      <c r="A903" s="390">
        <v>99821</v>
      </c>
      <c r="B903" s="393">
        <v>99821</v>
      </c>
      <c r="C903" s="499" t="s">
        <v>1603</v>
      </c>
      <c r="D903" s="378">
        <v>8.5902724574219206E-5</v>
      </c>
      <c r="F903" s="495">
        <v>39672.456542182721</v>
      </c>
      <c r="G903" s="495">
        <v>105601.11480718272</v>
      </c>
      <c r="H903" s="495">
        <v>21185.312367182727</v>
      </c>
      <c r="I903" s="495">
        <v>-8900.7807000000012</v>
      </c>
      <c r="J903" s="495">
        <v>0</v>
      </c>
      <c r="M903" s="495">
        <v>39476.847690000002</v>
      </c>
      <c r="N903" s="495">
        <v>40159.071960000001</v>
      </c>
      <c r="O903" s="495">
        <v>21148.952370000003</v>
      </c>
      <c r="P903" s="495">
        <v>0</v>
      </c>
      <c r="Q903" s="495">
        <v>0</v>
      </c>
      <c r="T903" s="495">
        <v>16247.295960000001</v>
      </c>
      <c r="U903" s="495">
        <v>73834.22193</v>
      </c>
      <c r="V903" s="495">
        <v>-2462.6380800000002</v>
      </c>
      <c r="W903" s="495">
        <v>-8900.7807000000012</v>
      </c>
      <c r="X903" s="495">
        <v>0</v>
      </c>
      <c r="AA903" s="495">
        <v>0</v>
      </c>
      <c r="AB903" s="495">
        <v>0</v>
      </c>
      <c r="AC903" s="495">
        <v>0</v>
      </c>
      <c r="AD903" s="495">
        <v>0</v>
      </c>
      <c r="AE903" s="495">
        <v>0</v>
      </c>
      <c r="AH903" s="495">
        <v>2498.998077182725</v>
      </c>
      <c r="AI903" s="495">
        <v>2498.998077182725</v>
      </c>
      <c r="AJ903" s="495">
        <v>2498.998077182725</v>
      </c>
      <c r="AK903" s="495">
        <v>0</v>
      </c>
      <c r="AL903" s="495">
        <v>0</v>
      </c>
      <c r="AO903" s="495">
        <v>-18550.685185000009</v>
      </c>
      <c r="AP903" s="495">
        <v>-10891.177160000007</v>
      </c>
      <c r="AQ903" s="495">
        <v>0</v>
      </c>
      <c r="AR903" s="495">
        <v>0</v>
      </c>
      <c r="AS903" s="495">
        <v>0</v>
      </c>
    </row>
    <row r="904" spans="1:45">
      <c r="A904" s="390">
        <v>99831</v>
      </c>
      <c r="B904" s="393">
        <v>99831</v>
      </c>
      <c r="C904" s="499" t="s">
        <v>1604</v>
      </c>
      <c r="D904" s="378">
        <v>2.9264266544428323E-5</v>
      </c>
      <c r="F904" s="495">
        <v>21082.094447785134</v>
      </c>
      <c r="G904" s="495">
        <v>35953.735182785138</v>
      </c>
      <c r="H904" s="495">
        <v>3115.4397377851392</v>
      </c>
      <c r="I904" s="495">
        <v>-3032.2138</v>
      </c>
      <c r="J904" s="495">
        <v>0</v>
      </c>
      <c r="M904" s="495">
        <v>13448.510460000001</v>
      </c>
      <c r="N904" s="495">
        <v>13680.922640000001</v>
      </c>
      <c r="O904" s="495">
        <v>7204.7775799999999</v>
      </c>
      <c r="P904" s="495">
        <v>0</v>
      </c>
      <c r="Q904" s="495">
        <v>0</v>
      </c>
      <c r="T904" s="495">
        <v>5534.9386400000003</v>
      </c>
      <c r="U904" s="495">
        <v>25152.978620000002</v>
      </c>
      <c r="V904" s="495">
        <v>-838.94272000000001</v>
      </c>
      <c r="W904" s="495">
        <v>-3032.2138</v>
      </c>
      <c r="X904" s="495">
        <v>0</v>
      </c>
      <c r="AA904" s="495">
        <v>0</v>
      </c>
      <c r="AB904" s="495">
        <v>0</v>
      </c>
      <c r="AC904" s="495">
        <v>0</v>
      </c>
      <c r="AD904" s="495">
        <v>0</v>
      </c>
      <c r="AE904" s="495">
        <v>0</v>
      </c>
      <c r="AH904" s="495">
        <v>6786.5147099999949</v>
      </c>
      <c r="AI904" s="495">
        <v>1807.7032850000014</v>
      </c>
      <c r="AJ904" s="495">
        <v>0</v>
      </c>
      <c r="AK904" s="495">
        <v>0</v>
      </c>
      <c r="AL904" s="495">
        <v>0</v>
      </c>
      <c r="AO904" s="495">
        <v>-4687.8693622148649</v>
      </c>
      <c r="AP904" s="495">
        <v>-4687.8693622148649</v>
      </c>
      <c r="AQ904" s="495">
        <v>-3250.3951222148607</v>
      </c>
      <c r="AR904" s="495">
        <v>0</v>
      </c>
      <c r="AS904" s="495">
        <v>0</v>
      </c>
    </row>
    <row r="905" spans="1:45">
      <c r="A905" s="390">
        <v>99841</v>
      </c>
      <c r="B905" s="393">
        <v>99841</v>
      </c>
      <c r="C905" s="499" t="s">
        <v>1605</v>
      </c>
      <c r="D905" s="378">
        <v>5.5198203031877974E-5</v>
      </c>
      <c r="F905" s="495">
        <v>35939.318560765962</v>
      </c>
      <c r="G905" s="495">
        <v>73939.029700765954</v>
      </c>
      <c r="H905" s="495">
        <v>17643.863373265955</v>
      </c>
      <c r="I905" s="495">
        <v>-5719.3396999999995</v>
      </c>
      <c r="J905" s="495">
        <v>0</v>
      </c>
      <c r="M905" s="495">
        <v>25366.48299</v>
      </c>
      <c r="N905" s="495">
        <v>25804.85716</v>
      </c>
      <c r="O905" s="495">
        <v>13589.599269999999</v>
      </c>
      <c r="P905" s="495">
        <v>0</v>
      </c>
      <c r="Q905" s="495">
        <v>0</v>
      </c>
      <c r="T905" s="495">
        <v>10439.961159999999</v>
      </c>
      <c r="U905" s="495">
        <v>47443.366029999997</v>
      </c>
      <c r="V905" s="495">
        <v>-1582.40768</v>
      </c>
      <c r="W905" s="495">
        <v>-5719.3396999999995</v>
      </c>
      <c r="X905" s="495">
        <v>0</v>
      </c>
      <c r="AA905" s="495">
        <v>0</v>
      </c>
      <c r="AB905" s="495">
        <v>0</v>
      </c>
      <c r="AC905" s="495">
        <v>0</v>
      </c>
      <c r="AD905" s="495">
        <v>0</v>
      </c>
      <c r="AE905" s="495">
        <v>0</v>
      </c>
      <c r="AH905" s="495">
        <v>9790.3683657659531</v>
      </c>
      <c r="AI905" s="495">
        <v>7346.6117157659546</v>
      </c>
      <c r="AJ905" s="495">
        <v>5636.6717832659551</v>
      </c>
      <c r="AK905" s="495">
        <v>0</v>
      </c>
      <c r="AL905" s="495">
        <v>0</v>
      </c>
      <c r="AO905" s="495">
        <v>-9657.4939549999908</v>
      </c>
      <c r="AP905" s="495">
        <v>-6655.8052049999915</v>
      </c>
      <c r="AQ905" s="495">
        <v>0</v>
      </c>
      <c r="AR905" s="495">
        <v>0</v>
      </c>
      <c r="AS905" s="495">
        <v>0</v>
      </c>
    </row>
    <row r="906" spans="1:45">
      <c r="A906" s="390">
        <v>99851</v>
      </c>
      <c r="B906" s="393">
        <v>99851</v>
      </c>
      <c r="C906" s="499" t="s">
        <v>1606</v>
      </c>
      <c r="D906" s="378">
        <v>9.8315058154810811E-6</v>
      </c>
      <c r="F906" s="495">
        <v>5504.6737076205764</v>
      </c>
      <c r="G906" s="495">
        <v>7429.3072376205746</v>
      </c>
      <c r="H906" s="495">
        <v>-928.82841487942687</v>
      </c>
      <c r="I906" s="495">
        <v>-1018.6829000000001</v>
      </c>
      <c r="J906" s="495">
        <v>0</v>
      </c>
      <c r="M906" s="495">
        <v>4518.0744300000006</v>
      </c>
      <c r="N906" s="495">
        <v>4596.1541200000001</v>
      </c>
      <c r="O906" s="495">
        <v>2420.4703900000004</v>
      </c>
      <c r="P906" s="495">
        <v>0</v>
      </c>
      <c r="Q906" s="495">
        <v>0</v>
      </c>
      <c r="T906" s="495">
        <v>1859.4821200000001</v>
      </c>
      <c r="U906" s="495">
        <v>8450.23171</v>
      </c>
      <c r="V906" s="495">
        <v>-281.84576000000004</v>
      </c>
      <c r="W906" s="495">
        <v>-1018.6829000000001</v>
      </c>
      <c r="X906" s="495">
        <v>0</v>
      </c>
      <c r="AA906" s="495">
        <v>0</v>
      </c>
      <c r="AB906" s="495">
        <v>0</v>
      </c>
      <c r="AC906" s="495">
        <v>0</v>
      </c>
      <c r="AD906" s="495">
        <v>0</v>
      </c>
      <c r="AE906" s="495">
        <v>0</v>
      </c>
      <c r="AH906" s="495">
        <v>5252.9913075000004</v>
      </c>
      <c r="AI906" s="495">
        <v>138.1518074999999</v>
      </c>
      <c r="AJ906" s="495">
        <v>0</v>
      </c>
      <c r="AK906" s="495">
        <v>0</v>
      </c>
      <c r="AL906" s="495">
        <v>0</v>
      </c>
      <c r="AO906" s="495">
        <v>-6125.8741498794252</v>
      </c>
      <c r="AP906" s="495">
        <v>-5755.230399879425</v>
      </c>
      <c r="AQ906" s="495">
        <v>-3067.4530448794271</v>
      </c>
      <c r="AR906" s="495">
        <v>0</v>
      </c>
      <c r="AS906" s="495">
        <v>0</v>
      </c>
    </row>
    <row r="907" spans="1:45">
      <c r="A907" s="390">
        <v>99901</v>
      </c>
      <c r="B907" s="393">
        <v>99901</v>
      </c>
      <c r="C907" s="499" t="s">
        <v>1607</v>
      </c>
      <c r="D907" s="378">
        <v>1.6523945598072832E-3</v>
      </c>
      <c r="F907" s="495">
        <v>1202241.8793957098</v>
      </c>
      <c r="G907" s="495">
        <v>2290219.5303207096</v>
      </c>
      <c r="H907" s="495">
        <v>446803.44468320976</v>
      </c>
      <c r="I907" s="495">
        <v>-171212.3045</v>
      </c>
      <c r="J907" s="495">
        <v>0</v>
      </c>
      <c r="M907" s="495">
        <v>759362.83515000006</v>
      </c>
      <c r="N907" s="495">
        <v>772485.86259999999</v>
      </c>
      <c r="O907" s="495">
        <v>406813.85094999999</v>
      </c>
      <c r="P907" s="495">
        <v>0</v>
      </c>
      <c r="Q907" s="495">
        <v>0</v>
      </c>
      <c r="T907" s="495">
        <v>312527.3026</v>
      </c>
      <c r="U907" s="495">
        <v>1420249.2695500001</v>
      </c>
      <c r="V907" s="495">
        <v>-47370.444799999997</v>
      </c>
      <c r="W907" s="495">
        <v>-171212.3045</v>
      </c>
      <c r="X907" s="495">
        <v>0</v>
      </c>
      <c r="AA907" s="495">
        <v>0</v>
      </c>
      <c r="AB907" s="495">
        <v>0</v>
      </c>
      <c r="AC907" s="495">
        <v>0</v>
      </c>
      <c r="AD907" s="495">
        <v>0</v>
      </c>
      <c r="AE907" s="495">
        <v>0</v>
      </c>
      <c r="AH907" s="495">
        <v>142875.08813320979</v>
      </c>
      <c r="AI907" s="495">
        <v>110007.74465820979</v>
      </c>
      <c r="AJ907" s="495">
        <v>87360.038533209736</v>
      </c>
      <c r="AK907" s="495">
        <v>0</v>
      </c>
      <c r="AL907" s="495">
        <v>0</v>
      </c>
      <c r="AO907" s="495">
        <v>-12523.346487500006</v>
      </c>
      <c r="AP907" s="495">
        <v>-12523.346487500006</v>
      </c>
      <c r="AQ907" s="495">
        <v>0</v>
      </c>
      <c r="AR907" s="495">
        <v>0</v>
      </c>
      <c r="AS907" s="495">
        <v>0</v>
      </c>
    </row>
    <row r="908" spans="1:45">
      <c r="A908" s="390">
        <v>99911</v>
      </c>
      <c r="B908" s="393">
        <v>99911</v>
      </c>
      <c r="C908" s="499" t="s">
        <v>1608</v>
      </c>
      <c r="D908" s="378">
        <v>2.2774365958962722E-4</v>
      </c>
      <c r="F908" s="495">
        <v>144502.17068342119</v>
      </c>
      <c r="G908" s="495">
        <v>299553.57541842124</v>
      </c>
      <c r="H908" s="495">
        <v>47823.874025921228</v>
      </c>
      <c r="I908" s="495">
        <v>-23597.587299999999</v>
      </c>
      <c r="J908" s="495">
        <v>0</v>
      </c>
      <c r="M908" s="495">
        <v>104660.29790999999</v>
      </c>
      <c r="N908" s="495">
        <v>106468.99844</v>
      </c>
      <c r="O908" s="495">
        <v>56069.71643</v>
      </c>
      <c r="P908" s="495">
        <v>0</v>
      </c>
      <c r="Q908" s="495">
        <v>0</v>
      </c>
      <c r="T908" s="495">
        <v>43074.534440000003</v>
      </c>
      <c r="U908" s="495">
        <v>195747.94127000001</v>
      </c>
      <c r="V908" s="495">
        <v>-6528.9011200000004</v>
      </c>
      <c r="W908" s="495">
        <v>-23597.587299999999</v>
      </c>
      <c r="X908" s="495">
        <v>0</v>
      </c>
      <c r="AA908" s="495">
        <v>0</v>
      </c>
      <c r="AB908" s="495">
        <v>0</v>
      </c>
      <c r="AC908" s="495">
        <v>0</v>
      </c>
      <c r="AD908" s="495">
        <v>0</v>
      </c>
      <c r="AE908" s="495">
        <v>0</v>
      </c>
      <c r="AH908" s="495">
        <v>5358.8700525000022</v>
      </c>
      <c r="AI908" s="495">
        <v>1097.4856775000007</v>
      </c>
      <c r="AJ908" s="495">
        <v>0</v>
      </c>
      <c r="AK908" s="495">
        <v>0</v>
      </c>
      <c r="AL908" s="495">
        <v>0</v>
      </c>
      <c r="AO908" s="495">
        <v>-8591.53171907879</v>
      </c>
      <c r="AP908" s="495">
        <v>-3760.8499690788012</v>
      </c>
      <c r="AQ908" s="495">
        <v>-1716.94128407877</v>
      </c>
      <c r="AR908" s="495">
        <v>0</v>
      </c>
      <c r="AS908" s="495">
        <v>0</v>
      </c>
    </row>
    <row r="909" spans="1:45">
      <c r="A909" s="390">
        <v>99921</v>
      </c>
      <c r="B909" s="393">
        <v>99921</v>
      </c>
      <c r="C909" s="499" t="s">
        <v>1609</v>
      </c>
      <c r="D909" s="378">
        <v>1.185875225599207E-4</v>
      </c>
      <c r="F909" s="495">
        <v>53009.040705780419</v>
      </c>
      <c r="G909" s="495">
        <v>135787.5903507804</v>
      </c>
      <c r="H909" s="495">
        <v>10028.692293280437</v>
      </c>
      <c r="I909" s="495">
        <v>-12287.409099999999</v>
      </c>
      <c r="J909" s="495">
        <v>0</v>
      </c>
      <c r="M909" s="495">
        <v>54497.26197</v>
      </c>
      <c r="N909" s="495">
        <v>55439.063479999997</v>
      </c>
      <c r="O909" s="495">
        <v>29195.846809999999</v>
      </c>
      <c r="P909" s="495">
        <v>0</v>
      </c>
      <c r="Q909" s="495">
        <v>0</v>
      </c>
      <c r="T909" s="495">
        <v>22429.175479999998</v>
      </c>
      <c r="U909" s="495">
        <v>101927.15909</v>
      </c>
      <c r="V909" s="495">
        <v>-3399.63904</v>
      </c>
      <c r="W909" s="495">
        <v>-12287.409099999999</v>
      </c>
      <c r="X909" s="495">
        <v>0</v>
      </c>
      <c r="AA909" s="495">
        <v>0</v>
      </c>
      <c r="AB909" s="495">
        <v>0</v>
      </c>
      <c r="AC909" s="495">
        <v>0</v>
      </c>
      <c r="AD909" s="495">
        <v>0</v>
      </c>
      <c r="AE909" s="495">
        <v>0</v>
      </c>
      <c r="AH909" s="495">
        <v>0</v>
      </c>
      <c r="AI909" s="495">
        <v>0</v>
      </c>
      <c r="AJ909" s="495">
        <v>0</v>
      </c>
      <c r="AK909" s="495">
        <v>0</v>
      </c>
      <c r="AL909" s="495">
        <v>0</v>
      </c>
      <c r="AO909" s="495">
        <v>-23917.396744219579</v>
      </c>
      <c r="AP909" s="495">
        <v>-21578.632219219566</v>
      </c>
      <c r="AQ909" s="495">
        <v>-15767.515476719564</v>
      </c>
      <c r="AR909" s="495">
        <v>0</v>
      </c>
      <c r="AS909" s="495">
        <v>0</v>
      </c>
    </row>
    <row r="910" spans="1:45">
      <c r="A910" s="390">
        <v>99931</v>
      </c>
      <c r="B910" s="500">
        <v>99931</v>
      </c>
      <c r="C910" s="501" t="s">
        <v>1610</v>
      </c>
      <c r="D910" s="378">
        <v>1.5942352886353823E-5</v>
      </c>
      <c r="F910" s="495">
        <v>3128.3037460678443</v>
      </c>
      <c r="G910" s="495">
        <v>15130.033061067845</v>
      </c>
      <c r="H910" s="495">
        <v>2995.4683285678425</v>
      </c>
      <c r="I910" s="495">
        <v>-1651.8622</v>
      </c>
      <c r="J910" s="495">
        <v>0</v>
      </c>
      <c r="M910" s="495">
        <v>7326.3587399999997</v>
      </c>
      <c r="N910" s="495">
        <v>7452.9701599999999</v>
      </c>
      <c r="O910" s="495">
        <v>3924.9540200000001</v>
      </c>
      <c r="P910" s="495">
        <v>0</v>
      </c>
      <c r="Q910" s="495">
        <v>0</v>
      </c>
      <c r="T910" s="495">
        <v>3015.2741599999999</v>
      </c>
      <c r="U910" s="495">
        <v>13702.61378</v>
      </c>
      <c r="V910" s="495">
        <v>-457.03167999999999</v>
      </c>
      <c r="W910" s="495">
        <v>-1651.8622</v>
      </c>
      <c r="X910" s="495">
        <v>0</v>
      </c>
      <c r="AA910" s="495">
        <v>0</v>
      </c>
      <c r="AB910" s="495">
        <v>0</v>
      </c>
      <c r="AC910" s="495">
        <v>0</v>
      </c>
      <c r="AD910" s="495">
        <v>0</v>
      </c>
      <c r="AE910" s="495">
        <v>0</v>
      </c>
      <c r="AH910" s="495">
        <v>863.12929749999967</v>
      </c>
      <c r="AI910" s="495">
        <v>863.12929749999967</v>
      </c>
      <c r="AJ910" s="495">
        <v>0</v>
      </c>
      <c r="AK910" s="495">
        <v>0</v>
      </c>
      <c r="AL910" s="495">
        <v>0</v>
      </c>
      <c r="AO910" s="495">
        <v>-8076.4584514321559</v>
      </c>
      <c r="AP910" s="495">
        <v>-6888.6801764321553</v>
      </c>
      <c r="AQ910" s="495">
        <v>-472.45401143215759</v>
      </c>
      <c r="AR910" s="495">
        <v>0</v>
      </c>
      <c r="AS910" s="495">
        <v>0</v>
      </c>
    </row>
    <row r="911" spans="1:45">
      <c r="A911" s="390">
        <v>99941</v>
      </c>
      <c r="B911" s="393">
        <v>99941</v>
      </c>
      <c r="C911" s="499" t="s">
        <v>1611</v>
      </c>
      <c r="D911" s="378">
        <v>5.1527689135775466E-5</v>
      </c>
      <c r="F911" s="495">
        <v>32214.0772796528</v>
      </c>
      <c r="G911" s="495">
        <v>66103.544149652807</v>
      </c>
      <c r="H911" s="495">
        <v>8941.1742571527939</v>
      </c>
      <c r="I911" s="495">
        <v>-5339.0176000000001</v>
      </c>
      <c r="J911" s="495">
        <v>0</v>
      </c>
      <c r="M911" s="495">
        <v>23679.673920000001</v>
      </c>
      <c r="N911" s="495">
        <v>24088.897280000001</v>
      </c>
      <c r="O911" s="495">
        <v>12685.92416</v>
      </c>
      <c r="P911" s="495">
        <v>0</v>
      </c>
      <c r="Q911" s="495">
        <v>0</v>
      </c>
      <c r="T911" s="495">
        <v>9745.7292799999996</v>
      </c>
      <c r="U911" s="495">
        <v>44288.498240000001</v>
      </c>
      <c r="V911" s="495">
        <v>-1477.1814400000001</v>
      </c>
      <c r="W911" s="495">
        <v>-5339.0176000000001</v>
      </c>
      <c r="X911" s="495">
        <v>0</v>
      </c>
      <c r="AA911" s="495">
        <v>0</v>
      </c>
      <c r="AB911" s="495">
        <v>0</v>
      </c>
      <c r="AC911" s="495">
        <v>0</v>
      </c>
      <c r="AD911" s="495">
        <v>0</v>
      </c>
      <c r="AE911" s="495">
        <v>0</v>
      </c>
      <c r="AH911" s="495">
        <v>1527.9137774999945</v>
      </c>
      <c r="AI911" s="495">
        <v>465.38832749999892</v>
      </c>
      <c r="AJ911" s="495">
        <v>0</v>
      </c>
      <c r="AK911" s="495">
        <v>0</v>
      </c>
      <c r="AL911" s="495">
        <v>0</v>
      </c>
      <c r="AO911" s="495">
        <v>-2739.2396978471979</v>
      </c>
      <c r="AP911" s="495">
        <v>-2739.2396978471979</v>
      </c>
      <c r="AQ911" s="495">
        <v>-2267.5684628472072</v>
      </c>
      <c r="AR911" s="495">
        <v>0</v>
      </c>
      <c r="AS911" s="495">
        <v>0</v>
      </c>
    </row>
    <row r="912" spans="1:45">
      <c r="A912" s="390">
        <v>99991</v>
      </c>
      <c r="B912" s="393">
        <v>99991</v>
      </c>
      <c r="C912" s="499" t="s">
        <v>1612</v>
      </c>
      <c r="D912" s="378">
        <v>6.0450950091633265E-4</v>
      </c>
      <c r="F912" s="495">
        <v>557364.92596101493</v>
      </c>
      <c r="G912" s="495">
        <v>974218.39928101492</v>
      </c>
      <c r="H912" s="495">
        <v>162520.33240101495</v>
      </c>
      <c r="I912" s="495">
        <v>-62636.044600000001</v>
      </c>
      <c r="J912" s="495">
        <v>0</v>
      </c>
      <c r="M912" s="495">
        <v>277804.12482000003</v>
      </c>
      <c r="N912" s="495">
        <v>282605.03288000001</v>
      </c>
      <c r="O912" s="495">
        <v>148828.14986</v>
      </c>
      <c r="P912" s="495">
        <v>0</v>
      </c>
      <c r="Q912" s="495">
        <v>0</v>
      </c>
      <c r="T912" s="495">
        <v>114334.50488000001</v>
      </c>
      <c r="U912" s="495">
        <v>519581.79554000002</v>
      </c>
      <c r="V912" s="495">
        <v>-17329.930240000002</v>
      </c>
      <c r="W912" s="495">
        <v>-62636.044600000001</v>
      </c>
      <c r="X912" s="495">
        <v>0</v>
      </c>
      <c r="AA912" s="495">
        <v>0</v>
      </c>
      <c r="AB912" s="495">
        <v>0</v>
      </c>
      <c r="AC912" s="495">
        <v>0</v>
      </c>
      <c r="AD912" s="495">
        <v>0</v>
      </c>
      <c r="AE912" s="495">
        <v>0</v>
      </c>
      <c r="AH912" s="495">
        <v>191198.31461101494</v>
      </c>
      <c r="AI912" s="495">
        <v>172031.57086101494</v>
      </c>
      <c r="AJ912" s="495">
        <v>31022.112781014963</v>
      </c>
      <c r="AK912" s="495">
        <v>0</v>
      </c>
      <c r="AL912" s="495">
        <v>0</v>
      </c>
      <c r="AO912" s="495">
        <v>-25972.018349999998</v>
      </c>
      <c r="AP912" s="495">
        <v>0</v>
      </c>
      <c r="AQ912" s="495">
        <v>0</v>
      </c>
      <c r="AR912" s="495">
        <v>0</v>
      </c>
      <c r="AS912" s="495">
        <v>0</v>
      </c>
    </row>
    <row r="913" spans="1:45">
      <c r="A913" s="390">
        <v>99999</v>
      </c>
      <c r="B913" s="500">
        <v>99999</v>
      </c>
      <c r="C913" s="501" t="s">
        <v>1613</v>
      </c>
      <c r="D913" s="378">
        <v>1.161892042404666E-3</v>
      </c>
      <c r="F913" s="495">
        <v>1018589.2774916681</v>
      </c>
      <c r="G913" s="495">
        <v>1746495.6307116682</v>
      </c>
      <c r="H913" s="495">
        <v>346163.83373416821</v>
      </c>
      <c r="I913" s="495">
        <v>-120389.0436</v>
      </c>
      <c r="J913" s="495">
        <v>0</v>
      </c>
      <c r="M913" s="495">
        <v>533950.90812000004</v>
      </c>
      <c r="N913" s="495">
        <v>543178.45007999998</v>
      </c>
      <c r="O913" s="495">
        <v>286053.80076000001</v>
      </c>
      <c r="P913" s="495">
        <v>0</v>
      </c>
      <c r="Q913" s="495">
        <v>0</v>
      </c>
      <c r="T913" s="495">
        <v>219755.60207999998</v>
      </c>
      <c r="U913" s="495">
        <v>998657.49563999998</v>
      </c>
      <c r="V913" s="495">
        <v>-33308.83584</v>
      </c>
      <c r="W913" s="495">
        <v>-120389.0436</v>
      </c>
      <c r="X913" s="495">
        <v>0</v>
      </c>
      <c r="AA913" s="495">
        <v>0</v>
      </c>
      <c r="AB913" s="495">
        <v>0</v>
      </c>
      <c r="AC913" s="495">
        <v>0</v>
      </c>
      <c r="AD913" s="495">
        <v>0</v>
      </c>
      <c r="AE913" s="495">
        <v>0</v>
      </c>
      <c r="AH913" s="495">
        <v>264882.7672916681</v>
      </c>
      <c r="AI913" s="495">
        <v>204659.68499166812</v>
      </c>
      <c r="AJ913" s="495">
        <v>93418.868814168178</v>
      </c>
      <c r="AK913" s="495">
        <v>0</v>
      </c>
      <c r="AL913" s="495">
        <v>0</v>
      </c>
      <c r="AO913" s="495">
        <v>0</v>
      </c>
      <c r="AP913" s="495">
        <v>0</v>
      </c>
      <c r="AQ913" s="495">
        <v>0</v>
      </c>
      <c r="AR913" s="495">
        <v>0</v>
      </c>
      <c r="AS913" s="495">
        <v>0</v>
      </c>
    </row>
  </sheetData>
  <mergeCells count="1">
    <mergeCell ref="B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V933"/>
  <sheetViews>
    <sheetView workbookViewId="0">
      <selection sqref="A1:XFD1"/>
    </sheetView>
  </sheetViews>
  <sheetFormatPr defaultRowHeight="15"/>
  <cols>
    <col min="1" max="1" width="10.7109375" style="377" customWidth="1"/>
    <col min="2" max="2" width="58.7109375" customWidth="1"/>
    <col min="3" max="3" width="14.7109375" customWidth="1"/>
    <col min="4" max="4" width="1.7109375" customWidth="1"/>
    <col min="5" max="5" width="22.140625" customWidth="1"/>
    <col min="6" max="9" width="18.7109375" customWidth="1"/>
    <col min="10" max="10" width="11" customWidth="1"/>
    <col min="11" max="11" width="2.7109375" customWidth="1"/>
    <col min="12" max="12" width="22" customWidth="1"/>
    <col min="13" max="13" width="18" customWidth="1"/>
    <col min="14" max="14" width="17.5703125" customWidth="1"/>
    <col min="15" max="15" width="11.28515625" customWidth="1"/>
    <col min="16" max="16" width="12.7109375" customWidth="1"/>
    <col min="17" max="17" width="16.140625" customWidth="1"/>
    <col min="18" max="18" width="2.85546875" customWidth="1"/>
    <col min="19" max="19" width="19.85546875" customWidth="1"/>
    <col min="20" max="20" width="20" customWidth="1"/>
    <col min="21" max="21" width="20.7109375" customWidth="1"/>
    <col min="22" max="22" width="22.7109375" customWidth="1"/>
    <col min="23" max="23" width="14" customWidth="1"/>
    <col min="24" max="24" width="9.140625" customWidth="1"/>
    <col min="25" max="25" width="2.5703125" customWidth="1"/>
    <col min="26" max="26" width="16.85546875" customWidth="1"/>
    <col min="27" max="27" width="18.28515625" customWidth="1"/>
    <col min="28" max="28" width="15.85546875" customWidth="1"/>
    <col min="29" max="29" width="12.5703125" customWidth="1"/>
    <col min="30" max="30" width="14" customWidth="1"/>
    <col min="31" max="31" width="14.85546875" customWidth="1"/>
    <col min="32" max="32" width="2.5703125" customWidth="1"/>
    <col min="33" max="33" width="18.5703125" customWidth="1"/>
    <col min="34" max="35" width="18.28515625" customWidth="1"/>
    <col min="36" max="36" width="18.7109375" customWidth="1"/>
    <col min="37" max="37" width="18.5703125" customWidth="1"/>
    <col min="38" max="38" width="13.7109375" customWidth="1"/>
    <col min="39" max="39" width="2.28515625" customWidth="1"/>
    <col min="40" max="40" width="18.85546875" customWidth="1"/>
    <col min="41" max="41" width="20" customWidth="1"/>
    <col min="42" max="42" width="19.5703125" customWidth="1"/>
    <col min="43" max="43" width="18.85546875" customWidth="1"/>
    <col min="44" max="44" width="18.28515625" customWidth="1"/>
  </cols>
  <sheetData>
    <row r="1" spans="1:44" s="293" customFormat="1">
      <c r="A1" s="375"/>
    </row>
    <row r="2" spans="1:44" s="293" customFormat="1">
      <c r="A2" s="375"/>
      <c r="B2" s="293" t="s">
        <v>711</v>
      </c>
      <c r="C2" s="420">
        <f>SUM(C7:C919)</f>
        <v>1.0000000000000002</v>
      </c>
      <c r="E2" s="421">
        <f>SUM(E7:E919)</f>
        <v>834325060.84000099</v>
      </c>
      <c r="F2" s="421">
        <f t="shared" ref="F2:AR2" si="0">SUM(F7:F919)</f>
        <v>714166977.84000111</v>
      </c>
      <c r="G2" s="421">
        <f t="shared" si="0"/>
        <v>209890990.84000003</v>
      </c>
      <c r="H2" s="421">
        <f t="shared" si="0"/>
        <v>888306999.99999928</v>
      </c>
      <c r="I2" s="421">
        <f t="shared" si="0"/>
        <v>0</v>
      </c>
      <c r="J2" s="421">
        <f t="shared" si="0"/>
        <v>0.9966012000000003</v>
      </c>
      <c r="K2" s="421">
        <f t="shared" si="0"/>
        <v>0</v>
      </c>
      <c r="L2" s="421">
        <f t="shared" si="0"/>
        <v>161126999.99999976</v>
      </c>
      <c r="M2" s="421">
        <f t="shared" si="0"/>
        <v>66067000.00000003</v>
      </c>
      <c r="N2" s="421">
        <f t="shared" si="0"/>
        <v>-7942999.9999999953</v>
      </c>
      <c r="O2" s="421">
        <f t="shared" si="0"/>
        <v>0</v>
      </c>
      <c r="P2" s="421">
        <f t="shared" si="0"/>
        <v>0</v>
      </c>
      <c r="Q2" s="421">
        <f t="shared" si="0"/>
        <v>1.0000000000000004</v>
      </c>
      <c r="R2" s="421">
        <f t="shared" si="0"/>
        <v>0</v>
      </c>
      <c r="S2" s="421">
        <f t="shared" si="0"/>
        <v>391752999.99999964</v>
      </c>
      <c r="T2" s="421">
        <f t="shared" si="0"/>
        <v>366657000.00000072</v>
      </c>
      <c r="U2" s="421">
        <f t="shared" si="0"/>
        <v>217833999.99999997</v>
      </c>
      <c r="V2" s="421">
        <f t="shared" si="0"/>
        <v>888306999.99999928</v>
      </c>
      <c r="W2" s="421">
        <f t="shared" si="0"/>
        <v>0</v>
      </c>
      <c r="X2" s="421">
        <f t="shared" si="0"/>
        <v>0.9966012000000003</v>
      </c>
      <c r="Y2" s="421">
        <f t="shared" si="0"/>
        <v>0</v>
      </c>
      <c r="Z2" s="421">
        <f t="shared" si="0"/>
        <v>281445000.00000012</v>
      </c>
      <c r="AA2" s="421">
        <f t="shared" si="0"/>
        <v>281443000.00000018</v>
      </c>
      <c r="AB2" s="421">
        <f t="shared" si="0"/>
        <v>0</v>
      </c>
      <c r="AC2" s="421">
        <f t="shared" si="0"/>
        <v>0</v>
      </c>
      <c r="AD2" s="421">
        <f t="shared" si="0"/>
        <v>0</v>
      </c>
      <c r="AE2" s="421">
        <f t="shared" si="0"/>
        <v>0.9966012000000003</v>
      </c>
      <c r="AF2" s="421">
        <f t="shared" si="0"/>
        <v>0</v>
      </c>
      <c r="AG2" s="421">
        <f t="shared" si="0"/>
        <v>36997661.732499979</v>
      </c>
      <c r="AH2" s="421">
        <f t="shared" si="0"/>
        <v>25186576.732500017</v>
      </c>
      <c r="AI2" s="421">
        <f t="shared" si="0"/>
        <v>12804366.732499985</v>
      </c>
      <c r="AJ2" s="421">
        <f t="shared" si="0"/>
        <v>0</v>
      </c>
      <c r="AK2" s="421">
        <f t="shared" si="0"/>
        <v>0</v>
      </c>
      <c r="AL2" s="421">
        <f t="shared" si="0"/>
        <v>0.9966012000000003</v>
      </c>
      <c r="AM2" s="420">
        <f t="shared" si="0"/>
        <v>0</v>
      </c>
      <c r="AN2" s="421">
        <f t="shared" si="0"/>
        <v>-36997600.892500021</v>
      </c>
      <c r="AO2" s="421">
        <f t="shared" si="0"/>
        <v>-25186598.892500002</v>
      </c>
      <c r="AP2" s="421">
        <f t="shared" si="0"/>
        <v>-12804375.892500008</v>
      </c>
      <c r="AQ2" s="421">
        <f t="shared" si="0"/>
        <v>0</v>
      </c>
      <c r="AR2" s="421">
        <f t="shared" si="0"/>
        <v>0</v>
      </c>
    </row>
    <row r="3" spans="1:44" s="293" customFormat="1">
      <c r="A3" s="375"/>
      <c r="B3" s="293" t="s">
        <v>3765</v>
      </c>
    </row>
    <row r="4" spans="1:44" s="293" customFormat="1">
      <c r="A4" s="375"/>
    </row>
    <row r="5" spans="1:44" s="293" customFormat="1">
      <c r="A5" s="375"/>
      <c r="E5" s="375">
        <v>2023</v>
      </c>
      <c r="F5" s="375">
        <v>2024</v>
      </c>
      <c r="G5" s="375">
        <v>2025</v>
      </c>
      <c r="H5" s="375">
        <v>2026</v>
      </c>
      <c r="I5" s="375">
        <v>2027</v>
      </c>
      <c r="L5" s="375">
        <v>2023</v>
      </c>
      <c r="M5" s="375">
        <v>2024</v>
      </c>
      <c r="N5" s="375">
        <v>2025</v>
      </c>
      <c r="O5" s="375">
        <v>2026</v>
      </c>
      <c r="P5" s="375">
        <v>2027</v>
      </c>
      <c r="S5" s="375">
        <v>2023</v>
      </c>
      <c r="T5" s="375">
        <v>2024</v>
      </c>
      <c r="U5" s="375">
        <v>2025</v>
      </c>
      <c r="V5" s="375">
        <v>2026</v>
      </c>
      <c r="W5" s="375">
        <v>2027</v>
      </c>
      <c r="Z5" s="375">
        <v>2023</v>
      </c>
      <c r="AA5" s="375">
        <v>2024</v>
      </c>
      <c r="AB5" s="375">
        <v>2025</v>
      </c>
      <c r="AC5" s="375">
        <v>2026</v>
      </c>
      <c r="AD5" s="375">
        <v>2027</v>
      </c>
      <c r="AG5" s="375">
        <v>2023</v>
      </c>
      <c r="AH5" s="375">
        <v>2024</v>
      </c>
      <c r="AI5" s="375">
        <v>2025</v>
      </c>
      <c r="AJ5" s="375">
        <v>2026</v>
      </c>
      <c r="AK5" s="375">
        <v>2027</v>
      </c>
      <c r="AN5" s="375">
        <v>2023</v>
      </c>
      <c r="AO5" s="375">
        <v>2024</v>
      </c>
      <c r="AP5" s="375">
        <v>2025</v>
      </c>
      <c r="AQ5" s="375">
        <v>2026</v>
      </c>
      <c r="AR5" s="375">
        <v>2027</v>
      </c>
    </row>
    <row r="6" spans="1:44" s="293" customFormat="1" ht="90" customHeight="1">
      <c r="A6" s="364" t="s">
        <v>0</v>
      </c>
      <c r="B6" s="364" t="s">
        <v>3746</v>
      </c>
      <c r="C6" s="364" t="s">
        <v>3747</v>
      </c>
      <c r="D6" s="364"/>
      <c r="E6" s="364" t="s">
        <v>698</v>
      </c>
      <c r="F6" s="364" t="s">
        <v>698</v>
      </c>
      <c r="G6" s="364" t="s">
        <v>698</v>
      </c>
      <c r="H6" s="364" t="s">
        <v>698</v>
      </c>
      <c r="I6" s="364" t="s">
        <v>698</v>
      </c>
      <c r="J6" s="364" t="s">
        <v>3747</v>
      </c>
      <c r="K6" s="364"/>
      <c r="L6" s="364" t="s">
        <v>3748</v>
      </c>
      <c r="M6" s="364" t="s">
        <v>3748</v>
      </c>
      <c r="N6" s="364" t="s">
        <v>3748</v>
      </c>
      <c r="O6" s="364" t="s">
        <v>3748</v>
      </c>
      <c r="P6" s="364" t="s">
        <v>3748</v>
      </c>
      <c r="Q6" s="364" t="s">
        <v>3747</v>
      </c>
      <c r="R6" s="364"/>
      <c r="S6" s="364" t="s">
        <v>6</v>
      </c>
      <c r="T6" s="364" t="s">
        <v>6</v>
      </c>
      <c r="U6" s="364" t="s">
        <v>6</v>
      </c>
      <c r="V6" s="364" t="s">
        <v>6</v>
      </c>
      <c r="W6" s="364" t="s">
        <v>6</v>
      </c>
      <c r="X6" s="364" t="s">
        <v>3747</v>
      </c>
      <c r="Y6" s="364"/>
      <c r="Z6" s="402" t="s">
        <v>7</v>
      </c>
      <c r="AA6" s="402" t="s">
        <v>7</v>
      </c>
      <c r="AB6" s="402" t="s">
        <v>7</v>
      </c>
      <c r="AC6" s="402" t="s">
        <v>7</v>
      </c>
      <c r="AD6" s="402" t="s">
        <v>7</v>
      </c>
      <c r="AE6" s="364" t="s">
        <v>3747</v>
      </c>
      <c r="AF6" s="364"/>
      <c r="AG6" s="402" t="s">
        <v>3749</v>
      </c>
      <c r="AH6" s="402" t="s">
        <v>3749</v>
      </c>
      <c r="AI6" s="402" t="s">
        <v>3749</v>
      </c>
      <c r="AJ6" s="402" t="s">
        <v>3749</v>
      </c>
      <c r="AK6" s="402" t="s">
        <v>3749</v>
      </c>
      <c r="AL6" s="364" t="s">
        <v>3747</v>
      </c>
      <c r="AM6" s="364"/>
      <c r="AN6" s="402" t="s">
        <v>3750</v>
      </c>
      <c r="AO6" s="402" t="s">
        <v>3750</v>
      </c>
      <c r="AP6" s="402" t="s">
        <v>3750</v>
      </c>
      <c r="AQ6" s="402" t="s">
        <v>3750</v>
      </c>
      <c r="AR6" s="402" t="s">
        <v>3750</v>
      </c>
    </row>
    <row r="7" spans="1:44">
      <c r="A7" s="439">
        <v>70505</v>
      </c>
      <c r="B7" s="440" t="s">
        <v>723</v>
      </c>
      <c r="C7" s="437">
        <v>1.8980000000000001E-4</v>
      </c>
      <c r="D7" s="441"/>
      <c r="E7" s="438">
        <v>92940.49500000001</v>
      </c>
      <c r="F7" s="438">
        <v>81045.506600000008</v>
      </c>
      <c r="G7" s="438">
        <v>-9930.0782000000036</v>
      </c>
      <c r="H7" s="438">
        <v>168600.6686</v>
      </c>
      <c r="I7" s="438">
        <v>0</v>
      </c>
      <c r="J7" s="443">
        <v>2.8729999999999999E-4</v>
      </c>
      <c r="K7" s="443"/>
      <c r="L7" s="444">
        <v>30581.904600000002</v>
      </c>
      <c r="M7" s="444">
        <v>12539.516600000001</v>
      </c>
      <c r="N7" s="444">
        <v>-1507.5814</v>
      </c>
      <c r="O7" s="444">
        <v>0</v>
      </c>
      <c r="P7" s="70">
        <v>0</v>
      </c>
      <c r="Q7" s="378">
        <v>2.8729999999999999E-4</v>
      </c>
      <c r="R7" s="378"/>
      <c r="S7" s="70">
        <v>74354.719400000002</v>
      </c>
      <c r="T7" s="105">
        <v>69591.498600000006</v>
      </c>
      <c r="U7" s="70">
        <v>41344.893199999999</v>
      </c>
      <c r="V7" s="70">
        <v>168600.6686</v>
      </c>
      <c r="W7" s="70">
        <v>0</v>
      </c>
      <c r="X7" s="378">
        <v>2.8729999999999999E-4</v>
      </c>
      <c r="Z7" s="70">
        <v>53418.260999999999</v>
      </c>
      <c r="AA7" s="70">
        <v>53417.881399999998</v>
      </c>
      <c r="AB7" s="70">
        <v>0</v>
      </c>
      <c r="AC7" s="70">
        <v>0</v>
      </c>
      <c r="AD7" s="70">
        <v>0</v>
      </c>
      <c r="AE7" s="378">
        <v>2.8729999999999999E-4</v>
      </c>
      <c r="AF7" s="378"/>
      <c r="AG7" s="70">
        <v>0</v>
      </c>
      <c r="AH7" s="70">
        <v>0</v>
      </c>
      <c r="AI7" s="70">
        <v>0</v>
      </c>
      <c r="AJ7" s="70">
        <v>0</v>
      </c>
      <c r="AK7" s="70">
        <v>0</v>
      </c>
      <c r="AL7" s="378">
        <v>2.8729999999999999E-4</v>
      </c>
      <c r="AM7" s="378"/>
      <c r="AN7" s="70">
        <v>-65414.39</v>
      </c>
      <c r="AO7" s="70">
        <v>-54503.39</v>
      </c>
      <c r="AP7" s="70">
        <v>-49767.39</v>
      </c>
      <c r="AQ7" s="70">
        <v>0</v>
      </c>
      <c r="AR7" s="70">
        <v>0</v>
      </c>
    </row>
    <row r="8" spans="1:44">
      <c r="A8" s="439">
        <v>72265</v>
      </c>
      <c r="B8" s="440" t="s">
        <v>724</v>
      </c>
      <c r="C8" s="437">
        <v>1.3229999999999999E-4</v>
      </c>
      <c r="D8" s="441"/>
      <c r="E8" s="438">
        <v>106951.68982499998</v>
      </c>
      <c r="F8" s="442">
        <v>87064.786424999998</v>
      </c>
      <c r="G8" s="442">
        <v>18334.071624999997</v>
      </c>
      <c r="H8" s="442">
        <v>117523.01609999999</v>
      </c>
      <c r="I8" s="442">
        <v>0</v>
      </c>
      <c r="J8" s="443">
        <v>1.5090000000000001E-4</v>
      </c>
      <c r="K8" s="443"/>
      <c r="L8" s="444">
        <v>21317.1021</v>
      </c>
      <c r="M8" s="444">
        <v>8740.6641</v>
      </c>
      <c r="N8" s="444">
        <v>-1050.8588999999999</v>
      </c>
      <c r="O8" s="444">
        <v>0</v>
      </c>
      <c r="P8" s="417">
        <v>0</v>
      </c>
      <c r="Q8" s="378">
        <v>1.5090000000000001E-4</v>
      </c>
      <c r="R8" s="378"/>
      <c r="S8" s="70">
        <v>51828.921899999994</v>
      </c>
      <c r="T8" s="105">
        <v>48508.721099999995</v>
      </c>
      <c r="U8" s="70">
        <v>28819.438199999997</v>
      </c>
      <c r="V8" s="70">
        <v>117523.01609999999</v>
      </c>
      <c r="W8" s="417">
        <v>0</v>
      </c>
      <c r="X8" s="378">
        <v>1.5090000000000001E-4</v>
      </c>
      <c r="Z8" s="70">
        <v>37235.173499999997</v>
      </c>
      <c r="AA8" s="70">
        <v>37234.908899999995</v>
      </c>
      <c r="AB8" s="70">
        <v>0</v>
      </c>
      <c r="AC8" s="417">
        <v>0</v>
      </c>
      <c r="AD8" s="417">
        <v>0</v>
      </c>
      <c r="AE8" s="378">
        <v>1.5090000000000001E-4</v>
      </c>
      <c r="AF8" s="378"/>
      <c r="AG8" s="70">
        <v>7445</v>
      </c>
      <c r="AH8" s="70">
        <v>2015</v>
      </c>
      <c r="AI8" s="70">
        <v>0</v>
      </c>
      <c r="AJ8" s="417">
        <v>0</v>
      </c>
      <c r="AK8" s="417">
        <v>0</v>
      </c>
      <c r="AL8" s="378">
        <v>1.5090000000000001E-4</v>
      </c>
      <c r="AM8" s="378"/>
      <c r="AN8" s="70">
        <v>-10874.507675000001</v>
      </c>
      <c r="AO8" s="70">
        <v>-9434.5076750000007</v>
      </c>
      <c r="AP8" s="70">
        <v>-9434.5076750000007</v>
      </c>
      <c r="AQ8" s="417">
        <v>0</v>
      </c>
      <c r="AR8" s="417">
        <v>0</v>
      </c>
    </row>
    <row r="9" spans="1:44">
      <c r="A9" s="439">
        <v>72593</v>
      </c>
      <c r="B9" s="440" t="s">
        <v>725</v>
      </c>
      <c r="C9" s="437">
        <v>6.7000000000000002E-6</v>
      </c>
      <c r="D9" s="441"/>
      <c r="E9" s="438">
        <v>4846.5431250000011</v>
      </c>
      <c r="F9" s="442">
        <v>4089.4845250000008</v>
      </c>
      <c r="G9" s="442">
        <v>1023.835325</v>
      </c>
      <c r="H9" s="442">
        <v>5951.6569</v>
      </c>
      <c r="I9" s="442">
        <v>0</v>
      </c>
      <c r="J9" s="443">
        <v>6.7000000000000002E-6</v>
      </c>
      <c r="K9" s="443"/>
      <c r="L9" s="444">
        <v>1079.5509</v>
      </c>
      <c r="M9" s="444">
        <v>442.64890000000003</v>
      </c>
      <c r="N9" s="444">
        <v>-53.2181</v>
      </c>
      <c r="O9" s="444">
        <v>0</v>
      </c>
      <c r="P9" s="417">
        <v>0</v>
      </c>
      <c r="Q9" s="378">
        <v>6.7000000000000002E-6</v>
      </c>
      <c r="R9" s="378"/>
      <c r="S9" s="70">
        <v>2624.7451000000001</v>
      </c>
      <c r="T9" s="105">
        <v>2456.6019000000001</v>
      </c>
      <c r="U9" s="70">
        <v>1459.4878000000001</v>
      </c>
      <c r="V9" s="70">
        <v>5951.6569</v>
      </c>
      <c r="W9" s="417">
        <v>0</v>
      </c>
      <c r="X9" s="378">
        <v>6.7000000000000002E-6</v>
      </c>
      <c r="Z9" s="70">
        <v>1885.6815000000001</v>
      </c>
      <c r="AA9" s="70">
        <v>1885.6681000000001</v>
      </c>
      <c r="AB9" s="70">
        <v>0</v>
      </c>
      <c r="AC9" s="417">
        <v>0</v>
      </c>
      <c r="AD9" s="417">
        <v>0</v>
      </c>
      <c r="AE9" s="378">
        <v>6.7000000000000002E-6</v>
      </c>
      <c r="AF9" s="378"/>
      <c r="AG9" s="70">
        <v>55</v>
      </c>
      <c r="AH9" s="70">
        <v>0</v>
      </c>
      <c r="AI9" s="70">
        <v>0</v>
      </c>
      <c r="AJ9" s="417">
        <v>0</v>
      </c>
      <c r="AK9" s="417">
        <v>0</v>
      </c>
      <c r="AL9" s="378">
        <v>6.7000000000000002E-6</v>
      </c>
      <c r="AM9" s="378"/>
      <c r="AN9" s="70">
        <v>-798.43437500000005</v>
      </c>
      <c r="AO9" s="70">
        <v>-695.43437500000005</v>
      </c>
      <c r="AP9" s="70">
        <v>-382.43437500000005</v>
      </c>
      <c r="AQ9" s="417">
        <v>0</v>
      </c>
      <c r="AR9" s="417">
        <v>0</v>
      </c>
    </row>
    <row r="10" spans="1:44">
      <c r="A10" s="439">
        <v>72657</v>
      </c>
      <c r="B10" s="440" t="s">
        <v>726</v>
      </c>
      <c r="C10" s="437">
        <v>4.1699999999999997E-5</v>
      </c>
      <c r="D10" s="441"/>
      <c r="E10" s="438">
        <v>33162.803324999986</v>
      </c>
      <c r="F10" s="442">
        <v>29510.214724999998</v>
      </c>
      <c r="G10" s="442">
        <v>12793.905524999996</v>
      </c>
      <c r="H10" s="442">
        <v>37042.401899999997</v>
      </c>
      <c r="I10" s="442">
        <v>0</v>
      </c>
      <c r="J10" s="443">
        <v>3.0800000000000003E-5</v>
      </c>
      <c r="K10" s="443"/>
      <c r="L10" s="444">
        <v>6718.9958999999999</v>
      </c>
      <c r="M10" s="444">
        <v>2754.9938999999999</v>
      </c>
      <c r="N10" s="444">
        <v>-331.22309999999999</v>
      </c>
      <c r="O10" s="444">
        <v>0</v>
      </c>
      <c r="P10" s="417">
        <v>0</v>
      </c>
      <c r="Q10" s="378">
        <v>3.0800000000000003E-5</v>
      </c>
      <c r="R10" s="378"/>
      <c r="S10" s="70">
        <v>16336.1001</v>
      </c>
      <c r="T10" s="105">
        <v>15289.596899999999</v>
      </c>
      <c r="U10" s="70">
        <v>9083.6777999999995</v>
      </c>
      <c r="V10" s="70">
        <v>37042.401899999997</v>
      </c>
      <c r="W10" s="417">
        <v>0</v>
      </c>
      <c r="X10" s="378">
        <v>3.0800000000000003E-5</v>
      </c>
      <c r="Z10" s="70">
        <v>11736.2565</v>
      </c>
      <c r="AA10" s="70">
        <v>11736.1731</v>
      </c>
      <c r="AB10" s="70">
        <v>0</v>
      </c>
      <c r="AC10" s="417">
        <v>0</v>
      </c>
      <c r="AD10" s="417">
        <v>0</v>
      </c>
      <c r="AE10" s="378">
        <v>3.0800000000000003E-5</v>
      </c>
      <c r="AF10" s="378"/>
      <c r="AG10" s="70">
        <v>4041.4508249999963</v>
      </c>
      <c r="AH10" s="70">
        <v>4041.4508249999963</v>
      </c>
      <c r="AI10" s="70">
        <v>4041.4508249999963</v>
      </c>
      <c r="AJ10" s="417">
        <v>0</v>
      </c>
      <c r="AK10" s="417">
        <v>0</v>
      </c>
      <c r="AL10" s="378">
        <v>3.0800000000000003E-5</v>
      </c>
      <c r="AM10" s="378"/>
      <c r="AN10" s="70">
        <v>-5670</v>
      </c>
      <c r="AO10" s="70">
        <v>-4312</v>
      </c>
      <c r="AP10" s="70">
        <v>0</v>
      </c>
      <c r="AQ10" s="417">
        <v>0</v>
      </c>
      <c r="AR10" s="417">
        <v>0</v>
      </c>
    </row>
    <row r="11" spans="1:44">
      <c r="A11" s="439">
        <v>90001</v>
      </c>
      <c r="B11" s="440" t="s">
        <v>727</v>
      </c>
      <c r="C11" s="437">
        <v>1.0753E-3</v>
      </c>
      <c r="D11" s="441"/>
      <c r="E11" s="438">
        <v>1024042.9307249999</v>
      </c>
      <c r="F11" s="442">
        <v>878467.03332499997</v>
      </c>
      <c r="G11" s="442">
        <v>227243.05052500003</v>
      </c>
      <c r="H11" s="442">
        <v>955196.51709999994</v>
      </c>
      <c r="I11" s="442">
        <v>0</v>
      </c>
      <c r="J11" s="443">
        <v>1.0636E-3</v>
      </c>
      <c r="K11" s="443"/>
      <c r="L11" s="444">
        <v>173259.86309999999</v>
      </c>
      <c r="M11" s="444">
        <v>71041.845099999991</v>
      </c>
      <c r="N11" s="444">
        <v>-8541.1078999999991</v>
      </c>
      <c r="O11" s="444">
        <v>0</v>
      </c>
      <c r="P11" s="417">
        <v>0</v>
      </c>
      <c r="Q11" s="378">
        <v>1.0636E-3</v>
      </c>
      <c r="R11" s="378"/>
      <c r="S11" s="70">
        <v>421252.00089999998</v>
      </c>
      <c r="T11" s="105">
        <v>394266.2721</v>
      </c>
      <c r="U11" s="70">
        <v>234236.9002</v>
      </c>
      <c r="V11" s="70">
        <v>955196.51709999994</v>
      </c>
      <c r="W11" s="417">
        <v>0</v>
      </c>
      <c r="X11" s="378">
        <v>1.0636E-3</v>
      </c>
      <c r="Z11" s="70">
        <v>302637.80849999998</v>
      </c>
      <c r="AA11" s="70">
        <v>302635.65789999999</v>
      </c>
      <c r="AB11" s="70">
        <v>0</v>
      </c>
      <c r="AC11" s="417">
        <v>0</v>
      </c>
      <c r="AD11" s="417">
        <v>0</v>
      </c>
      <c r="AE11" s="378">
        <v>1.0636E-3</v>
      </c>
      <c r="AF11" s="378"/>
      <c r="AG11" s="70">
        <v>126893.25822500003</v>
      </c>
      <c r="AH11" s="70">
        <v>110523.25822500003</v>
      </c>
      <c r="AI11" s="70">
        <v>1547.2582250000269</v>
      </c>
      <c r="AJ11" s="417">
        <v>0</v>
      </c>
      <c r="AK11" s="417">
        <v>0</v>
      </c>
      <c r="AL11" s="378">
        <v>1.0636E-3</v>
      </c>
      <c r="AM11" s="378"/>
      <c r="AN11" s="70">
        <v>0</v>
      </c>
      <c r="AO11" s="70">
        <v>0</v>
      </c>
      <c r="AP11" s="70">
        <v>0</v>
      </c>
      <c r="AQ11" s="417">
        <v>0</v>
      </c>
      <c r="AR11" s="417">
        <v>0</v>
      </c>
    </row>
    <row r="12" spans="1:44">
      <c r="A12" s="439">
        <v>90002</v>
      </c>
      <c r="B12" s="440" t="s">
        <v>728</v>
      </c>
      <c r="C12" s="437">
        <v>6.1999999999999999E-6</v>
      </c>
      <c r="D12" s="441"/>
      <c r="E12" s="438">
        <v>7232.2303999999995</v>
      </c>
      <c r="F12" s="442">
        <v>5759.2507999999998</v>
      </c>
      <c r="G12" s="442">
        <v>2173.7395999999999</v>
      </c>
      <c r="H12" s="442">
        <v>5507.5033999999996</v>
      </c>
      <c r="I12" s="442">
        <v>0</v>
      </c>
      <c r="J12" s="443">
        <v>6.9E-6</v>
      </c>
      <c r="K12" s="443"/>
      <c r="L12" s="444">
        <v>998.98739999999998</v>
      </c>
      <c r="M12" s="444">
        <v>409.61540000000002</v>
      </c>
      <c r="N12" s="444">
        <v>-49.246600000000001</v>
      </c>
      <c r="O12" s="444">
        <v>0</v>
      </c>
      <c r="P12" s="417">
        <v>0</v>
      </c>
      <c r="Q12" s="378">
        <v>6.9E-6</v>
      </c>
      <c r="R12" s="378"/>
      <c r="S12" s="70">
        <v>2428.8685999999998</v>
      </c>
      <c r="T12" s="105">
        <v>2273.2734</v>
      </c>
      <c r="U12" s="70">
        <v>1350.5708</v>
      </c>
      <c r="V12" s="70">
        <v>5507.5033999999996</v>
      </c>
      <c r="W12" s="417">
        <v>0</v>
      </c>
      <c r="X12" s="378">
        <v>6.9E-6</v>
      </c>
      <c r="Z12" s="70">
        <v>1744.9590000000001</v>
      </c>
      <c r="AA12" s="70">
        <v>1744.9466</v>
      </c>
      <c r="AB12" s="70">
        <v>0</v>
      </c>
      <c r="AC12" s="417">
        <v>0</v>
      </c>
      <c r="AD12" s="417">
        <v>0</v>
      </c>
      <c r="AE12" s="378">
        <v>6.9E-6</v>
      </c>
      <c r="AF12" s="378"/>
      <c r="AG12" s="70">
        <v>2059.4153999999999</v>
      </c>
      <c r="AH12" s="70">
        <v>1331.4154000000001</v>
      </c>
      <c r="AI12" s="70">
        <v>872.41540000000009</v>
      </c>
      <c r="AJ12" s="417">
        <v>0</v>
      </c>
      <c r="AK12" s="417">
        <v>0</v>
      </c>
      <c r="AL12" s="378">
        <v>6.9E-6</v>
      </c>
      <c r="AM12" s="378"/>
      <c r="AN12" s="70">
        <v>0</v>
      </c>
      <c r="AO12" s="70">
        <v>0</v>
      </c>
      <c r="AP12" s="70">
        <v>0</v>
      </c>
      <c r="AQ12" s="417">
        <v>0</v>
      </c>
      <c r="AR12" s="417">
        <v>0</v>
      </c>
    </row>
    <row r="13" spans="1:44" ht="16.5" customHeight="1">
      <c r="A13" s="439">
        <v>90011</v>
      </c>
      <c r="B13" s="440" t="s">
        <v>729</v>
      </c>
      <c r="C13" s="437">
        <v>1.64E-4</v>
      </c>
      <c r="D13" s="441"/>
      <c r="E13" s="438">
        <v>136355.77265</v>
      </c>
      <c r="F13" s="442">
        <v>121807.86065</v>
      </c>
      <c r="G13" s="442">
        <v>30586.596649999992</v>
      </c>
      <c r="H13" s="442">
        <v>145682.348</v>
      </c>
      <c r="I13" s="442">
        <v>0</v>
      </c>
      <c r="J13" s="443">
        <v>1.7770000000000001E-4</v>
      </c>
      <c r="K13" s="443"/>
      <c r="L13" s="444">
        <v>26424.828000000001</v>
      </c>
      <c r="M13" s="444">
        <v>10834.987999999999</v>
      </c>
      <c r="N13" s="444">
        <v>-1302.652</v>
      </c>
      <c r="O13" s="444">
        <v>0</v>
      </c>
      <c r="P13" s="417">
        <v>0</v>
      </c>
      <c r="Q13" s="378">
        <v>1.7770000000000001E-4</v>
      </c>
      <c r="R13" s="378"/>
      <c r="S13" s="70">
        <v>64247.491999999998</v>
      </c>
      <c r="T13" s="105">
        <v>60131.748</v>
      </c>
      <c r="U13" s="70">
        <v>35724.775999999998</v>
      </c>
      <c r="V13" s="70">
        <v>145682.348</v>
      </c>
      <c r="W13" s="417">
        <v>0</v>
      </c>
      <c r="X13" s="378">
        <v>1.7770000000000001E-4</v>
      </c>
      <c r="Z13" s="70">
        <v>46156.98</v>
      </c>
      <c r="AA13" s="70">
        <v>46156.652000000002</v>
      </c>
      <c r="AB13" s="70">
        <v>0</v>
      </c>
      <c r="AC13" s="417">
        <v>0</v>
      </c>
      <c r="AD13" s="417">
        <v>0</v>
      </c>
      <c r="AE13" s="378">
        <v>1.7770000000000001E-4</v>
      </c>
      <c r="AF13" s="378"/>
      <c r="AG13" s="70">
        <v>8520</v>
      </c>
      <c r="AH13" s="70">
        <v>8520</v>
      </c>
      <c r="AI13" s="70">
        <v>0</v>
      </c>
      <c r="AJ13" s="417">
        <v>0</v>
      </c>
      <c r="AK13" s="417">
        <v>0</v>
      </c>
      <c r="AL13" s="378">
        <v>1.7770000000000001E-4</v>
      </c>
      <c r="AM13" s="378"/>
      <c r="AN13" s="70">
        <v>-8993.5273500000039</v>
      </c>
      <c r="AO13" s="70">
        <v>-3835.5273500000039</v>
      </c>
      <c r="AP13" s="70">
        <v>-3835.5273500000039</v>
      </c>
      <c r="AQ13" s="417">
        <v>0</v>
      </c>
      <c r="AR13" s="417">
        <v>0</v>
      </c>
    </row>
    <row r="14" spans="1:44">
      <c r="A14" s="439">
        <v>90092</v>
      </c>
      <c r="B14" s="440" t="s">
        <v>730</v>
      </c>
      <c r="C14" s="437">
        <v>3.949E-4</v>
      </c>
      <c r="D14" s="441"/>
      <c r="E14" s="438">
        <v>332569.39572500001</v>
      </c>
      <c r="F14" s="442">
        <v>262635.00152500003</v>
      </c>
      <c r="G14" s="442">
        <v>80842.409124999991</v>
      </c>
      <c r="H14" s="442">
        <v>350792.43430000002</v>
      </c>
      <c r="I14" s="442">
        <v>0</v>
      </c>
      <c r="J14" s="443">
        <v>3.882E-4</v>
      </c>
      <c r="K14" s="443"/>
      <c r="L14" s="444">
        <v>63629.052300000003</v>
      </c>
      <c r="M14" s="444">
        <v>26089.8583</v>
      </c>
      <c r="N14" s="444">
        <v>-3136.6907000000001</v>
      </c>
      <c r="O14" s="444">
        <v>0</v>
      </c>
      <c r="P14" s="417">
        <v>0</v>
      </c>
      <c r="Q14" s="378">
        <v>3.882E-4</v>
      </c>
      <c r="R14" s="378"/>
      <c r="S14" s="70">
        <v>154703.2597</v>
      </c>
      <c r="T14" s="105">
        <v>144792.8493</v>
      </c>
      <c r="U14" s="70">
        <v>86022.646600000007</v>
      </c>
      <c r="V14" s="70">
        <v>350792.43430000002</v>
      </c>
      <c r="W14" s="417">
        <v>0</v>
      </c>
      <c r="X14" s="378">
        <v>3.882E-4</v>
      </c>
      <c r="Z14" s="70">
        <v>111142.6305</v>
      </c>
      <c r="AA14" s="70">
        <v>111141.8407</v>
      </c>
      <c r="AB14" s="70">
        <v>0</v>
      </c>
      <c r="AC14" s="417">
        <v>0</v>
      </c>
      <c r="AD14" s="417">
        <v>0</v>
      </c>
      <c r="AE14" s="378">
        <v>3.882E-4</v>
      </c>
      <c r="AF14" s="378"/>
      <c r="AG14" s="70">
        <v>22484</v>
      </c>
      <c r="AH14" s="70">
        <v>0</v>
      </c>
      <c r="AI14" s="70">
        <v>0</v>
      </c>
      <c r="AJ14" s="417">
        <v>0</v>
      </c>
      <c r="AK14" s="417">
        <v>0</v>
      </c>
      <c r="AL14" s="378">
        <v>3.882E-4</v>
      </c>
      <c r="AM14" s="378"/>
      <c r="AN14" s="70">
        <v>-19389.54677500001</v>
      </c>
      <c r="AO14" s="70">
        <v>-19389.54677500001</v>
      </c>
      <c r="AP14" s="70">
        <v>-2043.5467750000098</v>
      </c>
      <c r="AQ14" s="417">
        <v>0</v>
      </c>
      <c r="AR14" s="417">
        <v>0</v>
      </c>
    </row>
    <row r="15" spans="1:44">
      <c r="A15" s="439">
        <v>90096</v>
      </c>
      <c r="B15" s="440" t="s">
        <v>731</v>
      </c>
      <c r="C15" s="437">
        <v>9.9249999999999989E-4</v>
      </c>
      <c r="D15" s="441"/>
      <c r="E15" s="438">
        <v>1000952.5665249998</v>
      </c>
      <c r="F15" s="442">
        <v>824574.75152499985</v>
      </c>
      <c r="G15" s="442">
        <v>288966.82152499986</v>
      </c>
      <c r="H15" s="442">
        <v>881644.69749999989</v>
      </c>
      <c r="I15" s="442">
        <v>0</v>
      </c>
      <c r="J15" s="443">
        <v>9.4720000000000004E-4</v>
      </c>
      <c r="K15" s="443"/>
      <c r="L15" s="444">
        <v>159918.54749999999</v>
      </c>
      <c r="M15" s="444">
        <v>65571.497499999998</v>
      </c>
      <c r="N15" s="444">
        <v>-7883.4274999999989</v>
      </c>
      <c r="O15" s="444">
        <v>0</v>
      </c>
      <c r="P15" s="417">
        <v>0</v>
      </c>
      <c r="Q15" s="378">
        <v>9.4720000000000004E-4</v>
      </c>
      <c r="R15" s="378"/>
      <c r="S15" s="70">
        <v>388814.85249999998</v>
      </c>
      <c r="T15" s="105">
        <v>363907.07249999995</v>
      </c>
      <c r="U15" s="70">
        <v>216200.24499999997</v>
      </c>
      <c r="V15" s="70">
        <v>881644.69749999989</v>
      </c>
      <c r="W15" s="417">
        <v>0</v>
      </c>
      <c r="X15" s="378">
        <v>9.4720000000000004E-4</v>
      </c>
      <c r="Z15" s="70">
        <v>279334.16249999998</v>
      </c>
      <c r="AA15" s="70">
        <v>279332.17749999999</v>
      </c>
      <c r="AB15" s="70">
        <v>0</v>
      </c>
      <c r="AC15" s="417">
        <v>0</v>
      </c>
      <c r="AD15" s="417">
        <v>0</v>
      </c>
      <c r="AE15" s="378">
        <v>9.4720000000000004E-4</v>
      </c>
      <c r="AF15" s="378"/>
      <c r="AG15" s="70">
        <v>172885.00402499989</v>
      </c>
      <c r="AH15" s="70">
        <v>115764.00402499989</v>
      </c>
      <c r="AI15" s="70">
        <v>80650.004024999886</v>
      </c>
      <c r="AJ15" s="417">
        <v>0</v>
      </c>
      <c r="AK15" s="417">
        <v>0</v>
      </c>
      <c r="AL15" s="378">
        <v>9.4720000000000004E-4</v>
      </c>
      <c r="AM15" s="378"/>
      <c r="AN15" s="70">
        <v>0</v>
      </c>
      <c r="AO15" s="70">
        <v>0</v>
      </c>
      <c r="AP15" s="70">
        <v>0</v>
      </c>
      <c r="AQ15" s="417">
        <v>0</v>
      </c>
      <c r="AR15" s="417">
        <v>0</v>
      </c>
    </row>
    <row r="16" spans="1:44">
      <c r="A16" s="439">
        <v>90098</v>
      </c>
      <c r="B16" s="440" t="s">
        <v>732</v>
      </c>
      <c r="C16" s="437">
        <v>2.1680000000000001E-4</v>
      </c>
      <c r="D16" s="441"/>
      <c r="E16" s="438">
        <v>163525.05335000003</v>
      </c>
      <c r="F16" s="442">
        <v>143286.79895</v>
      </c>
      <c r="G16" s="442">
        <v>41578.762149999995</v>
      </c>
      <c r="H16" s="442">
        <v>192584.95760000002</v>
      </c>
      <c r="I16" s="442">
        <v>0</v>
      </c>
      <c r="J16" s="443">
        <v>2.4110000000000001E-4</v>
      </c>
      <c r="K16" s="443"/>
      <c r="L16" s="444">
        <v>34932.333600000005</v>
      </c>
      <c r="M16" s="444">
        <v>14323.3256</v>
      </c>
      <c r="N16" s="444">
        <v>-1722.0424</v>
      </c>
      <c r="O16" s="444">
        <v>0</v>
      </c>
      <c r="P16" s="417">
        <v>0</v>
      </c>
      <c r="Q16" s="378">
        <v>2.4110000000000001E-4</v>
      </c>
      <c r="R16" s="378"/>
      <c r="S16" s="70">
        <v>84932.050400000007</v>
      </c>
      <c r="T16" s="105">
        <v>79491.237600000008</v>
      </c>
      <c r="U16" s="70">
        <v>47226.411200000002</v>
      </c>
      <c r="V16" s="70">
        <v>192584.95760000002</v>
      </c>
      <c r="W16" s="417">
        <v>0</v>
      </c>
      <c r="X16" s="378">
        <v>2.4110000000000001E-4</v>
      </c>
      <c r="Z16" s="70">
        <v>61017.276000000005</v>
      </c>
      <c r="AA16" s="70">
        <v>61016.842400000001</v>
      </c>
      <c r="AB16" s="70">
        <v>0</v>
      </c>
      <c r="AC16" s="417">
        <v>0</v>
      </c>
      <c r="AD16" s="417">
        <v>0</v>
      </c>
      <c r="AE16" s="378">
        <v>2.4110000000000001E-4</v>
      </c>
      <c r="AF16" s="378"/>
      <c r="AG16" s="70">
        <v>5453</v>
      </c>
      <c r="AH16" s="70">
        <v>0</v>
      </c>
      <c r="AI16" s="70">
        <v>0</v>
      </c>
      <c r="AJ16" s="417">
        <v>0</v>
      </c>
      <c r="AK16" s="417">
        <v>0</v>
      </c>
      <c r="AL16" s="378">
        <v>2.4110000000000001E-4</v>
      </c>
      <c r="AM16" s="378"/>
      <c r="AN16" s="70">
        <v>-22809.606650000009</v>
      </c>
      <c r="AO16" s="70">
        <v>-11544.606650000009</v>
      </c>
      <c r="AP16" s="70">
        <v>-3925.6066500000088</v>
      </c>
      <c r="AQ16" s="417">
        <v>0</v>
      </c>
      <c r="AR16" s="417">
        <v>0</v>
      </c>
    </row>
    <row r="17" spans="1:44">
      <c r="A17" s="439">
        <v>90099</v>
      </c>
      <c r="B17" s="440" t="s">
        <v>733</v>
      </c>
      <c r="C17" s="437">
        <v>8.3799999999999999E-4</v>
      </c>
      <c r="D17" s="441"/>
      <c r="E17" s="438">
        <v>745232.60345000005</v>
      </c>
      <c r="F17" s="442">
        <v>663049.19944999996</v>
      </c>
      <c r="G17" s="442">
        <v>203541.91145000001</v>
      </c>
      <c r="H17" s="442">
        <v>744401.26599999995</v>
      </c>
      <c r="I17" s="442">
        <v>0</v>
      </c>
      <c r="J17" s="443">
        <v>7.6309999999999995E-4</v>
      </c>
      <c r="K17" s="443"/>
      <c r="L17" s="444">
        <v>135024.42600000001</v>
      </c>
      <c r="M17" s="444">
        <v>55364.146000000001</v>
      </c>
      <c r="N17" s="444">
        <v>-6656.2339999999995</v>
      </c>
      <c r="O17" s="444">
        <v>0</v>
      </c>
      <c r="P17" s="417">
        <v>0</v>
      </c>
      <c r="Q17" s="378">
        <v>7.6309999999999995E-4</v>
      </c>
      <c r="R17" s="378"/>
      <c r="S17" s="70">
        <v>328289.01399999997</v>
      </c>
      <c r="T17" s="105">
        <v>307258.56599999999</v>
      </c>
      <c r="U17" s="70">
        <v>182544.89199999999</v>
      </c>
      <c r="V17" s="70">
        <v>744401.26599999995</v>
      </c>
      <c r="W17" s="417">
        <v>0</v>
      </c>
      <c r="X17" s="378">
        <v>7.6309999999999995E-4</v>
      </c>
      <c r="Z17" s="70">
        <v>235850.91</v>
      </c>
      <c r="AA17" s="70">
        <v>235849.234</v>
      </c>
      <c r="AB17" s="70">
        <v>0</v>
      </c>
      <c r="AC17" s="417">
        <v>0</v>
      </c>
      <c r="AD17" s="417">
        <v>0</v>
      </c>
      <c r="AE17" s="378">
        <v>7.6309999999999995E-4</v>
      </c>
      <c r="AF17" s="378"/>
      <c r="AG17" s="70">
        <v>64577.253450000018</v>
      </c>
      <c r="AH17" s="70">
        <v>64577.253450000018</v>
      </c>
      <c r="AI17" s="70">
        <v>27653.253450000018</v>
      </c>
      <c r="AJ17" s="417">
        <v>0</v>
      </c>
      <c r="AK17" s="417">
        <v>0</v>
      </c>
      <c r="AL17" s="378">
        <v>7.6309999999999995E-4</v>
      </c>
      <c r="AM17" s="378"/>
      <c r="AN17" s="70">
        <v>-18509</v>
      </c>
      <c r="AO17" s="70">
        <v>0</v>
      </c>
      <c r="AP17" s="70">
        <v>0</v>
      </c>
      <c r="AQ17" s="417">
        <v>0</v>
      </c>
      <c r="AR17" s="417">
        <v>0</v>
      </c>
    </row>
    <row r="18" spans="1:44">
      <c r="A18" s="439">
        <v>90101</v>
      </c>
      <c r="B18" s="440" t="s">
        <v>734</v>
      </c>
      <c r="C18" s="437">
        <v>5.9889000000000001E-3</v>
      </c>
      <c r="D18" s="441"/>
      <c r="E18" s="438">
        <v>4834159.4926749989</v>
      </c>
      <c r="F18" s="442">
        <v>4149824.2464750004</v>
      </c>
      <c r="G18" s="442">
        <v>1154432.7100749998</v>
      </c>
      <c r="H18" s="442">
        <v>5319981.7922999999</v>
      </c>
      <c r="I18" s="442">
        <v>0</v>
      </c>
      <c r="J18" s="443">
        <v>6.2402999999999998E-3</v>
      </c>
      <c r="K18" s="443"/>
      <c r="L18" s="444">
        <v>964973.49030000006</v>
      </c>
      <c r="M18" s="444">
        <v>395668.65630000003</v>
      </c>
      <c r="N18" s="444">
        <v>-47569.832699999999</v>
      </c>
      <c r="O18" s="444">
        <v>0</v>
      </c>
      <c r="P18" s="417">
        <v>0</v>
      </c>
      <c r="Q18" s="378">
        <v>6.2402999999999998E-3</v>
      </c>
      <c r="R18" s="378"/>
      <c r="S18" s="70">
        <v>2346169.5416999999</v>
      </c>
      <c r="T18" s="105">
        <v>2195872.1073000003</v>
      </c>
      <c r="U18" s="70">
        <v>1304586.0426</v>
      </c>
      <c r="V18" s="70">
        <v>5319981.7922999999</v>
      </c>
      <c r="W18" s="417">
        <v>0</v>
      </c>
      <c r="X18" s="378">
        <v>6.2402999999999998E-3</v>
      </c>
      <c r="Z18" s="70">
        <v>1685545.9605</v>
      </c>
      <c r="AA18" s="70">
        <v>1685533.9827000001</v>
      </c>
      <c r="AB18" s="70">
        <v>0</v>
      </c>
      <c r="AC18" s="417">
        <v>0</v>
      </c>
      <c r="AD18" s="417">
        <v>0</v>
      </c>
      <c r="AE18" s="378">
        <v>6.2402999999999998E-3</v>
      </c>
      <c r="AF18" s="378"/>
      <c r="AG18" s="70">
        <v>22620</v>
      </c>
      <c r="AH18" s="70">
        <v>0</v>
      </c>
      <c r="AI18" s="70">
        <v>0</v>
      </c>
      <c r="AJ18" s="417">
        <v>0</v>
      </c>
      <c r="AK18" s="417">
        <v>0</v>
      </c>
      <c r="AL18" s="378">
        <v>6.2402999999999998E-3</v>
      </c>
      <c r="AM18" s="378"/>
      <c r="AN18" s="70">
        <v>-185149.4998250003</v>
      </c>
      <c r="AO18" s="70">
        <v>-127250.4998250003</v>
      </c>
      <c r="AP18" s="70">
        <v>-102583.4998250003</v>
      </c>
      <c r="AQ18" s="417">
        <v>0</v>
      </c>
      <c r="AR18" s="417">
        <v>0</v>
      </c>
    </row>
    <row r="19" spans="1:44">
      <c r="A19" s="439">
        <v>90111</v>
      </c>
      <c r="B19" s="440" t="s">
        <v>735</v>
      </c>
      <c r="C19" s="437">
        <v>4.6198999999999997E-3</v>
      </c>
      <c r="D19" s="441"/>
      <c r="E19" s="438">
        <v>3601074.2940249993</v>
      </c>
      <c r="F19" s="442">
        <v>3122548.3498249995</v>
      </c>
      <c r="G19" s="442">
        <v>917712.65742499952</v>
      </c>
      <c r="H19" s="442">
        <v>4103889.5092999996</v>
      </c>
      <c r="I19" s="442">
        <v>0</v>
      </c>
      <c r="J19" s="443">
        <v>4.7771000000000003E-3</v>
      </c>
      <c r="K19" s="443"/>
      <c r="L19" s="444">
        <v>744390.62729999993</v>
      </c>
      <c r="M19" s="444">
        <v>305222.93329999998</v>
      </c>
      <c r="N19" s="444">
        <v>-36695.865699999995</v>
      </c>
      <c r="O19" s="444">
        <v>0</v>
      </c>
      <c r="P19" s="417">
        <v>0</v>
      </c>
      <c r="Q19" s="378">
        <v>4.7771000000000003E-3</v>
      </c>
      <c r="R19" s="378"/>
      <c r="S19" s="70">
        <v>1809859.6846999999</v>
      </c>
      <c r="T19" s="105">
        <v>1693918.6742999998</v>
      </c>
      <c r="U19" s="70">
        <v>1006371.2965999999</v>
      </c>
      <c r="V19" s="70">
        <v>4103889.5092999996</v>
      </c>
      <c r="W19" s="417">
        <v>0</v>
      </c>
      <c r="X19" s="378">
        <v>4.7771000000000003E-3</v>
      </c>
      <c r="Z19" s="70">
        <v>1300247.7555</v>
      </c>
      <c r="AA19" s="70">
        <v>1300238.5156999999</v>
      </c>
      <c r="AB19" s="70">
        <v>0</v>
      </c>
      <c r="AC19" s="417">
        <v>0</v>
      </c>
      <c r="AD19" s="417">
        <v>0</v>
      </c>
      <c r="AE19" s="378">
        <v>4.7771000000000003E-3</v>
      </c>
      <c r="AF19" s="378"/>
      <c r="AG19" s="70">
        <v>0</v>
      </c>
      <c r="AH19" s="70">
        <v>0</v>
      </c>
      <c r="AI19" s="70">
        <v>0</v>
      </c>
      <c r="AJ19" s="417">
        <v>0</v>
      </c>
      <c r="AK19" s="417">
        <v>0</v>
      </c>
      <c r="AL19" s="378">
        <v>4.7771000000000003E-3</v>
      </c>
      <c r="AM19" s="378"/>
      <c r="AN19" s="70">
        <v>-253423.7734750004</v>
      </c>
      <c r="AO19" s="70">
        <v>-176831.7734750004</v>
      </c>
      <c r="AP19" s="70">
        <v>-51962.773475000402</v>
      </c>
      <c r="AQ19" s="417">
        <v>0</v>
      </c>
      <c r="AR19" s="417">
        <v>0</v>
      </c>
    </row>
    <row r="20" spans="1:44">
      <c r="A20" s="439">
        <v>90114</v>
      </c>
      <c r="B20" s="440" t="s">
        <v>736</v>
      </c>
      <c r="C20" s="437">
        <v>1.1670000000000001E-3</v>
      </c>
      <c r="D20" s="441"/>
      <c r="E20" s="438">
        <v>1558485.8624000002</v>
      </c>
      <c r="F20" s="442">
        <v>1261126.4764</v>
      </c>
      <c r="G20" s="442">
        <v>445111.38440000004</v>
      </c>
      <c r="H20" s="442">
        <v>1036654.2690000001</v>
      </c>
      <c r="I20" s="442">
        <v>0</v>
      </c>
      <c r="J20" s="443">
        <v>1.1787E-3</v>
      </c>
      <c r="K20" s="443"/>
      <c r="L20" s="444">
        <v>188035.209</v>
      </c>
      <c r="M20" s="444">
        <v>77100.188999999998</v>
      </c>
      <c r="N20" s="444">
        <v>-9269.4809999999998</v>
      </c>
      <c r="O20" s="444">
        <v>0</v>
      </c>
      <c r="P20" s="417">
        <v>0</v>
      </c>
      <c r="Q20" s="378">
        <v>1.1787E-3</v>
      </c>
      <c r="R20" s="378"/>
      <c r="S20" s="70">
        <v>457175.75100000005</v>
      </c>
      <c r="T20" s="105">
        <v>427888.71900000004</v>
      </c>
      <c r="U20" s="70">
        <v>254212.27800000002</v>
      </c>
      <c r="V20" s="70">
        <v>1036654.2690000001</v>
      </c>
      <c r="W20" s="417">
        <v>0</v>
      </c>
      <c r="X20" s="378">
        <v>1.1787E-3</v>
      </c>
      <c r="Z20" s="70">
        <v>328446.315</v>
      </c>
      <c r="AA20" s="70">
        <v>328443.98100000003</v>
      </c>
      <c r="AB20" s="70">
        <v>0</v>
      </c>
      <c r="AC20" s="417">
        <v>0</v>
      </c>
      <c r="AD20" s="417">
        <v>0</v>
      </c>
      <c r="AE20" s="378">
        <v>1.1787E-3</v>
      </c>
      <c r="AF20" s="378"/>
      <c r="AG20" s="70">
        <v>584889.58740000008</v>
      </c>
      <c r="AH20" s="70">
        <v>427693.58740000002</v>
      </c>
      <c r="AI20" s="70">
        <v>200168.58740000002</v>
      </c>
      <c r="AJ20" s="417">
        <v>0</v>
      </c>
      <c r="AK20" s="417">
        <v>0</v>
      </c>
      <c r="AL20" s="378">
        <v>1.1787E-3</v>
      </c>
      <c r="AM20" s="378"/>
      <c r="AN20" s="70">
        <v>-61</v>
      </c>
      <c r="AO20" s="70">
        <v>0</v>
      </c>
      <c r="AP20" s="70">
        <v>0</v>
      </c>
      <c r="AQ20" s="417">
        <v>0</v>
      </c>
      <c r="AR20" s="417">
        <v>0</v>
      </c>
    </row>
    <row r="21" spans="1:44">
      <c r="A21" s="439">
        <v>90117</v>
      </c>
      <c r="B21" s="440" t="s">
        <v>737</v>
      </c>
      <c r="C21" s="437">
        <v>1.4750000000000001E-4</v>
      </c>
      <c r="D21" s="441"/>
      <c r="E21" s="438">
        <v>152105.560325</v>
      </c>
      <c r="F21" s="442">
        <v>121658.25532500001</v>
      </c>
      <c r="G21" s="442">
        <v>36133.545324999999</v>
      </c>
      <c r="H21" s="442">
        <v>131025.2825</v>
      </c>
      <c r="I21" s="442">
        <v>0</v>
      </c>
      <c r="J21" s="443">
        <v>1.5009999999999999E-4</v>
      </c>
      <c r="K21" s="443"/>
      <c r="L21" s="444">
        <v>23766.232500000002</v>
      </c>
      <c r="M21" s="444">
        <v>9744.8824999999997</v>
      </c>
      <c r="N21" s="444">
        <v>-1171.5925</v>
      </c>
      <c r="O21" s="444">
        <v>0</v>
      </c>
      <c r="P21" s="417">
        <v>0</v>
      </c>
      <c r="Q21" s="378">
        <v>1.5009999999999999E-4</v>
      </c>
      <c r="R21" s="378"/>
      <c r="S21" s="70">
        <v>57783.567500000005</v>
      </c>
      <c r="T21" s="105">
        <v>54081.907500000001</v>
      </c>
      <c r="U21" s="70">
        <v>32130.515000000003</v>
      </c>
      <c r="V21" s="70">
        <v>131025.2825</v>
      </c>
      <c r="W21" s="417">
        <v>0</v>
      </c>
      <c r="X21" s="378">
        <v>1.5009999999999999E-4</v>
      </c>
      <c r="Z21" s="70">
        <v>41513.137500000004</v>
      </c>
      <c r="AA21" s="70">
        <v>41512.842499999999</v>
      </c>
      <c r="AB21" s="70">
        <v>0</v>
      </c>
      <c r="AC21" s="417">
        <v>0</v>
      </c>
      <c r="AD21" s="417">
        <v>0</v>
      </c>
      <c r="AE21" s="378">
        <v>1.5009999999999999E-4</v>
      </c>
      <c r="AF21" s="378"/>
      <c r="AG21" s="70">
        <v>29042.622824999999</v>
      </c>
      <c r="AH21" s="70">
        <v>16318.622824999999</v>
      </c>
      <c r="AI21" s="70">
        <v>5174.6228249999986</v>
      </c>
      <c r="AJ21" s="417">
        <v>0</v>
      </c>
      <c r="AK21" s="417">
        <v>0</v>
      </c>
      <c r="AL21" s="378">
        <v>1.5009999999999999E-4</v>
      </c>
      <c r="AM21" s="378"/>
      <c r="AN21" s="70">
        <v>0</v>
      </c>
      <c r="AO21" s="70">
        <v>0</v>
      </c>
      <c r="AP21" s="70">
        <v>0</v>
      </c>
      <c r="AQ21" s="417">
        <v>0</v>
      </c>
      <c r="AR21" s="417">
        <v>0</v>
      </c>
    </row>
    <row r="22" spans="1:44">
      <c r="A22" s="439">
        <v>90121</v>
      </c>
      <c r="B22" s="440" t="s">
        <v>738</v>
      </c>
      <c r="C22" s="437">
        <v>1.0448E-3</v>
      </c>
      <c r="D22" s="441"/>
      <c r="E22" s="438">
        <v>810666.19140000001</v>
      </c>
      <c r="F22" s="442">
        <v>705981.11300000001</v>
      </c>
      <c r="G22" s="442">
        <v>224628.54819999996</v>
      </c>
      <c r="H22" s="442">
        <v>928103.15360000008</v>
      </c>
      <c r="I22" s="442">
        <v>0</v>
      </c>
      <c r="J22" s="443">
        <v>1.016E-3</v>
      </c>
      <c r="K22" s="443"/>
      <c r="L22" s="444">
        <v>168345.4896</v>
      </c>
      <c r="M22" s="444">
        <v>69026.801600000006</v>
      </c>
      <c r="N22" s="444">
        <v>-8298.8464000000004</v>
      </c>
      <c r="O22" s="444">
        <v>0</v>
      </c>
      <c r="P22" s="417">
        <v>0</v>
      </c>
      <c r="Q22" s="378">
        <v>1.016E-3</v>
      </c>
      <c r="R22" s="378"/>
      <c r="S22" s="70">
        <v>409303.5344</v>
      </c>
      <c r="T22" s="105">
        <v>383083.23360000004</v>
      </c>
      <c r="U22" s="70">
        <v>227592.9632</v>
      </c>
      <c r="V22" s="70">
        <v>928103.15360000008</v>
      </c>
      <c r="W22" s="417">
        <v>0</v>
      </c>
      <c r="X22" s="378">
        <v>1.016E-3</v>
      </c>
      <c r="Z22" s="70">
        <v>294053.73600000003</v>
      </c>
      <c r="AA22" s="70">
        <v>294051.64640000003</v>
      </c>
      <c r="AB22" s="70">
        <v>0</v>
      </c>
      <c r="AC22" s="417">
        <v>0</v>
      </c>
      <c r="AD22" s="417">
        <v>0</v>
      </c>
      <c r="AE22" s="378">
        <v>1.016E-3</v>
      </c>
      <c r="AF22" s="378"/>
      <c r="AG22" s="70">
        <v>5334.4313999999722</v>
      </c>
      <c r="AH22" s="70">
        <v>5334.4313999999722</v>
      </c>
      <c r="AI22" s="70">
        <v>5334.4313999999722</v>
      </c>
      <c r="AJ22" s="417">
        <v>0</v>
      </c>
      <c r="AK22" s="417">
        <v>0</v>
      </c>
      <c r="AL22" s="378">
        <v>1.016E-3</v>
      </c>
      <c r="AM22" s="378"/>
      <c r="AN22" s="70">
        <v>-66371</v>
      </c>
      <c r="AO22" s="70">
        <v>-45515</v>
      </c>
      <c r="AP22" s="70">
        <v>0</v>
      </c>
      <c r="AQ22" s="417">
        <v>0</v>
      </c>
      <c r="AR22" s="417">
        <v>0</v>
      </c>
    </row>
    <row r="23" spans="1:44">
      <c r="A23" s="439">
        <v>90131</v>
      </c>
      <c r="B23" s="440" t="s">
        <v>739</v>
      </c>
      <c r="C23" s="437">
        <v>4.8010000000000001E-4</v>
      </c>
      <c r="D23" s="441"/>
      <c r="E23" s="438">
        <v>389514.00677500002</v>
      </c>
      <c r="F23" s="442">
        <v>330671.150975</v>
      </c>
      <c r="G23" s="442">
        <v>96611.243375000005</v>
      </c>
      <c r="H23" s="442">
        <v>426476.19070000004</v>
      </c>
      <c r="I23" s="442">
        <v>0</v>
      </c>
      <c r="J23" s="443">
        <v>4.8430000000000001E-4</v>
      </c>
      <c r="K23" s="443"/>
      <c r="L23" s="444">
        <v>77357.072700000004</v>
      </c>
      <c r="M23" s="444">
        <v>31718.7667</v>
      </c>
      <c r="N23" s="444">
        <v>-3813.4342999999999</v>
      </c>
      <c r="O23" s="444">
        <v>0</v>
      </c>
      <c r="P23" s="417">
        <v>0</v>
      </c>
      <c r="Q23" s="378">
        <v>4.8430000000000001E-4</v>
      </c>
      <c r="R23" s="378"/>
      <c r="S23" s="70">
        <v>188080.6153</v>
      </c>
      <c r="T23" s="105">
        <v>176032.0257</v>
      </c>
      <c r="U23" s="70">
        <v>104582.10340000001</v>
      </c>
      <c r="V23" s="70">
        <v>426476.19070000004</v>
      </c>
      <c r="W23" s="417">
        <v>0</v>
      </c>
      <c r="X23" s="378">
        <v>4.8430000000000001E-4</v>
      </c>
      <c r="Z23" s="70">
        <v>135121.7445</v>
      </c>
      <c r="AA23" s="70">
        <v>135120.7843</v>
      </c>
      <c r="AB23" s="70">
        <v>0</v>
      </c>
      <c r="AC23" s="417">
        <v>0</v>
      </c>
      <c r="AD23" s="417">
        <v>0</v>
      </c>
      <c r="AE23" s="378">
        <v>4.8430000000000001E-4</v>
      </c>
      <c r="AF23" s="378"/>
      <c r="AG23" s="70">
        <v>1155</v>
      </c>
      <c r="AH23" s="70">
        <v>0</v>
      </c>
      <c r="AI23" s="70">
        <v>0</v>
      </c>
      <c r="AJ23" s="417">
        <v>0</v>
      </c>
      <c r="AK23" s="417">
        <v>0</v>
      </c>
      <c r="AL23" s="378">
        <v>4.8430000000000001E-4</v>
      </c>
      <c r="AM23" s="378"/>
      <c r="AN23" s="70">
        <v>-12200.425725000008</v>
      </c>
      <c r="AO23" s="70">
        <v>-12200.425725000008</v>
      </c>
      <c r="AP23" s="70">
        <v>-4157.4257250000082</v>
      </c>
      <c r="AQ23" s="417">
        <v>0</v>
      </c>
      <c r="AR23" s="417">
        <v>0</v>
      </c>
    </row>
    <row r="24" spans="1:44">
      <c r="A24" s="439">
        <v>90141</v>
      </c>
      <c r="B24" s="440" t="s">
        <v>740</v>
      </c>
      <c r="C24" s="437">
        <v>1.3310000000000001E-4</v>
      </c>
      <c r="D24" s="441"/>
      <c r="E24" s="438">
        <v>96455.259175000014</v>
      </c>
      <c r="F24" s="442">
        <v>73768.229375000024</v>
      </c>
      <c r="G24" s="442">
        <v>17543.093775000008</v>
      </c>
      <c r="H24" s="442">
        <v>118233.66170000001</v>
      </c>
      <c r="I24" s="442">
        <v>0</v>
      </c>
      <c r="J24" s="443">
        <v>1.54E-4</v>
      </c>
      <c r="K24" s="443"/>
      <c r="L24" s="444">
        <v>21446.003700000001</v>
      </c>
      <c r="M24" s="444">
        <v>8793.5177000000003</v>
      </c>
      <c r="N24" s="444">
        <v>-1057.2133000000001</v>
      </c>
      <c r="O24" s="444">
        <v>0</v>
      </c>
      <c r="P24" s="417">
        <v>0</v>
      </c>
      <c r="Q24" s="378">
        <v>1.54E-4</v>
      </c>
      <c r="R24" s="378"/>
      <c r="S24" s="70">
        <v>52142.3243</v>
      </c>
      <c r="T24" s="105">
        <v>48802.046700000006</v>
      </c>
      <c r="U24" s="70">
        <v>28993.705400000003</v>
      </c>
      <c r="V24" s="70">
        <v>118233.66170000001</v>
      </c>
      <c r="W24" s="417">
        <v>0</v>
      </c>
      <c r="X24" s="378">
        <v>1.54E-4</v>
      </c>
      <c r="Z24" s="70">
        <v>37460.3295</v>
      </c>
      <c r="AA24" s="70">
        <v>37460.063300000002</v>
      </c>
      <c r="AB24" s="70">
        <v>0</v>
      </c>
      <c r="AC24" s="417">
        <v>0</v>
      </c>
      <c r="AD24" s="417">
        <v>0</v>
      </c>
      <c r="AE24" s="378">
        <v>1.54E-4</v>
      </c>
      <c r="AF24" s="378"/>
      <c r="AG24" s="70">
        <v>6694</v>
      </c>
      <c r="AH24" s="70">
        <v>0</v>
      </c>
      <c r="AI24" s="70">
        <v>0</v>
      </c>
      <c r="AJ24" s="417">
        <v>0</v>
      </c>
      <c r="AK24" s="417">
        <v>0</v>
      </c>
      <c r="AL24" s="378">
        <v>1.54E-4</v>
      </c>
      <c r="AM24" s="378"/>
      <c r="AN24" s="70">
        <v>-21287.398324999995</v>
      </c>
      <c r="AO24" s="70">
        <v>-21287.398324999995</v>
      </c>
      <c r="AP24" s="70">
        <v>-10393.398324999995</v>
      </c>
      <c r="AQ24" s="417">
        <v>0</v>
      </c>
      <c r="AR24" s="417">
        <v>0</v>
      </c>
    </row>
    <row r="25" spans="1:44">
      <c r="A25" s="439">
        <v>90151</v>
      </c>
      <c r="B25" s="440" t="s">
        <v>741</v>
      </c>
      <c r="C25" s="437">
        <v>8.3999999999999992E-6</v>
      </c>
      <c r="D25" s="441"/>
      <c r="E25" s="438">
        <v>5037.7875000000004</v>
      </c>
      <c r="F25" s="442">
        <v>4925.4602999999997</v>
      </c>
      <c r="G25" s="442">
        <v>1337.5419000000002</v>
      </c>
      <c r="H25" s="442">
        <v>7461.7787999999991</v>
      </c>
      <c r="I25" s="442">
        <v>0</v>
      </c>
      <c r="J25" s="443">
        <v>8.3999999999999992E-6</v>
      </c>
      <c r="K25" s="443"/>
      <c r="L25" s="444">
        <v>1353.4667999999999</v>
      </c>
      <c r="M25" s="444">
        <v>554.9627999999999</v>
      </c>
      <c r="N25" s="444">
        <v>-66.721199999999996</v>
      </c>
      <c r="O25" s="444">
        <v>0</v>
      </c>
      <c r="P25" s="417">
        <v>0</v>
      </c>
      <c r="Q25" s="378">
        <v>8.3999999999999992E-6</v>
      </c>
      <c r="R25" s="378"/>
      <c r="S25" s="70">
        <v>3290.7251999999999</v>
      </c>
      <c r="T25" s="105">
        <v>3079.9187999999999</v>
      </c>
      <c r="U25" s="70">
        <v>1829.8055999999999</v>
      </c>
      <c r="V25" s="70">
        <v>7461.7787999999991</v>
      </c>
      <c r="W25" s="417">
        <v>0</v>
      </c>
      <c r="X25" s="378">
        <v>8.3999999999999992E-6</v>
      </c>
      <c r="Z25" s="70">
        <v>2364.1379999999999</v>
      </c>
      <c r="AA25" s="70">
        <v>2364.1211999999996</v>
      </c>
      <c r="AB25" s="70">
        <v>0</v>
      </c>
      <c r="AC25" s="417">
        <v>0</v>
      </c>
      <c r="AD25" s="417">
        <v>0</v>
      </c>
      <c r="AE25" s="378">
        <v>8.3999999999999992E-6</v>
      </c>
      <c r="AF25" s="378"/>
      <c r="AG25" s="70">
        <v>0</v>
      </c>
      <c r="AH25" s="70">
        <v>0</v>
      </c>
      <c r="AI25" s="70">
        <v>0</v>
      </c>
      <c r="AJ25" s="417">
        <v>0</v>
      </c>
      <c r="AK25" s="417">
        <v>0</v>
      </c>
      <c r="AL25" s="378">
        <v>8.3999999999999992E-6</v>
      </c>
      <c r="AM25" s="378"/>
      <c r="AN25" s="70">
        <v>-1970.5424999999998</v>
      </c>
      <c r="AO25" s="70">
        <v>-1073.5424999999998</v>
      </c>
      <c r="AP25" s="70">
        <v>-425.54249999999979</v>
      </c>
      <c r="AQ25" s="417">
        <v>0</v>
      </c>
      <c r="AR25" s="417">
        <v>0</v>
      </c>
    </row>
    <row r="26" spans="1:44">
      <c r="A26" s="439">
        <v>90161</v>
      </c>
      <c r="B26" s="440" t="s">
        <v>742</v>
      </c>
      <c r="C26" s="437">
        <v>1.22E-5</v>
      </c>
      <c r="D26" s="441"/>
      <c r="E26" s="438">
        <v>-3528.7599500000015</v>
      </c>
      <c r="F26" s="442">
        <v>72.312449999999444</v>
      </c>
      <c r="G26" s="442">
        <v>-3425.8547500000009</v>
      </c>
      <c r="H26" s="442">
        <v>10837.3454</v>
      </c>
      <c r="I26" s="442">
        <v>0</v>
      </c>
      <c r="J26" s="443">
        <v>2.26E-5</v>
      </c>
      <c r="K26" s="443"/>
      <c r="L26" s="444">
        <v>1965.7493999999999</v>
      </c>
      <c r="M26" s="444">
        <v>806.01739999999995</v>
      </c>
      <c r="N26" s="444">
        <v>-96.904600000000002</v>
      </c>
      <c r="O26" s="444">
        <v>0</v>
      </c>
      <c r="P26" s="417">
        <v>0</v>
      </c>
      <c r="Q26" s="378">
        <v>2.26E-5</v>
      </c>
      <c r="R26" s="378"/>
      <c r="S26" s="70">
        <v>4779.3865999999998</v>
      </c>
      <c r="T26" s="105">
        <v>4473.2154</v>
      </c>
      <c r="U26" s="70">
        <v>2657.5747999999999</v>
      </c>
      <c r="V26" s="70">
        <v>10837.3454</v>
      </c>
      <c r="W26" s="417">
        <v>0</v>
      </c>
      <c r="X26" s="378">
        <v>2.26E-5</v>
      </c>
      <c r="Z26" s="70">
        <v>3433.6289999999999</v>
      </c>
      <c r="AA26" s="70">
        <v>3433.6046000000001</v>
      </c>
      <c r="AB26" s="70">
        <v>0</v>
      </c>
      <c r="AC26" s="417">
        <v>0</v>
      </c>
      <c r="AD26" s="417">
        <v>0</v>
      </c>
      <c r="AE26" s="378">
        <v>2.26E-5</v>
      </c>
      <c r="AF26" s="378"/>
      <c r="AG26" s="70">
        <v>0</v>
      </c>
      <c r="AH26" s="70">
        <v>0</v>
      </c>
      <c r="AI26" s="70">
        <v>0</v>
      </c>
      <c r="AJ26" s="417">
        <v>0</v>
      </c>
      <c r="AK26" s="417">
        <v>0</v>
      </c>
      <c r="AL26" s="378">
        <v>2.26E-5</v>
      </c>
      <c r="AM26" s="378"/>
      <c r="AN26" s="70">
        <v>-13707.524950000001</v>
      </c>
      <c r="AO26" s="70">
        <v>-8640.5249500000009</v>
      </c>
      <c r="AP26" s="70">
        <v>-5986.5249500000009</v>
      </c>
      <c r="AQ26" s="417">
        <v>0</v>
      </c>
      <c r="AR26" s="417">
        <v>0</v>
      </c>
    </row>
    <row r="27" spans="1:44">
      <c r="A27" s="439">
        <v>90201</v>
      </c>
      <c r="B27" s="440" t="s">
        <v>743</v>
      </c>
      <c r="C27" s="437">
        <v>1.2543999999999999E-3</v>
      </c>
      <c r="D27" s="441"/>
      <c r="E27" s="438">
        <v>1022838.8370499997</v>
      </c>
      <c r="F27" s="442">
        <v>833925.64185000001</v>
      </c>
      <c r="G27" s="442">
        <v>226045.82744999992</v>
      </c>
      <c r="H27" s="442">
        <v>1114292.3007999999</v>
      </c>
      <c r="I27" s="442">
        <v>0</v>
      </c>
      <c r="J27" s="443">
        <v>1.3133000000000001E-3</v>
      </c>
      <c r="K27" s="443"/>
      <c r="L27" s="444">
        <v>202117.70879999999</v>
      </c>
      <c r="M27" s="444">
        <v>82874.444799999997</v>
      </c>
      <c r="N27" s="444">
        <v>-9963.6991999999991</v>
      </c>
      <c r="O27" s="444">
        <v>0</v>
      </c>
      <c r="P27" s="417">
        <v>0</v>
      </c>
      <c r="Q27" s="378">
        <v>1.3133000000000001E-3</v>
      </c>
      <c r="R27" s="378"/>
      <c r="S27" s="70">
        <v>491414.96319999994</v>
      </c>
      <c r="T27" s="105">
        <v>459934.54079999996</v>
      </c>
      <c r="U27" s="70">
        <v>273250.96959999995</v>
      </c>
      <c r="V27" s="70">
        <v>1114292.3007999999</v>
      </c>
      <c r="W27" s="417">
        <v>0</v>
      </c>
      <c r="X27" s="378">
        <v>1.3133000000000001E-3</v>
      </c>
      <c r="Z27" s="70">
        <v>353044.60799999995</v>
      </c>
      <c r="AA27" s="70">
        <v>353042.0992</v>
      </c>
      <c r="AB27" s="70">
        <v>0</v>
      </c>
      <c r="AC27" s="417">
        <v>0</v>
      </c>
      <c r="AD27" s="417">
        <v>0</v>
      </c>
      <c r="AE27" s="378">
        <v>1.3133000000000001E-3</v>
      </c>
      <c r="AF27" s="378"/>
      <c r="AG27" s="70">
        <v>38187</v>
      </c>
      <c r="AH27" s="70">
        <v>0</v>
      </c>
      <c r="AI27" s="70">
        <v>0</v>
      </c>
      <c r="AJ27" s="417">
        <v>0</v>
      </c>
      <c r="AK27" s="417">
        <v>0</v>
      </c>
      <c r="AL27" s="378">
        <v>1.3133000000000001E-3</v>
      </c>
      <c r="AM27" s="378"/>
      <c r="AN27" s="70">
        <v>-61925.442950000055</v>
      </c>
      <c r="AO27" s="70">
        <v>-61925.442950000055</v>
      </c>
      <c r="AP27" s="70">
        <v>-37241.442950000055</v>
      </c>
      <c r="AQ27" s="417">
        <v>0</v>
      </c>
      <c r="AR27" s="417">
        <v>0</v>
      </c>
    </row>
    <row r="28" spans="1:44">
      <c r="A28" s="439">
        <v>90203</v>
      </c>
      <c r="B28" s="440" t="s">
        <v>744</v>
      </c>
      <c r="C28" s="437">
        <v>1.8819999999999999E-4</v>
      </c>
      <c r="D28" s="441"/>
      <c r="E28" s="438">
        <v>157607.22795</v>
      </c>
      <c r="F28" s="442">
        <v>140495.49235000001</v>
      </c>
      <c r="G28" s="442">
        <v>41458.749150000011</v>
      </c>
      <c r="H28" s="442">
        <v>167179.3774</v>
      </c>
      <c r="I28" s="442">
        <v>0</v>
      </c>
      <c r="J28" s="443">
        <v>1.8679999999999999E-4</v>
      </c>
      <c r="K28" s="443"/>
      <c r="L28" s="444">
        <v>30324.1014</v>
      </c>
      <c r="M28" s="444">
        <v>12433.8094</v>
      </c>
      <c r="N28" s="444">
        <v>-1494.8725999999999</v>
      </c>
      <c r="O28" s="444">
        <v>0</v>
      </c>
      <c r="P28" s="417">
        <v>0</v>
      </c>
      <c r="Q28" s="378">
        <v>1.8679999999999999E-4</v>
      </c>
      <c r="R28" s="378"/>
      <c r="S28" s="70">
        <v>73727.914600000004</v>
      </c>
      <c r="T28" s="105">
        <v>69004.847399999999</v>
      </c>
      <c r="U28" s="70">
        <v>40996.358800000002</v>
      </c>
      <c r="V28" s="70">
        <v>167179.3774</v>
      </c>
      <c r="W28" s="417">
        <v>0</v>
      </c>
      <c r="X28" s="378">
        <v>1.8679999999999999E-4</v>
      </c>
      <c r="Z28" s="70">
        <v>52967.949000000001</v>
      </c>
      <c r="AA28" s="70">
        <v>52967.5726</v>
      </c>
      <c r="AB28" s="70">
        <v>0</v>
      </c>
      <c r="AC28" s="417">
        <v>0</v>
      </c>
      <c r="AD28" s="417">
        <v>0</v>
      </c>
      <c r="AE28" s="378">
        <v>1.8679999999999999E-4</v>
      </c>
      <c r="AF28" s="378"/>
      <c r="AG28" s="70">
        <v>6823.2629500000112</v>
      </c>
      <c r="AH28" s="70">
        <v>6089.2629500000112</v>
      </c>
      <c r="AI28" s="70">
        <v>1957.2629500000112</v>
      </c>
      <c r="AJ28" s="417">
        <v>0</v>
      </c>
      <c r="AK28" s="417">
        <v>0</v>
      </c>
      <c r="AL28" s="378">
        <v>1.8679999999999999E-4</v>
      </c>
      <c r="AM28" s="378"/>
      <c r="AN28" s="70">
        <v>-6236</v>
      </c>
      <c r="AO28" s="70">
        <v>0</v>
      </c>
      <c r="AP28" s="70">
        <v>0</v>
      </c>
      <c r="AQ28" s="417">
        <v>0</v>
      </c>
      <c r="AR28" s="417">
        <v>0</v>
      </c>
    </row>
    <row r="29" spans="1:44">
      <c r="A29" s="439">
        <v>90205</v>
      </c>
      <c r="B29" s="440" t="s">
        <v>745</v>
      </c>
      <c r="C29" s="437">
        <v>3.3500000000000001E-5</v>
      </c>
      <c r="D29" s="441"/>
      <c r="E29" s="438">
        <v>28361.290975</v>
      </c>
      <c r="F29" s="442">
        <v>24207.997974999998</v>
      </c>
      <c r="G29" s="442">
        <v>6015.7519750000001</v>
      </c>
      <c r="H29" s="442">
        <v>29758.284500000002</v>
      </c>
      <c r="I29" s="442">
        <v>0</v>
      </c>
      <c r="J29" s="443">
        <v>3.3800000000000002E-5</v>
      </c>
      <c r="K29" s="443"/>
      <c r="L29" s="444">
        <v>5397.7545</v>
      </c>
      <c r="M29" s="444">
        <v>2213.2445000000002</v>
      </c>
      <c r="N29" s="444">
        <v>-266.09050000000002</v>
      </c>
      <c r="O29" s="444">
        <v>0</v>
      </c>
      <c r="P29" s="417">
        <v>0</v>
      </c>
      <c r="Q29" s="378">
        <v>3.3800000000000002E-5</v>
      </c>
      <c r="R29" s="378"/>
      <c r="S29" s="70">
        <v>13123.7255</v>
      </c>
      <c r="T29" s="105">
        <v>12283.0095</v>
      </c>
      <c r="U29" s="70">
        <v>7297.4390000000003</v>
      </c>
      <c r="V29" s="70">
        <v>29758.284500000002</v>
      </c>
      <c r="W29" s="417">
        <v>0</v>
      </c>
      <c r="X29" s="378">
        <v>3.3800000000000002E-5</v>
      </c>
      <c r="Z29" s="70">
        <v>9428.4075000000012</v>
      </c>
      <c r="AA29" s="70">
        <v>9428.3405000000002</v>
      </c>
      <c r="AB29" s="70">
        <v>0</v>
      </c>
      <c r="AC29" s="417">
        <v>0</v>
      </c>
      <c r="AD29" s="417">
        <v>0</v>
      </c>
      <c r="AE29" s="378">
        <v>3.3800000000000002E-5</v>
      </c>
      <c r="AF29" s="378"/>
      <c r="AG29" s="70">
        <v>1567</v>
      </c>
      <c r="AH29" s="70">
        <v>1299</v>
      </c>
      <c r="AI29" s="70">
        <v>0</v>
      </c>
      <c r="AJ29" s="417">
        <v>0</v>
      </c>
      <c r="AK29" s="417">
        <v>0</v>
      </c>
      <c r="AL29" s="378">
        <v>3.3800000000000002E-5</v>
      </c>
      <c r="AM29" s="378"/>
      <c r="AN29" s="70">
        <v>-1155.5965249999999</v>
      </c>
      <c r="AO29" s="70">
        <v>-1015.5965249999999</v>
      </c>
      <c r="AP29" s="70">
        <v>-1015.5965249999999</v>
      </c>
      <c r="AQ29" s="417">
        <v>0</v>
      </c>
      <c r="AR29" s="417">
        <v>0</v>
      </c>
    </row>
    <row r="30" spans="1:44">
      <c r="A30" s="439">
        <v>90206</v>
      </c>
      <c r="B30" s="440" t="s">
        <v>746</v>
      </c>
      <c r="C30" s="437">
        <v>3.8279999999999998E-4</v>
      </c>
      <c r="D30" s="441"/>
      <c r="E30" s="438">
        <v>315167.26884999999</v>
      </c>
      <c r="F30" s="442">
        <v>270864.78645000001</v>
      </c>
      <c r="G30" s="442">
        <v>44652.933649999977</v>
      </c>
      <c r="H30" s="442">
        <v>340043.91959999996</v>
      </c>
      <c r="I30" s="442">
        <v>0</v>
      </c>
      <c r="J30" s="443">
        <v>4.3609999999999998E-4</v>
      </c>
      <c r="K30" s="443"/>
      <c r="L30" s="444">
        <v>61679.4156</v>
      </c>
      <c r="M30" s="444">
        <v>25290.4476</v>
      </c>
      <c r="N30" s="444">
        <v>-3040.5803999999998</v>
      </c>
      <c r="O30" s="444">
        <v>0</v>
      </c>
      <c r="P30" s="417">
        <v>0</v>
      </c>
      <c r="Q30" s="378">
        <v>4.3609999999999998E-4</v>
      </c>
      <c r="R30" s="378"/>
      <c r="S30" s="70">
        <v>149963.0484</v>
      </c>
      <c r="T30" s="105">
        <v>140356.2996</v>
      </c>
      <c r="U30" s="70">
        <v>83386.855199999991</v>
      </c>
      <c r="V30" s="70">
        <v>340043.91959999996</v>
      </c>
      <c r="W30" s="417">
        <v>0</v>
      </c>
      <c r="X30" s="378">
        <v>4.3609999999999998E-4</v>
      </c>
      <c r="Z30" s="70">
        <v>107737.14599999999</v>
      </c>
      <c r="AA30" s="70">
        <v>107736.38039999999</v>
      </c>
      <c r="AB30" s="70">
        <v>0</v>
      </c>
      <c r="AC30" s="417">
        <v>0</v>
      </c>
      <c r="AD30" s="417">
        <v>0</v>
      </c>
      <c r="AE30" s="378">
        <v>4.3609999999999998E-4</v>
      </c>
      <c r="AF30" s="378"/>
      <c r="AG30" s="70">
        <v>42263</v>
      </c>
      <c r="AH30" s="70">
        <v>33175</v>
      </c>
      <c r="AI30" s="70">
        <v>0</v>
      </c>
      <c r="AJ30" s="417">
        <v>0</v>
      </c>
      <c r="AK30" s="417">
        <v>0</v>
      </c>
      <c r="AL30" s="378">
        <v>4.3609999999999998E-4</v>
      </c>
      <c r="AM30" s="378"/>
      <c r="AN30" s="70">
        <v>-46475.341150000007</v>
      </c>
      <c r="AO30" s="70">
        <v>-35693.341150000007</v>
      </c>
      <c r="AP30" s="70">
        <v>-35693.341150000007</v>
      </c>
      <c r="AQ30" s="417">
        <v>0</v>
      </c>
      <c r="AR30" s="417">
        <v>0</v>
      </c>
    </row>
    <row r="31" spans="1:44">
      <c r="A31" s="439">
        <v>90211</v>
      </c>
      <c r="B31" s="440" t="s">
        <v>747</v>
      </c>
      <c r="C31" s="437">
        <v>1.3459999999999999E-4</v>
      </c>
      <c r="D31" s="441"/>
      <c r="E31" s="438">
        <v>109784.38144999999</v>
      </c>
      <c r="F31" s="442">
        <v>94399.114649999989</v>
      </c>
      <c r="G31" s="442">
        <v>38169.565049999997</v>
      </c>
      <c r="H31" s="442">
        <v>119566.1222</v>
      </c>
      <c r="I31" s="442">
        <v>0</v>
      </c>
      <c r="J31" s="443">
        <v>1.2120000000000001E-4</v>
      </c>
      <c r="K31" s="443"/>
      <c r="L31" s="444">
        <v>21687.694199999998</v>
      </c>
      <c r="M31" s="444">
        <v>8892.618199999999</v>
      </c>
      <c r="N31" s="444">
        <v>-1069.1278</v>
      </c>
      <c r="O31" s="444">
        <v>0</v>
      </c>
      <c r="P31" s="417">
        <v>0</v>
      </c>
      <c r="Q31" s="378">
        <v>1.2120000000000001E-4</v>
      </c>
      <c r="R31" s="378"/>
      <c r="S31" s="70">
        <v>52729.953799999996</v>
      </c>
      <c r="T31" s="105">
        <v>49352.032199999994</v>
      </c>
      <c r="U31" s="70">
        <v>29320.456399999999</v>
      </c>
      <c r="V31" s="70">
        <v>119566.1222</v>
      </c>
      <c r="W31" s="417">
        <v>0</v>
      </c>
      <c r="X31" s="378">
        <v>1.2120000000000001E-4</v>
      </c>
      <c r="Z31" s="70">
        <v>37882.496999999996</v>
      </c>
      <c r="AA31" s="70">
        <v>37882.227800000001</v>
      </c>
      <c r="AB31" s="70">
        <v>0</v>
      </c>
      <c r="AC31" s="417">
        <v>0</v>
      </c>
      <c r="AD31" s="417">
        <v>0</v>
      </c>
      <c r="AE31" s="378">
        <v>1.2120000000000001E-4</v>
      </c>
      <c r="AF31" s="378"/>
      <c r="AG31" s="70">
        <v>11095.236449999997</v>
      </c>
      <c r="AH31" s="70">
        <v>9918.2364499999967</v>
      </c>
      <c r="AI31" s="70">
        <v>9918.2364499999967</v>
      </c>
      <c r="AJ31" s="417">
        <v>0</v>
      </c>
      <c r="AK31" s="417">
        <v>0</v>
      </c>
      <c r="AL31" s="378">
        <v>1.2120000000000001E-4</v>
      </c>
      <c r="AM31" s="378"/>
      <c r="AN31" s="70">
        <v>-13611</v>
      </c>
      <c r="AO31" s="70">
        <v>-11646</v>
      </c>
      <c r="AP31" s="70">
        <v>0</v>
      </c>
      <c r="AQ31" s="417">
        <v>0</v>
      </c>
      <c r="AR31" s="417">
        <v>0</v>
      </c>
    </row>
    <row r="32" spans="1:44">
      <c r="A32" s="439">
        <v>90301</v>
      </c>
      <c r="B32" s="440" t="s">
        <v>748</v>
      </c>
      <c r="C32" s="437">
        <v>6.6390000000000004E-4</v>
      </c>
      <c r="D32" s="441"/>
      <c r="E32" s="438">
        <v>518151.73837500007</v>
      </c>
      <c r="F32" s="442">
        <v>443246.84217500011</v>
      </c>
      <c r="G32" s="442">
        <v>153244.00577500006</v>
      </c>
      <c r="H32" s="442">
        <v>589747.01730000007</v>
      </c>
      <c r="I32" s="442">
        <v>0</v>
      </c>
      <c r="J32" s="443">
        <v>6.4340000000000003E-4</v>
      </c>
      <c r="K32" s="443"/>
      <c r="L32" s="444">
        <v>106972.21530000001</v>
      </c>
      <c r="M32" s="444">
        <v>43861.881300000001</v>
      </c>
      <c r="N32" s="444">
        <v>-5273.3577000000005</v>
      </c>
      <c r="O32" s="444">
        <v>0</v>
      </c>
      <c r="P32" s="417">
        <v>0</v>
      </c>
      <c r="Q32" s="378">
        <v>6.4340000000000003E-4</v>
      </c>
      <c r="R32" s="378"/>
      <c r="S32" s="70">
        <v>260084.81670000002</v>
      </c>
      <c r="T32" s="105">
        <v>243423.58230000001</v>
      </c>
      <c r="U32" s="70">
        <v>144619.9926</v>
      </c>
      <c r="V32" s="70">
        <v>589747.01730000007</v>
      </c>
      <c r="W32" s="417">
        <v>0</v>
      </c>
      <c r="X32" s="378">
        <v>6.4340000000000003E-4</v>
      </c>
      <c r="Z32" s="70">
        <v>186851.33550000002</v>
      </c>
      <c r="AA32" s="70">
        <v>186850.00770000002</v>
      </c>
      <c r="AB32" s="70">
        <v>0</v>
      </c>
      <c r="AC32" s="417">
        <v>0</v>
      </c>
      <c r="AD32" s="417">
        <v>0</v>
      </c>
      <c r="AE32" s="378">
        <v>6.4340000000000003E-4</v>
      </c>
      <c r="AF32" s="378"/>
      <c r="AG32" s="70">
        <v>13897.370875000051</v>
      </c>
      <c r="AH32" s="70">
        <v>13897.370875000051</v>
      </c>
      <c r="AI32" s="70">
        <v>13897.370875000051</v>
      </c>
      <c r="AJ32" s="417">
        <v>0</v>
      </c>
      <c r="AK32" s="417">
        <v>0</v>
      </c>
      <c r="AL32" s="378">
        <v>6.4340000000000003E-4</v>
      </c>
      <c r="AM32" s="378"/>
      <c r="AN32" s="70">
        <v>-49654</v>
      </c>
      <c r="AO32" s="70">
        <v>-44786</v>
      </c>
      <c r="AP32" s="70">
        <v>0</v>
      </c>
      <c r="AQ32" s="417">
        <v>0</v>
      </c>
      <c r="AR32" s="417">
        <v>0</v>
      </c>
    </row>
    <row r="33" spans="1:44">
      <c r="A33" s="439">
        <v>90305</v>
      </c>
      <c r="B33" s="440" t="s">
        <v>749</v>
      </c>
      <c r="C33" s="437">
        <v>1.5579999999999999E-4</v>
      </c>
      <c r="D33" s="441"/>
      <c r="E33" s="438">
        <v>151608.2427</v>
      </c>
      <c r="F33" s="442">
        <v>123643.62629999999</v>
      </c>
      <c r="G33" s="442">
        <v>41766.425499999998</v>
      </c>
      <c r="H33" s="442">
        <v>138398.23059999998</v>
      </c>
      <c r="I33" s="442">
        <v>0</v>
      </c>
      <c r="J33" s="443">
        <v>1.449E-4</v>
      </c>
      <c r="K33" s="443"/>
      <c r="L33" s="444">
        <v>25103.586599999999</v>
      </c>
      <c r="M33" s="444">
        <v>10293.238599999999</v>
      </c>
      <c r="N33" s="444">
        <v>-1237.5193999999999</v>
      </c>
      <c r="O33" s="444">
        <v>0</v>
      </c>
      <c r="P33" s="417">
        <v>0</v>
      </c>
      <c r="Q33" s="378">
        <v>1.449E-4</v>
      </c>
      <c r="R33" s="378"/>
      <c r="S33" s="70">
        <v>61035.117399999996</v>
      </c>
      <c r="T33" s="105">
        <v>57125.160599999996</v>
      </c>
      <c r="U33" s="70">
        <v>33938.537199999999</v>
      </c>
      <c r="V33" s="70">
        <v>138398.23059999998</v>
      </c>
      <c r="W33" s="417">
        <v>0</v>
      </c>
      <c r="X33" s="378">
        <v>1.449E-4</v>
      </c>
      <c r="Z33" s="70">
        <v>43849.131000000001</v>
      </c>
      <c r="AA33" s="70">
        <v>43848.8194</v>
      </c>
      <c r="AB33" s="70">
        <v>0</v>
      </c>
      <c r="AC33" s="417">
        <v>0</v>
      </c>
      <c r="AD33" s="417">
        <v>0</v>
      </c>
      <c r="AE33" s="378">
        <v>1.449E-4</v>
      </c>
      <c r="AF33" s="378"/>
      <c r="AG33" s="70">
        <v>21620.407699999996</v>
      </c>
      <c r="AH33" s="70">
        <v>12376.407699999996</v>
      </c>
      <c r="AI33" s="70">
        <v>9065.4076999999961</v>
      </c>
      <c r="AJ33" s="417">
        <v>0</v>
      </c>
      <c r="AK33" s="417">
        <v>0</v>
      </c>
      <c r="AL33" s="378">
        <v>1.449E-4</v>
      </c>
      <c r="AM33" s="378"/>
      <c r="AN33" s="70">
        <v>0</v>
      </c>
      <c r="AO33" s="70">
        <v>0</v>
      </c>
      <c r="AP33" s="70">
        <v>0</v>
      </c>
      <c r="AQ33" s="417">
        <v>0</v>
      </c>
      <c r="AR33" s="417">
        <v>0</v>
      </c>
    </row>
    <row r="34" spans="1:44">
      <c r="A34" s="439">
        <v>90307</v>
      </c>
      <c r="B34" s="440" t="s">
        <v>750</v>
      </c>
      <c r="C34" s="437">
        <v>2.5000000000000002E-6</v>
      </c>
      <c r="D34" s="441"/>
      <c r="E34" s="438">
        <v>1821.1606249999998</v>
      </c>
      <c r="F34" s="442">
        <v>1224.7656249999998</v>
      </c>
      <c r="G34" s="442">
        <v>-389.92437500000017</v>
      </c>
      <c r="H34" s="442">
        <v>2220.7675000000004</v>
      </c>
      <c r="I34" s="442">
        <v>0</v>
      </c>
      <c r="J34" s="443">
        <v>5.0000000000000004E-6</v>
      </c>
      <c r="K34" s="443"/>
      <c r="L34" s="444">
        <v>402.81750000000005</v>
      </c>
      <c r="M34" s="444">
        <v>165.16750000000002</v>
      </c>
      <c r="N34" s="444">
        <v>-19.857500000000002</v>
      </c>
      <c r="O34" s="444">
        <v>0</v>
      </c>
      <c r="P34" s="417">
        <v>0</v>
      </c>
      <c r="Q34" s="378">
        <v>5.0000000000000004E-6</v>
      </c>
      <c r="R34" s="378"/>
      <c r="S34" s="70">
        <v>979.38250000000005</v>
      </c>
      <c r="T34" s="105">
        <v>916.64250000000004</v>
      </c>
      <c r="U34" s="70">
        <v>544.58500000000004</v>
      </c>
      <c r="V34" s="70">
        <v>2220.7675000000004</v>
      </c>
      <c r="W34" s="417">
        <v>0</v>
      </c>
      <c r="X34" s="378">
        <v>5.0000000000000004E-6</v>
      </c>
      <c r="Z34" s="70">
        <v>703.61250000000007</v>
      </c>
      <c r="AA34" s="70">
        <v>703.60750000000007</v>
      </c>
      <c r="AB34" s="70">
        <v>0</v>
      </c>
      <c r="AC34" s="417">
        <v>0</v>
      </c>
      <c r="AD34" s="417">
        <v>0</v>
      </c>
      <c r="AE34" s="378">
        <v>5.0000000000000004E-6</v>
      </c>
      <c r="AF34" s="378"/>
      <c r="AG34" s="70">
        <v>650</v>
      </c>
      <c r="AH34" s="70">
        <v>354</v>
      </c>
      <c r="AI34" s="70">
        <v>0</v>
      </c>
      <c r="AJ34" s="417">
        <v>0</v>
      </c>
      <c r="AK34" s="417">
        <v>0</v>
      </c>
      <c r="AL34" s="378">
        <v>5.0000000000000004E-6</v>
      </c>
      <c r="AM34" s="378"/>
      <c r="AN34" s="70">
        <v>-914.65187500000025</v>
      </c>
      <c r="AO34" s="70">
        <v>-914.65187500000025</v>
      </c>
      <c r="AP34" s="70">
        <v>-914.65187500000025</v>
      </c>
      <c r="AQ34" s="417">
        <v>0</v>
      </c>
      <c r="AR34" s="417">
        <v>0</v>
      </c>
    </row>
    <row r="35" spans="1:44">
      <c r="A35" s="439">
        <v>90401</v>
      </c>
      <c r="B35" s="440" t="s">
        <v>751</v>
      </c>
      <c r="C35" s="437">
        <v>1.4053E-3</v>
      </c>
      <c r="D35" s="441"/>
      <c r="E35" s="438">
        <v>1291484.5973749999</v>
      </c>
      <c r="F35" s="442">
        <v>1064512.5599750001</v>
      </c>
      <c r="G35" s="442">
        <v>290871.49717499997</v>
      </c>
      <c r="H35" s="442">
        <v>1248337.8270999999</v>
      </c>
      <c r="I35" s="442">
        <v>0</v>
      </c>
      <c r="J35" s="443">
        <v>1.4093E-3</v>
      </c>
      <c r="K35" s="443"/>
      <c r="L35" s="444">
        <v>226431.77309999999</v>
      </c>
      <c r="M35" s="444">
        <v>92843.955099999992</v>
      </c>
      <c r="N35" s="444">
        <v>-11162.2979</v>
      </c>
      <c r="O35" s="444">
        <v>0</v>
      </c>
      <c r="P35" s="417">
        <v>0</v>
      </c>
      <c r="Q35" s="378">
        <v>1.4093E-3</v>
      </c>
      <c r="R35" s="378"/>
      <c r="S35" s="70">
        <v>550530.49089999998</v>
      </c>
      <c r="T35" s="105">
        <v>515263.0821</v>
      </c>
      <c r="U35" s="70">
        <v>306122.1202</v>
      </c>
      <c r="V35" s="70">
        <v>1248337.8270999999</v>
      </c>
      <c r="W35" s="417">
        <v>0</v>
      </c>
      <c r="X35" s="378">
        <v>1.4093E-3</v>
      </c>
      <c r="Z35" s="70">
        <v>395514.65849999996</v>
      </c>
      <c r="AA35" s="70">
        <v>395511.84789999999</v>
      </c>
      <c r="AB35" s="70">
        <v>0</v>
      </c>
      <c r="AC35" s="417">
        <v>0</v>
      </c>
      <c r="AD35" s="417">
        <v>0</v>
      </c>
      <c r="AE35" s="378">
        <v>1.4093E-3</v>
      </c>
      <c r="AF35" s="378"/>
      <c r="AG35" s="70">
        <v>123096</v>
      </c>
      <c r="AH35" s="70">
        <v>64982</v>
      </c>
      <c r="AI35" s="70">
        <v>0</v>
      </c>
      <c r="AJ35" s="417">
        <v>0</v>
      </c>
      <c r="AK35" s="417">
        <v>0</v>
      </c>
      <c r="AL35" s="378">
        <v>1.4093E-3</v>
      </c>
      <c r="AM35" s="378"/>
      <c r="AN35" s="70">
        <v>-4088.3251250000321</v>
      </c>
      <c r="AO35" s="70">
        <v>-4088.3251250000321</v>
      </c>
      <c r="AP35" s="70">
        <v>-4088.3251250000321</v>
      </c>
      <c r="AQ35" s="417">
        <v>0</v>
      </c>
      <c r="AR35" s="417">
        <v>0</v>
      </c>
    </row>
    <row r="36" spans="1:44">
      <c r="A36" s="439">
        <v>90411</v>
      </c>
      <c r="B36" s="440" t="s">
        <v>752</v>
      </c>
      <c r="C36" s="437">
        <v>3.3550000000000002E-4</v>
      </c>
      <c r="D36" s="441"/>
      <c r="E36" s="438">
        <v>278105.79877500003</v>
      </c>
      <c r="F36" s="442">
        <v>236561.78977500004</v>
      </c>
      <c r="G36" s="442">
        <v>68403.191775000028</v>
      </c>
      <c r="H36" s="442">
        <v>298026.99850000005</v>
      </c>
      <c r="I36" s="442">
        <v>0</v>
      </c>
      <c r="J36" s="443">
        <v>3.3819999999999998E-4</v>
      </c>
      <c r="K36" s="443"/>
      <c r="L36" s="444">
        <v>54058.108500000002</v>
      </c>
      <c r="M36" s="444">
        <v>22165.478500000001</v>
      </c>
      <c r="N36" s="444">
        <v>-2664.8765000000003</v>
      </c>
      <c r="O36" s="444">
        <v>0</v>
      </c>
      <c r="P36" s="417">
        <v>0</v>
      </c>
      <c r="Q36" s="378">
        <v>3.3819999999999998E-4</v>
      </c>
      <c r="R36" s="378"/>
      <c r="S36" s="70">
        <v>131433.13150000002</v>
      </c>
      <c r="T36" s="105">
        <v>123013.4235</v>
      </c>
      <c r="U36" s="70">
        <v>73083.307000000001</v>
      </c>
      <c r="V36" s="70">
        <v>298026.99850000005</v>
      </c>
      <c r="W36" s="417">
        <v>0</v>
      </c>
      <c r="X36" s="378">
        <v>3.3819999999999998E-4</v>
      </c>
      <c r="Z36" s="70">
        <v>94424.797500000001</v>
      </c>
      <c r="AA36" s="70">
        <v>94424.126500000013</v>
      </c>
      <c r="AB36" s="70">
        <v>0</v>
      </c>
      <c r="AC36" s="417">
        <v>0</v>
      </c>
      <c r="AD36" s="417">
        <v>0</v>
      </c>
      <c r="AE36" s="378">
        <v>3.3819999999999998E-4</v>
      </c>
      <c r="AF36" s="378"/>
      <c r="AG36" s="70">
        <v>6509</v>
      </c>
      <c r="AH36" s="70">
        <v>0</v>
      </c>
      <c r="AI36" s="70">
        <v>0</v>
      </c>
      <c r="AJ36" s="417">
        <v>0</v>
      </c>
      <c r="AK36" s="417">
        <v>0</v>
      </c>
      <c r="AL36" s="378">
        <v>3.3819999999999998E-4</v>
      </c>
      <c r="AM36" s="378"/>
      <c r="AN36" s="70">
        <v>-8319.2387249999738</v>
      </c>
      <c r="AO36" s="70">
        <v>-3041.2387249999738</v>
      </c>
      <c r="AP36" s="70">
        <v>-2015.2387249999738</v>
      </c>
      <c r="AQ36" s="417">
        <v>0</v>
      </c>
      <c r="AR36" s="417">
        <v>0</v>
      </c>
    </row>
    <row r="37" spans="1:44">
      <c r="A37" s="439">
        <v>90413</v>
      </c>
      <c r="B37" s="440" t="s">
        <v>753</v>
      </c>
      <c r="C37" s="437">
        <v>2.7399999999999999E-5</v>
      </c>
      <c r="D37" s="441"/>
      <c r="E37" s="438">
        <v>22066.54465</v>
      </c>
      <c r="F37" s="442">
        <v>18054.21545</v>
      </c>
      <c r="G37" s="442">
        <v>3157.0530499999977</v>
      </c>
      <c r="H37" s="442">
        <v>24339.611799999999</v>
      </c>
      <c r="I37" s="442">
        <v>0</v>
      </c>
      <c r="J37" s="443">
        <v>3.4600000000000001E-5</v>
      </c>
      <c r="K37" s="443"/>
      <c r="L37" s="444">
        <v>4414.8797999999997</v>
      </c>
      <c r="M37" s="444">
        <v>1810.2357999999999</v>
      </c>
      <c r="N37" s="444">
        <v>-217.63819999999998</v>
      </c>
      <c r="O37" s="444">
        <v>0</v>
      </c>
      <c r="P37" s="417">
        <v>0</v>
      </c>
      <c r="Q37" s="378">
        <v>3.4600000000000001E-5</v>
      </c>
      <c r="R37" s="378"/>
      <c r="S37" s="70">
        <v>10734.0322</v>
      </c>
      <c r="T37" s="105">
        <v>10046.4018</v>
      </c>
      <c r="U37" s="70">
        <v>5968.6515999999992</v>
      </c>
      <c r="V37" s="70">
        <v>24339.611799999999</v>
      </c>
      <c r="W37" s="417">
        <v>0</v>
      </c>
      <c r="X37" s="378">
        <v>3.4600000000000001E-5</v>
      </c>
      <c r="Z37" s="70">
        <v>7711.5929999999998</v>
      </c>
      <c r="AA37" s="70">
        <v>7711.5382</v>
      </c>
      <c r="AB37" s="70">
        <v>0</v>
      </c>
      <c r="AC37" s="417">
        <v>0</v>
      </c>
      <c r="AD37" s="417">
        <v>0</v>
      </c>
      <c r="AE37" s="378">
        <v>3.4600000000000001E-5</v>
      </c>
      <c r="AF37" s="378"/>
      <c r="AG37" s="70">
        <v>1800</v>
      </c>
      <c r="AH37" s="70">
        <v>1080</v>
      </c>
      <c r="AI37" s="70">
        <v>0</v>
      </c>
      <c r="AJ37" s="417">
        <v>0</v>
      </c>
      <c r="AK37" s="417">
        <v>0</v>
      </c>
      <c r="AL37" s="378">
        <v>3.4600000000000001E-5</v>
      </c>
      <c r="AM37" s="378"/>
      <c r="AN37" s="70">
        <v>-2593.9603500000012</v>
      </c>
      <c r="AO37" s="70">
        <v>-2593.9603500000012</v>
      </c>
      <c r="AP37" s="70">
        <v>-2593.9603500000012</v>
      </c>
      <c r="AQ37" s="417">
        <v>0</v>
      </c>
      <c r="AR37" s="417">
        <v>0</v>
      </c>
    </row>
    <row r="38" spans="1:44">
      <c r="A38" s="439">
        <v>90417</v>
      </c>
      <c r="B38" s="440" t="s">
        <v>754</v>
      </c>
      <c r="C38" s="437">
        <v>8.8000000000000004E-6</v>
      </c>
      <c r="D38" s="441"/>
      <c r="E38" s="438">
        <v>11218.838299999999</v>
      </c>
      <c r="F38" s="442">
        <v>9101.4478999999992</v>
      </c>
      <c r="G38" s="442">
        <v>2803.8190999999997</v>
      </c>
      <c r="H38" s="442">
        <v>7817.1016</v>
      </c>
      <c r="I38" s="442">
        <v>0</v>
      </c>
      <c r="J38" s="443">
        <v>1.0200000000000001E-5</v>
      </c>
      <c r="K38" s="443"/>
      <c r="L38" s="444">
        <v>1417.9176</v>
      </c>
      <c r="M38" s="444">
        <v>581.38959999999997</v>
      </c>
      <c r="N38" s="444">
        <v>-69.898400000000009</v>
      </c>
      <c r="O38" s="444">
        <v>0</v>
      </c>
      <c r="P38" s="417">
        <v>0</v>
      </c>
      <c r="Q38" s="378">
        <v>1.0200000000000001E-5</v>
      </c>
      <c r="R38" s="378"/>
      <c r="S38" s="70">
        <v>3447.4264000000003</v>
      </c>
      <c r="T38" s="105">
        <v>3226.5816</v>
      </c>
      <c r="U38" s="70">
        <v>1916.9392</v>
      </c>
      <c r="V38" s="70">
        <v>7817.1016</v>
      </c>
      <c r="W38" s="417">
        <v>0</v>
      </c>
      <c r="X38" s="378">
        <v>1.0200000000000001E-5</v>
      </c>
      <c r="Z38" s="70">
        <v>2476.7160000000003</v>
      </c>
      <c r="AA38" s="70">
        <v>2476.6984000000002</v>
      </c>
      <c r="AB38" s="70">
        <v>0</v>
      </c>
      <c r="AC38" s="417">
        <v>0</v>
      </c>
      <c r="AD38" s="417">
        <v>0</v>
      </c>
      <c r="AE38" s="378">
        <v>1.0200000000000001E-5</v>
      </c>
      <c r="AF38" s="378"/>
      <c r="AG38" s="70">
        <v>3876.7782999999999</v>
      </c>
      <c r="AH38" s="70">
        <v>2816.7782999999999</v>
      </c>
      <c r="AI38" s="70">
        <v>956.77829999999972</v>
      </c>
      <c r="AJ38" s="417">
        <v>0</v>
      </c>
      <c r="AK38" s="417">
        <v>0</v>
      </c>
      <c r="AL38" s="378">
        <v>1.0200000000000001E-5</v>
      </c>
      <c r="AM38" s="378"/>
      <c r="AN38" s="70">
        <v>0</v>
      </c>
      <c r="AO38" s="70">
        <v>0</v>
      </c>
      <c r="AP38" s="70">
        <v>0</v>
      </c>
      <c r="AQ38" s="417">
        <v>0</v>
      </c>
      <c r="AR38" s="417">
        <v>0</v>
      </c>
    </row>
    <row r="39" spans="1:44">
      <c r="A39" s="439">
        <v>90421</v>
      </c>
      <c r="B39" s="440" t="s">
        <v>755</v>
      </c>
      <c r="C39" s="437">
        <v>2.2200000000000001E-5</v>
      </c>
      <c r="D39" s="441"/>
      <c r="E39" s="438">
        <v>19158.916499999999</v>
      </c>
      <c r="F39" s="442">
        <v>13983.4089</v>
      </c>
      <c r="G39" s="442">
        <v>2232.4816999999985</v>
      </c>
      <c r="H39" s="442">
        <v>19720.415400000002</v>
      </c>
      <c r="I39" s="442">
        <v>0</v>
      </c>
      <c r="J39" s="443">
        <v>2.6699999999999998E-5</v>
      </c>
      <c r="K39" s="443"/>
      <c r="L39" s="444">
        <v>3577.0194000000001</v>
      </c>
      <c r="M39" s="444">
        <v>1466.6874</v>
      </c>
      <c r="N39" s="444">
        <v>-176.33459999999999</v>
      </c>
      <c r="O39" s="444">
        <v>0</v>
      </c>
      <c r="P39" s="417">
        <v>0</v>
      </c>
      <c r="Q39" s="378">
        <v>2.6699999999999998E-5</v>
      </c>
      <c r="R39" s="378"/>
      <c r="S39" s="70">
        <v>8696.9166000000005</v>
      </c>
      <c r="T39" s="105">
        <v>8139.7854000000007</v>
      </c>
      <c r="U39" s="70">
        <v>4835.9148000000005</v>
      </c>
      <c r="V39" s="70">
        <v>19720.415400000002</v>
      </c>
      <c r="W39" s="417">
        <v>0</v>
      </c>
      <c r="X39" s="378">
        <v>2.6699999999999998E-5</v>
      </c>
      <c r="Z39" s="70">
        <v>6248.0790000000006</v>
      </c>
      <c r="AA39" s="70">
        <v>6248.0346</v>
      </c>
      <c r="AB39" s="70">
        <v>0</v>
      </c>
      <c r="AC39" s="417">
        <v>0</v>
      </c>
      <c r="AD39" s="417">
        <v>0</v>
      </c>
      <c r="AE39" s="378">
        <v>2.6699999999999998E-5</v>
      </c>
      <c r="AF39" s="378"/>
      <c r="AG39" s="70">
        <v>3406</v>
      </c>
      <c r="AH39" s="70">
        <v>556</v>
      </c>
      <c r="AI39" s="70">
        <v>0</v>
      </c>
      <c r="AJ39" s="417">
        <v>0</v>
      </c>
      <c r="AK39" s="417">
        <v>0</v>
      </c>
      <c r="AL39" s="378">
        <v>2.6699999999999998E-5</v>
      </c>
      <c r="AM39" s="378"/>
      <c r="AN39" s="70">
        <v>-2769.0985000000019</v>
      </c>
      <c r="AO39" s="70">
        <v>-2427.0985000000019</v>
      </c>
      <c r="AP39" s="70">
        <v>-2427.0985000000019</v>
      </c>
      <c r="AQ39" s="417">
        <v>0</v>
      </c>
      <c r="AR39" s="417">
        <v>0</v>
      </c>
    </row>
    <row r="40" spans="1:44">
      <c r="A40" s="439">
        <v>90431</v>
      </c>
      <c r="B40" s="440" t="s">
        <v>756</v>
      </c>
      <c r="C40" s="437">
        <v>2.8200000000000001E-5</v>
      </c>
      <c r="D40" s="441"/>
      <c r="E40" s="438">
        <v>14915.554349999999</v>
      </c>
      <c r="F40" s="442">
        <v>10913.098750000001</v>
      </c>
      <c r="G40" s="442">
        <v>2281.5155499999992</v>
      </c>
      <c r="H40" s="442">
        <v>25050.257400000002</v>
      </c>
      <c r="I40" s="442">
        <v>0</v>
      </c>
      <c r="J40" s="443">
        <v>3.8000000000000002E-5</v>
      </c>
      <c r="K40" s="443"/>
      <c r="L40" s="444">
        <v>4543.7813999999998</v>
      </c>
      <c r="M40" s="444">
        <v>1863.0894000000001</v>
      </c>
      <c r="N40" s="444">
        <v>-223.99260000000001</v>
      </c>
      <c r="O40" s="444">
        <v>0</v>
      </c>
      <c r="P40" s="417">
        <v>0</v>
      </c>
      <c r="Q40" s="378">
        <v>3.8000000000000002E-5</v>
      </c>
      <c r="R40" s="378"/>
      <c r="S40" s="70">
        <v>11047.434600000001</v>
      </c>
      <c r="T40" s="105">
        <v>10339.7274</v>
      </c>
      <c r="U40" s="70">
        <v>6142.9188000000004</v>
      </c>
      <c r="V40" s="70">
        <v>25050.257400000002</v>
      </c>
      <c r="W40" s="417">
        <v>0</v>
      </c>
      <c r="X40" s="378">
        <v>3.8000000000000002E-5</v>
      </c>
      <c r="Z40" s="70">
        <v>7936.7490000000007</v>
      </c>
      <c r="AA40" s="70">
        <v>7936.6926000000003</v>
      </c>
      <c r="AB40" s="70">
        <v>0</v>
      </c>
      <c r="AC40" s="417">
        <v>0</v>
      </c>
      <c r="AD40" s="417">
        <v>0</v>
      </c>
      <c r="AE40" s="378">
        <v>3.8000000000000002E-5</v>
      </c>
      <c r="AF40" s="378"/>
      <c r="AG40" s="70">
        <v>649</v>
      </c>
      <c r="AH40" s="70">
        <v>0</v>
      </c>
      <c r="AI40" s="70">
        <v>0</v>
      </c>
      <c r="AJ40" s="417">
        <v>0</v>
      </c>
      <c r="AK40" s="417">
        <v>0</v>
      </c>
      <c r="AL40" s="378">
        <v>3.8000000000000002E-5</v>
      </c>
      <c r="AM40" s="378"/>
      <c r="AN40" s="70">
        <v>-9261.4106500000016</v>
      </c>
      <c r="AO40" s="70">
        <v>-9226.4106500000016</v>
      </c>
      <c r="AP40" s="70">
        <v>-3637.4106500000016</v>
      </c>
      <c r="AQ40" s="417">
        <v>0</v>
      </c>
      <c r="AR40" s="417">
        <v>0</v>
      </c>
    </row>
    <row r="41" spans="1:44">
      <c r="A41" s="439">
        <v>90441</v>
      </c>
      <c r="B41" s="440" t="s">
        <v>757</v>
      </c>
      <c r="C41" s="437">
        <v>1.0200000000000001E-5</v>
      </c>
      <c r="D41" s="441"/>
      <c r="E41" s="438">
        <v>12699.066849999999</v>
      </c>
      <c r="F41" s="442">
        <v>10957.455250000001</v>
      </c>
      <c r="G41" s="442">
        <v>5289.8400500000007</v>
      </c>
      <c r="H41" s="442">
        <v>9060.7314000000006</v>
      </c>
      <c r="I41" s="442">
        <v>0</v>
      </c>
      <c r="J41" s="443">
        <v>5.0000000000000004E-6</v>
      </c>
      <c r="K41" s="443"/>
      <c r="L41" s="444">
        <v>1643.4954</v>
      </c>
      <c r="M41" s="444">
        <v>673.88340000000005</v>
      </c>
      <c r="N41" s="444">
        <v>-81.018600000000006</v>
      </c>
      <c r="O41" s="444">
        <v>0</v>
      </c>
      <c r="P41" s="417">
        <v>0</v>
      </c>
      <c r="Q41" s="378">
        <v>5.0000000000000004E-6</v>
      </c>
      <c r="R41" s="378"/>
      <c r="S41" s="70">
        <v>3995.8806000000004</v>
      </c>
      <c r="T41" s="105">
        <v>3739.9014000000002</v>
      </c>
      <c r="U41" s="70">
        <v>2221.9068000000002</v>
      </c>
      <c r="V41" s="70">
        <v>9060.7314000000006</v>
      </c>
      <c r="W41" s="417">
        <v>0</v>
      </c>
      <c r="X41" s="378">
        <v>5.0000000000000004E-6</v>
      </c>
      <c r="Z41" s="70">
        <v>2870.739</v>
      </c>
      <c r="AA41" s="70">
        <v>2870.7186000000002</v>
      </c>
      <c r="AB41" s="70">
        <v>0</v>
      </c>
      <c r="AC41" s="417">
        <v>0</v>
      </c>
      <c r="AD41" s="417">
        <v>0</v>
      </c>
      <c r="AE41" s="378">
        <v>5.0000000000000004E-6</v>
      </c>
      <c r="AF41" s="378"/>
      <c r="AG41" s="70">
        <v>4188.9518499999995</v>
      </c>
      <c r="AH41" s="70">
        <v>3672.9518499999999</v>
      </c>
      <c r="AI41" s="70">
        <v>3148.9518499999999</v>
      </c>
      <c r="AJ41" s="417">
        <v>0</v>
      </c>
      <c r="AK41" s="417">
        <v>0</v>
      </c>
      <c r="AL41" s="378">
        <v>5.0000000000000004E-6</v>
      </c>
      <c r="AM41" s="378"/>
      <c r="AN41" s="70">
        <v>0</v>
      </c>
      <c r="AO41" s="70">
        <v>0</v>
      </c>
      <c r="AP41" s="70">
        <v>0</v>
      </c>
      <c r="AQ41" s="417">
        <v>0</v>
      </c>
      <c r="AR41" s="417">
        <v>0</v>
      </c>
    </row>
    <row r="42" spans="1:44">
      <c r="A42" s="439">
        <v>90451</v>
      </c>
      <c r="B42" s="440" t="s">
        <v>758</v>
      </c>
      <c r="C42" s="437">
        <v>2.3200000000000001E-5</v>
      </c>
      <c r="D42" s="441"/>
      <c r="E42" s="438">
        <v>19913.947200000002</v>
      </c>
      <c r="F42" s="442">
        <v>17181.281600000002</v>
      </c>
      <c r="G42" s="442">
        <v>11408.0784</v>
      </c>
      <c r="H42" s="442">
        <v>20608.722400000002</v>
      </c>
      <c r="I42" s="442">
        <v>0</v>
      </c>
      <c r="J42" s="443">
        <v>1.08E-5</v>
      </c>
      <c r="K42" s="443"/>
      <c r="L42" s="444">
        <v>3738.1464000000001</v>
      </c>
      <c r="M42" s="444">
        <v>1532.7544</v>
      </c>
      <c r="N42" s="444">
        <v>-184.27760000000001</v>
      </c>
      <c r="O42" s="444">
        <v>0</v>
      </c>
      <c r="P42" s="417">
        <v>0</v>
      </c>
      <c r="Q42" s="378">
        <v>1.08E-5</v>
      </c>
      <c r="R42" s="378"/>
      <c r="S42" s="70">
        <v>9088.6696000000011</v>
      </c>
      <c r="T42" s="105">
        <v>8506.4423999999999</v>
      </c>
      <c r="U42" s="70">
        <v>5053.7488000000003</v>
      </c>
      <c r="V42" s="70">
        <v>20608.722400000002</v>
      </c>
      <c r="W42" s="417">
        <v>0</v>
      </c>
      <c r="X42" s="378">
        <v>1.08E-5</v>
      </c>
      <c r="Z42" s="70">
        <v>6529.5240000000003</v>
      </c>
      <c r="AA42" s="70">
        <v>6529.4776000000002</v>
      </c>
      <c r="AB42" s="70">
        <v>0</v>
      </c>
      <c r="AC42" s="417">
        <v>0</v>
      </c>
      <c r="AD42" s="417">
        <v>0</v>
      </c>
      <c r="AE42" s="378">
        <v>1.08E-5</v>
      </c>
      <c r="AF42" s="378"/>
      <c r="AG42" s="70">
        <v>7000.6072000000004</v>
      </c>
      <c r="AH42" s="70">
        <v>6538.6072000000004</v>
      </c>
      <c r="AI42" s="70">
        <v>6538.6072000000004</v>
      </c>
      <c r="AJ42" s="417">
        <v>0</v>
      </c>
      <c r="AK42" s="417">
        <v>0</v>
      </c>
      <c r="AL42" s="378">
        <v>1.08E-5</v>
      </c>
      <c r="AM42" s="378"/>
      <c r="AN42" s="70">
        <v>-6443</v>
      </c>
      <c r="AO42" s="70">
        <v>-5926</v>
      </c>
      <c r="AP42" s="70">
        <v>0</v>
      </c>
      <c r="AQ42" s="417">
        <v>0</v>
      </c>
      <c r="AR42" s="417">
        <v>0</v>
      </c>
    </row>
    <row r="43" spans="1:44">
      <c r="A43" s="439">
        <v>90461</v>
      </c>
      <c r="B43" s="440" t="s">
        <v>759</v>
      </c>
      <c r="C43" s="437">
        <v>0</v>
      </c>
      <c r="D43" s="441"/>
      <c r="E43" s="438">
        <v>-1530.7966999999999</v>
      </c>
      <c r="F43" s="442">
        <v>-2560.7966999999999</v>
      </c>
      <c r="G43" s="442">
        <v>-6478.7966999999999</v>
      </c>
      <c r="H43" s="442">
        <v>0</v>
      </c>
      <c r="I43" s="442">
        <v>0</v>
      </c>
      <c r="J43" s="443">
        <v>1.1399999999999999E-5</v>
      </c>
      <c r="K43" s="443"/>
      <c r="L43" s="444">
        <v>0</v>
      </c>
      <c r="M43" s="444">
        <v>0</v>
      </c>
      <c r="N43" s="444">
        <v>0</v>
      </c>
      <c r="O43" s="444">
        <v>0</v>
      </c>
      <c r="P43" s="417">
        <v>0</v>
      </c>
      <c r="Q43" s="378">
        <v>1.1399999999999999E-5</v>
      </c>
      <c r="R43" s="378"/>
      <c r="S43" s="70">
        <v>0</v>
      </c>
      <c r="T43" s="105">
        <v>0</v>
      </c>
      <c r="U43" s="70">
        <v>0</v>
      </c>
      <c r="V43" s="70">
        <v>0</v>
      </c>
      <c r="W43" s="417">
        <v>0</v>
      </c>
      <c r="X43" s="378">
        <v>1.1399999999999999E-5</v>
      </c>
      <c r="Z43" s="70">
        <v>0</v>
      </c>
      <c r="AA43" s="70">
        <v>0</v>
      </c>
      <c r="AB43" s="70">
        <v>0</v>
      </c>
      <c r="AC43" s="417">
        <v>0</v>
      </c>
      <c r="AD43" s="417">
        <v>0</v>
      </c>
      <c r="AE43" s="378">
        <v>1.1399999999999999E-5</v>
      </c>
      <c r="AF43" s="378"/>
      <c r="AG43" s="70">
        <v>5604</v>
      </c>
      <c r="AH43" s="70">
        <v>3918</v>
      </c>
      <c r="AI43" s="70">
        <v>0</v>
      </c>
      <c r="AJ43" s="417">
        <v>0</v>
      </c>
      <c r="AK43" s="417">
        <v>0</v>
      </c>
      <c r="AL43" s="378">
        <v>1.1399999999999999E-5</v>
      </c>
      <c r="AM43" s="378"/>
      <c r="AN43" s="70">
        <v>-7134.7966999999999</v>
      </c>
      <c r="AO43" s="70">
        <v>-6478.7966999999999</v>
      </c>
      <c r="AP43" s="70">
        <v>-6478.7966999999999</v>
      </c>
      <c r="AQ43" s="417">
        <v>0</v>
      </c>
      <c r="AR43" s="417">
        <v>0</v>
      </c>
    </row>
    <row r="44" spans="1:44">
      <c r="A44" s="439">
        <v>90501</v>
      </c>
      <c r="B44" s="440" t="s">
        <v>760</v>
      </c>
      <c r="C44" s="437">
        <v>1.5284000000000001E-3</v>
      </c>
      <c r="D44" s="441"/>
      <c r="E44" s="438">
        <v>1325975.6270999999</v>
      </c>
      <c r="F44" s="442">
        <v>1100759.1398999998</v>
      </c>
      <c r="G44" s="442">
        <v>345126.70149999979</v>
      </c>
      <c r="H44" s="442">
        <v>1357688.4188000001</v>
      </c>
      <c r="I44" s="442">
        <v>0</v>
      </c>
      <c r="J44" s="443">
        <v>1.4752000000000001E-3</v>
      </c>
      <c r="K44" s="443"/>
      <c r="L44" s="444">
        <v>246266.5068</v>
      </c>
      <c r="M44" s="444">
        <v>100976.8028</v>
      </c>
      <c r="N44" s="444">
        <v>-12140.081200000001</v>
      </c>
      <c r="O44" s="444">
        <v>0</v>
      </c>
      <c r="P44" s="417">
        <v>0</v>
      </c>
      <c r="Q44" s="378">
        <v>1.4752000000000001E-3</v>
      </c>
      <c r="R44" s="378"/>
      <c r="S44" s="70">
        <v>598755.28520000004</v>
      </c>
      <c r="T44" s="105">
        <v>560398.5588</v>
      </c>
      <c r="U44" s="70">
        <v>332937.48560000001</v>
      </c>
      <c r="V44" s="70">
        <v>1357688.4188000001</v>
      </c>
      <c r="W44" s="417">
        <v>0</v>
      </c>
      <c r="X44" s="378">
        <v>1.4752000000000001E-3</v>
      </c>
      <c r="Z44" s="70">
        <v>430160.538</v>
      </c>
      <c r="AA44" s="70">
        <v>430157.48120000004</v>
      </c>
      <c r="AB44" s="70">
        <v>0</v>
      </c>
      <c r="AC44" s="417">
        <v>0</v>
      </c>
      <c r="AD44" s="417">
        <v>0</v>
      </c>
      <c r="AE44" s="378">
        <v>1.4752000000000001E-3</v>
      </c>
      <c r="AF44" s="378"/>
      <c r="AG44" s="70">
        <v>65896.297099999792</v>
      </c>
      <c r="AH44" s="70">
        <v>24329.297099999792</v>
      </c>
      <c r="AI44" s="70">
        <v>24329.297099999792</v>
      </c>
      <c r="AJ44" s="417">
        <v>0</v>
      </c>
      <c r="AK44" s="417">
        <v>0</v>
      </c>
      <c r="AL44" s="378">
        <v>1.4752000000000001E-3</v>
      </c>
      <c r="AM44" s="378"/>
      <c r="AN44" s="70">
        <v>-15103</v>
      </c>
      <c r="AO44" s="70">
        <v>-15103</v>
      </c>
      <c r="AP44" s="70">
        <v>0</v>
      </c>
      <c r="AQ44" s="417">
        <v>0</v>
      </c>
      <c r="AR44" s="417">
        <v>0</v>
      </c>
    </row>
    <row r="45" spans="1:44">
      <c r="A45" s="439">
        <v>90507</v>
      </c>
      <c r="B45" s="440" t="s">
        <v>34</v>
      </c>
      <c r="C45" s="437">
        <v>2.1699999999999999E-5</v>
      </c>
      <c r="D45" s="441"/>
      <c r="E45" s="438">
        <v>33796.823675000007</v>
      </c>
      <c r="F45" s="442">
        <v>26104.395075</v>
      </c>
      <c r="G45" s="442">
        <v>9613.6058750000011</v>
      </c>
      <c r="H45" s="442">
        <v>19276.261899999998</v>
      </c>
      <c r="I45" s="442">
        <v>0</v>
      </c>
      <c r="J45" s="443">
        <v>1.6099999999999998E-5</v>
      </c>
      <c r="K45" s="443"/>
      <c r="L45" s="444">
        <v>3496.4558999999999</v>
      </c>
      <c r="M45" s="444">
        <v>1433.6539</v>
      </c>
      <c r="N45" s="444">
        <v>-172.3631</v>
      </c>
      <c r="O45" s="444">
        <v>0</v>
      </c>
      <c r="P45" s="417">
        <v>0</v>
      </c>
      <c r="Q45" s="378">
        <v>1.6099999999999998E-5</v>
      </c>
      <c r="R45" s="378"/>
      <c r="S45" s="70">
        <v>8501.0401000000002</v>
      </c>
      <c r="T45" s="105">
        <v>7956.4568999999992</v>
      </c>
      <c r="U45" s="70">
        <v>4726.9978000000001</v>
      </c>
      <c r="V45" s="70">
        <v>19276.261899999998</v>
      </c>
      <c r="W45" s="417">
        <v>0</v>
      </c>
      <c r="X45" s="378">
        <v>1.6099999999999998E-5</v>
      </c>
      <c r="Z45" s="70">
        <v>6107.3564999999999</v>
      </c>
      <c r="AA45" s="70">
        <v>6107.3130999999994</v>
      </c>
      <c r="AB45" s="70">
        <v>0</v>
      </c>
      <c r="AC45" s="417">
        <v>0</v>
      </c>
      <c r="AD45" s="417">
        <v>0</v>
      </c>
      <c r="AE45" s="378">
        <v>1.6099999999999998E-5</v>
      </c>
      <c r="AF45" s="378"/>
      <c r="AG45" s="70">
        <v>15691.971175000002</v>
      </c>
      <c r="AH45" s="70">
        <v>10606.971175000002</v>
      </c>
      <c r="AI45" s="70">
        <v>5058.9711750000015</v>
      </c>
      <c r="AJ45" s="417">
        <v>0</v>
      </c>
      <c r="AK45" s="417">
        <v>0</v>
      </c>
      <c r="AL45" s="378">
        <v>1.6099999999999998E-5</v>
      </c>
      <c r="AM45" s="378"/>
      <c r="AN45" s="70">
        <v>0</v>
      </c>
      <c r="AO45" s="70">
        <v>0</v>
      </c>
      <c r="AP45" s="70">
        <v>0</v>
      </c>
      <c r="AQ45" s="417">
        <v>0</v>
      </c>
      <c r="AR45" s="417">
        <v>0</v>
      </c>
    </row>
    <row r="46" spans="1:44">
      <c r="A46" s="439">
        <v>90511</v>
      </c>
      <c r="B46" s="440" t="s">
        <v>761</v>
      </c>
      <c r="C46" s="437">
        <v>1.2239999999999999E-4</v>
      </c>
      <c r="D46" s="441"/>
      <c r="E46" s="438">
        <v>123888.55849999997</v>
      </c>
      <c r="F46" s="442">
        <v>104694.2193</v>
      </c>
      <c r="G46" s="442">
        <v>36555.836899999995</v>
      </c>
      <c r="H46" s="442">
        <v>108728.77679999999</v>
      </c>
      <c r="I46" s="442">
        <v>0</v>
      </c>
      <c r="J46" s="443">
        <v>1.004E-4</v>
      </c>
      <c r="K46" s="443"/>
      <c r="L46" s="444">
        <v>19721.944799999997</v>
      </c>
      <c r="M46" s="444">
        <v>8086.6007999999993</v>
      </c>
      <c r="N46" s="444">
        <v>-972.22319999999991</v>
      </c>
      <c r="O46" s="444">
        <v>0</v>
      </c>
      <c r="P46" s="417">
        <v>0</v>
      </c>
      <c r="Q46" s="378">
        <v>1.004E-4</v>
      </c>
      <c r="R46" s="378"/>
      <c r="S46" s="70">
        <v>47950.567199999998</v>
      </c>
      <c r="T46" s="105">
        <v>44878.816800000001</v>
      </c>
      <c r="U46" s="70">
        <v>26662.881599999997</v>
      </c>
      <c r="V46" s="70">
        <v>108728.77679999999</v>
      </c>
      <c r="W46" s="417">
        <v>0</v>
      </c>
      <c r="X46" s="378">
        <v>1.004E-4</v>
      </c>
      <c r="Z46" s="70">
        <v>34448.867999999995</v>
      </c>
      <c r="AA46" s="70">
        <v>34448.623200000002</v>
      </c>
      <c r="AB46" s="70">
        <v>0</v>
      </c>
      <c r="AC46" s="417">
        <v>0</v>
      </c>
      <c r="AD46" s="417">
        <v>0</v>
      </c>
      <c r="AE46" s="378">
        <v>1.004E-4</v>
      </c>
      <c r="AF46" s="378"/>
      <c r="AG46" s="70">
        <v>22651.178499999998</v>
      </c>
      <c r="AH46" s="70">
        <v>17280.178499999998</v>
      </c>
      <c r="AI46" s="70">
        <v>10865.178499999998</v>
      </c>
      <c r="AJ46" s="417">
        <v>0</v>
      </c>
      <c r="AK46" s="417">
        <v>0</v>
      </c>
      <c r="AL46" s="378">
        <v>1.004E-4</v>
      </c>
      <c r="AM46" s="378"/>
      <c r="AN46" s="70">
        <v>-884</v>
      </c>
      <c r="AO46" s="70">
        <v>0</v>
      </c>
      <c r="AP46" s="70">
        <v>0</v>
      </c>
      <c r="AQ46" s="417">
        <v>0</v>
      </c>
      <c r="AR46" s="417">
        <v>0</v>
      </c>
    </row>
    <row r="47" spans="1:44">
      <c r="A47" s="439">
        <v>90521</v>
      </c>
      <c r="B47" s="440" t="s">
        <v>762</v>
      </c>
      <c r="C47" s="437">
        <v>1.415E-4</v>
      </c>
      <c r="D47" s="441"/>
      <c r="E47" s="438">
        <v>107952.78982500001</v>
      </c>
      <c r="F47" s="442">
        <v>92720.432825000011</v>
      </c>
      <c r="G47" s="442">
        <v>23330.378825000014</v>
      </c>
      <c r="H47" s="442">
        <v>125695.4405</v>
      </c>
      <c r="I47" s="442">
        <v>0</v>
      </c>
      <c r="J47" s="443">
        <v>1.451E-4</v>
      </c>
      <c r="K47" s="443"/>
      <c r="L47" s="444">
        <v>22799.470499999999</v>
      </c>
      <c r="M47" s="444">
        <v>9348.4804999999997</v>
      </c>
      <c r="N47" s="444">
        <v>-1123.9345000000001</v>
      </c>
      <c r="O47" s="444">
        <v>0</v>
      </c>
      <c r="P47" s="417">
        <v>0</v>
      </c>
      <c r="Q47" s="378">
        <v>1.451E-4</v>
      </c>
      <c r="R47" s="378"/>
      <c r="S47" s="70">
        <v>55433.049500000001</v>
      </c>
      <c r="T47" s="105">
        <v>51881.965499999998</v>
      </c>
      <c r="U47" s="70">
        <v>30823.510999999999</v>
      </c>
      <c r="V47" s="70">
        <v>125695.4405</v>
      </c>
      <c r="W47" s="417">
        <v>0</v>
      </c>
      <c r="X47" s="378">
        <v>1.451E-4</v>
      </c>
      <c r="Z47" s="70">
        <v>39824.467499999999</v>
      </c>
      <c r="AA47" s="70">
        <v>39824.184499999996</v>
      </c>
      <c r="AB47" s="70">
        <v>0</v>
      </c>
      <c r="AC47" s="417">
        <v>0</v>
      </c>
      <c r="AD47" s="417">
        <v>0</v>
      </c>
      <c r="AE47" s="378">
        <v>1.451E-4</v>
      </c>
      <c r="AF47" s="378"/>
      <c r="AG47" s="70">
        <v>0</v>
      </c>
      <c r="AH47" s="70">
        <v>0</v>
      </c>
      <c r="AI47" s="70">
        <v>0</v>
      </c>
      <c r="AJ47" s="417">
        <v>0</v>
      </c>
      <c r="AK47" s="417">
        <v>0</v>
      </c>
      <c r="AL47" s="378">
        <v>1.451E-4</v>
      </c>
      <c r="AM47" s="378"/>
      <c r="AN47" s="70">
        <v>-10104.197674999985</v>
      </c>
      <c r="AO47" s="70">
        <v>-8334.1976749999849</v>
      </c>
      <c r="AP47" s="70">
        <v>-6369.1976749999849</v>
      </c>
      <c r="AQ47" s="417">
        <v>0</v>
      </c>
      <c r="AR47" s="417">
        <v>0</v>
      </c>
    </row>
    <row r="48" spans="1:44">
      <c r="A48" s="439">
        <v>90601</v>
      </c>
      <c r="B48" s="440" t="s">
        <v>763</v>
      </c>
      <c r="C48" s="437">
        <v>1.1386E-3</v>
      </c>
      <c r="D48" s="441"/>
      <c r="E48" s="438">
        <v>949311.07180000003</v>
      </c>
      <c r="F48" s="442">
        <v>759203.17299999995</v>
      </c>
      <c r="G48" s="442">
        <v>234931.51939999993</v>
      </c>
      <c r="H48" s="442">
        <v>1011426.3502</v>
      </c>
      <c r="I48" s="442">
        <v>0</v>
      </c>
      <c r="J48" s="443">
        <v>1.1405E-3</v>
      </c>
      <c r="K48" s="443"/>
      <c r="L48" s="444">
        <v>183459.2022</v>
      </c>
      <c r="M48" s="444">
        <v>75223.886200000008</v>
      </c>
      <c r="N48" s="444">
        <v>-9043.8998000000011</v>
      </c>
      <c r="O48" s="444">
        <v>0</v>
      </c>
      <c r="P48" s="417">
        <v>0</v>
      </c>
      <c r="Q48" s="378">
        <v>1.1405E-3</v>
      </c>
      <c r="R48" s="378"/>
      <c r="S48" s="70">
        <v>446049.96580000001</v>
      </c>
      <c r="T48" s="105">
        <v>417475.66019999998</v>
      </c>
      <c r="U48" s="70">
        <v>248025.79240000001</v>
      </c>
      <c r="V48" s="70">
        <v>1011426.3502</v>
      </c>
      <c r="W48" s="417">
        <v>0</v>
      </c>
      <c r="X48" s="378">
        <v>1.1405E-3</v>
      </c>
      <c r="Z48" s="70">
        <v>320453.277</v>
      </c>
      <c r="AA48" s="70">
        <v>320450.99979999999</v>
      </c>
      <c r="AB48" s="70">
        <v>0</v>
      </c>
      <c r="AC48" s="417">
        <v>0</v>
      </c>
      <c r="AD48" s="417">
        <v>0</v>
      </c>
      <c r="AE48" s="378">
        <v>1.1405E-3</v>
      </c>
      <c r="AF48" s="378"/>
      <c r="AG48" s="70">
        <v>53296</v>
      </c>
      <c r="AH48" s="70">
        <v>0</v>
      </c>
      <c r="AI48" s="70">
        <v>0</v>
      </c>
      <c r="AJ48" s="417">
        <v>0</v>
      </c>
      <c r="AK48" s="417">
        <v>0</v>
      </c>
      <c r="AL48" s="378">
        <v>1.1405E-3</v>
      </c>
      <c r="AM48" s="378"/>
      <c r="AN48" s="70">
        <v>-53947.37320000006</v>
      </c>
      <c r="AO48" s="70">
        <v>-53947.37320000006</v>
      </c>
      <c r="AP48" s="70">
        <v>-4050.37320000006</v>
      </c>
      <c r="AQ48" s="417">
        <v>0</v>
      </c>
      <c r="AR48" s="417">
        <v>0</v>
      </c>
    </row>
    <row r="49" spans="1:44">
      <c r="A49" s="439">
        <v>90602</v>
      </c>
      <c r="B49" s="440" t="s">
        <v>259</v>
      </c>
      <c r="C49" s="437">
        <v>7.75E-5</v>
      </c>
      <c r="D49" s="441"/>
      <c r="E49" s="438">
        <v>65941.226875000008</v>
      </c>
      <c r="F49" s="442">
        <v>58622.981875000012</v>
      </c>
      <c r="G49" s="442">
        <v>19243.591875000009</v>
      </c>
      <c r="H49" s="442">
        <v>68843.792499999996</v>
      </c>
      <c r="I49" s="442">
        <v>0</v>
      </c>
      <c r="J49" s="443">
        <v>7.4999999999999993E-5</v>
      </c>
      <c r="K49" s="443"/>
      <c r="L49" s="444">
        <v>12487.342500000001</v>
      </c>
      <c r="M49" s="444">
        <v>5120.1925000000001</v>
      </c>
      <c r="N49" s="444">
        <v>-615.58249999999998</v>
      </c>
      <c r="O49" s="444">
        <v>0</v>
      </c>
      <c r="P49" s="417">
        <v>0</v>
      </c>
      <c r="Q49" s="378">
        <v>7.4999999999999993E-5</v>
      </c>
      <c r="R49" s="378"/>
      <c r="S49" s="70">
        <v>30360.857499999998</v>
      </c>
      <c r="T49" s="105">
        <v>28415.9175</v>
      </c>
      <c r="U49" s="70">
        <v>16882.134999999998</v>
      </c>
      <c r="V49" s="70">
        <v>68843.792499999996</v>
      </c>
      <c r="W49" s="417">
        <v>0</v>
      </c>
      <c r="X49" s="378">
        <v>7.4999999999999993E-5</v>
      </c>
      <c r="Z49" s="70">
        <v>21811.987499999999</v>
      </c>
      <c r="AA49" s="70">
        <v>21811.8325</v>
      </c>
      <c r="AB49" s="70">
        <v>0</v>
      </c>
      <c r="AC49" s="417">
        <v>0</v>
      </c>
      <c r="AD49" s="417">
        <v>0</v>
      </c>
      <c r="AE49" s="378">
        <v>7.4999999999999993E-5</v>
      </c>
      <c r="AF49" s="378"/>
      <c r="AG49" s="70">
        <v>10857.039375000011</v>
      </c>
      <c r="AH49" s="70">
        <v>3275.0393750000112</v>
      </c>
      <c r="AI49" s="70">
        <v>2977.0393750000112</v>
      </c>
      <c r="AJ49" s="417">
        <v>0</v>
      </c>
      <c r="AK49" s="417">
        <v>0</v>
      </c>
      <c r="AL49" s="378">
        <v>7.4999999999999993E-5</v>
      </c>
      <c r="AM49" s="378"/>
      <c r="AN49" s="70">
        <v>-9576</v>
      </c>
      <c r="AO49" s="70">
        <v>0</v>
      </c>
      <c r="AP49" s="70">
        <v>0</v>
      </c>
      <c r="AQ49" s="417">
        <v>0</v>
      </c>
      <c r="AR49" s="417">
        <v>0</v>
      </c>
    </row>
    <row r="50" spans="1:44">
      <c r="A50" s="439">
        <v>90605</v>
      </c>
      <c r="B50" s="440" t="s">
        <v>764</v>
      </c>
      <c r="C50" s="437">
        <v>4.8600000000000002E-5</v>
      </c>
      <c r="D50" s="441"/>
      <c r="E50" s="438">
        <v>43275.7644</v>
      </c>
      <c r="F50" s="442">
        <v>34889.085600000006</v>
      </c>
      <c r="G50" s="442">
        <v>11118.272000000003</v>
      </c>
      <c r="H50" s="442">
        <v>43171.720200000003</v>
      </c>
      <c r="I50" s="442">
        <v>0</v>
      </c>
      <c r="J50" s="443">
        <v>4.6300000000000001E-5</v>
      </c>
      <c r="K50" s="443"/>
      <c r="L50" s="444">
        <v>7830.7722000000003</v>
      </c>
      <c r="M50" s="444">
        <v>3210.8562000000002</v>
      </c>
      <c r="N50" s="444">
        <v>-386.02980000000002</v>
      </c>
      <c r="O50" s="444">
        <v>0</v>
      </c>
      <c r="P50" s="417">
        <v>0</v>
      </c>
      <c r="Q50" s="378">
        <v>4.6300000000000001E-5</v>
      </c>
      <c r="R50" s="378"/>
      <c r="S50" s="70">
        <v>19039.195800000001</v>
      </c>
      <c r="T50" s="105">
        <v>17819.530200000001</v>
      </c>
      <c r="U50" s="70">
        <v>10586.732400000001</v>
      </c>
      <c r="V50" s="70">
        <v>43171.720200000003</v>
      </c>
      <c r="W50" s="417">
        <v>0</v>
      </c>
      <c r="X50" s="378">
        <v>4.6300000000000001E-5</v>
      </c>
      <c r="Z50" s="70">
        <v>13678.227000000001</v>
      </c>
      <c r="AA50" s="70">
        <v>13678.129800000001</v>
      </c>
      <c r="AB50" s="70">
        <v>0</v>
      </c>
      <c r="AC50" s="417">
        <v>0</v>
      </c>
      <c r="AD50" s="417">
        <v>0</v>
      </c>
      <c r="AE50" s="378">
        <v>4.6300000000000001E-5</v>
      </c>
      <c r="AF50" s="378"/>
      <c r="AG50" s="70">
        <v>3651.5694000000021</v>
      </c>
      <c r="AH50" s="70">
        <v>917.56940000000213</v>
      </c>
      <c r="AI50" s="70">
        <v>917.56940000000213</v>
      </c>
      <c r="AJ50" s="417">
        <v>0</v>
      </c>
      <c r="AK50" s="417">
        <v>0</v>
      </c>
      <c r="AL50" s="378">
        <v>4.6300000000000001E-5</v>
      </c>
      <c r="AM50" s="378"/>
      <c r="AN50" s="70">
        <v>-924</v>
      </c>
      <c r="AO50" s="70">
        <v>-737</v>
      </c>
      <c r="AP50" s="70">
        <v>0</v>
      </c>
      <c r="AQ50" s="417">
        <v>0</v>
      </c>
      <c r="AR50" s="417">
        <v>0</v>
      </c>
    </row>
    <row r="51" spans="1:44">
      <c r="A51" s="439">
        <v>90611</v>
      </c>
      <c r="B51" s="440" t="s">
        <v>765</v>
      </c>
      <c r="C51" s="437">
        <v>1.338E-4</v>
      </c>
      <c r="D51" s="441"/>
      <c r="E51" s="438">
        <v>97804.840200000006</v>
      </c>
      <c r="F51" s="442">
        <v>86278.699800000002</v>
      </c>
      <c r="G51" s="442">
        <v>20751.571000000014</v>
      </c>
      <c r="H51" s="442">
        <v>118855.47659999999</v>
      </c>
      <c r="I51" s="442">
        <v>0</v>
      </c>
      <c r="J51" s="443">
        <v>1.429E-4</v>
      </c>
      <c r="K51" s="443"/>
      <c r="L51" s="444">
        <v>21558.792600000001</v>
      </c>
      <c r="M51" s="444">
        <v>8839.7646000000004</v>
      </c>
      <c r="N51" s="444">
        <v>-1062.7734</v>
      </c>
      <c r="O51" s="444">
        <v>0</v>
      </c>
      <c r="P51" s="417">
        <v>0</v>
      </c>
      <c r="Q51" s="378">
        <v>1.429E-4</v>
      </c>
      <c r="R51" s="378"/>
      <c r="S51" s="70">
        <v>52416.551399999997</v>
      </c>
      <c r="T51" s="105">
        <v>49058.706599999998</v>
      </c>
      <c r="U51" s="70">
        <v>29146.189200000001</v>
      </c>
      <c r="V51" s="70">
        <v>118855.47659999999</v>
      </c>
      <c r="W51" s="417">
        <v>0</v>
      </c>
      <c r="X51" s="378">
        <v>1.429E-4</v>
      </c>
      <c r="Z51" s="70">
        <v>37657.341</v>
      </c>
      <c r="AA51" s="70">
        <v>37657.073400000001</v>
      </c>
      <c r="AB51" s="70">
        <v>0</v>
      </c>
      <c r="AC51" s="417">
        <v>0</v>
      </c>
      <c r="AD51" s="417">
        <v>0</v>
      </c>
      <c r="AE51" s="378">
        <v>1.429E-4</v>
      </c>
      <c r="AF51" s="378"/>
      <c r="AG51" s="70">
        <v>1244</v>
      </c>
      <c r="AH51" s="70">
        <v>0</v>
      </c>
      <c r="AI51" s="70">
        <v>0</v>
      </c>
      <c r="AJ51" s="417">
        <v>0</v>
      </c>
      <c r="AK51" s="417">
        <v>0</v>
      </c>
      <c r="AL51" s="378">
        <v>1.429E-4</v>
      </c>
      <c r="AM51" s="378"/>
      <c r="AN51" s="70">
        <v>-15071.844799999988</v>
      </c>
      <c r="AO51" s="70">
        <v>-9276.844799999988</v>
      </c>
      <c r="AP51" s="70">
        <v>-7331.844799999988</v>
      </c>
      <c r="AQ51" s="417">
        <v>0</v>
      </c>
      <c r="AR51" s="417">
        <v>0</v>
      </c>
    </row>
    <row r="52" spans="1:44">
      <c r="A52" s="439">
        <v>90617</v>
      </c>
      <c r="B52" s="440" t="s">
        <v>766</v>
      </c>
      <c r="C52" s="437">
        <v>3.15E-5</v>
      </c>
      <c r="D52" s="441"/>
      <c r="E52" s="438">
        <v>30701.360075000004</v>
      </c>
      <c r="F52" s="442">
        <v>24876.383074999998</v>
      </c>
      <c r="G52" s="442">
        <v>13130.689074999998</v>
      </c>
      <c r="H52" s="442">
        <v>27981.6705</v>
      </c>
      <c r="I52" s="442">
        <v>0</v>
      </c>
      <c r="J52" s="443">
        <v>1.9599999999999999E-5</v>
      </c>
      <c r="K52" s="443"/>
      <c r="L52" s="444">
        <v>5075.5005000000001</v>
      </c>
      <c r="M52" s="444">
        <v>2081.1104999999998</v>
      </c>
      <c r="N52" s="444">
        <v>-250.2045</v>
      </c>
      <c r="O52" s="444">
        <v>0</v>
      </c>
      <c r="P52" s="417">
        <v>0</v>
      </c>
      <c r="Q52" s="378">
        <v>1.9599999999999999E-5</v>
      </c>
      <c r="R52" s="378"/>
      <c r="S52" s="70">
        <v>12340.219499999999</v>
      </c>
      <c r="T52" s="105">
        <v>11549.6955</v>
      </c>
      <c r="U52" s="70">
        <v>6861.7709999999997</v>
      </c>
      <c r="V52" s="70">
        <v>27981.6705</v>
      </c>
      <c r="W52" s="417">
        <v>0</v>
      </c>
      <c r="X52" s="378">
        <v>1.9599999999999999E-5</v>
      </c>
      <c r="Z52" s="70">
        <v>8865.5174999999999</v>
      </c>
      <c r="AA52" s="70">
        <v>8865.4544999999998</v>
      </c>
      <c r="AB52" s="70">
        <v>0</v>
      </c>
      <c r="AC52" s="417">
        <v>0</v>
      </c>
      <c r="AD52" s="417">
        <v>0</v>
      </c>
      <c r="AE52" s="378">
        <v>1.9599999999999999E-5</v>
      </c>
      <c r="AF52" s="378"/>
      <c r="AG52" s="70">
        <v>8559.1225749999976</v>
      </c>
      <c r="AH52" s="70">
        <v>6519.1225749999985</v>
      </c>
      <c r="AI52" s="70">
        <v>6519.1225749999985</v>
      </c>
      <c r="AJ52" s="417">
        <v>0</v>
      </c>
      <c r="AK52" s="417">
        <v>0</v>
      </c>
      <c r="AL52" s="378">
        <v>1.9599999999999999E-5</v>
      </c>
      <c r="AM52" s="378"/>
      <c r="AN52" s="70">
        <v>-4139</v>
      </c>
      <c r="AO52" s="70">
        <v>-4139</v>
      </c>
      <c r="AP52" s="70">
        <v>0</v>
      </c>
      <c r="AQ52" s="417">
        <v>0</v>
      </c>
      <c r="AR52" s="417">
        <v>0</v>
      </c>
    </row>
    <row r="53" spans="1:44">
      <c r="A53" s="439">
        <v>90621</v>
      </c>
      <c r="B53" s="440" t="s">
        <v>767</v>
      </c>
      <c r="C53" s="437">
        <v>6.7100000000000005E-5</v>
      </c>
      <c r="D53" s="441"/>
      <c r="E53" s="438">
        <v>55797.451525000004</v>
      </c>
      <c r="F53" s="442">
        <v>47355.849725</v>
      </c>
      <c r="G53" s="442">
        <v>20351.930125000003</v>
      </c>
      <c r="H53" s="442">
        <v>59605.399700000002</v>
      </c>
      <c r="I53" s="442">
        <v>0</v>
      </c>
      <c r="J53" s="443">
        <v>5.4299999999999998E-5</v>
      </c>
      <c r="K53" s="443"/>
      <c r="L53" s="444">
        <v>10811.621700000002</v>
      </c>
      <c r="M53" s="444">
        <v>4433.0957000000008</v>
      </c>
      <c r="N53" s="444">
        <v>-532.97530000000006</v>
      </c>
      <c r="O53" s="444">
        <v>0</v>
      </c>
      <c r="P53" s="417">
        <v>0</v>
      </c>
      <c r="Q53" s="378">
        <v>5.4299999999999998E-5</v>
      </c>
      <c r="R53" s="378"/>
      <c r="S53" s="70">
        <v>26286.626300000004</v>
      </c>
      <c r="T53" s="105">
        <v>24602.684700000002</v>
      </c>
      <c r="U53" s="70">
        <v>14616.661400000001</v>
      </c>
      <c r="V53" s="70">
        <v>59605.399700000002</v>
      </c>
      <c r="W53" s="417">
        <v>0</v>
      </c>
      <c r="X53" s="378">
        <v>5.4299999999999998E-5</v>
      </c>
      <c r="Z53" s="70">
        <v>18884.959500000001</v>
      </c>
      <c r="AA53" s="70">
        <v>18884.8253</v>
      </c>
      <c r="AB53" s="70">
        <v>0</v>
      </c>
      <c r="AC53" s="417">
        <v>0</v>
      </c>
      <c r="AD53" s="417">
        <v>0</v>
      </c>
      <c r="AE53" s="378">
        <v>5.4299999999999998E-5</v>
      </c>
      <c r="AF53" s="378"/>
      <c r="AG53" s="70">
        <v>6820.2440250000018</v>
      </c>
      <c r="AH53" s="70">
        <v>6268.2440250000018</v>
      </c>
      <c r="AI53" s="70">
        <v>6268.2440250000018</v>
      </c>
      <c r="AJ53" s="417">
        <v>0</v>
      </c>
      <c r="AK53" s="417">
        <v>0</v>
      </c>
      <c r="AL53" s="378">
        <v>5.4299999999999998E-5</v>
      </c>
      <c r="AM53" s="378"/>
      <c r="AN53" s="70">
        <v>-7006</v>
      </c>
      <c r="AO53" s="70">
        <v>-6833</v>
      </c>
      <c r="AP53" s="70">
        <v>0</v>
      </c>
      <c r="AQ53" s="417">
        <v>0</v>
      </c>
      <c r="AR53" s="417">
        <v>0</v>
      </c>
    </row>
    <row r="54" spans="1:44">
      <c r="A54" s="439">
        <v>90631</v>
      </c>
      <c r="B54" s="440" t="s">
        <v>768</v>
      </c>
      <c r="C54" s="437">
        <v>4.5459999999999999E-4</v>
      </c>
      <c r="D54" s="441"/>
      <c r="E54" s="438">
        <v>429972.89675000001</v>
      </c>
      <c r="F54" s="442">
        <v>372129.06994999998</v>
      </c>
      <c r="G54" s="442">
        <v>124082.20035</v>
      </c>
      <c r="H54" s="442">
        <v>403824.36219999997</v>
      </c>
      <c r="I54" s="442">
        <v>0</v>
      </c>
      <c r="J54" s="443">
        <v>3.9360000000000003E-4</v>
      </c>
      <c r="K54" s="443"/>
      <c r="L54" s="444">
        <v>73248.334199999998</v>
      </c>
      <c r="M54" s="444">
        <v>30034.058199999999</v>
      </c>
      <c r="N54" s="444">
        <v>-3610.8878</v>
      </c>
      <c r="O54" s="444">
        <v>0</v>
      </c>
      <c r="P54" s="417">
        <v>0</v>
      </c>
      <c r="Q54" s="378">
        <v>3.9360000000000003E-4</v>
      </c>
      <c r="R54" s="378"/>
      <c r="S54" s="70">
        <v>178090.91380000001</v>
      </c>
      <c r="T54" s="105">
        <v>166682.27220000001</v>
      </c>
      <c r="U54" s="70">
        <v>99027.3364</v>
      </c>
      <c r="V54" s="70">
        <v>403824.36219999997</v>
      </c>
      <c r="W54" s="417">
        <v>0</v>
      </c>
      <c r="X54" s="378">
        <v>3.9360000000000003E-4</v>
      </c>
      <c r="Z54" s="70">
        <v>127944.897</v>
      </c>
      <c r="AA54" s="70">
        <v>127943.9878</v>
      </c>
      <c r="AB54" s="70">
        <v>0</v>
      </c>
      <c r="AC54" s="417">
        <v>0</v>
      </c>
      <c r="AD54" s="417">
        <v>0</v>
      </c>
      <c r="AE54" s="378">
        <v>3.9360000000000003E-4</v>
      </c>
      <c r="AF54" s="378"/>
      <c r="AG54" s="70">
        <v>50688.751749999996</v>
      </c>
      <c r="AH54" s="70">
        <v>47468.751749999996</v>
      </c>
      <c r="AI54" s="70">
        <v>28665.751749999996</v>
      </c>
      <c r="AJ54" s="417">
        <v>0</v>
      </c>
      <c r="AK54" s="417">
        <v>0</v>
      </c>
      <c r="AL54" s="378">
        <v>3.9360000000000003E-4</v>
      </c>
      <c r="AM54" s="378"/>
      <c r="AN54" s="70">
        <v>0</v>
      </c>
      <c r="AO54" s="70">
        <v>0</v>
      </c>
      <c r="AP54" s="70">
        <v>0</v>
      </c>
      <c r="AQ54" s="417">
        <v>0</v>
      </c>
      <c r="AR54" s="417">
        <v>0</v>
      </c>
    </row>
    <row r="55" spans="1:44">
      <c r="A55" s="439">
        <v>90641</v>
      </c>
      <c r="B55" s="440" t="s">
        <v>769</v>
      </c>
      <c r="C55" s="437">
        <v>1.4600000000000001E-5</v>
      </c>
      <c r="D55" s="441"/>
      <c r="E55" s="438">
        <v>14315.323850000001</v>
      </c>
      <c r="F55" s="442">
        <v>12635.01705</v>
      </c>
      <c r="G55" s="442">
        <v>5261.5874500000009</v>
      </c>
      <c r="H55" s="442">
        <v>12969.282200000001</v>
      </c>
      <c r="I55" s="442">
        <v>0</v>
      </c>
      <c r="J55" s="443">
        <v>1.04E-5</v>
      </c>
      <c r="K55" s="443"/>
      <c r="L55" s="444">
        <v>2352.4542000000001</v>
      </c>
      <c r="M55" s="444">
        <v>964.57820000000004</v>
      </c>
      <c r="N55" s="444">
        <v>-115.96780000000001</v>
      </c>
      <c r="O55" s="444">
        <v>0</v>
      </c>
      <c r="P55" s="417">
        <v>0</v>
      </c>
      <c r="Q55" s="378">
        <v>1.04E-5</v>
      </c>
      <c r="R55" s="378"/>
      <c r="S55" s="70">
        <v>5719.5938000000006</v>
      </c>
      <c r="T55" s="105">
        <v>5353.1922000000004</v>
      </c>
      <c r="U55" s="70">
        <v>3180.3764000000001</v>
      </c>
      <c r="V55" s="70">
        <v>12969.282200000001</v>
      </c>
      <c r="W55" s="417">
        <v>0</v>
      </c>
      <c r="X55" s="378">
        <v>1.04E-5</v>
      </c>
      <c r="Z55" s="70">
        <v>4109.0970000000007</v>
      </c>
      <c r="AA55" s="70">
        <v>4109.0677999999998</v>
      </c>
      <c r="AB55" s="70">
        <v>0</v>
      </c>
      <c r="AC55" s="417">
        <v>0</v>
      </c>
      <c r="AD55" s="417">
        <v>0</v>
      </c>
      <c r="AE55" s="378">
        <v>1.04E-5</v>
      </c>
      <c r="AF55" s="378"/>
      <c r="AG55" s="70">
        <v>2237.1788500000002</v>
      </c>
      <c r="AH55" s="70">
        <v>2208.1788500000002</v>
      </c>
      <c r="AI55" s="70">
        <v>2197.1788500000002</v>
      </c>
      <c r="AJ55" s="417">
        <v>0</v>
      </c>
      <c r="AK55" s="417">
        <v>0</v>
      </c>
      <c r="AL55" s="378">
        <v>1.04E-5</v>
      </c>
      <c r="AM55" s="378"/>
      <c r="AN55" s="70">
        <v>-103</v>
      </c>
      <c r="AO55" s="70">
        <v>0</v>
      </c>
      <c r="AP55" s="70">
        <v>0</v>
      </c>
      <c r="AQ55" s="417">
        <v>0</v>
      </c>
      <c r="AR55" s="417">
        <v>0</v>
      </c>
    </row>
    <row r="56" spans="1:44">
      <c r="A56" s="439">
        <v>90651</v>
      </c>
      <c r="B56" s="440" t="s">
        <v>1930</v>
      </c>
      <c r="C56" s="437">
        <v>1.1E-4</v>
      </c>
      <c r="D56" s="441"/>
      <c r="E56" s="438">
        <v>146412.97084999998</v>
      </c>
      <c r="F56" s="442">
        <v>123393.59084999999</v>
      </c>
      <c r="G56" s="442">
        <v>53039.230849999978</v>
      </c>
      <c r="H56" s="442">
        <v>97713.77</v>
      </c>
      <c r="I56" s="442">
        <v>0</v>
      </c>
      <c r="J56" s="443">
        <v>8.9300000000000002E-5</v>
      </c>
      <c r="K56" s="443"/>
      <c r="L56" s="444">
        <v>17723.97</v>
      </c>
      <c r="M56" s="444">
        <v>7267.37</v>
      </c>
      <c r="N56" s="444">
        <v>-873.73</v>
      </c>
      <c r="O56" s="444">
        <v>0</v>
      </c>
      <c r="P56" s="417">
        <v>0</v>
      </c>
      <c r="Q56" s="378">
        <v>8.9300000000000002E-5</v>
      </c>
      <c r="R56" s="378"/>
      <c r="S56" s="70">
        <v>43092.83</v>
      </c>
      <c r="T56" s="105">
        <v>40332.270000000004</v>
      </c>
      <c r="U56" s="70">
        <v>23961.74</v>
      </c>
      <c r="V56" s="70">
        <v>97713.77</v>
      </c>
      <c r="W56" s="417">
        <v>0</v>
      </c>
      <c r="X56" s="378">
        <v>8.9300000000000002E-5</v>
      </c>
      <c r="Z56" s="70">
        <v>30958.95</v>
      </c>
      <c r="AA56" s="70">
        <v>30958.73</v>
      </c>
      <c r="AB56" s="70">
        <v>0</v>
      </c>
      <c r="AC56" s="417">
        <v>0</v>
      </c>
      <c r="AD56" s="417">
        <v>0</v>
      </c>
      <c r="AE56" s="378">
        <v>8.9300000000000002E-5</v>
      </c>
      <c r="AF56" s="378"/>
      <c r="AG56" s="70">
        <v>55419.220849999983</v>
      </c>
      <c r="AH56" s="70">
        <v>44835.220849999983</v>
      </c>
      <c r="AI56" s="70">
        <v>29951.22084999998</v>
      </c>
      <c r="AJ56" s="417">
        <v>0</v>
      </c>
      <c r="AK56" s="417">
        <v>0</v>
      </c>
      <c r="AL56" s="378">
        <v>8.9300000000000002E-5</v>
      </c>
      <c r="AM56" s="378"/>
      <c r="AN56" s="70">
        <v>-782</v>
      </c>
      <c r="AO56" s="70">
        <v>0</v>
      </c>
      <c r="AP56" s="70">
        <v>0</v>
      </c>
      <c r="AQ56" s="417">
        <v>0</v>
      </c>
      <c r="AR56" s="417">
        <v>0</v>
      </c>
    </row>
    <row r="57" spans="1:44">
      <c r="A57" s="439">
        <v>90701</v>
      </c>
      <c r="B57" s="440" t="s">
        <v>771</v>
      </c>
      <c r="C57" s="437">
        <v>2.4830999999999998E-3</v>
      </c>
      <c r="D57" s="441"/>
      <c r="E57" s="438">
        <v>1918657.3397749998</v>
      </c>
      <c r="F57" s="442">
        <v>1715286.0099749998</v>
      </c>
      <c r="G57" s="442">
        <v>458402.27437499998</v>
      </c>
      <c r="H57" s="442">
        <v>2205755.1116999998</v>
      </c>
      <c r="I57" s="442">
        <v>0</v>
      </c>
      <c r="J57" s="443">
        <v>2.5387999999999999E-3</v>
      </c>
      <c r="K57" s="443"/>
      <c r="L57" s="444">
        <v>400094.45369999995</v>
      </c>
      <c r="M57" s="444">
        <v>164050.96769999998</v>
      </c>
      <c r="N57" s="444">
        <v>-19723.263299999999</v>
      </c>
      <c r="O57" s="444">
        <v>0</v>
      </c>
      <c r="P57" s="417">
        <v>0</v>
      </c>
      <c r="Q57" s="378">
        <v>2.5387999999999999E-3</v>
      </c>
      <c r="R57" s="378"/>
      <c r="S57" s="70">
        <v>972761.87429999991</v>
      </c>
      <c r="T57" s="105">
        <v>910445.9966999999</v>
      </c>
      <c r="U57" s="70">
        <v>540903.6054</v>
      </c>
      <c r="V57" s="70">
        <v>2205755.1116999998</v>
      </c>
      <c r="W57" s="417">
        <v>0</v>
      </c>
      <c r="X57" s="378">
        <v>2.5387999999999999E-3</v>
      </c>
      <c r="Z57" s="70">
        <v>698856.07949999999</v>
      </c>
      <c r="AA57" s="70">
        <v>698851.11329999997</v>
      </c>
      <c r="AB57" s="70">
        <v>0</v>
      </c>
      <c r="AC57" s="417">
        <v>0</v>
      </c>
      <c r="AD57" s="417">
        <v>0</v>
      </c>
      <c r="AE57" s="378">
        <v>2.5387999999999999E-3</v>
      </c>
      <c r="AF57" s="378"/>
      <c r="AG57" s="70">
        <v>4716</v>
      </c>
      <c r="AH57" s="70">
        <v>4716</v>
      </c>
      <c r="AI57" s="70">
        <v>0</v>
      </c>
      <c r="AJ57" s="417">
        <v>0</v>
      </c>
      <c r="AK57" s="417">
        <v>0</v>
      </c>
      <c r="AL57" s="378">
        <v>2.5387999999999999E-3</v>
      </c>
      <c r="AM57" s="378"/>
      <c r="AN57" s="70">
        <v>-157771.06772500003</v>
      </c>
      <c r="AO57" s="70">
        <v>-62778.06772500003</v>
      </c>
      <c r="AP57" s="70">
        <v>-62778.06772500003</v>
      </c>
      <c r="AQ57" s="417">
        <v>0</v>
      </c>
      <c r="AR57" s="417">
        <v>0</v>
      </c>
    </row>
    <row r="58" spans="1:44">
      <c r="A58" s="439">
        <v>90704</v>
      </c>
      <c r="B58" s="440" t="s">
        <v>772</v>
      </c>
      <c r="C58" s="437">
        <v>7.36E-5</v>
      </c>
      <c r="D58" s="441"/>
      <c r="E58" s="438">
        <v>85830.587949999986</v>
      </c>
      <c r="F58" s="442">
        <v>71010.959149999995</v>
      </c>
      <c r="G58" s="442">
        <v>17167.245549999992</v>
      </c>
      <c r="H58" s="442">
        <v>65379.395199999999</v>
      </c>
      <c r="I58" s="442">
        <v>0</v>
      </c>
      <c r="J58" s="443">
        <v>6.97E-5</v>
      </c>
      <c r="K58" s="443"/>
      <c r="L58" s="444">
        <v>11858.947200000001</v>
      </c>
      <c r="M58" s="444">
        <v>4862.5312000000004</v>
      </c>
      <c r="N58" s="444">
        <v>-584.60479999999995</v>
      </c>
      <c r="O58" s="444">
        <v>0</v>
      </c>
      <c r="P58" s="417">
        <v>0</v>
      </c>
      <c r="Q58" s="378">
        <v>6.97E-5</v>
      </c>
      <c r="R58" s="378"/>
      <c r="S58" s="70">
        <v>28833.020799999998</v>
      </c>
      <c r="T58" s="105">
        <v>26985.9552</v>
      </c>
      <c r="U58" s="70">
        <v>16032.582399999999</v>
      </c>
      <c r="V58" s="70">
        <v>65379.395199999999</v>
      </c>
      <c r="W58" s="417">
        <v>0</v>
      </c>
      <c r="X58" s="378">
        <v>6.97E-5</v>
      </c>
      <c r="Z58" s="70">
        <v>20714.351999999999</v>
      </c>
      <c r="AA58" s="70">
        <v>20714.2048</v>
      </c>
      <c r="AB58" s="70">
        <v>0</v>
      </c>
      <c r="AC58" s="417">
        <v>0</v>
      </c>
      <c r="AD58" s="417">
        <v>0</v>
      </c>
      <c r="AE58" s="378">
        <v>6.97E-5</v>
      </c>
      <c r="AF58" s="378"/>
      <c r="AG58" s="70">
        <v>24424.267949999994</v>
      </c>
      <c r="AH58" s="70">
        <v>18448.267949999994</v>
      </c>
      <c r="AI58" s="70">
        <v>1719.2679499999922</v>
      </c>
      <c r="AJ58" s="417">
        <v>0</v>
      </c>
      <c r="AK58" s="417">
        <v>0</v>
      </c>
      <c r="AL58" s="378">
        <v>6.97E-5</v>
      </c>
      <c r="AM58" s="378"/>
      <c r="AN58" s="70">
        <v>0</v>
      </c>
      <c r="AO58" s="70">
        <v>0</v>
      </c>
      <c r="AP58" s="70">
        <v>0</v>
      </c>
      <c r="AQ58" s="417">
        <v>0</v>
      </c>
      <c r="AR58" s="417">
        <v>0</v>
      </c>
    </row>
    <row r="59" spans="1:44">
      <c r="A59" s="439">
        <v>90705</v>
      </c>
      <c r="B59" s="440" t="s">
        <v>773</v>
      </c>
      <c r="C59" s="437">
        <v>4.7500000000000003E-5</v>
      </c>
      <c r="D59" s="441"/>
      <c r="E59" s="438">
        <v>47884.873874999997</v>
      </c>
      <c r="F59" s="442">
        <v>41314.368875</v>
      </c>
      <c r="G59" s="442">
        <v>12551.258874999998</v>
      </c>
      <c r="H59" s="442">
        <v>42194.582500000004</v>
      </c>
      <c r="I59" s="442">
        <v>0</v>
      </c>
      <c r="J59" s="443">
        <v>4.1E-5</v>
      </c>
      <c r="K59" s="443"/>
      <c r="L59" s="444">
        <v>7653.5325000000003</v>
      </c>
      <c r="M59" s="444">
        <v>3138.1825000000003</v>
      </c>
      <c r="N59" s="444">
        <v>-377.29250000000002</v>
      </c>
      <c r="O59" s="444">
        <v>0</v>
      </c>
      <c r="P59" s="417">
        <v>0</v>
      </c>
      <c r="Q59" s="378">
        <v>4.1E-5</v>
      </c>
      <c r="R59" s="378"/>
      <c r="S59" s="70">
        <v>18608.267500000002</v>
      </c>
      <c r="T59" s="105">
        <v>17416.2075</v>
      </c>
      <c r="U59" s="70">
        <v>10347.115</v>
      </c>
      <c r="V59" s="70">
        <v>42194.582500000004</v>
      </c>
      <c r="W59" s="417">
        <v>0</v>
      </c>
      <c r="X59" s="378">
        <v>4.1E-5</v>
      </c>
      <c r="Z59" s="70">
        <v>13368.637500000001</v>
      </c>
      <c r="AA59" s="70">
        <v>13368.542500000001</v>
      </c>
      <c r="AB59" s="70">
        <v>0</v>
      </c>
      <c r="AC59" s="417">
        <v>0</v>
      </c>
      <c r="AD59" s="417">
        <v>0</v>
      </c>
      <c r="AE59" s="378">
        <v>4.1E-5</v>
      </c>
      <c r="AF59" s="378"/>
      <c r="AG59" s="70">
        <v>9362.4363749999975</v>
      </c>
      <c r="AH59" s="70">
        <v>7391.4363749999975</v>
      </c>
      <c r="AI59" s="70">
        <v>2581.4363749999975</v>
      </c>
      <c r="AJ59" s="417">
        <v>0</v>
      </c>
      <c r="AK59" s="417">
        <v>0</v>
      </c>
      <c r="AL59" s="378">
        <v>4.1E-5</v>
      </c>
      <c r="AM59" s="378"/>
      <c r="AN59" s="70">
        <v>-1108</v>
      </c>
      <c r="AO59" s="70">
        <v>0</v>
      </c>
      <c r="AP59" s="70">
        <v>0</v>
      </c>
      <c r="AQ59" s="417">
        <v>0</v>
      </c>
      <c r="AR59" s="417">
        <v>0</v>
      </c>
    </row>
    <row r="60" spans="1:44">
      <c r="A60" s="439">
        <v>90709</v>
      </c>
      <c r="B60" s="440" t="s">
        <v>774</v>
      </c>
      <c r="C60" s="437">
        <v>1.236E-4</v>
      </c>
      <c r="D60" s="441"/>
      <c r="E60" s="438">
        <v>97410.723499999993</v>
      </c>
      <c r="F60" s="442">
        <v>85928.194699999993</v>
      </c>
      <c r="G60" s="442">
        <v>20449.681100000005</v>
      </c>
      <c r="H60" s="442">
        <v>109794.74519999999</v>
      </c>
      <c r="I60" s="442">
        <v>0</v>
      </c>
      <c r="J60" s="443">
        <v>1.416E-4</v>
      </c>
      <c r="K60" s="443"/>
      <c r="L60" s="444">
        <v>19915.297200000001</v>
      </c>
      <c r="M60" s="444">
        <v>8165.8811999999998</v>
      </c>
      <c r="N60" s="444">
        <v>-981.75479999999993</v>
      </c>
      <c r="O60" s="444">
        <v>0</v>
      </c>
      <c r="P60" s="417">
        <v>0</v>
      </c>
      <c r="Q60" s="378">
        <v>1.416E-4</v>
      </c>
      <c r="R60" s="378"/>
      <c r="S60" s="70">
        <v>48420.6708</v>
      </c>
      <c r="T60" s="105">
        <v>45318.805199999995</v>
      </c>
      <c r="U60" s="70">
        <v>26924.2824</v>
      </c>
      <c r="V60" s="70">
        <v>109794.74519999999</v>
      </c>
      <c r="W60" s="417">
        <v>0</v>
      </c>
      <c r="X60" s="378">
        <v>1.416E-4</v>
      </c>
      <c r="Z60" s="70">
        <v>34786.601999999999</v>
      </c>
      <c r="AA60" s="70">
        <v>34786.354800000001</v>
      </c>
      <c r="AB60" s="70">
        <v>0</v>
      </c>
      <c r="AC60" s="417">
        <v>0</v>
      </c>
      <c r="AD60" s="417">
        <v>0</v>
      </c>
      <c r="AE60" s="378">
        <v>1.416E-4</v>
      </c>
      <c r="AF60" s="378"/>
      <c r="AG60" s="70">
        <v>3449</v>
      </c>
      <c r="AH60" s="70">
        <v>3150</v>
      </c>
      <c r="AI60" s="70">
        <v>0</v>
      </c>
      <c r="AJ60" s="417">
        <v>0</v>
      </c>
      <c r="AK60" s="417">
        <v>0</v>
      </c>
      <c r="AL60" s="378">
        <v>1.416E-4</v>
      </c>
      <c r="AM60" s="378"/>
      <c r="AN60" s="70">
        <v>-9160.846499999996</v>
      </c>
      <c r="AO60" s="70">
        <v>-5492.846499999996</v>
      </c>
      <c r="AP60" s="70">
        <v>-5492.846499999996</v>
      </c>
      <c r="AQ60" s="417">
        <v>0</v>
      </c>
      <c r="AR60" s="417">
        <v>0</v>
      </c>
    </row>
    <row r="61" spans="1:44">
      <c r="A61" s="439">
        <v>90711</v>
      </c>
      <c r="B61" s="440" t="s">
        <v>775</v>
      </c>
      <c r="C61" s="437">
        <v>1.5536E-3</v>
      </c>
      <c r="D61" s="441"/>
      <c r="E61" s="438">
        <v>1276871.6065000002</v>
      </c>
      <c r="F61" s="442">
        <v>1091341.1377000003</v>
      </c>
      <c r="G61" s="442">
        <v>332839.94410000014</v>
      </c>
      <c r="H61" s="442">
        <v>1380073.7552</v>
      </c>
      <c r="I61" s="442">
        <v>0</v>
      </c>
      <c r="J61" s="443">
        <v>1.5356E-3</v>
      </c>
      <c r="K61" s="443"/>
      <c r="L61" s="444">
        <v>250326.90720000002</v>
      </c>
      <c r="M61" s="444">
        <v>102641.6912</v>
      </c>
      <c r="N61" s="444">
        <v>-12340.2448</v>
      </c>
      <c r="O61" s="444">
        <v>0</v>
      </c>
      <c r="P61" s="417">
        <v>0</v>
      </c>
      <c r="Q61" s="378">
        <v>1.5356E-3</v>
      </c>
      <c r="R61" s="378"/>
      <c r="S61" s="70">
        <v>608627.4608</v>
      </c>
      <c r="T61" s="105">
        <v>569638.31520000007</v>
      </c>
      <c r="U61" s="70">
        <v>338426.90240000002</v>
      </c>
      <c r="V61" s="70">
        <v>1380073.7552</v>
      </c>
      <c r="W61" s="417">
        <v>0</v>
      </c>
      <c r="X61" s="378">
        <v>1.5356E-3</v>
      </c>
      <c r="Z61" s="70">
        <v>437252.95199999999</v>
      </c>
      <c r="AA61" s="70">
        <v>437249.84480000002</v>
      </c>
      <c r="AB61" s="70">
        <v>0</v>
      </c>
      <c r="AC61" s="417">
        <v>0</v>
      </c>
      <c r="AD61" s="417">
        <v>0</v>
      </c>
      <c r="AE61" s="378">
        <v>1.5356E-3</v>
      </c>
      <c r="AF61" s="378"/>
      <c r="AG61" s="70">
        <v>19633.286500000104</v>
      </c>
      <c r="AH61" s="70">
        <v>6753.2865000001038</v>
      </c>
      <c r="AI61" s="70">
        <v>6753.2865000001038</v>
      </c>
      <c r="AJ61" s="417">
        <v>0</v>
      </c>
      <c r="AK61" s="417">
        <v>0</v>
      </c>
      <c r="AL61" s="378">
        <v>1.5356E-3</v>
      </c>
      <c r="AM61" s="378"/>
      <c r="AN61" s="70">
        <v>-38969</v>
      </c>
      <c r="AO61" s="70">
        <v>-24942</v>
      </c>
      <c r="AP61" s="70">
        <v>0</v>
      </c>
      <c r="AQ61" s="417">
        <v>0</v>
      </c>
      <c r="AR61" s="417">
        <v>0</v>
      </c>
    </row>
    <row r="62" spans="1:44">
      <c r="A62" s="439">
        <v>90721</v>
      </c>
      <c r="B62" s="440" t="s">
        <v>776</v>
      </c>
      <c r="C62" s="437">
        <v>2.1699999999999999E-5</v>
      </c>
      <c r="D62" s="441"/>
      <c r="E62" s="438">
        <v>20892.973875000003</v>
      </c>
      <c r="F62" s="442">
        <v>18133.545275</v>
      </c>
      <c r="G62" s="442">
        <v>5232.7560750000021</v>
      </c>
      <c r="H62" s="442">
        <v>19276.261899999998</v>
      </c>
      <c r="I62" s="442">
        <v>0</v>
      </c>
      <c r="J62" s="443">
        <v>2.27E-5</v>
      </c>
      <c r="K62" s="443"/>
      <c r="L62" s="444">
        <v>3496.4558999999999</v>
      </c>
      <c r="M62" s="444">
        <v>1433.6539</v>
      </c>
      <c r="N62" s="444">
        <v>-172.3631</v>
      </c>
      <c r="O62" s="444">
        <v>0</v>
      </c>
      <c r="P62" s="417">
        <v>0</v>
      </c>
      <c r="Q62" s="378">
        <v>2.27E-5</v>
      </c>
      <c r="R62" s="378"/>
      <c r="S62" s="70">
        <v>8501.0401000000002</v>
      </c>
      <c r="T62" s="105">
        <v>7956.4568999999992</v>
      </c>
      <c r="U62" s="70">
        <v>4726.9978000000001</v>
      </c>
      <c r="V62" s="70">
        <v>19276.261899999998</v>
      </c>
      <c r="W62" s="417">
        <v>0</v>
      </c>
      <c r="X62" s="378">
        <v>2.27E-5</v>
      </c>
      <c r="Z62" s="70">
        <v>6107.3564999999999</v>
      </c>
      <c r="AA62" s="70">
        <v>6107.3130999999994</v>
      </c>
      <c r="AB62" s="70">
        <v>0</v>
      </c>
      <c r="AC62" s="417">
        <v>0</v>
      </c>
      <c r="AD62" s="417">
        <v>0</v>
      </c>
      <c r="AE62" s="378">
        <v>2.27E-5</v>
      </c>
      <c r="AF62" s="378"/>
      <c r="AG62" s="70">
        <v>3834.1213750000015</v>
      </c>
      <c r="AH62" s="70">
        <v>2636.1213750000015</v>
      </c>
      <c r="AI62" s="70">
        <v>678.12137500000154</v>
      </c>
      <c r="AJ62" s="417">
        <v>0</v>
      </c>
      <c r="AK62" s="417">
        <v>0</v>
      </c>
      <c r="AL62" s="378">
        <v>2.27E-5</v>
      </c>
      <c r="AM62" s="378"/>
      <c r="AN62" s="70">
        <v>-1046</v>
      </c>
      <c r="AO62" s="70">
        <v>0</v>
      </c>
      <c r="AP62" s="70">
        <v>0</v>
      </c>
      <c r="AQ62" s="417">
        <v>0</v>
      </c>
      <c r="AR62" s="417">
        <v>0</v>
      </c>
    </row>
    <row r="63" spans="1:44">
      <c r="A63" s="439">
        <v>90731</v>
      </c>
      <c r="B63" s="440" t="s">
        <v>777</v>
      </c>
      <c r="C63" s="437">
        <v>1.6119999999999999E-4</v>
      </c>
      <c r="D63" s="441"/>
      <c r="E63" s="438">
        <v>150368.8774</v>
      </c>
      <c r="F63" s="442">
        <v>123606.40779999997</v>
      </c>
      <c r="G63" s="442">
        <v>48943.116599999979</v>
      </c>
      <c r="H63" s="442">
        <v>143195.08839999998</v>
      </c>
      <c r="I63" s="442">
        <v>0</v>
      </c>
      <c r="J63" s="443">
        <v>1.3540000000000001E-4</v>
      </c>
      <c r="K63" s="443"/>
      <c r="L63" s="444">
        <v>25973.672399999999</v>
      </c>
      <c r="M63" s="444">
        <v>10650.000399999999</v>
      </c>
      <c r="N63" s="444">
        <v>-1280.4115999999999</v>
      </c>
      <c r="O63" s="444">
        <v>0</v>
      </c>
      <c r="P63" s="417">
        <v>0</v>
      </c>
      <c r="Q63" s="378">
        <v>1.3540000000000001E-4</v>
      </c>
      <c r="R63" s="378"/>
      <c r="S63" s="70">
        <v>63150.583599999998</v>
      </c>
      <c r="T63" s="105">
        <v>59105.108399999997</v>
      </c>
      <c r="U63" s="70">
        <v>35114.840799999998</v>
      </c>
      <c r="V63" s="70">
        <v>143195.08839999998</v>
      </c>
      <c r="W63" s="417">
        <v>0</v>
      </c>
      <c r="X63" s="378">
        <v>1.3540000000000001E-4</v>
      </c>
      <c r="Z63" s="70">
        <v>45368.933999999994</v>
      </c>
      <c r="AA63" s="70">
        <v>45368.611599999997</v>
      </c>
      <c r="AB63" s="70">
        <v>0</v>
      </c>
      <c r="AC63" s="417">
        <v>0</v>
      </c>
      <c r="AD63" s="417">
        <v>0</v>
      </c>
      <c r="AE63" s="378">
        <v>1.3540000000000001E-4</v>
      </c>
      <c r="AF63" s="378"/>
      <c r="AG63" s="70">
        <v>22683.687399999981</v>
      </c>
      <c r="AH63" s="70">
        <v>15108.687399999981</v>
      </c>
      <c r="AI63" s="70">
        <v>15108.687399999981</v>
      </c>
      <c r="AJ63" s="417">
        <v>0</v>
      </c>
      <c r="AK63" s="417">
        <v>0</v>
      </c>
      <c r="AL63" s="378">
        <v>1.3540000000000001E-4</v>
      </c>
      <c r="AM63" s="378"/>
      <c r="AN63" s="70">
        <v>-6808</v>
      </c>
      <c r="AO63" s="70">
        <v>-6626</v>
      </c>
      <c r="AP63" s="70">
        <v>0</v>
      </c>
      <c r="AQ63" s="417">
        <v>0</v>
      </c>
      <c r="AR63" s="417">
        <v>0</v>
      </c>
    </row>
    <row r="64" spans="1:44">
      <c r="A64" s="439">
        <v>90741</v>
      </c>
      <c r="B64" s="440" t="s">
        <v>778</v>
      </c>
      <c r="C64" s="437">
        <v>1.29E-5</v>
      </c>
      <c r="D64" s="441"/>
      <c r="E64" s="438">
        <v>10574.004724999999</v>
      </c>
      <c r="F64" s="442">
        <v>9318.9665249999998</v>
      </c>
      <c r="G64" s="442">
        <v>2655.8061249999982</v>
      </c>
      <c r="H64" s="442">
        <v>11459.1603</v>
      </c>
      <c r="I64" s="442">
        <v>0</v>
      </c>
      <c r="J64" s="443">
        <v>1.3200000000000001E-5</v>
      </c>
      <c r="K64" s="443"/>
      <c r="L64" s="444">
        <v>2078.5383000000002</v>
      </c>
      <c r="M64" s="444">
        <v>852.26430000000005</v>
      </c>
      <c r="N64" s="444">
        <v>-102.46470000000001</v>
      </c>
      <c r="O64" s="444">
        <v>0</v>
      </c>
      <c r="P64" s="417">
        <v>0</v>
      </c>
      <c r="Q64" s="378">
        <v>1.3200000000000001E-5</v>
      </c>
      <c r="R64" s="378"/>
      <c r="S64" s="70">
        <v>5053.6136999999999</v>
      </c>
      <c r="T64" s="105">
        <v>4729.8752999999997</v>
      </c>
      <c r="U64" s="70">
        <v>2810.0585999999998</v>
      </c>
      <c r="V64" s="70">
        <v>11459.1603</v>
      </c>
      <c r="W64" s="417">
        <v>0</v>
      </c>
      <c r="X64" s="378">
        <v>1.3200000000000001E-5</v>
      </c>
      <c r="Z64" s="70">
        <v>3630.6405</v>
      </c>
      <c r="AA64" s="70">
        <v>3630.6147000000001</v>
      </c>
      <c r="AB64" s="70">
        <v>0</v>
      </c>
      <c r="AC64" s="417">
        <v>0</v>
      </c>
      <c r="AD64" s="417">
        <v>0</v>
      </c>
      <c r="AE64" s="378">
        <v>1.3200000000000001E-5</v>
      </c>
      <c r="AF64" s="378"/>
      <c r="AG64" s="70">
        <v>158</v>
      </c>
      <c r="AH64" s="70">
        <v>158</v>
      </c>
      <c r="AI64" s="70">
        <v>0</v>
      </c>
      <c r="AJ64" s="417">
        <v>0</v>
      </c>
      <c r="AK64" s="417">
        <v>0</v>
      </c>
      <c r="AL64" s="378">
        <v>1.3200000000000001E-5</v>
      </c>
      <c r="AM64" s="378"/>
      <c r="AN64" s="70">
        <v>-346.7877750000016</v>
      </c>
      <c r="AO64" s="70">
        <v>-51.787775000001602</v>
      </c>
      <c r="AP64" s="70">
        <v>-51.787775000001602</v>
      </c>
      <c r="AQ64" s="417">
        <v>0</v>
      </c>
      <c r="AR64" s="417">
        <v>0</v>
      </c>
    </row>
    <row r="65" spans="1:44">
      <c r="A65" s="439">
        <v>90751</v>
      </c>
      <c r="B65" s="440" t="s">
        <v>779</v>
      </c>
      <c r="C65" s="437">
        <v>1.292E-4</v>
      </c>
      <c r="D65" s="441"/>
      <c r="E65" s="438">
        <v>144476.679</v>
      </c>
      <c r="F65" s="442">
        <v>133146.2654</v>
      </c>
      <c r="G65" s="442">
        <v>67801.806200000006</v>
      </c>
      <c r="H65" s="442">
        <v>114769.2644</v>
      </c>
      <c r="I65" s="442">
        <v>0</v>
      </c>
      <c r="J65" s="443">
        <v>6.1199999999999997E-5</v>
      </c>
      <c r="K65" s="443"/>
      <c r="L65" s="444">
        <v>20817.608400000001</v>
      </c>
      <c r="M65" s="444">
        <v>8535.8564000000006</v>
      </c>
      <c r="N65" s="444">
        <v>-1026.2356</v>
      </c>
      <c r="O65" s="444">
        <v>0</v>
      </c>
      <c r="P65" s="417">
        <v>0</v>
      </c>
      <c r="Q65" s="378">
        <v>6.1199999999999997E-5</v>
      </c>
      <c r="R65" s="378"/>
      <c r="S65" s="70">
        <v>50614.4876</v>
      </c>
      <c r="T65" s="105">
        <v>47372.0844</v>
      </c>
      <c r="U65" s="70">
        <v>28144.1528</v>
      </c>
      <c r="V65" s="70">
        <v>114769.2644</v>
      </c>
      <c r="W65" s="417">
        <v>0</v>
      </c>
      <c r="X65" s="378">
        <v>6.1199999999999997E-5</v>
      </c>
      <c r="Z65" s="70">
        <v>36362.693999999996</v>
      </c>
      <c r="AA65" s="70">
        <v>36362.435599999997</v>
      </c>
      <c r="AB65" s="70">
        <v>0</v>
      </c>
      <c r="AC65" s="417">
        <v>0</v>
      </c>
      <c r="AD65" s="417">
        <v>0</v>
      </c>
      <c r="AE65" s="378">
        <v>6.1199999999999997E-5</v>
      </c>
      <c r="AF65" s="378"/>
      <c r="AG65" s="70">
        <v>40875.889000000003</v>
      </c>
      <c r="AH65" s="70">
        <v>40875.889000000003</v>
      </c>
      <c r="AI65" s="70">
        <v>40683.889000000003</v>
      </c>
      <c r="AJ65" s="417">
        <v>0</v>
      </c>
      <c r="AK65" s="417">
        <v>0</v>
      </c>
      <c r="AL65" s="378">
        <v>6.1199999999999997E-5</v>
      </c>
      <c r="AM65" s="378"/>
      <c r="AN65" s="70">
        <v>-4194</v>
      </c>
      <c r="AO65" s="70">
        <v>0</v>
      </c>
      <c r="AP65" s="70">
        <v>0</v>
      </c>
      <c r="AQ65" s="417">
        <v>0</v>
      </c>
      <c r="AR65" s="417">
        <v>0</v>
      </c>
    </row>
    <row r="66" spans="1:44">
      <c r="A66" s="439">
        <v>90801</v>
      </c>
      <c r="B66" s="440" t="s">
        <v>780</v>
      </c>
      <c r="C66" s="437">
        <v>1.2254E-3</v>
      </c>
      <c r="D66" s="441"/>
      <c r="E66" s="438">
        <v>914522.32629999996</v>
      </c>
      <c r="F66" s="442">
        <v>822230.71309999994</v>
      </c>
      <c r="G66" s="442">
        <v>280485.90269999998</v>
      </c>
      <c r="H66" s="442">
        <v>1088531.3977999999</v>
      </c>
      <c r="I66" s="442">
        <v>0</v>
      </c>
      <c r="J66" s="443">
        <v>1.1333000000000001E-3</v>
      </c>
      <c r="K66" s="443"/>
      <c r="L66" s="444">
        <v>197445.0258</v>
      </c>
      <c r="M66" s="444">
        <v>80958.501799999998</v>
      </c>
      <c r="N66" s="444">
        <v>-9733.3521999999994</v>
      </c>
      <c r="O66" s="444">
        <v>0</v>
      </c>
      <c r="P66" s="417">
        <v>0</v>
      </c>
      <c r="Q66" s="378">
        <v>1.1333000000000001E-3</v>
      </c>
      <c r="R66" s="378"/>
      <c r="S66" s="70">
        <v>480054.1262</v>
      </c>
      <c r="T66" s="105">
        <v>449301.4878</v>
      </c>
      <c r="U66" s="70">
        <v>266933.78359999997</v>
      </c>
      <c r="V66" s="70">
        <v>1088531.3977999999</v>
      </c>
      <c r="W66" s="417">
        <v>0</v>
      </c>
      <c r="X66" s="378">
        <v>1.1333000000000001E-3</v>
      </c>
      <c r="Z66" s="70">
        <v>344882.70299999998</v>
      </c>
      <c r="AA66" s="70">
        <v>344880.25219999999</v>
      </c>
      <c r="AB66" s="70">
        <v>0</v>
      </c>
      <c r="AC66" s="417">
        <v>0</v>
      </c>
      <c r="AD66" s="417">
        <v>0</v>
      </c>
      <c r="AE66" s="378">
        <v>1.1333000000000001E-3</v>
      </c>
      <c r="AF66" s="378"/>
      <c r="AG66" s="70">
        <v>23285.471299999976</v>
      </c>
      <c r="AH66" s="70">
        <v>23285.471299999976</v>
      </c>
      <c r="AI66" s="70">
        <v>23285.471299999976</v>
      </c>
      <c r="AJ66" s="417">
        <v>0</v>
      </c>
      <c r="AK66" s="417">
        <v>0</v>
      </c>
      <c r="AL66" s="378">
        <v>1.1333000000000001E-3</v>
      </c>
      <c r="AM66" s="378"/>
      <c r="AN66" s="70">
        <v>-131145</v>
      </c>
      <c r="AO66" s="70">
        <v>-76195</v>
      </c>
      <c r="AP66" s="70">
        <v>0</v>
      </c>
      <c r="AQ66" s="417">
        <v>0</v>
      </c>
      <c r="AR66" s="417">
        <v>0</v>
      </c>
    </row>
    <row r="67" spans="1:44">
      <c r="A67" s="439">
        <v>90804</v>
      </c>
      <c r="B67" s="440" t="s">
        <v>781</v>
      </c>
      <c r="C67" s="437">
        <v>4.4000000000000002E-6</v>
      </c>
      <c r="D67" s="441"/>
      <c r="E67" s="438">
        <v>3464.0207</v>
      </c>
      <c r="F67" s="442">
        <v>3153.3254999999999</v>
      </c>
      <c r="G67" s="442">
        <v>807.51109999999971</v>
      </c>
      <c r="H67" s="442">
        <v>3908.5508</v>
      </c>
      <c r="I67" s="442">
        <v>0</v>
      </c>
      <c r="J67" s="443">
        <v>5.0000000000000004E-6</v>
      </c>
      <c r="K67" s="443"/>
      <c r="L67" s="444">
        <v>708.9588</v>
      </c>
      <c r="M67" s="444">
        <v>290.69479999999999</v>
      </c>
      <c r="N67" s="444">
        <v>-34.949200000000005</v>
      </c>
      <c r="O67" s="444">
        <v>0</v>
      </c>
      <c r="P67" s="417">
        <v>0</v>
      </c>
      <c r="Q67" s="378">
        <v>5.0000000000000004E-6</v>
      </c>
      <c r="R67" s="378"/>
      <c r="S67" s="70">
        <v>1723.7132000000001</v>
      </c>
      <c r="T67" s="105">
        <v>1613.2908</v>
      </c>
      <c r="U67" s="70">
        <v>958.46960000000001</v>
      </c>
      <c r="V67" s="70">
        <v>3908.5508</v>
      </c>
      <c r="W67" s="417">
        <v>0</v>
      </c>
      <c r="X67" s="378">
        <v>5.0000000000000004E-6</v>
      </c>
      <c r="Z67" s="70">
        <v>1238.3580000000002</v>
      </c>
      <c r="AA67" s="70">
        <v>1238.3492000000001</v>
      </c>
      <c r="AB67" s="70">
        <v>0</v>
      </c>
      <c r="AC67" s="417">
        <v>0</v>
      </c>
      <c r="AD67" s="417">
        <v>0</v>
      </c>
      <c r="AE67" s="378">
        <v>5.0000000000000004E-6</v>
      </c>
      <c r="AF67" s="378"/>
      <c r="AG67" s="70">
        <v>127</v>
      </c>
      <c r="AH67" s="70">
        <v>127</v>
      </c>
      <c r="AI67" s="70">
        <v>0</v>
      </c>
      <c r="AJ67" s="417">
        <v>0</v>
      </c>
      <c r="AK67" s="417">
        <v>0</v>
      </c>
      <c r="AL67" s="378">
        <v>5.0000000000000004E-6</v>
      </c>
      <c r="AM67" s="378"/>
      <c r="AN67" s="70">
        <v>-334.00930000000028</v>
      </c>
      <c r="AO67" s="70">
        <v>-116.00930000000028</v>
      </c>
      <c r="AP67" s="70">
        <v>-116.00930000000028</v>
      </c>
      <c r="AQ67" s="417">
        <v>0</v>
      </c>
      <c r="AR67" s="417">
        <v>0</v>
      </c>
    </row>
    <row r="68" spans="1:44">
      <c r="A68" s="439">
        <v>90805</v>
      </c>
      <c r="B68" s="440" t="s">
        <v>782</v>
      </c>
      <c r="C68" s="437">
        <v>5.9799999999999997E-5</v>
      </c>
      <c r="D68" s="441"/>
      <c r="E68" s="438">
        <v>58832.718249999998</v>
      </c>
      <c r="F68" s="442">
        <v>48130.269849999997</v>
      </c>
      <c r="G68" s="442">
        <v>15351.565049999992</v>
      </c>
      <c r="H68" s="442">
        <v>53120.758599999994</v>
      </c>
      <c r="I68" s="442">
        <v>0</v>
      </c>
      <c r="J68" s="443">
        <v>6.0800000000000001E-5</v>
      </c>
      <c r="K68" s="443"/>
      <c r="L68" s="444">
        <v>9635.3945999999996</v>
      </c>
      <c r="M68" s="444">
        <v>3950.8065999999999</v>
      </c>
      <c r="N68" s="444">
        <v>-474.9914</v>
      </c>
      <c r="O68" s="444">
        <v>0</v>
      </c>
      <c r="P68" s="417">
        <v>0</v>
      </c>
      <c r="Q68" s="378">
        <v>6.0800000000000001E-5</v>
      </c>
      <c r="R68" s="378"/>
      <c r="S68" s="70">
        <v>23426.829399999999</v>
      </c>
      <c r="T68" s="105">
        <v>21926.088599999999</v>
      </c>
      <c r="U68" s="70">
        <v>13026.473199999999</v>
      </c>
      <c r="V68" s="70">
        <v>53120.758599999994</v>
      </c>
      <c r="W68" s="417">
        <v>0</v>
      </c>
      <c r="X68" s="378">
        <v>6.0800000000000001E-5</v>
      </c>
      <c r="Z68" s="70">
        <v>16830.411</v>
      </c>
      <c r="AA68" s="70">
        <v>16830.291399999998</v>
      </c>
      <c r="AB68" s="70">
        <v>0</v>
      </c>
      <c r="AC68" s="417">
        <v>0</v>
      </c>
      <c r="AD68" s="417">
        <v>0</v>
      </c>
      <c r="AE68" s="378">
        <v>6.0800000000000001E-5</v>
      </c>
      <c r="AF68" s="378"/>
      <c r="AG68" s="70">
        <v>8940.0832499999942</v>
      </c>
      <c r="AH68" s="70">
        <v>5423.0832499999942</v>
      </c>
      <c r="AI68" s="70">
        <v>2800.0832499999942</v>
      </c>
      <c r="AJ68" s="417">
        <v>0</v>
      </c>
      <c r="AK68" s="417">
        <v>0</v>
      </c>
      <c r="AL68" s="378">
        <v>6.0800000000000001E-5</v>
      </c>
      <c r="AM68" s="378"/>
      <c r="AN68" s="70">
        <v>0</v>
      </c>
      <c r="AO68" s="70">
        <v>0</v>
      </c>
      <c r="AP68" s="70">
        <v>0</v>
      </c>
      <c r="AQ68" s="417">
        <v>0</v>
      </c>
      <c r="AR68" s="417">
        <v>0</v>
      </c>
    </row>
    <row r="69" spans="1:44">
      <c r="A69" s="439">
        <v>90808</v>
      </c>
      <c r="B69" s="440" t="s">
        <v>783</v>
      </c>
      <c r="C69" s="437">
        <v>1.164E-4</v>
      </c>
      <c r="D69" s="441"/>
      <c r="E69" s="438">
        <v>96171.429550000001</v>
      </c>
      <c r="F69" s="442">
        <v>67967.038349999988</v>
      </c>
      <c r="G69" s="442">
        <v>20166.311949999992</v>
      </c>
      <c r="H69" s="442">
        <v>103398.9348</v>
      </c>
      <c r="I69" s="442">
        <v>0</v>
      </c>
      <c r="J69" s="443">
        <v>1.2530000000000001E-4</v>
      </c>
      <c r="K69" s="443"/>
      <c r="L69" s="444">
        <v>18755.182799999999</v>
      </c>
      <c r="M69" s="444">
        <v>7690.1988000000001</v>
      </c>
      <c r="N69" s="444">
        <v>-924.5652</v>
      </c>
      <c r="O69" s="444">
        <v>0</v>
      </c>
      <c r="P69" s="417">
        <v>0</v>
      </c>
      <c r="Q69" s="378">
        <v>1.2530000000000001E-4</v>
      </c>
      <c r="R69" s="378"/>
      <c r="S69" s="70">
        <v>45600.049200000001</v>
      </c>
      <c r="T69" s="105">
        <v>42678.874799999998</v>
      </c>
      <c r="U69" s="70">
        <v>25355.8776</v>
      </c>
      <c r="V69" s="70">
        <v>103398.9348</v>
      </c>
      <c r="W69" s="417">
        <v>0</v>
      </c>
      <c r="X69" s="378">
        <v>1.2530000000000001E-4</v>
      </c>
      <c r="Z69" s="70">
        <v>32760.198</v>
      </c>
      <c r="AA69" s="70">
        <v>32759.965199999999</v>
      </c>
      <c r="AB69" s="70">
        <v>0</v>
      </c>
      <c r="AC69" s="417">
        <v>0</v>
      </c>
      <c r="AD69" s="417">
        <v>0</v>
      </c>
      <c r="AE69" s="378">
        <v>1.2530000000000001E-4</v>
      </c>
      <c r="AF69" s="378"/>
      <c r="AG69" s="70">
        <v>14218</v>
      </c>
      <c r="AH69" s="70">
        <v>0</v>
      </c>
      <c r="AI69" s="70">
        <v>0</v>
      </c>
      <c r="AJ69" s="417">
        <v>0</v>
      </c>
      <c r="AK69" s="417">
        <v>0</v>
      </c>
      <c r="AL69" s="378">
        <v>1.2530000000000001E-4</v>
      </c>
      <c r="AM69" s="378"/>
      <c r="AN69" s="70">
        <v>-15162.000450000007</v>
      </c>
      <c r="AO69" s="70">
        <v>-15162.000450000007</v>
      </c>
      <c r="AP69" s="70">
        <v>-4265.0004500000068</v>
      </c>
      <c r="AQ69" s="417">
        <v>0</v>
      </c>
      <c r="AR69" s="417">
        <v>0</v>
      </c>
    </row>
    <row r="70" spans="1:44">
      <c r="A70" s="439">
        <v>90811</v>
      </c>
      <c r="B70" s="440" t="s">
        <v>784</v>
      </c>
      <c r="C70" s="437">
        <v>3.3699999999999999E-5</v>
      </c>
      <c r="D70" s="441"/>
      <c r="E70" s="438">
        <v>25048.903675000005</v>
      </c>
      <c r="F70" s="442">
        <v>20976.579075000001</v>
      </c>
      <c r="G70" s="442">
        <v>7810.4778750000023</v>
      </c>
      <c r="H70" s="442">
        <v>29935.945899999999</v>
      </c>
      <c r="I70" s="442">
        <v>0</v>
      </c>
      <c r="J70" s="443">
        <v>3.3099999999999998E-5</v>
      </c>
      <c r="K70" s="443"/>
      <c r="L70" s="444">
        <v>5429.9799000000003</v>
      </c>
      <c r="M70" s="444">
        <v>2226.4578999999999</v>
      </c>
      <c r="N70" s="444">
        <v>-267.67910000000001</v>
      </c>
      <c r="O70" s="444">
        <v>0</v>
      </c>
      <c r="P70" s="417">
        <v>0</v>
      </c>
      <c r="Q70" s="378">
        <v>3.3099999999999998E-5</v>
      </c>
      <c r="R70" s="378"/>
      <c r="S70" s="70">
        <v>13202.0761</v>
      </c>
      <c r="T70" s="105">
        <v>12356.340899999999</v>
      </c>
      <c r="U70" s="70">
        <v>7341.0057999999999</v>
      </c>
      <c r="V70" s="70">
        <v>29935.945899999999</v>
      </c>
      <c r="W70" s="417">
        <v>0</v>
      </c>
      <c r="X70" s="378">
        <v>3.3099999999999998E-5</v>
      </c>
      <c r="Z70" s="70">
        <v>9484.6965</v>
      </c>
      <c r="AA70" s="70">
        <v>9484.6291000000001</v>
      </c>
      <c r="AB70" s="70">
        <v>0</v>
      </c>
      <c r="AC70" s="417">
        <v>0</v>
      </c>
      <c r="AD70" s="417">
        <v>0</v>
      </c>
      <c r="AE70" s="378">
        <v>3.3099999999999998E-5</v>
      </c>
      <c r="AF70" s="378"/>
      <c r="AG70" s="70">
        <v>1692.1511750000027</v>
      </c>
      <c r="AH70" s="70">
        <v>737.1511750000027</v>
      </c>
      <c r="AI70" s="70">
        <v>737.1511750000027</v>
      </c>
      <c r="AJ70" s="417">
        <v>0</v>
      </c>
      <c r="AK70" s="417">
        <v>0</v>
      </c>
      <c r="AL70" s="378">
        <v>3.3099999999999998E-5</v>
      </c>
      <c r="AM70" s="378"/>
      <c r="AN70" s="70">
        <v>-4760</v>
      </c>
      <c r="AO70" s="70">
        <v>-3828</v>
      </c>
      <c r="AP70" s="70">
        <v>0</v>
      </c>
      <c r="AQ70" s="417">
        <v>0</v>
      </c>
      <c r="AR70" s="417">
        <v>0</v>
      </c>
    </row>
    <row r="71" spans="1:44">
      <c r="A71" s="439">
        <v>90812</v>
      </c>
      <c r="B71" s="440" t="s">
        <v>785</v>
      </c>
      <c r="C71" s="437">
        <v>2.1780000000000001E-4</v>
      </c>
      <c r="D71" s="441"/>
      <c r="E71" s="438">
        <v>175430.63615000001</v>
      </c>
      <c r="F71" s="442">
        <v>155956.22375000003</v>
      </c>
      <c r="G71" s="442">
        <v>40655.91095000002</v>
      </c>
      <c r="H71" s="442">
        <v>193473.26459999999</v>
      </c>
      <c r="I71" s="442">
        <v>0</v>
      </c>
      <c r="J71" s="443">
        <v>2.22E-4</v>
      </c>
      <c r="K71" s="443"/>
      <c r="L71" s="444">
        <v>35093.460599999999</v>
      </c>
      <c r="M71" s="444">
        <v>14389.392600000001</v>
      </c>
      <c r="N71" s="444">
        <v>-1729.9854</v>
      </c>
      <c r="O71" s="444">
        <v>0</v>
      </c>
      <c r="P71" s="417">
        <v>0</v>
      </c>
      <c r="Q71" s="378">
        <v>2.22E-4</v>
      </c>
      <c r="R71" s="378"/>
      <c r="S71" s="70">
        <v>85323.803400000004</v>
      </c>
      <c r="T71" s="105">
        <v>79857.8946</v>
      </c>
      <c r="U71" s="70">
        <v>47444.245200000005</v>
      </c>
      <c r="V71" s="70">
        <v>193473.26459999999</v>
      </c>
      <c r="W71" s="417">
        <v>0</v>
      </c>
      <c r="X71" s="378">
        <v>2.22E-4</v>
      </c>
      <c r="Z71" s="70">
        <v>61298.721000000005</v>
      </c>
      <c r="AA71" s="70">
        <v>61298.285400000001</v>
      </c>
      <c r="AB71" s="70">
        <v>0</v>
      </c>
      <c r="AC71" s="417">
        <v>0</v>
      </c>
      <c r="AD71" s="417">
        <v>0</v>
      </c>
      <c r="AE71" s="378">
        <v>2.22E-4</v>
      </c>
      <c r="AF71" s="378"/>
      <c r="AG71" s="70">
        <v>5469</v>
      </c>
      <c r="AH71" s="70">
        <v>5469</v>
      </c>
      <c r="AI71" s="70">
        <v>0</v>
      </c>
      <c r="AJ71" s="417">
        <v>0</v>
      </c>
      <c r="AK71" s="417">
        <v>0</v>
      </c>
      <c r="AL71" s="378">
        <v>2.22E-4</v>
      </c>
      <c r="AM71" s="378"/>
      <c r="AN71" s="70">
        <v>-11754.348849999988</v>
      </c>
      <c r="AO71" s="70">
        <v>-5058.3488499999876</v>
      </c>
      <c r="AP71" s="70">
        <v>-5058.3488499999876</v>
      </c>
      <c r="AQ71" s="417">
        <v>0</v>
      </c>
      <c r="AR71" s="417">
        <v>0</v>
      </c>
    </row>
    <row r="72" spans="1:44">
      <c r="A72" s="439">
        <v>90813</v>
      </c>
      <c r="B72" s="440" t="s">
        <v>786</v>
      </c>
      <c r="C72" s="437">
        <v>3.8E-6</v>
      </c>
      <c r="D72" s="441"/>
      <c r="E72" s="438">
        <v>3331.4126500000002</v>
      </c>
      <c r="F72" s="442">
        <v>3233.8122499999999</v>
      </c>
      <c r="G72" s="442">
        <v>3020.5634499999996</v>
      </c>
      <c r="H72" s="442">
        <v>3375.5666000000001</v>
      </c>
      <c r="I72" s="442">
        <v>0</v>
      </c>
      <c r="J72" s="443">
        <v>0</v>
      </c>
      <c r="K72" s="443"/>
      <c r="L72" s="444">
        <v>612.2826</v>
      </c>
      <c r="M72" s="444">
        <v>251.05459999999999</v>
      </c>
      <c r="N72" s="444">
        <v>-30.183399999999999</v>
      </c>
      <c r="O72" s="444">
        <v>0</v>
      </c>
      <c r="P72" s="417">
        <v>0</v>
      </c>
      <c r="Q72" s="378">
        <v>0</v>
      </c>
      <c r="R72" s="378"/>
      <c r="S72" s="70">
        <v>1488.6614</v>
      </c>
      <c r="T72" s="105">
        <v>1393.2966000000001</v>
      </c>
      <c r="U72" s="70">
        <v>827.76919999999996</v>
      </c>
      <c r="V72" s="70">
        <v>3375.5666000000001</v>
      </c>
      <c r="W72" s="417">
        <v>0</v>
      </c>
      <c r="X72" s="378">
        <v>0</v>
      </c>
      <c r="Z72" s="70">
        <v>1069.491</v>
      </c>
      <c r="AA72" s="70">
        <v>1069.4834000000001</v>
      </c>
      <c r="AB72" s="70">
        <v>0</v>
      </c>
      <c r="AC72" s="417">
        <v>0</v>
      </c>
      <c r="AD72" s="417">
        <v>0</v>
      </c>
      <c r="AE72" s="378">
        <v>0</v>
      </c>
      <c r="AF72" s="378"/>
      <c r="AG72" s="70">
        <v>2222.9776499999998</v>
      </c>
      <c r="AH72" s="70">
        <v>2222.9776499999998</v>
      </c>
      <c r="AI72" s="70">
        <v>2222.9776499999998</v>
      </c>
      <c r="AJ72" s="417">
        <v>0</v>
      </c>
      <c r="AK72" s="417">
        <v>0</v>
      </c>
      <c r="AL72" s="378">
        <v>0</v>
      </c>
      <c r="AM72" s="378"/>
      <c r="AN72" s="70">
        <v>-2062</v>
      </c>
      <c r="AO72" s="70">
        <v>-1703</v>
      </c>
      <c r="AP72" s="70">
        <v>0</v>
      </c>
      <c r="AQ72" s="417">
        <v>0</v>
      </c>
      <c r="AR72" s="417">
        <v>0</v>
      </c>
    </row>
    <row r="73" spans="1:44">
      <c r="A73" s="439">
        <v>90861</v>
      </c>
      <c r="B73" s="440" t="s">
        <v>787</v>
      </c>
      <c r="C73" s="437">
        <v>1.1999999999999999E-6</v>
      </c>
      <c r="D73" s="441"/>
      <c r="E73" s="438">
        <v>1365.7577999999996</v>
      </c>
      <c r="F73" s="442">
        <v>2225.5681999999997</v>
      </c>
      <c r="G73" s="442">
        <v>153.43700000000004</v>
      </c>
      <c r="H73" s="442">
        <v>1065.9684</v>
      </c>
      <c r="I73" s="442">
        <v>0</v>
      </c>
      <c r="J73" s="443">
        <v>3.5999999999999998E-6</v>
      </c>
      <c r="K73" s="443"/>
      <c r="L73" s="444">
        <v>193.35239999999999</v>
      </c>
      <c r="M73" s="444">
        <v>79.2804</v>
      </c>
      <c r="N73" s="444">
        <v>-9.5315999999999992</v>
      </c>
      <c r="O73" s="444">
        <v>0</v>
      </c>
      <c r="P73" s="417">
        <v>0</v>
      </c>
      <c r="Q73" s="378">
        <v>3.5999999999999998E-6</v>
      </c>
      <c r="R73" s="378"/>
      <c r="S73" s="70">
        <v>470.10359999999997</v>
      </c>
      <c r="T73" s="105">
        <v>439.98839999999996</v>
      </c>
      <c r="U73" s="70">
        <v>261.4008</v>
      </c>
      <c r="V73" s="70">
        <v>1065.9684</v>
      </c>
      <c r="W73" s="417">
        <v>0</v>
      </c>
      <c r="X73" s="378">
        <v>3.5999999999999998E-6</v>
      </c>
      <c r="Z73" s="70">
        <v>337.73399999999998</v>
      </c>
      <c r="AA73" s="70">
        <v>337.73159999999996</v>
      </c>
      <c r="AB73" s="70">
        <v>0</v>
      </c>
      <c r="AC73" s="417">
        <v>0</v>
      </c>
      <c r="AD73" s="417">
        <v>0</v>
      </c>
      <c r="AE73" s="378">
        <v>3.5999999999999998E-6</v>
      </c>
      <c r="AF73" s="378"/>
      <c r="AG73" s="70">
        <v>2317</v>
      </c>
      <c r="AH73" s="70">
        <v>1467</v>
      </c>
      <c r="AI73" s="70">
        <v>0</v>
      </c>
      <c r="AJ73" s="417">
        <v>0</v>
      </c>
      <c r="AK73" s="417">
        <v>0</v>
      </c>
      <c r="AL73" s="378">
        <v>3.5999999999999998E-6</v>
      </c>
      <c r="AM73" s="378"/>
      <c r="AN73" s="70">
        <v>-1952.4322</v>
      </c>
      <c r="AO73" s="70">
        <v>-98.432199999999966</v>
      </c>
      <c r="AP73" s="70">
        <v>-98.432199999999966</v>
      </c>
      <c r="AQ73" s="417">
        <v>0</v>
      </c>
      <c r="AR73" s="417">
        <v>0</v>
      </c>
    </row>
    <row r="74" spans="1:44">
      <c r="A74" s="439">
        <v>90901</v>
      </c>
      <c r="B74" s="440" t="s">
        <v>788</v>
      </c>
      <c r="C74" s="437">
        <v>2.085E-3</v>
      </c>
      <c r="D74" s="441"/>
      <c r="E74" s="438">
        <v>1701364.6829999997</v>
      </c>
      <c r="F74" s="442">
        <v>1500932.253</v>
      </c>
      <c r="G74" s="442">
        <v>447745.79299999983</v>
      </c>
      <c r="H74" s="442">
        <v>1852120.095</v>
      </c>
      <c r="I74" s="442">
        <v>0</v>
      </c>
      <c r="J74" s="443">
        <v>2.0815E-3</v>
      </c>
      <c r="K74" s="443"/>
      <c r="L74" s="444">
        <v>335949.79499999998</v>
      </c>
      <c r="M74" s="444">
        <v>137749.69500000001</v>
      </c>
      <c r="N74" s="444">
        <v>-16561.154999999999</v>
      </c>
      <c r="O74" s="444">
        <v>0</v>
      </c>
      <c r="P74" s="417">
        <v>0</v>
      </c>
      <c r="Q74" s="378">
        <v>2.0815E-3</v>
      </c>
      <c r="R74" s="378"/>
      <c r="S74" s="70">
        <v>816805.005</v>
      </c>
      <c r="T74" s="105">
        <v>764479.84499999997</v>
      </c>
      <c r="U74" s="70">
        <v>454183.89</v>
      </c>
      <c r="V74" s="70">
        <v>1852120.095</v>
      </c>
      <c r="W74" s="417">
        <v>0</v>
      </c>
      <c r="X74" s="378">
        <v>2.0815E-3</v>
      </c>
      <c r="Z74" s="70">
        <v>586812.82500000007</v>
      </c>
      <c r="AA74" s="70">
        <v>586808.65500000003</v>
      </c>
      <c r="AB74" s="70">
        <v>0</v>
      </c>
      <c r="AC74" s="417">
        <v>0</v>
      </c>
      <c r="AD74" s="417">
        <v>0</v>
      </c>
      <c r="AE74" s="378">
        <v>2.0815E-3</v>
      </c>
      <c r="AF74" s="378"/>
      <c r="AG74" s="70">
        <v>33378.057999999844</v>
      </c>
      <c r="AH74" s="70">
        <v>11894.057999999844</v>
      </c>
      <c r="AI74" s="70">
        <v>10123.057999999844</v>
      </c>
      <c r="AJ74" s="417">
        <v>0</v>
      </c>
      <c r="AK74" s="417">
        <v>0</v>
      </c>
      <c r="AL74" s="378">
        <v>2.0815E-3</v>
      </c>
      <c r="AM74" s="378"/>
      <c r="AN74" s="70">
        <v>-71581</v>
      </c>
      <c r="AO74" s="70">
        <v>0</v>
      </c>
      <c r="AP74" s="70">
        <v>0</v>
      </c>
      <c r="AQ74" s="417">
        <v>0</v>
      </c>
      <c r="AR74" s="417">
        <v>0</v>
      </c>
    </row>
    <row r="75" spans="1:44">
      <c r="A75" s="439">
        <v>90911</v>
      </c>
      <c r="B75" s="440" t="s">
        <v>789</v>
      </c>
      <c r="C75" s="437">
        <v>3.191E-4</v>
      </c>
      <c r="D75" s="441"/>
      <c r="E75" s="438">
        <v>213722.24557500001</v>
      </c>
      <c r="F75" s="442">
        <v>191228.82777500001</v>
      </c>
      <c r="G75" s="442">
        <v>47132.356175000023</v>
      </c>
      <c r="H75" s="442">
        <v>283458.76370000001</v>
      </c>
      <c r="I75" s="442">
        <v>0</v>
      </c>
      <c r="J75" s="443">
        <v>3.5619999999999998E-4</v>
      </c>
      <c r="K75" s="443"/>
      <c r="L75" s="444">
        <v>51415.625700000004</v>
      </c>
      <c r="M75" s="444">
        <v>21081.9797</v>
      </c>
      <c r="N75" s="444">
        <v>-2534.6113</v>
      </c>
      <c r="O75" s="444">
        <v>0</v>
      </c>
      <c r="P75" s="417">
        <v>0</v>
      </c>
      <c r="Q75" s="378">
        <v>3.5619999999999998E-4</v>
      </c>
      <c r="R75" s="378"/>
      <c r="S75" s="70">
        <v>125008.3823</v>
      </c>
      <c r="T75" s="105">
        <v>117000.2487</v>
      </c>
      <c r="U75" s="70">
        <v>69510.829400000002</v>
      </c>
      <c r="V75" s="70">
        <v>283458.76370000001</v>
      </c>
      <c r="W75" s="417">
        <v>0</v>
      </c>
      <c r="X75" s="378">
        <v>3.5619999999999998E-4</v>
      </c>
      <c r="Z75" s="70">
        <v>89809.099499999997</v>
      </c>
      <c r="AA75" s="70">
        <v>89808.461299999995</v>
      </c>
      <c r="AB75" s="70">
        <v>0</v>
      </c>
      <c r="AC75" s="417">
        <v>0</v>
      </c>
      <c r="AD75" s="417">
        <v>0</v>
      </c>
      <c r="AE75" s="378">
        <v>3.5619999999999998E-4</v>
      </c>
      <c r="AF75" s="378"/>
      <c r="AG75" s="70">
        <v>0</v>
      </c>
      <c r="AH75" s="70">
        <v>0</v>
      </c>
      <c r="AI75" s="70">
        <v>0</v>
      </c>
      <c r="AJ75" s="417">
        <v>0</v>
      </c>
      <c r="AK75" s="417">
        <v>0</v>
      </c>
      <c r="AL75" s="378">
        <v>3.5619999999999998E-4</v>
      </c>
      <c r="AM75" s="378"/>
      <c r="AN75" s="70">
        <v>-52510.861924999976</v>
      </c>
      <c r="AO75" s="70">
        <v>-36661.861924999976</v>
      </c>
      <c r="AP75" s="70">
        <v>-19843.861924999976</v>
      </c>
      <c r="AQ75" s="417">
        <v>0</v>
      </c>
      <c r="AR75" s="417">
        <v>0</v>
      </c>
    </row>
    <row r="76" spans="1:44">
      <c r="A76" s="439">
        <v>90917</v>
      </c>
      <c r="B76" s="440" t="s">
        <v>790</v>
      </c>
      <c r="C76" s="437">
        <v>1.01E-5</v>
      </c>
      <c r="D76" s="441"/>
      <c r="E76" s="438">
        <v>10277.358674999999</v>
      </c>
      <c r="F76" s="442">
        <v>8377.7628750000003</v>
      </c>
      <c r="G76" s="442">
        <v>2924.5752749999997</v>
      </c>
      <c r="H76" s="442">
        <v>8971.9007000000001</v>
      </c>
      <c r="I76" s="442">
        <v>0</v>
      </c>
      <c r="J76" s="443">
        <v>9.5000000000000005E-6</v>
      </c>
      <c r="K76" s="443"/>
      <c r="L76" s="444">
        <v>1627.3826999999999</v>
      </c>
      <c r="M76" s="444">
        <v>667.27670000000001</v>
      </c>
      <c r="N76" s="444">
        <v>-80.224299999999999</v>
      </c>
      <c r="O76" s="444">
        <v>0</v>
      </c>
      <c r="P76" s="417">
        <v>0</v>
      </c>
      <c r="Q76" s="378">
        <v>9.5000000000000005E-6</v>
      </c>
      <c r="R76" s="378"/>
      <c r="S76" s="70">
        <v>3956.7053000000001</v>
      </c>
      <c r="T76" s="105">
        <v>3703.2356999999997</v>
      </c>
      <c r="U76" s="70">
        <v>2200.1233999999999</v>
      </c>
      <c r="V76" s="70">
        <v>8971.9007000000001</v>
      </c>
      <c r="W76" s="417">
        <v>0</v>
      </c>
      <c r="X76" s="378">
        <v>9.5000000000000005E-6</v>
      </c>
      <c r="Z76" s="70">
        <v>2842.5945000000002</v>
      </c>
      <c r="AA76" s="70">
        <v>2842.5742999999998</v>
      </c>
      <c r="AB76" s="70">
        <v>0</v>
      </c>
      <c r="AC76" s="417">
        <v>0</v>
      </c>
      <c r="AD76" s="417">
        <v>0</v>
      </c>
      <c r="AE76" s="378">
        <v>9.5000000000000005E-6</v>
      </c>
      <c r="AF76" s="378"/>
      <c r="AG76" s="70">
        <v>2369.6761749999996</v>
      </c>
      <c r="AH76" s="70">
        <v>1164.6761749999996</v>
      </c>
      <c r="AI76" s="70">
        <v>804.6761749999996</v>
      </c>
      <c r="AJ76" s="417">
        <v>0</v>
      </c>
      <c r="AK76" s="417">
        <v>0</v>
      </c>
      <c r="AL76" s="378">
        <v>9.5000000000000005E-6</v>
      </c>
      <c r="AM76" s="378"/>
      <c r="AN76" s="70">
        <v>-519</v>
      </c>
      <c r="AO76" s="70">
        <v>0</v>
      </c>
      <c r="AP76" s="70">
        <v>0</v>
      </c>
      <c r="AQ76" s="417">
        <v>0</v>
      </c>
      <c r="AR76" s="417">
        <v>0</v>
      </c>
    </row>
    <row r="77" spans="1:44">
      <c r="A77" s="439">
        <v>90918</v>
      </c>
      <c r="B77" s="440" t="s">
        <v>791</v>
      </c>
      <c r="C77" s="437">
        <v>9.0000000000000002E-6</v>
      </c>
      <c r="D77" s="441"/>
      <c r="E77" s="438">
        <v>6700.1975499999999</v>
      </c>
      <c r="F77" s="442">
        <v>6095.7755500000003</v>
      </c>
      <c r="G77" s="442">
        <v>1784.2915499999999</v>
      </c>
      <c r="H77" s="442">
        <v>7994.7629999999999</v>
      </c>
      <c r="I77" s="442">
        <v>0</v>
      </c>
      <c r="J77" s="443">
        <v>9.3999999999999998E-6</v>
      </c>
      <c r="K77" s="443"/>
      <c r="L77" s="444">
        <v>1450.143</v>
      </c>
      <c r="M77" s="444">
        <v>594.60300000000007</v>
      </c>
      <c r="N77" s="444">
        <v>-71.486999999999995</v>
      </c>
      <c r="O77" s="444">
        <v>0</v>
      </c>
      <c r="P77" s="417">
        <v>0</v>
      </c>
      <c r="Q77" s="378">
        <v>9.3999999999999998E-6</v>
      </c>
      <c r="R77" s="378"/>
      <c r="S77" s="70">
        <v>3525.777</v>
      </c>
      <c r="T77" s="105">
        <v>3299.913</v>
      </c>
      <c r="U77" s="70">
        <v>1960.5060000000001</v>
      </c>
      <c r="V77" s="70">
        <v>7994.7629999999999</v>
      </c>
      <c r="W77" s="417">
        <v>0</v>
      </c>
      <c r="X77" s="378">
        <v>9.3999999999999998E-6</v>
      </c>
      <c r="Z77" s="70">
        <v>2533.0050000000001</v>
      </c>
      <c r="AA77" s="70">
        <v>2532.9870000000001</v>
      </c>
      <c r="AB77" s="70">
        <v>0</v>
      </c>
      <c r="AC77" s="417">
        <v>0</v>
      </c>
      <c r="AD77" s="417">
        <v>0</v>
      </c>
      <c r="AE77" s="378">
        <v>9.3999999999999998E-6</v>
      </c>
      <c r="AF77" s="378"/>
      <c r="AG77" s="70">
        <v>0</v>
      </c>
      <c r="AH77" s="70">
        <v>0</v>
      </c>
      <c r="AI77" s="70">
        <v>0</v>
      </c>
      <c r="AJ77" s="417">
        <v>0</v>
      </c>
      <c r="AK77" s="417">
        <v>0</v>
      </c>
      <c r="AL77" s="378">
        <v>9.3999999999999998E-6</v>
      </c>
      <c r="AM77" s="378"/>
      <c r="AN77" s="70">
        <v>-808.72745000000009</v>
      </c>
      <c r="AO77" s="70">
        <v>-331.72745000000009</v>
      </c>
      <c r="AP77" s="70">
        <v>-104.72745000000009</v>
      </c>
      <c r="AQ77" s="417">
        <v>0</v>
      </c>
      <c r="AR77" s="417">
        <v>0</v>
      </c>
    </row>
    <row r="78" spans="1:44">
      <c r="A78" s="439">
        <v>90921</v>
      </c>
      <c r="B78" s="440" t="s">
        <v>792</v>
      </c>
      <c r="C78" s="437">
        <v>1.1909999999999999E-4</v>
      </c>
      <c r="D78" s="441"/>
      <c r="E78" s="438">
        <v>106333.684425</v>
      </c>
      <c r="F78" s="442">
        <v>96402.866624999995</v>
      </c>
      <c r="G78" s="442">
        <v>27219.595025000006</v>
      </c>
      <c r="H78" s="442">
        <v>105797.3637</v>
      </c>
      <c r="I78" s="442">
        <v>0</v>
      </c>
      <c r="J78" s="443">
        <v>1.145E-4</v>
      </c>
      <c r="K78" s="443"/>
      <c r="L78" s="444">
        <v>19190.225699999999</v>
      </c>
      <c r="M78" s="444">
        <v>7868.5796999999993</v>
      </c>
      <c r="N78" s="444">
        <v>-946.01130000000001</v>
      </c>
      <c r="O78" s="444">
        <v>0</v>
      </c>
      <c r="P78" s="417">
        <v>0</v>
      </c>
      <c r="Q78" s="378">
        <v>1.145E-4</v>
      </c>
      <c r="R78" s="378"/>
      <c r="S78" s="70">
        <v>46657.782299999999</v>
      </c>
      <c r="T78" s="105">
        <v>43668.848699999995</v>
      </c>
      <c r="U78" s="70">
        <v>25944.029399999999</v>
      </c>
      <c r="V78" s="70">
        <v>105797.3637</v>
      </c>
      <c r="W78" s="417">
        <v>0</v>
      </c>
      <c r="X78" s="378">
        <v>1.145E-4</v>
      </c>
      <c r="Z78" s="70">
        <v>33520.099499999997</v>
      </c>
      <c r="AA78" s="70">
        <v>33519.861299999997</v>
      </c>
      <c r="AB78" s="70">
        <v>0</v>
      </c>
      <c r="AC78" s="417">
        <v>0</v>
      </c>
      <c r="AD78" s="417">
        <v>0</v>
      </c>
      <c r="AE78" s="378">
        <v>1.145E-4</v>
      </c>
      <c r="AF78" s="378"/>
      <c r="AG78" s="70">
        <v>11345.576925000005</v>
      </c>
      <c r="AH78" s="70">
        <v>11345.576925000005</v>
      </c>
      <c r="AI78" s="70">
        <v>2221.5769250000048</v>
      </c>
      <c r="AJ78" s="417">
        <v>0</v>
      </c>
      <c r="AK78" s="417">
        <v>0</v>
      </c>
      <c r="AL78" s="378">
        <v>1.145E-4</v>
      </c>
      <c r="AM78" s="378"/>
      <c r="AN78" s="70">
        <v>-4380</v>
      </c>
      <c r="AO78" s="70">
        <v>0</v>
      </c>
      <c r="AP78" s="70">
        <v>0</v>
      </c>
      <c r="AQ78" s="417">
        <v>0</v>
      </c>
      <c r="AR78" s="417">
        <v>0</v>
      </c>
    </row>
    <row r="79" spans="1:44">
      <c r="A79" s="439">
        <v>90931</v>
      </c>
      <c r="B79" s="440" t="s">
        <v>793</v>
      </c>
      <c r="C79" s="437">
        <v>2.4600000000000002E-5</v>
      </c>
      <c r="D79" s="441"/>
      <c r="E79" s="438">
        <v>14217.193450000006</v>
      </c>
      <c r="F79" s="442">
        <v>14225.306650000002</v>
      </c>
      <c r="G79" s="442">
        <v>1733.1170500000026</v>
      </c>
      <c r="H79" s="442">
        <v>21852.352200000001</v>
      </c>
      <c r="I79" s="442">
        <v>0</v>
      </c>
      <c r="J79" s="443">
        <v>3.2199999999999997E-5</v>
      </c>
      <c r="K79" s="443"/>
      <c r="L79" s="444">
        <v>3963.7242000000001</v>
      </c>
      <c r="M79" s="444">
        <v>1625.2482</v>
      </c>
      <c r="N79" s="444">
        <v>-195.39780000000002</v>
      </c>
      <c r="O79" s="444">
        <v>0</v>
      </c>
      <c r="P79" s="417">
        <v>0</v>
      </c>
      <c r="Q79" s="378">
        <v>3.2199999999999997E-5</v>
      </c>
      <c r="R79" s="378"/>
      <c r="S79" s="70">
        <v>9637.1238000000012</v>
      </c>
      <c r="T79" s="105">
        <v>9019.762200000001</v>
      </c>
      <c r="U79" s="70">
        <v>5358.7164000000002</v>
      </c>
      <c r="V79" s="70">
        <v>21852.352200000001</v>
      </c>
      <c r="W79" s="417">
        <v>0</v>
      </c>
      <c r="X79" s="378">
        <v>3.2199999999999997E-5</v>
      </c>
      <c r="Z79" s="70">
        <v>6923.5470000000005</v>
      </c>
      <c r="AA79" s="70">
        <v>6923.4978000000001</v>
      </c>
      <c r="AB79" s="70">
        <v>0</v>
      </c>
      <c r="AC79" s="417">
        <v>0</v>
      </c>
      <c r="AD79" s="417">
        <v>0</v>
      </c>
      <c r="AE79" s="378">
        <v>3.2199999999999997E-5</v>
      </c>
      <c r="AF79" s="378"/>
      <c r="AG79" s="70">
        <v>87</v>
      </c>
      <c r="AH79" s="70">
        <v>87</v>
      </c>
      <c r="AI79" s="70">
        <v>0</v>
      </c>
      <c r="AJ79" s="417">
        <v>0</v>
      </c>
      <c r="AK79" s="417">
        <v>0</v>
      </c>
      <c r="AL79" s="378">
        <v>3.2199999999999997E-5</v>
      </c>
      <c r="AM79" s="378"/>
      <c r="AN79" s="70">
        <v>-6394.201549999998</v>
      </c>
      <c r="AO79" s="70">
        <v>-3430.201549999998</v>
      </c>
      <c r="AP79" s="70">
        <v>-3430.201549999998</v>
      </c>
      <c r="AQ79" s="417">
        <v>0</v>
      </c>
      <c r="AR79" s="417">
        <v>0</v>
      </c>
    </row>
    <row r="80" spans="1:44">
      <c r="A80" s="439">
        <v>90941</v>
      </c>
      <c r="B80" s="440" t="s">
        <v>794</v>
      </c>
      <c r="C80" s="437">
        <v>8.1500000000000002E-5</v>
      </c>
      <c r="D80" s="441"/>
      <c r="E80" s="438">
        <v>67103.562474999999</v>
      </c>
      <c r="F80" s="442">
        <v>62543.685474999998</v>
      </c>
      <c r="G80" s="442">
        <v>19083.191475</v>
      </c>
      <c r="H80" s="442">
        <v>72397.020499999999</v>
      </c>
      <c r="I80" s="442">
        <v>0</v>
      </c>
      <c r="J80" s="443">
        <v>7.3800000000000005E-5</v>
      </c>
      <c r="K80" s="443"/>
      <c r="L80" s="444">
        <v>13131.8505</v>
      </c>
      <c r="M80" s="444">
        <v>5384.4605000000001</v>
      </c>
      <c r="N80" s="444">
        <v>-647.35450000000003</v>
      </c>
      <c r="O80" s="444">
        <v>0</v>
      </c>
      <c r="P80" s="417">
        <v>0</v>
      </c>
      <c r="Q80" s="378">
        <v>7.3800000000000005E-5</v>
      </c>
      <c r="R80" s="378"/>
      <c r="S80" s="70">
        <v>31927.869500000001</v>
      </c>
      <c r="T80" s="105">
        <v>29882.5455</v>
      </c>
      <c r="U80" s="70">
        <v>17753.471000000001</v>
      </c>
      <c r="V80" s="70">
        <v>72397.020499999999</v>
      </c>
      <c r="W80" s="417">
        <v>0</v>
      </c>
      <c r="X80" s="378">
        <v>7.3800000000000005E-5</v>
      </c>
      <c r="Z80" s="70">
        <v>22937.767500000002</v>
      </c>
      <c r="AA80" s="70">
        <v>22937.604500000001</v>
      </c>
      <c r="AB80" s="70">
        <v>0</v>
      </c>
      <c r="AC80" s="417">
        <v>0</v>
      </c>
      <c r="AD80" s="417">
        <v>0</v>
      </c>
      <c r="AE80" s="378">
        <v>7.3800000000000005E-5</v>
      </c>
      <c r="AF80" s="378"/>
      <c r="AG80" s="70">
        <v>4339.0749749999977</v>
      </c>
      <c r="AH80" s="70">
        <v>4339.0749749999977</v>
      </c>
      <c r="AI80" s="70">
        <v>1977.0749749999977</v>
      </c>
      <c r="AJ80" s="417">
        <v>0</v>
      </c>
      <c r="AK80" s="417">
        <v>0</v>
      </c>
      <c r="AL80" s="378">
        <v>7.3800000000000005E-5</v>
      </c>
      <c r="AM80" s="378"/>
      <c r="AN80" s="70">
        <v>-5233</v>
      </c>
      <c r="AO80" s="70">
        <v>0</v>
      </c>
      <c r="AP80" s="70">
        <v>0</v>
      </c>
      <c r="AQ80" s="417">
        <v>0</v>
      </c>
      <c r="AR80" s="417">
        <v>0</v>
      </c>
    </row>
    <row r="81" spans="1:44">
      <c r="A81" s="439">
        <v>91001</v>
      </c>
      <c r="B81" s="440" t="s">
        <v>795</v>
      </c>
      <c r="C81" s="437">
        <v>7.2585000000000002E-3</v>
      </c>
      <c r="D81" s="441"/>
      <c r="E81" s="438">
        <v>5978294.4884750005</v>
      </c>
      <c r="F81" s="442">
        <v>5145755.6454750001</v>
      </c>
      <c r="G81" s="442">
        <v>1552996.2994750005</v>
      </c>
      <c r="H81" s="442">
        <v>6447776.3595000003</v>
      </c>
      <c r="I81" s="442">
        <v>0</v>
      </c>
      <c r="J81" s="443">
        <v>7.1763E-3</v>
      </c>
      <c r="K81" s="443"/>
      <c r="L81" s="444">
        <v>1169540.3295</v>
      </c>
      <c r="M81" s="444">
        <v>479547.31950000004</v>
      </c>
      <c r="N81" s="444">
        <v>-57654.265500000001</v>
      </c>
      <c r="O81" s="444">
        <v>0</v>
      </c>
      <c r="P81" s="417">
        <v>0</v>
      </c>
      <c r="Q81" s="378">
        <v>7.1763E-3</v>
      </c>
      <c r="R81" s="378"/>
      <c r="S81" s="70">
        <v>2843539.1505</v>
      </c>
      <c r="T81" s="105">
        <v>2661379.8344999999</v>
      </c>
      <c r="U81" s="70">
        <v>1581148.0890000002</v>
      </c>
      <c r="V81" s="70">
        <v>6447776.3595000003</v>
      </c>
      <c r="W81" s="417">
        <v>0</v>
      </c>
      <c r="X81" s="378">
        <v>7.1763E-3</v>
      </c>
      <c r="Z81" s="70">
        <v>2042868.5325</v>
      </c>
      <c r="AA81" s="70">
        <v>2042854.0155</v>
      </c>
      <c r="AB81" s="70">
        <v>0</v>
      </c>
      <c r="AC81" s="417">
        <v>0</v>
      </c>
      <c r="AD81" s="417">
        <v>0</v>
      </c>
      <c r="AE81" s="378">
        <v>7.1763E-3</v>
      </c>
      <c r="AF81" s="378"/>
      <c r="AG81" s="70">
        <v>116715.4759750003</v>
      </c>
      <c r="AH81" s="70">
        <v>29502.4759750003</v>
      </c>
      <c r="AI81" s="70">
        <v>29502.4759750003</v>
      </c>
      <c r="AJ81" s="417">
        <v>0</v>
      </c>
      <c r="AK81" s="417">
        <v>0</v>
      </c>
      <c r="AL81" s="378">
        <v>7.1763E-3</v>
      </c>
      <c r="AM81" s="378"/>
      <c r="AN81" s="70">
        <v>-194369</v>
      </c>
      <c r="AO81" s="70">
        <v>-67528</v>
      </c>
      <c r="AP81" s="70">
        <v>0</v>
      </c>
      <c r="AQ81" s="417">
        <v>0</v>
      </c>
      <c r="AR81" s="417">
        <v>0</v>
      </c>
    </row>
    <row r="82" spans="1:44">
      <c r="A82" s="439">
        <v>91002</v>
      </c>
      <c r="B82" s="440" t="s">
        <v>796</v>
      </c>
      <c r="C82" s="437">
        <v>1.5610000000000001E-3</v>
      </c>
      <c r="D82" s="441"/>
      <c r="E82" s="438">
        <v>1381702.8876500004</v>
      </c>
      <c r="F82" s="442">
        <v>1226699.2496500001</v>
      </c>
      <c r="G82" s="442">
        <v>405526.41365000012</v>
      </c>
      <c r="H82" s="442">
        <v>1386647.2270000002</v>
      </c>
      <c r="I82" s="442">
        <v>0</v>
      </c>
      <c r="J82" s="443">
        <v>1.2972000000000001E-3</v>
      </c>
      <c r="K82" s="443"/>
      <c r="L82" s="444">
        <v>251519.247</v>
      </c>
      <c r="M82" s="444">
        <v>103130.58700000001</v>
      </c>
      <c r="N82" s="444">
        <v>-12399.023000000001</v>
      </c>
      <c r="O82" s="444">
        <v>0</v>
      </c>
      <c r="P82" s="417">
        <v>0</v>
      </c>
      <c r="Q82" s="378">
        <v>1.2972000000000001E-3</v>
      </c>
      <c r="R82" s="378"/>
      <c r="S82" s="70">
        <v>611526.43300000008</v>
      </c>
      <c r="T82" s="105">
        <v>572351.57700000005</v>
      </c>
      <c r="U82" s="70">
        <v>340038.87400000001</v>
      </c>
      <c r="V82" s="70">
        <v>1386647.2270000002</v>
      </c>
      <c r="W82" s="417">
        <v>0</v>
      </c>
      <c r="X82" s="378">
        <v>1.2972000000000001E-3</v>
      </c>
      <c r="Z82" s="70">
        <v>439335.64500000002</v>
      </c>
      <c r="AA82" s="70">
        <v>439332.52300000004</v>
      </c>
      <c r="AB82" s="70">
        <v>0</v>
      </c>
      <c r="AC82" s="417">
        <v>0</v>
      </c>
      <c r="AD82" s="417">
        <v>0</v>
      </c>
      <c r="AE82" s="378">
        <v>1.2972000000000001E-3</v>
      </c>
      <c r="AF82" s="378"/>
      <c r="AG82" s="70">
        <v>157720.56265000009</v>
      </c>
      <c r="AH82" s="70">
        <v>111884.56265000009</v>
      </c>
      <c r="AI82" s="70">
        <v>77886.562650000094</v>
      </c>
      <c r="AJ82" s="417">
        <v>0</v>
      </c>
      <c r="AK82" s="417">
        <v>0</v>
      </c>
      <c r="AL82" s="378">
        <v>1.2972000000000001E-3</v>
      </c>
      <c r="AM82" s="378"/>
      <c r="AN82" s="70">
        <v>-78399</v>
      </c>
      <c r="AO82" s="70">
        <v>0</v>
      </c>
      <c r="AP82" s="70">
        <v>0</v>
      </c>
      <c r="AQ82" s="417">
        <v>0</v>
      </c>
      <c r="AR82" s="417">
        <v>0</v>
      </c>
    </row>
    <row r="83" spans="1:44">
      <c r="A83" s="439">
        <v>91003</v>
      </c>
      <c r="B83" s="440" t="s">
        <v>797</v>
      </c>
      <c r="C83" s="437">
        <v>5.8900000000000001E-4</v>
      </c>
      <c r="D83" s="441"/>
      <c r="E83" s="438">
        <v>513559.71385000012</v>
      </c>
      <c r="F83" s="442">
        <v>438121.65185000008</v>
      </c>
      <c r="G83" s="442">
        <v>122844.08785000005</v>
      </c>
      <c r="H83" s="442">
        <v>523212.82300000003</v>
      </c>
      <c r="I83" s="442">
        <v>0</v>
      </c>
      <c r="J83" s="443">
        <v>6.0979999999999997E-4</v>
      </c>
      <c r="K83" s="443"/>
      <c r="L83" s="444">
        <v>94903.803</v>
      </c>
      <c r="M83" s="444">
        <v>38913.463000000003</v>
      </c>
      <c r="N83" s="444">
        <v>-4678.4269999999997</v>
      </c>
      <c r="O83" s="444">
        <v>0</v>
      </c>
      <c r="P83" s="417">
        <v>0</v>
      </c>
      <c r="Q83" s="378">
        <v>6.0979999999999997E-4</v>
      </c>
      <c r="R83" s="378"/>
      <c r="S83" s="70">
        <v>230742.51699999999</v>
      </c>
      <c r="T83" s="105">
        <v>215960.973</v>
      </c>
      <c r="U83" s="70">
        <v>128304.226</v>
      </c>
      <c r="V83" s="70">
        <v>523212.82300000003</v>
      </c>
      <c r="W83" s="417">
        <v>0</v>
      </c>
      <c r="X83" s="378">
        <v>6.0979999999999997E-4</v>
      </c>
      <c r="Z83" s="70">
        <v>165771.10500000001</v>
      </c>
      <c r="AA83" s="70">
        <v>165769.927</v>
      </c>
      <c r="AB83" s="70">
        <v>0</v>
      </c>
      <c r="AC83" s="417">
        <v>0</v>
      </c>
      <c r="AD83" s="417">
        <v>0</v>
      </c>
      <c r="AE83" s="378">
        <v>6.0979999999999997E-4</v>
      </c>
      <c r="AF83" s="378"/>
      <c r="AG83" s="70">
        <v>30497</v>
      </c>
      <c r="AH83" s="70">
        <v>18259</v>
      </c>
      <c r="AI83" s="70">
        <v>0</v>
      </c>
      <c r="AJ83" s="417">
        <v>0</v>
      </c>
      <c r="AK83" s="417">
        <v>0</v>
      </c>
      <c r="AL83" s="378">
        <v>6.0979999999999997E-4</v>
      </c>
      <c r="AM83" s="378"/>
      <c r="AN83" s="70">
        <v>-8354.7111499999446</v>
      </c>
      <c r="AO83" s="70">
        <v>-781.71114999994461</v>
      </c>
      <c r="AP83" s="70">
        <v>-781.71114999994461</v>
      </c>
      <c r="AQ83" s="417">
        <v>0</v>
      </c>
      <c r="AR83" s="417">
        <v>0</v>
      </c>
    </row>
    <row r="84" spans="1:44">
      <c r="A84" s="439">
        <v>91004</v>
      </c>
      <c r="B84" s="440" t="s">
        <v>798</v>
      </c>
      <c r="C84" s="437">
        <v>4.18E-5</v>
      </c>
      <c r="D84" s="441"/>
      <c r="E84" s="438">
        <v>36354.593500000003</v>
      </c>
      <c r="F84" s="442">
        <v>31398.989100000003</v>
      </c>
      <c r="G84" s="442">
        <v>7932.2523000000019</v>
      </c>
      <c r="H84" s="442">
        <v>37131.232600000003</v>
      </c>
      <c r="I84" s="442">
        <v>0</v>
      </c>
      <c r="J84" s="443">
        <v>4.2299999999999998E-5</v>
      </c>
      <c r="K84" s="443"/>
      <c r="L84" s="444">
        <v>6735.1085999999996</v>
      </c>
      <c r="M84" s="444">
        <v>2761.6005999999998</v>
      </c>
      <c r="N84" s="444">
        <v>-332.01740000000001</v>
      </c>
      <c r="O84" s="444">
        <v>0</v>
      </c>
      <c r="P84" s="417">
        <v>0</v>
      </c>
      <c r="Q84" s="378">
        <v>4.2299999999999998E-5</v>
      </c>
      <c r="R84" s="378"/>
      <c r="S84" s="70">
        <v>16375.2754</v>
      </c>
      <c r="T84" s="105">
        <v>15326.2626</v>
      </c>
      <c r="U84" s="70">
        <v>9105.4611999999997</v>
      </c>
      <c r="V84" s="70">
        <v>37131.232600000003</v>
      </c>
      <c r="W84" s="417">
        <v>0</v>
      </c>
      <c r="X84" s="378">
        <v>4.2299999999999998E-5</v>
      </c>
      <c r="Z84" s="70">
        <v>11764.401</v>
      </c>
      <c r="AA84" s="70">
        <v>11764.3174</v>
      </c>
      <c r="AB84" s="70">
        <v>0</v>
      </c>
      <c r="AC84" s="417">
        <v>0</v>
      </c>
      <c r="AD84" s="417">
        <v>0</v>
      </c>
      <c r="AE84" s="378">
        <v>4.2299999999999998E-5</v>
      </c>
      <c r="AF84" s="378"/>
      <c r="AG84" s="70">
        <v>3163</v>
      </c>
      <c r="AH84" s="70">
        <v>2388</v>
      </c>
      <c r="AI84" s="70">
        <v>0</v>
      </c>
      <c r="AJ84" s="417">
        <v>0</v>
      </c>
      <c r="AK84" s="417">
        <v>0</v>
      </c>
      <c r="AL84" s="378">
        <v>4.2299999999999998E-5</v>
      </c>
      <c r="AM84" s="378"/>
      <c r="AN84" s="70">
        <v>-1683.1914999999972</v>
      </c>
      <c r="AO84" s="70">
        <v>-841.19149999999718</v>
      </c>
      <c r="AP84" s="70">
        <v>-841.19149999999718</v>
      </c>
      <c r="AQ84" s="417">
        <v>0</v>
      </c>
      <c r="AR84" s="417">
        <v>0</v>
      </c>
    </row>
    <row r="85" spans="1:44">
      <c r="A85" s="439">
        <v>91006</v>
      </c>
      <c r="B85" s="440" t="s">
        <v>799</v>
      </c>
      <c r="C85" s="437">
        <v>1.0460999999999999E-3</v>
      </c>
      <c r="D85" s="441"/>
      <c r="E85" s="438">
        <v>846392.17887499975</v>
      </c>
      <c r="F85" s="442">
        <v>750971.89507499989</v>
      </c>
      <c r="G85" s="442">
        <v>240550.77147499996</v>
      </c>
      <c r="H85" s="442">
        <v>929257.95269999991</v>
      </c>
      <c r="I85" s="442">
        <v>0</v>
      </c>
      <c r="J85" s="443">
        <v>1.0070999999999999E-3</v>
      </c>
      <c r="K85" s="443"/>
      <c r="L85" s="444">
        <v>168554.95469999997</v>
      </c>
      <c r="M85" s="444">
        <v>69112.688699999999</v>
      </c>
      <c r="N85" s="444">
        <v>-8309.1722999999984</v>
      </c>
      <c r="O85" s="444">
        <v>0</v>
      </c>
      <c r="P85" s="417">
        <v>0</v>
      </c>
      <c r="Q85" s="378">
        <v>1.0070999999999999E-3</v>
      </c>
      <c r="R85" s="378"/>
      <c r="S85" s="70">
        <v>409812.81329999998</v>
      </c>
      <c r="T85" s="105">
        <v>383559.88769999996</v>
      </c>
      <c r="U85" s="70">
        <v>227876.14739999999</v>
      </c>
      <c r="V85" s="70">
        <v>929257.95269999991</v>
      </c>
      <c r="W85" s="417">
        <v>0</v>
      </c>
      <c r="X85" s="378">
        <v>1.0070999999999999E-3</v>
      </c>
      <c r="Z85" s="70">
        <v>294419.61449999997</v>
      </c>
      <c r="AA85" s="70">
        <v>294417.52229999995</v>
      </c>
      <c r="AB85" s="70">
        <v>0</v>
      </c>
      <c r="AC85" s="417">
        <v>0</v>
      </c>
      <c r="AD85" s="417">
        <v>0</v>
      </c>
      <c r="AE85" s="378">
        <v>1.0070999999999999E-3</v>
      </c>
      <c r="AF85" s="378"/>
      <c r="AG85" s="70">
        <v>20983.796374999976</v>
      </c>
      <c r="AH85" s="70">
        <v>20983.796374999976</v>
      </c>
      <c r="AI85" s="70">
        <v>20983.796374999976</v>
      </c>
      <c r="AJ85" s="417">
        <v>0</v>
      </c>
      <c r="AK85" s="417">
        <v>0</v>
      </c>
      <c r="AL85" s="378">
        <v>1.0070999999999999E-3</v>
      </c>
      <c r="AM85" s="378"/>
      <c r="AN85" s="70">
        <v>-47379</v>
      </c>
      <c r="AO85" s="70">
        <v>-17102</v>
      </c>
      <c r="AP85" s="70">
        <v>0</v>
      </c>
      <c r="AQ85" s="417">
        <v>0</v>
      </c>
      <c r="AR85" s="417">
        <v>0</v>
      </c>
    </row>
    <row r="86" spans="1:44">
      <c r="A86" s="439">
        <v>91007</v>
      </c>
      <c r="B86" s="440" t="s">
        <v>800</v>
      </c>
      <c r="C86" s="437">
        <v>1.11E-5</v>
      </c>
      <c r="D86" s="441"/>
      <c r="E86" s="438">
        <v>10014.280875</v>
      </c>
      <c r="F86" s="442">
        <v>8500.5270750000018</v>
      </c>
      <c r="G86" s="442">
        <v>2365.0634749999999</v>
      </c>
      <c r="H86" s="442">
        <v>9860.2077000000008</v>
      </c>
      <c r="I86" s="442">
        <v>0</v>
      </c>
      <c r="J86" s="443">
        <v>1.06E-5</v>
      </c>
      <c r="K86" s="443"/>
      <c r="L86" s="444">
        <v>1788.5097000000001</v>
      </c>
      <c r="M86" s="444">
        <v>733.34370000000001</v>
      </c>
      <c r="N86" s="444">
        <v>-88.167299999999997</v>
      </c>
      <c r="O86" s="444">
        <v>0</v>
      </c>
      <c r="P86" s="417">
        <v>0</v>
      </c>
      <c r="Q86" s="378">
        <v>1.06E-5</v>
      </c>
      <c r="R86" s="378"/>
      <c r="S86" s="70">
        <v>4348.4583000000002</v>
      </c>
      <c r="T86" s="105">
        <v>4069.8927000000003</v>
      </c>
      <c r="U86" s="70">
        <v>2417.9574000000002</v>
      </c>
      <c r="V86" s="70">
        <v>9860.2077000000008</v>
      </c>
      <c r="W86" s="417">
        <v>0</v>
      </c>
      <c r="X86" s="378">
        <v>1.06E-5</v>
      </c>
      <c r="Z86" s="70">
        <v>3124.0395000000003</v>
      </c>
      <c r="AA86" s="70">
        <v>3124.0173</v>
      </c>
      <c r="AB86" s="70">
        <v>0</v>
      </c>
      <c r="AC86" s="417">
        <v>0</v>
      </c>
      <c r="AD86" s="417">
        <v>0</v>
      </c>
      <c r="AE86" s="378">
        <v>1.06E-5</v>
      </c>
      <c r="AF86" s="378"/>
      <c r="AG86" s="70">
        <v>1119.2733749999998</v>
      </c>
      <c r="AH86" s="70">
        <v>573.27337499999976</v>
      </c>
      <c r="AI86" s="70">
        <v>35.27337499999976</v>
      </c>
      <c r="AJ86" s="417">
        <v>0</v>
      </c>
      <c r="AK86" s="417">
        <v>0</v>
      </c>
      <c r="AL86" s="378">
        <v>1.06E-5</v>
      </c>
      <c r="AM86" s="378"/>
      <c r="AN86" s="70">
        <v>-366</v>
      </c>
      <c r="AO86" s="70">
        <v>0</v>
      </c>
      <c r="AP86" s="70">
        <v>0</v>
      </c>
      <c r="AQ86" s="417">
        <v>0</v>
      </c>
      <c r="AR86" s="417">
        <v>0</v>
      </c>
    </row>
    <row r="87" spans="1:44">
      <c r="A87" s="439">
        <v>91008</v>
      </c>
      <c r="B87" s="440" t="s">
        <v>801</v>
      </c>
      <c r="C87" s="437">
        <v>1.6780000000000001E-4</v>
      </c>
      <c r="D87" s="441"/>
      <c r="E87" s="438">
        <v>152673.80675000002</v>
      </c>
      <c r="F87" s="442">
        <v>127481.29435000001</v>
      </c>
      <c r="G87" s="442">
        <v>40582.781550000007</v>
      </c>
      <c r="H87" s="442">
        <v>149057.91460000002</v>
      </c>
      <c r="I87" s="442">
        <v>0</v>
      </c>
      <c r="J87" s="443">
        <v>1.5679999999999999E-4</v>
      </c>
      <c r="K87" s="443"/>
      <c r="L87" s="444">
        <v>27037.110600000004</v>
      </c>
      <c r="M87" s="444">
        <v>11086.042600000001</v>
      </c>
      <c r="N87" s="444">
        <v>-1332.8354000000002</v>
      </c>
      <c r="O87" s="444">
        <v>0</v>
      </c>
      <c r="P87" s="417">
        <v>0</v>
      </c>
      <c r="Q87" s="378">
        <v>1.5679999999999999E-4</v>
      </c>
      <c r="R87" s="378"/>
      <c r="S87" s="70">
        <v>65736.15340000001</v>
      </c>
      <c r="T87" s="105">
        <v>61525.044600000008</v>
      </c>
      <c r="U87" s="70">
        <v>36552.5452</v>
      </c>
      <c r="V87" s="70">
        <v>149057.91460000002</v>
      </c>
      <c r="W87" s="417">
        <v>0</v>
      </c>
      <c r="X87" s="378">
        <v>1.5679999999999999E-4</v>
      </c>
      <c r="Z87" s="70">
        <v>47226.471000000005</v>
      </c>
      <c r="AA87" s="70">
        <v>47226.135400000006</v>
      </c>
      <c r="AB87" s="70">
        <v>0</v>
      </c>
      <c r="AC87" s="417">
        <v>0</v>
      </c>
      <c r="AD87" s="417">
        <v>0</v>
      </c>
      <c r="AE87" s="378">
        <v>1.5679999999999999E-4</v>
      </c>
      <c r="AF87" s="378"/>
      <c r="AG87" s="70">
        <v>12674.07175000001</v>
      </c>
      <c r="AH87" s="70">
        <v>7644.0717500000101</v>
      </c>
      <c r="AI87" s="70">
        <v>5363.0717500000101</v>
      </c>
      <c r="AJ87" s="417">
        <v>0</v>
      </c>
      <c r="AK87" s="417">
        <v>0</v>
      </c>
      <c r="AL87" s="378">
        <v>1.5679999999999999E-4</v>
      </c>
      <c r="AM87" s="378"/>
      <c r="AN87" s="70">
        <v>0</v>
      </c>
      <c r="AO87" s="70">
        <v>0</v>
      </c>
      <c r="AP87" s="70">
        <v>0</v>
      </c>
      <c r="AQ87" s="417">
        <v>0</v>
      </c>
      <c r="AR87" s="417">
        <v>0</v>
      </c>
    </row>
    <row r="88" spans="1:44">
      <c r="A88" s="439">
        <v>91009</v>
      </c>
      <c r="B88" s="440" t="s">
        <v>802</v>
      </c>
      <c r="C88" s="437">
        <v>1.47E-5</v>
      </c>
      <c r="D88" s="441"/>
      <c r="E88" s="438">
        <v>20560.187374999998</v>
      </c>
      <c r="F88" s="442">
        <v>15870.864774999998</v>
      </c>
      <c r="G88" s="442">
        <v>7404.0075749999996</v>
      </c>
      <c r="H88" s="442">
        <v>13058.1129</v>
      </c>
      <c r="I88" s="442">
        <v>0</v>
      </c>
      <c r="J88" s="443">
        <v>1.1199999999999999E-5</v>
      </c>
      <c r="K88" s="443"/>
      <c r="L88" s="444">
        <v>2368.5668999999998</v>
      </c>
      <c r="M88" s="444">
        <v>971.18489999999997</v>
      </c>
      <c r="N88" s="444">
        <v>-116.7621</v>
      </c>
      <c r="O88" s="444">
        <v>0</v>
      </c>
      <c r="P88" s="417">
        <v>0</v>
      </c>
      <c r="Q88" s="378">
        <v>1.1199999999999999E-5</v>
      </c>
      <c r="R88" s="378"/>
      <c r="S88" s="70">
        <v>5758.7690999999995</v>
      </c>
      <c r="T88" s="105">
        <v>5389.8579</v>
      </c>
      <c r="U88" s="70">
        <v>3202.1597999999999</v>
      </c>
      <c r="V88" s="70">
        <v>13058.1129</v>
      </c>
      <c r="W88" s="417">
        <v>0</v>
      </c>
      <c r="X88" s="378">
        <v>1.1199999999999999E-5</v>
      </c>
      <c r="Z88" s="70">
        <v>4137.2415000000001</v>
      </c>
      <c r="AA88" s="70">
        <v>4137.2120999999997</v>
      </c>
      <c r="AB88" s="70">
        <v>0</v>
      </c>
      <c r="AC88" s="417">
        <v>0</v>
      </c>
      <c r="AD88" s="417">
        <v>0</v>
      </c>
      <c r="AE88" s="378">
        <v>1.1199999999999999E-5</v>
      </c>
      <c r="AF88" s="378"/>
      <c r="AG88" s="70">
        <v>8457.6098749999983</v>
      </c>
      <c r="AH88" s="70">
        <v>5372.6098749999992</v>
      </c>
      <c r="AI88" s="70">
        <v>4318.6098749999992</v>
      </c>
      <c r="AJ88" s="417">
        <v>0</v>
      </c>
      <c r="AK88" s="417">
        <v>0</v>
      </c>
      <c r="AL88" s="378">
        <v>1.1199999999999999E-5</v>
      </c>
      <c r="AM88" s="378"/>
      <c r="AN88" s="70">
        <v>-162</v>
      </c>
      <c r="AO88" s="70">
        <v>0</v>
      </c>
      <c r="AP88" s="70">
        <v>0</v>
      </c>
      <c r="AQ88" s="417">
        <v>0</v>
      </c>
      <c r="AR88" s="417">
        <v>0</v>
      </c>
    </row>
    <row r="89" spans="1:44">
      <c r="A89" s="439">
        <v>91010</v>
      </c>
      <c r="B89" s="440" t="s">
        <v>803</v>
      </c>
      <c r="C89" s="437">
        <v>4.9299999999999999E-5</v>
      </c>
      <c r="D89" s="441"/>
      <c r="E89" s="438">
        <v>47321.184025000002</v>
      </c>
      <c r="F89" s="442">
        <v>40969.394625000001</v>
      </c>
      <c r="G89" s="442">
        <v>13743.587824999999</v>
      </c>
      <c r="H89" s="442">
        <v>43793.535100000001</v>
      </c>
      <c r="I89" s="442">
        <v>0</v>
      </c>
      <c r="J89" s="443">
        <v>4.8999999999999998E-5</v>
      </c>
      <c r="K89" s="443"/>
      <c r="L89" s="444">
        <v>7943.5610999999999</v>
      </c>
      <c r="M89" s="444">
        <v>3257.1030999999998</v>
      </c>
      <c r="N89" s="444">
        <v>-391.5899</v>
      </c>
      <c r="O89" s="444">
        <v>0</v>
      </c>
      <c r="P89" s="417">
        <v>0</v>
      </c>
      <c r="Q89" s="378">
        <v>4.8999999999999998E-5</v>
      </c>
      <c r="R89" s="378"/>
      <c r="S89" s="70">
        <v>19313.422900000001</v>
      </c>
      <c r="T89" s="105">
        <v>18076.1901</v>
      </c>
      <c r="U89" s="70">
        <v>10739.216199999999</v>
      </c>
      <c r="V89" s="70">
        <v>43793.535100000001</v>
      </c>
      <c r="W89" s="417">
        <v>0</v>
      </c>
      <c r="X89" s="378">
        <v>4.8999999999999998E-5</v>
      </c>
      <c r="Z89" s="70">
        <v>13875.238499999999</v>
      </c>
      <c r="AA89" s="70">
        <v>13875.1399</v>
      </c>
      <c r="AB89" s="70">
        <v>0</v>
      </c>
      <c r="AC89" s="417">
        <v>0</v>
      </c>
      <c r="AD89" s="417">
        <v>0</v>
      </c>
      <c r="AE89" s="378">
        <v>4.8999999999999998E-5</v>
      </c>
      <c r="AF89" s="378"/>
      <c r="AG89" s="70">
        <v>6827.9615250000006</v>
      </c>
      <c r="AH89" s="70">
        <v>5760.9615250000006</v>
      </c>
      <c r="AI89" s="70">
        <v>3395.9615250000006</v>
      </c>
      <c r="AJ89" s="417">
        <v>0</v>
      </c>
      <c r="AK89" s="417">
        <v>0</v>
      </c>
      <c r="AL89" s="378">
        <v>4.8999999999999998E-5</v>
      </c>
      <c r="AM89" s="378"/>
      <c r="AN89" s="70">
        <v>-639</v>
      </c>
      <c r="AO89" s="70">
        <v>0</v>
      </c>
      <c r="AP89" s="70">
        <v>0</v>
      </c>
      <c r="AQ89" s="417">
        <v>0</v>
      </c>
      <c r="AR89" s="417">
        <v>0</v>
      </c>
    </row>
    <row r="90" spans="1:44">
      <c r="A90" s="439">
        <v>91011</v>
      </c>
      <c r="B90" s="440" t="s">
        <v>804</v>
      </c>
      <c r="C90" s="437">
        <v>4.261E-4</v>
      </c>
      <c r="D90" s="441"/>
      <c r="E90" s="438">
        <v>409523.29857500002</v>
      </c>
      <c r="F90" s="442">
        <v>337007.97477500001</v>
      </c>
      <c r="G90" s="442">
        <v>97271.971175000028</v>
      </c>
      <c r="H90" s="442">
        <v>378507.6127</v>
      </c>
      <c r="I90" s="442">
        <v>0</v>
      </c>
      <c r="J90" s="443">
        <v>4.0470000000000002E-4</v>
      </c>
      <c r="K90" s="443"/>
      <c r="L90" s="444">
        <v>68656.214699999997</v>
      </c>
      <c r="M90" s="444">
        <v>28151.148700000002</v>
      </c>
      <c r="N90" s="444">
        <v>-3384.5122999999999</v>
      </c>
      <c r="O90" s="444">
        <v>0</v>
      </c>
      <c r="P90" s="417">
        <v>0</v>
      </c>
      <c r="Q90" s="378">
        <v>4.0470000000000002E-4</v>
      </c>
      <c r="R90" s="378"/>
      <c r="S90" s="70">
        <v>166925.95329999999</v>
      </c>
      <c r="T90" s="105">
        <v>156232.5477</v>
      </c>
      <c r="U90" s="70">
        <v>92819.0674</v>
      </c>
      <c r="V90" s="70">
        <v>378507.6127</v>
      </c>
      <c r="W90" s="417">
        <v>0</v>
      </c>
      <c r="X90" s="378">
        <v>4.0470000000000002E-4</v>
      </c>
      <c r="Z90" s="70">
        <v>119923.7145</v>
      </c>
      <c r="AA90" s="70">
        <v>119922.86230000001</v>
      </c>
      <c r="AB90" s="70">
        <v>0</v>
      </c>
      <c r="AC90" s="417">
        <v>0</v>
      </c>
      <c r="AD90" s="417">
        <v>0</v>
      </c>
      <c r="AE90" s="378">
        <v>4.0470000000000002E-4</v>
      </c>
      <c r="AF90" s="378"/>
      <c r="AG90" s="70">
        <v>60341.41607500003</v>
      </c>
      <c r="AH90" s="70">
        <v>32701.41607500003</v>
      </c>
      <c r="AI90" s="70">
        <v>7837.4160750000301</v>
      </c>
      <c r="AJ90" s="417">
        <v>0</v>
      </c>
      <c r="AK90" s="417">
        <v>0</v>
      </c>
      <c r="AL90" s="378">
        <v>4.0470000000000002E-4</v>
      </c>
      <c r="AM90" s="378"/>
      <c r="AN90" s="70">
        <v>-6324</v>
      </c>
      <c r="AO90" s="70">
        <v>0</v>
      </c>
      <c r="AP90" s="70">
        <v>0</v>
      </c>
      <c r="AQ90" s="417">
        <v>0</v>
      </c>
      <c r="AR90" s="417">
        <v>0</v>
      </c>
    </row>
    <row r="91" spans="1:44">
      <c r="A91" s="439">
        <v>91012</v>
      </c>
      <c r="B91" s="440" t="s">
        <v>805</v>
      </c>
      <c r="C91" s="437">
        <v>8.6000000000000007E-6</v>
      </c>
      <c r="D91" s="441"/>
      <c r="E91" s="438">
        <v>7768.5316000000003</v>
      </c>
      <c r="F91" s="442">
        <v>7272.1728000000012</v>
      </c>
      <c r="G91" s="442">
        <v>977.39920000000075</v>
      </c>
      <c r="H91" s="442">
        <v>7639.4402000000009</v>
      </c>
      <c r="I91" s="442">
        <v>0</v>
      </c>
      <c r="J91" s="443">
        <v>1.3900000000000001E-5</v>
      </c>
      <c r="K91" s="443"/>
      <c r="L91" s="444">
        <v>1385.6922000000002</v>
      </c>
      <c r="M91" s="444">
        <v>568.17619999999999</v>
      </c>
      <c r="N91" s="444">
        <v>-68.30980000000001</v>
      </c>
      <c r="O91" s="444">
        <v>0</v>
      </c>
      <c r="P91" s="417">
        <v>0</v>
      </c>
      <c r="Q91" s="378">
        <v>1.3900000000000001E-5</v>
      </c>
      <c r="R91" s="378"/>
      <c r="S91" s="70">
        <v>3369.0758000000001</v>
      </c>
      <c r="T91" s="105">
        <v>3153.2502000000004</v>
      </c>
      <c r="U91" s="70">
        <v>1873.3724000000002</v>
      </c>
      <c r="V91" s="70">
        <v>7639.4402000000009</v>
      </c>
      <c r="W91" s="417">
        <v>0</v>
      </c>
      <c r="X91" s="378">
        <v>1.3900000000000001E-5</v>
      </c>
      <c r="Z91" s="70">
        <v>2420.4270000000001</v>
      </c>
      <c r="AA91" s="70">
        <v>2420.4098000000004</v>
      </c>
      <c r="AB91" s="70">
        <v>0</v>
      </c>
      <c r="AC91" s="417">
        <v>0</v>
      </c>
      <c r="AD91" s="417">
        <v>0</v>
      </c>
      <c r="AE91" s="378">
        <v>1.3900000000000001E-5</v>
      </c>
      <c r="AF91" s="378"/>
      <c r="AG91" s="70">
        <v>2460</v>
      </c>
      <c r="AH91" s="70">
        <v>1958</v>
      </c>
      <c r="AI91" s="70">
        <v>0</v>
      </c>
      <c r="AJ91" s="417">
        <v>0</v>
      </c>
      <c r="AK91" s="417">
        <v>0</v>
      </c>
      <c r="AL91" s="378">
        <v>1.3900000000000001E-5</v>
      </c>
      <c r="AM91" s="378"/>
      <c r="AN91" s="70">
        <v>-1866.6633999999995</v>
      </c>
      <c r="AO91" s="70">
        <v>-827.66339999999946</v>
      </c>
      <c r="AP91" s="70">
        <v>-827.66339999999946</v>
      </c>
      <c r="AQ91" s="417">
        <v>0</v>
      </c>
      <c r="AR91" s="417">
        <v>0</v>
      </c>
    </row>
    <row r="92" spans="1:44">
      <c r="A92" s="439">
        <v>91013</v>
      </c>
      <c r="B92" s="440" t="s">
        <v>806</v>
      </c>
      <c r="C92" s="437">
        <v>3.4900000000000001E-5</v>
      </c>
      <c r="D92" s="441"/>
      <c r="E92" s="438">
        <v>44310.824825000003</v>
      </c>
      <c r="F92" s="442">
        <v>33058.310624999998</v>
      </c>
      <c r="G92" s="442">
        <v>11519.078224999999</v>
      </c>
      <c r="H92" s="442">
        <v>31001.9143</v>
      </c>
      <c r="I92" s="442">
        <v>0</v>
      </c>
      <c r="J92" s="443">
        <v>3.6000000000000001E-5</v>
      </c>
      <c r="K92" s="443"/>
      <c r="L92" s="444">
        <v>5623.3323</v>
      </c>
      <c r="M92" s="444">
        <v>2305.7383</v>
      </c>
      <c r="N92" s="444">
        <v>-277.21070000000003</v>
      </c>
      <c r="O92" s="444">
        <v>0</v>
      </c>
      <c r="P92" s="417">
        <v>0</v>
      </c>
      <c r="Q92" s="378">
        <v>3.6000000000000001E-5</v>
      </c>
      <c r="R92" s="378"/>
      <c r="S92" s="70">
        <v>13672.179700000001</v>
      </c>
      <c r="T92" s="105">
        <v>12796.329300000001</v>
      </c>
      <c r="U92" s="70">
        <v>7602.4066000000003</v>
      </c>
      <c r="V92" s="70">
        <v>31001.9143</v>
      </c>
      <c r="W92" s="417">
        <v>0</v>
      </c>
      <c r="X92" s="378">
        <v>3.6000000000000001E-5</v>
      </c>
      <c r="Z92" s="70">
        <v>9822.4305000000004</v>
      </c>
      <c r="AA92" s="70">
        <v>9822.3607000000011</v>
      </c>
      <c r="AB92" s="70">
        <v>0</v>
      </c>
      <c r="AC92" s="417">
        <v>0</v>
      </c>
      <c r="AD92" s="417">
        <v>0</v>
      </c>
      <c r="AE92" s="378">
        <v>3.6000000000000001E-5</v>
      </c>
      <c r="AF92" s="378"/>
      <c r="AG92" s="70">
        <v>15192.882324999999</v>
      </c>
      <c r="AH92" s="70">
        <v>8133.8823249999987</v>
      </c>
      <c r="AI92" s="70">
        <v>4193.8823249999987</v>
      </c>
      <c r="AJ92" s="417">
        <v>0</v>
      </c>
      <c r="AK92" s="417">
        <v>0</v>
      </c>
      <c r="AL92" s="378">
        <v>3.6000000000000001E-5</v>
      </c>
      <c r="AM92" s="378"/>
      <c r="AN92" s="70">
        <v>0</v>
      </c>
      <c r="AO92" s="70">
        <v>0</v>
      </c>
      <c r="AP92" s="70">
        <v>0</v>
      </c>
      <c r="AQ92" s="417">
        <v>0</v>
      </c>
      <c r="AR92" s="417">
        <v>0</v>
      </c>
    </row>
    <row r="93" spans="1:44">
      <c r="A93" s="439">
        <v>91014</v>
      </c>
      <c r="B93" s="440" t="s">
        <v>807</v>
      </c>
      <c r="C93" s="437">
        <v>1.7330000000000001E-4</v>
      </c>
      <c r="D93" s="441"/>
      <c r="E93" s="438">
        <v>149448.31087500002</v>
      </c>
      <c r="F93" s="442">
        <v>130649.92947500001</v>
      </c>
      <c r="G93" s="442">
        <v>37531.898675000011</v>
      </c>
      <c r="H93" s="442">
        <v>153943.60310000001</v>
      </c>
      <c r="I93" s="442">
        <v>0</v>
      </c>
      <c r="J93" s="443">
        <v>1.8029999999999999E-4</v>
      </c>
      <c r="K93" s="443"/>
      <c r="L93" s="444">
        <v>27923.309100000002</v>
      </c>
      <c r="M93" s="444">
        <v>11449.411100000001</v>
      </c>
      <c r="N93" s="444">
        <v>-1376.5219000000002</v>
      </c>
      <c r="O93" s="444">
        <v>0</v>
      </c>
      <c r="P93" s="417">
        <v>0</v>
      </c>
      <c r="Q93" s="378">
        <v>1.8029999999999999E-4</v>
      </c>
      <c r="R93" s="378"/>
      <c r="S93" s="70">
        <v>67890.794900000008</v>
      </c>
      <c r="T93" s="105">
        <v>63541.658100000001</v>
      </c>
      <c r="U93" s="70">
        <v>37750.6322</v>
      </c>
      <c r="V93" s="70">
        <v>153943.60310000001</v>
      </c>
      <c r="W93" s="417">
        <v>0</v>
      </c>
      <c r="X93" s="378">
        <v>1.8029999999999999E-4</v>
      </c>
      <c r="Z93" s="70">
        <v>48774.4185</v>
      </c>
      <c r="AA93" s="70">
        <v>48774.071900000003</v>
      </c>
      <c r="AB93" s="70">
        <v>0</v>
      </c>
      <c r="AC93" s="417">
        <v>0</v>
      </c>
      <c r="AD93" s="417">
        <v>0</v>
      </c>
      <c r="AE93" s="378">
        <v>1.8029999999999999E-4</v>
      </c>
      <c r="AF93" s="378"/>
      <c r="AG93" s="70">
        <v>8319.788375000011</v>
      </c>
      <c r="AH93" s="70">
        <v>6884.788375000011</v>
      </c>
      <c r="AI93" s="70">
        <v>1157.788375000011</v>
      </c>
      <c r="AJ93" s="417">
        <v>0</v>
      </c>
      <c r="AK93" s="417">
        <v>0</v>
      </c>
      <c r="AL93" s="378">
        <v>1.8029999999999999E-4</v>
      </c>
      <c r="AM93" s="378"/>
      <c r="AN93" s="70">
        <v>-3460</v>
      </c>
      <c r="AO93" s="70">
        <v>0</v>
      </c>
      <c r="AP93" s="70">
        <v>0</v>
      </c>
      <c r="AQ93" s="417">
        <v>0</v>
      </c>
      <c r="AR93" s="417">
        <v>0</v>
      </c>
    </row>
    <row r="94" spans="1:44">
      <c r="A94" s="439">
        <v>91015</v>
      </c>
      <c r="B94" s="440" t="s">
        <v>1636</v>
      </c>
      <c r="C94" s="437">
        <v>2.3E-5</v>
      </c>
      <c r="D94" s="441"/>
      <c r="E94" s="438">
        <v>33604.241399999999</v>
      </c>
      <c r="F94" s="442">
        <v>26581.607400000001</v>
      </c>
      <c r="G94" s="442">
        <v>9053.259399999999</v>
      </c>
      <c r="H94" s="442">
        <v>20431.061000000002</v>
      </c>
      <c r="I94" s="442">
        <v>0</v>
      </c>
      <c r="J94" s="443">
        <v>2.1699999999999999E-5</v>
      </c>
      <c r="K94" s="443"/>
      <c r="L94" s="444">
        <v>3705.9209999999998</v>
      </c>
      <c r="M94" s="444">
        <v>1519.5409999999999</v>
      </c>
      <c r="N94" s="444">
        <v>-182.68899999999999</v>
      </c>
      <c r="O94" s="444">
        <v>0</v>
      </c>
      <c r="P94" s="417">
        <v>0</v>
      </c>
      <c r="Q94" s="378">
        <v>2.1699999999999999E-5</v>
      </c>
      <c r="R94" s="378"/>
      <c r="S94" s="70">
        <v>9010.3189999999995</v>
      </c>
      <c r="T94" s="105">
        <v>8433.1110000000008</v>
      </c>
      <c r="U94" s="70">
        <v>5010.1819999999998</v>
      </c>
      <c r="V94" s="70">
        <v>20431.061000000002</v>
      </c>
      <c r="W94" s="417">
        <v>0</v>
      </c>
      <c r="X94" s="378">
        <v>2.1699999999999999E-5</v>
      </c>
      <c r="Z94" s="70">
        <v>6473.2349999999997</v>
      </c>
      <c r="AA94" s="70">
        <v>6473.1890000000003</v>
      </c>
      <c r="AB94" s="70">
        <v>0</v>
      </c>
      <c r="AC94" s="417">
        <v>0</v>
      </c>
      <c r="AD94" s="417">
        <v>0</v>
      </c>
      <c r="AE94" s="378">
        <v>2.1699999999999999E-5</v>
      </c>
      <c r="AF94" s="378"/>
      <c r="AG94" s="70">
        <v>14414.766399999999</v>
      </c>
      <c r="AH94" s="70">
        <v>10155.766399999999</v>
      </c>
      <c r="AI94" s="70">
        <v>4225.7663999999986</v>
      </c>
      <c r="AJ94" s="417">
        <v>0</v>
      </c>
      <c r="AK94" s="417">
        <v>0</v>
      </c>
      <c r="AL94" s="378">
        <v>2.1699999999999999E-5</v>
      </c>
      <c r="AM94" s="378"/>
      <c r="AN94" s="70">
        <v>0</v>
      </c>
      <c r="AO94" s="70">
        <v>0</v>
      </c>
      <c r="AP94" s="70">
        <v>0</v>
      </c>
      <c r="AQ94" s="417">
        <v>0</v>
      </c>
      <c r="AR94" s="417">
        <v>0</v>
      </c>
    </row>
    <row r="95" spans="1:44">
      <c r="A95" s="439">
        <v>91017</v>
      </c>
      <c r="B95" s="440" t="s">
        <v>2009</v>
      </c>
      <c r="C95" s="437">
        <v>3.26E-5</v>
      </c>
      <c r="D95" s="441"/>
      <c r="E95" s="438">
        <v>32208.282800000001</v>
      </c>
      <c r="F95" s="442">
        <v>26055.132000000001</v>
      </c>
      <c r="G95" s="442">
        <v>9844.7344000000012</v>
      </c>
      <c r="H95" s="442">
        <v>28958.808199999999</v>
      </c>
      <c r="I95" s="442">
        <v>0</v>
      </c>
      <c r="J95" s="443">
        <v>2.7500000000000001E-5</v>
      </c>
      <c r="K95" s="443"/>
      <c r="L95" s="444">
        <v>5252.7402000000002</v>
      </c>
      <c r="M95" s="444">
        <v>2153.7842000000001</v>
      </c>
      <c r="N95" s="444">
        <v>-258.9418</v>
      </c>
      <c r="O95" s="444">
        <v>0</v>
      </c>
      <c r="P95" s="417">
        <v>0</v>
      </c>
      <c r="Q95" s="378">
        <v>2.7500000000000001E-5</v>
      </c>
      <c r="R95" s="378"/>
      <c r="S95" s="70">
        <v>12771.147800000001</v>
      </c>
      <c r="T95" s="105">
        <v>11953.0182</v>
      </c>
      <c r="U95" s="70">
        <v>7101.3883999999998</v>
      </c>
      <c r="V95" s="70">
        <v>28958.808199999999</v>
      </c>
      <c r="W95" s="417">
        <v>0</v>
      </c>
      <c r="X95" s="378">
        <v>2.7500000000000001E-5</v>
      </c>
      <c r="Z95" s="70">
        <v>9175.107</v>
      </c>
      <c r="AA95" s="70">
        <v>9175.0417999999991</v>
      </c>
      <c r="AB95" s="70">
        <v>0</v>
      </c>
      <c r="AC95" s="417">
        <v>0</v>
      </c>
      <c r="AD95" s="417">
        <v>0</v>
      </c>
      <c r="AE95" s="378">
        <v>2.7500000000000001E-5</v>
      </c>
      <c r="AF95" s="378"/>
      <c r="AG95" s="70">
        <v>5238.2878000000019</v>
      </c>
      <c r="AH95" s="70">
        <v>3002.2878000000019</v>
      </c>
      <c r="AI95" s="70">
        <v>3002.2878000000019</v>
      </c>
      <c r="AJ95" s="417">
        <v>0</v>
      </c>
      <c r="AK95" s="417">
        <v>0</v>
      </c>
      <c r="AL95" s="378">
        <v>2.7500000000000001E-5</v>
      </c>
      <c r="AM95" s="378"/>
      <c r="AN95" s="70">
        <v>-229</v>
      </c>
      <c r="AO95" s="70">
        <v>-229</v>
      </c>
      <c r="AP95" s="70">
        <v>0</v>
      </c>
      <c r="AQ95" s="417">
        <v>0</v>
      </c>
      <c r="AR95" s="417">
        <v>0</v>
      </c>
    </row>
    <row r="96" spans="1:44">
      <c r="A96" s="439">
        <v>91020</v>
      </c>
      <c r="B96" s="440" t="s">
        <v>809</v>
      </c>
      <c r="C96" s="437">
        <v>2.76E-5</v>
      </c>
      <c r="D96" s="441"/>
      <c r="E96" s="438">
        <v>25354.651600000001</v>
      </c>
      <c r="F96" s="442">
        <v>24083.290800000002</v>
      </c>
      <c r="G96" s="442">
        <v>7544.2732000000005</v>
      </c>
      <c r="H96" s="442">
        <v>24517.2732</v>
      </c>
      <c r="I96" s="442">
        <v>0</v>
      </c>
      <c r="J96" s="443">
        <v>2.5400000000000001E-5</v>
      </c>
      <c r="K96" s="443"/>
      <c r="L96" s="444">
        <v>4447.1052</v>
      </c>
      <c r="M96" s="444">
        <v>1823.4492</v>
      </c>
      <c r="N96" s="444">
        <v>-219.2268</v>
      </c>
      <c r="O96" s="444">
        <v>0</v>
      </c>
      <c r="P96" s="417">
        <v>0</v>
      </c>
      <c r="Q96" s="378">
        <v>2.5400000000000001E-5</v>
      </c>
      <c r="R96" s="378"/>
      <c r="S96" s="70">
        <v>10812.382799999999</v>
      </c>
      <c r="T96" s="105">
        <v>10119.733200000001</v>
      </c>
      <c r="U96" s="70">
        <v>6012.2183999999997</v>
      </c>
      <c r="V96" s="70">
        <v>24517.2732</v>
      </c>
      <c r="W96" s="417">
        <v>0</v>
      </c>
      <c r="X96" s="378">
        <v>2.5400000000000001E-5</v>
      </c>
      <c r="Z96" s="70">
        <v>7767.8819999999996</v>
      </c>
      <c r="AA96" s="70">
        <v>7767.8267999999998</v>
      </c>
      <c r="AB96" s="70">
        <v>0</v>
      </c>
      <c r="AC96" s="417">
        <v>0</v>
      </c>
      <c r="AD96" s="417">
        <v>0</v>
      </c>
      <c r="AE96" s="378">
        <v>2.5400000000000001E-5</v>
      </c>
      <c r="AF96" s="378"/>
      <c r="AG96" s="70">
        <v>4372.2816000000012</v>
      </c>
      <c r="AH96" s="70">
        <v>4372.2816000000012</v>
      </c>
      <c r="AI96" s="70">
        <v>1751.2816000000012</v>
      </c>
      <c r="AJ96" s="417">
        <v>0</v>
      </c>
      <c r="AK96" s="417">
        <v>0</v>
      </c>
      <c r="AL96" s="378">
        <v>2.5400000000000001E-5</v>
      </c>
      <c r="AM96" s="378"/>
      <c r="AN96" s="70">
        <v>-2045</v>
      </c>
      <c r="AO96" s="70">
        <v>0</v>
      </c>
      <c r="AP96" s="70">
        <v>0</v>
      </c>
      <c r="AQ96" s="417">
        <v>0</v>
      </c>
      <c r="AR96" s="417">
        <v>0</v>
      </c>
    </row>
    <row r="97" spans="1:44">
      <c r="A97" s="439">
        <v>91021</v>
      </c>
      <c r="B97" s="440" t="s">
        <v>810</v>
      </c>
      <c r="C97" s="437">
        <v>9.0700000000000004E-4</v>
      </c>
      <c r="D97" s="441"/>
      <c r="E97" s="438">
        <v>762878.15275000012</v>
      </c>
      <c r="F97" s="442">
        <v>626106.84675000003</v>
      </c>
      <c r="G97" s="442">
        <v>176529.51475000003</v>
      </c>
      <c r="H97" s="442">
        <v>805694.44900000002</v>
      </c>
      <c r="I97" s="442">
        <v>0</v>
      </c>
      <c r="J97" s="443">
        <v>9.3899999999999995E-4</v>
      </c>
      <c r="K97" s="443"/>
      <c r="L97" s="444">
        <v>146142.18900000001</v>
      </c>
      <c r="M97" s="444">
        <v>59922.769</v>
      </c>
      <c r="N97" s="444">
        <v>-7204.3010000000004</v>
      </c>
      <c r="O97" s="444">
        <v>0</v>
      </c>
      <c r="P97" s="417">
        <v>0</v>
      </c>
      <c r="Q97" s="378">
        <v>9.3899999999999995E-4</v>
      </c>
      <c r="R97" s="378"/>
      <c r="S97" s="70">
        <v>355319.97100000002</v>
      </c>
      <c r="T97" s="105">
        <v>332557.89900000003</v>
      </c>
      <c r="U97" s="70">
        <v>197575.43799999999</v>
      </c>
      <c r="V97" s="70">
        <v>805694.44900000002</v>
      </c>
      <c r="W97" s="417">
        <v>0</v>
      </c>
      <c r="X97" s="378">
        <v>9.3899999999999995E-4</v>
      </c>
      <c r="Z97" s="70">
        <v>255270.61500000002</v>
      </c>
      <c r="AA97" s="70">
        <v>255268.80100000001</v>
      </c>
      <c r="AB97" s="70">
        <v>0</v>
      </c>
      <c r="AC97" s="417">
        <v>0</v>
      </c>
      <c r="AD97" s="417">
        <v>0</v>
      </c>
      <c r="AE97" s="378">
        <v>9.3899999999999995E-4</v>
      </c>
      <c r="AF97" s="378"/>
      <c r="AG97" s="70">
        <v>27788</v>
      </c>
      <c r="AH97" s="70">
        <v>0</v>
      </c>
      <c r="AI97" s="70">
        <v>0</v>
      </c>
      <c r="AJ97" s="417">
        <v>0</v>
      </c>
      <c r="AK97" s="417">
        <v>0</v>
      </c>
      <c r="AL97" s="378">
        <v>9.3899999999999995E-4</v>
      </c>
      <c r="AM97" s="378"/>
      <c r="AN97" s="70">
        <v>-21642.622249999957</v>
      </c>
      <c r="AO97" s="70">
        <v>-21642.622249999957</v>
      </c>
      <c r="AP97" s="70">
        <v>-13841.622249999957</v>
      </c>
      <c r="AQ97" s="417">
        <v>0</v>
      </c>
      <c r="AR97" s="417">
        <v>0</v>
      </c>
    </row>
    <row r="98" spans="1:44">
      <c r="A98" s="439">
        <v>91024</v>
      </c>
      <c r="B98" s="440" t="s">
        <v>811</v>
      </c>
      <c r="C98" s="437">
        <v>8.8800000000000004E-5</v>
      </c>
      <c r="D98" s="441"/>
      <c r="E98" s="438">
        <v>79063.686400000006</v>
      </c>
      <c r="F98" s="442">
        <v>62914.656000000003</v>
      </c>
      <c r="G98" s="442">
        <v>27455.947199999999</v>
      </c>
      <c r="H98" s="442">
        <v>78881.661600000007</v>
      </c>
      <c r="I98" s="442">
        <v>0</v>
      </c>
      <c r="J98" s="443">
        <v>8.0000000000000007E-5</v>
      </c>
      <c r="K98" s="443"/>
      <c r="L98" s="444">
        <v>14308.077600000001</v>
      </c>
      <c r="M98" s="444">
        <v>5866.7496000000001</v>
      </c>
      <c r="N98" s="444">
        <v>-705.33839999999998</v>
      </c>
      <c r="O98" s="444">
        <v>0</v>
      </c>
      <c r="P98" s="417">
        <v>0</v>
      </c>
      <c r="Q98" s="378">
        <v>8.0000000000000007E-5</v>
      </c>
      <c r="R98" s="378"/>
      <c r="S98" s="70">
        <v>34787.666400000002</v>
      </c>
      <c r="T98" s="105">
        <v>32559.141600000003</v>
      </c>
      <c r="U98" s="70">
        <v>19343.659200000002</v>
      </c>
      <c r="V98" s="70">
        <v>78881.661600000007</v>
      </c>
      <c r="W98" s="417">
        <v>0</v>
      </c>
      <c r="X98" s="378">
        <v>8.0000000000000007E-5</v>
      </c>
      <c r="Z98" s="70">
        <v>24992.316000000003</v>
      </c>
      <c r="AA98" s="70">
        <v>24992.1384</v>
      </c>
      <c r="AB98" s="70">
        <v>0</v>
      </c>
      <c r="AC98" s="417">
        <v>0</v>
      </c>
      <c r="AD98" s="417">
        <v>0</v>
      </c>
      <c r="AE98" s="378">
        <v>8.0000000000000007E-5</v>
      </c>
      <c r="AF98" s="378"/>
      <c r="AG98" s="70">
        <v>14296.626399999997</v>
      </c>
      <c r="AH98" s="70">
        <v>8817.6263999999974</v>
      </c>
      <c r="AI98" s="70">
        <v>8817.6263999999974</v>
      </c>
      <c r="AJ98" s="417">
        <v>0</v>
      </c>
      <c r="AK98" s="417">
        <v>0</v>
      </c>
      <c r="AL98" s="378">
        <v>8.0000000000000007E-5</v>
      </c>
      <c r="AM98" s="378"/>
      <c r="AN98" s="70">
        <v>-9321</v>
      </c>
      <c r="AO98" s="70">
        <v>-9321</v>
      </c>
      <c r="AP98" s="70">
        <v>0</v>
      </c>
      <c r="AQ98" s="417">
        <v>0</v>
      </c>
      <c r="AR98" s="417">
        <v>0</v>
      </c>
    </row>
    <row r="99" spans="1:44">
      <c r="A99" s="439">
        <v>91026</v>
      </c>
      <c r="B99" s="440" t="s">
        <v>43</v>
      </c>
      <c r="C99" s="437">
        <v>9.9000000000000001E-6</v>
      </c>
      <c r="D99" s="441"/>
      <c r="E99" s="438">
        <v>13592.183924999996</v>
      </c>
      <c r="F99" s="442">
        <v>7168.6197249999987</v>
      </c>
      <c r="G99" s="442">
        <v>-2617.7126750000016</v>
      </c>
      <c r="H99" s="442">
        <v>8794.2392999999993</v>
      </c>
      <c r="I99" s="442">
        <v>0</v>
      </c>
      <c r="J99" s="443">
        <v>3.1300000000000002E-5</v>
      </c>
      <c r="K99" s="443"/>
      <c r="L99" s="444">
        <v>1595.1573000000001</v>
      </c>
      <c r="M99" s="444">
        <v>654.06330000000003</v>
      </c>
      <c r="N99" s="444">
        <v>-78.6357</v>
      </c>
      <c r="O99" s="444">
        <v>0</v>
      </c>
      <c r="P99" s="417">
        <v>0</v>
      </c>
      <c r="Q99" s="378">
        <v>3.1300000000000002E-5</v>
      </c>
      <c r="R99" s="378"/>
      <c r="S99" s="70">
        <v>3878.3546999999999</v>
      </c>
      <c r="T99" s="105">
        <v>3629.9043000000001</v>
      </c>
      <c r="U99" s="70">
        <v>2156.5565999999999</v>
      </c>
      <c r="V99" s="70">
        <v>8794.2392999999993</v>
      </c>
      <c r="W99" s="417">
        <v>0</v>
      </c>
      <c r="X99" s="378">
        <v>3.1300000000000002E-5</v>
      </c>
      <c r="Z99" s="70">
        <v>2786.3054999999999</v>
      </c>
      <c r="AA99" s="70">
        <v>2786.2856999999999</v>
      </c>
      <c r="AB99" s="70">
        <v>0</v>
      </c>
      <c r="AC99" s="417">
        <v>0</v>
      </c>
      <c r="AD99" s="417">
        <v>0</v>
      </c>
      <c r="AE99" s="378">
        <v>3.1300000000000002E-5</v>
      </c>
      <c r="AF99" s="378"/>
      <c r="AG99" s="70">
        <v>10028</v>
      </c>
      <c r="AH99" s="70">
        <v>4794</v>
      </c>
      <c r="AI99" s="70">
        <v>0</v>
      </c>
      <c r="AJ99" s="417">
        <v>0</v>
      </c>
      <c r="AK99" s="417">
        <v>0</v>
      </c>
      <c r="AL99" s="378">
        <v>3.1300000000000002E-5</v>
      </c>
      <c r="AM99" s="378"/>
      <c r="AN99" s="70">
        <v>-4695.6335750000017</v>
      </c>
      <c r="AO99" s="70">
        <v>-4695.6335750000017</v>
      </c>
      <c r="AP99" s="70">
        <v>-4695.6335750000017</v>
      </c>
      <c r="AQ99" s="417">
        <v>0</v>
      </c>
      <c r="AR99" s="417">
        <v>0</v>
      </c>
    </row>
    <row r="100" spans="1:44">
      <c r="A100" s="439">
        <v>91027</v>
      </c>
      <c r="B100" s="440" t="s">
        <v>812</v>
      </c>
      <c r="C100" s="437">
        <v>1.4600000000000001E-5</v>
      </c>
      <c r="D100" s="441"/>
      <c r="E100" s="438">
        <v>19032.631249999999</v>
      </c>
      <c r="F100" s="442">
        <v>13647.32445</v>
      </c>
      <c r="G100" s="442">
        <v>2974.8948500000001</v>
      </c>
      <c r="H100" s="442">
        <v>12969.282200000001</v>
      </c>
      <c r="I100" s="442">
        <v>0</v>
      </c>
      <c r="J100" s="443">
        <v>1.9599999999999999E-5</v>
      </c>
      <c r="K100" s="443"/>
      <c r="L100" s="444">
        <v>2352.4542000000001</v>
      </c>
      <c r="M100" s="444">
        <v>964.57820000000004</v>
      </c>
      <c r="N100" s="444">
        <v>-115.96780000000001</v>
      </c>
      <c r="O100" s="444">
        <v>0</v>
      </c>
      <c r="P100" s="417">
        <v>0</v>
      </c>
      <c r="Q100" s="378">
        <v>1.9599999999999999E-5</v>
      </c>
      <c r="R100" s="378"/>
      <c r="S100" s="70">
        <v>5719.5938000000006</v>
      </c>
      <c r="T100" s="105">
        <v>5353.1922000000004</v>
      </c>
      <c r="U100" s="70">
        <v>3180.3764000000001</v>
      </c>
      <c r="V100" s="70">
        <v>12969.282200000001</v>
      </c>
      <c r="W100" s="417">
        <v>0</v>
      </c>
      <c r="X100" s="378">
        <v>1.9599999999999999E-5</v>
      </c>
      <c r="Z100" s="70">
        <v>4109.0970000000007</v>
      </c>
      <c r="AA100" s="70">
        <v>4109.0677999999998</v>
      </c>
      <c r="AB100" s="70">
        <v>0</v>
      </c>
      <c r="AC100" s="417">
        <v>0</v>
      </c>
      <c r="AD100" s="417">
        <v>0</v>
      </c>
      <c r="AE100" s="378">
        <v>1.9599999999999999E-5</v>
      </c>
      <c r="AF100" s="378"/>
      <c r="AG100" s="70">
        <v>6941</v>
      </c>
      <c r="AH100" s="70">
        <v>3310</v>
      </c>
      <c r="AI100" s="70">
        <v>0</v>
      </c>
      <c r="AJ100" s="417">
        <v>0</v>
      </c>
      <c r="AK100" s="417">
        <v>0</v>
      </c>
      <c r="AL100" s="378">
        <v>1.9599999999999999E-5</v>
      </c>
      <c r="AM100" s="378"/>
      <c r="AN100" s="70">
        <v>-89.513750000000073</v>
      </c>
      <c r="AO100" s="70">
        <v>-89.513750000000073</v>
      </c>
      <c r="AP100" s="70">
        <v>-89.513750000000073</v>
      </c>
      <c r="AQ100" s="417">
        <v>0</v>
      </c>
      <c r="AR100" s="417">
        <v>0</v>
      </c>
    </row>
    <row r="101" spans="1:44">
      <c r="A101" s="439">
        <v>91032</v>
      </c>
      <c r="B101" s="440" t="s">
        <v>813</v>
      </c>
      <c r="C101" s="437">
        <v>3.82E-5</v>
      </c>
      <c r="D101" s="441"/>
      <c r="E101" s="438">
        <v>53731.908500000005</v>
      </c>
      <c r="F101" s="442">
        <v>41022.872900000002</v>
      </c>
      <c r="G101" s="442">
        <v>12490.529700000001</v>
      </c>
      <c r="H101" s="442">
        <v>33933.327400000002</v>
      </c>
      <c r="I101" s="442">
        <v>0</v>
      </c>
      <c r="J101" s="443">
        <v>3.3699999999999999E-5</v>
      </c>
      <c r="K101" s="443"/>
      <c r="L101" s="444">
        <v>6155.0514000000003</v>
      </c>
      <c r="M101" s="444">
        <v>2523.7593999999999</v>
      </c>
      <c r="N101" s="444">
        <v>-303.42259999999999</v>
      </c>
      <c r="O101" s="444">
        <v>0</v>
      </c>
      <c r="P101" s="417">
        <v>0</v>
      </c>
      <c r="Q101" s="378">
        <v>3.3699999999999999E-5</v>
      </c>
      <c r="R101" s="378"/>
      <c r="S101" s="70">
        <v>14964.964599999999</v>
      </c>
      <c r="T101" s="105">
        <v>14006.297399999999</v>
      </c>
      <c r="U101" s="70">
        <v>8321.2587999999996</v>
      </c>
      <c r="V101" s="70">
        <v>33933.327400000002</v>
      </c>
      <c r="W101" s="417">
        <v>0</v>
      </c>
      <c r="X101" s="378">
        <v>3.3699999999999999E-5</v>
      </c>
      <c r="Z101" s="70">
        <v>10751.199000000001</v>
      </c>
      <c r="AA101" s="70">
        <v>10751.122600000001</v>
      </c>
      <c r="AB101" s="70">
        <v>0</v>
      </c>
      <c r="AC101" s="417">
        <v>0</v>
      </c>
      <c r="AD101" s="417">
        <v>0</v>
      </c>
      <c r="AE101" s="378">
        <v>3.3699999999999999E-5</v>
      </c>
      <c r="AF101" s="378"/>
      <c r="AG101" s="70">
        <v>21860.693500000001</v>
      </c>
      <c r="AH101" s="70">
        <v>13741.693500000001</v>
      </c>
      <c r="AI101" s="70">
        <v>4472.6935000000012</v>
      </c>
      <c r="AJ101" s="417">
        <v>0</v>
      </c>
      <c r="AK101" s="417">
        <v>0</v>
      </c>
      <c r="AL101" s="378">
        <v>3.3699999999999999E-5</v>
      </c>
      <c r="AM101" s="378"/>
      <c r="AN101" s="70">
        <v>0</v>
      </c>
      <c r="AO101" s="70">
        <v>0</v>
      </c>
      <c r="AP101" s="70">
        <v>0</v>
      </c>
      <c r="AQ101" s="417">
        <v>0</v>
      </c>
      <c r="AR101" s="417">
        <v>0</v>
      </c>
    </row>
    <row r="102" spans="1:44">
      <c r="A102" s="439">
        <v>91041</v>
      </c>
      <c r="B102" s="440" t="s">
        <v>814</v>
      </c>
      <c r="C102" s="437">
        <v>4.371E-4</v>
      </c>
      <c r="D102" s="441"/>
      <c r="E102" s="438">
        <v>330217.432975</v>
      </c>
      <c r="F102" s="442">
        <v>276360.37117499998</v>
      </c>
      <c r="G102" s="442">
        <v>99189.331574999975</v>
      </c>
      <c r="H102" s="442">
        <v>388278.98969999998</v>
      </c>
      <c r="I102" s="442">
        <v>0</v>
      </c>
      <c r="J102" s="443">
        <v>4.1340000000000002E-4</v>
      </c>
      <c r="K102" s="443"/>
      <c r="L102" s="444">
        <v>70428.611699999994</v>
      </c>
      <c r="M102" s="444">
        <v>28877.885699999999</v>
      </c>
      <c r="N102" s="444">
        <v>-3471.8852999999999</v>
      </c>
      <c r="O102" s="444">
        <v>0</v>
      </c>
      <c r="P102" s="417">
        <v>0</v>
      </c>
      <c r="Q102" s="378">
        <v>4.1340000000000002E-4</v>
      </c>
      <c r="R102" s="378"/>
      <c r="S102" s="70">
        <v>171235.23629999999</v>
      </c>
      <c r="T102" s="105">
        <v>160265.77470000001</v>
      </c>
      <c r="U102" s="70">
        <v>95215.241399999999</v>
      </c>
      <c r="V102" s="70">
        <v>388278.98969999998</v>
      </c>
      <c r="W102" s="417">
        <v>0</v>
      </c>
      <c r="X102" s="378">
        <v>4.1340000000000002E-4</v>
      </c>
      <c r="Z102" s="70">
        <v>123019.60950000001</v>
      </c>
      <c r="AA102" s="70">
        <v>123018.7353</v>
      </c>
      <c r="AB102" s="70">
        <v>0</v>
      </c>
      <c r="AC102" s="417">
        <v>0</v>
      </c>
      <c r="AD102" s="417">
        <v>0</v>
      </c>
      <c r="AE102" s="378">
        <v>4.1340000000000002E-4</v>
      </c>
      <c r="AF102" s="378"/>
      <c r="AG102" s="70">
        <v>14838.97547499997</v>
      </c>
      <c r="AH102" s="70">
        <v>7445.9754749999702</v>
      </c>
      <c r="AI102" s="70">
        <v>7445.9754749999702</v>
      </c>
      <c r="AJ102" s="417">
        <v>0</v>
      </c>
      <c r="AK102" s="417">
        <v>0</v>
      </c>
      <c r="AL102" s="378">
        <v>4.1340000000000002E-4</v>
      </c>
      <c r="AM102" s="378"/>
      <c r="AN102" s="70">
        <v>-49305</v>
      </c>
      <c r="AO102" s="70">
        <v>-43248</v>
      </c>
      <c r="AP102" s="70">
        <v>0</v>
      </c>
      <c r="AQ102" s="417">
        <v>0</v>
      </c>
      <c r="AR102" s="417">
        <v>0</v>
      </c>
    </row>
    <row r="103" spans="1:44">
      <c r="A103" s="439">
        <v>91042</v>
      </c>
      <c r="B103" s="440" t="s">
        <v>815</v>
      </c>
      <c r="C103" s="437">
        <v>4.4799999999999999E-4</v>
      </c>
      <c r="D103" s="441"/>
      <c r="E103" s="438">
        <v>457865.10230000003</v>
      </c>
      <c r="F103" s="442">
        <v>404660.31830000004</v>
      </c>
      <c r="G103" s="442">
        <v>167927.67030000006</v>
      </c>
      <c r="H103" s="442">
        <v>397961.53600000002</v>
      </c>
      <c r="I103" s="442">
        <v>0</v>
      </c>
      <c r="J103" s="443">
        <v>2.9639999999999999E-4</v>
      </c>
      <c r="K103" s="443"/>
      <c r="L103" s="444">
        <v>72184.895999999993</v>
      </c>
      <c r="M103" s="444">
        <v>29598.016</v>
      </c>
      <c r="N103" s="444">
        <v>-3558.4639999999999</v>
      </c>
      <c r="O103" s="444">
        <v>0</v>
      </c>
      <c r="P103" s="417">
        <v>0</v>
      </c>
      <c r="Q103" s="378">
        <v>2.9639999999999999E-4</v>
      </c>
      <c r="R103" s="378"/>
      <c r="S103" s="70">
        <v>175505.34400000001</v>
      </c>
      <c r="T103" s="105">
        <v>164262.33600000001</v>
      </c>
      <c r="U103" s="70">
        <v>97589.631999999998</v>
      </c>
      <c r="V103" s="70">
        <v>397961.53600000002</v>
      </c>
      <c r="W103" s="417">
        <v>0</v>
      </c>
      <c r="X103" s="378">
        <v>2.9639999999999999E-4</v>
      </c>
      <c r="Z103" s="70">
        <v>126087.36</v>
      </c>
      <c r="AA103" s="70">
        <v>126086.46399999999</v>
      </c>
      <c r="AB103" s="70">
        <v>0</v>
      </c>
      <c r="AC103" s="417">
        <v>0</v>
      </c>
      <c r="AD103" s="417">
        <v>0</v>
      </c>
      <c r="AE103" s="378">
        <v>2.9639999999999999E-4</v>
      </c>
      <c r="AF103" s="378"/>
      <c r="AG103" s="70">
        <v>87308.502300000036</v>
      </c>
      <c r="AH103" s="70">
        <v>84713.502300000036</v>
      </c>
      <c r="AI103" s="70">
        <v>73896.502300000036</v>
      </c>
      <c r="AJ103" s="417">
        <v>0</v>
      </c>
      <c r="AK103" s="417">
        <v>0</v>
      </c>
      <c r="AL103" s="378">
        <v>2.9639999999999999E-4</v>
      </c>
      <c r="AM103" s="378"/>
      <c r="AN103" s="70">
        <v>-3221</v>
      </c>
      <c r="AO103" s="70">
        <v>0</v>
      </c>
      <c r="AP103" s="70">
        <v>0</v>
      </c>
      <c r="AQ103" s="417">
        <v>0</v>
      </c>
      <c r="AR103" s="417">
        <v>0</v>
      </c>
    </row>
    <row r="104" spans="1:44">
      <c r="A104" s="439">
        <v>91047</v>
      </c>
      <c r="B104" s="440" t="s">
        <v>816</v>
      </c>
      <c r="C104" s="437">
        <v>1.34E-5</v>
      </c>
      <c r="D104" s="441"/>
      <c r="E104" s="438">
        <v>17197.32675</v>
      </c>
      <c r="F104" s="442">
        <v>13216.209550000001</v>
      </c>
      <c r="G104" s="442">
        <v>4477.9111499999999</v>
      </c>
      <c r="H104" s="442">
        <v>11903.3138</v>
      </c>
      <c r="I104" s="442">
        <v>0</v>
      </c>
      <c r="J104" s="443">
        <v>1.24E-5</v>
      </c>
      <c r="K104" s="443"/>
      <c r="L104" s="444">
        <v>2159.1017999999999</v>
      </c>
      <c r="M104" s="444">
        <v>885.29780000000005</v>
      </c>
      <c r="N104" s="444">
        <v>-106.4362</v>
      </c>
      <c r="O104" s="444">
        <v>0</v>
      </c>
      <c r="P104" s="417">
        <v>0</v>
      </c>
      <c r="Q104" s="378">
        <v>1.24E-5</v>
      </c>
      <c r="R104" s="378"/>
      <c r="S104" s="70">
        <v>5249.4902000000002</v>
      </c>
      <c r="T104" s="105">
        <v>4913.2038000000002</v>
      </c>
      <c r="U104" s="70">
        <v>2918.9756000000002</v>
      </c>
      <c r="V104" s="70">
        <v>11903.3138</v>
      </c>
      <c r="W104" s="417">
        <v>0</v>
      </c>
      <c r="X104" s="378">
        <v>1.24E-5</v>
      </c>
      <c r="Z104" s="70">
        <v>3771.3630000000003</v>
      </c>
      <c r="AA104" s="70">
        <v>3771.3362000000002</v>
      </c>
      <c r="AB104" s="70">
        <v>0</v>
      </c>
      <c r="AC104" s="417">
        <v>0</v>
      </c>
      <c r="AD104" s="417">
        <v>0</v>
      </c>
      <c r="AE104" s="378">
        <v>1.24E-5</v>
      </c>
      <c r="AF104" s="378"/>
      <c r="AG104" s="70">
        <v>6024.3717500000002</v>
      </c>
      <c r="AH104" s="70">
        <v>3646.3717499999998</v>
      </c>
      <c r="AI104" s="70">
        <v>1665.3717499999998</v>
      </c>
      <c r="AJ104" s="417">
        <v>0</v>
      </c>
      <c r="AK104" s="417">
        <v>0</v>
      </c>
      <c r="AL104" s="378">
        <v>1.24E-5</v>
      </c>
      <c r="AM104" s="378"/>
      <c r="AN104" s="70">
        <v>-7</v>
      </c>
      <c r="AO104" s="70">
        <v>0</v>
      </c>
      <c r="AP104" s="70">
        <v>0</v>
      </c>
      <c r="AQ104" s="417">
        <v>0</v>
      </c>
      <c r="AR104" s="417">
        <v>0</v>
      </c>
    </row>
    <row r="105" spans="1:44">
      <c r="A105" s="439">
        <v>91051</v>
      </c>
      <c r="B105" s="440" t="s">
        <v>817</v>
      </c>
      <c r="C105" s="437">
        <v>4.0000000000000003E-5</v>
      </c>
      <c r="D105" s="441"/>
      <c r="E105" s="438">
        <v>29777.906850000007</v>
      </c>
      <c r="F105" s="442">
        <v>24547.586850000007</v>
      </c>
      <c r="G105" s="442">
        <v>8984.5468500000097</v>
      </c>
      <c r="H105" s="442">
        <v>35532.280000000006</v>
      </c>
      <c r="I105" s="442">
        <v>0</v>
      </c>
      <c r="J105" s="443">
        <v>4.7299999999999998E-5</v>
      </c>
      <c r="K105" s="443"/>
      <c r="L105" s="444">
        <v>6445.0800000000008</v>
      </c>
      <c r="M105" s="444">
        <v>2642.6800000000003</v>
      </c>
      <c r="N105" s="444">
        <v>-317.72000000000003</v>
      </c>
      <c r="O105" s="444">
        <v>0</v>
      </c>
      <c r="P105" s="417">
        <v>0</v>
      </c>
      <c r="Q105" s="378">
        <v>4.7299999999999998E-5</v>
      </c>
      <c r="R105" s="378"/>
      <c r="S105" s="70">
        <v>15670.12</v>
      </c>
      <c r="T105" s="105">
        <v>14666.28</v>
      </c>
      <c r="U105" s="70">
        <v>8713.36</v>
      </c>
      <c r="V105" s="70">
        <v>35532.280000000006</v>
      </c>
      <c r="W105" s="417">
        <v>0</v>
      </c>
      <c r="X105" s="378">
        <v>4.7299999999999998E-5</v>
      </c>
      <c r="Z105" s="70">
        <v>11257.800000000001</v>
      </c>
      <c r="AA105" s="70">
        <v>11257.720000000001</v>
      </c>
      <c r="AB105" s="70">
        <v>0</v>
      </c>
      <c r="AC105" s="417">
        <v>0</v>
      </c>
      <c r="AD105" s="417">
        <v>0</v>
      </c>
      <c r="AE105" s="378">
        <v>4.7299999999999998E-5</v>
      </c>
      <c r="AF105" s="378"/>
      <c r="AG105" s="70">
        <v>1286.9068500000085</v>
      </c>
      <c r="AH105" s="70">
        <v>588.90685000000849</v>
      </c>
      <c r="AI105" s="70">
        <v>588.90685000000849</v>
      </c>
      <c r="AJ105" s="417">
        <v>0</v>
      </c>
      <c r="AK105" s="417">
        <v>0</v>
      </c>
      <c r="AL105" s="378">
        <v>4.7299999999999998E-5</v>
      </c>
      <c r="AM105" s="378"/>
      <c r="AN105" s="70">
        <v>-4882</v>
      </c>
      <c r="AO105" s="70">
        <v>-4608</v>
      </c>
      <c r="AP105" s="70">
        <v>0</v>
      </c>
      <c r="AQ105" s="417">
        <v>0</v>
      </c>
      <c r="AR105" s="417">
        <v>0</v>
      </c>
    </row>
    <row r="106" spans="1:44">
      <c r="A106" s="439">
        <v>91057</v>
      </c>
      <c r="B106" s="440" t="s">
        <v>818</v>
      </c>
      <c r="C106" s="437">
        <v>1.0499999999999999E-5</v>
      </c>
      <c r="D106" s="441"/>
      <c r="E106" s="438">
        <v>12356.720074999997</v>
      </c>
      <c r="F106" s="442">
        <v>10650.061075</v>
      </c>
      <c r="G106" s="442">
        <v>3659.1630749999995</v>
      </c>
      <c r="H106" s="442">
        <v>9327.2235000000001</v>
      </c>
      <c r="I106" s="442">
        <v>0</v>
      </c>
      <c r="J106" s="443">
        <v>1.11E-5</v>
      </c>
      <c r="K106" s="443"/>
      <c r="L106" s="444">
        <v>1691.8335</v>
      </c>
      <c r="M106" s="444">
        <v>693.70349999999996</v>
      </c>
      <c r="N106" s="444">
        <v>-83.401499999999999</v>
      </c>
      <c r="O106" s="444">
        <v>0</v>
      </c>
      <c r="P106" s="417">
        <v>0</v>
      </c>
      <c r="Q106" s="378">
        <v>1.11E-5</v>
      </c>
      <c r="R106" s="378"/>
      <c r="S106" s="70">
        <v>4113.4065000000001</v>
      </c>
      <c r="T106" s="105">
        <v>3849.8984999999998</v>
      </c>
      <c r="U106" s="70">
        <v>2287.2570000000001</v>
      </c>
      <c r="V106" s="70">
        <v>9327.2235000000001</v>
      </c>
      <c r="W106" s="417">
        <v>0</v>
      </c>
      <c r="X106" s="378">
        <v>1.11E-5</v>
      </c>
      <c r="Z106" s="70">
        <v>2955.1724999999997</v>
      </c>
      <c r="AA106" s="70">
        <v>2955.1514999999999</v>
      </c>
      <c r="AB106" s="70">
        <v>0</v>
      </c>
      <c r="AC106" s="417">
        <v>0</v>
      </c>
      <c r="AD106" s="417">
        <v>0</v>
      </c>
      <c r="AE106" s="378">
        <v>1.11E-5</v>
      </c>
      <c r="AF106" s="378"/>
      <c r="AG106" s="70">
        <v>4430.3075749999989</v>
      </c>
      <c r="AH106" s="70">
        <v>3151.3075749999994</v>
      </c>
      <c r="AI106" s="70">
        <v>1455.3075749999994</v>
      </c>
      <c r="AJ106" s="417">
        <v>0</v>
      </c>
      <c r="AK106" s="417">
        <v>0</v>
      </c>
      <c r="AL106" s="378">
        <v>1.11E-5</v>
      </c>
      <c r="AM106" s="378"/>
      <c r="AN106" s="70">
        <v>-834</v>
      </c>
      <c r="AO106" s="70">
        <v>0</v>
      </c>
      <c r="AP106" s="70">
        <v>0</v>
      </c>
      <c r="AQ106" s="417">
        <v>0</v>
      </c>
      <c r="AR106" s="417">
        <v>0</v>
      </c>
    </row>
    <row r="107" spans="1:44">
      <c r="A107" s="439">
        <v>91061</v>
      </c>
      <c r="B107" s="440" t="s">
        <v>819</v>
      </c>
      <c r="C107" s="437">
        <v>3.7320000000000002E-4</v>
      </c>
      <c r="D107" s="441"/>
      <c r="E107" s="438">
        <v>305425.52890000003</v>
      </c>
      <c r="F107" s="442">
        <v>263581.56329999998</v>
      </c>
      <c r="G107" s="442">
        <v>76459.760100000029</v>
      </c>
      <c r="H107" s="442">
        <v>331516.17240000004</v>
      </c>
      <c r="I107" s="442">
        <v>0</v>
      </c>
      <c r="J107" s="443">
        <v>3.7439999999999999E-4</v>
      </c>
      <c r="K107" s="443"/>
      <c r="L107" s="444">
        <v>60132.596400000002</v>
      </c>
      <c r="M107" s="444">
        <v>24656.204400000002</v>
      </c>
      <c r="N107" s="444">
        <v>-2964.3276000000001</v>
      </c>
      <c r="O107" s="444">
        <v>0</v>
      </c>
      <c r="P107" s="417">
        <v>0</v>
      </c>
      <c r="Q107" s="378">
        <v>3.7439999999999999E-4</v>
      </c>
      <c r="R107" s="378"/>
      <c r="S107" s="70">
        <v>146202.21960000001</v>
      </c>
      <c r="T107" s="105">
        <v>136836.39240000001</v>
      </c>
      <c r="U107" s="70">
        <v>81295.64880000001</v>
      </c>
      <c r="V107" s="70">
        <v>331516.17240000004</v>
      </c>
      <c r="W107" s="417">
        <v>0</v>
      </c>
      <c r="X107" s="378">
        <v>3.7439999999999999E-4</v>
      </c>
      <c r="Z107" s="70">
        <v>105035.274</v>
      </c>
      <c r="AA107" s="70">
        <v>105034.5276</v>
      </c>
      <c r="AB107" s="70">
        <v>0</v>
      </c>
      <c r="AC107" s="417">
        <v>0</v>
      </c>
      <c r="AD107" s="417">
        <v>0</v>
      </c>
      <c r="AE107" s="378">
        <v>3.7439999999999999E-4</v>
      </c>
      <c r="AF107" s="378"/>
      <c r="AG107" s="70">
        <v>1004</v>
      </c>
      <c r="AH107" s="70">
        <v>0</v>
      </c>
      <c r="AI107" s="70">
        <v>0</v>
      </c>
      <c r="AJ107" s="417">
        <v>0</v>
      </c>
      <c r="AK107" s="417">
        <v>0</v>
      </c>
      <c r="AL107" s="378">
        <v>3.7439999999999999E-4</v>
      </c>
      <c r="AM107" s="378"/>
      <c r="AN107" s="70">
        <v>-6948.5610999999772</v>
      </c>
      <c r="AO107" s="70">
        <v>-2945.5610999999772</v>
      </c>
      <c r="AP107" s="70">
        <v>-1871.5610999999772</v>
      </c>
      <c r="AQ107" s="417">
        <v>0</v>
      </c>
      <c r="AR107" s="417">
        <v>0</v>
      </c>
    </row>
    <row r="108" spans="1:44">
      <c r="A108" s="439">
        <v>91067</v>
      </c>
      <c r="B108" s="440" t="s">
        <v>820</v>
      </c>
      <c r="C108" s="437">
        <v>1.5299999999999999E-5</v>
      </c>
      <c r="D108" s="441"/>
      <c r="E108" s="438">
        <v>14756.134124999997</v>
      </c>
      <c r="F108" s="442">
        <v>12591.716724999998</v>
      </c>
      <c r="G108" s="442">
        <v>3928.2939249999986</v>
      </c>
      <c r="H108" s="442">
        <v>13591.097099999999</v>
      </c>
      <c r="I108" s="442">
        <v>0</v>
      </c>
      <c r="J108" s="443">
        <v>1.5800000000000001E-5</v>
      </c>
      <c r="K108" s="443"/>
      <c r="L108" s="444">
        <v>2465.2430999999997</v>
      </c>
      <c r="M108" s="444">
        <v>1010.8250999999999</v>
      </c>
      <c r="N108" s="444">
        <v>-121.52789999999999</v>
      </c>
      <c r="O108" s="444">
        <v>0</v>
      </c>
      <c r="P108" s="417">
        <v>0</v>
      </c>
      <c r="Q108" s="378">
        <v>1.5800000000000001E-5</v>
      </c>
      <c r="R108" s="378"/>
      <c r="S108" s="70">
        <v>5993.8208999999997</v>
      </c>
      <c r="T108" s="105">
        <v>5609.8521000000001</v>
      </c>
      <c r="U108" s="70">
        <v>3332.8601999999996</v>
      </c>
      <c r="V108" s="70">
        <v>13591.097099999999</v>
      </c>
      <c r="W108" s="417">
        <v>0</v>
      </c>
      <c r="X108" s="378">
        <v>1.5800000000000001E-5</v>
      </c>
      <c r="Z108" s="70">
        <v>4306.1084999999994</v>
      </c>
      <c r="AA108" s="70">
        <v>4306.0779000000002</v>
      </c>
      <c r="AB108" s="70">
        <v>0</v>
      </c>
      <c r="AC108" s="417">
        <v>0</v>
      </c>
      <c r="AD108" s="417">
        <v>0</v>
      </c>
      <c r="AE108" s="378">
        <v>1.5800000000000001E-5</v>
      </c>
      <c r="AF108" s="378"/>
      <c r="AG108" s="70">
        <v>1990.961624999999</v>
      </c>
      <c r="AH108" s="70">
        <v>1664.961624999999</v>
      </c>
      <c r="AI108" s="70">
        <v>716.961624999999</v>
      </c>
      <c r="AJ108" s="417">
        <v>0</v>
      </c>
      <c r="AK108" s="417">
        <v>0</v>
      </c>
      <c r="AL108" s="378">
        <v>1.5800000000000001E-5</v>
      </c>
      <c r="AM108" s="378"/>
      <c r="AN108" s="70">
        <v>0</v>
      </c>
      <c r="AO108" s="70">
        <v>0</v>
      </c>
      <c r="AP108" s="70">
        <v>0</v>
      </c>
      <c r="AQ108" s="417">
        <v>0</v>
      </c>
      <c r="AR108" s="417">
        <v>0</v>
      </c>
    </row>
    <row r="109" spans="1:44">
      <c r="A109" s="439">
        <v>91071</v>
      </c>
      <c r="B109" s="440" t="s">
        <v>821</v>
      </c>
      <c r="C109" s="437">
        <v>2.5569999999999998E-4</v>
      </c>
      <c r="D109" s="441"/>
      <c r="E109" s="438">
        <v>225939.75692499994</v>
      </c>
      <c r="F109" s="442">
        <v>204886.35632499994</v>
      </c>
      <c r="G109" s="442">
        <v>76649.98312499997</v>
      </c>
      <c r="H109" s="442">
        <v>227140.09989999997</v>
      </c>
      <c r="I109" s="442">
        <v>0</v>
      </c>
      <c r="J109" s="443">
        <v>2.1359999999999999E-4</v>
      </c>
      <c r="K109" s="443"/>
      <c r="L109" s="444">
        <v>41200.173899999994</v>
      </c>
      <c r="M109" s="444">
        <v>16893.331899999997</v>
      </c>
      <c r="N109" s="444">
        <v>-2031.0250999999998</v>
      </c>
      <c r="O109" s="444">
        <v>0</v>
      </c>
      <c r="P109" s="417">
        <v>0</v>
      </c>
      <c r="Q109" s="378">
        <v>2.1359999999999999E-4</v>
      </c>
      <c r="R109" s="378"/>
      <c r="S109" s="70">
        <v>100171.24209999999</v>
      </c>
      <c r="T109" s="105">
        <v>93754.194899999988</v>
      </c>
      <c r="U109" s="70">
        <v>55700.153799999993</v>
      </c>
      <c r="V109" s="70">
        <v>227140.09989999997</v>
      </c>
      <c r="W109" s="417">
        <v>0</v>
      </c>
      <c r="X109" s="378">
        <v>2.1359999999999999E-4</v>
      </c>
      <c r="Z109" s="70">
        <v>71965.486499999999</v>
      </c>
      <c r="AA109" s="70">
        <v>71964.975099999996</v>
      </c>
      <c r="AB109" s="70">
        <v>0</v>
      </c>
      <c r="AC109" s="417">
        <v>0</v>
      </c>
      <c r="AD109" s="417">
        <v>0</v>
      </c>
      <c r="AE109" s="378">
        <v>2.1359999999999999E-4</v>
      </c>
      <c r="AF109" s="378"/>
      <c r="AG109" s="70">
        <v>22980.854424999969</v>
      </c>
      <c r="AH109" s="70">
        <v>22980.854424999969</v>
      </c>
      <c r="AI109" s="70">
        <v>22980.854424999969</v>
      </c>
      <c r="AJ109" s="417">
        <v>0</v>
      </c>
      <c r="AK109" s="417">
        <v>0</v>
      </c>
      <c r="AL109" s="378">
        <v>2.1359999999999999E-4</v>
      </c>
      <c r="AM109" s="378"/>
      <c r="AN109" s="70">
        <v>-10378</v>
      </c>
      <c r="AO109" s="70">
        <v>-707</v>
      </c>
      <c r="AP109" s="70">
        <v>0</v>
      </c>
      <c r="AQ109" s="417">
        <v>0</v>
      </c>
      <c r="AR109" s="417">
        <v>0</v>
      </c>
    </row>
    <row r="110" spans="1:44">
      <c r="A110" s="439">
        <v>91077</v>
      </c>
      <c r="B110" s="440" t="s">
        <v>822</v>
      </c>
      <c r="C110" s="437">
        <v>1.4600000000000001E-5</v>
      </c>
      <c r="D110" s="441"/>
      <c r="E110" s="438">
        <v>17762.296999999999</v>
      </c>
      <c r="F110" s="442">
        <v>12506.990199999998</v>
      </c>
      <c r="G110" s="442">
        <v>4172.5605999999989</v>
      </c>
      <c r="H110" s="442">
        <v>12969.282200000001</v>
      </c>
      <c r="I110" s="442">
        <v>0</v>
      </c>
      <c r="J110" s="443">
        <v>1.31E-5</v>
      </c>
      <c r="K110" s="443"/>
      <c r="L110" s="444">
        <v>2352.4542000000001</v>
      </c>
      <c r="M110" s="444">
        <v>964.57820000000004</v>
      </c>
      <c r="N110" s="444">
        <v>-115.96780000000001</v>
      </c>
      <c r="O110" s="444">
        <v>0</v>
      </c>
      <c r="P110" s="417">
        <v>0</v>
      </c>
      <c r="Q110" s="378">
        <v>1.31E-5</v>
      </c>
      <c r="R110" s="378"/>
      <c r="S110" s="70">
        <v>5719.5938000000006</v>
      </c>
      <c r="T110" s="105">
        <v>5353.1922000000004</v>
      </c>
      <c r="U110" s="70">
        <v>3180.3764000000001</v>
      </c>
      <c r="V110" s="70">
        <v>12969.282200000001</v>
      </c>
      <c r="W110" s="417">
        <v>0</v>
      </c>
      <c r="X110" s="378">
        <v>1.31E-5</v>
      </c>
      <c r="Z110" s="70">
        <v>4109.0970000000007</v>
      </c>
      <c r="AA110" s="70">
        <v>4109.0677999999998</v>
      </c>
      <c r="AB110" s="70">
        <v>0</v>
      </c>
      <c r="AC110" s="417">
        <v>0</v>
      </c>
      <c r="AD110" s="417">
        <v>0</v>
      </c>
      <c r="AE110" s="378">
        <v>1.31E-5</v>
      </c>
      <c r="AF110" s="378"/>
      <c r="AG110" s="70">
        <v>5581.1519999999982</v>
      </c>
      <c r="AH110" s="70">
        <v>2080.1519999999987</v>
      </c>
      <c r="AI110" s="70">
        <v>1108.1519999999987</v>
      </c>
      <c r="AJ110" s="417">
        <v>0</v>
      </c>
      <c r="AK110" s="417">
        <v>0</v>
      </c>
      <c r="AL110" s="378">
        <v>1.31E-5</v>
      </c>
      <c r="AM110" s="378"/>
      <c r="AN110" s="70">
        <v>0</v>
      </c>
      <c r="AO110" s="70">
        <v>0</v>
      </c>
      <c r="AP110" s="70">
        <v>0</v>
      </c>
      <c r="AQ110" s="417">
        <v>0</v>
      </c>
      <c r="AR110" s="417">
        <v>0</v>
      </c>
    </row>
    <row r="111" spans="1:44">
      <c r="A111" s="439">
        <v>91081</v>
      </c>
      <c r="B111" s="440" t="s">
        <v>823</v>
      </c>
      <c r="C111" s="437">
        <v>4.7800000000000002E-4</v>
      </c>
      <c r="D111" s="441"/>
      <c r="E111" s="438">
        <v>411405.97564999998</v>
      </c>
      <c r="F111" s="442">
        <v>351816.45165</v>
      </c>
      <c r="G111" s="442">
        <v>113278.52364999999</v>
      </c>
      <c r="H111" s="442">
        <v>424610.74600000004</v>
      </c>
      <c r="I111" s="442">
        <v>0</v>
      </c>
      <c r="J111" s="443">
        <v>4.3070000000000001E-4</v>
      </c>
      <c r="K111" s="443"/>
      <c r="L111" s="444">
        <v>77018.706000000006</v>
      </c>
      <c r="M111" s="444">
        <v>31580.026000000002</v>
      </c>
      <c r="N111" s="444">
        <v>-3796.7540000000004</v>
      </c>
      <c r="O111" s="444">
        <v>0</v>
      </c>
      <c r="P111" s="417">
        <v>0</v>
      </c>
      <c r="Q111" s="378">
        <v>4.3070000000000001E-4</v>
      </c>
      <c r="R111" s="378"/>
      <c r="S111" s="70">
        <v>187257.93400000001</v>
      </c>
      <c r="T111" s="105">
        <v>175262.046</v>
      </c>
      <c r="U111" s="70">
        <v>104124.652</v>
      </c>
      <c r="V111" s="70">
        <v>424610.74600000004</v>
      </c>
      <c r="W111" s="417">
        <v>0</v>
      </c>
      <c r="X111" s="378">
        <v>4.3070000000000001E-4</v>
      </c>
      <c r="Z111" s="70">
        <v>134530.71</v>
      </c>
      <c r="AA111" s="70">
        <v>134529.75400000002</v>
      </c>
      <c r="AB111" s="70">
        <v>0</v>
      </c>
      <c r="AC111" s="417">
        <v>0</v>
      </c>
      <c r="AD111" s="417">
        <v>0</v>
      </c>
      <c r="AE111" s="378">
        <v>4.3070000000000001E-4</v>
      </c>
      <c r="AF111" s="378"/>
      <c r="AG111" s="70">
        <v>16815.625649999987</v>
      </c>
      <c r="AH111" s="70">
        <v>12950.625649999987</v>
      </c>
      <c r="AI111" s="70">
        <v>12950.625649999987</v>
      </c>
      <c r="AJ111" s="417">
        <v>0</v>
      </c>
      <c r="AK111" s="417">
        <v>0</v>
      </c>
      <c r="AL111" s="378">
        <v>4.3070000000000001E-4</v>
      </c>
      <c r="AM111" s="378"/>
      <c r="AN111" s="70">
        <v>-4217</v>
      </c>
      <c r="AO111" s="70">
        <v>-2506</v>
      </c>
      <c r="AP111" s="70">
        <v>0</v>
      </c>
      <c r="AQ111" s="417">
        <v>0</v>
      </c>
      <c r="AR111" s="417">
        <v>0</v>
      </c>
    </row>
    <row r="112" spans="1:44">
      <c r="A112" s="439">
        <v>91091</v>
      </c>
      <c r="B112" s="440" t="s">
        <v>824</v>
      </c>
      <c r="C112" s="437">
        <v>5.6459999999999995E-4</v>
      </c>
      <c r="D112" s="441"/>
      <c r="E112" s="438">
        <v>474934.84165000002</v>
      </c>
      <c r="F112" s="442">
        <v>394019.63484999997</v>
      </c>
      <c r="G112" s="442">
        <v>103516.40524999998</v>
      </c>
      <c r="H112" s="442">
        <v>501538.13219999993</v>
      </c>
      <c r="I112" s="442">
        <v>0</v>
      </c>
      <c r="J112" s="443">
        <v>5.8279999999999996E-4</v>
      </c>
      <c r="K112" s="443"/>
      <c r="L112" s="444">
        <v>90972.304199999999</v>
      </c>
      <c r="M112" s="444">
        <v>37301.428199999995</v>
      </c>
      <c r="N112" s="444">
        <v>-4484.6178</v>
      </c>
      <c r="O112" s="444">
        <v>0</v>
      </c>
      <c r="P112" s="417">
        <v>0</v>
      </c>
      <c r="Q112" s="378">
        <v>5.8279999999999996E-4</v>
      </c>
      <c r="R112" s="378"/>
      <c r="S112" s="70">
        <v>221183.7438</v>
      </c>
      <c r="T112" s="105">
        <v>207014.5422</v>
      </c>
      <c r="U112" s="70">
        <v>122989.07639999999</v>
      </c>
      <c r="V112" s="70">
        <v>501538.13219999993</v>
      </c>
      <c r="W112" s="417">
        <v>0</v>
      </c>
      <c r="X112" s="378">
        <v>5.8279999999999996E-4</v>
      </c>
      <c r="Z112" s="70">
        <v>158903.84699999998</v>
      </c>
      <c r="AA112" s="70">
        <v>158902.71779999998</v>
      </c>
      <c r="AB112" s="70">
        <v>0</v>
      </c>
      <c r="AC112" s="417">
        <v>0</v>
      </c>
      <c r="AD112" s="417">
        <v>0</v>
      </c>
      <c r="AE112" s="378">
        <v>5.8279999999999996E-4</v>
      </c>
      <c r="AF112" s="378"/>
      <c r="AG112" s="70">
        <v>18863</v>
      </c>
      <c r="AH112" s="70">
        <v>5789</v>
      </c>
      <c r="AI112" s="70">
        <v>0</v>
      </c>
      <c r="AJ112" s="417">
        <v>0</v>
      </c>
      <c r="AK112" s="417">
        <v>0</v>
      </c>
      <c r="AL112" s="378">
        <v>5.8279999999999996E-4</v>
      </c>
      <c r="AM112" s="378"/>
      <c r="AN112" s="70">
        <v>-14988.053350000002</v>
      </c>
      <c r="AO112" s="70">
        <v>-14988.053350000002</v>
      </c>
      <c r="AP112" s="70">
        <v>-14988.053350000002</v>
      </c>
      <c r="AQ112" s="417">
        <v>0</v>
      </c>
      <c r="AR112" s="417">
        <v>0</v>
      </c>
    </row>
    <row r="113" spans="1:44">
      <c r="A113" s="439">
        <v>91101</v>
      </c>
      <c r="B113" s="440" t="s">
        <v>825</v>
      </c>
      <c r="C113" s="437">
        <v>1.35043E-2</v>
      </c>
      <c r="D113" s="441"/>
      <c r="E113" s="438">
        <v>10850666.758825</v>
      </c>
      <c r="F113" s="442">
        <v>9573763.0794249997</v>
      </c>
      <c r="G113" s="442">
        <v>2480731.6926249997</v>
      </c>
      <c r="H113" s="442">
        <v>11995964.220100001</v>
      </c>
      <c r="I113" s="442">
        <v>0</v>
      </c>
      <c r="J113" s="443">
        <v>1.38049E-2</v>
      </c>
      <c r="K113" s="443"/>
      <c r="L113" s="444">
        <v>2175907.3461000002</v>
      </c>
      <c r="M113" s="444">
        <v>892188.58810000005</v>
      </c>
      <c r="N113" s="444">
        <v>-107264.65490000001</v>
      </c>
      <c r="O113" s="444">
        <v>0</v>
      </c>
      <c r="P113" s="417">
        <v>0</v>
      </c>
      <c r="Q113" s="378">
        <v>1.38049E-2</v>
      </c>
      <c r="R113" s="378"/>
      <c r="S113" s="70">
        <v>5290350.0378999999</v>
      </c>
      <c r="T113" s="105">
        <v>4951446.1250999998</v>
      </c>
      <c r="U113" s="70">
        <v>2941695.6861999999</v>
      </c>
      <c r="V113" s="70">
        <v>11995964.220100001</v>
      </c>
      <c r="W113" s="417">
        <v>0</v>
      </c>
      <c r="X113" s="378">
        <v>1.38049E-2</v>
      </c>
      <c r="Z113" s="70">
        <v>3800717.7135000001</v>
      </c>
      <c r="AA113" s="70">
        <v>3800690.7049000002</v>
      </c>
      <c r="AB113" s="70">
        <v>0</v>
      </c>
      <c r="AC113" s="417">
        <v>0</v>
      </c>
      <c r="AD113" s="417">
        <v>0</v>
      </c>
      <c r="AE113" s="378">
        <v>1.38049E-2</v>
      </c>
      <c r="AF113" s="378"/>
      <c r="AG113" s="70">
        <v>283137</v>
      </c>
      <c r="AH113" s="70">
        <v>283137</v>
      </c>
      <c r="AI113" s="70">
        <v>0</v>
      </c>
      <c r="AJ113" s="417">
        <v>0</v>
      </c>
      <c r="AK113" s="417">
        <v>0</v>
      </c>
      <c r="AL113" s="378">
        <v>1.38049E-2</v>
      </c>
      <c r="AM113" s="378"/>
      <c r="AN113" s="70">
        <v>-699445.33867500024</v>
      </c>
      <c r="AO113" s="70">
        <v>-353699.33867500024</v>
      </c>
      <c r="AP113" s="70">
        <v>-353699.33867500024</v>
      </c>
      <c r="AQ113" s="417">
        <v>0</v>
      </c>
      <c r="AR113" s="417">
        <v>0</v>
      </c>
    </row>
    <row r="114" spans="1:44">
      <c r="A114" s="439">
        <v>91102</v>
      </c>
      <c r="B114" s="440" t="s">
        <v>826</v>
      </c>
      <c r="C114" s="437">
        <v>3.5639999999999999E-4</v>
      </c>
      <c r="D114" s="441"/>
      <c r="E114" s="438">
        <v>325607.65625</v>
      </c>
      <c r="F114" s="442">
        <v>300098.34505</v>
      </c>
      <c r="G114" s="442">
        <v>113055.37864999998</v>
      </c>
      <c r="H114" s="442">
        <v>316592.61479999998</v>
      </c>
      <c r="I114" s="442">
        <v>0</v>
      </c>
      <c r="J114" s="443">
        <v>2.8889999999999997E-4</v>
      </c>
      <c r="K114" s="443"/>
      <c r="L114" s="444">
        <v>57425.662799999998</v>
      </c>
      <c r="M114" s="444">
        <v>23546.2788</v>
      </c>
      <c r="N114" s="444">
        <v>-2830.8851999999997</v>
      </c>
      <c r="O114" s="444">
        <v>0</v>
      </c>
      <c r="P114" s="417">
        <v>0</v>
      </c>
      <c r="Q114" s="378">
        <v>2.8889999999999997E-4</v>
      </c>
      <c r="R114" s="378"/>
      <c r="S114" s="70">
        <v>139620.76920000001</v>
      </c>
      <c r="T114" s="105">
        <v>130676.5548</v>
      </c>
      <c r="U114" s="70">
        <v>77636.037599999996</v>
      </c>
      <c r="V114" s="70">
        <v>316592.61479999998</v>
      </c>
      <c r="W114" s="417">
        <v>0</v>
      </c>
      <c r="X114" s="378">
        <v>2.8889999999999997E-4</v>
      </c>
      <c r="Z114" s="70">
        <v>100306.99799999999</v>
      </c>
      <c r="AA114" s="70">
        <v>100306.2852</v>
      </c>
      <c r="AB114" s="70">
        <v>0</v>
      </c>
      <c r="AC114" s="417">
        <v>0</v>
      </c>
      <c r="AD114" s="417">
        <v>0</v>
      </c>
      <c r="AE114" s="378">
        <v>2.8889999999999997E-4</v>
      </c>
      <c r="AF114" s="378"/>
      <c r="AG114" s="70">
        <v>45613.226249999992</v>
      </c>
      <c r="AH114" s="70">
        <v>45569.226249999992</v>
      </c>
      <c r="AI114" s="70">
        <v>38250.226249999992</v>
      </c>
      <c r="AJ114" s="417">
        <v>0</v>
      </c>
      <c r="AK114" s="417">
        <v>0</v>
      </c>
      <c r="AL114" s="378">
        <v>2.8889999999999997E-4</v>
      </c>
      <c r="AM114" s="378"/>
      <c r="AN114" s="70">
        <v>-17359</v>
      </c>
      <c r="AO114" s="70">
        <v>0</v>
      </c>
      <c r="AP114" s="70">
        <v>0</v>
      </c>
      <c r="AQ114" s="417">
        <v>0</v>
      </c>
      <c r="AR114" s="417">
        <v>0</v>
      </c>
    </row>
    <row r="115" spans="1:44">
      <c r="A115" s="439">
        <v>91104</v>
      </c>
      <c r="B115" s="440" t="s">
        <v>827</v>
      </c>
      <c r="C115" s="437">
        <v>2.62E-5</v>
      </c>
      <c r="D115" s="441"/>
      <c r="E115" s="438">
        <v>32735.080099999996</v>
      </c>
      <c r="F115" s="442">
        <v>26093.940499999997</v>
      </c>
      <c r="G115" s="442">
        <v>10145.909299999998</v>
      </c>
      <c r="H115" s="442">
        <v>23273.643400000001</v>
      </c>
      <c r="I115" s="442">
        <v>0</v>
      </c>
      <c r="J115" s="443">
        <v>1.95E-5</v>
      </c>
      <c r="K115" s="443"/>
      <c r="L115" s="444">
        <v>4221.5273999999999</v>
      </c>
      <c r="M115" s="444">
        <v>1730.9554000000001</v>
      </c>
      <c r="N115" s="444">
        <v>-208.10659999999999</v>
      </c>
      <c r="O115" s="444">
        <v>0</v>
      </c>
      <c r="P115" s="417">
        <v>0</v>
      </c>
      <c r="Q115" s="378">
        <v>1.95E-5</v>
      </c>
      <c r="R115" s="378"/>
      <c r="S115" s="70">
        <v>10263.928599999999</v>
      </c>
      <c r="T115" s="105">
        <v>9606.4133999999995</v>
      </c>
      <c r="U115" s="70">
        <v>5707.2507999999998</v>
      </c>
      <c r="V115" s="70">
        <v>23273.643400000001</v>
      </c>
      <c r="W115" s="417">
        <v>0</v>
      </c>
      <c r="X115" s="378">
        <v>1.95E-5</v>
      </c>
      <c r="Z115" s="70">
        <v>7373.8590000000004</v>
      </c>
      <c r="AA115" s="70">
        <v>7373.8065999999999</v>
      </c>
      <c r="AB115" s="70">
        <v>0</v>
      </c>
      <c r="AC115" s="417">
        <v>0</v>
      </c>
      <c r="AD115" s="417">
        <v>0</v>
      </c>
      <c r="AE115" s="378">
        <v>1.95E-5</v>
      </c>
      <c r="AF115" s="378"/>
      <c r="AG115" s="70">
        <v>10875.765099999997</v>
      </c>
      <c r="AH115" s="70">
        <v>7382.7650999999978</v>
      </c>
      <c r="AI115" s="70">
        <v>4646.7650999999978</v>
      </c>
      <c r="AJ115" s="417">
        <v>0</v>
      </c>
      <c r="AK115" s="417">
        <v>0</v>
      </c>
      <c r="AL115" s="378">
        <v>1.95E-5</v>
      </c>
      <c r="AM115" s="378"/>
      <c r="AN115" s="70">
        <v>0</v>
      </c>
      <c r="AO115" s="70">
        <v>0</v>
      </c>
      <c r="AP115" s="70">
        <v>0</v>
      </c>
      <c r="AQ115" s="417">
        <v>0</v>
      </c>
      <c r="AR115" s="417">
        <v>0</v>
      </c>
    </row>
    <row r="116" spans="1:44">
      <c r="A116" s="439">
        <v>91107</v>
      </c>
      <c r="B116" s="440" t="s">
        <v>3756</v>
      </c>
      <c r="C116" s="437">
        <v>4.9100000000000001E-5</v>
      </c>
      <c r="D116" s="441"/>
      <c r="E116" s="438">
        <v>51328.227924999999</v>
      </c>
      <c r="F116" s="442">
        <v>46172.470125</v>
      </c>
      <c r="G116" s="442">
        <v>16712.518524999999</v>
      </c>
      <c r="H116" s="442">
        <v>43615.873700000004</v>
      </c>
      <c r="I116" s="442">
        <v>0</v>
      </c>
      <c r="J116" s="443">
        <v>4.2500000000000003E-5</v>
      </c>
      <c r="K116" s="443"/>
      <c r="L116" s="444">
        <v>7911.3357000000005</v>
      </c>
      <c r="M116" s="444">
        <v>3243.8897000000002</v>
      </c>
      <c r="N116" s="444">
        <v>-390.00130000000001</v>
      </c>
      <c r="O116" s="444">
        <v>0</v>
      </c>
      <c r="P116" s="417">
        <v>0</v>
      </c>
      <c r="Q116" s="378">
        <v>4.2500000000000003E-5</v>
      </c>
      <c r="R116" s="378"/>
      <c r="S116" s="70">
        <v>19235.0723</v>
      </c>
      <c r="T116" s="105">
        <v>18002.858700000001</v>
      </c>
      <c r="U116" s="70">
        <v>10695.6494</v>
      </c>
      <c r="V116" s="70">
        <v>43615.873700000004</v>
      </c>
      <c r="W116" s="417">
        <v>0</v>
      </c>
      <c r="X116" s="378">
        <v>4.2500000000000003E-5</v>
      </c>
      <c r="Z116" s="70">
        <v>13818.949500000001</v>
      </c>
      <c r="AA116" s="70">
        <v>13818.8513</v>
      </c>
      <c r="AB116" s="70">
        <v>0</v>
      </c>
      <c r="AC116" s="417">
        <v>0</v>
      </c>
      <c r="AD116" s="417">
        <v>0</v>
      </c>
      <c r="AE116" s="378">
        <v>4.2500000000000003E-5</v>
      </c>
      <c r="AF116" s="378"/>
      <c r="AG116" s="70">
        <v>13199.870424999999</v>
      </c>
      <c r="AH116" s="70">
        <v>11106.870424999999</v>
      </c>
      <c r="AI116" s="70">
        <v>6406.8704249999992</v>
      </c>
      <c r="AJ116" s="417">
        <v>0</v>
      </c>
      <c r="AK116" s="417">
        <v>0</v>
      </c>
      <c r="AL116" s="378">
        <v>4.2500000000000003E-5</v>
      </c>
      <c r="AM116" s="378"/>
      <c r="AN116" s="70">
        <v>-2837</v>
      </c>
      <c r="AO116" s="70">
        <v>0</v>
      </c>
      <c r="AP116" s="70">
        <v>0</v>
      </c>
      <c r="AQ116" s="417">
        <v>0</v>
      </c>
      <c r="AR116" s="417">
        <v>0</v>
      </c>
    </row>
    <row r="117" spans="1:44">
      <c r="A117" s="439">
        <v>91108</v>
      </c>
      <c r="B117" s="440" t="s">
        <v>829</v>
      </c>
      <c r="C117" s="437">
        <v>1.1075E-3</v>
      </c>
      <c r="D117" s="441"/>
      <c r="E117" s="438">
        <v>921675.38697499991</v>
      </c>
      <c r="F117" s="442">
        <v>782614.40197500004</v>
      </c>
      <c r="G117" s="442">
        <v>207052.73197499997</v>
      </c>
      <c r="H117" s="442">
        <v>983800.00249999994</v>
      </c>
      <c r="I117" s="442">
        <v>0</v>
      </c>
      <c r="J117" s="443">
        <v>1.1758000000000001E-3</v>
      </c>
      <c r="K117" s="443"/>
      <c r="L117" s="444">
        <v>178448.1525</v>
      </c>
      <c r="M117" s="444">
        <v>73169.202499999999</v>
      </c>
      <c r="N117" s="444">
        <v>-8796.8724999999995</v>
      </c>
      <c r="O117" s="444">
        <v>0</v>
      </c>
      <c r="P117" s="417">
        <v>0</v>
      </c>
      <c r="Q117" s="378">
        <v>1.1758000000000001E-3</v>
      </c>
      <c r="R117" s="378"/>
      <c r="S117" s="70">
        <v>433866.44750000001</v>
      </c>
      <c r="T117" s="105">
        <v>406072.6275</v>
      </c>
      <c r="U117" s="70">
        <v>241251.155</v>
      </c>
      <c r="V117" s="70">
        <v>983800.00249999994</v>
      </c>
      <c r="W117" s="417">
        <v>0</v>
      </c>
      <c r="X117" s="378">
        <v>1.1758000000000001E-3</v>
      </c>
      <c r="Z117" s="70">
        <v>311700.33749999997</v>
      </c>
      <c r="AA117" s="70">
        <v>311698.1225</v>
      </c>
      <c r="AB117" s="70">
        <v>0</v>
      </c>
      <c r="AC117" s="417">
        <v>0</v>
      </c>
      <c r="AD117" s="417">
        <v>0</v>
      </c>
      <c r="AE117" s="378">
        <v>1.1758000000000001E-3</v>
      </c>
      <c r="AF117" s="378"/>
      <c r="AG117" s="70">
        <v>28661</v>
      </c>
      <c r="AH117" s="70">
        <v>17076</v>
      </c>
      <c r="AI117" s="70">
        <v>0</v>
      </c>
      <c r="AJ117" s="417">
        <v>0</v>
      </c>
      <c r="AK117" s="417">
        <v>0</v>
      </c>
      <c r="AL117" s="378">
        <v>1.1758000000000001E-3</v>
      </c>
      <c r="AM117" s="378"/>
      <c r="AN117" s="70">
        <v>-31000.550525000028</v>
      </c>
      <c r="AO117" s="70">
        <v>-25401.550525000028</v>
      </c>
      <c r="AP117" s="70">
        <v>-25401.550525000028</v>
      </c>
      <c r="AQ117" s="417">
        <v>0</v>
      </c>
      <c r="AR117" s="417">
        <v>0</v>
      </c>
    </row>
    <row r="118" spans="1:44">
      <c r="A118" s="439">
        <v>91109</v>
      </c>
      <c r="B118" s="440" t="s">
        <v>830</v>
      </c>
      <c r="C118" s="437">
        <v>9.4699999999999998E-5</v>
      </c>
      <c r="D118" s="441"/>
      <c r="E118" s="438">
        <v>75106.917625000002</v>
      </c>
      <c r="F118" s="442">
        <v>63420.95502500001</v>
      </c>
      <c r="G118" s="442">
        <v>14704.01782500001</v>
      </c>
      <c r="H118" s="442">
        <v>84122.672900000005</v>
      </c>
      <c r="I118" s="442">
        <v>0</v>
      </c>
      <c r="J118" s="443">
        <v>1.0069999999999999E-4</v>
      </c>
      <c r="K118" s="443"/>
      <c r="L118" s="444">
        <v>15258.7269</v>
      </c>
      <c r="M118" s="444">
        <v>6256.5448999999999</v>
      </c>
      <c r="N118" s="444">
        <v>-752.20209999999997</v>
      </c>
      <c r="O118" s="444">
        <v>0</v>
      </c>
      <c r="P118" s="417">
        <v>0</v>
      </c>
      <c r="Q118" s="378">
        <v>1.0069999999999999E-4</v>
      </c>
      <c r="R118" s="378"/>
      <c r="S118" s="70">
        <v>37099.009099999996</v>
      </c>
      <c r="T118" s="105">
        <v>34722.4179</v>
      </c>
      <c r="U118" s="70">
        <v>20628.879799999999</v>
      </c>
      <c r="V118" s="70">
        <v>84122.672900000005</v>
      </c>
      <c r="W118" s="417">
        <v>0</v>
      </c>
      <c r="X118" s="378">
        <v>1.0069999999999999E-4</v>
      </c>
      <c r="Z118" s="70">
        <v>26652.841499999999</v>
      </c>
      <c r="AA118" s="70">
        <v>26652.652099999999</v>
      </c>
      <c r="AB118" s="70">
        <v>0</v>
      </c>
      <c r="AC118" s="417">
        <v>0</v>
      </c>
      <c r="AD118" s="417">
        <v>0</v>
      </c>
      <c r="AE118" s="378">
        <v>1.0069999999999999E-4</v>
      </c>
      <c r="AF118" s="378"/>
      <c r="AG118" s="70">
        <v>1269</v>
      </c>
      <c r="AH118" s="70">
        <v>962</v>
      </c>
      <c r="AI118" s="70">
        <v>0</v>
      </c>
      <c r="AJ118" s="417">
        <v>0</v>
      </c>
      <c r="AK118" s="417">
        <v>0</v>
      </c>
      <c r="AL118" s="378">
        <v>1.0069999999999999E-4</v>
      </c>
      <c r="AM118" s="378"/>
      <c r="AN118" s="70">
        <v>-5172.6598749999903</v>
      </c>
      <c r="AO118" s="70">
        <v>-5172.6598749999903</v>
      </c>
      <c r="AP118" s="70">
        <v>-5172.6598749999903</v>
      </c>
      <c r="AQ118" s="417">
        <v>0</v>
      </c>
      <c r="AR118" s="417">
        <v>0</v>
      </c>
    </row>
    <row r="119" spans="1:44">
      <c r="A119" s="439">
        <v>91111</v>
      </c>
      <c r="B119" s="440" t="s">
        <v>831</v>
      </c>
      <c r="C119" s="437">
        <v>1.962E-4</v>
      </c>
      <c r="D119" s="441"/>
      <c r="E119" s="438">
        <v>164102.65525000001</v>
      </c>
      <c r="F119" s="442">
        <v>139090.65565</v>
      </c>
      <c r="G119" s="442">
        <v>33987.704450000005</v>
      </c>
      <c r="H119" s="442">
        <v>174285.8334</v>
      </c>
      <c r="I119" s="442">
        <v>0</v>
      </c>
      <c r="J119" s="443">
        <v>2.0819999999999999E-4</v>
      </c>
      <c r="K119" s="443"/>
      <c r="L119" s="444">
        <v>31613.117399999999</v>
      </c>
      <c r="M119" s="444">
        <v>12962.3454</v>
      </c>
      <c r="N119" s="444">
        <v>-1558.4166</v>
      </c>
      <c r="O119" s="444">
        <v>0</v>
      </c>
      <c r="P119" s="417">
        <v>0</v>
      </c>
      <c r="Q119" s="378">
        <v>2.0819999999999999E-4</v>
      </c>
      <c r="R119" s="378"/>
      <c r="S119" s="70">
        <v>76861.938599999994</v>
      </c>
      <c r="T119" s="105">
        <v>71938.103399999993</v>
      </c>
      <c r="U119" s="70">
        <v>42739.0308</v>
      </c>
      <c r="V119" s="70">
        <v>174285.8334</v>
      </c>
      <c r="W119" s="417">
        <v>0</v>
      </c>
      <c r="X119" s="378">
        <v>2.0819999999999999E-4</v>
      </c>
      <c r="Z119" s="70">
        <v>55219.508999999998</v>
      </c>
      <c r="AA119" s="70">
        <v>55219.116600000001</v>
      </c>
      <c r="AB119" s="70">
        <v>0</v>
      </c>
      <c r="AC119" s="417">
        <v>0</v>
      </c>
      <c r="AD119" s="417">
        <v>0</v>
      </c>
      <c r="AE119" s="378">
        <v>2.0819999999999999E-4</v>
      </c>
      <c r="AF119" s="378"/>
      <c r="AG119" s="70">
        <v>12423</v>
      </c>
      <c r="AH119" s="70">
        <v>6164</v>
      </c>
      <c r="AI119" s="70">
        <v>0</v>
      </c>
      <c r="AJ119" s="417">
        <v>0</v>
      </c>
      <c r="AK119" s="417">
        <v>0</v>
      </c>
      <c r="AL119" s="378">
        <v>2.0819999999999999E-4</v>
      </c>
      <c r="AM119" s="378"/>
      <c r="AN119" s="70">
        <v>-12014.909749999999</v>
      </c>
      <c r="AO119" s="70">
        <v>-7192.9097499999989</v>
      </c>
      <c r="AP119" s="70">
        <v>-7192.9097499999989</v>
      </c>
      <c r="AQ119" s="417">
        <v>0</v>
      </c>
      <c r="AR119" s="417">
        <v>0</v>
      </c>
    </row>
    <row r="120" spans="1:44">
      <c r="A120" s="439">
        <v>91120</v>
      </c>
      <c r="B120" s="440" t="s">
        <v>832</v>
      </c>
      <c r="C120" s="437">
        <v>2.5910000000000001E-4</v>
      </c>
      <c r="D120" s="441"/>
      <c r="E120" s="438">
        <v>216554.06107500001</v>
      </c>
      <c r="F120" s="442">
        <v>154589.12327499999</v>
      </c>
      <c r="G120" s="442">
        <v>53396.211674999991</v>
      </c>
      <c r="H120" s="442">
        <v>230160.3437</v>
      </c>
      <c r="I120" s="442">
        <v>0</v>
      </c>
      <c r="J120" s="443">
        <v>2.4020000000000001E-4</v>
      </c>
      <c r="K120" s="443"/>
      <c r="L120" s="444">
        <v>41748.005700000002</v>
      </c>
      <c r="M120" s="444">
        <v>17117.959699999999</v>
      </c>
      <c r="N120" s="444">
        <v>-2058.0313000000001</v>
      </c>
      <c r="O120" s="444">
        <v>0</v>
      </c>
      <c r="P120" s="417">
        <v>0</v>
      </c>
      <c r="Q120" s="378">
        <v>2.4020000000000001E-4</v>
      </c>
      <c r="R120" s="378"/>
      <c r="S120" s="70">
        <v>101503.2023</v>
      </c>
      <c r="T120" s="105">
        <v>95000.828699999998</v>
      </c>
      <c r="U120" s="70">
        <v>56440.789400000001</v>
      </c>
      <c r="V120" s="70">
        <v>230160.3437</v>
      </c>
      <c r="W120" s="417">
        <v>0</v>
      </c>
      <c r="X120" s="378">
        <v>2.4020000000000001E-4</v>
      </c>
      <c r="Z120" s="70">
        <v>72922.3995</v>
      </c>
      <c r="AA120" s="70">
        <v>72921.881300000008</v>
      </c>
      <c r="AB120" s="70">
        <v>0</v>
      </c>
      <c r="AC120" s="417">
        <v>0</v>
      </c>
      <c r="AD120" s="417">
        <v>0</v>
      </c>
      <c r="AE120" s="378">
        <v>2.4020000000000001E-4</v>
      </c>
      <c r="AF120" s="378"/>
      <c r="AG120" s="70">
        <v>30832</v>
      </c>
      <c r="AH120" s="70">
        <v>0</v>
      </c>
      <c r="AI120" s="70">
        <v>0</v>
      </c>
      <c r="AJ120" s="417">
        <v>0</v>
      </c>
      <c r="AK120" s="417">
        <v>0</v>
      </c>
      <c r="AL120" s="378">
        <v>2.4020000000000001E-4</v>
      </c>
      <c r="AM120" s="378"/>
      <c r="AN120" s="70">
        <v>-30451.546425000008</v>
      </c>
      <c r="AO120" s="70">
        <v>-30451.546425000008</v>
      </c>
      <c r="AP120" s="70">
        <v>-986.54642500000773</v>
      </c>
      <c r="AQ120" s="417">
        <v>0</v>
      </c>
      <c r="AR120" s="417">
        <v>0</v>
      </c>
    </row>
    <row r="121" spans="1:44">
      <c r="A121" s="439">
        <v>91121</v>
      </c>
      <c r="B121" s="440" t="s">
        <v>833</v>
      </c>
      <c r="C121" s="437">
        <v>1.0184199999999999E-2</v>
      </c>
      <c r="D121" s="441"/>
      <c r="E121" s="438">
        <v>7917898.2209499981</v>
      </c>
      <c r="F121" s="442">
        <v>6835359.117349999</v>
      </c>
      <c r="G121" s="442">
        <v>2028679.4781499994</v>
      </c>
      <c r="H121" s="442">
        <v>9046696.1493999995</v>
      </c>
      <c r="I121" s="442">
        <v>0</v>
      </c>
      <c r="J121" s="443">
        <v>1.01818E-2</v>
      </c>
      <c r="K121" s="443"/>
      <c r="L121" s="444">
        <v>1640949.5933999999</v>
      </c>
      <c r="M121" s="444">
        <v>672839.54139999999</v>
      </c>
      <c r="N121" s="444">
        <v>-80893.100599999991</v>
      </c>
      <c r="O121" s="444">
        <v>0</v>
      </c>
      <c r="P121" s="417">
        <v>0</v>
      </c>
      <c r="Q121" s="378">
        <v>1.01818E-2</v>
      </c>
      <c r="R121" s="378"/>
      <c r="S121" s="70">
        <v>3989690.9025999997</v>
      </c>
      <c r="T121" s="105">
        <v>3734108.2193999998</v>
      </c>
      <c r="U121" s="70">
        <v>2218465.0227999999</v>
      </c>
      <c r="V121" s="70">
        <v>9046696.1493999995</v>
      </c>
      <c r="W121" s="417">
        <v>0</v>
      </c>
      <c r="X121" s="378">
        <v>1.01818E-2</v>
      </c>
      <c r="Z121" s="70">
        <v>2866292.1689999998</v>
      </c>
      <c r="AA121" s="70">
        <v>2866271.8005999997</v>
      </c>
      <c r="AB121" s="70">
        <v>0</v>
      </c>
      <c r="AC121" s="417">
        <v>0</v>
      </c>
      <c r="AD121" s="417">
        <v>0</v>
      </c>
      <c r="AE121" s="378">
        <v>1.01818E-2</v>
      </c>
      <c r="AF121" s="378"/>
      <c r="AG121" s="70">
        <v>0</v>
      </c>
      <c r="AH121" s="70">
        <v>0</v>
      </c>
      <c r="AI121" s="70">
        <v>0</v>
      </c>
      <c r="AJ121" s="417">
        <v>0</v>
      </c>
      <c r="AK121" s="417">
        <v>0</v>
      </c>
      <c r="AL121" s="378">
        <v>1.01818E-2</v>
      </c>
      <c r="AM121" s="378"/>
      <c r="AN121" s="70">
        <v>-579034.44405000051</v>
      </c>
      <c r="AO121" s="70">
        <v>-437860.44405000051</v>
      </c>
      <c r="AP121" s="70">
        <v>-108892.44405000051</v>
      </c>
      <c r="AQ121" s="417">
        <v>0</v>
      </c>
      <c r="AR121" s="417">
        <v>0</v>
      </c>
    </row>
    <row r="122" spans="1:44">
      <c r="A122" s="439">
        <v>91127</v>
      </c>
      <c r="B122" s="440" t="s">
        <v>834</v>
      </c>
      <c r="C122" s="437">
        <v>3.2430000000000002E-4</v>
      </c>
      <c r="D122" s="441"/>
      <c r="E122" s="438">
        <v>319694.53417500004</v>
      </c>
      <c r="F122" s="442">
        <v>268539.29477500002</v>
      </c>
      <c r="G122" s="442">
        <v>80295.587974999988</v>
      </c>
      <c r="H122" s="442">
        <v>288077.96010000003</v>
      </c>
      <c r="I122" s="442">
        <v>0</v>
      </c>
      <c r="J122" s="443">
        <v>3.1520000000000002E-4</v>
      </c>
      <c r="K122" s="443"/>
      <c r="L122" s="444">
        <v>52253.486100000002</v>
      </c>
      <c r="M122" s="444">
        <v>21425.528100000003</v>
      </c>
      <c r="N122" s="444">
        <v>-2575.9149000000002</v>
      </c>
      <c r="O122" s="444">
        <v>0</v>
      </c>
      <c r="P122" s="417">
        <v>0</v>
      </c>
      <c r="Q122" s="378">
        <v>3.1520000000000002E-4</v>
      </c>
      <c r="R122" s="378"/>
      <c r="S122" s="70">
        <v>127045.4979</v>
      </c>
      <c r="T122" s="105">
        <v>118906.86510000001</v>
      </c>
      <c r="U122" s="70">
        <v>70643.566200000001</v>
      </c>
      <c r="V122" s="70">
        <v>288077.96010000003</v>
      </c>
      <c r="W122" s="417">
        <v>0</v>
      </c>
      <c r="X122" s="378">
        <v>3.1520000000000002E-4</v>
      </c>
      <c r="Z122" s="70">
        <v>91272.613500000007</v>
      </c>
      <c r="AA122" s="70">
        <v>91271.964900000006</v>
      </c>
      <c r="AB122" s="70">
        <v>0</v>
      </c>
      <c r="AC122" s="417">
        <v>0</v>
      </c>
      <c r="AD122" s="417">
        <v>0</v>
      </c>
      <c r="AE122" s="378">
        <v>3.1520000000000002E-4</v>
      </c>
      <c r="AF122" s="378"/>
      <c r="AG122" s="70">
        <v>49122.93667499999</v>
      </c>
      <c r="AH122" s="70">
        <v>36934.93667499999</v>
      </c>
      <c r="AI122" s="70">
        <v>12227.93667499999</v>
      </c>
      <c r="AJ122" s="417">
        <v>0</v>
      </c>
      <c r="AK122" s="417">
        <v>0</v>
      </c>
      <c r="AL122" s="378">
        <v>3.1520000000000002E-4</v>
      </c>
      <c r="AM122" s="378"/>
      <c r="AN122" s="70">
        <v>0</v>
      </c>
      <c r="AO122" s="70">
        <v>0</v>
      </c>
      <c r="AP122" s="70">
        <v>0</v>
      </c>
      <c r="AQ122" s="417">
        <v>0</v>
      </c>
      <c r="AR122" s="417">
        <v>0</v>
      </c>
    </row>
    <row r="123" spans="1:44">
      <c r="A123" s="439">
        <v>91128</v>
      </c>
      <c r="B123" s="440" t="s">
        <v>835</v>
      </c>
      <c r="C123" s="437">
        <v>5.109E-4</v>
      </c>
      <c r="D123" s="441"/>
      <c r="E123" s="438">
        <v>445792.291975</v>
      </c>
      <c r="F123" s="442">
        <v>364898.56977500004</v>
      </c>
      <c r="G123" s="442">
        <v>87111.961375000043</v>
      </c>
      <c r="H123" s="442">
        <v>453836.04629999999</v>
      </c>
      <c r="I123" s="442">
        <v>0</v>
      </c>
      <c r="J123" s="443">
        <v>5.6170000000000005E-4</v>
      </c>
      <c r="K123" s="443"/>
      <c r="L123" s="444">
        <v>82319.784299999999</v>
      </c>
      <c r="M123" s="444">
        <v>33753.630299999997</v>
      </c>
      <c r="N123" s="444">
        <v>-4058.0787</v>
      </c>
      <c r="O123" s="444">
        <v>0</v>
      </c>
      <c r="P123" s="417">
        <v>0</v>
      </c>
      <c r="Q123" s="378">
        <v>5.6170000000000005E-4</v>
      </c>
      <c r="R123" s="378"/>
      <c r="S123" s="70">
        <v>200146.60769999999</v>
      </c>
      <c r="T123" s="105">
        <v>187325.0613</v>
      </c>
      <c r="U123" s="70">
        <v>111291.3906</v>
      </c>
      <c r="V123" s="70">
        <v>453836.04629999999</v>
      </c>
      <c r="W123" s="417">
        <v>0</v>
      </c>
      <c r="X123" s="378">
        <v>5.6170000000000005E-4</v>
      </c>
      <c r="Z123" s="70">
        <v>143790.25049999999</v>
      </c>
      <c r="AA123" s="70">
        <v>143789.22870000001</v>
      </c>
      <c r="AB123" s="70">
        <v>0</v>
      </c>
      <c r="AC123" s="417">
        <v>0</v>
      </c>
      <c r="AD123" s="417">
        <v>0</v>
      </c>
      <c r="AE123" s="378">
        <v>5.6170000000000005E-4</v>
      </c>
      <c r="AF123" s="378"/>
      <c r="AG123" s="70">
        <v>45468</v>
      </c>
      <c r="AH123" s="70">
        <v>20152</v>
      </c>
      <c r="AI123" s="70">
        <v>0</v>
      </c>
      <c r="AJ123" s="417">
        <v>0</v>
      </c>
      <c r="AK123" s="417">
        <v>0</v>
      </c>
      <c r="AL123" s="378">
        <v>5.6170000000000005E-4</v>
      </c>
      <c r="AM123" s="378"/>
      <c r="AN123" s="70">
        <v>-25932.350524999958</v>
      </c>
      <c r="AO123" s="70">
        <v>-20121.350524999958</v>
      </c>
      <c r="AP123" s="70">
        <v>-20121.350524999958</v>
      </c>
      <c r="AQ123" s="417">
        <v>0</v>
      </c>
      <c r="AR123" s="417">
        <v>0</v>
      </c>
    </row>
    <row r="124" spans="1:44">
      <c r="A124" s="439">
        <v>91138</v>
      </c>
      <c r="B124" s="440" t="s">
        <v>836</v>
      </c>
      <c r="C124" s="437">
        <v>4.7259999999999999E-4</v>
      </c>
      <c r="D124" s="441"/>
      <c r="E124" s="438">
        <v>370121.51884999999</v>
      </c>
      <c r="F124" s="442">
        <v>341629.84805000003</v>
      </c>
      <c r="G124" s="442">
        <v>106416.01044999999</v>
      </c>
      <c r="H124" s="442">
        <v>419813.88819999999</v>
      </c>
      <c r="I124" s="442">
        <v>0</v>
      </c>
      <c r="J124" s="443">
        <v>4.4339999999999999E-4</v>
      </c>
      <c r="K124" s="443"/>
      <c r="L124" s="444">
        <v>76148.620200000005</v>
      </c>
      <c r="M124" s="444">
        <v>31223.264200000001</v>
      </c>
      <c r="N124" s="444">
        <v>-3753.8618000000001</v>
      </c>
      <c r="O124" s="444">
        <v>0</v>
      </c>
      <c r="P124" s="417">
        <v>0</v>
      </c>
      <c r="Q124" s="378">
        <v>4.4339999999999999E-4</v>
      </c>
      <c r="R124" s="378"/>
      <c r="S124" s="70">
        <v>185142.46779999998</v>
      </c>
      <c r="T124" s="105">
        <v>173282.09820000001</v>
      </c>
      <c r="U124" s="70">
        <v>102948.3484</v>
      </c>
      <c r="V124" s="70">
        <v>419813.88819999999</v>
      </c>
      <c r="W124" s="417">
        <v>0</v>
      </c>
      <c r="X124" s="378">
        <v>4.4339999999999999E-4</v>
      </c>
      <c r="Z124" s="70">
        <v>133010.90700000001</v>
      </c>
      <c r="AA124" s="70">
        <v>133009.96179999999</v>
      </c>
      <c r="AB124" s="70">
        <v>0</v>
      </c>
      <c r="AC124" s="417">
        <v>0</v>
      </c>
      <c r="AD124" s="417">
        <v>0</v>
      </c>
      <c r="AE124" s="378">
        <v>4.4339999999999999E-4</v>
      </c>
      <c r="AF124" s="378"/>
      <c r="AG124" s="70">
        <v>7221.5238499999832</v>
      </c>
      <c r="AH124" s="70">
        <v>7221.5238499999832</v>
      </c>
      <c r="AI124" s="70">
        <v>7221.5238499999832</v>
      </c>
      <c r="AJ124" s="417">
        <v>0</v>
      </c>
      <c r="AK124" s="417">
        <v>0</v>
      </c>
      <c r="AL124" s="378">
        <v>4.4339999999999999E-4</v>
      </c>
      <c r="AM124" s="378"/>
      <c r="AN124" s="70">
        <v>-31402</v>
      </c>
      <c r="AO124" s="70">
        <v>-3107</v>
      </c>
      <c r="AP124" s="70">
        <v>0</v>
      </c>
      <c r="AQ124" s="417">
        <v>0</v>
      </c>
      <c r="AR124" s="417">
        <v>0</v>
      </c>
    </row>
    <row r="125" spans="1:44">
      <c r="A125" s="439">
        <v>91141</v>
      </c>
      <c r="B125" s="440" t="s">
        <v>837</v>
      </c>
      <c r="C125" s="437">
        <v>6.2089999999999997E-4</v>
      </c>
      <c r="D125" s="441"/>
      <c r="E125" s="438">
        <v>482700.01647499995</v>
      </c>
      <c r="F125" s="442">
        <v>417333.91427499999</v>
      </c>
      <c r="G125" s="442">
        <v>131174.94587500003</v>
      </c>
      <c r="H125" s="442">
        <v>551549.81629999995</v>
      </c>
      <c r="I125" s="442">
        <v>0</v>
      </c>
      <c r="J125" s="443">
        <v>6.0269999999999996E-4</v>
      </c>
      <c r="K125" s="443"/>
      <c r="L125" s="444">
        <v>100043.7543</v>
      </c>
      <c r="M125" s="444">
        <v>41021.0003</v>
      </c>
      <c r="N125" s="444">
        <v>-4931.8086999999996</v>
      </c>
      <c r="O125" s="444">
        <v>0</v>
      </c>
      <c r="P125" s="417">
        <v>0</v>
      </c>
      <c r="Q125" s="378">
        <v>6.0269999999999996E-4</v>
      </c>
      <c r="R125" s="378"/>
      <c r="S125" s="70">
        <v>243239.43769999998</v>
      </c>
      <c r="T125" s="105">
        <v>227657.33129999999</v>
      </c>
      <c r="U125" s="70">
        <v>135253.1306</v>
      </c>
      <c r="V125" s="70">
        <v>551549.81629999995</v>
      </c>
      <c r="W125" s="417">
        <v>0</v>
      </c>
      <c r="X125" s="378">
        <v>6.0269999999999996E-4</v>
      </c>
      <c r="Z125" s="70">
        <v>174749.20049999998</v>
      </c>
      <c r="AA125" s="70">
        <v>174747.95869999999</v>
      </c>
      <c r="AB125" s="70">
        <v>0</v>
      </c>
      <c r="AC125" s="417">
        <v>0</v>
      </c>
      <c r="AD125" s="417">
        <v>0</v>
      </c>
      <c r="AE125" s="378">
        <v>6.0269999999999996E-4</v>
      </c>
      <c r="AF125" s="378"/>
      <c r="AG125" s="70">
        <v>8588.6239750000095</v>
      </c>
      <c r="AH125" s="70">
        <v>853.62397500000952</v>
      </c>
      <c r="AI125" s="70">
        <v>853.62397500000952</v>
      </c>
      <c r="AJ125" s="417">
        <v>0</v>
      </c>
      <c r="AK125" s="417">
        <v>0</v>
      </c>
      <c r="AL125" s="378">
        <v>6.0269999999999996E-4</v>
      </c>
      <c r="AM125" s="378"/>
      <c r="AN125" s="70">
        <v>-43921</v>
      </c>
      <c r="AO125" s="70">
        <v>-26946</v>
      </c>
      <c r="AP125" s="70">
        <v>0</v>
      </c>
      <c r="AQ125" s="417">
        <v>0</v>
      </c>
      <c r="AR125" s="417">
        <v>0</v>
      </c>
    </row>
    <row r="126" spans="1:44">
      <c r="A126" s="439">
        <v>91147</v>
      </c>
      <c r="B126" s="440" t="s">
        <v>838</v>
      </c>
      <c r="C126" s="437">
        <v>3.29E-5</v>
      </c>
      <c r="D126" s="441"/>
      <c r="E126" s="438">
        <v>32376.117025000003</v>
      </c>
      <c r="F126" s="442">
        <v>26735.918825000008</v>
      </c>
      <c r="G126" s="442">
        <v>7526.2384250000032</v>
      </c>
      <c r="H126" s="442">
        <v>29225.300299999999</v>
      </c>
      <c r="I126" s="442">
        <v>0</v>
      </c>
      <c r="J126" s="443">
        <v>3.1600000000000002E-5</v>
      </c>
      <c r="K126" s="443"/>
      <c r="L126" s="444">
        <v>5301.0783000000001</v>
      </c>
      <c r="M126" s="444">
        <v>2173.6043</v>
      </c>
      <c r="N126" s="444">
        <v>-261.32470000000001</v>
      </c>
      <c r="O126" s="444">
        <v>0</v>
      </c>
      <c r="P126" s="417">
        <v>0</v>
      </c>
      <c r="Q126" s="378">
        <v>3.1600000000000002E-5</v>
      </c>
      <c r="R126" s="378"/>
      <c r="S126" s="70">
        <v>12888.673699999999</v>
      </c>
      <c r="T126" s="105">
        <v>12063.015300000001</v>
      </c>
      <c r="U126" s="70">
        <v>7166.7385999999997</v>
      </c>
      <c r="V126" s="70">
        <v>29225.300299999999</v>
      </c>
      <c r="W126" s="417">
        <v>0</v>
      </c>
      <c r="X126" s="378">
        <v>3.1600000000000002E-5</v>
      </c>
      <c r="Z126" s="70">
        <v>9259.5404999999992</v>
      </c>
      <c r="AA126" s="70">
        <v>9259.4747000000007</v>
      </c>
      <c r="AB126" s="70">
        <v>0</v>
      </c>
      <c r="AC126" s="417">
        <v>0</v>
      </c>
      <c r="AD126" s="417">
        <v>0</v>
      </c>
      <c r="AE126" s="378">
        <v>3.1600000000000002E-5</v>
      </c>
      <c r="AF126" s="378"/>
      <c r="AG126" s="70">
        <v>5062.8245250000036</v>
      </c>
      <c r="AH126" s="70">
        <v>3239.8245250000036</v>
      </c>
      <c r="AI126" s="70">
        <v>620.82452500000363</v>
      </c>
      <c r="AJ126" s="417">
        <v>0</v>
      </c>
      <c r="AK126" s="417">
        <v>0</v>
      </c>
      <c r="AL126" s="378">
        <v>3.1600000000000002E-5</v>
      </c>
      <c r="AM126" s="378"/>
      <c r="AN126" s="70">
        <v>-136</v>
      </c>
      <c r="AO126" s="70">
        <v>0</v>
      </c>
      <c r="AP126" s="70">
        <v>0</v>
      </c>
      <c r="AQ126" s="417">
        <v>0</v>
      </c>
      <c r="AR126" s="417">
        <v>0</v>
      </c>
    </row>
    <row r="127" spans="1:44">
      <c r="A127" s="439">
        <v>91151</v>
      </c>
      <c r="B127" s="440" t="s">
        <v>839</v>
      </c>
      <c r="C127" s="437">
        <v>6.3900000000000003E-4</v>
      </c>
      <c r="D127" s="441"/>
      <c r="E127" s="438">
        <v>513678.48604999995</v>
      </c>
      <c r="F127" s="442">
        <v>451754.52404999995</v>
      </c>
      <c r="G127" s="442">
        <v>152346.16004999998</v>
      </c>
      <c r="H127" s="442">
        <v>567628.17300000007</v>
      </c>
      <c r="I127" s="442">
        <v>0</v>
      </c>
      <c r="J127" s="443">
        <v>5.7740000000000005E-4</v>
      </c>
      <c r="K127" s="443"/>
      <c r="L127" s="444">
        <v>102960.15300000001</v>
      </c>
      <c r="M127" s="444">
        <v>42216.813000000002</v>
      </c>
      <c r="N127" s="444">
        <v>-5075.5770000000002</v>
      </c>
      <c r="O127" s="444">
        <v>0</v>
      </c>
      <c r="P127" s="417">
        <v>0</v>
      </c>
      <c r="Q127" s="378">
        <v>5.7740000000000005E-4</v>
      </c>
      <c r="R127" s="378"/>
      <c r="S127" s="70">
        <v>250330.16700000002</v>
      </c>
      <c r="T127" s="105">
        <v>234293.823</v>
      </c>
      <c r="U127" s="70">
        <v>139195.92600000001</v>
      </c>
      <c r="V127" s="70">
        <v>567628.17300000007</v>
      </c>
      <c r="W127" s="417">
        <v>0</v>
      </c>
      <c r="X127" s="378">
        <v>5.7740000000000005E-4</v>
      </c>
      <c r="Z127" s="70">
        <v>179843.35500000001</v>
      </c>
      <c r="AA127" s="70">
        <v>179842.07700000002</v>
      </c>
      <c r="AB127" s="70">
        <v>0</v>
      </c>
      <c r="AC127" s="417">
        <v>0</v>
      </c>
      <c r="AD127" s="417">
        <v>0</v>
      </c>
      <c r="AE127" s="378">
        <v>5.7740000000000005E-4</v>
      </c>
      <c r="AF127" s="378"/>
      <c r="AG127" s="70">
        <v>18225.81104999996</v>
      </c>
      <c r="AH127" s="70">
        <v>18225.81104999996</v>
      </c>
      <c r="AI127" s="70">
        <v>18225.81104999996</v>
      </c>
      <c r="AJ127" s="417">
        <v>0</v>
      </c>
      <c r="AK127" s="417">
        <v>0</v>
      </c>
      <c r="AL127" s="378">
        <v>5.7740000000000005E-4</v>
      </c>
      <c r="AM127" s="378"/>
      <c r="AN127" s="70">
        <v>-37681</v>
      </c>
      <c r="AO127" s="70">
        <v>-22824</v>
      </c>
      <c r="AP127" s="70">
        <v>0</v>
      </c>
      <c r="AQ127" s="417">
        <v>0</v>
      </c>
      <c r="AR127" s="417">
        <v>0</v>
      </c>
    </row>
    <row r="128" spans="1:44">
      <c r="A128" s="439">
        <v>91154</v>
      </c>
      <c r="B128" s="440" t="s">
        <v>840</v>
      </c>
      <c r="C128" s="437">
        <v>2.44E-5</v>
      </c>
      <c r="D128" s="441"/>
      <c r="E128" s="438">
        <v>21028.185599999997</v>
      </c>
      <c r="F128" s="442">
        <v>18538.330399999999</v>
      </c>
      <c r="G128" s="442">
        <v>7653.9960000000001</v>
      </c>
      <c r="H128" s="442">
        <v>21674.6908</v>
      </c>
      <c r="I128" s="442">
        <v>0</v>
      </c>
      <c r="J128" s="443">
        <v>1.9199999999999999E-5</v>
      </c>
      <c r="K128" s="443"/>
      <c r="L128" s="444">
        <v>3931.4987999999998</v>
      </c>
      <c r="M128" s="444">
        <v>1612.0347999999999</v>
      </c>
      <c r="N128" s="444">
        <v>-193.8092</v>
      </c>
      <c r="O128" s="444">
        <v>0</v>
      </c>
      <c r="P128" s="417">
        <v>0</v>
      </c>
      <c r="Q128" s="378">
        <v>1.9199999999999999E-5</v>
      </c>
      <c r="R128" s="378"/>
      <c r="S128" s="70">
        <v>9558.7731999999996</v>
      </c>
      <c r="T128" s="105">
        <v>8946.4308000000001</v>
      </c>
      <c r="U128" s="70">
        <v>5315.1495999999997</v>
      </c>
      <c r="V128" s="70">
        <v>21674.6908</v>
      </c>
      <c r="W128" s="417">
        <v>0</v>
      </c>
      <c r="X128" s="378">
        <v>1.9199999999999999E-5</v>
      </c>
      <c r="Z128" s="70">
        <v>6867.2579999999998</v>
      </c>
      <c r="AA128" s="70">
        <v>6867.2092000000002</v>
      </c>
      <c r="AB128" s="70">
        <v>0</v>
      </c>
      <c r="AC128" s="417">
        <v>0</v>
      </c>
      <c r="AD128" s="417">
        <v>0</v>
      </c>
      <c r="AE128" s="378">
        <v>1.9199999999999999E-5</v>
      </c>
      <c r="AF128" s="378"/>
      <c r="AG128" s="70">
        <v>3022.6556</v>
      </c>
      <c r="AH128" s="70">
        <v>2532.6556</v>
      </c>
      <c r="AI128" s="70">
        <v>2532.6556</v>
      </c>
      <c r="AJ128" s="417">
        <v>0</v>
      </c>
      <c r="AK128" s="417">
        <v>0</v>
      </c>
      <c r="AL128" s="378">
        <v>1.9199999999999999E-5</v>
      </c>
      <c r="AM128" s="378"/>
      <c r="AN128" s="70">
        <v>-2352</v>
      </c>
      <c r="AO128" s="70">
        <v>-1420</v>
      </c>
      <c r="AP128" s="70">
        <v>0</v>
      </c>
      <c r="AQ128" s="417">
        <v>0</v>
      </c>
      <c r="AR128" s="417">
        <v>0</v>
      </c>
    </row>
    <row r="129" spans="1:44">
      <c r="A129" s="439">
        <v>91161</v>
      </c>
      <c r="B129" s="440" t="s">
        <v>841</v>
      </c>
      <c r="C129" s="437">
        <v>9.5400000000000001E-5</v>
      </c>
      <c r="D129" s="441"/>
      <c r="E129" s="438">
        <v>74427.20934999999</v>
      </c>
      <c r="F129" s="442">
        <v>65012.136149999991</v>
      </c>
      <c r="G129" s="442">
        <v>16706.205749999997</v>
      </c>
      <c r="H129" s="442">
        <v>84744.487800000003</v>
      </c>
      <c r="I129" s="442">
        <v>0</v>
      </c>
      <c r="J129" s="443">
        <v>9.5199999999999997E-5</v>
      </c>
      <c r="K129" s="443"/>
      <c r="L129" s="444">
        <v>15371.515800000001</v>
      </c>
      <c r="M129" s="444">
        <v>6302.7918</v>
      </c>
      <c r="N129" s="444">
        <v>-757.76220000000001</v>
      </c>
      <c r="O129" s="444">
        <v>0</v>
      </c>
      <c r="P129" s="417">
        <v>0</v>
      </c>
      <c r="Q129" s="378">
        <v>9.5199999999999997E-5</v>
      </c>
      <c r="R129" s="378"/>
      <c r="S129" s="70">
        <v>37373.236199999999</v>
      </c>
      <c r="T129" s="105">
        <v>34979.077799999999</v>
      </c>
      <c r="U129" s="70">
        <v>20781.363600000001</v>
      </c>
      <c r="V129" s="70">
        <v>84744.487800000003</v>
      </c>
      <c r="W129" s="417">
        <v>0</v>
      </c>
      <c r="X129" s="378">
        <v>9.5199999999999997E-5</v>
      </c>
      <c r="Z129" s="70">
        <v>26849.852999999999</v>
      </c>
      <c r="AA129" s="70">
        <v>26849.662199999999</v>
      </c>
      <c r="AB129" s="70">
        <v>0</v>
      </c>
      <c r="AC129" s="417">
        <v>0</v>
      </c>
      <c r="AD129" s="417">
        <v>0</v>
      </c>
      <c r="AE129" s="378">
        <v>9.5199999999999997E-5</v>
      </c>
      <c r="AF129" s="378"/>
      <c r="AG129" s="70">
        <v>3050</v>
      </c>
      <c r="AH129" s="70">
        <v>198</v>
      </c>
      <c r="AI129" s="70">
        <v>0</v>
      </c>
      <c r="AJ129" s="417">
        <v>0</v>
      </c>
      <c r="AK129" s="417">
        <v>0</v>
      </c>
      <c r="AL129" s="378">
        <v>9.5199999999999997E-5</v>
      </c>
      <c r="AM129" s="378"/>
      <c r="AN129" s="70">
        <v>-8217.3956500000022</v>
      </c>
      <c r="AO129" s="70">
        <v>-3317.3956500000022</v>
      </c>
      <c r="AP129" s="70">
        <v>-3317.3956500000022</v>
      </c>
      <c r="AQ129" s="417">
        <v>0</v>
      </c>
      <c r="AR129" s="417">
        <v>0</v>
      </c>
    </row>
    <row r="130" spans="1:44">
      <c r="A130" s="439">
        <v>91171</v>
      </c>
      <c r="B130" s="440" t="s">
        <v>842</v>
      </c>
      <c r="C130" s="437">
        <v>3.2220000000000003E-4</v>
      </c>
      <c r="D130" s="441"/>
      <c r="E130" s="438">
        <v>279007.53365</v>
      </c>
      <c r="F130" s="442">
        <v>243164.62605000002</v>
      </c>
      <c r="G130" s="442">
        <v>88943.898850000027</v>
      </c>
      <c r="H130" s="442">
        <v>286212.51540000003</v>
      </c>
      <c r="I130" s="442">
        <v>0</v>
      </c>
      <c r="J130" s="443">
        <v>2.6140000000000001E-4</v>
      </c>
      <c r="K130" s="443"/>
      <c r="L130" s="444">
        <v>51915.119400000003</v>
      </c>
      <c r="M130" s="444">
        <v>21286.787400000001</v>
      </c>
      <c r="N130" s="444">
        <v>-2559.2346000000002</v>
      </c>
      <c r="O130" s="444">
        <v>0</v>
      </c>
      <c r="P130" s="417">
        <v>0</v>
      </c>
      <c r="Q130" s="378">
        <v>2.6140000000000001E-4</v>
      </c>
      <c r="R130" s="378"/>
      <c r="S130" s="70">
        <v>126222.81660000001</v>
      </c>
      <c r="T130" s="105">
        <v>118136.88540000001</v>
      </c>
      <c r="U130" s="70">
        <v>70186.11480000001</v>
      </c>
      <c r="V130" s="70">
        <v>286212.51540000003</v>
      </c>
      <c r="W130" s="417">
        <v>0</v>
      </c>
      <c r="X130" s="378">
        <v>2.6140000000000001E-4</v>
      </c>
      <c r="Z130" s="70">
        <v>90681.579000000012</v>
      </c>
      <c r="AA130" s="70">
        <v>90680.934600000008</v>
      </c>
      <c r="AB130" s="70">
        <v>0</v>
      </c>
      <c r="AC130" s="417">
        <v>0</v>
      </c>
      <c r="AD130" s="417">
        <v>0</v>
      </c>
      <c r="AE130" s="378">
        <v>2.6140000000000001E-4</v>
      </c>
      <c r="AF130" s="378"/>
      <c r="AG130" s="70">
        <v>23515.018650000005</v>
      </c>
      <c r="AH130" s="70">
        <v>21317.018650000005</v>
      </c>
      <c r="AI130" s="70">
        <v>21317.018650000005</v>
      </c>
      <c r="AJ130" s="417">
        <v>0</v>
      </c>
      <c r="AK130" s="417">
        <v>0</v>
      </c>
      <c r="AL130" s="378">
        <v>2.6140000000000001E-4</v>
      </c>
      <c r="AM130" s="378"/>
      <c r="AN130" s="70">
        <v>-13327</v>
      </c>
      <c r="AO130" s="70">
        <v>-8257</v>
      </c>
      <c r="AP130" s="70">
        <v>0</v>
      </c>
      <c r="AQ130" s="417">
        <v>0</v>
      </c>
      <c r="AR130" s="417">
        <v>0</v>
      </c>
    </row>
    <row r="131" spans="1:44">
      <c r="A131" s="439">
        <v>91201</v>
      </c>
      <c r="B131" s="440" t="s">
        <v>843</v>
      </c>
      <c r="C131" s="437">
        <v>2.5163E-3</v>
      </c>
      <c r="D131" s="441"/>
      <c r="E131" s="438">
        <v>2116701.0454750005</v>
      </c>
      <c r="F131" s="442">
        <v>1728487.4700750003</v>
      </c>
      <c r="G131" s="442">
        <v>483222.7712750003</v>
      </c>
      <c r="H131" s="442">
        <v>2235246.9040999999</v>
      </c>
      <c r="I131" s="442">
        <v>0</v>
      </c>
      <c r="J131" s="443">
        <v>2.5525999999999999E-3</v>
      </c>
      <c r="K131" s="443"/>
      <c r="L131" s="444">
        <v>405443.8701</v>
      </c>
      <c r="M131" s="444">
        <v>166244.3921</v>
      </c>
      <c r="N131" s="444">
        <v>-19986.9709</v>
      </c>
      <c r="O131" s="444">
        <v>0</v>
      </c>
      <c r="P131" s="417">
        <v>0</v>
      </c>
      <c r="Q131" s="378">
        <v>2.5525999999999999E-3</v>
      </c>
      <c r="R131" s="378"/>
      <c r="S131" s="70">
        <v>985768.07389999996</v>
      </c>
      <c r="T131" s="105">
        <v>922619.00910000002</v>
      </c>
      <c r="U131" s="70">
        <v>548135.69420000003</v>
      </c>
      <c r="V131" s="70">
        <v>2235246.9040999999</v>
      </c>
      <c r="W131" s="417">
        <v>0</v>
      </c>
      <c r="X131" s="378">
        <v>2.5525999999999999E-3</v>
      </c>
      <c r="Z131" s="70">
        <v>708200.05350000004</v>
      </c>
      <c r="AA131" s="70">
        <v>708195.0209</v>
      </c>
      <c r="AB131" s="70">
        <v>0</v>
      </c>
      <c r="AC131" s="417">
        <v>0</v>
      </c>
      <c r="AD131" s="417">
        <v>0</v>
      </c>
      <c r="AE131" s="378">
        <v>2.5525999999999999E-3</v>
      </c>
      <c r="AF131" s="378"/>
      <c r="AG131" s="70">
        <v>93161</v>
      </c>
      <c r="AH131" s="70">
        <v>0</v>
      </c>
      <c r="AI131" s="70">
        <v>0</v>
      </c>
      <c r="AJ131" s="417">
        <v>0</v>
      </c>
      <c r="AK131" s="417">
        <v>0</v>
      </c>
      <c r="AL131" s="378">
        <v>2.5525999999999999E-3</v>
      </c>
      <c r="AM131" s="378"/>
      <c r="AN131" s="70">
        <v>-75871.952024999773</v>
      </c>
      <c r="AO131" s="70">
        <v>-68570.952024999773</v>
      </c>
      <c r="AP131" s="70">
        <v>-44925.952024999773</v>
      </c>
      <c r="AQ131" s="417">
        <v>0</v>
      </c>
      <c r="AR131" s="417">
        <v>0</v>
      </c>
    </row>
    <row r="132" spans="1:44">
      <c r="A132" s="439">
        <v>91202</v>
      </c>
      <c r="B132" s="440" t="s">
        <v>844</v>
      </c>
      <c r="C132" s="437">
        <v>0</v>
      </c>
      <c r="D132" s="441"/>
      <c r="E132" s="438">
        <v>-86913</v>
      </c>
      <c r="F132" s="442">
        <v>-41595</v>
      </c>
      <c r="G132" s="442">
        <v>0</v>
      </c>
      <c r="H132" s="442">
        <v>0</v>
      </c>
      <c r="I132" s="442">
        <v>0</v>
      </c>
      <c r="J132" s="443">
        <v>0</v>
      </c>
      <c r="K132" s="443"/>
      <c r="L132" s="444">
        <v>0</v>
      </c>
      <c r="M132" s="444">
        <v>0</v>
      </c>
      <c r="N132" s="444">
        <v>0</v>
      </c>
      <c r="O132" s="444">
        <v>0</v>
      </c>
      <c r="P132" s="417">
        <v>0</v>
      </c>
      <c r="Q132" s="378">
        <v>0</v>
      </c>
      <c r="R132" s="378"/>
      <c r="S132" s="70">
        <v>0</v>
      </c>
      <c r="T132" s="105">
        <v>0</v>
      </c>
      <c r="U132" s="70">
        <v>0</v>
      </c>
      <c r="V132" s="70">
        <v>0</v>
      </c>
      <c r="W132" s="417">
        <v>0</v>
      </c>
      <c r="X132" s="378">
        <v>0</v>
      </c>
      <c r="Z132" s="70">
        <v>0</v>
      </c>
      <c r="AA132" s="70">
        <v>0</v>
      </c>
      <c r="AB132" s="70">
        <v>0</v>
      </c>
      <c r="AC132" s="417">
        <v>0</v>
      </c>
      <c r="AD132" s="417">
        <v>0</v>
      </c>
      <c r="AE132" s="378">
        <v>0</v>
      </c>
      <c r="AF132" s="378"/>
      <c r="AG132" s="70">
        <v>0</v>
      </c>
      <c r="AH132" s="70">
        <v>0</v>
      </c>
      <c r="AI132" s="70">
        <v>0</v>
      </c>
      <c r="AJ132" s="417">
        <v>0</v>
      </c>
      <c r="AK132" s="417">
        <v>0</v>
      </c>
      <c r="AL132" s="378">
        <v>0</v>
      </c>
      <c r="AM132" s="378"/>
      <c r="AN132" s="70">
        <v>-86913</v>
      </c>
      <c r="AO132" s="70">
        <v>-41595</v>
      </c>
      <c r="AP132" s="70">
        <v>0</v>
      </c>
      <c r="AQ132" s="417">
        <v>0</v>
      </c>
      <c r="AR132" s="417">
        <v>0</v>
      </c>
    </row>
    <row r="133" spans="1:44">
      <c r="A133" s="439">
        <v>91203</v>
      </c>
      <c r="B133" s="440" t="s">
        <v>845</v>
      </c>
      <c r="C133" s="437">
        <v>2.5139999999999999E-4</v>
      </c>
      <c r="D133" s="441"/>
      <c r="E133" s="438">
        <v>239235.2133</v>
      </c>
      <c r="F133" s="442">
        <v>195994.4921</v>
      </c>
      <c r="G133" s="442">
        <v>59339.505700000002</v>
      </c>
      <c r="H133" s="442">
        <v>223320.3798</v>
      </c>
      <c r="I133" s="442">
        <v>0</v>
      </c>
      <c r="J133" s="443">
        <v>2.453E-4</v>
      </c>
      <c r="K133" s="443"/>
      <c r="L133" s="444">
        <v>40507.327799999999</v>
      </c>
      <c r="M133" s="444">
        <v>16609.2438</v>
      </c>
      <c r="N133" s="444">
        <v>-1996.8701999999998</v>
      </c>
      <c r="O133" s="444">
        <v>0</v>
      </c>
      <c r="P133" s="417">
        <v>0</v>
      </c>
      <c r="Q133" s="378">
        <v>2.453E-4</v>
      </c>
      <c r="R133" s="378"/>
      <c r="S133" s="70">
        <v>98486.704199999993</v>
      </c>
      <c r="T133" s="105">
        <v>92177.569799999997</v>
      </c>
      <c r="U133" s="70">
        <v>54763.467599999996</v>
      </c>
      <c r="V133" s="70">
        <v>223320.3798</v>
      </c>
      <c r="W133" s="417">
        <v>0</v>
      </c>
      <c r="X133" s="378">
        <v>2.453E-4</v>
      </c>
      <c r="Z133" s="70">
        <v>70755.273000000001</v>
      </c>
      <c r="AA133" s="70">
        <v>70754.770199999999</v>
      </c>
      <c r="AB133" s="70">
        <v>0</v>
      </c>
      <c r="AC133" s="417">
        <v>0</v>
      </c>
      <c r="AD133" s="417">
        <v>0</v>
      </c>
      <c r="AE133" s="378">
        <v>2.453E-4</v>
      </c>
      <c r="AF133" s="378"/>
      <c r="AG133" s="70">
        <v>29485.908300000003</v>
      </c>
      <c r="AH133" s="70">
        <v>16452.908300000003</v>
      </c>
      <c r="AI133" s="70">
        <v>6572.9083000000028</v>
      </c>
      <c r="AJ133" s="417">
        <v>0</v>
      </c>
      <c r="AK133" s="417">
        <v>0</v>
      </c>
      <c r="AL133" s="378">
        <v>2.453E-4</v>
      </c>
      <c r="AM133" s="378"/>
      <c r="AN133" s="70">
        <v>0</v>
      </c>
      <c r="AO133" s="70">
        <v>0</v>
      </c>
      <c r="AP133" s="70">
        <v>0</v>
      </c>
      <c r="AQ133" s="417">
        <v>0</v>
      </c>
      <c r="AR133" s="417">
        <v>0</v>
      </c>
    </row>
    <row r="134" spans="1:44">
      <c r="A134" s="439">
        <v>91206</v>
      </c>
      <c r="B134" s="440" t="s">
        <v>846</v>
      </c>
      <c r="C134" s="437">
        <v>1.0426999999999999E-3</v>
      </c>
      <c r="D134" s="441"/>
      <c r="E134" s="438">
        <v>898179.97512499988</v>
      </c>
      <c r="F134" s="442">
        <v>785958.22852499993</v>
      </c>
      <c r="G134" s="442">
        <v>218476.64332499992</v>
      </c>
      <c r="H134" s="442">
        <v>926237.70889999997</v>
      </c>
      <c r="I134" s="442">
        <v>0</v>
      </c>
      <c r="J134" s="443">
        <v>9.9869999999999994E-4</v>
      </c>
      <c r="K134" s="443"/>
      <c r="L134" s="444">
        <v>168007.12289999999</v>
      </c>
      <c r="M134" s="444">
        <v>68888.060899999997</v>
      </c>
      <c r="N134" s="444">
        <v>-8282.1660999999986</v>
      </c>
      <c r="O134" s="444">
        <v>0</v>
      </c>
      <c r="P134" s="417">
        <v>0</v>
      </c>
      <c r="Q134" s="378">
        <v>9.9869999999999994E-4</v>
      </c>
      <c r="R134" s="378"/>
      <c r="S134" s="70">
        <v>408480.85309999995</v>
      </c>
      <c r="T134" s="105">
        <v>382313.25389999995</v>
      </c>
      <c r="U134" s="70">
        <v>227135.51179999998</v>
      </c>
      <c r="V134" s="70">
        <v>926237.70889999997</v>
      </c>
      <c r="W134" s="417">
        <v>0</v>
      </c>
      <c r="X134" s="378">
        <v>9.9869999999999994E-4</v>
      </c>
      <c r="Z134" s="70">
        <v>293462.70149999997</v>
      </c>
      <c r="AA134" s="70">
        <v>293460.61609999998</v>
      </c>
      <c r="AB134" s="70">
        <v>0</v>
      </c>
      <c r="AC134" s="417">
        <v>0</v>
      </c>
      <c r="AD134" s="417">
        <v>0</v>
      </c>
      <c r="AE134" s="378">
        <v>9.9869999999999994E-4</v>
      </c>
      <c r="AF134" s="378"/>
      <c r="AG134" s="70">
        <v>48018</v>
      </c>
      <c r="AH134" s="70">
        <v>41673</v>
      </c>
      <c r="AI134" s="70">
        <v>0</v>
      </c>
      <c r="AJ134" s="417">
        <v>0</v>
      </c>
      <c r="AK134" s="417">
        <v>0</v>
      </c>
      <c r="AL134" s="378">
        <v>9.9869999999999994E-4</v>
      </c>
      <c r="AM134" s="378"/>
      <c r="AN134" s="70">
        <v>-19788.702375000052</v>
      </c>
      <c r="AO134" s="70">
        <v>-376.70237500005169</v>
      </c>
      <c r="AP134" s="70">
        <v>-376.70237500005169</v>
      </c>
      <c r="AQ134" s="417">
        <v>0</v>
      </c>
      <c r="AR134" s="417">
        <v>0</v>
      </c>
    </row>
    <row r="135" spans="1:44">
      <c r="A135" s="439">
        <v>91208</v>
      </c>
      <c r="B135" s="440" t="s">
        <v>847</v>
      </c>
      <c r="C135" s="437">
        <v>2.3900000000000002E-5</v>
      </c>
      <c r="D135" s="441"/>
      <c r="E135" s="438">
        <v>24902.530575000004</v>
      </c>
      <c r="F135" s="442">
        <v>21755.754375</v>
      </c>
      <c r="G135" s="442">
        <v>9340.5579749999997</v>
      </c>
      <c r="H135" s="442">
        <v>21230.5373</v>
      </c>
      <c r="I135" s="442">
        <v>0</v>
      </c>
      <c r="J135" s="443">
        <v>1.5999999999999999E-5</v>
      </c>
      <c r="K135" s="443"/>
      <c r="L135" s="444">
        <v>3850.9353000000001</v>
      </c>
      <c r="M135" s="444">
        <v>1579.0013000000001</v>
      </c>
      <c r="N135" s="444">
        <v>-189.83770000000001</v>
      </c>
      <c r="O135" s="444">
        <v>0</v>
      </c>
      <c r="P135" s="417">
        <v>0</v>
      </c>
      <c r="Q135" s="378">
        <v>1.5999999999999999E-5</v>
      </c>
      <c r="R135" s="378"/>
      <c r="S135" s="70">
        <v>9362.8967000000011</v>
      </c>
      <c r="T135" s="105">
        <v>8763.1023000000005</v>
      </c>
      <c r="U135" s="70">
        <v>5206.2326000000003</v>
      </c>
      <c r="V135" s="70">
        <v>21230.5373</v>
      </c>
      <c r="W135" s="417">
        <v>0</v>
      </c>
      <c r="X135" s="378">
        <v>1.5999999999999999E-5</v>
      </c>
      <c r="Z135" s="70">
        <v>6726.5355000000009</v>
      </c>
      <c r="AA135" s="70">
        <v>6726.4877000000006</v>
      </c>
      <c r="AB135" s="70">
        <v>0</v>
      </c>
      <c r="AC135" s="417">
        <v>0</v>
      </c>
      <c r="AD135" s="417">
        <v>0</v>
      </c>
      <c r="AE135" s="378">
        <v>1.5999999999999999E-5</v>
      </c>
      <c r="AF135" s="378"/>
      <c r="AG135" s="70">
        <v>5929.1630749999995</v>
      </c>
      <c r="AH135" s="70">
        <v>4687.1630749999995</v>
      </c>
      <c r="AI135" s="70">
        <v>4324.1630749999995</v>
      </c>
      <c r="AJ135" s="417">
        <v>0</v>
      </c>
      <c r="AK135" s="417">
        <v>0</v>
      </c>
      <c r="AL135" s="378">
        <v>1.5999999999999999E-5</v>
      </c>
      <c r="AM135" s="378"/>
      <c r="AN135" s="70">
        <v>-967</v>
      </c>
      <c r="AO135" s="70">
        <v>0</v>
      </c>
      <c r="AP135" s="70">
        <v>0</v>
      </c>
      <c r="AQ135" s="417">
        <v>0</v>
      </c>
      <c r="AR135" s="417">
        <v>0</v>
      </c>
    </row>
    <row r="136" spans="1:44">
      <c r="A136" s="439">
        <v>91211</v>
      </c>
      <c r="B136" s="440" t="s">
        <v>848</v>
      </c>
      <c r="C136" s="437">
        <v>4.2319999999999999E-4</v>
      </c>
      <c r="D136" s="441"/>
      <c r="E136" s="438">
        <v>324918.77834999992</v>
      </c>
      <c r="F136" s="442">
        <v>267959.9127499999</v>
      </c>
      <c r="G136" s="442">
        <v>88216.309549999976</v>
      </c>
      <c r="H136" s="442">
        <v>375931.52240000002</v>
      </c>
      <c r="I136" s="442">
        <v>0</v>
      </c>
      <c r="J136" s="443">
        <v>4.2250000000000002E-4</v>
      </c>
      <c r="K136" s="443"/>
      <c r="L136" s="444">
        <v>68188.946400000001</v>
      </c>
      <c r="M136" s="444">
        <v>27959.554400000001</v>
      </c>
      <c r="N136" s="444">
        <v>-3361.4775999999997</v>
      </c>
      <c r="O136" s="444">
        <v>0</v>
      </c>
      <c r="P136" s="417">
        <v>0</v>
      </c>
      <c r="Q136" s="378">
        <v>4.2250000000000002E-4</v>
      </c>
      <c r="R136" s="378"/>
      <c r="S136" s="70">
        <v>165789.86960000001</v>
      </c>
      <c r="T136" s="105">
        <v>155169.24239999999</v>
      </c>
      <c r="U136" s="70">
        <v>92187.348799999992</v>
      </c>
      <c r="V136" s="70">
        <v>375931.52240000002</v>
      </c>
      <c r="W136" s="417">
        <v>0</v>
      </c>
      <c r="X136" s="378">
        <v>4.2250000000000002E-4</v>
      </c>
      <c r="Z136" s="70">
        <v>119107.52399999999</v>
      </c>
      <c r="AA136" s="70">
        <v>119106.6776</v>
      </c>
      <c r="AB136" s="70">
        <v>0</v>
      </c>
      <c r="AC136" s="417">
        <v>0</v>
      </c>
      <c r="AD136" s="417">
        <v>0</v>
      </c>
      <c r="AE136" s="378">
        <v>4.2250000000000002E-4</v>
      </c>
      <c r="AF136" s="378"/>
      <c r="AG136" s="70">
        <v>10993</v>
      </c>
      <c r="AH136" s="70">
        <v>0</v>
      </c>
      <c r="AI136" s="70">
        <v>0</v>
      </c>
      <c r="AJ136" s="417">
        <v>0</v>
      </c>
      <c r="AK136" s="417">
        <v>0</v>
      </c>
      <c r="AL136" s="378">
        <v>4.2250000000000002E-4</v>
      </c>
      <c r="AM136" s="378"/>
      <c r="AN136" s="70">
        <v>-39160.561650000018</v>
      </c>
      <c r="AO136" s="70">
        <v>-34275.561650000018</v>
      </c>
      <c r="AP136" s="70">
        <v>-609.56165000001783</v>
      </c>
      <c r="AQ136" s="417">
        <v>0</v>
      </c>
      <c r="AR136" s="417">
        <v>0</v>
      </c>
    </row>
    <row r="137" spans="1:44">
      <c r="A137" s="439">
        <v>91213</v>
      </c>
      <c r="B137" s="440" t="s">
        <v>849</v>
      </c>
      <c r="C137" s="437">
        <v>2.5899999999999999E-5</v>
      </c>
      <c r="D137" s="441"/>
      <c r="E137" s="438">
        <v>20557.759875</v>
      </c>
      <c r="F137" s="442">
        <v>16939.667674999997</v>
      </c>
      <c r="G137" s="442">
        <v>7080.9192749999984</v>
      </c>
      <c r="H137" s="442">
        <v>23007.151299999998</v>
      </c>
      <c r="I137" s="442">
        <v>0</v>
      </c>
      <c r="J137" s="443">
        <v>2.2399999999999999E-5</v>
      </c>
      <c r="K137" s="443"/>
      <c r="L137" s="444">
        <v>4173.1893</v>
      </c>
      <c r="M137" s="444">
        <v>1711.1352999999999</v>
      </c>
      <c r="N137" s="444">
        <v>-205.72370000000001</v>
      </c>
      <c r="O137" s="444">
        <v>0</v>
      </c>
      <c r="P137" s="417">
        <v>0</v>
      </c>
      <c r="Q137" s="378">
        <v>2.2399999999999999E-5</v>
      </c>
      <c r="R137" s="378"/>
      <c r="S137" s="70">
        <v>10146.402700000001</v>
      </c>
      <c r="T137" s="105">
        <v>9496.416299999999</v>
      </c>
      <c r="U137" s="70">
        <v>5641.9005999999999</v>
      </c>
      <c r="V137" s="70">
        <v>23007.151299999998</v>
      </c>
      <c r="W137" s="417">
        <v>0</v>
      </c>
      <c r="X137" s="378">
        <v>2.2399999999999999E-5</v>
      </c>
      <c r="Z137" s="70">
        <v>7289.4254999999994</v>
      </c>
      <c r="AA137" s="70">
        <v>7289.3737000000001</v>
      </c>
      <c r="AB137" s="70">
        <v>0</v>
      </c>
      <c r="AC137" s="417">
        <v>0</v>
      </c>
      <c r="AD137" s="417">
        <v>0</v>
      </c>
      <c r="AE137" s="378">
        <v>2.2399999999999999E-5</v>
      </c>
      <c r="AF137" s="378"/>
      <c r="AG137" s="70">
        <v>2291.742374999998</v>
      </c>
      <c r="AH137" s="70">
        <v>1644.742374999998</v>
      </c>
      <c r="AI137" s="70">
        <v>1644.742374999998</v>
      </c>
      <c r="AJ137" s="417">
        <v>0</v>
      </c>
      <c r="AK137" s="417">
        <v>0</v>
      </c>
      <c r="AL137" s="378">
        <v>2.2399999999999999E-5</v>
      </c>
      <c r="AM137" s="378"/>
      <c r="AN137" s="70">
        <v>-3343</v>
      </c>
      <c r="AO137" s="70">
        <v>-3202</v>
      </c>
      <c r="AP137" s="70">
        <v>0</v>
      </c>
      <c r="AQ137" s="417">
        <v>0</v>
      </c>
      <c r="AR137" s="417">
        <v>0</v>
      </c>
    </row>
    <row r="138" spans="1:44">
      <c r="A138" s="439">
        <v>91214</v>
      </c>
      <c r="B138" s="440" t="s">
        <v>850</v>
      </c>
      <c r="C138" s="437">
        <v>3.4100000000000002E-5</v>
      </c>
      <c r="D138" s="441"/>
      <c r="E138" s="438">
        <v>22436.704825000001</v>
      </c>
      <c r="F138" s="442">
        <v>19655.317024999997</v>
      </c>
      <c r="G138" s="442">
        <v>4593.5054249999957</v>
      </c>
      <c r="H138" s="442">
        <v>30291.268700000001</v>
      </c>
      <c r="I138" s="442">
        <v>0</v>
      </c>
      <c r="J138" s="443">
        <v>3.5200000000000002E-5</v>
      </c>
      <c r="K138" s="443"/>
      <c r="L138" s="444">
        <v>5494.4307000000008</v>
      </c>
      <c r="M138" s="444">
        <v>2252.8847000000001</v>
      </c>
      <c r="N138" s="444">
        <v>-270.85630000000003</v>
      </c>
      <c r="O138" s="444">
        <v>0</v>
      </c>
      <c r="P138" s="417">
        <v>0</v>
      </c>
      <c r="Q138" s="378">
        <v>3.5200000000000002E-5</v>
      </c>
      <c r="R138" s="378"/>
      <c r="S138" s="70">
        <v>13358.777300000002</v>
      </c>
      <c r="T138" s="105">
        <v>12503.003700000001</v>
      </c>
      <c r="U138" s="70">
        <v>7428.1394</v>
      </c>
      <c r="V138" s="70">
        <v>30291.268700000001</v>
      </c>
      <c r="W138" s="417">
        <v>0</v>
      </c>
      <c r="X138" s="378">
        <v>3.5200000000000002E-5</v>
      </c>
      <c r="Z138" s="70">
        <v>9597.2745000000014</v>
      </c>
      <c r="AA138" s="70">
        <v>9597.2062999999998</v>
      </c>
      <c r="AB138" s="70">
        <v>0</v>
      </c>
      <c r="AC138" s="417">
        <v>0</v>
      </c>
      <c r="AD138" s="417">
        <v>0</v>
      </c>
      <c r="AE138" s="378">
        <v>3.5200000000000002E-5</v>
      </c>
      <c r="AF138" s="378"/>
      <c r="AG138" s="70">
        <v>154</v>
      </c>
      <c r="AH138" s="70">
        <v>0</v>
      </c>
      <c r="AI138" s="70">
        <v>0</v>
      </c>
      <c r="AJ138" s="417">
        <v>0</v>
      </c>
      <c r="AK138" s="417">
        <v>0</v>
      </c>
      <c r="AL138" s="378">
        <v>3.5200000000000002E-5</v>
      </c>
      <c r="AM138" s="378"/>
      <c r="AN138" s="70">
        <v>-6167.7776750000039</v>
      </c>
      <c r="AO138" s="70">
        <v>-4697.7776750000039</v>
      </c>
      <c r="AP138" s="70">
        <v>-2563.7776750000039</v>
      </c>
      <c r="AQ138" s="417">
        <v>0</v>
      </c>
      <c r="AR138" s="417">
        <v>0</v>
      </c>
    </row>
    <row r="139" spans="1:44">
      <c r="A139" s="439">
        <v>91217</v>
      </c>
      <c r="B139" s="440" t="s">
        <v>851</v>
      </c>
      <c r="C139" s="437">
        <v>2.5199999999999999E-5</v>
      </c>
      <c r="D139" s="441"/>
      <c r="E139" s="438">
        <v>30295.786749999999</v>
      </c>
      <c r="F139" s="442">
        <v>22888.80515</v>
      </c>
      <c r="G139" s="442">
        <v>5837.0499499999996</v>
      </c>
      <c r="H139" s="442">
        <v>22385.3364</v>
      </c>
      <c r="I139" s="442">
        <v>0</v>
      </c>
      <c r="J139" s="443">
        <v>2.6699999999999998E-5</v>
      </c>
      <c r="K139" s="443"/>
      <c r="L139" s="444">
        <v>4060.4004</v>
      </c>
      <c r="M139" s="444">
        <v>1664.8884</v>
      </c>
      <c r="N139" s="444">
        <v>-200.1636</v>
      </c>
      <c r="O139" s="444">
        <v>0</v>
      </c>
      <c r="P139" s="417">
        <v>0</v>
      </c>
      <c r="Q139" s="378">
        <v>2.6699999999999998E-5</v>
      </c>
      <c r="R139" s="378"/>
      <c r="S139" s="70">
        <v>9872.1756000000005</v>
      </c>
      <c r="T139" s="105">
        <v>9239.7564000000002</v>
      </c>
      <c r="U139" s="70">
        <v>5489.4168</v>
      </c>
      <c r="V139" s="70">
        <v>22385.3364</v>
      </c>
      <c r="W139" s="417">
        <v>0</v>
      </c>
      <c r="X139" s="378">
        <v>2.6699999999999998E-5</v>
      </c>
      <c r="Z139" s="70">
        <v>7092.4139999999998</v>
      </c>
      <c r="AA139" s="70">
        <v>7092.3635999999997</v>
      </c>
      <c r="AB139" s="70">
        <v>0</v>
      </c>
      <c r="AC139" s="417">
        <v>0</v>
      </c>
      <c r="AD139" s="417">
        <v>0</v>
      </c>
      <c r="AE139" s="378">
        <v>2.6699999999999998E-5</v>
      </c>
      <c r="AF139" s="378"/>
      <c r="AG139" s="70">
        <v>9270.7967499999995</v>
      </c>
      <c r="AH139" s="70">
        <v>4891.7967499999995</v>
      </c>
      <c r="AI139" s="70">
        <v>547.79674999999952</v>
      </c>
      <c r="AJ139" s="417">
        <v>0</v>
      </c>
      <c r="AK139" s="417">
        <v>0</v>
      </c>
      <c r="AL139" s="378">
        <v>2.6699999999999998E-5</v>
      </c>
      <c r="AM139" s="378"/>
      <c r="AN139" s="70">
        <v>0</v>
      </c>
      <c r="AO139" s="70">
        <v>0</v>
      </c>
      <c r="AP139" s="70">
        <v>0</v>
      </c>
      <c r="AQ139" s="417">
        <v>0</v>
      </c>
      <c r="AR139" s="417">
        <v>0</v>
      </c>
    </row>
    <row r="140" spans="1:44">
      <c r="A140" s="439">
        <v>91221</v>
      </c>
      <c r="B140" s="440" t="s">
        <v>852</v>
      </c>
      <c r="C140" s="437">
        <v>7.7999999999999999E-5</v>
      </c>
      <c r="D140" s="441"/>
      <c r="E140" s="438">
        <v>52498.817950000011</v>
      </c>
      <c r="F140" s="442">
        <v>47462.493950000011</v>
      </c>
      <c r="G140" s="442">
        <v>9011.9659500000125</v>
      </c>
      <c r="H140" s="442">
        <v>69287.945999999996</v>
      </c>
      <c r="I140" s="442">
        <v>0</v>
      </c>
      <c r="J140" s="443">
        <v>9.9099999999999996E-5</v>
      </c>
      <c r="K140" s="443"/>
      <c r="L140" s="444">
        <v>12567.905999999999</v>
      </c>
      <c r="M140" s="444">
        <v>5153.2259999999997</v>
      </c>
      <c r="N140" s="444">
        <v>-619.55399999999997</v>
      </c>
      <c r="O140" s="444">
        <v>0</v>
      </c>
      <c r="P140" s="417">
        <v>0</v>
      </c>
      <c r="Q140" s="378">
        <v>9.9099999999999996E-5</v>
      </c>
      <c r="R140" s="378"/>
      <c r="S140" s="70">
        <v>30556.734</v>
      </c>
      <c r="T140" s="105">
        <v>28599.245999999999</v>
      </c>
      <c r="U140" s="70">
        <v>16991.052</v>
      </c>
      <c r="V140" s="70">
        <v>69287.945999999996</v>
      </c>
      <c r="W140" s="417">
        <v>0</v>
      </c>
      <c r="X140" s="378">
        <v>9.9099999999999996E-5</v>
      </c>
      <c r="Z140" s="70">
        <v>21952.71</v>
      </c>
      <c r="AA140" s="70">
        <v>21952.554</v>
      </c>
      <c r="AB140" s="70">
        <v>0</v>
      </c>
      <c r="AC140" s="417">
        <v>0</v>
      </c>
      <c r="AD140" s="417">
        <v>0</v>
      </c>
      <c r="AE140" s="378">
        <v>9.9099999999999996E-5</v>
      </c>
      <c r="AF140" s="378"/>
      <c r="AG140" s="70">
        <v>0</v>
      </c>
      <c r="AH140" s="70">
        <v>0</v>
      </c>
      <c r="AI140" s="70">
        <v>0</v>
      </c>
      <c r="AJ140" s="417">
        <v>0</v>
      </c>
      <c r="AK140" s="417">
        <v>0</v>
      </c>
      <c r="AL140" s="378">
        <v>9.9099999999999996E-5</v>
      </c>
      <c r="AM140" s="378"/>
      <c r="AN140" s="70">
        <v>-12578.532049999987</v>
      </c>
      <c r="AO140" s="70">
        <v>-8242.5320499999871</v>
      </c>
      <c r="AP140" s="70">
        <v>-7359.5320499999871</v>
      </c>
      <c r="AQ140" s="417">
        <v>0</v>
      </c>
      <c r="AR140" s="417">
        <v>0</v>
      </c>
    </row>
    <row r="141" spans="1:44">
      <c r="A141" s="439">
        <v>91231</v>
      </c>
      <c r="B141" s="440" t="s">
        <v>853</v>
      </c>
      <c r="C141" s="437">
        <v>1.7933000000000001E-3</v>
      </c>
      <c r="D141" s="441"/>
      <c r="E141" s="438">
        <v>1441306.5467750002</v>
      </c>
      <c r="F141" s="442">
        <v>1202653.2053749999</v>
      </c>
      <c r="G141" s="442">
        <v>332161.05457500007</v>
      </c>
      <c r="H141" s="442">
        <v>1593000.9431</v>
      </c>
      <c r="I141" s="442">
        <v>0</v>
      </c>
      <c r="J141" s="443">
        <v>1.8575E-3</v>
      </c>
      <c r="K141" s="443"/>
      <c r="L141" s="444">
        <v>288949.0491</v>
      </c>
      <c r="M141" s="444">
        <v>118477.95110000001</v>
      </c>
      <c r="N141" s="444">
        <v>-14244.1819</v>
      </c>
      <c r="O141" s="444">
        <v>0</v>
      </c>
      <c r="P141" s="417">
        <v>0</v>
      </c>
      <c r="Q141" s="378">
        <v>1.8575E-3</v>
      </c>
      <c r="R141" s="378"/>
      <c r="S141" s="70">
        <v>702530.65489999996</v>
      </c>
      <c r="T141" s="105">
        <v>657525.99809999997</v>
      </c>
      <c r="U141" s="70">
        <v>390641.71220000001</v>
      </c>
      <c r="V141" s="70">
        <v>1593000.9431</v>
      </c>
      <c r="W141" s="417">
        <v>0</v>
      </c>
      <c r="X141" s="378">
        <v>1.8575E-3</v>
      </c>
      <c r="Z141" s="70">
        <v>504715.31849999999</v>
      </c>
      <c r="AA141" s="70">
        <v>504711.73190000001</v>
      </c>
      <c r="AB141" s="70">
        <v>0</v>
      </c>
      <c r="AC141" s="417">
        <v>0</v>
      </c>
      <c r="AD141" s="417">
        <v>0</v>
      </c>
      <c r="AE141" s="378">
        <v>1.8575E-3</v>
      </c>
      <c r="AF141" s="378"/>
      <c r="AG141" s="70">
        <v>23174</v>
      </c>
      <c r="AH141" s="70">
        <v>0</v>
      </c>
      <c r="AI141" s="70">
        <v>0</v>
      </c>
      <c r="AJ141" s="417">
        <v>0</v>
      </c>
      <c r="AK141" s="417">
        <v>0</v>
      </c>
      <c r="AL141" s="378">
        <v>1.8575E-3</v>
      </c>
      <c r="AM141" s="378"/>
      <c r="AN141" s="70">
        <v>-78062.475724999909</v>
      </c>
      <c r="AO141" s="70">
        <v>-78062.475724999909</v>
      </c>
      <c r="AP141" s="70">
        <v>-44236.475724999909</v>
      </c>
      <c r="AQ141" s="417">
        <v>0</v>
      </c>
      <c r="AR141" s="417">
        <v>0</v>
      </c>
    </row>
    <row r="142" spans="1:44">
      <c r="A142" s="439">
        <v>91233</v>
      </c>
      <c r="B142" s="440" t="s">
        <v>854</v>
      </c>
      <c r="C142" s="437">
        <v>6.69E-5</v>
      </c>
      <c r="D142" s="441"/>
      <c r="E142" s="438">
        <v>54718.830725000007</v>
      </c>
      <c r="F142" s="442">
        <v>44341.260525000005</v>
      </c>
      <c r="G142" s="442">
        <v>13440.196125000006</v>
      </c>
      <c r="H142" s="442">
        <v>59427.738299999997</v>
      </c>
      <c r="I142" s="442">
        <v>0</v>
      </c>
      <c r="J142" s="443">
        <v>6.5199999999999999E-5</v>
      </c>
      <c r="K142" s="443"/>
      <c r="L142" s="444">
        <v>10779.3963</v>
      </c>
      <c r="M142" s="444">
        <v>4419.8823000000002</v>
      </c>
      <c r="N142" s="444">
        <v>-531.38670000000002</v>
      </c>
      <c r="O142" s="444">
        <v>0</v>
      </c>
      <c r="P142" s="417">
        <v>0</v>
      </c>
      <c r="Q142" s="378">
        <v>6.5199999999999999E-5</v>
      </c>
      <c r="R142" s="378"/>
      <c r="S142" s="70">
        <v>26208.275699999998</v>
      </c>
      <c r="T142" s="105">
        <v>24529.353299999999</v>
      </c>
      <c r="U142" s="70">
        <v>14573.0946</v>
      </c>
      <c r="V142" s="70">
        <v>59427.738299999997</v>
      </c>
      <c r="W142" s="417">
        <v>0</v>
      </c>
      <c r="X142" s="378">
        <v>6.5199999999999999E-5</v>
      </c>
      <c r="Z142" s="70">
        <v>18828.6705</v>
      </c>
      <c r="AA142" s="70">
        <v>18828.536700000001</v>
      </c>
      <c r="AB142" s="70">
        <v>0</v>
      </c>
      <c r="AC142" s="417">
        <v>0</v>
      </c>
      <c r="AD142" s="417">
        <v>0</v>
      </c>
      <c r="AE142" s="378">
        <v>6.5199999999999999E-5</v>
      </c>
      <c r="AF142" s="378"/>
      <c r="AG142" s="70">
        <v>2339</v>
      </c>
      <c r="AH142" s="70">
        <v>0</v>
      </c>
      <c r="AI142" s="70">
        <v>0</v>
      </c>
      <c r="AJ142" s="417">
        <v>0</v>
      </c>
      <c r="AK142" s="417">
        <v>0</v>
      </c>
      <c r="AL142" s="378">
        <v>6.5199999999999999E-5</v>
      </c>
      <c r="AM142" s="378"/>
      <c r="AN142" s="70">
        <v>-3436.5117749999954</v>
      </c>
      <c r="AO142" s="70">
        <v>-3436.5117749999954</v>
      </c>
      <c r="AP142" s="70">
        <v>-601.5117749999954</v>
      </c>
      <c r="AQ142" s="417">
        <v>0</v>
      </c>
      <c r="AR142" s="417">
        <v>0</v>
      </c>
    </row>
    <row r="143" spans="1:44">
      <c r="A143" s="439">
        <v>91241</v>
      </c>
      <c r="B143" s="440" t="s">
        <v>855</v>
      </c>
      <c r="C143" s="437">
        <v>3.5800000000000003E-5</v>
      </c>
      <c r="D143" s="441"/>
      <c r="E143" s="438">
        <v>23608.21615</v>
      </c>
      <c r="F143" s="442">
        <v>27654.55975</v>
      </c>
      <c r="G143" s="442">
        <v>7649.4789500000024</v>
      </c>
      <c r="H143" s="442">
        <v>31801.390600000002</v>
      </c>
      <c r="I143" s="442">
        <v>0</v>
      </c>
      <c r="J143" s="443">
        <v>3.4999999999999997E-5</v>
      </c>
      <c r="K143" s="443"/>
      <c r="L143" s="444">
        <v>5768.3466000000008</v>
      </c>
      <c r="M143" s="444">
        <v>2365.1986000000002</v>
      </c>
      <c r="N143" s="444">
        <v>-284.35940000000005</v>
      </c>
      <c r="O143" s="444">
        <v>0</v>
      </c>
      <c r="P143" s="417">
        <v>0</v>
      </c>
      <c r="Q143" s="378">
        <v>3.4999999999999997E-5</v>
      </c>
      <c r="R143" s="378"/>
      <c r="S143" s="70">
        <v>14024.7574</v>
      </c>
      <c r="T143" s="105">
        <v>13126.320600000001</v>
      </c>
      <c r="U143" s="70">
        <v>7798.4572000000007</v>
      </c>
      <c r="V143" s="70">
        <v>31801.390600000002</v>
      </c>
      <c r="W143" s="417">
        <v>0</v>
      </c>
      <c r="X143" s="378">
        <v>3.4999999999999997E-5</v>
      </c>
      <c r="Z143" s="70">
        <v>10075.731000000002</v>
      </c>
      <c r="AA143" s="70">
        <v>10075.6594</v>
      </c>
      <c r="AB143" s="70">
        <v>0</v>
      </c>
      <c r="AC143" s="417">
        <v>0</v>
      </c>
      <c r="AD143" s="417">
        <v>0</v>
      </c>
      <c r="AE143" s="378">
        <v>3.4999999999999997E-5</v>
      </c>
      <c r="AF143" s="378"/>
      <c r="AG143" s="70">
        <v>2565.381150000002</v>
      </c>
      <c r="AH143" s="70">
        <v>2087.381150000002</v>
      </c>
      <c r="AI143" s="70">
        <v>135.38115000000198</v>
      </c>
      <c r="AJ143" s="417">
        <v>0</v>
      </c>
      <c r="AK143" s="417">
        <v>0</v>
      </c>
      <c r="AL143" s="378">
        <v>3.4999999999999997E-5</v>
      </c>
      <c r="AM143" s="378"/>
      <c r="AN143" s="70">
        <v>-8826</v>
      </c>
      <c r="AO143" s="70">
        <v>0</v>
      </c>
      <c r="AP143" s="70">
        <v>0</v>
      </c>
      <c r="AQ143" s="417">
        <v>0</v>
      </c>
      <c r="AR143" s="417">
        <v>0</v>
      </c>
    </row>
    <row r="144" spans="1:44">
      <c r="A144" s="439">
        <v>91251</v>
      </c>
      <c r="B144" s="440" t="s">
        <v>856</v>
      </c>
      <c r="C144" s="437">
        <v>3.2100000000000001E-5</v>
      </c>
      <c r="D144" s="441"/>
      <c r="E144" s="438">
        <v>28374.753425000003</v>
      </c>
      <c r="F144" s="442">
        <v>24203.681625000005</v>
      </c>
      <c r="G144" s="442">
        <v>8186.4220250000044</v>
      </c>
      <c r="H144" s="442">
        <v>28514.654699999999</v>
      </c>
      <c r="I144" s="442">
        <v>0</v>
      </c>
      <c r="J144" s="443">
        <v>2.6999999999999999E-5</v>
      </c>
      <c r="K144" s="443"/>
      <c r="L144" s="444">
        <v>5172.1767</v>
      </c>
      <c r="M144" s="444">
        <v>2120.7507000000001</v>
      </c>
      <c r="N144" s="444">
        <v>-254.97030000000001</v>
      </c>
      <c r="O144" s="444">
        <v>0</v>
      </c>
      <c r="P144" s="417">
        <v>0</v>
      </c>
      <c r="Q144" s="378">
        <v>2.6999999999999999E-5</v>
      </c>
      <c r="R144" s="378"/>
      <c r="S144" s="70">
        <v>12575.2713</v>
      </c>
      <c r="T144" s="105">
        <v>11769.689700000001</v>
      </c>
      <c r="U144" s="70">
        <v>6992.4714000000004</v>
      </c>
      <c r="V144" s="70">
        <v>28514.654699999999</v>
      </c>
      <c r="W144" s="417">
        <v>0</v>
      </c>
      <c r="X144" s="378">
        <v>2.6999999999999999E-5</v>
      </c>
      <c r="Z144" s="70">
        <v>9034.3845000000001</v>
      </c>
      <c r="AA144" s="70">
        <v>9034.3202999999994</v>
      </c>
      <c r="AB144" s="70">
        <v>0</v>
      </c>
      <c r="AC144" s="417">
        <v>0</v>
      </c>
      <c r="AD144" s="417">
        <v>0</v>
      </c>
      <c r="AE144" s="378">
        <v>2.6999999999999999E-5</v>
      </c>
      <c r="AF144" s="378"/>
      <c r="AG144" s="70">
        <v>3568.920925000004</v>
      </c>
      <c r="AH144" s="70">
        <v>1448.920925000004</v>
      </c>
      <c r="AI144" s="70">
        <v>1448.920925000004</v>
      </c>
      <c r="AJ144" s="417">
        <v>0</v>
      </c>
      <c r="AK144" s="417">
        <v>0</v>
      </c>
      <c r="AL144" s="378">
        <v>2.6999999999999999E-5</v>
      </c>
      <c r="AM144" s="378"/>
      <c r="AN144" s="70">
        <v>-1976</v>
      </c>
      <c r="AO144" s="70">
        <v>-170</v>
      </c>
      <c r="AP144" s="70">
        <v>0</v>
      </c>
      <c r="AQ144" s="417">
        <v>0</v>
      </c>
      <c r="AR144" s="417">
        <v>0</v>
      </c>
    </row>
    <row r="145" spans="1:44">
      <c r="A145" s="439">
        <v>91261</v>
      </c>
      <c r="B145" s="440" t="s">
        <v>857</v>
      </c>
      <c r="C145" s="437">
        <v>9.5000000000000005E-6</v>
      </c>
      <c r="D145" s="441"/>
      <c r="E145" s="438">
        <v>6318.035025000001</v>
      </c>
      <c r="F145" s="442">
        <v>5915.5340250000008</v>
      </c>
      <c r="G145" s="442">
        <v>1536.9120250000003</v>
      </c>
      <c r="H145" s="442">
        <v>8438.9165000000012</v>
      </c>
      <c r="I145" s="442">
        <v>0</v>
      </c>
      <c r="J145" s="443">
        <v>9.7000000000000003E-6</v>
      </c>
      <c r="K145" s="443"/>
      <c r="L145" s="444">
        <v>1530.7065</v>
      </c>
      <c r="M145" s="444">
        <v>627.63650000000007</v>
      </c>
      <c r="N145" s="444">
        <v>-75.458500000000001</v>
      </c>
      <c r="O145" s="444">
        <v>0</v>
      </c>
      <c r="P145" s="417">
        <v>0</v>
      </c>
      <c r="Q145" s="378">
        <v>9.7000000000000003E-6</v>
      </c>
      <c r="R145" s="378"/>
      <c r="S145" s="70">
        <v>3721.6535000000003</v>
      </c>
      <c r="T145" s="105">
        <v>3483.2415000000001</v>
      </c>
      <c r="U145" s="70">
        <v>2069.4230000000002</v>
      </c>
      <c r="V145" s="70">
        <v>8438.9165000000012</v>
      </c>
      <c r="W145" s="417">
        <v>0</v>
      </c>
      <c r="X145" s="378">
        <v>9.7000000000000003E-6</v>
      </c>
      <c r="Z145" s="70">
        <v>2673.7275</v>
      </c>
      <c r="AA145" s="70">
        <v>2673.7085000000002</v>
      </c>
      <c r="AB145" s="70">
        <v>0</v>
      </c>
      <c r="AC145" s="417">
        <v>0</v>
      </c>
      <c r="AD145" s="417">
        <v>0</v>
      </c>
      <c r="AE145" s="378">
        <v>9.7000000000000003E-6</v>
      </c>
      <c r="AF145" s="378"/>
      <c r="AG145" s="70">
        <v>0</v>
      </c>
      <c r="AH145" s="70">
        <v>0</v>
      </c>
      <c r="AI145" s="70">
        <v>0</v>
      </c>
      <c r="AJ145" s="417">
        <v>0</v>
      </c>
      <c r="AK145" s="417">
        <v>0</v>
      </c>
      <c r="AL145" s="378">
        <v>9.7000000000000003E-6</v>
      </c>
      <c r="AM145" s="378"/>
      <c r="AN145" s="70">
        <v>-1608.052475</v>
      </c>
      <c r="AO145" s="70">
        <v>-869.05247499999996</v>
      </c>
      <c r="AP145" s="70">
        <v>-457.05247499999996</v>
      </c>
      <c r="AQ145" s="417">
        <v>0</v>
      </c>
      <c r="AR145" s="417">
        <v>0</v>
      </c>
    </row>
    <row r="146" spans="1:44">
      <c r="A146" s="439">
        <v>91301</v>
      </c>
      <c r="B146" s="440" t="s">
        <v>858</v>
      </c>
      <c r="C146" s="437">
        <v>8.6893000000000005E-3</v>
      </c>
      <c r="D146" s="441"/>
      <c r="E146" s="438">
        <v>7503032.3344250005</v>
      </c>
      <c r="F146" s="442">
        <v>6341143.4250250012</v>
      </c>
      <c r="G146" s="442">
        <v>1940019.9782250004</v>
      </c>
      <c r="H146" s="442">
        <v>7718766.0151000004</v>
      </c>
      <c r="I146" s="442">
        <v>0</v>
      </c>
      <c r="J146" s="443">
        <v>8.3421999999999993E-3</v>
      </c>
      <c r="K146" s="443"/>
      <c r="L146" s="444">
        <v>1400080.8411000001</v>
      </c>
      <c r="M146" s="444">
        <v>574075.98310000007</v>
      </c>
      <c r="N146" s="444">
        <v>-69019.10990000001</v>
      </c>
      <c r="O146" s="444">
        <v>0</v>
      </c>
      <c r="P146" s="417">
        <v>0</v>
      </c>
      <c r="Q146" s="378">
        <v>8.3421999999999993E-3</v>
      </c>
      <c r="R146" s="378"/>
      <c r="S146" s="70">
        <v>3404059.3429</v>
      </c>
      <c r="T146" s="105">
        <v>3185992.6701000002</v>
      </c>
      <c r="U146" s="70">
        <v>1892824.9762000002</v>
      </c>
      <c r="V146" s="70">
        <v>7718766.0151000004</v>
      </c>
      <c r="W146" s="417">
        <v>0</v>
      </c>
      <c r="X146" s="378">
        <v>8.3421999999999993E-3</v>
      </c>
      <c r="Z146" s="70">
        <v>2445560.0385000003</v>
      </c>
      <c r="AA146" s="70">
        <v>2445542.6599000003</v>
      </c>
      <c r="AB146" s="70">
        <v>0</v>
      </c>
      <c r="AC146" s="417">
        <v>0</v>
      </c>
      <c r="AD146" s="417">
        <v>0</v>
      </c>
      <c r="AE146" s="378">
        <v>8.3421999999999993E-3</v>
      </c>
      <c r="AF146" s="378"/>
      <c r="AG146" s="70">
        <v>253332.11192500032</v>
      </c>
      <c r="AH146" s="70">
        <v>135532.11192500032</v>
      </c>
      <c r="AI146" s="70">
        <v>116214.11192500032</v>
      </c>
      <c r="AJ146" s="417">
        <v>0</v>
      </c>
      <c r="AK146" s="417">
        <v>0</v>
      </c>
      <c r="AL146" s="378">
        <v>8.3421999999999993E-3</v>
      </c>
      <c r="AM146" s="378"/>
      <c r="AN146" s="70">
        <v>0</v>
      </c>
      <c r="AO146" s="70">
        <v>0</v>
      </c>
      <c r="AP146" s="70">
        <v>0</v>
      </c>
      <c r="AQ146" s="417">
        <v>0</v>
      </c>
      <c r="AR146" s="417">
        <v>0</v>
      </c>
    </row>
    <row r="147" spans="1:44">
      <c r="A147" s="439">
        <v>91302</v>
      </c>
      <c r="B147" s="440" t="s">
        <v>859</v>
      </c>
      <c r="C147" s="437">
        <v>5.3209999999999998E-4</v>
      </c>
      <c r="D147" s="441"/>
      <c r="E147" s="438">
        <v>443572.55057499994</v>
      </c>
      <c r="F147" s="442">
        <v>394311.47877499997</v>
      </c>
      <c r="G147" s="442">
        <v>119367.21917499998</v>
      </c>
      <c r="H147" s="442">
        <v>472668.15469999996</v>
      </c>
      <c r="I147" s="442">
        <v>0</v>
      </c>
      <c r="J147" s="443">
        <v>5.1170000000000002E-4</v>
      </c>
      <c r="K147" s="443"/>
      <c r="L147" s="444">
        <v>85735.676699999996</v>
      </c>
      <c r="M147" s="444">
        <v>35154.250699999997</v>
      </c>
      <c r="N147" s="444">
        <v>-4226.4703</v>
      </c>
      <c r="O147" s="444">
        <v>0</v>
      </c>
      <c r="P147" s="417">
        <v>0</v>
      </c>
      <c r="Q147" s="378">
        <v>5.1170000000000002E-4</v>
      </c>
      <c r="R147" s="378"/>
      <c r="S147" s="70">
        <v>208451.77129999999</v>
      </c>
      <c r="T147" s="105">
        <v>195098.18969999999</v>
      </c>
      <c r="U147" s="70">
        <v>115909.47139999999</v>
      </c>
      <c r="V147" s="70">
        <v>472668.15469999996</v>
      </c>
      <c r="W147" s="417">
        <v>0</v>
      </c>
      <c r="X147" s="378">
        <v>5.1170000000000002E-4</v>
      </c>
      <c r="Z147" s="70">
        <v>149756.88449999999</v>
      </c>
      <c r="AA147" s="70">
        <v>149755.82029999999</v>
      </c>
      <c r="AB147" s="70">
        <v>0</v>
      </c>
      <c r="AC147" s="417">
        <v>0</v>
      </c>
      <c r="AD147" s="417">
        <v>0</v>
      </c>
      <c r="AE147" s="378">
        <v>5.1170000000000002E-4</v>
      </c>
      <c r="AF147" s="378"/>
      <c r="AG147" s="70">
        <v>14303.218074999982</v>
      </c>
      <c r="AH147" s="70">
        <v>14303.218074999982</v>
      </c>
      <c r="AI147" s="70">
        <v>7684.2180749999825</v>
      </c>
      <c r="AJ147" s="417">
        <v>0</v>
      </c>
      <c r="AK147" s="417">
        <v>0</v>
      </c>
      <c r="AL147" s="378">
        <v>5.1170000000000002E-4</v>
      </c>
      <c r="AM147" s="378"/>
      <c r="AN147" s="70">
        <v>-14675</v>
      </c>
      <c r="AO147" s="70">
        <v>0</v>
      </c>
      <c r="AP147" s="70">
        <v>0</v>
      </c>
      <c r="AQ147" s="417">
        <v>0</v>
      </c>
      <c r="AR147" s="417">
        <v>0</v>
      </c>
    </row>
    <row r="148" spans="1:44">
      <c r="A148" s="439">
        <v>91306</v>
      </c>
      <c r="B148" s="440" t="s">
        <v>860</v>
      </c>
      <c r="C148" s="437">
        <v>2.1952999999999999E-3</v>
      </c>
      <c r="D148" s="441"/>
      <c r="E148" s="438">
        <v>2006516.4489249997</v>
      </c>
      <c r="F148" s="442">
        <v>1749503.5915249996</v>
      </c>
      <c r="G148" s="442">
        <v>596544.48872499994</v>
      </c>
      <c r="H148" s="442">
        <v>1950100.3570999999</v>
      </c>
      <c r="I148" s="442">
        <v>0</v>
      </c>
      <c r="J148" s="443">
        <v>1.9042E-3</v>
      </c>
      <c r="K148" s="443"/>
      <c r="L148" s="444">
        <v>353722.10309999995</v>
      </c>
      <c r="M148" s="444">
        <v>145036.88509999998</v>
      </c>
      <c r="N148" s="444">
        <v>-17437.267899999999</v>
      </c>
      <c r="O148" s="444">
        <v>0</v>
      </c>
      <c r="P148" s="417">
        <v>0</v>
      </c>
      <c r="Q148" s="378">
        <v>1.9042E-3</v>
      </c>
      <c r="R148" s="378"/>
      <c r="S148" s="70">
        <v>860015.36089999997</v>
      </c>
      <c r="T148" s="105">
        <v>804922.11209999991</v>
      </c>
      <c r="U148" s="70">
        <v>478210.98019999999</v>
      </c>
      <c r="V148" s="70">
        <v>1950100.3570999999</v>
      </c>
      <c r="W148" s="417">
        <v>0</v>
      </c>
      <c r="X148" s="378">
        <v>1.9042E-3</v>
      </c>
      <c r="Z148" s="70">
        <v>617856.20849999995</v>
      </c>
      <c r="AA148" s="70">
        <v>617851.81789999991</v>
      </c>
      <c r="AB148" s="70">
        <v>0</v>
      </c>
      <c r="AC148" s="417">
        <v>0</v>
      </c>
      <c r="AD148" s="417">
        <v>0</v>
      </c>
      <c r="AE148" s="378">
        <v>1.9042E-3</v>
      </c>
      <c r="AF148" s="378"/>
      <c r="AG148" s="70">
        <v>181692.77642499993</v>
      </c>
      <c r="AH148" s="70">
        <v>181692.77642499993</v>
      </c>
      <c r="AI148" s="70">
        <v>135770.77642499993</v>
      </c>
      <c r="AJ148" s="417">
        <v>0</v>
      </c>
      <c r="AK148" s="417">
        <v>0</v>
      </c>
      <c r="AL148" s="378">
        <v>1.9042E-3</v>
      </c>
      <c r="AM148" s="378"/>
      <c r="AN148" s="70">
        <v>-6770</v>
      </c>
      <c r="AO148" s="70">
        <v>0</v>
      </c>
      <c r="AP148" s="70">
        <v>0</v>
      </c>
      <c r="AQ148" s="417">
        <v>0</v>
      </c>
      <c r="AR148" s="417">
        <v>0</v>
      </c>
    </row>
    <row r="149" spans="1:44">
      <c r="A149" s="439">
        <v>91308</v>
      </c>
      <c r="B149" s="440" t="s">
        <v>861</v>
      </c>
      <c r="C149" s="437">
        <v>1.127E-4</v>
      </c>
      <c r="D149" s="441"/>
      <c r="E149" s="438">
        <v>62717.259774999999</v>
      </c>
      <c r="F149" s="442">
        <v>55209.453175000002</v>
      </c>
      <c r="G149" s="442">
        <v>31227.54797499999</v>
      </c>
      <c r="H149" s="442">
        <v>100112.1989</v>
      </c>
      <c r="I149" s="442">
        <v>0</v>
      </c>
      <c r="J149" s="443">
        <v>1.0340000000000001E-4</v>
      </c>
      <c r="K149" s="443"/>
      <c r="L149" s="444">
        <v>18159.012900000002</v>
      </c>
      <c r="M149" s="444">
        <v>7445.7509</v>
      </c>
      <c r="N149" s="444">
        <v>-895.17610000000002</v>
      </c>
      <c r="O149" s="444">
        <v>0</v>
      </c>
      <c r="P149" s="417">
        <v>0</v>
      </c>
      <c r="Q149" s="378">
        <v>1.0340000000000001E-4</v>
      </c>
      <c r="R149" s="378"/>
      <c r="S149" s="70">
        <v>44150.563099999999</v>
      </c>
      <c r="T149" s="105">
        <v>41322.243900000001</v>
      </c>
      <c r="U149" s="70">
        <v>24549.891800000001</v>
      </c>
      <c r="V149" s="70">
        <v>100112.1989</v>
      </c>
      <c r="W149" s="417">
        <v>0</v>
      </c>
      <c r="X149" s="378">
        <v>1.0340000000000001E-4</v>
      </c>
      <c r="Z149" s="70">
        <v>31718.851500000001</v>
      </c>
      <c r="AA149" s="70">
        <v>31718.626100000001</v>
      </c>
      <c r="AB149" s="70">
        <v>0</v>
      </c>
      <c r="AC149" s="417">
        <v>0</v>
      </c>
      <c r="AD149" s="417">
        <v>0</v>
      </c>
      <c r="AE149" s="378">
        <v>1.0340000000000001E-4</v>
      </c>
      <c r="AF149" s="378"/>
      <c r="AG149" s="70">
        <v>7572.8322749999897</v>
      </c>
      <c r="AH149" s="70">
        <v>7572.8322749999897</v>
      </c>
      <c r="AI149" s="70">
        <v>7572.8322749999897</v>
      </c>
      <c r="AJ149" s="417">
        <v>0</v>
      </c>
      <c r="AK149" s="417">
        <v>0</v>
      </c>
      <c r="AL149" s="378">
        <v>1.0340000000000001E-4</v>
      </c>
      <c r="AM149" s="378"/>
      <c r="AN149" s="70">
        <v>-38884</v>
      </c>
      <c r="AO149" s="70">
        <v>-32850</v>
      </c>
      <c r="AP149" s="70">
        <v>0</v>
      </c>
      <c r="AQ149" s="417">
        <v>0</v>
      </c>
      <c r="AR149" s="417">
        <v>0</v>
      </c>
    </row>
    <row r="150" spans="1:44">
      <c r="A150" s="439">
        <v>91311</v>
      </c>
      <c r="B150" s="440" t="s">
        <v>862</v>
      </c>
      <c r="C150" s="437">
        <v>8.6487999999999999E-3</v>
      </c>
      <c r="D150" s="441"/>
      <c r="E150" s="438">
        <v>7395485.4565000003</v>
      </c>
      <c r="F150" s="442">
        <v>6147607.9461000003</v>
      </c>
      <c r="G150" s="442">
        <v>1749151.6773000003</v>
      </c>
      <c r="H150" s="442">
        <v>7682789.5816000002</v>
      </c>
      <c r="I150" s="442">
        <v>0</v>
      </c>
      <c r="J150" s="443">
        <v>8.6008000000000005E-3</v>
      </c>
      <c r="K150" s="443"/>
      <c r="L150" s="444">
        <v>1393555.1976000001</v>
      </c>
      <c r="M150" s="444">
        <v>571400.2696</v>
      </c>
      <c r="N150" s="444">
        <v>-68697.418399999995</v>
      </c>
      <c r="O150" s="444">
        <v>0</v>
      </c>
      <c r="P150" s="417">
        <v>0</v>
      </c>
      <c r="Q150" s="378">
        <v>8.6008000000000005E-3</v>
      </c>
      <c r="R150" s="378"/>
      <c r="S150" s="70">
        <v>3388193.3464000002</v>
      </c>
      <c r="T150" s="105">
        <v>3171143.0616000001</v>
      </c>
      <c r="U150" s="70">
        <v>1884002.6991999999</v>
      </c>
      <c r="V150" s="70">
        <v>7682789.5816000002</v>
      </c>
      <c r="W150" s="417">
        <v>0</v>
      </c>
      <c r="X150" s="378">
        <v>8.6008000000000005E-3</v>
      </c>
      <c r="Z150" s="70">
        <v>2434161.5159999998</v>
      </c>
      <c r="AA150" s="70">
        <v>2434144.2184000001</v>
      </c>
      <c r="AB150" s="70">
        <v>0</v>
      </c>
      <c r="AC150" s="417">
        <v>0</v>
      </c>
      <c r="AD150" s="417">
        <v>0</v>
      </c>
      <c r="AE150" s="378">
        <v>8.6008000000000005E-3</v>
      </c>
      <c r="AF150" s="378"/>
      <c r="AG150" s="70">
        <v>245729</v>
      </c>
      <c r="AH150" s="70">
        <v>37074</v>
      </c>
      <c r="AI150" s="70">
        <v>0</v>
      </c>
      <c r="AJ150" s="417">
        <v>0</v>
      </c>
      <c r="AK150" s="417">
        <v>0</v>
      </c>
      <c r="AL150" s="378">
        <v>8.6008000000000005E-3</v>
      </c>
      <c r="AM150" s="378"/>
      <c r="AN150" s="70">
        <v>-66153.603499999503</v>
      </c>
      <c r="AO150" s="70">
        <v>-66153.603499999503</v>
      </c>
      <c r="AP150" s="70">
        <v>-66153.603499999503</v>
      </c>
      <c r="AQ150" s="417">
        <v>0</v>
      </c>
      <c r="AR150" s="417">
        <v>0</v>
      </c>
    </row>
    <row r="151" spans="1:44">
      <c r="A151" s="439">
        <v>91317</v>
      </c>
      <c r="B151" s="440" t="s">
        <v>863</v>
      </c>
      <c r="C151" s="437">
        <v>1.5779999999999999E-4</v>
      </c>
      <c r="D151" s="441"/>
      <c r="E151" s="438">
        <v>168216.31234999999</v>
      </c>
      <c r="F151" s="442">
        <v>132258.37995</v>
      </c>
      <c r="G151" s="442">
        <v>42082.62715</v>
      </c>
      <c r="H151" s="442">
        <v>140174.84459999998</v>
      </c>
      <c r="I151" s="442">
        <v>0</v>
      </c>
      <c r="J151" s="443">
        <v>1.416E-4</v>
      </c>
      <c r="K151" s="443"/>
      <c r="L151" s="444">
        <v>25425.8406</v>
      </c>
      <c r="M151" s="444">
        <v>10425.372599999999</v>
      </c>
      <c r="N151" s="444">
        <v>-1253.4053999999999</v>
      </c>
      <c r="O151" s="444">
        <v>0</v>
      </c>
      <c r="P151" s="417">
        <v>0</v>
      </c>
      <c r="Q151" s="378">
        <v>1.416E-4</v>
      </c>
      <c r="R151" s="378"/>
      <c r="S151" s="70">
        <v>61818.623399999997</v>
      </c>
      <c r="T151" s="105">
        <v>57858.474599999994</v>
      </c>
      <c r="U151" s="70">
        <v>34374.205199999997</v>
      </c>
      <c r="V151" s="70">
        <v>140174.84459999998</v>
      </c>
      <c r="W151" s="417">
        <v>0</v>
      </c>
      <c r="X151" s="378">
        <v>1.416E-4</v>
      </c>
      <c r="Z151" s="70">
        <v>44412.020999999993</v>
      </c>
      <c r="AA151" s="70">
        <v>44411.705399999999</v>
      </c>
      <c r="AB151" s="70">
        <v>0</v>
      </c>
      <c r="AC151" s="417">
        <v>0</v>
      </c>
      <c r="AD151" s="417">
        <v>0</v>
      </c>
      <c r="AE151" s="378">
        <v>1.416E-4</v>
      </c>
      <c r="AF151" s="378"/>
      <c r="AG151" s="70">
        <v>36559.827350000007</v>
      </c>
      <c r="AH151" s="70">
        <v>19562.827350000007</v>
      </c>
      <c r="AI151" s="70">
        <v>8961.8273500000068</v>
      </c>
      <c r="AJ151" s="417">
        <v>0</v>
      </c>
      <c r="AK151" s="417">
        <v>0</v>
      </c>
      <c r="AL151" s="378">
        <v>1.416E-4</v>
      </c>
      <c r="AM151" s="378"/>
      <c r="AN151" s="70">
        <v>0</v>
      </c>
      <c r="AO151" s="70">
        <v>0</v>
      </c>
      <c r="AP151" s="70">
        <v>0</v>
      </c>
      <c r="AQ151" s="417">
        <v>0</v>
      </c>
      <c r="AR151" s="417">
        <v>0</v>
      </c>
    </row>
    <row r="152" spans="1:44">
      <c r="A152" s="439">
        <v>91321</v>
      </c>
      <c r="B152" s="440" t="s">
        <v>864</v>
      </c>
      <c r="C152" s="437">
        <v>5.7599999999999997E-5</v>
      </c>
      <c r="D152" s="441"/>
      <c r="E152" s="438">
        <v>52985.532299999992</v>
      </c>
      <c r="F152" s="442">
        <v>34505.431499999992</v>
      </c>
      <c r="G152" s="442">
        <v>7043.1339000000007</v>
      </c>
      <c r="H152" s="442">
        <v>51166.483199999995</v>
      </c>
      <c r="I152" s="442">
        <v>0</v>
      </c>
      <c r="J152" s="443">
        <v>6.6000000000000005E-5</v>
      </c>
      <c r="K152" s="443"/>
      <c r="L152" s="444">
        <v>9280.9151999999995</v>
      </c>
      <c r="M152" s="444">
        <v>3805.4591999999998</v>
      </c>
      <c r="N152" s="444">
        <v>-457.51679999999999</v>
      </c>
      <c r="O152" s="444">
        <v>0</v>
      </c>
      <c r="P152" s="417">
        <v>0</v>
      </c>
      <c r="Q152" s="378">
        <v>6.6000000000000005E-5</v>
      </c>
      <c r="R152" s="378"/>
      <c r="S152" s="70">
        <v>22564.9728</v>
      </c>
      <c r="T152" s="105">
        <v>21119.443199999998</v>
      </c>
      <c r="U152" s="70">
        <v>12547.2384</v>
      </c>
      <c r="V152" s="70">
        <v>51166.483199999995</v>
      </c>
      <c r="W152" s="417">
        <v>0</v>
      </c>
      <c r="X152" s="378">
        <v>6.6000000000000005E-5</v>
      </c>
      <c r="Z152" s="70">
        <v>16211.232</v>
      </c>
      <c r="AA152" s="70">
        <v>16211.1168</v>
      </c>
      <c r="AB152" s="70">
        <v>0</v>
      </c>
      <c r="AC152" s="417">
        <v>0</v>
      </c>
      <c r="AD152" s="417">
        <v>0</v>
      </c>
      <c r="AE152" s="378">
        <v>6.6000000000000005E-5</v>
      </c>
      <c r="AF152" s="378"/>
      <c r="AG152" s="70">
        <v>11559</v>
      </c>
      <c r="AH152" s="70">
        <v>0</v>
      </c>
      <c r="AI152" s="70">
        <v>0</v>
      </c>
      <c r="AJ152" s="417">
        <v>0</v>
      </c>
      <c r="AK152" s="417">
        <v>0</v>
      </c>
      <c r="AL152" s="378">
        <v>6.6000000000000005E-5</v>
      </c>
      <c r="AM152" s="378"/>
      <c r="AN152" s="70">
        <v>-6630.5877</v>
      </c>
      <c r="AO152" s="70">
        <v>-6630.5877</v>
      </c>
      <c r="AP152" s="70">
        <v>-5046.5877</v>
      </c>
      <c r="AQ152" s="417">
        <v>0</v>
      </c>
      <c r="AR152" s="417">
        <v>0</v>
      </c>
    </row>
    <row r="153" spans="1:44">
      <c r="A153" s="439">
        <v>91327</v>
      </c>
      <c r="B153" s="440" t="s">
        <v>865</v>
      </c>
      <c r="C153" s="437">
        <v>9.3999999999999998E-6</v>
      </c>
      <c r="D153" s="441"/>
      <c r="E153" s="438">
        <v>9448.5342000000019</v>
      </c>
      <c r="F153" s="442">
        <v>11890.049000000001</v>
      </c>
      <c r="G153" s="442">
        <v>1292.8546000000015</v>
      </c>
      <c r="H153" s="442">
        <v>8350.0857999999989</v>
      </c>
      <c r="I153" s="442">
        <v>0</v>
      </c>
      <c r="J153" s="443">
        <v>1.0499999999999999E-5</v>
      </c>
      <c r="K153" s="443"/>
      <c r="L153" s="444">
        <v>1514.5937999999999</v>
      </c>
      <c r="M153" s="444">
        <v>621.02980000000002</v>
      </c>
      <c r="N153" s="444">
        <v>-74.664199999999994</v>
      </c>
      <c r="O153" s="444">
        <v>0</v>
      </c>
      <c r="P153" s="417">
        <v>0</v>
      </c>
      <c r="Q153" s="378">
        <v>1.0499999999999999E-5</v>
      </c>
      <c r="R153" s="378"/>
      <c r="S153" s="70">
        <v>3682.4782</v>
      </c>
      <c r="T153" s="105">
        <v>3446.5758000000001</v>
      </c>
      <c r="U153" s="70">
        <v>2047.6396</v>
      </c>
      <c r="V153" s="70">
        <v>8350.0857999999989</v>
      </c>
      <c r="W153" s="417">
        <v>0</v>
      </c>
      <c r="X153" s="378">
        <v>1.0499999999999999E-5</v>
      </c>
      <c r="Z153" s="70">
        <v>2645.5830000000001</v>
      </c>
      <c r="AA153" s="70">
        <v>2645.5641999999998</v>
      </c>
      <c r="AB153" s="70">
        <v>0</v>
      </c>
      <c r="AC153" s="417">
        <v>0</v>
      </c>
      <c r="AD153" s="417">
        <v>0</v>
      </c>
      <c r="AE153" s="378">
        <v>1.0499999999999999E-5</v>
      </c>
      <c r="AF153" s="378"/>
      <c r="AG153" s="70">
        <v>6552</v>
      </c>
      <c r="AH153" s="70">
        <v>5857</v>
      </c>
      <c r="AI153" s="70">
        <v>0</v>
      </c>
      <c r="AJ153" s="417">
        <v>0</v>
      </c>
      <c r="AK153" s="417">
        <v>0</v>
      </c>
      <c r="AL153" s="378">
        <v>1.0499999999999999E-5</v>
      </c>
      <c r="AM153" s="378"/>
      <c r="AN153" s="70">
        <v>-4946.1207999999988</v>
      </c>
      <c r="AO153" s="70">
        <v>-680.12079999999855</v>
      </c>
      <c r="AP153" s="70">
        <v>-680.12079999999855</v>
      </c>
      <c r="AQ153" s="417">
        <v>0</v>
      </c>
      <c r="AR153" s="417">
        <v>0</v>
      </c>
    </row>
    <row r="154" spans="1:44">
      <c r="A154" s="439">
        <v>91331</v>
      </c>
      <c r="B154" s="440" t="s">
        <v>866</v>
      </c>
      <c r="C154" s="437">
        <v>3.1621000000000002E-3</v>
      </c>
      <c r="D154" s="441"/>
      <c r="E154" s="438">
        <v>2586261.4294750001</v>
      </c>
      <c r="F154" s="442">
        <v>2225890.8176750001</v>
      </c>
      <c r="G154" s="442">
        <v>668432.67807500018</v>
      </c>
      <c r="H154" s="442">
        <v>2808915.5647</v>
      </c>
      <c r="I154" s="442">
        <v>0</v>
      </c>
      <c r="J154" s="443">
        <v>3.0428999999999999E-3</v>
      </c>
      <c r="K154" s="443"/>
      <c r="L154" s="444">
        <v>509499.68670000002</v>
      </c>
      <c r="M154" s="444">
        <v>208910.4607</v>
      </c>
      <c r="N154" s="444">
        <v>-25116.560300000001</v>
      </c>
      <c r="O154" s="444">
        <v>0</v>
      </c>
      <c r="P154" s="417">
        <v>0</v>
      </c>
      <c r="Q154" s="378">
        <v>3.0428999999999999E-3</v>
      </c>
      <c r="R154" s="378"/>
      <c r="S154" s="70">
        <v>1238762.1613</v>
      </c>
      <c r="T154" s="105">
        <v>1159406.0997000001</v>
      </c>
      <c r="U154" s="70">
        <v>688812.89140000008</v>
      </c>
      <c r="V154" s="70">
        <v>2808915.5647</v>
      </c>
      <c r="W154" s="417">
        <v>0</v>
      </c>
      <c r="X154" s="378">
        <v>3.0428999999999999E-3</v>
      </c>
      <c r="Z154" s="70">
        <v>889957.23450000002</v>
      </c>
      <c r="AA154" s="70">
        <v>889950.91029999999</v>
      </c>
      <c r="AB154" s="70">
        <v>0</v>
      </c>
      <c r="AC154" s="417">
        <v>0</v>
      </c>
      <c r="AD154" s="417">
        <v>0</v>
      </c>
      <c r="AE154" s="378">
        <v>3.0428999999999999E-3</v>
      </c>
      <c r="AF154" s="378"/>
      <c r="AG154" s="70">
        <v>25617.34697500011</v>
      </c>
      <c r="AH154" s="70">
        <v>4736.3469750001095</v>
      </c>
      <c r="AI154" s="70">
        <v>4736.3469750001095</v>
      </c>
      <c r="AJ154" s="417">
        <v>0</v>
      </c>
      <c r="AK154" s="417">
        <v>0</v>
      </c>
      <c r="AL154" s="378">
        <v>3.0428999999999999E-3</v>
      </c>
      <c r="AM154" s="378"/>
      <c r="AN154" s="70">
        <v>-77575</v>
      </c>
      <c r="AO154" s="70">
        <v>-37113</v>
      </c>
      <c r="AP154" s="70">
        <v>0</v>
      </c>
      <c r="AQ154" s="417">
        <v>0</v>
      </c>
      <c r="AR154" s="417">
        <v>0</v>
      </c>
    </row>
    <row r="155" spans="1:44">
      <c r="A155" s="439">
        <v>91341</v>
      </c>
      <c r="B155" s="440" t="s">
        <v>867</v>
      </c>
      <c r="C155" s="437">
        <v>3.3399999999999999E-5</v>
      </c>
      <c r="D155" s="441"/>
      <c r="E155" s="438">
        <v>25157.604199999994</v>
      </c>
      <c r="F155" s="442">
        <v>20190.326999999994</v>
      </c>
      <c r="G155" s="442">
        <v>5595.5085999999974</v>
      </c>
      <c r="H155" s="442">
        <v>29669.453799999999</v>
      </c>
      <c r="I155" s="442">
        <v>0</v>
      </c>
      <c r="J155" s="443">
        <v>3.4499999999999998E-5</v>
      </c>
      <c r="K155" s="443"/>
      <c r="L155" s="444">
        <v>5381.6417999999994</v>
      </c>
      <c r="M155" s="444">
        <v>2206.6378</v>
      </c>
      <c r="N155" s="444">
        <v>-265.2962</v>
      </c>
      <c r="O155" s="444">
        <v>0</v>
      </c>
      <c r="P155" s="417">
        <v>0</v>
      </c>
      <c r="Q155" s="378">
        <v>3.4499999999999998E-5</v>
      </c>
      <c r="R155" s="378"/>
      <c r="S155" s="70">
        <v>13084.5502</v>
      </c>
      <c r="T155" s="105">
        <v>12246.343799999999</v>
      </c>
      <c r="U155" s="70">
        <v>7275.6556</v>
      </c>
      <c r="V155" s="70">
        <v>29669.453799999999</v>
      </c>
      <c r="W155" s="417">
        <v>0</v>
      </c>
      <c r="X155" s="378">
        <v>3.4499999999999998E-5</v>
      </c>
      <c r="Z155" s="70">
        <v>9400.262999999999</v>
      </c>
      <c r="AA155" s="70">
        <v>9400.1962000000003</v>
      </c>
      <c r="AB155" s="70">
        <v>0</v>
      </c>
      <c r="AC155" s="417">
        <v>0</v>
      </c>
      <c r="AD155" s="417">
        <v>0</v>
      </c>
      <c r="AE155" s="378">
        <v>3.4499999999999998E-5</v>
      </c>
      <c r="AF155" s="378"/>
      <c r="AG155" s="70">
        <v>2278</v>
      </c>
      <c r="AH155" s="70">
        <v>0</v>
      </c>
      <c r="AI155" s="70">
        <v>0</v>
      </c>
      <c r="AJ155" s="417">
        <v>0</v>
      </c>
      <c r="AK155" s="417">
        <v>0</v>
      </c>
      <c r="AL155" s="378">
        <v>3.4499999999999998E-5</v>
      </c>
      <c r="AM155" s="378"/>
      <c r="AN155" s="70">
        <v>-4986.8508000000029</v>
      </c>
      <c r="AO155" s="70">
        <v>-3662.8508000000029</v>
      </c>
      <c r="AP155" s="70">
        <v>-1414.8508000000029</v>
      </c>
      <c r="AQ155" s="417">
        <v>0</v>
      </c>
      <c r="AR155" s="417">
        <v>0</v>
      </c>
    </row>
    <row r="156" spans="1:44">
      <c r="A156" s="439">
        <v>91401</v>
      </c>
      <c r="B156" s="440" t="s">
        <v>868</v>
      </c>
      <c r="C156" s="437">
        <v>3.5915000000000001E-3</v>
      </c>
      <c r="D156" s="441"/>
      <c r="E156" s="438">
        <v>3017502.1774749998</v>
      </c>
      <c r="F156" s="442">
        <v>2456289.7204750003</v>
      </c>
      <c r="G156" s="442">
        <v>713103.46647500026</v>
      </c>
      <c r="H156" s="442">
        <v>3190354.5904999999</v>
      </c>
      <c r="I156" s="442">
        <v>0</v>
      </c>
      <c r="J156" s="443">
        <v>3.6838000000000001E-3</v>
      </c>
      <c r="K156" s="443"/>
      <c r="L156" s="444">
        <v>578687.62049999996</v>
      </c>
      <c r="M156" s="444">
        <v>237279.6305</v>
      </c>
      <c r="N156" s="444">
        <v>-28527.284500000002</v>
      </c>
      <c r="O156" s="444">
        <v>0</v>
      </c>
      <c r="P156" s="417">
        <v>0</v>
      </c>
      <c r="Q156" s="378">
        <v>3.6838000000000001E-3</v>
      </c>
      <c r="R156" s="378"/>
      <c r="S156" s="70">
        <v>1406980.8995000001</v>
      </c>
      <c r="T156" s="105">
        <v>1316848.6155000001</v>
      </c>
      <c r="U156" s="70">
        <v>782350.81099999999</v>
      </c>
      <c r="V156" s="70">
        <v>3190354.5904999999</v>
      </c>
      <c r="W156" s="417">
        <v>0</v>
      </c>
      <c r="X156" s="378">
        <v>3.6838000000000001E-3</v>
      </c>
      <c r="Z156" s="70">
        <v>1010809.7175</v>
      </c>
      <c r="AA156" s="70">
        <v>1010802.5345000001</v>
      </c>
      <c r="AB156" s="70">
        <v>0</v>
      </c>
      <c r="AC156" s="417">
        <v>0</v>
      </c>
      <c r="AD156" s="417">
        <v>0</v>
      </c>
      <c r="AE156" s="378">
        <v>3.6838000000000001E-3</v>
      </c>
      <c r="AF156" s="378"/>
      <c r="AG156" s="70">
        <v>152476</v>
      </c>
      <c r="AH156" s="70">
        <v>0</v>
      </c>
      <c r="AI156" s="70">
        <v>0</v>
      </c>
      <c r="AJ156" s="417">
        <v>0</v>
      </c>
      <c r="AK156" s="417">
        <v>0</v>
      </c>
      <c r="AL156" s="378">
        <v>3.6838000000000001E-3</v>
      </c>
      <c r="AM156" s="378"/>
      <c r="AN156" s="70">
        <v>-131452.06002499978</v>
      </c>
      <c r="AO156" s="70">
        <v>-108641.06002499978</v>
      </c>
      <c r="AP156" s="70">
        <v>-40720.060024999781</v>
      </c>
      <c r="AQ156" s="417">
        <v>0</v>
      </c>
      <c r="AR156" s="417">
        <v>0</v>
      </c>
    </row>
    <row r="157" spans="1:44">
      <c r="A157" s="439">
        <v>91411</v>
      </c>
      <c r="B157" s="440" t="s">
        <v>869</v>
      </c>
      <c r="C157" s="437">
        <v>3.7720000000000001E-4</v>
      </c>
      <c r="D157" s="441"/>
      <c r="E157" s="438">
        <v>309456.51749999996</v>
      </c>
      <c r="F157" s="442">
        <v>262528.91989999998</v>
      </c>
      <c r="G157" s="442">
        <v>60306.012699999963</v>
      </c>
      <c r="H157" s="442">
        <v>335069.40039999998</v>
      </c>
      <c r="I157" s="442">
        <v>0</v>
      </c>
      <c r="J157" s="443">
        <v>4.2220000000000002E-4</v>
      </c>
      <c r="K157" s="443"/>
      <c r="L157" s="444">
        <v>60777.104400000004</v>
      </c>
      <c r="M157" s="444">
        <v>24920.472399999999</v>
      </c>
      <c r="N157" s="444">
        <v>-2996.0996</v>
      </c>
      <c r="O157" s="444">
        <v>0</v>
      </c>
      <c r="P157" s="417">
        <v>0</v>
      </c>
      <c r="Q157" s="378">
        <v>4.2220000000000002E-4</v>
      </c>
      <c r="R157" s="378"/>
      <c r="S157" s="70">
        <v>147769.2316</v>
      </c>
      <c r="T157" s="105">
        <v>138303.02040000001</v>
      </c>
      <c r="U157" s="70">
        <v>82166.984800000006</v>
      </c>
      <c r="V157" s="70">
        <v>335069.40039999998</v>
      </c>
      <c r="W157" s="417">
        <v>0</v>
      </c>
      <c r="X157" s="378">
        <v>4.2220000000000002E-4</v>
      </c>
      <c r="Z157" s="70">
        <v>106161.054</v>
      </c>
      <c r="AA157" s="70">
        <v>106160.2996</v>
      </c>
      <c r="AB157" s="70">
        <v>0</v>
      </c>
      <c r="AC157" s="417">
        <v>0</v>
      </c>
      <c r="AD157" s="417">
        <v>0</v>
      </c>
      <c r="AE157" s="378">
        <v>4.2220000000000002E-4</v>
      </c>
      <c r="AF157" s="378"/>
      <c r="AG157" s="70">
        <v>13614</v>
      </c>
      <c r="AH157" s="70">
        <v>12010</v>
      </c>
      <c r="AI157" s="70">
        <v>0</v>
      </c>
      <c r="AJ157" s="417">
        <v>0</v>
      </c>
      <c r="AK157" s="417">
        <v>0</v>
      </c>
      <c r="AL157" s="378">
        <v>4.2220000000000002E-4</v>
      </c>
      <c r="AM157" s="378"/>
      <c r="AN157" s="70">
        <v>-18864.872500000041</v>
      </c>
      <c r="AO157" s="70">
        <v>-18864.872500000041</v>
      </c>
      <c r="AP157" s="70">
        <v>-18864.872500000041</v>
      </c>
      <c r="AQ157" s="417">
        <v>0</v>
      </c>
      <c r="AR157" s="417">
        <v>0</v>
      </c>
    </row>
    <row r="158" spans="1:44">
      <c r="A158" s="439">
        <v>91414</v>
      </c>
      <c r="B158" s="440" t="s">
        <v>3608</v>
      </c>
      <c r="C158" s="437">
        <v>3.0700000000000001E-5</v>
      </c>
      <c r="D158" s="441"/>
      <c r="E158" s="438">
        <v>35102.640375000003</v>
      </c>
      <c r="F158" s="442">
        <v>25228.789774999997</v>
      </c>
      <c r="G158" s="442">
        <v>5930.5165750000006</v>
      </c>
      <c r="H158" s="442">
        <v>27271.0249</v>
      </c>
      <c r="I158" s="442">
        <v>0</v>
      </c>
      <c r="J158" s="443">
        <v>3.1199999999999999E-5</v>
      </c>
      <c r="K158" s="443"/>
      <c r="L158" s="444">
        <v>4946.5989</v>
      </c>
      <c r="M158" s="444">
        <v>2028.2569000000001</v>
      </c>
      <c r="N158" s="444">
        <v>-243.8501</v>
      </c>
      <c r="O158" s="444">
        <v>0</v>
      </c>
      <c r="P158" s="417">
        <v>0</v>
      </c>
      <c r="Q158" s="378">
        <v>3.1199999999999999E-5</v>
      </c>
      <c r="R158" s="378"/>
      <c r="S158" s="70">
        <v>12026.8171</v>
      </c>
      <c r="T158" s="105">
        <v>11256.3699</v>
      </c>
      <c r="U158" s="70">
        <v>6687.5038000000004</v>
      </c>
      <c r="V158" s="70">
        <v>27271.0249</v>
      </c>
      <c r="W158" s="417">
        <v>0</v>
      </c>
      <c r="X158" s="378">
        <v>3.1199999999999999E-5</v>
      </c>
      <c r="Z158" s="70">
        <v>8640.3615000000009</v>
      </c>
      <c r="AA158" s="70">
        <v>8640.3001000000004</v>
      </c>
      <c r="AB158" s="70">
        <v>0</v>
      </c>
      <c r="AC158" s="417">
        <v>0</v>
      </c>
      <c r="AD158" s="417">
        <v>0</v>
      </c>
      <c r="AE158" s="378">
        <v>3.1199999999999999E-5</v>
      </c>
      <c r="AF158" s="378"/>
      <c r="AG158" s="70">
        <v>10002</v>
      </c>
      <c r="AH158" s="70">
        <v>3817</v>
      </c>
      <c r="AI158" s="70">
        <v>0</v>
      </c>
      <c r="AJ158" s="417">
        <v>0</v>
      </c>
      <c r="AK158" s="417">
        <v>0</v>
      </c>
      <c r="AL158" s="378">
        <v>3.1199999999999999E-5</v>
      </c>
      <c r="AM158" s="378"/>
      <c r="AN158" s="70">
        <v>-513.1371250000002</v>
      </c>
      <c r="AO158" s="70">
        <v>-513.1371250000002</v>
      </c>
      <c r="AP158" s="70">
        <v>-513.1371250000002</v>
      </c>
      <c r="AQ158" s="417">
        <v>0</v>
      </c>
      <c r="AR158" s="417">
        <v>0</v>
      </c>
    </row>
    <row r="159" spans="1:44">
      <c r="A159" s="439">
        <v>91417</v>
      </c>
      <c r="B159" s="440" t="s">
        <v>870</v>
      </c>
      <c r="C159" s="437">
        <v>6.8000000000000001E-6</v>
      </c>
      <c r="D159" s="441"/>
      <c r="E159" s="438">
        <v>9450.0916499999985</v>
      </c>
      <c r="F159" s="442">
        <v>8114.0172499999999</v>
      </c>
      <c r="G159" s="442">
        <v>2448.9404500000001</v>
      </c>
      <c r="H159" s="442">
        <v>6040.4876000000004</v>
      </c>
      <c r="I159" s="442">
        <v>0</v>
      </c>
      <c r="J159" s="443">
        <v>7.5000000000000002E-6</v>
      </c>
      <c r="K159" s="443"/>
      <c r="L159" s="444">
        <v>1095.6636000000001</v>
      </c>
      <c r="M159" s="444">
        <v>449.25560000000002</v>
      </c>
      <c r="N159" s="444">
        <v>-54.0124</v>
      </c>
      <c r="O159" s="444">
        <v>0</v>
      </c>
      <c r="P159" s="417">
        <v>0</v>
      </c>
      <c r="Q159" s="378">
        <v>7.5000000000000002E-6</v>
      </c>
      <c r="R159" s="378"/>
      <c r="S159" s="70">
        <v>2663.9204</v>
      </c>
      <c r="T159" s="105">
        <v>2493.2676000000001</v>
      </c>
      <c r="U159" s="70">
        <v>1481.2712000000001</v>
      </c>
      <c r="V159" s="70">
        <v>6040.4876000000004</v>
      </c>
      <c r="W159" s="417">
        <v>0</v>
      </c>
      <c r="X159" s="378">
        <v>7.5000000000000002E-6</v>
      </c>
      <c r="Z159" s="70">
        <v>1913.826</v>
      </c>
      <c r="AA159" s="70">
        <v>1913.8124</v>
      </c>
      <c r="AB159" s="70">
        <v>0</v>
      </c>
      <c r="AC159" s="417">
        <v>0</v>
      </c>
      <c r="AD159" s="417">
        <v>0</v>
      </c>
      <c r="AE159" s="378">
        <v>7.5000000000000002E-6</v>
      </c>
      <c r="AF159" s="378"/>
      <c r="AG159" s="70">
        <v>3776.6816499999995</v>
      </c>
      <c r="AH159" s="70">
        <v>3257.6816499999995</v>
      </c>
      <c r="AI159" s="70">
        <v>1021.6816499999998</v>
      </c>
      <c r="AJ159" s="417">
        <v>0</v>
      </c>
      <c r="AK159" s="417">
        <v>0</v>
      </c>
      <c r="AL159" s="378">
        <v>7.5000000000000002E-6</v>
      </c>
      <c r="AM159" s="378"/>
      <c r="AN159" s="70">
        <v>0</v>
      </c>
      <c r="AO159" s="70">
        <v>0</v>
      </c>
      <c r="AP159" s="70">
        <v>0</v>
      </c>
      <c r="AQ159" s="417">
        <v>0</v>
      </c>
      <c r="AR159" s="417">
        <v>0</v>
      </c>
    </row>
    <row r="160" spans="1:44">
      <c r="A160" s="439">
        <v>91421</v>
      </c>
      <c r="B160" s="440" t="s">
        <v>871</v>
      </c>
      <c r="C160" s="437">
        <v>8.0099999999999995E-5</v>
      </c>
      <c r="D160" s="441"/>
      <c r="E160" s="438">
        <v>78072.544024999996</v>
      </c>
      <c r="F160" s="442">
        <v>66832.888225000002</v>
      </c>
      <c r="G160" s="442">
        <v>27377.380624999998</v>
      </c>
      <c r="H160" s="442">
        <v>71153.390699999989</v>
      </c>
      <c r="I160" s="442">
        <v>0</v>
      </c>
      <c r="J160" s="443">
        <v>6.4800000000000003E-5</v>
      </c>
      <c r="K160" s="443"/>
      <c r="L160" s="444">
        <v>12906.2727</v>
      </c>
      <c r="M160" s="444">
        <v>5291.9666999999999</v>
      </c>
      <c r="N160" s="444">
        <v>-636.23429999999996</v>
      </c>
      <c r="O160" s="444">
        <v>0</v>
      </c>
      <c r="P160" s="417">
        <v>0</v>
      </c>
      <c r="Q160" s="378">
        <v>6.4800000000000003E-5</v>
      </c>
      <c r="R160" s="378"/>
      <c r="S160" s="70">
        <v>31379.415299999997</v>
      </c>
      <c r="T160" s="105">
        <v>29369.225699999999</v>
      </c>
      <c r="U160" s="70">
        <v>17448.503399999998</v>
      </c>
      <c r="V160" s="70">
        <v>71153.390699999989</v>
      </c>
      <c r="W160" s="417">
        <v>0</v>
      </c>
      <c r="X160" s="378">
        <v>6.4800000000000003E-5</v>
      </c>
      <c r="Z160" s="70">
        <v>22543.744499999997</v>
      </c>
      <c r="AA160" s="70">
        <v>22543.584299999999</v>
      </c>
      <c r="AB160" s="70">
        <v>0</v>
      </c>
      <c r="AC160" s="417">
        <v>0</v>
      </c>
      <c r="AD160" s="417">
        <v>0</v>
      </c>
      <c r="AE160" s="378">
        <v>6.4800000000000003E-5</v>
      </c>
      <c r="AF160" s="378"/>
      <c r="AG160" s="70">
        <v>12329.111525</v>
      </c>
      <c r="AH160" s="70">
        <v>10565.111525</v>
      </c>
      <c r="AI160" s="70">
        <v>10565.111525</v>
      </c>
      <c r="AJ160" s="417">
        <v>0</v>
      </c>
      <c r="AK160" s="417">
        <v>0</v>
      </c>
      <c r="AL160" s="378">
        <v>6.4800000000000003E-5</v>
      </c>
      <c r="AM160" s="378"/>
      <c r="AN160" s="70">
        <v>-1086</v>
      </c>
      <c r="AO160" s="70">
        <v>-937</v>
      </c>
      <c r="AP160" s="70">
        <v>0</v>
      </c>
      <c r="AQ160" s="417">
        <v>0</v>
      </c>
      <c r="AR160" s="417">
        <v>0</v>
      </c>
    </row>
    <row r="161" spans="1:44">
      <c r="A161" s="439">
        <v>91423</v>
      </c>
      <c r="B161" s="440" t="s">
        <v>872</v>
      </c>
      <c r="C161" s="437">
        <v>5.6400000000000002E-5</v>
      </c>
      <c r="D161" s="441"/>
      <c r="E161" s="438">
        <v>45158.471449999997</v>
      </c>
      <c r="F161" s="442">
        <v>37458.560250000002</v>
      </c>
      <c r="G161" s="442">
        <v>8149.3938500000004</v>
      </c>
      <c r="H161" s="442">
        <v>50100.514800000004</v>
      </c>
      <c r="I161" s="442">
        <v>0</v>
      </c>
      <c r="J161" s="443">
        <v>6.05E-5</v>
      </c>
      <c r="K161" s="443"/>
      <c r="L161" s="444">
        <v>9087.5627999999997</v>
      </c>
      <c r="M161" s="444">
        <v>3726.1788000000001</v>
      </c>
      <c r="N161" s="444">
        <v>-447.98520000000002</v>
      </c>
      <c r="O161" s="444">
        <v>0</v>
      </c>
      <c r="P161" s="417">
        <v>0</v>
      </c>
      <c r="Q161" s="378">
        <v>6.05E-5</v>
      </c>
      <c r="R161" s="378"/>
      <c r="S161" s="70">
        <v>22094.869200000001</v>
      </c>
      <c r="T161" s="105">
        <v>20679.4548</v>
      </c>
      <c r="U161" s="70">
        <v>12285.837600000001</v>
      </c>
      <c r="V161" s="70">
        <v>50100.514800000004</v>
      </c>
      <c r="W161" s="417">
        <v>0</v>
      </c>
      <c r="X161" s="378">
        <v>6.05E-5</v>
      </c>
      <c r="Z161" s="70">
        <v>15873.498000000001</v>
      </c>
      <c r="AA161" s="70">
        <v>15873.385200000001</v>
      </c>
      <c r="AB161" s="70">
        <v>0</v>
      </c>
      <c r="AC161" s="417">
        <v>0</v>
      </c>
      <c r="AD161" s="417">
        <v>0</v>
      </c>
      <c r="AE161" s="378">
        <v>6.05E-5</v>
      </c>
      <c r="AF161" s="378"/>
      <c r="AG161" s="70">
        <v>1791</v>
      </c>
      <c r="AH161" s="70">
        <v>868</v>
      </c>
      <c r="AI161" s="70">
        <v>0</v>
      </c>
      <c r="AJ161" s="417">
        <v>0</v>
      </c>
      <c r="AK161" s="417">
        <v>0</v>
      </c>
      <c r="AL161" s="378">
        <v>6.05E-5</v>
      </c>
      <c r="AM161" s="378"/>
      <c r="AN161" s="70">
        <v>-3688.4585500000012</v>
      </c>
      <c r="AO161" s="70">
        <v>-3688.4585500000012</v>
      </c>
      <c r="AP161" s="70">
        <v>-3688.4585500000012</v>
      </c>
      <c r="AQ161" s="417">
        <v>0</v>
      </c>
      <c r="AR161" s="417">
        <v>0</v>
      </c>
    </row>
    <row r="162" spans="1:44">
      <c r="A162" s="439">
        <v>91431</v>
      </c>
      <c r="B162" s="440" t="s">
        <v>873</v>
      </c>
      <c r="C162" s="437">
        <v>2.0049999999999999E-4</v>
      </c>
      <c r="D162" s="441"/>
      <c r="E162" s="438">
        <v>178972.677975</v>
      </c>
      <c r="F162" s="442">
        <v>151122.99897499999</v>
      </c>
      <c r="G162" s="442">
        <v>44456.660974999999</v>
      </c>
      <c r="H162" s="442">
        <v>178105.55350000001</v>
      </c>
      <c r="I162" s="442">
        <v>0</v>
      </c>
      <c r="J162" s="443">
        <v>1.8929999999999999E-4</v>
      </c>
      <c r="K162" s="443"/>
      <c r="L162" s="444">
        <v>32305.963499999998</v>
      </c>
      <c r="M162" s="444">
        <v>13246.433499999999</v>
      </c>
      <c r="N162" s="444">
        <v>-1592.5715</v>
      </c>
      <c r="O162" s="444">
        <v>0</v>
      </c>
      <c r="P162" s="417">
        <v>0</v>
      </c>
      <c r="Q162" s="378">
        <v>1.8929999999999999E-4</v>
      </c>
      <c r="R162" s="378"/>
      <c r="S162" s="70">
        <v>78546.476500000004</v>
      </c>
      <c r="T162" s="105">
        <v>73514.728499999997</v>
      </c>
      <c r="U162" s="70">
        <v>43675.716999999997</v>
      </c>
      <c r="V162" s="70">
        <v>178105.55350000001</v>
      </c>
      <c r="W162" s="417">
        <v>0</v>
      </c>
      <c r="X162" s="378">
        <v>1.8929999999999999E-4</v>
      </c>
      <c r="Z162" s="70">
        <v>56429.722499999996</v>
      </c>
      <c r="AA162" s="70">
        <v>56429.321499999998</v>
      </c>
      <c r="AB162" s="70">
        <v>0</v>
      </c>
      <c r="AC162" s="417">
        <v>0</v>
      </c>
      <c r="AD162" s="417">
        <v>0</v>
      </c>
      <c r="AE162" s="378">
        <v>1.8929999999999999E-4</v>
      </c>
      <c r="AF162" s="378"/>
      <c r="AG162" s="70">
        <v>12431.515475</v>
      </c>
      <c r="AH162" s="70">
        <v>7932.5154750000002</v>
      </c>
      <c r="AI162" s="70">
        <v>2373.5154750000002</v>
      </c>
      <c r="AJ162" s="417">
        <v>0</v>
      </c>
      <c r="AK162" s="417">
        <v>0</v>
      </c>
      <c r="AL162" s="378">
        <v>1.8929999999999999E-4</v>
      </c>
      <c r="AM162" s="378"/>
      <c r="AN162" s="70">
        <v>-741</v>
      </c>
      <c r="AO162" s="70">
        <v>0</v>
      </c>
      <c r="AP162" s="70">
        <v>0</v>
      </c>
      <c r="AQ162" s="417">
        <v>0</v>
      </c>
      <c r="AR162" s="417">
        <v>0</v>
      </c>
    </row>
    <row r="163" spans="1:44">
      <c r="A163" s="439">
        <v>91441</v>
      </c>
      <c r="B163" s="440" t="s">
        <v>874</v>
      </c>
      <c r="C163" s="437">
        <v>9.5799999999999998E-4</v>
      </c>
      <c r="D163" s="441"/>
      <c r="E163" s="438">
        <v>700516.03870000003</v>
      </c>
      <c r="F163" s="442">
        <v>640870.67469999997</v>
      </c>
      <c r="G163" s="442">
        <v>186293.26669999998</v>
      </c>
      <c r="H163" s="442">
        <v>850998.10600000003</v>
      </c>
      <c r="I163" s="442">
        <v>0</v>
      </c>
      <c r="J163" s="443">
        <v>9.4760000000000005E-4</v>
      </c>
      <c r="K163" s="443"/>
      <c r="L163" s="444">
        <v>154359.666</v>
      </c>
      <c r="M163" s="444">
        <v>63292.186000000002</v>
      </c>
      <c r="N163" s="444">
        <v>-7609.3940000000002</v>
      </c>
      <c r="O163" s="444">
        <v>0</v>
      </c>
      <c r="P163" s="417">
        <v>0</v>
      </c>
      <c r="Q163" s="378">
        <v>9.4760000000000005E-4</v>
      </c>
      <c r="R163" s="378"/>
      <c r="S163" s="70">
        <v>375299.37400000001</v>
      </c>
      <c r="T163" s="105">
        <v>351257.40600000002</v>
      </c>
      <c r="U163" s="70">
        <v>208684.97200000001</v>
      </c>
      <c r="V163" s="70">
        <v>850998.10600000003</v>
      </c>
      <c r="W163" s="417">
        <v>0</v>
      </c>
      <c r="X163" s="378">
        <v>9.4760000000000005E-4</v>
      </c>
      <c r="Z163" s="70">
        <v>269624.31</v>
      </c>
      <c r="AA163" s="70">
        <v>269622.39399999997</v>
      </c>
      <c r="AB163" s="70">
        <v>0</v>
      </c>
      <c r="AC163" s="417">
        <v>0</v>
      </c>
      <c r="AD163" s="417">
        <v>0</v>
      </c>
      <c r="AE163" s="378">
        <v>9.4760000000000005E-4</v>
      </c>
      <c r="AF163" s="378"/>
      <c r="AG163" s="70">
        <v>0</v>
      </c>
      <c r="AH163" s="70">
        <v>0</v>
      </c>
      <c r="AI163" s="70">
        <v>0</v>
      </c>
      <c r="AJ163" s="417">
        <v>0</v>
      </c>
      <c r="AK163" s="417">
        <v>0</v>
      </c>
      <c r="AL163" s="378">
        <v>9.4760000000000005E-4</v>
      </c>
      <c r="AM163" s="378"/>
      <c r="AN163" s="70">
        <v>-98767.31130000003</v>
      </c>
      <c r="AO163" s="70">
        <v>-43301.31130000003</v>
      </c>
      <c r="AP163" s="70">
        <v>-14782.31130000003</v>
      </c>
      <c r="AQ163" s="417">
        <v>0</v>
      </c>
      <c r="AR163" s="417">
        <v>0</v>
      </c>
    </row>
    <row r="164" spans="1:44">
      <c r="A164" s="439">
        <v>91451</v>
      </c>
      <c r="B164" s="440" t="s">
        <v>875</v>
      </c>
      <c r="C164" s="437">
        <v>1.4751E-3</v>
      </c>
      <c r="D164" s="441"/>
      <c r="E164" s="438">
        <v>1204377.7836750001</v>
      </c>
      <c r="F164" s="442">
        <v>1024502.7178750001</v>
      </c>
      <c r="G164" s="442">
        <v>310593.19027500006</v>
      </c>
      <c r="H164" s="442">
        <v>1310341.6557</v>
      </c>
      <c r="I164" s="442">
        <v>0</v>
      </c>
      <c r="J164" s="443">
        <v>1.4920000000000001E-3</v>
      </c>
      <c r="K164" s="443"/>
      <c r="L164" s="444">
        <v>237678.43770000001</v>
      </c>
      <c r="M164" s="444">
        <v>97455.431700000001</v>
      </c>
      <c r="N164" s="444">
        <v>-11716.719300000001</v>
      </c>
      <c r="O164" s="444">
        <v>0</v>
      </c>
      <c r="P164" s="417">
        <v>0</v>
      </c>
      <c r="Q164" s="378">
        <v>1.4920000000000001E-3</v>
      </c>
      <c r="R164" s="378"/>
      <c r="S164" s="70">
        <v>577874.85030000005</v>
      </c>
      <c r="T164" s="105">
        <v>540855.74069999997</v>
      </c>
      <c r="U164" s="70">
        <v>321326.93339999998</v>
      </c>
      <c r="V164" s="70">
        <v>1310341.6557</v>
      </c>
      <c r="W164" s="417">
        <v>0</v>
      </c>
      <c r="X164" s="378">
        <v>1.4920000000000001E-3</v>
      </c>
      <c r="Z164" s="70">
        <v>415159.51949999999</v>
      </c>
      <c r="AA164" s="70">
        <v>415156.56930000003</v>
      </c>
      <c r="AB164" s="70">
        <v>0</v>
      </c>
      <c r="AC164" s="417">
        <v>0</v>
      </c>
      <c r="AD164" s="417">
        <v>0</v>
      </c>
      <c r="AE164" s="378">
        <v>1.4920000000000001E-3</v>
      </c>
      <c r="AF164" s="378"/>
      <c r="AG164" s="70">
        <v>9252.9761750000762</v>
      </c>
      <c r="AH164" s="70">
        <v>982.97617500007618</v>
      </c>
      <c r="AI164" s="70">
        <v>982.97617500007618</v>
      </c>
      <c r="AJ164" s="417">
        <v>0</v>
      </c>
      <c r="AK164" s="417">
        <v>0</v>
      </c>
      <c r="AL164" s="378">
        <v>1.4920000000000001E-3</v>
      </c>
      <c r="AM164" s="378"/>
      <c r="AN164" s="70">
        <v>-35588</v>
      </c>
      <c r="AO164" s="70">
        <v>-29948</v>
      </c>
      <c r="AP164" s="70">
        <v>0</v>
      </c>
      <c r="AQ164" s="417">
        <v>0</v>
      </c>
      <c r="AR164" s="417">
        <v>0</v>
      </c>
    </row>
    <row r="165" spans="1:44">
      <c r="A165" s="439">
        <v>91457</v>
      </c>
      <c r="B165" s="440" t="s">
        <v>876</v>
      </c>
      <c r="C165" s="437">
        <v>1.8700000000000001E-5</v>
      </c>
      <c r="D165" s="441"/>
      <c r="E165" s="438">
        <v>34535.339324999994</v>
      </c>
      <c r="F165" s="442">
        <v>27595.384725</v>
      </c>
      <c r="G165" s="442">
        <v>8498.4235249999983</v>
      </c>
      <c r="H165" s="442">
        <v>16611.340899999999</v>
      </c>
      <c r="I165" s="442">
        <v>0</v>
      </c>
      <c r="J165" s="443">
        <v>1.8300000000000001E-5</v>
      </c>
      <c r="K165" s="443"/>
      <c r="L165" s="444">
        <v>3013.0749000000001</v>
      </c>
      <c r="M165" s="444">
        <v>1235.4529</v>
      </c>
      <c r="N165" s="444">
        <v>-148.5341</v>
      </c>
      <c r="O165" s="444">
        <v>0</v>
      </c>
      <c r="P165" s="417">
        <v>0</v>
      </c>
      <c r="Q165" s="378">
        <v>1.8300000000000001E-5</v>
      </c>
      <c r="R165" s="378"/>
      <c r="S165" s="70">
        <v>7325.7811000000002</v>
      </c>
      <c r="T165" s="105">
        <v>6856.4859000000006</v>
      </c>
      <c r="U165" s="70">
        <v>4073.4958000000001</v>
      </c>
      <c r="V165" s="70">
        <v>16611.340899999999</v>
      </c>
      <c r="W165" s="417">
        <v>0</v>
      </c>
      <c r="X165" s="378">
        <v>1.8300000000000001E-5</v>
      </c>
      <c r="Z165" s="70">
        <v>5263.0214999999998</v>
      </c>
      <c r="AA165" s="70">
        <v>5262.9841000000006</v>
      </c>
      <c r="AB165" s="70">
        <v>0</v>
      </c>
      <c r="AC165" s="417">
        <v>0</v>
      </c>
      <c r="AD165" s="417">
        <v>0</v>
      </c>
      <c r="AE165" s="378">
        <v>1.8300000000000001E-5</v>
      </c>
      <c r="AF165" s="378"/>
      <c r="AG165" s="70">
        <v>18933.461824999998</v>
      </c>
      <c r="AH165" s="70">
        <v>14240.461824999998</v>
      </c>
      <c r="AI165" s="70">
        <v>4573.4618249999976</v>
      </c>
      <c r="AJ165" s="417">
        <v>0</v>
      </c>
      <c r="AK165" s="417">
        <v>0</v>
      </c>
      <c r="AL165" s="378">
        <v>1.8300000000000001E-5</v>
      </c>
      <c r="AM165" s="378"/>
      <c r="AN165" s="70">
        <v>0</v>
      </c>
      <c r="AO165" s="70">
        <v>0</v>
      </c>
      <c r="AP165" s="70">
        <v>0</v>
      </c>
      <c r="AQ165" s="417">
        <v>0</v>
      </c>
      <c r="AR165" s="417">
        <v>0</v>
      </c>
    </row>
    <row r="166" spans="1:44">
      <c r="A166" s="439">
        <v>91461</v>
      </c>
      <c r="B166" s="440" t="s">
        <v>877</v>
      </c>
      <c r="C166" s="437">
        <v>0</v>
      </c>
      <c r="D166" s="441"/>
      <c r="E166" s="438">
        <v>-4476</v>
      </c>
      <c r="F166" s="442">
        <v>0</v>
      </c>
      <c r="G166" s="442">
        <v>0</v>
      </c>
      <c r="H166" s="442">
        <v>0</v>
      </c>
      <c r="I166" s="442">
        <v>0</v>
      </c>
      <c r="J166" s="443">
        <v>0</v>
      </c>
      <c r="K166" s="443"/>
      <c r="L166" s="444">
        <v>0</v>
      </c>
      <c r="M166" s="444">
        <v>0</v>
      </c>
      <c r="N166" s="444">
        <v>0</v>
      </c>
      <c r="O166" s="444">
        <v>0</v>
      </c>
      <c r="P166" s="417">
        <v>0</v>
      </c>
      <c r="Q166" s="378">
        <v>0</v>
      </c>
      <c r="R166" s="378"/>
      <c r="S166" s="70">
        <v>0</v>
      </c>
      <c r="T166" s="105">
        <v>0</v>
      </c>
      <c r="U166" s="70">
        <v>0</v>
      </c>
      <c r="V166" s="70">
        <v>0</v>
      </c>
      <c r="W166" s="417">
        <v>0</v>
      </c>
      <c r="X166" s="378">
        <v>0</v>
      </c>
      <c r="Z166" s="70">
        <v>0</v>
      </c>
      <c r="AA166" s="70">
        <v>0</v>
      </c>
      <c r="AB166" s="70">
        <v>0</v>
      </c>
      <c r="AC166" s="417">
        <v>0</v>
      </c>
      <c r="AD166" s="417">
        <v>0</v>
      </c>
      <c r="AE166" s="378">
        <v>0</v>
      </c>
      <c r="AF166" s="378"/>
      <c r="AG166" s="70">
        <v>0</v>
      </c>
      <c r="AH166" s="70">
        <v>0</v>
      </c>
      <c r="AI166" s="70">
        <v>0</v>
      </c>
      <c r="AJ166" s="417">
        <v>0</v>
      </c>
      <c r="AK166" s="417">
        <v>0</v>
      </c>
      <c r="AL166" s="378">
        <v>0</v>
      </c>
      <c r="AM166" s="378"/>
      <c r="AN166" s="70">
        <v>-4476</v>
      </c>
      <c r="AO166" s="70">
        <v>0</v>
      </c>
      <c r="AP166" s="70">
        <v>0</v>
      </c>
      <c r="AQ166" s="417">
        <v>0</v>
      </c>
      <c r="AR166" s="417">
        <v>0</v>
      </c>
    </row>
    <row r="167" spans="1:44">
      <c r="A167" s="439">
        <v>91501</v>
      </c>
      <c r="B167" s="440" t="s">
        <v>878</v>
      </c>
      <c r="C167" s="437">
        <v>4.841E-4</v>
      </c>
      <c r="D167" s="441"/>
      <c r="E167" s="438">
        <v>404861.95847499999</v>
      </c>
      <c r="F167" s="442">
        <v>345019.47067499999</v>
      </c>
      <c r="G167" s="442">
        <v>105197.45907499998</v>
      </c>
      <c r="H167" s="442">
        <v>430029.41869999998</v>
      </c>
      <c r="I167" s="442">
        <v>0</v>
      </c>
      <c r="J167" s="443">
        <v>4.819E-4</v>
      </c>
      <c r="K167" s="443"/>
      <c r="L167" s="444">
        <v>78001.580700000006</v>
      </c>
      <c r="M167" s="444">
        <v>31983.0347</v>
      </c>
      <c r="N167" s="444">
        <v>-3845.2062999999998</v>
      </c>
      <c r="O167" s="444">
        <v>0</v>
      </c>
      <c r="P167" s="417">
        <v>0</v>
      </c>
      <c r="Q167" s="378">
        <v>4.819E-4</v>
      </c>
      <c r="R167" s="378"/>
      <c r="S167" s="70">
        <v>189647.62729999999</v>
      </c>
      <c r="T167" s="105">
        <v>177498.6537</v>
      </c>
      <c r="U167" s="70">
        <v>105453.4394</v>
      </c>
      <c r="V167" s="70">
        <v>430029.41869999998</v>
      </c>
      <c r="W167" s="417">
        <v>0</v>
      </c>
      <c r="X167" s="378">
        <v>4.819E-4</v>
      </c>
      <c r="Z167" s="70">
        <v>136247.5245</v>
      </c>
      <c r="AA167" s="70">
        <v>136246.5563</v>
      </c>
      <c r="AB167" s="70">
        <v>0</v>
      </c>
      <c r="AC167" s="417">
        <v>0</v>
      </c>
      <c r="AD167" s="417">
        <v>0</v>
      </c>
      <c r="AE167" s="378">
        <v>4.819E-4</v>
      </c>
      <c r="AF167" s="378"/>
      <c r="AG167" s="70">
        <v>11013.225974999979</v>
      </c>
      <c r="AH167" s="70">
        <v>3589.2259749999794</v>
      </c>
      <c r="AI167" s="70">
        <v>3589.2259749999794</v>
      </c>
      <c r="AJ167" s="417">
        <v>0</v>
      </c>
      <c r="AK167" s="417">
        <v>0</v>
      </c>
      <c r="AL167" s="378">
        <v>4.819E-4</v>
      </c>
      <c r="AM167" s="378"/>
      <c r="AN167" s="70">
        <v>-10048</v>
      </c>
      <c r="AO167" s="70">
        <v>-4298</v>
      </c>
      <c r="AP167" s="70">
        <v>0</v>
      </c>
      <c r="AQ167" s="417">
        <v>0</v>
      </c>
      <c r="AR167" s="417">
        <v>0</v>
      </c>
    </row>
    <row r="168" spans="1:44">
      <c r="A168" s="439">
        <v>91504</v>
      </c>
      <c r="B168" s="440" t="s">
        <v>879</v>
      </c>
      <c r="C168" s="437">
        <v>9.5999999999999996E-6</v>
      </c>
      <c r="D168" s="441"/>
      <c r="E168" s="438">
        <v>12237.04335</v>
      </c>
      <c r="F168" s="442">
        <v>10063.526549999999</v>
      </c>
      <c r="G168" s="442">
        <v>3618.4769500000002</v>
      </c>
      <c r="H168" s="442">
        <v>8527.7471999999998</v>
      </c>
      <c r="I168" s="442">
        <v>0</v>
      </c>
      <c r="J168" s="443">
        <v>8.8999999999999995E-6</v>
      </c>
      <c r="K168" s="443"/>
      <c r="L168" s="444">
        <v>1546.8191999999999</v>
      </c>
      <c r="M168" s="444">
        <v>634.2432</v>
      </c>
      <c r="N168" s="444">
        <v>-76.252799999999993</v>
      </c>
      <c r="O168" s="444">
        <v>0</v>
      </c>
      <c r="P168" s="417">
        <v>0</v>
      </c>
      <c r="Q168" s="378">
        <v>8.8999999999999995E-6</v>
      </c>
      <c r="R168" s="378"/>
      <c r="S168" s="70">
        <v>3760.8287999999998</v>
      </c>
      <c r="T168" s="105">
        <v>3519.9071999999996</v>
      </c>
      <c r="U168" s="70">
        <v>2091.2064</v>
      </c>
      <c r="V168" s="70">
        <v>8527.7471999999998</v>
      </c>
      <c r="W168" s="417">
        <v>0</v>
      </c>
      <c r="X168" s="378">
        <v>8.8999999999999995E-6</v>
      </c>
      <c r="Z168" s="70">
        <v>2701.8719999999998</v>
      </c>
      <c r="AA168" s="70">
        <v>2701.8527999999997</v>
      </c>
      <c r="AB168" s="70">
        <v>0</v>
      </c>
      <c r="AC168" s="417">
        <v>0</v>
      </c>
      <c r="AD168" s="417">
        <v>0</v>
      </c>
      <c r="AE168" s="378">
        <v>8.8999999999999995E-6</v>
      </c>
      <c r="AF168" s="378"/>
      <c r="AG168" s="70">
        <v>4227.5233500000004</v>
      </c>
      <c r="AH168" s="70">
        <v>3207.5233500000004</v>
      </c>
      <c r="AI168" s="70">
        <v>1603.5233500000004</v>
      </c>
      <c r="AJ168" s="417">
        <v>0</v>
      </c>
      <c r="AK168" s="417">
        <v>0</v>
      </c>
      <c r="AL168" s="378">
        <v>8.8999999999999995E-6</v>
      </c>
      <c r="AM168" s="378"/>
      <c r="AN168" s="70">
        <v>0</v>
      </c>
      <c r="AO168" s="70">
        <v>0</v>
      </c>
      <c r="AP168" s="70">
        <v>0</v>
      </c>
      <c r="AQ168" s="417">
        <v>0</v>
      </c>
      <c r="AR168" s="417">
        <v>0</v>
      </c>
    </row>
    <row r="169" spans="1:44">
      <c r="A169" s="439">
        <v>91601</v>
      </c>
      <c r="B169" s="440" t="s">
        <v>880</v>
      </c>
      <c r="C169" s="437">
        <v>2.9313E-3</v>
      </c>
      <c r="D169" s="441"/>
      <c r="E169" s="438">
        <v>2603306.4455749998</v>
      </c>
      <c r="F169" s="442">
        <v>2247715.3001749995</v>
      </c>
      <c r="G169" s="442">
        <v>712292.0613749997</v>
      </c>
      <c r="H169" s="442">
        <v>2603894.3091000002</v>
      </c>
      <c r="I169" s="442">
        <v>0</v>
      </c>
      <c r="J169" s="443">
        <v>2.8359000000000001E-3</v>
      </c>
      <c r="K169" s="443"/>
      <c r="L169" s="444">
        <v>472311.57510000002</v>
      </c>
      <c r="M169" s="444">
        <v>193662.19709999999</v>
      </c>
      <c r="N169" s="444">
        <v>-23283.315900000001</v>
      </c>
      <c r="O169" s="444">
        <v>0</v>
      </c>
      <c r="P169" s="417">
        <v>0</v>
      </c>
      <c r="Q169" s="378">
        <v>2.8359000000000001E-3</v>
      </c>
      <c r="R169" s="378"/>
      <c r="S169" s="70">
        <v>1148345.5689000001</v>
      </c>
      <c r="T169" s="105">
        <v>1074781.6640999999</v>
      </c>
      <c r="U169" s="70">
        <v>638536.80420000001</v>
      </c>
      <c r="V169" s="70">
        <v>2603894.3091000002</v>
      </c>
      <c r="W169" s="417">
        <v>0</v>
      </c>
      <c r="X169" s="378">
        <v>2.8359000000000001E-3</v>
      </c>
      <c r="Z169" s="70">
        <v>824999.72849999997</v>
      </c>
      <c r="AA169" s="70">
        <v>824993.86589999998</v>
      </c>
      <c r="AB169" s="70">
        <v>0</v>
      </c>
      <c r="AC169" s="417">
        <v>0</v>
      </c>
      <c r="AD169" s="417">
        <v>0</v>
      </c>
      <c r="AE169" s="378">
        <v>2.8359000000000001E-3</v>
      </c>
      <c r="AF169" s="378"/>
      <c r="AG169" s="70">
        <v>211010.57307499973</v>
      </c>
      <c r="AH169" s="70">
        <v>154277.57307499973</v>
      </c>
      <c r="AI169" s="70">
        <v>97038.573074999731</v>
      </c>
      <c r="AJ169" s="417">
        <v>0</v>
      </c>
      <c r="AK169" s="417">
        <v>0</v>
      </c>
      <c r="AL169" s="378">
        <v>2.8359000000000001E-3</v>
      </c>
      <c r="AM169" s="378"/>
      <c r="AN169" s="70">
        <v>-53361</v>
      </c>
      <c r="AO169" s="70">
        <v>0</v>
      </c>
      <c r="AP169" s="70">
        <v>0</v>
      </c>
      <c r="AQ169" s="417">
        <v>0</v>
      </c>
      <c r="AR169" s="417">
        <v>0</v>
      </c>
    </row>
    <row r="170" spans="1:44">
      <c r="A170" s="439">
        <v>91604</v>
      </c>
      <c r="B170" s="440" t="s">
        <v>881</v>
      </c>
      <c r="C170" s="437">
        <v>8.0099999999999995E-5</v>
      </c>
      <c r="D170" s="441"/>
      <c r="E170" s="438">
        <v>83768.063924999995</v>
      </c>
      <c r="F170" s="442">
        <v>67397.408125000002</v>
      </c>
      <c r="G170" s="442">
        <v>24929.900524999997</v>
      </c>
      <c r="H170" s="442">
        <v>71153.390699999989</v>
      </c>
      <c r="I170" s="442">
        <v>0</v>
      </c>
      <c r="J170" s="443">
        <v>7.3999999999999996E-5</v>
      </c>
      <c r="K170" s="443"/>
      <c r="L170" s="444">
        <v>12906.2727</v>
      </c>
      <c r="M170" s="444">
        <v>5291.9666999999999</v>
      </c>
      <c r="N170" s="444">
        <v>-636.23429999999996</v>
      </c>
      <c r="O170" s="444">
        <v>0</v>
      </c>
      <c r="P170" s="417">
        <v>0</v>
      </c>
      <c r="Q170" s="378">
        <v>7.3999999999999996E-5</v>
      </c>
      <c r="R170" s="378"/>
      <c r="S170" s="70">
        <v>31379.415299999997</v>
      </c>
      <c r="T170" s="105">
        <v>29369.225699999999</v>
      </c>
      <c r="U170" s="70">
        <v>17448.503399999998</v>
      </c>
      <c r="V170" s="70">
        <v>71153.390699999989</v>
      </c>
      <c r="W170" s="417">
        <v>0</v>
      </c>
      <c r="X170" s="378">
        <v>7.3999999999999996E-5</v>
      </c>
      <c r="Z170" s="70">
        <v>22543.744499999997</v>
      </c>
      <c r="AA170" s="70">
        <v>22543.584299999999</v>
      </c>
      <c r="AB170" s="70">
        <v>0</v>
      </c>
      <c r="AC170" s="417">
        <v>0</v>
      </c>
      <c r="AD170" s="417">
        <v>0</v>
      </c>
      <c r="AE170" s="378">
        <v>7.3999999999999996E-5</v>
      </c>
      <c r="AF170" s="378"/>
      <c r="AG170" s="70">
        <v>16938.631425</v>
      </c>
      <c r="AH170" s="70">
        <v>10192.631425</v>
      </c>
      <c r="AI170" s="70">
        <v>8117.6314249999996</v>
      </c>
      <c r="AJ170" s="417">
        <v>0</v>
      </c>
      <c r="AK170" s="417">
        <v>0</v>
      </c>
      <c r="AL170" s="378">
        <v>7.3999999999999996E-5</v>
      </c>
      <c r="AM170" s="378"/>
      <c r="AN170" s="70">
        <v>0</v>
      </c>
      <c r="AO170" s="70">
        <v>0</v>
      </c>
      <c r="AP170" s="70">
        <v>0</v>
      </c>
      <c r="AQ170" s="417">
        <v>0</v>
      </c>
      <c r="AR170" s="417">
        <v>0</v>
      </c>
    </row>
    <row r="171" spans="1:44">
      <c r="A171" s="439">
        <v>91608</v>
      </c>
      <c r="B171" s="440" t="s">
        <v>882</v>
      </c>
      <c r="C171" s="437">
        <v>1.7569999999999999E-4</v>
      </c>
      <c r="D171" s="441"/>
      <c r="E171" s="438">
        <v>130559.30452500001</v>
      </c>
      <c r="F171" s="442">
        <v>113925.54392499999</v>
      </c>
      <c r="G171" s="442">
        <v>40023.250725000005</v>
      </c>
      <c r="H171" s="442">
        <v>156075.5399</v>
      </c>
      <c r="I171" s="442">
        <v>0</v>
      </c>
      <c r="J171" s="443">
        <v>1.594E-4</v>
      </c>
      <c r="K171" s="443"/>
      <c r="L171" s="444">
        <v>28310.013899999998</v>
      </c>
      <c r="M171" s="444">
        <v>11607.971899999999</v>
      </c>
      <c r="N171" s="444">
        <v>-1395.5851</v>
      </c>
      <c r="O171" s="444">
        <v>0</v>
      </c>
      <c r="P171" s="417">
        <v>0</v>
      </c>
      <c r="Q171" s="378">
        <v>1.594E-4</v>
      </c>
      <c r="R171" s="378"/>
      <c r="S171" s="70">
        <v>68831.002099999998</v>
      </c>
      <c r="T171" s="105">
        <v>64421.634899999997</v>
      </c>
      <c r="U171" s="70">
        <v>38273.433799999999</v>
      </c>
      <c r="V171" s="70">
        <v>156075.5399</v>
      </c>
      <c r="W171" s="417">
        <v>0</v>
      </c>
      <c r="X171" s="378">
        <v>1.594E-4</v>
      </c>
      <c r="Z171" s="70">
        <v>49449.886499999993</v>
      </c>
      <c r="AA171" s="70">
        <v>49449.535099999994</v>
      </c>
      <c r="AB171" s="70">
        <v>0</v>
      </c>
      <c r="AC171" s="417">
        <v>0</v>
      </c>
      <c r="AD171" s="417">
        <v>0</v>
      </c>
      <c r="AE171" s="378">
        <v>1.594E-4</v>
      </c>
      <c r="AF171" s="378"/>
      <c r="AG171" s="70">
        <v>4339.4020250000067</v>
      </c>
      <c r="AH171" s="70">
        <v>3145.4020250000067</v>
      </c>
      <c r="AI171" s="70">
        <v>3145.4020250000067</v>
      </c>
      <c r="AJ171" s="417">
        <v>0</v>
      </c>
      <c r="AK171" s="417">
        <v>0</v>
      </c>
      <c r="AL171" s="378">
        <v>1.594E-4</v>
      </c>
      <c r="AM171" s="378"/>
      <c r="AN171" s="70">
        <v>-20371</v>
      </c>
      <c r="AO171" s="70">
        <v>-14699</v>
      </c>
      <c r="AP171" s="70">
        <v>0</v>
      </c>
      <c r="AQ171" s="417">
        <v>0</v>
      </c>
      <c r="AR171" s="417">
        <v>0</v>
      </c>
    </row>
    <row r="172" spans="1:44">
      <c r="A172" s="439">
        <v>91611</v>
      </c>
      <c r="B172" s="440" t="s">
        <v>883</v>
      </c>
      <c r="C172" s="437">
        <v>1.4395E-3</v>
      </c>
      <c r="D172" s="441"/>
      <c r="E172" s="438">
        <v>1090166.2541749997</v>
      </c>
      <c r="F172" s="442">
        <v>945346.81317499978</v>
      </c>
      <c r="G172" s="442">
        <v>330320.51117499982</v>
      </c>
      <c r="H172" s="442">
        <v>1278717.9265000001</v>
      </c>
      <c r="I172" s="442">
        <v>0</v>
      </c>
      <c r="J172" s="443">
        <v>1.3304E-3</v>
      </c>
      <c r="K172" s="443"/>
      <c r="L172" s="444">
        <v>231942.31650000002</v>
      </c>
      <c r="M172" s="444">
        <v>95103.446500000005</v>
      </c>
      <c r="N172" s="444">
        <v>-11433.9485</v>
      </c>
      <c r="O172" s="444">
        <v>0</v>
      </c>
      <c r="P172" s="417">
        <v>0</v>
      </c>
      <c r="Q172" s="378">
        <v>1.3304E-3</v>
      </c>
      <c r="R172" s="378"/>
      <c r="S172" s="70">
        <v>563928.44350000005</v>
      </c>
      <c r="T172" s="105">
        <v>527802.75150000001</v>
      </c>
      <c r="U172" s="70">
        <v>313572.04300000001</v>
      </c>
      <c r="V172" s="70">
        <v>1278717.9265000001</v>
      </c>
      <c r="W172" s="417">
        <v>0</v>
      </c>
      <c r="X172" s="378">
        <v>1.3304E-3</v>
      </c>
      <c r="Z172" s="70">
        <v>405140.07750000001</v>
      </c>
      <c r="AA172" s="70">
        <v>405137.1985</v>
      </c>
      <c r="AB172" s="70">
        <v>0</v>
      </c>
      <c r="AC172" s="417">
        <v>0</v>
      </c>
      <c r="AD172" s="417">
        <v>0</v>
      </c>
      <c r="AE172" s="378">
        <v>1.3304E-3</v>
      </c>
      <c r="AF172" s="378"/>
      <c r="AG172" s="70">
        <v>28182.416674999811</v>
      </c>
      <c r="AH172" s="70">
        <v>28182.416674999811</v>
      </c>
      <c r="AI172" s="70">
        <v>28182.416674999811</v>
      </c>
      <c r="AJ172" s="417">
        <v>0</v>
      </c>
      <c r="AK172" s="417">
        <v>0</v>
      </c>
      <c r="AL172" s="378">
        <v>1.3304E-3</v>
      </c>
      <c r="AM172" s="378"/>
      <c r="AN172" s="70">
        <v>-139027</v>
      </c>
      <c r="AO172" s="70">
        <v>-110879</v>
      </c>
      <c r="AP172" s="70">
        <v>0</v>
      </c>
      <c r="AQ172" s="417">
        <v>0</v>
      </c>
      <c r="AR172" s="417">
        <v>0</v>
      </c>
    </row>
    <row r="173" spans="1:44">
      <c r="A173" s="439">
        <v>91621</v>
      </c>
      <c r="B173" s="440" t="s">
        <v>884</v>
      </c>
      <c r="C173" s="437">
        <v>3.4210000000000002E-4</v>
      </c>
      <c r="D173" s="441"/>
      <c r="E173" s="438">
        <v>313403.90152499999</v>
      </c>
      <c r="F173" s="442">
        <v>264844.84972499998</v>
      </c>
      <c r="G173" s="442">
        <v>60381.030125000005</v>
      </c>
      <c r="H173" s="442">
        <v>303889.8247</v>
      </c>
      <c r="I173" s="442">
        <v>0</v>
      </c>
      <c r="J173" s="443">
        <v>3.4180000000000001E-4</v>
      </c>
      <c r="K173" s="443"/>
      <c r="L173" s="444">
        <v>55121.546700000006</v>
      </c>
      <c r="M173" s="444">
        <v>22601.520700000001</v>
      </c>
      <c r="N173" s="444">
        <v>-2717.3003000000003</v>
      </c>
      <c r="O173" s="444">
        <v>0</v>
      </c>
      <c r="P173" s="417">
        <v>0</v>
      </c>
      <c r="Q173" s="378">
        <v>3.4180000000000001E-4</v>
      </c>
      <c r="R173" s="378"/>
      <c r="S173" s="70">
        <v>134018.70130000002</v>
      </c>
      <c r="T173" s="105">
        <v>125433.3597</v>
      </c>
      <c r="U173" s="70">
        <v>74521.011400000003</v>
      </c>
      <c r="V173" s="70">
        <v>303889.8247</v>
      </c>
      <c r="W173" s="417">
        <v>0</v>
      </c>
      <c r="X173" s="378">
        <v>3.4180000000000001E-4</v>
      </c>
      <c r="Z173" s="70">
        <v>96282.334500000012</v>
      </c>
      <c r="AA173" s="70">
        <v>96281.650300000008</v>
      </c>
      <c r="AB173" s="70">
        <v>0</v>
      </c>
      <c r="AC173" s="417">
        <v>0</v>
      </c>
      <c r="AD173" s="417">
        <v>0</v>
      </c>
      <c r="AE173" s="378">
        <v>3.4180000000000001E-4</v>
      </c>
      <c r="AF173" s="378"/>
      <c r="AG173" s="70">
        <v>43660</v>
      </c>
      <c r="AH173" s="70">
        <v>31951</v>
      </c>
      <c r="AI173" s="70">
        <v>0</v>
      </c>
      <c r="AJ173" s="417">
        <v>0</v>
      </c>
      <c r="AK173" s="417">
        <v>0</v>
      </c>
      <c r="AL173" s="378">
        <v>3.4180000000000001E-4</v>
      </c>
      <c r="AM173" s="378"/>
      <c r="AN173" s="70">
        <v>-15678.680974999996</v>
      </c>
      <c r="AO173" s="70">
        <v>-11422.680974999996</v>
      </c>
      <c r="AP173" s="70">
        <v>-11422.680974999996</v>
      </c>
      <c r="AQ173" s="417">
        <v>0</v>
      </c>
      <c r="AR173" s="417">
        <v>0</v>
      </c>
    </row>
    <row r="174" spans="1:44">
      <c r="A174" s="439">
        <v>91631</v>
      </c>
      <c r="B174" s="440" t="s">
        <v>885</v>
      </c>
      <c r="C174" s="437">
        <v>6.3690000000000003E-4</v>
      </c>
      <c r="D174" s="441"/>
      <c r="E174" s="438">
        <v>529322.65257499996</v>
      </c>
      <c r="F174" s="442">
        <v>432157.02237499994</v>
      </c>
      <c r="G174" s="442">
        <v>125010.63797499996</v>
      </c>
      <c r="H174" s="442">
        <v>565762.72830000008</v>
      </c>
      <c r="I174" s="442">
        <v>0</v>
      </c>
      <c r="J174" s="443">
        <v>6.3750000000000005E-4</v>
      </c>
      <c r="K174" s="443"/>
      <c r="L174" s="444">
        <v>102621.78630000001</v>
      </c>
      <c r="M174" s="444">
        <v>42078.0723</v>
      </c>
      <c r="N174" s="444">
        <v>-5058.8967000000002</v>
      </c>
      <c r="O174" s="444">
        <v>0</v>
      </c>
      <c r="P174" s="417">
        <v>0</v>
      </c>
      <c r="Q174" s="378">
        <v>6.3750000000000005E-4</v>
      </c>
      <c r="R174" s="378"/>
      <c r="S174" s="70">
        <v>249507.48570000002</v>
      </c>
      <c r="T174" s="105">
        <v>233523.84330000001</v>
      </c>
      <c r="U174" s="70">
        <v>138738.47460000002</v>
      </c>
      <c r="V174" s="70">
        <v>565762.72830000008</v>
      </c>
      <c r="W174" s="417">
        <v>0</v>
      </c>
      <c r="X174" s="378">
        <v>6.3750000000000005E-4</v>
      </c>
      <c r="Z174" s="70">
        <v>179252.3205</v>
      </c>
      <c r="AA174" s="70">
        <v>179251.04670000001</v>
      </c>
      <c r="AB174" s="70">
        <v>0</v>
      </c>
      <c r="AC174" s="417">
        <v>0</v>
      </c>
      <c r="AD174" s="417">
        <v>0</v>
      </c>
      <c r="AE174" s="378">
        <v>6.3750000000000005E-4</v>
      </c>
      <c r="AF174" s="378"/>
      <c r="AG174" s="70">
        <v>20637</v>
      </c>
      <c r="AH174" s="70">
        <v>0</v>
      </c>
      <c r="AI174" s="70">
        <v>0</v>
      </c>
      <c r="AJ174" s="417">
        <v>0</v>
      </c>
      <c r="AK174" s="417">
        <v>0</v>
      </c>
      <c r="AL174" s="378">
        <v>6.3750000000000005E-4</v>
      </c>
      <c r="AM174" s="378"/>
      <c r="AN174" s="70">
        <v>-22695.939925000042</v>
      </c>
      <c r="AO174" s="70">
        <v>-22695.939925000042</v>
      </c>
      <c r="AP174" s="70">
        <v>-8668.9399250000424</v>
      </c>
      <c r="AQ174" s="417">
        <v>0</v>
      </c>
      <c r="AR174" s="417">
        <v>0</v>
      </c>
    </row>
    <row r="175" spans="1:44">
      <c r="A175" s="439">
        <v>91633</v>
      </c>
      <c r="B175" s="440" t="s">
        <v>886</v>
      </c>
      <c r="C175" s="437">
        <v>3.6000000000000001E-5</v>
      </c>
      <c r="D175" s="441"/>
      <c r="E175" s="438">
        <v>35932.130499999999</v>
      </c>
      <c r="F175" s="442">
        <v>30366.442500000005</v>
      </c>
      <c r="G175" s="442">
        <v>25325.506500000003</v>
      </c>
      <c r="H175" s="442">
        <v>31979.052</v>
      </c>
      <c r="I175" s="442">
        <v>0</v>
      </c>
      <c r="J175" s="443">
        <v>0</v>
      </c>
      <c r="K175" s="443"/>
      <c r="L175" s="444">
        <v>5800.5720000000001</v>
      </c>
      <c r="M175" s="444">
        <v>2378.4120000000003</v>
      </c>
      <c r="N175" s="444">
        <v>-285.94799999999998</v>
      </c>
      <c r="O175" s="444">
        <v>0</v>
      </c>
      <c r="P175" s="417">
        <v>0</v>
      </c>
      <c r="Q175" s="378">
        <v>0</v>
      </c>
      <c r="R175" s="378"/>
      <c r="S175" s="70">
        <v>14103.108</v>
      </c>
      <c r="T175" s="105">
        <v>13199.652</v>
      </c>
      <c r="U175" s="70">
        <v>7842.0240000000003</v>
      </c>
      <c r="V175" s="70">
        <v>31979.052</v>
      </c>
      <c r="W175" s="417">
        <v>0</v>
      </c>
      <c r="X175" s="378">
        <v>0</v>
      </c>
      <c r="Z175" s="70">
        <v>10132.02</v>
      </c>
      <c r="AA175" s="70">
        <v>10131.948</v>
      </c>
      <c r="AB175" s="70">
        <v>0</v>
      </c>
      <c r="AC175" s="417">
        <v>0</v>
      </c>
      <c r="AD175" s="417">
        <v>0</v>
      </c>
      <c r="AE175" s="378">
        <v>0</v>
      </c>
      <c r="AF175" s="378"/>
      <c r="AG175" s="70">
        <v>19922.430500000002</v>
      </c>
      <c r="AH175" s="70">
        <v>17769.430500000002</v>
      </c>
      <c r="AI175" s="70">
        <v>17769.430500000002</v>
      </c>
      <c r="AJ175" s="417">
        <v>0</v>
      </c>
      <c r="AK175" s="417">
        <v>0</v>
      </c>
      <c r="AL175" s="378">
        <v>0</v>
      </c>
      <c r="AM175" s="378"/>
      <c r="AN175" s="70">
        <v>-14026</v>
      </c>
      <c r="AO175" s="70">
        <v>-13113</v>
      </c>
      <c r="AP175" s="70">
        <v>0</v>
      </c>
      <c r="AQ175" s="417">
        <v>0</v>
      </c>
      <c r="AR175" s="417">
        <v>0</v>
      </c>
    </row>
    <row r="176" spans="1:44">
      <c r="A176" s="439">
        <v>91641</v>
      </c>
      <c r="B176" s="440" t="s">
        <v>887</v>
      </c>
      <c r="C176" s="437">
        <v>3.2289999999999999E-4</v>
      </c>
      <c r="D176" s="441"/>
      <c r="E176" s="438">
        <v>267584.50912499998</v>
      </c>
      <c r="F176" s="442">
        <v>226961.49092499999</v>
      </c>
      <c r="G176" s="442">
        <v>60971.770524999985</v>
      </c>
      <c r="H176" s="442">
        <v>286834.33029999997</v>
      </c>
      <c r="I176" s="442">
        <v>0</v>
      </c>
      <c r="J176" s="443">
        <v>3.234E-4</v>
      </c>
      <c r="K176" s="443"/>
      <c r="L176" s="444">
        <v>52027.908299999996</v>
      </c>
      <c r="M176" s="444">
        <v>21333.034299999999</v>
      </c>
      <c r="N176" s="444">
        <v>-2564.7946999999999</v>
      </c>
      <c r="O176" s="444">
        <v>0</v>
      </c>
      <c r="P176" s="417">
        <v>0</v>
      </c>
      <c r="Q176" s="378">
        <v>3.234E-4</v>
      </c>
      <c r="R176" s="378"/>
      <c r="S176" s="70">
        <v>126497.04369999999</v>
      </c>
      <c r="T176" s="105">
        <v>118393.5453</v>
      </c>
      <c r="U176" s="70">
        <v>70338.598599999998</v>
      </c>
      <c r="V176" s="70">
        <v>286834.33029999997</v>
      </c>
      <c r="W176" s="417">
        <v>0</v>
      </c>
      <c r="X176" s="378">
        <v>3.234E-4</v>
      </c>
      <c r="Z176" s="70">
        <v>90878.590499999991</v>
      </c>
      <c r="AA176" s="70">
        <v>90877.944699999993</v>
      </c>
      <c r="AB176" s="70">
        <v>0</v>
      </c>
      <c r="AC176" s="417">
        <v>0</v>
      </c>
      <c r="AD176" s="417">
        <v>0</v>
      </c>
      <c r="AE176" s="378">
        <v>3.234E-4</v>
      </c>
      <c r="AF176" s="378"/>
      <c r="AG176" s="70">
        <v>4983</v>
      </c>
      <c r="AH176" s="70">
        <v>3159</v>
      </c>
      <c r="AI176" s="70">
        <v>0</v>
      </c>
      <c r="AJ176" s="417">
        <v>0</v>
      </c>
      <c r="AK176" s="417">
        <v>0</v>
      </c>
      <c r="AL176" s="378">
        <v>3.234E-4</v>
      </c>
      <c r="AM176" s="378"/>
      <c r="AN176" s="70">
        <v>-6802.0333750000136</v>
      </c>
      <c r="AO176" s="70">
        <v>-6802.0333750000136</v>
      </c>
      <c r="AP176" s="70">
        <v>-6802.0333750000136</v>
      </c>
      <c r="AQ176" s="417">
        <v>0</v>
      </c>
      <c r="AR176" s="417">
        <v>0</v>
      </c>
    </row>
    <row r="177" spans="1:44">
      <c r="A177" s="439">
        <v>91651</v>
      </c>
      <c r="B177" s="440" t="s">
        <v>888</v>
      </c>
      <c r="C177" s="437">
        <v>5.6240000000000001E-4</v>
      </c>
      <c r="D177" s="441"/>
      <c r="E177" s="438">
        <v>482233.35714999994</v>
      </c>
      <c r="F177" s="442">
        <v>403859.49794999999</v>
      </c>
      <c r="G177" s="442">
        <v>112387.67554999991</v>
      </c>
      <c r="H177" s="442">
        <v>499583.85680000001</v>
      </c>
      <c r="I177" s="442">
        <v>0</v>
      </c>
      <c r="J177" s="443">
        <v>5.5210000000000003E-4</v>
      </c>
      <c r="K177" s="443"/>
      <c r="L177" s="444">
        <v>90617.824800000002</v>
      </c>
      <c r="M177" s="444">
        <v>37156.080800000003</v>
      </c>
      <c r="N177" s="444">
        <v>-4467.1432000000004</v>
      </c>
      <c r="O177" s="444">
        <v>0</v>
      </c>
      <c r="P177" s="417">
        <v>0</v>
      </c>
      <c r="Q177" s="378">
        <v>5.5210000000000003E-4</v>
      </c>
      <c r="R177" s="378"/>
      <c r="S177" s="70">
        <v>220321.8872</v>
      </c>
      <c r="T177" s="105">
        <v>206207.89680000002</v>
      </c>
      <c r="U177" s="70">
        <v>122509.8416</v>
      </c>
      <c r="V177" s="70">
        <v>499583.85680000001</v>
      </c>
      <c r="W177" s="417">
        <v>0</v>
      </c>
      <c r="X177" s="378">
        <v>5.5210000000000003E-4</v>
      </c>
      <c r="Z177" s="70">
        <v>158284.66800000001</v>
      </c>
      <c r="AA177" s="70">
        <v>158283.54320000001</v>
      </c>
      <c r="AB177" s="70">
        <v>0</v>
      </c>
      <c r="AC177" s="417">
        <v>0</v>
      </c>
      <c r="AD177" s="417">
        <v>0</v>
      </c>
      <c r="AE177" s="378">
        <v>5.5210000000000003E-4</v>
      </c>
      <c r="AF177" s="378"/>
      <c r="AG177" s="70">
        <v>21025</v>
      </c>
      <c r="AH177" s="70">
        <v>7867</v>
      </c>
      <c r="AI177" s="70">
        <v>0</v>
      </c>
      <c r="AJ177" s="417">
        <v>0</v>
      </c>
      <c r="AK177" s="417">
        <v>0</v>
      </c>
      <c r="AL177" s="378">
        <v>5.5210000000000003E-4</v>
      </c>
      <c r="AM177" s="378"/>
      <c r="AN177" s="70">
        <v>-8016.0228500000812</v>
      </c>
      <c r="AO177" s="70">
        <v>-5655.0228500000812</v>
      </c>
      <c r="AP177" s="70">
        <v>-5655.0228500000812</v>
      </c>
      <c r="AQ177" s="417">
        <v>0</v>
      </c>
      <c r="AR177" s="417">
        <v>0</v>
      </c>
    </row>
    <row r="178" spans="1:44">
      <c r="A178" s="439">
        <v>91661</v>
      </c>
      <c r="B178" s="440" t="s">
        <v>889</v>
      </c>
      <c r="C178" s="437">
        <v>2.063E-4</v>
      </c>
      <c r="D178" s="441"/>
      <c r="E178" s="438">
        <v>150613.908925</v>
      </c>
      <c r="F178" s="442">
        <v>132078.31352500001</v>
      </c>
      <c r="G178" s="442">
        <v>38756.174724999997</v>
      </c>
      <c r="H178" s="442">
        <v>183257.7341</v>
      </c>
      <c r="I178" s="442">
        <v>0</v>
      </c>
      <c r="J178" s="443">
        <v>1.9269999999999999E-4</v>
      </c>
      <c r="K178" s="443"/>
      <c r="L178" s="444">
        <v>33240.500099999997</v>
      </c>
      <c r="M178" s="444">
        <v>13629.622100000001</v>
      </c>
      <c r="N178" s="444">
        <v>-1638.6409000000001</v>
      </c>
      <c r="O178" s="444">
        <v>0</v>
      </c>
      <c r="P178" s="417">
        <v>0</v>
      </c>
      <c r="Q178" s="378">
        <v>1.9269999999999999E-4</v>
      </c>
      <c r="R178" s="378"/>
      <c r="S178" s="70">
        <v>80818.643899999995</v>
      </c>
      <c r="T178" s="105">
        <v>75641.339099999997</v>
      </c>
      <c r="U178" s="70">
        <v>44939.154199999997</v>
      </c>
      <c r="V178" s="70">
        <v>183257.7341</v>
      </c>
      <c r="W178" s="417">
        <v>0</v>
      </c>
      <c r="X178" s="378">
        <v>1.9269999999999999E-4</v>
      </c>
      <c r="Z178" s="70">
        <v>58062.103499999997</v>
      </c>
      <c r="AA178" s="70">
        <v>58061.690900000001</v>
      </c>
      <c r="AB178" s="70">
        <v>0</v>
      </c>
      <c r="AC178" s="417">
        <v>0</v>
      </c>
      <c r="AD178" s="417">
        <v>0</v>
      </c>
      <c r="AE178" s="378">
        <v>1.9269999999999999E-4</v>
      </c>
      <c r="AF178" s="378"/>
      <c r="AG178" s="70">
        <v>0</v>
      </c>
      <c r="AH178" s="70">
        <v>0</v>
      </c>
      <c r="AI178" s="70">
        <v>0</v>
      </c>
      <c r="AJ178" s="417">
        <v>0</v>
      </c>
      <c r="AK178" s="417">
        <v>0</v>
      </c>
      <c r="AL178" s="378">
        <v>1.9269999999999999E-4</v>
      </c>
      <c r="AM178" s="378"/>
      <c r="AN178" s="70">
        <v>-21507.338575000002</v>
      </c>
      <c r="AO178" s="70">
        <v>-15254.338575000002</v>
      </c>
      <c r="AP178" s="70">
        <v>-4544.3385750000016</v>
      </c>
      <c r="AQ178" s="417">
        <v>0</v>
      </c>
      <c r="AR178" s="417">
        <v>0</v>
      </c>
    </row>
    <row r="179" spans="1:44">
      <c r="A179" s="439">
        <v>91671</v>
      </c>
      <c r="B179" s="440" t="s">
        <v>890</v>
      </c>
      <c r="C179" s="437">
        <v>1.0069999999999999E-4</v>
      </c>
      <c r="D179" s="441"/>
      <c r="E179" s="438">
        <v>73327.083824999994</v>
      </c>
      <c r="F179" s="442">
        <v>71798.173224999991</v>
      </c>
      <c r="G179" s="442">
        <v>18687.580024999992</v>
      </c>
      <c r="H179" s="442">
        <v>89452.514899999995</v>
      </c>
      <c r="I179" s="442">
        <v>0</v>
      </c>
      <c r="J179" s="443">
        <v>1.013E-4</v>
      </c>
      <c r="K179" s="443"/>
      <c r="L179" s="444">
        <v>16225.488899999998</v>
      </c>
      <c r="M179" s="444">
        <v>6652.9468999999999</v>
      </c>
      <c r="N179" s="444">
        <v>-799.86009999999999</v>
      </c>
      <c r="O179" s="444">
        <v>0</v>
      </c>
      <c r="P179" s="417">
        <v>0</v>
      </c>
      <c r="Q179" s="378">
        <v>1.013E-4</v>
      </c>
      <c r="R179" s="378"/>
      <c r="S179" s="70">
        <v>39449.527099999999</v>
      </c>
      <c r="T179" s="105">
        <v>36922.359899999996</v>
      </c>
      <c r="U179" s="70">
        <v>21935.8838</v>
      </c>
      <c r="V179" s="70">
        <v>89452.514899999995</v>
      </c>
      <c r="W179" s="417">
        <v>0</v>
      </c>
      <c r="X179" s="378">
        <v>1.013E-4</v>
      </c>
      <c r="Z179" s="70">
        <v>28341.511499999997</v>
      </c>
      <c r="AA179" s="70">
        <v>28341.310099999999</v>
      </c>
      <c r="AB179" s="70">
        <v>0</v>
      </c>
      <c r="AC179" s="417">
        <v>0</v>
      </c>
      <c r="AD179" s="417">
        <v>0</v>
      </c>
      <c r="AE179" s="378">
        <v>1.013E-4</v>
      </c>
      <c r="AF179" s="378"/>
      <c r="AG179" s="70">
        <v>2330</v>
      </c>
      <c r="AH179" s="70">
        <v>2330</v>
      </c>
      <c r="AI179" s="70">
        <v>0</v>
      </c>
      <c r="AJ179" s="417">
        <v>0</v>
      </c>
      <c r="AK179" s="417">
        <v>0</v>
      </c>
      <c r="AL179" s="378">
        <v>1.013E-4</v>
      </c>
      <c r="AM179" s="378"/>
      <c r="AN179" s="70">
        <v>-13019.443675000006</v>
      </c>
      <c r="AO179" s="70">
        <v>-2448.4436750000059</v>
      </c>
      <c r="AP179" s="70">
        <v>-2448.4436750000059</v>
      </c>
      <c r="AQ179" s="417">
        <v>0</v>
      </c>
      <c r="AR179" s="417">
        <v>0</v>
      </c>
    </row>
    <row r="180" spans="1:44">
      <c r="A180" s="439">
        <v>91681</v>
      </c>
      <c r="B180" s="440" t="s">
        <v>891</v>
      </c>
      <c r="C180" s="437">
        <v>4.484E-4</v>
      </c>
      <c r="D180" s="441"/>
      <c r="E180" s="438">
        <v>490623.85049999994</v>
      </c>
      <c r="F180" s="442">
        <v>403690.00329999998</v>
      </c>
      <c r="G180" s="442">
        <v>140150.64489999998</v>
      </c>
      <c r="H180" s="442">
        <v>398316.85879999999</v>
      </c>
      <c r="I180" s="442">
        <v>0</v>
      </c>
      <c r="J180" s="443">
        <v>4.5239999999999999E-4</v>
      </c>
      <c r="K180" s="443"/>
      <c r="L180" s="444">
        <v>72249.346799999999</v>
      </c>
      <c r="M180" s="444">
        <v>29624.442800000001</v>
      </c>
      <c r="N180" s="444">
        <v>-3561.6412</v>
      </c>
      <c r="O180" s="444">
        <v>0</v>
      </c>
      <c r="P180" s="417">
        <v>0</v>
      </c>
      <c r="Q180" s="378">
        <v>4.5239999999999999E-4</v>
      </c>
      <c r="R180" s="378"/>
      <c r="S180" s="70">
        <v>175662.04519999999</v>
      </c>
      <c r="T180" s="105">
        <v>164408.9988</v>
      </c>
      <c r="U180" s="70">
        <v>97676.765599999999</v>
      </c>
      <c r="V180" s="70">
        <v>398316.85879999999</v>
      </c>
      <c r="W180" s="417">
        <v>0</v>
      </c>
      <c r="X180" s="378">
        <v>4.5239999999999999E-4</v>
      </c>
      <c r="Z180" s="70">
        <v>126199.93799999999</v>
      </c>
      <c r="AA180" s="70">
        <v>126199.04120000001</v>
      </c>
      <c r="AB180" s="70">
        <v>0</v>
      </c>
      <c r="AC180" s="417">
        <v>0</v>
      </c>
      <c r="AD180" s="417">
        <v>0</v>
      </c>
      <c r="AE180" s="378">
        <v>4.5239999999999999E-4</v>
      </c>
      <c r="AF180" s="378"/>
      <c r="AG180" s="70">
        <v>117897.52049999998</v>
      </c>
      <c r="AH180" s="70">
        <v>83457.520499999984</v>
      </c>
      <c r="AI180" s="70">
        <v>46035.520499999984</v>
      </c>
      <c r="AJ180" s="417">
        <v>0</v>
      </c>
      <c r="AK180" s="417">
        <v>0</v>
      </c>
      <c r="AL180" s="378">
        <v>4.5239999999999999E-4</v>
      </c>
      <c r="AM180" s="378"/>
      <c r="AN180" s="70">
        <v>-1385</v>
      </c>
      <c r="AO180" s="70">
        <v>0</v>
      </c>
      <c r="AP180" s="70">
        <v>0</v>
      </c>
      <c r="AQ180" s="417">
        <v>0</v>
      </c>
      <c r="AR180" s="417">
        <v>0</v>
      </c>
    </row>
    <row r="181" spans="1:44">
      <c r="A181" s="439">
        <v>91691</v>
      </c>
      <c r="B181" s="440" t="s">
        <v>892</v>
      </c>
      <c r="C181" s="437">
        <v>3.5099999999999999E-5</v>
      </c>
      <c r="D181" s="441"/>
      <c r="E181" s="438">
        <v>40176.275425</v>
      </c>
      <c r="F181" s="442">
        <v>36982.729624999993</v>
      </c>
      <c r="G181" s="442">
        <v>10666.642024999997</v>
      </c>
      <c r="H181" s="442">
        <v>31179.575700000001</v>
      </c>
      <c r="I181" s="442">
        <v>0</v>
      </c>
      <c r="J181" s="443">
        <v>2.8500000000000002E-5</v>
      </c>
      <c r="K181" s="443"/>
      <c r="L181" s="444">
        <v>5655.5577000000003</v>
      </c>
      <c r="M181" s="444">
        <v>2318.9517000000001</v>
      </c>
      <c r="N181" s="444">
        <v>-278.79930000000002</v>
      </c>
      <c r="O181" s="444">
        <v>0</v>
      </c>
      <c r="P181" s="417">
        <v>0</v>
      </c>
      <c r="Q181" s="378">
        <v>2.8500000000000002E-5</v>
      </c>
      <c r="R181" s="378"/>
      <c r="S181" s="70">
        <v>13750.5303</v>
      </c>
      <c r="T181" s="105">
        <v>12869.6607</v>
      </c>
      <c r="U181" s="70">
        <v>7645.9733999999999</v>
      </c>
      <c r="V181" s="70">
        <v>31179.575700000001</v>
      </c>
      <c r="W181" s="417">
        <v>0</v>
      </c>
      <c r="X181" s="378">
        <v>2.8500000000000002E-5</v>
      </c>
      <c r="Z181" s="70">
        <v>9878.7194999999992</v>
      </c>
      <c r="AA181" s="70">
        <v>9878.6492999999991</v>
      </c>
      <c r="AB181" s="70">
        <v>0</v>
      </c>
      <c r="AC181" s="417">
        <v>0</v>
      </c>
      <c r="AD181" s="417">
        <v>0</v>
      </c>
      <c r="AE181" s="378">
        <v>2.8500000000000002E-5</v>
      </c>
      <c r="AF181" s="378"/>
      <c r="AG181" s="70">
        <v>12428.467924999997</v>
      </c>
      <c r="AH181" s="70">
        <v>11915.467924999997</v>
      </c>
      <c r="AI181" s="70">
        <v>3299.4679249999981</v>
      </c>
      <c r="AJ181" s="417">
        <v>0</v>
      </c>
      <c r="AK181" s="417">
        <v>0</v>
      </c>
      <c r="AL181" s="378">
        <v>2.8500000000000002E-5</v>
      </c>
      <c r="AM181" s="378"/>
      <c r="AN181" s="70">
        <v>-1537</v>
      </c>
      <c r="AO181" s="70">
        <v>0</v>
      </c>
      <c r="AP181" s="70">
        <v>0</v>
      </c>
      <c r="AQ181" s="417">
        <v>0</v>
      </c>
      <c r="AR181" s="417">
        <v>0</v>
      </c>
    </row>
    <row r="182" spans="1:44">
      <c r="A182" s="439">
        <v>91701</v>
      </c>
      <c r="B182" s="440" t="s">
        <v>893</v>
      </c>
      <c r="C182" s="437">
        <v>1.2080000000000001E-3</v>
      </c>
      <c r="D182" s="441"/>
      <c r="E182" s="438">
        <v>853904.78685000015</v>
      </c>
      <c r="F182" s="442">
        <v>734993.92285000009</v>
      </c>
      <c r="G182" s="442">
        <v>113117.51485000007</v>
      </c>
      <c r="H182" s="442">
        <v>1073074.8560000001</v>
      </c>
      <c r="I182" s="442">
        <v>0</v>
      </c>
      <c r="J182" s="443">
        <v>1.1352999999999999E-3</v>
      </c>
      <c r="K182" s="443"/>
      <c r="L182" s="444">
        <v>194641.41600000003</v>
      </c>
      <c r="M182" s="444">
        <v>79808.936000000002</v>
      </c>
      <c r="N182" s="444">
        <v>-9595.1440000000002</v>
      </c>
      <c r="O182" s="444">
        <v>0</v>
      </c>
      <c r="P182" s="417">
        <v>0</v>
      </c>
      <c r="Q182" s="378">
        <v>1.1352999999999999E-3</v>
      </c>
      <c r="R182" s="378"/>
      <c r="S182" s="70">
        <v>473237.62400000001</v>
      </c>
      <c r="T182" s="105">
        <v>442921.65600000002</v>
      </c>
      <c r="U182" s="70">
        <v>263143.47200000001</v>
      </c>
      <c r="V182" s="70">
        <v>1073074.8560000001</v>
      </c>
      <c r="W182" s="417">
        <v>0</v>
      </c>
      <c r="X182" s="378">
        <v>1.1352999999999999E-3</v>
      </c>
      <c r="Z182" s="70">
        <v>339985.56</v>
      </c>
      <c r="AA182" s="70">
        <v>339983.14400000003</v>
      </c>
      <c r="AB182" s="70">
        <v>0</v>
      </c>
      <c r="AC182" s="417">
        <v>0</v>
      </c>
      <c r="AD182" s="417">
        <v>0</v>
      </c>
      <c r="AE182" s="378">
        <v>1.1352999999999999E-3</v>
      </c>
      <c r="AF182" s="378"/>
      <c r="AG182" s="70">
        <v>12711</v>
      </c>
      <c r="AH182" s="70">
        <v>12711</v>
      </c>
      <c r="AI182" s="70">
        <v>0</v>
      </c>
      <c r="AJ182" s="417">
        <v>0</v>
      </c>
      <c r="AK182" s="417">
        <v>0</v>
      </c>
      <c r="AL182" s="378">
        <v>1.1352999999999999E-3</v>
      </c>
      <c r="AM182" s="378"/>
      <c r="AN182" s="70">
        <v>-166670.81314999994</v>
      </c>
      <c r="AO182" s="70">
        <v>-140430.81314999994</v>
      </c>
      <c r="AP182" s="70">
        <v>-140430.81314999994</v>
      </c>
      <c r="AQ182" s="417">
        <v>0</v>
      </c>
      <c r="AR182" s="417">
        <v>0</v>
      </c>
    </row>
    <row r="183" spans="1:44">
      <c r="A183" s="439">
        <v>91704</v>
      </c>
      <c r="B183" s="440" t="s">
        <v>894</v>
      </c>
      <c r="C183" s="437">
        <v>1.7799999999999999E-5</v>
      </c>
      <c r="D183" s="441"/>
      <c r="E183" s="438">
        <v>16608.79435</v>
      </c>
      <c r="F183" s="442">
        <v>14330.981949999998</v>
      </c>
      <c r="G183" s="442">
        <v>4273.8691499999995</v>
      </c>
      <c r="H183" s="442">
        <v>15811.864599999999</v>
      </c>
      <c r="I183" s="442">
        <v>0</v>
      </c>
      <c r="J183" s="443">
        <v>1.7600000000000001E-5</v>
      </c>
      <c r="K183" s="443"/>
      <c r="L183" s="444">
        <v>2868.0605999999998</v>
      </c>
      <c r="M183" s="444">
        <v>1175.9926</v>
      </c>
      <c r="N183" s="444">
        <v>-141.3854</v>
      </c>
      <c r="O183" s="444">
        <v>0</v>
      </c>
      <c r="P183" s="417">
        <v>0</v>
      </c>
      <c r="Q183" s="378">
        <v>1.7600000000000001E-5</v>
      </c>
      <c r="R183" s="378"/>
      <c r="S183" s="70">
        <v>6973.2033999999994</v>
      </c>
      <c r="T183" s="105">
        <v>6526.4946</v>
      </c>
      <c r="U183" s="70">
        <v>3877.4451999999997</v>
      </c>
      <c r="V183" s="70">
        <v>15811.864599999999</v>
      </c>
      <c r="W183" s="417">
        <v>0</v>
      </c>
      <c r="X183" s="378">
        <v>1.7600000000000001E-5</v>
      </c>
      <c r="Z183" s="70">
        <v>5009.7209999999995</v>
      </c>
      <c r="AA183" s="70">
        <v>5009.6853999999994</v>
      </c>
      <c r="AB183" s="70">
        <v>0</v>
      </c>
      <c r="AC183" s="417">
        <v>0</v>
      </c>
      <c r="AD183" s="417">
        <v>0</v>
      </c>
      <c r="AE183" s="378">
        <v>1.7600000000000001E-5</v>
      </c>
      <c r="AF183" s="378"/>
      <c r="AG183" s="70">
        <v>1763.80935</v>
      </c>
      <c r="AH183" s="70">
        <v>1618.80935</v>
      </c>
      <c r="AI183" s="70">
        <v>537.80934999999999</v>
      </c>
      <c r="AJ183" s="417">
        <v>0</v>
      </c>
      <c r="AK183" s="417">
        <v>0</v>
      </c>
      <c r="AL183" s="378">
        <v>1.7600000000000001E-5</v>
      </c>
      <c r="AM183" s="378"/>
      <c r="AN183" s="70">
        <v>-6</v>
      </c>
      <c r="AO183" s="70">
        <v>0</v>
      </c>
      <c r="AP183" s="70">
        <v>0</v>
      </c>
      <c r="AQ183" s="417">
        <v>0</v>
      </c>
      <c r="AR183" s="417">
        <v>0</v>
      </c>
    </row>
    <row r="184" spans="1:44">
      <c r="A184" s="439">
        <v>91706</v>
      </c>
      <c r="B184" s="440" t="s">
        <v>895</v>
      </c>
      <c r="C184" s="437">
        <v>2.042E-4</v>
      </c>
      <c r="D184" s="441"/>
      <c r="E184" s="438">
        <v>146775.47355</v>
      </c>
      <c r="F184" s="442">
        <v>123165.20995000002</v>
      </c>
      <c r="G184" s="442">
        <v>27420.050750000009</v>
      </c>
      <c r="H184" s="442">
        <v>181392.28940000001</v>
      </c>
      <c r="I184" s="442">
        <v>0</v>
      </c>
      <c r="J184" s="443">
        <v>1.9760000000000001E-4</v>
      </c>
      <c r="K184" s="443"/>
      <c r="L184" s="444">
        <v>32902.133399999999</v>
      </c>
      <c r="M184" s="444">
        <v>13490.8814</v>
      </c>
      <c r="N184" s="444">
        <v>-1621.9606000000001</v>
      </c>
      <c r="O184" s="444">
        <v>0</v>
      </c>
      <c r="P184" s="417">
        <v>0</v>
      </c>
      <c r="Q184" s="378">
        <v>1.9760000000000001E-4</v>
      </c>
      <c r="R184" s="378"/>
      <c r="S184" s="70">
        <v>79995.962599999999</v>
      </c>
      <c r="T184" s="105">
        <v>74871.359400000001</v>
      </c>
      <c r="U184" s="70">
        <v>44481.702799999999</v>
      </c>
      <c r="V184" s="70">
        <v>181392.28940000001</v>
      </c>
      <c r="W184" s="417">
        <v>0</v>
      </c>
      <c r="X184" s="378">
        <v>1.9760000000000001E-4</v>
      </c>
      <c r="Z184" s="70">
        <v>57471.069000000003</v>
      </c>
      <c r="AA184" s="70">
        <v>57470.660600000003</v>
      </c>
      <c r="AB184" s="70">
        <v>0</v>
      </c>
      <c r="AC184" s="417">
        <v>0</v>
      </c>
      <c r="AD184" s="417">
        <v>0</v>
      </c>
      <c r="AE184" s="378">
        <v>1.9760000000000001E-4</v>
      </c>
      <c r="AF184" s="378"/>
      <c r="AG184" s="70">
        <v>7657</v>
      </c>
      <c r="AH184" s="70">
        <v>0</v>
      </c>
      <c r="AI184" s="70">
        <v>0</v>
      </c>
      <c r="AJ184" s="417">
        <v>0</v>
      </c>
      <c r="AK184" s="417">
        <v>0</v>
      </c>
      <c r="AL184" s="378">
        <v>1.9760000000000001E-4</v>
      </c>
      <c r="AM184" s="378"/>
      <c r="AN184" s="70">
        <v>-31250.691449999991</v>
      </c>
      <c r="AO184" s="70">
        <v>-22667.691449999991</v>
      </c>
      <c r="AP184" s="70">
        <v>-15439.691449999991</v>
      </c>
      <c r="AQ184" s="417">
        <v>0</v>
      </c>
      <c r="AR184" s="417">
        <v>0</v>
      </c>
    </row>
    <row r="185" spans="1:44">
      <c r="A185" s="439">
        <v>91719</v>
      </c>
      <c r="B185" s="440" t="s">
        <v>896</v>
      </c>
      <c r="C185" s="437">
        <v>3.7200000000000003E-5</v>
      </c>
      <c r="D185" s="441"/>
      <c r="E185" s="438">
        <v>15930.948150000002</v>
      </c>
      <c r="F185" s="442">
        <v>14629.070549999999</v>
      </c>
      <c r="G185" s="442">
        <v>18.003349999999955</v>
      </c>
      <c r="H185" s="442">
        <v>33045.020400000001</v>
      </c>
      <c r="I185" s="442">
        <v>0</v>
      </c>
      <c r="J185" s="443">
        <v>4.99E-5</v>
      </c>
      <c r="K185" s="443"/>
      <c r="L185" s="444">
        <v>5993.9244000000008</v>
      </c>
      <c r="M185" s="444">
        <v>2457.6924000000004</v>
      </c>
      <c r="N185" s="444">
        <v>-295.4796</v>
      </c>
      <c r="O185" s="444">
        <v>0</v>
      </c>
      <c r="P185" s="417">
        <v>0</v>
      </c>
      <c r="Q185" s="378">
        <v>4.99E-5</v>
      </c>
      <c r="R185" s="378"/>
      <c r="S185" s="70">
        <v>14573.211600000001</v>
      </c>
      <c r="T185" s="105">
        <v>13639.6404</v>
      </c>
      <c r="U185" s="70">
        <v>8103.4248000000007</v>
      </c>
      <c r="V185" s="70">
        <v>33045.020400000001</v>
      </c>
      <c r="W185" s="417">
        <v>0</v>
      </c>
      <c r="X185" s="378">
        <v>4.99E-5</v>
      </c>
      <c r="Z185" s="70">
        <v>10469.754000000001</v>
      </c>
      <c r="AA185" s="70">
        <v>10469.679600000001</v>
      </c>
      <c r="AB185" s="70">
        <v>0</v>
      </c>
      <c r="AC185" s="417">
        <v>0</v>
      </c>
      <c r="AD185" s="417">
        <v>0</v>
      </c>
      <c r="AE185" s="378">
        <v>4.99E-5</v>
      </c>
      <c r="AF185" s="378"/>
      <c r="AG185" s="70">
        <v>0</v>
      </c>
      <c r="AH185" s="70">
        <v>0</v>
      </c>
      <c r="AI185" s="70">
        <v>0</v>
      </c>
      <c r="AJ185" s="417">
        <v>0</v>
      </c>
      <c r="AK185" s="417">
        <v>0</v>
      </c>
      <c r="AL185" s="378">
        <v>4.99E-5</v>
      </c>
      <c r="AM185" s="378"/>
      <c r="AN185" s="70">
        <v>-15105.941850000001</v>
      </c>
      <c r="AO185" s="70">
        <v>-11937.941850000001</v>
      </c>
      <c r="AP185" s="70">
        <v>-7789.9418500000011</v>
      </c>
      <c r="AQ185" s="417">
        <v>0</v>
      </c>
      <c r="AR185" s="417">
        <v>0</v>
      </c>
    </row>
    <row r="186" spans="1:44">
      <c r="A186" s="439">
        <v>91801</v>
      </c>
      <c r="B186" s="440" t="s">
        <v>897</v>
      </c>
      <c r="C186" s="437">
        <v>7.7625999999999997E-3</v>
      </c>
      <c r="D186" s="441"/>
      <c r="E186" s="438">
        <v>6499270.3658999996</v>
      </c>
      <c r="F186" s="442">
        <v>5591449.8750999998</v>
      </c>
      <c r="G186" s="442">
        <v>1649129.9975000003</v>
      </c>
      <c r="H186" s="442">
        <v>6895571.9182000002</v>
      </c>
      <c r="I186" s="442">
        <v>0</v>
      </c>
      <c r="J186" s="443">
        <v>7.6772999999999997E-3</v>
      </c>
      <c r="K186" s="443"/>
      <c r="L186" s="444">
        <v>1250764.4501999998</v>
      </c>
      <c r="M186" s="444">
        <v>512851.69419999997</v>
      </c>
      <c r="N186" s="444">
        <v>-61658.3318</v>
      </c>
      <c r="O186" s="444">
        <v>0</v>
      </c>
      <c r="P186" s="417">
        <v>0</v>
      </c>
      <c r="Q186" s="378">
        <v>7.6772999999999997E-3</v>
      </c>
      <c r="R186" s="378"/>
      <c r="S186" s="70">
        <v>3041021.8377999999</v>
      </c>
      <c r="T186" s="105">
        <v>2846211.6281999997</v>
      </c>
      <c r="U186" s="70">
        <v>1690958.2083999999</v>
      </c>
      <c r="V186" s="70">
        <v>6895571.9182000002</v>
      </c>
      <c r="W186" s="417">
        <v>0</v>
      </c>
      <c r="X186" s="378">
        <v>7.6772999999999997E-3</v>
      </c>
      <c r="Z186" s="70">
        <v>2184744.9569999999</v>
      </c>
      <c r="AA186" s="70">
        <v>2184729.4317999999</v>
      </c>
      <c r="AB186" s="70">
        <v>0</v>
      </c>
      <c r="AC186" s="417">
        <v>0</v>
      </c>
      <c r="AD186" s="417">
        <v>0</v>
      </c>
      <c r="AE186" s="378">
        <v>7.6772999999999997E-3</v>
      </c>
      <c r="AF186" s="378"/>
      <c r="AG186" s="70">
        <v>90198.120900000446</v>
      </c>
      <c r="AH186" s="70">
        <v>47657.120900000446</v>
      </c>
      <c r="AI186" s="70">
        <v>19830.120900000446</v>
      </c>
      <c r="AJ186" s="417">
        <v>0</v>
      </c>
      <c r="AK186" s="417">
        <v>0</v>
      </c>
      <c r="AL186" s="378">
        <v>7.6772999999999997E-3</v>
      </c>
      <c r="AM186" s="378"/>
      <c r="AN186" s="70">
        <v>-67459</v>
      </c>
      <c r="AO186" s="70">
        <v>0</v>
      </c>
      <c r="AP186" s="70">
        <v>0</v>
      </c>
      <c r="AQ186" s="417">
        <v>0</v>
      </c>
      <c r="AR186" s="417">
        <v>0</v>
      </c>
    </row>
    <row r="187" spans="1:44">
      <c r="A187" s="439">
        <v>91804</v>
      </c>
      <c r="B187" s="440" t="s">
        <v>898</v>
      </c>
      <c r="C187" s="437">
        <v>1.85E-4</v>
      </c>
      <c r="D187" s="441"/>
      <c r="E187" s="438">
        <v>226985.41725</v>
      </c>
      <c r="F187" s="442">
        <v>183340.18725000002</v>
      </c>
      <c r="G187" s="442">
        <v>73933.12725000002</v>
      </c>
      <c r="H187" s="442">
        <v>164336.79499999998</v>
      </c>
      <c r="I187" s="442">
        <v>0</v>
      </c>
      <c r="J187" s="443">
        <v>1.4300000000000001E-4</v>
      </c>
      <c r="K187" s="443"/>
      <c r="L187" s="444">
        <v>29808.494999999999</v>
      </c>
      <c r="M187" s="444">
        <v>12222.395</v>
      </c>
      <c r="N187" s="444">
        <v>-1469.4549999999999</v>
      </c>
      <c r="O187" s="444">
        <v>0</v>
      </c>
      <c r="P187" s="417">
        <v>0</v>
      </c>
      <c r="Q187" s="378">
        <v>1.4300000000000001E-4</v>
      </c>
      <c r="R187" s="378"/>
      <c r="S187" s="70">
        <v>72474.304999999993</v>
      </c>
      <c r="T187" s="105">
        <v>67831.544999999998</v>
      </c>
      <c r="U187" s="70">
        <v>40299.29</v>
      </c>
      <c r="V187" s="70">
        <v>164336.79499999998</v>
      </c>
      <c r="W187" s="417">
        <v>0</v>
      </c>
      <c r="X187" s="378">
        <v>1.4300000000000001E-4</v>
      </c>
      <c r="Z187" s="70">
        <v>52067.324999999997</v>
      </c>
      <c r="AA187" s="70">
        <v>52066.955000000002</v>
      </c>
      <c r="AB187" s="70">
        <v>0</v>
      </c>
      <c r="AC187" s="417">
        <v>0</v>
      </c>
      <c r="AD187" s="417">
        <v>0</v>
      </c>
      <c r="AE187" s="378">
        <v>1.4300000000000001E-4</v>
      </c>
      <c r="AF187" s="378"/>
      <c r="AG187" s="70">
        <v>72635.292250000013</v>
      </c>
      <c r="AH187" s="70">
        <v>51219.292250000013</v>
      </c>
      <c r="AI187" s="70">
        <v>35103.292250000013</v>
      </c>
      <c r="AJ187" s="417">
        <v>0</v>
      </c>
      <c r="AK187" s="417">
        <v>0</v>
      </c>
      <c r="AL187" s="378">
        <v>1.4300000000000001E-4</v>
      </c>
      <c r="AM187" s="378"/>
      <c r="AN187" s="70">
        <v>0</v>
      </c>
      <c r="AO187" s="70">
        <v>0</v>
      </c>
      <c r="AP187" s="70">
        <v>0</v>
      </c>
      <c r="AQ187" s="417">
        <v>0</v>
      </c>
      <c r="AR187" s="417">
        <v>0</v>
      </c>
    </row>
    <row r="188" spans="1:44">
      <c r="A188" s="439">
        <v>91811</v>
      </c>
      <c r="B188" s="440" t="s">
        <v>899</v>
      </c>
      <c r="C188" s="437">
        <v>4.0623999999999999E-3</v>
      </c>
      <c r="D188" s="441"/>
      <c r="E188" s="438">
        <v>3226064.62585</v>
      </c>
      <c r="F188" s="442">
        <v>2748669.7666500001</v>
      </c>
      <c r="G188" s="442">
        <v>795294.94424999983</v>
      </c>
      <c r="H188" s="442">
        <v>3608658.3567999997</v>
      </c>
      <c r="I188" s="442">
        <v>0</v>
      </c>
      <c r="J188" s="443">
        <v>4.2316999999999997E-3</v>
      </c>
      <c r="K188" s="443"/>
      <c r="L188" s="444">
        <v>654562.32479999994</v>
      </c>
      <c r="M188" s="444">
        <v>268390.5808</v>
      </c>
      <c r="N188" s="444">
        <v>-32267.643199999999</v>
      </c>
      <c r="O188" s="444">
        <v>0</v>
      </c>
      <c r="P188" s="417">
        <v>0</v>
      </c>
      <c r="Q188" s="378">
        <v>4.2316999999999997E-3</v>
      </c>
      <c r="R188" s="378"/>
      <c r="S188" s="70">
        <v>1591457.3872</v>
      </c>
      <c r="T188" s="105">
        <v>1489507.3968</v>
      </c>
      <c r="U188" s="70">
        <v>884928.84159999993</v>
      </c>
      <c r="V188" s="70">
        <v>3608658.3567999997</v>
      </c>
      <c r="W188" s="417">
        <v>0</v>
      </c>
      <c r="X188" s="378">
        <v>4.2316999999999997E-3</v>
      </c>
      <c r="Z188" s="70">
        <v>1143342.1680000001</v>
      </c>
      <c r="AA188" s="70">
        <v>1143334.0432</v>
      </c>
      <c r="AB188" s="70">
        <v>0</v>
      </c>
      <c r="AC188" s="417">
        <v>0</v>
      </c>
      <c r="AD188" s="417">
        <v>0</v>
      </c>
      <c r="AE188" s="378">
        <v>4.2316999999999997E-3</v>
      </c>
      <c r="AF188" s="378"/>
      <c r="AG188" s="70">
        <v>37355</v>
      </c>
      <c r="AH188" s="70">
        <v>0</v>
      </c>
      <c r="AI188" s="70">
        <v>0</v>
      </c>
      <c r="AJ188" s="417">
        <v>0</v>
      </c>
      <c r="AK188" s="417">
        <v>0</v>
      </c>
      <c r="AL188" s="378">
        <v>4.2316999999999997E-3</v>
      </c>
      <c r="AM188" s="378"/>
      <c r="AN188" s="70">
        <v>-200652.25415000005</v>
      </c>
      <c r="AO188" s="70">
        <v>-152562.25415000005</v>
      </c>
      <c r="AP188" s="70">
        <v>-57366.254150000052</v>
      </c>
      <c r="AQ188" s="417">
        <v>0</v>
      </c>
      <c r="AR188" s="417">
        <v>0</v>
      </c>
    </row>
    <row r="189" spans="1:44">
      <c r="A189" s="439">
        <v>91812</v>
      </c>
      <c r="B189" s="440" t="s">
        <v>900</v>
      </c>
      <c r="C189" s="437">
        <v>4.9400000000000001E-5</v>
      </c>
      <c r="D189" s="441"/>
      <c r="E189" s="438">
        <v>45872.145899999996</v>
      </c>
      <c r="F189" s="442">
        <v>33980.340700000001</v>
      </c>
      <c r="G189" s="442">
        <v>9950.1062999999976</v>
      </c>
      <c r="H189" s="442">
        <v>43882.3658</v>
      </c>
      <c r="I189" s="442">
        <v>0</v>
      </c>
      <c r="J189" s="443">
        <v>5.41E-5</v>
      </c>
      <c r="K189" s="443"/>
      <c r="L189" s="444">
        <v>7959.6738000000005</v>
      </c>
      <c r="M189" s="444">
        <v>3263.7098000000001</v>
      </c>
      <c r="N189" s="444">
        <v>-392.38420000000002</v>
      </c>
      <c r="O189" s="444">
        <v>0</v>
      </c>
      <c r="P189" s="417">
        <v>0</v>
      </c>
      <c r="Q189" s="378">
        <v>5.41E-5</v>
      </c>
      <c r="R189" s="378"/>
      <c r="S189" s="70">
        <v>19352.5982</v>
      </c>
      <c r="T189" s="105">
        <v>18112.855800000001</v>
      </c>
      <c r="U189" s="70">
        <v>10760.999600000001</v>
      </c>
      <c r="V189" s="70">
        <v>43882.3658</v>
      </c>
      <c r="W189" s="417">
        <v>0</v>
      </c>
      <c r="X189" s="378">
        <v>5.41E-5</v>
      </c>
      <c r="Z189" s="70">
        <v>13903.383</v>
      </c>
      <c r="AA189" s="70">
        <v>13903.2842</v>
      </c>
      <c r="AB189" s="70">
        <v>0</v>
      </c>
      <c r="AC189" s="417">
        <v>0</v>
      </c>
      <c r="AD189" s="417">
        <v>0</v>
      </c>
      <c r="AE189" s="378">
        <v>5.41E-5</v>
      </c>
      <c r="AF189" s="378"/>
      <c r="AG189" s="70">
        <v>6580</v>
      </c>
      <c r="AH189" s="70">
        <v>0</v>
      </c>
      <c r="AI189" s="70">
        <v>0</v>
      </c>
      <c r="AJ189" s="417">
        <v>0</v>
      </c>
      <c r="AK189" s="417">
        <v>0</v>
      </c>
      <c r="AL189" s="378">
        <v>5.41E-5</v>
      </c>
      <c r="AM189" s="378"/>
      <c r="AN189" s="70">
        <v>-1923.5091000000029</v>
      </c>
      <c r="AO189" s="70">
        <v>-1299.5091000000029</v>
      </c>
      <c r="AP189" s="70">
        <v>-418.50910000000295</v>
      </c>
      <c r="AQ189" s="417">
        <v>0</v>
      </c>
      <c r="AR189" s="417">
        <v>0</v>
      </c>
    </row>
    <row r="190" spans="1:44">
      <c r="A190" s="439">
        <v>91813</v>
      </c>
      <c r="B190" s="440" t="s">
        <v>901</v>
      </c>
      <c r="C190" s="437">
        <v>6.7799999999999995E-5</v>
      </c>
      <c r="D190" s="441"/>
      <c r="E190" s="438">
        <v>55398.836749999995</v>
      </c>
      <c r="F190" s="442">
        <v>44579.124349999998</v>
      </c>
      <c r="G190" s="442">
        <v>12648.21155</v>
      </c>
      <c r="H190" s="442">
        <v>60227.214599999992</v>
      </c>
      <c r="I190" s="442">
        <v>0</v>
      </c>
      <c r="J190" s="443">
        <v>7.1799999999999997E-5</v>
      </c>
      <c r="K190" s="443"/>
      <c r="L190" s="444">
        <v>10924.410599999999</v>
      </c>
      <c r="M190" s="444">
        <v>4479.3425999999999</v>
      </c>
      <c r="N190" s="444">
        <v>-538.53539999999998</v>
      </c>
      <c r="O190" s="444">
        <v>0</v>
      </c>
      <c r="P190" s="417">
        <v>0</v>
      </c>
      <c r="Q190" s="378">
        <v>7.1799999999999997E-5</v>
      </c>
      <c r="R190" s="378"/>
      <c r="S190" s="70">
        <v>26560.853399999996</v>
      </c>
      <c r="T190" s="105">
        <v>24859.344599999997</v>
      </c>
      <c r="U190" s="70">
        <v>14769.145199999999</v>
      </c>
      <c r="V190" s="70">
        <v>60227.214599999992</v>
      </c>
      <c r="W190" s="417">
        <v>0</v>
      </c>
      <c r="X190" s="378">
        <v>7.1799999999999997E-5</v>
      </c>
      <c r="Z190" s="70">
        <v>19081.970999999998</v>
      </c>
      <c r="AA190" s="70">
        <v>19081.8354</v>
      </c>
      <c r="AB190" s="70">
        <v>0</v>
      </c>
      <c r="AC190" s="417">
        <v>0</v>
      </c>
      <c r="AD190" s="417">
        <v>0</v>
      </c>
      <c r="AE190" s="378">
        <v>7.1799999999999997E-5</v>
      </c>
      <c r="AF190" s="378"/>
      <c r="AG190" s="70">
        <v>4270</v>
      </c>
      <c r="AH190" s="70">
        <v>0</v>
      </c>
      <c r="AI190" s="70">
        <v>0</v>
      </c>
      <c r="AJ190" s="417">
        <v>0</v>
      </c>
      <c r="AK190" s="417">
        <v>0</v>
      </c>
      <c r="AL190" s="378">
        <v>7.1799999999999997E-5</v>
      </c>
      <c r="AM190" s="378"/>
      <c r="AN190" s="70">
        <v>-5438.3982499999984</v>
      </c>
      <c r="AO190" s="70">
        <v>-3841.3982499999984</v>
      </c>
      <c r="AP190" s="70">
        <v>-1582.3982499999984</v>
      </c>
      <c r="AQ190" s="417">
        <v>0</v>
      </c>
      <c r="AR190" s="417">
        <v>0</v>
      </c>
    </row>
    <row r="191" spans="1:44">
      <c r="A191" s="439">
        <v>91818</v>
      </c>
      <c r="B191" s="440" t="s">
        <v>902</v>
      </c>
      <c r="C191" s="437">
        <v>4.6949999999999997E-4</v>
      </c>
      <c r="D191" s="441"/>
      <c r="E191" s="438">
        <v>440154.88672499999</v>
      </c>
      <c r="F191" s="442">
        <v>366554.70572500007</v>
      </c>
      <c r="G191" s="442">
        <v>102633.123725</v>
      </c>
      <c r="H191" s="442">
        <v>417060.13649999996</v>
      </c>
      <c r="I191" s="442">
        <v>0</v>
      </c>
      <c r="J191" s="443">
        <v>4.683E-4</v>
      </c>
      <c r="K191" s="443"/>
      <c r="L191" s="444">
        <v>75649.126499999998</v>
      </c>
      <c r="M191" s="444">
        <v>31018.456499999997</v>
      </c>
      <c r="N191" s="444">
        <v>-3729.2384999999999</v>
      </c>
      <c r="O191" s="444">
        <v>0</v>
      </c>
      <c r="P191" s="417">
        <v>0</v>
      </c>
      <c r="Q191" s="378">
        <v>4.683E-4</v>
      </c>
      <c r="R191" s="378"/>
      <c r="S191" s="70">
        <v>183928.03349999999</v>
      </c>
      <c r="T191" s="105">
        <v>172145.4615</v>
      </c>
      <c r="U191" s="70">
        <v>102273.06299999999</v>
      </c>
      <c r="V191" s="70">
        <v>417060.13649999996</v>
      </c>
      <c r="W191" s="417">
        <v>0</v>
      </c>
      <c r="X191" s="378">
        <v>4.683E-4</v>
      </c>
      <c r="Z191" s="70">
        <v>132138.42749999999</v>
      </c>
      <c r="AA191" s="70">
        <v>132137.48850000001</v>
      </c>
      <c r="AB191" s="70">
        <v>0</v>
      </c>
      <c r="AC191" s="417">
        <v>0</v>
      </c>
      <c r="AD191" s="417">
        <v>0</v>
      </c>
      <c r="AE191" s="378">
        <v>4.683E-4</v>
      </c>
      <c r="AF191" s="378"/>
      <c r="AG191" s="70">
        <v>48439.29922500001</v>
      </c>
      <c r="AH191" s="70">
        <v>31253.29922500001</v>
      </c>
      <c r="AI191" s="70">
        <v>4089.2992250000098</v>
      </c>
      <c r="AJ191" s="417">
        <v>0</v>
      </c>
      <c r="AK191" s="417">
        <v>0</v>
      </c>
      <c r="AL191" s="378">
        <v>4.683E-4</v>
      </c>
      <c r="AM191" s="378"/>
      <c r="AN191" s="70">
        <v>0</v>
      </c>
      <c r="AO191" s="70">
        <v>0</v>
      </c>
      <c r="AP191" s="70">
        <v>0</v>
      </c>
      <c r="AQ191" s="417">
        <v>0</v>
      </c>
      <c r="AR191" s="417">
        <v>0</v>
      </c>
    </row>
    <row r="192" spans="1:44">
      <c r="A192" s="439">
        <v>91819</v>
      </c>
      <c r="B192" s="440" t="s">
        <v>903</v>
      </c>
      <c r="C192" s="437">
        <v>2.4169999999999999E-4</v>
      </c>
      <c r="D192" s="441"/>
      <c r="E192" s="438">
        <v>177872.52302499997</v>
      </c>
      <c r="F192" s="442">
        <v>152570.33442499998</v>
      </c>
      <c r="G192" s="442">
        <v>42631.825224999993</v>
      </c>
      <c r="H192" s="442">
        <v>214703.80189999999</v>
      </c>
      <c r="I192" s="442">
        <v>0</v>
      </c>
      <c r="J192" s="443">
        <v>2.6840000000000002E-4</v>
      </c>
      <c r="K192" s="443"/>
      <c r="L192" s="444">
        <v>38944.395899999996</v>
      </c>
      <c r="M192" s="444">
        <v>15968.393899999999</v>
      </c>
      <c r="N192" s="444">
        <v>-1919.8230999999998</v>
      </c>
      <c r="O192" s="444">
        <v>0</v>
      </c>
      <c r="P192" s="417">
        <v>0</v>
      </c>
      <c r="Q192" s="378">
        <v>2.6840000000000002E-4</v>
      </c>
      <c r="R192" s="378"/>
      <c r="S192" s="70">
        <v>94686.700100000002</v>
      </c>
      <c r="T192" s="105">
        <v>88620.996899999998</v>
      </c>
      <c r="U192" s="70">
        <v>52650.477800000001</v>
      </c>
      <c r="V192" s="70">
        <v>214703.80189999999</v>
      </c>
      <c r="W192" s="417">
        <v>0</v>
      </c>
      <c r="X192" s="378">
        <v>2.6840000000000002E-4</v>
      </c>
      <c r="Z192" s="70">
        <v>68025.256500000003</v>
      </c>
      <c r="AA192" s="70">
        <v>68024.773099999991</v>
      </c>
      <c r="AB192" s="70">
        <v>0</v>
      </c>
      <c r="AC192" s="417">
        <v>0</v>
      </c>
      <c r="AD192" s="417">
        <v>0</v>
      </c>
      <c r="AE192" s="378">
        <v>2.6840000000000002E-4</v>
      </c>
      <c r="AF192" s="378"/>
      <c r="AG192" s="70">
        <v>4901</v>
      </c>
      <c r="AH192" s="70">
        <v>0</v>
      </c>
      <c r="AI192" s="70">
        <v>0</v>
      </c>
      <c r="AJ192" s="417">
        <v>0</v>
      </c>
      <c r="AK192" s="417">
        <v>0</v>
      </c>
      <c r="AL192" s="378">
        <v>2.6840000000000002E-4</v>
      </c>
      <c r="AM192" s="378"/>
      <c r="AN192" s="70">
        <v>-28684.829475000006</v>
      </c>
      <c r="AO192" s="70">
        <v>-20043.829475000006</v>
      </c>
      <c r="AP192" s="70">
        <v>-8098.8294750000059</v>
      </c>
      <c r="AQ192" s="417">
        <v>0</v>
      </c>
      <c r="AR192" s="417">
        <v>0</v>
      </c>
    </row>
    <row r="193" spans="1:44">
      <c r="A193" s="439">
        <v>91821</v>
      </c>
      <c r="B193" s="440" t="s">
        <v>904</v>
      </c>
      <c r="C193" s="437">
        <v>1.6799999999999999E-4</v>
      </c>
      <c r="D193" s="441"/>
      <c r="E193" s="438">
        <v>145283.81514999998</v>
      </c>
      <c r="F193" s="442">
        <v>133421.27114999999</v>
      </c>
      <c r="G193" s="442">
        <v>40901.903149999998</v>
      </c>
      <c r="H193" s="442">
        <v>149235.576</v>
      </c>
      <c r="I193" s="442">
        <v>0</v>
      </c>
      <c r="J193" s="443">
        <v>1.617E-4</v>
      </c>
      <c r="K193" s="443"/>
      <c r="L193" s="444">
        <v>27069.335999999999</v>
      </c>
      <c r="M193" s="444">
        <v>11099.255999999999</v>
      </c>
      <c r="N193" s="444">
        <v>-1334.424</v>
      </c>
      <c r="O193" s="444">
        <v>0</v>
      </c>
      <c r="P193" s="417">
        <v>0</v>
      </c>
      <c r="Q193" s="378">
        <v>1.617E-4</v>
      </c>
      <c r="R193" s="378"/>
      <c r="S193" s="70">
        <v>65814.504000000001</v>
      </c>
      <c r="T193" s="105">
        <v>61598.375999999997</v>
      </c>
      <c r="U193" s="70">
        <v>36596.112000000001</v>
      </c>
      <c r="V193" s="70">
        <v>149235.576</v>
      </c>
      <c r="W193" s="417">
        <v>0</v>
      </c>
      <c r="X193" s="378">
        <v>1.617E-4</v>
      </c>
      <c r="Z193" s="70">
        <v>47282.759999999995</v>
      </c>
      <c r="AA193" s="70">
        <v>47282.423999999999</v>
      </c>
      <c r="AB193" s="70">
        <v>0</v>
      </c>
      <c r="AC193" s="417">
        <v>0</v>
      </c>
      <c r="AD193" s="417">
        <v>0</v>
      </c>
      <c r="AE193" s="378">
        <v>1.617E-4</v>
      </c>
      <c r="AF193" s="378"/>
      <c r="AG193" s="70">
        <v>13441.215149999996</v>
      </c>
      <c r="AH193" s="70">
        <v>13441.215149999996</v>
      </c>
      <c r="AI193" s="70">
        <v>5640.2151499999964</v>
      </c>
      <c r="AJ193" s="417">
        <v>0</v>
      </c>
      <c r="AK193" s="417">
        <v>0</v>
      </c>
      <c r="AL193" s="378">
        <v>1.617E-4</v>
      </c>
      <c r="AM193" s="378"/>
      <c r="AN193" s="70">
        <v>-8324</v>
      </c>
      <c r="AO193" s="70">
        <v>0</v>
      </c>
      <c r="AP193" s="70">
        <v>0</v>
      </c>
      <c r="AQ193" s="417">
        <v>0</v>
      </c>
      <c r="AR193" s="417">
        <v>0</v>
      </c>
    </row>
    <row r="194" spans="1:44">
      <c r="A194" s="439">
        <v>91831</v>
      </c>
      <c r="B194" s="440" t="s">
        <v>905</v>
      </c>
      <c r="C194" s="437">
        <v>4.3689999999999999E-4</v>
      </c>
      <c r="D194" s="441"/>
      <c r="E194" s="438">
        <v>375050.965325</v>
      </c>
      <c r="F194" s="442">
        <v>304143.93512499996</v>
      </c>
      <c r="G194" s="442">
        <v>105710.75072499998</v>
      </c>
      <c r="H194" s="442">
        <v>388101.32829999999</v>
      </c>
      <c r="I194" s="442">
        <v>0</v>
      </c>
      <c r="J194" s="443">
        <v>4.0200000000000001E-4</v>
      </c>
      <c r="K194" s="443"/>
      <c r="L194" s="444">
        <v>70396.386299999998</v>
      </c>
      <c r="M194" s="444">
        <v>28864.672299999998</v>
      </c>
      <c r="N194" s="444">
        <v>-3470.2966999999999</v>
      </c>
      <c r="O194" s="444">
        <v>0</v>
      </c>
      <c r="P194" s="417">
        <v>0</v>
      </c>
      <c r="Q194" s="378">
        <v>4.0200000000000001E-4</v>
      </c>
      <c r="R194" s="378"/>
      <c r="S194" s="70">
        <v>171156.88569999998</v>
      </c>
      <c r="T194" s="105">
        <v>160192.44329999998</v>
      </c>
      <c r="U194" s="70">
        <v>95171.674599999998</v>
      </c>
      <c r="V194" s="70">
        <v>388101.32829999999</v>
      </c>
      <c r="W194" s="417">
        <v>0</v>
      </c>
      <c r="X194" s="378">
        <v>4.0200000000000001E-4</v>
      </c>
      <c r="Z194" s="70">
        <v>122963.3205</v>
      </c>
      <c r="AA194" s="70">
        <v>122962.4467</v>
      </c>
      <c r="AB194" s="70">
        <v>0</v>
      </c>
      <c r="AC194" s="417">
        <v>0</v>
      </c>
      <c r="AD194" s="417">
        <v>0</v>
      </c>
      <c r="AE194" s="378">
        <v>4.0200000000000001E-4</v>
      </c>
      <c r="AF194" s="378"/>
      <c r="AG194" s="70">
        <v>32915.372824999984</v>
      </c>
      <c r="AH194" s="70">
        <v>14009.372824999984</v>
      </c>
      <c r="AI194" s="70">
        <v>14009.372824999984</v>
      </c>
      <c r="AJ194" s="417">
        <v>0</v>
      </c>
      <c r="AK194" s="417">
        <v>0</v>
      </c>
      <c r="AL194" s="378">
        <v>4.0200000000000001E-4</v>
      </c>
      <c r="AM194" s="378"/>
      <c r="AN194" s="70">
        <v>-22381</v>
      </c>
      <c r="AO194" s="70">
        <v>-21885</v>
      </c>
      <c r="AP194" s="70">
        <v>0</v>
      </c>
      <c r="AQ194" s="417">
        <v>0</v>
      </c>
      <c r="AR194" s="417">
        <v>0</v>
      </c>
    </row>
    <row r="195" spans="1:44">
      <c r="A195" s="439">
        <v>91841</v>
      </c>
      <c r="B195" s="440" t="s">
        <v>906</v>
      </c>
      <c r="C195" s="437">
        <v>2.8370000000000001E-4</v>
      </c>
      <c r="D195" s="441"/>
      <c r="E195" s="438">
        <v>244141.60117500002</v>
      </c>
      <c r="F195" s="442">
        <v>201056.77657500003</v>
      </c>
      <c r="G195" s="442">
        <v>54336.675374999999</v>
      </c>
      <c r="H195" s="442">
        <v>252012.69590000002</v>
      </c>
      <c r="I195" s="442">
        <v>0</v>
      </c>
      <c r="J195" s="443">
        <v>2.8810000000000001E-4</v>
      </c>
      <c r="K195" s="443"/>
      <c r="L195" s="444">
        <v>45711.729899999998</v>
      </c>
      <c r="M195" s="444">
        <v>18743.207900000001</v>
      </c>
      <c r="N195" s="444">
        <v>-2253.4291000000003</v>
      </c>
      <c r="O195" s="444">
        <v>0</v>
      </c>
      <c r="P195" s="417">
        <v>0</v>
      </c>
      <c r="Q195" s="378">
        <v>2.8810000000000001E-4</v>
      </c>
      <c r="R195" s="378"/>
      <c r="S195" s="70">
        <v>111140.32610000001</v>
      </c>
      <c r="T195" s="105">
        <v>104020.59090000001</v>
      </c>
      <c r="U195" s="70">
        <v>61799.505799999999</v>
      </c>
      <c r="V195" s="70">
        <v>252012.69590000002</v>
      </c>
      <c r="W195" s="417">
        <v>0</v>
      </c>
      <c r="X195" s="378">
        <v>2.8810000000000001E-4</v>
      </c>
      <c r="Z195" s="70">
        <v>79845.946500000005</v>
      </c>
      <c r="AA195" s="70">
        <v>79845.379100000006</v>
      </c>
      <c r="AB195" s="70">
        <v>0</v>
      </c>
      <c r="AC195" s="417">
        <v>0</v>
      </c>
      <c r="AD195" s="417">
        <v>0</v>
      </c>
      <c r="AE195" s="378">
        <v>2.8810000000000001E-4</v>
      </c>
      <c r="AF195" s="378"/>
      <c r="AG195" s="70">
        <v>14513</v>
      </c>
      <c r="AH195" s="70">
        <v>3657</v>
      </c>
      <c r="AI195" s="70">
        <v>0</v>
      </c>
      <c r="AJ195" s="417">
        <v>0</v>
      </c>
      <c r="AK195" s="417">
        <v>0</v>
      </c>
      <c r="AL195" s="378">
        <v>2.8810000000000001E-4</v>
      </c>
      <c r="AM195" s="378"/>
      <c r="AN195" s="70">
        <v>-7069.4013249999989</v>
      </c>
      <c r="AO195" s="70">
        <v>-5209.4013249999989</v>
      </c>
      <c r="AP195" s="70">
        <v>-5209.4013249999989</v>
      </c>
      <c r="AQ195" s="417">
        <v>0</v>
      </c>
      <c r="AR195" s="417">
        <v>0</v>
      </c>
    </row>
    <row r="196" spans="1:44">
      <c r="A196" s="439">
        <v>91851</v>
      </c>
      <c r="B196" s="440" t="s">
        <v>907</v>
      </c>
      <c r="C196" s="437">
        <v>6.2330000000000003E-4</v>
      </c>
      <c r="D196" s="441"/>
      <c r="E196" s="438">
        <v>505046.74992500007</v>
      </c>
      <c r="F196" s="442">
        <v>437186.26852500002</v>
      </c>
      <c r="G196" s="442">
        <v>117725.037725</v>
      </c>
      <c r="H196" s="442">
        <v>553681.75309999997</v>
      </c>
      <c r="I196" s="442">
        <v>0</v>
      </c>
      <c r="J196" s="443">
        <v>6.7020000000000003E-4</v>
      </c>
      <c r="K196" s="443"/>
      <c r="L196" s="444">
        <v>100430.45910000001</v>
      </c>
      <c r="M196" s="444">
        <v>41179.561099999999</v>
      </c>
      <c r="N196" s="444">
        <v>-4950.8719000000001</v>
      </c>
      <c r="O196" s="444">
        <v>0</v>
      </c>
      <c r="P196" s="417">
        <v>0</v>
      </c>
      <c r="Q196" s="378">
        <v>6.7020000000000003E-4</v>
      </c>
      <c r="R196" s="378"/>
      <c r="S196" s="70">
        <v>244179.64490000001</v>
      </c>
      <c r="T196" s="105">
        <v>228537.30810000002</v>
      </c>
      <c r="U196" s="70">
        <v>135775.93220000001</v>
      </c>
      <c r="V196" s="70">
        <v>553681.75309999997</v>
      </c>
      <c r="W196" s="417">
        <v>0</v>
      </c>
      <c r="X196" s="378">
        <v>6.7020000000000003E-4</v>
      </c>
      <c r="Z196" s="70">
        <v>175424.6685</v>
      </c>
      <c r="AA196" s="70">
        <v>175423.42190000002</v>
      </c>
      <c r="AB196" s="70">
        <v>0</v>
      </c>
      <c r="AC196" s="417">
        <v>0</v>
      </c>
      <c r="AD196" s="417">
        <v>0</v>
      </c>
      <c r="AE196" s="378">
        <v>6.7020000000000003E-4</v>
      </c>
      <c r="AF196" s="378"/>
      <c r="AG196" s="70">
        <v>5146</v>
      </c>
      <c r="AH196" s="70">
        <v>5146</v>
      </c>
      <c r="AI196" s="70">
        <v>0</v>
      </c>
      <c r="AJ196" s="417">
        <v>0</v>
      </c>
      <c r="AK196" s="417">
        <v>0</v>
      </c>
      <c r="AL196" s="378">
        <v>6.7020000000000003E-4</v>
      </c>
      <c r="AM196" s="378"/>
      <c r="AN196" s="70">
        <v>-20134.02257500001</v>
      </c>
      <c r="AO196" s="70">
        <v>-13100.02257500001</v>
      </c>
      <c r="AP196" s="70">
        <v>-13100.02257500001</v>
      </c>
      <c r="AQ196" s="417">
        <v>0</v>
      </c>
      <c r="AR196" s="417">
        <v>0</v>
      </c>
    </row>
    <row r="197" spans="1:44">
      <c r="A197" s="439">
        <v>91861</v>
      </c>
      <c r="B197" s="440" t="s">
        <v>908</v>
      </c>
      <c r="C197" s="437">
        <v>6.1E-6</v>
      </c>
      <c r="D197" s="441"/>
      <c r="E197" s="438">
        <v>3526.1706749999998</v>
      </c>
      <c r="F197" s="442">
        <v>4042.2068750000003</v>
      </c>
      <c r="G197" s="442">
        <v>1248.1232750000001</v>
      </c>
      <c r="H197" s="442">
        <v>5418.6727000000001</v>
      </c>
      <c r="I197" s="442">
        <v>0</v>
      </c>
      <c r="J197" s="443">
        <v>6.4999999999999996E-6</v>
      </c>
      <c r="K197" s="443"/>
      <c r="L197" s="444">
        <v>982.87469999999996</v>
      </c>
      <c r="M197" s="444">
        <v>403.00869999999998</v>
      </c>
      <c r="N197" s="444">
        <v>-48.452300000000001</v>
      </c>
      <c r="O197" s="444">
        <v>0</v>
      </c>
      <c r="P197" s="417">
        <v>0</v>
      </c>
      <c r="Q197" s="378">
        <v>6.4999999999999996E-6</v>
      </c>
      <c r="R197" s="378"/>
      <c r="S197" s="70">
        <v>2389.6932999999999</v>
      </c>
      <c r="T197" s="105">
        <v>2236.6077</v>
      </c>
      <c r="U197" s="70">
        <v>1328.7873999999999</v>
      </c>
      <c r="V197" s="70">
        <v>5418.6727000000001</v>
      </c>
      <c r="W197" s="417">
        <v>0</v>
      </c>
      <c r="X197" s="378">
        <v>6.4999999999999996E-6</v>
      </c>
      <c r="Z197" s="70">
        <v>1716.8145</v>
      </c>
      <c r="AA197" s="70">
        <v>1716.8023000000001</v>
      </c>
      <c r="AB197" s="70">
        <v>0</v>
      </c>
      <c r="AC197" s="417">
        <v>0</v>
      </c>
      <c r="AD197" s="417">
        <v>0</v>
      </c>
      <c r="AE197" s="378">
        <v>6.4999999999999996E-6</v>
      </c>
      <c r="AF197" s="378"/>
      <c r="AG197" s="70">
        <v>0</v>
      </c>
      <c r="AH197" s="70">
        <v>0</v>
      </c>
      <c r="AI197" s="70">
        <v>0</v>
      </c>
      <c r="AJ197" s="417">
        <v>0</v>
      </c>
      <c r="AK197" s="417">
        <v>0</v>
      </c>
      <c r="AL197" s="378">
        <v>6.4999999999999996E-6</v>
      </c>
      <c r="AM197" s="378"/>
      <c r="AN197" s="70">
        <v>-1563.2118249999999</v>
      </c>
      <c r="AO197" s="70">
        <v>-314.21182499999986</v>
      </c>
      <c r="AP197" s="70">
        <v>-32.211824999999862</v>
      </c>
      <c r="AQ197" s="417">
        <v>0</v>
      </c>
      <c r="AR197" s="417">
        <v>0</v>
      </c>
    </row>
    <row r="198" spans="1:44">
      <c r="A198" s="439">
        <v>91871</v>
      </c>
      <c r="B198" s="440" t="s">
        <v>909</v>
      </c>
      <c r="C198" s="437">
        <v>1.2505999999999999E-3</v>
      </c>
      <c r="D198" s="441"/>
      <c r="E198" s="438">
        <v>993250.5595999998</v>
      </c>
      <c r="F198" s="442">
        <v>831928.96479999996</v>
      </c>
      <c r="G198" s="442">
        <v>255413.3992000001</v>
      </c>
      <c r="H198" s="442">
        <v>1110916.7341999998</v>
      </c>
      <c r="I198" s="442">
        <v>0</v>
      </c>
      <c r="J198" s="443">
        <v>1.2749E-3</v>
      </c>
      <c r="K198" s="443"/>
      <c r="L198" s="444">
        <v>201505.42619999999</v>
      </c>
      <c r="M198" s="444">
        <v>82623.390199999994</v>
      </c>
      <c r="N198" s="444">
        <v>-9933.5157999999992</v>
      </c>
      <c r="O198" s="444">
        <v>0</v>
      </c>
      <c r="P198" s="417">
        <v>0</v>
      </c>
      <c r="Q198" s="378">
        <v>1.2749E-3</v>
      </c>
      <c r="R198" s="378"/>
      <c r="S198" s="70">
        <v>489926.30179999996</v>
      </c>
      <c r="T198" s="105">
        <v>458541.24419999996</v>
      </c>
      <c r="U198" s="70">
        <v>272423.20039999997</v>
      </c>
      <c r="V198" s="70">
        <v>1110916.7341999998</v>
      </c>
      <c r="W198" s="417">
        <v>0</v>
      </c>
      <c r="X198" s="378">
        <v>1.2749E-3</v>
      </c>
      <c r="Z198" s="70">
        <v>351975.11699999997</v>
      </c>
      <c r="AA198" s="70">
        <v>351972.61579999997</v>
      </c>
      <c r="AB198" s="70">
        <v>0</v>
      </c>
      <c r="AC198" s="417">
        <v>0</v>
      </c>
      <c r="AD198" s="417">
        <v>0</v>
      </c>
      <c r="AE198" s="378">
        <v>1.2749E-3</v>
      </c>
      <c r="AF198" s="378"/>
      <c r="AG198" s="70">
        <v>15139</v>
      </c>
      <c r="AH198" s="70">
        <v>0</v>
      </c>
      <c r="AI198" s="70">
        <v>0</v>
      </c>
      <c r="AJ198" s="417">
        <v>0</v>
      </c>
      <c r="AK198" s="417">
        <v>0</v>
      </c>
      <c r="AL198" s="378">
        <v>1.2749E-3</v>
      </c>
      <c r="AM198" s="378"/>
      <c r="AN198" s="70">
        <v>-65295.285399999877</v>
      </c>
      <c r="AO198" s="70">
        <v>-61208.285399999877</v>
      </c>
      <c r="AP198" s="70">
        <v>-7076.285399999877</v>
      </c>
      <c r="AQ198" s="417">
        <v>0</v>
      </c>
      <c r="AR198" s="417">
        <v>0</v>
      </c>
    </row>
    <row r="199" spans="1:44">
      <c r="A199" s="439">
        <v>91881</v>
      </c>
      <c r="B199" s="440" t="s">
        <v>910</v>
      </c>
      <c r="C199" s="437">
        <v>2.4199999999999999E-5</v>
      </c>
      <c r="D199" s="441"/>
      <c r="E199" s="438">
        <v>24378.154399999999</v>
      </c>
      <c r="F199" s="442">
        <v>21562.330799999996</v>
      </c>
      <c r="G199" s="442">
        <v>8522.8515999999981</v>
      </c>
      <c r="H199" s="442">
        <v>21497.029399999999</v>
      </c>
      <c r="I199" s="442">
        <v>0</v>
      </c>
      <c r="J199" s="443">
        <v>1.6900000000000001E-5</v>
      </c>
      <c r="K199" s="443"/>
      <c r="L199" s="444">
        <v>3899.2733999999996</v>
      </c>
      <c r="M199" s="444">
        <v>1598.8213999999998</v>
      </c>
      <c r="N199" s="444">
        <v>-192.22059999999999</v>
      </c>
      <c r="O199" s="444">
        <v>0</v>
      </c>
      <c r="P199" s="417">
        <v>0</v>
      </c>
      <c r="Q199" s="378">
        <v>1.6900000000000001E-5</v>
      </c>
      <c r="R199" s="378"/>
      <c r="S199" s="70">
        <v>9480.4225999999999</v>
      </c>
      <c r="T199" s="105">
        <v>8873.0993999999992</v>
      </c>
      <c r="U199" s="70">
        <v>5271.5828000000001</v>
      </c>
      <c r="V199" s="70">
        <v>21497.029399999999</v>
      </c>
      <c r="W199" s="417">
        <v>0</v>
      </c>
      <c r="X199" s="378">
        <v>1.6900000000000001E-5</v>
      </c>
      <c r="Z199" s="70">
        <v>6810.9690000000001</v>
      </c>
      <c r="AA199" s="70">
        <v>6810.9205999999995</v>
      </c>
      <c r="AB199" s="70">
        <v>0</v>
      </c>
      <c r="AC199" s="417">
        <v>0</v>
      </c>
      <c r="AD199" s="417">
        <v>0</v>
      </c>
      <c r="AE199" s="378">
        <v>1.6900000000000001E-5</v>
      </c>
      <c r="AF199" s="378"/>
      <c r="AG199" s="70">
        <v>6558.4893999999967</v>
      </c>
      <c r="AH199" s="70">
        <v>4279.4893999999967</v>
      </c>
      <c r="AI199" s="70">
        <v>3443.4893999999967</v>
      </c>
      <c r="AJ199" s="417">
        <v>0</v>
      </c>
      <c r="AK199" s="417">
        <v>0</v>
      </c>
      <c r="AL199" s="378">
        <v>1.6900000000000001E-5</v>
      </c>
      <c r="AM199" s="378"/>
      <c r="AN199" s="70">
        <v>-2371</v>
      </c>
      <c r="AO199" s="70">
        <v>0</v>
      </c>
      <c r="AP199" s="70">
        <v>0</v>
      </c>
      <c r="AQ199" s="417">
        <v>0</v>
      </c>
      <c r="AR199" s="417">
        <v>0</v>
      </c>
    </row>
    <row r="200" spans="1:44">
      <c r="A200" s="439">
        <v>91901</v>
      </c>
      <c r="B200" s="440" t="s">
        <v>911</v>
      </c>
      <c r="C200" s="437">
        <v>3.6598999999999998E-3</v>
      </c>
      <c r="D200" s="441"/>
      <c r="E200" s="438">
        <v>2935193.7974749999</v>
      </c>
      <c r="F200" s="442">
        <v>2497504.5332749998</v>
      </c>
      <c r="G200" s="442">
        <v>719784.80087500019</v>
      </c>
      <c r="H200" s="442">
        <v>3251114.7892999998</v>
      </c>
      <c r="I200" s="442">
        <v>0</v>
      </c>
      <c r="J200" s="443">
        <v>3.6871999999999999E-3</v>
      </c>
      <c r="K200" s="443"/>
      <c r="L200" s="444">
        <v>589708.70730000001</v>
      </c>
      <c r="M200" s="444">
        <v>241798.6133</v>
      </c>
      <c r="N200" s="444">
        <v>-29070.5857</v>
      </c>
      <c r="O200" s="444">
        <v>0</v>
      </c>
      <c r="P200" s="417">
        <v>0</v>
      </c>
      <c r="Q200" s="378">
        <v>3.6871999999999999E-3</v>
      </c>
      <c r="R200" s="378"/>
      <c r="S200" s="70">
        <v>1433776.8047</v>
      </c>
      <c r="T200" s="105">
        <v>1341927.9542999999</v>
      </c>
      <c r="U200" s="70">
        <v>797250.65659999999</v>
      </c>
      <c r="V200" s="70">
        <v>3251114.7892999998</v>
      </c>
      <c r="W200" s="417">
        <v>0</v>
      </c>
      <c r="X200" s="378">
        <v>3.6871999999999999E-3</v>
      </c>
      <c r="Z200" s="70">
        <v>1030060.5554999999</v>
      </c>
      <c r="AA200" s="70">
        <v>1030053.2357</v>
      </c>
      <c r="AB200" s="70">
        <v>0</v>
      </c>
      <c r="AC200" s="417">
        <v>0</v>
      </c>
      <c r="AD200" s="417">
        <v>0</v>
      </c>
      <c r="AE200" s="378">
        <v>3.6871999999999999E-3</v>
      </c>
      <c r="AF200" s="378"/>
      <c r="AG200" s="70">
        <v>9307</v>
      </c>
      <c r="AH200" s="70">
        <v>0</v>
      </c>
      <c r="AI200" s="70">
        <v>0</v>
      </c>
      <c r="AJ200" s="417">
        <v>0</v>
      </c>
      <c r="AK200" s="417">
        <v>0</v>
      </c>
      <c r="AL200" s="378">
        <v>3.6871999999999999E-3</v>
      </c>
      <c r="AM200" s="378"/>
      <c r="AN200" s="70">
        <v>-127659.27002499974</v>
      </c>
      <c r="AO200" s="70">
        <v>-116275.27002499974</v>
      </c>
      <c r="AP200" s="70">
        <v>-48395.270024999743</v>
      </c>
      <c r="AQ200" s="417">
        <v>0</v>
      </c>
      <c r="AR200" s="417">
        <v>0</v>
      </c>
    </row>
    <row r="201" spans="1:44">
      <c r="A201" s="439">
        <v>91903</v>
      </c>
      <c r="B201" s="440" t="s">
        <v>912</v>
      </c>
      <c r="C201" s="437">
        <v>5.9000000000000003E-6</v>
      </c>
      <c r="D201" s="441"/>
      <c r="E201" s="438">
        <v>7736.8188250000003</v>
      </c>
      <c r="F201" s="442">
        <v>6237.886625000001</v>
      </c>
      <c r="G201" s="442">
        <v>2079.658225000001</v>
      </c>
      <c r="H201" s="442">
        <v>5241.0113000000001</v>
      </c>
      <c r="I201" s="442">
        <v>0</v>
      </c>
      <c r="J201" s="443">
        <v>6.4999999999999996E-6</v>
      </c>
      <c r="K201" s="443"/>
      <c r="L201" s="444">
        <v>950.64930000000004</v>
      </c>
      <c r="M201" s="444">
        <v>389.7953</v>
      </c>
      <c r="N201" s="444">
        <v>-46.863700000000001</v>
      </c>
      <c r="O201" s="444">
        <v>0</v>
      </c>
      <c r="P201" s="417">
        <v>0</v>
      </c>
      <c r="Q201" s="378">
        <v>6.4999999999999996E-6</v>
      </c>
      <c r="R201" s="378"/>
      <c r="S201" s="70">
        <v>2311.3427000000001</v>
      </c>
      <c r="T201" s="105">
        <v>2163.2763</v>
      </c>
      <c r="U201" s="70">
        <v>1285.2206000000001</v>
      </c>
      <c r="V201" s="70">
        <v>5241.0113000000001</v>
      </c>
      <c r="W201" s="417">
        <v>0</v>
      </c>
      <c r="X201" s="378">
        <v>6.4999999999999996E-6</v>
      </c>
      <c r="Z201" s="70">
        <v>1660.5255</v>
      </c>
      <c r="AA201" s="70">
        <v>1660.5137</v>
      </c>
      <c r="AB201" s="70">
        <v>0</v>
      </c>
      <c r="AC201" s="417">
        <v>0</v>
      </c>
      <c r="AD201" s="417">
        <v>0</v>
      </c>
      <c r="AE201" s="378">
        <v>6.4999999999999996E-6</v>
      </c>
      <c r="AF201" s="378"/>
      <c r="AG201" s="70">
        <v>2814.3013250000008</v>
      </c>
      <c r="AH201" s="70">
        <v>2024.3013250000008</v>
      </c>
      <c r="AI201" s="70">
        <v>841.30132500000082</v>
      </c>
      <c r="AJ201" s="417">
        <v>0</v>
      </c>
      <c r="AK201" s="417">
        <v>0</v>
      </c>
      <c r="AL201" s="378">
        <v>6.4999999999999996E-6</v>
      </c>
      <c r="AM201" s="378"/>
      <c r="AN201" s="70">
        <v>0</v>
      </c>
      <c r="AO201" s="70">
        <v>0</v>
      </c>
      <c r="AP201" s="70">
        <v>0</v>
      </c>
      <c r="AQ201" s="417">
        <v>0</v>
      </c>
      <c r="AR201" s="417">
        <v>0</v>
      </c>
    </row>
    <row r="202" spans="1:44">
      <c r="A202" s="439">
        <v>91904</v>
      </c>
      <c r="B202" s="440" t="s">
        <v>913</v>
      </c>
      <c r="C202" s="437">
        <v>8.0699999999999996E-5</v>
      </c>
      <c r="D202" s="441"/>
      <c r="E202" s="438">
        <v>95544.922674999994</v>
      </c>
      <c r="F202" s="442">
        <v>80777.172074999995</v>
      </c>
      <c r="G202" s="442">
        <v>33527.098874999996</v>
      </c>
      <c r="H202" s="442">
        <v>71686.374899999995</v>
      </c>
      <c r="I202" s="442">
        <v>0</v>
      </c>
      <c r="J202" s="443">
        <v>4.9599999999999999E-5</v>
      </c>
      <c r="K202" s="443"/>
      <c r="L202" s="444">
        <v>13002.948899999999</v>
      </c>
      <c r="M202" s="444">
        <v>5331.6068999999998</v>
      </c>
      <c r="N202" s="444">
        <v>-641.00009999999997</v>
      </c>
      <c r="O202" s="444">
        <v>0</v>
      </c>
      <c r="P202" s="417">
        <v>0</v>
      </c>
      <c r="Q202" s="378">
        <v>4.9599999999999999E-5</v>
      </c>
      <c r="R202" s="378"/>
      <c r="S202" s="70">
        <v>31614.467099999998</v>
      </c>
      <c r="T202" s="105">
        <v>29589.2199</v>
      </c>
      <c r="U202" s="70">
        <v>17579.203799999999</v>
      </c>
      <c r="V202" s="70">
        <v>71686.374899999995</v>
      </c>
      <c r="W202" s="417">
        <v>0</v>
      </c>
      <c r="X202" s="378">
        <v>4.9599999999999999E-5</v>
      </c>
      <c r="Z202" s="70">
        <v>22712.611499999999</v>
      </c>
      <c r="AA202" s="70">
        <v>22712.450099999998</v>
      </c>
      <c r="AB202" s="70">
        <v>0</v>
      </c>
      <c r="AC202" s="417">
        <v>0</v>
      </c>
      <c r="AD202" s="417">
        <v>0</v>
      </c>
      <c r="AE202" s="378">
        <v>4.9599999999999999E-5</v>
      </c>
      <c r="AF202" s="378"/>
      <c r="AG202" s="70">
        <v>28214.895175000001</v>
      </c>
      <c r="AH202" s="70">
        <v>23143.895175000001</v>
      </c>
      <c r="AI202" s="70">
        <v>16588.895175000001</v>
      </c>
      <c r="AJ202" s="417">
        <v>0</v>
      </c>
      <c r="AK202" s="417">
        <v>0</v>
      </c>
      <c r="AL202" s="378">
        <v>4.9599999999999999E-5</v>
      </c>
      <c r="AM202" s="378"/>
      <c r="AN202" s="70">
        <v>0</v>
      </c>
      <c r="AO202" s="70">
        <v>0</v>
      </c>
      <c r="AP202" s="70">
        <v>0</v>
      </c>
      <c r="AQ202" s="417">
        <v>0</v>
      </c>
      <c r="AR202" s="417">
        <v>0</v>
      </c>
    </row>
    <row r="203" spans="1:44">
      <c r="A203" s="439">
        <v>91908</v>
      </c>
      <c r="B203" s="440" t="s">
        <v>914</v>
      </c>
      <c r="C203" s="437">
        <v>1.43E-5</v>
      </c>
      <c r="D203" s="441"/>
      <c r="E203" s="438">
        <v>7327.8252749999992</v>
      </c>
      <c r="F203" s="442">
        <v>7059.5658750000002</v>
      </c>
      <c r="G203" s="442">
        <v>1335.4190749999998</v>
      </c>
      <c r="H203" s="442">
        <v>12702.7901</v>
      </c>
      <c r="I203" s="442">
        <v>0</v>
      </c>
      <c r="J203" s="443">
        <v>1.4E-5</v>
      </c>
      <c r="K203" s="443"/>
      <c r="L203" s="444">
        <v>2304.1161000000002</v>
      </c>
      <c r="M203" s="444">
        <v>944.75810000000001</v>
      </c>
      <c r="N203" s="444">
        <v>-113.5849</v>
      </c>
      <c r="O203" s="444">
        <v>0</v>
      </c>
      <c r="P203" s="417">
        <v>0</v>
      </c>
      <c r="Q203" s="378">
        <v>1.4E-5</v>
      </c>
      <c r="R203" s="378"/>
      <c r="S203" s="70">
        <v>5602.0679</v>
      </c>
      <c r="T203" s="105">
        <v>5243.1950999999999</v>
      </c>
      <c r="U203" s="70">
        <v>3115.0262000000002</v>
      </c>
      <c r="V203" s="70">
        <v>12702.7901</v>
      </c>
      <c r="W203" s="417">
        <v>0</v>
      </c>
      <c r="X203" s="378">
        <v>1.4E-5</v>
      </c>
      <c r="Z203" s="70">
        <v>4024.6635000000001</v>
      </c>
      <c r="AA203" s="70">
        <v>4024.6349</v>
      </c>
      <c r="AB203" s="70">
        <v>0</v>
      </c>
      <c r="AC203" s="417">
        <v>0</v>
      </c>
      <c r="AD203" s="417">
        <v>0</v>
      </c>
      <c r="AE203" s="378">
        <v>1.4E-5</v>
      </c>
      <c r="AF203" s="378"/>
      <c r="AG203" s="70">
        <v>0</v>
      </c>
      <c r="AH203" s="70">
        <v>0</v>
      </c>
      <c r="AI203" s="70">
        <v>0</v>
      </c>
      <c r="AJ203" s="417">
        <v>0</v>
      </c>
      <c r="AK203" s="417">
        <v>0</v>
      </c>
      <c r="AL203" s="378">
        <v>1.4E-5</v>
      </c>
      <c r="AM203" s="378"/>
      <c r="AN203" s="70">
        <v>-4603.0222250000006</v>
      </c>
      <c r="AO203" s="70">
        <v>-3153.0222250000006</v>
      </c>
      <c r="AP203" s="70">
        <v>-1666.0222250000006</v>
      </c>
      <c r="AQ203" s="417">
        <v>0</v>
      </c>
      <c r="AR203" s="417">
        <v>0</v>
      </c>
    </row>
    <row r="204" spans="1:44">
      <c r="A204" s="439">
        <v>91911</v>
      </c>
      <c r="B204" s="440" t="s">
        <v>915</v>
      </c>
      <c r="C204" s="437">
        <v>6.2569999999999998E-4</v>
      </c>
      <c r="D204" s="441"/>
      <c r="E204" s="438">
        <v>587104.59437499987</v>
      </c>
      <c r="F204" s="442">
        <v>478646.73377499991</v>
      </c>
      <c r="G204" s="442">
        <v>157058.24057499995</v>
      </c>
      <c r="H204" s="442">
        <v>555813.6899</v>
      </c>
      <c r="I204" s="442">
        <v>0</v>
      </c>
      <c r="J204" s="443">
        <v>5.6570000000000004E-4</v>
      </c>
      <c r="K204" s="443"/>
      <c r="L204" s="444">
        <v>100817.1639</v>
      </c>
      <c r="M204" s="444">
        <v>41338.121899999998</v>
      </c>
      <c r="N204" s="444">
        <v>-4969.9350999999997</v>
      </c>
      <c r="O204" s="444">
        <v>0</v>
      </c>
      <c r="P204" s="417">
        <v>0</v>
      </c>
      <c r="Q204" s="378">
        <v>5.6570000000000004E-4</v>
      </c>
      <c r="R204" s="378"/>
      <c r="S204" s="70">
        <v>245119.85209999999</v>
      </c>
      <c r="T204" s="105">
        <v>229417.2849</v>
      </c>
      <c r="U204" s="70">
        <v>136298.73379999999</v>
      </c>
      <c r="V204" s="70">
        <v>555813.6899</v>
      </c>
      <c r="W204" s="417">
        <v>0</v>
      </c>
      <c r="X204" s="378">
        <v>5.6570000000000004E-4</v>
      </c>
      <c r="Z204" s="70">
        <v>176100.13649999999</v>
      </c>
      <c r="AA204" s="70">
        <v>176098.88509999998</v>
      </c>
      <c r="AB204" s="70">
        <v>0</v>
      </c>
      <c r="AC204" s="417">
        <v>0</v>
      </c>
      <c r="AD204" s="417">
        <v>0</v>
      </c>
      <c r="AE204" s="378">
        <v>5.6570000000000004E-4</v>
      </c>
      <c r="AF204" s="378"/>
      <c r="AG204" s="70">
        <v>72809.441874999946</v>
      </c>
      <c r="AH204" s="70">
        <v>31792.441874999946</v>
      </c>
      <c r="AI204" s="70">
        <v>25729.441874999946</v>
      </c>
      <c r="AJ204" s="417">
        <v>0</v>
      </c>
      <c r="AK204" s="417">
        <v>0</v>
      </c>
      <c r="AL204" s="378">
        <v>5.6570000000000004E-4</v>
      </c>
      <c r="AM204" s="378"/>
      <c r="AN204" s="70">
        <v>-7742</v>
      </c>
      <c r="AO204" s="70">
        <v>0</v>
      </c>
      <c r="AP204" s="70">
        <v>0</v>
      </c>
      <c r="AQ204" s="417">
        <v>0</v>
      </c>
      <c r="AR204" s="417">
        <v>0</v>
      </c>
    </row>
    <row r="205" spans="1:44">
      <c r="A205" s="439">
        <v>91917</v>
      </c>
      <c r="B205" s="440" t="s">
        <v>916</v>
      </c>
      <c r="C205" s="437">
        <v>1.4399999999999999E-5</v>
      </c>
      <c r="D205" s="441"/>
      <c r="E205" s="438">
        <v>15990.149399999998</v>
      </c>
      <c r="F205" s="442">
        <v>13277.874199999998</v>
      </c>
      <c r="G205" s="442">
        <v>3892.2998000000007</v>
      </c>
      <c r="H205" s="442">
        <v>12791.620799999999</v>
      </c>
      <c r="I205" s="442">
        <v>0</v>
      </c>
      <c r="J205" s="443">
        <v>1.4600000000000001E-5</v>
      </c>
      <c r="K205" s="443"/>
      <c r="L205" s="444">
        <v>2320.2287999999999</v>
      </c>
      <c r="M205" s="444">
        <v>951.36479999999995</v>
      </c>
      <c r="N205" s="444">
        <v>-114.3792</v>
      </c>
      <c r="O205" s="444">
        <v>0</v>
      </c>
      <c r="P205" s="417">
        <v>0</v>
      </c>
      <c r="Q205" s="378">
        <v>1.4600000000000001E-5</v>
      </c>
      <c r="R205" s="378"/>
      <c r="S205" s="70">
        <v>5641.2431999999999</v>
      </c>
      <c r="T205" s="105">
        <v>5279.8607999999995</v>
      </c>
      <c r="U205" s="70">
        <v>3136.8096</v>
      </c>
      <c r="V205" s="70">
        <v>12791.620799999999</v>
      </c>
      <c r="W205" s="417">
        <v>0</v>
      </c>
      <c r="X205" s="378">
        <v>1.4600000000000001E-5</v>
      </c>
      <c r="Z205" s="70">
        <v>4052.808</v>
      </c>
      <c r="AA205" s="70">
        <v>4052.7791999999999</v>
      </c>
      <c r="AB205" s="70">
        <v>0</v>
      </c>
      <c r="AC205" s="417">
        <v>0</v>
      </c>
      <c r="AD205" s="417">
        <v>0</v>
      </c>
      <c r="AE205" s="378">
        <v>1.4600000000000001E-5</v>
      </c>
      <c r="AF205" s="378"/>
      <c r="AG205" s="70">
        <v>3975.8694000000005</v>
      </c>
      <c r="AH205" s="70">
        <v>2993.8694000000005</v>
      </c>
      <c r="AI205" s="70">
        <v>869.8694000000005</v>
      </c>
      <c r="AJ205" s="417">
        <v>0</v>
      </c>
      <c r="AK205" s="417">
        <v>0</v>
      </c>
      <c r="AL205" s="378">
        <v>1.4600000000000001E-5</v>
      </c>
      <c r="AM205" s="378"/>
      <c r="AN205" s="70">
        <v>0</v>
      </c>
      <c r="AO205" s="70">
        <v>0</v>
      </c>
      <c r="AP205" s="70">
        <v>0</v>
      </c>
      <c r="AQ205" s="417">
        <v>0</v>
      </c>
      <c r="AR205" s="417">
        <v>0</v>
      </c>
    </row>
    <row r="206" spans="1:44">
      <c r="A206" s="439">
        <v>91921</v>
      </c>
      <c r="B206" s="440" t="s">
        <v>917</v>
      </c>
      <c r="C206" s="437">
        <v>4.1159999999999998E-4</v>
      </c>
      <c r="D206" s="441"/>
      <c r="E206" s="438">
        <v>342365.13079999993</v>
      </c>
      <c r="F206" s="442">
        <v>289106.09799999994</v>
      </c>
      <c r="G206" s="442">
        <v>97917.096399999937</v>
      </c>
      <c r="H206" s="442">
        <v>365627.16119999997</v>
      </c>
      <c r="I206" s="442">
        <v>0</v>
      </c>
      <c r="J206" s="443">
        <v>3.7800000000000003E-4</v>
      </c>
      <c r="K206" s="443"/>
      <c r="L206" s="444">
        <v>66319.873200000002</v>
      </c>
      <c r="M206" s="444">
        <v>27193.177199999998</v>
      </c>
      <c r="N206" s="444">
        <v>-3269.3388</v>
      </c>
      <c r="O206" s="444">
        <v>0</v>
      </c>
      <c r="P206" s="417">
        <v>0</v>
      </c>
      <c r="Q206" s="378">
        <v>3.7800000000000003E-4</v>
      </c>
      <c r="R206" s="378"/>
      <c r="S206" s="70">
        <v>161245.53479999999</v>
      </c>
      <c r="T206" s="105">
        <v>150916.02119999999</v>
      </c>
      <c r="U206" s="70">
        <v>89660.474399999992</v>
      </c>
      <c r="V206" s="70">
        <v>365627.16119999997</v>
      </c>
      <c r="W206" s="417">
        <v>0</v>
      </c>
      <c r="X206" s="378">
        <v>3.7800000000000003E-4</v>
      </c>
      <c r="Z206" s="70">
        <v>115842.76199999999</v>
      </c>
      <c r="AA206" s="70">
        <v>115841.93879999999</v>
      </c>
      <c r="AB206" s="70">
        <v>0</v>
      </c>
      <c r="AC206" s="417">
        <v>0</v>
      </c>
      <c r="AD206" s="417">
        <v>0</v>
      </c>
      <c r="AE206" s="378">
        <v>3.7800000000000003E-4</v>
      </c>
      <c r="AF206" s="378"/>
      <c r="AG206" s="70">
        <v>15327.960799999943</v>
      </c>
      <c r="AH206" s="70">
        <v>11525.960799999943</v>
      </c>
      <c r="AI206" s="70">
        <v>11525.960799999943</v>
      </c>
      <c r="AJ206" s="417">
        <v>0</v>
      </c>
      <c r="AK206" s="417">
        <v>0</v>
      </c>
      <c r="AL206" s="378">
        <v>3.7800000000000003E-4</v>
      </c>
      <c r="AM206" s="378"/>
      <c r="AN206" s="70">
        <v>-16371</v>
      </c>
      <c r="AO206" s="70">
        <v>-16371</v>
      </c>
      <c r="AP206" s="70">
        <v>0</v>
      </c>
      <c r="AQ206" s="417">
        <v>0</v>
      </c>
      <c r="AR206" s="417">
        <v>0</v>
      </c>
    </row>
    <row r="207" spans="1:44">
      <c r="A207" s="439">
        <v>92001</v>
      </c>
      <c r="B207" s="440" t="s">
        <v>918</v>
      </c>
      <c r="C207" s="437">
        <v>1.9139000000000001E-3</v>
      </c>
      <c r="D207" s="441"/>
      <c r="E207" s="438">
        <v>1671568.3702249997</v>
      </c>
      <c r="F207" s="442">
        <v>1447137.9740249999</v>
      </c>
      <c r="G207" s="442">
        <v>513918.13762499992</v>
      </c>
      <c r="H207" s="442">
        <v>1700130.7672999999</v>
      </c>
      <c r="I207" s="442">
        <v>0</v>
      </c>
      <c r="J207" s="443">
        <v>1.7407E-3</v>
      </c>
      <c r="K207" s="443"/>
      <c r="L207" s="444">
        <v>308380.96529999998</v>
      </c>
      <c r="M207" s="444">
        <v>126445.63130000001</v>
      </c>
      <c r="N207" s="444">
        <v>-15202.1077</v>
      </c>
      <c r="O207" s="444">
        <v>0</v>
      </c>
      <c r="P207" s="417">
        <v>0</v>
      </c>
      <c r="Q207" s="378">
        <v>1.7407E-3</v>
      </c>
      <c r="R207" s="378"/>
      <c r="S207" s="70">
        <v>749776.06669999997</v>
      </c>
      <c r="T207" s="105">
        <v>701744.83230000001</v>
      </c>
      <c r="U207" s="70">
        <v>416912.4926</v>
      </c>
      <c r="V207" s="70">
        <v>1700130.7672999999</v>
      </c>
      <c r="W207" s="417">
        <v>0</v>
      </c>
      <c r="X207" s="378">
        <v>1.7407E-3</v>
      </c>
      <c r="Z207" s="70">
        <v>538657.58550000004</v>
      </c>
      <c r="AA207" s="70">
        <v>538653.75770000007</v>
      </c>
      <c r="AB207" s="70">
        <v>0</v>
      </c>
      <c r="AC207" s="417">
        <v>0</v>
      </c>
      <c r="AD207" s="417">
        <v>0</v>
      </c>
      <c r="AE207" s="378">
        <v>1.7407E-3</v>
      </c>
      <c r="AF207" s="378"/>
      <c r="AG207" s="70">
        <v>120329.75272499991</v>
      </c>
      <c r="AH207" s="70">
        <v>112207.75272499991</v>
      </c>
      <c r="AI207" s="70">
        <v>112207.75272499991</v>
      </c>
      <c r="AJ207" s="417">
        <v>0</v>
      </c>
      <c r="AK207" s="417">
        <v>0</v>
      </c>
      <c r="AL207" s="378">
        <v>1.7407E-3</v>
      </c>
      <c r="AM207" s="378"/>
      <c r="AN207" s="70">
        <v>-45576</v>
      </c>
      <c r="AO207" s="70">
        <v>-31914</v>
      </c>
      <c r="AP207" s="70">
        <v>0</v>
      </c>
      <c r="AQ207" s="417">
        <v>0</v>
      </c>
      <c r="AR207" s="417">
        <v>0</v>
      </c>
    </row>
    <row r="208" spans="1:44">
      <c r="A208" s="439">
        <v>92005</v>
      </c>
      <c r="B208" s="440" t="s">
        <v>919</v>
      </c>
      <c r="C208" s="437">
        <v>3.2299999999999999E-5</v>
      </c>
      <c r="D208" s="441"/>
      <c r="E208" s="438">
        <v>28226.609625000001</v>
      </c>
      <c r="F208" s="442">
        <v>24380.506224999997</v>
      </c>
      <c r="G208" s="442">
        <v>6960.391424999998</v>
      </c>
      <c r="H208" s="442">
        <v>28692.3161</v>
      </c>
      <c r="I208" s="442">
        <v>0</v>
      </c>
      <c r="J208" s="443">
        <v>3.43E-5</v>
      </c>
      <c r="K208" s="443"/>
      <c r="L208" s="444">
        <v>5204.4021000000002</v>
      </c>
      <c r="M208" s="444">
        <v>2133.9641000000001</v>
      </c>
      <c r="N208" s="444">
        <v>-256.55889999999999</v>
      </c>
      <c r="O208" s="444">
        <v>0</v>
      </c>
      <c r="P208" s="417">
        <v>0</v>
      </c>
      <c r="Q208" s="378">
        <v>3.43E-5</v>
      </c>
      <c r="R208" s="378"/>
      <c r="S208" s="70">
        <v>12653.6219</v>
      </c>
      <c r="T208" s="105">
        <v>11843.0211</v>
      </c>
      <c r="U208" s="70">
        <v>7036.0382</v>
      </c>
      <c r="V208" s="70">
        <v>28692.3161</v>
      </c>
      <c r="W208" s="417">
        <v>0</v>
      </c>
      <c r="X208" s="378">
        <v>3.43E-5</v>
      </c>
      <c r="Z208" s="70">
        <v>9090.673499999999</v>
      </c>
      <c r="AA208" s="70">
        <v>9090.6088999999993</v>
      </c>
      <c r="AB208" s="70">
        <v>0</v>
      </c>
      <c r="AC208" s="417">
        <v>0</v>
      </c>
      <c r="AD208" s="417">
        <v>0</v>
      </c>
      <c r="AE208" s="378">
        <v>3.43E-5</v>
      </c>
      <c r="AF208" s="378"/>
      <c r="AG208" s="70">
        <v>1941.912124999998</v>
      </c>
      <c r="AH208" s="70">
        <v>1312.912124999998</v>
      </c>
      <c r="AI208" s="70">
        <v>180.91212499999801</v>
      </c>
      <c r="AJ208" s="417">
        <v>0</v>
      </c>
      <c r="AK208" s="417">
        <v>0</v>
      </c>
      <c r="AL208" s="378">
        <v>3.43E-5</v>
      </c>
      <c r="AM208" s="378"/>
      <c r="AN208" s="70">
        <v>-664</v>
      </c>
      <c r="AO208" s="70">
        <v>0</v>
      </c>
      <c r="AP208" s="70">
        <v>0</v>
      </c>
      <c r="AQ208" s="417">
        <v>0</v>
      </c>
      <c r="AR208" s="417">
        <v>0</v>
      </c>
    </row>
    <row r="209" spans="1:44">
      <c r="A209" s="439">
        <v>92011</v>
      </c>
      <c r="B209" s="440" t="s">
        <v>920</v>
      </c>
      <c r="C209" s="437">
        <v>2.0589999999999999E-4</v>
      </c>
      <c r="D209" s="441"/>
      <c r="E209" s="438">
        <v>168106.038275</v>
      </c>
      <c r="F209" s="442">
        <v>139693.50607499998</v>
      </c>
      <c r="G209" s="442">
        <v>44076.077675</v>
      </c>
      <c r="H209" s="442">
        <v>182902.41129999998</v>
      </c>
      <c r="I209" s="442">
        <v>0</v>
      </c>
      <c r="J209" s="443">
        <v>1.996E-4</v>
      </c>
      <c r="K209" s="443"/>
      <c r="L209" s="444">
        <v>33176.049299999999</v>
      </c>
      <c r="M209" s="444">
        <v>13603.195299999999</v>
      </c>
      <c r="N209" s="444">
        <v>-1635.4637</v>
      </c>
      <c r="O209" s="444">
        <v>0</v>
      </c>
      <c r="P209" s="417">
        <v>0</v>
      </c>
      <c r="Q209" s="378">
        <v>1.996E-4</v>
      </c>
      <c r="R209" s="378"/>
      <c r="S209" s="70">
        <v>80661.9427</v>
      </c>
      <c r="T209" s="105">
        <v>75494.676299999992</v>
      </c>
      <c r="U209" s="70">
        <v>44852.020599999996</v>
      </c>
      <c r="V209" s="70">
        <v>182902.41129999998</v>
      </c>
      <c r="W209" s="417">
        <v>0</v>
      </c>
      <c r="X209" s="378">
        <v>1.996E-4</v>
      </c>
      <c r="Z209" s="70">
        <v>57949.525499999996</v>
      </c>
      <c r="AA209" s="70">
        <v>57949.113699999994</v>
      </c>
      <c r="AB209" s="70">
        <v>0</v>
      </c>
      <c r="AC209" s="417">
        <v>0</v>
      </c>
      <c r="AD209" s="417">
        <v>0</v>
      </c>
      <c r="AE209" s="378">
        <v>1.996E-4</v>
      </c>
      <c r="AF209" s="378"/>
      <c r="AG209" s="70">
        <v>5830.5207750000045</v>
      </c>
      <c r="AH209" s="70">
        <v>859.52077500000451</v>
      </c>
      <c r="AI209" s="70">
        <v>859.52077500000451</v>
      </c>
      <c r="AJ209" s="417">
        <v>0</v>
      </c>
      <c r="AK209" s="417">
        <v>0</v>
      </c>
      <c r="AL209" s="378">
        <v>1.996E-4</v>
      </c>
      <c r="AM209" s="378"/>
      <c r="AN209" s="70">
        <v>-9512</v>
      </c>
      <c r="AO209" s="70">
        <v>-8213</v>
      </c>
      <c r="AP209" s="70">
        <v>0</v>
      </c>
      <c r="AQ209" s="417">
        <v>0</v>
      </c>
      <c r="AR209" s="417">
        <v>0</v>
      </c>
    </row>
    <row r="210" spans="1:44">
      <c r="A210" s="439">
        <v>92017</v>
      </c>
      <c r="B210" s="440" t="s">
        <v>921</v>
      </c>
      <c r="C210" s="437">
        <v>3.26E-5</v>
      </c>
      <c r="D210" s="441"/>
      <c r="E210" s="438">
        <v>32947.876449999996</v>
      </c>
      <c r="F210" s="442">
        <v>28168.72565</v>
      </c>
      <c r="G210" s="442">
        <v>10716.32805</v>
      </c>
      <c r="H210" s="442">
        <v>28958.808199999999</v>
      </c>
      <c r="I210" s="442">
        <v>0</v>
      </c>
      <c r="J210" s="443">
        <v>2.9200000000000002E-5</v>
      </c>
      <c r="K210" s="443"/>
      <c r="L210" s="444">
        <v>5252.7402000000002</v>
      </c>
      <c r="M210" s="444">
        <v>2153.7842000000001</v>
      </c>
      <c r="N210" s="444">
        <v>-258.9418</v>
      </c>
      <c r="O210" s="444">
        <v>0</v>
      </c>
      <c r="P210" s="417">
        <v>0</v>
      </c>
      <c r="Q210" s="378">
        <v>2.9200000000000002E-5</v>
      </c>
      <c r="R210" s="378"/>
      <c r="S210" s="70">
        <v>12771.147800000001</v>
      </c>
      <c r="T210" s="105">
        <v>11953.0182</v>
      </c>
      <c r="U210" s="70">
        <v>7101.3883999999998</v>
      </c>
      <c r="V210" s="70">
        <v>28958.808199999999</v>
      </c>
      <c r="W210" s="417">
        <v>0</v>
      </c>
      <c r="X210" s="378">
        <v>2.9200000000000002E-5</v>
      </c>
      <c r="Z210" s="70">
        <v>9175.107</v>
      </c>
      <c r="AA210" s="70">
        <v>9175.0417999999991</v>
      </c>
      <c r="AB210" s="70">
        <v>0</v>
      </c>
      <c r="AC210" s="417">
        <v>0</v>
      </c>
      <c r="AD210" s="417">
        <v>0</v>
      </c>
      <c r="AE210" s="378">
        <v>2.9200000000000002E-5</v>
      </c>
      <c r="AF210" s="378"/>
      <c r="AG210" s="70">
        <v>5748.8814499999989</v>
      </c>
      <c r="AH210" s="70">
        <v>4886.8814499999989</v>
      </c>
      <c r="AI210" s="70">
        <v>3873.8814499999989</v>
      </c>
      <c r="AJ210" s="417">
        <v>0</v>
      </c>
      <c r="AK210" s="417">
        <v>0</v>
      </c>
      <c r="AL210" s="378">
        <v>2.9200000000000002E-5</v>
      </c>
      <c r="AM210" s="378"/>
      <c r="AN210" s="70">
        <v>0</v>
      </c>
      <c r="AO210" s="70">
        <v>0</v>
      </c>
      <c r="AP210" s="70">
        <v>0</v>
      </c>
      <c r="AQ210" s="417">
        <v>0</v>
      </c>
      <c r="AR210" s="417">
        <v>0</v>
      </c>
    </row>
    <row r="211" spans="1:44">
      <c r="A211" s="439">
        <v>92021</v>
      </c>
      <c r="B211" s="440" t="s">
        <v>922</v>
      </c>
      <c r="C211" s="437">
        <v>1.077E-4</v>
      </c>
      <c r="D211" s="441"/>
      <c r="E211" s="438">
        <v>75873.554725000009</v>
      </c>
      <c r="F211" s="442">
        <v>69246.538125000006</v>
      </c>
      <c r="G211" s="442">
        <v>11804.012924999999</v>
      </c>
      <c r="H211" s="442">
        <v>95670.6639</v>
      </c>
      <c r="I211" s="442">
        <v>0</v>
      </c>
      <c r="J211" s="443">
        <v>1.2799999999999999E-4</v>
      </c>
      <c r="K211" s="443"/>
      <c r="L211" s="444">
        <v>17353.377899999999</v>
      </c>
      <c r="M211" s="444">
        <v>7115.4159</v>
      </c>
      <c r="N211" s="444">
        <v>-855.46109999999999</v>
      </c>
      <c r="O211" s="444">
        <v>0</v>
      </c>
      <c r="P211" s="417">
        <v>0</v>
      </c>
      <c r="Q211" s="378">
        <v>1.2799999999999999E-4</v>
      </c>
      <c r="R211" s="378"/>
      <c r="S211" s="70">
        <v>42191.7981</v>
      </c>
      <c r="T211" s="105">
        <v>39488.958899999998</v>
      </c>
      <c r="U211" s="70">
        <v>23460.721799999999</v>
      </c>
      <c r="V211" s="70">
        <v>95670.6639</v>
      </c>
      <c r="W211" s="417">
        <v>0</v>
      </c>
      <c r="X211" s="378">
        <v>1.2799999999999999E-4</v>
      </c>
      <c r="Z211" s="70">
        <v>30311.626500000002</v>
      </c>
      <c r="AA211" s="70">
        <v>30311.411100000001</v>
      </c>
      <c r="AB211" s="70">
        <v>0</v>
      </c>
      <c r="AC211" s="417">
        <v>0</v>
      </c>
      <c r="AD211" s="417">
        <v>0</v>
      </c>
      <c r="AE211" s="378">
        <v>1.2799999999999999E-4</v>
      </c>
      <c r="AF211" s="378"/>
      <c r="AG211" s="70">
        <v>5742</v>
      </c>
      <c r="AH211" s="70">
        <v>3132</v>
      </c>
      <c r="AI211" s="70">
        <v>0</v>
      </c>
      <c r="AJ211" s="417">
        <v>0</v>
      </c>
      <c r="AK211" s="417">
        <v>0</v>
      </c>
      <c r="AL211" s="378">
        <v>1.2799999999999999E-4</v>
      </c>
      <c r="AM211" s="378"/>
      <c r="AN211" s="70">
        <v>-19725.247775</v>
      </c>
      <c r="AO211" s="70">
        <v>-10801.247775</v>
      </c>
      <c r="AP211" s="70">
        <v>-10801.247775</v>
      </c>
      <c r="AQ211" s="417">
        <v>0</v>
      </c>
      <c r="AR211" s="417">
        <v>0</v>
      </c>
    </row>
    <row r="212" spans="1:44">
      <c r="A212" s="439">
        <v>92101</v>
      </c>
      <c r="B212" s="440" t="s">
        <v>923</v>
      </c>
      <c r="C212" s="437">
        <v>7.7729999999999997E-4</v>
      </c>
      <c r="D212" s="441"/>
      <c r="E212" s="438">
        <v>643568.10302499996</v>
      </c>
      <c r="F212" s="442">
        <v>564841.28962499998</v>
      </c>
      <c r="G212" s="442">
        <v>206722.55482499997</v>
      </c>
      <c r="H212" s="442">
        <v>690481.03110000002</v>
      </c>
      <c r="I212" s="442">
        <v>0</v>
      </c>
      <c r="J212" s="443">
        <v>7.0399999999999998E-4</v>
      </c>
      <c r="K212" s="443"/>
      <c r="L212" s="444">
        <v>125244.0171</v>
      </c>
      <c r="M212" s="444">
        <v>51353.879099999998</v>
      </c>
      <c r="N212" s="444">
        <v>-6174.0938999999998</v>
      </c>
      <c r="O212" s="444">
        <v>0</v>
      </c>
      <c r="P212" s="417">
        <v>0</v>
      </c>
      <c r="Q212" s="378">
        <v>7.0399999999999998E-4</v>
      </c>
      <c r="R212" s="378"/>
      <c r="S212" s="70">
        <v>304509.60690000001</v>
      </c>
      <c r="T212" s="105">
        <v>285002.48609999998</v>
      </c>
      <c r="U212" s="70">
        <v>169322.3682</v>
      </c>
      <c r="V212" s="70">
        <v>690481.03110000002</v>
      </c>
      <c r="W212" s="417">
        <v>0</v>
      </c>
      <c r="X212" s="378">
        <v>7.0399999999999998E-4</v>
      </c>
      <c r="Z212" s="70">
        <v>218767.1985</v>
      </c>
      <c r="AA212" s="70">
        <v>218765.6439</v>
      </c>
      <c r="AB212" s="70">
        <v>0</v>
      </c>
      <c r="AC212" s="417">
        <v>0</v>
      </c>
      <c r="AD212" s="417">
        <v>0</v>
      </c>
      <c r="AE212" s="378">
        <v>7.0399999999999998E-4</v>
      </c>
      <c r="AF212" s="378"/>
      <c r="AG212" s="70">
        <v>43574.28052499998</v>
      </c>
      <c r="AH212" s="70">
        <v>43574.28052499998</v>
      </c>
      <c r="AI212" s="70">
        <v>43574.28052499998</v>
      </c>
      <c r="AJ212" s="417">
        <v>0</v>
      </c>
      <c r="AK212" s="417">
        <v>0</v>
      </c>
      <c r="AL212" s="378">
        <v>7.0399999999999998E-4</v>
      </c>
      <c r="AM212" s="378"/>
      <c r="AN212" s="70">
        <v>-48527</v>
      </c>
      <c r="AO212" s="70">
        <v>-33855</v>
      </c>
      <c r="AP212" s="70">
        <v>0</v>
      </c>
      <c r="AQ212" s="417">
        <v>0</v>
      </c>
      <c r="AR212" s="417">
        <v>0</v>
      </c>
    </row>
    <row r="213" spans="1:44">
      <c r="A213" s="439">
        <v>92104</v>
      </c>
      <c r="B213" s="440" t="s">
        <v>924</v>
      </c>
      <c r="C213" s="437">
        <v>7.7999999999999999E-6</v>
      </c>
      <c r="D213" s="441"/>
      <c r="E213" s="438">
        <v>8838.3412500000013</v>
      </c>
      <c r="F213" s="442">
        <v>7148.1088499999996</v>
      </c>
      <c r="G213" s="442">
        <v>2314.75605</v>
      </c>
      <c r="H213" s="442">
        <v>6928.7946000000002</v>
      </c>
      <c r="I213" s="442">
        <v>0</v>
      </c>
      <c r="J213" s="443">
        <v>7.7999999999999999E-6</v>
      </c>
      <c r="K213" s="443"/>
      <c r="L213" s="444">
        <v>1256.7906</v>
      </c>
      <c r="M213" s="444">
        <v>515.32259999999997</v>
      </c>
      <c r="N213" s="444">
        <v>-61.955399999999997</v>
      </c>
      <c r="O213" s="444">
        <v>0</v>
      </c>
      <c r="P213" s="417">
        <v>0</v>
      </c>
      <c r="Q213" s="378">
        <v>7.7999999999999999E-6</v>
      </c>
      <c r="R213" s="378"/>
      <c r="S213" s="70">
        <v>3055.6734000000001</v>
      </c>
      <c r="T213" s="105">
        <v>2859.9245999999998</v>
      </c>
      <c r="U213" s="70">
        <v>1699.1052</v>
      </c>
      <c r="V213" s="70">
        <v>6928.7946000000002</v>
      </c>
      <c r="W213" s="417">
        <v>0</v>
      </c>
      <c r="X213" s="378">
        <v>7.7999999999999999E-6</v>
      </c>
      <c r="Z213" s="70">
        <v>2195.2710000000002</v>
      </c>
      <c r="AA213" s="70">
        <v>2195.2554</v>
      </c>
      <c r="AB213" s="70">
        <v>0</v>
      </c>
      <c r="AC213" s="417">
        <v>0</v>
      </c>
      <c r="AD213" s="417">
        <v>0</v>
      </c>
      <c r="AE213" s="378">
        <v>7.7999999999999999E-6</v>
      </c>
      <c r="AF213" s="378"/>
      <c r="AG213" s="70">
        <v>2330.6062499999998</v>
      </c>
      <c r="AH213" s="70">
        <v>1577.6062499999998</v>
      </c>
      <c r="AI213" s="70">
        <v>677.60624999999982</v>
      </c>
      <c r="AJ213" s="417">
        <v>0</v>
      </c>
      <c r="AK213" s="417">
        <v>0</v>
      </c>
      <c r="AL213" s="378">
        <v>7.7999999999999999E-6</v>
      </c>
      <c r="AM213" s="378"/>
      <c r="AN213" s="70">
        <v>0</v>
      </c>
      <c r="AO213" s="70">
        <v>0</v>
      </c>
      <c r="AP213" s="70">
        <v>0</v>
      </c>
      <c r="AQ213" s="417">
        <v>0</v>
      </c>
      <c r="AR213" s="417">
        <v>0</v>
      </c>
    </row>
    <row r="214" spans="1:44">
      <c r="A214" s="439">
        <v>92109</v>
      </c>
      <c r="B214" s="440" t="s">
        <v>925</v>
      </c>
      <c r="C214" s="437">
        <v>1.9900000000000001E-4</v>
      </c>
      <c r="D214" s="441"/>
      <c r="E214" s="438">
        <v>178950.70825000003</v>
      </c>
      <c r="F214" s="442">
        <v>150084.26625000002</v>
      </c>
      <c r="G214" s="442">
        <v>43032.342250000002</v>
      </c>
      <c r="H214" s="442">
        <v>176773.09300000002</v>
      </c>
      <c r="I214" s="442">
        <v>0</v>
      </c>
      <c r="J214" s="443">
        <v>1.95E-4</v>
      </c>
      <c r="K214" s="443"/>
      <c r="L214" s="444">
        <v>32064.273000000001</v>
      </c>
      <c r="M214" s="444">
        <v>13147.333000000001</v>
      </c>
      <c r="N214" s="444">
        <v>-1580.6570000000002</v>
      </c>
      <c r="O214" s="444">
        <v>0</v>
      </c>
      <c r="P214" s="417">
        <v>0</v>
      </c>
      <c r="Q214" s="378">
        <v>1.95E-4</v>
      </c>
      <c r="R214" s="378"/>
      <c r="S214" s="70">
        <v>77958.847000000009</v>
      </c>
      <c r="T214" s="105">
        <v>72964.743000000002</v>
      </c>
      <c r="U214" s="70">
        <v>43348.966</v>
      </c>
      <c r="V214" s="70">
        <v>176773.09300000002</v>
      </c>
      <c r="W214" s="417">
        <v>0</v>
      </c>
      <c r="X214" s="378">
        <v>1.95E-4</v>
      </c>
      <c r="Z214" s="70">
        <v>56007.555</v>
      </c>
      <c r="AA214" s="70">
        <v>56007.157000000007</v>
      </c>
      <c r="AB214" s="70">
        <v>0</v>
      </c>
      <c r="AC214" s="417">
        <v>0</v>
      </c>
      <c r="AD214" s="417">
        <v>0</v>
      </c>
      <c r="AE214" s="378">
        <v>1.95E-4</v>
      </c>
      <c r="AF214" s="378"/>
      <c r="AG214" s="70">
        <v>14156.03325</v>
      </c>
      <c r="AH214" s="70">
        <v>7965.0332500000004</v>
      </c>
      <c r="AI214" s="70">
        <v>1264.0332500000004</v>
      </c>
      <c r="AJ214" s="417">
        <v>0</v>
      </c>
      <c r="AK214" s="417">
        <v>0</v>
      </c>
      <c r="AL214" s="378">
        <v>1.95E-4</v>
      </c>
      <c r="AM214" s="378"/>
      <c r="AN214" s="70">
        <v>-1236</v>
      </c>
      <c r="AO214" s="70">
        <v>0</v>
      </c>
      <c r="AP214" s="70">
        <v>0</v>
      </c>
      <c r="AQ214" s="417">
        <v>0</v>
      </c>
      <c r="AR214" s="417">
        <v>0</v>
      </c>
    </row>
    <row r="215" spans="1:44">
      <c r="A215" s="439">
        <v>92111</v>
      </c>
      <c r="B215" s="440" t="s">
        <v>926</v>
      </c>
      <c r="C215" s="437">
        <v>5.3140000000000001E-4</v>
      </c>
      <c r="D215" s="441"/>
      <c r="E215" s="438">
        <v>433656.01185000001</v>
      </c>
      <c r="F215" s="442">
        <v>360230.05064999999</v>
      </c>
      <c r="G215" s="442">
        <v>100011.78424999998</v>
      </c>
      <c r="H215" s="442">
        <v>472046.33980000002</v>
      </c>
      <c r="I215" s="442">
        <v>0</v>
      </c>
      <c r="J215" s="443">
        <v>5.3620000000000002E-4</v>
      </c>
      <c r="K215" s="443"/>
      <c r="L215" s="444">
        <v>85622.887799999997</v>
      </c>
      <c r="M215" s="444">
        <v>35108.003799999999</v>
      </c>
      <c r="N215" s="444">
        <v>-4220.9102000000003</v>
      </c>
      <c r="O215" s="444">
        <v>0</v>
      </c>
      <c r="P215" s="417">
        <v>0</v>
      </c>
      <c r="Q215" s="378">
        <v>5.3620000000000002E-4</v>
      </c>
      <c r="R215" s="378"/>
      <c r="S215" s="70">
        <v>208177.5442</v>
      </c>
      <c r="T215" s="105">
        <v>194841.52980000002</v>
      </c>
      <c r="U215" s="70">
        <v>115756.98760000001</v>
      </c>
      <c r="V215" s="70">
        <v>472046.33980000002</v>
      </c>
      <c r="W215" s="417">
        <v>0</v>
      </c>
      <c r="X215" s="378">
        <v>5.3620000000000002E-4</v>
      </c>
      <c r="Z215" s="70">
        <v>149559.87299999999</v>
      </c>
      <c r="AA215" s="70">
        <v>149558.81020000001</v>
      </c>
      <c r="AB215" s="70">
        <v>0</v>
      </c>
      <c r="AC215" s="417">
        <v>0</v>
      </c>
      <c r="AD215" s="417">
        <v>0</v>
      </c>
      <c r="AE215" s="378">
        <v>5.3620000000000002E-4</v>
      </c>
      <c r="AF215" s="378"/>
      <c r="AG215" s="70">
        <v>16680</v>
      </c>
      <c r="AH215" s="70">
        <v>0</v>
      </c>
      <c r="AI215" s="70">
        <v>0</v>
      </c>
      <c r="AJ215" s="417">
        <v>0</v>
      </c>
      <c r="AK215" s="417">
        <v>0</v>
      </c>
      <c r="AL215" s="378">
        <v>5.3620000000000002E-4</v>
      </c>
      <c r="AM215" s="378"/>
      <c r="AN215" s="70">
        <v>-26384.293150000027</v>
      </c>
      <c r="AO215" s="70">
        <v>-19278.293150000027</v>
      </c>
      <c r="AP215" s="70">
        <v>-11524.293150000027</v>
      </c>
      <c r="AQ215" s="417">
        <v>0</v>
      </c>
      <c r="AR215" s="417">
        <v>0</v>
      </c>
    </row>
    <row r="216" spans="1:44">
      <c r="A216" s="439">
        <v>92113</v>
      </c>
      <c r="B216" s="440" t="s">
        <v>927</v>
      </c>
      <c r="C216" s="437">
        <v>1.6200000000000001E-5</v>
      </c>
      <c r="D216" s="441"/>
      <c r="E216" s="438">
        <v>17573.011900000005</v>
      </c>
      <c r="F216" s="442">
        <v>12818.452300000003</v>
      </c>
      <c r="G216" s="442">
        <v>2803.1811000000007</v>
      </c>
      <c r="H216" s="442">
        <v>14390.573400000001</v>
      </c>
      <c r="I216" s="442">
        <v>0</v>
      </c>
      <c r="J216" s="443">
        <v>1.8899999999999999E-5</v>
      </c>
      <c r="K216" s="443"/>
      <c r="L216" s="444">
        <v>2610.2574</v>
      </c>
      <c r="M216" s="444">
        <v>1070.2854</v>
      </c>
      <c r="N216" s="444">
        <v>-128.67660000000001</v>
      </c>
      <c r="O216" s="444">
        <v>0</v>
      </c>
      <c r="P216" s="417">
        <v>0</v>
      </c>
      <c r="Q216" s="378">
        <v>1.8899999999999999E-5</v>
      </c>
      <c r="R216" s="378"/>
      <c r="S216" s="70">
        <v>6346.3986000000004</v>
      </c>
      <c r="T216" s="105">
        <v>5939.8434000000007</v>
      </c>
      <c r="U216" s="70">
        <v>3528.9108000000001</v>
      </c>
      <c r="V216" s="70">
        <v>14390.573400000001</v>
      </c>
      <c r="W216" s="417">
        <v>0</v>
      </c>
      <c r="X216" s="378">
        <v>1.8899999999999999E-5</v>
      </c>
      <c r="Z216" s="70">
        <v>4559.4090000000006</v>
      </c>
      <c r="AA216" s="70">
        <v>4559.3766000000005</v>
      </c>
      <c r="AB216" s="70">
        <v>0</v>
      </c>
      <c r="AC216" s="417">
        <v>0</v>
      </c>
      <c r="AD216" s="417">
        <v>0</v>
      </c>
      <c r="AE216" s="378">
        <v>1.8899999999999999E-5</v>
      </c>
      <c r="AF216" s="378"/>
      <c r="AG216" s="70">
        <v>4654</v>
      </c>
      <c r="AH216" s="70">
        <v>1846</v>
      </c>
      <c r="AI216" s="70">
        <v>0</v>
      </c>
      <c r="AJ216" s="417">
        <v>0</v>
      </c>
      <c r="AK216" s="417">
        <v>0</v>
      </c>
      <c r="AL216" s="378">
        <v>1.8899999999999999E-5</v>
      </c>
      <c r="AM216" s="378"/>
      <c r="AN216" s="70">
        <v>-597.05309999999918</v>
      </c>
      <c r="AO216" s="70">
        <v>-597.05309999999918</v>
      </c>
      <c r="AP216" s="70">
        <v>-597.05309999999918</v>
      </c>
      <c r="AQ216" s="417">
        <v>0</v>
      </c>
      <c r="AR216" s="417">
        <v>0</v>
      </c>
    </row>
    <row r="217" spans="1:44">
      <c r="A217" s="439">
        <v>92201</v>
      </c>
      <c r="B217" s="440" t="s">
        <v>928</v>
      </c>
      <c r="C217" s="437">
        <v>1.0983E-3</v>
      </c>
      <c r="D217" s="441"/>
      <c r="E217" s="438">
        <v>1049348.482475</v>
      </c>
      <c r="F217" s="442">
        <v>881433.95107499999</v>
      </c>
      <c r="G217" s="442">
        <v>313399.62027500011</v>
      </c>
      <c r="H217" s="442">
        <v>975627.57809999993</v>
      </c>
      <c r="I217" s="442">
        <v>0</v>
      </c>
      <c r="J217" s="443">
        <v>9.5560000000000003E-4</v>
      </c>
      <c r="K217" s="443"/>
      <c r="L217" s="444">
        <v>176965.78409999999</v>
      </c>
      <c r="M217" s="444">
        <v>72561.386100000003</v>
      </c>
      <c r="N217" s="444">
        <v>-8723.7968999999994</v>
      </c>
      <c r="O217" s="444">
        <v>0</v>
      </c>
      <c r="P217" s="417">
        <v>0</v>
      </c>
      <c r="Q217" s="378">
        <v>9.5560000000000003E-4</v>
      </c>
      <c r="R217" s="378"/>
      <c r="S217" s="70">
        <v>430262.3199</v>
      </c>
      <c r="T217" s="105">
        <v>402699.38309999998</v>
      </c>
      <c r="U217" s="70">
        <v>239247.0822</v>
      </c>
      <c r="V217" s="70">
        <v>975627.57809999993</v>
      </c>
      <c r="W217" s="417">
        <v>0</v>
      </c>
      <c r="X217" s="378">
        <v>9.5560000000000003E-4</v>
      </c>
      <c r="Z217" s="70">
        <v>309111.04349999997</v>
      </c>
      <c r="AA217" s="70">
        <v>309108.8469</v>
      </c>
      <c r="AB217" s="70">
        <v>0</v>
      </c>
      <c r="AC217" s="417">
        <v>0</v>
      </c>
      <c r="AD217" s="417">
        <v>0</v>
      </c>
      <c r="AE217" s="378">
        <v>9.5560000000000003E-4</v>
      </c>
      <c r="AF217" s="378"/>
      <c r="AG217" s="70">
        <v>142848.33497500006</v>
      </c>
      <c r="AH217" s="70">
        <v>97064.334975000063</v>
      </c>
      <c r="AI217" s="70">
        <v>82876.334975000063</v>
      </c>
      <c r="AJ217" s="417">
        <v>0</v>
      </c>
      <c r="AK217" s="417">
        <v>0</v>
      </c>
      <c r="AL217" s="378">
        <v>9.5560000000000003E-4</v>
      </c>
      <c r="AM217" s="378"/>
      <c r="AN217" s="70">
        <v>-9839</v>
      </c>
      <c r="AO217" s="70">
        <v>0</v>
      </c>
      <c r="AP217" s="70">
        <v>0</v>
      </c>
      <c r="AQ217" s="417">
        <v>0</v>
      </c>
      <c r="AR217" s="417">
        <v>0</v>
      </c>
    </row>
    <row r="218" spans="1:44">
      <c r="A218" s="439">
        <v>92214</v>
      </c>
      <c r="B218" s="440" t="s">
        <v>1925</v>
      </c>
      <c r="C218" s="437">
        <v>2.7900000000000001E-5</v>
      </c>
      <c r="D218" s="441"/>
      <c r="E218" s="438">
        <v>29015.241275</v>
      </c>
      <c r="F218" s="442">
        <v>25990.833075000002</v>
      </c>
      <c r="G218" s="442">
        <v>10604.532675000002</v>
      </c>
      <c r="H218" s="442">
        <v>24783.765299999999</v>
      </c>
      <c r="I218" s="442">
        <v>0</v>
      </c>
      <c r="J218" s="443">
        <v>2.0599999999999999E-5</v>
      </c>
      <c r="K218" s="443"/>
      <c r="L218" s="444">
        <v>4495.4432999999999</v>
      </c>
      <c r="M218" s="444">
        <v>1843.2692999999999</v>
      </c>
      <c r="N218" s="444">
        <v>-221.6097</v>
      </c>
      <c r="O218" s="444">
        <v>0</v>
      </c>
      <c r="P218" s="417">
        <v>0</v>
      </c>
      <c r="Q218" s="378">
        <v>2.0599999999999999E-5</v>
      </c>
      <c r="R218" s="378"/>
      <c r="S218" s="70">
        <v>10929.9087</v>
      </c>
      <c r="T218" s="105">
        <v>10229.730300000001</v>
      </c>
      <c r="U218" s="70">
        <v>6077.5686000000005</v>
      </c>
      <c r="V218" s="70">
        <v>24783.765299999999</v>
      </c>
      <c r="W218" s="417">
        <v>0</v>
      </c>
      <c r="X218" s="378">
        <v>2.0599999999999999E-5</v>
      </c>
      <c r="Z218" s="70">
        <v>7852.3154999999997</v>
      </c>
      <c r="AA218" s="70">
        <v>7852.2597000000005</v>
      </c>
      <c r="AB218" s="70">
        <v>0</v>
      </c>
      <c r="AC218" s="417">
        <v>0</v>
      </c>
      <c r="AD218" s="417">
        <v>0</v>
      </c>
      <c r="AE218" s="378">
        <v>2.0599999999999999E-5</v>
      </c>
      <c r="AF218" s="378"/>
      <c r="AG218" s="70">
        <v>6242.5737750000017</v>
      </c>
      <c r="AH218" s="70">
        <v>6065.5737750000017</v>
      </c>
      <c r="AI218" s="70">
        <v>4748.5737750000017</v>
      </c>
      <c r="AJ218" s="417">
        <v>0</v>
      </c>
      <c r="AK218" s="417">
        <v>0</v>
      </c>
      <c r="AL218" s="378">
        <v>2.0599999999999999E-5</v>
      </c>
      <c r="AM218" s="378"/>
      <c r="AN218" s="70">
        <v>-505</v>
      </c>
      <c r="AO218" s="70">
        <v>0</v>
      </c>
      <c r="AP218" s="70">
        <v>0</v>
      </c>
      <c r="AQ218" s="417">
        <v>0</v>
      </c>
      <c r="AR218" s="417">
        <v>0</v>
      </c>
    </row>
    <row r="219" spans="1:44">
      <c r="A219" s="439">
        <v>92301</v>
      </c>
      <c r="B219" s="440" t="s">
        <v>929</v>
      </c>
      <c r="C219" s="437">
        <v>5.3742E-3</v>
      </c>
      <c r="D219" s="441"/>
      <c r="E219" s="438">
        <v>4305849.0694500003</v>
      </c>
      <c r="F219" s="442">
        <v>3776034.9458499993</v>
      </c>
      <c r="G219" s="442">
        <v>1241034.8666499997</v>
      </c>
      <c r="H219" s="442">
        <v>4773939.4793999996</v>
      </c>
      <c r="I219" s="442">
        <v>0</v>
      </c>
      <c r="J219" s="443">
        <v>5.0848000000000004E-3</v>
      </c>
      <c r="K219" s="443"/>
      <c r="L219" s="444">
        <v>865928.72340000002</v>
      </c>
      <c r="M219" s="444">
        <v>355057.27140000003</v>
      </c>
      <c r="N219" s="444">
        <v>-42687.270600000003</v>
      </c>
      <c r="O219" s="444">
        <v>0</v>
      </c>
      <c r="P219" s="417">
        <v>0</v>
      </c>
      <c r="Q219" s="378">
        <v>5.0848000000000004E-3</v>
      </c>
      <c r="R219" s="378"/>
      <c r="S219" s="70">
        <v>2105358.9726</v>
      </c>
      <c r="T219" s="105">
        <v>1970488.0493999999</v>
      </c>
      <c r="U219" s="70">
        <v>1170683.4827999999</v>
      </c>
      <c r="V219" s="70">
        <v>4773939.4793999996</v>
      </c>
      <c r="W219" s="417">
        <v>0</v>
      </c>
      <c r="X219" s="378">
        <v>5.0848000000000004E-3</v>
      </c>
      <c r="Z219" s="70">
        <v>1512541.719</v>
      </c>
      <c r="AA219" s="70">
        <v>1512530.9705999999</v>
      </c>
      <c r="AB219" s="70">
        <v>0</v>
      </c>
      <c r="AC219" s="417">
        <v>0</v>
      </c>
      <c r="AD219" s="417">
        <v>0</v>
      </c>
      <c r="AE219" s="378">
        <v>5.0848000000000004E-3</v>
      </c>
      <c r="AF219" s="378"/>
      <c r="AG219" s="70">
        <v>141169.6544499998</v>
      </c>
      <c r="AH219" s="70">
        <v>113038.6544499998</v>
      </c>
      <c r="AI219" s="70">
        <v>113038.6544499998</v>
      </c>
      <c r="AJ219" s="417">
        <v>0</v>
      </c>
      <c r="AK219" s="417">
        <v>0</v>
      </c>
      <c r="AL219" s="378">
        <v>5.0848000000000004E-3</v>
      </c>
      <c r="AM219" s="378"/>
      <c r="AN219" s="70">
        <v>-319150</v>
      </c>
      <c r="AO219" s="70">
        <v>-175080</v>
      </c>
      <c r="AP219" s="70">
        <v>0</v>
      </c>
      <c r="AQ219" s="417">
        <v>0</v>
      </c>
      <c r="AR219" s="417">
        <v>0</v>
      </c>
    </row>
    <row r="220" spans="1:44">
      <c r="A220" s="439">
        <v>92302</v>
      </c>
      <c r="B220" s="440" t="s">
        <v>930</v>
      </c>
      <c r="C220" s="437">
        <v>2.6069999999999999E-4</v>
      </c>
      <c r="D220" s="441"/>
      <c r="E220" s="438">
        <v>193112.20012500003</v>
      </c>
      <c r="F220" s="442">
        <v>169157.00952500003</v>
      </c>
      <c r="G220" s="442">
        <v>45318.256325000031</v>
      </c>
      <c r="H220" s="442">
        <v>231581.6349</v>
      </c>
      <c r="I220" s="442">
        <v>0</v>
      </c>
      <c r="J220" s="443">
        <v>2.8669999999999998E-4</v>
      </c>
      <c r="K220" s="443"/>
      <c r="L220" s="444">
        <v>42005.808899999996</v>
      </c>
      <c r="M220" s="444">
        <v>17223.6669</v>
      </c>
      <c r="N220" s="444">
        <v>-2070.7401</v>
      </c>
      <c r="O220" s="444">
        <v>0</v>
      </c>
      <c r="P220" s="417">
        <v>0</v>
      </c>
      <c r="Q220" s="378">
        <v>2.8669999999999998E-4</v>
      </c>
      <c r="R220" s="378"/>
      <c r="S220" s="70">
        <v>102130.0071</v>
      </c>
      <c r="T220" s="105">
        <v>95587.479899999991</v>
      </c>
      <c r="U220" s="70">
        <v>56789.323799999998</v>
      </c>
      <c r="V220" s="70">
        <v>231581.6349</v>
      </c>
      <c r="W220" s="417">
        <v>0</v>
      </c>
      <c r="X220" s="378">
        <v>2.8669999999999998E-4</v>
      </c>
      <c r="Z220" s="70">
        <v>73372.711500000005</v>
      </c>
      <c r="AA220" s="70">
        <v>73372.190099999993</v>
      </c>
      <c r="AB220" s="70">
        <v>0</v>
      </c>
      <c r="AC220" s="417">
        <v>0</v>
      </c>
      <c r="AD220" s="417">
        <v>0</v>
      </c>
      <c r="AE220" s="378">
        <v>2.8669999999999998E-4</v>
      </c>
      <c r="AF220" s="378"/>
      <c r="AG220" s="70">
        <v>0</v>
      </c>
      <c r="AH220" s="70">
        <v>0</v>
      </c>
      <c r="AI220" s="70">
        <v>0</v>
      </c>
      <c r="AJ220" s="417">
        <v>0</v>
      </c>
      <c r="AK220" s="417">
        <v>0</v>
      </c>
      <c r="AL220" s="378">
        <v>2.8669999999999998E-4</v>
      </c>
      <c r="AM220" s="378"/>
      <c r="AN220" s="70">
        <v>-24396.327374999964</v>
      </c>
      <c r="AO220" s="70">
        <v>-17026.327374999964</v>
      </c>
      <c r="AP220" s="70">
        <v>-9400.3273749999644</v>
      </c>
      <c r="AQ220" s="417">
        <v>0</v>
      </c>
      <c r="AR220" s="417">
        <v>0</v>
      </c>
    </row>
    <row r="221" spans="1:44">
      <c r="A221" s="439">
        <v>92311</v>
      </c>
      <c r="B221" s="440" t="s">
        <v>931</v>
      </c>
      <c r="C221" s="437">
        <v>2.1213E-3</v>
      </c>
      <c r="D221" s="441"/>
      <c r="E221" s="438">
        <v>1658089.430675</v>
      </c>
      <c r="F221" s="442">
        <v>1389130.2652750001</v>
      </c>
      <c r="G221" s="442">
        <v>408336.58647500002</v>
      </c>
      <c r="H221" s="442">
        <v>1884365.6391</v>
      </c>
      <c r="I221" s="442">
        <v>0</v>
      </c>
      <c r="J221" s="443">
        <v>2.2017E-3</v>
      </c>
      <c r="K221" s="443"/>
      <c r="L221" s="444">
        <v>341798.70510000002</v>
      </c>
      <c r="M221" s="444">
        <v>140147.9271</v>
      </c>
      <c r="N221" s="444">
        <v>-16849.4859</v>
      </c>
      <c r="O221" s="444">
        <v>0</v>
      </c>
      <c r="P221" s="417">
        <v>0</v>
      </c>
      <c r="Q221" s="378">
        <v>2.2017E-3</v>
      </c>
      <c r="R221" s="378"/>
      <c r="S221" s="70">
        <v>831025.63890000002</v>
      </c>
      <c r="T221" s="105">
        <v>777789.49410000001</v>
      </c>
      <c r="U221" s="70">
        <v>462091.26419999998</v>
      </c>
      <c r="V221" s="70">
        <v>1884365.6391</v>
      </c>
      <c r="W221" s="417">
        <v>0</v>
      </c>
      <c r="X221" s="378">
        <v>2.2017E-3</v>
      </c>
      <c r="Z221" s="70">
        <v>597029.27850000001</v>
      </c>
      <c r="AA221" s="70">
        <v>597025.03590000002</v>
      </c>
      <c r="AB221" s="70">
        <v>0</v>
      </c>
      <c r="AC221" s="417">
        <v>0</v>
      </c>
      <c r="AD221" s="417">
        <v>0</v>
      </c>
      <c r="AE221" s="378">
        <v>2.2017E-3</v>
      </c>
      <c r="AF221" s="378"/>
      <c r="AG221" s="70">
        <v>14068</v>
      </c>
      <c r="AH221" s="70">
        <v>0</v>
      </c>
      <c r="AI221" s="70">
        <v>0</v>
      </c>
      <c r="AJ221" s="417">
        <v>0</v>
      </c>
      <c r="AK221" s="417">
        <v>0</v>
      </c>
      <c r="AL221" s="378">
        <v>2.2017E-3</v>
      </c>
      <c r="AM221" s="378"/>
      <c r="AN221" s="70">
        <v>-125832.19182499999</v>
      </c>
      <c r="AO221" s="70">
        <v>-125832.19182499999</v>
      </c>
      <c r="AP221" s="70">
        <v>-36905.191824999987</v>
      </c>
      <c r="AQ221" s="417">
        <v>0</v>
      </c>
      <c r="AR221" s="417">
        <v>0</v>
      </c>
    </row>
    <row r="222" spans="1:44">
      <c r="A222" s="439">
        <v>92317</v>
      </c>
      <c r="B222" s="440" t="s">
        <v>932</v>
      </c>
      <c r="C222" s="437">
        <v>3.3399999999999999E-5</v>
      </c>
      <c r="D222" s="441"/>
      <c r="E222" s="438">
        <v>40565.107250000001</v>
      </c>
      <c r="F222" s="442">
        <v>29020.830049999997</v>
      </c>
      <c r="G222" s="442">
        <v>8318.0116500000004</v>
      </c>
      <c r="H222" s="442">
        <v>29669.453799999999</v>
      </c>
      <c r="I222" s="442">
        <v>0</v>
      </c>
      <c r="J222" s="443">
        <v>3.6399999999999997E-5</v>
      </c>
      <c r="K222" s="443"/>
      <c r="L222" s="444">
        <v>5381.6417999999994</v>
      </c>
      <c r="M222" s="444">
        <v>2206.6378</v>
      </c>
      <c r="N222" s="444">
        <v>-265.2962</v>
      </c>
      <c r="O222" s="444">
        <v>0</v>
      </c>
      <c r="P222" s="417">
        <v>0</v>
      </c>
      <c r="Q222" s="378">
        <v>3.6399999999999997E-5</v>
      </c>
      <c r="R222" s="378"/>
      <c r="S222" s="70">
        <v>13084.5502</v>
      </c>
      <c r="T222" s="105">
        <v>12246.343799999999</v>
      </c>
      <c r="U222" s="70">
        <v>7275.6556</v>
      </c>
      <c r="V222" s="70">
        <v>29669.453799999999</v>
      </c>
      <c r="W222" s="417">
        <v>0</v>
      </c>
      <c r="X222" s="378">
        <v>3.6399999999999997E-5</v>
      </c>
      <c r="Z222" s="70">
        <v>9400.262999999999</v>
      </c>
      <c r="AA222" s="70">
        <v>9400.1962000000003</v>
      </c>
      <c r="AB222" s="70">
        <v>0</v>
      </c>
      <c r="AC222" s="417">
        <v>0</v>
      </c>
      <c r="AD222" s="417">
        <v>0</v>
      </c>
      <c r="AE222" s="378">
        <v>3.6399999999999997E-5</v>
      </c>
      <c r="AF222" s="378"/>
      <c r="AG222" s="70">
        <v>12698.652249999999</v>
      </c>
      <c r="AH222" s="70">
        <v>5167.6522500000001</v>
      </c>
      <c r="AI222" s="70">
        <v>1307.6522500000001</v>
      </c>
      <c r="AJ222" s="417">
        <v>0</v>
      </c>
      <c r="AK222" s="417">
        <v>0</v>
      </c>
      <c r="AL222" s="378">
        <v>3.6399999999999997E-5</v>
      </c>
      <c r="AM222" s="378"/>
      <c r="AN222" s="70">
        <v>0</v>
      </c>
      <c r="AO222" s="70">
        <v>0</v>
      </c>
      <c r="AP222" s="70">
        <v>0</v>
      </c>
      <c r="AQ222" s="417">
        <v>0</v>
      </c>
      <c r="AR222" s="417">
        <v>0</v>
      </c>
    </row>
    <row r="223" spans="1:44">
      <c r="A223" s="439">
        <v>92321</v>
      </c>
      <c r="B223" s="440" t="s">
        <v>933</v>
      </c>
      <c r="C223" s="437">
        <v>1.2174E-3</v>
      </c>
      <c r="D223" s="441"/>
      <c r="E223" s="438">
        <v>993986.62269999995</v>
      </c>
      <c r="F223" s="442">
        <v>797130.27350000013</v>
      </c>
      <c r="G223" s="442">
        <v>210713.67110000012</v>
      </c>
      <c r="H223" s="442">
        <v>1081424.9417999999</v>
      </c>
      <c r="I223" s="442">
        <v>0</v>
      </c>
      <c r="J223" s="443">
        <v>1.2914999999999999E-3</v>
      </c>
      <c r="K223" s="443"/>
      <c r="L223" s="444">
        <v>196156.0098</v>
      </c>
      <c r="M223" s="444">
        <v>80429.965800000005</v>
      </c>
      <c r="N223" s="444">
        <v>-9669.8081999999995</v>
      </c>
      <c r="O223" s="444">
        <v>0</v>
      </c>
      <c r="P223" s="417">
        <v>0</v>
      </c>
      <c r="Q223" s="378">
        <v>1.2914999999999999E-3</v>
      </c>
      <c r="R223" s="378"/>
      <c r="S223" s="70">
        <v>476920.10220000002</v>
      </c>
      <c r="T223" s="105">
        <v>446368.23180000001</v>
      </c>
      <c r="U223" s="70">
        <v>265191.1116</v>
      </c>
      <c r="V223" s="70">
        <v>1081424.9417999999</v>
      </c>
      <c r="W223" s="417">
        <v>0</v>
      </c>
      <c r="X223" s="378">
        <v>1.2914999999999999E-3</v>
      </c>
      <c r="Z223" s="70">
        <v>342631.14299999998</v>
      </c>
      <c r="AA223" s="70">
        <v>342628.70819999999</v>
      </c>
      <c r="AB223" s="70">
        <v>0</v>
      </c>
      <c r="AC223" s="417">
        <v>0</v>
      </c>
      <c r="AD223" s="417">
        <v>0</v>
      </c>
      <c r="AE223" s="378">
        <v>1.2914999999999999E-3</v>
      </c>
      <c r="AF223" s="378"/>
      <c r="AG223" s="70">
        <v>52988</v>
      </c>
      <c r="AH223" s="70">
        <v>0</v>
      </c>
      <c r="AI223" s="70">
        <v>0</v>
      </c>
      <c r="AJ223" s="417">
        <v>0</v>
      </c>
      <c r="AK223" s="417">
        <v>0</v>
      </c>
      <c r="AL223" s="378">
        <v>1.2914999999999999E-3</v>
      </c>
      <c r="AM223" s="378"/>
      <c r="AN223" s="70">
        <v>-74708.632299999881</v>
      </c>
      <c r="AO223" s="70">
        <v>-72296.632299999881</v>
      </c>
      <c r="AP223" s="70">
        <v>-44807.632299999881</v>
      </c>
      <c r="AQ223" s="417">
        <v>0</v>
      </c>
      <c r="AR223" s="417">
        <v>0</v>
      </c>
    </row>
    <row r="224" spans="1:44">
      <c r="A224" s="439">
        <v>92327</v>
      </c>
      <c r="B224" s="440" t="s">
        <v>934</v>
      </c>
      <c r="C224" s="437">
        <v>6.7000000000000002E-6</v>
      </c>
      <c r="D224" s="441"/>
      <c r="E224" s="438">
        <v>10928.576575000001</v>
      </c>
      <c r="F224" s="442">
        <v>8125.5179750000007</v>
      </c>
      <c r="G224" s="442">
        <v>3152.8687749999999</v>
      </c>
      <c r="H224" s="442">
        <v>5951.6569</v>
      </c>
      <c r="I224" s="442">
        <v>0</v>
      </c>
      <c r="J224" s="443">
        <v>6.8000000000000001E-6</v>
      </c>
      <c r="K224" s="443"/>
      <c r="L224" s="444">
        <v>1079.5509</v>
      </c>
      <c r="M224" s="444">
        <v>442.64890000000003</v>
      </c>
      <c r="N224" s="444">
        <v>-53.2181</v>
      </c>
      <c r="O224" s="444">
        <v>0</v>
      </c>
      <c r="P224" s="417">
        <v>0</v>
      </c>
      <c r="Q224" s="378">
        <v>6.8000000000000001E-6</v>
      </c>
      <c r="R224" s="378"/>
      <c r="S224" s="70">
        <v>2624.7451000000001</v>
      </c>
      <c r="T224" s="105">
        <v>2456.6019000000001</v>
      </c>
      <c r="U224" s="70">
        <v>1459.4878000000001</v>
      </c>
      <c r="V224" s="70">
        <v>5951.6569</v>
      </c>
      <c r="W224" s="417">
        <v>0</v>
      </c>
      <c r="X224" s="378">
        <v>6.8000000000000001E-6</v>
      </c>
      <c r="Z224" s="70">
        <v>1885.6815000000001</v>
      </c>
      <c r="AA224" s="70">
        <v>1885.6681000000001</v>
      </c>
      <c r="AB224" s="70">
        <v>0</v>
      </c>
      <c r="AC224" s="417">
        <v>0</v>
      </c>
      <c r="AD224" s="417">
        <v>0</v>
      </c>
      <c r="AE224" s="378">
        <v>6.8000000000000001E-6</v>
      </c>
      <c r="AF224" s="378"/>
      <c r="AG224" s="70">
        <v>5338.5990750000001</v>
      </c>
      <c r="AH224" s="70">
        <v>3340.5990749999996</v>
      </c>
      <c r="AI224" s="70">
        <v>1746.5990749999996</v>
      </c>
      <c r="AJ224" s="417">
        <v>0</v>
      </c>
      <c r="AK224" s="417">
        <v>0</v>
      </c>
      <c r="AL224" s="378">
        <v>6.8000000000000001E-6</v>
      </c>
      <c r="AM224" s="378"/>
      <c r="AN224" s="70">
        <v>0</v>
      </c>
      <c r="AO224" s="70">
        <v>0</v>
      </c>
      <c r="AP224" s="70">
        <v>0</v>
      </c>
      <c r="AQ224" s="417">
        <v>0</v>
      </c>
      <c r="AR224" s="417">
        <v>0</v>
      </c>
    </row>
    <row r="225" spans="1:44">
      <c r="A225" s="439">
        <v>92331</v>
      </c>
      <c r="B225" s="440" t="s">
        <v>935</v>
      </c>
      <c r="C225" s="437">
        <v>1.6469999999999999E-4</v>
      </c>
      <c r="D225" s="441"/>
      <c r="E225" s="438">
        <v>161363.892375</v>
      </c>
      <c r="F225" s="442">
        <v>133459.86977500003</v>
      </c>
      <c r="G225" s="442">
        <v>36344.612575000028</v>
      </c>
      <c r="H225" s="442">
        <v>146304.1629</v>
      </c>
      <c r="I225" s="442">
        <v>0</v>
      </c>
      <c r="J225" s="443">
        <v>1.6119999999999999E-4</v>
      </c>
      <c r="K225" s="443"/>
      <c r="L225" s="444">
        <v>26537.616899999997</v>
      </c>
      <c r="M225" s="444">
        <v>10881.234899999999</v>
      </c>
      <c r="N225" s="444">
        <v>-1308.2121</v>
      </c>
      <c r="O225" s="444">
        <v>0</v>
      </c>
      <c r="P225" s="417">
        <v>0</v>
      </c>
      <c r="Q225" s="378">
        <v>1.6119999999999999E-4</v>
      </c>
      <c r="R225" s="378"/>
      <c r="S225" s="70">
        <v>64521.719099999995</v>
      </c>
      <c r="T225" s="105">
        <v>60388.407899999998</v>
      </c>
      <c r="U225" s="70">
        <v>35877.2598</v>
      </c>
      <c r="V225" s="70">
        <v>146304.1629</v>
      </c>
      <c r="W225" s="417">
        <v>0</v>
      </c>
      <c r="X225" s="378">
        <v>1.6119999999999999E-4</v>
      </c>
      <c r="Z225" s="70">
        <v>46353.991499999996</v>
      </c>
      <c r="AA225" s="70">
        <v>46353.662099999994</v>
      </c>
      <c r="AB225" s="70">
        <v>0</v>
      </c>
      <c r="AC225" s="417">
        <v>0</v>
      </c>
      <c r="AD225" s="417">
        <v>0</v>
      </c>
      <c r="AE225" s="378">
        <v>1.6119999999999999E-4</v>
      </c>
      <c r="AF225" s="378"/>
      <c r="AG225" s="70">
        <v>23950.564875000025</v>
      </c>
      <c r="AH225" s="70">
        <v>15836.564875000025</v>
      </c>
      <c r="AI225" s="70">
        <v>1775.5648750000255</v>
      </c>
      <c r="AJ225" s="417">
        <v>0</v>
      </c>
      <c r="AK225" s="417">
        <v>0</v>
      </c>
      <c r="AL225" s="378">
        <v>1.6119999999999999E-4</v>
      </c>
      <c r="AM225" s="378"/>
      <c r="AN225" s="70">
        <v>0</v>
      </c>
      <c r="AO225" s="70">
        <v>0</v>
      </c>
      <c r="AP225" s="70">
        <v>0</v>
      </c>
      <c r="AQ225" s="417">
        <v>0</v>
      </c>
      <c r="AR225" s="417">
        <v>0</v>
      </c>
    </row>
    <row r="226" spans="1:44">
      <c r="A226" s="439">
        <v>92341</v>
      </c>
      <c r="B226" s="440" t="s">
        <v>936</v>
      </c>
      <c r="C226" s="437">
        <v>7.0999999999999998E-6</v>
      </c>
      <c r="D226" s="441"/>
      <c r="E226" s="438">
        <v>4039.5016750000004</v>
      </c>
      <c r="F226" s="442">
        <v>4090.3798749999996</v>
      </c>
      <c r="G226" s="442">
        <v>698.02027500000031</v>
      </c>
      <c r="H226" s="442">
        <v>6306.9796999999999</v>
      </c>
      <c r="I226" s="442">
        <v>0</v>
      </c>
      <c r="J226" s="443">
        <v>7.9999999999999996E-6</v>
      </c>
      <c r="K226" s="443"/>
      <c r="L226" s="444">
        <v>1144.0017</v>
      </c>
      <c r="M226" s="444">
        <v>469.07569999999998</v>
      </c>
      <c r="N226" s="444">
        <v>-56.395299999999999</v>
      </c>
      <c r="O226" s="444">
        <v>0</v>
      </c>
      <c r="P226" s="417">
        <v>0</v>
      </c>
      <c r="Q226" s="378">
        <v>7.9999999999999996E-6</v>
      </c>
      <c r="R226" s="378"/>
      <c r="S226" s="70">
        <v>2781.4463000000001</v>
      </c>
      <c r="T226" s="105">
        <v>2603.2646999999997</v>
      </c>
      <c r="U226" s="70">
        <v>1546.6214</v>
      </c>
      <c r="V226" s="70">
        <v>6306.9796999999999</v>
      </c>
      <c r="W226" s="417">
        <v>0</v>
      </c>
      <c r="X226" s="378">
        <v>7.9999999999999996E-6</v>
      </c>
      <c r="Z226" s="70">
        <v>1998.2594999999999</v>
      </c>
      <c r="AA226" s="70">
        <v>1998.2453</v>
      </c>
      <c r="AB226" s="70">
        <v>0</v>
      </c>
      <c r="AC226" s="417">
        <v>0</v>
      </c>
      <c r="AD226" s="417">
        <v>0</v>
      </c>
      <c r="AE226" s="378">
        <v>7.9999999999999996E-6</v>
      </c>
      <c r="AF226" s="378"/>
      <c r="AG226" s="70">
        <v>0</v>
      </c>
      <c r="AH226" s="70">
        <v>0</v>
      </c>
      <c r="AI226" s="70">
        <v>0</v>
      </c>
      <c r="AJ226" s="417">
        <v>0</v>
      </c>
      <c r="AK226" s="417">
        <v>0</v>
      </c>
      <c r="AL226" s="378">
        <v>7.9999999999999996E-6</v>
      </c>
      <c r="AM226" s="378"/>
      <c r="AN226" s="70">
        <v>-1884.2058249999998</v>
      </c>
      <c r="AO226" s="70">
        <v>-980.20582499999978</v>
      </c>
      <c r="AP226" s="70">
        <v>-792.20582499999978</v>
      </c>
      <c r="AQ226" s="417">
        <v>0</v>
      </c>
      <c r="AR226" s="417">
        <v>0</v>
      </c>
    </row>
    <row r="227" spans="1:44">
      <c r="A227" s="439">
        <v>92351</v>
      </c>
      <c r="B227" s="440" t="s">
        <v>937</v>
      </c>
      <c r="C227" s="437">
        <v>3.01E-5</v>
      </c>
      <c r="D227" s="441"/>
      <c r="E227" s="438">
        <v>31840.005675</v>
      </c>
      <c r="F227" s="442">
        <v>24976.249875000005</v>
      </c>
      <c r="G227" s="442">
        <v>9445.5422749999998</v>
      </c>
      <c r="H227" s="442">
        <v>26738.040700000001</v>
      </c>
      <c r="I227" s="442">
        <v>0</v>
      </c>
      <c r="J227" s="443">
        <v>2.55E-5</v>
      </c>
      <c r="K227" s="443"/>
      <c r="L227" s="444">
        <v>4849.9227000000001</v>
      </c>
      <c r="M227" s="444">
        <v>1988.6167</v>
      </c>
      <c r="N227" s="444">
        <v>-239.08429999999998</v>
      </c>
      <c r="O227" s="444">
        <v>0</v>
      </c>
      <c r="P227" s="417">
        <v>0</v>
      </c>
      <c r="Q227" s="378">
        <v>2.55E-5</v>
      </c>
      <c r="R227" s="378"/>
      <c r="S227" s="70">
        <v>11791.765299999999</v>
      </c>
      <c r="T227" s="105">
        <v>11036.375700000001</v>
      </c>
      <c r="U227" s="70">
        <v>6556.8033999999998</v>
      </c>
      <c r="V227" s="70">
        <v>26738.040700000001</v>
      </c>
      <c r="W227" s="417">
        <v>0</v>
      </c>
      <c r="X227" s="378">
        <v>2.55E-5</v>
      </c>
      <c r="Z227" s="70">
        <v>8471.4945000000007</v>
      </c>
      <c r="AA227" s="70">
        <v>8471.4343000000008</v>
      </c>
      <c r="AB227" s="70">
        <v>0</v>
      </c>
      <c r="AC227" s="417">
        <v>0</v>
      </c>
      <c r="AD227" s="417">
        <v>0</v>
      </c>
      <c r="AE227" s="378">
        <v>2.55E-5</v>
      </c>
      <c r="AF227" s="378"/>
      <c r="AG227" s="70">
        <v>6907.8231750000004</v>
      </c>
      <c r="AH227" s="70">
        <v>3479.8231750000004</v>
      </c>
      <c r="AI227" s="70">
        <v>3127.8231750000004</v>
      </c>
      <c r="AJ227" s="417">
        <v>0</v>
      </c>
      <c r="AK227" s="417">
        <v>0</v>
      </c>
      <c r="AL227" s="378">
        <v>2.55E-5</v>
      </c>
      <c r="AM227" s="378"/>
      <c r="AN227" s="70">
        <v>-181</v>
      </c>
      <c r="AO227" s="70">
        <v>0</v>
      </c>
      <c r="AP227" s="70">
        <v>0</v>
      </c>
      <c r="AQ227" s="417">
        <v>0</v>
      </c>
      <c r="AR227" s="417">
        <v>0</v>
      </c>
    </row>
    <row r="228" spans="1:44">
      <c r="A228" s="439">
        <v>92401</v>
      </c>
      <c r="B228" s="440" t="s">
        <v>938</v>
      </c>
      <c r="C228" s="437">
        <v>2.6510000000000001E-3</v>
      </c>
      <c r="D228" s="441"/>
      <c r="E228" s="438">
        <v>2360525.1895000003</v>
      </c>
      <c r="F228" s="442">
        <v>2010072.3315000003</v>
      </c>
      <c r="G228" s="442">
        <v>649113.65550000011</v>
      </c>
      <c r="H228" s="442">
        <v>2354901.8570000003</v>
      </c>
      <c r="I228" s="442">
        <v>0</v>
      </c>
      <c r="J228" s="443">
        <v>2.5695000000000002E-3</v>
      </c>
      <c r="K228" s="443"/>
      <c r="L228" s="444">
        <v>427147.67700000003</v>
      </c>
      <c r="M228" s="444">
        <v>175143.617</v>
      </c>
      <c r="N228" s="444">
        <v>-21056.893</v>
      </c>
      <c r="O228" s="444">
        <v>0</v>
      </c>
      <c r="P228" s="417">
        <v>0</v>
      </c>
      <c r="Q228" s="378">
        <v>2.5695000000000002E-3</v>
      </c>
      <c r="R228" s="378"/>
      <c r="S228" s="70">
        <v>1038537.2030000001</v>
      </c>
      <c r="T228" s="105">
        <v>972007.70700000005</v>
      </c>
      <c r="U228" s="70">
        <v>577477.93400000001</v>
      </c>
      <c r="V228" s="70">
        <v>2354901.8570000003</v>
      </c>
      <c r="W228" s="417">
        <v>0</v>
      </c>
      <c r="X228" s="378">
        <v>2.5695000000000002E-3</v>
      </c>
      <c r="Z228" s="70">
        <v>746110.69500000007</v>
      </c>
      <c r="AA228" s="70">
        <v>746105.39300000004</v>
      </c>
      <c r="AB228" s="70">
        <v>0</v>
      </c>
      <c r="AC228" s="417">
        <v>0</v>
      </c>
      <c r="AD228" s="417">
        <v>0</v>
      </c>
      <c r="AE228" s="378">
        <v>2.5695000000000002E-3</v>
      </c>
      <c r="AF228" s="378"/>
      <c r="AG228" s="70">
        <v>171199.61450000014</v>
      </c>
      <c r="AH228" s="70">
        <v>116815.61450000014</v>
      </c>
      <c r="AI228" s="70">
        <v>92692.614500000142</v>
      </c>
      <c r="AJ228" s="417">
        <v>0</v>
      </c>
      <c r="AK228" s="417">
        <v>0</v>
      </c>
      <c r="AL228" s="378">
        <v>2.5695000000000002E-3</v>
      </c>
      <c r="AM228" s="378"/>
      <c r="AN228" s="70">
        <v>-22470</v>
      </c>
      <c r="AO228" s="70">
        <v>0</v>
      </c>
      <c r="AP228" s="70">
        <v>0</v>
      </c>
      <c r="AQ228" s="417">
        <v>0</v>
      </c>
      <c r="AR228" s="417">
        <v>0</v>
      </c>
    </row>
    <row r="229" spans="1:44">
      <c r="A229" s="439">
        <v>92403</v>
      </c>
      <c r="B229" s="440" t="s">
        <v>939</v>
      </c>
      <c r="C229" s="437">
        <v>1.0699999999999999E-5</v>
      </c>
      <c r="D229" s="441"/>
      <c r="E229" s="438">
        <v>13555.331725</v>
      </c>
      <c r="F229" s="442">
        <v>11372.641124999998</v>
      </c>
      <c r="G229" s="442">
        <v>1365.8879249999995</v>
      </c>
      <c r="H229" s="442">
        <v>9504.8848999999991</v>
      </c>
      <c r="I229" s="442">
        <v>0</v>
      </c>
      <c r="J229" s="443">
        <v>1.45E-5</v>
      </c>
      <c r="K229" s="443"/>
      <c r="L229" s="444">
        <v>1724.0588999999998</v>
      </c>
      <c r="M229" s="444">
        <v>706.91689999999994</v>
      </c>
      <c r="N229" s="444">
        <v>-84.990099999999998</v>
      </c>
      <c r="O229" s="444">
        <v>0</v>
      </c>
      <c r="P229" s="417">
        <v>0</v>
      </c>
      <c r="Q229" s="378">
        <v>1.45E-5</v>
      </c>
      <c r="R229" s="378"/>
      <c r="S229" s="70">
        <v>4191.7570999999998</v>
      </c>
      <c r="T229" s="105">
        <v>3923.2298999999998</v>
      </c>
      <c r="U229" s="70">
        <v>2330.8237999999997</v>
      </c>
      <c r="V229" s="70">
        <v>9504.8848999999991</v>
      </c>
      <c r="W229" s="417">
        <v>0</v>
      </c>
      <c r="X229" s="378">
        <v>1.45E-5</v>
      </c>
      <c r="Z229" s="70">
        <v>3011.4614999999999</v>
      </c>
      <c r="AA229" s="70">
        <v>3011.4400999999998</v>
      </c>
      <c r="AB229" s="70">
        <v>0</v>
      </c>
      <c r="AC229" s="417">
        <v>0</v>
      </c>
      <c r="AD229" s="417">
        <v>0</v>
      </c>
      <c r="AE229" s="378">
        <v>1.45E-5</v>
      </c>
      <c r="AF229" s="378"/>
      <c r="AG229" s="70">
        <v>5508</v>
      </c>
      <c r="AH229" s="70">
        <v>4611</v>
      </c>
      <c r="AI229" s="70">
        <v>0</v>
      </c>
      <c r="AJ229" s="417">
        <v>0</v>
      </c>
      <c r="AK229" s="417">
        <v>0</v>
      </c>
      <c r="AL229" s="378">
        <v>1.45E-5</v>
      </c>
      <c r="AM229" s="378"/>
      <c r="AN229" s="70">
        <v>-879.94577500000014</v>
      </c>
      <c r="AO229" s="70">
        <v>-879.94577500000014</v>
      </c>
      <c r="AP229" s="70">
        <v>-879.94577500000014</v>
      </c>
      <c r="AQ229" s="417">
        <v>0</v>
      </c>
      <c r="AR229" s="417">
        <v>0</v>
      </c>
    </row>
    <row r="230" spans="1:44">
      <c r="A230" s="439">
        <v>92411</v>
      </c>
      <c r="B230" s="440" t="s">
        <v>940</v>
      </c>
      <c r="C230" s="437">
        <v>4.0069999999999998E-4</v>
      </c>
      <c r="D230" s="441"/>
      <c r="E230" s="438">
        <v>293914.706275</v>
      </c>
      <c r="F230" s="442">
        <v>237021.39567500001</v>
      </c>
      <c r="G230" s="442">
        <v>52843.002475000001</v>
      </c>
      <c r="H230" s="442">
        <v>355944.61489999999</v>
      </c>
      <c r="I230" s="442">
        <v>0</v>
      </c>
      <c r="J230" s="443">
        <v>4.5340000000000002E-4</v>
      </c>
      <c r="K230" s="443"/>
      <c r="L230" s="444">
        <v>64563.588899999995</v>
      </c>
      <c r="M230" s="444">
        <v>26473.046899999998</v>
      </c>
      <c r="N230" s="444">
        <v>-3182.7601</v>
      </c>
      <c r="O230" s="444">
        <v>0</v>
      </c>
      <c r="P230" s="417">
        <v>0</v>
      </c>
      <c r="Q230" s="378">
        <v>4.5340000000000002E-4</v>
      </c>
      <c r="R230" s="378"/>
      <c r="S230" s="70">
        <v>156975.4271</v>
      </c>
      <c r="T230" s="105">
        <v>146919.45989999999</v>
      </c>
      <c r="U230" s="70">
        <v>87286.083799999993</v>
      </c>
      <c r="V230" s="70">
        <v>355944.61489999999</v>
      </c>
      <c r="W230" s="417">
        <v>0</v>
      </c>
      <c r="X230" s="378">
        <v>4.5340000000000002E-4</v>
      </c>
      <c r="Z230" s="70">
        <v>112775.01149999999</v>
      </c>
      <c r="AA230" s="70">
        <v>112774.2101</v>
      </c>
      <c r="AB230" s="70">
        <v>0</v>
      </c>
      <c r="AC230" s="417">
        <v>0</v>
      </c>
      <c r="AD230" s="417">
        <v>0</v>
      </c>
      <c r="AE230" s="378">
        <v>4.5340000000000002E-4</v>
      </c>
      <c r="AF230" s="378"/>
      <c r="AG230" s="70">
        <v>8746</v>
      </c>
      <c r="AH230" s="70">
        <v>0</v>
      </c>
      <c r="AI230" s="70">
        <v>0</v>
      </c>
      <c r="AJ230" s="417">
        <v>0</v>
      </c>
      <c r="AK230" s="417">
        <v>0</v>
      </c>
      <c r="AL230" s="378">
        <v>4.5340000000000002E-4</v>
      </c>
      <c r="AM230" s="378"/>
      <c r="AN230" s="70">
        <v>-49145.321224999992</v>
      </c>
      <c r="AO230" s="70">
        <v>-49145.321224999992</v>
      </c>
      <c r="AP230" s="70">
        <v>-31260.321224999992</v>
      </c>
      <c r="AQ230" s="417">
        <v>0</v>
      </c>
      <c r="AR230" s="417">
        <v>0</v>
      </c>
    </row>
    <row r="231" spans="1:44">
      <c r="A231" s="439">
        <v>92417</v>
      </c>
      <c r="B231" s="440" t="s">
        <v>941</v>
      </c>
      <c r="C231" s="437">
        <v>7.9000000000000006E-6</v>
      </c>
      <c r="D231" s="441"/>
      <c r="E231" s="438">
        <v>387.40157500000078</v>
      </c>
      <c r="F231" s="442">
        <v>3059.1533750000012</v>
      </c>
      <c r="G231" s="442">
        <v>1349.372975</v>
      </c>
      <c r="H231" s="442">
        <v>7017.6253000000006</v>
      </c>
      <c r="I231" s="442">
        <v>0</v>
      </c>
      <c r="J231" s="448">
        <v>0</v>
      </c>
      <c r="K231" s="448">
        <v>0</v>
      </c>
      <c r="L231" s="444">
        <v>1272.9033000000002</v>
      </c>
      <c r="M231" s="444">
        <v>521.92930000000001</v>
      </c>
      <c r="N231" s="444">
        <v>-62.749700000000004</v>
      </c>
      <c r="O231" s="444">
        <v>0</v>
      </c>
      <c r="P231" s="417">
        <v>0</v>
      </c>
      <c r="Q231" s="417">
        <v>0</v>
      </c>
      <c r="R231" s="417">
        <v>0</v>
      </c>
      <c r="S231" s="70">
        <v>3094.8487</v>
      </c>
      <c r="T231" s="105">
        <v>2896.5903000000003</v>
      </c>
      <c r="U231" s="70">
        <v>1720.8886000000002</v>
      </c>
      <c r="V231" s="70">
        <v>7017.6253000000006</v>
      </c>
      <c r="W231" s="417">
        <v>0</v>
      </c>
      <c r="X231" s="417">
        <v>0</v>
      </c>
      <c r="Y231" s="417">
        <v>0</v>
      </c>
      <c r="Z231" s="70">
        <v>2223.4155000000001</v>
      </c>
      <c r="AA231" s="70">
        <v>2223.3997000000004</v>
      </c>
      <c r="AB231" s="70">
        <v>0</v>
      </c>
      <c r="AC231" s="417">
        <v>0</v>
      </c>
      <c r="AD231" s="417">
        <v>0</v>
      </c>
      <c r="AE231" s="417">
        <v>0</v>
      </c>
      <c r="AF231" s="417">
        <v>0</v>
      </c>
      <c r="AG231" s="70">
        <v>0</v>
      </c>
      <c r="AH231" s="70">
        <v>0</v>
      </c>
      <c r="AI231" s="70">
        <v>0</v>
      </c>
      <c r="AJ231" s="417">
        <v>0</v>
      </c>
      <c r="AK231" s="417">
        <v>0</v>
      </c>
      <c r="AL231" s="417">
        <v>0</v>
      </c>
      <c r="AM231" s="417">
        <v>0</v>
      </c>
      <c r="AN231" s="70">
        <v>-6203.7659249999997</v>
      </c>
      <c r="AO231" s="70">
        <v>-2582.7659250000002</v>
      </c>
      <c r="AP231" s="70">
        <v>-308.76592500000015</v>
      </c>
      <c r="AQ231" s="417">
        <v>0</v>
      </c>
      <c r="AR231" s="417">
        <v>0</v>
      </c>
    </row>
    <row r="232" spans="1:44">
      <c r="A232" s="439">
        <v>92421</v>
      </c>
      <c r="B232" s="440" t="s">
        <v>942</v>
      </c>
      <c r="C232" s="437">
        <v>8.4999999999999999E-6</v>
      </c>
      <c r="D232" s="441"/>
      <c r="E232" s="438">
        <v>5442.5813750000007</v>
      </c>
      <c r="F232" s="442">
        <v>2414.2383749999999</v>
      </c>
      <c r="G232" s="442">
        <v>-322.1076250000001</v>
      </c>
      <c r="H232" s="442">
        <v>7550.6094999999996</v>
      </c>
      <c r="I232" s="442">
        <v>0</v>
      </c>
      <c r="J232" s="443">
        <v>7.9999999999999996E-6</v>
      </c>
      <c r="K232" s="443"/>
      <c r="L232" s="444">
        <v>1369.5795000000001</v>
      </c>
      <c r="M232" s="444">
        <v>561.56949999999995</v>
      </c>
      <c r="N232" s="444">
        <v>-67.515500000000003</v>
      </c>
      <c r="O232" s="444">
        <v>0</v>
      </c>
      <c r="P232" s="417">
        <v>0</v>
      </c>
      <c r="Q232" s="378">
        <v>7.9999999999999996E-6</v>
      </c>
      <c r="R232" s="378"/>
      <c r="S232" s="70">
        <v>3329.9005000000002</v>
      </c>
      <c r="T232" s="105">
        <v>3116.5844999999999</v>
      </c>
      <c r="U232" s="70">
        <v>1851.5889999999999</v>
      </c>
      <c r="V232" s="70">
        <v>7550.6094999999996</v>
      </c>
      <c r="W232" s="417">
        <v>0</v>
      </c>
      <c r="X232" s="378">
        <v>7.9999999999999996E-6</v>
      </c>
      <c r="Z232" s="70">
        <v>2392.2824999999998</v>
      </c>
      <c r="AA232" s="70">
        <v>2392.2655</v>
      </c>
      <c r="AB232" s="70">
        <v>0</v>
      </c>
      <c r="AC232" s="417">
        <v>0</v>
      </c>
      <c r="AD232" s="417">
        <v>0</v>
      </c>
      <c r="AE232" s="378">
        <v>7.9999999999999996E-6</v>
      </c>
      <c r="AF232" s="378"/>
      <c r="AG232" s="70">
        <v>2007</v>
      </c>
      <c r="AH232" s="70">
        <v>0</v>
      </c>
      <c r="AI232" s="70">
        <v>0</v>
      </c>
      <c r="AJ232" s="417">
        <v>0</v>
      </c>
      <c r="AK232" s="417">
        <v>0</v>
      </c>
      <c r="AL232" s="378">
        <v>7.9999999999999996E-6</v>
      </c>
      <c r="AM232" s="378"/>
      <c r="AN232" s="70">
        <v>-3656.1811250000001</v>
      </c>
      <c r="AO232" s="70">
        <v>-3656.1811250000001</v>
      </c>
      <c r="AP232" s="70">
        <v>-2106.1811250000001</v>
      </c>
      <c r="AQ232" s="417">
        <v>0</v>
      </c>
      <c r="AR232" s="417">
        <v>0</v>
      </c>
    </row>
    <row r="233" spans="1:44">
      <c r="A233" s="439">
        <v>92427</v>
      </c>
      <c r="B233" s="440" t="s">
        <v>943</v>
      </c>
      <c r="C233" s="437">
        <v>1.5E-6</v>
      </c>
      <c r="D233" s="441"/>
      <c r="E233" s="438">
        <v>2041.1025250000002</v>
      </c>
      <c r="F233" s="442">
        <v>1558.8655250000002</v>
      </c>
      <c r="G233" s="442">
        <v>530.45152500000006</v>
      </c>
      <c r="H233" s="442">
        <v>1332.4605000000001</v>
      </c>
      <c r="I233" s="442">
        <v>0</v>
      </c>
      <c r="J233" s="443">
        <v>1.45E-5</v>
      </c>
      <c r="K233" s="443"/>
      <c r="L233" s="444">
        <v>241.69050000000001</v>
      </c>
      <c r="M233" s="444">
        <v>99.100499999999997</v>
      </c>
      <c r="N233" s="444">
        <v>-11.9145</v>
      </c>
      <c r="O233" s="444">
        <v>0</v>
      </c>
      <c r="P233" s="417">
        <v>0</v>
      </c>
      <c r="Q233" s="378">
        <v>1.45E-5</v>
      </c>
      <c r="R233" s="378"/>
      <c r="S233" s="70">
        <v>587.62950000000001</v>
      </c>
      <c r="T233" s="105">
        <v>549.9855</v>
      </c>
      <c r="U233" s="70">
        <v>326.75100000000003</v>
      </c>
      <c r="V233" s="70">
        <v>1332.4605000000001</v>
      </c>
      <c r="W233" s="417">
        <v>0</v>
      </c>
      <c r="X233" s="378">
        <v>1.45E-5</v>
      </c>
      <c r="Z233" s="70">
        <v>422.16750000000002</v>
      </c>
      <c r="AA233" s="70">
        <v>422.16450000000003</v>
      </c>
      <c r="AB233" s="70">
        <v>0</v>
      </c>
      <c r="AC233" s="417">
        <v>0</v>
      </c>
      <c r="AD233" s="417">
        <v>0</v>
      </c>
      <c r="AE233" s="378">
        <v>1.45E-5</v>
      </c>
      <c r="AF233" s="378"/>
      <c r="AG233" s="70">
        <v>789.61502500000006</v>
      </c>
      <c r="AH233" s="70">
        <v>487.615025</v>
      </c>
      <c r="AI233" s="70">
        <v>215.615025</v>
      </c>
      <c r="AJ233" s="417">
        <v>0</v>
      </c>
      <c r="AK233" s="417">
        <v>0</v>
      </c>
      <c r="AL233" s="378">
        <v>1.45E-5</v>
      </c>
      <c r="AM233" s="378"/>
      <c r="AN233" s="70">
        <v>0</v>
      </c>
      <c r="AO233" s="70">
        <v>0</v>
      </c>
      <c r="AP233" s="70">
        <v>0</v>
      </c>
      <c r="AQ233" s="417">
        <v>0</v>
      </c>
      <c r="AR233" s="417">
        <v>0</v>
      </c>
    </row>
    <row r="234" spans="1:44">
      <c r="A234" s="439">
        <v>92431</v>
      </c>
      <c r="B234" s="440" t="s">
        <v>944</v>
      </c>
      <c r="C234" s="437">
        <v>1.9899999999999999E-5</v>
      </c>
      <c r="D234" s="441"/>
      <c r="E234" s="438">
        <v>21074.343325000002</v>
      </c>
      <c r="F234" s="442">
        <v>16648.199124999999</v>
      </c>
      <c r="G234" s="442">
        <v>7488.1067249999987</v>
      </c>
      <c r="H234" s="442">
        <v>17677.309300000001</v>
      </c>
      <c r="I234" s="442">
        <v>0</v>
      </c>
      <c r="J234" s="443">
        <v>1.7E-6</v>
      </c>
      <c r="K234" s="443"/>
      <c r="L234" s="444">
        <v>3206.4272999999998</v>
      </c>
      <c r="M234" s="444">
        <v>1314.7332999999999</v>
      </c>
      <c r="N234" s="444">
        <v>-158.06569999999999</v>
      </c>
      <c r="O234" s="444">
        <v>0</v>
      </c>
      <c r="P234" s="417">
        <v>0</v>
      </c>
      <c r="Q234" s="378">
        <v>1.7E-6</v>
      </c>
      <c r="R234" s="378"/>
      <c r="S234" s="70">
        <v>7795.8846999999996</v>
      </c>
      <c r="T234" s="105">
        <v>7296.4742999999999</v>
      </c>
      <c r="U234" s="70">
        <v>4334.8966</v>
      </c>
      <c r="V234" s="70">
        <v>17677.309300000001</v>
      </c>
      <c r="W234" s="417">
        <v>0</v>
      </c>
      <c r="X234" s="378">
        <v>1.7E-6</v>
      </c>
      <c r="Z234" s="70">
        <v>5600.7555000000002</v>
      </c>
      <c r="AA234" s="70">
        <v>5600.7156999999997</v>
      </c>
      <c r="AB234" s="70">
        <v>0</v>
      </c>
      <c r="AC234" s="417">
        <v>0</v>
      </c>
      <c r="AD234" s="417">
        <v>0</v>
      </c>
      <c r="AE234" s="378">
        <v>1.7E-6</v>
      </c>
      <c r="AF234" s="378"/>
      <c r="AG234" s="70">
        <v>5346.2758249999988</v>
      </c>
      <c r="AH234" s="70">
        <v>3311.2758249999988</v>
      </c>
      <c r="AI234" s="70">
        <v>3311.2758249999988</v>
      </c>
      <c r="AJ234" s="417">
        <v>0</v>
      </c>
      <c r="AK234" s="417">
        <v>0</v>
      </c>
      <c r="AL234" s="378">
        <v>1.7E-6</v>
      </c>
      <c r="AM234" s="378"/>
      <c r="AN234" s="70">
        <v>-875</v>
      </c>
      <c r="AO234" s="70">
        <v>-875</v>
      </c>
      <c r="AP234" s="70">
        <v>0</v>
      </c>
      <c r="AQ234" s="417">
        <v>0</v>
      </c>
      <c r="AR234" s="417">
        <v>0</v>
      </c>
    </row>
    <row r="235" spans="1:44">
      <c r="A235" s="439">
        <v>92441</v>
      </c>
      <c r="B235" s="440" t="s">
        <v>945</v>
      </c>
      <c r="C235" s="437">
        <v>1.089E-4</v>
      </c>
      <c r="D235" s="441"/>
      <c r="E235" s="438">
        <v>94140.673624999996</v>
      </c>
      <c r="F235" s="442">
        <v>77369.46742500001</v>
      </c>
      <c r="G235" s="442">
        <v>26693.81102500001</v>
      </c>
      <c r="H235" s="442">
        <v>96736.632299999997</v>
      </c>
      <c r="I235" s="442">
        <v>0</v>
      </c>
      <c r="J235" s="443">
        <v>1.6500000000000001E-5</v>
      </c>
      <c r="K235" s="443"/>
      <c r="L235" s="444">
        <v>17546.730299999999</v>
      </c>
      <c r="M235" s="444">
        <v>7194.6963000000005</v>
      </c>
      <c r="N235" s="444">
        <v>-864.99270000000001</v>
      </c>
      <c r="O235" s="444">
        <v>0</v>
      </c>
      <c r="P235" s="417">
        <v>0</v>
      </c>
      <c r="Q235" s="378">
        <v>1.6500000000000001E-5</v>
      </c>
      <c r="R235" s="378"/>
      <c r="S235" s="70">
        <v>42661.901700000002</v>
      </c>
      <c r="T235" s="105">
        <v>39928.9473</v>
      </c>
      <c r="U235" s="70">
        <v>23722.122600000002</v>
      </c>
      <c r="V235" s="70">
        <v>96736.632299999997</v>
      </c>
      <c r="W235" s="417">
        <v>0</v>
      </c>
      <c r="X235" s="378">
        <v>1.6500000000000001E-5</v>
      </c>
      <c r="Z235" s="70">
        <v>30649.360500000003</v>
      </c>
      <c r="AA235" s="70">
        <v>30649.1427</v>
      </c>
      <c r="AB235" s="70">
        <v>0</v>
      </c>
      <c r="AC235" s="417">
        <v>0</v>
      </c>
      <c r="AD235" s="417">
        <v>0</v>
      </c>
      <c r="AE235" s="378">
        <v>1.6500000000000001E-5</v>
      </c>
      <c r="AF235" s="378"/>
      <c r="AG235" s="70">
        <v>10725.681125000006</v>
      </c>
      <c r="AH235" s="70">
        <v>3836.6811250000064</v>
      </c>
      <c r="AI235" s="70">
        <v>3836.6811250000064</v>
      </c>
      <c r="AJ235" s="417">
        <v>0</v>
      </c>
      <c r="AK235" s="417">
        <v>0</v>
      </c>
      <c r="AL235" s="378">
        <v>1.6500000000000001E-5</v>
      </c>
      <c r="AM235" s="378"/>
      <c r="AN235" s="70">
        <v>-7443</v>
      </c>
      <c r="AO235" s="70">
        <v>-4240</v>
      </c>
      <c r="AP235" s="70">
        <v>0</v>
      </c>
      <c r="AQ235" s="417">
        <v>0</v>
      </c>
      <c r="AR235" s="417">
        <v>0</v>
      </c>
    </row>
    <row r="236" spans="1:44">
      <c r="A236" s="439">
        <v>92444</v>
      </c>
      <c r="B236" s="440" t="s">
        <v>946</v>
      </c>
      <c r="C236" s="437">
        <v>1.0200000000000001E-5</v>
      </c>
      <c r="D236" s="441"/>
      <c r="E236" s="438">
        <v>12506.19175</v>
      </c>
      <c r="F236" s="442">
        <v>9681.5801500000016</v>
      </c>
      <c r="G236" s="442">
        <v>2194.964950000001</v>
      </c>
      <c r="H236" s="442">
        <v>9060.7314000000006</v>
      </c>
      <c r="I236" s="442">
        <v>0</v>
      </c>
      <c r="J236" s="443">
        <v>1.004E-4</v>
      </c>
      <c r="K236" s="443"/>
      <c r="L236" s="444">
        <v>1643.4954</v>
      </c>
      <c r="M236" s="444">
        <v>673.88340000000005</v>
      </c>
      <c r="N236" s="444">
        <v>-81.018600000000006</v>
      </c>
      <c r="O236" s="444">
        <v>0</v>
      </c>
      <c r="P236" s="417">
        <v>0</v>
      </c>
      <c r="Q236" s="378">
        <v>1.004E-4</v>
      </c>
      <c r="R236" s="378"/>
      <c r="S236" s="70">
        <v>3995.8806000000004</v>
      </c>
      <c r="T236" s="105">
        <v>3739.9014000000002</v>
      </c>
      <c r="U236" s="70">
        <v>2221.9068000000002</v>
      </c>
      <c r="V236" s="70">
        <v>9060.7314000000006</v>
      </c>
      <c r="W236" s="417">
        <v>0</v>
      </c>
      <c r="X236" s="378">
        <v>1.004E-4</v>
      </c>
      <c r="Z236" s="70">
        <v>2870.739</v>
      </c>
      <c r="AA236" s="70">
        <v>2870.7186000000002</v>
      </c>
      <c r="AB236" s="70">
        <v>0</v>
      </c>
      <c r="AC236" s="417">
        <v>0</v>
      </c>
      <c r="AD236" s="417">
        <v>0</v>
      </c>
      <c r="AE236" s="378">
        <v>1.004E-4</v>
      </c>
      <c r="AF236" s="378"/>
      <c r="AG236" s="70">
        <v>3996.0767500000006</v>
      </c>
      <c r="AH236" s="70">
        <v>2397.0767500000006</v>
      </c>
      <c r="AI236" s="70">
        <v>54.076750000000629</v>
      </c>
      <c r="AJ236" s="417">
        <v>0</v>
      </c>
      <c r="AK236" s="417">
        <v>0</v>
      </c>
      <c r="AL236" s="378">
        <v>1.004E-4</v>
      </c>
      <c r="AM236" s="378"/>
      <c r="AN236" s="70">
        <v>0</v>
      </c>
      <c r="AO236" s="70">
        <v>0</v>
      </c>
      <c r="AP236" s="70">
        <v>0</v>
      </c>
      <c r="AQ236" s="417">
        <v>0</v>
      </c>
      <c r="AR236" s="417">
        <v>0</v>
      </c>
    </row>
    <row r="237" spans="1:44">
      <c r="A237" s="439">
        <v>92451</v>
      </c>
      <c r="B237" s="440" t="s">
        <v>947</v>
      </c>
      <c r="C237" s="437">
        <v>1.119E-4</v>
      </c>
      <c r="D237" s="441"/>
      <c r="E237" s="438">
        <v>115831.291875</v>
      </c>
      <c r="F237" s="442">
        <v>96900.611674999993</v>
      </c>
      <c r="G237" s="442">
        <v>33057.127274999992</v>
      </c>
      <c r="H237" s="442">
        <v>99401.5533</v>
      </c>
      <c r="I237" s="442">
        <v>0</v>
      </c>
      <c r="J237" s="443">
        <v>9.2E-6</v>
      </c>
      <c r="K237" s="443"/>
      <c r="L237" s="444">
        <v>18030.1113</v>
      </c>
      <c r="M237" s="444">
        <v>7392.8972999999996</v>
      </c>
      <c r="N237" s="444">
        <v>-888.82169999999996</v>
      </c>
      <c r="O237" s="444">
        <v>0</v>
      </c>
      <c r="P237" s="417">
        <v>0</v>
      </c>
      <c r="Q237" s="378">
        <v>9.2E-6</v>
      </c>
      <c r="R237" s="378"/>
      <c r="S237" s="70">
        <v>43837.1607</v>
      </c>
      <c r="T237" s="105">
        <v>41028.918299999998</v>
      </c>
      <c r="U237" s="70">
        <v>24375.624599999999</v>
      </c>
      <c r="V237" s="70">
        <v>99401.5533</v>
      </c>
      <c r="W237" s="417">
        <v>0</v>
      </c>
      <c r="X237" s="378">
        <v>9.2E-6</v>
      </c>
      <c r="Z237" s="70">
        <v>31493.695499999998</v>
      </c>
      <c r="AA237" s="70">
        <v>31493.471699999998</v>
      </c>
      <c r="AB237" s="70">
        <v>0</v>
      </c>
      <c r="AC237" s="417">
        <v>0</v>
      </c>
      <c r="AD237" s="417">
        <v>0</v>
      </c>
      <c r="AE237" s="378">
        <v>9.2E-6</v>
      </c>
      <c r="AF237" s="378"/>
      <c r="AG237" s="70">
        <v>22470.324374999997</v>
      </c>
      <c r="AH237" s="70">
        <v>16985.324374999997</v>
      </c>
      <c r="AI237" s="70">
        <v>9570.3243749999965</v>
      </c>
      <c r="AJ237" s="417">
        <v>0</v>
      </c>
      <c r="AK237" s="417">
        <v>0</v>
      </c>
      <c r="AL237" s="378">
        <v>9.2E-6</v>
      </c>
      <c r="AM237" s="378"/>
      <c r="AN237" s="70">
        <v>0</v>
      </c>
      <c r="AO237" s="70">
        <v>0</v>
      </c>
      <c r="AP237" s="70">
        <v>0</v>
      </c>
      <c r="AQ237" s="417">
        <v>0</v>
      </c>
      <c r="AR237" s="417">
        <v>0</v>
      </c>
    </row>
    <row r="238" spans="1:44">
      <c r="A238" s="439">
        <v>92461</v>
      </c>
      <c r="B238" s="440" t="s">
        <v>948</v>
      </c>
      <c r="C238" s="437">
        <v>9.7E-5</v>
      </c>
      <c r="D238" s="441"/>
      <c r="E238" s="438">
        <v>107266.4209</v>
      </c>
      <c r="F238" s="442">
        <v>93478.094900000011</v>
      </c>
      <c r="G238" s="442">
        <v>27423.322900000003</v>
      </c>
      <c r="H238" s="442">
        <v>86165.778999999995</v>
      </c>
      <c r="I238" s="442">
        <v>0</v>
      </c>
      <c r="J238" s="443">
        <v>1.044E-4</v>
      </c>
      <c r="K238" s="443"/>
      <c r="L238" s="444">
        <v>15629.319</v>
      </c>
      <c r="M238" s="444">
        <v>6408.4989999999998</v>
      </c>
      <c r="N238" s="444">
        <v>-770.471</v>
      </c>
      <c r="O238" s="444">
        <v>0</v>
      </c>
      <c r="P238" s="417">
        <v>0</v>
      </c>
      <c r="Q238" s="378">
        <v>1.044E-4</v>
      </c>
      <c r="R238" s="378"/>
      <c r="S238" s="70">
        <v>38000.040999999997</v>
      </c>
      <c r="T238" s="105">
        <v>35565.728999999999</v>
      </c>
      <c r="U238" s="70">
        <v>21129.898000000001</v>
      </c>
      <c r="V238" s="70">
        <v>86165.778999999995</v>
      </c>
      <c r="W238" s="417">
        <v>0</v>
      </c>
      <c r="X238" s="378">
        <v>1.044E-4</v>
      </c>
      <c r="Z238" s="70">
        <v>27300.165000000001</v>
      </c>
      <c r="AA238" s="70">
        <v>27299.971000000001</v>
      </c>
      <c r="AB238" s="70">
        <v>0</v>
      </c>
      <c r="AC238" s="417">
        <v>0</v>
      </c>
      <c r="AD238" s="417">
        <v>0</v>
      </c>
      <c r="AE238" s="378">
        <v>1.044E-4</v>
      </c>
      <c r="AF238" s="378"/>
      <c r="AG238" s="70">
        <v>26336.895900000003</v>
      </c>
      <c r="AH238" s="70">
        <v>24203.895900000003</v>
      </c>
      <c r="AI238" s="70">
        <v>7063.8959000000032</v>
      </c>
      <c r="AJ238" s="417">
        <v>0</v>
      </c>
      <c r="AK238" s="417">
        <v>0</v>
      </c>
      <c r="AL238" s="378">
        <v>1.044E-4</v>
      </c>
      <c r="AM238" s="378"/>
      <c r="AN238" s="70">
        <v>0</v>
      </c>
      <c r="AO238" s="70">
        <v>0</v>
      </c>
      <c r="AP238" s="70">
        <v>0</v>
      </c>
      <c r="AQ238" s="417">
        <v>0</v>
      </c>
      <c r="AR238" s="417">
        <v>0</v>
      </c>
    </row>
    <row r="239" spans="1:44">
      <c r="A239" s="439">
        <v>92501</v>
      </c>
      <c r="B239" s="440" t="s">
        <v>949</v>
      </c>
      <c r="C239" s="437">
        <v>3.9979999999999998E-3</v>
      </c>
      <c r="D239" s="441"/>
      <c r="E239" s="438">
        <v>3580522.5160499997</v>
      </c>
      <c r="F239" s="442">
        <v>2896353.8320500003</v>
      </c>
      <c r="G239" s="442">
        <v>900107.38404999988</v>
      </c>
      <c r="H239" s="442">
        <v>3551451.3859999999</v>
      </c>
      <c r="I239" s="442">
        <v>0</v>
      </c>
      <c r="J239" s="443">
        <v>8.1699999999999994E-5</v>
      </c>
      <c r="K239" s="443"/>
      <c r="L239" s="444">
        <v>644185.74599999993</v>
      </c>
      <c r="M239" s="444">
        <v>264135.86599999998</v>
      </c>
      <c r="N239" s="444">
        <v>-31756.113999999998</v>
      </c>
      <c r="O239" s="444">
        <v>0</v>
      </c>
      <c r="P239" s="417">
        <v>0</v>
      </c>
      <c r="Q239" s="378">
        <v>8.1699999999999994E-5</v>
      </c>
      <c r="R239" s="378"/>
      <c r="S239" s="70">
        <v>1566228.4939999999</v>
      </c>
      <c r="T239" s="105">
        <v>1465894.686</v>
      </c>
      <c r="U239" s="70">
        <v>870900.33199999994</v>
      </c>
      <c r="V239" s="70">
        <v>3551451.3859999999</v>
      </c>
      <c r="W239" s="417">
        <v>0</v>
      </c>
      <c r="X239" s="378">
        <v>8.1699999999999994E-5</v>
      </c>
      <c r="Z239" s="70">
        <v>1125217.1099999999</v>
      </c>
      <c r="AA239" s="70">
        <v>1125209.1140000001</v>
      </c>
      <c r="AB239" s="70">
        <v>0</v>
      </c>
      <c r="AC239" s="417">
        <v>0</v>
      </c>
      <c r="AD239" s="417">
        <v>0</v>
      </c>
      <c r="AE239" s="378">
        <v>8.1699999999999994E-5</v>
      </c>
      <c r="AF239" s="378"/>
      <c r="AG239" s="70">
        <v>264740.16604999988</v>
      </c>
      <c r="AH239" s="70">
        <v>60963.166049999883</v>
      </c>
      <c r="AI239" s="70">
        <v>60963.166049999883</v>
      </c>
      <c r="AJ239" s="417">
        <v>0</v>
      </c>
      <c r="AK239" s="417">
        <v>0</v>
      </c>
      <c r="AL239" s="378">
        <v>8.1699999999999994E-5</v>
      </c>
      <c r="AM239" s="378"/>
      <c r="AN239" s="70">
        <v>-19849</v>
      </c>
      <c r="AO239" s="70">
        <v>-19849</v>
      </c>
      <c r="AP239" s="70">
        <v>0</v>
      </c>
      <c r="AQ239" s="417">
        <v>0</v>
      </c>
      <c r="AR239" s="417">
        <v>0</v>
      </c>
    </row>
    <row r="240" spans="1:44">
      <c r="A240" s="439">
        <v>92502</v>
      </c>
      <c r="B240" s="440" t="s">
        <v>950</v>
      </c>
      <c r="C240" s="437">
        <v>2.3200000000000001E-5</v>
      </c>
      <c r="D240" s="441"/>
      <c r="E240" s="438">
        <v>24393.59505</v>
      </c>
      <c r="F240" s="442">
        <v>21117.92945</v>
      </c>
      <c r="G240" s="442">
        <v>7549.7262499999988</v>
      </c>
      <c r="H240" s="442">
        <v>20608.722400000002</v>
      </c>
      <c r="I240" s="442">
        <v>0</v>
      </c>
      <c r="J240" s="443">
        <v>3.9338999999999997E-3</v>
      </c>
      <c r="K240" s="443"/>
      <c r="L240" s="444">
        <v>3738.1464000000001</v>
      </c>
      <c r="M240" s="444">
        <v>1532.7544</v>
      </c>
      <c r="N240" s="444">
        <v>-184.27760000000001</v>
      </c>
      <c r="O240" s="444">
        <v>0</v>
      </c>
      <c r="P240" s="417">
        <v>0</v>
      </c>
      <c r="Q240" s="378">
        <v>3.9338999999999997E-3</v>
      </c>
      <c r="R240" s="378"/>
      <c r="S240" s="70">
        <v>9088.6696000000011</v>
      </c>
      <c r="T240" s="105">
        <v>8506.4423999999999</v>
      </c>
      <c r="U240" s="70">
        <v>5053.7488000000003</v>
      </c>
      <c r="V240" s="70">
        <v>20608.722400000002</v>
      </c>
      <c r="W240" s="417">
        <v>0</v>
      </c>
      <c r="X240" s="378">
        <v>3.9338999999999997E-3</v>
      </c>
      <c r="Z240" s="70">
        <v>6529.5240000000003</v>
      </c>
      <c r="AA240" s="70">
        <v>6529.4776000000002</v>
      </c>
      <c r="AB240" s="70">
        <v>0</v>
      </c>
      <c r="AC240" s="417">
        <v>0</v>
      </c>
      <c r="AD240" s="417">
        <v>0</v>
      </c>
      <c r="AE240" s="378">
        <v>3.9338999999999997E-3</v>
      </c>
      <c r="AF240" s="378"/>
      <c r="AG240" s="70">
        <v>5037.2550499999988</v>
      </c>
      <c r="AH240" s="70">
        <v>4549.2550499999988</v>
      </c>
      <c r="AI240" s="70">
        <v>2680.2550499999988</v>
      </c>
      <c r="AJ240" s="417">
        <v>0</v>
      </c>
      <c r="AK240" s="417">
        <v>0</v>
      </c>
      <c r="AL240" s="378">
        <v>3.9338999999999997E-3</v>
      </c>
      <c r="AM240" s="378"/>
      <c r="AN240" s="70">
        <v>0</v>
      </c>
      <c r="AO240" s="70">
        <v>0</v>
      </c>
      <c r="AP240" s="70">
        <v>0</v>
      </c>
      <c r="AQ240" s="417">
        <v>0</v>
      </c>
      <c r="AR240" s="417">
        <v>0</v>
      </c>
    </row>
    <row r="241" spans="1:48">
      <c r="A241" s="439">
        <v>92504</v>
      </c>
      <c r="B241" s="440" t="s">
        <v>951</v>
      </c>
      <c r="C241" s="437">
        <v>9.3999999999999994E-5</v>
      </c>
      <c r="D241" s="441"/>
      <c r="E241" s="438">
        <v>100030.14745</v>
      </c>
      <c r="F241" s="442">
        <v>77310.295450000005</v>
      </c>
      <c r="G241" s="442">
        <v>26607.351449999995</v>
      </c>
      <c r="H241" s="442">
        <v>83500.857999999993</v>
      </c>
      <c r="I241" s="442">
        <v>0</v>
      </c>
      <c r="J241" s="443">
        <v>2.1100000000000001E-5</v>
      </c>
      <c r="K241" s="443"/>
      <c r="L241" s="444">
        <v>15145.937999999998</v>
      </c>
      <c r="M241" s="444">
        <v>6210.2979999999998</v>
      </c>
      <c r="N241" s="444">
        <v>-746.64199999999994</v>
      </c>
      <c r="O241" s="444">
        <v>0</v>
      </c>
      <c r="P241" s="417">
        <v>0</v>
      </c>
      <c r="Q241" s="378">
        <v>2.1100000000000001E-5</v>
      </c>
      <c r="R241" s="378"/>
      <c r="S241" s="70">
        <v>36824.781999999999</v>
      </c>
      <c r="T241" s="105">
        <v>34465.757999999994</v>
      </c>
      <c r="U241" s="70">
        <v>20476.395999999997</v>
      </c>
      <c r="V241" s="70">
        <v>83500.857999999993</v>
      </c>
      <c r="W241" s="417">
        <v>0</v>
      </c>
      <c r="X241" s="378">
        <v>2.1100000000000001E-5</v>
      </c>
      <c r="Z241" s="70">
        <v>26455.829999999998</v>
      </c>
      <c r="AA241" s="70">
        <v>26455.642</v>
      </c>
      <c r="AB241" s="70">
        <v>0</v>
      </c>
      <c r="AC241" s="417">
        <v>0</v>
      </c>
      <c r="AD241" s="417">
        <v>0</v>
      </c>
      <c r="AE241" s="378">
        <v>2.1100000000000001E-5</v>
      </c>
      <c r="AF241" s="378"/>
      <c r="AG241" s="70">
        <v>21603.597449999997</v>
      </c>
      <c r="AH241" s="70">
        <v>10178.597449999997</v>
      </c>
      <c r="AI241" s="70">
        <v>6877.5974499999975</v>
      </c>
      <c r="AJ241" s="417">
        <v>0</v>
      </c>
      <c r="AK241" s="417">
        <v>0</v>
      </c>
      <c r="AL241" s="378">
        <v>2.1100000000000001E-5</v>
      </c>
      <c r="AM241" s="378"/>
      <c r="AN241" s="70">
        <v>0</v>
      </c>
      <c r="AO241" s="70">
        <v>0</v>
      </c>
      <c r="AP241" s="70">
        <v>0</v>
      </c>
      <c r="AQ241" s="417">
        <v>0</v>
      </c>
      <c r="AR241" s="417">
        <v>0</v>
      </c>
    </row>
    <row r="242" spans="1:48">
      <c r="A242" s="439">
        <v>92505</v>
      </c>
      <c r="B242" s="440" t="s">
        <v>952</v>
      </c>
      <c r="C242" s="437">
        <v>1.103E-4</v>
      </c>
      <c r="D242" s="441"/>
      <c r="E242" s="438">
        <v>83298.661724999998</v>
      </c>
      <c r="F242" s="442">
        <v>50927.234324999998</v>
      </c>
      <c r="G242" s="442">
        <v>32124.591525</v>
      </c>
      <c r="H242" s="442">
        <v>97980.262099999993</v>
      </c>
      <c r="I242" s="442">
        <v>0</v>
      </c>
      <c r="J242" s="443">
        <v>9.1100000000000005E-5</v>
      </c>
      <c r="K242" s="443"/>
      <c r="L242" s="444">
        <v>17772.308099999998</v>
      </c>
      <c r="M242" s="444">
        <v>7287.1900999999998</v>
      </c>
      <c r="N242" s="444">
        <v>-876.11289999999997</v>
      </c>
      <c r="O242" s="444">
        <v>0</v>
      </c>
      <c r="P242" s="417">
        <v>0</v>
      </c>
      <c r="Q242" s="378">
        <v>9.1100000000000005E-5</v>
      </c>
      <c r="R242" s="378"/>
      <c r="S242" s="70">
        <v>43210.355900000002</v>
      </c>
      <c r="T242" s="105">
        <v>40442.267099999997</v>
      </c>
      <c r="U242" s="70">
        <v>24027.090199999999</v>
      </c>
      <c r="V242" s="70">
        <v>97980.262099999993</v>
      </c>
      <c r="W242" s="417">
        <v>0</v>
      </c>
      <c r="X242" s="378">
        <v>9.1100000000000005E-5</v>
      </c>
      <c r="Z242" s="70">
        <v>31043.3835</v>
      </c>
      <c r="AA242" s="70">
        <v>31043.162899999999</v>
      </c>
      <c r="AB242" s="70">
        <v>0</v>
      </c>
      <c r="AC242" s="417">
        <v>0</v>
      </c>
      <c r="AD242" s="417">
        <v>0</v>
      </c>
      <c r="AE242" s="378">
        <v>9.1100000000000005E-5</v>
      </c>
      <c r="AF242" s="378"/>
      <c r="AG242" s="70">
        <v>28091.614225000001</v>
      </c>
      <c r="AH242" s="70">
        <v>8973.6142250000012</v>
      </c>
      <c r="AI242" s="70">
        <v>8973.6142250000012</v>
      </c>
      <c r="AJ242" s="417">
        <v>0</v>
      </c>
      <c r="AK242" s="417">
        <v>0</v>
      </c>
      <c r="AL242" s="378">
        <v>9.1100000000000005E-5</v>
      </c>
      <c r="AM242" s="378"/>
      <c r="AN242" s="70">
        <v>-36819</v>
      </c>
      <c r="AO242" s="70">
        <v>-36819</v>
      </c>
      <c r="AP242" s="70">
        <v>0</v>
      </c>
      <c r="AQ242" s="417">
        <v>0</v>
      </c>
      <c r="AR242" s="417">
        <v>0</v>
      </c>
    </row>
    <row r="243" spans="1:48">
      <c r="A243" s="439">
        <v>92506</v>
      </c>
      <c r="B243" s="440" t="s">
        <v>953</v>
      </c>
      <c r="C243" s="437">
        <v>6.3E-5</v>
      </c>
      <c r="D243" s="441"/>
      <c r="E243" s="438">
        <v>66941.230250000008</v>
      </c>
      <c r="F243" s="442">
        <v>54190.276249999995</v>
      </c>
      <c r="G243" s="442">
        <v>16791.888249999996</v>
      </c>
      <c r="H243" s="442">
        <v>55963.341</v>
      </c>
      <c r="I243" s="442">
        <v>0</v>
      </c>
      <c r="J243" s="443">
        <v>9.9099999999999996E-5</v>
      </c>
      <c r="K243" s="443"/>
      <c r="L243" s="444">
        <v>10151.001</v>
      </c>
      <c r="M243" s="444">
        <v>4162.2209999999995</v>
      </c>
      <c r="N243" s="444">
        <v>-500.40899999999999</v>
      </c>
      <c r="O243" s="444">
        <v>0</v>
      </c>
      <c r="P243" s="417">
        <v>0</v>
      </c>
      <c r="Q243" s="378">
        <v>9.9099999999999996E-5</v>
      </c>
      <c r="R243" s="378"/>
      <c r="S243" s="70">
        <v>24680.438999999998</v>
      </c>
      <c r="T243" s="105">
        <v>23099.391</v>
      </c>
      <c r="U243" s="70">
        <v>13723.541999999999</v>
      </c>
      <c r="V243" s="70">
        <v>55963.341</v>
      </c>
      <c r="W243" s="417">
        <v>0</v>
      </c>
      <c r="X243" s="378">
        <v>9.9099999999999996E-5</v>
      </c>
      <c r="Z243" s="70">
        <v>17731.035</v>
      </c>
      <c r="AA243" s="70">
        <v>17730.909</v>
      </c>
      <c r="AB243" s="70">
        <v>0</v>
      </c>
      <c r="AC243" s="417">
        <v>0</v>
      </c>
      <c r="AD243" s="417">
        <v>0</v>
      </c>
      <c r="AE243" s="378">
        <v>9.9099999999999996E-5</v>
      </c>
      <c r="AF243" s="378"/>
      <c r="AG243" s="70">
        <v>14712.755249999997</v>
      </c>
      <c r="AH243" s="70">
        <v>9197.7552499999965</v>
      </c>
      <c r="AI243" s="70">
        <v>3568.7552499999965</v>
      </c>
      <c r="AJ243" s="417">
        <v>0</v>
      </c>
      <c r="AK243" s="417">
        <v>0</v>
      </c>
      <c r="AL243" s="378">
        <v>9.9099999999999996E-5</v>
      </c>
      <c r="AM243" s="378"/>
      <c r="AN243" s="70">
        <v>-334</v>
      </c>
      <c r="AO243" s="70">
        <v>0</v>
      </c>
      <c r="AP243" s="70">
        <v>0</v>
      </c>
      <c r="AQ243" s="417">
        <v>0</v>
      </c>
      <c r="AR243" s="417">
        <v>0</v>
      </c>
    </row>
    <row r="244" spans="1:48">
      <c r="A244" s="439">
        <v>92507</v>
      </c>
      <c r="B244" s="440" t="s">
        <v>954</v>
      </c>
      <c r="C244" s="437">
        <v>9.6700000000000006E-5</v>
      </c>
      <c r="D244" s="441"/>
      <c r="E244" s="438">
        <v>75058.243325000003</v>
      </c>
      <c r="F244" s="442">
        <v>66522.964724999998</v>
      </c>
      <c r="G244" s="442">
        <v>11984.475524999998</v>
      </c>
      <c r="H244" s="442">
        <v>85899.286900000006</v>
      </c>
      <c r="I244" s="442">
        <v>0</v>
      </c>
      <c r="J244" s="443">
        <v>6.4999999999999994E-5</v>
      </c>
      <c r="K244" s="443"/>
      <c r="L244" s="444">
        <v>15580.9809</v>
      </c>
      <c r="M244" s="444">
        <v>6388.6789000000008</v>
      </c>
      <c r="N244" s="444">
        <v>-768.08810000000005</v>
      </c>
      <c r="O244" s="444">
        <v>0</v>
      </c>
      <c r="P244" s="417">
        <v>0</v>
      </c>
      <c r="Q244" s="378">
        <v>6.4999999999999994E-5</v>
      </c>
      <c r="R244" s="378"/>
      <c r="S244" s="70">
        <v>37882.515100000004</v>
      </c>
      <c r="T244" s="105">
        <v>35455.731899999999</v>
      </c>
      <c r="U244" s="70">
        <v>21064.5478</v>
      </c>
      <c r="V244" s="70">
        <v>85899.286900000006</v>
      </c>
      <c r="W244" s="417">
        <v>0</v>
      </c>
      <c r="X244" s="378">
        <v>6.4999999999999994E-5</v>
      </c>
      <c r="Z244" s="70">
        <v>27215.731500000002</v>
      </c>
      <c r="AA244" s="70">
        <v>27215.538100000002</v>
      </c>
      <c r="AB244" s="70">
        <v>0</v>
      </c>
      <c r="AC244" s="417">
        <v>0</v>
      </c>
      <c r="AD244" s="417">
        <v>0</v>
      </c>
      <c r="AE244" s="378">
        <v>6.4999999999999994E-5</v>
      </c>
      <c r="AF244" s="378"/>
      <c r="AG244" s="70">
        <v>6233</v>
      </c>
      <c r="AH244" s="70">
        <v>5775</v>
      </c>
      <c r="AI244" s="70">
        <v>0</v>
      </c>
      <c r="AJ244" s="417">
        <v>0</v>
      </c>
      <c r="AK244" s="417">
        <v>0</v>
      </c>
      <c r="AL244" s="378">
        <v>6.4999999999999994E-5</v>
      </c>
      <c r="AM244" s="378"/>
      <c r="AN244" s="70">
        <v>-11853.984175000001</v>
      </c>
      <c r="AO244" s="70">
        <v>-8311.9841750000014</v>
      </c>
      <c r="AP244" s="70">
        <v>-8311.9841750000014</v>
      </c>
      <c r="AQ244" s="417">
        <v>0</v>
      </c>
      <c r="AR244" s="417">
        <v>0</v>
      </c>
    </row>
    <row r="245" spans="1:48">
      <c r="A245" s="439">
        <v>92508</v>
      </c>
      <c r="B245" s="440" t="s">
        <v>955</v>
      </c>
      <c r="C245" s="437">
        <v>2.8909999999999998E-4</v>
      </c>
      <c r="D245" s="441"/>
      <c r="E245" s="438">
        <v>261473.08022499998</v>
      </c>
      <c r="F245" s="442">
        <v>213455.40242499998</v>
      </c>
      <c r="G245" s="442">
        <v>72577.210824999987</v>
      </c>
      <c r="H245" s="442">
        <v>256809.55369999999</v>
      </c>
      <c r="I245" s="442">
        <v>0</v>
      </c>
      <c r="J245" s="443">
        <v>1.033E-4</v>
      </c>
      <c r="K245" s="443"/>
      <c r="L245" s="444">
        <v>46581.815699999999</v>
      </c>
      <c r="M245" s="444">
        <v>19099.969699999998</v>
      </c>
      <c r="N245" s="444">
        <v>-2296.3213000000001</v>
      </c>
      <c r="O245" s="444">
        <v>0</v>
      </c>
      <c r="P245" s="417">
        <v>0</v>
      </c>
      <c r="Q245" s="378">
        <v>1.033E-4</v>
      </c>
      <c r="R245" s="378"/>
      <c r="S245" s="70">
        <v>113255.79229999999</v>
      </c>
      <c r="T245" s="105">
        <v>106000.53869999999</v>
      </c>
      <c r="U245" s="70">
        <v>62975.809399999998</v>
      </c>
      <c r="V245" s="70">
        <v>256809.55369999999</v>
      </c>
      <c r="W245" s="417">
        <v>0</v>
      </c>
      <c r="X245" s="378">
        <v>1.033E-4</v>
      </c>
      <c r="Z245" s="70">
        <v>81365.749499999991</v>
      </c>
      <c r="AA245" s="70">
        <v>81365.171299999987</v>
      </c>
      <c r="AB245" s="70">
        <v>0</v>
      </c>
      <c r="AC245" s="417">
        <v>0</v>
      </c>
      <c r="AD245" s="417">
        <v>0</v>
      </c>
      <c r="AE245" s="378">
        <v>1.033E-4</v>
      </c>
      <c r="AF245" s="378"/>
      <c r="AG245" s="70">
        <v>25177.722724999985</v>
      </c>
      <c r="AH245" s="70">
        <v>11897.722724999985</v>
      </c>
      <c r="AI245" s="70">
        <v>11897.722724999985</v>
      </c>
      <c r="AJ245" s="417">
        <v>0</v>
      </c>
      <c r="AK245" s="417">
        <v>0</v>
      </c>
      <c r="AL245" s="378">
        <v>1.033E-4</v>
      </c>
      <c r="AM245" s="378"/>
      <c r="AN245" s="70">
        <v>-4908</v>
      </c>
      <c r="AO245" s="70">
        <v>-4908</v>
      </c>
      <c r="AP245" s="70">
        <v>0</v>
      </c>
      <c r="AQ245" s="417">
        <v>0</v>
      </c>
      <c r="AR245" s="417">
        <v>0</v>
      </c>
    </row>
    <row r="246" spans="1:48">
      <c r="A246" s="439">
        <v>92511</v>
      </c>
      <c r="B246" s="440" t="s">
        <v>956</v>
      </c>
      <c r="C246" s="437">
        <v>3.2678999999999998E-3</v>
      </c>
      <c r="D246" s="441"/>
      <c r="E246" s="438">
        <v>2593960.0800750004</v>
      </c>
      <c r="F246" s="442">
        <v>2260109.7518750001</v>
      </c>
      <c r="G246" s="442">
        <v>625450.21147500013</v>
      </c>
      <c r="H246" s="442">
        <v>2902898.4452999998</v>
      </c>
      <c r="I246" s="442">
        <v>0</v>
      </c>
      <c r="J246" s="443"/>
      <c r="K246" s="443">
        <v>0</v>
      </c>
      <c r="L246" s="444">
        <v>526546.92330000002</v>
      </c>
      <c r="M246" s="444">
        <v>215900.34929999997</v>
      </c>
      <c r="N246" s="444">
        <v>-25956.929699999997</v>
      </c>
      <c r="O246" s="444">
        <v>0</v>
      </c>
      <c r="P246" s="417">
        <v>0</v>
      </c>
      <c r="Q246" s="378"/>
      <c r="R246" s="378">
        <v>0</v>
      </c>
      <c r="S246" s="70">
        <v>1280209.6287</v>
      </c>
      <c r="T246" s="105">
        <v>1198198.4102999999</v>
      </c>
      <c r="U246" s="70">
        <v>711859.72859999991</v>
      </c>
      <c r="V246" s="70">
        <v>2902898.4452999998</v>
      </c>
      <c r="W246" s="417">
        <v>0</v>
      </c>
      <c r="X246" s="378"/>
      <c r="Y246" s="417">
        <v>0</v>
      </c>
      <c r="Z246" s="70">
        <v>919734.11549999996</v>
      </c>
      <c r="AA246" s="70">
        <v>919727.57969999989</v>
      </c>
      <c r="AB246" s="70">
        <v>0</v>
      </c>
      <c r="AC246" s="417">
        <v>0</v>
      </c>
      <c r="AD246" s="417">
        <v>0</v>
      </c>
      <c r="AE246" s="378"/>
      <c r="AF246" s="378"/>
      <c r="AG246" s="70">
        <v>43432</v>
      </c>
      <c r="AH246" s="70">
        <v>0</v>
      </c>
      <c r="AI246" s="70">
        <v>0</v>
      </c>
      <c r="AJ246" s="417">
        <v>0</v>
      </c>
      <c r="AK246" s="417">
        <v>0</v>
      </c>
      <c r="AL246" s="378"/>
      <c r="AM246" s="378"/>
      <c r="AN246" s="70">
        <v>-175962.5874249998</v>
      </c>
      <c r="AO246" s="70">
        <v>-73716.587424999801</v>
      </c>
      <c r="AP246" s="70">
        <v>-60452.587424999801</v>
      </c>
      <c r="AQ246" s="417">
        <v>0</v>
      </c>
      <c r="AR246" s="417">
        <v>0</v>
      </c>
      <c r="AS246" s="417"/>
      <c r="AT246" s="417"/>
      <c r="AU246" s="417"/>
      <c r="AV246" s="417"/>
    </row>
    <row r="247" spans="1:48">
      <c r="A247" s="439">
        <v>92513</v>
      </c>
      <c r="B247" s="440" t="s">
        <v>957</v>
      </c>
      <c r="C247" s="437">
        <v>4.5151000000000002E-3</v>
      </c>
      <c r="D247" s="441"/>
      <c r="E247" s="438">
        <v>3933347.5049749999</v>
      </c>
      <c r="F247" s="442">
        <v>3462911.1191749997</v>
      </c>
      <c r="G247" s="442">
        <v>1157737.5515749999</v>
      </c>
      <c r="H247" s="442">
        <v>4010794.9357000003</v>
      </c>
      <c r="I247" s="442">
        <v>0</v>
      </c>
      <c r="J247" s="443">
        <v>2.809E-4</v>
      </c>
      <c r="K247" s="443"/>
      <c r="L247" s="444">
        <v>727504.51770000008</v>
      </c>
      <c r="M247" s="444">
        <v>298299.11170000001</v>
      </c>
      <c r="N247" s="444">
        <v>-35863.439299999998</v>
      </c>
      <c r="O247" s="444">
        <v>0</v>
      </c>
      <c r="P247" s="417">
        <v>0</v>
      </c>
      <c r="Q247" s="378">
        <v>2.809E-4</v>
      </c>
      <c r="R247" s="378"/>
      <c r="S247" s="70">
        <v>1768803.9703000002</v>
      </c>
      <c r="T247" s="105">
        <v>1655493.0207</v>
      </c>
      <c r="U247" s="70">
        <v>983542.29340000008</v>
      </c>
      <c r="V247" s="70">
        <v>4010794.9357000003</v>
      </c>
      <c r="W247" s="417">
        <v>0</v>
      </c>
      <c r="X247" s="378">
        <v>2.809E-4</v>
      </c>
      <c r="Z247" s="70">
        <v>1270752.3195</v>
      </c>
      <c r="AA247" s="70">
        <v>1270743.2893000001</v>
      </c>
      <c r="AB247" s="70">
        <v>0</v>
      </c>
      <c r="AC247" s="417">
        <v>0</v>
      </c>
      <c r="AD247" s="417">
        <v>0</v>
      </c>
      <c r="AE247" s="378">
        <v>2.809E-4</v>
      </c>
      <c r="AF247" s="378"/>
      <c r="AG247" s="70">
        <v>238375.69747499982</v>
      </c>
      <c r="AH247" s="70">
        <v>238375.69747499982</v>
      </c>
      <c r="AI247" s="70">
        <v>210058.69747499982</v>
      </c>
      <c r="AJ247" s="417">
        <v>0</v>
      </c>
      <c r="AK247" s="417">
        <v>0</v>
      </c>
      <c r="AL247" s="378">
        <v>2.809E-4</v>
      </c>
      <c r="AM247" s="378"/>
      <c r="AN247" s="70">
        <v>-72089</v>
      </c>
      <c r="AO247" s="70">
        <v>0</v>
      </c>
      <c r="AP247" s="70">
        <v>0</v>
      </c>
      <c r="AQ247" s="417">
        <v>0</v>
      </c>
      <c r="AR247" s="417">
        <v>0</v>
      </c>
    </row>
    <row r="248" spans="1:48">
      <c r="A248" s="439">
        <v>92521</v>
      </c>
      <c r="B248" s="440" t="s">
        <v>958</v>
      </c>
      <c r="C248" s="437">
        <v>7.5300000000000001E-5</v>
      </c>
      <c r="D248" s="441"/>
      <c r="E248" s="438">
        <v>64287.602725000004</v>
      </c>
      <c r="F248" s="442">
        <v>59706.705325000003</v>
      </c>
      <c r="G248" s="442">
        <v>19156.722525000005</v>
      </c>
      <c r="H248" s="442">
        <v>66889.517099999997</v>
      </c>
      <c r="I248" s="442">
        <v>0</v>
      </c>
      <c r="J248" s="443">
        <v>3.346E-3</v>
      </c>
      <c r="K248" s="443"/>
      <c r="L248" s="444">
        <v>12132.8631</v>
      </c>
      <c r="M248" s="444">
        <v>4974.8451000000005</v>
      </c>
      <c r="N248" s="444">
        <v>-598.10789999999997</v>
      </c>
      <c r="O248" s="444">
        <v>0</v>
      </c>
      <c r="P248" s="417">
        <v>0</v>
      </c>
      <c r="Q248" s="378">
        <v>3.346E-3</v>
      </c>
      <c r="R248" s="378"/>
      <c r="S248" s="70">
        <v>29499.000899999999</v>
      </c>
      <c r="T248" s="105">
        <v>27609.272100000002</v>
      </c>
      <c r="U248" s="70">
        <v>16402.9002</v>
      </c>
      <c r="V248" s="70">
        <v>66889.517099999997</v>
      </c>
      <c r="W248" s="417">
        <v>0</v>
      </c>
      <c r="X248" s="378">
        <v>3.346E-3</v>
      </c>
      <c r="Z248" s="70">
        <v>21192.808499999999</v>
      </c>
      <c r="AA248" s="70">
        <v>21192.657900000002</v>
      </c>
      <c r="AB248" s="70">
        <v>0</v>
      </c>
      <c r="AC248" s="417">
        <v>0</v>
      </c>
      <c r="AD248" s="417">
        <v>0</v>
      </c>
      <c r="AE248" s="378">
        <v>3.346E-3</v>
      </c>
      <c r="AF248" s="378"/>
      <c r="AG248" s="70">
        <v>5929.9302250000037</v>
      </c>
      <c r="AH248" s="70">
        <v>5929.9302250000037</v>
      </c>
      <c r="AI248" s="70">
        <v>3351.9302250000037</v>
      </c>
      <c r="AJ248" s="417">
        <v>0</v>
      </c>
      <c r="AK248" s="417">
        <v>0</v>
      </c>
      <c r="AL248" s="378">
        <v>3.346E-3</v>
      </c>
      <c r="AM248" s="378"/>
      <c r="AN248" s="70">
        <v>-4467</v>
      </c>
      <c r="AO248" s="70">
        <v>0</v>
      </c>
      <c r="AP248" s="70">
        <v>0</v>
      </c>
      <c r="AQ248" s="417">
        <v>0</v>
      </c>
      <c r="AR248" s="417">
        <v>0</v>
      </c>
    </row>
    <row r="249" spans="1:48">
      <c r="A249" s="439">
        <v>92531</v>
      </c>
      <c r="B249" s="440" t="s">
        <v>959</v>
      </c>
      <c r="C249" s="437">
        <v>7.9290000000000003E-4</v>
      </c>
      <c r="D249" s="441"/>
      <c r="E249" s="438">
        <v>602474.52097499999</v>
      </c>
      <c r="F249" s="442">
        <v>517537.24277500005</v>
      </c>
      <c r="G249" s="442">
        <v>161687.80237500006</v>
      </c>
      <c r="H249" s="442">
        <v>704338.62030000007</v>
      </c>
      <c r="I249" s="442">
        <v>0</v>
      </c>
      <c r="J249" s="443">
        <v>4.0124000000000002E-3</v>
      </c>
      <c r="K249" s="443"/>
      <c r="L249" s="444">
        <v>127757.5983</v>
      </c>
      <c r="M249" s="444">
        <v>52384.524300000005</v>
      </c>
      <c r="N249" s="444">
        <v>-6298.0047000000004</v>
      </c>
      <c r="O249" s="444">
        <v>0</v>
      </c>
      <c r="P249" s="417">
        <v>0</v>
      </c>
      <c r="Q249" s="378">
        <v>4.0124000000000002E-3</v>
      </c>
      <c r="R249" s="378"/>
      <c r="S249" s="70">
        <v>310620.95370000001</v>
      </c>
      <c r="T249" s="105">
        <v>290722.33530000004</v>
      </c>
      <c r="U249" s="70">
        <v>172720.57860000001</v>
      </c>
      <c r="V249" s="70">
        <v>704338.62030000007</v>
      </c>
      <c r="W249" s="417">
        <v>0</v>
      </c>
      <c r="X249" s="378">
        <v>4.0124000000000002E-3</v>
      </c>
      <c r="Z249" s="70">
        <v>223157.74050000001</v>
      </c>
      <c r="AA249" s="70">
        <v>223156.15470000001</v>
      </c>
      <c r="AB249" s="70">
        <v>0</v>
      </c>
      <c r="AC249" s="417">
        <v>0</v>
      </c>
      <c r="AD249" s="417">
        <v>0</v>
      </c>
      <c r="AE249" s="378">
        <v>4.0124000000000002E-3</v>
      </c>
      <c r="AF249" s="378"/>
      <c r="AG249" s="70">
        <v>0</v>
      </c>
      <c r="AH249" s="70">
        <v>0</v>
      </c>
      <c r="AI249" s="70">
        <v>0</v>
      </c>
      <c r="AJ249" s="417">
        <v>0</v>
      </c>
      <c r="AK249" s="417">
        <v>0</v>
      </c>
      <c r="AL249" s="378">
        <v>4.0124000000000002E-3</v>
      </c>
      <c r="AM249" s="378"/>
      <c r="AN249" s="70">
        <v>-59061.77152499996</v>
      </c>
      <c r="AO249" s="70">
        <v>-48725.77152499996</v>
      </c>
      <c r="AP249" s="70">
        <v>-4734.7715249999601</v>
      </c>
      <c r="AQ249" s="417">
        <v>0</v>
      </c>
      <c r="AR249" s="417">
        <v>0</v>
      </c>
    </row>
    <row r="250" spans="1:48">
      <c r="A250" s="439">
        <v>92541</v>
      </c>
      <c r="B250" s="440" t="s">
        <v>960</v>
      </c>
      <c r="C250" s="437">
        <v>1.449E-4</v>
      </c>
      <c r="D250" s="441"/>
      <c r="E250" s="438">
        <v>120548.852675</v>
      </c>
      <c r="F250" s="442">
        <v>97319.958474999992</v>
      </c>
      <c r="G250" s="442">
        <v>24786.366075000002</v>
      </c>
      <c r="H250" s="442">
        <v>128715.68429999999</v>
      </c>
      <c r="I250" s="442">
        <v>0</v>
      </c>
      <c r="J250" s="443">
        <v>6.9599999999999998E-5</v>
      </c>
      <c r="K250" s="443"/>
      <c r="L250" s="444">
        <v>23347.302299999999</v>
      </c>
      <c r="M250" s="444">
        <v>9573.1082999999999</v>
      </c>
      <c r="N250" s="444">
        <v>-1150.9406999999999</v>
      </c>
      <c r="O250" s="444">
        <v>0</v>
      </c>
      <c r="P250" s="417">
        <v>0</v>
      </c>
      <c r="Q250" s="378">
        <v>6.9599999999999998E-5</v>
      </c>
      <c r="R250" s="378"/>
      <c r="S250" s="70">
        <v>56765.009700000002</v>
      </c>
      <c r="T250" s="105">
        <v>53128.599300000002</v>
      </c>
      <c r="U250" s="70">
        <v>31564.1466</v>
      </c>
      <c r="V250" s="70">
        <v>128715.68429999999</v>
      </c>
      <c r="W250" s="417">
        <v>0</v>
      </c>
      <c r="X250" s="378">
        <v>6.9599999999999998E-5</v>
      </c>
      <c r="Z250" s="70">
        <v>40781.380499999999</v>
      </c>
      <c r="AA250" s="70">
        <v>40781.090700000001</v>
      </c>
      <c r="AB250" s="70">
        <v>0</v>
      </c>
      <c r="AC250" s="417">
        <v>0</v>
      </c>
      <c r="AD250" s="417">
        <v>0</v>
      </c>
      <c r="AE250" s="378">
        <v>6.9599999999999998E-5</v>
      </c>
      <c r="AF250" s="378"/>
      <c r="AG250" s="70">
        <v>5818</v>
      </c>
      <c r="AH250" s="70">
        <v>0</v>
      </c>
      <c r="AI250" s="70">
        <v>0</v>
      </c>
      <c r="AJ250" s="417">
        <v>0</v>
      </c>
      <c r="AK250" s="417">
        <v>0</v>
      </c>
      <c r="AL250" s="378">
        <v>6.9599999999999998E-5</v>
      </c>
      <c r="AM250" s="378"/>
      <c r="AN250" s="70">
        <v>-6162.8398249999991</v>
      </c>
      <c r="AO250" s="70">
        <v>-6162.8398249999991</v>
      </c>
      <c r="AP250" s="70">
        <v>-5626.8398249999991</v>
      </c>
      <c r="AQ250" s="417">
        <v>0</v>
      </c>
      <c r="AR250" s="417">
        <v>0</v>
      </c>
    </row>
    <row r="251" spans="1:48">
      <c r="A251" s="439">
        <v>92551</v>
      </c>
      <c r="B251" s="440" t="s">
        <v>961</v>
      </c>
      <c r="C251" s="437">
        <v>6.2199999999999994E-5</v>
      </c>
      <c r="D251" s="441"/>
      <c r="E251" s="438">
        <v>50668.608749999999</v>
      </c>
      <c r="F251" s="442">
        <v>43600.781149999995</v>
      </c>
      <c r="G251" s="442">
        <v>10561.813950000002</v>
      </c>
      <c r="H251" s="442">
        <v>55252.695399999997</v>
      </c>
      <c r="I251" s="442">
        <v>0</v>
      </c>
      <c r="J251" s="443">
        <v>7.8069999999999995E-4</v>
      </c>
      <c r="K251" s="443"/>
      <c r="L251" s="444">
        <v>10022.099399999999</v>
      </c>
      <c r="M251" s="444">
        <v>4109.3673999999992</v>
      </c>
      <c r="N251" s="444">
        <v>-494.05459999999994</v>
      </c>
      <c r="O251" s="444">
        <v>0</v>
      </c>
      <c r="P251" s="417">
        <v>0</v>
      </c>
      <c r="Q251" s="378">
        <v>7.8069999999999995E-4</v>
      </c>
      <c r="R251" s="378"/>
      <c r="S251" s="70">
        <v>24367.036599999999</v>
      </c>
      <c r="T251" s="105">
        <v>22806.065399999999</v>
      </c>
      <c r="U251" s="70">
        <v>13549.274799999999</v>
      </c>
      <c r="V251" s="70">
        <v>55252.695399999997</v>
      </c>
      <c r="W251" s="417">
        <v>0</v>
      </c>
      <c r="X251" s="378">
        <v>7.8069999999999995E-4</v>
      </c>
      <c r="Z251" s="70">
        <v>17505.878999999997</v>
      </c>
      <c r="AA251" s="70">
        <v>17505.754599999997</v>
      </c>
      <c r="AB251" s="70">
        <v>0</v>
      </c>
      <c r="AC251" s="417">
        <v>0</v>
      </c>
      <c r="AD251" s="417">
        <v>0</v>
      </c>
      <c r="AE251" s="378">
        <v>7.8069999999999995E-4</v>
      </c>
      <c r="AF251" s="378"/>
      <c r="AG251" s="70">
        <v>3477</v>
      </c>
      <c r="AH251" s="70">
        <v>1673</v>
      </c>
      <c r="AI251" s="70">
        <v>0</v>
      </c>
      <c r="AJ251" s="417">
        <v>0</v>
      </c>
      <c r="AK251" s="417">
        <v>0</v>
      </c>
      <c r="AL251" s="378">
        <v>7.8069999999999995E-4</v>
      </c>
      <c r="AM251" s="378"/>
      <c r="AN251" s="70">
        <v>-4703.4062499999982</v>
      </c>
      <c r="AO251" s="70">
        <v>-2493.4062499999982</v>
      </c>
      <c r="AP251" s="70">
        <v>-2493.4062499999982</v>
      </c>
      <c r="AQ251" s="417">
        <v>0</v>
      </c>
      <c r="AR251" s="417">
        <v>0</v>
      </c>
    </row>
    <row r="252" spans="1:48">
      <c r="A252" s="439">
        <v>92561</v>
      </c>
      <c r="B252" s="440" t="s">
        <v>962</v>
      </c>
      <c r="C252" s="437">
        <v>1.2099999999999999E-5</v>
      </c>
      <c r="D252" s="441"/>
      <c r="E252" s="438">
        <v>8891.531074999999</v>
      </c>
      <c r="F252" s="442">
        <v>9650.6192749999973</v>
      </c>
      <c r="G252" s="442">
        <v>1136.8796749999992</v>
      </c>
      <c r="H252" s="442">
        <v>10748.5147</v>
      </c>
      <c r="I252" s="442">
        <v>0</v>
      </c>
      <c r="J252" s="443">
        <v>1.4630000000000001E-4</v>
      </c>
      <c r="K252" s="443"/>
      <c r="L252" s="444">
        <v>1949.6366999999998</v>
      </c>
      <c r="M252" s="444">
        <v>799.41069999999991</v>
      </c>
      <c r="N252" s="444">
        <v>-96.110299999999995</v>
      </c>
      <c r="O252" s="444">
        <v>0</v>
      </c>
      <c r="P252" s="417">
        <v>0</v>
      </c>
      <c r="Q252" s="378">
        <v>1.4630000000000001E-4</v>
      </c>
      <c r="R252" s="378"/>
      <c r="S252" s="70">
        <v>4740.2112999999999</v>
      </c>
      <c r="T252" s="105">
        <v>4436.5496999999996</v>
      </c>
      <c r="U252" s="70">
        <v>2635.7914000000001</v>
      </c>
      <c r="V252" s="70">
        <v>10748.5147</v>
      </c>
      <c r="W252" s="417">
        <v>0</v>
      </c>
      <c r="X252" s="378">
        <v>1.4630000000000001E-4</v>
      </c>
      <c r="Z252" s="70">
        <v>3405.4845</v>
      </c>
      <c r="AA252" s="70">
        <v>3405.4602999999997</v>
      </c>
      <c r="AB252" s="70">
        <v>0</v>
      </c>
      <c r="AC252" s="417">
        <v>0</v>
      </c>
      <c r="AD252" s="417">
        <v>0</v>
      </c>
      <c r="AE252" s="378">
        <v>1.4630000000000001E-4</v>
      </c>
      <c r="AF252" s="378"/>
      <c r="AG252" s="70">
        <v>2412</v>
      </c>
      <c r="AH252" s="70">
        <v>2412</v>
      </c>
      <c r="AI252" s="70">
        <v>0</v>
      </c>
      <c r="AJ252" s="417">
        <v>0</v>
      </c>
      <c r="AK252" s="417">
        <v>0</v>
      </c>
      <c r="AL252" s="378">
        <v>1.4630000000000001E-4</v>
      </c>
      <c r="AM252" s="378"/>
      <c r="AN252" s="70">
        <v>-3615.801425000001</v>
      </c>
      <c r="AO252" s="70">
        <v>-1402.801425000001</v>
      </c>
      <c r="AP252" s="70">
        <v>-1402.801425000001</v>
      </c>
      <c r="AQ252" s="417">
        <v>0</v>
      </c>
      <c r="AR252" s="417">
        <v>0</v>
      </c>
    </row>
    <row r="253" spans="1:48">
      <c r="A253" s="439">
        <v>92571</v>
      </c>
      <c r="B253" s="440" t="s">
        <v>963</v>
      </c>
      <c r="C253" s="437">
        <v>8.1999999999999994E-6</v>
      </c>
      <c r="D253" s="441"/>
      <c r="E253" s="438">
        <v>8552.2437000000009</v>
      </c>
      <c r="F253" s="442">
        <v>8611.9480999999996</v>
      </c>
      <c r="G253" s="442">
        <v>3454.8849</v>
      </c>
      <c r="H253" s="442">
        <v>7284.1173999999992</v>
      </c>
      <c r="I253" s="442">
        <v>0</v>
      </c>
      <c r="J253" s="443">
        <v>6.2199999999999994E-5</v>
      </c>
      <c r="K253" s="443"/>
      <c r="L253" s="444">
        <v>1321.2413999999999</v>
      </c>
      <c r="M253" s="444">
        <v>541.74939999999992</v>
      </c>
      <c r="N253" s="444">
        <v>-65.132599999999996</v>
      </c>
      <c r="O253" s="444">
        <v>0</v>
      </c>
      <c r="P253" s="417">
        <v>0</v>
      </c>
      <c r="Q253" s="378">
        <v>6.2199999999999994E-5</v>
      </c>
      <c r="R253" s="378"/>
      <c r="S253" s="70">
        <v>3212.3745999999996</v>
      </c>
      <c r="T253" s="105">
        <v>3006.5873999999999</v>
      </c>
      <c r="U253" s="70">
        <v>1786.2387999999999</v>
      </c>
      <c r="V253" s="70">
        <v>7284.1173999999992</v>
      </c>
      <c r="W253" s="417">
        <v>0</v>
      </c>
      <c r="X253" s="378">
        <v>6.2199999999999994E-5</v>
      </c>
      <c r="Z253" s="70">
        <v>2307.8489999999997</v>
      </c>
      <c r="AA253" s="70">
        <v>2307.8325999999997</v>
      </c>
      <c r="AB253" s="70">
        <v>0</v>
      </c>
      <c r="AC253" s="417">
        <v>0</v>
      </c>
      <c r="AD253" s="417">
        <v>0</v>
      </c>
      <c r="AE253" s="378">
        <v>6.2199999999999994E-5</v>
      </c>
      <c r="AF253" s="378"/>
      <c r="AG253" s="70">
        <v>2805.7787000000003</v>
      </c>
      <c r="AH253" s="70">
        <v>2755.7787000000003</v>
      </c>
      <c r="AI253" s="70">
        <v>1733.7787000000003</v>
      </c>
      <c r="AJ253" s="417">
        <v>0</v>
      </c>
      <c r="AK253" s="417">
        <v>0</v>
      </c>
      <c r="AL253" s="378">
        <v>6.2199999999999994E-5</v>
      </c>
      <c r="AM253" s="378"/>
      <c r="AN253" s="70">
        <v>-1095</v>
      </c>
      <c r="AO253" s="70">
        <v>0</v>
      </c>
      <c r="AP253" s="70">
        <v>0</v>
      </c>
      <c r="AQ253" s="417">
        <v>0</v>
      </c>
      <c r="AR253" s="417">
        <v>0</v>
      </c>
    </row>
    <row r="254" spans="1:48">
      <c r="A254" s="439">
        <v>92601</v>
      </c>
      <c r="B254" s="440" t="s">
        <v>964</v>
      </c>
      <c r="C254" s="437">
        <v>1.2269199999999999E-2</v>
      </c>
      <c r="D254" s="441"/>
      <c r="E254" s="438">
        <v>9931387.0711000003</v>
      </c>
      <c r="F254" s="442">
        <v>8599050.5375000015</v>
      </c>
      <c r="G254" s="442">
        <v>2306362.438300001</v>
      </c>
      <c r="H254" s="442">
        <v>10898816.2444</v>
      </c>
      <c r="I254" s="442">
        <v>0</v>
      </c>
      <c r="J254" s="443">
        <v>1.5699999999999999E-5</v>
      </c>
      <c r="K254" s="443"/>
      <c r="L254" s="444">
        <v>1976899.3883999998</v>
      </c>
      <c r="M254" s="444">
        <v>810589.23639999994</v>
      </c>
      <c r="N254" s="444">
        <v>-97454.255599999989</v>
      </c>
      <c r="O254" s="444">
        <v>0</v>
      </c>
      <c r="P254" s="417">
        <v>0</v>
      </c>
      <c r="Q254" s="378">
        <v>1.5699999999999999E-5</v>
      </c>
      <c r="R254" s="378"/>
      <c r="S254" s="70">
        <v>4806495.9075999996</v>
      </c>
      <c r="T254" s="105">
        <v>4498588.0643999996</v>
      </c>
      <c r="U254" s="70">
        <v>2672648.9128</v>
      </c>
      <c r="V254" s="70">
        <v>10898816.2444</v>
      </c>
      <c r="W254" s="417">
        <v>0</v>
      </c>
      <c r="X254" s="378">
        <v>1.5699999999999999E-5</v>
      </c>
      <c r="Z254" s="70">
        <v>3453104.9939999999</v>
      </c>
      <c r="AA254" s="70">
        <v>3453080.4556</v>
      </c>
      <c r="AB254" s="70">
        <v>0</v>
      </c>
      <c r="AC254" s="417">
        <v>0</v>
      </c>
      <c r="AD254" s="417">
        <v>0</v>
      </c>
      <c r="AE254" s="378">
        <v>1.5699999999999999E-5</v>
      </c>
      <c r="AF254" s="378"/>
      <c r="AG254" s="70">
        <v>105625</v>
      </c>
      <c r="AH254" s="70">
        <v>105625</v>
      </c>
      <c r="AI254" s="70">
        <v>0</v>
      </c>
      <c r="AJ254" s="417">
        <v>0</v>
      </c>
      <c r="AK254" s="417">
        <v>0</v>
      </c>
      <c r="AL254" s="378">
        <v>1.5699999999999999E-5</v>
      </c>
      <c r="AM254" s="378"/>
      <c r="AN254" s="70">
        <v>-410738.21889999928</v>
      </c>
      <c r="AO254" s="70">
        <v>-268832.21889999928</v>
      </c>
      <c r="AP254" s="70">
        <v>-268832.21889999928</v>
      </c>
      <c r="AQ254" s="417">
        <v>0</v>
      </c>
      <c r="AR254" s="417">
        <v>0</v>
      </c>
    </row>
    <row r="255" spans="1:48">
      <c r="A255" s="439">
        <v>92602</v>
      </c>
      <c r="B255" s="440" t="s">
        <v>965</v>
      </c>
      <c r="C255" s="437">
        <v>5.6999999999999996E-6</v>
      </c>
      <c r="D255" s="441"/>
      <c r="E255" s="438">
        <v>4536.3671250000007</v>
      </c>
      <c r="F255" s="442">
        <v>4471.4665250000007</v>
      </c>
      <c r="G255" s="442">
        <v>1262.093325</v>
      </c>
      <c r="H255" s="442">
        <v>5063.3498999999993</v>
      </c>
      <c r="I255" s="442">
        <v>0</v>
      </c>
      <c r="J255" s="443">
        <v>5.3000000000000001E-6</v>
      </c>
      <c r="K255" s="443"/>
      <c r="L255" s="444">
        <v>918.42389999999989</v>
      </c>
      <c r="M255" s="444">
        <v>376.58189999999996</v>
      </c>
      <c r="N255" s="444">
        <v>-45.275099999999995</v>
      </c>
      <c r="O255" s="444">
        <v>0</v>
      </c>
      <c r="P255" s="417">
        <v>0</v>
      </c>
      <c r="Q255" s="378">
        <v>5.3000000000000001E-6</v>
      </c>
      <c r="R255" s="378"/>
      <c r="S255" s="70">
        <v>2232.9920999999999</v>
      </c>
      <c r="T255" s="105">
        <v>2089.9449</v>
      </c>
      <c r="U255" s="70">
        <v>1241.6537999999998</v>
      </c>
      <c r="V255" s="70">
        <v>5063.3498999999993</v>
      </c>
      <c r="W255" s="417">
        <v>0</v>
      </c>
      <c r="X255" s="378">
        <v>5.3000000000000001E-6</v>
      </c>
      <c r="Z255" s="70">
        <v>1604.2365</v>
      </c>
      <c r="AA255" s="70">
        <v>1604.2250999999999</v>
      </c>
      <c r="AB255" s="70">
        <v>0</v>
      </c>
      <c r="AC255" s="417">
        <v>0</v>
      </c>
      <c r="AD255" s="417">
        <v>0</v>
      </c>
      <c r="AE255" s="378">
        <v>5.3000000000000001E-6</v>
      </c>
      <c r="AF255" s="378"/>
      <c r="AG255" s="70">
        <v>400.7146250000003</v>
      </c>
      <c r="AH255" s="70">
        <v>400.7146250000003</v>
      </c>
      <c r="AI255" s="70">
        <v>65.714625000000296</v>
      </c>
      <c r="AJ255" s="417">
        <v>0</v>
      </c>
      <c r="AK255" s="417">
        <v>0</v>
      </c>
      <c r="AL255" s="378">
        <v>5.3000000000000001E-6</v>
      </c>
      <c r="AM255" s="378"/>
      <c r="AN255" s="70">
        <v>-620</v>
      </c>
      <c r="AO255" s="70">
        <v>0</v>
      </c>
      <c r="AP255" s="70">
        <v>0</v>
      </c>
      <c r="AQ255" s="417">
        <v>0</v>
      </c>
      <c r="AR255" s="417">
        <v>0</v>
      </c>
    </row>
    <row r="256" spans="1:48">
      <c r="A256" s="439">
        <v>92604</v>
      </c>
      <c r="B256" s="440" t="s">
        <v>966</v>
      </c>
      <c r="C256" s="437">
        <v>3.2210000000000002E-4</v>
      </c>
      <c r="D256" s="441"/>
      <c r="E256" s="438">
        <v>262012.39432500003</v>
      </c>
      <c r="F256" s="442">
        <v>204704.50252500005</v>
      </c>
      <c r="G256" s="442">
        <v>56953.20292500002</v>
      </c>
      <c r="H256" s="442">
        <v>286123.68470000004</v>
      </c>
      <c r="I256" s="442">
        <v>0</v>
      </c>
      <c r="J256" s="443">
        <v>1.2883E-2</v>
      </c>
      <c r="K256" s="443"/>
      <c r="L256" s="444">
        <v>51899.006700000005</v>
      </c>
      <c r="M256" s="444">
        <v>21280.180700000001</v>
      </c>
      <c r="N256" s="444">
        <v>-2558.4403000000002</v>
      </c>
      <c r="O256" s="444">
        <v>0</v>
      </c>
      <c r="P256" s="417">
        <v>0</v>
      </c>
      <c r="Q256" s="378">
        <v>1.2883E-2</v>
      </c>
      <c r="R256" s="378"/>
      <c r="S256" s="70">
        <v>126183.6413</v>
      </c>
      <c r="T256" s="105">
        <v>118100.2197</v>
      </c>
      <c r="U256" s="70">
        <v>70164.33140000001</v>
      </c>
      <c r="V256" s="70">
        <v>286123.68470000004</v>
      </c>
      <c r="W256" s="417">
        <v>0</v>
      </c>
      <c r="X256" s="378">
        <v>1.2883E-2</v>
      </c>
      <c r="Z256" s="70">
        <v>90653.434500000003</v>
      </c>
      <c r="AA256" s="70">
        <v>90652.790300000008</v>
      </c>
      <c r="AB256" s="70">
        <v>0</v>
      </c>
      <c r="AC256" s="417">
        <v>0</v>
      </c>
      <c r="AD256" s="417">
        <v>0</v>
      </c>
      <c r="AE256" s="378">
        <v>1.2883E-2</v>
      </c>
      <c r="AF256" s="378"/>
      <c r="AG256" s="70">
        <v>18605</v>
      </c>
      <c r="AH256" s="70">
        <v>0</v>
      </c>
      <c r="AI256" s="70">
        <v>0</v>
      </c>
      <c r="AJ256" s="417">
        <v>0</v>
      </c>
      <c r="AK256" s="417">
        <v>0</v>
      </c>
      <c r="AL256" s="378">
        <v>1.2883E-2</v>
      </c>
      <c r="AM256" s="378"/>
      <c r="AN256" s="70">
        <v>-25328.688174999988</v>
      </c>
      <c r="AO256" s="70">
        <v>-25328.688174999988</v>
      </c>
      <c r="AP256" s="70">
        <v>-10652.688174999988</v>
      </c>
      <c r="AQ256" s="417">
        <v>0</v>
      </c>
      <c r="AR256" s="417">
        <v>0</v>
      </c>
    </row>
    <row r="257" spans="1:44">
      <c r="A257" s="439">
        <v>92607</v>
      </c>
      <c r="B257" s="440" t="s">
        <v>967</v>
      </c>
      <c r="C257" s="437">
        <v>1.563E-4</v>
      </c>
      <c r="D257" s="441"/>
      <c r="E257" s="438">
        <v>187267.37452499999</v>
      </c>
      <c r="F257" s="442">
        <v>161593.67912500002</v>
      </c>
      <c r="G257" s="442">
        <v>79068.340325000012</v>
      </c>
      <c r="H257" s="442">
        <v>138842.3841</v>
      </c>
      <c r="I257" s="442">
        <v>0</v>
      </c>
      <c r="J257" s="443">
        <v>5.2000000000000002E-6</v>
      </c>
      <c r="K257" s="443"/>
      <c r="L257" s="444">
        <v>25184.150099999999</v>
      </c>
      <c r="M257" s="444">
        <v>10326.2721</v>
      </c>
      <c r="N257" s="444">
        <v>-1241.4909</v>
      </c>
      <c r="O257" s="444">
        <v>0</v>
      </c>
      <c r="P257" s="417">
        <v>0</v>
      </c>
      <c r="Q257" s="378">
        <v>5.2000000000000002E-6</v>
      </c>
      <c r="R257" s="378"/>
      <c r="S257" s="70">
        <v>61230.993900000001</v>
      </c>
      <c r="T257" s="105">
        <v>57308.489099999999</v>
      </c>
      <c r="U257" s="70">
        <v>34047.4542</v>
      </c>
      <c r="V257" s="70">
        <v>138842.3841</v>
      </c>
      <c r="W257" s="417">
        <v>0</v>
      </c>
      <c r="X257" s="378">
        <v>5.2000000000000002E-6</v>
      </c>
      <c r="Z257" s="70">
        <v>43989.853500000005</v>
      </c>
      <c r="AA257" s="70">
        <v>43989.5409</v>
      </c>
      <c r="AB257" s="70">
        <v>0</v>
      </c>
      <c r="AC257" s="417">
        <v>0</v>
      </c>
      <c r="AD257" s="417">
        <v>0</v>
      </c>
      <c r="AE257" s="378">
        <v>5.2000000000000002E-6</v>
      </c>
      <c r="AF257" s="378"/>
      <c r="AG257" s="70">
        <v>57053.377025000009</v>
      </c>
      <c r="AH257" s="70">
        <v>49969.377025000009</v>
      </c>
      <c r="AI257" s="70">
        <v>46262.377025000009</v>
      </c>
      <c r="AJ257" s="417">
        <v>0</v>
      </c>
      <c r="AK257" s="417">
        <v>0</v>
      </c>
      <c r="AL257" s="378">
        <v>5.2000000000000002E-6</v>
      </c>
      <c r="AM257" s="378"/>
      <c r="AN257" s="70">
        <v>-191</v>
      </c>
      <c r="AO257" s="70">
        <v>0</v>
      </c>
      <c r="AP257" s="70">
        <v>0</v>
      </c>
      <c r="AQ257" s="417">
        <v>0</v>
      </c>
      <c r="AR257" s="417">
        <v>0</v>
      </c>
    </row>
    <row r="258" spans="1:44">
      <c r="A258" s="439">
        <v>92611</v>
      </c>
      <c r="B258" s="440" t="s">
        <v>969</v>
      </c>
      <c r="C258" s="437">
        <v>1.1181E-2</v>
      </c>
      <c r="D258" s="441"/>
      <c r="E258" s="438">
        <v>8697488.9392499998</v>
      </c>
      <c r="F258" s="442">
        <v>7885724.3412500005</v>
      </c>
      <c r="G258" s="442">
        <v>2510669.3852499998</v>
      </c>
      <c r="H258" s="442">
        <v>9932160.5669999998</v>
      </c>
      <c r="I258" s="442">
        <v>0</v>
      </c>
      <c r="J258" s="443">
        <v>3.392E-4</v>
      </c>
      <c r="K258" s="443"/>
      <c r="L258" s="444">
        <v>1801560.987</v>
      </c>
      <c r="M258" s="444">
        <v>738695.12699999998</v>
      </c>
      <c r="N258" s="444">
        <v>-88810.683000000005</v>
      </c>
      <c r="O258" s="444">
        <v>0</v>
      </c>
      <c r="P258" s="417">
        <v>0</v>
      </c>
      <c r="Q258" s="378">
        <v>3.392E-4</v>
      </c>
      <c r="R258" s="378"/>
      <c r="S258" s="70">
        <v>4380190.2929999996</v>
      </c>
      <c r="T258" s="105">
        <v>4099591.9169999999</v>
      </c>
      <c r="U258" s="70">
        <v>2435601.9539999999</v>
      </c>
      <c r="V258" s="70">
        <v>9932160.5669999998</v>
      </c>
      <c r="W258" s="417">
        <v>0</v>
      </c>
      <c r="X258" s="378">
        <v>3.392E-4</v>
      </c>
      <c r="Z258" s="70">
        <v>3146836.5449999999</v>
      </c>
      <c r="AA258" s="70">
        <v>3146814.1830000002</v>
      </c>
      <c r="AB258" s="70">
        <v>0</v>
      </c>
      <c r="AC258" s="417">
        <v>0</v>
      </c>
      <c r="AD258" s="417">
        <v>0</v>
      </c>
      <c r="AE258" s="378">
        <v>3.392E-4</v>
      </c>
      <c r="AF258" s="378"/>
      <c r="AG258" s="70">
        <v>163878.1142500001</v>
      </c>
      <c r="AH258" s="70">
        <v>163878.1142500001</v>
      </c>
      <c r="AI258" s="70">
        <v>163878.1142500001</v>
      </c>
      <c r="AJ258" s="417">
        <v>0</v>
      </c>
      <c r="AK258" s="417">
        <v>0</v>
      </c>
      <c r="AL258" s="378">
        <v>3.392E-4</v>
      </c>
      <c r="AM258" s="378"/>
      <c r="AN258" s="70">
        <v>-794977</v>
      </c>
      <c r="AO258" s="70">
        <v>-263255</v>
      </c>
      <c r="AP258" s="70">
        <v>0</v>
      </c>
      <c r="AQ258" s="417">
        <v>0</v>
      </c>
      <c r="AR258" s="417">
        <v>0</v>
      </c>
    </row>
    <row r="259" spans="1:44">
      <c r="A259" s="439">
        <v>92613</v>
      </c>
      <c r="B259" s="440" t="s">
        <v>970</v>
      </c>
      <c r="C259" s="437">
        <v>2.098E-4</v>
      </c>
      <c r="D259" s="441"/>
      <c r="E259" s="438">
        <v>194784.92489999998</v>
      </c>
      <c r="F259" s="442">
        <v>158602.77649999998</v>
      </c>
      <c r="G259" s="442">
        <v>40969.671699999984</v>
      </c>
      <c r="H259" s="442">
        <v>186366.80859999999</v>
      </c>
      <c r="I259" s="442">
        <v>0</v>
      </c>
      <c r="J259" s="443">
        <v>7.25E-5</v>
      </c>
      <c r="K259" s="443"/>
      <c r="L259" s="444">
        <v>33804.444600000003</v>
      </c>
      <c r="M259" s="444">
        <v>13860.856600000001</v>
      </c>
      <c r="N259" s="444">
        <v>-1666.4413999999999</v>
      </c>
      <c r="O259" s="444">
        <v>0</v>
      </c>
      <c r="P259" s="417">
        <v>0</v>
      </c>
      <c r="Q259" s="378">
        <v>7.25E-5</v>
      </c>
      <c r="R259" s="378"/>
      <c r="S259" s="70">
        <v>82189.779399999999</v>
      </c>
      <c r="T259" s="105">
        <v>76924.638600000006</v>
      </c>
      <c r="U259" s="70">
        <v>45701.573199999999</v>
      </c>
      <c r="V259" s="70">
        <v>186366.80859999999</v>
      </c>
      <c r="W259" s="417">
        <v>0</v>
      </c>
      <c r="X259" s="378">
        <v>7.25E-5</v>
      </c>
      <c r="Z259" s="70">
        <v>59047.161</v>
      </c>
      <c r="AA259" s="70">
        <v>59046.741399999999</v>
      </c>
      <c r="AB259" s="70">
        <v>0</v>
      </c>
      <c r="AC259" s="417">
        <v>0</v>
      </c>
      <c r="AD259" s="417">
        <v>0</v>
      </c>
      <c r="AE259" s="378">
        <v>7.25E-5</v>
      </c>
      <c r="AF259" s="378"/>
      <c r="AG259" s="70">
        <v>22809</v>
      </c>
      <c r="AH259" s="70">
        <v>11836</v>
      </c>
      <c r="AI259" s="70">
        <v>0</v>
      </c>
      <c r="AJ259" s="417">
        <v>0</v>
      </c>
      <c r="AK259" s="417">
        <v>0</v>
      </c>
      <c r="AL259" s="378">
        <v>7.25E-5</v>
      </c>
      <c r="AM259" s="378"/>
      <c r="AN259" s="70">
        <v>-3065.4601000000112</v>
      </c>
      <c r="AO259" s="70">
        <v>-3065.4601000000112</v>
      </c>
      <c r="AP259" s="70">
        <v>-3065.4601000000112</v>
      </c>
      <c r="AQ259" s="417">
        <v>0</v>
      </c>
      <c r="AR259" s="417">
        <v>0</v>
      </c>
    </row>
    <row r="260" spans="1:44">
      <c r="A260" s="439">
        <v>92614</v>
      </c>
      <c r="B260" s="440" t="s">
        <v>971</v>
      </c>
      <c r="C260" s="437">
        <v>6.071E-3</v>
      </c>
      <c r="D260" s="441"/>
      <c r="E260" s="438">
        <v>7193001.8343000002</v>
      </c>
      <c r="F260" s="442">
        <v>5850682.6162999999</v>
      </c>
      <c r="G260" s="442">
        <v>1883347.0202999997</v>
      </c>
      <c r="H260" s="442">
        <v>5392911.7970000003</v>
      </c>
      <c r="I260" s="442">
        <v>0</v>
      </c>
      <c r="J260" s="448">
        <v>0</v>
      </c>
      <c r="K260" s="448">
        <v>0</v>
      </c>
      <c r="L260" s="444">
        <v>978202.01699999999</v>
      </c>
      <c r="M260" s="444">
        <v>401092.75699999998</v>
      </c>
      <c r="N260" s="444">
        <v>-48221.953000000001</v>
      </c>
      <c r="O260" s="444">
        <v>0</v>
      </c>
      <c r="P260" s="417">
        <v>0</v>
      </c>
      <c r="Q260" s="417">
        <v>0</v>
      </c>
      <c r="R260" s="417">
        <v>0</v>
      </c>
      <c r="S260" s="70">
        <v>2378332.463</v>
      </c>
      <c r="T260" s="105">
        <v>2225974.6469999999</v>
      </c>
      <c r="U260" s="70">
        <v>1322470.2139999999</v>
      </c>
      <c r="V260" s="70">
        <v>5392911.7970000003</v>
      </c>
      <c r="W260" s="417">
        <v>0</v>
      </c>
      <c r="X260" s="417">
        <v>0</v>
      </c>
      <c r="Y260" s="417">
        <v>0</v>
      </c>
      <c r="Z260" s="70">
        <v>1708652.595</v>
      </c>
      <c r="AA260" s="70">
        <v>1708640.453</v>
      </c>
      <c r="AB260" s="70">
        <v>0</v>
      </c>
      <c r="AC260" s="417">
        <v>0</v>
      </c>
      <c r="AD260" s="417">
        <v>0</v>
      </c>
      <c r="AE260" s="417">
        <v>0</v>
      </c>
      <c r="AF260" s="417">
        <v>0</v>
      </c>
      <c r="AG260" s="70">
        <v>2127814.7593</v>
      </c>
      <c r="AH260" s="70">
        <v>1514974.7592999998</v>
      </c>
      <c r="AI260" s="70">
        <v>609098.7592999998</v>
      </c>
      <c r="AJ260" s="417">
        <v>0</v>
      </c>
      <c r="AK260" s="417">
        <v>0</v>
      </c>
      <c r="AL260" s="417">
        <v>0</v>
      </c>
      <c r="AM260" s="417">
        <v>0</v>
      </c>
      <c r="AN260" s="70">
        <v>0</v>
      </c>
      <c r="AO260" s="70">
        <v>0</v>
      </c>
      <c r="AP260" s="70">
        <v>0</v>
      </c>
      <c r="AQ260" s="417">
        <v>0</v>
      </c>
      <c r="AR260" s="417">
        <v>0</v>
      </c>
    </row>
    <row r="261" spans="1:44">
      <c r="A261" s="439">
        <v>92621</v>
      </c>
      <c r="B261" s="440" t="s">
        <v>972</v>
      </c>
      <c r="C261" s="437">
        <v>2.65E-5</v>
      </c>
      <c r="D261" s="441"/>
      <c r="E261" s="438">
        <v>23601.090175000001</v>
      </c>
      <c r="F261" s="442">
        <v>19870.903174999999</v>
      </c>
      <c r="G261" s="442">
        <v>5408.5891750000019</v>
      </c>
      <c r="H261" s="442">
        <v>23540.1355</v>
      </c>
      <c r="I261" s="442">
        <v>0</v>
      </c>
      <c r="J261" s="443">
        <v>1.0895E-2</v>
      </c>
      <c r="K261" s="443"/>
      <c r="L261" s="444">
        <v>4269.8654999999999</v>
      </c>
      <c r="M261" s="444">
        <v>1750.7755</v>
      </c>
      <c r="N261" s="444">
        <v>-210.48949999999999</v>
      </c>
      <c r="O261" s="444">
        <v>0</v>
      </c>
      <c r="P261" s="417">
        <v>0</v>
      </c>
      <c r="Q261" s="378">
        <v>1.0895E-2</v>
      </c>
      <c r="R261" s="378"/>
      <c r="S261" s="70">
        <v>10381.4545</v>
      </c>
      <c r="T261" s="105">
        <v>9716.4105</v>
      </c>
      <c r="U261" s="70">
        <v>5772.6009999999997</v>
      </c>
      <c r="V261" s="70">
        <v>23540.1355</v>
      </c>
      <c r="W261" s="417">
        <v>0</v>
      </c>
      <c r="X261" s="378">
        <v>1.0895E-2</v>
      </c>
      <c r="Z261" s="70">
        <v>7458.2925000000005</v>
      </c>
      <c r="AA261" s="70">
        <v>7458.2394999999997</v>
      </c>
      <c r="AB261" s="70">
        <v>0</v>
      </c>
      <c r="AC261" s="417">
        <v>0</v>
      </c>
      <c r="AD261" s="417">
        <v>0</v>
      </c>
      <c r="AE261" s="378">
        <v>1.0895E-2</v>
      </c>
      <c r="AF261" s="378"/>
      <c r="AG261" s="70">
        <v>1941</v>
      </c>
      <c r="AH261" s="70">
        <v>1099</v>
      </c>
      <c r="AI261" s="70">
        <v>0</v>
      </c>
      <c r="AJ261" s="417">
        <v>0</v>
      </c>
      <c r="AK261" s="417">
        <v>0</v>
      </c>
      <c r="AL261" s="378">
        <v>1.0895E-2</v>
      </c>
      <c r="AM261" s="378"/>
      <c r="AN261" s="70">
        <v>-449.52232499999809</v>
      </c>
      <c r="AO261" s="70">
        <v>-153.52232499999809</v>
      </c>
      <c r="AP261" s="70">
        <v>-153.52232499999809</v>
      </c>
      <c r="AQ261" s="417">
        <v>0</v>
      </c>
      <c r="AR261" s="417">
        <v>0</v>
      </c>
    </row>
    <row r="262" spans="1:44">
      <c r="A262" s="439">
        <v>92631</v>
      </c>
      <c r="B262" s="440" t="s">
        <v>973</v>
      </c>
      <c r="C262" s="437">
        <v>8.8999999999999995E-4</v>
      </c>
      <c r="D262" s="441"/>
      <c r="E262" s="438">
        <v>736372.29185000004</v>
      </c>
      <c r="F262" s="442">
        <v>652044.67185000004</v>
      </c>
      <c r="G262" s="442">
        <v>242567.03185000003</v>
      </c>
      <c r="H262" s="442">
        <v>790593.23</v>
      </c>
      <c r="I262" s="442">
        <v>0</v>
      </c>
      <c r="J262" s="443">
        <v>2.265E-4</v>
      </c>
      <c r="K262" s="443"/>
      <c r="L262" s="444">
        <v>143403.03</v>
      </c>
      <c r="M262" s="444">
        <v>58799.63</v>
      </c>
      <c r="N262" s="444">
        <v>-7069.2699999999995</v>
      </c>
      <c r="O262" s="444">
        <v>0</v>
      </c>
      <c r="P262" s="417">
        <v>0</v>
      </c>
      <c r="Q262" s="378">
        <v>2.265E-4</v>
      </c>
      <c r="R262" s="378"/>
      <c r="S262" s="70">
        <v>348660.17</v>
      </c>
      <c r="T262" s="105">
        <v>326324.73</v>
      </c>
      <c r="U262" s="70">
        <v>193872.25999999998</v>
      </c>
      <c r="V262" s="70">
        <v>790593.23</v>
      </c>
      <c r="W262" s="417">
        <v>0</v>
      </c>
      <c r="X262" s="378">
        <v>2.265E-4</v>
      </c>
      <c r="Z262" s="70">
        <v>250486.05</v>
      </c>
      <c r="AA262" s="70">
        <v>250484.27</v>
      </c>
      <c r="AB262" s="70">
        <v>0</v>
      </c>
      <c r="AC262" s="417">
        <v>0</v>
      </c>
      <c r="AD262" s="417">
        <v>0</v>
      </c>
      <c r="AE262" s="378">
        <v>2.265E-4</v>
      </c>
      <c r="AF262" s="378"/>
      <c r="AG262" s="70">
        <v>55764.041850000038</v>
      </c>
      <c r="AH262" s="70">
        <v>55764.041850000038</v>
      </c>
      <c r="AI262" s="70">
        <v>55764.041850000038</v>
      </c>
      <c r="AJ262" s="417">
        <v>0</v>
      </c>
      <c r="AK262" s="417">
        <v>0</v>
      </c>
      <c r="AL262" s="378">
        <v>2.265E-4</v>
      </c>
      <c r="AM262" s="378"/>
      <c r="AN262" s="70">
        <v>-61941</v>
      </c>
      <c r="AO262" s="70">
        <v>-39328</v>
      </c>
      <c r="AP262" s="70">
        <v>0</v>
      </c>
      <c r="AQ262" s="417">
        <v>0</v>
      </c>
      <c r="AR262" s="417">
        <v>0</v>
      </c>
    </row>
    <row r="263" spans="1:44">
      <c r="A263" s="439">
        <v>92641</v>
      </c>
      <c r="B263" s="440" t="s">
        <v>974</v>
      </c>
      <c r="C263" s="437">
        <v>9.0000000000000002E-6</v>
      </c>
      <c r="D263" s="441"/>
      <c r="E263" s="438">
        <v>10501.024450000001</v>
      </c>
      <c r="F263" s="442">
        <v>8319.6024500000021</v>
      </c>
      <c r="G263" s="442">
        <v>2929.1184500000008</v>
      </c>
      <c r="H263" s="442">
        <v>7994.7629999999999</v>
      </c>
      <c r="I263" s="442">
        <v>0</v>
      </c>
      <c r="J263" s="443">
        <v>6.1628999999999998E-3</v>
      </c>
      <c r="K263" s="443"/>
      <c r="L263" s="444">
        <v>1450.143</v>
      </c>
      <c r="M263" s="444">
        <v>594.60300000000007</v>
      </c>
      <c r="N263" s="444">
        <v>-71.486999999999995</v>
      </c>
      <c r="O263" s="444">
        <v>0</v>
      </c>
      <c r="P263" s="417">
        <v>0</v>
      </c>
      <c r="Q263" s="378">
        <v>6.1628999999999998E-3</v>
      </c>
      <c r="R263" s="378"/>
      <c r="S263" s="70">
        <v>3525.777</v>
      </c>
      <c r="T263" s="105">
        <v>3299.913</v>
      </c>
      <c r="U263" s="70">
        <v>1960.5060000000001</v>
      </c>
      <c r="V263" s="70">
        <v>7994.7629999999999</v>
      </c>
      <c r="W263" s="417">
        <v>0</v>
      </c>
      <c r="X263" s="378">
        <v>6.1628999999999998E-3</v>
      </c>
      <c r="Z263" s="70">
        <v>2533.0050000000001</v>
      </c>
      <c r="AA263" s="70">
        <v>2532.9870000000001</v>
      </c>
      <c r="AB263" s="70">
        <v>0</v>
      </c>
      <c r="AC263" s="417">
        <v>0</v>
      </c>
      <c r="AD263" s="417">
        <v>0</v>
      </c>
      <c r="AE263" s="378">
        <v>6.1628999999999998E-3</v>
      </c>
      <c r="AF263" s="378"/>
      <c r="AG263" s="70">
        <v>2992.0994500000006</v>
      </c>
      <c r="AH263" s="70">
        <v>1892.0994500000008</v>
      </c>
      <c r="AI263" s="70">
        <v>1040.0994500000008</v>
      </c>
      <c r="AJ263" s="417">
        <v>0</v>
      </c>
      <c r="AK263" s="417">
        <v>0</v>
      </c>
      <c r="AL263" s="378">
        <v>6.1628999999999998E-3</v>
      </c>
      <c r="AM263" s="378"/>
      <c r="AN263" s="70">
        <v>0</v>
      </c>
      <c r="AO263" s="70">
        <v>0</v>
      </c>
      <c r="AP263" s="70">
        <v>0</v>
      </c>
      <c r="AQ263" s="417">
        <v>0</v>
      </c>
      <c r="AR263" s="417">
        <v>0</v>
      </c>
    </row>
    <row r="264" spans="1:44">
      <c r="A264" s="439">
        <v>92651</v>
      </c>
      <c r="B264" s="440" t="s">
        <v>975</v>
      </c>
      <c r="C264" s="437">
        <v>5.1000000000000003E-6</v>
      </c>
      <c r="D264" s="441"/>
      <c r="E264" s="438">
        <v>5043.3402750000005</v>
      </c>
      <c r="F264" s="442">
        <v>4257.5344750000004</v>
      </c>
      <c r="G264" s="442">
        <v>1288.7268750000005</v>
      </c>
      <c r="H264" s="442">
        <v>4530.3657000000003</v>
      </c>
      <c r="I264" s="442">
        <v>0</v>
      </c>
      <c r="J264" s="443">
        <v>2.7900000000000001E-5</v>
      </c>
      <c r="K264" s="443"/>
      <c r="L264" s="444">
        <v>821.74770000000001</v>
      </c>
      <c r="M264" s="444">
        <v>336.94170000000003</v>
      </c>
      <c r="N264" s="444">
        <v>-40.509300000000003</v>
      </c>
      <c r="O264" s="444">
        <v>0</v>
      </c>
      <c r="P264" s="417">
        <v>0</v>
      </c>
      <c r="Q264" s="378">
        <v>2.7900000000000001E-5</v>
      </c>
      <c r="R264" s="378"/>
      <c r="S264" s="70">
        <v>1997.9403000000002</v>
      </c>
      <c r="T264" s="105">
        <v>1869.9507000000001</v>
      </c>
      <c r="U264" s="70">
        <v>1110.9534000000001</v>
      </c>
      <c r="V264" s="70">
        <v>4530.3657000000003</v>
      </c>
      <c r="W264" s="417">
        <v>0</v>
      </c>
      <c r="X264" s="378">
        <v>2.7900000000000001E-5</v>
      </c>
      <c r="Z264" s="70">
        <v>1435.3695</v>
      </c>
      <c r="AA264" s="70">
        <v>1435.3593000000001</v>
      </c>
      <c r="AB264" s="70">
        <v>0</v>
      </c>
      <c r="AC264" s="417">
        <v>0</v>
      </c>
      <c r="AD264" s="417">
        <v>0</v>
      </c>
      <c r="AE264" s="378">
        <v>2.7900000000000001E-5</v>
      </c>
      <c r="AF264" s="378"/>
      <c r="AG264" s="70">
        <v>788.28277500000036</v>
      </c>
      <c r="AH264" s="70">
        <v>615.28277500000036</v>
      </c>
      <c r="AI264" s="70">
        <v>218.28277500000036</v>
      </c>
      <c r="AJ264" s="417">
        <v>0</v>
      </c>
      <c r="AK264" s="417">
        <v>0</v>
      </c>
      <c r="AL264" s="378">
        <v>2.7900000000000001E-5</v>
      </c>
      <c r="AM264" s="378"/>
      <c r="AN264" s="70">
        <v>0</v>
      </c>
      <c r="AO264" s="70">
        <v>0</v>
      </c>
      <c r="AP264" s="70">
        <v>0</v>
      </c>
      <c r="AQ264" s="417">
        <v>0</v>
      </c>
      <c r="AR264" s="417">
        <v>0</v>
      </c>
    </row>
    <row r="265" spans="1:44">
      <c r="A265" s="439">
        <v>92661</v>
      </c>
      <c r="B265" s="440" t="s">
        <v>976</v>
      </c>
      <c r="C265" s="437">
        <v>4.4010000000000002E-4</v>
      </c>
      <c r="D265" s="441"/>
      <c r="E265" s="438">
        <v>412374.071475</v>
      </c>
      <c r="F265" s="442">
        <v>306265.53567500005</v>
      </c>
      <c r="G265" s="442">
        <v>30750.668075000038</v>
      </c>
      <c r="H265" s="442">
        <v>390943.91070000001</v>
      </c>
      <c r="I265" s="442">
        <v>0</v>
      </c>
      <c r="J265" s="443">
        <v>8.4230000000000004E-4</v>
      </c>
      <c r="K265" s="443"/>
      <c r="L265" s="444">
        <v>70911.992700000003</v>
      </c>
      <c r="M265" s="444">
        <v>29076.0867</v>
      </c>
      <c r="N265" s="444">
        <v>-3495.7143000000001</v>
      </c>
      <c r="O265" s="444">
        <v>0</v>
      </c>
      <c r="P265" s="417">
        <v>0</v>
      </c>
      <c r="Q265" s="378">
        <v>8.4230000000000004E-4</v>
      </c>
      <c r="R265" s="378"/>
      <c r="S265" s="70">
        <v>172410.49530000001</v>
      </c>
      <c r="T265" s="105">
        <v>161365.7457</v>
      </c>
      <c r="U265" s="70">
        <v>95868.743400000007</v>
      </c>
      <c r="V265" s="70">
        <v>390943.91070000001</v>
      </c>
      <c r="W265" s="417">
        <v>0</v>
      </c>
      <c r="X265" s="378">
        <v>8.4230000000000004E-4</v>
      </c>
      <c r="Z265" s="70">
        <v>123863.94450000001</v>
      </c>
      <c r="AA265" s="70">
        <v>123863.0643</v>
      </c>
      <c r="AB265" s="70">
        <v>0</v>
      </c>
      <c r="AC265" s="417">
        <v>0</v>
      </c>
      <c r="AD265" s="417">
        <v>0</v>
      </c>
      <c r="AE265" s="378">
        <v>8.4230000000000004E-4</v>
      </c>
      <c r="AF265" s="378"/>
      <c r="AG265" s="70">
        <v>106810</v>
      </c>
      <c r="AH265" s="70">
        <v>53583</v>
      </c>
      <c r="AI265" s="70">
        <v>0</v>
      </c>
      <c r="AJ265" s="417">
        <v>0</v>
      </c>
      <c r="AK265" s="417">
        <v>0</v>
      </c>
      <c r="AL265" s="378">
        <v>8.4230000000000004E-4</v>
      </c>
      <c r="AM265" s="378"/>
      <c r="AN265" s="70">
        <v>-61622.361024999962</v>
      </c>
      <c r="AO265" s="70">
        <v>-61622.361024999962</v>
      </c>
      <c r="AP265" s="70">
        <v>-61622.361024999962</v>
      </c>
      <c r="AQ265" s="417">
        <v>0</v>
      </c>
      <c r="AR265" s="417">
        <v>0</v>
      </c>
    </row>
    <row r="266" spans="1:44">
      <c r="A266" s="439">
        <v>92671</v>
      </c>
      <c r="B266" s="440" t="s">
        <v>977</v>
      </c>
      <c r="C266" s="437">
        <v>2.3E-6</v>
      </c>
      <c r="D266" s="441"/>
      <c r="E266" s="438">
        <v>6470.172775</v>
      </c>
      <c r="F266" s="442">
        <v>4820.8093749999998</v>
      </c>
      <c r="G266" s="442">
        <v>2204.9745749999997</v>
      </c>
      <c r="H266" s="442">
        <v>2043.1061</v>
      </c>
      <c r="I266" s="442">
        <v>0</v>
      </c>
      <c r="J266" s="443">
        <v>9.5999999999999996E-6</v>
      </c>
      <c r="K266" s="443"/>
      <c r="L266" s="444">
        <v>370.59210000000002</v>
      </c>
      <c r="M266" s="444">
        <v>151.95410000000001</v>
      </c>
      <c r="N266" s="444">
        <v>-18.268899999999999</v>
      </c>
      <c r="O266" s="444">
        <v>0</v>
      </c>
      <c r="P266" s="417">
        <v>0</v>
      </c>
      <c r="Q266" s="378">
        <v>9.5999999999999996E-6</v>
      </c>
      <c r="R266" s="378"/>
      <c r="S266" s="70">
        <v>901.03189999999995</v>
      </c>
      <c r="T266" s="105">
        <v>843.31110000000001</v>
      </c>
      <c r="U266" s="70">
        <v>501.01819999999998</v>
      </c>
      <c r="V266" s="70">
        <v>2043.1061</v>
      </c>
      <c r="W266" s="417">
        <v>0</v>
      </c>
      <c r="X266" s="378">
        <v>9.5999999999999996E-6</v>
      </c>
      <c r="Z266" s="70">
        <v>647.32349999999997</v>
      </c>
      <c r="AA266" s="70">
        <v>647.31889999999999</v>
      </c>
      <c r="AB266" s="70">
        <v>0</v>
      </c>
      <c r="AC266" s="417">
        <v>0</v>
      </c>
      <c r="AD266" s="417">
        <v>0</v>
      </c>
      <c r="AE266" s="378">
        <v>9.5999999999999996E-6</v>
      </c>
      <c r="AF266" s="378"/>
      <c r="AG266" s="70">
        <v>4551.2252749999998</v>
      </c>
      <c r="AH266" s="70">
        <v>3178.2252749999998</v>
      </c>
      <c r="AI266" s="70">
        <v>1722.2252749999998</v>
      </c>
      <c r="AJ266" s="417">
        <v>0</v>
      </c>
      <c r="AK266" s="417">
        <v>0</v>
      </c>
      <c r="AL266" s="378">
        <v>9.5999999999999996E-6</v>
      </c>
      <c r="AM266" s="378"/>
      <c r="AN266" s="70">
        <v>0</v>
      </c>
      <c r="AO266" s="70">
        <v>0</v>
      </c>
      <c r="AP266" s="70">
        <v>0</v>
      </c>
      <c r="AQ266" s="417">
        <v>0</v>
      </c>
      <c r="AR266" s="417">
        <v>0</v>
      </c>
    </row>
    <row r="267" spans="1:44">
      <c r="A267" s="439">
        <v>92681</v>
      </c>
      <c r="B267" s="440" t="s">
        <v>978</v>
      </c>
      <c r="C267" s="437">
        <v>8.8000000000000004E-6</v>
      </c>
      <c r="D267" s="441"/>
      <c r="E267" s="438">
        <v>5380.5551000000005</v>
      </c>
      <c r="F267" s="442">
        <v>5033.1647000000003</v>
      </c>
      <c r="G267" s="442">
        <v>775.53589999999986</v>
      </c>
      <c r="H267" s="442">
        <v>7817.1016</v>
      </c>
      <c r="I267" s="442">
        <v>0</v>
      </c>
      <c r="J267" s="443">
        <v>4.7999999999999998E-6</v>
      </c>
      <c r="K267" s="443"/>
      <c r="L267" s="444">
        <v>1417.9176</v>
      </c>
      <c r="M267" s="444">
        <v>581.38959999999997</v>
      </c>
      <c r="N267" s="444">
        <v>-69.898400000000009</v>
      </c>
      <c r="O267" s="444">
        <v>0</v>
      </c>
      <c r="P267" s="417">
        <v>0</v>
      </c>
      <c r="Q267" s="378">
        <v>4.7999999999999998E-6</v>
      </c>
      <c r="R267" s="378"/>
      <c r="S267" s="70">
        <v>3447.4264000000003</v>
      </c>
      <c r="T267" s="105">
        <v>3226.5816</v>
      </c>
      <c r="U267" s="70">
        <v>1916.9392</v>
      </c>
      <c r="V267" s="70">
        <v>7817.1016</v>
      </c>
      <c r="W267" s="417">
        <v>0</v>
      </c>
      <c r="X267" s="378">
        <v>4.7999999999999998E-6</v>
      </c>
      <c r="Z267" s="70">
        <v>2476.7160000000003</v>
      </c>
      <c r="AA267" s="70">
        <v>2476.6984000000002</v>
      </c>
      <c r="AB267" s="70">
        <v>0</v>
      </c>
      <c r="AC267" s="417">
        <v>0</v>
      </c>
      <c r="AD267" s="417">
        <v>0</v>
      </c>
      <c r="AE267" s="378">
        <v>4.7999999999999998E-6</v>
      </c>
      <c r="AF267" s="378"/>
      <c r="AG267" s="70">
        <v>563</v>
      </c>
      <c r="AH267" s="70">
        <v>0</v>
      </c>
      <c r="AI267" s="70">
        <v>0</v>
      </c>
      <c r="AJ267" s="417">
        <v>0</v>
      </c>
      <c r="AK267" s="417">
        <v>0</v>
      </c>
      <c r="AL267" s="378">
        <v>4.7999999999999998E-6</v>
      </c>
      <c r="AM267" s="378"/>
      <c r="AN267" s="70">
        <v>-2524.5048999999999</v>
      </c>
      <c r="AO267" s="70">
        <v>-1251.5049000000001</v>
      </c>
      <c r="AP267" s="70">
        <v>-1071.5049000000001</v>
      </c>
      <c r="AQ267" s="417">
        <v>0</v>
      </c>
      <c r="AR267" s="417">
        <v>0</v>
      </c>
    </row>
    <row r="268" spans="1:44">
      <c r="A268" s="439">
        <v>92701</v>
      </c>
      <c r="B268" s="440" t="s">
        <v>979</v>
      </c>
      <c r="C268" s="437">
        <v>3.1002E-3</v>
      </c>
      <c r="D268" s="441"/>
      <c r="E268" s="438">
        <v>2617076.8945500003</v>
      </c>
      <c r="F268" s="442">
        <v>2265203.0629500002</v>
      </c>
      <c r="G268" s="442">
        <v>735734.60775000043</v>
      </c>
      <c r="H268" s="442">
        <v>2753929.3613999998</v>
      </c>
      <c r="I268" s="442">
        <v>0</v>
      </c>
      <c r="J268" s="443">
        <v>6.3690000000000003E-4</v>
      </c>
      <c r="K268" s="443"/>
      <c r="L268" s="444">
        <v>499525.92540000001</v>
      </c>
      <c r="M268" s="444">
        <v>204820.91339999999</v>
      </c>
      <c r="N268" s="444">
        <v>-24624.888599999998</v>
      </c>
      <c r="O268" s="444">
        <v>0</v>
      </c>
      <c r="P268" s="417">
        <v>0</v>
      </c>
      <c r="Q268" s="378">
        <v>6.3690000000000003E-4</v>
      </c>
      <c r="R268" s="378"/>
      <c r="S268" s="70">
        <v>1214512.6506000001</v>
      </c>
      <c r="T268" s="105">
        <v>1136710.0314</v>
      </c>
      <c r="U268" s="70">
        <v>675328.96680000005</v>
      </c>
      <c r="V268" s="70">
        <v>2753929.3613999998</v>
      </c>
      <c r="W268" s="417">
        <v>0</v>
      </c>
      <c r="X268" s="378">
        <v>6.3690000000000003E-4</v>
      </c>
      <c r="Z268" s="70">
        <v>872535.78899999999</v>
      </c>
      <c r="AA268" s="70">
        <v>872529.58860000002</v>
      </c>
      <c r="AB268" s="70">
        <v>0</v>
      </c>
      <c r="AC268" s="417">
        <v>0</v>
      </c>
      <c r="AD268" s="417">
        <v>0</v>
      </c>
      <c r="AE268" s="378">
        <v>6.3690000000000003E-4</v>
      </c>
      <c r="AF268" s="378"/>
      <c r="AG268" s="70">
        <v>110301.52955000033</v>
      </c>
      <c r="AH268" s="70">
        <v>85030.529550000327</v>
      </c>
      <c r="AI268" s="70">
        <v>85030.529550000327</v>
      </c>
      <c r="AJ268" s="417">
        <v>0</v>
      </c>
      <c r="AK268" s="417">
        <v>0</v>
      </c>
      <c r="AL268" s="378">
        <v>6.3690000000000003E-4</v>
      </c>
      <c r="AM268" s="378"/>
      <c r="AN268" s="70">
        <v>-79799</v>
      </c>
      <c r="AO268" s="70">
        <v>-33888</v>
      </c>
      <c r="AP268" s="70">
        <v>0</v>
      </c>
      <c r="AQ268" s="417">
        <v>0</v>
      </c>
      <c r="AR268" s="417">
        <v>0</v>
      </c>
    </row>
    <row r="269" spans="1:44">
      <c r="A269" s="439">
        <v>92704</v>
      </c>
      <c r="B269" s="440" t="s">
        <v>980</v>
      </c>
      <c r="C269" s="437">
        <v>4.1300000000000001E-5</v>
      </c>
      <c r="D269" s="441"/>
      <c r="E269" s="438">
        <v>37056.014875000008</v>
      </c>
      <c r="F269" s="442">
        <v>32319.489475000006</v>
      </c>
      <c r="G269" s="442">
        <v>8683.8906750000078</v>
      </c>
      <c r="H269" s="442">
        <v>36687.079100000003</v>
      </c>
      <c r="I269" s="442">
        <v>0</v>
      </c>
      <c r="J269" s="443">
        <v>1.9999999999999999E-6</v>
      </c>
      <c r="K269" s="443"/>
      <c r="L269" s="444">
        <v>6654.5451000000003</v>
      </c>
      <c r="M269" s="444">
        <v>2728.5671000000002</v>
      </c>
      <c r="N269" s="444">
        <v>-328.04590000000002</v>
      </c>
      <c r="O269" s="444">
        <v>0</v>
      </c>
      <c r="P269" s="417">
        <v>0</v>
      </c>
      <c r="Q269" s="378">
        <v>1.9999999999999999E-6</v>
      </c>
      <c r="R269" s="378"/>
      <c r="S269" s="70">
        <v>16179.3989</v>
      </c>
      <c r="T269" s="105">
        <v>15142.9341</v>
      </c>
      <c r="U269" s="70">
        <v>8996.5442000000003</v>
      </c>
      <c r="V269" s="70">
        <v>36687.079100000003</v>
      </c>
      <c r="W269" s="417">
        <v>0</v>
      </c>
      <c r="X269" s="378">
        <v>1.9999999999999999E-6</v>
      </c>
      <c r="Z269" s="70">
        <v>11623.6785</v>
      </c>
      <c r="AA269" s="70">
        <v>11623.5959</v>
      </c>
      <c r="AB269" s="70">
        <v>0</v>
      </c>
      <c r="AC269" s="417">
        <v>0</v>
      </c>
      <c r="AD269" s="417">
        <v>0</v>
      </c>
      <c r="AE269" s="378">
        <v>1.9999999999999999E-6</v>
      </c>
      <c r="AF269" s="378"/>
      <c r="AG269" s="70">
        <v>2982.3923750000067</v>
      </c>
      <c r="AH269" s="70">
        <v>2824.3923750000067</v>
      </c>
      <c r="AI269" s="70">
        <v>15.392375000006723</v>
      </c>
      <c r="AJ269" s="417">
        <v>0</v>
      </c>
      <c r="AK269" s="417">
        <v>0</v>
      </c>
      <c r="AL269" s="378">
        <v>1.9999999999999999E-6</v>
      </c>
      <c r="AM269" s="378"/>
      <c r="AN269" s="70">
        <v>-384</v>
      </c>
      <c r="AO269" s="70">
        <v>0</v>
      </c>
      <c r="AP269" s="70">
        <v>0</v>
      </c>
      <c r="AQ269" s="417">
        <v>0</v>
      </c>
      <c r="AR269" s="417">
        <v>0</v>
      </c>
    </row>
    <row r="270" spans="1:44">
      <c r="A270" s="439">
        <v>92801</v>
      </c>
      <c r="B270" s="440" t="s">
        <v>981</v>
      </c>
      <c r="C270" s="437">
        <v>5.5872999999999999E-3</v>
      </c>
      <c r="D270" s="441"/>
      <c r="E270" s="438">
        <v>4782274.645575</v>
      </c>
      <c r="F270" s="442">
        <v>4019997.8521750001</v>
      </c>
      <c r="G270" s="442">
        <v>1313485.5573749999</v>
      </c>
      <c r="H270" s="442">
        <v>4963237.7011000002</v>
      </c>
      <c r="I270" s="442">
        <v>0</v>
      </c>
      <c r="J270" s="443">
        <v>9.5999999999999996E-6</v>
      </c>
      <c r="K270" s="443"/>
      <c r="L270" s="444">
        <v>900264.88709999993</v>
      </c>
      <c r="M270" s="444">
        <v>369136.14909999998</v>
      </c>
      <c r="N270" s="444">
        <v>-44379.923900000002</v>
      </c>
      <c r="O270" s="444">
        <v>0</v>
      </c>
      <c r="P270" s="417">
        <v>0</v>
      </c>
      <c r="Q270" s="378">
        <v>9.5999999999999996E-6</v>
      </c>
      <c r="R270" s="378"/>
      <c r="S270" s="70">
        <v>2188841.5369000002</v>
      </c>
      <c r="T270" s="105">
        <v>2048622.6561</v>
      </c>
      <c r="U270" s="70">
        <v>1217103.9081999999</v>
      </c>
      <c r="V270" s="70">
        <v>4963237.7011000002</v>
      </c>
      <c r="W270" s="417">
        <v>0</v>
      </c>
      <c r="X270" s="378">
        <v>9.5999999999999996E-6</v>
      </c>
      <c r="Z270" s="70">
        <v>1572517.6484999999</v>
      </c>
      <c r="AA270" s="70">
        <v>1572506.4738999999</v>
      </c>
      <c r="AB270" s="70">
        <v>0</v>
      </c>
      <c r="AC270" s="417">
        <v>0</v>
      </c>
      <c r="AD270" s="417">
        <v>0</v>
      </c>
      <c r="AE270" s="378">
        <v>9.5999999999999996E-6</v>
      </c>
      <c r="AF270" s="378"/>
      <c r="AG270" s="70">
        <v>231679.57307499996</v>
      </c>
      <c r="AH270" s="70">
        <v>140761.57307499996</v>
      </c>
      <c r="AI270" s="70">
        <v>140761.57307499996</v>
      </c>
      <c r="AJ270" s="417">
        <v>0</v>
      </c>
      <c r="AK270" s="417">
        <v>0</v>
      </c>
      <c r="AL270" s="378">
        <v>9.5999999999999996E-6</v>
      </c>
      <c r="AM270" s="378"/>
      <c r="AN270" s="70">
        <v>-111029</v>
      </c>
      <c r="AO270" s="70">
        <v>-111029</v>
      </c>
      <c r="AP270" s="70">
        <v>0</v>
      </c>
      <c r="AQ270" s="417">
        <v>0</v>
      </c>
      <c r="AR270" s="417">
        <v>0</v>
      </c>
    </row>
    <row r="271" spans="1:44">
      <c r="A271" s="439">
        <v>92802</v>
      </c>
      <c r="B271" s="440" t="s">
        <v>982</v>
      </c>
      <c r="C271" s="437">
        <v>1.026E-4</v>
      </c>
      <c r="D271" s="441"/>
      <c r="E271" s="438">
        <v>73380.605500000005</v>
      </c>
      <c r="F271" s="442">
        <v>66372.394700000004</v>
      </c>
      <c r="G271" s="442">
        <v>22717.677100000004</v>
      </c>
      <c r="H271" s="442">
        <v>91140.298200000005</v>
      </c>
      <c r="I271" s="442">
        <v>0</v>
      </c>
      <c r="J271" s="443">
        <v>2.9215999999999999E-3</v>
      </c>
      <c r="K271" s="443"/>
      <c r="L271" s="444">
        <v>16531.6302</v>
      </c>
      <c r="M271" s="444">
        <v>6778.4741999999997</v>
      </c>
      <c r="N271" s="444">
        <v>-814.95180000000005</v>
      </c>
      <c r="O271" s="444">
        <v>0</v>
      </c>
      <c r="P271" s="417">
        <v>0</v>
      </c>
      <c r="Q271" s="378">
        <v>2.9215999999999999E-3</v>
      </c>
      <c r="R271" s="378"/>
      <c r="S271" s="70">
        <v>40193.857799999998</v>
      </c>
      <c r="T271" s="105">
        <v>37619.008199999997</v>
      </c>
      <c r="U271" s="70">
        <v>22349.768400000001</v>
      </c>
      <c r="V271" s="70">
        <v>91140.298200000005</v>
      </c>
      <c r="W271" s="417">
        <v>0</v>
      </c>
      <c r="X271" s="378">
        <v>2.9215999999999999E-3</v>
      </c>
      <c r="Z271" s="70">
        <v>28876.257000000001</v>
      </c>
      <c r="AA271" s="70">
        <v>28876.051800000001</v>
      </c>
      <c r="AB271" s="70">
        <v>0</v>
      </c>
      <c r="AC271" s="417">
        <v>0</v>
      </c>
      <c r="AD271" s="417">
        <v>0</v>
      </c>
      <c r="AE271" s="378">
        <v>2.9215999999999999E-3</v>
      </c>
      <c r="AF271" s="378"/>
      <c r="AG271" s="70">
        <v>1182.8605000000025</v>
      </c>
      <c r="AH271" s="70">
        <v>1182.8605000000025</v>
      </c>
      <c r="AI271" s="70">
        <v>1182.8605000000025</v>
      </c>
      <c r="AJ271" s="417">
        <v>0</v>
      </c>
      <c r="AK271" s="417">
        <v>0</v>
      </c>
      <c r="AL271" s="378">
        <v>2.9215999999999999E-3</v>
      </c>
      <c r="AM271" s="378"/>
      <c r="AN271" s="70">
        <v>-13404</v>
      </c>
      <c r="AO271" s="70">
        <v>-8084</v>
      </c>
      <c r="AP271" s="70">
        <v>0</v>
      </c>
      <c r="AQ271" s="417">
        <v>0</v>
      </c>
      <c r="AR271" s="417">
        <v>0</v>
      </c>
    </row>
    <row r="272" spans="1:44">
      <c r="A272" s="439">
        <v>92804</v>
      </c>
      <c r="B272" s="440" t="s">
        <v>983</v>
      </c>
      <c r="C272" s="437">
        <v>1.515E-4</v>
      </c>
      <c r="D272" s="441"/>
      <c r="E272" s="438">
        <v>122297.75632500002</v>
      </c>
      <c r="F272" s="442">
        <v>105041.81932500002</v>
      </c>
      <c r="G272" s="442">
        <v>37136.00532500002</v>
      </c>
      <c r="H272" s="442">
        <v>134578.5105</v>
      </c>
      <c r="I272" s="442">
        <v>0</v>
      </c>
      <c r="J272" s="443">
        <v>4.0299999999999997E-5</v>
      </c>
      <c r="K272" s="443"/>
      <c r="L272" s="444">
        <v>24410.7405</v>
      </c>
      <c r="M272" s="444">
        <v>10009.1505</v>
      </c>
      <c r="N272" s="444">
        <v>-1203.3644999999999</v>
      </c>
      <c r="O272" s="444">
        <v>0</v>
      </c>
      <c r="P272" s="417">
        <v>0</v>
      </c>
      <c r="Q272" s="378">
        <v>4.0299999999999997E-5</v>
      </c>
      <c r="R272" s="378"/>
      <c r="S272" s="70">
        <v>59350.5795</v>
      </c>
      <c r="T272" s="105">
        <v>55548.535499999998</v>
      </c>
      <c r="U272" s="70">
        <v>33001.851000000002</v>
      </c>
      <c r="V272" s="70">
        <v>134578.5105</v>
      </c>
      <c r="W272" s="417">
        <v>0</v>
      </c>
      <c r="X272" s="378">
        <v>4.0299999999999997E-5</v>
      </c>
      <c r="Z272" s="70">
        <v>42638.917499999996</v>
      </c>
      <c r="AA272" s="70">
        <v>42638.614499999996</v>
      </c>
      <c r="AB272" s="70">
        <v>0</v>
      </c>
      <c r="AC272" s="417">
        <v>0</v>
      </c>
      <c r="AD272" s="417">
        <v>0</v>
      </c>
      <c r="AE272" s="378">
        <v>4.0299999999999997E-5</v>
      </c>
      <c r="AF272" s="378"/>
      <c r="AG272" s="70">
        <v>6809.5188250000174</v>
      </c>
      <c r="AH272" s="70">
        <v>5337.5188250000174</v>
      </c>
      <c r="AI272" s="70">
        <v>5337.5188250000174</v>
      </c>
      <c r="AJ272" s="417">
        <v>0</v>
      </c>
      <c r="AK272" s="417">
        <v>0</v>
      </c>
      <c r="AL272" s="378">
        <v>4.0299999999999997E-5</v>
      </c>
      <c r="AM272" s="378"/>
      <c r="AN272" s="70">
        <v>-10912</v>
      </c>
      <c r="AO272" s="70">
        <v>-8492</v>
      </c>
      <c r="AP272" s="70">
        <v>0</v>
      </c>
      <c r="AQ272" s="417">
        <v>0</v>
      </c>
      <c r="AR272" s="417">
        <v>0</v>
      </c>
    </row>
    <row r="273" spans="1:44">
      <c r="A273" s="439">
        <v>92811</v>
      </c>
      <c r="B273" s="440" t="s">
        <v>984</v>
      </c>
      <c r="C273" s="437">
        <v>9.6560000000000005E-4</v>
      </c>
      <c r="D273" s="441"/>
      <c r="E273" s="438">
        <v>823627.62380000018</v>
      </c>
      <c r="F273" s="442">
        <v>693550.05900000012</v>
      </c>
      <c r="G273" s="442">
        <v>221252.15340000007</v>
      </c>
      <c r="H273" s="442">
        <v>857749.23920000007</v>
      </c>
      <c r="I273" s="442">
        <v>0</v>
      </c>
      <c r="J273" s="443">
        <v>5.1568999999999999E-3</v>
      </c>
      <c r="K273" s="443"/>
      <c r="L273" s="444">
        <v>155584.23120000001</v>
      </c>
      <c r="M273" s="444">
        <v>63794.2952</v>
      </c>
      <c r="N273" s="444">
        <v>-7669.7608</v>
      </c>
      <c r="O273" s="444">
        <v>0</v>
      </c>
      <c r="P273" s="417">
        <v>0</v>
      </c>
      <c r="Q273" s="378">
        <v>5.1568999999999999E-3</v>
      </c>
      <c r="R273" s="378"/>
      <c r="S273" s="70">
        <v>378276.69680000003</v>
      </c>
      <c r="T273" s="105">
        <v>354043.99920000002</v>
      </c>
      <c r="U273" s="70">
        <v>210340.5104</v>
      </c>
      <c r="V273" s="70">
        <v>857749.23920000007</v>
      </c>
      <c r="W273" s="417">
        <v>0</v>
      </c>
      <c r="X273" s="378">
        <v>5.1568999999999999E-3</v>
      </c>
      <c r="Z273" s="70">
        <v>271763.29200000002</v>
      </c>
      <c r="AA273" s="70">
        <v>271761.36080000002</v>
      </c>
      <c r="AB273" s="70">
        <v>0</v>
      </c>
      <c r="AC273" s="417">
        <v>0</v>
      </c>
      <c r="AD273" s="417">
        <v>0</v>
      </c>
      <c r="AE273" s="378">
        <v>5.1568999999999999E-3</v>
      </c>
      <c r="AF273" s="378"/>
      <c r="AG273" s="70">
        <v>40773.403800000058</v>
      </c>
      <c r="AH273" s="70">
        <v>18581.403800000058</v>
      </c>
      <c r="AI273" s="70">
        <v>18581.403800000058</v>
      </c>
      <c r="AJ273" s="417">
        <v>0</v>
      </c>
      <c r="AK273" s="417">
        <v>0</v>
      </c>
      <c r="AL273" s="378">
        <v>5.1568999999999999E-3</v>
      </c>
      <c r="AM273" s="378"/>
      <c r="AN273" s="70">
        <v>-22770</v>
      </c>
      <c r="AO273" s="70">
        <v>-14631</v>
      </c>
      <c r="AP273" s="70">
        <v>0</v>
      </c>
      <c r="AQ273" s="417">
        <v>0</v>
      </c>
      <c r="AR273" s="417">
        <v>0</v>
      </c>
    </row>
    <row r="274" spans="1:44">
      <c r="A274" s="439">
        <v>92821</v>
      </c>
      <c r="B274" s="440" t="s">
        <v>985</v>
      </c>
      <c r="C274" s="437">
        <v>1.0149E-3</v>
      </c>
      <c r="D274" s="441"/>
      <c r="E274" s="438">
        <v>906823.48262500006</v>
      </c>
      <c r="F274" s="442">
        <v>770143.128425</v>
      </c>
      <c r="G274" s="442">
        <v>254751.41602500004</v>
      </c>
      <c r="H274" s="442">
        <v>901542.77430000005</v>
      </c>
      <c r="I274" s="442">
        <v>0</v>
      </c>
      <c r="J274" s="443">
        <v>9.9099999999999996E-5</v>
      </c>
      <c r="K274" s="443"/>
      <c r="L274" s="444">
        <v>163527.7923</v>
      </c>
      <c r="M274" s="444">
        <v>67051.398300000001</v>
      </c>
      <c r="N274" s="444">
        <v>-8061.3507</v>
      </c>
      <c r="O274" s="444">
        <v>0</v>
      </c>
      <c r="P274" s="417">
        <v>0</v>
      </c>
      <c r="Q274" s="378">
        <v>9.9099999999999996E-5</v>
      </c>
      <c r="R274" s="378"/>
      <c r="S274" s="70">
        <v>397590.11969999998</v>
      </c>
      <c r="T274" s="105">
        <v>372120.18930000003</v>
      </c>
      <c r="U274" s="70">
        <v>221079.72659999999</v>
      </c>
      <c r="V274" s="70">
        <v>901542.77430000005</v>
      </c>
      <c r="W274" s="417">
        <v>0</v>
      </c>
      <c r="X274" s="378">
        <v>9.9099999999999996E-5</v>
      </c>
      <c r="Z274" s="70">
        <v>285638.53049999999</v>
      </c>
      <c r="AA274" s="70">
        <v>285636.50069999998</v>
      </c>
      <c r="AB274" s="70">
        <v>0</v>
      </c>
      <c r="AC274" s="417">
        <v>0</v>
      </c>
      <c r="AD274" s="417">
        <v>0</v>
      </c>
      <c r="AE274" s="378">
        <v>9.9099999999999996E-5</v>
      </c>
      <c r="AF274" s="378"/>
      <c r="AG274" s="70">
        <v>60067.040125000058</v>
      </c>
      <c r="AH274" s="70">
        <v>45335.040125000058</v>
      </c>
      <c r="AI274" s="70">
        <v>41733.040125000058</v>
      </c>
      <c r="AJ274" s="417">
        <v>0</v>
      </c>
      <c r="AK274" s="417">
        <v>0</v>
      </c>
      <c r="AL274" s="378">
        <v>9.9099999999999996E-5</v>
      </c>
      <c r="AM274" s="378"/>
      <c r="AN274" s="70">
        <v>0</v>
      </c>
      <c r="AO274" s="70">
        <v>0</v>
      </c>
      <c r="AP274" s="70">
        <v>0</v>
      </c>
      <c r="AQ274" s="417">
        <v>0</v>
      </c>
      <c r="AR274" s="417">
        <v>0</v>
      </c>
    </row>
    <row r="275" spans="1:44">
      <c r="A275" s="439">
        <v>92831</v>
      </c>
      <c r="B275" s="440" t="s">
        <v>986</v>
      </c>
      <c r="C275" s="437">
        <v>2.6239999999999998E-4</v>
      </c>
      <c r="D275" s="441"/>
      <c r="E275" s="438">
        <v>265105.21259999997</v>
      </c>
      <c r="F275" s="442">
        <v>216464.75339999999</v>
      </c>
      <c r="G275" s="442">
        <v>83330.731</v>
      </c>
      <c r="H275" s="442">
        <v>233091.75679999997</v>
      </c>
      <c r="I275" s="442">
        <v>0</v>
      </c>
      <c r="J275" s="443">
        <v>1.371E-4</v>
      </c>
      <c r="K275" s="443"/>
      <c r="L275" s="444">
        <v>42279.724799999996</v>
      </c>
      <c r="M275" s="444">
        <v>17335.980799999998</v>
      </c>
      <c r="N275" s="444">
        <v>-2084.2431999999999</v>
      </c>
      <c r="O275" s="444">
        <v>0</v>
      </c>
      <c r="P275" s="417">
        <v>0</v>
      </c>
      <c r="Q275" s="378">
        <v>1.371E-4</v>
      </c>
      <c r="R275" s="378"/>
      <c r="S275" s="70">
        <v>102795.98719999999</v>
      </c>
      <c r="T275" s="105">
        <v>96210.796799999996</v>
      </c>
      <c r="U275" s="70">
        <v>57159.641599999995</v>
      </c>
      <c r="V275" s="70">
        <v>233091.75679999997</v>
      </c>
      <c r="W275" s="417">
        <v>0</v>
      </c>
      <c r="X275" s="378">
        <v>1.371E-4</v>
      </c>
      <c r="Z275" s="70">
        <v>73851.167999999991</v>
      </c>
      <c r="AA275" s="70">
        <v>73850.643199999991</v>
      </c>
      <c r="AB275" s="70">
        <v>0</v>
      </c>
      <c r="AC275" s="417">
        <v>0</v>
      </c>
      <c r="AD275" s="417">
        <v>0</v>
      </c>
      <c r="AE275" s="378">
        <v>1.371E-4</v>
      </c>
      <c r="AF275" s="378"/>
      <c r="AG275" s="70">
        <v>46178.332599999994</v>
      </c>
      <c r="AH275" s="70">
        <v>29067.332599999994</v>
      </c>
      <c r="AI275" s="70">
        <v>28255.332599999994</v>
      </c>
      <c r="AJ275" s="417">
        <v>0</v>
      </c>
      <c r="AK275" s="417">
        <v>0</v>
      </c>
      <c r="AL275" s="378">
        <v>1.371E-4</v>
      </c>
      <c r="AM275" s="378"/>
      <c r="AN275" s="70">
        <v>0</v>
      </c>
      <c r="AO275" s="70">
        <v>0</v>
      </c>
      <c r="AP275" s="70">
        <v>0</v>
      </c>
      <c r="AQ275" s="417">
        <v>0</v>
      </c>
      <c r="AR275" s="417">
        <v>0</v>
      </c>
    </row>
    <row r="276" spans="1:44">
      <c r="A276" s="439">
        <v>92841</v>
      </c>
      <c r="B276" s="440" t="s">
        <v>987</v>
      </c>
      <c r="C276" s="437">
        <v>2.4919999999999999E-4</v>
      </c>
      <c r="D276" s="441"/>
      <c r="E276" s="438">
        <v>209864.59219999998</v>
      </c>
      <c r="F276" s="442">
        <v>190346.21859999999</v>
      </c>
      <c r="G276" s="442">
        <v>44170.639399999993</v>
      </c>
      <c r="H276" s="442">
        <v>221366.10439999998</v>
      </c>
      <c r="I276" s="442">
        <v>0</v>
      </c>
      <c r="J276" s="443">
        <v>9.3099999999999997E-4</v>
      </c>
      <c r="K276" s="443"/>
      <c r="L276" s="444">
        <v>40152.848399999995</v>
      </c>
      <c r="M276" s="444">
        <v>16463.896399999998</v>
      </c>
      <c r="N276" s="444">
        <v>-1979.3955999999998</v>
      </c>
      <c r="O276" s="444">
        <v>0</v>
      </c>
      <c r="P276" s="417">
        <v>0</v>
      </c>
      <c r="Q276" s="378">
        <v>9.3099999999999997E-4</v>
      </c>
      <c r="R276" s="378"/>
      <c r="S276" s="70">
        <v>97624.847599999994</v>
      </c>
      <c r="T276" s="105">
        <v>91370.924399999989</v>
      </c>
      <c r="U276" s="70">
        <v>54284.232799999998</v>
      </c>
      <c r="V276" s="70">
        <v>221366.10439999998</v>
      </c>
      <c r="W276" s="417">
        <v>0</v>
      </c>
      <c r="X276" s="378">
        <v>9.3099999999999997E-4</v>
      </c>
      <c r="Z276" s="70">
        <v>70136.093999999997</v>
      </c>
      <c r="AA276" s="70">
        <v>70135.595600000001</v>
      </c>
      <c r="AB276" s="70">
        <v>0</v>
      </c>
      <c r="AC276" s="417">
        <v>0</v>
      </c>
      <c r="AD276" s="417">
        <v>0</v>
      </c>
      <c r="AE276" s="378">
        <v>9.3099999999999997E-4</v>
      </c>
      <c r="AF276" s="378"/>
      <c r="AG276" s="70">
        <v>20510</v>
      </c>
      <c r="AH276" s="70">
        <v>20510</v>
      </c>
      <c r="AI276" s="70">
        <v>0</v>
      </c>
      <c r="AJ276" s="417">
        <v>0</v>
      </c>
      <c r="AK276" s="417">
        <v>0</v>
      </c>
      <c r="AL276" s="378">
        <v>9.3099999999999997E-4</v>
      </c>
      <c r="AM276" s="378"/>
      <c r="AN276" s="70">
        <v>-18559.197800000002</v>
      </c>
      <c r="AO276" s="70">
        <v>-8134.1978000000017</v>
      </c>
      <c r="AP276" s="70">
        <v>-8134.1978000000017</v>
      </c>
      <c r="AQ276" s="417">
        <v>0</v>
      </c>
      <c r="AR276" s="417">
        <v>0</v>
      </c>
    </row>
    <row r="277" spans="1:44">
      <c r="A277" s="439">
        <v>92851</v>
      </c>
      <c r="B277" s="440" t="s">
        <v>988</v>
      </c>
      <c r="C277" s="437">
        <v>3.9889999999999999E-4</v>
      </c>
      <c r="D277" s="441"/>
      <c r="E277" s="438">
        <v>303113.64817500004</v>
      </c>
      <c r="F277" s="442">
        <v>280928.62197500002</v>
      </c>
      <c r="G277" s="442">
        <v>91352.925575000045</v>
      </c>
      <c r="H277" s="442">
        <v>354345.66229999997</v>
      </c>
      <c r="I277" s="442">
        <v>0</v>
      </c>
      <c r="J277" s="443">
        <v>9.634E-4</v>
      </c>
      <c r="K277" s="443"/>
      <c r="L277" s="444">
        <v>64273.560299999997</v>
      </c>
      <c r="M277" s="444">
        <v>26354.1263</v>
      </c>
      <c r="N277" s="444">
        <v>-3168.4627</v>
      </c>
      <c r="O277" s="444">
        <v>0</v>
      </c>
      <c r="P277" s="417">
        <v>0</v>
      </c>
      <c r="Q277" s="378">
        <v>9.634E-4</v>
      </c>
      <c r="R277" s="378"/>
      <c r="S277" s="70">
        <v>156270.27169999998</v>
      </c>
      <c r="T277" s="105">
        <v>146259.4773</v>
      </c>
      <c r="U277" s="70">
        <v>86893.982600000003</v>
      </c>
      <c r="V277" s="70">
        <v>354345.66229999997</v>
      </c>
      <c r="W277" s="417">
        <v>0</v>
      </c>
      <c r="X277" s="378">
        <v>9.634E-4</v>
      </c>
      <c r="Z277" s="70">
        <v>112268.4105</v>
      </c>
      <c r="AA277" s="70">
        <v>112267.6127</v>
      </c>
      <c r="AB277" s="70">
        <v>0</v>
      </c>
      <c r="AC277" s="417">
        <v>0</v>
      </c>
      <c r="AD277" s="417">
        <v>0</v>
      </c>
      <c r="AE277" s="378">
        <v>9.634E-4</v>
      </c>
      <c r="AF277" s="378"/>
      <c r="AG277" s="70">
        <v>7627.4056750000454</v>
      </c>
      <c r="AH277" s="70">
        <v>7627.4056750000454</v>
      </c>
      <c r="AI277" s="70">
        <v>7627.4056750000454</v>
      </c>
      <c r="AJ277" s="417">
        <v>0</v>
      </c>
      <c r="AK277" s="417">
        <v>0</v>
      </c>
      <c r="AL277" s="378">
        <v>9.634E-4</v>
      </c>
      <c r="AM277" s="378"/>
      <c r="AN277" s="70">
        <v>-37326</v>
      </c>
      <c r="AO277" s="70">
        <v>-11580</v>
      </c>
      <c r="AP277" s="70">
        <v>0</v>
      </c>
      <c r="AQ277" s="417">
        <v>0</v>
      </c>
      <c r="AR277" s="417">
        <v>0</v>
      </c>
    </row>
    <row r="278" spans="1:44">
      <c r="A278" s="439">
        <v>92861</v>
      </c>
      <c r="B278" s="440" t="s">
        <v>989</v>
      </c>
      <c r="C278" s="437">
        <v>4.2049999999999998E-4</v>
      </c>
      <c r="D278" s="441"/>
      <c r="E278" s="438">
        <v>342248.720875</v>
      </c>
      <c r="F278" s="442">
        <v>302898.28187499999</v>
      </c>
      <c r="G278" s="442">
        <v>115170.22387500003</v>
      </c>
      <c r="H278" s="442">
        <v>373533.09349999996</v>
      </c>
      <c r="I278" s="442">
        <v>0</v>
      </c>
      <c r="J278" s="443">
        <v>2.5819999999999999E-4</v>
      </c>
      <c r="K278" s="443"/>
      <c r="L278" s="444">
        <v>67753.9035</v>
      </c>
      <c r="M278" s="444">
        <v>27781.173499999997</v>
      </c>
      <c r="N278" s="444">
        <v>-3340.0314999999996</v>
      </c>
      <c r="O278" s="444">
        <v>0</v>
      </c>
      <c r="P278" s="417">
        <v>0</v>
      </c>
      <c r="Q278" s="378">
        <v>2.5819999999999999E-4</v>
      </c>
      <c r="R278" s="378"/>
      <c r="S278" s="70">
        <v>164732.13649999999</v>
      </c>
      <c r="T278" s="105">
        <v>154179.26849999998</v>
      </c>
      <c r="U278" s="70">
        <v>91599.197</v>
      </c>
      <c r="V278" s="70">
        <v>373533.09349999996</v>
      </c>
      <c r="W278" s="417">
        <v>0</v>
      </c>
      <c r="X278" s="378">
        <v>2.5819999999999999E-4</v>
      </c>
      <c r="Z278" s="70">
        <v>118347.6225</v>
      </c>
      <c r="AA278" s="70">
        <v>118346.7815</v>
      </c>
      <c r="AB278" s="70">
        <v>0</v>
      </c>
      <c r="AC278" s="417">
        <v>0</v>
      </c>
      <c r="AD278" s="417">
        <v>0</v>
      </c>
      <c r="AE278" s="378">
        <v>2.5819999999999999E-4</v>
      </c>
      <c r="AF278" s="378"/>
      <c r="AG278" s="70">
        <v>26911.058375000022</v>
      </c>
      <c r="AH278" s="70">
        <v>26911.058375000022</v>
      </c>
      <c r="AI278" s="70">
        <v>26911.058375000022</v>
      </c>
      <c r="AJ278" s="417">
        <v>0</v>
      </c>
      <c r="AK278" s="417">
        <v>0</v>
      </c>
      <c r="AL278" s="378">
        <v>2.5819999999999999E-4</v>
      </c>
      <c r="AM278" s="378"/>
      <c r="AN278" s="70">
        <v>-35496</v>
      </c>
      <c r="AO278" s="70">
        <v>-24320</v>
      </c>
      <c r="AP278" s="70">
        <v>0</v>
      </c>
      <c r="AQ278" s="417">
        <v>0</v>
      </c>
      <c r="AR278" s="417">
        <v>0</v>
      </c>
    </row>
    <row r="279" spans="1:44">
      <c r="A279" s="439">
        <v>92901</v>
      </c>
      <c r="B279" s="440" t="s">
        <v>990</v>
      </c>
      <c r="C279" s="437">
        <v>5.3422000000000001E-3</v>
      </c>
      <c r="D279" s="441"/>
      <c r="E279" s="438">
        <v>4506040.8950000005</v>
      </c>
      <c r="F279" s="442">
        <v>3822811.8273999998</v>
      </c>
      <c r="G279" s="442">
        <v>1213015.5802</v>
      </c>
      <c r="H279" s="442">
        <v>4745513.6554000005</v>
      </c>
      <c r="I279" s="442">
        <v>0</v>
      </c>
      <c r="J279" s="443">
        <v>2.6180000000000002E-4</v>
      </c>
      <c r="K279" s="443"/>
      <c r="L279" s="444">
        <v>860772.6594</v>
      </c>
      <c r="M279" s="444">
        <v>352943.1274</v>
      </c>
      <c r="N279" s="444">
        <v>-42433.094600000004</v>
      </c>
      <c r="O279" s="444">
        <v>0</v>
      </c>
      <c r="P279" s="417">
        <v>0</v>
      </c>
      <c r="Q279" s="378">
        <v>2.6180000000000002E-4</v>
      </c>
      <c r="R279" s="378"/>
      <c r="S279" s="70">
        <v>2092822.8766000001</v>
      </c>
      <c r="T279" s="105">
        <v>1958755.0253999999</v>
      </c>
      <c r="U279" s="70">
        <v>1163712.7948</v>
      </c>
      <c r="V279" s="70">
        <v>4745513.6554000005</v>
      </c>
      <c r="W279" s="417">
        <v>0</v>
      </c>
      <c r="X279" s="378">
        <v>2.6180000000000002E-4</v>
      </c>
      <c r="Z279" s="70">
        <v>1503535.4790000001</v>
      </c>
      <c r="AA279" s="70">
        <v>1503524.7945999999</v>
      </c>
      <c r="AB279" s="70">
        <v>0</v>
      </c>
      <c r="AC279" s="417">
        <v>0</v>
      </c>
      <c r="AD279" s="417">
        <v>0</v>
      </c>
      <c r="AE279" s="378">
        <v>2.6180000000000002E-4</v>
      </c>
      <c r="AF279" s="378"/>
      <c r="AG279" s="70">
        <v>133056.87999999989</v>
      </c>
      <c r="AH279" s="70">
        <v>91735.879999999888</v>
      </c>
      <c r="AI279" s="70">
        <v>91735.879999999888</v>
      </c>
      <c r="AJ279" s="417">
        <v>0</v>
      </c>
      <c r="AK279" s="417">
        <v>0</v>
      </c>
      <c r="AL279" s="378">
        <v>2.6180000000000002E-4</v>
      </c>
      <c r="AM279" s="378"/>
      <c r="AN279" s="70">
        <v>-84147</v>
      </c>
      <c r="AO279" s="70">
        <v>-84147</v>
      </c>
      <c r="AP279" s="70">
        <v>0</v>
      </c>
      <c r="AQ279" s="417">
        <v>0</v>
      </c>
      <c r="AR279" s="417">
        <v>0</v>
      </c>
    </row>
    <row r="280" spans="1:44">
      <c r="A280" s="439">
        <v>92911</v>
      </c>
      <c r="B280" s="440" t="s">
        <v>991</v>
      </c>
      <c r="C280" s="437">
        <v>1.8523999999999999E-3</v>
      </c>
      <c r="D280" s="441"/>
      <c r="E280" s="438">
        <v>1583385.6955499998</v>
      </c>
      <c r="F280" s="442">
        <v>1350136.0163499999</v>
      </c>
      <c r="G280" s="442">
        <v>390704.15394999989</v>
      </c>
      <c r="H280" s="442">
        <v>1645499.8868</v>
      </c>
      <c r="I280" s="442">
        <v>0</v>
      </c>
      <c r="J280" s="443">
        <v>3.7429999999999999E-4</v>
      </c>
      <c r="K280" s="443"/>
      <c r="L280" s="444">
        <v>298471.65479999996</v>
      </c>
      <c r="M280" s="444">
        <v>122382.51079999999</v>
      </c>
      <c r="N280" s="444">
        <v>-14713.6132</v>
      </c>
      <c r="O280" s="444">
        <v>0</v>
      </c>
      <c r="P280" s="417">
        <v>0</v>
      </c>
      <c r="Q280" s="378">
        <v>3.7429999999999999E-4</v>
      </c>
      <c r="R280" s="378"/>
      <c r="S280" s="70">
        <v>725683.25719999999</v>
      </c>
      <c r="T280" s="105">
        <v>679195.42680000002</v>
      </c>
      <c r="U280" s="70">
        <v>403515.70159999997</v>
      </c>
      <c r="V280" s="70">
        <v>1645499.8868</v>
      </c>
      <c r="W280" s="417">
        <v>0</v>
      </c>
      <c r="X280" s="378">
        <v>3.7429999999999999E-4</v>
      </c>
      <c r="Z280" s="70">
        <v>521348.71799999999</v>
      </c>
      <c r="AA280" s="70">
        <v>521345.01319999999</v>
      </c>
      <c r="AB280" s="70">
        <v>0</v>
      </c>
      <c r="AC280" s="417">
        <v>0</v>
      </c>
      <c r="AD280" s="417">
        <v>0</v>
      </c>
      <c r="AE280" s="378">
        <v>3.7429999999999999E-4</v>
      </c>
      <c r="AF280" s="378"/>
      <c r="AG280" s="70">
        <v>37882.065549999941</v>
      </c>
      <c r="AH280" s="70">
        <v>27213.065549999941</v>
      </c>
      <c r="AI280" s="70">
        <v>1902.0655499999411</v>
      </c>
      <c r="AJ280" s="417">
        <v>0</v>
      </c>
      <c r="AK280" s="417">
        <v>0</v>
      </c>
      <c r="AL280" s="378">
        <v>3.7429999999999999E-4</v>
      </c>
      <c r="AM280" s="378"/>
      <c r="AN280" s="70">
        <v>0</v>
      </c>
      <c r="AO280" s="70">
        <v>0</v>
      </c>
      <c r="AP280" s="70">
        <v>0</v>
      </c>
      <c r="AQ280" s="417">
        <v>0</v>
      </c>
      <c r="AR280" s="417">
        <v>0</v>
      </c>
    </row>
    <row r="281" spans="1:44">
      <c r="A281" s="439">
        <v>92913</v>
      </c>
      <c r="B281" s="440" t="s">
        <v>992</v>
      </c>
      <c r="C281" s="437">
        <v>2.1299999999999999E-5</v>
      </c>
      <c r="D281" s="441"/>
      <c r="E281" s="438">
        <v>59443.919475000002</v>
      </c>
      <c r="F281" s="442">
        <v>44481.554075</v>
      </c>
      <c r="G281" s="442">
        <v>17416.475275000001</v>
      </c>
      <c r="H281" s="442">
        <v>18920.9391</v>
      </c>
      <c r="I281" s="442">
        <v>0</v>
      </c>
      <c r="J281" s="443">
        <v>3.4749999999999999E-4</v>
      </c>
      <c r="K281" s="443"/>
      <c r="L281" s="444">
        <v>3432.0050999999999</v>
      </c>
      <c r="M281" s="444">
        <v>1407.2271000000001</v>
      </c>
      <c r="N281" s="444">
        <v>-169.1859</v>
      </c>
      <c r="O281" s="444">
        <v>0</v>
      </c>
      <c r="P281" s="417">
        <v>0</v>
      </c>
      <c r="Q281" s="378">
        <v>3.4749999999999999E-4</v>
      </c>
      <c r="R281" s="378"/>
      <c r="S281" s="70">
        <v>8344.3389000000006</v>
      </c>
      <c r="T281" s="105">
        <v>7809.7941000000001</v>
      </c>
      <c r="U281" s="70">
        <v>4639.8642</v>
      </c>
      <c r="V281" s="70">
        <v>18920.9391</v>
      </c>
      <c r="W281" s="417">
        <v>0</v>
      </c>
      <c r="X281" s="378">
        <v>3.4749999999999999E-4</v>
      </c>
      <c r="Z281" s="70">
        <v>5994.7784999999994</v>
      </c>
      <c r="AA281" s="70">
        <v>5994.7358999999997</v>
      </c>
      <c r="AB281" s="70">
        <v>0</v>
      </c>
      <c r="AC281" s="417">
        <v>0</v>
      </c>
      <c r="AD281" s="417">
        <v>0</v>
      </c>
      <c r="AE281" s="378">
        <v>3.4749999999999999E-4</v>
      </c>
      <c r="AF281" s="378"/>
      <c r="AG281" s="70">
        <v>41672.796975000005</v>
      </c>
      <c r="AH281" s="70">
        <v>29269.796975000001</v>
      </c>
      <c r="AI281" s="70">
        <v>12945.796975000001</v>
      </c>
      <c r="AJ281" s="417">
        <v>0</v>
      </c>
      <c r="AK281" s="417">
        <v>0</v>
      </c>
      <c r="AL281" s="378">
        <v>3.4749999999999999E-4</v>
      </c>
      <c r="AM281" s="378"/>
      <c r="AN281" s="70">
        <v>0</v>
      </c>
      <c r="AO281" s="70">
        <v>0</v>
      </c>
      <c r="AP281" s="70">
        <v>0</v>
      </c>
      <c r="AQ281" s="417">
        <v>0</v>
      </c>
      <c r="AR281" s="417">
        <v>0</v>
      </c>
    </row>
    <row r="282" spans="1:44">
      <c r="A282" s="439">
        <v>92914</v>
      </c>
      <c r="B282" s="440" t="s">
        <v>993</v>
      </c>
      <c r="C282" s="437">
        <v>3.7599999999999999E-5</v>
      </c>
      <c r="D282" s="441"/>
      <c r="E282" s="438">
        <v>40278.152549999999</v>
      </c>
      <c r="F282" s="442">
        <v>33389.211750000002</v>
      </c>
      <c r="G282" s="442">
        <v>8618.434150000001</v>
      </c>
      <c r="H282" s="442">
        <v>33400.343199999996</v>
      </c>
      <c r="I282" s="442">
        <v>0</v>
      </c>
      <c r="J282" s="443">
        <v>5.2097000000000003E-3</v>
      </c>
      <c r="K282" s="443"/>
      <c r="L282" s="444">
        <v>6058.3751999999995</v>
      </c>
      <c r="M282" s="444">
        <v>2484.1192000000001</v>
      </c>
      <c r="N282" s="444">
        <v>-298.65679999999998</v>
      </c>
      <c r="O282" s="444">
        <v>0</v>
      </c>
      <c r="P282" s="417">
        <v>0</v>
      </c>
      <c r="Q282" s="378">
        <v>5.2097000000000003E-3</v>
      </c>
      <c r="R282" s="378"/>
      <c r="S282" s="70">
        <v>14729.9128</v>
      </c>
      <c r="T282" s="105">
        <v>13786.3032</v>
      </c>
      <c r="U282" s="70">
        <v>8190.5583999999999</v>
      </c>
      <c r="V282" s="70">
        <v>33400.343199999996</v>
      </c>
      <c r="W282" s="417">
        <v>0</v>
      </c>
      <c r="X282" s="378">
        <v>5.2097000000000003E-3</v>
      </c>
      <c r="Z282" s="70">
        <v>10582.332</v>
      </c>
      <c r="AA282" s="70">
        <v>10582.256799999999</v>
      </c>
      <c r="AB282" s="70">
        <v>0</v>
      </c>
      <c r="AC282" s="417">
        <v>0</v>
      </c>
      <c r="AD282" s="417">
        <v>0</v>
      </c>
      <c r="AE282" s="378">
        <v>5.2097000000000003E-3</v>
      </c>
      <c r="AF282" s="378"/>
      <c r="AG282" s="70">
        <v>8907.5325499999999</v>
      </c>
      <c r="AH282" s="70">
        <v>6536.5325500000008</v>
      </c>
      <c r="AI282" s="70">
        <v>726.53255000000081</v>
      </c>
      <c r="AJ282" s="417">
        <v>0</v>
      </c>
      <c r="AK282" s="417">
        <v>0</v>
      </c>
      <c r="AL282" s="378">
        <v>5.2097000000000003E-3</v>
      </c>
      <c r="AM282" s="378"/>
      <c r="AN282" s="70">
        <v>0</v>
      </c>
      <c r="AO282" s="70">
        <v>0</v>
      </c>
      <c r="AP282" s="70">
        <v>0</v>
      </c>
      <c r="AQ282" s="417">
        <v>0</v>
      </c>
      <c r="AR282" s="417">
        <v>0</v>
      </c>
    </row>
    <row r="283" spans="1:44">
      <c r="A283" s="439">
        <v>92917</v>
      </c>
      <c r="B283" s="440" t="s">
        <v>994</v>
      </c>
      <c r="C283" s="437">
        <v>3.2299999999999999E-5</v>
      </c>
      <c r="D283" s="441"/>
      <c r="E283" s="438">
        <v>44655.692274999994</v>
      </c>
      <c r="F283" s="442">
        <v>38879.588874999994</v>
      </c>
      <c r="G283" s="442">
        <v>14416.474074999996</v>
      </c>
      <c r="H283" s="442">
        <v>28692.3161</v>
      </c>
      <c r="I283" s="442">
        <v>0</v>
      </c>
      <c r="J283" s="443">
        <v>1.8693E-3</v>
      </c>
      <c r="K283" s="443"/>
      <c r="L283" s="444">
        <v>5204.4021000000002</v>
      </c>
      <c r="M283" s="444">
        <v>2133.9641000000001</v>
      </c>
      <c r="N283" s="444">
        <v>-256.55889999999999</v>
      </c>
      <c r="O283" s="444">
        <v>0</v>
      </c>
      <c r="P283" s="417">
        <v>0</v>
      </c>
      <c r="Q283" s="378">
        <v>1.8693E-3</v>
      </c>
      <c r="R283" s="378"/>
      <c r="S283" s="70">
        <v>12653.6219</v>
      </c>
      <c r="T283" s="105">
        <v>11843.0211</v>
      </c>
      <c r="U283" s="70">
        <v>7036.0382</v>
      </c>
      <c r="V283" s="70">
        <v>28692.3161</v>
      </c>
      <c r="W283" s="417">
        <v>0</v>
      </c>
      <c r="X283" s="378">
        <v>1.8693E-3</v>
      </c>
      <c r="Z283" s="70">
        <v>9090.673499999999</v>
      </c>
      <c r="AA283" s="70">
        <v>9090.6088999999993</v>
      </c>
      <c r="AB283" s="70">
        <v>0</v>
      </c>
      <c r="AC283" s="417">
        <v>0</v>
      </c>
      <c r="AD283" s="417">
        <v>0</v>
      </c>
      <c r="AE283" s="378">
        <v>1.8693E-3</v>
      </c>
      <c r="AF283" s="378"/>
      <c r="AG283" s="70">
        <v>17706.994774999996</v>
      </c>
      <c r="AH283" s="70">
        <v>15811.994774999996</v>
      </c>
      <c r="AI283" s="70">
        <v>7636.9947749999965</v>
      </c>
      <c r="AJ283" s="417">
        <v>0</v>
      </c>
      <c r="AK283" s="417">
        <v>0</v>
      </c>
      <c r="AL283" s="378">
        <v>1.8693E-3</v>
      </c>
      <c r="AM283" s="378"/>
      <c r="AN283" s="70">
        <v>0</v>
      </c>
      <c r="AO283" s="70">
        <v>0</v>
      </c>
      <c r="AP283" s="70">
        <v>0</v>
      </c>
      <c r="AQ283" s="417">
        <v>0</v>
      </c>
      <c r="AR283" s="417">
        <v>0</v>
      </c>
    </row>
    <row r="284" spans="1:44">
      <c r="A284" s="439">
        <v>92921</v>
      </c>
      <c r="B284" s="440" t="s">
        <v>995</v>
      </c>
      <c r="C284" s="437">
        <v>7.4400000000000006E-5</v>
      </c>
      <c r="D284" s="441"/>
      <c r="E284" s="438">
        <v>57576.799899999998</v>
      </c>
      <c r="F284" s="442">
        <v>45449.044699999999</v>
      </c>
      <c r="G284" s="442">
        <v>9626.9102999999977</v>
      </c>
      <c r="H284" s="442">
        <v>66090.040800000002</v>
      </c>
      <c r="I284" s="442">
        <v>0</v>
      </c>
      <c r="J284" s="443">
        <v>2.2099999999999998E-5</v>
      </c>
      <c r="K284" s="443"/>
      <c r="L284" s="444">
        <v>11987.848800000002</v>
      </c>
      <c r="M284" s="444">
        <v>4915.3848000000007</v>
      </c>
      <c r="N284" s="444">
        <v>-590.95920000000001</v>
      </c>
      <c r="O284" s="444">
        <v>0</v>
      </c>
      <c r="P284" s="417">
        <v>0</v>
      </c>
      <c r="Q284" s="378">
        <v>2.2099999999999998E-5</v>
      </c>
      <c r="R284" s="378"/>
      <c r="S284" s="70">
        <v>29146.423200000001</v>
      </c>
      <c r="T284" s="105">
        <v>27279.2808</v>
      </c>
      <c r="U284" s="70">
        <v>16206.849600000001</v>
      </c>
      <c r="V284" s="70">
        <v>66090.040800000002</v>
      </c>
      <c r="W284" s="417">
        <v>0</v>
      </c>
      <c r="X284" s="378">
        <v>2.2099999999999998E-5</v>
      </c>
      <c r="Z284" s="70">
        <v>20939.508000000002</v>
      </c>
      <c r="AA284" s="70">
        <v>20939.359200000003</v>
      </c>
      <c r="AB284" s="70">
        <v>0</v>
      </c>
      <c r="AC284" s="417">
        <v>0</v>
      </c>
      <c r="AD284" s="417">
        <v>0</v>
      </c>
      <c r="AE284" s="378">
        <v>2.2099999999999998E-5</v>
      </c>
      <c r="AF284" s="378"/>
      <c r="AG284" s="70">
        <v>3188</v>
      </c>
      <c r="AH284" s="70">
        <v>0</v>
      </c>
      <c r="AI284" s="70">
        <v>0</v>
      </c>
      <c r="AJ284" s="417">
        <v>0</v>
      </c>
      <c r="AK284" s="417">
        <v>0</v>
      </c>
      <c r="AL284" s="378">
        <v>2.2099999999999998E-5</v>
      </c>
      <c r="AM284" s="378"/>
      <c r="AN284" s="70">
        <v>-7684.9801000000043</v>
      </c>
      <c r="AO284" s="70">
        <v>-7684.9801000000043</v>
      </c>
      <c r="AP284" s="70">
        <v>-5988.9801000000043</v>
      </c>
      <c r="AQ284" s="417">
        <v>0</v>
      </c>
      <c r="AR284" s="417">
        <v>0</v>
      </c>
    </row>
    <row r="285" spans="1:44">
      <c r="A285" s="439">
        <v>92931</v>
      </c>
      <c r="B285" s="440" t="s">
        <v>996</v>
      </c>
      <c r="C285" s="437">
        <v>2.2604000000000001E-3</v>
      </c>
      <c r="D285" s="441"/>
      <c r="E285" s="438">
        <v>1829931.79165</v>
      </c>
      <c r="F285" s="442">
        <v>1580856.6484500002</v>
      </c>
      <c r="G285" s="442">
        <v>540501.1780500001</v>
      </c>
      <c r="H285" s="442">
        <v>2007929.1428</v>
      </c>
      <c r="I285" s="442">
        <v>0</v>
      </c>
      <c r="J285" s="443">
        <v>3.5500000000000002E-5</v>
      </c>
      <c r="K285" s="443"/>
      <c r="L285" s="444">
        <v>364211.47080000001</v>
      </c>
      <c r="M285" s="444">
        <v>149337.8468</v>
      </c>
      <c r="N285" s="444">
        <v>-17954.357200000002</v>
      </c>
      <c r="O285" s="444">
        <v>0</v>
      </c>
      <c r="P285" s="417">
        <v>0</v>
      </c>
      <c r="Q285" s="378">
        <v>3.5500000000000002E-5</v>
      </c>
      <c r="R285" s="378"/>
      <c r="S285" s="70">
        <v>885518.48120000004</v>
      </c>
      <c r="T285" s="105">
        <v>828791.4828</v>
      </c>
      <c r="U285" s="70">
        <v>492391.97360000003</v>
      </c>
      <c r="V285" s="70">
        <v>2007929.1428</v>
      </c>
      <c r="W285" s="417">
        <v>0</v>
      </c>
      <c r="X285" s="378">
        <v>3.5500000000000002E-5</v>
      </c>
      <c r="Z285" s="70">
        <v>636178.27800000005</v>
      </c>
      <c r="AA285" s="70">
        <v>636173.75719999999</v>
      </c>
      <c r="AB285" s="70">
        <v>0</v>
      </c>
      <c r="AC285" s="417">
        <v>0</v>
      </c>
      <c r="AD285" s="417">
        <v>0</v>
      </c>
      <c r="AE285" s="378">
        <v>3.5500000000000002E-5</v>
      </c>
      <c r="AF285" s="378"/>
      <c r="AG285" s="70">
        <v>91309.561650000105</v>
      </c>
      <c r="AH285" s="70">
        <v>66063.561650000105</v>
      </c>
      <c r="AI285" s="70">
        <v>66063.561650000105</v>
      </c>
      <c r="AJ285" s="417">
        <v>0</v>
      </c>
      <c r="AK285" s="417">
        <v>0</v>
      </c>
      <c r="AL285" s="378">
        <v>3.5500000000000002E-5</v>
      </c>
      <c r="AM285" s="378"/>
      <c r="AN285" s="70">
        <v>-147286</v>
      </c>
      <c r="AO285" s="70">
        <v>-99510</v>
      </c>
      <c r="AP285" s="70">
        <v>0</v>
      </c>
      <c r="AQ285" s="417">
        <v>0</v>
      </c>
      <c r="AR285" s="417">
        <v>0</v>
      </c>
    </row>
    <row r="286" spans="1:44">
      <c r="A286" s="439">
        <v>92941</v>
      </c>
      <c r="B286" s="440" t="s">
        <v>81</v>
      </c>
      <c r="C286" s="437">
        <v>4.3000000000000003E-6</v>
      </c>
      <c r="D286" s="441"/>
      <c r="E286" s="438">
        <v>4737.0950250000005</v>
      </c>
      <c r="F286" s="442">
        <v>3739.4156250000005</v>
      </c>
      <c r="G286" s="442">
        <v>1118.0288250000003</v>
      </c>
      <c r="H286" s="442">
        <v>3819.7201000000005</v>
      </c>
      <c r="I286" s="442">
        <v>0</v>
      </c>
      <c r="J286" s="443">
        <v>2.3E-5</v>
      </c>
      <c r="K286" s="443"/>
      <c r="L286" s="444">
        <v>692.84610000000009</v>
      </c>
      <c r="M286" s="444">
        <v>284.0881</v>
      </c>
      <c r="N286" s="444">
        <v>-34.154900000000005</v>
      </c>
      <c r="O286" s="444">
        <v>0</v>
      </c>
      <c r="P286" s="417">
        <v>0</v>
      </c>
      <c r="Q286" s="378">
        <v>2.3E-5</v>
      </c>
      <c r="R286" s="378"/>
      <c r="S286" s="70">
        <v>1684.5379</v>
      </c>
      <c r="T286" s="105">
        <v>1576.6251000000002</v>
      </c>
      <c r="U286" s="70">
        <v>936.6862000000001</v>
      </c>
      <c r="V286" s="70">
        <v>3819.7201000000005</v>
      </c>
      <c r="W286" s="417">
        <v>0</v>
      </c>
      <c r="X286" s="378">
        <v>2.3E-5</v>
      </c>
      <c r="Z286" s="70">
        <v>1210.2135000000001</v>
      </c>
      <c r="AA286" s="70">
        <v>1210.2049000000002</v>
      </c>
      <c r="AB286" s="70">
        <v>0</v>
      </c>
      <c r="AC286" s="417">
        <v>0</v>
      </c>
      <c r="AD286" s="417">
        <v>0</v>
      </c>
      <c r="AE286" s="378">
        <v>2.3E-5</v>
      </c>
      <c r="AF286" s="378"/>
      <c r="AG286" s="70">
        <v>1149.4975250000002</v>
      </c>
      <c r="AH286" s="70">
        <v>668.49752500000011</v>
      </c>
      <c r="AI286" s="70">
        <v>215.49752500000011</v>
      </c>
      <c r="AJ286" s="417">
        <v>0</v>
      </c>
      <c r="AK286" s="417">
        <v>0</v>
      </c>
      <c r="AL286" s="378">
        <v>2.3E-5</v>
      </c>
      <c r="AM286" s="378"/>
      <c r="AN286" s="70">
        <v>0</v>
      </c>
      <c r="AO286" s="70">
        <v>0</v>
      </c>
      <c r="AP286" s="70">
        <v>0</v>
      </c>
      <c r="AQ286" s="417">
        <v>0</v>
      </c>
      <c r="AR286" s="417">
        <v>0</v>
      </c>
    </row>
    <row r="287" spans="1:44">
      <c r="A287" s="439">
        <v>93001</v>
      </c>
      <c r="B287" s="440" t="s">
        <v>997</v>
      </c>
      <c r="C287" s="437">
        <v>2.5124000000000001E-3</v>
      </c>
      <c r="D287" s="441"/>
      <c r="E287" s="438">
        <v>2236157.2825500001</v>
      </c>
      <c r="F287" s="442">
        <v>1967816.3233500002</v>
      </c>
      <c r="G287" s="442">
        <v>660837.30094999995</v>
      </c>
      <c r="H287" s="442">
        <v>2231782.5068000001</v>
      </c>
      <c r="I287" s="442">
        <v>0</v>
      </c>
      <c r="J287" s="443">
        <v>8.8599999999999999E-5</v>
      </c>
      <c r="K287" s="443"/>
      <c r="L287" s="444">
        <v>404815.47480000003</v>
      </c>
      <c r="M287" s="444">
        <v>165986.73080000002</v>
      </c>
      <c r="N287" s="444">
        <v>-19955.993200000001</v>
      </c>
      <c r="O287" s="444">
        <v>0</v>
      </c>
      <c r="P287" s="417">
        <v>0</v>
      </c>
      <c r="Q287" s="378">
        <v>8.8599999999999999E-5</v>
      </c>
      <c r="R287" s="378"/>
      <c r="S287" s="70">
        <v>984240.23720000009</v>
      </c>
      <c r="T287" s="105">
        <v>921189.04680000001</v>
      </c>
      <c r="U287" s="70">
        <v>547286.14159999997</v>
      </c>
      <c r="V287" s="70">
        <v>2231782.5068000001</v>
      </c>
      <c r="W287" s="417">
        <v>0</v>
      </c>
      <c r="X287" s="378">
        <v>8.8599999999999999E-5</v>
      </c>
      <c r="Z287" s="70">
        <v>707102.41800000006</v>
      </c>
      <c r="AA287" s="70">
        <v>707097.39320000005</v>
      </c>
      <c r="AB287" s="70">
        <v>0</v>
      </c>
      <c r="AC287" s="417">
        <v>0</v>
      </c>
      <c r="AD287" s="417">
        <v>0</v>
      </c>
      <c r="AE287" s="378">
        <v>8.8599999999999999E-5</v>
      </c>
      <c r="AF287" s="378"/>
      <c r="AG287" s="70">
        <v>173543.15255</v>
      </c>
      <c r="AH287" s="70">
        <v>173543.15255</v>
      </c>
      <c r="AI287" s="70">
        <v>133507.15255</v>
      </c>
      <c r="AJ287" s="417">
        <v>0</v>
      </c>
      <c r="AK287" s="417">
        <v>0</v>
      </c>
      <c r="AL287" s="378">
        <v>8.8599999999999999E-5</v>
      </c>
      <c r="AM287" s="378"/>
      <c r="AN287" s="70">
        <v>-33544</v>
      </c>
      <c r="AO287" s="70">
        <v>0</v>
      </c>
      <c r="AP287" s="70">
        <v>0</v>
      </c>
      <c r="AQ287" s="417">
        <v>0</v>
      </c>
      <c r="AR287" s="417">
        <v>0</v>
      </c>
    </row>
    <row r="288" spans="1:44">
      <c r="A288" s="439">
        <v>93009</v>
      </c>
      <c r="B288" s="440" t="s">
        <v>998</v>
      </c>
      <c r="C288" s="437">
        <v>5.2000000000000002E-6</v>
      </c>
      <c r="D288" s="441"/>
      <c r="E288" s="438">
        <v>-598.86335000000145</v>
      </c>
      <c r="F288" s="442">
        <v>-158.68495000000121</v>
      </c>
      <c r="G288" s="442">
        <v>762.07984999999917</v>
      </c>
      <c r="H288" s="442">
        <v>4619.1963999999998</v>
      </c>
      <c r="I288" s="442">
        <v>0</v>
      </c>
      <c r="J288" s="443">
        <v>2.1461000000000002E-3</v>
      </c>
      <c r="K288" s="443"/>
      <c r="L288" s="444">
        <v>837.86040000000003</v>
      </c>
      <c r="M288" s="444">
        <v>343.54840000000002</v>
      </c>
      <c r="N288" s="444">
        <v>-41.303600000000003</v>
      </c>
      <c r="O288" s="444">
        <v>0</v>
      </c>
      <c r="P288" s="417">
        <v>0</v>
      </c>
      <c r="Q288" s="378">
        <v>2.1461000000000002E-3</v>
      </c>
      <c r="R288" s="378"/>
      <c r="S288" s="70">
        <v>2037.1156000000001</v>
      </c>
      <c r="T288" s="105">
        <v>1906.6164000000001</v>
      </c>
      <c r="U288" s="70">
        <v>1132.7368000000001</v>
      </c>
      <c r="V288" s="70">
        <v>4619.1963999999998</v>
      </c>
      <c r="W288" s="417">
        <v>0</v>
      </c>
      <c r="X288" s="378">
        <v>2.1461000000000002E-3</v>
      </c>
      <c r="Z288" s="70">
        <v>1463.5140000000001</v>
      </c>
      <c r="AA288" s="70">
        <v>1463.5036</v>
      </c>
      <c r="AB288" s="70">
        <v>0</v>
      </c>
      <c r="AC288" s="417">
        <v>0</v>
      </c>
      <c r="AD288" s="417">
        <v>0</v>
      </c>
      <c r="AE288" s="378">
        <v>2.1461000000000002E-3</v>
      </c>
      <c r="AF288" s="378"/>
      <c r="AG288" s="70">
        <v>0</v>
      </c>
      <c r="AH288" s="70">
        <v>0</v>
      </c>
      <c r="AI288" s="70">
        <v>0</v>
      </c>
      <c r="AJ288" s="417">
        <v>0</v>
      </c>
      <c r="AK288" s="417">
        <v>0</v>
      </c>
      <c r="AL288" s="378">
        <v>2.1461000000000002E-3</v>
      </c>
      <c r="AM288" s="378"/>
      <c r="AN288" s="70">
        <v>-4937.3533500000012</v>
      </c>
      <c r="AO288" s="70">
        <v>-3872.3533500000012</v>
      </c>
      <c r="AP288" s="70">
        <v>-329.353350000001</v>
      </c>
      <c r="AQ288" s="417">
        <v>0</v>
      </c>
      <c r="AR288" s="417">
        <v>0</v>
      </c>
    </row>
    <row r="289" spans="1:44">
      <c r="A289" s="439">
        <v>93011</v>
      </c>
      <c r="B289" s="440" t="s">
        <v>999</v>
      </c>
      <c r="C289" s="437">
        <v>1.694E-4</v>
      </c>
      <c r="D289" s="441"/>
      <c r="E289" s="438">
        <v>59853.090499999947</v>
      </c>
      <c r="F289" s="442">
        <v>34282.325299999982</v>
      </c>
      <c r="G289" s="442">
        <v>-32682.029100000022</v>
      </c>
      <c r="H289" s="442">
        <v>150479.2058</v>
      </c>
      <c r="I289" s="442">
        <v>0</v>
      </c>
      <c r="J289" s="443">
        <v>4.5000000000000001E-6</v>
      </c>
      <c r="K289" s="443"/>
      <c r="L289" s="444">
        <v>27294.913799999998</v>
      </c>
      <c r="M289" s="444">
        <v>11191.7498</v>
      </c>
      <c r="N289" s="444">
        <v>-1345.5442</v>
      </c>
      <c r="O289" s="444">
        <v>0</v>
      </c>
      <c r="P289" s="417">
        <v>0</v>
      </c>
      <c r="Q289" s="378">
        <v>4.5000000000000001E-6</v>
      </c>
      <c r="R289" s="378"/>
      <c r="S289" s="70">
        <v>66362.958199999994</v>
      </c>
      <c r="T289" s="105">
        <v>62111.695800000001</v>
      </c>
      <c r="U289" s="70">
        <v>36901.079599999997</v>
      </c>
      <c r="V289" s="70">
        <v>150479.2058</v>
      </c>
      <c r="W289" s="417">
        <v>0</v>
      </c>
      <c r="X289" s="378">
        <v>4.5000000000000001E-6</v>
      </c>
      <c r="Z289" s="70">
        <v>47676.782999999996</v>
      </c>
      <c r="AA289" s="70">
        <v>47676.444199999998</v>
      </c>
      <c r="AB289" s="70">
        <v>0</v>
      </c>
      <c r="AC289" s="417">
        <v>0</v>
      </c>
      <c r="AD289" s="417">
        <v>0</v>
      </c>
      <c r="AE289" s="378">
        <v>4.5000000000000001E-6</v>
      </c>
      <c r="AF289" s="378"/>
      <c r="AG289" s="70">
        <v>6655</v>
      </c>
      <c r="AH289" s="70">
        <v>0</v>
      </c>
      <c r="AI289" s="70">
        <v>0</v>
      </c>
      <c r="AJ289" s="417">
        <v>0</v>
      </c>
      <c r="AK289" s="417">
        <v>0</v>
      </c>
      <c r="AL289" s="378">
        <v>4.5000000000000001E-6</v>
      </c>
      <c r="AM289" s="378"/>
      <c r="AN289" s="70">
        <v>-88136.564500000022</v>
      </c>
      <c r="AO289" s="70">
        <v>-86697.564500000022</v>
      </c>
      <c r="AP289" s="70">
        <v>-68237.564500000022</v>
      </c>
      <c r="AQ289" s="417">
        <v>0</v>
      </c>
      <c r="AR289" s="417">
        <v>0</v>
      </c>
    </row>
    <row r="290" spans="1:44">
      <c r="A290" s="439">
        <v>93021</v>
      </c>
      <c r="B290" s="440" t="s">
        <v>1000</v>
      </c>
      <c r="C290" s="437">
        <v>2.5899999999999999E-5</v>
      </c>
      <c r="D290" s="441"/>
      <c r="E290" s="438">
        <v>18348.454425000004</v>
      </c>
      <c r="F290" s="442">
        <v>16432.362224999997</v>
      </c>
      <c r="G290" s="442">
        <v>5501.6138250000004</v>
      </c>
      <c r="H290" s="442">
        <v>23007.151299999998</v>
      </c>
      <c r="I290" s="442">
        <v>0</v>
      </c>
      <c r="J290" s="443">
        <v>2.2403000000000002E-3</v>
      </c>
      <c r="K290" s="443"/>
      <c r="L290" s="444">
        <v>4173.1893</v>
      </c>
      <c r="M290" s="444">
        <v>1711.1352999999999</v>
      </c>
      <c r="N290" s="444">
        <v>-205.72370000000001</v>
      </c>
      <c r="O290" s="444">
        <v>0</v>
      </c>
      <c r="P290" s="417">
        <v>0</v>
      </c>
      <c r="Q290" s="378">
        <v>2.2403000000000002E-3</v>
      </c>
      <c r="R290" s="378"/>
      <c r="S290" s="70">
        <v>10146.402700000001</v>
      </c>
      <c r="T290" s="105">
        <v>9496.416299999999</v>
      </c>
      <c r="U290" s="70">
        <v>5641.9005999999999</v>
      </c>
      <c r="V290" s="70">
        <v>23007.151299999998</v>
      </c>
      <c r="W290" s="417">
        <v>0</v>
      </c>
      <c r="X290" s="378">
        <v>2.2403000000000002E-3</v>
      </c>
      <c r="Z290" s="70">
        <v>7289.4254999999994</v>
      </c>
      <c r="AA290" s="70">
        <v>7289.3737000000001</v>
      </c>
      <c r="AB290" s="70">
        <v>0</v>
      </c>
      <c r="AC290" s="417">
        <v>0</v>
      </c>
      <c r="AD290" s="417">
        <v>0</v>
      </c>
      <c r="AE290" s="378">
        <v>2.2403000000000002E-3</v>
      </c>
      <c r="AF290" s="378"/>
      <c r="AG290" s="70">
        <v>65.436924999999974</v>
      </c>
      <c r="AH290" s="70">
        <v>65.436924999999974</v>
      </c>
      <c r="AI290" s="70">
        <v>65.436924999999974</v>
      </c>
      <c r="AJ290" s="417">
        <v>0</v>
      </c>
      <c r="AK290" s="417">
        <v>0</v>
      </c>
      <c r="AL290" s="378">
        <v>2.2403000000000002E-3</v>
      </c>
      <c r="AM290" s="378"/>
      <c r="AN290" s="70">
        <v>-3326</v>
      </c>
      <c r="AO290" s="70">
        <v>-2130</v>
      </c>
      <c r="AP290" s="70">
        <v>0</v>
      </c>
      <c r="AQ290" s="417">
        <v>0</v>
      </c>
      <c r="AR290" s="417">
        <v>0</v>
      </c>
    </row>
    <row r="291" spans="1:44">
      <c r="A291" s="439">
        <v>93027</v>
      </c>
      <c r="B291" s="440" t="s">
        <v>1001</v>
      </c>
      <c r="C291" s="437">
        <v>0</v>
      </c>
      <c r="D291" s="441"/>
      <c r="E291" s="438">
        <v>-3192</v>
      </c>
      <c r="F291" s="442">
        <v>0</v>
      </c>
      <c r="G291" s="442">
        <v>0</v>
      </c>
      <c r="H291" s="442">
        <v>0</v>
      </c>
      <c r="I291" s="442">
        <v>0</v>
      </c>
      <c r="J291" s="443">
        <v>5.9000000000000003E-6</v>
      </c>
      <c r="K291" s="443"/>
      <c r="L291" s="444">
        <v>0</v>
      </c>
      <c r="M291" s="444">
        <v>0</v>
      </c>
      <c r="N291" s="444">
        <v>0</v>
      </c>
      <c r="O291" s="444">
        <v>0</v>
      </c>
      <c r="P291" s="417">
        <v>0</v>
      </c>
      <c r="Q291" s="378">
        <v>5.9000000000000003E-6</v>
      </c>
      <c r="R291" s="378"/>
      <c r="S291" s="70">
        <v>0</v>
      </c>
      <c r="T291" s="105">
        <v>0</v>
      </c>
      <c r="U291" s="70">
        <v>0</v>
      </c>
      <c r="V291" s="70">
        <v>0</v>
      </c>
      <c r="W291" s="417">
        <v>0</v>
      </c>
      <c r="X291" s="378">
        <v>5.9000000000000003E-6</v>
      </c>
      <c r="Z291" s="70">
        <v>0</v>
      </c>
      <c r="AA291" s="70">
        <v>0</v>
      </c>
      <c r="AB291" s="70">
        <v>0</v>
      </c>
      <c r="AC291" s="417">
        <v>0</v>
      </c>
      <c r="AD291" s="417">
        <v>0</v>
      </c>
      <c r="AE291" s="378">
        <v>5.9000000000000003E-6</v>
      </c>
      <c r="AF291" s="378"/>
      <c r="AG291" s="70">
        <v>0</v>
      </c>
      <c r="AH291" s="70">
        <v>0</v>
      </c>
      <c r="AI291" s="70">
        <v>0</v>
      </c>
      <c r="AJ291" s="417">
        <v>0</v>
      </c>
      <c r="AK291" s="417">
        <v>0</v>
      </c>
      <c r="AL291" s="378">
        <v>5.9000000000000003E-6</v>
      </c>
      <c r="AM291" s="378"/>
      <c r="AN291" s="70">
        <v>-3192</v>
      </c>
      <c r="AO291" s="70">
        <v>0</v>
      </c>
      <c r="AP291" s="70">
        <v>0</v>
      </c>
      <c r="AQ291" s="417">
        <v>0</v>
      </c>
      <c r="AR291" s="417">
        <v>0</v>
      </c>
    </row>
    <row r="292" spans="1:44">
      <c r="A292" s="439">
        <v>93028</v>
      </c>
      <c r="B292" s="440" t="s">
        <v>3609</v>
      </c>
      <c r="C292" s="437">
        <v>2.3499999999999999E-5</v>
      </c>
      <c r="D292" s="441"/>
      <c r="E292" s="438">
        <v>29078.079775000002</v>
      </c>
      <c r="F292" s="442">
        <v>16433.366775000002</v>
      </c>
      <c r="G292" s="442">
        <v>6572.8807749999996</v>
      </c>
      <c r="H292" s="442">
        <v>20875.214499999998</v>
      </c>
      <c r="I292" s="442">
        <v>0</v>
      </c>
      <c r="J292" s="443">
        <v>2.809E-4</v>
      </c>
      <c r="K292" s="443"/>
      <c r="L292" s="444">
        <v>3786.4844999999996</v>
      </c>
      <c r="M292" s="444">
        <v>1552.5744999999999</v>
      </c>
      <c r="N292" s="444">
        <v>-186.66049999999998</v>
      </c>
      <c r="O292" s="444">
        <v>0</v>
      </c>
      <c r="P292" s="417">
        <v>0</v>
      </c>
      <c r="Q292" s="378">
        <v>2.809E-4</v>
      </c>
      <c r="R292" s="378"/>
      <c r="S292" s="70">
        <v>9206.1954999999998</v>
      </c>
      <c r="T292" s="105">
        <v>8616.4394999999986</v>
      </c>
      <c r="U292" s="70">
        <v>5119.0989999999993</v>
      </c>
      <c r="V292" s="70">
        <v>20875.214499999998</v>
      </c>
      <c r="W292" s="417">
        <v>0</v>
      </c>
      <c r="X292" s="378">
        <v>2.809E-4</v>
      </c>
      <c r="Z292" s="70">
        <v>6613.9574999999995</v>
      </c>
      <c r="AA292" s="70">
        <v>6613.9105</v>
      </c>
      <c r="AB292" s="70">
        <v>0</v>
      </c>
      <c r="AC292" s="417">
        <v>0</v>
      </c>
      <c r="AD292" s="417">
        <v>0</v>
      </c>
      <c r="AE292" s="378">
        <v>2.809E-4</v>
      </c>
      <c r="AF292" s="378"/>
      <c r="AG292" s="70">
        <v>11461.442275000001</v>
      </c>
      <c r="AH292" s="70">
        <v>1640.4422750000003</v>
      </c>
      <c r="AI292" s="70">
        <v>1640.4422750000003</v>
      </c>
      <c r="AJ292" s="417">
        <v>0</v>
      </c>
      <c r="AK292" s="417">
        <v>0</v>
      </c>
      <c r="AL292" s="378">
        <v>2.809E-4</v>
      </c>
      <c r="AM292" s="378"/>
      <c r="AN292" s="70">
        <v>-1990</v>
      </c>
      <c r="AO292" s="70">
        <v>-1990</v>
      </c>
      <c r="AP292" s="70">
        <v>0</v>
      </c>
      <c r="AQ292" s="417">
        <v>0</v>
      </c>
      <c r="AR292" s="417">
        <v>0</v>
      </c>
    </row>
    <row r="293" spans="1:44">
      <c r="A293" s="439">
        <v>93031</v>
      </c>
      <c r="B293" s="440" t="s">
        <v>1002</v>
      </c>
      <c r="C293" s="437">
        <v>1.31E-5</v>
      </c>
      <c r="D293" s="441"/>
      <c r="E293" s="438">
        <v>16872.340724999998</v>
      </c>
      <c r="F293" s="442">
        <v>16171.270924999999</v>
      </c>
      <c r="G293" s="442">
        <v>8972.2553249999983</v>
      </c>
      <c r="H293" s="442">
        <v>11636.8217</v>
      </c>
      <c r="I293" s="442">
        <v>0</v>
      </c>
      <c r="J293" s="443">
        <v>2.6299999999999999E-5</v>
      </c>
      <c r="K293" s="443"/>
      <c r="L293" s="444">
        <v>2110.7637</v>
      </c>
      <c r="M293" s="444">
        <v>865.47770000000003</v>
      </c>
      <c r="N293" s="444">
        <v>-104.05329999999999</v>
      </c>
      <c r="O293" s="444">
        <v>0</v>
      </c>
      <c r="P293" s="417">
        <v>0</v>
      </c>
      <c r="Q293" s="378">
        <v>2.6299999999999999E-5</v>
      </c>
      <c r="R293" s="378"/>
      <c r="S293" s="70">
        <v>5131.9642999999996</v>
      </c>
      <c r="T293" s="105">
        <v>4803.2066999999997</v>
      </c>
      <c r="U293" s="70">
        <v>2853.6253999999999</v>
      </c>
      <c r="V293" s="70">
        <v>11636.8217</v>
      </c>
      <c r="W293" s="417">
        <v>0</v>
      </c>
      <c r="X293" s="378">
        <v>2.6299999999999999E-5</v>
      </c>
      <c r="Z293" s="70">
        <v>3686.9295000000002</v>
      </c>
      <c r="AA293" s="70">
        <v>3686.9032999999999</v>
      </c>
      <c r="AB293" s="70">
        <v>0</v>
      </c>
      <c r="AC293" s="417">
        <v>0</v>
      </c>
      <c r="AD293" s="417">
        <v>0</v>
      </c>
      <c r="AE293" s="378">
        <v>2.6299999999999999E-5</v>
      </c>
      <c r="AF293" s="378"/>
      <c r="AG293" s="70">
        <v>7153.6832249999989</v>
      </c>
      <c r="AH293" s="70">
        <v>6815.6832249999989</v>
      </c>
      <c r="AI293" s="70">
        <v>6222.6832249999989</v>
      </c>
      <c r="AJ293" s="417">
        <v>0</v>
      </c>
      <c r="AK293" s="417">
        <v>0</v>
      </c>
      <c r="AL293" s="378">
        <v>2.6299999999999999E-5</v>
      </c>
      <c r="AM293" s="378"/>
      <c r="AN293" s="70">
        <v>-1211</v>
      </c>
      <c r="AO293" s="70">
        <v>0</v>
      </c>
      <c r="AP293" s="70">
        <v>0</v>
      </c>
      <c r="AQ293" s="417">
        <v>0</v>
      </c>
      <c r="AR293" s="417">
        <v>0</v>
      </c>
    </row>
    <row r="294" spans="1:44">
      <c r="A294" s="439">
        <v>93101</v>
      </c>
      <c r="B294" s="440" t="s">
        <v>1003</v>
      </c>
      <c r="C294" s="437">
        <v>2.9518999999999999E-3</v>
      </c>
      <c r="D294" s="441"/>
      <c r="E294" s="438">
        <v>2304817.8650249997</v>
      </c>
      <c r="F294" s="442">
        <v>2089411.4648249997</v>
      </c>
      <c r="G294" s="442">
        <v>651329.14042499976</v>
      </c>
      <c r="H294" s="442">
        <v>2622193.4333000001</v>
      </c>
      <c r="I294" s="442">
        <v>0</v>
      </c>
      <c r="J294" s="443">
        <v>0</v>
      </c>
      <c r="K294" s="443"/>
      <c r="L294" s="444">
        <v>475630.79129999998</v>
      </c>
      <c r="M294" s="444">
        <v>195023.17729999998</v>
      </c>
      <c r="N294" s="444">
        <v>-23446.941699999999</v>
      </c>
      <c r="O294" s="444">
        <v>0</v>
      </c>
      <c r="P294" s="417">
        <v>0</v>
      </c>
      <c r="Q294" s="378">
        <v>0</v>
      </c>
      <c r="R294" s="378"/>
      <c r="S294" s="70">
        <v>1156415.6806999999</v>
      </c>
      <c r="T294" s="105">
        <v>1082334.7982999999</v>
      </c>
      <c r="U294" s="70">
        <v>643024.18460000004</v>
      </c>
      <c r="V294" s="70">
        <v>2622193.4333000001</v>
      </c>
      <c r="W294" s="417">
        <v>0</v>
      </c>
      <c r="X294" s="378">
        <v>0</v>
      </c>
      <c r="Z294" s="70">
        <v>830797.49549999996</v>
      </c>
      <c r="AA294" s="70">
        <v>830791.59169999999</v>
      </c>
      <c r="AB294" s="70">
        <v>0</v>
      </c>
      <c r="AC294" s="417">
        <v>0</v>
      </c>
      <c r="AD294" s="417">
        <v>0</v>
      </c>
      <c r="AE294" s="378">
        <v>0</v>
      </c>
      <c r="AF294" s="378"/>
      <c r="AG294" s="70">
        <v>31751.897524999687</v>
      </c>
      <c r="AH294" s="70">
        <v>31751.897524999687</v>
      </c>
      <c r="AI294" s="70">
        <v>31751.897524999687</v>
      </c>
      <c r="AJ294" s="417">
        <v>0</v>
      </c>
      <c r="AK294" s="417">
        <v>0</v>
      </c>
      <c r="AL294" s="378">
        <v>0</v>
      </c>
      <c r="AM294" s="378"/>
      <c r="AN294" s="70">
        <v>-189778</v>
      </c>
      <c r="AO294" s="70">
        <v>-50490</v>
      </c>
      <c r="AP294" s="70">
        <v>0</v>
      </c>
      <c r="AQ294" s="417">
        <v>0</v>
      </c>
      <c r="AR294" s="417">
        <v>0</v>
      </c>
    </row>
    <row r="295" spans="1:44">
      <c r="A295" s="439">
        <v>93103</v>
      </c>
      <c r="B295" s="440" t="s">
        <v>260</v>
      </c>
      <c r="C295" s="437">
        <v>0</v>
      </c>
      <c r="D295" s="441"/>
      <c r="E295" s="438">
        <v>-11330</v>
      </c>
      <c r="F295" s="442">
        <v>-9532</v>
      </c>
      <c r="G295" s="442">
        <v>0</v>
      </c>
      <c r="H295" s="442">
        <v>0</v>
      </c>
      <c r="I295" s="442">
        <v>0</v>
      </c>
      <c r="J295" s="443">
        <v>1.9199999999999999E-5</v>
      </c>
      <c r="K295" s="443"/>
      <c r="L295" s="444">
        <v>0</v>
      </c>
      <c r="M295" s="444">
        <v>0</v>
      </c>
      <c r="N295" s="444">
        <v>0</v>
      </c>
      <c r="O295" s="444">
        <v>0</v>
      </c>
      <c r="P295" s="417">
        <v>0</v>
      </c>
      <c r="Q295" s="378">
        <v>1.9199999999999999E-5</v>
      </c>
      <c r="R295" s="378"/>
      <c r="S295" s="70">
        <v>0</v>
      </c>
      <c r="T295" s="105">
        <v>0</v>
      </c>
      <c r="U295" s="70">
        <v>0</v>
      </c>
      <c r="V295" s="70">
        <v>0</v>
      </c>
      <c r="W295" s="417">
        <v>0</v>
      </c>
      <c r="X295" s="378">
        <v>1.9199999999999999E-5</v>
      </c>
      <c r="Z295" s="70">
        <v>0</v>
      </c>
      <c r="AA295" s="70">
        <v>0</v>
      </c>
      <c r="AB295" s="70">
        <v>0</v>
      </c>
      <c r="AC295" s="417">
        <v>0</v>
      </c>
      <c r="AD295" s="417">
        <v>0</v>
      </c>
      <c r="AE295" s="378">
        <v>1.9199999999999999E-5</v>
      </c>
      <c r="AF295" s="378"/>
      <c r="AG295" s="70">
        <v>0</v>
      </c>
      <c r="AH295" s="70">
        <v>0</v>
      </c>
      <c r="AI295" s="70">
        <v>0</v>
      </c>
      <c r="AJ295" s="417">
        <v>0</v>
      </c>
      <c r="AK295" s="417">
        <v>0</v>
      </c>
      <c r="AL295" s="378">
        <v>1.9199999999999999E-5</v>
      </c>
      <c r="AM295" s="378"/>
      <c r="AN295" s="70">
        <v>-11330</v>
      </c>
      <c r="AO295" s="70">
        <v>-9532</v>
      </c>
      <c r="AP295" s="70">
        <v>0</v>
      </c>
      <c r="AQ295" s="417">
        <v>0</v>
      </c>
      <c r="AR295" s="417">
        <v>0</v>
      </c>
    </row>
    <row r="296" spans="1:44">
      <c r="A296" s="439">
        <v>93108</v>
      </c>
      <c r="B296" s="440" t="s">
        <v>1004</v>
      </c>
      <c r="C296" s="437">
        <v>2.6383000000000001E-3</v>
      </c>
      <c r="D296" s="441"/>
      <c r="E296" s="438">
        <v>2416710.1769250003</v>
      </c>
      <c r="F296" s="442">
        <v>2138641.3255250002</v>
      </c>
      <c r="G296" s="442">
        <v>684689.95472500019</v>
      </c>
      <c r="H296" s="442">
        <v>2343620.3581000003</v>
      </c>
      <c r="I296" s="442">
        <v>0</v>
      </c>
      <c r="J296" s="443">
        <v>3.8999999999999999E-6</v>
      </c>
      <c r="K296" s="443"/>
      <c r="L296" s="444">
        <v>425101.36410000001</v>
      </c>
      <c r="M296" s="444">
        <v>174304.5661</v>
      </c>
      <c r="N296" s="444">
        <v>-20956.016900000002</v>
      </c>
      <c r="O296" s="444">
        <v>0</v>
      </c>
      <c r="P296" s="417">
        <v>0</v>
      </c>
      <c r="Q296" s="378">
        <v>3.8999999999999999E-6</v>
      </c>
      <c r="R296" s="378"/>
      <c r="S296" s="70">
        <v>1033561.9399</v>
      </c>
      <c r="T296" s="105">
        <v>967351.16310000001</v>
      </c>
      <c r="U296" s="70">
        <v>574711.44220000005</v>
      </c>
      <c r="V296" s="70">
        <v>2343620.3581000003</v>
      </c>
      <c r="W296" s="417">
        <v>0</v>
      </c>
      <c r="X296" s="378">
        <v>3.8999999999999999E-6</v>
      </c>
      <c r="Z296" s="70">
        <v>742536.34350000008</v>
      </c>
      <c r="AA296" s="70">
        <v>742531.06689999998</v>
      </c>
      <c r="AB296" s="70">
        <v>0</v>
      </c>
      <c r="AC296" s="417">
        <v>0</v>
      </c>
      <c r="AD296" s="417">
        <v>0</v>
      </c>
      <c r="AE296" s="378">
        <v>3.8999999999999999E-6</v>
      </c>
      <c r="AF296" s="378"/>
      <c r="AG296" s="70">
        <v>254454.52942500019</v>
      </c>
      <c r="AH296" s="70">
        <v>254454.52942500019</v>
      </c>
      <c r="AI296" s="70">
        <v>130934.52942500019</v>
      </c>
      <c r="AJ296" s="417">
        <v>0</v>
      </c>
      <c r="AK296" s="417">
        <v>0</v>
      </c>
      <c r="AL296" s="378">
        <v>3.8999999999999999E-6</v>
      </c>
      <c r="AM296" s="378"/>
      <c r="AN296" s="70">
        <v>-38944</v>
      </c>
      <c r="AO296" s="70">
        <v>0</v>
      </c>
      <c r="AP296" s="70">
        <v>0</v>
      </c>
      <c r="AQ296" s="417">
        <v>0</v>
      </c>
      <c r="AR296" s="417">
        <v>0</v>
      </c>
    </row>
    <row r="297" spans="1:44">
      <c r="A297" s="439">
        <v>93111</v>
      </c>
      <c r="B297" s="440" t="s">
        <v>1005</v>
      </c>
      <c r="C297" s="437">
        <v>6.4200000000000002E-5</v>
      </c>
      <c r="D297" s="441"/>
      <c r="E297" s="438">
        <v>58803.908900000002</v>
      </c>
      <c r="F297" s="442">
        <v>53437.765299999999</v>
      </c>
      <c r="G297" s="442">
        <v>18493.2461</v>
      </c>
      <c r="H297" s="442">
        <v>57029.309399999998</v>
      </c>
      <c r="I297" s="442">
        <v>0</v>
      </c>
      <c r="J297" s="443">
        <v>2.8521000000000002E-3</v>
      </c>
      <c r="K297" s="443"/>
      <c r="L297" s="444">
        <v>10344.3534</v>
      </c>
      <c r="M297" s="444">
        <v>4241.5014000000001</v>
      </c>
      <c r="N297" s="444">
        <v>-509.94060000000002</v>
      </c>
      <c r="O297" s="444">
        <v>0</v>
      </c>
      <c r="P297" s="417">
        <v>0</v>
      </c>
      <c r="Q297" s="378">
        <v>2.8521000000000002E-3</v>
      </c>
      <c r="R297" s="378"/>
      <c r="S297" s="70">
        <v>25150.542600000001</v>
      </c>
      <c r="T297" s="105">
        <v>23539.379400000002</v>
      </c>
      <c r="U297" s="70">
        <v>13984.942800000001</v>
      </c>
      <c r="V297" s="70">
        <v>57029.309399999998</v>
      </c>
      <c r="W297" s="417">
        <v>0</v>
      </c>
      <c r="X297" s="378">
        <v>2.8521000000000002E-3</v>
      </c>
      <c r="Z297" s="70">
        <v>18068.769</v>
      </c>
      <c r="AA297" s="70">
        <v>18068.640599999999</v>
      </c>
      <c r="AB297" s="70">
        <v>0</v>
      </c>
      <c r="AC297" s="417">
        <v>0</v>
      </c>
      <c r="AD297" s="417">
        <v>0</v>
      </c>
      <c r="AE297" s="378">
        <v>2.8521000000000002E-3</v>
      </c>
      <c r="AF297" s="378"/>
      <c r="AG297" s="70">
        <v>7588.2438999999995</v>
      </c>
      <c r="AH297" s="70">
        <v>7588.2438999999995</v>
      </c>
      <c r="AI297" s="70">
        <v>5018.2438999999995</v>
      </c>
      <c r="AJ297" s="417">
        <v>0</v>
      </c>
      <c r="AK297" s="417">
        <v>0</v>
      </c>
      <c r="AL297" s="378">
        <v>2.8521000000000002E-3</v>
      </c>
      <c r="AM297" s="378"/>
      <c r="AN297" s="70">
        <v>-2348</v>
      </c>
      <c r="AO297" s="70">
        <v>0</v>
      </c>
      <c r="AP297" s="70">
        <v>0</v>
      </c>
      <c r="AQ297" s="417">
        <v>0</v>
      </c>
      <c r="AR297" s="417">
        <v>0</v>
      </c>
    </row>
    <row r="298" spans="1:44">
      <c r="A298" s="439">
        <v>93121</v>
      </c>
      <c r="B298" s="440" t="s">
        <v>1006</v>
      </c>
      <c r="C298" s="437">
        <v>4.9100000000000001E-5</v>
      </c>
      <c r="D298" s="441"/>
      <c r="E298" s="438">
        <v>42781.48017499999</v>
      </c>
      <c r="F298" s="442">
        <v>36804.72237499999</v>
      </c>
      <c r="G298" s="442">
        <v>13052.770774999994</v>
      </c>
      <c r="H298" s="442">
        <v>43615.873700000004</v>
      </c>
      <c r="I298" s="442">
        <v>0</v>
      </c>
      <c r="J298" s="443">
        <v>0</v>
      </c>
      <c r="K298" s="443"/>
      <c r="L298" s="444">
        <v>7911.3357000000005</v>
      </c>
      <c r="M298" s="444">
        <v>3243.8897000000002</v>
      </c>
      <c r="N298" s="444">
        <v>-390.00130000000001</v>
      </c>
      <c r="O298" s="444">
        <v>0</v>
      </c>
      <c r="P298" s="417">
        <v>0</v>
      </c>
      <c r="Q298" s="378">
        <v>0</v>
      </c>
      <c r="R298" s="378"/>
      <c r="S298" s="70">
        <v>19235.0723</v>
      </c>
      <c r="T298" s="105">
        <v>18002.858700000001</v>
      </c>
      <c r="U298" s="70">
        <v>10695.6494</v>
      </c>
      <c r="V298" s="70">
        <v>43615.873700000004</v>
      </c>
      <c r="W298" s="417">
        <v>0</v>
      </c>
      <c r="X298" s="378">
        <v>0</v>
      </c>
      <c r="Z298" s="70">
        <v>13818.949500000001</v>
      </c>
      <c r="AA298" s="70">
        <v>13818.8513</v>
      </c>
      <c r="AB298" s="70">
        <v>0</v>
      </c>
      <c r="AC298" s="417">
        <v>0</v>
      </c>
      <c r="AD298" s="417">
        <v>0</v>
      </c>
      <c r="AE298" s="378">
        <v>0</v>
      </c>
      <c r="AF298" s="378"/>
      <c r="AG298" s="70">
        <v>4942.1226749999933</v>
      </c>
      <c r="AH298" s="70">
        <v>2747.1226749999933</v>
      </c>
      <c r="AI298" s="70">
        <v>2747.1226749999933</v>
      </c>
      <c r="AJ298" s="417">
        <v>0</v>
      </c>
      <c r="AK298" s="417">
        <v>0</v>
      </c>
      <c r="AL298" s="378">
        <v>0</v>
      </c>
      <c r="AM298" s="378"/>
      <c r="AN298" s="70">
        <v>-3126</v>
      </c>
      <c r="AO298" s="70">
        <v>-1008</v>
      </c>
      <c r="AP298" s="70">
        <v>0</v>
      </c>
      <c r="AQ298" s="417">
        <v>0</v>
      </c>
      <c r="AR298" s="417">
        <v>0</v>
      </c>
    </row>
    <row r="299" spans="1:44">
      <c r="A299" s="439">
        <v>93127</v>
      </c>
      <c r="B299" s="440" t="s">
        <v>1007</v>
      </c>
      <c r="C299" s="437">
        <v>3.4999999999999999E-6</v>
      </c>
      <c r="D299" s="441"/>
      <c r="E299" s="438">
        <v>2112.5547750000001</v>
      </c>
      <c r="F299" s="442">
        <v>1807.0017750000002</v>
      </c>
      <c r="G299" s="442">
        <v>850.03577500000017</v>
      </c>
      <c r="H299" s="442">
        <v>3109.0745000000002</v>
      </c>
      <c r="I299" s="442">
        <v>0</v>
      </c>
      <c r="J299" s="443">
        <v>2.3987000000000001E-3</v>
      </c>
      <c r="K299" s="443"/>
      <c r="L299" s="444">
        <v>563.94449999999995</v>
      </c>
      <c r="M299" s="444">
        <v>231.2345</v>
      </c>
      <c r="N299" s="444">
        <v>-27.8005</v>
      </c>
      <c r="O299" s="444">
        <v>0</v>
      </c>
      <c r="P299" s="417">
        <v>0</v>
      </c>
      <c r="Q299" s="378">
        <v>2.3987000000000001E-3</v>
      </c>
      <c r="R299" s="378"/>
      <c r="S299" s="70">
        <v>1371.1355000000001</v>
      </c>
      <c r="T299" s="105">
        <v>1283.2995000000001</v>
      </c>
      <c r="U299" s="70">
        <v>762.41899999999998</v>
      </c>
      <c r="V299" s="70">
        <v>3109.0745000000002</v>
      </c>
      <c r="W299" s="417">
        <v>0</v>
      </c>
      <c r="X299" s="378">
        <v>2.3987000000000001E-3</v>
      </c>
      <c r="Z299" s="70">
        <v>985.0575</v>
      </c>
      <c r="AA299" s="70">
        <v>985.05049999999994</v>
      </c>
      <c r="AB299" s="70">
        <v>0</v>
      </c>
      <c r="AC299" s="417">
        <v>0</v>
      </c>
      <c r="AD299" s="417">
        <v>0</v>
      </c>
      <c r="AE299" s="378">
        <v>2.3987000000000001E-3</v>
      </c>
      <c r="AF299" s="378"/>
      <c r="AG299" s="70">
        <v>202.41727500000013</v>
      </c>
      <c r="AH299" s="70">
        <v>115.41727500000013</v>
      </c>
      <c r="AI299" s="70">
        <v>115.41727500000013</v>
      </c>
      <c r="AJ299" s="417">
        <v>0</v>
      </c>
      <c r="AK299" s="417">
        <v>0</v>
      </c>
      <c r="AL299" s="378">
        <v>2.3987000000000001E-3</v>
      </c>
      <c r="AM299" s="378"/>
      <c r="AN299" s="70">
        <v>-1010</v>
      </c>
      <c r="AO299" s="70">
        <v>-808</v>
      </c>
      <c r="AP299" s="70">
        <v>0</v>
      </c>
      <c r="AQ299" s="417">
        <v>0</v>
      </c>
      <c r="AR299" s="417">
        <v>0</v>
      </c>
    </row>
    <row r="300" spans="1:44">
      <c r="A300" s="439">
        <v>93131</v>
      </c>
      <c r="B300" s="440" t="s">
        <v>1008</v>
      </c>
      <c r="C300" s="437">
        <v>1.749E-4</v>
      </c>
      <c r="D300" s="441"/>
      <c r="E300" s="438">
        <v>146755.30352500002</v>
      </c>
      <c r="F300" s="442">
        <v>129301.66932500002</v>
      </c>
      <c r="G300" s="442">
        <v>39769.796925000017</v>
      </c>
      <c r="H300" s="442">
        <v>155364.89429999999</v>
      </c>
      <c r="I300" s="442">
        <v>0</v>
      </c>
      <c r="J300" s="443">
        <v>5.7899999999999998E-5</v>
      </c>
      <c r="K300" s="443"/>
      <c r="L300" s="444">
        <v>28181.112300000001</v>
      </c>
      <c r="M300" s="444">
        <v>11555.1183</v>
      </c>
      <c r="N300" s="444">
        <v>-1389.2307000000001</v>
      </c>
      <c r="O300" s="444">
        <v>0</v>
      </c>
      <c r="P300" s="417">
        <v>0</v>
      </c>
      <c r="Q300" s="378">
        <v>5.7899999999999998E-5</v>
      </c>
      <c r="R300" s="378"/>
      <c r="S300" s="70">
        <v>68517.599699999992</v>
      </c>
      <c r="T300" s="105">
        <v>64128.309300000001</v>
      </c>
      <c r="U300" s="70">
        <v>38099.166599999997</v>
      </c>
      <c r="V300" s="70">
        <v>155364.89429999999</v>
      </c>
      <c r="W300" s="417">
        <v>0</v>
      </c>
      <c r="X300" s="378">
        <v>5.7899999999999998E-5</v>
      </c>
      <c r="Z300" s="70">
        <v>49224.730499999998</v>
      </c>
      <c r="AA300" s="70">
        <v>49224.380700000002</v>
      </c>
      <c r="AB300" s="70">
        <v>0</v>
      </c>
      <c r="AC300" s="417">
        <v>0</v>
      </c>
      <c r="AD300" s="417">
        <v>0</v>
      </c>
      <c r="AE300" s="378">
        <v>5.7899999999999998E-5</v>
      </c>
      <c r="AF300" s="378"/>
      <c r="AG300" s="70">
        <v>4725.8610250000202</v>
      </c>
      <c r="AH300" s="70">
        <v>4393.8610250000202</v>
      </c>
      <c r="AI300" s="70">
        <v>3059.8610250000202</v>
      </c>
      <c r="AJ300" s="417">
        <v>0</v>
      </c>
      <c r="AK300" s="417">
        <v>0</v>
      </c>
      <c r="AL300" s="378">
        <v>5.7899999999999998E-5</v>
      </c>
      <c r="AM300" s="378"/>
      <c r="AN300" s="70">
        <v>-3894</v>
      </c>
      <c r="AO300" s="70">
        <v>0</v>
      </c>
      <c r="AP300" s="70">
        <v>0</v>
      </c>
      <c r="AQ300" s="417">
        <v>0</v>
      </c>
      <c r="AR300" s="417">
        <v>0</v>
      </c>
    </row>
    <row r="301" spans="1:44">
      <c r="A301" s="439">
        <v>93137</v>
      </c>
      <c r="B301" s="440" t="s">
        <v>1009</v>
      </c>
      <c r="C301" s="437">
        <v>6.2999999999999998E-6</v>
      </c>
      <c r="D301" s="441"/>
      <c r="E301" s="438">
        <v>6920.7287250000008</v>
      </c>
      <c r="F301" s="442">
        <v>5788.7333250000001</v>
      </c>
      <c r="G301" s="442">
        <v>1721.7945250000005</v>
      </c>
      <c r="H301" s="442">
        <v>5596.3341</v>
      </c>
      <c r="I301" s="442">
        <v>0</v>
      </c>
      <c r="J301" s="443">
        <v>4.8000000000000001E-5</v>
      </c>
      <c r="K301" s="443"/>
      <c r="L301" s="444">
        <v>1015.1001</v>
      </c>
      <c r="M301" s="444">
        <v>416.22210000000001</v>
      </c>
      <c r="N301" s="444">
        <v>-50.040900000000001</v>
      </c>
      <c r="O301" s="444">
        <v>0</v>
      </c>
      <c r="P301" s="417">
        <v>0</v>
      </c>
      <c r="Q301" s="378">
        <v>4.8000000000000001E-5</v>
      </c>
      <c r="R301" s="378"/>
      <c r="S301" s="70">
        <v>2468.0439000000001</v>
      </c>
      <c r="T301" s="105">
        <v>2309.9391000000001</v>
      </c>
      <c r="U301" s="70">
        <v>1372.3542</v>
      </c>
      <c r="V301" s="70">
        <v>5596.3341</v>
      </c>
      <c r="W301" s="417">
        <v>0</v>
      </c>
      <c r="X301" s="378">
        <v>4.8000000000000001E-5</v>
      </c>
      <c r="Z301" s="70">
        <v>1773.1034999999999</v>
      </c>
      <c r="AA301" s="70">
        <v>1773.0908999999999</v>
      </c>
      <c r="AB301" s="70">
        <v>0</v>
      </c>
      <c r="AC301" s="417">
        <v>0</v>
      </c>
      <c r="AD301" s="417">
        <v>0</v>
      </c>
      <c r="AE301" s="378">
        <v>4.8000000000000001E-5</v>
      </c>
      <c r="AF301" s="378"/>
      <c r="AG301" s="70">
        <v>1664.4812250000004</v>
      </c>
      <c r="AH301" s="70">
        <v>1289.4812250000004</v>
      </c>
      <c r="AI301" s="70">
        <v>399.48122500000045</v>
      </c>
      <c r="AJ301" s="417">
        <v>0</v>
      </c>
      <c r="AK301" s="417">
        <v>0</v>
      </c>
      <c r="AL301" s="378">
        <v>4.8000000000000001E-5</v>
      </c>
      <c r="AM301" s="378"/>
      <c r="AN301" s="70">
        <v>0</v>
      </c>
      <c r="AO301" s="70">
        <v>0</v>
      </c>
      <c r="AP301" s="70">
        <v>0</v>
      </c>
      <c r="AQ301" s="417">
        <v>0</v>
      </c>
      <c r="AR301" s="417">
        <v>0</v>
      </c>
    </row>
    <row r="302" spans="1:44">
      <c r="A302" s="439">
        <v>93141</v>
      </c>
      <c r="B302" s="440" t="s">
        <v>1010</v>
      </c>
      <c r="C302" s="437">
        <v>3.6900000000000002E-5</v>
      </c>
      <c r="D302" s="441"/>
      <c r="E302" s="438">
        <v>33162.413525000011</v>
      </c>
      <c r="F302" s="442">
        <v>26796.583325000007</v>
      </c>
      <c r="G302" s="442">
        <v>10726.798925000005</v>
      </c>
      <c r="H302" s="442">
        <v>32778.528300000005</v>
      </c>
      <c r="I302" s="442">
        <v>0</v>
      </c>
      <c r="J302" s="443">
        <v>4.1999999999999996E-6</v>
      </c>
      <c r="K302" s="443"/>
      <c r="L302" s="444">
        <v>5945.5863000000008</v>
      </c>
      <c r="M302" s="444">
        <v>2437.8723</v>
      </c>
      <c r="N302" s="444">
        <v>-293.0967</v>
      </c>
      <c r="O302" s="444">
        <v>0</v>
      </c>
      <c r="P302" s="417">
        <v>0</v>
      </c>
      <c r="Q302" s="378">
        <v>4.1999999999999996E-6</v>
      </c>
      <c r="R302" s="378"/>
      <c r="S302" s="70">
        <v>14455.685700000002</v>
      </c>
      <c r="T302" s="105">
        <v>13529.643300000002</v>
      </c>
      <c r="U302" s="70">
        <v>8038.0746000000008</v>
      </c>
      <c r="V302" s="70">
        <v>32778.528300000005</v>
      </c>
      <c r="W302" s="417">
        <v>0</v>
      </c>
      <c r="X302" s="378">
        <v>4.1999999999999996E-6</v>
      </c>
      <c r="Z302" s="70">
        <v>10385.3205</v>
      </c>
      <c r="AA302" s="70">
        <v>10385.246700000002</v>
      </c>
      <c r="AB302" s="70">
        <v>0</v>
      </c>
      <c r="AC302" s="417">
        <v>0</v>
      </c>
      <c r="AD302" s="417">
        <v>0</v>
      </c>
      <c r="AE302" s="378">
        <v>4.1999999999999996E-6</v>
      </c>
      <c r="AF302" s="378"/>
      <c r="AG302" s="70">
        <v>4913.8210250000038</v>
      </c>
      <c r="AH302" s="70">
        <v>2981.8210250000038</v>
      </c>
      <c r="AI302" s="70">
        <v>2981.8210250000038</v>
      </c>
      <c r="AJ302" s="417">
        <v>0</v>
      </c>
      <c r="AK302" s="417">
        <v>0</v>
      </c>
      <c r="AL302" s="378">
        <v>4.1999999999999996E-6</v>
      </c>
      <c r="AM302" s="378"/>
      <c r="AN302" s="70">
        <v>-2538</v>
      </c>
      <c r="AO302" s="70">
        <v>-2538</v>
      </c>
      <c r="AP302" s="70">
        <v>0</v>
      </c>
      <c r="AQ302" s="417">
        <v>0</v>
      </c>
      <c r="AR302" s="417">
        <v>0</v>
      </c>
    </row>
    <row r="303" spans="1:44">
      <c r="A303" s="439">
        <v>93151</v>
      </c>
      <c r="B303" s="440" t="s">
        <v>1011</v>
      </c>
      <c r="C303" s="437">
        <v>3.8049999999999998E-4</v>
      </c>
      <c r="D303" s="441"/>
      <c r="E303" s="438">
        <v>318336.34902499994</v>
      </c>
      <c r="F303" s="442">
        <v>281136.230025</v>
      </c>
      <c r="G303" s="442">
        <v>87320.212024999986</v>
      </c>
      <c r="H303" s="442">
        <v>338000.81349999999</v>
      </c>
      <c r="I303" s="442">
        <v>0</v>
      </c>
      <c r="J303" s="443">
        <v>1.706E-4</v>
      </c>
      <c r="K303" s="443"/>
      <c r="L303" s="444">
        <v>61308.823499999999</v>
      </c>
      <c r="M303" s="444">
        <v>25138.493499999997</v>
      </c>
      <c r="N303" s="444">
        <v>-3022.3114999999998</v>
      </c>
      <c r="O303" s="444">
        <v>0</v>
      </c>
      <c r="P303" s="417">
        <v>0</v>
      </c>
      <c r="Q303" s="378">
        <v>1.706E-4</v>
      </c>
      <c r="R303" s="378"/>
      <c r="S303" s="70">
        <v>149062.0165</v>
      </c>
      <c r="T303" s="105">
        <v>139512.98850000001</v>
      </c>
      <c r="U303" s="70">
        <v>82885.837</v>
      </c>
      <c r="V303" s="70">
        <v>338000.81349999999</v>
      </c>
      <c r="W303" s="417">
        <v>0</v>
      </c>
      <c r="X303" s="378">
        <v>1.706E-4</v>
      </c>
      <c r="Z303" s="70">
        <v>107089.82249999999</v>
      </c>
      <c r="AA303" s="70">
        <v>107089.0615</v>
      </c>
      <c r="AB303" s="70">
        <v>0</v>
      </c>
      <c r="AC303" s="417">
        <v>0</v>
      </c>
      <c r="AD303" s="417">
        <v>0</v>
      </c>
      <c r="AE303" s="378">
        <v>1.706E-4</v>
      </c>
      <c r="AF303" s="378"/>
      <c r="AG303" s="70">
        <v>13902.686524999983</v>
      </c>
      <c r="AH303" s="70">
        <v>9395.6865249999828</v>
      </c>
      <c r="AI303" s="70">
        <v>7456.6865249999828</v>
      </c>
      <c r="AJ303" s="417">
        <v>0</v>
      </c>
      <c r="AK303" s="417">
        <v>0</v>
      </c>
      <c r="AL303" s="378">
        <v>1.706E-4</v>
      </c>
      <c r="AM303" s="378"/>
      <c r="AN303" s="70">
        <v>-13027</v>
      </c>
      <c r="AO303" s="70">
        <v>0</v>
      </c>
      <c r="AP303" s="70">
        <v>0</v>
      </c>
      <c r="AQ303" s="417">
        <v>0</v>
      </c>
      <c r="AR303" s="417">
        <v>0</v>
      </c>
    </row>
    <row r="304" spans="1:44">
      <c r="A304" s="439">
        <v>93157</v>
      </c>
      <c r="B304" s="440" t="s">
        <v>1012</v>
      </c>
      <c r="C304" s="437">
        <v>2.05E-5</v>
      </c>
      <c r="D304" s="441"/>
      <c r="E304" s="438">
        <v>24432.238225000001</v>
      </c>
      <c r="F304" s="442">
        <v>18560.999225</v>
      </c>
      <c r="G304" s="442">
        <v>10121.341224999998</v>
      </c>
      <c r="H304" s="442">
        <v>18210.2935</v>
      </c>
      <c r="I304" s="442">
        <v>0</v>
      </c>
      <c r="J304" s="443">
        <v>6.1E-6</v>
      </c>
      <c r="K304" s="443"/>
      <c r="L304" s="444">
        <v>3303.1035000000002</v>
      </c>
      <c r="M304" s="444">
        <v>1354.3734999999999</v>
      </c>
      <c r="N304" s="444">
        <v>-162.83150000000001</v>
      </c>
      <c r="O304" s="444">
        <v>0</v>
      </c>
      <c r="P304" s="417">
        <v>0</v>
      </c>
      <c r="Q304" s="378">
        <v>6.1E-6</v>
      </c>
      <c r="R304" s="378"/>
      <c r="S304" s="70">
        <v>8030.9364999999998</v>
      </c>
      <c r="T304" s="105">
        <v>7516.4684999999999</v>
      </c>
      <c r="U304" s="70">
        <v>4465.5969999999998</v>
      </c>
      <c r="V304" s="70">
        <v>18210.2935</v>
      </c>
      <c r="W304" s="417">
        <v>0</v>
      </c>
      <c r="X304" s="378">
        <v>6.1E-6</v>
      </c>
      <c r="Z304" s="70">
        <v>5769.6225000000004</v>
      </c>
      <c r="AA304" s="70">
        <v>5769.5815000000002</v>
      </c>
      <c r="AB304" s="70">
        <v>0</v>
      </c>
      <c r="AC304" s="417">
        <v>0</v>
      </c>
      <c r="AD304" s="417">
        <v>0</v>
      </c>
      <c r="AE304" s="378">
        <v>6.1E-6</v>
      </c>
      <c r="AF304" s="378"/>
      <c r="AG304" s="70">
        <v>9226.5757249999988</v>
      </c>
      <c r="AH304" s="70">
        <v>5818.5757249999988</v>
      </c>
      <c r="AI304" s="70">
        <v>5818.5757249999988</v>
      </c>
      <c r="AJ304" s="417">
        <v>0</v>
      </c>
      <c r="AK304" s="417">
        <v>0</v>
      </c>
      <c r="AL304" s="378">
        <v>6.1E-6</v>
      </c>
      <c r="AM304" s="378"/>
      <c r="AN304" s="70">
        <v>-1898</v>
      </c>
      <c r="AO304" s="70">
        <v>-1898</v>
      </c>
      <c r="AP304" s="70">
        <v>0</v>
      </c>
      <c r="AQ304" s="417">
        <v>0</v>
      </c>
      <c r="AR304" s="417">
        <v>0</v>
      </c>
    </row>
    <row r="305" spans="1:44">
      <c r="A305" s="439">
        <v>93161</v>
      </c>
      <c r="B305" s="440" t="s">
        <v>1013</v>
      </c>
      <c r="C305" s="437">
        <v>8.1500000000000002E-5</v>
      </c>
      <c r="D305" s="441"/>
      <c r="E305" s="438">
        <v>46020.070475000008</v>
      </c>
      <c r="F305" s="442">
        <v>43397.193475000007</v>
      </c>
      <c r="G305" s="442">
        <v>7807.6994750000049</v>
      </c>
      <c r="H305" s="442">
        <v>72397.020499999999</v>
      </c>
      <c r="I305" s="442">
        <v>0</v>
      </c>
      <c r="J305" s="443">
        <v>3.26E-5</v>
      </c>
      <c r="K305" s="443"/>
      <c r="L305" s="444">
        <v>13131.8505</v>
      </c>
      <c r="M305" s="444">
        <v>5384.4605000000001</v>
      </c>
      <c r="N305" s="444">
        <v>-647.35450000000003</v>
      </c>
      <c r="O305" s="444">
        <v>0</v>
      </c>
      <c r="P305" s="417">
        <v>0</v>
      </c>
      <c r="Q305" s="378">
        <v>3.26E-5</v>
      </c>
      <c r="R305" s="378"/>
      <c r="S305" s="70">
        <v>31927.869500000001</v>
      </c>
      <c r="T305" s="105">
        <v>29882.5455</v>
      </c>
      <c r="U305" s="70">
        <v>17753.471000000001</v>
      </c>
      <c r="V305" s="70">
        <v>72397.020499999999</v>
      </c>
      <c r="W305" s="417">
        <v>0</v>
      </c>
      <c r="X305" s="378">
        <v>3.26E-5</v>
      </c>
      <c r="Z305" s="70">
        <v>22937.767500000002</v>
      </c>
      <c r="AA305" s="70">
        <v>22937.604500000001</v>
      </c>
      <c r="AB305" s="70">
        <v>0</v>
      </c>
      <c r="AC305" s="417">
        <v>0</v>
      </c>
      <c r="AD305" s="417">
        <v>0</v>
      </c>
      <c r="AE305" s="378">
        <v>3.26E-5</v>
      </c>
      <c r="AF305" s="378"/>
      <c r="AG305" s="70">
        <v>1010</v>
      </c>
      <c r="AH305" s="70">
        <v>0</v>
      </c>
      <c r="AI305" s="70">
        <v>0</v>
      </c>
      <c r="AJ305" s="417">
        <v>0</v>
      </c>
      <c r="AK305" s="417">
        <v>0</v>
      </c>
      <c r="AL305" s="378">
        <v>3.26E-5</v>
      </c>
      <c r="AM305" s="378"/>
      <c r="AN305" s="70">
        <v>-22987.417024999995</v>
      </c>
      <c r="AO305" s="70">
        <v>-14807.417024999995</v>
      </c>
      <c r="AP305" s="70">
        <v>-9298.4170249999952</v>
      </c>
      <c r="AQ305" s="417">
        <v>0</v>
      </c>
      <c r="AR305" s="417">
        <v>0</v>
      </c>
    </row>
    <row r="306" spans="1:44">
      <c r="A306" s="439">
        <v>93171</v>
      </c>
      <c r="B306" s="440" t="s">
        <v>1014</v>
      </c>
      <c r="C306" s="437">
        <v>7.7000000000000008E-6</v>
      </c>
      <c r="D306" s="441"/>
      <c r="E306" s="438">
        <v>8831.9740750000019</v>
      </c>
      <c r="F306" s="442">
        <v>4910.7574750000003</v>
      </c>
      <c r="G306" s="442">
        <v>192.83227500000089</v>
      </c>
      <c r="H306" s="442">
        <v>6839.9639000000006</v>
      </c>
      <c r="I306" s="442">
        <v>0</v>
      </c>
      <c r="J306" s="443">
        <v>3.6019999999999997E-4</v>
      </c>
      <c r="K306" s="443"/>
      <c r="L306" s="444">
        <v>1240.6779000000001</v>
      </c>
      <c r="M306" s="444">
        <v>508.71590000000003</v>
      </c>
      <c r="N306" s="444">
        <v>-61.161100000000005</v>
      </c>
      <c r="O306" s="444">
        <v>0</v>
      </c>
      <c r="P306" s="417">
        <v>0</v>
      </c>
      <c r="Q306" s="378">
        <v>3.6019999999999997E-4</v>
      </c>
      <c r="R306" s="378"/>
      <c r="S306" s="70">
        <v>3016.4981000000002</v>
      </c>
      <c r="T306" s="105">
        <v>2823.2589000000003</v>
      </c>
      <c r="U306" s="70">
        <v>1677.3218000000002</v>
      </c>
      <c r="V306" s="70">
        <v>6839.9639000000006</v>
      </c>
      <c r="W306" s="417">
        <v>0</v>
      </c>
      <c r="X306" s="378">
        <v>3.6019999999999997E-4</v>
      </c>
      <c r="Z306" s="70">
        <v>2167.1265000000003</v>
      </c>
      <c r="AA306" s="70">
        <v>2167.1111000000001</v>
      </c>
      <c r="AB306" s="70">
        <v>0</v>
      </c>
      <c r="AC306" s="417">
        <v>0</v>
      </c>
      <c r="AD306" s="417">
        <v>0</v>
      </c>
      <c r="AE306" s="378">
        <v>3.6019999999999997E-4</v>
      </c>
      <c r="AF306" s="378"/>
      <c r="AG306" s="70">
        <v>3831</v>
      </c>
      <c r="AH306" s="70">
        <v>835</v>
      </c>
      <c r="AI306" s="70">
        <v>0</v>
      </c>
      <c r="AJ306" s="417">
        <v>0</v>
      </c>
      <c r="AK306" s="417">
        <v>0</v>
      </c>
      <c r="AL306" s="378">
        <v>3.6019999999999997E-4</v>
      </c>
      <c r="AM306" s="378"/>
      <c r="AN306" s="70">
        <v>-1423.3284249999992</v>
      </c>
      <c r="AO306" s="70">
        <v>-1423.3284249999992</v>
      </c>
      <c r="AP306" s="70">
        <v>-1423.3284249999992</v>
      </c>
      <c r="AQ306" s="417">
        <v>0</v>
      </c>
      <c r="AR306" s="417">
        <v>0</v>
      </c>
    </row>
    <row r="307" spans="1:44">
      <c r="A307" s="439">
        <v>93181</v>
      </c>
      <c r="B307" s="440" t="s">
        <v>1015</v>
      </c>
      <c r="C307" s="437">
        <v>1.5E-5</v>
      </c>
      <c r="D307" s="441"/>
      <c r="E307" s="438">
        <v>15776.411950000002</v>
      </c>
      <c r="F307" s="442">
        <v>13784.041950000003</v>
      </c>
      <c r="G307" s="442">
        <v>5400.9019500000013</v>
      </c>
      <c r="H307" s="442">
        <v>13324.605</v>
      </c>
      <c r="I307" s="442">
        <v>0</v>
      </c>
      <c r="J307" s="443">
        <v>8.8000000000000004E-6</v>
      </c>
      <c r="K307" s="443"/>
      <c r="L307" s="444">
        <v>2416.9050000000002</v>
      </c>
      <c r="M307" s="444">
        <v>991.005</v>
      </c>
      <c r="N307" s="444">
        <v>-119.145</v>
      </c>
      <c r="O307" s="444">
        <v>0</v>
      </c>
      <c r="P307" s="417">
        <v>0</v>
      </c>
      <c r="Q307" s="378">
        <v>8.8000000000000004E-6</v>
      </c>
      <c r="R307" s="378"/>
      <c r="S307" s="70">
        <v>5876.2950000000001</v>
      </c>
      <c r="T307" s="105">
        <v>5499.8550000000005</v>
      </c>
      <c r="U307" s="70">
        <v>3267.51</v>
      </c>
      <c r="V307" s="70">
        <v>13324.605</v>
      </c>
      <c r="W307" s="417">
        <v>0</v>
      </c>
      <c r="X307" s="378">
        <v>8.8000000000000004E-6</v>
      </c>
      <c r="Z307" s="70">
        <v>4221.6750000000002</v>
      </c>
      <c r="AA307" s="70">
        <v>4221.6450000000004</v>
      </c>
      <c r="AB307" s="70">
        <v>0</v>
      </c>
      <c r="AC307" s="417">
        <v>0</v>
      </c>
      <c r="AD307" s="417">
        <v>0</v>
      </c>
      <c r="AE307" s="378">
        <v>8.8000000000000004E-6</v>
      </c>
      <c r="AF307" s="378"/>
      <c r="AG307" s="70">
        <v>3261.5369500000011</v>
      </c>
      <c r="AH307" s="70">
        <v>3071.5369500000011</v>
      </c>
      <c r="AI307" s="70">
        <v>2252.5369500000011</v>
      </c>
      <c r="AJ307" s="417">
        <v>0</v>
      </c>
      <c r="AK307" s="417">
        <v>0</v>
      </c>
      <c r="AL307" s="378">
        <v>8.8000000000000004E-6</v>
      </c>
      <c r="AM307" s="378"/>
      <c r="AN307" s="70">
        <v>0</v>
      </c>
      <c r="AO307" s="70">
        <v>0</v>
      </c>
      <c r="AP307" s="70">
        <v>0</v>
      </c>
      <c r="AQ307" s="417">
        <v>0</v>
      </c>
      <c r="AR307" s="417">
        <v>0</v>
      </c>
    </row>
    <row r="308" spans="1:44">
      <c r="A308" s="439">
        <v>93191</v>
      </c>
      <c r="B308" s="440" t="s">
        <v>1016</v>
      </c>
      <c r="C308" s="437">
        <v>3.1000000000000001E-5</v>
      </c>
      <c r="D308" s="441"/>
      <c r="E308" s="438">
        <v>36319.522349999999</v>
      </c>
      <c r="F308" s="442">
        <v>27606.624349999998</v>
      </c>
      <c r="G308" s="442">
        <v>11610.068349999998</v>
      </c>
      <c r="H308" s="442">
        <v>27537.517</v>
      </c>
      <c r="I308" s="442">
        <v>0</v>
      </c>
      <c r="J308" s="443">
        <v>9.7800000000000006E-5</v>
      </c>
      <c r="K308" s="443"/>
      <c r="L308" s="444">
        <v>4994.9369999999999</v>
      </c>
      <c r="M308" s="444">
        <v>2048.0770000000002</v>
      </c>
      <c r="N308" s="444">
        <v>-246.233</v>
      </c>
      <c r="O308" s="444">
        <v>0</v>
      </c>
      <c r="P308" s="417">
        <v>0</v>
      </c>
      <c r="Q308" s="378">
        <v>9.7800000000000006E-5</v>
      </c>
      <c r="R308" s="378"/>
      <c r="S308" s="70">
        <v>12144.343000000001</v>
      </c>
      <c r="T308" s="105">
        <v>11366.367</v>
      </c>
      <c r="U308" s="70">
        <v>6752.8540000000003</v>
      </c>
      <c r="V308" s="70">
        <v>27537.517</v>
      </c>
      <c r="W308" s="417">
        <v>0</v>
      </c>
      <c r="X308" s="378">
        <v>9.7800000000000006E-5</v>
      </c>
      <c r="Z308" s="70">
        <v>8724.7950000000001</v>
      </c>
      <c r="AA308" s="70">
        <v>8724.7330000000002</v>
      </c>
      <c r="AB308" s="70">
        <v>0</v>
      </c>
      <c r="AC308" s="417">
        <v>0</v>
      </c>
      <c r="AD308" s="417">
        <v>0</v>
      </c>
      <c r="AE308" s="378">
        <v>9.7800000000000006E-5</v>
      </c>
      <c r="AF308" s="378"/>
      <c r="AG308" s="70">
        <v>10455.447349999999</v>
      </c>
      <c r="AH308" s="70">
        <v>5467.4473499999986</v>
      </c>
      <c r="AI308" s="70">
        <v>5103.4473499999986</v>
      </c>
      <c r="AJ308" s="417">
        <v>0</v>
      </c>
      <c r="AK308" s="417">
        <v>0</v>
      </c>
      <c r="AL308" s="378">
        <v>9.7800000000000006E-5</v>
      </c>
      <c r="AM308" s="378"/>
      <c r="AN308" s="70">
        <v>0</v>
      </c>
      <c r="AO308" s="70">
        <v>0</v>
      </c>
      <c r="AP308" s="70">
        <v>0</v>
      </c>
      <c r="AQ308" s="417">
        <v>0</v>
      </c>
      <c r="AR308" s="417">
        <v>0</v>
      </c>
    </row>
    <row r="309" spans="1:44">
      <c r="A309" s="439">
        <v>93201</v>
      </c>
      <c r="B309" s="440" t="s">
        <v>1017</v>
      </c>
      <c r="C309" s="437">
        <v>1.48722E-2</v>
      </c>
      <c r="D309" s="441"/>
      <c r="E309" s="438">
        <v>12201081.9153</v>
      </c>
      <c r="F309" s="442">
        <v>10584838.107700001</v>
      </c>
      <c r="G309" s="442">
        <v>2892548.5804999997</v>
      </c>
      <c r="H309" s="442">
        <v>13211079.3654</v>
      </c>
      <c r="I309" s="442">
        <v>0</v>
      </c>
      <c r="J309" s="443">
        <v>1.03E-5</v>
      </c>
      <c r="K309" s="443"/>
      <c r="L309" s="444">
        <v>2396312.9693999998</v>
      </c>
      <c r="M309" s="444">
        <v>982561.63740000001</v>
      </c>
      <c r="N309" s="444">
        <v>-118129.8846</v>
      </c>
      <c r="O309" s="444">
        <v>0</v>
      </c>
      <c r="P309" s="417">
        <v>0</v>
      </c>
      <c r="Q309" s="378">
        <v>1.03E-5</v>
      </c>
      <c r="R309" s="378"/>
      <c r="S309" s="70">
        <v>5826228.9665999999</v>
      </c>
      <c r="T309" s="105">
        <v>5452996.2354000006</v>
      </c>
      <c r="U309" s="70">
        <v>3239670.8148000003</v>
      </c>
      <c r="V309" s="70">
        <v>13211079.3654</v>
      </c>
      <c r="W309" s="417">
        <v>0</v>
      </c>
      <c r="X309" s="378">
        <v>1.03E-5</v>
      </c>
      <c r="Z309" s="70">
        <v>4185706.3289999999</v>
      </c>
      <c r="AA309" s="70">
        <v>4185676.5846000002</v>
      </c>
      <c r="AB309" s="70">
        <v>0</v>
      </c>
      <c r="AC309" s="417">
        <v>0</v>
      </c>
      <c r="AD309" s="417">
        <v>0</v>
      </c>
      <c r="AE309" s="378">
        <v>1.03E-5</v>
      </c>
      <c r="AF309" s="378"/>
      <c r="AG309" s="70">
        <v>192596</v>
      </c>
      <c r="AH309" s="70">
        <v>192596</v>
      </c>
      <c r="AI309" s="70">
        <v>0</v>
      </c>
      <c r="AJ309" s="417">
        <v>0</v>
      </c>
      <c r="AK309" s="417">
        <v>0</v>
      </c>
      <c r="AL309" s="378">
        <v>1.03E-5</v>
      </c>
      <c r="AM309" s="378"/>
      <c r="AN309" s="70">
        <v>-399762.3497000006</v>
      </c>
      <c r="AO309" s="70">
        <v>-228992.3497000006</v>
      </c>
      <c r="AP309" s="70">
        <v>-228992.3497000006</v>
      </c>
      <c r="AQ309" s="417">
        <v>0</v>
      </c>
      <c r="AR309" s="417">
        <v>0</v>
      </c>
    </row>
    <row r="310" spans="1:44">
      <c r="A310" s="439">
        <v>93204</v>
      </c>
      <c r="B310" s="440" t="s">
        <v>1019</v>
      </c>
      <c r="C310" s="437">
        <v>2.8830000000000001E-4</v>
      </c>
      <c r="D310" s="441"/>
      <c r="E310" s="438">
        <v>260398.93127499998</v>
      </c>
      <c r="F310" s="442">
        <v>235686.37987500001</v>
      </c>
      <c r="G310" s="442">
        <v>61220.609074999986</v>
      </c>
      <c r="H310" s="442">
        <v>256098.9081</v>
      </c>
      <c r="I310" s="442">
        <v>0</v>
      </c>
      <c r="J310" s="443">
        <v>1.06E-5</v>
      </c>
      <c r="K310" s="443"/>
      <c r="L310" s="444">
        <v>46452.914100000002</v>
      </c>
      <c r="M310" s="444">
        <v>19047.116099999999</v>
      </c>
      <c r="N310" s="444">
        <v>-2289.9668999999999</v>
      </c>
      <c r="O310" s="444">
        <v>0</v>
      </c>
      <c r="P310" s="417">
        <v>0</v>
      </c>
      <c r="Q310" s="378">
        <v>1.06E-5</v>
      </c>
      <c r="R310" s="378"/>
      <c r="S310" s="70">
        <v>112942.38990000001</v>
      </c>
      <c r="T310" s="105">
        <v>105707.21310000001</v>
      </c>
      <c r="U310" s="70">
        <v>62801.542200000004</v>
      </c>
      <c r="V310" s="70">
        <v>256098.9081</v>
      </c>
      <c r="W310" s="417">
        <v>0</v>
      </c>
      <c r="X310" s="378">
        <v>1.06E-5</v>
      </c>
      <c r="Z310" s="70">
        <v>81140.593500000003</v>
      </c>
      <c r="AA310" s="70">
        <v>81140.016900000002</v>
      </c>
      <c r="AB310" s="70">
        <v>0</v>
      </c>
      <c r="AC310" s="417">
        <v>0</v>
      </c>
      <c r="AD310" s="417">
        <v>0</v>
      </c>
      <c r="AE310" s="378">
        <v>1.06E-5</v>
      </c>
      <c r="AF310" s="378"/>
      <c r="AG310" s="70">
        <v>29792.033774999982</v>
      </c>
      <c r="AH310" s="70">
        <v>29792.033774999982</v>
      </c>
      <c r="AI310" s="70">
        <v>709.03377499998169</v>
      </c>
      <c r="AJ310" s="417">
        <v>0</v>
      </c>
      <c r="AK310" s="417">
        <v>0</v>
      </c>
      <c r="AL310" s="378">
        <v>1.06E-5</v>
      </c>
      <c r="AM310" s="378"/>
      <c r="AN310" s="70">
        <v>-9929</v>
      </c>
      <c r="AO310" s="70">
        <v>0</v>
      </c>
      <c r="AP310" s="70">
        <v>0</v>
      </c>
      <c r="AQ310" s="417">
        <v>0</v>
      </c>
      <c r="AR310" s="417">
        <v>0</v>
      </c>
    </row>
    <row r="311" spans="1:44">
      <c r="A311" s="439">
        <v>93209</v>
      </c>
      <c r="B311" s="440" t="s">
        <v>3722</v>
      </c>
      <c r="C311" s="437">
        <v>6.9506999999999998E-3</v>
      </c>
      <c r="D311" s="441"/>
      <c r="E311" s="438">
        <v>6531035.8747249991</v>
      </c>
      <c r="F311" s="442">
        <v>5845251.6641249992</v>
      </c>
      <c r="G311" s="442">
        <v>2181226.4709249996</v>
      </c>
      <c r="H311" s="442">
        <v>6174355.4649</v>
      </c>
      <c r="I311" s="442">
        <v>0</v>
      </c>
      <c r="J311" s="443">
        <v>2.48E-5</v>
      </c>
      <c r="K311" s="443"/>
      <c r="L311" s="444">
        <v>1119945.4389</v>
      </c>
      <c r="M311" s="444">
        <v>459211.89689999999</v>
      </c>
      <c r="N311" s="444">
        <v>-55209.410100000001</v>
      </c>
      <c r="O311" s="444">
        <v>0</v>
      </c>
      <c r="P311" s="417">
        <v>0</v>
      </c>
      <c r="Q311" s="378">
        <v>2.48E-5</v>
      </c>
      <c r="R311" s="378"/>
      <c r="S311" s="70">
        <v>2722957.5770999999</v>
      </c>
      <c r="T311" s="105">
        <v>2548522.8098999998</v>
      </c>
      <c r="U311" s="70">
        <v>1514098.7837999999</v>
      </c>
      <c r="V311" s="70">
        <v>6174355.4649</v>
      </c>
      <c r="W311" s="417">
        <v>0</v>
      </c>
      <c r="X311" s="378">
        <v>2.48E-5</v>
      </c>
      <c r="Z311" s="70">
        <v>1956239.7615</v>
      </c>
      <c r="AA311" s="70">
        <v>1956225.8600999999</v>
      </c>
      <c r="AB311" s="70">
        <v>0</v>
      </c>
      <c r="AC311" s="417">
        <v>0</v>
      </c>
      <c r="AD311" s="417">
        <v>0</v>
      </c>
      <c r="AE311" s="378">
        <v>2.48E-5</v>
      </c>
      <c r="AF311" s="378"/>
      <c r="AG311" s="70">
        <v>905383.09722499968</v>
      </c>
      <c r="AH311" s="70">
        <v>881291.09722499968</v>
      </c>
      <c r="AI311" s="70">
        <v>722337.09722499968</v>
      </c>
      <c r="AJ311" s="417">
        <v>0</v>
      </c>
      <c r="AK311" s="417">
        <v>0</v>
      </c>
      <c r="AL311" s="378">
        <v>2.48E-5</v>
      </c>
      <c r="AM311" s="378"/>
      <c r="AN311" s="70">
        <v>-173490</v>
      </c>
      <c r="AO311" s="70">
        <v>0</v>
      </c>
      <c r="AP311" s="70">
        <v>0</v>
      </c>
      <c r="AQ311" s="417">
        <v>0</v>
      </c>
      <c r="AR311" s="417">
        <v>0</v>
      </c>
    </row>
    <row r="312" spans="1:44">
      <c r="A312" s="439">
        <v>93211</v>
      </c>
      <c r="B312" s="440" t="s">
        <v>1021</v>
      </c>
      <c r="C312" s="437">
        <v>2.2072499999999998E-2</v>
      </c>
      <c r="D312" s="441"/>
      <c r="E312" s="438">
        <v>18518864.658574998</v>
      </c>
      <c r="F312" s="442">
        <v>15475982.203574996</v>
      </c>
      <c r="G312" s="442">
        <v>4310526.1935749985</v>
      </c>
      <c r="H312" s="442">
        <v>19607156.2575</v>
      </c>
      <c r="I312" s="442">
        <v>0</v>
      </c>
      <c r="J312" s="443">
        <v>1.54521E-2</v>
      </c>
      <c r="K312" s="443"/>
      <c r="L312" s="444">
        <v>3556475.7074999996</v>
      </c>
      <c r="M312" s="444">
        <v>1458263.8574999999</v>
      </c>
      <c r="N312" s="444">
        <v>-175321.86749999999</v>
      </c>
      <c r="O312" s="444">
        <v>0</v>
      </c>
      <c r="P312" s="417">
        <v>0</v>
      </c>
      <c r="Q312" s="378">
        <v>1.54521E-2</v>
      </c>
      <c r="R312" s="378"/>
      <c r="S312" s="70">
        <v>8646968.0924999993</v>
      </c>
      <c r="T312" s="105">
        <v>8093036.6324999994</v>
      </c>
      <c r="U312" s="70">
        <v>4808140.9649999999</v>
      </c>
      <c r="V312" s="70">
        <v>19607156.2575</v>
      </c>
      <c r="W312" s="417">
        <v>0</v>
      </c>
      <c r="X312" s="378">
        <v>1.54521E-2</v>
      </c>
      <c r="Z312" s="70">
        <v>6212194.7624999993</v>
      </c>
      <c r="AA312" s="70">
        <v>6212150.6174999997</v>
      </c>
      <c r="AB312" s="70">
        <v>0</v>
      </c>
      <c r="AC312" s="417">
        <v>0</v>
      </c>
      <c r="AD312" s="417">
        <v>0</v>
      </c>
      <c r="AE312" s="378">
        <v>1.54521E-2</v>
      </c>
      <c r="AF312" s="378"/>
      <c r="AG312" s="70">
        <v>425519</v>
      </c>
      <c r="AH312" s="70">
        <v>34824</v>
      </c>
      <c r="AI312" s="70">
        <v>0</v>
      </c>
      <c r="AJ312" s="417">
        <v>0</v>
      </c>
      <c r="AK312" s="417">
        <v>0</v>
      </c>
      <c r="AL312" s="378">
        <v>1.54521E-2</v>
      </c>
      <c r="AM312" s="378"/>
      <c r="AN312" s="70">
        <v>-322292.90392500162</v>
      </c>
      <c r="AO312" s="70">
        <v>-322292.90392500162</v>
      </c>
      <c r="AP312" s="70">
        <v>-322292.90392500162</v>
      </c>
      <c r="AQ312" s="417">
        <v>0</v>
      </c>
      <c r="AR312" s="417">
        <v>0</v>
      </c>
    </row>
    <row r="313" spans="1:44">
      <c r="A313" s="439">
        <v>93212</v>
      </c>
      <c r="B313" s="440" t="s">
        <v>1022</v>
      </c>
      <c r="C313" s="437">
        <v>2.007E-4</v>
      </c>
      <c r="D313" s="441"/>
      <c r="E313" s="438">
        <v>179414.86092499999</v>
      </c>
      <c r="F313" s="442">
        <v>122488.15032499997</v>
      </c>
      <c r="G313" s="442">
        <v>44538.957124999994</v>
      </c>
      <c r="H313" s="442">
        <v>178283.21489999999</v>
      </c>
      <c r="I313" s="442">
        <v>0</v>
      </c>
      <c r="J313" s="448">
        <v>0</v>
      </c>
      <c r="K313" s="448">
        <v>0</v>
      </c>
      <c r="L313" s="444">
        <v>32338.188900000001</v>
      </c>
      <c r="M313" s="444">
        <v>13259.6469</v>
      </c>
      <c r="N313" s="444">
        <v>-1594.1601000000001</v>
      </c>
      <c r="O313" s="444">
        <v>0</v>
      </c>
      <c r="P313" s="417">
        <v>0</v>
      </c>
      <c r="Q313" s="417">
        <v>0</v>
      </c>
      <c r="R313" s="417">
        <v>0</v>
      </c>
      <c r="S313" s="70">
        <v>78624.827099999995</v>
      </c>
      <c r="T313" s="105">
        <v>73588.059899999993</v>
      </c>
      <c r="U313" s="70">
        <v>43719.283799999997</v>
      </c>
      <c r="V313" s="70">
        <v>178283.21489999999</v>
      </c>
      <c r="W313" s="417">
        <v>0</v>
      </c>
      <c r="X313" s="417">
        <v>0</v>
      </c>
      <c r="Y313" s="417">
        <v>0</v>
      </c>
      <c r="Z313" s="70">
        <v>56486.011500000001</v>
      </c>
      <c r="AA313" s="70">
        <v>56485.610099999998</v>
      </c>
      <c r="AB313" s="70">
        <v>0</v>
      </c>
      <c r="AC313" s="417">
        <v>0</v>
      </c>
      <c r="AD313" s="417">
        <v>0</v>
      </c>
      <c r="AE313" s="417">
        <v>0</v>
      </c>
      <c r="AF313" s="417">
        <v>0</v>
      </c>
      <c r="AG313" s="70">
        <v>35224.833424999997</v>
      </c>
      <c r="AH313" s="70">
        <v>2413.8334249999971</v>
      </c>
      <c r="AI313" s="70">
        <v>2413.8334249999971</v>
      </c>
      <c r="AJ313" s="417">
        <v>0</v>
      </c>
      <c r="AK313" s="417">
        <v>0</v>
      </c>
      <c r="AL313" s="417">
        <v>0</v>
      </c>
      <c r="AM313" s="417">
        <v>0</v>
      </c>
      <c r="AN313" s="70">
        <v>-23259</v>
      </c>
      <c r="AO313" s="70">
        <v>-23259</v>
      </c>
      <c r="AP313" s="70">
        <v>0</v>
      </c>
      <c r="AQ313" s="417">
        <v>0</v>
      </c>
      <c r="AR313" s="417">
        <v>0</v>
      </c>
    </row>
    <row r="314" spans="1:44">
      <c r="A314" s="439">
        <v>93219</v>
      </c>
      <c r="B314" s="440" t="s">
        <v>1023</v>
      </c>
      <c r="C314" s="437">
        <v>3.232E-4</v>
      </c>
      <c r="D314" s="441"/>
      <c r="E314" s="438">
        <v>309460.69744999998</v>
      </c>
      <c r="F314" s="442">
        <v>264813.63185000001</v>
      </c>
      <c r="G314" s="442">
        <v>96320.628649999999</v>
      </c>
      <c r="H314" s="442">
        <v>287100.8224</v>
      </c>
      <c r="I314" s="442">
        <v>0</v>
      </c>
      <c r="J314" s="443">
        <v>3.0600000000000001E-4</v>
      </c>
      <c r="K314" s="443"/>
      <c r="L314" s="444">
        <v>52076.246399999996</v>
      </c>
      <c r="M314" s="444">
        <v>21352.8544</v>
      </c>
      <c r="N314" s="444">
        <v>-2567.1776</v>
      </c>
      <c r="O314" s="444">
        <v>0</v>
      </c>
      <c r="P314" s="417">
        <v>0</v>
      </c>
      <c r="Q314" s="378">
        <v>3.0600000000000001E-4</v>
      </c>
      <c r="R314" s="378"/>
      <c r="S314" s="70">
        <v>126614.5696</v>
      </c>
      <c r="T314" s="105">
        <v>118503.54239999999</v>
      </c>
      <c r="U314" s="70">
        <v>70403.948799999998</v>
      </c>
      <c r="V314" s="70">
        <v>287100.8224</v>
      </c>
      <c r="W314" s="417">
        <v>0</v>
      </c>
      <c r="X314" s="378">
        <v>3.0600000000000001E-4</v>
      </c>
      <c r="Z314" s="70">
        <v>90963.024000000005</v>
      </c>
      <c r="AA314" s="70">
        <v>90962.377599999993</v>
      </c>
      <c r="AB314" s="70">
        <v>0</v>
      </c>
      <c r="AC314" s="417">
        <v>0</v>
      </c>
      <c r="AD314" s="417">
        <v>0</v>
      </c>
      <c r="AE314" s="378">
        <v>3.0600000000000001E-4</v>
      </c>
      <c r="AF314" s="378"/>
      <c r="AG314" s="70">
        <v>39806.857449999989</v>
      </c>
      <c r="AH314" s="70">
        <v>33994.857449999989</v>
      </c>
      <c r="AI314" s="70">
        <v>28483.857449999989</v>
      </c>
      <c r="AJ314" s="417">
        <v>0</v>
      </c>
      <c r="AK314" s="417">
        <v>0</v>
      </c>
      <c r="AL314" s="378">
        <v>3.0600000000000001E-4</v>
      </c>
      <c r="AM314" s="378"/>
      <c r="AN314" s="70">
        <v>0</v>
      </c>
      <c r="AO314" s="70">
        <v>0</v>
      </c>
      <c r="AP314" s="70">
        <v>0</v>
      </c>
      <c r="AQ314" s="417">
        <v>0</v>
      </c>
      <c r="AR314" s="417">
        <v>0</v>
      </c>
    </row>
    <row r="315" spans="1:44">
      <c r="A315" s="439">
        <v>93301</v>
      </c>
      <c r="B315" s="440" t="s">
        <v>1024</v>
      </c>
      <c r="C315" s="437">
        <v>2.3389000000000001E-3</v>
      </c>
      <c r="D315" s="441"/>
      <c r="E315" s="438">
        <v>2112130.0754750003</v>
      </c>
      <c r="F315" s="442">
        <v>1842844.5292749999</v>
      </c>
      <c r="G315" s="442">
        <v>622200.3928749999</v>
      </c>
      <c r="H315" s="442">
        <v>2077661.2423</v>
      </c>
      <c r="I315" s="442">
        <v>0</v>
      </c>
      <c r="J315" s="443">
        <v>5.6934999999999998E-3</v>
      </c>
      <c r="K315" s="443"/>
      <c r="L315" s="444">
        <v>376859.94030000002</v>
      </c>
      <c r="M315" s="444">
        <v>154524.10630000001</v>
      </c>
      <c r="N315" s="444">
        <v>-18577.882700000002</v>
      </c>
      <c r="O315" s="444">
        <v>0</v>
      </c>
      <c r="P315" s="417">
        <v>0</v>
      </c>
      <c r="Q315" s="378">
        <v>5.6934999999999998E-3</v>
      </c>
      <c r="R315" s="378"/>
      <c r="S315" s="70">
        <v>916271.09169999999</v>
      </c>
      <c r="T315" s="105">
        <v>857574.05729999999</v>
      </c>
      <c r="U315" s="70">
        <v>509491.94260000001</v>
      </c>
      <c r="V315" s="70">
        <v>2077661.2423</v>
      </c>
      <c r="W315" s="417">
        <v>0</v>
      </c>
      <c r="X315" s="378">
        <v>5.6934999999999998E-3</v>
      </c>
      <c r="Z315" s="70">
        <v>658271.71050000004</v>
      </c>
      <c r="AA315" s="70">
        <v>658267.03269999998</v>
      </c>
      <c r="AB315" s="70">
        <v>0</v>
      </c>
      <c r="AC315" s="417">
        <v>0</v>
      </c>
      <c r="AD315" s="417">
        <v>0</v>
      </c>
      <c r="AE315" s="378">
        <v>5.6934999999999998E-3</v>
      </c>
      <c r="AF315" s="378"/>
      <c r="AG315" s="70">
        <v>176633.33297499997</v>
      </c>
      <c r="AH315" s="70">
        <v>172479.33297499997</v>
      </c>
      <c r="AI315" s="70">
        <v>131286.33297499997</v>
      </c>
      <c r="AJ315" s="417">
        <v>0</v>
      </c>
      <c r="AK315" s="417">
        <v>0</v>
      </c>
      <c r="AL315" s="378">
        <v>5.6934999999999998E-3</v>
      </c>
      <c r="AM315" s="378"/>
      <c r="AN315" s="70">
        <v>-15906</v>
      </c>
      <c r="AO315" s="70">
        <v>0</v>
      </c>
      <c r="AP315" s="70">
        <v>0</v>
      </c>
      <c r="AQ315" s="417">
        <v>0</v>
      </c>
      <c r="AR315" s="417">
        <v>0</v>
      </c>
    </row>
    <row r="316" spans="1:44">
      <c r="A316" s="439">
        <v>93304</v>
      </c>
      <c r="B316" s="440" t="s">
        <v>1025</v>
      </c>
      <c r="C316" s="437">
        <v>3.3500000000000001E-5</v>
      </c>
      <c r="D316" s="441"/>
      <c r="E316" s="438">
        <v>32732.302724999998</v>
      </c>
      <c r="F316" s="442">
        <v>24990.009725</v>
      </c>
      <c r="G316" s="442">
        <v>2481.7637249999998</v>
      </c>
      <c r="H316" s="442">
        <v>29758.284500000002</v>
      </c>
      <c r="I316" s="442">
        <v>0</v>
      </c>
      <c r="J316" s="443">
        <v>2.2281100000000002E-2</v>
      </c>
      <c r="K316" s="443"/>
      <c r="L316" s="444">
        <v>5397.7545</v>
      </c>
      <c r="M316" s="444">
        <v>2213.2445000000002</v>
      </c>
      <c r="N316" s="444">
        <v>-266.09050000000002</v>
      </c>
      <c r="O316" s="444">
        <v>0</v>
      </c>
      <c r="P316" s="417">
        <v>0</v>
      </c>
      <c r="Q316" s="378">
        <v>2.2281100000000002E-2</v>
      </c>
      <c r="R316" s="378"/>
      <c r="S316" s="70">
        <v>13123.7255</v>
      </c>
      <c r="T316" s="105">
        <v>12283.0095</v>
      </c>
      <c r="U316" s="70">
        <v>7297.4390000000003</v>
      </c>
      <c r="V316" s="70">
        <v>29758.284500000002</v>
      </c>
      <c r="W316" s="417">
        <v>0</v>
      </c>
      <c r="X316" s="378">
        <v>2.2281100000000002E-2</v>
      </c>
      <c r="Z316" s="70">
        <v>9428.4075000000012</v>
      </c>
      <c r="AA316" s="70">
        <v>9428.3405000000002</v>
      </c>
      <c r="AB316" s="70">
        <v>0</v>
      </c>
      <c r="AC316" s="417">
        <v>0</v>
      </c>
      <c r="AD316" s="417">
        <v>0</v>
      </c>
      <c r="AE316" s="378">
        <v>2.2281100000000002E-2</v>
      </c>
      <c r="AF316" s="378"/>
      <c r="AG316" s="70">
        <v>9332</v>
      </c>
      <c r="AH316" s="70">
        <v>5615</v>
      </c>
      <c r="AI316" s="70">
        <v>0</v>
      </c>
      <c r="AJ316" s="417">
        <v>0</v>
      </c>
      <c r="AK316" s="417">
        <v>0</v>
      </c>
      <c r="AL316" s="378">
        <v>2.2281100000000002E-2</v>
      </c>
      <c r="AM316" s="378"/>
      <c r="AN316" s="70">
        <v>-4549.5847750000003</v>
      </c>
      <c r="AO316" s="70">
        <v>-4549.5847750000003</v>
      </c>
      <c r="AP316" s="70">
        <v>-4549.5847750000003</v>
      </c>
      <c r="AQ316" s="417">
        <v>0</v>
      </c>
      <c r="AR316" s="417">
        <v>0</v>
      </c>
    </row>
    <row r="317" spans="1:44">
      <c r="A317" s="439">
        <v>93305</v>
      </c>
      <c r="B317" s="440" t="s">
        <v>1026</v>
      </c>
      <c r="C317" s="437">
        <v>2.8900000000000001E-5</v>
      </c>
      <c r="D317" s="441"/>
      <c r="E317" s="438">
        <v>18830.496725000001</v>
      </c>
      <c r="F317" s="442">
        <v>18548.930525000003</v>
      </c>
      <c r="G317" s="442">
        <v>5960.3541250000007</v>
      </c>
      <c r="H317" s="442">
        <v>25672.0723</v>
      </c>
      <c r="I317" s="442">
        <v>0</v>
      </c>
      <c r="J317" s="443">
        <v>2.231E-4</v>
      </c>
      <c r="K317" s="443"/>
      <c r="L317" s="444">
        <v>4656.5703000000003</v>
      </c>
      <c r="M317" s="444">
        <v>1909.3363000000002</v>
      </c>
      <c r="N317" s="444">
        <v>-229.55270000000002</v>
      </c>
      <c r="O317" s="444">
        <v>0</v>
      </c>
      <c r="P317" s="417">
        <v>0</v>
      </c>
      <c r="Q317" s="378">
        <v>2.231E-4</v>
      </c>
      <c r="R317" s="378"/>
      <c r="S317" s="70">
        <v>11321.661700000001</v>
      </c>
      <c r="T317" s="105">
        <v>10596.3873</v>
      </c>
      <c r="U317" s="70">
        <v>6295.4026000000003</v>
      </c>
      <c r="V317" s="70">
        <v>25672.0723</v>
      </c>
      <c r="W317" s="417">
        <v>0</v>
      </c>
      <c r="X317" s="378">
        <v>2.231E-4</v>
      </c>
      <c r="Z317" s="70">
        <v>8133.7605000000003</v>
      </c>
      <c r="AA317" s="70">
        <v>8133.7027000000007</v>
      </c>
      <c r="AB317" s="70">
        <v>0</v>
      </c>
      <c r="AC317" s="417">
        <v>0</v>
      </c>
      <c r="AD317" s="417">
        <v>0</v>
      </c>
      <c r="AE317" s="378">
        <v>2.231E-4</v>
      </c>
      <c r="AF317" s="378"/>
      <c r="AG317" s="70">
        <v>0</v>
      </c>
      <c r="AH317" s="70">
        <v>0</v>
      </c>
      <c r="AI317" s="70">
        <v>0</v>
      </c>
      <c r="AJ317" s="417">
        <v>0</v>
      </c>
      <c r="AK317" s="417">
        <v>0</v>
      </c>
      <c r="AL317" s="378">
        <v>2.231E-4</v>
      </c>
      <c r="AM317" s="378"/>
      <c r="AN317" s="70">
        <v>-5281.4957749999994</v>
      </c>
      <c r="AO317" s="70">
        <v>-2090.4957749999994</v>
      </c>
      <c r="AP317" s="70">
        <v>-105.49577499999941</v>
      </c>
      <c r="AQ317" s="417">
        <v>0</v>
      </c>
      <c r="AR317" s="417">
        <v>0</v>
      </c>
    </row>
    <row r="318" spans="1:44">
      <c r="A318" s="439">
        <v>93309</v>
      </c>
      <c r="B318" s="440" t="s">
        <v>1027</v>
      </c>
      <c r="C318" s="437">
        <v>1.7540000000000001E-4</v>
      </c>
      <c r="D318" s="441"/>
      <c r="E318" s="438">
        <v>164192.13870000001</v>
      </c>
      <c r="F318" s="442">
        <v>135332.42550000001</v>
      </c>
      <c r="G318" s="442">
        <v>43902.415099999998</v>
      </c>
      <c r="H318" s="442">
        <v>155809.0478</v>
      </c>
      <c r="I318" s="442">
        <v>0</v>
      </c>
      <c r="J318" s="443">
        <v>2.6029999999999998E-4</v>
      </c>
      <c r="K318" s="443"/>
      <c r="L318" s="444">
        <v>28261.675800000001</v>
      </c>
      <c r="M318" s="444">
        <v>11588.1518</v>
      </c>
      <c r="N318" s="444">
        <v>-1393.2022000000002</v>
      </c>
      <c r="O318" s="444">
        <v>0</v>
      </c>
      <c r="P318" s="417">
        <v>0</v>
      </c>
      <c r="Q318" s="378">
        <v>2.6029999999999998E-4</v>
      </c>
      <c r="R318" s="378"/>
      <c r="S318" s="70">
        <v>68713.476200000005</v>
      </c>
      <c r="T318" s="105">
        <v>64311.637800000004</v>
      </c>
      <c r="U318" s="70">
        <v>38208.083599999998</v>
      </c>
      <c r="V318" s="70">
        <v>155809.0478</v>
      </c>
      <c r="W318" s="417">
        <v>0</v>
      </c>
      <c r="X318" s="378">
        <v>2.6029999999999998E-4</v>
      </c>
      <c r="Z318" s="70">
        <v>49365.453000000001</v>
      </c>
      <c r="AA318" s="70">
        <v>49365.102200000001</v>
      </c>
      <c r="AB318" s="70">
        <v>0</v>
      </c>
      <c r="AC318" s="417">
        <v>0</v>
      </c>
      <c r="AD318" s="417">
        <v>0</v>
      </c>
      <c r="AE318" s="378">
        <v>2.6029999999999998E-4</v>
      </c>
      <c r="AF318" s="378"/>
      <c r="AG318" s="70">
        <v>17851.5337</v>
      </c>
      <c r="AH318" s="70">
        <v>10067.5337</v>
      </c>
      <c r="AI318" s="70">
        <v>7087.5337</v>
      </c>
      <c r="AJ318" s="417">
        <v>0</v>
      </c>
      <c r="AK318" s="417">
        <v>0</v>
      </c>
      <c r="AL318" s="378">
        <v>2.6029999999999998E-4</v>
      </c>
      <c r="AM318" s="378"/>
      <c r="AN318" s="70">
        <v>0</v>
      </c>
      <c r="AO318" s="70">
        <v>0</v>
      </c>
      <c r="AP318" s="70">
        <v>0</v>
      </c>
      <c r="AQ318" s="417">
        <v>0</v>
      </c>
      <c r="AR318" s="417">
        <v>0</v>
      </c>
    </row>
    <row r="319" spans="1:44">
      <c r="A319" s="439">
        <v>93311</v>
      </c>
      <c r="B319" s="440" t="s">
        <v>1028</v>
      </c>
      <c r="C319" s="437">
        <v>1.2187000000000001E-3</v>
      </c>
      <c r="D319" s="441"/>
      <c r="E319" s="438">
        <v>915898.11872499995</v>
      </c>
      <c r="F319" s="442">
        <v>766604.56412500003</v>
      </c>
      <c r="G319" s="442">
        <v>248912.40292499997</v>
      </c>
      <c r="H319" s="442">
        <v>1082579.7409000001</v>
      </c>
      <c r="I319" s="442">
        <v>0</v>
      </c>
      <c r="J319" s="443">
        <v>2.1727000000000001E-3</v>
      </c>
      <c r="K319" s="443"/>
      <c r="L319" s="444">
        <v>196365.4749</v>
      </c>
      <c r="M319" s="444">
        <v>80515.852899999998</v>
      </c>
      <c r="N319" s="444">
        <v>-9680.1341000000011</v>
      </c>
      <c r="O319" s="444">
        <v>0</v>
      </c>
      <c r="P319" s="417">
        <v>0</v>
      </c>
      <c r="Q319" s="378">
        <v>2.1727000000000001E-3</v>
      </c>
      <c r="R319" s="378"/>
      <c r="S319" s="70">
        <v>477429.38110000006</v>
      </c>
      <c r="T319" s="105">
        <v>446844.88590000005</v>
      </c>
      <c r="U319" s="70">
        <v>265474.29580000002</v>
      </c>
      <c r="V319" s="70">
        <v>1082579.7409000001</v>
      </c>
      <c r="W319" s="417">
        <v>0</v>
      </c>
      <c r="X319" s="378">
        <v>2.1727000000000001E-3</v>
      </c>
      <c r="Z319" s="70">
        <v>342997.02150000003</v>
      </c>
      <c r="AA319" s="70">
        <v>342994.58410000004</v>
      </c>
      <c r="AB319" s="70">
        <v>0</v>
      </c>
      <c r="AC319" s="417">
        <v>0</v>
      </c>
      <c r="AD319" s="417">
        <v>0</v>
      </c>
      <c r="AE319" s="378">
        <v>2.1727000000000001E-3</v>
      </c>
      <c r="AF319" s="378"/>
      <c r="AG319" s="70">
        <v>17162</v>
      </c>
      <c r="AH319" s="70">
        <v>0</v>
      </c>
      <c r="AI319" s="70">
        <v>0</v>
      </c>
      <c r="AJ319" s="417">
        <v>0</v>
      </c>
      <c r="AK319" s="417">
        <v>0</v>
      </c>
      <c r="AL319" s="378">
        <v>2.1727000000000001E-3</v>
      </c>
      <c r="AM319" s="378"/>
      <c r="AN319" s="70">
        <v>-118055.75877500005</v>
      </c>
      <c r="AO319" s="70">
        <v>-103750.75877500005</v>
      </c>
      <c r="AP319" s="70">
        <v>-6881.758775000053</v>
      </c>
      <c r="AQ319" s="417">
        <v>0</v>
      </c>
      <c r="AR319" s="417">
        <v>0</v>
      </c>
    </row>
    <row r="320" spans="1:44">
      <c r="A320" s="439">
        <v>93317</v>
      </c>
      <c r="B320" s="440" t="s">
        <v>1029</v>
      </c>
      <c r="C320" s="437">
        <v>3.9400000000000002E-5</v>
      </c>
      <c r="D320" s="441"/>
      <c r="E320" s="438">
        <v>32924.492899999997</v>
      </c>
      <c r="F320" s="442">
        <v>26829.267699999997</v>
      </c>
      <c r="G320" s="442">
        <v>8508.7933000000012</v>
      </c>
      <c r="H320" s="442">
        <v>34999.2958</v>
      </c>
      <c r="I320" s="442">
        <v>0</v>
      </c>
      <c r="J320" s="443">
        <v>4.5300000000000003E-5</v>
      </c>
      <c r="K320" s="443"/>
      <c r="L320" s="444">
        <v>6348.4038</v>
      </c>
      <c r="M320" s="444">
        <v>2603.0398</v>
      </c>
      <c r="N320" s="444">
        <v>-312.95420000000001</v>
      </c>
      <c r="O320" s="444">
        <v>0</v>
      </c>
      <c r="P320" s="417">
        <v>0</v>
      </c>
      <c r="Q320" s="378">
        <v>4.5300000000000003E-5</v>
      </c>
      <c r="R320" s="378"/>
      <c r="S320" s="70">
        <v>15435.068200000002</v>
      </c>
      <c r="T320" s="105">
        <v>14446.285800000001</v>
      </c>
      <c r="U320" s="70">
        <v>8582.6596000000009</v>
      </c>
      <c r="V320" s="70">
        <v>34999.2958</v>
      </c>
      <c r="W320" s="417">
        <v>0</v>
      </c>
      <c r="X320" s="378">
        <v>4.5300000000000003E-5</v>
      </c>
      <c r="Z320" s="70">
        <v>11088.933000000001</v>
      </c>
      <c r="AA320" s="70">
        <v>11088.8542</v>
      </c>
      <c r="AB320" s="70">
        <v>0</v>
      </c>
      <c r="AC320" s="417">
        <v>0</v>
      </c>
      <c r="AD320" s="417">
        <v>0</v>
      </c>
      <c r="AE320" s="378">
        <v>4.5300000000000003E-5</v>
      </c>
      <c r="AF320" s="378"/>
      <c r="AG320" s="70">
        <v>2634.0879000000004</v>
      </c>
      <c r="AH320" s="70">
        <v>239.08790000000045</v>
      </c>
      <c r="AI320" s="70">
        <v>239.08790000000045</v>
      </c>
      <c r="AJ320" s="417">
        <v>0</v>
      </c>
      <c r="AK320" s="417">
        <v>0</v>
      </c>
      <c r="AL320" s="378">
        <v>4.5300000000000003E-5</v>
      </c>
      <c r="AM320" s="378"/>
      <c r="AN320" s="70">
        <v>-2582</v>
      </c>
      <c r="AO320" s="70">
        <v>-1548</v>
      </c>
      <c r="AP320" s="70">
        <v>0</v>
      </c>
      <c r="AQ320" s="417">
        <v>0</v>
      </c>
      <c r="AR320" s="417">
        <v>0</v>
      </c>
    </row>
    <row r="321" spans="1:44">
      <c r="A321" s="439">
        <v>93321</v>
      </c>
      <c r="B321" s="440" t="s">
        <v>1030</v>
      </c>
      <c r="C321" s="437">
        <v>6.1843000000000002E-3</v>
      </c>
      <c r="D321" s="441"/>
      <c r="E321" s="438">
        <v>4780955.1090250006</v>
      </c>
      <c r="F321" s="442">
        <v>4162256.9896250004</v>
      </c>
      <c r="G321" s="442">
        <v>1045611.9228250005</v>
      </c>
      <c r="H321" s="442">
        <v>5493556.9801000003</v>
      </c>
      <c r="I321" s="442">
        <v>0</v>
      </c>
      <c r="J321" s="443">
        <v>3.0199999999999999E-5</v>
      </c>
      <c r="K321" s="443"/>
      <c r="L321" s="444">
        <v>996457.70610000007</v>
      </c>
      <c r="M321" s="444">
        <v>408578.14809999999</v>
      </c>
      <c r="N321" s="444">
        <v>-49121.894899999999</v>
      </c>
      <c r="O321" s="444">
        <v>0</v>
      </c>
      <c r="P321" s="417">
        <v>0</v>
      </c>
      <c r="Q321" s="378">
        <v>3.0199999999999999E-5</v>
      </c>
      <c r="R321" s="378"/>
      <c r="S321" s="70">
        <v>2422718.0778999999</v>
      </c>
      <c r="T321" s="105">
        <v>2267516.8851000001</v>
      </c>
      <c r="U321" s="70">
        <v>1347150.8062</v>
      </c>
      <c r="V321" s="70">
        <v>5493556.9801000003</v>
      </c>
      <c r="W321" s="417">
        <v>0</v>
      </c>
      <c r="X321" s="378">
        <v>3.0199999999999999E-5</v>
      </c>
      <c r="Z321" s="70">
        <v>1740540.3135000002</v>
      </c>
      <c r="AA321" s="70">
        <v>1740527.9449</v>
      </c>
      <c r="AB321" s="70">
        <v>0</v>
      </c>
      <c r="AC321" s="417">
        <v>0</v>
      </c>
      <c r="AD321" s="417">
        <v>0</v>
      </c>
      <c r="AE321" s="378">
        <v>3.0199999999999999E-5</v>
      </c>
      <c r="AF321" s="378"/>
      <c r="AG321" s="70">
        <v>0</v>
      </c>
      <c r="AH321" s="70">
        <v>0</v>
      </c>
      <c r="AI321" s="70">
        <v>0</v>
      </c>
      <c r="AJ321" s="417">
        <v>0</v>
      </c>
      <c r="AK321" s="417">
        <v>0</v>
      </c>
      <c r="AL321" s="378">
        <v>3.0199999999999999E-5</v>
      </c>
      <c r="AM321" s="378"/>
      <c r="AN321" s="70">
        <v>-378760.98847499955</v>
      </c>
      <c r="AO321" s="70">
        <v>-254365.98847499955</v>
      </c>
      <c r="AP321" s="70">
        <v>-252416.98847499955</v>
      </c>
      <c r="AQ321" s="417">
        <v>0</v>
      </c>
      <c r="AR321" s="417">
        <v>0</v>
      </c>
    </row>
    <row r="322" spans="1:44">
      <c r="A322" s="439">
        <v>93323</v>
      </c>
      <c r="B322" s="440" t="s">
        <v>1031</v>
      </c>
      <c r="C322" s="437">
        <v>5.2599999999999998E-5</v>
      </c>
      <c r="D322" s="441"/>
      <c r="E322" s="438">
        <v>59820.440699999992</v>
      </c>
      <c r="F322" s="442">
        <v>48047.129899999993</v>
      </c>
      <c r="G322" s="442">
        <v>13674.212299999999</v>
      </c>
      <c r="H322" s="442">
        <v>46724.948199999999</v>
      </c>
      <c r="I322" s="442">
        <v>0</v>
      </c>
      <c r="J322" s="443">
        <v>1.6750000000000001E-4</v>
      </c>
      <c r="K322" s="443"/>
      <c r="L322" s="444">
        <v>8475.2801999999992</v>
      </c>
      <c r="M322" s="444">
        <v>3475.1241999999997</v>
      </c>
      <c r="N322" s="444">
        <v>-417.80179999999996</v>
      </c>
      <c r="O322" s="444">
        <v>0</v>
      </c>
      <c r="P322" s="417">
        <v>0</v>
      </c>
      <c r="Q322" s="378">
        <v>1.6750000000000001E-4</v>
      </c>
      <c r="R322" s="378"/>
      <c r="S322" s="70">
        <v>20606.2078</v>
      </c>
      <c r="T322" s="105">
        <v>19286.158199999998</v>
      </c>
      <c r="U322" s="70">
        <v>11458.0684</v>
      </c>
      <c r="V322" s="70">
        <v>46724.948199999999</v>
      </c>
      <c r="W322" s="417">
        <v>0</v>
      </c>
      <c r="X322" s="378">
        <v>1.6750000000000001E-4</v>
      </c>
      <c r="Z322" s="70">
        <v>14804.007</v>
      </c>
      <c r="AA322" s="70">
        <v>14803.9018</v>
      </c>
      <c r="AB322" s="70">
        <v>0</v>
      </c>
      <c r="AC322" s="417">
        <v>0</v>
      </c>
      <c r="AD322" s="417">
        <v>0</v>
      </c>
      <c r="AE322" s="378">
        <v>1.6750000000000001E-4</v>
      </c>
      <c r="AF322" s="378"/>
      <c r="AG322" s="70">
        <v>16099.945699999998</v>
      </c>
      <c r="AH322" s="70">
        <v>10481.945699999998</v>
      </c>
      <c r="AI322" s="70">
        <v>2633.9456999999984</v>
      </c>
      <c r="AJ322" s="417">
        <v>0</v>
      </c>
      <c r="AK322" s="417">
        <v>0</v>
      </c>
      <c r="AL322" s="378">
        <v>1.6750000000000001E-4</v>
      </c>
      <c r="AM322" s="378"/>
      <c r="AN322" s="70">
        <v>-165</v>
      </c>
      <c r="AO322" s="70">
        <v>0</v>
      </c>
      <c r="AP322" s="70">
        <v>0</v>
      </c>
      <c r="AQ322" s="417">
        <v>0</v>
      </c>
      <c r="AR322" s="417">
        <v>0</v>
      </c>
    </row>
    <row r="323" spans="1:44">
      <c r="A323" s="439">
        <v>93331</v>
      </c>
      <c r="B323" s="440" t="s">
        <v>1032</v>
      </c>
      <c r="C323" s="437">
        <v>1.0179999999999999E-4</v>
      </c>
      <c r="D323" s="441"/>
      <c r="E323" s="438">
        <v>78046.940299999973</v>
      </c>
      <c r="F323" s="442">
        <v>59518.85589999998</v>
      </c>
      <c r="G323" s="442">
        <v>28603.559099999988</v>
      </c>
      <c r="H323" s="442">
        <v>90429.652600000001</v>
      </c>
      <c r="I323" s="442">
        <v>0</v>
      </c>
      <c r="J323" s="443">
        <v>1.1885000000000001E-3</v>
      </c>
      <c r="K323" s="443"/>
      <c r="L323" s="444">
        <v>16402.728599999999</v>
      </c>
      <c r="M323" s="444">
        <v>6725.6205999999993</v>
      </c>
      <c r="N323" s="444">
        <v>-808.59739999999999</v>
      </c>
      <c r="O323" s="444">
        <v>0</v>
      </c>
      <c r="P323" s="417">
        <v>0</v>
      </c>
      <c r="Q323" s="378">
        <v>1.1885000000000001E-3</v>
      </c>
      <c r="R323" s="378"/>
      <c r="S323" s="70">
        <v>39880.455399999999</v>
      </c>
      <c r="T323" s="105">
        <v>37325.6826</v>
      </c>
      <c r="U323" s="70">
        <v>22175.501199999999</v>
      </c>
      <c r="V323" s="70">
        <v>90429.652600000001</v>
      </c>
      <c r="W323" s="417">
        <v>0</v>
      </c>
      <c r="X323" s="378">
        <v>1.1885000000000001E-3</v>
      </c>
      <c r="Z323" s="70">
        <v>28651.100999999999</v>
      </c>
      <c r="AA323" s="70">
        <v>28650.897399999998</v>
      </c>
      <c r="AB323" s="70">
        <v>0</v>
      </c>
      <c r="AC323" s="417">
        <v>0</v>
      </c>
      <c r="AD323" s="417">
        <v>0</v>
      </c>
      <c r="AE323" s="378">
        <v>1.1885000000000001E-3</v>
      </c>
      <c r="AF323" s="378"/>
      <c r="AG323" s="70">
        <v>15159.655299999988</v>
      </c>
      <c r="AH323" s="70">
        <v>7236.6552999999876</v>
      </c>
      <c r="AI323" s="70">
        <v>7236.6552999999876</v>
      </c>
      <c r="AJ323" s="417">
        <v>0</v>
      </c>
      <c r="AK323" s="417">
        <v>0</v>
      </c>
      <c r="AL323" s="378">
        <v>1.1885000000000001E-3</v>
      </c>
      <c r="AM323" s="378"/>
      <c r="AN323" s="70">
        <v>-22047</v>
      </c>
      <c r="AO323" s="70">
        <v>-20420</v>
      </c>
      <c r="AP323" s="70">
        <v>0</v>
      </c>
      <c r="AQ323" s="417">
        <v>0</v>
      </c>
      <c r="AR323" s="417">
        <v>0</v>
      </c>
    </row>
    <row r="324" spans="1:44">
      <c r="A324" s="439">
        <v>93333</v>
      </c>
      <c r="B324" s="440" t="s">
        <v>1033</v>
      </c>
      <c r="C324" s="437">
        <v>1.8799999999999999E-4</v>
      </c>
      <c r="D324" s="441"/>
      <c r="E324" s="438">
        <v>206715.62255</v>
      </c>
      <c r="F324" s="442">
        <v>160461.91855</v>
      </c>
      <c r="G324" s="442">
        <v>49112.030549999996</v>
      </c>
      <c r="H324" s="442">
        <v>167001.71599999999</v>
      </c>
      <c r="I324" s="442">
        <v>0</v>
      </c>
      <c r="J324" s="443">
        <v>4.0099999999999999E-5</v>
      </c>
      <c r="K324" s="443"/>
      <c r="L324" s="444">
        <v>30291.875999999997</v>
      </c>
      <c r="M324" s="444">
        <v>12420.596</v>
      </c>
      <c r="N324" s="444">
        <v>-1493.2839999999999</v>
      </c>
      <c r="O324" s="444">
        <v>0</v>
      </c>
      <c r="P324" s="417">
        <v>0</v>
      </c>
      <c r="Q324" s="378">
        <v>4.0099999999999999E-5</v>
      </c>
      <c r="R324" s="378"/>
      <c r="S324" s="70">
        <v>73649.563999999998</v>
      </c>
      <c r="T324" s="105">
        <v>68931.515999999989</v>
      </c>
      <c r="U324" s="70">
        <v>40952.791999999994</v>
      </c>
      <c r="V324" s="70">
        <v>167001.71599999999</v>
      </c>
      <c r="W324" s="417">
        <v>0</v>
      </c>
      <c r="X324" s="378">
        <v>4.0099999999999999E-5</v>
      </c>
      <c r="Z324" s="70">
        <v>52911.659999999996</v>
      </c>
      <c r="AA324" s="70">
        <v>52911.284</v>
      </c>
      <c r="AB324" s="70">
        <v>0</v>
      </c>
      <c r="AC324" s="417">
        <v>0</v>
      </c>
      <c r="AD324" s="417">
        <v>0</v>
      </c>
      <c r="AE324" s="378">
        <v>4.0099999999999999E-5</v>
      </c>
      <c r="AF324" s="378"/>
      <c r="AG324" s="70">
        <v>49862.522550000002</v>
      </c>
      <c r="AH324" s="70">
        <v>26198.522550000002</v>
      </c>
      <c r="AI324" s="70">
        <v>9652.5225500000015</v>
      </c>
      <c r="AJ324" s="417">
        <v>0</v>
      </c>
      <c r="AK324" s="417">
        <v>0</v>
      </c>
      <c r="AL324" s="378">
        <v>4.0099999999999999E-5</v>
      </c>
      <c r="AM324" s="378"/>
      <c r="AN324" s="70">
        <v>0</v>
      </c>
      <c r="AO324" s="70">
        <v>0</v>
      </c>
      <c r="AP324" s="70">
        <v>0</v>
      </c>
      <c r="AQ324" s="417">
        <v>0</v>
      </c>
      <c r="AR324" s="417">
        <v>0</v>
      </c>
    </row>
    <row r="325" spans="1:44">
      <c r="A325" s="439">
        <v>93341</v>
      </c>
      <c r="B325" s="440" t="s">
        <v>1034</v>
      </c>
      <c r="C325" s="437">
        <v>2.23E-5</v>
      </c>
      <c r="D325" s="441"/>
      <c r="E325" s="438">
        <v>16963.157124999998</v>
      </c>
      <c r="F325" s="442">
        <v>14817.633725</v>
      </c>
      <c r="G325" s="442">
        <v>-585.72107499999947</v>
      </c>
      <c r="H325" s="442">
        <v>19809.2461</v>
      </c>
      <c r="I325" s="442">
        <v>0</v>
      </c>
      <c r="J325" s="443">
        <v>6.6814999999999999E-3</v>
      </c>
      <c r="K325" s="443"/>
      <c r="L325" s="444">
        <v>3593.1320999999998</v>
      </c>
      <c r="M325" s="444">
        <v>1473.2941000000001</v>
      </c>
      <c r="N325" s="444">
        <v>-177.12889999999999</v>
      </c>
      <c r="O325" s="444">
        <v>0</v>
      </c>
      <c r="P325" s="417">
        <v>0</v>
      </c>
      <c r="Q325" s="378">
        <v>6.6814999999999999E-3</v>
      </c>
      <c r="R325" s="378"/>
      <c r="S325" s="70">
        <v>8736.0918999999994</v>
      </c>
      <c r="T325" s="105">
        <v>8176.4511000000002</v>
      </c>
      <c r="U325" s="70">
        <v>4857.6981999999998</v>
      </c>
      <c r="V325" s="70">
        <v>19809.2461</v>
      </c>
      <c r="W325" s="417">
        <v>0</v>
      </c>
      <c r="X325" s="378">
        <v>6.6814999999999999E-3</v>
      </c>
      <c r="Z325" s="70">
        <v>6276.2235000000001</v>
      </c>
      <c r="AA325" s="70">
        <v>6276.1788999999999</v>
      </c>
      <c r="AB325" s="70">
        <v>0</v>
      </c>
      <c r="AC325" s="417">
        <v>0</v>
      </c>
      <c r="AD325" s="417">
        <v>0</v>
      </c>
      <c r="AE325" s="378">
        <v>6.6814999999999999E-3</v>
      </c>
      <c r="AF325" s="378"/>
      <c r="AG325" s="70">
        <v>4660</v>
      </c>
      <c r="AH325" s="70">
        <v>4158</v>
      </c>
      <c r="AI325" s="70">
        <v>0</v>
      </c>
      <c r="AJ325" s="417">
        <v>0</v>
      </c>
      <c r="AK325" s="417">
        <v>0</v>
      </c>
      <c r="AL325" s="378">
        <v>6.6814999999999999E-3</v>
      </c>
      <c r="AM325" s="378"/>
      <c r="AN325" s="70">
        <v>-6302.2903749999996</v>
      </c>
      <c r="AO325" s="70">
        <v>-5266.2903749999996</v>
      </c>
      <c r="AP325" s="70">
        <v>-5266.2903749999996</v>
      </c>
      <c r="AQ325" s="417">
        <v>0</v>
      </c>
      <c r="AR325" s="417">
        <v>0</v>
      </c>
    </row>
    <row r="326" spans="1:44">
      <c r="A326" s="439">
        <v>93351</v>
      </c>
      <c r="B326" s="440" t="s">
        <v>1035</v>
      </c>
      <c r="C326" s="437">
        <v>3.1999999999999999E-5</v>
      </c>
      <c r="D326" s="441"/>
      <c r="E326" s="438">
        <v>27008.698499999999</v>
      </c>
      <c r="F326" s="442">
        <v>22091.642499999994</v>
      </c>
      <c r="G326" s="442">
        <v>7363.8104999999978</v>
      </c>
      <c r="H326" s="442">
        <v>28425.824000000001</v>
      </c>
      <c r="I326" s="442">
        <v>0</v>
      </c>
      <c r="J326" s="443">
        <v>4.57E-5</v>
      </c>
      <c r="K326" s="443"/>
      <c r="L326" s="444">
        <v>5156.0639999999994</v>
      </c>
      <c r="M326" s="444">
        <v>2114.1439999999998</v>
      </c>
      <c r="N326" s="444">
        <v>-254.17599999999999</v>
      </c>
      <c r="O326" s="444">
        <v>0</v>
      </c>
      <c r="P326" s="417">
        <v>0</v>
      </c>
      <c r="Q326" s="378">
        <v>4.57E-5</v>
      </c>
      <c r="R326" s="378"/>
      <c r="S326" s="70">
        <v>12536.096</v>
      </c>
      <c r="T326" s="105">
        <v>11733.023999999999</v>
      </c>
      <c r="U326" s="70">
        <v>6970.6880000000001</v>
      </c>
      <c r="V326" s="70">
        <v>28425.824000000001</v>
      </c>
      <c r="W326" s="417">
        <v>0</v>
      </c>
      <c r="X326" s="378">
        <v>4.57E-5</v>
      </c>
      <c r="Z326" s="70">
        <v>9006.24</v>
      </c>
      <c r="AA326" s="70">
        <v>9006.1759999999995</v>
      </c>
      <c r="AB326" s="70">
        <v>0</v>
      </c>
      <c r="AC326" s="417">
        <v>0</v>
      </c>
      <c r="AD326" s="417">
        <v>0</v>
      </c>
      <c r="AE326" s="378">
        <v>4.57E-5</v>
      </c>
      <c r="AF326" s="378"/>
      <c r="AG326" s="70">
        <v>2256.2984999999981</v>
      </c>
      <c r="AH326" s="70">
        <v>647.29849999999806</v>
      </c>
      <c r="AI326" s="70">
        <v>647.29849999999806</v>
      </c>
      <c r="AJ326" s="417">
        <v>0</v>
      </c>
      <c r="AK326" s="417">
        <v>0</v>
      </c>
      <c r="AL326" s="378">
        <v>4.57E-5</v>
      </c>
      <c r="AM326" s="378"/>
      <c r="AN326" s="70">
        <v>-1946</v>
      </c>
      <c r="AO326" s="70">
        <v>-1409</v>
      </c>
      <c r="AP326" s="70">
        <v>0</v>
      </c>
      <c r="AQ326" s="417">
        <v>0</v>
      </c>
      <c r="AR326" s="417">
        <v>0</v>
      </c>
    </row>
    <row r="327" spans="1:44">
      <c r="A327" s="439">
        <v>93401</v>
      </c>
      <c r="B327" s="440" t="s">
        <v>1036</v>
      </c>
      <c r="C327" s="437">
        <v>1.3252999999999999E-2</v>
      </c>
      <c r="D327" s="441"/>
      <c r="E327" s="438">
        <v>10720350.601599999</v>
      </c>
      <c r="F327" s="442">
        <v>9130975.6275999993</v>
      </c>
      <c r="G327" s="442">
        <v>2515433.7995999996</v>
      </c>
      <c r="H327" s="442">
        <v>11772732.671</v>
      </c>
      <c r="I327" s="442">
        <v>0</v>
      </c>
      <c r="J327" s="443">
        <v>9.1700000000000006E-5</v>
      </c>
      <c r="K327" s="443"/>
      <c r="L327" s="444">
        <v>2135416.1310000001</v>
      </c>
      <c r="M327" s="444">
        <v>875585.951</v>
      </c>
      <c r="N327" s="444">
        <v>-105268.579</v>
      </c>
      <c r="O327" s="444">
        <v>0</v>
      </c>
      <c r="P327" s="417">
        <v>0</v>
      </c>
      <c r="Q327" s="378">
        <v>9.1700000000000006E-5</v>
      </c>
      <c r="R327" s="378"/>
      <c r="S327" s="70">
        <v>5191902.5089999996</v>
      </c>
      <c r="T327" s="105">
        <v>4859305.2209999999</v>
      </c>
      <c r="U327" s="70">
        <v>2886954.0019999999</v>
      </c>
      <c r="V327" s="70">
        <v>11772732.671</v>
      </c>
      <c r="W327" s="417">
        <v>0</v>
      </c>
      <c r="X327" s="378">
        <v>9.1700000000000006E-5</v>
      </c>
      <c r="Z327" s="70">
        <v>3729990.585</v>
      </c>
      <c r="AA327" s="70">
        <v>3729964.0789999999</v>
      </c>
      <c r="AB327" s="70">
        <v>0</v>
      </c>
      <c r="AC327" s="417">
        <v>0</v>
      </c>
      <c r="AD327" s="417">
        <v>0</v>
      </c>
      <c r="AE327" s="378">
        <v>9.1700000000000006E-5</v>
      </c>
      <c r="AF327" s="378"/>
      <c r="AG327" s="70">
        <v>64717</v>
      </c>
      <c r="AH327" s="70">
        <v>0</v>
      </c>
      <c r="AI327" s="70">
        <v>0</v>
      </c>
      <c r="AJ327" s="417">
        <v>0</v>
      </c>
      <c r="AK327" s="417">
        <v>0</v>
      </c>
      <c r="AL327" s="378">
        <v>9.1700000000000006E-5</v>
      </c>
      <c r="AM327" s="378"/>
      <c r="AN327" s="70">
        <v>-401675.62340000039</v>
      </c>
      <c r="AO327" s="70">
        <v>-333879.62340000039</v>
      </c>
      <c r="AP327" s="70">
        <v>-266251.62340000039</v>
      </c>
      <c r="AQ327" s="417">
        <v>0</v>
      </c>
      <c r="AR327" s="417">
        <v>0</v>
      </c>
    </row>
    <row r="328" spans="1:44">
      <c r="A328" s="439">
        <v>93402</v>
      </c>
      <c r="B328" s="440" t="s">
        <v>1037</v>
      </c>
      <c r="C328" s="437">
        <v>0</v>
      </c>
      <c r="D328" s="441"/>
      <c r="E328" s="438">
        <v>-16204</v>
      </c>
      <c r="F328" s="442">
        <v>0</v>
      </c>
      <c r="G328" s="442">
        <v>0</v>
      </c>
      <c r="H328" s="442">
        <v>0</v>
      </c>
      <c r="I328" s="442">
        <v>0</v>
      </c>
      <c r="J328" s="443">
        <v>1.9090000000000001E-4</v>
      </c>
      <c r="K328" s="443"/>
      <c r="L328" s="444">
        <v>0</v>
      </c>
      <c r="M328" s="444">
        <v>0</v>
      </c>
      <c r="N328" s="444">
        <v>0</v>
      </c>
      <c r="O328" s="444">
        <v>0</v>
      </c>
      <c r="P328" s="417">
        <v>0</v>
      </c>
      <c r="Q328" s="378">
        <v>1.9090000000000001E-4</v>
      </c>
      <c r="R328" s="378"/>
      <c r="S328" s="70">
        <v>0</v>
      </c>
      <c r="T328" s="105">
        <v>0</v>
      </c>
      <c r="U328" s="70">
        <v>0</v>
      </c>
      <c r="V328" s="70">
        <v>0</v>
      </c>
      <c r="W328" s="417">
        <v>0</v>
      </c>
      <c r="X328" s="378">
        <v>1.9090000000000001E-4</v>
      </c>
      <c r="Z328" s="70">
        <v>0</v>
      </c>
      <c r="AA328" s="70">
        <v>0</v>
      </c>
      <c r="AB328" s="70">
        <v>0</v>
      </c>
      <c r="AC328" s="417">
        <v>0</v>
      </c>
      <c r="AD328" s="417">
        <v>0</v>
      </c>
      <c r="AE328" s="378">
        <v>1.9090000000000001E-4</v>
      </c>
      <c r="AF328" s="378"/>
      <c r="AG328" s="70">
        <v>0</v>
      </c>
      <c r="AH328" s="70">
        <v>0</v>
      </c>
      <c r="AI328" s="70">
        <v>0</v>
      </c>
      <c r="AJ328" s="417">
        <v>0</v>
      </c>
      <c r="AK328" s="417">
        <v>0</v>
      </c>
      <c r="AL328" s="378">
        <v>1.9090000000000001E-4</v>
      </c>
      <c r="AM328" s="378"/>
      <c r="AN328" s="70">
        <v>-16204</v>
      </c>
      <c r="AO328" s="70">
        <v>0</v>
      </c>
      <c r="AP328" s="70">
        <v>0</v>
      </c>
      <c r="AQ328" s="417">
        <v>0</v>
      </c>
      <c r="AR328" s="417">
        <v>0</v>
      </c>
    </row>
    <row r="329" spans="1:44">
      <c r="A329" s="439">
        <v>93406</v>
      </c>
      <c r="B329" s="440" t="s">
        <v>1038</v>
      </c>
      <c r="C329" s="437">
        <v>5.9909999999999998E-4</v>
      </c>
      <c r="D329" s="441"/>
      <c r="E329" s="438">
        <v>573730.42382499995</v>
      </c>
      <c r="F329" s="442">
        <v>488468.76602499996</v>
      </c>
      <c r="G329" s="442">
        <v>136571.01442499994</v>
      </c>
      <c r="H329" s="442">
        <v>532184.72369999997</v>
      </c>
      <c r="I329" s="442">
        <v>0</v>
      </c>
      <c r="J329" s="443">
        <v>3.43E-5</v>
      </c>
      <c r="K329" s="443"/>
      <c r="L329" s="444">
        <v>96531.185700000002</v>
      </c>
      <c r="M329" s="444">
        <v>39580.739699999998</v>
      </c>
      <c r="N329" s="444">
        <v>-4758.6512999999995</v>
      </c>
      <c r="O329" s="444">
        <v>0</v>
      </c>
      <c r="P329" s="417">
        <v>0</v>
      </c>
      <c r="Q329" s="378">
        <v>3.43E-5</v>
      </c>
      <c r="R329" s="378"/>
      <c r="S329" s="70">
        <v>234699.22229999999</v>
      </c>
      <c r="T329" s="105">
        <v>219664.20869999999</v>
      </c>
      <c r="U329" s="70">
        <v>130504.34939999999</v>
      </c>
      <c r="V329" s="70">
        <v>532184.72369999997</v>
      </c>
      <c r="W329" s="417">
        <v>0</v>
      </c>
      <c r="X329" s="378">
        <v>3.43E-5</v>
      </c>
      <c r="Z329" s="70">
        <v>168613.69949999999</v>
      </c>
      <c r="AA329" s="70">
        <v>168612.5013</v>
      </c>
      <c r="AB329" s="70">
        <v>0</v>
      </c>
      <c r="AC329" s="417">
        <v>0</v>
      </c>
      <c r="AD329" s="417">
        <v>0</v>
      </c>
      <c r="AE329" s="378">
        <v>3.43E-5</v>
      </c>
      <c r="AF329" s="378"/>
      <c r="AG329" s="70">
        <v>73886.316324999963</v>
      </c>
      <c r="AH329" s="70">
        <v>60611.316324999963</v>
      </c>
      <c r="AI329" s="70">
        <v>10825.316324999963</v>
      </c>
      <c r="AJ329" s="417">
        <v>0</v>
      </c>
      <c r="AK329" s="417">
        <v>0</v>
      </c>
      <c r="AL329" s="378">
        <v>3.43E-5</v>
      </c>
      <c r="AM329" s="378"/>
      <c r="AN329" s="70">
        <v>0</v>
      </c>
      <c r="AO329" s="70">
        <v>0</v>
      </c>
      <c r="AP329" s="70">
        <v>0</v>
      </c>
      <c r="AQ329" s="417">
        <v>0</v>
      </c>
      <c r="AR329" s="417">
        <v>0</v>
      </c>
    </row>
    <row r="330" spans="1:44">
      <c r="A330" s="439">
        <v>93411</v>
      </c>
      <c r="B330" s="440" t="s">
        <v>1040</v>
      </c>
      <c r="C330" s="437">
        <v>1.6267899999999998E-2</v>
      </c>
      <c r="D330" s="441"/>
      <c r="E330" s="438">
        <v>12584452.537074998</v>
      </c>
      <c r="F330" s="442">
        <v>10597293.208874999</v>
      </c>
      <c r="G330" s="442">
        <v>2571007.6684749993</v>
      </c>
      <c r="H330" s="442">
        <v>14450889.445299998</v>
      </c>
      <c r="I330" s="442">
        <v>0</v>
      </c>
      <c r="J330" s="443">
        <v>3.0000000000000001E-5</v>
      </c>
      <c r="K330" s="443"/>
      <c r="L330" s="444">
        <v>2621197.9232999999</v>
      </c>
      <c r="M330" s="444">
        <v>1074771.3492999999</v>
      </c>
      <c r="N330" s="444">
        <v>-129215.92969999999</v>
      </c>
      <c r="O330" s="444">
        <v>0</v>
      </c>
      <c r="P330" s="417">
        <v>0</v>
      </c>
      <c r="Q330" s="378">
        <v>3.0000000000000001E-5</v>
      </c>
      <c r="R330" s="378"/>
      <c r="S330" s="70">
        <v>6372998.6286999993</v>
      </c>
      <c r="T330" s="105">
        <v>5964739.4102999996</v>
      </c>
      <c r="U330" s="70">
        <v>3543701.7285999996</v>
      </c>
      <c r="V330" s="70">
        <v>14450889.445299998</v>
      </c>
      <c r="W330" s="417">
        <v>0</v>
      </c>
      <c r="X330" s="378">
        <v>3.0000000000000001E-5</v>
      </c>
      <c r="Z330" s="70">
        <v>4578519.1154999994</v>
      </c>
      <c r="AA330" s="70">
        <v>4578486.5796999997</v>
      </c>
      <c r="AB330" s="70">
        <v>0</v>
      </c>
      <c r="AC330" s="417">
        <v>0</v>
      </c>
      <c r="AD330" s="417">
        <v>0</v>
      </c>
      <c r="AE330" s="378">
        <v>3.0000000000000001E-5</v>
      </c>
      <c r="AF330" s="378"/>
      <c r="AG330" s="70">
        <v>98058</v>
      </c>
      <c r="AH330" s="70">
        <v>0</v>
      </c>
      <c r="AI330" s="70">
        <v>0</v>
      </c>
      <c r="AJ330" s="417">
        <v>0</v>
      </c>
      <c r="AK330" s="417">
        <v>0</v>
      </c>
      <c r="AL330" s="378">
        <v>3.0000000000000001E-5</v>
      </c>
      <c r="AM330" s="378"/>
      <c r="AN330" s="70">
        <v>-1086321.1304250001</v>
      </c>
      <c r="AO330" s="70">
        <v>-1020704.1304250001</v>
      </c>
      <c r="AP330" s="70">
        <v>-843478.1304250001</v>
      </c>
      <c r="AQ330" s="417">
        <v>0</v>
      </c>
      <c r="AR330" s="417">
        <v>0</v>
      </c>
    </row>
    <row r="331" spans="1:44">
      <c r="A331" s="439">
        <v>93413</v>
      </c>
      <c r="B331" s="440" t="s">
        <v>1041</v>
      </c>
      <c r="C331" s="437">
        <v>6.912E-4</v>
      </c>
      <c r="D331" s="441"/>
      <c r="E331" s="438">
        <v>582368.57880000002</v>
      </c>
      <c r="F331" s="442">
        <v>502022.36920000007</v>
      </c>
      <c r="G331" s="442">
        <v>136615.79800000004</v>
      </c>
      <c r="H331" s="442">
        <v>613997.79839999997</v>
      </c>
      <c r="I331" s="442">
        <v>0</v>
      </c>
      <c r="J331" s="443">
        <v>1.37733E-2</v>
      </c>
      <c r="K331" s="443"/>
      <c r="L331" s="444">
        <v>111370.98239999999</v>
      </c>
      <c r="M331" s="444">
        <v>45665.510399999999</v>
      </c>
      <c r="N331" s="444">
        <v>-5490.2016000000003</v>
      </c>
      <c r="O331" s="444">
        <v>0</v>
      </c>
      <c r="P331" s="417">
        <v>0</v>
      </c>
      <c r="Q331" s="378">
        <v>1.37733E-2</v>
      </c>
      <c r="R331" s="378"/>
      <c r="S331" s="70">
        <v>270779.67359999998</v>
      </c>
      <c r="T331" s="105">
        <v>253433.31839999999</v>
      </c>
      <c r="U331" s="70">
        <v>150566.86079999999</v>
      </c>
      <c r="V331" s="70">
        <v>613997.79839999997</v>
      </c>
      <c r="W331" s="417">
        <v>0</v>
      </c>
      <c r="X331" s="378">
        <v>1.37733E-2</v>
      </c>
      <c r="Z331" s="70">
        <v>194534.78399999999</v>
      </c>
      <c r="AA331" s="70">
        <v>194533.40160000001</v>
      </c>
      <c r="AB331" s="70">
        <v>0</v>
      </c>
      <c r="AC331" s="417">
        <v>0</v>
      </c>
      <c r="AD331" s="417">
        <v>0</v>
      </c>
      <c r="AE331" s="378">
        <v>1.37733E-2</v>
      </c>
      <c r="AF331" s="378"/>
      <c r="AG331" s="70">
        <v>17245</v>
      </c>
      <c r="AH331" s="70">
        <v>16851</v>
      </c>
      <c r="AI331" s="70">
        <v>0</v>
      </c>
      <c r="AJ331" s="417">
        <v>0</v>
      </c>
      <c r="AK331" s="417">
        <v>0</v>
      </c>
      <c r="AL331" s="378">
        <v>1.37733E-2</v>
      </c>
      <c r="AM331" s="378"/>
      <c r="AN331" s="70">
        <v>-11561.861199999956</v>
      </c>
      <c r="AO331" s="70">
        <v>-8460.8611999999557</v>
      </c>
      <c r="AP331" s="70">
        <v>-8460.8611999999557</v>
      </c>
      <c r="AQ331" s="417">
        <v>0</v>
      </c>
      <c r="AR331" s="417">
        <v>0</v>
      </c>
    </row>
    <row r="332" spans="1:44">
      <c r="A332" s="439">
        <v>93417</v>
      </c>
      <c r="B332" s="440" t="s">
        <v>1042</v>
      </c>
      <c r="C332" s="437">
        <v>2.875E-4</v>
      </c>
      <c r="D332" s="441"/>
      <c r="E332" s="438">
        <v>276693.91062500002</v>
      </c>
      <c r="F332" s="442">
        <v>229763.48562500003</v>
      </c>
      <c r="G332" s="442">
        <v>70012.135624999995</v>
      </c>
      <c r="H332" s="442">
        <v>255388.26249999998</v>
      </c>
      <c r="I332" s="442">
        <v>0</v>
      </c>
      <c r="J332" s="443">
        <v>0</v>
      </c>
      <c r="K332" s="443"/>
      <c r="L332" s="444">
        <v>46324.012499999997</v>
      </c>
      <c r="M332" s="444">
        <v>18994.262500000001</v>
      </c>
      <c r="N332" s="444">
        <v>-2283.6125000000002</v>
      </c>
      <c r="O332" s="444">
        <v>0</v>
      </c>
      <c r="P332" s="417">
        <v>0</v>
      </c>
      <c r="Q332" s="378">
        <v>0</v>
      </c>
      <c r="R332" s="378"/>
      <c r="S332" s="70">
        <v>112628.9875</v>
      </c>
      <c r="T332" s="105">
        <v>105413.8875</v>
      </c>
      <c r="U332" s="70">
        <v>62627.275000000001</v>
      </c>
      <c r="V332" s="70">
        <v>255388.26249999998</v>
      </c>
      <c r="W332" s="417">
        <v>0</v>
      </c>
      <c r="X332" s="378">
        <v>0</v>
      </c>
      <c r="Z332" s="70">
        <v>80915.4375</v>
      </c>
      <c r="AA332" s="70">
        <v>80914.862500000003</v>
      </c>
      <c r="AB332" s="70">
        <v>0</v>
      </c>
      <c r="AC332" s="417">
        <v>0</v>
      </c>
      <c r="AD332" s="417">
        <v>0</v>
      </c>
      <c r="AE332" s="378">
        <v>0</v>
      </c>
      <c r="AF332" s="378"/>
      <c r="AG332" s="70">
        <v>37590.473125000004</v>
      </c>
      <c r="AH332" s="70">
        <v>24440.473125000004</v>
      </c>
      <c r="AI332" s="70">
        <v>9668.4731250000041</v>
      </c>
      <c r="AJ332" s="417">
        <v>0</v>
      </c>
      <c r="AK332" s="417">
        <v>0</v>
      </c>
      <c r="AL332" s="378">
        <v>0</v>
      </c>
      <c r="AM332" s="378"/>
      <c r="AN332" s="70">
        <v>-765</v>
      </c>
      <c r="AO332" s="70">
        <v>0</v>
      </c>
      <c r="AP332" s="70">
        <v>0</v>
      </c>
      <c r="AQ332" s="417">
        <v>0</v>
      </c>
      <c r="AR332" s="417">
        <v>0</v>
      </c>
    </row>
    <row r="333" spans="1:44">
      <c r="A333" s="439">
        <v>93421</v>
      </c>
      <c r="B333" s="440" t="s">
        <v>1043</v>
      </c>
      <c r="C333" s="437">
        <v>1.9032999999999999E-3</v>
      </c>
      <c r="D333" s="441"/>
      <c r="E333" s="438">
        <v>1424324.7453749997</v>
      </c>
      <c r="F333" s="442">
        <v>1257043.0239749998</v>
      </c>
      <c r="G333" s="442">
        <v>389750.5131749998</v>
      </c>
      <c r="H333" s="442">
        <v>1690714.7130999998</v>
      </c>
      <c r="I333" s="442">
        <v>0</v>
      </c>
      <c r="J333" s="443">
        <v>5.7970000000000005E-4</v>
      </c>
      <c r="K333" s="443"/>
      <c r="L333" s="444">
        <v>306673.01909999998</v>
      </c>
      <c r="M333" s="444">
        <v>125745.3211</v>
      </c>
      <c r="N333" s="444">
        <v>-15117.911899999999</v>
      </c>
      <c r="O333" s="444">
        <v>0</v>
      </c>
      <c r="P333" s="417">
        <v>0</v>
      </c>
      <c r="Q333" s="378">
        <v>5.7970000000000005E-4</v>
      </c>
      <c r="R333" s="378"/>
      <c r="S333" s="70">
        <v>745623.48489999992</v>
      </c>
      <c r="T333" s="105">
        <v>697858.26809999999</v>
      </c>
      <c r="U333" s="70">
        <v>414603.4522</v>
      </c>
      <c r="V333" s="70">
        <v>1690714.7130999998</v>
      </c>
      <c r="W333" s="417">
        <v>0</v>
      </c>
      <c r="X333" s="378">
        <v>5.7970000000000005E-4</v>
      </c>
      <c r="Z333" s="70">
        <v>535674.26850000001</v>
      </c>
      <c r="AA333" s="70">
        <v>535670.46189999999</v>
      </c>
      <c r="AB333" s="70">
        <v>0</v>
      </c>
      <c r="AC333" s="417">
        <v>0</v>
      </c>
      <c r="AD333" s="417">
        <v>0</v>
      </c>
      <c r="AE333" s="378">
        <v>5.7970000000000005E-4</v>
      </c>
      <c r="AF333" s="378"/>
      <c r="AG333" s="70">
        <v>0</v>
      </c>
      <c r="AH333" s="70">
        <v>0</v>
      </c>
      <c r="AI333" s="70">
        <v>0</v>
      </c>
      <c r="AJ333" s="417">
        <v>0</v>
      </c>
      <c r="AK333" s="417">
        <v>0</v>
      </c>
      <c r="AL333" s="378">
        <v>5.7970000000000005E-4</v>
      </c>
      <c r="AM333" s="378"/>
      <c r="AN333" s="70">
        <v>-163646.0271250002</v>
      </c>
      <c r="AO333" s="70">
        <v>-102231.0271250002</v>
      </c>
      <c r="AP333" s="70">
        <v>-9735.027125000197</v>
      </c>
      <c r="AQ333" s="417">
        <v>0</v>
      </c>
      <c r="AR333" s="417">
        <v>0</v>
      </c>
    </row>
    <row r="334" spans="1:44">
      <c r="A334" s="439">
        <v>93431</v>
      </c>
      <c r="B334" s="440" t="s">
        <v>1044</v>
      </c>
      <c r="C334" s="437">
        <v>1.2899999999999999E-4</v>
      </c>
      <c r="D334" s="441"/>
      <c r="E334" s="438">
        <v>105989.09919999998</v>
      </c>
      <c r="F334" s="442">
        <v>91860.717199999985</v>
      </c>
      <c r="G334" s="442">
        <v>16330.113199999996</v>
      </c>
      <c r="H334" s="442">
        <v>114591.60299999999</v>
      </c>
      <c r="I334" s="442">
        <v>0</v>
      </c>
      <c r="J334" s="443">
        <v>0</v>
      </c>
      <c r="K334" s="443"/>
      <c r="L334" s="444">
        <v>20785.382999999998</v>
      </c>
      <c r="M334" s="444">
        <v>8522.643</v>
      </c>
      <c r="N334" s="444">
        <v>-1024.6469999999999</v>
      </c>
      <c r="O334" s="444">
        <v>0</v>
      </c>
      <c r="P334" s="417">
        <v>0</v>
      </c>
      <c r="Q334" s="378">
        <v>0</v>
      </c>
      <c r="R334" s="378"/>
      <c r="S334" s="70">
        <v>50536.136999999995</v>
      </c>
      <c r="T334" s="105">
        <v>47298.752999999997</v>
      </c>
      <c r="U334" s="70">
        <v>28100.585999999999</v>
      </c>
      <c r="V334" s="70">
        <v>114591.60299999999</v>
      </c>
      <c r="W334" s="417">
        <v>0</v>
      </c>
      <c r="X334" s="378">
        <v>0</v>
      </c>
      <c r="Z334" s="70">
        <v>36306.404999999999</v>
      </c>
      <c r="AA334" s="70">
        <v>36306.146999999997</v>
      </c>
      <c r="AB334" s="70">
        <v>0</v>
      </c>
      <c r="AC334" s="417">
        <v>0</v>
      </c>
      <c r="AD334" s="417">
        <v>0</v>
      </c>
      <c r="AE334" s="378">
        <v>0</v>
      </c>
      <c r="AF334" s="378"/>
      <c r="AG334" s="70">
        <v>10479</v>
      </c>
      <c r="AH334" s="70">
        <v>10479</v>
      </c>
      <c r="AI334" s="70">
        <v>0</v>
      </c>
      <c r="AJ334" s="417">
        <v>0</v>
      </c>
      <c r="AK334" s="417">
        <v>0</v>
      </c>
      <c r="AL334" s="378">
        <v>0</v>
      </c>
      <c r="AM334" s="378"/>
      <c r="AN334" s="70">
        <v>-12117.825800000002</v>
      </c>
      <c r="AO334" s="70">
        <v>-10745.825800000002</v>
      </c>
      <c r="AP334" s="70">
        <v>-10745.825800000002</v>
      </c>
      <c r="AQ334" s="417">
        <v>0</v>
      </c>
      <c r="AR334" s="417">
        <v>0</v>
      </c>
    </row>
    <row r="335" spans="1:44">
      <c r="A335" s="439">
        <v>93441</v>
      </c>
      <c r="B335" s="440" t="s">
        <v>1045</v>
      </c>
      <c r="C335" s="437">
        <v>1.7890000000000001E-4</v>
      </c>
      <c r="D335" s="441"/>
      <c r="E335" s="438">
        <v>153878.61167500005</v>
      </c>
      <c r="F335" s="442">
        <v>133230.34547500004</v>
      </c>
      <c r="G335" s="442">
        <v>48264.369075000017</v>
      </c>
      <c r="H335" s="442">
        <v>158918.12230000002</v>
      </c>
      <c r="I335" s="442">
        <v>0</v>
      </c>
      <c r="J335" s="443">
        <v>1.7717E-2</v>
      </c>
      <c r="K335" s="443"/>
      <c r="L335" s="444">
        <v>28825.620300000002</v>
      </c>
      <c r="M335" s="444">
        <v>11819.3863</v>
      </c>
      <c r="N335" s="444">
        <v>-1421.0027</v>
      </c>
      <c r="O335" s="444">
        <v>0</v>
      </c>
      <c r="P335" s="417">
        <v>0</v>
      </c>
      <c r="Q335" s="378">
        <v>1.7717E-2</v>
      </c>
      <c r="R335" s="378"/>
      <c r="S335" s="70">
        <v>70084.611700000009</v>
      </c>
      <c r="T335" s="105">
        <v>65594.937300000005</v>
      </c>
      <c r="U335" s="70">
        <v>38970.5026</v>
      </c>
      <c r="V335" s="70">
        <v>158918.12230000002</v>
      </c>
      <c r="W335" s="417">
        <v>0</v>
      </c>
      <c r="X335" s="378">
        <v>1.7717E-2</v>
      </c>
      <c r="Z335" s="70">
        <v>50350.510500000004</v>
      </c>
      <c r="AA335" s="70">
        <v>50350.152700000006</v>
      </c>
      <c r="AB335" s="70">
        <v>0</v>
      </c>
      <c r="AC335" s="417">
        <v>0</v>
      </c>
      <c r="AD335" s="417">
        <v>0</v>
      </c>
      <c r="AE335" s="378">
        <v>1.7717E-2</v>
      </c>
      <c r="AF335" s="378"/>
      <c r="AG335" s="70">
        <v>10887.869175000014</v>
      </c>
      <c r="AH335" s="70">
        <v>10714.869175000014</v>
      </c>
      <c r="AI335" s="70">
        <v>10714.869175000014</v>
      </c>
      <c r="AJ335" s="417">
        <v>0</v>
      </c>
      <c r="AK335" s="417">
        <v>0</v>
      </c>
      <c r="AL335" s="378">
        <v>1.7717E-2</v>
      </c>
      <c r="AM335" s="378"/>
      <c r="AN335" s="70">
        <v>-6270</v>
      </c>
      <c r="AO335" s="70">
        <v>-5249</v>
      </c>
      <c r="AP335" s="70">
        <v>0</v>
      </c>
      <c r="AQ335" s="417">
        <v>0</v>
      </c>
      <c r="AR335" s="417">
        <v>0</v>
      </c>
    </row>
    <row r="336" spans="1:44">
      <c r="A336" s="439">
        <v>93442</v>
      </c>
      <c r="B336" s="440" t="s">
        <v>1046</v>
      </c>
      <c r="C336" s="437">
        <v>1.5330000000000001E-4</v>
      </c>
      <c r="D336" s="441"/>
      <c r="E336" s="438">
        <v>117863.31677499998</v>
      </c>
      <c r="F336" s="442">
        <v>106888.095375</v>
      </c>
      <c r="G336" s="442">
        <v>37899.584574999986</v>
      </c>
      <c r="H336" s="442">
        <v>136177.46310000002</v>
      </c>
      <c r="I336" s="442">
        <v>0</v>
      </c>
      <c r="J336" s="443">
        <v>7.1159999999999995E-4</v>
      </c>
      <c r="K336" s="443"/>
      <c r="L336" s="444">
        <v>24700.769100000001</v>
      </c>
      <c r="M336" s="444">
        <v>10128.071100000001</v>
      </c>
      <c r="N336" s="444">
        <v>-1217.6619000000001</v>
      </c>
      <c r="O336" s="444">
        <v>0</v>
      </c>
      <c r="P336" s="417">
        <v>0</v>
      </c>
      <c r="Q336" s="378">
        <v>7.1159999999999995E-4</v>
      </c>
      <c r="R336" s="378"/>
      <c r="S336" s="70">
        <v>60055.734900000003</v>
      </c>
      <c r="T336" s="105">
        <v>56208.518100000001</v>
      </c>
      <c r="U336" s="70">
        <v>33393.9522</v>
      </c>
      <c r="V336" s="70">
        <v>136177.46310000002</v>
      </c>
      <c r="W336" s="417">
        <v>0</v>
      </c>
      <c r="X336" s="378">
        <v>7.1159999999999995E-4</v>
      </c>
      <c r="Z336" s="70">
        <v>43145.518500000006</v>
      </c>
      <c r="AA336" s="70">
        <v>43145.211900000002</v>
      </c>
      <c r="AB336" s="70">
        <v>0</v>
      </c>
      <c r="AC336" s="417">
        <v>0</v>
      </c>
      <c r="AD336" s="417">
        <v>0</v>
      </c>
      <c r="AE336" s="378">
        <v>7.1159999999999995E-4</v>
      </c>
      <c r="AF336" s="378"/>
      <c r="AG336" s="70">
        <v>5723.2942749999856</v>
      </c>
      <c r="AH336" s="70">
        <v>5723.2942749999856</v>
      </c>
      <c r="AI336" s="70">
        <v>5723.2942749999856</v>
      </c>
      <c r="AJ336" s="417">
        <v>0</v>
      </c>
      <c r="AK336" s="417">
        <v>0</v>
      </c>
      <c r="AL336" s="378">
        <v>7.1159999999999995E-4</v>
      </c>
      <c r="AM336" s="378"/>
      <c r="AN336" s="70">
        <v>-15762</v>
      </c>
      <c r="AO336" s="70">
        <v>-8317</v>
      </c>
      <c r="AP336" s="70">
        <v>0</v>
      </c>
      <c r="AQ336" s="417">
        <v>0</v>
      </c>
      <c r="AR336" s="417">
        <v>0</v>
      </c>
    </row>
    <row r="337" spans="1:44">
      <c r="A337" s="439">
        <v>93451</v>
      </c>
      <c r="B337" s="440" t="s">
        <v>1047</v>
      </c>
      <c r="C337" s="437">
        <v>7.6600000000000005E-5</v>
      </c>
      <c r="D337" s="441"/>
      <c r="E337" s="438">
        <v>80072.662050000014</v>
      </c>
      <c r="F337" s="442">
        <v>67681.55925000002</v>
      </c>
      <c r="G337" s="442">
        <v>27736.017650000009</v>
      </c>
      <c r="H337" s="442">
        <v>68044.316200000001</v>
      </c>
      <c r="I337" s="442">
        <v>0</v>
      </c>
      <c r="J337" s="443">
        <v>2.9250000000000001E-4</v>
      </c>
      <c r="K337" s="443"/>
      <c r="L337" s="444">
        <v>12342.328200000002</v>
      </c>
      <c r="M337" s="444">
        <v>5060.7322000000004</v>
      </c>
      <c r="N337" s="444">
        <v>-608.43380000000002</v>
      </c>
      <c r="O337" s="444">
        <v>0</v>
      </c>
      <c r="P337" s="417">
        <v>0</v>
      </c>
      <c r="Q337" s="378">
        <v>2.9250000000000001E-4</v>
      </c>
      <c r="R337" s="378"/>
      <c r="S337" s="70">
        <v>30008.2798</v>
      </c>
      <c r="T337" s="105">
        <v>28085.926200000002</v>
      </c>
      <c r="U337" s="70">
        <v>16686.0844</v>
      </c>
      <c r="V337" s="70">
        <v>68044.316200000001</v>
      </c>
      <c r="W337" s="417">
        <v>0</v>
      </c>
      <c r="X337" s="378">
        <v>2.9250000000000001E-4</v>
      </c>
      <c r="Z337" s="70">
        <v>21558.687000000002</v>
      </c>
      <c r="AA337" s="70">
        <v>21558.533800000001</v>
      </c>
      <c r="AB337" s="70">
        <v>0</v>
      </c>
      <c r="AC337" s="417">
        <v>0</v>
      </c>
      <c r="AD337" s="417">
        <v>0</v>
      </c>
      <c r="AE337" s="378">
        <v>2.9250000000000001E-4</v>
      </c>
      <c r="AF337" s="378"/>
      <c r="AG337" s="70">
        <v>16411.367050000008</v>
      </c>
      <c r="AH337" s="70">
        <v>12976.367050000008</v>
      </c>
      <c r="AI337" s="70">
        <v>11658.367050000008</v>
      </c>
      <c r="AJ337" s="417">
        <v>0</v>
      </c>
      <c r="AK337" s="417">
        <v>0</v>
      </c>
      <c r="AL337" s="378">
        <v>2.9250000000000001E-4</v>
      </c>
      <c r="AM337" s="378"/>
      <c r="AN337" s="70">
        <v>-248</v>
      </c>
      <c r="AO337" s="70">
        <v>0</v>
      </c>
      <c r="AP337" s="70">
        <v>0</v>
      </c>
      <c r="AQ337" s="417">
        <v>0</v>
      </c>
      <c r="AR337" s="417">
        <v>0</v>
      </c>
    </row>
    <row r="338" spans="1:44">
      <c r="A338" s="439">
        <v>93461</v>
      </c>
      <c r="B338" s="440" t="s">
        <v>1048</v>
      </c>
      <c r="C338" s="437">
        <v>1.5500000000000001E-5</v>
      </c>
      <c r="D338" s="441"/>
      <c r="E338" s="438">
        <v>12820.275024999997</v>
      </c>
      <c r="F338" s="442">
        <v>11219.826024999998</v>
      </c>
      <c r="G338" s="442">
        <v>3037.5480249999982</v>
      </c>
      <c r="H338" s="442">
        <v>13768.7585</v>
      </c>
      <c r="I338" s="442">
        <v>0</v>
      </c>
      <c r="J338" s="443">
        <v>1.8813E-3</v>
      </c>
      <c r="K338" s="443"/>
      <c r="L338" s="444">
        <v>2497.4684999999999</v>
      </c>
      <c r="M338" s="444">
        <v>1024.0385000000001</v>
      </c>
      <c r="N338" s="444">
        <v>-123.1165</v>
      </c>
      <c r="O338" s="444">
        <v>0</v>
      </c>
      <c r="P338" s="417">
        <v>0</v>
      </c>
      <c r="Q338" s="378">
        <v>1.8813E-3</v>
      </c>
      <c r="R338" s="378"/>
      <c r="S338" s="70">
        <v>6072.1715000000004</v>
      </c>
      <c r="T338" s="105">
        <v>5683.1835000000001</v>
      </c>
      <c r="U338" s="70">
        <v>3376.4270000000001</v>
      </c>
      <c r="V338" s="70">
        <v>13768.7585</v>
      </c>
      <c r="W338" s="417">
        <v>0</v>
      </c>
      <c r="X338" s="378">
        <v>1.8813E-3</v>
      </c>
      <c r="Z338" s="70">
        <v>4362.3975</v>
      </c>
      <c r="AA338" s="70">
        <v>4362.3665000000001</v>
      </c>
      <c r="AB338" s="70">
        <v>0</v>
      </c>
      <c r="AC338" s="417">
        <v>0</v>
      </c>
      <c r="AD338" s="417">
        <v>0</v>
      </c>
      <c r="AE338" s="378">
        <v>1.8813E-3</v>
      </c>
      <c r="AF338" s="378"/>
      <c r="AG338" s="70">
        <v>366</v>
      </c>
      <c r="AH338" s="70">
        <v>366</v>
      </c>
      <c r="AI338" s="70">
        <v>0</v>
      </c>
      <c r="AJ338" s="417">
        <v>0</v>
      </c>
      <c r="AK338" s="417">
        <v>0</v>
      </c>
      <c r="AL338" s="378">
        <v>1.8813E-3</v>
      </c>
      <c r="AM338" s="378"/>
      <c r="AN338" s="70">
        <v>-477.76247500000181</v>
      </c>
      <c r="AO338" s="70">
        <v>-215.76247500000181</v>
      </c>
      <c r="AP338" s="70">
        <v>-215.76247500000181</v>
      </c>
      <c r="AQ338" s="417">
        <v>0</v>
      </c>
      <c r="AR338" s="417">
        <v>0</v>
      </c>
    </row>
    <row r="339" spans="1:44">
      <c r="A339" s="439">
        <v>93471</v>
      </c>
      <c r="B339" s="440" t="s">
        <v>1049</v>
      </c>
      <c r="C339" s="437">
        <v>1.11E-5</v>
      </c>
      <c r="D339" s="441"/>
      <c r="E339" s="438">
        <v>14112.967625000001</v>
      </c>
      <c r="F339" s="442">
        <v>10469.213825000003</v>
      </c>
      <c r="G339" s="442">
        <v>3681.7502250000007</v>
      </c>
      <c r="H339" s="442">
        <v>9860.2077000000008</v>
      </c>
      <c r="I339" s="442">
        <v>0</v>
      </c>
      <c r="J339" s="443">
        <v>1.5009999999999999E-4</v>
      </c>
      <c r="K339" s="443"/>
      <c r="L339" s="444">
        <v>1788.5097000000001</v>
      </c>
      <c r="M339" s="444">
        <v>733.34370000000001</v>
      </c>
      <c r="N339" s="444">
        <v>-88.167299999999997</v>
      </c>
      <c r="O339" s="444">
        <v>0</v>
      </c>
      <c r="P339" s="417">
        <v>0</v>
      </c>
      <c r="Q339" s="378">
        <v>1.5009999999999999E-4</v>
      </c>
      <c r="R339" s="378"/>
      <c r="S339" s="70">
        <v>4348.4583000000002</v>
      </c>
      <c r="T339" s="105">
        <v>4069.8927000000003</v>
      </c>
      <c r="U339" s="70">
        <v>2417.9574000000002</v>
      </c>
      <c r="V339" s="70">
        <v>9860.2077000000008</v>
      </c>
      <c r="W339" s="417">
        <v>0</v>
      </c>
      <c r="X339" s="378">
        <v>1.5009999999999999E-4</v>
      </c>
      <c r="Z339" s="70">
        <v>3124.0395000000003</v>
      </c>
      <c r="AA339" s="70">
        <v>3124.0173</v>
      </c>
      <c r="AB339" s="70">
        <v>0</v>
      </c>
      <c r="AC339" s="417">
        <v>0</v>
      </c>
      <c r="AD339" s="417">
        <v>0</v>
      </c>
      <c r="AE339" s="378">
        <v>1.5009999999999999E-4</v>
      </c>
      <c r="AF339" s="378"/>
      <c r="AG339" s="70">
        <v>4851.9601250000005</v>
      </c>
      <c r="AH339" s="70">
        <v>2541.9601250000005</v>
      </c>
      <c r="AI339" s="70">
        <v>1351.9601250000005</v>
      </c>
      <c r="AJ339" s="417">
        <v>0</v>
      </c>
      <c r="AK339" s="417">
        <v>0</v>
      </c>
      <c r="AL339" s="378">
        <v>1.5009999999999999E-4</v>
      </c>
      <c r="AM339" s="378"/>
      <c r="AN339" s="70">
        <v>0</v>
      </c>
      <c r="AO339" s="70">
        <v>0</v>
      </c>
      <c r="AP339" s="70">
        <v>0</v>
      </c>
      <c r="AQ339" s="417">
        <v>0</v>
      </c>
      <c r="AR339" s="417">
        <v>0</v>
      </c>
    </row>
    <row r="340" spans="1:44">
      <c r="A340" s="439">
        <v>93501</v>
      </c>
      <c r="B340" s="440" t="s">
        <v>1050</v>
      </c>
      <c r="C340" s="437">
        <v>3.5991999999999999E-3</v>
      </c>
      <c r="D340" s="441"/>
      <c r="E340" s="438">
        <v>2931307.2933500004</v>
      </c>
      <c r="F340" s="442">
        <v>2529875.6197500001</v>
      </c>
      <c r="G340" s="442">
        <v>827158.44055000029</v>
      </c>
      <c r="H340" s="442">
        <v>3197194.5543999998</v>
      </c>
      <c r="I340" s="442">
        <v>0</v>
      </c>
      <c r="J340" s="443">
        <v>1.573E-4</v>
      </c>
      <c r="K340" s="443"/>
      <c r="L340" s="444">
        <v>579928.29839999997</v>
      </c>
      <c r="M340" s="444">
        <v>237788.34639999998</v>
      </c>
      <c r="N340" s="444">
        <v>-28588.445599999999</v>
      </c>
      <c r="O340" s="444">
        <v>0</v>
      </c>
      <c r="P340" s="417">
        <v>0</v>
      </c>
      <c r="Q340" s="378">
        <v>1.573E-4</v>
      </c>
      <c r="R340" s="378"/>
      <c r="S340" s="70">
        <v>1409997.3976</v>
      </c>
      <c r="T340" s="105">
        <v>1319671.8743999999</v>
      </c>
      <c r="U340" s="70">
        <v>784028.13280000002</v>
      </c>
      <c r="V340" s="70">
        <v>3197194.5543999998</v>
      </c>
      <c r="W340" s="417">
        <v>0</v>
      </c>
      <c r="X340" s="378">
        <v>1.573E-4</v>
      </c>
      <c r="Z340" s="70">
        <v>1012976.8439999999</v>
      </c>
      <c r="AA340" s="70">
        <v>1012969.6455999999</v>
      </c>
      <c r="AB340" s="70">
        <v>0</v>
      </c>
      <c r="AC340" s="417">
        <v>0</v>
      </c>
      <c r="AD340" s="417">
        <v>0</v>
      </c>
      <c r="AE340" s="378">
        <v>1.573E-4</v>
      </c>
      <c r="AF340" s="378"/>
      <c r="AG340" s="70">
        <v>92986.753350000246</v>
      </c>
      <c r="AH340" s="70">
        <v>71718.753350000246</v>
      </c>
      <c r="AI340" s="70">
        <v>71718.753350000246</v>
      </c>
      <c r="AJ340" s="417">
        <v>0</v>
      </c>
      <c r="AK340" s="417">
        <v>0</v>
      </c>
      <c r="AL340" s="378">
        <v>1.573E-4</v>
      </c>
      <c r="AM340" s="378"/>
      <c r="AN340" s="70">
        <v>-164582</v>
      </c>
      <c r="AO340" s="70">
        <v>-112273</v>
      </c>
      <c r="AP340" s="70">
        <v>0</v>
      </c>
      <c r="AQ340" s="417">
        <v>0</v>
      </c>
      <c r="AR340" s="417">
        <v>0</v>
      </c>
    </row>
    <row r="341" spans="1:44">
      <c r="A341" s="439">
        <v>93511</v>
      </c>
      <c r="B341" s="440" t="s">
        <v>1051</v>
      </c>
      <c r="C341" s="437">
        <v>1.272E-4</v>
      </c>
      <c r="D341" s="441"/>
      <c r="E341" s="438">
        <v>131664.97904999999</v>
      </c>
      <c r="F341" s="442">
        <v>115520.88145</v>
      </c>
      <c r="G341" s="442">
        <v>50539.974249999999</v>
      </c>
      <c r="H341" s="442">
        <v>112992.6504</v>
      </c>
      <c r="I341" s="442">
        <v>0</v>
      </c>
      <c r="J341" s="443">
        <v>1.3750000000000001E-4</v>
      </c>
      <c r="K341" s="443"/>
      <c r="L341" s="444">
        <v>20495.3544</v>
      </c>
      <c r="M341" s="444">
        <v>8403.7224000000006</v>
      </c>
      <c r="N341" s="444">
        <v>-1010.3496</v>
      </c>
      <c r="O341" s="444">
        <v>0</v>
      </c>
      <c r="P341" s="417">
        <v>0</v>
      </c>
      <c r="Q341" s="378">
        <v>1.3750000000000001E-4</v>
      </c>
      <c r="R341" s="378"/>
      <c r="S341" s="70">
        <v>49830.981599999999</v>
      </c>
      <c r="T341" s="105">
        <v>46638.770400000001</v>
      </c>
      <c r="U341" s="70">
        <v>27708.484800000002</v>
      </c>
      <c r="V341" s="70">
        <v>112992.6504</v>
      </c>
      <c r="W341" s="417">
        <v>0</v>
      </c>
      <c r="X341" s="378">
        <v>1.3750000000000001E-4</v>
      </c>
      <c r="Z341" s="70">
        <v>35799.804000000004</v>
      </c>
      <c r="AA341" s="70">
        <v>35799.549599999998</v>
      </c>
      <c r="AB341" s="70">
        <v>0</v>
      </c>
      <c r="AC341" s="417">
        <v>0</v>
      </c>
      <c r="AD341" s="417">
        <v>0</v>
      </c>
      <c r="AE341" s="378">
        <v>1.3750000000000001E-4</v>
      </c>
      <c r="AF341" s="378"/>
      <c r="AG341" s="70">
        <v>26145.839049999995</v>
      </c>
      <c r="AH341" s="70">
        <v>24678.839049999995</v>
      </c>
      <c r="AI341" s="70">
        <v>23841.839049999995</v>
      </c>
      <c r="AJ341" s="417">
        <v>0</v>
      </c>
      <c r="AK341" s="417">
        <v>0</v>
      </c>
      <c r="AL341" s="378">
        <v>1.3750000000000001E-4</v>
      </c>
      <c r="AM341" s="378"/>
      <c r="AN341" s="70">
        <v>-607</v>
      </c>
      <c r="AO341" s="70">
        <v>0</v>
      </c>
      <c r="AP341" s="70">
        <v>0</v>
      </c>
      <c r="AQ341" s="417">
        <v>0</v>
      </c>
      <c r="AR341" s="417">
        <v>0</v>
      </c>
    </row>
    <row r="342" spans="1:44">
      <c r="A342" s="439">
        <v>93517</v>
      </c>
      <c r="B342" s="440" t="s">
        <v>1052</v>
      </c>
      <c r="C342" s="437">
        <v>1.01E-5</v>
      </c>
      <c r="D342" s="441"/>
      <c r="E342" s="438">
        <v>14535.293674999999</v>
      </c>
      <c r="F342" s="442">
        <v>12361.697875</v>
      </c>
      <c r="G342" s="442">
        <v>5897.5102749999996</v>
      </c>
      <c r="H342" s="442">
        <v>8971.9007000000001</v>
      </c>
      <c r="I342" s="442">
        <v>0</v>
      </c>
      <c r="J342" s="443">
        <v>6.3E-5</v>
      </c>
      <c r="K342" s="443"/>
      <c r="L342" s="444">
        <v>1627.3826999999999</v>
      </c>
      <c r="M342" s="444">
        <v>667.27670000000001</v>
      </c>
      <c r="N342" s="444">
        <v>-80.224299999999999</v>
      </c>
      <c r="O342" s="444">
        <v>0</v>
      </c>
      <c r="P342" s="417">
        <v>0</v>
      </c>
      <c r="Q342" s="378">
        <v>6.3E-5</v>
      </c>
      <c r="R342" s="378"/>
      <c r="S342" s="70">
        <v>3956.7053000000001</v>
      </c>
      <c r="T342" s="105">
        <v>3703.2356999999997</v>
      </c>
      <c r="U342" s="70">
        <v>2200.1233999999999</v>
      </c>
      <c r="V342" s="70">
        <v>8971.9007000000001</v>
      </c>
      <c r="W342" s="417">
        <v>0</v>
      </c>
      <c r="X342" s="378">
        <v>6.3E-5</v>
      </c>
      <c r="Z342" s="70">
        <v>2842.5945000000002</v>
      </c>
      <c r="AA342" s="70">
        <v>2842.5742999999998</v>
      </c>
      <c r="AB342" s="70">
        <v>0</v>
      </c>
      <c r="AC342" s="417">
        <v>0</v>
      </c>
      <c r="AD342" s="417">
        <v>0</v>
      </c>
      <c r="AE342" s="378">
        <v>6.3E-5</v>
      </c>
      <c r="AF342" s="378"/>
      <c r="AG342" s="70">
        <v>6108.611175</v>
      </c>
      <c r="AH342" s="70">
        <v>5148.611175</v>
      </c>
      <c r="AI342" s="70">
        <v>3777.6111749999995</v>
      </c>
      <c r="AJ342" s="417">
        <v>0</v>
      </c>
      <c r="AK342" s="417">
        <v>0</v>
      </c>
      <c r="AL342" s="378">
        <v>6.3E-5</v>
      </c>
      <c r="AM342" s="378"/>
      <c r="AN342" s="70">
        <v>0</v>
      </c>
      <c r="AO342" s="70">
        <v>0</v>
      </c>
      <c r="AP342" s="70">
        <v>0</v>
      </c>
      <c r="AQ342" s="417">
        <v>0</v>
      </c>
      <c r="AR342" s="417">
        <v>0</v>
      </c>
    </row>
    <row r="343" spans="1:44">
      <c r="A343" s="439">
        <v>93521</v>
      </c>
      <c r="B343" s="440" t="s">
        <v>1053</v>
      </c>
      <c r="C343" s="437">
        <v>4.4040000000000003E-4</v>
      </c>
      <c r="D343" s="441"/>
      <c r="E343" s="438">
        <v>361733.7685500001</v>
      </c>
      <c r="F343" s="442">
        <v>310033.18535000004</v>
      </c>
      <c r="G343" s="442">
        <v>93003.034950000045</v>
      </c>
      <c r="H343" s="442">
        <v>391210.40280000004</v>
      </c>
      <c r="I343" s="442">
        <v>0</v>
      </c>
      <c r="J343" s="443">
        <v>1.5699999999999999E-5</v>
      </c>
      <c r="K343" s="443"/>
      <c r="L343" s="444">
        <v>70960.330800000011</v>
      </c>
      <c r="M343" s="444">
        <v>29095.906800000001</v>
      </c>
      <c r="N343" s="444">
        <v>-3498.0972000000002</v>
      </c>
      <c r="O343" s="444">
        <v>0</v>
      </c>
      <c r="P343" s="417">
        <v>0</v>
      </c>
      <c r="Q343" s="378">
        <v>1.5699999999999999E-5</v>
      </c>
      <c r="R343" s="378"/>
      <c r="S343" s="70">
        <v>172528.02120000002</v>
      </c>
      <c r="T343" s="105">
        <v>161475.74280000001</v>
      </c>
      <c r="U343" s="70">
        <v>95934.093600000007</v>
      </c>
      <c r="V343" s="70">
        <v>391210.40280000004</v>
      </c>
      <c r="W343" s="417">
        <v>0</v>
      </c>
      <c r="X343" s="378">
        <v>1.5699999999999999E-5</v>
      </c>
      <c r="Z343" s="70">
        <v>123948.37800000001</v>
      </c>
      <c r="AA343" s="70">
        <v>123947.49720000001</v>
      </c>
      <c r="AB343" s="70">
        <v>0</v>
      </c>
      <c r="AC343" s="417">
        <v>0</v>
      </c>
      <c r="AD343" s="417">
        <v>0</v>
      </c>
      <c r="AE343" s="378">
        <v>1.5699999999999999E-5</v>
      </c>
      <c r="AF343" s="378"/>
      <c r="AG343" s="70">
        <v>3543.0385500000411</v>
      </c>
      <c r="AH343" s="70">
        <v>567.03855000004114</v>
      </c>
      <c r="AI343" s="70">
        <v>567.03855000004114</v>
      </c>
      <c r="AJ343" s="417">
        <v>0</v>
      </c>
      <c r="AK343" s="417">
        <v>0</v>
      </c>
      <c r="AL343" s="378">
        <v>1.5699999999999999E-5</v>
      </c>
      <c r="AM343" s="378"/>
      <c r="AN343" s="70">
        <v>-9246</v>
      </c>
      <c r="AO343" s="70">
        <v>-5053</v>
      </c>
      <c r="AP343" s="70">
        <v>0</v>
      </c>
      <c r="AQ343" s="417">
        <v>0</v>
      </c>
      <c r="AR343" s="417">
        <v>0</v>
      </c>
    </row>
    <row r="344" spans="1:44">
      <c r="A344" s="439">
        <v>93527</v>
      </c>
      <c r="B344" s="440" t="s">
        <v>1054</v>
      </c>
      <c r="C344" s="437">
        <v>1.4800000000000001E-5</v>
      </c>
      <c r="D344" s="441"/>
      <c r="E344" s="438">
        <v>20151.71</v>
      </c>
      <c r="F344" s="442">
        <v>16828.371600000002</v>
      </c>
      <c r="G344" s="442">
        <v>4373.0868000000009</v>
      </c>
      <c r="H344" s="442">
        <v>13146.943600000001</v>
      </c>
      <c r="I344" s="442">
        <v>0</v>
      </c>
      <c r="J344" s="443">
        <v>1.2099999999999999E-5</v>
      </c>
      <c r="K344" s="443"/>
      <c r="L344" s="444">
        <v>2384.6795999999999</v>
      </c>
      <c r="M344" s="444">
        <v>977.79160000000002</v>
      </c>
      <c r="N344" s="444">
        <v>-117.55640000000001</v>
      </c>
      <c r="O344" s="444">
        <v>0</v>
      </c>
      <c r="P344" s="417">
        <v>0</v>
      </c>
      <c r="Q344" s="378">
        <v>1.2099999999999999E-5</v>
      </c>
      <c r="R344" s="378"/>
      <c r="S344" s="70">
        <v>5797.9444000000003</v>
      </c>
      <c r="T344" s="105">
        <v>5426.5236000000004</v>
      </c>
      <c r="U344" s="70">
        <v>3223.9432000000002</v>
      </c>
      <c r="V344" s="70">
        <v>13146.943600000001</v>
      </c>
      <c r="W344" s="417">
        <v>0</v>
      </c>
      <c r="X344" s="378">
        <v>1.2099999999999999E-5</v>
      </c>
      <c r="Z344" s="70">
        <v>4165.3860000000004</v>
      </c>
      <c r="AA344" s="70">
        <v>4165.3564000000006</v>
      </c>
      <c r="AB344" s="70">
        <v>0</v>
      </c>
      <c r="AC344" s="417">
        <v>0</v>
      </c>
      <c r="AD344" s="417">
        <v>0</v>
      </c>
      <c r="AE344" s="378">
        <v>1.2099999999999999E-5</v>
      </c>
      <c r="AF344" s="378"/>
      <c r="AG344" s="70">
        <v>7803.7000000000007</v>
      </c>
      <c r="AH344" s="70">
        <v>6258.7000000000007</v>
      </c>
      <c r="AI344" s="70">
        <v>1266.7000000000003</v>
      </c>
      <c r="AJ344" s="417">
        <v>0</v>
      </c>
      <c r="AK344" s="417">
        <v>0</v>
      </c>
      <c r="AL344" s="378">
        <v>1.2099999999999999E-5</v>
      </c>
      <c r="AM344" s="378"/>
      <c r="AN344" s="70">
        <v>0</v>
      </c>
      <c r="AO344" s="70">
        <v>0</v>
      </c>
      <c r="AP344" s="70">
        <v>0</v>
      </c>
      <c r="AQ344" s="417">
        <v>0</v>
      </c>
      <c r="AR344" s="417">
        <v>0</v>
      </c>
    </row>
    <row r="345" spans="1:44">
      <c r="A345" s="439">
        <v>93531</v>
      </c>
      <c r="B345" s="440" t="s">
        <v>1055</v>
      </c>
      <c r="C345" s="437">
        <v>2.6999999999999999E-5</v>
      </c>
      <c r="D345" s="441"/>
      <c r="E345" s="438">
        <v>25689.398550000002</v>
      </c>
      <c r="F345" s="442">
        <v>22249.132549999998</v>
      </c>
      <c r="G345" s="442">
        <v>7613.6805499999991</v>
      </c>
      <c r="H345" s="442">
        <v>23984.289000000001</v>
      </c>
      <c r="I345" s="442">
        <v>0</v>
      </c>
      <c r="J345" s="443">
        <v>3.5084999999999999E-3</v>
      </c>
      <c r="K345" s="443"/>
      <c r="L345" s="444">
        <v>4350.4290000000001</v>
      </c>
      <c r="M345" s="444">
        <v>1783.809</v>
      </c>
      <c r="N345" s="444">
        <v>-214.46099999999998</v>
      </c>
      <c r="O345" s="444">
        <v>0</v>
      </c>
      <c r="P345" s="417">
        <v>0</v>
      </c>
      <c r="Q345" s="378">
        <v>3.5084999999999999E-3</v>
      </c>
      <c r="R345" s="378"/>
      <c r="S345" s="70">
        <v>10577.331</v>
      </c>
      <c r="T345" s="105">
        <v>9899.7389999999996</v>
      </c>
      <c r="U345" s="70">
        <v>5881.518</v>
      </c>
      <c r="V345" s="70">
        <v>23984.289000000001</v>
      </c>
      <c r="W345" s="417">
        <v>0</v>
      </c>
      <c r="X345" s="378">
        <v>3.5084999999999999E-3</v>
      </c>
      <c r="Z345" s="70">
        <v>7599.0149999999994</v>
      </c>
      <c r="AA345" s="70">
        <v>7598.9609999999993</v>
      </c>
      <c r="AB345" s="70">
        <v>0</v>
      </c>
      <c r="AC345" s="417">
        <v>0</v>
      </c>
      <c r="AD345" s="417">
        <v>0</v>
      </c>
      <c r="AE345" s="378">
        <v>3.5084999999999999E-3</v>
      </c>
      <c r="AF345" s="378"/>
      <c r="AG345" s="70">
        <v>4693.6235499999993</v>
      </c>
      <c r="AH345" s="70">
        <v>2966.6235499999993</v>
      </c>
      <c r="AI345" s="70">
        <v>1946.6235499999993</v>
      </c>
      <c r="AJ345" s="417">
        <v>0</v>
      </c>
      <c r="AK345" s="417">
        <v>0</v>
      </c>
      <c r="AL345" s="378">
        <v>3.5084999999999999E-3</v>
      </c>
      <c r="AM345" s="378"/>
      <c r="AN345" s="70">
        <v>-1531</v>
      </c>
      <c r="AO345" s="70">
        <v>0</v>
      </c>
      <c r="AP345" s="70">
        <v>0</v>
      </c>
      <c r="AQ345" s="417">
        <v>0</v>
      </c>
      <c r="AR345" s="417">
        <v>0</v>
      </c>
    </row>
    <row r="346" spans="1:44">
      <c r="A346" s="439">
        <v>93537</v>
      </c>
      <c r="B346" s="440" t="s">
        <v>1056</v>
      </c>
      <c r="C346" s="437">
        <v>1.03E-5</v>
      </c>
      <c r="D346" s="441"/>
      <c r="E346" s="438">
        <v>6863.4933750000018</v>
      </c>
      <c r="F346" s="442">
        <v>6466.8659750000006</v>
      </c>
      <c r="G346" s="442">
        <v>1945.8231750000009</v>
      </c>
      <c r="H346" s="442">
        <v>9149.5620999999992</v>
      </c>
      <c r="I346" s="442">
        <v>0</v>
      </c>
      <c r="J346" s="443">
        <v>8.2100000000000003E-5</v>
      </c>
      <c r="K346" s="443"/>
      <c r="L346" s="444">
        <v>1659.6080999999999</v>
      </c>
      <c r="M346" s="444">
        <v>680.49009999999998</v>
      </c>
      <c r="N346" s="444">
        <v>-81.812899999999999</v>
      </c>
      <c r="O346" s="444">
        <v>0</v>
      </c>
      <c r="P346" s="417">
        <v>0</v>
      </c>
      <c r="Q346" s="378">
        <v>8.2100000000000003E-5</v>
      </c>
      <c r="R346" s="378"/>
      <c r="S346" s="70">
        <v>4035.0558999999998</v>
      </c>
      <c r="T346" s="105">
        <v>3776.5670999999998</v>
      </c>
      <c r="U346" s="70">
        <v>2243.6902</v>
      </c>
      <c r="V346" s="70">
        <v>9149.5620999999992</v>
      </c>
      <c r="W346" s="417">
        <v>0</v>
      </c>
      <c r="X346" s="378">
        <v>8.2100000000000003E-5</v>
      </c>
      <c r="Z346" s="70">
        <v>2898.8834999999999</v>
      </c>
      <c r="AA346" s="70">
        <v>2898.8629000000001</v>
      </c>
      <c r="AB346" s="70">
        <v>0</v>
      </c>
      <c r="AC346" s="417">
        <v>0</v>
      </c>
      <c r="AD346" s="417">
        <v>0</v>
      </c>
      <c r="AE346" s="378">
        <v>8.2100000000000003E-5</v>
      </c>
      <c r="AF346" s="378"/>
      <c r="AG346" s="70">
        <v>0</v>
      </c>
      <c r="AH346" s="70">
        <v>0</v>
      </c>
      <c r="AI346" s="70">
        <v>0</v>
      </c>
      <c r="AJ346" s="417">
        <v>0</v>
      </c>
      <c r="AK346" s="417">
        <v>0</v>
      </c>
      <c r="AL346" s="378">
        <v>8.2100000000000003E-5</v>
      </c>
      <c r="AM346" s="378"/>
      <c r="AN346" s="70">
        <v>-1730.0541249999992</v>
      </c>
      <c r="AO346" s="70">
        <v>-889.0541249999992</v>
      </c>
      <c r="AP346" s="70">
        <v>-216.0541249999992</v>
      </c>
      <c r="AQ346" s="417">
        <v>0</v>
      </c>
      <c r="AR346" s="417">
        <v>0</v>
      </c>
    </row>
    <row r="347" spans="1:44">
      <c r="A347" s="439">
        <v>93541</v>
      </c>
      <c r="B347" s="440" t="s">
        <v>1057</v>
      </c>
      <c r="C347" s="437">
        <v>2.0019999999999999E-4</v>
      </c>
      <c r="D347" s="441"/>
      <c r="E347" s="438">
        <v>204445.69404999996</v>
      </c>
      <c r="F347" s="442">
        <v>153734.06244999997</v>
      </c>
      <c r="G347" s="442">
        <v>43541.007249999973</v>
      </c>
      <c r="H347" s="442">
        <v>177839.06139999998</v>
      </c>
      <c r="I347" s="442">
        <v>0</v>
      </c>
      <c r="J347" s="443">
        <v>4.5000000000000001E-6</v>
      </c>
      <c r="K347" s="443"/>
      <c r="L347" s="444">
        <v>32257.625399999997</v>
      </c>
      <c r="M347" s="444">
        <v>13226.613399999998</v>
      </c>
      <c r="N347" s="444">
        <v>-1590.1886</v>
      </c>
      <c r="O347" s="444">
        <v>0</v>
      </c>
      <c r="P347" s="417">
        <v>0</v>
      </c>
      <c r="Q347" s="378">
        <v>4.5000000000000001E-6</v>
      </c>
      <c r="R347" s="378"/>
      <c r="S347" s="70">
        <v>78428.950599999996</v>
      </c>
      <c r="T347" s="105">
        <v>73404.73139999999</v>
      </c>
      <c r="U347" s="70">
        <v>43610.366799999996</v>
      </c>
      <c r="V347" s="70">
        <v>177839.06139999998</v>
      </c>
      <c r="W347" s="417">
        <v>0</v>
      </c>
      <c r="X347" s="378">
        <v>4.5000000000000001E-6</v>
      </c>
      <c r="Z347" s="70">
        <v>56345.288999999997</v>
      </c>
      <c r="AA347" s="70">
        <v>56344.888599999998</v>
      </c>
      <c r="AB347" s="70">
        <v>0</v>
      </c>
      <c r="AC347" s="417">
        <v>0</v>
      </c>
      <c r="AD347" s="417">
        <v>0</v>
      </c>
      <c r="AE347" s="378">
        <v>4.5000000000000001E-6</v>
      </c>
      <c r="AF347" s="378"/>
      <c r="AG347" s="70">
        <v>37413.829049999978</v>
      </c>
      <c r="AH347" s="70">
        <v>10757.829049999978</v>
      </c>
      <c r="AI347" s="70">
        <v>1520.8290499999785</v>
      </c>
      <c r="AJ347" s="417">
        <v>0</v>
      </c>
      <c r="AK347" s="417">
        <v>0</v>
      </c>
      <c r="AL347" s="378">
        <v>4.5000000000000001E-6</v>
      </c>
      <c r="AM347" s="378"/>
      <c r="AN347" s="70">
        <v>0</v>
      </c>
      <c r="AO347" s="70">
        <v>0</v>
      </c>
      <c r="AP347" s="70">
        <v>0</v>
      </c>
      <c r="AQ347" s="417">
        <v>0</v>
      </c>
      <c r="AR347" s="417">
        <v>0</v>
      </c>
    </row>
    <row r="348" spans="1:44">
      <c r="A348" s="439">
        <v>93601</v>
      </c>
      <c r="B348" s="440" t="s">
        <v>1058</v>
      </c>
      <c r="C348" s="437">
        <v>1.13095E-2</v>
      </c>
      <c r="D348" s="441"/>
      <c r="E348" s="438">
        <v>9697685.8975750003</v>
      </c>
      <c r="F348" s="442">
        <v>8367737.9965749998</v>
      </c>
      <c r="G348" s="442">
        <v>2436725.5745750004</v>
      </c>
      <c r="H348" s="442">
        <v>10046308.0165</v>
      </c>
      <c r="I348" s="442">
        <v>0</v>
      </c>
      <c r="J348" s="443">
        <v>4.5629999999999998E-4</v>
      </c>
      <c r="K348" s="443"/>
      <c r="L348" s="444">
        <v>1822265.8064999999</v>
      </c>
      <c r="M348" s="444">
        <v>747184.7365</v>
      </c>
      <c r="N348" s="444">
        <v>-89831.358500000002</v>
      </c>
      <c r="O348" s="444">
        <v>0</v>
      </c>
      <c r="P348" s="417">
        <v>0</v>
      </c>
      <c r="Q348" s="378">
        <v>4.5629999999999998E-4</v>
      </c>
      <c r="R348" s="378"/>
      <c r="S348" s="70">
        <v>4430530.5535000004</v>
      </c>
      <c r="T348" s="105">
        <v>4146707.3415000001</v>
      </c>
      <c r="U348" s="70">
        <v>2463593.6230000001</v>
      </c>
      <c r="V348" s="70">
        <v>10046308.0165</v>
      </c>
      <c r="W348" s="417">
        <v>0</v>
      </c>
      <c r="X348" s="378">
        <v>4.5629999999999998E-4</v>
      </c>
      <c r="Z348" s="70">
        <v>3183002.2275</v>
      </c>
      <c r="AA348" s="70">
        <v>3182979.6085000001</v>
      </c>
      <c r="AB348" s="70">
        <v>0</v>
      </c>
      <c r="AC348" s="417">
        <v>0</v>
      </c>
      <c r="AD348" s="417">
        <v>0</v>
      </c>
      <c r="AE348" s="378">
        <v>4.5629999999999998E-4</v>
      </c>
      <c r="AF348" s="378"/>
      <c r="AG348" s="70">
        <v>318849.31007500039</v>
      </c>
      <c r="AH348" s="70">
        <v>290866.31007500039</v>
      </c>
      <c r="AI348" s="70">
        <v>62963.310075000394</v>
      </c>
      <c r="AJ348" s="417">
        <v>0</v>
      </c>
      <c r="AK348" s="417">
        <v>0</v>
      </c>
      <c r="AL348" s="378">
        <v>4.5629999999999998E-4</v>
      </c>
      <c r="AM348" s="378"/>
      <c r="AN348" s="70">
        <v>-56962</v>
      </c>
      <c r="AO348" s="70">
        <v>0</v>
      </c>
      <c r="AP348" s="70">
        <v>0</v>
      </c>
      <c r="AQ348" s="417">
        <v>0</v>
      </c>
      <c r="AR348" s="417">
        <v>0</v>
      </c>
    </row>
    <row r="349" spans="1:44">
      <c r="A349" s="439">
        <v>93602</v>
      </c>
      <c r="B349" s="440" t="s">
        <v>1059</v>
      </c>
      <c r="C349" s="437">
        <v>1.7789999999999999E-4</v>
      </c>
      <c r="D349" s="441"/>
      <c r="E349" s="438">
        <v>166087.09557499998</v>
      </c>
      <c r="F349" s="442">
        <v>149803.987375</v>
      </c>
      <c r="G349" s="442">
        <v>47789.286974999995</v>
      </c>
      <c r="H349" s="442">
        <v>158029.81529999999</v>
      </c>
      <c r="I349" s="442">
        <v>0</v>
      </c>
      <c r="J349" s="443">
        <v>1.4800000000000001E-5</v>
      </c>
      <c r="K349" s="443"/>
      <c r="L349" s="444">
        <v>28664.493299999998</v>
      </c>
      <c r="M349" s="444">
        <v>11753.319299999999</v>
      </c>
      <c r="N349" s="444">
        <v>-1413.0596999999998</v>
      </c>
      <c r="O349" s="444">
        <v>0</v>
      </c>
      <c r="P349" s="417">
        <v>0</v>
      </c>
      <c r="Q349" s="378">
        <v>1.4800000000000001E-5</v>
      </c>
      <c r="R349" s="378"/>
      <c r="S349" s="70">
        <v>69692.858699999997</v>
      </c>
      <c r="T349" s="105">
        <v>65228.280299999999</v>
      </c>
      <c r="U349" s="70">
        <v>38752.668599999997</v>
      </c>
      <c r="V349" s="70">
        <v>158029.81529999999</v>
      </c>
      <c r="W349" s="417">
        <v>0</v>
      </c>
      <c r="X349" s="378">
        <v>1.4800000000000001E-5</v>
      </c>
      <c r="Z349" s="70">
        <v>50069.065499999997</v>
      </c>
      <c r="AA349" s="70">
        <v>50068.709699999999</v>
      </c>
      <c r="AB349" s="70">
        <v>0</v>
      </c>
      <c r="AC349" s="417">
        <v>0</v>
      </c>
      <c r="AD349" s="417">
        <v>0</v>
      </c>
      <c r="AE349" s="378">
        <v>1.4800000000000001E-5</v>
      </c>
      <c r="AF349" s="378"/>
      <c r="AG349" s="70">
        <v>26034.678074999996</v>
      </c>
      <c r="AH349" s="70">
        <v>22753.678074999996</v>
      </c>
      <c r="AI349" s="70">
        <v>10449.678074999996</v>
      </c>
      <c r="AJ349" s="417">
        <v>0</v>
      </c>
      <c r="AK349" s="417">
        <v>0</v>
      </c>
      <c r="AL349" s="378">
        <v>1.4800000000000001E-5</v>
      </c>
      <c r="AM349" s="378"/>
      <c r="AN349" s="70">
        <v>-8374</v>
      </c>
      <c r="AO349" s="70">
        <v>0</v>
      </c>
      <c r="AP349" s="70">
        <v>0</v>
      </c>
      <c r="AQ349" s="417">
        <v>0</v>
      </c>
      <c r="AR349" s="417">
        <v>0</v>
      </c>
    </row>
    <row r="350" spans="1:44">
      <c r="A350" s="439">
        <v>93604</v>
      </c>
      <c r="B350" s="440" t="s">
        <v>1926</v>
      </c>
      <c r="C350" s="437">
        <v>1.8700000000000001E-5</v>
      </c>
      <c r="D350" s="441"/>
      <c r="E350" s="438">
        <v>19016.922524999998</v>
      </c>
      <c r="F350" s="442">
        <v>19500.967925000001</v>
      </c>
      <c r="G350" s="442">
        <v>8321.0067249999993</v>
      </c>
      <c r="H350" s="442">
        <v>16611.340899999999</v>
      </c>
      <c r="I350" s="442">
        <v>0</v>
      </c>
      <c r="J350" s="443">
        <v>2.5400000000000001E-5</v>
      </c>
      <c r="K350" s="443"/>
      <c r="L350" s="444">
        <v>3013.0749000000001</v>
      </c>
      <c r="M350" s="444">
        <v>1235.4529</v>
      </c>
      <c r="N350" s="444">
        <v>-148.5341</v>
      </c>
      <c r="O350" s="444">
        <v>0</v>
      </c>
      <c r="P350" s="417">
        <v>0</v>
      </c>
      <c r="Q350" s="378">
        <v>2.5400000000000001E-5</v>
      </c>
      <c r="R350" s="378"/>
      <c r="S350" s="70">
        <v>7325.7811000000002</v>
      </c>
      <c r="T350" s="105">
        <v>6856.4859000000006</v>
      </c>
      <c r="U350" s="70">
        <v>4073.4958000000001</v>
      </c>
      <c r="V350" s="70">
        <v>16611.340899999999</v>
      </c>
      <c r="W350" s="417">
        <v>0</v>
      </c>
      <c r="X350" s="378">
        <v>2.5400000000000001E-5</v>
      </c>
      <c r="Z350" s="70">
        <v>5263.0214999999998</v>
      </c>
      <c r="AA350" s="70">
        <v>5262.9841000000006</v>
      </c>
      <c r="AB350" s="70">
        <v>0</v>
      </c>
      <c r="AC350" s="417">
        <v>0</v>
      </c>
      <c r="AD350" s="417">
        <v>0</v>
      </c>
      <c r="AE350" s="378">
        <v>2.5400000000000001E-5</v>
      </c>
      <c r="AF350" s="378"/>
      <c r="AG350" s="70">
        <v>7964.0450249999985</v>
      </c>
      <c r="AH350" s="70">
        <v>6146.0450249999985</v>
      </c>
      <c r="AI350" s="70">
        <v>4396.0450249999985</v>
      </c>
      <c r="AJ350" s="417">
        <v>0</v>
      </c>
      <c r="AK350" s="417">
        <v>0</v>
      </c>
      <c r="AL350" s="378">
        <v>2.5400000000000001E-5</v>
      </c>
      <c r="AM350" s="378"/>
      <c r="AN350" s="70">
        <v>-4549</v>
      </c>
      <c r="AO350" s="70">
        <v>0</v>
      </c>
      <c r="AP350" s="70">
        <v>0</v>
      </c>
      <c r="AQ350" s="417">
        <v>0</v>
      </c>
      <c r="AR350" s="417">
        <v>0</v>
      </c>
    </row>
    <row r="351" spans="1:44">
      <c r="A351" s="439">
        <v>93609</v>
      </c>
      <c r="B351" s="440" t="s">
        <v>1060</v>
      </c>
      <c r="C351" s="437">
        <v>4.8735999999999996E-3</v>
      </c>
      <c r="D351" s="441"/>
      <c r="E351" s="438">
        <v>4691619.81745</v>
      </c>
      <c r="F351" s="442">
        <v>4189389.78865</v>
      </c>
      <c r="G351" s="442">
        <v>1582885.2750500001</v>
      </c>
      <c r="H351" s="442">
        <v>4329252.9951999998</v>
      </c>
      <c r="I351" s="442">
        <v>0</v>
      </c>
      <c r="J351" s="443">
        <v>9.7999999999999993E-6</v>
      </c>
      <c r="K351" s="443"/>
      <c r="L351" s="444">
        <v>785268.54719999991</v>
      </c>
      <c r="M351" s="444">
        <v>321984.1312</v>
      </c>
      <c r="N351" s="444">
        <v>-38711.004799999995</v>
      </c>
      <c r="O351" s="444">
        <v>0</v>
      </c>
      <c r="P351" s="417">
        <v>0</v>
      </c>
      <c r="Q351" s="378">
        <v>9.7999999999999993E-6</v>
      </c>
      <c r="R351" s="378"/>
      <c r="S351" s="70">
        <v>1909247.4208</v>
      </c>
      <c r="T351" s="105">
        <v>1786939.5551999998</v>
      </c>
      <c r="U351" s="70">
        <v>1061635.7823999999</v>
      </c>
      <c r="V351" s="70">
        <v>4329252.9951999998</v>
      </c>
      <c r="W351" s="417">
        <v>0</v>
      </c>
      <c r="X351" s="378">
        <v>9.7999999999999993E-6</v>
      </c>
      <c r="Z351" s="70">
        <v>1371650.352</v>
      </c>
      <c r="AA351" s="70">
        <v>1371640.6047999999</v>
      </c>
      <c r="AB351" s="70">
        <v>0</v>
      </c>
      <c r="AC351" s="417">
        <v>0</v>
      </c>
      <c r="AD351" s="417">
        <v>0</v>
      </c>
      <c r="AE351" s="378">
        <v>9.7999999999999993E-6</v>
      </c>
      <c r="AF351" s="378"/>
      <c r="AG351" s="70">
        <v>708825.49745000014</v>
      </c>
      <c r="AH351" s="70">
        <v>708825.49745000014</v>
      </c>
      <c r="AI351" s="70">
        <v>559960.49745000014</v>
      </c>
      <c r="AJ351" s="417">
        <v>0</v>
      </c>
      <c r="AK351" s="417">
        <v>0</v>
      </c>
      <c r="AL351" s="378">
        <v>9.7999999999999993E-6</v>
      </c>
      <c r="AM351" s="378"/>
      <c r="AN351" s="70">
        <v>-83372</v>
      </c>
      <c r="AO351" s="70">
        <v>0</v>
      </c>
      <c r="AP351" s="70">
        <v>0</v>
      </c>
      <c r="AQ351" s="417">
        <v>0</v>
      </c>
      <c r="AR351" s="417">
        <v>0</v>
      </c>
    </row>
    <row r="352" spans="1:44">
      <c r="A352" s="439">
        <v>93610</v>
      </c>
      <c r="B352" s="440" t="s">
        <v>1061</v>
      </c>
      <c r="C352" s="437">
        <v>1.5500000000000001E-5</v>
      </c>
      <c r="D352" s="441"/>
      <c r="E352" s="438">
        <v>11508.293824999997</v>
      </c>
      <c r="F352" s="442">
        <v>10139.844825</v>
      </c>
      <c r="G352" s="442">
        <v>2694.5668249999994</v>
      </c>
      <c r="H352" s="442">
        <v>13768.7585</v>
      </c>
      <c r="I352" s="442">
        <v>0</v>
      </c>
      <c r="J352" s="443">
        <v>1.8760000000000001E-4</v>
      </c>
      <c r="K352" s="443"/>
      <c r="L352" s="444">
        <v>2497.4684999999999</v>
      </c>
      <c r="M352" s="444">
        <v>1024.0385000000001</v>
      </c>
      <c r="N352" s="444">
        <v>-123.1165</v>
      </c>
      <c r="O352" s="444">
        <v>0</v>
      </c>
      <c r="P352" s="417">
        <v>0</v>
      </c>
      <c r="Q352" s="378">
        <v>1.8760000000000001E-4</v>
      </c>
      <c r="R352" s="378"/>
      <c r="S352" s="70">
        <v>6072.1715000000004</v>
      </c>
      <c r="T352" s="105">
        <v>5683.1835000000001</v>
      </c>
      <c r="U352" s="70">
        <v>3376.4270000000001</v>
      </c>
      <c r="V352" s="70">
        <v>13768.7585</v>
      </c>
      <c r="W352" s="417">
        <v>0</v>
      </c>
      <c r="X352" s="378">
        <v>1.8760000000000001E-4</v>
      </c>
      <c r="Z352" s="70">
        <v>4362.3975</v>
      </c>
      <c r="AA352" s="70">
        <v>4362.3665000000001</v>
      </c>
      <c r="AB352" s="70">
        <v>0</v>
      </c>
      <c r="AC352" s="417">
        <v>0</v>
      </c>
      <c r="AD352" s="417">
        <v>0</v>
      </c>
      <c r="AE352" s="378">
        <v>1.8760000000000001E-4</v>
      </c>
      <c r="AF352" s="378"/>
      <c r="AG352" s="70">
        <v>0</v>
      </c>
      <c r="AH352" s="70">
        <v>0</v>
      </c>
      <c r="AI352" s="70">
        <v>0</v>
      </c>
      <c r="AJ352" s="417">
        <v>0</v>
      </c>
      <c r="AK352" s="417">
        <v>0</v>
      </c>
      <c r="AL352" s="378">
        <v>1.8760000000000001E-4</v>
      </c>
      <c r="AM352" s="378"/>
      <c r="AN352" s="70">
        <v>-1423.7436750000006</v>
      </c>
      <c r="AO352" s="70">
        <v>-929.74367500000062</v>
      </c>
      <c r="AP352" s="70">
        <v>-558.74367500000062</v>
      </c>
      <c r="AQ352" s="417">
        <v>0</v>
      </c>
      <c r="AR352" s="417">
        <v>0</v>
      </c>
    </row>
    <row r="353" spans="1:44">
      <c r="A353" s="439">
        <v>93611</v>
      </c>
      <c r="B353" s="440" t="s">
        <v>1062</v>
      </c>
      <c r="C353" s="437">
        <v>6.5487999999999996E-3</v>
      </c>
      <c r="D353" s="441"/>
      <c r="E353" s="438">
        <v>5399071.7232499998</v>
      </c>
      <c r="F353" s="442">
        <v>4657334.0128499996</v>
      </c>
      <c r="G353" s="442">
        <v>1498974.3440499997</v>
      </c>
      <c r="H353" s="442">
        <v>5817344.8816</v>
      </c>
      <c r="I353" s="442">
        <v>0</v>
      </c>
      <c r="J353" s="443">
        <v>1.1387599999999999E-2</v>
      </c>
      <c r="K353" s="443"/>
      <c r="L353" s="444">
        <v>1055188.4975999999</v>
      </c>
      <c r="M353" s="444">
        <v>432659.56959999999</v>
      </c>
      <c r="N353" s="444">
        <v>-52017.118399999999</v>
      </c>
      <c r="O353" s="444">
        <v>0</v>
      </c>
      <c r="P353" s="417">
        <v>0</v>
      </c>
      <c r="Q353" s="378">
        <v>1.1387599999999999E-2</v>
      </c>
      <c r="R353" s="378"/>
      <c r="S353" s="70">
        <v>2565512.0463999999</v>
      </c>
      <c r="T353" s="105">
        <v>2401163.3615999999</v>
      </c>
      <c r="U353" s="70">
        <v>1426551.2992</v>
      </c>
      <c r="V353" s="70">
        <v>5817344.8816</v>
      </c>
      <c r="W353" s="417">
        <v>0</v>
      </c>
      <c r="X353" s="378">
        <v>1.1387599999999999E-2</v>
      </c>
      <c r="Z353" s="70">
        <v>1843127.0159999998</v>
      </c>
      <c r="AA353" s="70">
        <v>1843113.9183999998</v>
      </c>
      <c r="AB353" s="70">
        <v>0</v>
      </c>
      <c r="AC353" s="417">
        <v>0</v>
      </c>
      <c r="AD353" s="417">
        <v>0</v>
      </c>
      <c r="AE353" s="378">
        <v>1.1387599999999999E-2</v>
      </c>
      <c r="AF353" s="378"/>
      <c r="AG353" s="70">
        <v>124440.16324999975</v>
      </c>
      <c r="AH353" s="70">
        <v>124440.16324999975</v>
      </c>
      <c r="AI353" s="70">
        <v>124440.16324999975</v>
      </c>
      <c r="AJ353" s="417">
        <v>0</v>
      </c>
      <c r="AK353" s="417">
        <v>0</v>
      </c>
      <c r="AL353" s="378">
        <v>1.1387599999999999E-2</v>
      </c>
      <c r="AM353" s="378"/>
      <c r="AN353" s="70">
        <v>-189196</v>
      </c>
      <c r="AO353" s="70">
        <v>-144043</v>
      </c>
      <c r="AP353" s="70">
        <v>0</v>
      </c>
      <c r="AQ353" s="417">
        <v>0</v>
      </c>
      <c r="AR353" s="417">
        <v>0</v>
      </c>
    </row>
    <row r="354" spans="1:44">
      <c r="A354" s="439">
        <v>93617</v>
      </c>
      <c r="B354" s="440" t="s">
        <v>1063</v>
      </c>
      <c r="C354" s="437">
        <v>9.6000000000000002E-5</v>
      </c>
      <c r="D354" s="441"/>
      <c r="E354" s="438">
        <v>107045.74365000002</v>
      </c>
      <c r="F354" s="442">
        <v>89742.575650000013</v>
      </c>
      <c r="G354" s="442">
        <v>24880.079650000011</v>
      </c>
      <c r="H354" s="442">
        <v>85277.472000000009</v>
      </c>
      <c r="I354" s="442">
        <v>0</v>
      </c>
      <c r="J354" s="443">
        <v>1.7000000000000001E-4</v>
      </c>
      <c r="K354" s="443"/>
      <c r="L354" s="444">
        <v>15468.192000000001</v>
      </c>
      <c r="M354" s="444">
        <v>6342.4319999999998</v>
      </c>
      <c r="N354" s="444">
        <v>-762.52800000000002</v>
      </c>
      <c r="O354" s="444">
        <v>0</v>
      </c>
      <c r="P354" s="417">
        <v>0</v>
      </c>
      <c r="Q354" s="378">
        <v>1.7000000000000001E-4</v>
      </c>
      <c r="R354" s="378"/>
      <c r="S354" s="70">
        <v>37608.288</v>
      </c>
      <c r="T354" s="105">
        <v>35199.072</v>
      </c>
      <c r="U354" s="70">
        <v>20912.064000000002</v>
      </c>
      <c r="V354" s="70">
        <v>85277.472000000009</v>
      </c>
      <c r="W354" s="417">
        <v>0</v>
      </c>
      <c r="X354" s="378">
        <v>1.7000000000000001E-4</v>
      </c>
      <c r="Z354" s="70">
        <v>27018.720000000001</v>
      </c>
      <c r="AA354" s="70">
        <v>27018.528000000002</v>
      </c>
      <c r="AB354" s="70">
        <v>0</v>
      </c>
      <c r="AC354" s="417">
        <v>0</v>
      </c>
      <c r="AD354" s="417">
        <v>0</v>
      </c>
      <c r="AE354" s="378">
        <v>1.7000000000000001E-4</v>
      </c>
      <c r="AF354" s="378"/>
      <c r="AG354" s="70">
        <v>26950.543650000007</v>
      </c>
      <c r="AH354" s="70">
        <v>21182.543650000007</v>
      </c>
      <c r="AI354" s="70">
        <v>4730.5436500000069</v>
      </c>
      <c r="AJ354" s="417">
        <v>0</v>
      </c>
      <c r="AK354" s="417">
        <v>0</v>
      </c>
      <c r="AL354" s="378">
        <v>1.7000000000000001E-4</v>
      </c>
      <c r="AM354" s="378"/>
      <c r="AN354" s="70">
        <v>0</v>
      </c>
      <c r="AO354" s="70">
        <v>0</v>
      </c>
      <c r="AP354" s="70">
        <v>0</v>
      </c>
      <c r="AQ354" s="417">
        <v>0</v>
      </c>
      <c r="AR354" s="417">
        <v>0</v>
      </c>
    </row>
    <row r="355" spans="1:44">
      <c r="A355" s="439">
        <v>93618</v>
      </c>
      <c r="B355" s="440" t="s">
        <v>1064</v>
      </c>
      <c r="C355" s="437">
        <v>7.5000000000000002E-6</v>
      </c>
      <c r="D355" s="441"/>
      <c r="E355" s="438">
        <v>25167.728475</v>
      </c>
      <c r="F355" s="442">
        <v>18607.543474999999</v>
      </c>
      <c r="G355" s="442">
        <v>8752.4734750000007</v>
      </c>
      <c r="H355" s="442">
        <v>6662.3024999999998</v>
      </c>
      <c r="I355" s="442">
        <v>0</v>
      </c>
      <c r="J355" s="443">
        <v>1.3900000000000001E-5</v>
      </c>
      <c r="K355" s="443"/>
      <c r="L355" s="444">
        <v>1208.4525000000001</v>
      </c>
      <c r="M355" s="444">
        <v>495.5025</v>
      </c>
      <c r="N355" s="444">
        <v>-59.572499999999998</v>
      </c>
      <c r="O355" s="444">
        <v>0</v>
      </c>
      <c r="P355" s="417">
        <v>0</v>
      </c>
      <c r="Q355" s="378">
        <v>1.3900000000000001E-5</v>
      </c>
      <c r="R355" s="378"/>
      <c r="S355" s="70">
        <v>2938.1475</v>
      </c>
      <c r="T355" s="105">
        <v>2749.9275000000002</v>
      </c>
      <c r="U355" s="70">
        <v>1633.7550000000001</v>
      </c>
      <c r="V355" s="70">
        <v>6662.3024999999998</v>
      </c>
      <c r="W355" s="417">
        <v>0</v>
      </c>
      <c r="X355" s="378">
        <v>1.3900000000000001E-5</v>
      </c>
      <c r="Z355" s="70">
        <v>2110.8375000000001</v>
      </c>
      <c r="AA355" s="70">
        <v>2110.8225000000002</v>
      </c>
      <c r="AB355" s="70">
        <v>0</v>
      </c>
      <c r="AC355" s="417">
        <v>0</v>
      </c>
      <c r="AD355" s="417">
        <v>0</v>
      </c>
      <c r="AE355" s="378">
        <v>1.3900000000000001E-5</v>
      </c>
      <c r="AF355" s="378"/>
      <c r="AG355" s="70">
        <v>18910.290975</v>
      </c>
      <c r="AH355" s="70">
        <v>13251.290975</v>
      </c>
      <c r="AI355" s="70">
        <v>7178.2909750000008</v>
      </c>
      <c r="AJ355" s="417">
        <v>0</v>
      </c>
      <c r="AK355" s="417">
        <v>0</v>
      </c>
      <c r="AL355" s="378">
        <v>1.3900000000000001E-5</v>
      </c>
      <c r="AM355" s="378"/>
      <c r="AN355" s="70">
        <v>0</v>
      </c>
      <c r="AO355" s="70">
        <v>0</v>
      </c>
      <c r="AP355" s="70">
        <v>0</v>
      </c>
      <c r="AQ355" s="417">
        <v>0</v>
      </c>
      <c r="AR355" s="417">
        <v>0</v>
      </c>
    </row>
    <row r="356" spans="1:44">
      <c r="A356" s="439">
        <v>93621</v>
      </c>
      <c r="B356" s="440" t="s">
        <v>1065</v>
      </c>
      <c r="C356" s="437">
        <v>1.2574000000000001E-3</v>
      </c>
      <c r="D356" s="441"/>
      <c r="E356" s="438">
        <v>1098121.7910500001</v>
      </c>
      <c r="F356" s="442">
        <v>923062.12185</v>
      </c>
      <c r="G356" s="442">
        <v>293977.47945000004</v>
      </c>
      <c r="H356" s="442">
        <v>1116957.2218000002</v>
      </c>
      <c r="I356" s="442">
        <v>0</v>
      </c>
      <c r="J356" s="443">
        <v>3.9456999999999999E-3</v>
      </c>
      <c r="K356" s="443"/>
      <c r="L356" s="444">
        <v>202601.08980000002</v>
      </c>
      <c r="M356" s="444">
        <v>83072.645800000013</v>
      </c>
      <c r="N356" s="444">
        <v>-9987.5282000000007</v>
      </c>
      <c r="O356" s="444">
        <v>0</v>
      </c>
      <c r="P356" s="417">
        <v>0</v>
      </c>
      <c r="Q356" s="378">
        <v>3.9456999999999999E-3</v>
      </c>
      <c r="R356" s="378"/>
      <c r="S356" s="70">
        <v>492590.22220000002</v>
      </c>
      <c r="T356" s="105">
        <v>461034.51180000004</v>
      </c>
      <c r="U356" s="70">
        <v>273904.47160000005</v>
      </c>
      <c r="V356" s="70">
        <v>1116957.2218000002</v>
      </c>
      <c r="W356" s="417">
        <v>0</v>
      </c>
      <c r="X356" s="378">
        <v>3.9456999999999999E-3</v>
      </c>
      <c r="Z356" s="70">
        <v>353888.94300000003</v>
      </c>
      <c r="AA356" s="70">
        <v>353886.42820000002</v>
      </c>
      <c r="AB356" s="70">
        <v>0</v>
      </c>
      <c r="AC356" s="417">
        <v>0</v>
      </c>
      <c r="AD356" s="417">
        <v>0</v>
      </c>
      <c r="AE356" s="378">
        <v>3.9456999999999999E-3</v>
      </c>
      <c r="AF356" s="378"/>
      <c r="AG356" s="70">
        <v>55708.536049999995</v>
      </c>
      <c r="AH356" s="70">
        <v>30060.536049999995</v>
      </c>
      <c r="AI356" s="70">
        <v>30060.536049999995</v>
      </c>
      <c r="AJ356" s="417">
        <v>0</v>
      </c>
      <c r="AK356" s="417">
        <v>0</v>
      </c>
      <c r="AL356" s="378">
        <v>3.9456999999999999E-3</v>
      </c>
      <c r="AM356" s="378"/>
      <c r="AN356" s="70">
        <v>-6667</v>
      </c>
      <c r="AO356" s="70">
        <v>-4992</v>
      </c>
      <c r="AP356" s="70">
        <v>0</v>
      </c>
      <c r="AQ356" s="417">
        <v>0</v>
      </c>
      <c r="AR356" s="417">
        <v>0</v>
      </c>
    </row>
    <row r="357" spans="1:44">
      <c r="A357" s="439">
        <v>93623</v>
      </c>
      <c r="B357" s="440" t="s">
        <v>1066</v>
      </c>
      <c r="C357" s="437">
        <v>1.0200000000000001E-5</v>
      </c>
      <c r="D357" s="441"/>
      <c r="E357" s="438">
        <v>9387.5156500000012</v>
      </c>
      <c r="F357" s="442">
        <v>7580.904050000001</v>
      </c>
      <c r="G357" s="442">
        <v>2658.2888500000008</v>
      </c>
      <c r="H357" s="442">
        <v>9060.7314000000006</v>
      </c>
      <c r="I357" s="442">
        <v>0</v>
      </c>
      <c r="J357" s="443">
        <v>1.6099999999999998E-5</v>
      </c>
      <c r="K357" s="443"/>
      <c r="L357" s="444">
        <v>1643.4954</v>
      </c>
      <c r="M357" s="444">
        <v>673.88340000000005</v>
      </c>
      <c r="N357" s="444">
        <v>-81.018600000000006</v>
      </c>
      <c r="O357" s="444">
        <v>0</v>
      </c>
      <c r="P357" s="417">
        <v>0</v>
      </c>
      <c r="Q357" s="378">
        <v>1.6099999999999998E-5</v>
      </c>
      <c r="R357" s="378"/>
      <c r="S357" s="70">
        <v>3995.8806000000004</v>
      </c>
      <c r="T357" s="105">
        <v>3739.9014000000002</v>
      </c>
      <c r="U357" s="70">
        <v>2221.9068000000002</v>
      </c>
      <c r="V357" s="70">
        <v>9060.7314000000006</v>
      </c>
      <c r="W357" s="417">
        <v>0</v>
      </c>
      <c r="X357" s="378">
        <v>1.6099999999999998E-5</v>
      </c>
      <c r="Z357" s="70">
        <v>2870.739</v>
      </c>
      <c r="AA357" s="70">
        <v>2870.7186000000002</v>
      </c>
      <c r="AB357" s="70">
        <v>0</v>
      </c>
      <c r="AC357" s="417">
        <v>0</v>
      </c>
      <c r="AD357" s="417">
        <v>0</v>
      </c>
      <c r="AE357" s="378">
        <v>1.6099999999999998E-5</v>
      </c>
      <c r="AF357" s="378"/>
      <c r="AG357" s="70">
        <v>1098.4006500000005</v>
      </c>
      <c r="AH357" s="70">
        <v>517.4006500000005</v>
      </c>
      <c r="AI357" s="70">
        <v>517.4006500000005</v>
      </c>
      <c r="AJ357" s="417">
        <v>0</v>
      </c>
      <c r="AK357" s="417">
        <v>0</v>
      </c>
      <c r="AL357" s="378">
        <v>1.6099999999999998E-5</v>
      </c>
      <c r="AM357" s="378"/>
      <c r="AN357" s="70">
        <v>-221</v>
      </c>
      <c r="AO357" s="70">
        <v>-221</v>
      </c>
      <c r="AP357" s="70">
        <v>0</v>
      </c>
      <c r="AQ357" s="417">
        <v>0</v>
      </c>
      <c r="AR357" s="417">
        <v>0</v>
      </c>
    </row>
    <row r="358" spans="1:44">
      <c r="A358" s="439">
        <v>93631</v>
      </c>
      <c r="B358" s="440" t="s">
        <v>1067</v>
      </c>
      <c r="C358" s="437">
        <v>2.7300000000000002E-4</v>
      </c>
      <c r="D358" s="441"/>
      <c r="E358" s="438">
        <v>225086.77799999999</v>
      </c>
      <c r="F358" s="442">
        <v>178558.64400000003</v>
      </c>
      <c r="G358" s="442">
        <v>64492.296000000024</v>
      </c>
      <c r="H358" s="442">
        <v>242507.81100000002</v>
      </c>
      <c r="I358" s="442">
        <v>0</v>
      </c>
      <c r="J358" s="443">
        <v>6.4822999999999999E-3</v>
      </c>
      <c r="K358" s="443"/>
      <c r="L358" s="444">
        <v>43987.671000000002</v>
      </c>
      <c r="M358" s="444">
        <v>18036.291000000001</v>
      </c>
      <c r="N358" s="444">
        <v>-2168.4390000000003</v>
      </c>
      <c r="O358" s="444">
        <v>0</v>
      </c>
      <c r="P358" s="417">
        <v>0</v>
      </c>
      <c r="Q358" s="378">
        <v>6.4822999999999999E-3</v>
      </c>
      <c r="R358" s="378"/>
      <c r="S358" s="70">
        <v>106948.569</v>
      </c>
      <c r="T358" s="105">
        <v>100097.361</v>
      </c>
      <c r="U358" s="70">
        <v>59468.682000000008</v>
      </c>
      <c r="V358" s="70">
        <v>242507.81100000002</v>
      </c>
      <c r="W358" s="417">
        <v>0</v>
      </c>
      <c r="X358" s="378">
        <v>6.4822999999999999E-3</v>
      </c>
      <c r="Z358" s="70">
        <v>76834.485000000001</v>
      </c>
      <c r="AA358" s="70">
        <v>76833.939000000013</v>
      </c>
      <c r="AB358" s="70">
        <v>0</v>
      </c>
      <c r="AC358" s="417">
        <v>0</v>
      </c>
      <c r="AD358" s="417">
        <v>0</v>
      </c>
      <c r="AE358" s="378">
        <v>6.4822999999999999E-3</v>
      </c>
      <c r="AF358" s="378"/>
      <c r="AG358" s="70">
        <v>20917.053000000014</v>
      </c>
      <c r="AH358" s="70">
        <v>7192.0530000000144</v>
      </c>
      <c r="AI358" s="70">
        <v>7192.0530000000144</v>
      </c>
      <c r="AJ358" s="417">
        <v>0</v>
      </c>
      <c r="AK358" s="417">
        <v>0</v>
      </c>
      <c r="AL358" s="378">
        <v>6.4822999999999999E-3</v>
      </c>
      <c r="AM358" s="378"/>
      <c r="AN358" s="70">
        <v>-23601</v>
      </c>
      <c r="AO358" s="70">
        <v>-23601</v>
      </c>
      <c r="AP358" s="70">
        <v>0</v>
      </c>
      <c r="AQ358" s="417">
        <v>0</v>
      </c>
      <c r="AR358" s="417">
        <v>0</v>
      </c>
    </row>
    <row r="359" spans="1:44">
      <c r="A359" s="439">
        <v>93641</v>
      </c>
      <c r="B359" s="440" t="s">
        <v>1068</v>
      </c>
      <c r="C359" s="437">
        <v>4.1280000000000001E-4</v>
      </c>
      <c r="D359" s="441"/>
      <c r="E359" s="438">
        <v>403704.44534999994</v>
      </c>
      <c r="F359" s="442">
        <v>339086.22294999997</v>
      </c>
      <c r="G359" s="442">
        <v>112705.09014999997</v>
      </c>
      <c r="H359" s="442">
        <v>366693.12959999999</v>
      </c>
      <c r="I359" s="442">
        <v>0</v>
      </c>
      <c r="J359" s="443">
        <v>9.7700000000000003E-5</v>
      </c>
      <c r="K359" s="443"/>
      <c r="L359" s="444">
        <v>66513.225600000005</v>
      </c>
      <c r="M359" s="444">
        <v>27272.457600000002</v>
      </c>
      <c r="N359" s="444">
        <v>-3278.8704000000002</v>
      </c>
      <c r="O359" s="444">
        <v>0</v>
      </c>
      <c r="P359" s="417">
        <v>0</v>
      </c>
      <c r="Q359" s="378">
        <v>9.7700000000000003E-5</v>
      </c>
      <c r="R359" s="378"/>
      <c r="S359" s="70">
        <v>161715.6384</v>
      </c>
      <c r="T359" s="105">
        <v>151356.00959999999</v>
      </c>
      <c r="U359" s="70">
        <v>89921.875199999995</v>
      </c>
      <c r="V359" s="70">
        <v>366693.12959999999</v>
      </c>
      <c r="W359" s="417">
        <v>0</v>
      </c>
      <c r="X359" s="378">
        <v>9.7700000000000003E-5</v>
      </c>
      <c r="Z359" s="70">
        <v>116180.496</v>
      </c>
      <c r="AA359" s="70">
        <v>116179.6704</v>
      </c>
      <c r="AB359" s="70">
        <v>0</v>
      </c>
      <c r="AC359" s="417">
        <v>0</v>
      </c>
      <c r="AD359" s="417">
        <v>0</v>
      </c>
      <c r="AE359" s="378">
        <v>9.7700000000000003E-5</v>
      </c>
      <c r="AF359" s="378"/>
      <c r="AG359" s="70">
        <v>59295.085349999979</v>
      </c>
      <c r="AH359" s="70">
        <v>44278.085349999979</v>
      </c>
      <c r="AI359" s="70">
        <v>26062.085349999979</v>
      </c>
      <c r="AJ359" s="417">
        <v>0</v>
      </c>
      <c r="AK359" s="417">
        <v>0</v>
      </c>
      <c r="AL359" s="378">
        <v>9.7700000000000003E-5</v>
      </c>
      <c r="AM359" s="378"/>
      <c r="AN359" s="70">
        <v>0</v>
      </c>
      <c r="AO359" s="70">
        <v>0</v>
      </c>
      <c r="AP359" s="70">
        <v>0</v>
      </c>
      <c r="AQ359" s="417">
        <v>0</v>
      </c>
      <c r="AR359" s="417">
        <v>0</v>
      </c>
    </row>
    <row r="360" spans="1:44">
      <c r="A360" s="439">
        <v>93647</v>
      </c>
      <c r="B360" s="440" t="s">
        <v>1069</v>
      </c>
      <c r="C360" s="437">
        <v>4.4000000000000002E-6</v>
      </c>
      <c r="D360" s="441"/>
      <c r="E360" s="438">
        <v>9970.8728499999997</v>
      </c>
      <c r="F360" s="442">
        <v>7938.1776499999996</v>
      </c>
      <c r="G360" s="442">
        <v>3371.3632499999999</v>
      </c>
      <c r="H360" s="442">
        <v>3908.5508</v>
      </c>
      <c r="I360" s="442">
        <v>0</v>
      </c>
      <c r="J360" s="443">
        <v>7.7999999999999999E-6</v>
      </c>
      <c r="K360" s="443"/>
      <c r="L360" s="444">
        <v>708.9588</v>
      </c>
      <c r="M360" s="444">
        <v>290.69479999999999</v>
      </c>
      <c r="N360" s="444">
        <v>-34.949200000000005</v>
      </c>
      <c r="O360" s="444">
        <v>0</v>
      </c>
      <c r="P360" s="417">
        <v>0</v>
      </c>
      <c r="Q360" s="378">
        <v>7.7999999999999999E-6</v>
      </c>
      <c r="R360" s="378"/>
      <c r="S360" s="70">
        <v>1723.7132000000001</v>
      </c>
      <c r="T360" s="105">
        <v>1613.2908</v>
      </c>
      <c r="U360" s="70">
        <v>958.46960000000001</v>
      </c>
      <c r="V360" s="70">
        <v>3908.5508</v>
      </c>
      <c r="W360" s="417">
        <v>0</v>
      </c>
      <c r="X360" s="378">
        <v>7.7999999999999999E-6</v>
      </c>
      <c r="Z360" s="70">
        <v>1238.3580000000002</v>
      </c>
      <c r="AA360" s="70">
        <v>1238.3492000000001</v>
      </c>
      <c r="AB360" s="70">
        <v>0</v>
      </c>
      <c r="AC360" s="417">
        <v>0</v>
      </c>
      <c r="AD360" s="417">
        <v>0</v>
      </c>
      <c r="AE360" s="378">
        <v>7.7999999999999999E-6</v>
      </c>
      <c r="AF360" s="378"/>
      <c r="AG360" s="70">
        <v>6299.84285</v>
      </c>
      <c r="AH360" s="70">
        <v>4795.84285</v>
      </c>
      <c r="AI360" s="70">
        <v>2447.84285</v>
      </c>
      <c r="AJ360" s="417">
        <v>0</v>
      </c>
      <c r="AK360" s="417">
        <v>0</v>
      </c>
      <c r="AL360" s="378">
        <v>7.7999999999999999E-6</v>
      </c>
      <c r="AM360" s="378"/>
      <c r="AN360" s="70">
        <v>0</v>
      </c>
      <c r="AO360" s="70">
        <v>0</v>
      </c>
      <c r="AP360" s="70">
        <v>0</v>
      </c>
      <c r="AQ360" s="417">
        <v>0</v>
      </c>
      <c r="AR360" s="417">
        <v>0</v>
      </c>
    </row>
    <row r="361" spans="1:44">
      <c r="A361" s="439">
        <v>93651</v>
      </c>
      <c r="B361" s="440" t="s">
        <v>1070</v>
      </c>
      <c r="C361" s="437">
        <v>4.4480000000000002E-4</v>
      </c>
      <c r="D361" s="441"/>
      <c r="E361" s="438">
        <v>352174.4583</v>
      </c>
      <c r="F361" s="442">
        <v>303478.17989999999</v>
      </c>
      <c r="G361" s="442">
        <v>88010.215100000001</v>
      </c>
      <c r="H361" s="442">
        <v>395118.95360000001</v>
      </c>
      <c r="I361" s="442">
        <v>0</v>
      </c>
      <c r="J361" s="443">
        <v>1.1558E-3</v>
      </c>
      <c r="K361" s="443"/>
      <c r="L361" s="444">
        <v>71669.289600000004</v>
      </c>
      <c r="M361" s="444">
        <v>29386.601600000002</v>
      </c>
      <c r="N361" s="444">
        <v>-3533.0464000000002</v>
      </c>
      <c r="O361" s="444">
        <v>0</v>
      </c>
      <c r="P361" s="417">
        <v>0</v>
      </c>
      <c r="Q361" s="378">
        <v>1.1558E-3</v>
      </c>
      <c r="R361" s="378"/>
      <c r="S361" s="70">
        <v>174251.73440000002</v>
      </c>
      <c r="T361" s="105">
        <v>163089.0336</v>
      </c>
      <c r="U361" s="70">
        <v>96892.563200000004</v>
      </c>
      <c r="V361" s="70">
        <v>395118.95360000001</v>
      </c>
      <c r="W361" s="417">
        <v>0</v>
      </c>
      <c r="X361" s="378">
        <v>1.1558E-3</v>
      </c>
      <c r="Z361" s="70">
        <v>125186.736</v>
      </c>
      <c r="AA361" s="70">
        <v>125185.84640000001</v>
      </c>
      <c r="AB361" s="70">
        <v>0</v>
      </c>
      <c r="AC361" s="417">
        <v>0</v>
      </c>
      <c r="AD361" s="417">
        <v>0</v>
      </c>
      <c r="AE361" s="378">
        <v>1.1558E-3</v>
      </c>
      <c r="AF361" s="378"/>
      <c r="AG361" s="70">
        <v>862</v>
      </c>
      <c r="AH361" s="70">
        <v>0</v>
      </c>
      <c r="AI361" s="70">
        <v>0</v>
      </c>
      <c r="AJ361" s="417">
        <v>0</v>
      </c>
      <c r="AK361" s="417">
        <v>0</v>
      </c>
      <c r="AL361" s="378">
        <v>1.1558E-3</v>
      </c>
      <c r="AM361" s="378"/>
      <c r="AN361" s="70">
        <v>-19795.301699999996</v>
      </c>
      <c r="AO361" s="70">
        <v>-14183.301699999996</v>
      </c>
      <c r="AP361" s="70">
        <v>-5349.3016999999963</v>
      </c>
      <c r="AQ361" s="417">
        <v>0</v>
      </c>
      <c r="AR361" s="417">
        <v>0</v>
      </c>
    </row>
    <row r="362" spans="1:44">
      <c r="A362" s="439">
        <v>93661</v>
      </c>
      <c r="B362" s="440" t="s">
        <v>1071</v>
      </c>
      <c r="C362" s="437">
        <v>1.5550000000000001E-4</v>
      </c>
      <c r="D362" s="441"/>
      <c r="E362" s="438">
        <v>141726.475875</v>
      </c>
      <c r="F362" s="442">
        <v>116474.90687500002</v>
      </c>
      <c r="G362" s="442">
        <v>41315.98887500001</v>
      </c>
      <c r="H362" s="442">
        <v>138131.73850000001</v>
      </c>
      <c r="I362" s="442">
        <v>0</v>
      </c>
      <c r="J362" s="443">
        <v>1.04E-5</v>
      </c>
      <c r="K362" s="443"/>
      <c r="L362" s="444">
        <v>25055.248500000002</v>
      </c>
      <c r="M362" s="444">
        <v>10273.418500000002</v>
      </c>
      <c r="N362" s="444">
        <v>-1235.1365000000001</v>
      </c>
      <c r="O362" s="444">
        <v>0</v>
      </c>
      <c r="P362" s="417">
        <v>0</v>
      </c>
      <c r="Q362" s="378">
        <v>1.04E-5</v>
      </c>
      <c r="R362" s="378"/>
      <c r="S362" s="70">
        <v>60917.591500000002</v>
      </c>
      <c r="T362" s="105">
        <v>57015.163500000002</v>
      </c>
      <c r="U362" s="70">
        <v>33873.187000000005</v>
      </c>
      <c r="V362" s="70">
        <v>138131.73850000001</v>
      </c>
      <c r="W362" s="417">
        <v>0</v>
      </c>
      <c r="X362" s="378">
        <v>1.04E-5</v>
      </c>
      <c r="Z362" s="70">
        <v>43764.697500000002</v>
      </c>
      <c r="AA362" s="70">
        <v>43764.386500000001</v>
      </c>
      <c r="AB362" s="70">
        <v>0</v>
      </c>
      <c r="AC362" s="417">
        <v>0</v>
      </c>
      <c r="AD362" s="417">
        <v>0</v>
      </c>
      <c r="AE362" s="378">
        <v>1.04E-5</v>
      </c>
      <c r="AF362" s="378"/>
      <c r="AG362" s="70">
        <v>17614.938375000005</v>
      </c>
      <c r="AH362" s="70">
        <v>8677.9383750000052</v>
      </c>
      <c r="AI362" s="70">
        <v>8677.9383750000052</v>
      </c>
      <c r="AJ362" s="417">
        <v>0</v>
      </c>
      <c r="AK362" s="417">
        <v>0</v>
      </c>
      <c r="AL362" s="378">
        <v>1.04E-5</v>
      </c>
      <c r="AM362" s="378"/>
      <c r="AN362" s="70">
        <v>-5626</v>
      </c>
      <c r="AO362" s="70">
        <v>-3256</v>
      </c>
      <c r="AP362" s="70">
        <v>0</v>
      </c>
      <c r="AQ362" s="417">
        <v>0</v>
      </c>
      <c r="AR362" s="417">
        <v>0</v>
      </c>
    </row>
    <row r="363" spans="1:44">
      <c r="A363" s="439">
        <v>93671</v>
      </c>
      <c r="B363" s="440" t="s">
        <v>1072</v>
      </c>
      <c r="C363" s="437">
        <v>3.4680000000000003E-4</v>
      </c>
      <c r="D363" s="441"/>
      <c r="E363" s="438">
        <v>316286.46974999999</v>
      </c>
      <c r="F363" s="442">
        <v>258988.67534999998</v>
      </c>
      <c r="G363" s="442">
        <v>76904.758549999955</v>
      </c>
      <c r="H363" s="442">
        <v>308064.8676</v>
      </c>
      <c r="I363" s="442">
        <v>0</v>
      </c>
      <c r="J363" s="443">
        <v>2.4949999999999999E-4</v>
      </c>
      <c r="K363" s="443"/>
      <c r="L363" s="444">
        <v>55878.843600000007</v>
      </c>
      <c r="M363" s="444">
        <v>22912.035600000003</v>
      </c>
      <c r="N363" s="444">
        <v>-2754.6324000000004</v>
      </c>
      <c r="O363" s="444">
        <v>0</v>
      </c>
      <c r="P363" s="417">
        <v>0</v>
      </c>
      <c r="Q363" s="378">
        <v>2.4949999999999999E-4</v>
      </c>
      <c r="R363" s="378"/>
      <c r="S363" s="70">
        <v>135859.94040000002</v>
      </c>
      <c r="T363" s="105">
        <v>127156.64760000001</v>
      </c>
      <c r="U363" s="70">
        <v>75544.831200000001</v>
      </c>
      <c r="V363" s="70">
        <v>308064.8676</v>
      </c>
      <c r="W363" s="417">
        <v>0</v>
      </c>
      <c r="X363" s="378">
        <v>2.4949999999999999E-4</v>
      </c>
      <c r="Z363" s="70">
        <v>97605.126000000004</v>
      </c>
      <c r="AA363" s="70">
        <v>97604.432400000005</v>
      </c>
      <c r="AB363" s="70">
        <v>0</v>
      </c>
      <c r="AC363" s="417">
        <v>0</v>
      </c>
      <c r="AD363" s="417">
        <v>0</v>
      </c>
      <c r="AE363" s="378">
        <v>2.4949999999999999E-4</v>
      </c>
      <c r="AF363" s="378"/>
      <c r="AG363" s="70">
        <v>26942.559749999957</v>
      </c>
      <c r="AH363" s="70">
        <v>11315.559749999957</v>
      </c>
      <c r="AI363" s="70">
        <v>4114.5597499999567</v>
      </c>
      <c r="AJ363" s="417">
        <v>0</v>
      </c>
      <c r="AK363" s="417">
        <v>0</v>
      </c>
      <c r="AL363" s="378">
        <v>2.4949999999999999E-4</v>
      </c>
      <c r="AM363" s="378"/>
      <c r="AN363" s="70">
        <v>0</v>
      </c>
      <c r="AO363" s="70">
        <v>0</v>
      </c>
      <c r="AP363" s="70">
        <v>0</v>
      </c>
      <c r="AQ363" s="417">
        <v>0</v>
      </c>
      <c r="AR363" s="417">
        <v>0</v>
      </c>
    </row>
    <row r="364" spans="1:44">
      <c r="A364" s="439">
        <v>93681</v>
      </c>
      <c r="B364" s="440" t="s">
        <v>1073</v>
      </c>
      <c r="C364" s="437">
        <v>1.962E-4</v>
      </c>
      <c r="D364" s="441"/>
      <c r="E364" s="438">
        <v>189133.10819999999</v>
      </c>
      <c r="F364" s="442">
        <v>153000.10859999998</v>
      </c>
      <c r="G364" s="442">
        <v>36566.157399999996</v>
      </c>
      <c r="H364" s="442">
        <v>174285.8334</v>
      </c>
      <c r="I364" s="442">
        <v>0</v>
      </c>
      <c r="J364" s="443">
        <v>3.881E-4</v>
      </c>
      <c r="K364" s="443"/>
      <c r="L364" s="444">
        <v>31613.117399999999</v>
      </c>
      <c r="M364" s="444">
        <v>12962.3454</v>
      </c>
      <c r="N364" s="444">
        <v>-1558.4166</v>
      </c>
      <c r="O364" s="444">
        <v>0</v>
      </c>
      <c r="P364" s="417">
        <v>0</v>
      </c>
      <c r="Q364" s="378">
        <v>3.881E-4</v>
      </c>
      <c r="R364" s="378"/>
      <c r="S364" s="70">
        <v>76861.938599999994</v>
      </c>
      <c r="T364" s="105">
        <v>71938.103399999993</v>
      </c>
      <c r="U364" s="70">
        <v>42739.0308</v>
      </c>
      <c r="V364" s="70">
        <v>174285.8334</v>
      </c>
      <c r="W364" s="417">
        <v>0</v>
      </c>
      <c r="X364" s="378">
        <v>3.881E-4</v>
      </c>
      <c r="Z364" s="70">
        <v>55219.508999999998</v>
      </c>
      <c r="AA364" s="70">
        <v>55219.116600000001</v>
      </c>
      <c r="AB364" s="70">
        <v>0</v>
      </c>
      <c r="AC364" s="417">
        <v>0</v>
      </c>
      <c r="AD364" s="417">
        <v>0</v>
      </c>
      <c r="AE364" s="378">
        <v>3.881E-4</v>
      </c>
      <c r="AF364" s="378"/>
      <c r="AG364" s="70">
        <v>30053</v>
      </c>
      <c r="AH364" s="70">
        <v>17495</v>
      </c>
      <c r="AI364" s="70">
        <v>0</v>
      </c>
      <c r="AJ364" s="417">
        <v>0</v>
      </c>
      <c r="AK364" s="417">
        <v>0</v>
      </c>
      <c r="AL364" s="378">
        <v>3.881E-4</v>
      </c>
      <c r="AM364" s="378"/>
      <c r="AN364" s="70">
        <v>-4614.4568000000072</v>
      </c>
      <c r="AO364" s="70">
        <v>-4614.4568000000072</v>
      </c>
      <c r="AP364" s="70">
        <v>-4614.4568000000072</v>
      </c>
      <c r="AQ364" s="417">
        <v>0</v>
      </c>
      <c r="AR364" s="417">
        <v>0</v>
      </c>
    </row>
    <row r="365" spans="1:44">
      <c r="A365" s="439">
        <v>93691</v>
      </c>
      <c r="B365" s="440" t="s">
        <v>1074</v>
      </c>
      <c r="C365" s="437">
        <v>1.0735E-3</v>
      </c>
      <c r="D365" s="441"/>
      <c r="E365" s="438">
        <v>847044.16412500001</v>
      </c>
      <c r="F365" s="442">
        <v>720861.55112500011</v>
      </c>
      <c r="G365" s="442">
        <v>248459.26512500003</v>
      </c>
      <c r="H365" s="442">
        <v>953597.56449999998</v>
      </c>
      <c r="I365" s="442">
        <v>0</v>
      </c>
      <c r="J365" s="443">
        <v>4.6999999999999999E-6</v>
      </c>
      <c r="K365" s="443"/>
      <c r="L365" s="444">
        <v>172969.8345</v>
      </c>
      <c r="M365" s="444">
        <v>70922.924500000008</v>
      </c>
      <c r="N365" s="444">
        <v>-8526.8104999999996</v>
      </c>
      <c r="O365" s="444">
        <v>0</v>
      </c>
      <c r="P365" s="417">
        <v>0</v>
      </c>
      <c r="Q365" s="378">
        <v>4.6999999999999999E-6</v>
      </c>
      <c r="R365" s="378"/>
      <c r="S365" s="70">
        <v>420546.8455</v>
      </c>
      <c r="T365" s="105">
        <v>393606.28950000001</v>
      </c>
      <c r="U365" s="70">
        <v>233844.799</v>
      </c>
      <c r="V365" s="70">
        <v>953597.56449999998</v>
      </c>
      <c r="W365" s="417">
        <v>0</v>
      </c>
      <c r="X365" s="378">
        <v>4.6999999999999999E-6</v>
      </c>
      <c r="Z365" s="70">
        <v>302131.20750000002</v>
      </c>
      <c r="AA365" s="70">
        <v>302129.06050000002</v>
      </c>
      <c r="AB365" s="70">
        <v>0</v>
      </c>
      <c r="AC365" s="417">
        <v>0</v>
      </c>
      <c r="AD365" s="417">
        <v>0</v>
      </c>
      <c r="AE365" s="378">
        <v>4.6999999999999999E-6</v>
      </c>
      <c r="AF365" s="378"/>
      <c r="AG365" s="70">
        <v>28792.276625000028</v>
      </c>
      <c r="AH365" s="70">
        <v>23141.276625000028</v>
      </c>
      <c r="AI365" s="70">
        <v>23141.276625000028</v>
      </c>
      <c r="AJ365" s="417">
        <v>0</v>
      </c>
      <c r="AK365" s="417">
        <v>0</v>
      </c>
      <c r="AL365" s="378">
        <v>4.6999999999999999E-6</v>
      </c>
      <c r="AM365" s="378"/>
      <c r="AN365" s="70">
        <v>-77396</v>
      </c>
      <c r="AO365" s="70">
        <v>-68938</v>
      </c>
      <c r="AP365" s="70">
        <v>0</v>
      </c>
      <c r="AQ365" s="417">
        <v>0</v>
      </c>
      <c r="AR365" s="417">
        <v>0</v>
      </c>
    </row>
    <row r="366" spans="1:44">
      <c r="A366" s="439">
        <v>93701</v>
      </c>
      <c r="B366" s="440" t="s">
        <v>1075</v>
      </c>
      <c r="C366" s="437">
        <v>4.348E-4</v>
      </c>
      <c r="D366" s="441"/>
      <c r="E366" s="438">
        <v>354082.32154999999</v>
      </c>
      <c r="F366" s="442">
        <v>310382.62315</v>
      </c>
      <c r="G366" s="442">
        <v>101389.41834999999</v>
      </c>
      <c r="H366" s="442">
        <v>386235.8836</v>
      </c>
      <c r="I366" s="442">
        <v>0</v>
      </c>
      <c r="J366" s="443">
        <v>4.462E-4</v>
      </c>
      <c r="K366" s="443"/>
      <c r="L366" s="444">
        <v>70058.0196</v>
      </c>
      <c r="M366" s="444">
        <v>28725.9316</v>
      </c>
      <c r="N366" s="444">
        <v>-3453.6163999999999</v>
      </c>
      <c r="O366" s="444">
        <v>0</v>
      </c>
      <c r="P366" s="417">
        <v>0</v>
      </c>
      <c r="Q366" s="378">
        <v>4.462E-4</v>
      </c>
      <c r="R366" s="378"/>
      <c r="S366" s="70">
        <v>170334.20439999999</v>
      </c>
      <c r="T366" s="105">
        <v>159422.46359999999</v>
      </c>
      <c r="U366" s="70">
        <v>94714.223199999993</v>
      </c>
      <c r="V366" s="70">
        <v>386235.8836</v>
      </c>
      <c r="W366" s="417">
        <v>0</v>
      </c>
      <c r="X366" s="378">
        <v>4.462E-4</v>
      </c>
      <c r="Z366" s="70">
        <v>122372.28599999999</v>
      </c>
      <c r="AA366" s="70">
        <v>122371.4164</v>
      </c>
      <c r="AB366" s="70">
        <v>0</v>
      </c>
      <c r="AC366" s="417">
        <v>0</v>
      </c>
      <c r="AD366" s="417">
        <v>0</v>
      </c>
      <c r="AE366" s="378">
        <v>4.462E-4</v>
      </c>
      <c r="AF366" s="378"/>
      <c r="AG366" s="70">
        <v>10128.811549999999</v>
      </c>
      <c r="AH366" s="70">
        <v>10128.811549999999</v>
      </c>
      <c r="AI366" s="70">
        <v>10128.811549999999</v>
      </c>
      <c r="AJ366" s="417">
        <v>0</v>
      </c>
      <c r="AK366" s="417">
        <v>0</v>
      </c>
      <c r="AL366" s="378">
        <v>4.462E-4</v>
      </c>
      <c r="AM366" s="378"/>
      <c r="AN366" s="70">
        <v>-18811</v>
      </c>
      <c r="AO366" s="70">
        <v>-10266</v>
      </c>
      <c r="AP366" s="70">
        <v>0</v>
      </c>
      <c r="AQ366" s="417">
        <v>0</v>
      </c>
      <c r="AR366" s="417">
        <v>0</v>
      </c>
    </row>
    <row r="367" spans="1:44">
      <c r="A367" s="439">
        <v>93704</v>
      </c>
      <c r="B367" s="440" t="s">
        <v>1076</v>
      </c>
      <c r="C367" s="437">
        <v>1.3999999999999999E-6</v>
      </c>
      <c r="D367" s="441"/>
      <c r="E367" s="438">
        <v>2207.6450500000001</v>
      </c>
      <c r="F367" s="442">
        <v>1686.4238499999999</v>
      </c>
      <c r="G367" s="442">
        <v>647.43745000000001</v>
      </c>
      <c r="H367" s="442">
        <v>1243.6297999999999</v>
      </c>
      <c r="I367" s="442">
        <v>0</v>
      </c>
      <c r="J367" s="443">
        <v>1.3999999999999999E-4</v>
      </c>
      <c r="K367" s="443"/>
      <c r="L367" s="444">
        <v>225.5778</v>
      </c>
      <c r="M367" s="444">
        <v>92.493799999999993</v>
      </c>
      <c r="N367" s="444">
        <v>-11.120199999999999</v>
      </c>
      <c r="O367" s="444">
        <v>0</v>
      </c>
      <c r="P367" s="417">
        <v>0</v>
      </c>
      <c r="Q367" s="378">
        <v>1.3999999999999999E-4</v>
      </c>
      <c r="R367" s="378"/>
      <c r="S367" s="70">
        <v>548.45420000000001</v>
      </c>
      <c r="T367" s="105">
        <v>513.31979999999999</v>
      </c>
      <c r="U367" s="70">
        <v>304.9676</v>
      </c>
      <c r="V367" s="70">
        <v>1243.6297999999999</v>
      </c>
      <c r="W367" s="417">
        <v>0</v>
      </c>
      <c r="X367" s="378">
        <v>1.3999999999999999E-4</v>
      </c>
      <c r="Z367" s="70">
        <v>394.02299999999997</v>
      </c>
      <c r="AA367" s="70">
        <v>394.02019999999999</v>
      </c>
      <c r="AB367" s="70">
        <v>0</v>
      </c>
      <c r="AC367" s="417">
        <v>0</v>
      </c>
      <c r="AD367" s="417">
        <v>0</v>
      </c>
      <c r="AE367" s="378">
        <v>1.3999999999999999E-4</v>
      </c>
      <c r="AF367" s="378"/>
      <c r="AG367" s="70">
        <v>1039.59005</v>
      </c>
      <c r="AH367" s="70">
        <v>686.59005000000002</v>
      </c>
      <c r="AI367" s="70">
        <v>353.59005000000002</v>
      </c>
      <c r="AJ367" s="417">
        <v>0</v>
      </c>
      <c r="AK367" s="417">
        <v>0</v>
      </c>
      <c r="AL367" s="378">
        <v>1.3999999999999999E-4</v>
      </c>
      <c r="AM367" s="378"/>
      <c r="AN367" s="70">
        <v>0</v>
      </c>
      <c r="AO367" s="70">
        <v>0</v>
      </c>
      <c r="AP367" s="70">
        <v>0</v>
      </c>
      <c r="AQ367" s="417">
        <v>0</v>
      </c>
      <c r="AR367" s="417">
        <v>0</v>
      </c>
    </row>
    <row r="368" spans="1:44">
      <c r="A368" s="439">
        <v>93801</v>
      </c>
      <c r="B368" s="440" t="s">
        <v>1077</v>
      </c>
      <c r="C368" s="437">
        <v>6.9169999999999995E-4</v>
      </c>
      <c r="D368" s="441"/>
      <c r="E368" s="438">
        <v>709402.64787500002</v>
      </c>
      <c r="F368" s="442">
        <v>622172.35927499994</v>
      </c>
      <c r="G368" s="442">
        <v>266815.6500749999</v>
      </c>
      <c r="H368" s="442">
        <v>614441.95189999999</v>
      </c>
      <c r="I368" s="442">
        <v>0</v>
      </c>
      <c r="J368" s="443">
        <v>3.6230000000000002E-4</v>
      </c>
      <c r="K368" s="443"/>
      <c r="L368" s="444">
        <v>111451.5459</v>
      </c>
      <c r="M368" s="444">
        <v>45698.543899999997</v>
      </c>
      <c r="N368" s="444">
        <v>-5494.1731</v>
      </c>
      <c r="O368" s="444">
        <v>0</v>
      </c>
      <c r="P368" s="417">
        <v>0</v>
      </c>
      <c r="Q368" s="378">
        <v>3.6230000000000002E-4</v>
      </c>
      <c r="R368" s="378"/>
      <c r="S368" s="70">
        <v>270975.55009999999</v>
      </c>
      <c r="T368" s="105">
        <v>253616.64689999999</v>
      </c>
      <c r="U368" s="70">
        <v>150675.77779999998</v>
      </c>
      <c r="V368" s="70">
        <v>614441.95189999999</v>
      </c>
      <c r="W368" s="417">
        <v>0</v>
      </c>
      <c r="X368" s="378">
        <v>3.6230000000000002E-4</v>
      </c>
      <c r="Z368" s="70">
        <v>194675.50649999999</v>
      </c>
      <c r="AA368" s="70">
        <v>194674.1231</v>
      </c>
      <c r="AB368" s="70">
        <v>0</v>
      </c>
      <c r="AC368" s="417">
        <v>0</v>
      </c>
      <c r="AD368" s="417">
        <v>0</v>
      </c>
      <c r="AE368" s="378">
        <v>3.6230000000000002E-4</v>
      </c>
      <c r="AF368" s="378"/>
      <c r="AG368" s="70">
        <v>133974.04537499996</v>
      </c>
      <c r="AH368" s="70">
        <v>128183.04537499996</v>
      </c>
      <c r="AI368" s="70">
        <v>121634.04537499996</v>
      </c>
      <c r="AJ368" s="417">
        <v>0</v>
      </c>
      <c r="AK368" s="417">
        <v>0</v>
      </c>
      <c r="AL368" s="378">
        <v>3.6230000000000002E-4</v>
      </c>
      <c r="AM368" s="378"/>
      <c r="AN368" s="70">
        <v>-1674</v>
      </c>
      <c r="AO368" s="70">
        <v>0</v>
      </c>
      <c r="AP368" s="70">
        <v>0</v>
      </c>
      <c r="AQ368" s="417">
        <v>0</v>
      </c>
      <c r="AR368" s="417">
        <v>0</v>
      </c>
    </row>
    <row r="369" spans="1:44">
      <c r="A369" s="439">
        <v>93803</v>
      </c>
      <c r="B369" s="440" t="s">
        <v>1078</v>
      </c>
      <c r="C369" s="437">
        <v>1.26E-4</v>
      </c>
      <c r="D369" s="441"/>
      <c r="E369" s="438">
        <v>120334.71910000002</v>
      </c>
      <c r="F369" s="442">
        <v>104355.81109999999</v>
      </c>
      <c r="G369" s="442">
        <v>34966.035099999994</v>
      </c>
      <c r="H369" s="442">
        <v>111926.682</v>
      </c>
      <c r="I369" s="442">
        <v>0</v>
      </c>
      <c r="J369" s="443">
        <v>1.9430000000000001E-4</v>
      </c>
      <c r="K369" s="443"/>
      <c r="L369" s="444">
        <v>20302.002</v>
      </c>
      <c r="M369" s="444">
        <v>8324.4419999999991</v>
      </c>
      <c r="N369" s="444">
        <v>-1000.818</v>
      </c>
      <c r="O369" s="444">
        <v>0</v>
      </c>
      <c r="P369" s="417">
        <v>0</v>
      </c>
      <c r="Q369" s="378">
        <v>1.9430000000000001E-4</v>
      </c>
      <c r="R369" s="378"/>
      <c r="S369" s="70">
        <v>49360.877999999997</v>
      </c>
      <c r="T369" s="105">
        <v>46198.781999999999</v>
      </c>
      <c r="U369" s="70">
        <v>27447.083999999999</v>
      </c>
      <c r="V369" s="70">
        <v>111926.682</v>
      </c>
      <c r="W369" s="417">
        <v>0</v>
      </c>
      <c r="X369" s="378">
        <v>1.9430000000000001E-4</v>
      </c>
      <c r="Z369" s="70">
        <v>35462.07</v>
      </c>
      <c r="AA369" s="70">
        <v>35461.817999999999</v>
      </c>
      <c r="AB369" s="70">
        <v>0</v>
      </c>
      <c r="AC369" s="417">
        <v>0</v>
      </c>
      <c r="AD369" s="417">
        <v>0</v>
      </c>
      <c r="AE369" s="378">
        <v>1.9430000000000001E-4</v>
      </c>
      <c r="AF369" s="378"/>
      <c r="AG369" s="70">
        <v>19684.769099999998</v>
      </c>
      <c r="AH369" s="70">
        <v>14370.769099999998</v>
      </c>
      <c r="AI369" s="70">
        <v>8519.7690999999977</v>
      </c>
      <c r="AJ369" s="417">
        <v>0</v>
      </c>
      <c r="AK369" s="417">
        <v>0</v>
      </c>
      <c r="AL369" s="378">
        <v>1.9430000000000001E-4</v>
      </c>
      <c r="AM369" s="378"/>
      <c r="AN369" s="70">
        <v>-4475</v>
      </c>
      <c r="AO369" s="70">
        <v>0</v>
      </c>
      <c r="AP369" s="70">
        <v>0</v>
      </c>
      <c r="AQ369" s="417">
        <v>0</v>
      </c>
      <c r="AR369" s="417">
        <v>0</v>
      </c>
    </row>
    <row r="370" spans="1:44">
      <c r="A370" s="439">
        <v>93806</v>
      </c>
      <c r="B370" s="440" t="s">
        <v>1079</v>
      </c>
      <c r="C370" s="437">
        <v>1.3359999999999999E-4</v>
      </c>
      <c r="D370" s="441"/>
      <c r="E370" s="438">
        <v>139612.81649999999</v>
      </c>
      <c r="F370" s="442">
        <v>128309.70769999998</v>
      </c>
      <c r="G370" s="442">
        <v>56582.434099999999</v>
      </c>
      <c r="H370" s="442">
        <v>118677.8152</v>
      </c>
      <c r="I370" s="442">
        <v>0</v>
      </c>
      <c r="J370" s="443">
        <v>9.9149999999999998E-4</v>
      </c>
      <c r="K370" s="443"/>
      <c r="L370" s="444">
        <v>21526.567199999998</v>
      </c>
      <c r="M370" s="444">
        <v>8826.5511999999999</v>
      </c>
      <c r="N370" s="444">
        <v>-1061.1848</v>
      </c>
      <c r="O370" s="444">
        <v>0</v>
      </c>
      <c r="P370" s="417">
        <v>0</v>
      </c>
      <c r="Q370" s="378">
        <v>9.9149999999999998E-4</v>
      </c>
      <c r="R370" s="378"/>
      <c r="S370" s="70">
        <v>52338.200799999999</v>
      </c>
      <c r="T370" s="105">
        <v>48985.375199999995</v>
      </c>
      <c r="U370" s="70">
        <v>29102.6224</v>
      </c>
      <c r="V370" s="70">
        <v>118677.8152</v>
      </c>
      <c r="W370" s="417">
        <v>0</v>
      </c>
      <c r="X370" s="378">
        <v>9.9149999999999998E-4</v>
      </c>
      <c r="Z370" s="70">
        <v>37601.051999999996</v>
      </c>
      <c r="AA370" s="70">
        <v>37600.784800000001</v>
      </c>
      <c r="AB370" s="70">
        <v>0</v>
      </c>
      <c r="AC370" s="417">
        <v>0</v>
      </c>
      <c r="AD370" s="417">
        <v>0</v>
      </c>
      <c r="AE370" s="378">
        <v>9.9149999999999998E-4</v>
      </c>
      <c r="AF370" s="378"/>
      <c r="AG370" s="70">
        <v>33312.996499999994</v>
      </c>
      <c r="AH370" s="70">
        <v>32896.996499999994</v>
      </c>
      <c r="AI370" s="70">
        <v>28540.996499999997</v>
      </c>
      <c r="AJ370" s="417">
        <v>0</v>
      </c>
      <c r="AK370" s="417">
        <v>0</v>
      </c>
      <c r="AL370" s="378">
        <v>9.9149999999999998E-4</v>
      </c>
      <c r="AM370" s="378"/>
      <c r="AN370" s="70">
        <v>-5166</v>
      </c>
      <c r="AO370" s="70">
        <v>0</v>
      </c>
      <c r="AP370" s="70">
        <v>0</v>
      </c>
      <c r="AQ370" s="417">
        <v>0</v>
      </c>
      <c r="AR370" s="417">
        <v>0</v>
      </c>
    </row>
    <row r="371" spans="1:44">
      <c r="A371" s="439">
        <v>93821</v>
      </c>
      <c r="B371" s="440" t="s">
        <v>1080</v>
      </c>
      <c r="C371" s="437">
        <v>6.2600000000000004E-5</v>
      </c>
      <c r="D371" s="441"/>
      <c r="E371" s="438">
        <v>51113.416100000009</v>
      </c>
      <c r="F371" s="442">
        <v>44615.525300000008</v>
      </c>
      <c r="G371" s="442">
        <v>10228.847700000009</v>
      </c>
      <c r="H371" s="442">
        <v>55608.018200000006</v>
      </c>
      <c r="I371" s="442">
        <v>0</v>
      </c>
      <c r="J371" s="443">
        <v>4.0969999999999998E-4</v>
      </c>
      <c r="K371" s="443"/>
      <c r="L371" s="444">
        <v>10086.550200000001</v>
      </c>
      <c r="M371" s="444">
        <v>4135.7942000000003</v>
      </c>
      <c r="N371" s="444">
        <v>-497.23180000000002</v>
      </c>
      <c r="O371" s="444">
        <v>0</v>
      </c>
      <c r="P371" s="417">
        <v>0</v>
      </c>
      <c r="Q371" s="378">
        <v>4.0969999999999998E-4</v>
      </c>
      <c r="R371" s="378"/>
      <c r="S371" s="70">
        <v>24523.737800000003</v>
      </c>
      <c r="T371" s="105">
        <v>22952.728200000001</v>
      </c>
      <c r="U371" s="70">
        <v>13636.4084</v>
      </c>
      <c r="V371" s="70">
        <v>55608.018200000006</v>
      </c>
      <c r="W371" s="417">
        <v>0</v>
      </c>
      <c r="X371" s="378">
        <v>4.0969999999999998E-4</v>
      </c>
      <c r="Z371" s="70">
        <v>17618.457000000002</v>
      </c>
      <c r="AA371" s="70">
        <v>17618.3318</v>
      </c>
      <c r="AB371" s="70">
        <v>0</v>
      </c>
      <c r="AC371" s="417">
        <v>0</v>
      </c>
      <c r="AD371" s="417">
        <v>0</v>
      </c>
      <c r="AE371" s="378">
        <v>4.0969999999999998E-4</v>
      </c>
      <c r="AF371" s="378"/>
      <c r="AG371" s="70">
        <v>4999</v>
      </c>
      <c r="AH371" s="70">
        <v>2819</v>
      </c>
      <c r="AI371" s="70">
        <v>0</v>
      </c>
      <c r="AJ371" s="417">
        <v>0</v>
      </c>
      <c r="AK371" s="417">
        <v>0</v>
      </c>
      <c r="AL371" s="378">
        <v>4.0969999999999998E-4</v>
      </c>
      <c r="AM371" s="378"/>
      <c r="AN371" s="70">
        <v>-6114.3288999999913</v>
      </c>
      <c r="AO371" s="70">
        <v>-2910.3288999999913</v>
      </c>
      <c r="AP371" s="70">
        <v>-2910.3288999999913</v>
      </c>
      <c r="AQ371" s="417">
        <v>0</v>
      </c>
      <c r="AR371" s="417">
        <v>0</v>
      </c>
    </row>
    <row r="372" spans="1:44">
      <c r="A372" s="439">
        <v>93901</v>
      </c>
      <c r="B372" s="440" t="s">
        <v>1081</v>
      </c>
      <c r="C372" s="437">
        <v>2.0314E-3</v>
      </c>
      <c r="D372" s="441"/>
      <c r="E372" s="438">
        <v>1913086.6912500004</v>
      </c>
      <c r="F372" s="442">
        <v>1600835.7300500001</v>
      </c>
      <c r="G372" s="442">
        <v>509521.46365000028</v>
      </c>
      <c r="H372" s="442">
        <v>1804506.8398</v>
      </c>
      <c r="I372" s="442">
        <v>0</v>
      </c>
      <c r="J372" s="443">
        <v>1.7999999999999999E-6</v>
      </c>
      <c r="K372" s="443"/>
      <c r="L372" s="444">
        <v>327313.38780000003</v>
      </c>
      <c r="M372" s="444">
        <v>134208.50380000001</v>
      </c>
      <c r="N372" s="444">
        <v>-16135.4102</v>
      </c>
      <c r="O372" s="444">
        <v>0</v>
      </c>
      <c r="P372" s="417">
        <v>0</v>
      </c>
      <c r="Q372" s="378">
        <v>1.7999999999999999E-6</v>
      </c>
      <c r="R372" s="378"/>
      <c r="S372" s="70">
        <v>795807.0442</v>
      </c>
      <c r="T372" s="105">
        <v>744827.02980000002</v>
      </c>
      <c r="U372" s="70">
        <v>442507.98759999999</v>
      </c>
      <c r="V372" s="70">
        <v>1804506.8398</v>
      </c>
      <c r="W372" s="417">
        <v>0</v>
      </c>
      <c r="X372" s="378">
        <v>1.7999999999999999E-6</v>
      </c>
      <c r="Z372" s="70">
        <v>571727.37300000002</v>
      </c>
      <c r="AA372" s="70">
        <v>571723.31020000007</v>
      </c>
      <c r="AB372" s="70">
        <v>0</v>
      </c>
      <c r="AC372" s="417">
        <v>0</v>
      </c>
      <c r="AD372" s="417">
        <v>0</v>
      </c>
      <c r="AE372" s="378">
        <v>1.7999999999999999E-6</v>
      </c>
      <c r="AF372" s="378"/>
      <c r="AG372" s="70">
        <v>218238.88625000027</v>
      </c>
      <c r="AH372" s="70">
        <v>150076.88625000027</v>
      </c>
      <c r="AI372" s="70">
        <v>83148.886250000272</v>
      </c>
      <c r="AJ372" s="417">
        <v>0</v>
      </c>
      <c r="AK372" s="417">
        <v>0</v>
      </c>
      <c r="AL372" s="378">
        <v>1.7999999999999999E-6</v>
      </c>
      <c r="AM372" s="378"/>
      <c r="AN372" s="70">
        <v>0</v>
      </c>
      <c r="AO372" s="70">
        <v>0</v>
      </c>
      <c r="AP372" s="70">
        <v>0</v>
      </c>
      <c r="AQ372" s="417">
        <v>0</v>
      </c>
      <c r="AR372" s="417">
        <v>0</v>
      </c>
    </row>
    <row r="373" spans="1:44">
      <c r="A373" s="439">
        <v>93904</v>
      </c>
      <c r="B373" s="440" t="s">
        <v>1082</v>
      </c>
      <c r="C373" s="437">
        <v>3.15E-5</v>
      </c>
      <c r="D373" s="441"/>
      <c r="E373" s="438">
        <v>35134.634525000001</v>
      </c>
      <c r="F373" s="442">
        <v>27819.657525000002</v>
      </c>
      <c r="G373" s="442">
        <v>9290.963525000001</v>
      </c>
      <c r="H373" s="442">
        <v>27981.6705</v>
      </c>
      <c r="I373" s="442">
        <v>0</v>
      </c>
      <c r="J373" s="443">
        <v>4.4470000000000002E-4</v>
      </c>
      <c r="K373" s="443"/>
      <c r="L373" s="444">
        <v>5075.5005000000001</v>
      </c>
      <c r="M373" s="444">
        <v>2081.1104999999998</v>
      </c>
      <c r="N373" s="444">
        <v>-250.2045</v>
      </c>
      <c r="O373" s="444">
        <v>0</v>
      </c>
      <c r="P373" s="417">
        <v>0</v>
      </c>
      <c r="Q373" s="378">
        <v>4.4470000000000002E-4</v>
      </c>
      <c r="R373" s="378"/>
      <c r="S373" s="70">
        <v>12340.219499999999</v>
      </c>
      <c r="T373" s="105">
        <v>11549.6955</v>
      </c>
      <c r="U373" s="70">
        <v>6861.7709999999997</v>
      </c>
      <c r="V373" s="70">
        <v>27981.6705</v>
      </c>
      <c r="W373" s="417">
        <v>0</v>
      </c>
      <c r="X373" s="378">
        <v>4.4470000000000002E-4</v>
      </c>
      <c r="Z373" s="70">
        <v>8865.5174999999999</v>
      </c>
      <c r="AA373" s="70">
        <v>8865.4544999999998</v>
      </c>
      <c r="AB373" s="70">
        <v>0</v>
      </c>
      <c r="AC373" s="417">
        <v>0</v>
      </c>
      <c r="AD373" s="417">
        <v>0</v>
      </c>
      <c r="AE373" s="378">
        <v>4.4470000000000002E-4</v>
      </c>
      <c r="AF373" s="378"/>
      <c r="AG373" s="70">
        <v>8853.397025000002</v>
      </c>
      <c r="AH373" s="70">
        <v>5323.3970250000011</v>
      </c>
      <c r="AI373" s="70">
        <v>2679.3970250000011</v>
      </c>
      <c r="AJ373" s="417">
        <v>0</v>
      </c>
      <c r="AK373" s="417">
        <v>0</v>
      </c>
      <c r="AL373" s="378">
        <v>4.4470000000000002E-4</v>
      </c>
      <c r="AM373" s="378"/>
      <c r="AN373" s="70">
        <v>0</v>
      </c>
      <c r="AO373" s="70">
        <v>0</v>
      </c>
      <c r="AP373" s="70">
        <v>0</v>
      </c>
      <c r="AQ373" s="417">
        <v>0</v>
      </c>
      <c r="AR373" s="417">
        <v>0</v>
      </c>
    </row>
    <row r="374" spans="1:44">
      <c r="A374" s="439">
        <v>93906</v>
      </c>
      <c r="B374" s="440" t="s">
        <v>1083</v>
      </c>
      <c r="C374" s="437">
        <v>3.4053999999999998E-3</v>
      </c>
      <c r="D374" s="441"/>
      <c r="E374" s="438">
        <v>2932336.9232499991</v>
      </c>
      <c r="F374" s="442">
        <v>2561856.87005</v>
      </c>
      <c r="G374" s="442">
        <v>742953.37964999978</v>
      </c>
      <c r="H374" s="442">
        <v>3025040.6577999997</v>
      </c>
      <c r="I374" s="442">
        <v>0</v>
      </c>
      <c r="J374" s="443">
        <v>1.138E-4</v>
      </c>
      <c r="K374" s="443"/>
      <c r="L374" s="444">
        <v>548701.88579999993</v>
      </c>
      <c r="M374" s="444">
        <v>224984.5618</v>
      </c>
      <c r="N374" s="444">
        <v>-27049.092199999999</v>
      </c>
      <c r="O374" s="444">
        <v>0</v>
      </c>
      <c r="P374" s="417">
        <v>0</v>
      </c>
      <c r="Q374" s="378">
        <v>1.138E-4</v>
      </c>
      <c r="R374" s="378"/>
      <c r="S374" s="70">
        <v>1334075.6661999999</v>
      </c>
      <c r="T374" s="105">
        <v>1248613.7478</v>
      </c>
      <c r="U374" s="70">
        <v>741811.90359999996</v>
      </c>
      <c r="V374" s="70">
        <v>3025040.6577999997</v>
      </c>
      <c r="W374" s="417">
        <v>0</v>
      </c>
      <c r="X374" s="378">
        <v>1.138E-4</v>
      </c>
      <c r="Z374" s="70">
        <v>958432.80299999996</v>
      </c>
      <c r="AA374" s="70">
        <v>958425.99219999998</v>
      </c>
      <c r="AB374" s="70">
        <v>0</v>
      </c>
      <c r="AC374" s="417">
        <v>0</v>
      </c>
      <c r="AD374" s="417">
        <v>0</v>
      </c>
      <c r="AE374" s="378">
        <v>1.138E-4</v>
      </c>
      <c r="AF374" s="378"/>
      <c r="AG374" s="70">
        <v>129832.56824999978</v>
      </c>
      <c r="AH374" s="70">
        <v>129832.56824999978</v>
      </c>
      <c r="AI374" s="70">
        <v>28190.568249999778</v>
      </c>
      <c r="AJ374" s="417">
        <v>0</v>
      </c>
      <c r="AK374" s="417">
        <v>0</v>
      </c>
      <c r="AL374" s="378">
        <v>1.138E-4</v>
      </c>
      <c r="AM374" s="378"/>
      <c r="AN374" s="70">
        <v>-38706</v>
      </c>
      <c r="AO374" s="70">
        <v>0</v>
      </c>
      <c r="AP374" s="70">
        <v>0</v>
      </c>
      <c r="AQ374" s="417">
        <v>0</v>
      </c>
      <c r="AR374" s="417">
        <v>0</v>
      </c>
    </row>
    <row r="375" spans="1:44">
      <c r="A375" s="439">
        <v>93908</v>
      </c>
      <c r="B375" s="440" t="s">
        <v>1084</v>
      </c>
      <c r="C375" s="437">
        <v>6.332E-4</v>
      </c>
      <c r="D375" s="441"/>
      <c r="E375" s="438">
        <v>603213.61300000013</v>
      </c>
      <c r="F375" s="442">
        <v>514249.56740000006</v>
      </c>
      <c r="G375" s="442">
        <v>139329.00420000002</v>
      </c>
      <c r="H375" s="442">
        <v>562475.99239999999</v>
      </c>
      <c r="I375" s="442">
        <v>0</v>
      </c>
      <c r="J375" s="443">
        <v>7.5599999999999994E-5</v>
      </c>
      <c r="K375" s="443"/>
      <c r="L375" s="444">
        <v>102025.6164</v>
      </c>
      <c r="M375" s="444">
        <v>41833.624400000001</v>
      </c>
      <c r="N375" s="444">
        <v>-5029.5075999999999</v>
      </c>
      <c r="O375" s="444">
        <v>0</v>
      </c>
      <c r="P375" s="417">
        <v>0</v>
      </c>
      <c r="Q375" s="378">
        <v>7.5599999999999994E-5</v>
      </c>
      <c r="R375" s="378"/>
      <c r="S375" s="70">
        <v>248057.99960000001</v>
      </c>
      <c r="T375" s="105">
        <v>232167.21239999999</v>
      </c>
      <c r="U375" s="70">
        <v>137932.48879999999</v>
      </c>
      <c r="V375" s="70">
        <v>562475.99239999999</v>
      </c>
      <c r="W375" s="417">
        <v>0</v>
      </c>
      <c r="X375" s="378">
        <v>7.5599999999999994E-5</v>
      </c>
      <c r="Z375" s="70">
        <v>178210.97399999999</v>
      </c>
      <c r="AA375" s="70">
        <v>178209.70759999999</v>
      </c>
      <c r="AB375" s="70">
        <v>0</v>
      </c>
      <c r="AC375" s="417">
        <v>0</v>
      </c>
      <c r="AD375" s="417">
        <v>0</v>
      </c>
      <c r="AE375" s="378">
        <v>7.5599999999999994E-5</v>
      </c>
      <c r="AF375" s="378"/>
      <c r="AG375" s="70">
        <v>74919.023000000045</v>
      </c>
      <c r="AH375" s="70">
        <v>62039.023000000045</v>
      </c>
      <c r="AI375" s="70">
        <v>6426.0230000000447</v>
      </c>
      <c r="AJ375" s="417">
        <v>0</v>
      </c>
      <c r="AK375" s="417">
        <v>0</v>
      </c>
      <c r="AL375" s="378">
        <v>7.5599999999999994E-5</v>
      </c>
      <c r="AM375" s="378"/>
      <c r="AN375" s="70">
        <v>0</v>
      </c>
      <c r="AO375" s="70">
        <v>0</v>
      </c>
      <c r="AP375" s="70">
        <v>0</v>
      </c>
      <c r="AQ375" s="417">
        <v>0</v>
      </c>
      <c r="AR375" s="417">
        <v>0</v>
      </c>
    </row>
    <row r="376" spans="1:44">
      <c r="A376" s="439">
        <v>93910</v>
      </c>
      <c r="B376" s="440" t="s">
        <v>1085</v>
      </c>
      <c r="C376" s="437">
        <v>3.3E-4</v>
      </c>
      <c r="D376" s="441"/>
      <c r="E376" s="438">
        <v>323113.34265000001</v>
      </c>
      <c r="F376" s="442">
        <v>269105.20264999999</v>
      </c>
      <c r="G376" s="442">
        <v>63257.122650000005</v>
      </c>
      <c r="H376" s="442">
        <v>293141.31</v>
      </c>
      <c r="I376" s="442">
        <v>0</v>
      </c>
      <c r="J376" s="443">
        <v>6.8899999999999994E-5</v>
      </c>
      <c r="K376" s="443"/>
      <c r="L376" s="444">
        <v>53171.909999999996</v>
      </c>
      <c r="M376" s="444">
        <v>21802.11</v>
      </c>
      <c r="N376" s="444">
        <v>-2621.19</v>
      </c>
      <c r="O376" s="444">
        <v>0</v>
      </c>
      <c r="P376" s="417">
        <v>0</v>
      </c>
      <c r="Q376" s="378">
        <v>6.8899999999999994E-5</v>
      </c>
      <c r="R376" s="378"/>
      <c r="S376" s="70">
        <v>129278.49</v>
      </c>
      <c r="T376" s="105">
        <v>120996.81</v>
      </c>
      <c r="U376" s="70">
        <v>71885.22</v>
      </c>
      <c r="V376" s="70">
        <v>293141.31</v>
      </c>
      <c r="W376" s="417">
        <v>0</v>
      </c>
      <c r="X376" s="378">
        <v>6.8899999999999994E-5</v>
      </c>
      <c r="Z376" s="70">
        <v>92876.85</v>
      </c>
      <c r="AA376" s="70">
        <v>92876.19</v>
      </c>
      <c r="AB376" s="70">
        <v>0</v>
      </c>
      <c r="AC376" s="417">
        <v>0</v>
      </c>
      <c r="AD376" s="417">
        <v>0</v>
      </c>
      <c r="AE376" s="378">
        <v>6.8899999999999994E-5</v>
      </c>
      <c r="AF376" s="378"/>
      <c r="AG376" s="70">
        <v>58396</v>
      </c>
      <c r="AH376" s="70">
        <v>39437</v>
      </c>
      <c r="AI376" s="70">
        <v>0</v>
      </c>
      <c r="AJ376" s="417">
        <v>0</v>
      </c>
      <c r="AK376" s="417">
        <v>0</v>
      </c>
      <c r="AL376" s="378">
        <v>6.8899999999999994E-5</v>
      </c>
      <c r="AM376" s="378"/>
      <c r="AN376" s="70">
        <v>-10609.907349999994</v>
      </c>
      <c r="AO376" s="70">
        <v>-6006.907349999994</v>
      </c>
      <c r="AP376" s="70">
        <v>-6006.907349999994</v>
      </c>
      <c r="AQ376" s="417">
        <v>0</v>
      </c>
      <c r="AR376" s="417">
        <v>0</v>
      </c>
    </row>
    <row r="377" spans="1:44">
      <c r="A377" s="439">
        <v>93911</v>
      </c>
      <c r="B377" s="440" t="s">
        <v>1086</v>
      </c>
      <c r="C377" s="437">
        <v>5.3839999999999997E-4</v>
      </c>
      <c r="D377" s="441"/>
      <c r="E377" s="438">
        <v>404549.18859999994</v>
      </c>
      <c r="F377" s="442">
        <v>349527.12139999995</v>
      </c>
      <c r="G377" s="442">
        <v>104886.92299999997</v>
      </c>
      <c r="H377" s="442">
        <v>478264.48879999999</v>
      </c>
      <c r="I377" s="442">
        <v>0</v>
      </c>
      <c r="J377" s="443">
        <v>1.8913999999999999E-3</v>
      </c>
      <c r="K377" s="443"/>
      <c r="L377" s="444">
        <v>86750.776799999992</v>
      </c>
      <c r="M377" s="444">
        <v>35570.472799999996</v>
      </c>
      <c r="N377" s="444">
        <v>-4276.5111999999999</v>
      </c>
      <c r="O377" s="444">
        <v>0</v>
      </c>
      <c r="P377" s="417">
        <v>0</v>
      </c>
      <c r="Q377" s="378">
        <v>1.8913999999999999E-3</v>
      </c>
      <c r="R377" s="378"/>
      <c r="S377" s="70">
        <v>210919.81519999998</v>
      </c>
      <c r="T377" s="105">
        <v>197408.12879999998</v>
      </c>
      <c r="U377" s="70">
        <v>117281.8256</v>
      </c>
      <c r="V377" s="70">
        <v>478264.48879999999</v>
      </c>
      <c r="W377" s="417">
        <v>0</v>
      </c>
      <c r="X377" s="378">
        <v>1.8913999999999999E-3</v>
      </c>
      <c r="Z377" s="70">
        <v>151529.98799999998</v>
      </c>
      <c r="AA377" s="70">
        <v>151528.9112</v>
      </c>
      <c r="AB377" s="70">
        <v>0</v>
      </c>
      <c r="AC377" s="417">
        <v>0</v>
      </c>
      <c r="AD377" s="417">
        <v>0</v>
      </c>
      <c r="AE377" s="378">
        <v>1.8913999999999999E-3</v>
      </c>
      <c r="AF377" s="378"/>
      <c r="AG377" s="70">
        <v>0</v>
      </c>
      <c r="AH377" s="70">
        <v>0</v>
      </c>
      <c r="AI377" s="70">
        <v>0</v>
      </c>
      <c r="AJ377" s="417">
        <v>0</v>
      </c>
      <c r="AK377" s="417">
        <v>0</v>
      </c>
      <c r="AL377" s="378">
        <v>1.8913999999999999E-3</v>
      </c>
      <c r="AM377" s="378"/>
      <c r="AN377" s="70">
        <v>-44651.391400000037</v>
      </c>
      <c r="AO377" s="70">
        <v>-34980.391400000037</v>
      </c>
      <c r="AP377" s="70">
        <v>-8118.3914000000368</v>
      </c>
      <c r="AQ377" s="417">
        <v>0</v>
      </c>
      <c r="AR377" s="417">
        <v>0</v>
      </c>
    </row>
    <row r="378" spans="1:44">
      <c r="A378" s="439">
        <v>93913</v>
      </c>
      <c r="B378" s="440" t="s">
        <v>1087</v>
      </c>
      <c r="C378" s="437">
        <v>4.5000000000000003E-5</v>
      </c>
      <c r="D378" s="441"/>
      <c r="E378" s="438">
        <v>44805.075400000002</v>
      </c>
      <c r="F378" s="442">
        <v>38785.965400000001</v>
      </c>
      <c r="G378" s="442">
        <v>15885.545400000003</v>
      </c>
      <c r="H378" s="442">
        <v>39973.815000000002</v>
      </c>
      <c r="I378" s="442">
        <v>0</v>
      </c>
      <c r="J378" s="443">
        <v>3.2700000000000002E-5</v>
      </c>
      <c r="K378" s="443"/>
      <c r="L378" s="444">
        <v>7250.7150000000001</v>
      </c>
      <c r="M378" s="444">
        <v>2973.0150000000003</v>
      </c>
      <c r="N378" s="444">
        <v>-357.435</v>
      </c>
      <c r="O378" s="444">
        <v>0</v>
      </c>
      <c r="P378" s="417">
        <v>0</v>
      </c>
      <c r="Q378" s="378">
        <v>3.2700000000000002E-5</v>
      </c>
      <c r="R378" s="378"/>
      <c r="S378" s="70">
        <v>17628.885000000002</v>
      </c>
      <c r="T378" s="105">
        <v>16499.565000000002</v>
      </c>
      <c r="U378" s="70">
        <v>9802.5300000000007</v>
      </c>
      <c r="V378" s="70">
        <v>39973.815000000002</v>
      </c>
      <c r="W378" s="417">
        <v>0</v>
      </c>
      <c r="X378" s="378">
        <v>3.2700000000000002E-5</v>
      </c>
      <c r="Z378" s="70">
        <v>12665.025000000001</v>
      </c>
      <c r="AA378" s="70">
        <v>12664.935000000001</v>
      </c>
      <c r="AB378" s="70">
        <v>0</v>
      </c>
      <c r="AC378" s="417">
        <v>0</v>
      </c>
      <c r="AD378" s="417">
        <v>0</v>
      </c>
      <c r="AE378" s="378">
        <v>3.2700000000000002E-5</v>
      </c>
      <c r="AF378" s="378"/>
      <c r="AG378" s="70">
        <v>7795.4504000000015</v>
      </c>
      <c r="AH378" s="70">
        <v>6648.4504000000015</v>
      </c>
      <c r="AI378" s="70">
        <v>6440.4504000000015</v>
      </c>
      <c r="AJ378" s="417">
        <v>0</v>
      </c>
      <c r="AK378" s="417">
        <v>0</v>
      </c>
      <c r="AL378" s="378">
        <v>3.2700000000000002E-5</v>
      </c>
      <c r="AM378" s="378"/>
      <c r="AN378" s="70">
        <v>-535</v>
      </c>
      <c r="AO378" s="70">
        <v>0</v>
      </c>
      <c r="AP378" s="70">
        <v>0</v>
      </c>
      <c r="AQ378" s="417">
        <v>0</v>
      </c>
      <c r="AR378" s="417">
        <v>0</v>
      </c>
    </row>
    <row r="379" spans="1:44">
      <c r="A379" s="439">
        <v>93914</v>
      </c>
      <c r="B379" s="440" t="s">
        <v>1088</v>
      </c>
      <c r="C379" s="437">
        <v>4.8999999999999997E-6</v>
      </c>
      <c r="D379" s="441"/>
      <c r="E379" s="438">
        <v>6483.1612749999986</v>
      </c>
      <c r="F379" s="442">
        <v>4907.3870749999996</v>
      </c>
      <c r="G379" s="442">
        <v>1768.4346749999995</v>
      </c>
      <c r="H379" s="442">
        <v>4352.7042999999994</v>
      </c>
      <c r="I379" s="442">
        <v>0</v>
      </c>
      <c r="J379" s="443">
        <v>3.3013999999999999E-3</v>
      </c>
      <c r="K379" s="443"/>
      <c r="L379" s="444">
        <v>789.52229999999997</v>
      </c>
      <c r="M379" s="444">
        <v>323.72829999999999</v>
      </c>
      <c r="N379" s="444">
        <v>-38.920699999999997</v>
      </c>
      <c r="O379" s="444">
        <v>0</v>
      </c>
      <c r="P379" s="417">
        <v>0</v>
      </c>
      <c r="Q379" s="378">
        <v>3.3013999999999999E-3</v>
      </c>
      <c r="R379" s="378"/>
      <c r="S379" s="70">
        <v>1919.5896999999998</v>
      </c>
      <c r="T379" s="105">
        <v>1796.6192999999998</v>
      </c>
      <c r="U379" s="70">
        <v>1067.3865999999998</v>
      </c>
      <c r="V379" s="70">
        <v>4352.7042999999994</v>
      </c>
      <c r="W379" s="417">
        <v>0</v>
      </c>
      <c r="X379" s="378">
        <v>3.3013999999999999E-3</v>
      </c>
      <c r="Z379" s="70">
        <v>1379.0804999999998</v>
      </c>
      <c r="AA379" s="70">
        <v>1379.0707</v>
      </c>
      <c r="AB379" s="70">
        <v>0</v>
      </c>
      <c r="AC379" s="417">
        <v>0</v>
      </c>
      <c r="AD379" s="417">
        <v>0</v>
      </c>
      <c r="AE379" s="378">
        <v>3.3013999999999999E-3</v>
      </c>
      <c r="AF379" s="378"/>
      <c r="AG379" s="70">
        <v>2394.9687749999994</v>
      </c>
      <c r="AH379" s="70">
        <v>1407.9687749999996</v>
      </c>
      <c r="AI379" s="70">
        <v>739.9687749999996</v>
      </c>
      <c r="AJ379" s="417">
        <v>0</v>
      </c>
      <c r="AK379" s="417">
        <v>0</v>
      </c>
      <c r="AL379" s="378">
        <v>3.3013999999999999E-3</v>
      </c>
      <c r="AM379" s="378"/>
      <c r="AN379" s="70">
        <v>0</v>
      </c>
      <c r="AO379" s="70">
        <v>0</v>
      </c>
      <c r="AP379" s="70">
        <v>0</v>
      </c>
      <c r="AQ379" s="417">
        <v>0</v>
      </c>
      <c r="AR379" s="417">
        <v>0</v>
      </c>
    </row>
    <row r="380" spans="1:44">
      <c r="A380" s="439">
        <v>93921</v>
      </c>
      <c r="B380" s="440" t="s">
        <v>1089</v>
      </c>
      <c r="C380" s="437">
        <v>2.9639999999999999E-4</v>
      </c>
      <c r="D380" s="441"/>
      <c r="E380" s="438">
        <v>265371.39230000007</v>
      </c>
      <c r="F380" s="442">
        <v>221644.56110000002</v>
      </c>
      <c r="G380" s="442">
        <v>75131.154700000043</v>
      </c>
      <c r="H380" s="442">
        <v>263294.1948</v>
      </c>
      <c r="I380" s="442">
        <v>0</v>
      </c>
      <c r="J380" s="443">
        <v>6.1220000000000003E-4</v>
      </c>
      <c r="K380" s="443"/>
      <c r="L380" s="444">
        <v>47758.042799999996</v>
      </c>
      <c r="M380" s="444">
        <v>19582.2588</v>
      </c>
      <c r="N380" s="444">
        <v>-2354.3051999999998</v>
      </c>
      <c r="O380" s="444">
        <v>0</v>
      </c>
      <c r="P380" s="417">
        <v>0</v>
      </c>
      <c r="Q380" s="378">
        <v>6.1220000000000003E-4</v>
      </c>
      <c r="R380" s="378"/>
      <c r="S380" s="70">
        <v>116115.5892</v>
      </c>
      <c r="T380" s="105">
        <v>108677.1348</v>
      </c>
      <c r="U380" s="70">
        <v>64565.997600000002</v>
      </c>
      <c r="V380" s="70">
        <v>263294.1948</v>
      </c>
      <c r="W380" s="417">
        <v>0</v>
      </c>
      <c r="X380" s="378">
        <v>6.1220000000000003E-4</v>
      </c>
      <c r="Z380" s="70">
        <v>83420.297999999995</v>
      </c>
      <c r="AA380" s="70">
        <v>83419.705199999997</v>
      </c>
      <c r="AB380" s="70">
        <v>0</v>
      </c>
      <c r="AC380" s="417">
        <v>0</v>
      </c>
      <c r="AD380" s="417">
        <v>0</v>
      </c>
      <c r="AE380" s="378">
        <v>6.1220000000000003E-4</v>
      </c>
      <c r="AF380" s="378"/>
      <c r="AG380" s="70">
        <v>30248.462300000043</v>
      </c>
      <c r="AH380" s="70">
        <v>12919.462300000043</v>
      </c>
      <c r="AI380" s="70">
        <v>12919.462300000043</v>
      </c>
      <c r="AJ380" s="417">
        <v>0</v>
      </c>
      <c r="AK380" s="417">
        <v>0</v>
      </c>
      <c r="AL380" s="378">
        <v>6.1220000000000003E-4</v>
      </c>
      <c r="AM380" s="378"/>
      <c r="AN380" s="70">
        <v>-12171</v>
      </c>
      <c r="AO380" s="70">
        <v>-2954</v>
      </c>
      <c r="AP380" s="70">
        <v>0</v>
      </c>
      <c r="AQ380" s="417">
        <v>0</v>
      </c>
      <c r="AR380" s="417">
        <v>0</v>
      </c>
    </row>
    <row r="381" spans="1:44">
      <c r="A381" s="439">
        <v>93931</v>
      </c>
      <c r="B381" s="440" t="s">
        <v>1090</v>
      </c>
      <c r="C381" s="437">
        <v>5.3499999999999999E-4</v>
      </c>
      <c r="D381" s="441"/>
      <c r="E381" s="438">
        <v>412021.73549999995</v>
      </c>
      <c r="F381" s="442">
        <v>357524.20549999992</v>
      </c>
      <c r="G381" s="442">
        <v>94997.545499999935</v>
      </c>
      <c r="H381" s="442">
        <v>475244.245</v>
      </c>
      <c r="I381" s="442">
        <v>0</v>
      </c>
      <c r="J381" s="443">
        <v>3.3369999999999998E-4</v>
      </c>
      <c r="K381" s="443"/>
      <c r="L381" s="444">
        <v>86202.944999999992</v>
      </c>
      <c r="M381" s="444">
        <v>35345.845000000001</v>
      </c>
      <c r="N381" s="444">
        <v>-4249.5050000000001</v>
      </c>
      <c r="O381" s="444">
        <v>0</v>
      </c>
      <c r="P381" s="417">
        <v>0</v>
      </c>
      <c r="Q381" s="378">
        <v>3.3369999999999998E-4</v>
      </c>
      <c r="R381" s="378"/>
      <c r="S381" s="70">
        <v>209587.85500000001</v>
      </c>
      <c r="T381" s="105">
        <v>196161.495</v>
      </c>
      <c r="U381" s="70">
        <v>116541.19</v>
      </c>
      <c r="V381" s="70">
        <v>475244.245</v>
      </c>
      <c r="W381" s="417">
        <v>0</v>
      </c>
      <c r="X381" s="378">
        <v>3.3369999999999998E-4</v>
      </c>
      <c r="Z381" s="70">
        <v>150573.07500000001</v>
      </c>
      <c r="AA381" s="70">
        <v>150572.005</v>
      </c>
      <c r="AB381" s="70">
        <v>0</v>
      </c>
      <c r="AC381" s="417">
        <v>0</v>
      </c>
      <c r="AD381" s="417">
        <v>0</v>
      </c>
      <c r="AE381" s="378">
        <v>3.3369999999999998E-4</v>
      </c>
      <c r="AF381" s="378"/>
      <c r="AG381" s="70">
        <v>461</v>
      </c>
      <c r="AH381" s="70">
        <v>0</v>
      </c>
      <c r="AI381" s="70">
        <v>0</v>
      </c>
      <c r="AJ381" s="417">
        <v>0</v>
      </c>
      <c r="AK381" s="417">
        <v>0</v>
      </c>
      <c r="AL381" s="378">
        <v>3.3369999999999998E-4</v>
      </c>
      <c r="AM381" s="378"/>
      <c r="AN381" s="70">
        <v>-34803.139500000063</v>
      </c>
      <c r="AO381" s="70">
        <v>-24555.139500000063</v>
      </c>
      <c r="AP381" s="70">
        <v>-17294.139500000063</v>
      </c>
      <c r="AQ381" s="417">
        <v>0</v>
      </c>
      <c r="AR381" s="417">
        <v>0</v>
      </c>
    </row>
    <row r="382" spans="1:44">
      <c r="A382" s="439">
        <v>94001</v>
      </c>
      <c r="B382" s="440" t="s">
        <v>1091</v>
      </c>
      <c r="C382" s="437">
        <v>9.6590000000000001E-4</v>
      </c>
      <c r="D382" s="441"/>
      <c r="E382" s="438">
        <v>800858.62297500006</v>
      </c>
      <c r="F382" s="442">
        <v>633594.01077499997</v>
      </c>
      <c r="G382" s="442">
        <v>148022.82237500002</v>
      </c>
      <c r="H382" s="442">
        <v>858015.73129999998</v>
      </c>
      <c r="I382" s="442">
        <v>0</v>
      </c>
      <c r="J382" s="443">
        <v>5.5719999999999999E-4</v>
      </c>
      <c r="K382" s="443"/>
      <c r="L382" s="444">
        <v>155632.5693</v>
      </c>
      <c r="M382" s="444">
        <v>63814.115299999998</v>
      </c>
      <c r="N382" s="444">
        <v>-7672.1436999999996</v>
      </c>
      <c r="O382" s="444">
        <v>0</v>
      </c>
      <c r="P382" s="417">
        <v>0</v>
      </c>
      <c r="Q382" s="378">
        <v>5.5719999999999999E-4</v>
      </c>
      <c r="R382" s="378"/>
      <c r="S382" s="70">
        <v>378394.22269999998</v>
      </c>
      <c r="T382" s="105">
        <v>354153.9963</v>
      </c>
      <c r="U382" s="70">
        <v>210405.86060000001</v>
      </c>
      <c r="V382" s="70">
        <v>858015.73129999998</v>
      </c>
      <c r="W382" s="417">
        <v>0</v>
      </c>
      <c r="X382" s="378">
        <v>5.5719999999999999E-4</v>
      </c>
      <c r="Z382" s="70">
        <v>271847.7255</v>
      </c>
      <c r="AA382" s="70">
        <v>271845.79369999998</v>
      </c>
      <c r="AB382" s="70">
        <v>0</v>
      </c>
      <c r="AC382" s="417">
        <v>0</v>
      </c>
      <c r="AD382" s="417">
        <v>0</v>
      </c>
      <c r="AE382" s="378">
        <v>5.5719999999999999E-4</v>
      </c>
      <c r="AF382" s="378"/>
      <c r="AG382" s="70">
        <v>51204</v>
      </c>
      <c r="AH382" s="70">
        <v>0</v>
      </c>
      <c r="AI382" s="70">
        <v>0</v>
      </c>
      <c r="AJ382" s="417">
        <v>0</v>
      </c>
      <c r="AK382" s="417">
        <v>0</v>
      </c>
      <c r="AL382" s="378">
        <v>5.5719999999999999E-4</v>
      </c>
      <c r="AM382" s="378"/>
      <c r="AN382" s="70">
        <v>-56219.894525000011</v>
      </c>
      <c r="AO382" s="70">
        <v>-56219.894525000011</v>
      </c>
      <c r="AP382" s="70">
        <v>-54710.894525000011</v>
      </c>
      <c r="AQ382" s="417">
        <v>0</v>
      </c>
      <c r="AR382" s="417">
        <v>0</v>
      </c>
    </row>
    <row r="383" spans="1:44">
      <c r="A383" s="439">
        <v>94002</v>
      </c>
      <c r="B383" s="440" t="s">
        <v>1092</v>
      </c>
      <c r="C383" s="437">
        <v>3.5999999999999998E-6</v>
      </c>
      <c r="D383" s="441"/>
      <c r="E383" s="438">
        <v>4840.4331999999995</v>
      </c>
      <c r="F383" s="442">
        <v>3787.8643999999995</v>
      </c>
      <c r="G383" s="442">
        <v>1394.4708000000001</v>
      </c>
      <c r="H383" s="442">
        <v>3197.9051999999997</v>
      </c>
      <c r="I383" s="442">
        <v>0</v>
      </c>
      <c r="J383" s="443">
        <v>4.07E-5</v>
      </c>
      <c r="K383" s="443"/>
      <c r="L383" s="444">
        <v>580.05719999999997</v>
      </c>
      <c r="M383" s="444">
        <v>237.84119999999999</v>
      </c>
      <c r="N383" s="444">
        <v>-28.594799999999999</v>
      </c>
      <c r="O383" s="444">
        <v>0</v>
      </c>
      <c r="P383" s="417">
        <v>0</v>
      </c>
      <c r="Q383" s="378">
        <v>4.07E-5</v>
      </c>
      <c r="R383" s="378"/>
      <c r="S383" s="70">
        <v>1410.3108</v>
      </c>
      <c r="T383" s="105">
        <v>1319.9651999999999</v>
      </c>
      <c r="U383" s="70">
        <v>784.20240000000001</v>
      </c>
      <c r="V383" s="70">
        <v>3197.9051999999997</v>
      </c>
      <c r="W383" s="417">
        <v>0</v>
      </c>
      <c r="X383" s="378">
        <v>4.07E-5</v>
      </c>
      <c r="Z383" s="70">
        <v>1013.202</v>
      </c>
      <c r="AA383" s="70">
        <v>1013.1948</v>
      </c>
      <c r="AB383" s="70">
        <v>0</v>
      </c>
      <c r="AC383" s="417">
        <v>0</v>
      </c>
      <c r="AD383" s="417">
        <v>0</v>
      </c>
      <c r="AE383" s="378">
        <v>4.07E-5</v>
      </c>
      <c r="AF383" s="378"/>
      <c r="AG383" s="70">
        <v>1836.8632</v>
      </c>
      <c r="AH383" s="70">
        <v>1216.8632</v>
      </c>
      <c r="AI383" s="70">
        <v>638.86320000000001</v>
      </c>
      <c r="AJ383" s="417">
        <v>0</v>
      </c>
      <c r="AK383" s="417">
        <v>0</v>
      </c>
      <c r="AL383" s="378">
        <v>4.07E-5</v>
      </c>
      <c r="AM383" s="378"/>
      <c r="AN383" s="70">
        <v>0</v>
      </c>
      <c r="AO383" s="70">
        <v>0</v>
      </c>
      <c r="AP383" s="70">
        <v>0</v>
      </c>
      <c r="AQ383" s="417">
        <v>0</v>
      </c>
      <c r="AR383" s="417">
        <v>0</v>
      </c>
    </row>
    <row r="384" spans="1:44">
      <c r="A384" s="439">
        <v>94004</v>
      </c>
      <c r="B384" s="440" t="s">
        <v>1093</v>
      </c>
      <c r="C384" s="437">
        <v>9.5999999999999996E-6</v>
      </c>
      <c r="D384" s="441"/>
      <c r="E384" s="438">
        <v>11524.975699999999</v>
      </c>
      <c r="F384" s="442">
        <v>9809.4588999999996</v>
      </c>
      <c r="G384" s="442">
        <v>2470.4093000000003</v>
      </c>
      <c r="H384" s="442">
        <v>8527.7471999999998</v>
      </c>
      <c r="I384" s="442">
        <v>0</v>
      </c>
      <c r="J384" s="443">
        <v>5.1000000000000003E-6</v>
      </c>
      <c r="K384" s="443"/>
      <c r="L384" s="444">
        <v>1546.8191999999999</v>
      </c>
      <c r="M384" s="444">
        <v>634.2432</v>
      </c>
      <c r="N384" s="444">
        <v>-76.252799999999993</v>
      </c>
      <c r="O384" s="444">
        <v>0</v>
      </c>
      <c r="P384" s="417">
        <v>0</v>
      </c>
      <c r="Q384" s="378">
        <v>5.1000000000000003E-6</v>
      </c>
      <c r="R384" s="378"/>
      <c r="S384" s="70">
        <v>3760.8287999999998</v>
      </c>
      <c r="T384" s="105">
        <v>3519.9071999999996</v>
      </c>
      <c r="U384" s="70">
        <v>2091.2064</v>
      </c>
      <c r="V384" s="70">
        <v>8527.7471999999998</v>
      </c>
      <c r="W384" s="417">
        <v>0</v>
      </c>
      <c r="X384" s="378">
        <v>5.1000000000000003E-6</v>
      </c>
      <c r="Z384" s="70">
        <v>2701.8719999999998</v>
      </c>
      <c r="AA384" s="70">
        <v>2701.8527999999997</v>
      </c>
      <c r="AB384" s="70">
        <v>0</v>
      </c>
      <c r="AC384" s="417">
        <v>0</v>
      </c>
      <c r="AD384" s="417">
        <v>0</v>
      </c>
      <c r="AE384" s="378">
        <v>5.1000000000000003E-6</v>
      </c>
      <c r="AF384" s="378"/>
      <c r="AG384" s="70">
        <v>3515.4557</v>
      </c>
      <c r="AH384" s="70">
        <v>2953.4557</v>
      </c>
      <c r="AI384" s="70">
        <v>455.45569999999998</v>
      </c>
      <c r="AJ384" s="417">
        <v>0</v>
      </c>
      <c r="AK384" s="417">
        <v>0</v>
      </c>
      <c r="AL384" s="378">
        <v>5.1000000000000003E-6</v>
      </c>
      <c r="AM384" s="378"/>
      <c r="AN384" s="70">
        <v>0</v>
      </c>
      <c r="AO384" s="70">
        <v>0</v>
      </c>
      <c r="AP384" s="70">
        <v>0</v>
      </c>
      <c r="AQ384" s="417">
        <v>0</v>
      </c>
      <c r="AR384" s="417">
        <v>0</v>
      </c>
    </row>
    <row r="385" spans="1:44">
      <c r="A385" s="439">
        <v>94005</v>
      </c>
      <c r="B385" s="440" t="s">
        <v>1094</v>
      </c>
      <c r="C385" s="437">
        <v>6.6000000000000003E-6</v>
      </c>
      <c r="D385" s="441"/>
      <c r="E385" s="438">
        <v>8746.0833999999995</v>
      </c>
      <c r="F385" s="442">
        <v>7865.0406000000003</v>
      </c>
      <c r="G385" s="442">
        <v>1710.8190000000004</v>
      </c>
      <c r="H385" s="442">
        <v>5862.8262000000004</v>
      </c>
      <c r="I385" s="442">
        <v>0</v>
      </c>
      <c r="J385" s="443">
        <v>2.6479999999999999E-4</v>
      </c>
      <c r="K385" s="443"/>
      <c r="L385" s="444">
        <v>1063.4382000000001</v>
      </c>
      <c r="M385" s="444">
        <v>436.04220000000004</v>
      </c>
      <c r="N385" s="444">
        <v>-52.4238</v>
      </c>
      <c r="O385" s="444">
        <v>0</v>
      </c>
      <c r="P385" s="417">
        <v>0</v>
      </c>
      <c r="Q385" s="378">
        <v>2.6479999999999999E-4</v>
      </c>
      <c r="R385" s="378"/>
      <c r="S385" s="70">
        <v>2585.5698000000002</v>
      </c>
      <c r="T385" s="105">
        <v>2419.9362000000001</v>
      </c>
      <c r="U385" s="70">
        <v>1437.7044000000001</v>
      </c>
      <c r="V385" s="70">
        <v>5862.8262000000004</v>
      </c>
      <c r="W385" s="417">
        <v>0</v>
      </c>
      <c r="X385" s="378">
        <v>2.6479999999999999E-4</v>
      </c>
      <c r="Z385" s="70">
        <v>1857.537</v>
      </c>
      <c r="AA385" s="70">
        <v>1857.5238000000002</v>
      </c>
      <c r="AB385" s="70">
        <v>0</v>
      </c>
      <c r="AC385" s="417">
        <v>0</v>
      </c>
      <c r="AD385" s="417">
        <v>0</v>
      </c>
      <c r="AE385" s="378">
        <v>2.6479999999999999E-4</v>
      </c>
      <c r="AF385" s="378"/>
      <c r="AG385" s="70">
        <v>3580.5384000000004</v>
      </c>
      <c r="AH385" s="70">
        <v>3151.5384000000004</v>
      </c>
      <c r="AI385" s="70">
        <v>325.53840000000037</v>
      </c>
      <c r="AJ385" s="417">
        <v>0</v>
      </c>
      <c r="AK385" s="417">
        <v>0</v>
      </c>
      <c r="AL385" s="378">
        <v>2.6479999999999999E-4</v>
      </c>
      <c r="AM385" s="378"/>
      <c r="AN385" s="70">
        <v>-341</v>
      </c>
      <c r="AO385" s="70">
        <v>0</v>
      </c>
      <c r="AP385" s="70">
        <v>0</v>
      </c>
      <c r="AQ385" s="417">
        <v>0</v>
      </c>
      <c r="AR385" s="417">
        <v>0</v>
      </c>
    </row>
    <row r="386" spans="1:44">
      <c r="A386" s="439">
        <v>94011</v>
      </c>
      <c r="B386" s="440" t="s">
        <v>1095</v>
      </c>
      <c r="C386" s="437">
        <v>3.18E-5</v>
      </c>
      <c r="D386" s="441"/>
      <c r="E386" s="438">
        <v>25723.086199999998</v>
      </c>
      <c r="F386" s="442">
        <v>22844.061799999999</v>
      </c>
      <c r="G386" s="442">
        <v>6997.0849999999991</v>
      </c>
      <c r="H386" s="442">
        <v>28248.1626</v>
      </c>
      <c r="I386" s="442">
        <v>0</v>
      </c>
      <c r="J386" s="443">
        <v>5.4149999999999999E-4</v>
      </c>
      <c r="K386" s="443"/>
      <c r="L386" s="444">
        <v>5123.8386</v>
      </c>
      <c r="M386" s="444">
        <v>2100.9306000000001</v>
      </c>
      <c r="N386" s="444">
        <v>-252.5874</v>
      </c>
      <c r="O386" s="444">
        <v>0</v>
      </c>
      <c r="P386" s="417">
        <v>0</v>
      </c>
      <c r="Q386" s="378">
        <v>5.4149999999999999E-4</v>
      </c>
      <c r="R386" s="378"/>
      <c r="S386" s="70">
        <v>12457.7454</v>
      </c>
      <c r="T386" s="105">
        <v>11659.6926</v>
      </c>
      <c r="U386" s="70">
        <v>6927.1212000000005</v>
      </c>
      <c r="V386" s="70">
        <v>28248.1626</v>
      </c>
      <c r="W386" s="417">
        <v>0</v>
      </c>
      <c r="X386" s="378">
        <v>5.4149999999999999E-4</v>
      </c>
      <c r="Z386" s="70">
        <v>8949.9510000000009</v>
      </c>
      <c r="AA386" s="70">
        <v>8949.8873999999996</v>
      </c>
      <c r="AB386" s="70">
        <v>0</v>
      </c>
      <c r="AC386" s="417">
        <v>0</v>
      </c>
      <c r="AD386" s="417">
        <v>0</v>
      </c>
      <c r="AE386" s="378">
        <v>5.4149999999999999E-4</v>
      </c>
      <c r="AF386" s="378"/>
      <c r="AG386" s="70">
        <v>322.55119999999897</v>
      </c>
      <c r="AH386" s="70">
        <v>322.55119999999897</v>
      </c>
      <c r="AI386" s="70">
        <v>322.55119999999897</v>
      </c>
      <c r="AJ386" s="417">
        <v>0</v>
      </c>
      <c r="AK386" s="417">
        <v>0</v>
      </c>
      <c r="AL386" s="378">
        <v>5.4149999999999999E-4</v>
      </c>
      <c r="AM386" s="378"/>
      <c r="AN386" s="70">
        <v>-1131</v>
      </c>
      <c r="AO386" s="70">
        <v>-189</v>
      </c>
      <c r="AP386" s="70">
        <v>0</v>
      </c>
      <c r="AQ386" s="417">
        <v>0</v>
      </c>
      <c r="AR386" s="417">
        <v>0</v>
      </c>
    </row>
    <row r="387" spans="1:44">
      <c r="A387" s="439">
        <v>94021</v>
      </c>
      <c r="B387" s="440" t="s">
        <v>1096</v>
      </c>
      <c r="C387" s="437">
        <v>7.7600000000000002E-5</v>
      </c>
      <c r="D387" s="441"/>
      <c r="E387" s="438">
        <v>61406.7598</v>
      </c>
      <c r="F387" s="442">
        <v>42796.499000000011</v>
      </c>
      <c r="G387" s="442">
        <v>12398.681400000007</v>
      </c>
      <c r="H387" s="442">
        <v>68932.623200000002</v>
      </c>
      <c r="I387" s="442">
        <v>0</v>
      </c>
      <c r="J387" s="443">
        <v>1.0621999999999999E-3</v>
      </c>
      <c r="K387" s="443"/>
      <c r="L387" s="444">
        <v>12503.4552</v>
      </c>
      <c r="M387" s="444">
        <v>5126.7992000000004</v>
      </c>
      <c r="N387" s="444">
        <v>-616.3768</v>
      </c>
      <c r="O387" s="444">
        <v>0</v>
      </c>
      <c r="P387" s="417">
        <v>0</v>
      </c>
      <c r="Q387" s="378">
        <v>1.0621999999999999E-3</v>
      </c>
      <c r="R387" s="378"/>
      <c r="S387" s="70">
        <v>30400.032800000001</v>
      </c>
      <c r="T387" s="105">
        <v>28452.583200000001</v>
      </c>
      <c r="U387" s="70">
        <v>16903.918400000002</v>
      </c>
      <c r="V387" s="70">
        <v>68932.623200000002</v>
      </c>
      <c r="W387" s="417">
        <v>0</v>
      </c>
      <c r="X387" s="378">
        <v>1.0621999999999999E-3</v>
      </c>
      <c r="Z387" s="70">
        <v>21840.132000000001</v>
      </c>
      <c r="AA387" s="70">
        <v>21839.9768</v>
      </c>
      <c r="AB387" s="70">
        <v>0</v>
      </c>
      <c r="AC387" s="417">
        <v>0</v>
      </c>
      <c r="AD387" s="417">
        <v>0</v>
      </c>
      <c r="AE387" s="378">
        <v>1.0621999999999999E-3</v>
      </c>
      <c r="AF387" s="378"/>
      <c r="AG387" s="70">
        <v>9286</v>
      </c>
      <c r="AH387" s="70">
        <v>0</v>
      </c>
      <c r="AI387" s="70">
        <v>0</v>
      </c>
      <c r="AJ387" s="417">
        <v>0</v>
      </c>
      <c r="AK387" s="417">
        <v>0</v>
      </c>
      <c r="AL387" s="378">
        <v>1.0621999999999999E-3</v>
      </c>
      <c r="AM387" s="378"/>
      <c r="AN387" s="70">
        <v>-12622.860199999996</v>
      </c>
      <c r="AO387" s="70">
        <v>-12622.860199999996</v>
      </c>
      <c r="AP387" s="70">
        <v>-3888.8601999999955</v>
      </c>
      <c r="AQ387" s="417">
        <v>0</v>
      </c>
      <c r="AR387" s="417">
        <v>0</v>
      </c>
    </row>
    <row r="388" spans="1:44">
      <c r="A388" s="439">
        <v>94031</v>
      </c>
      <c r="B388" s="440" t="s">
        <v>1097</v>
      </c>
      <c r="C388" s="437">
        <v>4.6999999999999999E-6</v>
      </c>
      <c r="D388" s="441"/>
      <c r="E388" s="438">
        <v>8749.2450250000002</v>
      </c>
      <c r="F388" s="442">
        <v>6765.5024249999997</v>
      </c>
      <c r="G388" s="442">
        <v>2531.405225</v>
      </c>
      <c r="H388" s="442">
        <v>4175.0428999999995</v>
      </c>
      <c r="I388" s="442">
        <v>0</v>
      </c>
      <c r="J388" s="443">
        <v>4.1999999999999996E-6</v>
      </c>
      <c r="K388" s="443"/>
      <c r="L388" s="444">
        <v>757.29689999999994</v>
      </c>
      <c r="M388" s="444">
        <v>310.51490000000001</v>
      </c>
      <c r="N388" s="444">
        <v>-37.332099999999997</v>
      </c>
      <c r="O388" s="444">
        <v>0</v>
      </c>
      <c r="P388" s="417">
        <v>0</v>
      </c>
      <c r="Q388" s="378">
        <v>4.1999999999999996E-6</v>
      </c>
      <c r="R388" s="378"/>
      <c r="S388" s="70">
        <v>1841.2391</v>
      </c>
      <c r="T388" s="105">
        <v>1723.2879</v>
      </c>
      <c r="U388" s="70">
        <v>1023.8198</v>
      </c>
      <c r="V388" s="70">
        <v>4175.0428999999995</v>
      </c>
      <c r="W388" s="417">
        <v>0</v>
      </c>
      <c r="X388" s="378">
        <v>4.1999999999999996E-6</v>
      </c>
      <c r="Z388" s="70">
        <v>1322.7915</v>
      </c>
      <c r="AA388" s="70">
        <v>1322.7820999999999</v>
      </c>
      <c r="AB388" s="70">
        <v>0</v>
      </c>
      <c r="AC388" s="417">
        <v>0</v>
      </c>
      <c r="AD388" s="417">
        <v>0</v>
      </c>
      <c r="AE388" s="378">
        <v>4.1999999999999996E-6</v>
      </c>
      <c r="AF388" s="378"/>
      <c r="AG388" s="70">
        <v>4827.9175249999998</v>
      </c>
      <c r="AH388" s="70">
        <v>3408.9175249999998</v>
      </c>
      <c r="AI388" s="70">
        <v>1544.9175250000001</v>
      </c>
      <c r="AJ388" s="417">
        <v>0</v>
      </c>
      <c r="AK388" s="417">
        <v>0</v>
      </c>
      <c r="AL388" s="378">
        <v>4.1999999999999996E-6</v>
      </c>
      <c r="AM388" s="378"/>
      <c r="AN388" s="70">
        <v>0</v>
      </c>
      <c r="AO388" s="70">
        <v>0</v>
      </c>
      <c r="AP388" s="70">
        <v>0</v>
      </c>
      <c r="AQ388" s="417">
        <v>0</v>
      </c>
      <c r="AR388" s="417">
        <v>0</v>
      </c>
    </row>
    <row r="389" spans="1:44">
      <c r="A389" s="439">
        <v>94101</v>
      </c>
      <c r="B389" s="440" t="s">
        <v>1098</v>
      </c>
      <c r="C389" s="437">
        <v>1.8343000000000002E-2</v>
      </c>
      <c r="D389" s="441"/>
      <c r="E389" s="438">
        <v>16023144.28425</v>
      </c>
      <c r="F389" s="442">
        <v>13920758.090249998</v>
      </c>
      <c r="G389" s="442">
        <v>4221093.4222499989</v>
      </c>
      <c r="H389" s="442">
        <v>16294215.301000001</v>
      </c>
      <c r="I389" s="442">
        <v>0</v>
      </c>
      <c r="J389" s="443">
        <v>1.0200000000000001E-5</v>
      </c>
      <c r="K389" s="443"/>
      <c r="L389" s="444">
        <v>2955552.5610000002</v>
      </c>
      <c r="M389" s="444">
        <v>1211866.9810000001</v>
      </c>
      <c r="N389" s="444">
        <v>-145698.44900000002</v>
      </c>
      <c r="O389" s="444">
        <v>0</v>
      </c>
      <c r="P389" s="417">
        <v>0</v>
      </c>
      <c r="Q389" s="378">
        <v>1.0200000000000001E-5</v>
      </c>
      <c r="R389" s="378"/>
      <c r="S389" s="70">
        <v>7185925.279000001</v>
      </c>
      <c r="T389" s="105">
        <v>6725589.3510000007</v>
      </c>
      <c r="U389" s="70">
        <v>3995729.0620000004</v>
      </c>
      <c r="V389" s="70">
        <v>16294215.301000001</v>
      </c>
      <c r="W389" s="417">
        <v>0</v>
      </c>
      <c r="X389" s="378">
        <v>1.0200000000000001E-5</v>
      </c>
      <c r="Z389" s="70">
        <v>5162545.6350000007</v>
      </c>
      <c r="AA389" s="70">
        <v>5162508.949</v>
      </c>
      <c r="AB389" s="70">
        <v>0</v>
      </c>
      <c r="AC389" s="417">
        <v>0</v>
      </c>
      <c r="AD389" s="417">
        <v>0</v>
      </c>
      <c r="AE389" s="378">
        <v>1.0200000000000001E-5</v>
      </c>
      <c r="AF389" s="378"/>
      <c r="AG389" s="70">
        <v>820792.80924999854</v>
      </c>
      <c r="AH389" s="70">
        <v>820792.80924999854</v>
      </c>
      <c r="AI389" s="70">
        <v>371062.80924999854</v>
      </c>
      <c r="AJ389" s="417">
        <v>0</v>
      </c>
      <c r="AK389" s="417">
        <v>0</v>
      </c>
      <c r="AL389" s="378">
        <v>1.0200000000000001E-5</v>
      </c>
      <c r="AM389" s="378"/>
      <c r="AN389" s="70">
        <v>-101672</v>
      </c>
      <c r="AO389" s="70">
        <v>0</v>
      </c>
      <c r="AP389" s="70">
        <v>0</v>
      </c>
      <c r="AQ389" s="417">
        <v>0</v>
      </c>
      <c r="AR389" s="417">
        <v>0</v>
      </c>
    </row>
    <row r="390" spans="1:44">
      <c r="A390" s="439">
        <v>94102</v>
      </c>
      <c r="B390" s="440" t="s">
        <v>1099</v>
      </c>
      <c r="C390" s="437">
        <v>3.9130000000000002E-4</v>
      </c>
      <c r="D390" s="441"/>
      <c r="E390" s="438">
        <v>301445.84422500007</v>
      </c>
      <c r="F390" s="442">
        <v>248144.01882499998</v>
      </c>
      <c r="G390" s="442">
        <v>86208.820025000023</v>
      </c>
      <c r="H390" s="442">
        <v>347594.52910000004</v>
      </c>
      <c r="I390" s="442">
        <v>0</v>
      </c>
      <c r="J390" s="443">
        <v>6.2999999999999998E-6</v>
      </c>
      <c r="K390" s="443"/>
      <c r="L390" s="444">
        <v>63048.995100000007</v>
      </c>
      <c r="M390" s="444">
        <v>25852.017100000001</v>
      </c>
      <c r="N390" s="444">
        <v>-3108.0959000000003</v>
      </c>
      <c r="O390" s="444">
        <v>0</v>
      </c>
      <c r="P390" s="417">
        <v>0</v>
      </c>
      <c r="Q390" s="378">
        <v>6.2999999999999998E-6</v>
      </c>
      <c r="R390" s="378"/>
      <c r="S390" s="70">
        <v>153292.94890000002</v>
      </c>
      <c r="T390" s="105">
        <v>143472.8841</v>
      </c>
      <c r="U390" s="70">
        <v>85238.444199999998</v>
      </c>
      <c r="V390" s="70">
        <v>347594.52910000004</v>
      </c>
      <c r="W390" s="417">
        <v>0</v>
      </c>
      <c r="X390" s="378">
        <v>6.2999999999999998E-6</v>
      </c>
      <c r="Z390" s="70">
        <v>110129.42850000001</v>
      </c>
      <c r="AA390" s="70">
        <v>110128.6459</v>
      </c>
      <c r="AB390" s="70">
        <v>0</v>
      </c>
      <c r="AC390" s="417">
        <v>0</v>
      </c>
      <c r="AD390" s="417">
        <v>0</v>
      </c>
      <c r="AE390" s="378">
        <v>6.2999999999999998E-6</v>
      </c>
      <c r="AF390" s="378"/>
      <c r="AG390" s="70">
        <v>10362.471725000032</v>
      </c>
      <c r="AH390" s="70">
        <v>4078.4717250000322</v>
      </c>
      <c r="AI390" s="70">
        <v>4078.4717250000322</v>
      </c>
      <c r="AJ390" s="417">
        <v>0</v>
      </c>
      <c r="AK390" s="417">
        <v>0</v>
      </c>
      <c r="AL390" s="378">
        <v>6.2999999999999998E-6</v>
      </c>
      <c r="AM390" s="378"/>
      <c r="AN390" s="70">
        <v>-35388</v>
      </c>
      <c r="AO390" s="70">
        <v>-35388</v>
      </c>
      <c r="AP390" s="70">
        <v>0</v>
      </c>
      <c r="AQ390" s="417">
        <v>0</v>
      </c>
      <c r="AR390" s="417">
        <v>0</v>
      </c>
    </row>
    <row r="391" spans="1:44">
      <c r="A391" s="439">
        <v>94108</v>
      </c>
      <c r="B391" s="440" t="s">
        <v>1100</v>
      </c>
      <c r="C391" s="437">
        <v>4.1730000000000001E-4</v>
      </c>
      <c r="D391" s="441"/>
      <c r="E391" s="438">
        <v>294720.57142499997</v>
      </c>
      <c r="F391" s="442">
        <v>256851.63802499996</v>
      </c>
      <c r="G391" s="442">
        <v>76018.263225000002</v>
      </c>
      <c r="H391" s="442">
        <v>370690.5111</v>
      </c>
      <c r="I391" s="442">
        <v>0</v>
      </c>
      <c r="J391" s="443">
        <v>2.8900000000000001E-5</v>
      </c>
      <c r="K391" s="443"/>
      <c r="L391" s="444">
        <v>67238.297099999996</v>
      </c>
      <c r="M391" s="444">
        <v>27569.759099999999</v>
      </c>
      <c r="N391" s="444">
        <v>-3314.6138999999998</v>
      </c>
      <c r="O391" s="444">
        <v>0</v>
      </c>
      <c r="P391" s="417">
        <v>0</v>
      </c>
      <c r="Q391" s="378">
        <v>2.8900000000000001E-5</v>
      </c>
      <c r="R391" s="378"/>
      <c r="S391" s="70">
        <v>163478.5269</v>
      </c>
      <c r="T391" s="105">
        <v>153005.96609999999</v>
      </c>
      <c r="U391" s="70">
        <v>90902.128200000006</v>
      </c>
      <c r="V391" s="70">
        <v>370690.5111</v>
      </c>
      <c r="W391" s="417">
        <v>0</v>
      </c>
      <c r="X391" s="378">
        <v>2.8900000000000001E-5</v>
      </c>
      <c r="Z391" s="70">
        <v>117446.9985</v>
      </c>
      <c r="AA391" s="70">
        <v>117446.1639</v>
      </c>
      <c r="AB391" s="70">
        <v>0</v>
      </c>
      <c r="AC391" s="417">
        <v>0</v>
      </c>
      <c r="AD391" s="417">
        <v>0</v>
      </c>
      <c r="AE391" s="378">
        <v>2.8900000000000001E-5</v>
      </c>
      <c r="AF391" s="378"/>
      <c r="AG391" s="70">
        <v>0</v>
      </c>
      <c r="AH391" s="70">
        <v>0</v>
      </c>
      <c r="AI391" s="70">
        <v>0</v>
      </c>
      <c r="AJ391" s="417">
        <v>0</v>
      </c>
      <c r="AK391" s="417">
        <v>0</v>
      </c>
      <c r="AL391" s="378">
        <v>2.8900000000000001E-5</v>
      </c>
      <c r="AM391" s="378"/>
      <c r="AN391" s="70">
        <v>-53443.251075000007</v>
      </c>
      <c r="AO391" s="70">
        <v>-41170.251075000007</v>
      </c>
      <c r="AP391" s="70">
        <v>-11569.251075000007</v>
      </c>
      <c r="AQ391" s="417">
        <v>0</v>
      </c>
      <c r="AR391" s="417">
        <v>0</v>
      </c>
    </row>
    <row r="392" spans="1:44">
      <c r="A392" s="439">
        <v>94109</v>
      </c>
      <c r="B392" s="440" t="s">
        <v>1101</v>
      </c>
      <c r="C392" s="437">
        <v>1.132E-4</v>
      </c>
      <c r="D392" s="441"/>
      <c r="E392" s="438">
        <v>87284.199899999978</v>
      </c>
      <c r="F392" s="442">
        <v>78696.314299999969</v>
      </c>
      <c r="G392" s="442">
        <v>29563.271099999987</v>
      </c>
      <c r="H392" s="442">
        <v>100556.3524</v>
      </c>
      <c r="I392" s="442">
        <v>0</v>
      </c>
      <c r="J392" s="443">
        <v>8.6000000000000003E-5</v>
      </c>
      <c r="K392" s="443"/>
      <c r="L392" s="444">
        <v>18239.576400000002</v>
      </c>
      <c r="M392" s="444">
        <v>7478.7844000000005</v>
      </c>
      <c r="N392" s="444">
        <v>-899.14760000000001</v>
      </c>
      <c r="O392" s="444">
        <v>0</v>
      </c>
      <c r="P392" s="417">
        <v>0</v>
      </c>
      <c r="Q392" s="378">
        <v>8.6000000000000003E-5</v>
      </c>
      <c r="R392" s="378"/>
      <c r="S392" s="70">
        <v>44346.439599999998</v>
      </c>
      <c r="T392" s="105">
        <v>41505.572399999997</v>
      </c>
      <c r="U392" s="70">
        <v>24658.808799999999</v>
      </c>
      <c r="V392" s="70">
        <v>100556.3524</v>
      </c>
      <c r="W392" s="417">
        <v>0</v>
      </c>
      <c r="X392" s="378">
        <v>8.6000000000000003E-5</v>
      </c>
      <c r="Z392" s="70">
        <v>31859.574000000001</v>
      </c>
      <c r="AA392" s="70">
        <v>31859.347600000001</v>
      </c>
      <c r="AB392" s="70">
        <v>0</v>
      </c>
      <c r="AC392" s="417">
        <v>0</v>
      </c>
      <c r="AD392" s="417">
        <v>0</v>
      </c>
      <c r="AE392" s="378">
        <v>8.6000000000000003E-5</v>
      </c>
      <c r="AF392" s="378"/>
      <c r="AG392" s="70">
        <v>5803.6098999999886</v>
      </c>
      <c r="AH392" s="70">
        <v>5803.6098999999886</v>
      </c>
      <c r="AI392" s="70">
        <v>5803.6098999999886</v>
      </c>
      <c r="AJ392" s="417">
        <v>0</v>
      </c>
      <c r="AK392" s="417">
        <v>0</v>
      </c>
      <c r="AL392" s="378">
        <v>8.6000000000000003E-5</v>
      </c>
      <c r="AM392" s="378"/>
      <c r="AN392" s="70">
        <v>-12965</v>
      </c>
      <c r="AO392" s="70">
        <v>-7951</v>
      </c>
      <c r="AP392" s="70">
        <v>0</v>
      </c>
      <c r="AQ392" s="417">
        <v>0</v>
      </c>
      <c r="AR392" s="417">
        <v>0</v>
      </c>
    </row>
    <row r="393" spans="1:44">
      <c r="A393" s="439">
        <v>94111</v>
      </c>
      <c r="B393" s="440" t="s">
        <v>1102</v>
      </c>
      <c r="C393" s="437">
        <v>2.3378300000000001E-2</v>
      </c>
      <c r="D393" s="441"/>
      <c r="E393" s="438">
        <v>18787807.437925</v>
      </c>
      <c r="F393" s="442">
        <v>16291693.666524999</v>
      </c>
      <c r="G393" s="442">
        <v>4975948.0557249999</v>
      </c>
      <c r="H393" s="442">
        <v>20767107.5381</v>
      </c>
      <c r="I393" s="442">
        <v>0</v>
      </c>
      <c r="J393" s="443">
        <v>4.8999999999999997E-6</v>
      </c>
      <c r="K393" s="443"/>
      <c r="L393" s="444">
        <v>3766875.3441000003</v>
      </c>
      <c r="M393" s="444">
        <v>1544534.1461</v>
      </c>
      <c r="N393" s="444">
        <v>-185693.83689999999</v>
      </c>
      <c r="O393" s="444">
        <v>0</v>
      </c>
      <c r="P393" s="417">
        <v>0</v>
      </c>
      <c r="Q393" s="378">
        <v>4.8999999999999997E-6</v>
      </c>
      <c r="R393" s="378"/>
      <c r="S393" s="70">
        <v>9158519.1599000003</v>
      </c>
      <c r="T393" s="105">
        <v>8571817.3431000002</v>
      </c>
      <c r="U393" s="70">
        <v>5092588.6022000005</v>
      </c>
      <c r="V393" s="70">
        <v>20767107.5381</v>
      </c>
      <c r="W393" s="417">
        <v>0</v>
      </c>
      <c r="X393" s="378">
        <v>4.8999999999999997E-6</v>
      </c>
      <c r="Z393" s="70">
        <v>6579705.6435000002</v>
      </c>
      <c r="AA393" s="70">
        <v>6579658.8869000003</v>
      </c>
      <c r="AB393" s="70">
        <v>0</v>
      </c>
      <c r="AC393" s="417">
        <v>0</v>
      </c>
      <c r="AD393" s="417">
        <v>0</v>
      </c>
      <c r="AE393" s="378">
        <v>4.8999999999999997E-6</v>
      </c>
      <c r="AF393" s="378"/>
      <c r="AG393" s="70">
        <v>69053.290424999781</v>
      </c>
      <c r="AH393" s="70">
        <v>69053.290424999781</v>
      </c>
      <c r="AI393" s="70">
        <v>69053.290424999781</v>
      </c>
      <c r="AJ393" s="417">
        <v>0</v>
      </c>
      <c r="AK393" s="417">
        <v>0</v>
      </c>
      <c r="AL393" s="378">
        <v>4.8999999999999997E-6</v>
      </c>
      <c r="AM393" s="378"/>
      <c r="AN393" s="70">
        <v>-786346</v>
      </c>
      <c r="AO393" s="70">
        <v>-473370</v>
      </c>
      <c r="AP393" s="70">
        <v>0</v>
      </c>
      <c r="AQ393" s="417">
        <v>0</v>
      </c>
      <c r="AR393" s="417">
        <v>0</v>
      </c>
    </row>
    <row r="394" spans="1:44">
      <c r="A394" s="439">
        <v>94112</v>
      </c>
      <c r="B394" s="440" t="s">
        <v>1103</v>
      </c>
      <c r="C394" s="437">
        <v>1.2439999999999999E-4</v>
      </c>
      <c r="D394" s="441"/>
      <c r="E394" s="438">
        <v>84300.99824999999</v>
      </c>
      <c r="F394" s="442">
        <v>78477.343049999981</v>
      </c>
      <c r="G394" s="442">
        <v>21109.40864999999</v>
      </c>
      <c r="H394" s="442">
        <v>110505.39079999999</v>
      </c>
      <c r="I394" s="442">
        <v>0</v>
      </c>
      <c r="J394" s="443">
        <v>1.7842E-2</v>
      </c>
      <c r="K394" s="443"/>
      <c r="L394" s="444">
        <v>20044.198799999998</v>
      </c>
      <c r="M394" s="444">
        <v>8218.7347999999984</v>
      </c>
      <c r="N394" s="444">
        <v>-988.10919999999987</v>
      </c>
      <c r="O394" s="444">
        <v>0</v>
      </c>
      <c r="P394" s="417">
        <v>0</v>
      </c>
      <c r="Q394" s="378">
        <v>1.7842E-2</v>
      </c>
      <c r="R394" s="378"/>
      <c r="S394" s="70">
        <v>48734.073199999999</v>
      </c>
      <c r="T394" s="105">
        <v>45612.130799999999</v>
      </c>
      <c r="U394" s="70">
        <v>27098.549599999998</v>
      </c>
      <c r="V394" s="70">
        <v>110505.39079999999</v>
      </c>
      <c r="W394" s="417">
        <v>0</v>
      </c>
      <c r="X394" s="378">
        <v>1.7842E-2</v>
      </c>
      <c r="Z394" s="70">
        <v>35011.757999999994</v>
      </c>
      <c r="AA394" s="70">
        <v>35011.509199999993</v>
      </c>
      <c r="AB394" s="70">
        <v>0</v>
      </c>
      <c r="AC394" s="417">
        <v>0</v>
      </c>
      <c r="AD394" s="417">
        <v>0</v>
      </c>
      <c r="AE394" s="378">
        <v>1.7842E-2</v>
      </c>
      <c r="AF394" s="378"/>
      <c r="AG394" s="70">
        <v>0</v>
      </c>
      <c r="AH394" s="70">
        <v>0</v>
      </c>
      <c r="AI394" s="70">
        <v>0</v>
      </c>
      <c r="AJ394" s="417">
        <v>0</v>
      </c>
      <c r="AK394" s="417">
        <v>0</v>
      </c>
      <c r="AL394" s="378">
        <v>1.7842E-2</v>
      </c>
      <c r="AM394" s="378"/>
      <c r="AN394" s="70">
        <v>-19489.031750000009</v>
      </c>
      <c r="AO394" s="70">
        <v>-10365.031750000009</v>
      </c>
      <c r="AP394" s="70">
        <v>-5001.0317500000092</v>
      </c>
      <c r="AQ394" s="417">
        <v>0</v>
      </c>
      <c r="AR394" s="417">
        <v>0</v>
      </c>
    </row>
    <row r="395" spans="1:44">
      <c r="A395" s="439">
        <v>94117</v>
      </c>
      <c r="B395" s="440" t="s">
        <v>1104</v>
      </c>
      <c r="C395" s="437">
        <v>4.1829999999999998E-4</v>
      </c>
      <c r="D395" s="441"/>
      <c r="E395" s="438">
        <v>431250.41877499991</v>
      </c>
      <c r="F395" s="442">
        <v>373070.32737499994</v>
      </c>
      <c r="G395" s="442">
        <v>129683.67657499996</v>
      </c>
      <c r="H395" s="442">
        <v>371578.81809999997</v>
      </c>
      <c r="I395" s="442">
        <v>0</v>
      </c>
      <c r="J395" s="443">
        <v>3.4259999999999998E-4</v>
      </c>
      <c r="K395" s="443"/>
      <c r="L395" s="444">
        <v>67399.424099999989</v>
      </c>
      <c r="M395" s="444">
        <v>27635.826099999998</v>
      </c>
      <c r="N395" s="444">
        <v>-3322.5568999999996</v>
      </c>
      <c r="O395" s="444">
        <v>0</v>
      </c>
      <c r="P395" s="417">
        <v>0</v>
      </c>
      <c r="Q395" s="378">
        <v>3.4259999999999998E-4</v>
      </c>
      <c r="R395" s="378"/>
      <c r="S395" s="70">
        <v>163870.27989999999</v>
      </c>
      <c r="T395" s="105">
        <v>153372.6231</v>
      </c>
      <c r="U395" s="70">
        <v>91119.962199999994</v>
      </c>
      <c r="V395" s="70">
        <v>371578.81809999997</v>
      </c>
      <c r="W395" s="417">
        <v>0</v>
      </c>
      <c r="X395" s="378">
        <v>3.4259999999999998E-4</v>
      </c>
      <c r="Z395" s="70">
        <v>117728.44349999999</v>
      </c>
      <c r="AA395" s="70">
        <v>117727.6069</v>
      </c>
      <c r="AB395" s="70">
        <v>0</v>
      </c>
      <c r="AC395" s="417">
        <v>0</v>
      </c>
      <c r="AD395" s="417">
        <v>0</v>
      </c>
      <c r="AE395" s="378">
        <v>3.4259999999999998E-4</v>
      </c>
      <c r="AF395" s="378"/>
      <c r="AG395" s="70">
        <v>84143.271274999963</v>
      </c>
      <c r="AH395" s="70">
        <v>74334.271274999963</v>
      </c>
      <c r="AI395" s="70">
        <v>41886.271274999963</v>
      </c>
      <c r="AJ395" s="417">
        <v>0</v>
      </c>
      <c r="AK395" s="417">
        <v>0</v>
      </c>
      <c r="AL395" s="378">
        <v>3.4259999999999998E-4</v>
      </c>
      <c r="AM395" s="378"/>
      <c r="AN395" s="70">
        <v>-1891</v>
      </c>
      <c r="AO395" s="70">
        <v>0</v>
      </c>
      <c r="AP395" s="70">
        <v>0</v>
      </c>
      <c r="AQ395" s="417">
        <v>0</v>
      </c>
      <c r="AR395" s="417">
        <v>0</v>
      </c>
    </row>
    <row r="396" spans="1:44">
      <c r="A396" s="439">
        <v>94118</v>
      </c>
      <c r="B396" s="440" t="s">
        <v>1105</v>
      </c>
      <c r="C396" s="437">
        <v>1.55E-4</v>
      </c>
      <c r="D396" s="441"/>
      <c r="E396" s="438">
        <v>117620.7173</v>
      </c>
      <c r="F396" s="442">
        <v>108014.22730000001</v>
      </c>
      <c r="G396" s="442">
        <v>34164.4473</v>
      </c>
      <c r="H396" s="442">
        <v>137687.58499999999</v>
      </c>
      <c r="I396" s="442">
        <v>0</v>
      </c>
      <c r="J396" s="443">
        <v>3.9619999999999998E-4</v>
      </c>
      <c r="K396" s="443"/>
      <c r="L396" s="444">
        <v>24974.685000000001</v>
      </c>
      <c r="M396" s="444">
        <v>10240.385</v>
      </c>
      <c r="N396" s="444">
        <v>-1231.165</v>
      </c>
      <c r="O396" s="444">
        <v>0</v>
      </c>
      <c r="P396" s="417">
        <v>0</v>
      </c>
      <c r="Q396" s="378">
        <v>3.9619999999999998E-4</v>
      </c>
      <c r="R396" s="378"/>
      <c r="S396" s="70">
        <v>60721.714999999997</v>
      </c>
      <c r="T396" s="105">
        <v>56831.834999999999</v>
      </c>
      <c r="U396" s="70">
        <v>33764.269999999997</v>
      </c>
      <c r="V396" s="70">
        <v>137687.58499999999</v>
      </c>
      <c r="W396" s="417">
        <v>0</v>
      </c>
      <c r="X396" s="378">
        <v>3.9619999999999998E-4</v>
      </c>
      <c r="Z396" s="70">
        <v>43623.974999999999</v>
      </c>
      <c r="AA396" s="70">
        <v>43623.665000000001</v>
      </c>
      <c r="AB396" s="70">
        <v>0</v>
      </c>
      <c r="AC396" s="417">
        <v>0</v>
      </c>
      <c r="AD396" s="417">
        <v>0</v>
      </c>
      <c r="AE396" s="378">
        <v>3.9619999999999998E-4</v>
      </c>
      <c r="AF396" s="378"/>
      <c r="AG396" s="70">
        <v>1631.3423000000039</v>
      </c>
      <c r="AH396" s="70">
        <v>1631.3423000000039</v>
      </c>
      <c r="AI396" s="70">
        <v>1631.3423000000039</v>
      </c>
      <c r="AJ396" s="417">
        <v>0</v>
      </c>
      <c r="AK396" s="417">
        <v>0</v>
      </c>
      <c r="AL396" s="378">
        <v>3.9619999999999998E-4</v>
      </c>
      <c r="AM396" s="378"/>
      <c r="AN396" s="70">
        <v>-13331</v>
      </c>
      <c r="AO396" s="70">
        <v>-4313</v>
      </c>
      <c r="AP396" s="70">
        <v>0</v>
      </c>
      <c r="AQ396" s="417">
        <v>0</v>
      </c>
      <c r="AR396" s="417">
        <v>0</v>
      </c>
    </row>
    <row r="397" spans="1:44">
      <c r="A397" s="439">
        <v>94121</v>
      </c>
      <c r="B397" s="440" t="s">
        <v>1106</v>
      </c>
      <c r="C397" s="437">
        <v>1.02808E-2</v>
      </c>
      <c r="D397" s="441"/>
      <c r="E397" s="438">
        <v>8472592.0076000001</v>
      </c>
      <c r="F397" s="442">
        <v>7138797.6411999986</v>
      </c>
      <c r="G397" s="442">
        <v>2110237.9403999997</v>
      </c>
      <c r="H397" s="442">
        <v>9132506.6055999994</v>
      </c>
      <c r="I397" s="442">
        <v>0</v>
      </c>
      <c r="J397" s="443">
        <v>9.7399999999999996E-5</v>
      </c>
      <c r="K397" s="443"/>
      <c r="L397" s="444">
        <v>1656514.4616</v>
      </c>
      <c r="M397" s="444">
        <v>679221.61359999992</v>
      </c>
      <c r="N397" s="444">
        <v>-81660.39439999999</v>
      </c>
      <c r="O397" s="444">
        <v>0</v>
      </c>
      <c r="P397" s="417">
        <v>0</v>
      </c>
      <c r="Q397" s="378">
        <v>9.7399999999999996E-5</v>
      </c>
      <c r="R397" s="378"/>
      <c r="S397" s="70">
        <v>4027534.2423999999</v>
      </c>
      <c r="T397" s="105">
        <v>3769527.2856000001</v>
      </c>
      <c r="U397" s="70">
        <v>2239507.7872000001</v>
      </c>
      <c r="V397" s="70">
        <v>9132506.6055999994</v>
      </c>
      <c r="W397" s="417">
        <v>0</v>
      </c>
      <c r="X397" s="378">
        <v>9.7399999999999996E-5</v>
      </c>
      <c r="Z397" s="70">
        <v>2893479.7560000001</v>
      </c>
      <c r="AA397" s="70">
        <v>2893459.1943999999</v>
      </c>
      <c r="AB397" s="70">
        <v>0</v>
      </c>
      <c r="AC397" s="417">
        <v>0</v>
      </c>
      <c r="AD397" s="417">
        <v>0</v>
      </c>
      <c r="AE397" s="378">
        <v>9.7399999999999996E-5</v>
      </c>
      <c r="AF397" s="378"/>
      <c r="AG397" s="70">
        <v>98474</v>
      </c>
      <c r="AH397" s="70">
        <v>0</v>
      </c>
      <c r="AI397" s="70">
        <v>0</v>
      </c>
      <c r="AJ397" s="417">
        <v>0</v>
      </c>
      <c r="AK397" s="417">
        <v>0</v>
      </c>
      <c r="AL397" s="378">
        <v>9.7399999999999996E-5</v>
      </c>
      <c r="AM397" s="378"/>
      <c r="AN397" s="70">
        <v>-203410.4524000003</v>
      </c>
      <c r="AO397" s="70">
        <v>-203410.4524000003</v>
      </c>
      <c r="AP397" s="70">
        <v>-47609.4524000003</v>
      </c>
      <c r="AQ397" s="417">
        <v>0</v>
      </c>
      <c r="AR397" s="417">
        <v>0</v>
      </c>
    </row>
    <row r="398" spans="1:44">
      <c r="A398" s="439">
        <v>94127</v>
      </c>
      <c r="B398" s="440" t="s">
        <v>1107</v>
      </c>
      <c r="C398" s="437">
        <v>1.9379999999999999E-4</v>
      </c>
      <c r="D398" s="441"/>
      <c r="E398" s="438">
        <v>192661.0601</v>
      </c>
      <c r="F398" s="442">
        <v>166536.43969999999</v>
      </c>
      <c r="G398" s="442">
        <v>41614.750900000006</v>
      </c>
      <c r="H398" s="442">
        <v>172153.89660000001</v>
      </c>
      <c r="I398" s="442">
        <v>0</v>
      </c>
      <c r="J398" s="443">
        <v>2.33067E-2</v>
      </c>
      <c r="K398" s="443"/>
      <c r="L398" s="444">
        <v>31226.4126</v>
      </c>
      <c r="M398" s="444">
        <v>12803.784599999999</v>
      </c>
      <c r="N398" s="444">
        <v>-1539.3534</v>
      </c>
      <c r="O398" s="444">
        <v>0</v>
      </c>
      <c r="P398" s="417">
        <v>0</v>
      </c>
      <c r="Q398" s="378">
        <v>2.33067E-2</v>
      </c>
      <c r="R398" s="378"/>
      <c r="S398" s="70">
        <v>75921.731400000004</v>
      </c>
      <c r="T398" s="105">
        <v>71058.126600000003</v>
      </c>
      <c r="U398" s="70">
        <v>42216.229200000002</v>
      </c>
      <c r="V398" s="70">
        <v>172153.89660000001</v>
      </c>
      <c r="W398" s="417">
        <v>0</v>
      </c>
      <c r="X398" s="378">
        <v>2.33067E-2</v>
      </c>
      <c r="Z398" s="70">
        <v>54544.040999999997</v>
      </c>
      <c r="AA398" s="70">
        <v>54543.653399999996</v>
      </c>
      <c r="AB398" s="70">
        <v>0</v>
      </c>
      <c r="AC398" s="417">
        <v>0</v>
      </c>
      <c r="AD398" s="417">
        <v>0</v>
      </c>
      <c r="AE398" s="378">
        <v>2.33067E-2</v>
      </c>
      <c r="AF398" s="378"/>
      <c r="AG398" s="70">
        <v>32449.875100000005</v>
      </c>
      <c r="AH398" s="70">
        <v>28130.875100000005</v>
      </c>
      <c r="AI398" s="70">
        <v>937.87510000000475</v>
      </c>
      <c r="AJ398" s="417">
        <v>0</v>
      </c>
      <c r="AK398" s="417">
        <v>0</v>
      </c>
      <c r="AL398" s="378">
        <v>2.33067E-2</v>
      </c>
      <c r="AM398" s="378"/>
      <c r="AN398" s="70">
        <v>-1481</v>
      </c>
      <c r="AO398" s="70">
        <v>0</v>
      </c>
      <c r="AP398" s="70">
        <v>0</v>
      </c>
      <c r="AQ398" s="417">
        <v>0</v>
      </c>
      <c r="AR398" s="417">
        <v>0</v>
      </c>
    </row>
    <row r="399" spans="1:44">
      <c r="A399" s="439">
        <v>94131</v>
      </c>
      <c r="B399" s="440" t="s">
        <v>1108</v>
      </c>
      <c r="C399" s="437">
        <v>2.41E-4</v>
      </c>
      <c r="D399" s="441"/>
      <c r="E399" s="438">
        <v>218739.62245000002</v>
      </c>
      <c r="F399" s="442">
        <v>187039.54444999999</v>
      </c>
      <c r="G399" s="442">
        <v>68020.028449999998</v>
      </c>
      <c r="H399" s="442">
        <v>214081.98699999999</v>
      </c>
      <c r="I399" s="442">
        <v>0</v>
      </c>
      <c r="J399" s="443">
        <v>1.429E-4</v>
      </c>
      <c r="K399" s="443"/>
      <c r="L399" s="444">
        <v>38831.607000000004</v>
      </c>
      <c r="M399" s="444">
        <v>15922.147000000001</v>
      </c>
      <c r="N399" s="444">
        <v>-1914.2629999999999</v>
      </c>
      <c r="O399" s="444">
        <v>0</v>
      </c>
      <c r="P399" s="417">
        <v>0</v>
      </c>
      <c r="Q399" s="378">
        <v>1.429E-4</v>
      </c>
      <c r="R399" s="378"/>
      <c r="S399" s="70">
        <v>94412.472999999998</v>
      </c>
      <c r="T399" s="105">
        <v>88364.337</v>
      </c>
      <c r="U399" s="70">
        <v>52497.993999999999</v>
      </c>
      <c r="V399" s="70">
        <v>214081.98699999999</v>
      </c>
      <c r="W399" s="417">
        <v>0</v>
      </c>
      <c r="X399" s="378">
        <v>1.429E-4</v>
      </c>
      <c r="Z399" s="70">
        <v>67828.244999999995</v>
      </c>
      <c r="AA399" s="70">
        <v>67827.763000000006</v>
      </c>
      <c r="AB399" s="70">
        <v>0</v>
      </c>
      <c r="AC399" s="417">
        <v>0</v>
      </c>
      <c r="AD399" s="417">
        <v>0</v>
      </c>
      <c r="AE399" s="378">
        <v>1.429E-4</v>
      </c>
      <c r="AF399" s="378"/>
      <c r="AG399" s="70">
        <v>20178.297449999998</v>
      </c>
      <c r="AH399" s="70">
        <v>17436.297449999998</v>
      </c>
      <c r="AI399" s="70">
        <v>17436.297449999998</v>
      </c>
      <c r="AJ399" s="417">
        <v>0</v>
      </c>
      <c r="AK399" s="417">
        <v>0</v>
      </c>
      <c r="AL399" s="378">
        <v>1.429E-4</v>
      </c>
      <c r="AM399" s="378"/>
      <c r="AN399" s="70">
        <v>-2511</v>
      </c>
      <c r="AO399" s="70">
        <v>-2511</v>
      </c>
      <c r="AP399" s="70">
        <v>0</v>
      </c>
      <c r="AQ399" s="417">
        <v>0</v>
      </c>
      <c r="AR399" s="417">
        <v>0</v>
      </c>
    </row>
    <row r="400" spans="1:44">
      <c r="A400" s="439">
        <v>94151</v>
      </c>
      <c r="B400" s="440" t="s">
        <v>1109</v>
      </c>
      <c r="C400" s="437">
        <v>5.1610000000000002E-4</v>
      </c>
      <c r="D400" s="441"/>
      <c r="E400" s="438">
        <v>437526.6905250001</v>
      </c>
      <c r="F400" s="442">
        <v>396898.146725</v>
      </c>
      <c r="G400" s="442">
        <v>127998.30312500001</v>
      </c>
      <c r="H400" s="442">
        <v>458455.2427</v>
      </c>
      <c r="I400" s="442">
        <v>0</v>
      </c>
      <c r="J400" s="443">
        <v>3.5599999999999998E-4</v>
      </c>
      <c r="K400" s="443"/>
      <c r="L400" s="444">
        <v>83157.644700000004</v>
      </c>
      <c r="M400" s="444">
        <v>34097.178700000004</v>
      </c>
      <c r="N400" s="444">
        <v>-4099.3823000000002</v>
      </c>
      <c r="O400" s="444">
        <v>0</v>
      </c>
      <c r="P400" s="417">
        <v>0</v>
      </c>
      <c r="Q400" s="378">
        <v>3.5599999999999998E-4</v>
      </c>
      <c r="R400" s="378"/>
      <c r="S400" s="70">
        <v>202183.72330000001</v>
      </c>
      <c r="T400" s="105">
        <v>189231.6777</v>
      </c>
      <c r="U400" s="70">
        <v>112424.1274</v>
      </c>
      <c r="V400" s="70">
        <v>458455.2427</v>
      </c>
      <c r="W400" s="417">
        <v>0</v>
      </c>
      <c r="X400" s="378">
        <v>3.5599999999999998E-4</v>
      </c>
      <c r="Z400" s="70">
        <v>145253.76450000002</v>
      </c>
      <c r="AA400" s="70">
        <v>145252.7323</v>
      </c>
      <c r="AB400" s="70">
        <v>0</v>
      </c>
      <c r="AC400" s="417">
        <v>0</v>
      </c>
      <c r="AD400" s="417">
        <v>0</v>
      </c>
      <c r="AE400" s="378">
        <v>3.5599999999999998E-4</v>
      </c>
      <c r="AF400" s="378"/>
      <c r="AG400" s="70">
        <v>28316.558025000006</v>
      </c>
      <c r="AH400" s="70">
        <v>28316.558025000006</v>
      </c>
      <c r="AI400" s="70">
        <v>19673.558025000006</v>
      </c>
      <c r="AJ400" s="417">
        <v>0</v>
      </c>
      <c r="AK400" s="417">
        <v>0</v>
      </c>
      <c r="AL400" s="378">
        <v>3.5599999999999998E-4</v>
      </c>
      <c r="AM400" s="378"/>
      <c r="AN400" s="70">
        <v>-21385</v>
      </c>
      <c r="AO400" s="70">
        <v>0</v>
      </c>
      <c r="AP400" s="70">
        <v>0</v>
      </c>
      <c r="AQ400" s="417">
        <v>0</v>
      </c>
      <c r="AR400" s="417">
        <v>0</v>
      </c>
    </row>
    <row r="401" spans="1:44">
      <c r="A401" s="439">
        <v>94157</v>
      </c>
      <c r="B401" s="440" t="s">
        <v>1110</v>
      </c>
      <c r="C401" s="437">
        <v>1.77E-5</v>
      </c>
      <c r="D401" s="441"/>
      <c r="E401" s="438">
        <v>18290.508524999997</v>
      </c>
      <c r="F401" s="442">
        <v>15112.711925</v>
      </c>
      <c r="G401" s="442">
        <v>2109.0267249999997</v>
      </c>
      <c r="H401" s="442">
        <v>15723.0339</v>
      </c>
      <c r="I401" s="442">
        <v>0</v>
      </c>
      <c r="J401" s="443">
        <v>1.5090000000000001E-4</v>
      </c>
      <c r="K401" s="443"/>
      <c r="L401" s="444">
        <v>2851.9479000000001</v>
      </c>
      <c r="M401" s="444">
        <v>1169.3859</v>
      </c>
      <c r="N401" s="444">
        <v>-140.59110000000001</v>
      </c>
      <c r="O401" s="444">
        <v>0</v>
      </c>
      <c r="P401" s="417">
        <v>0</v>
      </c>
      <c r="Q401" s="378">
        <v>1.5090000000000001E-4</v>
      </c>
      <c r="R401" s="378"/>
      <c r="S401" s="70">
        <v>6934.0280999999995</v>
      </c>
      <c r="T401" s="105">
        <v>6489.8289000000004</v>
      </c>
      <c r="U401" s="70">
        <v>3855.6617999999999</v>
      </c>
      <c r="V401" s="70">
        <v>15723.0339</v>
      </c>
      <c r="W401" s="417">
        <v>0</v>
      </c>
      <c r="X401" s="378">
        <v>1.5090000000000001E-4</v>
      </c>
      <c r="Z401" s="70">
        <v>4981.5765000000001</v>
      </c>
      <c r="AA401" s="70">
        <v>4981.5411000000004</v>
      </c>
      <c r="AB401" s="70">
        <v>0</v>
      </c>
      <c r="AC401" s="417">
        <v>0</v>
      </c>
      <c r="AD401" s="417">
        <v>0</v>
      </c>
      <c r="AE401" s="378">
        <v>1.5090000000000001E-4</v>
      </c>
      <c r="AF401" s="378"/>
      <c r="AG401" s="70">
        <v>5129</v>
      </c>
      <c r="AH401" s="70">
        <v>4078</v>
      </c>
      <c r="AI401" s="70">
        <v>0</v>
      </c>
      <c r="AJ401" s="417">
        <v>0</v>
      </c>
      <c r="AK401" s="417">
        <v>0</v>
      </c>
      <c r="AL401" s="378">
        <v>1.5090000000000001E-4</v>
      </c>
      <c r="AM401" s="378"/>
      <c r="AN401" s="70">
        <v>-1606.043975</v>
      </c>
      <c r="AO401" s="70">
        <v>-1606.043975</v>
      </c>
      <c r="AP401" s="70">
        <v>-1606.043975</v>
      </c>
      <c r="AQ401" s="417">
        <v>0</v>
      </c>
      <c r="AR401" s="417">
        <v>0</v>
      </c>
    </row>
    <row r="402" spans="1:44">
      <c r="A402" s="439">
        <v>94161</v>
      </c>
      <c r="B402" s="440" t="s">
        <v>1111</v>
      </c>
      <c r="C402" s="437">
        <v>5.3499999999999999E-5</v>
      </c>
      <c r="D402" s="441"/>
      <c r="E402" s="438">
        <v>53587.204424999996</v>
      </c>
      <c r="F402" s="442">
        <v>42780.751425000002</v>
      </c>
      <c r="G402" s="442">
        <v>12251.985424999999</v>
      </c>
      <c r="H402" s="442">
        <v>47524.424500000001</v>
      </c>
      <c r="I402" s="442">
        <v>0</v>
      </c>
      <c r="J402" s="443">
        <v>1.06166E-2</v>
      </c>
      <c r="K402" s="443"/>
      <c r="L402" s="444">
        <v>8620.2945</v>
      </c>
      <c r="M402" s="444">
        <v>3534.5844999999999</v>
      </c>
      <c r="N402" s="444">
        <v>-424.95049999999998</v>
      </c>
      <c r="O402" s="444">
        <v>0</v>
      </c>
      <c r="P402" s="417">
        <v>0</v>
      </c>
      <c r="Q402" s="378">
        <v>1.06166E-2</v>
      </c>
      <c r="R402" s="378"/>
      <c r="S402" s="70">
        <v>20958.785499999998</v>
      </c>
      <c r="T402" s="105">
        <v>19616.1495</v>
      </c>
      <c r="U402" s="70">
        <v>11654.119000000001</v>
      </c>
      <c r="V402" s="70">
        <v>47524.424500000001</v>
      </c>
      <c r="W402" s="417">
        <v>0</v>
      </c>
      <c r="X402" s="378">
        <v>1.06166E-2</v>
      </c>
      <c r="Z402" s="70">
        <v>15057.307499999999</v>
      </c>
      <c r="AA402" s="70">
        <v>15057.200499999999</v>
      </c>
      <c r="AB402" s="70">
        <v>0</v>
      </c>
      <c r="AC402" s="417">
        <v>0</v>
      </c>
      <c r="AD402" s="417">
        <v>0</v>
      </c>
      <c r="AE402" s="378">
        <v>1.06166E-2</v>
      </c>
      <c r="AF402" s="378"/>
      <c r="AG402" s="70">
        <v>8950.8169249999992</v>
      </c>
      <c r="AH402" s="70">
        <v>4572.8169249999992</v>
      </c>
      <c r="AI402" s="70">
        <v>1022.8169249999992</v>
      </c>
      <c r="AJ402" s="417">
        <v>0</v>
      </c>
      <c r="AK402" s="417">
        <v>0</v>
      </c>
      <c r="AL402" s="378">
        <v>1.06166E-2</v>
      </c>
      <c r="AM402" s="378"/>
      <c r="AN402" s="70">
        <v>0</v>
      </c>
      <c r="AO402" s="70">
        <v>0</v>
      </c>
      <c r="AP402" s="70">
        <v>0</v>
      </c>
      <c r="AQ402" s="417">
        <v>0</v>
      </c>
      <c r="AR402" s="417">
        <v>0</v>
      </c>
    </row>
    <row r="403" spans="1:44">
      <c r="A403" s="439">
        <v>94168</v>
      </c>
      <c r="B403" s="440" t="s">
        <v>1112</v>
      </c>
      <c r="C403" s="437">
        <v>8.9400000000000005E-5</v>
      </c>
      <c r="D403" s="441"/>
      <c r="E403" s="438">
        <v>84750.202950000006</v>
      </c>
      <c r="F403" s="442">
        <v>69651.077749999997</v>
      </c>
      <c r="G403" s="442">
        <v>20361.803349999998</v>
      </c>
      <c r="H403" s="442">
        <v>79414.645799999998</v>
      </c>
      <c r="I403" s="442">
        <v>0</v>
      </c>
      <c r="J403" s="443">
        <v>1.9210000000000001E-4</v>
      </c>
      <c r="K403" s="443"/>
      <c r="L403" s="444">
        <v>14404.7538</v>
      </c>
      <c r="M403" s="444">
        <v>5906.3897999999999</v>
      </c>
      <c r="N403" s="444">
        <v>-710.10419999999999</v>
      </c>
      <c r="O403" s="444">
        <v>0</v>
      </c>
      <c r="P403" s="417">
        <v>0</v>
      </c>
      <c r="Q403" s="378">
        <v>1.9210000000000001E-4</v>
      </c>
      <c r="R403" s="378"/>
      <c r="S403" s="70">
        <v>35022.718200000003</v>
      </c>
      <c r="T403" s="105">
        <v>32779.135800000004</v>
      </c>
      <c r="U403" s="70">
        <v>19474.3596</v>
      </c>
      <c r="V403" s="70">
        <v>79414.645799999998</v>
      </c>
      <c r="W403" s="417">
        <v>0</v>
      </c>
      <c r="X403" s="378">
        <v>1.9210000000000001E-4</v>
      </c>
      <c r="Z403" s="70">
        <v>25161.183000000001</v>
      </c>
      <c r="AA403" s="70">
        <v>25161.004200000003</v>
      </c>
      <c r="AB403" s="70">
        <v>0</v>
      </c>
      <c r="AC403" s="417">
        <v>0</v>
      </c>
      <c r="AD403" s="417">
        <v>0</v>
      </c>
      <c r="AE403" s="378">
        <v>1.9210000000000001E-4</v>
      </c>
      <c r="AF403" s="378"/>
      <c r="AG403" s="70">
        <v>10161.54795</v>
      </c>
      <c r="AH403" s="70">
        <v>5804.5479500000001</v>
      </c>
      <c r="AI403" s="70">
        <v>1597.5479500000001</v>
      </c>
      <c r="AJ403" s="417">
        <v>0</v>
      </c>
      <c r="AK403" s="417">
        <v>0</v>
      </c>
      <c r="AL403" s="378">
        <v>1.9210000000000001E-4</v>
      </c>
      <c r="AM403" s="378"/>
      <c r="AN403" s="70">
        <v>0</v>
      </c>
      <c r="AO403" s="70">
        <v>0</v>
      </c>
      <c r="AP403" s="70">
        <v>0</v>
      </c>
      <c r="AQ403" s="417">
        <v>0</v>
      </c>
      <c r="AR403" s="417">
        <v>0</v>
      </c>
    </row>
    <row r="404" spans="1:44">
      <c r="A404" s="439">
        <v>94171</v>
      </c>
      <c r="B404" s="440" t="s">
        <v>1113</v>
      </c>
      <c r="C404" s="437">
        <v>6.4900000000000005E-5</v>
      </c>
      <c r="D404" s="441"/>
      <c r="E404" s="438">
        <v>46747.527075000005</v>
      </c>
      <c r="F404" s="442">
        <v>41040.272875000002</v>
      </c>
      <c r="G404" s="442">
        <v>6727.7604749999991</v>
      </c>
      <c r="H404" s="442">
        <v>57651.124300000003</v>
      </c>
      <c r="I404" s="442">
        <v>0</v>
      </c>
      <c r="J404" s="443">
        <v>2.0560000000000001E-4</v>
      </c>
      <c r="K404" s="443"/>
      <c r="L404" s="444">
        <v>10457.142300000001</v>
      </c>
      <c r="M404" s="444">
        <v>4287.7483000000002</v>
      </c>
      <c r="N404" s="444">
        <v>-515.50070000000005</v>
      </c>
      <c r="O404" s="444">
        <v>0</v>
      </c>
      <c r="P404" s="417">
        <v>0</v>
      </c>
      <c r="Q404" s="378">
        <v>2.0560000000000001E-4</v>
      </c>
      <c r="R404" s="378"/>
      <c r="S404" s="70">
        <v>25424.769700000001</v>
      </c>
      <c r="T404" s="105">
        <v>23796.0393</v>
      </c>
      <c r="U404" s="70">
        <v>14137.426600000001</v>
      </c>
      <c r="V404" s="70">
        <v>57651.124300000003</v>
      </c>
      <c r="W404" s="417">
        <v>0</v>
      </c>
      <c r="X404" s="378">
        <v>2.0560000000000001E-4</v>
      </c>
      <c r="Z404" s="70">
        <v>18265.780500000001</v>
      </c>
      <c r="AA404" s="70">
        <v>18265.650700000002</v>
      </c>
      <c r="AB404" s="70">
        <v>0</v>
      </c>
      <c r="AC404" s="417">
        <v>0</v>
      </c>
      <c r="AD404" s="417">
        <v>0</v>
      </c>
      <c r="AE404" s="378">
        <v>2.0560000000000001E-4</v>
      </c>
      <c r="AF404" s="378"/>
      <c r="AG404" s="70">
        <v>3640</v>
      </c>
      <c r="AH404" s="70">
        <v>1585</v>
      </c>
      <c r="AI404" s="70">
        <v>0</v>
      </c>
      <c r="AJ404" s="417">
        <v>0</v>
      </c>
      <c r="AK404" s="417">
        <v>0</v>
      </c>
      <c r="AL404" s="378">
        <v>2.0560000000000001E-4</v>
      </c>
      <c r="AM404" s="378"/>
      <c r="AN404" s="70">
        <v>-11040.165425000001</v>
      </c>
      <c r="AO404" s="70">
        <v>-6894.1654250000011</v>
      </c>
      <c r="AP404" s="70">
        <v>-6894.1654250000011</v>
      </c>
      <c r="AQ404" s="417">
        <v>0</v>
      </c>
      <c r="AR404" s="417">
        <v>0</v>
      </c>
    </row>
    <row r="405" spans="1:44">
      <c r="A405" s="439">
        <v>94172</v>
      </c>
      <c r="B405" s="440" t="s">
        <v>1114</v>
      </c>
      <c r="C405" s="437">
        <v>3.1629999999999999E-4</v>
      </c>
      <c r="D405" s="441"/>
      <c r="E405" s="438">
        <v>245797.592225</v>
      </c>
      <c r="F405" s="442">
        <v>228335.616825</v>
      </c>
      <c r="G405" s="442">
        <v>61877.118024999996</v>
      </c>
      <c r="H405" s="442">
        <v>280971.50410000002</v>
      </c>
      <c r="I405" s="442">
        <v>0</v>
      </c>
      <c r="J405" s="443">
        <v>4.5780000000000001E-4</v>
      </c>
      <c r="K405" s="443"/>
      <c r="L405" s="444">
        <v>50964.470099999999</v>
      </c>
      <c r="M405" s="444">
        <v>20896.992099999999</v>
      </c>
      <c r="N405" s="444">
        <v>-2512.3708999999999</v>
      </c>
      <c r="O405" s="444">
        <v>0</v>
      </c>
      <c r="P405" s="417">
        <v>0</v>
      </c>
      <c r="Q405" s="378">
        <v>4.5780000000000001E-4</v>
      </c>
      <c r="R405" s="378"/>
      <c r="S405" s="70">
        <v>123911.4739</v>
      </c>
      <c r="T405" s="105">
        <v>115973.6091</v>
      </c>
      <c r="U405" s="70">
        <v>68900.894199999995</v>
      </c>
      <c r="V405" s="70">
        <v>280971.50410000002</v>
      </c>
      <c r="W405" s="417">
        <v>0</v>
      </c>
      <c r="X405" s="378">
        <v>4.5780000000000001E-4</v>
      </c>
      <c r="Z405" s="70">
        <v>89021.053499999995</v>
      </c>
      <c r="AA405" s="70">
        <v>89020.420899999997</v>
      </c>
      <c r="AB405" s="70">
        <v>0</v>
      </c>
      <c r="AC405" s="417">
        <v>0</v>
      </c>
      <c r="AD405" s="417">
        <v>0</v>
      </c>
      <c r="AE405" s="378">
        <v>4.5780000000000001E-4</v>
      </c>
      <c r="AF405" s="378"/>
      <c r="AG405" s="70">
        <v>6956</v>
      </c>
      <c r="AH405" s="70">
        <v>6956</v>
      </c>
      <c r="AI405" s="70">
        <v>0</v>
      </c>
      <c r="AJ405" s="417">
        <v>0</v>
      </c>
      <c r="AK405" s="417">
        <v>0</v>
      </c>
      <c r="AL405" s="378">
        <v>4.5780000000000001E-4</v>
      </c>
      <c r="AM405" s="378"/>
      <c r="AN405" s="70">
        <v>-25055.405275000005</v>
      </c>
      <c r="AO405" s="70">
        <v>-4511.4052750000046</v>
      </c>
      <c r="AP405" s="70">
        <v>-4511.4052750000046</v>
      </c>
      <c r="AQ405" s="417">
        <v>0</v>
      </c>
      <c r="AR405" s="417">
        <v>0</v>
      </c>
    </row>
    <row r="406" spans="1:44">
      <c r="A406" s="439">
        <v>94201</v>
      </c>
      <c r="B406" s="440" t="s">
        <v>1115</v>
      </c>
      <c r="C406" s="437">
        <v>2.8850999999999998E-3</v>
      </c>
      <c r="D406" s="441"/>
      <c r="E406" s="438">
        <v>2327320.9116249997</v>
      </c>
      <c r="F406" s="442">
        <v>2053299.0658249997</v>
      </c>
      <c r="G406" s="442">
        <v>632942.37822499976</v>
      </c>
      <c r="H406" s="442">
        <v>2562854.5256999996</v>
      </c>
      <c r="I406" s="442">
        <v>0</v>
      </c>
      <c r="J406" s="443">
        <v>1.84E-5</v>
      </c>
      <c r="K406" s="443"/>
      <c r="L406" s="444">
        <v>464867.50769999996</v>
      </c>
      <c r="M406" s="444">
        <v>190609.90169999999</v>
      </c>
      <c r="N406" s="444">
        <v>-22916.349299999998</v>
      </c>
      <c r="O406" s="444">
        <v>0</v>
      </c>
      <c r="P406" s="417">
        <v>0</v>
      </c>
      <c r="Q406" s="378">
        <v>1.84E-5</v>
      </c>
      <c r="R406" s="378"/>
      <c r="S406" s="70">
        <v>1130246.5803</v>
      </c>
      <c r="T406" s="105">
        <v>1057842.1106999998</v>
      </c>
      <c r="U406" s="70">
        <v>628472.87339999992</v>
      </c>
      <c r="V406" s="70">
        <v>2562854.5256999996</v>
      </c>
      <c r="W406" s="417">
        <v>0</v>
      </c>
      <c r="X406" s="378">
        <v>1.84E-5</v>
      </c>
      <c r="Z406" s="70">
        <v>811996.96950000001</v>
      </c>
      <c r="AA406" s="70">
        <v>811991.19929999998</v>
      </c>
      <c r="AB406" s="70">
        <v>0</v>
      </c>
      <c r="AC406" s="417">
        <v>0</v>
      </c>
      <c r="AD406" s="417">
        <v>0</v>
      </c>
      <c r="AE406" s="378">
        <v>1.84E-5</v>
      </c>
      <c r="AF406" s="378"/>
      <c r="AG406" s="70">
        <v>29999.854124999838</v>
      </c>
      <c r="AH406" s="70">
        <v>27385.854124999838</v>
      </c>
      <c r="AI406" s="70">
        <v>27385.854124999838</v>
      </c>
      <c r="AJ406" s="417">
        <v>0</v>
      </c>
      <c r="AK406" s="417">
        <v>0</v>
      </c>
      <c r="AL406" s="378">
        <v>1.84E-5</v>
      </c>
      <c r="AM406" s="378"/>
      <c r="AN406" s="70">
        <v>-109790</v>
      </c>
      <c r="AO406" s="70">
        <v>-34530</v>
      </c>
      <c r="AP406" s="70">
        <v>0</v>
      </c>
      <c r="AQ406" s="417">
        <v>0</v>
      </c>
      <c r="AR406" s="417">
        <v>0</v>
      </c>
    </row>
    <row r="407" spans="1:44">
      <c r="A407" s="439">
        <v>94204</v>
      </c>
      <c r="B407" s="440" t="s">
        <v>1116</v>
      </c>
      <c r="C407" s="437">
        <v>4.57E-5</v>
      </c>
      <c r="D407" s="441"/>
      <c r="E407" s="438">
        <v>49066.923224999991</v>
      </c>
      <c r="F407" s="442">
        <v>39517.702624999998</v>
      </c>
      <c r="G407" s="442">
        <v>12631.289424999997</v>
      </c>
      <c r="H407" s="442">
        <v>40595.6299</v>
      </c>
      <c r="I407" s="442">
        <v>0</v>
      </c>
      <c r="J407" s="443">
        <v>5.3900000000000002E-5</v>
      </c>
      <c r="K407" s="443"/>
      <c r="L407" s="444">
        <v>7363.5038999999997</v>
      </c>
      <c r="M407" s="444">
        <v>3019.2619</v>
      </c>
      <c r="N407" s="444">
        <v>-362.99509999999998</v>
      </c>
      <c r="O407" s="444">
        <v>0</v>
      </c>
      <c r="P407" s="417">
        <v>0</v>
      </c>
      <c r="Q407" s="378">
        <v>5.3900000000000002E-5</v>
      </c>
      <c r="R407" s="378"/>
      <c r="S407" s="70">
        <v>17903.112099999998</v>
      </c>
      <c r="T407" s="105">
        <v>16756.224900000001</v>
      </c>
      <c r="U407" s="70">
        <v>9955.0138000000006</v>
      </c>
      <c r="V407" s="70">
        <v>40595.6299</v>
      </c>
      <c r="W407" s="417">
        <v>0</v>
      </c>
      <c r="X407" s="378">
        <v>5.3900000000000002E-5</v>
      </c>
      <c r="Z407" s="70">
        <v>12862.0365</v>
      </c>
      <c r="AA407" s="70">
        <v>12861.945099999999</v>
      </c>
      <c r="AB407" s="70">
        <v>0</v>
      </c>
      <c r="AC407" s="417">
        <v>0</v>
      </c>
      <c r="AD407" s="417">
        <v>0</v>
      </c>
      <c r="AE407" s="378">
        <v>5.3900000000000002E-5</v>
      </c>
      <c r="AF407" s="378"/>
      <c r="AG407" s="70">
        <v>10938.270724999997</v>
      </c>
      <c r="AH407" s="70">
        <v>6880.2707249999967</v>
      </c>
      <c r="AI407" s="70">
        <v>3039.2707249999967</v>
      </c>
      <c r="AJ407" s="417">
        <v>0</v>
      </c>
      <c r="AK407" s="417">
        <v>0</v>
      </c>
      <c r="AL407" s="378">
        <v>5.3900000000000002E-5</v>
      </c>
      <c r="AM407" s="378"/>
      <c r="AN407" s="70">
        <v>0</v>
      </c>
      <c r="AO407" s="70">
        <v>0</v>
      </c>
      <c r="AP407" s="70">
        <v>0</v>
      </c>
      <c r="AQ407" s="417">
        <v>0</v>
      </c>
      <c r="AR407" s="417">
        <v>0</v>
      </c>
    </row>
    <row r="408" spans="1:44">
      <c r="A408" s="439">
        <v>94205</v>
      </c>
      <c r="B408" s="440" t="s">
        <v>1117</v>
      </c>
      <c r="C408" s="437">
        <v>1.45E-5</v>
      </c>
      <c r="D408" s="441"/>
      <c r="E408" s="438">
        <v>17065.193574999998</v>
      </c>
      <c r="F408" s="442">
        <v>14401.902575</v>
      </c>
      <c r="G408" s="442">
        <v>6432.9005749999997</v>
      </c>
      <c r="H408" s="442">
        <v>12880.451499999999</v>
      </c>
      <c r="I408" s="442">
        <v>0</v>
      </c>
      <c r="J408" s="443">
        <v>7.7999999999999999E-5</v>
      </c>
      <c r="K408" s="443"/>
      <c r="L408" s="444">
        <v>2336.3415</v>
      </c>
      <c r="M408" s="444">
        <v>957.97149999999999</v>
      </c>
      <c r="N408" s="444">
        <v>-115.1735</v>
      </c>
      <c r="O408" s="444">
        <v>0</v>
      </c>
      <c r="P408" s="417">
        <v>0</v>
      </c>
      <c r="Q408" s="378">
        <v>7.7999999999999999E-5</v>
      </c>
      <c r="R408" s="378"/>
      <c r="S408" s="70">
        <v>5680.4184999999998</v>
      </c>
      <c r="T408" s="105">
        <v>5316.5264999999999</v>
      </c>
      <c r="U408" s="70">
        <v>3158.5929999999998</v>
      </c>
      <c r="V408" s="70">
        <v>12880.451499999999</v>
      </c>
      <c r="W408" s="417">
        <v>0</v>
      </c>
      <c r="X408" s="378">
        <v>7.7999999999999999E-5</v>
      </c>
      <c r="Z408" s="70">
        <v>4080.9524999999999</v>
      </c>
      <c r="AA408" s="70">
        <v>4080.9234999999999</v>
      </c>
      <c r="AB408" s="70">
        <v>0</v>
      </c>
      <c r="AC408" s="417">
        <v>0</v>
      </c>
      <c r="AD408" s="417">
        <v>0</v>
      </c>
      <c r="AE408" s="378">
        <v>7.7999999999999999E-5</v>
      </c>
      <c r="AF408" s="378"/>
      <c r="AG408" s="70">
        <v>4967.4810749999997</v>
      </c>
      <c r="AH408" s="70">
        <v>4046.4810750000001</v>
      </c>
      <c r="AI408" s="70">
        <v>3389.4810750000001</v>
      </c>
      <c r="AJ408" s="417">
        <v>0</v>
      </c>
      <c r="AK408" s="417">
        <v>0</v>
      </c>
      <c r="AL408" s="378">
        <v>7.7999999999999999E-5</v>
      </c>
      <c r="AM408" s="378"/>
      <c r="AN408" s="70">
        <v>0</v>
      </c>
      <c r="AO408" s="70">
        <v>0</v>
      </c>
      <c r="AP408" s="70">
        <v>0</v>
      </c>
      <c r="AQ408" s="417">
        <v>0</v>
      </c>
      <c r="AR408" s="417">
        <v>0</v>
      </c>
    </row>
    <row r="409" spans="1:44">
      <c r="A409" s="439">
        <v>94209</v>
      </c>
      <c r="B409" s="440" t="s">
        <v>1118</v>
      </c>
      <c r="C409" s="437">
        <v>2.7310000000000002E-4</v>
      </c>
      <c r="D409" s="441"/>
      <c r="E409" s="438">
        <v>214571.84122500004</v>
      </c>
      <c r="F409" s="442">
        <v>183240.69142500003</v>
      </c>
      <c r="G409" s="442">
        <v>51996.915825000026</v>
      </c>
      <c r="H409" s="442">
        <v>242596.64170000001</v>
      </c>
      <c r="I409" s="442">
        <v>0</v>
      </c>
      <c r="J409" s="443">
        <v>7.6500000000000003E-5</v>
      </c>
      <c r="K409" s="443"/>
      <c r="L409" s="444">
        <v>44003.783700000007</v>
      </c>
      <c r="M409" s="444">
        <v>18042.897700000001</v>
      </c>
      <c r="N409" s="444">
        <v>-2169.2333000000003</v>
      </c>
      <c r="O409" s="444">
        <v>0</v>
      </c>
      <c r="P409" s="417">
        <v>0</v>
      </c>
      <c r="Q409" s="378">
        <v>7.6500000000000003E-5</v>
      </c>
      <c r="R409" s="378"/>
      <c r="S409" s="70">
        <v>106987.74430000001</v>
      </c>
      <c r="T409" s="105">
        <v>100134.0267</v>
      </c>
      <c r="U409" s="70">
        <v>59490.465400000008</v>
      </c>
      <c r="V409" s="70">
        <v>242596.64170000001</v>
      </c>
      <c r="W409" s="417">
        <v>0</v>
      </c>
      <c r="X409" s="378">
        <v>7.6500000000000003E-5</v>
      </c>
      <c r="Z409" s="70">
        <v>76862.62950000001</v>
      </c>
      <c r="AA409" s="70">
        <v>76862.083300000013</v>
      </c>
      <c r="AB409" s="70">
        <v>0</v>
      </c>
      <c r="AC409" s="417">
        <v>0</v>
      </c>
      <c r="AD409" s="417">
        <v>0</v>
      </c>
      <c r="AE409" s="378">
        <v>7.6500000000000003E-5</v>
      </c>
      <c r="AF409" s="378"/>
      <c r="AG409" s="70">
        <v>1781</v>
      </c>
      <c r="AH409" s="70">
        <v>0</v>
      </c>
      <c r="AI409" s="70">
        <v>0</v>
      </c>
      <c r="AJ409" s="417">
        <v>0</v>
      </c>
      <c r="AK409" s="417">
        <v>0</v>
      </c>
      <c r="AL409" s="378">
        <v>7.6500000000000003E-5</v>
      </c>
      <c r="AM409" s="378"/>
      <c r="AN409" s="70">
        <v>-15063.316274999983</v>
      </c>
      <c r="AO409" s="70">
        <v>-11798.316274999983</v>
      </c>
      <c r="AP409" s="70">
        <v>-5324.3162749999829</v>
      </c>
      <c r="AQ409" s="417">
        <v>0</v>
      </c>
      <c r="AR409" s="417">
        <v>0</v>
      </c>
    </row>
    <row r="410" spans="1:44">
      <c r="A410" s="439">
        <v>94211</v>
      </c>
      <c r="B410" s="440" t="s">
        <v>1119</v>
      </c>
      <c r="C410" s="437">
        <v>1.3449999999999999E-4</v>
      </c>
      <c r="D410" s="441"/>
      <c r="E410" s="438">
        <v>105554.73287499999</v>
      </c>
      <c r="F410" s="442">
        <v>93248.481875000012</v>
      </c>
      <c r="G410" s="442">
        <v>36130.359875000002</v>
      </c>
      <c r="H410" s="442">
        <v>119477.29149999999</v>
      </c>
      <c r="I410" s="442">
        <v>0</v>
      </c>
      <c r="J410" s="443">
        <v>2.9910000000000001E-4</v>
      </c>
      <c r="K410" s="443"/>
      <c r="L410" s="444">
        <v>21671.581499999997</v>
      </c>
      <c r="M410" s="444">
        <v>8886.0114999999987</v>
      </c>
      <c r="N410" s="444">
        <v>-1068.3335</v>
      </c>
      <c r="O410" s="444">
        <v>0</v>
      </c>
      <c r="P410" s="417">
        <v>0</v>
      </c>
      <c r="Q410" s="378">
        <v>2.9910000000000001E-4</v>
      </c>
      <c r="R410" s="378"/>
      <c r="S410" s="70">
        <v>52690.778499999993</v>
      </c>
      <c r="T410" s="105">
        <v>49315.366499999996</v>
      </c>
      <c r="U410" s="70">
        <v>29298.672999999999</v>
      </c>
      <c r="V410" s="70">
        <v>119477.29149999999</v>
      </c>
      <c r="W410" s="417">
        <v>0</v>
      </c>
      <c r="X410" s="378">
        <v>2.9910000000000001E-4</v>
      </c>
      <c r="Z410" s="70">
        <v>37854.352499999994</v>
      </c>
      <c r="AA410" s="70">
        <v>37854.083500000001</v>
      </c>
      <c r="AB410" s="70">
        <v>0</v>
      </c>
      <c r="AC410" s="417">
        <v>0</v>
      </c>
      <c r="AD410" s="417">
        <v>0</v>
      </c>
      <c r="AE410" s="378">
        <v>2.9910000000000001E-4</v>
      </c>
      <c r="AF410" s="378"/>
      <c r="AG410" s="70">
        <v>7900.0203750000037</v>
      </c>
      <c r="AH410" s="70">
        <v>7900.0203750000037</v>
      </c>
      <c r="AI410" s="70">
        <v>7900.0203750000037</v>
      </c>
      <c r="AJ410" s="417">
        <v>0</v>
      </c>
      <c r="AK410" s="417">
        <v>0</v>
      </c>
      <c r="AL410" s="378">
        <v>2.9910000000000001E-4</v>
      </c>
      <c r="AM410" s="378"/>
      <c r="AN410" s="70">
        <v>-14562</v>
      </c>
      <c r="AO410" s="70">
        <v>-10707</v>
      </c>
      <c r="AP410" s="70">
        <v>0</v>
      </c>
      <c r="AQ410" s="417">
        <v>0</v>
      </c>
      <c r="AR410" s="417">
        <v>0</v>
      </c>
    </row>
    <row r="411" spans="1:44">
      <c r="A411" s="439">
        <v>94221</v>
      </c>
      <c r="B411" s="440" t="s">
        <v>1120</v>
      </c>
      <c r="C411" s="437">
        <v>8.5470000000000001E-4</v>
      </c>
      <c r="D411" s="441"/>
      <c r="E411" s="438">
        <v>614737.46317499992</v>
      </c>
      <c r="F411" s="442">
        <v>536918.42057500011</v>
      </c>
      <c r="G411" s="442">
        <v>183768.723375</v>
      </c>
      <c r="H411" s="442">
        <v>759235.99289999995</v>
      </c>
      <c r="I411" s="442">
        <v>0</v>
      </c>
      <c r="J411" s="443">
        <v>2.9031E-3</v>
      </c>
      <c r="K411" s="443"/>
      <c r="L411" s="444">
        <v>137715.2469</v>
      </c>
      <c r="M411" s="444">
        <v>56467.464899999999</v>
      </c>
      <c r="N411" s="444">
        <v>-6788.8820999999998</v>
      </c>
      <c r="O411" s="444">
        <v>0</v>
      </c>
      <c r="P411" s="417">
        <v>0</v>
      </c>
      <c r="Q411" s="378">
        <v>2.9031E-3</v>
      </c>
      <c r="R411" s="378"/>
      <c r="S411" s="70">
        <v>334831.28909999999</v>
      </c>
      <c r="T411" s="105">
        <v>313381.73790000001</v>
      </c>
      <c r="U411" s="70">
        <v>186182.71979999999</v>
      </c>
      <c r="V411" s="70">
        <v>759235.99289999995</v>
      </c>
      <c r="W411" s="417">
        <v>0</v>
      </c>
      <c r="X411" s="378">
        <v>2.9031E-3</v>
      </c>
      <c r="Z411" s="70">
        <v>240551.04149999999</v>
      </c>
      <c r="AA411" s="70">
        <v>240549.3321</v>
      </c>
      <c r="AB411" s="70">
        <v>0</v>
      </c>
      <c r="AC411" s="417">
        <v>0</v>
      </c>
      <c r="AD411" s="417">
        <v>0</v>
      </c>
      <c r="AE411" s="378">
        <v>2.9031E-3</v>
      </c>
      <c r="AF411" s="378"/>
      <c r="AG411" s="70">
        <v>4374.8856749999977</v>
      </c>
      <c r="AH411" s="70">
        <v>4374.8856749999977</v>
      </c>
      <c r="AI411" s="70">
        <v>4374.8856749999977</v>
      </c>
      <c r="AJ411" s="417">
        <v>0</v>
      </c>
      <c r="AK411" s="417">
        <v>0</v>
      </c>
      <c r="AL411" s="378">
        <v>2.9031E-3</v>
      </c>
      <c r="AM411" s="378"/>
      <c r="AN411" s="70">
        <v>-102735</v>
      </c>
      <c r="AO411" s="70">
        <v>-77855</v>
      </c>
      <c r="AP411" s="70">
        <v>0</v>
      </c>
      <c r="AQ411" s="417">
        <v>0</v>
      </c>
      <c r="AR411" s="417">
        <v>0</v>
      </c>
    </row>
    <row r="412" spans="1:44">
      <c r="A412" s="439">
        <v>94231</v>
      </c>
      <c r="B412" s="440" t="s">
        <v>1121</v>
      </c>
      <c r="C412" s="437">
        <v>1.393E-4</v>
      </c>
      <c r="D412" s="441"/>
      <c r="E412" s="438">
        <v>115264.01462500001</v>
      </c>
      <c r="F412" s="442">
        <v>114203.005225</v>
      </c>
      <c r="G412" s="442">
        <v>31356.358425000002</v>
      </c>
      <c r="H412" s="442">
        <v>123741.1651</v>
      </c>
      <c r="I412" s="442">
        <v>0</v>
      </c>
      <c r="J412" s="443">
        <v>3.8999999999999999E-5</v>
      </c>
      <c r="K412" s="443"/>
      <c r="L412" s="444">
        <v>22444.991099999999</v>
      </c>
      <c r="M412" s="444">
        <v>9203.1330999999991</v>
      </c>
      <c r="N412" s="444">
        <v>-1106.4599000000001</v>
      </c>
      <c r="O412" s="444">
        <v>0</v>
      </c>
      <c r="P412" s="417">
        <v>0</v>
      </c>
      <c r="Q412" s="378">
        <v>3.8999999999999999E-5</v>
      </c>
      <c r="R412" s="378"/>
      <c r="S412" s="70">
        <v>54571.192900000002</v>
      </c>
      <c r="T412" s="105">
        <v>51075.320099999997</v>
      </c>
      <c r="U412" s="70">
        <v>30344.2762</v>
      </c>
      <c r="V412" s="70">
        <v>123741.1651</v>
      </c>
      <c r="W412" s="417">
        <v>0</v>
      </c>
      <c r="X412" s="378">
        <v>3.8999999999999999E-5</v>
      </c>
      <c r="Z412" s="70">
        <v>39205.288500000002</v>
      </c>
      <c r="AA412" s="70">
        <v>39205.009899999997</v>
      </c>
      <c r="AB412" s="70">
        <v>0</v>
      </c>
      <c r="AC412" s="417">
        <v>0</v>
      </c>
      <c r="AD412" s="417">
        <v>0</v>
      </c>
      <c r="AE412" s="378">
        <v>3.8999999999999999E-5</v>
      </c>
      <c r="AF412" s="378"/>
      <c r="AG412" s="70">
        <v>14719.542125000004</v>
      </c>
      <c r="AH412" s="70">
        <v>14719.542125000004</v>
      </c>
      <c r="AI412" s="70">
        <v>2118.5421250000036</v>
      </c>
      <c r="AJ412" s="417">
        <v>0</v>
      </c>
      <c r="AK412" s="417">
        <v>0</v>
      </c>
      <c r="AL412" s="378">
        <v>3.8999999999999999E-5</v>
      </c>
      <c r="AM412" s="378"/>
      <c r="AN412" s="70">
        <v>-15677</v>
      </c>
      <c r="AO412" s="70">
        <v>0</v>
      </c>
      <c r="AP412" s="70">
        <v>0</v>
      </c>
      <c r="AQ412" s="417">
        <v>0</v>
      </c>
      <c r="AR412" s="417">
        <v>0</v>
      </c>
    </row>
    <row r="413" spans="1:44">
      <c r="A413" s="439">
        <v>94241</v>
      </c>
      <c r="B413" s="440" t="s">
        <v>1122</v>
      </c>
      <c r="C413" s="437">
        <v>1.4899999999999999E-4</v>
      </c>
      <c r="D413" s="441"/>
      <c r="E413" s="438">
        <v>139937.81134999997</v>
      </c>
      <c r="F413" s="442">
        <v>109463.26935</v>
      </c>
      <c r="G413" s="442">
        <v>15868.145349999992</v>
      </c>
      <c r="H413" s="442">
        <v>132357.74299999999</v>
      </c>
      <c r="I413" s="442">
        <v>0</v>
      </c>
      <c r="J413" s="443">
        <v>1.31E-5</v>
      </c>
      <c r="K413" s="443"/>
      <c r="L413" s="444">
        <v>24007.922999999999</v>
      </c>
      <c r="M413" s="444">
        <v>9843.9830000000002</v>
      </c>
      <c r="N413" s="444">
        <v>-1183.5069999999998</v>
      </c>
      <c r="O413" s="444">
        <v>0</v>
      </c>
      <c r="P413" s="417">
        <v>0</v>
      </c>
      <c r="Q413" s="378">
        <v>1.31E-5</v>
      </c>
      <c r="R413" s="378"/>
      <c r="S413" s="70">
        <v>58371.196999999993</v>
      </c>
      <c r="T413" s="105">
        <v>54631.892999999996</v>
      </c>
      <c r="U413" s="70">
        <v>32457.265999999996</v>
      </c>
      <c r="V413" s="70">
        <v>132357.74299999999</v>
      </c>
      <c r="W413" s="417">
        <v>0</v>
      </c>
      <c r="X413" s="378">
        <v>1.31E-5</v>
      </c>
      <c r="Z413" s="70">
        <v>41935.305</v>
      </c>
      <c r="AA413" s="70">
        <v>41935.006999999998</v>
      </c>
      <c r="AB413" s="70">
        <v>0</v>
      </c>
      <c r="AC413" s="417">
        <v>0</v>
      </c>
      <c r="AD413" s="417">
        <v>0</v>
      </c>
      <c r="AE413" s="378">
        <v>1.31E-5</v>
      </c>
      <c r="AF413" s="378"/>
      <c r="AG413" s="70">
        <v>33297</v>
      </c>
      <c r="AH413" s="70">
        <v>18458</v>
      </c>
      <c r="AI413" s="70">
        <v>0</v>
      </c>
      <c r="AJ413" s="417">
        <v>0</v>
      </c>
      <c r="AK413" s="417">
        <v>0</v>
      </c>
      <c r="AL413" s="378">
        <v>1.31E-5</v>
      </c>
      <c r="AM413" s="378"/>
      <c r="AN413" s="70">
        <v>-17673.613650000003</v>
      </c>
      <c r="AO413" s="70">
        <v>-15405.613650000003</v>
      </c>
      <c r="AP413" s="70">
        <v>-15405.613650000003</v>
      </c>
      <c r="AQ413" s="417">
        <v>0</v>
      </c>
      <c r="AR413" s="417">
        <v>0</v>
      </c>
    </row>
    <row r="414" spans="1:44">
      <c r="A414" s="439">
        <v>94251</v>
      </c>
      <c r="B414" s="440" t="s">
        <v>1123</v>
      </c>
      <c r="C414" s="437">
        <v>2.5299999999999998E-5</v>
      </c>
      <c r="D414" s="441"/>
      <c r="E414" s="438">
        <v>24613.570475</v>
      </c>
      <c r="F414" s="442">
        <v>21014.573075</v>
      </c>
      <c r="G414" s="442">
        <v>7848.3902749999979</v>
      </c>
      <c r="H414" s="442">
        <v>22474.167099999999</v>
      </c>
      <c r="I414" s="442">
        <v>0</v>
      </c>
      <c r="J414" s="443">
        <v>2.9789999999999998E-4</v>
      </c>
      <c r="K414" s="443"/>
      <c r="L414" s="444">
        <v>4076.5130999999997</v>
      </c>
      <c r="M414" s="444">
        <v>1671.4950999999999</v>
      </c>
      <c r="N414" s="444">
        <v>-200.9579</v>
      </c>
      <c r="O414" s="444">
        <v>0</v>
      </c>
      <c r="P414" s="417">
        <v>0</v>
      </c>
      <c r="Q414" s="378">
        <v>2.9789999999999998E-4</v>
      </c>
      <c r="R414" s="378"/>
      <c r="S414" s="70">
        <v>9911.3508999999995</v>
      </c>
      <c r="T414" s="105">
        <v>9276.4220999999998</v>
      </c>
      <c r="U414" s="70">
        <v>5511.2001999999993</v>
      </c>
      <c r="V414" s="70">
        <v>22474.167099999999</v>
      </c>
      <c r="W414" s="417">
        <v>0</v>
      </c>
      <c r="X414" s="378">
        <v>2.9789999999999998E-4</v>
      </c>
      <c r="Z414" s="70">
        <v>7120.5584999999992</v>
      </c>
      <c r="AA414" s="70">
        <v>7120.5078999999996</v>
      </c>
      <c r="AB414" s="70">
        <v>0</v>
      </c>
      <c r="AC414" s="417">
        <v>0</v>
      </c>
      <c r="AD414" s="417">
        <v>0</v>
      </c>
      <c r="AE414" s="378">
        <v>2.9789999999999998E-4</v>
      </c>
      <c r="AF414" s="378"/>
      <c r="AG414" s="70">
        <v>3505.147974999999</v>
      </c>
      <c r="AH414" s="70">
        <v>2946.147974999999</v>
      </c>
      <c r="AI414" s="70">
        <v>2538.147974999999</v>
      </c>
      <c r="AJ414" s="417">
        <v>0</v>
      </c>
      <c r="AK414" s="417">
        <v>0</v>
      </c>
      <c r="AL414" s="378">
        <v>2.9789999999999998E-4</v>
      </c>
      <c r="AM414" s="378"/>
      <c r="AN414" s="70">
        <v>0</v>
      </c>
      <c r="AO414" s="70">
        <v>0</v>
      </c>
      <c r="AP414" s="70">
        <v>0</v>
      </c>
      <c r="AQ414" s="417">
        <v>0</v>
      </c>
      <c r="AR414" s="417">
        <v>0</v>
      </c>
    </row>
    <row r="415" spans="1:44">
      <c r="A415" s="439">
        <v>94261</v>
      </c>
      <c r="B415" s="440" t="s">
        <v>1124</v>
      </c>
      <c r="C415" s="437">
        <v>3.7299999999999999E-5</v>
      </c>
      <c r="D415" s="441"/>
      <c r="E415" s="438">
        <v>27915.762024999993</v>
      </c>
      <c r="F415" s="442">
        <v>25604.868624999999</v>
      </c>
      <c r="G415" s="442">
        <v>5787.3738249999988</v>
      </c>
      <c r="H415" s="442">
        <v>33133.8511</v>
      </c>
      <c r="I415" s="442">
        <v>0</v>
      </c>
      <c r="J415" s="443">
        <v>1.225E-4</v>
      </c>
      <c r="K415" s="443"/>
      <c r="L415" s="444">
        <v>6010.0370999999996</v>
      </c>
      <c r="M415" s="444">
        <v>2464.2990999999997</v>
      </c>
      <c r="N415" s="444">
        <v>-296.27389999999997</v>
      </c>
      <c r="O415" s="444">
        <v>0</v>
      </c>
      <c r="P415" s="417">
        <v>0</v>
      </c>
      <c r="Q415" s="378">
        <v>1.225E-4</v>
      </c>
      <c r="R415" s="378"/>
      <c r="S415" s="70">
        <v>14612.3869</v>
      </c>
      <c r="T415" s="105">
        <v>13676.3061</v>
      </c>
      <c r="U415" s="70">
        <v>8125.2082</v>
      </c>
      <c r="V415" s="70">
        <v>33133.8511</v>
      </c>
      <c r="W415" s="417">
        <v>0</v>
      </c>
      <c r="X415" s="378">
        <v>1.225E-4</v>
      </c>
      <c r="Z415" s="70">
        <v>10497.898499999999</v>
      </c>
      <c r="AA415" s="70">
        <v>10497.823899999999</v>
      </c>
      <c r="AB415" s="70">
        <v>0</v>
      </c>
      <c r="AC415" s="417">
        <v>0</v>
      </c>
      <c r="AD415" s="417">
        <v>0</v>
      </c>
      <c r="AE415" s="378">
        <v>1.225E-4</v>
      </c>
      <c r="AF415" s="378"/>
      <c r="AG415" s="70">
        <v>2703</v>
      </c>
      <c r="AH415" s="70">
        <v>1008</v>
      </c>
      <c r="AI415" s="70">
        <v>0</v>
      </c>
      <c r="AJ415" s="417">
        <v>0</v>
      </c>
      <c r="AK415" s="417">
        <v>0</v>
      </c>
      <c r="AL415" s="378">
        <v>1.225E-4</v>
      </c>
      <c r="AM415" s="378"/>
      <c r="AN415" s="70">
        <v>-5907.5604750000011</v>
      </c>
      <c r="AO415" s="70">
        <v>-2041.5604750000011</v>
      </c>
      <c r="AP415" s="70">
        <v>-2041.5604750000011</v>
      </c>
      <c r="AQ415" s="417">
        <v>0</v>
      </c>
      <c r="AR415" s="417">
        <v>0</v>
      </c>
    </row>
    <row r="416" spans="1:44">
      <c r="A416" s="439">
        <v>94301</v>
      </c>
      <c r="B416" s="440" t="s">
        <v>1125</v>
      </c>
      <c r="C416" s="437">
        <v>5.5992000000000004E-3</v>
      </c>
      <c r="D416" s="441"/>
      <c r="E416" s="438">
        <v>4350568.0857500006</v>
      </c>
      <c r="F416" s="442">
        <v>3799179.4121500002</v>
      </c>
      <c r="G416" s="442">
        <v>1131757.2329499996</v>
      </c>
      <c r="H416" s="442">
        <v>4973808.5544000007</v>
      </c>
      <c r="I416" s="442">
        <v>0</v>
      </c>
      <c r="J416" s="443">
        <v>8.476E-4</v>
      </c>
      <c r="K416" s="443"/>
      <c r="L416" s="444">
        <v>902182.29840000009</v>
      </c>
      <c r="M416" s="444">
        <v>369922.34640000004</v>
      </c>
      <c r="N416" s="444">
        <v>-44474.445600000006</v>
      </c>
      <c r="O416" s="444">
        <v>0</v>
      </c>
      <c r="P416" s="417">
        <v>0</v>
      </c>
      <c r="Q416" s="378">
        <v>8.476E-4</v>
      </c>
      <c r="R416" s="378"/>
      <c r="S416" s="70">
        <v>2193503.3976000003</v>
      </c>
      <c r="T416" s="105">
        <v>2052985.8744000001</v>
      </c>
      <c r="U416" s="70">
        <v>1219696.1328</v>
      </c>
      <c r="V416" s="70">
        <v>4973808.5544000007</v>
      </c>
      <c r="W416" s="417">
        <v>0</v>
      </c>
      <c r="X416" s="378">
        <v>8.476E-4</v>
      </c>
      <c r="Z416" s="70">
        <v>1575866.844</v>
      </c>
      <c r="AA416" s="70">
        <v>1575855.6456000002</v>
      </c>
      <c r="AB416" s="70">
        <v>0</v>
      </c>
      <c r="AC416" s="417">
        <v>0</v>
      </c>
      <c r="AD416" s="417">
        <v>0</v>
      </c>
      <c r="AE416" s="378">
        <v>8.476E-4</v>
      </c>
      <c r="AF416" s="378"/>
      <c r="AG416" s="70">
        <v>0</v>
      </c>
      <c r="AH416" s="70">
        <v>0</v>
      </c>
      <c r="AI416" s="70">
        <v>0</v>
      </c>
      <c r="AJ416" s="417">
        <v>0</v>
      </c>
      <c r="AK416" s="417">
        <v>0</v>
      </c>
      <c r="AL416" s="378">
        <v>8.476E-4</v>
      </c>
      <c r="AM416" s="378"/>
      <c r="AN416" s="70">
        <v>-320984.45425000042</v>
      </c>
      <c r="AO416" s="70">
        <v>-199584.45425000042</v>
      </c>
      <c r="AP416" s="70">
        <v>-43464.454250000417</v>
      </c>
      <c r="AQ416" s="417">
        <v>0</v>
      </c>
      <c r="AR416" s="417">
        <v>0</v>
      </c>
    </row>
    <row r="417" spans="1:44">
      <c r="A417" s="439">
        <v>94311</v>
      </c>
      <c r="B417" s="440" t="s">
        <v>1126</v>
      </c>
      <c r="C417" s="437">
        <v>8.2569999999999996E-4</v>
      </c>
      <c r="D417" s="441"/>
      <c r="E417" s="438">
        <v>718628.63567499991</v>
      </c>
      <c r="F417" s="442">
        <v>604313.17507499992</v>
      </c>
      <c r="G417" s="442">
        <v>185939.48187499997</v>
      </c>
      <c r="H417" s="442">
        <v>733475.08990000002</v>
      </c>
      <c r="I417" s="442">
        <v>0</v>
      </c>
      <c r="J417" s="443">
        <v>1.438E-4</v>
      </c>
      <c r="K417" s="443"/>
      <c r="L417" s="444">
        <v>133042.56389999998</v>
      </c>
      <c r="M417" s="444">
        <v>54551.5219</v>
      </c>
      <c r="N417" s="444">
        <v>-6558.5351000000001</v>
      </c>
      <c r="O417" s="444">
        <v>0</v>
      </c>
      <c r="P417" s="417">
        <v>0</v>
      </c>
      <c r="Q417" s="378">
        <v>1.438E-4</v>
      </c>
      <c r="R417" s="378"/>
      <c r="S417" s="70">
        <v>323470.45209999999</v>
      </c>
      <c r="T417" s="105">
        <v>302748.68489999999</v>
      </c>
      <c r="U417" s="70">
        <v>179865.5338</v>
      </c>
      <c r="V417" s="70">
        <v>733475.08990000002</v>
      </c>
      <c r="W417" s="417">
        <v>0</v>
      </c>
      <c r="X417" s="378">
        <v>1.438E-4</v>
      </c>
      <c r="Z417" s="70">
        <v>232389.13649999999</v>
      </c>
      <c r="AA417" s="70">
        <v>232387.48509999999</v>
      </c>
      <c r="AB417" s="70">
        <v>0</v>
      </c>
      <c r="AC417" s="417">
        <v>0</v>
      </c>
      <c r="AD417" s="417">
        <v>0</v>
      </c>
      <c r="AE417" s="378">
        <v>1.438E-4</v>
      </c>
      <c r="AF417" s="378"/>
      <c r="AG417" s="70">
        <v>29726.483174999972</v>
      </c>
      <c r="AH417" s="70">
        <v>14625.483174999972</v>
      </c>
      <c r="AI417" s="70">
        <v>12632.483174999972</v>
      </c>
      <c r="AJ417" s="417">
        <v>0</v>
      </c>
      <c r="AK417" s="417">
        <v>0</v>
      </c>
      <c r="AL417" s="378">
        <v>1.438E-4</v>
      </c>
      <c r="AM417" s="378"/>
      <c r="AN417" s="70">
        <v>0</v>
      </c>
      <c r="AO417" s="70">
        <v>0</v>
      </c>
      <c r="AP417" s="70">
        <v>0</v>
      </c>
      <c r="AQ417" s="417">
        <v>0</v>
      </c>
      <c r="AR417" s="417">
        <v>0</v>
      </c>
    </row>
    <row r="418" spans="1:44">
      <c r="A418" s="439">
        <v>94313</v>
      </c>
      <c r="B418" s="440" t="s">
        <v>1127</v>
      </c>
      <c r="C418" s="437">
        <v>2.0000000000000002E-5</v>
      </c>
      <c r="D418" s="441"/>
      <c r="E418" s="438">
        <v>24768.170600000005</v>
      </c>
      <c r="F418" s="442">
        <v>20070.010600000001</v>
      </c>
      <c r="G418" s="442">
        <v>6520.4906000000037</v>
      </c>
      <c r="H418" s="442">
        <v>17766.140000000003</v>
      </c>
      <c r="I418" s="442">
        <v>0</v>
      </c>
      <c r="J418" s="443">
        <v>1.6980000000000001E-4</v>
      </c>
      <c r="K418" s="443"/>
      <c r="L418" s="444">
        <v>3222.5400000000004</v>
      </c>
      <c r="M418" s="444">
        <v>1321.3400000000001</v>
      </c>
      <c r="N418" s="444">
        <v>-158.86000000000001</v>
      </c>
      <c r="O418" s="444">
        <v>0</v>
      </c>
      <c r="P418" s="417">
        <v>0</v>
      </c>
      <c r="Q418" s="378">
        <v>1.6980000000000001E-4</v>
      </c>
      <c r="R418" s="378"/>
      <c r="S418" s="70">
        <v>7835.06</v>
      </c>
      <c r="T418" s="105">
        <v>7333.14</v>
      </c>
      <c r="U418" s="70">
        <v>4356.68</v>
      </c>
      <c r="V418" s="70">
        <v>17766.140000000003</v>
      </c>
      <c r="W418" s="417">
        <v>0</v>
      </c>
      <c r="X418" s="378">
        <v>1.6980000000000001E-4</v>
      </c>
      <c r="Z418" s="70">
        <v>5628.9000000000005</v>
      </c>
      <c r="AA418" s="70">
        <v>5628.8600000000006</v>
      </c>
      <c r="AB418" s="70">
        <v>0</v>
      </c>
      <c r="AC418" s="417">
        <v>0</v>
      </c>
      <c r="AD418" s="417">
        <v>0</v>
      </c>
      <c r="AE418" s="378">
        <v>1.6980000000000001E-4</v>
      </c>
      <c r="AF418" s="378"/>
      <c r="AG418" s="70">
        <v>8182.6706000000031</v>
      </c>
      <c r="AH418" s="70">
        <v>5786.6706000000031</v>
      </c>
      <c r="AI418" s="70">
        <v>2322.6706000000031</v>
      </c>
      <c r="AJ418" s="417">
        <v>0</v>
      </c>
      <c r="AK418" s="417">
        <v>0</v>
      </c>
      <c r="AL418" s="378">
        <v>1.6980000000000001E-4</v>
      </c>
      <c r="AM418" s="378"/>
      <c r="AN418" s="70">
        <v>-101</v>
      </c>
      <c r="AO418" s="70">
        <v>0</v>
      </c>
      <c r="AP418" s="70">
        <v>0</v>
      </c>
      <c r="AQ418" s="417">
        <v>0</v>
      </c>
      <c r="AR418" s="417">
        <v>0</v>
      </c>
    </row>
    <row r="419" spans="1:44">
      <c r="A419" s="439">
        <v>94317</v>
      </c>
      <c r="B419" s="440" t="s">
        <v>1128</v>
      </c>
      <c r="C419" s="437">
        <v>1.7900000000000001E-5</v>
      </c>
      <c r="D419" s="441"/>
      <c r="E419" s="438">
        <v>25704.923474999996</v>
      </c>
      <c r="F419" s="442">
        <v>23110.095275</v>
      </c>
      <c r="G419" s="442">
        <v>7740.5548749999989</v>
      </c>
      <c r="H419" s="442">
        <v>15900.695300000001</v>
      </c>
      <c r="I419" s="442">
        <v>0</v>
      </c>
      <c r="J419" s="443">
        <v>1.91E-5</v>
      </c>
      <c r="K419" s="443"/>
      <c r="L419" s="444">
        <v>2884.1733000000004</v>
      </c>
      <c r="M419" s="444">
        <v>1182.5993000000001</v>
      </c>
      <c r="N419" s="444">
        <v>-142.17970000000003</v>
      </c>
      <c r="O419" s="444">
        <v>0</v>
      </c>
      <c r="P419" s="417">
        <v>0</v>
      </c>
      <c r="Q419" s="378">
        <v>1.91E-5</v>
      </c>
      <c r="R419" s="378"/>
      <c r="S419" s="70">
        <v>7012.3787000000002</v>
      </c>
      <c r="T419" s="105">
        <v>6563.1603000000005</v>
      </c>
      <c r="U419" s="70">
        <v>3899.2286000000004</v>
      </c>
      <c r="V419" s="70">
        <v>15900.695300000001</v>
      </c>
      <c r="W419" s="417">
        <v>0</v>
      </c>
      <c r="X419" s="378">
        <v>1.91E-5</v>
      </c>
      <c r="Z419" s="70">
        <v>5037.8655000000008</v>
      </c>
      <c r="AA419" s="70">
        <v>5037.8297000000002</v>
      </c>
      <c r="AB419" s="70">
        <v>0</v>
      </c>
      <c r="AC419" s="417">
        <v>0</v>
      </c>
      <c r="AD419" s="417">
        <v>0</v>
      </c>
      <c r="AE419" s="378">
        <v>1.91E-5</v>
      </c>
      <c r="AF419" s="378"/>
      <c r="AG419" s="70">
        <v>11254.505974999998</v>
      </c>
      <c r="AH419" s="70">
        <v>10326.505974999998</v>
      </c>
      <c r="AI419" s="70">
        <v>3983.5059749999987</v>
      </c>
      <c r="AJ419" s="417">
        <v>0</v>
      </c>
      <c r="AK419" s="417">
        <v>0</v>
      </c>
      <c r="AL419" s="378">
        <v>1.91E-5</v>
      </c>
      <c r="AM419" s="378"/>
      <c r="AN419" s="70">
        <v>-484</v>
      </c>
      <c r="AO419" s="70">
        <v>0</v>
      </c>
      <c r="AP419" s="70">
        <v>0</v>
      </c>
      <c r="AQ419" s="417">
        <v>0</v>
      </c>
      <c r="AR419" s="417">
        <v>0</v>
      </c>
    </row>
    <row r="420" spans="1:44">
      <c r="A420" s="439">
        <v>94321</v>
      </c>
      <c r="B420" s="440" t="s">
        <v>1129</v>
      </c>
      <c r="C420" s="437">
        <v>3.0160000000000001E-4</v>
      </c>
      <c r="D420" s="441"/>
      <c r="E420" s="438">
        <v>261752.94265000004</v>
      </c>
      <c r="F420" s="442">
        <v>213641.28985000006</v>
      </c>
      <c r="G420" s="442">
        <v>66494.648250000042</v>
      </c>
      <c r="H420" s="442">
        <v>267913.39120000001</v>
      </c>
      <c r="I420" s="442">
        <v>0</v>
      </c>
      <c r="J420" s="443">
        <v>4.1E-5</v>
      </c>
      <c r="K420" s="443"/>
      <c r="L420" s="444">
        <v>48595.903200000001</v>
      </c>
      <c r="M420" s="444">
        <v>19925.807199999999</v>
      </c>
      <c r="N420" s="444">
        <v>-2395.6088</v>
      </c>
      <c r="O420" s="444">
        <v>0</v>
      </c>
      <c r="P420" s="417">
        <v>0</v>
      </c>
      <c r="Q420" s="378">
        <v>4.1E-5</v>
      </c>
      <c r="R420" s="378"/>
      <c r="S420" s="70">
        <v>118152.70480000001</v>
      </c>
      <c r="T420" s="105">
        <v>110583.7512</v>
      </c>
      <c r="U420" s="70">
        <v>65698.734400000001</v>
      </c>
      <c r="V420" s="70">
        <v>267913.39120000001</v>
      </c>
      <c r="W420" s="417">
        <v>0</v>
      </c>
      <c r="X420" s="378">
        <v>4.1E-5</v>
      </c>
      <c r="Z420" s="70">
        <v>84883.812000000005</v>
      </c>
      <c r="AA420" s="70">
        <v>84883.208800000008</v>
      </c>
      <c r="AB420" s="70">
        <v>0</v>
      </c>
      <c r="AC420" s="417">
        <v>0</v>
      </c>
      <c r="AD420" s="417">
        <v>0</v>
      </c>
      <c r="AE420" s="378">
        <v>4.1E-5</v>
      </c>
      <c r="AF420" s="378"/>
      <c r="AG420" s="70">
        <v>15833.522650000043</v>
      </c>
      <c r="AH420" s="70">
        <v>3191.5226500000426</v>
      </c>
      <c r="AI420" s="70">
        <v>3191.5226500000426</v>
      </c>
      <c r="AJ420" s="417">
        <v>0</v>
      </c>
      <c r="AK420" s="417">
        <v>0</v>
      </c>
      <c r="AL420" s="378">
        <v>4.1E-5</v>
      </c>
      <c r="AM420" s="378"/>
      <c r="AN420" s="70">
        <v>-5713</v>
      </c>
      <c r="AO420" s="70">
        <v>-4943</v>
      </c>
      <c r="AP420" s="70">
        <v>0</v>
      </c>
      <c r="AQ420" s="417">
        <v>0</v>
      </c>
      <c r="AR420" s="417">
        <v>0</v>
      </c>
    </row>
    <row r="421" spans="1:44">
      <c r="A421" s="439">
        <v>94331</v>
      </c>
      <c r="B421" s="440" t="s">
        <v>1130</v>
      </c>
      <c r="C421" s="437">
        <v>1.5589999999999999E-4</v>
      </c>
      <c r="D421" s="441"/>
      <c r="E421" s="438">
        <v>127809.296975</v>
      </c>
      <c r="F421" s="442">
        <v>110275.66477500001</v>
      </c>
      <c r="G421" s="442">
        <v>37513.036375000018</v>
      </c>
      <c r="H421" s="442">
        <v>138487.0613</v>
      </c>
      <c r="I421" s="442">
        <v>0</v>
      </c>
      <c r="J421" s="443">
        <v>5.8427000000000002E-3</v>
      </c>
      <c r="K421" s="443"/>
      <c r="L421" s="444">
        <v>25119.6993</v>
      </c>
      <c r="M421" s="444">
        <v>10299.845299999999</v>
      </c>
      <c r="N421" s="444">
        <v>-1238.3136999999999</v>
      </c>
      <c r="O421" s="444">
        <v>0</v>
      </c>
      <c r="P421" s="417">
        <v>0</v>
      </c>
      <c r="Q421" s="378">
        <v>5.8427000000000002E-3</v>
      </c>
      <c r="R421" s="378"/>
      <c r="S421" s="70">
        <v>61074.292699999998</v>
      </c>
      <c r="T421" s="105">
        <v>57161.826300000001</v>
      </c>
      <c r="U421" s="70">
        <v>33960.320599999999</v>
      </c>
      <c r="V421" s="70">
        <v>138487.0613</v>
      </c>
      <c r="W421" s="417">
        <v>0</v>
      </c>
      <c r="X421" s="378">
        <v>5.8427000000000002E-3</v>
      </c>
      <c r="Z421" s="70">
        <v>43877.275499999996</v>
      </c>
      <c r="AA421" s="70">
        <v>43876.9637</v>
      </c>
      <c r="AB421" s="70">
        <v>0</v>
      </c>
      <c r="AC421" s="417">
        <v>0</v>
      </c>
      <c r="AD421" s="417">
        <v>0</v>
      </c>
      <c r="AE421" s="378">
        <v>5.8427000000000002E-3</v>
      </c>
      <c r="AF421" s="378"/>
      <c r="AG421" s="70">
        <v>5425.0294750000176</v>
      </c>
      <c r="AH421" s="70">
        <v>4791.0294750000176</v>
      </c>
      <c r="AI421" s="70">
        <v>4791.0294750000176</v>
      </c>
      <c r="AJ421" s="417">
        <v>0</v>
      </c>
      <c r="AK421" s="417">
        <v>0</v>
      </c>
      <c r="AL421" s="378">
        <v>5.8427000000000002E-3</v>
      </c>
      <c r="AM421" s="378"/>
      <c r="AN421" s="70">
        <v>-7687</v>
      </c>
      <c r="AO421" s="70">
        <v>-5854</v>
      </c>
      <c r="AP421" s="70">
        <v>0</v>
      </c>
      <c r="AQ421" s="417">
        <v>0</v>
      </c>
      <c r="AR421" s="417">
        <v>0</v>
      </c>
    </row>
    <row r="422" spans="1:44">
      <c r="A422" s="439">
        <v>94341</v>
      </c>
      <c r="B422" s="440" t="s">
        <v>1131</v>
      </c>
      <c r="C422" s="437">
        <v>1.064E-4</v>
      </c>
      <c r="D422" s="441"/>
      <c r="E422" s="438">
        <v>87930.674949999986</v>
      </c>
      <c r="F422" s="442">
        <v>76949.86374999999</v>
      </c>
      <c r="G422" s="442">
        <v>27683.897349999999</v>
      </c>
      <c r="H422" s="442">
        <v>94515.864799999996</v>
      </c>
      <c r="I422" s="442">
        <v>0</v>
      </c>
      <c r="J422" s="443">
        <v>7.9109999999999998E-4</v>
      </c>
      <c r="K422" s="443"/>
      <c r="L422" s="444">
        <v>17143.912799999998</v>
      </c>
      <c r="M422" s="444">
        <v>7029.5288</v>
      </c>
      <c r="N422" s="444">
        <v>-845.13519999999994</v>
      </c>
      <c r="O422" s="444">
        <v>0</v>
      </c>
      <c r="P422" s="417">
        <v>0</v>
      </c>
      <c r="Q422" s="378">
        <v>7.9109999999999998E-4</v>
      </c>
      <c r="R422" s="378"/>
      <c r="S422" s="70">
        <v>41682.519200000002</v>
      </c>
      <c r="T422" s="105">
        <v>39012.304799999998</v>
      </c>
      <c r="U422" s="70">
        <v>23177.5376</v>
      </c>
      <c r="V422" s="70">
        <v>94515.864799999996</v>
      </c>
      <c r="W422" s="417">
        <v>0</v>
      </c>
      <c r="X422" s="378">
        <v>7.9109999999999998E-4</v>
      </c>
      <c r="Z422" s="70">
        <v>29945.748</v>
      </c>
      <c r="AA422" s="70">
        <v>29945.535199999998</v>
      </c>
      <c r="AB422" s="70">
        <v>0</v>
      </c>
      <c r="AC422" s="417">
        <v>0</v>
      </c>
      <c r="AD422" s="417">
        <v>0</v>
      </c>
      <c r="AE422" s="378">
        <v>7.9109999999999998E-4</v>
      </c>
      <c r="AF422" s="378"/>
      <c r="AG422" s="70">
        <v>7002.4949500000002</v>
      </c>
      <c r="AH422" s="70">
        <v>5351.4949500000002</v>
      </c>
      <c r="AI422" s="70">
        <v>5351.4949500000002</v>
      </c>
      <c r="AJ422" s="417">
        <v>0</v>
      </c>
      <c r="AK422" s="417">
        <v>0</v>
      </c>
      <c r="AL422" s="378">
        <v>7.9109999999999998E-4</v>
      </c>
      <c r="AM422" s="378"/>
      <c r="AN422" s="70">
        <v>-7844</v>
      </c>
      <c r="AO422" s="70">
        <v>-4389</v>
      </c>
      <c r="AP422" s="70">
        <v>0</v>
      </c>
      <c r="AQ422" s="417">
        <v>0</v>
      </c>
      <c r="AR422" s="417">
        <v>0</v>
      </c>
    </row>
    <row r="423" spans="1:44">
      <c r="A423" s="439">
        <v>94347</v>
      </c>
      <c r="B423" s="440" t="s">
        <v>1132</v>
      </c>
      <c r="C423" s="437">
        <v>1.3699999999999999E-5</v>
      </c>
      <c r="D423" s="441"/>
      <c r="E423" s="438">
        <v>15166.069675000002</v>
      </c>
      <c r="F423" s="442">
        <v>9116.9050750000024</v>
      </c>
      <c r="G423" s="442">
        <v>1712.323875000001</v>
      </c>
      <c r="H423" s="442">
        <v>12169.805899999999</v>
      </c>
      <c r="I423" s="442">
        <v>0</v>
      </c>
      <c r="J423" s="443">
        <v>1.98E-5</v>
      </c>
      <c r="K423" s="443"/>
      <c r="L423" s="444">
        <v>2207.4398999999999</v>
      </c>
      <c r="M423" s="444">
        <v>905.11789999999996</v>
      </c>
      <c r="N423" s="444">
        <v>-108.81909999999999</v>
      </c>
      <c r="O423" s="444">
        <v>0</v>
      </c>
      <c r="P423" s="417">
        <v>0</v>
      </c>
      <c r="Q423" s="378">
        <v>1.98E-5</v>
      </c>
      <c r="R423" s="378"/>
      <c r="S423" s="70">
        <v>5367.0160999999998</v>
      </c>
      <c r="T423" s="105">
        <v>5023.2008999999998</v>
      </c>
      <c r="U423" s="70">
        <v>2984.3257999999996</v>
      </c>
      <c r="V423" s="70">
        <v>12169.805899999999</v>
      </c>
      <c r="W423" s="417">
        <v>0</v>
      </c>
      <c r="X423" s="378">
        <v>1.98E-5</v>
      </c>
      <c r="Z423" s="70">
        <v>3855.7964999999999</v>
      </c>
      <c r="AA423" s="70">
        <v>3855.7691</v>
      </c>
      <c r="AB423" s="70">
        <v>0</v>
      </c>
      <c r="AC423" s="417">
        <v>0</v>
      </c>
      <c r="AD423" s="417">
        <v>0</v>
      </c>
      <c r="AE423" s="378">
        <v>1.98E-5</v>
      </c>
      <c r="AF423" s="378"/>
      <c r="AG423" s="70">
        <v>4899</v>
      </c>
      <c r="AH423" s="70">
        <v>496</v>
      </c>
      <c r="AI423" s="70">
        <v>0</v>
      </c>
      <c r="AJ423" s="417">
        <v>0</v>
      </c>
      <c r="AK423" s="417">
        <v>0</v>
      </c>
      <c r="AL423" s="378">
        <v>1.98E-5</v>
      </c>
      <c r="AM423" s="378"/>
      <c r="AN423" s="70">
        <v>-1163.1828249999985</v>
      </c>
      <c r="AO423" s="70">
        <v>-1163.1828249999985</v>
      </c>
      <c r="AP423" s="70">
        <v>-1163.1828249999985</v>
      </c>
      <c r="AQ423" s="417">
        <v>0</v>
      </c>
      <c r="AR423" s="417">
        <v>0</v>
      </c>
    </row>
    <row r="424" spans="1:44">
      <c r="A424" s="439">
        <v>94351</v>
      </c>
      <c r="B424" s="440" t="s">
        <v>1133</v>
      </c>
      <c r="C424" s="437">
        <v>3.2600000000000001E-4</v>
      </c>
      <c r="D424" s="441"/>
      <c r="E424" s="438">
        <v>302962.75020000001</v>
      </c>
      <c r="F424" s="442">
        <v>241587.24220000001</v>
      </c>
      <c r="G424" s="442">
        <v>66433.266200000013</v>
      </c>
      <c r="H424" s="442">
        <v>289588.08199999999</v>
      </c>
      <c r="I424" s="442">
        <v>0</v>
      </c>
      <c r="J424" s="443">
        <v>1.3200000000000001E-5</v>
      </c>
      <c r="K424" s="443"/>
      <c r="L424" s="444">
        <v>52527.402000000002</v>
      </c>
      <c r="M424" s="444">
        <v>21537.842000000001</v>
      </c>
      <c r="N424" s="444">
        <v>-2589.4180000000001</v>
      </c>
      <c r="O424" s="444">
        <v>0</v>
      </c>
      <c r="P424" s="417">
        <v>0</v>
      </c>
      <c r="Q424" s="378">
        <v>1.3200000000000001E-5</v>
      </c>
      <c r="R424" s="378"/>
      <c r="S424" s="70">
        <v>127711.478</v>
      </c>
      <c r="T424" s="105">
        <v>119530.182</v>
      </c>
      <c r="U424" s="70">
        <v>71013.884000000005</v>
      </c>
      <c r="V424" s="70">
        <v>289588.08199999999</v>
      </c>
      <c r="W424" s="417">
        <v>0</v>
      </c>
      <c r="X424" s="378">
        <v>1.3200000000000001E-5</v>
      </c>
      <c r="Z424" s="70">
        <v>91751.07</v>
      </c>
      <c r="AA424" s="70">
        <v>91750.418000000005</v>
      </c>
      <c r="AB424" s="70">
        <v>0</v>
      </c>
      <c r="AC424" s="417">
        <v>0</v>
      </c>
      <c r="AD424" s="417">
        <v>0</v>
      </c>
      <c r="AE424" s="378">
        <v>1.3200000000000001E-5</v>
      </c>
      <c r="AF424" s="378"/>
      <c r="AG424" s="70">
        <v>37129</v>
      </c>
      <c r="AH424" s="70">
        <v>10760</v>
      </c>
      <c r="AI424" s="70">
        <v>0</v>
      </c>
      <c r="AJ424" s="417">
        <v>0</v>
      </c>
      <c r="AK424" s="417">
        <v>0</v>
      </c>
      <c r="AL424" s="378">
        <v>1.3200000000000001E-5</v>
      </c>
      <c r="AM424" s="378"/>
      <c r="AN424" s="70">
        <v>-6156.1997999999949</v>
      </c>
      <c r="AO424" s="70">
        <v>-1991.1997999999949</v>
      </c>
      <c r="AP424" s="70">
        <v>-1991.1997999999949</v>
      </c>
      <c r="AQ424" s="417">
        <v>0</v>
      </c>
      <c r="AR424" s="417">
        <v>0</v>
      </c>
    </row>
    <row r="425" spans="1:44">
      <c r="A425" s="439">
        <v>94401</v>
      </c>
      <c r="B425" s="440" t="s">
        <v>1134</v>
      </c>
      <c r="C425" s="437">
        <v>3.5634E-3</v>
      </c>
      <c r="D425" s="441"/>
      <c r="E425" s="438">
        <v>2999281.7764999997</v>
      </c>
      <c r="F425" s="442">
        <v>2536077.7593</v>
      </c>
      <c r="G425" s="442">
        <v>887591.66089999978</v>
      </c>
      <c r="H425" s="442">
        <v>3165393.1638000002</v>
      </c>
      <c r="I425" s="442">
        <v>0</v>
      </c>
      <c r="J425" s="443">
        <v>3.0529999999999999E-4</v>
      </c>
      <c r="K425" s="443"/>
      <c r="L425" s="444">
        <v>574159.95180000004</v>
      </c>
      <c r="M425" s="444">
        <v>235423.14780000001</v>
      </c>
      <c r="N425" s="444">
        <v>-28304.086200000002</v>
      </c>
      <c r="O425" s="444">
        <v>0</v>
      </c>
      <c r="P425" s="417">
        <v>0</v>
      </c>
      <c r="Q425" s="378">
        <v>3.0529999999999999E-4</v>
      </c>
      <c r="R425" s="378"/>
      <c r="S425" s="70">
        <v>1395972.6402</v>
      </c>
      <c r="T425" s="105">
        <v>1306545.5538000001</v>
      </c>
      <c r="U425" s="70">
        <v>776229.67559999996</v>
      </c>
      <c r="V425" s="70">
        <v>3165393.1638000002</v>
      </c>
      <c r="W425" s="417">
        <v>0</v>
      </c>
      <c r="X425" s="378">
        <v>3.0529999999999999E-4</v>
      </c>
      <c r="Z425" s="70">
        <v>1002901.113</v>
      </c>
      <c r="AA425" s="70">
        <v>1002893.9862</v>
      </c>
      <c r="AB425" s="70">
        <v>0</v>
      </c>
      <c r="AC425" s="417">
        <v>0</v>
      </c>
      <c r="AD425" s="417">
        <v>0</v>
      </c>
      <c r="AE425" s="378">
        <v>3.0529999999999999E-4</v>
      </c>
      <c r="AF425" s="378"/>
      <c r="AG425" s="70">
        <v>174699.07149999985</v>
      </c>
      <c r="AH425" s="70">
        <v>139666.07149999985</v>
      </c>
      <c r="AI425" s="70">
        <v>139666.07149999985</v>
      </c>
      <c r="AJ425" s="417">
        <v>0</v>
      </c>
      <c r="AK425" s="417">
        <v>0</v>
      </c>
      <c r="AL425" s="378">
        <v>3.0529999999999999E-4</v>
      </c>
      <c r="AM425" s="378"/>
      <c r="AN425" s="70">
        <v>-148451</v>
      </c>
      <c r="AO425" s="70">
        <v>-148451</v>
      </c>
      <c r="AP425" s="70">
        <v>0</v>
      </c>
      <c r="AQ425" s="417">
        <v>0</v>
      </c>
      <c r="AR425" s="417">
        <v>0</v>
      </c>
    </row>
    <row r="426" spans="1:44">
      <c r="A426" s="439">
        <v>94403</v>
      </c>
      <c r="B426" s="440" t="s">
        <v>1136</v>
      </c>
      <c r="C426" s="437">
        <v>4.3699999999999998E-5</v>
      </c>
      <c r="D426" s="441"/>
      <c r="E426" s="438">
        <v>41806.650425</v>
      </c>
      <c r="F426" s="442">
        <v>33124.745824999998</v>
      </c>
      <c r="G426" s="442">
        <v>8245.884624999997</v>
      </c>
      <c r="H426" s="442">
        <v>38819.015899999999</v>
      </c>
      <c r="I426" s="442">
        <v>0</v>
      </c>
      <c r="J426" s="443">
        <v>1.392E-4</v>
      </c>
      <c r="K426" s="443"/>
      <c r="L426" s="444">
        <v>7041.2498999999998</v>
      </c>
      <c r="M426" s="444">
        <v>2887.1279</v>
      </c>
      <c r="N426" s="444">
        <v>-347.10910000000001</v>
      </c>
      <c r="O426" s="444">
        <v>0</v>
      </c>
      <c r="P426" s="417">
        <v>0</v>
      </c>
      <c r="Q426" s="378">
        <v>1.392E-4</v>
      </c>
      <c r="R426" s="378"/>
      <c r="S426" s="70">
        <v>17119.606100000001</v>
      </c>
      <c r="T426" s="105">
        <v>16022.910899999999</v>
      </c>
      <c r="U426" s="70">
        <v>9519.3457999999991</v>
      </c>
      <c r="V426" s="70">
        <v>38819.015899999999</v>
      </c>
      <c r="W426" s="417">
        <v>0</v>
      </c>
      <c r="X426" s="378">
        <v>1.392E-4</v>
      </c>
      <c r="Z426" s="70">
        <v>12299.146499999999</v>
      </c>
      <c r="AA426" s="70">
        <v>12299.0591</v>
      </c>
      <c r="AB426" s="70">
        <v>0</v>
      </c>
      <c r="AC426" s="417">
        <v>0</v>
      </c>
      <c r="AD426" s="417">
        <v>0</v>
      </c>
      <c r="AE426" s="378">
        <v>1.392E-4</v>
      </c>
      <c r="AF426" s="378"/>
      <c r="AG426" s="70">
        <v>6273</v>
      </c>
      <c r="AH426" s="70">
        <v>2842</v>
      </c>
      <c r="AI426" s="70">
        <v>0</v>
      </c>
      <c r="AJ426" s="417">
        <v>0</v>
      </c>
      <c r="AK426" s="417">
        <v>0</v>
      </c>
      <c r="AL426" s="378">
        <v>1.392E-4</v>
      </c>
      <c r="AM426" s="378"/>
      <c r="AN426" s="70">
        <v>-926.35207500000251</v>
      </c>
      <c r="AO426" s="70">
        <v>-926.35207500000251</v>
      </c>
      <c r="AP426" s="70">
        <v>-926.35207500000251</v>
      </c>
      <c r="AQ426" s="417">
        <v>0</v>
      </c>
      <c r="AR426" s="417">
        <v>0</v>
      </c>
    </row>
    <row r="427" spans="1:44">
      <c r="A427" s="439">
        <v>94408</v>
      </c>
      <c r="B427" s="440" t="s">
        <v>1137</v>
      </c>
      <c r="C427" s="437">
        <v>6.5199999999999999E-5</v>
      </c>
      <c r="D427" s="441"/>
      <c r="E427" s="438">
        <v>54975.895199999999</v>
      </c>
      <c r="F427" s="442">
        <v>49150.5936</v>
      </c>
      <c r="G427" s="442">
        <v>10575.798400000003</v>
      </c>
      <c r="H427" s="442">
        <v>57917.616399999999</v>
      </c>
      <c r="I427" s="442">
        <v>0</v>
      </c>
      <c r="J427" s="443">
        <v>8.8499999999999996E-5</v>
      </c>
      <c r="K427" s="443"/>
      <c r="L427" s="444">
        <v>10505.4804</v>
      </c>
      <c r="M427" s="444">
        <v>4307.5684000000001</v>
      </c>
      <c r="N427" s="444">
        <v>-517.8836</v>
      </c>
      <c r="O427" s="444">
        <v>0</v>
      </c>
      <c r="P427" s="417">
        <v>0</v>
      </c>
      <c r="Q427" s="378">
        <v>8.8499999999999996E-5</v>
      </c>
      <c r="R427" s="378"/>
      <c r="S427" s="70">
        <v>25542.295600000001</v>
      </c>
      <c r="T427" s="105">
        <v>23906.036400000001</v>
      </c>
      <c r="U427" s="70">
        <v>14202.7768</v>
      </c>
      <c r="V427" s="70">
        <v>57917.616399999999</v>
      </c>
      <c r="W427" s="417">
        <v>0</v>
      </c>
      <c r="X427" s="378">
        <v>8.8499999999999996E-5</v>
      </c>
      <c r="Z427" s="70">
        <v>18350.214</v>
      </c>
      <c r="AA427" s="70">
        <v>18350.083599999998</v>
      </c>
      <c r="AB427" s="70">
        <v>0</v>
      </c>
      <c r="AC427" s="417">
        <v>0</v>
      </c>
      <c r="AD427" s="417">
        <v>0</v>
      </c>
      <c r="AE427" s="378">
        <v>8.8499999999999996E-5</v>
      </c>
      <c r="AF427" s="378"/>
      <c r="AG427" s="70">
        <v>7941</v>
      </c>
      <c r="AH427" s="70">
        <v>5696</v>
      </c>
      <c r="AI427" s="70">
        <v>0</v>
      </c>
      <c r="AJ427" s="417">
        <v>0</v>
      </c>
      <c r="AK427" s="417">
        <v>0</v>
      </c>
      <c r="AL427" s="378">
        <v>8.8499999999999996E-5</v>
      </c>
      <c r="AM427" s="378"/>
      <c r="AN427" s="70">
        <v>-7363.0947999999971</v>
      </c>
      <c r="AO427" s="70">
        <v>-3109.0947999999971</v>
      </c>
      <c r="AP427" s="70">
        <v>-3109.0947999999971</v>
      </c>
      <c r="AQ427" s="417">
        <v>0</v>
      </c>
      <c r="AR427" s="417">
        <v>0</v>
      </c>
    </row>
    <row r="428" spans="1:44">
      <c r="A428" s="439">
        <v>94411</v>
      </c>
      <c r="B428" s="440" t="s">
        <v>1138</v>
      </c>
      <c r="C428" s="437">
        <v>1.1031000000000001E-3</v>
      </c>
      <c r="D428" s="441"/>
      <c r="E428" s="438">
        <v>832487.32987500005</v>
      </c>
      <c r="F428" s="442">
        <v>748602.04007500014</v>
      </c>
      <c r="G428" s="442">
        <v>237900.18447500005</v>
      </c>
      <c r="H428" s="442">
        <v>979891.45170000009</v>
      </c>
      <c r="I428" s="442">
        <v>0</v>
      </c>
      <c r="J428" s="443">
        <v>1.6099999999999998E-5</v>
      </c>
      <c r="K428" s="443"/>
      <c r="L428" s="444">
        <v>177739.1937</v>
      </c>
      <c r="M428" s="444">
        <v>72878.507700000002</v>
      </c>
      <c r="N428" s="444">
        <v>-8761.9233000000004</v>
      </c>
      <c r="O428" s="444">
        <v>0</v>
      </c>
      <c r="P428" s="417">
        <v>0</v>
      </c>
      <c r="Q428" s="378">
        <v>1.6099999999999998E-5</v>
      </c>
      <c r="R428" s="378"/>
      <c r="S428" s="70">
        <v>432142.73430000001</v>
      </c>
      <c r="T428" s="105">
        <v>404459.33670000004</v>
      </c>
      <c r="U428" s="70">
        <v>240292.68540000002</v>
      </c>
      <c r="V428" s="70">
        <v>979891.45170000009</v>
      </c>
      <c r="W428" s="417">
        <v>0</v>
      </c>
      <c r="X428" s="378">
        <v>1.6099999999999998E-5</v>
      </c>
      <c r="Z428" s="70">
        <v>310461.97950000002</v>
      </c>
      <c r="AA428" s="70">
        <v>310459.7733</v>
      </c>
      <c r="AB428" s="70">
        <v>0</v>
      </c>
      <c r="AC428" s="417">
        <v>0</v>
      </c>
      <c r="AD428" s="417">
        <v>0</v>
      </c>
      <c r="AE428" s="378">
        <v>1.6099999999999998E-5</v>
      </c>
      <c r="AF428" s="378"/>
      <c r="AG428" s="70">
        <v>6369.4223750000237</v>
      </c>
      <c r="AH428" s="70">
        <v>6369.4223750000237</v>
      </c>
      <c r="AI428" s="70">
        <v>6369.4223750000237</v>
      </c>
      <c r="AJ428" s="417">
        <v>0</v>
      </c>
      <c r="AK428" s="417">
        <v>0</v>
      </c>
      <c r="AL428" s="378">
        <v>1.6099999999999998E-5</v>
      </c>
      <c r="AM428" s="378"/>
      <c r="AN428" s="70">
        <v>-94226</v>
      </c>
      <c r="AO428" s="70">
        <v>-45565</v>
      </c>
      <c r="AP428" s="70">
        <v>0</v>
      </c>
      <c r="AQ428" s="417">
        <v>0</v>
      </c>
      <c r="AR428" s="417">
        <v>0</v>
      </c>
    </row>
    <row r="429" spans="1:44">
      <c r="A429" s="439">
        <v>94412</v>
      </c>
      <c r="B429" s="440" t="s">
        <v>1139</v>
      </c>
      <c r="C429" s="437">
        <v>2.65E-5</v>
      </c>
      <c r="D429" s="441"/>
      <c r="E429" s="438">
        <v>33169.134174999999</v>
      </c>
      <c r="F429" s="442">
        <v>26642.947174999998</v>
      </c>
      <c r="G429" s="442">
        <v>10244.633175000001</v>
      </c>
      <c r="H429" s="442">
        <v>23540.1355</v>
      </c>
      <c r="I429" s="442">
        <v>0</v>
      </c>
      <c r="J429" s="443">
        <v>3.1760000000000002E-4</v>
      </c>
      <c r="K429" s="443"/>
      <c r="L429" s="444">
        <v>4269.8654999999999</v>
      </c>
      <c r="M429" s="444">
        <v>1750.7755</v>
      </c>
      <c r="N429" s="444">
        <v>-210.48949999999999</v>
      </c>
      <c r="O429" s="444">
        <v>0</v>
      </c>
      <c r="P429" s="417">
        <v>0</v>
      </c>
      <c r="Q429" s="378">
        <v>3.1760000000000002E-4</v>
      </c>
      <c r="R429" s="378"/>
      <c r="S429" s="70">
        <v>10381.4545</v>
      </c>
      <c r="T429" s="105">
        <v>9716.4105</v>
      </c>
      <c r="U429" s="70">
        <v>5772.6009999999997</v>
      </c>
      <c r="V429" s="70">
        <v>23540.1355</v>
      </c>
      <c r="W429" s="417">
        <v>0</v>
      </c>
      <c r="X429" s="378">
        <v>3.1760000000000002E-4</v>
      </c>
      <c r="Z429" s="70">
        <v>7458.2925000000005</v>
      </c>
      <c r="AA429" s="70">
        <v>7458.2394999999997</v>
      </c>
      <c r="AB429" s="70">
        <v>0</v>
      </c>
      <c r="AC429" s="417">
        <v>0</v>
      </c>
      <c r="AD429" s="417">
        <v>0</v>
      </c>
      <c r="AE429" s="378">
        <v>3.1760000000000002E-4</v>
      </c>
      <c r="AF429" s="378"/>
      <c r="AG429" s="70">
        <v>11059.521675</v>
      </c>
      <c r="AH429" s="70">
        <v>7717.5216750000009</v>
      </c>
      <c r="AI429" s="70">
        <v>4682.5216750000009</v>
      </c>
      <c r="AJ429" s="417">
        <v>0</v>
      </c>
      <c r="AK429" s="417">
        <v>0</v>
      </c>
      <c r="AL429" s="378">
        <v>3.1760000000000002E-4</v>
      </c>
      <c r="AM429" s="378"/>
      <c r="AN429" s="70">
        <v>0</v>
      </c>
      <c r="AO429" s="70">
        <v>0</v>
      </c>
      <c r="AP429" s="70">
        <v>0</v>
      </c>
      <c r="AQ429" s="417">
        <v>0</v>
      </c>
      <c r="AR429" s="417">
        <v>0</v>
      </c>
    </row>
    <row r="430" spans="1:44">
      <c r="A430" s="439">
        <v>94421</v>
      </c>
      <c r="B430" s="440" t="s">
        <v>1140</v>
      </c>
      <c r="C430" s="437">
        <v>1.6789999999999999E-4</v>
      </c>
      <c r="D430" s="441"/>
      <c r="E430" s="438">
        <v>162939.71757499996</v>
      </c>
      <c r="F430" s="442">
        <v>150054.18937499999</v>
      </c>
      <c r="G430" s="442">
        <v>41750.248974999995</v>
      </c>
      <c r="H430" s="442">
        <v>149146.74529999998</v>
      </c>
      <c r="I430" s="442">
        <v>0</v>
      </c>
      <c r="J430" s="443">
        <v>3.2978999999999999E-3</v>
      </c>
      <c r="K430" s="443"/>
      <c r="L430" s="444">
        <v>27053.223299999998</v>
      </c>
      <c r="M430" s="444">
        <v>11092.649299999999</v>
      </c>
      <c r="N430" s="444">
        <v>-1333.6297</v>
      </c>
      <c r="O430" s="444">
        <v>0</v>
      </c>
      <c r="P430" s="417">
        <v>0</v>
      </c>
      <c r="Q430" s="378">
        <v>3.2978999999999999E-3</v>
      </c>
      <c r="R430" s="378"/>
      <c r="S430" s="70">
        <v>65775.328699999998</v>
      </c>
      <c r="T430" s="105">
        <v>61561.710299999999</v>
      </c>
      <c r="U430" s="70">
        <v>36574.328600000001</v>
      </c>
      <c r="V430" s="70">
        <v>149146.74529999998</v>
      </c>
      <c r="W430" s="417">
        <v>0</v>
      </c>
      <c r="X430" s="378">
        <v>3.2978999999999999E-3</v>
      </c>
      <c r="Z430" s="70">
        <v>47254.6155</v>
      </c>
      <c r="AA430" s="70">
        <v>47254.279699999999</v>
      </c>
      <c r="AB430" s="70">
        <v>0</v>
      </c>
      <c r="AC430" s="417">
        <v>0</v>
      </c>
      <c r="AD430" s="417">
        <v>0</v>
      </c>
      <c r="AE430" s="378">
        <v>3.2978999999999999E-3</v>
      </c>
      <c r="AF430" s="378"/>
      <c r="AG430" s="70">
        <v>30145.550074999992</v>
      </c>
      <c r="AH430" s="70">
        <v>30145.550074999992</v>
      </c>
      <c r="AI430" s="70">
        <v>6509.5500749999919</v>
      </c>
      <c r="AJ430" s="417">
        <v>0</v>
      </c>
      <c r="AK430" s="417">
        <v>0</v>
      </c>
      <c r="AL430" s="378">
        <v>3.2978999999999999E-3</v>
      </c>
      <c r="AM430" s="378"/>
      <c r="AN430" s="70">
        <v>-7289</v>
      </c>
      <c r="AO430" s="70">
        <v>0</v>
      </c>
      <c r="AP430" s="70">
        <v>0</v>
      </c>
      <c r="AQ430" s="417">
        <v>0</v>
      </c>
      <c r="AR430" s="417">
        <v>0</v>
      </c>
    </row>
    <row r="431" spans="1:44">
      <c r="A431" s="439">
        <v>94427</v>
      </c>
      <c r="B431" s="440" t="s">
        <v>1141</v>
      </c>
      <c r="C431" s="437">
        <v>2.72E-5</v>
      </c>
      <c r="D431" s="441"/>
      <c r="E431" s="438">
        <v>29941.075150000004</v>
      </c>
      <c r="F431" s="442">
        <v>23364.777550000006</v>
      </c>
      <c r="G431" s="442">
        <v>8442.4703500000032</v>
      </c>
      <c r="H431" s="442">
        <v>24161.950400000002</v>
      </c>
      <c r="I431" s="442">
        <v>0</v>
      </c>
      <c r="J431" s="448">
        <v>0</v>
      </c>
      <c r="K431" s="448">
        <v>0</v>
      </c>
      <c r="L431" s="444">
        <v>4382.6544000000004</v>
      </c>
      <c r="M431" s="444">
        <v>1797.0224000000001</v>
      </c>
      <c r="N431" s="444">
        <v>-216.0496</v>
      </c>
      <c r="O431" s="444">
        <v>0</v>
      </c>
      <c r="P431" s="417">
        <v>0</v>
      </c>
      <c r="Q431" s="417">
        <v>0</v>
      </c>
      <c r="R431" s="417">
        <v>0</v>
      </c>
      <c r="S431" s="70">
        <v>10655.6816</v>
      </c>
      <c r="T431" s="105">
        <v>9973.0704000000005</v>
      </c>
      <c r="U431" s="70">
        <v>5925.0848000000005</v>
      </c>
      <c r="V431" s="70">
        <v>24161.950400000002</v>
      </c>
      <c r="W431" s="417">
        <v>0</v>
      </c>
      <c r="X431" s="417">
        <v>0</v>
      </c>
      <c r="Y431" s="417">
        <v>0</v>
      </c>
      <c r="Z431" s="70">
        <v>7655.3040000000001</v>
      </c>
      <c r="AA431" s="70">
        <v>7655.2496000000001</v>
      </c>
      <c r="AB431" s="70">
        <v>0</v>
      </c>
      <c r="AC431" s="417">
        <v>0</v>
      </c>
      <c r="AD431" s="417">
        <v>0</v>
      </c>
      <c r="AE431" s="417">
        <v>0</v>
      </c>
      <c r="AF431" s="417">
        <v>0</v>
      </c>
      <c r="AG431" s="70">
        <v>7247.435150000003</v>
      </c>
      <c r="AH431" s="70">
        <v>3939.435150000003</v>
      </c>
      <c r="AI431" s="70">
        <v>2733.435150000003</v>
      </c>
      <c r="AJ431" s="417">
        <v>0</v>
      </c>
      <c r="AK431" s="417">
        <v>0</v>
      </c>
      <c r="AL431" s="417">
        <v>0</v>
      </c>
      <c r="AM431" s="417">
        <v>0</v>
      </c>
      <c r="AN431" s="70">
        <v>0</v>
      </c>
      <c r="AO431" s="70">
        <v>0</v>
      </c>
      <c r="AP431" s="70">
        <v>0</v>
      </c>
      <c r="AQ431" s="417">
        <v>0</v>
      </c>
      <c r="AR431" s="417">
        <v>0</v>
      </c>
    </row>
    <row r="432" spans="1:44">
      <c r="A432" s="439">
        <v>94428</v>
      </c>
      <c r="B432" s="440" t="s">
        <v>1142</v>
      </c>
      <c r="C432" s="437">
        <v>7.0199999999999999E-5</v>
      </c>
      <c r="D432" s="441"/>
      <c r="E432" s="438">
        <v>59707.044699999991</v>
      </c>
      <c r="F432" s="442">
        <v>49481.953099999992</v>
      </c>
      <c r="G432" s="442">
        <v>11880.777899999995</v>
      </c>
      <c r="H432" s="442">
        <v>62359.151400000002</v>
      </c>
      <c r="I432" s="442">
        <v>0</v>
      </c>
      <c r="J432" s="443">
        <v>4.46E-5</v>
      </c>
      <c r="K432" s="443"/>
      <c r="L432" s="444">
        <v>11311.115400000001</v>
      </c>
      <c r="M432" s="444">
        <v>4637.9034000000001</v>
      </c>
      <c r="N432" s="444">
        <v>-557.59860000000003</v>
      </c>
      <c r="O432" s="444">
        <v>0</v>
      </c>
      <c r="P432" s="417">
        <v>0</v>
      </c>
      <c r="Q432" s="378">
        <v>4.46E-5</v>
      </c>
      <c r="R432" s="378"/>
      <c r="S432" s="70">
        <v>27501.060600000001</v>
      </c>
      <c r="T432" s="105">
        <v>25739.321400000001</v>
      </c>
      <c r="U432" s="70">
        <v>15291.9468</v>
      </c>
      <c r="V432" s="70">
        <v>62359.151400000002</v>
      </c>
      <c r="W432" s="417">
        <v>0</v>
      </c>
      <c r="X432" s="378">
        <v>4.46E-5</v>
      </c>
      <c r="Z432" s="70">
        <v>19757.438999999998</v>
      </c>
      <c r="AA432" s="70">
        <v>19757.298599999998</v>
      </c>
      <c r="AB432" s="70">
        <v>0</v>
      </c>
      <c r="AC432" s="417">
        <v>0</v>
      </c>
      <c r="AD432" s="417">
        <v>0</v>
      </c>
      <c r="AE432" s="378">
        <v>4.46E-5</v>
      </c>
      <c r="AF432" s="378"/>
      <c r="AG432" s="70">
        <v>3991</v>
      </c>
      <c r="AH432" s="70">
        <v>2201</v>
      </c>
      <c r="AI432" s="70">
        <v>0</v>
      </c>
      <c r="AJ432" s="417">
        <v>0</v>
      </c>
      <c r="AK432" s="417">
        <v>0</v>
      </c>
      <c r="AL432" s="378">
        <v>4.46E-5</v>
      </c>
      <c r="AM432" s="378"/>
      <c r="AN432" s="70">
        <v>-2853.5703000000049</v>
      </c>
      <c r="AO432" s="70">
        <v>-2853.5703000000049</v>
      </c>
      <c r="AP432" s="70">
        <v>-2853.5703000000049</v>
      </c>
      <c r="AQ432" s="417">
        <v>0</v>
      </c>
      <c r="AR432" s="417">
        <v>0</v>
      </c>
    </row>
    <row r="433" spans="1:44">
      <c r="A433" s="439">
        <v>94431</v>
      </c>
      <c r="B433" s="440" t="s">
        <v>1143</v>
      </c>
      <c r="C433" s="437">
        <v>3.6969999999999999E-4</v>
      </c>
      <c r="D433" s="441"/>
      <c r="E433" s="438">
        <v>310796.42152500001</v>
      </c>
      <c r="F433" s="442">
        <v>256114.00892499997</v>
      </c>
      <c r="G433" s="442">
        <v>77984.171724999993</v>
      </c>
      <c r="H433" s="442">
        <v>328407.09789999999</v>
      </c>
      <c r="I433" s="442">
        <v>0</v>
      </c>
      <c r="J433" s="443">
        <v>6.6799999999999997E-5</v>
      </c>
      <c r="K433" s="443"/>
      <c r="L433" s="444">
        <v>59568.651899999997</v>
      </c>
      <c r="M433" s="444">
        <v>24424.9699</v>
      </c>
      <c r="N433" s="444">
        <v>-2936.5270999999998</v>
      </c>
      <c r="O433" s="444">
        <v>0</v>
      </c>
      <c r="P433" s="417">
        <v>0</v>
      </c>
      <c r="Q433" s="378">
        <v>6.6799999999999997E-5</v>
      </c>
      <c r="R433" s="378"/>
      <c r="S433" s="70">
        <v>144831.08410000001</v>
      </c>
      <c r="T433" s="105">
        <v>135553.09289999999</v>
      </c>
      <c r="U433" s="70">
        <v>80533.229800000001</v>
      </c>
      <c r="V433" s="70">
        <v>328407.09789999999</v>
      </c>
      <c r="W433" s="417">
        <v>0</v>
      </c>
      <c r="X433" s="378">
        <v>6.6799999999999997E-5</v>
      </c>
      <c r="Z433" s="70">
        <v>104050.21649999999</v>
      </c>
      <c r="AA433" s="70">
        <v>104049.4771</v>
      </c>
      <c r="AB433" s="70">
        <v>0</v>
      </c>
      <c r="AC433" s="417">
        <v>0</v>
      </c>
      <c r="AD433" s="417">
        <v>0</v>
      </c>
      <c r="AE433" s="378">
        <v>6.6799999999999997E-5</v>
      </c>
      <c r="AF433" s="378"/>
      <c r="AG433" s="70">
        <v>27771.469024999999</v>
      </c>
      <c r="AH433" s="70">
        <v>387.46902499999851</v>
      </c>
      <c r="AI433" s="70">
        <v>387.46902499999851</v>
      </c>
      <c r="AJ433" s="417">
        <v>0</v>
      </c>
      <c r="AK433" s="417">
        <v>0</v>
      </c>
      <c r="AL433" s="378">
        <v>6.6799999999999997E-5</v>
      </c>
      <c r="AM433" s="378"/>
      <c r="AN433" s="70">
        <v>-25425</v>
      </c>
      <c r="AO433" s="70">
        <v>-8301</v>
      </c>
      <c r="AP433" s="70">
        <v>0</v>
      </c>
      <c r="AQ433" s="417">
        <v>0</v>
      </c>
      <c r="AR433" s="417">
        <v>0</v>
      </c>
    </row>
    <row r="434" spans="1:44">
      <c r="A434" s="439">
        <v>94437</v>
      </c>
      <c r="B434" s="440" t="s">
        <v>1144</v>
      </c>
      <c r="C434" s="437">
        <v>1.59E-5</v>
      </c>
      <c r="D434" s="441"/>
      <c r="E434" s="438">
        <v>20148.823025000002</v>
      </c>
      <c r="F434" s="442">
        <v>17324.310825</v>
      </c>
      <c r="G434" s="442">
        <v>6472.3224250000021</v>
      </c>
      <c r="H434" s="442">
        <v>14124.0813</v>
      </c>
      <c r="I434" s="442">
        <v>0</v>
      </c>
      <c r="J434" s="443">
        <v>1.0996000000000001E-3</v>
      </c>
      <c r="K434" s="443"/>
      <c r="L434" s="444">
        <v>2561.9193</v>
      </c>
      <c r="M434" s="444">
        <v>1050.4653000000001</v>
      </c>
      <c r="N434" s="444">
        <v>-126.2937</v>
      </c>
      <c r="O434" s="444">
        <v>0</v>
      </c>
      <c r="P434" s="417">
        <v>0</v>
      </c>
      <c r="Q434" s="378">
        <v>1.0996000000000001E-3</v>
      </c>
      <c r="R434" s="378"/>
      <c r="S434" s="70">
        <v>6228.8726999999999</v>
      </c>
      <c r="T434" s="105">
        <v>5829.8463000000002</v>
      </c>
      <c r="U434" s="70">
        <v>3463.5606000000002</v>
      </c>
      <c r="V434" s="70">
        <v>14124.0813</v>
      </c>
      <c r="W434" s="417">
        <v>0</v>
      </c>
      <c r="X434" s="378">
        <v>1.0996000000000001E-3</v>
      </c>
      <c r="Z434" s="70">
        <v>4474.9755000000005</v>
      </c>
      <c r="AA434" s="70">
        <v>4474.9436999999998</v>
      </c>
      <c r="AB434" s="70">
        <v>0</v>
      </c>
      <c r="AC434" s="417">
        <v>0</v>
      </c>
      <c r="AD434" s="417">
        <v>0</v>
      </c>
      <c r="AE434" s="378">
        <v>1.0996000000000001E-3</v>
      </c>
      <c r="AF434" s="378"/>
      <c r="AG434" s="70">
        <v>6883.0555250000016</v>
      </c>
      <c r="AH434" s="70">
        <v>5969.0555250000016</v>
      </c>
      <c r="AI434" s="70">
        <v>3135.0555250000016</v>
      </c>
      <c r="AJ434" s="417">
        <v>0</v>
      </c>
      <c r="AK434" s="417">
        <v>0</v>
      </c>
      <c r="AL434" s="378">
        <v>1.0996000000000001E-3</v>
      </c>
      <c r="AM434" s="378"/>
      <c r="AN434" s="70">
        <v>0</v>
      </c>
      <c r="AO434" s="70">
        <v>0</v>
      </c>
      <c r="AP434" s="70">
        <v>0</v>
      </c>
      <c r="AQ434" s="417">
        <v>0</v>
      </c>
      <c r="AR434" s="417">
        <v>0</v>
      </c>
    </row>
    <row r="435" spans="1:44">
      <c r="A435" s="439">
        <v>94501</v>
      </c>
      <c r="B435" s="440" t="s">
        <v>2019</v>
      </c>
      <c r="C435" s="437">
        <v>5.9830999999999999E-3</v>
      </c>
      <c r="D435" s="441"/>
      <c r="E435" s="438">
        <v>5047751.5399249997</v>
      </c>
      <c r="F435" s="442">
        <v>4313713.2101250002</v>
      </c>
      <c r="G435" s="442">
        <v>1351165.474525</v>
      </c>
      <c r="H435" s="442">
        <v>5314829.6117000002</v>
      </c>
      <c r="I435" s="442">
        <v>0</v>
      </c>
      <c r="J435" s="443">
        <v>1.9899999999999999E-5</v>
      </c>
      <c r="K435" s="443"/>
      <c r="L435" s="444">
        <v>964038.95369999995</v>
      </c>
      <c r="M435" s="444">
        <v>395285.46769999998</v>
      </c>
      <c r="N435" s="444">
        <v>-47523.763299999999</v>
      </c>
      <c r="O435" s="444">
        <v>0</v>
      </c>
      <c r="P435" s="417">
        <v>0</v>
      </c>
      <c r="Q435" s="378">
        <v>1.9899999999999999E-5</v>
      </c>
      <c r="R435" s="378"/>
      <c r="S435" s="70">
        <v>2343897.3742999998</v>
      </c>
      <c r="T435" s="105">
        <v>2193745.4967</v>
      </c>
      <c r="U435" s="70">
        <v>1303322.6054</v>
      </c>
      <c r="V435" s="70">
        <v>5314829.6117000002</v>
      </c>
      <c r="W435" s="417">
        <v>0</v>
      </c>
      <c r="X435" s="378">
        <v>1.9899999999999999E-5</v>
      </c>
      <c r="Z435" s="70">
        <v>1683913.5795</v>
      </c>
      <c r="AA435" s="70">
        <v>1683901.6132999999</v>
      </c>
      <c r="AB435" s="70">
        <v>0</v>
      </c>
      <c r="AC435" s="417">
        <v>0</v>
      </c>
      <c r="AD435" s="417">
        <v>0</v>
      </c>
      <c r="AE435" s="378">
        <v>1.9899999999999999E-5</v>
      </c>
      <c r="AF435" s="378"/>
      <c r="AG435" s="70">
        <v>113085.63242499996</v>
      </c>
      <c r="AH435" s="70">
        <v>95366.63242499996</v>
      </c>
      <c r="AI435" s="70">
        <v>95366.63242499996</v>
      </c>
      <c r="AJ435" s="417">
        <v>0</v>
      </c>
      <c r="AK435" s="417">
        <v>0</v>
      </c>
      <c r="AL435" s="378">
        <v>1.9899999999999999E-5</v>
      </c>
      <c r="AM435" s="378"/>
      <c r="AN435" s="70">
        <v>-57184</v>
      </c>
      <c r="AO435" s="70">
        <v>-54586</v>
      </c>
      <c r="AP435" s="70">
        <v>0</v>
      </c>
      <c r="AQ435" s="417">
        <v>0</v>
      </c>
      <c r="AR435" s="417">
        <v>0</v>
      </c>
    </row>
    <row r="436" spans="1:44">
      <c r="A436" s="439">
        <v>94511</v>
      </c>
      <c r="B436" s="440" t="s">
        <v>1146</v>
      </c>
      <c r="C436" s="437">
        <v>2.3241999999999998E-3</v>
      </c>
      <c r="D436" s="441"/>
      <c r="E436" s="438">
        <v>1974268.0163500002</v>
      </c>
      <c r="F436" s="442">
        <v>1771675.79275</v>
      </c>
      <c r="G436" s="442">
        <v>623225.51355000003</v>
      </c>
      <c r="H436" s="442">
        <v>2064603.1293999997</v>
      </c>
      <c r="I436" s="442">
        <v>0</v>
      </c>
      <c r="J436" s="443">
        <v>1.56E-4</v>
      </c>
      <c r="K436" s="443"/>
      <c r="L436" s="444">
        <v>374491.37339999998</v>
      </c>
      <c r="M436" s="444">
        <v>153552.92139999999</v>
      </c>
      <c r="N436" s="444">
        <v>-18461.120599999998</v>
      </c>
      <c r="O436" s="444">
        <v>0</v>
      </c>
      <c r="P436" s="417">
        <v>0</v>
      </c>
      <c r="Q436" s="378">
        <v>1.56E-4</v>
      </c>
      <c r="R436" s="378"/>
      <c r="S436" s="70">
        <v>910512.32259999996</v>
      </c>
      <c r="T436" s="105">
        <v>852184.19939999992</v>
      </c>
      <c r="U436" s="70">
        <v>506289.78279999993</v>
      </c>
      <c r="V436" s="70">
        <v>2064603.1293999997</v>
      </c>
      <c r="W436" s="417">
        <v>0</v>
      </c>
      <c r="X436" s="378">
        <v>1.56E-4</v>
      </c>
      <c r="Z436" s="70">
        <v>654134.46899999992</v>
      </c>
      <c r="AA436" s="70">
        <v>654129.82059999998</v>
      </c>
      <c r="AB436" s="70">
        <v>0</v>
      </c>
      <c r="AC436" s="417">
        <v>0</v>
      </c>
      <c r="AD436" s="417">
        <v>0</v>
      </c>
      <c r="AE436" s="378">
        <v>1.56E-4</v>
      </c>
      <c r="AF436" s="378"/>
      <c r="AG436" s="70">
        <v>135396.85135000019</v>
      </c>
      <c r="AH436" s="70">
        <v>135396.85135000019</v>
      </c>
      <c r="AI436" s="70">
        <v>135396.85135000019</v>
      </c>
      <c r="AJ436" s="417">
        <v>0</v>
      </c>
      <c r="AK436" s="417">
        <v>0</v>
      </c>
      <c r="AL436" s="378">
        <v>1.56E-4</v>
      </c>
      <c r="AM436" s="378"/>
      <c r="AN436" s="70">
        <v>-100267</v>
      </c>
      <c r="AO436" s="70">
        <v>-23588</v>
      </c>
      <c r="AP436" s="70">
        <v>0</v>
      </c>
      <c r="AQ436" s="417">
        <v>0</v>
      </c>
      <c r="AR436" s="417">
        <v>0</v>
      </c>
    </row>
    <row r="437" spans="1:44">
      <c r="A437" s="439">
        <v>94517</v>
      </c>
      <c r="B437" s="440" t="s">
        <v>1148</v>
      </c>
      <c r="C437" s="437">
        <v>8.3700000000000002E-5</v>
      </c>
      <c r="D437" s="441"/>
      <c r="E437" s="438">
        <v>99967.162824999992</v>
      </c>
      <c r="F437" s="442">
        <v>79791.938224999991</v>
      </c>
      <c r="G437" s="442">
        <v>31033.037024999994</v>
      </c>
      <c r="H437" s="442">
        <v>74351.295899999997</v>
      </c>
      <c r="I437" s="442">
        <v>0</v>
      </c>
      <c r="J437" s="443">
        <v>2.5899999999999999E-5</v>
      </c>
      <c r="K437" s="443"/>
      <c r="L437" s="444">
        <v>13486.329900000001</v>
      </c>
      <c r="M437" s="444">
        <v>5529.8078999999998</v>
      </c>
      <c r="N437" s="444">
        <v>-664.82910000000004</v>
      </c>
      <c r="O437" s="444">
        <v>0</v>
      </c>
      <c r="P437" s="417">
        <v>0</v>
      </c>
      <c r="Q437" s="378">
        <v>2.5899999999999999E-5</v>
      </c>
      <c r="R437" s="378"/>
      <c r="S437" s="70">
        <v>32789.7261</v>
      </c>
      <c r="T437" s="105">
        <v>30689.190900000001</v>
      </c>
      <c r="U437" s="70">
        <v>18232.7058</v>
      </c>
      <c r="V437" s="70">
        <v>74351.295899999997</v>
      </c>
      <c r="W437" s="417">
        <v>0</v>
      </c>
      <c r="X437" s="378">
        <v>2.5899999999999999E-5</v>
      </c>
      <c r="Z437" s="70">
        <v>23556.946500000002</v>
      </c>
      <c r="AA437" s="70">
        <v>23556.7791</v>
      </c>
      <c r="AB437" s="70">
        <v>0</v>
      </c>
      <c r="AC437" s="417">
        <v>0</v>
      </c>
      <c r="AD437" s="417">
        <v>0</v>
      </c>
      <c r="AE437" s="378">
        <v>2.5899999999999999E-5</v>
      </c>
      <c r="AF437" s="378"/>
      <c r="AG437" s="70">
        <v>30134.160324999993</v>
      </c>
      <c r="AH437" s="70">
        <v>20016.160324999993</v>
      </c>
      <c r="AI437" s="70">
        <v>13465.160324999993</v>
      </c>
      <c r="AJ437" s="417">
        <v>0</v>
      </c>
      <c r="AK437" s="417">
        <v>0</v>
      </c>
      <c r="AL437" s="378">
        <v>2.5899999999999999E-5</v>
      </c>
      <c r="AM437" s="378"/>
      <c r="AN437" s="70">
        <v>0</v>
      </c>
      <c r="AO437" s="70">
        <v>0</v>
      </c>
      <c r="AP437" s="70">
        <v>0</v>
      </c>
      <c r="AQ437" s="417">
        <v>0</v>
      </c>
      <c r="AR437" s="417">
        <v>0</v>
      </c>
    </row>
    <row r="438" spans="1:44">
      <c r="A438" s="439">
        <v>94521</v>
      </c>
      <c r="B438" s="440" t="s">
        <v>1149</v>
      </c>
      <c r="C438" s="437">
        <v>1.2640000000000001E-4</v>
      </c>
      <c r="D438" s="441"/>
      <c r="E438" s="438">
        <v>81039.607799999998</v>
      </c>
      <c r="F438" s="442">
        <v>74144.636600000013</v>
      </c>
      <c r="G438" s="442">
        <v>18792.150199999996</v>
      </c>
      <c r="H438" s="442">
        <v>112282.00480000001</v>
      </c>
      <c r="I438" s="442">
        <v>0</v>
      </c>
      <c r="J438" s="443">
        <v>7.5300000000000001E-5</v>
      </c>
      <c r="K438" s="443"/>
      <c r="L438" s="444">
        <v>20366.452800000003</v>
      </c>
      <c r="M438" s="444">
        <v>8350.8688000000002</v>
      </c>
      <c r="N438" s="444">
        <v>-1003.9952000000001</v>
      </c>
      <c r="O438" s="444">
        <v>0</v>
      </c>
      <c r="P438" s="417">
        <v>0</v>
      </c>
      <c r="Q438" s="378">
        <v>7.5300000000000001E-5</v>
      </c>
      <c r="R438" s="378"/>
      <c r="S438" s="70">
        <v>49517.5792</v>
      </c>
      <c r="T438" s="105">
        <v>46345.444800000005</v>
      </c>
      <c r="U438" s="70">
        <v>27534.217600000004</v>
      </c>
      <c r="V438" s="70">
        <v>112282.00480000001</v>
      </c>
      <c r="W438" s="417">
        <v>0</v>
      </c>
      <c r="X438" s="378">
        <v>7.5300000000000001E-5</v>
      </c>
      <c r="Z438" s="70">
        <v>35574.648000000001</v>
      </c>
      <c r="AA438" s="70">
        <v>35574.395200000006</v>
      </c>
      <c r="AB438" s="70">
        <v>0</v>
      </c>
      <c r="AC438" s="417">
        <v>0</v>
      </c>
      <c r="AD438" s="417">
        <v>0</v>
      </c>
      <c r="AE438" s="378">
        <v>7.5300000000000001E-5</v>
      </c>
      <c r="AF438" s="378"/>
      <c r="AG438" s="70">
        <v>0</v>
      </c>
      <c r="AH438" s="70">
        <v>0</v>
      </c>
      <c r="AI438" s="70">
        <v>0</v>
      </c>
      <c r="AJ438" s="417">
        <v>0</v>
      </c>
      <c r="AK438" s="417">
        <v>0</v>
      </c>
      <c r="AL438" s="378">
        <v>7.5300000000000001E-5</v>
      </c>
      <c r="AM438" s="378"/>
      <c r="AN438" s="70">
        <v>-24419.072200000006</v>
      </c>
      <c r="AO438" s="70">
        <v>-16126.072200000006</v>
      </c>
      <c r="AP438" s="70">
        <v>-7738.072200000006</v>
      </c>
      <c r="AQ438" s="417">
        <v>0</v>
      </c>
      <c r="AR438" s="417">
        <v>0</v>
      </c>
    </row>
    <row r="439" spans="1:44">
      <c r="A439" s="439">
        <v>94527</v>
      </c>
      <c r="B439" s="440" t="s">
        <v>1150</v>
      </c>
      <c r="C439" s="437">
        <v>7.5000000000000002E-6</v>
      </c>
      <c r="D439" s="441"/>
      <c r="E439" s="438">
        <v>6395.6496750000006</v>
      </c>
      <c r="F439" s="442">
        <v>5412.4646750000011</v>
      </c>
      <c r="G439" s="442">
        <v>1461.3946750000009</v>
      </c>
      <c r="H439" s="442">
        <v>6662.3024999999998</v>
      </c>
      <c r="I439" s="442">
        <v>0</v>
      </c>
      <c r="J439" s="443">
        <v>3.6440000000000002E-4</v>
      </c>
      <c r="K439" s="443"/>
      <c r="L439" s="444">
        <v>1208.4525000000001</v>
      </c>
      <c r="M439" s="444">
        <v>495.5025</v>
      </c>
      <c r="N439" s="444">
        <v>-59.572499999999998</v>
      </c>
      <c r="O439" s="444">
        <v>0</v>
      </c>
      <c r="P439" s="417">
        <v>0</v>
      </c>
      <c r="Q439" s="378">
        <v>3.6440000000000002E-4</v>
      </c>
      <c r="R439" s="378"/>
      <c r="S439" s="70">
        <v>2938.1475</v>
      </c>
      <c r="T439" s="105">
        <v>2749.9275000000002</v>
      </c>
      <c r="U439" s="70">
        <v>1633.7550000000001</v>
      </c>
      <c r="V439" s="70">
        <v>6662.3024999999998</v>
      </c>
      <c r="W439" s="417">
        <v>0</v>
      </c>
      <c r="X439" s="378">
        <v>3.6440000000000002E-4</v>
      </c>
      <c r="Z439" s="70">
        <v>2110.8375000000001</v>
      </c>
      <c r="AA439" s="70">
        <v>2110.8225000000002</v>
      </c>
      <c r="AB439" s="70">
        <v>0</v>
      </c>
      <c r="AC439" s="417">
        <v>0</v>
      </c>
      <c r="AD439" s="417">
        <v>0</v>
      </c>
      <c r="AE439" s="378">
        <v>3.6440000000000002E-4</v>
      </c>
      <c r="AF439" s="378"/>
      <c r="AG439" s="70">
        <v>251</v>
      </c>
      <c r="AH439" s="70">
        <v>169</v>
      </c>
      <c r="AI439" s="70">
        <v>0</v>
      </c>
      <c r="AJ439" s="417">
        <v>0</v>
      </c>
      <c r="AK439" s="417">
        <v>0</v>
      </c>
      <c r="AL439" s="378">
        <v>3.6440000000000002E-4</v>
      </c>
      <c r="AM439" s="378"/>
      <c r="AN439" s="70">
        <v>-112.7878249999992</v>
      </c>
      <c r="AO439" s="70">
        <v>-112.7878249999992</v>
      </c>
      <c r="AP439" s="70">
        <v>-112.7878249999992</v>
      </c>
      <c r="AQ439" s="417">
        <v>0</v>
      </c>
      <c r="AR439" s="417">
        <v>0</v>
      </c>
    </row>
    <row r="440" spans="1:44">
      <c r="A440" s="439">
        <v>94531</v>
      </c>
      <c r="B440" s="440" t="s">
        <v>1151</v>
      </c>
      <c r="C440" s="437">
        <v>2.1999999999999999E-5</v>
      </c>
      <c r="D440" s="441"/>
      <c r="E440" s="438">
        <v>26246.773699999998</v>
      </c>
      <c r="F440" s="442">
        <v>20389.297699999999</v>
      </c>
      <c r="G440" s="442">
        <v>7422.2257</v>
      </c>
      <c r="H440" s="442">
        <v>19542.754000000001</v>
      </c>
      <c r="I440" s="442">
        <v>0</v>
      </c>
      <c r="J440" s="443">
        <v>1.5099999999999999E-5</v>
      </c>
      <c r="K440" s="443"/>
      <c r="L440" s="444">
        <v>3544.7939999999999</v>
      </c>
      <c r="M440" s="444">
        <v>1453.4739999999999</v>
      </c>
      <c r="N440" s="444">
        <v>-174.74600000000001</v>
      </c>
      <c r="O440" s="444">
        <v>0</v>
      </c>
      <c r="P440" s="417">
        <v>0</v>
      </c>
      <c r="Q440" s="378">
        <v>1.5099999999999999E-5</v>
      </c>
      <c r="R440" s="378"/>
      <c r="S440" s="70">
        <v>8618.5659999999989</v>
      </c>
      <c r="T440" s="105">
        <v>8066.4539999999997</v>
      </c>
      <c r="U440" s="70">
        <v>4792.348</v>
      </c>
      <c r="V440" s="70">
        <v>19542.754000000001</v>
      </c>
      <c r="W440" s="417">
        <v>0</v>
      </c>
      <c r="X440" s="378">
        <v>1.5099999999999999E-5</v>
      </c>
      <c r="Z440" s="70">
        <v>6191.79</v>
      </c>
      <c r="AA440" s="70">
        <v>6191.7460000000001</v>
      </c>
      <c r="AB440" s="70">
        <v>0</v>
      </c>
      <c r="AC440" s="417">
        <v>0</v>
      </c>
      <c r="AD440" s="417">
        <v>0</v>
      </c>
      <c r="AE440" s="378">
        <v>1.5099999999999999E-5</v>
      </c>
      <c r="AF440" s="378"/>
      <c r="AG440" s="70">
        <v>7891.6237000000001</v>
      </c>
      <c r="AH440" s="70">
        <v>4677.6237000000001</v>
      </c>
      <c r="AI440" s="70">
        <v>2804.6237000000001</v>
      </c>
      <c r="AJ440" s="417">
        <v>0</v>
      </c>
      <c r="AK440" s="417">
        <v>0</v>
      </c>
      <c r="AL440" s="378">
        <v>1.5099999999999999E-5</v>
      </c>
      <c r="AM440" s="378"/>
      <c r="AN440" s="70">
        <v>0</v>
      </c>
      <c r="AO440" s="70">
        <v>0</v>
      </c>
      <c r="AP440" s="70">
        <v>0</v>
      </c>
      <c r="AQ440" s="417">
        <v>0</v>
      </c>
      <c r="AR440" s="417">
        <v>0</v>
      </c>
    </row>
    <row r="441" spans="1:44">
      <c r="A441" s="439">
        <v>94532</v>
      </c>
      <c r="B441" s="440" t="s">
        <v>1152</v>
      </c>
      <c r="C441" s="437">
        <v>1.133E-4</v>
      </c>
      <c r="D441" s="441"/>
      <c r="E441" s="438">
        <v>99041.016474999997</v>
      </c>
      <c r="F441" s="442">
        <v>72878.115074999994</v>
      </c>
      <c r="G441" s="442">
        <v>28834.644274999991</v>
      </c>
      <c r="H441" s="442">
        <v>100645.18310000001</v>
      </c>
      <c r="I441" s="442">
        <v>0</v>
      </c>
      <c r="J441" s="443">
        <v>5.8125E-3</v>
      </c>
      <c r="K441" s="443"/>
      <c r="L441" s="444">
        <v>18255.6891</v>
      </c>
      <c r="M441" s="444">
        <v>7485.3910999999998</v>
      </c>
      <c r="N441" s="444">
        <v>-899.94190000000003</v>
      </c>
      <c r="O441" s="444">
        <v>0</v>
      </c>
      <c r="P441" s="417">
        <v>0</v>
      </c>
      <c r="Q441" s="378">
        <v>5.8125E-3</v>
      </c>
      <c r="R441" s="378"/>
      <c r="S441" s="70">
        <v>44385.6149</v>
      </c>
      <c r="T441" s="105">
        <v>41542.238100000002</v>
      </c>
      <c r="U441" s="70">
        <v>24680.592199999999</v>
      </c>
      <c r="V441" s="70">
        <v>100645.18310000001</v>
      </c>
      <c r="W441" s="417">
        <v>0</v>
      </c>
      <c r="X441" s="378">
        <v>5.8125E-3</v>
      </c>
      <c r="Z441" s="70">
        <v>31887.718499999999</v>
      </c>
      <c r="AA441" s="70">
        <v>31887.491900000001</v>
      </c>
      <c r="AB441" s="70">
        <v>0</v>
      </c>
      <c r="AC441" s="417">
        <v>0</v>
      </c>
      <c r="AD441" s="417">
        <v>0</v>
      </c>
      <c r="AE441" s="378">
        <v>5.8125E-3</v>
      </c>
      <c r="AF441" s="378"/>
      <c r="AG441" s="70">
        <v>17602.993974999994</v>
      </c>
      <c r="AH441" s="70">
        <v>5053.993974999994</v>
      </c>
      <c r="AI441" s="70">
        <v>5053.993974999994</v>
      </c>
      <c r="AJ441" s="417">
        <v>0</v>
      </c>
      <c r="AK441" s="417">
        <v>0</v>
      </c>
      <c r="AL441" s="378">
        <v>5.8125E-3</v>
      </c>
      <c r="AM441" s="378"/>
      <c r="AN441" s="70">
        <v>-13091</v>
      </c>
      <c r="AO441" s="70">
        <v>-13091</v>
      </c>
      <c r="AP441" s="70">
        <v>0</v>
      </c>
      <c r="AQ441" s="417">
        <v>0</v>
      </c>
      <c r="AR441" s="417">
        <v>0</v>
      </c>
    </row>
    <row r="442" spans="1:44">
      <c r="A442" s="439">
        <v>94541</v>
      </c>
      <c r="B442" s="440" t="s">
        <v>1153</v>
      </c>
      <c r="C442" s="437">
        <v>2.7799999999999998E-4</v>
      </c>
      <c r="D442" s="441"/>
      <c r="E442" s="438">
        <v>225381.99054999993</v>
      </c>
      <c r="F442" s="442">
        <v>193723.06654999993</v>
      </c>
      <c r="G442" s="442">
        <v>56287.338549999957</v>
      </c>
      <c r="H442" s="442">
        <v>246949.34599999999</v>
      </c>
      <c r="I442" s="442">
        <v>0</v>
      </c>
      <c r="J442" s="443">
        <v>1.9949999999999998E-3</v>
      </c>
      <c r="K442" s="443"/>
      <c r="L442" s="444">
        <v>44793.305999999997</v>
      </c>
      <c r="M442" s="444">
        <v>18366.626</v>
      </c>
      <c r="N442" s="444">
        <v>-2208.154</v>
      </c>
      <c r="O442" s="444">
        <v>0</v>
      </c>
      <c r="P442" s="417">
        <v>0</v>
      </c>
      <c r="Q442" s="378">
        <v>1.9949999999999998E-3</v>
      </c>
      <c r="R442" s="378"/>
      <c r="S442" s="70">
        <v>108907.33399999999</v>
      </c>
      <c r="T442" s="105">
        <v>101930.64599999999</v>
      </c>
      <c r="U442" s="70">
        <v>60557.851999999999</v>
      </c>
      <c r="V442" s="70">
        <v>246949.34599999999</v>
      </c>
      <c r="W442" s="417">
        <v>0</v>
      </c>
      <c r="X442" s="378">
        <v>1.9949999999999998E-3</v>
      </c>
      <c r="Z442" s="70">
        <v>78241.709999999992</v>
      </c>
      <c r="AA442" s="70">
        <v>78241.153999999995</v>
      </c>
      <c r="AB442" s="70">
        <v>0</v>
      </c>
      <c r="AC442" s="417">
        <v>0</v>
      </c>
      <c r="AD442" s="417">
        <v>0</v>
      </c>
      <c r="AE442" s="378">
        <v>1.9949999999999998E-3</v>
      </c>
      <c r="AF442" s="378"/>
      <c r="AG442" s="70">
        <v>640</v>
      </c>
      <c r="AH442" s="70">
        <v>0</v>
      </c>
      <c r="AI442" s="70">
        <v>0</v>
      </c>
      <c r="AJ442" s="417">
        <v>0</v>
      </c>
      <c r="AK442" s="417">
        <v>0</v>
      </c>
      <c r="AL442" s="378">
        <v>1.9949999999999998E-3</v>
      </c>
      <c r="AM442" s="378"/>
      <c r="AN442" s="70">
        <v>-7200.3594500000399</v>
      </c>
      <c r="AO442" s="70">
        <v>-4815.3594500000399</v>
      </c>
      <c r="AP442" s="70">
        <v>-2062.3594500000399</v>
      </c>
      <c r="AQ442" s="417">
        <v>0</v>
      </c>
      <c r="AR442" s="417">
        <v>0</v>
      </c>
    </row>
    <row r="443" spans="1:44">
      <c r="A443" s="439">
        <v>94547</v>
      </c>
      <c r="B443" s="440" t="s">
        <v>1154</v>
      </c>
      <c r="C443" s="437">
        <v>1.73E-5</v>
      </c>
      <c r="D443" s="441"/>
      <c r="E443" s="438">
        <v>24092.949025000002</v>
      </c>
      <c r="F443" s="442">
        <v>18546.215625000001</v>
      </c>
      <c r="G443" s="442">
        <v>5260.2408249999989</v>
      </c>
      <c r="H443" s="442">
        <v>15367.7111</v>
      </c>
      <c r="I443" s="442">
        <v>0</v>
      </c>
      <c r="J443" s="448">
        <v>0</v>
      </c>
      <c r="K443" s="448">
        <v>0</v>
      </c>
      <c r="L443" s="444">
        <v>2787.4971</v>
      </c>
      <c r="M443" s="444">
        <v>1142.9591</v>
      </c>
      <c r="N443" s="444">
        <v>-137.41390000000001</v>
      </c>
      <c r="O443" s="444">
        <v>0</v>
      </c>
      <c r="P443" s="417">
        <v>0</v>
      </c>
      <c r="Q443" s="417">
        <v>0</v>
      </c>
      <c r="R443" s="417">
        <v>0</v>
      </c>
      <c r="S443" s="70">
        <v>6777.3269</v>
      </c>
      <c r="T443" s="105">
        <v>6343.1661000000004</v>
      </c>
      <c r="U443" s="70">
        <v>3768.5282000000002</v>
      </c>
      <c r="V443" s="70">
        <v>15367.7111</v>
      </c>
      <c r="W443" s="417">
        <v>0</v>
      </c>
      <c r="X443" s="417">
        <v>0</v>
      </c>
      <c r="Y443" s="417">
        <v>0</v>
      </c>
      <c r="Z443" s="70">
        <v>4868.9984999999997</v>
      </c>
      <c r="AA443" s="70">
        <v>4868.9638999999997</v>
      </c>
      <c r="AB443" s="70">
        <v>0</v>
      </c>
      <c r="AC443" s="417">
        <v>0</v>
      </c>
      <c r="AD443" s="417">
        <v>0</v>
      </c>
      <c r="AE443" s="417">
        <v>0</v>
      </c>
      <c r="AF443" s="417">
        <v>0</v>
      </c>
      <c r="AG443" s="70">
        <v>9659.1265249999997</v>
      </c>
      <c r="AH443" s="70">
        <v>6191.1265249999997</v>
      </c>
      <c r="AI443" s="70">
        <v>1629.1265249999992</v>
      </c>
      <c r="AJ443" s="417">
        <v>0</v>
      </c>
      <c r="AK443" s="417">
        <v>0</v>
      </c>
      <c r="AL443" s="417">
        <v>0</v>
      </c>
      <c r="AM443" s="417">
        <v>0</v>
      </c>
      <c r="AN443" s="70">
        <v>0</v>
      </c>
      <c r="AO443" s="70">
        <v>0</v>
      </c>
      <c r="AP443" s="70">
        <v>0</v>
      </c>
      <c r="AQ443" s="417">
        <v>0</v>
      </c>
      <c r="AR443" s="417">
        <v>0</v>
      </c>
    </row>
    <row r="444" spans="1:44">
      <c r="A444" s="439">
        <v>94551</v>
      </c>
      <c r="B444" s="440" t="s">
        <v>1155</v>
      </c>
      <c r="C444" s="437">
        <v>6.4700000000000001E-5</v>
      </c>
      <c r="D444" s="441"/>
      <c r="E444" s="438">
        <v>62425.113574999996</v>
      </c>
      <c r="F444" s="442">
        <v>51676.890974999995</v>
      </c>
      <c r="G444" s="442">
        <v>21984.233774999993</v>
      </c>
      <c r="H444" s="442">
        <v>57473.462899999999</v>
      </c>
      <c r="I444" s="442">
        <v>0</v>
      </c>
      <c r="J444" s="443">
        <v>6.3800000000000006E-5</v>
      </c>
      <c r="K444" s="443"/>
      <c r="L444" s="444">
        <v>10424.9169</v>
      </c>
      <c r="M444" s="444">
        <v>4274.5348999999997</v>
      </c>
      <c r="N444" s="444">
        <v>-513.91210000000001</v>
      </c>
      <c r="O444" s="444">
        <v>0</v>
      </c>
      <c r="P444" s="417">
        <v>0</v>
      </c>
      <c r="Q444" s="378">
        <v>6.3800000000000006E-5</v>
      </c>
      <c r="R444" s="378"/>
      <c r="S444" s="70">
        <v>25346.419099999999</v>
      </c>
      <c r="T444" s="105">
        <v>23722.707900000001</v>
      </c>
      <c r="U444" s="70">
        <v>14093.8598</v>
      </c>
      <c r="V444" s="70">
        <v>57473.462899999999</v>
      </c>
      <c r="W444" s="417">
        <v>0</v>
      </c>
      <c r="X444" s="378">
        <v>6.3800000000000006E-5</v>
      </c>
      <c r="Z444" s="70">
        <v>18209.4915</v>
      </c>
      <c r="AA444" s="70">
        <v>18209.362099999998</v>
      </c>
      <c r="AB444" s="70">
        <v>0</v>
      </c>
      <c r="AC444" s="417">
        <v>0</v>
      </c>
      <c r="AD444" s="417">
        <v>0</v>
      </c>
      <c r="AE444" s="378">
        <v>6.3800000000000006E-5</v>
      </c>
      <c r="AF444" s="378"/>
      <c r="AG444" s="70">
        <v>11378.286074999995</v>
      </c>
      <c r="AH444" s="70">
        <v>8404.2860749999945</v>
      </c>
      <c r="AI444" s="70">
        <v>8404.2860749999945</v>
      </c>
      <c r="AJ444" s="417">
        <v>0</v>
      </c>
      <c r="AK444" s="417">
        <v>0</v>
      </c>
      <c r="AL444" s="378">
        <v>6.3800000000000006E-5</v>
      </c>
      <c r="AM444" s="378"/>
      <c r="AN444" s="70">
        <v>-2934</v>
      </c>
      <c r="AO444" s="70">
        <v>-2934</v>
      </c>
      <c r="AP444" s="70">
        <v>0</v>
      </c>
      <c r="AQ444" s="417">
        <v>0</v>
      </c>
      <c r="AR444" s="417">
        <v>0</v>
      </c>
    </row>
    <row r="445" spans="1:44">
      <c r="A445" s="439">
        <v>94601</v>
      </c>
      <c r="B445" s="440" t="s">
        <v>1156</v>
      </c>
      <c r="C445" s="437">
        <v>9.1759999999999997E-4</v>
      </c>
      <c r="D445" s="441"/>
      <c r="E445" s="438">
        <v>759416.6227999999</v>
      </c>
      <c r="F445" s="442">
        <v>663926.64199999988</v>
      </c>
      <c r="G445" s="442">
        <v>173267.9843999999</v>
      </c>
      <c r="H445" s="442">
        <v>815110.50319999992</v>
      </c>
      <c r="I445" s="442">
        <v>0</v>
      </c>
      <c r="J445" s="443">
        <v>1.3880000000000001E-4</v>
      </c>
      <c r="K445" s="443"/>
      <c r="L445" s="444">
        <v>147850.13519999999</v>
      </c>
      <c r="M445" s="444">
        <v>60623.0792</v>
      </c>
      <c r="N445" s="444">
        <v>-7288.4967999999999</v>
      </c>
      <c r="O445" s="444">
        <v>0</v>
      </c>
      <c r="P445" s="417">
        <v>0</v>
      </c>
      <c r="Q445" s="378">
        <v>1.3880000000000001E-4</v>
      </c>
      <c r="R445" s="378"/>
      <c r="S445" s="70">
        <v>359472.5528</v>
      </c>
      <c r="T445" s="105">
        <v>336444.4632</v>
      </c>
      <c r="U445" s="70">
        <v>199884.47839999999</v>
      </c>
      <c r="V445" s="70">
        <v>815110.50319999992</v>
      </c>
      <c r="W445" s="417">
        <v>0</v>
      </c>
      <c r="X445" s="378">
        <v>1.3880000000000001E-4</v>
      </c>
      <c r="Z445" s="70">
        <v>258253.932</v>
      </c>
      <c r="AA445" s="70">
        <v>258252.0968</v>
      </c>
      <c r="AB445" s="70">
        <v>0</v>
      </c>
      <c r="AC445" s="417">
        <v>0</v>
      </c>
      <c r="AD445" s="417">
        <v>0</v>
      </c>
      <c r="AE445" s="378">
        <v>1.3880000000000001E-4</v>
      </c>
      <c r="AF445" s="378"/>
      <c r="AG445" s="70">
        <v>39160</v>
      </c>
      <c r="AH445" s="70">
        <v>27935</v>
      </c>
      <c r="AI445" s="70">
        <v>0</v>
      </c>
      <c r="AJ445" s="417">
        <v>0</v>
      </c>
      <c r="AK445" s="417">
        <v>0</v>
      </c>
      <c r="AL445" s="378">
        <v>1.3880000000000001E-4</v>
      </c>
      <c r="AM445" s="378"/>
      <c r="AN445" s="70">
        <v>-45319.9972000001</v>
      </c>
      <c r="AO445" s="70">
        <v>-19327.9972000001</v>
      </c>
      <c r="AP445" s="70">
        <v>-19327.9972000001</v>
      </c>
      <c r="AQ445" s="417">
        <v>0</v>
      </c>
      <c r="AR445" s="417">
        <v>0</v>
      </c>
    </row>
    <row r="446" spans="1:44">
      <c r="A446" s="439">
        <v>94604</v>
      </c>
      <c r="B446" s="440" t="s">
        <v>1157</v>
      </c>
      <c r="C446" s="437">
        <v>2.4000000000000001E-5</v>
      </c>
      <c r="D446" s="441"/>
      <c r="E446" s="438">
        <v>22836.063750000001</v>
      </c>
      <c r="F446" s="442">
        <v>20870.27175</v>
      </c>
      <c r="G446" s="442">
        <v>4607.647750000001</v>
      </c>
      <c r="H446" s="442">
        <v>21319.368000000002</v>
      </c>
      <c r="I446" s="442">
        <v>0</v>
      </c>
      <c r="J446" s="443">
        <v>7.4000000000000003E-6</v>
      </c>
      <c r="K446" s="443"/>
      <c r="L446" s="444">
        <v>3867.0480000000002</v>
      </c>
      <c r="M446" s="444">
        <v>1585.6079999999999</v>
      </c>
      <c r="N446" s="444">
        <v>-190.63200000000001</v>
      </c>
      <c r="O446" s="444">
        <v>0</v>
      </c>
      <c r="P446" s="417">
        <v>0</v>
      </c>
      <c r="Q446" s="378">
        <v>7.4000000000000003E-6</v>
      </c>
      <c r="R446" s="378"/>
      <c r="S446" s="70">
        <v>9402.0720000000001</v>
      </c>
      <c r="T446" s="105">
        <v>8799.768</v>
      </c>
      <c r="U446" s="70">
        <v>5228.0160000000005</v>
      </c>
      <c r="V446" s="70">
        <v>21319.368000000002</v>
      </c>
      <c r="W446" s="417">
        <v>0</v>
      </c>
      <c r="X446" s="378">
        <v>7.4000000000000003E-6</v>
      </c>
      <c r="Z446" s="70">
        <v>6754.68</v>
      </c>
      <c r="AA446" s="70">
        <v>6754.6320000000005</v>
      </c>
      <c r="AB446" s="70">
        <v>0</v>
      </c>
      <c r="AC446" s="417">
        <v>0</v>
      </c>
      <c r="AD446" s="417">
        <v>0</v>
      </c>
      <c r="AE446" s="378">
        <v>7.4000000000000003E-6</v>
      </c>
      <c r="AF446" s="378"/>
      <c r="AG446" s="70">
        <v>4160</v>
      </c>
      <c r="AH446" s="70">
        <v>4160</v>
      </c>
      <c r="AI446" s="70">
        <v>0</v>
      </c>
      <c r="AJ446" s="417">
        <v>0</v>
      </c>
      <c r="AK446" s="417">
        <v>0</v>
      </c>
      <c r="AL446" s="378">
        <v>7.4000000000000003E-6</v>
      </c>
      <c r="AM446" s="378"/>
      <c r="AN446" s="70">
        <v>-1347.7362499999999</v>
      </c>
      <c r="AO446" s="70">
        <v>-429.73624999999993</v>
      </c>
      <c r="AP446" s="70">
        <v>-429.73624999999993</v>
      </c>
      <c r="AQ446" s="417">
        <v>0</v>
      </c>
      <c r="AR446" s="417">
        <v>0</v>
      </c>
    </row>
    <row r="447" spans="1:44">
      <c r="A447" s="439">
        <v>94606</v>
      </c>
      <c r="B447" s="440" t="s">
        <v>1158</v>
      </c>
      <c r="C447" s="437">
        <v>0</v>
      </c>
      <c r="D447" s="441"/>
      <c r="E447" s="438">
        <v>-40452</v>
      </c>
      <c r="F447" s="442">
        <v>0</v>
      </c>
      <c r="G447" s="442">
        <v>0</v>
      </c>
      <c r="H447" s="442">
        <v>0</v>
      </c>
      <c r="I447" s="442">
        <v>0</v>
      </c>
      <c r="J447" s="443">
        <v>2.16E-5</v>
      </c>
      <c r="K447" s="443"/>
      <c r="L447" s="444">
        <v>0</v>
      </c>
      <c r="M447" s="444">
        <v>0</v>
      </c>
      <c r="N447" s="444">
        <v>0</v>
      </c>
      <c r="O447" s="444">
        <v>0</v>
      </c>
      <c r="P447" s="417">
        <v>0</v>
      </c>
      <c r="Q447" s="378">
        <v>2.16E-5</v>
      </c>
      <c r="R447" s="378"/>
      <c r="S447" s="70">
        <v>0</v>
      </c>
      <c r="T447" s="105">
        <v>0</v>
      </c>
      <c r="U447" s="70">
        <v>0</v>
      </c>
      <c r="V447" s="70">
        <v>0</v>
      </c>
      <c r="W447" s="417">
        <v>0</v>
      </c>
      <c r="X447" s="378">
        <v>2.16E-5</v>
      </c>
      <c r="Z447" s="70">
        <v>0</v>
      </c>
      <c r="AA447" s="70">
        <v>0</v>
      </c>
      <c r="AB447" s="70">
        <v>0</v>
      </c>
      <c r="AC447" s="417">
        <v>0</v>
      </c>
      <c r="AD447" s="417">
        <v>0</v>
      </c>
      <c r="AE447" s="378">
        <v>2.16E-5</v>
      </c>
      <c r="AF447" s="378"/>
      <c r="AG447" s="70">
        <v>0</v>
      </c>
      <c r="AH447" s="70">
        <v>0</v>
      </c>
      <c r="AI447" s="70">
        <v>0</v>
      </c>
      <c r="AJ447" s="417">
        <v>0</v>
      </c>
      <c r="AK447" s="417">
        <v>0</v>
      </c>
      <c r="AL447" s="378">
        <v>2.16E-5</v>
      </c>
      <c r="AM447" s="378"/>
      <c r="AN447" s="70">
        <v>-40452</v>
      </c>
      <c r="AO447" s="70">
        <v>0</v>
      </c>
      <c r="AP447" s="70">
        <v>0</v>
      </c>
      <c r="AQ447" s="417">
        <v>0</v>
      </c>
      <c r="AR447" s="417">
        <v>0</v>
      </c>
    </row>
    <row r="448" spans="1:44">
      <c r="A448" s="439">
        <v>94611</v>
      </c>
      <c r="B448" s="440" t="s">
        <v>1159</v>
      </c>
      <c r="C448" s="437">
        <v>3.1839999999999999E-4</v>
      </c>
      <c r="D448" s="441"/>
      <c r="E448" s="438">
        <v>268625.42725000001</v>
      </c>
      <c r="F448" s="442">
        <v>242379.12004999997</v>
      </c>
      <c r="G448" s="442">
        <v>85090.641650000005</v>
      </c>
      <c r="H448" s="442">
        <v>282836.94880000001</v>
      </c>
      <c r="I448" s="442">
        <v>0</v>
      </c>
      <c r="J448" s="443">
        <v>1.1010000000000001E-4</v>
      </c>
      <c r="K448" s="443"/>
      <c r="L448" s="444">
        <v>51302.836799999997</v>
      </c>
      <c r="M448" s="444">
        <v>21035.732799999998</v>
      </c>
      <c r="N448" s="444">
        <v>-2529.0511999999999</v>
      </c>
      <c r="O448" s="444">
        <v>0</v>
      </c>
      <c r="P448" s="417">
        <v>0</v>
      </c>
      <c r="Q448" s="378">
        <v>1.1010000000000001E-4</v>
      </c>
      <c r="R448" s="378"/>
      <c r="S448" s="70">
        <v>124734.15519999999</v>
      </c>
      <c r="T448" s="105">
        <v>116743.5888</v>
      </c>
      <c r="U448" s="70">
        <v>69358.345600000001</v>
      </c>
      <c r="V448" s="70">
        <v>282836.94880000001</v>
      </c>
      <c r="W448" s="417">
        <v>0</v>
      </c>
      <c r="X448" s="378">
        <v>1.1010000000000001E-4</v>
      </c>
      <c r="Z448" s="70">
        <v>89612.088000000003</v>
      </c>
      <c r="AA448" s="70">
        <v>89611.451199999996</v>
      </c>
      <c r="AB448" s="70">
        <v>0</v>
      </c>
      <c r="AC448" s="417">
        <v>0</v>
      </c>
      <c r="AD448" s="417">
        <v>0</v>
      </c>
      <c r="AE448" s="378">
        <v>1.1010000000000001E-4</v>
      </c>
      <c r="AF448" s="378"/>
      <c r="AG448" s="70">
        <v>18261.347250000006</v>
      </c>
      <c r="AH448" s="70">
        <v>18261.347250000006</v>
      </c>
      <c r="AI448" s="70">
        <v>18261.347250000006</v>
      </c>
      <c r="AJ448" s="417">
        <v>0</v>
      </c>
      <c r="AK448" s="417">
        <v>0</v>
      </c>
      <c r="AL448" s="378">
        <v>1.1010000000000001E-4</v>
      </c>
      <c r="AM448" s="378"/>
      <c r="AN448" s="70">
        <v>-15285</v>
      </c>
      <c r="AO448" s="70">
        <v>-3273</v>
      </c>
      <c r="AP448" s="70">
        <v>0</v>
      </c>
      <c r="AQ448" s="417">
        <v>0</v>
      </c>
      <c r="AR448" s="417">
        <v>0</v>
      </c>
    </row>
    <row r="449" spans="1:44">
      <c r="A449" s="439">
        <v>94621</v>
      </c>
      <c r="B449" s="440" t="s">
        <v>1160</v>
      </c>
      <c r="C449" s="437">
        <v>1.05E-4</v>
      </c>
      <c r="D449" s="441"/>
      <c r="E449" s="438">
        <v>83726.995150000002</v>
      </c>
      <c r="F449" s="442">
        <v>73059.405150000006</v>
      </c>
      <c r="G449" s="442">
        <v>19754.425149999995</v>
      </c>
      <c r="H449" s="442">
        <v>93272.235000000001</v>
      </c>
      <c r="I449" s="442">
        <v>0</v>
      </c>
      <c r="J449" s="443">
        <v>2.7490000000000001E-4</v>
      </c>
      <c r="K449" s="443"/>
      <c r="L449" s="444">
        <v>16918.334999999999</v>
      </c>
      <c r="M449" s="444">
        <v>6937.0349999999999</v>
      </c>
      <c r="N449" s="444">
        <v>-834.01499999999999</v>
      </c>
      <c r="O449" s="444">
        <v>0</v>
      </c>
      <c r="P449" s="417">
        <v>0</v>
      </c>
      <c r="Q449" s="378">
        <v>2.7490000000000001E-4</v>
      </c>
      <c r="R449" s="378"/>
      <c r="S449" s="70">
        <v>41134.065000000002</v>
      </c>
      <c r="T449" s="105">
        <v>38498.985000000001</v>
      </c>
      <c r="U449" s="70">
        <v>22872.57</v>
      </c>
      <c r="V449" s="70">
        <v>93272.235000000001</v>
      </c>
      <c r="W449" s="417">
        <v>0</v>
      </c>
      <c r="X449" s="378">
        <v>2.7490000000000001E-4</v>
      </c>
      <c r="Z449" s="70">
        <v>29551.725000000002</v>
      </c>
      <c r="AA449" s="70">
        <v>29551.514999999999</v>
      </c>
      <c r="AB449" s="70">
        <v>0</v>
      </c>
      <c r="AC449" s="417">
        <v>0</v>
      </c>
      <c r="AD449" s="417">
        <v>0</v>
      </c>
      <c r="AE449" s="378">
        <v>2.7490000000000001E-4</v>
      </c>
      <c r="AF449" s="378"/>
      <c r="AG449" s="70">
        <v>6876</v>
      </c>
      <c r="AH449" s="70">
        <v>356</v>
      </c>
      <c r="AI449" s="70">
        <v>0</v>
      </c>
      <c r="AJ449" s="417">
        <v>0</v>
      </c>
      <c r="AK449" s="417">
        <v>0</v>
      </c>
      <c r="AL449" s="378">
        <v>2.7490000000000001E-4</v>
      </c>
      <c r="AM449" s="378"/>
      <c r="AN449" s="70">
        <v>-10753.129850000005</v>
      </c>
      <c r="AO449" s="70">
        <v>-2284.1298500000048</v>
      </c>
      <c r="AP449" s="70">
        <v>-2284.1298500000048</v>
      </c>
      <c r="AQ449" s="417">
        <v>0</v>
      </c>
      <c r="AR449" s="417">
        <v>0</v>
      </c>
    </row>
    <row r="450" spans="1:44">
      <c r="A450" s="439">
        <v>94631</v>
      </c>
      <c r="B450" s="440" t="s">
        <v>1161</v>
      </c>
      <c r="C450" s="437">
        <v>3.2400000000000001E-5</v>
      </c>
      <c r="D450" s="441"/>
      <c r="E450" s="438">
        <v>21858.719100000002</v>
      </c>
      <c r="F450" s="442">
        <v>18489.599900000001</v>
      </c>
      <c r="G450" s="442">
        <v>3484.0574999999972</v>
      </c>
      <c r="H450" s="442">
        <v>28781.146800000002</v>
      </c>
      <c r="I450" s="442">
        <v>0</v>
      </c>
      <c r="J450" s="443">
        <v>1.7E-5</v>
      </c>
      <c r="K450" s="443"/>
      <c r="L450" s="444">
        <v>5220.5147999999999</v>
      </c>
      <c r="M450" s="444">
        <v>2140.5708</v>
      </c>
      <c r="N450" s="444">
        <v>-257.35320000000002</v>
      </c>
      <c r="O450" s="444">
        <v>0</v>
      </c>
      <c r="P450" s="417">
        <v>0</v>
      </c>
      <c r="Q450" s="378">
        <v>1.7E-5</v>
      </c>
      <c r="R450" s="378"/>
      <c r="S450" s="70">
        <v>12692.797200000001</v>
      </c>
      <c r="T450" s="105">
        <v>11879.686800000001</v>
      </c>
      <c r="U450" s="70">
        <v>7057.8216000000002</v>
      </c>
      <c r="V450" s="70">
        <v>28781.146800000002</v>
      </c>
      <c r="W450" s="417">
        <v>0</v>
      </c>
      <c r="X450" s="378">
        <v>1.7E-5</v>
      </c>
      <c r="Z450" s="70">
        <v>9118.8180000000011</v>
      </c>
      <c r="AA450" s="70">
        <v>9118.753200000001</v>
      </c>
      <c r="AB450" s="70">
        <v>0</v>
      </c>
      <c r="AC450" s="417">
        <v>0</v>
      </c>
      <c r="AD450" s="417">
        <v>0</v>
      </c>
      <c r="AE450" s="378">
        <v>1.7E-5</v>
      </c>
      <c r="AF450" s="378"/>
      <c r="AG450" s="70">
        <v>0</v>
      </c>
      <c r="AH450" s="70">
        <v>0</v>
      </c>
      <c r="AI450" s="70">
        <v>0</v>
      </c>
      <c r="AJ450" s="417">
        <v>0</v>
      </c>
      <c r="AK450" s="417">
        <v>0</v>
      </c>
      <c r="AL450" s="378">
        <v>1.7E-5</v>
      </c>
      <c r="AM450" s="378"/>
      <c r="AN450" s="70">
        <v>-5173.4109000000026</v>
      </c>
      <c r="AO450" s="70">
        <v>-4649.4109000000026</v>
      </c>
      <c r="AP450" s="70">
        <v>-3316.4109000000026</v>
      </c>
      <c r="AQ450" s="417">
        <v>0</v>
      </c>
      <c r="AR450" s="417">
        <v>0</v>
      </c>
    </row>
    <row r="451" spans="1:44">
      <c r="A451" s="439">
        <v>94641</v>
      </c>
      <c r="B451" s="440" t="s">
        <v>1162</v>
      </c>
      <c r="C451" s="437">
        <v>2.2799999999999999E-5</v>
      </c>
      <c r="D451" s="441"/>
      <c r="E451" s="438">
        <v>27825.18665</v>
      </c>
      <c r="F451" s="442">
        <v>21033.58425</v>
      </c>
      <c r="G451" s="442">
        <v>8852.0914499999981</v>
      </c>
      <c r="H451" s="442">
        <v>20253.399599999997</v>
      </c>
      <c r="I451" s="442">
        <v>0</v>
      </c>
      <c r="J451" s="443">
        <v>5.0800000000000002E-5</v>
      </c>
      <c r="K451" s="443"/>
      <c r="L451" s="444">
        <v>3673.6955999999996</v>
      </c>
      <c r="M451" s="444">
        <v>1506.3275999999998</v>
      </c>
      <c r="N451" s="444">
        <v>-181.10039999999998</v>
      </c>
      <c r="O451" s="444">
        <v>0</v>
      </c>
      <c r="P451" s="417">
        <v>0</v>
      </c>
      <c r="Q451" s="378">
        <v>5.0800000000000002E-5</v>
      </c>
      <c r="R451" s="378"/>
      <c r="S451" s="70">
        <v>8931.9683999999997</v>
      </c>
      <c r="T451" s="105">
        <v>8359.7795999999998</v>
      </c>
      <c r="U451" s="70">
        <v>4966.6151999999993</v>
      </c>
      <c r="V451" s="70">
        <v>20253.399599999997</v>
      </c>
      <c r="W451" s="417">
        <v>0</v>
      </c>
      <c r="X451" s="378">
        <v>5.0800000000000002E-5</v>
      </c>
      <c r="Z451" s="70">
        <v>6416.9459999999999</v>
      </c>
      <c r="AA451" s="70">
        <v>6416.9003999999995</v>
      </c>
      <c r="AB451" s="70">
        <v>0</v>
      </c>
      <c r="AC451" s="417">
        <v>0</v>
      </c>
      <c r="AD451" s="417">
        <v>0</v>
      </c>
      <c r="AE451" s="378">
        <v>5.0800000000000002E-5</v>
      </c>
      <c r="AF451" s="378"/>
      <c r="AG451" s="70">
        <v>8802.5766499999991</v>
      </c>
      <c r="AH451" s="70">
        <v>4750.5766499999991</v>
      </c>
      <c r="AI451" s="70">
        <v>4066.5766499999986</v>
      </c>
      <c r="AJ451" s="417">
        <v>0</v>
      </c>
      <c r="AK451" s="417">
        <v>0</v>
      </c>
      <c r="AL451" s="378">
        <v>5.0800000000000002E-5</v>
      </c>
      <c r="AM451" s="378"/>
      <c r="AN451" s="70">
        <v>0</v>
      </c>
      <c r="AO451" s="70">
        <v>0</v>
      </c>
      <c r="AP451" s="70">
        <v>0</v>
      </c>
      <c r="AQ451" s="417">
        <v>0</v>
      </c>
      <c r="AR451" s="417">
        <v>0</v>
      </c>
    </row>
    <row r="452" spans="1:44">
      <c r="A452" s="439">
        <v>94701</v>
      </c>
      <c r="B452" s="440" t="s">
        <v>1163</v>
      </c>
      <c r="C452" s="437">
        <v>2.3885E-3</v>
      </c>
      <c r="D452" s="441"/>
      <c r="E452" s="438">
        <v>2005903.6607749995</v>
      </c>
      <c r="F452" s="442">
        <v>1673503.2777749996</v>
      </c>
      <c r="G452" s="442">
        <v>506881.05177499988</v>
      </c>
      <c r="H452" s="442">
        <v>2121721.2694999999</v>
      </c>
      <c r="I452" s="442">
        <v>0</v>
      </c>
      <c r="J452" s="443">
        <v>9.6500000000000004E-4</v>
      </c>
      <c r="K452" s="443"/>
      <c r="L452" s="444">
        <v>384851.8395</v>
      </c>
      <c r="M452" s="444">
        <v>157801.0295</v>
      </c>
      <c r="N452" s="444">
        <v>-18971.855500000001</v>
      </c>
      <c r="O452" s="444">
        <v>0</v>
      </c>
      <c r="P452" s="417">
        <v>0</v>
      </c>
      <c r="Q452" s="378">
        <v>9.6500000000000004E-4</v>
      </c>
      <c r="R452" s="378"/>
      <c r="S452" s="70">
        <v>935702.0405</v>
      </c>
      <c r="T452" s="105">
        <v>875760.24450000003</v>
      </c>
      <c r="U452" s="70">
        <v>520296.50900000002</v>
      </c>
      <c r="V452" s="70">
        <v>2121721.2694999999</v>
      </c>
      <c r="W452" s="417">
        <v>0</v>
      </c>
      <c r="X452" s="378">
        <v>9.6500000000000004E-4</v>
      </c>
      <c r="Z452" s="70">
        <v>672231.38249999995</v>
      </c>
      <c r="AA452" s="70">
        <v>672226.60549999995</v>
      </c>
      <c r="AB452" s="70">
        <v>0</v>
      </c>
      <c r="AC452" s="417">
        <v>0</v>
      </c>
      <c r="AD452" s="417">
        <v>0</v>
      </c>
      <c r="AE452" s="378">
        <v>9.6500000000000004E-4</v>
      </c>
      <c r="AF452" s="378"/>
      <c r="AG452" s="70">
        <v>50959.398274999869</v>
      </c>
      <c r="AH452" s="70">
        <v>5556.3982749998686</v>
      </c>
      <c r="AI452" s="70">
        <v>5556.3982749998686</v>
      </c>
      <c r="AJ452" s="417">
        <v>0</v>
      </c>
      <c r="AK452" s="417">
        <v>0</v>
      </c>
      <c r="AL452" s="378">
        <v>9.6500000000000004E-4</v>
      </c>
      <c r="AM452" s="378"/>
      <c r="AN452" s="70">
        <v>-37841</v>
      </c>
      <c r="AO452" s="70">
        <v>-37841</v>
      </c>
      <c r="AP452" s="70">
        <v>0</v>
      </c>
      <c r="AQ452" s="417">
        <v>0</v>
      </c>
      <c r="AR452" s="417">
        <v>0</v>
      </c>
    </row>
    <row r="453" spans="1:44">
      <c r="A453" s="439">
        <v>94704</v>
      </c>
      <c r="B453" s="440" t="s">
        <v>1164</v>
      </c>
      <c r="C453" s="437">
        <v>2.0699999999999998E-5</v>
      </c>
      <c r="D453" s="441"/>
      <c r="E453" s="438">
        <v>22123.403924999999</v>
      </c>
      <c r="F453" s="442">
        <v>18962.133324999995</v>
      </c>
      <c r="G453" s="442">
        <v>6980.6201249999995</v>
      </c>
      <c r="H453" s="442">
        <v>18387.954899999997</v>
      </c>
      <c r="I453" s="442">
        <v>0</v>
      </c>
      <c r="J453" s="443">
        <v>2.65E-5</v>
      </c>
      <c r="K453" s="443"/>
      <c r="L453" s="444">
        <v>3335.3288999999995</v>
      </c>
      <c r="M453" s="444">
        <v>1367.5868999999998</v>
      </c>
      <c r="N453" s="444">
        <v>-164.42009999999999</v>
      </c>
      <c r="O453" s="444">
        <v>0</v>
      </c>
      <c r="P453" s="417">
        <v>0</v>
      </c>
      <c r="Q453" s="378">
        <v>2.65E-5</v>
      </c>
      <c r="R453" s="378"/>
      <c r="S453" s="70">
        <v>8109.2870999999996</v>
      </c>
      <c r="T453" s="105">
        <v>7589.7998999999991</v>
      </c>
      <c r="U453" s="70">
        <v>4509.1637999999994</v>
      </c>
      <c r="V453" s="70">
        <v>18387.954899999997</v>
      </c>
      <c r="W453" s="417">
        <v>0</v>
      </c>
      <c r="X453" s="378">
        <v>2.65E-5</v>
      </c>
      <c r="Z453" s="70">
        <v>5825.9114999999993</v>
      </c>
      <c r="AA453" s="70">
        <v>5825.8700999999992</v>
      </c>
      <c r="AB453" s="70">
        <v>0</v>
      </c>
      <c r="AC453" s="417">
        <v>0</v>
      </c>
      <c r="AD453" s="417">
        <v>0</v>
      </c>
      <c r="AE453" s="378">
        <v>2.65E-5</v>
      </c>
      <c r="AF453" s="378"/>
      <c r="AG453" s="70">
        <v>4863.8764250000004</v>
      </c>
      <c r="AH453" s="70">
        <v>4178.8764250000004</v>
      </c>
      <c r="AI453" s="70">
        <v>2635.8764250000004</v>
      </c>
      <c r="AJ453" s="417">
        <v>0</v>
      </c>
      <c r="AK453" s="417">
        <v>0</v>
      </c>
      <c r="AL453" s="378">
        <v>2.65E-5</v>
      </c>
      <c r="AM453" s="378"/>
      <c r="AN453" s="70">
        <v>-11</v>
      </c>
      <c r="AO453" s="70">
        <v>0</v>
      </c>
      <c r="AP453" s="70">
        <v>0</v>
      </c>
      <c r="AQ453" s="417">
        <v>0</v>
      </c>
      <c r="AR453" s="417">
        <v>0</v>
      </c>
    </row>
    <row r="454" spans="1:44">
      <c r="A454" s="439">
        <v>94711</v>
      </c>
      <c r="B454" s="440" t="s">
        <v>1165</v>
      </c>
      <c r="C454" s="437">
        <v>3.4610000000000001E-4</v>
      </c>
      <c r="D454" s="441"/>
      <c r="E454" s="438">
        <v>309289.39822500001</v>
      </c>
      <c r="F454" s="442">
        <v>271751.71442500001</v>
      </c>
      <c r="G454" s="442">
        <v>78577.790824999975</v>
      </c>
      <c r="H454" s="442">
        <v>307443.0527</v>
      </c>
      <c r="I454" s="442">
        <v>0</v>
      </c>
      <c r="J454" s="443">
        <v>0</v>
      </c>
      <c r="K454" s="443"/>
      <c r="L454" s="444">
        <v>55766.054700000001</v>
      </c>
      <c r="M454" s="444">
        <v>22865.788700000001</v>
      </c>
      <c r="N454" s="444">
        <v>-2749.0723000000003</v>
      </c>
      <c r="O454" s="444">
        <v>0</v>
      </c>
      <c r="P454" s="417">
        <v>0</v>
      </c>
      <c r="Q454" s="378">
        <v>0</v>
      </c>
      <c r="R454" s="378"/>
      <c r="S454" s="70">
        <v>135585.7133</v>
      </c>
      <c r="T454" s="105">
        <v>126899.9877</v>
      </c>
      <c r="U454" s="70">
        <v>75392.347399999999</v>
      </c>
      <c r="V454" s="70">
        <v>307443.0527</v>
      </c>
      <c r="W454" s="417">
        <v>0</v>
      </c>
      <c r="X454" s="378">
        <v>0</v>
      </c>
      <c r="Z454" s="70">
        <v>97408.114499999996</v>
      </c>
      <c r="AA454" s="70">
        <v>97407.422300000006</v>
      </c>
      <c r="AB454" s="70">
        <v>0</v>
      </c>
      <c r="AC454" s="417">
        <v>0</v>
      </c>
      <c r="AD454" s="417">
        <v>0</v>
      </c>
      <c r="AE454" s="378">
        <v>0</v>
      </c>
      <c r="AF454" s="378"/>
      <c r="AG454" s="70">
        <v>26781.515724999976</v>
      </c>
      <c r="AH454" s="70">
        <v>24578.515724999976</v>
      </c>
      <c r="AI454" s="70">
        <v>5934.5157249999756</v>
      </c>
      <c r="AJ454" s="417">
        <v>0</v>
      </c>
      <c r="AK454" s="417">
        <v>0</v>
      </c>
      <c r="AL454" s="378">
        <v>0</v>
      </c>
      <c r="AM454" s="378"/>
      <c r="AN454" s="70">
        <v>-6252</v>
      </c>
      <c r="AO454" s="70">
        <v>0</v>
      </c>
      <c r="AP454" s="70">
        <v>0</v>
      </c>
      <c r="AQ454" s="417">
        <v>0</v>
      </c>
      <c r="AR454" s="417">
        <v>0</v>
      </c>
    </row>
    <row r="455" spans="1:44">
      <c r="A455" s="439">
        <v>94801</v>
      </c>
      <c r="B455" s="440" t="s">
        <v>1166</v>
      </c>
      <c r="C455" s="437">
        <v>6.5819999999999995E-4</v>
      </c>
      <c r="D455" s="441"/>
      <c r="E455" s="438">
        <v>556109.08339999989</v>
      </c>
      <c r="F455" s="442">
        <v>469328.08779999986</v>
      </c>
      <c r="G455" s="442">
        <v>165287.62459999995</v>
      </c>
      <c r="H455" s="442">
        <v>584683.66739999992</v>
      </c>
      <c r="I455" s="442">
        <v>0</v>
      </c>
      <c r="J455" s="443">
        <v>2.8889999999999997E-4</v>
      </c>
      <c r="K455" s="443"/>
      <c r="L455" s="444">
        <v>106053.79139999999</v>
      </c>
      <c r="M455" s="444">
        <v>43485.299399999996</v>
      </c>
      <c r="N455" s="444">
        <v>-5228.0825999999997</v>
      </c>
      <c r="O455" s="444">
        <v>0</v>
      </c>
      <c r="P455" s="417">
        <v>0</v>
      </c>
      <c r="Q455" s="378">
        <v>2.8889999999999997E-4</v>
      </c>
      <c r="R455" s="378"/>
      <c r="S455" s="70">
        <v>257851.82459999999</v>
      </c>
      <c r="T455" s="105">
        <v>241333.63739999998</v>
      </c>
      <c r="U455" s="70">
        <v>143378.3388</v>
      </c>
      <c r="V455" s="70">
        <v>584683.66739999992</v>
      </c>
      <c r="W455" s="417">
        <v>0</v>
      </c>
      <c r="X455" s="378">
        <v>2.8889999999999997E-4</v>
      </c>
      <c r="Z455" s="70">
        <v>185247.09899999999</v>
      </c>
      <c r="AA455" s="70">
        <v>185245.78259999998</v>
      </c>
      <c r="AB455" s="70">
        <v>0</v>
      </c>
      <c r="AC455" s="417">
        <v>0</v>
      </c>
      <c r="AD455" s="417">
        <v>0</v>
      </c>
      <c r="AE455" s="378">
        <v>2.8889999999999997E-4</v>
      </c>
      <c r="AF455" s="378"/>
      <c r="AG455" s="70">
        <v>34830.368399999948</v>
      </c>
      <c r="AH455" s="70">
        <v>27137.368399999948</v>
      </c>
      <c r="AI455" s="70">
        <v>27137.368399999948</v>
      </c>
      <c r="AJ455" s="417">
        <v>0</v>
      </c>
      <c r="AK455" s="417">
        <v>0</v>
      </c>
      <c r="AL455" s="378">
        <v>2.8889999999999997E-4</v>
      </c>
      <c r="AM455" s="378"/>
      <c r="AN455" s="70">
        <v>-27874</v>
      </c>
      <c r="AO455" s="70">
        <v>-27874</v>
      </c>
      <c r="AP455" s="70">
        <v>0</v>
      </c>
      <c r="AQ455" s="417">
        <v>0</v>
      </c>
      <c r="AR455" s="417">
        <v>0</v>
      </c>
    </row>
    <row r="456" spans="1:44">
      <c r="A456" s="439">
        <v>94804</v>
      </c>
      <c r="B456" s="440" t="s">
        <v>1167</v>
      </c>
      <c r="C456" s="437">
        <v>6.2999999999999998E-6</v>
      </c>
      <c r="D456" s="441"/>
      <c r="E456" s="438">
        <v>9279.6264250000004</v>
      </c>
      <c r="F456" s="442">
        <v>7647.6310249999997</v>
      </c>
      <c r="G456" s="442">
        <v>3973.6922249999998</v>
      </c>
      <c r="H456" s="442">
        <v>5596.3341</v>
      </c>
      <c r="I456" s="442">
        <v>0</v>
      </c>
      <c r="J456" s="443">
        <v>1.1120000000000001E-4</v>
      </c>
      <c r="K456" s="443"/>
      <c r="L456" s="444">
        <v>1015.1001</v>
      </c>
      <c r="M456" s="444">
        <v>416.22210000000001</v>
      </c>
      <c r="N456" s="444">
        <v>-50.040900000000001</v>
      </c>
      <c r="O456" s="444">
        <v>0</v>
      </c>
      <c r="P456" s="417">
        <v>0</v>
      </c>
      <c r="Q456" s="378">
        <v>1.1120000000000001E-4</v>
      </c>
      <c r="R456" s="378"/>
      <c r="S456" s="70">
        <v>2468.0439000000001</v>
      </c>
      <c r="T456" s="105">
        <v>2309.9391000000001</v>
      </c>
      <c r="U456" s="70">
        <v>1372.3542</v>
      </c>
      <c r="V456" s="70">
        <v>5596.3341</v>
      </c>
      <c r="W456" s="417">
        <v>0</v>
      </c>
      <c r="X456" s="378">
        <v>1.1120000000000001E-4</v>
      </c>
      <c r="Z456" s="70">
        <v>1773.1034999999999</v>
      </c>
      <c r="AA456" s="70">
        <v>1773.0908999999999</v>
      </c>
      <c r="AB456" s="70">
        <v>0</v>
      </c>
      <c r="AC456" s="417">
        <v>0</v>
      </c>
      <c r="AD456" s="417">
        <v>0</v>
      </c>
      <c r="AE456" s="378">
        <v>1.1120000000000001E-4</v>
      </c>
      <c r="AF456" s="378"/>
      <c r="AG456" s="70">
        <v>4023.378925</v>
      </c>
      <c r="AH456" s="70">
        <v>3148.378925</v>
      </c>
      <c r="AI456" s="70">
        <v>2651.378925</v>
      </c>
      <c r="AJ456" s="417">
        <v>0</v>
      </c>
      <c r="AK456" s="417">
        <v>0</v>
      </c>
      <c r="AL456" s="378">
        <v>1.1120000000000001E-4</v>
      </c>
      <c r="AM456" s="378"/>
      <c r="AN456" s="70">
        <v>0</v>
      </c>
      <c r="AO456" s="70">
        <v>0</v>
      </c>
      <c r="AP456" s="70">
        <v>0</v>
      </c>
      <c r="AQ456" s="417">
        <v>0</v>
      </c>
      <c r="AR456" s="417">
        <v>0</v>
      </c>
    </row>
    <row r="457" spans="1:44">
      <c r="A457" s="439">
        <v>94812</v>
      </c>
      <c r="B457" s="440" t="s">
        <v>1168</v>
      </c>
      <c r="C457" s="437">
        <v>2.37E-5</v>
      </c>
      <c r="D457" s="441"/>
      <c r="E457" s="438">
        <v>22463.179924999997</v>
      </c>
      <c r="F457" s="442">
        <v>17536.435324999999</v>
      </c>
      <c r="G457" s="442">
        <v>5747.0941249999996</v>
      </c>
      <c r="H457" s="442">
        <v>21052.875899999999</v>
      </c>
      <c r="I457" s="442">
        <v>0</v>
      </c>
      <c r="J457" s="443">
        <v>4.0200000000000001E-5</v>
      </c>
      <c r="K457" s="443"/>
      <c r="L457" s="444">
        <v>3818.7098999999998</v>
      </c>
      <c r="M457" s="444">
        <v>1565.7879</v>
      </c>
      <c r="N457" s="444">
        <v>-188.2491</v>
      </c>
      <c r="O457" s="444">
        <v>0</v>
      </c>
      <c r="P457" s="417">
        <v>0</v>
      </c>
      <c r="Q457" s="378">
        <v>4.0200000000000001E-5</v>
      </c>
      <c r="R457" s="378"/>
      <c r="S457" s="70">
        <v>9284.5460999999996</v>
      </c>
      <c r="T457" s="105">
        <v>8689.7708999999995</v>
      </c>
      <c r="U457" s="70">
        <v>5162.6657999999998</v>
      </c>
      <c r="V457" s="70">
        <v>21052.875899999999</v>
      </c>
      <c r="W457" s="417">
        <v>0</v>
      </c>
      <c r="X457" s="378">
        <v>4.0200000000000001E-5</v>
      </c>
      <c r="Z457" s="70">
        <v>6670.2465000000002</v>
      </c>
      <c r="AA457" s="70">
        <v>6670.1990999999998</v>
      </c>
      <c r="AB457" s="70">
        <v>0</v>
      </c>
      <c r="AC457" s="417">
        <v>0</v>
      </c>
      <c r="AD457" s="417">
        <v>0</v>
      </c>
      <c r="AE457" s="378">
        <v>4.0200000000000001E-5</v>
      </c>
      <c r="AF457" s="378"/>
      <c r="AG457" s="70">
        <v>2851.6774249999999</v>
      </c>
      <c r="AH457" s="70">
        <v>772.67742499999986</v>
      </c>
      <c r="AI457" s="70">
        <v>772.67742499999986</v>
      </c>
      <c r="AJ457" s="417">
        <v>0</v>
      </c>
      <c r="AK457" s="417">
        <v>0</v>
      </c>
      <c r="AL457" s="378">
        <v>4.0200000000000001E-5</v>
      </c>
      <c r="AM457" s="378"/>
      <c r="AN457" s="70">
        <v>-162</v>
      </c>
      <c r="AO457" s="70">
        <v>-162</v>
      </c>
      <c r="AP457" s="70">
        <v>0</v>
      </c>
      <c r="AQ457" s="417">
        <v>0</v>
      </c>
      <c r="AR457" s="417">
        <v>0</v>
      </c>
    </row>
    <row r="458" spans="1:44">
      <c r="A458" s="439">
        <v>94901</v>
      </c>
      <c r="B458" s="440" t="s">
        <v>1169</v>
      </c>
      <c r="C458" s="437">
        <v>7.7378000000000004E-3</v>
      </c>
      <c r="D458" s="441"/>
      <c r="E458" s="438">
        <v>6743117.9145499999</v>
      </c>
      <c r="F458" s="442">
        <v>5762423.3421500009</v>
      </c>
      <c r="G458" s="442">
        <v>1896077.5093499997</v>
      </c>
      <c r="H458" s="442">
        <v>6873541.9046</v>
      </c>
      <c r="I458" s="442">
        <v>0</v>
      </c>
      <c r="J458" s="443">
        <v>1.3499999999999999E-5</v>
      </c>
      <c r="K458" s="443"/>
      <c r="L458" s="444">
        <v>1246768.5006000001</v>
      </c>
      <c r="M458" s="444">
        <v>511213.23260000005</v>
      </c>
      <c r="N458" s="444">
        <v>-61461.345400000006</v>
      </c>
      <c r="O458" s="444">
        <v>0</v>
      </c>
      <c r="P458" s="417">
        <v>0</v>
      </c>
      <c r="Q458" s="378">
        <v>1.3499999999999999E-5</v>
      </c>
      <c r="R458" s="378"/>
      <c r="S458" s="70">
        <v>3031306.3634000001</v>
      </c>
      <c r="T458" s="105">
        <v>2837118.5346000004</v>
      </c>
      <c r="U458" s="70">
        <v>1685555.9252000002</v>
      </c>
      <c r="V458" s="70">
        <v>6873541.9046</v>
      </c>
      <c r="W458" s="417">
        <v>0</v>
      </c>
      <c r="X458" s="378">
        <v>1.3499999999999999E-5</v>
      </c>
      <c r="Z458" s="70">
        <v>2177765.1210000003</v>
      </c>
      <c r="AA458" s="70">
        <v>2177749.6454000003</v>
      </c>
      <c r="AB458" s="70">
        <v>0</v>
      </c>
      <c r="AC458" s="417">
        <v>0</v>
      </c>
      <c r="AD458" s="417">
        <v>0</v>
      </c>
      <c r="AE458" s="378">
        <v>1.3499999999999999E-5</v>
      </c>
      <c r="AF458" s="378"/>
      <c r="AG458" s="70">
        <v>322918.92954999954</v>
      </c>
      <c r="AH458" s="70">
        <v>271982.92954999954</v>
      </c>
      <c r="AI458" s="70">
        <v>271982.92954999954</v>
      </c>
      <c r="AJ458" s="417">
        <v>0</v>
      </c>
      <c r="AK458" s="417">
        <v>0</v>
      </c>
      <c r="AL458" s="378">
        <v>1.3499999999999999E-5</v>
      </c>
      <c r="AM458" s="378"/>
      <c r="AN458" s="70">
        <v>-35641</v>
      </c>
      <c r="AO458" s="70">
        <v>-35641</v>
      </c>
      <c r="AP458" s="70">
        <v>0</v>
      </c>
      <c r="AQ458" s="417">
        <v>0</v>
      </c>
      <c r="AR458" s="417">
        <v>0</v>
      </c>
    </row>
    <row r="459" spans="1:44">
      <c r="A459" s="439">
        <v>94908</v>
      </c>
      <c r="B459" s="440" t="s">
        <v>3610</v>
      </c>
      <c r="C459" s="437">
        <v>6.1500000000000004E-5</v>
      </c>
      <c r="D459" s="441"/>
      <c r="E459" s="438">
        <v>74986.040875000006</v>
      </c>
      <c r="F459" s="442">
        <v>39966.323875000009</v>
      </c>
      <c r="G459" s="442">
        <v>12089.349875000009</v>
      </c>
      <c r="H459" s="442">
        <v>54630.880500000007</v>
      </c>
      <c r="I459" s="442">
        <v>0</v>
      </c>
      <c r="J459" s="443">
        <v>2.3996999999999998E-3</v>
      </c>
      <c r="K459" s="443"/>
      <c r="L459" s="444">
        <v>9909.3105000000014</v>
      </c>
      <c r="M459" s="444">
        <v>4063.1205000000004</v>
      </c>
      <c r="N459" s="444">
        <v>-488.49450000000002</v>
      </c>
      <c r="O459" s="444">
        <v>0</v>
      </c>
      <c r="P459" s="417">
        <v>0</v>
      </c>
      <c r="Q459" s="378">
        <v>2.3996999999999998E-3</v>
      </c>
      <c r="R459" s="378"/>
      <c r="S459" s="70">
        <v>24092.809500000003</v>
      </c>
      <c r="T459" s="105">
        <v>22549.405500000001</v>
      </c>
      <c r="U459" s="70">
        <v>13396.791000000001</v>
      </c>
      <c r="V459" s="70">
        <v>54630.880500000007</v>
      </c>
      <c r="W459" s="417">
        <v>0</v>
      </c>
      <c r="X459" s="378">
        <v>2.3996999999999998E-3</v>
      </c>
      <c r="Z459" s="70">
        <v>17308.8675</v>
      </c>
      <c r="AA459" s="70">
        <v>17308.744500000001</v>
      </c>
      <c r="AB459" s="70">
        <v>0</v>
      </c>
      <c r="AC459" s="417">
        <v>0</v>
      </c>
      <c r="AD459" s="417">
        <v>0</v>
      </c>
      <c r="AE459" s="378">
        <v>2.3996999999999998E-3</v>
      </c>
      <c r="AF459" s="378"/>
      <c r="AG459" s="70">
        <v>27630</v>
      </c>
      <c r="AH459" s="70">
        <v>0</v>
      </c>
      <c r="AI459" s="70">
        <v>0</v>
      </c>
      <c r="AJ459" s="417">
        <v>0</v>
      </c>
      <c r="AK459" s="417">
        <v>0</v>
      </c>
      <c r="AL459" s="378">
        <v>2.3996999999999998E-3</v>
      </c>
      <c r="AM459" s="378"/>
      <c r="AN459" s="70">
        <v>-3954.9466249999914</v>
      </c>
      <c r="AO459" s="70">
        <v>-3954.9466249999914</v>
      </c>
      <c r="AP459" s="70">
        <v>-818.9466249999914</v>
      </c>
      <c r="AQ459" s="417">
        <v>0</v>
      </c>
      <c r="AR459" s="417">
        <v>0</v>
      </c>
    </row>
    <row r="460" spans="1:44">
      <c r="A460" s="439">
        <v>94911</v>
      </c>
      <c r="B460" s="440" t="s">
        <v>1171</v>
      </c>
      <c r="C460" s="437">
        <v>3.0986999999999998E-3</v>
      </c>
      <c r="D460" s="441"/>
      <c r="E460" s="438">
        <v>2679509.5323750004</v>
      </c>
      <c r="F460" s="442">
        <v>2308004.937775</v>
      </c>
      <c r="G460" s="442">
        <v>726441.89657500025</v>
      </c>
      <c r="H460" s="442">
        <v>2752596.9008999998</v>
      </c>
      <c r="I460" s="442">
        <v>0</v>
      </c>
      <c r="J460" s="443">
        <v>1.7099999999999999E-5</v>
      </c>
      <c r="K460" s="443"/>
      <c r="L460" s="444">
        <v>499284.23489999998</v>
      </c>
      <c r="M460" s="444">
        <v>204721.81289999999</v>
      </c>
      <c r="N460" s="444">
        <v>-24612.974099999999</v>
      </c>
      <c r="O460" s="444">
        <v>0</v>
      </c>
      <c r="P460" s="417">
        <v>0</v>
      </c>
      <c r="Q460" s="378">
        <v>1.7099999999999999E-5</v>
      </c>
      <c r="R460" s="378"/>
      <c r="S460" s="70">
        <v>1213925.0211</v>
      </c>
      <c r="T460" s="105">
        <v>1136160.0459</v>
      </c>
      <c r="U460" s="70">
        <v>675002.21580000001</v>
      </c>
      <c r="V460" s="70">
        <v>2752596.9008999998</v>
      </c>
      <c r="W460" s="417">
        <v>0</v>
      </c>
      <c r="X460" s="378">
        <v>1.7099999999999999E-5</v>
      </c>
      <c r="Z460" s="70">
        <v>872113.62149999989</v>
      </c>
      <c r="AA460" s="70">
        <v>872107.42409999995</v>
      </c>
      <c r="AB460" s="70">
        <v>0</v>
      </c>
      <c r="AC460" s="417">
        <v>0</v>
      </c>
      <c r="AD460" s="417">
        <v>0</v>
      </c>
      <c r="AE460" s="378">
        <v>1.7099999999999999E-5</v>
      </c>
      <c r="AF460" s="378"/>
      <c r="AG460" s="70">
        <v>115784.65487500024</v>
      </c>
      <c r="AH460" s="70">
        <v>95015.65487500024</v>
      </c>
      <c r="AI460" s="70">
        <v>76052.65487500024</v>
      </c>
      <c r="AJ460" s="417">
        <v>0</v>
      </c>
      <c r="AK460" s="417">
        <v>0</v>
      </c>
      <c r="AL460" s="378">
        <v>1.7099999999999999E-5</v>
      </c>
      <c r="AM460" s="378"/>
      <c r="AN460" s="70">
        <v>-21598</v>
      </c>
      <c r="AO460" s="70">
        <v>0</v>
      </c>
      <c r="AP460" s="70">
        <v>0</v>
      </c>
      <c r="AQ460" s="417">
        <v>0</v>
      </c>
      <c r="AR460" s="417">
        <v>0</v>
      </c>
    </row>
    <row r="461" spans="1:44">
      <c r="A461" s="439">
        <v>94917</v>
      </c>
      <c r="B461" s="440" t="s">
        <v>1172</v>
      </c>
      <c r="C461" s="437">
        <v>3.5800000000000003E-5</v>
      </c>
      <c r="D461" s="441"/>
      <c r="E461" s="438">
        <v>46946.451699999991</v>
      </c>
      <c r="F461" s="442">
        <v>35827.795299999998</v>
      </c>
      <c r="G461" s="442">
        <v>10661.714499999996</v>
      </c>
      <c r="H461" s="442">
        <v>31801.390600000002</v>
      </c>
      <c r="I461" s="442">
        <v>0</v>
      </c>
      <c r="J461" s="443">
        <v>3.344E-4</v>
      </c>
      <c r="K461" s="443"/>
      <c r="L461" s="444">
        <v>5768.3466000000008</v>
      </c>
      <c r="M461" s="444">
        <v>2365.1986000000002</v>
      </c>
      <c r="N461" s="444">
        <v>-284.35940000000005</v>
      </c>
      <c r="O461" s="444">
        <v>0</v>
      </c>
      <c r="P461" s="417">
        <v>0</v>
      </c>
      <c r="Q461" s="378">
        <v>3.344E-4</v>
      </c>
      <c r="R461" s="378"/>
      <c r="S461" s="70">
        <v>14024.7574</v>
      </c>
      <c r="T461" s="105">
        <v>13126.320600000001</v>
      </c>
      <c r="U461" s="70">
        <v>7798.4572000000007</v>
      </c>
      <c r="V461" s="70">
        <v>31801.390600000002</v>
      </c>
      <c r="W461" s="417">
        <v>0</v>
      </c>
      <c r="X461" s="378">
        <v>3.344E-4</v>
      </c>
      <c r="Z461" s="70">
        <v>10075.731000000002</v>
      </c>
      <c r="AA461" s="70">
        <v>10075.6594</v>
      </c>
      <c r="AB461" s="70">
        <v>0</v>
      </c>
      <c r="AC461" s="417">
        <v>0</v>
      </c>
      <c r="AD461" s="417">
        <v>0</v>
      </c>
      <c r="AE461" s="378">
        <v>3.344E-4</v>
      </c>
      <c r="AF461" s="378"/>
      <c r="AG461" s="70">
        <v>17077.616699999995</v>
      </c>
      <c r="AH461" s="70">
        <v>10260.616699999995</v>
      </c>
      <c r="AI461" s="70">
        <v>3147.6166999999959</v>
      </c>
      <c r="AJ461" s="417">
        <v>0</v>
      </c>
      <c r="AK461" s="417">
        <v>0</v>
      </c>
      <c r="AL461" s="378">
        <v>3.344E-4</v>
      </c>
      <c r="AM461" s="378"/>
      <c r="AN461" s="70">
        <v>0</v>
      </c>
      <c r="AO461" s="70">
        <v>0</v>
      </c>
      <c r="AP461" s="70">
        <v>0</v>
      </c>
      <c r="AQ461" s="417">
        <v>0</v>
      </c>
      <c r="AR461" s="417">
        <v>0</v>
      </c>
    </row>
    <row r="462" spans="1:44">
      <c r="A462" s="439">
        <v>94921</v>
      </c>
      <c r="B462" s="440" t="s">
        <v>1173</v>
      </c>
      <c r="C462" s="437">
        <v>4.1305999999999999E-3</v>
      </c>
      <c r="D462" s="441"/>
      <c r="E462" s="438">
        <v>3443863.7387500005</v>
      </c>
      <c r="F462" s="442">
        <v>3039369.1039500004</v>
      </c>
      <c r="G462" s="442">
        <v>835044.65835000062</v>
      </c>
      <c r="H462" s="442">
        <v>3669240.8942</v>
      </c>
      <c r="I462" s="442">
        <v>0</v>
      </c>
      <c r="J462" s="443">
        <v>6.2790000000000003E-4</v>
      </c>
      <c r="K462" s="443"/>
      <c r="L462" s="444">
        <v>665551.1862</v>
      </c>
      <c r="M462" s="444">
        <v>272896.35019999999</v>
      </c>
      <c r="N462" s="444">
        <v>-32809.355799999998</v>
      </c>
      <c r="O462" s="444">
        <v>0</v>
      </c>
      <c r="P462" s="417">
        <v>0</v>
      </c>
      <c r="Q462" s="378">
        <v>6.2790000000000003E-4</v>
      </c>
      <c r="R462" s="378"/>
      <c r="S462" s="70">
        <v>1618174.9417999999</v>
      </c>
      <c r="T462" s="105">
        <v>1514513.4042</v>
      </c>
      <c r="U462" s="70">
        <v>899785.12040000001</v>
      </c>
      <c r="V462" s="70">
        <v>3669240.8942</v>
      </c>
      <c r="W462" s="417">
        <v>0</v>
      </c>
      <c r="X462" s="378">
        <v>6.2790000000000003E-4</v>
      </c>
      <c r="Z462" s="70">
        <v>1162536.7169999999</v>
      </c>
      <c r="AA462" s="70">
        <v>1162528.4557999999</v>
      </c>
      <c r="AB462" s="70">
        <v>0</v>
      </c>
      <c r="AC462" s="417">
        <v>0</v>
      </c>
      <c r="AD462" s="417">
        <v>0</v>
      </c>
      <c r="AE462" s="378">
        <v>6.2790000000000003E-4</v>
      </c>
      <c r="AF462" s="378"/>
      <c r="AG462" s="70">
        <v>121362</v>
      </c>
      <c r="AH462" s="70">
        <v>121362</v>
      </c>
      <c r="AI462" s="70">
        <v>0</v>
      </c>
      <c r="AJ462" s="417">
        <v>0</v>
      </c>
      <c r="AK462" s="417">
        <v>0</v>
      </c>
      <c r="AL462" s="378">
        <v>6.2790000000000003E-4</v>
      </c>
      <c r="AM462" s="378"/>
      <c r="AN462" s="70">
        <v>-123761.10624999937</v>
      </c>
      <c r="AO462" s="70">
        <v>-31931.106249999371</v>
      </c>
      <c r="AP462" s="70">
        <v>-31931.106249999371</v>
      </c>
      <c r="AQ462" s="417">
        <v>0</v>
      </c>
      <c r="AR462" s="417">
        <v>0</v>
      </c>
    </row>
    <row r="463" spans="1:44">
      <c r="A463" s="439">
        <v>94923</v>
      </c>
      <c r="B463" s="440" t="s">
        <v>1174</v>
      </c>
      <c r="C463" s="437">
        <v>3.1600000000000002E-5</v>
      </c>
      <c r="D463" s="441"/>
      <c r="E463" s="438">
        <v>32664.618750000001</v>
      </c>
      <c r="F463" s="442">
        <v>28193.625950000005</v>
      </c>
      <c r="G463" s="442">
        <v>11577.504349999999</v>
      </c>
      <c r="H463" s="442">
        <v>28070.501200000002</v>
      </c>
      <c r="I463" s="442">
        <v>0</v>
      </c>
      <c r="J463" s="443">
        <v>2.7E-6</v>
      </c>
      <c r="K463" s="443"/>
      <c r="L463" s="444">
        <v>5091.6132000000007</v>
      </c>
      <c r="M463" s="444">
        <v>2087.7172</v>
      </c>
      <c r="N463" s="444">
        <v>-250.99880000000002</v>
      </c>
      <c r="O463" s="444">
        <v>0</v>
      </c>
      <c r="P463" s="417">
        <v>0</v>
      </c>
      <c r="Q463" s="378">
        <v>2.7E-6</v>
      </c>
      <c r="R463" s="378"/>
      <c r="S463" s="70">
        <v>12379.3948</v>
      </c>
      <c r="T463" s="105">
        <v>11586.361200000001</v>
      </c>
      <c r="U463" s="70">
        <v>6883.5544000000009</v>
      </c>
      <c r="V463" s="70">
        <v>28070.501200000002</v>
      </c>
      <c r="W463" s="417">
        <v>0</v>
      </c>
      <c r="X463" s="378">
        <v>2.7E-6</v>
      </c>
      <c r="Z463" s="70">
        <v>8893.6620000000003</v>
      </c>
      <c r="AA463" s="70">
        <v>8893.5988000000016</v>
      </c>
      <c r="AB463" s="70">
        <v>0</v>
      </c>
      <c r="AC463" s="417">
        <v>0</v>
      </c>
      <c r="AD463" s="417">
        <v>0</v>
      </c>
      <c r="AE463" s="378">
        <v>2.7E-6</v>
      </c>
      <c r="AF463" s="378"/>
      <c r="AG463" s="70">
        <v>6299.9487499999987</v>
      </c>
      <c r="AH463" s="70">
        <v>5625.9487499999987</v>
      </c>
      <c r="AI463" s="70">
        <v>4944.9487499999987</v>
      </c>
      <c r="AJ463" s="417">
        <v>0</v>
      </c>
      <c r="AK463" s="417">
        <v>0</v>
      </c>
      <c r="AL463" s="378">
        <v>2.7E-6</v>
      </c>
      <c r="AM463" s="378"/>
      <c r="AN463" s="70">
        <v>0</v>
      </c>
      <c r="AO463" s="70">
        <v>0</v>
      </c>
      <c r="AP463" s="70">
        <v>0</v>
      </c>
      <c r="AQ463" s="417">
        <v>0</v>
      </c>
      <c r="AR463" s="417">
        <v>0</v>
      </c>
    </row>
    <row r="464" spans="1:44">
      <c r="A464" s="439">
        <v>94927</v>
      </c>
      <c r="B464" s="440" t="s">
        <v>1175</v>
      </c>
      <c r="C464" s="437">
        <v>3.9400000000000002E-5</v>
      </c>
      <c r="D464" s="441"/>
      <c r="E464" s="438">
        <v>53446.986149999997</v>
      </c>
      <c r="F464" s="442">
        <v>45446.760949999996</v>
      </c>
      <c r="G464" s="442">
        <v>19852.286550000001</v>
      </c>
      <c r="H464" s="442">
        <v>34999.2958</v>
      </c>
      <c r="I464" s="442">
        <v>0</v>
      </c>
      <c r="J464" s="443">
        <v>2.5599999999999999E-5</v>
      </c>
      <c r="K464" s="443"/>
      <c r="L464" s="444">
        <v>6348.4038</v>
      </c>
      <c r="M464" s="444">
        <v>2603.0398</v>
      </c>
      <c r="N464" s="444">
        <v>-312.95420000000001</v>
      </c>
      <c r="O464" s="444">
        <v>0</v>
      </c>
      <c r="P464" s="417">
        <v>0</v>
      </c>
      <c r="Q464" s="378">
        <v>2.5599999999999999E-5</v>
      </c>
      <c r="R464" s="378"/>
      <c r="S464" s="70">
        <v>15435.068200000002</v>
      </c>
      <c r="T464" s="105">
        <v>14446.285800000001</v>
      </c>
      <c r="U464" s="70">
        <v>8582.6596000000009</v>
      </c>
      <c r="V464" s="70">
        <v>34999.2958</v>
      </c>
      <c r="W464" s="417">
        <v>0</v>
      </c>
      <c r="X464" s="378">
        <v>2.5599999999999999E-5</v>
      </c>
      <c r="Z464" s="70">
        <v>11088.933000000001</v>
      </c>
      <c r="AA464" s="70">
        <v>11088.8542</v>
      </c>
      <c r="AB464" s="70">
        <v>0</v>
      </c>
      <c r="AC464" s="417">
        <v>0</v>
      </c>
      <c r="AD464" s="417">
        <v>0</v>
      </c>
      <c r="AE464" s="378">
        <v>2.5599999999999999E-5</v>
      </c>
      <c r="AF464" s="378"/>
      <c r="AG464" s="70">
        <v>20574.581149999998</v>
      </c>
      <c r="AH464" s="70">
        <v>17308.581149999998</v>
      </c>
      <c r="AI464" s="70">
        <v>11582.58115</v>
      </c>
      <c r="AJ464" s="417">
        <v>0</v>
      </c>
      <c r="AK464" s="417">
        <v>0</v>
      </c>
      <c r="AL464" s="378">
        <v>2.5599999999999999E-5</v>
      </c>
      <c r="AM464" s="378"/>
      <c r="AN464" s="70">
        <v>0</v>
      </c>
      <c r="AO464" s="70">
        <v>0</v>
      </c>
      <c r="AP464" s="70">
        <v>0</v>
      </c>
      <c r="AQ464" s="417">
        <v>0</v>
      </c>
      <c r="AR464" s="417">
        <v>0</v>
      </c>
    </row>
    <row r="465" spans="1:44">
      <c r="A465" s="439">
        <v>94931</v>
      </c>
      <c r="B465" s="440" t="s">
        <v>1176</v>
      </c>
      <c r="C465" s="437">
        <v>2.6200000000000003E-4</v>
      </c>
      <c r="D465" s="441"/>
      <c r="E465" s="438">
        <v>250001.47870000004</v>
      </c>
      <c r="F465" s="442">
        <v>221188.08270000003</v>
      </c>
      <c r="G465" s="442">
        <v>79468.770700000008</v>
      </c>
      <c r="H465" s="442">
        <v>232736.43400000004</v>
      </c>
      <c r="I465" s="442">
        <v>0</v>
      </c>
      <c r="J465" s="443">
        <v>7.1942000000000004E-3</v>
      </c>
      <c r="K465" s="443"/>
      <c r="L465" s="444">
        <v>42215.274000000005</v>
      </c>
      <c r="M465" s="444">
        <v>17309.554</v>
      </c>
      <c r="N465" s="444">
        <v>-2081.0660000000003</v>
      </c>
      <c r="O465" s="444">
        <v>0</v>
      </c>
      <c r="P465" s="417">
        <v>0</v>
      </c>
      <c r="Q465" s="378">
        <v>7.1942000000000004E-3</v>
      </c>
      <c r="R465" s="378"/>
      <c r="S465" s="70">
        <v>102639.28600000001</v>
      </c>
      <c r="T465" s="105">
        <v>96064.134000000005</v>
      </c>
      <c r="U465" s="70">
        <v>57072.508000000009</v>
      </c>
      <c r="V465" s="70">
        <v>232736.43400000004</v>
      </c>
      <c r="W465" s="417">
        <v>0</v>
      </c>
      <c r="X465" s="378">
        <v>7.1942000000000004E-3</v>
      </c>
      <c r="Z465" s="70">
        <v>73738.590000000011</v>
      </c>
      <c r="AA465" s="70">
        <v>73738.066000000006</v>
      </c>
      <c r="AB465" s="70">
        <v>0</v>
      </c>
      <c r="AC465" s="417">
        <v>0</v>
      </c>
      <c r="AD465" s="417">
        <v>0</v>
      </c>
      <c r="AE465" s="378">
        <v>7.1942000000000004E-3</v>
      </c>
      <c r="AF465" s="378"/>
      <c r="AG465" s="70">
        <v>36532.328699999998</v>
      </c>
      <c r="AH465" s="70">
        <v>34076.328699999998</v>
      </c>
      <c r="AI465" s="70">
        <v>24477.328699999998</v>
      </c>
      <c r="AJ465" s="417">
        <v>0</v>
      </c>
      <c r="AK465" s="417">
        <v>0</v>
      </c>
      <c r="AL465" s="378">
        <v>7.1942000000000004E-3</v>
      </c>
      <c r="AM465" s="378"/>
      <c r="AN465" s="70">
        <v>-5124</v>
      </c>
      <c r="AO465" s="70">
        <v>0</v>
      </c>
      <c r="AP465" s="70">
        <v>0</v>
      </c>
      <c r="AQ465" s="417">
        <v>0</v>
      </c>
      <c r="AR465" s="417">
        <v>0</v>
      </c>
    </row>
    <row r="466" spans="1:44">
      <c r="A466" s="439">
        <v>94937</v>
      </c>
      <c r="B466" s="440" t="s">
        <v>1927</v>
      </c>
      <c r="C466" s="437">
        <v>8.3999999999999992E-6</v>
      </c>
      <c r="D466" s="441"/>
      <c r="E466" s="438">
        <v>8772.0178500000002</v>
      </c>
      <c r="F466" s="442">
        <v>6011.6906500000005</v>
      </c>
      <c r="G466" s="442">
        <v>1288.7722500000009</v>
      </c>
      <c r="H466" s="442">
        <v>7461.7787999999991</v>
      </c>
      <c r="I466" s="442">
        <v>0</v>
      </c>
      <c r="J466" s="443">
        <v>6.0999999999999999E-5</v>
      </c>
      <c r="K466" s="443"/>
      <c r="L466" s="444">
        <v>1353.4667999999999</v>
      </c>
      <c r="M466" s="444">
        <v>554.9627999999999</v>
      </c>
      <c r="N466" s="444">
        <v>-66.721199999999996</v>
      </c>
      <c r="O466" s="444">
        <v>0</v>
      </c>
      <c r="P466" s="417">
        <v>0</v>
      </c>
      <c r="Q466" s="378">
        <v>6.0999999999999999E-5</v>
      </c>
      <c r="R466" s="378"/>
      <c r="S466" s="70">
        <v>3290.7251999999999</v>
      </c>
      <c r="T466" s="105">
        <v>3079.9187999999999</v>
      </c>
      <c r="U466" s="70">
        <v>1829.8055999999999</v>
      </c>
      <c r="V466" s="70">
        <v>7461.7787999999991</v>
      </c>
      <c r="W466" s="417">
        <v>0</v>
      </c>
      <c r="X466" s="378">
        <v>6.0999999999999999E-5</v>
      </c>
      <c r="Z466" s="70">
        <v>2364.1379999999999</v>
      </c>
      <c r="AA466" s="70">
        <v>2364.1211999999996</v>
      </c>
      <c r="AB466" s="70">
        <v>0</v>
      </c>
      <c r="AC466" s="417">
        <v>0</v>
      </c>
      <c r="AD466" s="417">
        <v>0</v>
      </c>
      <c r="AE466" s="378">
        <v>6.0999999999999999E-5</v>
      </c>
      <c r="AF466" s="378"/>
      <c r="AG466" s="70">
        <v>2238</v>
      </c>
      <c r="AH466" s="70">
        <v>487</v>
      </c>
      <c r="AI466" s="70">
        <v>0</v>
      </c>
      <c r="AJ466" s="417">
        <v>0</v>
      </c>
      <c r="AK466" s="417">
        <v>0</v>
      </c>
      <c r="AL466" s="378">
        <v>6.0999999999999999E-5</v>
      </c>
      <c r="AM466" s="378"/>
      <c r="AN466" s="70">
        <v>-474.31214999999906</v>
      </c>
      <c r="AO466" s="70">
        <v>-474.31214999999906</v>
      </c>
      <c r="AP466" s="70">
        <v>-474.31214999999906</v>
      </c>
      <c r="AQ466" s="417">
        <v>0</v>
      </c>
      <c r="AR466" s="417">
        <v>0</v>
      </c>
    </row>
    <row r="467" spans="1:44">
      <c r="A467" s="439">
        <v>94941</v>
      </c>
      <c r="B467" s="440" t="s">
        <v>1177</v>
      </c>
      <c r="C467" s="437">
        <v>6.2999999999999998E-6</v>
      </c>
      <c r="D467" s="441"/>
      <c r="E467" s="438">
        <v>-363246.92572499998</v>
      </c>
      <c r="F467" s="442">
        <v>-313479.92112499999</v>
      </c>
      <c r="G467" s="442">
        <v>1567.1400750000005</v>
      </c>
      <c r="H467" s="442">
        <v>5596.3341</v>
      </c>
      <c r="I467" s="442">
        <v>0</v>
      </c>
      <c r="J467" s="443">
        <v>2.9751999999999999E-3</v>
      </c>
      <c r="K467" s="443"/>
      <c r="L467" s="444">
        <v>1015.1001</v>
      </c>
      <c r="M467" s="444">
        <v>416.22210000000001</v>
      </c>
      <c r="N467" s="444">
        <v>-50.040900000000001</v>
      </c>
      <c r="O467" s="444">
        <v>0</v>
      </c>
      <c r="P467" s="417">
        <v>0</v>
      </c>
      <c r="Q467" s="378">
        <v>2.9751999999999999E-3</v>
      </c>
      <c r="R467" s="378"/>
      <c r="S467" s="70">
        <v>2468.0439000000001</v>
      </c>
      <c r="T467" s="105">
        <v>2309.9391000000001</v>
      </c>
      <c r="U467" s="70">
        <v>1372.3542</v>
      </c>
      <c r="V467" s="70">
        <v>5596.3341</v>
      </c>
      <c r="W467" s="417">
        <v>0</v>
      </c>
      <c r="X467" s="378">
        <v>2.9751999999999999E-3</v>
      </c>
      <c r="Z467" s="70">
        <v>1773.1034999999999</v>
      </c>
      <c r="AA467" s="70">
        <v>1773.0908999999999</v>
      </c>
      <c r="AB467" s="70">
        <v>0</v>
      </c>
      <c r="AC467" s="417">
        <v>0</v>
      </c>
      <c r="AD467" s="417">
        <v>0</v>
      </c>
      <c r="AE467" s="378">
        <v>2.9751999999999999E-3</v>
      </c>
      <c r="AF467" s="378"/>
      <c r="AG467" s="70">
        <v>3943.8267750000005</v>
      </c>
      <c r="AH467" s="70">
        <v>244.82677500000045</v>
      </c>
      <c r="AI467" s="70">
        <v>244.82677500000045</v>
      </c>
      <c r="AJ467" s="417">
        <v>0</v>
      </c>
      <c r="AK467" s="417">
        <v>0</v>
      </c>
      <c r="AL467" s="378">
        <v>2.9751999999999999E-3</v>
      </c>
      <c r="AM467" s="378"/>
      <c r="AN467" s="70">
        <v>-372447</v>
      </c>
      <c r="AO467" s="70">
        <v>-318224</v>
      </c>
      <c r="AP467" s="70">
        <v>0</v>
      </c>
      <c r="AQ467" s="417">
        <v>0</v>
      </c>
      <c r="AR467" s="417">
        <v>0</v>
      </c>
    </row>
    <row r="468" spans="1:44">
      <c r="A468" s="439">
        <v>94947</v>
      </c>
      <c r="B468" s="440" t="s">
        <v>1928</v>
      </c>
      <c r="C468" s="437">
        <v>3.7000000000000002E-6</v>
      </c>
      <c r="D468" s="441"/>
      <c r="E468" s="438">
        <v>5839.7712250000004</v>
      </c>
      <c r="F468" s="442">
        <v>3478.1866249999998</v>
      </c>
      <c r="G468" s="442">
        <v>746.3654249999995</v>
      </c>
      <c r="H468" s="442">
        <v>3286.7359000000001</v>
      </c>
      <c r="I468" s="442">
        <v>0</v>
      </c>
      <c r="J468" s="443">
        <v>3.6900000000000002E-5</v>
      </c>
      <c r="K468" s="443"/>
      <c r="L468" s="444">
        <v>596.16989999999998</v>
      </c>
      <c r="M468" s="444">
        <v>244.4479</v>
      </c>
      <c r="N468" s="444">
        <v>-29.389100000000003</v>
      </c>
      <c r="O468" s="444">
        <v>0</v>
      </c>
      <c r="P468" s="417">
        <v>0</v>
      </c>
      <c r="Q468" s="378">
        <v>3.6900000000000002E-5</v>
      </c>
      <c r="R468" s="378"/>
      <c r="S468" s="70">
        <v>1449.4861000000001</v>
      </c>
      <c r="T468" s="105">
        <v>1356.6309000000001</v>
      </c>
      <c r="U468" s="70">
        <v>805.98580000000004</v>
      </c>
      <c r="V468" s="70">
        <v>3286.7359000000001</v>
      </c>
      <c r="W468" s="417">
        <v>0</v>
      </c>
      <c r="X468" s="378">
        <v>3.6900000000000002E-5</v>
      </c>
      <c r="Z468" s="70">
        <v>1041.3465000000001</v>
      </c>
      <c r="AA468" s="70">
        <v>1041.3391000000001</v>
      </c>
      <c r="AB468" s="70">
        <v>0</v>
      </c>
      <c r="AC468" s="417">
        <v>0</v>
      </c>
      <c r="AD468" s="417">
        <v>0</v>
      </c>
      <c r="AE468" s="378">
        <v>3.6900000000000002E-5</v>
      </c>
      <c r="AF468" s="378"/>
      <c r="AG468" s="70">
        <v>2783</v>
      </c>
      <c r="AH468" s="70">
        <v>866</v>
      </c>
      <c r="AI468" s="70">
        <v>0</v>
      </c>
      <c r="AJ468" s="417">
        <v>0</v>
      </c>
      <c r="AK468" s="417">
        <v>0</v>
      </c>
      <c r="AL468" s="378">
        <v>3.6900000000000002E-5</v>
      </c>
      <c r="AM468" s="378"/>
      <c r="AN468" s="70">
        <v>-30.231275000000551</v>
      </c>
      <c r="AO468" s="70">
        <v>-30.231275000000551</v>
      </c>
      <c r="AP468" s="70">
        <v>-30.231275000000551</v>
      </c>
      <c r="AQ468" s="417">
        <v>0</v>
      </c>
      <c r="AR468" s="417">
        <v>0</v>
      </c>
    </row>
    <row r="469" spans="1:44">
      <c r="A469" s="439">
        <v>95001</v>
      </c>
      <c r="B469" s="440" t="s">
        <v>1178</v>
      </c>
      <c r="C469" s="437">
        <v>2.1900000000000001E-3</v>
      </c>
      <c r="D469" s="441"/>
      <c r="E469" s="438">
        <v>1967695.4689000002</v>
      </c>
      <c r="F469" s="442">
        <v>1671990.4488999997</v>
      </c>
      <c r="G469" s="442">
        <v>541557.0088999999</v>
      </c>
      <c r="H469" s="442">
        <v>1945392.33</v>
      </c>
      <c r="I469" s="442">
        <v>0</v>
      </c>
      <c r="J469" s="443">
        <v>4.0705999999999997E-3</v>
      </c>
      <c r="K469" s="443"/>
      <c r="L469" s="444">
        <v>352868.13</v>
      </c>
      <c r="M469" s="444">
        <v>144686.73000000001</v>
      </c>
      <c r="N469" s="444">
        <v>-17395.170000000002</v>
      </c>
      <c r="O469" s="444">
        <v>0</v>
      </c>
      <c r="P469" s="417">
        <v>0</v>
      </c>
      <c r="Q469" s="378">
        <v>4.0705999999999997E-3</v>
      </c>
      <c r="R469" s="378"/>
      <c r="S469" s="70">
        <v>857939.07000000007</v>
      </c>
      <c r="T469" s="105">
        <v>802978.83000000007</v>
      </c>
      <c r="U469" s="70">
        <v>477056.46</v>
      </c>
      <c r="V469" s="70">
        <v>1945392.33</v>
      </c>
      <c r="W469" s="417">
        <v>0</v>
      </c>
      <c r="X469" s="378">
        <v>4.0705999999999997E-3</v>
      </c>
      <c r="Z469" s="70">
        <v>616364.55000000005</v>
      </c>
      <c r="AA469" s="70">
        <v>616360.17000000004</v>
      </c>
      <c r="AB469" s="70">
        <v>0</v>
      </c>
      <c r="AC469" s="417">
        <v>0</v>
      </c>
      <c r="AD469" s="417">
        <v>0</v>
      </c>
      <c r="AE469" s="378">
        <v>4.0705999999999997E-3</v>
      </c>
      <c r="AF469" s="378"/>
      <c r="AG469" s="70">
        <v>140523.71889999986</v>
      </c>
      <c r="AH469" s="70">
        <v>107964.71889999986</v>
      </c>
      <c r="AI469" s="70">
        <v>81895.718899999862</v>
      </c>
      <c r="AJ469" s="417">
        <v>0</v>
      </c>
      <c r="AK469" s="417">
        <v>0</v>
      </c>
      <c r="AL469" s="378">
        <v>4.0705999999999997E-3</v>
      </c>
      <c r="AM469" s="378"/>
      <c r="AN469" s="70">
        <v>0</v>
      </c>
      <c r="AO469" s="70">
        <v>0</v>
      </c>
      <c r="AP469" s="70">
        <v>0</v>
      </c>
      <c r="AQ469" s="417">
        <v>0</v>
      </c>
      <c r="AR469" s="417">
        <v>0</v>
      </c>
    </row>
    <row r="470" spans="1:44">
      <c r="A470" s="439">
        <v>95002</v>
      </c>
      <c r="B470" s="440" t="s">
        <v>1179</v>
      </c>
      <c r="C470" s="437">
        <v>1.729E-4</v>
      </c>
      <c r="D470" s="441"/>
      <c r="E470" s="438">
        <v>166266.199525</v>
      </c>
      <c r="F470" s="442">
        <v>139539.88132500002</v>
      </c>
      <c r="G470" s="442">
        <v>42461.560925000005</v>
      </c>
      <c r="H470" s="442">
        <v>153588.28030000001</v>
      </c>
      <c r="I470" s="442">
        <v>0</v>
      </c>
      <c r="J470" s="443">
        <v>2.41E-5</v>
      </c>
      <c r="K470" s="443"/>
      <c r="L470" s="444">
        <v>27858.8583</v>
      </c>
      <c r="M470" s="444">
        <v>11422.9843</v>
      </c>
      <c r="N470" s="444">
        <v>-1373.3447000000001</v>
      </c>
      <c r="O470" s="444">
        <v>0</v>
      </c>
      <c r="P470" s="417">
        <v>0</v>
      </c>
      <c r="Q470" s="378">
        <v>2.41E-5</v>
      </c>
      <c r="R470" s="378"/>
      <c r="S470" s="70">
        <v>67734.093699999998</v>
      </c>
      <c r="T470" s="105">
        <v>63394.995300000002</v>
      </c>
      <c r="U470" s="70">
        <v>37663.498599999999</v>
      </c>
      <c r="V470" s="70">
        <v>153588.28030000001</v>
      </c>
      <c r="W470" s="417">
        <v>0</v>
      </c>
      <c r="X470" s="378">
        <v>2.41E-5</v>
      </c>
      <c r="Z470" s="70">
        <v>48661.840499999998</v>
      </c>
      <c r="AA470" s="70">
        <v>48661.494700000003</v>
      </c>
      <c r="AB470" s="70">
        <v>0</v>
      </c>
      <c r="AC470" s="417">
        <v>0</v>
      </c>
      <c r="AD470" s="417">
        <v>0</v>
      </c>
      <c r="AE470" s="378">
        <v>2.41E-5</v>
      </c>
      <c r="AF470" s="378"/>
      <c r="AG470" s="70">
        <v>22011.407025000008</v>
      </c>
      <c r="AH470" s="70">
        <v>16060.407025000008</v>
      </c>
      <c r="AI470" s="70">
        <v>6171.4070250000077</v>
      </c>
      <c r="AJ470" s="417">
        <v>0</v>
      </c>
      <c r="AK470" s="417">
        <v>0</v>
      </c>
      <c r="AL470" s="378">
        <v>2.41E-5</v>
      </c>
      <c r="AM470" s="378"/>
      <c r="AN470" s="70">
        <v>0</v>
      </c>
      <c r="AO470" s="70">
        <v>0</v>
      </c>
      <c r="AP470" s="70">
        <v>0</v>
      </c>
      <c r="AQ470" s="417">
        <v>0</v>
      </c>
      <c r="AR470" s="417">
        <v>0</v>
      </c>
    </row>
    <row r="471" spans="1:44">
      <c r="A471" s="439">
        <v>95005</v>
      </c>
      <c r="B471" s="440" t="s">
        <v>1180</v>
      </c>
      <c r="C471" s="437">
        <v>1.8709999999999999E-4</v>
      </c>
      <c r="D471" s="441"/>
      <c r="E471" s="438">
        <v>169086.498475</v>
      </c>
      <c r="F471" s="442">
        <v>152295.936675</v>
      </c>
      <c r="G471" s="442">
        <v>41193.897075000001</v>
      </c>
      <c r="H471" s="442">
        <v>166202.23970000001</v>
      </c>
      <c r="I471" s="442">
        <v>0</v>
      </c>
      <c r="J471" s="443">
        <v>2.3600000000000001E-5</v>
      </c>
      <c r="K471" s="443"/>
      <c r="L471" s="444">
        <v>30146.861699999998</v>
      </c>
      <c r="M471" s="444">
        <v>12361.135699999999</v>
      </c>
      <c r="N471" s="444">
        <v>-1486.1352999999999</v>
      </c>
      <c r="O471" s="444">
        <v>0</v>
      </c>
      <c r="P471" s="417">
        <v>0</v>
      </c>
      <c r="Q471" s="378">
        <v>2.3600000000000001E-5</v>
      </c>
      <c r="R471" s="378"/>
      <c r="S471" s="70">
        <v>73296.986300000004</v>
      </c>
      <c r="T471" s="105">
        <v>68601.524699999994</v>
      </c>
      <c r="U471" s="70">
        <v>40756.741399999999</v>
      </c>
      <c r="V471" s="70">
        <v>166202.23970000001</v>
      </c>
      <c r="W471" s="417">
        <v>0</v>
      </c>
      <c r="X471" s="378">
        <v>2.3600000000000001E-5</v>
      </c>
      <c r="Z471" s="70">
        <v>52658.359499999999</v>
      </c>
      <c r="AA471" s="70">
        <v>52657.9853</v>
      </c>
      <c r="AB471" s="70">
        <v>0</v>
      </c>
      <c r="AC471" s="417">
        <v>0</v>
      </c>
      <c r="AD471" s="417">
        <v>0</v>
      </c>
      <c r="AE471" s="378">
        <v>2.3600000000000001E-5</v>
      </c>
      <c r="AF471" s="378"/>
      <c r="AG471" s="70">
        <v>18675.290975000004</v>
      </c>
      <c r="AH471" s="70">
        <v>18675.290975000004</v>
      </c>
      <c r="AI471" s="70">
        <v>1923.2909750000035</v>
      </c>
      <c r="AJ471" s="417">
        <v>0</v>
      </c>
      <c r="AK471" s="417">
        <v>0</v>
      </c>
      <c r="AL471" s="378">
        <v>2.3600000000000001E-5</v>
      </c>
      <c r="AM471" s="378"/>
      <c r="AN471" s="70">
        <v>-5691</v>
      </c>
      <c r="AO471" s="70">
        <v>0</v>
      </c>
      <c r="AP471" s="70">
        <v>0</v>
      </c>
      <c r="AQ471" s="417">
        <v>0</v>
      </c>
      <c r="AR471" s="417">
        <v>0</v>
      </c>
    </row>
    <row r="472" spans="1:44">
      <c r="A472" s="439">
        <v>95008</v>
      </c>
      <c r="B472" s="440" t="s">
        <v>1181</v>
      </c>
      <c r="C472" s="437">
        <v>1.0959999999999999E-4</v>
      </c>
      <c r="D472" s="441"/>
      <c r="E472" s="438">
        <v>96386.030400000018</v>
      </c>
      <c r="F472" s="442">
        <v>76863.713600000017</v>
      </c>
      <c r="G472" s="442">
        <v>19338.064000000002</v>
      </c>
      <c r="H472" s="442">
        <v>97358.447199999995</v>
      </c>
      <c r="I472" s="442">
        <v>0</v>
      </c>
      <c r="J472" s="443">
        <v>2.1660000000000001E-4</v>
      </c>
      <c r="K472" s="443"/>
      <c r="L472" s="444">
        <v>17659.519199999999</v>
      </c>
      <c r="M472" s="444">
        <v>7240.9431999999997</v>
      </c>
      <c r="N472" s="444">
        <v>-870.55279999999993</v>
      </c>
      <c r="O472" s="444">
        <v>0</v>
      </c>
      <c r="P472" s="417">
        <v>0</v>
      </c>
      <c r="Q472" s="378">
        <v>2.1660000000000001E-4</v>
      </c>
      <c r="R472" s="378"/>
      <c r="S472" s="70">
        <v>42936.128799999999</v>
      </c>
      <c r="T472" s="105">
        <v>40185.607199999999</v>
      </c>
      <c r="U472" s="70">
        <v>23874.606399999997</v>
      </c>
      <c r="V472" s="70">
        <v>97358.447199999995</v>
      </c>
      <c r="W472" s="417">
        <v>0</v>
      </c>
      <c r="X472" s="378">
        <v>2.1660000000000001E-4</v>
      </c>
      <c r="Z472" s="70">
        <v>30846.371999999999</v>
      </c>
      <c r="AA472" s="70">
        <v>30846.1528</v>
      </c>
      <c r="AB472" s="70">
        <v>0</v>
      </c>
      <c r="AC472" s="417">
        <v>0</v>
      </c>
      <c r="AD472" s="417">
        <v>0</v>
      </c>
      <c r="AE472" s="378">
        <v>2.1660000000000001E-4</v>
      </c>
      <c r="AF472" s="378"/>
      <c r="AG472" s="70">
        <v>8610</v>
      </c>
      <c r="AH472" s="70">
        <v>2257</v>
      </c>
      <c r="AI472" s="70">
        <v>0</v>
      </c>
      <c r="AJ472" s="417">
        <v>0</v>
      </c>
      <c r="AK472" s="417">
        <v>0</v>
      </c>
      <c r="AL472" s="378">
        <v>2.1660000000000001E-4</v>
      </c>
      <c r="AM472" s="378"/>
      <c r="AN472" s="70">
        <v>-3665.9895999999935</v>
      </c>
      <c r="AO472" s="70">
        <v>-3665.9895999999935</v>
      </c>
      <c r="AP472" s="70">
        <v>-3665.9895999999935</v>
      </c>
      <c r="AQ472" s="417">
        <v>0</v>
      </c>
      <c r="AR472" s="417">
        <v>0</v>
      </c>
    </row>
    <row r="473" spans="1:44">
      <c r="A473" s="439">
        <v>95009</v>
      </c>
      <c r="B473" s="440" t="s">
        <v>1182</v>
      </c>
      <c r="C473" s="437">
        <v>4.2935999999999998E-3</v>
      </c>
      <c r="D473" s="441"/>
      <c r="E473" s="438">
        <v>4018949.6393000009</v>
      </c>
      <c r="F473" s="442">
        <v>3681722.250500001</v>
      </c>
      <c r="G473" s="442">
        <v>1394436.8169000009</v>
      </c>
      <c r="H473" s="442">
        <v>3814034.9351999997</v>
      </c>
      <c r="I473" s="442">
        <v>0</v>
      </c>
      <c r="J473" s="443">
        <v>8.6999999999999997E-6</v>
      </c>
      <c r="K473" s="443"/>
      <c r="L473" s="444">
        <v>691814.8872</v>
      </c>
      <c r="M473" s="444">
        <v>283665.27120000002</v>
      </c>
      <c r="N473" s="444">
        <v>-34104.0648</v>
      </c>
      <c r="O473" s="444">
        <v>0</v>
      </c>
      <c r="P473" s="417">
        <v>0</v>
      </c>
      <c r="Q473" s="378">
        <v>8.6999999999999997E-6</v>
      </c>
      <c r="R473" s="378"/>
      <c r="S473" s="70">
        <v>1682030.6808</v>
      </c>
      <c r="T473" s="105">
        <v>1574278.4952</v>
      </c>
      <c r="U473" s="70">
        <v>935292.06239999994</v>
      </c>
      <c r="V473" s="70">
        <v>3814034.9351999997</v>
      </c>
      <c r="W473" s="417">
        <v>0</v>
      </c>
      <c r="X473" s="378">
        <v>8.6999999999999997E-6</v>
      </c>
      <c r="Z473" s="70">
        <v>1208412.2519999999</v>
      </c>
      <c r="AA473" s="70">
        <v>1208403.6647999999</v>
      </c>
      <c r="AB473" s="70">
        <v>0</v>
      </c>
      <c r="AC473" s="417">
        <v>0</v>
      </c>
      <c r="AD473" s="417">
        <v>0</v>
      </c>
      <c r="AE473" s="378">
        <v>8.6999999999999997E-6</v>
      </c>
      <c r="AF473" s="378"/>
      <c r="AG473" s="70">
        <v>615374.81930000102</v>
      </c>
      <c r="AH473" s="70">
        <v>615374.81930000102</v>
      </c>
      <c r="AI473" s="70">
        <v>493248.81930000102</v>
      </c>
      <c r="AJ473" s="417">
        <v>0</v>
      </c>
      <c r="AK473" s="417">
        <v>0</v>
      </c>
      <c r="AL473" s="378">
        <v>8.6999999999999997E-6</v>
      </c>
      <c r="AM473" s="378"/>
      <c r="AN473" s="70">
        <v>-178683</v>
      </c>
      <c r="AO473" s="70">
        <v>0</v>
      </c>
      <c r="AP473" s="70">
        <v>0</v>
      </c>
      <c r="AQ473" s="417">
        <v>0</v>
      </c>
      <c r="AR473" s="417">
        <v>0</v>
      </c>
    </row>
    <row r="474" spans="1:44">
      <c r="A474" s="439">
        <v>95010</v>
      </c>
      <c r="B474" s="440" t="s">
        <v>3719</v>
      </c>
      <c r="C474" s="437">
        <v>2.34E-5</v>
      </c>
      <c r="D474" s="441"/>
      <c r="E474" s="438">
        <v>26514.35425</v>
      </c>
      <c r="F474" s="442">
        <v>15807.657049999998</v>
      </c>
      <c r="G474" s="442">
        <v>4462.5986499999981</v>
      </c>
      <c r="H474" s="442">
        <v>20786.3838</v>
      </c>
      <c r="I474" s="442">
        <v>0</v>
      </c>
      <c r="J474" s="443">
        <v>7.9999999999999996E-6</v>
      </c>
      <c r="K474" s="443"/>
      <c r="L474" s="444">
        <v>3770.3717999999999</v>
      </c>
      <c r="M474" s="444">
        <v>1545.9677999999999</v>
      </c>
      <c r="N474" s="444">
        <v>-185.86619999999999</v>
      </c>
      <c r="O474" s="444">
        <v>0</v>
      </c>
      <c r="P474" s="417">
        <v>0</v>
      </c>
      <c r="Q474" s="378">
        <v>7.9999999999999996E-6</v>
      </c>
      <c r="R474" s="378"/>
      <c r="S474" s="70">
        <v>9167.020199999999</v>
      </c>
      <c r="T474" s="105">
        <v>8579.773799999999</v>
      </c>
      <c r="U474" s="70">
        <v>5097.3155999999999</v>
      </c>
      <c r="V474" s="70">
        <v>20786.3838</v>
      </c>
      <c r="W474" s="417">
        <v>0</v>
      </c>
      <c r="X474" s="378">
        <v>7.9999999999999996E-6</v>
      </c>
      <c r="Z474" s="70">
        <v>6585.8130000000001</v>
      </c>
      <c r="AA474" s="70">
        <v>6585.7662</v>
      </c>
      <c r="AB474" s="70">
        <v>0</v>
      </c>
      <c r="AC474" s="417">
        <v>0</v>
      </c>
      <c r="AD474" s="417">
        <v>0</v>
      </c>
      <c r="AE474" s="378">
        <v>7.9999999999999996E-6</v>
      </c>
      <c r="AF474" s="378"/>
      <c r="AG474" s="70">
        <v>7895</v>
      </c>
      <c r="AH474" s="70">
        <v>0</v>
      </c>
      <c r="AI474" s="70">
        <v>0</v>
      </c>
      <c r="AJ474" s="417">
        <v>0</v>
      </c>
      <c r="AK474" s="417">
        <v>0</v>
      </c>
      <c r="AL474" s="378">
        <v>7.9999999999999996E-6</v>
      </c>
      <c r="AM474" s="378"/>
      <c r="AN474" s="70">
        <v>-903.85075000000143</v>
      </c>
      <c r="AO474" s="70">
        <v>-903.85075000000143</v>
      </c>
      <c r="AP474" s="70">
        <v>-448.85075000000143</v>
      </c>
      <c r="AQ474" s="417">
        <v>0</v>
      </c>
      <c r="AR474" s="417">
        <v>0</v>
      </c>
    </row>
    <row r="475" spans="1:44">
      <c r="A475" s="439">
        <v>95011</v>
      </c>
      <c r="B475" s="440" t="s">
        <v>1183</v>
      </c>
      <c r="C475" s="437">
        <v>1.9029999999999999E-4</v>
      </c>
      <c r="D475" s="441"/>
      <c r="E475" s="438">
        <v>154573.10287499998</v>
      </c>
      <c r="F475" s="442">
        <v>139486.03547499998</v>
      </c>
      <c r="G475" s="442">
        <v>41023.312675000001</v>
      </c>
      <c r="H475" s="442">
        <v>169044.82209999999</v>
      </c>
      <c r="I475" s="442">
        <v>0</v>
      </c>
      <c r="J475" s="443">
        <v>6.0000000000000002E-6</v>
      </c>
      <c r="K475" s="443"/>
      <c r="L475" s="444">
        <v>30662.468099999998</v>
      </c>
      <c r="M475" s="444">
        <v>12572.550099999999</v>
      </c>
      <c r="N475" s="444">
        <v>-1511.5528999999999</v>
      </c>
      <c r="O475" s="444">
        <v>0</v>
      </c>
      <c r="P475" s="417">
        <v>0</v>
      </c>
      <c r="Q475" s="378">
        <v>6.0000000000000002E-6</v>
      </c>
      <c r="R475" s="378"/>
      <c r="S475" s="70">
        <v>74550.5959</v>
      </c>
      <c r="T475" s="105">
        <v>69774.827099999995</v>
      </c>
      <c r="U475" s="70">
        <v>41453.8102</v>
      </c>
      <c r="V475" s="70">
        <v>169044.82209999999</v>
      </c>
      <c r="W475" s="417">
        <v>0</v>
      </c>
      <c r="X475" s="378">
        <v>6.0000000000000002E-6</v>
      </c>
      <c r="Z475" s="70">
        <v>53558.983499999995</v>
      </c>
      <c r="AA475" s="70">
        <v>53558.602899999998</v>
      </c>
      <c r="AB475" s="70">
        <v>0</v>
      </c>
      <c r="AC475" s="417">
        <v>0</v>
      </c>
      <c r="AD475" s="417">
        <v>0</v>
      </c>
      <c r="AE475" s="378">
        <v>6.0000000000000002E-6</v>
      </c>
      <c r="AF475" s="378"/>
      <c r="AG475" s="70">
        <v>3845.0553750000036</v>
      </c>
      <c r="AH475" s="70">
        <v>3580.0553750000036</v>
      </c>
      <c r="AI475" s="70">
        <v>1081.0553750000036</v>
      </c>
      <c r="AJ475" s="417">
        <v>0</v>
      </c>
      <c r="AK475" s="417">
        <v>0</v>
      </c>
      <c r="AL475" s="378">
        <v>6.0000000000000002E-6</v>
      </c>
      <c r="AM475" s="378"/>
      <c r="AN475" s="70">
        <v>-8044</v>
      </c>
      <c r="AO475" s="70">
        <v>0</v>
      </c>
      <c r="AP475" s="70">
        <v>0</v>
      </c>
      <c r="AQ475" s="417">
        <v>0</v>
      </c>
      <c r="AR475" s="417">
        <v>0</v>
      </c>
    </row>
    <row r="476" spans="1:44">
      <c r="A476" s="439">
        <v>95017</v>
      </c>
      <c r="B476" s="440" t="s">
        <v>1184</v>
      </c>
      <c r="C476" s="437">
        <v>3.9799999999999998E-5</v>
      </c>
      <c r="D476" s="441"/>
      <c r="E476" s="438">
        <v>32303.633150000001</v>
      </c>
      <c r="F476" s="442">
        <v>31917.344749999997</v>
      </c>
      <c r="G476" s="442">
        <v>29666.159950000001</v>
      </c>
      <c r="H476" s="442">
        <v>35354.618600000002</v>
      </c>
      <c r="I476" s="442">
        <v>0</v>
      </c>
      <c r="J476" s="443">
        <v>2.1762000000000001E-3</v>
      </c>
      <c r="K476" s="443"/>
      <c r="L476" s="444">
        <v>6412.8545999999997</v>
      </c>
      <c r="M476" s="444">
        <v>2629.4665999999997</v>
      </c>
      <c r="N476" s="444">
        <v>-316.13139999999999</v>
      </c>
      <c r="O476" s="444">
        <v>0</v>
      </c>
      <c r="P476" s="417">
        <v>0</v>
      </c>
      <c r="Q476" s="378">
        <v>2.1762000000000001E-3</v>
      </c>
      <c r="R476" s="378"/>
      <c r="S476" s="70">
        <v>15591.769399999999</v>
      </c>
      <c r="T476" s="105">
        <v>14592.9486</v>
      </c>
      <c r="U476" s="70">
        <v>8669.7932000000001</v>
      </c>
      <c r="V476" s="70">
        <v>35354.618600000002</v>
      </c>
      <c r="W476" s="417">
        <v>0</v>
      </c>
      <c r="X476" s="378">
        <v>2.1762000000000001E-3</v>
      </c>
      <c r="Z476" s="70">
        <v>11201.511</v>
      </c>
      <c r="AA476" s="70">
        <v>11201.431399999999</v>
      </c>
      <c r="AB476" s="70">
        <v>0</v>
      </c>
      <c r="AC476" s="417">
        <v>0</v>
      </c>
      <c r="AD476" s="417">
        <v>0</v>
      </c>
      <c r="AE476" s="378">
        <v>2.1762000000000001E-3</v>
      </c>
      <c r="AF476" s="378"/>
      <c r="AG476" s="70">
        <v>21317.498149999999</v>
      </c>
      <c r="AH476" s="70">
        <v>21312.498149999999</v>
      </c>
      <c r="AI476" s="70">
        <v>21312.498149999999</v>
      </c>
      <c r="AJ476" s="417">
        <v>0</v>
      </c>
      <c r="AK476" s="417">
        <v>0</v>
      </c>
      <c r="AL476" s="378">
        <v>2.1762000000000001E-3</v>
      </c>
      <c r="AM476" s="378"/>
      <c r="AN476" s="70">
        <v>-22220</v>
      </c>
      <c r="AO476" s="70">
        <v>-17819</v>
      </c>
      <c r="AP476" s="70">
        <v>0</v>
      </c>
      <c r="AQ476" s="417">
        <v>0</v>
      </c>
      <c r="AR476" s="417">
        <v>0</v>
      </c>
    </row>
    <row r="477" spans="1:44">
      <c r="A477" s="439">
        <v>95101</v>
      </c>
      <c r="B477" s="440" t="s">
        <v>1185</v>
      </c>
      <c r="C477" s="437">
        <v>9.2426000000000001E-3</v>
      </c>
      <c r="D477" s="441"/>
      <c r="E477" s="438">
        <v>7778014.9195000008</v>
      </c>
      <c r="F477" s="442">
        <v>6663754.5887000002</v>
      </c>
      <c r="G477" s="442">
        <v>2134054.2311000004</v>
      </c>
      <c r="H477" s="442">
        <v>8210266.2782000005</v>
      </c>
      <c r="I477" s="442">
        <v>0</v>
      </c>
      <c r="J477" s="443">
        <v>1.716E-4</v>
      </c>
      <c r="K477" s="443"/>
      <c r="L477" s="444">
        <v>1489232.4102</v>
      </c>
      <c r="M477" s="444">
        <v>610630.85420000006</v>
      </c>
      <c r="N477" s="444">
        <v>-73413.971799999999</v>
      </c>
      <c r="O477" s="444">
        <v>0</v>
      </c>
      <c r="P477" s="417">
        <v>0</v>
      </c>
      <c r="Q477" s="378">
        <v>1.716E-4</v>
      </c>
      <c r="R477" s="378"/>
      <c r="S477" s="70">
        <v>3620816.2778000003</v>
      </c>
      <c r="T477" s="105">
        <v>3388863.9882</v>
      </c>
      <c r="U477" s="70">
        <v>2013352.5284</v>
      </c>
      <c r="V477" s="70">
        <v>8210266.2782000005</v>
      </c>
      <c r="W477" s="417">
        <v>0</v>
      </c>
      <c r="X477" s="378">
        <v>1.716E-4</v>
      </c>
      <c r="Z477" s="70">
        <v>2601283.557</v>
      </c>
      <c r="AA477" s="70">
        <v>2601265.0718</v>
      </c>
      <c r="AB477" s="70">
        <v>0</v>
      </c>
      <c r="AC477" s="417">
        <v>0</v>
      </c>
      <c r="AD477" s="417">
        <v>0</v>
      </c>
      <c r="AE477" s="378">
        <v>1.716E-4</v>
      </c>
      <c r="AF477" s="378"/>
      <c r="AG477" s="70">
        <v>204794.6745000002</v>
      </c>
      <c r="AH477" s="70">
        <v>194115.6745000002</v>
      </c>
      <c r="AI477" s="70">
        <v>194115.6745000002</v>
      </c>
      <c r="AJ477" s="417">
        <v>0</v>
      </c>
      <c r="AK477" s="417">
        <v>0</v>
      </c>
      <c r="AL477" s="378">
        <v>1.716E-4</v>
      </c>
      <c r="AM477" s="378"/>
      <c r="AN477" s="70">
        <v>-138112</v>
      </c>
      <c r="AO477" s="70">
        <v>-131121</v>
      </c>
      <c r="AP477" s="70">
        <v>0</v>
      </c>
      <c r="AQ477" s="417">
        <v>0</v>
      </c>
      <c r="AR477" s="417">
        <v>0</v>
      </c>
    </row>
    <row r="478" spans="1:44">
      <c r="A478" s="439">
        <v>95103</v>
      </c>
      <c r="B478" s="440" t="s">
        <v>1186</v>
      </c>
      <c r="C478" s="437">
        <v>5.1199999999999998E-5</v>
      </c>
      <c r="D478" s="441"/>
      <c r="E478" s="438">
        <v>49943.659249999997</v>
      </c>
      <c r="F478" s="442">
        <v>41869.569650000005</v>
      </c>
      <c r="G478" s="442">
        <v>14736.63845</v>
      </c>
      <c r="H478" s="442">
        <v>45481.318399999996</v>
      </c>
      <c r="I478" s="442">
        <v>0</v>
      </c>
      <c r="J478" s="443">
        <v>1.874E-4</v>
      </c>
      <c r="K478" s="443"/>
      <c r="L478" s="444">
        <v>8249.7024000000001</v>
      </c>
      <c r="M478" s="444">
        <v>3382.6304</v>
      </c>
      <c r="N478" s="444">
        <v>-406.6816</v>
      </c>
      <c r="O478" s="444">
        <v>0</v>
      </c>
      <c r="P478" s="417">
        <v>0</v>
      </c>
      <c r="Q478" s="378">
        <v>1.874E-4</v>
      </c>
      <c r="R478" s="378"/>
      <c r="S478" s="70">
        <v>20057.7536</v>
      </c>
      <c r="T478" s="105">
        <v>18772.838400000001</v>
      </c>
      <c r="U478" s="70">
        <v>11153.1008</v>
      </c>
      <c r="V478" s="70">
        <v>45481.318399999996</v>
      </c>
      <c r="W478" s="417">
        <v>0</v>
      </c>
      <c r="X478" s="378">
        <v>1.874E-4</v>
      </c>
      <c r="Z478" s="70">
        <v>14409.983999999999</v>
      </c>
      <c r="AA478" s="70">
        <v>14409.881599999999</v>
      </c>
      <c r="AB478" s="70">
        <v>0</v>
      </c>
      <c r="AC478" s="417">
        <v>0</v>
      </c>
      <c r="AD478" s="417">
        <v>0</v>
      </c>
      <c r="AE478" s="378">
        <v>1.874E-4</v>
      </c>
      <c r="AF478" s="378"/>
      <c r="AG478" s="70">
        <v>8398.2192500000001</v>
      </c>
      <c r="AH478" s="70">
        <v>5304.2192500000001</v>
      </c>
      <c r="AI478" s="70">
        <v>3990.2192500000001</v>
      </c>
      <c r="AJ478" s="417">
        <v>0</v>
      </c>
      <c r="AK478" s="417">
        <v>0</v>
      </c>
      <c r="AL478" s="378">
        <v>1.874E-4</v>
      </c>
      <c r="AM478" s="378"/>
      <c r="AN478" s="70">
        <v>-1172</v>
      </c>
      <c r="AO478" s="70">
        <v>0</v>
      </c>
      <c r="AP478" s="70">
        <v>0</v>
      </c>
      <c r="AQ478" s="417">
        <v>0</v>
      </c>
      <c r="AR478" s="417">
        <v>0</v>
      </c>
    </row>
    <row r="479" spans="1:44">
      <c r="A479" s="439">
        <v>95104</v>
      </c>
      <c r="B479" s="440" t="s">
        <v>1187</v>
      </c>
      <c r="C479" s="437">
        <v>1.605E-4</v>
      </c>
      <c r="D479" s="441"/>
      <c r="E479" s="438">
        <v>191822.24957499999</v>
      </c>
      <c r="F479" s="442">
        <v>158333.890575</v>
      </c>
      <c r="G479" s="442">
        <v>60105.592574999995</v>
      </c>
      <c r="H479" s="442">
        <v>142573.27350000001</v>
      </c>
      <c r="I479" s="442">
        <v>0</v>
      </c>
      <c r="J479" s="443">
        <v>1.228E-4</v>
      </c>
      <c r="K479" s="443"/>
      <c r="L479" s="444">
        <v>25860.8835</v>
      </c>
      <c r="M479" s="444">
        <v>10603.753500000001</v>
      </c>
      <c r="N479" s="444">
        <v>-1274.8515</v>
      </c>
      <c r="O479" s="444">
        <v>0</v>
      </c>
      <c r="P479" s="417">
        <v>0</v>
      </c>
      <c r="Q479" s="378">
        <v>1.228E-4</v>
      </c>
      <c r="R479" s="378"/>
      <c r="S479" s="70">
        <v>62876.356500000002</v>
      </c>
      <c r="T479" s="105">
        <v>58848.448499999999</v>
      </c>
      <c r="U479" s="70">
        <v>34962.356999999996</v>
      </c>
      <c r="V479" s="70">
        <v>142573.27350000001</v>
      </c>
      <c r="W479" s="417">
        <v>0</v>
      </c>
      <c r="X479" s="378">
        <v>1.228E-4</v>
      </c>
      <c r="Z479" s="70">
        <v>45171.922500000001</v>
      </c>
      <c r="AA479" s="70">
        <v>45171.601499999997</v>
      </c>
      <c r="AB479" s="70">
        <v>0</v>
      </c>
      <c r="AC479" s="417">
        <v>0</v>
      </c>
      <c r="AD479" s="417">
        <v>0</v>
      </c>
      <c r="AE479" s="378">
        <v>1.228E-4</v>
      </c>
      <c r="AF479" s="378"/>
      <c r="AG479" s="70">
        <v>57913.087074999996</v>
      </c>
      <c r="AH479" s="70">
        <v>43710.087074999996</v>
      </c>
      <c r="AI479" s="70">
        <v>26418.087074999996</v>
      </c>
      <c r="AJ479" s="417">
        <v>0</v>
      </c>
      <c r="AK479" s="417">
        <v>0</v>
      </c>
      <c r="AL479" s="378">
        <v>1.228E-4</v>
      </c>
      <c r="AM479" s="378"/>
      <c r="AN479" s="70">
        <v>0</v>
      </c>
      <c r="AO479" s="70">
        <v>0</v>
      </c>
      <c r="AP479" s="70">
        <v>0</v>
      </c>
      <c r="AQ479" s="417">
        <v>0</v>
      </c>
      <c r="AR479" s="417">
        <v>0</v>
      </c>
    </row>
    <row r="480" spans="1:44">
      <c r="A480" s="439">
        <v>95105</v>
      </c>
      <c r="B480" s="440" t="s">
        <v>1188</v>
      </c>
      <c r="C480" s="437">
        <v>6.8899999999999994E-5</v>
      </c>
      <c r="D480" s="441"/>
      <c r="E480" s="438">
        <v>52487.724675000005</v>
      </c>
      <c r="F480" s="442">
        <v>39542.838474999997</v>
      </c>
      <c r="G480" s="442">
        <v>19268.222074999998</v>
      </c>
      <c r="H480" s="442">
        <v>61204.352299999991</v>
      </c>
      <c r="I480" s="442">
        <v>0</v>
      </c>
      <c r="J480" s="443">
        <v>4.0679999999999996E-3</v>
      </c>
      <c r="K480" s="443"/>
      <c r="L480" s="444">
        <v>11101.650299999999</v>
      </c>
      <c r="M480" s="444">
        <v>4552.0162999999993</v>
      </c>
      <c r="N480" s="444">
        <v>-547.27269999999999</v>
      </c>
      <c r="O480" s="444">
        <v>0</v>
      </c>
      <c r="P480" s="417">
        <v>0</v>
      </c>
      <c r="Q480" s="378">
        <v>4.0679999999999996E-3</v>
      </c>
      <c r="R480" s="378"/>
      <c r="S480" s="70">
        <v>26991.7817</v>
      </c>
      <c r="T480" s="105">
        <v>25262.667299999997</v>
      </c>
      <c r="U480" s="70">
        <v>15008.762599999998</v>
      </c>
      <c r="V480" s="70">
        <v>61204.352299999991</v>
      </c>
      <c r="W480" s="417">
        <v>0</v>
      </c>
      <c r="X480" s="378">
        <v>4.0679999999999996E-3</v>
      </c>
      <c r="Z480" s="70">
        <v>19391.5605</v>
      </c>
      <c r="AA480" s="70">
        <v>19391.422699999999</v>
      </c>
      <c r="AB480" s="70">
        <v>0</v>
      </c>
      <c r="AC480" s="417">
        <v>0</v>
      </c>
      <c r="AD480" s="417">
        <v>0</v>
      </c>
      <c r="AE480" s="378">
        <v>4.0679999999999996E-3</v>
      </c>
      <c r="AF480" s="378"/>
      <c r="AG480" s="70">
        <v>9472.7321749999974</v>
      </c>
      <c r="AH480" s="70">
        <v>4806.7321749999974</v>
      </c>
      <c r="AI480" s="70">
        <v>4806.7321749999974</v>
      </c>
      <c r="AJ480" s="417">
        <v>0</v>
      </c>
      <c r="AK480" s="417">
        <v>0</v>
      </c>
      <c r="AL480" s="378">
        <v>4.0679999999999996E-3</v>
      </c>
      <c r="AM480" s="378"/>
      <c r="AN480" s="70">
        <v>-14470</v>
      </c>
      <c r="AO480" s="70">
        <v>-14470</v>
      </c>
      <c r="AP480" s="70">
        <v>0</v>
      </c>
      <c r="AQ480" s="417">
        <v>0</v>
      </c>
      <c r="AR480" s="417">
        <v>0</v>
      </c>
    </row>
    <row r="481" spans="1:44">
      <c r="A481" s="439">
        <v>95106</v>
      </c>
      <c r="B481" s="440" t="s">
        <v>1189</v>
      </c>
      <c r="C481" s="437">
        <v>1.5999999999999999E-5</v>
      </c>
      <c r="D481" s="441"/>
      <c r="E481" s="438">
        <v>19530.463100000001</v>
      </c>
      <c r="F481" s="442">
        <v>17095.935099999999</v>
      </c>
      <c r="G481" s="442">
        <v>5287.5190999999995</v>
      </c>
      <c r="H481" s="442">
        <v>14212.912</v>
      </c>
      <c r="I481" s="442">
        <v>0</v>
      </c>
      <c r="J481" s="443">
        <v>2.2399999999999999E-5</v>
      </c>
      <c r="K481" s="443"/>
      <c r="L481" s="444">
        <v>2578.0319999999997</v>
      </c>
      <c r="M481" s="444">
        <v>1057.0719999999999</v>
      </c>
      <c r="N481" s="444">
        <v>-127.08799999999999</v>
      </c>
      <c r="O481" s="444">
        <v>0</v>
      </c>
      <c r="P481" s="417">
        <v>0</v>
      </c>
      <c r="Q481" s="378">
        <v>2.2399999999999999E-5</v>
      </c>
      <c r="R481" s="378"/>
      <c r="S481" s="70">
        <v>6268.0479999999998</v>
      </c>
      <c r="T481" s="105">
        <v>5866.5119999999997</v>
      </c>
      <c r="U481" s="70">
        <v>3485.3440000000001</v>
      </c>
      <c r="V481" s="70">
        <v>14212.912</v>
      </c>
      <c r="W481" s="417">
        <v>0</v>
      </c>
      <c r="X481" s="378">
        <v>2.2399999999999999E-5</v>
      </c>
      <c r="Z481" s="70">
        <v>4503.12</v>
      </c>
      <c r="AA481" s="70">
        <v>4503.0879999999997</v>
      </c>
      <c r="AB481" s="70">
        <v>0</v>
      </c>
      <c r="AC481" s="417">
        <v>0</v>
      </c>
      <c r="AD481" s="417">
        <v>0</v>
      </c>
      <c r="AE481" s="378">
        <v>2.2399999999999999E-5</v>
      </c>
      <c r="AF481" s="378"/>
      <c r="AG481" s="70">
        <v>6181.2631000000001</v>
      </c>
      <c r="AH481" s="70">
        <v>5669.2631000000001</v>
      </c>
      <c r="AI481" s="70">
        <v>1929.2631000000001</v>
      </c>
      <c r="AJ481" s="417">
        <v>0</v>
      </c>
      <c r="AK481" s="417">
        <v>0</v>
      </c>
      <c r="AL481" s="378">
        <v>2.2399999999999999E-5</v>
      </c>
      <c r="AM481" s="378"/>
      <c r="AN481" s="70">
        <v>0</v>
      </c>
      <c r="AO481" s="70">
        <v>0</v>
      </c>
      <c r="AP481" s="70">
        <v>0</v>
      </c>
      <c r="AQ481" s="417">
        <v>0</v>
      </c>
      <c r="AR481" s="417">
        <v>0</v>
      </c>
    </row>
    <row r="482" spans="1:44">
      <c r="A482" s="439">
        <v>95110</v>
      </c>
      <c r="B482" s="440" t="s">
        <v>1190</v>
      </c>
      <c r="C482" s="437">
        <v>2.2951E-3</v>
      </c>
      <c r="D482" s="441"/>
      <c r="E482" s="438">
        <v>1677486.6461749999</v>
      </c>
      <c r="F482" s="442">
        <v>1544045.0203749998</v>
      </c>
      <c r="G482" s="442">
        <v>482192.17277499969</v>
      </c>
      <c r="H482" s="442">
        <v>2038753.3957</v>
      </c>
      <c r="I482" s="442">
        <v>0</v>
      </c>
      <c r="J482" s="443">
        <v>1.808E-4</v>
      </c>
      <c r="K482" s="443"/>
      <c r="L482" s="444">
        <v>369802.57770000002</v>
      </c>
      <c r="M482" s="444">
        <v>151630.37169999999</v>
      </c>
      <c r="N482" s="444">
        <v>-18229.979299999999</v>
      </c>
      <c r="O482" s="444">
        <v>0</v>
      </c>
      <c r="P482" s="417">
        <v>0</v>
      </c>
      <c r="Q482" s="378">
        <v>1.808E-4</v>
      </c>
      <c r="R482" s="378"/>
      <c r="S482" s="70">
        <v>899112.31030000001</v>
      </c>
      <c r="T482" s="105">
        <v>841514.48069999996</v>
      </c>
      <c r="U482" s="70">
        <v>499950.81339999998</v>
      </c>
      <c r="V482" s="70">
        <v>2038753.3957</v>
      </c>
      <c r="W482" s="417">
        <v>0</v>
      </c>
      <c r="X482" s="378">
        <v>1.808E-4</v>
      </c>
      <c r="Z482" s="70">
        <v>645944.41949999996</v>
      </c>
      <c r="AA482" s="70">
        <v>645939.82929999998</v>
      </c>
      <c r="AB482" s="70">
        <v>0</v>
      </c>
      <c r="AC482" s="417">
        <v>0</v>
      </c>
      <c r="AD482" s="417">
        <v>0</v>
      </c>
      <c r="AE482" s="378">
        <v>1.808E-4</v>
      </c>
      <c r="AF482" s="378"/>
      <c r="AG482" s="70">
        <v>471.33867499971529</v>
      </c>
      <c r="AH482" s="70">
        <v>471.33867499971529</v>
      </c>
      <c r="AI482" s="70">
        <v>471.33867499971529</v>
      </c>
      <c r="AJ482" s="417">
        <v>0</v>
      </c>
      <c r="AK482" s="417">
        <v>0</v>
      </c>
      <c r="AL482" s="378">
        <v>1.808E-4</v>
      </c>
      <c r="AM482" s="378"/>
      <c r="AN482" s="70">
        <v>-237844</v>
      </c>
      <c r="AO482" s="70">
        <v>-95511</v>
      </c>
      <c r="AP482" s="70">
        <v>0</v>
      </c>
      <c r="AQ482" s="417">
        <v>0</v>
      </c>
      <c r="AR482" s="417">
        <v>0</v>
      </c>
    </row>
    <row r="483" spans="1:44">
      <c r="A483" s="439">
        <v>95111</v>
      </c>
      <c r="B483" s="440" t="s">
        <v>1191</v>
      </c>
      <c r="C483" s="437">
        <v>9.9170000000000009E-4</v>
      </c>
      <c r="D483" s="441"/>
      <c r="E483" s="438">
        <v>796669.03342500003</v>
      </c>
      <c r="F483" s="442">
        <v>719204.34482500004</v>
      </c>
      <c r="G483" s="442">
        <v>240554.83562500004</v>
      </c>
      <c r="H483" s="442">
        <v>880934.05190000008</v>
      </c>
      <c r="I483" s="442">
        <v>0</v>
      </c>
      <c r="J483" s="443">
        <v>0</v>
      </c>
      <c r="K483" s="443"/>
      <c r="L483" s="444">
        <v>159789.6459</v>
      </c>
      <c r="M483" s="444">
        <v>65518.643900000003</v>
      </c>
      <c r="N483" s="444">
        <v>-7877.0731000000005</v>
      </c>
      <c r="O483" s="444">
        <v>0</v>
      </c>
      <c r="P483" s="417">
        <v>0</v>
      </c>
      <c r="Q483" s="378">
        <v>0</v>
      </c>
      <c r="R483" s="378"/>
      <c r="S483" s="70">
        <v>388501.45010000002</v>
      </c>
      <c r="T483" s="105">
        <v>363613.74690000003</v>
      </c>
      <c r="U483" s="70">
        <v>216025.97780000002</v>
      </c>
      <c r="V483" s="70">
        <v>880934.05190000008</v>
      </c>
      <c r="W483" s="417">
        <v>0</v>
      </c>
      <c r="X483" s="378">
        <v>0</v>
      </c>
      <c r="Z483" s="70">
        <v>279109.00650000002</v>
      </c>
      <c r="AA483" s="70">
        <v>279107.02310000005</v>
      </c>
      <c r="AB483" s="70">
        <v>0</v>
      </c>
      <c r="AC483" s="417">
        <v>0</v>
      </c>
      <c r="AD483" s="417">
        <v>0</v>
      </c>
      <c r="AE483" s="378">
        <v>0</v>
      </c>
      <c r="AF483" s="378"/>
      <c r="AG483" s="70">
        <v>32405.930925000022</v>
      </c>
      <c r="AH483" s="70">
        <v>32405.930925000022</v>
      </c>
      <c r="AI483" s="70">
        <v>32405.930925000022</v>
      </c>
      <c r="AJ483" s="417">
        <v>0</v>
      </c>
      <c r="AK483" s="417">
        <v>0</v>
      </c>
      <c r="AL483" s="378">
        <v>0</v>
      </c>
      <c r="AM483" s="378"/>
      <c r="AN483" s="70">
        <v>-63137</v>
      </c>
      <c r="AO483" s="70">
        <v>-21441</v>
      </c>
      <c r="AP483" s="70">
        <v>0</v>
      </c>
      <c r="AQ483" s="417">
        <v>0</v>
      </c>
      <c r="AR483" s="417">
        <v>0</v>
      </c>
    </row>
    <row r="484" spans="1:44">
      <c r="A484" s="439">
        <v>95113</v>
      </c>
      <c r="B484" s="440" t="s">
        <v>1192</v>
      </c>
      <c r="C484" s="437">
        <v>6.0099999999999997E-5</v>
      </c>
      <c r="D484" s="441"/>
      <c r="E484" s="438">
        <v>100170.21212499999</v>
      </c>
      <c r="F484" s="442">
        <v>79656.716324999987</v>
      </c>
      <c r="G484" s="442">
        <v>31658.728725000001</v>
      </c>
      <c r="H484" s="442">
        <v>53387.250699999997</v>
      </c>
      <c r="I484" s="442">
        <v>0</v>
      </c>
      <c r="J484" s="443">
        <v>8.7860999999999998E-3</v>
      </c>
      <c r="K484" s="443"/>
      <c r="L484" s="444">
        <v>9683.7326999999987</v>
      </c>
      <c r="M484" s="444">
        <v>3970.6266999999998</v>
      </c>
      <c r="N484" s="444">
        <v>-477.37430000000001</v>
      </c>
      <c r="O484" s="444">
        <v>0</v>
      </c>
      <c r="P484" s="417">
        <v>0</v>
      </c>
      <c r="Q484" s="378">
        <v>8.7860999999999998E-3</v>
      </c>
      <c r="R484" s="378"/>
      <c r="S484" s="70">
        <v>23544.355299999999</v>
      </c>
      <c r="T484" s="105">
        <v>22036.0857</v>
      </c>
      <c r="U484" s="70">
        <v>13091.823399999999</v>
      </c>
      <c r="V484" s="70">
        <v>53387.250699999997</v>
      </c>
      <c r="W484" s="417">
        <v>0</v>
      </c>
      <c r="X484" s="378">
        <v>8.7860999999999998E-3</v>
      </c>
      <c r="Z484" s="70">
        <v>16914.844499999999</v>
      </c>
      <c r="AA484" s="70">
        <v>16914.724299999998</v>
      </c>
      <c r="AB484" s="70">
        <v>0</v>
      </c>
      <c r="AC484" s="417">
        <v>0</v>
      </c>
      <c r="AD484" s="417">
        <v>0</v>
      </c>
      <c r="AE484" s="378">
        <v>8.7860999999999998E-3</v>
      </c>
      <c r="AF484" s="378"/>
      <c r="AG484" s="70">
        <v>50027.279624999996</v>
      </c>
      <c r="AH484" s="70">
        <v>36735.279624999996</v>
      </c>
      <c r="AI484" s="70">
        <v>19044.279624999999</v>
      </c>
      <c r="AJ484" s="417">
        <v>0</v>
      </c>
      <c r="AK484" s="417">
        <v>0</v>
      </c>
      <c r="AL484" s="378">
        <v>8.7860999999999998E-3</v>
      </c>
      <c r="AM484" s="378"/>
      <c r="AN484" s="70">
        <v>0</v>
      </c>
      <c r="AO484" s="70">
        <v>0</v>
      </c>
      <c r="AP484" s="70">
        <v>0</v>
      </c>
      <c r="AQ484" s="417">
        <v>0</v>
      </c>
      <c r="AR484" s="417">
        <v>0</v>
      </c>
    </row>
    <row r="485" spans="1:44">
      <c r="A485" s="439">
        <v>95121</v>
      </c>
      <c r="B485" s="440" t="s">
        <v>1193</v>
      </c>
      <c r="C485" s="437">
        <v>4.996E-4</v>
      </c>
      <c r="D485" s="441"/>
      <c r="E485" s="438">
        <v>404950.34180000005</v>
      </c>
      <c r="F485" s="442">
        <v>340704.40500000003</v>
      </c>
      <c r="G485" s="442">
        <v>91834.115400000024</v>
      </c>
      <c r="H485" s="442">
        <v>443798.17719999998</v>
      </c>
      <c r="I485" s="442">
        <v>0</v>
      </c>
      <c r="J485" s="443">
        <v>4.7700000000000001E-5</v>
      </c>
      <c r="K485" s="443"/>
      <c r="L485" s="444">
        <v>80499.049199999994</v>
      </c>
      <c r="M485" s="444">
        <v>33007.073199999999</v>
      </c>
      <c r="N485" s="444">
        <v>-3968.3227999999999</v>
      </c>
      <c r="O485" s="444">
        <v>0</v>
      </c>
      <c r="P485" s="417">
        <v>0</v>
      </c>
      <c r="Q485" s="378">
        <v>4.7700000000000001E-5</v>
      </c>
      <c r="R485" s="378"/>
      <c r="S485" s="70">
        <v>195719.79879999999</v>
      </c>
      <c r="T485" s="105">
        <v>183181.83720000001</v>
      </c>
      <c r="U485" s="70">
        <v>108829.8664</v>
      </c>
      <c r="V485" s="70">
        <v>443798.17719999998</v>
      </c>
      <c r="W485" s="417">
        <v>0</v>
      </c>
      <c r="X485" s="378">
        <v>4.7700000000000001E-5</v>
      </c>
      <c r="Z485" s="70">
        <v>140609.92199999999</v>
      </c>
      <c r="AA485" s="70">
        <v>140608.9228</v>
      </c>
      <c r="AB485" s="70">
        <v>0</v>
      </c>
      <c r="AC485" s="417">
        <v>0</v>
      </c>
      <c r="AD485" s="417">
        <v>0</v>
      </c>
      <c r="AE485" s="378">
        <v>4.7700000000000001E-5</v>
      </c>
      <c r="AF485" s="378"/>
      <c r="AG485" s="70">
        <v>14516</v>
      </c>
      <c r="AH485" s="70">
        <v>0</v>
      </c>
      <c r="AI485" s="70">
        <v>0</v>
      </c>
      <c r="AJ485" s="417">
        <v>0</v>
      </c>
      <c r="AK485" s="417">
        <v>0</v>
      </c>
      <c r="AL485" s="378">
        <v>4.7700000000000001E-5</v>
      </c>
      <c r="AM485" s="378"/>
      <c r="AN485" s="70">
        <v>-26394.42819999998</v>
      </c>
      <c r="AO485" s="70">
        <v>-16093.42819999998</v>
      </c>
      <c r="AP485" s="70">
        <v>-13027.42819999998</v>
      </c>
      <c r="AQ485" s="417">
        <v>0</v>
      </c>
      <c r="AR485" s="417">
        <v>0</v>
      </c>
    </row>
    <row r="486" spans="1:44">
      <c r="A486" s="439">
        <v>95122</v>
      </c>
      <c r="B486" s="440" t="s">
        <v>1194</v>
      </c>
      <c r="C486" s="437">
        <v>2.0599999999999999E-5</v>
      </c>
      <c r="D486" s="441"/>
      <c r="E486" s="438">
        <v>26242.970350000003</v>
      </c>
      <c r="F486" s="442">
        <v>19710.715550000001</v>
      </c>
      <c r="G486" s="442">
        <v>4560.6299500000014</v>
      </c>
      <c r="H486" s="442">
        <v>18299.124199999998</v>
      </c>
      <c r="I486" s="442">
        <v>0</v>
      </c>
      <c r="J486" s="443">
        <v>1.271E-4</v>
      </c>
      <c r="K486" s="443"/>
      <c r="L486" s="444">
        <v>3319.2161999999998</v>
      </c>
      <c r="M486" s="444">
        <v>1360.9802</v>
      </c>
      <c r="N486" s="444">
        <v>-163.6258</v>
      </c>
      <c r="O486" s="444">
        <v>0</v>
      </c>
      <c r="P486" s="417">
        <v>0</v>
      </c>
      <c r="Q486" s="378">
        <v>1.271E-4</v>
      </c>
      <c r="R486" s="378"/>
      <c r="S486" s="70">
        <v>8070.1117999999997</v>
      </c>
      <c r="T486" s="105">
        <v>7553.1341999999995</v>
      </c>
      <c r="U486" s="70">
        <v>4487.3804</v>
      </c>
      <c r="V486" s="70">
        <v>18299.124199999998</v>
      </c>
      <c r="W486" s="417">
        <v>0</v>
      </c>
      <c r="X486" s="378">
        <v>1.271E-4</v>
      </c>
      <c r="Z486" s="70">
        <v>5797.7669999999998</v>
      </c>
      <c r="AA486" s="70">
        <v>5797.7258000000002</v>
      </c>
      <c r="AB486" s="70">
        <v>0</v>
      </c>
      <c r="AC486" s="417">
        <v>0</v>
      </c>
      <c r="AD486" s="417">
        <v>0</v>
      </c>
      <c r="AE486" s="378">
        <v>1.271E-4</v>
      </c>
      <c r="AF486" s="378"/>
      <c r="AG486" s="70">
        <v>9055.8753500000021</v>
      </c>
      <c r="AH486" s="70">
        <v>4998.8753500000012</v>
      </c>
      <c r="AI486" s="70">
        <v>236.87535000000116</v>
      </c>
      <c r="AJ486" s="417">
        <v>0</v>
      </c>
      <c r="AK486" s="417">
        <v>0</v>
      </c>
      <c r="AL486" s="378">
        <v>1.271E-4</v>
      </c>
      <c r="AM486" s="378"/>
      <c r="AN486" s="70">
        <v>0</v>
      </c>
      <c r="AO486" s="70">
        <v>0</v>
      </c>
      <c r="AP486" s="70">
        <v>0</v>
      </c>
      <c r="AQ486" s="417">
        <v>0</v>
      </c>
      <c r="AR486" s="417">
        <v>0</v>
      </c>
    </row>
    <row r="487" spans="1:44">
      <c r="A487" s="439">
        <v>95123</v>
      </c>
      <c r="B487" s="440" t="s">
        <v>1195</v>
      </c>
      <c r="C487" s="437">
        <v>5.1900000000000001E-5</v>
      </c>
      <c r="D487" s="441"/>
      <c r="E487" s="438">
        <v>39649.224674999998</v>
      </c>
      <c r="F487" s="442">
        <v>32710.024474999998</v>
      </c>
      <c r="G487" s="442">
        <v>6521.1000749999985</v>
      </c>
      <c r="H487" s="442">
        <v>46103.133300000001</v>
      </c>
      <c r="I487" s="442">
        <v>0</v>
      </c>
      <c r="J487" s="443">
        <v>5.63E-5</v>
      </c>
      <c r="K487" s="443"/>
      <c r="L487" s="444">
        <v>8362.4912999999997</v>
      </c>
      <c r="M487" s="444">
        <v>3428.8773000000001</v>
      </c>
      <c r="N487" s="444">
        <v>-412.24170000000004</v>
      </c>
      <c r="O487" s="444">
        <v>0</v>
      </c>
      <c r="P487" s="417">
        <v>0</v>
      </c>
      <c r="Q487" s="378">
        <v>5.63E-5</v>
      </c>
      <c r="R487" s="378"/>
      <c r="S487" s="70">
        <v>20331.9807</v>
      </c>
      <c r="T487" s="105">
        <v>19029.498299999999</v>
      </c>
      <c r="U487" s="70">
        <v>11305.5846</v>
      </c>
      <c r="V487" s="70">
        <v>46103.133300000001</v>
      </c>
      <c r="W487" s="417">
        <v>0</v>
      </c>
      <c r="X487" s="378">
        <v>5.63E-5</v>
      </c>
      <c r="Z487" s="70">
        <v>14606.995500000001</v>
      </c>
      <c r="AA487" s="70">
        <v>14606.8917</v>
      </c>
      <c r="AB487" s="70">
        <v>0</v>
      </c>
      <c r="AC487" s="417">
        <v>0</v>
      </c>
      <c r="AD487" s="417">
        <v>0</v>
      </c>
      <c r="AE487" s="378">
        <v>5.63E-5</v>
      </c>
      <c r="AF487" s="378"/>
      <c r="AG487" s="70">
        <v>1132</v>
      </c>
      <c r="AH487" s="70">
        <v>17</v>
      </c>
      <c r="AI487" s="70">
        <v>0</v>
      </c>
      <c r="AJ487" s="417">
        <v>0</v>
      </c>
      <c r="AK487" s="417">
        <v>0</v>
      </c>
      <c r="AL487" s="378">
        <v>5.63E-5</v>
      </c>
      <c r="AM487" s="378"/>
      <c r="AN487" s="70">
        <v>-4784.2428250000012</v>
      </c>
      <c r="AO487" s="70">
        <v>-4372.2428250000012</v>
      </c>
      <c r="AP487" s="70">
        <v>-4372.2428250000012</v>
      </c>
      <c r="AQ487" s="417">
        <v>0</v>
      </c>
      <c r="AR487" s="417">
        <v>0</v>
      </c>
    </row>
    <row r="488" spans="1:44">
      <c r="A488" s="439">
        <v>95131</v>
      </c>
      <c r="B488" s="440" t="s">
        <v>1196</v>
      </c>
      <c r="C488" s="437">
        <v>2.0095E-3</v>
      </c>
      <c r="D488" s="441"/>
      <c r="E488" s="438">
        <v>1777897.551425</v>
      </c>
      <c r="F488" s="442">
        <v>1505315.050425</v>
      </c>
      <c r="G488" s="442">
        <v>507835.42842500005</v>
      </c>
      <c r="H488" s="442">
        <v>1785052.9165000001</v>
      </c>
      <c r="I488" s="442">
        <v>0</v>
      </c>
      <c r="J488" s="443">
        <v>1.5800000000000001E-5</v>
      </c>
      <c r="K488" s="443"/>
      <c r="L488" s="444">
        <v>323784.70649999997</v>
      </c>
      <c r="M488" s="444">
        <v>132761.63649999999</v>
      </c>
      <c r="N488" s="444">
        <v>-15961.458500000001</v>
      </c>
      <c r="O488" s="444">
        <v>0</v>
      </c>
      <c r="P488" s="417">
        <v>0</v>
      </c>
      <c r="Q488" s="378">
        <v>1.5800000000000001E-5</v>
      </c>
      <c r="R488" s="378"/>
      <c r="S488" s="70">
        <v>787227.65350000001</v>
      </c>
      <c r="T488" s="105">
        <v>736797.2415</v>
      </c>
      <c r="U488" s="70">
        <v>437737.42300000001</v>
      </c>
      <c r="V488" s="70">
        <v>1785052.9165000001</v>
      </c>
      <c r="W488" s="417">
        <v>0</v>
      </c>
      <c r="X488" s="378">
        <v>1.5800000000000001E-5</v>
      </c>
      <c r="Z488" s="70">
        <v>565563.72750000004</v>
      </c>
      <c r="AA488" s="70">
        <v>565559.70849999995</v>
      </c>
      <c r="AB488" s="70">
        <v>0</v>
      </c>
      <c r="AC488" s="417">
        <v>0</v>
      </c>
      <c r="AD488" s="417">
        <v>0</v>
      </c>
      <c r="AE488" s="378">
        <v>1.5800000000000001E-5</v>
      </c>
      <c r="AF488" s="378"/>
      <c r="AG488" s="70">
        <v>117184.46392500005</v>
      </c>
      <c r="AH488" s="70">
        <v>86059.463925000047</v>
      </c>
      <c r="AI488" s="70">
        <v>86059.463925000047</v>
      </c>
      <c r="AJ488" s="417">
        <v>0</v>
      </c>
      <c r="AK488" s="417">
        <v>0</v>
      </c>
      <c r="AL488" s="378">
        <v>1.5800000000000001E-5</v>
      </c>
      <c r="AM488" s="378"/>
      <c r="AN488" s="70">
        <v>-15863</v>
      </c>
      <c r="AO488" s="70">
        <v>-15863</v>
      </c>
      <c r="AP488" s="70">
        <v>0</v>
      </c>
      <c r="AQ488" s="417">
        <v>0</v>
      </c>
      <c r="AR488" s="417">
        <v>0</v>
      </c>
    </row>
    <row r="489" spans="1:44">
      <c r="A489" s="439">
        <v>95141</v>
      </c>
      <c r="B489" s="440" t="s">
        <v>1197</v>
      </c>
      <c r="C489" s="437">
        <v>4.438E-4</v>
      </c>
      <c r="D489" s="441"/>
      <c r="E489" s="438">
        <v>388617.43999999994</v>
      </c>
      <c r="F489" s="442">
        <v>324424.31959999993</v>
      </c>
      <c r="G489" s="442">
        <v>93999.630799999984</v>
      </c>
      <c r="H489" s="442">
        <v>394230.64659999998</v>
      </c>
      <c r="I489" s="442">
        <v>0</v>
      </c>
      <c r="J489" s="443">
        <v>2.4620000000000002E-3</v>
      </c>
      <c r="K489" s="443"/>
      <c r="L489" s="444">
        <v>71508.162599999996</v>
      </c>
      <c r="M489" s="444">
        <v>29320.534599999999</v>
      </c>
      <c r="N489" s="444">
        <v>-3525.1034</v>
      </c>
      <c r="O489" s="444">
        <v>0</v>
      </c>
      <c r="P489" s="417">
        <v>0</v>
      </c>
      <c r="Q489" s="378">
        <v>2.4620000000000002E-3</v>
      </c>
      <c r="R489" s="378"/>
      <c r="S489" s="70">
        <v>173859.98139999999</v>
      </c>
      <c r="T489" s="105">
        <v>162722.37659999999</v>
      </c>
      <c r="U489" s="70">
        <v>96674.729200000002</v>
      </c>
      <c r="V489" s="70">
        <v>394230.64659999998</v>
      </c>
      <c r="W489" s="417">
        <v>0</v>
      </c>
      <c r="X489" s="378">
        <v>2.4620000000000002E-3</v>
      </c>
      <c r="Z489" s="70">
        <v>124905.291</v>
      </c>
      <c r="AA489" s="70">
        <v>124904.4034</v>
      </c>
      <c r="AB489" s="70">
        <v>0</v>
      </c>
      <c r="AC489" s="417">
        <v>0</v>
      </c>
      <c r="AD489" s="417">
        <v>0</v>
      </c>
      <c r="AE489" s="378">
        <v>2.4620000000000002E-3</v>
      </c>
      <c r="AF489" s="378"/>
      <c r="AG489" s="70">
        <v>18344.004999999976</v>
      </c>
      <c r="AH489" s="70">
        <v>7477.0049999999756</v>
      </c>
      <c r="AI489" s="70">
        <v>850.00499999997555</v>
      </c>
      <c r="AJ489" s="417">
        <v>0</v>
      </c>
      <c r="AK489" s="417">
        <v>0</v>
      </c>
      <c r="AL489" s="378">
        <v>2.4620000000000002E-3</v>
      </c>
      <c r="AM489" s="378"/>
      <c r="AN489" s="70">
        <v>0</v>
      </c>
      <c r="AO489" s="70">
        <v>0</v>
      </c>
      <c r="AP489" s="70">
        <v>0</v>
      </c>
      <c r="AQ489" s="417">
        <v>0</v>
      </c>
      <c r="AR489" s="417">
        <v>0</v>
      </c>
    </row>
    <row r="490" spans="1:44">
      <c r="A490" s="439">
        <v>95151</v>
      </c>
      <c r="B490" s="440" t="s">
        <v>1198</v>
      </c>
      <c r="C490" s="437">
        <v>1.281E-4</v>
      </c>
      <c r="D490" s="441"/>
      <c r="E490" s="438">
        <v>103506.458725</v>
      </c>
      <c r="F490" s="442">
        <v>87279.218924999994</v>
      </c>
      <c r="G490" s="442">
        <v>22365.463325000001</v>
      </c>
      <c r="H490" s="442">
        <v>113792.12669999999</v>
      </c>
      <c r="I490" s="442">
        <v>0</v>
      </c>
      <c r="J490" s="443">
        <v>9.366E-4</v>
      </c>
      <c r="K490" s="443"/>
      <c r="L490" s="444">
        <v>20640.368699999999</v>
      </c>
      <c r="M490" s="444">
        <v>8463.1826999999994</v>
      </c>
      <c r="N490" s="444">
        <v>-1017.4983</v>
      </c>
      <c r="O490" s="444">
        <v>0</v>
      </c>
      <c r="P490" s="417">
        <v>0</v>
      </c>
      <c r="Q490" s="378">
        <v>9.366E-4</v>
      </c>
      <c r="R490" s="378"/>
      <c r="S490" s="70">
        <v>50183.559300000001</v>
      </c>
      <c r="T490" s="105">
        <v>46968.761699999995</v>
      </c>
      <c r="U490" s="70">
        <v>27904.535400000001</v>
      </c>
      <c r="V490" s="70">
        <v>113792.12669999999</v>
      </c>
      <c r="W490" s="417">
        <v>0</v>
      </c>
      <c r="X490" s="378">
        <v>9.366E-4</v>
      </c>
      <c r="Z490" s="70">
        <v>36053.104500000001</v>
      </c>
      <c r="AA490" s="70">
        <v>36052.848299999998</v>
      </c>
      <c r="AB490" s="70">
        <v>0</v>
      </c>
      <c r="AC490" s="417">
        <v>0</v>
      </c>
      <c r="AD490" s="417">
        <v>0</v>
      </c>
      <c r="AE490" s="378">
        <v>9.366E-4</v>
      </c>
      <c r="AF490" s="378"/>
      <c r="AG490" s="70">
        <v>2778</v>
      </c>
      <c r="AH490" s="70">
        <v>316</v>
      </c>
      <c r="AI490" s="70">
        <v>0</v>
      </c>
      <c r="AJ490" s="417">
        <v>0</v>
      </c>
      <c r="AK490" s="417">
        <v>0</v>
      </c>
      <c r="AL490" s="378">
        <v>9.366E-4</v>
      </c>
      <c r="AM490" s="378"/>
      <c r="AN490" s="70">
        <v>-6148.5737750000008</v>
      </c>
      <c r="AO490" s="70">
        <v>-4521.5737750000008</v>
      </c>
      <c r="AP490" s="70">
        <v>-4521.5737750000008</v>
      </c>
      <c r="AQ490" s="417">
        <v>0</v>
      </c>
      <c r="AR490" s="417">
        <v>0</v>
      </c>
    </row>
    <row r="491" spans="1:44">
      <c r="A491" s="439">
        <v>95161</v>
      </c>
      <c r="B491" s="440" t="s">
        <v>1199</v>
      </c>
      <c r="C491" s="437">
        <v>7.6899999999999999E-5</v>
      </c>
      <c r="D491" s="441"/>
      <c r="E491" s="438">
        <v>69706.586725000001</v>
      </c>
      <c r="F491" s="442">
        <v>57511.436524999997</v>
      </c>
      <c r="G491" s="442">
        <v>21308.612125000003</v>
      </c>
      <c r="H491" s="442">
        <v>68310.808300000004</v>
      </c>
      <c r="I491" s="442">
        <v>0</v>
      </c>
      <c r="J491" s="443">
        <v>4.9599999999999999E-5</v>
      </c>
      <c r="K491" s="443"/>
      <c r="L491" s="444">
        <v>12390.666299999999</v>
      </c>
      <c r="M491" s="444">
        <v>5080.5523000000003</v>
      </c>
      <c r="N491" s="444">
        <v>-610.81669999999997</v>
      </c>
      <c r="O491" s="444">
        <v>0</v>
      </c>
      <c r="P491" s="417">
        <v>0</v>
      </c>
      <c r="Q491" s="378">
        <v>4.9599999999999999E-5</v>
      </c>
      <c r="R491" s="378"/>
      <c r="S491" s="70">
        <v>30125.805700000001</v>
      </c>
      <c r="T491" s="105">
        <v>28195.923299999999</v>
      </c>
      <c r="U491" s="70">
        <v>16751.434600000001</v>
      </c>
      <c r="V491" s="70">
        <v>68310.808300000004</v>
      </c>
      <c r="W491" s="417">
        <v>0</v>
      </c>
      <c r="X491" s="378">
        <v>4.9599999999999999E-5</v>
      </c>
      <c r="Z491" s="70">
        <v>21643.120500000001</v>
      </c>
      <c r="AA491" s="70">
        <v>21642.966700000001</v>
      </c>
      <c r="AB491" s="70">
        <v>0</v>
      </c>
      <c r="AC491" s="417">
        <v>0</v>
      </c>
      <c r="AD491" s="417">
        <v>0</v>
      </c>
      <c r="AE491" s="378">
        <v>4.9599999999999999E-5</v>
      </c>
      <c r="AF491" s="378"/>
      <c r="AG491" s="70">
        <v>8122.9942250000022</v>
      </c>
      <c r="AH491" s="70">
        <v>5167.9942250000022</v>
      </c>
      <c r="AI491" s="70">
        <v>5167.9942250000022</v>
      </c>
      <c r="AJ491" s="417">
        <v>0</v>
      </c>
      <c r="AK491" s="417">
        <v>0</v>
      </c>
      <c r="AL491" s="378">
        <v>4.9599999999999999E-5</v>
      </c>
      <c r="AM491" s="378"/>
      <c r="AN491" s="70">
        <v>-2576</v>
      </c>
      <c r="AO491" s="70">
        <v>-2576</v>
      </c>
      <c r="AP491" s="70">
        <v>0</v>
      </c>
      <c r="AQ491" s="417">
        <v>0</v>
      </c>
      <c r="AR491" s="417">
        <v>0</v>
      </c>
    </row>
    <row r="492" spans="1:44">
      <c r="A492" s="439">
        <v>95171</v>
      </c>
      <c r="B492" s="440" t="s">
        <v>1200</v>
      </c>
      <c r="C492" s="437">
        <v>1.216E-4</v>
      </c>
      <c r="D492" s="441"/>
      <c r="E492" s="438">
        <v>108571.75575000001</v>
      </c>
      <c r="F492" s="442">
        <v>83249.542950000017</v>
      </c>
      <c r="G492" s="442">
        <v>34263.581350000008</v>
      </c>
      <c r="H492" s="442">
        <v>108018.1312</v>
      </c>
      <c r="I492" s="442">
        <v>0</v>
      </c>
      <c r="J492" s="443">
        <v>5.1400000000000003E-4</v>
      </c>
      <c r="K492" s="443"/>
      <c r="L492" s="444">
        <v>19593.0432</v>
      </c>
      <c r="M492" s="444">
        <v>8033.7471999999998</v>
      </c>
      <c r="N492" s="444">
        <v>-965.86879999999996</v>
      </c>
      <c r="O492" s="444">
        <v>0</v>
      </c>
      <c r="P492" s="417">
        <v>0</v>
      </c>
      <c r="Q492" s="378">
        <v>5.1400000000000003E-4</v>
      </c>
      <c r="R492" s="378"/>
      <c r="S492" s="70">
        <v>47637.164799999999</v>
      </c>
      <c r="T492" s="105">
        <v>44585.491200000004</v>
      </c>
      <c r="U492" s="70">
        <v>26488.614399999999</v>
      </c>
      <c r="V492" s="70">
        <v>108018.1312</v>
      </c>
      <c r="W492" s="417">
        <v>0</v>
      </c>
      <c r="X492" s="378">
        <v>5.1400000000000003E-4</v>
      </c>
      <c r="Z492" s="70">
        <v>34223.712</v>
      </c>
      <c r="AA492" s="70">
        <v>34223.468800000002</v>
      </c>
      <c r="AB492" s="70">
        <v>0</v>
      </c>
      <c r="AC492" s="417">
        <v>0</v>
      </c>
      <c r="AD492" s="417">
        <v>0</v>
      </c>
      <c r="AE492" s="378">
        <v>5.1400000000000003E-4</v>
      </c>
      <c r="AF492" s="378"/>
      <c r="AG492" s="70">
        <v>19451.835750000009</v>
      </c>
      <c r="AH492" s="70">
        <v>8740.8357500000093</v>
      </c>
      <c r="AI492" s="70">
        <v>8740.8357500000093</v>
      </c>
      <c r="AJ492" s="417">
        <v>0</v>
      </c>
      <c r="AK492" s="417">
        <v>0</v>
      </c>
      <c r="AL492" s="378">
        <v>5.1400000000000003E-4</v>
      </c>
      <c r="AM492" s="378"/>
      <c r="AN492" s="70">
        <v>-12334</v>
      </c>
      <c r="AO492" s="70">
        <v>-12334</v>
      </c>
      <c r="AP492" s="70">
        <v>0</v>
      </c>
      <c r="AQ492" s="417">
        <v>0</v>
      </c>
      <c r="AR492" s="417">
        <v>0</v>
      </c>
    </row>
    <row r="493" spans="1:44">
      <c r="A493" s="439">
        <v>95181</v>
      </c>
      <c r="B493" s="440" t="s">
        <v>1201</v>
      </c>
      <c r="C493" s="437">
        <v>7.7600000000000002E-5</v>
      </c>
      <c r="D493" s="441"/>
      <c r="E493" s="438">
        <v>69664.544500000004</v>
      </c>
      <c r="F493" s="442">
        <v>58281.283700000015</v>
      </c>
      <c r="G493" s="442">
        <v>18165.466100000012</v>
      </c>
      <c r="H493" s="442">
        <v>68932.623200000002</v>
      </c>
      <c r="I493" s="442">
        <v>0</v>
      </c>
      <c r="J493" s="443">
        <v>2.34E-5</v>
      </c>
      <c r="K493" s="443"/>
      <c r="L493" s="444">
        <v>12503.4552</v>
      </c>
      <c r="M493" s="444">
        <v>5126.7992000000004</v>
      </c>
      <c r="N493" s="444">
        <v>-616.3768</v>
      </c>
      <c r="O493" s="444">
        <v>0</v>
      </c>
      <c r="P493" s="417">
        <v>0</v>
      </c>
      <c r="Q493" s="378">
        <v>2.34E-5</v>
      </c>
      <c r="R493" s="378"/>
      <c r="S493" s="70">
        <v>30400.032800000001</v>
      </c>
      <c r="T493" s="105">
        <v>28452.583200000001</v>
      </c>
      <c r="U493" s="70">
        <v>16903.918400000002</v>
      </c>
      <c r="V493" s="70">
        <v>68932.623200000002</v>
      </c>
      <c r="W493" s="417">
        <v>0</v>
      </c>
      <c r="X493" s="378">
        <v>2.34E-5</v>
      </c>
      <c r="Z493" s="70">
        <v>21840.132000000001</v>
      </c>
      <c r="AA493" s="70">
        <v>21839.9768</v>
      </c>
      <c r="AB493" s="70">
        <v>0</v>
      </c>
      <c r="AC493" s="417">
        <v>0</v>
      </c>
      <c r="AD493" s="417">
        <v>0</v>
      </c>
      <c r="AE493" s="378">
        <v>2.34E-5</v>
      </c>
      <c r="AF493" s="378"/>
      <c r="AG493" s="70">
        <v>8009.9245000000083</v>
      </c>
      <c r="AH493" s="70">
        <v>2861.9245000000083</v>
      </c>
      <c r="AI493" s="70">
        <v>1877.9245000000083</v>
      </c>
      <c r="AJ493" s="417">
        <v>0</v>
      </c>
      <c r="AK493" s="417">
        <v>0</v>
      </c>
      <c r="AL493" s="378">
        <v>2.34E-5</v>
      </c>
      <c r="AM493" s="378"/>
      <c r="AN493" s="70">
        <v>-3089</v>
      </c>
      <c r="AO493" s="70">
        <v>0</v>
      </c>
      <c r="AP493" s="70">
        <v>0</v>
      </c>
      <c r="AQ493" s="417">
        <v>0</v>
      </c>
      <c r="AR493" s="417">
        <v>0</v>
      </c>
    </row>
    <row r="494" spans="1:44">
      <c r="A494" s="439">
        <v>95191</v>
      </c>
      <c r="B494" s="440" t="s">
        <v>1202</v>
      </c>
      <c r="C494" s="437">
        <v>9.6299999999999996E-5</v>
      </c>
      <c r="D494" s="441"/>
      <c r="E494" s="438">
        <v>106839.102075</v>
      </c>
      <c r="F494" s="442">
        <v>86753.886675000002</v>
      </c>
      <c r="G494" s="442">
        <v>35637.107875000002</v>
      </c>
      <c r="H494" s="442">
        <v>85543.964099999997</v>
      </c>
      <c r="I494" s="442">
        <v>0</v>
      </c>
      <c r="J494" s="443">
        <v>5.6799999999999998E-5</v>
      </c>
      <c r="K494" s="443"/>
      <c r="L494" s="444">
        <v>15516.5301</v>
      </c>
      <c r="M494" s="444">
        <v>6362.2520999999997</v>
      </c>
      <c r="N494" s="444">
        <v>-764.91089999999997</v>
      </c>
      <c r="O494" s="444">
        <v>0</v>
      </c>
      <c r="P494" s="417">
        <v>0</v>
      </c>
      <c r="Q494" s="378">
        <v>5.6799999999999998E-5</v>
      </c>
      <c r="R494" s="378"/>
      <c r="S494" s="70">
        <v>37725.813900000001</v>
      </c>
      <c r="T494" s="105">
        <v>35309.069100000001</v>
      </c>
      <c r="U494" s="70">
        <v>20977.414199999999</v>
      </c>
      <c r="V494" s="70">
        <v>85543.964099999997</v>
      </c>
      <c r="W494" s="417">
        <v>0</v>
      </c>
      <c r="X494" s="378">
        <v>5.6799999999999998E-5</v>
      </c>
      <c r="Z494" s="70">
        <v>27103.1535</v>
      </c>
      <c r="AA494" s="70">
        <v>27102.960899999998</v>
      </c>
      <c r="AB494" s="70">
        <v>0</v>
      </c>
      <c r="AC494" s="417">
        <v>0</v>
      </c>
      <c r="AD494" s="417">
        <v>0</v>
      </c>
      <c r="AE494" s="378">
        <v>5.6799999999999998E-5</v>
      </c>
      <c r="AF494" s="378"/>
      <c r="AG494" s="70">
        <v>26493.604575000001</v>
      </c>
      <c r="AH494" s="70">
        <v>17979.604575000001</v>
      </c>
      <c r="AI494" s="70">
        <v>15424.604575000001</v>
      </c>
      <c r="AJ494" s="417">
        <v>0</v>
      </c>
      <c r="AK494" s="417">
        <v>0</v>
      </c>
      <c r="AL494" s="378">
        <v>5.6799999999999998E-5</v>
      </c>
      <c r="AM494" s="378"/>
      <c r="AN494" s="70">
        <v>0</v>
      </c>
      <c r="AO494" s="70">
        <v>0</v>
      </c>
      <c r="AP494" s="70">
        <v>0</v>
      </c>
      <c r="AQ494" s="417">
        <v>0</v>
      </c>
      <c r="AR494" s="417">
        <v>0</v>
      </c>
    </row>
    <row r="495" spans="1:44">
      <c r="A495" s="439">
        <v>95201</v>
      </c>
      <c r="B495" s="440" t="s">
        <v>1203</v>
      </c>
      <c r="C495" s="437">
        <v>7.4290000000000001E-4</v>
      </c>
      <c r="D495" s="441"/>
      <c r="E495" s="438">
        <v>624327.66197499994</v>
      </c>
      <c r="F495" s="442">
        <v>531051.28377500002</v>
      </c>
      <c r="G495" s="442">
        <v>197279.64337499999</v>
      </c>
      <c r="H495" s="442">
        <v>659923.27029999997</v>
      </c>
      <c r="I495" s="442">
        <v>0</v>
      </c>
      <c r="J495" s="443">
        <v>1.8209000000000001E-3</v>
      </c>
      <c r="K495" s="443"/>
      <c r="L495" s="444">
        <v>119701.24830000001</v>
      </c>
      <c r="M495" s="444">
        <v>49081.174299999999</v>
      </c>
      <c r="N495" s="444">
        <v>-5900.8546999999999</v>
      </c>
      <c r="O495" s="444">
        <v>0</v>
      </c>
      <c r="P495" s="417">
        <v>0</v>
      </c>
      <c r="Q495" s="378">
        <v>1.8209000000000001E-3</v>
      </c>
      <c r="R495" s="378"/>
      <c r="S495" s="70">
        <v>291033.30369999999</v>
      </c>
      <c r="T495" s="105">
        <v>272389.4853</v>
      </c>
      <c r="U495" s="70">
        <v>161828.8786</v>
      </c>
      <c r="V495" s="70">
        <v>659923.27029999997</v>
      </c>
      <c r="W495" s="417">
        <v>0</v>
      </c>
      <c r="X495" s="378">
        <v>1.8209000000000001E-3</v>
      </c>
      <c r="Z495" s="70">
        <v>209085.49050000001</v>
      </c>
      <c r="AA495" s="70">
        <v>209084.00469999999</v>
      </c>
      <c r="AB495" s="70">
        <v>0</v>
      </c>
      <c r="AC495" s="417">
        <v>0</v>
      </c>
      <c r="AD495" s="417">
        <v>0</v>
      </c>
      <c r="AE495" s="378">
        <v>1.8209000000000001E-3</v>
      </c>
      <c r="AF495" s="378"/>
      <c r="AG495" s="70">
        <v>55768.619474999985</v>
      </c>
      <c r="AH495" s="70">
        <v>41351.619474999985</v>
      </c>
      <c r="AI495" s="70">
        <v>41351.619474999985</v>
      </c>
      <c r="AJ495" s="417">
        <v>0</v>
      </c>
      <c r="AK495" s="417">
        <v>0</v>
      </c>
      <c r="AL495" s="378">
        <v>1.8209000000000001E-3</v>
      </c>
      <c r="AM495" s="378"/>
      <c r="AN495" s="70">
        <v>-51261</v>
      </c>
      <c r="AO495" s="70">
        <v>-40855</v>
      </c>
      <c r="AP495" s="70">
        <v>0</v>
      </c>
      <c r="AQ495" s="417">
        <v>0</v>
      </c>
      <c r="AR495" s="417">
        <v>0</v>
      </c>
    </row>
    <row r="496" spans="1:44">
      <c r="A496" s="439">
        <v>95204</v>
      </c>
      <c r="B496" s="440" t="s">
        <v>1204</v>
      </c>
      <c r="C496" s="437">
        <v>3.1E-6</v>
      </c>
      <c r="D496" s="441"/>
      <c r="E496" s="438">
        <v>1460.5317749999995</v>
      </c>
      <c r="F496" s="442">
        <v>-88.958024999999907</v>
      </c>
      <c r="G496" s="442">
        <v>347.78637500000025</v>
      </c>
      <c r="H496" s="442">
        <v>2753.7516999999998</v>
      </c>
      <c r="I496" s="442">
        <v>0</v>
      </c>
      <c r="J496" s="443">
        <v>4.2129999999999999E-4</v>
      </c>
      <c r="K496" s="443"/>
      <c r="L496" s="444">
        <v>499.49369999999999</v>
      </c>
      <c r="M496" s="444">
        <v>204.80770000000001</v>
      </c>
      <c r="N496" s="444">
        <v>-24.6233</v>
      </c>
      <c r="O496" s="444">
        <v>0</v>
      </c>
      <c r="P496" s="417">
        <v>0</v>
      </c>
      <c r="Q496" s="378">
        <v>4.2129999999999999E-4</v>
      </c>
      <c r="R496" s="378"/>
      <c r="S496" s="70">
        <v>1214.4342999999999</v>
      </c>
      <c r="T496" s="105">
        <v>1136.6367</v>
      </c>
      <c r="U496" s="70">
        <v>675.28539999999998</v>
      </c>
      <c r="V496" s="70">
        <v>2753.7516999999998</v>
      </c>
      <c r="W496" s="417">
        <v>0</v>
      </c>
      <c r="X496" s="378">
        <v>4.2129999999999999E-4</v>
      </c>
      <c r="Z496" s="70">
        <v>872.47950000000003</v>
      </c>
      <c r="AA496" s="70">
        <v>872.47329999999999</v>
      </c>
      <c r="AB496" s="70">
        <v>0</v>
      </c>
      <c r="AC496" s="417">
        <v>0</v>
      </c>
      <c r="AD496" s="417">
        <v>0</v>
      </c>
      <c r="AE496" s="378">
        <v>4.2129999999999999E-4</v>
      </c>
      <c r="AF496" s="378"/>
      <c r="AG496" s="70">
        <v>1643</v>
      </c>
      <c r="AH496" s="70">
        <v>0</v>
      </c>
      <c r="AI496" s="70">
        <v>0</v>
      </c>
      <c r="AJ496" s="417">
        <v>0</v>
      </c>
      <c r="AK496" s="417">
        <v>0</v>
      </c>
      <c r="AL496" s="378">
        <v>4.2129999999999999E-4</v>
      </c>
      <c r="AM496" s="378"/>
      <c r="AN496" s="70">
        <v>-2768.8757249999999</v>
      </c>
      <c r="AO496" s="70">
        <v>-2302.8757249999999</v>
      </c>
      <c r="AP496" s="70">
        <v>-302.87572499999976</v>
      </c>
      <c r="AQ496" s="417">
        <v>0</v>
      </c>
      <c r="AR496" s="417">
        <v>0</v>
      </c>
    </row>
    <row r="497" spans="1:44">
      <c r="A497" s="439">
        <v>95205</v>
      </c>
      <c r="B497" s="440" t="s">
        <v>1205</v>
      </c>
      <c r="C497" s="437">
        <v>0</v>
      </c>
      <c r="D497" s="441"/>
      <c r="E497" s="438">
        <v>-155.46294999999986</v>
      </c>
      <c r="F497" s="442">
        <v>-1032.4629499999999</v>
      </c>
      <c r="G497" s="442">
        <v>-1785.4629499999999</v>
      </c>
      <c r="H497" s="442">
        <v>0</v>
      </c>
      <c r="I497" s="442">
        <v>0</v>
      </c>
      <c r="J497" s="443">
        <v>1.2540000000000001E-4</v>
      </c>
      <c r="K497" s="443"/>
      <c r="L497" s="444">
        <v>0</v>
      </c>
      <c r="M497" s="444">
        <v>0</v>
      </c>
      <c r="N497" s="444">
        <v>0</v>
      </c>
      <c r="O497" s="444">
        <v>0</v>
      </c>
      <c r="P497" s="417">
        <v>0</v>
      </c>
      <c r="Q497" s="378">
        <v>1.2540000000000001E-4</v>
      </c>
      <c r="R497" s="378"/>
      <c r="S497" s="70">
        <v>0</v>
      </c>
      <c r="T497" s="105">
        <v>0</v>
      </c>
      <c r="U497" s="70">
        <v>0</v>
      </c>
      <c r="V497" s="70">
        <v>0</v>
      </c>
      <c r="W497" s="417">
        <v>0</v>
      </c>
      <c r="X497" s="378">
        <v>1.2540000000000001E-4</v>
      </c>
      <c r="Z497" s="70">
        <v>0</v>
      </c>
      <c r="AA497" s="70">
        <v>0</v>
      </c>
      <c r="AB497" s="70">
        <v>0</v>
      </c>
      <c r="AC497" s="417">
        <v>0</v>
      </c>
      <c r="AD497" s="417">
        <v>0</v>
      </c>
      <c r="AE497" s="378">
        <v>1.2540000000000001E-4</v>
      </c>
      <c r="AF497" s="378"/>
      <c r="AG497" s="70">
        <v>1630</v>
      </c>
      <c r="AH497" s="70">
        <v>753</v>
      </c>
      <c r="AI497" s="70">
        <v>0</v>
      </c>
      <c r="AJ497" s="417">
        <v>0</v>
      </c>
      <c r="AK497" s="417">
        <v>0</v>
      </c>
      <c r="AL497" s="378">
        <v>1.2540000000000001E-4</v>
      </c>
      <c r="AM497" s="378"/>
      <c r="AN497" s="70">
        <v>-1785.4629499999999</v>
      </c>
      <c r="AO497" s="70">
        <v>-1785.4629499999999</v>
      </c>
      <c r="AP497" s="70">
        <v>-1785.4629499999999</v>
      </c>
      <c r="AQ497" s="417">
        <v>0</v>
      </c>
      <c r="AR497" s="417">
        <v>0</v>
      </c>
    </row>
    <row r="498" spans="1:44">
      <c r="A498" s="439">
        <v>95211</v>
      </c>
      <c r="B498" s="440" t="s">
        <v>1206</v>
      </c>
      <c r="C498" s="437">
        <v>1.5999999999999999E-6</v>
      </c>
      <c r="D498" s="441"/>
      <c r="E498" s="438">
        <v>706.67344999999978</v>
      </c>
      <c r="F498" s="442">
        <v>1650.42065</v>
      </c>
      <c r="G498" s="442">
        <v>587.57904999999994</v>
      </c>
      <c r="H498" s="442">
        <v>1421.2911999999999</v>
      </c>
      <c r="I498" s="442">
        <v>0</v>
      </c>
      <c r="J498" s="443">
        <v>6.8200000000000004E-5</v>
      </c>
      <c r="K498" s="443"/>
      <c r="L498" s="444">
        <v>257.8032</v>
      </c>
      <c r="M498" s="444">
        <v>105.7072</v>
      </c>
      <c r="N498" s="444">
        <v>-12.7088</v>
      </c>
      <c r="O498" s="444">
        <v>0</v>
      </c>
      <c r="P498" s="417">
        <v>0</v>
      </c>
      <c r="Q498" s="378">
        <v>6.8200000000000004E-5</v>
      </c>
      <c r="R498" s="378"/>
      <c r="S498" s="70">
        <v>626.8048</v>
      </c>
      <c r="T498" s="105">
        <v>586.65120000000002</v>
      </c>
      <c r="U498" s="70">
        <v>348.53440000000001</v>
      </c>
      <c r="V498" s="70">
        <v>1421.2911999999999</v>
      </c>
      <c r="W498" s="417">
        <v>0</v>
      </c>
      <c r="X498" s="378">
        <v>6.8200000000000004E-5</v>
      </c>
      <c r="Z498" s="70">
        <v>450.31199999999995</v>
      </c>
      <c r="AA498" s="70">
        <v>450.30879999999996</v>
      </c>
      <c r="AB498" s="70">
        <v>0</v>
      </c>
      <c r="AC498" s="417">
        <v>0</v>
      </c>
      <c r="AD498" s="417">
        <v>0</v>
      </c>
      <c r="AE498" s="378">
        <v>6.8200000000000004E-5</v>
      </c>
      <c r="AF498" s="378"/>
      <c r="AG498" s="70">
        <v>524.75344999999993</v>
      </c>
      <c r="AH498" s="70">
        <v>507.75344999999993</v>
      </c>
      <c r="AI498" s="70">
        <v>251.75344999999993</v>
      </c>
      <c r="AJ498" s="417">
        <v>0</v>
      </c>
      <c r="AK498" s="417">
        <v>0</v>
      </c>
      <c r="AL498" s="378">
        <v>6.8200000000000004E-5</v>
      </c>
      <c r="AM498" s="378"/>
      <c r="AN498" s="70">
        <v>-1153</v>
      </c>
      <c r="AO498" s="70">
        <v>0</v>
      </c>
      <c r="AP498" s="70">
        <v>0</v>
      </c>
      <c r="AQ498" s="417">
        <v>0</v>
      </c>
      <c r="AR498" s="417">
        <v>0</v>
      </c>
    </row>
    <row r="499" spans="1:44">
      <c r="A499" s="439">
        <v>95221</v>
      </c>
      <c r="B499" s="440" t="s">
        <v>1207</v>
      </c>
      <c r="C499" s="437">
        <v>4.6100000000000002E-5</v>
      </c>
      <c r="D499" s="441"/>
      <c r="E499" s="438">
        <v>30759.494625000014</v>
      </c>
      <c r="F499" s="442">
        <v>32403.210825000009</v>
      </c>
      <c r="G499" s="442">
        <v>5584.0872250000048</v>
      </c>
      <c r="H499" s="442">
        <v>40950.952700000002</v>
      </c>
      <c r="I499" s="442">
        <v>0</v>
      </c>
      <c r="J499" s="443">
        <v>1.0009999999999999E-4</v>
      </c>
      <c r="K499" s="443"/>
      <c r="L499" s="444">
        <v>7427.9547000000002</v>
      </c>
      <c r="M499" s="444">
        <v>3045.6887000000002</v>
      </c>
      <c r="N499" s="444">
        <v>-366.17230000000001</v>
      </c>
      <c r="O499" s="444">
        <v>0</v>
      </c>
      <c r="P499" s="417">
        <v>0</v>
      </c>
      <c r="Q499" s="378">
        <v>1.0009999999999999E-4</v>
      </c>
      <c r="R499" s="378"/>
      <c r="S499" s="70">
        <v>18059.813300000002</v>
      </c>
      <c r="T499" s="105">
        <v>16902.887699999999</v>
      </c>
      <c r="U499" s="70">
        <v>10042.1474</v>
      </c>
      <c r="V499" s="70">
        <v>40950.952700000002</v>
      </c>
      <c r="W499" s="417">
        <v>0</v>
      </c>
      <c r="X499" s="378">
        <v>1.0009999999999999E-4</v>
      </c>
      <c r="Z499" s="70">
        <v>12974.614500000001</v>
      </c>
      <c r="AA499" s="70">
        <v>12974.522300000001</v>
      </c>
      <c r="AB499" s="70">
        <v>0</v>
      </c>
      <c r="AC499" s="417">
        <v>0</v>
      </c>
      <c r="AD499" s="417">
        <v>0</v>
      </c>
      <c r="AE499" s="378">
        <v>1.0009999999999999E-4</v>
      </c>
      <c r="AF499" s="378"/>
      <c r="AG499" s="70">
        <v>3572</v>
      </c>
      <c r="AH499" s="70">
        <v>3572</v>
      </c>
      <c r="AI499" s="70">
        <v>0</v>
      </c>
      <c r="AJ499" s="417">
        <v>0</v>
      </c>
      <c r="AK499" s="417">
        <v>0</v>
      </c>
      <c r="AL499" s="378">
        <v>1.0009999999999999E-4</v>
      </c>
      <c r="AM499" s="378"/>
      <c r="AN499" s="70">
        <v>-11274.887874999995</v>
      </c>
      <c r="AO499" s="70">
        <v>-4091.8878749999949</v>
      </c>
      <c r="AP499" s="70">
        <v>-4091.8878749999949</v>
      </c>
      <c r="AQ499" s="417">
        <v>0</v>
      </c>
      <c r="AR499" s="417">
        <v>0</v>
      </c>
    </row>
    <row r="500" spans="1:44">
      <c r="A500" s="439">
        <v>95301</v>
      </c>
      <c r="B500" s="440" t="s">
        <v>1208</v>
      </c>
      <c r="C500" s="437">
        <v>2.385E-3</v>
      </c>
      <c r="D500" s="441"/>
      <c r="E500" s="438">
        <v>2165681.7833000002</v>
      </c>
      <c r="F500" s="442">
        <v>1850533.9532999999</v>
      </c>
      <c r="G500" s="442">
        <v>610154.69329999993</v>
      </c>
      <c r="H500" s="442">
        <v>2118612.1949999998</v>
      </c>
      <c r="I500" s="442">
        <v>0</v>
      </c>
      <c r="J500" s="443">
        <v>7.36E-5</v>
      </c>
      <c r="K500" s="443"/>
      <c r="L500" s="444">
        <v>384287.89500000002</v>
      </c>
      <c r="M500" s="444">
        <v>157569.79499999998</v>
      </c>
      <c r="N500" s="444">
        <v>-18944.055</v>
      </c>
      <c r="O500" s="444">
        <v>0</v>
      </c>
      <c r="P500" s="417">
        <v>0</v>
      </c>
      <c r="Q500" s="378">
        <v>7.36E-5</v>
      </c>
      <c r="R500" s="378"/>
      <c r="S500" s="70">
        <v>934330.90500000003</v>
      </c>
      <c r="T500" s="105">
        <v>874476.94499999995</v>
      </c>
      <c r="U500" s="70">
        <v>519534.08999999997</v>
      </c>
      <c r="V500" s="70">
        <v>2118612.1949999998</v>
      </c>
      <c r="W500" s="417">
        <v>0</v>
      </c>
      <c r="X500" s="378">
        <v>7.36E-5</v>
      </c>
      <c r="Z500" s="70">
        <v>671246.32499999995</v>
      </c>
      <c r="AA500" s="70">
        <v>671241.55499999993</v>
      </c>
      <c r="AB500" s="70">
        <v>0</v>
      </c>
      <c r="AC500" s="417">
        <v>0</v>
      </c>
      <c r="AD500" s="417">
        <v>0</v>
      </c>
      <c r="AE500" s="378">
        <v>7.36E-5</v>
      </c>
      <c r="AF500" s="378"/>
      <c r="AG500" s="70">
        <v>197156.65830000001</v>
      </c>
      <c r="AH500" s="70">
        <v>147245.65830000001</v>
      </c>
      <c r="AI500" s="70">
        <v>109564.65830000001</v>
      </c>
      <c r="AJ500" s="417">
        <v>0</v>
      </c>
      <c r="AK500" s="417">
        <v>0</v>
      </c>
      <c r="AL500" s="378">
        <v>7.36E-5</v>
      </c>
      <c r="AM500" s="378"/>
      <c r="AN500" s="70">
        <v>-21340</v>
      </c>
      <c r="AO500" s="70">
        <v>0</v>
      </c>
      <c r="AP500" s="70">
        <v>0</v>
      </c>
      <c r="AQ500" s="417">
        <v>0</v>
      </c>
      <c r="AR500" s="417">
        <v>0</v>
      </c>
    </row>
    <row r="501" spans="1:44">
      <c r="A501" s="439">
        <v>95311</v>
      </c>
      <c r="B501" s="440" t="s">
        <v>1209</v>
      </c>
      <c r="C501" s="437">
        <v>2.3652E-3</v>
      </c>
      <c r="D501" s="441"/>
      <c r="E501" s="438">
        <v>1972908.3600500003</v>
      </c>
      <c r="F501" s="442">
        <v>1718853.65845</v>
      </c>
      <c r="G501" s="442">
        <v>545864.06325000012</v>
      </c>
      <c r="H501" s="442">
        <v>2101023.7163999998</v>
      </c>
      <c r="I501" s="442">
        <v>0</v>
      </c>
      <c r="J501" s="443">
        <v>7.0400000000000004E-5</v>
      </c>
      <c r="K501" s="443"/>
      <c r="L501" s="444">
        <v>381097.58039999998</v>
      </c>
      <c r="M501" s="444">
        <v>156261.6684</v>
      </c>
      <c r="N501" s="444">
        <v>-18786.783599999999</v>
      </c>
      <c r="O501" s="444">
        <v>0</v>
      </c>
      <c r="P501" s="417">
        <v>0</v>
      </c>
      <c r="Q501" s="378">
        <v>7.0400000000000004E-5</v>
      </c>
      <c r="R501" s="378"/>
      <c r="S501" s="70">
        <v>926574.19559999998</v>
      </c>
      <c r="T501" s="105">
        <v>867217.13639999996</v>
      </c>
      <c r="U501" s="70">
        <v>515220.9768</v>
      </c>
      <c r="V501" s="70">
        <v>2101023.7163999998</v>
      </c>
      <c r="W501" s="417">
        <v>0</v>
      </c>
      <c r="X501" s="378">
        <v>7.0400000000000004E-5</v>
      </c>
      <c r="Z501" s="70">
        <v>665673.71400000004</v>
      </c>
      <c r="AA501" s="70">
        <v>665668.98360000004</v>
      </c>
      <c r="AB501" s="70">
        <v>0</v>
      </c>
      <c r="AC501" s="417">
        <v>0</v>
      </c>
      <c r="AD501" s="417">
        <v>0</v>
      </c>
      <c r="AE501" s="378">
        <v>7.0400000000000004E-5</v>
      </c>
      <c r="AF501" s="378"/>
      <c r="AG501" s="70">
        <v>49447.870050000143</v>
      </c>
      <c r="AH501" s="70">
        <v>49429.870050000143</v>
      </c>
      <c r="AI501" s="70">
        <v>49429.870050000143</v>
      </c>
      <c r="AJ501" s="417">
        <v>0</v>
      </c>
      <c r="AK501" s="417">
        <v>0</v>
      </c>
      <c r="AL501" s="378">
        <v>7.0400000000000004E-5</v>
      </c>
      <c r="AM501" s="378"/>
      <c r="AN501" s="70">
        <v>-49885</v>
      </c>
      <c r="AO501" s="70">
        <v>-19724</v>
      </c>
      <c r="AP501" s="70">
        <v>0</v>
      </c>
      <c r="AQ501" s="417">
        <v>0</v>
      </c>
      <c r="AR501" s="417">
        <v>0</v>
      </c>
    </row>
    <row r="502" spans="1:44">
      <c r="A502" s="439">
        <v>95317</v>
      </c>
      <c r="B502" s="440" t="s">
        <v>1210</v>
      </c>
      <c r="C502" s="437">
        <v>4.5399999999999999E-5</v>
      </c>
      <c r="D502" s="441"/>
      <c r="E502" s="438">
        <v>52735.982599999996</v>
      </c>
      <c r="F502" s="442">
        <v>43268.809399999998</v>
      </c>
      <c r="G502" s="442">
        <v>15193.679</v>
      </c>
      <c r="H502" s="442">
        <v>40329.137799999997</v>
      </c>
      <c r="I502" s="442">
        <v>0</v>
      </c>
      <c r="J502" s="443">
        <v>6.3869999999999997E-4</v>
      </c>
      <c r="K502" s="443"/>
      <c r="L502" s="444">
        <v>7315.1657999999998</v>
      </c>
      <c r="M502" s="444">
        <v>2999.4418000000001</v>
      </c>
      <c r="N502" s="444">
        <v>-360.61219999999997</v>
      </c>
      <c r="O502" s="444">
        <v>0</v>
      </c>
      <c r="P502" s="417">
        <v>0</v>
      </c>
      <c r="Q502" s="378">
        <v>6.3869999999999997E-4</v>
      </c>
      <c r="R502" s="378"/>
      <c r="S502" s="70">
        <v>17785.586199999998</v>
      </c>
      <c r="T502" s="105">
        <v>16646.227800000001</v>
      </c>
      <c r="U502" s="70">
        <v>9889.6635999999999</v>
      </c>
      <c r="V502" s="70">
        <v>40329.137799999997</v>
      </c>
      <c r="W502" s="417">
        <v>0</v>
      </c>
      <c r="X502" s="378">
        <v>6.3869999999999997E-4</v>
      </c>
      <c r="Z502" s="70">
        <v>12777.602999999999</v>
      </c>
      <c r="AA502" s="70">
        <v>12777.512199999999</v>
      </c>
      <c r="AB502" s="70">
        <v>0</v>
      </c>
      <c r="AC502" s="417">
        <v>0</v>
      </c>
      <c r="AD502" s="417">
        <v>0</v>
      </c>
      <c r="AE502" s="378">
        <v>6.3869999999999997E-4</v>
      </c>
      <c r="AF502" s="378"/>
      <c r="AG502" s="70">
        <v>14857.6276</v>
      </c>
      <c r="AH502" s="70">
        <v>10845.6276</v>
      </c>
      <c r="AI502" s="70">
        <v>5664.6275999999998</v>
      </c>
      <c r="AJ502" s="417">
        <v>0</v>
      </c>
      <c r="AK502" s="417">
        <v>0</v>
      </c>
      <c r="AL502" s="378">
        <v>6.3869999999999997E-4</v>
      </c>
      <c r="AM502" s="378"/>
      <c r="AN502" s="70">
        <v>0</v>
      </c>
      <c r="AO502" s="70">
        <v>0</v>
      </c>
      <c r="AP502" s="70">
        <v>0</v>
      </c>
      <c r="AQ502" s="417">
        <v>0</v>
      </c>
      <c r="AR502" s="417">
        <v>0</v>
      </c>
    </row>
    <row r="503" spans="1:44">
      <c r="A503" s="439">
        <v>95321</v>
      </c>
      <c r="B503" s="440" t="s">
        <v>1211</v>
      </c>
      <c r="C503" s="437">
        <v>4.7800000000000003E-5</v>
      </c>
      <c r="D503" s="441"/>
      <c r="E503" s="438">
        <v>48475.383900000008</v>
      </c>
      <c r="F503" s="442">
        <v>42421.8315</v>
      </c>
      <c r="G503" s="442">
        <v>18357.438699999999</v>
      </c>
      <c r="H503" s="442">
        <v>42461.0746</v>
      </c>
      <c r="I503" s="442">
        <v>0</v>
      </c>
      <c r="J503" s="443">
        <v>4.7999999999999998E-6</v>
      </c>
      <c r="K503" s="443"/>
      <c r="L503" s="444">
        <v>7701.8706000000002</v>
      </c>
      <c r="M503" s="444">
        <v>3158.0026000000003</v>
      </c>
      <c r="N503" s="444">
        <v>-379.67540000000002</v>
      </c>
      <c r="O503" s="444">
        <v>0</v>
      </c>
      <c r="P503" s="417">
        <v>0</v>
      </c>
      <c r="Q503" s="378">
        <v>4.7999999999999998E-6</v>
      </c>
      <c r="R503" s="378"/>
      <c r="S503" s="70">
        <v>18725.793400000002</v>
      </c>
      <c r="T503" s="105">
        <v>17526.204600000001</v>
      </c>
      <c r="U503" s="70">
        <v>10412.465200000001</v>
      </c>
      <c r="V503" s="70">
        <v>42461.0746</v>
      </c>
      <c r="W503" s="417">
        <v>0</v>
      </c>
      <c r="X503" s="378">
        <v>4.7999999999999998E-6</v>
      </c>
      <c r="Z503" s="70">
        <v>13453.071000000002</v>
      </c>
      <c r="AA503" s="70">
        <v>13452.975400000001</v>
      </c>
      <c r="AB503" s="70">
        <v>0</v>
      </c>
      <c r="AC503" s="417">
        <v>0</v>
      </c>
      <c r="AD503" s="417">
        <v>0</v>
      </c>
      <c r="AE503" s="378">
        <v>4.7999999999999998E-6</v>
      </c>
      <c r="AF503" s="378"/>
      <c r="AG503" s="70">
        <v>8634.6488999999983</v>
      </c>
      <c r="AH503" s="70">
        <v>8324.6488999999983</v>
      </c>
      <c r="AI503" s="70">
        <v>8324.6488999999983</v>
      </c>
      <c r="AJ503" s="417">
        <v>0</v>
      </c>
      <c r="AK503" s="417">
        <v>0</v>
      </c>
      <c r="AL503" s="378">
        <v>4.7999999999999998E-6</v>
      </c>
      <c r="AM503" s="378"/>
      <c r="AN503" s="70">
        <v>-40</v>
      </c>
      <c r="AO503" s="70">
        <v>-40</v>
      </c>
      <c r="AP503" s="70">
        <v>0</v>
      </c>
      <c r="AQ503" s="417">
        <v>0</v>
      </c>
      <c r="AR503" s="417">
        <v>0</v>
      </c>
    </row>
    <row r="504" spans="1:44">
      <c r="A504" s="439">
        <v>95401</v>
      </c>
      <c r="B504" s="440" t="s">
        <v>1212</v>
      </c>
      <c r="C504" s="437">
        <v>2.4250999999999999E-3</v>
      </c>
      <c r="D504" s="441"/>
      <c r="E504" s="438">
        <v>1767383.6486749998</v>
      </c>
      <c r="F504" s="442">
        <v>1592466.4828749998</v>
      </c>
      <c r="G504" s="442">
        <v>458020.755275</v>
      </c>
      <c r="H504" s="442">
        <v>2154233.3056999999</v>
      </c>
      <c r="I504" s="442">
        <v>0</v>
      </c>
      <c r="J504" s="443">
        <v>3.8999999999999999E-6</v>
      </c>
      <c r="K504" s="443"/>
      <c r="L504" s="444">
        <v>390749.08769999997</v>
      </c>
      <c r="M504" s="444">
        <v>160219.08169999998</v>
      </c>
      <c r="N504" s="444">
        <v>-19262.569299999999</v>
      </c>
      <c r="O504" s="444">
        <v>0</v>
      </c>
      <c r="P504" s="417">
        <v>0</v>
      </c>
      <c r="Q504" s="378">
        <v>3.8999999999999999E-6</v>
      </c>
      <c r="R504" s="378"/>
      <c r="S504" s="70">
        <v>950040.20029999991</v>
      </c>
      <c r="T504" s="105">
        <v>889179.89069999999</v>
      </c>
      <c r="U504" s="70">
        <v>528269.23340000003</v>
      </c>
      <c r="V504" s="70">
        <v>2154233.3056999999</v>
      </c>
      <c r="W504" s="417">
        <v>0</v>
      </c>
      <c r="X504" s="378">
        <v>3.8999999999999999E-6</v>
      </c>
      <c r="Z504" s="70">
        <v>682532.26949999994</v>
      </c>
      <c r="AA504" s="70">
        <v>682527.41929999995</v>
      </c>
      <c r="AB504" s="70">
        <v>0</v>
      </c>
      <c r="AC504" s="417">
        <v>0</v>
      </c>
      <c r="AD504" s="417">
        <v>0</v>
      </c>
      <c r="AE504" s="378">
        <v>3.8999999999999999E-6</v>
      </c>
      <c r="AF504" s="378"/>
      <c r="AG504" s="70">
        <v>0</v>
      </c>
      <c r="AH504" s="70">
        <v>0</v>
      </c>
      <c r="AI504" s="70">
        <v>0</v>
      </c>
      <c r="AJ504" s="417">
        <v>0</v>
      </c>
      <c r="AK504" s="417">
        <v>0</v>
      </c>
      <c r="AL504" s="378">
        <v>3.8999999999999999E-6</v>
      </c>
      <c r="AM504" s="378"/>
      <c r="AN504" s="70">
        <v>-255937.90882500005</v>
      </c>
      <c r="AO504" s="70">
        <v>-139459.90882500005</v>
      </c>
      <c r="AP504" s="70">
        <v>-50985.90882500005</v>
      </c>
      <c r="AQ504" s="417">
        <v>0</v>
      </c>
      <c r="AR504" s="417">
        <v>0</v>
      </c>
    </row>
    <row r="505" spans="1:44">
      <c r="A505" s="439">
        <v>95404</v>
      </c>
      <c r="B505" s="440" t="s">
        <v>1213</v>
      </c>
      <c r="C505" s="437">
        <v>3.65E-5</v>
      </c>
      <c r="D505" s="441"/>
      <c r="E505" s="438">
        <v>24140.540674999997</v>
      </c>
      <c r="F505" s="442">
        <v>19049.773674999993</v>
      </c>
      <c r="G505" s="442">
        <v>1825.6996749999935</v>
      </c>
      <c r="H505" s="442">
        <v>32423.2055</v>
      </c>
      <c r="I505" s="442">
        <v>0</v>
      </c>
      <c r="J505" s="443">
        <v>1.7E-6</v>
      </c>
      <c r="K505" s="443"/>
      <c r="L505" s="444">
        <v>5881.1355000000003</v>
      </c>
      <c r="M505" s="444">
        <v>2411.4454999999998</v>
      </c>
      <c r="N505" s="444">
        <v>-289.91949999999997</v>
      </c>
      <c r="O505" s="444">
        <v>0</v>
      </c>
      <c r="P505" s="417">
        <v>0</v>
      </c>
      <c r="Q505" s="378">
        <v>1.7E-6</v>
      </c>
      <c r="R505" s="378"/>
      <c r="S505" s="70">
        <v>14298.9845</v>
      </c>
      <c r="T505" s="105">
        <v>13382.9805</v>
      </c>
      <c r="U505" s="70">
        <v>7950.9409999999998</v>
      </c>
      <c r="V505" s="70">
        <v>32423.2055</v>
      </c>
      <c r="W505" s="417">
        <v>0</v>
      </c>
      <c r="X505" s="378">
        <v>1.7E-6</v>
      </c>
      <c r="Z505" s="70">
        <v>10272.7425</v>
      </c>
      <c r="AA505" s="70">
        <v>10272.6695</v>
      </c>
      <c r="AB505" s="70">
        <v>0</v>
      </c>
      <c r="AC505" s="417">
        <v>0</v>
      </c>
      <c r="AD505" s="417">
        <v>0</v>
      </c>
      <c r="AE505" s="378">
        <v>1.7E-6</v>
      </c>
      <c r="AF505" s="378"/>
      <c r="AG505" s="70">
        <v>1710</v>
      </c>
      <c r="AH505" s="70">
        <v>0</v>
      </c>
      <c r="AI505" s="70">
        <v>0</v>
      </c>
      <c r="AJ505" s="417">
        <v>0</v>
      </c>
      <c r="AK505" s="417">
        <v>0</v>
      </c>
      <c r="AL505" s="378">
        <v>1.7E-6</v>
      </c>
      <c r="AM505" s="378"/>
      <c r="AN505" s="70">
        <v>-8022.3218250000064</v>
      </c>
      <c r="AO505" s="70">
        <v>-7017.3218250000064</v>
      </c>
      <c r="AP505" s="70">
        <v>-5835.3218250000064</v>
      </c>
      <c r="AQ505" s="417">
        <v>0</v>
      </c>
      <c r="AR505" s="417">
        <v>0</v>
      </c>
    </row>
    <row r="506" spans="1:44">
      <c r="A506" s="439">
        <v>95405</v>
      </c>
      <c r="B506" s="440" t="s">
        <v>1214</v>
      </c>
      <c r="C506" s="437">
        <v>4.7200000000000002E-5</v>
      </c>
      <c r="D506" s="441"/>
      <c r="E506" s="438">
        <v>42550.444450000003</v>
      </c>
      <c r="F506" s="442">
        <v>29612.986850000008</v>
      </c>
      <c r="G506" s="442">
        <v>8151.1596500000014</v>
      </c>
      <c r="H506" s="442">
        <v>41928.090400000001</v>
      </c>
      <c r="I506" s="442">
        <v>0</v>
      </c>
      <c r="J506" s="443">
        <v>5.0599999999999997E-5</v>
      </c>
      <c r="K506" s="443"/>
      <c r="L506" s="444">
        <v>7605.1944000000003</v>
      </c>
      <c r="M506" s="444">
        <v>3118.3624</v>
      </c>
      <c r="N506" s="444">
        <v>-374.90960000000001</v>
      </c>
      <c r="O506" s="444">
        <v>0</v>
      </c>
      <c r="P506" s="417">
        <v>0</v>
      </c>
      <c r="Q506" s="378">
        <v>5.0599999999999997E-5</v>
      </c>
      <c r="R506" s="378"/>
      <c r="S506" s="70">
        <v>18490.741600000001</v>
      </c>
      <c r="T506" s="105">
        <v>17306.2104</v>
      </c>
      <c r="U506" s="70">
        <v>10281.764800000001</v>
      </c>
      <c r="V506" s="70">
        <v>41928.090400000001</v>
      </c>
      <c r="W506" s="417">
        <v>0</v>
      </c>
      <c r="X506" s="378">
        <v>5.0599999999999997E-5</v>
      </c>
      <c r="Z506" s="70">
        <v>13284.204</v>
      </c>
      <c r="AA506" s="70">
        <v>13284.1096</v>
      </c>
      <c r="AB506" s="70">
        <v>0</v>
      </c>
      <c r="AC506" s="417">
        <v>0</v>
      </c>
      <c r="AD506" s="417">
        <v>0</v>
      </c>
      <c r="AE506" s="378">
        <v>5.0599999999999997E-5</v>
      </c>
      <c r="AF506" s="378"/>
      <c r="AG506" s="70">
        <v>7266</v>
      </c>
      <c r="AH506" s="70">
        <v>0</v>
      </c>
      <c r="AI506" s="70">
        <v>0</v>
      </c>
      <c r="AJ506" s="417">
        <v>0</v>
      </c>
      <c r="AK506" s="417">
        <v>0</v>
      </c>
      <c r="AL506" s="378">
        <v>5.0599999999999997E-5</v>
      </c>
      <c r="AM506" s="378"/>
      <c r="AN506" s="70">
        <v>-4095.6955499999985</v>
      </c>
      <c r="AO506" s="70">
        <v>-4095.6955499999985</v>
      </c>
      <c r="AP506" s="70">
        <v>-1755.6955499999985</v>
      </c>
      <c r="AQ506" s="417">
        <v>0</v>
      </c>
      <c r="AR506" s="417">
        <v>0</v>
      </c>
    </row>
    <row r="507" spans="1:44">
      <c r="A507" s="439">
        <v>95411</v>
      </c>
      <c r="B507" s="440" t="s">
        <v>1215</v>
      </c>
      <c r="C507" s="437">
        <v>1.9315999999999999E-3</v>
      </c>
      <c r="D507" s="441"/>
      <c r="E507" s="438">
        <v>1560375.1132499999</v>
      </c>
      <c r="F507" s="442">
        <v>1343044.9204500001</v>
      </c>
      <c r="G507" s="442">
        <v>347120.39885</v>
      </c>
      <c r="H507" s="442">
        <v>1715853.8011999999</v>
      </c>
      <c r="I507" s="442">
        <v>0</v>
      </c>
      <c r="J507" s="443">
        <v>2.2288999999999998E-3</v>
      </c>
      <c r="K507" s="443"/>
      <c r="L507" s="444">
        <v>311232.91320000001</v>
      </c>
      <c r="M507" s="444">
        <v>127615.01719999999</v>
      </c>
      <c r="N507" s="444">
        <v>-15342.698799999998</v>
      </c>
      <c r="O507" s="444">
        <v>0</v>
      </c>
      <c r="P507" s="417">
        <v>0</v>
      </c>
      <c r="Q507" s="378">
        <v>2.2288999999999998E-3</v>
      </c>
      <c r="R507" s="378"/>
      <c r="S507" s="70">
        <v>756710.09479999996</v>
      </c>
      <c r="T507" s="105">
        <v>708234.66119999997</v>
      </c>
      <c r="U507" s="70">
        <v>420768.1544</v>
      </c>
      <c r="V507" s="70">
        <v>1715853.8011999999</v>
      </c>
      <c r="W507" s="417">
        <v>0</v>
      </c>
      <c r="X507" s="378">
        <v>2.2288999999999998E-3</v>
      </c>
      <c r="Z507" s="70">
        <v>543639.16200000001</v>
      </c>
      <c r="AA507" s="70">
        <v>543635.29879999999</v>
      </c>
      <c r="AB507" s="70">
        <v>0</v>
      </c>
      <c r="AC507" s="417">
        <v>0</v>
      </c>
      <c r="AD507" s="417">
        <v>0</v>
      </c>
      <c r="AE507" s="378">
        <v>2.2288999999999998E-3</v>
      </c>
      <c r="AF507" s="378"/>
      <c r="AG507" s="70">
        <v>21865</v>
      </c>
      <c r="AH507" s="70">
        <v>21865</v>
      </c>
      <c r="AI507" s="70">
        <v>0</v>
      </c>
      <c r="AJ507" s="417">
        <v>0</v>
      </c>
      <c r="AK507" s="417">
        <v>0</v>
      </c>
      <c r="AL507" s="378">
        <v>2.2288999999999998E-3</v>
      </c>
      <c r="AM507" s="378"/>
      <c r="AN507" s="70">
        <v>-73072.056749999989</v>
      </c>
      <c r="AO507" s="70">
        <v>-58305.056749999989</v>
      </c>
      <c r="AP507" s="70">
        <v>-58305.056749999989</v>
      </c>
      <c r="AQ507" s="417">
        <v>0</v>
      </c>
      <c r="AR507" s="417">
        <v>0</v>
      </c>
    </row>
    <row r="508" spans="1:44">
      <c r="A508" s="439">
        <v>95413</v>
      </c>
      <c r="B508" s="440" t="s">
        <v>1217</v>
      </c>
      <c r="C508" s="437">
        <v>2.588E-4</v>
      </c>
      <c r="D508" s="441"/>
      <c r="E508" s="438">
        <v>220160.50654999999</v>
      </c>
      <c r="F508" s="442">
        <v>187675.61615000002</v>
      </c>
      <c r="G508" s="442">
        <v>67213.98735000001</v>
      </c>
      <c r="H508" s="442">
        <v>229893.85159999999</v>
      </c>
      <c r="I508" s="442">
        <v>0</v>
      </c>
      <c r="J508" s="443">
        <v>2.3481000000000001E-3</v>
      </c>
      <c r="K508" s="443"/>
      <c r="L508" s="444">
        <v>41699.667600000001</v>
      </c>
      <c r="M508" s="444">
        <v>17098.139599999999</v>
      </c>
      <c r="N508" s="444">
        <v>-2055.6484</v>
      </c>
      <c r="O508" s="444">
        <v>0</v>
      </c>
      <c r="P508" s="417">
        <v>0</v>
      </c>
      <c r="Q508" s="378">
        <v>2.3481000000000001E-3</v>
      </c>
      <c r="R508" s="378"/>
      <c r="S508" s="70">
        <v>101385.6764</v>
      </c>
      <c r="T508" s="105">
        <v>94890.831600000005</v>
      </c>
      <c r="U508" s="70">
        <v>56375.439200000001</v>
      </c>
      <c r="V508" s="70">
        <v>229893.85159999999</v>
      </c>
      <c r="W508" s="417">
        <v>0</v>
      </c>
      <c r="X508" s="378">
        <v>2.3481000000000001E-3</v>
      </c>
      <c r="Z508" s="70">
        <v>72837.966</v>
      </c>
      <c r="AA508" s="70">
        <v>72837.448399999994</v>
      </c>
      <c r="AB508" s="70">
        <v>0</v>
      </c>
      <c r="AC508" s="417">
        <v>0</v>
      </c>
      <c r="AD508" s="417">
        <v>0</v>
      </c>
      <c r="AE508" s="378">
        <v>2.3481000000000001E-3</v>
      </c>
      <c r="AF508" s="378"/>
      <c r="AG508" s="70">
        <v>17708.196550000008</v>
      </c>
      <c r="AH508" s="70">
        <v>12894.196550000008</v>
      </c>
      <c r="AI508" s="70">
        <v>12894.196550000008</v>
      </c>
      <c r="AJ508" s="417">
        <v>0</v>
      </c>
      <c r="AK508" s="417">
        <v>0</v>
      </c>
      <c r="AL508" s="378">
        <v>2.3481000000000001E-3</v>
      </c>
      <c r="AM508" s="378"/>
      <c r="AN508" s="70">
        <v>-13471</v>
      </c>
      <c r="AO508" s="70">
        <v>-10045</v>
      </c>
      <c r="AP508" s="70">
        <v>0</v>
      </c>
      <c r="AQ508" s="417">
        <v>0</v>
      </c>
      <c r="AR508" s="417">
        <v>0</v>
      </c>
    </row>
    <row r="509" spans="1:44">
      <c r="A509" s="439">
        <v>95415</v>
      </c>
      <c r="B509" s="440" t="s">
        <v>1218</v>
      </c>
      <c r="C509" s="437">
        <v>7.2100000000000004E-5</v>
      </c>
      <c r="D509" s="441"/>
      <c r="E509" s="438">
        <v>62559.249675000014</v>
      </c>
      <c r="F509" s="442">
        <v>54171.857875000009</v>
      </c>
      <c r="G509" s="442">
        <v>20263.558275000003</v>
      </c>
      <c r="H509" s="442">
        <v>64046.934700000005</v>
      </c>
      <c r="I509" s="442">
        <v>0</v>
      </c>
      <c r="J509" s="443">
        <v>4.3699999999999998E-5</v>
      </c>
      <c r="K509" s="443"/>
      <c r="L509" s="444">
        <v>11617.2567</v>
      </c>
      <c r="M509" s="444">
        <v>4763.4306999999999</v>
      </c>
      <c r="N509" s="444">
        <v>-572.69029999999998</v>
      </c>
      <c r="O509" s="444">
        <v>0</v>
      </c>
      <c r="P509" s="417">
        <v>0</v>
      </c>
      <c r="Q509" s="378">
        <v>4.3699999999999998E-5</v>
      </c>
      <c r="R509" s="378"/>
      <c r="S509" s="70">
        <v>28245.391300000003</v>
      </c>
      <c r="T509" s="105">
        <v>26435.969700000001</v>
      </c>
      <c r="U509" s="70">
        <v>15705.831400000001</v>
      </c>
      <c r="V509" s="70">
        <v>64046.934700000005</v>
      </c>
      <c r="W509" s="417">
        <v>0</v>
      </c>
      <c r="X509" s="378">
        <v>4.3699999999999998E-5</v>
      </c>
      <c r="Z509" s="70">
        <v>20292.184499999999</v>
      </c>
      <c r="AA509" s="70">
        <v>20292.040300000001</v>
      </c>
      <c r="AB509" s="70">
        <v>0</v>
      </c>
      <c r="AC509" s="417">
        <v>0</v>
      </c>
      <c r="AD509" s="417">
        <v>0</v>
      </c>
      <c r="AE509" s="378">
        <v>4.3699999999999998E-5</v>
      </c>
      <c r="AF509" s="378"/>
      <c r="AG509" s="70">
        <v>7348.4171750000041</v>
      </c>
      <c r="AH509" s="70">
        <v>5130.4171750000041</v>
      </c>
      <c r="AI509" s="70">
        <v>5130.4171750000041</v>
      </c>
      <c r="AJ509" s="417">
        <v>0</v>
      </c>
      <c r="AK509" s="417">
        <v>0</v>
      </c>
      <c r="AL509" s="378">
        <v>4.3699999999999998E-5</v>
      </c>
      <c r="AM509" s="378"/>
      <c r="AN509" s="70">
        <v>-4944</v>
      </c>
      <c r="AO509" s="70">
        <v>-2450</v>
      </c>
      <c r="AP509" s="70">
        <v>0</v>
      </c>
      <c r="AQ509" s="417">
        <v>0</v>
      </c>
      <c r="AR509" s="417">
        <v>0</v>
      </c>
    </row>
    <row r="510" spans="1:44">
      <c r="A510" s="439">
        <v>95421</v>
      </c>
      <c r="B510" s="440" t="s">
        <v>1219</v>
      </c>
      <c r="C510" s="437">
        <v>4.0200000000000001E-5</v>
      </c>
      <c r="D510" s="441"/>
      <c r="E510" s="438">
        <v>35270.610400000005</v>
      </c>
      <c r="F510" s="442">
        <v>34908.258800000003</v>
      </c>
      <c r="G510" s="442">
        <v>11987.363600000002</v>
      </c>
      <c r="H510" s="442">
        <v>35709.941400000003</v>
      </c>
      <c r="I510" s="442">
        <v>0</v>
      </c>
      <c r="J510" s="443">
        <v>3.65E-5</v>
      </c>
      <c r="K510" s="443"/>
      <c r="L510" s="444">
        <v>6477.3054000000002</v>
      </c>
      <c r="M510" s="444">
        <v>2655.8933999999999</v>
      </c>
      <c r="N510" s="444">
        <v>-319.30860000000001</v>
      </c>
      <c r="O510" s="444">
        <v>0</v>
      </c>
      <c r="P510" s="417">
        <v>0</v>
      </c>
      <c r="Q510" s="378">
        <v>3.65E-5</v>
      </c>
      <c r="R510" s="378"/>
      <c r="S510" s="70">
        <v>15748.470600000001</v>
      </c>
      <c r="T510" s="105">
        <v>14739.6114</v>
      </c>
      <c r="U510" s="70">
        <v>8756.9268000000011</v>
      </c>
      <c r="V510" s="70">
        <v>35709.941400000003</v>
      </c>
      <c r="W510" s="417">
        <v>0</v>
      </c>
      <c r="X510" s="378">
        <v>3.65E-5</v>
      </c>
      <c r="Z510" s="70">
        <v>11314.089</v>
      </c>
      <c r="AA510" s="70">
        <v>11314.008600000001</v>
      </c>
      <c r="AB510" s="70">
        <v>0</v>
      </c>
      <c r="AC510" s="417">
        <v>0</v>
      </c>
      <c r="AD510" s="417">
        <v>0</v>
      </c>
      <c r="AE510" s="378">
        <v>3.65E-5</v>
      </c>
      <c r="AF510" s="378"/>
      <c r="AG510" s="70">
        <v>6292.7454000000016</v>
      </c>
      <c r="AH510" s="70">
        <v>6198.7454000000016</v>
      </c>
      <c r="AI510" s="70">
        <v>3549.7454000000016</v>
      </c>
      <c r="AJ510" s="417">
        <v>0</v>
      </c>
      <c r="AK510" s="417">
        <v>0</v>
      </c>
      <c r="AL510" s="378">
        <v>3.65E-5</v>
      </c>
      <c r="AM510" s="378"/>
      <c r="AN510" s="70">
        <v>-4562</v>
      </c>
      <c r="AO510" s="70">
        <v>0</v>
      </c>
      <c r="AP510" s="70">
        <v>0</v>
      </c>
      <c r="AQ510" s="417">
        <v>0</v>
      </c>
      <c r="AR510" s="417">
        <v>0</v>
      </c>
    </row>
    <row r="511" spans="1:44">
      <c r="A511" s="439">
        <v>95431</v>
      </c>
      <c r="B511" s="440" t="s">
        <v>1220</v>
      </c>
      <c r="C511" s="437">
        <v>1.606E-4</v>
      </c>
      <c r="D511" s="441"/>
      <c r="E511" s="438">
        <v>146246.24489999999</v>
      </c>
      <c r="F511" s="442">
        <v>134664.8701</v>
      </c>
      <c r="G511" s="442">
        <v>44388.144499999995</v>
      </c>
      <c r="H511" s="442">
        <v>142662.1042</v>
      </c>
      <c r="I511" s="442">
        <v>0</v>
      </c>
      <c r="J511" s="443">
        <v>2.5170000000000001E-3</v>
      </c>
      <c r="K511" s="443"/>
      <c r="L511" s="444">
        <v>25876.996200000001</v>
      </c>
      <c r="M511" s="444">
        <v>10610.360199999999</v>
      </c>
      <c r="N511" s="444">
        <v>-1275.6458</v>
      </c>
      <c r="O511" s="444">
        <v>0</v>
      </c>
      <c r="P511" s="417">
        <v>0</v>
      </c>
      <c r="Q511" s="378">
        <v>2.5170000000000001E-3</v>
      </c>
      <c r="R511" s="378"/>
      <c r="S511" s="70">
        <v>62915.531799999997</v>
      </c>
      <c r="T511" s="105">
        <v>58885.114200000004</v>
      </c>
      <c r="U511" s="70">
        <v>34984.140399999997</v>
      </c>
      <c r="V511" s="70">
        <v>142662.1042</v>
      </c>
      <c r="W511" s="417">
        <v>0</v>
      </c>
      <c r="X511" s="378">
        <v>2.5170000000000001E-3</v>
      </c>
      <c r="Z511" s="70">
        <v>45200.067000000003</v>
      </c>
      <c r="AA511" s="70">
        <v>45199.745799999997</v>
      </c>
      <c r="AB511" s="70">
        <v>0</v>
      </c>
      <c r="AC511" s="417">
        <v>0</v>
      </c>
      <c r="AD511" s="417">
        <v>0</v>
      </c>
      <c r="AE511" s="378">
        <v>2.5170000000000001E-3</v>
      </c>
      <c r="AF511" s="378"/>
      <c r="AG511" s="70">
        <v>19969.649899999997</v>
      </c>
      <c r="AH511" s="70">
        <v>19969.649899999997</v>
      </c>
      <c r="AI511" s="70">
        <v>10679.649899999997</v>
      </c>
      <c r="AJ511" s="417">
        <v>0</v>
      </c>
      <c r="AK511" s="417">
        <v>0</v>
      </c>
      <c r="AL511" s="378">
        <v>2.5170000000000001E-3</v>
      </c>
      <c r="AM511" s="378"/>
      <c r="AN511" s="70">
        <v>-7716</v>
      </c>
      <c r="AO511" s="70">
        <v>0</v>
      </c>
      <c r="AP511" s="70">
        <v>0</v>
      </c>
      <c r="AQ511" s="417">
        <v>0</v>
      </c>
      <c r="AR511" s="417">
        <v>0</v>
      </c>
    </row>
    <row r="512" spans="1:44">
      <c r="A512" s="439">
        <v>95501</v>
      </c>
      <c r="B512" s="440" t="s">
        <v>1221</v>
      </c>
      <c r="C512" s="437">
        <v>5.5094999999999996E-3</v>
      </c>
      <c r="D512" s="441"/>
      <c r="E512" s="438">
        <v>4859038.8935749987</v>
      </c>
      <c r="F512" s="442">
        <v>4057753.3925749986</v>
      </c>
      <c r="G512" s="442">
        <v>1361780.7705749993</v>
      </c>
      <c r="H512" s="442">
        <v>4894127.4164999994</v>
      </c>
      <c r="I512" s="442">
        <v>0</v>
      </c>
      <c r="J512" s="443">
        <v>4.6900000000000002E-5</v>
      </c>
      <c r="K512" s="443"/>
      <c r="L512" s="444">
        <v>887729.20649999997</v>
      </c>
      <c r="M512" s="444">
        <v>363996.13649999996</v>
      </c>
      <c r="N512" s="444">
        <v>-43761.958500000001</v>
      </c>
      <c r="O512" s="444">
        <v>0</v>
      </c>
      <c r="P512" s="417">
        <v>0</v>
      </c>
      <c r="Q512" s="378">
        <v>4.6900000000000002E-5</v>
      </c>
      <c r="R512" s="378"/>
      <c r="S512" s="70">
        <v>2158363.1535</v>
      </c>
      <c r="T512" s="105">
        <v>2020096.7414999998</v>
      </c>
      <c r="U512" s="70">
        <v>1200156.423</v>
      </c>
      <c r="V512" s="70">
        <v>4894127.4164999994</v>
      </c>
      <c r="W512" s="417">
        <v>0</v>
      </c>
      <c r="X512" s="378">
        <v>4.6900000000000002E-5</v>
      </c>
      <c r="Z512" s="70">
        <v>1550621.2274999998</v>
      </c>
      <c r="AA512" s="70">
        <v>1550610.2084999999</v>
      </c>
      <c r="AB512" s="70">
        <v>0</v>
      </c>
      <c r="AC512" s="417">
        <v>0</v>
      </c>
      <c r="AD512" s="417">
        <v>0</v>
      </c>
      <c r="AE512" s="378">
        <v>4.6900000000000002E-5</v>
      </c>
      <c r="AF512" s="378"/>
      <c r="AG512" s="70">
        <v>344661.30607499927</v>
      </c>
      <c r="AH512" s="70">
        <v>205386.30607499927</v>
      </c>
      <c r="AI512" s="70">
        <v>205386.30607499927</v>
      </c>
      <c r="AJ512" s="417">
        <v>0</v>
      </c>
      <c r="AK512" s="417">
        <v>0</v>
      </c>
      <c r="AL512" s="378">
        <v>4.6900000000000002E-5</v>
      </c>
      <c r="AM512" s="378"/>
      <c r="AN512" s="70">
        <v>-82336</v>
      </c>
      <c r="AO512" s="70">
        <v>-82336</v>
      </c>
      <c r="AP512" s="70">
        <v>0</v>
      </c>
      <c r="AQ512" s="417">
        <v>0</v>
      </c>
      <c r="AR512" s="417">
        <v>0</v>
      </c>
    </row>
    <row r="513" spans="1:44">
      <c r="A513" s="439">
        <v>95504</v>
      </c>
      <c r="B513" s="440" t="s">
        <v>1222</v>
      </c>
      <c r="C513" s="437">
        <v>3.1900000000000003E-5</v>
      </c>
      <c r="D513" s="441"/>
      <c r="E513" s="438">
        <v>44342.117025000007</v>
      </c>
      <c r="F513" s="442">
        <v>34575.076825000004</v>
      </c>
      <c r="G513" s="442">
        <v>15358.672425000001</v>
      </c>
      <c r="H513" s="442">
        <v>28336.993300000002</v>
      </c>
      <c r="I513" s="442">
        <v>0</v>
      </c>
      <c r="J513" s="443">
        <v>4.5300000000000003E-5</v>
      </c>
      <c r="K513" s="443"/>
      <c r="L513" s="444">
        <v>5139.9513000000006</v>
      </c>
      <c r="M513" s="444">
        <v>2107.5373000000004</v>
      </c>
      <c r="N513" s="444">
        <v>-253.38170000000002</v>
      </c>
      <c r="O513" s="444">
        <v>0</v>
      </c>
      <c r="P513" s="417">
        <v>0</v>
      </c>
      <c r="Q513" s="378">
        <v>4.5300000000000003E-5</v>
      </c>
      <c r="R513" s="378"/>
      <c r="S513" s="70">
        <v>12496.920700000001</v>
      </c>
      <c r="T513" s="105">
        <v>11696.358300000002</v>
      </c>
      <c r="U513" s="70">
        <v>6948.9046000000008</v>
      </c>
      <c r="V513" s="70">
        <v>28336.993300000002</v>
      </c>
      <c r="W513" s="417">
        <v>0</v>
      </c>
      <c r="X513" s="378">
        <v>4.5300000000000003E-5</v>
      </c>
      <c r="Z513" s="70">
        <v>8978.0955000000013</v>
      </c>
      <c r="AA513" s="70">
        <v>8978.0317000000014</v>
      </c>
      <c r="AB513" s="70">
        <v>0</v>
      </c>
      <c r="AC513" s="417">
        <v>0</v>
      </c>
      <c r="AD513" s="417">
        <v>0</v>
      </c>
      <c r="AE513" s="378">
        <v>4.5300000000000003E-5</v>
      </c>
      <c r="AF513" s="378"/>
      <c r="AG513" s="70">
        <v>17727.149525000001</v>
      </c>
      <c r="AH513" s="70">
        <v>11793.149525000001</v>
      </c>
      <c r="AI513" s="70">
        <v>8663.1495250000007</v>
      </c>
      <c r="AJ513" s="417">
        <v>0</v>
      </c>
      <c r="AK513" s="417">
        <v>0</v>
      </c>
      <c r="AL513" s="378">
        <v>4.5300000000000003E-5</v>
      </c>
      <c r="AM513" s="378"/>
      <c r="AN513" s="70">
        <v>0</v>
      </c>
      <c r="AO513" s="70">
        <v>0</v>
      </c>
      <c r="AP513" s="70">
        <v>0</v>
      </c>
      <c r="AQ513" s="417">
        <v>0</v>
      </c>
      <c r="AR513" s="417">
        <v>0</v>
      </c>
    </row>
    <row r="514" spans="1:44">
      <c r="A514" s="439">
        <v>95511</v>
      </c>
      <c r="B514" s="440" t="s">
        <v>1223</v>
      </c>
      <c r="C514" s="437">
        <v>1.1253000000000001E-3</v>
      </c>
      <c r="D514" s="441"/>
      <c r="E514" s="438">
        <v>1058366.8096250002</v>
      </c>
      <c r="F514" s="442">
        <v>868052.01222500007</v>
      </c>
      <c r="G514" s="442">
        <v>294671.22942500003</v>
      </c>
      <c r="H514" s="442">
        <v>999611.86710000003</v>
      </c>
      <c r="I514" s="442">
        <v>0</v>
      </c>
      <c r="J514" s="443">
        <v>2.0901000000000001E-3</v>
      </c>
      <c r="K514" s="443"/>
      <c r="L514" s="444">
        <v>181316.21310000002</v>
      </c>
      <c r="M514" s="444">
        <v>74345.195100000012</v>
      </c>
      <c r="N514" s="444">
        <v>-8938.2579000000005</v>
      </c>
      <c r="O514" s="444">
        <v>0</v>
      </c>
      <c r="P514" s="417">
        <v>0</v>
      </c>
      <c r="Q514" s="378">
        <v>2.0901000000000001E-3</v>
      </c>
      <c r="R514" s="378"/>
      <c r="S514" s="70">
        <v>440839.65090000001</v>
      </c>
      <c r="T514" s="105">
        <v>412599.12210000004</v>
      </c>
      <c r="U514" s="70">
        <v>245128.60020000002</v>
      </c>
      <c r="V514" s="70">
        <v>999611.86710000003</v>
      </c>
      <c r="W514" s="417">
        <v>0</v>
      </c>
      <c r="X514" s="378">
        <v>2.0901000000000001E-3</v>
      </c>
      <c r="Z514" s="70">
        <v>316710.05850000004</v>
      </c>
      <c r="AA514" s="70">
        <v>316707.80790000001</v>
      </c>
      <c r="AB514" s="70">
        <v>0</v>
      </c>
      <c r="AC514" s="417">
        <v>0</v>
      </c>
      <c r="AD514" s="417">
        <v>0</v>
      </c>
      <c r="AE514" s="378">
        <v>2.0901000000000001E-3</v>
      </c>
      <c r="AF514" s="378"/>
      <c r="AG514" s="70">
        <v>119500.88712500001</v>
      </c>
      <c r="AH514" s="70">
        <v>64399.887125000008</v>
      </c>
      <c r="AI514" s="70">
        <v>58480.887125000008</v>
      </c>
      <c r="AJ514" s="417">
        <v>0</v>
      </c>
      <c r="AK514" s="417">
        <v>0</v>
      </c>
      <c r="AL514" s="378">
        <v>2.0901000000000001E-3</v>
      </c>
      <c r="AM514" s="378"/>
      <c r="AN514" s="70">
        <v>0</v>
      </c>
      <c r="AO514" s="70">
        <v>0</v>
      </c>
      <c r="AP514" s="70">
        <v>0</v>
      </c>
      <c r="AQ514" s="417">
        <v>0</v>
      </c>
      <c r="AR514" s="417">
        <v>0</v>
      </c>
    </row>
    <row r="515" spans="1:44">
      <c r="A515" s="439">
        <v>95513</v>
      </c>
      <c r="B515" s="440" t="s">
        <v>1224</v>
      </c>
      <c r="C515" s="437">
        <v>5.3000000000000001E-5</v>
      </c>
      <c r="D515" s="441"/>
      <c r="E515" s="438">
        <v>63404.036899999999</v>
      </c>
      <c r="F515" s="442">
        <v>48274.662899999996</v>
      </c>
      <c r="G515" s="442">
        <v>16038.034900000001</v>
      </c>
      <c r="H515" s="442">
        <v>47080.271000000001</v>
      </c>
      <c r="I515" s="442">
        <v>0</v>
      </c>
      <c r="J515" s="443"/>
      <c r="K515" s="443"/>
      <c r="L515" s="444">
        <v>8539.7309999999998</v>
      </c>
      <c r="M515" s="444">
        <v>3501.5509999999999</v>
      </c>
      <c r="N515" s="444">
        <v>-420.97899999999998</v>
      </c>
      <c r="O515" s="444">
        <v>0</v>
      </c>
      <c r="P515" s="417">
        <v>0</v>
      </c>
      <c r="Q515" s="378"/>
      <c r="R515" s="378"/>
      <c r="S515" s="70">
        <v>20762.909</v>
      </c>
      <c r="T515" s="105">
        <v>19432.821</v>
      </c>
      <c r="U515" s="70">
        <v>11545.201999999999</v>
      </c>
      <c r="V515" s="70">
        <v>47080.271000000001</v>
      </c>
      <c r="W515" s="417">
        <v>0</v>
      </c>
      <c r="X515" s="378"/>
      <c r="Z515" s="70">
        <v>14916.585000000001</v>
      </c>
      <c r="AA515" s="70">
        <v>14916.478999999999</v>
      </c>
      <c r="AB515" s="70">
        <v>0</v>
      </c>
      <c r="AC515" s="417">
        <v>0</v>
      </c>
      <c r="AD515" s="417">
        <v>0</v>
      </c>
      <c r="AE515" s="378"/>
      <c r="AF515" s="378"/>
      <c r="AG515" s="70">
        <v>19184.811900000001</v>
      </c>
      <c r="AH515" s="70">
        <v>10423.811900000001</v>
      </c>
      <c r="AI515" s="70">
        <v>4913.8119000000006</v>
      </c>
      <c r="AJ515" s="417">
        <v>0</v>
      </c>
      <c r="AK515" s="417">
        <v>0</v>
      </c>
      <c r="AL515" s="378"/>
      <c r="AM515" s="378"/>
      <c r="AN515" s="70">
        <v>0</v>
      </c>
      <c r="AO515" s="70">
        <v>0</v>
      </c>
      <c r="AP515" s="70">
        <v>0</v>
      </c>
      <c r="AQ515" s="417">
        <v>0</v>
      </c>
      <c r="AR515" s="417">
        <v>0</v>
      </c>
    </row>
    <row r="516" spans="1:44">
      <c r="A516" s="439">
        <v>95517</v>
      </c>
      <c r="B516" s="440" t="s">
        <v>1225</v>
      </c>
      <c r="C516" s="437">
        <v>1.6699999999999999E-5</v>
      </c>
      <c r="D516" s="441"/>
      <c r="E516" s="438">
        <v>14790.668374999999</v>
      </c>
      <c r="F516" s="442">
        <v>12466.029774999999</v>
      </c>
      <c r="G516" s="442">
        <v>5041.6205750000008</v>
      </c>
      <c r="H516" s="442">
        <v>14834.7269</v>
      </c>
      <c r="I516" s="442">
        <v>0</v>
      </c>
      <c r="J516" s="443">
        <v>2.3369999999999999E-4</v>
      </c>
      <c r="K516" s="443"/>
      <c r="L516" s="444">
        <v>2690.8208999999997</v>
      </c>
      <c r="M516" s="444">
        <v>1103.3189</v>
      </c>
      <c r="N516" s="444">
        <v>-132.6481</v>
      </c>
      <c r="O516" s="444">
        <v>0</v>
      </c>
      <c r="P516" s="417">
        <v>0</v>
      </c>
      <c r="Q516" s="378">
        <v>2.3369999999999999E-4</v>
      </c>
      <c r="R516" s="378"/>
      <c r="S516" s="70">
        <v>6542.2750999999998</v>
      </c>
      <c r="T516" s="105">
        <v>6123.1718999999994</v>
      </c>
      <c r="U516" s="70">
        <v>3637.8278</v>
      </c>
      <c r="V516" s="70">
        <v>14834.7269</v>
      </c>
      <c r="W516" s="417">
        <v>0</v>
      </c>
      <c r="X516" s="378">
        <v>2.3369999999999999E-4</v>
      </c>
      <c r="Z516" s="70">
        <v>4700.1314999999995</v>
      </c>
      <c r="AA516" s="70">
        <v>4700.0981000000002</v>
      </c>
      <c r="AB516" s="70">
        <v>0</v>
      </c>
      <c r="AC516" s="417">
        <v>0</v>
      </c>
      <c r="AD516" s="417">
        <v>0</v>
      </c>
      <c r="AE516" s="378">
        <v>2.3369999999999999E-4</v>
      </c>
      <c r="AF516" s="378"/>
      <c r="AG516" s="70">
        <v>1860.4408750000007</v>
      </c>
      <c r="AH516" s="70">
        <v>1536.4408750000007</v>
      </c>
      <c r="AI516" s="70">
        <v>1536.4408750000007</v>
      </c>
      <c r="AJ516" s="417">
        <v>0</v>
      </c>
      <c r="AK516" s="417">
        <v>0</v>
      </c>
      <c r="AL516" s="378">
        <v>2.3369999999999999E-4</v>
      </c>
      <c r="AM516" s="378"/>
      <c r="AN516" s="70">
        <v>-1003</v>
      </c>
      <c r="AO516" s="70">
        <v>-997</v>
      </c>
      <c r="AP516" s="70">
        <v>0</v>
      </c>
      <c r="AQ516" s="417">
        <v>0</v>
      </c>
      <c r="AR516" s="417">
        <v>0</v>
      </c>
    </row>
    <row r="517" spans="1:44">
      <c r="A517" s="439">
        <v>95601</v>
      </c>
      <c r="B517" s="440" t="s">
        <v>1226</v>
      </c>
      <c r="C517" s="437">
        <v>2.2116000000000002E-3</v>
      </c>
      <c r="D517" s="441"/>
      <c r="E517" s="438">
        <v>1756939.9417000003</v>
      </c>
      <c r="F517" s="442">
        <v>1544505.5089000002</v>
      </c>
      <c r="G517" s="442">
        <v>497453.70730000013</v>
      </c>
      <c r="H517" s="442">
        <v>1964579.7612000001</v>
      </c>
      <c r="I517" s="442">
        <v>0</v>
      </c>
      <c r="J517" s="443">
        <v>5.9500000000000003E-5</v>
      </c>
      <c r="K517" s="443"/>
      <c r="L517" s="444">
        <v>356348.47320000001</v>
      </c>
      <c r="M517" s="444">
        <v>146113.77720000001</v>
      </c>
      <c r="N517" s="444">
        <v>-17566.738800000003</v>
      </c>
      <c r="O517" s="444">
        <v>0</v>
      </c>
      <c r="P517" s="417">
        <v>0</v>
      </c>
      <c r="Q517" s="378">
        <v>5.9500000000000003E-5</v>
      </c>
      <c r="R517" s="378"/>
      <c r="S517" s="70">
        <v>866400.93480000005</v>
      </c>
      <c r="T517" s="105">
        <v>810898.62120000005</v>
      </c>
      <c r="U517" s="70">
        <v>481761.67440000002</v>
      </c>
      <c r="V517" s="70">
        <v>1964579.7612000001</v>
      </c>
      <c r="W517" s="417">
        <v>0</v>
      </c>
      <c r="X517" s="378">
        <v>5.9500000000000003E-5</v>
      </c>
      <c r="Z517" s="70">
        <v>622443.7620000001</v>
      </c>
      <c r="AA517" s="70">
        <v>622439.33880000003</v>
      </c>
      <c r="AB517" s="70">
        <v>0</v>
      </c>
      <c r="AC517" s="417">
        <v>0</v>
      </c>
      <c r="AD517" s="417">
        <v>0</v>
      </c>
      <c r="AE517" s="378">
        <v>5.9500000000000003E-5</v>
      </c>
      <c r="AF517" s="378"/>
      <c r="AG517" s="70">
        <v>33258.771700000099</v>
      </c>
      <c r="AH517" s="70">
        <v>33258.771700000099</v>
      </c>
      <c r="AI517" s="70">
        <v>33258.771700000099</v>
      </c>
      <c r="AJ517" s="417">
        <v>0</v>
      </c>
      <c r="AK517" s="417">
        <v>0</v>
      </c>
      <c r="AL517" s="378">
        <v>5.9500000000000003E-5</v>
      </c>
      <c r="AM517" s="378"/>
      <c r="AN517" s="70">
        <v>-121512</v>
      </c>
      <c r="AO517" s="70">
        <v>-68205</v>
      </c>
      <c r="AP517" s="70">
        <v>0</v>
      </c>
      <c r="AQ517" s="417">
        <v>0</v>
      </c>
      <c r="AR517" s="417">
        <v>0</v>
      </c>
    </row>
    <row r="518" spans="1:44">
      <c r="A518" s="439">
        <v>95611</v>
      </c>
      <c r="B518" s="440" t="s">
        <v>1227</v>
      </c>
      <c r="C518" s="437">
        <v>3.2840000000000001E-4</v>
      </c>
      <c r="D518" s="441"/>
      <c r="E518" s="438">
        <v>261776.75735000003</v>
      </c>
      <c r="F518" s="442">
        <v>235751.87015000003</v>
      </c>
      <c r="G518" s="442">
        <v>60910.63175</v>
      </c>
      <c r="H518" s="442">
        <v>291720.01880000002</v>
      </c>
      <c r="I518" s="442">
        <v>0</v>
      </c>
      <c r="J518" s="443">
        <v>3.0899999999999999E-5</v>
      </c>
      <c r="K518" s="443"/>
      <c r="L518" s="444">
        <v>52914.106800000001</v>
      </c>
      <c r="M518" s="444">
        <v>21696.4028</v>
      </c>
      <c r="N518" s="444">
        <v>-2608.4812000000002</v>
      </c>
      <c r="O518" s="444">
        <v>0</v>
      </c>
      <c r="P518" s="417">
        <v>0</v>
      </c>
      <c r="Q518" s="378">
        <v>3.0899999999999999E-5</v>
      </c>
      <c r="R518" s="378"/>
      <c r="S518" s="70">
        <v>128651.68520000001</v>
      </c>
      <c r="T518" s="105">
        <v>120410.1588</v>
      </c>
      <c r="U518" s="70">
        <v>71536.685599999997</v>
      </c>
      <c r="V518" s="70">
        <v>291720.01880000002</v>
      </c>
      <c r="W518" s="417">
        <v>0</v>
      </c>
      <c r="X518" s="378">
        <v>3.0899999999999999E-5</v>
      </c>
      <c r="Z518" s="70">
        <v>92426.538</v>
      </c>
      <c r="AA518" s="70">
        <v>92425.881200000003</v>
      </c>
      <c r="AB518" s="70">
        <v>0</v>
      </c>
      <c r="AC518" s="417">
        <v>0</v>
      </c>
      <c r="AD518" s="417">
        <v>0</v>
      </c>
      <c r="AE518" s="378">
        <v>3.0899999999999999E-5</v>
      </c>
      <c r="AF518" s="378"/>
      <c r="AG518" s="70">
        <v>10071</v>
      </c>
      <c r="AH518" s="70">
        <v>9237</v>
      </c>
      <c r="AI518" s="70">
        <v>0</v>
      </c>
      <c r="AJ518" s="417">
        <v>0</v>
      </c>
      <c r="AK518" s="417">
        <v>0</v>
      </c>
      <c r="AL518" s="378">
        <v>3.0899999999999999E-5</v>
      </c>
      <c r="AM518" s="378"/>
      <c r="AN518" s="70">
        <v>-22286.572650000002</v>
      </c>
      <c r="AO518" s="70">
        <v>-8017.5726500000019</v>
      </c>
      <c r="AP518" s="70">
        <v>-8017.5726500000019</v>
      </c>
      <c r="AQ518" s="417">
        <v>0</v>
      </c>
      <c r="AR518" s="417">
        <v>0</v>
      </c>
    </row>
    <row r="519" spans="1:44">
      <c r="A519" s="439">
        <v>95617</v>
      </c>
      <c r="B519" s="440" t="s">
        <v>1228</v>
      </c>
      <c r="C519" s="437">
        <v>1.8300000000000001E-5</v>
      </c>
      <c r="D519" s="441"/>
      <c r="E519" s="438">
        <v>19198.612175000006</v>
      </c>
      <c r="F519" s="442">
        <v>16685.720775000002</v>
      </c>
      <c r="G519" s="442">
        <v>4628.4699750000018</v>
      </c>
      <c r="H519" s="442">
        <v>16256.018100000001</v>
      </c>
      <c r="I519" s="442">
        <v>0</v>
      </c>
      <c r="J519" s="443">
        <v>1.3229999999999999E-4</v>
      </c>
      <c r="K519" s="443"/>
      <c r="L519" s="444">
        <v>2948.6241</v>
      </c>
      <c r="M519" s="444">
        <v>1209.0261</v>
      </c>
      <c r="N519" s="444">
        <v>-145.3569</v>
      </c>
      <c r="O519" s="444">
        <v>0</v>
      </c>
      <c r="P519" s="417">
        <v>0</v>
      </c>
      <c r="Q519" s="378">
        <v>1.3229999999999999E-4</v>
      </c>
      <c r="R519" s="378"/>
      <c r="S519" s="70">
        <v>7169.0799000000006</v>
      </c>
      <c r="T519" s="105">
        <v>6709.8231000000005</v>
      </c>
      <c r="U519" s="70">
        <v>3986.3622</v>
      </c>
      <c r="V519" s="70">
        <v>16256.018100000001</v>
      </c>
      <c r="W519" s="417">
        <v>0</v>
      </c>
      <c r="X519" s="378">
        <v>1.3229999999999999E-4</v>
      </c>
      <c r="Z519" s="70">
        <v>5150.4435000000003</v>
      </c>
      <c r="AA519" s="70">
        <v>5150.4069</v>
      </c>
      <c r="AB519" s="70">
        <v>0</v>
      </c>
      <c r="AC519" s="417">
        <v>0</v>
      </c>
      <c r="AD519" s="417">
        <v>0</v>
      </c>
      <c r="AE519" s="378">
        <v>1.3229999999999999E-4</v>
      </c>
      <c r="AF519" s="378"/>
      <c r="AG519" s="70">
        <v>3930.464675000002</v>
      </c>
      <c r="AH519" s="70">
        <v>3616.464675000002</v>
      </c>
      <c r="AI519" s="70">
        <v>787.46467500000199</v>
      </c>
      <c r="AJ519" s="417">
        <v>0</v>
      </c>
      <c r="AK519" s="417">
        <v>0</v>
      </c>
      <c r="AL519" s="378">
        <v>1.3229999999999999E-4</v>
      </c>
      <c r="AM519" s="378"/>
      <c r="AN519" s="70">
        <v>0</v>
      </c>
      <c r="AO519" s="70">
        <v>0</v>
      </c>
      <c r="AP519" s="70">
        <v>0</v>
      </c>
      <c r="AQ519" s="417">
        <v>0</v>
      </c>
      <c r="AR519" s="417">
        <v>0</v>
      </c>
    </row>
    <row r="520" spans="1:44">
      <c r="A520" s="439">
        <v>95621</v>
      </c>
      <c r="B520" s="440" t="s">
        <v>1229</v>
      </c>
      <c r="C520" s="437">
        <v>4.573E-4</v>
      </c>
      <c r="D520" s="441"/>
      <c r="E520" s="438">
        <v>395809.50337500003</v>
      </c>
      <c r="F520" s="442">
        <v>335358.24997499998</v>
      </c>
      <c r="G520" s="442">
        <v>92845.835175000044</v>
      </c>
      <c r="H520" s="442">
        <v>406222.79110000003</v>
      </c>
      <c r="I520" s="442">
        <v>0</v>
      </c>
      <c r="J520" s="443">
        <v>5.1955999999999999E-3</v>
      </c>
      <c r="K520" s="443"/>
      <c r="L520" s="444">
        <v>73683.377099999998</v>
      </c>
      <c r="M520" s="444">
        <v>30212.4391</v>
      </c>
      <c r="N520" s="444">
        <v>-3632.3339000000001</v>
      </c>
      <c r="O520" s="444">
        <v>0</v>
      </c>
      <c r="P520" s="417">
        <v>0</v>
      </c>
      <c r="Q520" s="378">
        <v>5.1955999999999999E-3</v>
      </c>
      <c r="R520" s="378"/>
      <c r="S520" s="70">
        <v>179148.64689999999</v>
      </c>
      <c r="T520" s="105">
        <v>167672.24609999999</v>
      </c>
      <c r="U520" s="70">
        <v>99615.488200000007</v>
      </c>
      <c r="V520" s="70">
        <v>406222.79110000003</v>
      </c>
      <c r="W520" s="417">
        <v>0</v>
      </c>
      <c r="X520" s="378">
        <v>5.1955999999999999E-3</v>
      </c>
      <c r="Z520" s="70">
        <v>128704.7985</v>
      </c>
      <c r="AA520" s="70">
        <v>128703.8839</v>
      </c>
      <c r="AB520" s="70">
        <v>0</v>
      </c>
      <c r="AC520" s="417">
        <v>0</v>
      </c>
      <c r="AD520" s="417">
        <v>0</v>
      </c>
      <c r="AE520" s="378">
        <v>5.1955999999999999E-3</v>
      </c>
      <c r="AF520" s="378"/>
      <c r="AG520" s="70">
        <v>22873</v>
      </c>
      <c r="AH520" s="70">
        <v>11907</v>
      </c>
      <c r="AI520" s="70">
        <v>0</v>
      </c>
      <c r="AJ520" s="417">
        <v>0</v>
      </c>
      <c r="AK520" s="417">
        <v>0</v>
      </c>
      <c r="AL520" s="378">
        <v>5.1955999999999999E-3</v>
      </c>
      <c r="AM520" s="378"/>
      <c r="AN520" s="70">
        <v>-8600.3191249999654</v>
      </c>
      <c r="AO520" s="70">
        <v>-3137.3191249999654</v>
      </c>
      <c r="AP520" s="70">
        <v>-3137.3191249999654</v>
      </c>
      <c r="AQ520" s="417">
        <v>0</v>
      </c>
      <c r="AR520" s="417">
        <v>0</v>
      </c>
    </row>
    <row r="521" spans="1:44">
      <c r="A521" s="439">
        <v>95701</v>
      </c>
      <c r="B521" s="440" t="s">
        <v>1230</v>
      </c>
      <c r="C521" s="437">
        <v>1.1988000000000001E-3</v>
      </c>
      <c r="D521" s="441"/>
      <c r="E521" s="438">
        <v>944086.56975000002</v>
      </c>
      <c r="F521" s="442">
        <v>835383.15935000009</v>
      </c>
      <c r="G521" s="442">
        <v>251809.09054999999</v>
      </c>
      <c r="H521" s="442">
        <v>1064902.4316</v>
      </c>
      <c r="I521" s="442">
        <v>0</v>
      </c>
      <c r="J521" s="443">
        <v>1.8099999999999999E-5</v>
      </c>
      <c r="K521" s="443"/>
      <c r="L521" s="444">
        <v>193159.04760000002</v>
      </c>
      <c r="M521" s="444">
        <v>79201.119600000005</v>
      </c>
      <c r="N521" s="444">
        <v>-9522.0684000000001</v>
      </c>
      <c r="O521" s="444">
        <v>0</v>
      </c>
      <c r="P521" s="417">
        <v>0</v>
      </c>
      <c r="Q521" s="378">
        <v>1.8099999999999999E-5</v>
      </c>
      <c r="R521" s="378"/>
      <c r="S521" s="70">
        <v>469633.4964</v>
      </c>
      <c r="T521" s="105">
        <v>439548.41160000005</v>
      </c>
      <c r="U521" s="70">
        <v>261139.39920000001</v>
      </c>
      <c r="V521" s="70">
        <v>1064902.4316</v>
      </c>
      <c r="W521" s="417">
        <v>0</v>
      </c>
      <c r="X521" s="378">
        <v>1.8099999999999999E-5</v>
      </c>
      <c r="Z521" s="70">
        <v>337396.266</v>
      </c>
      <c r="AA521" s="70">
        <v>337393.86840000004</v>
      </c>
      <c r="AB521" s="70">
        <v>0</v>
      </c>
      <c r="AC521" s="417">
        <v>0</v>
      </c>
      <c r="AD521" s="417">
        <v>0</v>
      </c>
      <c r="AE521" s="378">
        <v>1.8099999999999999E-5</v>
      </c>
      <c r="AF521" s="378"/>
      <c r="AG521" s="70">
        <v>191.75974999996834</v>
      </c>
      <c r="AH521" s="70">
        <v>191.75974999996834</v>
      </c>
      <c r="AI521" s="70">
        <v>191.75974999996834</v>
      </c>
      <c r="AJ521" s="417">
        <v>0</v>
      </c>
      <c r="AK521" s="417">
        <v>0</v>
      </c>
      <c r="AL521" s="378">
        <v>1.8099999999999999E-5</v>
      </c>
      <c r="AM521" s="378"/>
      <c r="AN521" s="70">
        <v>-56294</v>
      </c>
      <c r="AO521" s="70">
        <v>-20952</v>
      </c>
      <c r="AP521" s="70">
        <v>0</v>
      </c>
      <c r="AQ521" s="417">
        <v>0</v>
      </c>
      <c r="AR521" s="417">
        <v>0</v>
      </c>
    </row>
    <row r="522" spans="1:44">
      <c r="A522" s="439">
        <v>95711</v>
      </c>
      <c r="B522" s="440" t="s">
        <v>1231</v>
      </c>
      <c r="C522" s="437">
        <v>1.652E-4</v>
      </c>
      <c r="D522" s="441"/>
      <c r="E522" s="438">
        <v>135018.89434999999</v>
      </c>
      <c r="F522" s="442">
        <v>117144.79275000001</v>
      </c>
      <c r="G522" s="442">
        <v>29802.397550000012</v>
      </c>
      <c r="H522" s="442">
        <v>146748.31640000001</v>
      </c>
      <c r="I522" s="442">
        <v>0</v>
      </c>
      <c r="J522" s="443">
        <v>1.0248E-3</v>
      </c>
      <c r="K522" s="443"/>
      <c r="L522" s="444">
        <v>26618.180400000001</v>
      </c>
      <c r="M522" s="444">
        <v>10914.268400000001</v>
      </c>
      <c r="N522" s="444">
        <v>-1312.1836000000001</v>
      </c>
      <c r="O522" s="444">
        <v>0</v>
      </c>
      <c r="P522" s="417">
        <v>0</v>
      </c>
      <c r="Q522" s="378">
        <v>1.0248E-3</v>
      </c>
      <c r="R522" s="378"/>
      <c r="S522" s="70">
        <v>64717.595600000001</v>
      </c>
      <c r="T522" s="105">
        <v>60571.736400000002</v>
      </c>
      <c r="U522" s="70">
        <v>35986.176800000001</v>
      </c>
      <c r="V522" s="70">
        <v>146748.31640000001</v>
      </c>
      <c r="W522" s="417">
        <v>0</v>
      </c>
      <c r="X522" s="378">
        <v>1.0248E-3</v>
      </c>
      <c r="Z522" s="70">
        <v>46494.714</v>
      </c>
      <c r="AA522" s="70">
        <v>46494.383600000001</v>
      </c>
      <c r="AB522" s="70">
        <v>0</v>
      </c>
      <c r="AC522" s="417">
        <v>0</v>
      </c>
      <c r="AD522" s="417">
        <v>0</v>
      </c>
      <c r="AE522" s="378">
        <v>1.0248E-3</v>
      </c>
      <c r="AF522" s="378"/>
      <c r="AG522" s="70">
        <v>4036</v>
      </c>
      <c r="AH522" s="70">
        <v>4036</v>
      </c>
      <c r="AI522" s="70">
        <v>0</v>
      </c>
      <c r="AJ522" s="417">
        <v>0</v>
      </c>
      <c r="AK522" s="417">
        <v>0</v>
      </c>
      <c r="AL522" s="378">
        <v>1.0248E-3</v>
      </c>
      <c r="AM522" s="378"/>
      <c r="AN522" s="70">
        <v>-6847.595649999992</v>
      </c>
      <c r="AO522" s="70">
        <v>-4871.595649999992</v>
      </c>
      <c r="AP522" s="70">
        <v>-4871.595649999992</v>
      </c>
      <c r="AQ522" s="417">
        <v>0</v>
      </c>
      <c r="AR522" s="417">
        <v>0</v>
      </c>
    </row>
    <row r="523" spans="1:44">
      <c r="A523" s="439">
        <v>95721</v>
      </c>
      <c r="B523" s="440" t="s">
        <v>1232</v>
      </c>
      <c r="C523" s="437">
        <v>5.52E-5</v>
      </c>
      <c r="D523" s="441"/>
      <c r="E523" s="438">
        <v>45208.080199999997</v>
      </c>
      <c r="F523" s="442">
        <v>44204.358600000007</v>
      </c>
      <c r="G523" s="442">
        <v>9502.3234000000011</v>
      </c>
      <c r="H523" s="442">
        <v>49034.546399999999</v>
      </c>
      <c r="I523" s="442">
        <v>0</v>
      </c>
      <c r="J523" s="443">
        <v>5.0699999999999999E-5</v>
      </c>
      <c r="K523" s="443"/>
      <c r="L523" s="444">
        <v>8894.2103999999999</v>
      </c>
      <c r="M523" s="444">
        <v>3646.8984</v>
      </c>
      <c r="N523" s="444">
        <v>-438.45359999999999</v>
      </c>
      <c r="O523" s="444">
        <v>0</v>
      </c>
      <c r="P523" s="417">
        <v>0</v>
      </c>
      <c r="Q523" s="378">
        <v>5.0699999999999999E-5</v>
      </c>
      <c r="R523" s="378"/>
      <c r="S523" s="70">
        <v>21624.765599999999</v>
      </c>
      <c r="T523" s="105">
        <v>20239.466400000001</v>
      </c>
      <c r="U523" s="70">
        <v>12024.436799999999</v>
      </c>
      <c r="V523" s="70">
        <v>49034.546399999999</v>
      </c>
      <c r="W523" s="417">
        <v>0</v>
      </c>
      <c r="X523" s="378">
        <v>5.0699999999999999E-5</v>
      </c>
      <c r="Z523" s="70">
        <v>15535.763999999999</v>
      </c>
      <c r="AA523" s="70">
        <v>15535.6536</v>
      </c>
      <c r="AB523" s="70">
        <v>0</v>
      </c>
      <c r="AC523" s="417">
        <v>0</v>
      </c>
      <c r="AD523" s="417">
        <v>0</v>
      </c>
      <c r="AE523" s="378">
        <v>5.0699999999999999E-5</v>
      </c>
      <c r="AF523" s="378"/>
      <c r="AG523" s="70">
        <v>6866</v>
      </c>
      <c r="AH523" s="70">
        <v>6866</v>
      </c>
      <c r="AI523" s="70">
        <v>0</v>
      </c>
      <c r="AJ523" s="417">
        <v>0</v>
      </c>
      <c r="AK523" s="417">
        <v>0</v>
      </c>
      <c r="AL523" s="378">
        <v>5.0699999999999999E-5</v>
      </c>
      <c r="AM523" s="378"/>
      <c r="AN523" s="70">
        <v>-7712.6597999999976</v>
      </c>
      <c r="AO523" s="70">
        <v>-2083.6597999999976</v>
      </c>
      <c r="AP523" s="70">
        <v>-2083.6597999999976</v>
      </c>
      <c r="AQ523" s="417">
        <v>0</v>
      </c>
      <c r="AR523" s="417">
        <v>0</v>
      </c>
    </row>
    <row r="524" spans="1:44">
      <c r="A524" s="439">
        <v>95733</v>
      </c>
      <c r="B524" s="440" t="s">
        <v>1233</v>
      </c>
      <c r="C524" s="437">
        <v>1.2799999999999999E-5</v>
      </c>
      <c r="D524" s="441"/>
      <c r="E524" s="438">
        <v>10819.015099999997</v>
      </c>
      <c r="F524" s="442">
        <v>9623.9926999999989</v>
      </c>
      <c r="G524" s="442">
        <v>2714.2598999999991</v>
      </c>
      <c r="H524" s="442">
        <v>11370.329599999999</v>
      </c>
      <c r="I524" s="442">
        <v>0</v>
      </c>
      <c r="J524" s="443">
        <v>1.6200000000000001E-5</v>
      </c>
      <c r="K524" s="443"/>
      <c r="L524" s="444">
        <v>2062.4256</v>
      </c>
      <c r="M524" s="444">
        <v>845.6576</v>
      </c>
      <c r="N524" s="444">
        <v>-101.6704</v>
      </c>
      <c r="O524" s="444">
        <v>0</v>
      </c>
      <c r="P524" s="417">
        <v>0</v>
      </c>
      <c r="Q524" s="378">
        <v>1.6200000000000001E-5</v>
      </c>
      <c r="R524" s="378"/>
      <c r="S524" s="70">
        <v>5014.4384</v>
      </c>
      <c r="T524" s="105">
        <v>4693.2096000000001</v>
      </c>
      <c r="U524" s="70">
        <v>2788.2752</v>
      </c>
      <c r="V524" s="70">
        <v>11370.329599999999</v>
      </c>
      <c r="W524" s="417">
        <v>0</v>
      </c>
      <c r="X524" s="378">
        <v>1.6200000000000001E-5</v>
      </c>
      <c r="Z524" s="70">
        <v>3602.4959999999996</v>
      </c>
      <c r="AA524" s="70">
        <v>3602.4703999999997</v>
      </c>
      <c r="AB524" s="70">
        <v>0</v>
      </c>
      <c r="AC524" s="417">
        <v>0</v>
      </c>
      <c r="AD524" s="417">
        <v>0</v>
      </c>
      <c r="AE524" s="378">
        <v>1.6200000000000001E-5</v>
      </c>
      <c r="AF524" s="378"/>
      <c r="AG524" s="70">
        <v>482.65509999999904</v>
      </c>
      <c r="AH524" s="70">
        <v>482.65509999999904</v>
      </c>
      <c r="AI524" s="70">
        <v>27.655099999999038</v>
      </c>
      <c r="AJ524" s="417">
        <v>0</v>
      </c>
      <c r="AK524" s="417">
        <v>0</v>
      </c>
      <c r="AL524" s="378">
        <v>1.6200000000000001E-5</v>
      </c>
      <c r="AM524" s="378"/>
      <c r="AN524" s="70">
        <v>-343</v>
      </c>
      <c r="AO524" s="70">
        <v>0</v>
      </c>
      <c r="AP524" s="70">
        <v>0</v>
      </c>
      <c r="AQ524" s="417">
        <v>0</v>
      </c>
      <c r="AR524" s="417">
        <v>0</v>
      </c>
    </row>
    <row r="525" spans="1:44">
      <c r="A525" s="439">
        <v>95801</v>
      </c>
      <c r="B525" s="440" t="s">
        <v>1234</v>
      </c>
      <c r="C525" s="437">
        <v>9.0350000000000001E-4</v>
      </c>
      <c r="D525" s="441"/>
      <c r="E525" s="438">
        <v>767061.94777499989</v>
      </c>
      <c r="F525" s="442">
        <v>659582.19477499998</v>
      </c>
      <c r="G525" s="442">
        <v>211094.82877499997</v>
      </c>
      <c r="H525" s="442">
        <v>802585.37450000003</v>
      </c>
      <c r="I525" s="442">
        <v>0</v>
      </c>
      <c r="J525" s="443">
        <v>2.2501999999999999E-3</v>
      </c>
      <c r="K525" s="443"/>
      <c r="L525" s="444">
        <v>145578.2445</v>
      </c>
      <c r="M525" s="444">
        <v>59691.534500000002</v>
      </c>
      <c r="N525" s="444">
        <v>-7176.5005000000001</v>
      </c>
      <c r="O525" s="444">
        <v>0</v>
      </c>
      <c r="P525" s="417">
        <v>0</v>
      </c>
      <c r="Q525" s="378">
        <v>2.2501999999999999E-3</v>
      </c>
      <c r="R525" s="378"/>
      <c r="S525" s="70">
        <v>353948.83549999999</v>
      </c>
      <c r="T525" s="105">
        <v>331274.59950000001</v>
      </c>
      <c r="U525" s="70">
        <v>196813.019</v>
      </c>
      <c r="V525" s="70">
        <v>802585.37450000003</v>
      </c>
      <c r="W525" s="417">
        <v>0</v>
      </c>
      <c r="X525" s="378">
        <v>2.2501999999999999E-3</v>
      </c>
      <c r="Z525" s="70">
        <v>254285.5575</v>
      </c>
      <c r="AA525" s="70">
        <v>254283.75049999999</v>
      </c>
      <c r="AB525" s="70">
        <v>0</v>
      </c>
      <c r="AC525" s="417">
        <v>0</v>
      </c>
      <c r="AD525" s="417">
        <v>0</v>
      </c>
      <c r="AE525" s="378">
        <v>2.2501999999999999E-3</v>
      </c>
      <c r="AF525" s="378"/>
      <c r="AG525" s="70">
        <v>21458.310274999967</v>
      </c>
      <c r="AH525" s="70">
        <v>21458.310274999967</v>
      </c>
      <c r="AI525" s="70">
        <v>21458.310274999967</v>
      </c>
      <c r="AJ525" s="417">
        <v>0</v>
      </c>
      <c r="AK525" s="417">
        <v>0</v>
      </c>
      <c r="AL525" s="378">
        <v>2.2501999999999999E-3</v>
      </c>
      <c r="AM525" s="378"/>
      <c r="AN525" s="70">
        <v>-8209</v>
      </c>
      <c r="AO525" s="70">
        <v>-7126</v>
      </c>
      <c r="AP525" s="70">
        <v>0</v>
      </c>
      <c r="AQ525" s="417">
        <v>0</v>
      </c>
      <c r="AR525" s="417">
        <v>0</v>
      </c>
    </row>
    <row r="526" spans="1:44">
      <c r="A526" s="439">
        <v>95802</v>
      </c>
      <c r="B526" s="440" t="s">
        <v>1235</v>
      </c>
      <c r="C526" s="437">
        <v>6.8000000000000001E-6</v>
      </c>
      <c r="D526" s="441"/>
      <c r="E526" s="438">
        <v>10342.348450000001</v>
      </c>
      <c r="F526" s="442">
        <v>7826.2740500000009</v>
      </c>
      <c r="G526" s="442">
        <v>2330.1972500000002</v>
      </c>
      <c r="H526" s="442">
        <v>6040.4876000000004</v>
      </c>
      <c r="I526" s="442">
        <v>0</v>
      </c>
      <c r="J526" s="443">
        <v>3.4969999999999999E-4</v>
      </c>
      <c r="K526" s="443"/>
      <c r="L526" s="444">
        <v>1095.6636000000001</v>
      </c>
      <c r="M526" s="444">
        <v>449.25560000000002</v>
      </c>
      <c r="N526" s="444">
        <v>-54.0124</v>
      </c>
      <c r="O526" s="444">
        <v>0</v>
      </c>
      <c r="P526" s="417">
        <v>0</v>
      </c>
      <c r="Q526" s="378">
        <v>3.4969999999999999E-4</v>
      </c>
      <c r="R526" s="378"/>
      <c r="S526" s="70">
        <v>2663.9204</v>
      </c>
      <c r="T526" s="105">
        <v>2493.2676000000001</v>
      </c>
      <c r="U526" s="70">
        <v>1481.2712000000001</v>
      </c>
      <c r="V526" s="70">
        <v>6040.4876000000004</v>
      </c>
      <c r="W526" s="417">
        <v>0</v>
      </c>
      <c r="X526" s="378">
        <v>3.4969999999999999E-4</v>
      </c>
      <c r="Z526" s="70">
        <v>1913.826</v>
      </c>
      <c r="AA526" s="70">
        <v>1913.8124</v>
      </c>
      <c r="AB526" s="70">
        <v>0</v>
      </c>
      <c r="AC526" s="417">
        <v>0</v>
      </c>
      <c r="AD526" s="417">
        <v>0</v>
      </c>
      <c r="AE526" s="378">
        <v>3.4969999999999999E-4</v>
      </c>
      <c r="AF526" s="378"/>
      <c r="AG526" s="70">
        <v>4668.9384500000006</v>
      </c>
      <c r="AH526" s="70">
        <v>2969.9384500000006</v>
      </c>
      <c r="AI526" s="70">
        <v>902.93845000000033</v>
      </c>
      <c r="AJ526" s="417">
        <v>0</v>
      </c>
      <c r="AK526" s="417">
        <v>0</v>
      </c>
      <c r="AL526" s="378">
        <v>3.4969999999999999E-4</v>
      </c>
      <c r="AM526" s="378"/>
      <c r="AN526" s="70">
        <v>0</v>
      </c>
      <c r="AO526" s="70">
        <v>0</v>
      </c>
      <c r="AP526" s="70">
        <v>0</v>
      </c>
      <c r="AQ526" s="417">
        <v>0</v>
      </c>
      <c r="AR526" s="417">
        <v>0</v>
      </c>
    </row>
    <row r="527" spans="1:44">
      <c r="A527" s="439">
        <v>95804</v>
      </c>
      <c r="B527" s="440" t="s">
        <v>1236</v>
      </c>
      <c r="C527" s="437">
        <v>2.65E-5</v>
      </c>
      <c r="D527" s="441"/>
      <c r="E527" s="438">
        <v>20423.552975000002</v>
      </c>
      <c r="F527" s="442">
        <v>17759.365975000001</v>
      </c>
      <c r="G527" s="442">
        <v>5564.0519750000039</v>
      </c>
      <c r="H527" s="442">
        <v>23540.1355</v>
      </c>
      <c r="I527" s="442">
        <v>0</v>
      </c>
      <c r="J527" s="443">
        <v>1.8199999999999999E-5</v>
      </c>
      <c r="K527" s="443"/>
      <c r="L527" s="444">
        <v>4269.8654999999999</v>
      </c>
      <c r="M527" s="444">
        <v>1750.7755</v>
      </c>
      <c r="N527" s="444">
        <v>-210.48949999999999</v>
      </c>
      <c r="O527" s="444">
        <v>0</v>
      </c>
      <c r="P527" s="417">
        <v>0</v>
      </c>
      <c r="Q527" s="378">
        <v>1.8199999999999999E-5</v>
      </c>
      <c r="R527" s="378"/>
      <c r="S527" s="70">
        <v>10381.4545</v>
      </c>
      <c r="T527" s="105">
        <v>9716.4105</v>
      </c>
      <c r="U527" s="70">
        <v>5772.6009999999997</v>
      </c>
      <c r="V527" s="70">
        <v>23540.1355</v>
      </c>
      <c r="W527" s="417">
        <v>0</v>
      </c>
      <c r="X527" s="378">
        <v>1.8199999999999999E-5</v>
      </c>
      <c r="Z527" s="70">
        <v>7458.2925000000005</v>
      </c>
      <c r="AA527" s="70">
        <v>7458.2394999999997</v>
      </c>
      <c r="AB527" s="70">
        <v>0</v>
      </c>
      <c r="AC527" s="417">
        <v>0</v>
      </c>
      <c r="AD527" s="417">
        <v>0</v>
      </c>
      <c r="AE527" s="378">
        <v>1.8199999999999999E-5</v>
      </c>
      <c r="AF527" s="378"/>
      <c r="AG527" s="70">
        <v>215.94047500000397</v>
      </c>
      <c r="AH527" s="70">
        <v>1.9404750000039712</v>
      </c>
      <c r="AI527" s="70">
        <v>1.9404750000039712</v>
      </c>
      <c r="AJ527" s="417">
        <v>0</v>
      </c>
      <c r="AK527" s="417">
        <v>0</v>
      </c>
      <c r="AL527" s="378">
        <v>1.8199999999999999E-5</v>
      </c>
      <c r="AM527" s="378"/>
      <c r="AN527" s="70">
        <v>-1902</v>
      </c>
      <c r="AO527" s="70">
        <v>-1168</v>
      </c>
      <c r="AP527" s="70">
        <v>0</v>
      </c>
      <c r="AQ527" s="417">
        <v>0</v>
      </c>
      <c r="AR527" s="417">
        <v>0</v>
      </c>
    </row>
    <row r="528" spans="1:44">
      <c r="A528" s="439">
        <v>95811</v>
      </c>
      <c r="B528" s="440" t="s">
        <v>1237</v>
      </c>
      <c r="C528" s="437">
        <v>5.1659999999999998E-4</v>
      </c>
      <c r="D528" s="441"/>
      <c r="E528" s="438">
        <v>411050.20284999994</v>
      </c>
      <c r="F528" s="442">
        <v>341955.58005000005</v>
      </c>
      <c r="G528" s="442">
        <v>98327.598450000034</v>
      </c>
      <c r="H528" s="442">
        <v>458899.39619999996</v>
      </c>
      <c r="I528" s="442">
        <v>0</v>
      </c>
      <c r="J528" s="443">
        <v>4.793E-4</v>
      </c>
      <c r="K528" s="443"/>
      <c r="L528" s="444">
        <v>83238.208199999994</v>
      </c>
      <c r="M528" s="444">
        <v>34130.212200000002</v>
      </c>
      <c r="N528" s="444">
        <v>-4103.3537999999999</v>
      </c>
      <c r="O528" s="444">
        <v>0</v>
      </c>
      <c r="P528" s="417">
        <v>0</v>
      </c>
      <c r="Q528" s="378">
        <v>4.793E-4</v>
      </c>
      <c r="R528" s="378"/>
      <c r="S528" s="70">
        <v>202379.5998</v>
      </c>
      <c r="T528" s="105">
        <v>189415.0062</v>
      </c>
      <c r="U528" s="70">
        <v>112533.0444</v>
      </c>
      <c r="V528" s="70">
        <v>458899.39619999996</v>
      </c>
      <c r="W528" s="417">
        <v>0</v>
      </c>
      <c r="X528" s="378">
        <v>4.793E-4</v>
      </c>
      <c r="Z528" s="70">
        <v>145394.48699999999</v>
      </c>
      <c r="AA528" s="70">
        <v>145393.45379999999</v>
      </c>
      <c r="AB528" s="70">
        <v>0</v>
      </c>
      <c r="AC528" s="417">
        <v>0</v>
      </c>
      <c r="AD528" s="417">
        <v>0</v>
      </c>
      <c r="AE528" s="378">
        <v>4.793E-4</v>
      </c>
      <c r="AF528" s="378"/>
      <c r="AG528" s="70">
        <v>7021</v>
      </c>
      <c r="AH528" s="70">
        <v>0</v>
      </c>
      <c r="AI528" s="70">
        <v>0</v>
      </c>
      <c r="AJ528" s="417">
        <v>0</v>
      </c>
      <c r="AK528" s="417">
        <v>0</v>
      </c>
      <c r="AL528" s="378">
        <v>4.793E-4</v>
      </c>
      <c r="AM528" s="378"/>
      <c r="AN528" s="70">
        <v>-26983.092149999968</v>
      </c>
      <c r="AO528" s="70">
        <v>-26983.092149999968</v>
      </c>
      <c r="AP528" s="70">
        <v>-10102.092149999968</v>
      </c>
      <c r="AQ528" s="417">
        <v>0</v>
      </c>
      <c r="AR528" s="417">
        <v>0</v>
      </c>
    </row>
    <row r="529" spans="1:44">
      <c r="A529" s="439">
        <v>95813</v>
      </c>
      <c r="B529" s="440" t="s">
        <v>1238</v>
      </c>
      <c r="C529" s="437">
        <v>3.8399999999999998E-5</v>
      </c>
      <c r="D529" s="441"/>
      <c r="E529" s="438">
        <v>43750.990649999992</v>
      </c>
      <c r="F529" s="442">
        <v>31354.923449999995</v>
      </c>
      <c r="G529" s="442">
        <v>7051.7250499999982</v>
      </c>
      <c r="H529" s="442">
        <v>34110.988799999999</v>
      </c>
      <c r="I529" s="442">
        <v>0</v>
      </c>
      <c r="J529" s="443">
        <v>1.1892999999999999E-3</v>
      </c>
      <c r="K529" s="443"/>
      <c r="L529" s="444">
        <v>6187.2767999999996</v>
      </c>
      <c r="M529" s="444">
        <v>2536.9728</v>
      </c>
      <c r="N529" s="444">
        <v>-305.01119999999997</v>
      </c>
      <c r="O529" s="444">
        <v>0</v>
      </c>
      <c r="P529" s="417">
        <v>0</v>
      </c>
      <c r="Q529" s="378">
        <v>1.1892999999999999E-3</v>
      </c>
      <c r="R529" s="378"/>
      <c r="S529" s="70">
        <v>15043.315199999999</v>
      </c>
      <c r="T529" s="105">
        <v>14079.628799999999</v>
      </c>
      <c r="U529" s="70">
        <v>8364.8256000000001</v>
      </c>
      <c r="V529" s="70">
        <v>34110.988799999999</v>
      </c>
      <c r="W529" s="417">
        <v>0</v>
      </c>
      <c r="X529" s="378">
        <v>1.1892999999999999E-3</v>
      </c>
      <c r="Z529" s="70">
        <v>10807.487999999999</v>
      </c>
      <c r="AA529" s="70">
        <v>10807.411199999999</v>
      </c>
      <c r="AB529" s="70">
        <v>0</v>
      </c>
      <c r="AC529" s="417">
        <v>0</v>
      </c>
      <c r="AD529" s="417">
        <v>0</v>
      </c>
      <c r="AE529" s="378">
        <v>1.1892999999999999E-3</v>
      </c>
      <c r="AF529" s="378"/>
      <c r="AG529" s="70">
        <v>12721</v>
      </c>
      <c r="AH529" s="70">
        <v>4939</v>
      </c>
      <c r="AI529" s="70">
        <v>0</v>
      </c>
      <c r="AJ529" s="417">
        <v>0</v>
      </c>
      <c r="AK529" s="417">
        <v>0</v>
      </c>
      <c r="AL529" s="378">
        <v>1.1892999999999999E-3</v>
      </c>
      <c r="AM529" s="378"/>
      <c r="AN529" s="70">
        <v>-1008.089350000002</v>
      </c>
      <c r="AO529" s="70">
        <v>-1008.089350000002</v>
      </c>
      <c r="AP529" s="70">
        <v>-1008.089350000002</v>
      </c>
      <c r="AQ529" s="417">
        <v>0</v>
      </c>
      <c r="AR529" s="417">
        <v>0</v>
      </c>
    </row>
    <row r="530" spans="1:44">
      <c r="A530" s="439">
        <v>95821</v>
      </c>
      <c r="B530" s="440" t="s">
        <v>1239</v>
      </c>
      <c r="C530" s="437">
        <v>8.1999999999999994E-6</v>
      </c>
      <c r="D530" s="441"/>
      <c r="E530" s="438">
        <v>8074.5508000000009</v>
      </c>
      <c r="F530" s="442">
        <v>6101.2552000000005</v>
      </c>
      <c r="G530" s="442">
        <v>1553.1920000000007</v>
      </c>
      <c r="H530" s="442">
        <v>7284.1173999999992</v>
      </c>
      <c r="I530" s="442">
        <v>0</v>
      </c>
      <c r="J530" s="443">
        <v>1.6249999999999999E-4</v>
      </c>
      <c r="K530" s="443"/>
      <c r="L530" s="444">
        <v>1321.2413999999999</v>
      </c>
      <c r="M530" s="444">
        <v>541.74939999999992</v>
      </c>
      <c r="N530" s="444">
        <v>-65.132599999999996</v>
      </c>
      <c r="O530" s="444">
        <v>0</v>
      </c>
      <c r="P530" s="417">
        <v>0</v>
      </c>
      <c r="Q530" s="378">
        <v>1.6249999999999999E-4</v>
      </c>
      <c r="R530" s="378"/>
      <c r="S530" s="70">
        <v>3212.3745999999996</v>
      </c>
      <c r="T530" s="105">
        <v>3006.5873999999999</v>
      </c>
      <c r="U530" s="70">
        <v>1786.2387999999999</v>
      </c>
      <c r="V530" s="70">
        <v>7284.1173999999992</v>
      </c>
      <c r="W530" s="417">
        <v>0</v>
      </c>
      <c r="X530" s="378">
        <v>1.6249999999999999E-4</v>
      </c>
      <c r="Z530" s="70">
        <v>2307.8489999999997</v>
      </c>
      <c r="AA530" s="70">
        <v>2307.8325999999997</v>
      </c>
      <c r="AB530" s="70">
        <v>0</v>
      </c>
      <c r="AC530" s="417">
        <v>0</v>
      </c>
      <c r="AD530" s="417">
        <v>0</v>
      </c>
      <c r="AE530" s="378">
        <v>1.6249999999999999E-4</v>
      </c>
      <c r="AF530" s="378"/>
      <c r="AG530" s="70">
        <v>1632</v>
      </c>
      <c r="AH530" s="70">
        <v>413</v>
      </c>
      <c r="AI530" s="70">
        <v>0</v>
      </c>
      <c r="AJ530" s="417">
        <v>0</v>
      </c>
      <c r="AK530" s="417">
        <v>0</v>
      </c>
      <c r="AL530" s="378">
        <v>1.6249999999999999E-4</v>
      </c>
      <c r="AM530" s="378"/>
      <c r="AN530" s="70">
        <v>-398.91419999999925</v>
      </c>
      <c r="AO530" s="70">
        <v>-167.91419999999925</v>
      </c>
      <c r="AP530" s="70">
        <v>-167.91419999999925</v>
      </c>
      <c r="AQ530" s="417">
        <v>0</v>
      </c>
      <c r="AR530" s="417">
        <v>0</v>
      </c>
    </row>
    <row r="531" spans="1:44">
      <c r="A531" s="439">
        <v>95831</v>
      </c>
      <c r="B531" s="440" t="s">
        <v>1240</v>
      </c>
      <c r="C531" s="437">
        <v>1.91E-5</v>
      </c>
      <c r="D531" s="441"/>
      <c r="E531" s="438">
        <v>24275.886074999999</v>
      </c>
      <c r="F531" s="442">
        <v>20120.868275000001</v>
      </c>
      <c r="G531" s="442">
        <v>5367.1966749999983</v>
      </c>
      <c r="H531" s="442">
        <v>16966.663700000001</v>
      </c>
      <c r="I531" s="442">
        <v>0</v>
      </c>
      <c r="J531" s="443">
        <v>6.1799999999999998E-5</v>
      </c>
      <c r="K531" s="443"/>
      <c r="L531" s="444">
        <v>3077.5257000000001</v>
      </c>
      <c r="M531" s="444">
        <v>1261.8797</v>
      </c>
      <c r="N531" s="444">
        <v>-151.71129999999999</v>
      </c>
      <c r="O531" s="444">
        <v>0</v>
      </c>
      <c r="P531" s="417">
        <v>0</v>
      </c>
      <c r="Q531" s="378">
        <v>6.1799999999999998E-5</v>
      </c>
      <c r="R531" s="378"/>
      <c r="S531" s="70">
        <v>7482.4822999999997</v>
      </c>
      <c r="T531" s="105">
        <v>7003.1486999999997</v>
      </c>
      <c r="U531" s="70">
        <v>4160.6293999999998</v>
      </c>
      <c r="V531" s="70">
        <v>16966.663700000001</v>
      </c>
      <c r="W531" s="417">
        <v>0</v>
      </c>
      <c r="X531" s="378">
        <v>6.1799999999999998E-5</v>
      </c>
      <c r="Z531" s="70">
        <v>5375.5995000000003</v>
      </c>
      <c r="AA531" s="70">
        <v>5375.5613000000003</v>
      </c>
      <c r="AB531" s="70">
        <v>0</v>
      </c>
      <c r="AC531" s="417">
        <v>0</v>
      </c>
      <c r="AD531" s="417">
        <v>0</v>
      </c>
      <c r="AE531" s="378">
        <v>6.1799999999999998E-5</v>
      </c>
      <c r="AF531" s="378"/>
      <c r="AG531" s="70">
        <v>8340.2785749999985</v>
      </c>
      <c r="AH531" s="70">
        <v>6480.2785749999985</v>
      </c>
      <c r="AI531" s="70">
        <v>1358.2785749999985</v>
      </c>
      <c r="AJ531" s="417">
        <v>0</v>
      </c>
      <c r="AK531" s="417">
        <v>0</v>
      </c>
      <c r="AL531" s="378">
        <v>6.1799999999999998E-5</v>
      </c>
      <c r="AM531" s="378"/>
      <c r="AN531" s="70">
        <v>0</v>
      </c>
      <c r="AO531" s="70">
        <v>0</v>
      </c>
      <c r="AP531" s="70">
        <v>0</v>
      </c>
      <c r="AQ531" s="417">
        <v>0</v>
      </c>
      <c r="AR531" s="417">
        <v>0</v>
      </c>
    </row>
    <row r="532" spans="1:44">
      <c r="A532" s="439">
        <v>95841</v>
      </c>
      <c r="B532" s="440" t="s">
        <v>1241</v>
      </c>
      <c r="C532" s="437">
        <v>2.1299999999999999E-5</v>
      </c>
      <c r="D532" s="441"/>
      <c r="E532" s="438">
        <v>15302.004875000002</v>
      </c>
      <c r="F532" s="442">
        <v>12032.639475</v>
      </c>
      <c r="G532" s="442">
        <v>2540.5606750000015</v>
      </c>
      <c r="H532" s="442">
        <v>18920.9391</v>
      </c>
      <c r="I532" s="442">
        <v>0</v>
      </c>
      <c r="J532" s="443">
        <v>1.36E-5</v>
      </c>
      <c r="K532" s="443"/>
      <c r="L532" s="444">
        <v>3432.0050999999999</v>
      </c>
      <c r="M532" s="444">
        <v>1407.2271000000001</v>
      </c>
      <c r="N532" s="444">
        <v>-169.1859</v>
      </c>
      <c r="O532" s="444">
        <v>0</v>
      </c>
      <c r="P532" s="417">
        <v>0</v>
      </c>
      <c r="Q532" s="378">
        <v>1.36E-5</v>
      </c>
      <c r="R532" s="378"/>
      <c r="S532" s="70">
        <v>8344.3389000000006</v>
      </c>
      <c r="T532" s="105">
        <v>7809.7941000000001</v>
      </c>
      <c r="U532" s="70">
        <v>4639.8642</v>
      </c>
      <c r="V532" s="70">
        <v>18920.9391</v>
      </c>
      <c r="W532" s="417">
        <v>0</v>
      </c>
      <c r="X532" s="378">
        <v>1.36E-5</v>
      </c>
      <c r="Z532" s="70">
        <v>5994.7784999999994</v>
      </c>
      <c r="AA532" s="70">
        <v>5994.7358999999997</v>
      </c>
      <c r="AB532" s="70">
        <v>0</v>
      </c>
      <c r="AC532" s="417">
        <v>0</v>
      </c>
      <c r="AD532" s="417">
        <v>0</v>
      </c>
      <c r="AE532" s="378">
        <v>1.36E-5</v>
      </c>
      <c r="AF532" s="378"/>
      <c r="AG532" s="70">
        <v>1000</v>
      </c>
      <c r="AH532" s="70">
        <v>0</v>
      </c>
      <c r="AI532" s="70">
        <v>0</v>
      </c>
      <c r="AJ532" s="417">
        <v>0</v>
      </c>
      <c r="AK532" s="417">
        <v>0</v>
      </c>
      <c r="AL532" s="378">
        <v>1.36E-5</v>
      </c>
      <c r="AM532" s="378"/>
      <c r="AN532" s="70">
        <v>-3469.117624999998</v>
      </c>
      <c r="AO532" s="70">
        <v>-3179.117624999998</v>
      </c>
      <c r="AP532" s="70">
        <v>-1930.117624999998</v>
      </c>
      <c r="AQ532" s="417">
        <v>0</v>
      </c>
      <c r="AR532" s="417">
        <v>0</v>
      </c>
    </row>
    <row r="533" spans="1:44">
      <c r="A533" s="439">
        <v>95851</v>
      </c>
      <c r="B533" s="440" t="s">
        <v>1242</v>
      </c>
      <c r="C533" s="437">
        <v>9.1199999999999994E-5</v>
      </c>
      <c r="D533" s="441"/>
      <c r="E533" s="438">
        <v>69084.770900000003</v>
      </c>
      <c r="F533" s="442">
        <v>46757.361299999997</v>
      </c>
      <c r="G533" s="442">
        <v>11500.39009999999</v>
      </c>
      <c r="H533" s="442">
        <v>81013.598399999988</v>
      </c>
      <c r="I533" s="442">
        <v>0</v>
      </c>
      <c r="J533" s="443">
        <v>8.8820000000000001E-4</v>
      </c>
      <c r="K533" s="443"/>
      <c r="L533" s="444">
        <v>14694.782399999998</v>
      </c>
      <c r="M533" s="444">
        <v>6025.3103999999994</v>
      </c>
      <c r="N533" s="444">
        <v>-724.40159999999992</v>
      </c>
      <c r="O533" s="444">
        <v>0</v>
      </c>
      <c r="P533" s="417">
        <v>0</v>
      </c>
      <c r="Q533" s="378">
        <v>8.8820000000000001E-4</v>
      </c>
      <c r="R533" s="378"/>
      <c r="S533" s="70">
        <v>35727.873599999999</v>
      </c>
      <c r="T533" s="105">
        <v>33439.118399999999</v>
      </c>
      <c r="U533" s="70">
        <v>19866.460799999997</v>
      </c>
      <c r="V533" s="70">
        <v>81013.598399999988</v>
      </c>
      <c r="W533" s="417">
        <v>0</v>
      </c>
      <c r="X533" s="378">
        <v>8.8820000000000001E-4</v>
      </c>
      <c r="Z533" s="70">
        <v>25667.784</v>
      </c>
      <c r="AA533" s="70">
        <v>25667.601599999998</v>
      </c>
      <c r="AB533" s="70">
        <v>0</v>
      </c>
      <c r="AC533" s="417">
        <v>0</v>
      </c>
      <c r="AD533" s="417">
        <v>0</v>
      </c>
      <c r="AE533" s="378">
        <v>8.8820000000000001E-4</v>
      </c>
      <c r="AF533" s="378"/>
      <c r="AG533" s="70">
        <v>11842</v>
      </c>
      <c r="AH533" s="70">
        <v>0</v>
      </c>
      <c r="AI533" s="70">
        <v>0</v>
      </c>
      <c r="AJ533" s="417">
        <v>0</v>
      </c>
      <c r="AK533" s="417">
        <v>0</v>
      </c>
      <c r="AL533" s="378">
        <v>8.8820000000000001E-4</v>
      </c>
      <c r="AM533" s="378"/>
      <c r="AN533" s="70">
        <v>-18847.669100000006</v>
      </c>
      <c r="AO533" s="70">
        <v>-18374.669100000006</v>
      </c>
      <c r="AP533" s="70">
        <v>-7641.6691000000064</v>
      </c>
      <c r="AQ533" s="417">
        <v>0</v>
      </c>
      <c r="AR533" s="417">
        <v>0</v>
      </c>
    </row>
    <row r="534" spans="1:44">
      <c r="A534" s="439">
        <v>95853</v>
      </c>
      <c r="B534" s="440" t="s">
        <v>1243</v>
      </c>
      <c r="C534" s="437">
        <v>2.6100000000000001E-5</v>
      </c>
      <c r="D534" s="441"/>
      <c r="E534" s="438">
        <v>20350.322424999998</v>
      </c>
      <c r="F534" s="442">
        <v>17413.198624999997</v>
      </c>
      <c r="G534" s="442">
        <v>4901.5950249999996</v>
      </c>
      <c r="H534" s="442">
        <v>23184.812700000002</v>
      </c>
      <c r="I534" s="442">
        <v>0</v>
      </c>
      <c r="J534" s="443">
        <v>6.9E-6</v>
      </c>
      <c r="K534" s="443"/>
      <c r="L534" s="444">
        <v>4205.4147000000003</v>
      </c>
      <c r="M534" s="444">
        <v>1724.3487</v>
      </c>
      <c r="N534" s="444">
        <v>-207.31229999999999</v>
      </c>
      <c r="O534" s="444">
        <v>0</v>
      </c>
      <c r="P534" s="417">
        <v>0</v>
      </c>
      <c r="Q534" s="378">
        <v>6.9E-6</v>
      </c>
      <c r="R534" s="378"/>
      <c r="S534" s="70">
        <v>10224.7533</v>
      </c>
      <c r="T534" s="105">
        <v>9569.7476999999999</v>
      </c>
      <c r="U534" s="70">
        <v>5685.4674000000005</v>
      </c>
      <c r="V534" s="70">
        <v>23184.812700000002</v>
      </c>
      <c r="W534" s="417">
        <v>0</v>
      </c>
      <c r="X534" s="378">
        <v>6.9E-6</v>
      </c>
      <c r="Z534" s="70">
        <v>7345.7145</v>
      </c>
      <c r="AA534" s="70">
        <v>7345.6623</v>
      </c>
      <c r="AB534" s="70">
        <v>0</v>
      </c>
      <c r="AC534" s="417">
        <v>0</v>
      </c>
      <c r="AD534" s="417">
        <v>0</v>
      </c>
      <c r="AE534" s="378">
        <v>6.9E-6</v>
      </c>
      <c r="AF534" s="378"/>
      <c r="AG534" s="70">
        <v>0</v>
      </c>
      <c r="AH534" s="70">
        <v>0</v>
      </c>
      <c r="AI534" s="70">
        <v>0</v>
      </c>
      <c r="AJ534" s="417">
        <v>0</v>
      </c>
      <c r="AK534" s="417">
        <v>0</v>
      </c>
      <c r="AL534" s="378">
        <v>6.9E-6</v>
      </c>
      <c r="AM534" s="378"/>
      <c r="AN534" s="70">
        <v>-1425.5600750000012</v>
      </c>
      <c r="AO534" s="70">
        <v>-1226.5600750000012</v>
      </c>
      <c r="AP534" s="70">
        <v>-576.56007500000123</v>
      </c>
      <c r="AQ534" s="417">
        <v>0</v>
      </c>
      <c r="AR534" s="417">
        <v>0</v>
      </c>
    </row>
    <row r="535" spans="1:44">
      <c r="A535" s="439">
        <v>95901</v>
      </c>
      <c r="B535" s="440" t="s">
        <v>1244</v>
      </c>
      <c r="C535" s="437">
        <v>2.2539000000000001E-3</v>
      </c>
      <c r="D535" s="441"/>
      <c r="E535" s="438">
        <v>1977499.950125</v>
      </c>
      <c r="F535" s="442">
        <v>1717190.8339249999</v>
      </c>
      <c r="G535" s="442">
        <v>566497.15752499993</v>
      </c>
      <c r="H535" s="442">
        <v>2002155.1473000001</v>
      </c>
      <c r="I535" s="442">
        <v>0</v>
      </c>
      <c r="J535" s="443">
        <v>2.5299999999999998E-5</v>
      </c>
      <c r="K535" s="443"/>
      <c r="L535" s="444">
        <v>363164.14530000003</v>
      </c>
      <c r="M535" s="444">
        <v>148908.41130000001</v>
      </c>
      <c r="N535" s="444">
        <v>-17902.727699999999</v>
      </c>
      <c r="O535" s="444">
        <v>0</v>
      </c>
      <c r="P535" s="417">
        <v>0</v>
      </c>
      <c r="Q535" s="378">
        <v>2.5299999999999998E-5</v>
      </c>
      <c r="R535" s="378"/>
      <c r="S535" s="70">
        <v>882972.08669999999</v>
      </c>
      <c r="T535" s="105">
        <v>826408.21230000001</v>
      </c>
      <c r="U535" s="70">
        <v>490976.0526</v>
      </c>
      <c r="V535" s="70">
        <v>2002155.1473000001</v>
      </c>
      <c r="W535" s="417">
        <v>0</v>
      </c>
      <c r="X535" s="378">
        <v>2.5299999999999998E-5</v>
      </c>
      <c r="Z535" s="70">
        <v>634348.88549999997</v>
      </c>
      <c r="AA535" s="70">
        <v>634344.37770000007</v>
      </c>
      <c r="AB535" s="70">
        <v>0</v>
      </c>
      <c r="AC535" s="417">
        <v>0</v>
      </c>
      <c r="AD535" s="417">
        <v>0</v>
      </c>
      <c r="AE535" s="378">
        <v>2.5299999999999998E-5</v>
      </c>
      <c r="AF535" s="378"/>
      <c r="AG535" s="70">
        <v>107529.83262499992</v>
      </c>
      <c r="AH535" s="70">
        <v>107529.83262499992</v>
      </c>
      <c r="AI535" s="70">
        <v>93423.832624999923</v>
      </c>
      <c r="AJ535" s="417">
        <v>0</v>
      </c>
      <c r="AK535" s="417">
        <v>0</v>
      </c>
      <c r="AL535" s="378">
        <v>2.5299999999999998E-5</v>
      </c>
      <c r="AM535" s="378"/>
      <c r="AN535" s="70">
        <v>-10515</v>
      </c>
      <c r="AO535" s="70">
        <v>0</v>
      </c>
      <c r="AP535" s="70">
        <v>0</v>
      </c>
      <c r="AQ535" s="417">
        <v>0</v>
      </c>
      <c r="AR535" s="417">
        <v>0</v>
      </c>
    </row>
    <row r="536" spans="1:44">
      <c r="A536" s="439">
        <v>95908</v>
      </c>
      <c r="B536" s="440" t="s">
        <v>1245</v>
      </c>
      <c r="C536" s="437">
        <v>5.8699999999999997E-5</v>
      </c>
      <c r="D536" s="441"/>
      <c r="E536" s="438">
        <v>43110.435975</v>
      </c>
      <c r="F536" s="442">
        <v>42251.161375000003</v>
      </c>
      <c r="G536" s="442">
        <v>12488.160175000003</v>
      </c>
      <c r="H536" s="442">
        <v>52143.620899999994</v>
      </c>
      <c r="I536" s="442">
        <v>0</v>
      </c>
      <c r="J536" s="443">
        <v>5.2939999999999997E-4</v>
      </c>
      <c r="K536" s="443"/>
      <c r="L536" s="444">
        <v>9458.1548999999995</v>
      </c>
      <c r="M536" s="444">
        <v>3878.1328999999996</v>
      </c>
      <c r="N536" s="444">
        <v>-466.25409999999999</v>
      </c>
      <c r="O536" s="444">
        <v>0</v>
      </c>
      <c r="P536" s="417">
        <v>0</v>
      </c>
      <c r="Q536" s="378">
        <v>5.2939999999999997E-4</v>
      </c>
      <c r="R536" s="378"/>
      <c r="S536" s="70">
        <v>22995.901099999999</v>
      </c>
      <c r="T536" s="105">
        <v>21522.765899999999</v>
      </c>
      <c r="U536" s="70">
        <v>12786.855799999999</v>
      </c>
      <c r="V536" s="70">
        <v>52143.620899999994</v>
      </c>
      <c r="W536" s="417">
        <v>0</v>
      </c>
      <c r="X536" s="378">
        <v>5.2939999999999997E-4</v>
      </c>
      <c r="Z536" s="70">
        <v>16520.821499999998</v>
      </c>
      <c r="AA536" s="70">
        <v>16520.704099999999</v>
      </c>
      <c r="AB536" s="70">
        <v>0</v>
      </c>
      <c r="AC536" s="417">
        <v>0</v>
      </c>
      <c r="AD536" s="417">
        <v>0</v>
      </c>
      <c r="AE536" s="378">
        <v>5.2939999999999997E-4</v>
      </c>
      <c r="AF536" s="378"/>
      <c r="AG536" s="70">
        <v>864.55847500000345</v>
      </c>
      <c r="AH536" s="70">
        <v>329.55847500000345</v>
      </c>
      <c r="AI536" s="70">
        <v>167.55847500000345</v>
      </c>
      <c r="AJ536" s="417">
        <v>0</v>
      </c>
      <c r="AK536" s="417">
        <v>0</v>
      </c>
      <c r="AL536" s="378">
        <v>5.2939999999999997E-4</v>
      </c>
      <c r="AM536" s="378"/>
      <c r="AN536" s="70">
        <v>-6729</v>
      </c>
      <c r="AO536" s="70">
        <v>0</v>
      </c>
      <c r="AP536" s="70">
        <v>0</v>
      </c>
      <c r="AQ536" s="417">
        <v>0</v>
      </c>
      <c r="AR536" s="417">
        <v>0</v>
      </c>
    </row>
    <row r="537" spans="1:44">
      <c r="A537" s="439">
        <v>95911</v>
      </c>
      <c r="B537" s="440" t="s">
        <v>1246</v>
      </c>
      <c r="C537" s="437">
        <v>6.068E-4</v>
      </c>
      <c r="D537" s="441"/>
      <c r="E537" s="438">
        <v>517994.02064999996</v>
      </c>
      <c r="F537" s="442">
        <v>455857.14625000005</v>
      </c>
      <c r="G537" s="442">
        <v>172490.46944999998</v>
      </c>
      <c r="H537" s="442">
        <v>539024.68759999995</v>
      </c>
      <c r="I537" s="442">
        <v>0</v>
      </c>
      <c r="J537" s="443">
        <v>4.6100000000000002E-5</v>
      </c>
      <c r="K537" s="443"/>
      <c r="L537" s="444">
        <v>97771.863599999997</v>
      </c>
      <c r="M537" s="444">
        <v>40089.455600000001</v>
      </c>
      <c r="N537" s="444">
        <v>-4819.8123999999998</v>
      </c>
      <c r="O537" s="444">
        <v>0</v>
      </c>
      <c r="P537" s="417">
        <v>0</v>
      </c>
      <c r="Q537" s="378">
        <v>4.6100000000000002E-5</v>
      </c>
      <c r="R537" s="378"/>
      <c r="S537" s="70">
        <v>237715.72039999999</v>
      </c>
      <c r="T537" s="105">
        <v>222487.4676</v>
      </c>
      <c r="U537" s="70">
        <v>132181.67120000001</v>
      </c>
      <c r="V537" s="70">
        <v>539024.68759999995</v>
      </c>
      <c r="W537" s="417">
        <v>0</v>
      </c>
      <c r="X537" s="378">
        <v>4.6100000000000002E-5</v>
      </c>
      <c r="Z537" s="70">
        <v>170780.826</v>
      </c>
      <c r="AA537" s="70">
        <v>170779.61240000001</v>
      </c>
      <c r="AB537" s="70">
        <v>0</v>
      </c>
      <c r="AC537" s="417">
        <v>0</v>
      </c>
      <c r="AD537" s="417">
        <v>0</v>
      </c>
      <c r="AE537" s="378">
        <v>4.6100000000000002E-5</v>
      </c>
      <c r="AF537" s="378"/>
      <c r="AG537" s="70">
        <v>45128.610649999973</v>
      </c>
      <c r="AH537" s="70">
        <v>45128.610649999973</v>
      </c>
      <c r="AI537" s="70">
        <v>45128.610649999973</v>
      </c>
      <c r="AJ537" s="417">
        <v>0</v>
      </c>
      <c r="AK537" s="417">
        <v>0</v>
      </c>
      <c r="AL537" s="378">
        <v>4.6100000000000002E-5</v>
      </c>
      <c r="AM537" s="378"/>
      <c r="AN537" s="70">
        <v>-33403</v>
      </c>
      <c r="AO537" s="70">
        <v>-22628</v>
      </c>
      <c r="AP537" s="70">
        <v>0</v>
      </c>
      <c r="AQ537" s="417">
        <v>0</v>
      </c>
      <c r="AR537" s="417">
        <v>0</v>
      </c>
    </row>
    <row r="538" spans="1:44">
      <c r="A538" s="439">
        <v>95917</v>
      </c>
      <c r="B538" s="440" t="s">
        <v>1247</v>
      </c>
      <c r="C538" s="437">
        <v>3.0700000000000001E-5</v>
      </c>
      <c r="D538" s="441"/>
      <c r="E538" s="438">
        <v>32138.852525000002</v>
      </c>
      <c r="F538" s="442">
        <v>26153.001924999997</v>
      </c>
      <c r="G538" s="442">
        <v>5898.7287249999972</v>
      </c>
      <c r="H538" s="442">
        <v>27271.0249</v>
      </c>
      <c r="I538" s="442">
        <v>0</v>
      </c>
      <c r="J538" s="443">
        <v>7.0999999999999998E-6</v>
      </c>
      <c r="K538" s="443"/>
      <c r="L538" s="444">
        <v>4946.5989</v>
      </c>
      <c r="M538" s="444">
        <v>2028.2569000000001</v>
      </c>
      <c r="N538" s="444">
        <v>-243.8501</v>
      </c>
      <c r="O538" s="444">
        <v>0</v>
      </c>
      <c r="P538" s="417">
        <v>0</v>
      </c>
      <c r="Q538" s="378">
        <v>7.0999999999999998E-6</v>
      </c>
      <c r="R538" s="378"/>
      <c r="S538" s="70">
        <v>12026.8171</v>
      </c>
      <c r="T538" s="105">
        <v>11256.3699</v>
      </c>
      <c r="U538" s="70">
        <v>6687.5038000000004</v>
      </c>
      <c r="V538" s="70">
        <v>27271.0249</v>
      </c>
      <c r="W538" s="417">
        <v>0</v>
      </c>
      <c r="X538" s="378">
        <v>7.0999999999999998E-6</v>
      </c>
      <c r="Z538" s="70">
        <v>8640.3615000000009</v>
      </c>
      <c r="AA538" s="70">
        <v>8640.3001000000004</v>
      </c>
      <c r="AB538" s="70">
        <v>0</v>
      </c>
      <c r="AC538" s="417">
        <v>0</v>
      </c>
      <c r="AD538" s="417">
        <v>0</v>
      </c>
      <c r="AE538" s="378">
        <v>7.0999999999999998E-6</v>
      </c>
      <c r="AF538" s="378"/>
      <c r="AG538" s="70">
        <v>7070</v>
      </c>
      <c r="AH538" s="70">
        <v>4773</v>
      </c>
      <c r="AI538" s="70">
        <v>0</v>
      </c>
      <c r="AJ538" s="417">
        <v>0</v>
      </c>
      <c r="AK538" s="417">
        <v>0</v>
      </c>
      <c r="AL538" s="378">
        <v>7.0999999999999998E-6</v>
      </c>
      <c r="AM538" s="378"/>
      <c r="AN538" s="70">
        <v>-544.92497500000354</v>
      </c>
      <c r="AO538" s="70">
        <v>-544.92497500000354</v>
      </c>
      <c r="AP538" s="70">
        <v>-544.92497500000354</v>
      </c>
      <c r="AQ538" s="417">
        <v>0</v>
      </c>
      <c r="AR538" s="417">
        <v>0</v>
      </c>
    </row>
    <row r="539" spans="1:44">
      <c r="A539" s="439">
        <v>95921</v>
      </c>
      <c r="B539" s="440" t="s">
        <v>1248</v>
      </c>
      <c r="C539" s="437">
        <v>4.5200000000000001E-5</v>
      </c>
      <c r="D539" s="441"/>
      <c r="E539" s="438">
        <v>37955.763999999996</v>
      </c>
      <c r="F539" s="442">
        <v>31943.622400000007</v>
      </c>
      <c r="G539" s="442">
        <v>14785.3472</v>
      </c>
      <c r="H539" s="442">
        <v>40151.4764</v>
      </c>
      <c r="I539" s="442">
        <v>0</v>
      </c>
      <c r="J539" s="443">
        <v>2.02E-5</v>
      </c>
      <c r="K539" s="443"/>
      <c r="L539" s="444">
        <v>7282.9404000000004</v>
      </c>
      <c r="M539" s="444">
        <v>2986.2284</v>
      </c>
      <c r="N539" s="444">
        <v>-359.02359999999999</v>
      </c>
      <c r="O539" s="444">
        <v>0</v>
      </c>
      <c r="P539" s="417">
        <v>0</v>
      </c>
      <c r="Q539" s="378">
        <v>2.02E-5</v>
      </c>
      <c r="R539" s="378"/>
      <c r="S539" s="70">
        <v>17707.2356</v>
      </c>
      <c r="T539" s="105">
        <v>16572.896400000001</v>
      </c>
      <c r="U539" s="70">
        <v>9846.0967999999993</v>
      </c>
      <c r="V539" s="70">
        <v>40151.4764</v>
      </c>
      <c r="W539" s="417">
        <v>0</v>
      </c>
      <c r="X539" s="378">
        <v>2.02E-5</v>
      </c>
      <c r="Z539" s="70">
        <v>12721.314</v>
      </c>
      <c r="AA539" s="70">
        <v>12721.223599999999</v>
      </c>
      <c r="AB539" s="70">
        <v>0</v>
      </c>
      <c r="AC539" s="417">
        <v>0</v>
      </c>
      <c r="AD539" s="417">
        <v>0</v>
      </c>
      <c r="AE539" s="378">
        <v>2.02E-5</v>
      </c>
      <c r="AF539" s="378"/>
      <c r="AG539" s="70">
        <v>6480.2740000000013</v>
      </c>
      <c r="AH539" s="70">
        <v>5298.2740000000013</v>
      </c>
      <c r="AI539" s="70">
        <v>5298.2740000000013</v>
      </c>
      <c r="AJ539" s="417">
        <v>0</v>
      </c>
      <c r="AK539" s="417">
        <v>0</v>
      </c>
      <c r="AL539" s="378">
        <v>2.02E-5</v>
      </c>
      <c r="AM539" s="378"/>
      <c r="AN539" s="70">
        <v>-6236</v>
      </c>
      <c r="AO539" s="70">
        <v>-5635</v>
      </c>
      <c r="AP539" s="70">
        <v>0</v>
      </c>
      <c r="AQ539" s="417">
        <v>0</v>
      </c>
      <c r="AR539" s="417">
        <v>0</v>
      </c>
    </row>
    <row r="540" spans="1:44">
      <c r="A540" s="439">
        <v>96001</v>
      </c>
      <c r="B540" s="440" t="s">
        <v>1249</v>
      </c>
      <c r="C540" s="437">
        <v>4.4407499999999996E-2</v>
      </c>
      <c r="D540" s="441"/>
      <c r="E540" s="438">
        <v>36207193.342174992</v>
      </c>
      <c r="F540" s="442">
        <v>30224789.957174994</v>
      </c>
      <c r="G540" s="442">
        <v>8493260.4871750008</v>
      </c>
      <c r="H540" s="442">
        <v>39447493.102499999</v>
      </c>
      <c r="I540" s="442">
        <v>0</v>
      </c>
      <c r="J540" s="443">
        <v>2.5299999999999998E-5</v>
      </c>
      <c r="K540" s="443"/>
      <c r="L540" s="444">
        <v>7155247.2524999995</v>
      </c>
      <c r="M540" s="444">
        <v>2933870.3024999998</v>
      </c>
      <c r="N540" s="444">
        <v>-352728.77249999996</v>
      </c>
      <c r="O540" s="444">
        <v>0</v>
      </c>
      <c r="P540" s="417">
        <v>0</v>
      </c>
      <c r="Q540" s="378">
        <v>2.5299999999999998E-5</v>
      </c>
      <c r="R540" s="378"/>
      <c r="S540" s="70">
        <v>17396771.347499996</v>
      </c>
      <c r="T540" s="105">
        <v>16282320.727499999</v>
      </c>
      <c r="U540" s="70">
        <v>9673463.3549999986</v>
      </c>
      <c r="V540" s="70">
        <v>39447493.102499999</v>
      </c>
      <c r="W540" s="417">
        <v>0</v>
      </c>
      <c r="X540" s="378">
        <v>2.5299999999999998E-5</v>
      </c>
      <c r="Z540" s="70">
        <v>12498268.837499999</v>
      </c>
      <c r="AA540" s="70">
        <v>12498180.022499999</v>
      </c>
      <c r="AB540" s="70">
        <v>0</v>
      </c>
      <c r="AC540" s="417">
        <v>0</v>
      </c>
      <c r="AD540" s="417">
        <v>0</v>
      </c>
      <c r="AE540" s="378">
        <v>2.5299999999999998E-5</v>
      </c>
      <c r="AF540" s="378"/>
      <c r="AG540" s="70">
        <v>698128</v>
      </c>
      <c r="AH540" s="70">
        <v>0</v>
      </c>
      <c r="AI540" s="70">
        <v>0</v>
      </c>
      <c r="AJ540" s="417">
        <v>0</v>
      </c>
      <c r="AK540" s="417">
        <v>0</v>
      </c>
      <c r="AL540" s="378">
        <v>2.5299999999999998E-5</v>
      </c>
      <c r="AM540" s="378"/>
      <c r="AN540" s="70">
        <v>-1541222.0953249987</v>
      </c>
      <c r="AO540" s="70">
        <v>-1489581.0953249987</v>
      </c>
      <c r="AP540" s="70">
        <v>-827474.09532499872</v>
      </c>
      <c r="AQ540" s="417">
        <v>0</v>
      </c>
      <c r="AR540" s="417">
        <v>0</v>
      </c>
    </row>
    <row r="541" spans="1:44">
      <c r="A541" s="439">
        <v>96003</v>
      </c>
      <c r="B541" s="440" t="s">
        <v>3723</v>
      </c>
      <c r="C541" s="437">
        <v>2.0127999999999999E-3</v>
      </c>
      <c r="D541" s="441"/>
      <c r="E541" s="438">
        <v>1812026.1308999998</v>
      </c>
      <c r="F541" s="442">
        <v>1501988.1085000001</v>
      </c>
      <c r="G541" s="442">
        <v>360587.37569999998</v>
      </c>
      <c r="H541" s="442">
        <v>1787984.3295999998</v>
      </c>
      <c r="I541" s="442">
        <v>0</v>
      </c>
      <c r="J541" s="443">
        <v>1.0840000000000001E-4</v>
      </c>
      <c r="K541" s="443"/>
      <c r="L541" s="444">
        <v>324316.42559999996</v>
      </c>
      <c r="M541" s="444">
        <v>132979.65760000001</v>
      </c>
      <c r="N541" s="444">
        <v>-15987.670399999999</v>
      </c>
      <c r="O541" s="444">
        <v>0</v>
      </c>
      <c r="P541" s="417">
        <v>0</v>
      </c>
      <c r="Q541" s="378">
        <v>1.0840000000000001E-4</v>
      </c>
      <c r="R541" s="378"/>
      <c r="S541" s="70">
        <v>788520.43839999998</v>
      </c>
      <c r="T541" s="105">
        <v>738007.20959999994</v>
      </c>
      <c r="U541" s="70">
        <v>438456.27519999997</v>
      </c>
      <c r="V541" s="70">
        <v>1787984.3295999998</v>
      </c>
      <c r="W541" s="417">
        <v>0</v>
      </c>
      <c r="X541" s="378">
        <v>1.0840000000000001E-4</v>
      </c>
      <c r="Z541" s="70">
        <v>566492.49599999993</v>
      </c>
      <c r="AA541" s="70">
        <v>566488.47039999999</v>
      </c>
      <c r="AB541" s="70">
        <v>0</v>
      </c>
      <c r="AC541" s="417">
        <v>0</v>
      </c>
      <c r="AD541" s="417">
        <v>0</v>
      </c>
      <c r="AE541" s="378">
        <v>1.0840000000000001E-4</v>
      </c>
      <c r="AF541" s="378"/>
      <c r="AG541" s="70">
        <v>194578</v>
      </c>
      <c r="AH541" s="70">
        <v>126394</v>
      </c>
      <c r="AI541" s="70">
        <v>0</v>
      </c>
      <c r="AJ541" s="417">
        <v>0</v>
      </c>
      <c r="AK541" s="417">
        <v>0</v>
      </c>
      <c r="AL541" s="378">
        <v>1.0840000000000001E-4</v>
      </c>
      <c r="AM541" s="378"/>
      <c r="AN541" s="70">
        <v>-61881.229099999997</v>
      </c>
      <c r="AO541" s="70">
        <v>-61881.229099999997</v>
      </c>
      <c r="AP541" s="70">
        <v>-61881.229099999997</v>
      </c>
      <c r="AQ541" s="417">
        <v>0</v>
      </c>
      <c r="AR541" s="417">
        <v>0</v>
      </c>
    </row>
    <row r="542" spans="1:44">
      <c r="A542" s="439">
        <v>96004</v>
      </c>
      <c r="B542" s="440" t="s">
        <v>1251</v>
      </c>
      <c r="C542" s="437">
        <v>1.0905999999999999E-3</v>
      </c>
      <c r="D542" s="441"/>
      <c r="E542" s="438">
        <v>1079730.6752500001</v>
      </c>
      <c r="F542" s="442">
        <v>888668.36045000004</v>
      </c>
      <c r="G542" s="442">
        <v>250098.9548500001</v>
      </c>
      <c r="H542" s="442">
        <v>968787.61419999995</v>
      </c>
      <c r="I542" s="442">
        <v>0</v>
      </c>
      <c r="J542" s="443">
        <v>2.8E-5</v>
      </c>
      <c r="K542" s="443"/>
      <c r="L542" s="444">
        <v>175725.10619999998</v>
      </c>
      <c r="M542" s="444">
        <v>72052.670199999993</v>
      </c>
      <c r="N542" s="444">
        <v>-8662.6358</v>
      </c>
      <c r="O542" s="444">
        <v>0</v>
      </c>
      <c r="P542" s="417">
        <v>0</v>
      </c>
      <c r="Q542" s="378">
        <v>2.8E-5</v>
      </c>
      <c r="R542" s="378"/>
      <c r="S542" s="70">
        <v>427245.82179999998</v>
      </c>
      <c r="T542" s="105">
        <v>399876.12419999996</v>
      </c>
      <c r="U542" s="70">
        <v>237569.7604</v>
      </c>
      <c r="V542" s="70">
        <v>968787.61419999995</v>
      </c>
      <c r="W542" s="417">
        <v>0</v>
      </c>
      <c r="X542" s="378">
        <v>2.8E-5</v>
      </c>
      <c r="Z542" s="70">
        <v>306943.91699999996</v>
      </c>
      <c r="AA542" s="70">
        <v>306941.73579999997</v>
      </c>
      <c r="AB542" s="70">
        <v>0</v>
      </c>
      <c r="AC542" s="417">
        <v>0</v>
      </c>
      <c r="AD542" s="417">
        <v>0</v>
      </c>
      <c r="AE542" s="378">
        <v>2.8E-5</v>
      </c>
      <c r="AF542" s="378"/>
      <c r="AG542" s="70">
        <v>169815.83025000009</v>
      </c>
      <c r="AH542" s="70">
        <v>109797.83025000009</v>
      </c>
      <c r="AI542" s="70">
        <v>21191.830250000086</v>
      </c>
      <c r="AJ542" s="417">
        <v>0</v>
      </c>
      <c r="AK542" s="417">
        <v>0</v>
      </c>
      <c r="AL542" s="378">
        <v>2.8E-5</v>
      </c>
      <c r="AM542" s="378"/>
      <c r="AN542" s="70">
        <v>0</v>
      </c>
      <c r="AO542" s="70">
        <v>0</v>
      </c>
      <c r="AP542" s="70">
        <v>0</v>
      </c>
      <c r="AQ542" s="417">
        <v>0</v>
      </c>
      <c r="AR542" s="417">
        <v>0</v>
      </c>
    </row>
    <row r="543" spans="1:44">
      <c r="A543" s="439">
        <v>96005</v>
      </c>
      <c r="B543" s="440" t="s">
        <v>1252</v>
      </c>
      <c r="C543" s="437">
        <v>2.5607E-3</v>
      </c>
      <c r="D543" s="441"/>
      <c r="E543" s="438">
        <v>2162163.6017749999</v>
      </c>
      <c r="F543" s="442">
        <v>1839230.0111750001</v>
      </c>
      <c r="G543" s="442">
        <v>455879.45797500014</v>
      </c>
      <c r="H543" s="442">
        <v>2274687.7349</v>
      </c>
      <c r="I543" s="442">
        <v>0</v>
      </c>
      <c r="J543" s="443">
        <v>2.0098999999999998E-3</v>
      </c>
      <c r="K543" s="443"/>
      <c r="L543" s="444">
        <v>412597.90889999998</v>
      </c>
      <c r="M543" s="444">
        <v>169177.76689999999</v>
      </c>
      <c r="N543" s="444">
        <v>-20339.640100000001</v>
      </c>
      <c r="O543" s="444">
        <v>0</v>
      </c>
      <c r="P543" s="417">
        <v>0</v>
      </c>
      <c r="Q543" s="378">
        <v>2.0098999999999998E-3</v>
      </c>
      <c r="R543" s="378"/>
      <c r="S543" s="70">
        <v>1003161.9071</v>
      </c>
      <c r="T543" s="105">
        <v>938898.57990000001</v>
      </c>
      <c r="U543" s="70">
        <v>557807.52379999997</v>
      </c>
      <c r="V543" s="70">
        <v>2274687.7349</v>
      </c>
      <c r="W543" s="417">
        <v>0</v>
      </c>
      <c r="X543" s="378">
        <v>2.0098999999999998E-3</v>
      </c>
      <c r="Z543" s="70">
        <v>720696.21149999998</v>
      </c>
      <c r="AA543" s="70">
        <v>720691.09010000003</v>
      </c>
      <c r="AB543" s="70">
        <v>0</v>
      </c>
      <c r="AC543" s="417">
        <v>0</v>
      </c>
      <c r="AD543" s="417">
        <v>0</v>
      </c>
      <c r="AE543" s="378">
        <v>2.0098999999999998E-3</v>
      </c>
      <c r="AF543" s="378"/>
      <c r="AG543" s="70">
        <v>131343</v>
      </c>
      <c r="AH543" s="70">
        <v>92051</v>
      </c>
      <c r="AI543" s="70">
        <v>0</v>
      </c>
      <c r="AJ543" s="417">
        <v>0</v>
      </c>
      <c r="AK543" s="417">
        <v>0</v>
      </c>
      <c r="AL543" s="378">
        <v>2.0098999999999998E-3</v>
      </c>
      <c r="AM543" s="378"/>
      <c r="AN543" s="70">
        <v>-105635.42572499986</v>
      </c>
      <c r="AO543" s="70">
        <v>-81588.425724999863</v>
      </c>
      <c r="AP543" s="70">
        <v>-81588.425724999863</v>
      </c>
      <c r="AQ543" s="417">
        <v>0</v>
      </c>
      <c r="AR543" s="417">
        <v>0</v>
      </c>
    </row>
    <row r="544" spans="1:44">
      <c r="A544" s="439">
        <v>96008</v>
      </c>
      <c r="B544" s="440" t="s">
        <v>1253</v>
      </c>
      <c r="C544" s="437">
        <v>5.5640999999999998E-3</v>
      </c>
      <c r="D544" s="441"/>
      <c r="E544" s="438">
        <v>3526969.2926249993</v>
      </c>
      <c r="F544" s="442">
        <v>3242664.1648249994</v>
      </c>
      <c r="G544" s="442">
        <v>953788.07322499948</v>
      </c>
      <c r="H544" s="442">
        <v>4942628.9786999999</v>
      </c>
      <c r="I544" s="442">
        <v>0</v>
      </c>
      <c r="J544" s="443">
        <v>5.8999999999999998E-5</v>
      </c>
      <c r="K544" s="443"/>
      <c r="L544" s="444">
        <v>896526.74069999997</v>
      </c>
      <c r="M544" s="444">
        <v>367603.3947</v>
      </c>
      <c r="N544" s="444">
        <v>-44195.6463</v>
      </c>
      <c r="O544" s="444">
        <v>0</v>
      </c>
      <c r="P544" s="417">
        <v>0</v>
      </c>
      <c r="Q544" s="378">
        <v>5.8999999999999998E-5</v>
      </c>
      <c r="R544" s="378"/>
      <c r="S544" s="70">
        <v>2179752.8673</v>
      </c>
      <c r="T544" s="105">
        <v>2040116.2137</v>
      </c>
      <c r="U544" s="70">
        <v>1212050.1594</v>
      </c>
      <c r="V544" s="70">
        <v>4942628.9786999999</v>
      </c>
      <c r="W544" s="417">
        <v>0</v>
      </c>
      <c r="X544" s="378">
        <v>5.8999999999999998E-5</v>
      </c>
      <c r="Z544" s="70">
        <v>1565988.1244999999</v>
      </c>
      <c r="AA544" s="70">
        <v>1565976.9963</v>
      </c>
      <c r="AB544" s="70">
        <v>0</v>
      </c>
      <c r="AC544" s="417">
        <v>0</v>
      </c>
      <c r="AD544" s="417">
        <v>0</v>
      </c>
      <c r="AE544" s="378">
        <v>5.8999999999999998E-5</v>
      </c>
      <c r="AF544" s="378"/>
      <c r="AG544" s="70">
        <v>0</v>
      </c>
      <c r="AH544" s="70">
        <v>0</v>
      </c>
      <c r="AI544" s="70">
        <v>0</v>
      </c>
      <c r="AJ544" s="417">
        <v>0</v>
      </c>
      <c r="AK544" s="417">
        <v>0</v>
      </c>
      <c r="AL544" s="378">
        <v>5.8999999999999998E-5</v>
      </c>
      <c r="AM544" s="378"/>
      <c r="AN544" s="70">
        <v>-1115298.4398750006</v>
      </c>
      <c r="AO544" s="70">
        <v>-731032.43987500062</v>
      </c>
      <c r="AP544" s="70">
        <v>-214066.43987500062</v>
      </c>
      <c r="AQ544" s="417">
        <v>0</v>
      </c>
      <c r="AR544" s="417">
        <v>0</v>
      </c>
    </row>
    <row r="545" spans="1:44">
      <c r="A545" s="439">
        <v>96009</v>
      </c>
      <c r="B545" s="440" t="s">
        <v>1254</v>
      </c>
      <c r="C545" s="437">
        <v>3.7889999999999999E-4</v>
      </c>
      <c r="D545" s="441"/>
      <c r="E545" s="438">
        <v>328785.772925</v>
      </c>
      <c r="F545" s="442">
        <v>269632.90672500001</v>
      </c>
      <c r="G545" s="442">
        <v>75309.730325000011</v>
      </c>
      <c r="H545" s="442">
        <v>336579.52230000001</v>
      </c>
      <c r="I545" s="442">
        <v>0</v>
      </c>
      <c r="J545" s="443">
        <v>5.1449999999999998E-4</v>
      </c>
      <c r="K545" s="443"/>
      <c r="L545" s="444">
        <v>61051.020299999996</v>
      </c>
      <c r="M545" s="444">
        <v>25032.7863</v>
      </c>
      <c r="N545" s="444">
        <v>-3009.6026999999999</v>
      </c>
      <c r="O545" s="444">
        <v>0</v>
      </c>
      <c r="P545" s="417">
        <v>0</v>
      </c>
      <c r="Q545" s="378">
        <v>5.1449999999999998E-4</v>
      </c>
      <c r="R545" s="378"/>
      <c r="S545" s="70">
        <v>148435.21169999999</v>
      </c>
      <c r="T545" s="105">
        <v>138926.33729999998</v>
      </c>
      <c r="U545" s="70">
        <v>82537.302599999995</v>
      </c>
      <c r="V545" s="70">
        <v>336579.52230000001</v>
      </c>
      <c r="W545" s="417">
        <v>0</v>
      </c>
      <c r="X545" s="378">
        <v>5.1449999999999998E-4</v>
      </c>
      <c r="Z545" s="70">
        <v>106639.5105</v>
      </c>
      <c r="AA545" s="70">
        <v>106638.7527</v>
      </c>
      <c r="AB545" s="70">
        <v>0</v>
      </c>
      <c r="AC545" s="417">
        <v>0</v>
      </c>
      <c r="AD545" s="417">
        <v>0</v>
      </c>
      <c r="AE545" s="378">
        <v>5.1449999999999998E-4</v>
      </c>
      <c r="AF545" s="378"/>
      <c r="AG545" s="70">
        <v>18231</v>
      </c>
      <c r="AH545" s="70">
        <v>3253</v>
      </c>
      <c r="AI545" s="70">
        <v>0</v>
      </c>
      <c r="AJ545" s="417">
        <v>0</v>
      </c>
      <c r="AK545" s="417">
        <v>0</v>
      </c>
      <c r="AL545" s="378">
        <v>5.1449999999999998E-4</v>
      </c>
      <c r="AM545" s="378"/>
      <c r="AN545" s="70">
        <v>-5570.969574999981</v>
      </c>
      <c r="AO545" s="70">
        <v>-4217.969574999981</v>
      </c>
      <c r="AP545" s="70">
        <v>-4217.969574999981</v>
      </c>
      <c r="AQ545" s="417">
        <v>0</v>
      </c>
      <c r="AR545" s="417">
        <v>0</v>
      </c>
    </row>
    <row r="546" spans="1:44">
      <c r="A546" s="439">
        <v>96011</v>
      </c>
      <c r="B546" s="440" t="s">
        <v>1255</v>
      </c>
      <c r="C546" s="437">
        <v>6.4657300000000001E-2</v>
      </c>
      <c r="D546" s="441"/>
      <c r="E546" s="438">
        <v>54746699.963825002</v>
      </c>
      <c r="F546" s="442">
        <v>45823922.110424995</v>
      </c>
      <c r="G546" s="442">
        <v>11400882.495624995</v>
      </c>
      <c r="H546" s="442">
        <v>57435532.191100001</v>
      </c>
      <c r="I546" s="442">
        <v>0</v>
      </c>
      <c r="J546" s="443">
        <v>3.0899999999999999E-5</v>
      </c>
      <c r="K546" s="443"/>
      <c r="L546" s="444">
        <v>10418036.777100001</v>
      </c>
      <c r="M546" s="444">
        <v>4271713.8391000004</v>
      </c>
      <c r="N546" s="444">
        <v>-513572.9339</v>
      </c>
      <c r="O546" s="444">
        <v>0</v>
      </c>
      <c r="P546" s="417">
        <v>0</v>
      </c>
      <c r="Q546" s="378">
        <v>3.0899999999999999E-5</v>
      </c>
      <c r="R546" s="378"/>
      <c r="S546" s="70">
        <v>25329691.2469</v>
      </c>
      <c r="T546" s="105">
        <v>23707051.6461</v>
      </c>
      <c r="U546" s="70">
        <v>14084558.2882</v>
      </c>
      <c r="V546" s="70">
        <v>57435532.191100001</v>
      </c>
      <c r="W546" s="417">
        <v>0</v>
      </c>
      <c r="X546" s="378">
        <v>3.0899999999999999E-5</v>
      </c>
      <c r="Z546" s="70">
        <v>18197473.798500001</v>
      </c>
      <c r="AA546" s="70">
        <v>18197344.483899999</v>
      </c>
      <c r="AB546" s="70">
        <v>0</v>
      </c>
      <c r="AC546" s="417">
        <v>0</v>
      </c>
      <c r="AD546" s="417">
        <v>0</v>
      </c>
      <c r="AE546" s="378">
        <v>3.0899999999999999E-5</v>
      </c>
      <c r="AF546" s="378"/>
      <c r="AG546" s="70">
        <v>2971601</v>
      </c>
      <c r="AH546" s="70">
        <v>1817915</v>
      </c>
      <c r="AI546" s="70">
        <v>0</v>
      </c>
      <c r="AJ546" s="417">
        <v>0</v>
      </c>
      <c r="AK546" s="417">
        <v>0</v>
      </c>
      <c r="AL546" s="378">
        <v>3.0899999999999999E-5</v>
      </c>
      <c r="AM546" s="378"/>
      <c r="AN546" s="70">
        <v>-2170102.8586750049</v>
      </c>
      <c r="AO546" s="70">
        <v>-2170102.8586750049</v>
      </c>
      <c r="AP546" s="70">
        <v>-2170102.8586750049</v>
      </c>
      <c r="AQ546" s="417">
        <v>0</v>
      </c>
      <c r="AR546" s="417">
        <v>0</v>
      </c>
    </row>
    <row r="547" spans="1:44">
      <c r="A547" s="439">
        <v>96012</v>
      </c>
      <c r="B547" s="440" t="s">
        <v>3724</v>
      </c>
      <c r="C547" s="437">
        <v>2.1459000000000001E-3</v>
      </c>
      <c r="D547" s="441"/>
      <c r="E547" s="438">
        <v>1542162.1438750001</v>
      </c>
      <c r="F547" s="442">
        <v>1321463.091675</v>
      </c>
      <c r="G547" s="442">
        <v>318898.22327500005</v>
      </c>
      <c r="H547" s="442">
        <v>1906217.9913000001</v>
      </c>
      <c r="I547" s="442">
        <v>0</v>
      </c>
      <c r="J547" s="443">
        <v>3.7200000000000003E-5</v>
      </c>
      <c r="K547" s="443"/>
      <c r="L547" s="444">
        <v>345762.42930000002</v>
      </c>
      <c r="M547" s="444">
        <v>141773.1753</v>
      </c>
      <c r="N547" s="444">
        <v>-17044.883700000002</v>
      </c>
      <c r="O547" s="444">
        <v>0</v>
      </c>
      <c r="P547" s="417">
        <v>0</v>
      </c>
      <c r="Q547" s="378">
        <v>3.7200000000000003E-5</v>
      </c>
      <c r="R547" s="378"/>
      <c r="S547" s="70">
        <v>840662.76270000008</v>
      </c>
      <c r="T547" s="105">
        <v>786809.25630000001</v>
      </c>
      <c r="U547" s="70">
        <v>467449.98060000001</v>
      </c>
      <c r="V547" s="70">
        <v>1906217.9913000001</v>
      </c>
      <c r="W547" s="417">
        <v>0</v>
      </c>
      <c r="X547" s="378">
        <v>3.7200000000000003E-5</v>
      </c>
      <c r="Z547" s="70">
        <v>603952.82550000004</v>
      </c>
      <c r="AA547" s="70">
        <v>603948.53370000003</v>
      </c>
      <c r="AB547" s="70">
        <v>0</v>
      </c>
      <c r="AC547" s="417">
        <v>0</v>
      </c>
      <c r="AD547" s="417">
        <v>0</v>
      </c>
      <c r="AE547" s="378">
        <v>3.7200000000000003E-5</v>
      </c>
      <c r="AF547" s="378"/>
      <c r="AG547" s="70">
        <v>0</v>
      </c>
      <c r="AH547" s="70">
        <v>0</v>
      </c>
      <c r="AI547" s="70">
        <v>0</v>
      </c>
      <c r="AJ547" s="417">
        <v>0</v>
      </c>
      <c r="AK547" s="417">
        <v>0</v>
      </c>
      <c r="AL547" s="378">
        <v>3.7200000000000003E-5</v>
      </c>
      <c r="AM547" s="378"/>
      <c r="AN547" s="70">
        <v>-248215.87362499995</v>
      </c>
      <c r="AO547" s="70">
        <v>-211067.87362499995</v>
      </c>
      <c r="AP547" s="70">
        <v>-131506.87362499995</v>
      </c>
      <c r="AQ547" s="417">
        <v>0</v>
      </c>
      <c r="AR547" s="417">
        <v>0</v>
      </c>
    </row>
    <row r="548" spans="1:44">
      <c r="A548" s="439">
        <v>96018</v>
      </c>
      <c r="B548" s="440" t="s">
        <v>1257</v>
      </c>
      <c r="C548" s="437">
        <v>3.8899999999999997E-5</v>
      </c>
      <c r="D548" s="441"/>
      <c r="E548" s="438">
        <v>35499.150274999993</v>
      </c>
      <c r="F548" s="442">
        <v>31438.00407499999</v>
      </c>
      <c r="G548" s="442">
        <v>7990.6676749999942</v>
      </c>
      <c r="H548" s="442">
        <v>34555.1423</v>
      </c>
      <c r="I548" s="442">
        <v>0</v>
      </c>
      <c r="J548" s="443">
        <v>4.5452399999999997E-2</v>
      </c>
      <c r="K548" s="443"/>
      <c r="L548" s="444">
        <v>6267.8402999999998</v>
      </c>
      <c r="M548" s="444">
        <v>2570.0063</v>
      </c>
      <c r="N548" s="444">
        <v>-308.98269999999997</v>
      </c>
      <c r="O548" s="444">
        <v>0</v>
      </c>
      <c r="P548" s="417">
        <v>0</v>
      </c>
      <c r="Q548" s="378">
        <v>4.5452399999999997E-2</v>
      </c>
      <c r="R548" s="378"/>
      <c r="S548" s="70">
        <v>15239.191699999999</v>
      </c>
      <c r="T548" s="105">
        <v>14262.957299999998</v>
      </c>
      <c r="U548" s="70">
        <v>8473.7425999999996</v>
      </c>
      <c r="V548" s="70">
        <v>34555.1423</v>
      </c>
      <c r="W548" s="417">
        <v>0</v>
      </c>
      <c r="X548" s="378">
        <v>4.5452399999999997E-2</v>
      </c>
      <c r="Z548" s="70">
        <v>10948.210499999999</v>
      </c>
      <c r="AA548" s="70">
        <v>10948.132699999998</v>
      </c>
      <c r="AB548" s="70">
        <v>0</v>
      </c>
      <c r="AC548" s="417">
        <v>0</v>
      </c>
      <c r="AD548" s="417">
        <v>0</v>
      </c>
      <c r="AE548" s="378">
        <v>4.5452399999999997E-2</v>
      </c>
      <c r="AF548" s="378"/>
      <c r="AG548" s="70">
        <v>5424</v>
      </c>
      <c r="AH548" s="70">
        <v>3831</v>
      </c>
      <c r="AI548" s="70">
        <v>0</v>
      </c>
      <c r="AJ548" s="417">
        <v>0</v>
      </c>
      <c r="AK548" s="417">
        <v>0</v>
      </c>
      <c r="AL548" s="378">
        <v>4.5452399999999997E-2</v>
      </c>
      <c r="AM548" s="378"/>
      <c r="AN548" s="70">
        <v>-2380.0922250000058</v>
      </c>
      <c r="AO548" s="70">
        <v>-174.09222500000578</v>
      </c>
      <c r="AP548" s="70">
        <v>-174.09222500000578</v>
      </c>
      <c r="AQ548" s="417">
        <v>0</v>
      </c>
      <c r="AR548" s="417">
        <v>0</v>
      </c>
    </row>
    <row r="549" spans="1:44">
      <c r="A549" s="439">
        <v>96021</v>
      </c>
      <c r="B549" s="440" t="s">
        <v>1258</v>
      </c>
      <c r="C549" s="437">
        <v>7.8459999999999999E-4</v>
      </c>
      <c r="D549" s="441"/>
      <c r="E549" s="438">
        <v>665324.41260000004</v>
      </c>
      <c r="F549" s="442">
        <v>596707.44579999999</v>
      </c>
      <c r="G549" s="442">
        <v>202629.49620000002</v>
      </c>
      <c r="H549" s="442">
        <v>696965.67220000003</v>
      </c>
      <c r="I549" s="442">
        <v>0</v>
      </c>
      <c r="J549" s="443">
        <v>2.0500000000000002E-3</v>
      </c>
      <c r="K549" s="443"/>
      <c r="L549" s="444">
        <v>126420.2442</v>
      </c>
      <c r="M549" s="444">
        <v>51836.1682</v>
      </c>
      <c r="N549" s="444">
        <v>-6232.0778</v>
      </c>
      <c r="O549" s="444">
        <v>0</v>
      </c>
      <c r="P549" s="417">
        <v>0</v>
      </c>
      <c r="Q549" s="378">
        <v>2.0500000000000002E-3</v>
      </c>
      <c r="R549" s="378"/>
      <c r="S549" s="70">
        <v>307369.40379999997</v>
      </c>
      <c r="T549" s="105">
        <v>287679.0822</v>
      </c>
      <c r="U549" s="70">
        <v>170912.5564</v>
      </c>
      <c r="V549" s="70">
        <v>696965.67220000003</v>
      </c>
      <c r="W549" s="417">
        <v>0</v>
      </c>
      <c r="X549" s="378">
        <v>2.0500000000000002E-3</v>
      </c>
      <c r="Z549" s="70">
        <v>220821.747</v>
      </c>
      <c r="AA549" s="70">
        <v>220820.1778</v>
      </c>
      <c r="AB549" s="70">
        <v>0</v>
      </c>
      <c r="AC549" s="417">
        <v>0</v>
      </c>
      <c r="AD549" s="417">
        <v>0</v>
      </c>
      <c r="AE549" s="378">
        <v>2.0500000000000002E-3</v>
      </c>
      <c r="AF549" s="378"/>
      <c r="AG549" s="70">
        <v>39969.017600000021</v>
      </c>
      <c r="AH549" s="70">
        <v>37949.017600000021</v>
      </c>
      <c r="AI549" s="70">
        <v>37949.017600000021</v>
      </c>
      <c r="AJ549" s="417">
        <v>0</v>
      </c>
      <c r="AK549" s="417">
        <v>0</v>
      </c>
      <c r="AL549" s="378">
        <v>2.0500000000000002E-3</v>
      </c>
      <c r="AM549" s="378"/>
      <c r="AN549" s="70">
        <v>-29256</v>
      </c>
      <c r="AO549" s="70">
        <v>-1577</v>
      </c>
      <c r="AP549" s="70">
        <v>0</v>
      </c>
      <c r="AQ549" s="417">
        <v>0</v>
      </c>
      <c r="AR549" s="417">
        <v>0</v>
      </c>
    </row>
    <row r="550" spans="1:44">
      <c r="A550" s="439">
        <v>96031</v>
      </c>
      <c r="B550" s="440" t="s">
        <v>1259</v>
      </c>
      <c r="C550" s="437">
        <v>8.3449999999999996E-4</v>
      </c>
      <c r="D550" s="441"/>
      <c r="E550" s="438">
        <v>631536.98077499983</v>
      </c>
      <c r="F550" s="442">
        <v>570694.1297749998</v>
      </c>
      <c r="G550" s="442">
        <v>180227.80777499996</v>
      </c>
      <c r="H550" s="442">
        <v>741292.19149999996</v>
      </c>
      <c r="I550" s="442">
        <v>0</v>
      </c>
      <c r="J550" s="443">
        <v>1.0675999999999999E-3</v>
      </c>
      <c r="K550" s="443"/>
      <c r="L550" s="444">
        <v>134460.48149999999</v>
      </c>
      <c r="M550" s="444">
        <v>55132.911499999995</v>
      </c>
      <c r="N550" s="444">
        <v>-6628.4335000000001</v>
      </c>
      <c r="O550" s="444">
        <v>0</v>
      </c>
      <c r="P550" s="417">
        <v>0</v>
      </c>
      <c r="Q550" s="378">
        <v>1.0675999999999999E-3</v>
      </c>
      <c r="R550" s="378"/>
      <c r="S550" s="70">
        <v>326917.87849999999</v>
      </c>
      <c r="T550" s="105">
        <v>305975.26649999997</v>
      </c>
      <c r="U550" s="70">
        <v>181782.473</v>
      </c>
      <c r="V550" s="70">
        <v>741292.19149999996</v>
      </c>
      <c r="W550" s="417">
        <v>0</v>
      </c>
      <c r="X550" s="378">
        <v>1.0675999999999999E-3</v>
      </c>
      <c r="Z550" s="70">
        <v>234865.85249999998</v>
      </c>
      <c r="AA550" s="70">
        <v>234864.18349999998</v>
      </c>
      <c r="AB550" s="70">
        <v>0</v>
      </c>
      <c r="AC550" s="417">
        <v>0</v>
      </c>
      <c r="AD550" s="417">
        <v>0</v>
      </c>
      <c r="AE550" s="378">
        <v>1.0675999999999999E-3</v>
      </c>
      <c r="AF550" s="378"/>
      <c r="AG550" s="70">
        <v>5073.7682749999803</v>
      </c>
      <c r="AH550" s="70">
        <v>5073.7682749999803</v>
      </c>
      <c r="AI550" s="70">
        <v>5073.7682749999803</v>
      </c>
      <c r="AJ550" s="417">
        <v>0</v>
      </c>
      <c r="AK550" s="417">
        <v>0</v>
      </c>
      <c r="AL550" s="378">
        <v>1.0675999999999999E-3</v>
      </c>
      <c r="AM550" s="378"/>
      <c r="AN550" s="70">
        <v>-69781</v>
      </c>
      <c r="AO550" s="70">
        <v>-30352</v>
      </c>
      <c r="AP550" s="70">
        <v>0</v>
      </c>
      <c r="AQ550" s="417">
        <v>0</v>
      </c>
      <c r="AR550" s="417">
        <v>0</v>
      </c>
    </row>
    <row r="551" spans="1:44">
      <c r="A551" s="439">
        <v>96041</v>
      </c>
      <c r="B551" s="440" t="s">
        <v>1260</v>
      </c>
      <c r="C551" s="437">
        <v>1.9726000000000001E-3</v>
      </c>
      <c r="D551" s="441"/>
      <c r="E551" s="438">
        <v>1689506.4373000003</v>
      </c>
      <c r="F551" s="442">
        <v>1445601.7665000004</v>
      </c>
      <c r="G551" s="442">
        <v>418977.92890000017</v>
      </c>
      <c r="H551" s="442">
        <v>1752274.3882000002</v>
      </c>
      <c r="I551" s="442">
        <v>0</v>
      </c>
      <c r="J551" s="443">
        <v>2.6773999999999999E-3</v>
      </c>
      <c r="K551" s="443"/>
      <c r="L551" s="444">
        <v>317839.1202</v>
      </c>
      <c r="M551" s="444">
        <v>130323.76420000001</v>
      </c>
      <c r="N551" s="444">
        <v>-15668.361800000001</v>
      </c>
      <c r="O551" s="444">
        <v>0</v>
      </c>
      <c r="P551" s="417">
        <v>0</v>
      </c>
      <c r="Q551" s="378">
        <v>2.6773999999999999E-3</v>
      </c>
      <c r="R551" s="378"/>
      <c r="S551" s="70">
        <v>772771.9678000001</v>
      </c>
      <c r="T551" s="105">
        <v>723267.59820000001</v>
      </c>
      <c r="U551" s="70">
        <v>429699.34840000002</v>
      </c>
      <c r="V551" s="70">
        <v>1752274.3882000002</v>
      </c>
      <c r="W551" s="417">
        <v>0</v>
      </c>
      <c r="X551" s="378">
        <v>2.6773999999999999E-3</v>
      </c>
      <c r="Z551" s="70">
        <v>555178.40700000001</v>
      </c>
      <c r="AA551" s="70">
        <v>555174.46180000005</v>
      </c>
      <c r="AB551" s="70">
        <v>0</v>
      </c>
      <c r="AC551" s="417">
        <v>0</v>
      </c>
      <c r="AD551" s="417">
        <v>0</v>
      </c>
      <c r="AE551" s="378">
        <v>2.6773999999999999E-3</v>
      </c>
      <c r="AF551" s="378"/>
      <c r="AG551" s="70">
        <v>43716.94230000017</v>
      </c>
      <c r="AH551" s="70">
        <v>36835.94230000017</v>
      </c>
      <c r="AI551" s="70">
        <v>4946.9423000001698</v>
      </c>
      <c r="AJ551" s="417">
        <v>0</v>
      </c>
      <c r="AK551" s="417">
        <v>0</v>
      </c>
      <c r="AL551" s="378">
        <v>2.6773999999999999E-3</v>
      </c>
      <c r="AM551" s="378"/>
      <c r="AN551" s="70">
        <v>0</v>
      </c>
      <c r="AO551" s="70">
        <v>0</v>
      </c>
      <c r="AP551" s="70">
        <v>0</v>
      </c>
      <c r="AQ551" s="417">
        <v>0</v>
      </c>
      <c r="AR551" s="417">
        <v>0</v>
      </c>
    </row>
    <row r="552" spans="1:44">
      <c r="A552" s="439">
        <v>96051</v>
      </c>
      <c r="B552" s="440" t="s">
        <v>1261</v>
      </c>
      <c r="C552" s="437">
        <v>9.8710000000000009E-4</v>
      </c>
      <c r="D552" s="441"/>
      <c r="E552" s="438">
        <v>756167.7623249999</v>
      </c>
      <c r="F552" s="442">
        <v>643784.80052499997</v>
      </c>
      <c r="G552" s="442">
        <v>162731.96092499993</v>
      </c>
      <c r="H552" s="442">
        <v>876847.83970000013</v>
      </c>
      <c r="I552" s="442">
        <v>0</v>
      </c>
      <c r="J552" s="443">
        <v>5.5976000000000003E-3</v>
      </c>
      <c r="K552" s="443"/>
      <c r="L552" s="444">
        <v>159048.46170000001</v>
      </c>
      <c r="M552" s="444">
        <v>65214.735700000005</v>
      </c>
      <c r="N552" s="444">
        <v>-7840.5353000000005</v>
      </c>
      <c r="O552" s="444">
        <v>0</v>
      </c>
      <c r="P552" s="417">
        <v>0</v>
      </c>
      <c r="Q552" s="378">
        <v>5.5976000000000003E-3</v>
      </c>
      <c r="R552" s="378"/>
      <c r="S552" s="70">
        <v>386699.38630000001</v>
      </c>
      <c r="T552" s="105">
        <v>361927.12470000004</v>
      </c>
      <c r="U552" s="70">
        <v>215023.94140000001</v>
      </c>
      <c r="V552" s="70">
        <v>876847.83970000013</v>
      </c>
      <c r="W552" s="417">
        <v>0</v>
      </c>
      <c r="X552" s="378">
        <v>5.5976000000000003E-3</v>
      </c>
      <c r="Z552" s="70">
        <v>277814.35950000002</v>
      </c>
      <c r="AA552" s="70">
        <v>277812.38530000002</v>
      </c>
      <c r="AB552" s="70">
        <v>0</v>
      </c>
      <c r="AC552" s="417">
        <v>0</v>
      </c>
      <c r="AD552" s="417">
        <v>0</v>
      </c>
      <c r="AE552" s="378">
        <v>5.5976000000000003E-3</v>
      </c>
      <c r="AF552" s="378"/>
      <c r="AG552" s="70">
        <v>17176</v>
      </c>
      <c r="AH552" s="70">
        <v>0</v>
      </c>
      <c r="AI552" s="70">
        <v>0</v>
      </c>
      <c r="AJ552" s="417">
        <v>0</v>
      </c>
      <c r="AK552" s="417">
        <v>0</v>
      </c>
      <c r="AL552" s="378">
        <v>5.5976000000000003E-3</v>
      </c>
      <c r="AM552" s="378"/>
      <c r="AN552" s="70">
        <v>-84570.445175000088</v>
      </c>
      <c r="AO552" s="70">
        <v>-61169.445175000088</v>
      </c>
      <c r="AP552" s="70">
        <v>-44451.445175000088</v>
      </c>
      <c r="AQ552" s="417">
        <v>0</v>
      </c>
      <c r="AR552" s="417">
        <v>0</v>
      </c>
    </row>
    <row r="553" spans="1:44">
      <c r="A553" s="439">
        <v>96061</v>
      </c>
      <c r="B553" s="440" t="s">
        <v>1262</v>
      </c>
      <c r="C553" s="437">
        <v>3.4769999999999999E-4</v>
      </c>
      <c r="D553" s="441"/>
      <c r="E553" s="438">
        <v>284888.09167500003</v>
      </c>
      <c r="F553" s="442">
        <v>245608.15507500002</v>
      </c>
      <c r="G553" s="442">
        <v>66488.389875000023</v>
      </c>
      <c r="H553" s="442">
        <v>308864.34389999998</v>
      </c>
      <c r="I553" s="442">
        <v>0</v>
      </c>
      <c r="J553" s="443">
        <v>3.8479999999999997E-4</v>
      </c>
      <c r="K553" s="443"/>
      <c r="L553" s="444">
        <v>56023.857900000003</v>
      </c>
      <c r="M553" s="444">
        <v>22971.495899999998</v>
      </c>
      <c r="N553" s="444">
        <v>-2761.7811000000002</v>
      </c>
      <c r="O553" s="444">
        <v>0</v>
      </c>
      <c r="P553" s="417">
        <v>0</v>
      </c>
      <c r="Q553" s="378">
        <v>3.8479999999999997E-4</v>
      </c>
      <c r="R553" s="378"/>
      <c r="S553" s="70">
        <v>136212.51809999999</v>
      </c>
      <c r="T553" s="105">
        <v>127486.63889999999</v>
      </c>
      <c r="U553" s="70">
        <v>75740.881800000003</v>
      </c>
      <c r="V553" s="70">
        <v>308864.34389999998</v>
      </c>
      <c r="W553" s="417">
        <v>0</v>
      </c>
      <c r="X553" s="378">
        <v>3.8479999999999997E-4</v>
      </c>
      <c r="Z553" s="70">
        <v>97858.426500000001</v>
      </c>
      <c r="AA553" s="70">
        <v>97857.731100000005</v>
      </c>
      <c r="AB553" s="70">
        <v>0</v>
      </c>
      <c r="AC553" s="417">
        <v>0</v>
      </c>
      <c r="AD553" s="417">
        <v>0</v>
      </c>
      <c r="AE553" s="378">
        <v>3.8479999999999997E-4</v>
      </c>
      <c r="AF553" s="378"/>
      <c r="AG553" s="70">
        <v>8754</v>
      </c>
      <c r="AH553" s="70">
        <v>3783</v>
      </c>
      <c r="AI553" s="70">
        <v>0</v>
      </c>
      <c r="AJ553" s="417">
        <v>0</v>
      </c>
      <c r="AK553" s="417">
        <v>0</v>
      </c>
      <c r="AL553" s="378">
        <v>3.8479999999999997E-4</v>
      </c>
      <c r="AM553" s="378"/>
      <c r="AN553" s="70">
        <v>-13960.710824999987</v>
      </c>
      <c r="AO553" s="70">
        <v>-6490.7108249999874</v>
      </c>
      <c r="AP553" s="70">
        <v>-6490.7108249999874</v>
      </c>
      <c r="AQ553" s="417">
        <v>0</v>
      </c>
      <c r="AR553" s="417">
        <v>0</v>
      </c>
    </row>
    <row r="554" spans="1:44">
      <c r="A554" s="439">
        <v>96071</v>
      </c>
      <c r="B554" s="440" t="s">
        <v>1263</v>
      </c>
      <c r="C554" s="437">
        <v>1.3378999999999999E-3</v>
      </c>
      <c r="D554" s="441"/>
      <c r="E554" s="438">
        <v>1188411.3446749998</v>
      </c>
      <c r="F554" s="442">
        <v>978782.9564749999</v>
      </c>
      <c r="G554" s="442">
        <v>300309.09607499989</v>
      </c>
      <c r="H554" s="442">
        <v>1188465.9353</v>
      </c>
      <c r="I554" s="442">
        <v>0</v>
      </c>
      <c r="J554" s="443">
        <v>6.8435399999999993E-2</v>
      </c>
      <c r="K554" s="443"/>
      <c r="L554" s="444">
        <v>215571.81329999998</v>
      </c>
      <c r="M554" s="444">
        <v>88391.039299999989</v>
      </c>
      <c r="N554" s="444">
        <v>-10626.939699999999</v>
      </c>
      <c r="O554" s="444">
        <v>0</v>
      </c>
      <c r="P554" s="417">
        <v>0</v>
      </c>
      <c r="Q554" s="378">
        <v>6.8435399999999993E-2</v>
      </c>
      <c r="R554" s="378"/>
      <c r="S554" s="70">
        <v>524126.33869999996</v>
      </c>
      <c r="T554" s="105">
        <v>490550.40029999998</v>
      </c>
      <c r="U554" s="70">
        <v>291440.10859999998</v>
      </c>
      <c r="V554" s="70">
        <v>1188465.9353</v>
      </c>
      <c r="W554" s="417">
        <v>0</v>
      </c>
      <c r="X554" s="378">
        <v>6.8435399999999993E-2</v>
      </c>
      <c r="Z554" s="70">
        <v>376545.26549999998</v>
      </c>
      <c r="AA554" s="70">
        <v>376542.58970000001</v>
      </c>
      <c r="AB554" s="70">
        <v>0</v>
      </c>
      <c r="AC554" s="417">
        <v>0</v>
      </c>
      <c r="AD554" s="417">
        <v>0</v>
      </c>
      <c r="AE554" s="378">
        <v>6.8435399999999993E-2</v>
      </c>
      <c r="AF554" s="378"/>
      <c r="AG554" s="70">
        <v>72167.927174999902</v>
      </c>
      <c r="AH554" s="70">
        <v>23298.927174999902</v>
      </c>
      <c r="AI554" s="70">
        <v>19495.927174999902</v>
      </c>
      <c r="AJ554" s="417">
        <v>0</v>
      </c>
      <c r="AK554" s="417">
        <v>0</v>
      </c>
      <c r="AL554" s="378">
        <v>6.8435399999999993E-2</v>
      </c>
      <c r="AM554" s="378"/>
      <c r="AN554" s="70">
        <v>0</v>
      </c>
      <c r="AO554" s="70">
        <v>0</v>
      </c>
      <c r="AP554" s="70">
        <v>0</v>
      </c>
      <c r="AQ554" s="417">
        <v>0</v>
      </c>
      <c r="AR554" s="417">
        <v>0</v>
      </c>
    </row>
    <row r="555" spans="1:44">
      <c r="A555" s="439">
        <v>96081</v>
      </c>
      <c r="B555" s="440" t="s">
        <v>1264</v>
      </c>
      <c r="C555" s="437">
        <v>6.5799999999999995E-4</v>
      </c>
      <c r="D555" s="441"/>
      <c r="E555" s="438">
        <v>579824.20219999994</v>
      </c>
      <c r="F555" s="442">
        <v>501183.23819999996</v>
      </c>
      <c r="G555" s="442">
        <v>142433.63020000001</v>
      </c>
      <c r="H555" s="442">
        <v>584506.00599999994</v>
      </c>
      <c r="I555" s="442">
        <v>0</v>
      </c>
      <c r="J555" s="443">
        <v>2.3944000000000001E-3</v>
      </c>
      <c r="K555" s="443"/>
      <c r="L555" s="444">
        <v>106021.56599999999</v>
      </c>
      <c r="M555" s="444">
        <v>43472.085999999996</v>
      </c>
      <c r="N555" s="444">
        <v>-5226.4939999999997</v>
      </c>
      <c r="O555" s="444">
        <v>0</v>
      </c>
      <c r="P555" s="417">
        <v>0</v>
      </c>
      <c r="Q555" s="378">
        <v>2.3944000000000001E-3</v>
      </c>
      <c r="R555" s="378"/>
      <c r="S555" s="70">
        <v>257773.47399999999</v>
      </c>
      <c r="T555" s="105">
        <v>241260.30599999998</v>
      </c>
      <c r="U555" s="70">
        <v>143334.772</v>
      </c>
      <c r="V555" s="70">
        <v>584506.00599999994</v>
      </c>
      <c r="W555" s="417">
        <v>0</v>
      </c>
      <c r="X555" s="378">
        <v>2.3944000000000001E-3</v>
      </c>
      <c r="Z555" s="70">
        <v>185190.81</v>
      </c>
      <c r="AA555" s="70">
        <v>185189.49399999998</v>
      </c>
      <c r="AB555" s="70">
        <v>0</v>
      </c>
      <c r="AC555" s="417">
        <v>0</v>
      </c>
      <c r="AD555" s="417">
        <v>0</v>
      </c>
      <c r="AE555" s="378">
        <v>2.3944000000000001E-3</v>
      </c>
      <c r="AF555" s="378"/>
      <c r="AG555" s="70">
        <v>35626.352200000008</v>
      </c>
      <c r="AH555" s="70">
        <v>31261.352200000008</v>
      </c>
      <c r="AI555" s="70">
        <v>4325.3522000000085</v>
      </c>
      <c r="AJ555" s="417">
        <v>0</v>
      </c>
      <c r="AK555" s="417">
        <v>0</v>
      </c>
      <c r="AL555" s="378">
        <v>2.3944000000000001E-3</v>
      </c>
      <c r="AM555" s="378"/>
      <c r="AN555" s="70">
        <v>-4788</v>
      </c>
      <c r="AO555" s="70">
        <v>0</v>
      </c>
      <c r="AP555" s="70">
        <v>0</v>
      </c>
      <c r="AQ555" s="417">
        <v>0</v>
      </c>
      <c r="AR555" s="417">
        <v>0</v>
      </c>
    </row>
    <row r="556" spans="1:44">
      <c r="A556" s="439">
        <v>96101</v>
      </c>
      <c r="B556" s="440" t="s">
        <v>1265</v>
      </c>
      <c r="C556" s="437">
        <v>6.9680000000000002E-4</v>
      </c>
      <c r="D556" s="441"/>
      <c r="E556" s="438">
        <v>613666.32020000019</v>
      </c>
      <c r="F556" s="442">
        <v>555382.22580000013</v>
      </c>
      <c r="G556" s="442">
        <v>171851.70900000012</v>
      </c>
      <c r="H556" s="442">
        <v>618972.31760000007</v>
      </c>
      <c r="I556" s="442">
        <v>0</v>
      </c>
      <c r="J556" s="443">
        <v>4.1100000000000003E-5</v>
      </c>
      <c r="K556" s="443"/>
      <c r="L556" s="444">
        <v>112273.2936</v>
      </c>
      <c r="M556" s="444">
        <v>46035.4856</v>
      </c>
      <c r="N556" s="444">
        <v>-5534.6824000000006</v>
      </c>
      <c r="O556" s="444">
        <v>0</v>
      </c>
      <c r="P556" s="417">
        <v>0</v>
      </c>
      <c r="Q556" s="378">
        <v>4.1100000000000003E-5</v>
      </c>
      <c r="R556" s="378"/>
      <c r="S556" s="70">
        <v>272973.49040000001</v>
      </c>
      <c r="T556" s="105">
        <v>255486.59760000001</v>
      </c>
      <c r="U556" s="70">
        <v>151786.73120000001</v>
      </c>
      <c r="V556" s="70">
        <v>618972.31760000007</v>
      </c>
      <c r="W556" s="417">
        <v>0</v>
      </c>
      <c r="X556" s="378">
        <v>4.1100000000000003E-5</v>
      </c>
      <c r="Z556" s="70">
        <v>196110.87600000002</v>
      </c>
      <c r="AA556" s="70">
        <v>196109.48240000001</v>
      </c>
      <c r="AB556" s="70">
        <v>0</v>
      </c>
      <c r="AC556" s="417">
        <v>0</v>
      </c>
      <c r="AD556" s="417">
        <v>0</v>
      </c>
      <c r="AE556" s="378">
        <v>4.1100000000000003E-5</v>
      </c>
      <c r="AF556" s="378"/>
      <c r="AG556" s="70">
        <v>57750.6602000001</v>
      </c>
      <c r="AH556" s="70">
        <v>57750.6602000001</v>
      </c>
      <c r="AI556" s="70">
        <v>25599.6602000001</v>
      </c>
      <c r="AJ556" s="417">
        <v>0</v>
      </c>
      <c r="AK556" s="417">
        <v>0</v>
      </c>
      <c r="AL556" s="378">
        <v>4.1100000000000003E-5</v>
      </c>
      <c r="AM556" s="378"/>
      <c r="AN556" s="70">
        <v>-25442</v>
      </c>
      <c r="AO556" s="70">
        <v>0</v>
      </c>
      <c r="AP556" s="70">
        <v>0</v>
      </c>
      <c r="AQ556" s="417">
        <v>0</v>
      </c>
      <c r="AR556" s="417">
        <v>0</v>
      </c>
    </row>
    <row r="557" spans="1:44">
      <c r="A557" s="439">
        <v>96102</v>
      </c>
      <c r="B557" s="440" t="s">
        <v>1266</v>
      </c>
      <c r="C557" s="437">
        <v>6.3999999999999997E-6</v>
      </c>
      <c r="D557" s="441"/>
      <c r="E557" s="438">
        <v>2061.8108499999998</v>
      </c>
      <c r="F557" s="442">
        <v>2028.7996500000008</v>
      </c>
      <c r="G557" s="442">
        <v>-823.5667499999995</v>
      </c>
      <c r="H557" s="442">
        <v>5685.1647999999996</v>
      </c>
      <c r="I557" s="442">
        <v>0</v>
      </c>
      <c r="J557" s="443">
        <v>7.0790000000000002E-4</v>
      </c>
      <c r="K557" s="443"/>
      <c r="L557" s="444">
        <v>1031.2128</v>
      </c>
      <c r="M557" s="444">
        <v>422.8288</v>
      </c>
      <c r="N557" s="444">
        <v>-50.8352</v>
      </c>
      <c r="O557" s="444">
        <v>0</v>
      </c>
      <c r="P557" s="417">
        <v>0</v>
      </c>
      <c r="Q557" s="378">
        <v>7.0790000000000002E-4</v>
      </c>
      <c r="R557" s="378"/>
      <c r="S557" s="70">
        <v>2507.2192</v>
      </c>
      <c r="T557" s="105">
        <v>2346.6048000000001</v>
      </c>
      <c r="U557" s="70">
        <v>1394.1376</v>
      </c>
      <c r="V557" s="70">
        <v>5685.1647999999996</v>
      </c>
      <c r="W557" s="417">
        <v>0</v>
      </c>
      <c r="X557" s="378">
        <v>7.0790000000000002E-4</v>
      </c>
      <c r="Z557" s="70">
        <v>1801.2479999999998</v>
      </c>
      <c r="AA557" s="70">
        <v>1801.2351999999998</v>
      </c>
      <c r="AB557" s="70">
        <v>0</v>
      </c>
      <c r="AC557" s="417">
        <v>0</v>
      </c>
      <c r="AD557" s="417">
        <v>0</v>
      </c>
      <c r="AE557" s="378">
        <v>7.0790000000000002E-4</v>
      </c>
      <c r="AF557" s="378"/>
      <c r="AG557" s="70">
        <v>0</v>
      </c>
      <c r="AH557" s="70">
        <v>0</v>
      </c>
      <c r="AI557" s="70">
        <v>0</v>
      </c>
      <c r="AJ557" s="417">
        <v>0</v>
      </c>
      <c r="AK557" s="417">
        <v>0</v>
      </c>
      <c r="AL557" s="378">
        <v>7.0790000000000002E-4</v>
      </c>
      <c r="AM557" s="378"/>
      <c r="AN557" s="70">
        <v>-3277.8691499999995</v>
      </c>
      <c r="AO557" s="70">
        <v>-2541.8691499999995</v>
      </c>
      <c r="AP557" s="70">
        <v>-2166.8691499999995</v>
      </c>
      <c r="AQ557" s="417">
        <v>0</v>
      </c>
      <c r="AR557" s="417">
        <v>0</v>
      </c>
    </row>
    <row r="558" spans="1:44">
      <c r="A558" s="439">
        <v>96111</v>
      </c>
      <c r="B558" s="440" t="s">
        <v>1267</v>
      </c>
      <c r="C558" s="437">
        <v>1.7119999999999999E-4</v>
      </c>
      <c r="D558" s="441"/>
      <c r="E558" s="438">
        <v>162242.26365000001</v>
      </c>
      <c r="F558" s="442">
        <v>130571.21405000001</v>
      </c>
      <c r="G558" s="442">
        <v>40049.162850000008</v>
      </c>
      <c r="H558" s="442">
        <v>152078.15839999999</v>
      </c>
      <c r="I558" s="442">
        <v>0</v>
      </c>
      <c r="J558" s="443">
        <v>7.9569999999999999E-4</v>
      </c>
      <c r="K558" s="443"/>
      <c r="L558" s="444">
        <v>27584.942399999996</v>
      </c>
      <c r="M558" s="444">
        <v>11310.670399999999</v>
      </c>
      <c r="N558" s="444">
        <v>-1359.8416</v>
      </c>
      <c r="O558" s="444">
        <v>0</v>
      </c>
      <c r="P558" s="417">
        <v>0</v>
      </c>
      <c r="Q558" s="378">
        <v>7.9569999999999999E-4</v>
      </c>
      <c r="R558" s="378"/>
      <c r="S558" s="70">
        <v>67068.113599999997</v>
      </c>
      <c r="T558" s="105">
        <v>62771.678399999997</v>
      </c>
      <c r="U558" s="70">
        <v>37293.180799999995</v>
      </c>
      <c r="V558" s="70">
        <v>152078.15839999999</v>
      </c>
      <c r="W558" s="417">
        <v>0</v>
      </c>
      <c r="X558" s="378">
        <v>7.9569999999999999E-4</v>
      </c>
      <c r="Z558" s="70">
        <v>48183.383999999998</v>
      </c>
      <c r="AA558" s="70">
        <v>48183.041599999997</v>
      </c>
      <c r="AB558" s="70">
        <v>0</v>
      </c>
      <c r="AC558" s="417">
        <v>0</v>
      </c>
      <c r="AD558" s="417">
        <v>0</v>
      </c>
      <c r="AE558" s="378">
        <v>7.9569999999999999E-4</v>
      </c>
      <c r="AF558" s="378"/>
      <c r="AG558" s="70">
        <v>19405.823650000013</v>
      </c>
      <c r="AH558" s="70">
        <v>8305.823650000013</v>
      </c>
      <c r="AI558" s="70">
        <v>4115.823650000013</v>
      </c>
      <c r="AJ558" s="417">
        <v>0</v>
      </c>
      <c r="AK558" s="417">
        <v>0</v>
      </c>
      <c r="AL558" s="378">
        <v>7.9569999999999999E-4</v>
      </c>
      <c r="AM558" s="378"/>
      <c r="AN558" s="70">
        <v>0</v>
      </c>
      <c r="AO558" s="70">
        <v>0</v>
      </c>
      <c r="AP558" s="70">
        <v>0</v>
      </c>
      <c r="AQ558" s="417">
        <v>0</v>
      </c>
      <c r="AR558" s="417">
        <v>0</v>
      </c>
    </row>
    <row r="559" spans="1:44">
      <c r="A559" s="439">
        <v>96121</v>
      </c>
      <c r="B559" s="440" t="s">
        <v>1268</v>
      </c>
      <c r="C559" s="437">
        <v>1.5500000000000001E-5</v>
      </c>
      <c r="D559" s="441"/>
      <c r="E559" s="438">
        <v>8927.1315249999971</v>
      </c>
      <c r="F559" s="442">
        <v>10254.682525</v>
      </c>
      <c r="G559" s="442">
        <v>2179.4045249999995</v>
      </c>
      <c r="H559" s="442">
        <v>13768.7585</v>
      </c>
      <c r="I559" s="442">
        <v>0</v>
      </c>
      <c r="J559" s="443">
        <v>1.8835E-3</v>
      </c>
      <c r="K559" s="443"/>
      <c r="L559" s="444">
        <v>2497.4684999999999</v>
      </c>
      <c r="M559" s="444">
        <v>1024.0385000000001</v>
      </c>
      <c r="N559" s="444">
        <v>-123.1165</v>
      </c>
      <c r="O559" s="444">
        <v>0</v>
      </c>
      <c r="P559" s="417">
        <v>0</v>
      </c>
      <c r="Q559" s="378">
        <v>1.8835E-3</v>
      </c>
      <c r="R559" s="378"/>
      <c r="S559" s="70">
        <v>6072.1715000000004</v>
      </c>
      <c r="T559" s="105">
        <v>5683.1835000000001</v>
      </c>
      <c r="U559" s="70">
        <v>3376.4270000000001</v>
      </c>
      <c r="V559" s="70">
        <v>13768.7585</v>
      </c>
      <c r="W559" s="417">
        <v>0</v>
      </c>
      <c r="X559" s="378">
        <v>1.8835E-3</v>
      </c>
      <c r="Z559" s="70">
        <v>4362.3975</v>
      </c>
      <c r="AA559" s="70">
        <v>4362.3665000000001</v>
      </c>
      <c r="AB559" s="70">
        <v>0</v>
      </c>
      <c r="AC559" s="417">
        <v>0</v>
      </c>
      <c r="AD559" s="417">
        <v>0</v>
      </c>
      <c r="AE559" s="378">
        <v>1.8835E-3</v>
      </c>
      <c r="AF559" s="378"/>
      <c r="AG559" s="70">
        <v>351</v>
      </c>
      <c r="AH559" s="70">
        <v>259</v>
      </c>
      <c r="AI559" s="70">
        <v>0</v>
      </c>
      <c r="AJ559" s="417">
        <v>0</v>
      </c>
      <c r="AK559" s="417">
        <v>0</v>
      </c>
      <c r="AL559" s="378">
        <v>1.8835E-3</v>
      </c>
      <c r="AM559" s="378"/>
      <c r="AN559" s="70">
        <v>-4355.9059750000006</v>
      </c>
      <c r="AO559" s="70">
        <v>-1073.9059750000006</v>
      </c>
      <c r="AP559" s="70">
        <v>-1073.9059750000006</v>
      </c>
      <c r="AQ559" s="417">
        <v>0</v>
      </c>
      <c r="AR559" s="417">
        <v>0</v>
      </c>
    </row>
    <row r="560" spans="1:44">
      <c r="A560" s="439">
        <v>96201</v>
      </c>
      <c r="B560" s="440" t="s">
        <v>1269</v>
      </c>
      <c r="C560" s="437">
        <v>1.1280999999999999E-3</v>
      </c>
      <c r="D560" s="441"/>
      <c r="E560" s="438">
        <v>1008426.4105249997</v>
      </c>
      <c r="F560" s="442">
        <v>902838.17072499963</v>
      </c>
      <c r="G560" s="442">
        <v>285452.41512499977</v>
      </c>
      <c r="H560" s="442">
        <v>1002099.1266999999</v>
      </c>
      <c r="I560" s="442">
        <v>0</v>
      </c>
      <c r="J560" s="443">
        <v>1.0357000000000001E-3</v>
      </c>
      <c r="K560" s="443"/>
      <c r="L560" s="444">
        <v>181767.36869999999</v>
      </c>
      <c r="M560" s="444">
        <v>74530.18269999999</v>
      </c>
      <c r="N560" s="444">
        <v>-8960.4982999999993</v>
      </c>
      <c r="O560" s="444">
        <v>0</v>
      </c>
      <c r="P560" s="417">
        <v>0</v>
      </c>
      <c r="Q560" s="378">
        <v>1.0357000000000001E-3</v>
      </c>
      <c r="R560" s="378"/>
      <c r="S560" s="70">
        <v>441936.55929999996</v>
      </c>
      <c r="T560" s="105">
        <v>413625.76169999997</v>
      </c>
      <c r="U560" s="70">
        <v>245738.53539999999</v>
      </c>
      <c r="V560" s="70">
        <v>1002099.1266999999</v>
      </c>
      <c r="W560" s="417">
        <v>0</v>
      </c>
      <c r="X560" s="378">
        <v>1.0357000000000001E-3</v>
      </c>
      <c r="Z560" s="70">
        <v>317498.10449999996</v>
      </c>
      <c r="AA560" s="70">
        <v>317495.84829999995</v>
      </c>
      <c r="AB560" s="70">
        <v>0</v>
      </c>
      <c r="AC560" s="417">
        <v>0</v>
      </c>
      <c r="AD560" s="417">
        <v>0</v>
      </c>
      <c r="AE560" s="378">
        <v>1.0357000000000001E-3</v>
      </c>
      <c r="AF560" s="378"/>
      <c r="AG560" s="70">
        <v>97186.37802499978</v>
      </c>
      <c r="AH560" s="70">
        <v>97186.37802499978</v>
      </c>
      <c r="AI560" s="70">
        <v>48674.37802499978</v>
      </c>
      <c r="AJ560" s="417">
        <v>0</v>
      </c>
      <c r="AK560" s="417">
        <v>0</v>
      </c>
      <c r="AL560" s="378">
        <v>1.0357000000000001E-3</v>
      </c>
      <c r="AM560" s="378"/>
      <c r="AN560" s="70">
        <v>-29962</v>
      </c>
      <c r="AO560" s="70">
        <v>0</v>
      </c>
      <c r="AP560" s="70">
        <v>0</v>
      </c>
      <c r="AQ560" s="417">
        <v>0</v>
      </c>
      <c r="AR560" s="417">
        <v>0</v>
      </c>
    </row>
    <row r="561" spans="1:44">
      <c r="A561" s="439">
        <v>96204</v>
      </c>
      <c r="B561" s="440" t="s">
        <v>1270</v>
      </c>
      <c r="C561" s="437">
        <v>1.49E-5</v>
      </c>
      <c r="D561" s="441"/>
      <c r="E561" s="438">
        <v>16171.051725000001</v>
      </c>
      <c r="F561" s="442">
        <v>12886.697525</v>
      </c>
      <c r="G561" s="442">
        <v>3260.9851250000006</v>
      </c>
      <c r="H561" s="442">
        <v>13235.774299999999</v>
      </c>
      <c r="I561" s="442">
        <v>0</v>
      </c>
      <c r="J561" s="443">
        <v>3.411E-4</v>
      </c>
      <c r="K561" s="443"/>
      <c r="L561" s="444">
        <v>2400.7923000000001</v>
      </c>
      <c r="M561" s="444">
        <v>984.39829999999995</v>
      </c>
      <c r="N561" s="444">
        <v>-118.3507</v>
      </c>
      <c r="O561" s="444">
        <v>0</v>
      </c>
      <c r="P561" s="417">
        <v>0</v>
      </c>
      <c r="Q561" s="378">
        <v>3.411E-4</v>
      </c>
      <c r="R561" s="378"/>
      <c r="S561" s="70">
        <v>5837.1197000000002</v>
      </c>
      <c r="T561" s="105">
        <v>5463.1893</v>
      </c>
      <c r="U561" s="70">
        <v>3245.7266</v>
      </c>
      <c r="V561" s="70">
        <v>13235.774299999999</v>
      </c>
      <c r="W561" s="417">
        <v>0</v>
      </c>
      <c r="X561" s="378">
        <v>3.411E-4</v>
      </c>
      <c r="Z561" s="70">
        <v>4193.5304999999998</v>
      </c>
      <c r="AA561" s="70">
        <v>4193.5006999999996</v>
      </c>
      <c r="AB561" s="70">
        <v>0</v>
      </c>
      <c r="AC561" s="417">
        <v>0</v>
      </c>
      <c r="AD561" s="417">
        <v>0</v>
      </c>
      <c r="AE561" s="378">
        <v>3.411E-4</v>
      </c>
      <c r="AF561" s="378"/>
      <c r="AG561" s="70">
        <v>3739.6092250000006</v>
      </c>
      <c r="AH561" s="70">
        <v>2245.6092250000006</v>
      </c>
      <c r="AI561" s="70">
        <v>133.60922500000061</v>
      </c>
      <c r="AJ561" s="417">
        <v>0</v>
      </c>
      <c r="AK561" s="417">
        <v>0</v>
      </c>
      <c r="AL561" s="378">
        <v>3.411E-4</v>
      </c>
      <c r="AM561" s="378"/>
      <c r="AN561" s="70">
        <v>0</v>
      </c>
      <c r="AO561" s="70">
        <v>0</v>
      </c>
      <c r="AP561" s="70">
        <v>0</v>
      </c>
      <c r="AQ561" s="417">
        <v>0</v>
      </c>
      <c r="AR561" s="417">
        <v>0</v>
      </c>
    </row>
    <row r="562" spans="1:44">
      <c r="A562" s="439">
        <v>96211</v>
      </c>
      <c r="B562" s="440" t="s">
        <v>1271</v>
      </c>
      <c r="C562" s="437">
        <v>1.8899999999999999E-5</v>
      </c>
      <c r="D562" s="441"/>
      <c r="E562" s="438">
        <v>20956.245175</v>
      </c>
      <c r="F562" s="442">
        <v>17366.258975000001</v>
      </c>
      <c r="G562" s="442">
        <v>6365.442575</v>
      </c>
      <c r="H562" s="442">
        <v>16789.0023</v>
      </c>
      <c r="I562" s="442">
        <v>0</v>
      </c>
      <c r="J562" s="443">
        <v>1.3278000000000001E-3</v>
      </c>
      <c r="K562" s="443"/>
      <c r="L562" s="444">
        <v>3045.3002999999999</v>
      </c>
      <c r="M562" s="444">
        <v>1248.6662999999999</v>
      </c>
      <c r="N562" s="444">
        <v>-150.12269999999998</v>
      </c>
      <c r="O562" s="444">
        <v>0</v>
      </c>
      <c r="P562" s="417">
        <v>0</v>
      </c>
      <c r="Q562" s="378">
        <v>1.3278000000000001E-3</v>
      </c>
      <c r="R562" s="378"/>
      <c r="S562" s="70">
        <v>7404.1316999999999</v>
      </c>
      <c r="T562" s="105">
        <v>6929.8172999999997</v>
      </c>
      <c r="U562" s="70">
        <v>4117.0625999999993</v>
      </c>
      <c r="V562" s="70">
        <v>16789.0023</v>
      </c>
      <c r="W562" s="417">
        <v>0</v>
      </c>
      <c r="X562" s="378">
        <v>1.3278000000000001E-3</v>
      </c>
      <c r="Z562" s="70">
        <v>5319.3104999999996</v>
      </c>
      <c r="AA562" s="70">
        <v>5319.2726999999995</v>
      </c>
      <c r="AB562" s="70">
        <v>0</v>
      </c>
      <c r="AC562" s="417">
        <v>0</v>
      </c>
      <c r="AD562" s="417">
        <v>0</v>
      </c>
      <c r="AE562" s="378">
        <v>1.3278000000000001E-3</v>
      </c>
      <c r="AF562" s="378"/>
      <c r="AG562" s="70">
        <v>5187.5026750000006</v>
      </c>
      <c r="AH562" s="70">
        <v>3868.5026750000006</v>
      </c>
      <c r="AI562" s="70">
        <v>2398.5026750000006</v>
      </c>
      <c r="AJ562" s="417">
        <v>0</v>
      </c>
      <c r="AK562" s="417">
        <v>0</v>
      </c>
      <c r="AL562" s="378">
        <v>1.3278000000000001E-3</v>
      </c>
      <c r="AM562" s="378"/>
      <c r="AN562" s="70">
        <v>0</v>
      </c>
      <c r="AO562" s="70">
        <v>0</v>
      </c>
      <c r="AP562" s="70">
        <v>0</v>
      </c>
      <c r="AQ562" s="417">
        <v>0</v>
      </c>
      <c r="AR562" s="417">
        <v>0</v>
      </c>
    </row>
    <row r="563" spans="1:44">
      <c r="A563" s="439">
        <v>96221</v>
      </c>
      <c r="B563" s="440" t="s">
        <v>1272</v>
      </c>
      <c r="C563" s="437">
        <v>1.931E-4</v>
      </c>
      <c r="D563" s="441"/>
      <c r="E563" s="438">
        <v>149952.340475</v>
      </c>
      <c r="F563" s="442">
        <v>137119.830675</v>
      </c>
      <c r="G563" s="442">
        <v>45914.135074999998</v>
      </c>
      <c r="H563" s="442">
        <v>171532.08170000001</v>
      </c>
      <c r="I563" s="442">
        <v>0</v>
      </c>
      <c r="J563" s="443">
        <v>6.2560000000000003E-4</v>
      </c>
      <c r="K563" s="443"/>
      <c r="L563" s="444">
        <v>31113.6237</v>
      </c>
      <c r="M563" s="444">
        <v>12757.537700000001</v>
      </c>
      <c r="N563" s="444">
        <v>-1533.7933</v>
      </c>
      <c r="O563" s="444">
        <v>0</v>
      </c>
      <c r="P563" s="417">
        <v>0</v>
      </c>
      <c r="Q563" s="378">
        <v>6.2560000000000003E-4</v>
      </c>
      <c r="R563" s="378"/>
      <c r="S563" s="70">
        <v>75647.504300000001</v>
      </c>
      <c r="T563" s="105">
        <v>70801.466700000004</v>
      </c>
      <c r="U563" s="70">
        <v>42063.7454</v>
      </c>
      <c r="V563" s="70">
        <v>171532.08170000001</v>
      </c>
      <c r="W563" s="417">
        <v>0</v>
      </c>
      <c r="X563" s="378">
        <v>6.2560000000000003E-4</v>
      </c>
      <c r="Z563" s="70">
        <v>54347.029500000004</v>
      </c>
      <c r="AA563" s="70">
        <v>54346.643300000003</v>
      </c>
      <c r="AB563" s="70">
        <v>0</v>
      </c>
      <c r="AC563" s="417">
        <v>0</v>
      </c>
      <c r="AD563" s="417">
        <v>0</v>
      </c>
      <c r="AE563" s="378">
        <v>6.2560000000000003E-4</v>
      </c>
      <c r="AF563" s="378"/>
      <c r="AG563" s="70">
        <v>5384.1829749999961</v>
      </c>
      <c r="AH563" s="70">
        <v>5384.1829749999961</v>
      </c>
      <c r="AI563" s="70">
        <v>5384.1829749999961</v>
      </c>
      <c r="AJ563" s="417">
        <v>0</v>
      </c>
      <c r="AK563" s="417">
        <v>0</v>
      </c>
      <c r="AL563" s="378">
        <v>6.2560000000000003E-4</v>
      </c>
      <c r="AM563" s="378"/>
      <c r="AN563" s="70">
        <v>-16540</v>
      </c>
      <c r="AO563" s="70">
        <v>-6170</v>
      </c>
      <c r="AP563" s="70">
        <v>0</v>
      </c>
      <c r="AQ563" s="417">
        <v>0</v>
      </c>
      <c r="AR563" s="417">
        <v>0</v>
      </c>
    </row>
    <row r="564" spans="1:44">
      <c r="A564" s="439">
        <v>96231</v>
      </c>
      <c r="B564" s="440" t="s">
        <v>1273</v>
      </c>
      <c r="C564" s="437">
        <v>1.147E-4</v>
      </c>
      <c r="D564" s="441"/>
      <c r="E564" s="438">
        <v>85533.252674999996</v>
      </c>
      <c r="F564" s="442">
        <v>84183.130074999994</v>
      </c>
      <c r="G564" s="442">
        <v>26125.672875</v>
      </c>
      <c r="H564" s="442">
        <v>101888.81289999999</v>
      </c>
      <c r="I564" s="442">
        <v>0</v>
      </c>
      <c r="J564" s="443">
        <v>6.6339999999999997E-4</v>
      </c>
      <c r="K564" s="443"/>
      <c r="L564" s="444">
        <v>18481.266899999999</v>
      </c>
      <c r="M564" s="444">
        <v>7577.8849</v>
      </c>
      <c r="N564" s="444">
        <v>-911.06209999999999</v>
      </c>
      <c r="O564" s="444">
        <v>0</v>
      </c>
      <c r="P564" s="417">
        <v>0</v>
      </c>
      <c r="Q564" s="378">
        <v>6.6339999999999997E-4</v>
      </c>
      <c r="R564" s="378"/>
      <c r="S564" s="70">
        <v>44934.069100000001</v>
      </c>
      <c r="T564" s="105">
        <v>42055.5579</v>
      </c>
      <c r="U564" s="70">
        <v>24985.559799999999</v>
      </c>
      <c r="V564" s="70">
        <v>101888.81289999999</v>
      </c>
      <c r="W564" s="417">
        <v>0</v>
      </c>
      <c r="X564" s="378">
        <v>6.6339999999999997E-4</v>
      </c>
      <c r="Z564" s="70">
        <v>32281.7415</v>
      </c>
      <c r="AA564" s="70">
        <v>32281.5121</v>
      </c>
      <c r="AB564" s="70">
        <v>0</v>
      </c>
      <c r="AC564" s="417">
        <v>0</v>
      </c>
      <c r="AD564" s="417">
        <v>0</v>
      </c>
      <c r="AE564" s="378">
        <v>6.6339999999999997E-4</v>
      </c>
      <c r="AF564" s="378"/>
      <c r="AG564" s="70">
        <v>2268.1751750000003</v>
      </c>
      <c r="AH564" s="70">
        <v>2268.1751750000003</v>
      </c>
      <c r="AI564" s="70">
        <v>2051.1751750000003</v>
      </c>
      <c r="AJ564" s="417">
        <v>0</v>
      </c>
      <c r="AK564" s="417">
        <v>0</v>
      </c>
      <c r="AL564" s="378">
        <v>6.6339999999999997E-4</v>
      </c>
      <c r="AM564" s="378"/>
      <c r="AN564" s="70">
        <v>-12432</v>
      </c>
      <c r="AO564" s="70">
        <v>0</v>
      </c>
      <c r="AP564" s="70">
        <v>0</v>
      </c>
      <c r="AQ564" s="417">
        <v>0</v>
      </c>
      <c r="AR564" s="417">
        <v>0</v>
      </c>
    </row>
    <row r="565" spans="1:44">
      <c r="A565" s="439">
        <v>96241</v>
      </c>
      <c r="B565" s="440" t="s">
        <v>1274</v>
      </c>
      <c r="C565" s="437">
        <v>5.8300000000000001E-5</v>
      </c>
      <c r="D565" s="441"/>
      <c r="E565" s="438">
        <v>40133.382475000006</v>
      </c>
      <c r="F565" s="442">
        <v>36241.171074999998</v>
      </c>
      <c r="G565" s="442">
        <v>11221.880274999998</v>
      </c>
      <c r="H565" s="442">
        <v>51788.2981</v>
      </c>
      <c r="I565" s="442">
        <v>0</v>
      </c>
      <c r="J565" s="443">
        <v>1.0699999999999999E-5</v>
      </c>
      <c r="K565" s="443"/>
      <c r="L565" s="444">
        <v>9393.7041000000008</v>
      </c>
      <c r="M565" s="444">
        <v>3851.7060999999999</v>
      </c>
      <c r="N565" s="444">
        <v>-463.07690000000002</v>
      </c>
      <c r="O565" s="444">
        <v>0</v>
      </c>
      <c r="P565" s="417">
        <v>0</v>
      </c>
      <c r="Q565" s="378">
        <v>1.0699999999999999E-5</v>
      </c>
      <c r="R565" s="378"/>
      <c r="S565" s="70">
        <v>22839.1999</v>
      </c>
      <c r="T565" s="105">
        <v>21376.1031</v>
      </c>
      <c r="U565" s="70">
        <v>12699.7222</v>
      </c>
      <c r="V565" s="70">
        <v>51788.2981</v>
      </c>
      <c r="W565" s="417">
        <v>0</v>
      </c>
      <c r="X565" s="378">
        <v>1.0699999999999999E-5</v>
      </c>
      <c r="Z565" s="70">
        <v>16408.2435</v>
      </c>
      <c r="AA565" s="70">
        <v>16408.126899999999</v>
      </c>
      <c r="AB565" s="70">
        <v>0</v>
      </c>
      <c r="AC565" s="417">
        <v>0</v>
      </c>
      <c r="AD565" s="417">
        <v>0</v>
      </c>
      <c r="AE565" s="378">
        <v>1.0699999999999999E-5</v>
      </c>
      <c r="AF565" s="378"/>
      <c r="AG565" s="70">
        <v>819</v>
      </c>
      <c r="AH565" s="70">
        <v>0</v>
      </c>
      <c r="AI565" s="70">
        <v>0</v>
      </c>
      <c r="AJ565" s="417">
        <v>0</v>
      </c>
      <c r="AK565" s="417">
        <v>0</v>
      </c>
      <c r="AL565" s="378">
        <v>1.0699999999999999E-5</v>
      </c>
      <c r="AM565" s="378"/>
      <c r="AN565" s="70">
        <v>-9326.7650250000024</v>
      </c>
      <c r="AO565" s="70">
        <v>-5394.7650250000024</v>
      </c>
      <c r="AP565" s="70">
        <v>-1014.7650250000024</v>
      </c>
      <c r="AQ565" s="417">
        <v>0</v>
      </c>
      <c r="AR565" s="417">
        <v>0</v>
      </c>
    </row>
    <row r="566" spans="1:44">
      <c r="A566" s="439">
        <v>96251</v>
      </c>
      <c r="B566" s="440" t="s">
        <v>1275</v>
      </c>
      <c r="C566" s="437">
        <v>9.9699999999999998E-5</v>
      </c>
      <c r="D566" s="441"/>
      <c r="E566" s="438">
        <v>75240.742024999985</v>
      </c>
      <c r="F566" s="442">
        <v>72919.989424999978</v>
      </c>
      <c r="G566" s="442">
        <v>16799.672224999984</v>
      </c>
      <c r="H566" s="442">
        <v>88564.207899999994</v>
      </c>
      <c r="I566" s="442">
        <v>0</v>
      </c>
      <c r="J566" s="443">
        <v>1.6789999999999999E-4</v>
      </c>
      <c r="K566" s="443"/>
      <c r="L566" s="444">
        <v>16064.3619</v>
      </c>
      <c r="M566" s="444">
        <v>6586.8798999999999</v>
      </c>
      <c r="N566" s="444">
        <v>-791.9171</v>
      </c>
      <c r="O566" s="444">
        <v>0</v>
      </c>
      <c r="P566" s="417">
        <v>0</v>
      </c>
      <c r="Q566" s="378">
        <v>1.6789999999999999E-4</v>
      </c>
      <c r="R566" s="378"/>
      <c r="S566" s="70">
        <v>39057.774100000002</v>
      </c>
      <c r="T566" s="105">
        <v>36555.702899999997</v>
      </c>
      <c r="U566" s="70">
        <v>21718.049800000001</v>
      </c>
      <c r="V566" s="70">
        <v>88564.207899999994</v>
      </c>
      <c r="W566" s="417">
        <v>0</v>
      </c>
      <c r="X566" s="378">
        <v>1.6789999999999999E-4</v>
      </c>
      <c r="Z566" s="70">
        <v>28060.066500000001</v>
      </c>
      <c r="AA566" s="70">
        <v>28059.867099999999</v>
      </c>
      <c r="AB566" s="70">
        <v>0</v>
      </c>
      <c r="AC566" s="417">
        <v>0</v>
      </c>
      <c r="AD566" s="417">
        <v>0</v>
      </c>
      <c r="AE566" s="378">
        <v>1.6789999999999999E-4</v>
      </c>
      <c r="AF566" s="378"/>
      <c r="AG566" s="70">
        <v>5844</v>
      </c>
      <c r="AH566" s="70">
        <v>5844</v>
      </c>
      <c r="AI566" s="70">
        <v>0</v>
      </c>
      <c r="AJ566" s="417">
        <v>0</v>
      </c>
      <c r="AK566" s="417">
        <v>0</v>
      </c>
      <c r="AL566" s="378">
        <v>1.6789999999999999E-4</v>
      </c>
      <c r="AM566" s="378"/>
      <c r="AN566" s="70">
        <v>-13785.460475000018</v>
      </c>
      <c r="AO566" s="70">
        <v>-4126.4604750000181</v>
      </c>
      <c r="AP566" s="70">
        <v>-4126.4604750000181</v>
      </c>
      <c r="AQ566" s="417">
        <v>0</v>
      </c>
      <c r="AR566" s="417">
        <v>0</v>
      </c>
    </row>
    <row r="567" spans="1:44">
      <c r="A567" s="439">
        <v>96301</v>
      </c>
      <c r="B567" s="440" t="s">
        <v>1276</v>
      </c>
      <c r="C567" s="437">
        <v>4.6183999999999999E-3</v>
      </c>
      <c r="D567" s="441"/>
      <c r="E567" s="438">
        <v>3771650.1562000001</v>
      </c>
      <c r="F567" s="442">
        <v>3142680.449</v>
      </c>
      <c r="G567" s="442">
        <v>866061.17059999995</v>
      </c>
      <c r="H567" s="442">
        <v>4102557.0488</v>
      </c>
      <c r="I567" s="442">
        <v>0</v>
      </c>
      <c r="J567" s="443">
        <v>1.77E-5</v>
      </c>
      <c r="K567" s="443"/>
      <c r="L567" s="444">
        <v>744148.93680000002</v>
      </c>
      <c r="M567" s="444">
        <v>305123.83279999997</v>
      </c>
      <c r="N567" s="444">
        <v>-36683.951199999996</v>
      </c>
      <c r="O567" s="444">
        <v>0</v>
      </c>
      <c r="P567" s="417">
        <v>0</v>
      </c>
      <c r="Q567" s="378">
        <v>1.77E-5</v>
      </c>
      <c r="R567" s="378"/>
      <c r="S567" s="70">
        <v>1809272.0552000001</v>
      </c>
      <c r="T567" s="105">
        <v>1693368.6887999999</v>
      </c>
      <c r="U567" s="70">
        <v>1006044.5456</v>
      </c>
      <c r="V567" s="70">
        <v>4102557.0488</v>
      </c>
      <c r="W567" s="417">
        <v>0</v>
      </c>
      <c r="X567" s="378">
        <v>1.77E-5</v>
      </c>
      <c r="Z567" s="70">
        <v>1299825.588</v>
      </c>
      <c r="AA567" s="70">
        <v>1299816.3511999999</v>
      </c>
      <c r="AB567" s="70">
        <v>0</v>
      </c>
      <c r="AC567" s="417">
        <v>0</v>
      </c>
      <c r="AD567" s="417">
        <v>0</v>
      </c>
      <c r="AE567" s="378">
        <v>1.77E-5</v>
      </c>
      <c r="AF567" s="378"/>
      <c r="AG567" s="70">
        <v>74032</v>
      </c>
      <c r="AH567" s="70">
        <v>0</v>
      </c>
      <c r="AI567" s="70">
        <v>0</v>
      </c>
      <c r="AJ567" s="417">
        <v>0</v>
      </c>
      <c r="AK567" s="417">
        <v>0</v>
      </c>
      <c r="AL567" s="378">
        <v>1.77E-5</v>
      </c>
      <c r="AM567" s="378"/>
      <c r="AN567" s="70">
        <v>-155628.42379999999</v>
      </c>
      <c r="AO567" s="70">
        <v>-155628.42379999999</v>
      </c>
      <c r="AP567" s="70">
        <v>-103299.42379999999</v>
      </c>
      <c r="AQ567" s="417">
        <v>0</v>
      </c>
      <c r="AR567" s="417">
        <v>0</v>
      </c>
    </row>
    <row r="568" spans="1:44">
      <c r="A568" s="439">
        <v>96302</v>
      </c>
      <c r="B568" s="440" t="s">
        <v>1277</v>
      </c>
      <c r="C568" s="437">
        <v>3.04E-5</v>
      </c>
      <c r="D568" s="441"/>
      <c r="E568" s="438">
        <v>24368.992450000005</v>
      </c>
      <c r="F568" s="442">
        <v>11198.189250000003</v>
      </c>
      <c r="G568" s="442">
        <v>11911.198850000001</v>
      </c>
      <c r="H568" s="442">
        <v>27004.532800000001</v>
      </c>
      <c r="I568" s="442">
        <v>0</v>
      </c>
      <c r="J568" s="443">
        <v>1.0398E-3</v>
      </c>
      <c r="K568" s="443"/>
      <c r="L568" s="444">
        <v>4898.2608</v>
      </c>
      <c r="M568" s="444">
        <v>2008.4367999999999</v>
      </c>
      <c r="N568" s="444">
        <v>-241.46719999999999</v>
      </c>
      <c r="O568" s="444">
        <v>0</v>
      </c>
      <c r="P568" s="417">
        <v>0</v>
      </c>
      <c r="Q568" s="378">
        <v>1.0398E-3</v>
      </c>
      <c r="R568" s="378"/>
      <c r="S568" s="70">
        <v>11909.2912</v>
      </c>
      <c r="T568" s="105">
        <v>11146.372800000001</v>
      </c>
      <c r="U568" s="70">
        <v>6622.1535999999996</v>
      </c>
      <c r="V568" s="70">
        <v>27004.532800000001</v>
      </c>
      <c r="W568" s="417">
        <v>0</v>
      </c>
      <c r="X568" s="378">
        <v>1.0398E-3</v>
      </c>
      <c r="Z568" s="70">
        <v>8555.9279999999999</v>
      </c>
      <c r="AA568" s="70">
        <v>8555.8672000000006</v>
      </c>
      <c r="AB568" s="70">
        <v>0</v>
      </c>
      <c r="AC568" s="417">
        <v>0</v>
      </c>
      <c r="AD568" s="417">
        <v>0</v>
      </c>
      <c r="AE568" s="378">
        <v>1.0398E-3</v>
      </c>
      <c r="AF568" s="378"/>
      <c r="AG568" s="70">
        <v>15048.512450000002</v>
      </c>
      <c r="AH568" s="70">
        <v>5530.5124500000011</v>
      </c>
      <c r="AI568" s="70">
        <v>5530.5124500000011</v>
      </c>
      <c r="AJ568" s="417">
        <v>0</v>
      </c>
      <c r="AK568" s="417">
        <v>0</v>
      </c>
      <c r="AL568" s="378">
        <v>1.0398E-3</v>
      </c>
      <c r="AM568" s="378"/>
      <c r="AN568" s="70">
        <v>-16043</v>
      </c>
      <c r="AO568" s="70">
        <v>-16043</v>
      </c>
      <c r="AP568" s="70">
        <v>0</v>
      </c>
      <c r="AQ568" s="417">
        <v>0</v>
      </c>
      <c r="AR568" s="417">
        <v>0</v>
      </c>
    </row>
    <row r="569" spans="1:44">
      <c r="A569" s="439">
        <v>96304</v>
      </c>
      <c r="B569" s="440" t="s">
        <v>1278</v>
      </c>
      <c r="C569" s="437">
        <v>5.0399999999999999E-5</v>
      </c>
      <c r="D569" s="441"/>
      <c r="E569" s="438">
        <v>48143.254500000003</v>
      </c>
      <c r="F569" s="442">
        <v>39032.291299999997</v>
      </c>
      <c r="G569" s="442">
        <v>10750.780900000002</v>
      </c>
      <c r="H569" s="442">
        <v>44770.6728</v>
      </c>
      <c r="I569" s="442">
        <v>0</v>
      </c>
      <c r="J569" s="443">
        <v>1.6200000000000001E-5</v>
      </c>
      <c r="K569" s="443"/>
      <c r="L569" s="444">
        <v>8120.8008</v>
      </c>
      <c r="M569" s="444">
        <v>3329.7768000000001</v>
      </c>
      <c r="N569" s="444">
        <v>-400.3272</v>
      </c>
      <c r="O569" s="444">
        <v>0</v>
      </c>
      <c r="P569" s="417">
        <v>0</v>
      </c>
      <c r="Q569" s="378">
        <v>1.6200000000000001E-5</v>
      </c>
      <c r="R569" s="378"/>
      <c r="S569" s="70">
        <v>19744.351200000001</v>
      </c>
      <c r="T569" s="105">
        <v>18479.5128</v>
      </c>
      <c r="U569" s="70">
        <v>10978.8336</v>
      </c>
      <c r="V569" s="70">
        <v>44770.6728</v>
      </c>
      <c r="W569" s="417">
        <v>0</v>
      </c>
      <c r="X569" s="378">
        <v>1.6200000000000001E-5</v>
      </c>
      <c r="Z569" s="70">
        <v>14184.828</v>
      </c>
      <c r="AA569" s="70">
        <v>14184.727199999999</v>
      </c>
      <c r="AB569" s="70">
        <v>0</v>
      </c>
      <c r="AC569" s="417">
        <v>0</v>
      </c>
      <c r="AD569" s="417">
        <v>0</v>
      </c>
      <c r="AE569" s="378">
        <v>1.6200000000000001E-5</v>
      </c>
      <c r="AF569" s="378"/>
      <c r="AG569" s="70">
        <v>6093.2745000000014</v>
      </c>
      <c r="AH569" s="70">
        <v>3038.2745000000014</v>
      </c>
      <c r="AI569" s="70">
        <v>172.27450000000135</v>
      </c>
      <c r="AJ569" s="417">
        <v>0</v>
      </c>
      <c r="AK569" s="417">
        <v>0</v>
      </c>
      <c r="AL569" s="378">
        <v>1.6200000000000001E-5</v>
      </c>
      <c r="AM569" s="378"/>
      <c r="AN569" s="70">
        <v>0</v>
      </c>
      <c r="AO569" s="70">
        <v>0</v>
      </c>
      <c r="AP569" s="70">
        <v>0</v>
      </c>
      <c r="AQ569" s="417">
        <v>0</v>
      </c>
      <c r="AR569" s="417">
        <v>0</v>
      </c>
    </row>
    <row r="570" spans="1:44">
      <c r="A570" s="439">
        <v>96305</v>
      </c>
      <c r="B570" s="440" t="s">
        <v>1279</v>
      </c>
      <c r="C570" s="437">
        <v>3.8600000000000003E-5</v>
      </c>
      <c r="D570" s="441"/>
      <c r="E570" s="438">
        <v>39016.61970000001</v>
      </c>
      <c r="F570" s="442">
        <v>29181.520900000007</v>
      </c>
      <c r="G570" s="442">
        <v>9123.4673000000075</v>
      </c>
      <c r="H570" s="442">
        <v>34288.650200000004</v>
      </c>
      <c r="I570" s="442">
        <v>0</v>
      </c>
      <c r="J570" s="443">
        <v>2.0299999999999999E-5</v>
      </c>
      <c r="K570" s="443"/>
      <c r="L570" s="444">
        <v>6219.5022000000008</v>
      </c>
      <c r="M570" s="444">
        <v>2550.1862000000001</v>
      </c>
      <c r="N570" s="444">
        <v>-306.59980000000002</v>
      </c>
      <c r="O570" s="444">
        <v>0</v>
      </c>
      <c r="P570" s="417">
        <v>0</v>
      </c>
      <c r="Q570" s="378">
        <v>2.0299999999999999E-5</v>
      </c>
      <c r="R570" s="378"/>
      <c r="S570" s="70">
        <v>15121.665800000001</v>
      </c>
      <c r="T570" s="105">
        <v>14152.960200000001</v>
      </c>
      <c r="U570" s="70">
        <v>8408.3924000000006</v>
      </c>
      <c r="V570" s="70">
        <v>34288.650200000004</v>
      </c>
      <c r="W570" s="417">
        <v>0</v>
      </c>
      <c r="X570" s="378">
        <v>2.0299999999999999E-5</v>
      </c>
      <c r="Z570" s="70">
        <v>10863.777</v>
      </c>
      <c r="AA570" s="70">
        <v>10863.6998</v>
      </c>
      <c r="AB570" s="70">
        <v>0</v>
      </c>
      <c r="AC570" s="417">
        <v>0</v>
      </c>
      <c r="AD570" s="417">
        <v>0</v>
      </c>
      <c r="AE570" s="378">
        <v>2.0299999999999999E-5</v>
      </c>
      <c r="AF570" s="378"/>
      <c r="AG570" s="70">
        <v>6811.6747000000069</v>
      </c>
      <c r="AH570" s="70">
        <v>1614.6747000000069</v>
      </c>
      <c r="AI570" s="70">
        <v>1021.6747000000069</v>
      </c>
      <c r="AJ570" s="417">
        <v>0</v>
      </c>
      <c r="AK570" s="417">
        <v>0</v>
      </c>
      <c r="AL570" s="378">
        <v>2.0299999999999999E-5</v>
      </c>
      <c r="AM570" s="378"/>
      <c r="AN570" s="70">
        <v>0</v>
      </c>
      <c r="AO570" s="70">
        <v>0</v>
      </c>
      <c r="AP570" s="70">
        <v>0</v>
      </c>
      <c r="AQ570" s="417">
        <v>0</v>
      </c>
      <c r="AR570" s="417">
        <v>0</v>
      </c>
    </row>
    <row r="571" spans="1:44">
      <c r="A571" s="439">
        <v>96310</v>
      </c>
      <c r="B571" s="440" t="s">
        <v>1280</v>
      </c>
      <c r="C571" s="437">
        <v>4.3900000000000003E-5</v>
      </c>
      <c r="D571" s="441"/>
      <c r="E571" s="438">
        <v>44371.967225</v>
      </c>
      <c r="F571" s="442">
        <v>36828.031025000004</v>
      </c>
      <c r="G571" s="442">
        <v>6105.3146250000009</v>
      </c>
      <c r="H571" s="442">
        <v>38996.677300000003</v>
      </c>
      <c r="I571" s="442">
        <v>0</v>
      </c>
      <c r="J571" s="443">
        <v>1.8440000000000001E-4</v>
      </c>
      <c r="K571" s="443"/>
      <c r="L571" s="444">
        <v>7073.4753000000001</v>
      </c>
      <c r="M571" s="444">
        <v>2900.3413</v>
      </c>
      <c r="N571" s="444">
        <v>-348.6977</v>
      </c>
      <c r="O571" s="444">
        <v>0</v>
      </c>
      <c r="P571" s="417">
        <v>0</v>
      </c>
      <c r="Q571" s="378">
        <v>1.8440000000000001E-4</v>
      </c>
      <c r="R571" s="378"/>
      <c r="S571" s="70">
        <v>17197.956700000002</v>
      </c>
      <c r="T571" s="105">
        <v>16096.242300000002</v>
      </c>
      <c r="U571" s="70">
        <v>9562.9126000000015</v>
      </c>
      <c r="V571" s="70">
        <v>38996.677300000003</v>
      </c>
      <c r="W571" s="417">
        <v>0</v>
      </c>
      <c r="X571" s="378">
        <v>1.8440000000000001E-4</v>
      </c>
      <c r="Z571" s="70">
        <v>12355.435500000001</v>
      </c>
      <c r="AA571" s="70">
        <v>12355.3477</v>
      </c>
      <c r="AB571" s="70">
        <v>0</v>
      </c>
      <c r="AC571" s="417">
        <v>0</v>
      </c>
      <c r="AD571" s="417">
        <v>0</v>
      </c>
      <c r="AE571" s="378">
        <v>1.8440000000000001E-4</v>
      </c>
      <c r="AF571" s="378"/>
      <c r="AG571" s="70">
        <v>11013</v>
      </c>
      <c r="AH571" s="70">
        <v>8585</v>
      </c>
      <c r="AI571" s="70">
        <v>0</v>
      </c>
      <c r="AJ571" s="417">
        <v>0</v>
      </c>
      <c r="AK571" s="417">
        <v>0</v>
      </c>
      <c r="AL571" s="378">
        <v>1.8440000000000001E-4</v>
      </c>
      <c r="AM571" s="378"/>
      <c r="AN571" s="70">
        <v>-3267.900275</v>
      </c>
      <c r="AO571" s="70">
        <v>-3108.900275</v>
      </c>
      <c r="AP571" s="70">
        <v>-3108.900275</v>
      </c>
      <c r="AQ571" s="417">
        <v>0</v>
      </c>
      <c r="AR571" s="417">
        <v>0</v>
      </c>
    </row>
    <row r="572" spans="1:44">
      <c r="A572" s="439">
        <v>96311</v>
      </c>
      <c r="B572" s="440" t="s">
        <v>1281</v>
      </c>
      <c r="C572" s="437">
        <v>1.356E-3</v>
      </c>
      <c r="D572" s="441"/>
      <c r="E572" s="438">
        <v>1099264.8843499999</v>
      </c>
      <c r="F572" s="442">
        <v>924066.63634999993</v>
      </c>
      <c r="G572" s="442">
        <v>289787.38034999999</v>
      </c>
      <c r="H572" s="442">
        <v>1204544.2919999999</v>
      </c>
      <c r="I572" s="442">
        <v>0</v>
      </c>
      <c r="J572" s="443">
        <v>1.086E-4</v>
      </c>
      <c r="K572" s="443"/>
      <c r="L572" s="444">
        <v>218488.212</v>
      </c>
      <c r="M572" s="444">
        <v>89586.851999999999</v>
      </c>
      <c r="N572" s="444">
        <v>-10770.708000000001</v>
      </c>
      <c r="O572" s="444">
        <v>0</v>
      </c>
      <c r="P572" s="417">
        <v>0</v>
      </c>
      <c r="Q572" s="378">
        <v>1.086E-4</v>
      </c>
      <c r="R572" s="378"/>
      <c r="S572" s="70">
        <v>531217.06799999997</v>
      </c>
      <c r="T572" s="105">
        <v>497186.89199999999</v>
      </c>
      <c r="U572" s="70">
        <v>295382.90399999998</v>
      </c>
      <c r="V572" s="70">
        <v>1204544.2919999999</v>
      </c>
      <c r="W572" s="417">
        <v>0</v>
      </c>
      <c r="X572" s="378">
        <v>1.086E-4</v>
      </c>
      <c r="Z572" s="70">
        <v>381639.42</v>
      </c>
      <c r="AA572" s="70">
        <v>381636.70799999998</v>
      </c>
      <c r="AB572" s="70">
        <v>0</v>
      </c>
      <c r="AC572" s="417">
        <v>0</v>
      </c>
      <c r="AD572" s="417">
        <v>0</v>
      </c>
      <c r="AE572" s="378">
        <v>1.086E-4</v>
      </c>
      <c r="AF572" s="378"/>
      <c r="AG572" s="70">
        <v>27818.184349999996</v>
      </c>
      <c r="AH572" s="70">
        <v>5175.1843499999959</v>
      </c>
      <c r="AI572" s="70">
        <v>5175.1843499999959</v>
      </c>
      <c r="AJ572" s="417">
        <v>0</v>
      </c>
      <c r="AK572" s="417">
        <v>0</v>
      </c>
      <c r="AL572" s="378">
        <v>1.086E-4</v>
      </c>
      <c r="AM572" s="378"/>
      <c r="AN572" s="70">
        <v>-59898</v>
      </c>
      <c r="AO572" s="70">
        <v>-49519</v>
      </c>
      <c r="AP572" s="70">
        <v>0</v>
      </c>
      <c r="AQ572" s="417">
        <v>0</v>
      </c>
      <c r="AR572" s="417">
        <v>0</v>
      </c>
    </row>
    <row r="573" spans="1:44">
      <c r="A573" s="439">
        <v>96312</v>
      </c>
      <c r="B573" s="440" t="s">
        <v>1282</v>
      </c>
      <c r="C573" s="437">
        <v>1.34E-5</v>
      </c>
      <c r="D573" s="441"/>
      <c r="E573" s="438">
        <v>11145.340650000002</v>
      </c>
      <c r="F573" s="442">
        <v>5604.2234500000013</v>
      </c>
      <c r="G573" s="442">
        <v>4433.9250500000007</v>
      </c>
      <c r="H573" s="442">
        <v>11903.3138</v>
      </c>
      <c r="I573" s="442">
        <v>0</v>
      </c>
      <c r="J573" s="443">
        <v>5.5600000000000003E-5</v>
      </c>
      <c r="K573" s="443"/>
      <c r="L573" s="444">
        <v>2159.1017999999999</v>
      </c>
      <c r="M573" s="444">
        <v>885.29780000000005</v>
      </c>
      <c r="N573" s="444">
        <v>-106.4362</v>
      </c>
      <c r="O573" s="444">
        <v>0</v>
      </c>
      <c r="P573" s="417">
        <v>0</v>
      </c>
      <c r="Q573" s="378">
        <v>5.5600000000000003E-5</v>
      </c>
      <c r="R573" s="378"/>
      <c r="S573" s="70">
        <v>5249.4902000000002</v>
      </c>
      <c r="T573" s="105">
        <v>4913.2038000000002</v>
      </c>
      <c r="U573" s="70">
        <v>2918.9756000000002</v>
      </c>
      <c r="V573" s="70">
        <v>11903.3138</v>
      </c>
      <c r="W573" s="417">
        <v>0</v>
      </c>
      <c r="X573" s="378">
        <v>5.5600000000000003E-5</v>
      </c>
      <c r="Z573" s="70">
        <v>3771.3630000000003</v>
      </c>
      <c r="AA573" s="70">
        <v>3771.3362000000002</v>
      </c>
      <c r="AB573" s="70">
        <v>0</v>
      </c>
      <c r="AC573" s="417">
        <v>0</v>
      </c>
      <c r="AD573" s="417">
        <v>0</v>
      </c>
      <c r="AE573" s="378">
        <v>5.5600000000000003E-5</v>
      </c>
      <c r="AF573" s="378"/>
      <c r="AG573" s="70">
        <v>5552.3856500000002</v>
      </c>
      <c r="AH573" s="70">
        <v>1621.3856500000004</v>
      </c>
      <c r="AI573" s="70">
        <v>1621.3856500000004</v>
      </c>
      <c r="AJ573" s="417">
        <v>0</v>
      </c>
      <c r="AK573" s="417">
        <v>0</v>
      </c>
      <c r="AL573" s="378">
        <v>5.5600000000000003E-5</v>
      </c>
      <c r="AM573" s="378"/>
      <c r="AN573" s="70">
        <v>-5587</v>
      </c>
      <c r="AO573" s="70">
        <v>-5587</v>
      </c>
      <c r="AP573" s="70">
        <v>0</v>
      </c>
      <c r="AQ573" s="417">
        <v>0</v>
      </c>
      <c r="AR573" s="417">
        <v>0</v>
      </c>
    </row>
    <row r="574" spans="1:44">
      <c r="A574" s="439">
        <v>96318</v>
      </c>
      <c r="B574" s="440" t="s">
        <v>1283</v>
      </c>
      <c r="C574" s="437">
        <v>2.5845E-3</v>
      </c>
      <c r="D574" s="441"/>
      <c r="E574" s="438">
        <v>2425010.9117249995</v>
      </c>
      <c r="F574" s="442">
        <v>1998986.560725</v>
      </c>
      <c r="G574" s="442">
        <v>656762.23872499983</v>
      </c>
      <c r="H574" s="442">
        <v>2295829.4415000002</v>
      </c>
      <c r="I574" s="442">
        <v>0</v>
      </c>
      <c r="J574" s="443">
        <v>1.0340000000000001E-4</v>
      </c>
      <c r="K574" s="443"/>
      <c r="L574" s="444">
        <v>416432.73149999999</v>
      </c>
      <c r="M574" s="444">
        <v>170750.16149999999</v>
      </c>
      <c r="N574" s="444">
        <v>-20528.683499999999</v>
      </c>
      <c r="O574" s="444">
        <v>0</v>
      </c>
      <c r="P574" s="417">
        <v>0</v>
      </c>
      <c r="Q574" s="378">
        <v>1.0340000000000001E-4</v>
      </c>
      <c r="R574" s="378"/>
      <c r="S574" s="70">
        <v>1012485.6285</v>
      </c>
      <c r="T574" s="105">
        <v>947625.01650000003</v>
      </c>
      <c r="U574" s="70">
        <v>562991.973</v>
      </c>
      <c r="V574" s="70">
        <v>2295829.4415000002</v>
      </c>
      <c r="W574" s="417">
        <v>0</v>
      </c>
      <c r="X574" s="378">
        <v>1.0340000000000001E-4</v>
      </c>
      <c r="Z574" s="70">
        <v>727394.60250000004</v>
      </c>
      <c r="AA574" s="70">
        <v>727389.43350000004</v>
      </c>
      <c r="AB574" s="70">
        <v>0</v>
      </c>
      <c r="AC574" s="417">
        <v>0</v>
      </c>
      <c r="AD574" s="417">
        <v>0</v>
      </c>
      <c r="AE574" s="378">
        <v>1.0340000000000001E-4</v>
      </c>
      <c r="AF574" s="378"/>
      <c r="AG574" s="70">
        <v>268697.94922499987</v>
      </c>
      <c r="AH574" s="70">
        <v>153221.94922499987</v>
      </c>
      <c r="AI574" s="70">
        <v>114298.94922499987</v>
      </c>
      <c r="AJ574" s="417">
        <v>0</v>
      </c>
      <c r="AK574" s="417">
        <v>0</v>
      </c>
      <c r="AL574" s="378">
        <v>1.0340000000000001E-4</v>
      </c>
      <c r="AM574" s="378"/>
      <c r="AN574" s="70">
        <v>0</v>
      </c>
      <c r="AO574" s="70">
        <v>0</v>
      </c>
      <c r="AP574" s="70">
        <v>0</v>
      </c>
      <c r="AQ574" s="417">
        <v>0</v>
      </c>
      <c r="AR574" s="417">
        <v>0</v>
      </c>
    </row>
    <row r="575" spans="1:44">
      <c r="A575" s="439">
        <v>96321</v>
      </c>
      <c r="B575" s="440" t="s">
        <v>1284</v>
      </c>
      <c r="C575" s="437">
        <v>4.5099999999999998E-5</v>
      </c>
      <c r="D575" s="441"/>
      <c r="E575" s="438">
        <v>37485.799025</v>
      </c>
      <c r="F575" s="442">
        <v>27793.673225000002</v>
      </c>
      <c r="G575" s="442">
        <v>9985.8256250000013</v>
      </c>
      <c r="H575" s="442">
        <v>40062.645700000001</v>
      </c>
      <c r="I575" s="442">
        <v>0</v>
      </c>
      <c r="J575" s="443">
        <v>4.7479999999999996E-3</v>
      </c>
      <c r="K575" s="443"/>
      <c r="L575" s="444">
        <v>7266.8276999999998</v>
      </c>
      <c r="M575" s="444">
        <v>2979.6216999999997</v>
      </c>
      <c r="N575" s="444">
        <v>-358.22929999999997</v>
      </c>
      <c r="O575" s="444">
        <v>0</v>
      </c>
      <c r="P575" s="417">
        <v>0</v>
      </c>
      <c r="Q575" s="378">
        <v>4.7479999999999996E-3</v>
      </c>
      <c r="R575" s="378"/>
      <c r="S575" s="70">
        <v>17668.060300000001</v>
      </c>
      <c r="T575" s="105">
        <v>16536.2307</v>
      </c>
      <c r="U575" s="70">
        <v>9824.3133999999991</v>
      </c>
      <c r="V575" s="70">
        <v>40062.645700000001</v>
      </c>
      <c r="W575" s="417">
        <v>0</v>
      </c>
      <c r="X575" s="378">
        <v>4.7479999999999996E-3</v>
      </c>
      <c r="Z575" s="70">
        <v>12693.1695</v>
      </c>
      <c r="AA575" s="70">
        <v>12693.079299999999</v>
      </c>
      <c r="AB575" s="70">
        <v>0</v>
      </c>
      <c r="AC575" s="417">
        <v>0</v>
      </c>
      <c r="AD575" s="417">
        <v>0</v>
      </c>
      <c r="AE575" s="378">
        <v>4.7479999999999996E-3</v>
      </c>
      <c r="AF575" s="378"/>
      <c r="AG575" s="70">
        <v>4792.7415250000013</v>
      </c>
      <c r="AH575" s="70">
        <v>519.74152500000127</v>
      </c>
      <c r="AI575" s="70">
        <v>519.74152500000127</v>
      </c>
      <c r="AJ575" s="417">
        <v>0</v>
      </c>
      <c r="AK575" s="417">
        <v>0</v>
      </c>
      <c r="AL575" s="378">
        <v>4.7479999999999996E-3</v>
      </c>
      <c r="AM575" s="378"/>
      <c r="AN575" s="70">
        <v>-4935</v>
      </c>
      <c r="AO575" s="70">
        <v>-4935</v>
      </c>
      <c r="AP575" s="70">
        <v>0</v>
      </c>
      <c r="AQ575" s="417">
        <v>0</v>
      </c>
      <c r="AR575" s="417">
        <v>0</v>
      </c>
    </row>
    <row r="576" spans="1:44">
      <c r="A576" s="439">
        <v>96331</v>
      </c>
      <c r="B576" s="440" t="s">
        <v>1285</v>
      </c>
      <c r="C576" s="437">
        <v>6.8970000000000001E-4</v>
      </c>
      <c r="D576" s="441"/>
      <c r="E576" s="438">
        <v>527349.33447500004</v>
      </c>
      <c r="F576" s="442">
        <v>474609.36187500006</v>
      </c>
      <c r="G576" s="442">
        <v>149222.20467500004</v>
      </c>
      <c r="H576" s="442">
        <v>612665.33790000004</v>
      </c>
      <c r="I576" s="442">
        <v>0</v>
      </c>
      <c r="J576" s="443">
        <v>2.2500000000000001E-5</v>
      </c>
      <c r="K576" s="443"/>
      <c r="L576" s="444">
        <v>111129.2919</v>
      </c>
      <c r="M576" s="444">
        <v>45566.409899999999</v>
      </c>
      <c r="N576" s="444">
        <v>-5478.2871000000005</v>
      </c>
      <c r="O576" s="444">
        <v>0</v>
      </c>
      <c r="P576" s="417">
        <v>0</v>
      </c>
      <c r="Q576" s="378">
        <v>2.2500000000000001E-5</v>
      </c>
      <c r="R576" s="378"/>
      <c r="S576" s="70">
        <v>270192.0441</v>
      </c>
      <c r="T576" s="105">
        <v>252883.33290000001</v>
      </c>
      <c r="U576" s="70">
        <v>150240.10980000001</v>
      </c>
      <c r="V576" s="70">
        <v>612665.33790000004</v>
      </c>
      <c r="W576" s="417">
        <v>0</v>
      </c>
      <c r="X576" s="378">
        <v>2.2500000000000001E-5</v>
      </c>
      <c r="Z576" s="70">
        <v>194112.6165</v>
      </c>
      <c r="AA576" s="70">
        <v>194111.2371</v>
      </c>
      <c r="AB576" s="70">
        <v>0</v>
      </c>
      <c r="AC576" s="417">
        <v>0</v>
      </c>
      <c r="AD576" s="417">
        <v>0</v>
      </c>
      <c r="AE576" s="378">
        <v>2.2500000000000001E-5</v>
      </c>
      <c r="AF576" s="378"/>
      <c r="AG576" s="70">
        <v>4460.3819750000257</v>
      </c>
      <c r="AH576" s="70">
        <v>4460.3819750000257</v>
      </c>
      <c r="AI576" s="70">
        <v>4460.3819750000257</v>
      </c>
      <c r="AJ576" s="417">
        <v>0</v>
      </c>
      <c r="AK576" s="417">
        <v>0</v>
      </c>
      <c r="AL576" s="378">
        <v>2.2500000000000001E-5</v>
      </c>
      <c r="AM576" s="378"/>
      <c r="AN576" s="70">
        <v>-52545</v>
      </c>
      <c r="AO576" s="70">
        <v>-22412</v>
      </c>
      <c r="AP576" s="70">
        <v>0</v>
      </c>
      <c r="AQ576" s="417">
        <v>0</v>
      </c>
      <c r="AR576" s="417">
        <v>0</v>
      </c>
    </row>
    <row r="577" spans="1:44">
      <c r="A577" s="439">
        <v>96341</v>
      </c>
      <c r="B577" s="440" t="s">
        <v>1286</v>
      </c>
      <c r="C577" s="437">
        <v>8.5099999999999995E-5</v>
      </c>
      <c r="D577" s="441"/>
      <c r="E577" s="438">
        <v>71003.832924999995</v>
      </c>
      <c r="F577" s="442">
        <v>70508.387124999994</v>
      </c>
      <c r="G577" s="442">
        <v>19150.499524999996</v>
      </c>
      <c r="H577" s="442">
        <v>75594.925699999993</v>
      </c>
      <c r="I577" s="442">
        <v>0</v>
      </c>
      <c r="J577" s="443">
        <v>5.1400000000000003E-5</v>
      </c>
      <c r="K577" s="443"/>
      <c r="L577" s="444">
        <v>13711.9077</v>
      </c>
      <c r="M577" s="444">
        <v>5622.3017</v>
      </c>
      <c r="N577" s="444">
        <v>-675.94929999999999</v>
      </c>
      <c r="O577" s="444">
        <v>0</v>
      </c>
      <c r="P577" s="417">
        <v>0</v>
      </c>
      <c r="Q577" s="378">
        <v>5.1400000000000003E-5</v>
      </c>
      <c r="R577" s="378"/>
      <c r="S577" s="70">
        <v>33338.1803</v>
      </c>
      <c r="T577" s="105">
        <v>31202.510699999999</v>
      </c>
      <c r="U577" s="70">
        <v>18537.6734</v>
      </c>
      <c r="V577" s="70">
        <v>75594.925699999993</v>
      </c>
      <c r="W577" s="417">
        <v>0</v>
      </c>
      <c r="X577" s="378">
        <v>5.1400000000000003E-5</v>
      </c>
      <c r="Z577" s="70">
        <v>23950.969499999999</v>
      </c>
      <c r="AA577" s="70">
        <v>23950.799299999999</v>
      </c>
      <c r="AB577" s="70">
        <v>0</v>
      </c>
      <c r="AC577" s="417">
        <v>0</v>
      </c>
      <c r="AD577" s="417">
        <v>0</v>
      </c>
      <c r="AE577" s="378">
        <v>5.1400000000000003E-5</v>
      </c>
      <c r="AF577" s="378"/>
      <c r="AG577" s="70">
        <v>9732.7754249999962</v>
      </c>
      <c r="AH577" s="70">
        <v>9732.7754249999962</v>
      </c>
      <c r="AI577" s="70">
        <v>1288.7754249999962</v>
      </c>
      <c r="AJ577" s="417">
        <v>0</v>
      </c>
      <c r="AK577" s="417">
        <v>0</v>
      </c>
      <c r="AL577" s="378">
        <v>5.1400000000000003E-5</v>
      </c>
      <c r="AM577" s="378"/>
      <c r="AN577" s="70">
        <v>-9730</v>
      </c>
      <c r="AO577" s="70">
        <v>0</v>
      </c>
      <c r="AP577" s="70">
        <v>0</v>
      </c>
      <c r="AQ577" s="417">
        <v>0</v>
      </c>
      <c r="AR577" s="417">
        <v>0</v>
      </c>
    </row>
    <row r="578" spans="1:44">
      <c r="A578" s="439">
        <v>96351</v>
      </c>
      <c r="B578" s="440" t="s">
        <v>1287</v>
      </c>
      <c r="C578" s="437">
        <v>1.0866999999999999E-3</v>
      </c>
      <c r="D578" s="441"/>
      <c r="E578" s="438">
        <v>922396.09547499998</v>
      </c>
      <c r="F578" s="442">
        <v>781420.39687499986</v>
      </c>
      <c r="G578" s="442">
        <v>234955.66767499995</v>
      </c>
      <c r="H578" s="442">
        <v>965323.21689999988</v>
      </c>
      <c r="I578" s="442">
        <v>0</v>
      </c>
      <c r="J578" s="443">
        <v>3.8699999999999999E-5</v>
      </c>
      <c r="K578" s="443"/>
      <c r="L578" s="444">
        <v>175096.71089999998</v>
      </c>
      <c r="M578" s="444">
        <v>71795.008900000001</v>
      </c>
      <c r="N578" s="444">
        <v>-8631.6580999999987</v>
      </c>
      <c r="O578" s="444">
        <v>0</v>
      </c>
      <c r="P578" s="417">
        <v>0</v>
      </c>
      <c r="Q578" s="378">
        <v>3.8699999999999999E-5</v>
      </c>
      <c r="R578" s="378"/>
      <c r="S578" s="70">
        <v>425717.98509999999</v>
      </c>
      <c r="T578" s="105">
        <v>398446.16189999995</v>
      </c>
      <c r="U578" s="70">
        <v>236720.20779999997</v>
      </c>
      <c r="V578" s="70">
        <v>965323.21689999988</v>
      </c>
      <c r="W578" s="417">
        <v>0</v>
      </c>
      <c r="X578" s="378">
        <v>3.8699999999999999E-5</v>
      </c>
      <c r="Z578" s="70">
        <v>305846.28149999998</v>
      </c>
      <c r="AA578" s="70">
        <v>305844.10809999995</v>
      </c>
      <c r="AB578" s="70">
        <v>0</v>
      </c>
      <c r="AC578" s="417">
        <v>0</v>
      </c>
      <c r="AD578" s="417">
        <v>0</v>
      </c>
      <c r="AE578" s="378">
        <v>3.8699999999999999E-5</v>
      </c>
      <c r="AF578" s="378"/>
      <c r="AG578" s="70">
        <v>23165.117974999972</v>
      </c>
      <c r="AH578" s="70">
        <v>6867.1179749999719</v>
      </c>
      <c r="AI578" s="70">
        <v>6867.1179749999719</v>
      </c>
      <c r="AJ578" s="417">
        <v>0</v>
      </c>
      <c r="AK578" s="417">
        <v>0</v>
      </c>
      <c r="AL578" s="378">
        <v>3.8699999999999999E-5</v>
      </c>
      <c r="AM578" s="378"/>
      <c r="AN578" s="70">
        <v>-7430</v>
      </c>
      <c r="AO578" s="70">
        <v>-1532</v>
      </c>
      <c r="AP578" s="70">
        <v>0</v>
      </c>
      <c r="AQ578" s="417">
        <v>0</v>
      </c>
      <c r="AR578" s="417">
        <v>0</v>
      </c>
    </row>
    <row r="579" spans="1:44">
      <c r="A579" s="439">
        <v>96361</v>
      </c>
      <c r="B579" s="440" t="s">
        <v>1288</v>
      </c>
      <c r="C579" s="437">
        <v>6.2000000000000003E-5</v>
      </c>
      <c r="D579" s="441"/>
      <c r="E579" s="438">
        <v>61218.948499999991</v>
      </c>
      <c r="F579" s="442">
        <v>51982.152499999997</v>
      </c>
      <c r="G579" s="442">
        <v>21507.040499999999</v>
      </c>
      <c r="H579" s="442">
        <v>55075.034</v>
      </c>
      <c r="I579" s="442">
        <v>0</v>
      </c>
      <c r="J579" s="443">
        <v>5.6700000000000003E-5</v>
      </c>
      <c r="K579" s="443"/>
      <c r="L579" s="444">
        <v>9989.8739999999998</v>
      </c>
      <c r="M579" s="444">
        <v>4096.1540000000005</v>
      </c>
      <c r="N579" s="444">
        <v>-492.46600000000001</v>
      </c>
      <c r="O579" s="444">
        <v>0</v>
      </c>
      <c r="P579" s="417">
        <v>0</v>
      </c>
      <c r="Q579" s="378">
        <v>5.6700000000000003E-5</v>
      </c>
      <c r="R579" s="378"/>
      <c r="S579" s="70">
        <v>24288.686000000002</v>
      </c>
      <c r="T579" s="105">
        <v>22732.734</v>
      </c>
      <c r="U579" s="70">
        <v>13505.708000000001</v>
      </c>
      <c r="V579" s="70">
        <v>55075.034</v>
      </c>
      <c r="W579" s="417">
        <v>0</v>
      </c>
      <c r="X579" s="378">
        <v>5.6700000000000003E-5</v>
      </c>
      <c r="Z579" s="70">
        <v>17449.59</v>
      </c>
      <c r="AA579" s="70">
        <v>17449.466</v>
      </c>
      <c r="AB579" s="70">
        <v>0</v>
      </c>
      <c r="AC579" s="417">
        <v>0</v>
      </c>
      <c r="AD579" s="417">
        <v>0</v>
      </c>
      <c r="AE579" s="378">
        <v>5.6700000000000003E-5</v>
      </c>
      <c r="AF579" s="378"/>
      <c r="AG579" s="70">
        <v>11394.798499999999</v>
      </c>
      <c r="AH579" s="70">
        <v>8493.798499999999</v>
      </c>
      <c r="AI579" s="70">
        <v>8493.798499999999</v>
      </c>
      <c r="AJ579" s="417">
        <v>0</v>
      </c>
      <c r="AK579" s="417">
        <v>0</v>
      </c>
      <c r="AL579" s="378">
        <v>5.6700000000000003E-5</v>
      </c>
      <c r="AM579" s="378"/>
      <c r="AN579" s="70">
        <v>-1904</v>
      </c>
      <c r="AO579" s="70">
        <v>-790</v>
      </c>
      <c r="AP579" s="70">
        <v>0</v>
      </c>
      <c r="AQ579" s="417">
        <v>0</v>
      </c>
      <c r="AR579" s="417">
        <v>0</v>
      </c>
    </row>
    <row r="580" spans="1:44">
      <c r="A580" s="439">
        <v>96371</v>
      </c>
      <c r="B580" s="440" t="s">
        <v>1289</v>
      </c>
      <c r="C580" s="437">
        <v>1.5440000000000001E-4</v>
      </c>
      <c r="D580" s="441"/>
      <c r="E580" s="438">
        <v>136515.008</v>
      </c>
      <c r="F580" s="442">
        <v>114113.6128</v>
      </c>
      <c r="G580" s="442">
        <v>43517.398400000013</v>
      </c>
      <c r="H580" s="442">
        <v>137154.60080000001</v>
      </c>
      <c r="I580" s="442">
        <v>0</v>
      </c>
      <c r="J580" s="443">
        <v>1.3083000000000001E-3</v>
      </c>
      <c r="K580" s="443"/>
      <c r="L580" s="444">
        <v>24878.008800000003</v>
      </c>
      <c r="M580" s="444">
        <v>10200.7448</v>
      </c>
      <c r="N580" s="444">
        <v>-1226.3992000000001</v>
      </c>
      <c r="O580" s="444">
        <v>0</v>
      </c>
      <c r="P580" s="417">
        <v>0</v>
      </c>
      <c r="Q580" s="378">
        <v>1.3083000000000001E-3</v>
      </c>
      <c r="R580" s="378"/>
      <c r="S580" s="70">
        <v>60486.663200000003</v>
      </c>
      <c r="T580" s="105">
        <v>56611.840800000005</v>
      </c>
      <c r="U580" s="70">
        <v>33633.569600000003</v>
      </c>
      <c r="V580" s="70">
        <v>137154.60080000001</v>
      </c>
      <c r="W580" s="417">
        <v>0</v>
      </c>
      <c r="X580" s="378">
        <v>1.3083000000000001E-3</v>
      </c>
      <c r="Z580" s="70">
        <v>43455.108</v>
      </c>
      <c r="AA580" s="70">
        <v>43454.799200000001</v>
      </c>
      <c r="AB580" s="70">
        <v>0</v>
      </c>
      <c r="AC580" s="417">
        <v>0</v>
      </c>
      <c r="AD580" s="417">
        <v>0</v>
      </c>
      <c r="AE580" s="378">
        <v>1.3083000000000001E-3</v>
      </c>
      <c r="AF580" s="378"/>
      <c r="AG580" s="70">
        <v>14959.22800000001</v>
      </c>
      <c r="AH580" s="70">
        <v>11110.22800000001</v>
      </c>
      <c r="AI580" s="70">
        <v>11110.22800000001</v>
      </c>
      <c r="AJ580" s="417">
        <v>0</v>
      </c>
      <c r="AK580" s="417">
        <v>0</v>
      </c>
      <c r="AL580" s="378">
        <v>1.3083000000000001E-3</v>
      </c>
      <c r="AM580" s="378"/>
      <c r="AN580" s="70">
        <v>-7264</v>
      </c>
      <c r="AO580" s="70">
        <v>-7264</v>
      </c>
      <c r="AP580" s="70">
        <v>0</v>
      </c>
      <c r="AQ580" s="417">
        <v>0</v>
      </c>
      <c r="AR580" s="417">
        <v>0</v>
      </c>
    </row>
    <row r="581" spans="1:44">
      <c r="A581" s="439">
        <v>96381</v>
      </c>
      <c r="B581" s="440" t="s">
        <v>1290</v>
      </c>
      <c r="C581" s="437">
        <v>3.1000000000000001E-5</v>
      </c>
      <c r="D581" s="441"/>
      <c r="E581" s="438">
        <v>27399.565099999993</v>
      </c>
      <c r="F581" s="442">
        <v>24697.667099999999</v>
      </c>
      <c r="G581" s="442">
        <v>11334.111099999998</v>
      </c>
      <c r="H581" s="442">
        <v>27537.517</v>
      </c>
      <c r="I581" s="442">
        <v>0</v>
      </c>
      <c r="J581" s="443">
        <v>8.6000000000000007E-6</v>
      </c>
      <c r="K581" s="443"/>
      <c r="L581" s="444">
        <v>4994.9369999999999</v>
      </c>
      <c r="M581" s="444">
        <v>2048.0770000000002</v>
      </c>
      <c r="N581" s="444">
        <v>-246.233</v>
      </c>
      <c r="O581" s="444">
        <v>0</v>
      </c>
      <c r="P581" s="417">
        <v>0</v>
      </c>
      <c r="Q581" s="378">
        <v>8.6000000000000007E-6</v>
      </c>
      <c r="R581" s="378"/>
      <c r="S581" s="70">
        <v>12144.343000000001</v>
      </c>
      <c r="T581" s="105">
        <v>11366.367</v>
      </c>
      <c r="U581" s="70">
        <v>6752.8540000000003</v>
      </c>
      <c r="V581" s="70">
        <v>27537.517</v>
      </c>
      <c r="W581" s="417">
        <v>0</v>
      </c>
      <c r="X581" s="378">
        <v>8.6000000000000007E-6</v>
      </c>
      <c r="Z581" s="70">
        <v>8724.7950000000001</v>
      </c>
      <c r="AA581" s="70">
        <v>8724.7330000000002</v>
      </c>
      <c r="AB581" s="70">
        <v>0</v>
      </c>
      <c r="AC581" s="417">
        <v>0</v>
      </c>
      <c r="AD581" s="417">
        <v>0</v>
      </c>
      <c r="AE581" s="378">
        <v>8.6000000000000007E-6</v>
      </c>
      <c r="AF581" s="378"/>
      <c r="AG581" s="70">
        <v>4827.4900999999973</v>
      </c>
      <c r="AH581" s="70">
        <v>4827.4900999999973</v>
      </c>
      <c r="AI581" s="70">
        <v>4827.4900999999973</v>
      </c>
      <c r="AJ581" s="417">
        <v>0</v>
      </c>
      <c r="AK581" s="417">
        <v>0</v>
      </c>
      <c r="AL581" s="378">
        <v>8.6000000000000007E-6</v>
      </c>
      <c r="AM581" s="378"/>
      <c r="AN581" s="70">
        <v>-3292</v>
      </c>
      <c r="AO581" s="70">
        <v>-2269</v>
      </c>
      <c r="AP581" s="70">
        <v>0</v>
      </c>
      <c r="AQ581" s="417">
        <v>0</v>
      </c>
      <c r="AR581" s="417">
        <v>0</v>
      </c>
    </row>
    <row r="582" spans="1:44">
      <c r="A582" s="439">
        <v>96391</v>
      </c>
      <c r="B582" s="440" t="s">
        <v>1291</v>
      </c>
      <c r="C582" s="437">
        <v>1.8420000000000001E-4</v>
      </c>
      <c r="D582" s="441"/>
      <c r="E582" s="438">
        <v>119191.85754999999</v>
      </c>
      <c r="F582" s="442">
        <v>106725.75394999998</v>
      </c>
      <c r="G582" s="442">
        <v>42579.114749999972</v>
      </c>
      <c r="H582" s="442">
        <v>163626.14939999999</v>
      </c>
      <c r="I582" s="442">
        <v>0</v>
      </c>
      <c r="J582" s="443">
        <v>2.3858E-3</v>
      </c>
      <c r="K582" s="443"/>
      <c r="L582" s="444">
        <v>29679.593400000002</v>
      </c>
      <c r="M582" s="444">
        <v>12169.5414</v>
      </c>
      <c r="N582" s="444">
        <v>-1463.1006</v>
      </c>
      <c r="O582" s="444">
        <v>0</v>
      </c>
      <c r="P582" s="417">
        <v>0</v>
      </c>
      <c r="Q582" s="378">
        <v>2.3858E-3</v>
      </c>
      <c r="R582" s="378"/>
      <c r="S582" s="70">
        <v>72160.902600000001</v>
      </c>
      <c r="T582" s="105">
        <v>67538.219400000002</v>
      </c>
      <c r="U582" s="70">
        <v>40125.022799999999</v>
      </c>
      <c r="V582" s="70">
        <v>163626.14939999999</v>
      </c>
      <c r="W582" s="417">
        <v>0</v>
      </c>
      <c r="X582" s="378">
        <v>2.3858E-3</v>
      </c>
      <c r="Z582" s="70">
        <v>51842.169000000002</v>
      </c>
      <c r="AA582" s="70">
        <v>51841.800600000002</v>
      </c>
      <c r="AB582" s="70">
        <v>0</v>
      </c>
      <c r="AC582" s="417">
        <v>0</v>
      </c>
      <c r="AD582" s="417">
        <v>0</v>
      </c>
      <c r="AE582" s="378">
        <v>2.3858E-3</v>
      </c>
      <c r="AF582" s="378"/>
      <c r="AG582" s="70">
        <v>3917.1925499999707</v>
      </c>
      <c r="AH582" s="70">
        <v>3917.1925499999707</v>
      </c>
      <c r="AI582" s="70">
        <v>3917.1925499999707</v>
      </c>
      <c r="AJ582" s="417">
        <v>0</v>
      </c>
      <c r="AK582" s="417">
        <v>0</v>
      </c>
      <c r="AL582" s="378">
        <v>2.3858E-3</v>
      </c>
      <c r="AM582" s="378"/>
      <c r="AN582" s="70">
        <v>-38408</v>
      </c>
      <c r="AO582" s="70">
        <v>-28741</v>
      </c>
      <c r="AP582" s="70">
        <v>0</v>
      </c>
      <c r="AQ582" s="417">
        <v>0</v>
      </c>
      <c r="AR582" s="417">
        <v>0</v>
      </c>
    </row>
    <row r="583" spans="1:44">
      <c r="A583" s="439">
        <v>96401</v>
      </c>
      <c r="B583" s="440" t="s">
        <v>1292</v>
      </c>
      <c r="C583" s="437">
        <v>4.2157000000000002E-3</v>
      </c>
      <c r="D583" s="441"/>
      <c r="E583" s="438">
        <v>3488373.3675250001</v>
      </c>
      <c r="F583" s="442">
        <v>3007312.2869250001</v>
      </c>
      <c r="G583" s="442">
        <v>987135.95372500026</v>
      </c>
      <c r="H583" s="442">
        <v>3744835.8199</v>
      </c>
      <c r="I583" s="442">
        <v>0</v>
      </c>
      <c r="J583" s="443">
        <v>4.2299999999999998E-5</v>
      </c>
      <c r="K583" s="443"/>
      <c r="L583" s="444">
        <v>679263.09389999998</v>
      </c>
      <c r="M583" s="444">
        <v>278518.6519</v>
      </c>
      <c r="N583" s="444">
        <v>-33485.305099999998</v>
      </c>
      <c r="O583" s="444">
        <v>0</v>
      </c>
      <c r="P583" s="417">
        <v>0</v>
      </c>
      <c r="Q583" s="378">
        <v>4.2299999999999998E-5</v>
      </c>
      <c r="R583" s="378"/>
      <c r="S583" s="70">
        <v>1651513.1221</v>
      </c>
      <c r="T583" s="105">
        <v>1545715.9149</v>
      </c>
      <c r="U583" s="70">
        <v>918322.79379999998</v>
      </c>
      <c r="V583" s="70">
        <v>3744835.8199</v>
      </c>
      <c r="W583" s="417">
        <v>0</v>
      </c>
      <c r="X583" s="378">
        <v>4.2299999999999998E-5</v>
      </c>
      <c r="Z583" s="70">
        <v>1186487.6865000001</v>
      </c>
      <c r="AA583" s="70">
        <v>1186479.2551</v>
      </c>
      <c r="AB583" s="70">
        <v>0</v>
      </c>
      <c r="AC583" s="417">
        <v>0</v>
      </c>
      <c r="AD583" s="417">
        <v>0</v>
      </c>
      <c r="AE583" s="378">
        <v>4.2299999999999998E-5</v>
      </c>
      <c r="AF583" s="378"/>
      <c r="AG583" s="70">
        <v>102298.46502500027</v>
      </c>
      <c r="AH583" s="70">
        <v>102298.46502500027</v>
      </c>
      <c r="AI583" s="70">
        <v>102298.46502500027</v>
      </c>
      <c r="AJ583" s="417">
        <v>0</v>
      </c>
      <c r="AK583" s="417">
        <v>0</v>
      </c>
      <c r="AL583" s="378">
        <v>4.2299999999999998E-5</v>
      </c>
      <c r="AM583" s="378"/>
      <c r="AN583" s="70">
        <v>-131189</v>
      </c>
      <c r="AO583" s="70">
        <v>-105700</v>
      </c>
      <c r="AP583" s="70">
        <v>0</v>
      </c>
      <c r="AQ583" s="417">
        <v>0</v>
      </c>
      <c r="AR583" s="417">
        <v>0</v>
      </c>
    </row>
    <row r="584" spans="1:44">
      <c r="A584" s="439">
        <v>96404</v>
      </c>
      <c r="B584" s="440" t="s">
        <v>1293</v>
      </c>
      <c r="C584" s="437">
        <v>1.094E-4</v>
      </c>
      <c r="D584" s="441"/>
      <c r="E584" s="438">
        <v>116922.96734999999</v>
      </c>
      <c r="F584" s="442">
        <v>97772.682149999993</v>
      </c>
      <c r="G584" s="442">
        <v>32164.887749999994</v>
      </c>
      <c r="H584" s="442">
        <v>97180.785799999998</v>
      </c>
      <c r="I584" s="442">
        <v>0</v>
      </c>
      <c r="J584" s="443">
        <v>6.6549999999999997E-4</v>
      </c>
      <c r="K584" s="443"/>
      <c r="L584" s="444">
        <v>17627.293799999999</v>
      </c>
      <c r="M584" s="444">
        <v>7227.7298000000001</v>
      </c>
      <c r="N584" s="444">
        <v>-868.96420000000001</v>
      </c>
      <c r="O584" s="444">
        <v>0</v>
      </c>
      <c r="P584" s="417">
        <v>0</v>
      </c>
      <c r="Q584" s="378">
        <v>6.6549999999999997E-4</v>
      </c>
      <c r="R584" s="378"/>
      <c r="S584" s="70">
        <v>42857.778200000001</v>
      </c>
      <c r="T584" s="105">
        <v>40112.275800000003</v>
      </c>
      <c r="U584" s="70">
        <v>23831.0396</v>
      </c>
      <c r="V584" s="70">
        <v>97180.785799999998</v>
      </c>
      <c r="W584" s="417">
        <v>0</v>
      </c>
      <c r="X584" s="378">
        <v>6.6549999999999997E-4</v>
      </c>
      <c r="Z584" s="70">
        <v>30790.083000000002</v>
      </c>
      <c r="AA584" s="70">
        <v>30789.8642</v>
      </c>
      <c r="AB584" s="70">
        <v>0</v>
      </c>
      <c r="AC584" s="417">
        <v>0</v>
      </c>
      <c r="AD584" s="417">
        <v>0</v>
      </c>
      <c r="AE584" s="378">
        <v>6.6549999999999997E-4</v>
      </c>
      <c r="AF584" s="378"/>
      <c r="AG584" s="70">
        <v>25647.812349999993</v>
      </c>
      <c r="AH584" s="70">
        <v>19642.812349999993</v>
      </c>
      <c r="AI584" s="70">
        <v>9202.8123499999929</v>
      </c>
      <c r="AJ584" s="417">
        <v>0</v>
      </c>
      <c r="AK584" s="417">
        <v>0</v>
      </c>
      <c r="AL584" s="378">
        <v>6.6549999999999997E-4</v>
      </c>
      <c r="AM584" s="378"/>
      <c r="AN584" s="70">
        <v>0</v>
      </c>
      <c r="AO584" s="70">
        <v>0</v>
      </c>
      <c r="AP584" s="70">
        <v>0</v>
      </c>
      <c r="AQ584" s="417">
        <v>0</v>
      </c>
      <c r="AR584" s="417">
        <v>0</v>
      </c>
    </row>
    <row r="585" spans="1:44">
      <c r="A585" s="439">
        <v>96405</v>
      </c>
      <c r="B585" s="440" t="s">
        <v>1294</v>
      </c>
      <c r="C585" s="437">
        <v>1.2310000000000001E-4</v>
      </c>
      <c r="D585" s="441"/>
      <c r="E585" s="438">
        <v>109137.932275</v>
      </c>
      <c r="F585" s="442">
        <v>92868.482474999997</v>
      </c>
      <c r="G585" s="442">
        <v>20477.106874999998</v>
      </c>
      <c r="H585" s="442">
        <v>109350.5917</v>
      </c>
      <c r="I585" s="442">
        <v>0</v>
      </c>
      <c r="J585" s="443">
        <v>7.8499999999999997E-5</v>
      </c>
      <c r="K585" s="443"/>
      <c r="L585" s="444">
        <v>19834.733700000001</v>
      </c>
      <c r="M585" s="444">
        <v>8132.8477000000003</v>
      </c>
      <c r="N585" s="444">
        <v>-977.78330000000005</v>
      </c>
      <c r="O585" s="444">
        <v>0</v>
      </c>
      <c r="P585" s="417">
        <v>0</v>
      </c>
      <c r="Q585" s="378">
        <v>7.8499999999999997E-5</v>
      </c>
      <c r="R585" s="378"/>
      <c r="S585" s="70">
        <v>48224.794300000001</v>
      </c>
      <c r="T585" s="105">
        <v>45135.476700000007</v>
      </c>
      <c r="U585" s="70">
        <v>26815.365400000002</v>
      </c>
      <c r="V585" s="70">
        <v>109350.5917</v>
      </c>
      <c r="W585" s="417">
        <v>0</v>
      </c>
      <c r="X585" s="378">
        <v>7.8499999999999997E-5</v>
      </c>
      <c r="Z585" s="70">
        <v>34645.879500000003</v>
      </c>
      <c r="AA585" s="70">
        <v>34645.633300000001</v>
      </c>
      <c r="AB585" s="70">
        <v>0</v>
      </c>
      <c r="AC585" s="417">
        <v>0</v>
      </c>
      <c r="AD585" s="417">
        <v>0</v>
      </c>
      <c r="AE585" s="378">
        <v>7.8499999999999997E-5</v>
      </c>
      <c r="AF585" s="378"/>
      <c r="AG585" s="70">
        <v>16642</v>
      </c>
      <c r="AH585" s="70">
        <v>10315</v>
      </c>
      <c r="AI585" s="70">
        <v>0</v>
      </c>
      <c r="AJ585" s="417">
        <v>0</v>
      </c>
      <c r="AK585" s="417">
        <v>0</v>
      </c>
      <c r="AL585" s="378">
        <v>7.8499999999999997E-5</v>
      </c>
      <c r="AM585" s="378"/>
      <c r="AN585" s="70">
        <v>-10209.475225000006</v>
      </c>
      <c r="AO585" s="70">
        <v>-5360.4752250000056</v>
      </c>
      <c r="AP585" s="70">
        <v>-5360.4752250000056</v>
      </c>
      <c r="AQ585" s="417">
        <v>0</v>
      </c>
      <c r="AR585" s="417">
        <v>0</v>
      </c>
    </row>
    <row r="586" spans="1:44">
      <c r="A586" s="439">
        <v>96411</v>
      </c>
      <c r="B586" s="440" t="s">
        <v>1295</v>
      </c>
      <c r="C586" s="437">
        <v>5.5399999999999998E-5</v>
      </c>
      <c r="D586" s="441"/>
      <c r="E586" s="438">
        <v>35343.712849999996</v>
      </c>
      <c r="F586" s="442">
        <v>31817.959649999993</v>
      </c>
      <c r="G586" s="442">
        <v>5412.0692499999968</v>
      </c>
      <c r="H586" s="442">
        <v>49212.207799999996</v>
      </c>
      <c r="I586" s="442">
        <v>0</v>
      </c>
      <c r="J586" s="443">
        <v>1.0480000000000001E-3</v>
      </c>
      <c r="K586" s="443"/>
      <c r="L586" s="444">
        <v>8926.4357999999993</v>
      </c>
      <c r="M586" s="444">
        <v>3660.1117999999997</v>
      </c>
      <c r="N586" s="444">
        <v>-440.04219999999998</v>
      </c>
      <c r="O586" s="444">
        <v>0</v>
      </c>
      <c r="P586" s="417">
        <v>0</v>
      </c>
      <c r="Q586" s="378">
        <v>1.0480000000000001E-3</v>
      </c>
      <c r="R586" s="378"/>
      <c r="S586" s="70">
        <v>21703.1162</v>
      </c>
      <c r="T586" s="105">
        <v>20312.7978</v>
      </c>
      <c r="U586" s="70">
        <v>12068.0036</v>
      </c>
      <c r="V586" s="70">
        <v>49212.207799999996</v>
      </c>
      <c r="W586" s="417">
        <v>0</v>
      </c>
      <c r="X586" s="378">
        <v>1.0480000000000001E-3</v>
      </c>
      <c r="Z586" s="70">
        <v>15592.053</v>
      </c>
      <c r="AA586" s="70">
        <v>15591.9422</v>
      </c>
      <c r="AB586" s="70">
        <v>0</v>
      </c>
      <c r="AC586" s="417">
        <v>0</v>
      </c>
      <c r="AD586" s="417">
        <v>0</v>
      </c>
      <c r="AE586" s="378">
        <v>1.0480000000000001E-3</v>
      </c>
      <c r="AF586" s="378"/>
      <c r="AG586" s="70">
        <v>0</v>
      </c>
      <c r="AH586" s="70">
        <v>0</v>
      </c>
      <c r="AI586" s="70">
        <v>0</v>
      </c>
      <c r="AJ586" s="417">
        <v>0</v>
      </c>
      <c r="AK586" s="417">
        <v>0</v>
      </c>
      <c r="AL586" s="378">
        <v>1.0480000000000001E-3</v>
      </c>
      <c r="AM586" s="378"/>
      <c r="AN586" s="70">
        <v>-10877.892150000003</v>
      </c>
      <c r="AO586" s="70">
        <v>-7746.8921500000033</v>
      </c>
      <c r="AP586" s="70">
        <v>-6215.8921500000033</v>
      </c>
      <c r="AQ586" s="417">
        <v>0</v>
      </c>
      <c r="AR586" s="417">
        <v>0</v>
      </c>
    </row>
    <row r="587" spans="1:44">
      <c r="A587" s="439">
        <v>96421</v>
      </c>
      <c r="B587" s="440" t="s">
        <v>1296</v>
      </c>
      <c r="C587" s="437">
        <v>4.2279999999999998E-4</v>
      </c>
      <c r="D587" s="441"/>
      <c r="E587" s="438">
        <v>329296.57439999998</v>
      </c>
      <c r="F587" s="442">
        <v>286765.772</v>
      </c>
      <c r="G587" s="442">
        <v>66398.879199999996</v>
      </c>
      <c r="H587" s="442">
        <v>375576.19959999999</v>
      </c>
      <c r="I587" s="442">
        <v>0</v>
      </c>
      <c r="J587" s="443">
        <v>4.5000000000000003E-5</v>
      </c>
      <c r="K587" s="443"/>
      <c r="L587" s="444">
        <v>68124.495599999995</v>
      </c>
      <c r="M587" s="444">
        <v>27933.1276</v>
      </c>
      <c r="N587" s="444">
        <v>-3358.3003999999996</v>
      </c>
      <c r="O587" s="444">
        <v>0</v>
      </c>
      <c r="P587" s="417">
        <v>0</v>
      </c>
      <c r="Q587" s="378">
        <v>4.5000000000000003E-5</v>
      </c>
      <c r="R587" s="378"/>
      <c r="S587" s="70">
        <v>165633.1684</v>
      </c>
      <c r="T587" s="105">
        <v>155022.5796</v>
      </c>
      <c r="U587" s="70">
        <v>92100.215199999991</v>
      </c>
      <c r="V587" s="70">
        <v>375576.19959999999</v>
      </c>
      <c r="W587" s="417">
        <v>0</v>
      </c>
      <c r="X587" s="378">
        <v>4.5000000000000003E-5</v>
      </c>
      <c r="Z587" s="70">
        <v>118994.946</v>
      </c>
      <c r="AA587" s="70">
        <v>118994.1004</v>
      </c>
      <c r="AB587" s="70">
        <v>0</v>
      </c>
      <c r="AC587" s="417">
        <v>0</v>
      </c>
      <c r="AD587" s="417">
        <v>0</v>
      </c>
      <c r="AE587" s="378">
        <v>4.5000000000000003E-5</v>
      </c>
      <c r="AF587" s="378"/>
      <c r="AG587" s="70">
        <v>13242</v>
      </c>
      <c r="AH587" s="70">
        <v>7159</v>
      </c>
      <c r="AI587" s="70">
        <v>0</v>
      </c>
      <c r="AJ587" s="417">
        <v>0</v>
      </c>
      <c r="AK587" s="417">
        <v>0</v>
      </c>
      <c r="AL587" s="378">
        <v>4.5000000000000003E-5</v>
      </c>
      <c r="AM587" s="378"/>
      <c r="AN587" s="70">
        <v>-36698.035600000003</v>
      </c>
      <c r="AO587" s="70">
        <v>-22343.035600000003</v>
      </c>
      <c r="AP587" s="70">
        <v>-22343.035600000003</v>
      </c>
      <c r="AQ587" s="417">
        <v>0</v>
      </c>
      <c r="AR587" s="417">
        <v>0</v>
      </c>
    </row>
    <row r="588" spans="1:44">
      <c r="A588" s="439">
        <v>96431</v>
      </c>
      <c r="B588" s="440" t="s">
        <v>1297</v>
      </c>
      <c r="C588" s="437">
        <v>4.6199999999999998E-5</v>
      </c>
      <c r="D588" s="441"/>
      <c r="E588" s="438">
        <v>51226.439150000006</v>
      </c>
      <c r="F588" s="442">
        <v>36253.13955</v>
      </c>
      <c r="G588" s="442">
        <v>13379.588350000004</v>
      </c>
      <c r="H588" s="442">
        <v>41039.7834</v>
      </c>
      <c r="I588" s="442">
        <v>0</v>
      </c>
      <c r="J588" s="443">
        <v>1.384E-4</v>
      </c>
      <c r="K588" s="443"/>
      <c r="L588" s="444">
        <v>7444.0673999999999</v>
      </c>
      <c r="M588" s="444">
        <v>3052.2954</v>
      </c>
      <c r="N588" s="444">
        <v>-366.96659999999997</v>
      </c>
      <c r="O588" s="444">
        <v>0</v>
      </c>
      <c r="P588" s="417">
        <v>0</v>
      </c>
      <c r="Q588" s="378">
        <v>1.384E-4</v>
      </c>
      <c r="R588" s="378"/>
      <c r="S588" s="70">
        <v>18098.988600000001</v>
      </c>
      <c r="T588" s="105">
        <v>16939.553400000001</v>
      </c>
      <c r="U588" s="70">
        <v>10063.9308</v>
      </c>
      <c r="V588" s="70">
        <v>41039.7834</v>
      </c>
      <c r="W588" s="417">
        <v>0</v>
      </c>
      <c r="X588" s="378">
        <v>1.384E-4</v>
      </c>
      <c r="Z588" s="70">
        <v>13002.759</v>
      </c>
      <c r="AA588" s="70">
        <v>13002.666599999999</v>
      </c>
      <c r="AB588" s="70">
        <v>0</v>
      </c>
      <c r="AC588" s="417">
        <v>0</v>
      </c>
      <c r="AD588" s="417">
        <v>0</v>
      </c>
      <c r="AE588" s="378">
        <v>1.384E-4</v>
      </c>
      <c r="AF588" s="378"/>
      <c r="AG588" s="70">
        <v>13104.624150000003</v>
      </c>
      <c r="AH588" s="70">
        <v>3682.6241500000033</v>
      </c>
      <c r="AI588" s="70">
        <v>3682.6241500000033</v>
      </c>
      <c r="AJ588" s="417">
        <v>0</v>
      </c>
      <c r="AK588" s="417">
        <v>0</v>
      </c>
      <c r="AL588" s="378">
        <v>1.384E-4</v>
      </c>
      <c r="AM588" s="378"/>
      <c r="AN588" s="70">
        <v>-424</v>
      </c>
      <c r="AO588" s="70">
        <v>-424</v>
      </c>
      <c r="AP588" s="70">
        <v>0</v>
      </c>
      <c r="AQ588" s="417">
        <v>0</v>
      </c>
      <c r="AR588" s="417">
        <v>0</v>
      </c>
    </row>
    <row r="589" spans="1:44">
      <c r="A589" s="439">
        <v>96441</v>
      </c>
      <c r="B589" s="440" t="s">
        <v>1298</v>
      </c>
      <c r="C589" s="437">
        <v>3.1000000000000001E-5</v>
      </c>
      <c r="D589" s="441"/>
      <c r="E589" s="438">
        <v>30286.013899999994</v>
      </c>
      <c r="F589" s="442">
        <v>23206.115899999997</v>
      </c>
      <c r="G589" s="442">
        <v>7450.5598999999966</v>
      </c>
      <c r="H589" s="442">
        <v>27537.517</v>
      </c>
      <c r="I589" s="442">
        <v>0</v>
      </c>
      <c r="J589" s="443">
        <v>2.4300000000000001E-5</v>
      </c>
      <c r="K589" s="443"/>
      <c r="L589" s="444">
        <v>4994.9369999999999</v>
      </c>
      <c r="M589" s="444">
        <v>2048.0770000000002</v>
      </c>
      <c r="N589" s="444">
        <v>-246.233</v>
      </c>
      <c r="O589" s="444">
        <v>0</v>
      </c>
      <c r="P589" s="417">
        <v>0</v>
      </c>
      <c r="Q589" s="378">
        <v>2.4300000000000001E-5</v>
      </c>
      <c r="R589" s="378"/>
      <c r="S589" s="70">
        <v>12144.343000000001</v>
      </c>
      <c r="T589" s="105">
        <v>11366.367</v>
      </c>
      <c r="U589" s="70">
        <v>6752.8540000000003</v>
      </c>
      <c r="V589" s="70">
        <v>27537.517</v>
      </c>
      <c r="W589" s="417">
        <v>0</v>
      </c>
      <c r="X589" s="378">
        <v>2.4300000000000001E-5</v>
      </c>
      <c r="Z589" s="70">
        <v>8724.7950000000001</v>
      </c>
      <c r="AA589" s="70">
        <v>8724.7330000000002</v>
      </c>
      <c r="AB589" s="70">
        <v>0</v>
      </c>
      <c r="AC589" s="417">
        <v>0</v>
      </c>
      <c r="AD589" s="417">
        <v>0</v>
      </c>
      <c r="AE589" s="378">
        <v>2.4300000000000001E-5</v>
      </c>
      <c r="AF589" s="378"/>
      <c r="AG589" s="70">
        <v>5420.9388999999965</v>
      </c>
      <c r="AH589" s="70">
        <v>1066.9388999999965</v>
      </c>
      <c r="AI589" s="70">
        <v>943.93889999999647</v>
      </c>
      <c r="AJ589" s="417">
        <v>0</v>
      </c>
      <c r="AK589" s="417">
        <v>0</v>
      </c>
      <c r="AL589" s="378">
        <v>2.4300000000000001E-5</v>
      </c>
      <c r="AM589" s="378"/>
      <c r="AN589" s="70">
        <v>-999</v>
      </c>
      <c r="AO589" s="70">
        <v>0</v>
      </c>
      <c r="AP589" s="70">
        <v>0</v>
      </c>
      <c r="AQ589" s="417">
        <v>0</v>
      </c>
      <c r="AR589" s="417">
        <v>0</v>
      </c>
    </row>
    <row r="590" spans="1:44">
      <c r="A590" s="439">
        <v>96451</v>
      </c>
      <c r="B590" s="440" t="s">
        <v>1299</v>
      </c>
      <c r="C590" s="437">
        <v>1.1199999999999999E-5</v>
      </c>
      <c r="D590" s="441"/>
      <c r="E590" s="438">
        <v>11069.460450000002</v>
      </c>
      <c r="F590" s="442">
        <v>7917.69085</v>
      </c>
      <c r="G590" s="442">
        <v>2377.7996500000008</v>
      </c>
      <c r="H590" s="442">
        <v>9949.0383999999995</v>
      </c>
      <c r="I590" s="442">
        <v>0</v>
      </c>
      <c r="J590" s="443">
        <v>1.696E-4</v>
      </c>
      <c r="K590" s="443"/>
      <c r="L590" s="444">
        <v>1804.6224</v>
      </c>
      <c r="M590" s="444">
        <v>739.95039999999995</v>
      </c>
      <c r="N590" s="444">
        <v>-88.96159999999999</v>
      </c>
      <c r="O590" s="444">
        <v>0</v>
      </c>
      <c r="P590" s="417">
        <v>0</v>
      </c>
      <c r="Q590" s="378">
        <v>1.696E-4</v>
      </c>
      <c r="R590" s="378"/>
      <c r="S590" s="70">
        <v>4387.6336000000001</v>
      </c>
      <c r="T590" s="105">
        <v>4106.5583999999999</v>
      </c>
      <c r="U590" s="70">
        <v>2439.7408</v>
      </c>
      <c r="V590" s="70">
        <v>9949.0383999999995</v>
      </c>
      <c r="W590" s="417">
        <v>0</v>
      </c>
      <c r="X590" s="378">
        <v>1.696E-4</v>
      </c>
      <c r="Z590" s="70">
        <v>3152.1839999999997</v>
      </c>
      <c r="AA590" s="70">
        <v>3152.1615999999999</v>
      </c>
      <c r="AB590" s="70">
        <v>0</v>
      </c>
      <c r="AC590" s="417">
        <v>0</v>
      </c>
      <c r="AD590" s="417">
        <v>0</v>
      </c>
      <c r="AE590" s="378">
        <v>1.696E-4</v>
      </c>
      <c r="AF590" s="378"/>
      <c r="AG590" s="70">
        <v>3401.0204500000009</v>
      </c>
      <c r="AH590" s="70">
        <v>27.020450000000892</v>
      </c>
      <c r="AI590" s="70">
        <v>27.020450000000892</v>
      </c>
      <c r="AJ590" s="417">
        <v>0</v>
      </c>
      <c r="AK590" s="417">
        <v>0</v>
      </c>
      <c r="AL590" s="378">
        <v>1.696E-4</v>
      </c>
      <c r="AM590" s="378"/>
      <c r="AN590" s="70">
        <v>-1676</v>
      </c>
      <c r="AO590" s="70">
        <v>-108</v>
      </c>
      <c r="AP590" s="70">
        <v>0</v>
      </c>
      <c r="AQ590" s="417">
        <v>0</v>
      </c>
      <c r="AR590" s="417">
        <v>0</v>
      </c>
    </row>
    <row r="591" spans="1:44">
      <c r="A591" s="439">
        <v>96461</v>
      </c>
      <c r="B591" s="440" t="s">
        <v>1300</v>
      </c>
      <c r="C591" s="437">
        <v>1.527E-4</v>
      </c>
      <c r="D591" s="441"/>
      <c r="E591" s="438">
        <v>125079.85212499998</v>
      </c>
      <c r="F591" s="442">
        <v>115616.72552499999</v>
      </c>
      <c r="G591" s="442">
        <v>23549.780324999992</v>
      </c>
      <c r="H591" s="442">
        <v>135644.47889999999</v>
      </c>
      <c r="I591" s="442">
        <v>0</v>
      </c>
      <c r="J591" s="443">
        <v>4.0784000000000003E-3</v>
      </c>
      <c r="K591" s="443"/>
      <c r="L591" s="444">
        <v>24604.0929</v>
      </c>
      <c r="M591" s="444">
        <v>10088.430899999999</v>
      </c>
      <c r="N591" s="444">
        <v>-1212.8960999999999</v>
      </c>
      <c r="O591" s="444">
        <v>0</v>
      </c>
      <c r="P591" s="417">
        <v>0</v>
      </c>
      <c r="Q591" s="378">
        <v>4.0784000000000003E-3</v>
      </c>
      <c r="R591" s="378"/>
      <c r="S591" s="70">
        <v>59820.683100000002</v>
      </c>
      <c r="T591" s="105">
        <v>55988.5239</v>
      </c>
      <c r="U591" s="70">
        <v>33263.251799999998</v>
      </c>
      <c r="V591" s="70">
        <v>135644.47889999999</v>
      </c>
      <c r="W591" s="417">
        <v>0</v>
      </c>
      <c r="X591" s="378">
        <v>4.0784000000000003E-3</v>
      </c>
      <c r="Z591" s="70">
        <v>42976.6515</v>
      </c>
      <c r="AA591" s="70">
        <v>42976.346100000002</v>
      </c>
      <c r="AB591" s="70">
        <v>0</v>
      </c>
      <c r="AC591" s="417">
        <v>0</v>
      </c>
      <c r="AD591" s="417">
        <v>0</v>
      </c>
      <c r="AE591" s="378">
        <v>4.0784000000000003E-3</v>
      </c>
      <c r="AF591" s="378"/>
      <c r="AG591" s="70">
        <v>15064</v>
      </c>
      <c r="AH591" s="70">
        <v>15064</v>
      </c>
      <c r="AI591" s="70">
        <v>0</v>
      </c>
      <c r="AJ591" s="417">
        <v>0</v>
      </c>
      <c r="AK591" s="417">
        <v>0</v>
      </c>
      <c r="AL591" s="378">
        <v>4.0784000000000003E-3</v>
      </c>
      <c r="AM591" s="378"/>
      <c r="AN591" s="70">
        <v>-17385.575375000008</v>
      </c>
      <c r="AO591" s="70">
        <v>-8500.5753750000076</v>
      </c>
      <c r="AP591" s="70">
        <v>-8500.5753750000076</v>
      </c>
      <c r="AQ591" s="417">
        <v>0</v>
      </c>
      <c r="AR591" s="417">
        <v>0</v>
      </c>
    </row>
    <row r="592" spans="1:44">
      <c r="A592" s="439">
        <v>96501</v>
      </c>
      <c r="B592" s="440" t="s">
        <v>1301</v>
      </c>
      <c r="C592" s="437">
        <v>1.4519799999999999E-2</v>
      </c>
      <c r="D592" s="441"/>
      <c r="E592" s="438">
        <v>12075847.625549998</v>
      </c>
      <c r="F592" s="442">
        <v>10272465.49715</v>
      </c>
      <c r="G592" s="442">
        <v>3213138.8323499993</v>
      </c>
      <c r="H592" s="442">
        <v>12898039.978599999</v>
      </c>
      <c r="I592" s="442">
        <v>0</v>
      </c>
      <c r="J592" s="443">
        <v>1.032E-4</v>
      </c>
      <c r="K592" s="443"/>
      <c r="L592" s="444">
        <v>2339531.8145999997</v>
      </c>
      <c r="M592" s="444">
        <v>959279.62659999996</v>
      </c>
      <c r="N592" s="444">
        <v>-115330.7714</v>
      </c>
      <c r="O592" s="444">
        <v>0</v>
      </c>
      <c r="P592" s="417">
        <v>0</v>
      </c>
      <c r="Q592" s="378">
        <v>1.032E-4</v>
      </c>
      <c r="R592" s="378"/>
      <c r="S592" s="70">
        <v>5688175.2094000001</v>
      </c>
      <c r="T592" s="105">
        <v>5323786.3086000001</v>
      </c>
      <c r="U592" s="70">
        <v>3162906.1132</v>
      </c>
      <c r="V592" s="70">
        <v>12898039.978599999</v>
      </c>
      <c r="W592" s="417">
        <v>0</v>
      </c>
      <c r="X592" s="378">
        <v>1.032E-4</v>
      </c>
      <c r="Z592" s="70">
        <v>4086525.111</v>
      </c>
      <c r="AA592" s="70">
        <v>4086496.0713999998</v>
      </c>
      <c r="AB592" s="70">
        <v>0</v>
      </c>
      <c r="AC592" s="417">
        <v>0</v>
      </c>
      <c r="AD592" s="417">
        <v>0</v>
      </c>
      <c r="AE592" s="378">
        <v>1.032E-4</v>
      </c>
      <c r="AF592" s="378"/>
      <c r="AG592" s="70">
        <v>224275.49054999929</v>
      </c>
      <c r="AH592" s="70">
        <v>165563.49054999929</v>
      </c>
      <c r="AI592" s="70">
        <v>165563.49054999929</v>
      </c>
      <c r="AJ592" s="417">
        <v>0</v>
      </c>
      <c r="AK592" s="417">
        <v>0</v>
      </c>
      <c r="AL592" s="378">
        <v>1.032E-4</v>
      </c>
      <c r="AM592" s="378"/>
      <c r="AN592" s="70">
        <v>-262660</v>
      </c>
      <c r="AO592" s="70">
        <v>-262660</v>
      </c>
      <c r="AP592" s="70">
        <v>0</v>
      </c>
      <c r="AQ592" s="417">
        <v>0</v>
      </c>
      <c r="AR592" s="417">
        <v>0</v>
      </c>
    </row>
    <row r="593" spans="1:47">
      <c r="A593" s="439">
        <v>96502</v>
      </c>
      <c r="B593" s="440" t="s">
        <v>1302</v>
      </c>
      <c r="C593" s="437">
        <v>3.3349999999999997E-4</v>
      </c>
      <c r="D593" s="441"/>
      <c r="E593" s="438">
        <v>268920.10007499997</v>
      </c>
      <c r="F593" s="442">
        <v>249725.407075</v>
      </c>
      <c r="G593" s="442">
        <v>72077.361074999993</v>
      </c>
      <c r="H593" s="442">
        <v>296250.38449999999</v>
      </c>
      <c r="I593" s="442">
        <v>0</v>
      </c>
      <c r="J593" s="443">
        <v>1.3880000000000001E-4</v>
      </c>
      <c r="K593" s="443"/>
      <c r="L593" s="444">
        <v>53735.854499999994</v>
      </c>
      <c r="M593" s="444">
        <v>22033.344499999999</v>
      </c>
      <c r="N593" s="444">
        <v>-2648.9904999999999</v>
      </c>
      <c r="O593" s="444">
        <v>0</v>
      </c>
      <c r="P593" s="417">
        <v>0</v>
      </c>
      <c r="Q593" s="378">
        <v>1.3880000000000001E-4</v>
      </c>
      <c r="R593" s="378"/>
      <c r="S593" s="70">
        <v>130649.62549999999</v>
      </c>
      <c r="T593" s="105">
        <v>122280.10949999999</v>
      </c>
      <c r="U593" s="70">
        <v>72647.638999999996</v>
      </c>
      <c r="V593" s="70">
        <v>296250.38449999999</v>
      </c>
      <c r="W593" s="417">
        <v>0</v>
      </c>
      <c r="X593" s="378">
        <v>1.3880000000000001E-4</v>
      </c>
      <c r="Z593" s="70">
        <v>93861.907499999987</v>
      </c>
      <c r="AA593" s="70">
        <v>93861.2405</v>
      </c>
      <c r="AB593" s="70">
        <v>0</v>
      </c>
      <c r="AC593" s="417">
        <v>0</v>
      </c>
      <c r="AD593" s="417">
        <v>0</v>
      </c>
      <c r="AE593" s="378">
        <v>1.3880000000000001E-4</v>
      </c>
      <c r="AF593" s="378"/>
      <c r="AG593" s="70">
        <v>14947.712574999998</v>
      </c>
      <c r="AH593" s="70">
        <v>11550.712574999998</v>
      </c>
      <c r="AI593" s="70">
        <v>2078.7125749999977</v>
      </c>
      <c r="AJ593" s="417">
        <v>0</v>
      </c>
      <c r="AK593" s="417">
        <v>0</v>
      </c>
      <c r="AL593" s="378">
        <v>1.3880000000000001E-4</v>
      </c>
      <c r="AM593" s="378"/>
      <c r="AN593" s="70">
        <v>-24275</v>
      </c>
      <c r="AO593" s="70">
        <v>0</v>
      </c>
      <c r="AP593" s="70">
        <v>0</v>
      </c>
      <c r="AQ593" s="417">
        <v>0</v>
      </c>
      <c r="AR593" s="417">
        <v>0</v>
      </c>
    </row>
    <row r="594" spans="1:47">
      <c r="A594" s="439">
        <v>96503</v>
      </c>
      <c r="B594" s="440" t="s">
        <v>1303</v>
      </c>
      <c r="C594" s="437">
        <v>2.9169999999999999E-4</v>
      </c>
      <c r="D594" s="441"/>
      <c r="E594" s="438">
        <v>426857.19947499997</v>
      </c>
      <c r="F594" s="442">
        <v>346448.11087500001</v>
      </c>
      <c r="G594" s="442">
        <v>120692.801675</v>
      </c>
      <c r="H594" s="442">
        <v>259119.1519</v>
      </c>
      <c r="I594" s="442">
        <v>0</v>
      </c>
      <c r="J594" s="443">
        <v>6.8200000000000004E-5</v>
      </c>
      <c r="K594" s="443"/>
      <c r="L594" s="444">
        <v>47000.745900000002</v>
      </c>
      <c r="M594" s="444">
        <v>19271.743899999998</v>
      </c>
      <c r="N594" s="444">
        <v>-2316.9730999999997</v>
      </c>
      <c r="O594" s="444">
        <v>0</v>
      </c>
      <c r="P594" s="417">
        <v>0</v>
      </c>
      <c r="Q594" s="378">
        <v>6.8200000000000004E-5</v>
      </c>
      <c r="R594" s="378"/>
      <c r="S594" s="70">
        <v>114274.3501</v>
      </c>
      <c r="T594" s="105">
        <v>106953.84689999999</v>
      </c>
      <c r="U594" s="70">
        <v>63542.177799999998</v>
      </c>
      <c r="V594" s="70">
        <v>259119.1519</v>
      </c>
      <c r="W594" s="417">
        <v>0</v>
      </c>
      <c r="X594" s="378">
        <v>6.8200000000000004E-5</v>
      </c>
      <c r="Z594" s="70">
        <v>82097.506500000003</v>
      </c>
      <c r="AA594" s="70">
        <v>82096.9231</v>
      </c>
      <c r="AB594" s="70">
        <v>0</v>
      </c>
      <c r="AC594" s="417">
        <v>0</v>
      </c>
      <c r="AD594" s="417">
        <v>0</v>
      </c>
      <c r="AE594" s="378">
        <v>6.8200000000000004E-5</v>
      </c>
      <c r="AF594" s="378"/>
      <c r="AG594" s="70">
        <v>186655.59697499999</v>
      </c>
      <c r="AH594" s="70">
        <v>138125.59697499999</v>
      </c>
      <c r="AI594" s="70">
        <v>59467.596975</v>
      </c>
      <c r="AJ594" s="417">
        <v>0</v>
      </c>
      <c r="AK594" s="417">
        <v>0</v>
      </c>
      <c r="AL594" s="378">
        <v>6.8200000000000004E-5</v>
      </c>
      <c r="AM594" s="378"/>
      <c r="AN594" s="70">
        <v>-3171</v>
      </c>
      <c r="AO594" s="70">
        <v>0</v>
      </c>
      <c r="AP594" s="70">
        <v>0</v>
      </c>
      <c r="AQ594" s="417">
        <v>0</v>
      </c>
      <c r="AR594" s="417">
        <v>0</v>
      </c>
    </row>
    <row r="595" spans="1:47">
      <c r="A595" s="439">
        <v>96504</v>
      </c>
      <c r="B595" s="440" t="s">
        <v>1304</v>
      </c>
      <c r="C595" s="437">
        <v>3.5129999999999997E-4</v>
      </c>
      <c r="D595" s="441"/>
      <c r="E595" s="438">
        <v>267744.41517499997</v>
      </c>
      <c r="F595" s="442">
        <v>237993.90977499995</v>
      </c>
      <c r="G595" s="442">
        <v>63031.750974999974</v>
      </c>
      <c r="H595" s="442">
        <v>312062.24909999996</v>
      </c>
      <c r="I595" s="442">
        <v>0</v>
      </c>
      <c r="J595" s="443">
        <v>4.5800000000000002E-4</v>
      </c>
      <c r="K595" s="443"/>
      <c r="L595" s="444">
        <v>56603.915099999998</v>
      </c>
      <c r="M595" s="444">
        <v>23209.337099999997</v>
      </c>
      <c r="N595" s="444">
        <v>-2790.3759</v>
      </c>
      <c r="O595" s="444">
        <v>0</v>
      </c>
      <c r="P595" s="417">
        <v>0</v>
      </c>
      <c r="Q595" s="378">
        <v>4.5800000000000002E-4</v>
      </c>
      <c r="R595" s="378"/>
      <c r="S595" s="70">
        <v>137622.82889999999</v>
      </c>
      <c r="T595" s="105">
        <v>128806.6041</v>
      </c>
      <c r="U595" s="70">
        <v>76525.084199999998</v>
      </c>
      <c r="V595" s="70">
        <v>312062.24909999996</v>
      </c>
      <c r="W595" s="417">
        <v>0</v>
      </c>
      <c r="X595" s="378">
        <v>4.5800000000000002E-4</v>
      </c>
      <c r="Z595" s="70">
        <v>98871.628499999992</v>
      </c>
      <c r="AA595" s="70">
        <v>98870.925899999987</v>
      </c>
      <c r="AB595" s="70">
        <v>0</v>
      </c>
      <c r="AC595" s="417">
        <v>0</v>
      </c>
      <c r="AD595" s="417">
        <v>0</v>
      </c>
      <c r="AE595" s="378">
        <v>4.5800000000000002E-4</v>
      </c>
      <c r="AF595" s="378"/>
      <c r="AG595" s="70">
        <v>5117</v>
      </c>
      <c r="AH595" s="70">
        <v>0</v>
      </c>
      <c r="AI595" s="70">
        <v>0</v>
      </c>
      <c r="AJ595" s="417">
        <v>0</v>
      </c>
      <c r="AK595" s="417">
        <v>0</v>
      </c>
      <c r="AL595" s="378">
        <v>4.5800000000000002E-4</v>
      </c>
      <c r="AM595" s="378"/>
      <c r="AN595" s="70">
        <v>-30470.957325000025</v>
      </c>
      <c r="AO595" s="70">
        <v>-12892.957325000025</v>
      </c>
      <c r="AP595" s="70">
        <v>-10702.957325000025</v>
      </c>
      <c r="AQ595" s="417">
        <v>0</v>
      </c>
      <c r="AR595" s="417">
        <v>0</v>
      </c>
    </row>
    <row r="596" spans="1:47">
      <c r="A596" s="439">
        <v>96507</v>
      </c>
      <c r="B596" s="440" t="s">
        <v>1305</v>
      </c>
      <c r="C596" s="437">
        <v>2.3941000000000001E-3</v>
      </c>
      <c r="D596" s="441"/>
      <c r="E596" s="438">
        <v>2121045.3464249996</v>
      </c>
      <c r="F596" s="442">
        <v>1797469.0786249998</v>
      </c>
      <c r="G596" s="442">
        <v>500401.90702499979</v>
      </c>
      <c r="H596" s="442">
        <v>2126695.7886999999</v>
      </c>
      <c r="I596" s="442">
        <v>0</v>
      </c>
      <c r="J596" s="443">
        <v>4.4400000000000002E-5</v>
      </c>
      <c r="K596" s="443"/>
      <c r="L596" s="444">
        <v>385754.1507</v>
      </c>
      <c r="M596" s="444">
        <v>158171.00470000002</v>
      </c>
      <c r="N596" s="444">
        <v>-19016.336300000003</v>
      </c>
      <c r="O596" s="444">
        <v>0</v>
      </c>
      <c r="P596" s="417">
        <v>0</v>
      </c>
      <c r="Q596" s="378">
        <v>4.4400000000000002E-5</v>
      </c>
      <c r="R596" s="378"/>
      <c r="S596" s="70">
        <v>937895.85730000003</v>
      </c>
      <c r="T596" s="105">
        <v>877813.52370000002</v>
      </c>
      <c r="U596" s="70">
        <v>521516.37940000003</v>
      </c>
      <c r="V596" s="70">
        <v>2126695.7886999999</v>
      </c>
      <c r="W596" s="417">
        <v>0</v>
      </c>
      <c r="X596" s="378">
        <v>4.4400000000000002E-5</v>
      </c>
      <c r="Z596" s="70">
        <v>673807.47450000001</v>
      </c>
      <c r="AA596" s="70">
        <v>673802.68630000006</v>
      </c>
      <c r="AB596" s="70">
        <v>0</v>
      </c>
      <c r="AC596" s="417">
        <v>0</v>
      </c>
      <c r="AD596" s="417">
        <v>0</v>
      </c>
      <c r="AE596" s="378">
        <v>4.4400000000000002E-5</v>
      </c>
      <c r="AF596" s="378"/>
      <c r="AG596" s="70">
        <v>125686</v>
      </c>
      <c r="AH596" s="70">
        <v>89780</v>
      </c>
      <c r="AI596" s="70">
        <v>0</v>
      </c>
      <c r="AJ596" s="417">
        <v>0</v>
      </c>
      <c r="AK596" s="417">
        <v>0</v>
      </c>
      <c r="AL596" s="378">
        <v>4.4400000000000002E-5</v>
      </c>
      <c r="AM596" s="378"/>
      <c r="AN596" s="70">
        <v>-2098.1360750002204</v>
      </c>
      <c r="AO596" s="70">
        <v>-2098.1360750002204</v>
      </c>
      <c r="AP596" s="70">
        <v>-2098.1360750002204</v>
      </c>
      <c r="AQ596" s="417">
        <v>0</v>
      </c>
      <c r="AR596" s="417">
        <v>0</v>
      </c>
    </row>
    <row r="597" spans="1:47">
      <c r="A597" s="439">
        <v>96508</v>
      </c>
      <c r="B597" s="440" t="s">
        <v>1306</v>
      </c>
      <c r="C597" s="437">
        <v>1.2799999999999999E-5</v>
      </c>
      <c r="D597" s="441"/>
      <c r="E597" s="438">
        <v>23621.777249999999</v>
      </c>
      <c r="F597" s="442">
        <v>19454.754849999998</v>
      </c>
      <c r="G597" s="442">
        <v>6976.0220499999996</v>
      </c>
      <c r="H597" s="442">
        <v>11370.329599999999</v>
      </c>
      <c r="I597" s="442">
        <v>0</v>
      </c>
      <c r="J597" s="443">
        <v>2.97E-5</v>
      </c>
      <c r="K597" s="443"/>
      <c r="L597" s="444">
        <v>2062.4256</v>
      </c>
      <c r="M597" s="444">
        <v>845.6576</v>
      </c>
      <c r="N597" s="444">
        <v>-101.6704</v>
      </c>
      <c r="O597" s="444">
        <v>0</v>
      </c>
      <c r="P597" s="417">
        <v>0</v>
      </c>
      <c r="Q597" s="378">
        <v>2.97E-5</v>
      </c>
      <c r="R597" s="378"/>
      <c r="S597" s="70">
        <v>5014.4384</v>
      </c>
      <c r="T597" s="105">
        <v>4693.2096000000001</v>
      </c>
      <c r="U597" s="70">
        <v>2788.2752</v>
      </c>
      <c r="V597" s="70">
        <v>11370.329599999999</v>
      </c>
      <c r="W597" s="417">
        <v>0</v>
      </c>
      <c r="X597" s="378">
        <v>2.97E-5</v>
      </c>
      <c r="Z597" s="70">
        <v>3602.4959999999996</v>
      </c>
      <c r="AA597" s="70">
        <v>3602.4703999999997</v>
      </c>
      <c r="AB597" s="70">
        <v>0</v>
      </c>
      <c r="AC597" s="417">
        <v>0</v>
      </c>
      <c r="AD597" s="417">
        <v>0</v>
      </c>
      <c r="AE597" s="378">
        <v>2.97E-5</v>
      </c>
      <c r="AF597" s="378"/>
      <c r="AG597" s="70">
        <v>12942.417249999999</v>
      </c>
      <c r="AH597" s="70">
        <v>10313.417249999999</v>
      </c>
      <c r="AI597" s="70">
        <v>4289.4172499999995</v>
      </c>
      <c r="AJ597" s="417">
        <v>0</v>
      </c>
      <c r="AK597" s="417">
        <v>0</v>
      </c>
      <c r="AL597" s="378">
        <v>2.97E-5</v>
      </c>
      <c r="AM597" s="378"/>
      <c r="AN597" s="70">
        <v>0</v>
      </c>
      <c r="AO597" s="70">
        <v>0</v>
      </c>
      <c r="AP597" s="70">
        <v>0</v>
      </c>
      <c r="AQ597" s="417">
        <v>0</v>
      </c>
      <c r="AR597" s="417">
        <v>0</v>
      </c>
    </row>
    <row r="598" spans="1:47">
      <c r="A598" s="439">
        <v>96511</v>
      </c>
      <c r="B598" s="440" t="s">
        <v>1307</v>
      </c>
      <c r="C598" s="437">
        <v>5.6559999999999998E-4</v>
      </c>
      <c r="D598" s="441"/>
      <c r="E598" s="438">
        <v>453406.12849999988</v>
      </c>
      <c r="F598" s="442">
        <v>408608.76369999989</v>
      </c>
      <c r="G598" s="442">
        <v>120234.25809999992</v>
      </c>
      <c r="H598" s="442">
        <v>502426.43919999996</v>
      </c>
      <c r="I598" s="442">
        <v>0</v>
      </c>
      <c r="J598" s="443">
        <v>1.2300000000000001E-5</v>
      </c>
      <c r="K598" s="443"/>
      <c r="L598" s="444">
        <v>91133.431199999992</v>
      </c>
      <c r="M598" s="444">
        <v>37367.495199999998</v>
      </c>
      <c r="N598" s="444">
        <v>-4492.5608000000002</v>
      </c>
      <c r="O598" s="444">
        <v>0</v>
      </c>
      <c r="P598" s="417">
        <v>0</v>
      </c>
      <c r="Q598" s="378">
        <v>1.2300000000000001E-5</v>
      </c>
      <c r="R598" s="378"/>
      <c r="S598" s="70">
        <v>221575.49679999999</v>
      </c>
      <c r="T598" s="105">
        <v>207381.1992</v>
      </c>
      <c r="U598" s="70">
        <v>123206.91039999999</v>
      </c>
      <c r="V598" s="70">
        <v>502426.43919999996</v>
      </c>
      <c r="W598" s="417">
        <v>0</v>
      </c>
      <c r="X598" s="378">
        <v>1.2300000000000001E-5</v>
      </c>
      <c r="Z598" s="70">
        <v>159185.29199999999</v>
      </c>
      <c r="AA598" s="70">
        <v>159184.16079999998</v>
      </c>
      <c r="AB598" s="70">
        <v>0</v>
      </c>
      <c r="AC598" s="417">
        <v>0</v>
      </c>
      <c r="AD598" s="417">
        <v>0</v>
      </c>
      <c r="AE598" s="378">
        <v>1.2300000000000001E-5</v>
      </c>
      <c r="AF598" s="378"/>
      <c r="AG598" s="70">
        <v>4675.9084999999322</v>
      </c>
      <c r="AH598" s="70">
        <v>4675.9084999999322</v>
      </c>
      <c r="AI598" s="70">
        <v>1519.9084999999322</v>
      </c>
      <c r="AJ598" s="417">
        <v>0</v>
      </c>
      <c r="AK598" s="417">
        <v>0</v>
      </c>
      <c r="AL598" s="378">
        <v>1.2300000000000001E-5</v>
      </c>
      <c r="AM598" s="378"/>
      <c r="AN598" s="70">
        <v>-23164</v>
      </c>
      <c r="AO598" s="70">
        <v>0</v>
      </c>
      <c r="AP598" s="70">
        <v>0</v>
      </c>
      <c r="AQ598" s="417">
        <v>0</v>
      </c>
      <c r="AR598" s="417">
        <v>0</v>
      </c>
    </row>
    <row r="599" spans="1:47">
      <c r="A599" s="439">
        <v>96512</v>
      </c>
      <c r="B599" s="440" t="s">
        <v>1308</v>
      </c>
      <c r="C599" s="437">
        <v>1.4339999999999999E-4</v>
      </c>
      <c r="D599" s="441"/>
      <c r="E599" s="438">
        <v>126718.83909999995</v>
      </c>
      <c r="F599" s="442">
        <v>113747.18189999997</v>
      </c>
      <c r="G599" s="442">
        <v>36603.00349999997</v>
      </c>
      <c r="H599" s="442">
        <v>127383.22379999999</v>
      </c>
      <c r="I599" s="442">
        <v>0</v>
      </c>
      <c r="J599" s="443">
        <v>1.5970000000000001E-4</v>
      </c>
      <c r="K599" s="443"/>
      <c r="L599" s="444">
        <v>23105.611799999999</v>
      </c>
      <c r="M599" s="444">
        <v>9474.0077999999994</v>
      </c>
      <c r="N599" s="444">
        <v>-1139.0262</v>
      </c>
      <c r="O599" s="444">
        <v>0</v>
      </c>
      <c r="P599" s="417">
        <v>0</v>
      </c>
      <c r="Q599" s="378">
        <v>1.5970000000000001E-4</v>
      </c>
      <c r="R599" s="378"/>
      <c r="S599" s="70">
        <v>56177.380199999992</v>
      </c>
      <c r="T599" s="105">
        <v>52578.613799999999</v>
      </c>
      <c r="U599" s="70">
        <v>31237.395599999996</v>
      </c>
      <c r="V599" s="70">
        <v>127383.22379999999</v>
      </c>
      <c r="W599" s="417">
        <v>0</v>
      </c>
      <c r="X599" s="378">
        <v>1.5970000000000001E-4</v>
      </c>
      <c r="Z599" s="70">
        <v>40359.212999999996</v>
      </c>
      <c r="AA599" s="70">
        <v>40358.926199999994</v>
      </c>
      <c r="AB599" s="70">
        <v>0</v>
      </c>
      <c r="AC599" s="417">
        <v>0</v>
      </c>
      <c r="AD599" s="417">
        <v>0</v>
      </c>
      <c r="AE599" s="378">
        <v>1.5970000000000001E-4</v>
      </c>
      <c r="AF599" s="378"/>
      <c r="AG599" s="70">
        <v>11335.634099999974</v>
      </c>
      <c r="AH599" s="70">
        <v>11335.634099999974</v>
      </c>
      <c r="AI599" s="70">
        <v>6504.6340999999738</v>
      </c>
      <c r="AJ599" s="417">
        <v>0</v>
      </c>
      <c r="AK599" s="417">
        <v>0</v>
      </c>
      <c r="AL599" s="378">
        <v>1.5970000000000001E-4</v>
      </c>
      <c r="AM599" s="378"/>
      <c r="AN599" s="70">
        <v>-4259</v>
      </c>
      <c r="AO599" s="70">
        <v>0</v>
      </c>
      <c r="AP599" s="70">
        <v>0</v>
      </c>
      <c r="AQ599" s="417">
        <v>0</v>
      </c>
      <c r="AR599" s="417">
        <v>0</v>
      </c>
    </row>
    <row r="600" spans="1:47">
      <c r="A600" s="439">
        <v>96521</v>
      </c>
      <c r="B600" s="440" t="s">
        <v>1309</v>
      </c>
      <c r="C600" s="437">
        <v>9.6239999999999997E-4</v>
      </c>
      <c r="D600" s="441"/>
      <c r="E600" s="438">
        <v>784887.94385000004</v>
      </c>
      <c r="F600" s="442">
        <v>708212.88464999979</v>
      </c>
      <c r="G600" s="442">
        <v>201643.66224999994</v>
      </c>
      <c r="H600" s="442">
        <v>854906.6568</v>
      </c>
      <c r="I600" s="442">
        <v>0</v>
      </c>
      <c r="J600" s="443">
        <v>1.42842E-2</v>
      </c>
      <c r="K600" s="443"/>
      <c r="L600" s="444">
        <v>155068.62479999999</v>
      </c>
      <c r="M600" s="444">
        <v>63582.880799999999</v>
      </c>
      <c r="N600" s="444">
        <v>-7644.3431999999993</v>
      </c>
      <c r="O600" s="444">
        <v>0</v>
      </c>
      <c r="P600" s="417">
        <v>0</v>
      </c>
      <c r="Q600" s="378">
        <v>1.42842E-2</v>
      </c>
      <c r="R600" s="378"/>
      <c r="S600" s="70">
        <v>377023.08720000001</v>
      </c>
      <c r="T600" s="105">
        <v>352870.69679999998</v>
      </c>
      <c r="U600" s="70">
        <v>209643.44159999999</v>
      </c>
      <c r="V600" s="70">
        <v>854906.6568</v>
      </c>
      <c r="W600" s="417">
        <v>0</v>
      </c>
      <c r="X600" s="378">
        <v>1.42842E-2</v>
      </c>
      <c r="Z600" s="70">
        <v>270862.66800000001</v>
      </c>
      <c r="AA600" s="70">
        <v>270860.74319999997</v>
      </c>
      <c r="AB600" s="70">
        <v>0</v>
      </c>
      <c r="AC600" s="417">
        <v>0</v>
      </c>
      <c r="AD600" s="417">
        <v>0</v>
      </c>
      <c r="AE600" s="378">
        <v>1.42842E-2</v>
      </c>
      <c r="AF600" s="378"/>
      <c r="AG600" s="70">
        <v>21254</v>
      </c>
      <c r="AH600" s="70">
        <v>21254</v>
      </c>
      <c r="AI600" s="70">
        <v>0</v>
      </c>
      <c r="AJ600" s="417">
        <v>0</v>
      </c>
      <c r="AK600" s="417">
        <v>0</v>
      </c>
      <c r="AL600" s="378">
        <v>1.42842E-2</v>
      </c>
      <c r="AM600" s="378"/>
      <c r="AN600" s="70">
        <v>-39320.436150000052</v>
      </c>
      <c r="AO600" s="70">
        <v>-355.43615000005229</v>
      </c>
      <c r="AP600" s="70">
        <v>-355.43615000005229</v>
      </c>
      <c r="AQ600" s="417">
        <v>0</v>
      </c>
      <c r="AR600" s="417">
        <v>0</v>
      </c>
    </row>
    <row r="601" spans="1:47">
      <c r="A601" s="439">
        <v>96531</v>
      </c>
      <c r="B601" s="440" t="s">
        <v>1310</v>
      </c>
      <c r="C601" s="437">
        <v>8.2185000000000001E-3</v>
      </c>
      <c r="D601" s="441"/>
      <c r="E601" s="438">
        <v>6540446.7137249988</v>
      </c>
      <c r="F601" s="442">
        <v>5760518.1907250006</v>
      </c>
      <c r="G601" s="442">
        <v>1804651.884725</v>
      </c>
      <c r="H601" s="442">
        <v>7300551.0795</v>
      </c>
      <c r="I601" s="442">
        <v>0</v>
      </c>
      <c r="J601" s="443">
        <v>3.366E-4</v>
      </c>
      <c r="K601" s="443"/>
      <c r="L601" s="444">
        <v>1324222.2494999999</v>
      </c>
      <c r="M601" s="444">
        <v>542971.63950000005</v>
      </c>
      <c r="N601" s="444">
        <v>-65279.5455</v>
      </c>
      <c r="O601" s="444">
        <v>0</v>
      </c>
      <c r="P601" s="417">
        <v>0</v>
      </c>
      <c r="Q601" s="378">
        <v>3.366E-4</v>
      </c>
      <c r="R601" s="378"/>
      <c r="S601" s="70">
        <v>3219622.0304999999</v>
      </c>
      <c r="T601" s="105">
        <v>3013370.5545000001</v>
      </c>
      <c r="U601" s="70">
        <v>1790268.7290000001</v>
      </c>
      <c r="V601" s="70">
        <v>7300551.0795</v>
      </c>
      <c r="W601" s="417">
        <v>0</v>
      </c>
      <c r="X601" s="378">
        <v>3.366E-4</v>
      </c>
      <c r="Z601" s="70">
        <v>2313055.7324999999</v>
      </c>
      <c r="AA601" s="70">
        <v>2313039.2955</v>
      </c>
      <c r="AB601" s="70">
        <v>0</v>
      </c>
      <c r="AC601" s="417">
        <v>0</v>
      </c>
      <c r="AD601" s="417">
        <v>0</v>
      </c>
      <c r="AE601" s="378">
        <v>3.366E-4</v>
      </c>
      <c r="AF601" s="378"/>
      <c r="AG601" s="70">
        <v>79662.701224999968</v>
      </c>
      <c r="AH601" s="70">
        <v>79662.701224999968</v>
      </c>
      <c r="AI601" s="70">
        <v>79662.701224999968</v>
      </c>
      <c r="AJ601" s="417">
        <v>0</v>
      </c>
      <c r="AK601" s="417">
        <v>0</v>
      </c>
      <c r="AL601" s="378">
        <v>3.366E-4</v>
      </c>
      <c r="AM601" s="378"/>
      <c r="AN601" s="70">
        <v>-396116</v>
      </c>
      <c r="AO601" s="70">
        <v>-188526</v>
      </c>
      <c r="AP601" s="70">
        <v>0</v>
      </c>
      <c r="AQ601" s="417">
        <v>0</v>
      </c>
      <c r="AR601" s="417">
        <v>0</v>
      </c>
    </row>
    <row r="602" spans="1:47">
      <c r="A602" s="439">
        <v>96541</v>
      </c>
      <c r="B602" s="440" t="s">
        <v>1311</v>
      </c>
      <c r="C602" s="437">
        <v>4.2410000000000001E-4</v>
      </c>
      <c r="D602" s="441"/>
      <c r="E602" s="438">
        <v>355467.416325</v>
      </c>
      <c r="F602" s="442">
        <v>298988.40852499998</v>
      </c>
      <c r="G602" s="442">
        <v>93638.956924999977</v>
      </c>
      <c r="H602" s="442">
        <v>376730.9987</v>
      </c>
      <c r="I602" s="442">
        <v>0</v>
      </c>
      <c r="J602" s="443">
        <v>2.9750000000000002E-4</v>
      </c>
      <c r="K602" s="443"/>
      <c r="L602" s="444">
        <v>68333.960699999996</v>
      </c>
      <c r="M602" s="444">
        <v>28019.0147</v>
      </c>
      <c r="N602" s="444">
        <v>-3368.6262999999999</v>
      </c>
      <c r="O602" s="444">
        <v>0</v>
      </c>
      <c r="P602" s="417">
        <v>0</v>
      </c>
      <c r="Q602" s="378">
        <v>2.9750000000000002E-4</v>
      </c>
      <c r="R602" s="378"/>
      <c r="S602" s="70">
        <v>166142.4473</v>
      </c>
      <c r="T602" s="105">
        <v>155499.23370000001</v>
      </c>
      <c r="U602" s="70">
        <v>92383.399399999995</v>
      </c>
      <c r="V602" s="70">
        <v>376730.9987</v>
      </c>
      <c r="W602" s="417">
        <v>0</v>
      </c>
      <c r="X602" s="378">
        <v>2.9750000000000002E-4</v>
      </c>
      <c r="Z602" s="70">
        <v>119360.8245</v>
      </c>
      <c r="AA602" s="70">
        <v>119359.97630000001</v>
      </c>
      <c r="AB602" s="70">
        <v>0</v>
      </c>
      <c r="AC602" s="417">
        <v>0</v>
      </c>
      <c r="AD602" s="417">
        <v>0</v>
      </c>
      <c r="AE602" s="378">
        <v>2.9750000000000002E-4</v>
      </c>
      <c r="AF602" s="378"/>
      <c r="AG602" s="70">
        <v>10144.183824999986</v>
      </c>
      <c r="AH602" s="70">
        <v>4624.1838249999855</v>
      </c>
      <c r="AI602" s="70">
        <v>4624.1838249999855</v>
      </c>
      <c r="AJ602" s="417">
        <v>0</v>
      </c>
      <c r="AK602" s="417">
        <v>0</v>
      </c>
      <c r="AL602" s="378">
        <v>2.9750000000000002E-4</v>
      </c>
      <c r="AM602" s="378"/>
      <c r="AN602" s="70">
        <v>-8514</v>
      </c>
      <c r="AO602" s="70">
        <v>-8514</v>
      </c>
      <c r="AP602" s="70">
        <v>0</v>
      </c>
      <c r="AQ602" s="417">
        <v>0</v>
      </c>
      <c r="AR602" s="417">
        <v>0</v>
      </c>
    </row>
    <row r="603" spans="1:47">
      <c r="A603" s="439">
        <v>96601</v>
      </c>
      <c r="B603" s="440" t="s">
        <v>1312</v>
      </c>
      <c r="C603" s="437">
        <v>1.5319999999999999E-3</v>
      </c>
      <c r="D603" s="441"/>
      <c r="E603" s="438">
        <v>1222148.7737999998</v>
      </c>
      <c r="F603" s="442">
        <v>1081808.7178</v>
      </c>
      <c r="G603" s="442">
        <v>337074.88579999999</v>
      </c>
      <c r="H603" s="442">
        <v>1360886.324</v>
      </c>
      <c r="I603" s="442">
        <v>0</v>
      </c>
      <c r="J603" s="443">
        <v>3.7270000000000001E-4</v>
      </c>
      <c r="K603" s="443"/>
      <c r="L603" s="444">
        <v>246846.56399999998</v>
      </c>
      <c r="M603" s="444">
        <v>101214.644</v>
      </c>
      <c r="N603" s="444">
        <v>-12168.675999999999</v>
      </c>
      <c r="O603" s="444">
        <v>0</v>
      </c>
      <c r="P603" s="417">
        <v>0</v>
      </c>
      <c r="Q603" s="378">
        <v>3.7270000000000001E-4</v>
      </c>
      <c r="R603" s="378"/>
      <c r="S603" s="70">
        <v>600165.59600000002</v>
      </c>
      <c r="T603" s="105">
        <v>561718.52399999998</v>
      </c>
      <c r="U603" s="70">
        <v>333721.68799999997</v>
      </c>
      <c r="V603" s="70">
        <v>1360886.324</v>
      </c>
      <c r="W603" s="417">
        <v>0</v>
      </c>
      <c r="X603" s="378">
        <v>3.7270000000000001E-4</v>
      </c>
      <c r="Z603" s="70">
        <v>431173.74</v>
      </c>
      <c r="AA603" s="70">
        <v>431170.67599999998</v>
      </c>
      <c r="AB603" s="70">
        <v>0</v>
      </c>
      <c r="AC603" s="417">
        <v>0</v>
      </c>
      <c r="AD603" s="417">
        <v>0</v>
      </c>
      <c r="AE603" s="378">
        <v>3.7270000000000001E-4</v>
      </c>
      <c r="AF603" s="378"/>
      <c r="AG603" s="70">
        <v>19206.873800000001</v>
      </c>
      <c r="AH603" s="70">
        <v>15521.873800000001</v>
      </c>
      <c r="AI603" s="70">
        <v>15521.873800000001</v>
      </c>
      <c r="AJ603" s="417">
        <v>0</v>
      </c>
      <c r="AK603" s="417">
        <v>0</v>
      </c>
      <c r="AL603" s="378">
        <v>3.7270000000000001E-4</v>
      </c>
      <c r="AM603" s="378"/>
      <c r="AN603" s="70">
        <v>-75244</v>
      </c>
      <c r="AO603" s="70">
        <v>-27817</v>
      </c>
      <c r="AP603" s="70">
        <v>0</v>
      </c>
      <c r="AQ603" s="417">
        <v>0</v>
      </c>
      <c r="AR603" s="417">
        <v>0</v>
      </c>
    </row>
    <row r="604" spans="1:47">
      <c r="A604" s="439">
        <v>96604</v>
      </c>
      <c r="B604" s="440" t="s">
        <v>1313</v>
      </c>
      <c r="C604" s="437">
        <v>5.1000000000000003E-6</v>
      </c>
      <c r="D604" s="441"/>
      <c r="E604" s="438">
        <v>6755.5289749999993</v>
      </c>
      <c r="F604" s="442">
        <v>5498.7231750000001</v>
      </c>
      <c r="G604" s="442">
        <v>2248.915575</v>
      </c>
      <c r="H604" s="442">
        <v>4530.3657000000003</v>
      </c>
      <c r="I604" s="442">
        <v>0</v>
      </c>
      <c r="J604" s="443">
        <v>2.418E-3</v>
      </c>
      <c r="K604" s="443"/>
      <c r="L604" s="444">
        <v>821.74770000000001</v>
      </c>
      <c r="M604" s="444">
        <v>336.94170000000003</v>
      </c>
      <c r="N604" s="444">
        <v>-40.509300000000003</v>
      </c>
      <c r="O604" s="444">
        <v>0</v>
      </c>
      <c r="P604" s="417">
        <v>0</v>
      </c>
      <c r="Q604" s="378">
        <v>2.418E-3</v>
      </c>
      <c r="R604" s="378"/>
      <c r="S604" s="70">
        <v>1997.9403000000002</v>
      </c>
      <c r="T604" s="105">
        <v>1869.9507000000001</v>
      </c>
      <c r="U604" s="70">
        <v>1110.9534000000001</v>
      </c>
      <c r="V604" s="70">
        <v>4530.3657000000003</v>
      </c>
      <c r="W604" s="417">
        <v>0</v>
      </c>
      <c r="X604" s="378">
        <v>2.418E-3</v>
      </c>
      <c r="Z604" s="70">
        <v>1435.3695</v>
      </c>
      <c r="AA604" s="70">
        <v>1435.3593000000001</v>
      </c>
      <c r="AB604" s="70">
        <v>0</v>
      </c>
      <c r="AC604" s="417">
        <v>0</v>
      </c>
      <c r="AD604" s="417">
        <v>0</v>
      </c>
      <c r="AE604" s="378">
        <v>2.418E-3</v>
      </c>
      <c r="AF604" s="378"/>
      <c r="AG604" s="70">
        <v>2500.4714749999998</v>
      </c>
      <c r="AH604" s="70">
        <v>1856.4714749999998</v>
      </c>
      <c r="AI604" s="70">
        <v>1178.4714749999998</v>
      </c>
      <c r="AJ604" s="417">
        <v>0</v>
      </c>
      <c r="AK604" s="417">
        <v>0</v>
      </c>
      <c r="AL604" s="378">
        <v>2.418E-3</v>
      </c>
      <c r="AM604" s="378"/>
      <c r="AN604" s="70">
        <v>0</v>
      </c>
      <c r="AO604" s="70">
        <v>0</v>
      </c>
      <c r="AP604" s="70">
        <v>0</v>
      </c>
      <c r="AQ604" s="417">
        <v>0</v>
      </c>
      <c r="AR604" s="417">
        <v>0</v>
      </c>
    </row>
    <row r="605" spans="1:47">
      <c r="A605" s="439">
        <v>96611</v>
      </c>
      <c r="B605" s="440" t="s">
        <v>1314</v>
      </c>
      <c r="C605" s="437">
        <v>1.01E-5</v>
      </c>
      <c r="D605" s="441"/>
      <c r="E605" s="438">
        <v>7224.145024999998</v>
      </c>
      <c r="F605" s="442">
        <v>4332.5492249999998</v>
      </c>
      <c r="G605" s="442">
        <v>2534.361625</v>
      </c>
      <c r="H605" s="442">
        <v>8971.9007000000001</v>
      </c>
      <c r="I605" s="442">
        <v>0</v>
      </c>
      <c r="J605" s="443">
        <v>8.3000000000000002E-6</v>
      </c>
      <c r="K605" s="443"/>
      <c r="L605" s="444">
        <v>1627.3826999999999</v>
      </c>
      <c r="M605" s="444">
        <v>667.27670000000001</v>
      </c>
      <c r="N605" s="444">
        <v>-80.224299999999999</v>
      </c>
      <c r="O605" s="444">
        <v>0</v>
      </c>
      <c r="P605" s="417">
        <v>0</v>
      </c>
      <c r="Q605" s="378">
        <v>8.3000000000000002E-6</v>
      </c>
      <c r="R605" s="378"/>
      <c r="S605" s="70">
        <v>3956.7053000000001</v>
      </c>
      <c r="T605" s="105">
        <v>3703.2356999999997</v>
      </c>
      <c r="U605" s="70">
        <v>2200.1233999999999</v>
      </c>
      <c r="V605" s="70">
        <v>8971.9007000000001</v>
      </c>
      <c r="W605" s="417">
        <v>0</v>
      </c>
      <c r="X605" s="378">
        <v>8.3000000000000002E-6</v>
      </c>
      <c r="Z605" s="70">
        <v>2842.5945000000002</v>
      </c>
      <c r="AA605" s="70">
        <v>2842.5742999999998</v>
      </c>
      <c r="AB605" s="70">
        <v>0</v>
      </c>
      <c r="AC605" s="417">
        <v>0</v>
      </c>
      <c r="AD605" s="417">
        <v>0</v>
      </c>
      <c r="AE605" s="378">
        <v>8.3000000000000002E-6</v>
      </c>
      <c r="AF605" s="378"/>
      <c r="AG605" s="70">
        <v>3143.4625249999999</v>
      </c>
      <c r="AH605" s="70">
        <v>414.46252499999991</v>
      </c>
      <c r="AI605" s="70">
        <v>414.46252499999991</v>
      </c>
      <c r="AJ605" s="417">
        <v>0</v>
      </c>
      <c r="AK605" s="417">
        <v>0</v>
      </c>
      <c r="AL605" s="378">
        <v>8.3000000000000002E-6</v>
      </c>
      <c r="AM605" s="378"/>
      <c r="AN605" s="70">
        <v>-4346</v>
      </c>
      <c r="AO605" s="70">
        <v>-3295</v>
      </c>
      <c r="AP605" s="70">
        <v>0</v>
      </c>
      <c r="AQ605" s="417">
        <v>0</v>
      </c>
      <c r="AR605" s="417">
        <v>0</v>
      </c>
    </row>
    <row r="606" spans="1:47">
      <c r="A606" s="439">
        <v>96612</v>
      </c>
      <c r="B606" s="440" t="s">
        <v>1315</v>
      </c>
      <c r="C606" s="437">
        <v>3.4999999999999997E-5</v>
      </c>
      <c r="D606" s="441"/>
      <c r="E606" s="438">
        <v>30707.831099999999</v>
      </c>
      <c r="F606" s="442">
        <v>25383.301099999997</v>
      </c>
      <c r="G606" s="442">
        <v>4128.641099999998</v>
      </c>
      <c r="H606" s="442">
        <v>31090.744999999999</v>
      </c>
      <c r="I606" s="442">
        <v>0</v>
      </c>
      <c r="J606" s="443">
        <v>5.6360000000000004E-4</v>
      </c>
      <c r="K606" s="443"/>
      <c r="L606" s="444">
        <v>5639.4449999999997</v>
      </c>
      <c r="M606" s="444">
        <v>2312.3449999999998</v>
      </c>
      <c r="N606" s="444">
        <v>-278.005</v>
      </c>
      <c r="O606" s="444">
        <v>0</v>
      </c>
      <c r="P606" s="417">
        <v>0</v>
      </c>
      <c r="Q606" s="378">
        <v>5.6360000000000004E-4</v>
      </c>
      <c r="R606" s="378"/>
      <c r="S606" s="70">
        <v>13711.355</v>
      </c>
      <c r="T606" s="105">
        <v>12832.994999999999</v>
      </c>
      <c r="U606" s="70">
        <v>7624.19</v>
      </c>
      <c r="V606" s="70">
        <v>31090.744999999999</v>
      </c>
      <c r="W606" s="417">
        <v>0</v>
      </c>
      <c r="X606" s="378">
        <v>5.6360000000000004E-4</v>
      </c>
      <c r="Z606" s="70">
        <v>9850.5749999999989</v>
      </c>
      <c r="AA606" s="70">
        <v>9850.5049999999992</v>
      </c>
      <c r="AB606" s="70">
        <v>0</v>
      </c>
      <c r="AC606" s="417">
        <v>0</v>
      </c>
      <c r="AD606" s="417">
        <v>0</v>
      </c>
      <c r="AE606" s="378">
        <v>5.6360000000000004E-4</v>
      </c>
      <c r="AF606" s="378"/>
      <c r="AG606" s="70">
        <v>5469</v>
      </c>
      <c r="AH606" s="70">
        <v>3605</v>
      </c>
      <c r="AI606" s="70">
        <v>0</v>
      </c>
      <c r="AJ606" s="417">
        <v>0</v>
      </c>
      <c r="AK606" s="417">
        <v>0</v>
      </c>
      <c r="AL606" s="378">
        <v>5.6360000000000004E-4</v>
      </c>
      <c r="AM606" s="378"/>
      <c r="AN606" s="70">
        <v>-3962.5439000000015</v>
      </c>
      <c r="AO606" s="70">
        <v>-3217.5439000000015</v>
      </c>
      <c r="AP606" s="70">
        <v>-3217.5439000000015</v>
      </c>
      <c r="AQ606" s="417">
        <v>0</v>
      </c>
      <c r="AR606" s="417">
        <v>0</v>
      </c>
    </row>
    <row r="607" spans="1:47">
      <c r="A607" s="439">
        <v>96621</v>
      </c>
      <c r="B607" s="440" t="s">
        <v>1316</v>
      </c>
      <c r="C607" s="437">
        <v>2.4499999999999999E-5</v>
      </c>
      <c r="D607" s="441"/>
      <c r="E607" s="438">
        <v>26038.902225000002</v>
      </c>
      <c r="F607" s="442">
        <v>22482.031224999999</v>
      </c>
      <c r="G607" s="442">
        <v>5493.269225</v>
      </c>
      <c r="H607" s="442">
        <v>21763.521499999999</v>
      </c>
      <c r="I607" s="442">
        <v>0</v>
      </c>
      <c r="J607" s="443">
        <v>1.3870000000000001E-4</v>
      </c>
      <c r="K607" s="443"/>
      <c r="L607" s="444">
        <v>3947.6115</v>
      </c>
      <c r="M607" s="444">
        <v>1618.6415</v>
      </c>
      <c r="N607" s="444">
        <v>-194.6035</v>
      </c>
      <c r="O607" s="444">
        <v>0</v>
      </c>
      <c r="P607" s="417">
        <v>0</v>
      </c>
      <c r="Q607" s="378">
        <v>1.3870000000000001E-4</v>
      </c>
      <c r="R607" s="378"/>
      <c r="S607" s="70">
        <v>9597.9485000000004</v>
      </c>
      <c r="T607" s="105">
        <v>8983.0964999999997</v>
      </c>
      <c r="U607" s="70">
        <v>5336.933</v>
      </c>
      <c r="V607" s="70">
        <v>21763.521499999999</v>
      </c>
      <c r="W607" s="417">
        <v>0</v>
      </c>
      <c r="X607" s="378">
        <v>1.3870000000000001E-4</v>
      </c>
      <c r="Z607" s="70">
        <v>6895.4025000000001</v>
      </c>
      <c r="AA607" s="70">
        <v>6895.3535000000002</v>
      </c>
      <c r="AB607" s="70">
        <v>0</v>
      </c>
      <c r="AC607" s="417">
        <v>0</v>
      </c>
      <c r="AD607" s="417">
        <v>0</v>
      </c>
      <c r="AE607" s="378">
        <v>1.3870000000000001E-4</v>
      </c>
      <c r="AF607" s="378"/>
      <c r="AG607" s="70">
        <v>5597.9397250000002</v>
      </c>
      <c r="AH607" s="70">
        <v>4984.9397250000002</v>
      </c>
      <c r="AI607" s="70">
        <v>350.93972500000018</v>
      </c>
      <c r="AJ607" s="417">
        <v>0</v>
      </c>
      <c r="AK607" s="417">
        <v>0</v>
      </c>
      <c r="AL607" s="378">
        <v>1.3870000000000001E-4</v>
      </c>
      <c r="AM607" s="378"/>
      <c r="AN607" s="70">
        <v>0</v>
      </c>
      <c r="AO607" s="70">
        <v>0</v>
      </c>
      <c r="AP607" s="70">
        <v>0</v>
      </c>
      <c r="AQ607" s="417">
        <v>0</v>
      </c>
      <c r="AR607" s="417">
        <v>0</v>
      </c>
    </row>
    <row r="608" spans="1:47">
      <c r="A608" s="439">
        <v>96631</v>
      </c>
      <c r="B608" s="440" t="s">
        <v>1317</v>
      </c>
      <c r="C608" s="437">
        <v>2.5599999999999999E-5</v>
      </c>
      <c r="D608" s="441"/>
      <c r="E608" s="438">
        <v>23833.178949999998</v>
      </c>
      <c r="F608" s="442">
        <v>20216.134150000002</v>
      </c>
      <c r="G608" s="442">
        <v>6168.6685499999994</v>
      </c>
      <c r="H608" s="442">
        <v>22740.659199999998</v>
      </c>
      <c r="I608" s="442">
        <v>0</v>
      </c>
      <c r="J608" s="448">
        <v>0</v>
      </c>
      <c r="K608" s="448">
        <v>0</v>
      </c>
      <c r="L608" s="444">
        <v>4124.8512000000001</v>
      </c>
      <c r="M608" s="444">
        <v>1691.3152</v>
      </c>
      <c r="N608" s="444">
        <v>-203.3408</v>
      </c>
      <c r="O608" s="444">
        <v>0</v>
      </c>
      <c r="P608" s="417">
        <v>0</v>
      </c>
      <c r="Q608" s="417">
        <v>0</v>
      </c>
      <c r="R608" s="417">
        <v>0</v>
      </c>
      <c r="S608" s="70">
        <v>10028.8768</v>
      </c>
      <c r="T608" s="105">
        <v>9386.4192000000003</v>
      </c>
      <c r="U608" s="70">
        <v>5576.5504000000001</v>
      </c>
      <c r="V608" s="70">
        <v>22740.659199999998</v>
      </c>
      <c r="W608" s="417">
        <v>0</v>
      </c>
      <c r="X608" s="417">
        <v>0</v>
      </c>
      <c r="Y608" s="417">
        <v>0</v>
      </c>
      <c r="Z608" s="70">
        <v>7204.9919999999993</v>
      </c>
      <c r="AA608" s="70">
        <v>7204.9407999999994</v>
      </c>
      <c r="AB608" s="70">
        <v>0</v>
      </c>
      <c r="AC608" s="417">
        <v>0</v>
      </c>
      <c r="AD608" s="417">
        <v>0</v>
      </c>
      <c r="AE608" s="417">
        <v>0</v>
      </c>
      <c r="AF608" s="417">
        <v>0</v>
      </c>
      <c r="AG608" s="70">
        <v>2607.4589499999993</v>
      </c>
      <c r="AH608" s="70">
        <v>1933.4589499999993</v>
      </c>
      <c r="AI608" s="70">
        <v>795.45894999999928</v>
      </c>
      <c r="AJ608" s="417">
        <v>0</v>
      </c>
      <c r="AK608" s="417">
        <v>0</v>
      </c>
      <c r="AL608" s="417">
        <v>0</v>
      </c>
      <c r="AM608" s="417">
        <v>0</v>
      </c>
      <c r="AN608" s="70">
        <v>-133</v>
      </c>
      <c r="AO608" s="70">
        <v>0</v>
      </c>
      <c r="AP608" s="70">
        <v>0</v>
      </c>
      <c r="AQ608" s="417">
        <v>0</v>
      </c>
      <c r="AR608" s="417">
        <v>0</v>
      </c>
      <c r="AS608" s="417">
        <v>0</v>
      </c>
      <c r="AT608" s="417">
        <v>0</v>
      </c>
      <c r="AU608" s="417">
        <v>0</v>
      </c>
    </row>
    <row r="609" spans="1:44">
      <c r="A609" s="439">
        <v>96641</v>
      </c>
      <c r="B609" s="440" t="s">
        <v>1318</v>
      </c>
      <c r="C609" s="437">
        <v>3.4600000000000001E-5</v>
      </c>
      <c r="D609" s="441"/>
      <c r="E609" s="438">
        <v>36060.737050000003</v>
      </c>
      <c r="F609" s="442">
        <v>29779.270250000001</v>
      </c>
      <c r="G609" s="442">
        <v>5310.3206500000006</v>
      </c>
      <c r="H609" s="442">
        <v>30735.422200000001</v>
      </c>
      <c r="I609" s="442">
        <v>0</v>
      </c>
      <c r="J609" s="443">
        <v>9.5069999999999996E-4</v>
      </c>
      <c r="K609" s="443"/>
      <c r="L609" s="444">
        <v>5574.9942000000001</v>
      </c>
      <c r="M609" s="444">
        <v>2285.9182000000001</v>
      </c>
      <c r="N609" s="444">
        <v>-274.82780000000002</v>
      </c>
      <c r="O609" s="444">
        <v>0</v>
      </c>
      <c r="P609" s="417">
        <v>0</v>
      </c>
      <c r="Q609" s="378">
        <v>9.5069999999999996E-4</v>
      </c>
      <c r="R609" s="378"/>
      <c r="S609" s="70">
        <v>13554.6538</v>
      </c>
      <c r="T609" s="105">
        <v>12686.332200000001</v>
      </c>
      <c r="U609" s="70">
        <v>7537.0564000000004</v>
      </c>
      <c r="V609" s="70">
        <v>30735.422200000001</v>
      </c>
      <c r="W609" s="417">
        <v>0</v>
      </c>
      <c r="X609" s="378">
        <v>9.5069999999999996E-4</v>
      </c>
      <c r="Z609" s="70">
        <v>9737.9969999999994</v>
      </c>
      <c r="AA609" s="70">
        <v>9737.9277999999995</v>
      </c>
      <c r="AB609" s="70">
        <v>0</v>
      </c>
      <c r="AC609" s="417">
        <v>0</v>
      </c>
      <c r="AD609" s="417">
        <v>0</v>
      </c>
      <c r="AE609" s="378">
        <v>9.5069999999999996E-4</v>
      </c>
      <c r="AF609" s="378"/>
      <c r="AG609" s="70">
        <v>9145</v>
      </c>
      <c r="AH609" s="70">
        <v>7021</v>
      </c>
      <c r="AI609" s="70">
        <v>0</v>
      </c>
      <c r="AJ609" s="417">
        <v>0</v>
      </c>
      <c r="AK609" s="417">
        <v>0</v>
      </c>
      <c r="AL609" s="378">
        <v>9.5069999999999996E-4</v>
      </c>
      <c r="AM609" s="378"/>
      <c r="AN609" s="70">
        <v>-1951.9079499999998</v>
      </c>
      <c r="AO609" s="70">
        <v>-1951.9079499999998</v>
      </c>
      <c r="AP609" s="70">
        <v>-1951.9079499999998</v>
      </c>
      <c r="AQ609" s="417">
        <v>0</v>
      </c>
      <c r="AR609" s="417">
        <v>0</v>
      </c>
    </row>
    <row r="610" spans="1:44">
      <c r="A610" s="439">
        <v>96651</v>
      </c>
      <c r="B610" s="440" t="s">
        <v>1319</v>
      </c>
      <c r="C610" s="437">
        <v>2.0000000000000002E-5</v>
      </c>
      <c r="D610" s="441"/>
      <c r="E610" s="438">
        <v>18171.444350000002</v>
      </c>
      <c r="F610" s="442">
        <v>17238.284350000002</v>
      </c>
      <c r="G610" s="442">
        <v>3215.7643500000013</v>
      </c>
      <c r="H610" s="442">
        <v>17766.140000000003</v>
      </c>
      <c r="I610" s="442">
        <v>0</v>
      </c>
      <c r="J610" s="443">
        <v>7.9558000000000007E-3</v>
      </c>
      <c r="K610" s="443"/>
      <c r="L610" s="444">
        <v>3222.5400000000004</v>
      </c>
      <c r="M610" s="444">
        <v>1321.3400000000001</v>
      </c>
      <c r="N610" s="444">
        <v>-158.86000000000001</v>
      </c>
      <c r="O610" s="444">
        <v>0</v>
      </c>
      <c r="P610" s="417">
        <v>0</v>
      </c>
      <c r="Q610" s="378">
        <v>7.9558000000000007E-3</v>
      </c>
      <c r="R610" s="378"/>
      <c r="S610" s="70">
        <v>7835.06</v>
      </c>
      <c r="T610" s="105">
        <v>7333.14</v>
      </c>
      <c r="U610" s="70">
        <v>4356.68</v>
      </c>
      <c r="V610" s="70">
        <v>17766.140000000003</v>
      </c>
      <c r="W610" s="417">
        <v>0</v>
      </c>
      <c r="X610" s="378">
        <v>7.9558000000000007E-3</v>
      </c>
      <c r="Z610" s="70">
        <v>5628.9000000000005</v>
      </c>
      <c r="AA610" s="70">
        <v>5628.8600000000006</v>
      </c>
      <c r="AB610" s="70">
        <v>0</v>
      </c>
      <c r="AC610" s="417">
        <v>0</v>
      </c>
      <c r="AD610" s="417">
        <v>0</v>
      </c>
      <c r="AE610" s="378">
        <v>7.9558000000000007E-3</v>
      </c>
      <c r="AF610" s="378"/>
      <c r="AG610" s="70">
        <v>3937</v>
      </c>
      <c r="AH610" s="70">
        <v>3937</v>
      </c>
      <c r="AI610" s="70">
        <v>0</v>
      </c>
      <c r="AJ610" s="417">
        <v>0</v>
      </c>
      <c r="AK610" s="417">
        <v>0</v>
      </c>
      <c r="AL610" s="378">
        <v>7.9558000000000007E-3</v>
      </c>
      <c r="AM610" s="378"/>
      <c r="AN610" s="70">
        <v>-2452.0556499999993</v>
      </c>
      <c r="AO610" s="70">
        <v>-982.05564999999933</v>
      </c>
      <c r="AP610" s="70">
        <v>-982.05564999999933</v>
      </c>
      <c r="AQ610" s="417">
        <v>0</v>
      </c>
      <c r="AR610" s="417">
        <v>0</v>
      </c>
    </row>
    <row r="611" spans="1:44">
      <c r="A611" s="439">
        <v>96661</v>
      </c>
      <c r="B611" s="440" t="s">
        <v>1320</v>
      </c>
      <c r="C611" s="437">
        <v>2.2399999999999999E-5</v>
      </c>
      <c r="D611" s="441"/>
      <c r="E611" s="438">
        <v>18303.014050000002</v>
      </c>
      <c r="F611" s="442">
        <v>12863.474849999999</v>
      </c>
      <c r="G611" s="442">
        <v>3657.6924500000014</v>
      </c>
      <c r="H611" s="442">
        <v>19898.076799999999</v>
      </c>
      <c r="I611" s="442">
        <v>0</v>
      </c>
      <c r="J611" s="443">
        <v>4.0220000000000002E-4</v>
      </c>
      <c r="K611" s="443"/>
      <c r="L611" s="444">
        <v>3609.2447999999999</v>
      </c>
      <c r="M611" s="444">
        <v>1479.9007999999999</v>
      </c>
      <c r="N611" s="444">
        <v>-177.92319999999998</v>
      </c>
      <c r="O611" s="444">
        <v>0</v>
      </c>
      <c r="P611" s="417">
        <v>0</v>
      </c>
      <c r="Q611" s="378">
        <v>4.0220000000000002E-4</v>
      </c>
      <c r="R611" s="378"/>
      <c r="S611" s="70">
        <v>8775.2672000000002</v>
      </c>
      <c r="T611" s="105">
        <v>8213.1167999999998</v>
      </c>
      <c r="U611" s="70">
        <v>4879.4816000000001</v>
      </c>
      <c r="V611" s="70">
        <v>19898.076799999999</v>
      </c>
      <c r="W611" s="417">
        <v>0</v>
      </c>
      <c r="X611" s="378">
        <v>4.0220000000000002E-4</v>
      </c>
      <c r="Z611" s="70">
        <v>6304.3679999999995</v>
      </c>
      <c r="AA611" s="70">
        <v>6304.3231999999998</v>
      </c>
      <c r="AB611" s="70">
        <v>0</v>
      </c>
      <c r="AC611" s="417">
        <v>0</v>
      </c>
      <c r="AD611" s="417">
        <v>0</v>
      </c>
      <c r="AE611" s="378">
        <v>4.0220000000000002E-4</v>
      </c>
      <c r="AF611" s="378"/>
      <c r="AG611" s="70">
        <v>2792</v>
      </c>
      <c r="AH611" s="70">
        <v>0</v>
      </c>
      <c r="AI611" s="70">
        <v>0</v>
      </c>
      <c r="AJ611" s="417">
        <v>0</v>
      </c>
      <c r="AK611" s="417">
        <v>0</v>
      </c>
      <c r="AL611" s="378">
        <v>4.0220000000000002E-4</v>
      </c>
      <c r="AM611" s="378"/>
      <c r="AN611" s="70">
        <v>-3177.8659499999985</v>
      </c>
      <c r="AO611" s="70">
        <v>-3133.8659499999985</v>
      </c>
      <c r="AP611" s="70">
        <v>-1043.8659499999985</v>
      </c>
      <c r="AQ611" s="417">
        <v>0</v>
      </c>
      <c r="AR611" s="417">
        <v>0</v>
      </c>
    </row>
    <row r="612" spans="1:44">
      <c r="A612" s="439">
        <v>96671</v>
      </c>
      <c r="B612" s="440" t="s">
        <v>1321</v>
      </c>
      <c r="C612" s="437">
        <v>9.5000000000000005E-6</v>
      </c>
      <c r="D612" s="441"/>
      <c r="E612" s="438">
        <v>10304.880275000001</v>
      </c>
      <c r="F612" s="442">
        <v>7343.3792750000011</v>
      </c>
      <c r="G612" s="442">
        <v>1250.7572750000006</v>
      </c>
      <c r="H612" s="442">
        <v>8438.9165000000012</v>
      </c>
      <c r="I612" s="442">
        <v>0</v>
      </c>
      <c r="J612" s="443">
        <v>1.5223999999999999E-3</v>
      </c>
      <c r="K612" s="443"/>
      <c r="L612" s="444">
        <v>1530.7065</v>
      </c>
      <c r="M612" s="444">
        <v>627.63650000000007</v>
      </c>
      <c r="N612" s="444">
        <v>-75.458500000000001</v>
      </c>
      <c r="O612" s="444">
        <v>0</v>
      </c>
      <c r="P612" s="417">
        <v>0</v>
      </c>
      <c r="Q612" s="378">
        <v>1.5223999999999999E-3</v>
      </c>
      <c r="R612" s="378"/>
      <c r="S612" s="70">
        <v>3721.6535000000003</v>
      </c>
      <c r="T612" s="105">
        <v>3483.2415000000001</v>
      </c>
      <c r="U612" s="70">
        <v>2069.4230000000002</v>
      </c>
      <c r="V612" s="70">
        <v>8438.9165000000012</v>
      </c>
      <c r="W612" s="417">
        <v>0</v>
      </c>
      <c r="X612" s="378">
        <v>1.5223999999999999E-3</v>
      </c>
      <c r="Z612" s="70">
        <v>2673.7275</v>
      </c>
      <c r="AA612" s="70">
        <v>2673.7085000000002</v>
      </c>
      <c r="AB612" s="70">
        <v>0</v>
      </c>
      <c r="AC612" s="417">
        <v>0</v>
      </c>
      <c r="AD612" s="417">
        <v>0</v>
      </c>
      <c r="AE612" s="378">
        <v>1.5223999999999999E-3</v>
      </c>
      <c r="AF612" s="378"/>
      <c r="AG612" s="70">
        <v>3122</v>
      </c>
      <c r="AH612" s="70">
        <v>1302</v>
      </c>
      <c r="AI612" s="70">
        <v>0</v>
      </c>
      <c r="AJ612" s="417">
        <v>0</v>
      </c>
      <c r="AK612" s="417">
        <v>0</v>
      </c>
      <c r="AL612" s="378">
        <v>1.5223999999999999E-3</v>
      </c>
      <c r="AM612" s="378"/>
      <c r="AN612" s="70">
        <v>-743.20722499999965</v>
      </c>
      <c r="AO612" s="70">
        <v>-743.20722499999965</v>
      </c>
      <c r="AP612" s="70">
        <v>-743.20722499999965</v>
      </c>
      <c r="AQ612" s="417">
        <v>0</v>
      </c>
      <c r="AR612" s="417">
        <v>0</v>
      </c>
    </row>
    <row r="613" spans="1:44">
      <c r="A613" s="439">
        <v>96681</v>
      </c>
      <c r="B613" s="440" t="s">
        <v>1322</v>
      </c>
      <c r="C613" s="437">
        <v>1.6799999999999998E-5</v>
      </c>
      <c r="D613" s="441"/>
      <c r="E613" s="438">
        <v>18238.8724</v>
      </c>
      <c r="F613" s="442">
        <v>16652.218000000001</v>
      </c>
      <c r="G613" s="442">
        <v>4667.3812000000016</v>
      </c>
      <c r="H613" s="442">
        <v>14923.557599999998</v>
      </c>
      <c r="I613" s="442">
        <v>0</v>
      </c>
      <c r="J613" s="443">
        <v>4.4000000000000002E-6</v>
      </c>
      <c r="K613" s="443"/>
      <c r="L613" s="444">
        <v>2706.9335999999998</v>
      </c>
      <c r="M613" s="444">
        <v>1109.9255999999998</v>
      </c>
      <c r="N613" s="444">
        <v>-133.44239999999999</v>
      </c>
      <c r="O613" s="444">
        <v>0</v>
      </c>
      <c r="P613" s="417">
        <v>0</v>
      </c>
      <c r="Q613" s="378">
        <v>4.4000000000000002E-6</v>
      </c>
      <c r="R613" s="378"/>
      <c r="S613" s="70">
        <v>6581.4503999999997</v>
      </c>
      <c r="T613" s="105">
        <v>6159.8375999999998</v>
      </c>
      <c r="U613" s="70">
        <v>3659.6111999999998</v>
      </c>
      <c r="V613" s="70">
        <v>14923.557599999998</v>
      </c>
      <c r="W613" s="417">
        <v>0</v>
      </c>
      <c r="X613" s="378">
        <v>4.4000000000000002E-6</v>
      </c>
      <c r="Z613" s="70">
        <v>4728.2759999999998</v>
      </c>
      <c r="AA613" s="70">
        <v>4728.2423999999992</v>
      </c>
      <c r="AB613" s="70">
        <v>0</v>
      </c>
      <c r="AC613" s="417">
        <v>0</v>
      </c>
      <c r="AD613" s="417">
        <v>0</v>
      </c>
      <c r="AE613" s="378">
        <v>4.4000000000000002E-6</v>
      </c>
      <c r="AF613" s="378"/>
      <c r="AG613" s="70">
        <v>6085.2124000000022</v>
      </c>
      <c r="AH613" s="70">
        <v>4654.2124000000022</v>
      </c>
      <c r="AI613" s="70">
        <v>1141.2124000000017</v>
      </c>
      <c r="AJ613" s="417">
        <v>0</v>
      </c>
      <c r="AK613" s="417">
        <v>0</v>
      </c>
      <c r="AL613" s="378">
        <v>4.4000000000000002E-6</v>
      </c>
      <c r="AM613" s="378"/>
      <c r="AN613" s="70">
        <v>-1863</v>
      </c>
      <c r="AO613" s="70">
        <v>0</v>
      </c>
      <c r="AP613" s="70">
        <v>0</v>
      </c>
      <c r="AQ613" s="417">
        <v>0</v>
      </c>
      <c r="AR613" s="417">
        <v>0</v>
      </c>
    </row>
    <row r="614" spans="1:44">
      <c r="A614" s="439">
        <v>96701</v>
      </c>
      <c r="B614" s="440" t="s">
        <v>1323</v>
      </c>
      <c r="C614" s="437">
        <v>8.0199999999999994E-3</v>
      </c>
      <c r="D614" s="441"/>
      <c r="E614" s="438">
        <v>6167990.8254500004</v>
      </c>
      <c r="F614" s="442">
        <v>5573266.6654500002</v>
      </c>
      <c r="G614" s="442">
        <v>1679614.1454500002</v>
      </c>
      <c r="H614" s="442">
        <v>7124222.1399999997</v>
      </c>
      <c r="I614" s="442">
        <v>0</v>
      </c>
      <c r="J614" s="443">
        <v>1.2799999999999999E-5</v>
      </c>
      <c r="K614" s="443"/>
      <c r="L614" s="444">
        <v>1292238.5399999998</v>
      </c>
      <c r="M614" s="444">
        <v>529857.34</v>
      </c>
      <c r="N614" s="444">
        <v>-63702.859999999993</v>
      </c>
      <c r="O614" s="444">
        <v>0</v>
      </c>
      <c r="P614" s="417">
        <v>0</v>
      </c>
      <c r="Q614" s="378">
        <v>1.2799999999999999E-5</v>
      </c>
      <c r="R614" s="378"/>
      <c r="S614" s="70">
        <v>3141859.0599999996</v>
      </c>
      <c r="T614" s="105">
        <v>2940589.1399999997</v>
      </c>
      <c r="U614" s="70">
        <v>1747028.68</v>
      </c>
      <c r="V614" s="70">
        <v>7124222.1399999997</v>
      </c>
      <c r="W614" s="417">
        <v>0</v>
      </c>
      <c r="X614" s="378">
        <v>1.2799999999999999E-5</v>
      </c>
      <c r="Z614" s="70">
        <v>2257188.9</v>
      </c>
      <c r="AA614" s="70">
        <v>2257172.86</v>
      </c>
      <c r="AB614" s="70">
        <v>0</v>
      </c>
      <c r="AC614" s="417">
        <v>0</v>
      </c>
      <c r="AD614" s="417">
        <v>0</v>
      </c>
      <c r="AE614" s="378">
        <v>1.2799999999999999E-5</v>
      </c>
      <c r="AF614" s="378"/>
      <c r="AG614" s="70">
        <v>0</v>
      </c>
      <c r="AH614" s="70">
        <v>0</v>
      </c>
      <c r="AI614" s="70">
        <v>0</v>
      </c>
      <c r="AJ614" s="417">
        <v>0</v>
      </c>
      <c r="AK614" s="417">
        <v>0</v>
      </c>
      <c r="AL614" s="378">
        <v>1.2799999999999999E-5</v>
      </c>
      <c r="AM614" s="378"/>
      <c r="AN614" s="70">
        <v>-523295.67454999965</v>
      </c>
      <c r="AO614" s="70">
        <v>-154352.67454999965</v>
      </c>
      <c r="AP614" s="70">
        <v>-3711.6745499996468</v>
      </c>
      <c r="AQ614" s="417">
        <v>0</v>
      </c>
      <c r="AR614" s="417">
        <v>0</v>
      </c>
    </row>
    <row r="615" spans="1:44">
      <c r="A615" s="439">
        <v>96704</v>
      </c>
      <c r="B615" s="440" t="s">
        <v>1324</v>
      </c>
      <c r="C615" s="437">
        <v>2.5599999999999999E-4</v>
      </c>
      <c r="D615" s="441"/>
      <c r="E615" s="438">
        <v>285392.26274999999</v>
      </c>
      <c r="F615" s="442">
        <v>234700.81474999999</v>
      </c>
      <c r="G615" s="442">
        <v>81299.158750000002</v>
      </c>
      <c r="H615" s="442">
        <v>227406.592</v>
      </c>
      <c r="I615" s="442">
        <v>0</v>
      </c>
      <c r="J615" s="443">
        <v>4.6300000000000001E-5</v>
      </c>
      <c r="K615" s="443"/>
      <c r="L615" s="444">
        <v>41248.511999999995</v>
      </c>
      <c r="M615" s="444">
        <v>16913.151999999998</v>
      </c>
      <c r="N615" s="444">
        <v>-2033.4079999999999</v>
      </c>
      <c r="O615" s="444">
        <v>0</v>
      </c>
      <c r="P615" s="417">
        <v>0</v>
      </c>
      <c r="Q615" s="378">
        <v>4.6300000000000001E-5</v>
      </c>
      <c r="R615" s="378"/>
      <c r="S615" s="70">
        <v>100288.768</v>
      </c>
      <c r="T615" s="105">
        <v>93864.191999999995</v>
      </c>
      <c r="U615" s="70">
        <v>55765.504000000001</v>
      </c>
      <c r="V615" s="70">
        <v>227406.592</v>
      </c>
      <c r="W615" s="417">
        <v>0</v>
      </c>
      <c r="X615" s="378">
        <v>4.6300000000000001E-5</v>
      </c>
      <c r="Z615" s="70">
        <v>72049.919999999998</v>
      </c>
      <c r="AA615" s="70">
        <v>72049.407999999996</v>
      </c>
      <c r="AB615" s="70">
        <v>0</v>
      </c>
      <c r="AC615" s="417">
        <v>0</v>
      </c>
      <c r="AD615" s="417">
        <v>0</v>
      </c>
      <c r="AE615" s="378">
        <v>4.6300000000000001E-5</v>
      </c>
      <c r="AF615" s="378"/>
      <c r="AG615" s="70">
        <v>71805.062750000012</v>
      </c>
      <c r="AH615" s="70">
        <v>51874.062750000012</v>
      </c>
      <c r="AI615" s="70">
        <v>27567.062750000012</v>
      </c>
      <c r="AJ615" s="417">
        <v>0</v>
      </c>
      <c r="AK615" s="417">
        <v>0</v>
      </c>
      <c r="AL615" s="378">
        <v>4.6300000000000001E-5</v>
      </c>
      <c r="AM615" s="378"/>
      <c r="AN615" s="70">
        <v>0</v>
      </c>
      <c r="AO615" s="70">
        <v>0</v>
      </c>
      <c r="AP615" s="70">
        <v>0</v>
      </c>
      <c r="AQ615" s="417">
        <v>0</v>
      </c>
      <c r="AR615" s="417">
        <v>0</v>
      </c>
    </row>
    <row r="616" spans="1:44">
      <c r="A616" s="439">
        <v>96708</v>
      </c>
      <c r="B616" s="440" t="s">
        <v>1325</v>
      </c>
      <c r="C616" s="437">
        <v>7.7360000000000005E-4</v>
      </c>
      <c r="D616" s="441"/>
      <c r="E616" s="438">
        <v>621803.92235000012</v>
      </c>
      <c r="F616" s="442">
        <v>532202.69354999997</v>
      </c>
      <c r="G616" s="442">
        <v>137539.77995</v>
      </c>
      <c r="H616" s="442">
        <v>687194.29520000005</v>
      </c>
      <c r="I616" s="442">
        <v>0</v>
      </c>
      <c r="J616" s="443">
        <v>2.48E-5</v>
      </c>
      <c r="K616" s="443"/>
      <c r="L616" s="444">
        <v>124647.8472</v>
      </c>
      <c r="M616" s="444">
        <v>51109.431200000006</v>
      </c>
      <c r="N616" s="444">
        <v>-6144.7048000000004</v>
      </c>
      <c r="O616" s="444">
        <v>0</v>
      </c>
      <c r="P616" s="417">
        <v>0</v>
      </c>
      <c r="Q616" s="378">
        <v>2.48E-5</v>
      </c>
      <c r="R616" s="378"/>
      <c r="S616" s="70">
        <v>303060.12080000003</v>
      </c>
      <c r="T616" s="105">
        <v>283645.85519999999</v>
      </c>
      <c r="U616" s="70">
        <v>168516.3824</v>
      </c>
      <c r="V616" s="70">
        <v>687194.29520000005</v>
      </c>
      <c r="W616" s="417">
        <v>0</v>
      </c>
      <c r="X616" s="378">
        <v>2.48E-5</v>
      </c>
      <c r="Z616" s="70">
        <v>217725.85200000001</v>
      </c>
      <c r="AA616" s="70">
        <v>217724.30480000001</v>
      </c>
      <c r="AB616" s="70">
        <v>0</v>
      </c>
      <c r="AC616" s="417">
        <v>0</v>
      </c>
      <c r="AD616" s="417">
        <v>0</v>
      </c>
      <c r="AE616" s="378">
        <v>2.48E-5</v>
      </c>
      <c r="AF616" s="378"/>
      <c r="AG616" s="70">
        <v>13126</v>
      </c>
      <c r="AH616" s="70">
        <v>4555</v>
      </c>
      <c r="AI616" s="70">
        <v>0</v>
      </c>
      <c r="AJ616" s="417">
        <v>0</v>
      </c>
      <c r="AK616" s="417">
        <v>0</v>
      </c>
      <c r="AL616" s="378">
        <v>2.48E-5</v>
      </c>
      <c r="AM616" s="378"/>
      <c r="AN616" s="70">
        <v>-36755.897649999999</v>
      </c>
      <c r="AO616" s="70">
        <v>-24831.897649999999</v>
      </c>
      <c r="AP616" s="70">
        <v>-24831.897649999999</v>
      </c>
      <c r="AQ616" s="417">
        <v>0</v>
      </c>
      <c r="AR616" s="417">
        <v>0</v>
      </c>
    </row>
    <row r="617" spans="1:44">
      <c r="A617" s="439">
        <v>96711</v>
      </c>
      <c r="B617" s="440" t="s">
        <v>1326</v>
      </c>
      <c r="C617" s="437">
        <v>3.6779999999999998E-3</v>
      </c>
      <c r="D617" s="441"/>
      <c r="E617" s="438">
        <v>2896714.6905499999</v>
      </c>
      <c r="F617" s="442">
        <v>2463111.5665499996</v>
      </c>
      <c r="G617" s="442">
        <v>694652.43854999985</v>
      </c>
      <c r="H617" s="442">
        <v>3267193.1459999997</v>
      </c>
      <c r="I617" s="442">
        <v>0</v>
      </c>
      <c r="J617" s="443">
        <v>2.4700000000000001E-5</v>
      </c>
      <c r="K617" s="443"/>
      <c r="L617" s="444">
        <v>592625.10600000003</v>
      </c>
      <c r="M617" s="444">
        <v>242994.42599999998</v>
      </c>
      <c r="N617" s="444">
        <v>-29214.353999999999</v>
      </c>
      <c r="O617" s="444">
        <v>0</v>
      </c>
      <c r="P617" s="417">
        <v>0</v>
      </c>
      <c r="Q617" s="378">
        <v>2.4700000000000001E-5</v>
      </c>
      <c r="R617" s="378"/>
      <c r="S617" s="70">
        <v>1440867.534</v>
      </c>
      <c r="T617" s="105">
        <v>1348564.446</v>
      </c>
      <c r="U617" s="70">
        <v>801193.45199999993</v>
      </c>
      <c r="V617" s="70">
        <v>3267193.1459999997</v>
      </c>
      <c r="W617" s="417">
        <v>0</v>
      </c>
      <c r="X617" s="378">
        <v>2.4700000000000001E-5</v>
      </c>
      <c r="Z617" s="70">
        <v>1035154.71</v>
      </c>
      <c r="AA617" s="70">
        <v>1035147.3539999999</v>
      </c>
      <c r="AB617" s="70">
        <v>0</v>
      </c>
      <c r="AC617" s="417">
        <v>0</v>
      </c>
      <c r="AD617" s="417">
        <v>0</v>
      </c>
      <c r="AE617" s="378">
        <v>2.4700000000000001E-5</v>
      </c>
      <c r="AF617" s="378"/>
      <c r="AG617" s="70">
        <v>11630</v>
      </c>
      <c r="AH617" s="70">
        <v>0</v>
      </c>
      <c r="AI617" s="70">
        <v>0</v>
      </c>
      <c r="AJ617" s="417">
        <v>0</v>
      </c>
      <c r="AK617" s="417">
        <v>0</v>
      </c>
      <c r="AL617" s="378">
        <v>2.4700000000000001E-5</v>
      </c>
      <c r="AM617" s="378"/>
      <c r="AN617" s="70">
        <v>-183562.65945000004</v>
      </c>
      <c r="AO617" s="70">
        <v>-163594.65945000004</v>
      </c>
      <c r="AP617" s="70">
        <v>-77326.659450000036</v>
      </c>
      <c r="AQ617" s="417">
        <v>0</v>
      </c>
      <c r="AR617" s="417">
        <v>0</v>
      </c>
    </row>
    <row r="618" spans="1:44">
      <c r="A618" s="439">
        <v>96721</v>
      </c>
      <c r="B618" s="440" t="s">
        <v>1327</v>
      </c>
      <c r="C618" s="437">
        <v>2.6279999999999999E-4</v>
      </c>
      <c r="D618" s="441"/>
      <c r="E618" s="438">
        <v>234085.72729999997</v>
      </c>
      <c r="F618" s="442">
        <v>193965.20490000001</v>
      </c>
      <c r="G618" s="442">
        <v>58065.472099999992</v>
      </c>
      <c r="H618" s="442">
        <v>233447.0796</v>
      </c>
      <c r="I618" s="442">
        <v>0</v>
      </c>
      <c r="J618" s="443">
        <v>4.1E-5</v>
      </c>
      <c r="K618" s="443"/>
      <c r="L618" s="444">
        <v>42344.175599999995</v>
      </c>
      <c r="M618" s="444">
        <v>17362.407599999999</v>
      </c>
      <c r="N618" s="444">
        <v>-2087.4204</v>
      </c>
      <c r="O618" s="444">
        <v>0</v>
      </c>
      <c r="P618" s="417">
        <v>0</v>
      </c>
      <c r="Q618" s="378">
        <v>4.1E-5</v>
      </c>
      <c r="R618" s="378"/>
      <c r="S618" s="70">
        <v>102952.6884</v>
      </c>
      <c r="T618" s="105">
        <v>96357.459600000002</v>
      </c>
      <c r="U618" s="70">
        <v>57246.775199999996</v>
      </c>
      <c r="V618" s="70">
        <v>233447.0796</v>
      </c>
      <c r="W618" s="417">
        <v>0</v>
      </c>
      <c r="X618" s="378">
        <v>4.1E-5</v>
      </c>
      <c r="Z618" s="70">
        <v>73963.745999999999</v>
      </c>
      <c r="AA618" s="70">
        <v>73963.220399999991</v>
      </c>
      <c r="AB618" s="70">
        <v>0</v>
      </c>
      <c r="AC618" s="417">
        <v>0</v>
      </c>
      <c r="AD618" s="417">
        <v>0</v>
      </c>
      <c r="AE618" s="378">
        <v>4.1E-5</v>
      </c>
      <c r="AF618" s="378"/>
      <c r="AG618" s="70">
        <v>15713.117299999998</v>
      </c>
      <c r="AH618" s="70">
        <v>6282.1172999999981</v>
      </c>
      <c r="AI618" s="70">
        <v>2906.1172999999981</v>
      </c>
      <c r="AJ618" s="417">
        <v>0</v>
      </c>
      <c r="AK618" s="417">
        <v>0</v>
      </c>
      <c r="AL618" s="378">
        <v>4.1E-5</v>
      </c>
      <c r="AM618" s="378"/>
      <c r="AN618" s="70">
        <v>-888</v>
      </c>
      <c r="AO618" s="70">
        <v>0</v>
      </c>
      <c r="AP618" s="70">
        <v>0</v>
      </c>
      <c r="AQ618" s="417">
        <v>0</v>
      </c>
      <c r="AR618" s="417">
        <v>0</v>
      </c>
    </row>
    <row r="619" spans="1:44">
      <c r="A619" s="439">
        <v>96722</v>
      </c>
      <c r="B619" s="440" t="s">
        <v>3757</v>
      </c>
      <c r="C619" s="437">
        <v>1.8300000000000001E-5</v>
      </c>
      <c r="D619" s="441"/>
      <c r="E619" s="438">
        <v>26679.349275000004</v>
      </c>
      <c r="F619" s="442">
        <v>24480.457875</v>
      </c>
      <c r="G619" s="442">
        <v>15252.207075000002</v>
      </c>
      <c r="H619" s="442">
        <v>16256.018100000001</v>
      </c>
      <c r="I619" s="442">
        <v>0</v>
      </c>
      <c r="J619" s="443">
        <v>2.23E-5</v>
      </c>
      <c r="K619" s="443"/>
      <c r="L619" s="444">
        <v>2948.6241</v>
      </c>
      <c r="M619" s="444">
        <v>1209.0261</v>
      </c>
      <c r="N619" s="444">
        <v>-145.3569</v>
      </c>
      <c r="O619" s="444">
        <v>0</v>
      </c>
      <c r="P619" s="417">
        <v>0</v>
      </c>
      <c r="Q619" s="378">
        <v>2.23E-5</v>
      </c>
      <c r="R619" s="378"/>
      <c r="S619" s="70">
        <v>7169.0799000000006</v>
      </c>
      <c r="T619" s="105">
        <v>6709.8231000000005</v>
      </c>
      <c r="U619" s="70">
        <v>3986.3622</v>
      </c>
      <c r="V619" s="70">
        <v>16256.018100000001</v>
      </c>
      <c r="W619" s="417">
        <v>0</v>
      </c>
      <c r="X619" s="378">
        <v>2.23E-5</v>
      </c>
      <c r="Z619" s="70">
        <v>5150.4435000000003</v>
      </c>
      <c r="AA619" s="70">
        <v>5150.4069</v>
      </c>
      <c r="AB619" s="70">
        <v>0</v>
      </c>
      <c r="AC619" s="417">
        <v>0</v>
      </c>
      <c r="AD619" s="417">
        <v>0</v>
      </c>
      <c r="AE619" s="378">
        <v>2.23E-5</v>
      </c>
      <c r="AF619" s="378"/>
      <c r="AG619" s="70">
        <v>11411.201775000001</v>
      </c>
      <c r="AH619" s="70">
        <v>11411.201775000001</v>
      </c>
      <c r="AI619" s="70">
        <v>11411.201775000001</v>
      </c>
      <c r="AJ619" s="417">
        <v>0</v>
      </c>
      <c r="AK619" s="417">
        <v>0</v>
      </c>
      <c r="AL619" s="378">
        <v>2.23E-5</v>
      </c>
      <c r="AM619" s="378"/>
      <c r="AN619" s="70">
        <v>0</v>
      </c>
      <c r="AO619" s="70">
        <v>0</v>
      </c>
      <c r="AP619" s="70">
        <v>0</v>
      </c>
      <c r="AQ619" s="417">
        <v>0</v>
      </c>
      <c r="AR619" s="417">
        <v>0</v>
      </c>
    </row>
    <row r="620" spans="1:44">
      <c r="A620" s="439">
        <v>96731</v>
      </c>
      <c r="B620" s="440" t="s">
        <v>1328</v>
      </c>
      <c r="C620" s="437">
        <v>2.3330000000000001E-4</v>
      </c>
      <c r="D620" s="441"/>
      <c r="E620" s="438">
        <v>205726.66812500003</v>
      </c>
      <c r="F620" s="442">
        <v>179326.806725</v>
      </c>
      <c r="G620" s="442">
        <v>52998.215925000011</v>
      </c>
      <c r="H620" s="442">
        <v>207242.02309999999</v>
      </c>
      <c r="I620" s="442">
        <v>0</v>
      </c>
      <c r="J620" s="443">
        <v>2.23E-5</v>
      </c>
      <c r="K620" s="443"/>
      <c r="L620" s="444">
        <v>37590.929100000001</v>
      </c>
      <c r="M620" s="444">
        <v>15413.4311</v>
      </c>
      <c r="N620" s="444">
        <v>-1853.1019000000001</v>
      </c>
      <c r="O620" s="444">
        <v>0</v>
      </c>
      <c r="P620" s="417">
        <v>0</v>
      </c>
      <c r="Q620" s="378">
        <v>2.23E-5</v>
      </c>
      <c r="R620" s="378"/>
      <c r="S620" s="70">
        <v>91395.974900000001</v>
      </c>
      <c r="T620" s="105">
        <v>85541.078099999999</v>
      </c>
      <c r="U620" s="70">
        <v>50820.672200000001</v>
      </c>
      <c r="V620" s="70">
        <v>207242.02309999999</v>
      </c>
      <c r="W620" s="417">
        <v>0</v>
      </c>
      <c r="X620" s="378">
        <v>2.23E-5</v>
      </c>
      <c r="Z620" s="70">
        <v>65661.118499999997</v>
      </c>
      <c r="AA620" s="70">
        <v>65660.651899999997</v>
      </c>
      <c r="AB620" s="70">
        <v>0</v>
      </c>
      <c r="AC620" s="417">
        <v>0</v>
      </c>
      <c r="AD620" s="417">
        <v>0</v>
      </c>
      <c r="AE620" s="378">
        <v>2.23E-5</v>
      </c>
      <c r="AF620" s="378"/>
      <c r="AG620" s="70">
        <v>12877.645625000012</v>
      </c>
      <c r="AH620" s="70">
        <v>12711.645625000012</v>
      </c>
      <c r="AI620" s="70">
        <v>4030.6456250000119</v>
      </c>
      <c r="AJ620" s="417">
        <v>0</v>
      </c>
      <c r="AK620" s="417">
        <v>0</v>
      </c>
      <c r="AL620" s="378">
        <v>2.23E-5</v>
      </c>
      <c r="AM620" s="378"/>
      <c r="AN620" s="70">
        <v>-1799</v>
      </c>
      <c r="AO620" s="70">
        <v>0</v>
      </c>
      <c r="AP620" s="70">
        <v>0</v>
      </c>
      <c r="AQ620" s="417">
        <v>0</v>
      </c>
      <c r="AR620" s="417">
        <v>0</v>
      </c>
    </row>
    <row r="621" spans="1:44">
      <c r="A621" s="439">
        <v>96733</v>
      </c>
      <c r="B621" s="440" t="s">
        <v>1329</v>
      </c>
      <c r="C621" s="437">
        <v>0</v>
      </c>
      <c r="D621" s="441"/>
      <c r="E621" s="438">
        <v>-4259</v>
      </c>
      <c r="F621" s="442">
        <v>0</v>
      </c>
      <c r="G621" s="442">
        <v>0</v>
      </c>
      <c r="H621" s="442">
        <v>0</v>
      </c>
      <c r="I621" s="442">
        <v>0</v>
      </c>
      <c r="J621" s="443">
        <v>1.42E-5</v>
      </c>
      <c r="K621" s="443"/>
      <c r="L621" s="444">
        <v>0</v>
      </c>
      <c r="M621" s="444">
        <v>0</v>
      </c>
      <c r="N621" s="444">
        <v>0</v>
      </c>
      <c r="O621" s="444">
        <v>0</v>
      </c>
      <c r="P621" s="417">
        <v>0</v>
      </c>
      <c r="Q621" s="378">
        <v>1.42E-5</v>
      </c>
      <c r="R621" s="378"/>
      <c r="S621" s="70">
        <v>0</v>
      </c>
      <c r="T621" s="105">
        <v>0</v>
      </c>
      <c r="U621" s="70">
        <v>0</v>
      </c>
      <c r="V621" s="70">
        <v>0</v>
      </c>
      <c r="W621" s="417">
        <v>0</v>
      </c>
      <c r="X621" s="378">
        <v>1.42E-5</v>
      </c>
      <c r="Z621" s="70">
        <v>0</v>
      </c>
      <c r="AA621" s="70">
        <v>0</v>
      </c>
      <c r="AB621" s="70">
        <v>0</v>
      </c>
      <c r="AC621" s="417">
        <v>0</v>
      </c>
      <c r="AD621" s="417">
        <v>0</v>
      </c>
      <c r="AE621" s="378">
        <v>1.42E-5</v>
      </c>
      <c r="AF621" s="378"/>
      <c r="AG621" s="70">
        <v>0</v>
      </c>
      <c r="AH621" s="70">
        <v>0</v>
      </c>
      <c r="AI621" s="70">
        <v>0</v>
      </c>
      <c r="AJ621" s="417">
        <v>0</v>
      </c>
      <c r="AK621" s="417">
        <v>0</v>
      </c>
      <c r="AL621" s="378">
        <v>1.42E-5</v>
      </c>
      <c r="AM621" s="378"/>
      <c r="AN621" s="70">
        <v>-4259</v>
      </c>
      <c r="AO621" s="70">
        <v>0</v>
      </c>
      <c r="AP621" s="70">
        <v>0</v>
      </c>
      <c r="AQ621" s="417">
        <v>0</v>
      </c>
      <c r="AR621" s="417">
        <v>0</v>
      </c>
    </row>
    <row r="622" spans="1:44">
      <c r="A622" s="439">
        <v>96741</v>
      </c>
      <c r="B622" s="440" t="s">
        <v>1330</v>
      </c>
      <c r="C622" s="437">
        <v>7.86E-5</v>
      </c>
      <c r="D622" s="441"/>
      <c r="E622" s="438">
        <v>54914.849000000009</v>
      </c>
      <c r="F622" s="442">
        <v>51142.43020000001</v>
      </c>
      <c r="G622" s="442">
        <v>11903.336600000002</v>
      </c>
      <c r="H622" s="442">
        <v>69820.930200000003</v>
      </c>
      <c r="I622" s="442">
        <v>0</v>
      </c>
      <c r="J622" s="443">
        <v>2.0999999999999999E-5</v>
      </c>
      <c r="K622" s="443"/>
      <c r="L622" s="444">
        <v>12664.582200000001</v>
      </c>
      <c r="M622" s="444">
        <v>5192.8662000000004</v>
      </c>
      <c r="N622" s="444">
        <v>-624.31979999999999</v>
      </c>
      <c r="O622" s="444">
        <v>0</v>
      </c>
      <c r="P622" s="417">
        <v>0</v>
      </c>
      <c r="Q622" s="378">
        <v>2.0999999999999999E-5</v>
      </c>
      <c r="R622" s="378"/>
      <c r="S622" s="70">
        <v>30791.785800000001</v>
      </c>
      <c r="T622" s="105">
        <v>28819.2402</v>
      </c>
      <c r="U622" s="70">
        <v>17121.752400000001</v>
      </c>
      <c r="V622" s="70">
        <v>69820.930200000003</v>
      </c>
      <c r="W622" s="417">
        <v>0</v>
      </c>
      <c r="X622" s="378">
        <v>2.0999999999999999E-5</v>
      </c>
      <c r="Z622" s="70">
        <v>22121.577000000001</v>
      </c>
      <c r="AA622" s="70">
        <v>22121.4198</v>
      </c>
      <c r="AB622" s="70">
        <v>0</v>
      </c>
      <c r="AC622" s="417">
        <v>0</v>
      </c>
      <c r="AD622" s="417">
        <v>0</v>
      </c>
      <c r="AE622" s="378">
        <v>2.0999999999999999E-5</v>
      </c>
      <c r="AF622" s="378"/>
      <c r="AG622" s="70">
        <v>0</v>
      </c>
      <c r="AH622" s="70">
        <v>0</v>
      </c>
      <c r="AI622" s="70">
        <v>0</v>
      </c>
      <c r="AJ622" s="417">
        <v>0</v>
      </c>
      <c r="AK622" s="417">
        <v>0</v>
      </c>
      <c r="AL622" s="378">
        <v>2.0999999999999999E-5</v>
      </c>
      <c r="AM622" s="378"/>
      <c r="AN622" s="70">
        <v>-10663.095999999998</v>
      </c>
      <c r="AO622" s="70">
        <v>-4991.0959999999977</v>
      </c>
      <c r="AP622" s="70">
        <v>-4594.0959999999977</v>
      </c>
      <c r="AQ622" s="417">
        <v>0</v>
      </c>
      <c r="AR622" s="417">
        <v>0</v>
      </c>
    </row>
    <row r="623" spans="1:44">
      <c r="A623" s="439">
        <v>96751</v>
      </c>
      <c r="B623" s="440" t="s">
        <v>1331</v>
      </c>
      <c r="C623" s="437">
        <v>3.3050000000000001E-4</v>
      </c>
      <c r="D623" s="441"/>
      <c r="E623" s="438">
        <v>288382.68727499997</v>
      </c>
      <c r="F623" s="442">
        <v>254924.46827499999</v>
      </c>
      <c r="G623" s="442">
        <v>61232.250274999991</v>
      </c>
      <c r="H623" s="442">
        <v>293585.46350000001</v>
      </c>
      <c r="I623" s="442">
        <v>0</v>
      </c>
      <c r="J623" s="443">
        <v>7.8210999999999992E-3</v>
      </c>
      <c r="K623" s="443"/>
      <c r="L623" s="444">
        <v>53252.4735</v>
      </c>
      <c r="M623" s="444">
        <v>21835.143500000002</v>
      </c>
      <c r="N623" s="444">
        <v>-2625.1615000000002</v>
      </c>
      <c r="O623" s="444">
        <v>0</v>
      </c>
      <c r="P623" s="417">
        <v>0</v>
      </c>
      <c r="Q623" s="378">
        <v>7.8210999999999992E-3</v>
      </c>
      <c r="R623" s="378"/>
      <c r="S623" s="70">
        <v>129474.3665</v>
      </c>
      <c r="T623" s="105">
        <v>121180.1385</v>
      </c>
      <c r="U623" s="70">
        <v>71994.137000000002</v>
      </c>
      <c r="V623" s="70">
        <v>293585.46350000001</v>
      </c>
      <c r="W623" s="417">
        <v>0</v>
      </c>
      <c r="X623" s="378">
        <v>7.8210999999999992E-3</v>
      </c>
      <c r="Z623" s="70">
        <v>93017.572500000009</v>
      </c>
      <c r="AA623" s="70">
        <v>93016.911500000002</v>
      </c>
      <c r="AB623" s="70">
        <v>0</v>
      </c>
      <c r="AC623" s="417">
        <v>0</v>
      </c>
      <c r="AD623" s="417">
        <v>0</v>
      </c>
      <c r="AE623" s="378">
        <v>7.8210999999999992E-3</v>
      </c>
      <c r="AF623" s="378"/>
      <c r="AG623" s="70">
        <v>32621</v>
      </c>
      <c r="AH623" s="70">
        <v>27029</v>
      </c>
      <c r="AI623" s="70">
        <v>0</v>
      </c>
      <c r="AJ623" s="417">
        <v>0</v>
      </c>
      <c r="AK623" s="417">
        <v>0</v>
      </c>
      <c r="AL623" s="378">
        <v>7.8210999999999992E-3</v>
      </c>
      <c r="AM623" s="378"/>
      <c r="AN623" s="70">
        <v>-19982.725225000009</v>
      </c>
      <c r="AO623" s="70">
        <v>-8136.7252250000092</v>
      </c>
      <c r="AP623" s="70">
        <v>-8136.7252250000092</v>
      </c>
      <c r="AQ623" s="417">
        <v>0</v>
      </c>
      <c r="AR623" s="417">
        <v>0</v>
      </c>
    </row>
    <row r="624" spans="1:44">
      <c r="A624" s="439">
        <v>96801</v>
      </c>
      <c r="B624" s="440" t="s">
        <v>1332</v>
      </c>
      <c r="C624" s="437">
        <v>6.9283000000000001E-3</v>
      </c>
      <c r="D624" s="441"/>
      <c r="E624" s="438">
        <v>5528961.9014249993</v>
      </c>
      <c r="F624" s="442">
        <v>4760011.230024999</v>
      </c>
      <c r="G624" s="442">
        <v>1244885.8192249993</v>
      </c>
      <c r="H624" s="442">
        <v>6154457.3881000001</v>
      </c>
      <c r="I624" s="442">
        <v>0</v>
      </c>
      <c r="J624" s="443">
        <v>2.2550000000000001E-4</v>
      </c>
      <c r="K624" s="443"/>
      <c r="L624" s="444">
        <v>1116336.1941</v>
      </c>
      <c r="M624" s="444">
        <v>457731.99609999999</v>
      </c>
      <c r="N624" s="444">
        <v>-55031.486900000004</v>
      </c>
      <c r="O624" s="444">
        <v>0</v>
      </c>
      <c r="P624" s="417">
        <v>0</v>
      </c>
      <c r="Q624" s="378">
        <v>2.2550000000000001E-4</v>
      </c>
      <c r="R624" s="378"/>
      <c r="S624" s="70">
        <v>2714182.3099000002</v>
      </c>
      <c r="T624" s="105">
        <v>2540309.6930999998</v>
      </c>
      <c r="U624" s="70">
        <v>1509219.3022</v>
      </c>
      <c r="V624" s="70">
        <v>6154457.3881000001</v>
      </c>
      <c r="W624" s="417">
        <v>0</v>
      </c>
      <c r="X624" s="378">
        <v>2.2550000000000001E-4</v>
      </c>
      <c r="Z624" s="70">
        <v>1949935.3935</v>
      </c>
      <c r="AA624" s="70">
        <v>1949921.5368999999</v>
      </c>
      <c r="AB624" s="70">
        <v>0</v>
      </c>
      <c r="AC624" s="417">
        <v>0</v>
      </c>
      <c r="AD624" s="417">
        <v>0</v>
      </c>
      <c r="AE624" s="378">
        <v>2.2550000000000001E-4</v>
      </c>
      <c r="AF624" s="378"/>
      <c r="AG624" s="70">
        <v>21350</v>
      </c>
      <c r="AH624" s="70">
        <v>21350</v>
      </c>
      <c r="AI624" s="70">
        <v>0</v>
      </c>
      <c r="AJ624" s="417">
        <v>0</v>
      </c>
      <c r="AK624" s="417">
        <v>0</v>
      </c>
      <c r="AL624" s="378">
        <v>2.2550000000000001E-4</v>
      </c>
      <c r="AM624" s="378"/>
      <c r="AN624" s="70">
        <v>-272841.99607500085</v>
      </c>
      <c r="AO624" s="70">
        <v>-209301.99607500085</v>
      </c>
      <c r="AP624" s="70">
        <v>-209301.99607500085</v>
      </c>
      <c r="AQ624" s="417">
        <v>0</v>
      </c>
      <c r="AR624" s="417">
        <v>0</v>
      </c>
    </row>
    <row r="625" spans="1:44">
      <c r="A625" s="439">
        <v>96804</v>
      </c>
      <c r="B625" s="440" t="s">
        <v>1333</v>
      </c>
      <c r="C625" s="437">
        <v>2.5060000000000002E-4</v>
      </c>
      <c r="D625" s="441"/>
      <c r="E625" s="438">
        <v>200121.36955</v>
      </c>
      <c r="F625" s="442">
        <v>179765.77475000004</v>
      </c>
      <c r="G625" s="442">
        <v>55390.209150000017</v>
      </c>
      <c r="H625" s="442">
        <v>222609.73420000001</v>
      </c>
      <c r="I625" s="442">
        <v>0</v>
      </c>
      <c r="J625" s="443">
        <v>8.4489999999999999E-4</v>
      </c>
      <c r="K625" s="443"/>
      <c r="L625" s="444">
        <v>40378.426200000002</v>
      </c>
      <c r="M625" s="444">
        <v>16556.390200000002</v>
      </c>
      <c r="N625" s="444">
        <v>-1990.5158000000001</v>
      </c>
      <c r="O625" s="444">
        <v>0</v>
      </c>
      <c r="P625" s="417">
        <v>0</v>
      </c>
      <c r="Q625" s="378">
        <v>8.4489999999999999E-4</v>
      </c>
      <c r="R625" s="378"/>
      <c r="S625" s="70">
        <v>98173.301800000001</v>
      </c>
      <c r="T625" s="105">
        <v>91884.244200000001</v>
      </c>
      <c r="U625" s="70">
        <v>54589.200400000002</v>
      </c>
      <c r="V625" s="70">
        <v>222609.73420000001</v>
      </c>
      <c r="W625" s="417">
        <v>0</v>
      </c>
      <c r="X625" s="378">
        <v>8.4489999999999999E-4</v>
      </c>
      <c r="Z625" s="70">
        <v>70530.116999999998</v>
      </c>
      <c r="AA625" s="70">
        <v>70529.6158</v>
      </c>
      <c r="AB625" s="70">
        <v>0</v>
      </c>
      <c r="AC625" s="417">
        <v>0</v>
      </c>
      <c r="AD625" s="417">
        <v>0</v>
      </c>
      <c r="AE625" s="378">
        <v>8.4489999999999999E-4</v>
      </c>
      <c r="AF625" s="378"/>
      <c r="AG625" s="70">
        <v>2791.5245500000165</v>
      </c>
      <c r="AH625" s="70">
        <v>2791.5245500000165</v>
      </c>
      <c r="AI625" s="70">
        <v>2791.5245500000165</v>
      </c>
      <c r="AJ625" s="417">
        <v>0</v>
      </c>
      <c r="AK625" s="417">
        <v>0</v>
      </c>
      <c r="AL625" s="378">
        <v>8.4489999999999999E-4</v>
      </c>
      <c r="AM625" s="378"/>
      <c r="AN625" s="70">
        <v>-11752</v>
      </c>
      <c r="AO625" s="70">
        <v>-1996</v>
      </c>
      <c r="AP625" s="70">
        <v>0</v>
      </c>
      <c r="AQ625" s="417">
        <v>0</v>
      </c>
      <c r="AR625" s="417">
        <v>0</v>
      </c>
    </row>
    <row r="626" spans="1:44">
      <c r="A626" s="439">
        <v>96808</v>
      </c>
      <c r="B626" s="440" t="s">
        <v>1334</v>
      </c>
      <c r="C626" s="437">
        <v>1.2224E-3</v>
      </c>
      <c r="D626" s="441"/>
      <c r="E626" s="438">
        <v>1008994.2262999999</v>
      </c>
      <c r="F626" s="442">
        <v>848815.08709999989</v>
      </c>
      <c r="G626" s="442">
        <v>248025.10469999988</v>
      </c>
      <c r="H626" s="442">
        <v>1085866.4768000001</v>
      </c>
      <c r="I626" s="442">
        <v>0</v>
      </c>
      <c r="J626" s="443">
        <v>3.7699000000000001E-3</v>
      </c>
      <c r="K626" s="443"/>
      <c r="L626" s="444">
        <v>196961.64480000001</v>
      </c>
      <c r="M626" s="444">
        <v>80760.300799999997</v>
      </c>
      <c r="N626" s="444">
        <v>-9709.5231999999996</v>
      </c>
      <c r="O626" s="444">
        <v>0</v>
      </c>
      <c r="P626" s="417">
        <v>0</v>
      </c>
      <c r="Q626" s="378">
        <v>3.7699000000000001E-3</v>
      </c>
      <c r="R626" s="378"/>
      <c r="S626" s="70">
        <v>478878.86719999998</v>
      </c>
      <c r="T626" s="105">
        <v>448201.51679999998</v>
      </c>
      <c r="U626" s="70">
        <v>266280.28159999999</v>
      </c>
      <c r="V626" s="70">
        <v>1085866.4768000001</v>
      </c>
      <c r="W626" s="417">
        <v>0</v>
      </c>
      <c r="X626" s="378">
        <v>3.7699000000000001E-3</v>
      </c>
      <c r="Z626" s="70">
        <v>344038.36800000002</v>
      </c>
      <c r="AA626" s="70">
        <v>344035.92320000002</v>
      </c>
      <c r="AB626" s="70">
        <v>0</v>
      </c>
      <c r="AC626" s="417">
        <v>0</v>
      </c>
      <c r="AD626" s="417">
        <v>0</v>
      </c>
      <c r="AE626" s="378">
        <v>3.7699000000000001E-3</v>
      </c>
      <c r="AF626" s="378"/>
      <c r="AG626" s="70">
        <v>20486</v>
      </c>
      <c r="AH626" s="70">
        <v>0</v>
      </c>
      <c r="AI626" s="70">
        <v>0</v>
      </c>
      <c r="AJ626" s="417">
        <v>0</v>
      </c>
      <c r="AK626" s="417">
        <v>0</v>
      </c>
      <c r="AL626" s="378">
        <v>3.7699000000000001E-3</v>
      </c>
      <c r="AM626" s="378"/>
      <c r="AN626" s="70">
        <v>-31370.653700000112</v>
      </c>
      <c r="AO626" s="70">
        <v>-24182.653700000112</v>
      </c>
      <c r="AP626" s="70">
        <v>-8545.6537000001117</v>
      </c>
      <c r="AQ626" s="417">
        <v>0</v>
      </c>
      <c r="AR626" s="417">
        <v>0</v>
      </c>
    </row>
    <row r="627" spans="1:44">
      <c r="A627" s="439">
        <v>96811</v>
      </c>
      <c r="B627" s="440" t="s">
        <v>1335</v>
      </c>
      <c r="C627" s="437">
        <v>5.3463E-3</v>
      </c>
      <c r="D627" s="441"/>
      <c r="E627" s="438">
        <v>4157219.0959750009</v>
      </c>
      <c r="F627" s="442">
        <v>3573410.3805750008</v>
      </c>
      <c r="G627" s="442">
        <v>983502.60177500034</v>
      </c>
      <c r="H627" s="442">
        <v>4749155.7141000004</v>
      </c>
      <c r="I627" s="442">
        <v>0</v>
      </c>
      <c r="J627" s="443">
        <v>2.5119999999999998E-4</v>
      </c>
      <c r="K627" s="443"/>
      <c r="L627" s="444">
        <v>861433.28009999997</v>
      </c>
      <c r="M627" s="444">
        <v>353214.00209999998</v>
      </c>
      <c r="N627" s="444">
        <v>-42465.660900000003</v>
      </c>
      <c r="O627" s="444">
        <v>0</v>
      </c>
      <c r="P627" s="417">
        <v>0</v>
      </c>
      <c r="Q627" s="378">
        <v>2.5119999999999998E-4</v>
      </c>
      <c r="R627" s="378"/>
      <c r="S627" s="70">
        <v>2094429.0639</v>
      </c>
      <c r="T627" s="105">
        <v>1960258.3191</v>
      </c>
      <c r="U627" s="70">
        <v>1164605.9142</v>
      </c>
      <c r="V627" s="70">
        <v>4749155.7141000004</v>
      </c>
      <c r="W627" s="417">
        <v>0</v>
      </c>
      <c r="X627" s="378">
        <v>2.5119999999999998E-4</v>
      </c>
      <c r="Z627" s="70">
        <v>1504689.4035</v>
      </c>
      <c r="AA627" s="70">
        <v>1504678.7109000001</v>
      </c>
      <c r="AB627" s="70">
        <v>0</v>
      </c>
      <c r="AC627" s="417">
        <v>0</v>
      </c>
      <c r="AD627" s="417">
        <v>0</v>
      </c>
      <c r="AE627" s="378">
        <v>2.5119999999999998E-4</v>
      </c>
      <c r="AF627" s="378"/>
      <c r="AG627" s="70">
        <v>0</v>
      </c>
      <c r="AH627" s="70">
        <v>0</v>
      </c>
      <c r="AI627" s="70">
        <v>0</v>
      </c>
      <c r="AJ627" s="417">
        <v>0</v>
      </c>
      <c r="AK627" s="417">
        <v>0</v>
      </c>
      <c r="AL627" s="378">
        <v>2.5119999999999998E-4</v>
      </c>
      <c r="AM627" s="378"/>
      <c r="AN627" s="70">
        <v>-303332.65152499964</v>
      </c>
      <c r="AO627" s="70">
        <v>-244740.65152499964</v>
      </c>
      <c r="AP627" s="70">
        <v>-138637.65152499964</v>
      </c>
      <c r="AQ627" s="417">
        <v>0</v>
      </c>
      <c r="AR627" s="417">
        <v>0</v>
      </c>
    </row>
    <row r="628" spans="1:44">
      <c r="A628" s="439">
        <v>96821</v>
      </c>
      <c r="B628" s="440" t="s">
        <v>1336</v>
      </c>
      <c r="C628" s="437">
        <v>1.1779E-3</v>
      </c>
      <c r="D628" s="441"/>
      <c r="E628" s="438">
        <v>1012858.303425</v>
      </c>
      <c r="F628" s="442">
        <v>842183.19522500003</v>
      </c>
      <c r="G628" s="442">
        <v>246455.49482500003</v>
      </c>
      <c r="H628" s="442">
        <v>1046336.8153</v>
      </c>
      <c r="I628" s="442">
        <v>0</v>
      </c>
      <c r="J628" s="443">
        <v>2.008E-4</v>
      </c>
      <c r="K628" s="443"/>
      <c r="L628" s="444">
        <v>189791.4933</v>
      </c>
      <c r="M628" s="444">
        <v>77820.319300000003</v>
      </c>
      <c r="N628" s="444">
        <v>-9356.0596999999998</v>
      </c>
      <c r="O628" s="444">
        <v>0</v>
      </c>
      <c r="P628" s="417">
        <v>0</v>
      </c>
      <c r="Q628" s="378">
        <v>2.008E-4</v>
      </c>
      <c r="R628" s="378"/>
      <c r="S628" s="70">
        <v>461445.85869999998</v>
      </c>
      <c r="T628" s="105">
        <v>431885.28029999998</v>
      </c>
      <c r="U628" s="70">
        <v>256586.6686</v>
      </c>
      <c r="V628" s="70">
        <v>1046336.8153</v>
      </c>
      <c r="W628" s="417">
        <v>0</v>
      </c>
      <c r="X628" s="378">
        <v>2.008E-4</v>
      </c>
      <c r="Z628" s="70">
        <v>331514.06549999997</v>
      </c>
      <c r="AA628" s="70">
        <v>331511.70970000001</v>
      </c>
      <c r="AB628" s="70">
        <v>0</v>
      </c>
      <c r="AC628" s="417">
        <v>0</v>
      </c>
      <c r="AD628" s="417">
        <v>0</v>
      </c>
      <c r="AE628" s="378">
        <v>2.008E-4</v>
      </c>
      <c r="AF628" s="378"/>
      <c r="AG628" s="70">
        <v>30882</v>
      </c>
      <c r="AH628" s="70">
        <v>1741</v>
      </c>
      <c r="AI628" s="70">
        <v>0</v>
      </c>
      <c r="AJ628" s="417">
        <v>0</v>
      </c>
      <c r="AK628" s="417">
        <v>0</v>
      </c>
      <c r="AL628" s="378">
        <v>2.008E-4</v>
      </c>
      <c r="AM628" s="378"/>
      <c r="AN628" s="70">
        <v>-775.1140749999613</v>
      </c>
      <c r="AO628" s="70">
        <v>-775.1140749999613</v>
      </c>
      <c r="AP628" s="70">
        <v>-775.1140749999613</v>
      </c>
      <c r="AQ628" s="417">
        <v>0</v>
      </c>
      <c r="AR628" s="417">
        <v>0</v>
      </c>
    </row>
    <row r="629" spans="1:44">
      <c r="A629" s="439">
        <v>96831</v>
      </c>
      <c r="B629" s="440" t="s">
        <v>1337</v>
      </c>
      <c r="C629" s="437">
        <v>8.3469999999999996E-4</v>
      </c>
      <c r="D629" s="441"/>
      <c r="E629" s="438">
        <v>663916.13052500004</v>
      </c>
      <c r="F629" s="442">
        <v>561888.24792500003</v>
      </c>
      <c r="G629" s="442">
        <v>200608.07072500003</v>
      </c>
      <c r="H629" s="442">
        <v>741469.85289999994</v>
      </c>
      <c r="I629" s="442">
        <v>0</v>
      </c>
      <c r="J629" s="443">
        <v>0</v>
      </c>
      <c r="K629" s="443"/>
      <c r="L629" s="444">
        <v>134492.70689999999</v>
      </c>
      <c r="M629" s="444">
        <v>55146.124899999995</v>
      </c>
      <c r="N629" s="444">
        <v>-6630.0221000000001</v>
      </c>
      <c r="O629" s="444">
        <v>0</v>
      </c>
      <c r="P629" s="417">
        <v>0</v>
      </c>
      <c r="Q629" s="378">
        <v>0</v>
      </c>
      <c r="R629" s="378"/>
      <c r="S629" s="70">
        <v>326996.2291</v>
      </c>
      <c r="T629" s="105">
        <v>306048.59789999999</v>
      </c>
      <c r="U629" s="70">
        <v>181826.0398</v>
      </c>
      <c r="V629" s="70">
        <v>741469.85289999994</v>
      </c>
      <c r="W629" s="417">
        <v>0</v>
      </c>
      <c r="X629" s="378">
        <v>0</v>
      </c>
      <c r="Z629" s="70">
        <v>234922.1415</v>
      </c>
      <c r="AA629" s="70">
        <v>234920.47209999998</v>
      </c>
      <c r="AB629" s="70">
        <v>0</v>
      </c>
      <c r="AC629" s="417">
        <v>0</v>
      </c>
      <c r="AD629" s="417">
        <v>0</v>
      </c>
      <c r="AE629" s="378">
        <v>0</v>
      </c>
      <c r="AF629" s="378"/>
      <c r="AG629" s="70">
        <v>34170.05302500003</v>
      </c>
      <c r="AH629" s="70">
        <v>25412.05302500003</v>
      </c>
      <c r="AI629" s="70">
        <v>25412.05302500003</v>
      </c>
      <c r="AJ629" s="417">
        <v>0</v>
      </c>
      <c r="AK629" s="417">
        <v>0</v>
      </c>
      <c r="AL629" s="378">
        <v>0</v>
      </c>
      <c r="AM629" s="378"/>
      <c r="AN629" s="70">
        <v>-66665</v>
      </c>
      <c r="AO629" s="70">
        <v>-59639</v>
      </c>
      <c r="AP629" s="70">
        <v>0</v>
      </c>
      <c r="AQ629" s="417">
        <v>0</v>
      </c>
      <c r="AR629" s="417">
        <v>0</v>
      </c>
    </row>
    <row r="630" spans="1:44">
      <c r="A630" s="439">
        <v>96901</v>
      </c>
      <c r="B630" s="440" t="s">
        <v>1338</v>
      </c>
      <c r="C630" s="437">
        <v>7.8609999999999997E-4</v>
      </c>
      <c r="D630" s="441"/>
      <c r="E630" s="438">
        <v>581612.54747499991</v>
      </c>
      <c r="F630" s="442">
        <v>528888.34367499989</v>
      </c>
      <c r="G630" s="442">
        <v>150743.98007499988</v>
      </c>
      <c r="H630" s="442">
        <v>698298.13269999996</v>
      </c>
      <c r="I630" s="442">
        <v>0</v>
      </c>
      <c r="J630" s="443">
        <v>8.81E-5</v>
      </c>
      <c r="K630" s="443"/>
      <c r="L630" s="444">
        <v>126661.9347</v>
      </c>
      <c r="M630" s="444">
        <v>51935.268700000001</v>
      </c>
      <c r="N630" s="444">
        <v>-6243.9922999999999</v>
      </c>
      <c r="O630" s="444">
        <v>0</v>
      </c>
      <c r="P630" s="417">
        <v>0</v>
      </c>
      <c r="Q630" s="378">
        <v>8.81E-5</v>
      </c>
      <c r="R630" s="378"/>
      <c r="S630" s="70">
        <v>307957.03330000001</v>
      </c>
      <c r="T630" s="105">
        <v>288229.06770000001</v>
      </c>
      <c r="U630" s="70">
        <v>171239.30739999999</v>
      </c>
      <c r="V630" s="70">
        <v>698298.13269999996</v>
      </c>
      <c r="W630" s="417">
        <v>0</v>
      </c>
      <c r="X630" s="378">
        <v>8.81E-5</v>
      </c>
      <c r="Z630" s="70">
        <v>221243.91449999998</v>
      </c>
      <c r="AA630" s="70">
        <v>221242.34229999999</v>
      </c>
      <c r="AB630" s="70">
        <v>0</v>
      </c>
      <c r="AC630" s="417">
        <v>0</v>
      </c>
      <c r="AD630" s="417">
        <v>0</v>
      </c>
      <c r="AE630" s="378">
        <v>8.81E-5</v>
      </c>
      <c r="AF630" s="378"/>
      <c r="AG630" s="70">
        <v>7306</v>
      </c>
      <c r="AH630" s="70">
        <v>0</v>
      </c>
      <c r="AI630" s="70">
        <v>0</v>
      </c>
      <c r="AJ630" s="417">
        <v>0</v>
      </c>
      <c r="AK630" s="417">
        <v>0</v>
      </c>
      <c r="AL630" s="378">
        <v>8.81E-5</v>
      </c>
      <c r="AM630" s="378"/>
      <c r="AN630" s="70">
        <v>-81556.335025000095</v>
      </c>
      <c r="AO630" s="70">
        <v>-32518.335025000095</v>
      </c>
      <c r="AP630" s="70">
        <v>-14251.335025000095</v>
      </c>
      <c r="AQ630" s="417">
        <v>0</v>
      </c>
      <c r="AR630" s="417">
        <v>0</v>
      </c>
    </row>
    <row r="631" spans="1:44">
      <c r="A631" s="439">
        <v>96911</v>
      </c>
      <c r="B631" s="440" t="s">
        <v>1339</v>
      </c>
      <c r="C631" s="437">
        <v>3.3000000000000002E-6</v>
      </c>
      <c r="D631" s="441"/>
      <c r="E631" s="438">
        <v>5622.0814250000003</v>
      </c>
      <c r="F631" s="442">
        <v>4375.5600249999998</v>
      </c>
      <c r="G631" s="442">
        <v>2171.4492250000003</v>
      </c>
      <c r="H631" s="442">
        <v>2931.4131000000002</v>
      </c>
      <c r="I631" s="442">
        <v>0</v>
      </c>
      <c r="J631" s="443">
        <v>3.2870000000000002E-4</v>
      </c>
      <c r="K631" s="443"/>
      <c r="L631" s="444">
        <v>531.71910000000003</v>
      </c>
      <c r="M631" s="444">
        <v>218.02110000000002</v>
      </c>
      <c r="N631" s="444">
        <v>-26.2119</v>
      </c>
      <c r="O631" s="444">
        <v>0</v>
      </c>
      <c r="P631" s="417">
        <v>0</v>
      </c>
      <c r="Q631" s="378">
        <v>3.2870000000000002E-4</v>
      </c>
      <c r="R631" s="378"/>
      <c r="S631" s="70">
        <v>1292.7849000000001</v>
      </c>
      <c r="T631" s="105">
        <v>1209.9681</v>
      </c>
      <c r="U631" s="70">
        <v>718.85220000000004</v>
      </c>
      <c r="V631" s="70">
        <v>2931.4131000000002</v>
      </c>
      <c r="W631" s="417">
        <v>0</v>
      </c>
      <c r="X631" s="378">
        <v>3.2870000000000002E-4</v>
      </c>
      <c r="Z631" s="70">
        <v>928.76850000000002</v>
      </c>
      <c r="AA631" s="70">
        <v>928.76190000000008</v>
      </c>
      <c r="AB631" s="70">
        <v>0</v>
      </c>
      <c r="AC631" s="417">
        <v>0</v>
      </c>
      <c r="AD631" s="417">
        <v>0</v>
      </c>
      <c r="AE631" s="378">
        <v>3.2870000000000002E-4</v>
      </c>
      <c r="AF631" s="378"/>
      <c r="AG631" s="70">
        <v>2868.8089250000003</v>
      </c>
      <c r="AH631" s="70">
        <v>2018.808925</v>
      </c>
      <c r="AI631" s="70">
        <v>1478.808925</v>
      </c>
      <c r="AJ631" s="417">
        <v>0</v>
      </c>
      <c r="AK631" s="417">
        <v>0</v>
      </c>
      <c r="AL631" s="378">
        <v>3.2870000000000002E-4</v>
      </c>
      <c r="AM631" s="378"/>
      <c r="AN631" s="70">
        <v>0</v>
      </c>
      <c r="AO631" s="70">
        <v>0</v>
      </c>
      <c r="AP631" s="70">
        <v>0</v>
      </c>
      <c r="AQ631" s="417">
        <v>0</v>
      </c>
      <c r="AR631" s="417">
        <v>0</v>
      </c>
    </row>
    <row r="632" spans="1:44">
      <c r="A632" s="439">
        <v>96912</v>
      </c>
      <c r="B632" s="440" t="s">
        <v>1340</v>
      </c>
      <c r="C632" s="437">
        <v>7.1099999999999994E-5</v>
      </c>
      <c r="D632" s="441"/>
      <c r="E632" s="438">
        <v>54589.556424999988</v>
      </c>
      <c r="F632" s="442">
        <v>45642.322624999986</v>
      </c>
      <c r="G632" s="442">
        <v>12716.299024999993</v>
      </c>
      <c r="H632" s="442">
        <v>63158.627699999997</v>
      </c>
      <c r="I632" s="442">
        <v>0</v>
      </c>
      <c r="J632" s="443">
        <v>7.3797000000000003E-3</v>
      </c>
      <c r="K632" s="443"/>
      <c r="L632" s="444">
        <v>11456.1297</v>
      </c>
      <c r="M632" s="444">
        <v>4697.3636999999999</v>
      </c>
      <c r="N632" s="444">
        <v>-564.7473</v>
      </c>
      <c r="O632" s="444">
        <v>0</v>
      </c>
      <c r="P632" s="417">
        <v>0</v>
      </c>
      <c r="Q632" s="378">
        <v>7.3797000000000003E-3</v>
      </c>
      <c r="R632" s="378"/>
      <c r="S632" s="70">
        <v>27853.638299999999</v>
      </c>
      <c r="T632" s="105">
        <v>26069.312699999999</v>
      </c>
      <c r="U632" s="70">
        <v>15487.997399999998</v>
      </c>
      <c r="V632" s="70">
        <v>63158.627699999997</v>
      </c>
      <c r="W632" s="417">
        <v>0</v>
      </c>
      <c r="X632" s="378">
        <v>7.3797000000000003E-3</v>
      </c>
      <c r="Z632" s="70">
        <v>20010.7395</v>
      </c>
      <c r="AA632" s="70">
        <v>20010.597299999998</v>
      </c>
      <c r="AB632" s="70">
        <v>0</v>
      </c>
      <c r="AC632" s="417">
        <v>0</v>
      </c>
      <c r="AD632" s="417">
        <v>0</v>
      </c>
      <c r="AE632" s="378">
        <v>7.3797000000000003E-3</v>
      </c>
      <c r="AF632" s="378"/>
      <c r="AG632" s="70">
        <v>656</v>
      </c>
      <c r="AH632" s="70">
        <v>0</v>
      </c>
      <c r="AI632" s="70">
        <v>0</v>
      </c>
      <c r="AJ632" s="417">
        <v>0</v>
      </c>
      <c r="AK632" s="417">
        <v>0</v>
      </c>
      <c r="AL632" s="378">
        <v>7.3797000000000003E-3</v>
      </c>
      <c r="AM632" s="378"/>
      <c r="AN632" s="70">
        <v>-5386.9510750000045</v>
      </c>
      <c r="AO632" s="70">
        <v>-5134.9510750000045</v>
      </c>
      <c r="AP632" s="70">
        <v>-2206.9510750000045</v>
      </c>
      <c r="AQ632" s="417">
        <v>0</v>
      </c>
      <c r="AR632" s="417">
        <v>0</v>
      </c>
    </row>
    <row r="633" spans="1:44">
      <c r="A633" s="439">
        <v>96918</v>
      </c>
      <c r="B633" s="440" t="s">
        <v>1341</v>
      </c>
      <c r="C633" s="437">
        <v>4.4499999999999997E-5</v>
      </c>
      <c r="D633" s="441"/>
      <c r="E633" s="438">
        <v>50662.444025000004</v>
      </c>
      <c r="F633" s="442">
        <v>42809.413025000002</v>
      </c>
      <c r="G633" s="442">
        <v>19071.131024999999</v>
      </c>
      <c r="H633" s="442">
        <v>39529.661499999995</v>
      </c>
      <c r="I633" s="442">
        <v>0</v>
      </c>
      <c r="J633" s="443">
        <v>2.3699999999999999E-4</v>
      </c>
      <c r="K633" s="443"/>
      <c r="L633" s="444">
        <v>7170.1514999999999</v>
      </c>
      <c r="M633" s="444">
        <v>2939.9814999999999</v>
      </c>
      <c r="N633" s="444">
        <v>-353.46349999999995</v>
      </c>
      <c r="O633" s="444">
        <v>0</v>
      </c>
      <c r="P633" s="417">
        <v>0</v>
      </c>
      <c r="Q633" s="378">
        <v>2.3699999999999999E-4</v>
      </c>
      <c r="R633" s="378"/>
      <c r="S633" s="70">
        <v>17433.0085</v>
      </c>
      <c r="T633" s="105">
        <v>16316.236499999999</v>
      </c>
      <c r="U633" s="70">
        <v>9693.6129999999994</v>
      </c>
      <c r="V633" s="70">
        <v>39529.661499999995</v>
      </c>
      <c r="W633" s="417">
        <v>0</v>
      </c>
      <c r="X633" s="378">
        <v>2.3699999999999999E-4</v>
      </c>
      <c r="Z633" s="70">
        <v>12524.3025</v>
      </c>
      <c r="AA633" s="70">
        <v>12524.2135</v>
      </c>
      <c r="AB633" s="70">
        <v>0</v>
      </c>
      <c r="AC633" s="417">
        <v>0</v>
      </c>
      <c r="AD633" s="417">
        <v>0</v>
      </c>
      <c r="AE633" s="378">
        <v>2.3699999999999999E-4</v>
      </c>
      <c r="AF633" s="378"/>
      <c r="AG633" s="70">
        <v>13633.981524999999</v>
      </c>
      <c r="AH633" s="70">
        <v>11028.981524999999</v>
      </c>
      <c r="AI633" s="70">
        <v>9730.9815249999992</v>
      </c>
      <c r="AJ633" s="417">
        <v>0</v>
      </c>
      <c r="AK633" s="417">
        <v>0</v>
      </c>
      <c r="AL633" s="378">
        <v>2.3699999999999999E-4</v>
      </c>
      <c r="AM633" s="378"/>
      <c r="AN633" s="70">
        <v>-99</v>
      </c>
      <c r="AO633" s="70">
        <v>0</v>
      </c>
      <c r="AP633" s="70">
        <v>0</v>
      </c>
      <c r="AQ633" s="417">
        <v>0</v>
      </c>
      <c r="AR633" s="417">
        <v>0</v>
      </c>
    </row>
    <row r="634" spans="1:44">
      <c r="A634" s="439">
        <v>97001</v>
      </c>
      <c r="B634" s="440" t="s">
        <v>1342</v>
      </c>
      <c r="C634" s="437">
        <v>1.4706999999999999E-3</v>
      </c>
      <c r="D634" s="441"/>
      <c r="E634" s="438">
        <v>1356492.3354249997</v>
      </c>
      <c r="F634" s="442">
        <v>1134699.9648250001</v>
      </c>
      <c r="G634" s="442">
        <v>335777.25162499992</v>
      </c>
      <c r="H634" s="442">
        <v>1306433.1048999999</v>
      </c>
      <c r="I634" s="442">
        <v>0</v>
      </c>
      <c r="J634" s="443">
        <v>1.2228E-3</v>
      </c>
      <c r="K634" s="443"/>
      <c r="L634" s="444">
        <v>236969.47889999999</v>
      </c>
      <c r="M634" s="444">
        <v>97164.736899999989</v>
      </c>
      <c r="N634" s="444">
        <v>-11681.7701</v>
      </c>
      <c r="O634" s="444">
        <v>0</v>
      </c>
      <c r="P634" s="417">
        <v>0</v>
      </c>
      <c r="Q634" s="378">
        <v>1.2228E-3</v>
      </c>
      <c r="R634" s="378"/>
      <c r="S634" s="70">
        <v>576151.13709999993</v>
      </c>
      <c r="T634" s="105">
        <v>539242.44990000001</v>
      </c>
      <c r="U634" s="70">
        <v>320368.46379999997</v>
      </c>
      <c r="V634" s="70">
        <v>1306433.1048999999</v>
      </c>
      <c r="W634" s="417">
        <v>0</v>
      </c>
      <c r="X634" s="378">
        <v>1.2228E-3</v>
      </c>
      <c r="Z634" s="70">
        <v>413921.16149999999</v>
      </c>
      <c r="AA634" s="70">
        <v>413918.22009999998</v>
      </c>
      <c r="AB634" s="70">
        <v>0</v>
      </c>
      <c r="AC634" s="417">
        <v>0</v>
      </c>
      <c r="AD634" s="417">
        <v>0</v>
      </c>
      <c r="AE634" s="378">
        <v>1.2228E-3</v>
      </c>
      <c r="AF634" s="378"/>
      <c r="AG634" s="70">
        <v>129450.55792499997</v>
      </c>
      <c r="AH634" s="70">
        <v>84374.557924999972</v>
      </c>
      <c r="AI634" s="70">
        <v>27090.557924999972</v>
      </c>
      <c r="AJ634" s="417">
        <v>0</v>
      </c>
      <c r="AK634" s="417">
        <v>0</v>
      </c>
      <c r="AL634" s="378">
        <v>1.2228E-3</v>
      </c>
      <c r="AM634" s="378"/>
      <c r="AN634" s="70">
        <v>0</v>
      </c>
      <c r="AO634" s="70">
        <v>0</v>
      </c>
      <c r="AP634" s="70">
        <v>0</v>
      </c>
      <c r="AQ634" s="417">
        <v>0</v>
      </c>
      <c r="AR634" s="417">
        <v>0</v>
      </c>
    </row>
    <row r="635" spans="1:44">
      <c r="A635" s="439">
        <v>97002</v>
      </c>
      <c r="B635" s="440" t="s">
        <v>1343</v>
      </c>
      <c r="C635" s="437">
        <v>3.9350000000000002E-4</v>
      </c>
      <c r="D635" s="224"/>
      <c r="E635" s="438">
        <v>220486.70262500003</v>
      </c>
      <c r="F635" s="445">
        <v>209953.52962499997</v>
      </c>
      <c r="G635" s="445">
        <v>45249.923624999981</v>
      </c>
      <c r="H635" s="445">
        <v>349548.80450000003</v>
      </c>
      <c r="I635" s="445">
        <v>0</v>
      </c>
      <c r="J635" s="446">
        <v>5.5815999999999999E-3</v>
      </c>
      <c r="K635" s="446"/>
      <c r="L635" s="447">
        <v>63403.474500000004</v>
      </c>
      <c r="M635" s="444">
        <v>25997.364500000003</v>
      </c>
      <c r="N635" s="444">
        <v>-3125.5705000000003</v>
      </c>
      <c r="O635" s="444">
        <v>0</v>
      </c>
      <c r="P635" s="417">
        <v>0</v>
      </c>
      <c r="Q635" s="378">
        <v>5.5815999999999999E-3</v>
      </c>
      <c r="R635" s="378"/>
      <c r="S635" s="70">
        <v>154154.80550000002</v>
      </c>
      <c r="T635" s="105">
        <v>144279.5295</v>
      </c>
      <c r="U635" s="70">
        <v>85717.679000000004</v>
      </c>
      <c r="V635" s="70">
        <v>349548.80450000003</v>
      </c>
      <c r="W635" s="417">
        <v>0</v>
      </c>
      <c r="X635" s="378">
        <v>5.5815999999999999E-3</v>
      </c>
      <c r="Z635" s="70">
        <v>110748.60750000001</v>
      </c>
      <c r="AA635" s="70">
        <v>110747.8205</v>
      </c>
      <c r="AB635" s="70">
        <v>0</v>
      </c>
      <c r="AC635" s="417">
        <v>0</v>
      </c>
      <c r="AD635" s="417">
        <v>0</v>
      </c>
      <c r="AE635" s="378">
        <v>5.5815999999999999E-3</v>
      </c>
      <c r="AF635" s="378"/>
      <c r="AG635" s="70">
        <v>0</v>
      </c>
      <c r="AH635" s="70">
        <v>0</v>
      </c>
      <c r="AI635" s="70">
        <v>0</v>
      </c>
      <c r="AJ635" s="417">
        <v>0</v>
      </c>
      <c r="AK635" s="417">
        <v>0</v>
      </c>
      <c r="AL635" s="378">
        <v>5.5815999999999999E-3</v>
      </c>
      <c r="AM635" s="378"/>
      <c r="AN635" s="70">
        <v>-107820.18487500002</v>
      </c>
      <c r="AO635" s="70">
        <v>-71071.184875000021</v>
      </c>
      <c r="AP635" s="70">
        <v>-37342.184875000021</v>
      </c>
      <c r="AQ635" s="417">
        <v>0</v>
      </c>
      <c r="AR635" s="417">
        <v>0</v>
      </c>
    </row>
    <row r="636" spans="1:44">
      <c r="A636" s="439">
        <v>97004</v>
      </c>
      <c r="B636" s="440" t="s">
        <v>1344</v>
      </c>
      <c r="C636" s="437">
        <v>1.6399999999999999E-5</v>
      </c>
      <c r="D636" s="224"/>
      <c r="E636" s="438">
        <v>17897.333700000003</v>
      </c>
      <c r="F636" s="445">
        <v>14312.7425</v>
      </c>
      <c r="G636" s="445">
        <v>3835.6161000000006</v>
      </c>
      <c r="H636" s="445">
        <v>14568.234799999998</v>
      </c>
      <c r="I636" s="445">
        <v>0</v>
      </c>
      <c r="J636" s="446">
        <v>1.1953000000000001E-3</v>
      </c>
      <c r="K636" s="446"/>
      <c r="L636" s="447">
        <v>2642.4827999999998</v>
      </c>
      <c r="M636" s="444">
        <v>1083.4987999999998</v>
      </c>
      <c r="N636" s="444">
        <v>-130.26519999999999</v>
      </c>
      <c r="O636" s="444">
        <v>0</v>
      </c>
      <c r="P636" s="417">
        <v>0</v>
      </c>
      <c r="Q636" s="378">
        <v>1.1953000000000001E-3</v>
      </c>
      <c r="R636" s="378"/>
      <c r="S636" s="70">
        <v>6424.7491999999993</v>
      </c>
      <c r="T636" s="105">
        <v>6013.1747999999998</v>
      </c>
      <c r="U636" s="70">
        <v>3572.4775999999997</v>
      </c>
      <c r="V636" s="70">
        <v>14568.234799999998</v>
      </c>
      <c r="W636" s="417">
        <v>0</v>
      </c>
      <c r="X636" s="378">
        <v>1.1953000000000001E-3</v>
      </c>
      <c r="Z636" s="70">
        <v>4615.6979999999994</v>
      </c>
      <c r="AA636" s="70">
        <v>4615.6651999999995</v>
      </c>
      <c r="AB636" s="70">
        <v>0</v>
      </c>
      <c r="AC636" s="417">
        <v>0</v>
      </c>
      <c r="AD636" s="417">
        <v>0</v>
      </c>
      <c r="AE636" s="378">
        <v>1.1953000000000001E-3</v>
      </c>
      <c r="AF636" s="378"/>
      <c r="AG636" s="70">
        <v>4518.4037000000008</v>
      </c>
      <c r="AH636" s="70">
        <v>2600.4037000000008</v>
      </c>
      <c r="AI636" s="70">
        <v>393.40370000000075</v>
      </c>
      <c r="AJ636" s="417">
        <v>0</v>
      </c>
      <c r="AK636" s="417">
        <v>0</v>
      </c>
      <c r="AL636" s="378">
        <v>1.1953000000000001E-3</v>
      </c>
      <c r="AM636" s="378"/>
      <c r="AN636" s="70">
        <v>-304</v>
      </c>
      <c r="AO636" s="70">
        <v>0</v>
      </c>
      <c r="AP636" s="70">
        <v>0</v>
      </c>
      <c r="AQ636" s="417">
        <v>0</v>
      </c>
      <c r="AR636" s="417">
        <v>0</v>
      </c>
    </row>
    <row r="637" spans="1:44">
      <c r="A637" s="439">
        <v>97005</v>
      </c>
      <c r="B637" s="440" t="s">
        <v>1345</v>
      </c>
      <c r="C637" s="437">
        <v>3.0700000000000001E-5</v>
      </c>
      <c r="D637" s="224"/>
      <c r="E637" s="438">
        <v>32285.590275000002</v>
      </c>
      <c r="F637" s="445">
        <v>26918.739674999997</v>
      </c>
      <c r="G637" s="445">
        <v>6607.4664749999993</v>
      </c>
      <c r="H637" s="445">
        <v>27271.0249</v>
      </c>
      <c r="I637" s="445">
        <v>0</v>
      </c>
      <c r="J637" s="446">
        <v>7.9889999999999996E-4</v>
      </c>
      <c r="K637" s="446"/>
      <c r="L637" s="447">
        <v>4946.5989</v>
      </c>
      <c r="M637" s="444">
        <v>2028.2569000000001</v>
      </c>
      <c r="N637" s="444">
        <v>-243.8501</v>
      </c>
      <c r="O637" s="444">
        <v>0</v>
      </c>
      <c r="P637" s="417">
        <v>0</v>
      </c>
      <c r="Q637" s="378">
        <v>7.9889999999999996E-4</v>
      </c>
      <c r="R637" s="378"/>
      <c r="S637" s="70">
        <v>12026.8171</v>
      </c>
      <c r="T637" s="105">
        <v>11256.3699</v>
      </c>
      <c r="U637" s="70">
        <v>6687.5038000000004</v>
      </c>
      <c r="V637" s="70">
        <v>27271.0249</v>
      </c>
      <c r="W637" s="417">
        <v>0</v>
      </c>
      <c r="X637" s="378">
        <v>7.9889999999999996E-4</v>
      </c>
      <c r="Z637" s="70">
        <v>8640.3615000000009</v>
      </c>
      <c r="AA637" s="70">
        <v>8640.3001000000004</v>
      </c>
      <c r="AB637" s="70">
        <v>0</v>
      </c>
      <c r="AC637" s="417">
        <v>0</v>
      </c>
      <c r="AD637" s="417">
        <v>0</v>
      </c>
      <c r="AE637" s="378">
        <v>7.9889999999999996E-4</v>
      </c>
      <c r="AF637" s="378"/>
      <c r="AG637" s="70">
        <v>7122.8127749999985</v>
      </c>
      <c r="AH637" s="70">
        <v>4993.8127749999985</v>
      </c>
      <c r="AI637" s="70">
        <v>163.81277499999851</v>
      </c>
      <c r="AJ637" s="417">
        <v>0</v>
      </c>
      <c r="AK637" s="417">
        <v>0</v>
      </c>
      <c r="AL637" s="378">
        <v>7.9889999999999996E-4</v>
      </c>
      <c r="AM637" s="378"/>
      <c r="AN637" s="70">
        <v>-451</v>
      </c>
      <c r="AO637" s="70">
        <v>0</v>
      </c>
      <c r="AP637" s="70">
        <v>0</v>
      </c>
      <c r="AQ637" s="417">
        <v>0</v>
      </c>
      <c r="AR637" s="417">
        <v>0</v>
      </c>
    </row>
    <row r="638" spans="1:44">
      <c r="A638" s="439">
        <v>97008</v>
      </c>
      <c r="B638" s="440" t="s">
        <v>1346</v>
      </c>
      <c r="C638" s="437">
        <v>3.5110000000000002E-4</v>
      </c>
      <c r="D638" s="224"/>
      <c r="E638" s="438">
        <v>328287.85077500006</v>
      </c>
      <c r="F638" s="445">
        <v>285571.37697500002</v>
      </c>
      <c r="G638" s="445">
        <v>99639.073375000051</v>
      </c>
      <c r="H638" s="445">
        <v>311884.58770000003</v>
      </c>
      <c r="I638" s="445">
        <v>0</v>
      </c>
      <c r="J638" s="446">
        <v>8.2089999999999995E-4</v>
      </c>
      <c r="K638" s="446"/>
      <c r="L638" s="447">
        <v>56571.689700000003</v>
      </c>
      <c r="M638" s="444">
        <v>23196.1237</v>
      </c>
      <c r="N638" s="444">
        <v>-2788.7873</v>
      </c>
      <c r="O638" s="444">
        <v>0</v>
      </c>
      <c r="P638" s="417">
        <v>0</v>
      </c>
      <c r="Q638" s="378">
        <v>8.2089999999999995E-4</v>
      </c>
      <c r="R638" s="378"/>
      <c r="S638" s="70">
        <v>137544.47830000002</v>
      </c>
      <c r="T638" s="105">
        <v>128733.2727</v>
      </c>
      <c r="U638" s="70">
        <v>76481.517400000012</v>
      </c>
      <c r="V638" s="70">
        <v>311884.58770000003</v>
      </c>
      <c r="W638" s="417">
        <v>0</v>
      </c>
      <c r="X638" s="378">
        <v>8.2089999999999995E-4</v>
      </c>
      <c r="Z638" s="70">
        <v>98815.339500000002</v>
      </c>
      <c r="AA638" s="70">
        <v>98814.637300000002</v>
      </c>
      <c r="AB638" s="70">
        <v>0</v>
      </c>
      <c r="AC638" s="417">
        <v>0</v>
      </c>
      <c r="AD638" s="417">
        <v>0</v>
      </c>
      <c r="AE638" s="378">
        <v>8.2089999999999995E-4</v>
      </c>
      <c r="AF638" s="378"/>
      <c r="AG638" s="70">
        <v>37742.343275000036</v>
      </c>
      <c r="AH638" s="70">
        <v>34827.343275000036</v>
      </c>
      <c r="AI638" s="70">
        <v>25946.343275000036</v>
      </c>
      <c r="AJ638" s="417">
        <v>0</v>
      </c>
      <c r="AK638" s="417">
        <v>0</v>
      </c>
      <c r="AL638" s="378">
        <v>8.2089999999999995E-4</v>
      </c>
      <c r="AM638" s="378"/>
      <c r="AN638" s="70">
        <v>-2386</v>
      </c>
      <c r="AO638" s="70">
        <v>0</v>
      </c>
      <c r="AP638" s="70">
        <v>0</v>
      </c>
      <c r="AQ638" s="417">
        <v>0</v>
      </c>
      <c r="AR638" s="417">
        <v>0</v>
      </c>
    </row>
    <row r="639" spans="1:44">
      <c r="A639" s="439">
        <v>97011</v>
      </c>
      <c r="B639" s="440" t="s">
        <v>1348</v>
      </c>
      <c r="C639" s="437">
        <v>1.8959999999999999E-3</v>
      </c>
      <c r="D639" s="224"/>
      <c r="E639" s="438">
        <v>1588551.9952</v>
      </c>
      <c r="F639" s="445">
        <v>1379321.4272</v>
      </c>
      <c r="G639" s="445">
        <v>432669.13119999995</v>
      </c>
      <c r="H639" s="445">
        <v>1684230.0719999999</v>
      </c>
      <c r="I639" s="445">
        <v>0</v>
      </c>
      <c r="J639" s="446">
        <v>2.2000000000000001E-6</v>
      </c>
      <c r="K639" s="446"/>
      <c r="L639" s="447">
        <v>305496.79199999996</v>
      </c>
      <c r="M639" s="444">
        <v>125263.03199999999</v>
      </c>
      <c r="N639" s="444">
        <v>-15059.928</v>
      </c>
      <c r="O639" s="444">
        <v>0</v>
      </c>
      <c r="P639" s="417">
        <v>0</v>
      </c>
      <c r="Q639" s="378">
        <v>2.2000000000000001E-6</v>
      </c>
      <c r="R639" s="378"/>
      <c r="S639" s="70">
        <v>742763.68799999997</v>
      </c>
      <c r="T639" s="105">
        <v>695181.67200000002</v>
      </c>
      <c r="U639" s="70">
        <v>413013.26399999997</v>
      </c>
      <c r="V639" s="70">
        <v>1684230.0719999999</v>
      </c>
      <c r="W639" s="417">
        <v>0</v>
      </c>
      <c r="X639" s="378">
        <v>2.2000000000000001E-6</v>
      </c>
      <c r="Z639" s="70">
        <v>533619.72</v>
      </c>
      <c r="AA639" s="70">
        <v>533615.92799999996</v>
      </c>
      <c r="AB639" s="70">
        <v>0</v>
      </c>
      <c r="AC639" s="417">
        <v>0</v>
      </c>
      <c r="AD639" s="417">
        <v>0</v>
      </c>
      <c r="AE639" s="378">
        <v>2.2000000000000001E-6</v>
      </c>
      <c r="AF639" s="378"/>
      <c r="AG639" s="70">
        <v>40401.795199999993</v>
      </c>
      <c r="AH639" s="70">
        <v>34715.795199999993</v>
      </c>
      <c r="AI639" s="70">
        <v>34715.795199999993</v>
      </c>
      <c r="AJ639" s="417">
        <v>0</v>
      </c>
      <c r="AK639" s="417">
        <v>0</v>
      </c>
      <c r="AL639" s="378">
        <v>2.2000000000000001E-6</v>
      </c>
      <c r="AM639" s="378"/>
      <c r="AN639" s="70">
        <v>-33730</v>
      </c>
      <c r="AO639" s="70">
        <v>-9455</v>
      </c>
      <c r="AP639" s="70">
        <v>0</v>
      </c>
      <c r="AQ639" s="417">
        <v>0</v>
      </c>
      <c r="AR639" s="417">
        <v>0</v>
      </c>
    </row>
    <row r="640" spans="1:44">
      <c r="A640" s="439">
        <v>97012</v>
      </c>
      <c r="B640" s="440" t="s">
        <v>1349</v>
      </c>
      <c r="C640" s="437">
        <v>2.5400000000000001E-5</v>
      </c>
      <c r="D640" s="224"/>
      <c r="E640" s="438">
        <v>20640.968950000002</v>
      </c>
      <c r="F640" s="445">
        <v>18186.955750000001</v>
      </c>
      <c r="G640" s="445">
        <v>7293.3453500000014</v>
      </c>
      <c r="H640" s="445">
        <v>22562.997800000001</v>
      </c>
      <c r="I640" s="445">
        <v>0</v>
      </c>
      <c r="J640" s="446">
        <v>7.25E-5</v>
      </c>
      <c r="K640" s="446"/>
      <c r="L640" s="447">
        <v>4092.6258000000003</v>
      </c>
      <c r="M640" s="444">
        <v>1678.1018000000001</v>
      </c>
      <c r="N640" s="444">
        <v>-201.75220000000002</v>
      </c>
      <c r="O640" s="444">
        <v>0</v>
      </c>
      <c r="P640" s="417">
        <v>0</v>
      </c>
      <c r="Q640" s="378">
        <v>7.25E-5</v>
      </c>
      <c r="R640" s="378"/>
      <c r="S640" s="70">
        <v>9950.5262000000002</v>
      </c>
      <c r="T640" s="105">
        <v>9313.0878000000012</v>
      </c>
      <c r="U640" s="70">
        <v>5532.9836000000005</v>
      </c>
      <c r="V640" s="70">
        <v>22562.997800000001</v>
      </c>
      <c r="W640" s="417">
        <v>0</v>
      </c>
      <c r="X640" s="378">
        <v>7.25E-5</v>
      </c>
      <c r="Z640" s="70">
        <v>7148.7030000000004</v>
      </c>
      <c r="AA640" s="70">
        <v>7148.6522000000004</v>
      </c>
      <c r="AB640" s="70">
        <v>0</v>
      </c>
      <c r="AC640" s="417">
        <v>0</v>
      </c>
      <c r="AD640" s="417">
        <v>0</v>
      </c>
      <c r="AE640" s="378">
        <v>7.25E-5</v>
      </c>
      <c r="AF640" s="378"/>
      <c r="AG640" s="70">
        <v>2366.1139500000008</v>
      </c>
      <c r="AH640" s="70">
        <v>1962.1139500000008</v>
      </c>
      <c r="AI640" s="70">
        <v>1962.1139500000008</v>
      </c>
      <c r="AJ640" s="417">
        <v>0</v>
      </c>
      <c r="AK640" s="417">
        <v>0</v>
      </c>
      <c r="AL640" s="378">
        <v>7.25E-5</v>
      </c>
      <c r="AM640" s="378"/>
      <c r="AN640" s="70">
        <v>-2917</v>
      </c>
      <c r="AO640" s="70">
        <v>-1915</v>
      </c>
      <c r="AP640" s="70">
        <v>0</v>
      </c>
      <c r="AQ640" s="417">
        <v>0</v>
      </c>
      <c r="AR640" s="417">
        <v>0</v>
      </c>
    </row>
    <row r="641" spans="1:46">
      <c r="A641" s="439">
        <v>97013</v>
      </c>
      <c r="B641" s="440" t="s">
        <v>1350</v>
      </c>
      <c r="C641" s="437">
        <v>2.3600000000000001E-5</v>
      </c>
      <c r="D641" s="224"/>
      <c r="E641" s="438">
        <v>25738.782800000004</v>
      </c>
      <c r="F641" s="445">
        <v>20773.054000000007</v>
      </c>
      <c r="G641" s="445">
        <v>6954.1404000000039</v>
      </c>
      <c r="H641" s="445">
        <v>20964.0452</v>
      </c>
      <c r="I641" s="445">
        <v>0</v>
      </c>
      <c r="J641" s="446">
        <v>2.9200000000000002E-5</v>
      </c>
      <c r="K641" s="446"/>
      <c r="L641" s="447">
        <v>3802.5972000000002</v>
      </c>
      <c r="M641" s="444">
        <v>1559.1812</v>
      </c>
      <c r="N641" s="444">
        <v>-187.45480000000001</v>
      </c>
      <c r="O641" s="444">
        <v>0</v>
      </c>
      <c r="P641" s="417">
        <v>0</v>
      </c>
      <c r="Q641" s="378">
        <v>2.9200000000000002E-5</v>
      </c>
      <c r="R641" s="378"/>
      <c r="S641" s="70">
        <v>9245.3708000000006</v>
      </c>
      <c r="T641" s="105">
        <v>8653.1052</v>
      </c>
      <c r="U641" s="70">
        <v>5140.8824000000004</v>
      </c>
      <c r="V641" s="70">
        <v>20964.0452</v>
      </c>
      <c r="W641" s="417">
        <v>0</v>
      </c>
      <c r="X641" s="378">
        <v>2.9200000000000002E-5</v>
      </c>
      <c r="Z641" s="70">
        <v>6642.1019999999999</v>
      </c>
      <c r="AA641" s="70">
        <v>6642.0547999999999</v>
      </c>
      <c r="AB641" s="70">
        <v>0</v>
      </c>
      <c r="AC641" s="417">
        <v>0</v>
      </c>
      <c r="AD641" s="417">
        <v>0</v>
      </c>
      <c r="AE641" s="378">
        <v>2.9200000000000002E-5</v>
      </c>
      <c r="AF641" s="378"/>
      <c r="AG641" s="70">
        <v>8159.7128000000039</v>
      </c>
      <c r="AH641" s="70">
        <v>3918.7128000000039</v>
      </c>
      <c r="AI641" s="70">
        <v>2000.7128000000039</v>
      </c>
      <c r="AJ641" s="417">
        <v>0</v>
      </c>
      <c r="AK641" s="417">
        <v>0</v>
      </c>
      <c r="AL641" s="378">
        <v>2.9200000000000002E-5</v>
      </c>
      <c r="AM641" s="378"/>
      <c r="AN641" s="70">
        <v>-2111</v>
      </c>
      <c r="AO641" s="70">
        <v>0</v>
      </c>
      <c r="AP641" s="70">
        <v>0</v>
      </c>
      <c r="AQ641" s="417">
        <v>0</v>
      </c>
      <c r="AR641" s="417">
        <v>0</v>
      </c>
    </row>
    <row r="642" spans="1:46">
      <c r="A642" s="439">
        <v>97015</v>
      </c>
      <c r="B642" s="440" t="s">
        <v>1351</v>
      </c>
      <c r="C642" s="437">
        <v>4.6400000000000003E-5</v>
      </c>
      <c r="D642" s="441"/>
      <c r="E642" s="438">
        <v>40721.968800000002</v>
      </c>
      <c r="F642" s="442">
        <v>33856.637600000002</v>
      </c>
      <c r="G642" s="442">
        <v>9982.231200000002</v>
      </c>
      <c r="H642" s="442">
        <v>41217.444800000005</v>
      </c>
      <c r="I642" s="442">
        <v>0</v>
      </c>
      <c r="J642" s="443">
        <v>1.4491E-3</v>
      </c>
      <c r="K642" s="443"/>
      <c r="L642" s="444">
        <v>7476.2928000000002</v>
      </c>
      <c r="M642" s="444">
        <v>3065.5088000000001</v>
      </c>
      <c r="N642" s="444">
        <v>-368.55520000000001</v>
      </c>
      <c r="O642" s="444">
        <v>0</v>
      </c>
      <c r="P642" s="417">
        <v>0</v>
      </c>
      <c r="Q642" s="378">
        <v>1.4491E-3</v>
      </c>
      <c r="R642" s="378"/>
      <c r="S642" s="70">
        <v>18177.339200000002</v>
      </c>
      <c r="T642" s="105">
        <v>17012.8848</v>
      </c>
      <c r="U642" s="70">
        <v>10107.497600000001</v>
      </c>
      <c r="V642" s="70">
        <v>41217.444800000005</v>
      </c>
      <c r="W642" s="417">
        <v>0</v>
      </c>
      <c r="X642" s="378">
        <v>1.4491E-3</v>
      </c>
      <c r="Z642" s="70">
        <v>13059.048000000001</v>
      </c>
      <c r="AA642" s="70">
        <v>13058.9552</v>
      </c>
      <c r="AB642" s="70">
        <v>0</v>
      </c>
      <c r="AC642" s="417">
        <v>0</v>
      </c>
      <c r="AD642" s="417">
        <v>0</v>
      </c>
      <c r="AE642" s="378">
        <v>1.4491E-3</v>
      </c>
      <c r="AF642" s="378"/>
      <c r="AG642" s="70">
        <v>3159.2888000000021</v>
      </c>
      <c r="AH642" s="70">
        <v>719.28880000000208</v>
      </c>
      <c r="AI642" s="70">
        <v>243.28880000000208</v>
      </c>
      <c r="AJ642" s="417">
        <v>0</v>
      </c>
      <c r="AK642" s="417">
        <v>0</v>
      </c>
      <c r="AL642" s="378">
        <v>1.4491E-3</v>
      </c>
      <c r="AM642" s="378"/>
      <c r="AN642" s="70">
        <v>-1150</v>
      </c>
      <c r="AO642" s="70">
        <v>0</v>
      </c>
      <c r="AP642" s="70">
        <v>0</v>
      </c>
      <c r="AQ642" s="417">
        <v>0</v>
      </c>
      <c r="AR642" s="417">
        <v>0</v>
      </c>
    </row>
    <row r="643" spans="1:46">
      <c r="A643" s="439">
        <v>97018</v>
      </c>
      <c r="B643" s="440" t="s">
        <v>1352</v>
      </c>
      <c r="C643" s="437">
        <v>9.0000000000000002E-6</v>
      </c>
      <c r="D643" s="441"/>
      <c r="E643" s="438">
        <v>4983.8981000000003</v>
      </c>
      <c r="F643" s="442">
        <v>2104.4761000000017</v>
      </c>
      <c r="G643" s="442">
        <v>-1529.0078999999989</v>
      </c>
      <c r="H643" s="442">
        <v>7994.7629999999999</v>
      </c>
      <c r="I643" s="442">
        <v>0</v>
      </c>
      <c r="J643" s="443">
        <v>4.395E-4</v>
      </c>
      <c r="K643" s="443"/>
      <c r="L643" s="444">
        <v>1450.143</v>
      </c>
      <c r="M643" s="444">
        <v>594.60300000000007</v>
      </c>
      <c r="N643" s="444">
        <v>-71.486999999999995</v>
      </c>
      <c r="O643" s="444">
        <v>0</v>
      </c>
      <c r="P643" s="417">
        <v>0</v>
      </c>
      <c r="Q643" s="378">
        <v>4.395E-4</v>
      </c>
      <c r="R643" s="378"/>
      <c r="S643" s="70">
        <v>3525.777</v>
      </c>
      <c r="T643" s="105">
        <v>3299.913</v>
      </c>
      <c r="U643" s="70">
        <v>1960.5060000000001</v>
      </c>
      <c r="V643" s="70">
        <v>7994.7629999999999</v>
      </c>
      <c r="W643" s="417">
        <v>0</v>
      </c>
      <c r="X643" s="378">
        <v>4.395E-4</v>
      </c>
      <c r="Z643" s="70">
        <v>2533.0050000000001</v>
      </c>
      <c r="AA643" s="70">
        <v>2532.9870000000001</v>
      </c>
      <c r="AB643" s="70">
        <v>0</v>
      </c>
      <c r="AC643" s="417">
        <v>0</v>
      </c>
      <c r="AD643" s="417">
        <v>0</v>
      </c>
      <c r="AE643" s="378">
        <v>4.395E-4</v>
      </c>
      <c r="AF643" s="378"/>
      <c r="AG643" s="70">
        <v>1798</v>
      </c>
      <c r="AH643" s="70">
        <v>0</v>
      </c>
      <c r="AI643" s="70">
        <v>0</v>
      </c>
      <c r="AJ643" s="417">
        <v>0</v>
      </c>
      <c r="AK643" s="417">
        <v>0</v>
      </c>
      <c r="AL643" s="378">
        <v>4.395E-4</v>
      </c>
      <c r="AM643" s="378"/>
      <c r="AN643" s="70">
        <v>-4323.0268999999989</v>
      </c>
      <c r="AO643" s="70">
        <v>-4323.0268999999989</v>
      </c>
      <c r="AP643" s="70">
        <v>-3418.0268999999989</v>
      </c>
      <c r="AQ643" s="417">
        <v>0</v>
      </c>
      <c r="AR643" s="417">
        <v>0</v>
      </c>
    </row>
    <row r="644" spans="1:46">
      <c r="A644" s="439">
        <v>97101</v>
      </c>
      <c r="B644" s="440" t="s">
        <v>1353</v>
      </c>
      <c r="C644" s="437">
        <v>3.0308000000000002E-3</v>
      </c>
      <c r="D644" s="441"/>
      <c r="E644" s="438">
        <v>2752392.53895</v>
      </c>
      <c r="F644" s="442">
        <v>2302699.6725500003</v>
      </c>
      <c r="G644" s="442">
        <v>660020.97175000003</v>
      </c>
      <c r="H644" s="442">
        <v>2692280.8556000004</v>
      </c>
      <c r="I644" s="442">
        <v>0</v>
      </c>
      <c r="J644" s="443">
        <v>1.5999999999999999E-5</v>
      </c>
      <c r="K644" s="443"/>
      <c r="L644" s="444">
        <v>488343.71160000004</v>
      </c>
      <c r="M644" s="444">
        <v>200235.86360000001</v>
      </c>
      <c r="N644" s="444">
        <v>-24073.644400000001</v>
      </c>
      <c r="O644" s="444">
        <v>0</v>
      </c>
      <c r="P644" s="417">
        <v>0</v>
      </c>
      <c r="Q644" s="378">
        <v>1.5999999999999999E-5</v>
      </c>
      <c r="R644" s="378"/>
      <c r="S644" s="70">
        <v>1187324.9924000001</v>
      </c>
      <c r="T644" s="105">
        <v>1111264.0356000001</v>
      </c>
      <c r="U644" s="70">
        <v>660211.28720000002</v>
      </c>
      <c r="V644" s="70">
        <v>2692280.8556000004</v>
      </c>
      <c r="W644" s="417">
        <v>0</v>
      </c>
      <c r="X644" s="378">
        <v>1.5999999999999999E-5</v>
      </c>
      <c r="Z644" s="70">
        <v>853003.50600000005</v>
      </c>
      <c r="AA644" s="70">
        <v>852997.44440000004</v>
      </c>
      <c r="AB644" s="70">
        <v>0</v>
      </c>
      <c r="AC644" s="417">
        <v>0</v>
      </c>
      <c r="AD644" s="417">
        <v>0</v>
      </c>
      <c r="AE644" s="378">
        <v>1.5999999999999999E-5</v>
      </c>
      <c r="AF644" s="378"/>
      <c r="AG644" s="70">
        <v>223720.32895</v>
      </c>
      <c r="AH644" s="70">
        <v>138202.32895</v>
      </c>
      <c r="AI644" s="70">
        <v>23883.328949999996</v>
      </c>
      <c r="AJ644" s="417">
        <v>0</v>
      </c>
      <c r="AK644" s="417">
        <v>0</v>
      </c>
      <c r="AL644" s="378">
        <v>1.5999999999999999E-5</v>
      </c>
      <c r="AM644" s="378"/>
      <c r="AN644" s="70">
        <v>0</v>
      </c>
      <c r="AO644" s="70">
        <v>0</v>
      </c>
      <c r="AP644" s="70">
        <v>0</v>
      </c>
      <c r="AQ644" s="417">
        <v>0</v>
      </c>
      <c r="AR644" s="417">
        <v>0</v>
      </c>
    </row>
    <row r="645" spans="1:46">
      <c r="A645" s="439">
        <v>97104</v>
      </c>
      <c r="B645" s="440" t="s">
        <v>1354</v>
      </c>
      <c r="C645" s="437">
        <v>6.41E-5</v>
      </c>
      <c r="D645" s="441"/>
      <c r="E645" s="438">
        <v>67492.298224999991</v>
      </c>
      <c r="F645" s="442">
        <v>58315.170424999989</v>
      </c>
      <c r="G645" s="442">
        <v>18852.07882499999</v>
      </c>
      <c r="H645" s="442">
        <v>56940.4787</v>
      </c>
      <c r="I645" s="442">
        <v>0</v>
      </c>
      <c r="J645" s="443">
        <v>3.04E-5</v>
      </c>
      <c r="K645" s="443"/>
      <c r="L645" s="444">
        <v>10328.2407</v>
      </c>
      <c r="M645" s="444">
        <v>4234.8946999999998</v>
      </c>
      <c r="N645" s="444">
        <v>-509.1463</v>
      </c>
      <c r="O645" s="444">
        <v>0</v>
      </c>
      <c r="P645" s="417">
        <v>0</v>
      </c>
      <c r="Q645" s="378">
        <v>3.04E-5</v>
      </c>
      <c r="R645" s="378"/>
      <c r="S645" s="70">
        <v>25111.367299999998</v>
      </c>
      <c r="T645" s="105">
        <v>23502.7137</v>
      </c>
      <c r="U645" s="70">
        <v>13963.1594</v>
      </c>
      <c r="V645" s="70">
        <v>56940.4787</v>
      </c>
      <c r="W645" s="417">
        <v>0</v>
      </c>
      <c r="X645" s="378">
        <v>3.04E-5</v>
      </c>
      <c r="Z645" s="70">
        <v>18040.624499999998</v>
      </c>
      <c r="AA645" s="70">
        <v>18040.496299999999</v>
      </c>
      <c r="AB645" s="70">
        <v>0</v>
      </c>
      <c r="AC645" s="417">
        <v>0</v>
      </c>
      <c r="AD645" s="417">
        <v>0</v>
      </c>
      <c r="AE645" s="378">
        <v>3.04E-5</v>
      </c>
      <c r="AF645" s="378"/>
      <c r="AG645" s="70">
        <v>14012.065724999991</v>
      </c>
      <c r="AH645" s="70">
        <v>12537.065724999991</v>
      </c>
      <c r="AI645" s="70">
        <v>5398.0657249999913</v>
      </c>
      <c r="AJ645" s="417">
        <v>0</v>
      </c>
      <c r="AK645" s="417">
        <v>0</v>
      </c>
      <c r="AL645" s="378">
        <v>3.04E-5</v>
      </c>
      <c r="AM645" s="378"/>
      <c r="AN645" s="70">
        <v>0</v>
      </c>
      <c r="AO645" s="70">
        <v>0</v>
      </c>
      <c r="AP645" s="70">
        <v>0</v>
      </c>
      <c r="AQ645" s="417">
        <v>0</v>
      </c>
      <c r="AR645" s="417">
        <v>0</v>
      </c>
    </row>
    <row r="646" spans="1:46">
      <c r="A646" s="439">
        <v>97111</v>
      </c>
      <c r="B646" s="440" t="s">
        <v>1355</v>
      </c>
      <c r="C646" s="437">
        <v>3.522E-4</v>
      </c>
      <c r="D646" s="441"/>
      <c r="E646" s="438">
        <v>301493.37699999998</v>
      </c>
      <c r="F646" s="442">
        <v>253078.72939999995</v>
      </c>
      <c r="G646" s="442">
        <v>88823.72219999996</v>
      </c>
      <c r="H646" s="442">
        <v>312861.7254</v>
      </c>
      <c r="I646" s="442">
        <v>0</v>
      </c>
      <c r="J646" s="443">
        <v>2.8479999999999998E-4</v>
      </c>
      <c r="K646" s="443"/>
      <c r="L646" s="444">
        <v>56748.929400000001</v>
      </c>
      <c r="M646" s="444">
        <v>23268.797399999999</v>
      </c>
      <c r="N646" s="444">
        <v>-2797.5246000000002</v>
      </c>
      <c r="O646" s="444">
        <v>0</v>
      </c>
      <c r="P646" s="417">
        <v>0</v>
      </c>
      <c r="Q646" s="378">
        <v>2.8479999999999998E-4</v>
      </c>
      <c r="R646" s="378"/>
      <c r="S646" s="70">
        <v>137975.40659999999</v>
      </c>
      <c r="T646" s="105">
        <v>129136.59540000001</v>
      </c>
      <c r="U646" s="70">
        <v>76721.1348</v>
      </c>
      <c r="V646" s="70">
        <v>312861.7254</v>
      </c>
      <c r="W646" s="417">
        <v>0</v>
      </c>
      <c r="X646" s="378">
        <v>2.8479999999999998E-4</v>
      </c>
      <c r="Z646" s="70">
        <v>99124.929000000004</v>
      </c>
      <c r="AA646" s="70">
        <v>99124.224600000001</v>
      </c>
      <c r="AB646" s="70">
        <v>0</v>
      </c>
      <c r="AC646" s="417">
        <v>0</v>
      </c>
      <c r="AD646" s="417">
        <v>0</v>
      </c>
      <c r="AE646" s="378">
        <v>2.8479999999999998E-4</v>
      </c>
      <c r="AF646" s="378"/>
      <c r="AG646" s="70">
        <v>24929.111999999965</v>
      </c>
      <c r="AH646" s="70">
        <v>14900.111999999965</v>
      </c>
      <c r="AI646" s="70">
        <v>14900.111999999965</v>
      </c>
      <c r="AJ646" s="417">
        <v>0</v>
      </c>
      <c r="AK646" s="417">
        <v>0</v>
      </c>
      <c r="AL646" s="378">
        <v>2.8479999999999998E-4</v>
      </c>
      <c r="AM646" s="378"/>
      <c r="AN646" s="70">
        <v>-17285</v>
      </c>
      <c r="AO646" s="70">
        <v>-13351</v>
      </c>
      <c r="AP646" s="70">
        <v>0</v>
      </c>
      <c r="AQ646" s="417">
        <v>0</v>
      </c>
      <c r="AR646" s="417">
        <v>0</v>
      </c>
    </row>
    <row r="647" spans="1:46">
      <c r="A647" s="439">
        <v>97121</v>
      </c>
      <c r="B647" s="440" t="s">
        <v>1356</v>
      </c>
      <c r="C647" s="437">
        <v>1.8259999999999999E-4</v>
      </c>
      <c r="D647" s="441"/>
      <c r="E647" s="438">
        <v>197662.08425000001</v>
      </c>
      <c r="F647" s="442">
        <v>164293.23345</v>
      </c>
      <c r="G647" s="442">
        <v>62103.435850000016</v>
      </c>
      <c r="H647" s="442">
        <v>162204.85819999999</v>
      </c>
      <c r="I647" s="442">
        <v>0</v>
      </c>
      <c r="J647" s="443"/>
      <c r="K647" s="443"/>
      <c r="L647" s="444">
        <v>29421.790199999999</v>
      </c>
      <c r="M647" s="444">
        <v>12063.834199999999</v>
      </c>
      <c r="N647" s="444">
        <v>-1450.3917999999999</v>
      </c>
      <c r="O647" s="444">
        <v>0</v>
      </c>
      <c r="P647" s="417">
        <v>0</v>
      </c>
      <c r="Q647" s="378"/>
      <c r="R647" s="378">
        <v>0</v>
      </c>
      <c r="S647" s="70">
        <v>71534.097800000003</v>
      </c>
      <c r="T647" s="105">
        <v>66951.568199999994</v>
      </c>
      <c r="U647" s="70">
        <v>39776.488400000002</v>
      </c>
      <c r="V647" s="70">
        <v>162204.85819999999</v>
      </c>
      <c r="W647" s="417">
        <v>0</v>
      </c>
      <c r="X647" s="378"/>
      <c r="Y647" s="417">
        <v>0</v>
      </c>
      <c r="Z647" s="70">
        <v>51391.856999999996</v>
      </c>
      <c r="AA647" s="70">
        <v>51391.491799999996</v>
      </c>
      <c r="AB647" s="70">
        <v>0</v>
      </c>
      <c r="AC647" s="417">
        <v>0</v>
      </c>
      <c r="AD647" s="417">
        <v>0</v>
      </c>
      <c r="AE647" s="378"/>
      <c r="AF647" s="378"/>
      <c r="AG647" s="70">
        <v>45314.339250000012</v>
      </c>
      <c r="AH647" s="70">
        <v>33886.339250000012</v>
      </c>
      <c r="AI647" s="70">
        <v>23777.339250000012</v>
      </c>
      <c r="AJ647" s="417">
        <v>0</v>
      </c>
      <c r="AK647" s="417">
        <v>0</v>
      </c>
      <c r="AL647" s="378"/>
      <c r="AM647" s="378"/>
      <c r="AN647" s="70">
        <v>0</v>
      </c>
      <c r="AO647" s="70">
        <v>0</v>
      </c>
      <c r="AP647" s="70">
        <v>0</v>
      </c>
      <c r="AQ647" s="417">
        <v>0</v>
      </c>
      <c r="AR647" s="417">
        <v>0</v>
      </c>
      <c r="AS647" s="417">
        <v>0</v>
      </c>
      <c r="AT647" s="417">
        <v>0</v>
      </c>
    </row>
    <row r="648" spans="1:46">
      <c r="A648" s="439">
        <v>97131</v>
      </c>
      <c r="B648" s="440" t="s">
        <v>1357</v>
      </c>
      <c r="C648" s="437">
        <v>7.2349999999999997E-4</v>
      </c>
      <c r="D648" s="441"/>
      <c r="E648" s="438">
        <v>583318.84492499998</v>
      </c>
      <c r="F648" s="442">
        <v>486257.53192500002</v>
      </c>
      <c r="G648" s="442">
        <v>140230.845925</v>
      </c>
      <c r="H648" s="442">
        <v>642690.11450000003</v>
      </c>
      <c r="I648" s="442">
        <v>0</v>
      </c>
      <c r="J648" s="443">
        <v>1.8075999999999999E-3</v>
      </c>
      <c r="K648" s="443"/>
      <c r="L648" s="444">
        <v>116575.3845</v>
      </c>
      <c r="M648" s="444">
        <v>47799.474499999997</v>
      </c>
      <c r="N648" s="444">
        <v>-5746.7604999999994</v>
      </c>
      <c r="O648" s="444">
        <v>0</v>
      </c>
      <c r="P648" s="417">
        <v>0</v>
      </c>
      <c r="Q648" s="378">
        <v>1.8075999999999999E-3</v>
      </c>
      <c r="R648" s="378"/>
      <c r="S648" s="70">
        <v>283433.29550000001</v>
      </c>
      <c r="T648" s="105">
        <v>265276.3395</v>
      </c>
      <c r="U648" s="70">
        <v>157602.899</v>
      </c>
      <c r="V648" s="70">
        <v>642690.11450000003</v>
      </c>
      <c r="W648" s="417">
        <v>0</v>
      </c>
      <c r="X648" s="378">
        <v>1.8075999999999999E-3</v>
      </c>
      <c r="Z648" s="70">
        <v>203625.45749999999</v>
      </c>
      <c r="AA648" s="70">
        <v>203624.0105</v>
      </c>
      <c r="AB648" s="70">
        <v>0</v>
      </c>
      <c r="AC648" s="417">
        <v>0</v>
      </c>
      <c r="AD648" s="417">
        <v>0</v>
      </c>
      <c r="AE648" s="378">
        <v>1.8075999999999999E-3</v>
      </c>
      <c r="AF648" s="378"/>
      <c r="AG648" s="70">
        <v>10127</v>
      </c>
      <c r="AH648" s="70">
        <v>0</v>
      </c>
      <c r="AI648" s="70">
        <v>0</v>
      </c>
      <c r="AJ648" s="417">
        <v>0</v>
      </c>
      <c r="AK648" s="417">
        <v>0</v>
      </c>
      <c r="AL648" s="378">
        <v>1.8075999999999999E-3</v>
      </c>
      <c r="AM648" s="378"/>
      <c r="AN648" s="70">
        <v>-30442.292574999999</v>
      </c>
      <c r="AO648" s="70">
        <v>-30442.292574999999</v>
      </c>
      <c r="AP648" s="70">
        <v>-11625.292574999999</v>
      </c>
      <c r="AQ648" s="417">
        <v>0</v>
      </c>
      <c r="AR648" s="417">
        <v>0</v>
      </c>
    </row>
    <row r="649" spans="1:46">
      <c r="A649" s="439">
        <v>97201</v>
      </c>
      <c r="B649" s="440" t="s">
        <v>1358</v>
      </c>
      <c r="C649" s="437">
        <v>6.6189999999999999E-4</v>
      </c>
      <c r="D649" s="441"/>
      <c r="E649" s="438">
        <v>606447.59857499995</v>
      </c>
      <c r="F649" s="442">
        <v>524897.01837499987</v>
      </c>
      <c r="G649" s="442">
        <v>188961.73397499995</v>
      </c>
      <c r="H649" s="442">
        <v>587970.40330000001</v>
      </c>
      <c r="I649" s="442">
        <v>0</v>
      </c>
      <c r="J649" s="443">
        <v>2.1999999999999999E-5</v>
      </c>
      <c r="K649" s="443"/>
      <c r="L649" s="444">
        <v>106649.9613</v>
      </c>
      <c r="M649" s="444">
        <v>43729.747300000003</v>
      </c>
      <c r="N649" s="444">
        <v>-5257.4717000000001</v>
      </c>
      <c r="O649" s="444">
        <v>0</v>
      </c>
      <c r="P649" s="417">
        <v>0</v>
      </c>
      <c r="Q649" s="378">
        <v>2.1999999999999999E-5</v>
      </c>
      <c r="R649" s="378"/>
      <c r="S649" s="70">
        <v>259301.3107</v>
      </c>
      <c r="T649" s="105">
        <v>242690.2683</v>
      </c>
      <c r="U649" s="70">
        <v>144184.32459999999</v>
      </c>
      <c r="V649" s="70">
        <v>587970.40330000001</v>
      </c>
      <c r="W649" s="417">
        <v>0</v>
      </c>
      <c r="X649" s="378">
        <v>2.1999999999999999E-5</v>
      </c>
      <c r="Z649" s="70">
        <v>186288.4455</v>
      </c>
      <c r="AA649" s="70">
        <v>186287.12169999999</v>
      </c>
      <c r="AB649" s="70">
        <v>0</v>
      </c>
      <c r="AC649" s="417">
        <v>0</v>
      </c>
      <c r="AD649" s="417">
        <v>0</v>
      </c>
      <c r="AE649" s="378">
        <v>2.1999999999999999E-5</v>
      </c>
      <c r="AF649" s="378"/>
      <c r="AG649" s="70">
        <v>66765.881074999954</v>
      </c>
      <c r="AH649" s="70">
        <v>52189.881074999954</v>
      </c>
      <c r="AI649" s="70">
        <v>50034.881074999954</v>
      </c>
      <c r="AJ649" s="417">
        <v>0</v>
      </c>
      <c r="AK649" s="417">
        <v>0</v>
      </c>
      <c r="AL649" s="378">
        <v>2.1999999999999999E-5</v>
      </c>
      <c r="AM649" s="378"/>
      <c r="AN649" s="70">
        <v>-12558</v>
      </c>
      <c r="AO649" s="70">
        <v>0</v>
      </c>
      <c r="AP649" s="70">
        <v>0</v>
      </c>
      <c r="AQ649" s="417">
        <v>0</v>
      </c>
      <c r="AR649" s="417">
        <v>0</v>
      </c>
    </row>
    <row r="650" spans="1:46">
      <c r="A650" s="439">
        <v>97211</v>
      </c>
      <c r="B650" s="440" t="s">
        <v>1359</v>
      </c>
      <c r="C650" s="437">
        <v>9.1700000000000006E-5</v>
      </c>
      <c r="D650" s="441"/>
      <c r="E650" s="438">
        <v>68840.69812500001</v>
      </c>
      <c r="F650" s="442">
        <v>37866.209524999998</v>
      </c>
      <c r="G650" s="442">
        <v>-21493.899674999997</v>
      </c>
      <c r="H650" s="442">
        <v>81457.751900000003</v>
      </c>
      <c r="I650" s="442">
        <v>0</v>
      </c>
      <c r="J650" s="443">
        <v>2.0999999999999999E-5</v>
      </c>
      <c r="K650" s="443"/>
      <c r="L650" s="444">
        <v>14775.3459</v>
      </c>
      <c r="M650" s="444">
        <v>6058.3439000000008</v>
      </c>
      <c r="N650" s="444">
        <v>-728.37310000000002</v>
      </c>
      <c r="O650" s="444">
        <v>0</v>
      </c>
      <c r="P650" s="417">
        <v>0</v>
      </c>
      <c r="Q650" s="378">
        <v>2.0999999999999999E-5</v>
      </c>
      <c r="R650" s="378"/>
      <c r="S650" s="70">
        <v>35923.750100000005</v>
      </c>
      <c r="T650" s="105">
        <v>33622.446900000003</v>
      </c>
      <c r="U650" s="70">
        <v>19975.377800000002</v>
      </c>
      <c r="V650" s="70">
        <v>81457.751900000003</v>
      </c>
      <c r="W650" s="417">
        <v>0</v>
      </c>
      <c r="X650" s="378">
        <v>2.0999999999999999E-5</v>
      </c>
      <c r="Z650" s="70">
        <v>25808.506500000003</v>
      </c>
      <c r="AA650" s="70">
        <v>25808.323100000001</v>
      </c>
      <c r="AB650" s="70">
        <v>0</v>
      </c>
      <c r="AC650" s="417">
        <v>0</v>
      </c>
      <c r="AD650" s="417">
        <v>0</v>
      </c>
      <c r="AE650" s="378">
        <v>2.0999999999999999E-5</v>
      </c>
      <c r="AF650" s="378"/>
      <c r="AG650" s="70">
        <v>41298</v>
      </c>
      <c r="AH650" s="70">
        <v>13118</v>
      </c>
      <c r="AI650" s="70">
        <v>0</v>
      </c>
      <c r="AJ650" s="417">
        <v>0</v>
      </c>
      <c r="AK650" s="417">
        <v>0</v>
      </c>
      <c r="AL650" s="378">
        <v>2.0999999999999999E-5</v>
      </c>
      <c r="AM650" s="378"/>
      <c r="AN650" s="70">
        <v>-48964.904374999998</v>
      </c>
      <c r="AO650" s="70">
        <v>-40740.904374999998</v>
      </c>
      <c r="AP650" s="70">
        <v>-40740.904374999998</v>
      </c>
      <c r="AQ650" s="417">
        <v>0</v>
      </c>
      <c r="AR650" s="417">
        <v>0</v>
      </c>
    </row>
    <row r="651" spans="1:46">
      <c r="A651" s="439">
        <v>97213</v>
      </c>
      <c r="B651" s="440" t="s">
        <v>1360</v>
      </c>
      <c r="C651" s="437">
        <v>3.5099999999999999E-5</v>
      </c>
      <c r="D651" s="441"/>
      <c r="E651" s="438">
        <v>30356.740624999999</v>
      </c>
      <c r="F651" s="442">
        <v>26191.194824999999</v>
      </c>
      <c r="G651" s="442">
        <v>8042.1072249999997</v>
      </c>
      <c r="H651" s="442">
        <v>31179.575700000001</v>
      </c>
      <c r="I651" s="442">
        <v>0</v>
      </c>
      <c r="J651" s="443">
        <v>4.6799999999999999E-5</v>
      </c>
      <c r="K651" s="443"/>
      <c r="L651" s="444">
        <v>5655.5577000000003</v>
      </c>
      <c r="M651" s="444">
        <v>2318.9517000000001</v>
      </c>
      <c r="N651" s="444">
        <v>-278.79930000000002</v>
      </c>
      <c r="O651" s="444">
        <v>0</v>
      </c>
      <c r="P651" s="417">
        <v>0</v>
      </c>
      <c r="Q651" s="378">
        <v>4.6799999999999999E-5</v>
      </c>
      <c r="R651" s="378"/>
      <c r="S651" s="70">
        <v>13750.5303</v>
      </c>
      <c r="T651" s="105">
        <v>12869.6607</v>
      </c>
      <c r="U651" s="70">
        <v>7645.9733999999999</v>
      </c>
      <c r="V651" s="70">
        <v>31179.575700000001</v>
      </c>
      <c r="W651" s="417">
        <v>0</v>
      </c>
      <c r="X651" s="378">
        <v>4.6799999999999999E-5</v>
      </c>
      <c r="Z651" s="70">
        <v>9878.7194999999992</v>
      </c>
      <c r="AA651" s="70">
        <v>9878.6492999999991</v>
      </c>
      <c r="AB651" s="70">
        <v>0</v>
      </c>
      <c r="AC651" s="417">
        <v>0</v>
      </c>
      <c r="AD651" s="417">
        <v>0</v>
      </c>
      <c r="AE651" s="378">
        <v>4.6799999999999999E-5</v>
      </c>
      <c r="AF651" s="378"/>
      <c r="AG651" s="70">
        <v>2308.9331249999996</v>
      </c>
      <c r="AH651" s="70">
        <v>1123.9331249999996</v>
      </c>
      <c r="AI651" s="70">
        <v>674.93312499999956</v>
      </c>
      <c r="AJ651" s="417">
        <v>0</v>
      </c>
      <c r="AK651" s="417">
        <v>0</v>
      </c>
      <c r="AL651" s="378">
        <v>4.6799999999999999E-5</v>
      </c>
      <c r="AM651" s="378"/>
      <c r="AN651" s="70">
        <v>-1237</v>
      </c>
      <c r="AO651" s="70">
        <v>0</v>
      </c>
      <c r="AP651" s="70">
        <v>0</v>
      </c>
      <c r="AQ651" s="417">
        <v>0</v>
      </c>
      <c r="AR651" s="417">
        <v>0</v>
      </c>
    </row>
    <row r="652" spans="1:46">
      <c r="A652" s="439">
        <v>97217</v>
      </c>
      <c r="B652" s="440" t="s">
        <v>1361</v>
      </c>
      <c r="C652" s="437">
        <v>8.1000000000000004E-6</v>
      </c>
      <c r="D652" s="441"/>
      <c r="E652" s="438">
        <v>10818.412825000001</v>
      </c>
      <c r="F652" s="442">
        <v>7991.133025000001</v>
      </c>
      <c r="G652" s="442">
        <v>2065.4974249999996</v>
      </c>
      <c r="H652" s="442">
        <v>7195.2867000000006</v>
      </c>
      <c r="I652" s="442">
        <v>0</v>
      </c>
      <c r="J652" s="443">
        <v>1.63E-5</v>
      </c>
      <c r="K652" s="443"/>
      <c r="L652" s="444">
        <v>1305.1287</v>
      </c>
      <c r="M652" s="444">
        <v>535.14269999999999</v>
      </c>
      <c r="N652" s="444">
        <v>-64.338300000000004</v>
      </c>
      <c r="O652" s="444">
        <v>0</v>
      </c>
      <c r="P652" s="417">
        <v>0</v>
      </c>
      <c r="Q652" s="378">
        <v>1.63E-5</v>
      </c>
      <c r="R652" s="378"/>
      <c r="S652" s="70">
        <v>3173.1993000000002</v>
      </c>
      <c r="T652" s="105">
        <v>2969.9217000000003</v>
      </c>
      <c r="U652" s="70">
        <v>1764.4554000000001</v>
      </c>
      <c r="V652" s="70">
        <v>7195.2867000000006</v>
      </c>
      <c r="W652" s="417">
        <v>0</v>
      </c>
      <c r="X652" s="378">
        <v>1.63E-5</v>
      </c>
      <c r="Z652" s="70">
        <v>2279.7045000000003</v>
      </c>
      <c r="AA652" s="70">
        <v>2279.6883000000003</v>
      </c>
      <c r="AB652" s="70">
        <v>0</v>
      </c>
      <c r="AC652" s="417">
        <v>0</v>
      </c>
      <c r="AD652" s="417">
        <v>0</v>
      </c>
      <c r="AE652" s="378">
        <v>1.63E-5</v>
      </c>
      <c r="AF652" s="378"/>
      <c r="AG652" s="70">
        <v>4060.3803249999996</v>
      </c>
      <c r="AH652" s="70">
        <v>2206.3803249999996</v>
      </c>
      <c r="AI652" s="70">
        <v>365.38032499999963</v>
      </c>
      <c r="AJ652" s="417">
        <v>0</v>
      </c>
      <c r="AK652" s="417">
        <v>0</v>
      </c>
      <c r="AL652" s="378">
        <v>1.63E-5</v>
      </c>
      <c r="AM652" s="378"/>
      <c r="AN652" s="70">
        <v>0</v>
      </c>
      <c r="AO652" s="70">
        <v>0</v>
      </c>
      <c r="AP652" s="70">
        <v>0</v>
      </c>
      <c r="AQ652" s="417">
        <v>0</v>
      </c>
      <c r="AR652" s="417">
        <v>0</v>
      </c>
    </row>
    <row r="653" spans="1:46">
      <c r="A653" s="439">
        <v>97221</v>
      </c>
      <c r="B653" s="440" t="s">
        <v>1362</v>
      </c>
      <c r="C653" s="437">
        <v>2.7999999999999999E-6</v>
      </c>
      <c r="D653" s="441"/>
      <c r="E653" s="438">
        <v>4227.900599999999</v>
      </c>
      <c r="F653" s="442">
        <v>4773.4581999999991</v>
      </c>
      <c r="G653" s="442">
        <v>-2781.5146000000013</v>
      </c>
      <c r="H653" s="442">
        <v>2487.2595999999999</v>
      </c>
      <c r="I653" s="442">
        <v>0</v>
      </c>
      <c r="J653" s="443">
        <v>2.9548999999999999E-3</v>
      </c>
      <c r="K653" s="443"/>
      <c r="L653" s="444">
        <v>451.15559999999999</v>
      </c>
      <c r="M653" s="444">
        <v>184.98759999999999</v>
      </c>
      <c r="N653" s="444">
        <v>-22.240399999999998</v>
      </c>
      <c r="O653" s="444">
        <v>0</v>
      </c>
      <c r="P653" s="417">
        <v>0</v>
      </c>
      <c r="Q653" s="378">
        <v>2.9548999999999999E-3</v>
      </c>
      <c r="R653" s="378"/>
      <c r="S653" s="70">
        <v>1096.9084</v>
      </c>
      <c r="T653" s="105">
        <v>1026.6396</v>
      </c>
      <c r="U653" s="70">
        <v>609.93520000000001</v>
      </c>
      <c r="V653" s="70">
        <v>2487.2595999999999</v>
      </c>
      <c r="W653" s="417">
        <v>0</v>
      </c>
      <c r="X653" s="378">
        <v>2.9548999999999999E-3</v>
      </c>
      <c r="Z653" s="70">
        <v>788.04599999999994</v>
      </c>
      <c r="AA653" s="70">
        <v>788.04039999999998</v>
      </c>
      <c r="AB653" s="70">
        <v>0</v>
      </c>
      <c r="AC653" s="417">
        <v>0</v>
      </c>
      <c r="AD653" s="417">
        <v>0</v>
      </c>
      <c r="AE653" s="378">
        <v>2.9548999999999999E-3</v>
      </c>
      <c r="AF653" s="378"/>
      <c r="AG653" s="70">
        <v>7924</v>
      </c>
      <c r="AH653" s="70">
        <v>6143</v>
      </c>
      <c r="AI653" s="70">
        <v>0</v>
      </c>
      <c r="AJ653" s="417">
        <v>0</v>
      </c>
      <c r="AK653" s="417">
        <v>0</v>
      </c>
      <c r="AL653" s="378">
        <v>2.9548999999999999E-3</v>
      </c>
      <c r="AM653" s="378"/>
      <c r="AN653" s="70">
        <v>-6032.2094000000016</v>
      </c>
      <c r="AO653" s="70">
        <v>-3369.2094000000011</v>
      </c>
      <c r="AP653" s="70">
        <v>-3369.2094000000011</v>
      </c>
      <c r="AQ653" s="417">
        <v>0</v>
      </c>
      <c r="AR653" s="417">
        <v>0</v>
      </c>
    </row>
    <row r="654" spans="1:46">
      <c r="A654" s="439">
        <v>97301</v>
      </c>
      <c r="B654" s="440" t="s">
        <v>1363</v>
      </c>
      <c r="C654" s="437">
        <v>2.2640999999999998E-3</v>
      </c>
      <c r="D654" s="441"/>
      <c r="E654" s="438">
        <v>1789829.8817749997</v>
      </c>
      <c r="F654" s="442">
        <v>1564547.1539749997</v>
      </c>
      <c r="G654" s="442">
        <v>402669.86237499962</v>
      </c>
      <c r="H654" s="442">
        <v>2011215.8786999998</v>
      </c>
      <c r="I654" s="442">
        <v>0</v>
      </c>
      <c r="J654" s="443">
        <v>6.2399999999999999E-5</v>
      </c>
      <c r="K654" s="443"/>
      <c r="L654" s="444">
        <v>364807.64069999999</v>
      </c>
      <c r="M654" s="444">
        <v>149582.2947</v>
      </c>
      <c r="N654" s="444">
        <v>-17983.746299999999</v>
      </c>
      <c r="O654" s="444">
        <v>0</v>
      </c>
      <c r="P654" s="417">
        <v>0</v>
      </c>
      <c r="Q654" s="378">
        <v>6.2399999999999999E-5</v>
      </c>
      <c r="R654" s="378"/>
      <c r="S654" s="70">
        <v>886967.9672999999</v>
      </c>
      <c r="T654" s="105">
        <v>830148.11369999987</v>
      </c>
      <c r="U654" s="70">
        <v>493197.95939999993</v>
      </c>
      <c r="V654" s="70">
        <v>2011215.8786999998</v>
      </c>
      <c r="W654" s="417">
        <v>0</v>
      </c>
      <c r="X654" s="378">
        <v>6.2399999999999999E-5</v>
      </c>
      <c r="Z654" s="70">
        <v>637219.62449999992</v>
      </c>
      <c r="AA654" s="70">
        <v>637215.09629999998</v>
      </c>
      <c r="AB654" s="70">
        <v>0</v>
      </c>
      <c r="AC654" s="417">
        <v>0</v>
      </c>
      <c r="AD654" s="417">
        <v>0</v>
      </c>
      <c r="AE654" s="378">
        <v>6.2399999999999999E-5</v>
      </c>
      <c r="AF654" s="378"/>
      <c r="AG654" s="70">
        <v>20146</v>
      </c>
      <c r="AH654" s="70">
        <v>20146</v>
      </c>
      <c r="AI654" s="70">
        <v>0</v>
      </c>
      <c r="AJ654" s="417">
        <v>0</v>
      </c>
      <c r="AK654" s="417">
        <v>0</v>
      </c>
      <c r="AL654" s="378">
        <v>6.2399999999999999E-5</v>
      </c>
      <c r="AM654" s="378"/>
      <c r="AN654" s="70">
        <v>-119311.35072500032</v>
      </c>
      <c r="AO654" s="70">
        <v>-72544.350725000317</v>
      </c>
      <c r="AP654" s="70">
        <v>-72544.350725000317</v>
      </c>
      <c r="AQ654" s="417">
        <v>0</v>
      </c>
      <c r="AR654" s="417">
        <v>0</v>
      </c>
    </row>
    <row r="655" spans="1:46">
      <c r="A655" s="439">
        <v>97302</v>
      </c>
      <c r="B655" s="440" t="s">
        <v>3611</v>
      </c>
      <c r="C655" s="437">
        <v>4.7200000000000002E-5</v>
      </c>
      <c r="D655" s="441"/>
      <c r="E655" s="438">
        <v>70812.3799</v>
      </c>
      <c r="F655" s="442">
        <v>41826.922300000006</v>
      </c>
      <c r="G655" s="442">
        <v>12982.095100000002</v>
      </c>
      <c r="H655" s="442">
        <v>41928.090400000001</v>
      </c>
      <c r="I655" s="442">
        <v>0</v>
      </c>
      <c r="J655" s="443">
        <v>3.057E-4</v>
      </c>
      <c r="K655" s="443"/>
      <c r="L655" s="444">
        <v>7605.1944000000003</v>
      </c>
      <c r="M655" s="444">
        <v>3118.3624</v>
      </c>
      <c r="N655" s="444">
        <v>-374.90960000000001</v>
      </c>
      <c r="O655" s="444">
        <v>0</v>
      </c>
      <c r="P655" s="417">
        <v>0</v>
      </c>
      <c r="Q655" s="378">
        <v>3.057E-4</v>
      </c>
      <c r="R655" s="378"/>
      <c r="S655" s="70">
        <v>18490.741600000001</v>
      </c>
      <c r="T655" s="105">
        <v>17306.2104</v>
      </c>
      <c r="U655" s="70">
        <v>10281.764800000001</v>
      </c>
      <c r="V655" s="70">
        <v>41928.090400000001</v>
      </c>
      <c r="W655" s="417">
        <v>0</v>
      </c>
      <c r="X655" s="378">
        <v>3.057E-4</v>
      </c>
      <c r="Z655" s="70">
        <v>13284.204</v>
      </c>
      <c r="AA655" s="70">
        <v>13284.1096</v>
      </c>
      <c r="AB655" s="70">
        <v>0</v>
      </c>
      <c r="AC655" s="417">
        <v>0</v>
      </c>
      <c r="AD655" s="417">
        <v>0</v>
      </c>
      <c r="AE655" s="378">
        <v>3.057E-4</v>
      </c>
      <c r="AF655" s="378"/>
      <c r="AG655" s="70">
        <v>31432.2399</v>
      </c>
      <c r="AH655" s="70">
        <v>8118.2399000000023</v>
      </c>
      <c r="AI655" s="70">
        <v>3075.2399000000023</v>
      </c>
      <c r="AJ655" s="417">
        <v>0</v>
      </c>
      <c r="AK655" s="417">
        <v>0</v>
      </c>
      <c r="AL655" s="378">
        <v>3.057E-4</v>
      </c>
      <c r="AM655" s="378"/>
      <c r="AN655" s="70">
        <v>0</v>
      </c>
      <c r="AO655" s="70">
        <v>0</v>
      </c>
      <c r="AP655" s="70">
        <v>0</v>
      </c>
      <c r="AQ655" s="417">
        <v>0</v>
      </c>
      <c r="AR655" s="417">
        <v>0</v>
      </c>
    </row>
    <row r="656" spans="1:46">
      <c r="A656" s="439">
        <v>97304</v>
      </c>
      <c r="B656" s="440" t="s">
        <v>1364</v>
      </c>
      <c r="C656" s="437">
        <v>2.1800000000000001E-5</v>
      </c>
      <c r="D656" s="441"/>
      <c r="E656" s="438">
        <v>33646.502850000004</v>
      </c>
      <c r="F656" s="442">
        <v>27243.05845</v>
      </c>
      <c r="G656" s="442">
        <v>9741.8416500000021</v>
      </c>
      <c r="H656" s="442">
        <v>19365.0926</v>
      </c>
      <c r="I656" s="442">
        <v>0</v>
      </c>
      <c r="J656" s="443">
        <v>1.516E-4</v>
      </c>
      <c r="K656" s="443"/>
      <c r="L656" s="444">
        <v>3512.5686000000001</v>
      </c>
      <c r="M656" s="444">
        <v>1440.2606000000001</v>
      </c>
      <c r="N656" s="444">
        <v>-173.15740000000002</v>
      </c>
      <c r="O656" s="444">
        <v>0</v>
      </c>
      <c r="P656" s="417">
        <v>0</v>
      </c>
      <c r="Q656" s="378">
        <v>1.516E-4</v>
      </c>
      <c r="R656" s="378"/>
      <c r="S656" s="70">
        <v>8540.215400000001</v>
      </c>
      <c r="T656" s="105">
        <v>7993.1226000000006</v>
      </c>
      <c r="U656" s="70">
        <v>4748.7812000000004</v>
      </c>
      <c r="V656" s="70">
        <v>19365.0926</v>
      </c>
      <c r="W656" s="417">
        <v>0</v>
      </c>
      <c r="X656" s="378">
        <v>1.516E-4</v>
      </c>
      <c r="Z656" s="70">
        <v>6135.5010000000002</v>
      </c>
      <c r="AA656" s="70">
        <v>6135.4574000000002</v>
      </c>
      <c r="AB656" s="70">
        <v>0</v>
      </c>
      <c r="AC656" s="417">
        <v>0</v>
      </c>
      <c r="AD656" s="417">
        <v>0</v>
      </c>
      <c r="AE656" s="378">
        <v>1.516E-4</v>
      </c>
      <c r="AF656" s="378"/>
      <c r="AG656" s="70">
        <v>15458.217850000001</v>
      </c>
      <c r="AH656" s="70">
        <v>11674.217850000001</v>
      </c>
      <c r="AI656" s="70">
        <v>5166.2178500000009</v>
      </c>
      <c r="AJ656" s="417">
        <v>0</v>
      </c>
      <c r="AK656" s="417">
        <v>0</v>
      </c>
      <c r="AL656" s="378">
        <v>1.516E-4</v>
      </c>
      <c r="AM656" s="378"/>
      <c r="AN656" s="70">
        <v>0</v>
      </c>
      <c r="AO656" s="70">
        <v>0</v>
      </c>
      <c r="AP656" s="70">
        <v>0</v>
      </c>
      <c r="AQ656" s="417">
        <v>0</v>
      </c>
      <c r="AR656" s="417">
        <v>0</v>
      </c>
    </row>
    <row r="657" spans="1:44">
      <c r="A657" s="439">
        <v>97311</v>
      </c>
      <c r="B657" s="440" t="s">
        <v>1365</v>
      </c>
      <c r="C657" s="437">
        <v>7.9830000000000005E-4</v>
      </c>
      <c r="D657" s="441"/>
      <c r="E657" s="438">
        <v>620313.52137500013</v>
      </c>
      <c r="F657" s="442">
        <v>547035.38997500006</v>
      </c>
      <c r="G657" s="442">
        <v>132676.85917500008</v>
      </c>
      <c r="H657" s="442">
        <v>709135.47810000007</v>
      </c>
      <c r="I657" s="442">
        <v>0</v>
      </c>
      <c r="J657" s="443">
        <v>7.1290000000000004E-4</v>
      </c>
      <c r="K657" s="443"/>
      <c r="L657" s="444">
        <v>128627.68410000001</v>
      </c>
      <c r="M657" s="444">
        <v>52741.286100000005</v>
      </c>
      <c r="N657" s="444">
        <v>-6340.8969000000006</v>
      </c>
      <c r="O657" s="444">
        <v>0</v>
      </c>
      <c r="P657" s="417">
        <v>0</v>
      </c>
      <c r="Q657" s="378">
        <v>7.1290000000000004E-4</v>
      </c>
      <c r="R657" s="378"/>
      <c r="S657" s="70">
        <v>312736.41990000004</v>
      </c>
      <c r="T657" s="105">
        <v>292702.2831</v>
      </c>
      <c r="U657" s="70">
        <v>173896.88220000002</v>
      </c>
      <c r="V657" s="70">
        <v>709135.47810000007</v>
      </c>
      <c r="W657" s="417">
        <v>0</v>
      </c>
      <c r="X657" s="378">
        <v>7.1290000000000004E-4</v>
      </c>
      <c r="Z657" s="70">
        <v>224677.54350000003</v>
      </c>
      <c r="AA657" s="70">
        <v>224675.94690000001</v>
      </c>
      <c r="AB657" s="70">
        <v>0</v>
      </c>
      <c r="AC657" s="417">
        <v>0</v>
      </c>
      <c r="AD657" s="417">
        <v>0</v>
      </c>
      <c r="AE657" s="378">
        <v>7.1290000000000004E-4</v>
      </c>
      <c r="AF657" s="378"/>
      <c r="AG657" s="70">
        <v>11795</v>
      </c>
      <c r="AH657" s="70">
        <v>11795</v>
      </c>
      <c r="AI657" s="70">
        <v>0</v>
      </c>
      <c r="AJ657" s="417">
        <v>0</v>
      </c>
      <c r="AK657" s="417">
        <v>0</v>
      </c>
      <c r="AL657" s="378">
        <v>7.1290000000000004E-4</v>
      </c>
      <c r="AM657" s="378"/>
      <c r="AN657" s="70">
        <v>-57523.126124999952</v>
      </c>
      <c r="AO657" s="70">
        <v>-34879.126124999952</v>
      </c>
      <c r="AP657" s="70">
        <v>-34879.126124999952</v>
      </c>
      <c r="AQ657" s="417">
        <v>0</v>
      </c>
      <c r="AR657" s="417">
        <v>0</v>
      </c>
    </row>
    <row r="658" spans="1:44">
      <c r="A658" s="439">
        <v>97401</v>
      </c>
      <c r="B658" s="440" t="s">
        <v>1366</v>
      </c>
      <c r="C658" s="437">
        <v>7.0102000000000003E-3</v>
      </c>
      <c r="D658" s="441"/>
      <c r="E658" s="438">
        <v>5760185.7594499998</v>
      </c>
      <c r="F658" s="442">
        <v>4995090.1478500012</v>
      </c>
      <c r="G658" s="442">
        <v>1375618.53265</v>
      </c>
      <c r="H658" s="442">
        <v>6227209.7313999999</v>
      </c>
      <c r="I658" s="442">
        <v>0</v>
      </c>
      <c r="J658" s="443">
        <v>5.53E-4</v>
      </c>
      <c r="K658" s="443"/>
      <c r="L658" s="444">
        <v>1129532.4954000001</v>
      </c>
      <c r="M658" s="444">
        <v>463142.88339999999</v>
      </c>
      <c r="N658" s="444">
        <v>-55682.018600000003</v>
      </c>
      <c r="O658" s="444">
        <v>0</v>
      </c>
      <c r="P658" s="417">
        <v>0</v>
      </c>
      <c r="Q658" s="378">
        <v>5.53E-4</v>
      </c>
      <c r="R658" s="378"/>
      <c r="S658" s="70">
        <v>2746266.8806000003</v>
      </c>
      <c r="T658" s="105">
        <v>2570338.9014000003</v>
      </c>
      <c r="U658" s="70">
        <v>1527059.9068</v>
      </c>
      <c r="V658" s="70">
        <v>6227209.7313999999</v>
      </c>
      <c r="W658" s="417">
        <v>0</v>
      </c>
      <c r="X658" s="378">
        <v>5.53E-4</v>
      </c>
      <c r="Z658" s="70">
        <v>1972985.7390000001</v>
      </c>
      <c r="AA658" s="70">
        <v>1972971.7186</v>
      </c>
      <c r="AB658" s="70">
        <v>0</v>
      </c>
      <c r="AC658" s="417">
        <v>0</v>
      </c>
      <c r="AD658" s="417">
        <v>0</v>
      </c>
      <c r="AE658" s="378">
        <v>5.53E-4</v>
      </c>
      <c r="AF658" s="378"/>
      <c r="AG658" s="70">
        <v>84396</v>
      </c>
      <c r="AH658" s="70">
        <v>84396</v>
      </c>
      <c r="AI658" s="70">
        <v>0</v>
      </c>
      <c r="AJ658" s="417">
        <v>0</v>
      </c>
      <c r="AK658" s="417">
        <v>0</v>
      </c>
      <c r="AL658" s="378">
        <v>5.53E-4</v>
      </c>
      <c r="AM658" s="378"/>
      <c r="AN658" s="70">
        <v>-172995.35554999998</v>
      </c>
      <c r="AO658" s="70">
        <v>-95759.355549999978</v>
      </c>
      <c r="AP658" s="70">
        <v>-95759.355549999978</v>
      </c>
      <c r="AQ658" s="417">
        <v>0</v>
      </c>
      <c r="AR658" s="417">
        <v>0</v>
      </c>
    </row>
    <row r="659" spans="1:44">
      <c r="A659" s="439">
        <v>97402</v>
      </c>
      <c r="B659" s="440" t="s">
        <v>1367</v>
      </c>
      <c r="C659" s="437">
        <v>4.8399999999999997E-5</v>
      </c>
      <c r="D659" s="441"/>
      <c r="E659" s="438">
        <v>42294.224000000002</v>
      </c>
      <c r="F659" s="442">
        <v>30939.576799999992</v>
      </c>
      <c r="G659" s="442">
        <v>7314.6183999999976</v>
      </c>
      <c r="H659" s="442">
        <v>42994.058799999999</v>
      </c>
      <c r="I659" s="442">
        <v>0</v>
      </c>
      <c r="J659" s="443">
        <v>1.6420000000000001E-4</v>
      </c>
      <c r="K659" s="443"/>
      <c r="L659" s="444">
        <v>7798.5467999999992</v>
      </c>
      <c r="M659" s="444">
        <v>3197.6427999999996</v>
      </c>
      <c r="N659" s="444">
        <v>-384.44119999999998</v>
      </c>
      <c r="O659" s="444">
        <v>0</v>
      </c>
      <c r="P659" s="417">
        <v>0</v>
      </c>
      <c r="Q659" s="378">
        <v>1.6420000000000001E-4</v>
      </c>
      <c r="R659" s="378"/>
      <c r="S659" s="70">
        <v>18960.8452</v>
      </c>
      <c r="T659" s="105">
        <v>17746.198799999998</v>
      </c>
      <c r="U659" s="70">
        <v>10543.1656</v>
      </c>
      <c r="V659" s="70">
        <v>42994.058799999999</v>
      </c>
      <c r="W659" s="417">
        <v>0</v>
      </c>
      <c r="X659" s="378">
        <v>1.6420000000000001E-4</v>
      </c>
      <c r="Z659" s="70">
        <v>13621.938</v>
      </c>
      <c r="AA659" s="70">
        <v>13621.841199999999</v>
      </c>
      <c r="AB659" s="70">
        <v>0</v>
      </c>
      <c r="AC659" s="417">
        <v>0</v>
      </c>
      <c r="AD659" s="417">
        <v>0</v>
      </c>
      <c r="AE659" s="378">
        <v>1.6420000000000001E-4</v>
      </c>
      <c r="AF659" s="378"/>
      <c r="AG659" s="70">
        <v>5551</v>
      </c>
      <c r="AH659" s="70">
        <v>0</v>
      </c>
      <c r="AI659" s="70">
        <v>0</v>
      </c>
      <c r="AJ659" s="417">
        <v>0</v>
      </c>
      <c r="AK659" s="417">
        <v>0</v>
      </c>
      <c r="AL659" s="378">
        <v>1.6420000000000001E-4</v>
      </c>
      <c r="AM659" s="378"/>
      <c r="AN659" s="70">
        <v>-3638.1060000000034</v>
      </c>
      <c r="AO659" s="70">
        <v>-3626.1060000000034</v>
      </c>
      <c r="AP659" s="70">
        <v>-2844.1060000000034</v>
      </c>
      <c r="AQ659" s="417">
        <v>0</v>
      </c>
      <c r="AR659" s="417">
        <v>0</v>
      </c>
    </row>
    <row r="660" spans="1:44">
      <c r="A660" s="439">
        <v>97404</v>
      </c>
      <c r="B660" s="440" t="s">
        <v>1368</v>
      </c>
      <c r="C660" s="437">
        <v>2.677E-4</v>
      </c>
      <c r="D660" s="441"/>
      <c r="E660" s="438">
        <v>245173.36367499997</v>
      </c>
      <c r="F660" s="442">
        <v>214756.06707499997</v>
      </c>
      <c r="G660" s="442">
        <v>70886.381874999963</v>
      </c>
      <c r="H660" s="442">
        <v>237799.78390000001</v>
      </c>
      <c r="I660" s="442">
        <v>0</v>
      </c>
      <c r="J660" s="443">
        <v>3.5099999999999999E-5</v>
      </c>
      <c r="K660" s="443"/>
      <c r="L660" s="444">
        <v>43133.697899999999</v>
      </c>
      <c r="M660" s="444">
        <v>17686.135900000001</v>
      </c>
      <c r="N660" s="444">
        <v>-2126.3411000000001</v>
      </c>
      <c r="O660" s="444">
        <v>0</v>
      </c>
      <c r="P660" s="417">
        <v>0</v>
      </c>
      <c r="Q660" s="378">
        <v>3.5099999999999999E-5</v>
      </c>
      <c r="R660" s="378"/>
      <c r="S660" s="70">
        <v>104872.2781</v>
      </c>
      <c r="T660" s="105">
        <v>98154.078900000008</v>
      </c>
      <c r="U660" s="70">
        <v>58314.161800000002</v>
      </c>
      <c r="V660" s="70">
        <v>237799.78390000001</v>
      </c>
      <c r="W660" s="417">
        <v>0</v>
      </c>
      <c r="X660" s="378">
        <v>3.5099999999999999E-5</v>
      </c>
      <c r="Z660" s="70">
        <v>75342.826499999996</v>
      </c>
      <c r="AA660" s="70">
        <v>75342.291100000002</v>
      </c>
      <c r="AB660" s="70">
        <v>0</v>
      </c>
      <c r="AC660" s="417">
        <v>0</v>
      </c>
      <c r="AD660" s="417">
        <v>0</v>
      </c>
      <c r="AE660" s="378">
        <v>3.5099999999999999E-5</v>
      </c>
      <c r="AF660" s="378"/>
      <c r="AG660" s="70">
        <v>23776.561174999966</v>
      </c>
      <c r="AH660" s="70">
        <v>23573.561174999966</v>
      </c>
      <c r="AI660" s="70">
        <v>14698.561174999966</v>
      </c>
      <c r="AJ660" s="417">
        <v>0</v>
      </c>
      <c r="AK660" s="417">
        <v>0</v>
      </c>
      <c r="AL660" s="378">
        <v>3.5099999999999999E-5</v>
      </c>
      <c r="AM660" s="378"/>
      <c r="AN660" s="70">
        <v>-1952</v>
      </c>
      <c r="AO660" s="70">
        <v>0</v>
      </c>
      <c r="AP660" s="70">
        <v>0</v>
      </c>
      <c r="AQ660" s="417">
        <v>0</v>
      </c>
      <c r="AR660" s="417">
        <v>0</v>
      </c>
    </row>
    <row r="661" spans="1:44">
      <c r="A661" s="439">
        <v>97405</v>
      </c>
      <c r="B661" s="440" t="s">
        <v>1369</v>
      </c>
      <c r="C661" s="437">
        <v>9.6299999999999996E-5</v>
      </c>
      <c r="D661" s="441"/>
      <c r="E661" s="438">
        <v>90747.898325000002</v>
      </c>
      <c r="F661" s="442">
        <v>76274.682925000001</v>
      </c>
      <c r="G661" s="442">
        <v>24961.904125000001</v>
      </c>
      <c r="H661" s="442">
        <v>85543.964099999997</v>
      </c>
      <c r="I661" s="442">
        <v>0</v>
      </c>
      <c r="J661" s="443">
        <v>8.1999999999999994E-6</v>
      </c>
      <c r="K661" s="443"/>
      <c r="L661" s="444">
        <v>15516.5301</v>
      </c>
      <c r="M661" s="444">
        <v>6362.2520999999997</v>
      </c>
      <c r="N661" s="444">
        <v>-764.91089999999997</v>
      </c>
      <c r="O661" s="444">
        <v>0</v>
      </c>
      <c r="P661" s="417">
        <v>0</v>
      </c>
      <c r="Q661" s="378">
        <v>8.1999999999999994E-6</v>
      </c>
      <c r="R661" s="378"/>
      <c r="S661" s="70">
        <v>37725.813900000001</v>
      </c>
      <c r="T661" s="105">
        <v>35309.069100000001</v>
      </c>
      <c r="U661" s="70">
        <v>20977.414199999999</v>
      </c>
      <c r="V661" s="70">
        <v>85543.964099999997</v>
      </c>
      <c r="W661" s="417">
        <v>0</v>
      </c>
      <c r="X661" s="378">
        <v>8.1999999999999994E-6</v>
      </c>
      <c r="Z661" s="70">
        <v>27103.1535</v>
      </c>
      <c r="AA661" s="70">
        <v>27102.960899999998</v>
      </c>
      <c r="AB661" s="70">
        <v>0</v>
      </c>
      <c r="AC661" s="417">
        <v>0</v>
      </c>
      <c r="AD661" s="417">
        <v>0</v>
      </c>
      <c r="AE661" s="378">
        <v>8.1999999999999994E-6</v>
      </c>
      <c r="AF661" s="378"/>
      <c r="AG661" s="70">
        <v>10402.400825000001</v>
      </c>
      <c r="AH661" s="70">
        <v>7500.4008250000006</v>
      </c>
      <c r="AI661" s="70">
        <v>4749.4008250000006</v>
      </c>
      <c r="AJ661" s="417">
        <v>0</v>
      </c>
      <c r="AK661" s="417">
        <v>0</v>
      </c>
      <c r="AL661" s="378">
        <v>8.1999999999999994E-6</v>
      </c>
      <c r="AM661" s="378"/>
      <c r="AN661" s="70">
        <v>0</v>
      </c>
      <c r="AO661" s="70">
        <v>0</v>
      </c>
      <c r="AP661" s="70">
        <v>0</v>
      </c>
      <c r="AQ661" s="417">
        <v>0</v>
      </c>
      <c r="AR661" s="417">
        <v>0</v>
      </c>
    </row>
    <row r="662" spans="1:44">
      <c r="A662" s="439">
        <v>97408</v>
      </c>
      <c r="B662" s="440" t="s">
        <v>1370</v>
      </c>
      <c r="C662" s="437">
        <v>3.7499999999999997E-5</v>
      </c>
      <c r="D662" s="441"/>
      <c r="E662" s="438">
        <v>38448.033824999999</v>
      </c>
      <c r="F662" s="442">
        <v>30466.108824999996</v>
      </c>
      <c r="G662" s="442">
        <v>11116.758824999997</v>
      </c>
      <c r="H662" s="442">
        <v>33311.512499999997</v>
      </c>
      <c r="I662" s="442">
        <v>0</v>
      </c>
      <c r="J662" s="443">
        <v>1.26E-5</v>
      </c>
      <c r="K662" s="443"/>
      <c r="L662" s="444">
        <v>6042.2624999999998</v>
      </c>
      <c r="M662" s="444">
        <v>2477.5124999999998</v>
      </c>
      <c r="N662" s="444">
        <v>-297.86249999999995</v>
      </c>
      <c r="O662" s="444">
        <v>0</v>
      </c>
      <c r="P662" s="417">
        <v>0</v>
      </c>
      <c r="Q662" s="378">
        <v>1.26E-5</v>
      </c>
      <c r="R662" s="378"/>
      <c r="S662" s="70">
        <v>14690.737499999999</v>
      </c>
      <c r="T662" s="105">
        <v>13749.637499999999</v>
      </c>
      <c r="U662" s="70">
        <v>8168.7749999999996</v>
      </c>
      <c r="V662" s="70">
        <v>33311.512499999997</v>
      </c>
      <c r="W662" s="417">
        <v>0</v>
      </c>
      <c r="X662" s="378">
        <v>1.26E-5</v>
      </c>
      <c r="Z662" s="70">
        <v>10554.187499999998</v>
      </c>
      <c r="AA662" s="70">
        <v>10554.112499999999</v>
      </c>
      <c r="AB662" s="70">
        <v>0</v>
      </c>
      <c r="AC662" s="417">
        <v>0</v>
      </c>
      <c r="AD662" s="417">
        <v>0</v>
      </c>
      <c r="AE662" s="378">
        <v>1.26E-5</v>
      </c>
      <c r="AF662" s="378"/>
      <c r="AG662" s="70">
        <v>7160.8463249999968</v>
      </c>
      <c r="AH662" s="70">
        <v>3684.8463249999968</v>
      </c>
      <c r="AI662" s="70">
        <v>3245.8463249999968</v>
      </c>
      <c r="AJ662" s="417">
        <v>0</v>
      </c>
      <c r="AK662" s="417">
        <v>0</v>
      </c>
      <c r="AL662" s="378">
        <v>1.26E-5</v>
      </c>
      <c r="AM662" s="378"/>
      <c r="AN662" s="70">
        <v>0</v>
      </c>
      <c r="AO662" s="70">
        <v>0</v>
      </c>
      <c r="AP662" s="70">
        <v>0</v>
      </c>
      <c r="AQ662" s="417">
        <v>0</v>
      </c>
      <c r="AR662" s="417">
        <v>0</v>
      </c>
    </row>
    <row r="663" spans="1:44">
      <c r="A663" s="439">
        <v>97411</v>
      </c>
      <c r="B663" s="440" t="s">
        <v>1371</v>
      </c>
      <c r="C663" s="437">
        <v>5.9007E-3</v>
      </c>
      <c r="D663" s="441"/>
      <c r="E663" s="438">
        <v>4534418.1607249994</v>
      </c>
      <c r="F663" s="442">
        <v>3878874.8501249999</v>
      </c>
      <c r="G663" s="442">
        <v>1245886.4569249998</v>
      </c>
      <c r="H663" s="442">
        <v>5241633.1149000004</v>
      </c>
      <c r="I663" s="442">
        <v>0</v>
      </c>
      <c r="J663" s="443">
        <v>2.4133000000000002E-3</v>
      </c>
      <c r="K663" s="443"/>
      <c r="L663" s="444">
        <v>950762.08889999997</v>
      </c>
      <c r="M663" s="444">
        <v>389841.54690000002</v>
      </c>
      <c r="N663" s="444">
        <v>-46869.2601</v>
      </c>
      <c r="O663" s="444">
        <v>0</v>
      </c>
      <c r="P663" s="417">
        <v>0</v>
      </c>
      <c r="Q663" s="378">
        <v>2.4133000000000002E-3</v>
      </c>
      <c r="R663" s="378"/>
      <c r="S663" s="70">
        <v>2311616.9271</v>
      </c>
      <c r="T663" s="105">
        <v>2163532.9599000001</v>
      </c>
      <c r="U663" s="70">
        <v>1285373.0837999999</v>
      </c>
      <c r="V663" s="70">
        <v>5241633.1149000004</v>
      </c>
      <c r="W663" s="417">
        <v>0</v>
      </c>
      <c r="X663" s="378">
        <v>2.4133000000000002E-3</v>
      </c>
      <c r="Z663" s="70">
        <v>1660722.5115</v>
      </c>
      <c r="AA663" s="70">
        <v>1660710.7101</v>
      </c>
      <c r="AB663" s="70">
        <v>0</v>
      </c>
      <c r="AC663" s="417">
        <v>0</v>
      </c>
      <c r="AD663" s="417">
        <v>0</v>
      </c>
      <c r="AE663" s="378">
        <v>2.4133000000000002E-3</v>
      </c>
      <c r="AF663" s="378"/>
      <c r="AG663" s="70">
        <v>15822.633224999998</v>
      </c>
      <c r="AH663" s="70">
        <v>7382.6332249999978</v>
      </c>
      <c r="AI663" s="70">
        <v>7382.6332249999978</v>
      </c>
      <c r="AJ663" s="417">
        <v>0</v>
      </c>
      <c r="AK663" s="417">
        <v>0</v>
      </c>
      <c r="AL663" s="378">
        <v>2.4133000000000002E-3</v>
      </c>
      <c r="AM663" s="378"/>
      <c r="AN663" s="70">
        <v>-404506</v>
      </c>
      <c r="AO663" s="70">
        <v>-342593</v>
      </c>
      <c r="AP663" s="70">
        <v>0</v>
      </c>
      <c r="AQ663" s="417">
        <v>0</v>
      </c>
      <c r="AR663" s="417">
        <v>0</v>
      </c>
    </row>
    <row r="664" spans="1:44">
      <c r="A664" s="439">
        <v>97412</v>
      </c>
      <c r="B664" s="440" t="s">
        <v>1372</v>
      </c>
      <c r="C664" s="437">
        <v>4.2015999999999998E-3</v>
      </c>
      <c r="D664" s="441"/>
      <c r="E664" s="438">
        <v>3436126.5932499999</v>
      </c>
      <c r="F664" s="442">
        <v>2972813.7404499995</v>
      </c>
      <c r="G664" s="442">
        <v>946976.69885000004</v>
      </c>
      <c r="H664" s="442">
        <v>3732310.6911999998</v>
      </c>
      <c r="I664" s="442">
        <v>0</v>
      </c>
      <c r="J664" s="443">
        <v>4.6400000000000003E-5</v>
      </c>
      <c r="K664" s="443"/>
      <c r="L664" s="444">
        <v>676991.20319999999</v>
      </c>
      <c r="M664" s="444">
        <v>277587.10719999997</v>
      </c>
      <c r="N664" s="444">
        <v>-33373.308799999999</v>
      </c>
      <c r="O664" s="444">
        <v>0</v>
      </c>
      <c r="P664" s="417">
        <v>0</v>
      </c>
      <c r="Q664" s="378">
        <v>4.6400000000000003E-5</v>
      </c>
      <c r="R664" s="378"/>
      <c r="S664" s="70">
        <v>1645989.4047999999</v>
      </c>
      <c r="T664" s="105">
        <v>1540546.0511999999</v>
      </c>
      <c r="U664" s="70">
        <v>915251.33439999993</v>
      </c>
      <c r="V664" s="70">
        <v>3732310.6911999998</v>
      </c>
      <c r="W664" s="417">
        <v>0</v>
      </c>
      <c r="X664" s="378">
        <v>4.6400000000000003E-5</v>
      </c>
      <c r="Z664" s="70">
        <v>1182519.3119999999</v>
      </c>
      <c r="AA664" s="70">
        <v>1182510.9087999999</v>
      </c>
      <c r="AB664" s="70">
        <v>0</v>
      </c>
      <c r="AC664" s="417">
        <v>0</v>
      </c>
      <c r="AD664" s="417">
        <v>0</v>
      </c>
      <c r="AE664" s="378">
        <v>4.6400000000000003E-5</v>
      </c>
      <c r="AF664" s="378"/>
      <c r="AG664" s="70">
        <v>65098.673250000109</v>
      </c>
      <c r="AH664" s="70">
        <v>65098.673250000109</v>
      </c>
      <c r="AI664" s="70">
        <v>65098.673250000109</v>
      </c>
      <c r="AJ664" s="417">
        <v>0</v>
      </c>
      <c r="AK664" s="417">
        <v>0</v>
      </c>
      <c r="AL664" s="378">
        <v>4.6400000000000003E-5</v>
      </c>
      <c r="AM664" s="378"/>
      <c r="AN664" s="70">
        <v>-134472</v>
      </c>
      <c r="AO664" s="70">
        <v>-92929</v>
      </c>
      <c r="AP664" s="70">
        <v>0</v>
      </c>
      <c r="AQ664" s="417">
        <v>0</v>
      </c>
      <c r="AR664" s="417">
        <v>0</v>
      </c>
    </row>
    <row r="665" spans="1:44">
      <c r="A665" s="439">
        <v>97413</v>
      </c>
      <c r="B665" s="440" t="s">
        <v>1373</v>
      </c>
      <c r="C665" s="437">
        <v>3.0210000000000002E-4</v>
      </c>
      <c r="D665" s="441"/>
      <c r="E665" s="438">
        <v>295730.59367500001</v>
      </c>
      <c r="F665" s="442">
        <v>249483.861875</v>
      </c>
      <c r="G665" s="442">
        <v>63180.082274999979</v>
      </c>
      <c r="H665" s="442">
        <v>268357.54470000003</v>
      </c>
      <c r="I665" s="442">
        <v>0</v>
      </c>
      <c r="J665" s="443">
        <v>1.9599999999999999E-5</v>
      </c>
      <c r="K665" s="443"/>
      <c r="L665" s="444">
        <v>48676.466700000004</v>
      </c>
      <c r="M665" s="444">
        <v>19958.840700000001</v>
      </c>
      <c r="N665" s="444">
        <v>-2399.5803000000001</v>
      </c>
      <c r="O665" s="444">
        <v>0</v>
      </c>
      <c r="P665" s="417">
        <v>0</v>
      </c>
      <c r="Q665" s="378">
        <v>1.9599999999999999E-5</v>
      </c>
      <c r="R665" s="378"/>
      <c r="S665" s="70">
        <v>118348.58130000001</v>
      </c>
      <c r="T665" s="105">
        <v>110767.0797</v>
      </c>
      <c r="U665" s="70">
        <v>65807.651400000002</v>
      </c>
      <c r="V665" s="70">
        <v>268357.54470000003</v>
      </c>
      <c r="W665" s="417">
        <v>0</v>
      </c>
      <c r="X665" s="378">
        <v>1.9599999999999999E-5</v>
      </c>
      <c r="Z665" s="70">
        <v>85024.534500000009</v>
      </c>
      <c r="AA665" s="70">
        <v>85023.930300000007</v>
      </c>
      <c r="AB665" s="70">
        <v>0</v>
      </c>
      <c r="AC665" s="417">
        <v>0</v>
      </c>
      <c r="AD665" s="417">
        <v>0</v>
      </c>
      <c r="AE665" s="378">
        <v>1.9599999999999999E-5</v>
      </c>
      <c r="AF665" s="378"/>
      <c r="AG665" s="70">
        <v>43909</v>
      </c>
      <c r="AH665" s="70">
        <v>33962</v>
      </c>
      <c r="AI665" s="70">
        <v>0</v>
      </c>
      <c r="AJ665" s="417">
        <v>0</v>
      </c>
      <c r="AK665" s="417">
        <v>0</v>
      </c>
      <c r="AL665" s="378">
        <v>1.9599999999999999E-5</v>
      </c>
      <c r="AM665" s="378"/>
      <c r="AN665" s="70">
        <v>-227.98882500002219</v>
      </c>
      <c r="AO665" s="70">
        <v>-227.98882500002219</v>
      </c>
      <c r="AP665" s="70">
        <v>-227.98882500002219</v>
      </c>
      <c r="AQ665" s="417">
        <v>0</v>
      </c>
      <c r="AR665" s="417">
        <v>0</v>
      </c>
    </row>
    <row r="666" spans="1:44">
      <c r="A666" s="439">
        <v>97421</v>
      </c>
      <c r="B666" s="440" t="s">
        <v>1374</v>
      </c>
      <c r="C666" s="437">
        <v>4.1780000000000002E-4</v>
      </c>
      <c r="D666" s="441"/>
      <c r="E666" s="438">
        <v>317281.86075000005</v>
      </c>
      <c r="F666" s="442">
        <v>279810.84834999999</v>
      </c>
      <c r="G666" s="442">
        <v>66942.335550000018</v>
      </c>
      <c r="H666" s="442">
        <v>371134.66460000002</v>
      </c>
      <c r="I666" s="442">
        <v>0</v>
      </c>
      <c r="J666" s="443">
        <v>8.6180000000000002E-4</v>
      </c>
      <c r="K666" s="443"/>
      <c r="L666" s="444">
        <v>67318.8606</v>
      </c>
      <c r="M666" s="444">
        <v>27602.792600000001</v>
      </c>
      <c r="N666" s="444">
        <v>-3318.5853999999999</v>
      </c>
      <c r="O666" s="444">
        <v>0</v>
      </c>
      <c r="P666" s="417">
        <v>0</v>
      </c>
      <c r="Q666" s="378">
        <v>8.6180000000000002E-4</v>
      </c>
      <c r="R666" s="378"/>
      <c r="S666" s="70">
        <v>163674.40340000001</v>
      </c>
      <c r="T666" s="105">
        <v>153189.29459999999</v>
      </c>
      <c r="U666" s="70">
        <v>91011.045200000008</v>
      </c>
      <c r="V666" s="70">
        <v>371134.66460000002</v>
      </c>
      <c r="W666" s="417">
        <v>0</v>
      </c>
      <c r="X666" s="378">
        <v>8.6180000000000002E-4</v>
      </c>
      <c r="Z666" s="70">
        <v>117587.72100000001</v>
      </c>
      <c r="AA666" s="70">
        <v>117586.8854</v>
      </c>
      <c r="AB666" s="70">
        <v>0</v>
      </c>
      <c r="AC666" s="417">
        <v>0</v>
      </c>
      <c r="AD666" s="417">
        <v>0</v>
      </c>
      <c r="AE666" s="378">
        <v>8.6180000000000002E-4</v>
      </c>
      <c r="AF666" s="378"/>
      <c r="AG666" s="70">
        <v>2182</v>
      </c>
      <c r="AH666" s="70">
        <v>2182</v>
      </c>
      <c r="AI666" s="70">
        <v>0</v>
      </c>
      <c r="AJ666" s="417">
        <v>0</v>
      </c>
      <c r="AK666" s="417">
        <v>0</v>
      </c>
      <c r="AL666" s="378">
        <v>8.6180000000000002E-4</v>
      </c>
      <c r="AM666" s="378"/>
      <c r="AN666" s="70">
        <v>-33481.124249999993</v>
      </c>
      <c r="AO666" s="70">
        <v>-20750.124249999993</v>
      </c>
      <c r="AP666" s="70">
        <v>-20750.124249999993</v>
      </c>
      <c r="AQ666" s="417">
        <v>0</v>
      </c>
      <c r="AR666" s="417">
        <v>0</v>
      </c>
    </row>
    <row r="667" spans="1:44">
      <c r="A667" s="439">
        <v>97423</v>
      </c>
      <c r="B667" s="440" t="s">
        <v>1375</v>
      </c>
      <c r="C667" s="437">
        <v>3.1399999999999998E-5</v>
      </c>
      <c r="D667" s="441"/>
      <c r="E667" s="438">
        <v>35099.748299999999</v>
      </c>
      <c r="F667" s="442">
        <v>27218.787100000001</v>
      </c>
      <c r="G667" s="442">
        <v>10455.520700000001</v>
      </c>
      <c r="H667" s="442">
        <v>27892.839799999998</v>
      </c>
      <c r="I667" s="442">
        <v>0</v>
      </c>
      <c r="J667" s="443">
        <v>7.1457999999999999E-3</v>
      </c>
      <c r="K667" s="443"/>
      <c r="L667" s="444">
        <v>5059.3877999999995</v>
      </c>
      <c r="M667" s="444">
        <v>2074.5038</v>
      </c>
      <c r="N667" s="444">
        <v>-249.41019999999997</v>
      </c>
      <c r="O667" s="444">
        <v>0</v>
      </c>
      <c r="P667" s="417">
        <v>0</v>
      </c>
      <c r="Q667" s="378">
        <v>7.1457999999999999E-3</v>
      </c>
      <c r="R667" s="378"/>
      <c r="S667" s="70">
        <v>12301.044199999998</v>
      </c>
      <c r="T667" s="105">
        <v>11513.029799999998</v>
      </c>
      <c r="U667" s="70">
        <v>6839.9875999999995</v>
      </c>
      <c r="V667" s="70">
        <v>27892.839799999998</v>
      </c>
      <c r="W667" s="417">
        <v>0</v>
      </c>
      <c r="X667" s="378">
        <v>7.1457999999999999E-3</v>
      </c>
      <c r="Z667" s="70">
        <v>8837.3729999999996</v>
      </c>
      <c r="AA667" s="70">
        <v>8837.3101999999999</v>
      </c>
      <c r="AB667" s="70">
        <v>0</v>
      </c>
      <c r="AC667" s="417">
        <v>0</v>
      </c>
      <c r="AD667" s="417">
        <v>0</v>
      </c>
      <c r="AE667" s="378">
        <v>7.1457999999999999E-3</v>
      </c>
      <c r="AF667" s="378"/>
      <c r="AG667" s="70">
        <v>10368.943300000003</v>
      </c>
      <c r="AH667" s="70">
        <v>4793.9433000000026</v>
      </c>
      <c r="AI667" s="70">
        <v>3864.9433000000026</v>
      </c>
      <c r="AJ667" s="417">
        <v>0</v>
      </c>
      <c r="AK667" s="417">
        <v>0</v>
      </c>
      <c r="AL667" s="378">
        <v>7.1457999999999999E-3</v>
      </c>
      <c r="AM667" s="378"/>
      <c r="AN667" s="70">
        <v>-1467</v>
      </c>
      <c r="AO667" s="70">
        <v>0</v>
      </c>
      <c r="AP667" s="70">
        <v>0</v>
      </c>
      <c r="AQ667" s="417">
        <v>0</v>
      </c>
      <c r="AR667" s="417">
        <v>0</v>
      </c>
    </row>
    <row r="668" spans="1:44">
      <c r="A668" s="439">
        <v>97431</v>
      </c>
      <c r="B668" s="440" t="s">
        <v>1376</v>
      </c>
      <c r="C668" s="437">
        <v>8.5400000000000002E-5</v>
      </c>
      <c r="D668" s="441"/>
      <c r="E668" s="438">
        <v>68235.694499999998</v>
      </c>
      <c r="F668" s="442">
        <v>57779.201299999986</v>
      </c>
      <c r="G668" s="442">
        <v>14280.030899999987</v>
      </c>
      <c r="H668" s="442">
        <v>75861.417799999996</v>
      </c>
      <c r="I668" s="442">
        <v>0</v>
      </c>
      <c r="J668" s="443">
        <v>5.0399999999999999E-5</v>
      </c>
      <c r="K668" s="443"/>
      <c r="L668" s="444">
        <v>13760.245800000001</v>
      </c>
      <c r="M668" s="444">
        <v>5642.1217999999999</v>
      </c>
      <c r="N668" s="444">
        <v>-678.33220000000006</v>
      </c>
      <c r="O668" s="444">
        <v>0</v>
      </c>
      <c r="P668" s="417">
        <v>0</v>
      </c>
      <c r="Q668" s="378">
        <v>5.0399999999999999E-5</v>
      </c>
      <c r="R668" s="378"/>
      <c r="S668" s="70">
        <v>33455.706200000001</v>
      </c>
      <c r="T668" s="105">
        <v>31312.507799999999</v>
      </c>
      <c r="U668" s="70">
        <v>18603.0236</v>
      </c>
      <c r="V668" s="70">
        <v>75861.417799999996</v>
      </c>
      <c r="W668" s="417">
        <v>0</v>
      </c>
      <c r="X668" s="378">
        <v>5.0399999999999999E-5</v>
      </c>
      <c r="Z668" s="70">
        <v>24035.403000000002</v>
      </c>
      <c r="AA668" s="70">
        <v>24035.232200000002</v>
      </c>
      <c r="AB668" s="70">
        <v>0</v>
      </c>
      <c r="AC668" s="417">
        <v>0</v>
      </c>
      <c r="AD668" s="417">
        <v>0</v>
      </c>
      <c r="AE668" s="378">
        <v>5.0399999999999999E-5</v>
      </c>
      <c r="AF668" s="378"/>
      <c r="AG668" s="70">
        <v>2407</v>
      </c>
      <c r="AH668" s="70">
        <v>434</v>
      </c>
      <c r="AI668" s="70">
        <v>0</v>
      </c>
      <c r="AJ668" s="417">
        <v>0</v>
      </c>
      <c r="AK668" s="417">
        <v>0</v>
      </c>
      <c r="AL668" s="378">
        <v>5.0399999999999999E-5</v>
      </c>
      <c r="AM668" s="378"/>
      <c r="AN668" s="70">
        <v>-5422.6605000000127</v>
      </c>
      <c r="AO668" s="70">
        <v>-3644.6605000000127</v>
      </c>
      <c r="AP668" s="70">
        <v>-3644.6605000000127</v>
      </c>
      <c r="AQ668" s="417">
        <v>0</v>
      </c>
      <c r="AR668" s="417">
        <v>0</v>
      </c>
    </row>
    <row r="669" spans="1:44">
      <c r="A669" s="439">
        <v>97441</v>
      </c>
      <c r="B669" s="440" t="s">
        <v>1377</v>
      </c>
      <c r="C669" s="437">
        <v>2.8E-5</v>
      </c>
      <c r="D669" s="441"/>
      <c r="E669" s="438">
        <v>-968.06465000000026</v>
      </c>
      <c r="F669" s="442">
        <v>-2648.4886499999993</v>
      </c>
      <c r="G669" s="442">
        <v>-10055.216649999997</v>
      </c>
      <c r="H669" s="442">
        <v>24872.596000000001</v>
      </c>
      <c r="I669" s="442">
        <v>0</v>
      </c>
      <c r="J669" s="443">
        <v>2.321E-4</v>
      </c>
      <c r="K669" s="443"/>
      <c r="L669" s="444">
        <v>4511.5559999999996</v>
      </c>
      <c r="M669" s="444">
        <v>1849.876</v>
      </c>
      <c r="N669" s="444">
        <v>-222.404</v>
      </c>
      <c r="O669" s="444">
        <v>0</v>
      </c>
      <c r="P669" s="417">
        <v>0</v>
      </c>
      <c r="Q669" s="378">
        <v>2.321E-4</v>
      </c>
      <c r="R669" s="378"/>
      <c r="S669" s="70">
        <v>10969.084000000001</v>
      </c>
      <c r="T669" s="105">
        <v>10266.396000000001</v>
      </c>
      <c r="U669" s="70">
        <v>6099.3519999999999</v>
      </c>
      <c r="V669" s="70">
        <v>24872.596000000001</v>
      </c>
      <c r="W669" s="417">
        <v>0</v>
      </c>
      <c r="X669" s="378">
        <v>2.321E-4</v>
      </c>
      <c r="Z669" s="70">
        <v>7880.46</v>
      </c>
      <c r="AA669" s="70">
        <v>7880.4039999999995</v>
      </c>
      <c r="AB669" s="70">
        <v>0</v>
      </c>
      <c r="AC669" s="417">
        <v>0</v>
      </c>
      <c r="AD669" s="417">
        <v>0</v>
      </c>
      <c r="AE669" s="378">
        <v>2.321E-4</v>
      </c>
      <c r="AF669" s="378"/>
      <c r="AG669" s="70">
        <v>0</v>
      </c>
      <c r="AH669" s="70">
        <v>0</v>
      </c>
      <c r="AI669" s="70">
        <v>0</v>
      </c>
      <c r="AJ669" s="417">
        <v>0</v>
      </c>
      <c r="AK669" s="417">
        <v>0</v>
      </c>
      <c r="AL669" s="378">
        <v>2.321E-4</v>
      </c>
      <c r="AM669" s="378"/>
      <c r="AN669" s="70">
        <v>-24329.164649999999</v>
      </c>
      <c r="AO669" s="70">
        <v>-22645.164649999999</v>
      </c>
      <c r="AP669" s="70">
        <v>-15932.164649999997</v>
      </c>
      <c r="AQ669" s="417">
        <v>0</v>
      </c>
      <c r="AR669" s="417">
        <v>0</v>
      </c>
    </row>
    <row r="670" spans="1:44">
      <c r="A670" s="439">
        <v>97451</v>
      </c>
      <c r="B670" s="440" t="s">
        <v>1378</v>
      </c>
      <c r="C670" s="437">
        <v>6.2609999999999999E-4</v>
      </c>
      <c r="D670" s="441"/>
      <c r="E670" s="438">
        <v>448025.62992500013</v>
      </c>
      <c r="F670" s="442">
        <v>346999.70612500003</v>
      </c>
      <c r="G670" s="442">
        <v>97308.502525000033</v>
      </c>
      <c r="H670" s="442">
        <v>556169.01269999996</v>
      </c>
      <c r="I670" s="442">
        <v>0</v>
      </c>
      <c r="J670" s="443">
        <v>9.7899999999999994E-5</v>
      </c>
      <c r="K670" s="443"/>
      <c r="L670" s="444">
        <v>100881.61469999999</v>
      </c>
      <c r="M670" s="444">
        <v>41364.548699999999</v>
      </c>
      <c r="N670" s="444">
        <v>-4973.1122999999998</v>
      </c>
      <c r="O670" s="444">
        <v>0</v>
      </c>
      <c r="P670" s="417">
        <v>0</v>
      </c>
      <c r="Q670" s="378">
        <v>9.7899999999999994E-5</v>
      </c>
      <c r="R670" s="378"/>
      <c r="S670" s="70">
        <v>245276.5533</v>
      </c>
      <c r="T670" s="105">
        <v>229563.94769999999</v>
      </c>
      <c r="U670" s="70">
        <v>136385.86739999999</v>
      </c>
      <c r="V670" s="70">
        <v>556169.01269999996</v>
      </c>
      <c r="W670" s="417">
        <v>0</v>
      </c>
      <c r="X670" s="378">
        <v>9.7899999999999994E-5</v>
      </c>
      <c r="Z670" s="70">
        <v>176212.7145</v>
      </c>
      <c r="AA670" s="70">
        <v>176211.46229999998</v>
      </c>
      <c r="AB670" s="70">
        <v>0</v>
      </c>
      <c r="AC670" s="417">
        <v>0</v>
      </c>
      <c r="AD670" s="417">
        <v>0</v>
      </c>
      <c r="AE670" s="378">
        <v>9.7899999999999994E-5</v>
      </c>
      <c r="AF670" s="378"/>
      <c r="AG670" s="70">
        <v>26266</v>
      </c>
      <c r="AH670" s="70">
        <v>0</v>
      </c>
      <c r="AI670" s="70">
        <v>0</v>
      </c>
      <c r="AJ670" s="417">
        <v>0</v>
      </c>
      <c r="AK670" s="417">
        <v>0</v>
      </c>
      <c r="AL670" s="378">
        <v>9.7899999999999994E-5</v>
      </c>
      <c r="AM670" s="378"/>
      <c r="AN670" s="70">
        <v>-100611.25257499995</v>
      </c>
      <c r="AO670" s="70">
        <v>-100140.25257499995</v>
      </c>
      <c r="AP670" s="70">
        <v>-34104.252574999948</v>
      </c>
      <c r="AQ670" s="417">
        <v>0</v>
      </c>
      <c r="AR670" s="417">
        <v>0</v>
      </c>
    </row>
    <row r="671" spans="1:44">
      <c r="A671" s="439">
        <v>97461</v>
      </c>
      <c r="B671" s="440" t="s">
        <v>1379</v>
      </c>
      <c r="C671" s="437">
        <v>5.174E-4</v>
      </c>
      <c r="D671" s="441"/>
      <c r="E671" s="438">
        <v>379479.68650000001</v>
      </c>
      <c r="F671" s="442">
        <v>322738.93729999993</v>
      </c>
      <c r="G671" s="442">
        <v>93514.534900000013</v>
      </c>
      <c r="H671" s="442">
        <v>459610.04180000001</v>
      </c>
      <c r="I671" s="442">
        <v>0</v>
      </c>
      <c r="J671" s="443">
        <v>3.8099999999999998E-5</v>
      </c>
      <c r="K671" s="443"/>
      <c r="L671" s="444">
        <v>83367.109800000006</v>
      </c>
      <c r="M671" s="444">
        <v>34183.065799999997</v>
      </c>
      <c r="N671" s="444">
        <v>-4109.7082</v>
      </c>
      <c r="O671" s="444">
        <v>0</v>
      </c>
      <c r="P671" s="417">
        <v>0</v>
      </c>
      <c r="Q671" s="378">
        <v>3.8099999999999998E-5</v>
      </c>
      <c r="R671" s="378"/>
      <c r="S671" s="70">
        <v>202693.00219999999</v>
      </c>
      <c r="T671" s="105">
        <v>189708.33179999999</v>
      </c>
      <c r="U671" s="70">
        <v>112707.3116</v>
      </c>
      <c r="V671" s="70">
        <v>459610.04180000001</v>
      </c>
      <c r="W671" s="417">
        <v>0</v>
      </c>
      <c r="X671" s="378">
        <v>3.8099999999999998E-5</v>
      </c>
      <c r="Z671" s="70">
        <v>145619.64300000001</v>
      </c>
      <c r="AA671" s="70">
        <v>145618.60819999999</v>
      </c>
      <c r="AB671" s="70">
        <v>0</v>
      </c>
      <c r="AC671" s="417">
        <v>0</v>
      </c>
      <c r="AD671" s="417">
        <v>0</v>
      </c>
      <c r="AE671" s="378">
        <v>3.8099999999999998E-5</v>
      </c>
      <c r="AF671" s="378"/>
      <c r="AG671" s="70">
        <v>3188</v>
      </c>
      <c r="AH671" s="70">
        <v>0</v>
      </c>
      <c r="AI671" s="70">
        <v>0</v>
      </c>
      <c r="AJ671" s="417">
        <v>0</v>
      </c>
      <c r="AK671" s="417">
        <v>0</v>
      </c>
      <c r="AL671" s="378">
        <v>3.8099999999999998E-5</v>
      </c>
      <c r="AM671" s="378"/>
      <c r="AN671" s="70">
        <v>-55388.068499999994</v>
      </c>
      <c r="AO671" s="70">
        <v>-46771.068499999994</v>
      </c>
      <c r="AP671" s="70">
        <v>-15083.068499999994</v>
      </c>
      <c r="AQ671" s="417">
        <v>0</v>
      </c>
      <c r="AR671" s="417">
        <v>0</v>
      </c>
    </row>
    <row r="672" spans="1:44">
      <c r="A672" s="439">
        <v>97463</v>
      </c>
      <c r="B672" s="440" t="s">
        <v>1380</v>
      </c>
      <c r="C672" s="437">
        <v>0</v>
      </c>
      <c r="D672" s="441"/>
      <c r="E672" s="438">
        <v>0</v>
      </c>
      <c r="F672" s="442">
        <v>0</v>
      </c>
      <c r="G672" s="442">
        <v>0</v>
      </c>
      <c r="H672" s="442">
        <v>0</v>
      </c>
      <c r="I672" s="442">
        <v>0</v>
      </c>
      <c r="J672" s="443">
        <v>5.8314999999999999E-3</v>
      </c>
      <c r="K672" s="443"/>
      <c r="L672" s="444">
        <v>0</v>
      </c>
      <c r="M672" s="444">
        <v>0</v>
      </c>
      <c r="N672" s="444">
        <v>0</v>
      </c>
      <c r="O672" s="444">
        <v>0</v>
      </c>
      <c r="P672" s="417">
        <v>0</v>
      </c>
      <c r="Q672" s="378">
        <v>5.8314999999999999E-3</v>
      </c>
      <c r="R672" s="378"/>
      <c r="S672" s="70">
        <v>0</v>
      </c>
      <c r="T672" s="105">
        <v>0</v>
      </c>
      <c r="U672" s="70">
        <v>0</v>
      </c>
      <c r="V672" s="70">
        <v>0</v>
      </c>
      <c r="W672" s="417">
        <v>0</v>
      </c>
      <c r="X672" s="378">
        <v>5.8314999999999999E-3</v>
      </c>
      <c r="Z672" s="70">
        <v>0</v>
      </c>
      <c r="AA672" s="70">
        <v>0</v>
      </c>
      <c r="AB672" s="70">
        <v>0</v>
      </c>
      <c r="AC672" s="417">
        <v>0</v>
      </c>
      <c r="AD672" s="417">
        <v>0</v>
      </c>
      <c r="AE672" s="378">
        <v>5.8314999999999999E-3</v>
      </c>
      <c r="AF672" s="378"/>
      <c r="AG672" s="70">
        <v>0</v>
      </c>
      <c r="AH672" s="70">
        <v>0</v>
      </c>
      <c r="AI672" s="70">
        <v>0</v>
      </c>
      <c r="AJ672" s="417">
        <v>0</v>
      </c>
      <c r="AK672" s="417">
        <v>0</v>
      </c>
      <c r="AL672" s="378">
        <v>5.8314999999999999E-3</v>
      </c>
      <c r="AM672" s="378"/>
      <c r="AN672" s="70">
        <v>0</v>
      </c>
      <c r="AO672" s="70">
        <v>0</v>
      </c>
      <c r="AP672" s="70">
        <v>0</v>
      </c>
      <c r="AQ672" s="417">
        <v>0</v>
      </c>
      <c r="AR672" s="417">
        <v>0</v>
      </c>
    </row>
    <row r="673" spans="1:46">
      <c r="A673" s="439">
        <v>97471</v>
      </c>
      <c r="B673" s="440" t="s">
        <v>1381</v>
      </c>
      <c r="C673" s="437">
        <v>2.5599999999999999E-5</v>
      </c>
      <c r="D673" s="441"/>
      <c r="E673" s="438">
        <v>30291.757749999997</v>
      </c>
      <c r="F673" s="442">
        <v>24744.712950000001</v>
      </c>
      <c r="G673" s="442">
        <v>8732.2473499999996</v>
      </c>
      <c r="H673" s="442">
        <v>22740.659199999998</v>
      </c>
      <c r="I673" s="442">
        <v>0</v>
      </c>
      <c r="J673" s="443">
        <v>4.1450999999999997E-3</v>
      </c>
      <c r="K673" s="443"/>
      <c r="L673" s="444">
        <v>4124.8512000000001</v>
      </c>
      <c r="M673" s="444">
        <v>1691.3152</v>
      </c>
      <c r="N673" s="444">
        <v>-203.3408</v>
      </c>
      <c r="O673" s="444">
        <v>0</v>
      </c>
      <c r="P673" s="417">
        <v>0</v>
      </c>
      <c r="Q673" s="378">
        <v>4.1450999999999997E-3</v>
      </c>
      <c r="R673" s="378"/>
      <c r="S673" s="70">
        <v>10028.8768</v>
      </c>
      <c r="T673" s="105">
        <v>9386.4192000000003</v>
      </c>
      <c r="U673" s="70">
        <v>5576.5504000000001</v>
      </c>
      <c r="V673" s="70">
        <v>22740.659199999998</v>
      </c>
      <c r="W673" s="417">
        <v>0</v>
      </c>
      <c r="X673" s="378">
        <v>4.1450999999999997E-3</v>
      </c>
      <c r="Z673" s="70">
        <v>7204.9919999999993</v>
      </c>
      <c r="AA673" s="70">
        <v>7204.9407999999994</v>
      </c>
      <c r="AB673" s="70">
        <v>0</v>
      </c>
      <c r="AC673" s="417">
        <v>0</v>
      </c>
      <c r="AD673" s="417">
        <v>0</v>
      </c>
      <c r="AE673" s="378">
        <v>4.1450999999999997E-3</v>
      </c>
      <c r="AF673" s="378"/>
      <c r="AG673" s="70">
        <v>8933.0377499999995</v>
      </c>
      <c r="AH673" s="70">
        <v>6462.0377499999995</v>
      </c>
      <c r="AI673" s="70">
        <v>3359.0377499999995</v>
      </c>
      <c r="AJ673" s="417">
        <v>0</v>
      </c>
      <c r="AK673" s="417">
        <v>0</v>
      </c>
      <c r="AL673" s="378">
        <v>4.1450999999999997E-3</v>
      </c>
      <c r="AM673" s="378"/>
      <c r="AN673" s="70">
        <v>0</v>
      </c>
      <c r="AO673" s="70">
        <v>0</v>
      </c>
      <c r="AP673" s="70">
        <v>0</v>
      </c>
      <c r="AQ673" s="417">
        <v>0</v>
      </c>
      <c r="AR673" s="417">
        <v>0</v>
      </c>
    </row>
    <row r="674" spans="1:46">
      <c r="A674" s="439">
        <v>97481</v>
      </c>
      <c r="B674" s="440" t="s">
        <v>1382</v>
      </c>
      <c r="C674" s="437">
        <v>2.3E-6</v>
      </c>
      <c r="D674" s="441"/>
      <c r="E674" s="438">
        <v>1504.188725</v>
      </c>
      <c r="F674" s="442">
        <v>2551.8253249999998</v>
      </c>
      <c r="G674" s="442">
        <v>891.99052499999993</v>
      </c>
      <c r="H674" s="442">
        <v>2043.1061</v>
      </c>
      <c r="I674" s="442">
        <v>0</v>
      </c>
      <c r="J674" s="443">
        <v>3.165E-4</v>
      </c>
      <c r="K674" s="443"/>
      <c r="L674" s="444">
        <v>370.59210000000002</v>
      </c>
      <c r="M674" s="444">
        <v>151.95410000000001</v>
      </c>
      <c r="N674" s="444">
        <v>-18.268899999999999</v>
      </c>
      <c r="O674" s="444">
        <v>0</v>
      </c>
      <c r="P674" s="417">
        <v>0</v>
      </c>
      <c r="Q674" s="378">
        <v>3.165E-4</v>
      </c>
      <c r="R674" s="378"/>
      <c r="S674" s="70">
        <v>901.03189999999995</v>
      </c>
      <c r="T674" s="105">
        <v>843.31110000000001</v>
      </c>
      <c r="U674" s="70">
        <v>501.01819999999998</v>
      </c>
      <c r="V674" s="70">
        <v>2043.1061</v>
      </c>
      <c r="W674" s="417">
        <v>0</v>
      </c>
      <c r="X674" s="378">
        <v>3.165E-4</v>
      </c>
      <c r="Z674" s="70">
        <v>647.32349999999997</v>
      </c>
      <c r="AA674" s="70">
        <v>647.31889999999999</v>
      </c>
      <c r="AB674" s="70">
        <v>0</v>
      </c>
      <c r="AC674" s="417">
        <v>0</v>
      </c>
      <c r="AD674" s="417">
        <v>0</v>
      </c>
      <c r="AE674" s="378">
        <v>3.165E-4</v>
      </c>
      <c r="AF674" s="378"/>
      <c r="AG674" s="70">
        <v>1709.241225</v>
      </c>
      <c r="AH674" s="70">
        <v>909.24122499999999</v>
      </c>
      <c r="AI674" s="70">
        <v>409.24122499999999</v>
      </c>
      <c r="AJ674" s="417">
        <v>0</v>
      </c>
      <c r="AK674" s="417">
        <v>0</v>
      </c>
      <c r="AL674" s="378">
        <v>3.165E-4</v>
      </c>
      <c r="AM674" s="378"/>
      <c r="AN674" s="70">
        <v>-2124</v>
      </c>
      <c r="AO674" s="70">
        <v>0</v>
      </c>
      <c r="AP674" s="70">
        <v>0</v>
      </c>
      <c r="AQ674" s="417">
        <v>0</v>
      </c>
      <c r="AR674" s="417">
        <v>0</v>
      </c>
    </row>
    <row r="675" spans="1:46">
      <c r="A675" s="439">
        <v>97501</v>
      </c>
      <c r="B675" s="440" t="s">
        <v>1384</v>
      </c>
      <c r="C675" s="437">
        <v>1.2251E-3</v>
      </c>
      <c r="D675" s="441"/>
      <c r="E675" s="438">
        <v>1074746.0587749998</v>
      </c>
      <c r="F675" s="442">
        <v>887451.49297500018</v>
      </c>
      <c r="G675" s="442">
        <v>244217.96537500003</v>
      </c>
      <c r="H675" s="442">
        <v>1088264.9057</v>
      </c>
      <c r="I675" s="442">
        <v>0</v>
      </c>
      <c r="J675" s="443">
        <v>4.3879999999999999E-4</v>
      </c>
      <c r="K675" s="443"/>
      <c r="L675" s="444">
        <v>197396.68770000001</v>
      </c>
      <c r="M675" s="444">
        <v>80938.681700000001</v>
      </c>
      <c r="N675" s="444">
        <v>-9730.9693000000007</v>
      </c>
      <c r="O675" s="444">
        <v>0</v>
      </c>
      <c r="P675" s="417">
        <v>0</v>
      </c>
      <c r="Q675" s="378">
        <v>4.3879999999999999E-4</v>
      </c>
      <c r="R675" s="378"/>
      <c r="S675" s="70">
        <v>479936.60029999999</v>
      </c>
      <c r="T675" s="105">
        <v>449191.49070000002</v>
      </c>
      <c r="U675" s="70">
        <v>266868.43339999998</v>
      </c>
      <c r="V675" s="70">
        <v>1088264.9057</v>
      </c>
      <c r="W675" s="417">
        <v>0</v>
      </c>
      <c r="X675" s="378">
        <v>4.3879999999999999E-4</v>
      </c>
      <c r="Z675" s="70">
        <v>344798.26949999999</v>
      </c>
      <c r="AA675" s="70">
        <v>344795.81930000003</v>
      </c>
      <c r="AB675" s="70">
        <v>0</v>
      </c>
      <c r="AC675" s="417">
        <v>0</v>
      </c>
      <c r="AD675" s="417">
        <v>0</v>
      </c>
      <c r="AE675" s="378">
        <v>4.3879999999999999E-4</v>
      </c>
      <c r="AF675" s="378"/>
      <c r="AG675" s="70">
        <v>65534</v>
      </c>
      <c r="AH675" s="70">
        <v>25445</v>
      </c>
      <c r="AI675" s="70">
        <v>0</v>
      </c>
      <c r="AJ675" s="417">
        <v>0</v>
      </c>
      <c r="AK675" s="417">
        <v>0</v>
      </c>
      <c r="AL675" s="378">
        <v>4.3879999999999999E-4</v>
      </c>
      <c r="AM675" s="378"/>
      <c r="AN675" s="70">
        <v>-12919.498724999954</v>
      </c>
      <c r="AO675" s="70">
        <v>-12919.498724999954</v>
      </c>
      <c r="AP675" s="70">
        <v>-12919.498724999954</v>
      </c>
      <c r="AQ675" s="417">
        <v>0</v>
      </c>
      <c r="AR675" s="417">
        <v>0</v>
      </c>
    </row>
    <row r="676" spans="1:46">
      <c r="A676" s="439">
        <v>97511</v>
      </c>
      <c r="B676" s="440" t="s">
        <v>1385</v>
      </c>
      <c r="C676" s="437">
        <v>2.4030000000000001E-4</v>
      </c>
      <c r="D676" s="441"/>
      <c r="E676" s="438">
        <v>231741.75137499999</v>
      </c>
      <c r="F676" s="442">
        <v>183853.783975</v>
      </c>
      <c r="G676" s="442">
        <v>49964.261174999992</v>
      </c>
      <c r="H676" s="442">
        <v>213460.17210000003</v>
      </c>
      <c r="I676" s="442">
        <v>0</v>
      </c>
      <c r="J676" s="443">
        <v>3.5299999999999997E-5</v>
      </c>
      <c r="K676" s="443"/>
      <c r="L676" s="444">
        <v>38718.818100000004</v>
      </c>
      <c r="M676" s="444">
        <v>15875.900100000001</v>
      </c>
      <c r="N676" s="444">
        <v>-1908.7029</v>
      </c>
      <c r="O676" s="444">
        <v>0</v>
      </c>
      <c r="P676" s="417">
        <v>0</v>
      </c>
      <c r="Q676" s="378">
        <v>3.5299999999999997E-5</v>
      </c>
      <c r="R676" s="378"/>
      <c r="S676" s="70">
        <v>94138.245900000009</v>
      </c>
      <c r="T676" s="105">
        <v>88107.677100000001</v>
      </c>
      <c r="U676" s="70">
        <v>52345.510200000004</v>
      </c>
      <c r="V676" s="70">
        <v>213460.17210000003</v>
      </c>
      <c r="W676" s="417">
        <v>0</v>
      </c>
      <c r="X676" s="378">
        <v>3.5299999999999997E-5</v>
      </c>
      <c r="Z676" s="70">
        <v>67631.233500000002</v>
      </c>
      <c r="AA676" s="70">
        <v>67630.752900000007</v>
      </c>
      <c r="AB676" s="70">
        <v>0</v>
      </c>
      <c r="AC676" s="417">
        <v>0</v>
      </c>
      <c r="AD676" s="417">
        <v>0</v>
      </c>
      <c r="AE676" s="378">
        <v>3.5299999999999997E-5</v>
      </c>
      <c r="AF676" s="378"/>
      <c r="AG676" s="70">
        <v>31726</v>
      </c>
      <c r="AH676" s="70">
        <v>12712</v>
      </c>
      <c r="AI676" s="70">
        <v>0</v>
      </c>
      <c r="AJ676" s="417">
        <v>0</v>
      </c>
      <c r="AK676" s="417">
        <v>0</v>
      </c>
      <c r="AL676" s="378">
        <v>3.5299999999999997E-5</v>
      </c>
      <c r="AM676" s="378"/>
      <c r="AN676" s="70">
        <v>-472.54612500001531</v>
      </c>
      <c r="AO676" s="70">
        <v>-472.54612500001531</v>
      </c>
      <c r="AP676" s="70">
        <v>-472.54612500001531</v>
      </c>
      <c r="AQ676" s="417">
        <v>0</v>
      </c>
      <c r="AR676" s="417">
        <v>0</v>
      </c>
    </row>
    <row r="677" spans="1:46">
      <c r="A677" s="439">
        <v>97517</v>
      </c>
      <c r="B677" s="440" t="s">
        <v>3733</v>
      </c>
      <c r="C677" s="437">
        <v>4.8999999999999997E-6</v>
      </c>
      <c r="D677" s="441"/>
      <c r="E677" s="438">
        <v>7230.477824999999</v>
      </c>
      <c r="F677" s="442">
        <v>6641.7036250000001</v>
      </c>
      <c r="G677" s="442">
        <v>3810.751225</v>
      </c>
      <c r="H677" s="442">
        <v>4352.7042999999994</v>
      </c>
      <c r="I677" s="442">
        <v>0</v>
      </c>
      <c r="J677" s="443">
        <v>9.3900000000000006E-5</v>
      </c>
      <c r="K677" s="443"/>
      <c r="L677" s="444">
        <v>789.52229999999997</v>
      </c>
      <c r="M677" s="444">
        <v>323.72829999999999</v>
      </c>
      <c r="N677" s="444">
        <v>-38.920699999999997</v>
      </c>
      <c r="O677" s="444">
        <v>0</v>
      </c>
      <c r="P677" s="417">
        <v>0</v>
      </c>
      <c r="Q677" s="378">
        <v>9.3900000000000006E-5</v>
      </c>
      <c r="R677" s="378"/>
      <c r="S677" s="70">
        <v>1919.5896999999998</v>
      </c>
      <c r="T677" s="105">
        <v>1796.6192999999998</v>
      </c>
      <c r="U677" s="70">
        <v>1067.3865999999998</v>
      </c>
      <c r="V677" s="70">
        <v>4352.7042999999994</v>
      </c>
      <c r="W677" s="417">
        <v>0</v>
      </c>
      <c r="X677" s="378">
        <v>9.3900000000000006E-5</v>
      </c>
      <c r="Z677" s="70">
        <v>1379.0804999999998</v>
      </c>
      <c r="AA677" s="70">
        <v>1379.0707</v>
      </c>
      <c r="AB677" s="70">
        <v>0</v>
      </c>
      <c r="AC677" s="417">
        <v>0</v>
      </c>
      <c r="AD677" s="417">
        <v>0</v>
      </c>
      <c r="AE677" s="378">
        <v>9.3900000000000006E-5</v>
      </c>
      <c r="AF677" s="378"/>
      <c r="AG677" s="70">
        <v>3142.2853249999998</v>
      </c>
      <c r="AH677" s="70">
        <v>3142.2853249999998</v>
      </c>
      <c r="AI677" s="70">
        <v>2782.2853249999998</v>
      </c>
      <c r="AJ677" s="417">
        <v>0</v>
      </c>
      <c r="AK677" s="417">
        <v>0</v>
      </c>
      <c r="AL677" s="378">
        <v>9.3900000000000006E-5</v>
      </c>
      <c r="AM677" s="378"/>
      <c r="AN677" s="70">
        <v>0</v>
      </c>
      <c r="AO677" s="70">
        <v>0</v>
      </c>
      <c r="AP677" s="70">
        <v>0</v>
      </c>
      <c r="AQ677" s="417">
        <v>0</v>
      </c>
      <c r="AR677" s="417">
        <v>0</v>
      </c>
    </row>
    <row r="678" spans="1:46">
      <c r="A678" s="439">
        <v>97521</v>
      </c>
      <c r="B678" s="440" t="s">
        <v>1386</v>
      </c>
      <c r="C678" s="437">
        <v>1.305E-4</v>
      </c>
      <c r="D678" s="441"/>
      <c r="E678" s="438">
        <v>107604.14722500002</v>
      </c>
      <c r="F678" s="442">
        <v>88747.528225000016</v>
      </c>
      <c r="G678" s="442">
        <v>24700.510225000009</v>
      </c>
      <c r="H678" s="442">
        <v>115924.0635</v>
      </c>
      <c r="I678" s="442">
        <v>0</v>
      </c>
      <c r="J678" s="443">
        <v>5.3300000000000001E-5</v>
      </c>
      <c r="K678" s="443"/>
      <c r="L678" s="444">
        <v>21027.073499999999</v>
      </c>
      <c r="M678" s="444">
        <v>8621.7435000000005</v>
      </c>
      <c r="N678" s="444">
        <v>-1036.5615</v>
      </c>
      <c r="O678" s="444">
        <v>0</v>
      </c>
      <c r="P678" s="417">
        <v>0</v>
      </c>
      <c r="Q678" s="378">
        <v>5.3300000000000001E-5</v>
      </c>
      <c r="R678" s="378"/>
      <c r="S678" s="70">
        <v>51123.766499999998</v>
      </c>
      <c r="T678" s="105">
        <v>47848.738499999999</v>
      </c>
      <c r="U678" s="70">
        <v>28427.337</v>
      </c>
      <c r="V678" s="70">
        <v>115924.0635</v>
      </c>
      <c r="W678" s="417">
        <v>0</v>
      </c>
      <c r="X678" s="378">
        <v>5.3300000000000001E-5</v>
      </c>
      <c r="Z678" s="70">
        <v>36728.572500000002</v>
      </c>
      <c r="AA678" s="70">
        <v>36728.311500000003</v>
      </c>
      <c r="AB678" s="70">
        <v>0</v>
      </c>
      <c r="AC678" s="417">
        <v>0</v>
      </c>
      <c r="AD678" s="417">
        <v>0</v>
      </c>
      <c r="AE678" s="378">
        <v>5.3300000000000001E-5</v>
      </c>
      <c r="AF678" s="378"/>
      <c r="AG678" s="70">
        <v>6139</v>
      </c>
      <c r="AH678" s="70">
        <v>0</v>
      </c>
      <c r="AI678" s="70">
        <v>0</v>
      </c>
      <c r="AJ678" s="417">
        <v>0</v>
      </c>
      <c r="AK678" s="417">
        <v>0</v>
      </c>
      <c r="AL678" s="378">
        <v>5.3300000000000001E-5</v>
      </c>
      <c r="AM678" s="378"/>
      <c r="AN678" s="70">
        <v>-7414.2652749999907</v>
      </c>
      <c r="AO678" s="70">
        <v>-4451.2652749999907</v>
      </c>
      <c r="AP678" s="70">
        <v>-2690.2652749999907</v>
      </c>
      <c r="AQ678" s="417">
        <v>0</v>
      </c>
      <c r="AR678" s="417">
        <v>0</v>
      </c>
    </row>
    <row r="679" spans="1:46">
      <c r="A679" s="439">
        <v>97527</v>
      </c>
      <c r="B679" s="440" t="s">
        <v>1637</v>
      </c>
      <c r="C679" s="437">
        <v>2.3E-6</v>
      </c>
      <c r="D679" s="441"/>
      <c r="E679" s="438">
        <v>147.48077499999908</v>
      </c>
      <c r="F679" s="442">
        <v>1942.1173749999989</v>
      </c>
      <c r="G679" s="442">
        <v>-583.71742500000119</v>
      </c>
      <c r="H679" s="442">
        <v>2043.1061</v>
      </c>
      <c r="I679" s="442">
        <v>0</v>
      </c>
      <c r="J679" s="443">
        <v>6.6299999999999996E-4</v>
      </c>
      <c r="K679" s="443"/>
      <c r="L679" s="444">
        <v>370.59210000000002</v>
      </c>
      <c r="M679" s="444">
        <v>151.95410000000001</v>
      </c>
      <c r="N679" s="444">
        <v>-18.268899999999999</v>
      </c>
      <c r="O679" s="444">
        <v>0</v>
      </c>
      <c r="P679" s="417">
        <v>0</v>
      </c>
      <c r="Q679" s="378">
        <v>6.6299999999999996E-4</v>
      </c>
      <c r="R679" s="378"/>
      <c r="S679" s="70">
        <v>901.03189999999995</v>
      </c>
      <c r="T679" s="105">
        <v>843.31110000000001</v>
      </c>
      <c r="U679" s="70">
        <v>501.01819999999998</v>
      </c>
      <c r="V679" s="70">
        <v>2043.1061</v>
      </c>
      <c r="W679" s="417">
        <v>0</v>
      </c>
      <c r="X679" s="378">
        <v>6.6299999999999996E-4</v>
      </c>
      <c r="Z679" s="70">
        <v>647.32349999999997</v>
      </c>
      <c r="AA679" s="70">
        <v>647.31889999999999</v>
      </c>
      <c r="AB679" s="70">
        <v>0</v>
      </c>
      <c r="AC679" s="417">
        <v>0</v>
      </c>
      <c r="AD679" s="417">
        <v>0</v>
      </c>
      <c r="AE679" s="378">
        <v>6.6299999999999996E-4</v>
      </c>
      <c r="AF679" s="378"/>
      <c r="AG679" s="70">
        <v>3930</v>
      </c>
      <c r="AH679" s="70">
        <v>1366</v>
      </c>
      <c r="AI679" s="70">
        <v>0</v>
      </c>
      <c r="AJ679" s="417">
        <v>0</v>
      </c>
      <c r="AK679" s="417">
        <v>0</v>
      </c>
      <c r="AL679" s="378">
        <v>6.6299999999999996E-4</v>
      </c>
      <c r="AM679" s="378"/>
      <c r="AN679" s="70">
        <v>-5701.4667250000011</v>
      </c>
      <c r="AO679" s="70">
        <v>-1066.4667250000011</v>
      </c>
      <c r="AP679" s="70">
        <v>-1066.4667250000011</v>
      </c>
      <c r="AQ679" s="417">
        <v>0</v>
      </c>
      <c r="AR679" s="417">
        <v>0</v>
      </c>
    </row>
    <row r="680" spans="1:46">
      <c r="A680" s="439">
        <v>97531</v>
      </c>
      <c r="B680" s="440" t="s">
        <v>1387</v>
      </c>
      <c r="C680" s="437">
        <v>5.91E-5</v>
      </c>
      <c r="D680" s="441"/>
      <c r="E680" s="438">
        <v>42273.368174999996</v>
      </c>
      <c r="F680" s="442">
        <v>37127.030375000002</v>
      </c>
      <c r="G680" s="442">
        <v>234.31877499999609</v>
      </c>
      <c r="H680" s="442">
        <v>52498.943700000003</v>
      </c>
      <c r="I680" s="442">
        <v>0</v>
      </c>
      <c r="J680" s="443">
        <v>5.3189999999999997E-4</v>
      </c>
      <c r="K680" s="443"/>
      <c r="L680" s="444">
        <v>9522.6057000000001</v>
      </c>
      <c r="M680" s="444">
        <v>3904.5596999999998</v>
      </c>
      <c r="N680" s="444">
        <v>-469.43130000000002</v>
      </c>
      <c r="O680" s="444">
        <v>0</v>
      </c>
      <c r="P680" s="417">
        <v>0</v>
      </c>
      <c r="Q680" s="378">
        <v>5.3189999999999997E-4</v>
      </c>
      <c r="R680" s="378"/>
      <c r="S680" s="70">
        <v>23152.602299999999</v>
      </c>
      <c r="T680" s="105">
        <v>21669.4287</v>
      </c>
      <c r="U680" s="70">
        <v>12873.9894</v>
      </c>
      <c r="V680" s="70">
        <v>52498.943700000003</v>
      </c>
      <c r="W680" s="417">
        <v>0</v>
      </c>
      <c r="X680" s="378">
        <v>5.3189999999999997E-4</v>
      </c>
      <c r="Z680" s="70">
        <v>16633.3995</v>
      </c>
      <c r="AA680" s="70">
        <v>16633.281299999999</v>
      </c>
      <c r="AB680" s="70">
        <v>0</v>
      </c>
      <c r="AC680" s="417">
        <v>0</v>
      </c>
      <c r="AD680" s="417">
        <v>0</v>
      </c>
      <c r="AE680" s="378">
        <v>5.3189999999999997E-4</v>
      </c>
      <c r="AF680" s="378"/>
      <c r="AG680" s="70">
        <v>11950</v>
      </c>
      <c r="AH680" s="70">
        <v>7090</v>
      </c>
      <c r="AI680" s="70">
        <v>0</v>
      </c>
      <c r="AJ680" s="417">
        <v>0</v>
      </c>
      <c r="AK680" s="417">
        <v>0</v>
      </c>
      <c r="AL680" s="378">
        <v>5.3189999999999997E-4</v>
      </c>
      <c r="AM680" s="378"/>
      <c r="AN680" s="70">
        <v>-18985.239325000002</v>
      </c>
      <c r="AO680" s="70">
        <v>-12170.239325000004</v>
      </c>
      <c r="AP680" s="70">
        <v>-12170.239325000004</v>
      </c>
      <c r="AQ680" s="417">
        <v>0</v>
      </c>
      <c r="AR680" s="417">
        <v>0</v>
      </c>
    </row>
    <row r="681" spans="1:46">
      <c r="A681" s="439">
        <v>97601</v>
      </c>
      <c r="B681" s="440" t="s">
        <v>1388</v>
      </c>
      <c r="C681" s="437">
        <v>5.5599999999999998E-3</v>
      </c>
      <c r="D681" s="441"/>
      <c r="E681" s="438">
        <v>4627643.8014499992</v>
      </c>
      <c r="F681" s="442">
        <v>3995989.3214499992</v>
      </c>
      <c r="G681" s="442">
        <v>1183140.7614499996</v>
      </c>
      <c r="H681" s="442">
        <v>4938986.92</v>
      </c>
      <c r="I681" s="442">
        <v>0</v>
      </c>
      <c r="J681" s="443">
        <v>0</v>
      </c>
      <c r="K681" s="443"/>
      <c r="L681" s="444">
        <v>895866.12</v>
      </c>
      <c r="M681" s="444">
        <v>367332.51999999996</v>
      </c>
      <c r="N681" s="444">
        <v>-44163.08</v>
      </c>
      <c r="O681" s="444">
        <v>0</v>
      </c>
      <c r="P681" s="417">
        <v>0</v>
      </c>
      <c r="Q681" s="378">
        <v>0</v>
      </c>
      <c r="R681" s="378"/>
      <c r="S681" s="70">
        <v>2178146.6800000002</v>
      </c>
      <c r="T681" s="105">
        <v>2038612.92</v>
      </c>
      <c r="U681" s="70">
        <v>1211157.04</v>
      </c>
      <c r="V681" s="70">
        <v>4938986.92</v>
      </c>
      <c r="W681" s="417">
        <v>0</v>
      </c>
      <c r="X681" s="378">
        <v>0</v>
      </c>
      <c r="Z681" s="70">
        <v>1564834.2</v>
      </c>
      <c r="AA681" s="70">
        <v>1564823.0799999998</v>
      </c>
      <c r="AB681" s="70">
        <v>0</v>
      </c>
      <c r="AC681" s="417">
        <v>0</v>
      </c>
      <c r="AD681" s="417">
        <v>0</v>
      </c>
      <c r="AE681" s="378">
        <v>0</v>
      </c>
      <c r="AF681" s="378"/>
      <c r="AG681" s="70">
        <v>25220.801449999679</v>
      </c>
      <c r="AH681" s="70">
        <v>25220.801449999679</v>
      </c>
      <c r="AI681" s="70">
        <v>16146.801449999679</v>
      </c>
      <c r="AJ681" s="417">
        <v>0</v>
      </c>
      <c r="AK681" s="417">
        <v>0</v>
      </c>
      <c r="AL681" s="378">
        <v>0</v>
      </c>
      <c r="AM681" s="378"/>
      <c r="AN681" s="70">
        <v>-36424</v>
      </c>
      <c r="AO681" s="70">
        <v>0</v>
      </c>
      <c r="AP681" s="70">
        <v>0</v>
      </c>
      <c r="AQ681" s="417">
        <v>0</v>
      </c>
      <c r="AR681" s="417">
        <v>0</v>
      </c>
    </row>
    <row r="682" spans="1:46">
      <c r="A682" s="439">
        <v>97607</v>
      </c>
      <c r="B682" s="440" t="s">
        <v>1389</v>
      </c>
      <c r="C682" s="437">
        <v>2.9099999999999999E-5</v>
      </c>
      <c r="D682" s="441"/>
      <c r="E682" s="438">
        <v>36761.219875000003</v>
      </c>
      <c r="F682" s="442">
        <v>30302.622074999999</v>
      </c>
      <c r="G682" s="442">
        <v>9411.1904750000031</v>
      </c>
      <c r="H682" s="442">
        <v>25849.733700000001</v>
      </c>
      <c r="I682" s="442">
        <v>0</v>
      </c>
      <c r="J682" s="443">
        <v>2.0100000000000001E-5</v>
      </c>
      <c r="K682" s="443"/>
      <c r="L682" s="444">
        <v>4688.7956999999997</v>
      </c>
      <c r="M682" s="444">
        <v>1922.5497</v>
      </c>
      <c r="N682" s="444">
        <v>-231.1413</v>
      </c>
      <c r="O682" s="444">
        <v>0</v>
      </c>
      <c r="P682" s="417">
        <v>0</v>
      </c>
      <c r="Q682" s="378">
        <v>2.0100000000000001E-5</v>
      </c>
      <c r="R682" s="378"/>
      <c r="S682" s="70">
        <v>11400.0123</v>
      </c>
      <c r="T682" s="105">
        <v>10669.718699999999</v>
      </c>
      <c r="U682" s="70">
        <v>6338.9694</v>
      </c>
      <c r="V682" s="70">
        <v>25849.733700000001</v>
      </c>
      <c r="W682" s="417">
        <v>0</v>
      </c>
      <c r="X682" s="378">
        <v>2.0100000000000001E-5</v>
      </c>
      <c r="Z682" s="70">
        <v>8190.0495000000001</v>
      </c>
      <c r="AA682" s="70">
        <v>8189.9912999999997</v>
      </c>
      <c r="AB682" s="70">
        <v>0</v>
      </c>
      <c r="AC682" s="417">
        <v>0</v>
      </c>
      <c r="AD682" s="417">
        <v>0</v>
      </c>
      <c r="AE682" s="378">
        <v>2.0100000000000001E-5</v>
      </c>
      <c r="AF682" s="378"/>
      <c r="AG682" s="70">
        <v>12482.362375000002</v>
      </c>
      <c r="AH682" s="70">
        <v>9520.3623750000024</v>
      </c>
      <c r="AI682" s="70">
        <v>3303.3623750000024</v>
      </c>
      <c r="AJ682" s="417">
        <v>0</v>
      </c>
      <c r="AK682" s="417">
        <v>0</v>
      </c>
      <c r="AL682" s="378">
        <v>2.0100000000000001E-5</v>
      </c>
      <c r="AM682" s="378"/>
      <c r="AN682" s="70">
        <v>0</v>
      </c>
      <c r="AO682" s="70">
        <v>0</v>
      </c>
      <c r="AP682" s="70">
        <v>0</v>
      </c>
      <c r="AQ682" s="417">
        <v>0</v>
      </c>
      <c r="AR682" s="417">
        <v>0</v>
      </c>
    </row>
    <row r="683" spans="1:46">
      <c r="A683" s="439">
        <v>97611</v>
      </c>
      <c r="B683" s="440" t="s">
        <v>1390</v>
      </c>
      <c r="C683" s="437">
        <v>2.3846000000000002E-3</v>
      </c>
      <c r="D683" s="441"/>
      <c r="E683" s="438">
        <v>2018742.83495</v>
      </c>
      <c r="F683" s="442">
        <v>1684721.0681500002</v>
      </c>
      <c r="G683" s="442">
        <v>487171.5185500001</v>
      </c>
      <c r="H683" s="442">
        <v>2118256.8722000001</v>
      </c>
      <c r="I683" s="442">
        <v>0</v>
      </c>
      <c r="J683" s="443">
        <v>2.0999999999999998E-6</v>
      </c>
      <c r="K683" s="443"/>
      <c r="L683" s="444">
        <v>384223.44420000003</v>
      </c>
      <c r="M683" s="444">
        <v>157543.3682</v>
      </c>
      <c r="N683" s="444">
        <v>-18940.877800000002</v>
      </c>
      <c r="O683" s="444">
        <v>0</v>
      </c>
      <c r="P683" s="417">
        <v>0</v>
      </c>
      <c r="Q683" s="378">
        <v>2.0999999999999998E-6</v>
      </c>
      <c r="R683" s="378"/>
      <c r="S683" s="70">
        <v>934174.20380000002</v>
      </c>
      <c r="T683" s="105">
        <v>874330.28220000002</v>
      </c>
      <c r="U683" s="70">
        <v>519446.95640000002</v>
      </c>
      <c r="V683" s="70">
        <v>2118256.8722000001</v>
      </c>
      <c r="W683" s="417">
        <v>0</v>
      </c>
      <c r="X683" s="378">
        <v>2.0999999999999998E-6</v>
      </c>
      <c r="Z683" s="70">
        <v>671133.74700000009</v>
      </c>
      <c r="AA683" s="70">
        <v>671128.97779999999</v>
      </c>
      <c r="AB683" s="70">
        <v>0</v>
      </c>
      <c r="AC683" s="417">
        <v>0</v>
      </c>
      <c r="AD683" s="417">
        <v>0</v>
      </c>
      <c r="AE683" s="378">
        <v>2.0999999999999998E-6</v>
      </c>
      <c r="AF683" s="378"/>
      <c r="AG683" s="70">
        <v>49773</v>
      </c>
      <c r="AH683" s="70">
        <v>0</v>
      </c>
      <c r="AI683" s="70">
        <v>0</v>
      </c>
      <c r="AJ683" s="417">
        <v>0</v>
      </c>
      <c r="AK683" s="417">
        <v>0</v>
      </c>
      <c r="AL683" s="378">
        <v>2.0999999999999998E-6</v>
      </c>
      <c r="AM683" s="378"/>
      <c r="AN683" s="70">
        <v>-20561.560049999913</v>
      </c>
      <c r="AO683" s="70">
        <v>-18281.560049999913</v>
      </c>
      <c r="AP683" s="70">
        <v>-13334.560049999913</v>
      </c>
      <c r="AQ683" s="417">
        <v>0</v>
      </c>
      <c r="AR683" s="417">
        <v>0</v>
      </c>
    </row>
    <row r="684" spans="1:46">
      <c r="A684" s="439">
        <v>97613</v>
      </c>
      <c r="B684" s="440" t="s">
        <v>1391</v>
      </c>
      <c r="C684" s="437">
        <v>8.3100000000000001E-5</v>
      </c>
      <c r="D684" s="441"/>
      <c r="E684" s="438">
        <v>79646.202625000005</v>
      </c>
      <c r="F684" s="442">
        <v>67520.07282500001</v>
      </c>
      <c r="G684" s="442">
        <v>13649.737225000001</v>
      </c>
      <c r="H684" s="442">
        <v>73818.311700000006</v>
      </c>
      <c r="I684" s="442">
        <v>0</v>
      </c>
      <c r="J684" s="443"/>
      <c r="K684" s="443">
        <v>0</v>
      </c>
      <c r="L684" s="444">
        <v>13389.653700000001</v>
      </c>
      <c r="M684" s="444">
        <v>5490.1677</v>
      </c>
      <c r="N684" s="444">
        <v>-660.06330000000003</v>
      </c>
      <c r="O684" s="444">
        <v>0</v>
      </c>
      <c r="P684" s="417">
        <v>0</v>
      </c>
      <c r="Q684" s="378"/>
      <c r="R684" s="378">
        <v>0</v>
      </c>
      <c r="S684" s="70">
        <v>32554.674299999999</v>
      </c>
      <c r="T684" s="105">
        <v>30469.1967</v>
      </c>
      <c r="U684" s="70">
        <v>18102.005400000002</v>
      </c>
      <c r="V684" s="70">
        <v>73818.311700000006</v>
      </c>
      <c r="W684" s="417">
        <v>0</v>
      </c>
      <c r="X684" s="378"/>
      <c r="Y684" s="417">
        <v>0</v>
      </c>
      <c r="Z684" s="70">
        <v>23388.0795</v>
      </c>
      <c r="AA684" s="70">
        <v>23387.9133</v>
      </c>
      <c r="AB684" s="70">
        <v>0</v>
      </c>
      <c r="AC684" s="417">
        <v>0</v>
      </c>
      <c r="AD684" s="417">
        <v>0</v>
      </c>
      <c r="AE684" s="378"/>
      <c r="AF684" s="378"/>
      <c r="AG684" s="70">
        <v>16566</v>
      </c>
      <c r="AH684" s="70">
        <v>11965</v>
      </c>
      <c r="AI684" s="70">
        <v>0</v>
      </c>
      <c r="AJ684" s="417">
        <v>0</v>
      </c>
      <c r="AK684" s="417">
        <v>0</v>
      </c>
      <c r="AL684" s="378"/>
      <c r="AM684" s="378"/>
      <c r="AN684" s="70">
        <v>-6252.2048749999994</v>
      </c>
      <c r="AO684" s="70">
        <v>-3792.2048749999994</v>
      </c>
      <c r="AP684" s="70">
        <v>-3792.2048749999994</v>
      </c>
      <c r="AQ684" s="417">
        <v>0</v>
      </c>
      <c r="AR684" s="417">
        <v>0</v>
      </c>
      <c r="AS684" s="417">
        <v>0</v>
      </c>
      <c r="AT684" s="417">
        <v>0</v>
      </c>
    </row>
    <row r="685" spans="1:46">
      <c r="A685" s="439">
        <v>97621</v>
      </c>
      <c r="B685" s="440" t="s">
        <v>1392</v>
      </c>
      <c r="C685" s="437">
        <v>3.8759999999999999E-4</v>
      </c>
      <c r="D685" s="441"/>
      <c r="E685" s="438">
        <v>271255.32130000001</v>
      </c>
      <c r="F685" s="442">
        <v>249806.08049999998</v>
      </c>
      <c r="G685" s="442">
        <v>62598.702900000018</v>
      </c>
      <c r="H685" s="442">
        <v>344307.79320000001</v>
      </c>
      <c r="I685" s="442">
        <v>0</v>
      </c>
      <c r="J685" s="443">
        <v>1.2677999999999999E-3</v>
      </c>
      <c r="K685" s="443"/>
      <c r="L685" s="444">
        <v>62452.825199999999</v>
      </c>
      <c r="M685" s="444">
        <v>25607.569199999998</v>
      </c>
      <c r="N685" s="444">
        <v>-3078.7067999999999</v>
      </c>
      <c r="O685" s="444">
        <v>0</v>
      </c>
      <c r="P685" s="417">
        <v>0</v>
      </c>
      <c r="Q685" s="378">
        <v>1.2677999999999999E-3</v>
      </c>
      <c r="R685" s="378"/>
      <c r="S685" s="70">
        <v>151843.46280000001</v>
      </c>
      <c r="T685" s="105">
        <v>142116.25320000001</v>
      </c>
      <c r="U685" s="70">
        <v>84432.458400000003</v>
      </c>
      <c r="V685" s="70">
        <v>344307.79320000001</v>
      </c>
      <c r="W685" s="417">
        <v>0</v>
      </c>
      <c r="X685" s="378">
        <v>1.2677999999999999E-3</v>
      </c>
      <c r="Z685" s="70">
        <v>109088.08199999999</v>
      </c>
      <c r="AA685" s="70">
        <v>109087.30679999999</v>
      </c>
      <c r="AB685" s="70">
        <v>0</v>
      </c>
      <c r="AC685" s="417">
        <v>0</v>
      </c>
      <c r="AD685" s="417">
        <v>0</v>
      </c>
      <c r="AE685" s="378">
        <v>1.2677999999999999E-3</v>
      </c>
      <c r="AF685" s="378"/>
      <c r="AG685" s="70">
        <v>0</v>
      </c>
      <c r="AH685" s="70">
        <v>0</v>
      </c>
      <c r="AI685" s="70">
        <v>0</v>
      </c>
      <c r="AJ685" s="417">
        <v>0</v>
      </c>
      <c r="AK685" s="417">
        <v>0</v>
      </c>
      <c r="AL685" s="378">
        <v>1.2677999999999999E-3</v>
      </c>
      <c r="AM685" s="378"/>
      <c r="AN685" s="70">
        <v>-52129.048699999985</v>
      </c>
      <c r="AO685" s="70">
        <v>-27005.048699999985</v>
      </c>
      <c r="AP685" s="70">
        <v>-18755.048699999985</v>
      </c>
      <c r="AQ685" s="417">
        <v>0</v>
      </c>
      <c r="AR685" s="417">
        <v>0</v>
      </c>
    </row>
    <row r="686" spans="1:46">
      <c r="A686" s="439">
        <v>97623</v>
      </c>
      <c r="B686" s="440" t="s">
        <v>1393</v>
      </c>
      <c r="C686" s="437">
        <v>2.5700000000000001E-5</v>
      </c>
      <c r="D686" s="441"/>
      <c r="E686" s="438">
        <v>22780.357925000004</v>
      </c>
      <c r="F686" s="442">
        <v>19495.297325</v>
      </c>
      <c r="G686" s="442">
        <v>5058.4041250000009</v>
      </c>
      <c r="H686" s="442">
        <v>22829.4899</v>
      </c>
      <c r="I686" s="442">
        <v>0</v>
      </c>
      <c r="J686" s="443">
        <v>0</v>
      </c>
      <c r="K686" s="443"/>
      <c r="L686" s="444">
        <v>4140.9639000000006</v>
      </c>
      <c r="M686" s="444">
        <v>1697.9219000000001</v>
      </c>
      <c r="N686" s="444">
        <v>-204.13510000000002</v>
      </c>
      <c r="O686" s="444">
        <v>0</v>
      </c>
      <c r="P686" s="417">
        <v>0</v>
      </c>
      <c r="Q686" s="378">
        <v>0</v>
      </c>
      <c r="R686" s="378"/>
      <c r="S686" s="70">
        <v>10068.052100000001</v>
      </c>
      <c r="T686" s="105">
        <v>9423.0848999999998</v>
      </c>
      <c r="U686" s="70">
        <v>5598.3338000000003</v>
      </c>
      <c r="V686" s="70">
        <v>22829.4899</v>
      </c>
      <c r="W686" s="417">
        <v>0</v>
      </c>
      <c r="X686" s="378">
        <v>0</v>
      </c>
      <c r="Z686" s="70">
        <v>7233.1365000000005</v>
      </c>
      <c r="AA686" s="70">
        <v>7233.0851000000002</v>
      </c>
      <c r="AB686" s="70">
        <v>0</v>
      </c>
      <c r="AC686" s="417">
        <v>0</v>
      </c>
      <c r="AD686" s="417">
        <v>0</v>
      </c>
      <c r="AE686" s="378">
        <v>0</v>
      </c>
      <c r="AF686" s="378"/>
      <c r="AG686" s="70">
        <v>1674</v>
      </c>
      <c r="AH686" s="70">
        <v>1477</v>
      </c>
      <c r="AI686" s="70">
        <v>0</v>
      </c>
      <c r="AJ686" s="417">
        <v>0</v>
      </c>
      <c r="AK686" s="417">
        <v>0</v>
      </c>
      <c r="AL686" s="378">
        <v>0</v>
      </c>
      <c r="AM686" s="378"/>
      <c r="AN686" s="70">
        <v>-335.79457499999899</v>
      </c>
      <c r="AO686" s="70">
        <v>-335.79457499999899</v>
      </c>
      <c r="AP686" s="70">
        <v>-335.79457499999899</v>
      </c>
      <c r="AQ686" s="417">
        <v>0</v>
      </c>
      <c r="AR686" s="417">
        <v>0</v>
      </c>
    </row>
    <row r="687" spans="1:46">
      <c r="A687" s="439">
        <v>97627</v>
      </c>
      <c r="B687" s="440" t="s">
        <v>1394</v>
      </c>
      <c r="C687" s="437">
        <v>2.6000000000000001E-6</v>
      </c>
      <c r="D687" s="441"/>
      <c r="E687" s="438">
        <v>2183.1597999999994</v>
      </c>
      <c r="F687" s="442">
        <v>2780.7489999999998</v>
      </c>
      <c r="G687" s="442">
        <v>1610.6313999999998</v>
      </c>
      <c r="H687" s="442">
        <v>2309.5981999999999</v>
      </c>
      <c r="I687" s="442">
        <v>0</v>
      </c>
      <c r="J687" s="443">
        <v>2.388E-4</v>
      </c>
      <c r="K687" s="443"/>
      <c r="L687" s="444">
        <v>418.93020000000001</v>
      </c>
      <c r="M687" s="444">
        <v>171.77420000000001</v>
      </c>
      <c r="N687" s="444">
        <v>-20.651800000000001</v>
      </c>
      <c r="O687" s="444">
        <v>0</v>
      </c>
      <c r="P687" s="417">
        <v>0</v>
      </c>
      <c r="Q687" s="378">
        <v>2.388E-4</v>
      </c>
      <c r="R687" s="378"/>
      <c r="S687" s="70">
        <v>1018.5578</v>
      </c>
      <c r="T687" s="105">
        <v>953.30820000000006</v>
      </c>
      <c r="U687" s="70">
        <v>566.36840000000007</v>
      </c>
      <c r="V687" s="70">
        <v>2309.5981999999999</v>
      </c>
      <c r="W687" s="417">
        <v>0</v>
      </c>
      <c r="X687" s="378">
        <v>2.388E-4</v>
      </c>
      <c r="Z687" s="70">
        <v>731.75700000000006</v>
      </c>
      <c r="AA687" s="70">
        <v>731.7518</v>
      </c>
      <c r="AB687" s="70">
        <v>0</v>
      </c>
      <c r="AC687" s="417">
        <v>0</v>
      </c>
      <c r="AD687" s="417">
        <v>0</v>
      </c>
      <c r="AE687" s="378">
        <v>2.388E-4</v>
      </c>
      <c r="AF687" s="378"/>
      <c r="AG687" s="70">
        <v>1211.9147999999998</v>
      </c>
      <c r="AH687" s="70">
        <v>1064.9147999999998</v>
      </c>
      <c r="AI687" s="70">
        <v>1064.9147999999998</v>
      </c>
      <c r="AJ687" s="417">
        <v>0</v>
      </c>
      <c r="AK687" s="417">
        <v>0</v>
      </c>
      <c r="AL687" s="378">
        <v>2.388E-4</v>
      </c>
      <c r="AM687" s="378"/>
      <c r="AN687" s="70">
        <v>-1198</v>
      </c>
      <c r="AO687" s="70">
        <v>-141</v>
      </c>
      <c r="AP687" s="70">
        <v>0</v>
      </c>
      <c r="AQ687" s="417">
        <v>0</v>
      </c>
      <c r="AR687" s="417">
        <v>0</v>
      </c>
    </row>
    <row r="688" spans="1:46">
      <c r="A688" s="439">
        <v>97631</v>
      </c>
      <c r="B688" s="440" t="s">
        <v>1395</v>
      </c>
      <c r="C688" s="437">
        <v>2.042E-4</v>
      </c>
      <c r="D688" s="441"/>
      <c r="E688" s="438">
        <v>165401.72614999997</v>
      </c>
      <c r="F688" s="442">
        <v>140788.46255</v>
      </c>
      <c r="G688" s="442">
        <v>46161.303350000002</v>
      </c>
      <c r="H688" s="442">
        <v>181392.28940000001</v>
      </c>
      <c r="I688" s="442">
        <v>0</v>
      </c>
      <c r="J688" s="443">
        <v>1.3080000000000001E-4</v>
      </c>
      <c r="K688" s="443"/>
      <c r="L688" s="444">
        <v>32902.133399999999</v>
      </c>
      <c r="M688" s="444">
        <v>13490.8814</v>
      </c>
      <c r="N688" s="444">
        <v>-1621.9606000000001</v>
      </c>
      <c r="O688" s="444">
        <v>0</v>
      </c>
      <c r="P688" s="417">
        <v>0</v>
      </c>
      <c r="Q688" s="378">
        <v>1.3080000000000001E-4</v>
      </c>
      <c r="R688" s="378"/>
      <c r="S688" s="70">
        <v>79995.962599999999</v>
      </c>
      <c r="T688" s="105">
        <v>74871.359400000001</v>
      </c>
      <c r="U688" s="70">
        <v>44481.702799999999</v>
      </c>
      <c r="V688" s="70">
        <v>181392.28940000001</v>
      </c>
      <c r="W688" s="417">
        <v>0</v>
      </c>
      <c r="X688" s="378">
        <v>1.3080000000000001E-4</v>
      </c>
      <c r="Z688" s="70">
        <v>57471.069000000003</v>
      </c>
      <c r="AA688" s="70">
        <v>57470.660600000003</v>
      </c>
      <c r="AB688" s="70">
        <v>0</v>
      </c>
      <c r="AC688" s="417">
        <v>0</v>
      </c>
      <c r="AD688" s="417">
        <v>0</v>
      </c>
      <c r="AE688" s="378">
        <v>1.3080000000000001E-4</v>
      </c>
      <c r="AF688" s="378"/>
      <c r="AG688" s="70">
        <v>6824.5611500000014</v>
      </c>
      <c r="AH688" s="70">
        <v>3301.5611500000014</v>
      </c>
      <c r="AI688" s="70">
        <v>3301.5611500000014</v>
      </c>
      <c r="AJ688" s="417">
        <v>0</v>
      </c>
      <c r="AK688" s="417">
        <v>0</v>
      </c>
      <c r="AL688" s="378">
        <v>1.3080000000000001E-4</v>
      </c>
      <c r="AM688" s="378"/>
      <c r="AN688" s="70">
        <v>-11792</v>
      </c>
      <c r="AO688" s="70">
        <v>-8346</v>
      </c>
      <c r="AP688" s="70">
        <v>0</v>
      </c>
      <c r="AQ688" s="417">
        <v>0</v>
      </c>
      <c r="AR688" s="417">
        <v>0</v>
      </c>
    </row>
    <row r="689" spans="1:44">
      <c r="A689" s="439">
        <v>97637</v>
      </c>
      <c r="B689" s="440" t="s">
        <v>1396</v>
      </c>
      <c r="C689" s="437">
        <v>3.8E-6</v>
      </c>
      <c r="D689" s="441"/>
      <c r="E689" s="438">
        <v>4634.3551499999994</v>
      </c>
      <c r="F689" s="442">
        <v>4920.7547500000001</v>
      </c>
      <c r="G689" s="442">
        <v>2890.5059499999998</v>
      </c>
      <c r="H689" s="442">
        <v>3375.5666000000001</v>
      </c>
      <c r="I689" s="442">
        <v>0</v>
      </c>
      <c r="J689" s="443">
        <v>6.0000000000000002E-6</v>
      </c>
      <c r="K689" s="443"/>
      <c r="L689" s="444">
        <v>612.2826</v>
      </c>
      <c r="M689" s="444">
        <v>251.05459999999999</v>
      </c>
      <c r="N689" s="444">
        <v>-30.183399999999999</v>
      </c>
      <c r="O689" s="444">
        <v>0</v>
      </c>
      <c r="P689" s="417">
        <v>0</v>
      </c>
      <c r="Q689" s="378">
        <v>6.0000000000000002E-6</v>
      </c>
      <c r="R689" s="378"/>
      <c r="S689" s="70">
        <v>1488.6614</v>
      </c>
      <c r="T689" s="105">
        <v>1393.2966000000001</v>
      </c>
      <c r="U689" s="70">
        <v>827.76919999999996</v>
      </c>
      <c r="V689" s="70">
        <v>3375.5666000000001</v>
      </c>
      <c r="W689" s="417">
        <v>0</v>
      </c>
      <c r="X689" s="378">
        <v>6.0000000000000002E-6</v>
      </c>
      <c r="Z689" s="70">
        <v>1069.491</v>
      </c>
      <c r="AA689" s="70">
        <v>1069.4834000000001</v>
      </c>
      <c r="AB689" s="70">
        <v>0</v>
      </c>
      <c r="AC689" s="417">
        <v>0</v>
      </c>
      <c r="AD689" s="417">
        <v>0</v>
      </c>
      <c r="AE689" s="378">
        <v>6.0000000000000002E-6</v>
      </c>
      <c r="AF689" s="378"/>
      <c r="AG689" s="70">
        <v>2445.9201499999999</v>
      </c>
      <c r="AH689" s="70">
        <v>2206.9201499999999</v>
      </c>
      <c r="AI689" s="70">
        <v>2092.9201499999999</v>
      </c>
      <c r="AJ689" s="417">
        <v>0</v>
      </c>
      <c r="AK689" s="417">
        <v>0</v>
      </c>
      <c r="AL689" s="378">
        <v>6.0000000000000002E-6</v>
      </c>
      <c r="AM689" s="378"/>
      <c r="AN689" s="70">
        <v>-982</v>
      </c>
      <c r="AO689" s="70">
        <v>0</v>
      </c>
      <c r="AP689" s="70">
        <v>0</v>
      </c>
      <c r="AQ689" s="417">
        <v>0</v>
      </c>
      <c r="AR689" s="417">
        <v>0</v>
      </c>
    </row>
    <row r="690" spans="1:44">
      <c r="A690" s="439">
        <v>97641</v>
      </c>
      <c r="B690" s="440" t="s">
        <v>1397</v>
      </c>
      <c r="C690" s="437">
        <v>1.091E-4</v>
      </c>
      <c r="D690" s="441"/>
      <c r="E690" s="438">
        <v>129552.793275</v>
      </c>
      <c r="F690" s="442">
        <v>112323.555475</v>
      </c>
      <c r="G690" s="442">
        <v>40044.043875000003</v>
      </c>
      <c r="H690" s="442">
        <v>96914.293699999995</v>
      </c>
      <c r="I690" s="442">
        <v>0</v>
      </c>
      <c r="J690" s="443">
        <v>8.2000000000000001E-5</v>
      </c>
      <c r="K690" s="443"/>
      <c r="L690" s="444">
        <v>17578.955699999999</v>
      </c>
      <c r="M690" s="444">
        <v>7207.9097000000002</v>
      </c>
      <c r="N690" s="444">
        <v>-866.58129999999994</v>
      </c>
      <c r="O690" s="444">
        <v>0</v>
      </c>
      <c r="P690" s="417">
        <v>0</v>
      </c>
      <c r="Q690" s="378">
        <v>8.2000000000000001E-5</v>
      </c>
      <c r="R690" s="378"/>
      <c r="S690" s="70">
        <v>42740.2523</v>
      </c>
      <c r="T690" s="105">
        <v>40002.278699999995</v>
      </c>
      <c r="U690" s="70">
        <v>23765.689399999999</v>
      </c>
      <c r="V690" s="70">
        <v>96914.293699999995</v>
      </c>
      <c r="W690" s="417">
        <v>0</v>
      </c>
      <c r="X690" s="378">
        <v>8.2000000000000001E-5</v>
      </c>
      <c r="Z690" s="70">
        <v>30705.6495</v>
      </c>
      <c r="AA690" s="70">
        <v>30705.4313</v>
      </c>
      <c r="AB690" s="70">
        <v>0</v>
      </c>
      <c r="AC690" s="417">
        <v>0</v>
      </c>
      <c r="AD690" s="417">
        <v>0</v>
      </c>
      <c r="AE690" s="378">
        <v>8.2000000000000001E-5</v>
      </c>
      <c r="AF690" s="378"/>
      <c r="AG690" s="70">
        <v>38527.935775000005</v>
      </c>
      <c r="AH690" s="70">
        <v>34407.935775000005</v>
      </c>
      <c r="AI690" s="70">
        <v>17144.935775000002</v>
      </c>
      <c r="AJ690" s="417">
        <v>0</v>
      </c>
      <c r="AK690" s="417">
        <v>0</v>
      </c>
      <c r="AL690" s="378">
        <v>8.2000000000000001E-5</v>
      </c>
      <c r="AM690" s="378"/>
      <c r="AN690" s="70">
        <v>0</v>
      </c>
      <c r="AO690" s="70">
        <v>0</v>
      </c>
      <c r="AP690" s="70">
        <v>0</v>
      </c>
      <c r="AQ690" s="417">
        <v>0</v>
      </c>
      <c r="AR690" s="417">
        <v>0</v>
      </c>
    </row>
    <row r="691" spans="1:44">
      <c r="A691" s="439">
        <v>97651</v>
      </c>
      <c r="B691" s="440" t="s">
        <v>1398</v>
      </c>
      <c r="C691" s="437">
        <v>5.373E-4</v>
      </c>
      <c r="D691" s="441"/>
      <c r="E691" s="438">
        <v>432894.41112500004</v>
      </c>
      <c r="F691" s="442">
        <v>378446.51772499998</v>
      </c>
      <c r="G691" s="442">
        <v>133559.02292500006</v>
      </c>
      <c r="H691" s="442">
        <v>477287.35109999997</v>
      </c>
      <c r="I691" s="442">
        <v>0</v>
      </c>
      <c r="J691" s="443">
        <v>5.3641000000000001E-3</v>
      </c>
      <c r="K691" s="443"/>
      <c r="L691" s="444">
        <v>86573.537100000001</v>
      </c>
      <c r="M691" s="444">
        <v>35497.799099999997</v>
      </c>
      <c r="N691" s="444">
        <v>-4267.7739000000001</v>
      </c>
      <c r="O691" s="444">
        <v>0</v>
      </c>
      <c r="P691" s="417">
        <v>0</v>
      </c>
      <c r="Q691" s="378">
        <v>5.3641000000000001E-3</v>
      </c>
      <c r="R691" s="378"/>
      <c r="S691" s="70">
        <v>210488.88690000001</v>
      </c>
      <c r="T691" s="105">
        <v>197004.80609999999</v>
      </c>
      <c r="U691" s="70">
        <v>117042.20819999999</v>
      </c>
      <c r="V691" s="70">
        <v>477287.35109999997</v>
      </c>
      <c r="W691" s="417">
        <v>0</v>
      </c>
      <c r="X691" s="378">
        <v>5.3641000000000001E-3</v>
      </c>
      <c r="Z691" s="70">
        <v>151220.39850000001</v>
      </c>
      <c r="AA691" s="70">
        <v>151219.32389999999</v>
      </c>
      <c r="AB691" s="70">
        <v>0</v>
      </c>
      <c r="AC691" s="417">
        <v>0</v>
      </c>
      <c r="AD691" s="417">
        <v>0</v>
      </c>
      <c r="AE691" s="378">
        <v>5.3641000000000001E-3</v>
      </c>
      <c r="AF691" s="378"/>
      <c r="AG691" s="70">
        <v>20784.588625000048</v>
      </c>
      <c r="AH691" s="70">
        <v>20784.588625000048</v>
      </c>
      <c r="AI691" s="70">
        <v>20784.588625000048</v>
      </c>
      <c r="AJ691" s="417">
        <v>0</v>
      </c>
      <c r="AK691" s="417">
        <v>0</v>
      </c>
      <c r="AL691" s="378">
        <v>5.3641000000000001E-3</v>
      </c>
      <c r="AM691" s="378"/>
      <c r="AN691" s="70">
        <v>-36173</v>
      </c>
      <c r="AO691" s="70">
        <v>-26060</v>
      </c>
      <c r="AP691" s="70">
        <v>0</v>
      </c>
      <c r="AQ691" s="417">
        <v>0</v>
      </c>
      <c r="AR691" s="417">
        <v>0</v>
      </c>
    </row>
    <row r="692" spans="1:44">
      <c r="A692" s="439">
        <v>97661</v>
      </c>
      <c r="B692" s="440" t="s">
        <v>1399</v>
      </c>
      <c r="C692" s="437">
        <v>4.6699999999999997E-5</v>
      </c>
      <c r="D692" s="441"/>
      <c r="E692" s="438">
        <v>40515.517275000006</v>
      </c>
      <c r="F692" s="442">
        <v>36444.138674999995</v>
      </c>
      <c r="G692" s="442">
        <v>9871.4494750000013</v>
      </c>
      <c r="H692" s="442">
        <v>41483.936900000001</v>
      </c>
      <c r="I692" s="442">
        <v>0</v>
      </c>
      <c r="J692" s="443">
        <v>2.5599999999999999E-5</v>
      </c>
      <c r="K692" s="443"/>
      <c r="L692" s="444">
        <v>7524.6308999999992</v>
      </c>
      <c r="M692" s="444">
        <v>3085.3289</v>
      </c>
      <c r="N692" s="444">
        <v>-370.93809999999996</v>
      </c>
      <c r="O692" s="444">
        <v>0</v>
      </c>
      <c r="P692" s="417">
        <v>0</v>
      </c>
      <c r="Q692" s="378">
        <v>2.5599999999999999E-5</v>
      </c>
      <c r="R692" s="378"/>
      <c r="S692" s="70">
        <v>18294.865099999999</v>
      </c>
      <c r="T692" s="105">
        <v>17122.8819</v>
      </c>
      <c r="U692" s="70">
        <v>10172.8478</v>
      </c>
      <c r="V692" s="70">
        <v>41483.936900000001</v>
      </c>
      <c r="W692" s="417">
        <v>0</v>
      </c>
      <c r="X692" s="378">
        <v>2.5599999999999999E-5</v>
      </c>
      <c r="Z692" s="70">
        <v>13143.4815</v>
      </c>
      <c r="AA692" s="70">
        <v>13143.388099999998</v>
      </c>
      <c r="AB692" s="70">
        <v>0</v>
      </c>
      <c r="AC692" s="417">
        <v>0</v>
      </c>
      <c r="AD692" s="417">
        <v>0</v>
      </c>
      <c r="AE692" s="378">
        <v>2.5599999999999999E-5</v>
      </c>
      <c r="AF692" s="378"/>
      <c r="AG692" s="70">
        <v>4925.5397750000011</v>
      </c>
      <c r="AH692" s="70">
        <v>3092.5397750000011</v>
      </c>
      <c r="AI692" s="70">
        <v>69.5397750000011</v>
      </c>
      <c r="AJ692" s="417">
        <v>0</v>
      </c>
      <c r="AK692" s="417">
        <v>0</v>
      </c>
      <c r="AL692" s="378">
        <v>2.5599999999999999E-5</v>
      </c>
      <c r="AM692" s="378"/>
      <c r="AN692" s="70">
        <v>-3373</v>
      </c>
      <c r="AO692" s="70">
        <v>0</v>
      </c>
      <c r="AP692" s="70">
        <v>0</v>
      </c>
      <c r="AQ692" s="417">
        <v>0</v>
      </c>
      <c r="AR692" s="417">
        <v>0</v>
      </c>
    </row>
    <row r="693" spans="1:44">
      <c r="A693" s="439">
        <v>97701</v>
      </c>
      <c r="B693" s="440" t="s">
        <v>1400</v>
      </c>
      <c r="C693" s="437">
        <v>2.3465000000000001E-3</v>
      </c>
      <c r="D693" s="441"/>
      <c r="E693" s="438">
        <v>1907907.8511750002</v>
      </c>
      <c r="F693" s="442">
        <v>1667673.1041749998</v>
      </c>
      <c r="G693" s="442">
        <v>457671.47017500002</v>
      </c>
      <c r="H693" s="442">
        <v>2084412.3755000001</v>
      </c>
      <c r="I693" s="442">
        <v>0</v>
      </c>
      <c r="J693" s="443">
        <v>2.4091999999999998E-3</v>
      </c>
      <c r="K693" s="443"/>
      <c r="L693" s="444">
        <v>378084.50550000003</v>
      </c>
      <c r="M693" s="444">
        <v>155026.21549999999</v>
      </c>
      <c r="N693" s="444">
        <v>-18638.249500000002</v>
      </c>
      <c r="O693" s="444">
        <v>0</v>
      </c>
      <c r="P693" s="417">
        <v>0</v>
      </c>
      <c r="Q693" s="378">
        <v>2.4091999999999998E-3</v>
      </c>
      <c r="R693" s="378"/>
      <c r="S693" s="70">
        <v>919248.41450000007</v>
      </c>
      <c r="T693" s="105">
        <v>860360.65049999999</v>
      </c>
      <c r="U693" s="70">
        <v>511147.48100000003</v>
      </c>
      <c r="V693" s="70">
        <v>2084412.3755000001</v>
      </c>
      <c r="W693" s="417">
        <v>0</v>
      </c>
      <c r="X693" s="378">
        <v>2.4091999999999998E-3</v>
      </c>
      <c r="Z693" s="70">
        <v>660410.6925</v>
      </c>
      <c r="AA693" s="70">
        <v>660405.99950000003</v>
      </c>
      <c r="AB693" s="70">
        <v>0</v>
      </c>
      <c r="AC693" s="417">
        <v>0</v>
      </c>
      <c r="AD693" s="417">
        <v>0</v>
      </c>
      <c r="AE693" s="378">
        <v>2.4091999999999998E-3</v>
      </c>
      <c r="AF693" s="378"/>
      <c r="AG693" s="70">
        <v>26718</v>
      </c>
      <c r="AH693" s="70">
        <v>26718</v>
      </c>
      <c r="AI693" s="70">
        <v>0</v>
      </c>
      <c r="AJ693" s="417">
        <v>0</v>
      </c>
      <c r="AK693" s="417">
        <v>0</v>
      </c>
      <c r="AL693" s="378">
        <v>2.4091999999999998E-3</v>
      </c>
      <c r="AM693" s="378"/>
      <c r="AN693" s="70">
        <v>-76553.761325000029</v>
      </c>
      <c r="AO693" s="70">
        <v>-34837.761325000029</v>
      </c>
      <c r="AP693" s="70">
        <v>-34837.761325000029</v>
      </c>
      <c r="AQ693" s="417">
        <v>0</v>
      </c>
      <c r="AR693" s="417">
        <v>0</v>
      </c>
    </row>
    <row r="694" spans="1:44">
      <c r="A694" s="439">
        <v>97705</v>
      </c>
      <c r="B694" s="440" t="s">
        <v>1401</v>
      </c>
      <c r="C694" s="437">
        <v>2.6299999999999999E-5</v>
      </c>
      <c r="D694" s="441"/>
      <c r="E694" s="438">
        <v>25131.379124999992</v>
      </c>
      <c r="F694" s="442">
        <v>21539.223724999996</v>
      </c>
      <c r="G694" s="442">
        <v>6869.7649249999968</v>
      </c>
      <c r="H694" s="442">
        <v>23362.474099999999</v>
      </c>
      <c r="I694" s="442">
        <v>0</v>
      </c>
      <c r="J694" s="443">
        <v>9.9099999999999996E-5</v>
      </c>
      <c r="K694" s="443"/>
      <c r="L694" s="444">
        <v>4237.6400999999996</v>
      </c>
      <c r="M694" s="444">
        <v>1737.5620999999999</v>
      </c>
      <c r="N694" s="444">
        <v>-208.90089999999998</v>
      </c>
      <c r="O694" s="444">
        <v>0</v>
      </c>
      <c r="P694" s="417">
        <v>0</v>
      </c>
      <c r="Q694" s="378">
        <v>9.9099999999999996E-5</v>
      </c>
      <c r="R694" s="378"/>
      <c r="S694" s="70">
        <v>10303.1039</v>
      </c>
      <c r="T694" s="105">
        <v>9643.079099999999</v>
      </c>
      <c r="U694" s="70">
        <v>5729.0342000000001</v>
      </c>
      <c r="V694" s="70">
        <v>23362.474099999999</v>
      </c>
      <c r="W694" s="417">
        <v>0</v>
      </c>
      <c r="X694" s="378">
        <v>9.9099999999999996E-5</v>
      </c>
      <c r="Z694" s="70">
        <v>7402.0034999999998</v>
      </c>
      <c r="AA694" s="70">
        <v>7401.9508999999998</v>
      </c>
      <c r="AB694" s="70">
        <v>0</v>
      </c>
      <c r="AC694" s="417">
        <v>0</v>
      </c>
      <c r="AD694" s="417">
        <v>0</v>
      </c>
      <c r="AE694" s="378">
        <v>9.9099999999999996E-5</v>
      </c>
      <c r="AF694" s="378"/>
      <c r="AG694" s="70">
        <v>4791.6316249999963</v>
      </c>
      <c r="AH694" s="70">
        <v>2756.6316249999963</v>
      </c>
      <c r="AI694" s="70">
        <v>1349.6316249999963</v>
      </c>
      <c r="AJ694" s="417">
        <v>0</v>
      </c>
      <c r="AK694" s="417">
        <v>0</v>
      </c>
      <c r="AL694" s="378">
        <v>9.9099999999999996E-5</v>
      </c>
      <c r="AM694" s="378"/>
      <c r="AN694" s="70">
        <v>-1603</v>
      </c>
      <c r="AO694" s="70">
        <v>0</v>
      </c>
      <c r="AP694" s="70">
        <v>0</v>
      </c>
      <c r="AQ694" s="417">
        <v>0</v>
      </c>
      <c r="AR694" s="417">
        <v>0</v>
      </c>
    </row>
    <row r="695" spans="1:44">
      <c r="A695" s="439">
        <v>97711</v>
      </c>
      <c r="B695" s="440" t="s">
        <v>1402</v>
      </c>
      <c r="C695" s="437">
        <v>7.7510000000000003E-4</v>
      </c>
      <c r="D695" s="441"/>
      <c r="E695" s="438">
        <v>616289.84707499994</v>
      </c>
      <c r="F695" s="442">
        <v>534092.38127500005</v>
      </c>
      <c r="G695" s="442">
        <v>148694.05367500003</v>
      </c>
      <c r="H695" s="442">
        <v>688526.75569999998</v>
      </c>
      <c r="I695" s="442">
        <v>0</v>
      </c>
      <c r="J695" s="443">
        <v>4.1300000000000001E-4</v>
      </c>
      <c r="K695" s="443"/>
      <c r="L695" s="444">
        <v>124889.5377</v>
      </c>
      <c r="M695" s="444">
        <v>51208.5317</v>
      </c>
      <c r="N695" s="444">
        <v>-6156.6193000000003</v>
      </c>
      <c r="O695" s="444">
        <v>0</v>
      </c>
      <c r="P695" s="417">
        <v>0</v>
      </c>
      <c r="Q695" s="378">
        <v>4.1300000000000001E-4</v>
      </c>
      <c r="R695" s="378"/>
      <c r="S695" s="70">
        <v>303647.75030000001</v>
      </c>
      <c r="T695" s="105">
        <v>284195.8407</v>
      </c>
      <c r="U695" s="70">
        <v>168843.13340000002</v>
      </c>
      <c r="V695" s="70">
        <v>688526.75569999998</v>
      </c>
      <c r="W695" s="417">
        <v>0</v>
      </c>
      <c r="X695" s="378">
        <v>4.1300000000000001E-4</v>
      </c>
      <c r="Z695" s="70">
        <v>218148.01949999999</v>
      </c>
      <c r="AA695" s="70">
        <v>218146.4693</v>
      </c>
      <c r="AB695" s="70">
        <v>0</v>
      </c>
      <c r="AC695" s="417">
        <v>0</v>
      </c>
      <c r="AD695" s="417">
        <v>0</v>
      </c>
      <c r="AE695" s="378">
        <v>4.1300000000000001E-4</v>
      </c>
      <c r="AF695" s="378"/>
      <c r="AG695" s="70">
        <v>0</v>
      </c>
      <c r="AH695" s="70">
        <v>0</v>
      </c>
      <c r="AI695" s="70">
        <v>0</v>
      </c>
      <c r="AJ695" s="417">
        <v>0</v>
      </c>
      <c r="AK695" s="417">
        <v>0</v>
      </c>
      <c r="AL695" s="378">
        <v>4.1300000000000001E-4</v>
      </c>
      <c r="AM695" s="378"/>
      <c r="AN695" s="70">
        <v>-30395.460424999997</v>
      </c>
      <c r="AO695" s="70">
        <v>-19458.460424999997</v>
      </c>
      <c r="AP695" s="70">
        <v>-13992.460424999997</v>
      </c>
      <c r="AQ695" s="417">
        <v>0</v>
      </c>
      <c r="AR695" s="417">
        <v>0</v>
      </c>
    </row>
    <row r="696" spans="1:44">
      <c r="A696" s="439">
        <v>97713</v>
      </c>
      <c r="B696" s="440" t="s">
        <v>1403</v>
      </c>
      <c r="C696" s="437">
        <v>7.5400000000000003E-5</v>
      </c>
      <c r="D696" s="441"/>
      <c r="E696" s="438">
        <v>70863.591350000002</v>
      </c>
      <c r="F696" s="442">
        <v>59730.678150000007</v>
      </c>
      <c r="G696" s="442">
        <v>20370.267750000006</v>
      </c>
      <c r="H696" s="442">
        <v>66978.347800000003</v>
      </c>
      <c r="I696" s="442">
        <v>0</v>
      </c>
      <c r="J696" s="443">
        <v>2.6599999999999999E-5</v>
      </c>
      <c r="K696" s="443"/>
      <c r="L696" s="444">
        <v>12148.9758</v>
      </c>
      <c r="M696" s="444">
        <v>4981.4517999999998</v>
      </c>
      <c r="N696" s="444">
        <v>-598.90219999999999</v>
      </c>
      <c r="O696" s="444">
        <v>0</v>
      </c>
      <c r="P696" s="417">
        <v>0</v>
      </c>
      <c r="Q696" s="378">
        <v>2.6599999999999999E-5</v>
      </c>
      <c r="R696" s="378"/>
      <c r="S696" s="70">
        <v>29538.176200000002</v>
      </c>
      <c r="T696" s="105">
        <v>27645.9378</v>
      </c>
      <c r="U696" s="70">
        <v>16424.6836</v>
      </c>
      <c r="V696" s="70">
        <v>66978.347800000003</v>
      </c>
      <c r="W696" s="417">
        <v>0</v>
      </c>
      <c r="X696" s="378">
        <v>2.6599999999999999E-5</v>
      </c>
      <c r="Z696" s="70">
        <v>21220.953000000001</v>
      </c>
      <c r="AA696" s="70">
        <v>21220.802200000002</v>
      </c>
      <c r="AB696" s="70">
        <v>0</v>
      </c>
      <c r="AC696" s="417">
        <v>0</v>
      </c>
      <c r="AD696" s="417">
        <v>0</v>
      </c>
      <c r="AE696" s="378">
        <v>2.6599999999999999E-5</v>
      </c>
      <c r="AF696" s="378"/>
      <c r="AG696" s="70">
        <v>8127.4863500000047</v>
      </c>
      <c r="AH696" s="70">
        <v>5882.4863500000047</v>
      </c>
      <c r="AI696" s="70">
        <v>4544.4863500000047</v>
      </c>
      <c r="AJ696" s="417">
        <v>0</v>
      </c>
      <c r="AK696" s="417">
        <v>0</v>
      </c>
      <c r="AL696" s="378">
        <v>2.6599999999999999E-5</v>
      </c>
      <c r="AM696" s="378"/>
      <c r="AN696" s="70">
        <v>-172</v>
      </c>
      <c r="AO696" s="70">
        <v>0</v>
      </c>
      <c r="AP696" s="70">
        <v>0</v>
      </c>
      <c r="AQ696" s="417">
        <v>0</v>
      </c>
      <c r="AR696" s="417">
        <v>0</v>
      </c>
    </row>
    <row r="697" spans="1:44">
      <c r="A697" s="439">
        <v>97717</v>
      </c>
      <c r="B697" s="440" t="s">
        <v>1404</v>
      </c>
      <c r="C697" s="437">
        <v>1.0200000000000001E-5</v>
      </c>
      <c r="D697" s="441"/>
      <c r="E697" s="438">
        <v>11815.17015</v>
      </c>
      <c r="F697" s="442">
        <v>10174.558550000002</v>
      </c>
      <c r="G697" s="442">
        <v>-1090.0566499999995</v>
      </c>
      <c r="H697" s="442">
        <v>9060.7314000000006</v>
      </c>
      <c r="I697" s="442">
        <v>0</v>
      </c>
      <c r="J697" s="443">
        <v>3.4999999999999999E-6</v>
      </c>
      <c r="K697" s="443"/>
      <c r="L697" s="444">
        <v>1643.4954</v>
      </c>
      <c r="M697" s="444">
        <v>673.88340000000005</v>
      </c>
      <c r="N697" s="444">
        <v>-81.018600000000006</v>
      </c>
      <c r="O697" s="444">
        <v>0</v>
      </c>
      <c r="P697" s="417">
        <v>0</v>
      </c>
      <c r="Q697" s="378">
        <v>3.4999999999999999E-6</v>
      </c>
      <c r="R697" s="378"/>
      <c r="S697" s="70">
        <v>3995.8806000000004</v>
      </c>
      <c r="T697" s="105">
        <v>3739.9014000000002</v>
      </c>
      <c r="U697" s="70">
        <v>2221.9068000000002</v>
      </c>
      <c r="V697" s="70">
        <v>9060.7314000000006</v>
      </c>
      <c r="W697" s="417">
        <v>0</v>
      </c>
      <c r="X697" s="378">
        <v>3.4999999999999999E-6</v>
      </c>
      <c r="Z697" s="70">
        <v>2870.739</v>
      </c>
      <c r="AA697" s="70">
        <v>2870.7186000000002</v>
      </c>
      <c r="AB697" s="70">
        <v>0</v>
      </c>
      <c r="AC697" s="417">
        <v>0</v>
      </c>
      <c r="AD697" s="417">
        <v>0</v>
      </c>
      <c r="AE697" s="378">
        <v>3.4999999999999999E-6</v>
      </c>
      <c r="AF697" s="378"/>
      <c r="AG697" s="70">
        <v>6556</v>
      </c>
      <c r="AH697" s="70">
        <v>6121</v>
      </c>
      <c r="AI697" s="70">
        <v>0</v>
      </c>
      <c r="AJ697" s="417">
        <v>0</v>
      </c>
      <c r="AK697" s="417">
        <v>0</v>
      </c>
      <c r="AL697" s="378">
        <v>3.4999999999999999E-6</v>
      </c>
      <c r="AM697" s="378"/>
      <c r="AN697" s="70">
        <v>-3250.9448499999999</v>
      </c>
      <c r="AO697" s="70">
        <v>-3230.9448499999999</v>
      </c>
      <c r="AP697" s="70">
        <v>-3230.9448499999999</v>
      </c>
      <c r="AQ697" s="417">
        <v>0</v>
      </c>
      <c r="AR697" s="417">
        <v>0</v>
      </c>
    </row>
    <row r="698" spans="1:44">
      <c r="A698" s="439">
        <v>97721</v>
      </c>
      <c r="B698" s="440" t="s">
        <v>1405</v>
      </c>
      <c r="C698" s="437">
        <v>5.0299999999999997E-4</v>
      </c>
      <c r="D698" s="441"/>
      <c r="E698" s="438">
        <v>371756.28979999997</v>
      </c>
      <c r="F698" s="442">
        <v>337456.81579999998</v>
      </c>
      <c r="G698" s="442">
        <v>115819.9878</v>
      </c>
      <c r="H698" s="442">
        <v>446818.42099999997</v>
      </c>
      <c r="I698" s="442">
        <v>0</v>
      </c>
      <c r="J698" s="443">
        <v>1.984E-4</v>
      </c>
      <c r="K698" s="443"/>
      <c r="L698" s="444">
        <v>81046.880999999994</v>
      </c>
      <c r="M698" s="444">
        <v>33231.701000000001</v>
      </c>
      <c r="N698" s="444">
        <v>-3995.3289999999997</v>
      </c>
      <c r="O698" s="444">
        <v>0</v>
      </c>
      <c r="P698" s="417">
        <v>0</v>
      </c>
      <c r="Q698" s="378">
        <v>1.984E-4</v>
      </c>
      <c r="R698" s="378"/>
      <c r="S698" s="70">
        <v>197051.75899999999</v>
      </c>
      <c r="T698" s="105">
        <v>184428.47099999999</v>
      </c>
      <c r="U698" s="70">
        <v>109570.50199999999</v>
      </c>
      <c r="V698" s="70">
        <v>446818.42099999997</v>
      </c>
      <c r="W698" s="417">
        <v>0</v>
      </c>
      <c r="X698" s="378">
        <v>1.984E-4</v>
      </c>
      <c r="Z698" s="70">
        <v>141566.83499999999</v>
      </c>
      <c r="AA698" s="70">
        <v>141565.829</v>
      </c>
      <c r="AB698" s="70">
        <v>0</v>
      </c>
      <c r="AC698" s="417">
        <v>0</v>
      </c>
      <c r="AD698" s="417">
        <v>0</v>
      </c>
      <c r="AE698" s="378">
        <v>1.984E-4</v>
      </c>
      <c r="AF698" s="378"/>
      <c r="AG698" s="70">
        <v>10244.814800000007</v>
      </c>
      <c r="AH698" s="70">
        <v>10244.814800000007</v>
      </c>
      <c r="AI698" s="70">
        <v>10244.814800000007</v>
      </c>
      <c r="AJ698" s="417">
        <v>0</v>
      </c>
      <c r="AK698" s="417">
        <v>0</v>
      </c>
      <c r="AL698" s="378">
        <v>1.984E-4</v>
      </c>
      <c r="AM698" s="378"/>
      <c r="AN698" s="70">
        <v>-58154</v>
      </c>
      <c r="AO698" s="70">
        <v>-32014</v>
      </c>
      <c r="AP698" s="70">
        <v>0</v>
      </c>
      <c r="AQ698" s="417">
        <v>0</v>
      </c>
      <c r="AR698" s="417">
        <v>0</v>
      </c>
    </row>
    <row r="699" spans="1:44">
      <c r="A699" s="439">
        <v>97727</v>
      </c>
      <c r="B699" s="440" t="s">
        <v>1406</v>
      </c>
      <c r="C699" s="437">
        <v>2.1100000000000001E-5</v>
      </c>
      <c r="D699" s="441"/>
      <c r="E699" s="438">
        <v>21809.989325000002</v>
      </c>
      <c r="F699" s="442">
        <v>19126.655525000002</v>
      </c>
      <c r="G699" s="442">
        <v>5337.4319250000008</v>
      </c>
      <c r="H699" s="442">
        <v>18743.277700000002</v>
      </c>
      <c r="I699" s="442">
        <v>0</v>
      </c>
      <c r="J699" s="443">
        <v>0</v>
      </c>
      <c r="K699" s="443"/>
      <c r="L699" s="444">
        <v>3399.7797</v>
      </c>
      <c r="M699" s="444">
        <v>1394.0137</v>
      </c>
      <c r="N699" s="444">
        <v>-167.59730000000002</v>
      </c>
      <c r="O699" s="444">
        <v>0</v>
      </c>
      <c r="P699" s="417">
        <v>0</v>
      </c>
      <c r="Q699" s="378">
        <v>0</v>
      </c>
      <c r="R699" s="378"/>
      <c r="S699" s="70">
        <v>8265.9883000000009</v>
      </c>
      <c r="T699" s="105">
        <v>7736.4627</v>
      </c>
      <c r="U699" s="70">
        <v>4596.2974000000004</v>
      </c>
      <c r="V699" s="70">
        <v>18743.277700000002</v>
      </c>
      <c r="W699" s="417">
        <v>0</v>
      </c>
      <c r="X699" s="378">
        <v>0</v>
      </c>
      <c r="Z699" s="70">
        <v>5938.4895000000006</v>
      </c>
      <c r="AA699" s="70">
        <v>5938.4473000000007</v>
      </c>
      <c r="AB699" s="70">
        <v>0</v>
      </c>
      <c r="AC699" s="417">
        <v>0</v>
      </c>
      <c r="AD699" s="417">
        <v>0</v>
      </c>
      <c r="AE699" s="378">
        <v>0</v>
      </c>
      <c r="AF699" s="378"/>
      <c r="AG699" s="70">
        <v>4215.7318250000008</v>
      </c>
      <c r="AH699" s="70">
        <v>4057.7318250000008</v>
      </c>
      <c r="AI699" s="70">
        <v>908.73182500000075</v>
      </c>
      <c r="AJ699" s="417">
        <v>0</v>
      </c>
      <c r="AK699" s="417">
        <v>0</v>
      </c>
      <c r="AL699" s="378">
        <v>0</v>
      </c>
      <c r="AM699" s="378"/>
      <c r="AN699" s="70">
        <v>-10</v>
      </c>
      <c r="AO699" s="70">
        <v>0</v>
      </c>
      <c r="AP699" s="70">
        <v>0</v>
      </c>
      <c r="AQ699" s="417">
        <v>0</v>
      </c>
      <c r="AR699" s="417">
        <v>0</v>
      </c>
    </row>
    <row r="700" spans="1:44">
      <c r="A700" s="439">
        <v>97731</v>
      </c>
      <c r="B700" s="440" t="s">
        <v>1407</v>
      </c>
      <c r="C700" s="437">
        <v>3.1900000000000003E-5</v>
      </c>
      <c r="D700" s="441"/>
      <c r="E700" s="438">
        <v>26967.096925000009</v>
      </c>
      <c r="F700" s="442">
        <v>21395.056725000006</v>
      </c>
      <c r="G700" s="442">
        <v>7646.6523250000027</v>
      </c>
      <c r="H700" s="442">
        <v>28336.993300000002</v>
      </c>
      <c r="I700" s="442">
        <v>0</v>
      </c>
      <c r="J700" s="443">
        <v>7.7799999999999994E-5</v>
      </c>
      <c r="K700" s="443"/>
      <c r="L700" s="444">
        <v>5139.9513000000006</v>
      </c>
      <c r="M700" s="444">
        <v>2107.5373000000004</v>
      </c>
      <c r="N700" s="444">
        <v>-253.38170000000002</v>
      </c>
      <c r="O700" s="444">
        <v>0</v>
      </c>
      <c r="P700" s="417">
        <v>0</v>
      </c>
      <c r="Q700" s="378">
        <v>7.7799999999999994E-5</v>
      </c>
      <c r="R700" s="378"/>
      <c r="S700" s="70">
        <v>12496.920700000001</v>
      </c>
      <c r="T700" s="105">
        <v>11696.358300000002</v>
      </c>
      <c r="U700" s="70">
        <v>6948.9046000000008</v>
      </c>
      <c r="V700" s="70">
        <v>28336.993300000002</v>
      </c>
      <c r="W700" s="417">
        <v>0</v>
      </c>
      <c r="X700" s="378">
        <v>7.7799999999999994E-5</v>
      </c>
      <c r="Z700" s="70">
        <v>8978.0955000000013</v>
      </c>
      <c r="AA700" s="70">
        <v>8978.0317000000014</v>
      </c>
      <c r="AB700" s="70">
        <v>0</v>
      </c>
      <c r="AC700" s="417">
        <v>0</v>
      </c>
      <c r="AD700" s="417">
        <v>0</v>
      </c>
      <c r="AE700" s="378">
        <v>7.7799999999999994E-5</v>
      </c>
      <c r="AF700" s="378"/>
      <c r="AG700" s="70">
        <v>2690.1294250000019</v>
      </c>
      <c r="AH700" s="70">
        <v>951.1294250000019</v>
      </c>
      <c r="AI700" s="70">
        <v>951.1294250000019</v>
      </c>
      <c r="AJ700" s="417">
        <v>0</v>
      </c>
      <c r="AK700" s="417">
        <v>0</v>
      </c>
      <c r="AL700" s="378">
        <v>7.7799999999999994E-5</v>
      </c>
      <c r="AM700" s="378"/>
      <c r="AN700" s="70">
        <v>-2338</v>
      </c>
      <c r="AO700" s="70">
        <v>-2338</v>
      </c>
      <c r="AP700" s="70">
        <v>0</v>
      </c>
      <c r="AQ700" s="417">
        <v>0</v>
      </c>
      <c r="AR700" s="417">
        <v>0</v>
      </c>
    </row>
    <row r="701" spans="1:44">
      <c r="A701" s="439">
        <v>97801</v>
      </c>
      <c r="B701" s="440" t="s">
        <v>1408</v>
      </c>
      <c r="C701" s="437">
        <v>6.2237000000000004E-3</v>
      </c>
      <c r="D701" s="441"/>
      <c r="E701" s="438">
        <v>5480011.2456250004</v>
      </c>
      <c r="F701" s="442">
        <v>4627982.901025001</v>
      </c>
      <c r="G701" s="442">
        <v>1493209.3598250002</v>
      </c>
      <c r="H701" s="442">
        <v>5528556.2759000007</v>
      </c>
      <c r="I701" s="442">
        <v>0</v>
      </c>
      <c r="J701" s="443">
        <v>4.8879999999999996E-4</v>
      </c>
      <c r="K701" s="443"/>
      <c r="L701" s="444">
        <v>1002806.1099</v>
      </c>
      <c r="M701" s="444">
        <v>411181.18790000002</v>
      </c>
      <c r="N701" s="444">
        <v>-49434.849100000007</v>
      </c>
      <c r="O701" s="444">
        <v>0</v>
      </c>
      <c r="P701" s="417">
        <v>0</v>
      </c>
      <c r="Q701" s="378">
        <v>4.8879999999999996E-4</v>
      </c>
      <c r="R701" s="378"/>
      <c r="S701" s="70">
        <v>2438153.1461</v>
      </c>
      <c r="T701" s="105">
        <v>2281963.1709000003</v>
      </c>
      <c r="U701" s="70">
        <v>1355733.4658000001</v>
      </c>
      <c r="V701" s="70">
        <v>5528556.2759000007</v>
      </c>
      <c r="W701" s="417">
        <v>0</v>
      </c>
      <c r="X701" s="378">
        <v>4.8879999999999996E-4</v>
      </c>
      <c r="Z701" s="70">
        <v>1751629.2465000001</v>
      </c>
      <c r="AA701" s="70">
        <v>1751616.7991000002</v>
      </c>
      <c r="AB701" s="70">
        <v>0</v>
      </c>
      <c r="AC701" s="417">
        <v>0</v>
      </c>
      <c r="AD701" s="417">
        <v>0</v>
      </c>
      <c r="AE701" s="378">
        <v>4.8879999999999996E-4</v>
      </c>
      <c r="AF701" s="378"/>
      <c r="AG701" s="70">
        <v>368776.74312500004</v>
      </c>
      <c r="AH701" s="70">
        <v>186910.74312500004</v>
      </c>
      <c r="AI701" s="70">
        <v>186910.74312500004</v>
      </c>
      <c r="AJ701" s="417">
        <v>0</v>
      </c>
      <c r="AK701" s="417">
        <v>0</v>
      </c>
      <c r="AL701" s="378">
        <v>4.8879999999999996E-4</v>
      </c>
      <c r="AM701" s="378"/>
      <c r="AN701" s="70">
        <v>-81354</v>
      </c>
      <c r="AO701" s="70">
        <v>-3689</v>
      </c>
      <c r="AP701" s="70">
        <v>0</v>
      </c>
      <c r="AQ701" s="417">
        <v>0</v>
      </c>
      <c r="AR701" s="417">
        <v>0</v>
      </c>
    </row>
    <row r="702" spans="1:44">
      <c r="A702" s="439">
        <v>97802</v>
      </c>
      <c r="B702" s="440" t="s">
        <v>1409</v>
      </c>
      <c r="C702" s="437">
        <v>1.4200000000000001E-4</v>
      </c>
      <c r="D702" s="441"/>
      <c r="E702" s="438">
        <v>96946.988400000002</v>
      </c>
      <c r="F702" s="442">
        <v>90001.552400000015</v>
      </c>
      <c r="G702" s="442">
        <v>18799.360400000005</v>
      </c>
      <c r="H702" s="442">
        <v>126139.59400000001</v>
      </c>
      <c r="I702" s="442">
        <v>0</v>
      </c>
      <c r="J702" s="443">
        <v>4.74E-5</v>
      </c>
      <c r="K702" s="443"/>
      <c r="L702" s="444">
        <v>22880.034000000003</v>
      </c>
      <c r="M702" s="444">
        <v>9381.514000000001</v>
      </c>
      <c r="N702" s="444">
        <v>-1127.9060000000002</v>
      </c>
      <c r="O702" s="444">
        <v>0</v>
      </c>
      <c r="P702" s="417">
        <v>0</v>
      </c>
      <c r="Q702" s="378">
        <v>4.74E-5</v>
      </c>
      <c r="R702" s="378"/>
      <c r="S702" s="70">
        <v>55628.926000000007</v>
      </c>
      <c r="T702" s="105">
        <v>52065.294000000002</v>
      </c>
      <c r="U702" s="70">
        <v>30932.428000000004</v>
      </c>
      <c r="V702" s="70">
        <v>126139.59400000001</v>
      </c>
      <c r="W702" s="417">
        <v>0</v>
      </c>
      <c r="X702" s="378">
        <v>4.74E-5</v>
      </c>
      <c r="Z702" s="70">
        <v>39965.19</v>
      </c>
      <c r="AA702" s="70">
        <v>39964.906000000003</v>
      </c>
      <c r="AB702" s="70">
        <v>0</v>
      </c>
      <c r="AC702" s="417">
        <v>0</v>
      </c>
      <c r="AD702" s="417">
        <v>0</v>
      </c>
      <c r="AE702" s="378">
        <v>4.74E-5</v>
      </c>
      <c r="AF702" s="378"/>
      <c r="AG702" s="70">
        <v>3225</v>
      </c>
      <c r="AH702" s="70">
        <v>0</v>
      </c>
      <c r="AI702" s="70">
        <v>0</v>
      </c>
      <c r="AJ702" s="417">
        <v>0</v>
      </c>
      <c r="AK702" s="417">
        <v>0</v>
      </c>
      <c r="AL702" s="378">
        <v>4.74E-5</v>
      </c>
      <c r="AM702" s="378"/>
      <c r="AN702" s="70">
        <v>-24752.161599999999</v>
      </c>
      <c r="AO702" s="70">
        <v>-11410.161599999999</v>
      </c>
      <c r="AP702" s="70">
        <v>-11005.161599999999</v>
      </c>
      <c r="AQ702" s="417">
        <v>0</v>
      </c>
      <c r="AR702" s="417">
        <v>0</v>
      </c>
    </row>
    <row r="703" spans="1:44">
      <c r="A703" s="439">
        <v>97803</v>
      </c>
      <c r="B703" s="440" t="s">
        <v>1410</v>
      </c>
      <c r="C703" s="437">
        <v>7.6000000000000004E-5</v>
      </c>
      <c r="D703" s="441"/>
      <c r="E703" s="438">
        <v>65654.94720000001</v>
      </c>
      <c r="F703" s="442">
        <v>58752.939200000008</v>
      </c>
      <c r="G703" s="442">
        <v>16017.963200000004</v>
      </c>
      <c r="H703" s="442">
        <v>67511.332000000009</v>
      </c>
      <c r="I703" s="442">
        <v>0</v>
      </c>
      <c r="J703" s="443">
        <v>2.4559E-3</v>
      </c>
      <c r="K703" s="443"/>
      <c r="L703" s="444">
        <v>12245.652</v>
      </c>
      <c r="M703" s="444">
        <v>5021.0920000000006</v>
      </c>
      <c r="N703" s="444">
        <v>-603.66800000000001</v>
      </c>
      <c r="O703" s="444">
        <v>0</v>
      </c>
      <c r="P703" s="417">
        <v>0</v>
      </c>
      <c r="Q703" s="378">
        <v>2.4559E-3</v>
      </c>
      <c r="R703" s="378"/>
      <c r="S703" s="70">
        <v>29773.228000000003</v>
      </c>
      <c r="T703" s="105">
        <v>27865.932000000001</v>
      </c>
      <c r="U703" s="70">
        <v>16555.384000000002</v>
      </c>
      <c r="V703" s="70">
        <v>67511.332000000009</v>
      </c>
      <c r="W703" s="417">
        <v>0</v>
      </c>
      <c r="X703" s="378">
        <v>2.4559E-3</v>
      </c>
      <c r="Z703" s="70">
        <v>21389.82</v>
      </c>
      <c r="AA703" s="70">
        <v>21389.668000000001</v>
      </c>
      <c r="AB703" s="70">
        <v>0</v>
      </c>
      <c r="AC703" s="417">
        <v>0</v>
      </c>
      <c r="AD703" s="417">
        <v>0</v>
      </c>
      <c r="AE703" s="378">
        <v>2.4559E-3</v>
      </c>
      <c r="AF703" s="378"/>
      <c r="AG703" s="70">
        <v>4476.2472000000016</v>
      </c>
      <c r="AH703" s="70">
        <v>4476.2472000000016</v>
      </c>
      <c r="AI703" s="70">
        <v>66.247200000001612</v>
      </c>
      <c r="AJ703" s="417">
        <v>0</v>
      </c>
      <c r="AK703" s="417">
        <v>0</v>
      </c>
      <c r="AL703" s="378">
        <v>2.4559E-3</v>
      </c>
      <c r="AM703" s="378"/>
      <c r="AN703" s="70">
        <v>-2230</v>
      </c>
      <c r="AO703" s="70">
        <v>0</v>
      </c>
      <c r="AP703" s="70">
        <v>0</v>
      </c>
      <c r="AQ703" s="417">
        <v>0</v>
      </c>
      <c r="AR703" s="417">
        <v>0</v>
      </c>
    </row>
    <row r="704" spans="1:44">
      <c r="A704" s="439">
        <v>97805</v>
      </c>
      <c r="B704" s="440" t="s">
        <v>1411</v>
      </c>
      <c r="C704" s="437">
        <v>8.0699999999999996E-5</v>
      </c>
      <c r="D704" s="441"/>
      <c r="E704" s="438">
        <v>63698.062774999999</v>
      </c>
      <c r="F704" s="442">
        <v>53649.312174999999</v>
      </c>
      <c r="G704" s="442">
        <v>16692.238975</v>
      </c>
      <c r="H704" s="442">
        <v>71686.374899999995</v>
      </c>
      <c r="I704" s="442">
        <v>0</v>
      </c>
      <c r="J704" s="443">
        <v>2.9300000000000001E-5</v>
      </c>
      <c r="K704" s="443"/>
      <c r="L704" s="444">
        <v>13002.948899999999</v>
      </c>
      <c r="M704" s="444">
        <v>5331.6068999999998</v>
      </c>
      <c r="N704" s="444">
        <v>-641.00009999999997</v>
      </c>
      <c r="O704" s="444">
        <v>0</v>
      </c>
      <c r="P704" s="417">
        <v>0</v>
      </c>
      <c r="Q704" s="378">
        <v>2.9300000000000001E-5</v>
      </c>
      <c r="R704" s="378"/>
      <c r="S704" s="70">
        <v>31614.467099999998</v>
      </c>
      <c r="T704" s="105">
        <v>29589.2199</v>
      </c>
      <c r="U704" s="70">
        <v>17579.203799999999</v>
      </c>
      <c r="V704" s="70">
        <v>71686.374899999995</v>
      </c>
      <c r="W704" s="417">
        <v>0</v>
      </c>
      <c r="X704" s="378">
        <v>2.9300000000000001E-5</v>
      </c>
      <c r="Z704" s="70">
        <v>22712.611499999999</v>
      </c>
      <c r="AA704" s="70">
        <v>22712.450099999998</v>
      </c>
      <c r="AB704" s="70">
        <v>0</v>
      </c>
      <c r="AC704" s="417">
        <v>0</v>
      </c>
      <c r="AD704" s="417">
        <v>0</v>
      </c>
      <c r="AE704" s="378">
        <v>2.9300000000000001E-5</v>
      </c>
      <c r="AF704" s="378"/>
      <c r="AG704" s="70">
        <v>819</v>
      </c>
      <c r="AH704" s="70">
        <v>0</v>
      </c>
      <c r="AI704" s="70">
        <v>0</v>
      </c>
      <c r="AJ704" s="417">
        <v>0</v>
      </c>
      <c r="AK704" s="417">
        <v>0</v>
      </c>
      <c r="AL704" s="378">
        <v>2.9300000000000001E-5</v>
      </c>
      <c r="AM704" s="378"/>
      <c r="AN704" s="70">
        <v>-4450.964724999998</v>
      </c>
      <c r="AO704" s="70">
        <v>-3983.964724999998</v>
      </c>
      <c r="AP704" s="70">
        <v>-245.964724999998</v>
      </c>
      <c r="AQ704" s="417">
        <v>0</v>
      </c>
      <c r="AR704" s="417">
        <v>0</v>
      </c>
    </row>
    <row r="705" spans="1:44">
      <c r="A705" s="439">
        <v>97811</v>
      </c>
      <c r="B705" s="440" t="s">
        <v>1412</v>
      </c>
      <c r="C705" s="437">
        <v>2.1681000000000001E-3</v>
      </c>
      <c r="D705" s="441"/>
      <c r="E705" s="438">
        <v>1685700.7762250002</v>
      </c>
      <c r="F705" s="442">
        <v>1470057.2164250002</v>
      </c>
      <c r="G705" s="442">
        <v>405116.42082499992</v>
      </c>
      <c r="H705" s="442">
        <v>1925938.4067000002</v>
      </c>
      <c r="I705" s="442">
        <v>0</v>
      </c>
      <c r="J705" s="443">
        <v>8.1419999999999995E-4</v>
      </c>
      <c r="K705" s="443"/>
      <c r="L705" s="444">
        <v>349339.44870000001</v>
      </c>
      <c r="M705" s="444">
        <v>143239.8627</v>
      </c>
      <c r="N705" s="444">
        <v>-17221.2183</v>
      </c>
      <c r="O705" s="444">
        <v>0</v>
      </c>
      <c r="P705" s="417">
        <v>0</v>
      </c>
      <c r="Q705" s="378">
        <v>8.1419999999999995E-4</v>
      </c>
      <c r="R705" s="378"/>
      <c r="S705" s="70">
        <v>849359.67930000008</v>
      </c>
      <c r="T705" s="105">
        <v>794949.04170000006</v>
      </c>
      <c r="U705" s="70">
        <v>472285.89540000004</v>
      </c>
      <c r="V705" s="70">
        <v>1925938.4067000002</v>
      </c>
      <c r="W705" s="417">
        <v>0</v>
      </c>
      <c r="X705" s="378">
        <v>8.1419999999999995E-4</v>
      </c>
      <c r="Z705" s="70">
        <v>610200.90450000006</v>
      </c>
      <c r="AA705" s="70">
        <v>610196.56830000004</v>
      </c>
      <c r="AB705" s="70">
        <v>0</v>
      </c>
      <c r="AC705" s="417">
        <v>0</v>
      </c>
      <c r="AD705" s="417">
        <v>0</v>
      </c>
      <c r="AE705" s="378">
        <v>8.1419999999999995E-4</v>
      </c>
      <c r="AF705" s="378"/>
      <c r="AG705" s="70">
        <v>0</v>
      </c>
      <c r="AH705" s="70">
        <v>0</v>
      </c>
      <c r="AI705" s="70">
        <v>0</v>
      </c>
      <c r="AJ705" s="417">
        <v>0</v>
      </c>
      <c r="AK705" s="417">
        <v>0</v>
      </c>
      <c r="AL705" s="378">
        <v>8.1419999999999995E-4</v>
      </c>
      <c r="AM705" s="378"/>
      <c r="AN705" s="70">
        <v>-123199.25627500011</v>
      </c>
      <c r="AO705" s="70">
        <v>-78328.256275000109</v>
      </c>
      <c r="AP705" s="70">
        <v>-49948.256275000109</v>
      </c>
      <c r="AQ705" s="417">
        <v>0</v>
      </c>
      <c r="AR705" s="417">
        <v>0</v>
      </c>
    </row>
    <row r="706" spans="1:44">
      <c r="A706" s="439">
        <v>97817</v>
      </c>
      <c r="B706" s="440" t="s">
        <v>1413</v>
      </c>
      <c r="C706" s="437">
        <v>2.27E-5</v>
      </c>
      <c r="D706" s="441"/>
      <c r="E706" s="438">
        <v>26758.911274999995</v>
      </c>
      <c r="F706" s="442">
        <v>21055.324674999996</v>
      </c>
      <c r="G706" s="442">
        <v>7664.2594749999971</v>
      </c>
      <c r="H706" s="442">
        <v>20164.568899999998</v>
      </c>
      <c r="I706" s="442">
        <v>0</v>
      </c>
      <c r="J706" s="443">
        <v>6.1199999999999997E-5</v>
      </c>
      <c r="K706" s="443"/>
      <c r="L706" s="444">
        <v>3657.5828999999999</v>
      </c>
      <c r="M706" s="444">
        <v>1499.7209</v>
      </c>
      <c r="N706" s="444">
        <v>-180.30609999999999</v>
      </c>
      <c r="O706" s="444">
        <v>0</v>
      </c>
      <c r="P706" s="417">
        <v>0</v>
      </c>
      <c r="Q706" s="378">
        <v>6.1199999999999997E-5</v>
      </c>
      <c r="R706" s="378"/>
      <c r="S706" s="70">
        <v>8892.793099999999</v>
      </c>
      <c r="T706" s="105">
        <v>8323.1139000000003</v>
      </c>
      <c r="U706" s="70">
        <v>4944.8317999999999</v>
      </c>
      <c r="V706" s="70">
        <v>20164.568899999998</v>
      </c>
      <c r="W706" s="417">
        <v>0</v>
      </c>
      <c r="X706" s="378">
        <v>6.1199999999999997E-5</v>
      </c>
      <c r="Z706" s="70">
        <v>6388.8014999999996</v>
      </c>
      <c r="AA706" s="70">
        <v>6388.7560999999996</v>
      </c>
      <c r="AB706" s="70">
        <v>0</v>
      </c>
      <c r="AC706" s="417">
        <v>0</v>
      </c>
      <c r="AD706" s="417">
        <v>0</v>
      </c>
      <c r="AE706" s="378">
        <v>6.1199999999999997E-5</v>
      </c>
      <c r="AF706" s="378"/>
      <c r="AG706" s="70">
        <v>7819.733774999997</v>
      </c>
      <c r="AH706" s="70">
        <v>4843.733774999997</v>
      </c>
      <c r="AI706" s="70">
        <v>2899.733774999997</v>
      </c>
      <c r="AJ706" s="417">
        <v>0</v>
      </c>
      <c r="AK706" s="417">
        <v>0</v>
      </c>
      <c r="AL706" s="378">
        <v>6.1199999999999997E-5</v>
      </c>
      <c r="AM706" s="378"/>
      <c r="AN706" s="70">
        <v>0</v>
      </c>
      <c r="AO706" s="70">
        <v>0</v>
      </c>
      <c r="AP706" s="70">
        <v>0</v>
      </c>
      <c r="AQ706" s="417">
        <v>0</v>
      </c>
      <c r="AR706" s="417">
        <v>0</v>
      </c>
    </row>
    <row r="707" spans="1:44">
      <c r="A707" s="439">
        <v>97818</v>
      </c>
      <c r="B707" s="440" t="s">
        <v>1414</v>
      </c>
      <c r="C707" s="437">
        <v>1.5500000000000001E-5</v>
      </c>
      <c r="D707" s="441"/>
      <c r="E707" s="438">
        <v>14365.134924999998</v>
      </c>
      <c r="F707" s="442">
        <v>13779.685924999998</v>
      </c>
      <c r="G707" s="442">
        <v>5510.4079249999977</v>
      </c>
      <c r="H707" s="442">
        <v>13768.7585</v>
      </c>
      <c r="I707" s="442">
        <v>0</v>
      </c>
      <c r="J707" s="443">
        <v>1.6399999999999999E-5</v>
      </c>
      <c r="K707" s="443"/>
      <c r="L707" s="444">
        <v>2497.4684999999999</v>
      </c>
      <c r="M707" s="444">
        <v>1024.0385000000001</v>
      </c>
      <c r="N707" s="444">
        <v>-123.1165</v>
      </c>
      <c r="O707" s="444">
        <v>0</v>
      </c>
      <c r="P707" s="417">
        <v>0</v>
      </c>
      <c r="Q707" s="378">
        <v>1.6399999999999999E-5</v>
      </c>
      <c r="R707" s="378"/>
      <c r="S707" s="70">
        <v>6072.1715000000004</v>
      </c>
      <c r="T707" s="105">
        <v>5683.1835000000001</v>
      </c>
      <c r="U707" s="70">
        <v>3376.4270000000001</v>
      </c>
      <c r="V707" s="70">
        <v>13768.7585</v>
      </c>
      <c r="W707" s="417">
        <v>0</v>
      </c>
      <c r="X707" s="378">
        <v>1.6399999999999999E-5</v>
      </c>
      <c r="Z707" s="70">
        <v>4362.3975</v>
      </c>
      <c r="AA707" s="70">
        <v>4362.3665000000001</v>
      </c>
      <c r="AB707" s="70">
        <v>0</v>
      </c>
      <c r="AC707" s="417">
        <v>0</v>
      </c>
      <c r="AD707" s="417">
        <v>0</v>
      </c>
      <c r="AE707" s="378">
        <v>1.6399999999999999E-5</v>
      </c>
      <c r="AF707" s="378"/>
      <c r="AG707" s="70">
        <v>3657.0974249999981</v>
      </c>
      <c r="AH707" s="70">
        <v>2710.0974249999981</v>
      </c>
      <c r="AI707" s="70">
        <v>2257.0974249999981</v>
      </c>
      <c r="AJ707" s="417">
        <v>0</v>
      </c>
      <c r="AK707" s="417">
        <v>0</v>
      </c>
      <c r="AL707" s="378">
        <v>1.6399999999999999E-5</v>
      </c>
      <c r="AM707" s="378"/>
      <c r="AN707" s="70">
        <v>-2224</v>
      </c>
      <c r="AO707" s="70">
        <v>0</v>
      </c>
      <c r="AP707" s="70">
        <v>0</v>
      </c>
      <c r="AQ707" s="417">
        <v>0</v>
      </c>
      <c r="AR707" s="417">
        <v>0</v>
      </c>
    </row>
    <row r="708" spans="1:44">
      <c r="A708" s="439">
        <v>97821</v>
      </c>
      <c r="B708" s="440" t="s">
        <v>1415</v>
      </c>
      <c r="C708" s="437">
        <v>1.4630000000000001E-4</v>
      </c>
      <c r="D708" s="441"/>
      <c r="E708" s="438">
        <v>141399.28412500001</v>
      </c>
      <c r="F708" s="442">
        <v>127059.168725</v>
      </c>
      <c r="G708" s="442">
        <v>41622.589924999993</v>
      </c>
      <c r="H708" s="442">
        <v>129959.3141</v>
      </c>
      <c r="I708" s="442">
        <v>0</v>
      </c>
      <c r="J708" s="443">
        <v>4.7889999999999999E-4</v>
      </c>
      <c r="K708" s="443"/>
      <c r="L708" s="444">
        <v>23572.880100000002</v>
      </c>
      <c r="M708" s="444">
        <v>9665.6021000000001</v>
      </c>
      <c r="N708" s="444">
        <v>-1162.0608999999999</v>
      </c>
      <c r="O708" s="444">
        <v>0</v>
      </c>
      <c r="P708" s="417">
        <v>0</v>
      </c>
      <c r="Q708" s="378">
        <v>4.7889999999999999E-4</v>
      </c>
      <c r="R708" s="378"/>
      <c r="S708" s="70">
        <v>57313.463900000002</v>
      </c>
      <c r="T708" s="105">
        <v>53641.919099999999</v>
      </c>
      <c r="U708" s="70">
        <v>31869.1142</v>
      </c>
      <c r="V708" s="70">
        <v>129959.3141</v>
      </c>
      <c r="W708" s="417">
        <v>0</v>
      </c>
      <c r="X708" s="378">
        <v>4.7889999999999999E-4</v>
      </c>
      <c r="Z708" s="70">
        <v>41175.4035</v>
      </c>
      <c r="AA708" s="70">
        <v>41175.1109</v>
      </c>
      <c r="AB708" s="70">
        <v>0</v>
      </c>
      <c r="AC708" s="417">
        <v>0</v>
      </c>
      <c r="AD708" s="417">
        <v>0</v>
      </c>
      <c r="AE708" s="378">
        <v>4.7889999999999999E-4</v>
      </c>
      <c r="AF708" s="378"/>
      <c r="AG708" s="70">
        <v>28448.536624999997</v>
      </c>
      <c r="AH708" s="70">
        <v>22576.536624999997</v>
      </c>
      <c r="AI708" s="70">
        <v>10915.536624999997</v>
      </c>
      <c r="AJ708" s="417">
        <v>0</v>
      </c>
      <c r="AK708" s="417">
        <v>0</v>
      </c>
      <c r="AL708" s="378">
        <v>4.7889999999999999E-4</v>
      </c>
      <c r="AM708" s="378"/>
      <c r="AN708" s="70">
        <v>-9111</v>
      </c>
      <c r="AO708" s="70">
        <v>0</v>
      </c>
      <c r="AP708" s="70">
        <v>0</v>
      </c>
      <c r="AQ708" s="417">
        <v>0</v>
      </c>
      <c r="AR708" s="417">
        <v>0</v>
      </c>
    </row>
    <row r="709" spans="1:44">
      <c r="A709" s="439">
        <v>97823</v>
      </c>
      <c r="B709" s="440" t="s">
        <v>1416</v>
      </c>
      <c r="C709" s="437">
        <v>1.6799999999999998E-5</v>
      </c>
      <c r="D709" s="441"/>
      <c r="E709" s="438">
        <v>18355.0209</v>
      </c>
      <c r="F709" s="442">
        <v>13179.366499999998</v>
      </c>
      <c r="G709" s="442">
        <v>4013.5296999999991</v>
      </c>
      <c r="H709" s="442">
        <v>14923.557599999998</v>
      </c>
      <c r="I709" s="442">
        <v>0</v>
      </c>
      <c r="J709" s="443">
        <v>2.0699999999999998E-5</v>
      </c>
      <c r="K709" s="443"/>
      <c r="L709" s="444">
        <v>2706.9335999999998</v>
      </c>
      <c r="M709" s="444">
        <v>1109.9255999999998</v>
      </c>
      <c r="N709" s="444">
        <v>-133.44239999999999</v>
      </c>
      <c r="O709" s="444">
        <v>0</v>
      </c>
      <c r="P709" s="417">
        <v>0</v>
      </c>
      <c r="Q709" s="378">
        <v>2.0699999999999998E-5</v>
      </c>
      <c r="R709" s="378"/>
      <c r="S709" s="70">
        <v>6581.4503999999997</v>
      </c>
      <c r="T709" s="105">
        <v>6159.8375999999998</v>
      </c>
      <c r="U709" s="70">
        <v>3659.6111999999998</v>
      </c>
      <c r="V709" s="70">
        <v>14923.557599999998</v>
      </c>
      <c r="W709" s="417">
        <v>0</v>
      </c>
      <c r="X709" s="378">
        <v>2.0699999999999998E-5</v>
      </c>
      <c r="Z709" s="70">
        <v>4728.2759999999998</v>
      </c>
      <c r="AA709" s="70">
        <v>4728.2423999999992</v>
      </c>
      <c r="AB709" s="70">
        <v>0</v>
      </c>
      <c r="AC709" s="417">
        <v>0</v>
      </c>
      <c r="AD709" s="417">
        <v>0</v>
      </c>
      <c r="AE709" s="378">
        <v>2.0699999999999998E-5</v>
      </c>
      <c r="AF709" s="378"/>
      <c r="AG709" s="70">
        <v>4338.3608999999997</v>
      </c>
      <c r="AH709" s="70">
        <v>1181.3608999999992</v>
      </c>
      <c r="AI709" s="70">
        <v>487.36089999999922</v>
      </c>
      <c r="AJ709" s="417">
        <v>0</v>
      </c>
      <c r="AK709" s="417">
        <v>0</v>
      </c>
      <c r="AL709" s="378">
        <v>2.0699999999999998E-5</v>
      </c>
      <c r="AM709" s="378"/>
      <c r="AN709" s="70">
        <v>0</v>
      </c>
      <c r="AO709" s="70">
        <v>0</v>
      </c>
      <c r="AP709" s="70">
        <v>0</v>
      </c>
      <c r="AQ709" s="417">
        <v>0</v>
      </c>
      <c r="AR709" s="417">
        <v>0</v>
      </c>
    </row>
    <row r="710" spans="1:44">
      <c r="A710" s="439">
        <v>97831</v>
      </c>
      <c r="B710" s="440" t="s">
        <v>1417</v>
      </c>
      <c r="C710" s="437">
        <v>1.8909999999999999E-4</v>
      </c>
      <c r="D710" s="441"/>
      <c r="E710" s="438">
        <v>176367.95882500001</v>
      </c>
      <c r="F710" s="442">
        <v>137414.08102500002</v>
      </c>
      <c r="G710" s="442">
        <v>38429.489425000014</v>
      </c>
      <c r="H710" s="442">
        <v>167978.85369999998</v>
      </c>
      <c r="I710" s="442">
        <v>0</v>
      </c>
      <c r="J710" s="443">
        <v>3.2299999999999999E-5</v>
      </c>
      <c r="K710" s="443"/>
      <c r="L710" s="444">
        <v>30469.115699999998</v>
      </c>
      <c r="M710" s="444">
        <v>12493.269699999999</v>
      </c>
      <c r="N710" s="444">
        <v>-1502.0212999999999</v>
      </c>
      <c r="O710" s="444">
        <v>0</v>
      </c>
      <c r="P710" s="417">
        <v>0</v>
      </c>
      <c r="Q710" s="378">
        <v>3.2299999999999999E-5</v>
      </c>
      <c r="R710" s="378"/>
      <c r="S710" s="70">
        <v>74080.492299999998</v>
      </c>
      <c r="T710" s="105">
        <v>69334.838699999993</v>
      </c>
      <c r="U710" s="70">
        <v>41192.409399999997</v>
      </c>
      <c r="V710" s="70">
        <v>167978.85369999998</v>
      </c>
      <c r="W710" s="417">
        <v>0</v>
      </c>
      <c r="X710" s="378">
        <v>3.2299999999999999E-5</v>
      </c>
      <c r="Z710" s="70">
        <v>53221.249499999998</v>
      </c>
      <c r="AA710" s="70">
        <v>53220.871299999999</v>
      </c>
      <c r="AB710" s="70">
        <v>0</v>
      </c>
      <c r="AC710" s="417">
        <v>0</v>
      </c>
      <c r="AD710" s="417">
        <v>0</v>
      </c>
      <c r="AE710" s="378">
        <v>3.2299999999999999E-5</v>
      </c>
      <c r="AF710" s="378"/>
      <c r="AG710" s="70">
        <v>19858</v>
      </c>
      <c r="AH710" s="70">
        <v>3626</v>
      </c>
      <c r="AI710" s="70">
        <v>0</v>
      </c>
      <c r="AJ710" s="417">
        <v>0</v>
      </c>
      <c r="AK710" s="417">
        <v>0</v>
      </c>
      <c r="AL710" s="378">
        <v>3.2299999999999999E-5</v>
      </c>
      <c r="AM710" s="378"/>
      <c r="AN710" s="70">
        <v>-1260.8986749999822</v>
      </c>
      <c r="AO710" s="70">
        <v>-1260.8986749999822</v>
      </c>
      <c r="AP710" s="70">
        <v>-1260.8986749999822</v>
      </c>
      <c r="AQ710" s="417">
        <v>0</v>
      </c>
      <c r="AR710" s="417">
        <v>0</v>
      </c>
    </row>
    <row r="711" spans="1:44">
      <c r="A711" s="439">
        <v>97837</v>
      </c>
      <c r="B711" s="440" t="s">
        <v>1418</v>
      </c>
      <c r="C711" s="437">
        <v>1.4399999999999999E-5</v>
      </c>
      <c r="D711" s="441"/>
      <c r="E711" s="438">
        <v>13673.498349999998</v>
      </c>
      <c r="F711" s="442">
        <v>12596.223149999998</v>
      </c>
      <c r="G711" s="442">
        <v>2793.6487500000003</v>
      </c>
      <c r="H711" s="442">
        <v>12791.620799999999</v>
      </c>
      <c r="I711" s="442">
        <v>0</v>
      </c>
      <c r="J711" s="443">
        <v>6.0962000000000004E-3</v>
      </c>
      <c r="K711" s="443"/>
      <c r="L711" s="444">
        <v>2320.2287999999999</v>
      </c>
      <c r="M711" s="444">
        <v>951.36479999999995</v>
      </c>
      <c r="N711" s="444">
        <v>-114.3792</v>
      </c>
      <c r="O711" s="444">
        <v>0</v>
      </c>
      <c r="P711" s="417">
        <v>0</v>
      </c>
      <c r="Q711" s="378">
        <v>6.0962000000000004E-3</v>
      </c>
      <c r="R711" s="378"/>
      <c r="S711" s="70">
        <v>5641.2431999999999</v>
      </c>
      <c r="T711" s="105">
        <v>5279.8607999999995</v>
      </c>
      <c r="U711" s="70">
        <v>3136.8096</v>
      </c>
      <c r="V711" s="70">
        <v>12791.620799999999</v>
      </c>
      <c r="W711" s="417">
        <v>0</v>
      </c>
      <c r="X711" s="378">
        <v>6.0962000000000004E-3</v>
      </c>
      <c r="Z711" s="70">
        <v>4052.808</v>
      </c>
      <c r="AA711" s="70">
        <v>4052.7791999999999</v>
      </c>
      <c r="AB711" s="70">
        <v>0</v>
      </c>
      <c r="AC711" s="417">
        <v>0</v>
      </c>
      <c r="AD711" s="417">
        <v>0</v>
      </c>
      <c r="AE711" s="378">
        <v>6.0962000000000004E-3</v>
      </c>
      <c r="AF711" s="378"/>
      <c r="AG711" s="70">
        <v>2689</v>
      </c>
      <c r="AH711" s="70">
        <v>2541</v>
      </c>
      <c r="AI711" s="70">
        <v>0</v>
      </c>
      <c r="AJ711" s="417">
        <v>0</v>
      </c>
      <c r="AK711" s="417">
        <v>0</v>
      </c>
      <c r="AL711" s="378">
        <v>6.0962000000000004E-3</v>
      </c>
      <c r="AM711" s="378"/>
      <c r="AN711" s="70">
        <v>-1029.7816499999999</v>
      </c>
      <c r="AO711" s="70">
        <v>-228.7816499999999</v>
      </c>
      <c r="AP711" s="70">
        <v>-228.7816499999999</v>
      </c>
      <c r="AQ711" s="417">
        <v>0</v>
      </c>
      <c r="AR711" s="417">
        <v>0</v>
      </c>
    </row>
    <row r="712" spans="1:44">
      <c r="A712" s="439">
        <v>97840</v>
      </c>
      <c r="B712" s="440" t="s">
        <v>1419</v>
      </c>
      <c r="C712" s="437">
        <v>1.537E-4</v>
      </c>
      <c r="D712" s="441"/>
      <c r="E712" s="438">
        <v>185134.09132500002</v>
      </c>
      <c r="F712" s="442">
        <v>149341.806725</v>
      </c>
      <c r="G712" s="442">
        <v>54036.585525000017</v>
      </c>
      <c r="H712" s="442">
        <v>136532.78589999999</v>
      </c>
      <c r="I712" s="442">
        <v>0</v>
      </c>
      <c r="J712" s="443">
        <v>1.5919999999999999E-4</v>
      </c>
      <c r="K712" s="443"/>
      <c r="L712" s="444">
        <v>24765.2199</v>
      </c>
      <c r="M712" s="444">
        <v>10154.4979</v>
      </c>
      <c r="N712" s="444">
        <v>-1220.8390999999999</v>
      </c>
      <c r="O712" s="444">
        <v>0</v>
      </c>
      <c r="P712" s="417">
        <v>0</v>
      </c>
      <c r="Q712" s="378">
        <v>1.5919999999999999E-4</v>
      </c>
      <c r="R712" s="378"/>
      <c r="S712" s="70">
        <v>60212.436099999999</v>
      </c>
      <c r="T712" s="105">
        <v>56355.180899999999</v>
      </c>
      <c r="U712" s="70">
        <v>33481.085800000001</v>
      </c>
      <c r="V712" s="70">
        <v>136532.78589999999</v>
      </c>
      <c r="W712" s="417">
        <v>0</v>
      </c>
      <c r="X712" s="378">
        <v>1.5919999999999999E-4</v>
      </c>
      <c r="Z712" s="70">
        <v>43258.0965</v>
      </c>
      <c r="AA712" s="70">
        <v>43257.789100000002</v>
      </c>
      <c r="AB712" s="70">
        <v>0</v>
      </c>
      <c r="AC712" s="417">
        <v>0</v>
      </c>
      <c r="AD712" s="417">
        <v>0</v>
      </c>
      <c r="AE712" s="378">
        <v>1.5919999999999999E-4</v>
      </c>
      <c r="AF712" s="378"/>
      <c r="AG712" s="70">
        <v>56898.338825000021</v>
      </c>
      <c r="AH712" s="70">
        <v>39574.338825000021</v>
      </c>
      <c r="AI712" s="70">
        <v>21776.338825000021</v>
      </c>
      <c r="AJ712" s="417">
        <v>0</v>
      </c>
      <c r="AK712" s="417">
        <v>0</v>
      </c>
      <c r="AL712" s="378">
        <v>1.5919999999999999E-4</v>
      </c>
      <c r="AM712" s="378"/>
      <c r="AN712" s="70">
        <v>0</v>
      </c>
      <c r="AO712" s="70">
        <v>0</v>
      </c>
      <c r="AP712" s="70">
        <v>0</v>
      </c>
      <c r="AQ712" s="417">
        <v>0</v>
      </c>
      <c r="AR712" s="417">
        <v>0</v>
      </c>
    </row>
    <row r="713" spans="1:44">
      <c r="A713" s="439">
        <v>97841</v>
      </c>
      <c r="B713" s="440" t="s">
        <v>1420</v>
      </c>
      <c r="C713" s="437">
        <v>1.3499999999999999E-5</v>
      </c>
      <c r="D713" s="441"/>
      <c r="E713" s="438">
        <v>12784.523125000002</v>
      </c>
      <c r="F713" s="442">
        <v>10649.390125</v>
      </c>
      <c r="G713" s="442">
        <v>3555.6641250000002</v>
      </c>
      <c r="H713" s="442">
        <v>11992.1445</v>
      </c>
      <c r="I713" s="442">
        <v>0</v>
      </c>
      <c r="J713" s="443">
        <v>7.86E-5</v>
      </c>
      <c r="K713" s="443"/>
      <c r="L713" s="444">
        <v>2175.2145</v>
      </c>
      <c r="M713" s="444">
        <v>891.90449999999998</v>
      </c>
      <c r="N713" s="444">
        <v>-107.23049999999999</v>
      </c>
      <c r="O713" s="444">
        <v>0</v>
      </c>
      <c r="P713" s="417">
        <v>0</v>
      </c>
      <c r="Q713" s="378">
        <v>7.86E-5</v>
      </c>
      <c r="R713" s="378"/>
      <c r="S713" s="70">
        <v>5288.6655000000001</v>
      </c>
      <c r="T713" s="105">
        <v>4949.8694999999998</v>
      </c>
      <c r="U713" s="70">
        <v>2940.759</v>
      </c>
      <c r="V713" s="70">
        <v>11992.1445</v>
      </c>
      <c r="W713" s="417">
        <v>0</v>
      </c>
      <c r="X713" s="378">
        <v>7.86E-5</v>
      </c>
      <c r="Z713" s="70">
        <v>3799.5074999999997</v>
      </c>
      <c r="AA713" s="70">
        <v>3799.4804999999997</v>
      </c>
      <c r="AB713" s="70">
        <v>0</v>
      </c>
      <c r="AC713" s="417">
        <v>0</v>
      </c>
      <c r="AD713" s="417">
        <v>0</v>
      </c>
      <c r="AE713" s="378">
        <v>7.86E-5</v>
      </c>
      <c r="AF713" s="378"/>
      <c r="AG713" s="70">
        <v>1521.1356250000003</v>
      </c>
      <c r="AH713" s="70">
        <v>1008.1356250000003</v>
      </c>
      <c r="AI713" s="70">
        <v>722.13562500000035</v>
      </c>
      <c r="AJ713" s="417">
        <v>0</v>
      </c>
      <c r="AK713" s="417">
        <v>0</v>
      </c>
      <c r="AL713" s="378">
        <v>7.86E-5</v>
      </c>
      <c r="AM713" s="378"/>
      <c r="AN713" s="70">
        <v>0</v>
      </c>
      <c r="AO713" s="70">
        <v>0</v>
      </c>
      <c r="AP713" s="70">
        <v>0</v>
      </c>
      <c r="AQ713" s="417">
        <v>0</v>
      </c>
      <c r="AR713" s="417">
        <v>0</v>
      </c>
    </row>
    <row r="714" spans="1:44">
      <c r="A714" s="439">
        <v>97847</v>
      </c>
      <c r="B714" s="440" t="s">
        <v>1421</v>
      </c>
      <c r="C714" s="437">
        <v>1.9999999999999999E-6</v>
      </c>
      <c r="D714" s="441"/>
      <c r="E714" s="438">
        <v>3777.6459500000001</v>
      </c>
      <c r="F714" s="442">
        <v>2681.3299499999998</v>
      </c>
      <c r="G714" s="442">
        <v>959.77794999999992</v>
      </c>
      <c r="H714" s="442">
        <v>1776.614</v>
      </c>
      <c r="I714" s="442">
        <v>0</v>
      </c>
      <c r="J714" s="443">
        <v>8.0400000000000003E-5</v>
      </c>
      <c r="K714" s="443"/>
      <c r="L714" s="444">
        <v>322.25399999999996</v>
      </c>
      <c r="M714" s="444">
        <v>132.13399999999999</v>
      </c>
      <c r="N714" s="444">
        <v>-15.885999999999999</v>
      </c>
      <c r="O714" s="444">
        <v>0</v>
      </c>
      <c r="P714" s="417">
        <v>0</v>
      </c>
      <c r="Q714" s="378">
        <v>8.0400000000000003E-5</v>
      </c>
      <c r="R714" s="378"/>
      <c r="S714" s="70">
        <v>783.50599999999997</v>
      </c>
      <c r="T714" s="105">
        <v>733.31399999999996</v>
      </c>
      <c r="U714" s="70">
        <v>435.66800000000001</v>
      </c>
      <c r="V714" s="70">
        <v>1776.614</v>
      </c>
      <c r="W714" s="417">
        <v>0</v>
      </c>
      <c r="X714" s="378">
        <v>8.0400000000000003E-5</v>
      </c>
      <c r="Z714" s="70">
        <v>562.89</v>
      </c>
      <c r="AA714" s="70">
        <v>562.88599999999997</v>
      </c>
      <c r="AB714" s="70">
        <v>0</v>
      </c>
      <c r="AC714" s="417">
        <v>0</v>
      </c>
      <c r="AD714" s="417">
        <v>0</v>
      </c>
      <c r="AE714" s="378">
        <v>8.0400000000000003E-5</v>
      </c>
      <c r="AF714" s="378"/>
      <c r="AG714" s="70">
        <v>2108.99595</v>
      </c>
      <c r="AH714" s="70">
        <v>1252.99595</v>
      </c>
      <c r="AI714" s="70">
        <v>539.99594999999999</v>
      </c>
      <c r="AJ714" s="417">
        <v>0</v>
      </c>
      <c r="AK714" s="417">
        <v>0</v>
      </c>
      <c r="AL714" s="378">
        <v>8.0400000000000003E-5</v>
      </c>
      <c r="AM714" s="378"/>
      <c r="AN714" s="70">
        <v>0</v>
      </c>
      <c r="AO714" s="70">
        <v>0</v>
      </c>
      <c r="AP714" s="70">
        <v>0</v>
      </c>
      <c r="AQ714" s="417">
        <v>0</v>
      </c>
      <c r="AR714" s="417">
        <v>0</v>
      </c>
    </row>
    <row r="715" spans="1:44">
      <c r="A715" s="439">
        <v>97851</v>
      </c>
      <c r="B715" s="440" t="s">
        <v>1422</v>
      </c>
      <c r="C715" s="437">
        <v>2.42E-4</v>
      </c>
      <c r="D715" s="441"/>
      <c r="E715" s="438">
        <v>171976.20740000001</v>
      </c>
      <c r="F715" s="442">
        <v>159153.97140000004</v>
      </c>
      <c r="G715" s="442">
        <v>38675.179400000008</v>
      </c>
      <c r="H715" s="442">
        <v>214970.29399999999</v>
      </c>
      <c r="I715" s="442">
        <v>0</v>
      </c>
      <c r="J715" s="443">
        <v>2.2604000000000001E-3</v>
      </c>
      <c r="K715" s="443"/>
      <c r="L715" s="444">
        <v>38992.733999999997</v>
      </c>
      <c r="M715" s="444">
        <v>15988.214</v>
      </c>
      <c r="N715" s="444">
        <v>-1922.2059999999999</v>
      </c>
      <c r="O715" s="444">
        <v>0</v>
      </c>
      <c r="P715" s="417">
        <v>0</v>
      </c>
      <c r="Q715" s="378">
        <v>2.2604000000000001E-3</v>
      </c>
      <c r="R715" s="378"/>
      <c r="S715" s="70">
        <v>94804.225999999995</v>
      </c>
      <c r="T715" s="105">
        <v>88730.994000000006</v>
      </c>
      <c r="U715" s="70">
        <v>52715.828000000001</v>
      </c>
      <c r="V715" s="70">
        <v>214970.29399999999</v>
      </c>
      <c r="W715" s="417">
        <v>0</v>
      </c>
      <c r="X715" s="378">
        <v>2.2604000000000001E-3</v>
      </c>
      <c r="Z715" s="70">
        <v>68109.69</v>
      </c>
      <c r="AA715" s="70">
        <v>68109.206000000006</v>
      </c>
      <c r="AB715" s="70">
        <v>0</v>
      </c>
      <c r="AC715" s="417">
        <v>0</v>
      </c>
      <c r="AD715" s="417">
        <v>0</v>
      </c>
      <c r="AE715" s="378">
        <v>2.2604000000000001E-3</v>
      </c>
      <c r="AF715" s="378"/>
      <c r="AG715" s="70">
        <v>0</v>
      </c>
      <c r="AH715" s="70">
        <v>0</v>
      </c>
      <c r="AI715" s="70">
        <v>0</v>
      </c>
      <c r="AJ715" s="417">
        <v>0</v>
      </c>
      <c r="AK715" s="417">
        <v>0</v>
      </c>
      <c r="AL715" s="378">
        <v>2.2604000000000001E-3</v>
      </c>
      <c r="AM715" s="378"/>
      <c r="AN715" s="70">
        <v>-29930.442599999995</v>
      </c>
      <c r="AO715" s="70">
        <v>-13674.442599999995</v>
      </c>
      <c r="AP715" s="70">
        <v>-12118.442599999995</v>
      </c>
      <c r="AQ715" s="417">
        <v>0</v>
      </c>
      <c r="AR715" s="417">
        <v>0</v>
      </c>
    </row>
    <row r="716" spans="1:44">
      <c r="A716" s="439">
        <v>97853</v>
      </c>
      <c r="B716" s="440" t="s">
        <v>1423</v>
      </c>
      <c r="C716" s="437">
        <v>8.0799999999999999E-5</v>
      </c>
      <c r="D716" s="441"/>
      <c r="E716" s="438">
        <v>61597.370249999993</v>
      </c>
      <c r="F716" s="442">
        <v>57288.60385</v>
      </c>
      <c r="G716" s="442">
        <v>13209.103050000005</v>
      </c>
      <c r="H716" s="442">
        <v>71775.205600000001</v>
      </c>
      <c r="I716" s="442">
        <v>0</v>
      </c>
      <c r="J716" s="443">
        <v>2.0400000000000001E-5</v>
      </c>
      <c r="K716" s="443"/>
      <c r="L716" s="444">
        <v>13019.061599999999</v>
      </c>
      <c r="M716" s="444">
        <v>5338.2136</v>
      </c>
      <c r="N716" s="444">
        <v>-641.7944</v>
      </c>
      <c r="O716" s="444">
        <v>0</v>
      </c>
      <c r="P716" s="417">
        <v>0</v>
      </c>
      <c r="Q716" s="378">
        <v>2.0400000000000001E-5</v>
      </c>
      <c r="R716" s="378"/>
      <c r="S716" s="70">
        <v>31653.642400000001</v>
      </c>
      <c r="T716" s="105">
        <v>29625.885599999998</v>
      </c>
      <c r="U716" s="70">
        <v>17600.9872</v>
      </c>
      <c r="V716" s="70">
        <v>71775.205600000001</v>
      </c>
      <c r="W716" s="417">
        <v>0</v>
      </c>
      <c r="X716" s="378">
        <v>2.0400000000000001E-5</v>
      </c>
      <c r="Z716" s="70">
        <v>22740.756000000001</v>
      </c>
      <c r="AA716" s="70">
        <v>22740.594399999998</v>
      </c>
      <c r="AB716" s="70">
        <v>0</v>
      </c>
      <c r="AC716" s="417">
        <v>0</v>
      </c>
      <c r="AD716" s="417">
        <v>0</v>
      </c>
      <c r="AE716" s="378">
        <v>2.0400000000000001E-5</v>
      </c>
      <c r="AF716" s="378"/>
      <c r="AG716" s="70">
        <v>3334</v>
      </c>
      <c r="AH716" s="70">
        <v>3334</v>
      </c>
      <c r="AI716" s="70">
        <v>0</v>
      </c>
      <c r="AJ716" s="417">
        <v>0</v>
      </c>
      <c r="AK716" s="417">
        <v>0</v>
      </c>
      <c r="AL716" s="378">
        <v>2.0400000000000001E-5</v>
      </c>
      <c r="AM716" s="378"/>
      <c r="AN716" s="70">
        <v>-9150.0897499999955</v>
      </c>
      <c r="AO716" s="70">
        <v>-3750.0897499999955</v>
      </c>
      <c r="AP716" s="70">
        <v>-3750.0897499999955</v>
      </c>
      <c r="AQ716" s="417">
        <v>0</v>
      </c>
      <c r="AR716" s="417">
        <v>0</v>
      </c>
    </row>
    <row r="717" spans="1:44">
      <c r="A717" s="439">
        <v>97861</v>
      </c>
      <c r="B717" s="440" t="s">
        <v>1424</v>
      </c>
      <c r="C717" s="437">
        <v>5.2099999999999999E-5</v>
      </c>
      <c r="D717" s="441"/>
      <c r="E717" s="438">
        <v>54061.372224999999</v>
      </c>
      <c r="F717" s="442">
        <v>43640.140424999998</v>
      </c>
      <c r="G717" s="442">
        <v>11415.360825000002</v>
      </c>
      <c r="H717" s="442">
        <v>46280.794699999999</v>
      </c>
      <c r="I717" s="442">
        <v>0</v>
      </c>
      <c r="J717" s="443">
        <v>1.49E-5</v>
      </c>
      <c r="K717" s="443"/>
      <c r="L717" s="444">
        <v>8394.716699999999</v>
      </c>
      <c r="M717" s="444">
        <v>3442.0906999999997</v>
      </c>
      <c r="N717" s="444">
        <v>-413.83029999999997</v>
      </c>
      <c r="O717" s="444">
        <v>0</v>
      </c>
      <c r="P717" s="417">
        <v>0</v>
      </c>
      <c r="Q717" s="378">
        <v>1.49E-5</v>
      </c>
      <c r="R717" s="378"/>
      <c r="S717" s="70">
        <v>20410.331299999998</v>
      </c>
      <c r="T717" s="105">
        <v>19102.829699999998</v>
      </c>
      <c r="U717" s="70">
        <v>11349.151400000001</v>
      </c>
      <c r="V717" s="70">
        <v>46280.794699999999</v>
      </c>
      <c r="W717" s="417">
        <v>0</v>
      </c>
      <c r="X717" s="378">
        <v>1.49E-5</v>
      </c>
      <c r="Z717" s="70">
        <v>14663.2845</v>
      </c>
      <c r="AA717" s="70">
        <v>14663.1803</v>
      </c>
      <c r="AB717" s="70">
        <v>0</v>
      </c>
      <c r="AC717" s="417">
        <v>0</v>
      </c>
      <c r="AD717" s="417">
        <v>0</v>
      </c>
      <c r="AE717" s="378">
        <v>1.49E-5</v>
      </c>
      <c r="AF717" s="378"/>
      <c r="AG717" s="70">
        <v>10593.039725000001</v>
      </c>
      <c r="AH717" s="70">
        <v>6432.0397250000005</v>
      </c>
      <c r="AI717" s="70">
        <v>480.03972500000054</v>
      </c>
      <c r="AJ717" s="417">
        <v>0</v>
      </c>
      <c r="AK717" s="417">
        <v>0</v>
      </c>
      <c r="AL717" s="378">
        <v>1.49E-5</v>
      </c>
      <c r="AM717" s="378"/>
      <c r="AN717" s="70">
        <v>0</v>
      </c>
      <c r="AO717" s="70">
        <v>0</v>
      </c>
      <c r="AP717" s="70">
        <v>0</v>
      </c>
      <c r="AQ717" s="417">
        <v>0</v>
      </c>
      <c r="AR717" s="417">
        <v>0</v>
      </c>
    </row>
    <row r="718" spans="1:44">
      <c r="A718" s="439">
        <v>97871</v>
      </c>
      <c r="B718" s="440" t="s">
        <v>1425</v>
      </c>
      <c r="C718" s="437">
        <v>3.1700000000000001E-4</v>
      </c>
      <c r="D718" s="441"/>
      <c r="E718" s="438">
        <v>395977.54205000005</v>
      </c>
      <c r="F718" s="442">
        <v>341747.45605000004</v>
      </c>
      <c r="G718" s="442">
        <v>114571.96405000002</v>
      </c>
      <c r="H718" s="442">
        <v>281593.31900000002</v>
      </c>
      <c r="I718" s="442">
        <v>0</v>
      </c>
      <c r="J718" s="443">
        <v>1.2430000000000001E-4</v>
      </c>
      <c r="K718" s="443"/>
      <c r="L718" s="444">
        <v>51077.258999999998</v>
      </c>
      <c r="M718" s="444">
        <v>20943.239000000001</v>
      </c>
      <c r="N718" s="444">
        <v>-2517.931</v>
      </c>
      <c r="O718" s="444">
        <v>0</v>
      </c>
      <c r="P718" s="417">
        <v>0</v>
      </c>
      <c r="Q718" s="378">
        <v>1.2430000000000001E-4</v>
      </c>
      <c r="R718" s="378"/>
      <c r="S718" s="70">
        <v>124185.701</v>
      </c>
      <c r="T718" s="105">
        <v>116230.269</v>
      </c>
      <c r="U718" s="70">
        <v>69053.377999999997</v>
      </c>
      <c r="V718" s="70">
        <v>281593.31900000002</v>
      </c>
      <c r="W718" s="417">
        <v>0</v>
      </c>
      <c r="X718" s="378">
        <v>1.2430000000000001E-4</v>
      </c>
      <c r="Z718" s="70">
        <v>89218.065000000002</v>
      </c>
      <c r="AA718" s="70">
        <v>89217.430999999997</v>
      </c>
      <c r="AB718" s="70">
        <v>0</v>
      </c>
      <c r="AC718" s="417">
        <v>0</v>
      </c>
      <c r="AD718" s="417">
        <v>0</v>
      </c>
      <c r="AE718" s="378">
        <v>1.2430000000000001E-4</v>
      </c>
      <c r="AF718" s="378"/>
      <c r="AG718" s="70">
        <v>142356.51705000002</v>
      </c>
      <c r="AH718" s="70">
        <v>115356.51705000002</v>
      </c>
      <c r="AI718" s="70">
        <v>48036.517050000024</v>
      </c>
      <c r="AJ718" s="417">
        <v>0</v>
      </c>
      <c r="AK718" s="417">
        <v>0</v>
      </c>
      <c r="AL718" s="378">
        <v>1.2430000000000001E-4</v>
      </c>
      <c r="AM718" s="378"/>
      <c r="AN718" s="70">
        <v>-10860</v>
      </c>
      <c r="AO718" s="70">
        <v>0</v>
      </c>
      <c r="AP718" s="70">
        <v>0</v>
      </c>
      <c r="AQ718" s="417">
        <v>0</v>
      </c>
      <c r="AR718" s="417">
        <v>0</v>
      </c>
    </row>
    <row r="719" spans="1:44">
      <c r="A719" s="439">
        <v>97877</v>
      </c>
      <c r="B719" s="440" t="s">
        <v>1426</v>
      </c>
      <c r="C719" s="437">
        <v>1.0000000000000001E-5</v>
      </c>
      <c r="D719" s="441"/>
      <c r="E719" s="438">
        <v>11125.527750000001</v>
      </c>
      <c r="F719" s="442">
        <v>7784.9477500000012</v>
      </c>
      <c r="G719" s="442">
        <v>2186.187750000001</v>
      </c>
      <c r="H719" s="442">
        <v>8883.0700000000015</v>
      </c>
      <c r="I719" s="442">
        <v>0</v>
      </c>
      <c r="J719" s="443">
        <v>1.9000000000000001E-5</v>
      </c>
      <c r="K719" s="443"/>
      <c r="L719" s="444">
        <v>1611.2700000000002</v>
      </c>
      <c r="M719" s="444">
        <v>660.67000000000007</v>
      </c>
      <c r="N719" s="444">
        <v>-79.430000000000007</v>
      </c>
      <c r="O719" s="444">
        <v>0</v>
      </c>
      <c r="P719" s="417">
        <v>0</v>
      </c>
      <c r="Q719" s="378">
        <v>1.9000000000000001E-5</v>
      </c>
      <c r="R719" s="378"/>
      <c r="S719" s="70">
        <v>3917.53</v>
      </c>
      <c r="T719" s="105">
        <v>3666.57</v>
      </c>
      <c r="U719" s="70">
        <v>2178.34</v>
      </c>
      <c r="V719" s="70">
        <v>8883.0700000000015</v>
      </c>
      <c r="W719" s="417">
        <v>0</v>
      </c>
      <c r="X719" s="378">
        <v>1.9000000000000001E-5</v>
      </c>
      <c r="Z719" s="70">
        <v>2814.4500000000003</v>
      </c>
      <c r="AA719" s="70">
        <v>2814.4300000000003</v>
      </c>
      <c r="AB719" s="70">
        <v>0</v>
      </c>
      <c r="AC719" s="417">
        <v>0</v>
      </c>
      <c r="AD719" s="417">
        <v>0</v>
      </c>
      <c r="AE719" s="378">
        <v>1.9000000000000001E-5</v>
      </c>
      <c r="AF719" s="378"/>
      <c r="AG719" s="70">
        <v>2782.2777500000007</v>
      </c>
      <c r="AH719" s="70">
        <v>643.27775000000065</v>
      </c>
      <c r="AI719" s="70">
        <v>87.277750000000651</v>
      </c>
      <c r="AJ719" s="417">
        <v>0</v>
      </c>
      <c r="AK719" s="417">
        <v>0</v>
      </c>
      <c r="AL719" s="378">
        <v>1.9000000000000001E-5</v>
      </c>
      <c r="AM719" s="378"/>
      <c r="AN719" s="70">
        <v>0</v>
      </c>
      <c r="AO719" s="70">
        <v>0</v>
      </c>
      <c r="AP719" s="70">
        <v>0</v>
      </c>
      <c r="AQ719" s="417">
        <v>0</v>
      </c>
      <c r="AR719" s="417">
        <v>0</v>
      </c>
    </row>
    <row r="720" spans="1:44">
      <c r="A720" s="439">
        <v>97901</v>
      </c>
      <c r="B720" s="440" t="s">
        <v>1427</v>
      </c>
      <c r="C720" s="437">
        <v>3.6172000000000001E-3</v>
      </c>
      <c r="D720" s="441"/>
      <c r="E720" s="438">
        <v>2796963.6295500002</v>
      </c>
      <c r="F720" s="442">
        <v>2483867.1119499998</v>
      </c>
      <c r="G720" s="442">
        <v>698745.96475000016</v>
      </c>
      <c r="H720" s="442">
        <v>3213184.0803999999</v>
      </c>
      <c r="I720" s="442">
        <v>0</v>
      </c>
      <c r="J720" s="443">
        <v>1.9469999999999999E-4</v>
      </c>
      <c r="K720" s="443"/>
      <c r="L720" s="444">
        <v>582828.58440000005</v>
      </c>
      <c r="M720" s="444">
        <v>238977.55240000002</v>
      </c>
      <c r="N720" s="444">
        <v>-28731.419600000001</v>
      </c>
      <c r="O720" s="444">
        <v>0</v>
      </c>
      <c r="P720" s="417">
        <v>0</v>
      </c>
      <c r="Q720" s="378">
        <v>1.9469999999999999E-4</v>
      </c>
      <c r="R720" s="378"/>
      <c r="S720" s="70">
        <v>1417048.9516</v>
      </c>
      <c r="T720" s="105">
        <v>1326271.7004</v>
      </c>
      <c r="U720" s="70">
        <v>787949.14480000001</v>
      </c>
      <c r="V720" s="70">
        <v>3213184.0803999999</v>
      </c>
      <c r="W720" s="417">
        <v>0</v>
      </c>
      <c r="X720" s="378">
        <v>1.9469999999999999E-4</v>
      </c>
      <c r="Z720" s="70">
        <v>1018042.8540000001</v>
      </c>
      <c r="AA720" s="70">
        <v>1018035.6196</v>
      </c>
      <c r="AB720" s="70">
        <v>0</v>
      </c>
      <c r="AC720" s="417">
        <v>0</v>
      </c>
      <c r="AD720" s="417">
        <v>0</v>
      </c>
      <c r="AE720" s="378">
        <v>1.9469999999999999E-4</v>
      </c>
      <c r="AF720" s="378"/>
      <c r="AG720" s="70">
        <v>0</v>
      </c>
      <c r="AH720" s="70">
        <v>0</v>
      </c>
      <c r="AI720" s="70">
        <v>0</v>
      </c>
      <c r="AJ720" s="417">
        <v>0</v>
      </c>
      <c r="AK720" s="417">
        <v>0</v>
      </c>
      <c r="AL720" s="378">
        <v>1.9469999999999999E-4</v>
      </c>
      <c r="AM720" s="378"/>
      <c r="AN720" s="70">
        <v>-220956.76044999983</v>
      </c>
      <c r="AO720" s="70">
        <v>-99417.760449999827</v>
      </c>
      <c r="AP720" s="70">
        <v>-60471.760449999827</v>
      </c>
      <c r="AQ720" s="417">
        <v>0</v>
      </c>
      <c r="AR720" s="417">
        <v>0</v>
      </c>
    </row>
    <row r="721" spans="1:44">
      <c r="A721" s="439">
        <v>97911</v>
      </c>
      <c r="B721" s="440" t="s">
        <v>1428</v>
      </c>
      <c r="C721" s="437">
        <v>1.1452000000000001E-3</v>
      </c>
      <c r="D721" s="441"/>
      <c r="E721" s="438">
        <v>962580.25569999998</v>
      </c>
      <c r="F721" s="442">
        <v>816935.31409999996</v>
      </c>
      <c r="G721" s="442">
        <v>268679.43890000001</v>
      </c>
      <c r="H721" s="442">
        <v>1017289.1764000001</v>
      </c>
      <c r="I721" s="442">
        <v>0</v>
      </c>
      <c r="J721" s="443">
        <v>1.3699999999999999E-5</v>
      </c>
      <c r="K721" s="443"/>
      <c r="L721" s="444">
        <v>184522.6404</v>
      </c>
      <c r="M721" s="444">
        <v>75659.928400000004</v>
      </c>
      <c r="N721" s="444">
        <v>-9096.3236000000015</v>
      </c>
      <c r="O721" s="444">
        <v>0</v>
      </c>
      <c r="P721" s="417">
        <v>0</v>
      </c>
      <c r="Q721" s="378">
        <v>1.3699999999999999E-5</v>
      </c>
      <c r="R721" s="378"/>
      <c r="S721" s="70">
        <v>448635.5356</v>
      </c>
      <c r="T721" s="105">
        <v>419895.59640000004</v>
      </c>
      <c r="U721" s="70">
        <v>249463.49680000002</v>
      </c>
      <c r="V721" s="70">
        <v>1017289.1764000001</v>
      </c>
      <c r="W721" s="417">
        <v>0</v>
      </c>
      <c r="X721" s="378">
        <v>1.3699999999999999E-5</v>
      </c>
      <c r="Z721" s="70">
        <v>322310.81400000001</v>
      </c>
      <c r="AA721" s="70">
        <v>322308.52360000001</v>
      </c>
      <c r="AB721" s="70">
        <v>0</v>
      </c>
      <c r="AC721" s="417">
        <v>0</v>
      </c>
      <c r="AD721" s="417">
        <v>0</v>
      </c>
      <c r="AE721" s="378">
        <v>1.3699999999999999E-5</v>
      </c>
      <c r="AF721" s="378"/>
      <c r="AG721" s="70">
        <v>42306.265699999989</v>
      </c>
      <c r="AH721" s="70">
        <v>28312.265699999989</v>
      </c>
      <c r="AI721" s="70">
        <v>28312.265699999989</v>
      </c>
      <c r="AJ721" s="417">
        <v>0</v>
      </c>
      <c r="AK721" s="417">
        <v>0</v>
      </c>
      <c r="AL721" s="378">
        <v>1.3699999999999999E-5</v>
      </c>
      <c r="AM721" s="378"/>
      <c r="AN721" s="70">
        <v>-35195</v>
      </c>
      <c r="AO721" s="70">
        <v>-29241</v>
      </c>
      <c r="AP721" s="70">
        <v>0</v>
      </c>
      <c r="AQ721" s="417">
        <v>0</v>
      </c>
      <c r="AR721" s="417">
        <v>0</v>
      </c>
    </row>
    <row r="722" spans="1:44">
      <c r="A722" s="439">
        <v>97913</v>
      </c>
      <c r="B722" s="440" t="s">
        <v>1429</v>
      </c>
      <c r="C722" s="437">
        <v>3.3000000000000003E-5</v>
      </c>
      <c r="D722" s="441"/>
      <c r="E722" s="438">
        <v>43402.724549999999</v>
      </c>
      <c r="F722" s="442">
        <v>37510.510549999992</v>
      </c>
      <c r="G722" s="442">
        <v>10736.402549999999</v>
      </c>
      <c r="H722" s="442">
        <v>29314.131000000001</v>
      </c>
      <c r="I722" s="442">
        <v>0</v>
      </c>
      <c r="J722" s="443">
        <v>1.3679999999999999E-4</v>
      </c>
      <c r="K722" s="443"/>
      <c r="L722" s="444">
        <v>5317.1910000000007</v>
      </c>
      <c r="M722" s="444">
        <v>2180.2110000000002</v>
      </c>
      <c r="N722" s="444">
        <v>-262.11900000000003</v>
      </c>
      <c r="O722" s="444">
        <v>0</v>
      </c>
      <c r="P722" s="417">
        <v>0</v>
      </c>
      <c r="Q722" s="378">
        <v>1.3679999999999999E-4</v>
      </c>
      <c r="R722" s="378"/>
      <c r="S722" s="70">
        <v>12927.849</v>
      </c>
      <c r="T722" s="105">
        <v>12099.681</v>
      </c>
      <c r="U722" s="70">
        <v>7188.5220000000008</v>
      </c>
      <c r="V722" s="70">
        <v>29314.131000000001</v>
      </c>
      <c r="W722" s="417">
        <v>0</v>
      </c>
      <c r="X722" s="378">
        <v>1.3679999999999999E-4</v>
      </c>
      <c r="Z722" s="70">
        <v>9287.6850000000013</v>
      </c>
      <c r="AA722" s="70">
        <v>9287.6190000000006</v>
      </c>
      <c r="AB722" s="70">
        <v>0</v>
      </c>
      <c r="AC722" s="417">
        <v>0</v>
      </c>
      <c r="AD722" s="417">
        <v>0</v>
      </c>
      <c r="AE722" s="378">
        <v>1.3679999999999999E-4</v>
      </c>
      <c r="AF722" s="378"/>
      <c r="AG722" s="70">
        <v>15869.999549999997</v>
      </c>
      <c r="AH722" s="70">
        <v>13942.999549999997</v>
      </c>
      <c r="AI722" s="70">
        <v>3809.9995499999968</v>
      </c>
      <c r="AJ722" s="417">
        <v>0</v>
      </c>
      <c r="AK722" s="417">
        <v>0</v>
      </c>
      <c r="AL722" s="378">
        <v>1.3679999999999999E-4</v>
      </c>
      <c r="AM722" s="378"/>
      <c r="AN722" s="70">
        <v>0</v>
      </c>
      <c r="AO722" s="70">
        <v>0</v>
      </c>
      <c r="AP722" s="70">
        <v>0</v>
      </c>
      <c r="AQ722" s="417">
        <v>0</v>
      </c>
      <c r="AR722" s="417">
        <v>0</v>
      </c>
    </row>
    <row r="723" spans="1:44">
      <c r="A723" s="439">
        <v>97917</v>
      </c>
      <c r="B723" s="440" t="s">
        <v>1430</v>
      </c>
      <c r="C723" s="437">
        <v>2.5400000000000001E-5</v>
      </c>
      <c r="D723" s="441"/>
      <c r="E723" s="438">
        <v>31964.903699999999</v>
      </c>
      <c r="F723" s="442">
        <v>26680.890500000001</v>
      </c>
      <c r="G723" s="442">
        <v>9373.2800999999999</v>
      </c>
      <c r="H723" s="442">
        <v>22562.997800000001</v>
      </c>
      <c r="I723" s="442">
        <v>0</v>
      </c>
      <c r="J723" s="443">
        <v>1.3499999999999999E-5</v>
      </c>
      <c r="K723" s="443"/>
      <c r="L723" s="444">
        <v>4092.6258000000003</v>
      </c>
      <c r="M723" s="444">
        <v>1678.1018000000001</v>
      </c>
      <c r="N723" s="444">
        <v>-201.75220000000002</v>
      </c>
      <c r="O723" s="444">
        <v>0</v>
      </c>
      <c r="P723" s="417">
        <v>0</v>
      </c>
      <c r="Q723" s="378">
        <v>1.3499999999999999E-5</v>
      </c>
      <c r="R723" s="378"/>
      <c r="S723" s="70">
        <v>9950.5262000000002</v>
      </c>
      <c r="T723" s="105">
        <v>9313.0878000000012</v>
      </c>
      <c r="U723" s="70">
        <v>5532.9836000000005</v>
      </c>
      <c r="V723" s="70">
        <v>22562.997800000001</v>
      </c>
      <c r="W723" s="417">
        <v>0</v>
      </c>
      <c r="X723" s="378">
        <v>1.3499999999999999E-5</v>
      </c>
      <c r="Z723" s="70">
        <v>7148.7030000000004</v>
      </c>
      <c r="AA723" s="70">
        <v>7148.6522000000004</v>
      </c>
      <c r="AB723" s="70">
        <v>0</v>
      </c>
      <c r="AC723" s="417">
        <v>0</v>
      </c>
      <c r="AD723" s="417">
        <v>0</v>
      </c>
      <c r="AE723" s="378">
        <v>1.3499999999999999E-5</v>
      </c>
      <c r="AF723" s="378"/>
      <c r="AG723" s="70">
        <v>10773.048699999999</v>
      </c>
      <c r="AH723" s="70">
        <v>8541.0486999999994</v>
      </c>
      <c r="AI723" s="70">
        <v>4042.0486999999994</v>
      </c>
      <c r="AJ723" s="417">
        <v>0</v>
      </c>
      <c r="AK723" s="417">
        <v>0</v>
      </c>
      <c r="AL723" s="378">
        <v>1.3499999999999999E-5</v>
      </c>
      <c r="AM723" s="378"/>
      <c r="AN723" s="70">
        <v>0</v>
      </c>
      <c r="AO723" s="70">
        <v>0</v>
      </c>
      <c r="AP723" s="70">
        <v>0</v>
      </c>
      <c r="AQ723" s="417">
        <v>0</v>
      </c>
      <c r="AR723" s="417">
        <v>0</v>
      </c>
    </row>
    <row r="724" spans="1:44">
      <c r="A724" s="439">
        <v>97921</v>
      </c>
      <c r="B724" s="440" t="s">
        <v>1431</v>
      </c>
      <c r="C724" s="437">
        <v>2.1210000000000001E-4</v>
      </c>
      <c r="D724" s="441"/>
      <c r="E724" s="438">
        <v>176733.59992499999</v>
      </c>
      <c r="F724" s="442">
        <v>151419.08812500001</v>
      </c>
      <c r="G724" s="442">
        <v>44457.148525000011</v>
      </c>
      <c r="H724" s="442">
        <v>188409.91469999999</v>
      </c>
      <c r="I724" s="442">
        <v>0</v>
      </c>
      <c r="J724" s="443">
        <v>2.0999999999999998E-6</v>
      </c>
      <c r="K724" s="443"/>
      <c r="L724" s="444">
        <v>34175.036700000004</v>
      </c>
      <c r="M724" s="444">
        <v>14012.8107</v>
      </c>
      <c r="N724" s="444">
        <v>-1684.7103</v>
      </c>
      <c r="O724" s="444">
        <v>0</v>
      </c>
      <c r="P724" s="417">
        <v>0</v>
      </c>
      <c r="Q724" s="378">
        <v>2.0999999999999998E-6</v>
      </c>
      <c r="R724" s="378"/>
      <c r="S724" s="70">
        <v>83090.811300000001</v>
      </c>
      <c r="T724" s="105">
        <v>77767.949699999997</v>
      </c>
      <c r="U724" s="70">
        <v>46202.591400000005</v>
      </c>
      <c r="V724" s="70">
        <v>188409.91469999999</v>
      </c>
      <c r="W724" s="417">
        <v>0</v>
      </c>
      <c r="X724" s="378">
        <v>2.0999999999999998E-6</v>
      </c>
      <c r="Z724" s="70">
        <v>59694.484499999999</v>
      </c>
      <c r="AA724" s="70">
        <v>59694.060300000005</v>
      </c>
      <c r="AB724" s="70">
        <v>0</v>
      </c>
      <c r="AC724" s="417">
        <v>0</v>
      </c>
      <c r="AD724" s="417">
        <v>0</v>
      </c>
      <c r="AE724" s="378">
        <v>2.0999999999999998E-6</v>
      </c>
      <c r="AF724" s="378"/>
      <c r="AG724" s="70">
        <v>3120</v>
      </c>
      <c r="AH724" s="70">
        <v>5</v>
      </c>
      <c r="AI724" s="70">
        <v>0</v>
      </c>
      <c r="AJ724" s="417">
        <v>0</v>
      </c>
      <c r="AK724" s="417">
        <v>0</v>
      </c>
      <c r="AL724" s="378">
        <v>2.0999999999999998E-6</v>
      </c>
      <c r="AM724" s="378"/>
      <c r="AN724" s="70">
        <v>-3346.7325749999945</v>
      </c>
      <c r="AO724" s="70">
        <v>-60.73257499999454</v>
      </c>
      <c r="AP724" s="70">
        <v>-60.73257499999454</v>
      </c>
      <c r="AQ724" s="417">
        <v>0</v>
      </c>
      <c r="AR724" s="417">
        <v>0</v>
      </c>
    </row>
    <row r="725" spans="1:44">
      <c r="A725" s="439">
        <v>97931</v>
      </c>
      <c r="B725" s="440" t="s">
        <v>1432</v>
      </c>
      <c r="C725" s="437">
        <v>5.8199999999999998E-5</v>
      </c>
      <c r="D725" s="441"/>
      <c r="E725" s="438">
        <v>40208.251100000009</v>
      </c>
      <c r="F725" s="442">
        <v>29029.055500000006</v>
      </c>
      <c r="G725" s="442">
        <v>4454.1923000000079</v>
      </c>
      <c r="H725" s="442">
        <v>51699.467400000001</v>
      </c>
      <c r="I725" s="442">
        <v>0</v>
      </c>
      <c r="J725" s="443">
        <v>2.6120000000000001E-4</v>
      </c>
      <c r="K725" s="443"/>
      <c r="L725" s="444">
        <v>9377.5913999999993</v>
      </c>
      <c r="M725" s="444">
        <v>3845.0994000000001</v>
      </c>
      <c r="N725" s="444">
        <v>-462.2826</v>
      </c>
      <c r="O725" s="444">
        <v>0</v>
      </c>
      <c r="P725" s="417">
        <v>0</v>
      </c>
      <c r="Q725" s="378">
        <v>2.6120000000000001E-4</v>
      </c>
      <c r="R725" s="378"/>
      <c r="S725" s="70">
        <v>22800.024600000001</v>
      </c>
      <c r="T725" s="105">
        <v>21339.437399999999</v>
      </c>
      <c r="U725" s="70">
        <v>12677.9388</v>
      </c>
      <c r="V725" s="70">
        <v>51699.467400000001</v>
      </c>
      <c r="W725" s="417">
        <v>0</v>
      </c>
      <c r="X725" s="378">
        <v>2.6120000000000001E-4</v>
      </c>
      <c r="Z725" s="70">
        <v>16380.099</v>
      </c>
      <c r="AA725" s="70">
        <v>16379.982599999999</v>
      </c>
      <c r="AB725" s="70">
        <v>0</v>
      </c>
      <c r="AC725" s="417">
        <v>0</v>
      </c>
      <c r="AD725" s="417">
        <v>0</v>
      </c>
      <c r="AE725" s="378">
        <v>2.6120000000000001E-4</v>
      </c>
      <c r="AF725" s="378"/>
      <c r="AG725" s="70">
        <v>4186</v>
      </c>
      <c r="AH725" s="70">
        <v>0</v>
      </c>
      <c r="AI725" s="70">
        <v>0</v>
      </c>
      <c r="AJ725" s="417">
        <v>0</v>
      </c>
      <c r="AK725" s="417">
        <v>0</v>
      </c>
      <c r="AL725" s="378">
        <v>2.6120000000000001E-4</v>
      </c>
      <c r="AM725" s="378"/>
      <c r="AN725" s="70">
        <v>-12535.463899999992</v>
      </c>
      <c r="AO725" s="70">
        <v>-12535.463899999992</v>
      </c>
      <c r="AP725" s="70">
        <v>-7761.4638999999916</v>
      </c>
      <c r="AQ725" s="417">
        <v>0</v>
      </c>
      <c r="AR725" s="417">
        <v>0</v>
      </c>
    </row>
    <row r="726" spans="1:44">
      <c r="A726" s="439">
        <v>97941</v>
      </c>
      <c r="B726" s="440" t="s">
        <v>1433</v>
      </c>
      <c r="C726" s="437">
        <v>2.1450000000000001E-4</v>
      </c>
      <c r="D726" s="441"/>
      <c r="E726" s="438">
        <v>181777.53482500004</v>
      </c>
      <c r="F726" s="442">
        <v>147387.64382500004</v>
      </c>
      <c r="G726" s="442">
        <v>46948.441825000016</v>
      </c>
      <c r="H726" s="442">
        <v>190541.85150000002</v>
      </c>
      <c r="I726" s="442">
        <v>0</v>
      </c>
      <c r="J726" s="443">
        <v>8.53E-5</v>
      </c>
      <c r="K726" s="443"/>
      <c r="L726" s="444">
        <v>34561.741500000004</v>
      </c>
      <c r="M726" s="444">
        <v>14171.371500000001</v>
      </c>
      <c r="N726" s="444">
        <v>-1703.7735</v>
      </c>
      <c r="O726" s="444">
        <v>0</v>
      </c>
      <c r="P726" s="417">
        <v>0</v>
      </c>
      <c r="Q726" s="378">
        <v>8.53E-5</v>
      </c>
      <c r="R726" s="378"/>
      <c r="S726" s="70">
        <v>84031.018500000006</v>
      </c>
      <c r="T726" s="105">
        <v>78647.926500000001</v>
      </c>
      <c r="U726" s="70">
        <v>46725.393000000004</v>
      </c>
      <c r="V726" s="70">
        <v>190541.85150000002</v>
      </c>
      <c r="W726" s="417">
        <v>0</v>
      </c>
      <c r="X726" s="378">
        <v>8.53E-5</v>
      </c>
      <c r="Z726" s="70">
        <v>60369.952499999999</v>
      </c>
      <c r="AA726" s="70">
        <v>60369.523500000003</v>
      </c>
      <c r="AB726" s="70">
        <v>0</v>
      </c>
      <c r="AC726" s="417">
        <v>0</v>
      </c>
      <c r="AD726" s="417">
        <v>0</v>
      </c>
      <c r="AE726" s="378">
        <v>8.53E-5</v>
      </c>
      <c r="AF726" s="378"/>
      <c r="AG726" s="70">
        <v>10542.822325000016</v>
      </c>
      <c r="AH726" s="70">
        <v>1926.8223250000156</v>
      </c>
      <c r="AI726" s="70">
        <v>1926.8223250000156</v>
      </c>
      <c r="AJ726" s="417">
        <v>0</v>
      </c>
      <c r="AK726" s="417">
        <v>0</v>
      </c>
      <c r="AL726" s="378">
        <v>8.53E-5</v>
      </c>
      <c r="AM726" s="378"/>
      <c r="AN726" s="70">
        <v>-7728</v>
      </c>
      <c r="AO726" s="70">
        <v>-7728</v>
      </c>
      <c r="AP726" s="70">
        <v>0</v>
      </c>
      <c r="AQ726" s="417">
        <v>0</v>
      </c>
      <c r="AR726" s="417">
        <v>0</v>
      </c>
    </row>
    <row r="727" spans="1:44">
      <c r="A727" s="439">
        <v>97947</v>
      </c>
      <c r="B727" s="440" t="s">
        <v>1434</v>
      </c>
      <c r="C727" s="437">
        <v>1.7900000000000001E-5</v>
      </c>
      <c r="D727" s="441"/>
      <c r="E727" s="438">
        <v>22592.705425</v>
      </c>
      <c r="F727" s="442">
        <v>18665.877225</v>
      </c>
      <c r="G727" s="442">
        <v>6864.3368250000003</v>
      </c>
      <c r="H727" s="442">
        <v>15900.695300000001</v>
      </c>
      <c r="I727" s="442">
        <v>0</v>
      </c>
      <c r="J727" s="443">
        <v>5.24E-5</v>
      </c>
      <c r="K727" s="443"/>
      <c r="L727" s="444">
        <v>2884.1733000000004</v>
      </c>
      <c r="M727" s="444">
        <v>1182.5993000000001</v>
      </c>
      <c r="N727" s="444">
        <v>-142.17970000000003</v>
      </c>
      <c r="O727" s="444">
        <v>0</v>
      </c>
      <c r="P727" s="417">
        <v>0</v>
      </c>
      <c r="Q727" s="378">
        <v>5.24E-5</v>
      </c>
      <c r="R727" s="378"/>
      <c r="S727" s="70">
        <v>7012.3787000000002</v>
      </c>
      <c r="T727" s="105">
        <v>6563.1603000000005</v>
      </c>
      <c r="U727" s="70">
        <v>3899.2286000000004</v>
      </c>
      <c r="V727" s="70">
        <v>15900.695300000001</v>
      </c>
      <c r="W727" s="417">
        <v>0</v>
      </c>
      <c r="X727" s="378">
        <v>5.24E-5</v>
      </c>
      <c r="Z727" s="70">
        <v>5037.8655000000008</v>
      </c>
      <c r="AA727" s="70">
        <v>5037.8297000000002</v>
      </c>
      <c r="AB727" s="70">
        <v>0</v>
      </c>
      <c r="AC727" s="417">
        <v>0</v>
      </c>
      <c r="AD727" s="417">
        <v>0</v>
      </c>
      <c r="AE727" s="378">
        <v>5.24E-5</v>
      </c>
      <c r="AF727" s="378"/>
      <c r="AG727" s="70">
        <v>7658.2879250000005</v>
      </c>
      <c r="AH727" s="70">
        <v>5882.2879250000005</v>
      </c>
      <c r="AI727" s="70">
        <v>3107.2879250000001</v>
      </c>
      <c r="AJ727" s="417">
        <v>0</v>
      </c>
      <c r="AK727" s="417">
        <v>0</v>
      </c>
      <c r="AL727" s="378">
        <v>5.24E-5</v>
      </c>
      <c r="AM727" s="378"/>
      <c r="AN727" s="70">
        <v>0</v>
      </c>
      <c r="AO727" s="70">
        <v>0</v>
      </c>
      <c r="AP727" s="70">
        <v>0</v>
      </c>
      <c r="AQ727" s="417">
        <v>0</v>
      </c>
      <c r="AR727" s="417">
        <v>0</v>
      </c>
    </row>
    <row r="728" spans="1:44">
      <c r="A728" s="439">
        <v>97948</v>
      </c>
      <c r="B728" s="440" t="s">
        <v>1435</v>
      </c>
      <c r="C728" s="437">
        <v>2.0400000000000001E-5</v>
      </c>
      <c r="D728" s="441"/>
      <c r="E728" s="438">
        <v>14610.279499999997</v>
      </c>
      <c r="F728" s="442">
        <v>11176.056299999997</v>
      </c>
      <c r="G728" s="442">
        <v>1810.8258999999971</v>
      </c>
      <c r="H728" s="442">
        <v>18121.462800000001</v>
      </c>
      <c r="I728" s="442">
        <v>0</v>
      </c>
      <c r="J728" s="443">
        <v>3.1339999999999997E-4</v>
      </c>
      <c r="K728" s="443"/>
      <c r="L728" s="444">
        <v>3286.9908</v>
      </c>
      <c r="M728" s="444">
        <v>1347.7668000000001</v>
      </c>
      <c r="N728" s="444">
        <v>-162.03720000000001</v>
      </c>
      <c r="O728" s="444">
        <v>0</v>
      </c>
      <c r="P728" s="417">
        <v>0</v>
      </c>
      <c r="Q728" s="378">
        <v>3.1339999999999997E-4</v>
      </c>
      <c r="R728" s="378"/>
      <c r="S728" s="70">
        <v>7991.7612000000008</v>
      </c>
      <c r="T728" s="105">
        <v>7479.8028000000004</v>
      </c>
      <c r="U728" s="70">
        <v>4443.8136000000004</v>
      </c>
      <c r="V728" s="70">
        <v>18121.462800000001</v>
      </c>
      <c r="W728" s="417">
        <v>0</v>
      </c>
      <c r="X728" s="378">
        <v>3.1339999999999997E-4</v>
      </c>
      <c r="Z728" s="70">
        <v>5741.4780000000001</v>
      </c>
      <c r="AA728" s="70">
        <v>5741.4372000000003</v>
      </c>
      <c r="AB728" s="70">
        <v>0</v>
      </c>
      <c r="AC728" s="417">
        <v>0</v>
      </c>
      <c r="AD728" s="417">
        <v>0</v>
      </c>
      <c r="AE728" s="378">
        <v>3.1339999999999997E-4</v>
      </c>
      <c r="AF728" s="378"/>
      <c r="AG728" s="70">
        <v>983</v>
      </c>
      <c r="AH728" s="70">
        <v>0</v>
      </c>
      <c r="AI728" s="70">
        <v>0</v>
      </c>
      <c r="AJ728" s="417">
        <v>0</v>
      </c>
      <c r="AK728" s="417">
        <v>0</v>
      </c>
      <c r="AL728" s="378">
        <v>3.1339999999999997E-4</v>
      </c>
      <c r="AM728" s="378"/>
      <c r="AN728" s="70">
        <v>-3392.9505000000036</v>
      </c>
      <c r="AO728" s="70">
        <v>-3392.9505000000036</v>
      </c>
      <c r="AP728" s="70">
        <v>-2470.9505000000036</v>
      </c>
      <c r="AQ728" s="417">
        <v>0</v>
      </c>
      <c r="AR728" s="417">
        <v>0</v>
      </c>
    </row>
    <row r="729" spans="1:44">
      <c r="A729" s="439">
        <v>97951</v>
      </c>
      <c r="B729" s="440" t="s">
        <v>1436</v>
      </c>
      <c r="C729" s="437">
        <v>1.1325E-3</v>
      </c>
      <c r="D729" s="441"/>
      <c r="E729" s="438">
        <v>978284.56922500022</v>
      </c>
      <c r="F729" s="442">
        <v>832359.63422499993</v>
      </c>
      <c r="G729" s="442">
        <v>249370.06422500004</v>
      </c>
      <c r="H729" s="442">
        <v>1006007.6775</v>
      </c>
      <c r="I729" s="442">
        <v>0</v>
      </c>
      <c r="J729" s="443">
        <v>9.5000000000000005E-6</v>
      </c>
      <c r="K729" s="443"/>
      <c r="L729" s="444">
        <v>182476.32750000001</v>
      </c>
      <c r="M729" s="444">
        <v>74820.877500000002</v>
      </c>
      <c r="N729" s="444">
        <v>-8995.4475000000002</v>
      </c>
      <c r="O729" s="444">
        <v>0</v>
      </c>
      <c r="P729" s="417">
        <v>0</v>
      </c>
      <c r="Q729" s="378">
        <v>9.5000000000000005E-6</v>
      </c>
      <c r="R729" s="378"/>
      <c r="S729" s="70">
        <v>443660.27250000002</v>
      </c>
      <c r="T729" s="105">
        <v>415239.05249999999</v>
      </c>
      <c r="U729" s="70">
        <v>246697.005</v>
      </c>
      <c r="V729" s="70">
        <v>1006007.6775</v>
      </c>
      <c r="W729" s="417">
        <v>0</v>
      </c>
      <c r="X729" s="378">
        <v>9.5000000000000005E-6</v>
      </c>
      <c r="Z729" s="70">
        <v>318736.46250000002</v>
      </c>
      <c r="AA729" s="70">
        <v>318734.19750000001</v>
      </c>
      <c r="AB729" s="70">
        <v>0</v>
      </c>
      <c r="AC729" s="417">
        <v>0</v>
      </c>
      <c r="AD729" s="417">
        <v>0</v>
      </c>
      <c r="AE729" s="378">
        <v>9.5000000000000005E-6</v>
      </c>
      <c r="AF729" s="378"/>
      <c r="AG729" s="70">
        <v>33411.506725000043</v>
      </c>
      <c r="AH729" s="70">
        <v>23565.506725000043</v>
      </c>
      <c r="AI729" s="70">
        <v>11668.506725000043</v>
      </c>
      <c r="AJ729" s="417">
        <v>0</v>
      </c>
      <c r="AK729" s="417">
        <v>0</v>
      </c>
      <c r="AL729" s="378">
        <v>9.5000000000000005E-6</v>
      </c>
      <c r="AM729" s="378"/>
      <c r="AN729" s="70">
        <v>0</v>
      </c>
      <c r="AO729" s="70">
        <v>0</v>
      </c>
      <c r="AP729" s="70">
        <v>0</v>
      </c>
      <c r="AQ729" s="417">
        <v>0</v>
      </c>
      <c r="AR729" s="417">
        <v>0</v>
      </c>
    </row>
    <row r="730" spans="1:44">
      <c r="A730" s="439">
        <v>97957</v>
      </c>
      <c r="B730" s="440" t="s">
        <v>1437</v>
      </c>
      <c r="C730" s="437">
        <v>1.2999999999999999E-5</v>
      </c>
      <c r="D730" s="441"/>
      <c r="E730" s="438">
        <v>18090.914849999997</v>
      </c>
      <c r="F730" s="442">
        <v>14391.860849999997</v>
      </c>
      <c r="G730" s="442">
        <v>6516.2728499999976</v>
      </c>
      <c r="H730" s="442">
        <v>11547.991</v>
      </c>
      <c r="I730" s="442">
        <v>0</v>
      </c>
      <c r="J730" s="443">
        <v>3.7361E-3</v>
      </c>
      <c r="K730" s="443"/>
      <c r="L730" s="444">
        <v>2094.6509999999998</v>
      </c>
      <c r="M730" s="444">
        <v>858.87099999999998</v>
      </c>
      <c r="N730" s="444">
        <v>-103.259</v>
      </c>
      <c r="O730" s="444">
        <v>0</v>
      </c>
      <c r="P730" s="417">
        <v>0</v>
      </c>
      <c r="Q730" s="378">
        <v>3.7361E-3</v>
      </c>
      <c r="R730" s="378"/>
      <c r="S730" s="70">
        <v>5092.7889999999998</v>
      </c>
      <c r="T730" s="105">
        <v>4766.5409999999993</v>
      </c>
      <c r="U730" s="70">
        <v>2831.8419999999996</v>
      </c>
      <c r="V730" s="70">
        <v>11547.991</v>
      </c>
      <c r="W730" s="417">
        <v>0</v>
      </c>
      <c r="X730" s="378">
        <v>3.7361E-3</v>
      </c>
      <c r="Z730" s="70">
        <v>3658.7849999999999</v>
      </c>
      <c r="AA730" s="70">
        <v>3658.7589999999996</v>
      </c>
      <c r="AB730" s="70">
        <v>0</v>
      </c>
      <c r="AC730" s="417">
        <v>0</v>
      </c>
      <c r="AD730" s="417">
        <v>0</v>
      </c>
      <c r="AE730" s="378">
        <v>3.7361E-3</v>
      </c>
      <c r="AF730" s="378"/>
      <c r="AG730" s="70">
        <v>7244.6898499999988</v>
      </c>
      <c r="AH730" s="70">
        <v>5107.6898499999988</v>
      </c>
      <c r="AI730" s="70">
        <v>3787.6898499999984</v>
      </c>
      <c r="AJ730" s="417">
        <v>0</v>
      </c>
      <c r="AK730" s="417">
        <v>0</v>
      </c>
      <c r="AL730" s="378">
        <v>3.7361E-3</v>
      </c>
      <c r="AM730" s="378"/>
      <c r="AN730" s="70">
        <v>0</v>
      </c>
      <c r="AO730" s="70">
        <v>0</v>
      </c>
      <c r="AP730" s="70">
        <v>0</v>
      </c>
      <c r="AQ730" s="417">
        <v>0</v>
      </c>
      <c r="AR730" s="417">
        <v>0</v>
      </c>
    </row>
    <row r="731" spans="1:44">
      <c r="A731" s="439">
        <v>98001</v>
      </c>
      <c r="B731" s="440" t="s">
        <v>1438</v>
      </c>
      <c r="C731" s="437">
        <v>5.4911999999999999E-3</v>
      </c>
      <c r="D731" s="441"/>
      <c r="E731" s="438">
        <v>4677901.7694999985</v>
      </c>
      <c r="F731" s="442">
        <v>3985059.1598999994</v>
      </c>
      <c r="G731" s="442">
        <v>1118488.7886999995</v>
      </c>
      <c r="H731" s="442">
        <v>4877871.3984000003</v>
      </c>
      <c r="I731" s="442">
        <v>0</v>
      </c>
      <c r="J731" s="443">
        <v>1.1257999999999999E-3</v>
      </c>
      <c r="K731" s="443"/>
      <c r="L731" s="444">
        <v>884780.58239999996</v>
      </c>
      <c r="M731" s="444">
        <v>362787.11040000001</v>
      </c>
      <c r="N731" s="444">
        <v>-43616.601600000002</v>
      </c>
      <c r="O731" s="444">
        <v>0</v>
      </c>
      <c r="P731" s="417">
        <v>0</v>
      </c>
      <c r="Q731" s="378">
        <v>1.1257999999999999E-3</v>
      </c>
      <c r="R731" s="378"/>
      <c r="S731" s="70">
        <v>2151194.0735999998</v>
      </c>
      <c r="T731" s="105">
        <v>2013386.9183999998</v>
      </c>
      <c r="U731" s="70">
        <v>1196170.0608000001</v>
      </c>
      <c r="V731" s="70">
        <v>4877871.3984000003</v>
      </c>
      <c r="W731" s="417">
        <v>0</v>
      </c>
      <c r="X731" s="378">
        <v>1.1257999999999999E-3</v>
      </c>
      <c r="Z731" s="70">
        <v>1545470.784</v>
      </c>
      <c r="AA731" s="70">
        <v>1545459.8015999999</v>
      </c>
      <c r="AB731" s="70">
        <v>0</v>
      </c>
      <c r="AC731" s="417">
        <v>0</v>
      </c>
      <c r="AD731" s="417">
        <v>0</v>
      </c>
      <c r="AE731" s="378">
        <v>1.1257999999999999E-3</v>
      </c>
      <c r="AF731" s="378"/>
      <c r="AG731" s="70">
        <v>144219</v>
      </c>
      <c r="AH731" s="70">
        <v>97490</v>
      </c>
      <c r="AI731" s="70">
        <v>0</v>
      </c>
      <c r="AJ731" s="417">
        <v>0</v>
      </c>
      <c r="AK731" s="417">
        <v>0</v>
      </c>
      <c r="AL731" s="378">
        <v>1.1257999999999999E-3</v>
      </c>
      <c r="AM731" s="378"/>
      <c r="AN731" s="70">
        <v>-47762.670500000706</v>
      </c>
      <c r="AO731" s="70">
        <v>-34064.670500000706</v>
      </c>
      <c r="AP731" s="70">
        <v>-34064.670500000706</v>
      </c>
      <c r="AQ731" s="417">
        <v>0</v>
      </c>
      <c r="AR731" s="417">
        <v>0</v>
      </c>
    </row>
    <row r="732" spans="1:44">
      <c r="A732" s="439">
        <v>98002</v>
      </c>
      <c r="B732" s="440" t="s">
        <v>1439</v>
      </c>
      <c r="C732" s="437">
        <v>9.7999999999999993E-6</v>
      </c>
      <c r="D732" s="441"/>
      <c r="E732" s="438">
        <v>10058.598849999998</v>
      </c>
      <c r="F732" s="442">
        <v>8359.0504500000006</v>
      </c>
      <c r="G732" s="442">
        <v>3580.1456500000004</v>
      </c>
      <c r="H732" s="442">
        <v>8705.4085999999988</v>
      </c>
      <c r="I732" s="442">
        <v>0</v>
      </c>
      <c r="J732" s="443">
        <v>3.4400000000000003E-5</v>
      </c>
      <c r="K732" s="443"/>
      <c r="L732" s="444">
        <v>1579.0445999999999</v>
      </c>
      <c r="M732" s="444">
        <v>647.45659999999998</v>
      </c>
      <c r="N732" s="444">
        <v>-77.841399999999993</v>
      </c>
      <c r="O732" s="444">
        <v>0</v>
      </c>
      <c r="P732" s="417">
        <v>0</v>
      </c>
      <c r="Q732" s="378">
        <v>3.4400000000000003E-5</v>
      </c>
      <c r="R732" s="378"/>
      <c r="S732" s="70">
        <v>3839.1793999999995</v>
      </c>
      <c r="T732" s="105">
        <v>3593.2385999999997</v>
      </c>
      <c r="U732" s="70">
        <v>2134.7731999999996</v>
      </c>
      <c r="V732" s="70">
        <v>8705.4085999999988</v>
      </c>
      <c r="W732" s="417">
        <v>0</v>
      </c>
      <c r="X732" s="378">
        <v>3.4400000000000003E-5</v>
      </c>
      <c r="Z732" s="70">
        <v>2758.1609999999996</v>
      </c>
      <c r="AA732" s="70">
        <v>2758.1414</v>
      </c>
      <c r="AB732" s="70">
        <v>0</v>
      </c>
      <c r="AC732" s="417">
        <v>0</v>
      </c>
      <c r="AD732" s="417">
        <v>0</v>
      </c>
      <c r="AE732" s="378">
        <v>3.4400000000000003E-5</v>
      </c>
      <c r="AF732" s="378"/>
      <c r="AG732" s="70">
        <v>2045.2138500000003</v>
      </c>
      <c r="AH732" s="70">
        <v>1523.2138500000003</v>
      </c>
      <c r="AI732" s="70">
        <v>1523.2138500000003</v>
      </c>
      <c r="AJ732" s="417">
        <v>0</v>
      </c>
      <c r="AK732" s="417">
        <v>0</v>
      </c>
      <c r="AL732" s="378">
        <v>3.4400000000000003E-5</v>
      </c>
      <c r="AM732" s="378"/>
      <c r="AN732" s="70">
        <v>-163</v>
      </c>
      <c r="AO732" s="70">
        <v>-163</v>
      </c>
      <c r="AP732" s="70">
        <v>0</v>
      </c>
      <c r="AQ732" s="417">
        <v>0</v>
      </c>
      <c r="AR732" s="417">
        <v>0</v>
      </c>
    </row>
    <row r="733" spans="1:44">
      <c r="A733" s="439">
        <v>98003</v>
      </c>
      <c r="B733" s="440" t="s">
        <v>1440</v>
      </c>
      <c r="C733" s="437">
        <v>8.8800000000000004E-5</v>
      </c>
      <c r="D733" s="441"/>
      <c r="E733" s="438">
        <v>102899.0429</v>
      </c>
      <c r="F733" s="442">
        <v>83226.012500000012</v>
      </c>
      <c r="G733" s="442">
        <v>23248.303699999997</v>
      </c>
      <c r="H733" s="442">
        <v>78881.661600000007</v>
      </c>
      <c r="I733" s="442">
        <v>0</v>
      </c>
      <c r="J733" s="443">
        <v>2.2500000000000001E-5</v>
      </c>
      <c r="K733" s="443"/>
      <c r="L733" s="444">
        <v>14308.077600000001</v>
      </c>
      <c r="M733" s="444">
        <v>5866.7496000000001</v>
      </c>
      <c r="N733" s="444">
        <v>-705.33839999999998</v>
      </c>
      <c r="O733" s="444">
        <v>0</v>
      </c>
      <c r="P733" s="417">
        <v>0</v>
      </c>
      <c r="Q733" s="378">
        <v>2.2500000000000001E-5</v>
      </c>
      <c r="R733" s="378"/>
      <c r="S733" s="70">
        <v>34787.666400000002</v>
      </c>
      <c r="T733" s="105">
        <v>32559.141600000003</v>
      </c>
      <c r="U733" s="70">
        <v>19343.659200000002</v>
      </c>
      <c r="V733" s="70">
        <v>78881.661600000007</v>
      </c>
      <c r="W733" s="417">
        <v>0</v>
      </c>
      <c r="X733" s="378">
        <v>2.2500000000000001E-5</v>
      </c>
      <c r="Z733" s="70">
        <v>24992.316000000003</v>
      </c>
      <c r="AA733" s="70">
        <v>24992.1384</v>
      </c>
      <c r="AB733" s="70">
        <v>0</v>
      </c>
      <c r="AC733" s="417">
        <v>0</v>
      </c>
      <c r="AD733" s="417">
        <v>0</v>
      </c>
      <c r="AE733" s="378">
        <v>2.2500000000000001E-5</v>
      </c>
      <c r="AF733" s="378"/>
      <c r="AG733" s="70">
        <v>28810.982899999995</v>
      </c>
      <c r="AH733" s="70">
        <v>19807.982899999995</v>
      </c>
      <c r="AI733" s="70">
        <v>4609.9828999999954</v>
      </c>
      <c r="AJ733" s="417">
        <v>0</v>
      </c>
      <c r="AK733" s="417">
        <v>0</v>
      </c>
      <c r="AL733" s="378">
        <v>2.2500000000000001E-5</v>
      </c>
      <c r="AM733" s="378"/>
      <c r="AN733" s="70">
        <v>0</v>
      </c>
      <c r="AO733" s="70">
        <v>0</v>
      </c>
      <c r="AP733" s="70">
        <v>0</v>
      </c>
      <c r="AQ733" s="417">
        <v>0</v>
      </c>
      <c r="AR733" s="417">
        <v>0</v>
      </c>
    </row>
    <row r="734" spans="1:44">
      <c r="A734" s="439">
        <v>98004</v>
      </c>
      <c r="B734" s="440" t="s">
        <v>1441</v>
      </c>
      <c r="C734" s="437">
        <v>2.0489999999999999E-4</v>
      </c>
      <c r="D734" s="441"/>
      <c r="E734" s="438">
        <v>253310.41582499997</v>
      </c>
      <c r="F734" s="442">
        <v>205624.04162499995</v>
      </c>
      <c r="G734" s="442">
        <v>67721.889224999977</v>
      </c>
      <c r="H734" s="442">
        <v>182014.10430000001</v>
      </c>
      <c r="I734" s="442">
        <v>0</v>
      </c>
      <c r="J734" s="443">
        <v>2.14E-4</v>
      </c>
      <c r="K734" s="443"/>
      <c r="L734" s="444">
        <v>33014.922299999998</v>
      </c>
      <c r="M734" s="444">
        <v>13537.1283</v>
      </c>
      <c r="N734" s="444">
        <v>-1627.5207</v>
      </c>
      <c r="O734" s="444">
        <v>0</v>
      </c>
      <c r="P734" s="417">
        <v>0</v>
      </c>
      <c r="Q734" s="378">
        <v>2.14E-4</v>
      </c>
      <c r="R734" s="378"/>
      <c r="S734" s="70">
        <v>80270.189700000003</v>
      </c>
      <c r="T734" s="105">
        <v>75128.0193</v>
      </c>
      <c r="U734" s="70">
        <v>44634.186600000001</v>
      </c>
      <c r="V734" s="70">
        <v>182014.10430000001</v>
      </c>
      <c r="W734" s="417">
        <v>0</v>
      </c>
      <c r="X734" s="378">
        <v>2.14E-4</v>
      </c>
      <c r="Z734" s="70">
        <v>57668.080499999996</v>
      </c>
      <c r="AA734" s="70">
        <v>57667.670699999995</v>
      </c>
      <c r="AB734" s="70">
        <v>0</v>
      </c>
      <c r="AC734" s="417">
        <v>0</v>
      </c>
      <c r="AD734" s="417">
        <v>0</v>
      </c>
      <c r="AE734" s="378">
        <v>2.14E-4</v>
      </c>
      <c r="AF734" s="378"/>
      <c r="AG734" s="70">
        <v>82357.22332499997</v>
      </c>
      <c r="AH734" s="70">
        <v>59291.223324999977</v>
      </c>
      <c r="AI734" s="70">
        <v>24715.223324999977</v>
      </c>
      <c r="AJ734" s="417">
        <v>0</v>
      </c>
      <c r="AK734" s="417">
        <v>0</v>
      </c>
      <c r="AL734" s="378">
        <v>2.14E-4</v>
      </c>
      <c r="AM734" s="378"/>
      <c r="AN734" s="70">
        <v>0</v>
      </c>
      <c r="AO734" s="70">
        <v>0</v>
      </c>
      <c r="AP734" s="70">
        <v>0</v>
      </c>
      <c r="AQ734" s="417">
        <v>0</v>
      </c>
      <c r="AR734" s="417">
        <v>0</v>
      </c>
    </row>
    <row r="735" spans="1:44">
      <c r="A735" s="439">
        <v>98008</v>
      </c>
      <c r="B735" s="440" t="s">
        <v>1442</v>
      </c>
      <c r="C735" s="437">
        <v>6.8000000000000001E-6</v>
      </c>
      <c r="D735" s="441"/>
      <c r="E735" s="438">
        <v>5671.3584499999997</v>
      </c>
      <c r="F735" s="442">
        <v>5130.2840500000002</v>
      </c>
      <c r="G735" s="442">
        <v>1599.2072500000002</v>
      </c>
      <c r="H735" s="442">
        <v>6040.4876000000004</v>
      </c>
      <c r="I735" s="442">
        <v>0</v>
      </c>
      <c r="J735" s="443">
        <v>6.9499999999999995E-5</v>
      </c>
      <c r="K735" s="443"/>
      <c r="L735" s="444">
        <v>1095.6636000000001</v>
      </c>
      <c r="M735" s="444">
        <v>449.25560000000002</v>
      </c>
      <c r="N735" s="444">
        <v>-54.0124</v>
      </c>
      <c r="O735" s="444">
        <v>0</v>
      </c>
      <c r="P735" s="417">
        <v>0</v>
      </c>
      <c r="Q735" s="378">
        <v>6.9499999999999995E-5</v>
      </c>
      <c r="R735" s="378"/>
      <c r="S735" s="70">
        <v>2663.9204</v>
      </c>
      <c r="T735" s="105">
        <v>2493.2676000000001</v>
      </c>
      <c r="U735" s="70">
        <v>1481.2712000000001</v>
      </c>
      <c r="V735" s="70">
        <v>6040.4876000000004</v>
      </c>
      <c r="W735" s="417">
        <v>0</v>
      </c>
      <c r="X735" s="378">
        <v>6.9499999999999995E-5</v>
      </c>
      <c r="Z735" s="70">
        <v>1913.826</v>
      </c>
      <c r="AA735" s="70">
        <v>1913.8124</v>
      </c>
      <c r="AB735" s="70">
        <v>0</v>
      </c>
      <c r="AC735" s="417">
        <v>0</v>
      </c>
      <c r="AD735" s="417">
        <v>0</v>
      </c>
      <c r="AE735" s="378">
        <v>6.9499999999999995E-5</v>
      </c>
      <c r="AF735" s="378"/>
      <c r="AG735" s="70">
        <v>273.94845000000009</v>
      </c>
      <c r="AH735" s="70">
        <v>273.94845000000009</v>
      </c>
      <c r="AI735" s="70">
        <v>171.94845000000009</v>
      </c>
      <c r="AJ735" s="417">
        <v>0</v>
      </c>
      <c r="AK735" s="417">
        <v>0</v>
      </c>
      <c r="AL735" s="378">
        <v>6.9499999999999995E-5</v>
      </c>
      <c r="AM735" s="378"/>
      <c r="AN735" s="70">
        <v>-276</v>
      </c>
      <c r="AO735" s="70">
        <v>0</v>
      </c>
      <c r="AP735" s="70">
        <v>0</v>
      </c>
      <c r="AQ735" s="417">
        <v>0</v>
      </c>
      <c r="AR735" s="417">
        <v>0</v>
      </c>
    </row>
    <row r="736" spans="1:44">
      <c r="A736" s="439">
        <v>98011</v>
      </c>
      <c r="B736" s="440" t="s">
        <v>1443</v>
      </c>
      <c r="C736" s="437">
        <v>3.2158E-3</v>
      </c>
      <c r="D736" s="441"/>
      <c r="E736" s="438">
        <v>2453064.6147499997</v>
      </c>
      <c r="F736" s="442">
        <v>2105541.5183499996</v>
      </c>
      <c r="G736" s="442">
        <v>629096.75754999998</v>
      </c>
      <c r="H736" s="442">
        <v>2856617.6505999998</v>
      </c>
      <c r="I736" s="442">
        <v>0</v>
      </c>
      <c r="J736" s="443">
        <v>2.106E-4</v>
      </c>
      <c r="K736" s="443"/>
      <c r="L736" s="444">
        <v>518152.20659999998</v>
      </c>
      <c r="M736" s="444">
        <v>212458.2586</v>
      </c>
      <c r="N736" s="444">
        <v>-25543.099399999999</v>
      </c>
      <c r="O736" s="444">
        <v>0</v>
      </c>
      <c r="P736" s="417">
        <v>0</v>
      </c>
      <c r="Q736" s="378">
        <v>2.106E-4</v>
      </c>
      <c r="R736" s="378"/>
      <c r="S736" s="70">
        <v>1259799.2974</v>
      </c>
      <c r="T736" s="105">
        <v>1179095.5806</v>
      </c>
      <c r="U736" s="70">
        <v>700510.57719999994</v>
      </c>
      <c r="V736" s="70">
        <v>2856617.6505999998</v>
      </c>
      <c r="W736" s="417">
        <v>0</v>
      </c>
      <c r="X736" s="378">
        <v>2.106E-4</v>
      </c>
      <c r="Z736" s="70">
        <v>905070.83100000001</v>
      </c>
      <c r="AA736" s="70">
        <v>905064.39939999999</v>
      </c>
      <c r="AB736" s="70">
        <v>0</v>
      </c>
      <c r="AC736" s="417">
        <v>0</v>
      </c>
      <c r="AD736" s="417">
        <v>0</v>
      </c>
      <c r="AE736" s="378">
        <v>2.106E-4</v>
      </c>
      <c r="AF736" s="378"/>
      <c r="AG736" s="70">
        <v>8642</v>
      </c>
      <c r="AH736" s="70">
        <v>0</v>
      </c>
      <c r="AI736" s="70">
        <v>0</v>
      </c>
      <c r="AJ736" s="417">
        <v>0</v>
      </c>
      <c r="AK736" s="417">
        <v>0</v>
      </c>
      <c r="AL736" s="378">
        <v>2.106E-4</v>
      </c>
      <c r="AM736" s="378"/>
      <c r="AN736" s="70">
        <v>-238599.72025000001</v>
      </c>
      <c r="AO736" s="70">
        <v>-191076.72025000001</v>
      </c>
      <c r="AP736" s="70">
        <v>-45870.720250000013</v>
      </c>
      <c r="AQ736" s="417">
        <v>0</v>
      </c>
      <c r="AR736" s="417">
        <v>0</v>
      </c>
    </row>
    <row r="737" spans="1:44">
      <c r="A737" s="439">
        <v>98013</v>
      </c>
      <c r="B737" s="440" t="s">
        <v>1444</v>
      </c>
      <c r="C737" s="437">
        <v>1.2640000000000001E-4</v>
      </c>
      <c r="D737" s="441"/>
      <c r="E737" s="438">
        <v>116497.76965000002</v>
      </c>
      <c r="F737" s="442">
        <v>82394.798450000031</v>
      </c>
      <c r="G737" s="442">
        <v>25525.312050000008</v>
      </c>
      <c r="H737" s="442">
        <v>112282.00480000001</v>
      </c>
      <c r="I737" s="442">
        <v>0</v>
      </c>
      <c r="J737" s="443">
        <v>1.63E-5</v>
      </c>
      <c r="K737" s="443"/>
      <c r="L737" s="444">
        <v>20366.452800000003</v>
      </c>
      <c r="M737" s="444">
        <v>8350.8688000000002</v>
      </c>
      <c r="N737" s="444">
        <v>-1003.9952000000001</v>
      </c>
      <c r="O737" s="444">
        <v>0</v>
      </c>
      <c r="P737" s="417">
        <v>0</v>
      </c>
      <c r="Q737" s="378">
        <v>1.63E-5</v>
      </c>
      <c r="R737" s="378"/>
      <c r="S737" s="70">
        <v>49517.5792</v>
      </c>
      <c r="T737" s="105">
        <v>46345.444800000005</v>
      </c>
      <c r="U737" s="70">
        <v>27534.217600000004</v>
      </c>
      <c r="V737" s="70">
        <v>112282.00480000001</v>
      </c>
      <c r="W737" s="417">
        <v>0</v>
      </c>
      <c r="X737" s="378">
        <v>1.63E-5</v>
      </c>
      <c r="Z737" s="70">
        <v>35574.648000000001</v>
      </c>
      <c r="AA737" s="70">
        <v>35574.395200000006</v>
      </c>
      <c r="AB737" s="70">
        <v>0</v>
      </c>
      <c r="AC737" s="417">
        <v>0</v>
      </c>
      <c r="AD737" s="417">
        <v>0</v>
      </c>
      <c r="AE737" s="378">
        <v>1.63E-5</v>
      </c>
      <c r="AF737" s="378"/>
      <c r="AG737" s="70">
        <v>18915</v>
      </c>
      <c r="AH737" s="70">
        <v>0</v>
      </c>
      <c r="AI737" s="70">
        <v>0</v>
      </c>
      <c r="AJ737" s="417">
        <v>0</v>
      </c>
      <c r="AK737" s="417">
        <v>0</v>
      </c>
      <c r="AL737" s="378">
        <v>1.63E-5</v>
      </c>
      <c r="AM737" s="378"/>
      <c r="AN737" s="70">
        <v>-7875.9103499999947</v>
      </c>
      <c r="AO737" s="70">
        <v>-7875.9103499999947</v>
      </c>
      <c r="AP737" s="70">
        <v>-1004.9103499999947</v>
      </c>
      <c r="AQ737" s="417">
        <v>0</v>
      </c>
      <c r="AR737" s="417">
        <v>0</v>
      </c>
    </row>
    <row r="738" spans="1:44">
      <c r="A738" s="439">
        <v>98021</v>
      </c>
      <c r="B738" s="440" t="s">
        <v>1445</v>
      </c>
      <c r="C738" s="437">
        <v>5.6499999999999998E-5</v>
      </c>
      <c r="D738" s="441"/>
      <c r="E738" s="438">
        <v>63740.179925000004</v>
      </c>
      <c r="F738" s="442">
        <v>52610.252925000001</v>
      </c>
      <c r="G738" s="442">
        <v>22218.658925000003</v>
      </c>
      <c r="H738" s="442">
        <v>50189.345499999996</v>
      </c>
      <c r="I738" s="442">
        <v>0</v>
      </c>
      <c r="J738" s="443">
        <v>2.6400000000000001E-5</v>
      </c>
      <c r="K738" s="443"/>
      <c r="L738" s="444">
        <v>9103.6754999999994</v>
      </c>
      <c r="M738" s="444">
        <v>3732.7855</v>
      </c>
      <c r="N738" s="444">
        <v>-448.77949999999998</v>
      </c>
      <c r="O738" s="444">
        <v>0</v>
      </c>
      <c r="P738" s="417">
        <v>0</v>
      </c>
      <c r="Q738" s="378">
        <v>2.6400000000000001E-5</v>
      </c>
      <c r="R738" s="378"/>
      <c r="S738" s="70">
        <v>22134.0445</v>
      </c>
      <c r="T738" s="105">
        <v>20716.120500000001</v>
      </c>
      <c r="U738" s="70">
        <v>12307.620999999999</v>
      </c>
      <c r="V738" s="70">
        <v>50189.345499999996</v>
      </c>
      <c r="W738" s="417">
        <v>0</v>
      </c>
      <c r="X738" s="378">
        <v>2.6400000000000001E-5</v>
      </c>
      <c r="Z738" s="70">
        <v>15901.6425</v>
      </c>
      <c r="AA738" s="70">
        <v>15901.529499999999</v>
      </c>
      <c r="AB738" s="70">
        <v>0</v>
      </c>
      <c r="AC738" s="417">
        <v>0</v>
      </c>
      <c r="AD738" s="417">
        <v>0</v>
      </c>
      <c r="AE738" s="378">
        <v>2.6400000000000001E-5</v>
      </c>
      <c r="AF738" s="378"/>
      <c r="AG738" s="70">
        <v>16600.817425000001</v>
      </c>
      <c r="AH738" s="70">
        <v>12259.817425000003</v>
      </c>
      <c r="AI738" s="70">
        <v>10359.817425000003</v>
      </c>
      <c r="AJ738" s="417">
        <v>0</v>
      </c>
      <c r="AK738" s="417">
        <v>0</v>
      </c>
      <c r="AL738" s="378">
        <v>2.6400000000000001E-5</v>
      </c>
      <c r="AM738" s="378"/>
      <c r="AN738" s="70">
        <v>0</v>
      </c>
      <c r="AO738" s="70">
        <v>0</v>
      </c>
      <c r="AP738" s="70">
        <v>0</v>
      </c>
      <c r="AQ738" s="417">
        <v>0</v>
      </c>
      <c r="AR738" s="417">
        <v>0</v>
      </c>
    </row>
    <row r="739" spans="1:44">
      <c r="A739" s="439">
        <v>98023</v>
      </c>
      <c r="B739" s="440" t="s">
        <v>1446</v>
      </c>
      <c r="C739" s="437">
        <v>6.6000000000000003E-6</v>
      </c>
      <c r="D739" s="441"/>
      <c r="E739" s="438">
        <v>621.23185000000012</v>
      </c>
      <c r="F739" s="442">
        <v>1151.1890500000004</v>
      </c>
      <c r="G739" s="442">
        <v>1178.9674500000006</v>
      </c>
      <c r="H739" s="442">
        <v>5862.8262000000004</v>
      </c>
      <c r="I739" s="442">
        <v>0</v>
      </c>
      <c r="J739" s="443">
        <v>1.1387999999999999E-3</v>
      </c>
      <c r="K739" s="443"/>
      <c r="L739" s="444">
        <v>1063.4382000000001</v>
      </c>
      <c r="M739" s="444">
        <v>436.04220000000004</v>
      </c>
      <c r="N739" s="444">
        <v>-52.4238</v>
      </c>
      <c r="O739" s="444">
        <v>0</v>
      </c>
      <c r="P739" s="417">
        <v>0</v>
      </c>
      <c r="Q739" s="378">
        <v>1.1387999999999999E-3</v>
      </c>
      <c r="R739" s="378"/>
      <c r="S739" s="70">
        <v>2585.5698000000002</v>
      </c>
      <c r="T739" s="105">
        <v>2419.9362000000001</v>
      </c>
      <c r="U739" s="70">
        <v>1437.7044000000001</v>
      </c>
      <c r="V739" s="70">
        <v>5862.8262000000004</v>
      </c>
      <c r="W739" s="417">
        <v>0</v>
      </c>
      <c r="X739" s="378">
        <v>1.1387999999999999E-3</v>
      </c>
      <c r="Z739" s="70">
        <v>1857.537</v>
      </c>
      <c r="AA739" s="70">
        <v>1857.5238000000002</v>
      </c>
      <c r="AB739" s="70">
        <v>0</v>
      </c>
      <c r="AC739" s="417">
        <v>0</v>
      </c>
      <c r="AD739" s="417">
        <v>0</v>
      </c>
      <c r="AE739" s="378">
        <v>1.1387999999999999E-3</v>
      </c>
      <c r="AF739" s="378"/>
      <c r="AG739" s="70">
        <v>825</v>
      </c>
      <c r="AH739" s="70">
        <v>0</v>
      </c>
      <c r="AI739" s="70">
        <v>0</v>
      </c>
      <c r="AJ739" s="417">
        <v>0</v>
      </c>
      <c r="AK739" s="417">
        <v>0</v>
      </c>
      <c r="AL739" s="378">
        <v>1.1387999999999999E-3</v>
      </c>
      <c r="AM739" s="378"/>
      <c r="AN739" s="70">
        <v>-5710.31315</v>
      </c>
      <c r="AO739" s="70">
        <v>-3562.3131499999995</v>
      </c>
      <c r="AP739" s="70">
        <v>-206.3131499999995</v>
      </c>
      <c r="AQ739" s="417">
        <v>0</v>
      </c>
      <c r="AR739" s="417">
        <v>0</v>
      </c>
    </row>
    <row r="740" spans="1:44">
      <c r="A740" s="439">
        <v>98031</v>
      </c>
      <c r="B740" s="440" t="s">
        <v>1447</v>
      </c>
      <c r="C740" s="437">
        <v>1.549E-4</v>
      </c>
      <c r="D740" s="441"/>
      <c r="E740" s="438">
        <v>126794.26267500001</v>
      </c>
      <c r="F740" s="442">
        <v>122610.78847500001</v>
      </c>
      <c r="G740" s="442">
        <v>29993.436074999991</v>
      </c>
      <c r="H740" s="442">
        <v>137598.7543</v>
      </c>
      <c r="I740" s="442">
        <v>0</v>
      </c>
      <c r="J740" s="443">
        <v>1.1800000000000001E-5</v>
      </c>
      <c r="K740" s="443"/>
      <c r="L740" s="444">
        <v>24958.5723</v>
      </c>
      <c r="M740" s="444">
        <v>10233.7783</v>
      </c>
      <c r="N740" s="444">
        <v>-1230.3706999999999</v>
      </c>
      <c r="O740" s="444">
        <v>0</v>
      </c>
      <c r="P740" s="417">
        <v>0</v>
      </c>
      <c r="Q740" s="378">
        <v>1.1800000000000001E-5</v>
      </c>
      <c r="R740" s="378"/>
      <c r="S740" s="70">
        <v>60682.539700000001</v>
      </c>
      <c r="T740" s="105">
        <v>56795.169300000001</v>
      </c>
      <c r="U740" s="70">
        <v>33742.486599999997</v>
      </c>
      <c r="V740" s="70">
        <v>137598.7543</v>
      </c>
      <c r="W740" s="417">
        <v>0</v>
      </c>
      <c r="X740" s="378">
        <v>1.1800000000000001E-5</v>
      </c>
      <c r="Z740" s="70">
        <v>43595.830499999996</v>
      </c>
      <c r="AA740" s="70">
        <v>43595.520700000001</v>
      </c>
      <c r="AB740" s="70">
        <v>0</v>
      </c>
      <c r="AC740" s="417">
        <v>0</v>
      </c>
      <c r="AD740" s="417">
        <v>0</v>
      </c>
      <c r="AE740" s="378">
        <v>1.1800000000000001E-5</v>
      </c>
      <c r="AF740" s="378"/>
      <c r="AG740" s="70">
        <v>14505</v>
      </c>
      <c r="AH740" s="70">
        <v>14505</v>
      </c>
      <c r="AI740" s="70">
        <v>0</v>
      </c>
      <c r="AJ740" s="417">
        <v>0</v>
      </c>
      <c r="AK740" s="417">
        <v>0</v>
      </c>
      <c r="AL740" s="378">
        <v>1.1800000000000001E-5</v>
      </c>
      <c r="AM740" s="378"/>
      <c r="AN740" s="70">
        <v>-16947.679825000007</v>
      </c>
      <c r="AO740" s="70">
        <v>-2518.6798250000065</v>
      </c>
      <c r="AP740" s="70">
        <v>-2518.6798250000065</v>
      </c>
      <c r="AQ740" s="417">
        <v>0</v>
      </c>
      <c r="AR740" s="417">
        <v>0</v>
      </c>
    </row>
    <row r="741" spans="1:44">
      <c r="A741" s="439">
        <v>98041</v>
      </c>
      <c r="B741" s="440" t="s">
        <v>1448</v>
      </c>
      <c r="C741" s="437">
        <v>2.1680000000000001E-4</v>
      </c>
      <c r="D741" s="441"/>
      <c r="E741" s="438">
        <v>165495.53120000006</v>
      </c>
      <c r="F741" s="442">
        <v>149931.27680000002</v>
      </c>
      <c r="G741" s="442">
        <v>30375.24000000002</v>
      </c>
      <c r="H741" s="442">
        <v>192584.95760000002</v>
      </c>
      <c r="I741" s="442">
        <v>0</v>
      </c>
      <c r="J741" s="443">
        <v>5.5972000000000001E-3</v>
      </c>
      <c r="K741" s="443"/>
      <c r="L741" s="444">
        <v>34932.333600000005</v>
      </c>
      <c r="M741" s="444">
        <v>14323.3256</v>
      </c>
      <c r="N741" s="444">
        <v>-1722.0424</v>
      </c>
      <c r="O741" s="444">
        <v>0</v>
      </c>
      <c r="P741" s="417">
        <v>0</v>
      </c>
      <c r="Q741" s="378">
        <v>5.5972000000000001E-3</v>
      </c>
      <c r="R741" s="378"/>
      <c r="S741" s="70">
        <v>84932.050400000007</v>
      </c>
      <c r="T741" s="105">
        <v>79491.237600000008</v>
      </c>
      <c r="U741" s="70">
        <v>47226.411200000002</v>
      </c>
      <c r="V741" s="70">
        <v>192584.95760000002</v>
      </c>
      <c r="W741" s="417">
        <v>0</v>
      </c>
      <c r="X741" s="378">
        <v>5.5972000000000001E-3</v>
      </c>
      <c r="Z741" s="70">
        <v>61017.276000000005</v>
      </c>
      <c r="AA741" s="70">
        <v>61016.842400000001</v>
      </c>
      <c r="AB741" s="70">
        <v>0</v>
      </c>
      <c r="AC741" s="417">
        <v>0</v>
      </c>
      <c r="AD741" s="417">
        <v>0</v>
      </c>
      <c r="AE741" s="378">
        <v>5.5972000000000001E-3</v>
      </c>
      <c r="AF741" s="378"/>
      <c r="AG741" s="70">
        <v>10229</v>
      </c>
      <c r="AH741" s="70">
        <v>10229</v>
      </c>
      <c r="AI741" s="70">
        <v>0</v>
      </c>
      <c r="AJ741" s="417">
        <v>0</v>
      </c>
      <c r="AK741" s="417">
        <v>0</v>
      </c>
      <c r="AL741" s="378">
        <v>5.5972000000000001E-3</v>
      </c>
      <c r="AM741" s="378"/>
      <c r="AN741" s="70">
        <v>-25615.128799999984</v>
      </c>
      <c r="AO741" s="70">
        <v>-15129.128799999984</v>
      </c>
      <c r="AP741" s="70">
        <v>-15129.128799999984</v>
      </c>
      <c r="AQ741" s="417">
        <v>0</v>
      </c>
      <c r="AR741" s="417">
        <v>0</v>
      </c>
    </row>
    <row r="742" spans="1:44">
      <c r="A742" s="439">
        <v>98051</v>
      </c>
      <c r="B742" s="440" t="s">
        <v>1449</v>
      </c>
      <c r="C742" s="437">
        <v>3.3930000000000001E-4</v>
      </c>
      <c r="D742" s="441"/>
      <c r="E742" s="438">
        <v>312970.17507500004</v>
      </c>
      <c r="F742" s="442">
        <v>292064.56567500002</v>
      </c>
      <c r="G742" s="442">
        <v>110799.71887499998</v>
      </c>
      <c r="H742" s="442">
        <v>301402.56510000001</v>
      </c>
      <c r="I742" s="442">
        <v>0</v>
      </c>
      <c r="J742" s="443">
        <v>5.5999999999999997E-6</v>
      </c>
      <c r="K742" s="443"/>
      <c r="L742" s="444">
        <v>54670.391100000001</v>
      </c>
      <c r="M742" s="444">
        <v>22416.533100000001</v>
      </c>
      <c r="N742" s="444">
        <v>-2695.0599000000002</v>
      </c>
      <c r="O742" s="444">
        <v>0</v>
      </c>
      <c r="P742" s="417">
        <v>0</v>
      </c>
      <c r="Q742" s="378">
        <v>5.5999999999999997E-6</v>
      </c>
      <c r="R742" s="378"/>
      <c r="S742" s="70">
        <v>132921.7929</v>
      </c>
      <c r="T742" s="105">
        <v>124406.72010000001</v>
      </c>
      <c r="U742" s="70">
        <v>73911.076199999996</v>
      </c>
      <c r="V742" s="70">
        <v>301402.56510000001</v>
      </c>
      <c r="W742" s="417">
        <v>0</v>
      </c>
      <c r="X742" s="378">
        <v>5.5999999999999997E-6</v>
      </c>
      <c r="Z742" s="70">
        <v>95494.288499999995</v>
      </c>
      <c r="AA742" s="70">
        <v>95493.609899999996</v>
      </c>
      <c r="AB742" s="70">
        <v>0</v>
      </c>
      <c r="AC742" s="417">
        <v>0</v>
      </c>
      <c r="AD742" s="417">
        <v>0</v>
      </c>
      <c r="AE742" s="378">
        <v>5.5999999999999997E-6</v>
      </c>
      <c r="AF742" s="378"/>
      <c r="AG742" s="70">
        <v>54141.702574999988</v>
      </c>
      <c r="AH742" s="70">
        <v>49747.702574999988</v>
      </c>
      <c r="AI742" s="70">
        <v>39583.702574999988</v>
      </c>
      <c r="AJ742" s="417">
        <v>0</v>
      </c>
      <c r="AK742" s="417">
        <v>0</v>
      </c>
      <c r="AL742" s="378">
        <v>5.5999999999999997E-6</v>
      </c>
      <c r="AM742" s="378"/>
      <c r="AN742" s="70">
        <v>-24258</v>
      </c>
      <c r="AO742" s="70">
        <v>0</v>
      </c>
      <c r="AP742" s="70">
        <v>0</v>
      </c>
      <c r="AQ742" s="417">
        <v>0</v>
      </c>
      <c r="AR742" s="417">
        <v>0</v>
      </c>
    </row>
    <row r="743" spans="1:44">
      <c r="A743" s="439">
        <v>98061</v>
      </c>
      <c r="B743" s="440" t="s">
        <v>1450</v>
      </c>
      <c r="C743" s="437">
        <v>1.325E-4</v>
      </c>
      <c r="D743" s="441"/>
      <c r="E743" s="438">
        <v>106925.194575</v>
      </c>
      <c r="F743" s="442">
        <v>95002.259575000004</v>
      </c>
      <c r="G743" s="442">
        <v>32054.689575000004</v>
      </c>
      <c r="H743" s="442">
        <v>117700.67749999999</v>
      </c>
      <c r="I743" s="442">
        <v>0</v>
      </c>
      <c r="J743" s="443">
        <v>8.2000000000000001E-5</v>
      </c>
      <c r="K743" s="443"/>
      <c r="L743" s="444">
        <v>21349.327499999999</v>
      </c>
      <c r="M743" s="444">
        <v>8753.8775000000005</v>
      </c>
      <c r="N743" s="444">
        <v>-1052.4475</v>
      </c>
      <c r="O743" s="444">
        <v>0</v>
      </c>
      <c r="P743" s="417">
        <v>0</v>
      </c>
      <c r="Q743" s="378">
        <v>8.2000000000000001E-5</v>
      </c>
      <c r="R743" s="378"/>
      <c r="S743" s="70">
        <v>51907.272499999999</v>
      </c>
      <c r="T743" s="105">
        <v>48582.052499999998</v>
      </c>
      <c r="U743" s="70">
        <v>28863.004999999997</v>
      </c>
      <c r="V743" s="70">
        <v>117700.67749999999</v>
      </c>
      <c r="W743" s="417">
        <v>0</v>
      </c>
      <c r="X743" s="378">
        <v>8.2000000000000001E-5</v>
      </c>
      <c r="Z743" s="70">
        <v>37291.462500000001</v>
      </c>
      <c r="AA743" s="70">
        <v>37291.197500000002</v>
      </c>
      <c r="AB743" s="70">
        <v>0</v>
      </c>
      <c r="AC743" s="417">
        <v>0</v>
      </c>
      <c r="AD743" s="417">
        <v>0</v>
      </c>
      <c r="AE743" s="378">
        <v>8.2000000000000001E-5</v>
      </c>
      <c r="AF743" s="378"/>
      <c r="AG743" s="70">
        <v>4264.132075000005</v>
      </c>
      <c r="AH743" s="70">
        <v>4244.132075000005</v>
      </c>
      <c r="AI743" s="70">
        <v>4244.132075000005</v>
      </c>
      <c r="AJ743" s="417">
        <v>0</v>
      </c>
      <c r="AK743" s="417">
        <v>0</v>
      </c>
      <c r="AL743" s="378">
        <v>8.2000000000000001E-5</v>
      </c>
      <c r="AM743" s="378"/>
      <c r="AN743" s="70">
        <v>-7887</v>
      </c>
      <c r="AO743" s="70">
        <v>-3869</v>
      </c>
      <c r="AP743" s="70">
        <v>0</v>
      </c>
      <c r="AQ743" s="417">
        <v>0</v>
      </c>
      <c r="AR743" s="417">
        <v>0</v>
      </c>
    </row>
    <row r="744" spans="1:44">
      <c r="A744" s="439">
        <v>98071</v>
      </c>
      <c r="B744" s="440" t="s">
        <v>1451</v>
      </c>
      <c r="C744" s="437">
        <v>6.58E-5</v>
      </c>
      <c r="D744" s="441"/>
      <c r="E744" s="438">
        <v>73948.828849999991</v>
      </c>
      <c r="F744" s="442">
        <v>56201.43245</v>
      </c>
      <c r="G744" s="442">
        <v>14027.071649999993</v>
      </c>
      <c r="H744" s="442">
        <v>58450.600599999998</v>
      </c>
      <c r="I744" s="442">
        <v>0</v>
      </c>
      <c r="J744" s="443">
        <v>1.74E-4</v>
      </c>
      <c r="K744" s="443"/>
      <c r="L744" s="444">
        <v>10602.1566</v>
      </c>
      <c r="M744" s="444">
        <v>4347.2085999999999</v>
      </c>
      <c r="N744" s="444">
        <v>-522.64940000000001</v>
      </c>
      <c r="O744" s="444">
        <v>0</v>
      </c>
      <c r="P744" s="417">
        <v>0</v>
      </c>
      <c r="Q744" s="378">
        <v>1.74E-4</v>
      </c>
      <c r="R744" s="378"/>
      <c r="S744" s="70">
        <v>25777.347399999999</v>
      </c>
      <c r="T744" s="105">
        <v>24126.030600000002</v>
      </c>
      <c r="U744" s="70">
        <v>14333.477199999999</v>
      </c>
      <c r="V744" s="70">
        <v>58450.600599999998</v>
      </c>
      <c r="W744" s="417">
        <v>0</v>
      </c>
      <c r="X744" s="378">
        <v>1.74E-4</v>
      </c>
      <c r="Z744" s="70">
        <v>18519.080999999998</v>
      </c>
      <c r="AA744" s="70">
        <v>18518.949400000001</v>
      </c>
      <c r="AB744" s="70">
        <v>0</v>
      </c>
      <c r="AC744" s="417">
        <v>0</v>
      </c>
      <c r="AD744" s="417">
        <v>0</v>
      </c>
      <c r="AE744" s="378">
        <v>1.74E-4</v>
      </c>
      <c r="AF744" s="378"/>
      <c r="AG744" s="70">
        <v>19050.243849999992</v>
      </c>
      <c r="AH744" s="70">
        <v>9209.2438499999935</v>
      </c>
      <c r="AI744" s="70">
        <v>216.24384999999347</v>
      </c>
      <c r="AJ744" s="417">
        <v>0</v>
      </c>
      <c r="AK744" s="417">
        <v>0</v>
      </c>
      <c r="AL744" s="378">
        <v>1.74E-4</v>
      </c>
      <c r="AM744" s="378"/>
      <c r="AN744" s="70">
        <v>0</v>
      </c>
      <c r="AO744" s="70">
        <v>0</v>
      </c>
      <c r="AP744" s="70">
        <v>0</v>
      </c>
      <c r="AQ744" s="417">
        <v>0</v>
      </c>
      <c r="AR744" s="417">
        <v>0</v>
      </c>
    </row>
    <row r="745" spans="1:44">
      <c r="A745" s="439">
        <v>98081</v>
      </c>
      <c r="B745" s="440" t="s">
        <v>1452</v>
      </c>
      <c r="C745" s="437">
        <v>1.33E-5</v>
      </c>
      <c r="D745" s="441"/>
      <c r="E745" s="438">
        <v>10248.255424999999</v>
      </c>
      <c r="F745" s="442">
        <v>9290.1540249999998</v>
      </c>
      <c r="G745" s="442">
        <v>2509.2832249999992</v>
      </c>
      <c r="H745" s="442">
        <v>11814.483099999999</v>
      </c>
      <c r="I745" s="442">
        <v>0</v>
      </c>
      <c r="J745" s="443">
        <v>6.9E-6</v>
      </c>
      <c r="K745" s="443"/>
      <c r="L745" s="444">
        <v>2142.9890999999998</v>
      </c>
      <c r="M745" s="444">
        <v>878.69110000000001</v>
      </c>
      <c r="N745" s="444">
        <v>-105.64189999999999</v>
      </c>
      <c r="O745" s="444">
        <v>0</v>
      </c>
      <c r="P745" s="417">
        <v>0</v>
      </c>
      <c r="Q745" s="378">
        <v>6.9E-6</v>
      </c>
      <c r="R745" s="378"/>
      <c r="S745" s="70">
        <v>5210.3149000000003</v>
      </c>
      <c r="T745" s="105">
        <v>4876.5380999999998</v>
      </c>
      <c r="U745" s="70">
        <v>2897.1922</v>
      </c>
      <c r="V745" s="70">
        <v>11814.483099999999</v>
      </c>
      <c r="W745" s="417">
        <v>0</v>
      </c>
      <c r="X745" s="378">
        <v>6.9E-6</v>
      </c>
      <c r="Z745" s="70">
        <v>3743.2184999999999</v>
      </c>
      <c r="AA745" s="70">
        <v>3743.1918999999998</v>
      </c>
      <c r="AB745" s="70">
        <v>0</v>
      </c>
      <c r="AC745" s="417">
        <v>0</v>
      </c>
      <c r="AD745" s="417">
        <v>0</v>
      </c>
      <c r="AE745" s="378">
        <v>6.9E-6</v>
      </c>
      <c r="AF745" s="378"/>
      <c r="AG745" s="70">
        <v>74</v>
      </c>
      <c r="AH745" s="70">
        <v>74</v>
      </c>
      <c r="AI745" s="70">
        <v>0</v>
      </c>
      <c r="AJ745" s="417">
        <v>0</v>
      </c>
      <c r="AK745" s="417">
        <v>0</v>
      </c>
      <c r="AL745" s="378">
        <v>6.9E-6</v>
      </c>
      <c r="AM745" s="378"/>
      <c r="AN745" s="70">
        <v>-922.26707500000066</v>
      </c>
      <c r="AO745" s="70">
        <v>-282.26707500000066</v>
      </c>
      <c r="AP745" s="70">
        <v>-282.26707500000066</v>
      </c>
      <c r="AQ745" s="417">
        <v>0</v>
      </c>
      <c r="AR745" s="417">
        <v>0</v>
      </c>
    </row>
    <row r="746" spans="1:44">
      <c r="A746" s="439">
        <v>98091</v>
      </c>
      <c r="B746" s="440" t="s">
        <v>1453</v>
      </c>
      <c r="C746" s="437">
        <v>5.5999999999999999E-5</v>
      </c>
      <c r="D746" s="441"/>
      <c r="E746" s="438">
        <v>48132.373999999996</v>
      </c>
      <c r="F746" s="442">
        <v>46868.525999999998</v>
      </c>
      <c r="G746" s="442">
        <v>17469.070000000003</v>
      </c>
      <c r="H746" s="442">
        <v>49745.192000000003</v>
      </c>
      <c r="I746" s="442">
        <v>0</v>
      </c>
      <c r="J746" s="443">
        <v>3.2637999999999999E-3</v>
      </c>
      <c r="K746" s="443"/>
      <c r="L746" s="444">
        <v>9023.1119999999992</v>
      </c>
      <c r="M746" s="444">
        <v>3699.752</v>
      </c>
      <c r="N746" s="444">
        <v>-444.80799999999999</v>
      </c>
      <c r="O746" s="444">
        <v>0</v>
      </c>
      <c r="P746" s="417">
        <v>0</v>
      </c>
      <c r="Q746" s="378">
        <v>3.2637999999999999E-3</v>
      </c>
      <c r="R746" s="378"/>
      <c r="S746" s="70">
        <v>21938.168000000001</v>
      </c>
      <c r="T746" s="105">
        <v>20532.792000000001</v>
      </c>
      <c r="U746" s="70">
        <v>12198.704</v>
      </c>
      <c r="V746" s="70">
        <v>49745.192000000003</v>
      </c>
      <c r="W746" s="417">
        <v>0</v>
      </c>
      <c r="X746" s="378">
        <v>3.2637999999999999E-3</v>
      </c>
      <c r="Z746" s="70">
        <v>15760.92</v>
      </c>
      <c r="AA746" s="70">
        <v>15760.807999999999</v>
      </c>
      <c r="AB746" s="70">
        <v>0</v>
      </c>
      <c r="AC746" s="417">
        <v>0</v>
      </c>
      <c r="AD746" s="417">
        <v>0</v>
      </c>
      <c r="AE746" s="378">
        <v>3.2637999999999999E-3</v>
      </c>
      <c r="AF746" s="378"/>
      <c r="AG746" s="70">
        <v>8692.1740000000027</v>
      </c>
      <c r="AH746" s="70">
        <v>6875.1740000000027</v>
      </c>
      <c r="AI746" s="70">
        <v>5715.1740000000027</v>
      </c>
      <c r="AJ746" s="417">
        <v>0</v>
      </c>
      <c r="AK746" s="417">
        <v>0</v>
      </c>
      <c r="AL746" s="378">
        <v>3.2637999999999999E-3</v>
      </c>
      <c r="AM746" s="378"/>
      <c r="AN746" s="70">
        <v>-7282</v>
      </c>
      <c r="AO746" s="70">
        <v>0</v>
      </c>
      <c r="AP746" s="70">
        <v>0</v>
      </c>
      <c r="AQ746" s="417">
        <v>0</v>
      </c>
      <c r="AR746" s="417">
        <v>0</v>
      </c>
    </row>
    <row r="747" spans="1:44">
      <c r="A747" s="439">
        <v>98101</v>
      </c>
      <c r="B747" s="440" t="s">
        <v>1454</v>
      </c>
      <c r="C747" s="437">
        <v>2.6955E-3</v>
      </c>
      <c r="D747" s="441"/>
      <c r="E747" s="438">
        <v>2205531.2635249998</v>
      </c>
      <c r="F747" s="442">
        <v>1837750.3745249999</v>
      </c>
      <c r="G747" s="442">
        <v>519158.41652499989</v>
      </c>
      <c r="H747" s="442">
        <v>2394431.5184999998</v>
      </c>
      <c r="I747" s="442">
        <v>0</v>
      </c>
      <c r="J747" s="443">
        <v>1.3109999999999999E-4</v>
      </c>
      <c r="K747" s="443"/>
      <c r="L747" s="444">
        <v>434317.8285</v>
      </c>
      <c r="M747" s="444">
        <v>178083.59849999999</v>
      </c>
      <c r="N747" s="444">
        <v>-21410.356499999998</v>
      </c>
      <c r="O747" s="444">
        <v>0</v>
      </c>
      <c r="P747" s="417">
        <v>0</v>
      </c>
      <c r="Q747" s="378">
        <v>1.3109999999999999E-4</v>
      </c>
      <c r="R747" s="378"/>
      <c r="S747" s="70">
        <v>1055970.2115</v>
      </c>
      <c r="T747" s="105">
        <v>988323.94349999994</v>
      </c>
      <c r="U747" s="70">
        <v>587171.54700000002</v>
      </c>
      <c r="V747" s="70">
        <v>2394431.5184999998</v>
      </c>
      <c r="W747" s="417">
        <v>0</v>
      </c>
      <c r="X747" s="378">
        <v>1.3109999999999999E-4</v>
      </c>
      <c r="Z747" s="70">
        <v>758634.99749999994</v>
      </c>
      <c r="AA747" s="70">
        <v>758629.60649999999</v>
      </c>
      <c r="AB747" s="70">
        <v>0</v>
      </c>
      <c r="AC747" s="417">
        <v>0</v>
      </c>
      <c r="AD747" s="417">
        <v>0</v>
      </c>
      <c r="AE747" s="378">
        <v>1.3109999999999999E-4</v>
      </c>
      <c r="AF747" s="378"/>
      <c r="AG747" s="70">
        <v>43895</v>
      </c>
      <c r="AH747" s="70">
        <v>0</v>
      </c>
      <c r="AI747" s="70">
        <v>0</v>
      </c>
      <c r="AJ747" s="417">
        <v>0</v>
      </c>
      <c r="AK747" s="417">
        <v>0</v>
      </c>
      <c r="AL747" s="378">
        <v>1.3109999999999999E-4</v>
      </c>
      <c r="AM747" s="378"/>
      <c r="AN747" s="70">
        <v>-87286.773975000135</v>
      </c>
      <c r="AO747" s="70">
        <v>-87286.773975000135</v>
      </c>
      <c r="AP747" s="70">
        <v>-46602.773975000135</v>
      </c>
      <c r="AQ747" s="417">
        <v>0</v>
      </c>
      <c r="AR747" s="417">
        <v>0</v>
      </c>
    </row>
    <row r="748" spans="1:44">
      <c r="A748" s="439">
        <v>98102</v>
      </c>
      <c r="B748" s="440" t="s">
        <v>1455</v>
      </c>
      <c r="C748" s="437">
        <v>1.7530000000000001E-4</v>
      </c>
      <c r="D748" s="441"/>
      <c r="E748" s="438">
        <v>162947.03372499999</v>
      </c>
      <c r="F748" s="442">
        <v>140823.33632500001</v>
      </c>
      <c r="G748" s="442">
        <v>54416.753524999993</v>
      </c>
      <c r="H748" s="442">
        <v>155720.21710000001</v>
      </c>
      <c r="I748" s="442">
        <v>0</v>
      </c>
      <c r="J748" s="443">
        <v>3.8399999999999998E-5</v>
      </c>
      <c r="K748" s="443"/>
      <c r="L748" s="444">
        <v>28245.563099999999</v>
      </c>
      <c r="M748" s="444">
        <v>11581.545100000001</v>
      </c>
      <c r="N748" s="444">
        <v>-1392.4079000000002</v>
      </c>
      <c r="O748" s="444">
        <v>0</v>
      </c>
      <c r="P748" s="417">
        <v>0</v>
      </c>
      <c r="Q748" s="378">
        <v>3.8399999999999998E-5</v>
      </c>
      <c r="R748" s="378"/>
      <c r="S748" s="70">
        <v>68674.300900000002</v>
      </c>
      <c r="T748" s="105">
        <v>64274.972099999999</v>
      </c>
      <c r="U748" s="70">
        <v>38186.300199999998</v>
      </c>
      <c r="V748" s="70">
        <v>155720.21710000001</v>
      </c>
      <c r="W748" s="417">
        <v>0</v>
      </c>
      <c r="X748" s="378">
        <v>3.8399999999999998E-5</v>
      </c>
      <c r="Z748" s="70">
        <v>49337.308499999999</v>
      </c>
      <c r="AA748" s="70">
        <v>49336.957900000001</v>
      </c>
      <c r="AB748" s="70">
        <v>0</v>
      </c>
      <c r="AC748" s="417">
        <v>0</v>
      </c>
      <c r="AD748" s="417">
        <v>0</v>
      </c>
      <c r="AE748" s="378">
        <v>3.8399999999999998E-5</v>
      </c>
      <c r="AF748" s="378"/>
      <c r="AG748" s="70">
        <v>19822.861224999993</v>
      </c>
      <c r="AH748" s="70">
        <v>17622.861224999993</v>
      </c>
      <c r="AI748" s="70">
        <v>17622.861224999993</v>
      </c>
      <c r="AJ748" s="417">
        <v>0</v>
      </c>
      <c r="AK748" s="417">
        <v>0</v>
      </c>
      <c r="AL748" s="378">
        <v>3.8399999999999998E-5</v>
      </c>
      <c r="AM748" s="378"/>
      <c r="AN748" s="70">
        <v>-3133</v>
      </c>
      <c r="AO748" s="70">
        <v>-1993</v>
      </c>
      <c r="AP748" s="70">
        <v>0</v>
      </c>
      <c r="AQ748" s="417">
        <v>0</v>
      </c>
      <c r="AR748" s="417">
        <v>0</v>
      </c>
    </row>
    <row r="749" spans="1:44">
      <c r="A749" s="439">
        <v>98103</v>
      </c>
      <c r="B749" s="440" t="s">
        <v>3725</v>
      </c>
      <c r="C749" s="437">
        <v>4.9739999999999995E-4</v>
      </c>
      <c r="D749" s="441"/>
      <c r="E749" s="438">
        <v>407388.93254999997</v>
      </c>
      <c r="F749" s="442">
        <v>345165.34334999992</v>
      </c>
      <c r="G749" s="442">
        <v>100820.46094999996</v>
      </c>
      <c r="H749" s="442">
        <v>441843.90179999993</v>
      </c>
      <c r="I749" s="442">
        <v>0</v>
      </c>
      <c r="J749" s="443">
        <v>6.3999999999999997E-6</v>
      </c>
      <c r="K749" s="443"/>
      <c r="L749" s="444">
        <v>80144.569799999997</v>
      </c>
      <c r="M749" s="444">
        <v>32861.725799999993</v>
      </c>
      <c r="N749" s="444">
        <v>-3950.8481999999995</v>
      </c>
      <c r="O749" s="444">
        <v>0</v>
      </c>
      <c r="P749" s="417">
        <v>0</v>
      </c>
      <c r="Q749" s="378">
        <v>6.3999999999999997E-6</v>
      </c>
      <c r="R749" s="378"/>
      <c r="S749" s="70">
        <v>194857.94219999999</v>
      </c>
      <c r="T749" s="105">
        <v>182375.19179999997</v>
      </c>
      <c r="U749" s="70">
        <v>108350.63159999999</v>
      </c>
      <c r="V749" s="70">
        <v>441843.90179999993</v>
      </c>
      <c r="W749" s="417">
        <v>0</v>
      </c>
      <c r="X749" s="378">
        <v>6.3999999999999997E-6</v>
      </c>
      <c r="Z749" s="70">
        <v>139990.74299999999</v>
      </c>
      <c r="AA749" s="70">
        <v>139989.74819999997</v>
      </c>
      <c r="AB749" s="70">
        <v>0</v>
      </c>
      <c r="AC749" s="417">
        <v>0</v>
      </c>
      <c r="AD749" s="417">
        <v>0</v>
      </c>
      <c r="AE749" s="378">
        <v>6.3999999999999997E-6</v>
      </c>
      <c r="AF749" s="378"/>
      <c r="AG749" s="70">
        <v>6516</v>
      </c>
      <c r="AH749" s="70">
        <v>0</v>
      </c>
      <c r="AI749" s="70">
        <v>0</v>
      </c>
      <c r="AJ749" s="417">
        <v>0</v>
      </c>
      <c r="AK749" s="417">
        <v>0</v>
      </c>
      <c r="AL749" s="378">
        <v>6.3999999999999997E-6</v>
      </c>
      <c r="AM749" s="378"/>
      <c r="AN749" s="70">
        <v>-14120.322450000036</v>
      </c>
      <c r="AO749" s="70">
        <v>-10061.322450000036</v>
      </c>
      <c r="AP749" s="70">
        <v>-3579.322450000036</v>
      </c>
      <c r="AQ749" s="417">
        <v>0</v>
      </c>
      <c r="AR749" s="417">
        <v>0</v>
      </c>
    </row>
    <row r="750" spans="1:44">
      <c r="A750" s="439">
        <v>98107</v>
      </c>
      <c r="B750" s="440" t="s">
        <v>1457</v>
      </c>
      <c r="C750" s="437">
        <v>1.9599999999999999E-5</v>
      </c>
      <c r="D750" s="441"/>
      <c r="E750" s="438">
        <v>28063.173449999995</v>
      </c>
      <c r="F750" s="442">
        <v>23138.076650000003</v>
      </c>
      <c r="G750" s="442">
        <v>2579.2670499999995</v>
      </c>
      <c r="H750" s="442">
        <v>17410.817199999998</v>
      </c>
      <c r="I750" s="442">
        <v>0</v>
      </c>
      <c r="J750" s="443">
        <v>1.563E-4</v>
      </c>
      <c r="K750" s="443"/>
      <c r="L750" s="444">
        <v>3158.0891999999999</v>
      </c>
      <c r="M750" s="444">
        <v>1294.9132</v>
      </c>
      <c r="N750" s="444">
        <v>-155.68279999999999</v>
      </c>
      <c r="O750" s="444">
        <v>0</v>
      </c>
      <c r="P750" s="417">
        <v>0</v>
      </c>
      <c r="Q750" s="378">
        <v>1.563E-4</v>
      </c>
      <c r="R750" s="378"/>
      <c r="S750" s="70">
        <v>7678.3587999999991</v>
      </c>
      <c r="T750" s="105">
        <v>7186.4771999999994</v>
      </c>
      <c r="U750" s="70">
        <v>4269.5463999999993</v>
      </c>
      <c r="V750" s="70">
        <v>17410.817199999998</v>
      </c>
      <c r="W750" s="417">
        <v>0</v>
      </c>
      <c r="X750" s="378">
        <v>1.563E-4</v>
      </c>
      <c r="Z750" s="70">
        <v>5516.3219999999992</v>
      </c>
      <c r="AA750" s="70">
        <v>5516.2828</v>
      </c>
      <c r="AB750" s="70">
        <v>0</v>
      </c>
      <c r="AC750" s="417">
        <v>0</v>
      </c>
      <c r="AD750" s="417">
        <v>0</v>
      </c>
      <c r="AE750" s="378">
        <v>1.563E-4</v>
      </c>
      <c r="AF750" s="378"/>
      <c r="AG750" s="70">
        <v>13245</v>
      </c>
      <c r="AH750" s="70">
        <v>10675</v>
      </c>
      <c r="AI750" s="70">
        <v>0</v>
      </c>
      <c r="AJ750" s="417">
        <v>0</v>
      </c>
      <c r="AK750" s="417">
        <v>0</v>
      </c>
      <c r="AL750" s="378">
        <v>1.563E-4</v>
      </c>
      <c r="AM750" s="378"/>
      <c r="AN750" s="70">
        <v>-1534.5965500000002</v>
      </c>
      <c r="AO750" s="70">
        <v>-1534.5965500000002</v>
      </c>
      <c r="AP750" s="70">
        <v>-1534.5965500000002</v>
      </c>
      <c r="AQ750" s="417">
        <v>0</v>
      </c>
      <c r="AR750" s="417">
        <v>0</v>
      </c>
    </row>
    <row r="751" spans="1:44">
      <c r="A751" s="439">
        <v>98109</v>
      </c>
      <c r="B751" s="440" t="s">
        <v>1458</v>
      </c>
      <c r="C751" s="437">
        <v>1.5799999999999999E-4</v>
      </c>
      <c r="D751" s="441"/>
      <c r="E751" s="438">
        <v>146486.59774999996</v>
      </c>
      <c r="F751" s="442">
        <v>122322.63374999998</v>
      </c>
      <c r="G751" s="442">
        <v>27074.025749999972</v>
      </c>
      <c r="H751" s="442">
        <v>140352.50599999999</v>
      </c>
      <c r="I751" s="442">
        <v>0</v>
      </c>
      <c r="J751" s="443">
        <v>2.4140000000000001E-4</v>
      </c>
      <c r="K751" s="443"/>
      <c r="L751" s="444">
        <v>25458.065999999999</v>
      </c>
      <c r="M751" s="444">
        <v>10438.585999999999</v>
      </c>
      <c r="N751" s="444">
        <v>-1254.9939999999999</v>
      </c>
      <c r="O751" s="444">
        <v>0</v>
      </c>
      <c r="P751" s="417">
        <v>0</v>
      </c>
      <c r="Q751" s="378">
        <v>2.4140000000000001E-4</v>
      </c>
      <c r="R751" s="378"/>
      <c r="S751" s="70">
        <v>61896.973999999995</v>
      </c>
      <c r="T751" s="105">
        <v>57931.805999999997</v>
      </c>
      <c r="U751" s="70">
        <v>34417.771999999997</v>
      </c>
      <c r="V751" s="70">
        <v>140352.50599999999</v>
      </c>
      <c r="W751" s="417">
        <v>0</v>
      </c>
      <c r="X751" s="378">
        <v>2.4140000000000001E-4</v>
      </c>
      <c r="Z751" s="70">
        <v>44468.31</v>
      </c>
      <c r="AA751" s="70">
        <v>44467.993999999999</v>
      </c>
      <c r="AB751" s="70">
        <v>0</v>
      </c>
      <c r="AC751" s="417">
        <v>0</v>
      </c>
      <c r="AD751" s="417">
        <v>0</v>
      </c>
      <c r="AE751" s="378">
        <v>2.4140000000000001E-4</v>
      </c>
      <c r="AF751" s="378"/>
      <c r="AG751" s="70">
        <v>21477</v>
      </c>
      <c r="AH751" s="70">
        <v>15573</v>
      </c>
      <c r="AI751" s="70">
        <v>0</v>
      </c>
      <c r="AJ751" s="417">
        <v>0</v>
      </c>
      <c r="AK751" s="417">
        <v>0</v>
      </c>
      <c r="AL751" s="378">
        <v>2.4140000000000001E-4</v>
      </c>
      <c r="AM751" s="378"/>
      <c r="AN751" s="70">
        <v>-6813.7522500000268</v>
      </c>
      <c r="AO751" s="70">
        <v>-6088.7522500000268</v>
      </c>
      <c r="AP751" s="70">
        <v>-6088.7522500000268</v>
      </c>
      <c r="AQ751" s="417">
        <v>0</v>
      </c>
      <c r="AR751" s="417">
        <v>0</v>
      </c>
    </row>
    <row r="752" spans="1:44">
      <c r="A752" s="439">
        <v>98111</v>
      </c>
      <c r="B752" s="440" t="s">
        <v>1459</v>
      </c>
      <c r="C752" s="437">
        <v>1.0039999999999999E-3</v>
      </c>
      <c r="D752" s="441"/>
      <c r="E752" s="438">
        <v>785885.89999999991</v>
      </c>
      <c r="F752" s="442">
        <v>697779.26799999992</v>
      </c>
      <c r="G752" s="442">
        <v>200162.1639999999</v>
      </c>
      <c r="H752" s="442">
        <v>891860.22799999989</v>
      </c>
      <c r="I752" s="442">
        <v>0</v>
      </c>
      <c r="J752" s="443">
        <v>2.499E-4</v>
      </c>
      <c r="K752" s="443"/>
      <c r="L752" s="444">
        <v>161771.50799999997</v>
      </c>
      <c r="M752" s="444">
        <v>66331.267999999996</v>
      </c>
      <c r="N752" s="444">
        <v>-7974.771999999999</v>
      </c>
      <c r="O752" s="444">
        <v>0</v>
      </c>
      <c r="P752" s="417">
        <v>0</v>
      </c>
      <c r="Q752" s="378">
        <v>2.499E-4</v>
      </c>
      <c r="R752" s="378"/>
      <c r="S752" s="70">
        <v>393320.01199999999</v>
      </c>
      <c r="T752" s="105">
        <v>368123.62799999997</v>
      </c>
      <c r="U752" s="70">
        <v>218705.33599999998</v>
      </c>
      <c r="V752" s="70">
        <v>891860.22799999989</v>
      </c>
      <c r="W752" s="417">
        <v>0</v>
      </c>
      <c r="X752" s="378">
        <v>2.499E-4</v>
      </c>
      <c r="Z752" s="70">
        <v>282570.77999999997</v>
      </c>
      <c r="AA752" s="70">
        <v>282568.772</v>
      </c>
      <c r="AB752" s="70">
        <v>0</v>
      </c>
      <c r="AC752" s="417">
        <v>0</v>
      </c>
      <c r="AD752" s="417">
        <v>0</v>
      </c>
      <c r="AE752" s="378">
        <v>2.499E-4</v>
      </c>
      <c r="AF752" s="378"/>
      <c r="AG752" s="70">
        <v>0</v>
      </c>
      <c r="AH752" s="70">
        <v>0</v>
      </c>
      <c r="AI752" s="70">
        <v>0</v>
      </c>
      <c r="AJ752" s="417">
        <v>0</v>
      </c>
      <c r="AK752" s="417">
        <v>0</v>
      </c>
      <c r="AL752" s="378">
        <v>2.499E-4</v>
      </c>
      <c r="AM752" s="378"/>
      <c r="AN752" s="70">
        <v>-51776.400000000081</v>
      </c>
      <c r="AO752" s="70">
        <v>-19244.400000000081</v>
      </c>
      <c r="AP752" s="70">
        <v>-10568.400000000081</v>
      </c>
      <c r="AQ752" s="417">
        <v>0</v>
      </c>
      <c r="AR752" s="417">
        <v>0</v>
      </c>
    </row>
    <row r="753" spans="1:44">
      <c r="A753" s="439">
        <v>98113</v>
      </c>
      <c r="B753" s="440" t="s">
        <v>1460</v>
      </c>
      <c r="C753" s="437">
        <v>2.62E-5</v>
      </c>
      <c r="D753" s="441"/>
      <c r="E753" s="438">
        <v>26481.974300000002</v>
      </c>
      <c r="F753" s="442">
        <v>21768.834700000003</v>
      </c>
      <c r="G753" s="442">
        <v>3979.8035000000036</v>
      </c>
      <c r="H753" s="442">
        <v>23273.643400000001</v>
      </c>
      <c r="I753" s="442">
        <v>0</v>
      </c>
      <c r="J753" s="443">
        <v>1.2410000000000001E-4</v>
      </c>
      <c r="K753" s="443"/>
      <c r="L753" s="444">
        <v>4221.5273999999999</v>
      </c>
      <c r="M753" s="444">
        <v>1730.9554000000001</v>
      </c>
      <c r="N753" s="444">
        <v>-208.10659999999999</v>
      </c>
      <c r="O753" s="444">
        <v>0</v>
      </c>
      <c r="P753" s="417">
        <v>0</v>
      </c>
      <c r="Q753" s="378">
        <v>1.2410000000000001E-4</v>
      </c>
      <c r="R753" s="378"/>
      <c r="S753" s="70">
        <v>10263.928599999999</v>
      </c>
      <c r="T753" s="105">
        <v>9606.4133999999995</v>
      </c>
      <c r="U753" s="70">
        <v>5707.2507999999998</v>
      </c>
      <c r="V753" s="70">
        <v>23273.643400000001</v>
      </c>
      <c r="W753" s="417">
        <v>0</v>
      </c>
      <c r="X753" s="378">
        <v>1.2410000000000001E-4</v>
      </c>
      <c r="Z753" s="70">
        <v>7373.8590000000004</v>
      </c>
      <c r="AA753" s="70">
        <v>7373.8065999999999</v>
      </c>
      <c r="AB753" s="70">
        <v>0</v>
      </c>
      <c r="AC753" s="417">
        <v>0</v>
      </c>
      <c r="AD753" s="417">
        <v>0</v>
      </c>
      <c r="AE753" s="378">
        <v>1.2410000000000001E-4</v>
      </c>
      <c r="AF753" s="378"/>
      <c r="AG753" s="70">
        <v>6142</v>
      </c>
      <c r="AH753" s="70">
        <v>4577</v>
      </c>
      <c r="AI753" s="70">
        <v>0</v>
      </c>
      <c r="AJ753" s="417">
        <v>0</v>
      </c>
      <c r="AK753" s="417">
        <v>0</v>
      </c>
      <c r="AL753" s="378">
        <v>1.2410000000000001E-4</v>
      </c>
      <c r="AM753" s="378"/>
      <c r="AN753" s="70">
        <v>-1519.3406999999961</v>
      </c>
      <c r="AO753" s="70">
        <v>-1519.3406999999961</v>
      </c>
      <c r="AP753" s="70">
        <v>-1519.3406999999961</v>
      </c>
      <c r="AQ753" s="417">
        <v>0</v>
      </c>
      <c r="AR753" s="417">
        <v>0</v>
      </c>
    </row>
    <row r="754" spans="1:44">
      <c r="A754" s="439">
        <v>98121</v>
      </c>
      <c r="B754" s="440" t="s">
        <v>1461</v>
      </c>
      <c r="C754" s="437">
        <v>2.0340000000000001E-4</v>
      </c>
      <c r="D754" s="441"/>
      <c r="E754" s="438">
        <v>171998.78045000002</v>
      </c>
      <c r="F754" s="442">
        <v>152446.64325000002</v>
      </c>
      <c r="G754" s="442">
        <v>46617.904849999992</v>
      </c>
      <c r="H754" s="442">
        <v>180681.64380000002</v>
      </c>
      <c r="I754" s="442">
        <v>0</v>
      </c>
      <c r="J754" s="443">
        <v>6.6600000000000006E-5</v>
      </c>
      <c r="K754" s="443"/>
      <c r="L754" s="444">
        <v>32773.231800000001</v>
      </c>
      <c r="M754" s="444">
        <v>13438.0278</v>
      </c>
      <c r="N754" s="444">
        <v>-1615.6062000000002</v>
      </c>
      <c r="O754" s="444">
        <v>0</v>
      </c>
      <c r="P754" s="417">
        <v>0</v>
      </c>
      <c r="Q754" s="378">
        <v>6.6600000000000006E-5</v>
      </c>
      <c r="R754" s="378"/>
      <c r="S754" s="70">
        <v>79682.560200000007</v>
      </c>
      <c r="T754" s="105">
        <v>74578.033800000005</v>
      </c>
      <c r="U754" s="70">
        <v>44307.435600000004</v>
      </c>
      <c r="V754" s="70">
        <v>180681.64380000002</v>
      </c>
      <c r="W754" s="417">
        <v>0</v>
      </c>
      <c r="X754" s="378">
        <v>6.6600000000000006E-5</v>
      </c>
      <c r="Z754" s="70">
        <v>57245.913</v>
      </c>
      <c r="AA754" s="70">
        <v>57245.506200000003</v>
      </c>
      <c r="AB754" s="70">
        <v>0</v>
      </c>
      <c r="AC754" s="417">
        <v>0</v>
      </c>
      <c r="AD754" s="417">
        <v>0</v>
      </c>
      <c r="AE754" s="378">
        <v>6.6600000000000006E-5</v>
      </c>
      <c r="AF754" s="378"/>
      <c r="AG754" s="70">
        <v>7185.0754499999894</v>
      </c>
      <c r="AH754" s="70">
        <v>7185.0754499999894</v>
      </c>
      <c r="AI754" s="70">
        <v>3926.0754499999894</v>
      </c>
      <c r="AJ754" s="417">
        <v>0</v>
      </c>
      <c r="AK754" s="417">
        <v>0</v>
      </c>
      <c r="AL754" s="378">
        <v>6.6600000000000006E-5</v>
      </c>
      <c r="AM754" s="378"/>
      <c r="AN754" s="70">
        <v>-4888</v>
      </c>
      <c r="AO754" s="70">
        <v>0</v>
      </c>
      <c r="AP754" s="70">
        <v>0</v>
      </c>
      <c r="AQ754" s="417">
        <v>0</v>
      </c>
      <c r="AR754" s="417">
        <v>0</v>
      </c>
    </row>
    <row r="755" spans="1:44">
      <c r="A755" s="439">
        <v>98131</v>
      </c>
      <c r="B755" s="440" t="s">
        <v>1462</v>
      </c>
      <c r="C755" s="437">
        <v>2.2719999999999999E-4</v>
      </c>
      <c r="D755" s="441"/>
      <c r="E755" s="438">
        <v>190977.17020000002</v>
      </c>
      <c r="F755" s="442">
        <v>153931.2726</v>
      </c>
      <c r="G755" s="442">
        <v>34092.765400000004</v>
      </c>
      <c r="H755" s="442">
        <v>201823.3504</v>
      </c>
      <c r="I755" s="442">
        <v>0</v>
      </c>
      <c r="J755" s="443">
        <v>1.42E-5</v>
      </c>
      <c r="K755" s="443"/>
      <c r="L755" s="444">
        <v>36608.054400000001</v>
      </c>
      <c r="M755" s="444">
        <v>15010.422399999999</v>
      </c>
      <c r="N755" s="444">
        <v>-1804.6496</v>
      </c>
      <c r="O755" s="444">
        <v>0</v>
      </c>
      <c r="P755" s="417">
        <v>0</v>
      </c>
      <c r="Q755" s="378">
        <v>1.42E-5</v>
      </c>
      <c r="R755" s="378"/>
      <c r="S755" s="70">
        <v>89006.281600000002</v>
      </c>
      <c r="T755" s="105">
        <v>83304.470399999991</v>
      </c>
      <c r="U755" s="70">
        <v>49491.8848</v>
      </c>
      <c r="V755" s="70">
        <v>201823.3504</v>
      </c>
      <c r="W755" s="417">
        <v>0</v>
      </c>
      <c r="X755" s="378">
        <v>1.42E-5</v>
      </c>
      <c r="Z755" s="70">
        <v>63944.303999999996</v>
      </c>
      <c r="AA755" s="70">
        <v>63943.849600000001</v>
      </c>
      <c r="AB755" s="70">
        <v>0</v>
      </c>
      <c r="AC755" s="417">
        <v>0</v>
      </c>
      <c r="AD755" s="417">
        <v>0</v>
      </c>
      <c r="AE755" s="378">
        <v>1.42E-5</v>
      </c>
      <c r="AF755" s="378"/>
      <c r="AG755" s="70">
        <v>15013</v>
      </c>
      <c r="AH755" s="70">
        <v>5267</v>
      </c>
      <c r="AI755" s="70">
        <v>0</v>
      </c>
      <c r="AJ755" s="417">
        <v>0</v>
      </c>
      <c r="AK755" s="417">
        <v>0</v>
      </c>
      <c r="AL755" s="378">
        <v>1.42E-5</v>
      </c>
      <c r="AM755" s="378"/>
      <c r="AN755" s="70">
        <v>-13594.469799999999</v>
      </c>
      <c r="AO755" s="70">
        <v>-13594.469799999999</v>
      </c>
      <c r="AP755" s="70">
        <v>-13594.469799999999</v>
      </c>
      <c r="AQ755" s="417">
        <v>0</v>
      </c>
      <c r="AR755" s="417">
        <v>0</v>
      </c>
    </row>
    <row r="756" spans="1:44">
      <c r="A756" s="439">
        <v>98141</v>
      </c>
      <c r="B756" s="440" t="s">
        <v>1463</v>
      </c>
      <c r="C756" s="437">
        <v>2.853E-4</v>
      </c>
      <c r="D756" s="441"/>
      <c r="E756" s="438">
        <v>220891.65452499996</v>
      </c>
      <c r="F756" s="442">
        <v>192048.57712499998</v>
      </c>
      <c r="G756" s="442">
        <v>55860.63432499997</v>
      </c>
      <c r="H756" s="442">
        <v>253433.9871</v>
      </c>
      <c r="I756" s="442">
        <v>0</v>
      </c>
      <c r="J756" s="443">
        <v>4.8000000000000001E-5</v>
      </c>
      <c r="K756" s="443"/>
      <c r="L756" s="444">
        <v>45969.533100000001</v>
      </c>
      <c r="M756" s="444">
        <v>18848.915099999998</v>
      </c>
      <c r="N756" s="444">
        <v>-2266.1379000000002</v>
      </c>
      <c r="O756" s="444">
        <v>0</v>
      </c>
      <c r="P756" s="417">
        <v>0</v>
      </c>
      <c r="Q756" s="378">
        <v>4.8000000000000001E-5</v>
      </c>
      <c r="R756" s="378"/>
      <c r="S756" s="70">
        <v>111767.1309</v>
      </c>
      <c r="T756" s="105">
        <v>104607.2421</v>
      </c>
      <c r="U756" s="70">
        <v>62148.040199999996</v>
      </c>
      <c r="V756" s="70">
        <v>253433.9871</v>
      </c>
      <c r="W756" s="417">
        <v>0</v>
      </c>
      <c r="X756" s="378">
        <v>4.8000000000000001E-5</v>
      </c>
      <c r="Z756" s="70">
        <v>80296.258499999996</v>
      </c>
      <c r="AA756" s="70">
        <v>80295.687900000004</v>
      </c>
      <c r="AB756" s="70">
        <v>0</v>
      </c>
      <c r="AC756" s="417">
        <v>0</v>
      </c>
      <c r="AD756" s="417">
        <v>0</v>
      </c>
      <c r="AE756" s="378">
        <v>4.8000000000000001E-5</v>
      </c>
      <c r="AF756" s="378"/>
      <c r="AG756" s="70">
        <v>0</v>
      </c>
      <c r="AH756" s="70">
        <v>0</v>
      </c>
      <c r="AI756" s="70">
        <v>0</v>
      </c>
      <c r="AJ756" s="417">
        <v>0</v>
      </c>
      <c r="AK756" s="417">
        <v>0</v>
      </c>
      <c r="AL756" s="378">
        <v>4.8000000000000001E-5</v>
      </c>
      <c r="AM756" s="378"/>
      <c r="AN756" s="70">
        <v>-17141.267975000024</v>
      </c>
      <c r="AO756" s="70">
        <v>-11703.267975000024</v>
      </c>
      <c r="AP756" s="70">
        <v>-4021.2679750000243</v>
      </c>
      <c r="AQ756" s="417">
        <v>0</v>
      </c>
      <c r="AR756" s="417">
        <v>0</v>
      </c>
    </row>
    <row r="757" spans="1:44">
      <c r="A757" s="439">
        <v>98147</v>
      </c>
      <c r="B757" s="440" t="s">
        <v>1464</v>
      </c>
      <c r="C757" s="437">
        <v>1.15E-5</v>
      </c>
      <c r="D757" s="441"/>
      <c r="E757" s="438">
        <v>16699.428724999998</v>
      </c>
      <c r="F757" s="442">
        <v>12955.611724999999</v>
      </c>
      <c r="G757" s="442">
        <v>5036.4377249999998</v>
      </c>
      <c r="H757" s="442">
        <v>10215.530500000001</v>
      </c>
      <c r="I757" s="442">
        <v>0</v>
      </c>
      <c r="J757" s="443">
        <v>2.7187000000000001E-3</v>
      </c>
      <c r="K757" s="443"/>
      <c r="L757" s="444">
        <v>1852.9604999999999</v>
      </c>
      <c r="M757" s="444">
        <v>759.77049999999997</v>
      </c>
      <c r="N757" s="444">
        <v>-91.344499999999996</v>
      </c>
      <c r="O757" s="444">
        <v>0</v>
      </c>
      <c r="P757" s="417">
        <v>0</v>
      </c>
      <c r="Q757" s="378">
        <v>2.7187000000000001E-3</v>
      </c>
      <c r="R757" s="378"/>
      <c r="S757" s="70">
        <v>4505.1594999999998</v>
      </c>
      <c r="T757" s="105">
        <v>4216.5555000000004</v>
      </c>
      <c r="U757" s="70">
        <v>2505.0909999999999</v>
      </c>
      <c r="V757" s="70">
        <v>10215.530500000001</v>
      </c>
      <c r="W757" s="417">
        <v>0</v>
      </c>
      <c r="X757" s="378">
        <v>2.7187000000000001E-3</v>
      </c>
      <c r="Z757" s="70">
        <v>3236.6174999999998</v>
      </c>
      <c r="AA757" s="70">
        <v>3236.5945000000002</v>
      </c>
      <c r="AB757" s="70">
        <v>0</v>
      </c>
      <c r="AC757" s="417">
        <v>0</v>
      </c>
      <c r="AD757" s="417">
        <v>0</v>
      </c>
      <c r="AE757" s="378">
        <v>2.7187000000000001E-3</v>
      </c>
      <c r="AF757" s="378"/>
      <c r="AG757" s="70">
        <v>7104.6912249999996</v>
      </c>
      <c r="AH757" s="70">
        <v>4742.6912249999996</v>
      </c>
      <c r="AI757" s="70">
        <v>2622.6912249999996</v>
      </c>
      <c r="AJ757" s="417">
        <v>0</v>
      </c>
      <c r="AK757" s="417">
        <v>0</v>
      </c>
      <c r="AL757" s="378">
        <v>2.7187000000000001E-3</v>
      </c>
      <c r="AM757" s="378"/>
      <c r="AN757" s="70">
        <v>0</v>
      </c>
      <c r="AO757" s="70">
        <v>0</v>
      </c>
      <c r="AP757" s="70">
        <v>0</v>
      </c>
      <c r="AQ757" s="417">
        <v>0</v>
      </c>
      <c r="AR757" s="417">
        <v>0</v>
      </c>
    </row>
    <row r="758" spans="1:44">
      <c r="A758" s="439">
        <v>98161</v>
      </c>
      <c r="B758" s="440" t="s">
        <v>1465</v>
      </c>
      <c r="C758" s="437">
        <v>7.0999999999999998E-6</v>
      </c>
      <c r="D758" s="441"/>
      <c r="E758" s="438">
        <v>9095.5988749999997</v>
      </c>
      <c r="F758" s="442">
        <v>7281.4770749999998</v>
      </c>
      <c r="G758" s="442">
        <v>2973.117475</v>
      </c>
      <c r="H758" s="442">
        <v>6306.9796999999999</v>
      </c>
      <c r="I758" s="442">
        <v>0</v>
      </c>
      <c r="J758" s="443">
        <v>1.4760000000000001E-4</v>
      </c>
      <c r="K758" s="443"/>
      <c r="L758" s="444">
        <v>1144.0017</v>
      </c>
      <c r="M758" s="444">
        <v>469.07569999999998</v>
      </c>
      <c r="N758" s="444">
        <v>-56.395299999999999</v>
      </c>
      <c r="O758" s="444">
        <v>0</v>
      </c>
      <c r="P758" s="417">
        <v>0</v>
      </c>
      <c r="Q758" s="378">
        <v>1.4760000000000001E-4</v>
      </c>
      <c r="R758" s="378"/>
      <c r="S758" s="70">
        <v>2781.4463000000001</v>
      </c>
      <c r="T758" s="105">
        <v>2603.2646999999997</v>
      </c>
      <c r="U758" s="70">
        <v>1546.6214</v>
      </c>
      <c r="V758" s="70">
        <v>6306.9796999999999</v>
      </c>
      <c r="W758" s="417">
        <v>0</v>
      </c>
      <c r="X758" s="378">
        <v>1.4760000000000001E-4</v>
      </c>
      <c r="Z758" s="70">
        <v>1998.2594999999999</v>
      </c>
      <c r="AA758" s="70">
        <v>1998.2453</v>
      </c>
      <c r="AB758" s="70">
        <v>0</v>
      </c>
      <c r="AC758" s="417">
        <v>0</v>
      </c>
      <c r="AD758" s="417">
        <v>0</v>
      </c>
      <c r="AE758" s="378">
        <v>1.4760000000000001E-4</v>
      </c>
      <c r="AF758" s="378"/>
      <c r="AG758" s="70">
        <v>3171.8913750000002</v>
      </c>
      <c r="AH758" s="70">
        <v>2210.8913750000002</v>
      </c>
      <c r="AI758" s="70">
        <v>1482.8913749999999</v>
      </c>
      <c r="AJ758" s="417">
        <v>0</v>
      </c>
      <c r="AK758" s="417">
        <v>0</v>
      </c>
      <c r="AL758" s="378">
        <v>1.4760000000000001E-4</v>
      </c>
      <c r="AM758" s="378"/>
      <c r="AN758" s="70">
        <v>0</v>
      </c>
      <c r="AO758" s="70">
        <v>0</v>
      </c>
      <c r="AP758" s="70">
        <v>0</v>
      </c>
      <c r="AQ758" s="417">
        <v>0</v>
      </c>
      <c r="AR758" s="417">
        <v>0</v>
      </c>
    </row>
    <row r="759" spans="1:44">
      <c r="A759" s="439">
        <v>98201</v>
      </c>
      <c r="B759" s="440" t="s">
        <v>1466</v>
      </c>
      <c r="C759" s="437">
        <v>3.2829000000000001E-3</v>
      </c>
      <c r="D759" s="441"/>
      <c r="E759" s="438">
        <v>2663029.802075</v>
      </c>
      <c r="F759" s="442">
        <v>2323818.103875</v>
      </c>
      <c r="G759" s="442">
        <v>793762.42347500019</v>
      </c>
      <c r="H759" s="442">
        <v>2916223.0503000002</v>
      </c>
      <c r="I759" s="442">
        <v>0</v>
      </c>
      <c r="J759" s="443">
        <v>4.9779999999999996E-4</v>
      </c>
      <c r="K759" s="443"/>
      <c r="L759" s="444">
        <v>528963.82830000005</v>
      </c>
      <c r="M759" s="444">
        <v>216891.35430000001</v>
      </c>
      <c r="N759" s="444">
        <v>-26076.074700000001</v>
      </c>
      <c r="O759" s="444">
        <v>0</v>
      </c>
      <c r="P759" s="417">
        <v>0</v>
      </c>
      <c r="Q759" s="378">
        <v>4.9779999999999996E-4</v>
      </c>
      <c r="R759" s="378"/>
      <c r="S759" s="70">
        <v>1286085.9236999999</v>
      </c>
      <c r="T759" s="105">
        <v>1203698.2653000001</v>
      </c>
      <c r="U759" s="70">
        <v>715127.23860000004</v>
      </c>
      <c r="V759" s="70">
        <v>2916223.0503000002</v>
      </c>
      <c r="W759" s="417">
        <v>0</v>
      </c>
      <c r="X759" s="378">
        <v>4.9779999999999996E-4</v>
      </c>
      <c r="Z759" s="70">
        <v>923955.7905</v>
      </c>
      <c r="AA759" s="70">
        <v>923949.22470000002</v>
      </c>
      <c r="AB759" s="70">
        <v>0</v>
      </c>
      <c r="AC759" s="417">
        <v>0</v>
      </c>
      <c r="AD759" s="417">
        <v>0</v>
      </c>
      <c r="AE759" s="378">
        <v>4.9779999999999996E-4</v>
      </c>
      <c r="AF759" s="378"/>
      <c r="AG759" s="70">
        <v>129268.25957500015</v>
      </c>
      <c r="AH759" s="70">
        <v>104711.25957500015</v>
      </c>
      <c r="AI759" s="70">
        <v>104711.25957500015</v>
      </c>
      <c r="AJ759" s="417">
        <v>0</v>
      </c>
      <c r="AK759" s="417">
        <v>0</v>
      </c>
      <c r="AL759" s="378">
        <v>4.9779999999999996E-4</v>
      </c>
      <c r="AM759" s="378"/>
      <c r="AN759" s="70">
        <v>-205244</v>
      </c>
      <c r="AO759" s="70">
        <v>-125432</v>
      </c>
      <c r="AP759" s="70">
        <v>0</v>
      </c>
      <c r="AQ759" s="417">
        <v>0</v>
      </c>
      <c r="AR759" s="417">
        <v>0</v>
      </c>
    </row>
    <row r="760" spans="1:44">
      <c r="A760" s="439">
        <v>98205</v>
      </c>
      <c r="B760" s="440" t="s">
        <v>1467</v>
      </c>
      <c r="C760" s="437">
        <v>4.2200000000000003E-5</v>
      </c>
      <c r="D760" s="441"/>
      <c r="E760" s="438">
        <v>37537.182499999995</v>
      </c>
      <c r="F760" s="442">
        <v>36743.514899999995</v>
      </c>
      <c r="G760" s="442">
        <v>8571.0676999999996</v>
      </c>
      <c r="H760" s="442">
        <v>37486.555400000005</v>
      </c>
      <c r="I760" s="442">
        <v>0</v>
      </c>
      <c r="J760" s="443">
        <v>2.4700000000000001E-5</v>
      </c>
      <c r="K760" s="443"/>
      <c r="L760" s="444">
        <v>6799.5594000000001</v>
      </c>
      <c r="M760" s="444">
        <v>2788.0273999999999</v>
      </c>
      <c r="N760" s="444">
        <v>-335.19460000000004</v>
      </c>
      <c r="O760" s="444">
        <v>0</v>
      </c>
      <c r="P760" s="417">
        <v>0</v>
      </c>
      <c r="Q760" s="378">
        <v>2.4700000000000001E-5</v>
      </c>
      <c r="R760" s="378"/>
      <c r="S760" s="70">
        <v>16531.976600000002</v>
      </c>
      <c r="T760" s="105">
        <v>15472.9254</v>
      </c>
      <c r="U760" s="70">
        <v>9192.5948000000008</v>
      </c>
      <c r="V760" s="70">
        <v>37486.555400000005</v>
      </c>
      <c r="W760" s="417">
        <v>0</v>
      </c>
      <c r="X760" s="378">
        <v>2.4700000000000001E-5</v>
      </c>
      <c r="Z760" s="70">
        <v>11876.979000000001</v>
      </c>
      <c r="AA760" s="70">
        <v>11876.894600000001</v>
      </c>
      <c r="AB760" s="70">
        <v>0</v>
      </c>
      <c r="AC760" s="417">
        <v>0</v>
      </c>
      <c r="AD760" s="417">
        <v>0</v>
      </c>
      <c r="AE760" s="378">
        <v>2.4700000000000001E-5</v>
      </c>
      <c r="AF760" s="378"/>
      <c r="AG760" s="70">
        <v>7798</v>
      </c>
      <c r="AH760" s="70">
        <v>6892</v>
      </c>
      <c r="AI760" s="70">
        <v>0</v>
      </c>
      <c r="AJ760" s="417">
        <v>0</v>
      </c>
      <c r="AK760" s="417">
        <v>0</v>
      </c>
      <c r="AL760" s="378">
        <v>2.4700000000000001E-5</v>
      </c>
      <c r="AM760" s="378"/>
      <c r="AN760" s="70">
        <v>-5469.3325000000013</v>
      </c>
      <c r="AO760" s="70">
        <v>-286.33250000000135</v>
      </c>
      <c r="AP760" s="70">
        <v>-286.33250000000135</v>
      </c>
      <c r="AQ760" s="417">
        <v>0</v>
      </c>
      <c r="AR760" s="417">
        <v>0</v>
      </c>
    </row>
    <row r="761" spans="1:44">
      <c r="A761" s="439">
        <v>98211</v>
      </c>
      <c r="B761" s="440" t="s">
        <v>1468</v>
      </c>
      <c r="C761" s="437">
        <v>8.2220000000000004E-4</v>
      </c>
      <c r="D761" s="441"/>
      <c r="E761" s="438">
        <v>622040.16519999993</v>
      </c>
      <c r="F761" s="442">
        <v>535742.25760000013</v>
      </c>
      <c r="G761" s="442">
        <v>148180.53039999999</v>
      </c>
      <c r="H761" s="442">
        <v>730366.01540000003</v>
      </c>
      <c r="I761" s="442">
        <v>0</v>
      </c>
      <c r="J761" s="443">
        <v>1.6750000000000001E-4</v>
      </c>
      <c r="K761" s="443"/>
      <c r="L761" s="444">
        <v>132478.6194</v>
      </c>
      <c r="M761" s="444">
        <v>54320.287400000001</v>
      </c>
      <c r="N761" s="444">
        <v>-6530.7346000000007</v>
      </c>
      <c r="O761" s="444">
        <v>0</v>
      </c>
      <c r="P761" s="417">
        <v>0</v>
      </c>
      <c r="Q761" s="378">
        <v>1.6750000000000001E-4</v>
      </c>
      <c r="R761" s="378"/>
      <c r="S761" s="70">
        <v>322099.31660000002</v>
      </c>
      <c r="T761" s="105">
        <v>301465.38540000003</v>
      </c>
      <c r="U761" s="70">
        <v>179103.11480000001</v>
      </c>
      <c r="V761" s="70">
        <v>730366.01540000003</v>
      </c>
      <c r="W761" s="417">
        <v>0</v>
      </c>
      <c r="X761" s="378">
        <v>1.6750000000000001E-4</v>
      </c>
      <c r="Z761" s="70">
        <v>231404.079</v>
      </c>
      <c r="AA761" s="70">
        <v>231402.43460000001</v>
      </c>
      <c r="AB761" s="70">
        <v>0</v>
      </c>
      <c r="AC761" s="417">
        <v>0</v>
      </c>
      <c r="AD761" s="417">
        <v>0</v>
      </c>
      <c r="AE761" s="378">
        <v>1.6750000000000001E-4</v>
      </c>
      <c r="AF761" s="378"/>
      <c r="AG761" s="70">
        <v>6305</v>
      </c>
      <c r="AH761" s="70">
        <v>0</v>
      </c>
      <c r="AI761" s="70">
        <v>0</v>
      </c>
      <c r="AJ761" s="417">
        <v>0</v>
      </c>
      <c r="AK761" s="417">
        <v>0</v>
      </c>
      <c r="AL761" s="378">
        <v>1.6750000000000001E-4</v>
      </c>
      <c r="AM761" s="378"/>
      <c r="AN761" s="70">
        <v>-70246.849800000025</v>
      </c>
      <c r="AO761" s="70">
        <v>-51445.849800000025</v>
      </c>
      <c r="AP761" s="70">
        <v>-24391.849800000025</v>
      </c>
      <c r="AQ761" s="417">
        <v>0</v>
      </c>
      <c r="AR761" s="417">
        <v>0</v>
      </c>
    </row>
    <row r="762" spans="1:44">
      <c r="A762" s="439">
        <v>98218</v>
      </c>
      <c r="B762" s="440" t="s">
        <v>1469</v>
      </c>
      <c r="C762" s="437">
        <v>1.5999999999999999E-5</v>
      </c>
      <c r="D762" s="441"/>
      <c r="E762" s="438">
        <v>13424.51945</v>
      </c>
      <c r="F762" s="442">
        <v>11095.991449999998</v>
      </c>
      <c r="G762" s="442">
        <v>2368.5754499999998</v>
      </c>
      <c r="H762" s="442">
        <v>14212.912</v>
      </c>
      <c r="I762" s="442">
        <v>0</v>
      </c>
      <c r="J762" s="443">
        <v>9.9400000000000009E-4</v>
      </c>
      <c r="K762" s="443"/>
      <c r="L762" s="444">
        <v>2578.0319999999997</v>
      </c>
      <c r="M762" s="444">
        <v>1057.0719999999999</v>
      </c>
      <c r="N762" s="444">
        <v>-127.08799999999999</v>
      </c>
      <c r="O762" s="444">
        <v>0</v>
      </c>
      <c r="P762" s="417">
        <v>0</v>
      </c>
      <c r="Q762" s="378">
        <v>9.9400000000000009E-4</v>
      </c>
      <c r="R762" s="378"/>
      <c r="S762" s="70">
        <v>6268.0479999999998</v>
      </c>
      <c r="T762" s="105">
        <v>5866.5119999999997</v>
      </c>
      <c r="U762" s="70">
        <v>3485.3440000000001</v>
      </c>
      <c r="V762" s="70">
        <v>14212.912</v>
      </c>
      <c r="W762" s="417">
        <v>0</v>
      </c>
      <c r="X762" s="378">
        <v>9.9400000000000009E-4</v>
      </c>
      <c r="Z762" s="70">
        <v>4503.12</v>
      </c>
      <c r="AA762" s="70">
        <v>4503.0879999999997</v>
      </c>
      <c r="AB762" s="70">
        <v>0</v>
      </c>
      <c r="AC762" s="417">
        <v>0</v>
      </c>
      <c r="AD762" s="417">
        <v>0</v>
      </c>
      <c r="AE762" s="378">
        <v>9.9400000000000009E-4</v>
      </c>
      <c r="AF762" s="378"/>
      <c r="AG762" s="70">
        <v>1199</v>
      </c>
      <c r="AH762" s="70">
        <v>659</v>
      </c>
      <c r="AI762" s="70">
        <v>0</v>
      </c>
      <c r="AJ762" s="417">
        <v>0</v>
      </c>
      <c r="AK762" s="417">
        <v>0</v>
      </c>
      <c r="AL762" s="378">
        <v>9.9400000000000009E-4</v>
      </c>
      <c r="AM762" s="378"/>
      <c r="AN762" s="70">
        <v>-1123.68055</v>
      </c>
      <c r="AO762" s="70">
        <v>-989.68055000000004</v>
      </c>
      <c r="AP762" s="70">
        <v>-989.68055000000004</v>
      </c>
      <c r="AQ762" s="417">
        <v>0</v>
      </c>
      <c r="AR762" s="417">
        <v>0</v>
      </c>
    </row>
    <row r="763" spans="1:44">
      <c r="A763" s="439">
        <v>98221</v>
      </c>
      <c r="B763" s="440" t="s">
        <v>1470</v>
      </c>
      <c r="C763" s="437">
        <v>2.4199999999999999E-5</v>
      </c>
      <c r="D763" s="441"/>
      <c r="E763" s="438">
        <v>18292.070650000001</v>
      </c>
      <c r="F763" s="442">
        <v>15556.247049999996</v>
      </c>
      <c r="G763" s="442">
        <v>4355.7678499999993</v>
      </c>
      <c r="H763" s="442">
        <v>21497.029399999999</v>
      </c>
      <c r="I763" s="442">
        <v>0</v>
      </c>
      <c r="J763" s="443">
        <v>3.3099999999999998E-5</v>
      </c>
      <c r="K763" s="443"/>
      <c r="L763" s="444">
        <v>3899.2733999999996</v>
      </c>
      <c r="M763" s="444">
        <v>1598.8213999999998</v>
      </c>
      <c r="N763" s="444">
        <v>-192.22059999999999</v>
      </c>
      <c r="O763" s="444">
        <v>0</v>
      </c>
      <c r="P763" s="417">
        <v>0</v>
      </c>
      <c r="Q763" s="378">
        <v>3.3099999999999998E-5</v>
      </c>
      <c r="R763" s="378"/>
      <c r="S763" s="70">
        <v>9480.4225999999999</v>
      </c>
      <c r="T763" s="105">
        <v>8873.0993999999992</v>
      </c>
      <c r="U763" s="70">
        <v>5271.5828000000001</v>
      </c>
      <c r="V763" s="70">
        <v>21497.029399999999</v>
      </c>
      <c r="W763" s="417">
        <v>0</v>
      </c>
      <c r="X763" s="378">
        <v>3.3099999999999998E-5</v>
      </c>
      <c r="Z763" s="70">
        <v>6810.9690000000001</v>
      </c>
      <c r="AA763" s="70">
        <v>6810.9205999999995</v>
      </c>
      <c r="AB763" s="70">
        <v>0</v>
      </c>
      <c r="AC763" s="417">
        <v>0</v>
      </c>
      <c r="AD763" s="417">
        <v>0</v>
      </c>
      <c r="AE763" s="378">
        <v>3.3099999999999998E-5</v>
      </c>
      <c r="AF763" s="378"/>
      <c r="AG763" s="70">
        <v>1477</v>
      </c>
      <c r="AH763" s="70">
        <v>0</v>
      </c>
      <c r="AI763" s="70">
        <v>0</v>
      </c>
      <c r="AJ763" s="417">
        <v>0</v>
      </c>
      <c r="AK763" s="417">
        <v>0</v>
      </c>
      <c r="AL763" s="378">
        <v>3.3099999999999998E-5</v>
      </c>
      <c r="AM763" s="378"/>
      <c r="AN763" s="70">
        <v>-3375.5943500000012</v>
      </c>
      <c r="AO763" s="70">
        <v>-1726.5943500000012</v>
      </c>
      <c r="AP763" s="70">
        <v>-723.59435000000121</v>
      </c>
      <c r="AQ763" s="417">
        <v>0</v>
      </c>
      <c r="AR763" s="417">
        <v>0</v>
      </c>
    </row>
    <row r="764" spans="1:44">
      <c r="A764" s="439">
        <v>98231</v>
      </c>
      <c r="B764" s="440" t="s">
        <v>1471</v>
      </c>
      <c r="C764" s="437">
        <v>2.5700000000000001E-5</v>
      </c>
      <c r="D764" s="441"/>
      <c r="E764" s="438">
        <v>17989.574675000003</v>
      </c>
      <c r="F764" s="442">
        <v>15424.514074999999</v>
      </c>
      <c r="G764" s="442">
        <v>-3999.3791250000004</v>
      </c>
      <c r="H764" s="442">
        <v>22829.4899</v>
      </c>
      <c r="I764" s="442">
        <v>0</v>
      </c>
      <c r="J764" s="443">
        <v>2.0699999999999999E-4</v>
      </c>
      <c r="K764" s="443"/>
      <c r="L764" s="444">
        <v>4140.9639000000006</v>
      </c>
      <c r="M764" s="444">
        <v>1697.9219000000001</v>
      </c>
      <c r="N764" s="444">
        <v>-204.13510000000002</v>
      </c>
      <c r="O764" s="444">
        <v>0</v>
      </c>
      <c r="P764" s="417">
        <v>0</v>
      </c>
      <c r="Q764" s="378">
        <v>2.0699999999999999E-4</v>
      </c>
      <c r="R764" s="378"/>
      <c r="S764" s="70">
        <v>10068.052100000001</v>
      </c>
      <c r="T764" s="105">
        <v>9423.0848999999998</v>
      </c>
      <c r="U764" s="70">
        <v>5598.3338000000003</v>
      </c>
      <c r="V764" s="70">
        <v>22829.4899</v>
      </c>
      <c r="W764" s="417">
        <v>0</v>
      </c>
      <c r="X764" s="378">
        <v>2.0699999999999999E-4</v>
      </c>
      <c r="Z764" s="70">
        <v>7233.1365000000005</v>
      </c>
      <c r="AA764" s="70">
        <v>7233.0851000000002</v>
      </c>
      <c r="AB764" s="70">
        <v>0</v>
      </c>
      <c r="AC764" s="417">
        <v>0</v>
      </c>
      <c r="AD764" s="417">
        <v>0</v>
      </c>
      <c r="AE764" s="378">
        <v>2.0699999999999999E-4</v>
      </c>
      <c r="AF764" s="378"/>
      <c r="AG764" s="70">
        <v>6671</v>
      </c>
      <c r="AH764" s="70">
        <v>6464</v>
      </c>
      <c r="AI764" s="70">
        <v>0</v>
      </c>
      <c r="AJ764" s="417">
        <v>0</v>
      </c>
      <c r="AK764" s="417">
        <v>0</v>
      </c>
      <c r="AL764" s="378">
        <v>2.0699999999999999E-4</v>
      </c>
      <c r="AM764" s="378"/>
      <c r="AN764" s="70">
        <v>-10123.577825</v>
      </c>
      <c r="AO764" s="70">
        <v>-9393.5778250000003</v>
      </c>
      <c r="AP764" s="70">
        <v>-9393.5778250000003</v>
      </c>
      <c r="AQ764" s="417">
        <v>0</v>
      </c>
      <c r="AR764" s="417">
        <v>0</v>
      </c>
    </row>
    <row r="765" spans="1:44">
      <c r="A765" s="439">
        <v>98237</v>
      </c>
      <c r="B765" s="440" t="s">
        <v>1472</v>
      </c>
      <c r="C765" s="437">
        <v>6.1E-6</v>
      </c>
      <c r="D765" s="441"/>
      <c r="E765" s="438">
        <v>5481.7881749999997</v>
      </c>
      <c r="F765" s="442">
        <v>4481.8243750000001</v>
      </c>
      <c r="G765" s="442">
        <v>1220.740775</v>
      </c>
      <c r="H765" s="442">
        <v>5418.6727000000001</v>
      </c>
      <c r="I765" s="442">
        <v>0</v>
      </c>
      <c r="J765" s="443">
        <v>2.6879999999999997E-4</v>
      </c>
      <c r="K765" s="443"/>
      <c r="L765" s="444">
        <v>982.87469999999996</v>
      </c>
      <c r="M765" s="444">
        <v>403.00869999999998</v>
      </c>
      <c r="N765" s="444">
        <v>-48.452300000000001</v>
      </c>
      <c r="O765" s="444">
        <v>0</v>
      </c>
      <c r="P765" s="417">
        <v>0</v>
      </c>
      <c r="Q765" s="378">
        <v>2.6879999999999997E-4</v>
      </c>
      <c r="R765" s="378"/>
      <c r="S765" s="70">
        <v>2389.6932999999999</v>
      </c>
      <c r="T765" s="105">
        <v>2236.6077</v>
      </c>
      <c r="U765" s="70">
        <v>1328.7873999999999</v>
      </c>
      <c r="V765" s="70">
        <v>5418.6727000000001</v>
      </c>
      <c r="W765" s="417">
        <v>0</v>
      </c>
      <c r="X765" s="378">
        <v>2.6879999999999997E-4</v>
      </c>
      <c r="Z765" s="70">
        <v>1716.8145</v>
      </c>
      <c r="AA765" s="70">
        <v>1716.8023000000001</v>
      </c>
      <c r="AB765" s="70">
        <v>0</v>
      </c>
      <c r="AC765" s="417">
        <v>0</v>
      </c>
      <c r="AD765" s="417">
        <v>0</v>
      </c>
      <c r="AE765" s="378">
        <v>2.6879999999999997E-4</v>
      </c>
      <c r="AF765" s="378"/>
      <c r="AG765" s="70">
        <v>491</v>
      </c>
      <c r="AH765" s="70">
        <v>185</v>
      </c>
      <c r="AI765" s="70">
        <v>0</v>
      </c>
      <c r="AJ765" s="417">
        <v>0</v>
      </c>
      <c r="AK765" s="417">
        <v>0</v>
      </c>
      <c r="AL765" s="378">
        <v>2.6879999999999997E-4</v>
      </c>
      <c r="AM765" s="378"/>
      <c r="AN765" s="70">
        <v>-98.594325000000026</v>
      </c>
      <c r="AO765" s="70">
        <v>-59.594325000000026</v>
      </c>
      <c r="AP765" s="70">
        <v>-59.594325000000026</v>
      </c>
      <c r="AQ765" s="417">
        <v>0</v>
      </c>
      <c r="AR765" s="417">
        <v>0</v>
      </c>
    </row>
    <row r="766" spans="1:44">
      <c r="A766" s="439">
        <v>98241</v>
      </c>
      <c r="B766" s="440" t="s">
        <v>1473</v>
      </c>
      <c r="C766" s="437">
        <v>8.3000000000000002E-6</v>
      </c>
      <c r="D766" s="441"/>
      <c r="E766" s="438">
        <v>5775.6962750000002</v>
      </c>
      <c r="F766" s="442">
        <v>6657.3848749999997</v>
      </c>
      <c r="G766" s="442">
        <v>3882.8940750000002</v>
      </c>
      <c r="H766" s="442">
        <v>7372.9481000000005</v>
      </c>
      <c r="I766" s="442">
        <v>0</v>
      </c>
      <c r="J766" s="443">
        <v>2.8400000000000002E-4</v>
      </c>
      <c r="K766" s="443"/>
      <c r="L766" s="444">
        <v>1337.3541</v>
      </c>
      <c r="M766" s="444">
        <v>548.35609999999997</v>
      </c>
      <c r="N766" s="444">
        <v>-65.926900000000003</v>
      </c>
      <c r="O766" s="444">
        <v>0</v>
      </c>
      <c r="P766" s="417">
        <v>0</v>
      </c>
      <c r="Q766" s="378">
        <v>2.8400000000000002E-4</v>
      </c>
      <c r="R766" s="378"/>
      <c r="S766" s="70">
        <v>3251.5499</v>
      </c>
      <c r="T766" s="105">
        <v>3043.2530999999999</v>
      </c>
      <c r="U766" s="70">
        <v>1808.0222000000001</v>
      </c>
      <c r="V766" s="70">
        <v>7372.9481000000005</v>
      </c>
      <c r="W766" s="417">
        <v>0</v>
      </c>
      <c r="X766" s="378">
        <v>2.8400000000000002E-4</v>
      </c>
      <c r="Z766" s="70">
        <v>2335.9935</v>
      </c>
      <c r="AA766" s="70">
        <v>2335.9769000000001</v>
      </c>
      <c r="AB766" s="70">
        <v>0</v>
      </c>
      <c r="AC766" s="417">
        <v>0</v>
      </c>
      <c r="AD766" s="417">
        <v>0</v>
      </c>
      <c r="AE766" s="378">
        <v>2.8400000000000002E-4</v>
      </c>
      <c r="AF766" s="378"/>
      <c r="AG766" s="70">
        <v>3715.7987749999998</v>
      </c>
      <c r="AH766" s="70">
        <v>2140.7987749999998</v>
      </c>
      <c r="AI766" s="70">
        <v>2140.7987749999998</v>
      </c>
      <c r="AJ766" s="417">
        <v>0</v>
      </c>
      <c r="AK766" s="417">
        <v>0</v>
      </c>
      <c r="AL766" s="378">
        <v>2.8400000000000002E-4</v>
      </c>
      <c r="AM766" s="378"/>
      <c r="AN766" s="70">
        <v>-4865</v>
      </c>
      <c r="AO766" s="70">
        <v>-1411</v>
      </c>
      <c r="AP766" s="70">
        <v>0</v>
      </c>
      <c r="AQ766" s="417">
        <v>0</v>
      </c>
      <c r="AR766" s="417">
        <v>0</v>
      </c>
    </row>
    <row r="767" spans="1:44">
      <c r="A767" s="439">
        <v>98251</v>
      </c>
      <c r="B767" s="440" t="s">
        <v>1474</v>
      </c>
      <c r="C767" s="437">
        <v>2.3E-6</v>
      </c>
      <c r="D767" s="441"/>
      <c r="E767" s="438">
        <v>3521.1159749999997</v>
      </c>
      <c r="F767" s="442">
        <v>2629.752575</v>
      </c>
      <c r="G767" s="442">
        <v>847.91777499999989</v>
      </c>
      <c r="H767" s="442">
        <v>2043.1061</v>
      </c>
      <c r="I767" s="442">
        <v>0</v>
      </c>
      <c r="J767" s="443">
        <v>1.13E-5</v>
      </c>
      <c r="K767" s="443"/>
      <c r="L767" s="444">
        <v>370.59210000000002</v>
      </c>
      <c r="M767" s="444">
        <v>151.95410000000001</v>
      </c>
      <c r="N767" s="444">
        <v>-18.268899999999999</v>
      </c>
      <c r="O767" s="444">
        <v>0</v>
      </c>
      <c r="P767" s="417">
        <v>0</v>
      </c>
      <c r="Q767" s="378">
        <v>1.13E-5</v>
      </c>
      <c r="R767" s="378"/>
      <c r="S767" s="70">
        <v>901.03189999999995</v>
      </c>
      <c r="T767" s="105">
        <v>843.31110000000001</v>
      </c>
      <c r="U767" s="70">
        <v>501.01819999999998</v>
      </c>
      <c r="V767" s="70">
        <v>2043.1061</v>
      </c>
      <c r="W767" s="417">
        <v>0</v>
      </c>
      <c r="X767" s="378">
        <v>1.13E-5</v>
      </c>
      <c r="Z767" s="70">
        <v>647.32349999999997</v>
      </c>
      <c r="AA767" s="70">
        <v>647.31889999999999</v>
      </c>
      <c r="AB767" s="70">
        <v>0</v>
      </c>
      <c r="AC767" s="417">
        <v>0</v>
      </c>
      <c r="AD767" s="417">
        <v>0</v>
      </c>
      <c r="AE767" s="378">
        <v>1.13E-5</v>
      </c>
      <c r="AF767" s="378"/>
      <c r="AG767" s="70">
        <v>1602.1684749999999</v>
      </c>
      <c r="AH767" s="70">
        <v>987.16847499999983</v>
      </c>
      <c r="AI767" s="70">
        <v>365.16847499999983</v>
      </c>
      <c r="AJ767" s="417">
        <v>0</v>
      </c>
      <c r="AK767" s="417">
        <v>0</v>
      </c>
      <c r="AL767" s="378">
        <v>1.13E-5</v>
      </c>
      <c r="AM767" s="378"/>
      <c r="AN767" s="70">
        <v>0</v>
      </c>
      <c r="AO767" s="70">
        <v>0</v>
      </c>
      <c r="AP767" s="70">
        <v>0</v>
      </c>
      <c r="AQ767" s="417">
        <v>0</v>
      </c>
      <c r="AR767" s="417">
        <v>0</v>
      </c>
    </row>
    <row r="768" spans="1:44">
      <c r="A768" s="439">
        <v>98261</v>
      </c>
      <c r="B768" s="440" t="s">
        <v>1475</v>
      </c>
      <c r="C768" s="437">
        <v>2.7900000000000001E-5</v>
      </c>
      <c r="D768" s="441"/>
      <c r="E768" s="438">
        <v>21340.188675000001</v>
      </c>
      <c r="F768" s="442">
        <v>16722.780475000003</v>
      </c>
      <c r="G768" s="442">
        <v>2923.4800750000031</v>
      </c>
      <c r="H768" s="442">
        <v>24783.765299999999</v>
      </c>
      <c r="I768" s="442">
        <v>0</v>
      </c>
      <c r="J768" s="443">
        <v>5.5999999999999997E-6</v>
      </c>
      <c r="K768" s="443"/>
      <c r="L768" s="444">
        <v>4495.4432999999999</v>
      </c>
      <c r="M768" s="444">
        <v>1843.2692999999999</v>
      </c>
      <c r="N768" s="444">
        <v>-221.6097</v>
      </c>
      <c r="O768" s="444">
        <v>0</v>
      </c>
      <c r="P768" s="417">
        <v>0</v>
      </c>
      <c r="Q768" s="378">
        <v>5.5999999999999997E-6</v>
      </c>
      <c r="R768" s="378"/>
      <c r="S768" s="70">
        <v>10929.9087</v>
      </c>
      <c r="T768" s="105">
        <v>10229.730300000001</v>
      </c>
      <c r="U768" s="70">
        <v>6077.5686000000005</v>
      </c>
      <c r="V768" s="70">
        <v>24783.765299999999</v>
      </c>
      <c r="W768" s="417">
        <v>0</v>
      </c>
      <c r="X768" s="378">
        <v>5.5999999999999997E-6</v>
      </c>
      <c r="Z768" s="70">
        <v>7852.3154999999997</v>
      </c>
      <c r="AA768" s="70">
        <v>7852.2597000000005</v>
      </c>
      <c r="AB768" s="70">
        <v>0</v>
      </c>
      <c r="AC768" s="417">
        <v>0</v>
      </c>
      <c r="AD768" s="417">
        <v>0</v>
      </c>
      <c r="AE768" s="378">
        <v>5.5999999999999997E-6</v>
      </c>
      <c r="AF768" s="378"/>
      <c r="AG768" s="70">
        <v>1265</v>
      </c>
      <c r="AH768" s="70">
        <v>0</v>
      </c>
      <c r="AI768" s="70">
        <v>0</v>
      </c>
      <c r="AJ768" s="417">
        <v>0</v>
      </c>
      <c r="AK768" s="417">
        <v>0</v>
      </c>
      <c r="AL768" s="378">
        <v>5.5999999999999997E-6</v>
      </c>
      <c r="AM768" s="378"/>
      <c r="AN768" s="70">
        <v>-3202.4788249999974</v>
      </c>
      <c r="AO768" s="70">
        <v>-3202.4788249999974</v>
      </c>
      <c r="AP768" s="70">
        <v>-2932.4788249999974</v>
      </c>
      <c r="AQ768" s="417">
        <v>0</v>
      </c>
      <c r="AR768" s="417">
        <v>0</v>
      </c>
    </row>
    <row r="769" spans="1:44">
      <c r="A769" s="439">
        <v>98271</v>
      </c>
      <c r="B769" s="440" t="s">
        <v>1476</v>
      </c>
      <c r="C769" s="437">
        <v>8.8999999999999995E-6</v>
      </c>
      <c r="D769" s="224"/>
      <c r="E769" s="438">
        <v>8843.1783250000008</v>
      </c>
      <c r="F769" s="445">
        <v>6788.7721249999995</v>
      </c>
      <c r="G769" s="445">
        <v>1880.7157250000007</v>
      </c>
      <c r="H769" s="445">
        <v>7905.9322999999995</v>
      </c>
      <c r="I769" s="445">
        <v>0</v>
      </c>
      <c r="J769" s="443">
        <v>2.9794999999999999E-3</v>
      </c>
      <c r="K769" s="443"/>
      <c r="L769" s="444">
        <v>1434.0302999999999</v>
      </c>
      <c r="M769" s="444">
        <v>587.99630000000002</v>
      </c>
      <c r="N769" s="444">
        <v>-70.692700000000002</v>
      </c>
      <c r="O769" s="444">
        <v>0</v>
      </c>
      <c r="P769" s="417">
        <v>0</v>
      </c>
      <c r="Q769" s="378">
        <v>2.9794999999999999E-3</v>
      </c>
      <c r="R769" s="378"/>
      <c r="S769" s="70">
        <v>3486.6016999999997</v>
      </c>
      <c r="T769" s="105">
        <v>3263.2473</v>
      </c>
      <c r="U769" s="70">
        <v>1938.7225999999998</v>
      </c>
      <c r="V769" s="70">
        <v>7905.9322999999995</v>
      </c>
      <c r="W769" s="417">
        <v>0</v>
      </c>
      <c r="X769" s="378">
        <v>2.9794999999999999E-3</v>
      </c>
      <c r="Z769" s="70">
        <v>2504.8604999999998</v>
      </c>
      <c r="AA769" s="70">
        <v>2504.8426999999997</v>
      </c>
      <c r="AB769" s="70">
        <v>0</v>
      </c>
      <c r="AC769" s="417">
        <v>0</v>
      </c>
      <c r="AD769" s="417">
        <v>0</v>
      </c>
      <c r="AE769" s="378">
        <v>2.9794999999999999E-3</v>
      </c>
      <c r="AF769" s="378"/>
      <c r="AG769" s="70">
        <v>1417.6858250000009</v>
      </c>
      <c r="AH769" s="70">
        <v>432.68582500000093</v>
      </c>
      <c r="AI769" s="70">
        <v>12.685825000000932</v>
      </c>
      <c r="AJ769" s="417">
        <v>0</v>
      </c>
      <c r="AK769" s="417">
        <v>0</v>
      </c>
      <c r="AL769" s="378">
        <v>2.9794999999999999E-3</v>
      </c>
      <c r="AM769" s="378"/>
      <c r="AN769" s="70">
        <v>0</v>
      </c>
      <c r="AO769" s="70">
        <v>0</v>
      </c>
      <c r="AP769" s="70">
        <v>0</v>
      </c>
      <c r="AQ769" s="417">
        <v>0</v>
      </c>
      <c r="AR769" s="417">
        <v>0</v>
      </c>
    </row>
    <row r="770" spans="1:44">
      <c r="A770" s="439">
        <v>98301</v>
      </c>
      <c r="B770" s="440" t="s">
        <v>1477</v>
      </c>
      <c r="C770" s="437">
        <v>1.921E-3</v>
      </c>
      <c r="D770" s="224"/>
      <c r="E770" s="438">
        <v>1688349.3476999998</v>
      </c>
      <c r="F770" s="445">
        <v>1411380.8296999999</v>
      </c>
      <c r="G770" s="445">
        <v>405170.63369999983</v>
      </c>
      <c r="H770" s="445">
        <v>1706437.747</v>
      </c>
      <c r="I770" s="445">
        <v>0</v>
      </c>
      <c r="J770" s="443">
        <v>3.9700000000000003E-5</v>
      </c>
      <c r="K770" s="443"/>
      <c r="L770" s="444">
        <v>309524.967</v>
      </c>
      <c r="M770" s="444">
        <v>126914.70699999999</v>
      </c>
      <c r="N770" s="444">
        <v>-15258.503000000001</v>
      </c>
      <c r="O770" s="444">
        <v>0</v>
      </c>
      <c r="P770" s="417">
        <v>0</v>
      </c>
      <c r="Q770" s="378">
        <v>3.9700000000000003E-5</v>
      </c>
      <c r="R770" s="378"/>
      <c r="S770" s="70">
        <v>752557.51300000004</v>
      </c>
      <c r="T770" s="105">
        <v>704348.09699999995</v>
      </c>
      <c r="U770" s="70">
        <v>418459.114</v>
      </c>
      <c r="V770" s="70">
        <v>1706437.747</v>
      </c>
      <c r="W770" s="417">
        <v>0</v>
      </c>
      <c r="X770" s="378">
        <v>3.9700000000000003E-5</v>
      </c>
      <c r="Z770" s="70">
        <v>540655.84499999997</v>
      </c>
      <c r="AA770" s="70">
        <v>540652.00300000003</v>
      </c>
      <c r="AB770" s="70">
        <v>0</v>
      </c>
      <c r="AC770" s="417">
        <v>0</v>
      </c>
      <c r="AD770" s="417">
        <v>0</v>
      </c>
      <c r="AE770" s="378">
        <v>3.9700000000000003E-5</v>
      </c>
      <c r="AF770" s="378"/>
      <c r="AG770" s="70">
        <v>85611.022699999856</v>
      </c>
      <c r="AH770" s="70">
        <v>39466.022699999856</v>
      </c>
      <c r="AI770" s="70">
        <v>1970.0226999998558</v>
      </c>
      <c r="AJ770" s="417">
        <v>0</v>
      </c>
      <c r="AK770" s="417">
        <v>0</v>
      </c>
      <c r="AL770" s="378">
        <v>3.9700000000000003E-5</v>
      </c>
      <c r="AM770" s="378"/>
      <c r="AN770" s="70">
        <v>0</v>
      </c>
      <c r="AO770" s="70">
        <v>0</v>
      </c>
      <c r="AP770" s="70">
        <v>0</v>
      </c>
      <c r="AQ770" s="417">
        <v>0</v>
      </c>
      <c r="AR770" s="417">
        <v>0</v>
      </c>
    </row>
    <row r="771" spans="1:44">
      <c r="A771" s="439">
        <v>98304</v>
      </c>
      <c r="B771" s="440" t="s">
        <v>1478</v>
      </c>
      <c r="C771" s="437">
        <v>1.9300000000000002E-5</v>
      </c>
      <c r="D771" s="224"/>
      <c r="E771" s="438">
        <v>19481.014675000002</v>
      </c>
      <c r="F771" s="445">
        <v>15013.965275000002</v>
      </c>
      <c r="G771" s="445">
        <v>3205.4384750000017</v>
      </c>
      <c r="H771" s="445">
        <v>17144.325100000002</v>
      </c>
      <c r="I771" s="445">
        <v>0</v>
      </c>
      <c r="J771" s="443">
        <v>8.5130000000000004E-4</v>
      </c>
      <c r="K771" s="443"/>
      <c r="L771" s="444">
        <v>3109.7511000000004</v>
      </c>
      <c r="M771" s="444">
        <v>1275.0931</v>
      </c>
      <c r="N771" s="444">
        <v>-153.29990000000001</v>
      </c>
      <c r="O771" s="444">
        <v>0</v>
      </c>
      <c r="P771" s="417">
        <v>0</v>
      </c>
      <c r="Q771" s="378">
        <v>8.5130000000000004E-4</v>
      </c>
      <c r="R771" s="378"/>
      <c r="S771" s="70">
        <v>7560.8329000000003</v>
      </c>
      <c r="T771" s="105">
        <v>7076.4801000000007</v>
      </c>
      <c r="U771" s="70">
        <v>4204.1962000000003</v>
      </c>
      <c r="V771" s="70">
        <v>17144.325100000002</v>
      </c>
      <c r="W771" s="417">
        <v>0</v>
      </c>
      <c r="X771" s="378">
        <v>8.5130000000000004E-4</v>
      </c>
      <c r="Z771" s="70">
        <v>5431.8885</v>
      </c>
      <c r="AA771" s="70">
        <v>5431.8499000000002</v>
      </c>
      <c r="AB771" s="70">
        <v>0</v>
      </c>
      <c r="AC771" s="417">
        <v>0</v>
      </c>
      <c r="AD771" s="417">
        <v>0</v>
      </c>
      <c r="AE771" s="378">
        <v>8.5130000000000004E-4</v>
      </c>
      <c r="AF771" s="378"/>
      <c r="AG771" s="70">
        <v>4224</v>
      </c>
      <c r="AH771" s="70">
        <v>2076</v>
      </c>
      <c r="AI771" s="70">
        <v>0</v>
      </c>
      <c r="AJ771" s="417">
        <v>0</v>
      </c>
      <c r="AK771" s="417">
        <v>0</v>
      </c>
      <c r="AL771" s="378">
        <v>8.5130000000000004E-4</v>
      </c>
      <c r="AM771" s="378"/>
      <c r="AN771" s="70">
        <v>-845.45782499999859</v>
      </c>
      <c r="AO771" s="70">
        <v>-845.45782499999859</v>
      </c>
      <c r="AP771" s="70">
        <v>-845.45782499999859</v>
      </c>
      <c r="AQ771" s="417">
        <v>0</v>
      </c>
      <c r="AR771" s="417">
        <v>0</v>
      </c>
    </row>
    <row r="772" spans="1:44">
      <c r="A772" s="439">
        <v>98308</v>
      </c>
      <c r="B772" s="440" t="s">
        <v>1479</v>
      </c>
      <c r="C772" s="437">
        <v>3.2400000000000001E-5</v>
      </c>
      <c r="D772" s="224"/>
      <c r="E772" s="438">
        <v>45222.812100000003</v>
      </c>
      <c r="F772" s="445">
        <v>38535.692900000002</v>
      </c>
      <c r="G772" s="445">
        <v>13994.1505</v>
      </c>
      <c r="H772" s="445">
        <v>28781.146800000002</v>
      </c>
      <c r="I772" s="445">
        <v>0</v>
      </c>
      <c r="J772" s="443">
        <v>1.91E-5</v>
      </c>
      <c r="K772" s="443"/>
      <c r="L772" s="444">
        <v>5220.5147999999999</v>
      </c>
      <c r="M772" s="444">
        <v>2140.5708</v>
      </c>
      <c r="N772" s="444">
        <v>-257.35320000000002</v>
      </c>
      <c r="O772" s="444">
        <v>0</v>
      </c>
      <c r="P772" s="417">
        <v>0</v>
      </c>
      <c r="Q772" s="378">
        <v>1.91E-5</v>
      </c>
      <c r="R772" s="378"/>
      <c r="S772" s="70">
        <v>12692.797200000001</v>
      </c>
      <c r="T772" s="105">
        <v>11879.686800000001</v>
      </c>
      <c r="U772" s="70">
        <v>7057.8216000000002</v>
      </c>
      <c r="V772" s="70">
        <v>28781.146800000002</v>
      </c>
      <c r="W772" s="417">
        <v>0</v>
      </c>
      <c r="X772" s="378">
        <v>1.91E-5</v>
      </c>
      <c r="Z772" s="70">
        <v>9118.8180000000011</v>
      </c>
      <c r="AA772" s="70">
        <v>9118.753200000001</v>
      </c>
      <c r="AB772" s="70">
        <v>0</v>
      </c>
      <c r="AC772" s="417">
        <v>0</v>
      </c>
      <c r="AD772" s="417">
        <v>0</v>
      </c>
      <c r="AE772" s="378">
        <v>1.91E-5</v>
      </c>
      <c r="AF772" s="378"/>
      <c r="AG772" s="70">
        <v>18190.682099999998</v>
      </c>
      <c r="AH772" s="70">
        <v>15396.6821</v>
      </c>
      <c r="AI772" s="70">
        <v>7193.6821</v>
      </c>
      <c r="AJ772" s="417">
        <v>0</v>
      </c>
      <c r="AK772" s="417">
        <v>0</v>
      </c>
      <c r="AL772" s="378">
        <v>1.91E-5</v>
      </c>
      <c r="AM772" s="378"/>
      <c r="AN772" s="70">
        <v>0</v>
      </c>
      <c r="AO772" s="70">
        <v>0</v>
      </c>
      <c r="AP772" s="70">
        <v>0</v>
      </c>
      <c r="AQ772" s="417">
        <v>0</v>
      </c>
      <c r="AR772" s="417">
        <v>0</v>
      </c>
    </row>
    <row r="773" spans="1:44">
      <c r="A773" s="439">
        <v>98311</v>
      </c>
      <c r="B773" s="440" t="s">
        <v>1480</v>
      </c>
      <c r="C773" s="437">
        <v>9.3440000000000005E-4</v>
      </c>
      <c r="D773" s="224"/>
      <c r="E773" s="438">
        <v>689521.01450000005</v>
      </c>
      <c r="F773" s="445">
        <v>611896.37930000003</v>
      </c>
      <c r="G773" s="445">
        <v>170680.88490000003</v>
      </c>
      <c r="H773" s="445">
        <v>830034.06080000009</v>
      </c>
      <c r="I773" s="445">
        <v>0</v>
      </c>
      <c r="J773" s="443">
        <v>2.44E-5</v>
      </c>
      <c r="K773" s="443"/>
      <c r="L773" s="444">
        <v>150557.06880000001</v>
      </c>
      <c r="M773" s="444">
        <v>61733.004800000002</v>
      </c>
      <c r="N773" s="444">
        <v>-7421.9392000000007</v>
      </c>
      <c r="O773" s="444">
        <v>0</v>
      </c>
      <c r="P773" s="417">
        <v>0</v>
      </c>
      <c r="Q773" s="378">
        <v>2.44E-5</v>
      </c>
      <c r="R773" s="378"/>
      <c r="S773" s="70">
        <v>366054.00320000004</v>
      </c>
      <c r="T773" s="105">
        <v>342604.30080000003</v>
      </c>
      <c r="U773" s="70">
        <v>203544.08960000001</v>
      </c>
      <c r="V773" s="70">
        <v>830034.06080000009</v>
      </c>
      <c r="W773" s="417">
        <v>0</v>
      </c>
      <c r="X773" s="378">
        <v>2.44E-5</v>
      </c>
      <c r="Z773" s="70">
        <v>262982.20800000004</v>
      </c>
      <c r="AA773" s="70">
        <v>262980.33919999999</v>
      </c>
      <c r="AB773" s="70">
        <v>0</v>
      </c>
      <c r="AC773" s="417">
        <v>0</v>
      </c>
      <c r="AD773" s="417">
        <v>0</v>
      </c>
      <c r="AE773" s="378">
        <v>2.44E-5</v>
      </c>
      <c r="AF773" s="378"/>
      <c r="AG773" s="70">
        <v>0</v>
      </c>
      <c r="AH773" s="70">
        <v>0</v>
      </c>
      <c r="AI773" s="70">
        <v>0</v>
      </c>
      <c r="AJ773" s="417">
        <v>0</v>
      </c>
      <c r="AK773" s="417">
        <v>0</v>
      </c>
      <c r="AL773" s="378">
        <v>2.44E-5</v>
      </c>
      <c r="AM773" s="378"/>
      <c r="AN773" s="70">
        <v>-90072.26549999998</v>
      </c>
      <c r="AO773" s="70">
        <v>-55421.26549999998</v>
      </c>
      <c r="AP773" s="70">
        <v>-25441.26549999998</v>
      </c>
      <c r="AQ773" s="417">
        <v>0</v>
      </c>
      <c r="AR773" s="417">
        <v>0</v>
      </c>
    </row>
    <row r="774" spans="1:44">
      <c r="A774" s="439">
        <v>98313</v>
      </c>
      <c r="B774" s="440" t="s">
        <v>1481</v>
      </c>
      <c r="C774" s="437">
        <v>2.207E-4</v>
      </c>
      <c r="D774" s="224"/>
      <c r="E774" s="438">
        <v>306596.46437499998</v>
      </c>
      <c r="F774" s="445">
        <v>251352.59377499999</v>
      </c>
      <c r="G774" s="445">
        <v>97727.880574999988</v>
      </c>
      <c r="H774" s="445">
        <v>196049.35490000001</v>
      </c>
      <c r="I774" s="445">
        <v>0</v>
      </c>
      <c r="J774" s="443">
        <v>4.3099999999999997E-5</v>
      </c>
      <c r="K774" s="443"/>
      <c r="L774" s="444">
        <v>35560.728900000002</v>
      </c>
      <c r="M774" s="444">
        <v>14580.9869</v>
      </c>
      <c r="N774" s="444">
        <v>-1753.0201</v>
      </c>
      <c r="O774" s="444">
        <v>0</v>
      </c>
      <c r="P774" s="417">
        <v>0</v>
      </c>
      <c r="Q774" s="378">
        <v>4.3099999999999997E-5</v>
      </c>
      <c r="R774" s="378"/>
      <c r="S774" s="70">
        <v>86459.887099999993</v>
      </c>
      <c r="T774" s="105">
        <v>80921.199899999992</v>
      </c>
      <c r="U774" s="70">
        <v>48075.963799999998</v>
      </c>
      <c r="V774" s="70">
        <v>196049.35490000001</v>
      </c>
      <c r="W774" s="417">
        <v>0</v>
      </c>
      <c r="X774" s="378">
        <v>4.3099999999999997E-5</v>
      </c>
      <c r="Z774" s="70">
        <v>62114.911500000002</v>
      </c>
      <c r="AA774" s="70">
        <v>62114.470099999999</v>
      </c>
      <c r="AB774" s="70">
        <v>0</v>
      </c>
      <c r="AC774" s="417">
        <v>0</v>
      </c>
      <c r="AD774" s="417">
        <v>0</v>
      </c>
      <c r="AE774" s="378">
        <v>4.3099999999999997E-5</v>
      </c>
      <c r="AF774" s="378"/>
      <c r="AG774" s="70">
        <v>122460.93687499998</v>
      </c>
      <c r="AH774" s="70">
        <v>93735.936874999985</v>
      </c>
      <c r="AI774" s="70">
        <v>51404.936874999992</v>
      </c>
      <c r="AJ774" s="417">
        <v>0</v>
      </c>
      <c r="AK774" s="417">
        <v>0</v>
      </c>
      <c r="AL774" s="378">
        <v>4.3099999999999997E-5</v>
      </c>
      <c r="AM774" s="378"/>
      <c r="AN774" s="70">
        <v>0</v>
      </c>
      <c r="AO774" s="70">
        <v>0</v>
      </c>
      <c r="AP774" s="70">
        <v>0</v>
      </c>
      <c r="AQ774" s="417">
        <v>0</v>
      </c>
      <c r="AR774" s="417">
        <v>0</v>
      </c>
    </row>
    <row r="775" spans="1:44">
      <c r="A775" s="439">
        <v>98321</v>
      </c>
      <c r="B775" s="440" t="s">
        <v>1482</v>
      </c>
      <c r="C775" s="437">
        <v>1.19E-5</v>
      </c>
      <c r="D775" s="441"/>
      <c r="E775" s="438">
        <v>9455.4072749999996</v>
      </c>
      <c r="F775" s="442">
        <v>9230.527075</v>
      </c>
      <c r="G775" s="442">
        <v>3143.6426750000005</v>
      </c>
      <c r="H775" s="442">
        <v>10570.853299999999</v>
      </c>
      <c r="I775" s="442">
        <v>0</v>
      </c>
      <c r="J775" s="443">
        <v>6.4999999999999996E-6</v>
      </c>
      <c r="K775" s="443"/>
      <c r="L775" s="444">
        <v>1917.4113</v>
      </c>
      <c r="M775" s="444">
        <v>786.19729999999993</v>
      </c>
      <c r="N775" s="444">
        <v>-94.521699999999996</v>
      </c>
      <c r="O775" s="444">
        <v>0</v>
      </c>
      <c r="P775" s="417">
        <v>0</v>
      </c>
      <c r="Q775" s="378">
        <v>6.4999999999999996E-6</v>
      </c>
      <c r="R775" s="378"/>
      <c r="S775" s="70">
        <v>4661.8607000000002</v>
      </c>
      <c r="T775" s="105">
        <v>4363.2182999999995</v>
      </c>
      <c r="U775" s="70">
        <v>2592.2246</v>
      </c>
      <c r="V775" s="70">
        <v>10570.853299999999</v>
      </c>
      <c r="W775" s="417">
        <v>0</v>
      </c>
      <c r="X775" s="378">
        <v>6.4999999999999996E-6</v>
      </c>
      <c r="Z775" s="70">
        <v>3349.1954999999998</v>
      </c>
      <c r="AA775" s="70">
        <v>3349.1716999999999</v>
      </c>
      <c r="AB775" s="70">
        <v>0</v>
      </c>
      <c r="AC775" s="417">
        <v>0</v>
      </c>
      <c r="AD775" s="417">
        <v>0</v>
      </c>
      <c r="AE775" s="378">
        <v>6.4999999999999996E-6</v>
      </c>
      <c r="AF775" s="378"/>
      <c r="AG775" s="70">
        <v>731.93977500000028</v>
      </c>
      <c r="AH775" s="70">
        <v>731.93977500000028</v>
      </c>
      <c r="AI775" s="70">
        <v>645.93977500000028</v>
      </c>
      <c r="AJ775" s="417">
        <v>0</v>
      </c>
      <c r="AK775" s="417">
        <v>0</v>
      </c>
      <c r="AL775" s="378">
        <v>6.4999999999999996E-6</v>
      </c>
      <c r="AM775" s="378"/>
      <c r="AN775" s="70">
        <v>-1205</v>
      </c>
      <c r="AO775" s="70">
        <v>0</v>
      </c>
      <c r="AP775" s="70">
        <v>0</v>
      </c>
      <c r="AQ775" s="417">
        <v>0</v>
      </c>
      <c r="AR775" s="417">
        <v>0</v>
      </c>
    </row>
    <row r="776" spans="1:44">
      <c r="A776" s="439">
        <v>98331</v>
      </c>
      <c r="B776" s="440" t="s">
        <v>1483</v>
      </c>
      <c r="C776" s="437">
        <v>6.3999999999999997E-6</v>
      </c>
      <c r="D776" s="441"/>
      <c r="E776" s="438">
        <v>6899.1546500000004</v>
      </c>
      <c r="F776" s="442">
        <v>8033.1434500000005</v>
      </c>
      <c r="G776" s="442">
        <v>1609.7770500000001</v>
      </c>
      <c r="H776" s="442">
        <v>5685.1647999999996</v>
      </c>
      <c r="I776" s="442">
        <v>0</v>
      </c>
      <c r="J776" s="443">
        <v>6.0000000000000002E-6</v>
      </c>
      <c r="K776" s="443"/>
      <c r="L776" s="444">
        <v>1031.2128</v>
      </c>
      <c r="M776" s="444">
        <v>422.8288</v>
      </c>
      <c r="N776" s="444">
        <v>-50.8352</v>
      </c>
      <c r="O776" s="444">
        <v>0</v>
      </c>
      <c r="P776" s="417">
        <v>0</v>
      </c>
      <c r="Q776" s="378">
        <v>6.0000000000000002E-6</v>
      </c>
      <c r="R776" s="378"/>
      <c r="S776" s="70">
        <v>2507.2192</v>
      </c>
      <c r="T776" s="105">
        <v>2346.6048000000001</v>
      </c>
      <c r="U776" s="70">
        <v>1394.1376</v>
      </c>
      <c r="V776" s="70">
        <v>5685.1647999999996</v>
      </c>
      <c r="W776" s="417">
        <v>0</v>
      </c>
      <c r="X776" s="378">
        <v>6.0000000000000002E-6</v>
      </c>
      <c r="Z776" s="70">
        <v>1801.2479999999998</v>
      </c>
      <c r="AA776" s="70">
        <v>1801.2351999999998</v>
      </c>
      <c r="AB776" s="70">
        <v>0</v>
      </c>
      <c r="AC776" s="417">
        <v>0</v>
      </c>
      <c r="AD776" s="417">
        <v>0</v>
      </c>
      <c r="AE776" s="378">
        <v>6.0000000000000002E-6</v>
      </c>
      <c r="AF776" s="378"/>
      <c r="AG776" s="70">
        <v>3764.4746500000001</v>
      </c>
      <c r="AH776" s="70">
        <v>3462.4746500000001</v>
      </c>
      <c r="AI776" s="70">
        <v>266.47465000000011</v>
      </c>
      <c r="AJ776" s="417">
        <v>0</v>
      </c>
      <c r="AK776" s="417">
        <v>0</v>
      </c>
      <c r="AL776" s="378">
        <v>6.0000000000000002E-6</v>
      </c>
      <c r="AM776" s="378"/>
      <c r="AN776" s="70">
        <v>-2205</v>
      </c>
      <c r="AO776" s="70">
        <v>0</v>
      </c>
      <c r="AP776" s="70">
        <v>0</v>
      </c>
      <c r="AQ776" s="417">
        <v>0</v>
      </c>
      <c r="AR776" s="417">
        <v>0</v>
      </c>
    </row>
    <row r="777" spans="1:44">
      <c r="A777" s="439">
        <v>98401</v>
      </c>
      <c r="B777" s="440" t="s">
        <v>1484</v>
      </c>
      <c r="C777" s="437">
        <v>2.8084E-3</v>
      </c>
      <c r="D777" s="441"/>
      <c r="E777" s="438">
        <v>2385914.3245500005</v>
      </c>
      <c r="F777" s="442">
        <v>1982382.5973500004</v>
      </c>
      <c r="G777" s="442">
        <v>560936.87895000027</v>
      </c>
      <c r="H777" s="442">
        <v>2494721.3788000001</v>
      </c>
      <c r="I777" s="442">
        <v>0</v>
      </c>
      <c r="J777" s="443">
        <v>2.6000000000000001E-6</v>
      </c>
      <c r="K777" s="443"/>
      <c r="L777" s="444">
        <v>452509.06679999997</v>
      </c>
      <c r="M777" s="444">
        <v>185542.56279999999</v>
      </c>
      <c r="N777" s="444">
        <v>-22307.121200000001</v>
      </c>
      <c r="O777" s="444">
        <v>0</v>
      </c>
      <c r="P777" s="417">
        <v>0</v>
      </c>
      <c r="Q777" s="378">
        <v>2.6000000000000001E-6</v>
      </c>
      <c r="R777" s="378"/>
      <c r="S777" s="70">
        <v>1100199.1251999999</v>
      </c>
      <c r="T777" s="105">
        <v>1029719.5188</v>
      </c>
      <c r="U777" s="70">
        <v>611765.00560000003</v>
      </c>
      <c r="V777" s="70">
        <v>2494721.3788000001</v>
      </c>
      <c r="W777" s="417">
        <v>0</v>
      </c>
      <c r="X777" s="378">
        <v>2.6000000000000001E-6</v>
      </c>
      <c r="Z777" s="70">
        <v>790410.13800000004</v>
      </c>
      <c r="AA777" s="70">
        <v>790404.52119999996</v>
      </c>
      <c r="AB777" s="70">
        <v>0</v>
      </c>
      <c r="AC777" s="417">
        <v>0</v>
      </c>
      <c r="AD777" s="417">
        <v>0</v>
      </c>
      <c r="AE777" s="378">
        <v>2.6000000000000001E-6</v>
      </c>
      <c r="AF777" s="378"/>
      <c r="AG777" s="70">
        <v>71317</v>
      </c>
      <c r="AH777" s="70">
        <v>5237</v>
      </c>
      <c r="AI777" s="70">
        <v>0</v>
      </c>
      <c r="AJ777" s="417">
        <v>0</v>
      </c>
      <c r="AK777" s="417">
        <v>0</v>
      </c>
      <c r="AL777" s="378">
        <v>2.6000000000000001E-6</v>
      </c>
      <c r="AM777" s="378"/>
      <c r="AN777" s="70">
        <v>-28521.005449999706</v>
      </c>
      <c r="AO777" s="70">
        <v>-28521.005449999706</v>
      </c>
      <c r="AP777" s="70">
        <v>-28521.005449999706</v>
      </c>
      <c r="AQ777" s="417">
        <v>0</v>
      </c>
      <c r="AR777" s="417">
        <v>0</v>
      </c>
    </row>
    <row r="778" spans="1:44">
      <c r="A778" s="439">
        <v>98404</v>
      </c>
      <c r="B778" s="440" t="s">
        <v>1485</v>
      </c>
      <c r="C778" s="437">
        <v>3.54E-5</v>
      </c>
      <c r="D778" s="441"/>
      <c r="E778" s="438">
        <v>40473.856799999994</v>
      </c>
      <c r="F778" s="442">
        <v>35890.263599999998</v>
      </c>
      <c r="G778" s="442">
        <v>13800.893199999999</v>
      </c>
      <c r="H778" s="442">
        <v>31446.067800000001</v>
      </c>
      <c r="I778" s="442">
        <v>0</v>
      </c>
      <c r="J778" s="443">
        <v>3.4799999999999999E-5</v>
      </c>
      <c r="K778" s="443"/>
      <c r="L778" s="444">
        <v>5703.8958000000002</v>
      </c>
      <c r="M778" s="444">
        <v>2338.7718</v>
      </c>
      <c r="N778" s="444">
        <v>-281.18220000000002</v>
      </c>
      <c r="O778" s="444">
        <v>0</v>
      </c>
      <c r="P778" s="417">
        <v>0</v>
      </c>
      <c r="Q778" s="378">
        <v>3.4799999999999999E-5</v>
      </c>
      <c r="R778" s="378"/>
      <c r="S778" s="70">
        <v>13868.056199999999</v>
      </c>
      <c r="T778" s="105">
        <v>12979.657800000001</v>
      </c>
      <c r="U778" s="70">
        <v>7711.3235999999997</v>
      </c>
      <c r="V778" s="70">
        <v>31446.067800000001</v>
      </c>
      <c r="W778" s="417">
        <v>0</v>
      </c>
      <c r="X778" s="378">
        <v>3.4799999999999999E-5</v>
      </c>
      <c r="Z778" s="70">
        <v>9963.1530000000002</v>
      </c>
      <c r="AA778" s="70">
        <v>9963.0822000000007</v>
      </c>
      <c r="AB778" s="70">
        <v>0</v>
      </c>
      <c r="AC778" s="417">
        <v>0</v>
      </c>
      <c r="AD778" s="417">
        <v>0</v>
      </c>
      <c r="AE778" s="378">
        <v>3.4799999999999999E-5</v>
      </c>
      <c r="AF778" s="378"/>
      <c r="AG778" s="70">
        <v>11022.7518</v>
      </c>
      <c r="AH778" s="70">
        <v>10608.7518</v>
      </c>
      <c r="AI778" s="70">
        <v>6370.7518</v>
      </c>
      <c r="AJ778" s="417">
        <v>0</v>
      </c>
      <c r="AK778" s="417">
        <v>0</v>
      </c>
      <c r="AL778" s="378">
        <v>3.4799999999999999E-5</v>
      </c>
      <c r="AM778" s="378"/>
      <c r="AN778" s="70">
        <v>-84</v>
      </c>
      <c r="AO778" s="70">
        <v>0</v>
      </c>
      <c r="AP778" s="70">
        <v>0</v>
      </c>
      <c r="AQ778" s="417">
        <v>0</v>
      </c>
      <c r="AR778" s="417">
        <v>0</v>
      </c>
    </row>
    <row r="779" spans="1:44">
      <c r="A779" s="439">
        <v>98411</v>
      </c>
      <c r="B779" s="440" t="s">
        <v>1486</v>
      </c>
      <c r="C779" s="437">
        <v>1.8399E-3</v>
      </c>
      <c r="D779" s="441"/>
      <c r="E779" s="438">
        <v>1461222.9142749999</v>
      </c>
      <c r="F779" s="442">
        <v>1319408.2100750001</v>
      </c>
      <c r="G779" s="442">
        <v>396405.79767500004</v>
      </c>
      <c r="H779" s="442">
        <v>1634396.0493000001</v>
      </c>
      <c r="I779" s="442">
        <v>0</v>
      </c>
      <c r="J779" s="443">
        <v>7.9999999999999996E-6</v>
      </c>
      <c r="K779" s="443"/>
      <c r="L779" s="444">
        <v>296457.5673</v>
      </c>
      <c r="M779" s="444">
        <v>121556.67329999999</v>
      </c>
      <c r="N779" s="444">
        <v>-14614.325699999999</v>
      </c>
      <c r="O779" s="444">
        <v>0</v>
      </c>
      <c r="P779" s="417">
        <v>0</v>
      </c>
      <c r="Q779" s="378">
        <v>7.9999999999999996E-6</v>
      </c>
      <c r="R779" s="378"/>
      <c r="S779" s="70">
        <v>720786.34470000002</v>
      </c>
      <c r="T779" s="105">
        <v>674612.21429999999</v>
      </c>
      <c r="U779" s="70">
        <v>400792.77659999998</v>
      </c>
      <c r="V779" s="70">
        <v>1634396.0493000001</v>
      </c>
      <c r="W779" s="417">
        <v>0</v>
      </c>
      <c r="X779" s="378">
        <v>7.9999999999999996E-6</v>
      </c>
      <c r="Z779" s="70">
        <v>517830.65549999999</v>
      </c>
      <c r="AA779" s="70">
        <v>517826.97570000001</v>
      </c>
      <c r="AB779" s="70">
        <v>0</v>
      </c>
      <c r="AC779" s="417">
        <v>0</v>
      </c>
      <c r="AD779" s="417">
        <v>0</v>
      </c>
      <c r="AE779" s="378">
        <v>7.9999999999999996E-6</v>
      </c>
      <c r="AF779" s="378"/>
      <c r="AG779" s="70">
        <v>10227.346775000042</v>
      </c>
      <c r="AH779" s="70">
        <v>10227.346775000042</v>
      </c>
      <c r="AI779" s="70">
        <v>10227.346775000042</v>
      </c>
      <c r="AJ779" s="417">
        <v>0</v>
      </c>
      <c r="AK779" s="417">
        <v>0</v>
      </c>
      <c r="AL779" s="378">
        <v>7.9999999999999996E-6</v>
      </c>
      <c r="AM779" s="378"/>
      <c r="AN779" s="70">
        <v>-84079</v>
      </c>
      <c r="AO779" s="70">
        <v>-4815</v>
      </c>
      <c r="AP779" s="70">
        <v>0</v>
      </c>
      <c r="AQ779" s="417">
        <v>0</v>
      </c>
      <c r="AR779" s="417">
        <v>0</v>
      </c>
    </row>
    <row r="780" spans="1:44">
      <c r="A780" s="439">
        <v>98414</v>
      </c>
      <c r="B780" s="440" t="s">
        <v>1487</v>
      </c>
      <c r="C780" s="437">
        <v>3.7599999999999999E-5</v>
      </c>
      <c r="D780" s="441"/>
      <c r="E780" s="438">
        <v>31567.874950000005</v>
      </c>
      <c r="F780" s="442">
        <v>26589.934150000001</v>
      </c>
      <c r="G780" s="442">
        <v>5798.1565500000015</v>
      </c>
      <c r="H780" s="442">
        <v>33400.343199999996</v>
      </c>
      <c r="I780" s="442">
        <v>0</v>
      </c>
      <c r="J780" s="443">
        <v>1.8951E-3</v>
      </c>
      <c r="K780" s="443"/>
      <c r="L780" s="444">
        <v>6058.3751999999995</v>
      </c>
      <c r="M780" s="444">
        <v>2484.1192000000001</v>
      </c>
      <c r="N780" s="444">
        <v>-298.65679999999998</v>
      </c>
      <c r="O780" s="444">
        <v>0</v>
      </c>
      <c r="P780" s="417">
        <v>0</v>
      </c>
      <c r="Q780" s="378">
        <v>1.8951E-3</v>
      </c>
      <c r="R780" s="378"/>
      <c r="S780" s="70">
        <v>14729.9128</v>
      </c>
      <c r="T780" s="105">
        <v>13786.3032</v>
      </c>
      <c r="U780" s="70">
        <v>8190.5583999999999</v>
      </c>
      <c r="V780" s="70">
        <v>33400.343199999996</v>
      </c>
      <c r="W780" s="417">
        <v>0</v>
      </c>
      <c r="X780" s="378">
        <v>1.8951E-3</v>
      </c>
      <c r="Z780" s="70">
        <v>10582.332</v>
      </c>
      <c r="AA780" s="70">
        <v>10582.256799999999</v>
      </c>
      <c r="AB780" s="70">
        <v>0</v>
      </c>
      <c r="AC780" s="417">
        <v>0</v>
      </c>
      <c r="AD780" s="417">
        <v>0</v>
      </c>
      <c r="AE780" s="378">
        <v>1.8951E-3</v>
      </c>
      <c r="AF780" s="378"/>
      <c r="AG780" s="70">
        <v>4315</v>
      </c>
      <c r="AH780" s="70">
        <v>1831</v>
      </c>
      <c r="AI780" s="70">
        <v>0</v>
      </c>
      <c r="AJ780" s="417">
        <v>0</v>
      </c>
      <c r="AK780" s="417">
        <v>0</v>
      </c>
      <c r="AL780" s="378">
        <v>1.8951E-3</v>
      </c>
      <c r="AM780" s="378"/>
      <c r="AN780" s="70">
        <v>-4117.7450499999986</v>
      </c>
      <c r="AO780" s="70">
        <v>-2093.7450499999986</v>
      </c>
      <c r="AP780" s="70">
        <v>-2093.7450499999986</v>
      </c>
      <c r="AQ780" s="417">
        <v>0</v>
      </c>
      <c r="AR780" s="417">
        <v>0</v>
      </c>
    </row>
    <row r="781" spans="1:44">
      <c r="A781" s="439">
        <v>98417</v>
      </c>
      <c r="B781" s="440" t="s">
        <v>1488</v>
      </c>
      <c r="C781" s="437">
        <v>2.0400000000000001E-5</v>
      </c>
      <c r="D781" s="441"/>
      <c r="E781" s="438">
        <v>24131.807000000001</v>
      </c>
      <c r="F781" s="442">
        <v>19476.5838</v>
      </c>
      <c r="G781" s="442">
        <v>6596.3534000000009</v>
      </c>
      <c r="H781" s="442">
        <v>18121.462800000001</v>
      </c>
      <c r="I781" s="442">
        <v>0</v>
      </c>
      <c r="J781" s="443">
        <v>2.1699999999999999E-5</v>
      </c>
      <c r="K781" s="443"/>
      <c r="L781" s="444">
        <v>3286.9908</v>
      </c>
      <c r="M781" s="444">
        <v>1347.7668000000001</v>
      </c>
      <c r="N781" s="444">
        <v>-162.03720000000001</v>
      </c>
      <c r="O781" s="444">
        <v>0</v>
      </c>
      <c r="P781" s="417">
        <v>0</v>
      </c>
      <c r="Q781" s="378">
        <v>2.1699999999999999E-5</v>
      </c>
      <c r="R781" s="378"/>
      <c r="S781" s="70">
        <v>7991.7612000000008</v>
      </c>
      <c r="T781" s="105">
        <v>7479.8028000000004</v>
      </c>
      <c r="U781" s="70">
        <v>4443.8136000000004</v>
      </c>
      <c r="V781" s="70">
        <v>18121.462800000001</v>
      </c>
      <c r="W781" s="417">
        <v>0</v>
      </c>
      <c r="X781" s="378">
        <v>2.1699999999999999E-5</v>
      </c>
      <c r="Z781" s="70">
        <v>5741.4780000000001</v>
      </c>
      <c r="AA781" s="70">
        <v>5741.4372000000003</v>
      </c>
      <c r="AB781" s="70">
        <v>0</v>
      </c>
      <c r="AC781" s="417">
        <v>0</v>
      </c>
      <c r="AD781" s="417">
        <v>0</v>
      </c>
      <c r="AE781" s="378">
        <v>2.1699999999999999E-5</v>
      </c>
      <c r="AF781" s="378"/>
      <c r="AG781" s="70">
        <v>7111.5770000000002</v>
      </c>
      <c r="AH781" s="70">
        <v>4907.5770000000002</v>
      </c>
      <c r="AI781" s="70">
        <v>2314.5770000000002</v>
      </c>
      <c r="AJ781" s="417">
        <v>0</v>
      </c>
      <c r="AK781" s="417">
        <v>0</v>
      </c>
      <c r="AL781" s="378">
        <v>2.1699999999999999E-5</v>
      </c>
      <c r="AM781" s="378"/>
      <c r="AN781" s="70">
        <v>0</v>
      </c>
      <c r="AO781" s="70">
        <v>0</v>
      </c>
      <c r="AP781" s="70">
        <v>0</v>
      </c>
      <c r="AQ781" s="417">
        <v>0</v>
      </c>
      <c r="AR781" s="417">
        <v>0</v>
      </c>
    </row>
    <row r="782" spans="1:44">
      <c r="A782" s="439">
        <v>98421</v>
      </c>
      <c r="B782" s="440" t="s">
        <v>1489</v>
      </c>
      <c r="C782" s="437">
        <v>1.12E-4</v>
      </c>
      <c r="D782" s="441"/>
      <c r="E782" s="438">
        <v>93119.598850000009</v>
      </c>
      <c r="F782" s="442">
        <v>82559.902850000013</v>
      </c>
      <c r="G782" s="442">
        <v>27731.990850000013</v>
      </c>
      <c r="H782" s="442">
        <v>99490.384000000005</v>
      </c>
      <c r="I782" s="442">
        <v>0</v>
      </c>
      <c r="J782" s="443">
        <v>2.4199999999999999E-5</v>
      </c>
      <c r="K782" s="443"/>
      <c r="L782" s="444">
        <v>18046.223999999998</v>
      </c>
      <c r="M782" s="444">
        <v>7399.5039999999999</v>
      </c>
      <c r="N782" s="444">
        <v>-889.61599999999999</v>
      </c>
      <c r="O782" s="444">
        <v>0</v>
      </c>
      <c r="P782" s="417">
        <v>0</v>
      </c>
      <c r="Q782" s="378">
        <v>2.4199999999999999E-5</v>
      </c>
      <c r="R782" s="378"/>
      <c r="S782" s="70">
        <v>43876.336000000003</v>
      </c>
      <c r="T782" s="105">
        <v>41065.584000000003</v>
      </c>
      <c r="U782" s="70">
        <v>24397.407999999999</v>
      </c>
      <c r="V782" s="70">
        <v>99490.384000000005</v>
      </c>
      <c r="W782" s="417">
        <v>0</v>
      </c>
      <c r="X782" s="378">
        <v>2.4199999999999999E-5</v>
      </c>
      <c r="Z782" s="70">
        <v>31521.84</v>
      </c>
      <c r="AA782" s="70">
        <v>31521.615999999998</v>
      </c>
      <c r="AB782" s="70">
        <v>0</v>
      </c>
      <c r="AC782" s="417">
        <v>0</v>
      </c>
      <c r="AD782" s="417">
        <v>0</v>
      </c>
      <c r="AE782" s="378">
        <v>2.4199999999999999E-5</v>
      </c>
      <c r="AF782" s="378"/>
      <c r="AG782" s="70">
        <v>4644.1988500000116</v>
      </c>
      <c r="AH782" s="70">
        <v>4224.1988500000116</v>
      </c>
      <c r="AI782" s="70">
        <v>4224.1988500000116</v>
      </c>
      <c r="AJ782" s="417">
        <v>0</v>
      </c>
      <c r="AK782" s="417">
        <v>0</v>
      </c>
      <c r="AL782" s="378">
        <v>2.4199999999999999E-5</v>
      </c>
      <c r="AM782" s="378"/>
      <c r="AN782" s="70">
        <v>-4969</v>
      </c>
      <c r="AO782" s="70">
        <v>-1651</v>
      </c>
      <c r="AP782" s="70">
        <v>0</v>
      </c>
      <c r="AQ782" s="417">
        <v>0</v>
      </c>
      <c r="AR782" s="417">
        <v>0</v>
      </c>
    </row>
    <row r="783" spans="1:44">
      <c r="A783" s="439">
        <v>98427</v>
      </c>
      <c r="B783" s="440" t="s">
        <v>1490</v>
      </c>
      <c r="C783" s="437">
        <v>6.1999999999999999E-6</v>
      </c>
      <c r="D783" s="441"/>
      <c r="E783" s="438">
        <v>8828.5528999999988</v>
      </c>
      <c r="F783" s="442">
        <v>7214.5733</v>
      </c>
      <c r="G783" s="442">
        <v>3924.0621000000001</v>
      </c>
      <c r="H783" s="442">
        <v>5507.5033999999996</v>
      </c>
      <c r="I783" s="442">
        <v>0</v>
      </c>
      <c r="J783" s="443">
        <v>9.904E-4</v>
      </c>
      <c r="K783" s="443"/>
      <c r="L783" s="444">
        <v>998.98739999999998</v>
      </c>
      <c r="M783" s="444">
        <v>409.61540000000002</v>
      </c>
      <c r="N783" s="444">
        <v>-49.246600000000001</v>
      </c>
      <c r="O783" s="444">
        <v>0</v>
      </c>
      <c r="P783" s="417">
        <v>0</v>
      </c>
      <c r="Q783" s="378">
        <v>9.904E-4</v>
      </c>
      <c r="R783" s="378"/>
      <c r="S783" s="70">
        <v>2428.8685999999998</v>
      </c>
      <c r="T783" s="105">
        <v>2273.2734</v>
      </c>
      <c r="U783" s="70">
        <v>1350.5708</v>
      </c>
      <c r="V783" s="70">
        <v>5507.5033999999996</v>
      </c>
      <c r="W783" s="417">
        <v>0</v>
      </c>
      <c r="X783" s="378">
        <v>9.904E-4</v>
      </c>
      <c r="Z783" s="70">
        <v>1744.9590000000001</v>
      </c>
      <c r="AA783" s="70">
        <v>1744.9466</v>
      </c>
      <c r="AB783" s="70">
        <v>0</v>
      </c>
      <c r="AC783" s="417">
        <v>0</v>
      </c>
      <c r="AD783" s="417">
        <v>0</v>
      </c>
      <c r="AE783" s="378">
        <v>9.904E-4</v>
      </c>
      <c r="AF783" s="378"/>
      <c r="AG783" s="70">
        <v>3655.7379000000001</v>
      </c>
      <c r="AH783" s="70">
        <v>2786.7379000000001</v>
      </c>
      <c r="AI783" s="70">
        <v>2622.7379000000001</v>
      </c>
      <c r="AJ783" s="417">
        <v>0</v>
      </c>
      <c r="AK783" s="417">
        <v>0</v>
      </c>
      <c r="AL783" s="378">
        <v>9.904E-4</v>
      </c>
      <c r="AM783" s="378"/>
      <c r="AN783" s="70">
        <v>0</v>
      </c>
      <c r="AO783" s="70">
        <v>0</v>
      </c>
      <c r="AP783" s="70">
        <v>0</v>
      </c>
      <c r="AQ783" s="417">
        <v>0</v>
      </c>
      <c r="AR783" s="417">
        <v>0</v>
      </c>
    </row>
    <row r="784" spans="1:44">
      <c r="A784" s="439">
        <v>98431</v>
      </c>
      <c r="B784" s="440" t="s">
        <v>1491</v>
      </c>
      <c r="C784" s="437">
        <v>2.565E-4</v>
      </c>
      <c r="D784" s="441"/>
      <c r="E784" s="438">
        <v>218375.92967499996</v>
      </c>
      <c r="F784" s="442">
        <v>188316.40267499996</v>
      </c>
      <c r="G784" s="442">
        <v>39768.608674999981</v>
      </c>
      <c r="H784" s="442">
        <v>227850.74549999999</v>
      </c>
      <c r="I784" s="442">
        <v>0</v>
      </c>
      <c r="J784" s="443">
        <v>1.9320000000000001E-4</v>
      </c>
      <c r="K784" s="443"/>
      <c r="L784" s="444">
        <v>41329.075499999999</v>
      </c>
      <c r="M784" s="444">
        <v>16946.1855</v>
      </c>
      <c r="N784" s="444">
        <v>-2037.3795</v>
      </c>
      <c r="O784" s="444">
        <v>0</v>
      </c>
      <c r="P784" s="417">
        <v>0</v>
      </c>
      <c r="Q784" s="378">
        <v>1.9320000000000001E-4</v>
      </c>
      <c r="R784" s="378"/>
      <c r="S784" s="70">
        <v>100484.64449999999</v>
      </c>
      <c r="T784" s="105">
        <v>94047.520499999999</v>
      </c>
      <c r="U784" s="70">
        <v>55874.421000000002</v>
      </c>
      <c r="V784" s="70">
        <v>227850.74549999999</v>
      </c>
      <c r="W784" s="417">
        <v>0</v>
      </c>
      <c r="X784" s="378">
        <v>1.9320000000000001E-4</v>
      </c>
      <c r="Z784" s="70">
        <v>72190.642500000002</v>
      </c>
      <c r="AA784" s="70">
        <v>72190.129499999995</v>
      </c>
      <c r="AB784" s="70">
        <v>0</v>
      </c>
      <c r="AC784" s="417">
        <v>0</v>
      </c>
      <c r="AD784" s="417">
        <v>0</v>
      </c>
      <c r="AE784" s="378">
        <v>1.9320000000000001E-4</v>
      </c>
      <c r="AF784" s="378"/>
      <c r="AG784" s="70">
        <v>19832</v>
      </c>
      <c r="AH784" s="70">
        <v>19201</v>
      </c>
      <c r="AI784" s="70">
        <v>0</v>
      </c>
      <c r="AJ784" s="417">
        <v>0</v>
      </c>
      <c r="AK784" s="417">
        <v>0</v>
      </c>
      <c r="AL784" s="378">
        <v>1.9320000000000001E-4</v>
      </c>
      <c r="AM784" s="378"/>
      <c r="AN784" s="70">
        <v>-15460.432825000018</v>
      </c>
      <c r="AO784" s="70">
        <v>-14068.432825000018</v>
      </c>
      <c r="AP784" s="70">
        <v>-14068.432825000018</v>
      </c>
      <c r="AQ784" s="417">
        <v>0</v>
      </c>
      <c r="AR784" s="417">
        <v>0</v>
      </c>
    </row>
    <row r="785" spans="1:44">
      <c r="A785" s="439">
        <v>98441</v>
      </c>
      <c r="B785" s="440" t="s">
        <v>1492</v>
      </c>
      <c r="C785" s="437">
        <v>1.2129999999999999E-4</v>
      </c>
      <c r="D785" s="441"/>
      <c r="E785" s="438">
        <v>97560.952275000003</v>
      </c>
      <c r="F785" s="442">
        <v>80248.786875000005</v>
      </c>
      <c r="G785" s="442">
        <v>19398.108075</v>
      </c>
      <c r="H785" s="442">
        <v>107751.6391</v>
      </c>
      <c r="I785" s="442">
        <v>0</v>
      </c>
      <c r="J785" s="443">
        <v>1.26E-5</v>
      </c>
      <c r="K785" s="443"/>
      <c r="L785" s="444">
        <v>19544.705099999999</v>
      </c>
      <c r="M785" s="444">
        <v>8013.9270999999999</v>
      </c>
      <c r="N785" s="444">
        <v>-963.4858999999999</v>
      </c>
      <c r="O785" s="444">
        <v>0</v>
      </c>
      <c r="P785" s="417">
        <v>0</v>
      </c>
      <c r="Q785" s="378">
        <v>1.26E-5</v>
      </c>
      <c r="R785" s="378"/>
      <c r="S785" s="70">
        <v>47519.638899999998</v>
      </c>
      <c r="T785" s="105">
        <v>44475.494099999996</v>
      </c>
      <c r="U785" s="70">
        <v>26423.264199999998</v>
      </c>
      <c r="V785" s="70">
        <v>107751.6391</v>
      </c>
      <c r="W785" s="417">
        <v>0</v>
      </c>
      <c r="X785" s="378">
        <v>1.26E-5</v>
      </c>
      <c r="Z785" s="70">
        <v>34139.2785</v>
      </c>
      <c r="AA785" s="70">
        <v>34139.035899999995</v>
      </c>
      <c r="AB785" s="70">
        <v>0</v>
      </c>
      <c r="AC785" s="417">
        <v>0</v>
      </c>
      <c r="AD785" s="417">
        <v>0</v>
      </c>
      <c r="AE785" s="378">
        <v>1.26E-5</v>
      </c>
      <c r="AF785" s="378"/>
      <c r="AG785" s="70">
        <v>5149</v>
      </c>
      <c r="AH785" s="70">
        <v>0</v>
      </c>
      <c r="AI785" s="70">
        <v>0</v>
      </c>
      <c r="AJ785" s="417">
        <v>0</v>
      </c>
      <c r="AK785" s="417">
        <v>0</v>
      </c>
      <c r="AL785" s="378">
        <v>1.26E-5</v>
      </c>
      <c r="AM785" s="378"/>
      <c r="AN785" s="70">
        <v>-8791.670224999998</v>
      </c>
      <c r="AO785" s="70">
        <v>-6379.670224999998</v>
      </c>
      <c r="AP785" s="70">
        <v>-6061.670224999998</v>
      </c>
      <c r="AQ785" s="417">
        <v>0</v>
      </c>
      <c r="AR785" s="417">
        <v>0</v>
      </c>
    </row>
    <row r="786" spans="1:44">
      <c r="A786" s="439">
        <v>98451</v>
      </c>
      <c r="B786" s="440" t="s">
        <v>1493</v>
      </c>
      <c r="C786" s="437">
        <v>5.1E-5</v>
      </c>
      <c r="D786" s="441"/>
      <c r="E786" s="438">
        <v>48753.349849999999</v>
      </c>
      <c r="F786" s="442">
        <v>47497.291850000009</v>
      </c>
      <c r="G786" s="442">
        <v>10625.215850000002</v>
      </c>
      <c r="H786" s="442">
        <v>45303.656999999999</v>
      </c>
      <c r="I786" s="442">
        <v>0</v>
      </c>
      <c r="J786" s="443">
        <v>6.1E-6</v>
      </c>
      <c r="K786" s="443"/>
      <c r="L786" s="444">
        <v>8217.4770000000008</v>
      </c>
      <c r="M786" s="444">
        <v>3369.4169999999999</v>
      </c>
      <c r="N786" s="444">
        <v>-405.09300000000002</v>
      </c>
      <c r="O786" s="444">
        <v>0</v>
      </c>
      <c r="P786" s="417">
        <v>0</v>
      </c>
      <c r="Q786" s="378">
        <v>6.1E-6</v>
      </c>
      <c r="R786" s="378"/>
      <c r="S786" s="70">
        <v>19979.402999999998</v>
      </c>
      <c r="T786" s="105">
        <v>18699.507000000001</v>
      </c>
      <c r="U786" s="70">
        <v>11109.534</v>
      </c>
      <c r="V786" s="70">
        <v>45303.656999999999</v>
      </c>
      <c r="W786" s="417">
        <v>0</v>
      </c>
      <c r="X786" s="378">
        <v>6.1E-6</v>
      </c>
      <c r="Z786" s="70">
        <v>14353.695</v>
      </c>
      <c r="AA786" s="70">
        <v>14353.593000000001</v>
      </c>
      <c r="AB786" s="70">
        <v>0</v>
      </c>
      <c r="AC786" s="417">
        <v>0</v>
      </c>
      <c r="AD786" s="417">
        <v>0</v>
      </c>
      <c r="AE786" s="378">
        <v>6.1E-6</v>
      </c>
      <c r="AF786" s="378"/>
      <c r="AG786" s="70">
        <v>11194</v>
      </c>
      <c r="AH786" s="70">
        <v>11154</v>
      </c>
      <c r="AI786" s="70">
        <v>0</v>
      </c>
      <c r="AJ786" s="417">
        <v>0</v>
      </c>
      <c r="AK786" s="417">
        <v>0</v>
      </c>
      <c r="AL786" s="378">
        <v>6.1E-6</v>
      </c>
      <c r="AM786" s="378"/>
      <c r="AN786" s="70">
        <v>-4991.2251499999966</v>
      </c>
      <c r="AO786" s="70">
        <v>-79.225149999996574</v>
      </c>
      <c r="AP786" s="70">
        <v>-79.225149999996574</v>
      </c>
      <c r="AQ786" s="417">
        <v>0</v>
      </c>
      <c r="AR786" s="417">
        <v>0</v>
      </c>
    </row>
    <row r="787" spans="1:44">
      <c r="A787" s="439">
        <v>98471</v>
      </c>
      <c r="B787" s="440" t="s">
        <v>1638</v>
      </c>
      <c r="C787" s="437">
        <v>9.5000000000000005E-6</v>
      </c>
      <c r="D787" s="441"/>
      <c r="E787" s="438">
        <v>9206.0276750000012</v>
      </c>
      <c r="F787" s="442">
        <v>7472.5266750000019</v>
      </c>
      <c r="G787" s="442">
        <v>1978.9046750000007</v>
      </c>
      <c r="H787" s="442">
        <v>8438.9165000000012</v>
      </c>
      <c r="I787" s="442">
        <v>0</v>
      </c>
      <c r="J787" s="443">
        <v>2.8972999999999998E-3</v>
      </c>
      <c r="K787" s="443"/>
      <c r="L787" s="444">
        <v>1530.7065</v>
      </c>
      <c r="M787" s="444">
        <v>627.63650000000007</v>
      </c>
      <c r="N787" s="444">
        <v>-75.458500000000001</v>
      </c>
      <c r="O787" s="444">
        <v>0</v>
      </c>
      <c r="P787" s="417">
        <v>0</v>
      </c>
      <c r="Q787" s="378">
        <v>2.8972999999999998E-3</v>
      </c>
      <c r="R787" s="378"/>
      <c r="S787" s="70">
        <v>3721.6535000000003</v>
      </c>
      <c r="T787" s="105">
        <v>3483.2415000000001</v>
      </c>
      <c r="U787" s="70">
        <v>2069.4230000000002</v>
      </c>
      <c r="V787" s="70">
        <v>8438.9165000000012</v>
      </c>
      <c r="W787" s="417">
        <v>0</v>
      </c>
      <c r="X787" s="378">
        <v>2.8972999999999998E-3</v>
      </c>
      <c r="Z787" s="70">
        <v>2673.7275</v>
      </c>
      <c r="AA787" s="70">
        <v>2673.7085000000002</v>
      </c>
      <c r="AB787" s="70">
        <v>0</v>
      </c>
      <c r="AC787" s="417">
        <v>0</v>
      </c>
      <c r="AD787" s="417">
        <v>0</v>
      </c>
      <c r="AE787" s="378">
        <v>2.8972999999999998E-3</v>
      </c>
      <c r="AF787" s="378"/>
      <c r="AG787" s="70">
        <v>1295</v>
      </c>
      <c r="AH787" s="70">
        <v>703</v>
      </c>
      <c r="AI787" s="70">
        <v>0</v>
      </c>
      <c r="AJ787" s="417">
        <v>0</v>
      </c>
      <c r="AK787" s="417">
        <v>0</v>
      </c>
      <c r="AL787" s="378">
        <v>2.8972999999999998E-3</v>
      </c>
      <c r="AM787" s="378"/>
      <c r="AN787" s="70">
        <v>-15.059824999999591</v>
      </c>
      <c r="AO787" s="70">
        <v>-15.059824999999591</v>
      </c>
      <c r="AP787" s="70">
        <v>-15.059824999999591</v>
      </c>
      <c r="AQ787" s="417">
        <v>0</v>
      </c>
      <c r="AR787" s="417">
        <v>0</v>
      </c>
    </row>
    <row r="788" spans="1:44">
      <c r="A788" s="439">
        <v>98481</v>
      </c>
      <c r="B788" s="440" t="s">
        <v>1494</v>
      </c>
      <c r="C788" s="437">
        <v>7.5900000000000002E-5</v>
      </c>
      <c r="D788" s="441"/>
      <c r="E788" s="438">
        <v>66964.843975000011</v>
      </c>
      <c r="F788" s="442">
        <v>60071.851775000017</v>
      </c>
      <c r="G788" s="442">
        <v>16622.303375000007</v>
      </c>
      <c r="H788" s="442">
        <v>67422.501300000004</v>
      </c>
      <c r="I788" s="442">
        <v>0</v>
      </c>
      <c r="J788" s="443">
        <v>2.23E-5</v>
      </c>
      <c r="K788" s="443"/>
      <c r="L788" s="444">
        <v>12229.5393</v>
      </c>
      <c r="M788" s="444">
        <v>5014.4853000000003</v>
      </c>
      <c r="N788" s="444">
        <v>-602.87369999999999</v>
      </c>
      <c r="O788" s="444">
        <v>0</v>
      </c>
      <c r="P788" s="417">
        <v>0</v>
      </c>
      <c r="Q788" s="378">
        <v>2.23E-5</v>
      </c>
      <c r="R788" s="378"/>
      <c r="S788" s="70">
        <v>29734.0527</v>
      </c>
      <c r="T788" s="105">
        <v>27829.266299999999</v>
      </c>
      <c r="U788" s="70">
        <v>16533.600600000002</v>
      </c>
      <c r="V788" s="70">
        <v>67422.501300000004</v>
      </c>
      <c r="W788" s="417">
        <v>0</v>
      </c>
      <c r="X788" s="378">
        <v>2.23E-5</v>
      </c>
      <c r="Z788" s="70">
        <v>21361.675500000001</v>
      </c>
      <c r="AA788" s="70">
        <v>21361.523700000002</v>
      </c>
      <c r="AB788" s="70">
        <v>0</v>
      </c>
      <c r="AC788" s="417">
        <v>0</v>
      </c>
      <c r="AD788" s="417">
        <v>0</v>
      </c>
      <c r="AE788" s="378">
        <v>2.23E-5</v>
      </c>
      <c r="AF788" s="378"/>
      <c r="AG788" s="70">
        <v>5866.5764750000053</v>
      </c>
      <c r="AH788" s="70">
        <v>5866.5764750000053</v>
      </c>
      <c r="AI788" s="70">
        <v>691.5764750000053</v>
      </c>
      <c r="AJ788" s="417">
        <v>0</v>
      </c>
      <c r="AK788" s="417">
        <v>0</v>
      </c>
      <c r="AL788" s="378">
        <v>2.23E-5</v>
      </c>
      <c r="AM788" s="378"/>
      <c r="AN788" s="70">
        <v>-2227</v>
      </c>
      <c r="AO788" s="70">
        <v>0</v>
      </c>
      <c r="AP788" s="70">
        <v>0</v>
      </c>
      <c r="AQ788" s="417">
        <v>0</v>
      </c>
      <c r="AR788" s="417">
        <v>0</v>
      </c>
    </row>
    <row r="789" spans="1:44">
      <c r="A789" s="439">
        <v>98501</v>
      </c>
      <c r="B789" s="440" t="s">
        <v>1495</v>
      </c>
      <c r="C789" s="437">
        <v>2.0772E-3</v>
      </c>
      <c r="D789" s="441"/>
      <c r="E789" s="438">
        <v>1966236.3617</v>
      </c>
      <c r="F789" s="442">
        <v>1611710.1640999999</v>
      </c>
      <c r="G789" s="442">
        <v>403435.05689999991</v>
      </c>
      <c r="H789" s="442">
        <v>1845191.3004000001</v>
      </c>
      <c r="I789" s="442">
        <v>0</v>
      </c>
      <c r="J789" s="443">
        <v>1.7966E-3</v>
      </c>
      <c r="K789" s="443"/>
      <c r="L789" s="444">
        <v>334693.00439999998</v>
      </c>
      <c r="M789" s="444">
        <v>137234.37239999999</v>
      </c>
      <c r="N789" s="444">
        <v>-16499.1996</v>
      </c>
      <c r="O789" s="444">
        <v>0</v>
      </c>
      <c r="P789" s="417">
        <v>0</v>
      </c>
      <c r="Q789" s="378">
        <v>1.7966E-3</v>
      </c>
      <c r="R789" s="378"/>
      <c r="S789" s="70">
        <v>813749.33160000003</v>
      </c>
      <c r="T789" s="105">
        <v>761619.92039999994</v>
      </c>
      <c r="U789" s="70">
        <v>452484.78479999996</v>
      </c>
      <c r="V789" s="70">
        <v>1845191.3004000001</v>
      </c>
      <c r="W789" s="417">
        <v>0</v>
      </c>
      <c r="X789" s="378">
        <v>1.7966E-3</v>
      </c>
      <c r="Z789" s="70">
        <v>584617.554</v>
      </c>
      <c r="AA789" s="70">
        <v>584613.3996</v>
      </c>
      <c r="AB789" s="70">
        <v>0</v>
      </c>
      <c r="AC789" s="417">
        <v>0</v>
      </c>
      <c r="AD789" s="417">
        <v>0</v>
      </c>
      <c r="AE789" s="378">
        <v>1.7966E-3</v>
      </c>
      <c r="AF789" s="378"/>
      <c r="AG789" s="70">
        <v>265727</v>
      </c>
      <c r="AH789" s="70">
        <v>160793</v>
      </c>
      <c r="AI789" s="70">
        <v>0</v>
      </c>
      <c r="AJ789" s="417">
        <v>0</v>
      </c>
      <c r="AK789" s="417">
        <v>0</v>
      </c>
      <c r="AL789" s="378">
        <v>1.7966E-3</v>
      </c>
      <c r="AM789" s="378"/>
      <c r="AN789" s="70">
        <v>-32550.528300000064</v>
      </c>
      <c r="AO789" s="70">
        <v>-32550.528300000064</v>
      </c>
      <c r="AP789" s="70">
        <v>-32550.528300000064</v>
      </c>
      <c r="AQ789" s="417">
        <v>0</v>
      </c>
      <c r="AR789" s="417">
        <v>0</v>
      </c>
    </row>
    <row r="790" spans="1:44">
      <c r="A790" s="439">
        <v>98511</v>
      </c>
      <c r="B790" s="440" t="s">
        <v>1496</v>
      </c>
      <c r="C790" s="437">
        <v>6.9300000000000004E-5</v>
      </c>
      <c r="D790" s="441"/>
      <c r="E790" s="438">
        <v>71359.889725000001</v>
      </c>
      <c r="F790" s="442">
        <v>63078.940325000003</v>
      </c>
      <c r="G790" s="442">
        <v>24385.613525000001</v>
      </c>
      <c r="H790" s="442">
        <v>61559.6751</v>
      </c>
      <c r="I790" s="442">
        <v>0</v>
      </c>
      <c r="J790" s="443">
        <v>3.9700000000000003E-5</v>
      </c>
      <c r="K790" s="443"/>
      <c r="L790" s="444">
        <v>11166.1011</v>
      </c>
      <c r="M790" s="444">
        <v>4578.4431000000004</v>
      </c>
      <c r="N790" s="444">
        <v>-550.44990000000007</v>
      </c>
      <c r="O790" s="444">
        <v>0</v>
      </c>
      <c r="P790" s="417">
        <v>0</v>
      </c>
      <c r="Q790" s="378">
        <v>3.9700000000000003E-5</v>
      </c>
      <c r="R790" s="378"/>
      <c r="S790" s="70">
        <v>27148.482900000003</v>
      </c>
      <c r="T790" s="105">
        <v>25409.330100000003</v>
      </c>
      <c r="U790" s="70">
        <v>15095.896200000001</v>
      </c>
      <c r="V790" s="70">
        <v>61559.6751</v>
      </c>
      <c r="W790" s="417">
        <v>0</v>
      </c>
      <c r="X790" s="378">
        <v>3.9700000000000003E-5</v>
      </c>
      <c r="Z790" s="70">
        <v>19504.138500000001</v>
      </c>
      <c r="AA790" s="70">
        <v>19503.999900000003</v>
      </c>
      <c r="AB790" s="70">
        <v>0</v>
      </c>
      <c r="AC790" s="417">
        <v>0</v>
      </c>
      <c r="AD790" s="417">
        <v>0</v>
      </c>
      <c r="AE790" s="378">
        <v>3.9700000000000003E-5</v>
      </c>
      <c r="AF790" s="378"/>
      <c r="AG790" s="70">
        <v>15146.167224999997</v>
      </c>
      <c r="AH790" s="70">
        <v>13587.167224999997</v>
      </c>
      <c r="AI790" s="70">
        <v>9840.1672249999974</v>
      </c>
      <c r="AJ790" s="417">
        <v>0</v>
      </c>
      <c r="AK790" s="417">
        <v>0</v>
      </c>
      <c r="AL790" s="378">
        <v>3.9700000000000003E-5</v>
      </c>
      <c r="AM790" s="378"/>
      <c r="AN790" s="70">
        <v>-1605</v>
      </c>
      <c r="AO790" s="70">
        <v>0</v>
      </c>
      <c r="AP790" s="70">
        <v>0</v>
      </c>
      <c r="AQ790" s="417">
        <v>0</v>
      </c>
      <c r="AR790" s="417">
        <v>0</v>
      </c>
    </row>
    <row r="791" spans="1:44">
      <c r="A791" s="439">
        <v>98517</v>
      </c>
      <c r="B791" s="440" t="s">
        <v>1497</v>
      </c>
      <c r="C791" s="437">
        <v>1.95E-5</v>
      </c>
      <c r="D791" s="441"/>
      <c r="E791" s="438">
        <v>23441.917375000001</v>
      </c>
      <c r="F791" s="442">
        <v>20963.836374999999</v>
      </c>
      <c r="G791" s="442">
        <v>3758.4543749999993</v>
      </c>
      <c r="H791" s="442">
        <v>17321.986499999999</v>
      </c>
      <c r="I791" s="442">
        <v>0</v>
      </c>
      <c r="J791" s="443">
        <v>2.1399999999999998E-5</v>
      </c>
      <c r="K791" s="443"/>
      <c r="L791" s="444">
        <v>3141.9764999999998</v>
      </c>
      <c r="M791" s="444">
        <v>1288.3064999999999</v>
      </c>
      <c r="N791" s="444">
        <v>-154.88849999999999</v>
      </c>
      <c r="O791" s="444">
        <v>0</v>
      </c>
      <c r="P791" s="417">
        <v>0</v>
      </c>
      <c r="Q791" s="378">
        <v>2.1399999999999998E-5</v>
      </c>
      <c r="R791" s="378"/>
      <c r="S791" s="70">
        <v>7639.1835000000001</v>
      </c>
      <c r="T791" s="105">
        <v>7149.8114999999998</v>
      </c>
      <c r="U791" s="70">
        <v>4247.7629999999999</v>
      </c>
      <c r="V791" s="70">
        <v>17321.986499999999</v>
      </c>
      <c r="W791" s="417">
        <v>0</v>
      </c>
      <c r="X791" s="378">
        <v>2.1399999999999998E-5</v>
      </c>
      <c r="Z791" s="70">
        <v>5488.1774999999998</v>
      </c>
      <c r="AA791" s="70">
        <v>5488.1385</v>
      </c>
      <c r="AB791" s="70">
        <v>0</v>
      </c>
      <c r="AC791" s="417">
        <v>0</v>
      </c>
      <c r="AD791" s="417">
        <v>0</v>
      </c>
      <c r="AE791" s="378">
        <v>2.1399999999999998E-5</v>
      </c>
      <c r="AF791" s="378"/>
      <c r="AG791" s="70">
        <v>7833</v>
      </c>
      <c r="AH791" s="70">
        <v>7372</v>
      </c>
      <c r="AI791" s="70">
        <v>0</v>
      </c>
      <c r="AJ791" s="417">
        <v>0</v>
      </c>
      <c r="AK791" s="417">
        <v>0</v>
      </c>
      <c r="AL791" s="378">
        <v>2.1399999999999998E-5</v>
      </c>
      <c r="AM791" s="378"/>
      <c r="AN791" s="70">
        <v>-660.42012500000055</v>
      </c>
      <c r="AO791" s="70">
        <v>-334.42012500000055</v>
      </c>
      <c r="AP791" s="70">
        <v>-334.42012500000055</v>
      </c>
      <c r="AQ791" s="417">
        <v>0</v>
      </c>
      <c r="AR791" s="417">
        <v>0</v>
      </c>
    </row>
    <row r="792" spans="1:44">
      <c r="A792" s="439">
        <v>98521</v>
      </c>
      <c r="B792" s="440" t="s">
        <v>1498</v>
      </c>
      <c r="C792" s="437">
        <v>6.4190000000000004E-4</v>
      </c>
      <c r="D792" s="441"/>
      <c r="E792" s="438">
        <v>520570.02287500002</v>
      </c>
      <c r="F792" s="442">
        <v>438950.60267499997</v>
      </c>
      <c r="G792" s="442">
        <v>126359.83827499996</v>
      </c>
      <c r="H792" s="442">
        <v>570204.26329999999</v>
      </c>
      <c r="I792" s="442">
        <v>0</v>
      </c>
      <c r="J792" s="443">
        <v>1.053E-4</v>
      </c>
      <c r="K792" s="443"/>
      <c r="L792" s="444">
        <v>103427.4213</v>
      </c>
      <c r="M792" s="444">
        <v>42408.407300000006</v>
      </c>
      <c r="N792" s="444">
        <v>-5098.6117000000004</v>
      </c>
      <c r="O792" s="444">
        <v>0</v>
      </c>
      <c r="P792" s="417">
        <v>0</v>
      </c>
      <c r="Q792" s="378">
        <v>1.053E-4</v>
      </c>
      <c r="R792" s="378"/>
      <c r="S792" s="70">
        <v>251466.2507</v>
      </c>
      <c r="T792" s="105">
        <v>235357.12830000001</v>
      </c>
      <c r="U792" s="70">
        <v>139827.6446</v>
      </c>
      <c r="V792" s="70">
        <v>570204.26329999999</v>
      </c>
      <c r="W792" s="417">
        <v>0</v>
      </c>
      <c r="X792" s="378">
        <v>1.053E-4</v>
      </c>
      <c r="Z792" s="70">
        <v>180659.54550000001</v>
      </c>
      <c r="AA792" s="70">
        <v>180658.2617</v>
      </c>
      <c r="AB792" s="70">
        <v>0</v>
      </c>
      <c r="AC792" s="417">
        <v>0</v>
      </c>
      <c r="AD792" s="417">
        <v>0</v>
      </c>
      <c r="AE792" s="378">
        <v>1.053E-4</v>
      </c>
      <c r="AF792" s="378"/>
      <c r="AG792" s="70">
        <v>9127</v>
      </c>
      <c r="AH792" s="70">
        <v>0</v>
      </c>
      <c r="AI792" s="70">
        <v>0</v>
      </c>
      <c r="AJ792" s="417">
        <v>0</v>
      </c>
      <c r="AK792" s="417">
        <v>0</v>
      </c>
      <c r="AL792" s="378">
        <v>1.053E-4</v>
      </c>
      <c r="AM792" s="378"/>
      <c r="AN792" s="70">
        <v>-24110.194625000033</v>
      </c>
      <c r="AO792" s="70">
        <v>-19473.194625000033</v>
      </c>
      <c r="AP792" s="70">
        <v>-8369.1946250000328</v>
      </c>
      <c r="AQ792" s="417">
        <v>0</v>
      </c>
      <c r="AR792" s="417">
        <v>0</v>
      </c>
    </row>
    <row r="793" spans="1:44">
      <c r="A793" s="439">
        <v>98601</v>
      </c>
      <c r="B793" s="440" t="s">
        <v>1499</v>
      </c>
      <c r="C793" s="437">
        <v>3.5021000000000002E-3</v>
      </c>
      <c r="D793" s="441"/>
      <c r="E793" s="438">
        <v>2842840.9395750002</v>
      </c>
      <c r="F793" s="442">
        <v>2402455.6077750004</v>
      </c>
      <c r="G793" s="442">
        <v>712995.62817500031</v>
      </c>
      <c r="H793" s="442">
        <v>3110939.9447000003</v>
      </c>
      <c r="I793" s="442">
        <v>0</v>
      </c>
      <c r="J793" s="443">
        <v>1.9E-6</v>
      </c>
      <c r="K793" s="443"/>
      <c r="L793" s="444">
        <v>564282.86670000001</v>
      </c>
      <c r="M793" s="444">
        <v>231373.24070000002</v>
      </c>
      <c r="N793" s="444">
        <v>-27817.1803</v>
      </c>
      <c r="O793" s="444">
        <v>0</v>
      </c>
      <c r="P793" s="417">
        <v>0</v>
      </c>
      <c r="Q793" s="378">
        <v>1.9E-6</v>
      </c>
      <c r="R793" s="378"/>
      <c r="S793" s="70">
        <v>1371958.1813000001</v>
      </c>
      <c r="T793" s="105">
        <v>1284069.4797</v>
      </c>
      <c r="U793" s="70">
        <v>762876.45140000002</v>
      </c>
      <c r="V793" s="70">
        <v>3110939.9447000003</v>
      </c>
      <c r="W793" s="417">
        <v>0</v>
      </c>
      <c r="X793" s="378">
        <v>1.9E-6</v>
      </c>
      <c r="Z793" s="70">
        <v>985648.53450000007</v>
      </c>
      <c r="AA793" s="70">
        <v>985641.5303000001</v>
      </c>
      <c r="AB793" s="70">
        <v>0</v>
      </c>
      <c r="AC793" s="417">
        <v>0</v>
      </c>
      <c r="AD793" s="417">
        <v>0</v>
      </c>
      <c r="AE793" s="378">
        <v>1.9E-6</v>
      </c>
      <c r="AF793" s="378"/>
      <c r="AG793" s="70">
        <v>19580</v>
      </c>
      <c r="AH793" s="70">
        <v>0</v>
      </c>
      <c r="AI793" s="70">
        <v>0</v>
      </c>
      <c r="AJ793" s="417">
        <v>0</v>
      </c>
      <c r="AK793" s="417">
        <v>0</v>
      </c>
      <c r="AL793" s="378">
        <v>1.9E-6</v>
      </c>
      <c r="AM793" s="378"/>
      <c r="AN793" s="70">
        <v>-98628.642924999702</v>
      </c>
      <c r="AO793" s="70">
        <v>-98628.642924999702</v>
      </c>
      <c r="AP793" s="70">
        <v>-22063.642924999702</v>
      </c>
      <c r="AQ793" s="417">
        <v>0</v>
      </c>
      <c r="AR793" s="417">
        <v>0</v>
      </c>
    </row>
    <row r="794" spans="1:44">
      <c r="A794" s="439">
        <v>98604</v>
      </c>
      <c r="B794" s="440" t="s">
        <v>1500</v>
      </c>
      <c r="C794" s="437">
        <v>1.7399999999999999E-5</v>
      </c>
      <c r="D794" s="441"/>
      <c r="E794" s="438">
        <v>19440.501899999996</v>
      </c>
      <c r="F794" s="442">
        <v>15285.752699999997</v>
      </c>
      <c r="G794" s="442">
        <v>5624.3502999999982</v>
      </c>
      <c r="H794" s="442">
        <v>15456.541799999999</v>
      </c>
      <c r="I794" s="442">
        <v>0</v>
      </c>
      <c r="J794" s="443">
        <v>2.589E-4</v>
      </c>
      <c r="K794" s="443"/>
      <c r="L794" s="444">
        <v>2803.6097999999997</v>
      </c>
      <c r="M794" s="444">
        <v>1149.5657999999999</v>
      </c>
      <c r="N794" s="444">
        <v>-138.20820000000001</v>
      </c>
      <c r="O794" s="444">
        <v>0</v>
      </c>
      <c r="P794" s="417">
        <v>0</v>
      </c>
      <c r="Q794" s="378">
        <v>2.589E-4</v>
      </c>
      <c r="R794" s="378"/>
      <c r="S794" s="70">
        <v>6816.5021999999999</v>
      </c>
      <c r="T794" s="105">
        <v>6379.8317999999999</v>
      </c>
      <c r="U794" s="70">
        <v>3790.3116</v>
      </c>
      <c r="V794" s="70">
        <v>15456.541799999999</v>
      </c>
      <c r="W794" s="417">
        <v>0</v>
      </c>
      <c r="X794" s="378">
        <v>2.589E-4</v>
      </c>
      <c r="Z794" s="70">
        <v>4897.143</v>
      </c>
      <c r="AA794" s="70">
        <v>4897.1081999999997</v>
      </c>
      <c r="AB794" s="70">
        <v>0</v>
      </c>
      <c r="AC794" s="417">
        <v>0</v>
      </c>
      <c r="AD794" s="417">
        <v>0</v>
      </c>
      <c r="AE794" s="378">
        <v>2.589E-4</v>
      </c>
      <c r="AF794" s="378"/>
      <c r="AG794" s="70">
        <v>4923.2468999999983</v>
      </c>
      <c r="AH794" s="70">
        <v>2859.2468999999987</v>
      </c>
      <c r="AI794" s="70">
        <v>1972.2468999999987</v>
      </c>
      <c r="AJ794" s="417">
        <v>0</v>
      </c>
      <c r="AK794" s="417">
        <v>0</v>
      </c>
      <c r="AL794" s="378">
        <v>2.589E-4</v>
      </c>
      <c r="AM794" s="378"/>
      <c r="AN794" s="70">
        <v>0</v>
      </c>
      <c r="AO794" s="70">
        <v>0</v>
      </c>
      <c r="AP794" s="70">
        <v>0</v>
      </c>
      <c r="AQ794" s="417">
        <v>0</v>
      </c>
      <c r="AR794" s="417">
        <v>0</v>
      </c>
    </row>
    <row r="795" spans="1:44">
      <c r="A795" s="439">
        <v>98607</v>
      </c>
      <c r="B795" s="440" t="s">
        <v>1501</v>
      </c>
      <c r="C795" s="437">
        <v>1.29E-5</v>
      </c>
      <c r="D795" s="441"/>
      <c r="E795" s="438">
        <v>15155.583124999997</v>
      </c>
      <c r="F795" s="442">
        <v>13596.544924999998</v>
      </c>
      <c r="G795" s="442">
        <v>6622.3845249999986</v>
      </c>
      <c r="H795" s="442">
        <v>11459.1603</v>
      </c>
      <c r="I795" s="442">
        <v>0</v>
      </c>
      <c r="J795" s="443">
        <v>1.2449999999999999E-4</v>
      </c>
      <c r="K795" s="443"/>
      <c r="L795" s="444">
        <v>2078.5383000000002</v>
      </c>
      <c r="M795" s="444">
        <v>852.26430000000005</v>
      </c>
      <c r="N795" s="444">
        <v>-102.46470000000001</v>
      </c>
      <c r="O795" s="444">
        <v>0</v>
      </c>
      <c r="P795" s="417">
        <v>0</v>
      </c>
      <c r="Q795" s="378">
        <v>1.2449999999999999E-4</v>
      </c>
      <c r="R795" s="378"/>
      <c r="S795" s="70">
        <v>5053.6136999999999</v>
      </c>
      <c r="T795" s="105">
        <v>4729.8752999999997</v>
      </c>
      <c r="U795" s="70">
        <v>2810.0585999999998</v>
      </c>
      <c r="V795" s="70">
        <v>11459.1603</v>
      </c>
      <c r="W795" s="417">
        <v>0</v>
      </c>
      <c r="X795" s="378">
        <v>1.2449999999999999E-4</v>
      </c>
      <c r="Z795" s="70">
        <v>3630.6405</v>
      </c>
      <c r="AA795" s="70">
        <v>3630.6147000000001</v>
      </c>
      <c r="AB795" s="70">
        <v>0</v>
      </c>
      <c r="AC795" s="417">
        <v>0</v>
      </c>
      <c r="AD795" s="417">
        <v>0</v>
      </c>
      <c r="AE795" s="378">
        <v>1.2449999999999999E-4</v>
      </c>
      <c r="AF795" s="378"/>
      <c r="AG795" s="70">
        <v>4581.7906249999987</v>
      </c>
      <c r="AH795" s="70">
        <v>4383.7906249999987</v>
      </c>
      <c r="AI795" s="70">
        <v>3914.7906249999987</v>
      </c>
      <c r="AJ795" s="417">
        <v>0</v>
      </c>
      <c r="AK795" s="417">
        <v>0</v>
      </c>
      <c r="AL795" s="378">
        <v>1.2449999999999999E-4</v>
      </c>
      <c r="AM795" s="378"/>
      <c r="AN795" s="70">
        <v>-189</v>
      </c>
      <c r="AO795" s="70">
        <v>0</v>
      </c>
      <c r="AP795" s="70">
        <v>0</v>
      </c>
      <c r="AQ795" s="417">
        <v>0</v>
      </c>
      <c r="AR795" s="417">
        <v>0</v>
      </c>
    </row>
    <row r="796" spans="1:44">
      <c r="A796" s="439">
        <v>98608</v>
      </c>
      <c r="B796" s="440" t="s">
        <v>1502</v>
      </c>
      <c r="C796" s="437">
        <v>6.3899999999999995E-5</v>
      </c>
      <c r="D796" s="441"/>
      <c r="E796" s="438">
        <v>64085.781924999996</v>
      </c>
      <c r="F796" s="442">
        <v>47469.685724999996</v>
      </c>
      <c r="G796" s="442">
        <v>11783.449325</v>
      </c>
      <c r="H796" s="442">
        <v>56762.817299999995</v>
      </c>
      <c r="I796" s="442">
        <v>0</v>
      </c>
      <c r="J796" s="443">
        <v>4.9799999999999998E-5</v>
      </c>
      <c r="K796" s="443"/>
      <c r="L796" s="444">
        <v>10296.015299999999</v>
      </c>
      <c r="M796" s="444">
        <v>4221.6812999999993</v>
      </c>
      <c r="N796" s="444">
        <v>-507.55769999999995</v>
      </c>
      <c r="O796" s="444">
        <v>0</v>
      </c>
      <c r="P796" s="417">
        <v>0</v>
      </c>
      <c r="Q796" s="378">
        <v>4.9799999999999998E-5</v>
      </c>
      <c r="R796" s="378"/>
      <c r="S796" s="70">
        <v>25033.016699999996</v>
      </c>
      <c r="T796" s="105">
        <v>23429.382299999997</v>
      </c>
      <c r="U796" s="70">
        <v>13919.592599999998</v>
      </c>
      <c r="V796" s="70">
        <v>56762.817299999995</v>
      </c>
      <c r="W796" s="417">
        <v>0</v>
      </c>
      <c r="X796" s="378">
        <v>4.9799999999999998E-5</v>
      </c>
      <c r="Z796" s="70">
        <v>17984.335499999997</v>
      </c>
      <c r="AA796" s="70">
        <v>17984.207699999999</v>
      </c>
      <c r="AB796" s="70">
        <v>0</v>
      </c>
      <c r="AC796" s="417">
        <v>0</v>
      </c>
      <c r="AD796" s="417">
        <v>0</v>
      </c>
      <c r="AE796" s="378">
        <v>4.9799999999999998E-5</v>
      </c>
      <c r="AF796" s="378"/>
      <c r="AG796" s="70">
        <v>12401</v>
      </c>
      <c r="AH796" s="70">
        <v>3463</v>
      </c>
      <c r="AI796" s="70">
        <v>0</v>
      </c>
      <c r="AJ796" s="417">
        <v>0</v>
      </c>
      <c r="AK796" s="417">
        <v>0</v>
      </c>
      <c r="AL796" s="378">
        <v>4.9799999999999998E-5</v>
      </c>
      <c r="AM796" s="378"/>
      <c r="AN796" s="70">
        <v>-1628.5855749999992</v>
      </c>
      <c r="AO796" s="70">
        <v>-1628.5855749999992</v>
      </c>
      <c r="AP796" s="70">
        <v>-1628.5855749999992</v>
      </c>
      <c r="AQ796" s="417">
        <v>0</v>
      </c>
      <c r="AR796" s="417">
        <v>0</v>
      </c>
    </row>
    <row r="797" spans="1:44">
      <c r="A797" s="439">
        <v>98611</v>
      </c>
      <c r="B797" s="440" t="s">
        <v>1503</v>
      </c>
      <c r="C797" s="437">
        <v>1.3009999999999999E-4</v>
      </c>
      <c r="D797" s="441"/>
      <c r="E797" s="438">
        <v>114951.310925</v>
      </c>
      <c r="F797" s="442">
        <v>102084.755125</v>
      </c>
      <c r="G797" s="442">
        <v>34677.447524999996</v>
      </c>
      <c r="H797" s="442">
        <v>115568.74069999999</v>
      </c>
      <c r="I797" s="442">
        <v>0</v>
      </c>
      <c r="J797" s="443">
        <v>8.3999999999999992E-6</v>
      </c>
      <c r="K797" s="443"/>
      <c r="L797" s="444">
        <v>20962.6227</v>
      </c>
      <c r="M797" s="444">
        <v>8595.3166999999994</v>
      </c>
      <c r="N797" s="444">
        <v>-1033.3842999999999</v>
      </c>
      <c r="O797" s="444">
        <v>0</v>
      </c>
      <c r="P797" s="417">
        <v>0</v>
      </c>
      <c r="Q797" s="378">
        <v>8.3999999999999992E-6</v>
      </c>
      <c r="R797" s="378"/>
      <c r="S797" s="70">
        <v>50967.065299999995</v>
      </c>
      <c r="T797" s="105">
        <v>47702.075699999994</v>
      </c>
      <c r="U797" s="70">
        <v>28340.203399999999</v>
      </c>
      <c r="V797" s="70">
        <v>115568.74069999999</v>
      </c>
      <c r="W797" s="417">
        <v>0</v>
      </c>
      <c r="X797" s="378">
        <v>8.3999999999999992E-6</v>
      </c>
      <c r="Z797" s="70">
        <v>36615.994500000001</v>
      </c>
      <c r="AA797" s="70">
        <v>36615.734299999996</v>
      </c>
      <c r="AB797" s="70">
        <v>0</v>
      </c>
      <c r="AC797" s="417">
        <v>0</v>
      </c>
      <c r="AD797" s="417">
        <v>0</v>
      </c>
      <c r="AE797" s="378">
        <v>8.3999999999999992E-6</v>
      </c>
      <c r="AF797" s="378"/>
      <c r="AG797" s="70">
        <v>10721.628425000003</v>
      </c>
      <c r="AH797" s="70">
        <v>9171.6284250000026</v>
      </c>
      <c r="AI797" s="70">
        <v>7370.6284250000026</v>
      </c>
      <c r="AJ797" s="417">
        <v>0</v>
      </c>
      <c r="AK797" s="417">
        <v>0</v>
      </c>
      <c r="AL797" s="378">
        <v>8.3999999999999992E-6</v>
      </c>
      <c r="AM797" s="378"/>
      <c r="AN797" s="70">
        <v>-4316</v>
      </c>
      <c r="AO797" s="70">
        <v>0</v>
      </c>
      <c r="AP797" s="70">
        <v>0</v>
      </c>
      <c r="AQ797" s="417">
        <v>0</v>
      </c>
      <c r="AR797" s="417">
        <v>0</v>
      </c>
    </row>
    <row r="798" spans="1:44">
      <c r="A798" s="439">
        <v>98621</v>
      </c>
      <c r="B798" s="440" t="s">
        <v>1504</v>
      </c>
      <c r="C798" s="437">
        <v>1.371E-4</v>
      </c>
      <c r="D798" s="441"/>
      <c r="E798" s="438">
        <v>113441.36042499998</v>
      </c>
      <c r="F798" s="442">
        <v>94791.698624999975</v>
      </c>
      <c r="G798" s="442">
        <v>26127.459024999982</v>
      </c>
      <c r="H798" s="442">
        <v>121786.8897</v>
      </c>
      <c r="I798" s="442">
        <v>0</v>
      </c>
      <c r="J798" s="443">
        <v>7.0199999999999999E-5</v>
      </c>
      <c r="K798" s="443"/>
      <c r="L798" s="444">
        <v>22090.511699999999</v>
      </c>
      <c r="M798" s="444">
        <v>9057.7857000000004</v>
      </c>
      <c r="N798" s="444">
        <v>-1088.9853000000001</v>
      </c>
      <c r="O798" s="444">
        <v>0</v>
      </c>
      <c r="P798" s="417">
        <v>0</v>
      </c>
      <c r="Q798" s="378">
        <v>7.0199999999999999E-5</v>
      </c>
      <c r="R798" s="378"/>
      <c r="S798" s="70">
        <v>53709.336300000003</v>
      </c>
      <c r="T798" s="105">
        <v>50268.674699999996</v>
      </c>
      <c r="U798" s="70">
        <v>29865.041399999998</v>
      </c>
      <c r="V798" s="70">
        <v>121786.8897</v>
      </c>
      <c r="W798" s="417">
        <v>0</v>
      </c>
      <c r="X798" s="378">
        <v>7.0199999999999999E-5</v>
      </c>
      <c r="Z798" s="70">
        <v>38586.109499999999</v>
      </c>
      <c r="AA798" s="70">
        <v>38585.835299999999</v>
      </c>
      <c r="AB798" s="70">
        <v>0</v>
      </c>
      <c r="AC798" s="417">
        <v>0</v>
      </c>
      <c r="AD798" s="417">
        <v>0</v>
      </c>
      <c r="AE798" s="378">
        <v>7.0199999999999999E-5</v>
      </c>
      <c r="AF798" s="378"/>
      <c r="AG798" s="70">
        <v>3734</v>
      </c>
      <c r="AH798" s="70">
        <v>0</v>
      </c>
      <c r="AI798" s="70">
        <v>0</v>
      </c>
      <c r="AJ798" s="417">
        <v>0</v>
      </c>
      <c r="AK798" s="417">
        <v>0</v>
      </c>
      <c r="AL798" s="378">
        <v>7.0199999999999999E-5</v>
      </c>
      <c r="AM798" s="378"/>
      <c r="AN798" s="70">
        <v>-4678.597075000016</v>
      </c>
      <c r="AO798" s="70">
        <v>-3120.597075000016</v>
      </c>
      <c r="AP798" s="70">
        <v>-2648.597075000016</v>
      </c>
      <c r="AQ798" s="417">
        <v>0</v>
      </c>
      <c r="AR798" s="417">
        <v>0</v>
      </c>
    </row>
    <row r="799" spans="1:44">
      <c r="A799" s="439">
        <v>98627</v>
      </c>
      <c r="B799" s="440" t="s">
        <v>1505</v>
      </c>
      <c r="C799" s="437">
        <v>1.0200000000000001E-5</v>
      </c>
      <c r="D799" s="441"/>
      <c r="E799" s="438">
        <v>9752.3037499999991</v>
      </c>
      <c r="F799" s="442">
        <v>8866.6921500000008</v>
      </c>
      <c r="G799" s="442">
        <v>2113.0769500000001</v>
      </c>
      <c r="H799" s="442">
        <v>9060.7314000000006</v>
      </c>
      <c r="I799" s="442">
        <v>0</v>
      </c>
      <c r="J799" s="443">
        <v>2.1158000000000001E-3</v>
      </c>
      <c r="K799" s="443"/>
      <c r="L799" s="444">
        <v>1643.4954</v>
      </c>
      <c r="M799" s="444">
        <v>673.88340000000005</v>
      </c>
      <c r="N799" s="444">
        <v>-81.018600000000006</v>
      </c>
      <c r="O799" s="444">
        <v>0</v>
      </c>
      <c r="P799" s="417">
        <v>0</v>
      </c>
      <c r="Q799" s="378">
        <v>2.1158000000000001E-3</v>
      </c>
      <c r="R799" s="378"/>
      <c r="S799" s="70">
        <v>3995.8806000000004</v>
      </c>
      <c r="T799" s="105">
        <v>3739.9014000000002</v>
      </c>
      <c r="U799" s="70">
        <v>2221.9068000000002</v>
      </c>
      <c r="V799" s="70">
        <v>9060.7314000000006</v>
      </c>
      <c r="W799" s="417">
        <v>0</v>
      </c>
      <c r="X799" s="378">
        <v>2.1158000000000001E-3</v>
      </c>
      <c r="Z799" s="70">
        <v>2870.739</v>
      </c>
      <c r="AA799" s="70">
        <v>2870.7186000000002</v>
      </c>
      <c r="AB799" s="70">
        <v>0</v>
      </c>
      <c r="AC799" s="417">
        <v>0</v>
      </c>
      <c r="AD799" s="417">
        <v>0</v>
      </c>
      <c r="AE799" s="378">
        <v>2.1158000000000001E-3</v>
      </c>
      <c r="AF799" s="378"/>
      <c r="AG799" s="70">
        <v>1610</v>
      </c>
      <c r="AH799" s="70">
        <v>1610</v>
      </c>
      <c r="AI799" s="70">
        <v>0</v>
      </c>
      <c r="AJ799" s="417">
        <v>0</v>
      </c>
      <c r="AK799" s="417">
        <v>0</v>
      </c>
      <c r="AL799" s="378">
        <v>2.1158000000000001E-3</v>
      </c>
      <c r="AM799" s="378"/>
      <c r="AN799" s="70">
        <v>-367.8112500000002</v>
      </c>
      <c r="AO799" s="70">
        <v>-27.8112500000002</v>
      </c>
      <c r="AP799" s="70">
        <v>-27.8112500000002</v>
      </c>
      <c r="AQ799" s="417">
        <v>0</v>
      </c>
      <c r="AR799" s="417">
        <v>0</v>
      </c>
    </row>
    <row r="800" spans="1:44">
      <c r="A800" s="439">
        <v>98631</v>
      </c>
      <c r="B800" s="440" t="s">
        <v>1506</v>
      </c>
      <c r="C800" s="437">
        <v>8.3949999999999997E-4</v>
      </c>
      <c r="D800" s="441"/>
      <c r="E800" s="438">
        <v>632025.13587499992</v>
      </c>
      <c r="F800" s="442">
        <v>558945.49487499986</v>
      </c>
      <c r="G800" s="442">
        <v>182725.7928749999</v>
      </c>
      <c r="H800" s="442">
        <v>745733.72649999999</v>
      </c>
      <c r="I800" s="442">
        <v>0</v>
      </c>
      <c r="J800" s="443">
        <v>4.9599999999999999E-5</v>
      </c>
      <c r="K800" s="443"/>
      <c r="L800" s="444">
        <v>135266.1165</v>
      </c>
      <c r="M800" s="444">
        <v>55463.246500000001</v>
      </c>
      <c r="N800" s="444">
        <v>-6668.1484999999993</v>
      </c>
      <c r="O800" s="444">
        <v>0</v>
      </c>
      <c r="P800" s="417">
        <v>0</v>
      </c>
      <c r="Q800" s="378">
        <v>4.9599999999999999E-5</v>
      </c>
      <c r="R800" s="378"/>
      <c r="S800" s="70">
        <v>328876.64350000001</v>
      </c>
      <c r="T800" s="105">
        <v>307808.5515</v>
      </c>
      <c r="U800" s="70">
        <v>182871.64299999998</v>
      </c>
      <c r="V800" s="70">
        <v>745733.72649999999</v>
      </c>
      <c r="W800" s="417">
        <v>0</v>
      </c>
      <c r="X800" s="378">
        <v>4.9599999999999999E-5</v>
      </c>
      <c r="Z800" s="70">
        <v>236273.07749999998</v>
      </c>
      <c r="AA800" s="70">
        <v>236271.39849999998</v>
      </c>
      <c r="AB800" s="70">
        <v>0</v>
      </c>
      <c r="AC800" s="417">
        <v>0</v>
      </c>
      <c r="AD800" s="417">
        <v>0</v>
      </c>
      <c r="AE800" s="378">
        <v>4.9599999999999999E-5</v>
      </c>
      <c r="AF800" s="378"/>
      <c r="AG800" s="70">
        <v>6522.2983749999257</v>
      </c>
      <c r="AH800" s="70">
        <v>6522.2983749999257</v>
      </c>
      <c r="AI800" s="70">
        <v>6522.2983749999257</v>
      </c>
      <c r="AJ800" s="417">
        <v>0</v>
      </c>
      <c r="AK800" s="417">
        <v>0</v>
      </c>
      <c r="AL800" s="378">
        <v>4.9599999999999999E-5</v>
      </c>
      <c r="AM800" s="378"/>
      <c r="AN800" s="70">
        <v>-74913</v>
      </c>
      <c r="AO800" s="70">
        <v>-47120</v>
      </c>
      <c r="AP800" s="70">
        <v>0</v>
      </c>
      <c r="AQ800" s="417">
        <v>0</v>
      </c>
      <c r="AR800" s="417">
        <v>0</v>
      </c>
    </row>
    <row r="801" spans="1:44">
      <c r="A801" s="439">
        <v>98637</v>
      </c>
      <c r="B801" s="440" t="s">
        <v>1507</v>
      </c>
      <c r="C801" s="437">
        <v>2.1500000000000001E-5</v>
      </c>
      <c r="D801" s="441"/>
      <c r="E801" s="438">
        <v>27594.796224999998</v>
      </c>
      <c r="F801" s="442">
        <v>18971.399225000001</v>
      </c>
      <c r="G801" s="442">
        <v>7208.4652249999999</v>
      </c>
      <c r="H801" s="442">
        <v>19098.6005</v>
      </c>
      <c r="I801" s="442">
        <v>0</v>
      </c>
      <c r="J801" s="443">
        <v>1.5999999999999999E-5</v>
      </c>
      <c r="K801" s="443"/>
      <c r="L801" s="444">
        <v>3464.2305000000001</v>
      </c>
      <c r="M801" s="444">
        <v>1420.4405000000002</v>
      </c>
      <c r="N801" s="444">
        <v>-170.77450000000002</v>
      </c>
      <c r="O801" s="444">
        <v>0</v>
      </c>
      <c r="P801" s="417">
        <v>0</v>
      </c>
      <c r="Q801" s="378">
        <v>1.5999999999999999E-5</v>
      </c>
      <c r="R801" s="378"/>
      <c r="S801" s="70">
        <v>8422.6895000000004</v>
      </c>
      <c r="T801" s="105">
        <v>7883.1255000000001</v>
      </c>
      <c r="U801" s="70">
        <v>4683.4310000000005</v>
      </c>
      <c r="V801" s="70">
        <v>19098.6005</v>
      </c>
      <c r="W801" s="417">
        <v>0</v>
      </c>
      <c r="X801" s="378">
        <v>1.5999999999999999E-5</v>
      </c>
      <c r="Z801" s="70">
        <v>6051.0675000000001</v>
      </c>
      <c r="AA801" s="70">
        <v>6051.0245000000004</v>
      </c>
      <c r="AB801" s="70">
        <v>0</v>
      </c>
      <c r="AC801" s="417">
        <v>0</v>
      </c>
      <c r="AD801" s="417">
        <v>0</v>
      </c>
      <c r="AE801" s="378">
        <v>1.5999999999999999E-5</v>
      </c>
      <c r="AF801" s="378"/>
      <c r="AG801" s="70">
        <v>9656.808724999999</v>
      </c>
      <c r="AH801" s="70">
        <v>3616.8087249999999</v>
      </c>
      <c r="AI801" s="70">
        <v>2695.8087249999999</v>
      </c>
      <c r="AJ801" s="417">
        <v>0</v>
      </c>
      <c r="AK801" s="417">
        <v>0</v>
      </c>
      <c r="AL801" s="378">
        <v>1.5999999999999999E-5</v>
      </c>
      <c r="AM801" s="378"/>
      <c r="AN801" s="70">
        <v>0</v>
      </c>
      <c r="AO801" s="70">
        <v>0</v>
      </c>
      <c r="AP801" s="70">
        <v>0</v>
      </c>
      <c r="AQ801" s="417">
        <v>0</v>
      </c>
      <c r="AR801" s="417">
        <v>0</v>
      </c>
    </row>
    <row r="802" spans="1:44">
      <c r="A802" s="439">
        <v>98641</v>
      </c>
      <c r="B802" s="440" t="s">
        <v>1508</v>
      </c>
      <c r="C802" s="437">
        <v>2.9119999999999998E-4</v>
      </c>
      <c r="D802" s="441"/>
      <c r="E802" s="438">
        <v>250415.84929999997</v>
      </c>
      <c r="F802" s="442">
        <v>207655.83969999995</v>
      </c>
      <c r="G802" s="442">
        <v>49159.668499999978</v>
      </c>
      <c r="H802" s="442">
        <v>258674.99839999998</v>
      </c>
      <c r="I802" s="442">
        <v>0</v>
      </c>
      <c r="J802" s="443">
        <v>6.4740000000000002E-4</v>
      </c>
      <c r="K802" s="443"/>
      <c r="L802" s="444">
        <v>46920.182399999998</v>
      </c>
      <c r="M802" s="444">
        <v>19238.7104</v>
      </c>
      <c r="N802" s="444">
        <v>-2313.0015999999996</v>
      </c>
      <c r="O802" s="444">
        <v>0</v>
      </c>
      <c r="P802" s="417">
        <v>0</v>
      </c>
      <c r="Q802" s="378">
        <v>6.4740000000000002E-4</v>
      </c>
      <c r="R802" s="378"/>
      <c r="S802" s="70">
        <v>114078.4736</v>
      </c>
      <c r="T802" s="105">
        <v>106770.51839999999</v>
      </c>
      <c r="U802" s="70">
        <v>63433.260799999996</v>
      </c>
      <c r="V802" s="70">
        <v>258674.99839999998</v>
      </c>
      <c r="W802" s="417">
        <v>0</v>
      </c>
      <c r="X802" s="378">
        <v>6.4740000000000002E-4</v>
      </c>
      <c r="Z802" s="70">
        <v>81956.784</v>
      </c>
      <c r="AA802" s="70">
        <v>81956.2016</v>
      </c>
      <c r="AB802" s="70">
        <v>0</v>
      </c>
      <c r="AC802" s="417">
        <v>0</v>
      </c>
      <c r="AD802" s="417">
        <v>0</v>
      </c>
      <c r="AE802" s="378">
        <v>6.4740000000000002E-4</v>
      </c>
      <c r="AF802" s="378"/>
      <c r="AG802" s="70">
        <v>21079</v>
      </c>
      <c r="AH802" s="70">
        <v>11651</v>
      </c>
      <c r="AI802" s="70">
        <v>0</v>
      </c>
      <c r="AJ802" s="417">
        <v>0</v>
      </c>
      <c r="AK802" s="417">
        <v>0</v>
      </c>
      <c r="AL802" s="378">
        <v>6.4740000000000002E-4</v>
      </c>
      <c r="AM802" s="378"/>
      <c r="AN802" s="70">
        <v>-13618.590700000022</v>
      </c>
      <c r="AO802" s="70">
        <v>-11960.590700000022</v>
      </c>
      <c r="AP802" s="70">
        <v>-11960.590700000022</v>
      </c>
      <c r="AQ802" s="417">
        <v>0</v>
      </c>
      <c r="AR802" s="417">
        <v>0</v>
      </c>
    </row>
    <row r="803" spans="1:44">
      <c r="A803" s="439">
        <v>98701</v>
      </c>
      <c r="B803" s="440" t="s">
        <v>1509</v>
      </c>
      <c r="C803" s="437">
        <v>1.1123999999999999E-3</v>
      </c>
      <c r="D803" s="441"/>
      <c r="E803" s="438">
        <v>990002.4034999999</v>
      </c>
      <c r="F803" s="442">
        <v>858567.64429999993</v>
      </c>
      <c r="G803" s="442">
        <v>257696.02190000002</v>
      </c>
      <c r="H803" s="442">
        <v>988152.70679999993</v>
      </c>
      <c r="I803" s="442">
        <v>0</v>
      </c>
      <c r="J803" s="443">
        <v>3.5036999999999998E-3</v>
      </c>
      <c r="K803" s="443"/>
      <c r="L803" s="444">
        <v>179237.67479999998</v>
      </c>
      <c r="M803" s="444">
        <v>73492.930800000002</v>
      </c>
      <c r="N803" s="444">
        <v>-8835.7932000000001</v>
      </c>
      <c r="O803" s="444">
        <v>0</v>
      </c>
      <c r="P803" s="417">
        <v>0</v>
      </c>
      <c r="Q803" s="378">
        <v>3.5036999999999998E-3</v>
      </c>
      <c r="R803" s="378"/>
      <c r="S803" s="70">
        <v>435786.03719999996</v>
      </c>
      <c r="T803" s="105">
        <v>407869.24679999996</v>
      </c>
      <c r="U803" s="70">
        <v>242318.5416</v>
      </c>
      <c r="V803" s="70">
        <v>988152.70679999993</v>
      </c>
      <c r="W803" s="417">
        <v>0</v>
      </c>
      <c r="X803" s="378">
        <v>3.5036999999999998E-3</v>
      </c>
      <c r="Z803" s="70">
        <v>313079.41800000001</v>
      </c>
      <c r="AA803" s="70">
        <v>313077.19319999998</v>
      </c>
      <c r="AB803" s="70">
        <v>0</v>
      </c>
      <c r="AC803" s="417">
        <v>0</v>
      </c>
      <c r="AD803" s="417">
        <v>0</v>
      </c>
      <c r="AE803" s="378">
        <v>3.5036999999999998E-3</v>
      </c>
      <c r="AF803" s="378"/>
      <c r="AG803" s="70">
        <v>81278.273500000039</v>
      </c>
      <c r="AH803" s="70">
        <v>64128.273500000039</v>
      </c>
      <c r="AI803" s="70">
        <v>24213.273500000039</v>
      </c>
      <c r="AJ803" s="417">
        <v>0</v>
      </c>
      <c r="AK803" s="417">
        <v>0</v>
      </c>
      <c r="AL803" s="378">
        <v>3.5036999999999998E-3</v>
      </c>
      <c r="AM803" s="378"/>
      <c r="AN803" s="70">
        <v>-19379</v>
      </c>
      <c r="AO803" s="70">
        <v>0</v>
      </c>
      <c r="AP803" s="70">
        <v>0</v>
      </c>
      <c r="AQ803" s="417">
        <v>0</v>
      </c>
      <c r="AR803" s="417">
        <v>0</v>
      </c>
    </row>
    <row r="804" spans="1:44">
      <c r="A804" s="439">
        <v>98711</v>
      </c>
      <c r="B804" s="440" t="s">
        <v>1510</v>
      </c>
      <c r="C804" s="437">
        <v>1.7450000000000001E-4</v>
      </c>
      <c r="D804" s="441"/>
      <c r="E804" s="438">
        <v>146059.45092500004</v>
      </c>
      <c r="F804" s="442">
        <v>136832.87992500002</v>
      </c>
      <c r="G804" s="442">
        <v>39876.717925000012</v>
      </c>
      <c r="H804" s="442">
        <v>155009.57150000002</v>
      </c>
      <c r="I804" s="442">
        <v>0</v>
      </c>
      <c r="J804" s="443">
        <v>1.5099999999999999E-5</v>
      </c>
      <c r="K804" s="443"/>
      <c r="L804" s="444">
        <v>28116.661500000002</v>
      </c>
      <c r="M804" s="444">
        <v>11528.691500000001</v>
      </c>
      <c r="N804" s="444">
        <v>-1386.0535000000002</v>
      </c>
      <c r="O804" s="444">
        <v>0</v>
      </c>
      <c r="P804" s="417">
        <v>0</v>
      </c>
      <c r="Q804" s="378">
        <v>1.5099999999999999E-5</v>
      </c>
      <c r="R804" s="378"/>
      <c r="S804" s="70">
        <v>68360.89850000001</v>
      </c>
      <c r="T804" s="105">
        <v>63981.646500000003</v>
      </c>
      <c r="U804" s="70">
        <v>38012.033000000003</v>
      </c>
      <c r="V804" s="70">
        <v>155009.57150000002</v>
      </c>
      <c r="W804" s="417">
        <v>0</v>
      </c>
      <c r="X804" s="378">
        <v>1.5099999999999999E-5</v>
      </c>
      <c r="Z804" s="70">
        <v>49112.152500000004</v>
      </c>
      <c r="AA804" s="70">
        <v>49111.803500000002</v>
      </c>
      <c r="AB804" s="70">
        <v>0</v>
      </c>
      <c r="AC804" s="417">
        <v>0</v>
      </c>
      <c r="AD804" s="417">
        <v>0</v>
      </c>
      <c r="AE804" s="378">
        <v>1.5099999999999999E-5</v>
      </c>
      <c r="AF804" s="378"/>
      <c r="AG804" s="70">
        <v>12210.73842500001</v>
      </c>
      <c r="AH804" s="70">
        <v>12210.73842500001</v>
      </c>
      <c r="AI804" s="70">
        <v>3250.7384250000105</v>
      </c>
      <c r="AJ804" s="417">
        <v>0</v>
      </c>
      <c r="AK804" s="417">
        <v>0</v>
      </c>
      <c r="AL804" s="378">
        <v>1.5099999999999999E-5</v>
      </c>
      <c r="AM804" s="378"/>
      <c r="AN804" s="70">
        <v>-11741</v>
      </c>
      <c r="AO804" s="70">
        <v>0</v>
      </c>
      <c r="AP804" s="70">
        <v>0</v>
      </c>
      <c r="AQ804" s="417">
        <v>0</v>
      </c>
      <c r="AR804" s="417">
        <v>0</v>
      </c>
    </row>
    <row r="805" spans="1:44">
      <c r="A805" s="439">
        <v>98717</v>
      </c>
      <c r="B805" s="440" t="s">
        <v>1511</v>
      </c>
      <c r="C805" s="437">
        <v>2.1299999999999999E-5</v>
      </c>
      <c r="D805" s="441"/>
      <c r="E805" s="438">
        <v>19227.462225000003</v>
      </c>
      <c r="F805" s="442">
        <v>18422.096825000001</v>
      </c>
      <c r="G805" s="442">
        <v>9670.0180249999994</v>
      </c>
      <c r="H805" s="442">
        <v>18920.9391</v>
      </c>
      <c r="I805" s="442">
        <v>0</v>
      </c>
      <c r="J805" s="443">
        <v>5.4E-6</v>
      </c>
      <c r="K805" s="443"/>
      <c r="L805" s="444">
        <v>3432.0050999999999</v>
      </c>
      <c r="M805" s="444">
        <v>1407.2271000000001</v>
      </c>
      <c r="N805" s="444">
        <v>-169.1859</v>
      </c>
      <c r="O805" s="444">
        <v>0</v>
      </c>
      <c r="P805" s="417">
        <v>0</v>
      </c>
      <c r="Q805" s="378">
        <v>5.4E-6</v>
      </c>
      <c r="R805" s="378"/>
      <c r="S805" s="70">
        <v>8344.3389000000006</v>
      </c>
      <c r="T805" s="105">
        <v>7809.7941000000001</v>
      </c>
      <c r="U805" s="70">
        <v>4639.8642</v>
      </c>
      <c r="V805" s="70">
        <v>18920.9391</v>
      </c>
      <c r="W805" s="417">
        <v>0</v>
      </c>
      <c r="X805" s="378">
        <v>5.4E-6</v>
      </c>
      <c r="Z805" s="70">
        <v>5994.7784999999994</v>
      </c>
      <c r="AA805" s="70">
        <v>5994.7358999999997</v>
      </c>
      <c r="AB805" s="70">
        <v>0</v>
      </c>
      <c r="AC805" s="417">
        <v>0</v>
      </c>
      <c r="AD805" s="417">
        <v>0</v>
      </c>
      <c r="AE805" s="378">
        <v>5.4E-6</v>
      </c>
      <c r="AF805" s="378"/>
      <c r="AG805" s="70">
        <v>5571.3397249999998</v>
      </c>
      <c r="AH805" s="70">
        <v>5199.3397249999998</v>
      </c>
      <c r="AI805" s="70">
        <v>5199.3397249999998</v>
      </c>
      <c r="AJ805" s="417">
        <v>0</v>
      </c>
      <c r="AK805" s="417">
        <v>0</v>
      </c>
      <c r="AL805" s="378">
        <v>5.4E-6</v>
      </c>
      <c r="AM805" s="378"/>
      <c r="AN805" s="70">
        <v>-4115</v>
      </c>
      <c r="AO805" s="70">
        <v>-1989</v>
      </c>
      <c r="AP805" s="70">
        <v>0</v>
      </c>
      <c r="AQ805" s="417">
        <v>0</v>
      </c>
      <c r="AR805" s="417">
        <v>0</v>
      </c>
    </row>
    <row r="806" spans="1:44">
      <c r="A806" s="439">
        <v>98801</v>
      </c>
      <c r="B806" s="440" t="s">
        <v>1512</v>
      </c>
      <c r="C806" s="437">
        <v>2.4077E-3</v>
      </c>
      <c r="D806" s="441"/>
      <c r="E806" s="438">
        <v>2205997.418875</v>
      </c>
      <c r="F806" s="442">
        <v>1808116.0022750001</v>
      </c>
      <c r="G806" s="442">
        <v>512338.67707500001</v>
      </c>
      <c r="H806" s="442">
        <v>2138776.7639000001</v>
      </c>
      <c r="I806" s="442">
        <v>0</v>
      </c>
      <c r="J806" s="443">
        <v>6.9300000000000004E-5</v>
      </c>
      <c r="K806" s="443"/>
      <c r="L806" s="444">
        <v>387945.4779</v>
      </c>
      <c r="M806" s="444">
        <v>159069.5159</v>
      </c>
      <c r="N806" s="444">
        <v>-19124.361100000002</v>
      </c>
      <c r="O806" s="444">
        <v>0</v>
      </c>
      <c r="P806" s="417">
        <v>0</v>
      </c>
      <c r="Q806" s="378">
        <v>6.9300000000000004E-5</v>
      </c>
      <c r="R806" s="378"/>
      <c r="S806" s="70">
        <v>943223.69810000004</v>
      </c>
      <c r="T806" s="105">
        <v>882800.05890000006</v>
      </c>
      <c r="U806" s="70">
        <v>524478.92180000001</v>
      </c>
      <c r="V806" s="70">
        <v>2138776.7639000001</v>
      </c>
      <c r="W806" s="417">
        <v>0</v>
      </c>
      <c r="X806" s="378">
        <v>6.9300000000000004E-5</v>
      </c>
      <c r="Z806" s="70">
        <v>677635.12650000001</v>
      </c>
      <c r="AA806" s="70">
        <v>677630.31110000005</v>
      </c>
      <c r="AB806" s="70">
        <v>0</v>
      </c>
      <c r="AC806" s="417">
        <v>0</v>
      </c>
      <c r="AD806" s="417">
        <v>0</v>
      </c>
      <c r="AE806" s="378">
        <v>6.9300000000000004E-5</v>
      </c>
      <c r="AF806" s="378"/>
      <c r="AG806" s="70">
        <v>197193.11637499998</v>
      </c>
      <c r="AH806" s="70">
        <v>88616.116374999983</v>
      </c>
      <c r="AI806" s="70">
        <v>6984.1163749999832</v>
      </c>
      <c r="AJ806" s="417">
        <v>0</v>
      </c>
      <c r="AK806" s="417">
        <v>0</v>
      </c>
      <c r="AL806" s="378">
        <v>6.9300000000000004E-5</v>
      </c>
      <c r="AM806" s="378"/>
      <c r="AN806" s="70">
        <v>0</v>
      </c>
      <c r="AO806" s="70">
        <v>0</v>
      </c>
      <c r="AP806" s="70">
        <v>0</v>
      </c>
      <c r="AQ806" s="417">
        <v>0</v>
      </c>
      <c r="AR806" s="417">
        <v>0</v>
      </c>
    </row>
    <row r="807" spans="1:44">
      <c r="A807" s="439">
        <v>98811</v>
      </c>
      <c r="B807" s="440" t="s">
        <v>1513</v>
      </c>
      <c r="C807" s="437">
        <v>6.0110000000000003E-4</v>
      </c>
      <c r="D807" s="441"/>
      <c r="E807" s="438">
        <v>510216.66702500009</v>
      </c>
      <c r="F807" s="442">
        <v>423645.69322500005</v>
      </c>
      <c r="G807" s="442">
        <v>162235.38962500007</v>
      </c>
      <c r="H807" s="442">
        <v>533961.33770000003</v>
      </c>
      <c r="I807" s="442">
        <v>0</v>
      </c>
      <c r="J807" s="443">
        <v>1.1E-4</v>
      </c>
      <c r="K807" s="443"/>
      <c r="L807" s="444">
        <v>96853.439700000003</v>
      </c>
      <c r="M807" s="444">
        <v>39712.873700000004</v>
      </c>
      <c r="N807" s="444">
        <v>-4774.5373</v>
      </c>
      <c r="O807" s="444">
        <v>0</v>
      </c>
      <c r="P807" s="417">
        <v>0</v>
      </c>
      <c r="Q807" s="378">
        <v>1.1E-4</v>
      </c>
      <c r="R807" s="378"/>
      <c r="S807" s="70">
        <v>235482.72830000002</v>
      </c>
      <c r="T807" s="105">
        <v>220397.5227</v>
      </c>
      <c r="U807" s="70">
        <v>130940.01740000001</v>
      </c>
      <c r="V807" s="70">
        <v>533961.33770000003</v>
      </c>
      <c r="W807" s="417">
        <v>0</v>
      </c>
      <c r="X807" s="378">
        <v>1.1E-4</v>
      </c>
      <c r="Z807" s="70">
        <v>169176.5895</v>
      </c>
      <c r="AA807" s="70">
        <v>169175.3873</v>
      </c>
      <c r="AB807" s="70">
        <v>0</v>
      </c>
      <c r="AC807" s="417">
        <v>0</v>
      </c>
      <c r="AD807" s="417">
        <v>0</v>
      </c>
      <c r="AE807" s="378">
        <v>1.1E-4</v>
      </c>
      <c r="AF807" s="378"/>
      <c r="AG807" s="70">
        <v>50413.909525000054</v>
      </c>
      <c r="AH807" s="70">
        <v>36069.909525000054</v>
      </c>
      <c r="AI807" s="70">
        <v>36069.909525000054</v>
      </c>
      <c r="AJ807" s="417">
        <v>0</v>
      </c>
      <c r="AK807" s="417">
        <v>0</v>
      </c>
      <c r="AL807" s="378">
        <v>1.1E-4</v>
      </c>
      <c r="AM807" s="378"/>
      <c r="AN807" s="70">
        <v>-41710</v>
      </c>
      <c r="AO807" s="70">
        <v>-41710</v>
      </c>
      <c r="AP807" s="70">
        <v>0</v>
      </c>
      <c r="AQ807" s="417">
        <v>0</v>
      </c>
      <c r="AR807" s="417">
        <v>0</v>
      </c>
    </row>
    <row r="808" spans="1:44">
      <c r="A808" s="439">
        <v>98817</v>
      </c>
      <c r="B808" s="440" t="s">
        <v>1514</v>
      </c>
      <c r="C808" s="437">
        <v>1.31E-5</v>
      </c>
      <c r="D808" s="441"/>
      <c r="E808" s="438">
        <v>11462.443175</v>
      </c>
      <c r="F808" s="442">
        <v>11202.373374999999</v>
      </c>
      <c r="G808" s="442">
        <v>2471.3577749999999</v>
      </c>
      <c r="H808" s="442">
        <v>11636.8217</v>
      </c>
      <c r="I808" s="442">
        <v>0</v>
      </c>
      <c r="J808" s="443">
        <v>1.405E-4</v>
      </c>
      <c r="K808" s="443"/>
      <c r="L808" s="444">
        <v>2110.7637</v>
      </c>
      <c r="M808" s="444">
        <v>865.47770000000003</v>
      </c>
      <c r="N808" s="444">
        <v>-104.05329999999999</v>
      </c>
      <c r="O808" s="444">
        <v>0</v>
      </c>
      <c r="P808" s="417">
        <v>0</v>
      </c>
      <c r="Q808" s="378">
        <v>1.405E-4</v>
      </c>
      <c r="R808" s="378"/>
      <c r="S808" s="70">
        <v>5131.9642999999996</v>
      </c>
      <c r="T808" s="105">
        <v>4803.2066999999997</v>
      </c>
      <c r="U808" s="70">
        <v>2853.6253999999999</v>
      </c>
      <c r="V808" s="70">
        <v>11636.8217</v>
      </c>
      <c r="W808" s="417">
        <v>0</v>
      </c>
      <c r="X808" s="378">
        <v>1.405E-4</v>
      </c>
      <c r="Z808" s="70">
        <v>3686.9295000000002</v>
      </c>
      <c r="AA808" s="70">
        <v>3686.9032999999999</v>
      </c>
      <c r="AB808" s="70">
        <v>0</v>
      </c>
      <c r="AC808" s="417">
        <v>0</v>
      </c>
      <c r="AD808" s="417">
        <v>0</v>
      </c>
      <c r="AE808" s="378">
        <v>1.405E-4</v>
      </c>
      <c r="AF808" s="378"/>
      <c r="AG808" s="70">
        <v>2125</v>
      </c>
      <c r="AH808" s="70">
        <v>2125</v>
      </c>
      <c r="AI808" s="70">
        <v>0</v>
      </c>
      <c r="AJ808" s="417">
        <v>0</v>
      </c>
      <c r="AK808" s="417">
        <v>0</v>
      </c>
      <c r="AL808" s="378">
        <v>1.405E-4</v>
      </c>
      <c r="AM808" s="378"/>
      <c r="AN808" s="70">
        <v>-1592.2143249999999</v>
      </c>
      <c r="AO808" s="70">
        <v>-278.21432499999992</v>
      </c>
      <c r="AP808" s="70">
        <v>-278.21432499999992</v>
      </c>
      <c r="AQ808" s="417">
        <v>0</v>
      </c>
      <c r="AR808" s="417">
        <v>0</v>
      </c>
    </row>
    <row r="809" spans="1:44">
      <c r="A809" s="439">
        <v>98901</v>
      </c>
      <c r="B809" s="440" t="s">
        <v>1515</v>
      </c>
      <c r="C809" s="437">
        <v>2.6180000000000002E-4</v>
      </c>
      <c r="D809" s="441"/>
      <c r="E809" s="438">
        <v>224794.16960000002</v>
      </c>
      <c r="F809" s="442">
        <v>184862.8052</v>
      </c>
      <c r="G809" s="442">
        <v>53869.348400000003</v>
      </c>
      <c r="H809" s="442">
        <v>232558.77260000003</v>
      </c>
      <c r="I809" s="442">
        <v>0</v>
      </c>
      <c r="J809" s="443">
        <v>1.0200000000000001E-5</v>
      </c>
      <c r="K809" s="443"/>
      <c r="L809" s="444">
        <v>42183.048600000002</v>
      </c>
      <c r="M809" s="444">
        <v>17296.340600000003</v>
      </c>
      <c r="N809" s="444">
        <v>-2079.4774000000002</v>
      </c>
      <c r="O809" s="444">
        <v>0</v>
      </c>
      <c r="P809" s="417">
        <v>0</v>
      </c>
      <c r="Q809" s="378">
        <v>1.0200000000000001E-5</v>
      </c>
      <c r="R809" s="378"/>
      <c r="S809" s="70">
        <v>102560.9354</v>
      </c>
      <c r="T809" s="105">
        <v>95990.80260000001</v>
      </c>
      <c r="U809" s="70">
        <v>57028.941200000001</v>
      </c>
      <c r="V809" s="70">
        <v>232558.77260000003</v>
      </c>
      <c r="W809" s="417">
        <v>0</v>
      </c>
      <c r="X809" s="378">
        <v>1.0200000000000001E-5</v>
      </c>
      <c r="Z809" s="70">
        <v>73682.301000000007</v>
      </c>
      <c r="AA809" s="70">
        <v>73681.777400000006</v>
      </c>
      <c r="AB809" s="70">
        <v>0</v>
      </c>
      <c r="AC809" s="417">
        <v>0</v>
      </c>
      <c r="AD809" s="417">
        <v>0</v>
      </c>
      <c r="AE809" s="378">
        <v>1.0200000000000001E-5</v>
      </c>
      <c r="AF809" s="378"/>
      <c r="AG809" s="70">
        <v>8474</v>
      </c>
      <c r="AH809" s="70">
        <v>0</v>
      </c>
      <c r="AI809" s="70">
        <v>0</v>
      </c>
      <c r="AJ809" s="417">
        <v>0</v>
      </c>
      <c r="AK809" s="417">
        <v>0</v>
      </c>
      <c r="AL809" s="378">
        <v>1.0200000000000001E-5</v>
      </c>
      <c r="AM809" s="378"/>
      <c r="AN809" s="70">
        <v>-2106.1153999999951</v>
      </c>
      <c r="AO809" s="70">
        <v>-2106.1153999999951</v>
      </c>
      <c r="AP809" s="70">
        <v>-1080.1153999999951</v>
      </c>
      <c r="AQ809" s="417">
        <v>0</v>
      </c>
      <c r="AR809" s="417">
        <v>0</v>
      </c>
    </row>
    <row r="810" spans="1:44">
      <c r="A810" s="439">
        <v>98904</v>
      </c>
      <c r="B810" s="440" t="s">
        <v>1516</v>
      </c>
      <c r="C810" s="437">
        <v>2.9000000000000002E-6</v>
      </c>
      <c r="D810" s="441"/>
      <c r="E810" s="438">
        <v>1705.8068749999998</v>
      </c>
      <c r="F810" s="442">
        <v>1501.3486749999997</v>
      </c>
      <c r="G810" s="442">
        <v>716.94827499999985</v>
      </c>
      <c r="H810" s="442">
        <v>2576.0903000000003</v>
      </c>
      <c r="I810" s="442">
        <v>0</v>
      </c>
      <c r="J810" s="443">
        <v>8.5400000000000005E-4</v>
      </c>
      <c r="K810" s="443"/>
      <c r="L810" s="444">
        <v>467.26830000000001</v>
      </c>
      <c r="M810" s="444">
        <v>191.5943</v>
      </c>
      <c r="N810" s="444">
        <v>-23.034700000000001</v>
      </c>
      <c r="O810" s="444">
        <v>0</v>
      </c>
      <c r="P810" s="417">
        <v>0</v>
      </c>
      <c r="Q810" s="378">
        <v>8.5400000000000005E-4</v>
      </c>
      <c r="R810" s="378"/>
      <c r="S810" s="70">
        <v>1136.0837000000001</v>
      </c>
      <c r="T810" s="105">
        <v>1063.3053</v>
      </c>
      <c r="U810" s="70">
        <v>631.71860000000004</v>
      </c>
      <c r="V810" s="70">
        <v>2576.0903000000003</v>
      </c>
      <c r="W810" s="417">
        <v>0</v>
      </c>
      <c r="X810" s="378">
        <v>8.5400000000000005E-4</v>
      </c>
      <c r="Z810" s="70">
        <v>816.19050000000004</v>
      </c>
      <c r="AA810" s="70">
        <v>816.18470000000002</v>
      </c>
      <c r="AB810" s="70">
        <v>0</v>
      </c>
      <c r="AC810" s="417">
        <v>0</v>
      </c>
      <c r="AD810" s="417">
        <v>0</v>
      </c>
      <c r="AE810" s="378">
        <v>8.5400000000000005E-4</v>
      </c>
      <c r="AF810" s="378"/>
      <c r="AG810" s="70">
        <v>108.26437499999986</v>
      </c>
      <c r="AH810" s="70">
        <v>108.26437499999986</v>
      </c>
      <c r="AI810" s="70">
        <v>108.26437499999986</v>
      </c>
      <c r="AJ810" s="417">
        <v>0</v>
      </c>
      <c r="AK810" s="417">
        <v>0</v>
      </c>
      <c r="AL810" s="378">
        <v>8.5400000000000005E-4</v>
      </c>
      <c r="AM810" s="378"/>
      <c r="AN810" s="70">
        <v>-822</v>
      </c>
      <c r="AO810" s="70">
        <v>-678</v>
      </c>
      <c r="AP810" s="70">
        <v>0</v>
      </c>
      <c r="AQ810" s="417">
        <v>0</v>
      </c>
      <c r="AR810" s="417">
        <v>0</v>
      </c>
    </row>
    <row r="811" spans="1:44">
      <c r="A811" s="439">
        <v>98911</v>
      </c>
      <c r="B811" s="440" t="s">
        <v>1517</v>
      </c>
      <c r="C811" s="437">
        <v>2.9799999999999999E-5</v>
      </c>
      <c r="D811" s="441"/>
      <c r="E811" s="438">
        <v>36189.594400000002</v>
      </c>
      <c r="F811" s="442">
        <v>28777.885999999999</v>
      </c>
      <c r="G811" s="442">
        <v>11530.4612</v>
      </c>
      <c r="H811" s="442">
        <v>26471.548599999998</v>
      </c>
      <c r="I811" s="442">
        <v>0</v>
      </c>
      <c r="J811" s="443">
        <v>2.1299999999999999E-5</v>
      </c>
      <c r="K811" s="443"/>
      <c r="L811" s="444">
        <v>4801.5846000000001</v>
      </c>
      <c r="M811" s="444">
        <v>1968.7965999999999</v>
      </c>
      <c r="N811" s="444">
        <v>-236.70140000000001</v>
      </c>
      <c r="O811" s="444">
        <v>0</v>
      </c>
      <c r="P811" s="417">
        <v>0</v>
      </c>
      <c r="Q811" s="378">
        <v>2.1299999999999999E-5</v>
      </c>
      <c r="R811" s="378"/>
      <c r="S811" s="70">
        <v>11674.2394</v>
      </c>
      <c r="T811" s="105">
        <v>10926.3786</v>
      </c>
      <c r="U811" s="70">
        <v>6491.4531999999999</v>
      </c>
      <c r="V811" s="70">
        <v>26471.548599999998</v>
      </c>
      <c r="W811" s="417">
        <v>0</v>
      </c>
      <c r="X811" s="378">
        <v>2.1299999999999999E-5</v>
      </c>
      <c r="Z811" s="70">
        <v>8387.0609999999997</v>
      </c>
      <c r="AA811" s="70">
        <v>8387.0013999999992</v>
      </c>
      <c r="AB811" s="70">
        <v>0</v>
      </c>
      <c r="AC811" s="417">
        <v>0</v>
      </c>
      <c r="AD811" s="417">
        <v>0</v>
      </c>
      <c r="AE811" s="378">
        <v>2.1299999999999999E-5</v>
      </c>
      <c r="AF811" s="378"/>
      <c r="AG811" s="70">
        <v>11615.7094</v>
      </c>
      <c r="AH811" s="70">
        <v>7495.7093999999997</v>
      </c>
      <c r="AI811" s="70">
        <v>5275.7093999999997</v>
      </c>
      <c r="AJ811" s="417">
        <v>0</v>
      </c>
      <c r="AK811" s="417">
        <v>0</v>
      </c>
      <c r="AL811" s="378">
        <v>2.1299999999999999E-5</v>
      </c>
      <c r="AM811" s="378"/>
      <c r="AN811" s="70">
        <v>-289</v>
      </c>
      <c r="AO811" s="70">
        <v>0</v>
      </c>
      <c r="AP811" s="70">
        <v>0</v>
      </c>
      <c r="AQ811" s="417">
        <v>0</v>
      </c>
      <c r="AR811" s="417">
        <v>0</v>
      </c>
    </row>
    <row r="812" spans="1:44">
      <c r="A812" s="439">
        <v>99001</v>
      </c>
      <c r="B812" s="440" t="s">
        <v>1518</v>
      </c>
      <c r="C812" s="437">
        <v>9.8245999999999993E-3</v>
      </c>
      <c r="D812" s="441"/>
      <c r="E812" s="438">
        <v>8741915.531849999</v>
      </c>
      <c r="F812" s="445">
        <v>7255038.245050001</v>
      </c>
      <c r="G812" s="445">
        <v>2152363.2554500001</v>
      </c>
      <c r="H812" s="445">
        <v>8727260.9521999992</v>
      </c>
      <c r="I812" s="445">
        <v>0</v>
      </c>
      <c r="J812" s="446">
        <v>3.1060000000000001E-4</v>
      </c>
      <c r="K812" s="446"/>
      <c r="L812" s="444">
        <v>1583008.3241999999</v>
      </c>
      <c r="M812" s="444">
        <v>649081.84820000001</v>
      </c>
      <c r="N812" s="444">
        <v>-78036.7978</v>
      </c>
      <c r="O812" s="444">
        <v>0</v>
      </c>
      <c r="P812" s="417">
        <v>0</v>
      </c>
      <c r="Q812" s="378">
        <v>3.1060000000000001E-4</v>
      </c>
      <c r="R812" s="378"/>
      <c r="S812" s="70">
        <v>3848816.5237999996</v>
      </c>
      <c r="T812" s="105">
        <v>3602258.3621999999</v>
      </c>
      <c r="U812" s="70">
        <v>2140131.9164</v>
      </c>
      <c r="V812" s="70">
        <v>8727260.9521999992</v>
      </c>
      <c r="W812" s="417">
        <v>0</v>
      </c>
      <c r="X812" s="378">
        <v>3.1060000000000001E-4</v>
      </c>
      <c r="Z812" s="70">
        <v>2765084.5469999998</v>
      </c>
      <c r="AA812" s="70">
        <v>2765064.8977999999</v>
      </c>
      <c r="AB812" s="70">
        <v>0</v>
      </c>
      <c r="AC812" s="417">
        <v>0</v>
      </c>
      <c r="AD812" s="417">
        <v>0</v>
      </c>
      <c r="AE812" s="378">
        <v>3.1060000000000001E-4</v>
      </c>
      <c r="AF812" s="378"/>
      <c r="AG812" s="70">
        <v>545006.13685000036</v>
      </c>
      <c r="AH812" s="70">
        <v>238633.13685000036</v>
      </c>
      <c r="AI812" s="70">
        <v>90268.136850000359</v>
      </c>
      <c r="AJ812" s="417">
        <v>0</v>
      </c>
      <c r="AK812" s="417">
        <v>0</v>
      </c>
      <c r="AL812" s="378">
        <v>3.1060000000000001E-4</v>
      </c>
      <c r="AM812" s="378"/>
      <c r="AN812" s="70">
        <v>0</v>
      </c>
      <c r="AO812" s="70">
        <v>0</v>
      </c>
      <c r="AP812" s="70">
        <v>0</v>
      </c>
      <c r="AQ812" s="417">
        <v>0</v>
      </c>
      <c r="AR812" s="417">
        <v>0</v>
      </c>
    </row>
    <row r="813" spans="1:44">
      <c r="A813" s="439">
        <v>99011</v>
      </c>
      <c r="B813" s="440" t="s">
        <v>1519</v>
      </c>
      <c r="C813" s="437">
        <v>3.8389000000000001E-3</v>
      </c>
      <c r="D813" s="441"/>
      <c r="E813" s="438">
        <v>3229931.2357750004</v>
      </c>
      <c r="F813" s="445">
        <v>2745686.6895750002</v>
      </c>
      <c r="G813" s="445">
        <v>784862.55317500047</v>
      </c>
      <c r="H813" s="445">
        <v>3410121.7423</v>
      </c>
      <c r="I813" s="445">
        <v>0</v>
      </c>
      <c r="J813" s="446">
        <v>1.0554E-3</v>
      </c>
      <c r="K813" s="446"/>
      <c r="L813" s="444">
        <v>618550.44030000002</v>
      </c>
      <c r="M813" s="444">
        <v>253624.60630000001</v>
      </c>
      <c r="N813" s="444">
        <v>-30492.382700000002</v>
      </c>
      <c r="O813" s="444">
        <v>0</v>
      </c>
      <c r="P813" s="417">
        <v>0</v>
      </c>
      <c r="Q813" s="378">
        <v>1.0554E-3</v>
      </c>
      <c r="R813" s="378"/>
      <c r="S813" s="70">
        <v>1503900.5917</v>
      </c>
      <c r="T813" s="105">
        <v>1407559.5573</v>
      </c>
      <c r="U813" s="70">
        <v>836242.94260000007</v>
      </c>
      <c r="V813" s="70">
        <v>3410121.7423</v>
      </c>
      <c r="W813" s="417">
        <v>0</v>
      </c>
      <c r="X813" s="378">
        <v>1.0554E-3</v>
      </c>
      <c r="Z813" s="70">
        <v>1080439.2105</v>
      </c>
      <c r="AA813" s="70">
        <v>1080431.5327000001</v>
      </c>
      <c r="AB813" s="70">
        <v>0</v>
      </c>
      <c r="AC813" s="417">
        <v>0</v>
      </c>
      <c r="AD813" s="417">
        <v>0</v>
      </c>
      <c r="AE813" s="378">
        <v>1.0554E-3</v>
      </c>
      <c r="AF813" s="378"/>
      <c r="AG813" s="70">
        <v>47929</v>
      </c>
      <c r="AH813" s="70">
        <v>24959</v>
      </c>
      <c r="AI813" s="70">
        <v>0</v>
      </c>
      <c r="AJ813" s="417">
        <v>0</v>
      </c>
      <c r="AK813" s="417">
        <v>0</v>
      </c>
      <c r="AL813" s="378">
        <v>1.0554E-3</v>
      </c>
      <c r="AM813" s="378"/>
      <c r="AN813" s="70">
        <v>-20888.006724999635</v>
      </c>
      <c r="AO813" s="70">
        <v>-20888.006724999635</v>
      </c>
      <c r="AP813" s="70">
        <v>-20888.006724999635</v>
      </c>
      <c r="AQ813" s="417">
        <v>0</v>
      </c>
      <c r="AR813" s="417">
        <v>0</v>
      </c>
    </row>
    <row r="814" spans="1:44">
      <c r="A814" s="439">
        <v>99013</v>
      </c>
      <c r="B814" s="440" t="s">
        <v>1520</v>
      </c>
      <c r="C814" s="437">
        <v>6.3299999999999994E-5</v>
      </c>
      <c r="D814" s="441"/>
      <c r="E814" s="438">
        <v>68251.788724999991</v>
      </c>
      <c r="F814" s="445">
        <v>58775.787324999998</v>
      </c>
      <c r="G814" s="445">
        <v>5986.116524999994</v>
      </c>
      <c r="H814" s="445">
        <v>56229.833099999996</v>
      </c>
      <c r="I814" s="445">
        <v>0</v>
      </c>
      <c r="J814" s="446">
        <v>1.6440000000000001E-4</v>
      </c>
      <c r="K814" s="446"/>
      <c r="L814" s="444">
        <v>10199.339099999999</v>
      </c>
      <c r="M814" s="444">
        <v>4182.0410999999995</v>
      </c>
      <c r="N814" s="444">
        <v>-502.79189999999994</v>
      </c>
      <c r="O814" s="444">
        <v>0</v>
      </c>
      <c r="P814" s="417">
        <v>0</v>
      </c>
      <c r="Q814" s="378">
        <v>1.6440000000000001E-4</v>
      </c>
      <c r="R814" s="378"/>
      <c r="S814" s="70">
        <v>24797.964899999999</v>
      </c>
      <c r="T814" s="105">
        <v>23209.388099999996</v>
      </c>
      <c r="U814" s="70">
        <v>13788.892199999998</v>
      </c>
      <c r="V814" s="70">
        <v>56229.833099999996</v>
      </c>
      <c r="W814" s="417">
        <v>0</v>
      </c>
      <c r="X814" s="378">
        <v>1.6440000000000001E-4</v>
      </c>
      <c r="Z814" s="70">
        <v>17815.468499999999</v>
      </c>
      <c r="AA814" s="70">
        <v>17815.341899999999</v>
      </c>
      <c r="AB814" s="70">
        <v>0</v>
      </c>
      <c r="AC814" s="417">
        <v>0</v>
      </c>
      <c r="AD814" s="417">
        <v>0</v>
      </c>
      <c r="AE814" s="378">
        <v>1.6440000000000001E-4</v>
      </c>
      <c r="AF814" s="378"/>
      <c r="AG814" s="70">
        <v>22739</v>
      </c>
      <c r="AH814" s="70">
        <v>20869</v>
      </c>
      <c r="AI814" s="70">
        <v>0</v>
      </c>
      <c r="AJ814" s="417">
        <v>0</v>
      </c>
      <c r="AK814" s="417">
        <v>0</v>
      </c>
      <c r="AL814" s="378">
        <v>1.6440000000000001E-4</v>
      </c>
      <c r="AM814" s="378"/>
      <c r="AN814" s="70">
        <v>-7299.9837750000042</v>
      </c>
      <c r="AO814" s="70">
        <v>-7299.9837750000042</v>
      </c>
      <c r="AP814" s="70">
        <v>-7299.9837750000042</v>
      </c>
      <c r="AQ814" s="417">
        <v>0</v>
      </c>
      <c r="AR814" s="417">
        <v>0</v>
      </c>
    </row>
    <row r="815" spans="1:44">
      <c r="A815" s="439">
        <v>99014</v>
      </c>
      <c r="B815" s="440" t="s">
        <v>1521</v>
      </c>
      <c r="C815" s="437">
        <v>1.8899999999999999E-5</v>
      </c>
      <c r="D815" s="441"/>
      <c r="E815" s="438">
        <v>18217.123874999997</v>
      </c>
      <c r="F815" s="445">
        <v>13560.137674999998</v>
      </c>
      <c r="G815" s="445">
        <v>3451.3212749999984</v>
      </c>
      <c r="H815" s="445">
        <v>16789.0023</v>
      </c>
      <c r="I815" s="445">
        <v>0</v>
      </c>
      <c r="J815" s="446">
        <v>1.1600000000000001E-5</v>
      </c>
      <c r="K815" s="446"/>
      <c r="L815" s="444">
        <v>3045.3002999999999</v>
      </c>
      <c r="M815" s="444">
        <v>1248.6662999999999</v>
      </c>
      <c r="N815" s="444">
        <v>-150.12269999999998</v>
      </c>
      <c r="O815" s="444">
        <v>0</v>
      </c>
      <c r="P815" s="417">
        <v>0</v>
      </c>
      <c r="Q815" s="378">
        <v>1.1600000000000001E-5</v>
      </c>
      <c r="R815" s="378"/>
      <c r="S815" s="70">
        <v>7404.1316999999999</v>
      </c>
      <c r="T815" s="105">
        <v>6929.8172999999997</v>
      </c>
      <c r="U815" s="70">
        <v>4117.0625999999993</v>
      </c>
      <c r="V815" s="70">
        <v>16789.0023</v>
      </c>
      <c r="W815" s="417">
        <v>0</v>
      </c>
      <c r="X815" s="378">
        <v>1.1600000000000001E-5</v>
      </c>
      <c r="Z815" s="70">
        <v>5319.3104999999996</v>
      </c>
      <c r="AA815" s="70">
        <v>5319.2726999999995</v>
      </c>
      <c r="AB815" s="70">
        <v>0</v>
      </c>
      <c r="AC815" s="417">
        <v>0</v>
      </c>
      <c r="AD815" s="417">
        <v>0</v>
      </c>
      <c r="AE815" s="378">
        <v>1.1600000000000001E-5</v>
      </c>
      <c r="AF815" s="378"/>
      <c r="AG815" s="70">
        <v>3254</v>
      </c>
      <c r="AH815" s="70">
        <v>578</v>
      </c>
      <c r="AI815" s="70">
        <v>0</v>
      </c>
      <c r="AJ815" s="417">
        <v>0</v>
      </c>
      <c r="AK815" s="417">
        <v>0</v>
      </c>
      <c r="AL815" s="378">
        <v>1.1600000000000001E-5</v>
      </c>
      <c r="AM815" s="378"/>
      <c r="AN815" s="70">
        <v>-805.61862500000097</v>
      </c>
      <c r="AO815" s="70">
        <v>-515.61862500000097</v>
      </c>
      <c r="AP815" s="70">
        <v>-515.61862500000097</v>
      </c>
      <c r="AQ815" s="417">
        <v>0</v>
      </c>
      <c r="AR815" s="417">
        <v>0</v>
      </c>
    </row>
    <row r="816" spans="1:44">
      <c r="A816" s="439">
        <v>99017</v>
      </c>
      <c r="B816" s="440" t="s">
        <v>1522</v>
      </c>
      <c r="C816" s="437">
        <v>4.2700000000000001E-5</v>
      </c>
      <c r="D816" s="441"/>
      <c r="E816" s="438">
        <v>36642.468825000004</v>
      </c>
      <c r="F816" s="445">
        <v>35615.722224999998</v>
      </c>
      <c r="G816" s="445">
        <v>6334.1370249999964</v>
      </c>
      <c r="H816" s="445">
        <v>37930.708899999998</v>
      </c>
      <c r="I816" s="445">
        <v>0</v>
      </c>
      <c r="J816" s="446">
        <v>2.4087000000000002E-3</v>
      </c>
      <c r="K816" s="446"/>
      <c r="L816" s="444">
        <v>6880.1229000000003</v>
      </c>
      <c r="M816" s="444">
        <v>2821.0608999999999</v>
      </c>
      <c r="N816" s="444">
        <v>-339.16610000000003</v>
      </c>
      <c r="O816" s="444">
        <v>0</v>
      </c>
      <c r="P816" s="417">
        <v>0</v>
      </c>
      <c r="Q816" s="378">
        <v>2.4087000000000002E-3</v>
      </c>
      <c r="R816" s="378"/>
      <c r="S816" s="70">
        <v>16727.8531</v>
      </c>
      <c r="T816" s="105">
        <v>15656.2539</v>
      </c>
      <c r="U816" s="70">
        <v>9301.5118000000002</v>
      </c>
      <c r="V816" s="70">
        <v>37930.708899999998</v>
      </c>
      <c r="W816" s="417">
        <v>0</v>
      </c>
      <c r="X816" s="378">
        <v>2.4087000000000002E-3</v>
      </c>
      <c r="Z816" s="70">
        <v>12017.701500000001</v>
      </c>
      <c r="AA816" s="70">
        <v>12017.616100000001</v>
      </c>
      <c r="AB816" s="70">
        <v>0</v>
      </c>
      <c r="AC816" s="417">
        <v>0</v>
      </c>
      <c r="AD816" s="417">
        <v>0</v>
      </c>
      <c r="AE816" s="378">
        <v>2.4087000000000002E-3</v>
      </c>
      <c r="AF816" s="378"/>
      <c r="AG816" s="70">
        <v>8117</v>
      </c>
      <c r="AH816" s="70">
        <v>7749</v>
      </c>
      <c r="AI816" s="70">
        <v>0</v>
      </c>
      <c r="AJ816" s="417">
        <v>0</v>
      </c>
      <c r="AK816" s="417">
        <v>0</v>
      </c>
      <c r="AL816" s="378">
        <v>2.4087000000000002E-3</v>
      </c>
      <c r="AM816" s="378"/>
      <c r="AN816" s="70">
        <v>-7100.2086750000035</v>
      </c>
      <c r="AO816" s="70">
        <v>-2628.2086750000035</v>
      </c>
      <c r="AP816" s="70">
        <v>-2628.2086750000035</v>
      </c>
      <c r="AQ816" s="417">
        <v>0</v>
      </c>
      <c r="AR816" s="417">
        <v>0</v>
      </c>
    </row>
    <row r="817" spans="1:44">
      <c r="A817" s="439">
        <v>99021</v>
      </c>
      <c r="B817" s="440" t="s">
        <v>1523</v>
      </c>
      <c r="C817" s="437">
        <v>1.3420000000000001E-4</v>
      </c>
      <c r="D817" s="441"/>
      <c r="E817" s="438">
        <v>109511.49825</v>
      </c>
      <c r="F817" s="445">
        <v>96026.294649999996</v>
      </c>
      <c r="G817" s="445">
        <v>28572.455450000001</v>
      </c>
      <c r="H817" s="445">
        <v>119210.7994</v>
      </c>
      <c r="I817" s="445">
        <v>0</v>
      </c>
      <c r="J817" s="446">
        <v>5.6229999999999995E-4</v>
      </c>
      <c r="K817" s="446"/>
      <c r="L817" s="444">
        <v>21623.243400000003</v>
      </c>
      <c r="M817" s="444">
        <v>8866.1914000000015</v>
      </c>
      <c r="N817" s="444">
        <v>-1065.9506000000001</v>
      </c>
      <c r="O817" s="444">
        <v>0</v>
      </c>
      <c r="P817" s="417">
        <v>0</v>
      </c>
      <c r="Q817" s="378">
        <v>5.6229999999999995E-4</v>
      </c>
      <c r="R817" s="378"/>
      <c r="S817" s="70">
        <v>52573.252600000007</v>
      </c>
      <c r="T817" s="105">
        <v>49205.369400000003</v>
      </c>
      <c r="U817" s="70">
        <v>29233.322800000002</v>
      </c>
      <c r="V817" s="70">
        <v>119210.7994</v>
      </c>
      <c r="W817" s="417">
        <v>0</v>
      </c>
      <c r="X817" s="378">
        <v>5.6229999999999995E-4</v>
      </c>
      <c r="Z817" s="70">
        <v>37769.919000000002</v>
      </c>
      <c r="AA817" s="70">
        <v>37769.650600000001</v>
      </c>
      <c r="AB817" s="70">
        <v>0</v>
      </c>
      <c r="AC817" s="417">
        <v>0</v>
      </c>
      <c r="AD817" s="417">
        <v>0</v>
      </c>
      <c r="AE817" s="378">
        <v>5.6229999999999995E-4</v>
      </c>
      <c r="AF817" s="378"/>
      <c r="AG817" s="70">
        <v>1328.0832499999997</v>
      </c>
      <c r="AH817" s="70">
        <v>405.08324999999968</v>
      </c>
      <c r="AI817" s="70">
        <v>405.08324999999968</v>
      </c>
      <c r="AJ817" s="417">
        <v>0</v>
      </c>
      <c r="AK817" s="417">
        <v>0</v>
      </c>
      <c r="AL817" s="378">
        <v>5.6229999999999995E-4</v>
      </c>
      <c r="AM817" s="378"/>
      <c r="AN817" s="70">
        <v>-3783</v>
      </c>
      <c r="AO817" s="70">
        <v>-220</v>
      </c>
      <c r="AP817" s="70">
        <v>0</v>
      </c>
      <c r="AQ817" s="417">
        <v>0</v>
      </c>
      <c r="AR817" s="417">
        <v>0</v>
      </c>
    </row>
    <row r="818" spans="1:44">
      <c r="A818" s="439">
        <v>99022</v>
      </c>
      <c r="B818" s="440" t="s">
        <v>211</v>
      </c>
      <c r="C818" s="437">
        <v>7.1999999999999997E-6</v>
      </c>
      <c r="D818" s="441"/>
      <c r="E818" s="438">
        <v>13111.2857</v>
      </c>
      <c r="F818" s="445">
        <v>10251.148099999999</v>
      </c>
      <c r="G818" s="445">
        <v>4026.3609000000001</v>
      </c>
      <c r="H818" s="445">
        <v>6395.8103999999994</v>
      </c>
      <c r="I818" s="445">
        <v>0</v>
      </c>
      <c r="J818" s="446">
        <v>1.5999999999999999E-5</v>
      </c>
      <c r="K818" s="446"/>
      <c r="L818" s="444">
        <v>1160.1143999999999</v>
      </c>
      <c r="M818" s="444">
        <v>475.68239999999997</v>
      </c>
      <c r="N818" s="444">
        <v>-57.189599999999999</v>
      </c>
      <c r="O818" s="444">
        <v>0</v>
      </c>
      <c r="P818" s="417">
        <v>0</v>
      </c>
      <c r="Q818" s="378">
        <v>1.5999999999999999E-5</v>
      </c>
      <c r="R818" s="378"/>
      <c r="S818" s="70">
        <v>2820.6215999999999</v>
      </c>
      <c r="T818" s="105">
        <v>2639.9303999999997</v>
      </c>
      <c r="U818" s="70">
        <v>1568.4048</v>
      </c>
      <c r="V818" s="70">
        <v>6395.8103999999994</v>
      </c>
      <c r="W818" s="417">
        <v>0</v>
      </c>
      <c r="X818" s="378">
        <v>1.5999999999999999E-5</v>
      </c>
      <c r="Z818" s="70">
        <v>2026.404</v>
      </c>
      <c r="AA818" s="70">
        <v>2026.3896</v>
      </c>
      <c r="AB818" s="70">
        <v>0</v>
      </c>
      <c r="AC818" s="417">
        <v>0</v>
      </c>
      <c r="AD818" s="417">
        <v>0</v>
      </c>
      <c r="AE818" s="378">
        <v>1.5999999999999999E-5</v>
      </c>
      <c r="AF818" s="378"/>
      <c r="AG818" s="70">
        <v>7104.1457</v>
      </c>
      <c r="AH818" s="70">
        <v>5109.1457</v>
      </c>
      <c r="AI818" s="70">
        <v>2515.1457</v>
      </c>
      <c r="AJ818" s="417">
        <v>0</v>
      </c>
      <c r="AK818" s="417">
        <v>0</v>
      </c>
      <c r="AL818" s="378">
        <v>1.5999999999999999E-5</v>
      </c>
      <c r="AM818" s="378"/>
      <c r="AN818" s="70">
        <v>0</v>
      </c>
      <c r="AO818" s="70">
        <v>0</v>
      </c>
      <c r="AP818" s="70">
        <v>0</v>
      </c>
      <c r="AQ818" s="417">
        <v>0</v>
      </c>
      <c r="AR818" s="417">
        <v>0</v>
      </c>
    </row>
    <row r="819" spans="1:44">
      <c r="A819" s="439">
        <v>99031</v>
      </c>
      <c r="B819" s="440" t="s">
        <v>1524</v>
      </c>
      <c r="C819" s="437">
        <v>1.1290000000000001E-4</v>
      </c>
      <c r="D819" s="441"/>
      <c r="E819" s="438">
        <v>92892.753624999998</v>
      </c>
      <c r="F819" s="442">
        <v>91170.915424999999</v>
      </c>
      <c r="G819" s="442">
        <v>34097.155024999985</v>
      </c>
      <c r="H819" s="442">
        <v>100289.8603</v>
      </c>
      <c r="I819" s="442">
        <v>0</v>
      </c>
      <c r="J819" s="443">
        <v>2.7609999999999999E-4</v>
      </c>
      <c r="K819" s="443"/>
      <c r="L819" s="444">
        <v>18191.238300000001</v>
      </c>
      <c r="M819" s="444">
        <v>7458.9643000000005</v>
      </c>
      <c r="N819" s="444">
        <v>-896.76470000000006</v>
      </c>
      <c r="O819" s="444">
        <v>0</v>
      </c>
      <c r="P819" s="417">
        <v>0</v>
      </c>
      <c r="Q819" s="378">
        <v>2.7609999999999999E-4</v>
      </c>
      <c r="R819" s="378"/>
      <c r="S819" s="70">
        <v>44228.913700000005</v>
      </c>
      <c r="T819" s="105">
        <v>41395.575300000004</v>
      </c>
      <c r="U819" s="70">
        <v>24593.458600000002</v>
      </c>
      <c r="V819" s="70">
        <v>100289.8603</v>
      </c>
      <c r="W819" s="417">
        <v>0</v>
      </c>
      <c r="X819" s="378">
        <v>2.7609999999999999E-4</v>
      </c>
      <c r="Z819" s="70">
        <v>31775.140500000001</v>
      </c>
      <c r="AA819" s="70">
        <v>31774.914700000001</v>
      </c>
      <c r="AB819" s="70">
        <v>0</v>
      </c>
      <c r="AC819" s="417">
        <v>0</v>
      </c>
      <c r="AD819" s="417">
        <v>0</v>
      </c>
      <c r="AE819" s="378">
        <v>2.7609999999999999E-4</v>
      </c>
      <c r="AF819" s="378"/>
      <c r="AG819" s="70">
        <v>10541.461124999983</v>
      </c>
      <c r="AH819" s="70">
        <v>10541.461124999983</v>
      </c>
      <c r="AI819" s="70">
        <v>10400.461124999983</v>
      </c>
      <c r="AJ819" s="417">
        <v>0</v>
      </c>
      <c r="AK819" s="417">
        <v>0</v>
      </c>
      <c r="AL819" s="378">
        <v>2.7609999999999999E-4</v>
      </c>
      <c r="AM819" s="378"/>
      <c r="AN819" s="70">
        <v>-11844</v>
      </c>
      <c r="AO819" s="70">
        <v>0</v>
      </c>
      <c r="AP819" s="70">
        <v>0</v>
      </c>
      <c r="AQ819" s="417">
        <v>0</v>
      </c>
      <c r="AR819" s="417">
        <v>0</v>
      </c>
    </row>
    <row r="820" spans="1:44">
      <c r="A820" s="439">
        <v>99041</v>
      </c>
      <c r="B820" s="440" t="s">
        <v>1525</v>
      </c>
      <c r="C820" s="437">
        <v>6.4639999999999999E-4</v>
      </c>
      <c r="D820" s="441"/>
      <c r="E820" s="438">
        <v>535962.05199999991</v>
      </c>
      <c r="F820" s="442">
        <v>464001.92079999996</v>
      </c>
      <c r="G820" s="442">
        <v>143870.91439999998</v>
      </c>
      <c r="H820" s="442">
        <v>574201.64480000001</v>
      </c>
      <c r="I820" s="442">
        <v>0</v>
      </c>
      <c r="J820" s="443">
        <v>2.9000000000000002E-6</v>
      </c>
      <c r="K820" s="443"/>
      <c r="L820" s="444">
        <v>104152.49279999999</v>
      </c>
      <c r="M820" s="444">
        <v>42705.7088</v>
      </c>
      <c r="N820" s="444">
        <v>-5134.3552</v>
      </c>
      <c r="O820" s="444">
        <v>0</v>
      </c>
      <c r="P820" s="417">
        <v>0</v>
      </c>
      <c r="Q820" s="378">
        <v>2.9000000000000002E-6</v>
      </c>
      <c r="R820" s="378"/>
      <c r="S820" s="70">
        <v>253229.13920000001</v>
      </c>
      <c r="T820" s="105">
        <v>237007.08479999998</v>
      </c>
      <c r="U820" s="70">
        <v>140807.8976</v>
      </c>
      <c r="V820" s="70">
        <v>574201.64480000001</v>
      </c>
      <c r="W820" s="417">
        <v>0</v>
      </c>
      <c r="X820" s="378">
        <v>2.9000000000000002E-6</v>
      </c>
      <c r="Z820" s="70">
        <v>181926.04800000001</v>
      </c>
      <c r="AA820" s="70">
        <v>181924.75519999999</v>
      </c>
      <c r="AB820" s="70">
        <v>0</v>
      </c>
      <c r="AC820" s="417">
        <v>0</v>
      </c>
      <c r="AD820" s="417">
        <v>0</v>
      </c>
      <c r="AE820" s="378">
        <v>2.9000000000000002E-6</v>
      </c>
      <c r="AF820" s="378"/>
      <c r="AG820" s="70">
        <v>11742.371999999974</v>
      </c>
      <c r="AH820" s="70">
        <v>8197.3719999999739</v>
      </c>
      <c r="AI820" s="70">
        <v>8197.3719999999739</v>
      </c>
      <c r="AJ820" s="417">
        <v>0</v>
      </c>
      <c r="AK820" s="417">
        <v>0</v>
      </c>
      <c r="AL820" s="378">
        <v>2.9000000000000002E-6</v>
      </c>
      <c r="AM820" s="378"/>
      <c r="AN820" s="70">
        <v>-15088</v>
      </c>
      <c r="AO820" s="70">
        <v>-5833</v>
      </c>
      <c r="AP820" s="70">
        <v>0</v>
      </c>
      <c r="AQ820" s="417">
        <v>0</v>
      </c>
      <c r="AR820" s="417">
        <v>0</v>
      </c>
    </row>
    <row r="821" spans="1:44">
      <c r="A821" s="439">
        <v>99047</v>
      </c>
      <c r="B821" s="440" t="s">
        <v>1526</v>
      </c>
      <c r="C821" s="437">
        <v>1.66E-5</v>
      </c>
      <c r="D821" s="441"/>
      <c r="E821" s="438">
        <v>21279.734150000004</v>
      </c>
      <c r="F821" s="442">
        <v>16999.111350000003</v>
      </c>
      <c r="G821" s="442">
        <v>3753.1297500000014</v>
      </c>
      <c r="H821" s="442">
        <v>14745.896200000001</v>
      </c>
      <c r="I821" s="442">
        <v>0</v>
      </c>
      <c r="J821" s="443">
        <v>2.2500000000000001E-5</v>
      </c>
      <c r="K821" s="443"/>
      <c r="L821" s="444">
        <v>2674.7082</v>
      </c>
      <c r="M821" s="444">
        <v>1096.7121999999999</v>
      </c>
      <c r="N821" s="444">
        <v>-131.85380000000001</v>
      </c>
      <c r="O821" s="444">
        <v>0</v>
      </c>
      <c r="P821" s="417">
        <v>0</v>
      </c>
      <c r="Q821" s="378">
        <v>2.2500000000000001E-5</v>
      </c>
      <c r="R821" s="378"/>
      <c r="S821" s="70">
        <v>6503.0998</v>
      </c>
      <c r="T821" s="105">
        <v>6086.5061999999998</v>
      </c>
      <c r="U821" s="70">
        <v>3616.0444000000002</v>
      </c>
      <c r="V821" s="70">
        <v>14745.896200000001</v>
      </c>
      <c r="W821" s="417">
        <v>0</v>
      </c>
      <c r="X821" s="378">
        <v>2.2500000000000001E-5</v>
      </c>
      <c r="Z821" s="70">
        <v>4671.9870000000001</v>
      </c>
      <c r="AA821" s="70">
        <v>4671.9538000000002</v>
      </c>
      <c r="AB821" s="70">
        <v>0</v>
      </c>
      <c r="AC821" s="417">
        <v>0</v>
      </c>
      <c r="AD821" s="417">
        <v>0</v>
      </c>
      <c r="AE821" s="378">
        <v>2.2500000000000001E-5</v>
      </c>
      <c r="AF821" s="378"/>
      <c r="AG821" s="70">
        <v>7429.9391500000011</v>
      </c>
      <c r="AH821" s="70">
        <v>5143.9391500000011</v>
      </c>
      <c r="AI821" s="70">
        <v>268.93915000000106</v>
      </c>
      <c r="AJ821" s="417">
        <v>0</v>
      </c>
      <c r="AK821" s="417">
        <v>0</v>
      </c>
      <c r="AL821" s="378">
        <v>2.2500000000000001E-5</v>
      </c>
      <c r="AM821" s="378"/>
      <c r="AN821" s="70">
        <v>0</v>
      </c>
      <c r="AO821" s="70">
        <v>0</v>
      </c>
      <c r="AP821" s="70">
        <v>0</v>
      </c>
      <c r="AQ821" s="417">
        <v>0</v>
      </c>
      <c r="AR821" s="417">
        <v>0</v>
      </c>
    </row>
    <row r="822" spans="1:44">
      <c r="A822" s="439">
        <v>99051</v>
      </c>
      <c r="B822" s="440" t="s">
        <v>1527</v>
      </c>
      <c r="C822" s="437">
        <v>3.8549999999999999E-4</v>
      </c>
      <c r="D822" s="441"/>
      <c r="E822" s="438">
        <v>320811.05662499997</v>
      </c>
      <c r="F822" s="442">
        <v>275724.14762499998</v>
      </c>
      <c r="G822" s="442">
        <v>95801.749625000026</v>
      </c>
      <c r="H822" s="442">
        <v>342442.34850000002</v>
      </c>
      <c r="I822" s="442">
        <v>0</v>
      </c>
      <c r="J822" s="443">
        <v>9.5493999999999996E-3</v>
      </c>
      <c r="K822" s="443"/>
      <c r="L822" s="444">
        <v>62114.458500000001</v>
      </c>
      <c r="M822" s="444">
        <v>25468.8285</v>
      </c>
      <c r="N822" s="444">
        <v>-3062.0264999999999</v>
      </c>
      <c r="O822" s="444">
        <v>0</v>
      </c>
      <c r="P822" s="417">
        <v>0</v>
      </c>
      <c r="Q822" s="378">
        <v>9.5493999999999996E-3</v>
      </c>
      <c r="R822" s="378"/>
      <c r="S822" s="70">
        <v>151020.78149999998</v>
      </c>
      <c r="T822" s="105">
        <v>141346.27350000001</v>
      </c>
      <c r="U822" s="70">
        <v>83975.006999999998</v>
      </c>
      <c r="V822" s="70">
        <v>342442.34850000002</v>
      </c>
      <c r="W822" s="417">
        <v>0</v>
      </c>
      <c r="X822" s="378">
        <v>9.5493999999999996E-3</v>
      </c>
      <c r="Z822" s="70">
        <v>108497.0475</v>
      </c>
      <c r="AA822" s="70">
        <v>108496.27649999999</v>
      </c>
      <c r="AB822" s="70">
        <v>0</v>
      </c>
      <c r="AC822" s="417">
        <v>0</v>
      </c>
      <c r="AD822" s="417">
        <v>0</v>
      </c>
      <c r="AE822" s="378">
        <v>9.5493999999999996E-3</v>
      </c>
      <c r="AF822" s="378"/>
      <c r="AG822" s="70">
        <v>17838.769125000021</v>
      </c>
      <c r="AH822" s="70">
        <v>14888.769125000021</v>
      </c>
      <c r="AI822" s="70">
        <v>14888.769125000021</v>
      </c>
      <c r="AJ822" s="417">
        <v>0</v>
      </c>
      <c r="AK822" s="417">
        <v>0</v>
      </c>
      <c r="AL822" s="378">
        <v>9.5493999999999996E-3</v>
      </c>
      <c r="AM822" s="378"/>
      <c r="AN822" s="70">
        <v>-18660</v>
      </c>
      <c r="AO822" s="70">
        <v>-14476</v>
      </c>
      <c r="AP822" s="70">
        <v>0</v>
      </c>
      <c r="AQ822" s="417">
        <v>0</v>
      </c>
      <c r="AR822" s="417">
        <v>0</v>
      </c>
    </row>
    <row r="823" spans="1:44">
      <c r="A823" s="439">
        <v>99061</v>
      </c>
      <c r="B823" s="440" t="s">
        <v>1528</v>
      </c>
      <c r="C823" s="437">
        <v>4.6E-6</v>
      </c>
      <c r="D823" s="441"/>
      <c r="E823" s="438">
        <v>5332.5238499999996</v>
      </c>
      <c r="F823" s="442">
        <v>4454.7970500000001</v>
      </c>
      <c r="G823" s="442">
        <v>1434.12745</v>
      </c>
      <c r="H823" s="442">
        <v>4086.2121999999999</v>
      </c>
      <c r="I823" s="442">
        <v>0</v>
      </c>
      <c r="J823" s="443">
        <v>3.8801E-3</v>
      </c>
      <c r="K823" s="443"/>
      <c r="L823" s="444">
        <v>741.18420000000003</v>
      </c>
      <c r="M823" s="444">
        <v>303.90820000000002</v>
      </c>
      <c r="N823" s="444">
        <v>-36.537799999999997</v>
      </c>
      <c r="O823" s="444">
        <v>0</v>
      </c>
      <c r="P823" s="417">
        <v>0</v>
      </c>
      <c r="Q823" s="378">
        <v>3.8801E-3</v>
      </c>
      <c r="R823" s="378"/>
      <c r="S823" s="70">
        <v>1802.0637999999999</v>
      </c>
      <c r="T823" s="105">
        <v>1686.6222</v>
      </c>
      <c r="U823" s="70">
        <v>1002.0364</v>
      </c>
      <c r="V823" s="70">
        <v>4086.2121999999999</v>
      </c>
      <c r="W823" s="417">
        <v>0</v>
      </c>
      <c r="X823" s="378">
        <v>3.8801E-3</v>
      </c>
      <c r="Z823" s="70">
        <v>1294.6469999999999</v>
      </c>
      <c r="AA823" s="70">
        <v>1294.6378</v>
      </c>
      <c r="AB823" s="70">
        <v>0</v>
      </c>
      <c r="AC823" s="417">
        <v>0</v>
      </c>
      <c r="AD823" s="417">
        <v>0</v>
      </c>
      <c r="AE823" s="378">
        <v>3.8801E-3</v>
      </c>
      <c r="AF823" s="378"/>
      <c r="AG823" s="70">
        <v>1494.6288499999998</v>
      </c>
      <c r="AH823" s="70">
        <v>1169.6288499999998</v>
      </c>
      <c r="AI823" s="70">
        <v>468.62884999999983</v>
      </c>
      <c r="AJ823" s="417">
        <v>0</v>
      </c>
      <c r="AK823" s="417">
        <v>0</v>
      </c>
      <c r="AL823" s="378">
        <v>3.8801E-3</v>
      </c>
      <c r="AM823" s="378"/>
      <c r="AN823" s="70">
        <v>0</v>
      </c>
      <c r="AO823" s="70">
        <v>0</v>
      </c>
      <c r="AP823" s="70">
        <v>0</v>
      </c>
      <c r="AQ823" s="417">
        <v>0</v>
      </c>
      <c r="AR823" s="417">
        <v>0</v>
      </c>
    </row>
    <row r="824" spans="1:44">
      <c r="A824" s="439">
        <v>99071</v>
      </c>
      <c r="B824" s="440" t="s">
        <v>1529</v>
      </c>
      <c r="C824" s="437">
        <v>1.04E-5</v>
      </c>
      <c r="D824" s="441"/>
      <c r="E824" s="438">
        <v>5360.9492999999984</v>
      </c>
      <c r="F824" s="442">
        <v>3361.3060999999998</v>
      </c>
      <c r="G824" s="442">
        <v>-3713.1643000000008</v>
      </c>
      <c r="H824" s="442">
        <v>9238.3927999999996</v>
      </c>
      <c r="I824" s="442">
        <v>0</v>
      </c>
      <c r="J824" s="443">
        <v>7.5599999999999994E-5</v>
      </c>
      <c r="K824" s="443"/>
      <c r="L824" s="444">
        <v>1675.7208000000001</v>
      </c>
      <c r="M824" s="444">
        <v>687.09680000000003</v>
      </c>
      <c r="N824" s="444">
        <v>-82.607200000000006</v>
      </c>
      <c r="O824" s="444">
        <v>0</v>
      </c>
      <c r="P824" s="417">
        <v>0</v>
      </c>
      <c r="Q824" s="378">
        <v>7.5599999999999994E-5</v>
      </c>
      <c r="R824" s="378"/>
      <c r="S824" s="70">
        <v>4074.2312000000002</v>
      </c>
      <c r="T824" s="105">
        <v>3813.2328000000002</v>
      </c>
      <c r="U824" s="70">
        <v>2265.4736000000003</v>
      </c>
      <c r="V824" s="70">
        <v>9238.3927999999996</v>
      </c>
      <c r="W824" s="417">
        <v>0</v>
      </c>
      <c r="X824" s="378">
        <v>7.5599999999999994E-5</v>
      </c>
      <c r="Z824" s="70">
        <v>2927.0280000000002</v>
      </c>
      <c r="AA824" s="70">
        <v>2927.0072</v>
      </c>
      <c r="AB824" s="70">
        <v>0</v>
      </c>
      <c r="AC824" s="417">
        <v>0</v>
      </c>
      <c r="AD824" s="417">
        <v>0</v>
      </c>
      <c r="AE824" s="378">
        <v>7.5599999999999994E-5</v>
      </c>
      <c r="AF824" s="378"/>
      <c r="AG824" s="70">
        <v>2966</v>
      </c>
      <c r="AH824" s="70">
        <v>1830</v>
      </c>
      <c r="AI824" s="70">
        <v>0</v>
      </c>
      <c r="AJ824" s="417">
        <v>0</v>
      </c>
      <c r="AK824" s="417">
        <v>0</v>
      </c>
      <c r="AL824" s="378">
        <v>7.5599999999999994E-5</v>
      </c>
      <c r="AM824" s="378"/>
      <c r="AN824" s="70">
        <v>-6282.0307000000012</v>
      </c>
      <c r="AO824" s="70">
        <v>-5896.0307000000012</v>
      </c>
      <c r="AP824" s="70">
        <v>-5896.0307000000012</v>
      </c>
      <c r="AQ824" s="417">
        <v>0</v>
      </c>
      <c r="AR824" s="417">
        <v>0</v>
      </c>
    </row>
    <row r="825" spans="1:44">
      <c r="A825" s="439">
        <v>99081</v>
      </c>
      <c r="B825" s="440" t="s">
        <v>1530</v>
      </c>
      <c r="C825" s="437">
        <v>7.6100000000000007E-5</v>
      </c>
      <c r="D825" s="441"/>
      <c r="E825" s="438">
        <v>82764.205575000015</v>
      </c>
      <c r="F825" s="442">
        <v>69660.181775000019</v>
      </c>
      <c r="G825" s="442">
        <v>25545.778175000007</v>
      </c>
      <c r="H825" s="442">
        <v>67600.162700000001</v>
      </c>
      <c r="I825" s="442">
        <v>0</v>
      </c>
      <c r="J825" s="443">
        <v>1.9899999999999999E-5</v>
      </c>
      <c r="K825" s="443"/>
      <c r="L825" s="444">
        <v>12261.764700000002</v>
      </c>
      <c r="M825" s="444">
        <v>5027.6987000000008</v>
      </c>
      <c r="N825" s="444">
        <v>-604.46230000000003</v>
      </c>
      <c r="O825" s="444">
        <v>0</v>
      </c>
      <c r="P825" s="417">
        <v>0</v>
      </c>
      <c r="Q825" s="378">
        <v>1.9899999999999999E-5</v>
      </c>
      <c r="R825" s="378"/>
      <c r="S825" s="70">
        <v>29812.403300000002</v>
      </c>
      <c r="T825" s="105">
        <v>27902.597700000002</v>
      </c>
      <c r="U825" s="70">
        <v>16577.167400000002</v>
      </c>
      <c r="V825" s="70">
        <v>67600.162700000001</v>
      </c>
      <c r="W825" s="417">
        <v>0</v>
      </c>
      <c r="X825" s="378">
        <v>1.9899999999999999E-5</v>
      </c>
      <c r="Z825" s="70">
        <v>21417.964500000002</v>
      </c>
      <c r="AA825" s="70">
        <v>21417.812300000001</v>
      </c>
      <c r="AB825" s="70">
        <v>0</v>
      </c>
      <c r="AC825" s="417">
        <v>0</v>
      </c>
      <c r="AD825" s="417">
        <v>0</v>
      </c>
      <c r="AE825" s="378">
        <v>1.9899999999999999E-5</v>
      </c>
      <c r="AF825" s="378"/>
      <c r="AG825" s="70">
        <v>19272.073075000004</v>
      </c>
      <c r="AH825" s="70">
        <v>15312.073075000004</v>
      </c>
      <c r="AI825" s="70">
        <v>9573.0730750000039</v>
      </c>
      <c r="AJ825" s="417">
        <v>0</v>
      </c>
      <c r="AK825" s="417">
        <v>0</v>
      </c>
      <c r="AL825" s="378">
        <v>1.9899999999999999E-5</v>
      </c>
      <c r="AM825" s="378"/>
      <c r="AN825" s="70">
        <v>0</v>
      </c>
      <c r="AO825" s="70">
        <v>0</v>
      </c>
      <c r="AP825" s="70">
        <v>0</v>
      </c>
      <c r="AQ825" s="417">
        <v>0</v>
      </c>
      <c r="AR825" s="417">
        <v>0</v>
      </c>
    </row>
    <row r="826" spans="1:44">
      <c r="A826" s="439">
        <v>99091</v>
      </c>
      <c r="B826" s="440" t="s">
        <v>1531</v>
      </c>
      <c r="C826" s="437">
        <v>7.9000000000000006E-6</v>
      </c>
      <c r="D826" s="441"/>
      <c r="E826" s="438">
        <v>11192.335875000001</v>
      </c>
      <c r="F826" s="442">
        <v>3389.0876750000007</v>
      </c>
      <c r="G826" s="442">
        <v>3041.3072749999992</v>
      </c>
      <c r="H826" s="442">
        <v>7017.6253000000006</v>
      </c>
      <c r="I826" s="442">
        <v>0</v>
      </c>
      <c r="J826" s="443">
        <v>4.8300000000000002E-5</v>
      </c>
      <c r="K826" s="443"/>
      <c r="L826" s="444">
        <v>1272.9033000000002</v>
      </c>
      <c r="M826" s="444">
        <v>521.92930000000001</v>
      </c>
      <c r="N826" s="444">
        <v>-62.749700000000004</v>
      </c>
      <c r="O826" s="444">
        <v>0</v>
      </c>
      <c r="P826" s="417">
        <v>0</v>
      </c>
      <c r="Q826" s="378">
        <v>4.8300000000000002E-5</v>
      </c>
      <c r="R826" s="378"/>
      <c r="S826" s="70">
        <v>3094.8487</v>
      </c>
      <c r="T826" s="105">
        <v>2896.5903000000003</v>
      </c>
      <c r="U826" s="70">
        <v>1720.8886000000002</v>
      </c>
      <c r="V826" s="70">
        <v>7017.6253000000006</v>
      </c>
      <c r="W826" s="417">
        <v>0</v>
      </c>
      <c r="X826" s="378">
        <v>4.8300000000000002E-5</v>
      </c>
      <c r="Z826" s="70">
        <v>2223.4155000000001</v>
      </c>
      <c r="AA826" s="70">
        <v>2223.3997000000004</v>
      </c>
      <c r="AB826" s="70">
        <v>0</v>
      </c>
      <c r="AC826" s="417">
        <v>0</v>
      </c>
      <c r="AD826" s="417">
        <v>0</v>
      </c>
      <c r="AE826" s="378">
        <v>4.8300000000000002E-5</v>
      </c>
      <c r="AF826" s="378"/>
      <c r="AG826" s="70">
        <v>8237.1683749999993</v>
      </c>
      <c r="AH826" s="70">
        <v>1383.1683749999993</v>
      </c>
      <c r="AI826" s="70">
        <v>1383.1683749999993</v>
      </c>
      <c r="AJ826" s="417">
        <v>0</v>
      </c>
      <c r="AK826" s="417">
        <v>0</v>
      </c>
      <c r="AL826" s="378">
        <v>4.8300000000000002E-5</v>
      </c>
      <c r="AM826" s="378"/>
      <c r="AN826" s="70">
        <v>-3636</v>
      </c>
      <c r="AO826" s="70">
        <v>-3636</v>
      </c>
      <c r="AP826" s="70">
        <v>0</v>
      </c>
      <c r="AQ826" s="417">
        <v>0</v>
      </c>
      <c r="AR826" s="417">
        <v>0</v>
      </c>
    </row>
    <row r="827" spans="1:44">
      <c r="A827" s="439">
        <v>99101</v>
      </c>
      <c r="B827" s="440" t="s">
        <v>1532</v>
      </c>
      <c r="C827" s="437">
        <v>1.6930000000000001E-3</v>
      </c>
      <c r="D827" s="441"/>
      <c r="E827" s="438">
        <v>1206707.2372999999</v>
      </c>
      <c r="F827" s="442">
        <v>1119548.7432999997</v>
      </c>
      <c r="G827" s="442">
        <v>301465.47529999976</v>
      </c>
      <c r="H827" s="442">
        <v>1503903.7510000002</v>
      </c>
      <c r="I827" s="442">
        <v>0</v>
      </c>
      <c r="J827" s="443">
        <v>1.3019999999999999E-4</v>
      </c>
      <c r="K827" s="443"/>
      <c r="L827" s="444">
        <v>272788.011</v>
      </c>
      <c r="M827" s="444">
        <v>111851.431</v>
      </c>
      <c r="N827" s="444">
        <v>-13447.499</v>
      </c>
      <c r="O827" s="444">
        <v>0</v>
      </c>
      <c r="P827" s="417">
        <v>0</v>
      </c>
      <c r="Q827" s="378">
        <v>1.3019999999999999E-4</v>
      </c>
      <c r="R827" s="378"/>
      <c r="S827" s="70">
        <v>663237.82900000003</v>
      </c>
      <c r="T827" s="105">
        <v>620750.30099999998</v>
      </c>
      <c r="U827" s="70">
        <v>368792.962</v>
      </c>
      <c r="V827" s="70">
        <v>1503903.7510000002</v>
      </c>
      <c r="W827" s="417">
        <v>0</v>
      </c>
      <c r="X827" s="378">
        <v>1.3019999999999999E-4</v>
      </c>
      <c r="Z827" s="70">
        <v>476486.38500000001</v>
      </c>
      <c r="AA827" s="70">
        <v>476482.99900000001</v>
      </c>
      <c r="AB827" s="70">
        <v>0</v>
      </c>
      <c r="AC827" s="417">
        <v>0</v>
      </c>
      <c r="AD827" s="417">
        <v>0</v>
      </c>
      <c r="AE827" s="378">
        <v>1.3019999999999999E-4</v>
      </c>
      <c r="AF827" s="378"/>
      <c r="AG827" s="70">
        <v>0</v>
      </c>
      <c r="AH827" s="70">
        <v>0</v>
      </c>
      <c r="AI827" s="70">
        <v>0</v>
      </c>
      <c r="AJ827" s="417">
        <v>0</v>
      </c>
      <c r="AK827" s="417">
        <v>0</v>
      </c>
      <c r="AL827" s="378">
        <v>1.3019999999999999E-4</v>
      </c>
      <c r="AM827" s="378"/>
      <c r="AN827" s="70">
        <v>-205804.98770000023</v>
      </c>
      <c r="AO827" s="70">
        <v>-89535.987700000231</v>
      </c>
      <c r="AP827" s="70">
        <v>-53879.987700000231</v>
      </c>
      <c r="AQ827" s="417">
        <v>0</v>
      </c>
      <c r="AR827" s="417">
        <v>0</v>
      </c>
    </row>
    <row r="828" spans="1:44">
      <c r="A828" s="439">
        <v>99104</v>
      </c>
      <c r="B828" s="440" t="s">
        <v>1533</v>
      </c>
      <c r="C828" s="437">
        <v>3.6399999999999997E-5</v>
      </c>
      <c r="D828" s="441"/>
      <c r="E828" s="438">
        <v>47769.448099999994</v>
      </c>
      <c r="F828" s="442">
        <v>37962.696899999995</v>
      </c>
      <c r="G828" s="442">
        <v>12885.050499999998</v>
      </c>
      <c r="H828" s="442">
        <v>32334.374799999998</v>
      </c>
      <c r="I828" s="442">
        <v>0</v>
      </c>
      <c r="J828" s="443">
        <v>7.7999999999999999E-6</v>
      </c>
      <c r="K828" s="443"/>
      <c r="L828" s="444">
        <v>5865.0227999999997</v>
      </c>
      <c r="M828" s="444">
        <v>2404.8388</v>
      </c>
      <c r="N828" s="444">
        <v>-289.12519999999995</v>
      </c>
      <c r="O828" s="444">
        <v>0</v>
      </c>
      <c r="P828" s="417">
        <v>0</v>
      </c>
      <c r="Q828" s="378">
        <v>7.7999999999999999E-6</v>
      </c>
      <c r="R828" s="378"/>
      <c r="S828" s="70">
        <v>14259.8092</v>
      </c>
      <c r="T828" s="105">
        <v>13346.314799999998</v>
      </c>
      <c r="U828" s="70">
        <v>7929.1575999999995</v>
      </c>
      <c r="V828" s="70">
        <v>32334.374799999998</v>
      </c>
      <c r="W828" s="417">
        <v>0</v>
      </c>
      <c r="X828" s="378">
        <v>7.7999999999999999E-6</v>
      </c>
      <c r="Z828" s="70">
        <v>10244.598</v>
      </c>
      <c r="AA828" s="70">
        <v>10244.5252</v>
      </c>
      <c r="AB828" s="70">
        <v>0</v>
      </c>
      <c r="AC828" s="417">
        <v>0</v>
      </c>
      <c r="AD828" s="417">
        <v>0</v>
      </c>
      <c r="AE828" s="378">
        <v>7.7999999999999999E-6</v>
      </c>
      <c r="AF828" s="378"/>
      <c r="AG828" s="70">
        <v>17400.018099999998</v>
      </c>
      <c r="AH828" s="70">
        <v>11967.018099999998</v>
      </c>
      <c r="AI828" s="70">
        <v>5245.0180999999975</v>
      </c>
      <c r="AJ828" s="417">
        <v>0</v>
      </c>
      <c r="AK828" s="417">
        <v>0</v>
      </c>
      <c r="AL828" s="378">
        <v>7.7999999999999999E-6</v>
      </c>
      <c r="AM828" s="378"/>
      <c r="AN828" s="70">
        <v>0</v>
      </c>
      <c r="AO828" s="70">
        <v>0</v>
      </c>
      <c r="AP828" s="70">
        <v>0</v>
      </c>
      <c r="AQ828" s="417">
        <v>0</v>
      </c>
      <c r="AR828" s="417">
        <v>0</v>
      </c>
    </row>
    <row r="829" spans="1:44">
      <c r="A829" s="439">
        <v>99109</v>
      </c>
      <c r="B829" s="440" t="s">
        <v>1534</v>
      </c>
      <c r="C829" s="437">
        <v>1.293E-4</v>
      </c>
      <c r="D829" s="441"/>
      <c r="E829" s="438">
        <v>112321.84202500002</v>
      </c>
      <c r="F829" s="442">
        <v>99802.412625000012</v>
      </c>
      <c r="G829" s="442">
        <v>32461.525825000019</v>
      </c>
      <c r="H829" s="442">
        <v>114858.09510000001</v>
      </c>
      <c r="I829" s="442">
        <v>0</v>
      </c>
      <c r="J829" s="443">
        <v>9.4400000000000004E-5</v>
      </c>
      <c r="K829" s="443"/>
      <c r="L829" s="444">
        <v>20833.721099999999</v>
      </c>
      <c r="M829" s="444">
        <v>8542.463099999999</v>
      </c>
      <c r="N829" s="444">
        <v>-1027.0299</v>
      </c>
      <c r="O829" s="444">
        <v>0</v>
      </c>
      <c r="P829" s="417">
        <v>0</v>
      </c>
      <c r="Q829" s="378">
        <v>9.4400000000000004E-5</v>
      </c>
      <c r="R829" s="378"/>
      <c r="S829" s="70">
        <v>50653.662900000003</v>
      </c>
      <c r="T829" s="105">
        <v>47408.750099999997</v>
      </c>
      <c r="U829" s="70">
        <v>28165.9362</v>
      </c>
      <c r="V829" s="70">
        <v>114858.09510000001</v>
      </c>
      <c r="W829" s="417">
        <v>0</v>
      </c>
      <c r="X829" s="378">
        <v>9.4400000000000004E-5</v>
      </c>
      <c r="Z829" s="70">
        <v>36390.838499999998</v>
      </c>
      <c r="AA829" s="70">
        <v>36390.579899999997</v>
      </c>
      <c r="AB829" s="70">
        <v>0</v>
      </c>
      <c r="AC829" s="417">
        <v>0</v>
      </c>
      <c r="AD829" s="417">
        <v>0</v>
      </c>
      <c r="AE829" s="378">
        <v>9.4400000000000004E-5</v>
      </c>
      <c r="AF829" s="378"/>
      <c r="AG829" s="70">
        <v>7460.6195250000201</v>
      </c>
      <c r="AH829" s="70">
        <v>7460.6195250000201</v>
      </c>
      <c r="AI829" s="70">
        <v>5322.6195250000201</v>
      </c>
      <c r="AJ829" s="417">
        <v>0</v>
      </c>
      <c r="AK829" s="417">
        <v>0</v>
      </c>
      <c r="AL829" s="378">
        <v>9.4400000000000004E-5</v>
      </c>
      <c r="AM829" s="378"/>
      <c r="AN829" s="70">
        <v>-3017</v>
      </c>
      <c r="AO829" s="70">
        <v>0</v>
      </c>
      <c r="AP829" s="70">
        <v>0</v>
      </c>
      <c r="AQ829" s="417">
        <v>0</v>
      </c>
      <c r="AR829" s="417">
        <v>0</v>
      </c>
    </row>
    <row r="830" spans="1:44">
      <c r="A830" s="439">
        <v>99110</v>
      </c>
      <c r="B830" s="440" t="s">
        <v>1535</v>
      </c>
      <c r="C830" s="437">
        <v>1.9149999999999999E-4</v>
      </c>
      <c r="D830" s="441"/>
      <c r="E830" s="438">
        <v>222096.47537499998</v>
      </c>
      <c r="F830" s="442">
        <v>160587.218375</v>
      </c>
      <c r="G830" s="442">
        <v>48784.36437499999</v>
      </c>
      <c r="H830" s="442">
        <v>170110.7905</v>
      </c>
      <c r="I830" s="442">
        <v>0</v>
      </c>
      <c r="J830" s="443">
        <v>6.4740000000000002E-4</v>
      </c>
      <c r="K830" s="443"/>
      <c r="L830" s="444">
        <v>30855.820499999998</v>
      </c>
      <c r="M830" s="444">
        <v>12651.8305</v>
      </c>
      <c r="N830" s="444">
        <v>-1521.0844999999999</v>
      </c>
      <c r="O830" s="444">
        <v>0</v>
      </c>
      <c r="P830" s="417">
        <v>0</v>
      </c>
      <c r="Q830" s="378">
        <v>6.4740000000000002E-4</v>
      </c>
      <c r="R830" s="378"/>
      <c r="S830" s="70">
        <v>75020.699500000002</v>
      </c>
      <c r="T830" s="105">
        <v>70214.815499999997</v>
      </c>
      <c r="U830" s="70">
        <v>41715.210999999996</v>
      </c>
      <c r="V830" s="70">
        <v>170110.7905</v>
      </c>
      <c r="W830" s="417">
        <v>0</v>
      </c>
      <c r="X830" s="378">
        <v>6.4740000000000002E-4</v>
      </c>
      <c r="Z830" s="70">
        <v>53896.717499999999</v>
      </c>
      <c r="AA830" s="70">
        <v>53896.334499999997</v>
      </c>
      <c r="AB830" s="70">
        <v>0</v>
      </c>
      <c r="AC830" s="417">
        <v>0</v>
      </c>
      <c r="AD830" s="417">
        <v>0</v>
      </c>
      <c r="AE830" s="378">
        <v>6.4740000000000002E-4</v>
      </c>
      <c r="AF830" s="378"/>
      <c r="AG830" s="70">
        <v>62323.237874999992</v>
      </c>
      <c r="AH830" s="70">
        <v>23824.237874999992</v>
      </c>
      <c r="AI830" s="70">
        <v>8590.2378749999916</v>
      </c>
      <c r="AJ830" s="417">
        <v>0</v>
      </c>
      <c r="AK830" s="417">
        <v>0</v>
      </c>
      <c r="AL830" s="378">
        <v>6.4740000000000002E-4</v>
      </c>
      <c r="AM830" s="378"/>
      <c r="AN830" s="70">
        <v>0</v>
      </c>
      <c r="AO830" s="70">
        <v>0</v>
      </c>
      <c r="AP830" s="70">
        <v>0</v>
      </c>
      <c r="AQ830" s="417">
        <v>0</v>
      </c>
      <c r="AR830" s="417">
        <v>0</v>
      </c>
    </row>
    <row r="831" spans="1:44">
      <c r="A831" s="439">
        <v>99111</v>
      </c>
      <c r="B831" s="440" t="s">
        <v>1536</v>
      </c>
      <c r="C831" s="437">
        <v>1.3125999999999999E-3</v>
      </c>
      <c r="D831" s="441"/>
      <c r="E831" s="438">
        <v>1036373.1656499999</v>
      </c>
      <c r="F831" s="442">
        <v>863789.77484999993</v>
      </c>
      <c r="G831" s="442">
        <v>270951.09724999999</v>
      </c>
      <c r="H831" s="442">
        <v>1165991.7681999998</v>
      </c>
      <c r="I831" s="442">
        <v>0</v>
      </c>
      <c r="J831" s="443">
        <v>1.98E-5</v>
      </c>
      <c r="K831" s="443"/>
      <c r="L831" s="444">
        <v>211495.3002</v>
      </c>
      <c r="M831" s="444">
        <v>86719.544199999989</v>
      </c>
      <c r="N831" s="444">
        <v>-10425.9818</v>
      </c>
      <c r="O831" s="444">
        <v>0</v>
      </c>
      <c r="P831" s="417">
        <v>0</v>
      </c>
      <c r="Q831" s="378">
        <v>1.98E-5</v>
      </c>
      <c r="R831" s="378"/>
      <c r="S831" s="70">
        <v>514214.98779999994</v>
      </c>
      <c r="T831" s="105">
        <v>481273.97819999995</v>
      </c>
      <c r="U831" s="70">
        <v>285928.90839999996</v>
      </c>
      <c r="V831" s="70">
        <v>1165991.7681999998</v>
      </c>
      <c r="W831" s="417">
        <v>0</v>
      </c>
      <c r="X831" s="378">
        <v>1.98E-5</v>
      </c>
      <c r="Z831" s="70">
        <v>369424.70699999999</v>
      </c>
      <c r="AA831" s="70">
        <v>369422.08179999999</v>
      </c>
      <c r="AB831" s="70">
        <v>0</v>
      </c>
      <c r="AC831" s="417">
        <v>0</v>
      </c>
      <c r="AD831" s="417">
        <v>0</v>
      </c>
      <c r="AE831" s="378">
        <v>1.98E-5</v>
      </c>
      <c r="AF831" s="378"/>
      <c r="AG831" s="70">
        <v>21347</v>
      </c>
      <c r="AH831" s="70">
        <v>0</v>
      </c>
      <c r="AI831" s="70">
        <v>0</v>
      </c>
      <c r="AJ831" s="417">
        <v>0</v>
      </c>
      <c r="AK831" s="417">
        <v>0</v>
      </c>
      <c r="AL831" s="378">
        <v>1.98E-5</v>
      </c>
      <c r="AM831" s="378"/>
      <c r="AN831" s="70">
        <v>-80108.829349999956</v>
      </c>
      <c r="AO831" s="70">
        <v>-73625.829349999956</v>
      </c>
      <c r="AP831" s="70">
        <v>-4551.8293499999563</v>
      </c>
      <c r="AQ831" s="417">
        <v>0</v>
      </c>
      <c r="AR831" s="417">
        <v>0</v>
      </c>
    </row>
    <row r="832" spans="1:44">
      <c r="A832" s="439">
        <v>99201</v>
      </c>
      <c r="B832" s="440" t="s">
        <v>3738</v>
      </c>
      <c r="C832" s="437">
        <v>3.5933699999999999E-2</v>
      </c>
      <c r="D832" s="441"/>
      <c r="E832" s="438">
        <v>30563404.775825001</v>
      </c>
      <c r="F832" s="442">
        <v>25970518.251224998</v>
      </c>
      <c r="G832" s="442">
        <v>6948995.7500250004</v>
      </c>
      <c r="H832" s="442">
        <v>31920157.245899998</v>
      </c>
      <c r="I832" s="442">
        <v>0</v>
      </c>
      <c r="J832" s="443">
        <v>3.3849999999999999E-4</v>
      </c>
      <c r="K832" s="443"/>
      <c r="L832" s="444">
        <v>5789889.2798999995</v>
      </c>
      <c r="M832" s="444">
        <v>2374031.7579000001</v>
      </c>
      <c r="N832" s="444">
        <v>-285421.37910000002</v>
      </c>
      <c r="O832" s="444">
        <v>0</v>
      </c>
      <c r="P832" s="417">
        <v>0</v>
      </c>
      <c r="Q832" s="378">
        <v>3.3849999999999999E-4</v>
      </c>
      <c r="R832" s="378"/>
      <c r="S832" s="70">
        <v>14077134.7761</v>
      </c>
      <c r="T832" s="105">
        <v>13175342.640899999</v>
      </c>
      <c r="U832" s="70">
        <v>7827581.6058</v>
      </c>
      <c r="V832" s="70">
        <v>31920157.245899998</v>
      </c>
      <c r="W832" s="417">
        <v>0</v>
      </c>
      <c r="X832" s="378">
        <v>3.3849999999999999E-4</v>
      </c>
      <c r="Z832" s="70">
        <v>10113360.1965</v>
      </c>
      <c r="AA832" s="70">
        <v>10113288.3291</v>
      </c>
      <c r="AB832" s="70">
        <v>0</v>
      </c>
      <c r="AC832" s="417">
        <v>0</v>
      </c>
      <c r="AD832" s="417">
        <v>0</v>
      </c>
      <c r="AE832" s="378">
        <v>3.3849999999999999E-4</v>
      </c>
      <c r="AF832" s="378"/>
      <c r="AG832" s="70">
        <v>1176185</v>
      </c>
      <c r="AH832" s="70">
        <v>901020</v>
      </c>
      <c r="AI832" s="70">
        <v>0</v>
      </c>
      <c r="AJ832" s="417">
        <v>0</v>
      </c>
      <c r="AK832" s="417">
        <v>0</v>
      </c>
      <c r="AL832" s="378">
        <v>3.3849999999999999E-4</v>
      </c>
      <c r="AM832" s="378"/>
      <c r="AN832" s="70">
        <v>-593164.47667500004</v>
      </c>
      <c r="AO832" s="70">
        <v>-593164.47667500004</v>
      </c>
      <c r="AP832" s="70">
        <v>-593164.47667500004</v>
      </c>
      <c r="AQ832" s="417">
        <v>0</v>
      </c>
      <c r="AR832" s="417">
        <v>0</v>
      </c>
    </row>
    <row r="833" spans="1:44">
      <c r="A833" s="439">
        <v>99202</v>
      </c>
      <c r="B833" s="440" t="s">
        <v>1538</v>
      </c>
      <c r="C833" s="437">
        <v>3.0834999999999999E-3</v>
      </c>
      <c r="D833" s="441"/>
      <c r="E833" s="438">
        <v>2544693.7623749995</v>
      </c>
      <c r="F833" s="442">
        <v>2186240.5693749995</v>
      </c>
      <c r="G833" s="442">
        <v>595484.52337499976</v>
      </c>
      <c r="H833" s="442">
        <v>2739094.6344999997</v>
      </c>
      <c r="I833" s="442">
        <v>0</v>
      </c>
      <c r="J833" s="443">
        <v>5.4E-6</v>
      </c>
      <c r="K833" s="443"/>
      <c r="L833" s="444">
        <v>496835.10449999996</v>
      </c>
      <c r="M833" s="444">
        <v>203717.59449999998</v>
      </c>
      <c r="N833" s="444">
        <v>-24492.2405</v>
      </c>
      <c r="O833" s="444">
        <v>0</v>
      </c>
      <c r="P833" s="417">
        <v>0</v>
      </c>
      <c r="Q833" s="378">
        <v>5.4E-6</v>
      </c>
      <c r="R833" s="378"/>
      <c r="S833" s="70">
        <v>1207970.3754999998</v>
      </c>
      <c r="T833" s="105">
        <v>1130586.8595</v>
      </c>
      <c r="U833" s="70">
        <v>671691.13899999997</v>
      </c>
      <c r="V833" s="70">
        <v>2739094.6344999997</v>
      </c>
      <c r="W833" s="417">
        <v>0</v>
      </c>
      <c r="X833" s="378">
        <v>5.4E-6</v>
      </c>
      <c r="Z833" s="70">
        <v>867835.65749999997</v>
      </c>
      <c r="AA833" s="70">
        <v>867829.49049999996</v>
      </c>
      <c r="AB833" s="70">
        <v>0</v>
      </c>
      <c r="AC833" s="417">
        <v>0</v>
      </c>
      <c r="AD833" s="417">
        <v>0</v>
      </c>
      <c r="AE833" s="378">
        <v>5.4E-6</v>
      </c>
      <c r="AF833" s="378"/>
      <c r="AG833" s="70">
        <v>35821</v>
      </c>
      <c r="AH833" s="70">
        <v>35821</v>
      </c>
      <c r="AI833" s="70">
        <v>0</v>
      </c>
      <c r="AJ833" s="417">
        <v>0</v>
      </c>
      <c r="AK833" s="417">
        <v>0</v>
      </c>
      <c r="AL833" s="378">
        <v>5.4E-6</v>
      </c>
      <c r="AM833" s="378"/>
      <c r="AN833" s="70">
        <v>-63768.375125000253</v>
      </c>
      <c r="AO833" s="70">
        <v>-51714.375125000253</v>
      </c>
      <c r="AP833" s="70">
        <v>-51714.375125000253</v>
      </c>
      <c r="AQ833" s="417">
        <v>0</v>
      </c>
      <c r="AR833" s="417">
        <v>0</v>
      </c>
    </row>
    <row r="834" spans="1:44">
      <c r="A834" s="439">
        <v>99203</v>
      </c>
      <c r="B834" s="440" t="s">
        <v>1539</v>
      </c>
      <c r="C834" s="437">
        <v>4.104E-4</v>
      </c>
      <c r="D834" s="441"/>
      <c r="E834" s="438">
        <v>369745.71129999997</v>
      </c>
      <c r="F834" s="442">
        <v>300702.86809999996</v>
      </c>
      <c r="G834" s="442">
        <v>103557.99769999999</v>
      </c>
      <c r="H834" s="442">
        <v>364561.19280000002</v>
      </c>
      <c r="I834" s="442">
        <v>0</v>
      </c>
      <c r="J834" s="443">
        <v>2.48E-5</v>
      </c>
      <c r="K834" s="443"/>
      <c r="L834" s="444">
        <v>66126.520799999998</v>
      </c>
      <c r="M834" s="444">
        <v>27113.896799999999</v>
      </c>
      <c r="N834" s="444">
        <v>-3259.8072000000002</v>
      </c>
      <c r="O834" s="444">
        <v>0</v>
      </c>
      <c r="P834" s="417">
        <v>0</v>
      </c>
      <c r="Q834" s="378">
        <v>2.48E-5</v>
      </c>
      <c r="R834" s="378"/>
      <c r="S834" s="70">
        <v>160775.43119999999</v>
      </c>
      <c r="T834" s="105">
        <v>150476.03279999999</v>
      </c>
      <c r="U834" s="70">
        <v>89399.073600000003</v>
      </c>
      <c r="V834" s="70">
        <v>364561.19280000002</v>
      </c>
      <c r="W834" s="417">
        <v>0</v>
      </c>
      <c r="X834" s="378">
        <v>2.48E-5</v>
      </c>
      <c r="Z834" s="70">
        <v>115505.02800000001</v>
      </c>
      <c r="AA834" s="70">
        <v>115504.2072</v>
      </c>
      <c r="AB834" s="70">
        <v>0</v>
      </c>
      <c r="AC834" s="417">
        <v>0</v>
      </c>
      <c r="AD834" s="417">
        <v>0</v>
      </c>
      <c r="AE834" s="378">
        <v>2.48E-5</v>
      </c>
      <c r="AF834" s="378"/>
      <c r="AG834" s="70">
        <v>37148.731299999985</v>
      </c>
      <c r="AH834" s="70">
        <v>17418.731299999985</v>
      </c>
      <c r="AI834" s="70">
        <v>17418.731299999985</v>
      </c>
      <c r="AJ834" s="417">
        <v>0</v>
      </c>
      <c r="AK834" s="417">
        <v>0</v>
      </c>
      <c r="AL834" s="378">
        <v>2.48E-5</v>
      </c>
      <c r="AM834" s="378"/>
      <c r="AN834" s="70">
        <v>-9810</v>
      </c>
      <c r="AO834" s="70">
        <v>-9810</v>
      </c>
      <c r="AP834" s="70">
        <v>0</v>
      </c>
      <c r="AQ834" s="417">
        <v>0</v>
      </c>
      <c r="AR834" s="417">
        <v>0</v>
      </c>
    </row>
    <row r="835" spans="1:44">
      <c r="A835" s="439">
        <v>99204</v>
      </c>
      <c r="B835" s="440" t="s">
        <v>1540</v>
      </c>
      <c r="C835" s="437">
        <v>1.2049000000000001E-3</v>
      </c>
      <c r="D835" s="441"/>
      <c r="E835" s="438">
        <v>1195511.7842250003</v>
      </c>
      <c r="F835" s="442">
        <v>1018368.4100250001</v>
      </c>
      <c r="G835" s="442">
        <v>287981.25762500014</v>
      </c>
      <c r="H835" s="442">
        <v>1070321.1043</v>
      </c>
      <c r="I835" s="442">
        <v>0</v>
      </c>
      <c r="J835" s="443">
        <v>5.0699999999999999E-5</v>
      </c>
      <c r="K835" s="443"/>
      <c r="L835" s="444">
        <v>194141.92230000001</v>
      </c>
      <c r="M835" s="444">
        <v>79604.128300000011</v>
      </c>
      <c r="N835" s="444">
        <v>-9570.5207000000009</v>
      </c>
      <c r="O835" s="444">
        <v>0</v>
      </c>
      <c r="P835" s="417">
        <v>0</v>
      </c>
      <c r="Q835" s="378">
        <v>5.0699999999999999E-5</v>
      </c>
      <c r="R835" s="378"/>
      <c r="S835" s="70">
        <v>472023.18970000005</v>
      </c>
      <c r="T835" s="105">
        <v>441785.01930000004</v>
      </c>
      <c r="U835" s="70">
        <v>262468.18660000002</v>
      </c>
      <c r="V835" s="70">
        <v>1070321.1043</v>
      </c>
      <c r="W835" s="417">
        <v>0</v>
      </c>
      <c r="X835" s="378">
        <v>5.0699999999999999E-5</v>
      </c>
      <c r="Z835" s="70">
        <v>339113.08050000004</v>
      </c>
      <c r="AA835" s="70">
        <v>339110.67070000002</v>
      </c>
      <c r="AB835" s="70">
        <v>0</v>
      </c>
      <c r="AC835" s="417">
        <v>0</v>
      </c>
      <c r="AD835" s="417">
        <v>0</v>
      </c>
      <c r="AE835" s="378">
        <v>5.0699999999999999E-5</v>
      </c>
      <c r="AF835" s="378"/>
      <c r="AG835" s="70">
        <v>190233.59172500012</v>
      </c>
      <c r="AH835" s="70">
        <v>157868.59172500012</v>
      </c>
      <c r="AI835" s="70">
        <v>35083.591725000122</v>
      </c>
      <c r="AJ835" s="417">
        <v>0</v>
      </c>
      <c r="AK835" s="417">
        <v>0</v>
      </c>
      <c r="AL835" s="378">
        <v>5.0699999999999999E-5</v>
      </c>
      <c r="AM835" s="378"/>
      <c r="AN835" s="70">
        <v>0</v>
      </c>
      <c r="AO835" s="70">
        <v>0</v>
      </c>
      <c r="AP835" s="70">
        <v>0</v>
      </c>
      <c r="AQ835" s="417">
        <v>0</v>
      </c>
      <c r="AR835" s="417">
        <v>0</v>
      </c>
    </row>
    <row r="836" spans="1:44">
      <c r="A836" s="439">
        <v>99206</v>
      </c>
      <c r="B836" s="440" t="s">
        <v>1541</v>
      </c>
      <c r="C836" s="437">
        <v>2.0604999999999998E-3</v>
      </c>
      <c r="D836" s="441"/>
      <c r="E836" s="438">
        <v>1868017.0136249997</v>
      </c>
      <c r="F836" s="442">
        <v>1602560.4546249993</v>
      </c>
      <c r="G836" s="442">
        <v>443951.75662499951</v>
      </c>
      <c r="H836" s="442">
        <v>1830356.5734999999</v>
      </c>
      <c r="I836" s="442">
        <v>0</v>
      </c>
      <c r="J836" s="443">
        <v>7.4000000000000003E-6</v>
      </c>
      <c r="K836" s="443"/>
      <c r="L836" s="444">
        <v>332002.18349999998</v>
      </c>
      <c r="M836" s="444">
        <v>136131.05349999998</v>
      </c>
      <c r="N836" s="444">
        <v>-16366.551499999998</v>
      </c>
      <c r="O836" s="444">
        <v>0</v>
      </c>
      <c r="P836" s="417">
        <v>0</v>
      </c>
      <c r="Q836" s="378">
        <v>7.4000000000000003E-6</v>
      </c>
      <c r="R836" s="378"/>
      <c r="S836" s="70">
        <v>807207.05649999995</v>
      </c>
      <c r="T836" s="105">
        <v>755496.74849999999</v>
      </c>
      <c r="U836" s="70">
        <v>448846.95699999994</v>
      </c>
      <c r="V836" s="70">
        <v>1830356.5734999999</v>
      </c>
      <c r="W836" s="417">
        <v>0</v>
      </c>
      <c r="X836" s="378">
        <v>7.4000000000000003E-6</v>
      </c>
      <c r="Z836" s="70">
        <v>579917.42249999999</v>
      </c>
      <c r="AA836" s="70">
        <v>579913.30149999994</v>
      </c>
      <c r="AB836" s="70">
        <v>0</v>
      </c>
      <c r="AC836" s="417">
        <v>0</v>
      </c>
      <c r="AD836" s="417">
        <v>0</v>
      </c>
      <c r="AE836" s="378">
        <v>7.4000000000000003E-6</v>
      </c>
      <c r="AF836" s="378"/>
      <c r="AG836" s="70">
        <v>174119.35112499958</v>
      </c>
      <c r="AH836" s="70">
        <v>131019.35112499958</v>
      </c>
      <c r="AI836" s="70">
        <v>11471.351124999579</v>
      </c>
      <c r="AJ836" s="417">
        <v>0</v>
      </c>
      <c r="AK836" s="417">
        <v>0</v>
      </c>
      <c r="AL836" s="378">
        <v>7.4000000000000003E-6</v>
      </c>
      <c r="AM836" s="378"/>
      <c r="AN836" s="70">
        <v>-25229</v>
      </c>
      <c r="AO836" s="70">
        <v>0</v>
      </c>
      <c r="AP836" s="70">
        <v>0</v>
      </c>
      <c r="AQ836" s="417">
        <v>0</v>
      </c>
      <c r="AR836" s="417">
        <v>0</v>
      </c>
    </row>
    <row r="837" spans="1:44">
      <c r="A837" s="439">
        <v>99207</v>
      </c>
      <c r="B837" s="440" t="s">
        <v>1542</v>
      </c>
      <c r="C837" s="437">
        <v>1.5469999999999999E-4</v>
      </c>
      <c r="D837" s="441"/>
      <c r="E837" s="438">
        <v>246784.33747499998</v>
      </c>
      <c r="F837" s="442">
        <v>204981.894875</v>
      </c>
      <c r="G837" s="442">
        <v>72833.397674999986</v>
      </c>
      <c r="H837" s="442">
        <v>137421.09289999999</v>
      </c>
      <c r="I837" s="442">
        <v>0</v>
      </c>
      <c r="J837" s="443">
        <v>1.8289000000000001E-3</v>
      </c>
      <c r="K837" s="443"/>
      <c r="L837" s="444">
        <v>24926.3469</v>
      </c>
      <c r="M837" s="444">
        <v>10220.564899999999</v>
      </c>
      <c r="N837" s="444">
        <v>-1228.7820999999999</v>
      </c>
      <c r="O837" s="444">
        <v>0</v>
      </c>
      <c r="P837" s="417">
        <v>0</v>
      </c>
      <c r="Q837" s="378">
        <v>1.8289000000000001E-3</v>
      </c>
      <c r="R837" s="378"/>
      <c r="S837" s="70">
        <v>60604.189099999996</v>
      </c>
      <c r="T837" s="105">
        <v>56721.837899999999</v>
      </c>
      <c r="U837" s="70">
        <v>33698.919799999996</v>
      </c>
      <c r="V837" s="70">
        <v>137421.09289999999</v>
      </c>
      <c r="W837" s="417">
        <v>0</v>
      </c>
      <c r="X837" s="378">
        <v>1.8289000000000001E-3</v>
      </c>
      <c r="Z837" s="70">
        <v>43539.541499999999</v>
      </c>
      <c r="AA837" s="70">
        <v>43539.232100000001</v>
      </c>
      <c r="AB837" s="70">
        <v>0</v>
      </c>
      <c r="AC837" s="417">
        <v>0</v>
      </c>
      <c r="AD837" s="417">
        <v>0</v>
      </c>
      <c r="AE837" s="378">
        <v>1.8289000000000001E-3</v>
      </c>
      <c r="AF837" s="378"/>
      <c r="AG837" s="70">
        <v>117910.25997499999</v>
      </c>
      <c r="AH837" s="70">
        <v>94500.259974999994</v>
      </c>
      <c r="AI837" s="70">
        <v>40363.259974999986</v>
      </c>
      <c r="AJ837" s="417">
        <v>0</v>
      </c>
      <c r="AK837" s="417">
        <v>0</v>
      </c>
      <c r="AL837" s="378">
        <v>1.8289000000000001E-3</v>
      </c>
      <c r="AM837" s="378"/>
      <c r="AN837" s="70">
        <v>-196</v>
      </c>
      <c r="AO837" s="70">
        <v>0</v>
      </c>
      <c r="AP837" s="70">
        <v>0</v>
      </c>
      <c r="AQ837" s="417">
        <v>0</v>
      </c>
      <c r="AR837" s="417">
        <v>0</v>
      </c>
    </row>
    <row r="838" spans="1:44">
      <c r="A838" s="439">
        <v>99208</v>
      </c>
      <c r="B838" s="440" t="s">
        <v>1543</v>
      </c>
      <c r="C838" s="437">
        <v>2.9169999999999999E-4</v>
      </c>
      <c r="D838" s="441"/>
      <c r="E838" s="438">
        <v>228926.32637499995</v>
      </c>
      <c r="F838" s="442">
        <v>188376.23777499996</v>
      </c>
      <c r="G838" s="442">
        <v>67060.928574999969</v>
      </c>
      <c r="H838" s="442">
        <v>259119.1519</v>
      </c>
      <c r="I838" s="442">
        <v>0</v>
      </c>
      <c r="J838" s="443">
        <v>3.6199999999999999E-5</v>
      </c>
      <c r="K838" s="443"/>
      <c r="L838" s="444">
        <v>47000.745900000002</v>
      </c>
      <c r="M838" s="444">
        <v>19271.743899999998</v>
      </c>
      <c r="N838" s="444">
        <v>-2316.9730999999997</v>
      </c>
      <c r="O838" s="444">
        <v>0</v>
      </c>
      <c r="P838" s="417">
        <v>0</v>
      </c>
      <c r="Q838" s="378">
        <v>3.6199999999999999E-5</v>
      </c>
      <c r="R838" s="378"/>
      <c r="S838" s="70">
        <v>114274.3501</v>
      </c>
      <c r="T838" s="105">
        <v>106953.84689999999</v>
      </c>
      <c r="U838" s="70">
        <v>63542.177799999998</v>
      </c>
      <c r="V838" s="70">
        <v>259119.1519</v>
      </c>
      <c r="W838" s="417">
        <v>0</v>
      </c>
      <c r="X838" s="378">
        <v>3.6199999999999999E-5</v>
      </c>
      <c r="Z838" s="70">
        <v>82097.506500000003</v>
      </c>
      <c r="AA838" s="70">
        <v>82096.9231</v>
      </c>
      <c r="AB838" s="70">
        <v>0</v>
      </c>
      <c r="AC838" s="417">
        <v>0</v>
      </c>
      <c r="AD838" s="417">
        <v>0</v>
      </c>
      <c r="AE838" s="378">
        <v>3.6199999999999999E-5</v>
      </c>
      <c r="AF838" s="378"/>
      <c r="AG838" s="70">
        <v>13376.723874999974</v>
      </c>
      <c r="AH838" s="70">
        <v>5835.7238749999742</v>
      </c>
      <c r="AI838" s="70">
        <v>5835.7238749999742</v>
      </c>
      <c r="AJ838" s="417">
        <v>0</v>
      </c>
      <c r="AK838" s="417">
        <v>0</v>
      </c>
      <c r="AL838" s="378">
        <v>3.6199999999999999E-5</v>
      </c>
      <c r="AM838" s="378"/>
      <c r="AN838" s="70">
        <v>-27823</v>
      </c>
      <c r="AO838" s="70">
        <v>-25782</v>
      </c>
      <c r="AP838" s="70">
        <v>0</v>
      </c>
      <c r="AQ838" s="417">
        <v>0</v>
      </c>
      <c r="AR838" s="417">
        <v>0</v>
      </c>
    </row>
    <row r="839" spans="1:44">
      <c r="A839" s="439">
        <v>99210</v>
      </c>
      <c r="B839" s="440" t="s">
        <v>1544</v>
      </c>
      <c r="C839" s="437">
        <v>1.9639000000000002E-3</v>
      </c>
      <c r="D839" s="441"/>
      <c r="E839" s="438">
        <v>1809136.4608750001</v>
      </c>
      <c r="F839" s="442">
        <v>1472532.1646750001</v>
      </c>
      <c r="G839" s="442">
        <v>453650.52827500005</v>
      </c>
      <c r="H839" s="442">
        <v>1744546.1173000003</v>
      </c>
      <c r="I839" s="442">
        <v>0</v>
      </c>
      <c r="J839" s="443">
        <v>1.18E-4</v>
      </c>
      <c r="K839" s="443"/>
      <c r="L839" s="444">
        <v>316437.31530000002</v>
      </c>
      <c r="M839" s="444">
        <v>129748.98130000001</v>
      </c>
      <c r="N839" s="444">
        <v>-15599.257700000002</v>
      </c>
      <c r="O839" s="444">
        <v>0</v>
      </c>
      <c r="P839" s="417">
        <v>0</v>
      </c>
      <c r="Q839" s="378">
        <v>1.18E-4</v>
      </c>
      <c r="R839" s="378"/>
      <c r="S839" s="70">
        <v>769363.71670000011</v>
      </c>
      <c r="T839" s="105">
        <v>720077.6823000001</v>
      </c>
      <c r="U839" s="70">
        <v>427804.19260000007</v>
      </c>
      <c r="V839" s="70">
        <v>1744546.1173000003</v>
      </c>
      <c r="W839" s="417">
        <v>0</v>
      </c>
      <c r="X839" s="378">
        <v>1.18E-4</v>
      </c>
      <c r="Z839" s="70">
        <v>552729.83550000004</v>
      </c>
      <c r="AA839" s="70">
        <v>552725.9077000001</v>
      </c>
      <c r="AB839" s="70">
        <v>0</v>
      </c>
      <c r="AC839" s="417">
        <v>0</v>
      </c>
      <c r="AD839" s="417">
        <v>0</v>
      </c>
      <c r="AE839" s="378">
        <v>1.18E-4</v>
      </c>
      <c r="AF839" s="378"/>
      <c r="AG839" s="70">
        <v>170605.593375</v>
      </c>
      <c r="AH839" s="70">
        <v>69979.593374999997</v>
      </c>
      <c r="AI839" s="70">
        <v>41445.593374999997</v>
      </c>
      <c r="AJ839" s="417">
        <v>0</v>
      </c>
      <c r="AK839" s="417">
        <v>0</v>
      </c>
      <c r="AL839" s="378">
        <v>1.18E-4</v>
      </c>
      <c r="AM839" s="378"/>
      <c r="AN839" s="70">
        <v>0</v>
      </c>
      <c r="AO839" s="70">
        <v>0</v>
      </c>
      <c r="AP839" s="70">
        <v>0</v>
      </c>
      <c r="AQ839" s="417">
        <v>0</v>
      </c>
      <c r="AR839" s="417">
        <v>0</v>
      </c>
    </row>
    <row r="840" spans="1:44">
      <c r="A840" s="439">
        <v>99211</v>
      </c>
      <c r="B840" s="440" t="s">
        <v>1545</v>
      </c>
      <c r="C840" s="437">
        <v>3.4845999999999995E-2</v>
      </c>
      <c r="D840" s="441"/>
      <c r="E840" s="438">
        <v>26593489.852749996</v>
      </c>
      <c r="F840" s="442">
        <v>23090119.184749998</v>
      </c>
      <c r="G840" s="442">
        <v>6286313.6887499988</v>
      </c>
      <c r="H840" s="442">
        <v>30953945.721999995</v>
      </c>
      <c r="I840" s="442">
        <v>0</v>
      </c>
      <c r="J840" s="443">
        <v>2.02E-4</v>
      </c>
      <c r="K840" s="443"/>
      <c r="L840" s="444">
        <v>5614631.4419999989</v>
      </c>
      <c r="M840" s="444">
        <v>2302170.6819999996</v>
      </c>
      <c r="N840" s="444">
        <v>-276781.77799999993</v>
      </c>
      <c r="O840" s="444">
        <v>0</v>
      </c>
      <c r="P840" s="417">
        <v>0</v>
      </c>
      <c r="Q840" s="378">
        <v>2.02E-4</v>
      </c>
      <c r="R840" s="378"/>
      <c r="S840" s="70">
        <v>13651025.037999999</v>
      </c>
      <c r="T840" s="105">
        <v>12776529.821999999</v>
      </c>
      <c r="U840" s="70">
        <v>7590643.5639999993</v>
      </c>
      <c r="V840" s="70">
        <v>30953945.721999995</v>
      </c>
      <c r="W840" s="417">
        <v>0</v>
      </c>
      <c r="X840" s="378">
        <v>2.02E-4</v>
      </c>
      <c r="Z840" s="70">
        <v>9807232.4699999988</v>
      </c>
      <c r="AA840" s="70">
        <v>9807162.777999999</v>
      </c>
      <c r="AB840" s="70">
        <v>0</v>
      </c>
      <c r="AC840" s="417">
        <v>0</v>
      </c>
      <c r="AD840" s="417">
        <v>0</v>
      </c>
      <c r="AE840" s="378">
        <v>2.02E-4</v>
      </c>
      <c r="AF840" s="378"/>
      <c r="AG840" s="70">
        <v>0</v>
      </c>
      <c r="AH840" s="70">
        <v>0</v>
      </c>
      <c r="AI840" s="70">
        <v>0</v>
      </c>
      <c r="AJ840" s="417">
        <v>0</v>
      </c>
      <c r="AK840" s="417">
        <v>0</v>
      </c>
      <c r="AL840" s="378">
        <v>2.02E-4</v>
      </c>
      <c r="AM840" s="378"/>
      <c r="AN840" s="70">
        <v>-2479399.0972500006</v>
      </c>
      <c r="AO840" s="70">
        <v>-1795744.0972500006</v>
      </c>
      <c r="AP840" s="70">
        <v>-1027548.0972500006</v>
      </c>
      <c r="AQ840" s="417">
        <v>0</v>
      </c>
      <c r="AR840" s="417">
        <v>0</v>
      </c>
    </row>
    <row r="841" spans="1:44">
      <c r="A841" s="439">
        <v>99212</v>
      </c>
      <c r="B841" s="440" t="s">
        <v>1546</v>
      </c>
      <c r="C841" s="437">
        <v>6.8399999999999996E-5</v>
      </c>
      <c r="D841" s="441"/>
      <c r="E841" s="438">
        <v>44879.612800000003</v>
      </c>
      <c r="F841" s="442">
        <v>33130.805599999992</v>
      </c>
      <c r="G841" s="442">
        <v>10703.327200000003</v>
      </c>
      <c r="H841" s="442">
        <v>60760.198799999998</v>
      </c>
      <c r="I841" s="442">
        <v>0</v>
      </c>
      <c r="J841" s="443">
        <v>1.2878E-3</v>
      </c>
      <c r="K841" s="443"/>
      <c r="L841" s="444">
        <v>11021.086799999999</v>
      </c>
      <c r="M841" s="444">
        <v>4518.9827999999998</v>
      </c>
      <c r="N841" s="444">
        <v>-543.30119999999999</v>
      </c>
      <c r="O841" s="444">
        <v>0</v>
      </c>
      <c r="P841" s="417">
        <v>0</v>
      </c>
      <c r="Q841" s="378">
        <v>1.2878E-3</v>
      </c>
      <c r="R841" s="378"/>
      <c r="S841" s="70">
        <v>26795.905199999997</v>
      </c>
      <c r="T841" s="105">
        <v>25079.338799999998</v>
      </c>
      <c r="U841" s="70">
        <v>14899.845599999999</v>
      </c>
      <c r="V841" s="70">
        <v>60760.198799999998</v>
      </c>
      <c r="W841" s="417">
        <v>0</v>
      </c>
      <c r="X841" s="378">
        <v>1.2878E-3</v>
      </c>
      <c r="Z841" s="70">
        <v>19250.838</v>
      </c>
      <c r="AA841" s="70">
        <v>19250.7012</v>
      </c>
      <c r="AB841" s="70">
        <v>0</v>
      </c>
      <c r="AC841" s="417">
        <v>0</v>
      </c>
      <c r="AD841" s="417">
        <v>0</v>
      </c>
      <c r="AE841" s="378">
        <v>1.2878E-3</v>
      </c>
      <c r="AF841" s="378"/>
      <c r="AG841" s="70">
        <v>4683</v>
      </c>
      <c r="AH841" s="70">
        <v>0</v>
      </c>
      <c r="AI841" s="70">
        <v>0</v>
      </c>
      <c r="AJ841" s="417">
        <v>0</v>
      </c>
      <c r="AK841" s="417">
        <v>0</v>
      </c>
      <c r="AL841" s="378">
        <v>1.2878E-3</v>
      </c>
      <c r="AM841" s="378"/>
      <c r="AN841" s="70">
        <v>-16871.217199999996</v>
      </c>
      <c r="AO841" s="70">
        <v>-15718.217199999996</v>
      </c>
      <c r="AP841" s="70">
        <v>-3653.2171999999955</v>
      </c>
      <c r="AQ841" s="417">
        <v>0</v>
      </c>
      <c r="AR841" s="417">
        <v>0</v>
      </c>
    </row>
    <row r="842" spans="1:44">
      <c r="A842" s="439">
        <v>99213</v>
      </c>
      <c r="B842" s="440" t="s">
        <v>1547</v>
      </c>
      <c r="C842" s="437">
        <v>5.842E-4</v>
      </c>
      <c r="D842" s="441"/>
      <c r="E842" s="438">
        <v>448437.89585000009</v>
      </c>
      <c r="F842" s="442">
        <v>390947.59225000005</v>
      </c>
      <c r="G842" s="442">
        <v>84787.553050000046</v>
      </c>
      <c r="H842" s="442">
        <v>518948.94939999998</v>
      </c>
      <c r="I842" s="442">
        <v>0</v>
      </c>
      <c r="J842" s="443">
        <v>3.7127800000000002E-2</v>
      </c>
      <c r="K842" s="443"/>
      <c r="L842" s="444">
        <v>94130.393400000001</v>
      </c>
      <c r="M842" s="444">
        <v>38596.341399999998</v>
      </c>
      <c r="N842" s="444">
        <v>-4640.3005999999996</v>
      </c>
      <c r="O842" s="444">
        <v>0</v>
      </c>
      <c r="P842" s="417">
        <v>0</v>
      </c>
      <c r="Q842" s="378">
        <v>3.7127800000000002E-2</v>
      </c>
      <c r="R842" s="378"/>
      <c r="S842" s="70">
        <v>228862.10260000001</v>
      </c>
      <c r="T842" s="105">
        <v>214201.01939999999</v>
      </c>
      <c r="U842" s="70">
        <v>127258.6228</v>
      </c>
      <c r="V842" s="70">
        <v>518948.94939999998</v>
      </c>
      <c r="W842" s="417">
        <v>0</v>
      </c>
      <c r="X842" s="378">
        <v>3.7127800000000002E-2</v>
      </c>
      <c r="Z842" s="70">
        <v>164420.16899999999</v>
      </c>
      <c r="AA842" s="70">
        <v>164419.0006</v>
      </c>
      <c r="AB842" s="70">
        <v>0</v>
      </c>
      <c r="AC842" s="417">
        <v>0</v>
      </c>
      <c r="AD842" s="417">
        <v>0</v>
      </c>
      <c r="AE842" s="378">
        <v>3.7127800000000002E-2</v>
      </c>
      <c r="AF842" s="378"/>
      <c r="AG842" s="70">
        <v>15241</v>
      </c>
      <c r="AH842" s="70">
        <v>11562</v>
      </c>
      <c r="AI842" s="70">
        <v>0</v>
      </c>
      <c r="AJ842" s="417">
        <v>0</v>
      </c>
      <c r="AK842" s="417">
        <v>0</v>
      </c>
      <c r="AL842" s="378">
        <v>3.7127800000000002E-2</v>
      </c>
      <c r="AM842" s="378"/>
      <c r="AN842" s="70">
        <v>-54215.769149999949</v>
      </c>
      <c r="AO842" s="70">
        <v>-37830.769149999949</v>
      </c>
      <c r="AP842" s="70">
        <v>-37830.769149999949</v>
      </c>
      <c r="AQ842" s="417">
        <v>0</v>
      </c>
      <c r="AR842" s="417">
        <v>0</v>
      </c>
    </row>
    <row r="843" spans="1:44">
      <c r="A843" s="439">
        <v>99218</v>
      </c>
      <c r="B843" s="440" t="s">
        <v>1548</v>
      </c>
      <c r="C843" s="437">
        <v>3.5201E-3</v>
      </c>
      <c r="D843" s="441"/>
      <c r="E843" s="438">
        <v>2994904.4180750004</v>
      </c>
      <c r="F843" s="442">
        <v>2361878.2422750001</v>
      </c>
      <c r="G843" s="442">
        <v>621064.29467500013</v>
      </c>
      <c r="H843" s="442">
        <v>3126929.4706999999</v>
      </c>
      <c r="I843" s="442">
        <v>0</v>
      </c>
      <c r="J843" s="443">
        <v>3.0500000000000002E-3</v>
      </c>
      <c r="K843" s="443"/>
      <c r="L843" s="444">
        <v>567183.15269999998</v>
      </c>
      <c r="M843" s="444">
        <v>232562.4467</v>
      </c>
      <c r="N843" s="444">
        <v>-27960.154299999998</v>
      </c>
      <c r="O843" s="444">
        <v>0</v>
      </c>
      <c r="P843" s="417">
        <v>0</v>
      </c>
      <c r="Q843" s="378">
        <v>3.0500000000000002E-3</v>
      </c>
      <c r="R843" s="378"/>
      <c r="S843" s="70">
        <v>1379009.7353000001</v>
      </c>
      <c r="T843" s="105">
        <v>1290669.3056999999</v>
      </c>
      <c r="U843" s="70">
        <v>766797.46340000001</v>
      </c>
      <c r="V843" s="70">
        <v>3126929.4706999999</v>
      </c>
      <c r="W843" s="417">
        <v>0</v>
      </c>
      <c r="X843" s="378">
        <v>3.0500000000000002E-3</v>
      </c>
      <c r="Z843" s="70">
        <v>990714.54449999996</v>
      </c>
      <c r="AA843" s="70">
        <v>990707.50430000003</v>
      </c>
      <c r="AB843" s="70">
        <v>0</v>
      </c>
      <c r="AC843" s="417">
        <v>0</v>
      </c>
      <c r="AD843" s="417">
        <v>0</v>
      </c>
      <c r="AE843" s="378">
        <v>3.0500000000000002E-3</v>
      </c>
      <c r="AF843" s="378"/>
      <c r="AG843" s="70">
        <v>210058</v>
      </c>
      <c r="AH843" s="70">
        <v>0</v>
      </c>
      <c r="AI843" s="70">
        <v>0</v>
      </c>
      <c r="AJ843" s="417">
        <v>0</v>
      </c>
      <c r="AK843" s="417">
        <v>0</v>
      </c>
      <c r="AL843" s="378">
        <v>3.0500000000000002E-3</v>
      </c>
      <c r="AM843" s="378"/>
      <c r="AN843" s="70">
        <v>-152061.01442499983</v>
      </c>
      <c r="AO843" s="70">
        <v>-152061.01442499983</v>
      </c>
      <c r="AP843" s="70">
        <v>-117773.01442499983</v>
      </c>
      <c r="AQ843" s="417">
        <v>0</v>
      </c>
      <c r="AR843" s="417">
        <v>0</v>
      </c>
    </row>
    <row r="844" spans="1:44">
      <c r="A844" s="439">
        <v>99219</v>
      </c>
      <c r="B844" s="440" t="s">
        <v>3758</v>
      </c>
      <c r="C844" s="437">
        <v>1.6099999999999998E-5</v>
      </c>
      <c r="D844" s="441"/>
      <c r="E844" s="438">
        <v>23649.421424999993</v>
      </c>
      <c r="F844" s="442">
        <v>21714.877624999994</v>
      </c>
      <c r="G844" s="442">
        <v>13596.034024999997</v>
      </c>
      <c r="H844" s="442">
        <v>14301.742699999999</v>
      </c>
      <c r="I844" s="442">
        <v>0</v>
      </c>
      <c r="J844" s="443">
        <v>3.7080000000000001E-4</v>
      </c>
      <c r="K844" s="443"/>
      <c r="L844" s="444">
        <v>2594.1446999999998</v>
      </c>
      <c r="M844" s="444">
        <v>1063.6786999999999</v>
      </c>
      <c r="N844" s="444">
        <v>-127.88229999999999</v>
      </c>
      <c r="O844" s="444">
        <v>0</v>
      </c>
      <c r="P844" s="417">
        <v>0</v>
      </c>
      <c r="Q844" s="378">
        <v>3.7080000000000001E-4</v>
      </c>
      <c r="R844" s="378"/>
      <c r="S844" s="70">
        <v>6307.2232999999997</v>
      </c>
      <c r="T844" s="105">
        <v>5903.1776999999993</v>
      </c>
      <c r="U844" s="70">
        <v>3507.1273999999999</v>
      </c>
      <c r="V844" s="70">
        <v>14301.742699999999</v>
      </c>
      <c r="W844" s="417">
        <v>0</v>
      </c>
      <c r="X844" s="378">
        <v>3.7080000000000001E-4</v>
      </c>
      <c r="Z844" s="70">
        <v>4531.2644999999993</v>
      </c>
      <c r="AA844" s="70">
        <v>4531.2322999999997</v>
      </c>
      <c r="AB844" s="70">
        <v>0</v>
      </c>
      <c r="AC844" s="417">
        <v>0</v>
      </c>
      <c r="AD844" s="417">
        <v>0</v>
      </c>
      <c r="AE844" s="378">
        <v>3.7080000000000001E-4</v>
      </c>
      <c r="AF844" s="378"/>
      <c r="AG844" s="70">
        <v>10216.788924999997</v>
      </c>
      <c r="AH844" s="70">
        <v>10216.788924999997</v>
      </c>
      <c r="AI844" s="70">
        <v>10216.788924999997</v>
      </c>
      <c r="AJ844" s="417">
        <v>0</v>
      </c>
      <c r="AK844" s="417">
        <v>0</v>
      </c>
      <c r="AL844" s="378">
        <v>3.7080000000000001E-4</v>
      </c>
      <c r="AM844" s="378"/>
      <c r="AN844" s="70">
        <v>0</v>
      </c>
      <c r="AO844" s="70">
        <v>0</v>
      </c>
      <c r="AP844" s="70">
        <v>0</v>
      </c>
      <c r="AQ844" s="417">
        <v>0</v>
      </c>
      <c r="AR844" s="417">
        <v>0</v>
      </c>
    </row>
    <row r="845" spans="1:44">
      <c r="A845" s="439">
        <v>99221</v>
      </c>
      <c r="B845" s="440" t="s">
        <v>1549</v>
      </c>
      <c r="C845" s="437">
        <v>1.1827799999999999E-2</v>
      </c>
      <c r="D845" s="441"/>
      <c r="E845" s="438">
        <v>9616413.6819999982</v>
      </c>
      <c r="F845" s="442">
        <v>8323187.8895999994</v>
      </c>
      <c r="G845" s="442">
        <v>2440743.2167999982</v>
      </c>
      <c r="H845" s="442">
        <v>10506717.534599999</v>
      </c>
      <c r="I845" s="442">
        <v>0</v>
      </c>
      <c r="J845" s="443">
        <v>1.1161999999999999E-3</v>
      </c>
      <c r="K845" s="443"/>
      <c r="L845" s="444">
        <v>1905777.9305999998</v>
      </c>
      <c r="M845" s="444">
        <v>781427.26260000002</v>
      </c>
      <c r="N845" s="444">
        <v>-93948.215400000001</v>
      </c>
      <c r="O845" s="444">
        <v>0</v>
      </c>
      <c r="P845" s="417">
        <v>0</v>
      </c>
      <c r="Q845" s="378">
        <v>1.1161999999999999E-3</v>
      </c>
      <c r="R845" s="378"/>
      <c r="S845" s="70">
        <v>4633576.1333999997</v>
      </c>
      <c r="T845" s="105">
        <v>4336745.6645999998</v>
      </c>
      <c r="U845" s="70">
        <v>2576496.9852</v>
      </c>
      <c r="V845" s="70">
        <v>10506717.534599999</v>
      </c>
      <c r="W845" s="417">
        <v>0</v>
      </c>
      <c r="X845" s="378">
        <v>1.1161999999999999E-3</v>
      </c>
      <c r="Z845" s="70">
        <v>3328875.1709999996</v>
      </c>
      <c r="AA845" s="70">
        <v>3328851.5153999999</v>
      </c>
      <c r="AB845" s="70">
        <v>0</v>
      </c>
      <c r="AC845" s="417">
        <v>0</v>
      </c>
      <c r="AD845" s="417">
        <v>0</v>
      </c>
      <c r="AE845" s="378">
        <v>1.1161999999999999E-3</v>
      </c>
      <c r="AF845" s="378"/>
      <c r="AG845" s="70">
        <v>0</v>
      </c>
      <c r="AH845" s="70">
        <v>0</v>
      </c>
      <c r="AI845" s="70">
        <v>0</v>
      </c>
      <c r="AJ845" s="417">
        <v>0</v>
      </c>
      <c r="AK845" s="417">
        <v>0</v>
      </c>
      <c r="AL845" s="378">
        <v>1.1161999999999999E-3</v>
      </c>
      <c r="AM845" s="378"/>
      <c r="AN845" s="70">
        <v>-251815.5530000017</v>
      </c>
      <c r="AO845" s="70">
        <v>-123836.5530000017</v>
      </c>
      <c r="AP845" s="70">
        <v>-41805.553000001702</v>
      </c>
      <c r="AQ845" s="417">
        <v>0</v>
      </c>
      <c r="AR845" s="417">
        <v>0</v>
      </c>
    </row>
    <row r="846" spans="1:44">
      <c r="A846" s="439">
        <v>99222</v>
      </c>
      <c r="B846" s="440" t="s">
        <v>1550</v>
      </c>
      <c r="C846" s="437">
        <v>3.1300000000000002E-5</v>
      </c>
      <c r="D846" s="441"/>
      <c r="E846" s="438">
        <v>23830.848975000008</v>
      </c>
      <c r="F846" s="442">
        <v>21702.903575000004</v>
      </c>
      <c r="G846" s="442">
        <v>5889.0647750000053</v>
      </c>
      <c r="H846" s="442">
        <v>27804.009100000003</v>
      </c>
      <c r="I846" s="442">
        <v>0</v>
      </c>
      <c r="J846" s="443">
        <v>1.9970000000000001E-3</v>
      </c>
      <c r="K846" s="443"/>
      <c r="L846" s="444">
        <v>5043.2751000000007</v>
      </c>
      <c r="M846" s="444">
        <v>2067.8971000000001</v>
      </c>
      <c r="N846" s="444">
        <v>-248.61590000000001</v>
      </c>
      <c r="O846" s="444">
        <v>0</v>
      </c>
      <c r="P846" s="417">
        <v>0</v>
      </c>
      <c r="Q846" s="378">
        <v>1.9970000000000001E-3</v>
      </c>
      <c r="R846" s="378"/>
      <c r="S846" s="70">
        <v>12261.868900000001</v>
      </c>
      <c r="T846" s="105">
        <v>11476.364100000001</v>
      </c>
      <c r="U846" s="70">
        <v>6818.2042000000001</v>
      </c>
      <c r="V846" s="70">
        <v>27804.009100000003</v>
      </c>
      <c r="W846" s="417">
        <v>0</v>
      </c>
      <c r="X846" s="378">
        <v>1.9970000000000001E-3</v>
      </c>
      <c r="Z846" s="70">
        <v>8809.2285000000011</v>
      </c>
      <c r="AA846" s="70">
        <v>8809.1659</v>
      </c>
      <c r="AB846" s="70">
        <v>0</v>
      </c>
      <c r="AC846" s="417">
        <v>0</v>
      </c>
      <c r="AD846" s="417">
        <v>0</v>
      </c>
      <c r="AE846" s="378">
        <v>1.9970000000000001E-3</v>
      </c>
      <c r="AF846" s="378"/>
      <c r="AG846" s="70">
        <v>30</v>
      </c>
      <c r="AH846" s="70">
        <v>30</v>
      </c>
      <c r="AI846" s="70">
        <v>0</v>
      </c>
      <c r="AJ846" s="417">
        <v>0</v>
      </c>
      <c r="AK846" s="417">
        <v>0</v>
      </c>
      <c r="AL846" s="378">
        <v>1.9970000000000001E-3</v>
      </c>
      <c r="AM846" s="378"/>
      <c r="AN846" s="70">
        <v>-2313.5235249999951</v>
      </c>
      <c r="AO846" s="70">
        <v>-680.52352499999506</v>
      </c>
      <c r="AP846" s="70">
        <v>-680.52352499999506</v>
      </c>
      <c r="AQ846" s="417">
        <v>0</v>
      </c>
      <c r="AR846" s="417">
        <v>0</v>
      </c>
    </row>
    <row r="847" spans="1:44">
      <c r="A847" s="439">
        <v>99231</v>
      </c>
      <c r="B847" s="440" t="s">
        <v>1551</v>
      </c>
      <c r="C847" s="437">
        <v>5.0819999999999999E-4</v>
      </c>
      <c r="D847" s="441"/>
      <c r="E847" s="438">
        <v>502223.39640000003</v>
      </c>
      <c r="F847" s="442">
        <v>421212.10080000001</v>
      </c>
      <c r="G847" s="442">
        <v>135727.03759999998</v>
      </c>
      <c r="H847" s="442">
        <v>451437.61739999999</v>
      </c>
      <c r="I847" s="442">
        <v>0</v>
      </c>
      <c r="J847" s="443">
        <v>1.4200000000000001E-4</v>
      </c>
      <c r="K847" s="443"/>
      <c r="L847" s="444">
        <v>81884.741399999999</v>
      </c>
      <c r="M847" s="444">
        <v>33575.249400000001</v>
      </c>
      <c r="N847" s="444">
        <v>-4036.6325999999999</v>
      </c>
      <c r="O847" s="444">
        <v>0</v>
      </c>
      <c r="P847" s="417">
        <v>0</v>
      </c>
      <c r="Q847" s="378">
        <v>1.4200000000000001E-4</v>
      </c>
      <c r="R847" s="378"/>
      <c r="S847" s="70">
        <v>199088.87460000001</v>
      </c>
      <c r="T847" s="105">
        <v>186335.08739999999</v>
      </c>
      <c r="U847" s="70">
        <v>110703.23879999999</v>
      </c>
      <c r="V847" s="70">
        <v>451437.61739999999</v>
      </c>
      <c r="W847" s="417">
        <v>0</v>
      </c>
      <c r="X847" s="378">
        <v>1.4200000000000001E-4</v>
      </c>
      <c r="Z847" s="70">
        <v>143030.34899999999</v>
      </c>
      <c r="AA847" s="70">
        <v>143029.33259999999</v>
      </c>
      <c r="AB847" s="70">
        <v>0</v>
      </c>
      <c r="AC847" s="417">
        <v>0</v>
      </c>
      <c r="AD847" s="417">
        <v>0</v>
      </c>
      <c r="AE847" s="378">
        <v>1.4200000000000001E-4</v>
      </c>
      <c r="AF847" s="378"/>
      <c r="AG847" s="70">
        <v>80319.431400000001</v>
      </c>
      <c r="AH847" s="70">
        <v>58272.431400000001</v>
      </c>
      <c r="AI847" s="70">
        <v>29060.431400000001</v>
      </c>
      <c r="AJ847" s="417">
        <v>0</v>
      </c>
      <c r="AK847" s="417">
        <v>0</v>
      </c>
      <c r="AL847" s="378">
        <v>1.4200000000000001E-4</v>
      </c>
      <c r="AM847" s="378"/>
      <c r="AN847" s="70">
        <v>-2100</v>
      </c>
      <c r="AO847" s="70">
        <v>0</v>
      </c>
      <c r="AP847" s="70">
        <v>0</v>
      </c>
      <c r="AQ847" s="417">
        <v>0</v>
      </c>
      <c r="AR847" s="417">
        <v>0</v>
      </c>
    </row>
    <row r="848" spans="1:44">
      <c r="A848" s="439">
        <v>99241</v>
      </c>
      <c r="B848" s="440" t="s">
        <v>1552</v>
      </c>
      <c r="C848" s="437">
        <v>5.6979999999999997E-4</v>
      </c>
      <c r="D848" s="441"/>
      <c r="E848" s="438">
        <v>460254.42414999998</v>
      </c>
      <c r="F848" s="442">
        <v>389146.39574999991</v>
      </c>
      <c r="G848" s="442">
        <v>126565.93094999992</v>
      </c>
      <c r="H848" s="442">
        <v>506157.32859999995</v>
      </c>
      <c r="I848" s="442">
        <v>0</v>
      </c>
      <c r="J848" s="443">
        <v>2.9770000000000003E-4</v>
      </c>
      <c r="K848" s="443"/>
      <c r="L848" s="444">
        <v>91810.164599999989</v>
      </c>
      <c r="M848" s="444">
        <v>37644.976600000002</v>
      </c>
      <c r="N848" s="444">
        <v>-4525.9214000000002</v>
      </c>
      <c r="O848" s="444">
        <v>0</v>
      </c>
      <c r="P848" s="417">
        <v>0</v>
      </c>
      <c r="Q848" s="378">
        <v>2.9770000000000003E-4</v>
      </c>
      <c r="R848" s="378"/>
      <c r="S848" s="70">
        <v>223220.85939999999</v>
      </c>
      <c r="T848" s="105">
        <v>208921.1586</v>
      </c>
      <c r="U848" s="70">
        <v>124121.81319999999</v>
      </c>
      <c r="V848" s="70">
        <v>506157.32859999995</v>
      </c>
      <c r="W848" s="417">
        <v>0</v>
      </c>
      <c r="X848" s="378">
        <v>2.9770000000000003E-4</v>
      </c>
      <c r="Z848" s="70">
        <v>160367.361</v>
      </c>
      <c r="AA848" s="70">
        <v>160366.22139999998</v>
      </c>
      <c r="AB848" s="70">
        <v>0</v>
      </c>
      <c r="AC848" s="417">
        <v>0</v>
      </c>
      <c r="AD848" s="417">
        <v>0</v>
      </c>
      <c r="AE848" s="378">
        <v>2.9770000000000003E-4</v>
      </c>
      <c r="AF848" s="378"/>
      <c r="AG848" s="70">
        <v>10908.039149999939</v>
      </c>
      <c r="AH848" s="70">
        <v>6970.0391499999387</v>
      </c>
      <c r="AI848" s="70">
        <v>6970.0391499999387</v>
      </c>
      <c r="AJ848" s="417">
        <v>0</v>
      </c>
      <c r="AK848" s="417">
        <v>0</v>
      </c>
      <c r="AL848" s="378">
        <v>2.9770000000000003E-4</v>
      </c>
      <c r="AM848" s="378"/>
      <c r="AN848" s="70">
        <v>-26052</v>
      </c>
      <c r="AO848" s="70">
        <v>-24756</v>
      </c>
      <c r="AP848" s="70">
        <v>0</v>
      </c>
      <c r="AQ848" s="417">
        <v>0</v>
      </c>
      <c r="AR848" s="417">
        <v>0</v>
      </c>
    </row>
    <row r="849" spans="1:44">
      <c r="A849" s="439">
        <v>99251</v>
      </c>
      <c r="B849" s="440" t="s">
        <v>1553</v>
      </c>
      <c r="C849" s="437">
        <v>1.8194000000000001E-3</v>
      </c>
      <c r="D849" s="441"/>
      <c r="E849" s="438">
        <v>1600063.5840000005</v>
      </c>
      <c r="F849" s="442">
        <v>1377038.1188000003</v>
      </c>
      <c r="G849" s="442">
        <v>453523.36440000025</v>
      </c>
      <c r="H849" s="442">
        <v>1616185.7558000002</v>
      </c>
      <c r="I849" s="442">
        <v>0</v>
      </c>
      <c r="J849" s="443">
        <v>1.9134E-3</v>
      </c>
      <c r="K849" s="443"/>
      <c r="L849" s="444">
        <v>293154.46380000003</v>
      </c>
      <c r="M849" s="444">
        <v>120202.29980000001</v>
      </c>
      <c r="N849" s="444">
        <v>-14451.494200000001</v>
      </c>
      <c r="O849" s="444">
        <v>0</v>
      </c>
      <c r="P849" s="417">
        <v>0</v>
      </c>
      <c r="Q849" s="378">
        <v>1.9134E-3</v>
      </c>
      <c r="R849" s="378"/>
      <c r="S849" s="70">
        <v>712755.40820000006</v>
      </c>
      <c r="T849" s="105">
        <v>667095.74580000003</v>
      </c>
      <c r="U849" s="70">
        <v>396327.17960000003</v>
      </c>
      <c r="V849" s="70">
        <v>1616185.7558000002</v>
      </c>
      <c r="W849" s="417">
        <v>0</v>
      </c>
      <c r="X849" s="378">
        <v>1.9134E-3</v>
      </c>
      <c r="Z849" s="70">
        <v>512061.03300000005</v>
      </c>
      <c r="AA849" s="70">
        <v>512057.39420000004</v>
      </c>
      <c r="AB849" s="70">
        <v>0</v>
      </c>
      <c r="AC849" s="417">
        <v>0</v>
      </c>
      <c r="AD849" s="417">
        <v>0</v>
      </c>
      <c r="AE849" s="378">
        <v>1.9134E-3</v>
      </c>
      <c r="AF849" s="378"/>
      <c r="AG849" s="70">
        <v>82092.679000000237</v>
      </c>
      <c r="AH849" s="70">
        <v>77682.679000000237</v>
      </c>
      <c r="AI849" s="70">
        <v>71647.679000000237</v>
      </c>
      <c r="AJ849" s="417">
        <v>0</v>
      </c>
      <c r="AK849" s="417">
        <v>0</v>
      </c>
      <c r="AL849" s="378">
        <v>1.9134E-3</v>
      </c>
      <c r="AM849" s="378"/>
      <c r="AN849" s="70">
        <v>0</v>
      </c>
      <c r="AO849" s="70">
        <v>0</v>
      </c>
      <c r="AP849" s="70">
        <v>0</v>
      </c>
      <c r="AQ849" s="417">
        <v>0</v>
      </c>
      <c r="AR849" s="417">
        <v>0</v>
      </c>
    </row>
    <row r="850" spans="1:44">
      <c r="A850" s="439">
        <v>99252</v>
      </c>
      <c r="B850" s="440" t="s">
        <v>1554</v>
      </c>
      <c r="C850" s="437">
        <v>7.1779999999999999E-4</v>
      </c>
      <c r="D850" s="441"/>
      <c r="E850" s="438">
        <v>554192.37049999996</v>
      </c>
      <c r="F850" s="442">
        <v>519986.95809999993</v>
      </c>
      <c r="G850" s="442">
        <v>170830.64529999997</v>
      </c>
      <c r="H850" s="442">
        <v>637626.76459999999</v>
      </c>
      <c r="I850" s="442">
        <v>0</v>
      </c>
      <c r="J850" s="443">
        <v>3.65305E-2</v>
      </c>
      <c r="K850" s="443"/>
      <c r="L850" s="444">
        <v>115656.96060000001</v>
      </c>
      <c r="M850" s="444">
        <v>47422.892599999999</v>
      </c>
      <c r="N850" s="444">
        <v>-5701.4853999999996</v>
      </c>
      <c r="O850" s="444">
        <v>0</v>
      </c>
      <c r="P850" s="417">
        <v>0</v>
      </c>
      <c r="Q850" s="378">
        <v>3.65305E-2</v>
      </c>
      <c r="R850" s="378"/>
      <c r="S850" s="70">
        <v>281200.30339999998</v>
      </c>
      <c r="T850" s="105">
        <v>263186.3946</v>
      </c>
      <c r="U850" s="70">
        <v>156361.2452</v>
      </c>
      <c r="V850" s="70">
        <v>637626.76459999999</v>
      </c>
      <c r="W850" s="417">
        <v>0</v>
      </c>
      <c r="X850" s="378">
        <v>3.65305E-2</v>
      </c>
      <c r="Z850" s="70">
        <v>202021.22099999999</v>
      </c>
      <c r="AA850" s="70">
        <v>202019.78539999999</v>
      </c>
      <c r="AB850" s="70">
        <v>0</v>
      </c>
      <c r="AC850" s="417">
        <v>0</v>
      </c>
      <c r="AD850" s="417">
        <v>0</v>
      </c>
      <c r="AE850" s="378">
        <v>3.65305E-2</v>
      </c>
      <c r="AF850" s="378"/>
      <c r="AG850" s="70">
        <v>20170.885499999975</v>
      </c>
      <c r="AH850" s="70">
        <v>20170.885499999975</v>
      </c>
      <c r="AI850" s="70">
        <v>20170.885499999975</v>
      </c>
      <c r="AJ850" s="417">
        <v>0</v>
      </c>
      <c r="AK850" s="417">
        <v>0</v>
      </c>
      <c r="AL850" s="378">
        <v>3.65305E-2</v>
      </c>
      <c r="AM850" s="378"/>
      <c r="AN850" s="70">
        <v>-64857</v>
      </c>
      <c r="AO850" s="70">
        <v>-12813</v>
      </c>
      <c r="AP850" s="70">
        <v>0</v>
      </c>
      <c r="AQ850" s="417">
        <v>0</v>
      </c>
      <c r="AR850" s="417">
        <v>0</v>
      </c>
    </row>
    <row r="851" spans="1:44">
      <c r="A851" s="439">
        <v>99261</v>
      </c>
      <c r="B851" s="440" t="s">
        <v>1555</v>
      </c>
      <c r="C851" s="437">
        <v>2.5084E-3</v>
      </c>
      <c r="D851" s="441"/>
      <c r="E851" s="438">
        <v>2114331.8440999999</v>
      </c>
      <c r="F851" s="442">
        <v>1829001.5168999999</v>
      </c>
      <c r="G851" s="442">
        <v>597889.59849999985</v>
      </c>
      <c r="H851" s="442">
        <v>2228229.2788</v>
      </c>
      <c r="I851" s="442">
        <v>0</v>
      </c>
      <c r="J851" s="443">
        <v>7.08E-5</v>
      </c>
      <c r="K851" s="443"/>
      <c r="L851" s="444">
        <v>404170.96679999999</v>
      </c>
      <c r="M851" s="444">
        <v>165722.46280000001</v>
      </c>
      <c r="N851" s="444">
        <v>-19924.2212</v>
      </c>
      <c r="O851" s="444">
        <v>0</v>
      </c>
      <c r="P851" s="417">
        <v>0</v>
      </c>
      <c r="Q851" s="378">
        <v>7.08E-5</v>
      </c>
      <c r="R851" s="378"/>
      <c r="S851" s="70">
        <v>982673.22519999999</v>
      </c>
      <c r="T851" s="105">
        <v>919722.41879999998</v>
      </c>
      <c r="U851" s="70">
        <v>546414.80559999996</v>
      </c>
      <c r="V851" s="70">
        <v>2228229.2788</v>
      </c>
      <c r="W851" s="417">
        <v>0</v>
      </c>
      <c r="X851" s="378">
        <v>7.08E-5</v>
      </c>
      <c r="Z851" s="70">
        <v>705976.63800000004</v>
      </c>
      <c r="AA851" s="70">
        <v>705971.62120000005</v>
      </c>
      <c r="AB851" s="70">
        <v>0</v>
      </c>
      <c r="AC851" s="417">
        <v>0</v>
      </c>
      <c r="AD851" s="417">
        <v>0</v>
      </c>
      <c r="AE851" s="378">
        <v>7.08E-5</v>
      </c>
      <c r="AF851" s="378"/>
      <c r="AG851" s="70">
        <v>71871.014099999971</v>
      </c>
      <c r="AH851" s="70">
        <v>71399.014099999971</v>
      </c>
      <c r="AI851" s="70">
        <v>71399.014099999971</v>
      </c>
      <c r="AJ851" s="417">
        <v>0</v>
      </c>
      <c r="AK851" s="417">
        <v>0</v>
      </c>
      <c r="AL851" s="378">
        <v>7.08E-5</v>
      </c>
      <c r="AM851" s="378"/>
      <c r="AN851" s="70">
        <v>-50360</v>
      </c>
      <c r="AO851" s="70">
        <v>-33814</v>
      </c>
      <c r="AP851" s="70">
        <v>0</v>
      </c>
      <c r="AQ851" s="417">
        <v>0</v>
      </c>
      <c r="AR851" s="417">
        <v>0</v>
      </c>
    </row>
    <row r="852" spans="1:44">
      <c r="A852" s="439">
        <v>99271</v>
      </c>
      <c r="B852" s="440" t="s">
        <v>1556</v>
      </c>
      <c r="C852" s="437">
        <v>5.0365999999999996E-3</v>
      </c>
      <c r="D852" s="441"/>
      <c r="E852" s="438">
        <v>4393432.7174499994</v>
      </c>
      <c r="F852" s="442">
        <v>3698760.9346499993</v>
      </c>
      <c r="G852" s="442">
        <v>957050.43304999953</v>
      </c>
      <c r="H852" s="442">
        <v>4474047.0362</v>
      </c>
      <c r="I852" s="442">
        <v>0</v>
      </c>
      <c r="J852" s="443">
        <v>6.7599999999999995E-4</v>
      </c>
      <c r="K852" s="443"/>
      <c r="L852" s="444">
        <v>811532.24819999991</v>
      </c>
      <c r="M852" s="444">
        <v>332753.05219999998</v>
      </c>
      <c r="N852" s="444">
        <v>-40005.713799999998</v>
      </c>
      <c r="O852" s="444">
        <v>0</v>
      </c>
      <c r="P852" s="417">
        <v>0</v>
      </c>
      <c r="Q852" s="378">
        <v>6.7599999999999995E-4</v>
      </c>
      <c r="R852" s="378"/>
      <c r="S852" s="70">
        <v>1973103.1597999998</v>
      </c>
      <c r="T852" s="105">
        <v>1846704.6461999998</v>
      </c>
      <c r="U852" s="70">
        <v>1097142.7243999999</v>
      </c>
      <c r="V852" s="70">
        <v>4474047.0362</v>
      </c>
      <c r="W852" s="417">
        <v>0</v>
      </c>
      <c r="X852" s="378">
        <v>6.7599999999999995E-4</v>
      </c>
      <c r="Z852" s="70">
        <v>1417525.8869999999</v>
      </c>
      <c r="AA852" s="70">
        <v>1417515.8137999999</v>
      </c>
      <c r="AB852" s="70">
        <v>0</v>
      </c>
      <c r="AC852" s="417">
        <v>0</v>
      </c>
      <c r="AD852" s="417">
        <v>0</v>
      </c>
      <c r="AE852" s="378">
        <v>6.7599999999999995E-4</v>
      </c>
      <c r="AF852" s="378"/>
      <c r="AG852" s="70">
        <v>312449</v>
      </c>
      <c r="AH852" s="70">
        <v>201874</v>
      </c>
      <c r="AI852" s="70">
        <v>0</v>
      </c>
      <c r="AJ852" s="417">
        <v>0</v>
      </c>
      <c r="AK852" s="417">
        <v>0</v>
      </c>
      <c r="AL852" s="378">
        <v>6.7599999999999995E-4</v>
      </c>
      <c r="AM852" s="378"/>
      <c r="AN852" s="70">
        <v>-121177.57755000039</v>
      </c>
      <c r="AO852" s="70">
        <v>-100086.57755000039</v>
      </c>
      <c r="AP852" s="70">
        <v>-100086.57755000039</v>
      </c>
      <c r="AQ852" s="417">
        <v>0</v>
      </c>
      <c r="AR852" s="417">
        <v>0</v>
      </c>
    </row>
    <row r="853" spans="1:44">
      <c r="A853" s="439">
        <v>99281</v>
      </c>
      <c r="B853" s="440" t="s">
        <v>1557</v>
      </c>
      <c r="C853" s="437">
        <v>3.6768999999999999E-3</v>
      </c>
      <c r="D853" s="441"/>
      <c r="E853" s="438">
        <v>3566211.5072249998</v>
      </c>
      <c r="F853" s="442">
        <v>3094624.5570249995</v>
      </c>
      <c r="G853" s="442">
        <v>821164.1326249995</v>
      </c>
      <c r="H853" s="442">
        <v>3266216.0082999999</v>
      </c>
      <c r="I853" s="442">
        <v>0</v>
      </c>
      <c r="J853" s="443">
        <v>3.7296999999999999E-3</v>
      </c>
      <c r="K853" s="443"/>
      <c r="L853" s="444">
        <v>592447.86629999999</v>
      </c>
      <c r="M853" s="444">
        <v>242921.75229999999</v>
      </c>
      <c r="N853" s="444">
        <v>-29205.616699999999</v>
      </c>
      <c r="O853" s="444">
        <v>0</v>
      </c>
      <c r="P853" s="417">
        <v>0</v>
      </c>
      <c r="Q853" s="378">
        <v>3.7296999999999999E-3</v>
      </c>
      <c r="R853" s="378"/>
      <c r="S853" s="70">
        <v>1440436.6057</v>
      </c>
      <c r="T853" s="105">
        <v>1348161.1232999999</v>
      </c>
      <c r="U853" s="70">
        <v>800953.83459999994</v>
      </c>
      <c r="V853" s="70">
        <v>3266216.0082999999</v>
      </c>
      <c r="W853" s="417">
        <v>0</v>
      </c>
      <c r="X853" s="378">
        <v>3.7296999999999999E-3</v>
      </c>
      <c r="Z853" s="70">
        <v>1034845.1205</v>
      </c>
      <c r="AA853" s="70">
        <v>1034837.7666999999</v>
      </c>
      <c r="AB853" s="70">
        <v>0</v>
      </c>
      <c r="AC853" s="417">
        <v>0</v>
      </c>
      <c r="AD853" s="417">
        <v>0</v>
      </c>
      <c r="AE853" s="378">
        <v>3.7296999999999999E-3</v>
      </c>
      <c r="AF853" s="378"/>
      <c r="AG853" s="70">
        <v>498494.91472499957</v>
      </c>
      <c r="AH853" s="70">
        <v>468703.91472499957</v>
      </c>
      <c r="AI853" s="70">
        <v>49415.914724999573</v>
      </c>
      <c r="AJ853" s="417">
        <v>0</v>
      </c>
      <c r="AK853" s="417">
        <v>0</v>
      </c>
      <c r="AL853" s="378">
        <v>3.7296999999999999E-3</v>
      </c>
      <c r="AM853" s="378"/>
      <c r="AN853" s="70">
        <v>-13</v>
      </c>
      <c r="AO853" s="70">
        <v>0</v>
      </c>
      <c r="AP853" s="70">
        <v>0</v>
      </c>
      <c r="AQ853" s="417">
        <v>0</v>
      </c>
      <c r="AR853" s="417">
        <v>0</v>
      </c>
    </row>
    <row r="854" spans="1:44">
      <c r="A854" s="439">
        <v>99291</v>
      </c>
      <c r="B854" s="440" t="s">
        <v>1558</v>
      </c>
      <c r="C854" s="437">
        <v>1.2277E-3</v>
      </c>
      <c r="D854" s="441"/>
      <c r="E854" s="438">
        <v>1164188.1070749999</v>
      </c>
      <c r="F854" s="442">
        <v>1041243.1304750001</v>
      </c>
      <c r="G854" s="442">
        <v>360908.4852750001</v>
      </c>
      <c r="H854" s="442">
        <v>1090574.5038999999</v>
      </c>
      <c r="I854" s="442">
        <v>0</v>
      </c>
      <c r="J854" s="443">
        <v>1.21263E-2</v>
      </c>
      <c r="K854" s="443"/>
      <c r="L854" s="444">
        <v>197815.61789999998</v>
      </c>
      <c r="M854" s="444">
        <v>81110.455900000001</v>
      </c>
      <c r="N854" s="444">
        <v>-9751.6211000000003</v>
      </c>
      <c r="O854" s="444">
        <v>0</v>
      </c>
      <c r="P854" s="417">
        <v>0</v>
      </c>
      <c r="Q854" s="378">
        <v>1.21263E-2</v>
      </c>
      <c r="R854" s="378"/>
      <c r="S854" s="70">
        <v>480955.1581</v>
      </c>
      <c r="T854" s="105">
        <v>450144.79889999999</v>
      </c>
      <c r="U854" s="70">
        <v>267434.80180000002</v>
      </c>
      <c r="V854" s="70">
        <v>1090574.5038999999</v>
      </c>
      <c r="W854" s="417">
        <v>0</v>
      </c>
      <c r="X854" s="378">
        <v>1.21263E-2</v>
      </c>
      <c r="Z854" s="70">
        <v>345530.02649999998</v>
      </c>
      <c r="AA854" s="70">
        <v>345527.5711</v>
      </c>
      <c r="AB854" s="70">
        <v>0</v>
      </c>
      <c r="AC854" s="417">
        <v>0</v>
      </c>
      <c r="AD854" s="417">
        <v>0</v>
      </c>
      <c r="AE854" s="378">
        <v>1.21263E-2</v>
      </c>
      <c r="AF854" s="378"/>
      <c r="AG854" s="70">
        <v>164460.30457500005</v>
      </c>
      <c r="AH854" s="70">
        <v>164460.30457500005</v>
      </c>
      <c r="AI854" s="70">
        <v>103225.30457500005</v>
      </c>
      <c r="AJ854" s="417">
        <v>0</v>
      </c>
      <c r="AK854" s="417">
        <v>0</v>
      </c>
      <c r="AL854" s="378">
        <v>1.21263E-2</v>
      </c>
      <c r="AM854" s="378"/>
      <c r="AN854" s="70">
        <v>-24573</v>
      </c>
      <c r="AO854" s="70">
        <v>0</v>
      </c>
      <c r="AP854" s="70">
        <v>0</v>
      </c>
      <c r="AQ854" s="417">
        <v>0</v>
      </c>
      <c r="AR854" s="417">
        <v>0</v>
      </c>
    </row>
    <row r="855" spans="1:44">
      <c r="A855" s="439">
        <v>99301</v>
      </c>
      <c r="B855" s="440" t="s">
        <v>1559</v>
      </c>
      <c r="C855" s="437">
        <v>1.4147999999999999E-3</v>
      </c>
      <c r="D855" s="441"/>
      <c r="E855" s="438">
        <v>1072912.6841999998</v>
      </c>
      <c r="F855" s="442">
        <v>953530.14579999971</v>
      </c>
      <c r="G855" s="442">
        <v>280135.46099999972</v>
      </c>
      <c r="H855" s="442">
        <v>1256776.7435999999</v>
      </c>
      <c r="I855" s="442">
        <v>0</v>
      </c>
      <c r="J855" s="443">
        <v>3.3099999999999998E-5</v>
      </c>
      <c r="K855" s="443"/>
      <c r="L855" s="444">
        <v>227962.47959999999</v>
      </c>
      <c r="M855" s="444">
        <v>93471.5916</v>
      </c>
      <c r="N855" s="444">
        <v>-11237.756399999998</v>
      </c>
      <c r="O855" s="444">
        <v>0</v>
      </c>
      <c r="P855" s="417">
        <v>0</v>
      </c>
      <c r="Q855" s="378">
        <v>3.3099999999999998E-5</v>
      </c>
      <c r="R855" s="378"/>
      <c r="S855" s="70">
        <v>554252.14439999999</v>
      </c>
      <c r="T855" s="105">
        <v>518746.32359999995</v>
      </c>
      <c r="U855" s="70">
        <v>308191.54319999996</v>
      </c>
      <c r="V855" s="70">
        <v>1256776.7435999999</v>
      </c>
      <c r="W855" s="417">
        <v>0</v>
      </c>
      <c r="X855" s="378">
        <v>3.3099999999999998E-5</v>
      </c>
      <c r="Z855" s="70">
        <v>398188.386</v>
      </c>
      <c r="AA855" s="70">
        <v>398185.5564</v>
      </c>
      <c r="AB855" s="70">
        <v>0</v>
      </c>
      <c r="AC855" s="417">
        <v>0</v>
      </c>
      <c r="AD855" s="417">
        <v>0</v>
      </c>
      <c r="AE855" s="378">
        <v>3.3099999999999998E-5</v>
      </c>
      <c r="AF855" s="378"/>
      <c r="AG855" s="70">
        <v>0</v>
      </c>
      <c r="AH855" s="70">
        <v>0</v>
      </c>
      <c r="AI855" s="70">
        <v>0</v>
      </c>
      <c r="AJ855" s="417">
        <v>0</v>
      </c>
      <c r="AK855" s="417">
        <v>0</v>
      </c>
      <c r="AL855" s="378">
        <v>3.3099999999999998E-5</v>
      </c>
      <c r="AM855" s="378"/>
      <c r="AN855" s="70">
        <v>-107490.32580000022</v>
      </c>
      <c r="AO855" s="70">
        <v>-56873.325800000224</v>
      </c>
      <c r="AP855" s="70">
        <v>-16818.325800000224</v>
      </c>
      <c r="AQ855" s="417">
        <v>0</v>
      </c>
      <c r="AR855" s="417">
        <v>0</v>
      </c>
    </row>
    <row r="856" spans="1:44">
      <c r="A856" s="439">
        <v>99304</v>
      </c>
      <c r="B856" s="440" t="s">
        <v>1560</v>
      </c>
      <c r="C856" s="437">
        <v>6.6000000000000003E-6</v>
      </c>
      <c r="D856" s="441"/>
      <c r="E856" s="438">
        <v>10851.947200000001</v>
      </c>
      <c r="F856" s="442">
        <v>8276.9043999999994</v>
      </c>
      <c r="G856" s="442">
        <v>3218.6828000000005</v>
      </c>
      <c r="H856" s="442">
        <v>5862.8262000000004</v>
      </c>
      <c r="I856" s="442">
        <v>0</v>
      </c>
      <c r="J856" s="443">
        <v>4.5189999999999998E-4</v>
      </c>
      <c r="K856" s="443"/>
      <c r="L856" s="444">
        <v>1063.4382000000001</v>
      </c>
      <c r="M856" s="444">
        <v>436.04220000000004</v>
      </c>
      <c r="N856" s="444">
        <v>-52.4238</v>
      </c>
      <c r="O856" s="444">
        <v>0</v>
      </c>
      <c r="P856" s="417">
        <v>0</v>
      </c>
      <c r="Q856" s="378">
        <v>4.5189999999999998E-4</v>
      </c>
      <c r="R856" s="378"/>
      <c r="S856" s="70">
        <v>2585.5698000000002</v>
      </c>
      <c r="T856" s="105">
        <v>2419.9362000000001</v>
      </c>
      <c r="U856" s="70">
        <v>1437.7044000000001</v>
      </c>
      <c r="V856" s="70">
        <v>5862.8262000000004</v>
      </c>
      <c r="W856" s="417">
        <v>0</v>
      </c>
      <c r="X856" s="378">
        <v>4.5189999999999998E-4</v>
      </c>
      <c r="Z856" s="70">
        <v>1857.537</v>
      </c>
      <c r="AA856" s="70">
        <v>1857.5238000000002</v>
      </c>
      <c r="AB856" s="70">
        <v>0</v>
      </c>
      <c r="AC856" s="417">
        <v>0</v>
      </c>
      <c r="AD856" s="417">
        <v>0</v>
      </c>
      <c r="AE856" s="378">
        <v>4.5189999999999998E-4</v>
      </c>
      <c r="AF856" s="378"/>
      <c r="AG856" s="70">
        <v>5345.4022000000004</v>
      </c>
      <c r="AH856" s="70">
        <v>3563.4022000000004</v>
      </c>
      <c r="AI856" s="70">
        <v>1833.4022000000007</v>
      </c>
      <c r="AJ856" s="417">
        <v>0</v>
      </c>
      <c r="AK856" s="417">
        <v>0</v>
      </c>
      <c r="AL856" s="378">
        <v>4.5189999999999998E-4</v>
      </c>
      <c r="AM856" s="378"/>
      <c r="AN856" s="70">
        <v>0</v>
      </c>
      <c r="AO856" s="70">
        <v>0</v>
      </c>
      <c r="AP856" s="70">
        <v>0</v>
      </c>
      <c r="AQ856" s="417">
        <v>0</v>
      </c>
      <c r="AR856" s="417">
        <v>0</v>
      </c>
    </row>
    <row r="857" spans="1:44">
      <c r="A857" s="439">
        <v>99311</v>
      </c>
      <c r="B857" s="440" t="s">
        <v>1561</v>
      </c>
      <c r="C857" s="437">
        <v>5.7099999999999999E-5</v>
      </c>
      <c r="D857" s="441"/>
      <c r="E857" s="438">
        <v>42842.975275000004</v>
      </c>
      <c r="F857" s="442">
        <v>39469.953475000002</v>
      </c>
      <c r="G857" s="442">
        <v>10486.793874999999</v>
      </c>
      <c r="H857" s="442">
        <v>50722.329700000002</v>
      </c>
      <c r="I857" s="442">
        <v>0</v>
      </c>
      <c r="J857" s="443">
        <v>5.4799999999999998E-4</v>
      </c>
      <c r="K857" s="443"/>
      <c r="L857" s="444">
        <v>9200.3516999999993</v>
      </c>
      <c r="M857" s="444">
        <v>3772.4256999999998</v>
      </c>
      <c r="N857" s="444">
        <v>-453.5453</v>
      </c>
      <c r="O857" s="444">
        <v>0</v>
      </c>
      <c r="P857" s="417">
        <v>0</v>
      </c>
      <c r="Q857" s="378">
        <v>5.4799999999999998E-4</v>
      </c>
      <c r="R857" s="378"/>
      <c r="S857" s="70">
        <v>22369.096300000001</v>
      </c>
      <c r="T857" s="105">
        <v>20936.114699999998</v>
      </c>
      <c r="U857" s="70">
        <v>12438.321399999999</v>
      </c>
      <c r="V857" s="70">
        <v>50722.329700000002</v>
      </c>
      <c r="W857" s="417">
        <v>0</v>
      </c>
      <c r="X857" s="378">
        <v>5.4799999999999998E-4</v>
      </c>
      <c r="Z857" s="70">
        <v>16070.5095</v>
      </c>
      <c r="AA857" s="70">
        <v>16070.3953</v>
      </c>
      <c r="AB857" s="70">
        <v>0</v>
      </c>
      <c r="AC857" s="417">
        <v>0</v>
      </c>
      <c r="AD857" s="417">
        <v>0</v>
      </c>
      <c r="AE857" s="378">
        <v>5.4799999999999998E-4</v>
      </c>
      <c r="AF857" s="378"/>
      <c r="AG857" s="70">
        <v>189</v>
      </c>
      <c r="AH857" s="70">
        <v>189</v>
      </c>
      <c r="AI857" s="70">
        <v>0</v>
      </c>
      <c r="AJ857" s="417">
        <v>0</v>
      </c>
      <c r="AK857" s="417">
        <v>0</v>
      </c>
      <c r="AL857" s="378">
        <v>5.4799999999999998E-4</v>
      </c>
      <c r="AM857" s="378"/>
      <c r="AN857" s="70">
        <v>-4985.9822249999997</v>
      </c>
      <c r="AO857" s="70">
        <v>-1497.9822249999997</v>
      </c>
      <c r="AP857" s="70">
        <v>-1497.9822249999997</v>
      </c>
      <c r="AQ857" s="417">
        <v>0</v>
      </c>
      <c r="AR857" s="417">
        <v>0</v>
      </c>
    </row>
    <row r="858" spans="1:44">
      <c r="A858" s="439">
        <v>99321</v>
      </c>
      <c r="B858" s="440" t="s">
        <v>1562</v>
      </c>
      <c r="C858" s="437">
        <v>9.9199999999999999E-5</v>
      </c>
      <c r="D858" s="441"/>
      <c r="E858" s="438">
        <v>131185.10444999998</v>
      </c>
      <c r="F858" s="442">
        <v>100042.43085</v>
      </c>
      <c r="G858" s="442">
        <v>35862.251650000006</v>
      </c>
      <c r="H858" s="442">
        <v>88120.054399999994</v>
      </c>
      <c r="I858" s="442">
        <v>0</v>
      </c>
      <c r="J858" s="443">
        <v>1.6489E-3</v>
      </c>
      <c r="K858" s="443"/>
      <c r="L858" s="444">
        <v>15983.7984</v>
      </c>
      <c r="M858" s="444">
        <v>6553.8464000000004</v>
      </c>
      <c r="N858" s="444">
        <v>-787.94560000000001</v>
      </c>
      <c r="O858" s="444">
        <v>0</v>
      </c>
      <c r="P858" s="417">
        <v>0</v>
      </c>
      <c r="Q858" s="378">
        <v>1.6489E-3</v>
      </c>
      <c r="R858" s="378"/>
      <c r="S858" s="70">
        <v>38861.897599999997</v>
      </c>
      <c r="T858" s="105">
        <v>36372.374400000001</v>
      </c>
      <c r="U858" s="70">
        <v>21609.132799999999</v>
      </c>
      <c r="V858" s="70">
        <v>88120.054399999994</v>
      </c>
      <c r="W858" s="417">
        <v>0</v>
      </c>
      <c r="X858" s="378">
        <v>1.6489E-3</v>
      </c>
      <c r="Z858" s="70">
        <v>27919.344000000001</v>
      </c>
      <c r="AA858" s="70">
        <v>27919.1456</v>
      </c>
      <c r="AB858" s="70">
        <v>0</v>
      </c>
      <c r="AC858" s="417">
        <v>0</v>
      </c>
      <c r="AD858" s="417">
        <v>0</v>
      </c>
      <c r="AE858" s="378">
        <v>1.6489E-3</v>
      </c>
      <c r="AF858" s="378"/>
      <c r="AG858" s="70">
        <v>48420.064450000005</v>
      </c>
      <c r="AH858" s="70">
        <v>29197.064450000002</v>
      </c>
      <c r="AI858" s="70">
        <v>15041.064450000002</v>
      </c>
      <c r="AJ858" s="417">
        <v>0</v>
      </c>
      <c r="AK858" s="417">
        <v>0</v>
      </c>
      <c r="AL858" s="378">
        <v>1.6489E-3</v>
      </c>
      <c r="AM858" s="378"/>
      <c r="AN858" s="70">
        <v>0</v>
      </c>
      <c r="AO858" s="70">
        <v>0</v>
      </c>
      <c r="AP858" s="70">
        <v>0</v>
      </c>
      <c r="AQ858" s="417">
        <v>0</v>
      </c>
      <c r="AR858" s="417">
        <v>0</v>
      </c>
    </row>
    <row r="859" spans="1:44">
      <c r="A859" s="439">
        <v>99401</v>
      </c>
      <c r="B859" s="440" t="s">
        <v>1563</v>
      </c>
      <c r="C859" s="437">
        <v>7.9420000000000001E-4</v>
      </c>
      <c r="D859" s="441"/>
      <c r="E859" s="438">
        <v>686247.36829999997</v>
      </c>
      <c r="F859" s="442">
        <v>595953.88469999994</v>
      </c>
      <c r="G859" s="442">
        <v>198350.88549999995</v>
      </c>
      <c r="H859" s="442">
        <v>705493.41940000001</v>
      </c>
      <c r="I859" s="442">
        <v>0</v>
      </c>
      <c r="J859" s="443">
        <v>6.3929999999999998E-4</v>
      </c>
      <c r="K859" s="443"/>
      <c r="L859" s="444">
        <v>127967.0634</v>
      </c>
      <c r="M859" s="444">
        <v>52470.411399999997</v>
      </c>
      <c r="N859" s="444">
        <v>-6308.3306000000002</v>
      </c>
      <c r="O859" s="444">
        <v>0</v>
      </c>
      <c r="P859" s="417">
        <v>0</v>
      </c>
      <c r="Q859" s="378">
        <v>6.3929999999999998E-4</v>
      </c>
      <c r="R859" s="378"/>
      <c r="S859" s="70">
        <v>311130.23259999999</v>
      </c>
      <c r="T859" s="105">
        <v>291198.98940000002</v>
      </c>
      <c r="U859" s="70">
        <v>173003.7628</v>
      </c>
      <c r="V859" s="70">
        <v>705493.41940000001</v>
      </c>
      <c r="W859" s="417">
        <v>0</v>
      </c>
      <c r="X859" s="378">
        <v>6.3929999999999998E-4</v>
      </c>
      <c r="Z859" s="70">
        <v>223523.61900000001</v>
      </c>
      <c r="AA859" s="70">
        <v>223522.0306</v>
      </c>
      <c r="AB859" s="70">
        <v>0</v>
      </c>
      <c r="AC859" s="417">
        <v>0</v>
      </c>
      <c r="AD859" s="417">
        <v>0</v>
      </c>
      <c r="AE859" s="378">
        <v>6.3929999999999998E-4</v>
      </c>
      <c r="AF859" s="378"/>
      <c r="AG859" s="70">
        <v>33682.453299999936</v>
      </c>
      <c r="AH859" s="70">
        <v>31655.453299999936</v>
      </c>
      <c r="AI859" s="70">
        <v>31655.453299999936</v>
      </c>
      <c r="AJ859" s="417">
        <v>0</v>
      </c>
      <c r="AK859" s="417">
        <v>0</v>
      </c>
      <c r="AL859" s="378">
        <v>6.3929999999999998E-4</v>
      </c>
      <c r="AM859" s="378"/>
      <c r="AN859" s="70">
        <v>-10056</v>
      </c>
      <c r="AO859" s="70">
        <v>-2893</v>
      </c>
      <c r="AP859" s="70">
        <v>0</v>
      </c>
      <c r="AQ859" s="417">
        <v>0</v>
      </c>
      <c r="AR859" s="417">
        <v>0</v>
      </c>
    </row>
    <row r="860" spans="1:44">
      <c r="A860" s="439">
        <v>99404</v>
      </c>
      <c r="B860" s="440" t="s">
        <v>1564</v>
      </c>
      <c r="C860" s="437">
        <v>7.1999999999999997E-6</v>
      </c>
      <c r="D860" s="441"/>
      <c r="E860" s="438">
        <v>7779.5818999999992</v>
      </c>
      <c r="F860" s="442">
        <v>6342.4442999999992</v>
      </c>
      <c r="G860" s="442">
        <v>2322.6570999999999</v>
      </c>
      <c r="H860" s="442">
        <v>6395.8103999999994</v>
      </c>
      <c r="I860" s="442">
        <v>0</v>
      </c>
      <c r="J860" s="443">
        <v>2.2912000000000002E-3</v>
      </c>
      <c r="K860" s="443"/>
      <c r="L860" s="444">
        <v>1160.1143999999999</v>
      </c>
      <c r="M860" s="444">
        <v>475.68239999999997</v>
      </c>
      <c r="N860" s="444">
        <v>-57.189599999999999</v>
      </c>
      <c r="O860" s="444">
        <v>0</v>
      </c>
      <c r="P860" s="417">
        <v>0</v>
      </c>
      <c r="Q860" s="378">
        <v>2.2912000000000002E-3</v>
      </c>
      <c r="R860" s="378"/>
      <c r="S860" s="70">
        <v>2820.6215999999999</v>
      </c>
      <c r="T860" s="105">
        <v>2639.9303999999997</v>
      </c>
      <c r="U860" s="70">
        <v>1568.4048</v>
      </c>
      <c r="V860" s="70">
        <v>6395.8103999999994</v>
      </c>
      <c r="W860" s="417">
        <v>0</v>
      </c>
      <c r="X860" s="378">
        <v>2.2912000000000002E-3</v>
      </c>
      <c r="Z860" s="70">
        <v>2026.404</v>
      </c>
      <c r="AA860" s="70">
        <v>2026.3896</v>
      </c>
      <c r="AB860" s="70">
        <v>0</v>
      </c>
      <c r="AC860" s="417">
        <v>0</v>
      </c>
      <c r="AD860" s="417">
        <v>0</v>
      </c>
      <c r="AE860" s="378">
        <v>2.2912000000000002E-3</v>
      </c>
      <c r="AF860" s="378"/>
      <c r="AG860" s="70">
        <v>1772.4418999999998</v>
      </c>
      <c r="AH860" s="70">
        <v>1200.4418999999998</v>
      </c>
      <c r="AI860" s="70">
        <v>811.44189999999981</v>
      </c>
      <c r="AJ860" s="417">
        <v>0</v>
      </c>
      <c r="AK860" s="417">
        <v>0</v>
      </c>
      <c r="AL860" s="378">
        <v>2.2912000000000002E-3</v>
      </c>
      <c r="AM860" s="378"/>
      <c r="AN860" s="70">
        <v>0</v>
      </c>
      <c r="AO860" s="70">
        <v>0</v>
      </c>
      <c r="AP860" s="70">
        <v>0</v>
      </c>
      <c r="AQ860" s="417">
        <v>0</v>
      </c>
      <c r="AR860" s="417">
        <v>0</v>
      </c>
    </row>
    <row r="861" spans="1:44">
      <c r="A861" s="439">
        <v>99405</v>
      </c>
      <c r="B861" s="440" t="s">
        <v>1565</v>
      </c>
      <c r="C861" s="437">
        <v>5.5999999999999999E-5</v>
      </c>
      <c r="D861" s="441"/>
      <c r="E861" s="438">
        <v>54715.298649999997</v>
      </c>
      <c r="F861" s="442">
        <v>42340.450649999999</v>
      </c>
      <c r="G861" s="442">
        <v>15256.994650000001</v>
      </c>
      <c r="H861" s="442">
        <v>49745.192000000003</v>
      </c>
      <c r="I861" s="442">
        <v>0</v>
      </c>
      <c r="J861" s="443">
        <v>5.0762000000000003E-3</v>
      </c>
      <c r="K861" s="443"/>
      <c r="L861" s="444">
        <v>9023.1119999999992</v>
      </c>
      <c r="M861" s="444">
        <v>3699.752</v>
      </c>
      <c r="N861" s="444">
        <v>-444.80799999999999</v>
      </c>
      <c r="O861" s="444">
        <v>0</v>
      </c>
      <c r="P861" s="417">
        <v>0</v>
      </c>
      <c r="Q861" s="378">
        <v>5.0762000000000003E-3</v>
      </c>
      <c r="R861" s="378"/>
      <c r="S861" s="70">
        <v>21938.168000000001</v>
      </c>
      <c r="T861" s="105">
        <v>20532.792000000001</v>
      </c>
      <c r="U861" s="70">
        <v>12198.704</v>
      </c>
      <c r="V861" s="70">
        <v>49745.192000000003</v>
      </c>
      <c r="W861" s="417">
        <v>0</v>
      </c>
      <c r="X861" s="378">
        <v>5.0762000000000003E-3</v>
      </c>
      <c r="Z861" s="70">
        <v>15760.92</v>
      </c>
      <c r="AA861" s="70">
        <v>15760.807999999999</v>
      </c>
      <c r="AB861" s="70">
        <v>0</v>
      </c>
      <c r="AC861" s="417">
        <v>0</v>
      </c>
      <c r="AD861" s="417">
        <v>0</v>
      </c>
      <c r="AE861" s="378">
        <v>5.0762000000000003E-3</v>
      </c>
      <c r="AF861" s="378"/>
      <c r="AG861" s="70">
        <v>9149.0986499999999</v>
      </c>
      <c r="AH861" s="70">
        <v>3503.0986499999999</v>
      </c>
      <c r="AI861" s="70">
        <v>3503.0986499999999</v>
      </c>
      <c r="AJ861" s="417">
        <v>0</v>
      </c>
      <c r="AK861" s="417">
        <v>0</v>
      </c>
      <c r="AL861" s="378">
        <v>5.0762000000000003E-3</v>
      </c>
      <c r="AM861" s="378"/>
      <c r="AN861" s="70">
        <v>-1156</v>
      </c>
      <c r="AO861" s="70">
        <v>-1156</v>
      </c>
      <c r="AP861" s="70">
        <v>0</v>
      </c>
      <c r="AQ861" s="417">
        <v>0</v>
      </c>
      <c r="AR861" s="417">
        <v>0</v>
      </c>
    </row>
    <row r="862" spans="1:44">
      <c r="A862" s="439">
        <v>99411</v>
      </c>
      <c r="B862" s="440" t="s">
        <v>1566</v>
      </c>
      <c r="C862" s="437">
        <v>1.448E-4</v>
      </c>
      <c r="D862" s="441"/>
      <c r="E862" s="438">
        <v>111510.07740000001</v>
      </c>
      <c r="F862" s="442">
        <v>91159.198999999993</v>
      </c>
      <c r="G862" s="442">
        <v>21684.034199999998</v>
      </c>
      <c r="H862" s="442">
        <v>128626.8536</v>
      </c>
      <c r="I862" s="442">
        <v>0</v>
      </c>
      <c r="J862" s="443">
        <v>3.4172E-3</v>
      </c>
      <c r="K862" s="443"/>
      <c r="L862" s="444">
        <v>23331.189599999998</v>
      </c>
      <c r="M862" s="444">
        <v>9566.5015999999996</v>
      </c>
      <c r="N862" s="444">
        <v>-1150.1463999999999</v>
      </c>
      <c r="O862" s="444">
        <v>0</v>
      </c>
      <c r="P862" s="417">
        <v>0</v>
      </c>
      <c r="Q862" s="378">
        <v>3.4172E-3</v>
      </c>
      <c r="R862" s="378"/>
      <c r="S862" s="70">
        <v>56725.8344</v>
      </c>
      <c r="T862" s="105">
        <v>53091.933599999997</v>
      </c>
      <c r="U862" s="70">
        <v>31542.3632</v>
      </c>
      <c r="V862" s="70">
        <v>128626.8536</v>
      </c>
      <c r="W862" s="417">
        <v>0</v>
      </c>
      <c r="X862" s="378">
        <v>3.4172E-3</v>
      </c>
      <c r="Z862" s="70">
        <v>40753.235999999997</v>
      </c>
      <c r="AA862" s="70">
        <v>40752.946400000001</v>
      </c>
      <c r="AB862" s="70">
        <v>0</v>
      </c>
      <c r="AC862" s="417">
        <v>0</v>
      </c>
      <c r="AD862" s="417">
        <v>0</v>
      </c>
      <c r="AE862" s="378">
        <v>3.4172E-3</v>
      </c>
      <c r="AF862" s="378"/>
      <c r="AG862" s="70">
        <v>2952</v>
      </c>
      <c r="AH862" s="70">
        <v>0</v>
      </c>
      <c r="AI862" s="70">
        <v>0</v>
      </c>
      <c r="AJ862" s="417">
        <v>0</v>
      </c>
      <c r="AK862" s="417">
        <v>0</v>
      </c>
      <c r="AL862" s="378">
        <v>3.4172E-3</v>
      </c>
      <c r="AM862" s="378"/>
      <c r="AN862" s="70">
        <v>-12252.1826</v>
      </c>
      <c r="AO862" s="70">
        <v>-12252.1826</v>
      </c>
      <c r="AP862" s="70">
        <v>-8708.1826000000001</v>
      </c>
      <c r="AQ862" s="417">
        <v>0</v>
      </c>
      <c r="AR862" s="417">
        <v>0</v>
      </c>
    </row>
    <row r="863" spans="1:44">
      <c r="A863" s="439">
        <v>99413</v>
      </c>
      <c r="B863" s="440" t="s">
        <v>1567</v>
      </c>
      <c r="C863" s="437">
        <v>4.2700000000000001E-5</v>
      </c>
      <c r="D863" s="441"/>
      <c r="E863" s="438">
        <v>55107.501825000007</v>
      </c>
      <c r="F863" s="442">
        <v>40641.755225000001</v>
      </c>
      <c r="G863" s="442">
        <v>14953.170024999999</v>
      </c>
      <c r="H863" s="442">
        <v>37930.708899999998</v>
      </c>
      <c r="I863" s="442">
        <v>0</v>
      </c>
      <c r="J863" s="443">
        <v>9.6429999999999997E-4</v>
      </c>
      <c r="K863" s="443"/>
      <c r="L863" s="444">
        <v>6880.1229000000003</v>
      </c>
      <c r="M863" s="444">
        <v>2821.0608999999999</v>
      </c>
      <c r="N863" s="444">
        <v>-339.16610000000003</v>
      </c>
      <c r="O863" s="444">
        <v>0</v>
      </c>
      <c r="P863" s="417">
        <v>0</v>
      </c>
      <c r="Q863" s="378">
        <v>9.6429999999999997E-4</v>
      </c>
      <c r="R863" s="378"/>
      <c r="S863" s="70">
        <v>16727.8531</v>
      </c>
      <c r="T863" s="105">
        <v>15656.2539</v>
      </c>
      <c r="U863" s="70">
        <v>9301.5118000000002</v>
      </c>
      <c r="V863" s="70">
        <v>37930.708899999998</v>
      </c>
      <c r="W863" s="417">
        <v>0</v>
      </c>
      <c r="X863" s="378">
        <v>9.6429999999999997E-4</v>
      </c>
      <c r="Z863" s="70">
        <v>12017.701500000001</v>
      </c>
      <c r="AA863" s="70">
        <v>12017.616100000001</v>
      </c>
      <c r="AB863" s="70">
        <v>0</v>
      </c>
      <c r="AC863" s="417">
        <v>0</v>
      </c>
      <c r="AD863" s="417">
        <v>0</v>
      </c>
      <c r="AE863" s="378">
        <v>9.6429999999999997E-4</v>
      </c>
      <c r="AF863" s="378"/>
      <c r="AG863" s="70">
        <v>19481.824325000001</v>
      </c>
      <c r="AH863" s="70">
        <v>10146.824325</v>
      </c>
      <c r="AI863" s="70">
        <v>5990.8243249999996</v>
      </c>
      <c r="AJ863" s="417">
        <v>0</v>
      </c>
      <c r="AK863" s="417">
        <v>0</v>
      </c>
      <c r="AL863" s="378">
        <v>9.6429999999999997E-4</v>
      </c>
      <c r="AM863" s="378"/>
      <c r="AN863" s="70">
        <v>0</v>
      </c>
      <c r="AO863" s="70">
        <v>0</v>
      </c>
      <c r="AP863" s="70">
        <v>0</v>
      </c>
      <c r="AQ863" s="417">
        <v>0</v>
      </c>
      <c r="AR863" s="417">
        <v>0</v>
      </c>
    </row>
    <row r="864" spans="1:44">
      <c r="A864" s="439">
        <v>99421</v>
      </c>
      <c r="B864" s="440" t="s">
        <v>1568</v>
      </c>
      <c r="C864" s="437">
        <v>1.06E-5</v>
      </c>
      <c r="D864" s="441"/>
      <c r="E864" s="438">
        <v>6797.9699000000019</v>
      </c>
      <c r="F864" s="442">
        <v>6684.2951000000012</v>
      </c>
      <c r="G864" s="442">
        <v>712.96950000000106</v>
      </c>
      <c r="H864" s="442">
        <v>9416.0542000000005</v>
      </c>
      <c r="I864" s="442">
        <v>0</v>
      </c>
      <c r="J864" s="443">
        <v>1.4434000000000001E-3</v>
      </c>
      <c r="K864" s="443"/>
      <c r="L864" s="444">
        <v>1707.9462000000001</v>
      </c>
      <c r="M864" s="444">
        <v>700.31020000000001</v>
      </c>
      <c r="N864" s="444">
        <v>-84.195800000000006</v>
      </c>
      <c r="O864" s="444">
        <v>0</v>
      </c>
      <c r="P864" s="417">
        <v>0</v>
      </c>
      <c r="Q864" s="378">
        <v>1.4434000000000001E-3</v>
      </c>
      <c r="R864" s="378"/>
      <c r="S864" s="70">
        <v>4152.5817999999999</v>
      </c>
      <c r="T864" s="105">
        <v>3886.5642000000003</v>
      </c>
      <c r="U864" s="70">
        <v>2309.0403999999999</v>
      </c>
      <c r="V864" s="70">
        <v>9416.0542000000005</v>
      </c>
      <c r="W864" s="417">
        <v>0</v>
      </c>
      <c r="X864" s="378">
        <v>1.4434000000000001E-3</v>
      </c>
      <c r="Z864" s="70">
        <v>2983.317</v>
      </c>
      <c r="AA864" s="70">
        <v>2983.2957999999999</v>
      </c>
      <c r="AB864" s="70">
        <v>0</v>
      </c>
      <c r="AC864" s="417">
        <v>0</v>
      </c>
      <c r="AD864" s="417">
        <v>0</v>
      </c>
      <c r="AE864" s="378">
        <v>1.4434000000000001E-3</v>
      </c>
      <c r="AF864" s="378"/>
      <c r="AG864" s="70">
        <v>700</v>
      </c>
      <c r="AH864" s="70">
        <v>626</v>
      </c>
      <c r="AI864" s="70">
        <v>0</v>
      </c>
      <c r="AJ864" s="417">
        <v>0</v>
      </c>
      <c r="AK864" s="417">
        <v>0</v>
      </c>
      <c r="AL864" s="378">
        <v>1.4434000000000001E-3</v>
      </c>
      <c r="AM864" s="378"/>
      <c r="AN864" s="70">
        <v>-2745.8750999999988</v>
      </c>
      <c r="AO864" s="70">
        <v>-1511.8750999999988</v>
      </c>
      <c r="AP864" s="70">
        <v>-1511.8750999999988</v>
      </c>
      <c r="AQ864" s="417">
        <v>0</v>
      </c>
      <c r="AR864" s="417">
        <v>0</v>
      </c>
    </row>
    <row r="865" spans="1:44">
      <c r="A865" s="439">
        <v>99431</v>
      </c>
      <c r="B865" s="440" t="s">
        <v>1569</v>
      </c>
      <c r="C865" s="437">
        <v>1.77E-5</v>
      </c>
      <c r="D865" s="441"/>
      <c r="E865" s="438">
        <v>13169.838174999997</v>
      </c>
      <c r="F865" s="442">
        <v>11044.041574999999</v>
      </c>
      <c r="G865" s="442">
        <v>3024.3563749999985</v>
      </c>
      <c r="H865" s="442">
        <v>15723.0339</v>
      </c>
      <c r="I865" s="442">
        <v>0</v>
      </c>
      <c r="J865" s="443">
        <v>6.7000000000000002E-6</v>
      </c>
      <c r="K865" s="443"/>
      <c r="L865" s="444">
        <v>2851.9479000000001</v>
      </c>
      <c r="M865" s="444">
        <v>1169.3859</v>
      </c>
      <c r="N865" s="444">
        <v>-140.59110000000001</v>
      </c>
      <c r="O865" s="444">
        <v>0</v>
      </c>
      <c r="P865" s="417">
        <v>0</v>
      </c>
      <c r="Q865" s="378">
        <v>6.7000000000000002E-6</v>
      </c>
      <c r="R865" s="378"/>
      <c r="S865" s="70">
        <v>6934.0280999999995</v>
      </c>
      <c r="T865" s="105">
        <v>6489.8289000000004</v>
      </c>
      <c r="U865" s="70">
        <v>3855.6617999999999</v>
      </c>
      <c r="V865" s="70">
        <v>15723.0339</v>
      </c>
      <c r="W865" s="417">
        <v>0</v>
      </c>
      <c r="X865" s="378">
        <v>6.7000000000000002E-6</v>
      </c>
      <c r="Z865" s="70">
        <v>4981.5765000000001</v>
      </c>
      <c r="AA865" s="70">
        <v>4981.5411000000004</v>
      </c>
      <c r="AB865" s="70">
        <v>0</v>
      </c>
      <c r="AC865" s="417">
        <v>0</v>
      </c>
      <c r="AD865" s="417">
        <v>0</v>
      </c>
      <c r="AE865" s="378">
        <v>6.7000000000000002E-6</v>
      </c>
      <c r="AF865" s="378"/>
      <c r="AG865" s="70">
        <v>1461</v>
      </c>
      <c r="AH865" s="70">
        <v>0</v>
      </c>
      <c r="AI865" s="70">
        <v>0</v>
      </c>
      <c r="AJ865" s="417">
        <v>0</v>
      </c>
      <c r="AK865" s="417">
        <v>0</v>
      </c>
      <c r="AL865" s="378">
        <v>6.7000000000000002E-6</v>
      </c>
      <c r="AM865" s="378"/>
      <c r="AN865" s="70">
        <v>-3058.7143250000013</v>
      </c>
      <c r="AO865" s="70">
        <v>-1596.7143250000013</v>
      </c>
      <c r="AP865" s="70">
        <v>-690.71432500000128</v>
      </c>
      <c r="AQ865" s="417">
        <v>0</v>
      </c>
      <c r="AR865" s="417">
        <v>0</v>
      </c>
    </row>
    <row r="866" spans="1:44">
      <c r="A866" s="439">
        <v>99501</v>
      </c>
      <c r="B866" s="440" t="s">
        <v>1570</v>
      </c>
      <c r="C866" s="437">
        <v>1.7076999999999999E-3</v>
      </c>
      <c r="D866" s="441"/>
      <c r="E866" s="438">
        <v>1521732.6393250001</v>
      </c>
      <c r="F866" s="442">
        <v>1292542.8227249999</v>
      </c>
      <c r="G866" s="442">
        <v>401016.69752500014</v>
      </c>
      <c r="H866" s="442">
        <v>1516961.8639</v>
      </c>
      <c r="I866" s="442">
        <v>0</v>
      </c>
      <c r="J866" s="443">
        <v>5.6799999999999998E-5</v>
      </c>
      <c r="K866" s="443"/>
      <c r="L866" s="444">
        <v>275156.57789999997</v>
      </c>
      <c r="M866" s="444">
        <v>112822.61589999999</v>
      </c>
      <c r="N866" s="444">
        <v>-13564.2611</v>
      </c>
      <c r="O866" s="444">
        <v>0</v>
      </c>
      <c r="P866" s="417">
        <v>0</v>
      </c>
      <c r="Q866" s="378">
        <v>5.6799999999999998E-5</v>
      </c>
      <c r="R866" s="378"/>
      <c r="S866" s="70">
        <v>668996.59809999994</v>
      </c>
      <c r="T866" s="105">
        <v>626140.15889999992</v>
      </c>
      <c r="U866" s="70">
        <v>371995.12179999996</v>
      </c>
      <c r="V866" s="70">
        <v>1516961.8639</v>
      </c>
      <c r="W866" s="417">
        <v>0</v>
      </c>
      <c r="X866" s="378">
        <v>5.6799999999999998E-5</v>
      </c>
      <c r="Z866" s="70">
        <v>480623.62649999995</v>
      </c>
      <c r="AA866" s="70">
        <v>480620.21109999996</v>
      </c>
      <c r="AB866" s="70">
        <v>0</v>
      </c>
      <c r="AC866" s="417">
        <v>0</v>
      </c>
      <c r="AD866" s="417">
        <v>0</v>
      </c>
      <c r="AE866" s="378">
        <v>5.6799999999999998E-5</v>
      </c>
      <c r="AF866" s="378"/>
      <c r="AG866" s="70">
        <v>96955.83682500018</v>
      </c>
      <c r="AH866" s="70">
        <v>72959.83682500018</v>
      </c>
      <c r="AI866" s="70">
        <v>42585.83682500018</v>
      </c>
      <c r="AJ866" s="417">
        <v>0</v>
      </c>
      <c r="AK866" s="417">
        <v>0</v>
      </c>
      <c r="AL866" s="378">
        <v>5.6799999999999998E-5</v>
      </c>
      <c r="AM866" s="378"/>
      <c r="AN866" s="70">
        <v>0</v>
      </c>
      <c r="AO866" s="70">
        <v>0</v>
      </c>
      <c r="AP866" s="70">
        <v>0</v>
      </c>
      <c r="AQ866" s="417">
        <v>0</v>
      </c>
      <c r="AR866" s="417">
        <v>0</v>
      </c>
    </row>
    <row r="867" spans="1:44">
      <c r="A867" s="439">
        <v>99502</v>
      </c>
      <c r="B867" s="440" t="s">
        <v>1571</v>
      </c>
      <c r="C867" s="437">
        <v>1.5009999999999999E-4</v>
      </c>
      <c r="D867" s="441"/>
      <c r="E867" s="438">
        <v>120946.17692499996</v>
      </c>
      <c r="F867" s="442">
        <v>104135.46112499997</v>
      </c>
      <c r="G867" s="442">
        <v>28435.633524999983</v>
      </c>
      <c r="H867" s="442">
        <v>133334.88069999998</v>
      </c>
      <c r="I867" s="442">
        <v>0</v>
      </c>
      <c r="J867" s="443">
        <v>1.0230000000000001E-4</v>
      </c>
      <c r="K867" s="443"/>
      <c r="L867" s="444">
        <v>24185.162699999997</v>
      </c>
      <c r="M867" s="444">
        <v>9916.6566999999995</v>
      </c>
      <c r="N867" s="444">
        <v>-1192.2442999999998</v>
      </c>
      <c r="O867" s="444">
        <v>0</v>
      </c>
      <c r="P867" s="417">
        <v>0</v>
      </c>
      <c r="Q867" s="378">
        <v>1.0230000000000001E-4</v>
      </c>
      <c r="R867" s="378"/>
      <c r="S867" s="70">
        <v>58802.125299999992</v>
      </c>
      <c r="T867" s="105">
        <v>55035.215699999993</v>
      </c>
      <c r="U867" s="70">
        <v>32696.883399999999</v>
      </c>
      <c r="V867" s="70">
        <v>133334.88069999998</v>
      </c>
      <c r="W867" s="417">
        <v>0</v>
      </c>
      <c r="X867" s="378">
        <v>1.0230000000000001E-4</v>
      </c>
      <c r="Z867" s="70">
        <v>42244.894499999995</v>
      </c>
      <c r="AA867" s="70">
        <v>42244.594299999997</v>
      </c>
      <c r="AB867" s="70">
        <v>0</v>
      </c>
      <c r="AC867" s="417">
        <v>0</v>
      </c>
      <c r="AD867" s="417">
        <v>0</v>
      </c>
      <c r="AE867" s="378">
        <v>1.0230000000000001E-4</v>
      </c>
      <c r="AF867" s="378"/>
      <c r="AG867" s="70">
        <v>2026</v>
      </c>
      <c r="AH867" s="70">
        <v>8</v>
      </c>
      <c r="AI867" s="70">
        <v>0</v>
      </c>
      <c r="AJ867" s="417">
        <v>0</v>
      </c>
      <c r="AK867" s="417">
        <v>0</v>
      </c>
      <c r="AL867" s="378">
        <v>1.0230000000000001E-4</v>
      </c>
      <c r="AM867" s="378"/>
      <c r="AN867" s="70">
        <v>-6312.0055750000174</v>
      </c>
      <c r="AO867" s="70">
        <v>-3069.0055750000174</v>
      </c>
      <c r="AP867" s="70">
        <v>-3069.0055750000174</v>
      </c>
      <c r="AQ867" s="417">
        <v>0</v>
      </c>
      <c r="AR867" s="417">
        <v>0</v>
      </c>
    </row>
    <row r="868" spans="1:44">
      <c r="A868" s="439">
        <v>99508</v>
      </c>
      <c r="B868" s="440" t="s">
        <v>1572</v>
      </c>
      <c r="C868" s="437">
        <v>1.8099999999999999E-5</v>
      </c>
      <c r="D868" s="441"/>
      <c r="E868" s="438">
        <v>14053.272875000002</v>
      </c>
      <c r="F868" s="442">
        <v>12204.413075</v>
      </c>
      <c r="G868" s="442">
        <v>2697.017475000001</v>
      </c>
      <c r="H868" s="442">
        <v>16078.3567</v>
      </c>
      <c r="I868" s="442">
        <v>0</v>
      </c>
      <c r="J868" s="443">
        <v>7.381E-4</v>
      </c>
      <c r="K868" s="443"/>
      <c r="L868" s="444">
        <v>2916.3986999999997</v>
      </c>
      <c r="M868" s="444">
        <v>1195.8126999999999</v>
      </c>
      <c r="N868" s="444">
        <v>-143.76829999999998</v>
      </c>
      <c r="O868" s="444">
        <v>0</v>
      </c>
      <c r="P868" s="417">
        <v>0</v>
      </c>
      <c r="Q868" s="378">
        <v>7.381E-4</v>
      </c>
      <c r="R868" s="378"/>
      <c r="S868" s="70">
        <v>7090.7293</v>
      </c>
      <c r="T868" s="105">
        <v>6636.4916999999996</v>
      </c>
      <c r="U868" s="70">
        <v>3942.7954</v>
      </c>
      <c r="V868" s="70">
        <v>16078.3567</v>
      </c>
      <c r="W868" s="417">
        <v>0</v>
      </c>
      <c r="X868" s="378">
        <v>7.381E-4</v>
      </c>
      <c r="Z868" s="70">
        <v>5094.1544999999996</v>
      </c>
      <c r="AA868" s="70">
        <v>5094.1183000000001</v>
      </c>
      <c r="AB868" s="70">
        <v>0</v>
      </c>
      <c r="AC868" s="417">
        <v>0</v>
      </c>
      <c r="AD868" s="417">
        <v>0</v>
      </c>
      <c r="AE868" s="378">
        <v>7.381E-4</v>
      </c>
      <c r="AF868" s="378"/>
      <c r="AG868" s="70">
        <v>380</v>
      </c>
      <c r="AH868" s="70">
        <v>380</v>
      </c>
      <c r="AI868" s="70">
        <v>0</v>
      </c>
      <c r="AJ868" s="417">
        <v>0</v>
      </c>
      <c r="AK868" s="417">
        <v>0</v>
      </c>
      <c r="AL868" s="378">
        <v>7.381E-4</v>
      </c>
      <c r="AM868" s="378"/>
      <c r="AN868" s="70">
        <v>-1428.0096249999988</v>
      </c>
      <c r="AO868" s="70">
        <v>-1102.0096249999988</v>
      </c>
      <c r="AP868" s="70">
        <v>-1102.0096249999988</v>
      </c>
      <c r="AQ868" s="417">
        <v>0</v>
      </c>
      <c r="AR868" s="417">
        <v>0</v>
      </c>
    </row>
    <row r="869" spans="1:44">
      <c r="A869" s="439">
        <v>99509</v>
      </c>
      <c r="B869" s="440" t="s">
        <v>1573</v>
      </c>
      <c r="C869" s="437">
        <v>2.4199999999999999E-5</v>
      </c>
      <c r="D869" s="441"/>
      <c r="E869" s="438">
        <v>21213.8125</v>
      </c>
      <c r="F869" s="442">
        <v>19847.988899999997</v>
      </c>
      <c r="G869" s="442">
        <v>6502.5096999999987</v>
      </c>
      <c r="H869" s="442">
        <v>21497.029399999999</v>
      </c>
      <c r="I869" s="442">
        <v>0</v>
      </c>
      <c r="J869" s="443">
        <v>7.4000000000000003E-6</v>
      </c>
      <c r="K869" s="443"/>
      <c r="L869" s="444">
        <v>3899.2733999999996</v>
      </c>
      <c r="M869" s="444">
        <v>1598.8213999999998</v>
      </c>
      <c r="N869" s="444">
        <v>-192.22059999999999</v>
      </c>
      <c r="O869" s="444">
        <v>0</v>
      </c>
      <c r="P869" s="417">
        <v>0</v>
      </c>
      <c r="Q869" s="378">
        <v>7.4000000000000003E-6</v>
      </c>
      <c r="R869" s="378"/>
      <c r="S869" s="70">
        <v>9480.4225999999999</v>
      </c>
      <c r="T869" s="105">
        <v>8873.0993999999992</v>
      </c>
      <c r="U869" s="70">
        <v>5271.5828000000001</v>
      </c>
      <c r="V869" s="70">
        <v>21497.029399999999</v>
      </c>
      <c r="W869" s="417">
        <v>0</v>
      </c>
      <c r="X869" s="378">
        <v>7.4000000000000003E-6</v>
      </c>
      <c r="Z869" s="70">
        <v>6810.9690000000001</v>
      </c>
      <c r="AA869" s="70">
        <v>6810.9205999999995</v>
      </c>
      <c r="AB869" s="70">
        <v>0</v>
      </c>
      <c r="AC869" s="417">
        <v>0</v>
      </c>
      <c r="AD869" s="417">
        <v>0</v>
      </c>
      <c r="AE869" s="378">
        <v>7.4000000000000003E-6</v>
      </c>
      <c r="AF869" s="378"/>
      <c r="AG869" s="70">
        <v>2565.1474999999982</v>
      </c>
      <c r="AH869" s="70">
        <v>2565.1474999999982</v>
      </c>
      <c r="AI869" s="70">
        <v>1423.1474999999982</v>
      </c>
      <c r="AJ869" s="417">
        <v>0</v>
      </c>
      <c r="AK869" s="417">
        <v>0</v>
      </c>
      <c r="AL869" s="378">
        <v>7.4000000000000003E-6</v>
      </c>
      <c r="AM869" s="378"/>
      <c r="AN869" s="70">
        <v>-1542</v>
      </c>
      <c r="AO869" s="70">
        <v>0</v>
      </c>
      <c r="AP869" s="70">
        <v>0</v>
      </c>
      <c r="AQ869" s="417">
        <v>0</v>
      </c>
      <c r="AR869" s="417">
        <v>0</v>
      </c>
    </row>
    <row r="870" spans="1:44">
      <c r="A870" s="439">
        <v>99511</v>
      </c>
      <c r="B870" s="440" t="s">
        <v>1574</v>
      </c>
      <c r="C870" s="437">
        <v>1.3201E-3</v>
      </c>
      <c r="D870" s="441"/>
      <c r="E870" s="438">
        <v>1053370.8923250004</v>
      </c>
      <c r="F870" s="442">
        <v>927969.31652500038</v>
      </c>
      <c r="G870" s="442">
        <v>286311.5689250002</v>
      </c>
      <c r="H870" s="442">
        <v>1172654.0707</v>
      </c>
      <c r="I870" s="442">
        <v>0</v>
      </c>
      <c r="J870" s="443">
        <v>5.27E-5</v>
      </c>
      <c r="K870" s="443"/>
      <c r="L870" s="444">
        <v>212703.75270000001</v>
      </c>
      <c r="M870" s="444">
        <v>87215.046700000006</v>
      </c>
      <c r="N870" s="444">
        <v>-10485.5543</v>
      </c>
      <c r="O870" s="444">
        <v>0</v>
      </c>
      <c r="P870" s="417">
        <v>0</v>
      </c>
      <c r="Q870" s="378">
        <v>5.27E-5</v>
      </c>
      <c r="R870" s="378"/>
      <c r="S870" s="70">
        <v>517153.13530000002</v>
      </c>
      <c r="T870" s="105">
        <v>484023.9057</v>
      </c>
      <c r="U870" s="70">
        <v>287562.66340000002</v>
      </c>
      <c r="V870" s="70">
        <v>1172654.0707</v>
      </c>
      <c r="W870" s="417">
        <v>0</v>
      </c>
      <c r="X870" s="378">
        <v>5.27E-5</v>
      </c>
      <c r="Z870" s="70">
        <v>371535.54450000002</v>
      </c>
      <c r="AA870" s="70">
        <v>371532.90429999999</v>
      </c>
      <c r="AB870" s="70">
        <v>0</v>
      </c>
      <c r="AC870" s="417">
        <v>0</v>
      </c>
      <c r="AD870" s="417">
        <v>0</v>
      </c>
      <c r="AE870" s="378">
        <v>5.27E-5</v>
      </c>
      <c r="AF870" s="378"/>
      <c r="AG870" s="70">
        <v>9234.4598250002018</v>
      </c>
      <c r="AH870" s="70">
        <v>9234.4598250002018</v>
      </c>
      <c r="AI870" s="70">
        <v>9234.4598250002018</v>
      </c>
      <c r="AJ870" s="417">
        <v>0</v>
      </c>
      <c r="AK870" s="417">
        <v>0</v>
      </c>
      <c r="AL870" s="378">
        <v>5.27E-5</v>
      </c>
      <c r="AM870" s="378"/>
      <c r="AN870" s="70">
        <v>-57256</v>
      </c>
      <c r="AO870" s="70">
        <v>-24037</v>
      </c>
      <c r="AP870" s="70">
        <v>0</v>
      </c>
      <c r="AQ870" s="417">
        <v>0</v>
      </c>
      <c r="AR870" s="417">
        <v>0</v>
      </c>
    </row>
    <row r="871" spans="1:44">
      <c r="A871" s="439">
        <v>99521</v>
      </c>
      <c r="B871" s="440" t="s">
        <v>1575</v>
      </c>
      <c r="C871" s="437">
        <v>5.1960000000000005E-4</v>
      </c>
      <c r="D871" s="441"/>
      <c r="E871" s="438">
        <v>405969.32475000003</v>
      </c>
      <c r="F871" s="442">
        <v>363023.22795000009</v>
      </c>
      <c r="G871" s="442">
        <v>97700.418350000022</v>
      </c>
      <c r="H871" s="442">
        <v>461564.31720000005</v>
      </c>
      <c r="I871" s="442">
        <v>0</v>
      </c>
      <c r="J871" s="443">
        <v>1.64E-4</v>
      </c>
      <c r="K871" s="443"/>
      <c r="L871" s="444">
        <v>83721.589200000002</v>
      </c>
      <c r="M871" s="444">
        <v>34328.413200000003</v>
      </c>
      <c r="N871" s="444">
        <v>-4127.1828000000005</v>
      </c>
      <c r="O871" s="444">
        <v>0</v>
      </c>
      <c r="P871" s="417">
        <v>0</v>
      </c>
      <c r="Q871" s="378">
        <v>1.64E-4</v>
      </c>
      <c r="R871" s="378"/>
      <c r="S871" s="70">
        <v>203554.85880000002</v>
      </c>
      <c r="T871" s="105">
        <v>190514.97720000002</v>
      </c>
      <c r="U871" s="70">
        <v>113186.54640000001</v>
      </c>
      <c r="V871" s="70">
        <v>461564.31720000005</v>
      </c>
      <c r="W871" s="417">
        <v>0</v>
      </c>
      <c r="X871" s="378">
        <v>1.64E-4</v>
      </c>
      <c r="Z871" s="70">
        <v>146238.82200000001</v>
      </c>
      <c r="AA871" s="70">
        <v>146237.78280000002</v>
      </c>
      <c r="AB871" s="70">
        <v>0</v>
      </c>
      <c r="AC871" s="417">
        <v>0</v>
      </c>
      <c r="AD871" s="417">
        <v>0</v>
      </c>
      <c r="AE871" s="378">
        <v>1.64E-4</v>
      </c>
      <c r="AF871" s="378"/>
      <c r="AG871" s="70">
        <v>3301</v>
      </c>
      <c r="AH871" s="70">
        <v>3301</v>
      </c>
      <c r="AI871" s="70">
        <v>0</v>
      </c>
      <c r="AJ871" s="417">
        <v>0</v>
      </c>
      <c r="AK871" s="417">
        <v>0</v>
      </c>
      <c r="AL871" s="378">
        <v>1.64E-4</v>
      </c>
      <c r="AM871" s="378"/>
      <c r="AN871" s="70">
        <v>-30846.94524999999</v>
      </c>
      <c r="AO871" s="70">
        <v>-11358.94524999999</v>
      </c>
      <c r="AP871" s="70">
        <v>-11358.94524999999</v>
      </c>
      <c r="AQ871" s="417">
        <v>0</v>
      </c>
      <c r="AR871" s="417">
        <v>0</v>
      </c>
    </row>
    <row r="872" spans="1:44">
      <c r="A872" s="439">
        <v>99527</v>
      </c>
      <c r="B872" s="440" t="s">
        <v>1576</v>
      </c>
      <c r="C872" s="437">
        <v>1.0499999999999999E-5</v>
      </c>
      <c r="D872" s="441"/>
      <c r="E872" s="438">
        <v>11326.150924999998</v>
      </c>
      <c r="F872" s="442">
        <v>9612.4919250000003</v>
      </c>
      <c r="G872" s="442">
        <v>3353.5939250000001</v>
      </c>
      <c r="H872" s="442">
        <v>9327.2235000000001</v>
      </c>
      <c r="I872" s="442">
        <v>0</v>
      </c>
      <c r="J872" s="443">
        <v>3.7299999999999999E-5</v>
      </c>
      <c r="K872" s="443"/>
      <c r="L872" s="444">
        <v>1691.8335</v>
      </c>
      <c r="M872" s="444">
        <v>693.70349999999996</v>
      </c>
      <c r="N872" s="444">
        <v>-83.401499999999999</v>
      </c>
      <c r="O872" s="444">
        <v>0</v>
      </c>
      <c r="P872" s="417">
        <v>0</v>
      </c>
      <c r="Q872" s="378">
        <v>3.7299999999999999E-5</v>
      </c>
      <c r="R872" s="378"/>
      <c r="S872" s="70">
        <v>4113.4065000000001</v>
      </c>
      <c r="T872" s="105">
        <v>3849.8984999999998</v>
      </c>
      <c r="U872" s="70">
        <v>2287.2570000000001</v>
      </c>
      <c r="V872" s="70">
        <v>9327.2235000000001</v>
      </c>
      <c r="W872" s="417">
        <v>0</v>
      </c>
      <c r="X872" s="378">
        <v>3.7299999999999999E-5</v>
      </c>
      <c r="Z872" s="70">
        <v>2955.1724999999997</v>
      </c>
      <c r="AA872" s="70">
        <v>2955.1514999999999</v>
      </c>
      <c r="AB872" s="70">
        <v>0</v>
      </c>
      <c r="AC872" s="417">
        <v>0</v>
      </c>
      <c r="AD872" s="417">
        <v>0</v>
      </c>
      <c r="AE872" s="378">
        <v>3.7299999999999999E-5</v>
      </c>
      <c r="AF872" s="378"/>
      <c r="AG872" s="70">
        <v>2565.738425</v>
      </c>
      <c r="AH872" s="70">
        <v>2113.738425</v>
      </c>
      <c r="AI872" s="70">
        <v>1149.738425</v>
      </c>
      <c r="AJ872" s="417">
        <v>0</v>
      </c>
      <c r="AK872" s="417">
        <v>0</v>
      </c>
      <c r="AL872" s="378">
        <v>3.7299999999999999E-5</v>
      </c>
      <c r="AM872" s="378"/>
      <c r="AN872" s="70">
        <v>0</v>
      </c>
      <c r="AO872" s="70">
        <v>0</v>
      </c>
      <c r="AP872" s="70">
        <v>0</v>
      </c>
      <c r="AQ872" s="417">
        <v>0</v>
      </c>
      <c r="AR872" s="417">
        <v>0</v>
      </c>
    </row>
    <row r="873" spans="1:44">
      <c r="A873" s="439">
        <v>99531</v>
      </c>
      <c r="B873" s="440" t="s">
        <v>1577</v>
      </c>
      <c r="C873" s="437">
        <v>9.2399999999999996E-5</v>
      </c>
      <c r="D873" s="441"/>
      <c r="E873" s="438">
        <v>106615.47630000001</v>
      </c>
      <c r="F873" s="442">
        <v>86740.877099999983</v>
      </c>
      <c r="G873" s="442">
        <v>32186.774699999998</v>
      </c>
      <c r="H873" s="442">
        <v>82079.566800000001</v>
      </c>
      <c r="I873" s="442">
        <v>0</v>
      </c>
      <c r="J873" s="443">
        <v>1.2300000000000001E-5</v>
      </c>
      <c r="K873" s="443"/>
      <c r="L873" s="444">
        <v>14888.1348</v>
      </c>
      <c r="M873" s="444">
        <v>6104.5907999999999</v>
      </c>
      <c r="N873" s="444">
        <v>-733.93319999999994</v>
      </c>
      <c r="O873" s="444">
        <v>0</v>
      </c>
      <c r="P873" s="417">
        <v>0</v>
      </c>
      <c r="Q873" s="378">
        <v>1.2300000000000001E-5</v>
      </c>
      <c r="R873" s="378"/>
      <c r="S873" s="70">
        <v>36197.977200000001</v>
      </c>
      <c r="T873" s="105">
        <v>33879.106800000001</v>
      </c>
      <c r="U873" s="70">
        <v>20127.8616</v>
      </c>
      <c r="V873" s="70">
        <v>82079.566800000001</v>
      </c>
      <c r="W873" s="417">
        <v>0</v>
      </c>
      <c r="X873" s="378">
        <v>1.2300000000000001E-5</v>
      </c>
      <c r="Z873" s="70">
        <v>26005.518</v>
      </c>
      <c r="AA873" s="70">
        <v>26005.333199999997</v>
      </c>
      <c r="AB873" s="70">
        <v>0</v>
      </c>
      <c r="AC873" s="417">
        <v>0</v>
      </c>
      <c r="AD873" s="417">
        <v>0</v>
      </c>
      <c r="AE873" s="378">
        <v>1.2300000000000001E-5</v>
      </c>
      <c r="AF873" s="378"/>
      <c r="AG873" s="70">
        <v>29523.846299999997</v>
      </c>
      <c r="AH873" s="70">
        <v>20751.846299999997</v>
      </c>
      <c r="AI873" s="70">
        <v>12792.846299999997</v>
      </c>
      <c r="AJ873" s="417">
        <v>0</v>
      </c>
      <c r="AK873" s="417">
        <v>0</v>
      </c>
      <c r="AL873" s="378">
        <v>1.2300000000000001E-5</v>
      </c>
      <c r="AM873" s="378"/>
      <c r="AN873" s="70">
        <v>0</v>
      </c>
      <c r="AO873" s="70">
        <v>0</v>
      </c>
      <c r="AP873" s="70">
        <v>0</v>
      </c>
      <c r="AQ873" s="417">
        <v>0</v>
      </c>
      <c r="AR873" s="417">
        <v>0</v>
      </c>
    </row>
    <row r="874" spans="1:44">
      <c r="A874" s="439">
        <v>99601</v>
      </c>
      <c r="B874" s="440" t="s">
        <v>1578</v>
      </c>
      <c r="C874" s="437">
        <v>5.0304E-3</v>
      </c>
      <c r="D874" s="441"/>
      <c r="E874" s="438">
        <v>3689095.1991000008</v>
      </c>
      <c r="F874" s="442">
        <v>3394193.3959000008</v>
      </c>
      <c r="G874" s="442">
        <v>989314.40550000034</v>
      </c>
      <c r="H874" s="442">
        <v>4468539.5328000002</v>
      </c>
      <c r="I874" s="442">
        <v>0</v>
      </c>
      <c r="J874" s="443">
        <v>1.8099999999999999E-5</v>
      </c>
      <c r="K874" s="443"/>
      <c r="L874" s="444">
        <v>810533.26080000005</v>
      </c>
      <c r="M874" s="444">
        <v>332343.43680000002</v>
      </c>
      <c r="N874" s="444">
        <v>-39956.467199999999</v>
      </c>
      <c r="O874" s="444">
        <v>0</v>
      </c>
      <c r="P874" s="417">
        <v>0</v>
      </c>
      <c r="Q874" s="378">
        <v>1.8099999999999999E-5</v>
      </c>
      <c r="R874" s="378"/>
      <c r="S874" s="70">
        <v>1970674.2912000001</v>
      </c>
      <c r="T874" s="105">
        <v>1844431.3728</v>
      </c>
      <c r="U874" s="70">
        <v>1095792.1536000001</v>
      </c>
      <c r="V874" s="70">
        <v>4468539.5328000002</v>
      </c>
      <c r="W874" s="417">
        <v>0</v>
      </c>
      <c r="X874" s="378">
        <v>1.8099999999999999E-5</v>
      </c>
      <c r="Z874" s="70">
        <v>1415780.9280000001</v>
      </c>
      <c r="AA874" s="70">
        <v>1415770.8672</v>
      </c>
      <c r="AB874" s="70">
        <v>0</v>
      </c>
      <c r="AC874" s="417">
        <v>0</v>
      </c>
      <c r="AD874" s="417">
        <v>0</v>
      </c>
      <c r="AE874" s="378">
        <v>1.8099999999999999E-5</v>
      </c>
      <c r="AF874" s="378"/>
      <c r="AG874" s="70">
        <v>0</v>
      </c>
      <c r="AH874" s="70">
        <v>0</v>
      </c>
      <c r="AI874" s="70">
        <v>0</v>
      </c>
      <c r="AJ874" s="417">
        <v>0</v>
      </c>
      <c r="AK874" s="417">
        <v>0</v>
      </c>
      <c r="AL874" s="378">
        <v>1.8099999999999999E-5</v>
      </c>
      <c r="AM874" s="378"/>
      <c r="AN874" s="70">
        <v>-507893.28089999966</v>
      </c>
      <c r="AO874" s="70">
        <v>-198352.28089999966</v>
      </c>
      <c r="AP874" s="70">
        <v>-66521.280899999663</v>
      </c>
      <c r="AQ874" s="417">
        <v>0</v>
      </c>
      <c r="AR874" s="417">
        <v>0</v>
      </c>
    </row>
    <row r="875" spans="1:44">
      <c r="A875" s="439">
        <v>99602</v>
      </c>
      <c r="B875" s="440" t="s">
        <v>1579</v>
      </c>
      <c r="C875" s="437">
        <v>6.0900000000000003E-5</v>
      </c>
      <c r="D875" s="441"/>
      <c r="E875" s="438">
        <v>45649.481025000001</v>
      </c>
      <c r="F875" s="442">
        <v>40436.858825000003</v>
      </c>
      <c r="G875" s="442">
        <v>10707.450424999997</v>
      </c>
      <c r="H875" s="442">
        <v>54097.8963</v>
      </c>
      <c r="I875" s="442">
        <v>0</v>
      </c>
      <c r="J875" s="443">
        <v>1.6647999999999999E-3</v>
      </c>
      <c r="K875" s="443"/>
      <c r="L875" s="444">
        <v>9812.6342999999997</v>
      </c>
      <c r="M875" s="444">
        <v>4023.4803000000002</v>
      </c>
      <c r="N875" s="444">
        <v>-483.7287</v>
      </c>
      <c r="O875" s="444">
        <v>0</v>
      </c>
      <c r="P875" s="417">
        <v>0</v>
      </c>
      <c r="Q875" s="378">
        <v>1.6647999999999999E-3</v>
      </c>
      <c r="R875" s="378"/>
      <c r="S875" s="70">
        <v>23857.757700000002</v>
      </c>
      <c r="T875" s="105">
        <v>22329.4113</v>
      </c>
      <c r="U875" s="70">
        <v>13266.090600000001</v>
      </c>
      <c r="V875" s="70">
        <v>54097.8963</v>
      </c>
      <c r="W875" s="417">
        <v>0</v>
      </c>
      <c r="X875" s="378">
        <v>1.6647999999999999E-3</v>
      </c>
      <c r="Z875" s="70">
        <v>17140.000500000002</v>
      </c>
      <c r="AA875" s="70">
        <v>17139.878700000001</v>
      </c>
      <c r="AB875" s="70">
        <v>0</v>
      </c>
      <c r="AC875" s="417">
        <v>0</v>
      </c>
      <c r="AD875" s="417">
        <v>0</v>
      </c>
      <c r="AE875" s="378">
        <v>1.6647999999999999E-3</v>
      </c>
      <c r="AF875" s="378"/>
      <c r="AG875" s="70">
        <v>0</v>
      </c>
      <c r="AH875" s="70">
        <v>0</v>
      </c>
      <c r="AI875" s="70">
        <v>0</v>
      </c>
      <c r="AJ875" s="417">
        <v>0</v>
      </c>
      <c r="AK875" s="417">
        <v>0</v>
      </c>
      <c r="AL875" s="378">
        <v>1.6647999999999999E-3</v>
      </c>
      <c r="AM875" s="378"/>
      <c r="AN875" s="70">
        <v>-5160.9114750000044</v>
      </c>
      <c r="AO875" s="70">
        <v>-3055.9114750000044</v>
      </c>
      <c r="AP875" s="70">
        <v>-2074.9114750000044</v>
      </c>
      <c r="AQ875" s="417">
        <v>0</v>
      </c>
      <c r="AR875" s="417">
        <v>0</v>
      </c>
    </row>
    <row r="876" spans="1:44">
      <c r="A876" s="439">
        <v>99603</v>
      </c>
      <c r="B876" s="440" t="s">
        <v>1580</v>
      </c>
      <c r="C876" s="437">
        <v>1.6330000000000001E-4</v>
      </c>
      <c r="D876" s="441"/>
      <c r="E876" s="438">
        <v>153648.35312500002</v>
      </c>
      <c r="F876" s="442">
        <v>136775.55172500003</v>
      </c>
      <c r="G876" s="442">
        <v>40053.280925000006</v>
      </c>
      <c r="H876" s="442">
        <v>145060.5331</v>
      </c>
      <c r="I876" s="442">
        <v>0</v>
      </c>
      <c r="J876" s="443">
        <v>1.5300000000000001E-4</v>
      </c>
      <c r="K876" s="443"/>
      <c r="L876" s="444">
        <v>26312.039100000002</v>
      </c>
      <c r="M876" s="444">
        <v>10788.741100000001</v>
      </c>
      <c r="N876" s="444">
        <v>-1297.0919000000001</v>
      </c>
      <c r="O876" s="444">
        <v>0</v>
      </c>
      <c r="P876" s="417">
        <v>0</v>
      </c>
      <c r="Q876" s="378">
        <v>1.5300000000000001E-4</v>
      </c>
      <c r="R876" s="378"/>
      <c r="S876" s="70">
        <v>63973.264900000002</v>
      </c>
      <c r="T876" s="105">
        <v>59875.088100000001</v>
      </c>
      <c r="U876" s="70">
        <v>35572.292200000004</v>
      </c>
      <c r="V876" s="70">
        <v>145060.5331</v>
      </c>
      <c r="W876" s="417">
        <v>0</v>
      </c>
      <c r="X876" s="378">
        <v>1.5300000000000001E-4</v>
      </c>
      <c r="Z876" s="70">
        <v>45959.968500000003</v>
      </c>
      <c r="AA876" s="70">
        <v>45959.641900000002</v>
      </c>
      <c r="AB876" s="70">
        <v>0</v>
      </c>
      <c r="AC876" s="417">
        <v>0</v>
      </c>
      <c r="AD876" s="417">
        <v>0</v>
      </c>
      <c r="AE876" s="378">
        <v>1.5300000000000001E-4</v>
      </c>
      <c r="AF876" s="378"/>
      <c r="AG876" s="70">
        <v>20152.080625000002</v>
      </c>
      <c r="AH876" s="70">
        <v>20152.080625000002</v>
      </c>
      <c r="AI876" s="70">
        <v>5778.0806250000023</v>
      </c>
      <c r="AJ876" s="417">
        <v>0</v>
      </c>
      <c r="AK876" s="417">
        <v>0</v>
      </c>
      <c r="AL876" s="378">
        <v>1.5300000000000001E-4</v>
      </c>
      <c r="AM876" s="378"/>
      <c r="AN876" s="70">
        <v>-2749</v>
      </c>
      <c r="AO876" s="70">
        <v>0</v>
      </c>
      <c r="AP876" s="70">
        <v>0</v>
      </c>
      <c r="AQ876" s="417">
        <v>0</v>
      </c>
      <c r="AR876" s="417">
        <v>0</v>
      </c>
    </row>
    <row r="877" spans="1:44">
      <c r="A877" s="439">
        <v>99604</v>
      </c>
      <c r="B877" s="440" t="s">
        <v>1581</v>
      </c>
      <c r="C877" s="437">
        <v>1.1510000000000001E-4</v>
      </c>
      <c r="D877" s="441"/>
      <c r="E877" s="438">
        <v>113087.417075</v>
      </c>
      <c r="F877" s="442">
        <v>91156.231274999998</v>
      </c>
      <c r="G877" s="442">
        <v>26098.063675000001</v>
      </c>
      <c r="H877" s="442">
        <v>102244.1357</v>
      </c>
      <c r="I877" s="442">
        <v>0</v>
      </c>
      <c r="J877" s="443">
        <v>2.1100000000000001E-5</v>
      </c>
      <c r="K877" s="443"/>
      <c r="L877" s="444">
        <v>18545.717700000001</v>
      </c>
      <c r="M877" s="444">
        <v>7604.3117000000002</v>
      </c>
      <c r="N877" s="444">
        <v>-914.23930000000007</v>
      </c>
      <c r="O877" s="444">
        <v>0</v>
      </c>
      <c r="P877" s="417">
        <v>0</v>
      </c>
      <c r="Q877" s="378">
        <v>2.1100000000000001E-5</v>
      </c>
      <c r="R877" s="378"/>
      <c r="S877" s="70">
        <v>45090.770300000004</v>
      </c>
      <c r="T877" s="105">
        <v>42202.220700000005</v>
      </c>
      <c r="U877" s="70">
        <v>25072.6934</v>
      </c>
      <c r="V877" s="70">
        <v>102244.1357</v>
      </c>
      <c r="W877" s="417">
        <v>0</v>
      </c>
      <c r="X877" s="378">
        <v>2.1100000000000001E-5</v>
      </c>
      <c r="Z877" s="70">
        <v>32394.319500000001</v>
      </c>
      <c r="AA877" s="70">
        <v>32394.089300000003</v>
      </c>
      <c r="AB877" s="70">
        <v>0</v>
      </c>
      <c r="AC877" s="417">
        <v>0</v>
      </c>
      <c r="AD877" s="417">
        <v>0</v>
      </c>
      <c r="AE877" s="378">
        <v>2.1100000000000001E-5</v>
      </c>
      <c r="AF877" s="378"/>
      <c r="AG877" s="70">
        <v>17056.609575000002</v>
      </c>
      <c r="AH877" s="70">
        <v>8955.6095750000022</v>
      </c>
      <c r="AI877" s="70">
        <v>1939.6095750000022</v>
      </c>
      <c r="AJ877" s="417">
        <v>0</v>
      </c>
      <c r="AK877" s="417">
        <v>0</v>
      </c>
      <c r="AL877" s="378">
        <v>2.1100000000000001E-5</v>
      </c>
      <c r="AM877" s="378"/>
      <c r="AN877" s="70">
        <v>0</v>
      </c>
      <c r="AO877" s="70">
        <v>0</v>
      </c>
      <c r="AP877" s="70">
        <v>0</v>
      </c>
      <c r="AQ877" s="417">
        <v>0</v>
      </c>
      <c r="AR877" s="417">
        <v>0</v>
      </c>
    </row>
    <row r="878" spans="1:44">
      <c r="A878" s="439">
        <v>99609</v>
      </c>
      <c r="B878" s="440" t="s">
        <v>1582</v>
      </c>
      <c r="C878" s="437">
        <v>3.4999999999999997E-5</v>
      </c>
      <c r="D878" s="441"/>
      <c r="E878" s="438">
        <v>30703.781950000004</v>
      </c>
      <c r="F878" s="442">
        <v>25368.251950000002</v>
      </c>
      <c r="G878" s="442">
        <v>7662.5919500000027</v>
      </c>
      <c r="H878" s="442">
        <v>31090.744999999999</v>
      </c>
      <c r="I878" s="442">
        <v>0</v>
      </c>
      <c r="J878" s="443">
        <v>2.1699999999999999E-5</v>
      </c>
      <c r="K878" s="443"/>
      <c r="L878" s="444">
        <v>5639.4449999999997</v>
      </c>
      <c r="M878" s="444">
        <v>2312.3449999999998</v>
      </c>
      <c r="N878" s="444">
        <v>-278.005</v>
      </c>
      <c r="O878" s="444">
        <v>0</v>
      </c>
      <c r="P878" s="417">
        <v>0</v>
      </c>
      <c r="Q878" s="378">
        <v>2.1699999999999999E-5</v>
      </c>
      <c r="R878" s="378"/>
      <c r="S878" s="70">
        <v>13711.355</v>
      </c>
      <c r="T878" s="105">
        <v>12832.994999999999</v>
      </c>
      <c r="U878" s="70">
        <v>7624.19</v>
      </c>
      <c r="V878" s="70">
        <v>31090.744999999999</v>
      </c>
      <c r="W878" s="417">
        <v>0</v>
      </c>
      <c r="X878" s="378">
        <v>2.1699999999999999E-5</v>
      </c>
      <c r="Z878" s="70">
        <v>9850.5749999999989</v>
      </c>
      <c r="AA878" s="70">
        <v>9850.5049999999992</v>
      </c>
      <c r="AB878" s="70">
        <v>0</v>
      </c>
      <c r="AC878" s="417">
        <v>0</v>
      </c>
      <c r="AD878" s="417">
        <v>0</v>
      </c>
      <c r="AE878" s="378">
        <v>2.1699999999999999E-5</v>
      </c>
      <c r="AF878" s="378"/>
      <c r="AG878" s="70">
        <v>1623.4069500000032</v>
      </c>
      <c r="AH878" s="70">
        <v>372.40695000000323</v>
      </c>
      <c r="AI878" s="70">
        <v>316.40695000000323</v>
      </c>
      <c r="AJ878" s="417">
        <v>0</v>
      </c>
      <c r="AK878" s="417">
        <v>0</v>
      </c>
      <c r="AL878" s="378">
        <v>2.1699999999999999E-5</v>
      </c>
      <c r="AM878" s="378"/>
      <c r="AN878" s="70">
        <v>-121</v>
      </c>
      <c r="AO878" s="70">
        <v>0</v>
      </c>
      <c r="AP878" s="70">
        <v>0</v>
      </c>
      <c r="AQ878" s="417">
        <v>0</v>
      </c>
      <c r="AR878" s="417">
        <v>0</v>
      </c>
    </row>
    <row r="879" spans="1:44">
      <c r="A879" s="439">
        <v>99610</v>
      </c>
      <c r="B879" s="440" t="s">
        <v>1583</v>
      </c>
      <c r="C879" s="437">
        <v>1.9129999999999999E-4</v>
      </c>
      <c r="D879" s="441"/>
      <c r="E879" s="438">
        <v>175873.45877500001</v>
      </c>
      <c r="F879" s="442">
        <v>152591.23337500001</v>
      </c>
      <c r="G879" s="442">
        <v>48440.234574999988</v>
      </c>
      <c r="H879" s="442">
        <v>169933.12909999999</v>
      </c>
      <c r="I879" s="442">
        <v>0</v>
      </c>
      <c r="J879" s="443">
        <v>1.3062E-3</v>
      </c>
      <c r="K879" s="443"/>
      <c r="L879" s="444">
        <v>30823.595099999999</v>
      </c>
      <c r="M879" s="444">
        <v>12638.617099999999</v>
      </c>
      <c r="N879" s="444">
        <v>-1519.4958999999999</v>
      </c>
      <c r="O879" s="444">
        <v>0</v>
      </c>
      <c r="P879" s="417">
        <v>0</v>
      </c>
      <c r="Q879" s="378">
        <v>1.3062E-3</v>
      </c>
      <c r="R879" s="378"/>
      <c r="S879" s="70">
        <v>74942.348899999997</v>
      </c>
      <c r="T879" s="105">
        <v>70141.484100000001</v>
      </c>
      <c r="U879" s="70">
        <v>41671.644199999995</v>
      </c>
      <c r="V879" s="70">
        <v>169933.12909999999</v>
      </c>
      <c r="W879" s="417">
        <v>0</v>
      </c>
      <c r="X879" s="378">
        <v>1.3062E-3</v>
      </c>
      <c r="Z879" s="70">
        <v>53840.428499999995</v>
      </c>
      <c r="AA879" s="70">
        <v>53840.045899999997</v>
      </c>
      <c r="AB879" s="70">
        <v>0</v>
      </c>
      <c r="AC879" s="417">
        <v>0</v>
      </c>
      <c r="AD879" s="417">
        <v>0</v>
      </c>
      <c r="AE879" s="378">
        <v>1.3062E-3</v>
      </c>
      <c r="AF879" s="378"/>
      <c r="AG879" s="70">
        <v>18689.086274999994</v>
      </c>
      <c r="AH879" s="70">
        <v>15971.086274999994</v>
      </c>
      <c r="AI879" s="70">
        <v>8288.0862749999942</v>
      </c>
      <c r="AJ879" s="417">
        <v>0</v>
      </c>
      <c r="AK879" s="417">
        <v>0</v>
      </c>
      <c r="AL879" s="378">
        <v>1.3062E-3</v>
      </c>
      <c r="AM879" s="378"/>
      <c r="AN879" s="70">
        <v>-2422</v>
      </c>
      <c r="AO879" s="70">
        <v>0</v>
      </c>
      <c r="AP879" s="70">
        <v>0</v>
      </c>
      <c r="AQ879" s="417">
        <v>0</v>
      </c>
      <c r="AR879" s="417">
        <v>0</v>
      </c>
    </row>
    <row r="880" spans="1:44">
      <c r="A880" s="439">
        <v>99611</v>
      </c>
      <c r="B880" s="440" t="s">
        <v>1584</v>
      </c>
      <c r="C880" s="437">
        <v>2.7542000000000001E-3</v>
      </c>
      <c r="D880" s="441"/>
      <c r="E880" s="438">
        <v>1971759.2615999999</v>
      </c>
      <c r="F880" s="442">
        <v>1688457.0979999998</v>
      </c>
      <c r="G880" s="442">
        <v>369295.13879999972</v>
      </c>
      <c r="H880" s="442">
        <v>2446575.1394000002</v>
      </c>
      <c r="I880" s="442">
        <v>0</v>
      </c>
      <c r="J880" s="443">
        <v>5.2010000000000001E-4</v>
      </c>
      <c r="K880" s="443"/>
      <c r="L880" s="444">
        <v>443775.98340000003</v>
      </c>
      <c r="M880" s="444">
        <v>181961.73139999999</v>
      </c>
      <c r="N880" s="444">
        <v>-21876.6106</v>
      </c>
      <c r="O880" s="444">
        <v>0</v>
      </c>
      <c r="P880" s="417">
        <v>0</v>
      </c>
      <c r="Q880" s="378">
        <v>5.2010000000000001E-4</v>
      </c>
      <c r="R880" s="378"/>
      <c r="S880" s="70">
        <v>1078966.1126000001</v>
      </c>
      <c r="T880" s="105">
        <v>1009846.7094000001</v>
      </c>
      <c r="U880" s="70">
        <v>599958.40280000004</v>
      </c>
      <c r="V880" s="70">
        <v>2446575.1394000002</v>
      </c>
      <c r="W880" s="417">
        <v>0</v>
      </c>
      <c r="X880" s="378">
        <v>5.2010000000000001E-4</v>
      </c>
      <c r="Z880" s="70">
        <v>775155.81900000002</v>
      </c>
      <c r="AA880" s="70">
        <v>775150.31059999997</v>
      </c>
      <c r="AB880" s="70">
        <v>0</v>
      </c>
      <c r="AC880" s="417">
        <v>0</v>
      </c>
      <c r="AD880" s="417">
        <v>0</v>
      </c>
      <c r="AE880" s="378">
        <v>5.2010000000000001E-4</v>
      </c>
      <c r="AF880" s="378"/>
      <c r="AG880" s="70">
        <v>0</v>
      </c>
      <c r="AH880" s="70">
        <v>0</v>
      </c>
      <c r="AI880" s="70">
        <v>0</v>
      </c>
      <c r="AJ880" s="417">
        <v>0</v>
      </c>
      <c r="AK880" s="417">
        <v>0</v>
      </c>
      <c r="AL880" s="378">
        <v>5.2010000000000001E-4</v>
      </c>
      <c r="AM880" s="378"/>
      <c r="AN880" s="70">
        <v>-326138.6534000003</v>
      </c>
      <c r="AO880" s="70">
        <v>-278501.6534000003</v>
      </c>
      <c r="AP880" s="70">
        <v>-208786.6534000003</v>
      </c>
      <c r="AQ880" s="417">
        <v>0</v>
      </c>
      <c r="AR880" s="417">
        <v>0</v>
      </c>
    </row>
    <row r="881" spans="1:44">
      <c r="A881" s="439">
        <v>99613</v>
      </c>
      <c r="B881" s="440" t="s">
        <v>1585</v>
      </c>
      <c r="C881" s="437">
        <v>3.5349999999999997E-4</v>
      </c>
      <c r="D881" s="441"/>
      <c r="E881" s="438">
        <v>304905.36687499995</v>
      </c>
      <c r="F881" s="442">
        <v>271913.51387499995</v>
      </c>
      <c r="G881" s="442">
        <v>76389.947875000013</v>
      </c>
      <c r="H881" s="442">
        <v>314016.5245</v>
      </c>
      <c r="I881" s="442">
        <v>0</v>
      </c>
      <c r="J881" s="443">
        <v>1.04E-5</v>
      </c>
      <c r="K881" s="443"/>
      <c r="L881" s="444">
        <v>56958.394499999995</v>
      </c>
      <c r="M881" s="444">
        <v>23354.684499999999</v>
      </c>
      <c r="N881" s="444">
        <v>-2807.8505</v>
      </c>
      <c r="O881" s="444">
        <v>0</v>
      </c>
      <c r="P881" s="417">
        <v>0</v>
      </c>
      <c r="Q881" s="378">
        <v>1.04E-5</v>
      </c>
      <c r="R881" s="378"/>
      <c r="S881" s="70">
        <v>138484.68549999999</v>
      </c>
      <c r="T881" s="105">
        <v>129613.24949999999</v>
      </c>
      <c r="U881" s="70">
        <v>77004.318999999989</v>
      </c>
      <c r="V881" s="70">
        <v>314016.5245</v>
      </c>
      <c r="W881" s="417">
        <v>0</v>
      </c>
      <c r="X881" s="378">
        <v>1.04E-5</v>
      </c>
      <c r="Z881" s="70">
        <v>99490.807499999995</v>
      </c>
      <c r="AA881" s="70">
        <v>99490.100499999986</v>
      </c>
      <c r="AB881" s="70">
        <v>0</v>
      </c>
      <c r="AC881" s="417">
        <v>0</v>
      </c>
      <c r="AD881" s="417">
        <v>0</v>
      </c>
      <c r="AE881" s="378">
        <v>1.04E-5</v>
      </c>
      <c r="AF881" s="378"/>
      <c r="AG881" s="70">
        <v>19455.479375000024</v>
      </c>
      <c r="AH881" s="70">
        <v>19455.479375000024</v>
      </c>
      <c r="AI881" s="70">
        <v>2193.4793750000244</v>
      </c>
      <c r="AJ881" s="417">
        <v>0</v>
      </c>
      <c r="AK881" s="417">
        <v>0</v>
      </c>
      <c r="AL881" s="378">
        <v>1.04E-5</v>
      </c>
      <c r="AM881" s="378"/>
      <c r="AN881" s="70">
        <v>-9484</v>
      </c>
      <c r="AO881" s="70">
        <v>0</v>
      </c>
      <c r="AP881" s="70">
        <v>0</v>
      </c>
      <c r="AQ881" s="417">
        <v>0</v>
      </c>
      <c r="AR881" s="417">
        <v>0</v>
      </c>
    </row>
    <row r="882" spans="1:44">
      <c r="A882" s="439">
        <v>99621</v>
      </c>
      <c r="B882" s="440" t="s">
        <v>1586</v>
      </c>
      <c r="C882" s="437">
        <v>3.6200000000000002E-4</v>
      </c>
      <c r="D882" s="441"/>
      <c r="E882" s="438">
        <v>307402.88365000003</v>
      </c>
      <c r="F882" s="442">
        <v>276065.68764999998</v>
      </c>
      <c r="G882" s="442">
        <v>89114.775650000025</v>
      </c>
      <c r="H882" s="442">
        <v>321567.13400000002</v>
      </c>
      <c r="I882" s="442">
        <v>0</v>
      </c>
      <c r="J882" s="443">
        <v>8.7800000000000006E-5</v>
      </c>
      <c r="K882" s="443"/>
      <c r="L882" s="444">
        <v>58327.974000000002</v>
      </c>
      <c r="M882" s="444">
        <v>23916.254000000001</v>
      </c>
      <c r="N882" s="444">
        <v>-2875.366</v>
      </c>
      <c r="O882" s="444">
        <v>0</v>
      </c>
      <c r="P882" s="417">
        <v>0</v>
      </c>
      <c r="Q882" s="378">
        <v>8.7800000000000006E-5</v>
      </c>
      <c r="R882" s="378"/>
      <c r="S882" s="70">
        <v>141814.58600000001</v>
      </c>
      <c r="T882" s="105">
        <v>132729.834</v>
      </c>
      <c r="U882" s="70">
        <v>78855.90800000001</v>
      </c>
      <c r="V882" s="70">
        <v>321567.13400000002</v>
      </c>
      <c r="W882" s="417">
        <v>0</v>
      </c>
      <c r="X882" s="378">
        <v>8.7800000000000006E-5</v>
      </c>
      <c r="Z882" s="70">
        <v>101883.09000000001</v>
      </c>
      <c r="AA882" s="70">
        <v>101882.36600000001</v>
      </c>
      <c r="AB882" s="70">
        <v>0</v>
      </c>
      <c r="AC882" s="417">
        <v>0</v>
      </c>
      <c r="AD882" s="417">
        <v>0</v>
      </c>
      <c r="AE882" s="378">
        <v>8.7800000000000006E-5</v>
      </c>
      <c r="AF882" s="378"/>
      <c r="AG882" s="70">
        <v>17537.233650000009</v>
      </c>
      <c r="AH882" s="70">
        <v>17537.233650000009</v>
      </c>
      <c r="AI882" s="70">
        <v>13134.233650000009</v>
      </c>
      <c r="AJ882" s="417">
        <v>0</v>
      </c>
      <c r="AK882" s="417">
        <v>0</v>
      </c>
      <c r="AL882" s="378">
        <v>8.7800000000000006E-5</v>
      </c>
      <c r="AM882" s="378"/>
      <c r="AN882" s="70">
        <v>-12160</v>
      </c>
      <c r="AO882" s="70">
        <v>0</v>
      </c>
      <c r="AP882" s="70">
        <v>0</v>
      </c>
      <c r="AQ882" s="417">
        <v>0</v>
      </c>
      <c r="AR882" s="417">
        <v>0</v>
      </c>
    </row>
    <row r="883" spans="1:44">
      <c r="A883" s="439">
        <v>99623</v>
      </c>
      <c r="B883" s="440" t="s">
        <v>1587</v>
      </c>
      <c r="C883" s="437">
        <v>1.52E-5</v>
      </c>
      <c r="D883" s="441"/>
      <c r="E883" s="438">
        <v>9434.4039000000012</v>
      </c>
      <c r="F883" s="442">
        <v>9716.0023000000001</v>
      </c>
      <c r="G883" s="442">
        <v>2374.0071000000003</v>
      </c>
      <c r="H883" s="442">
        <v>13502.2664</v>
      </c>
      <c r="I883" s="442">
        <v>0</v>
      </c>
      <c r="J883" s="443">
        <v>5.0832000000000004E-3</v>
      </c>
      <c r="K883" s="443"/>
      <c r="L883" s="444">
        <v>2449.1304</v>
      </c>
      <c r="M883" s="444">
        <v>1004.2184</v>
      </c>
      <c r="N883" s="444">
        <v>-120.7336</v>
      </c>
      <c r="O883" s="444">
        <v>0</v>
      </c>
      <c r="P883" s="417">
        <v>0</v>
      </c>
      <c r="Q883" s="378">
        <v>5.0832000000000004E-3</v>
      </c>
      <c r="R883" s="378"/>
      <c r="S883" s="70">
        <v>5954.6455999999998</v>
      </c>
      <c r="T883" s="105">
        <v>5573.1864000000005</v>
      </c>
      <c r="U883" s="70">
        <v>3311.0767999999998</v>
      </c>
      <c r="V883" s="70">
        <v>13502.2664</v>
      </c>
      <c r="W883" s="417">
        <v>0</v>
      </c>
      <c r="X883" s="378">
        <v>5.0832000000000004E-3</v>
      </c>
      <c r="Z883" s="70">
        <v>4277.9639999999999</v>
      </c>
      <c r="AA883" s="70">
        <v>4277.9336000000003</v>
      </c>
      <c r="AB883" s="70">
        <v>0</v>
      </c>
      <c r="AC883" s="417">
        <v>0</v>
      </c>
      <c r="AD883" s="417">
        <v>0</v>
      </c>
      <c r="AE883" s="378">
        <v>5.0832000000000004E-3</v>
      </c>
      <c r="AF883" s="378"/>
      <c r="AG883" s="70">
        <v>2727</v>
      </c>
      <c r="AH883" s="70">
        <v>0</v>
      </c>
      <c r="AI883" s="70">
        <v>0</v>
      </c>
      <c r="AJ883" s="417">
        <v>0</v>
      </c>
      <c r="AK883" s="417">
        <v>0</v>
      </c>
      <c r="AL883" s="378">
        <v>5.0832000000000004E-3</v>
      </c>
      <c r="AM883" s="378"/>
      <c r="AN883" s="70">
        <v>-5974.3360999999995</v>
      </c>
      <c r="AO883" s="70">
        <v>-1139.3360999999995</v>
      </c>
      <c r="AP883" s="70">
        <v>-816.33609999999953</v>
      </c>
      <c r="AQ883" s="417">
        <v>0</v>
      </c>
      <c r="AR883" s="417">
        <v>0</v>
      </c>
    </row>
    <row r="884" spans="1:44">
      <c r="A884" s="439">
        <v>99624</v>
      </c>
      <c r="B884" s="440" t="s">
        <v>3759</v>
      </c>
      <c r="C884" s="437">
        <v>7.8200000000000003E-5</v>
      </c>
      <c r="D884" s="441"/>
      <c r="E884" s="438">
        <v>112310.88834999999</v>
      </c>
      <c r="F884" s="442">
        <v>102914.53275</v>
      </c>
      <c r="G884" s="442">
        <v>63480.149550000002</v>
      </c>
      <c r="H884" s="442">
        <v>69465.607400000008</v>
      </c>
      <c r="I884" s="442">
        <v>0</v>
      </c>
      <c r="J884" s="443">
        <v>6.1600000000000007E-5</v>
      </c>
      <c r="K884" s="443"/>
      <c r="L884" s="444">
        <v>12600.1314</v>
      </c>
      <c r="M884" s="444">
        <v>5166.4394000000002</v>
      </c>
      <c r="N884" s="444">
        <v>-621.14260000000002</v>
      </c>
      <c r="O884" s="444">
        <v>0</v>
      </c>
      <c r="P884" s="417">
        <v>0</v>
      </c>
      <c r="Q884" s="378">
        <v>6.1600000000000007E-5</v>
      </c>
      <c r="R884" s="378"/>
      <c r="S884" s="70">
        <v>30635.084600000002</v>
      </c>
      <c r="T884" s="105">
        <v>28672.577400000002</v>
      </c>
      <c r="U884" s="70">
        <v>17034.6188</v>
      </c>
      <c r="V884" s="70">
        <v>69465.607400000008</v>
      </c>
      <c r="W884" s="417">
        <v>0</v>
      </c>
      <c r="X884" s="378">
        <v>6.1600000000000007E-5</v>
      </c>
      <c r="Z884" s="70">
        <v>22008.999</v>
      </c>
      <c r="AA884" s="70">
        <v>22008.8426</v>
      </c>
      <c r="AB884" s="70">
        <v>0</v>
      </c>
      <c r="AC884" s="417">
        <v>0</v>
      </c>
      <c r="AD884" s="417">
        <v>0</v>
      </c>
      <c r="AE884" s="378">
        <v>6.1600000000000007E-5</v>
      </c>
      <c r="AF884" s="378"/>
      <c r="AG884" s="70">
        <v>47066.673349999997</v>
      </c>
      <c r="AH884" s="70">
        <v>47066.673349999997</v>
      </c>
      <c r="AI884" s="70">
        <v>47066.673349999997</v>
      </c>
      <c r="AJ884" s="417">
        <v>0</v>
      </c>
      <c r="AK884" s="417">
        <v>0</v>
      </c>
      <c r="AL884" s="378">
        <v>6.1600000000000007E-5</v>
      </c>
      <c r="AM884" s="378"/>
      <c r="AN884" s="70">
        <v>0</v>
      </c>
      <c r="AO884" s="70">
        <v>0</v>
      </c>
      <c r="AP884" s="70">
        <v>0</v>
      </c>
      <c r="AQ884" s="417">
        <v>0</v>
      </c>
      <c r="AR884" s="417">
        <v>0</v>
      </c>
    </row>
    <row r="885" spans="1:44">
      <c r="A885" s="439">
        <v>99631</v>
      </c>
      <c r="B885" s="440" t="s">
        <v>1588</v>
      </c>
      <c r="C885" s="437">
        <v>6.4900000000000005E-5</v>
      </c>
      <c r="D885" s="441"/>
      <c r="E885" s="438">
        <v>34501.509475000013</v>
      </c>
      <c r="F885" s="442">
        <v>41468.255275000003</v>
      </c>
      <c r="G885" s="442">
        <v>4163.7428750000054</v>
      </c>
      <c r="H885" s="442">
        <v>57651.124300000003</v>
      </c>
      <c r="I885" s="442">
        <v>0</v>
      </c>
      <c r="J885" s="443">
        <v>1.6080000000000001E-4</v>
      </c>
      <c r="K885" s="443"/>
      <c r="L885" s="444">
        <v>10457.142300000001</v>
      </c>
      <c r="M885" s="444">
        <v>4287.7483000000002</v>
      </c>
      <c r="N885" s="444">
        <v>-515.50070000000005</v>
      </c>
      <c r="O885" s="444">
        <v>0</v>
      </c>
      <c r="P885" s="417">
        <v>0</v>
      </c>
      <c r="Q885" s="378">
        <v>1.6080000000000001E-4</v>
      </c>
      <c r="R885" s="378"/>
      <c r="S885" s="70">
        <v>25424.769700000001</v>
      </c>
      <c r="T885" s="105">
        <v>23796.0393</v>
      </c>
      <c r="U885" s="70">
        <v>14137.426600000001</v>
      </c>
      <c r="V885" s="70">
        <v>57651.124300000003</v>
      </c>
      <c r="W885" s="417">
        <v>0</v>
      </c>
      <c r="X885" s="378">
        <v>1.6080000000000001E-4</v>
      </c>
      <c r="Z885" s="70">
        <v>18265.780500000001</v>
      </c>
      <c r="AA885" s="70">
        <v>18265.650700000002</v>
      </c>
      <c r="AB885" s="70">
        <v>0</v>
      </c>
      <c r="AC885" s="417">
        <v>0</v>
      </c>
      <c r="AD885" s="417">
        <v>0</v>
      </c>
      <c r="AE885" s="378">
        <v>1.6080000000000001E-4</v>
      </c>
      <c r="AF885" s="378"/>
      <c r="AG885" s="70">
        <v>4577</v>
      </c>
      <c r="AH885" s="70">
        <v>4577</v>
      </c>
      <c r="AI885" s="70">
        <v>0</v>
      </c>
      <c r="AJ885" s="417">
        <v>0</v>
      </c>
      <c r="AK885" s="417">
        <v>0</v>
      </c>
      <c r="AL885" s="378">
        <v>1.6080000000000001E-4</v>
      </c>
      <c r="AM885" s="378"/>
      <c r="AN885" s="70">
        <v>-24223.183024999995</v>
      </c>
      <c r="AO885" s="70">
        <v>-9458.1830249999948</v>
      </c>
      <c r="AP885" s="70">
        <v>-9458.1830249999948</v>
      </c>
      <c r="AQ885" s="417">
        <v>0</v>
      </c>
      <c r="AR885" s="417">
        <v>0</v>
      </c>
    </row>
    <row r="886" spans="1:44">
      <c r="A886" s="439">
        <v>99651</v>
      </c>
      <c r="B886" s="440" t="s">
        <v>1589</v>
      </c>
      <c r="C886" s="437">
        <v>3.0000000000000001E-5</v>
      </c>
      <c r="D886" s="441"/>
      <c r="E886" s="438">
        <v>7882.2176500000023</v>
      </c>
      <c r="F886" s="442">
        <v>3423.4776500000044</v>
      </c>
      <c r="G886" s="442">
        <v>-4500.8023499999972</v>
      </c>
      <c r="H886" s="442">
        <v>26649.21</v>
      </c>
      <c r="I886" s="442">
        <v>0</v>
      </c>
      <c r="J886" s="443">
        <v>1.142E-4</v>
      </c>
      <c r="K886" s="443"/>
      <c r="L886" s="444">
        <v>4833.8100000000004</v>
      </c>
      <c r="M886" s="444">
        <v>1982.01</v>
      </c>
      <c r="N886" s="444">
        <v>-238.29</v>
      </c>
      <c r="O886" s="444">
        <v>0</v>
      </c>
      <c r="P886" s="417">
        <v>0</v>
      </c>
      <c r="Q886" s="378">
        <v>1.142E-4</v>
      </c>
      <c r="R886" s="378"/>
      <c r="S886" s="70">
        <v>11752.59</v>
      </c>
      <c r="T886" s="105">
        <v>10999.710000000001</v>
      </c>
      <c r="U886" s="70">
        <v>6535.02</v>
      </c>
      <c r="V886" s="70">
        <v>26649.21</v>
      </c>
      <c r="W886" s="417">
        <v>0</v>
      </c>
      <c r="X886" s="378">
        <v>1.142E-4</v>
      </c>
      <c r="Z886" s="70">
        <v>8443.35</v>
      </c>
      <c r="AA886" s="70">
        <v>8443.2900000000009</v>
      </c>
      <c r="AB886" s="70">
        <v>0</v>
      </c>
      <c r="AC886" s="417">
        <v>0</v>
      </c>
      <c r="AD886" s="417">
        <v>0</v>
      </c>
      <c r="AE886" s="378">
        <v>1.142E-4</v>
      </c>
      <c r="AF886" s="378"/>
      <c r="AG886" s="70">
        <v>1911</v>
      </c>
      <c r="AH886" s="70">
        <v>0</v>
      </c>
      <c r="AI886" s="70">
        <v>0</v>
      </c>
      <c r="AJ886" s="417">
        <v>0</v>
      </c>
      <c r="AK886" s="417">
        <v>0</v>
      </c>
      <c r="AL886" s="378">
        <v>1.142E-4</v>
      </c>
      <c r="AM886" s="378"/>
      <c r="AN886" s="70">
        <v>-19058.532349999998</v>
      </c>
      <c r="AO886" s="70">
        <v>-18001.532349999998</v>
      </c>
      <c r="AP886" s="70">
        <v>-10797.532349999998</v>
      </c>
      <c r="AQ886" s="417">
        <v>0</v>
      </c>
      <c r="AR886" s="417">
        <v>0</v>
      </c>
    </row>
    <row r="887" spans="1:44">
      <c r="A887" s="439">
        <v>99661</v>
      </c>
      <c r="B887" s="440" t="s">
        <v>1590</v>
      </c>
      <c r="C887" s="437">
        <v>3.57E-5</v>
      </c>
      <c r="D887" s="441"/>
      <c r="E887" s="438">
        <v>45140.467624999997</v>
      </c>
      <c r="F887" s="442">
        <v>30989.827024999999</v>
      </c>
      <c r="G887" s="442">
        <v>10152.173825</v>
      </c>
      <c r="H887" s="442">
        <v>31712.5599</v>
      </c>
      <c r="I887" s="442">
        <v>0</v>
      </c>
      <c r="J887" s="443">
        <v>3.0599999999999998E-5</v>
      </c>
      <c r="K887" s="443"/>
      <c r="L887" s="444">
        <v>5752.2339000000002</v>
      </c>
      <c r="M887" s="444">
        <v>2358.5918999999999</v>
      </c>
      <c r="N887" s="444">
        <v>-283.56510000000003</v>
      </c>
      <c r="O887" s="444">
        <v>0</v>
      </c>
      <c r="P887" s="417">
        <v>0</v>
      </c>
      <c r="Q887" s="378">
        <v>3.0599999999999998E-5</v>
      </c>
      <c r="R887" s="378"/>
      <c r="S887" s="70">
        <v>13985.5821</v>
      </c>
      <c r="T887" s="105">
        <v>13089.6549</v>
      </c>
      <c r="U887" s="70">
        <v>7776.6738000000005</v>
      </c>
      <c r="V887" s="70">
        <v>31712.5599</v>
      </c>
      <c r="W887" s="417">
        <v>0</v>
      </c>
      <c r="X887" s="378">
        <v>3.0599999999999998E-5</v>
      </c>
      <c r="Z887" s="70">
        <v>10047.586499999999</v>
      </c>
      <c r="AA887" s="70">
        <v>10047.515100000001</v>
      </c>
      <c r="AB887" s="70">
        <v>0</v>
      </c>
      <c r="AC887" s="417">
        <v>0</v>
      </c>
      <c r="AD887" s="417">
        <v>0</v>
      </c>
      <c r="AE887" s="378">
        <v>3.0599999999999998E-5</v>
      </c>
      <c r="AF887" s="378"/>
      <c r="AG887" s="70">
        <v>15355.065124999999</v>
      </c>
      <c r="AH887" s="70">
        <v>5494.0651249999992</v>
      </c>
      <c r="AI887" s="70">
        <v>2659.0651249999992</v>
      </c>
      <c r="AJ887" s="417">
        <v>0</v>
      </c>
      <c r="AK887" s="417">
        <v>0</v>
      </c>
      <c r="AL887" s="378">
        <v>3.0599999999999998E-5</v>
      </c>
      <c r="AM887" s="378"/>
      <c r="AN887" s="70">
        <v>0</v>
      </c>
      <c r="AO887" s="70">
        <v>0</v>
      </c>
      <c r="AP887" s="70">
        <v>0</v>
      </c>
      <c r="AQ887" s="417">
        <v>0</v>
      </c>
      <c r="AR887" s="417">
        <v>0</v>
      </c>
    </row>
    <row r="888" spans="1:44">
      <c r="A888" s="439">
        <v>99701</v>
      </c>
      <c r="B888" s="440" t="s">
        <v>1591</v>
      </c>
      <c r="C888" s="437">
        <v>3.0403000000000001E-3</v>
      </c>
      <c r="D888" s="441"/>
      <c r="E888" s="438">
        <v>2465940.5198750002</v>
      </c>
      <c r="F888" s="442">
        <v>2086789.1524750001</v>
      </c>
      <c r="G888" s="442">
        <v>598129.82967500004</v>
      </c>
      <c r="H888" s="442">
        <v>2700719.7721000002</v>
      </c>
      <c r="I888" s="442">
        <v>0</v>
      </c>
      <c r="J888" s="443">
        <v>1.7650000000000001E-4</v>
      </c>
      <c r="K888" s="443"/>
      <c r="L888" s="444">
        <v>489874.41810000001</v>
      </c>
      <c r="M888" s="444">
        <v>200863.5001</v>
      </c>
      <c r="N888" s="444">
        <v>-24149.102900000002</v>
      </c>
      <c r="O888" s="444">
        <v>0</v>
      </c>
      <c r="P888" s="417">
        <v>0</v>
      </c>
      <c r="Q888" s="378">
        <v>1.7650000000000001E-4</v>
      </c>
      <c r="R888" s="378"/>
      <c r="S888" s="70">
        <v>1191046.6459000001</v>
      </c>
      <c r="T888" s="105">
        <v>1114747.2771000001</v>
      </c>
      <c r="U888" s="70">
        <v>662280.71019999997</v>
      </c>
      <c r="V888" s="70">
        <v>2700719.7721000002</v>
      </c>
      <c r="W888" s="417">
        <v>0</v>
      </c>
      <c r="X888" s="378">
        <v>1.7650000000000001E-4</v>
      </c>
      <c r="Z888" s="70">
        <v>855677.23350000009</v>
      </c>
      <c r="AA888" s="70">
        <v>855671.15289999999</v>
      </c>
      <c r="AB888" s="70">
        <v>0</v>
      </c>
      <c r="AC888" s="417">
        <v>0</v>
      </c>
      <c r="AD888" s="417">
        <v>0</v>
      </c>
      <c r="AE888" s="378">
        <v>1.7650000000000001E-4</v>
      </c>
      <c r="AF888" s="378"/>
      <c r="AG888" s="70">
        <v>17246</v>
      </c>
      <c r="AH888" s="70">
        <v>0</v>
      </c>
      <c r="AI888" s="70">
        <v>0</v>
      </c>
      <c r="AJ888" s="417">
        <v>0</v>
      </c>
      <c r="AK888" s="417">
        <v>0</v>
      </c>
      <c r="AL888" s="378">
        <v>1.7650000000000001E-4</v>
      </c>
      <c r="AM888" s="378"/>
      <c r="AN888" s="70">
        <v>-87903.777624999871</v>
      </c>
      <c r="AO888" s="70">
        <v>-84492.777624999871</v>
      </c>
      <c r="AP888" s="70">
        <v>-40001.777624999871</v>
      </c>
      <c r="AQ888" s="417">
        <v>0</v>
      </c>
      <c r="AR888" s="417">
        <v>0</v>
      </c>
    </row>
    <row r="889" spans="1:44">
      <c r="A889" s="439">
        <v>99705</v>
      </c>
      <c r="B889" s="440" t="s">
        <v>1592</v>
      </c>
      <c r="C889" s="437">
        <v>1.4669999999999999E-4</v>
      </c>
      <c r="D889" s="441"/>
      <c r="E889" s="438">
        <v>137171.71967499997</v>
      </c>
      <c r="F889" s="442">
        <v>106988.54107499997</v>
      </c>
      <c r="G889" s="442">
        <v>23919.25187499998</v>
      </c>
      <c r="H889" s="442">
        <v>130314.63689999998</v>
      </c>
      <c r="I889" s="442">
        <v>0</v>
      </c>
      <c r="J889" s="443">
        <v>3.1145000000000001E-3</v>
      </c>
      <c r="K889" s="443"/>
      <c r="L889" s="444">
        <v>23637.330899999997</v>
      </c>
      <c r="M889" s="444">
        <v>9692.0288999999993</v>
      </c>
      <c r="N889" s="444">
        <v>-1165.2380999999998</v>
      </c>
      <c r="O889" s="444">
        <v>0</v>
      </c>
      <c r="P889" s="417">
        <v>0</v>
      </c>
      <c r="Q889" s="378">
        <v>3.1145000000000001E-3</v>
      </c>
      <c r="R889" s="378"/>
      <c r="S889" s="70">
        <v>57470.165099999998</v>
      </c>
      <c r="T889" s="105">
        <v>53788.581899999997</v>
      </c>
      <c r="U889" s="70">
        <v>31956.247799999997</v>
      </c>
      <c r="V889" s="70">
        <v>130314.63689999998</v>
      </c>
      <c r="W889" s="417">
        <v>0</v>
      </c>
      <c r="X889" s="378">
        <v>3.1145000000000001E-3</v>
      </c>
      <c r="Z889" s="70">
        <v>41287.981499999994</v>
      </c>
      <c r="AA889" s="70">
        <v>41287.688099999999</v>
      </c>
      <c r="AB889" s="70">
        <v>0</v>
      </c>
      <c r="AC889" s="417">
        <v>0</v>
      </c>
      <c r="AD889" s="417">
        <v>0</v>
      </c>
      <c r="AE889" s="378">
        <v>3.1145000000000001E-3</v>
      </c>
      <c r="AF889" s="378"/>
      <c r="AG889" s="70">
        <v>21648</v>
      </c>
      <c r="AH889" s="70">
        <v>9092</v>
      </c>
      <c r="AI889" s="70">
        <v>0</v>
      </c>
      <c r="AJ889" s="417">
        <v>0</v>
      </c>
      <c r="AK889" s="417">
        <v>0</v>
      </c>
      <c r="AL889" s="378">
        <v>3.1145000000000001E-3</v>
      </c>
      <c r="AM889" s="378"/>
      <c r="AN889" s="70">
        <v>-6871.7578250000188</v>
      </c>
      <c r="AO889" s="70">
        <v>-6871.7578250000188</v>
      </c>
      <c r="AP889" s="70">
        <v>-6871.7578250000188</v>
      </c>
      <c r="AQ889" s="417">
        <v>0</v>
      </c>
      <c r="AR889" s="417">
        <v>0</v>
      </c>
    </row>
    <row r="890" spans="1:44">
      <c r="A890" s="439">
        <v>99711</v>
      </c>
      <c r="B890" s="440" t="s">
        <v>1593</v>
      </c>
      <c r="C890" s="437">
        <v>3.7399999999999998E-4</v>
      </c>
      <c r="D890" s="441"/>
      <c r="E890" s="438">
        <v>290488.67744999996</v>
      </c>
      <c r="F890" s="442">
        <v>244339.58544999996</v>
      </c>
      <c r="G890" s="442">
        <v>71630.361449999968</v>
      </c>
      <c r="H890" s="442">
        <v>332226.81799999997</v>
      </c>
      <c r="I890" s="442">
        <v>0</v>
      </c>
      <c r="J890" s="443">
        <v>3.5100000000000002E-4</v>
      </c>
      <c r="K890" s="443"/>
      <c r="L890" s="444">
        <v>60261.498</v>
      </c>
      <c r="M890" s="444">
        <v>24709.057999999997</v>
      </c>
      <c r="N890" s="444">
        <v>-2970.6819999999998</v>
      </c>
      <c r="O890" s="444">
        <v>0</v>
      </c>
      <c r="P890" s="417">
        <v>0</v>
      </c>
      <c r="Q890" s="378">
        <v>3.5100000000000002E-4</v>
      </c>
      <c r="R890" s="378"/>
      <c r="S890" s="70">
        <v>146515.622</v>
      </c>
      <c r="T890" s="105">
        <v>137129.71799999999</v>
      </c>
      <c r="U890" s="70">
        <v>81469.915999999997</v>
      </c>
      <c r="V890" s="70">
        <v>332226.81799999997</v>
      </c>
      <c r="W890" s="417">
        <v>0</v>
      </c>
      <c r="X890" s="378">
        <v>3.5100000000000002E-4</v>
      </c>
      <c r="Z890" s="70">
        <v>105260.43</v>
      </c>
      <c r="AA890" s="70">
        <v>105259.682</v>
      </c>
      <c r="AB890" s="70">
        <v>0</v>
      </c>
      <c r="AC890" s="417">
        <v>0</v>
      </c>
      <c r="AD890" s="417">
        <v>0</v>
      </c>
      <c r="AE890" s="378">
        <v>3.5100000000000002E-4</v>
      </c>
      <c r="AF890" s="378"/>
      <c r="AG890" s="70">
        <v>3319</v>
      </c>
      <c r="AH890" s="70">
        <v>0</v>
      </c>
      <c r="AI890" s="70">
        <v>0</v>
      </c>
      <c r="AJ890" s="417">
        <v>0</v>
      </c>
      <c r="AK890" s="417">
        <v>0</v>
      </c>
      <c r="AL890" s="378">
        <v>3.5100000000000002E-4</v>
      </c>
      <c r="AM890" s="378"/>
      <c r="AN890" s="70">
        <v>-24867.872550000029</v>
      </c>
      <c r="AO890" s="70">
        <v>-22758.872550000029</v>
      </c>
      <c r="AP890" s="70">
        <v>-6868.8725500000292</v>
      </c>
      <c r="AQ890" s="417">
        <v>0</v>
      </c>
      <c r="AR890" s="417">
        <v>0</v>
      </c>
    </row>
    <row r="891" spans="1:44">
      <c r="A891" s="439">
        <v>99717</v>
      </c>
      <c r="B891" s="440" t="s">
        <v>1594</v>
      </c>
      <c r="C891" s="437">
        <v>1.9599999999999999E-5</v>
      </c>
      <c r="D891" s="441"/>
      <c r="E891" s="438">
        <v>14613.421349999997</v>
      </c>
      <c r="F891" s="442">
        <v>16403.324550000001</v>
      </c>
      <c r="G891" s="442">
        <v>5268.5149499999998</v>
      </c>
      <c r="H891" s="442">
        <v>17410.817199999998</v>
      </c>
      <c r="I891" s="442">
        <v>0</v>
      </c>
      <c r="J891" s="443">
        <v>3.3369999999999998E-4</v>
      </c>
      <c r="K891" s="443"/>
      <c r="L891" s="444">
        <v>3158.0891999999999</v>
      </c>
      <c r="M891" s="444">
        <v>1294.9132</v>
      </c>
      <c r="N891" s="444">
        <v>-155.68279999999999</v>
      </c>
      <c r="O891" s="444">
        <v>0</v>
      </c>
      <c r="P891" s="417">
        <v>0</v>
      </c>
      <c r="Q891" s="378">
        <v>3.3369999999999998E-4</v>
      </c>
      <c r="R891" s="378"/>
      <c r="S891" s="70">
        <v>7678.3587999999991</v>
      </c>
      <c r="T891" s="105">
        <v>7186.4771999999994</v>
      </c>
      <c r="U891" s="70">
        <v>4269.5463999999993</v>
      </c>
      <c r="V891" s="70">
        <v>17410.817199999998</v>
      </c>
      <c r="W891" s="417">
        <v>0</v>
      </c>
      <c r="X891" s="378">
        <v>3.3369999999999998E-4</v>
      </c>
      <c r="Z891" s="70">
        <v>5516.3219999999992</v>
      </c>
      <c r="AA891" s="70">
        <v>5516.2828</v>
      </c>
      <c r="AB891" s="70">
        <v>0</v>
      </c>
      <c r="AC891" s="417">
        <v>0</v>
      </c>
      <c r="AD891" s="417">
        <v>0</v>
      </c>
      <c r="AE891" s="378">
        <v>3.3369999999999998E-4</v>
      </c>
      <c r="AF891" s="378"/>
      <c r="AG891" s="70">
        <v>2617.6513500000001</v>
      </c>
      <c r="AH891" s="70">
        <v>2405.6513500000001</v>
      </c>
      <c r="AI891" s="70">
        <v>1154.6513500000001</v>
      </c>
      <c r="AJ891" s="417">
        <v>0</v>
      </c>
      <c r="AK891" s="417">
        <v>0</v>
      </c>
      <c r="AL891" s="378">
        <v>3.3369999999999998E-4</v>
      </c>
      <c r="AM891" s="378"/>
      <c r="AN891" s="70">
        <v>-4357</v>
      </c>
      <c r="AO891" s="70">
        <v>0</v>
      </c>
      <c r="AP891" s="70">
        <v>0</v>
      </c>
      <c r="AQ891" s="417">
        <v>0</v>
      </c>
      <c r="AR891" s="417">
        <v>0</v>
      </c>
    </row>
    <row r="892" spans="1:44">
      <c r="A892" s="439">
        <v>99721</v>
      </c>
      <c r="B892" s="440" t="s">
        <v>1595</v>
      </c>
      <c r="C892" s="437">
        <v>6.1919999999999998E-4</v>
      </c>
      <c r="D892" s="441"/>
      <c r="E892" s="438">
        <v>519208.97970000003</v>
      </c>
      <c r="F892" s="442">
        <v>458921.14610000007</v>
      </c>
      <c r="G892" s="442">
        <v>143032.44690000004</v>
      </c>
      <c r="H892" s="442">
        <v>550039.69440000004</v>
      </c>
      <c r="I892" s="442">
        <v>0</v>
      </c>
      <c r="J892" s="443">
        <v>1.6399999999999999E-5</v>
      </c>
      <c r="K892" s="443"/>
      <c r="L892" s="444">
        <v>99769.838399999993</v>
      </c>
      <c r="M892" s="444">
        <v>40908.686399999999</v>
      </c>
      <c r="N892" s="444">
        <v>-4918.3055999999997</v>
      </c>
      <c r="O892" s="444">
        <v>0</v>
      </c>
      <c r="P892" s="417">
        <v>0</v>
      </c>
      <c r="Q892" s="378">
        <v>1.6399999999999999E-5</v>
      </c>
      <c r="R892" s="378"/>
      <c r="S892" s="70">
        <v>242573.45759999999</v>
      </c>
      <c r="T892" s="105">
        <v>227034.01439999999</v>
      </c>
      <c r="U892" s="70">
        <v>134882.81279999999</v>
      </c>
      <c r="V892" s="70">
        <v>550039.69440000004</v>
      </c>
      <c r="W892" s="417">
        <v>0</v>
      </c>
      <c r="X892" s="378">
        <v>1.6399999999999999E-5</v>
      </c>
      <c r="Z892" s="70">
        <v>174270.74400000001</v>
      </c>
      <c r="AA892" s="70">
        <v>174269.5056</v>
      </c>
      <c r="AB892" s="70">
        <v>0</v>
      </c>
      <c r="AC892" s="417">
        <v>0</v>
      </c>
      <c r="AD892" s="417">
        <v>0</v>
      </c>
      <c r="AE892" s="378">
        <v>1.6399999999999999E-5</v>
      </c>
      <c r="AF892" s="378"/>
      <c r="AG892" s="70">
        <v>17290.939700000061</v>
      </c>
      <c r="AH892" s="70">
        <v>16708.939700000061</v>
      </c>
      <c r="AI892" s="70">
        <v>13067.939700000061</v>
      </c>
      <c r="AJ892" s="417">
        <v>0</v>
      </c>
      <c r="AK892" s="417">
        <v>0</v>
      </c>
      <c r="AL892" s="378">
        <v>1.6399999999999999E-5</v>
      </c>
      <c r="AM892" s="378"/>
      <c r="AN892" s="70">
        <v>-14696</v>
      </c>
      <c r="AO892" s="70">
        <v>0</v>
      </c>
      <c r="AP892" s="70">
        <v>0</v>
      </c>
      <c r="AQ892" s="417">
        <v>0</v>
      </c>
      <c r="AR892" s="417">
        <v>0</v>
      </c>
    </row>
    <row r="893" spans="1:44">
      <c r="A893" s="439">
        <v>99727</v>
      </c>
      <c r="B893" s="440" t="s">
        <v>1596</v>
      </c>
      <c r="C893" s="437">
        <v>2.3200000000000001E-5</v>
      </c>
      <c r="D893" s="441"/>
      <c r="E893" s="438">
        <v>34098.644400000005</v>
      </c>
      <c r="F893" s="442">
        <v>24065.978800000004</v>
      </c>
      <c r="G893" s="442">
        <v>9513.7756000000027</v>
      </c>
      <c r="H893" s="442">
        <v>20608.722400000002</v>
      </c>
      <c r="I893" s="442">
        <v>0</v>
      </c>
      <c r="J893" s="443">
        <v>8.5699999999999996E-5</v>
      </c>
      <c r="K893" s="443"/>
      <c r="L893" s="444">
        <v>3738.1464000000001</v>
      </c>
      <c r="M893" s="444">
        <v>1532.7544</v>
      </c>
      <c r="N893" s="444">
        <v>-184.27760000000001</v>
      </c>
      <c r="O893" s="444">
        <v>0</v>
      </c>
      <c r="P893" s="417">
        <v>0</v>
      </c>
      <c r="Q893" s="378">
        <v>8.5699999999999996E-5</v>
      </c>
      <c r="R893" s="378"/>
      <c r="S893" s="70">
        <v>9088.6696000000011</v>
      </c>
      <c r="T893" s="105">
        <v>8506.4423999999999</v>
      </c>
      <c r="U893" s="70">
        <v>5053.7488000000003</v>
      </c>
      <c r="V893" s="70">
        <v>20608.722400000002</v>
      </c>
      <c r="W893" s="417">
        <v>0</v>
      </c>
      <c r="X893" s="378">
        <v>8.5699999999999996E-5</v>
      </c>
      <c r="Z893" s="70">
        <v>6529.5240000000003</v>
      </c>
      <c r="AA893" s="70">
        <v>6529.4776000000002</v>
      </c>
      <c r="AB893" s="70">
        <v>0</v>
      </c>
      <c r="AC893" s="417">
        <v>0</v>
      </c>
      <c r="AD893" s="417">
        <v>0</v>
      </c>
      <c r="AE893" s="378">
        <v>8.5699999999999996E-5</v>
      </c>
      <c r="AF893" s="378"/>
      <c r="AG893" s="70">
        <v>14742.304400000003</v>
      </c>
      <c r="AH893" s="70">
        <v>7497.3044000000027</v>
      </c>
      <c r="AI893" s="70">
        <v>4644.3044000000027</v>
      </c>
      <c r="AJ893" s="417">
        <v>0</v>
      </c>
      <c r="AK893" s="417">
        <v>0</v>
      </c>
      <c r="AL893" s="378">
        <v>8.5699999999999996E-5</v>
      </c>
      <c r="AM893" s="378"/>
      <c r="AN893" s="70">
        <v>0</v>
      </c>
      <c r="AO893" s="70">
        <v>0</v>
      </c>
      <c r="AP893" s="70">
        <v>0</v>
      </c>
      <c r="AQ893" s="417">
        <v>0</v>
      </c>
      <c r="AR893" s="417">
        <v>0</v>
      </c>
    </row>
    <row r="894" spans="1:44">
      <c r="A894" s="439">
        <v>99801</v>
      </c>
      <c r="B894" s="440" t="s">
        <v>1597</v>
      </c>
      <c r="C894" s="437">
        <v>4.5713999999999998E-3</v>
      </c>
      <c r="D894" s="441"/>
      <c r="E894" s="438">
        <v>3540847.5334000001</v>
      </c>
      <c r="F894" s="442">
        <v>3117681.2521999995</v>
      </c>
      <c r="G894" s="442">
        <v>856066.94579999999</v>
      </c>
      <c r="H894" s="442">
        <v>4060806.6198</v>
      </c>
      <c r="I894" s="442">
        <v>0</v>
      </c>
      <c r="J894" s="443">
        <v>5.3699999999999997E-5</v>
      </c>
      <c r="K894" s="443"/>
      <c r="L894" s="444">
        <v>736575.96779999998</v>
      </c>
      <c r="M894" s="444">
        <v>302018.6838</v>
      </c>
      <c r="N894" s="444">
        <v>-36310.6302</v>
      </c>
      <c r="O894" s="444">
        <v>0</v>
      </c>
      <c r="P894" s="417">
        <v>0</v>
      </c>
      <c r="Q894" s="378">
        <v>5.3699999999999997E-5</v>
      </c>
      <c r="R894" s="378"/>
      <c r="S894" s="70">
        <v>1790859.6642</v>
      </c>
      <c r="T894" s="105">
        <v>1676135.8097999999</v>
      </c>
      <c r="U894" s="70">
        <v>995806.34759999998</v>
      </c>
      <c r="V894" s="70">
        <v>4060806.6198</v>
      </c>
      <c r="W894" s="417">
        <v>0</v>
      </c>
      <c r="X894" s="378">
        <v>5.3699999999999997E-5</v>
      </c>
      <c r="Z894" s="70">
        <v>1286597.673</v>
      </c>
      <c r="AA894" s="70">
        <v>1286588.5301999999</v>
      </c>
      <c r="AB894" s="70">
        <v>0</v>
      </c>
      <c r="AC894" s="417">
        <v>0</v>
      </c>
      <c r="AD894" s="417">
        <v>0</v>
      </c>
      <c r="AE894" s="378">
        <v>5.3699999999999997E-5</v>
      </c>
      <c r="AF894" s="378"/>
      <c r="AG894" s="70">
        <v>0</v>
      </c>
      <c r="AH894" s="70">
        <v>0</v>
      </c>
      <c r="AI894" s="70">
        <v>0</v>
      </c>
      <c r="AJ894" s="417">
        <v>0</v>
      </c>
      <c r="AK894" s="417">
        <v>0</v>
      </c>
      <c r="AL894" s="378">
        <v>5.3699999999999997E-5</v>
      </c>
      <c r="AM894" s="378"/>
      <c r="AN894" s="70">
        <v>-273185.77159999998</v>
      </c>
      <c r="AO894" s="70">
        <v>-147061.77159999998</v>
      </c>
      <c r="AP894" s="70">
        <v>-103428.77159999998</v>
      </c>
      <c r="AQ894" s="417">
        <v>0</v>
      </c>
      <c r="AR894" s="417">
        <v>0</v>
      </c>
    </row>
    <row r="895" spans="1:44">
      <c r="A895" s="439">
        <v>99802</v>
      </c>
      <c r="B895" s="440" t="s">
        <v>1598</v>
      </c>
      <c r="C895" s="437">
        <v>3.3000000000000002E-6</v>
      </c>
      <c r="D895" s="441"/>
      <c r="E895" s="438">
        <v>193.34157500000038</v>
      </c>
      <c r="F895" s="442">
        <v>-922.17982499999971</v>
      </c>
      <c r="G895" s="442">
        <v>-2116.2906249999996</v>
      </c>
      <c r="H895" s="442">
        <v>2931.4131000000002</v>
      </c>
      <c r="I895" s="442">
        <v>0</v>
      </c>
      <c r="J895" s="443">
        <v>3.4199999999999998E-5</v>
      </c>
      <c r="K895" s="443"/>
      <c r="L895" s="444">
        <v>531.71910000000003</v>
      </c>
      <c r="M895" s="444">
        <v>218.02110000000002</v>
      </c>
      <c r="N895" s="444">
        <v>-26.2119</v>
      </c>
      <c r="O895" s="444">
        <v>0</v>
      </c>
      <c r="P895" s="417">
        <v>0</v>
      </c>
      <c r="Q895" s="378">
        <v>3.4199999999999998E-5</v>
      </c>
      <c r="R895" s="378"/>
      <c r="S895" s="70">
        <v>1292.7849000000001</v>
      </c>
      <c r="T895" s="105">
        <v>1209.9681</v>
      </c>
      <c r="U895" s="70">
        <v>718.85220000000004</v>
      </c>
      <c r="V895" s="70">
        <v>2931.4131000000002</v>
      </c>
      <c r="W895" s="417">
        <v>0</v>
      </c>
      <c r="X895" s="378">
        <v>3.4199999999999998E-5</v>
      </c>
      <c r="Z895" s="70">
        <v>928.76850000000002</v>
      </c>
      <c r="AA895" s="70">
        <v>928.76190000000008</v>
      </c>
      <c r="AB895" s="70">
        <v>0</v>
      </c>
      <c r="AC895" s="417">
        <v>0</v>
      </c>
      <c r="AD895" s="417">
        <v>0</v>
      </c>
      <c r="AE895" s="378">
        <v>3.4199999999999998E-5</v>
      </c>
      <c r="AF895" s="378"/>
      <c r="AG895" s="70">
        <v>719</v>
      </c>
      <c r="AH895" s="70">
        <v>0</v>
      </c>
      <c r="AI895" s="70">
        <v>0</v>
      </c>
      <c r="AJ895" s="417">
        <v>0</v>
      </c>
      <c r="AK895" s="417">
        <v>0</v>
      </c>
      <c r="AL895" s="378">
        <v>3.4199999999999998E-5</v>
      </c>
      <c r="AM895" s="378"/>
      <c r="AN895" s="70">
        <v>-3278.9309249999997</v>
      </c>
      <c r="AO895" s="70">
        <v>-3278.9309249999997</v>
      </c>
      <c r="AP895" s="70">
        <v>-2808.9309249999997</v>
      </c>
      <c r="AQ895" s="417">
        <v>0</v>
      </c>
      <c r="AR895" s="417">
        <v>0</v>
      </c>
    </row>
    <row r="896" spans="1:44">
      <c r="A896" s="439">
        <v>99804</v>
      </c>
      <c r="B896" s="440" t="s">
        <v>1599</v>
      </c>
      <c r="C896" s="437">
        <v>1.022E-4</v>
      </c>
      <c r="D896" s="441"/>
      <c r="E896" s="438">
        <v>113695.34669999999</v>
      </c>
      <c r="F896" s="442">
        <v>96386.199099999998</v>
      </c>
      <c r="G896" s="442">
        <v>31742.191899999994</v>
      </c>
      <c r="H896" s="442">
        <v>90784.97540000001</v>
      </c>
      <c r="I896" s="442">
        <v>0</v>
      </c>
      <c r="J896" s="443">
        <v>3.0317999999999999E-3</v>
      </c>
      <c r="K896" s="443"/>
      <c r="L896" s="444">
        <v>16467.179400000001</v>
      </c>
      <c r="M896" s="444">
        <v>6752.0474000000004</v>
      </c>
      <c r="N896" s="444">
        <v>-811.77460000000008</v>
      </c>
      <c r="O896" s="444">
        <v>0</v>
      </c>
      <c r="P896" s="417">
        <v>0</v>
      </c>
      <c r="Q896" s="378">
        <v>3.0317999999999999E-3</v>
      </c>
      <c r="R896" s="378"/>
      <c r="S896" s="70">
        <v>40037.156600000002</v>
      </c>
      <c r="T896" s="105">
        <v>37472.345399999998</v>
      </c>
      <c r="U896" s="70">
        <v>22262.6348</v>
      </c>
      <c r="V896" s="70">
        <v>90784.97540000001</v>
      </c>
      <c r="W896" s="417">
        <v>0</v>
      </c>
      <c r="X896" s="378">
        <v>3.0317999999999999E-3</v>
      </c>
      <c r="Z896" s="70">
        <v>28763.679</v>
      </c>
      <c r="AA896" s="70">
        <v>28763.474600000001</v>
      </c>
      <c r="AB896" s="70">
        <v>0</v>
      </c>
      <c r="AC896" s="417">
        <v>0</v>
      </c>
      <c r="AD896" s="417">
        <v>0</v>
      </c>
      <c r="AE896" s="378">
        <v>3.0317999999999999E-3</v>
      </c>
      <c r="AF896" s="378"/>
      <c r="AG896" s="70">
        <v>28427.331699999995</v>
      </c>
      <c r="AH896" s="70">
        <v>23398.331699999995</v>
      </c>
      <c r="AI896" s="70">
        <v>10291.331699999995</v>
      </c>
      <c r="AJ896" s="417">
        <v>0</v>
      </c>
      <c r="AK896" s="417">
        <v>0</v>
      </c>
      <c r="AL896" s="378">
        <v>3.0317999999999999E-3</v>
      </c>
      <c r="AM896" s="378"/>
      <c r="AN896" s="70">
        <v>0</v>
      </c>
      <c r="AO896" s="70">
        <v>0</v>
      </c>
      <c r="AP896" s="70">
        <v>0</v>
      </c>
      <c r="AQ896" s="417">
        <v>0</v>
      </c>
      <c r="AR896" s="417">
        <v>0</v>
      </c>
    </row>
    <row r="897" spans="1:44">
      <c r="A897" s="439">
        <v>99811</v>
      </c>
      <c r="B897" s="440" t="s">
        <v>1600</v>
      </c>
      <c r="C897" s="437">
        <v>5.9289E-3</v>
      </c>
      <c r="D897" s="441"/>
      <c r="E897" s="438">
        <v>4551108.1639249995</v>
      </c>
      <c r="F897" s="442">
        <v>3932987.3977249991</v>
      </c>
      <c r="G897" s="442">
        <v>1054778.421325</v>
      </c>
      <c r="H897" s="442">
        <v>5266683.3722999999</v>
      </c>
      <c r="I897" s="442">
        <v>0</v>
      </c>
      <c r="J897" s="443">
        <v>1.716E-4</v>
      </c>
      <c r="K897" s="443"/>
      <c r="L897" s="444">
        <v>955305.87029999995</v>
      </c>
      <c r="M897" s="444">
        <v>391704.63630000001</v>
      </c>
      <c r="N897" s="444">
        <v>-47093.252699999997</v>
      </c>
      <c r="O897" s="444">
        <v>0</v>
      </c>
      <c r="P897" s="417">
        <v>0</v>
      </c>
      <c r="Q897" s="378">
        <v>1.716E-4</v>
      </c>
      <c r="R897" s="378"/>
      <c r="S897" s="70">
        <v>2322664.3616999998</v>
      </c>
      <c r="T897" s="105">
        <v>2173872.6872999999</v>
      </c>
      <c r="U897" s="70">
        <v>1291516.0026</v>
      </c>
      <c r="V897" s="70">
        <v>5266683.3722999999</v>
      </c>
      <c r="W897" s="417">
        <v>0</v>
      </c>
      <c r="X897" s="378">
        <v>1.716E-4</v>
      </c>
      <c r="Z897" s="70">
        <v>1668659.2605000001</v>
      </c>
      <c r="AA897" s="70">
        <v>1668647.4027</v>
      </c>
      <c r="AB897" s="70">
        <v>0</v>
      </c>
      <c r="AC897" s="417">
        <v>0</v>
      </c>
      <c r="AD897" s="417">
        <v>0</v>
      </c>
      <c r="AE897" s="378">
        <v>1.716E-4</v>
      </c>
      <c r="AF897" s="378"/>
      <c r="AG897" s="70">
        <v>0</v>
      </c>
      <c r="AH897" s="70">
        <v>0</v>
      </c>
      <c r="AI897" s="70">
        <v>0</v>
      </c>
      <c r="AJ897" s="417">
        <v>0</v>
      </c>
      <c r="AK897" s="417">
        <v>0</v>
      </c>
      <c r="AL897" s="378">
        <v>1.716E-4</v>
      </c>
      <c r="AM897" s="378"/>
      <c r="AN897" s="70">
        <v>-395521.32857499993</v>
      </c>
      <c r="AO897" s="70">
        <v>-301237.32857499993</v>
      </c>
      <c r="AP897" s="70">
        <v>-189644.32857499993</v>
      </c>
      <c r="AQ897" s="417">
        <v>0</v>
      </c>
      <c r="AR897" s="417">
        <v>0</v>
      </c>
    </row>
    <row r="898" spans="1:44">
      <c r="A898" s="439">
        <v>99812</v>
      </c>
      <c r="B898" s="440" t="s">
        <v>1601</v>
      </c>
      <c r="C898" s="437">
        <v>1.7E-5</v>
      </c>
      <c r="D898" s="441"/>
      <c r="E898" s="438">
        <v>29648.212900000006</v>
      </c>
      <c r="F898" s="442">
        <v>22007.526900000004</v>
      </c>
      <c r="G898" s="442">
        <v>8379.8349000000017</v>
      </c>
      <c r="H898" s="442">
        <v>15101.218999999999</v>
      </c>
      <c r="I898" s="442">
        <v>0</v>
      </c>
      <c r="J898" s="443">
        <v>3.9609999999999998E-4</v>
      </c>
      <c r="K898" s="443"/>
      <c r="L898" s="444">
        <v>2739.1590000000001</v>
      </c>
      <c r="M898" s="444">
        <v>1123.1389999999999</v>
      </c>
      <c r="N898" s="444">
        <v>-135.03100000000001</v>
      </c>
      <c r="O898" s="444">
        <v>0</v>
      </c>
      <c r="P898" s="417">
        <v>0</v>
      </c>
      <c r="Q898" s="378">
        <v>3.9609999999999998E-4</v>
      </c>
      <c r="R898" s="378"/>
      <c r="S898" s="70">
        <v>6659.8010000000004</v>
      </c>
      <c r="T898" s="105">
        <v>6233.1689999999999</v>
      </c>
      <c r="U898" s="70">
        <v>3703.1779999999999</v>
      </c>
      <c r="V898" s="70">
        <v>15101.218999999999</v>
      </c>
      <c r="W898" s="417">
        <v>0</v>
      </c>
      <c r="X898" s="378">
        <v>3.9609999999999998E-4</v>
      </c>
      <c r="Z898" s="70">
        <v>4784.5649999999996</v>
      </c>
      <c r="AA898" s="70">
        <v>4784.5309999999999</v>
      </c>
      <c r="AB898" s="70">
        <v>0</v>
      </c>
      <c r="AC898" s="417">
        <v>0</v>
      </c>
      <c r="AD898" s="417">
        <v>0</v>
      </c>
      <c r="AE898" s="378">
        <v>3.9609999999999998E-4</v>
      </c>
      <c r="AF898" s="378"/>
      <c r="AG898" s="70">
        <v>15464.687900000003</v>
      </c>
      <c r="AH898" s="70">
        <v>9866.6879000000026</v>
      </c>
      <c r="AI898" s="70">
        <v>4811.6879000000026</v>
      </c>
      <c r="AJ898" s="417">
        <v>0</v>
      </c>
      <c r="AK898" s="417">
        <v>0</v>
      </c>
      <c r="AL898" s="378">
        <v>3.9609999999999998E-4</v>
      </c>
      <c r="AM898" s="378"/>
      <c r="AN898" s="70">
        <v>0</v>
      </c>
      <c r="AO898" s="70">
        <v>0</v>
      </c>
      <c r="AP898" s="70">
        <v>0</v>
      </c>
      <c r="AQ898" s="417">
        <v>0</v>
      </c>
      <c r="AR898" s="417">
        <v>0</v>
      </c>
    </row>
    <row r="899" spans="1:44">
      <c r="A899" s="439">
        <v>99818</v>
      </c>
      <c r="B899" s="440" t="s">
        <v>1602</v>
      </c>
      <c r="C899" s="437">
        <v>3.96E-5</v>
      </c>
      <c r="D899" s="441"/>
      <c r="E899" s="438">
        <v>30163.799999999996</v>
      </c>
      <c r="F899" s="442">
        <v>22749.5432</v>
      </c>
      <c r="G899" s="442">
        <v>16096.213599999997</v>
      </c>
      <c r="H899" s="442">
        <v>35176.957199999997</v>
      </c>
      <c r="I899" s="442">
        <v>0</v>
      </c>
      <c r="J899" s="443">
        <v>1.7900000000000001E-5</v>
      </c>
      <c r="K899" s="443"/>
      <c r="L899" s="444">
        <v>6380.6292000000003</v>
      </c>
      <c r="M899" s="444">
        <v>2616.2532000000001</v>
      </c>
      <c r="N899" s="444">
        <v>-314.5428</v>
      </c>
      <c r="O899" s="444">
        <v>0</v>
      </c>
      <c r="P899" s="417">
        <v>0</v>
      </c>
      <c r="Q899" s="378">
        <v>1.7900000000000001E-5</v>
      </c>
      <c r="R899" s="378"/>
      <c r="S899" s="70">
        <v>15513.418799999999</v>
      </c>
      <c r="T899" s="105">
        <v>14519.617200000001</v>
      </c>
      <c r="U899" s="70">
        <v>8626.2263999999996</v>
      </c>
      <c r="V899" s="70">
        <v>35176.957199999997</v>
      </c>
      <c r="W899" s="417">
        <v>0</v>
      </c>
      <c r="X899" s="378">
        <v>1.7900000000000001E-5</v>
      </c>
      <c r="Z899" s="70">
        <v>11145.222</v>
      </c>
      <c r="AA899" s="70">
        <v>11145.1428</v>
      </c>
      <c r="AB899" s="70">
        <v>0</v>
      </c>
      <c r="AC899" s="417">
        <v>0</v>
      </c>
      <c r="AD899" s="417">
        <v>0</v>
      </c>
      <c r="AE899" s="378">
        <v>1.7900000000000001E-5</v>
      </c>
      <c r="AF899" s="378"/>
      <c r="AG899" s="70">
        <v>10699.529999999997</v>
      </c>
      <c r="AH899" s="70">
        <v>7784.529999999997</v>
      </c>
      <c r="AI899" s="70">
        <v>7784.529999999997</v>
      </c>
      <c r="AJ899" s="417">
        <v>0</v>
      </c>
      <c r="AK899" s="417">
        <v>0</v>
      </c>
      <c r="AL899" s="378">
        <v>1.7900000000000001E-5</v>
      </c>
      <c r="AM899" s="378"/>
      <c r="AN899" s="70">
        <v>-13575</v>
      </c>
      <c r="AO899" s="70">
        <v>-13316</v>
      </c>
      <c r="AP899" s="70">
        <v>0</v>
      </c>
      <c r="AQ899" s="417">
        <v>0</v>
      </c>
      <c r="AR899" s="417">
        <v>0</v>
      </c>
    </row>
    <row r="900" spans="1:44">
      <c r="A900" s="439">
        <v>99821</v>
      </c>
      <c r="B900" s="440" t="s">
        <v>1603</v>
      </c>
      <c r="C900" s="437">
        <v>9.8099999999999999E-5</v>
      </c>
      <c r="D900" s="441"/>
      <c r="E900" s="438">
        <v>85142.774474999998</v>
      </c>
      <c r="F900" s="442">
        <v>73847.274674999993</v>
      </c>
      <c r="G900" s="442">
        <v>12930.799074999999</v>
      </c>
      <c r="H900" s="442">
        <v>87142.916700000002</v>
      </c>
      <c r="I900" s="442">
        <v>0</v>
      </c>
      <c r="J900" s="443">
        <v>5.8679999999999995E-4</v>
      </c>
      <c r="K900" s="443"/>
      <c r="L900" s="444">
        <v>15806.5587</v>
      </c>
      <c r="M900" s="444">
        <v>6481.1727000000001</v>
      </c>
      <c r="N900" s="444">
        <v>-779.20830000000001</v>
      </c>
      <c r="O900" s="444">
        <v>0</v>
      </c>
      <c r="P900" s="417">
        <v>0</v>
      </c>
      <c r="Q900" s="378">
        <v>5.8679999999999995E-4</v>
      </c>
      <c r="R900" s="378"/>
      <c r="S900" s="70">
        <v>38430.969299999997</v>
      </c>
      <c r="T900" s="105">
        <v>35969.051699999996</v>
      </c>
      <c r="U900" s="70">
        <v>21369.5154</v>
      </c>
      <c r="V900" s="70">
        <v>87142.916700000002</v>
      </c>
      <c r="W900" s="417">
        <v>0</v>
      </c>
      <c r="X900" s="378">
        <v>5.8679999999999995E-4</v>
      </c>
      <c r="Z900" s="70">
        <v>27609.754499999999</v>
      </c>
      <c r="AA900" s="70">
        <v>27609.558300000001</v>
      </c>
      <c r="AB900" s="70">
        <v>0</v>
      </c>
      <c r="AC900" s="417">
        <v>0</v>
      </c>
      <c r="AD900" s="417">
        <v>0</v>
      </c>
      <c r="AE900" s="378">
        <v>5.8679999999999995E-4</v>
      </c>
      <c r="AF900" s="378"/>
      <c r="AG900" s="70">
        <v>13075</v>
      </c>
      <c r="AH900" s="70">
        <v>11447</v>
      </c>
      <c r="AI900" s="70">
        <v>0</v>
      </c>
      <c r="AJ900" s="417">
        <v>0</v>
      </c>
      <c r="AK900" s="417">
        <v>0</v>
      </c>
      <c r="AL900" s="378">
        <v>5.8679999999999995E-4</v>
      </c>
      <c r="AM900" s="378"/>
      <c r="AN900" s="70">
        <v>-9779.5080250000028</v>
      </c>
      <c r="AO900" s="70">
        <v>-7659.5080250000028</v>
      </c>
      <c r="AP900" s="70">
        <v>-7659.5080250000028</v>
      </c>
      <c r="AQ900" s="417">
        <v>0</v>
      </c>
      <c r="AR900" s="417">
        <v>0</v>
      </c>
    </row>
    <row r="901" spans="1:44">
      <c r="A901" s="439">
        <v>99831</v>
      </c>
      <c r="B901" s="440" t="s">
        <v>1604</v>
      </c>
      <c r="C901" s="437">
        <v>3.7100000000000001E-5</v>
      </c>
      <c r="D901" s="441"/>
      <c r="E901" s="438">
        <v>28736.268924999989</v>
      </c>
      <c r="F901" s="442">
        <v>21524.407124999991</v>
      </c>
      <c r="G901" s="442">
        <v>12765.767524999994</v>
      </c>
      <c r="H901" s="442">
        <v>32956.189700000003</v>
      </c>
      <c r="I901" s="442">
        <v>0</v>
      </c>
      <c r="J901" s="443">
        <v>1.84E-5</v>
      </c>
      <c r="K901" s="443"/>
      <c r="L901" s="444">
        <v>5977.8117000000002</v>
      </c>
      <c r="M901" s="444">
        <v>2451.0857000000001</v>
      </c>
      <c r="N901" s="444">
        <v>-294.68529999999998</v>
      </c>
      <c r="O901" s="444">
        <v>0</v>
      </c>
      <c r="P901" s="417">
        <v>0</v>
      </c>
      <c r="Q901" s="378">
        <v>1.84E-5</v>
      </c>
      <c r="R901" s="378"/>
      <c r="S901" s="70">
        <v>14534.0363</v>
      </c>
      <c r="T901" s="105">
        <v>13602.974700000001</v>
      </c>
      <c r="U901" s="70">
        <v>8081.6414000000004</v>
      </c>
      <c r="V901" s="70">
        <v>32956.189700000003</v>
      </c>
      <c r="W901" s="417">
        <v>0</v>
      </c>
      <c r="X901" s="378">
        <v>1.84E-5</v>
      </c>
      <c r="Z901" s="70">
        <v>10441.6095</v>
      </c>
      <c r="AA901" s="70">
        <v>10441.5353</v>
      </c>
      <c r="AB901" s="70">
        <v>0</v>
      </c>
      <c r="AC901" s="417">
        <v>0</v>
      </c>
      <c r="AD901" s="417">
        <v>0</v>
      </c>
      <c r="AE901" s="378">
        <v>1.84E-5</v>
      </c>
      <c r="AF901" s="378"/>
      <c r="AG901" s="70">
        <v>7732.8114249999935</v>
      </c>
      <c r="AH901" s="70">
        <v>4978.8114249999935</v>
      </c>
      <c r="AI901" s="70">
        <v>4978.8114249999935</v>
      </c>
      <c r="AJ901" s="417">
        <v>0</v>
      </c>
      <c r="AK901" s="417">
        <v>0</v>
      </c>
      <c r="AL901" s="378">
        <v>1.84E-5</v>
      </c>
      <c r="AM901" s="378"/>
      <c r="AN901" s="70">
        <v>-9950</v>
      </c>
      <c r="AO901" s="70">
        <v>-9950</v>
      </c>
      <c r="AP901" s="70">
        <v>0</v>
      </c>
      <c r="AQ901" s="417">
        <v>0</v>
      </c>
      <c r="AR901" s="417">
        <v>0</v>
      </c>
    </row>
    <row r="902" spans="1:44">
      <c r="A902" s="439">
        <v>99841</v>
      </c>
      <c r="B902" s="440" t="s">
        <v>1605</v>
      </c>
      <c r="C902" s="437">
        <v>5.94E-5</v>
      </c>
      <c r="D902" s="441"/>
      <c r="E902" s="438">
        <v>64455.972900000001</v>
      </c>
      <c r="F902" s="442">
        <v>44390.587699999996</v>
      </c>
      <c r="G902" s="442">
        <v>11909.593299999999</v>
      </c>
      <c r="H902" s="442">
        <v>52765.435799999999</v>
      </c>
      <c r="I902" s="442">
        <v>0</v>
      </c>
      <c r="J902" s="443">
        <v>4.6610999999999996E-3</v>
      </c>
      <c r="K902" s="443"/>
      <c r="L902" s="444">
        <v>9570.9438000000009</v>
      </c>
      <c r="M902" s="444">
        <v>3924.3798000000002</v>
      </c>
      <c r="N902" s="444">
        <v>-471.81420000000003</v>
      </c>
      <c r="O902" s="444">
        <v>0</v>
      </c>
      <c r="P902" s="417">
        <v>0</v>
      </c>
      <c r="Q902" s="378">
        <v>4.6610999999999996E-3</v>
      </c>
      <c r="R902" s="378"/>
      <c r="S902" s="70">
        <v>23270.128199999999</v>
      </c>
      <c r="T902" s="105">
        <v>21779.425800000001</v>
      </c>
      <c r="U902" s="70">
        <v>12939.339599999999</v>
      </c>
      <c r="V902" s="70">
        <v>52765.435799999999</v>
      </c>
      <c r="W902" s="417">
        <v>0</v>
      </c>
      <c r="X902" s="378">
        <v>4.6610999999999996E-3</v>
      </c>
      <c r="Z902" s="70">
        <v>16717.832999999999</v>
      </c>
      <c r="AA902" s="70">
        <v>16717.714199999999</v>
      </c>
      <c r="AB902" s="70">
        <v>0</v>
      </c>
      <c r="AC902" s="417">
        <v>0</v>
      </c>
      <c r="AD902" s="417">
        <v>0</v>
      </c>
      <c r="AE902" s="378">
        <v>4.6610999999999996E-3</v>
      </c>
      <c r="AF902" s="378"/>
      <c r="AG902" s="70">
        <v>17618</v>
      </c>
      <c r="AH902" s="70">
        <v>2527</v>
      </c>
      <c r="AI902" s="70">
        <v>0</v>
      </c>
      <c r="AJ902" s="417">
        <v>0</v>
      </c>
      <c r="AK902" s="417">
        <v>0</v>
      </c>
      <c r="AL902" s="378">
        <v>4.6610999999999996E-3</v>
      </c>
      <c r="AM902" s="378"/>
      <c r="AN902" s="70">
        <v>-2720.9321</v>
      </c>
      <c r="AO902" s="70">
        <v>-557.93209999999999</v>
      </c>
      <c r="AP902" s="70">
        <v>-557.93209999999999</v>
      </c>
      <c r="AQ902" s="417">
        <v>0</v>
      </c>
      <c r="AR902" s="417">
        <v>0</v>
      </c>
    </row>
    <row r="903" spans="1:44">
      <c r="A903" s="439">
        <v>99851</v>
      </c>
      <c r="B903" s="440" t="s">
        <v>1606</v>
      </c>
      <c r="C903" s="437">
        <v>1.66E-5</v>
      </c>
      <c r="D903" s="441"/>
      <c r="E903" s="438">
        <v>15122.990750000004</v>
      </c>
      <c r="F903" s="442">
        <v>16428.36795</v>
      </c>
      <c r="G903" s="442">
        <v>8228.3863500000007</v>
      </c>
      <c r="H903" s="442">
        <v>14745.896200000001</v>
      </c>
      <c r="I903" s="442">
        <v>0</v>
      </c>
      <c r="J903" s="443">
        <v>1.0900000000000001E-5</v>
      </c>
      <c r="K903" s="443"/>
      <c r="L903" s="444">
        <v>2674.7082</v>
      </c>
      <c r="M903" s="444">
        <v>1096.7121999999999</v>
      </c>
      <c r="N903" s="444">
        <v>-131.85380000000001</v>
      </c>
      <c r="O903" s="444">
        <v>0</v>
      </c>
      <c r="P903" s="417">
        <v>0</v>
      </c>
      <c r="Q903" s="378">
        <v>1.0900000000000001E-5</v>
      </c>
      <c r="R903" s="378"/>
      <c r="S903" s="70">
        <v>6503.0998</v>
      </c>
      <c r="T903" s="105">
        <v>6086.5061999999998</v>
      </c>
      <c r="U903" s="70">
        <v>3616.0444000000002</v>
      </c>
      <c r="V903" s="70">
        <v>14745.896200000001</v>
      </c>
      <c r="W903" s="417">
        <v>0</v>
      </c>
      <c r="X903" s="378">
        <v>1.0900000000000001E-5</v>
      </c>
      <c r="Z903" s="70">
        <v>4671.9870000000001</v>
      </c>
      <c r="AA903" s="70">
        <v>4671.9538000000002</v>
      </c>
      <c r="AB903" s="70">
        <v>0</v>
      </c>
      <c r="AC903" s="417">
        <v>0</v>
      </c>
      <c r="AD903" s="417">
        <v>0</v>
      </c>
      <c r="AE903" s="378">
        <v>1.0900000000000001E-5</v>
      </c>
      <c r="AF903" s="378"/>
      <c r="AG903" s="70">
        <v>4744.1957500000008</v>
      </c>
      <c r="AH903" s="70">
        <v>4744.1957500000008</v>
      </c>
      <c r="AI903" s="70">
        <v>4744.1957500000008</v>
      </c>
      <c r="AJ903" s="417">
        <v>0</v>
      </c>
      <c r="AK903" s="417">
        <v>0</v>
      </c>
      <c r="AL903" s="378">
        <v>1.0900000000000001E-5</v>
      </c>
      <c r="AM903" s="378"/>
      <c r="AN903" s="70">
        <v>-3471</v>
      </c>
      <c r="AO903" s="70">
        <v>-171</v>
      </c>
      <c r="AP903" s="70">
        <v>0</v>
      </c>
      <c r="AQ903" s="417">
        <v>0</v>
      </c>
      <c r="AR903" s="417">
        <v>0</v>
      </c>
    </row>
    <row r="904" spans="1:44">
      <c r="A904" s="439">
        <v>99901</v>
      </c>
      <c r="B904" s="440" t="s">
        <v>1607</v>
      </c>
      <c r="C904" s="437">
        <v>1.5120999999999999E-3</v>
      </c>
      <c r="D904" s="441"/>
      <c r="E904" s="438">
        <v>1215841.175975</v>
      </c>
      <c r="F904" s="442">
        <v>1049297.2641749999</v>
      </c>
      <c r="G904" s="442">
        <v>350243.52457499999</v>
      </c>
      <c r="H904" s="442">
        <v>1343209.0146999999</v>
      </c>
      <c r="I904" s="442">
        <v>0</v>
      </c>
      <c r="J904" s="443">
        <v>8.8300000000000005E-5</v>
      </c>
      <c r="K904" s="443"/>
      <c r="L904" s="444">
        <v>243640.1367</v>
      </c>
      <c r="M904" s="444">
        <v>99899.910699999993</v>
      </c>
      <c r="N904" s="444">
        <v>-12010.6103</v>
      </c>
      <c r="O904" s="444">
        <v>0</v>
      </c>
      <c r="P904" s="417">
        <v>0</v>
      </c>
      <c r="Q904" s="378">
        <v>8.8300000000000005E-5</v>
      </c>
      <c r="R904" s="378"/>
      <c r="S904" s="70">
        <v>592369.71129999997</v>
      </c>
      <c r="T904" s="105">
        <v>554422.04969999997</v>
      </c>
      <c r="U904" s="70">
        <v>329386.79139999999</v>
      </c>
      <c r="V904" s="70">
        <v>1343209.0146999999</v>
      </c>
      <c r="W904" s="417">
        <v>0</v>
      </c>
      <c r="X904" s="378">
        <v>8.8300000000000005E-5</v>
      </c>
      <c r="Z904" s="70">
        <v>425572.98449999996</v>
      </c>
      <c r="AA904" s="70">
        <v>425569.96029999998</v>
      </c>
      <c r="AB904" s="70">
        <v>0</v>
      </c>
      <c r="AC904" s="417">
        <v>0</v>
      </c>
      <c r="AD904" s="417">
        <v>0</v>
      </c>
      <c r="AE904" s="378">
        <v>8.8300000000000005E-5</v>
      </c>
      <c r="AF904" s="378"/>
      <c r="AG904" s="70">
        <v>32867.343475000001</v>
      </c>
      <c r="AH904" s="70">
        <v>32867.343475000001</v>
      </c>
      <c r="AI904" s="70">
        <v>32867.343475000001</v>
      </c>
      <c r="AJ904" s="417">
        <v>0</v>
      </c>
      <c r="AK904" s="417">
        <v>0</v>
      </c>
      <c r="AL904" s="378">
        <v>8.8300000000000005E-5</v>
      </c>
      <c r="AM904" s="378"/>
      <c r="AN904" s="70">
        <v>-78609</v>
      </c>
      <c r="AO904" s="70">
        <v>-63462</v>
      </c>
      <c r="AP904" s="70">
        <v>0</v>
      </c>
      <c r="AQ904" s="417">
        <v>0</v>
      </c>
      <c r="AR904" s="417">
        <v>0</v>
      </c>
    </row>
    <row r="905" spans="1:44">
      <c r="A905" s="439">
        <v>99911</v>
      </c>
      <c r="B905" s="440" t="s">
        <v>1608</v>
      </c>
      <c r="C905" s="437">
        <v>2.365E-4</v>
      </c>
      <c r="D905" s="441"/>
      <c r="E905" s="438">
        <v>218902.56512499999</v>
      </c>
      <c r="F905" s="442">
        <v>176207.198125</v>
      </c>
      <c r="G905" s="442">
        <v>49069.924125000012</v>
      </c>
      <c r="H905" s="442">
        <v>210084.60550000001</v>
      </c>
      <c r="I905" s="442">
        <v>0</v>
      </c>
      <c r="J905" s="443">
        <v>6.2027999999999996E-3</v>
      </c>
      <c r="K905" s="443"/>
      <c r="L905" s="444">
        <v>38106.535499999998</v>
      </c>
      <c r="M905" s="444">
        <v>15624.845499999999</v>
      </c>
      <c r="N905" s="444">
        <v>-1878.5195000000001</v>
      </c>
      <c r="O905" s="444">
        <v>0</v>
      </c>
      <c r="P905" s="417">
        <v>0</v>
      </c>
      <c r="Q905" s="378">
        <v>6.2027999999999996E-3</v>
      </c>
      <c r="R905" s="378"/>
      <c r="S905" s="70">
        <v>92649.584499999997</v>
      </c>
      <c r="T905" s="105">
        <v>86714.380499999999</v>
      </c>
      <c r="U905" s="70">
        <v>51517.741000000002</v>
      </c>
      <c r="V905" s="70">
        <v>210084.60550000001</v>
      </c>
      <c r="W905" s="417">
        <v>0</v>
      </c>
      <c r="X905" s="378">
        <v>6.2027999999999996E-3</v>
      </c>
      <c r="Z905" s="70">
        <v>66561.742500000008</v>
      </c>
      <c r="AA905" s="70">
        <v>66561.269499999995</v>
      </c>
      <c r="AB905" s="70">
        <v>0</v>
      </c>
      <c r="AC905" s="417">
        <v>0</v>
      </c>
      <c r="AD905" s="417">
        <v>0</v>
      </c>
      <c r="AE905" s="378">
        <v>6.2027999999999996E-3</v>
      </c>
      <c r="AF905" s="378"/>
      <c r="AG905" s="70">
        <v>22154</v>
      </c>
      <c r="AH905" s="70">
        <v>7876</v>
      </c>
      <c r="AI905" s="70">
        <v>0</v>
      </c>
      <c r="AJ905" s="417">
        <v>0</v>
      </c>
      <c r="AK905" s="417">
        <v>0</v>
      </c>
      <c r="AL905" s="378">
        <v>6.2027999999999996E-3</v>
      </c>
      <c r="AM905" s="378"/>
      <c r="AN905" s="70">
        <v>-569.29737499998737</v>
      </c>
      <c r="AO905" s="70">
        <v>-569.29737499998737</v>
      </c>
      <c r="AP905" s="70">
        <v>-569.29737499998737</v>
      </c>
      <c r="AQ905" s="417">
        <v>0</v>
      </c>
      <c r="AR905" s="417">
        <v>0</v>
      </c>
    </row>
    <row r="906" spans="1:44">
      <c r="A906" s="439">
        <v>99921</v>
      </c>
      <c r="B906" s="440" t="s">
        <v>1609</v>
      </c>
      <c r="C906" s="437">
        <v>1.395E-4</v>
      </c>
      <c r="D906" s="441"/>
      <c r="E906" s="438">
        <v>115521.57297499999</v>
      </c>
      <c r="F906" s="442">
        <v>91473.531974999991</v>
      </c>
      <c r="G906" s="442">
        <v>26941.029974999987</v>
      </c>
      <c r="H906" s="442">
        <v>123918.8265</v>
      </c>
      <c r="I906" s="442">
        <v>0</v>
      </c>
      <c r="J906" s="443">
        <v>1.77E-5</v>
      </c>
      <c r="K906" s="443"/>
      <c r="L906" s="444">
        <v>22477.216499999999</v>
      </c>
      <c r="M906" s="444">
        <v>9216.3464999999997</v>
      </c>
      <c r="N906" s="444">
        <v>-1108.0485000000001</v>
      </c>
      <c r="O906" s="444">
        <v>0</v>
      </c>
      <c r="P906" s="417">
        <v>0</v>
      </c>
      <c r="Q906" s="378">
        <v>1.77E-5</v>
      </c>
      <c r="R906" s="378"/>
      <c r="S906" s="70">
        <v>54649.5435</v>
      </c>
      <c r="T906" s="105">
        <v>51148.6515</v>
      </c>
      <c r="U906" s="70">
        <v>30387.843000000001</v>
      </c>
      <c r="V906" s="70">
        <v>123918.8265</v>
      </c>
      <c r="W906" s="417">
        <v>0</v>
      </c>
      <c r="X906" s="378">
        <v>1.77E-5</v>
      </c>
      <c r="Z906" s="70">
        <v>39261.577499999999</v>
      </c>
      <c r="AA906" s="70">
        <v>39261.298499999997</v>
      </c>
      <c r="AB906" s="70">
        <v>0</v>
      </c>
      <c r="AC906" s="417">
        <v>0</v>
      </c>
      <c r="AD906" s="417">
        <v>0</v>
      </c>
      <c r="AE906" s="378">
        <v>1.77E-5</v>
      </c>
      <c r="AF906" s="378"/>
      <c r="AG906" s="70">
        <v>7286</v>
      </c>
      <c r="AH906" s="70">
        <v>0</v>
      </c>
      <c r="AI906" s="70">
        <v>0</v>
      </c>
      <c r="AJ906" s="417">
        <v>0</v>
      </c>
      <c r="AK906" s="417">
        <v>0</v>
      </c>
      <c r="AL906" s="378">
        <v>1.77E-5</v>
      </c>
      <c r="AM906" s="378"/>
      <c r="AN906" s="70">
        <v>-8152.7645250000132</v>
      </c>
      <c r="AO906" s="70">
        <v>-8152.7645250000132</v>
      </c>
      <c r="AP906" s="70">
        <v>-2338.7645250000132</v>
      </c>
      <c r="AQ906" s="417">
        <v>0</v>
      </c>
      <c r="AR906" s="417">
        <v>0</v>
      </c>
    </row>
    <row r="907" spans="1:44">
      <c r="A907" s="439">
        <v>99931</v>
      </c>
      <c r="B907" s="440" t="s">
        <v>1610</v>
      </c>
      <c r="C907" s="437">
        <v>2.6100000000000001E-5</v>
      </c>
      <c r="D907" s="441"/>
      <c r="E907" s="438">
        <v>24104.104224999999</v>
      </c>
      <c r="F907" s="442">
        <v>18361.980424999998</v>
      </c>
      <c r="G907" s="442">
        <v>4290.3768250000003</v>
      </c>
      <c r="H907" s="442">
        <v>23184.812700000002</v>
      </c>
      <c r="I907" s="442">
        <v>0</v>
      </c>
      <c r="J907" s="443">
        <v>2.4600000000000002E-5</v>
      </c>
      <c r="K907" s="443"/>
      <c r="L907" s="444">
        <v>4205.4147000000003</v>
      </c>
      <c r="M907" s="444">
        <v>1724.3487</v>
      </c>
      <c r="N907" s="444">
        <v>-207.31229999999999</v>
      </c>
      <c r="O907" s="444">
        <v>0</v>
      </c>
      <c r="P907" s="417">
        <v>0</v>
      </c>
      <c r="Q907" s="378">
        <v>2.4600000000000002E-5</v>
      </c>
      <c r="R907" s="378"/>
      <c r="S907" s="70">
        <v>10224.7533</v>
      </c>
      <c r="T907" s="105">
        <v>9569.7476999999999</v>
      </c>
      <c r="U907" s="70">
        <v>5685.4674000000005</v>
      </c>
      <c r="V907" s="70">
        <v>23184.812700000002</v>
      </c>
      <c r="W907" s="417">
        <v>0</v>
      </c>
      <c r="X907" s="378">
        <v>2.4600000000000002E-5</v>
      </c>
      <c r="Z907" s="70">
        <v>7345.7145</v>
      </c>
      <c r="AA907" s="70">
        <v>7345.6623</v>
      </c>
      <c r="AB907" s="70">
        <v>0</v>
      </c>
      <c r="AC907" s="417">
        <v>0</v>
      </c>
      <c r="AD907" s="417">
        <v>0</v>
      </c>
      <c r="AE907" s="378">
        <v>2.4600000000000002E-5</v>
      </c>
      <c r="AF907" s="378"/>
      <c r="AG907" s="70">
        <v>3516</v>
      </c>
      <c r="AH907" s="70">
        <v>910</v>
      </c>
      <c r="AI907" s="70">
        <v>0</v>
      </c>
      <c r="AJ907" s="417">
        <v>0</v>
      </c>
      <c r="AK907" s="417">
        <v>0</v>
      </c>
      <c r="AL907" s="378">
        <v>2.4600000000000002E-5</v>
      </c>
      <c r="AM907" s="378"/>
      <c r="AN907" s="70">
        <v>-1187.7782750000006</v>
      </c>
      <c r="AO907" s="70">
        <v>-1187.7782750000006</v>
      </c>
      <c r="AP907" s="70">
        <v>-1187.7782750000006</v>
      </c>
      <c r="AQ907" s="417">
        <v>0</v>
      </c>
      <c r="AR907" s="417">
        <v>0</v>
      </c>
    </row>
    <row r="908" spans="1:44">
      <c r="A908" s="439">
        <v>99941</v>
      </c>
      <c r="B908" s="440" t="s">
        <v>1611</v>
      </c>
      <c r="C908" s="437">
        <v>5.66E-5</v>
      </c>
      <c r="D908" s="441"/>
      <c r="E908" s="438">
        <v>36115.320449999992</v>
      </c>
      <c r="F908" s="442">
        <v>38828.377649999988</v>
      </c>
      <c r="G908" s="442">
        <v>12942.356049999995</v>
      </c>
      <c r="H908" s="442">
        <v>50278.176200000002</v>
      </c>
      <c r="I908" s="442">
        <v>0</v>
      </c>
      <c r="J908" s="443">
        <v>1.089E-4</v>
      </c>
      <c r="K908" s="443"/>
      <c r="L908" s="444">
        <v>9119.7882000000009</v>
      </c>
      <c r="M908" s="444">
        <v>3739.3922000000002</v>
      </c>
      <c r="N908" s="444">
        <v>-449.57380000000001</v>
      </c>
      <c r="O908" s="444">
        <v>0</v>
      </c>
      <c r="P908" s="417">
        <v>0</v>
      </c>
      <c r="Q908" s="378">
        <v>1.089E-4</v>
      </c>
      <c r="R908" s="378"/>
      <c r="S908" s="70">
        <v>22173.219799999999</v>
      </c>
      <c r="T908" s="105">
        <v>20752.786199999999</v>
      </c>
      <c r="U908" s="70">
        <v>12329.404399999999</v>
      </c>
      <c r="V908" s="70">
        <v>50278.176200000002</v>
      </c>
      <c r="W908" s="417">
        <v>0</v>
      </c>
      <c r="X908" s="378">
        <v>1.089E-4</v>
      </c>
      <c r="Z908" s="70">
        <v>15929.787</v>
      </c>
      <c r="AA908" s="70">
        <v>15929.6738</v>
      </c>
      <c r="AB908" s="70">
        <v>0</v>
      </c>
      <c r="AC908" s="417">
        <v>0</v>
      </c>
      <c r="AD908" s="417">
        <v>0</v>
      </c>
      <c r="AE908" s="378">
        <v>1.089E-4</v>
      </c>
      <c r="AF908" s="378"/>
      <c r="AG908" s="70">
        <v>1062.5254499999955</v>
      </c>
      <c r="AH908" s="70">
        <v>1062.5254499999955</v>
      </c>
      <c r="AI908" s="70">
        <v>1062.5254499999955</v>
      </c>
      <c r="AJ908" s="417">
        <v>0</v>
      </c>
      <c r="AK908" s="417">
        <v>0</v>
      </c>
      <c r="AL908" s="378">
        <v>1.089E-4</v>
      </c>
      <c r="AM908" s="378"/>
      <c r="AN908" s="70">
        <v>-12170</v>
      </c>
      <c r="AO908" s="70">
        <v>-2656</v>
      </c>
      <c r="AP908" s="70">
        <v>0</v>
      </c>
      <c r="AQ908" s="417">
        <v>0</v>
      </c>
      <c r="AR908" s="417">
        <v>0</v>
      </c>
    </row>
    <row r="909" spans="1:44">
      <c r="A909" s="439">
        <v>99991</v>
      </c>
      <c r="B909" s="440" t="s">
        <v>1612</v>
      </c>
      <c r="C909" s="437">
        <v>4.0420000000000001E-4</v>
      </c>
      <c r="D909" s="441"/>
      <c r="E909" s="438">
        <v>312720.89040000003</v>
      </c>
      <c r="F909" s="442">
        <v>290245.02679999999</v>
      </c>
      <c r="G909" s="442">
        <v>78032.667600000001</v>
      </c>
      <c r="H909" s="442">
        <v>359053.68940000003</v>
      </c>
      <c r="I909" s="442">
        <v>0</v>
      </c>
      <c r="J909" s="443">
        <v>3.3500000000000001E-5</v>
      </c>
      <c r="K909" s="443"/>
      <c r="L909" s="444">
        <v>65127.5334</v>
      </c>
      <c r="M909" s="444">
        <v>26704.2814</v>
      </c>
      <c r="N909" s="444">
        <v>-3210.5606000000002</v>
      </c>
      <c r="O909" s="444">
        <v>0</v>
      </c>
      <c r="P909" s="417">
        <v>0</v>
      </c>
      <c r="Q909" s="378">
        <v>3.3500000000000001E-5</v>
      </c>
      <c r="R909" s="378"/>
      <c r="S909" s="70">
        <v>158346.5626</v>
      </c>
      <c r="T909" s="105">
        <v>148202.75940000001</v>
      </c>
      <c r="U909" s="70">
        <v>88048.502800000002</v>
      </c>
      <c r="V909" s="70">
        <v>359053.68940000003</v>
      </c>
      <c r="W909" s="417">
        <v>0</v>
      </c>
      <c r="X909" s="378">
        <v>3.3500000000000001E-5</v>
      </c>
      <c r="Z909" s="70">
        <v>113760.069</v>
      </c>
      <c r="AA909" s="70">
        <v>113759.26060000001</v>
      </c>
      <c r="AB909" s="70">
        <v>0</v>
      </c>
      <c r="AC909" s="417">
        <v>0</v>
      </c>
      <c r="AD909" s="417">
        <v>0</v>
      </c>
      <c r="AE909" s="378">
        <v>3.3500000000000001E-5</v>
      </c>
      <c r="AF909" s="378"/>
      <c r="AG909" s="70">
        <v>8384</v>
      </c>
      <c r="AH909" s="70">
        <v>8384</v>
      </c>
      <c r="AI909" s="70">
        <v>0</v>
      </c>
      <c r="AJ909" s="417">
        <v>0</v>
      </c>
      <c r="AK909" s="417">
        <v>0</v>
      </c>
      <c r="AL909" s="378">
        <v>3.3500000000000001E-5</v>
      </c>
      <c r="AM909" s="378"/>
      <c r="AN909" s="70">
        <v>-32897.274600000004</v>
      </c>
      <c r="AO909" s="70">
        <v>-6805.2746000000043</v>
      </c>
      <c r="AP909" s="70">
        <v>-6805.2746000000043</v>
      </c>
      <c r="AQ909" s="417">
        <v>0</v>
      </c>
      <c r="AR909" s="417">
        <v>0</v>
      </c>
    </row>
    <row r="910" spans="1:44">
      <c r="A910" s="439">
        <v>99999</v>
      </c>
      <c r="B910" s="440" t="s">
        <v>1613</v>
      </c>
      <c r="C910" s="437">
        <v>1.0696E-3</v>
      </c>
      <c r="D910" s="441"/>
      <c r="E910" s="438">
        <v>1027719.1023</v>
      </c>
      <c r="F910" s="442">
        <v>848900.10549999995</v>
      </c>
      <c r="G910" s="442">
        <v>284722.49589999998</v>
      </c>
      <c r="H910" s="442">
        <v>950133.16720000003</v>
      </c>
      <c r="I910" s="442">
        <v>0</v>
      </c>
      <c r="J910" s="443">
        <v>5.5099999999999998E-5</v>
      </c>
      <c r="K910" s="443"/>
      <c r="L910" s="444">
        <v>172341.43919999999</v>
      </c>
      <c r="M910" s="444">
        <v>70665.263200000001</v>
      </c>
      <c r="N910" s="444">
        <v>-8495.8328000000001</v>
      </c>
      <c r="O910" s="444">
        <v>0</v>
      </c>
      <c r="P910" s="417">
        <v>0</v>
      </c>
      <c r="Q910" s="378">
        <v>5.5099999999999998E-5</v>
      </c>
      <c r="R910" s="378"/>
      <c r="S910" s="70">
        <v>419019.00880000001</v>
      </c>
      <c r="T910" s="105">
        <v>392176.3272</v>
      </c>
      <c r="U910" s="70">
        <v>232995.2464</v>
      </c>
      <c r="V910" s="70">
        <v>950133.16720000003</v>
      </c>
      <c r="W910" s="417">
        <v>0</v>
      </c>
      <c r="X910" s="378">
        <v>5.5099999999999998E-5</v>
      </c>
      <c r="Z910" s="70">
        <v>301033.57199999999</v>
      </c>
      <c r="AA910" s="70">
        <v>301031.43280000001</v>
      </c>
      <c r="AB910" s="70">
        <v>0</v>
      </c>
      <c r="AC910" s="417">
        <v>0</v>
      </c>
      <c r="AD910" s="417">
        <v>0</v>
      </c>
      <c r="AE910" s="378">
        <v>5.5099999999999998E-5</v>
      </c>
      <c r="AF910" s="378"/>
      <c r="AG910" s="70">
        <v>135325.08230000001</v>
      </c>
      <c r="AH910" s="70">
        <v>85027.082300000009</v>
      </c>
      <c r="AI910" s="70">
        <v>60223.082300000009</v>
      </c>
      <c r="AJ910" s="417">
        <v>0</v>
      </c>
      <c r="AK910" s="417">
        <v>0</v>
      </c>
      <c r="AL910" s="378">
        <v>5.5099999999999998E-5</v>
      </c>
      <c r="AM910" s="378"/>
      <c r="AN910" s="70">
        <v>0</v>
      </c>
      <c r="AO910" s="70">
        <v>0</v>
      </c>
      <c r="AP910" s="70">
        <v>0</v>
      </c>
      <c r="AQ910" s="417">
        <v>0</v>
      </c>
      <c r="AR910" s="417">
        <v>0</v>
      </c>
    </row>
    <row r="911" spans="1:44">
      <c r="A911" s="449"/>
      <c r="B911" s="440"/>
      <c r="C911" s="437"/>
      <c r="D911" s="443"/>
      <c r="E911" s="438"/>
      <c r="F911" s="448"/>
      <c r="G911" s="448"/>
      <c r="H911" s="448"/>
      <c r="I911" s="448"/>
      <c r="J911" s="443"/>
      <c r="K911" s="443"/>
      <c r="L911" s="448"/>
      <c r="M911" s="448"/>
      <c r="N911" s="448"/>
      <c r="O911" s="448"/>
      <c r="P911" s="417"/>
      <c r="Q911" s="378">
        <v>7.6000000000000001E-6</v>
      </c>
      <c r="R911" s="378"/>
      <c r="S911" s="70"/>
      <c r="T911" s="417"/>
      <c r="U911" s="417"/>
      <c r="V911" s="417"/>
      <c r="W911" s="417"/>
      <c r="X911" s="378"/>
      <c r="Z911" s="417"/>
      <c r="AA911" s="417"/>
      <c r="AB911" s="417"/>
      <c r="AC911" s="417"/>
      <c r="AD911" s="417"/>
      <c r="AE911" s="378"/>
      <c r="AF911" s="378"/>
      <c r="AG911" s="417"/>
      <c r="AH911" s="417"/>
      <c r="AI911" s="417"/>
      <c r="AJ911" s="417"/>
      <c r="AK911" s="417"/>
      <c r="AL911" s="378"/>
      <c r="AM911" s="378"/>
      <c r="AN911" s="417"/>
      <c r="AO911" s="417"/>
      <c r="AP911" s="417"/>
      <c r="AQ911" s="417"/>
      <c r="AR911" s="417"/>
    </row>
    <row r="912" spans="1:44">
      <c r="B912" s="436"/>
      <c r="C912" s="437"/>
      <c r="D912" s="378"/>
      <c r="E912" s="438"/>
      <c r="F912" s="417"/>
      <c r="G912" s="417"/>
      <c r="H912" s="417"/>
      <c r="I912" s="417"/>
      <c r="J912" s="378"/>
      <c r="K912" s="378"/>
      <c r="L912" s="417"/>
      <c r="M912" s="417"/>
      <c r="N912" s="417"/>
      <c r="O912" s="417"/>
      <c r="P912" s="417"/>
      <c r="Q912" s="378">
        <v>1.4748999999999999E-3</v>
      </c>
      <c r="R912" s="378"/>
      <c r="S912" s="70"/>
      <c r="T912" s="417"/>
      <c r="U912" s="417"/>
      <c r="V912" s="417"/>
      <c r="W912" s="417"/>
      <c r="X912" s="378"/>
      <c r="Z912" s="417"/>
      <c r="AA912" s="417"/>
      <c r="AB912" s="417"/>
      <c r="AC912" s="417"/>
      <c r="AD912" s="417"/>
      <c r="AE912" s="378"/>
      <c r="AF912" s="378"/>
      <c r="AG912" s="417"/>
      <c r="AH912" s="417"/>
      <c r="AI912" s="417"/>
      <c r="AJ912" s="417"/>
      <c r="AK912" s="417"/>
      <c r="AL912" s="378"/>
      <c r="AM912" s="378"/>
      <c r="AN912" s="417"/>
      <c r="AO912" s="417"/>
      <c r="AP912" s="417"/>
      <c r="AQ912" s="417"/>
      <c r="AR912" s="417"/>
    </row>
    <row r="913" spans="2:44">
      <c r="B913" s="436"/>
      <c r="C913" s="437"/>
      <c r="D913" s="378"/>
      <c r="E913" s="438"/>
      <c r="F913" s="417"/>
      <c r="G913" s="417"/>
      <c r="H913" s="417"/>
      <c r="I913" s="417"/>
      <c r="J913" s="378"/>
      <c r="K913" s="378"/>
      <c r="L913" s="417"/>
      <c r="M913" s="417"/>
      <c r="N913" s="417"/>
      <c r="O913" s="417"/>
      <c r="P913" s="417"/>
      <c r="Q913" s="378">
        <v>2.4499999999999999E-4</v>
      </c>
      <c r="R913" s="378"/>
      <c r="S913" s="70"/>
      <c r="T913" s="417"/>
      <c r="U913" s="417"/>
      <c r="V913" s="417"/>
      <c r="W913" s="417"/>
      <c r="X913" s="378"/>
      <c r="Z913" s="417"/>
      <c r="AA913" s="417"/>
      <c r="AB913" s="417"/>
      <c r="AC913" s="417"/>
      <c r="AD913" s="417"/>
      <c r="AE913" s="378"/>
      <c r="AF913" s="378"/>
      <c r="AG913" s="417"/>
      <c r="AH913" s="417"/>
      <c r="AI913" s="417"/>
      <c r="AJ913" s="417"/>
      <c r="AK913" s="417"/>
      <c r="AL913" s="378"/>
      <c r="AM913" s="378"/>
      <c r="AN913" s="417"/>
      <c r="AO913" s="417"/>
      <c r="AP913" s="417"/>
      <c r="AQ913" s="417"/>
      <c r="AR913" s="417"/>
    </row>
    <row r="914" spans="2:44">
      <c r="B914" s="436"/>
      <c r="C914" s="437"/>
      <c r="D914" s="378"/>
      <c r="E914" s="438"/>
      <c r="F914" s="417"/>
      <c r="G914" s="417"/>
      <c r="H914" s="417"/>
      <c r="I914" s="417"/>
      <c r="J914" s="378"/>
      <c r="K914" s="378"/>
      <c r="L914" s="417"/>
      <c r="M914" s="417"/>
      <c r="N914" s="417"/>
      <c r="O914" s="417"/>
      <c r="P914" s="417"/>
      <c r="Q914" s="378">
        <v>1.4080000000000001E-4</v>
      </c>
      <c r="R914" s="378"/>
      <c r="S914" s="70"/>
      <c r="T914" s="417"/>
      <c r="U914" s="417"/>
      <c r="V914" s="417"/>
      <c r="W914" s="417"/>
      <c r="X914" s="378"/>
      <c r="Z914" s="417"/>
      <c r="AA914" s="417"/>
      <c r="AB914" s="417"/>
      <c r="AC914" s="417"/>
      <c r="AD914" s="417"/>
      <c r="AE914" s="378"/>
      <c r="AF914" s="378"/>
      <c r="AG914" s="417"/>
      <c r="AH914" s="417"/>
      <c r="AI914" s="417"/>
      <c r="AJ914" s="417"/>
      <c r="AK914" s="417"/>
      <c r="AL914" s="378"/>
      <c r="AM914" s="378"/>
      <c r="AN914" s="417"/>
      <c r="AO914" s="417"/>
      <c r="AP914" s="417"/>
      <c r="AQ914" s="417"/>
      <c r="AR914" s="417"/>
    </row>
    <row r="915" spans="2:44">
      <c r="B915" s="436"/>
      <c r="C915" s="437"/>
      <c r="D915" s="378"/>
      <c r="E915" s="438"/>
      <c r="F915" s="417"/>
      <c r="G915" s="417"/>
      <c r="H915" s="417"/>
      <c r="I915" s="417"/>
      <c r="J915" s="378"/>
      <c r="K915" s="378"/>
      <c r="L915" s="417"/>
      <c r="M915" s="417"/>
      <c r="N915" s="417"/>
      <c r="O915" s="417"/>
      <c r="P915" s="417"/>
      <c r="Q915" s="378">
        <v>2.7399999999999999E-5</v>
      </c>
      <c r="R915" s="378"/>
      <c r="S915" s="70"/>
      <c r="T915" s="417"/>
      <c r="U915" s="417"/>
      <c r="V915" s="417"/>
      <c r="W915" s="417"/>
      <c r="X915" s="378"/>
      <c r="Z915" s="417"/>
      <c r="AA915" s="417"/>
      <c r="AB915" s="417"/>
      <c r="AC915" s="417"/>
      <c r="AD915" s="417"/>
      <c r="AE915" s="378"/>
      <c r="AF915" s="378"/>
      <c r="AG915" s="417"/>
      <c r="AH915" s="417"/>
      <c r="AI915" s="417"/>
      <c r="AJ915" s="417"/>
      <c r="AK915" s="417"/>
      <c r="AL915" s="378"/>
      <c r="AM915" s="378"/>
      <c r="AN915" s="417"/>
      <c r="AO915" s="417"/>
      <c r="AP915" s="417"/>
      <c r="AQ915" s="417"/>
      <c r="AR915" s="417"/>
    </row>
    <row r="916" spans="2:44">
      <c r="B916" s="436"/>
      <c r="C916" s="437"/>
      <c r="D916" s="378"/>
      <c r="E916" s="438"/>
      <c r="F916" s="417"/>
      <c r="G916" s="417"/>
      <c r="H916" s="417"/>
      <c r="I916" s="417"/>
      <c r="J916" s="378"/>
      <c r="K916" s="378"/>
      <c r="L916" s="417"/>
      <c r="M916" s="417"/>
      <c r="N916" s="417"/>
      <c r="O916" s="417"/>
      <c r="P916" s="417"/>
      <c r="Q916" s="378">
        <v>5.52E-5</v>
      </c>
      <c r="R916" s="378"/>
      <c r="S916" s="70"/>
      <c r="T916" s="417"/>
      <c r="U916" s="417"/>
      <c r="V916" s="417"/>
      <c r="W916" s="417"/>
      <c r="X916" s="378"/>
      <c r="Z916" s="417"/>
      <c r="AA916" s="417"/>
      <c r="AB916" s="417"/>
      <c r="AC916" s="417"/>
      <c r="AD916" s="417"/>
      <c r="AE916" s="378"/>
      <c r="AF916" s="378"/>
      <c r="AG916" s="417"/>
      <c r="AH916" s="417"/>
      <c r="AI916" s="417"/>
      <c r="AJ916" s="417"/>
      <c r="AK916" s="417"/>
      <c r="AL916" s="378"/>
      <c r="AM916" s="378"/>
      <c r="AN916" s="417"/>
      <c r="AO916" s="417"/>
      <c r="AP916" s="417"/>
      <c r="AQ916" s="417"/>
      <c r="AR916" s="417"/>
    </row>
    <row r="917" spans="2:44">
      <c r="B917" s="436"/>
      <c r="C917" s="437"/>
      <c r="D917" s="378"/>
      <c r="E917" s="438"/>
      <c r="F917" s="417"/>
      <c r="G917" s="417"/>
      <c r="H917" s="417"/>
      <c r="I917" s="417"/>
      <c r="J917" s="378"/>
      <c r="K917" s="378"/>
      <c r="L917" s="417"/>
      <c r="M917" s="417"/>
      <c r="N917" s="417"/>
      <c r="O917" s="417"/>
      <c r="P917" s="417"/>
      <c r="Q917" s="378">
        <v>4.4989999999999999E-4</v>
      </c>
      <c r="R917" s="378"/>
      <c r="S917" s="70"/>
      <c r="T917" s="417"/>
      <c r="U917" s="417"/>
      <c r="V917" s="417"/>
      <c r="W917" s="417"/>
      <c r="X917" s="378"/>
      <c r="Z917" s="417"/>
      <c r="AA917" s="417"/>
      <c r="AB917" s="417"/>
      <c r="AC917" s="417"/>
      <c r="AD917" s="417"/>
      <c r="AE917" s="378"/>
      <c r="AF917" s="378"/>
      <c r="AG917" s="417"/>
      <c r="AH917" s="417"/>
      <c r="AI917" s="417"/>
      <c r="AJ917" s="417"/>
      <c r="AK917" s="417"/>
      <c r="AL917" s="378"/>
      <c r="AM917" s="378"/>
      <c r="AN917" s="417"/>
      <c r="AO917" s="417"/>
      <c r="AP917" s="417"/>
      <c r="AQ917" s="417"/>
      <c r="AR917" s="417"/>
    </row>
    <row r="918" spans="2:44">
      <c r="B918" s="436"/>
      <c r="C918" s="437"/>
      <c r="D918" s="378"/>
      <c r="E918" s="438"/>
      <c r="F918" s="417"/>
      <c r="G918" s="417"/>
      <c r="H918" s="417"/>
      <c r="I918" s="417"/>
      <c r="J918" s="378"/>
      <c r="K918" s="378"/>
      <c r="L918" s="417"/>
      <c r="M918" s="417"/>
      <c r="N918" s="417"/>
      <c r="O918" s="417"/>
      <c r="P918" s="417"/>
      <c r="Q918" s="378">
        <v>9.9799999999999997E-4</v>
      </c>
      <c r="R918" s="378"/>
      <c r="S918" s="70"/>
      <c r="T918" s="417"/>
      <c r="U918" s="417"/>
      <c r="V918" s="417"/>
      <c r="W918" s="417"/>
      <c r="X918" s="378"/>
      <c r="Z918" s="417"/>
      <c r="AA918" s="417"/>
      <c r="AB918" s="417"/>
      <c r="AC918" s="417"/>
      <c r="AD918" s="417"/>
      <c r="AE918" s="378"/>
      <c r="AF918" s="378"/>
      <c r="AG918" s="417"/>
      <c r="AH918" s="417"/>
      <c r="AI918" s="417"/>
      <c r="AJ918" s="417"/>
      <c r="AK918" s="417"/>
      <c r="AL918" s="378"/>
      <c r="AM918" s="378"/>
      <c r="AN918" s="417"/>
      <c r="AO918" s="417"/>
      <c r="AP918" s="417"/>
      <c r="AQ918" s="417"/>
      <c r="AR918" s="417"/>
    </row>
    <row r="919" spans="2:44">
      <c r="C919" s="378"/>
      <c r="D919" s="378"/>
      <c r="E919" s="417"/>
      <c r="F919" s="417"/>
      <c r="G919" s="417"/>
      <c r="H919" s="417"/>
      <c r="I919" s="417"/>
      <c r="J919" s="378"/>
      <c r="K919" s="378"/>
      <c r="L919" s="417"/>
      <c r="M919" s="417"/>
      <c r="N919" s="417"/>
      <c r="O919" s="417"/>
      <c r="Q919" s="378"/>
      <c r="R919" s="378"/>
      <c r="S919" s="417"/>
      <c r="T919" s="417"/>
      <c r="U919" s="417"/>
      <c r="V919" s="417"/>
      <c r="W919" s="417"/>
      <c r="X919" s="378"/>
      <c r="Z919" s="417"/>
      <c r="AA919" s="417"/>
      <c r="AB919" s="417"/>
      <c r="AC919" s="417"/>
      <c r="AD919" s="417"/>
      <c r="AE919" s="378"/>
      <c r="AF919" s="378"/>
      <c r="AG919" s="417"/>
      <c r="AH919" s="417"/>
      <c r="AI919" s="417"/>
      <c r="AJ919" s="417"/>
      <c r="AK919" s="417"/>
      <c r="AL919" s="378"/>
      <c r="AM919" s="378"/>
      <c r="AN919" s="417"/>
      <c r="AO919" s="417"/>
      <c r="AP919" s="417"/>
      <c r="AQ919" s="417"/>
      <c r="AR919" s="417"/>
    </row>
    <row r="920" spans="2:44">
      <c r="C920" s="378">
        <f>SUM(C7:C919)</f>
        <v>1.0000000000000002</v>
      </c>
      <c r="D920" s="378"/>
      <c r="E920" s="418">
        <f>SUM(E7:E919)</f>
        <v>834325060.84000099</v>
      </c>
      <c r="F920" s="418">
        <f t="shared" ref="F920:H920" si="1">SUM(F7:F919)</f>
        <v>714166977.84000111</v>
      </c>
      <c r="G920" s="418">
        <f t="shared" si="1"/>
        <v>209890990.84000003</v>
      </c>
      <c r="H920" s="418">
        <f t="shared" si="1"/>
        <v>888306999.99999928</v>
      </c>
      <c r="I920" s="417">
        <v>0</v>
      </c>
      <c r="J920" s="378">
        <f>SUM(J7:J919)</f>
        <v>0.9966012000000003</v>
      </c>
      <c r="K920" s="378"/>
      <c r="L920" s="418">
        <f>SUM(L7:L919)</f>
        <v>161126999.99999976</v>
      </c>
      <c r="M920" s="418">
        <f t="shared" ref="M920:N920" si="2">SUM(M7:M919)</f>
        <v>66067000.00000003</v>
      </c>
      <c r="N920" s="418">
        <f t="shared" si="2"/>
        <v>-7942999.9999999953</v>
      </c>
      <c r="O920" s="417">
        <v>0</v>
      </c>
      <c r="Q920" s="378">
        <f>SUM(Q7:Q919)</f>
        <v>1.0000000000000004</v>
      </c>
      <c r="R920" s="378"/>
      <c r="S920" s="418">
        <f>SUM(S7:S919)</f>
        <v>391752999.99999964</v>
      </c>
      <c r="T920" s="418">
        <f t="shared" ref="T920:V920" si="3">SUM(T7:T919)</f>
        <v>366657000.00000072</v>
      </c>
      <c r="U920" s="418">
        <f t="shared" si="3"/>
        <v>217833999.99999997</v>
      </c>
      <c r="V920" s="418">
        <f t="shared" si="3"/>
        <v>888306999.99999928</v>
      </c>
      <c r="W920" s="417">
        <v>0</v>
      </c>
      <c r="X920" s="378">
        <f>SUM(X7:X919)</f>
        <v>0.9966012000000003</v>
      </c>
      <c r="Z920" s="418">
        <f>SUM(Z7:Z919)</f>
        <v>281445000.00000012</v>
      </c>
      <c r="AA920" s="418">
        <f t="shared" ref="AA920:AB920" si="4">SUM(AA7:AA919)</f>
        <v>281443000.00000018</v>
      </c>
      <c r="AB920" s="418">
        <f t="shared" si="4"/>
        <v>0</v>
      </c>
      <c r="AC920" s="417">
        <v>0</v>
      </c>
      <c r="AD920" s="417">
        <v>0</v>
      </c>
      <c r="AE920" s="378">
        <f>SUM(AE7:AE919)</f>
        <v>0.9966012000000003</v>
      </c>
      <c r="AF920" s="378"/>
      <c r="AG920" s="418">
        <f>SUM(AG7:AG919)</f>
        <v>36997661.732499979</v>
      </c>
      <c r="AH920" s="418">
        <f t="shared" ref="AH920:AI920" si="5">SUM(AH7:AH919)</f>
        <v>25186576.732500017</v>
      </c>
      <c r="AI920" s="418">
        <f t="shared" si="5"/>
        <v>12804366.732499985</v>
      </c>
      <c r="AJ920" s="417">
        <v>0</v>
      </c>
      <c r="AK920" s="417">
        <v>0</v>
      </c>
      <c r="AL920" s="378">
        <f>SUM(AL7:AL919)</f>
        <v>0.9966012000000003</v>
      </c>
      <c r="AM920" s="378"/>
      <c r="AN920" s="418">
        <f>SUM(AN7:AN919)</f>
        <v>-36997600.892500021</v>
      </c>
      <c r="AO920" s="418">
        <f t="shared" ref="AO920:AP920" si="6">SUM(AO7:AO919)</f>
        <v>-25186598.892500002</v>
      </c>
      <c r="AP920" s="418">
        <f t="shared" si="6"/>
        <v>-12804375.892500008</v>
      </c>
      <c r="AQ920" s="417">
        <v>0</v>
      </c>
      <c r="AR920" s="417">
        <v>0</v>
      </c>
    </row>
    <row r="921" spans="2:44">
      <c r="C921" s="378"/>
      <c r="D921" s="378"/>
      <c r="E921" s="417"/>
      <c r="F921" s="417"/>
      <c r="G921" s="417"/>
      <c r="H921" s="417"/>
      <c r="I921" s="417"/>
    </row>
    <row r="922" spans="2:44">
      <c r="C922" s="378"/>
      <c r="D922" s="378"/>
      <c r="E922" s="417"/>
      <c r="F922" s="417"/>
      <c r="G922" s="417"/>
      <c r="H922" s="417"/>
      <c r="I922" s="417"/>
    </row>
    <row r="923" spans="2:44">
      <c r="C923" s="378"/>
      <c r="D923" s="378"/>
      <c r="E923" s="417"/>
      <c r="F923" s="417"/>
      <c r="G923" s="417"/>
      <c r="H923" s="417"/>
      <c r="I923" s="417"/>
    </row>
    <row r="924" spans="2:44">
      <c r="C924" s="378"/>
      <c r="D924" s="378"/>
      <c r="E924" s="417"/>
      <c r="F924" s="417"/>
      <c r="G924" s="417"/>
      <c r="H924" s="417"/>
      <c r="I924" s="417"/>
    </row>
    <row r="925" spans="2:44">
      <c r="C925" s="378"/>
      <c r="D925" s="378"/>
      <c r="E925" s="417"/>
      <c r="F925" s="417"/>
      <c r="G925" s="417"/>
      <c r="H925" s="417"/>
      <c r="I925" s="417"/>
    </row>
    <row r="926" spans="2:44">
      <c r="C926" s="378"/>
      <c r="D926" s="378"/>
      <c r="E926" s="417"/>
      <c r="F926" s="417"/>
      <c r="G926" s="417"/>
      <c r="H926" s="417"/>
      <c r="I926" s="417"/>
    </row>
    <row r="927" spans="2:44">
      <c r="C927" s="378"/>
      <c r="D927" s="378"/>
      <c r="E927" s="417"/>
      <c r="F927" s="417"/>
      <c r="G927" s="417"/>
      <c r="H927" s="417"/>
      <c r="I927" s="417"/>
    </row>
    <row r="928" spans="2:44">
      <c r="C928" s="378"/>
      <c r="D928" s="378"/>
      <c r="E928" s="417"/>
      <c r="F928" s="417"/>
      <c r="G928" s="417"/>
      <c r="H928" s="417"/>
      <c r="I928" s="417"/>
    </row>
    <row r="929" spans="3:9">
      <c r="C929" s="378"/>
      <c r="D929" s="378"/>
      <c r="E929" s="417"/>
      <c r="F929" s="417"/>
      <c r="G929" s="417"/>
      <c r="H929" s="417"/>
      <c r="I929" s="417"/>
    </row>
    <row r="930" spans="3:9">
      <c r="C930" s="378"/>
      <c r="D930" s="378"/>
      <c r="E930" s="417"/>
      <c r="F930" s="417"/>
      <c r="G930" s="417"/>
      <c r="H930" s="417"/>
      <c r="I930" s="417"/>
    </row>
    <row r="931" spans="3:9">
      <c r="E931" s="417"/>
      <c r="F931" s="417"/>
      <c r="G931" s="417"/>
      <c r="H931" s="417" t="s">
        <v>1924</v>
      </c>
      <c r="I931" s="417"/>
    </row>
    <row r="932" spans="3:9">
      <c r="C932" s="341"/>
      <c r="E932" s="417"/>
      <c r="F932" s="417"/>
      <c r="G932" s="417"/>
      <c r="H932" s="417"/>
      <c r="I932" s="417"/>
    </row>
    <row r="933" spans="3:9">
      <c r="C933" s="419"/>
      <c r="E933" s="417"/>
      <c r="F933" s="417"/>
      <c r="G933" s="417"/>
      <c r="H933" s="417"/>
      <c r="I933" s="417"/>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V933"/>
  <sheetViews>
    <sheetView workbookViewId="0">
      <selection sqref="A1:XFD1"/>
    </sheetView>
  </sheetViews>
  <sheetFormatPr defaultRowHeight="15"/>
  <cols>
    <col min="1" max="1" width="10.7109375" style="377" customWidth="1"/>
    <col min="2" max="2" width="58.7109375" customWidth="1"/>
    <col min="3" max="3" width="14.7109375" customWidth="1"/>
    <col min="4" max="4" width="1.7109375" customWidth="1"/>
    <col min="5" max="5" width="22.140625" customWidth="1"/>
    <col min="6" max="9" width="18.7109375" customWidth="1"/>
    <col min="10" max="10" width="11" hidden="1" customWidth="1"/>
    <col min="11" max="11" width="2.5703125" customWidth="1"/>
    <col min="12" max="12" width="22" customWidth="1"/>
    <col min="13" max="13" width="18" customWidth="1"/>
    <col min="14" max="14" width="17.5703125" customWidth="1"/>
    <col min="15" max="15" width="11.28515625" customWidth="1"/>
    <col min="16" max="16" width="12.7109375" customWidth="1"/>
    <col min="17" max="17" width="16.140625" hidden="1" customWidth="1"/>
    <col min="18" max="18" width="2.85546875" customWidth="1"/>
    <col min="19" max="19" width="19.85546875" customWidth="1"/>
    <col min="20" max="20" width="20" customWidth="1"/>
    <col min="21" max="21" width="26.28515625" customWidth="1"/>
    <col min="22" max="22" width="22.7109375" customWidth="1"/>
    <col min="23" max="23" width="14" customWidth="1"/>
    <col min="24" max="24" width="0" hidden="1" customWidth="1"/>
    <col min="25" max="25" width="2.5703125" customWidth="1"/>
    <col min="26" max="26" width="16.85546875" customWidth="1"/>
    <col min="27" max="27" width="18.28515625" customWidth="1"/>
    <col min="28" max="28" width="15.85546875" customWidth="1"/>
    <col min="29" max="29" width="12.5703125" customWidth="1"/>
    <col min="30" max="30" width="14" customWidth="1"/>
    <col min="31" max="31" width="14.85546875" hidden="1" customWidth="1"/>
    <col min="32" max="32" width="2.5703125" customWidth="1"/>
    <col min="33" max="33" width="18.5703125" customWidth="1"/>
    <col min="34" max="35" width="18.28515625" customWidth="1"/>
    <col min="36" max="36" width="18.7109375" customWidth="1"/>
    <col min="37" max="37" width="18.5703125" customWidth="1"/>
    <col min="38" max="38" width="13.7109375" hidden="1" customWidth="1"/>
    <col min="39" max="39" width="2.28515625" customWidth="1"/>
    <col min="40" max="40" width="18.85546875" customWidth="1"/>
    <col min="41" max="41" width="20" customWidth="1"/>
    <col min="42" max="42" width="19.5703125" customWidth="1"/>
    <col min="43" max="43" width="18.85546875" customWidth="1"/>
    <col min="44" max="44" width="18.28515625" customWidth="1"/>
  </cols>
  <sheetData>
    <row r="1" spans="1:44" s="293" customFormat="1">
      <c r="A1" s="375"/>
    </row>
    <row r="2" spans="1:44" s="293" customFormat="1">
      <c r="A2" s="375"/>
      <c r="B2" s="293" t="s">
        <v>711</v>
      </c>
      <c r="C2" s="420">
        <f>SUM(C7:C919)</f>
        <v>1.0000000000000004</v>
      </c>
      <c r="E2" s="421">
        <f>SUM(E7:E919)</f>
        <v>143116385</v>
      </c>
      <c r="F2" s="421">
        <f t="shared" ref="F2:AR2" si="0">SUM(F7:F919)</f>
        <v>-45978117</v>
      </c>
      <c r="G2" s="421">
        <f t="shared" si="0"/>
        <v>-166196023</v>
      </c>
      <c r="H2" s="421">
        <f t="shared" si="0"/>
        <v>-670474008</v>
      </c>
      <c r="I2" s="421">
        <f t="shared" si="0"/>
        <v>0</v>
      </c>
      <c r="J2" s="421">
        <f t="shared" si="0"/>
        <v>1.0000000000000004</v>
      </c>
      <c r="K2" s="421">
        <f t="shared" si="0"/>
        <v>0</v>
      </c>
      <c r="L2" s="421">
        <f t="shared" si="0"/>
        <v>244807986</v>
      </c>
      <c r="M2" s="421">
        <f t="shared" si="0"/>
        <v>169071979</v>
      </c>
      <c r="N2" s="421">
        <f t="shared" si="0"/>
        <v>74012007</v>
      </c>
      <c r="O2" s="421">
        <f t="shared" si="0"/>
        <v>0</v>
      </c>
      <c r="P2" s="421">
        <f t="shared" si="0"/>
        <v>0</v>
      </c>
      <c r="Q2" s="421">
        <f t="shared" si="0"/>
        <v>1.0000000000000004</v>
      </c>
      <c r="R2" s="421">
        <f t="shared" si="0"/>
        <v>0</v>
      </c>
      <c r="S2" s="421">
        <f t="shared" si="0"/>
        <v>-502367976</v>
      </c>
      <c r="T2" s="421">
        <f t="shared" si="0"/>
        <v>-496555005</v>
      </c>
      <c r="U2" s="421">
        <f t="shared" si="0"/>
        <v>-521651015</v>
      </c>
      <c r="V2" s="421">
        <f t="shared" si="0"/>
        <v>-670474008</v>
      </c>
      <c r="W2" s="421">
        <f t="shared" si="0"/>
        <v>0</v>
      </c>
      <c r="X2" s="421">
        <f t="shared" si="0"/>
        <v>1.0000000000000004</v>
      </c>
      <c r="Y2" s="421">
        <f t="shared" si="0"/>
        <v>0</v>
      </c>
      <c r="Z2" s="421">
        <f t="shared" si="0"/>
        <v>400602003</v>
      </c>
      <c r="AA2" s="421">
        <f t="shared" si="0"/>
        <v>281445003</v>
      </c>
      <c r="AB2" s="421">
        <f t="shared" si="0"/>
        <v>281442998</v>
      </c>
      <c r="AC2" s="421">
        <f t="shared" si="0"/>
        <v>0</v>
      </c>
      <c r="AD2" s="421">
        <f t="shared" si="0"/>
        <v>0</v>
      </c>
      <c r="AE2" s="421">
        <f t="shared" si="0"/>
        <v>1.0000000000000004</v>
      </c>
      <c r="AF2" s="421">
        <f t="shared" si="0"/>
        <v>0</v>
      </c>
      <c r="AG2" s="421">
        <f t="shared" si="0"/>
        <v>27795704</v>
      </c>
      <c r="AH2" s="421">
        <f t="shared" si="0"/>
        <v>24193338</v>
      </c>
      <c r="AI2" s="421">
        <f t="shared" si="0"/>
        <v>12382210</v>
      </c>
      <c r="AJ2" s="421">
        <f t="shared" si="0"/>
        <v>0</v>
      </c>
      <c r="AK2" s="421">
        <f t="shared" si="0"/>
        <v>0</v>
      </c>
      <c r="AL2" s="421">
        <f t="shared" si="0"/>
        <v>1.0000000000000004</v>
      </c>
      <c r="AM2" s="420">
        <f t="shared" si="0"/>
        <v>0</v>
      </c>
      <c r="AN2" s="421">
        <f t="shared" si="0"/>
        <v>-27795592</v>
      </c>
      <c r="AO2" s="421">
        <f t="shared" si="0"/>
        <v>-24193280</v>
      </c>
      <c r="AP2" s="421">
        <f t="shared" si="0"/>
        <v>-12382223</v>
      </c>
      <c r="AQ2" s="421">
        <f t="shared" si="0"/>
        <v>0</v>
      </c>
      <c r="AR2" s="421">
        <f t="shared" si="0"/>
        <v>0</v>
      </c>
    </row>
    <row r="3" spans="1:44" s="293" customFormat="1">
      <c r="A3" s="375"/>
      <c r="B3" s="293" t="s">
        <v>3751</v>
      </c>
    </row>
    <row r="4" spans="1:44" s="293" customFormat="1">
      <c r="A4" s="375"/>
    </row>
    <row r="5" spans="1:44" s="293" customFormat="1">
      <c r="A5" s="375"/>
      <c r="E5" s="375">
        <v>2022</v>
      </c>
      <c r="F5" s="375">
        <v>2023</v>
      </c>
      <c r="G5" s="375">
        <v>2024</v>
      </c>
      <c r="H5" s="375">
        <v>2025</v>
      </c>
      <c r="I5" s="375">
        <v>2026</v>
      </c>
      <c r="L5" s="375">
        <v>2022</v>
      </c>
      <c r="M5" s="375">
        <v>2023</v>
      </c>
      <c r="N5" s="375">
        <v>2024</v>
      </c>
      <c r="O5" s="375">
        <v>2025</v>
      </c>
      <c r="P5" s="375">
        <v>2026</v>
      </c>
      <c r="S5" s="375">
        <v>2022</v>
      </c>
      <c r="T5" s="375">
        <v>2023</v>
      </c>
      <c r="U5" s="375">
        <v>2024</v>
      </c>
      <c r="V5" s="375">
        <v>2025</v>
      </c>
      <c r="W5" s="375">
        <v>2026</v>
      </c>
      <c r="Z5" s="375">
        <v>2022</v>
      </c>
      <c r="AA5" s="375">
        <v>2023</v>
      </c>
      <c r="AB5" s="375">
        <v>2024</v>
      </c>
      <c r="AC5" s="375">
        <v>2025</v>
      </c>
      <c r="AD5" s="375">
        <v>2026</v>
      </c>
      <c r="AG5" s="375">
        <v>2022</v>
      </c>
      <c r="AH5" s="375">
        <v>2023</v>
      </c>
      <c r="AI5" s="375">
        <v>2024</v>
      </c>
      <c r="AJ5" s="375">
        <v>2025</v>
      </c>
      <c r="AK5" s="375">
        <v>2026</v>
      </c>
      <c r="AN5" s="375">
        <v>2022</v>
      </c>
      <c r="AO5" s="375">
        <v>2023</v>
      </c>
      <c r="AP5" s="375">
        <v>2024</v>
      </c>
      <c r="AQ5" s="375">
        <v>2025</v>
      </c>
      <c r="AR5" s="375">
        <v>2026</v>
      </c>
    </row>
    <row r="6" spans="1:44" s="293" customFormat="1" ht="90" customHeight="1">
      <c r="A6" s="364" t="s">
        <v>0</v>
      </c>
      <c r="B6" s="364" t="s">
        <v>3746</v>
      </c>
      <c r="C6" s="364" t="s">
        <v>3747</v>
      </c>
      <c r="D6" s="364"/>
      <c r="E6" s="364" t="s">
        <v>698</v>
      </c>
      <c r="F6" s="364" t="s">
        <v>698</v>
      </c>
      <c r="G6" s="364" t="s">
        <v>698</v>
      </c>
      <c r="H6" s="364" t="s">
        <v>698</v>
      </c>
      <c r="I6" s="364" t="s">
        <v>698</v>
      </c>
      <c r="J6" s="364" t="s">
        <v>3747</v>
      </c>
      <c r="K6" s="364"/>
      <c r="L6" s="364" t="s">
        <v>3748</v>
      </c>
      <c r="M6" s="364" t="s">
        <v>3748</v>
      </c>
      <c r="N6" s="364" t="s">
        <v>3748</v>
      </c>
      <c r="O6" s="364" t="s">
        <v>3748</v>
      </c>
      <c r="P6" s="364" t="s">
        <v>3748</v>
      </c>
      <c r="Q6" s="364" t="s">
        <v>3747</v>
      </c>
      <c r="R6" s="364"/>
      <c r="S6" s="364" t="s">
        <v>6</v>
      </c>
      <c r="T6" s="364" t="s">
        <v>6</v>
      </c>
      <c r="U6" s="364" t="s">
        <v>6</v>
      </c>
      <c r="V6" s="364" t="s">
        <v>6</v>
      </c>
      <c r="W6" s="364" t="s">
        <v>6</v>
      </c>
      <c r="X6" s="364" t="s">
        <v>3747</v>
      </c>
      <c r="Y6" s="364"/>
      <c r="Z6" s="402" t="s">
        <v>7</v>
      </c>
      <c r="AA6" s="402" t="s">
        <v>7</v>
      </c>
      <c r="AB6" s="402" t="s">
        <v>7</v>
      </c>
      <c r="AC6" s="402" t="s">
        <v>7</v>
      </c>
      <c r="AD6" s="402" t="s">
        <v>7</v>
      </c>
      <c r="AE6" s="364" t="s">
        <v>3747</v>
      </c>
      <c r="AF6" s="364"/>
      <c r="AG6" s="402" t="s">
        <v>3749</v>
      </c>
      <c r="AH6" s="402" t="s">
        <v>3749</v>
      </c>
      <c r="AI6" s="402" t="s">
        <v>3749</v>
      </c>
      <c r="AJ6" s="402" t="s">
        <v>3749</v>
      </c>
      <c r="AK6" s="402" t="s">
        <v>3749</v>
      </c>
      <c r="AL6" s="364" t="s">
        <v>3747</v>
      </c>
      <c r="AM6" s="364"/>
      <c r="AN6" s="402" t="s">
        <v>3750</v>
      </c>
      <c r="AO6" s="402" t="s">
        <v>3750</v>
      </c>
      <c r="AP6" s="402" t="s">
        <v>3750</v>
      </c>
      <c r="AQ6" s="402" t="s">
        <v>3750</v>
      </c>
      <c r="AR6" s="402" t="s">
        <v>3750</v>
      </c>
    </row>
    <row r="7" spans="1:44">
      <c r="A7" s="377">
        <v>70505</v>
      </c>
      <c r="B7" t="s">
        <v>723</v>
      </c>
      <c r="C7" s="378">
        <v>2.8729999999999999E-4</v>
      </c>
      <c r="D7" s="378"/>
      <c r="E7" s="70">
        <v>20841</v>
      </c>
      <c r="F7" s="70">
        <v>-28874</v>
      </c>
      <c r="G7" s="70">
        <v>-52483</v>
      </c>
      <c r="H7" s="70">
        <v>-192627</v>
      </c>
      <c r="I7" s="70">
        <v>0</v>
      </c>
      <c r="J7" s="378">
        <v>2.8729999999999999E-4</v>
      </c>
      <c r="K7" s="378"/>
      <c r="L7" s="70">
        <v>70333</v>
      </c>
      <c r="M7" s="70">
        <v>48574</v>
      </c>
      <c r="N7" s="70">
        <v>21264</v>
      </c>
      <c r="O7" s="70">
        <v>0</v>
      </c>
      <c r="P7" s="70">
        <v>0</v>
      </c>
      <c r="Q7" s="378">
        <v>2.8729999999999999E-4</v>
      </c>
      <c r="R7" s="378"/>
      <c r="S7" s="70">
        <v>-144330</v>
      </c>
      <c r="T7" s="70">
        <v>-142660</v>
      </c>
      <c r="U7" s="70">
        <v>-149870</v>
      </c>
      <c r="V7" s="70">
        <v>-192627</v>
      </c>
      <c r="W7" s="70">
        <v>0</v>
      </c>
      <c r="X7" s="378">
        <v>2.8729999999999999E-4</v>
      </c>
      <c r="Z7" s="70">
        <v>115093</v>
      </c>
      <c r="AA7" s="70">
        <v>80859</v>
      </c>
      <c r="AB7" s="70">
        <v>80859</v>
      </c>
      <c r="AC7" s="70">
        <v>0</v>
      </c>
      <c r="AD7" s="70">
        <v>0</v>
      </c>
      <c r="AE7" s="378">
        <v>2.8729999999999999E-4</v>
      </c>
      <c r="AF7" s="378"/>
      <c r="AG7" s="70">
        <v>0</v>
      </c>
      <c r="AH7" s="70">
        <v>0</v>
      </c>
      <c r="AI7" s="70">
        <v>0</v>
      </c>
      <c r="AJ7" s="70">
        <v>0</v>
      </c>
      <c r="AK7" s="70">
        <v>0</v>
      </c>
      <c r="AL7" s="378">
        <v>2.8729999999999999E-4</v>
      </c>
      <c r="AM7" s="378"/>
      <c r="AN7" s="70">
        <v>-20255</v>
      </c>
      <c r="AO7" s="70">
        <v>-15647</v>
      </c>
      <c r="AP7" s="70">
        <v>-4736</v>
      </c>
      <c r="AQ7" s="70">
        <v>0</v>
      </c>
      <c r="AR7" s="70">
        <v>0</v>
      </c>
    </row>
    <row r="8" spans="1:44">
      <c r="A8" s="377">
        <v>72265</v>
      </c>
      <c r="B8" t="s">
        <v>724</v>
      </c>
      <c r="C8" s="378">
        <v>1.5090000000000001E-4</v>
      </c>
      <c r="D8" s="378"/>
      <c r="E8" s="417">
        <v>29607</v>
      </c>
      <c r="F8" s="417">
        <v>-942</v>
      </c>
      <c r="G8" s="417">
        <v>-23064</v>
      </c>
      <c r="H8" s="417">
        <v>-101175</v>
      </c>
      <c r="I8" s="417">
        <v>0</v>
      </c>
      <c r="J8" s="378">
        <v>1.5090000000000001E-4</v>
      </c>
      <c r="K8" s="378"/>
      <c r="L8" s="417">
        <v>36942</v>
      </c>
      <c r="M8" s="417">
        <v>25513</v>
      </c>
      <c r="N8" s="417">
        <v>11168</v>
      </c>
      <c r="O8" s="417">
        <v>0</v>
      </c>
      <c r="P8" s="417">
        <v>0</v>
      </c>
      <c r="Q8" s="378">
        <v>1.5090000000000001E-4</v>
      </c>
      <c r="R8" s="378"/>
      <c r="S8" s="417">
        <v>-75807</v>
      </c>
      <c r="T8" s="417">
        <v>-74930</v>
      </c>
      <c r="U8" s="417">
        <v>-78717</v>
      </c>
      <c r="V8" s="417">
        <v>-101175</v>
      </c>
      <c r="W8" s="417">
        <v>0</v>
      </c>
      <c r="X8" s="378">
        <v>1.5090000000000001E-4</v>
      </c>
      <c r="Z8" s="417">
        <v>60451</v>
      </c>
      <c r="AA8" s="417">
        <v>42470</v>
      </c>
      <c r="AB8" s="417">
        <v>42470</v>
      </c>
      <c r="AC8" s="417">
        <v>0</v>
      </c>
      <c r="AD8" s="417">
        <v>0</v>
      </c>
      <c r="AE8" s="378">
        <v>1.5090000000000001E-4</v>
      </c>
      <c r="AF8" s="378"/>
      <c r="AG8" s="417">
        <v>9462</v>
      </c>
      <c r="AH8" s="417">
        <v>7445</v>
      </c>
      <c r="AI8" s="417">
        <v>2015</v>
      </c>
      <c r="AJ8" s="417">
        <v>0</v>
      </c>
      <c r="AK8" s="417">
        <v>0</v>
      </c>
      <c r="AL8" s="378">
        <v>1.5090000000000001E-4</v>
      </c>
      <c r="AM8" s="378"/>
      <c r="AN8" s="417">
        <v>-1441</v>
      </c>
      <c r="AO8" s="417">
        <v>-1440</v>
      </c>
      <c r="AP8" s="417">
        <v>0</v>
      </c>
      <c r="AQ8" s="417">
        <v>0</v>
      </c>
      <c r="AR8" s="417">
        <v>0</v>
      </c>
    </row>
    <row r="9" spans="1:44">
      <c r="A9" s="377">
        <v>72593</v>
      </c>
      <c r="B9" t="s">
        <v>725</v>
      </c>
      <c r="C9" s="378">
        <v>6.7000000000000002E-6</v>
      </c>
      <c r="D9" s="378"/>
      <c r="E9" s="417">
        <v>452</v>
      </c>
      <c r="F9" s="417">
        <v>-669</v>
      </c>
      <c r="G9" s="417">
        <v>-1426</v>
      </c>
      <c r="H9" s="417">
        <v>-4492</v>
      </c>
      <c r="I9" s="417">
        <v>0</v>
      </c>
      <c r="J9" s="378">
        <v>6.7000000000000002E-6</v>
      </c>
      <c r="K9" s="378"/>
      <c r="L9" s="417">
        <v>1640</v>
      </c>
      <c r="M9" s="417">
        <v>1133</v>
      </c>
      <c r="N9" s="417">
        <v>496</v>
      </c>
      <c r="O9" s="417">
        <v>0</v>
      </c>
      <c r="P9" s="417">
        <v>0</v>
      </c>
      <c r="Q9" s="378">
        <v>6.7000000000000002E-6</v>
      </c>
      <c r="R9" s="378"/>
      <c r="S9" s="417">
        <v>-3366</v>
      </c>
      <c r="T9" s="417">
        <v>-3327</v>
      </c>
      <c r="U9" s="417">
        <v>-3495</v>
      </c>
      <c r="V9" s="417">
        <v>-4492</v>
      </c>
      <c r="W9" s="417">
        <v>0</v>
      </c>
      <c r="X9" s="378">
        <v>6.7000000000000002E-6</v>
      </c>
      <c r="Z9" s="417">
        <v>2684</v>
      </c>
      <c r="AA9" s="417">
        <v>1886</v>
      </c>
      <c r="AB9" s="417">
        <v>1886</v>
      </c>
      <c r="AC9" s="417">
        <v>0</v>
      </c>
      <c r="AD9" s="417">
        <v>0</v>
      </c>
      <c r="AE9" s="378">
        <v>6.7000000000000002E-6</v>
      </c>
      <c r="AF9" s="378"/>
      <c r="AG9" s="417">
        <v>54</v>
      </c>
      <c r="AH9" s="417">
        <v>55</v>
      </c>
      <c r="AI9" s="417">
        <v>0</v>
      </c>
      <c r="AJ9" s="417">
        <v>0</v>
      </c>
      <c r="AK9" s="417">
        <v>0</v>
      </c>
      <c r="AL9" s="378">
        <v>6.7000000000000002E-6</v>
      </c>
      <c r="AM9" s="378"/>
      <c r="AN9" s="417">
        <v>-560</v>
      </c>
      <c r="AO9" s="417">
        <v>-416</v>
      </c>
      <c r="AP9" s="417">
        <v>-313</v>
      </c>
      <c r="AQ9" s="417">
        <v>0</v>
      </c>
      <c r="AR9" s="417">
        <v>0</v>
      </c>
    </row>
    <row r="10" spans="1:44">
      <c r="A10" s="377">
        <v>72657</v>
      </c>
      <c r="B10" t="s">
        <v>726</v>
      </c>
      <c r="C10" s="378">
        <v>3.0800000000000003E-5</v>
      </c>
      <c r="D10" s="378"/>
      <c r="E10" s="417">
        <v>-1774</v>
      </c>
      <c r="F10" s="417">
        <v>-7088</v>
      </c>
      <c r="G10" s="417">
        <v>-9431</v>
      </c>
      <c r="H10" s="417">
        <v>-20651</v>
      </c>
      <c r="I10" s="417">
        <v>0</v>
      </c>
      <c r="J10" s="378">
        <v>3.0800000000000003E-5</v>
      </c>
      <c r="K10" s="378"/>
      <c r="L10" s="417">
        <v>7540</v>
      </c>
      <c r="M10" s="417">
        <v>5207</v>
      </c>
      <c r="N10" s="417">
        <v>2280</v>
      </c>
      <c r="O10" s="417">
        <v>0</v>
      </c>
      <c r="P10" s="417">
        <v>0</v>
      </c>
      <c r="Q10" s="378">
        <v>3.0800000000000003E-5</v>
      </c>
      <c r="R10" s="378"/>
      <c r="S10" s="417">
        <v>-15473</v>
      </c>
      <c r="T10" s="417">
        <v>-15294</v>
      </c>
      <c r="U10" s="417">
        <v>-16067</v>
      </c>
      <c r="V10" s="417">
        <v>-20651</v>
      </c>
      <c r="W10" s="417">
        <v>0</v>
      </c>
      <c r="X10" s="378">
        <v>3.0800000000000003E-5</v>
      </c>
      <c r="Z10" s="417">
        <v>12339</v>
      </c>
      <c r="AA10" s="417">
        <v>8669</v>
      </c>
      <c r="AB10" s="417">
        <v>8668</v>
      </c>
      <c r="AC10" s="417">
        <v>0</v>
      </c>
      <c r="AD10" s="417">
        <v>0</v>
      </c>
      <c r="AE10" s="378">
        <v>3.0800000000000003E-5</v>
      </c>
      <c r="AF10" s="378"/>
      <c r="AG10" s="417">
        <v>0</v>
      </c>
      <c r="AH10" s="417">
        <v>0</v>
      </c>
      <c r="AI10" s="417">
        <v>0</v>
      </c>
      <c r="AJ10" s="417">
        <v>0</v>
      </c>
      <c r="AK10" s="417">
        <v>0</v>
      </c>
      <c r="AL10" s="378">
        <v>3.0800000000000003E-5</v>
      </c>
      <c r="AM10" s="378"/>
      <c r="AN10" s="417">
        <v>-6180</v>
      </c>
      <c r="AO10" s="417">
        <v>-5670</v>
      </c>
      <c r="AP10" s="417">
        <v>-4312</v>
      </c>
      <c r="AQ10" s="417">
        <v>0</v>
      </c>
      <c r="AR10" s="417">
        <v>0</v>
      </c>
    </row>
    <row r="11" spans="1:44">
      <c r="A11" s="377">
        <v>90001</v>
      </c>
      <c r="B11" t="s">
        <v>727</v>
      </c>
      <c r="C11" s="378">
        <v>1.0636E-3</v>
      </c>
      <c r="D11" s="378"/>
      <c r="E11" s="417">
        <v>277809</v>
      </c>
      <c r="F11" s="417">
        <v>76380</v>
      </c>
      <c r="G11" s="417">
        <v>-67790</v>
      </c>
      <c r="H11" s="417">
        <v>-713116</v>
      </c>
      <c r="I11" s="417">
        <v>0</v>
      </c>
      <c r="J11" s="378">
        <v>1.0636E-3</v>
      </c>
      <c r="K11" s="378"/>
      <c r="L11" s="417">
        <v>260378</v>
      </c>
      <c r="M11" s="417">
        <v>179825</v>
      </c>
      <c r="N11" s="417">
        <v>78719</v>
      </c>
      <c r="O11" s="417">
        <v>0</v>
      </c>
      <c r="P11" s="417">
        <v>0</v>
      </c>
      <c r="Q11" s="378">
        <v>1.0636E-3</v>
      </c>
      <c r="R11" s="378"/>
      <c r="S11" s="417">
        <v>-534319</v>
      </c>
      <c r="T11" s="417">
        <v>-528136</v>
      </c>
      <c r="U11" s="417">
        <v>-554828</v>
      </c>
      <c r="V11" s="417">
        <v>-713116</v>
      </c>
      <c r="W11" s="417">
        <v>0</v>
      </c>
      <c r="X11" s="378">
        <v>1.0636E-3</v>
      </c>
      <c r="Z11" s="417">
        <v>426080</v>
      </c>
      <c r="AA11" s="417">
        <v>299345</v>
      </c>
      <c r="AB11" s="417">
        <v>299343</v>
      </c>
      <c r="AC11" s="417">
        <v>0</v>
      </c>
      <c r="AD11" s="417">
        <v>0</v>
      </c>
      <c r="AE11" s="378">
        <v>1.0636E-3</v>
      </c>
      <c r="AF11" s="378"/>
      <c r="AG11" s="417">
        <v>125670</v>
      </c>
      <c r="AH11" s="417">
        <v>125346</v>
      </c>
      <c r="AI11" s="417">
        <v>108976</v>
      </c>
      <c r="AJ11" s="417">
        <v>0</v>
      </c>
      <c r="AK11" s="417">
        <v>0</v>
      </c>
      <c r="AL11" s="378">
        <v>1.0636E-3</v>
      </c>
      <c r="AM11" s="378"/>
      <c r="AN11" s="417">
        <v>0</v>
      </c>
      <c r="AO11" s="417">
        <v>0</v>
      </c>
      <c r="AP11" s="417">
        <v>0</v>
      </c>
      <c r="AQ11" s="417">
        <v>0</v>
      </c>
      <c r="AR11" s="417">
        <v>0</v>
      </c>
    </row>
    <row r="12" spans="1:44">
      <c r="A12" s="377">
        <v>90002</v>
      </c>
      <c r="B12" t="s">
        <v>728</v>
      </c>
      <c r="C12" s="378">
        <v>6.9E-6</v>
      </c>
      <c r="D12" s="378"/>
      <c r="E12" s="417">
        <v>2352</v>
      </c>
      <c r="F12" s="417">
        <v>870</v>
      </c>
      <c r="G12" s="417">
        <v>-687</v>
      </c>
      <c r="H12" s="417">
        <v>-4626</v>
      </c>
      <c r="I12" s="417">
        <v>0</v>
      </c>
      <c r="J12" s="378">
        <v>6.9E-6</v>
      </c>
      <c r="K12" s="378"/>
      <c r="L12" s="417">
        <v>1689</v>
      </c>
      <c r="M12" s="417">
        <v>1167</v>
      </c>
      <c r="N12" s="417">
        <v>511</v>
      </c>
      <c r="O12" s="417">
        <v>0</v>
      </c>
      <c r="P12" s="417">
        <v>0</v>
      </c>
      <c r="Q12" s="378">
        <v>6.9E-6</v>
      </c>
      <c r="R12" s="378"/>
      <c r="S12" s="417">
        <v>-3466</v>
      </c>
      <c r="T12" s="417">
        <v>-3426</v>
      </c>
      <c r="U12" s="417">
        <v>-3599</v>
      </c>
      <c r="V12" s="417">
        <v>-4626</v>
      </c>
      <c r="W12" s="417">
        <v>0</v>
      </c>
      <c r="X12" s="378">
        <v>6.9E-6</v>
      </c>
      <c r="Z12" s="417">
        <v>2764</v>
      </c>
      <c r="AA12" s="417">
        <v>1942</v>
      </c>
      <c r="AB12" s="417">
        <v>1942</v>
      </c>
      <c r="AC12" s="417">
        <v>0</v>
      </c>
      <c r="AD12" s="417">
        <v>0</v>
      </c>
      <c r="AE12" s="378">
        <v>6.9E-6</v>
      </c>
      <c r="AF12" s="378"/>
      <c r="AG12" s="417">
        <v>1365</v>
      </c>
      <c r="AH12" s="417">
        <v>1187</v>
      </c>
      <c r="AI12" s="417">
        <v>459</v>
      </c>
      <c r="AJ12" s="417">
        <v>0</v>
      </c>
      <c r="AK12" s="417">
        <v>0</v>
      </c>
      <c r="AL12" s="378">
        <v>6.9E-6</v>
      </c>
      <c r="AM12" s="378"/>
      <c r="AN12" s="417">
        <v>0</v>
      </c>
      <c r="AO12" s="417">
        <v>0</v>
      </c>
      <c r="AP12" s="417">
        <v>0</v>
      </c>
      <c r="AQ12" s="417">
        <v>0</v>
      </c>
      <c r="AR12" s="417">
        <v>0</v>
      </c>
    </row>
    <row r="13" spans="1:44" ht="16.5" customHeight="1">
      <c r="A13" s="377">
        <v>90011</v>
      </c>
      <c r="B13" t="s">
        <v>729</v>
      </c>
      <c r="C13" s="378">
        <v>1.7770000000000001E-4</v>
      </c>
      <c r="D13" s="378"/>
      <c r="E13" s="417">
        <v>26887</v>
      </c>
      <c r="F13" s="417">
        <v>-4819</v>
      </c>
      <c r="G13" s="417">
        <v>-21013</v>
      </c>
      <c r="H13" s="417">
        <v>-119143</v>
      </c>
      <c r="I13" s="417">
        <v>0</v>
      </c>
      <c r="J13" s="378">
        <v>1.7770000000000001E-4</v>
      </c>
      <c r="K13" s="378"/>
      <c r="L13" s="417">
        <v>43502</v>
      </c>
      <c r="M13" s="417">
        <v>30044</v>
      </c>
      <c r="N13" s="417">
        <v>13152</v>
      </c>
      <c r="O13" s="417">
        <v>0</v>
      </c>
      <c r="P13" s="417">
        <v>0</v>
      </c>
      <c r="Q13" s="378">
        <v>1.7770000000000001E-4</v>
      </c>
      <c r="R13" s="378"/>
      <c r="S13" s="417">
        <v>-89271</v>
      </c>
      <c r="T13" s="417">
        <v>-88238</v>
      </c>
      <c r="U13" s="417">
        <v>-92697</v>
      </c>
      <c r="V13" s="417">
        <v>-119143</v>
      </c>
      <c r="W13" s="417">
        <v>0</v>
      </c>
      <c r="X13" s="378">
        <v>1.7770000000000001E-4</v>
      </c>
      <c r="Z13" s="417">
        <v>71187</v>
      </c>
      <c r="AA13" s="417">
        <v>50013</v>
      </c>
      <c r="AB13" s="417">
        <v>50012</v>
      </c>
      <c r="AC13" s="417">
        <v>0</v>
      </c>
      <c r="AD13" s="417">
        <v>0</v>
      </c>
      <c r="AE13" s="378">
        <v>1.7770000000000001E-4</v>
      </c>
      <c r="AF13" s="378"/>
      <c r="AG13" s="417">
        <v>8520</v>
      </c>
      <c r="AH13" s="417">
        <v>8520</v>
      </c>
      <c r="AI13" s="417">
        <v>8520</v>
      </c>
      <c r="AJ13" s="417">
        <v>0</v>
      </c>
      <c r="AK13" s="417">
        <v>0</v>
      </c>
      <c r="AL13" s="378">
        <v>1.7770000000000001E-4</v>
      </c>
      <c r="AM13" s="378"/>
      <c r="AN13" s="417">
        <v>-7051</v>
      </c>
      <c r="AO13" s="417">
        <v>-5158</v>
      </c>
      <c r="AP13" s="417">
        <v>0</v>
      </c>
      <c r="AQ13" s="417">
        <v>0</v>
      </c>
      <c r="AR13" s="417">
        <v>0</v>
      </c>
    </row>
    <row r="14" spans="1:44">
      <c r="A14" s="377">
        <v>90092</v>
      </c>
      <c r="B14" t="s">
        <v>730</v>
      </c>
      <c r="C14" s="378">
        <v>3.882E-4</v>
      </c>
      <c r="D14" s="378"/>
      <c r="E14" s="417">
        <v>64337</v>
      </c>
      <c r="F14" s="417">
        <v>-12736</v>
      </c>
      <c r="G14" s="417">
        <v>-81864</v>
      </c>
      <c r="H14" s="417">
        <v>-260278</v>
      </c>
      <c r="I14" s="417">
        <v>0</v>
      </c>
      <c r="J14" s="378">
        <v>3.882E-4</v>
      </c>
      <c r="K14" s="378"/>
      <c r="L14" s="417">
        <v>95034</v>
      </c>
      <c r="M14" s="417">
        <v>65634</v>
      </c>
      <c r="N14" s="417">
        <v>28731</v>
      </c>
      <c r="O14" s="417">
        <v>0</v>
      </c>
      <c r="P14" s="417">
        <v>0</v>
      </c>
      <c r="Q14" s="378">
        <v>3.882E-4</v>
      </c>
      <c r="R14" s="378"/>
      <c r="S14" s="417">
        <v>-195019</v>
      </c>
      <c r="T14" s="417">
        <v>-192763</v>
      </c>
      <c r="U14" s="417">
        <v>-202505</v>
      </c>
      <c r="V14" s="417">
        <v>-260278</v>
      </c>
      <c r="W14" s="417">
        <v>0</v>
      </c>
      <c r="X14" s="378">
        <v>3.882E-4</v>
      </c>
      <c r="Z14" s="417">
        <v>155514</v>
      </c>
      <c r="AA14" s="417">
        <v>109257</v>
      </c>
      <c r="AB14" s="417">
        <v>109256</v>
      </c>
      <c r="AC14" s="417">
        <v>0</v>
      </c>
      <c r="AD14" s="417">
        <v>0</v>
      </c>
      <c r="AE14" s="378">
        <v>3.882E-4</v>
      </c>
      <c r="AF14" s="378"/>
      <c r="AG14" s="417">
        <v>26156</v>
      </c>
      <c r="AH14" s="417">
        <v>22484</v>
      </c>
      <c r="AI14" s="417">
        <v>0</v>
      </c>
      <c r="AJ14" s="417">
        <v>0</v>
      </c>
      <c r="AK14" s="417">
        <v>0</v>
      </c>
      <c r="AL14" s="378">
        <v>3.882E-4</v>
      </c>
      <c r="AM14" s="378"/>
      <c r="AN14" s="417">
        <v>-17348</v>
      </c>
      <c r="AO14" s="417">
        <v>-17348</v>
      </c>
      <c r="AP14" s="417">
        <v>-17346</v>
      </c>
      <c r="AQ14" s="417">
        <v>0</v>
      </c>
      <c r="AR14" s="417">
        <v>0</v>
      </c>
    </row>
    <row r="15" spans="1:44">
      <c r="A15" s="377">
        <v>90096</v>
      </c>
      <c r="B15" t="s">
        <v>731</v>
      </c>
      <c r="C15" s="378">
        <v>9.4720000000000004E-4</v>
      </c>
      <c r="D15" s="378"/>
      <c r="E15" s="417">
        <v>236414</v>
      </c>
      <c r="F15" s="417">
        <v>48628</v>
      </c>
      <c r="G15" s="417">
        <v>-122307</v>
      </c>
      <c r="H15" s="417">
        <v>-635073</v>
      </c>
      <c r="I15" s="417">
        <v>0</v>
      </c>
      <c r="J15" s="378">
        <v>9.4720000000000004E-4</v>
      </c>
      <c r="K15" s="378"/>
      <c r="L15" s="417">
        <v>231882</v>
      </c>
      <c r="M15" s="417">
        <v>160145</v>
      </c>
      <c r="N15" s="417">
        <v>70104</v>
      </c>
      <c r="O15" s="417">
        <v>0</v>
      </c>
      <c r="P15" s="417">
        <v>0</v>
      </c>
      <c r="Q15" s="378">
        <v>9.4720000000000004E-4</v>
      </c>
      <c r="R15" s="378"/>
      <c r="S15" s="417">
        <v>-475843</v>
      </c>
      <c r="T15" s="417">
        <v>-470337</v>
      </c>
      <c r="U15" s="417">
        <v>-494108</v>
      </c>
      <c r="V15" s="417">
        <v>-635073</v>
      </c>
      <c r="W15" s="417">
        <v>0</v>
      </c>
      <c r="X15" s="378">
        <v>9.4720000000000004E-4</v>
      </c>
      <c r="Z15" s="417">
        <v>379450</v>
      </c>
      <c r="AA15" s="417">
        <v>266585</v>
      </c>
      <c r="AB15" s="417">
        <v>266583</v>
      </c>
      <c r="AC15" s="417">
        <v>0</v>
      </c>
      <c r="AD15" s="417">
        <v>0</v>
      </c>
      <c r="AE15" s="378">
        <v>9.4720000000000004E-4</v>
      </c>
      <c r="AF15" s="378"/>
      <c r="AG15" s="417">
        <v>100925</v>
      </c>
      <c r="AH15" s="417">
        <v>92235</v>
      </c>
      <c r="AI15" s="417">
        <v>35114</v>
      </c>
      <c r="AJ15" s="417">
        <v>0</v>
      </c>
      <c r="AK15" s="417">
        <v>0</v>
      </c>
      <c r="AL15" s="378">
        <v>9.4720000000000004E-4</v>
      </c>
      <c r="AM15" s="378"/>
      <c r="AN15" s="417">
        <v>0</v>
      </c>
      <c r="AO15" s="417">
        <v>0</v>
      </c>
      <c r="AP15" s="417">
        <v>0</v>
      </c>
      <c r="AQ15" s="417">
        <v>0</v>
      </c>
      <c r="AR15" s="417">
        <v>0</v>
      </c>
    </row>
    <row r="16" spans="1:44">
      <c r="A16" s="377">
        <v>90098</v>
      </c>
      <c r="B16" t="s">
        <v>732</v>
      </c>
      <c r="C16" s="378">
        <v>2.4110000000000001E-4</v>
      </c>
      <c r="D16" s="378"/>
      <c r="E16" s="417">
        <v>24832</v>
      </c>
      <c r="F16" s="417">
        <v>-24531</v>
      </c>
      <c r="G16" s="417">
        <v>-47689</v>
      </c>
      <c r="H16" s="417">
        <v>-161651</v>
      </c>
      <c r="I16" s="417">
        <v>0</v>
      </c>
      <c r="J16" s="378">
        <v>2.4110000000000001E-4</v>
      </c>
      <c r="K16" s="378"/>
      <c r="L16" s="417">
        <v>59023</v>
      </c>
      <c r="M16" s="417">
        <v>40763</v>
      </c>
      <c r="N16" s="417">
        <v>17844</v>
      </c>
      <c r="O16" s="417">
        <v>0</v>
      </c>
      <c r="P16" s="417">
        <v>0</v>
      </c>
      <c r="Q16" s="378">
        <v>2.4110000000000001E-4</v>
      </c>
      <c r="R16" s="378"/>
      <c r="S16" s="417">
        <v>-121121</v>
      </c>
      <c r="T16" s="417">
        <v>-119719</v>
      </c>
      <c r="U16" s="417">
        <v>-125770</v>
      </c>
      <c r="V16" s="417">
        <v>-161651</v>
      </c>
      <c r="W16" s="417">
        <v>0</v>
      </c>
      <c r="X16" s="378">
        <v>2.4110000000000001E-4</v>
      </c>
      <c r="Z16" s="417">
        <v>96585</v>
      </c>
      <c r="AA16" s="417">
        <v>67856</v>
      </c>
      <c r="AB16" s="417">
        <v>67856</v>
      </c>
      <c r="AC16" s="417">
        <v>0</v>
      </c>
      <c r="AD16" s="417">
        <v>0</v>
      </c>
      <c r="AE16" s="378">
        <v>2.4110000000000001E-4</v>
      </c>
      <c r="AF16" s="378"/>
      <c r="AG16" s="417">
        <v>9231</v>
      </c>
      <c r="AH16" s="417">
        <v>5453</v>
      </c>
      <c r="AI16" s="417">
        <v>0</v>
      </c>
      <c r="AJ16" s="417">
        <v>0</v>
      </c>
      <c r="AK16" s="417">
        <v>0</v>
      </c>
      <c r="AL16" s="378">
        <v>2.4110000000000001E-4</v>
      </c>
      <c r="AM16" s="378"/>
      <c r="AN16" s="417">
        <v>-18886</v>
      </c>
      <c r="AO16" s="417">
        <v>-18884</v>
      </c>
      <c r="AP16" s="417">
        <v>-7619</v>
      </c>
      <c r="AQ16" s="417">
        <v>0</v>
      </c>
      <c r="AR16" s="417">
        <v>0</v>
      </c>
    </row>
    <row r="17" spans="1:44">
      <c r="A17" s="377">
        <v>90099</v>
      </c>
      <c r="B17" t="s">
        <v>733</v>
      </c>
      <c r="C17" s="378">
        <v>7.6309999999999995E-4</v>
      </c>
      <c r="D17" s="378"/>
      <c r="E17" s="417">
        <v>126558</v>
      </c>
      <c r="F17" s="417">
        <v>-16717</v>
      </c>
      <c r="G17" s="417">
        <v>-89900</v>
      </c>
      <c r="H17" s="417">
        <v>-511639</v>
      </c>
      <c r="I17" s="417">
        <v>0</v>
      </c>
      <c r="J17" s="378">
        <v>7.6309999999999995E-4</v>
      </c>
      <c r="K17" s="378"/>
      <c r="L17" s="417">
        <v>186813</v>
      </c>
      <c r="M17" s="417">
        <v>129019</v>
      </c>
      <c r="N17" s="417">
        <v>56479</v>
      </c>
      <c r="O17" s="417">
        <v>0</v>
      </c>
      <c r="P17" s="417">
        <v>0</v>
      </c>
      <c r="Q17" s="378">
        <v>7.6309999999999995E-4</v>
      </c>
      <c r="R17" s="378"/>
      <c r="S17" s="417">
        <v>-383357</v>
      </c>
      <c r="T17" s="417">
        <v>-378921</v>
      </c>
      <c r="U17" s="417">
        <v>-398072</v>
      </c>
      <c r="V17" s="417">
        <v>-511639</v>
      </c>
      <c r="W17" s="417">
        <v>0</v>
      </c>
      <c r="X17" s="378">
        <v>7.6309999999999995E-4</v>
      </c>
      <c r="Z17" s="417">
        <v>305699</v>
      </c>
      <c r="AA17" s="417">
        <v>214771</v>
      </c>
      <c r="AB17" s="417">
        <v>214769</v>
      </c>
      <c r="AC17" s="417">
        <v>0</v>
      </c>
      <c r="AD17" s="417">
        <v>0</v>
      </c>
      <c r="AE17" s="378">
        <v>7.6309999999999995E-4</v>
      </c>
      <c r="AF17" s="378"/>
      <c r="AG17" s="417">
        <v>36923</v>
      </c>
      <c r="AH17" s="417">
        <v>36923</v>
      </c>
      <c r="AI17" s="417">
        <v>36924</v>
      </c>
      <c r="AJ17" s="417">
        <v>0</v>
      </c>
      <c r="AK17" s="417">
        <v>0</v>
      </c>
      <c r="AL17" s="378">
        <v>7.6309999999999995E-4</v>
      </c>
      <c r="AM17" s="378"/>
      <c r="AN17" s="417">
        <v>-19520</v>
      </c>
      <c r="AO17" s="417">
        <v>-18509</v>
      </c>
      <c r="AP17" s="417">
        <v>0</v>
      </c>
      <c r="AQ17" s="417">
        <v>0</v>
      </c>
      <c r="AR17" s="417">
        <v>0</v>
      </c>
    </row>
    <row r="18" spans="1:44">
      <c r="A18" s="377">
        <v>90101</v>
      </c>
      <c r="B18" t="s">
        <v>734</v>
      </c>
      <c r="C18" s="378">
        <v>6.2402999999999998E-3</v>
      </c>
      <c r="D18" s="378"/>
      <c r="E18" s="417">
        <v>797495</v>
      </c>
      <c r="F18" s="417">
        <v>-347237</v>
      </c>
      <c r="G18" s="417">
        <v>-1061780</v>
      </c>
      <c r="H18" s="417">
        <v>-4183959</v>
      </c>
      <c r="I18" s="417">
        <v>0</v>
      </c>
      <c r="J18" s="378">
        <v>6.2402999999999998E-3</v>
      </c>
      <c r="K18" s="378"/>
      <c r="L18" s="417">
        <v>1527675</v>
      </c>
      <c r="M18" s="417">
        <v>1055060</v>
      </c>
      <c r="N18" s="417">
        <v>461857</v>
      </c>
      <c r="O18" s="417">
        <v>0</v>
      </c>
      <c r="P18" s="417">
        <v>0</v>
      </c>
      <c r="Q18" s="378">
        <v>6.2402999999999998E-3</v>
      </c>
      <c r="R18" s="378"/>
      <c r="S18" s="417">
        <v>-3134927</v>
      </c>
      <c r="T18" s="417">
        <v>-3098652</v>
      </c>
      <c r="U18" s="417">
        <v>-3255259</v>
      </c>
      <c r="V18" s="417">
        <v>-4183959</v>
      </c>
      <c r="W18" s="417">
        <v>0</v>
      </c>
      <c r="X18" s="378">
        <v>6.2402999999999998E-3</v>
      </c>
      <c r="Z18" s="417">
        <v>2499877</v>
      </c>
      <c r="AA18" s="417">
        <v>1756301</v>
      </c>
      <c r="AB18" s="417">
        <v>1756289</v>
      </c>
      <c r="AC18" s="417">
        <v>0</v>
      </c>
      <c r="AD18" s="417">
        <v>0</v>
      </c>
      <c r="AE18" s="378">
        <v>6.2402999999999998E-3</v>
      </c>
      <c r="AF18" s="378"/>
      <c r="AG18" s="417">
        <v>22619</v>
      </c>
      <c r="AH18" s="417">
        <v>22620</v>
      </c>
      <c r="AI18" s="417">
        <v>0</v>
      </c>
      <c r="AJ18" s="417">
        <v>0</v>
      </c>
      <c r="AK18" s="417">
        <v>0</v>
      </c>
      <c r="AL18" s="378">
        <v>6.2402999999999998E-3</v>
      </c>
      <c r="AM18" s="378"/>
      <c r="AN18" s="417">
        <v>-117749</v>
      </c>
      <c r="AO18" s="417">
        <v>-82566</v>
      </c>
      <c r="AP18" s="417">
        <v>-24667</v>
      </c>
      <c r="AQ18" s="417">
        <v>0</v>
      </c>
      <c r="AR18" s="417">
        <v>0</v>
      </c>
    </row>
    <row r="19" spans="1:44">
      <c r="A19" s="377">
        <v>90111</v>
      </c>
      <c r="B19" t="s">
        <v>735</v>
      </c>
      <c r="C19" s="378">
        <v>4.7771000000000003E-3</v>
      </c>
      <c r="D19" s="378"/>
      <c r="E19" s="417">
        <v>483614</v>
      </c>
      <c r="F19" s="417">
        <v>-421389</v>
      </c>
      <c r="G19" s="417">
        <v>-918804</v>
      </c>
      <c r="H19" s="417">
        <v>-3202921</v>
      </c>
      <c r="I19" s="417">
        <v>0</v>
      </c>
      <c r="J19" s="378">
        <v>4.7771000000000003E-3</v>
      </c>
      <c r="K19" s="378"/>
      <c r="L19" s="417">
        <v>1169472</v>
      </c>
      <c r="M19" s="417">
        <v>807674</v>
      </c>
      <c r="N19" s="417">
        <v>353563</v>
      </c>
      <c r="O19" s="417">
        <v>0</v>
      </c>
      <c r="P19" s="417">
        <v>0</v>
      </c>
      <c r="Q19" s="378">
        <v>4.7771000000000003E-3</v>
      </c>
      <c r="R19" s="378"/>
      <c r="S19" s="417">
        <v>-2399862</v>
      </c>
      <c r="T19" s="417">
        <v>-2372093</v>
      </c>
      <c r="U19" s="417">
        <v>-2491979</v>
      </c>
      <c r="V19" s="417">
        <v>-3202921</v>
      </c>
      <c r="W19" s="417">
        <v>0</v>
      </c>
      <c r="X19" s="378">
        <v>4.7771000000000003E-3</v>
      </c>
      <c r="Z19" s="417">
        <v>1913716</v>
      </c>
      <c r="AA19" s="417">
        <v>1344491</v>
      </c>
      <c r="AB19" s="417">
        <v>1344481</v>
      </c>
      <c r="AC19" s="417">
        <v>0</v>
      </c>
      <c r="AD19" s="417">
        <v>0</v>
      </c>
      <c r="AE19" s="378">
        <v>4.7771000000000003E-3</v>
      </c>
      <c r="AF19" s="378"/>
      <c r="AG19" s="417">
        <v>1750</v>
      </c>
      <c r="AH19" s="417">
        <v>0</v>
      </c>
      <c r="AI19" s="417">
        <v>0</v>
      </c>
      <c r="AJ19" s="417">
        <v>0</v>
      </c>
      <c r="AK19" s="417">
        <v>0</v>
      </c>
      <c r="AL19" s="378">
        <v>4.7771000000000003E-3</v>
      </c>
      <c r="AM19" s="378"/>
      <c r="AN19" s="417">
        <v>-201462</v>
      </c>
      <c r="AO19" s="417">
        <v>-201461</v>
      </c>
      <c r="AP19" s="417">
        <v>-124869</v>
      </c>
      <c r="AQ19" s="417">
        <v>0</v>
      </c>
      <c r="AR19" s="417">
        <v>0</v>
      </c>
    </row>
    <row r="20" spans="1:44">
      <c r="A20" s="377">
        <v>90114</v>
      </c>
      <c r="B20" t="s">
        <v>736</v>
      </c>
      <c r="C20" s="378">
        <v>1.1787E-3</v>
      </c>
      <c r="D20" s="378"/>
      <c r="E20" s="417">
        <v>684703</v>
      </c>
      <c r="F20" s="417">
        <v>330395</v>
      </c>
      <c r="G20" s="417">
        <v>31630</v>
      </c>
      <c r="H20" s="417">
        <v>-790288</v>
      </c>
      <c r="I20" s="417">
        <v>0</v>
      </c>
      <c r="J20" s="378">
        <v>1.1787E-3</v>
      </c>
      <c r="K20" s="378"/>
      <c r="L20" s="417">
        <v>288555</v>
      </c>
      <c r="M20" s="417">
        <v>199285</v>
      </c>
      <c r="N20" s="417">
        <v>87238</v>
      </c>
      <c r="O20" s="417">
        <v>0</v>
      </c>
      <c r="P20" s="417">
        <v>0</v>
      </c>
      <c r="Q20" s="378">
        <v>1.1787E-3</v>
      </c>
      <c r="R20" s="378"/>
      <c r="S20" s="417">
        <v>-592141</v>
      </c>
      <c r="T20" s="417">
        <v>-585289</v>
      </c>
      <c r="U20" s="417">
        <v>-614870</v>
      </c>
      <c r="V20" s="417">
        <v>-790288</v>
      </c>
      <c r="W20" s="417">
        <v>0</v>
      </c>
      <c r="X20" s="378">
        <v>1.1787E-3</v>
      </c>
      <c r="Z20" s="417">
        <v>472190</v>
      </c>
      <c r="AA20" s="417">
        <v>331739</v>
      </c>
      <c r="AB20" s="417">
        <v>331737</v>
      </c>
      <c r="AC20" s="417">
        <v>0</v>
      </c>
      <c r="AD20" s="417">
        <v>0</v>
      </c>
      <c r="AE20" s="378">
        <v>1.1787E-3</v>
      </c>
      <c r="AF20" s="378"/>
      <c r="AG20" s="417">
        <v>516161</v>
      </c>
      <c r="AH20" s="417">
        <v>384721</v>
      </c>
      <c r="AI20" s="417">
        <v>227525</v>
      </c>
      <c r="AJ20" s="417">
        <v>0</v>
      </c>
      <c r="AK20" s="417">
        <v>0</v>
      </c>
      <c r="AL20" s="378">
        <v>1.1787E-3</v>
      </c>
      <c r="AM20" s="378"/>
      <c r="AN20" s="417">
        <v>-62</v>
      </c>
      <c r="AO20" s="417">
        <v>-61</v>
      </c>
      <c r="AP20" s="417">
        <v>0</v>
      </c>
      <c r="AQ20" s="417">
        <v>0</v>
      </c>
      <c r="AR20" s="417">
        <v>0</v>
      </c>
    </row>
    <row r="21" spans="1:44">
      <c r="A21" s="377">
        <v>90117</v>
      </c>
      <c r="B21" t="s">
        <v>737</v>
      </c>
      <c r="C21" s="378">
        <v>1.5009999999999999E-4</v>
      </c>
      <c r="D21" s="378"/>
      <c r="E21" s="417">
        <v>48845</v>
      </c>
      <c r="F21" s="417">
        <v>16958</v>
      </c>
      <c r="G21" s="417">
        <v>-13802</v>
      </c>
      <c r="H21" s="417">
        <v>-100638</v>
      </c>
      <c r="I21" s="417">
        <v>0</v>
      </c>
      <c r="J21" s="378">
        <v>1.5009999999999999E-4</v>
      </c>
      <c r="K21" s="378"/>
      <c r="L21" s="417">
        <v>36746</v>
      </c>
      <c r="M21" s="417">
        <v>25378</v>
      </c>
      <c r="N21" s="417">
        <v>11109</v>
      </c>
      <c r="O21" s="417">
        <v>0</v>
      </c>
      <c r="P21" s="417">
        <v>0</v>
      </c>
      <c r="Q21" s="378">
        <v>1.5009999999999999E-4</v>
      </c>
      <c r="R21" s="378"/>
      <c r="S21" s="417">
        <v>-75405</v>
      </c>
      <c r="T21" s="417">
        <v>-74533</v>
      </c>
      <c r="U21" s="417">
        <v>-78300</v>
      </c>
      <c r="V21" s="417">
        <v>-100638</v>
      </c>
      <c r="W21" s="417">
        <v>0</v>
      </c>
      <c r="X21" s="378">
        <v>1.5009999999999999E-4</v>
      </c>
      <c r="Z21" s="417">
        <v>60130</v>
      </c>
      <c r="AA21" s="417">
        <v>42245</v>
      </c>
      <c r="AB21" s="417">
        <v>42245</v>
      </c>
      <c r="AC21" s="417">
        <v>0</v>
      </c>
      <c r="AD21" s="417">
        <v>0</v>
      </c>
      <c r="AE21" s="378">
        <v>1.5009999999999999E-4</v>
      </c>
      <c r="AF21" s="378"/>
      <c r="AG21" s="417">
        <v>27374</v>
      </c>
      <c r="AH21" s="417">
        <v>23868</v>
      </c>
      <c r="AI21" s="417">
        <v>11144</v>
      </c>
      <c r="AJ21" s="417">
        <v>0</v>
      </c>
      <c r="AK21" s="417">
        <v>0</v>
      </c>
      <c r="AL21" s="378">
        <v>1.5009999999999999E-4</v>
      </c>
      <c r="AM21" s="378"/>
      <c r="AN21" s="417">
        <v>0</v>
      </c>
      <c r="AO21" s="417">
        <v>0</v>
      </c>
      <c r="AP21" s="417">
        <v>0</v>
      </c>
      <c r="AQ21" s="417">
        <v>0</v>
      </c>
      <c r="AR21" s="417">
        <v>0</v>
      </c>
    </row>
    <row r="22" spans="1:44">
      <c r="A22" s="377">
        <v>90121</v>
      </c>
      <c r="B22" t="s">
        <v>738</v>
      </c>
      <c r="C22" s="378">
        <v>1.016E-3</v>
      </c>
      <c r="D22" s="378"/>
      <c r="E22" s="417">
        <v>60713</v>
      </c>
      <c r="F22" s="417">
        <v>-113146</v>
      </c>
      <c r="G22" s="417">
        <v>-214370</v>
      </c>
      <c r="H22" s="417">
        <v>-681202</v>
      </c>
      <c r="I22" s="417">
        <v>0</v>
      </c>
      <c r="J22" s="378">
        <v>1.016E-3</v>
      </c>
      <c r="K22" s="378"/>
      <c r="L22" s="417">
        <v>248725</v>
      </c>
      <c r="M22" s="417">
        <v>171777</v>
      </c>
      <c r="N22" s="417">
        <v>75196</v>
      </c>
      <c r="O22" s="417">
        <v>0</v>
      </c>
      <c r="P22" s="417">
        <v>0</v>
      </c>
      <c r="Q22" s="378">
        <v>1.016E-3</v>
      </c>
      <c r="R22" s="378"/>
      <c r="S22" s="417">
        <v>-510406</v>
      </c>
      <c r="T22" s="417">
        <v>-504500</v>
      </c>
      <c r="U22" s="417">
        <v>-529997</v>
      </c>
      <c r="V22" s="417">
        <v>-681202</v>
      </c>
      <c r="W22" s="417">
        <v>0</v>
      </c>
      <c r="X22" s="378">
        <v>1.016E-3</v>
      </c>
      <c r="Z22" s="417">
        <v>407012</v>
      </c>
      <c r="AA22" s="417">
        <v>285948</v>
      </c>
      <c r="AB22" s="417">
        <v>285946</v>
      </c>
      <c r="AC22" s="417">
        <v>0</v>
      </c>
      <c r="AD22" s="417">
        <v>0</v>
      </c>
      <c r="AE22" s="378">
        <v>1.016E-3</v>
      </c>
      <c r="AF22" s="378"/>
      <c r="AG22" s="417">
        <v>0</v>
      </c>
      <c r="AH22" s="417">
        <v>0</v>
      </c>
      <c r="AI22" s="417">
        <v>0</v>
      </c>
      <c r="AJ22" s="417">
        <v>0</v>
      </c>
      <c r="AK22" s="417">
        <v>0</v>
      </c>
      <c r="AL22" s="378">
        <v>1.016E-3</v>
      </c>
      <c r="AM22" s="378"/>
      <c r="AN22" s="417">
        <v>-84618</v>
      </c>
      <c r="AO22" s="417">
        <v>-66371</v>
      </c>
      <c r="AP22" s="417">
        <v>-45515</v>
      </c>
      <c r="AQ22" s="417">
        <v>0</v>
      </c>
      <c r="AR22" s="417">
        <v>0</v>
      </c>
    </row>
    <row r="23" spans="1:44">
      <c r="A23" s="377">
        <v>90131</v>
      </c>
      <c r="B23" t="s">
        <v>739</v>
      </c>
      <c r="C23" s="378">
        <v>4.8430000000000001E-4</v>
      </c>
      <c r="D23" s="378"/>
      <c r="E23" s="417">
        <v>59839</v>
      </c>
      <c r="F23" s="417">
        <v>-29184</v>
      </c>
      <c r="G23" s="417">
        <v>-88532</v>
      </c>
      <c r="H23" s="417">
        <v>-324711</v>
      </c>
      <c r="I23" s="417">
        <v>0</v>
      </c>
      <c r="J23" s="378">
        <v>4.8430000000000001E-4</v>
      </c>
      <c r="K23" s="378"/>
      <c r="L23" s="417">
        <v>118561</v>
      </c>
      <c r="M23" s="417">
        <v>81882</v>
      </c>
      <c r="N23" s="417">
        <v>35844</v>
      </c>
      <c r="O23" s="417">
        <v>0</v>
      </c>
      <c r="P23" s="417">
        <v>0</v>
      </c>
      <c r="Q23" s="378">
        <v>4.8430000000000001E-4</v>
      </c>
      <c r="R23" s="378"/>
      <c r="S23" s="417">
        <v>-243297</v>
      </c>
      <c r="T23" s="417">
        <v>-240482</v>
      </c>
      <c r="U23" s="417">
        <v>-252636</v>
      </c>
      <c r="V23" s="417">
        <v>-324711</v>
      </c>
      <c r="W23" s="417">
        <v>0</v>
      </c>
      <c r="X23" s="378">
        <v>4.8430000000000001E-4</v>
      </c>
      <c r="Z23" s="417">
        <v>194012</v>
      </c>
      <c r="AA23" s="417">
        <v>136304</v>
      </c>
      <c r="AB23" s="417">
        <v>136303</v>
      </c>
      <c r="AC23" s="417">
        <v>0</v>
      </c>
      <c r="AD23" s="417">
        <v>0</v>
      </c>
      <c r="AE23" s="378">
        <v>4.8430000000000001E-4</v>
      </c>
      <c r="AF23" s="378"/>
      <c r="AG23" s="417">
        <v>1158</v>
      </c>
      <c r="AH23" s="417">
        <v>1155</v>
      </c>
      <c r="AI23" s="417">
        <v>0</v>
      </c>
      <c r="AJ23" s="417">
        <v>0</v>
      </c>
      <c r="AK23" s="417">
        <v>0</v>
      </c>
      <c r="AL23" s="378">
        <v>4.8430000000000001E-4</v>
      </c>
      <c r="AM23" s="378"/>
      <c r="AN23" s="417">
        <v>-10595</v>
      </c>
      <c r="AO23" s="417">
        <v>-8043</v>
      </c>
      <c r="AP23" s="417">
        <v>-8043</v>
      </c>
      <c r="AQ23" s="417">
        <v>0</v>
      </c>
      <c r="AR23" s="417">
        <v>0</v>
      </c>
    </row>
    <row r="24" spans="1:44">
      <c r="A24" s="377">
        <v>90141</v>
      </c>
      <c r="B24" t="s">
        <v>740</v>
      </c>
      <c r="C24" s="378">
        <v>1.54E-4</v>
      </c>
      <c r="D24" s="378"/>
      <c r="E24" s="417">
        <v>17130</v>
      </c>
      <c r="F24" s="417">
        <v>-11288</v>
      </c>
      <c r="G24" s="417">
        <v>-36488</v>
      </c>
      <c r="H24" s="417">
        <v>-103253</v>
      </c>
      <c r="I24" s="417">
        <v>0</v>
      </c>
      <c r="J24" s="378">
        <v>1.54E-4</v>
      </c>
      <c r="K24" s="378"/>
      <c r="L24" s="417">
        <v>37700</v>
      </c>
      <c r="M24" s="417">
        <v>26037</v>
      </c>
      <c r="N24" s="417">
        <v>11398</v>
      </c>
      <c r="O24" s="417">
        <v>0</v>
      </c>
      <c r="P24" s="417">
        <v>0</v>
      </c>
      <c r="Q24" s="378">
        <v>1.54E-4</v>
      </c>
      <c r="R24" s="378"/>
      <c r="S24" s="417">
        <v>-77365</v>
      </c>
      <c r="T24" s="417">
        <v>-76469</v>
      </c>
      <c r="U24" s="417">
        <v>-80334</v>
      </c>
      <c r="V24" s="417">
        <v>-103253</v>
      </c>
      <c r="W24" s="417">
        <v>0</v>
      </c>
      <c r="X24" s="378">
        <v>1.54E-4</v>
      </c>
      <c r="Z24" s="417">
        <v>61693</v>
      </c>
      <c r="AA24" s="417">
        <v>43343</v>
      </c>
      <c r="AB24" s="417">
        <v>43342</v>
      </c>
      <c r="AC24" s="417">
        <v>0</v>
      </c>
      <c r="AD24" s="417">
        <v>0</v>
      </c>
      <c r="AE24" s="378">
        <v>1.54E-4</v>
      </c>
      <c r="AF24" s="378"/>
      <c r="AG24" s="417">
        <v>6697</v>
      </c>
      <c r="AH24" s="417">
        <v>6694</v>
      </c>
      <c r="AI24" s="417">
        <v>0</v>
      </c>
      <c r="AJ24" s="417">
        <v>0</v>
      </c>
      <c r="AK24" s="417">
        <v>0</v>
      </c>
      <c r="AL24" s="378">
        <v>1.54E-4</v>
      </c>
      <c r="AM24" s="378"/>
      <c r="AN24" s="417">
        <v>-11595</v>
      </c>
      <c r="AO24" s="417">
        <v>-10893</v>
      </c>
      <c r="AP24" s="417">
        <v>-10894</v>
      </c>
      <c r="AQ24" s="417">
        <v>0</v>
      </c>
      <c r="AR24" s="417">
        <v>0</v>
      </c>
    </row>
    <row r="25" spans="1:44">
      <c r="A25" s="377">
        <v>90151</v>
      </c>
      <c r="B25" t="s">
        <v>741</v>
      </c>
      <c r="C25" s="378">
        <v>8.3999999999999992E-6</v>
      </c>
      <c r="D25" s="378"/>
      <c r="E25" s="417">
        <v>-671</v>
      </c>
      <c r="F25" s="417">
        <v>-1932</v>
      </c>
      <c r="G25" s="417">
        <v>-2044</v>
      </c>
      <c r="H25" s="417">
        <v>-5632</v>
      </c>
      <c r="I25" s="417">
        <v>0</v>
      </c>
      <c r="J25" s="378">
        <v>8.3999999999999992E-6</v>
      </c>
      <c r="K25" s="378"/>
      <c r="L25" s="417">
        <v>2056</v>
      </c>
      <c r="M25" s="417">
        <v>1420</v>
      </c>
      <c r="N25" s="417">
        <v>622</v>
      </c>
      <c r="O25" s="417">
        <v>0</v>
      </c>
      <c r="P25" s="417">
        <v>0</v>
      </c>
      <c r="Q25" s="378">
        <v>8.3999999999999992E-6</v>
      </c>
      <c r="R25" s="378"/>
      <c r="S25" s="417">
        <v>-4220</v>
      </c>
      <c r="T25" s="417">
        <v>-4171</v>
      </c>
      <c r="U25" s="417">
        <v>-4382</v>
      </c>
      <c r="V25" s="417">
        <v>-5632</v>
      </c>
      <c r="W25" s="417">
        <v>0</v>
      </c>
      <c r="X25" s="378">
        <v>8.3999999999999992E-6</v>
      </c>
      <c r="Z25" s="417">
        <v>3365</v>
      </c>
      <c r="AA25" s="417">
        <v>2364</v>
      </c>
      <c r="AB25" s="417">
        <v>2364</v>
      </c>
      <c r="AC25" s="417">
        <v>0</v>
      </c>
      <c r="AD25" s="417">
        <v>0</v>
      </c>
      <c r="AE25" s="378">
        <v>8.3999999999999992E-6</v>
      </c>
      <c r="AF25" s="378"/>
      <c r="AG25" s="417">
        <v>0</v>
      </c>
      <c r="AH25" s="417">
        <v>0</v>
      </c>
      <c r="AI25" s="417">
        <v>0</v>
      </c>
      <c r="AJ25" s="417">
        <v>0</v>
      </c>
      <c r="AK25" s="417">
        <v>0</v>
      </c>
      <c r="AL25" s="378">
        <v>8.3999999999999992E-6</v>
      </c>
      <c r="AM25" s="378"/>
      <c r="AN25" s="417">
        <v>-1872</v>
      </c>
      <c r="AO25" s="417">
        <v>-1545</v>
      </c>
      <c r="AP25" s="417">
        <v>-648</v>
      </c>
      <c r="AQ25" s="417">
        <v>0</v>
      </c>
      <c r="AR25" s="417">
        <v>0</v>
      </c>
    </row>
    <row r="26" spans="1:44">
      <c r="A26" s="377">
        <v>90161</v>
      </c>
      <c r="B26" t="s">
        <v>742</v>
      </c>
      <c r="C26" s="378">
        <v>2.26E-5</v>
      </c>
      <c r="D26" s="378"/>
      <c r="E26" s="417">
        <v>-3823</v>
      </c>
      <c r="F26" s="417">
        <v>-8761</v>
      </c>
      <c r="G26" s="417">
        <v>-6409</v>
      </c>
      <c r="H26" s="417">
        <v>-15153</v>
      </c>
      <c r="I26" s="417">
        <v>0</v>
      </c>
      <c r="J26" s="378">
        <v>2.26E-5</v>
      </c>
      <c r="K26" s="378"/>
      <c r="L26" s="417">
        <v>5533</v>
      </c>
      <c r="M26" s="417">
        <v>3821</v>
      </c>
      <c r="N26" s="417">
        <v>1673</v>
      </c>
      <c r="O26" s="417">
        <v>0</v>
      </c>
      <c r="P26" s="417">
        <v>0</v>
      </c>
      <c r="Q26" s="378">
        <v>2.26E-5</v>
      </c>
      <c r="R26" s="378"/>
      <c r="S26" s="417">
        <v>-11354</v>
      </c>
      <c r="T26" s="417">
        <v>-11222</v>
      </c>
      <c r="U26" s="417">
        <v>-11789</v>
      </c>
      <c r="V26" s="417">
        <v>-15153</v>
      </c>
      <c r="W26" s="417">
        <v>0</v>
      </c>
      <c r="X26" s="378">
        <v>2.26E-5</v>
      </c>
      <c r="Z26" s="417">
        <v>9054</v>
      </c>
      <c r="AA26" s="417">
        <v>6361</v>
      </c>
      <c r="AB26" s="417">
        <v>6361</v>
      </c>
      <c r="AC26" s="417">
        <v>0</v>
      </c>
      <c r="AD26" s="417">
        <v>0</v>
      </c>
      <c r="AE26" s="378">
        <v>2.26E-5</v>
      </c>
      <c r="AF26" s="378"/>
      <c r="AG26" s="417">
        <v>666</v>
      </c>
      <c r="AH26" s="417">
        <v>0</v>
      </c>
      <c r="AI26" s="417">
        <v>0</v>
      </c>
      <c r="AJ26" s="417">
        <v>0</v>
      </c>
      <c r="AK26" s="417">
        <v>0</v>
      </c>
      <c r="AL26" s="378">
        <v>2.26E-5</v>
      </c>
      <c r="AM26" s="378"/>
      <c r="AN26" s="417">
        <v>-7722</v>
      </c>
      <c r="AO26" s="417">
        <v>-7721</v>
      </c>
      <c r="AP26" s="417">
        <v>-2654</v>
      </c>
      <c r="AQ26" s="417">
        <v>0</v>
      </c>
      <c r="AR26" s="417">
        <v>0</v>
      </c>
    </row>
    <row r="27" spans="1:44">
      <c r="A27" s="377">
        <v>90201</v>
      </c>
      <c r="B27" t="s">
        <v>743</v>
      </c>
      <c r="C27" s="378">
        <v>1.3133000000000001E-3</v>
      </c>
      <c r="D27" s="378"/>
      <c r="E27" s="417">
        <v>194929</v>
      </c>
      <c r="F27" s="417">
        <v>-46958</v>
      </c>
      <c r="G27" s="417">
        <v>-242949</v>
      </c>
      <c r="H27" s="417">
        <v>-880534</v>
      </c>
      <c r="I27" s="417">
        <v>0</v>
      </c>
      <c r="J27" s="378">
        <v>1.3133000000000001E-3</v>
      </c>
      <c r="K27" s="378"/>
      <c r="L27" s="417">
        <v>321506</v>
      </c>
      <c r="M27" s="417">
        <v>222042</v>
      </c>
      <c r="N27" s="417">
        <v>97200</v>
      </c>
      <c r="O27" s="417">
        <v>0</v>
      </c>
      <c r="P27" s="417">
        <v>0</v>
      </c>
      <c r="Q27" s="378">
        <v>1.3133000000000001E-3</v>
      </c>
      <c r="R27" s="378"/>
      <c r="S27" s="417">
        <v>-659760</v>
      </c>
      <c r="T27" s="417">
        <v>-652126</v>
      </c>
      <c r="U27" s="417">
        <v>-685084</v>
      </c>
      <c r="V27" s="417">
        <v>-880534</v>
      </c>
      <c r="W27" s="417">
        <v>0</v>
      </c>
      <c r="X27" s="378">
        <v>1.3133000000000001E-3</v>
      </c>
      <c r="Z27" s="417">
        <v>526111</v>
      </c>
      <c r="AA27" s="417">
        <v>369622</v>
      </c>
      <c r="AB27" s="417">
        <v>369619</v>
      </c>
      <c r="AC27" s="417">
        <v>0</v>
      </c>
      <c r="AD27" s="417">
        <v>0</v>
      </c>
      <c r="AE27" s="378">
        <v>1.3133000000000001E-3</v>
      </c>
      <c r="AF27" s="378"/>
      <c r="AG27" s="417">
        <v>38189</v>
      </c>
      <c r="AH27" s="417">
        <v>38187</v>
      </c>
      <c r="AI27" s="417">
        <v>0</v>
      </c>
      <c r="AJ27" s="417">
        <v>0</v>
      </c>
      <c r="AK27" s="417">
        <v>0</v>
      </c>
      <c r="AL27" s="378">
        <v>1.3133000000000001E-3</v>
      </c>
      <c r="AM27" s="378"/>
      <c r="AN27" s="417">
        <v>-31117</v>
      </c>
      <c r="AO27" s="417">
        <v>-24683</v>
      </c>
      <c r="AP27" s="417">
        <v>-24684</v>
      </c>
      <c r="AQ27" s="417">
        <v>0</v>
      </c>
      <c r="AR27" s="417">
        <v>0</v>
      </c>
    </row>
    <row r="28" spans="1:44">
      <c r="A28" s="377">
        <v>90203</v>
      </c>
      <c r="B28" t="s">
        <v>744</v>
      </c>
      <c r="C28" s="378">
        <v>1.8679999999999999E-4</v>
      </c>
      <c r="D28" s="378"/>
      <c r="E28" s="417">
        <v>26129</v>
      </c>
      <c r="F28" s="417">
        <v>-9969</v>
      </c>
      <c r="G28" s="417">
        <v>-26913</v>
      </c>
      <c r="H28" s="417">
        <v>-125245</v>
      </c>
      <c r="I28" s="417">
        <v>0</v>
      </c>
      <c r="J28" s="378">
        <v>1.8679999999999999E-4</v>
      </c>
      <c r="K28" s="378"/>
      <c r="L28" s="417">
        <v>45730</v>
      </c>
      <c r="M28" s="417">
        <v>31583</v>
      </c>
      <c r="N28" s="417">
        <v>13825</v>
      </c>
      <c r="O28" s="417">
        <v>0</v>
      </c>
      <c r="P28" s="417">
        <v>0</v>
      </c>
      <c r="Q28" s="378">
        <v>1.8679999999999999E-4</v>
      </c>
      <c r="R28" s="378"/>
      <c r="S28" s="417">
        <v>-93842</v>
      </c>
      <c r="T28" s="417">
        <v>-92756</v>
      </c>
      <c r="U28" s="417">
        <v>-97444</v>
      </c>
      <c r="V28" s="417">
        <v>-125245</v>
      </c>
      <c r="W28" s="417">
        <v>0</v>
      </c>
      <c r="X28" s="378">
        <v>1.8679999999999999E-4</v>
      </c>
      <c r="Z28" s="417">
        <v>74832</v>
      </c>
      <c r="AA28" s="417">
        <v>52574</v>
      </c>
      <c r="AB28" s="417">
        <v>52574</v>
      </c>
      <c r="AC28" s="417">
        <v>0</v>
      </c>
      <c r="AD28" s="417">
        <v>0</v>
      </c>
      <c r="AE28" s="378">
        <v>1.8679999999999999E-4</v>
      </c>
      <c r="AF28" s="378"/>
      <c r="AG28" s="417">
        <v>5646</v>
      </c>
      <c r="AH28" s="417">
        <v>4866</v>
      </c>
      <c r="AI28" s="417">
        <v>4132</v>
      </c>
      <c r="AJ28" s="417">
        <v>0</v>
      </c>
      <c r="AK28" s="417">
        <v>0</v>
      </c>
      <c r="AL28" s="378">
        <v>1.8679999999999999E-4</v>
      </c>
      <c r="AM28" s="378"/>
      <c r="AN28" s="417">
        <v>-6237</v>
      </c>
      <c r="AO28" s="417">
        <v>-6236</v>
      </c>
      <c r="AP28" s="417">
        <v>0</v>
      </c>
      <c r="AQ28" s="417">
        <v>0</v>
      </c>
      <c r="AR28" s="417">
        <v>0</v>
      </c>
    </row>
    <row r="29" spans="1:44">
      <c r="A29" s="377">
        <v>90205</v>
      </c>
      <c r="B29" t="s">
        <v>745</v>
      </c>
      <c r="C29" s="378">
        <v>3.3800000000000002E-5</v>
      </c>
      <c r="D29" s="378"/>
      <c r="E29" s="417">
        <v>6850</v>
      </c>
      <c r="F29" s="417">
        <v>-129</v>
      </c>
      <c r="G29" s="417">
        <v>-4318</v>
      </c>
      <c r="H29" s="417">
        <v>-22662</v>
      </c>
      <c r="I29" s="417">
        <v>0</v>
      </c>
      <c r="J29" s="378">
        <v>3.3800000000000002E-5</v>
      </c>
      <c r="K29" s="378"/>
      <c r="L29" s="417">
        <v>8275</v>
      </c>
      <c r="M29" s="417">
        <v>5715</v>
      </c>
      <c r="N29" s="417">
        <v>2502</v>
      </c>
      <c r="O29" s="417">
        <v>0</v>
      </c>
      <c r="P29" s="417">
        <v>0</v>
      </c>
      <c r="Q29" s="378">
        <v>3.3800000000000002E-5</v>
      </c>
      <c r="R29" s="378"/>
      <c r="S29" s="417">
        <v>-16980</v>
      </c>
      <c r="T29" s="417">
        <v>-16784</v>
      </c>
      <c r="U29" s="417">
        <v>-17632</v>
      </c>
      <c r="V29" s="417">
        <v>-22662</v>
      </c>
      <c r="W29" s="417">
        <v>0</v>
      </c>
      <c r="X29" s="378">
        <v>3.3800000000000002E-5</v>
      </c>
      <c r="Z29" s="417">
        <v>13540</v>
      </c>
      <c r="AA29" s="417">
        <v>9513</v>
      </c>
      <c r="AB29" s="417">
        <v>9513</v>
      </c>
      <c r="AC29" s="417">
        <v>0</v>
      </c>
      <c r="AD29" s="417">
        <v>0</v>
      </c>
      <c r="AE29" s="378">
        <v>3.3800000000000002E-5</v>
      </c>
      <c r="AF29" s="378"/>
      <c r="AG29" s="417">
        <v>2157</v>
      </c>
      <c r="AH29" s="417">
        <v>1567</v>
      </c>
      <c r="AI29" s="417">
        <v>1299</v>
      </c>
      <c r="AJ29" s="417">
        <v>0</v>
      </c>
      <c r="AK29" s="417">
        <v>0</v>
      </c>
      <c r="AL29" s="378">
        <v>3.3800000000000002E-5</v>
      </c>
      <c r="AM29" s="378"/>
      <c r="AN29" s="417">
        <v>-142</v>
      </c>
      <c r="AO29" s="417">
        <v>-140</v>
      </c>
      <c r="AP29" s="417">
        <v>0</v>
      </c>
      <c r="AQ29" s="417">
        <v>0</v>
      </c>
      <c r="AR29" s="417">
        <v>0</v>
      </c>
    </row>
    <row r="30" spans="1:44">
      <c r="A30" s="377">
        <v>90206</v>
      </c>
      <c r="B30" t="s">
        <v>746</v>
      </c>
      <c r="C30" s="378">
        <v>4.3609999999999998E-4</v>
      </c>
      <c r="D30" s="378"/>
      <c r="E30" s="417">
        <v>92426</v>
      </c>
      <c r="F30" s="417">
        <v>11403</v>
      </c>
      <c r="G30" s="417">
        <v>-39303</v>
      </c>
      <c r="H30" s="417">
        <v>-292394</v>
      </c>
      <c r="I30" s="417">
        <v>0</v>
      </c>
      <c r="J30" s="378">
        <v>4.3609999999999998E-4</v>
      </c>
      <c r="K30" s="378"/>
      <c r="L30" s="417">
        <v>106761</v>
      </c>
      <c r="M30" s="417">
        <v>73732</v>
      </c>
      <c r="N30" s="417">
        <v>32277</v>
      </c>
      <c r="O30" s="417">
        <v>0</v>
      </c>
      <c r="P30" s="417">
        <v>0</v>
      </c>
      <c r="Q30" s="378">
        <v>4.3609999999999998E-4</v>
      </c>
      <c r="R30" s="378"/>
      <c r="S30" s="417">
        <v>-219083</v>
      </c>
      <c r="T30" s="417">
        <v>-216548</v>
      </c>
      <c r="U30" s="417">
        <v>-227492</v>
      </c>
      <c r="V30" s="417">
        <v>-292394</v>
      </c>
      <c r="W30" s="417">
        <v>0</v>
      </c>
      <c r="X30" s="378">
        <v>4.3609999999999998E-4</v>
      </c>
      <c r="Z30" s="417">
        <v>174703</v>
      </c>
      <c r="AA30" s="417">
        <v>122738</v>
      </c>
      <c r="AB30" s="417">
        <v>122737</v>
      </c>
      <c r="AC30" s="417">
        <v>0</v>
      </c>
      <c r="AD30" s="417">
        <v>0</v>
      </c>
      <c r="AE30" s="378">
        <v>4.3609999999999998E-4</v>
      </c>
      <c r="AF30" s="378"/>
      <c r="AG30" s="417">
        <v>42264</v>
      </c>
      <c r="AH30" s="417">
        <v>42263</v>
      </c>
      <c r="AI30" s="417">
        <v>33175</v>
      </c>
      <c r="AJ30" s="417">
        <v>0</v>
      </c>
      <c r="AK30" s="417">
        <v>0</v>
      </c>
      <c r="AL30" s="378">
        <v>4.3609999999999998E-4</v>
      </c>
      <c r="AM30" s="378"/>
      <c r="AN30" s="417">
        <v>-12219</v>
      </c>
      <c r="AO30" s="417">
        <v>-10782</v>
      </c>
      <c r="AP30" s="417">
        <v>0</v>
      </c>
      <c r="AQ30" s="417">
        <v>0</v>
      </c>
      <c r="AR30" s="417">
        <v>0</v>
      </c>
    </row>
    <row r="31" spans="1:44">
      <c r="A31" s="377">
        <v>90211</v>
      </c>
      <c r="B31" t="s">
        <v>747</v>
      </c>
      <c r="C31" s="378">
        <v>1.2120000000000001E-4</v>
      </c>
      <c r="D31" s="378"/>
      <c r="E31" s="417">
        <v>6689</v>
      </c>
      <c r="F31" s="417">
        <v>-18013</v>
      </c>
      <c r="G31" s="417">
        <v>-31789</v>
      </c>
      <c r="H31" s="417">
        <v>-81261</v>
      </c>
      <c r="I31" s="417">
        <v>0</v>
      </c>
      <c r="J31" s="378">
        <v>1.2120000000000001E-4</v>
      </c>
      <c r="K31" s="378"/>
      <c r="L31" s="417">
        <v>29671</v>
      </c>
      <c r="M31" s="417">
        <v>20492</v>
      </c>
      <c r="N31" s="417">
        <v>8970</v>
      </c>
      <c r="O31" s="417">
        <v>0</v>
      </c>
      <c r="P31" s="417">
        <v>0</v>
      </c>
      <c r="Q31" s="378">
        <v>1.2120000000000001E-4</v>
      </c>
      <c r="R31" s="378"/>
      <c r="S31" s="417">
        <v>-60887</v>
      </c>
      <c r="T31" s="417">
        <v>-60182</v>
      </c>
      <c r="U31" s="417">
        <v>-63224</v>
      </c>
      <c r="V31" s="417">
        <v>-81261</v>
      </c>
      <c r="W31" s="417">
        <v>0</v>
      </c>
      <c r="X31" s="378">
        <v>1.2120000000000001E-4</v>
      </c>
      <c r="Z31" s="417">
        <v>48553</v>
      </c>
      <c r="AA31" s="417">
        <v>34111</v>
      </c>
      <c r="AB31" s="417">
        <v>34111</v>
      </c>
      <c r="AC31" s="417">
        <v>0</v>
      </c>
      <c r="AD31" s="417">
        <v>0</v>
      </c>
      <c r="AE31" s="378">
        <v>1.2120000000000001E-4</v>
      </c>
      <c r="AF31" s="378"/>
      <c r="AG31" s="417">
        <v>2964</v>
      </c>
      <c r="AH31" s="417">
        <v>1177</v>
      </c>
      <c r="AI31" s="417">
        <v>0</v>
      </c>
      <c r="AJ31" s="417">
        <v>0</v>
      </c>
      <c r="AK31" s="417">
        <v>0</v>
      </c>
      <c r="AL31" s="378">
        <v>1.2120000000000001E-4</v>
      </c>
      <c r="AM31" s="378"/>
      <c r="AN31" s="417">
        <v>-13612</v>
      </c>
      <c r="AO31" s="417">
        <v>-13611</v>
      </c>
      <c r="AP31" s="417">
        <v>-11646</v>
      </c>
      <c r="AQ31" s="417">
        <v>0</v>
      </c>
      <c r="AR31" s="417">
        <v>0</v>
      </c>
    </row>
    <row r="32" spans="1:44">
      <c r="A32" s="377">
        <v>90301</v>
      </c>
      <c r="B32" t="s">
        <v>748</v>
      </c>
      <c r="C32" s="378">
        <v>6.4340000000000003E-4</v>
      </c>
      <c r="D32" s="378"/>
      <c r="E32" s="417">
        <v>40861</v>
      </c>
      <c r="F32" s="417">
        <v>-79274</v>
      </c>
      <c r="G32" s="417">
        <v>-151717</v>
      </c>
      <c r="H32" s="417">
        <v>-431383</v>
      </c>
      <c r="I32" s="417">
        <v>0</v>
      </c>
      <c r="J32" s="378">
        <v>6.4340000000000003E-4</v>
      </c>
      <c r="K32" s="378"/>
      <c r="L32" s="417">
        <v>157509</v>
      </c>
      <c r="M32" s="417">
        <v>108781</v>
      </c>
      <c r="N32" s="417">
        <v>47619</v>
      </c>
      <c r="O32" s="417">
        <v>0</v>
      </c>
      <c r="P32" s="417">
        <v>0</v>
      </c>
      <c r="Q32" s="378">
        <v>6.4340000000000003E-4</v>
      </c>
      <c r="R32" s="378"/>
      <c r="S32" s="417">
        <v>-323224</v>
      </c>
      <c r="T32" s="417">
        <v>-319483</v>
      </c>
      <c r="U32" s="417">
        <v>-335630</v>
      </c>
      <c r="V32" s="417">
        <v>-431383</v>
      </c>
      <c r="W32" s="417">
        <v>0</v>
      </c>
      <c r="X32" s="378">
        <v>6.4340000000000003E-4</v>
      </c>
      <c r="Z32" s="417">
        <v>257747</v>
      </c>
      <c r="AA32" s="417">
        <v>181082</v>
      </c>
      <c r="AB32" s="417">
        <v>181080</v>
      </c>
      <c r="AC32" s="417">
        <v>0</v>
      </c>
      <c r="AD32" s="417">
        <v>0</v>
      </c>
      <c r="AE32" s="378">
        <v>6.4340000000000003E-4</v>
      </c>
      <c r="AF32" s="378"/>
      <c r="AG32" s="417">
        <v>0</v>
      </c>
      <c r="AH32" s="417">
        <v>0</v>
      </c>
      <c r="AI32" s="417">
        <v>0</v>
      </c>
      <c r="AJ32" s="417">
        <v>0</v>
      </c>
      <c r="AK32" s="417">
        <v>0</v>
      </c>
      <c r="AL32" s="378">
        <v>6.4340000000000003E-4</v>
      </c>
      <c r="AM32" s="378"/>
      <c r="AN32" s="417">
        <v>-51171</v>
      </c>
      <c r="AO32" s="417">
        <v>-49654</v>
      </c>
      <c r="AP32" s="417">
        <v>-44786</v>
      </c>
      <c r="AQ32" s="417">
        <v>0</v>
      </c>
      <c r="AR32" s="417">
        <v>0</v>
      </c>
    </row>
    <row r="33" spans="1:44">
      <c r="A33" s="377">
        <v>90305</v>
      </c>
      <c r="B33" t="s">
        <v>749</v>
      </c>
      <c r="C33" s="378">
        <v>1.449E-4</v>
      </c>
      <c r="D33" s="378"/>
      <c r="E33" s="417">
        <v>33685</v>
      </c>
      <c r="F33" s="417">
        <v>5884</v>
      </c>
      <c r="G33" s="417">
        <v>-20771</v>
      </c>
      <c r="H33" s="417">
        <v>-97152</v>
      </c>
      <c r="I33" s="417">
        <v>0</v>
      </c>
      <c r="J33" s="378">
        <v>1.449E-4</v>
      </c>
      <c r="K33" s="378"/>
      <c r="L33" s="417">
        <v>35473</v>
      </c>
      <c r="M33" s="417">
        <v>24499</v>
      </c>
      <c r="N33" s="417">
        <v>10724</v>
      </c>
      <c r="O33" s="417">
        <v>0</v>
      </c>
      <c r="P33" s="417">
        <v>0</v>
      </c>
      <c r="Q33" s="378">
        <v>1.449E-4</v>
      </c>
      <c r="R33" s="378"/>
      <c r="S33" s="417">
        <v>-72793</v>
      </c>
      <c r="T33" s="417">
        <v>-71951</v>
      </c>
      <c r="U33" s="417">
        <v>-75587</v>
      </c>
      <c r="V33" s="417">
        <v>-97152</v>
      </c>
      <c r="W33" s="417">
        <v>0</v>
      </c>
      <c r="X33" s="378">
        <v>1.449E-4</v>
      </c>
      <c r="Z33" s="417">
        <v>58047</v>
      </c>
      <c r="AA33" s="417">
        <v>40781</v>
      </c>
      <c r="AB33" s="417">
        <v>40781</v>
      </c>
      <c r="AC33" s="417">
        <v>0</v>
      </c>
      <c r="AD33" s="417">
        <v>0</v>
      </c>
      <c r="AE33" s="378">
        <v>1.449E-4</v>
      </c>
      <c r="AF33" s="378"/>
      <c r="AG33" s="417">
        <v>12958</v>
      </c>
      <c r="AH33" s="417">
        <v>12555</v>
      </c>
      <c r="AI33" s="417">
        <v>3311</v>
      </c>
      <c r="AJ33" s="417">
        <v>0</v>
      </c>
      <c r="AK33" s="417">
        <v>0</v>
      </c>
      <c r="AL33" s="378">
        <v>1.449E-4</v>
      </c>
      <c r="AM33" s="378"/>
      <c r="AN33" s="417">
        <v>0</v>
      </c>
      <c r="AO33" s="417">
        <v>0</v>
      </c>
      <c r="AP33" s="417">
        <v>0</v>
      </c>
      <c r="AQ33" s="417">
        <v>0</v>
      </c>
      <c r="AR33" s="417">
        <v>0</v>
      </c>
    </row>
    <row r="34" spans="1:44">
      <c r="A34" s="377">
        <v>90307</v>
      </c>
      <c r="B34" t="s">
        <v>750</v>
      </c>
      <c r="C34" s="378">
        <v>5.0000000000000004E-6</v>
      </c>
      <c r="D34" s="378"/>
      <c r="E34" s="417">
        <v>1356</v>
      </c>
      <c r="F34" s="417">
        <v>419</v>
      </c>
      <c r="G34" s="417">
        <v>-477</v>
      </c>
      <c r="H34" s="417">
        <v>-3352</v>
      </c>
      <c r="I34" s="417">
        <v>0</v>
      </c>
      <c r="J34" s="378">
        <v>5.0000000000000004E-6</v>
      </c>
      <c r="K34" s="378"/>
      <c r="L34" s="417">
        <v>1224</v>
      </c>
      <c r="M34" s="417">
        <v>845</v>
      </c>
      <c r="N34" s="417">
        <v>370</v>
      </c>
      <c r="O34" s="417">
        <v>0</v>
      </c>
      <c r="P34" s="417">
        <v>0</v>
      </c>
      <c r="Q34" s="378">
        <v>5.0000000000000004E-6</v>
      </c>
      <c r="R34" s="378"/>
      <c r="S34" s="417">
        <v>-2512</v>
      </c>
      <c r="T34" s="417">
        <v>-2483</v>
      </c>
      <c r="U34" s="417">
        <v>-2608</v>
      </c>
      <c r="V34" s="417">
        <v>-3352</v>
      </c>
      <c r="W34" s="417">
        <v>0</v>
      </c>
      <c r="X34" s="378">
        <v>5.0000000000000004E-6</v>
      </c>
      <c r="Z34" s="417">
        <v>2003</v>
      </c>
      <c r="AA34" s="417">
        <v>1407</v>
      </c>
      <c r="AB34" s="417">
        <v>1407</v>
      </c>
      <c r="AC34" s="417">
        <v>0</v>
      </c>
      <c r="AD34" s="417">
        <v>0</v>
      </c>
      <c r="AE34" s="378">
        <v>5.0000000000000004E-6</v>
      </c>
      <c r="AF34" s="378"/>
      <c r="AG34" s="417">
        <v>649</v>
      </c>
      <c r="AH34" s="417">
        <v>650</v>
      </c>
      <c r="AI34" s="417">
        <v>354</v>
      </c>
      <c r="AJ34" s="417">
        <v>0</v>
      </c>
      <c r="AK34" s="417">
        <v>0</v>
      </c>
      <c r="AL34" s="378">
        <v>5.0000000000000004E-6</v>
      </c>
      <c r="AM34" s="378"/>
      <c r="AN34" s="417">
        <v>-8</v>
      </c>
      <c r="AO34" s="417">
        <v>0</v>
      </c>
      <c r="AP34" s="417">
        <v>0</v>
      </c>
      <c r="AQ34" s="417">
        <v>0</v>
      </c>
      <c r="AR34" s="417">
        <v>0</v>
      </c>
    </row>
    <row r="35" spans="1:44">
      <c r="A35" s="377">
        <v>90401</v>
      </c>
      <c r="B35" t="s">
        <v>751</v>
      </c>
      <c r="C35" s="378">
        <v>1.4093E-3</v>
      </c>
      <c r="D35" s="378"/>
      <c r="E35" s="417">
        <v>322270</v>
      </c>
      <c r="F35" s="417">
        <v>58214</v>
      </c>
      <c r="G35" s="417">
        <v>-169238</v>
      </c>
      <c r="H35" s="417">
        <v>-944899</v>
      </c>
      <c r="I35" s="417">
        <v>0</v>
      </c>
      <c r="J35" s="378">
        <v>1.4093E-3</v>
      </c>
      <c r="K35" s="378"/>
      <c r="L35" s="417">
        <v>345008</v>
      </c>
      <c r="M35" s="417">
        <v>238273</v>
      </c>
      <c r="N35" s="417">
        <v>104305</v>
      </c>
      <c r="O35" s="417">
        <v>0</v>
      </c>
      <c r="P35" s="417">
        <v>0</v>
      </c>
      <c r="Q35" s="378">
        <v>1.4093E-3</v>
      </c>
      <c r="R35" s="378"/>
      <c r="S35" s="417">
        <v>-707987</v>
      </c>
      <c r="T35" s="417">
        <v>-699795</v>
      </c>
      <c r="U35" s="417">
        <v>-735163</v>
      </c>
      <c r="V35" s="417">
        <v>-944899</v>
      </c>
      <c r="W35" s="417">
        <v>0</v>
      </c>
      <c r="X35" s="378">
        <v>1.4093E-3</v>
      </c>
      <c r="Z35" s="417">
        <v>564568</v>
      </c>
      <c r="AA35" s="417">
        <v>396640</v>
      </c>
      <c r="AB35" s="417">
        <v>396638</v>
      </c>
      <c r="AC35" s="417">
        <v>0</v>
      </c>
      <c r="AD35" s="417">
        <v>0</v>
      </c>
      <c r="AE35" s="378">
        <v>1.4093E-3</v>
      </c>
      <c r="AF35" s="378"/>
      <c r="AG35" s="417">
        <v>123097</v>
      </c>
      <c r="AH35" s="417">
        <v>123096</v>
      </c>
      <c r="AI35" s="417">
        <v>64982</v>
      </c>
      <c r="AJ35" s="417">
        <v>0</v>
      </c>
      <c r="AK35" s="417">
        <v>0</v>
      </c>
      <c r="AL35" s="378">
        <v>1.4093E-3</v>
      </c>
      <c r="AM35" s="378"/>
      <c r="AN35" s="417">
        <v>-2416</v>
      </c>
      <c r="AO35" s="417">
        <v>0</v>
      </c>
      <c r="AP35" s="417">
        <v>0</v>
      </c>
      <c r="AQ35" s="417">
        <v>0</v>
      </c>
      <c r="AR35" s="417">
        <v>0</v>
      </c>
    </row>
    <row r="36" spans="1:44">
      <c r="A36" s="377">
        <v>90411</v>
      </c>
      <c r="B36" t="s">
        <v>752</v>
      </c>
      <c r="C36" s="378">
        <v>3.3819999999999998E-4</v>
      </c>
      <c r="D36" s="378"/>
      <c r="E36" s="417">
        <v>46144</v>
      </c>
      <c r="F36" s="417">
        <v>-15365</v>
      </c>
      <c r="G36" s="417">
        <v>-57233</v>
      </c>
      <c r="H36" s="417">
        <v>-226754</v>
      </c>
      <c r="I36" s="417">
        <v>0</v>
      </c>
      <c r="J36" s="378">
        <v>3.3819999999999998E-4</v>
      </c>
      <c r="K36" s="378"/>
      <c r="L36" s="417">
        <v>82794</v>
      </c>
      <c r="M36" s="417">
        <v>57180</v>
      </c>
      <c r="N36" s="417">
        <v>25031</v>
      </c>
      <c r="O36" s="417">
        <v>0</v>
      </c>
      <c r="P36" s="417">
        <v>0</v>
      </c>
      <c r="Q36" s="378">
        <v>3.3819999999999998E-4</v>
      </c>
      <c r="R36" s="378"/>
      <c r="S36" s="417">
        <v>-169901</v>
      </c>
      <c r="T36" s="417">
        <v>-167935</v>
      </c>
      <c r="U36" s="417">
        <v>-176422</v>
      </c>
      <c r="V36" s="417">
        <v>-226754</v>
      </c>
      <c r="W36" s="417">
        <v>0</v>
      </c>
      <c r="X36" s="378">
        <v>3.3819999999999998E-4</v>
      </c>
      <c r="Z36" s="417">
        <v>135484</v>
      </c>
      <c r="AA36" s="417">
        <v>95185</v>
      </c>
      <c r="AB36" s="417">
        <v>95184</v>
      </c>
      <c r="AC36" s="417">
        <v>0</v>
      </c>
      <c r="AD36" s="417">
        <v>0</v>
      </c>
      <c r="AE36" s="378">
        <v>3.3819999999999998E-4</v>
      </c>
      <c r="AF36" s="378"/>
      <c r="AG36" s="417">
        <v>6508</v>
      </c>
      <c r="AH36" s="417">
        <v>6509</v>
      </c>
      <c r="AI36" s="417">
        <v>0</v>
      </c>
      <c r="AJ36" s="417">
        <v>0</v>
      </c>
      <c r="AK36" s="417">
        <v>0</v>
      </c>
      <c r="AL36" s="378">
        <v>3.3819999999999998E-4</v>
      </c>
      <c r="AM36" s="378"/>
      <c r="AN36" s="417">
        <v>-8741</v>
      </c>
      <c r="AO36" s="417">
        <v>-6304</v>
      </c>
      <c r="AP36" s="417">
        <v>-1026</v>
      </c>
      <c r="AQ36" s="417">
        <v>0</v>
      </c>
      <c r="AR36" s="417">
        <v>0</v>
      </c>
    </row>
    <row r="37" spans="1:44">
      <c r="A37" s="377">
        <v>90413</v>
      </c>
      <c r="B37" t="s">
        <v>753</v>
      </c>
      <c r="C37" s="378">
        <v>3.4600000000000001E-5</v>
      </c>
      <c r="D37" s="378"/>
      <c r="E37" s="417">
        <v>7185</v>
      </c>
      <c r="F37" s="417">
        <v>207</v>
      </c>
      <c r="G37" s="417">
        <v>-4670</v>
      </c>
      <c r="H37" s="417">
        <v>-23198</v>
      </c>
      <c r="I37" s="417">
        <v>0</v>
      </c>
      <c r="J37" s="378">
        <v>3.4600000000000001E-5</v>
      </c>
      <c r="K37" s="378"/>
      <c r="L37" s="417">
        <v>8470</v>
      </c>
      <c r="M37" s="417">
        <v>5850</v>
      </c>
      <c r="N37" s="417">
        <v>2561</v>
      </c>
      <c r="O37" s="417">
        <v>0</v>
      </c>
      <c r="P37" s="417">
        <v>0</v>
      </c>
      <c r="Q37" s="378">
        <v>3.4600000000000001E-5</v>
      </c>
      <c r="R37" s="378"/>
      <c r="S37" s="417">
        <v>-17382</v>
      </c>
      <c r="T37" s="417">
        <v>-17181</v>
      </c>
      <c r="U37" s="417">
        <v>-18049</v>
      </c>
      <c r="V37" s="417">
        <v>-23198</v>
      </c>
      <c r="W37" s="417">
        <v>0</v>
      </c>
      <c r="X37" s="378">
        <v>3.4600000000000001E-5</v>
      </c>
      <c r="Z37" s="417">
        <v>13861</v>
      </c>
      <c r="AA37" s="417">
        <v>9738</v>
      </c>
      <c r="AB37" s="417">
        <v>9738</v>
      </c>
      <c r="AC37" s="417">
        <v>0</v>
      </c>
      <c r="AD37" s="417">
        <v>0</v>
      </c>
      <c r="AE37" s="378">
        <v>3.4600000000000001E-5</v>
      </c>
      <c r="AF37" s="378"/>
      <c r="AG37" s="417">
        <v>2236</v>
      </c>
      <c r="AH37" s="417">
        <v>1800</v>
      </c>
      <c r="AI37" s="417">
        <v>1080</v>
      </c>
      <c r="AJ37" s="417">
        <v>0</v>
      </c>
      <c r="AK37" s="417">
        <v>0</v>
      </c>
      <c r="AL37" s="378">
        <v>3.4600000000000001E-5</v>
      </c>
      <c r="AM37" s="378"/>
      <c r="AN37" s="417">
        <v>0</v>
      </c>
      <c r="AO37" s="417">
        <v>0</v>
      </c>
      <c r="AP37" s="417">
        <v>0</v>
      </c>
      <c r="AQ37" s="417">
        <v>0</v>
      </c>
      <c r="AR37" s="417">
        <v>0</v>
      </c>
    </row>
    <row r="38" spans="1:44">
      <c r="A38" s="377">
        <v>90417</v>
      </c>
      <c r="B38" t="s">
        <v>754</v>
      </c>
      <c r="C38" s="378">
        <v>1.0200000000000001E-5</v>
      </c>
      <c r="D38" s="378"/>
      <c r="E38" s="417">
        <v>5033</v>
      </c>
      <c r="F38" s="417">
        <v>2451</v>
      </c>
      <c r="G38" s="417">
        <v>165</v>
      </c>
      <c r="H38" s="417">
        <v>-6839</v>
      </c>
      <c r="I38" s="417">
        <v>0</v>
      </c>
      <c r="J38" s="378">
        <v>1.0200000000000001E-5</v>
      </c>
      <c r="K38" s="378"/>
      <c r="L38" s="417">
        <v>2497</v>
      </c>
      <c r="M38" s="417">
        <v>1725</v>
      </c>
      <c r="N38" s="417">
        <v>755</v>
      </c>
      <c r="O38" s="417">
        <v>0</v>
      </c>
      <c r="P38" s="417">
        <v>0</v>
      </c>
      <c r="Q38" s="378">
        <v>1.0200000000000001E-5</v>
      </c>
      <c r="R38" s="378"/>
      <c r="S38" s="417">
        <v>-5124</v>
      </c>
      <c r="T38" s="417">
        <v>-5065</v>
      </c>
      <c r="U38" s="417">
        <v>-5321</v>
      </c>
      <c r="V38" s="417">
        <v>-6839</v>
      </c>
      <c r="W38" s="417">
        <v>0</v>
      </c>
      <c r="X38" s="378">
        <v>1.0200000000000001E-5</v>
      </c>
      <c r="Z38" s="417">
        <v>4086</v>
      </c>
      <c r="AA38" s="417">
        <v>2871</v>
      </c>
      <c r="AB38" s="417">
        <v>2871</v>
      </c>
      <c r="AC38" s="417">
        <v>0</v>
      </c>
      <c r="AD38" s="417">
        <v>0</v>
      </c>
      <c r="AE38" s="378">
        <v>1.0200000000000001E-5</v>
      </c>
      <c r="AF38" s="378"/>
      <c r="AG38" s="417">
        <v>3574</v>
      </c>
      <c r="AH38" s="417">
        <v>2920</v>
      </c>
      <c r="AI38" s="417">
        <v>1860</v>
      </c>
      <c r="AJ38" s="417">
        <v>0</v>
      </c>
      <c r="AK38" s="417">
        <v>0</v>
      </c>
      <c r="AL38" s="378">
        <v>1.0200000000000001E-5</v>
      </c>
      <c r="AM38" s="378"/>
      <c r="AN38" s="417">
        <v>0</v>
      </c>
      <c r="AO38" s="417">
        <v>0</v>
      </c>
      <c r="AP38" s="417">
        <v>0</v>
      </c>
      <c r="AQ38" s="417">
        <v>0</v>
      </c>
      <c r="AR38" s="417">
        <v>0</v>
      </c>
    </row>
    <row r="39" spans="1:44">
      <c r="A39" s="377">
        <v>90421</v>
      </c>
      <c r="B39" t="s">
        <v>755</v>
      </c>
      <c r="C39" s="378">
        <v>2.6699999999999998E-5</v>
      </c>
      <c r="D39" s="378"/>
      <c r="E39" s="417">
        <v>6459</v>
      </c>
      <c r="F39" s="417">
        <v>1835</v>
      </c>
      <c r="G39" s="417">
        <v>-3881</v>
      </c>
      <c r="H39" s="417">
        <v>-17902</v>
      </c>
      <c r="I39" s="417">
        <v>0</v>
      </c>
      <c r="J39" s="378">
        <v>2.6699999999999998E-5</v>
      </c>
      <c r="K39" s="378"/>
      <c r="L39" s="417">
        <v>6536</v>
      </c>
      <c r="M39" s="417">
        <v>4514</v>
      </c>
      <c r="N39" s="417">
        <v>1976</v>
      </c>
      <c r="O39" s="417">
        <v>0</v>
      </c>
      <c r="P39" s="417">
        <v>0</v>
      </c>
      <c r="Q39" s="378">
        <v>2.6699999999999998E-5</v>
      </c>
      <c r="R39" s="378"/>
      <c r="S39" s="417">
        <v>-13413</v>
      </c>
      <c r="T39" s="417">
        <v>-13258</v>
      </c>
      <c r="U39" s="417">
        <v>-13928</v>
      </c>
      <c r="V39" s="417">
        <v>-17902</v>
      </c>
      <c r="W39" s="417">
        <v>0</v>
      </c>
      <c r="X39" s="378">
        <v>2.6699999999999998E-5</v>
      </c>
      <c r="Z39" s="417">
        <v>10696</v>
      </c>
      <c r="AA39" s="417">
        <v>7515</v>
      </c>
      <c r="AB39" s="417">
        <v>7515</v>
      </c>
      <c r="AC39" s="417">
        <v>0</v>
      </c>
      <c r="AD39" s="417">
        <v>0</v>
      </c>
      <c r="AE39" s="378">
        <v>2.6699999999999998E-5</v>
      </c>
      <c r="AF39" s="378"/>
      <c r="AG39" s="417">
        <v>3407</v>
      </c>
      <c r="AH39" s="417">
        <v>3406</v>
      </c>
      <c r="AI39" s="417">
        <v>556</v>
      </c>
      <c r="AJ39" s="417">
        <v>0</v>
      </c>
      <c r="AK39" s="417">
        <v>0</v>
      </c>
      <c r="AL39" s="378">
        <v>2.6699999999999998E-5</v>
      </c>
      <c r="AM39" s="378"/>
      <c r="AN39" s="417">
        <v>-767</v>
      </c>
      <c r="AO39" s="417">
        <v>-342</v>
      </c>
      <c r="AP39" s="417">
        <v>0</v>
      </c>
      <c r="AQ39" s="417">
        <v>0</v>
      </c>
      <c r="AR39" s="417">
        <v>0</v>
      </c>
    </row>
    <row r="40" spans="1:44">
      <c r="A40" s="377">
        <v>90431</v>
      </c>
      <c r="B40" t="s">
        <v>756</v>
      </c>
      <c r="C40" s="378">
        <v>3.8000000000000002E-5</v>
      </c>
      <c r="D40" s="378"/>
      <c r="E40" s="417">
        <v>104</v>
      </c>
      <c r="F40" s="417">
        <v>-6724</v>
      </c>
      <c r="G40" s="417">
        <v>-11905</v>
      </c>
      <c r="H40" s="417">
        <v>-25478</v>
      </c>
      <c r="I40" s="417">
        <v>0</v>
      </c>
      <c r="J40" s="378">
        <v>3.8000000000000002E-5</v>
      </c>
      <c r="K40" s="378"/>
      <c r="L40" s="417">
        <v>9303</v>
      </c>
      <c r="M40" s="417">
        <v>6425</v>
      </c>
      <c r="N40" s="417">
        <v>2812</v>
      </c>
      <c r="O40" s="417">
        <v>0</v>
      </c>
      <c r="P40" s="417">
        <v>0</v>
      </c>
      <c r="Q40" s="378">
        <v>3.8000000000000002E-5</v>
      </c>
      <c r="R40" s="378"/>
      <c r="S40" s="417">
        <v>-19090</v>
      </c>
      <c r="T40" s="417">
        <v>-18869</v>
      </c>
      <c r="U40" s="417">
        <v>-19823</v>
      </c>
      <c r="V40" s="417">
        <v>-25478</v>
      </c>
      <c r="W40" s="417">
        <v>0</v>
      </c>
      <c r="X40" s="378">
        <v>3.8000000000000002E-5</v>
      </c>
      <c r="Z40" s="417">
        <v>15223</v>
      </c>
      <c r="AA40" s="417">
        <v>10695</v>
      </c>
      <c r="AB40" s="417">
        <v>10695</v>
      </c>
      <c r="AC40" s="417">
        <v>0</v>
      </c>
      <c r="AD40" s="417">
        <v>0</v>
      </c>
      <c r="AE40" s="378">
        <v>3.8000000000000002E-5</v>
      </c>
      <c r="AF40" s="378"/>
      <c r="AG40" s="417">
        <v>651</v>
      </c>
      <c r="AH40" s="417">
        <v>649</v>
      </c>
      <c r="AI40" s="417">
        <v>0</v>
      </c>
      <c r="AJ40" s="417">
        <v>0</v>
      </c>
      <c r="AK40" s="417">
        <v>0</v>
      </c>
      <c r="AL40" s="378">
        <v>3.8000000000000002E-5</v>
      </c>
      <c r="AM40" s="378"/>
      <c r="AN40" s="417">
        <v>-5983</v>
      </c>
      <c r="AO40" s="417">
        <v>-5624</v>
      </c>
      <c r="AP40" s="417">
        <v>-5589</v>
      </c>
      <c r="AQ40" s="417">
        <v>0</v>
      </c>
      <c r="AR40" s="417">
        <v>0</v>
      </c>
    </row>
    <row r="41" spans="1:44">
      <c r="A41" s="377">
        <v>90441</v>
      </c>
      <c r="B41" t="s">
        <v>757</v>
      </c>
      <c r="C41" s="378">
        <v>5.0000000000000004E-6</v>
      </c>
      <c r="D41" s="378"/>
      <c r="E41" s="417">
        <v>1908</v>
      </c>
      <c r="F41" s="417">
        <v>809</v>
      </c>
      <c r="G41" s="417">
        <v>-307</v>
      </c>
      <c r="H41" s="417">
        <v>-3352</v>
      </c>
      <c r="I41" s="417">
        <v>0</v>
      </c>
      <c r="J41" s="378">
        <v>5.0000000000000004E-6</v>
      </c>
      <c r="K41" s="378"/>
      <c r="L41" s="417">
        <v>1224</v>
      </c>
      <c r="M41" s="417">
        <v>845</v>
      </c>
      <c r="N41" s="417">
        <v>370</v>
      </c>
      <c r="O41" s="417">
        <v>0</v>
      </c>
      <c r="P41" s="417">
        <v>0</v>
      </c>
      <c r="Q41" s="378">
        <v>5.0000000000000004E-6</v>
      </c>
      <c r="R41" s="378"/>
      <c r="S41" s="417">
        <v>-2512</v>
      </c>
      <c r="T41" s="417">
        <v>-2483</v>
      </c>
      <c r="U41" s="417">
        <v>-2608</v>
      </c>
      <c r="V41" s="417">
        <v>-3352</v>
      </c>
      <c r="W41" s="417">
        <v>0</v>
      </c>
      <c r="X41" s="378">
        <v>5.0000000000000004E-6</v>
      </c>
      <c r="Z41" s="417">
        <v>2003</v>
      </c>
      <c r="AA41" s="417">
        <v>1407</v>
      </c>
      <c r="AB41" s="417">
        <v>1407</v>
      </c>
      <c r="AC41" s="417">
        <v>0</v>
      </c>
      <c r="AD41" s="417">
        <v>0</v>
      </c>
      <c r="AE41" s="378">
        <v>5.0000000000000004E-6</v>
      </c>
      <c r="AF41" s="378"/>
      <c r="AG41" s="417">
        <v>1193</v>
      </c>
      <c r="AH41" s="417">
        <v>1040</v>
      </c>
      <c r="AI41" s="417">
        <v>524</v>
      </c>
      <c r="AJ41" s="417">
        <v>0</v>
      </c>
      <c r="AK41" s="417">
        <v>0</v>
      </c>
      <c r="AL41" s="378">
        <v>5.0000000000000004E-6</v>
      </c>
      <c r="AM41" s="378"/>
      <c r="AN41" s="417">
        <v>0</v>
      </c>
      <c r="AO41" s="417">
        <v>0</v>
      </c>
      <c r="AP41" s="417">
        <v>0</v>
      </c>
      <c r="AQ41" s="417">
        <v>0</v>
      </c>
      <c r="AR41" s="417">
        <v>0</v>
      </c>
    </row>
    <row r="42" spans="1:44">
      <c r="A42" s="377">
        <v>90451</v>
      </c>
      <c r="B42" t="s">
        <v>758</v>
      </c>
      <c r="C42" s="378">
        <v>1.08E-5</v>
      </c>
      <c r="D42" s="378"/>
      <c r="E42" s="417">
        <v>-3788</v>
      </c>
      <c r="F42" s="417">
        <v>-6478</v>
      </c>
      <c r="G42" s="417">
        <v>-7721</v>
      </c>
      <c r="H42" s="417">
        <v>-7241</v>
      </c>
      <c r="I42" s="417">
        <v>0</v>
      </c>
      <c r="J42" s="378">
        <v>1.08E-5</v>
      </c>
      <c r="K42" s="378"/>
      <c r="L42" s="417">
        <v>2644</v>
      </c>
      <c r="M42" s="417">
        <v>1826</v>
      </c>
      <c r="N42" s="417">
        <v>799</v>
      </c>
      <c r="O42" s="417">
        <v>0</v>
      </c>
      <c r="P42" s="417">
        <v>0</v>
      </c>
      <c r="Q42" s="378">
        <v>1.08E-5</v>
      </c>
      <c r="R42" s="378"/>
      <c r="S42" s="417">
        <v>-5426</v>
      </c>
      <c r="T42" s="417">
        <v>-5363</v>
      </c>
      <c r="U42" s="417">
        <v>-5634</v>
      </c>
      <c r="V42" s="417">
        <v>-7241</v>
      </c>
      <c r="W42" s="417">
        <v>0</v>
      </c>
      <c r="X42" s="378">
        <v>1.08E-5</v>
      </c>
      <c r="Z42" s="417">
        <v>4327</v>
      </c>
      <c r="AA42" s="417">
        <v>3040</v>
      </c>
      <c r="AB42" s="417">
        <v>3040</v>
      </c>
      <c r="AC42" s="417">
        <v>0</v>
      </c>
      <c r="AD42" s="417">
        <v>0</v>
      </c>
      <c r="AE42" s="378">
        <v>1.08E-5</v>
      </c>
      <c r="AF42" s="378"/>
      <c r="AG42" s="417">
        <v>1111</v>
      </c>
      <c r="AH42" s="417">
        <v>462</v>
      </c>
      <c r="AI42" s="417">
        <v>0</v>
      </c>
      <c r="AJ42" s="417">
        <v>0</v>
      </c>
      <c r="AK42" s="417">
        <v>0</v>
      </c>
      <c r="AL42" s="378">
        <v>1.08E-5</v>
      </c>
      <c r="AM42" s="378"/>
      <c r="AN42" s="417">
        <v>-6444</v>
      </c>
      <c r="AO42" s="417">
        <v>-6443</v>
      </c>
      <c r="AP42" s="417">
        <v>-5926</v>
      </c>
      <c r="AQ42" s="417">
        <v>0</v>
      </c>
      <c r="AR42" s="417">
        <v>0</v>
      </c>
    </row>
    <row r="43" spans="1:44">
      <c r="A43" s="377">
        <v>90461</v>
      </c>
      <c r="B43" t="s">
        <v>759</v>
      </c>
      <c r="C43" s="378">
        <v>1.1399999999999999E-5</v>
      </c>
      <c r="D43" s="378"/>
      <c r="E43" s="417">
        <v>6600</v>
      </c>
      <c r="F43" s="417">
        <v>4422</v>
      </c>
      <c r="G43" s="417">
        <v>2023</v>
      </c>
      <c r="H43" s="417">
        <v>-7643</v>
      </c>
      <c r="I43" s="417">
        <v>0</v>
      </c>
      <c r="J43" s="378">
        <v>1.1399999999999999E-5</v>
      </c>
      <c r="K43" s="378"/>
      <c r="L43" s="417">
        <v>2791</v>
      </c>
      <c r="M43" s="417">
        <v>1927</v>
      </c>
      <c r="N43" s="417">
        <v>844</v>
      </c>
      <c r="O43" s="417">
        <v>0</v>
      </c>
      <c r="P43" s="417">
        <v>0</v>
      </c>
      <c r="Q43" s="378">
        <v>1.1399999999999999E-5</v>
      </c>
      <c r="R43" s="378"/>
      <c r="S43" s="417">
        <v>-5727</v>
      </c>
      <c r="T43" s="417">
        <v>-5661</v>
      </c>
      <c r="U43" s="417">
        <v>-5947</v>
      </c>
      <c r="V43" s="417">
        <v>-7643</v>
      </c>
      <c r="W43" s="417">
        <v>0</v>
      </c>
      <c r="X43" s="378">
        <v>1.1399999999999999E-5</v>
      </c>
      <c r="Z43" s="417">
        <v>4567</v>
      </c>
      <c r="AA43" s="417">
        <v>3208</v>
      </c>
      <c r="AB43" s="417">
        <v>3208</v>
      </c>
      <c r="AC43" s="417">
        <v>0</v>
      </c>
      <c r="AD43" s="417">
        <v>0</v>
      </c>
      <c r="AE43" s="378">
        <v>1.1399999999999999E-5</v>
      </c>
      <c r="AF43" s="378"/>
      <c r="AG43" s="417">
        <v>5624</v>
      </c>
      <c r="AH43" s="417">
        <v>5604</v>
      </c>
      <c r="AI43" s="417">
        <v>3918</v>
      </c>
      <c r="AJ43" s="417">
        <v>0</v>
      </c>
      <c r="AK43" s="417">
        <v>0</v>
      </c>
      <c r="AL43" s="378">
        <v>1.1399999999999999E-5</v>
      </c>
      <c r="AM43" s="378"/>
      <c r="AN43" s="417">
        <v>-655</v>
      </c>
      <c r="AO43" s="417">
        <v>-656</v>
      </c>
      <c r="AP43" s="417">
        <v>0</v>
      </c>
      <c r="AQ43" s="417">
        <v>0</v>
      </c>
      <c r="AR43" s="417">
        <v>0</v>
      </c>
    </row>
    <row r="44" spans="1:44">
      <c r="A44" s="377">
        <v>90501</v>
      </c>
      <c r="B44" t="s">
        <v>760</v>
      </c>
      <c r="C44" s="378">
        <v>1.4752000000000001E-3</v>
      </c>
      <c r="D44" s="378"/>
      <c r="E44" s="417">
        <v>235995</v>
      </c>
      <c r="F44" s="417">
        <v>-41451</v>
      </c>
      <c r="G44" s="417">
        <v>-260275</v>
      </c>
      <c r="H44" s="417">
        <v>-989083</v>
      </c>
      <c r="I44" s="417">
        <v>0</v>
      </c>
      <c r="J44" s="378">
        <v>1.4752000000000001E-3</v>
      </c>
      <c r="K44" s="378"/>
      <c r="L44" s="417">
        <v>361141</v>
      </c>
      <c r="M44" s="417">
        <v>249415</v>
      </c>
      <c r="N44" s="417">
        <v>109183</v>
      </c>
      <c r="O44" s="417">
        <v>0</v>
      </c>
      <c r="P44" s="417">
        <v>0</v>
      </c>
      <c r="Q44" s="378">
        <v>1.4752000000000001E-3</v>
      </c>
      <c r="R44" s="378"/>
      <c r="S44" s="417">
        <v>-741093</v>
      </c>
      <c r="T44" s="417">
        <v>-732518</v>
      </c>
      <c r="U44" s="417">
        <v>-769540</v>
      </c>
      <c r="V44" s="417">
        <v>-989083</v>
      </c>
      <c r="W44" s="417">
        <v>0</v>
      </c>
      <c r="X44" s="378">
        <v>1.4752000000000001E-3</v>
      </c>
      <c r="Z44" s="417">
        <v>590968</v>
      </c>
      <c r="AA44" s="417">
        <v>415188</v>
      </c>
      <c r="AB44" s="417">
        <v>415185</v>
      </c>
      <c r="AC44" s="417">
        <v>0</v>
      </c>
      <c r="AD44" s="417">
        <v>0</v>
      </c>
      <c r="AE44" s="378">
        <v>1.4752000000000001E-3</v>
      </c>
      <c r="AF44" s="378"/>
      <c r="AG44" s="417">
        <v>41569</v>
      </c>
      <c r="AH44" s="417">
        <v>41567</v>
      </c>
      <c r="AI44" s="417">
        <v>0</v>
      </c>
      <c r="AJ44" s="417">
        <v>0</v>
      </c>
      <c r="AK44" s="417">
        <v>0</v>
      </c>
      <c r="AL44" s="378">
        <v>1.4752000000000001E-3</v>
      </c>
      <c r="AM44" s="378"/>
      <c r="AN44" s="417">
        <v>-16590</v>
      </c>
      <c r="AO44" s="417">
        <v>-15103</v>
      </c>
      <c r="AP44" s="417">
        <v>-15103</v>
      </c>
      <c r="AQ44" s="417">
        <v>0</v>
      </c>
      <c r="AR44" s="417">
        <v>0</v>
      </c>
    </row>
    <row r="45" spans="1:44">
      <c r="A45" s="377">
        <v>90507</v>
      </c>
      <c r="B45" t="s">
        <v>34</v>
      </c>
      <c r="C45" s="378">
        <v>1.6099999999999998E-5</v>
      </c>
      <c r="D45" s="378"/>
      <c r="E45" s="417">
        <v>14471</v>
      </c>
      <c r="F45" s="417">
        <v>9891</v>
      </c>
      <c r="G45" s="417">
        <v>2872</v>
      </c>
      <c r="H45" s="417">
        <v>-10795</v>
      </c>
      <c r="I45" s="417">
        <v>0</v>
      </c>
      <c r="J45" s="378">
        <v>1.6099999999999998E-5</v>
      </c>
      <c r="K45" s="378"/>
      <c r="L45" s="417">
        <v>3941</v>
      </c>
      <c r="M45" s="417">
        <v>2722</v>
      </c>
      <c r="N45" s="417">
        <v>1192</v>
      </c>
      <c r="O45" s="417">
        <v>0</v>
      </c>
      <c r="P45" s="417">
        <v>0</v>
      </c>
      <c r="Q45" s="378">
        <v>1.6099999999999998E-5</v>
      </c>
      <c r="R45" s="378"/>
      <c r="S45" s="417">
        <v>-8088</v>
      </c>
      <c r="T45" s="417">
        <v>-7995</v>
      </c>
      <c r="U45" s="417">
        <v>-8399</v>
      </c>
      <c r="V45" s="417">
        <v>-10795</v>
      </c>
      <c r="W45" s="417">
        <v>0</v>
      </c>
      <c r="X45" s="378">
        <v>1.6099999999999998E-5</v>
      </c>
      <c r="Z45" s="417">
        <v>6450</v>
      </c>
      <c r="AA45" s="417">
        <v>4531</v>
      </c>
      <c r="AB45" s="417">
        <v>4531</v>
      </c>
      <c r="AC45" s="417">
        <v>0</v>
      </c>
      <c r="AD45" s="417">
        <v>0</v>
      </c>
      <c r="AE45" s="378">
        <v>1.6099999999999998E-5</v>
      </c>
      <c r="AF45" s="378"/>
      <c r="AG45" s="417">
        <v>12168</v>
      </c>
      <c r="AH45" s="417">
        <v>10633</v>
      </c>
      <c r="AI45" s="417">
        <v>5548</v>
      </c>
      <c r="AJ45" s="417">
        <v>0</v>
      </c>
      <c r="AK45" s="417">
        <v>0</v>
      </c>
      <c r="AL45" s="378">
        <v>1.6099999999999998E-5</v>
      </c>
      <c r="AM45" s="378"/>
      <c r="AN45" s="417">
        <v>0</v>
      </c>
      <c r="AO45" s="417">
        <v>0</v>
      </c>
      <c r="AP45" s="417">
        <v>0</v>
      </c>
      <c r="AQ45" s="417">
        <v>0</v>
      </c>
      <c r="AR45" s="417">
        <v>0</v>
      </c>
    </row>
    <row r="46" spans="1:44">
      <c r="A46" s="377">
        <v>90511</v>
      </c>
      <c r="B46" t="s">
        <v>761</v>
      </c>
      <c r="C46" s="378">
        <v>1.004E-4</v>
      </c>
      <c r="D46" s="378"/>
      <c r="E46" s="417">
        <v>27319</v>
      </c>
      <c r="F46" s="417">
        <v>6280</v>
      </c>
      <c r="G46" s="417">
        <v>-10271</v>
      </c>
      <c r="H46" s="417">
        <v>-67316</v>
      </c>
      <c r="I46" s="417">
        <v>0</v>
      </c>
      <c r="J46" s="378">
        <v>1.004E-4</v>
      </c>
      <c r="K46" s="378"/>
      <c r="L46" s="417">
        <v>24579</v>
      </c>
      <c r="M46" s="417">
        <v>16975</v>
      </c>
      <c r="N46" s="417">
        <v>7431</v>
      </c>
      <c r="O46" s="417">
        <v>0</v>
      </c>
      <c r="P46" s="417">
        <v>0</v>
      </c>
      <c r="Q46" s="378">
        <v>1.004E-4</v>
      </c>
      <c r="R46" s="378"/>
      <c r="S46" s="417">
        <v>-50438</v>
      </c>
      <c r="T46" s="417">
        <v>-49854</v>
      </c>
      <c r="U46" s="417">
        <v>-52374</v>
      </c>
      <c r="V46" s="417">
        <v>-67316</v>
      </c>
      <c r="W46" s="417">
        <v>0</v>
      </c>
      <c r="X46" s="378">
        <v>1.004E-4</v>
      </c>
      <c r="Z46" s="417">
        <v>40220</v>
      </c>
      <c r="AA46" s="417">
        <v>28257</v>
      </c>
      <c r="AB46" s="417">
        <v>28257</v>
      </c>
      <c r="AC46" s="417">
        <v>0</v>
      </c>
      <c r="AD46" s="417">
        <v>0</v>
      </c>
      <c r="AE46" s="378">
        <v>1.004E-4</v>
      </c>
      <c r="AF46" s="378"/>
      <c r="AG46" s="417">
        <v>13844</v>
      </c>
      <c r="AH46" s="417">
        <v>11786</v>
      </c>
      <c r="AI46" s="417">
        <v>6415</v>
      </c>
      <c r="AJ46" s="417">
        <v>0</v>
      </c>
      <c r="AK46" s="417">
        <v>0</v>
      </c>
      <c r="AL46" s="378">
        <v>1.004E-4</v>
      </c>
      <c r="AM46" s="378"/>
      <c r="AN46" s="417">
        <v>-886</v>
      </c>
      <c r="AO46" s="417">
        <v>-884</v>
      </c>
      <c r="AP46" s="417">
        <v>0</v>
      </c>
      <c r="AQ46" s="417">
        <v>0</v>
      </c>
      <c r="AR46" s="417">
        <v>0</v>
      </c>
    </row>
    <row r="47" spans="1:44">
      <c r="A47" s="377">
        <v>90521</v>
      </c>
      <c r="B47" t="s">
        <v>762</v>
      </c>
      <c r="C47" s="378">
        <v>1.451E-4</v>
      </c>
      <c r="D47" s="378"/>
      <c r="E47" s="417">
        <v>13799</v>
      </c>
      <c r="F47" s="417">
        <v>-10415</v>
      </c>
      <c r="G47" s="417">
        <v>-26081</v>
      </c>
      <c r="H47" s="417">
        <v>-97286</v>
      </c>
      <c r="I47" s="417">
        <v>0</v>
      </c>
      <c r="J47" s="378">
        <v>1.451E-4</v>
      </c>
      <c r="K47" s="378"/>
      <c r="L47" s="417">
        <v>35522</v>
      </c>
      <c r="M47" s="417">
        <v>24532</v>
      </c>
      <c r="N47" s="417">
        <v>10739</v>
      </c>
      <c r="O47" s="417">
        <v>0</v>
      </c>
      <c r="P47" s="417">
        <v>0</v>
      </c>
      <c r="Q47" s="378">
        <v>1.451E-4</v>
      </c>
      <c r="R47" s="378"/>
      <c r="S47" s="417">
        <v>-72894</v>
      </c>
      <c r="T47" s="417">
        <v>-72050</v>
      </c>
      <c r="U47" s="417">
        <v>-75692</v>
      </c>
      <c r="V47" s="417">
        <v>-97286</v>
      </c>
      <c r="W47" s="417">
        <v>0</v>
      </c>
      <c r="X47" s="378">
        <v>1.451E-4</v>
      </c>
      <c r="Z47" s="417">
        <v>58127</v>
      </c>
      <c r="AA47" s="417">
        <v>40838</v>
      </c>
      <c r="AB47" s="417">
        <v>40837</v>
      </c>
      <c r="AC47" s="417">
        <v>0</v>
      </c>
      <c r="AD47" s="417">
        <v>0</v>
      </c>
      <c r="AE47" s="378">
        <v>1.451E-4</v>
      </c>
      <c r="AF47" s="378"/>
      <c r="AG47" s="417">
        <v>0</v>
      </c>
      <c r="AH47" s="417">
        <v>0</v>
      </c>
      <c r="AI47" s="417">
        <v>0</v>
      </c>
      <c r="AJ47" s="417">
        <v>0</v>
      </c>
      <c r="AK47" s="417">
        <v>0</v>
      </c>
      <c r="AL47" s="378">
        <v>1.451E-4</v>
      </c>
      <c r="AM47" s="378"/>
      <c r="AN47" s="417">
        <v>-6956</v>
      </c>
      <c r="AO47" s="417">
        <v>-3735</v>
      </c>
      <c r="AP47" s="417">
        <v>-1965</v>
      </c>
      <c r="AQ47" s="417">
        <v>0</v>
      </c>
      <c r="AR47" s="417">
        <v>0</v>
      </c>
    </row>
    <row r="48" spans="1:44">
      <c r="A48" s="377">
        <v>90601</v>
      </c>
      <c r="B48" t="s">
        <v>763</v>
      </c>
      <c r="C48" s="378">
        <v>1.1405E-3</v>
      </c>
      <c r="D48" s="378"/>
      <c r="E48" s="417">
        <v>160035</v>
      </c>
      <c r="F48" s="417">
        <v>-49106</v>
      </c>
      <c r="G48" s="417">
        <v>-239443</v>
      </c>
      <c r="H48" s="417">
        <v>-764676</v>
      </c>
      <c r="I48" s="417">
        <v>0</v>
      </c>
      <c r="J48" s="378">
        <v>1.1405E-3</v>
      </c>
      <c r="K48" s="378"/>
      <c r="L48" s="417">
        <v>279204</v>
      </c>
      <c r="M48" s="417">
        <v>192827</v>
      </c>
      <c r="N48" s="417">
        <v>84411</v>
      </c>
      <c r="O48" s="417">
        <v>0</v>
      </c>
      <c r="P48" s="417">
        <v>0</v>
      </c>
      <c r="Q48" s="378">
        <v>1.1405E-3</v>
      </c>
      <c r="R48" s="378"/>
      <c r="S48" s="417">
        <v>-572951</v>
      </c>
      <c r="T48" s="417">
        <v>-566321</v>
      </c>
      <c r="U48" s="417">
        <v>-594943</v>
      </c>
      <c r="V48" s="417">
        <v>-764676</v>
      </c>
      <c r="W48" s="417">
        <v>0</v>
      </c>
      <c r="X48" s="378">
        <v>1.1405E-3</v>
      </c>
      <c r="Z48" s="417">
        <v>456887</v>
      </c>
      <c r="AA48" s="417">
        <v>320988</v>
      </c>
      <c r="AB48" s="417">
        <v>320986</v>
      </c>
      <c r="AC48" s="417">
        <v>0</v>
      </c>
      <c r="AD48" s="417">
        <v>0</v>
      </c>
      <c r="AE48" s="378">
        <v>1.1405E-3</v>
      </c>
      <c r="AF48" s="378"/>
      <c r="AG48" s="417">
        <v>53293</v>
      </c>
      <c r="AH48" s="417">
        <v>53296</v>
      </c>
      <c r="AI48" s="417">
        <v>0</v>
      </c>
      <c r="AJ48" s="417">
        <v>0</v>
      </c>
      <c r="AK48" s="417">
        <v>0</v>
      </c>
      <c r="AL48" s="378">
        <v>1.1405E-3</v>
      </c>
      <c r="AM48" s="378"/>
      <c r="AN48" s="417">
        <v>-56398</v>
      </c>
      <c r="AO48" s="417">
        <v>-49896</v>
      </c>
      <c r="AP48" s="417">
        <v>-49897</v>
      </c>
      <c r="AQ48" s="417">
        <v>0</v>
      </c>
      <c r="AR48" s="417">
        <v>0</v>
      </c>
    </row>
    <row r="49" spans="1:44">
      <c r="A49" s="377">
        <v>90602</v>
      </c>
      <c r="B49" t="s">
        <v>259</v>
      </c>
      <c r="C49" s="378">
        <v>7.4999999999999993E-5</v>
      </c>
      <c r="D49" s="378"/>
      <c r="E49" s="417">
        <v>11513</v>
      </c>
      <c r="F49" s="417">
        <v>-5150</v>
      </c>
      <c r="G49" s="417">
        <v>-12167</v>
      </c>
      <c r="H49" s="417">
        <v>-50286</v>
      </c>
      <c r="I49" s="417">
        <v>0</v>
      </c>
      <c r="J49" s="378">
        <v>7.4999999999999993E-5</v>
      </c>
      <c r="K49" s="378"/>
      <c r="L49" s="417">
        <v>18361</v>
      </c>
      <c r="M49" s="417">
        <v>12680</v>
      </c>
      <c r="N49" s="417">
        <v>5551</v>
      </c>
      <c r="O49" s="417">
        <v>0</v>
      </c>
      <c r="P49" s="417">
        <v>0</v>
      </c>
      <c r="Q49" s="378">
        <v>7.4999999999999993E-5</v>
      </c>
      <c r="R49" s="378"/>
      <c r="S49" s="417">
        <v>-37678</v>
      </c>
      <c r="T49" s="417">
        <v>-37242</v>
      </c>
      <c r="U49" s="417">
        <v>-39124</v>
      </c>
      <c r="V49" s="417">
        <v>-50286</v>
      </c>
      <c r="W49" s="417">
        <v>0</v>
      </c>
      <c r="X49" s="378">
        <v>7.4999999999999993E-5</v>
      </c>
      <c r="Z49" s="417">
        <v>30045</v>
      </c>
      <c r="AA49" s="417">
        <v>21108</v>
      </c>
      <c r="AB49" s="417">
        <v>21108</v>
      </c>
      <c r="AC49" s="417">
        <v>0</v>
      </c>
      <c r="AD49" s="417">
        <v>0</v>
      </c>
      <c r="AE49" s="378">
        <v>7.4999999999999993E-5</v>
      </c>
      <c r="AF49" s="378"/>
      <c r="AG49" s="417">
        <v>10360</v>
      </c>
      <c r="AH49" s="417">
        <v>7880</v>
      </c>
      <c r="AI49" s="417">
        <v>298</v>
      </c>
      <c r="AJ49" s="417">
        <v>0</v>
      </c>
      <c r="AK49" s="417">
        <v>0</v>
      </c>
      <c r="AL49" s="378">
        <v>7.4999999999999993E-5</v>
      </c>
      <c r="AM49" s="378"/>
      <c r="AN49" s="417">
        <v>-9575</v>
      </c>
      <c r="AO49" s="417">
        <v>-9576</v>
      </c>
      <c r="AP49" s="417">
        <v>0</v>
      </c>
      <c r="AQ49" s="417">
        <v>0</v>
      </c>
      <c r="AR49" s="417">
        <v>0</v>
      </c>
    </row>
    <row r="50" spans="1:44">
      <c r="A50" s="377">
        <v>90605</v>
      </c>
      <c r="B50" t="s">
        <v>764</v>
      </c>
      <c r="C50" s="378">
        <v>4.6300000000000001E-5</v>
      </c>
      <c r="D50" s="378"/>
      <c r="E50" s="417">
        <v>9620</v>
      </c>
      <c r="F50" s="417">
        <v>-321</v>
      </c>
      <c r="G50" s="417">
        <v>-8431</v>
      </c>
      <c r="H50" s="417">
        <v>-31043</v>
      </c>
      <c r="I50" s="417">
        <v>0</v>
      </c>
      <c r="J50" s="378">
        <v>4.6300000000000001E-5</v>
      </c>
      <c r="K50" s="378"/>
      <c r="L50" s="417">
        <v>11335</v>
      </c>
      <c r="M50" s="417">
        <v>7828</v>
      </c>
      <c r="N50" s="417">
        <v>3427</v>
      </c>
      <c r="O50" s="417">
        <v>0</v>
      </c>
      <c r="P50" s="417">
        <v>0</v>
      </c>
      <c r="Q50" s="378">
        <v>4.6300000000000001E-5</v>
      </c>
      <c r="R50" s="378"/>
      <c r="S50" s="417">
        <v>-23260</v>
      </c>
      <c r="T50" s="417">
        <v>-22990</v>
      </c>
      <c r="U50" s="417">
        <v>-24152</v>
      </c>
      <c r="V50" s="417">
        <v>-31043</v>
      </c>
      <c r="W50" s="417">
        <v>0</v>
      </c>
      <c r="X50" s="378">
        <v>4.6300000000000001E-5</v>
      </c>
      <c r="Z50" s="417">
        <v>18548</v>
      </c>
      <c r="AA50" s="417">
        <v>13031</v>
      </c>
      <c r="AB50" s="417">
        <v>13031</v>
      </c>
      <c r="AC50" s="417">
        <v>0</v>
      </c>
      <c r="AD50" s="417">
        <v>0</v>
      </c>
      <c r="AE50" s="378">
        <v>4.6300000000000001E-5</v>
      </c>
      <c r="AF50" s="378"/>
      <c r="AG50" s="417">
        <v>3921</v>
      </c>
      <c r="AH50" s="417">
        <v>2734</v>
      </c>
      <c r="AI50" s="417">
        <v>0</v>
      </c>
      <c r="AJ50" s="417">
        <v>0</v>
      </c>
      <c r="AK50" s="417">
        <v>0</v>
      </c>
      <c r="AL50" s="378">
        <v>4.6300000000000001E-5</v>
      </c>
      <c r="AM50" s="378"/>
      <c r="AN50" s="417">
        <v>-924</v>
      </c>
      <c r="AO50" s="417">
        <v>-924</v>
      </c>
      <c r="AP50" s="417">
        <v>-737</v>
      </c>
      <c r="AQ50" s="417">
        <v>0</v>
      </c>
      <c r="AR50" s="417">
        <v>0</v>
      </c>
    </row>
    <row r="51" spans="1:44">
      <c r="A51" s="377">
        <v>90611</v>
      </c>
      <c r="B51" t="s">
        <v>765</v>
      </c>
      <c r="C51" s="378">
        <v>1.429E-4</v>
      </c>
      <c r="D51" s="378"/>
      <c r="E51" s="417">
        <v>11818</v>
      </c>
      <c r="F51" s="417">
        <v>-13076</v>
      </c>
      <c r="G51" s="417">
        <v>-25695</v>
      </c>
      <c r="H51" s="417">
        <v>-95811</v>
      </c>
      <c r="I51" s="417">
        <v>0</v>
      </c>
      <c r="J51" s="378">
        <v>1.429E-4</v>
      </c>
      <c r="K51" s="378"/>
      <c r="L51" s="417">
        <v>34983</v>
      </c>
      <c r="M51" s="417">
        <v>24160</v>
      </c>
      <c r="N51" s="417">
        <v>10576</v>
      </c>
      <c r="O51" s="417">
        <v>0</v>
      </c>
      <c r="P51" s="417">
        <v>0</v>
      </c>
      <c r="Q51" s="378">
        <v>1.429E-4</v>
      </c>
      <c r="R51" s="378"/>
      <c r="S51" s="417">
        <v>-71788</v>
      </c>
      <c r="T51" s="417">
        <v>-70958</v>
      </c>
      <c r="U51" s="417">
        <v>-74544</v>
      </c>
      <c r="V51" s="417">
        <v>-95811</v>
      </c>
      <c r="W51" s="417">
        <v>0</v>
      </c>
      <c r="X51" s="378">
        <v>1.429E-4</v>
      </c>
      <c r="Z51" s="417">
        <v>57246</v>
      </c>
      <c r="AA51" s="417">
        <v>40218</v>
      </c>
      <c r="AB51" s="417">
        <v>40218</v>
      </c>
      <c r="AC51" s="417">
        <v>0</v>
      </c>
      <c r="AD51" s="417">
        <v>0</v>
      </c>
      <c r="AE51" s="378">
        <v>1.429E-4</v>
      </c>
      <c r="AF51" s="378"/>
      <c r="AG51" s="417">
        <v>1242</v>
      </c>
      <c r="AH51" s="417">
        <v>1244</v>
      </c>
      <c r="AI51" s="417">
        <v>0</v>
      </c>
      <c r="AJ51" s="417">
        <v>0</v>
      </c>
      <c r="AK51" s="417">
        <v>0</v>
      </c>
      <c r="AL51" s="378">
        <v>1.429E-4</v>
      </c>
      <c r="AM51" s="378"/>
      <c r="AN51" s="417">
        <v>-9865</v>
      </c>
      <c r="AO51" s="417">
        <v>-7740</v>
      </c>
      <c r="AP51" s="417">
        <v>-1945</v>
      </c>
      <c r="AQ51" s="417">
        <v>0</v>
      </c>
      <c r="AR51" s="417">
        <v>0</v>
      </c>
    </row>
    <row r="52" spans="1:44">
      <c r="A52" s="377">
        <v>90617</v>
      </c>
      <c r="B52" t="s">
        <v>766</v>
      </c>
      <c r="C52" s="378">
        <v>1.9599999999999999E-5</v>
      </c>
      <c r="D52" s="378"/>
      <c r="E52" s="417">
        <v>1194</v>
      </c>
      <c r="F52" s="417">
        <v>-3000</v>
      </c>
      <c r="G52" s="417">
        <v>-7396</v>
      </c>
      <c r="H52" s="417">
        <v>-13141</v>
      </c>
      <c r="I52" s="417">
        <v>0</v>
      </c>
      <c r="J52" s="378">
        <v>1.9599999999999999E-5</v>
      </c>
      <c r="K52" s="378"/>
      <c r="L52" s="417">
        <v>4798</v>
      </c>
      <c r="M52" s="417">
        <v>3314</v>
      </c>
      <c r="N52" s="417">
        <v>1451</v>
      </c>
      <c r="O52" s="417">
        <v>0</v>
      </c>
      <c r="P52" s="417">
        <v>0</v>
      </c>
      <c r="Q52" s="378">
        <v>1.9599999999999999E-5</v>
      </c>
      <c r="R52" s="378"/>
      <c r="S52" s="417">
        <v>-9846</v>
      </c>
      <c r="T52" s="417">
        <v>-9732</v>
      </c>
      <c r="U52" s="417">
        <v>-10224</v>
      </c>
      <c r="V52" s="417">
        <v>-13141</v>
      </c>
      <c r="W52" s="417">
        <v>0</v>
      </c>
      <c r="X52" s="378">
        <v>1.9599999999999999E-5</v>
      </c>
      <c r="Z52" s="417">
        <v>7852</v>
      </c>
      <c r="AA52" s="417">
        <v>5516</v>
      </c>
      <c r="AB52" s="417">
        <v>5516</v>
      </c>
      <c r="AC52" s="417">
        <v>0</v>
      </c>
      <c r="AD52" s="417">
        <v>0</v>
      </c>
      <c r="AE52" s="378">
        <v>1.9599999999999999E-5</v>
      </c>
      <c r="AF52" s="378"/>
      <c r="AG52" s="417">
        <v>2528</v>
      </c>
      <c r="AH52" s="417">
        <v>2040</v>
      </c>
      <c r="AI52" s="417">
        <v>0</v>
      </c>
      <c r="AJ52" s="417">
        <v>0</v>
      </c>
      <c r="AK52" s="417">
        <v>0</v>
      </c>
      <c r="AL52" s="378">
        <v>1.9599999999999999E-5</v>
      </c>
      <c r="AM52" s="378"/>
      <c r="AN52" s="417">
        <v>-4138</v>
      </c>
      <c r="AO52" s="417">
        <v>-4138</v>
      </c>
      <c r="AP52" s="417">
        <v>-4139</v>
      </c>
      <c r="AQ52" s="417">
        <v>0</v>
      </c>
      <c r="AR52" s="417">
        <v>0</v>
      </c>
    </row>
    <row r="53" spans="1:44">
      <c r="A53" s="377">
        <v>90621</v>
      </c>
      <c r="B53" t="s">
        <v>767</v>
      </c>
      <c r="C53" s="378">
        <v>5.4299999999999998E-5</v>
      </c>
      <c r="D53" s="378"/>
      <c r="E53" s="417">
        <v>625</v>
      </c>
      <c r="F53" s="417">
        <v>-8954</v>
      </c>
      <c r="G53" s="417">
        <v>-15858</v>
      </c>
      <c r="H53" s="417">
        <v>-36407</v>
      </c>
      <c r="I53" s="417">
        <v>0</v>
      </c>
      <c r="J53" s="378">
        <v>5.4299999999999998E-5</v>
      </c>
      <c r="K53" s="378"/>
      <c r="L53" s="417">
        <v>13293</v>
      </c>
      <c r="M53" s="417">
        <v>9181</v>
      </c>
      <c r="N53" s="417">
        <v>4019</v>
      </c>
      <c r="O53" s="417">
        <v>0</v>
      </c>
      <c r="P53" s="417">
        <v>0</v>
      </c>
      <c r="Q53" s="378">
        <v>5.4299999999999998E-5</v>
      </c>
      <c r="R53" s="378"/>
      <c r="S53" s="417">
        <v>-27279</v>
      </c>
      <c r="T53" s="417">
        <v>-26963</v>
      </c>
      <c r="U53" s="417">
        <v>-28326</v>
      </c>
      <c r="V53" s="417">
        <v>-36407</v>
      </c>
      <c r="W53" s="417">
        <v>0</v>
      </c>
      <c r="X53" s="378">
        <v>5.4299999999999998E-5</v>
      </c>
      <c r="Z53" s="417">
        <v>21753</v>
      </c>
      <c r="AA53" s="417">
        <v>15282</v>
      </c>
      <c r="AB53" s="417">
        <v>15282</v>
      </c>
      <c r="AC53" s="417">
        <v>0</v>
      </c>
      <c r="AD53" s="417">
        <v>0</v>
      </c>
      <c r="AE53" s="378">
        <v>5.4299999999999998E-5</v>
      </c>
      <c r="AF53" s="378"/>
      <c r="AG53" s="417">
        <v>552</v>
      </c>
      <c r="AH53" s="417">
        <v>552</v>
      </c>
      <c r="AI53" s="417">
        <v>0</v>
      </c>
      <c r="AJ53" s="417">
        <v>0</v>
      </c>
      <c r="AK53" s="417">
        <v>0</v>
      </c>
      <c r="AL53" s="378">
        <v>5.4299999999999998E-5</v>
      </c>
      <c r="AM53" s="378"/>
      <c r="AN53" s="417">
        <v>-7694</v>
      </c>
      <c r="AO53" s="417">
        <v>-7006</v>
      </c>
      <c r="AP53" s="417">
        <v>-6833</v>
      </c>
      <c r="AQ53" s="417">
        <v>0</v>
      </c>
      <c r="AR53" s="417">
        <v>0</v>
      </c>
    </row>
    <row r="54" spans="1:44">
      <c r="A54" s="377">
        <v>90631</v>
      </c>
      <c r="B54" t="s">
        <v>768</v>
      </c>
      <c r="C54" s="378">
        <v>3.9360000000000003E-4</v>
      </c>
      <c r="D54" s="378"/>
      <c r="E54" s="417">
        <v>74271</v>
      </c>
      <c r="F54" s="417">
        <v>3903</v>
      </c>
      <c r="G54" s="417">
        <v>-46612</v>
      </c>
      <c r="H54" s="417">
        <v>-263899</v>
      </c>
      <c r="I54" s="417">
        <v>0</v>
      </c>
      <c r="J54" s="378">
        <v>3.9360000000000003E-4</v>
      </c>
      <c r="K54" s="378"/>
      <c r="L54" s="417">
        <v>96356</v>
      </c>
      <c r="M54" s="417">
        <v>66547</v>
      </c>
      <c r="N54" s="417">
        <v>29131</v>
      </c>
      <c r="O54" s="417">
        <v>0</v>
      </c>
      <c r="P54" s="417">
        <v>0</v>
      </c>
      <c r="Q54" s="378">
        <v>3.9360000000000003E-4</v>
      </c>
      <c r="R54" s="378"/>
      <c r="S54" s="417">
        <v>-197732</v>
      </c>
      <c r="T54" s="417">
        <v>-195444</v>
      </c>
      <c r="U54" s="417">
        <v>-205322</v>
      </c>
      <c r="V54" s="417">
        <v>-263899</v>
      </c>
      <c r="W54" s="417">
        <v>0</v>
      </c>
      <c r="X54" s="378">
        <v>3.9360000000000003E-4</v>
      </c>
      <c r="Z54" s="417">
        <v>157677</v>
      </c>
      <c r="AA54" s="417">
        <v>110777</v>
      </c>
      <c r="AB54" s="417">
        <v>110776</v>
      </c>
      <c r="AC54" s="417">
        <v>0</v>
      </c>
      <c r="AD54" s="417">
        <v>0</v>
      </c>
      <c r="AE54" s="378">
        <v>3.9360000000000003E-4</v>
      </c>
      <c r="AF54" s="378"/>
      <c r="AG54" s="417">
        <v>22026</v>
      </c>
      <c r="AH54" s="417">
        <v>22023</v>
      </c>
      <c r="AI54" s="417">
        <v>18803</v>
      </c>
      <c r="AJ54" s="417">
        <v>0</v>
      </c>
      <c r="AK54" s="417">
        <v>0</v>
      </c>
      <c r="AL54" s="378">
        <v>3.9360000000000003E-4</v>
      </c>
      <c r="AM54" s="378"/>
      <c r="AN54" s="417">
        <v>-4056</v>
      </c>
      <c r="AO54" s="417">
        <v>0</v>
      </c>
      <c r="AP54" s="417">
        <v>0</v>
      </c>
      <c r="AQ54" s="417">
        <v>0</v>
      </c>
      <c r="AR54" s="417">
        <v>0</v>
      </c>
    </row>
    <row r="55" spans="1:44">
      <c r="A55" s="377">
        <v>90641</v>
      </c>
      <c r="B55" t="s">
        <v>769</v>
      </c>
      <c r="C55" s="378">
        <v>1.04E-5</v>
      </c>
      <c r="D55" s="378"/>
      <c r="E55" s="417">
        <v>1444</v>
      </c>
      <c r="F55" s="417">
        <v>-542</v>
      </c>
      <c r="G55" s="417">
        <v>-1717</v>
      </c>
      <c r="H55" s="417">
        <v>-6973</v>
      </c>
      <c r="I55" s="417">
        <v>0</v>
      </c>
      <c r="J55" s="378">
        <v>1.04E-5</v>
      </c>
      <c r="K55" s="378"/>
      <c r="L55" s="417">
        <v>2546</v>
      </c>
      <c r="M55" s="417">
        <v>1758</v>
      </c>
      <c r="N55" s="417">
        <v>770</v>
      </c>
      <c r="O55" s="417">
        <v>0</v>
      </c>
      <c r="P55" s="417">
        <v>0</v>
      </c>
      <c r="Q55" s="378">
        <v>1.04E-5</v>
      </c>
      <c r="R55" s="378"/>
      <c r="S55" s="417">
        <v>-5225</v>
      </c>
      <c r="T55" s="417">
        <v>-5164</v>
      </c>
      <c r="U55" s="417">
        <v>-5425</v>
      </c>
      <c r="V55" s="417">
        <v>-6973</v>
      </c>
      <c r="W55" s="417">
        <v>0</v>
      </c>
      <c r="X55" s="378">
        <v>1.04E-5</v>
      </c>
      <c r="Z55" s="417">
        <v>4166</v>
      </c>
      <c r="AA55" s="417">
        <v>2927</v>
      </c>
      <c r="AB55" s="417">
        <v>2927</v>
      </c>
      <c r="AC55" s="417">
        <v>0</v>
      </c>
      <c r="AD55" s="417">
        <v>0</v>
      </c>
      <c r="AE55" s="378">
        <v>1.04E-5</v>
      </c>
      <c r="AF55" s="378"/>
      <c r="AG55" s="417">
        <v>62</v>
      </c>
      <c r="AH55" s="417">
        <v>40</v>
      </c>
      <c r="AI55" s="417">
        <v>11</v>
      </c>
      <c r="AJ55" s="417">
        <v>0</v>
      </c>
      <c r="AK55" s="417">
        <v>0</v>
      </c>
      <c r="AL55" s="378">
        <v>1.04E-5</v>
      </c>
      <c r="AM55" s="378"/>
      <c r="AN55" s="417">
        <v>-105</v>
      </c>
      <c r="AO55" s="417">
        <v>-103</v>
      </c>
      <c r="AP55" s="417">
        <v>0</v>
      </c>
      <c r="AQ55" s="417">
        <v>0</v>
      </c>
      <c r="AR55" s="417">
        <v>0</v>
      </c>
    </row>
    <row r="56" spans="1:44">
      <c r="A56" s="377">
        <v>90651</v>
      </c>
      <c r="B56" t="s">
        <v>770</v>
      </c>
      <c r="C56" s="378">
        <v>8.9300000000000002E-5</v>
      </c>
      <c r="D56" s="378"/>
      <c r="E56" s="417">
        <v>48721</v>
      </c>
      <c r="F56" s="417">
        <v>20575</v>
      </c>
      <c r="G56" s="417">
        <v>43</v>
      </c>
      <c r="H56" s="417">
        <v>-59873</v>
      </c>
      <c r="I56" s="417">
        <v>0</v>
      </c>
      <c r="J56" s="378">
        <v>8.9300000000000002E-5</v>
      </c>
      <c r="K56" s="378"/>
      <c r="L56" s="417">
        <v>21861</v>
      </c>
      <c r="M56" s="417">
        <v>15098</v>
      </c>
      <c r="N56" s="417">
        <v>6609</v>
      </c>
      <c r="O56" s="417">
        <v>0</v>
      </c>
      <c r="P56" s="417">
        <v>0</v>
      </c>
      <c r="Q56" s="378">
        <v>8.9300000000000002E-5</v>
      </c>
      <c r="R56" s="378"/>
      <c r="S56" s="417">
        <v>-44861</v>
      </c>
      <c r="T56" s="417">
        <v>-44342</v>
      </c>
      <c r="U56" s="417">
        <v>-46583</v>
      </c>
      <c r="V56" s="417">
        <v>-59873</v>
      </c>
      <c r="W56" s="417">
        <v>0</v>
      </c>
      <c r="X56" s="378">
        <v>8.9300000000000002E-5</v>
      </c>
      <c r="Z56" s="417">
        <v>35774</v>
      </c>
      <c r="AA56" s="417">
        <v>25133</v>
      </c>
      <c r="AB56" s="417">
        <v>25133</v>
      </c>
      <c r="AC56" s="417">
        <v>0</v>
      </c>
      <c r="AD56" s="417">
        <v>0</v>
      </c>
      <c r="AE56" s="378">
        <v>8.9300000000000002E-5</v>
      </c>
      <c r="AF56" s="378"/>
      <c r="AG56" s="417">
        <v>36731</v>
      </c>
      <c r="AH56" s="417">
        <v>25468</v>
      </c>
      <c r="AI56" s="417">
        <v>14884</v>
      </c>
      <c r="AJ56" s="417">
        <v>0</v>
      </c>
      <c r="AK56" s="417">
        <v>0</v>
      </c>
      <c r="AL56" s="378">
        <v>8.9300000000000002E-5</v>
      </c>
      <c r="AM56" s="378"/>
      <c r="AN56" s="417">
        <v>-784</v>
      </c>
      <c r="AO56" s="417">
        <v>-782</v>
      </c>
      <c r="AP56" s="417">
        <v>0</v>
      </c>
      <c r="AQ56" s="417">
        <v>0</v>
      </c>
      <c r="AR56" s="417">
        <v>0</v>
      </c>
    </row>
    <row r="57" spans="1:44">
      <c r="A57" s="377">
        <v>90701</v>
      </c>
      <c r="B57" t="s">
        <v>1931</v>
      </c>
      <c r="C57" s="378">
        <v>2.5387999999999999E-3</v>
      </c>
      <c r="D57" s="378"/>
      <c r="E57" s="417">
        <v>250267</v>
      </c>
      <c r="F57" s="417">
        <v>-207159</v>
      </c>
      <c r="G57" s="417">
        <v>-417223</v>
      </c>
      <c r="H57" s="417">
        <v>-1702199</v>
      </c>
      <c r="I57" s="417">
        <v>0</v>
      </c>
      <c r="J57" s="378">
        <v>2.5387999999999999E-3</v>
      </c>
      <c r="K57" s="378"/>
      <c r="L57" s="417">
        <v>621519</v>
      </c>
      <c r="M57" s="417">
        <v>429240</v>
      </c>
      <c r="N57" s="417">
        <v>187902</v>
      </c>
      <c r="O57" s="417">
        <v>0</v>
      </c>
      <c r="P57" s="417">
        <v>0</v>
      </c>
      <c r="Q57" s="378">
        <v>2.5387999999999999E-3</v>
      </c>
      <c r="R57" s="378"/>
      <c r="S57" s="417">
        <v>-1275412</v>
      </c>
      <c r="T57" s="417">
        <v>-1260654</v>
      </c>
      <c r="U57" s="417">
        <v>-1324368</v>
      </c>
      <c r="V57" s="417">
        <v>-1702199</v>
      </c>
      <c r="W57" s="417">
        <v>0</v>
      </c>
      <c r="X57" s="378">
        <v>2.5387999999999999E-3</v>
      </c>
      <c r="Z57" s="417">
        <v>1017048</v>
      </c>
      <c r="AA57" s="417">
        <v>714533</v>
      </c>
      <c r="AB57" s="417">
        <v>714527</v>
      </c>
      <c r="AC57" s="417">
        <v>0</v>
      </c>
      <c r="AD57" s="417">
        <v>0</v>
      </c>
      <c r="AE57" s="378">
        <v>2.5387999999999999E-3</v>
      </c>
      <c r="AF57" s="378"/>
      <c r="AG57" s="417">
        <v>4715</v>
      </c>
      <c r="AH57" s="417">
        <v>4715</v>
      </c>
      <c r="AI57" s="417">
        <v>4716</v>
      </c>
      <c r="AJ57" s="417">
        <v>0</v>
      </c>
      <c r="AK57" s="417">
        <v>0</v>
      </c>
      <c r="AL57" s="378">
        <v>2.5387999999999999E-3</v>
      </c>
      <c r="AM57" s="378"/>
      <c r="AN57" s="417">
        <v>-117603</v>
      </c>
      <c r="AO57" s="417">
        <v>-94993</v>
      </c>
      <c r="AP57" s="417">
        <v>0</v>
      </c>
      <c r="AQ57" s="417">
        <v>0</v>
      </c>
      <c r="AR57" s="417">
        <v>0</v>
      </c>
    </row>
    <row r="58" spans="1:44">
      <c r="A58" s="377">
        <v>90704</v>
      </c>
      <c r="B58" t="s">
        <v>772</v>
      </c>
      <c r="C58" s="378">
        <v>6.97E-5</v>
      </c>
      <c r="D58" s="378"/>
      <c r="E58" s="417">
        <v>34890</v>
      </c>
      <c r="F58" s="417">
        <v>19496</v>
      </c>
      <c r="G58" s="417">
        <v>5146</v>
      </c>
      <c r="H58" s="417">
        <v>-46732</v>
      </c>
      <c r="I58" s="417">
        <v>0</v>
      </c>
      <c r="J58" s="378">
        <v>6.97E-5</v>
      </c>
      <c r="K58" s="378"/>
      <c r="L58" s="417">
        <v>17063</v>
      </c>
      <c r="M58" s="417">
        <v>11784</v>
      </c>
      <c r="N58" s="417">
        <v>5159</v>
      </c>
      <c r="O58" s="417">
        <v>0</v>
      </c>
      <c r="P58" s="417">
        <v>0</v>
      </c>
      <c r="Q58" s="378">
        <v>6.97E-5</v>
      </c>
      <c r="R58" s="378"/>
      <c r="S58" s="417">
        <v>-35015</v>
      </c>
      <c r="T58" s="417">
        <v>-34610</v>
      </c>
      <c r="U58" s="417">
        <v>-36359</v>
      </c>
      <c r="V58" s="417">
        <v>-46732</v>
      </c>
      <c r="W58" s="417">
        <v>0</v>
      </c>
      <c r="X58" s="378">
        <v>6.97E-5</v>
      </c>
      <c r="Z58" s="417">
        <v>27922</v>
      </c>
      <c r="AA58" s="417">
        <v>19617</v>
      </c>
      <c r="AB58" s="417">
        <v>19617</v>
      </c>
      <c r="AC58" s="417">
        <v>0</v>
      </c>
      <c r="AD58" s="417">
        <v>0</v>
      </c>
      <c r="AE58" s="378">
        <v>6.97E-5</v>
      </c>
      <c r="AF58" s="378"/>
      <c r="AG58" s="417">
        <v>24920</v>
      </c>
      <c r="AH58" s="417">
        <v>22705</v>
      </c>
      <c r="AI58" s="417">
        <v>16729</v>
      </c>
      <c r="AJ58" s="417">
        <v>0</v>
      </c>
      <c r="AK58" s="417">
        <v>0</v>
      </c>
      <c r="AL58" s="378">
        <v>6.97E-5</v>
      </c>
      <c r="AM58" s="378"/>
      <c r="AN58" s="417">
        <v>0</v>
      </c>
      <c r="AO58" s="417">
        <v>0</v>
      </c>
      <c r="AP58" s="417">
        <v>0</v>
      </c>
      <c r="AQ58" s="417">
        <v>0</v>
      </c>
      <c r="AR58" s="417">
        <v>0</v>
      </c>
    </row>
    <row r="59" spans="1:44">
      <c r="A59" s="377">
        <v>90705</v>
      </c>
      <c r="B59" t="s">
        <v>773</v>
      </c>
      <c r="C59" s="378">
        <v>4.1E-5</v>
      </c>
      <c r="D59" s="378"/>
      <c r="E59" s="417">
        <v>9676</v>
      </c>
      <c r="F59" s="417">
        <v>3785</v>
      </c>
      <c r="G59" s="417">
        <v>-2005</v>
      </c>
      <c r="H59" s="417">
        <v>-27489</v>
      </c>
      <c r="I59" s="417">
        <v>0</v>
      </c>
      <c r="J59" s="378">
        <v>4.1E-5</v>
      </c>
      <c r="K59" s="378"/>
      <c r="L59" s="417">
        <v>10037</v>
      </c>
      <c r="M59" s="417">
        <v>6932</v>
      </c>
      <c r="N59" s="417">
        <v>3034</v>
      </c>
      <c r="O59" s="417">
        <v>0</v>
      </c>
      <c r="P59" s="417">
        <v>0</v>
      </c>
      <c r="Q59" s="378">
        <v>4.1E-5</v>
      </c>
      <c r="R59" s="378"/>
      <c r="S59" s="417">
        <v>-20597</v>
      </c>
      <c r="T59" s="417">
        <v>-20359</v>
      </c>
      <c r="U59" s="417">
        <v>-21388</v>
      </c>
      <c r="V59" s="417">
        <v>-27489</v>
      </c>
      <c r="W59" s="417">
        <v>0</v>
      </c>
      <c r="X59" s="378">
        <v>4.1E-5</v>
      </c>
      <c r="Z59" s="417">
        <v>16425</v>
      </c>
      <c r="AA59" s="417">
        <v>11539</v>
      </c>
      <c r="AB59" s="417">
        <v>11539</v>
      </c>
      <c r="AC59" s="417">
        <v>0</v>
      </c>
      <c r="AD59" s="417">
        <v>0</v>
      </c>
      <c r="AE59" s="378">
        <v>4.1E-5</v>
      </c>
      <c r="AF59" s="378"/>
      <c r="AG59" s="417">
        <v>6779</v>
      </c>
      <c r="AH59" s="417">
        <v>6781</v>
      </c>
      <c r="AI59" s="417">
        <v>4810</v>
      </c>
      <c r="AJ59" s="417">
        <v>0</v>
      </c>
      <c r="AK59" s="417">
        <v>0</v>
      </c>
      <c r="AL59" s="378">
        <v>4.1E-5</v>
      </c>
      <c r="AM59" s="378"/>
      <c r="AN59" s="417">
        <v>-2968</v>
      </c>
      <c r="AO59" s="417">
        <v>-1108</v>
      </c>
      <c r="AP59" s="417">
        <v>0</v>
      </c>
      <c r="AQ59" s="417">
        <v>0</v>
      </c>
      <c r="AR59" s="417">
        <v>0</v>
      </c>
    </row>
    <row r="60" spans="1:44">
      <c r="A60" s="377">
        <v>90709</v>
      </c>
      <c r="B60" t="s">
        <v>774</v>
      </c>
      <c r="C60" s="378">
        <v>1.416E-4</v>
      </c>
      <c r="D60" s="378"/>
      <c r="E60" s="417">
        <v>29804</v>
      </c>
      <c r="F60" s="417">
        <v>-6737</v>
      </c>
      <c r="G60" s="417">
        <v>-20384</v>
      </c>
      <c r="H60" s="417">
        <v>-94939</v>
      </c>
      <c r="I60" s="417">
        <v>0</v>
      </c>
      <c r="J60" s="378">
        <v>1.416E-4</v>
      </c>
      <c r="K60" s="378"/>
      <c r="L60" s="417">
        <v>34665</v>
      </c>
      <c r="M60" s="417">
        <v>23941</v>
      </c>
      <c r="N60" s="417">
        <v>10480</v>
      </c>
      <c r="O60" s="417">
        <v>0</v>
      </c>
      <c r="P60" s="417">
        <v>0</v>
      </c>
      <c r="Q60" s="378">
        <v>1.416E-4</v>
      </c>
      <c r="R60" s="378"/>
      <c r="S60" s="417">
        <v>-71135</v>
      </c>
      <c r="T60" s="417">
        <v>-70312</v>
      </c>
      <c r="U60" s="417">
        <v>-73866</v>
      </c>
      <c r="V60" s="417">
        <v>-94939</v>
      </c>
      <c r="W60" s="417">
        <v>0</v>
      </c>
      <c r="X60" s="378">
        <v>1.416E-4</v>
      </c>
      <c r="Z60" s="417">
        <v>56725</v>
      </c>
      <c r="AA60" s="417">
        <v>39853</v>
      </c>
      <c r="AB60" s="417">
        <v>39852</v>
      </c>
      <c r="AC60" s="417">
        <v>0</v>
      </c>
      <c r="AD60" s="417">
        <v>0</v>
      </c>
      <c r="AE60" s="378">
        <v>1.416E-4</v>
      </c>
      <c r="AF60" s="378"/>
      <c r="AG60" s="417">
        <v>13217</v>
      </c>
      <c r="AH60" s="417">
        <v>3449</v>
      </c>
      <c r="AI60" s="417">
        <v>3150</v>
      </c>
      <c r="AJ60" s="417">
        <v>0</v>
      </c>
      <c r="AK60" s="417">
        <v>0</v>
      </c>
      <c r="AL60" s="378">
        <v>1.416E-4</v>
      </c>
      <c r="AM60" s="378"/>
      <c r="AN60" s="417">
        <v>-3668</v>
      </c>
      <c r="AO60" s="417">
        <v>-3668</v>
      </c>
      <c r="AP60" s="417">
        <v>0</v>
      </c>
      <c r="AQ60" s="417">
        <v>0</v>
      </c>
      <c r="AR60" s="417">
        <v>0</v>
      </c>
    </row>
    <row r="61" spans="1:44">
      <c r="A61" s="377">
        <v>90711</v>
      </c>
      <c r="B61" t="s">
        <v>775</v>
      </c>
      <c r="C61" s="378">
        <v>1.5356E-3</v>
      </c>
      <c r="D61" s="378"/>
      <c r="E61" s="417">
        <v>178486</v>
      </c>
      <c r="F61" s="417">
        <v>-96785</v>
      </c>
      <c r="G61" s="417">
        <v>-280152</v>
      </c>
      <c r="H61" s="417">
        <v>-1029580</v>
      </c>
      <c r="I61" s="417">
        <v>0</v>
      </c>
      <c r="J61" s="378">
        <v>1.5356E-3</v>
      </c>
      <c r="K61" s="378"/>
      <c r="L61" s="417">
        <v>375927</v>
      </c>
      <c r="M61" s="417">
        <v>259627</v>
      </c>
      <c r="N61" s="417">
        <v>113653</v>
      </c>
      <c r="O61" s="417">
        <v>0</v>
      </c>
      <c r="P61" s="417">
        <v>0</v>
      </c>
      <c r="Q61" s="378">
        <v>1.5356E-3</v>
      </c>
      <c r="R61" s="378"/>
      <c r="S61" s="417">
        <v>-771436</v>
      </c>
      <c r="T61" s="417">
        <v>-762510</v>
      </c>
      <c r="U61" s="417">
        <v>-801047</v>
      </c>
      <c r="V61" s="417">
        <v>-1029580</v>
      </c>
      <c r="W61" s="417">
        <v>0</v>
      </c>
      <c r="X61" s="378">
        <v>1.5356E-3</v>
      </c>
      <c r="Z61" s="417">
        <v>615164</v>
      </c>
      <c r="AA61" s="417">
        <v>432187</v>
      </c>
      <c r="AB61" s="417">
        <v>432184</v>
      </c>
      <c r="AC61" s="417">
        <v>0</v>
      </c>
      <c r="AD61" s="417">
        <v>0</v>
      </c>
      <c r="AE61" s="378">
        <v>1.5356E-3</v>
      </c>
      <c r="AF61" s="378"/>
      <c r="AG61" s="417">
        <v>12880</v>
      </c>
      <c r="AH61" s="417">
        <v>12880</v>
      </c>
      <c r="AI61" s="417">
        <v>0</v>
      </c>
      <c r="AJ61" s="417">
        <v>0</v>
      </c>
      <c r="AK61" s="417">
        <v>0</v>
      </c>
      <c r="AL61" s="378">
        <v>1.5356E-3</v>
      </c>
      <c r="AM61" s="378"/>
      <c r="AN61" s="417">
        <v>-54049</v>
      </c>
      <c r="AO61" s="417">
        <v>-38969</v>
      </c>
      <c r="AP61" s="417">
        <v>-24942</v>
      </c>
      <c r="AQ61" s="417">
        <v>0</v>
      </c>
      <c r="AR61" s="417">
        <v>0</v>
      </c>
    </row>
    <row r="62" spans="1:44">
      <c r="A62" s="377">
        <v>90721</v>
      </c>
      <c r="B62" t="s">
        <v>776</v>
      </c>
      <c r="C62" s="378">
        <v>2.27E-5</v>
      </c>
      <c r="D62" s="378"/>
      <c r="E62" s="417">
        <v>5409</v>
      </c>
      <c r="F62" s="417">
        <v>1065</v>
      </c>
      <c r="G62" s="417">
        <v>-1814</v>
      </c>
      <c r="H62" s="417">
        <v>-15220</v>
      </c>
      <c r="I62" s="417">
        <v>0</v>
      </c>
      <c r="J62" s="378">
        <v>2.27E-5</v>
      </c>
      <c r="K62" s="378"/>
      <c r="L62" s="417">
        <v>5557</v>
      </c>
      <c r="M62" s="417">
        <v>3838</v>
      </c>
      <c r="N62" s="417">
        <v>1680</v>
      </c>
      <c r="O62" s="417">
        <v>0</v>
      </c>
      <c r="P62" s="417">
        <v>0</v>
      </c>
      <c r="Q62" s="378">
        <v>2.27E-5</v>
      </c>
      <c r="R62" s="378"/>
      <c r="S62" s="417">
        <v>-11404</v>
      </c>
      <c r="T62" s="417">
        <v>-11272</v>
      </c>
      <c r="U62" s="417">
        <v>-11841</v>
      </c>
      <c r="V62" s="417">
        <v>-15220</v>
      </c>
      <c r="W62" s="417">
        <v>0</v>
      </c>
      <c r="X62" s="378">
        <v>2.27E-5</v>
      </c>
      <c r="Z62" s="417">
        <v>9094</v>
      </c>
      <c r="AA62" s="417">
        <v>6389</v>
      </c>
      <c r="AB62" s="417">
        <v>6389</v>
      </c>
      <c r="AC62" s="417">
        <v>0</v>
      </c>
      <c r="AD62" s="417">
        <v>0</v>
      </c>
      <c r="AE62" s="378">
        <v>2.27E-5</v>
      </c>
      <c r="AF62" s="378"/>
      <c r="AG62" s="417">
        <v>3207</v>
      </c>
      <c r="AH62" s="417">
        <v>3156</v>
      </c>
      <c r="AI62" s="417">
        <v>1958</v>
      </c>
      <c r="AJ62" s="417">
        <v>0</v>
      </c>
      <c r="AK62" s="417">
        <v>0</v>
      </c>
      <c r="AL62" s="378">
        <v>2.27E-5</v>
      </c>
      <c r="AM62" s="378"/>
      <c r="AN62" s="417">
        <v>-1045</v>
      </c>
      <c r="AO62" s="417">
        <v>-1046</v>
      </c>
      <c r="AP62" s="417">
        <v>0</v>
      </c>
      <c r="AQ62" s="417">
        <v>0</v>
      </c>
      <c r="AR62" s="417">
        <v>0</v>
      </c>
    </row>
    <row r="63" spans="1:44">
      <c r="A63" s="377">
        <v>90731</v>
      </c>
      <c r="B63" t="s">
        <v>777</v>
      </c>
      <c r="C63" s="378">
        <v>1.3540000000000001E-4</v>
      </c>
      <c r="D63" s="378"/>
      <c r="E63" s="417">
        <v>16897</v>
      </c>
      <c r="F63" s="417">
        <v>-5467</v>
      </c>
      <c r="G63" s="417">
        <v>-29130</v>
      </c>
      <c r="H63" s="417">
        <v>-90782</v>
      </c>
      <c r="I63" s="417">
        <v>0</v>
      </c>
      <c r="J63" s="378">
        <v>1.3540000000000001E-4</v>
      </c>
      <c r="K63" s="378"/>
      <c r="L63" s="417">
        <v>33147</v>
      </c>
      <c r="M63" s="417">
        <v>22892</v>
      </c>
      <c r="N63" s="417">
        <v>10021</v>
      </c>
      <c r="O63" s="417">
        <v>0</v>
      </c>
      <c r="P63" s="417">
        <v>0</v>
      </c>
      <c r="Q63" s="378">
        <v>1.3540000000000001E-4</v>
      </c>
      <c r="R63" s="378"/>
      <c r="S63" s="417">
        <v>-68021</v>
      </c>
      <c r="T63" s="417">
        <v>-67234</v>
      </c>
      <c r="U63" s="417">
        <v>-70632</v>
      </c>
      <c r="V63" s="417">
        <v>-90782</v>
      </c>
      <c r="W63" s="417">
        <v>0</v>
      </c>
      <c r="X63" s="378">
        <v>1.3540000000000001E-4</v>
      </c>
      <c r="Z63" s="417">
        <v>54242</v>
      </c>
      <c r="AA63" s="417">
        <v>38108</v>
      </c>
      <c r="AB63" s="417">
        <v>38107</v>
      </c>
      <c r="AC63" s="417">
        <v>0</v>
      </c>
      <c r="AD63" s="417">
        <v>0</v>
      </c>
      <c r="AE63" s="378">
        <v>1.3540000000000001E-4</v>
      </c>
      <c r="AF63" s="378"/>
      <c r="AG63" s="417">
        <v>7574</v>
      </c>
      <c r="AH63" s="417">
        <v>7575</v>
      </c>
      <c r="AI63" s="417">
        <v>0</v>
      </c>
      <c r="AJ63" s="417">
        <v>0</v>
      </c>
      <c r="AK63" s="417">
        <v>0</v>
      </c>
      <c r="AL63" s="378">
        <v>1.3540000000000001E-4</v>
      </c>
      <c r="AM63" s="378"/>
      <c r="AN63" s="417">
        <v>-10045</v>
      </c>
      <c r="AO63" s="417">
        <v>-6808</v>
      </c>
      <c r="AP63" s="417">
        <v>-6626</v>
      </c>
      <c r="AQ63" s="417">
        <v>0</v>
      </c>
      <c r="AR63" s="417">
        <v>0</v>
      </c>
    </row>
    <row r="64" spans="1:44">
      <c r="A64" s="377">
        <v>90741</v>
      </c>
      <c r="B64" t="s">
        <v>778</v>
      </c>
      <c r="C64" s="378">
        <v>1.3200000000000001E-5</v>
      </c>
      <c r="D64" s="378"/>
      <c r="E64" s="417">
        <v>2756</v>
      </c>
      <c r="F64" s="417">
        <v>-743</v>
      </c>
      <c r="G64" s="417">
        <v>-2036</v>
      </c>
      <c r="H64" s="417">
        <v>-8850</v>
      </c>
      <c r="I64" s="417">
        <v>0</v>
      </c>
      <c r="J64" s="378">
        <v>1.3200000000000001E-5</v>
      </c>
      <c r="K64" s="378"/>
      <c r="L64" s="417">
        <v>3231</v>
      </c>
      <c r="M64" s="417">
        <v>2232</v>
      </c>
      <c r="N64" s="417">
        <v>977</v>
      </c>
      <c r="O64" s="417">
        <v>0</v>
      </c>
      <c r="P64" s="417">
        <v>0</v>
      </c>
      <c r="Q64" s="378">
        <v>1.3200000000000001E-5</v>
      </c>
      <c r="R64" s="378"/>
      <c r="S64" s="417">
        <v>-6631</v>
      </c>
      <c r="T64" s="417">
        <v>-6555</v>
      </c>
      <c r="U64" s="417">
        <v>-6886</v>
      </c>
      <c r="V64" s="417">
        <v>-8850</v>
      </c>
      <c r="W64" s="417">
        <v>0</v>
      </c>
      <c r="X64" s="378">
        <v>1.3200000000000001E-5</v>
      </c>
      <c r="Z64" s="417">
        <v>5288</v>
      </c>
      <c r="AA64" s="417">
        <v>3715</v>
      </c>
      <c r="AB64" s="417">
        <v>3715</v>
      </c>
      <c r="AC64" s="417">
        <v>0</v>
      </c>
      <c r="AD64" s="417">
        <v>0</v>
      </c>
      <c r="AE64" s="378">
        <v>1.3200000000000001E-5</v>
      </c>
      <c r="AF64" s="378"/>
      <c r="AG64" s="417">
        <v>1162</v>
      </c>
      <c r="AH64" s="417">
        <v>160</v>
      </c>
      <c r="AI64" s="417">
        <v>158</v>
      </c>
      <c r="AJ64" s="417">
        <v>0</v>
      </c>
      <c r="AK64" s="417">
        <v>0</v>
      </c>
      <c r="AL64" s="378">
        <v>1.3200000000000001E-5</v>
      </c>
      <c r="AM64" s="378"/>
      <c r="AN64" s="417">
        <v>-294</v>
      </c>
      <c r="AO64" s="417">
        <v>-295</v>
      </c>
      <c r="AP64" s="417">
        <v>0</v>
      </c>
      <c r="AQ64" s="417">
        <v>0</v>
      </c>
      <c r="AR64" s="417">
        <v>0</v>
      </c>
    </row>
    <row r="65" spans="1:44">
      <c r="A65" s="377">
        <v>90751</v>
      </c>
      <c r="B65" t="s">
        <v>779</v>
      </c>
      <c r="C65" s="378">
        <v>6.1199999999999997E-5</v>
      </c>
      <c r="D65" s="378"/>
      <c r="E65" s="417">
        <v>5369</v>
      </c>
      <c r="F65" s="417">
        <v>-6820</v>
      </c>
      <c r="G65" s="417">
        <v>-9979</v>
      </c>
      <c r="H65" s="417">
        <v>-41033</v>
      </c>
      <c r="I65" s="417">
        <v>0</v>
      </c>
      <c r="J65" s="378">
        <v>6.1199999999999997E-5</v>
      </c>
      <c r="K65" s="378"/>
      <c r="L65" s="417">
        <v>14982</v>
      </c>
      <c r="M65" s="417">
        <v>10347</v>
      </c>
      <c r="N65" s="417">
        <v>4530</v>
      </c>
      <c r="O65" s="417">
        <v>0</v>
      </c>
      <c r="P65" s="417">
        <v>0</v>
      </c>
      <c r="Q65" s="378">
        <v>6.1199999999999997E-5</v>
      </c>
      <c r="R65" s="378"/>
      <c r="S65" s="417">
        <v>-30745</v>
      </c>
      <c r="T65" s="417">
        <v>-30389</v>
      </c>
      <c r="U65" s="417">
        <v>-31925</v>
      </c>
      <c r="V65" s="417">
        <v>-41033</v>
      </c>
      <c r="W65" s="417">
        <v>0</v>
      </c>
      <c r="X65" s="378">
        <v>6.1199999999999997E-5</v>
      </c>
      <c r="Z65" s="417">
        <v>24517</v>
      </c>
      <c r="AA65" s="417">
        <v>17224</v>
      </c>
      <c r="AB65" s="417">
        <v>17224</v>
      </c>
      <c r="AC65" s="417">
        <v>0</v>
      </c>
      <c r="AD65" s="417">
        <v>0</v>
      </c>
      <c r="AE65" s="378">
        <v>6.1199999999999997E-5</v>
      </c>
      <c r="AF65" s="378"/>
      <c r="AG65" s="417">
        <v>810</v>
      </c>
      <c r="AH65" s="417">
        <v>192</v>
      </c>
      <c r="AI65" s="417">
        <v>192</v>
      </c>
      <c r="AJ65" s="417">
        <v>0</v>
      </c>
      <c r="AK65" s="417">
        <v>0</v>
      </c>
      <c r="AL65" s="378">
        <v>6.1199999999999997E-5</v>
      </c>
      <c r="AM65" s="378"/>
      <c r="AN65" s="417">
        <v>-4195</v>
      </c>
      <c r="AO65" s="417">
        <v>-4194</v>
      </c>
      <c r="AP65" s="417">
        <v>0</v>
      </c>
      <c r="AQ65" s="417">
        <v>0</v>
      </c>
      <c r="AR65" s="417">
        <v>0</v>
      </c>
    </row>
    <row r="66" spans="1:44">
      <c r="A66" s="377">
        <v>90801</v>
      </c>
      <c r="B66" t="s">
        <v>780</v>
      </c>
      <c r="C66" s="378">
        <v>1.1333000000000001E-3</v>
      </c>
      <c r="D66" s="378"/>
      <c r="E66" s="417">
        <v>18346</v>
      </c>
      <c r="F66" s="417">
        <v>-183320</v>
      </c>
      <c r="G66" s="417">
        <v>-264545</v>
      </c>
      <c r="H66" s="417">
        <v>-759848</v>
      </c>
      <c r="I66" s="417">
        <v>0</v>
      </c>
      <c r="J66" s="378">
        <v>1.1333000000000001E-3</v>
      </c>
      <c r="K66" s="378"/>
      <c r="L66" s="417">
        <v>277441</v>
      </c>
      <c r="M66" s="417">
        <v>191609</v>
      </c>
      <c r="N66" s="417">
        <v>83878</v>
      </c>
      <c r="O66" s="417">
        <v>0</v>
      </c>
      <c r="P66" s="417">
        <v>0</v>
      </c>
      <c r="Q66" s="378">
        <v>1.1333000000000001E-3</v>
      </c>
      <c r="R66" s="378"/>
      <c r="S66" s="417">
        <v>-569334</v>
      </c>
      <c r="T66" s="417">
        <v>-562746</v>
      </c>
      <c r="U66" s="417">
        <v>-591187</v>
      </c>
      <c r="V66" s="417">
        <v>-759848</v>
      </c>
      <c r="W66" s="417">
        <v>0</v>
      </c>
      <c r="X66" s="378">
        <v>1.1333000000000001E-3</v>
      </c>
      <c r="Z66" s="417">
        <v>454002</v>
      </c>
      <c r="AA66" s="417">
        <v>318962</v>
      </c>
      <c r="AB66" s="417">
        <v>318959</v>
      </c>
      <c r="AC66" s="417">
        <v>0</v>
      </c>
      <c r="AD66" s="417">
        <v>0</v>
      </c>
      <c r="AE66" s="378">
        <v>1.1333000000000001E-3</v>
      </c>
      <c r="AF66" s="378"/>
      <c r="AG66" s="417">
        <v>0</v>
      </c>
      <c r="AH66" s="417">
        <v>0</v>
      </c>
      <c r="AI66" s="417">
        <v>0</v>
      </c>
      <c r="AJ66" s="417">
        <v>0</v>
      </c>
      <c r="AK66" s="417">
        <v>0</v>
      </c>
      <c r="AL66" s="378">
        <v>1.1333000000000001E-3</v>
      </c>
      <c r="AM66" s="378"/>
      <c r="AN66" s="417">
        <v>-143763</v>
      </c>
      <c r="AO66" s="417">
        <v>-131145</v>
      </c>
      <c r="AP66" s="417">
        <v>-76195</v>
      </c>
      <c r="AQ66" s="417">
        <v>0</v>
      </c>
      <c r="AR66" s="417">
        <v>0</v>
      </c>
    </row>
    <row r="67" spans="1:44">
      <c r="A67" s="377">
        <v>90804</v>
      </c>
      <c r="B67" t="s">
        <v>781</v>
      </c>
      <c r="C67" s="378">
        <v>5.0000000000000004E-6</v>
      </c>
      <c r="D67" s="378"/>
      <c r="E67" s="417">
        <v>566</v>
      </c>
      <c r="F67" s="417">
        <v>-323</v>
      </c>
      <c r="G67" s="417">
        <v>-704</v>
      </c>
      <c r="H67" s="417">
        <v>-3352</v>
      </c>
      <c r="I67" s="417">
        <v>0</v>
      </c>
      <c r="J67" s="378">
        <v>5.0000000000000004E-6</v>
      </c>
      <c r="K67" s="378"/>
      <c r="L67" s="417">
        <v>1224</v>
      </c>
      <c r="M67" s="417">
        <v>845</v>
      </c>
      <c r="N67" s="417">
        <v>370</v>
      </c>
      <c r="O67" s="417">
        <v>0</v>
      </c>
      <c r="P67" s="417">
        <v>0</v>
      </c>
      <c r="Q67" s="378">
        <v>5.0000000000000004E-6</v>
      </c>
      <c r="R67" s="378"/>
      <c r="S67" s="417">
        <v>-2512</v>
      </c>
      <c r="T67" s="417">
        <v>-2483</v>
      </c>
      <c r="U67" s="417">
        <v>-2608</v>
      </c>
      <c r="V67" s="417">
        <v>-3352</v>
      </c>
      <c r="W67" s="417">
        <v>0</v>
      </c>
      <c r="X67" s="378">
        <v>5.0000000000000004E-6</v>
      </c>
      <c r="Z67" s="417">
        <v>2003</v>
      </c>
      <c r="AA67" s="417">
        <v>1407</v>
      </c>
      <c r="AB67" s="417">
        <v>1407</v>
      </c>
      <c r="AC67" s="417">
        <v>0</v>
      </c>
      <c r="AD67" s="417">
        <v>0</v>
      </c>
      <c r="AE67" s="378">
        <v>5.0000000000000004E-6</v>
      </c>
      <c r="AF67" s="378"/>
      <c r="AG67" s="417">
        <v>126</v>
      </c>
      <c r="AH67" s="417">
        <v>126</v>
      </c>
      <c r="AI67" s="417">
        <v>127</v>
      </c>
      <c r="AJ67" s="417">
        <v>0</v>
      </c>
      <c r="AK67" s="417">
        <v>0</v>
      </c>
      <c r="AL67" s="378">
        <v>5.0000000000000004E-6</v>
      </c>
      <c r="AM67" s="378"/>
      <c r="AN67" s="417">
        <v>-275</v>
      </c>
      <c r="AO67" s="417">
        <v>-218</v>
      </c>
      <c r="AP67" s="417">
        <v>0</v>
      </c>
      <c r="AQ67" s="417">
        <v>0</v>
      </c>
      <c r="AR67" s="417">
        <v>0</v>
      </c>
    </row>
    <row r="68" spans="1:44">
      <c r="A68" s="377">
        <v>90805</v>
      </c>
      <c r="B68" t="s">
        <v>782</v>
      </c>
      <c r="C68" s="378">
        <v>6.0800000000000001E-5</v>
      </c>
      <c r="D68" s="378"/>
      <c r="E68" s="417">
        <v>19126</v>
      </c>
      <c r="F68" s="417">
        <v>3341</v>
      </c>
      <c r="G68" s="417">
        <v>-7481</v>
      </c>
      <c r="H68" s="417">
        <v>-40765</v>
      </c>
      <c r="I68" s="417">
        <v>0</v>
      </c>
      <c r="J68" s="378">
        <v>6.0800000000000001E-5</v>
      </c>
      <c r="K68" s="378"/>
      <c r="L68" s="417">
        <v>14884</v>
      </c>
      <c r="M68" s="417">
        <v>10280</v>
      </c>
      <c r="N68" s="417">
        <v>4500</v>
      </c>
      <c r="O68" s="417">
        <v>0</v>
      </c>
      <c r="P68" s="417">
        <v>0</v>
      </c>
      <c r="Q68" s="378">
        <v>6.0800000000000001E-5</v>
      </c>
      <c r="R68" s="378"/>
      <c r="S68" s="417">
        <v>-30544</v>
      </c>
      <c r="T68" s="417">
        <v>-30191</v>
      </c>
      <c r="U68" s="417">
        <v>-31716</v>
      </c>
      <c r="V68" s="417">
        <v>-40765</v>
      </c>
      <c r="W68" s="417">
        <v>0</v>
      </c>
      <c r="X68" s="378">
        <v>6.0800000000000001E-5</v>
      </c>
      <c r="Z68" s="417">
        <v>24357</v>
      </c>
      <c r="AA68" s="417">
        <v>17112</v>
      </c>
      <c r="AB68" s="417">
        <v>17112</v>
      </c>
      <c r="AC68" s="417">
        <v>0</v>
      </c>
      <c r="AD68" s="417">
        <v>0</v>
      </c>
      <c r="AE68" s="378">
        <v>6.0800000000000001E-5</v>
      </c>
      <c r="AF68" s="378"/>
      <c r="AG68" s="417">
        <v>10429</v>
      </c>
      <c r="AH68" s="417">
        <v>6140</v>
      </c>
      <c r="AI68" s="417">
        <v>2623</v>
      </c>
      <c r="AJ68" s="417">
        <v>0</v>
      </c>
      <c r="AK68" s="417">
        <v>0</v>
      </c>
      <c r="AL68" s="378">
        <v>6.0800000000000001E-5</v>
      </c>
      <c r="AM68" s="378"/>
      <c r="AN68" s="417">
        <v>0</v>
      </c>
      <c r="AO68" s="417">
        <v>0</v>
      </c>
      <c r="AP68" s="417">
        <v>0</v>
      </c>
      <c r="AQ68" s="417">
        <v>0</v>
      </c>
      <c r="AR68" s="417">
        <v>0</v>
      </c>
    </row>
    <row r="69" spans="1:44">
      <c r="A69" s="377">
        <v>90808</v>
      </c>
      <c r="B69" t="s">
        <v>783</v>
      </c>
      <c r="C69" s="378">
        <v>1.2530000000000001E-4</v>
      </c>
      <c r="D69" s="378"/>
      <c r="E69" s="417">
        <v>21170</v>
      </c>
      <c r="F69" s="417">
        <v>-2449</v>
      </c>
      <c r="G69" s="417">
        <v>-31721</v>
      </c>
      <c r="H69" s="417">
        <v>-84010</v>
      </c>
      <c r="I69" s="417">
        <v>0</v>
      </c>
      <c r="J69" s="378">
        <v>1.2530000000000001E-4</v>
      </c>
      <c r="K69" s="378"/>
      <c r="L69" s="417">
        <v>30674</v>
      </c>
      <c r="M69" s="417">
        <v>21185</v>
      </c>
      <c r="N69" s="417">
        <v>9274</v>
      </c>
      <c r="O69" s="417">
        <v>0</v>
      </c>
      <c r="P69" s="417">
        <v>0</v>
      </c>
      <c r="Q69" s="378">
        <v>1.2530000000000001E-4</v>
      </c>
      <c r="R69" s="378"/>
      <c r="S69" s="417">
        <v>-62947</v>
      </c>
      <c r="T69" s="417">
        <v>-62218</v>
      </c>
      <c r="U69" s="417">
        <v>-65363</v>
      </c>
      <c r="V69" s="417">
        <v>-84010</v>
      </c>
      <c r="W69" s="417">
        <v>0</v>
      </c>
      <c r="X69" s="378">
        <v>1.2530000000000001E-4</v>
      </c>
      <c r="Z69" s="417">
        <v>50195</v>
      </c>
      <c r="AA69" s="417">
        <v>35265</v>
      </c>
      <c r="AB69" s="417">
        <v>35265</v>
      </c>
      <c r="AC69" s="417">
        <v>0</v>
      </c>
      <c r="AD69" s="417">
        <v>0</v>
      </c>
      <c r="AE69" s="378">
        <v>1.2530000000000001E-4</v>
      </c>
      <c r="AF69" s="378"/>
      <c r="AG69" s="417">
        <v>14220</v>
      </c>
      <c r="AH69" s="417">
        <v>14218</v>
      </c>
      <c r="AI69" s="417">
        <v>0</v>
      </c>
      <c r="AJ69" s="417">
        <v>0</v>
      </c>
      <c r="AK69" s="417">
        <v>0</v>
      </c>
      <c r="AL69" s="378">
        <v>1.2530000000000001E-4</v>
      </c>
      <c r="AM69" s="378"/>
      <c r="AN69" s="417">
        <v>-10972</v>
      </c>
      <c r="AO69" s="417">
        <v>-10899</v>
      </c>
      <c r="AP69" s="417">
        <v>-10897</v>
      </c>
      <c r="AQ69" s="417">
        <v>0</v>
      </c>
      <c r="AR69" s="417">
        <v>0</v>
      </c>
    </row>
    <row r="70" spans="1:44">
      <c r="A70" s="377">
        <v>90811</v>
      </c>
      <c r="B70" t="s">
        <v>784</v>
      </c>
      <c r="C70" s="378">
        <v>3.3099999999999998E-5</v>
      </c>
      <c r="D70" s="378"/>
      <c r="E70" s="417">
        <v>218</v>
      </c>
      <c r="F70" s="417">
        <v>-5329</v>
      </c>
      <c r="G70" s="417">
        <v>-9329</v>
      </c>
      <c r="H70" s="417">
        <v>-22193</v>
      </c>
      <c r="I70" s="417">
        <v>0</v>
      </c>
      <c r="J70" s="378">
        <v>3.3099999999999998E-5</v>
      </c>
      <c r="K70" s="378"/>
      <c r="L70" s="417">
        <v>8103</v>
      </c>
      <c r="M70" s="417">
        <v>5596</v>
      </c>
      <c r="N70" s="417">
        <v>2450</v>
      </c>
      <c r="O70" s="417">
        <v>0</v>
      </c>
      <c r="P70" s="417">
        <v>0</v>
      </c>
      <c r="Q70" s="378">
        <v>3.3099999999999998E-5</v>
      </c>
      <c r="R70" s="378"/>
      <c r="S70" s="417">
        <v>-16628</v>
      </c>
      <c r="T70" s="417">
        <v>-16436</v>
      </c>
      <c r="U70" s="417">
        <v>-17267</v>
      </c>
      <c r="V70" s="417">
        <v>-22193</v>
      </c>
      <c r="W70" s="417">
        <v>0</v>
      </c>
      <c r="X70" s="378">
        <v>3.3099999999999998E-5</v>
      </c>
      <c r="Z70" s="417">
        <v>13260</v>
      </c>
      <c r="AA70" s="417">
        <v>9316</v>
      </c>
      <c r="AB70" s="417">
        <v>9316</v>
      </c>
      <c r="AC70" s="417">
        <v>0</v>
      </c>
      <c r="AD70" s="417">
        <v>0</v>
      </c>
      <c r="AE70" s="378">
        <v>3.3099999999999998E-5</v>
      </c>
      <c r="AF70" s="378"/>
      <c r="AG70" s="417">
        <v>955</v>
      </c>
      <c r="AH70" s="417">
        <v>955</v>
      </c>
      <c r="AI70" s="417">
        <v>0</v>
      </c>
      <c r="AJ70" s="417">
        <v>0</v>
      </c>
      <c r="AK70" s="417">
        <v>0</v>
      </c>
      <c r="AL70" s="378">
        <v>3.3099999999999998E-5</v>
      </c>
      <c r="AM70" s="378"/>
      <c r="AN70" s="417">
        <v>-5472</v>
      </c>
      <c r="AO70" s="417">
        <v>-4760</v>
      </c>
      <c r="AP70" s="417">
        <v>-3828</v>
      </c>
      <c r="AQ70" s="417">
        <v>0</v>
      </c>
      <c r="AR70" s="417">
        <v>0</v>
      </c>
    </row>
    <row r="71" spans="1:44">
      <c r="A71" s="377">
        <v>90812</v>
      </c>
      <c r="B71" t="s">
        <v>785</v>
      </c>
      <c r="C71" s="378">
        <v>2.22E-4</v>
      </c>
      <c r="D71" s="378"/>
      <c r="E71" s="417">
        <v>29391</v>
      </c>
      <c r="F71" s="417">
        <v>-11447</v>
      </c>
      <c r="G71" s="417">
        <v>-31427</v>
      </c>
      <c r="H71" s="417">
        <v>-148845</v>
      </c>
      <c r="I71" s="417">
        <v>0</v>
      </c>
      <c r="J71" s="378">
        <v>2.22E-4</v>
      </c>
      <c r="K71" s="378"/>
      <c r="L71" s="417">
        <v>54347</v>
      </c>
      <c r="M71" s="417">
        <v>37534</v>
      </c>
      <c r="N71" s="417">
        <v>16431</v>
      </c>
      <c r="O71" s="417">
        <v>0</v>
      </c>
      <c r="P71" s="417">
        <v>0</v>
      </c>
      <c r="Q71" s="378">
        <v>2.22E-4</v>
      </c>
      <c r="R71" s="378"/>
      <c r="S71" s="417">
        <v>-111526</v>
      </c>
      <c r="T71" s="417">
        <v>-110235</v>
      </c>
      <c r="U71" s="417">
        <v>-115807</v>
      </c>
      <c r="V71" s="417">
        <v>-148845</v>
      </c>
      <c r="W71" s="417">
        <v>0</v>
      </c>
      <c r="X71" s="378">
        <v>2.22E-4</v>
      </c>
      <c r="Z71" s="417">
        <v>88934</v>
      </c>
      <c r="AA71" s="417">
        <v>62481</v>
      </c>
      <c r="AB71" s="417">
        <v>62480</v>
      </c>
      <c r="AC71" s="417">
        <v>0</v>
      </c>
      <c r="AD71" s="417">
        <v>0</v>
      </c>
      <c r="AE71" s="378">
        <v>2.22E-4</v>
      </c>
      <c r="AF71" s="378"/>
      <c r="AG71" s="417">
        <v>5469</v>
      </c>
      <c r="AH71" s="417">
        <v>5469</v>
      </c>
      <c r="AI71" s="417">
        <v>5469</v>
      </c>
      <c r="AJ71" s="417">
        <v>0</v>
      </c>
      <c r="AK71" s="417">
        <v>0</v>
      </c>
      <c r="AL71" s="378">
        <v>2.22E-4</v>
      </c>
      <c r="AM71" s="378"/>
      <c r="AN71" s="417">
        <v>-7833</v>
      </c>
      <c r="AO71" s="417">
        <v>-6696</v>
      </c>
      <c r="AP71" s="417">
        <v>0</v>
      </c>
      <c r="AQ71" s="417">
        <v>0</v>
      </c>
      <c r="AR71" s="417">
        <v>0</v>
      </c>
    </row>
    <row r="72" spans="1:44">
      <c r="A72" s="377">
        <v>90813</v>
      </c>
      <c r="B72" t="s">
        <v>786</v>
      </c>
      <c r="C72" s="378">
        <v>0</v>
      </c>
      <c r="D72" s="378"/>
      <c r="E72" s="417">
        <v>-2165</v>
      </c>
      <c r="F72" s="417">
        <v>-2062</v>
      </c>
      <c r="G72" s="417">
        <v>-1703</v>
      </c>
      <c r="H72" s="417">
        <v>0</v>
      </c>
      <c r="I72" s="417">
        <v>0</v>
      </c>
      <c r="J72" s="378">
        <v>0</v>
      </c>
      <c r="K72" s="378"/>
      <c r="L72" s="417">
        <v>0</v>
      </c>
      <c r="M72" s="417">
        <v>0</v>
      </c>
      <c r="N72" s="417">
        <v>0</v>
      </c>
      <c r="O72" s="417">
        <v>0</v>
      </c>
      <c r="P72" s="417">
        <v>0</v>
      </c>
      <c r="Q72" s="378">
        <v>0</v>
      </c>
      <c r="R72" s="378"/>
      <c r="S72" s="417">
        <v>0</v>
      </c>
      <c r="T72" s="417">
        <v>0</v>
      </c>
      <c r="U72" s="417">
        <v>0</v>
      </c>
      <c r="V72" s="417">
        <v>0</v>
      </c>
      <c r="W72" s="417">
        <v>0</v>
      </c>
      <c r="X72" s="378">
        <v>0</v>
      </c>
      <c r="Z72" s="417">
        <v>0</v>
      </c>
      <c r="AA72" s="417">
        <v>0</v>
      </c>
      <c r="AB72" s="417">
        <v>0</v>
      </c>
      <c r="AC72" s="417">
        <v>0</v>
      </c>
      <c r="AD72" s="417">
        <v>0</v>
      </c>
      <c r="AE72" s="378">
        <v>0</v>
      </c>
      <c r="AF72" s="378"/>
      <c r="AG72" s="417">
        <v>0</v>
      </c>
      <c r="AH72" s="417">
        <v>0</v>
      </c>
      <c r="AI72" s="417">
        <v>0</v>
      </c>
      <c r="AJ72" s="417">
        <v>0</v>
      </c>
      <c r="AK72" s="417">
        <v>0</v>
      </c>
      <c r="AL72" s="378">
        <v>0</v>
      </c>
      <c r="AM72" s="378"/>
      <c r="AN72" s="417">
        <v>-2165</v>
      </c>
      <c r="AO72" s="417">
        <v>-2062</v>
      </c>
      <c r="AP72" s="417">
        <v>-1703</v>
      </c>
      <c r="AQ72" s="417">
        <v>0</v>
      </c>
      <c r="AR72" s="417">
        <v>0</v>
      </c>
    </row>
    <row r="73" spans="1:44">
      <c r="A73" s="377">
        <v>90861</v>
      </c>
      <c r="B73" t="s">
        <v>787</v>
      </c>
      <c r="C73" s="378">
        <v>3.5999999999999998E-6</v>
      </c>
      <c r="D73" s="378"/>
      <c r="E73" s="417">
        <v>2132</v>
      </c>
      <c r="F73" s="417">
        <v>297</v>
      </c>
      <c r="G73" s="417">
        <v>868</v>
      </c>
      <c r="H73" s="417">
        <v>-2414</v>
      </c>
      <c r="I73" s="417">
        <v>0</v>
      </c>
      <c r="J73" s="378">
        <v>3.5999999999999998E-6</v>
      </c>
      <c r="K73" s="378"/>
      <c r="L73" s="417">
        <v>881</v>
      </c>
      <c r="M73" s="417">
        <v>609</v>
      </c>
      <c r="N73" s="417">
        <v>266</v>
      </c>
      <c r="O73" s="417">
        <v>0</v>
      </c>
      <c r="P73" s="417">
        <v>0</v>
      </c>
      <c r="Q73" s="378">
        <v>3.5999999999999998E-6</v>
      </c>
      <c r="R73" s="378"/>
      <c r="S73" s="417">
        <v>-1809</v>
      </c>
      <c r="T73" s="417">
        <v>-1788</v>
      </c>
      <c r="U73" s="417">
        <v>-1878</v>
      </c>
      <c r="V73" s="417">
        <v>-2414</v>
      </c>
      <c r="W73" s="417">
        <v>0</v>
      </c>
      <c r="X73" s="378">
        <v>3.5999999999999998E-6</v>
      </c>
      <c r="Z73" s="417">
        <v>1442</v>
      </c>
      <c r="AA73" s="417">
        <v>1013</v>
      </c>
      <c r="AB73" s="417">
        <v>1013</v>
      </c>
      <c r="AC73" s="417">
        <v>0</v>
      </c>
      <c r="AD73" s="417">
        <v>0</v>
      </c>
      <c r="AE73" s="378">
        <v>3.5999999999999998E-6</v>
      </c>
      <c r="AF73" s="378"/>
      <c r="AG73" s="417">
        <v>3474</v>
      </c>
      <c r="AH73" s="417">
        <v>2317</v>
      </c>
      <c r="AI73" s="417">
        <v>1467</v>
      </c>
      <c r="AJ73" s="417">
        <v>0</v>
      </c>
      <c r="AK73" s="417">
        <v>0</v>
      </c>
      <c r="AL73" s="378">
        <v>3.5999999999999998E-6</v>
      </c>
      <c r="AM73" s="378"/>
      <c r="AN73" s="417">
        <v>-1856</v>
      </c>
      <c r="AO73" s="417">
        <v>-1854</v>
      </c>
      <c r="AP73" s="417">
        <v>0</v>
      </c>
      <c r="AQ73" s="417">
        <v>0</v>
      </c>
      <c r="AR73" s="417">
        <v>0</v>
      </c>
    </row>
    <row r="74" spans="1:44">
      <c r="A74" s="377">
        <v>90901</v>
      </c>
      <c r="B74" t="s">
        <v>788</v>
      </c>
      <c r="C74" s="378">
        <v>2.0815E-3</v>
      </c>
      <c r="D74" s="378"/>
      <c r="E74" s="417">
        <v>248097</v>
      </c>
      <c r="F74" s="417">
        <v>-144154</v>
      </c>
      <c r="G74" s="417">
        <v>-344166</v>
      </c>
      <c r="H74" s="417">
        <v>-1395592</v>
      </c>
      <c r="I74" s="417">
        <v>0</v>
      </c>
      <c r="J74" s="378">
        <v>2.0815E-3</v>
      </c>
      <c r="K74" s="378"/>
      <c r="L74" s="417">
        <v>509568</v>
      </c>
      <c r="M74" s="417">
        <v>351923</v>
      </c>
      <c r="N74" s="417">
        <v>154056</v>
      </c>
      <c r="O74" s="417">
        <v>0</v>
      </c>
      <c r="P74" s="417">
        <v>0</v>
      </c>
      <c r="Q74" s="378">
        <v>2.0815E-3</v>
      </c>
      <c r="R74" s="378"/>
      <c r="S74" s="417">
        <v>-1045679</v>
      </c>
      <c r="T74" s="417">
        <v>-1033579</v>
      </c>
      <c r="U74" s="417">
        <v>-1085817</v>
      </c>
      <c r="V74" s="417">
        <v>-1395592</v>
      </c>
      <c r="W74" s="417">
        <v>0</v>
      </c>
      <c r="X74" s="378">
        <v>2.0815E-3</v>
      </c>
      <c r="Z74" s="417">
        <v>833853</v>
      </c>
      <c r="AA74" s="417">
        <v>585828</v>
      </c>
      <c r="AB74" s="417">
        <v>585824</v>
      </c>
      <c r="AC74" s="417">
        <v>0</v>
      </c>
      <c r="AD74" s="417">
        <v>0</v>
      </c>
      <c r="AE74" s="378">
        <v>2.0815E-3</v>
      </c>
      <c r="AF74" s="378"/>
      <c r="AG74" s="417">
        <v>23255</v>
      </c>
      <c r="AH74" s="417">
        <v>23255</v>
      </c>
      <c r="AI74" s="417">
        <v>1771</v>
      </c>
      <c r="AJ74" s="417">
        <v>0</v>
      </c>
      <c r="AK74" s="417">
        <v>0</v>
      </c>
      <c r="AL74" s="378">
        <v>2.0815E-3</v>
      </c>
      <c r="AM74" s="378"/>
      <c r="AN74" s="417">
        <v>-72900</v>
      </c>
      <c r="AO74" s="417">
        <v>-71581</v>
      </c>
      <c r="AP74" s="417">
        <v>0</v>
      </c>
      <c r="AQ74" s="417">
        <v>0</v>
      </c>
      <c r="AR74" s="417">
        <v>0</v>
      </c>
    </row>
    <row r="75" spans="1:44">
      <c r="A75" s="377">
        <v>90911</v>
      </c>
      <c r="B75" t="s">
        <v>789</v>
      </c>
      <c r="C75" s="378">
        <v>3.5619999999999998E-4</v>
      </c>
      <c r="D75" s="378"/>
      <c r="E75" s="417">
        <v>14235</v>
      </c>
      <c r="F75" s="417">
        <v>-49066</v>
      </c>
      <c r="G75" s="417">
        <v>-76017</v>
      </c>
      <c r="H75" s="417">
        <v>-238823</v>
      </c>
      <c r="I75" s="417">
        <v>0</v>
      </c>
      <c r="J75" s="378">
        <v>3.5619999999999998E-4</v>
      </c>
      <c r="K75" s="378"/>
      <c r="L75" s="417">
        <v>87201</v>
      </c>
      <c r="M75" s="417">
        <v>60223</v>
      </c>
      <c r="N75" s="417">
        <v>26363</v>
      </c>
      <c r="O75" s="417">
        <v>0</v>
      </c>
      <c r="P75" s="417">
        <v>0</v>
      </c>
      <c r="Q75" s="378">
        <v>3.5619999999999998E-4</v>
      </c>
      <c r="R75" s="378"/>
      <c r="S75" s="417">
        <v>-178943</v>
      </c>
      <c r="T75" s="417">
        <v>-176873</v>
      </c>
      <c r="U75" s="417">
        <v>-185812</v>
      </c>
      <c r="V75" s="417">
        <v>-238823</v>
      </c>
      <c r="W75" s="417">
        <v>0</v>
      </c>
      <c r="X75" s="378">
        <v>3.5619999999999998E-4</v>
      </c>
      <c r="Z75" s="417">
        <v>142694</v>
      </c>
      <c r="AA75" s="417">
        <v>100251</v>
      </c>
      <c r="AB75" s="417">
        <v>100250</v>
      </c>
      <c r="AC75" s="417">
        <v>0</v>
      </c>
      <c r="AD75" s="417">
        <v>0</v>
      </c>
      <c r="AE75" s="378">
        <v>3.5619999999999998E-4</v>
      </c>
      <c r="AF75" s="378"/>
      <c r="AG75" s="417">
        <v>0</v>
      </c>
      <c r="AH75" s="417">
        <v>0</v>
      </c>
      <c r="AI75" s="417">
        <v>0</v>
      </c>
      <c r="AJ75" s="417">
        <v>0</v>
      </c>
      <c r="AK75" s="417">
        <v>0</v>
      </c>
      <c r="AL75" s="378">
        <v>3.5619999999999998E-4</v>
      </c>
      <c r="AM75" s="378"/>
      <c r="AN75" s="417">
        <v>-36717</v>
      </c>
      <c r="AO75" s="417">
        <v>-32667</v>
      </c>
      <c r="AP75" s="417">
        <v>-16818</v>
      </c>
      <c r="AQ75" s="417">
        <v>0</v>
      </c>
      <c r="AR75" s="417">
        <v>0</v>
      </c>
    </row>
    <row r="76" spans="1:44">
      <c r="A76" s="377">
        <v>90917</v>
      </c>
      <c r="B76" t="s">
        <v>790</v>
      </c>
      <c r="C76" s="378">
        <v>9.5000000000000005E-6</v>
      </c>
      <c r="D76" s="378"/>
      <c r="E76" s="417">
        <v>2064</v>
      </c>
      <c r="F76" s="417">
        <v>609</v>
      </c>
      <c r="G76" s="417">
        <v>-1219</v>
      </c>
      <c r="H76" s="417">
        <v>-6370</v>
      </c>
      <c r="I76" s="417">
        <v>0</v>
      </c>
      <c r="J76" s="378">
        <v>9.5000000000000005E-6</v>
      </c>
      <c r="K76" s="378"/>
      <c r="L76" s="417">
        <v>2326</v>
      </c>
      <c r="M76" s="417">
        <v>1606</v>
      </c>
      <c r="N76" s="417">
        <v>703</v>
      </c>
      <c r="O76" s="417">
        <v>0</v>
      </c>
      <c r="P76" s="417">
        <v>0</v>
      </c>
      <c r="Q76" s="378">
        <v>9.5000000000000005E-6</v>
      </c>
      <c r="R76" s="378"/>
      <c r="S76" s="417">
        <v>-4772</v>
      </c>
      <c r="T76" s="417">
        <v>-4717</v>
      </c>
      <c r="U76" s="417">
        <v>-4956</v>
      </c>
      <c r="V76" s="417">
        <v>-6370</v>
      </c>
      <c r="W76" s="417">
        <v>0</v>
      </c>
      <c r="X76" s="378">
        <v>9.5000000000000005E-6</v>
      </c>
      <c r="Z76" s="417">
        <v>3806</v>
      </c>
      <c r="AA76" s="417">
        <v>2674</v>
      </c>
      <c r="AB76" s="417">
        <v>2674</v>
      </c>
      <c r="AC76" s="417">
        <v>0</v>
      </c>
      <c r="AD76" s="417">
        <v>0</v>
      </c>
      <c r="AE76" s="378">
        <v>9.5000000000000005E-6</v>
      </c>
      <c r="AF76" s="378"/>
      <c r="AG76" s="417">
        <v>1567</v>
      </c>
      <c r="AH76" s="417">
        <v>1565</v>
      </c>
      <c r="AI76" s="417">
        <v>360</v>
      </c>
      <c r="AJ76" s="417">
        <v>0</v>
      </c>
      <c r="AK76" s="417">
        <v>0</v>
      </c>
      <c r="AL76" s="378">
        <v>9.5000000000000005E-6</v>
      </c>
      <c r="AM76" s="378"/>
      <c r="AN76" s="417">
        <v>-863</v>
      </c>
      <c r="AO76" s="417">
        <v>-519</v>
      </c>
      <c r="AP76" s="417">
        <v>0</v>
      </c>
      <c r="AQ76" s="417">
        <v>0</v>
      </c>
      <c r="AR76" s="417">
        <v>0</v>
      </c>
    </row>
    <row r="77" spans="1:44">
      <c r="A77" s="377">
        <v>90918</v>
      </c>
      <c r="B77" t="s">
        <v>791</v>
      </c>
      <c r="C77" s="378">
        <v>9.3999999999999998E-6</v>
      </c>
      <c r="D77" s="378"/>
      <c r="E77" s="417">
        <v>433</v>
      </c>
      <c r="F77" s="417">
        <v>-1137</v>
      </c>
      <c r="G77" s="417">
        <v>-1789</v>
      </c>
      <c r="H77" s="417">
        <v>-6302</v>
      </c>
      <c r="I77" s="417">
        <v>0</v>
      </c>
      <c r="J77" s="378">
        <v>9.3999999999999998E-6</v>
      </c>
      <c r="K77" s="378"/>
      <c r="L77" s="417">
        <v>2301</v>
      </c>
      <c r="M77" s="417">
        <v>1589</v>
      </c>
      <c r="N77" s="417">
        <v>696</v>
      </c>
      <c r="O77" s="417">
        <v>0</v>
      </c>
      <c r="P77" s="417">
        <v>0</v>
      </c>
      <c r="Q77" s="378">
        <v>9.3999999999999998E-6</v>
      </c>
      <c r="R77" s="378"/>
      <c r="S77" s="417">
        <v>-4722</v>
      </c>
      <c r="T77" s="417">
        <v>-4668</v>
      </c>
      <c r="U77" s="417">
        <v>-4904</v>
      </c>
      <c r="V77" s="417">
        <v>-6302</v>
      </c>
      <c r="W77" s="417">
        <v>0</v>
      </c>
      <c r="X77" s="378">
        <v>9.3999999999999998E-6</v>
      </c>
      <c r="Z77" s="417">
        <v>3766</v>
      </c>
      <c r="AA77" s="417">
        <v>2646</v>
      </c>
      <c r="AB77" s="417">
        <v>2646</v>
      </c>
      <c r="AC77" s="417">
        <v>0</v>
      </c>
      <c r="AD77" s="417">
        <v>0</v>
      </c>
      <c r="AE77" s="378">
        <v>9.3999999999999998E-6</v>
      </c>
      <c r="AF77" s="378"/>
      <c r="AG77" s="417">
        <v>0</v>
      </c>
      <c r="AH77" s="417">
        <v>0</v>
      </c>
      <c r="AI77" s="417">
        <v>0</v>
      </c>
      <c r="AJ77" s="417">
        <v>0</v>
      </c>
      <c r="AK77" s="417">
        <v>0</v>
      </c>
      <c r="AL77" s="378">
        <v>9.3999999999999998E-6</v>
      </c>
      <c r="AM77" s="378"/>
      <c r="AN77" s="417">
        <v>-912</v>
      </c>
      <c r="AO77" s="417">
        <v>-704</v>
      </c>
      <c r="AP77" s="417">
        <v>-227</v>
      </c>
      <c r="AQ77" s="417">
        <v>0</v>
      </c>
      <c r="AR77" s="417">
        <v>0</v>
      </c>
    </row>
    <row r="78" spans="1:44">
      <c r="A78" s="377">
        <v>90921</v>
      </c>
      <c r="B78" t="s">
        <v>792</v>
      </c>
      <c r="C78" s="378">
        <v>1.145E-4</v>
      </c>
      <c r="D78" s="378"/>
      <c r="E78" s="417">
        <v>20868</v>
      </c>
      <c r="F78" s="417">
        <v>-526</v>
      </c>
      <c r="G78" s="417">
        <v>-9906</v>
      </c>
      <c r="H78" s="417">
        <v>-76769</v>
      </c>
      <c r="I78" s="417">
        <v>0</v>
      </c>
      <c r="J78" s="378">
        <v>1.145E-4</v>
      </c>
      <c r="K78" s="378"/>
      <c r="L78" s="417">
        <v>28031</v>
      </c>
      <c r="M78" s="417">
        <v>19359</v>
      </c>
      <c r="N78" s="417">
        <v>8474</v>
      </c>
      <c r="O78" s="417">
        <v>0</v>
      </c>
      <c r="P78" s="417">
        <v>0</v>
      </c>
      <c r="Q78" s="378">
        <v>1.145E-4</v>
      </c>
      <c r="R78" s="378"/>
      <c r="S78" s="417">
        <v>-57521</v>
      </c>
      <c r="T78" s="417">
        <v>-56856</v>
      </c>
      <c r="U78" s="417">
        <v>-59729</v>
      </c>
      <c r="V78" s="417">
        <v>-76769</v>
      </c>
      <c r="W78" s="417">
        <v>0</v>
      </c>
      <c r="X78" s="378">
        <v>1.145E-4</v>
      </c>
      <c r="Z78" s="417">
        <v>45869</v>
      </c>
      <c r="AA78" s="417">
        <v>32225</v>
      </c>
      <c r="AB78" s="417">
        <v>32225</v>
      </c>
      <c r="AC78" s="417">
        <v>0</v>
      </c>
      <c r="AD78" s="417">
        <v>0</v>
      </c>
      <c r="AE78" s="378">
        <v>1.145E-4</v>
      </c>
      <c r="AF78" s="378"/>
      <c r="AG78" s="417">
        <v>9126</v>
      </c>
      <c r="AH78" s="417">
        <v>9126</v>
      </c>
      <c r="AI78" s="417">
        <v>9124</v>
      </c>
      <c r="AJ78" s="417">
        <v>0</v>
      </c>
      <c r="AK78" s="417">
        <v>0</v>
      </c>
      <c r="AL78" s="378">
        <v>1.145E-4</v>
      </c>
      <c r="AM78" s="378"/>
      <c r="AN78" s="417">
        <v>-4637</v>
      </c>
      <c r="AO78" s="417">
        <v>-4380</v>
      </c>
      <c r="AP78" s="417">
        <v>0</v>
      </c>
      <c r="AQ78" s="417">
        <v>0</v>
      </c>
      <c r="AR78" s="417">
        <v>0</v>
      </c>
    </row>
    <row r="79" spans="1:44">
      <c r="A79" s="377">
        <v>90931</v>
      </c>
      <c r="B79" t="s">
        <v>793</v>
      </c>
      <c r="C79" s="378">
        <v>3.2199999999999997E-5</v>
      </c>
      <c r="D79" s="378"/>
      <c r="E79" s="417">
        <v>804</v>
      </c>
      <c r="F79" s="417">
        <v>-4360</v>
      </c>
      <c r="G79" s="417">
        <v>-5265</v>
      </c>
      <c r="H79" s="417">
        <v>-21589</v>
      </c>
      <c r="I79" s="417">
        <v>0</v>
      </c>
      <c r="J79" s="378">
        <v>3.2199999999999997E-5</v>
      </c>
      <c r="K79" s="378"/>
      <c r="L79" s="417">
        <v>7883</v>
      </c>
      <c r="M79" s="417">
        <v>5444</v>
      </c>
      <c r="N79" s="417">
        <v>2383</v>
      </c>
      <c r="O79" s="417">
        <v>0</v>
      </c>
      <c r="P79" s="417">
        <v>0</v>
      </c>
      <c r="Q79" s="378">
        <v>3.2199999999999997E-5</v>
      </c>
      <c r="R79" s="378"/>
      <c r="S79" s="417">
        <v>-16176</v>
      </c>
      <c r="T79" s="417">
        <v>-15989</v>
      </c>
      <c r="U79" s="417">
        <v>-16797</v>
      </c>
      <c r="V79" s="417">
        <v>-21589</v>
      </c>
      <c r="W79" s="417">
        <v>0</v>
      </c>
      <c r="X79" s="378">
        <v>3.2199999999999997E-5</v>
      </c>
      <c r="Z79" s="417">
        <v>12899</v>
      </c>
      <c r="AA79" s="417">
        <v>9063</v>
      </c>
      <c r="AB79" s="417">
        <v>9062</v>
      </c>
      <c r="AC79" s="417">
        <v>0</v>
      </c>
      <c r="AD79" s="417">
        <v>0</v>
      </c>
      <c r="AE79" s="378">
        <v>3.2199999999999997E-5</v>
      </c>
      <c r="AF79" s="378"/>
      <c r="AG79" s="417">
        <v>86</v>
      </c>
      <c r="AH79" s="417">
        <v>86</v>
      </c>
      <c r="AI79" s="417">
        <v>87</v>
      </c>
      <c r="AJ79" s="417">
        <v>0</v>
      </c>
      <c r="AK79" s="417">
        <v>0</v>
      </c>
      <c r="AL79" s="378">
        <v>3.2199999999999997E-5</v>
      </c>
      <c r="AM79" s="378"/>
      <c r="AN79" s="417">
        <v>-3888</v>
      </c>
      <c r="AO79" s="417">
        <v>-2964</v>
      </c>
      <c r="AP79" s="417">
        <v>0</v>
      </c>
      <c r="AQ79" s="417">
        <v>0</v>
      </c>
      <c r="AR79" s="417">
        <v>0</v>
      </c>
    </row>
    <row r="80" spans="1:44">
      <c r="A80" s="377">
        <v>90941</v>
      </c>
      <c r="B80" t="s">
        <v>794</v>
      </c>
      <c r="C80" s="378">
        <v>7.3800000000000005E-5</v>
      </c>
      <c r="D80" s="378"/>
      <c r="E80" s="417">
        <v>9565</v>
      </c>
      <c r="F80" s="417">
        <v>-6266</v>
      </c>
      <c r="G80" s="417">
        <v>-9904</v>
      </c>
      <c r="H80" s="417">
        <v>-49481</v>
      </c>
      <c r="I80" s="417">
        <v>0</v>
      </c>
      <c r="J80" s="378">
        <v>7.3800000000000005E-5</v>
      </c>
      <c r="K80" s="378"/>
      <c r="L80" s="417">
        <v>18067</v>
      </c>
      <c r="M80" s="417">
        <v>12478</v>
      </c>
      <c r="N80" s="417">
        <v>5462</v>
      </c>
      <c r="O80" s="417">
        <v>0</v>
      </c>
      <c r="P80" s="417">
        <v>0</v>
      </c>
      <c r="Q80" s="378">
        <v>7.3800000000000005E-5</v>
      </c>
      <c r="R80" s="378"/>
      <c r="S80" s="417">
        <v>-37075</v>
      </c>
      <c r="T80" s="417">
        <v>-36646</v>
      </c>
      <c r="U80" s="417">
        <v>-38498</v>
      </c>
      <c r="V80" s="417">
        <v>-49481</v>
      </c>
      <c r="W80" s="417">
        <v>0</v>
      </c>
      <c r="X80" s="378">
        <v>7.3800000000000005E-5</v>
      </c>
      <c r="Z80" s="417">
        <v>29564</v>
      </c>
      <c r="AA80" s="417">
        <v>20771</v>
      </c>
      <c r="AB80" s="417">
        <v>20770</v>
      </c>
      <c r="AC80" s="417">
        <v>0</v>
      </c>
      <c r="AD80" s="417">
        <v>0</v>
      </c>
      <c r="AE80" s="378">
        <v>7.3800000000000005E-5</v>
      </c>
      <c r="AF80" s="378"/>
      <c r="AG80" s="417">
        <v>4242</v>
      </c>
      <c r="AH80" s="417">
        <v>2364</v>
      </c>
      <c r="AI80" s="417">
        <v>2362</v>
      </c>
      <c r="AJ80" s="417">
        <v>0</v>
      </c>
      <c r="AK80" s="417">
        <v>0</v>
      </c>
      <c r="AL80" s="378">
        <v>7.3800000000000005E-5</v>
      </c>
      <c r="AM80" s="378"/>
      <c r="AN80" s="417">
        <v>-5233</v>
      </c>
      <c r="AO80" s="417">
        <v>-5233</v>
      </c>
      <c r="AP80" s="417">
        <v>0</v>
      </c>
      <c r="AQ80" s="417">
        <v>0</v>
      </c>
      <c r="AR80" s="417">
        <v>0</v>
      </c>
    </row>
    <row r="81" spans="1:44">
      <c r="A81" s="377">
        <v>91001</v>
      </c>
      <c r="B81" t="s">
        <v>795</v>
      </c>
      <c r="C81" s="378">
        <v>7.1763E-3</v>
      </c>
      <c r="D81" s="378"/>
      <c r="E81" s="417">
        <v>881845</v>
      </c>
      <c r="F81" s="417">
        <v>-437539</v>
      </c>
      <c r="G81" s="417">
        <v>-1260201</v>
      </c>
      <c r="H81" s="417">
        <v>-4811523</v>
      </c>
      <c r="I81" s="417">
        <v>0</v>
      </c>
      <c r="J81" s="378">
        <v>7.1763E-3</v>
      </c>
      <c r="K81" s="378"/>
      <c r="L81" s="417">
        <v>1756816</v>
      </c>
      <c r="M81" s="417">
        <v>1213311</v>
      </c>
      <c r="N81" s="417">
        <v>531132</v>
      </c>
      <c r="O81" s="417">
        <v>0</v>
      </c>
      <c r="P81" s="417">
        <v>0</v>
      </c>
      <c r="Q81" s="378">
        <v>7.1763E-3</v>
      </c>
      <c r="R81" s="378"/>
      <c r="S81" s="417">
        <v>-3605143</v>
      </c>
      <c r="T81" s="417">
        <v>-3563428</v>
      </c>
      <c r="U81" s="417">
        <v>-3743524</v>
      </c>
      <c r="V81" s="417">
        <v>-4811523</v>
      </c>
      <c r="W81" s="417">
        <v>0</v>
      </c>
      <c r="X81" s="378">
        <v>7.1763E-3</v>
      </c>
      <c r="Z81" s="417">
        <v>2874840</v>
      </c>
      <c r="AA81" s="417">
        <v>2019734</v>
      </c>
      <c r="AB81" s="417">
        <v>2019719</v>
      </c>
      <c r="AC81" s="417">
        <v>0</v>
      </c>
      <c r="AD81" s="417">
        <v>0</v>
      </c>
      <c r="AE81" s="378">
        <v>7.1763E-3</v>
      </c>
      <c r="AF81" s="378"/>
      <c r="AG81" s="417">
        <v>87212</v>
      </c>
      <c r="AH81" s="417">
        <v>87213</v>
      </c>
      <c r="AI81" s="417">
        <v>0</v>
      </c>
      <c r="AJ81" s="417">
        <v>0</v>
      </c>
      <c r="AK81" s="417">
        <v>0</v>
      </c>
      <c r="AL81" s="378">
        <v>7.1763E-3</v>
      </c>
      <c r="AM81" s="378"/>
      <c r="AN81" s="417">
        <v>-231880</v>
      </c>
      <c r="AO81" s="417">
        <v>-194369</v>
      </c>
      <c r="AP81" s="417">
        <v>-67528</v>
      </c>
      <c r="AQ81" s="417">
        <v>0</v>
      </c>
      <c r="AR81" s="417">
        <v>0</v>
      </c>
    </row>
    <row r="82" spans="1:44">
      <c r="A82" s="377">
        <v>91002</v>
      </c>
      <c r="B82" t="s">
        <v>796</v>
      </c>
      <c r="C82" s="378">
        <v>1.2972000000000001E-3</v>
      </c>
      <c r="D82" s="378"/>
      <c r="E82" s="417">
        <v>221693</v>
      </c>
      <c r="F82" s="417">
        <v>-58286</v>
      </c>
      <c r="G82" s="417">
        <v>-181592</v>
      </c>
      <c r="H82" s="417">
        <v>-869739</v>
      </c>
      <c r="I82" s="417">
        <v>0</v>
      </c>
      <c r="J82" s="378">
        <v>1.2972000000000001E-3</v>
      </c>
      <c r="K82" s="378"/>
      <c r="L82" s="417">
        <v>317565</v>
      </c>
      <c r="M82" s="417">
        <v>219320</v>
      </c>
      <c r="N82" s="417">
        <v>96008</v>
      </c>
      <c r="O82" s="417">
        <v>0</v>
      </c>
      <c r="P82" s="417">
        <v>0</v>
      </c>
      <c r="Q82" s="378">
        <v>1.2972000000000001E-3</v>
      </c>
      <c r="R82" s="378"/>
      <c r="S82" s="417">
        <v>-651672</v>
      </c>
      <c r="T82" s="417">
        <v>-644131</v>
      </c>
      <c r="U82" s="417">
        <v>-676686</v>
      </c>
      <c r="V82" s="417">
        <v>-869739</v>
      </c>
      <c r="W82" s="417">
        <v>0</v>
      </c>
      <c r="X82" s="378">
        <v>1.2972000000000001E-3</v>
      </c>
      <c r="Z82" s="417">
        <v>519661</v>
      </c>
      <c r="AA82" s="417">
        <v>365090</v>
      </c>
      <c r="AB82" s="417">
        <v>365088</v>
      </c>
      <c r="AC82" s="417">
        <v>0</v>
      </c>
      <c r="AD82" s="417">
        <v>0</v>
      </c>
      <c r="AE82" s="378">
        <v>1.2972000000000001E-3</v>
      </c>
      <c r="AF82" s="378"/>
      <c r="AG82" s="417">
        <v>114538</v>
      </c>
      <c r="AH82" s="417">
        <v>79834</v>
      </c>
      <c r="AI82" s="417">
        <v>33998</v>
      </c>
      <c r="AJ82" s="417">
        <v>0</v>
      </c>
      <c r="AK82" s="417">
        <v>0</v>
      </c>
      <c r="AL82" s="378">
        <v>1.2972000000000001E-3</v>
      </c>
      <c r="AM82" s="378"/>
      <c r="AN82" s="417">
        <v>-78399</v>
      </c>
      <c r="AO82" s="417">
        <v>-78399</v>
      </c>
      <c r="AP82" s="417">
        <v>0</v>
      </c>
      <c r="AQ82" s="417">
        <v>0</v>
      </c>
      <c r="AR82" s="417">
        <v>0</v>
      </c>
    </row>
    <row r="83" spans="1:44">
      <c r="A83" s="377">
        <v>91003</v>
      </c>
      <c r="B83" t="s">
        <v>797</v>
      </c>
      <c r="C83" s="378">
        <v>6.0979999999999997E-4</v>
      </c>
      <c r="D83" s="378"/>
      <c r="E83" s="417">
        <v>105221</v>
      </c>
      <c r="F83" s="417">
        <v>-5150</v>
      </c>
      <c r="G83" s="417">
        <v>-83087</v>
      </c>
      <c r="H83" s="417">
        <v>-408855</v>
      </c>
      <c r="I83" s="417">
        <v>0</v>
      </c>
      <c r="J83" s="378">
        <v>6.0979999999999997E-4</v>
      </c>
      <c r="K83" s="378"/>
      <c r="L83" s="417">
        <v>149284</v>
      </c>
      <c r="M83" s="417">
        <v>103100</v>
      </c>
      <c r="N83" s="417">
        <v>45133</v>
      </c>
      <c r="O83" s="417">
        <v>0</v>
      </c>
      <c r="P83" s="417">
        <v>0</v>
      </c>
      <c r="Q83" s="378">
        <v>6.0979999999999997E-4</v>
      </c>
      <c r="R83" s="378"/>
      <c r="S83" s="417">
        <v>-306344</v>
      </c>
      <c r="T83" s="417">
        <v>-302799</v>
      </c>
      <c r="U83" s="417">
        <v>-318103</v>
      </c>
      <c r="V83" s="417">
        <v>-408855</v>
      </c>
      <c r="W83" s="417">
        <v>0</v>
      </c>
      <c r="X83" s="378">
        <v>6.0979999999999997E-4</v>
      </c>
      <c r="Z83" s="417">
        <v>244287</v>
      </c>
      <c r="AA83" s="417">
        <v>171625</v>
      </c>
      <c r="AB83" s="417">
        <v>171624</v>
      </c>
      <c r="AC83" s="417">
        <v>0</v>
      </c>
      <c r="AD83" s="417">
        <v>0</v>
      </c>
      <c r="AE83" s="378">
        <v>6.0979999999999997E-4</v>
      </c>
      <c r="AF83" s="378"/>
      <c r="AG83" s="417">
        <v>30495</v>
      </c>
      <c r="AH83" s="417">
        <v>30497</v>
      </c>
      <c r="AI83" s="417">
        <v>18259</v>
      </c>
      <c r="AJ83" s="417">
        <v>0</v>
      </c>
      <c r="AK83" s="417">
        <v>0</v>
      </c>
      <c r="AL83" s="378">
        <v>6.0979999999999997E-4</v>
      </c>
      <c r="AM83" s="378"/>
      <c r="AN83" s="417">
        <v>-12501</v>
      </c>
      <c r="AO83" s="417">
        <v>-7573</v>
      </c>
      <c r="AP83" s="417">
        <v>0</v>
      </c>
      <c r="AQ83" s="417">
        <v>0</v>
      </c>
      <c r="AR83" s="417">
        <v>0</v>
      </c>
    </row>
    <row r="84" spans="1:44">
      <c r="A84" s="377">
        <v>91004</v>
      </c>
      <c r="B84" t="s">
        <v>798</v>
      </c>
      <c r="C84" s="378">
        <v>4.2299999999999998E-5</v>
      </c>
      <c r="D84" s="378"/>
      <c r="E84" s="417">
        <v>10196</v>
      </c>
      <c r="F84" s="417">
        <v>374</v>
      </c>
      <c r="G84" s="417">
        <v>-4642</v>
      </c>
      <c r="H84" s="417">
        <v>-28361</v>
      </c>
      <c r="I84" s="417">
        <v>0</v>
      </c>
      <c r="J84" s="378">
        <v>4.2299999999999998E-5</v>
      </c>
      <c r="K84" s="378"/>
      <c r="L84" s="417">
        <v>10355</v>
      </c>
      <c r="M84" s="417">
        <v>7152</v>
      </c>
      <c r="N84" s="417">
        <v>3131</v>
      </c>
      <c r="O84" s="417">
        <v>0</v>
      </c>
      <c r="P84" s="417">
        <v>0</v>
      </c>
      <c r="Q84" s="378">
        <v>4.2299999999999998E-5</v>
      </c>
      <c r="R84" s="378"/>
      <c r="S84" s="417">
        <v>-21250</v>
      </c>
      <c r="T84" s="417">
        <v>-21004</v>
      </c>
      <c r="U84" s="417">
        <v>-22066</v>
      </c>
      <c r="V84" s="417">
        <v>-28361</v>
      </c>
      <c r="W84" s="417">
        <v>0</v>
      </c>
      <c r="X84" s="378">
        <v>4.2299999999999998E-5</v>
      </c>
      <c r="Z84" s="417">
        <v>16945</v>
      </c>
      <c r="AA84" s="417">
        <v>11905</v>
      </c>
      <c r="AB84" s="417">
        <v>11905</v>
      </c>
      <c r="AC84" s="417">
        <v>0</v>
      </c>
      <c r="AD84" s="417">
        <v>0</v>
      </c>
      <c r="AE84" s="378">
        <v>4.2299999999999998E-5</v>
      </c>
      <c r="AF84" s="378"/>
      <c r="AG84" s="417">
        <v>4988</v>
      </c>
      <c r="AH84" s="417">
        <v>3163</v>
      </c>
      <c r="AI84" s="417">
        <v>2388</v>
      </c>
      <c r="AJ84" s="417">
        <v>0</v>
      </c>
      <c r="AK84" s="417">
        <v>0</v>
      </c>
      <c r="AL84" s="378">
        <v>4.2299999999999998E-5</v>
      </c>
      <c r="AM84" s="378"/>
      <c r="AN84" s="417">
        <v>-842</v>
      </c>
      <c r="AO84" s="417">
        <v>-842</v>
      </c>
      <c r="AP84" s="417">
        <v>0</v>
      </c>
      <c r="AQ84" s="417">
        <v>0</v>
      </c>
      <c r="AR84" s="417">
        <v>0</v>
      </c>
    </row>
    <row r="85" spans="1:44">
      <c r="A85" s="377">
        <v>91006</v>
      </c>
      <c r="B85" t="s">
        <v>799</v>
      </c>
      <c r="C85" s="378">
        <v>1.0070999999999999E-3</v>
      </c>
      <c r="D85" s="378"/>
      <c r="E85" s="417">
        <v>93251</v>
      </c>
      <c r="F85" s="417">
        <v>-93745</v>
      </c>
      <c r="G85" s="417">
        <v>-184479</v>
      </c>
      <c r="H85" s="417">
        <v>-675234</v>
      </c>
      <c r="I85" s="417">
        <v>0</v>
      </c>
      <c r="J85" s="378">
        <v>1.0070999999999999E-3</v>
      </c>
      <c r="K85" s="378"/>
      <c r="L85" s="417">
        <v>246546</v>
      </c>
      <c r="M85" s="417">
        <v>170272</v>
      </c>
      <c r="N85" s="417">
        <v>74537</v>
      </c>
      <c r="O85" s="417">
        <v>0</v>
      </c>
      <c r="P85" s="417">
        <v>0</v>
      </c>
      <c r="Q85" s="378">
        <v>1.0070999999999999E-3</v>
      </c>
      <c r="R85" s="378"/>
      <c r="S85" s="417">
        <v>-505935</v>
      </c>
      <c r="T85" s="417">
        <v>-500081</v>
      </c>
      <c r="U85" s="417">
        <v>-525355</v>
      </c>
      <c r="V85" s="417">
        <v>-675234</v>
      </c>
      <c r="W85" s="417">
        <v>0</v>
      </c>
      <c r="X85" s="378">
        <v>1.0070999999999999E-3</v>
      </c>
      <c r="Z85" s="417">
        <v>403446</v>
      </c>
      <c r="AA85" s="417">
        <v>283443</v>
      </c>
      <c r="AB85" s="417">
        <v>283441</v>
      </c>
      <c r="AC85" s="417">
        <v>0</v>
      </c>
      <c r="AD85" s="417">
        <v>0</v>
      </c>
      <c r="AE85" s="378">
        <v>1.0070999999999999E-3</v>
      </c>
      <c r="AF85" s="378"/>
      <c r="AG85" s="417">
        <v>0</v>
      </c>
      <c r="AH85" s="417">
        <v>0</v>
      </c>
      <c r="AI85" s="417">
        <v>0</v>
      </c>
      <c r="AJ85" s="417">
        <v>0</v>
      </c>
      <c r="AK85" s="417">
        <v>0</v>
      </c>
      <c r="AL85" s="378">
        <v>1.0070999999999999E-3</v>
      </c>
      <c r="AM85" s="378"/>
      <c r="AN85" s="417">
        <v>-50806</v>
      </c>
      <c r="AO85" s="417">
        <v>-47379</v>
      </c>
      <c r="AP85" s="417">
        <v>-17102</v>
      </c>
      <c r="AQ85" s="417">
        <v>0</v>
      </c>
      <c r="AR85" s="417">
        <v>0</v>
      </c>
    </row>
    <row r="86" spans="1:44">
      <c r="A86" s="377">
        <v>91007</v>
      </c>
      <c r="B86" t="s">
        <v>800</v>
      </c>
      <c r="C86" s="378">
        <v>1.06E-5</v>
      </c>
      <c r="D86" s="378"/>
      <c r="E86" s="417">
        <v>2252</v>
      </c>
      <c r="F86" s="417">
        <v>230</v>
      </c>
      <c r="G86" s="417">
        <v>-1224</v>
      </c>
      <c r="H86" s="417">
        <v>-7107</v>
      </c>
      <c r="I86" s="417">
        <v>0</v>
      </c>
      <c r="J86" s="378">
        <v>1.06E-5</v>
      </c>
      <c r="K86" s="378"/>
      <c r="L86" s="417">
        <v>2595</v>
      </c>
      <c r="M86" s="417">
        <v>1792</v>
      </c>
      <c r="N86" s="417">
        <v>785</v>
      </c>
      <c r="O86" s="417">
        <v>0</v>
      </c>
      <c r="P86" s="417">
        <v>0</v>
      </c>
      <c r="Q86" s="378">
        <v>1.06E-5</v>
      </c>
      <c r="R86" s="378"/>
      <c r="S86" s="417">
        <v>-5325</v>
      </c>
      <c r="T86" s="417">
        <v>-5263</v>
      </c>
      <c r="U86" s="417">
        <v>-5530</v>
      </c>
      <c r="V86" s="417">
        <v>-7107</v>
      </c>
      <c r="W86" s="417">
        <v>0</v>
      </c>
      <c r="X86" s="378">
        <v>1.06E-5</v>
      </c>
      <c r="Z86" s="417">
        <v>4246</v>
      </c>
      <c r="AA86" s="417">
        <v>2983</v>
      </c>
      <c r="AB86" s="417">
        <v>2983</v>
      </c>
      <c r="AC86" s="417">
        <v>0</v>
      </c>
      <c r="AD86" s="417">
        <v>0</v>
      </c>
      <c r="AE86" s="378">
        <v>1.06E-5</v>
      </c>
      <c r="AF86" s="378"/>
      <c r="AG86" s="417">
        <v>1103</v>
      </c>
      <c r="AH86" s="417">
        <v>1084</v>
      </c>
      <c r="AI86" s="417">
        <v>538</v>
      </c>
      <c r="AJ86" s="417">
        <v>0</v>
      </c>
      <c r="AK86" s="417">
        <v>0</v>
      </c>
      <c r="AL86" s="378">
        <v>1.06E-5</v>
      </c>
      <c r="AM86" s="378"/>
      <c r="AN86" s="417">
        <v>-367</v>
      </c>
      <c r="AO86" s="417">
        <v>-366</v>
      </c>
      <c r="AP86" s="417">
        <v>0</v>
      </c>
      <c r="AQ86" s="417">
        <v>0</v>
      </c>
      <c r="AR86" s="417">
        <v>0</v>
      </c>
    </row>
    <row r="87" spans="1:44">
      <c r="A87" s="377">
        <v>91008</v>
      </c>
      <c r="B87" t="s">
        <v>801</v>
      </c>
      <c r="C87" s="378">
        <v>1.5679999999999999E-4</v>
      </c>
      <c r="D87" s="378"/>
      <c r="E87" s="417">
        <v>33916</v>
      </c>
      <c r="F87" s="417">
        <v>92</v>
      </c>
      <c r="G87" s="417">
        <v>-23779</v>
      </c>
      <c r="H87" s="417">
        <v>-105130</v>
      </c>
      <c r="I87" s="417">
        <v>0</v>
      </c>
      <c r="J87" s="378">
        <v>1.5679999999999999E-4</v>
      </c>
      <c r="K87" s="378"/>
      <c r="L87" s="417">
        <v>38386</v>
      </c>
      <c r="M87" s="417">
        <v>26510</v>
      </c>
      <c r="N87" s="417">
        <v>11605</v>
      </c>
      <c r="O87" s="417">
        <v>0</v>
      </c>
      <c r="P87" s="417">
        <v>0</v>
      </c>
      <c r="Q87" s="378">
        <v>1.5679999999999999E-4</v>
      </c>
      <c r="R87" s="378"/>
      <c r="S87" s="417">
        <v>-78771</v>
      </c>
      <c r="T87" s="417">
        <v>-77860</v>
      </c>
      <c r="U87" s="417">
        <v>-81795</v>
      </c>
      <c r="V87" s="417">
        <v>-105130</v>
      </c>
      <c r="W87" s="417">
        <v>0</v>
      </c>
      <c r="X87" s="378">
        <v>1.5679999999999999E-4</v>
      </c>
      <c r="Z87" s="417">
        <v>62814</v>
      </c>
      <c r="AA87" s="417">
        <v>44131</v>
      </c>
      <c r="AB87" s="417">
        <v>44130</v>
      </c>
      <c r="AC87" s="417">
        <v>0</v>
      </c>
      <c r="AD87" s="417">
        <v>0</v>
      </c>
      <c r="AE87" s="378">
        <v>1.5679999999999999E-4</v>
      </c>
      <c r="AF87" s="378"/>
      <c r="AG87" s="417">
        <v>11487</v>
      </c>
      <c r="AH87" s="417">
        <v>7311</v>
      </c>
      <c r="AI87" s="417">
        <v>2281</v>
      </c>
      <c r="AJ87" s="417">
        <v>0</v>
      </c>
      <c r="AK87" s="417">
        <v>0</v>
      </c>
      <c r="AL87" s="378">
        <v>1.5679999999999999E-4</v>
      </c>
      <c r="AM87" s="378"/>
      <c r="AN87" s="417">
        <v>0</v>
      </c>
      <c r="AO87" s="417">
        <v>0</v>
      </c>
      <c r="AP87" s="417">
        <v>0</v>
      </c>
      <c r="AQ87" s="417">
        <v>0</v>
      </c>
      <c r="AR87" s="417">
        <v>0</v>
      </c>
    </row>
    <row r="88" spans="1:44">
      <c r="A88" s="377">
        <v>91009</v>
      </c>
      <c r="B88" t="s">
        <v>802</v>
      </c>
      <c r="C88" s="378">
        <v>1.1199999999999999E-5</v>
      </c>
      <c r="D88" s="378"/>
      <c r="E88" s="417">
        <v>6057</v>
      </c>
      <c r="F88" s="417">
        <v>3462</v>
      </c>
      <c r="G88" s="417">
        <v>-807</v>
      </c>
      <c r="H88" s="417">
        <v>-7509</v>
      </c>
      <c r="I88" s="417">
        <v>0</v>
      </c>
      <c r="J88" s="378">
        <v>1.1199999999999999E-5</v>
      </c>
      <c r="K88" s="378"/>
      <c r="L88" s="417">
        <v>2742</v>
      </c>
      <c r="M88" s="417">
        <v>1894</v>
      </c>
      <c r="N88" s="417">
        <v>829</v>
      </c>
      <c r="O88" s="417">
        <v>0</v>
      </c>
      <c r="P88" s="417">
        <v>0</v>
      </c>
      <c r="Q88" s="378">
        <v>1.1199999999999999E-5</v>
      </c>
      <c r="R88" s="378"/>
      <c r="S88" s="417">
        <v>-5627</v>
      </c>
      <c r="T88" s="417">
        <v>-5561</v>
      </c>
      <c r="U88" s="417">
        <v>-5842</v>
      </c>
      <c r="V88" s="417">
        <v>-7509</v>
      </c>
      <c r="W88" s="417">
        <v>0</v>
      </c>
      <c r="X88" s="378">
        <v>1.1199999999999999E-5</v>
      </c>
      <c r="Z88" s="417">
        <v>4487</v>
      </c>
      <c r="AA88" s="417">
        <v>3152</v>
      </c>
      <c r="AB88" s="417">
        <v>3152</v>
      </c>
      <c r="AC88" s="417">
        <v>0</v>
      </c>
      <c r="AD88" s="417">
        <v>0</v>
      </c>
      <c r="AE88" s="378">
        <v>1.1199999999999999E-5</v>
      </c>
      <c r="AF88" s="378"/>
      <c r="AG88" s="417">
        <v>4615</v>
      </c>
      <c r="AH88" s="417">
        <v>4139</v>
      </c>
      <c r="AI88" s="417">
        <v>1054</v>
      </c>
      <c r="AJ88" s="417">
        <v>0</v>
      </c>
      <c r="AK88" s="417">
        <v>0</v>
      </c>
      <c r="AL88" s="378">
        <v>1.1199999999999999E-5</v>
      </c>
      <c r="AM88" s="378"/>
      <c r="AN88" s="417">
        <v>-160</v>
      </c>
      <c r="AO88" s="417">
        <v>-162</v>
      </c>
      <c r="AP88" s="417">
        <v>0</v>
      </c>
      <c r="AQ88" s="417">
        <v>0</v>
      </c>
      <c r="AR88" s="417">
        <v>0</v>
      </c>
    </row>
    <row r="89" spans="1:44">
      <c r="A89" s="377">
        <v>91010</v>
      </c>
      <c r="B89" t="s">
        <v>803</v>
      </c>
      <c r="C89" s="378">
        <v>4.8999999999999998E-5</v>
      </c>
      <c r="D89" s="378"/>
      <c r="E89" s="417">
        <v>8123</v>
      </c>
      <c r="F89" s="417">
        <v>538</v>
      </c>
      <c r="G89" s="417">
        <v>-5778</v>
      </c>
      <c r="H89" s="417">
        <v>-32853</v>
      </c>
      <c r="I89" s="417">
        <v>0</v>
      </c>
      <c r="J89" s="378">
        <v>4.8999999999999998E-5</v>
      </c>
      <c r="K89" s="378"/>
      <c r="L89" s="417">
        <v>11996</v>
      </c>
      <c r="M89" s="417">
        <v>8285</v>
      </c>
      <c r="N89" s="417">
        <v>3627</v>
      </c>
      <c r="O89" s="417">
        <v>0</v>
      </c>
      <c r="P89" s="417">
        <v>0</v>
      </c>
      <c r="Q89" s="378">
        <v>4.8999999999999998E-5</v>
      </c>
      <c r="R89" s="378"/>
      <c r="S89" s="417">
        <v>-24616</v>
      </c>
      <c r="T89" s="417">
        <v>-24331</v>
      </c>
      <c r="U89" s="417">
        <v>-25561</v>
      </c>
      <c r="V89" s="417">
        <v>-32853</v>
      </c>
      <c r="W89" s="417">
        <v>0</v>
      </c>
      <c r="X89" s="378">
        <v>4.8999999999999998E-5</v>
      </c>
      <c r="Z89" s="417">
        <v>19629</v>
      </c>
      <c r="AA89" s="417">
        <v>13791</v>
      </c>
      <c r="AB89" s="417">
        <v>13791</v>
      </c>
      <c r="AC89" s="417">
        <v>0</v>
      </c>
      <c r="AD89" s="417">
        <v>0</v>
      </c>
      <c r="AE89" s="378">
        <v>4.8999999999999998E-5</v>
      </c>
      <c r="AF89" s="378"/>
      <c r="AG89" s="417">
        <v>3432</v>
      </c>
      <c r="AH89" s="417">
        <v>3432</v>
      </c>
      <c r="AI89" s="417">
        <v>2365</v>
      </c>
      <c r="AJ89" s="417">
        <v>0</v>
      </c>
      <c r="AK89" s="417">
        <v>0</v>
      </c>
      <c r="AL89" s="378">
        <v>4.8999999999999998E-5</v>
      </c>
      <c r="AM89" s="378"/>
      <c r="AN89" s="417">
        <v>-2318</v>
      </c>
      <c r="AO89" s="417">
        <v>-639</v>
      </c>
      <c r="AP89" s="417">
        <v>0</v>
      </c>
      <c r="AQ89" s="417">
        <v>0</v>
      </c>
      <c r="AR89" s="417">
        <v>0</v>
      </c>
    </row>
    <row r="90" spans="1:44">
      <c r="A90" s="377">
        <v>91011</v>
      </c>
      <c r="B90" t="s">
        <v>804</v>
      </c>
      <c r="C90" s="378">
        <v>4.0470000000000002E-4</v>
      </c>
      <c r="D90" s="378"/>
      <c r="E90" s="417">
        <v>103693</v>
      </c>
      <c r="F90" s="417">
        <v>27548</v>
      </c>
      <c r="G90" s="417">
        <v>-42395</v>
      </c>
      <c r="H90" s="417">
        <v>-271341</v>
      </c>
      <c r="I90" s="417">
        <v>0</v>
      </c>
      <c r="J90" s="378">
        <v>4.0470000000000002E-4</v>
      </c>
      <c r="K90" s="378"/>
      <c r="L90" s="417">
        <v>99074</v>
      </c>
      <c r="M90" s="417">
        <v>68423</v>
      </c>
      <c r="N90" s="417">
        <v>29953</v>
      </c>
      <c r="O90" s="417">
        <v>0</v>
      </c>
      <c r="P90" s="417">
        <v>0</v>
      </c>
      <c r="Q90" s="378">
        <v>4.0470000000000002E-4</v>
      </c>
      <c r="R90" s="378"/>
      <c r="S90" s="417">
        <v>-203308</v>
      </c>
      <c r="T90" s="417">
        <v>-200956</v>
      </c>
      <c r="U90" s="417">
        <v>-211112</v>
      </c>
      <c r="V90" s="417">
        <v>-271341</v>
      </c>
      <c r="W90" s="417">
        <v>0</v>
      </c>
      <c r="X90" s="378">
        <v>4.0470000000000002E-4</v>
      </c>
      <c r="Z90" s="417">
        <v>162124</v>
      </c>
      <c r="AA90" s="417">
        <v>113901</v>
      </c>
      <c r="AB90" s="417">
        <v>113900</v>
      </c>
      <c r="AC90" s="417">
        <v>0</v>
      </c>
      <c r="AD90" s="417">
        <v>0</v>
      </c>
      <c r="AE90" s="378">
        <v>4.0470000000000002E-4</v>
      </c>
      <c r="AF90" s="378"/>
      <c r="AG90" s="417">
        <v>52503</v>
      </c>
      <c r="AH90" s="417">
        <v>52504</v>
      </c>
      <c r="AI90" s="417">
        <v>24864</v>
      </c>
      <c r="AJ90" s="417">
        <v>0</v>
      </c>
      <c r="AK90" s="417">
        <v>0</v>
      </c>
      <c r="AL90" s="378">
        <v>4.0470000000000002E-4</v>
      </c>
      <c r="AM90" s="378"/>
      <c r="AN90" s="417">
        <v>-6700</v>
      </c>
      <c r="AO90" s="417">
        <v>-6324</v>
      </c>
      <c r="AP90" s="417">
        <v>0</v>
      </c>
      <c r="AQ90" s="417">
        <v>0</v>
      </c>
      <c r="AR90" s="417">
        <v>0</v>
      </c>
    </row>
    <row r="91" spans="1:44">
      <c r="A91" s="377">
        <v>91012</v>
      </c>
      <c r="B91" t="s">
        <v>805</v>
      </c>
      <c r="C91" s="378">
        <v>1.3900000000000001E-5</v>
      </c>
      <c r="D91" s="378"/>
      <c r="E91" s="417">
        <v>2636</v>
      </c>
      <c r="F91" s="417">
        <v>781</v>
      </c>
      <c r="G91" s="417">
        <v>-352</v>
      </c>
      <c r="H91" s="417">
        <v>-9320</v>
      </c>
      <c r="I91" s="417">
        <v>0</v>
      </c>
      <c r="J91" s="378">
        <v>1.3900000000000001E-5</v>
      </c>
      <c r="K91" s="378"/>
      <c r="L91" s="417">
        <v>3403</v>
      </c>
      <c r="M91" s="417">
        <v>2350</v>
      </c>
      <c r="N91" s="417">
        <v>1029</v>
      </c>
      <c r="O91" s="417">
        <v>0</v>
      </c>
      <c r="P91" s="417">
        <v>0</v>
      </c>
      <c r="Q91" s="378">
        <v>1.3900000000000001E-5</v>
      </c>
      <c r="R91" s="378"/>
      <c r="S91" s="417">
        <v>-6983</v>
      </c>
      <c r="T91" s="417">
        <v>-6902</v>
      </c>
      <c r="U91" s="417">
        <v>-7251</v>
      </c>
      <c r="V91" s="417">
        <v>-9320</v>
      </c>
      <c r="W91" s="417">
        <v>0</v>
      </c>
      <c r="X91" s="378">
        <v>1.3900000000000001E-5</v>
      </c>
      <c r="Z91" s="417">
        <v>5568</v>
      </c>
      <c r="AA91" s="417">
        <v>3912</v>
      </c>
      <c r="AB91" s="417">
        <v>3912</v>
      </c>
      <c r="AC91" s="417">
        <v>0</v>
      </c>
      <c r="AD91" s="417">
        <v>0</v>
      </c>
      <c r="AE91" s="378">
        <v>1.3900000000000001E-5</v>
      </c>
      <c r="AF91" s="378"/>
      <c r="AG91" s="417">
        <v>2462</v>
      </c>
      <c r="AH91" s="417">
        <v>2460</v>
      </c>
      <c r="AI91" s="417">
        <v>1958</v>
      </c>
      <c r="AJ91" s="417">
        <v>0</v>
      </c>
      <c r="AK91" s="417">
        <v>0</v>
      </c>
      <c r="AL91" s="378">
        <v>1.3900000000000001E-5</v>
      </c>
      <c r="AM91" s="378"/>
      <c r="AN91" s="417">
        <v>-1814</v>
      </c>
      <c r="AO91" s="417">
        <v>-1039</v>
      </c>
      <c r="AP91" s="417">
        <v>0</v>
      </c>
      <c r="AQ91" s="417">
        <v>0</v>
      </c>
      <c r="AR91" s="417">
        <v>0</v>
      </c>
    </row>
    <row r="92" spans="1:44">
      <c r="A92" s="377">
        <v>91013</v>
      </c>
      <c r="B92" t="s">
        <v>806</v>
      </c>
      <c r="C92" s="378">
        <v>3.6000000000000001E-5</v>
      </c>
      <c r="D92" s="378"/>
      <c r="E92" s="417">
        <v>20373</v>
      </c>
      <c r="F92" s="417">
        <v>9342</v>
      </c>
      <c r="G92" s="417">
        <v>-2043</v>
      </c>
      <c r="H92" s="417">
        <v>-24137</v>
      </c>
      <c r="I92" s="417">
        <v>0</v>
      </c>
      <c r="J92" s="378">
        <v>3.6000000000000001E-5</v>
      </c>
      <c r="K92" s="378"/>
      <c r="L92" s="417">
        <v>8813</v>
      </c>
      <c r="M92" s="417">
        <v>6087</v>
      </c>
      <c r="N92" s="417">
        <v>2664</v>
      </c>
      <c r="O92" s="417">
        <v>0</v>
      </c>
      <c r="P92" s="417">
        <v>0</v>
      </c>
      <c r="Q92" s="378">
        <v>3.6000000000000001E-5</v>
      </c>
      <c r="R92" s="378"/>
      <c r="S92" s="417">
        <v>-18085</v>
      </c>
      <c r="T92" s="417">
        <v>-17876</v>
      </c>
      <c r="U92" s="417">
        <v>-18779</v>
      </c>
      <c r="V92" s="417">
        <v>-24137</v>
      </c>
      <c r="W92" s="417">
        <v>0</v>
      </c>
      <c r="X92" s="378">
        <v>3.6000000000000001E-5</v>
      </c>
      <c r="Z92" s="417">
        <v>14422</v>
      </c>
      <c r="AA92" s="417">
        <v>10132</v>
      </c>
      <c r="AB92" s="417">
        <v>10132</v>
      </c>
      <c r="AC92" s="417">
        <v>0</v>
      </c>
      <c r="AD92" s="417">
        <v>0</v>
      </c>
      <c r="AE92" s="378">
        <v>3.6000000000000001E-5</v>
      </c>
      <c r="AF92" s="378"/>
      <c r="AG92" s="417">
        <v>15223</v>
      </c>
      <c r="AH92" s="417">
        <v>10999</v>
      </c>
      <c r="AI92" s="417">
        <v>3940</v>
      </c>
      <c r="AJ92" s="417">
        <v>0</v>
      </c>
      <c r="AK92" s="417">
        <v>0</v>
      </c>
      <c r="AL92" s="378">
        <v>3.6000000000000001E-5</v>
      </c>
      <c r="AM92" s="378"/>
      <c r="AN92" s="417">
        <v>0</v>
      </c>
      <c r="AO92" s="417">
        <v>0</v>
      </c>
      <c r="AP92" s="417">
        <v>0</v>
      </c>
      <c r="AQ92" s="417">
        <v>0</v>
      </c>
      <c r="AR92" s="417">
        <v>0</v>
      </c>
    </row>
    <row r="93" spans="1:44">
      <c r="A93" s="377">
        <v>91014</v>
      </c>
      <c r="B93" t="s">
        <v>807</v>
      </c>
      <c r="C93" s="378">
        <v>1.8029999999999999E-4</v>
      </c>
      <c r="D93" s="378"/>
      <c r="E93" s="417">
        <v>25853</v>
      </c>
      <c r="F93" s="417">
        <v>-4598</v>
      </c>
      <c r="G93" s="417">
        <v>-24239</v>
      </c>
      <c r="H93" s="417">
        <v>-120886</v>
      </c>
      <c r="I93" s="417">
        <v>0</v>
      </c>
      <c r="J93" s="378">
        <v>1.8029999999999999E-4</v>
      </c>
      <c r="K93" s="378"/>
      <c r="L93" s="417">
        <v>44139</v>
      </c>
      <c r="M93" s="417">
        <v>30484</v>
      </c>
      <c r="N93" s="417">
        <v>13344</v>
      </c>
      <c r="O93" s="417">
        <v>0</v>
      </c>
      <c r="P93" s="417">
        <v>0</v>
      </c>
      <c r="Q93" s="378">
        <v>1.8029999999999999E-4</v>
      </c>
      <c r="R93" s="378"/>
      <c r="S93" s="417">
        <v>-90577</v>
      </c>
      <c r="T93" s="417">
        <v>-89529</v>
      </c>
      <c r="U93" s="417">
        <v>-94054</v>
      </c>
      <c r="V93" s="417">
        <v>-120886</v>
      </c>
      <c r="W93" s="417">
        <v>0</v>
      </c>
      <c r="X93" s="378">
        <v>1.8029999999999999E-4</v>
      </c>
      <c r="Z93" s="417">
        <v>72229</v>
      </c>
      <c r="AA93" s="417">
        <v>50745</v>
      </c>
      <c r="AB93" s="417">
        <v>50744</v>
      </c>
      <c r="AC93" s="417">
        <v>0</v>
      </c>
      <c r="AD93" s="417">
        <v>0</v>
      </c>
      <c r="AE93" s="378">
        <v>1.8029999999999999E-4</v>
      </c>
      <c r="AF93" s="378"/>
      <c r="AG93" s="417">
        <v>7163</v>
      </c>
      <c r="AH93" s="417">
        <v>7162</v>
      </c>
      <c r="AI93" s="417">
        <v>5727</v>
      </c>
      <c r="AJ93" s="417">
        <v>0</v>
      </c>
      <c r="AK93" s="417">
        <v>0</v>
      </c>
      <c r="AL93" s="378">
        <v>1.8029999999999999E-4</v>
      </c>
      <c r="AM93" s="378"/>
      <c r="AN93" s="417">
        <v>-7101</v>
      </c>
      <c r="AO93" s="417">
        <v>-3460</v>
      </c>
      <c r="AP93" s="417">
        <v>0</v>
      </c>
      <c r="AQ93" s="417">
        <v>0</v>
      </c>
      <c r="AR93" s="417">
        <v>0</v>
      </c>
    </row>
    <row r="94" spans="1:44">
      <c r="A94" s="377">
        <v>91015</v>
      </c>
      <c r="B94" t="s">
        <v>1636</v>
      </c>
      <c r="C94" s="378">
        <v>2.1699999999999999E-5</v>
      </c>
      <c r="D94" s="378"/>
      <c r="E94" s="417">
        <v>18363</v>
      </c>
      <c r="F94" s="417">
        <v>9190</v>
      </c>
      <c r="G94" s="417">
        <v>2323</v>
      </c>
      <c r="H94" s="417">
        <v>-14549</v>
      </c>
      <c r="I94" s="417">
        <v>0</v>
      </c>
      <c r="J94" s="378">
        <v>2.1699999999999999E-5</v>
      </c>
      <c r="K94" s="378"/>
      <c r="L94" s="417">
        <v>5312</v>
      </c>
      <c r="M94" s="417">
        <v>3669</v>
      </c>
      <c r="N94" s="417">
        <v>1606</v>
      </c>
      <c r="O94" s="417">
        <v>0</v>
      </c>
      <c r="P94" s="417">
        <v>0</v>
      </c>
      <c r="Q94" s="378">
        <v>2.1699999999999999E-5</v>
      </c>
      <c r="R94" s="378"/>
      <c r="S94" s="417">
        <v>-10901</v>
      </c>
      <c r="T94" s="417">
        <v>-10775</v>
      </c>
      <c r="U94" s="417">
        <v>-11320</v>
      </c>
      <c r="V94" s="417">
        <v>-14549</v>
      </c>
      <c r="W94" s="417">
        <v>0</v>
      </c>
      <c r="X94" s="378">
        <v>2.1699999999999999E-5</v>
      </c>
      <c r="Z94" s="417">
        <v>8693</v>
      </c>
      <c r="AA94" s="417">
        <v>6107</v>
      </c>
      <c r="AB94" s="417">
        <v>6107</v>
      </c>
      <c r="AC94" s="417">
        <v>0</v>
      </c>
      <c r="AD94" s="417">
        <v>0</v>
      </c>
      <c r="AE94" s="378">
        <v>2.1699999999999999E-5</v>
      </c>
      <c r="AF94" s="378"/>
      <c r="AG94" s="417">
        <v>15259</v>
      </c>
      <c r="AH94" s="417">
        <v>10189</v>
      </c>
      <c r="AI94" s="417">
        <v>5930</v>
      </c>
      <c r="AJ94" s="417">
        <v>0</v>
      </c>
      <c r="AK94" s="417">
        <v>0</v>
      </c>
      <c r="AL94" s="378">
        <v>2.1699999999999999E-5</v>
      </c>
      <c r="AM94" s="378"/>
      <c r="AN94" s="417">
        <v>0</v>
      </c>
      <c r="AO94" s="417">
        <v>0</v>
      </c>
      <c r="AP94" s="417">
        <v>0</v>
      </c>
      <c r="AQ94" s="417">
        <v>0</v>
      </c>
      <c r="AR94" s="417">
        <v>0</v>
      </c>
    </row>
    <row r="95" spans="1:44">
      <c r="A95" s="377">
        <v>91017</v>
      </c>
      <c r="B95" t="s">
        <v>808</v>
      </c>
      <c r="C95" s="378">
        <v>2.7500000000000001E-5</v>
      </c>
      <c r="D95" s="378"/>
      <c r="E95" s="417">
        <v>6119</v>
      </c>
      <c r="F95" s="417">
        <v>739</v>
      </c>
      <c r="G95" s="417">
        <v>-4799</v>
      </c>
      <c r="H95" s="417">
        <v>-18438</v>
      </c>
      <c r="I95" s="417">
        <v>0</v>
      </c>
      <c r="J95" s="378">
        <v>2.7500000000000001E-5</v>
      </c>
      <c r="K95" s="378"/>
      <c r="L95" s="417">
        <v>6732</v>
      </c>
      <c r="M95" s="417">
        <v>4649</v>
      </c>
      <c r="N95" s="417">
        <v>2035</v>
      </c>
      <c r="O95" s="417">
        <v>0</v>
      </c>
      <c r="P95" s="417">
        <v>0</v>
      </c>
      <c r="Q95" s="378">
        <v>2.7500000000000001E-5</v>
      </c>
      <c r="R95" s="378"/>
      <c r="S95" s="417">
        <v>-13815</v>
      </c>
      <c r="T95" s="417">
        <v>-13655</v>
      </c>
      <c r="U95" s="417">
        <v>-14345</v>
      </c>
      <c r="V95" s="417">
        <v>-18438</v>
      </c>
      <c r="W95" s="417">
        <v>0</v>
      </c>
      <c r="X95" s="378">
        <v>2.7500000000000001E-5</v>
      </c>
      <c r="Z95" s="417">
        <v>11017</v>
      </c>
      <c r="AA95" s="417">
        <v>7740</v>
      </c>
      <c r="AB95" s="417">
        <v>7740</v>
      </c>
      <c r="AC95" s="417">
        <v>0</v>
      </c>
      <c r="AD95" s="417">
        <v>0</v>
      </c>
      <c r="AE95" s="378">
        <v>2.7500000000000001E-5</v>
      </c>
      <c r="AF95" s="378"/>
      <c r="AG95" s="417">
        <v>2416</v>
      </c>
      <c r="AH95" s="417">
        <v>2236</v>
      </c>
      <c r="AI95" s="417">
        <v>0</v>
      </c>
      <c r="AJ95" s="417">
        <v>0</v>
      </c>
      <c r="AK95" s="417">
        <v>0</v>
      </c>
      <c r="AL95" s="378">
        <v>2.7500000000000001E-5</v>
      </c>
      <c r="AM95" s="378"/>
      <c r="AN95" s="417">
        <v>-231</v>
      </c>
      <c r="AO95" s="417">
        <v>-231</v>
      </c>
      <c r="AP95" s="417">
        <v>-229</v>
      </c>
      <c r="AQ95" s="417">
        <v>0</v>
      </c>
      <c r="AR95" s="417">
        <v>0</v>
      </c>
    </row>
    <row r="96" spans="1:44">
      <c r="A96" s="377">
        <v>91020</v>
      </c>
      <c r="B96" t="s">
        <v>809</v>
      </c>
      <c r="C96" s="378">
        <v>2.5400000000000001E-5</v>
      </c>
      <c r="D96" s="378"/>
      <c r="E96" s="417">
        <v>5255</v>
      </c>
      <c r="F96" s="417">
        <v>-594</v>
      </c>
      <c r="G96" s="417">
        <v>-1600</v>
      </c>
      <c r="H96" s="417">
        <v>-17030</v>
      </c>
      <c r="I96" s="417">
        <v>0</v>
      </c>
      <c r="J96" s="378">
        <v>2.5400000000000001E-5</v>
      </c>
      <c r="K96" s="378"/>
      <c r="L96" s="417">
        <v>6218</v>
      </c>
      <c r="M96" s="417">
        <v>4294</v>
      </c>
      <c r="N96" s="417">
        <v>1880</v>
      </c>
      <c r="O96" s="417">
        <v>0</v>
      </c>
      <c r="P96" s="417">
        <v>0</v>
      </c>
      <c r="Q96" s="378">
        <v>2.5400000000000001E-5</v>
      </c>
      <c r="R96" s="378"/>
      <c r="S96" s="417">
        <v>-12760</v>
      </c>
      <c r="T96" s="417">
        <v>-12612</v>
      </c>
      <c r="U96" s="417">
        <v>-13250</v>
      </c>
      <c r="V96" s="417">
        <v>-17030</v>
      </c>
      <c r="W96" s="417">
        <v>0</v>
      </c>
      <c r="X96" s="378">
        <v>2.5400000000000001E-5</v>
      </c>
      <c r="Z96" s="417">
        <v>10175</v>
      </c>
      <c r="AA96" s="417">
        <v>7149</v>
      </c>
      <c r="AB96" s="417">
        <v>7149</v>
      </c>
      <c r="AC96" s="417">
        <v>0</v>
      </c>
      <c r="AD96" s="417">
        <v>0</v>
      </c>
      <c r="AE96" s="378">
        <v>2.5400000000000001E-5</v>
      </c>
      <c r="AF96" s="378"/>
      <c r="AG96" s="417">
        <v>3667</v>
      </c>
      <c r="AH96" s="417">
        <v>2620</v>
      </c>
      <c r="AI96" s="417">
        <v>2621</v>
      </c>
      <c r="AJ96" s="417">
        <v>0</v>
      </c>
      <c r="AK96" s="417">
        <v>0</v>
      </c>
      <c r="AL96" s="378">
        <v>2.5400000000000001E-5</v>
      </c>
      <c r="AM96" s="378"/>
      <c r="AN96" s="417">
        <v>-2045</v>
      </c>
      <c r="AO96" s="417">
        <v>-2045</v>
      </c>
      <c r="AP96" s="417">
        <v>0</v>
      </c>
      <c r="AQ96" s="417">
        <v>0</v>
      </c>
      <c r="AR96" s="417">
        <v>0</v>
      </c>
    </row>
    <row r="97" spans="1:44">
      <c r="A97" s="377">
        <v>91021</v>
      </c>
      <c r="B97" t="s">
        <v>810</v>
      </c>
      <c r="C97" s="378">
        <v>9.3899999999999995E-4</v>
      </c>
      <c r="D97" s="378"/>
      <c r="E97" s="417">
        <v>158410</v>
      </c>
      <c r="F97" s="417">
        <v>-23242</v>
      </c>
      <c r="G97" s="417">
        <v>-163859</v>
      </c>
      <c r="H97" s="417">
        <v>-629575</v>
      </c>
      <c r="I97" s="417">
        <v>0</v>
      </c>
      <c r="J97" s="378">
        <v>9.3899999999999995E-4</v>
      </c>
      <c r="K97" s="378"/>
      <c r="L97" s="417">
        <v>229875</v>
      </c>
      <c r="M97" s="417">
        <v>158759</v>
      </c>
      <c r="N97" s="417">
        <v>69497</v>
      </c>
      <c r="O97" s="417">
        <v>0</v>
      </c>
      <c r="P97" s="417">
        <v>0</v>
      </c>
      <c r="Q97" s="378">
        <v>9.3899999999999995E-4</v>
      </c>
      <c r="R97" s="378"/>
      <c r="S97" s="417">
        <v>-471724</v>
      </c>
      <c r="T97" s="417">
        <v>-466265</v>
      </c>
      <c r="U97" s="417">
        <v>-489830</v>
      </c>
      <c r="V97" s="417">
        <v>-629575</v>
      </c>
      <c r="W97" s="417">
        <v>0</v>
      </c>
      <c r="X97" s="378">
        <v>9.3899999999999995E-4</v>
      </c>
      <c r="Z97" s="417">
        <v>376165</v>
      </c>
      <c r="AA97" s="417">
        <v>264277</v>
      </c>
      <c r="AB97" s="417">
        <v>264275</v>
      </c>
      <c r="AC97" s="417">
        <v>0</v>
      </c>
      <c r="AD97" s="417">
        <v>0</v>
      </c>
      <c r="AE97" s="378">
        <v>9.3899999999999995E-4</v>
      </c>
      <c r="AF97" s="378"/>
      <c r="AG97" s="417">
        <v>31895</v>
      </c>
      <c r="AH97" s="417">
        <v>27788</v>
      </c>
      <c r="AI97" s="417">
        <v>0</v>
      </c>
      <c r="AJ97" s="417">
        <v>0</v>
      </c>
      <c r="AK97" s="417">
        <v>0</v>
      </c>
      <c r="AL97" s="378">
        <v>9.3899999999999995E-4</v>
      </c>
      <c r="AM97" s="378"/>
      <c r="AN97" s="417">
        <v>-7801</v>
      </c>
      <c r="AO97" s="417">
        <v>-7801</v>
      </c>
      <c r="AP97" s="417">
        <v>-7801</v>
      </c>
      <c r="AQ97" s="417">
        <v>0</v>
      </c>
      <c r="AR97" s="417">
        <v>0</v>
      </c>
    </row>
    <row r="98" spans="1:44">
      <c r="A98" s="377">
        <v>91024</v>
      </c>
      <c r="B98" t="s">
        <v>811</v>
      </c>
      <c r="C98" s="378">
        <v>8.0000000000000007E-5</v>
      </c>
      <c r="D98" s="378"/>
      <c r="E98" s="417">
        <v>11580</v>
      </c>
      <c r="F98" s="417">
        <v>-7523</v>
      </c>
      <c r="G98" s="417">
        <v>-22617</v>
      </c>
      <c r="H98" s="417">
        <v>-53638</v>
      </c>
      <c r="I98" s="417">
        <v>0</v>
      </c>
      <c r="J98" s="378">
        <v>8.0000000000000007E-5</v>
      </c>
      <c r="K98" s="378"/>
      <c r="L98" s="417">
        <v>19585</v>
      </c>
      <c r="M98" s="417">
        <v>13526</v>
      </c>
      <c r="N98" s="417">
        <v>5921</v>
      </c>
      <c r="O98" s="417">
        <v>0</v>
      </c>
      <c r="P98" s="417">
        <v>0</v>
      </c>
      <c r="Q98" s="378">
        <v>8.0000000000000007E-5</v>
      </c>
      <c r="R98" s="378"/>
      <c r="S98" s="417">
        <v>-40189</v>
      </c>
      <c r="T98" s="417">
        <v>-39724</v>
      </c>
      <c r="U98" s="417">
        <v>-41732</v>
      </c>
      <c r="V98" s="417">
        <v>-53638</v>
      </c>
      <c r="W98" s="417">
        <v>0</v>
      </c>
      <c r="X98" s="378">
        <v>8.0000000000000007E-5</v>
      </c>
      <c r="Z98" s="417">
        <v>32048</v>
      </c>
      <c r="AA98" s="417">
        <v>22516</v>
      </c>
      <c r="AB98" s="417">
        <v>22515</v>
      </c>
      <c r="AC98" s="417">
        <v>0</v>
      </c>
      <c r="AD98" s="417">
        <v>0</v>
      </c>
      <c r="AE98" s="378">
        <v>8.0000000000000007E-5</v>
      </c>
      <c r="AF98" s="378"/>
      <c r="AG98" s="417">
        <v>9456</v>
      </c>
      <c r="AH98" s="417">
        <v>5479</v>
      </c>
      <c r="AI98" s="417">
        <v>0</v>
      </c>
      <c r="AJ98" s="417">
        <v>0</v>
      </c>
      <c r="AK98" s="417">
        <v>0</v>
      </c>
      <c r="AL98" s="378">
        <v>8.0000000000000007E-5</v>
      </c>
      <c r="AM98" s="378"/>
      <c r="AN98" s="417">
        <v>-9320</v>
      </c>
      <c r="AO98" s="417">
        <v>-9320</v>
      </c>
      <c r="AP98" s="417">
        <v>-9321</v>
      </c>
      <c r="AQ98" s="417">
        <v>0</v>
      </c>
      <c r="AR98" s="417">
        <v>0</v>
      </c>
    </row>
    <row r="99" spans="1:44">
      <c r="A99" s="377">
        <v>91026</v>
      </c>
      <c r="B99" t="s">
        <v>43</v>
      </c>
      <c r="C99" s="378">
        <v>3.1300000000000002E-5</v>
      </c>
      <c r="D99" s="378"/>
      <c r="E99" s="417">
        <v>20167</v>
      </c>
      <c r="F99" s="417">
        <v>8587</v>
      </c>
      <c r="G99" s="417">
        <v>-408</v>
      </c>
      <c r="H99" s="417">
        <v>-20986</v>
      </c>
      <c r="I99" s="417">
        <v>0</v>
      </c>
      <c r="J99" s="378">
        <v>3.1300000000000002E-5</v>
      </c>
      <c r="K99" s="378"/>
      <c r="L99" s="417">
        <v>7662</v>
      </c>
      <c r="M99" s="417">
        <v>5292</v>
      </c>
      <c r="N99" s="417">
        <v>2317</v>
      </c>
      <c r="O99" s="417">
        <v>0</v>
      </c>
      <c r="P99" s="417">
        <v>0</v>
      </c>
      <c r="Q99" s="378">
        <v>3.1300000000000002E-5</v>
      </c>
      <c r="R99" s="378"/>
      <c r="S99" s="417">
        <v>-15724</v>
      </c>
      <c r="T99" s="417">
        <v>-15542</v>
      </c>
      <c r="U99" s="417">
        <v>-16328</v>
      </c>
      <c r="V99" s="417">
        <v>-20986</v>
      </c>
      <c r="W99" s="417">
        <v>0</v>
      </c>
      <c r="X99" s="378">
        <v>3.1300000000000002E-5</v>
      </c>
      <c r="Z99" s="417">
        <v>12539</v>
      </c>
      <c r="AA99" s="417">
        <v>8809</v>
      </c>
      <c r="AB99" s="417">
        <v>8809</v>
      </c>
      <c r="AC99" s="417">
        <v>0</v>
      </c>
      <c r="AD99" s="417">
        <v>0</v>
      </c>
      <c r="AE99" s="378">
        <v>3.1300000000000002E-5</v>
      </c>
      <c r="AF99" s="378"/>
      <c r="AG99" s="417">
        <v>15690</v>
      </c>
      <c r="AH99" s="417">
        <v>10028</v>
      </c>
      <c r="AI99" s="417">
        <v>4794</v>
      </c>
      <c r="AJ99" s="417">
        <v>0</v>
      </c>
      <c r="AK99" s="417">
        <v>0</v>
      </c>
      <c r="AL99" s="378">
        <v>3.1300000000000002E-5</v>
      </c>
      <c r="AM99" s="378"/>
      <c r="AN99" s="417">
        <v>0</v>
      </c>
      <c r="AO99" s="417">
        <v>0</v>
      </c>
      <c r="AP99" s="417">
        <v>0</v>
      </c>
      <c r="AQ99" s="417">
        <v>0</v>
      </c>
      <c r="AR99" s="417">
        <v>0</v>
      </c>
    </row>
    <row r="100" spans="1:44">
      <c r="A100" s="377">
        <v>91027</v>
      </c>
      <c r="B100" t="s">
        <v>812</v>
      </c>
      <c r="C100" s="378">
        <v>1.9599999999999999E-5</v>
      </c>
      <c r="D100" s="378"/>
      <c r="E100" s="417">
        <v>11494</v>
      </c>
      <c r="F100" s="417">
        <v>6039</v>
      </c>
      <c r="G100" s="417">
        <v>53</v>
      </c>
      <c r="H100" s="417">
        <v>-13141</v>
      </c>
      <c r="I100" s="417">
        <v>0</v>
      </c>
      <c r="J100" s="378">
        <v>1.9599999999999999E-5</v>
      </c>
      <c r="K100" s="378"/>
      <c r="L100" s="417">
        <v>4798</v>
      </c>
      <c r="M100" s="417">
        <v>3314</v>
      </c>
      <c r="N100" s="417">
        <v>1451</v>
      </c>
      <c r="O100" s="417">
        <v>0</v>
      </c>
      <c r="P100" s="417">
        <v>0</v>
      </c>
      <c r="Q100" s="378">
        <v>1.9599999999999999E-5</v>
      </c>
      <c r="R100" s="378"/>
      <c r="S100" s="417">
        <v>-9846</v>
      </c>
      <c r="T100" s="417">
        <v>-9732</v>
      </c>
      <c r="U100" s="417">
        <v>-10224</v>
      </c>
      <c r="V100" s="417">
        <v>-13141</v>
      </c>
      <c r="W100" s="417">
        <v>0</v>
      </c>
      <c r="X100" s="378">
        <v>1.9599999999999999E-5</v>
      </c>
      <c r="Z100" s="417">
        <v>7852</v>
      </c>
      <c r="AA100" s="417">
        <v>5516</v>
      </c>
      <c r="AB100" s="417">
        <v>5516</v>
      </c>
      <c r="AC100" s="417">
        <v>0</v>
      </c>
      <c r="AD100" s="417">
        <v>0</v>
      </c>
      <c r="AE100" s="378">
        <v>1.9599999999999999E-5</v>
      </c>
      <c r="AF100" s="378"/>
      <c r="AG100" s="417">
        <v>8690</v>
      </c>
      <c r="AH100" s="417">
        <v>6941</v>
      </c>
      <c r="AI100" s="417">
        <v>3310</v>
      </c>
      <c r="AJ100" s="417">
        <v>0</v>
      </c>
      <c r="AK100" s="417">
        <v>0</v>
      </c>
      <c r="AL100" s="378">
        <v>1.9599999999999999E-5</v>
      </c>
      <c r="AM100" s="378"/>
      <c r="AN100" s="417">
        <v>0</v>
      </c>
      <c r="AO100" s="417">
        <v>0</v>
      </c>
      <c r="AP100" s="417">
        <v>0</v>
      </c>
      <c r="AQ100" s="417">
        <v>0</v>
      </c>
      <c r="AR100" s="417">
        <v>0</v>
      </c>
    </row>
    <row r="101" spans="1:44">
      <c r="A101" s="377">
        <v>91032</v>
      </c>
      <c r="B101" t="s">
        <v>813</v>
      </c>
      <c r="C101" s="378">
        <v>3.3699999999999999E-5</v>
      </c>
      <c r="D101" s="378"/>
      <c r="E101" s="417">
        <v>24191</v>
      </c>
      <c r="F101" s="417">
        <v>15837</v>
      </c>
      <c r="G101" s="417">
        <v>3668</v>
      </c>
      <c r="H101" s="417">
        <v>-22595</v>
      </c>
      <c r="I101" s="417">
        <v>0</v>
      </c>
      <c r="J101" s="378">
        <v>3.3699999999999999E-5</v>
      </c>
      <c r="K101" s="378"/>
      <c r="L101" s="417">
        <v>8250</v>
      </c>
      <c r="M101" s="417">
        <v>5698</v>
      </c>
      <c r="N101" s="417">
        <v>2494</v>
      </c>
      <c r="O101" s="417">
        <v>0</v>
      </c>
      <c r="P101" s="417">
        <v>0</v>
      </c>
      <c r="Q101" s="378">
        <v>3.3699999999999999E-5</v>
      </c>
      <c r="R101" s="378"/>
      <c r="S101" s="417">
        <v>-16930</v>
      </c>
      <c r="T101" s="417">
        <v>-16734</v>
      </c>
      <c r="U101" s="417">
        <v>-17580</v>
      </c>
      <c r="V101" s="417">
        <v>-22595</v>
      </c>
      <c r="W101" s="417">
        <v>0</v>
      </c>
      <c r="X101" s="378">
        <v>3.3699999999999999E-5</v>
      </c>
      <c r="Z101" s="417">
        <v>13500</v>
      </c>
      <c r="AA101" s="417">
        <v>9485</v>
      </c>
      <c r="AB101" s="417">
        <v>9485</v>
      </c>
      <c r="AC101" s="417">
        <v>0</v>
      </c>
      <c r="AD101" s="417">
        <v>0</v>
      </c>
      <c r="AE101" s="378">
        <v>3.3699999999999999E-5</v>
      </c>
      <c r="AF101" s="378"/>
      <c r="AG101" s="417">
        <v>19371</v>
      </c>
      <c r="AH101" s="417">
        <v>17388</v>
      </c>
      <c r="AI101" s="417">
        <v>9269</v>
      </c>
      <c r="AJ101" s="417">
        <v>0</v>
      </c>
      <c r="AK101" s="417">
        <v>0</v>
      </c>
      <c r="AL101" s="378">
        <v>3.3699999999999999E-5</v>
      </c>
      <c r="AM101" s="378"/>
      <c r="AN101" s="417">
        <v>0</v>
      </c>
      <c r="AO101" s="417">
        <v>0</v>
      </c>
      <c r="AP101" s="417">
        <v>0</v>
      </c>
      <c r="AQ101" s="417">
        <v>0</v>
      </c>
      <c r="AR101" s="417">
        <v>0</v>
      </c>
    </row>
    <row r="102" spans="1:44">
      <c r="A102" s="377">
        <v>91041</v>
      </c>
      <c r="B102" t="s">
        <v>814</v>
      </c>
      <c r="C102" s="378">
        <v>4.1340000000000002E-4</v>
      </c>
      <c r="D102" s="378"/>
      <c r="E102" s="417">
        <v>16101</v>
      </c>
      <c r="F102" s="417">
        <v>-60945</v>
      </c>
      <c r="G102" s="417">
        <v>-111953</v>
      </c>
      <c r="H102" s="417">
        <v>-277174</v>
      </c>
      <c r="I102" s="417">
        <v>0</v>
      </c>
      <c r="J102" s="378">
        <v>4.1340000000000002E-4</v>
      </c>
      <c r="K102" s="378"/>
      <c r="L102" s="417">
        <v>101204</v>
      </c>
      <c r="M102" s="417">
        <v>69894</v>
      </c>
      <c r="N102" s="417">
        <v>30597</v>
      </c>
      <c r="O102" s="417">
        <v>0</v>
      </c>
      <c r="P102" s="417">
        <v>0</v>
      </c>
      <c r="Q102" s="378">
        <v>4.1340000000000002E-4</v>
      </c>
      <c r="R102" s="378"/>
      <c r="S102" s="417">
        <v>-207679</v>
      </c>
      <c r="T102" s="417">
        <v>-205276</v>
      </c>
      <c r="U102" s="417">
        <v>-215651</v>
      </c>
      <c r="V102" s="417">
        <v>-277174</v>
      </c>
      <c r="W102" s="417">
        <v>0</v>
      </c>
      <c r="X102" s="378">
        <v>4.1340000000000002E-4</v>
      </c>
      <c r="Z102" s="417">
        <v>165609</v>
      </c>
      <c r="AA102" s="417">
        <v>116349</v>
      </c>
      <c r="AB102" s="417">
        <v>116349</v>
      </c>
      <c r="AC102" s="417">
        <v>0</v>
      </c>
      <c r="AD102" s="417">
        <v>0</v>
      </c>
      <c r="AE102" s="378">
        <v>4.1340000000000002E-4</v>
      </c>
      <c r="AF102" s="378"/>
      <c r="AG102" s="417">
        <v>7394</v>
      </c>
      <c r="AH102" s="417">
        <v>7393</v>
      </c>
      <c r="AI102" s="417">
        <v>0</v>
      </c>
      <c r="AJ102" s="417">
        <v>0</v>
      </c>
      <c r="AK102" s="417">
        <v>0</v>
      </c>
      <c r="AL102" s="378">
        <v>4.1340000000000002E-4</v>
      </c>
      <c r="AM102" s="378"/>
      <c r="AN102" s="417">
        <v>-50427</v>
      </c>
      <c r="AO102" s="417">
        <v>-49305</v>
      </c>
      <c r="AP102" s="417">
        <v>-43248</v>
      </c>
      <c r="AQ102" s="417">
        <v>0</v>
      </c>
      <c r="AR102" s="417">
        <v>0</v>
      </c>
    </row>
    <row r="103" spans="1:44">
      <c r="A103" s="377">
        <v>91042</v>
      </c>
      <c r="B103" t="s">
        <v>815</v>
      </c>
      <c r="C103" s="378">
        <v>2.9639999999999999E-4</v>
      </c>
      <c r="D103" s="378"/>
      <c r="E103" s="417">
        <v>55440</v>
      </c>
      <c r="F103" s="417">
        <v>-3455</v>
      </c>
      <c r="G103" s="417">
        <v>-38443</v>
      </c>
      <c r="H103" s="417">
        <v>-198728</v>
      </c>
      <c r="I103" s="417">
        <v>0</v>
      </c>
      <c r="J103" s="378">
        <v>2.9639999999999999E-4</v>
      </c>
      <c r="K103" s="378"/>
      <c r="L103" s="417">
        <v>72561</v>
      </c>
      <c r="M103" s="417">
        <v>50113</v>
      </c>
      <c r="N103" s="417">
        <v>21937</v>
      </c>
      <c r="O103" s="417">
        <v>0</v>
      </c>
      <c r="P103" s="417">
        <v>0</v>
      </c>
      <c r="Q103" s="378">
        <v>2.9639999999999999E-4</v>
      </c>
      <c r="R103" s="378"/>
      <c r="S103" s="417">
        <v>-148902</v>
      </c>
      <c r="T103" s="417">
        <v>-147179</v>
      </c>
      <c r="U103" s="417">
        <v>-154617</v>
      </c>
      <c r="V103" s="417">
        <v>-198728</v>
      </c>
      <c r="W103" s="417">
        <v>0</v>
      </c>
      <c r="X103" s="378">
        <v>2.9639999999999999E-4</v>
      </c>
      <c r="Z103" s="417">
        <v>118738</v>
      </c>
      <c r="AA103" s="417">
        <v>83420</v>
      </c>
      <c r="AB103" s="417">
        <v>83420</v>
      </c>
      <c r="AC103" s="417">
        <v>0</v>
      </c>
      <c r="AD103" s="417">
        <v>0</v>
      </c>
      <c r="AE103" s="378">
        <v>2.9639999999999999E-4</v>
      </c>
      <c r="AF103" s="378"/>
      <c r="AG103" s="417">
        <v>16264</v>
      </c>
      <c r="AH103" s="417">
        <v>13412</v>
      </c>
      <c r="AI103" s="417">
        <v>10817</v>
      </c>
      <c r="AJ103" s="417">
        <v>0</v>
      </c>
      <c r="AK103" s="417">
        <v>0</v>
      </c>
      <c r="AL103" s="378">
        <v>2.9639999999999999E-4</v>
      </c>
      <c r="AM103" s="378"/>
      <c r="AN103" s="417">
        <v>-3221</v>
      </c>
      <c r="AO103" s="417">
        <v>-3221</v>
      </c>
      <c r="AP103" s="417">
        <v>0</v>
      </c>
      <c r="AQ103" s="417">
        <v>0</v>
      </c>
      <c r="AR103" s="417">
        <v>0</v>
      </c>
    </row>
    <row r="104" spans="1:44">
      <c r="A104" s="377">
        <v>91047</v>
      </c>
      <c r="B104" t="s">
        <v>816</v>
      </c>
      <c r="C104" s="378">
        <v>1.24E-5</v>
      </c>
      <c r="D104" s="378"/>
      <c r="E104" s="417">
        <v>8394</v>
      </c>
      <c r="F104" s="417">
        <v>3781</v>
      </c>
      <c r="G104" s="417">
        <v>-79</v>
      </c>
      <c r="H104" s="417">
        <v>-8314</v>
      </c>
      <c r="I104" s="417">
        <v>0</v>
      </c>
      <c r="J104" s="378">
        <v>1.24E-5</v>
      </c>
      <c r="K104" s="378"/>
      <c r="L104" s="417">
        <v>3036</v>
      </c>
      <c r="M104" s="417">
        <v>2096</v>
      </c>
      <c r="N104" s="417">
        <v>918</v>
      </c>
      <c r="O104" s="417">
        <v>0</v>
      </c>
      <c r="P104" s="417">
        <v>0</v>
      </c>
      <c r="Q104" s="378">
        <v>1.24E-5</v>
      </c>
      <c r="R104" s="378"/>
      <c r="S104" s="417">
        <v>-6229</v>
      </c>
      <c r="T104" s="417">
        <v>-6157</v>
      </c>
      <c r="U104" s="417">
        <v>-6468</v>
      </c>
      <c r="V104" s="417">
        <v>-8314</v>
      </c>
      <c r="W104" s="417">
        <v>0</v>
      </c>
      <c r="X104" s="378">
        <v>1.24E-5</v>
      </c>
      <c r="Z104" s="417">
        <v>4967</v>
      </c>
      <c r="AA104" s="417">
        <v>3490</v>
      </c>
      <c r="AB104" s="417">
        <v>3490</v>
      </c>
      <c r="AC104" s="417">
        <v>0</v>
      </c>
      <c r="AD104" s="417">
        <v>0</v>
      </c>
      <c r="AE104" s="378">
        <v>1.24E-5</v>
      </c>
      <c r="AF104" s="378"/>
      <c r="AG104" s="417">
        <v>6626</v>
      </c>
      <c r="AH104" s="417">
        <v>4359</v>
      </c>
      <c r="AI104" s="417">
        <v>1981</v>
      </c>
      <c r="AJ104" s="417">
        <v>0</v>
      </c>
      <c r="AK104" s="417">
        <v>0</v>
      </c>
      <c r="AL104" s="378">
        <v>1.24E-5</v>
      </c>
      <c r="AM104" s="378"/>
      <c r="AN104" s="417">
        <v>-6</v>
      </c>
      <c r="AO104" s="417">
        <v>-7</v>
      </c>
      <c r="AP104" s="417">
        <v>0</v>
      </c>
      <c r="AQ104" s="417">
        <v>0</v>
      </c>
      <c r="AR104" s="417">
        <v>0</v>
      </c>
    </row>
    <row r="105" spans="1:44">
      <c r="A105" s="377">
        <v>91051</v>
      </c>
      <c r="B105" t="s">
        <v>817</v>
      </c>
      <c r="C105" s="378">
        <v>4.7299999999999998E-5</v>
      </c>
      <c r="D105" s="378"/>
      <c r="E105" s="417">
        <v>2870</v>
      </c>
      <c r="F105" s="417">
        <v>-6362</v>
      </c>
      <c r="G105" s="417">
        <v>-12469</v>
      </c>
      <c r="H105" s="417">
        <v>-31713</v>
      </c>
      <c r="I105" s="417">
        <v>0</v>
      </c>
      <c r="J105" s="378">
        <v>4.7299999999999998E-5</v>
      </c>
      <c r="K105" s="378"/>
      <c r="L105" s="417">
        <v>11579</v>
      </c>
      <c r="M105" s="417">
        <v>7997</v>
      </c>
      <c r="N105" s="417">
        <v>3501</v>
      </c>
      <c r="O105" s="417">
        <v>0</v>
      </c>
      <c r="P105" s="417">
        <v>0</v>
      </c>
      <c r="Q105" s="378">
        <v>4.7299999999999998E-5</v>
      </c>
      <c r="R105" s="378"/>
      <c r="S105" s="417">
        <v>-23762</v>
      </c>
      <c r="T105" s="417">
        <v>-23487</v>
      </c>
      <c r="U105" s="417">
        <v>-24674</v>
      </c>
      <c r="V105" s="417">
        <v>-31713</v>
      </c>
      <c r="W105" s="417">
        <v>0</v>
      </c>
      <c r="X105" s="378">
        <v>4.7299999999999998E-5</v>
      </c>
      <c r="Z105" s="417">
        <v>18948</v>
      </c>
      <c r="AA105" s="417">
        <v>13312</v>
      </c>
      <c r="AB105" s="417">
        <v>13312</v>
      </c>
      <c r="AC105" s="417">
        <v>0</v>
      </c>
      <c r="AD105" s="417">
        <v>0</v>
      </c>
      <c r="AE105" s="378">
        <v>4.7299999999999998E-5</v>
      </c>
      <c r="AF105" s="378"/>
      <c r="AG105" s="417">
        <v>989</v>
      </c>
      <c r="AH105" s="417">
        <v>698</v>
      </c>
      <c r="AI105" s="417">
        <v>0</v>
      </c>
      <c r="AJ105" s="417">
        <v>0</v>
      </c>
      <c r="AK105" s="417">
        <v>0</v>
      </c>
      <c r="AL105" s="378">
        <v>4.7299999999999998E-5</v>
      </c>
      <c r="AM105" s="378"/>
      <c r="AN105" s="417">
        <v>-4884</v>
      </c>
      <c r="AO105" s="417">
        <v>-4882</v>
      </c>
      <c r="AP105" s="417">
        <v>-4608</v>
      </c>
      <c r="AQ105" s="417">
        <v>0</v>
      </c>
      <c r="AR105" s="417">
        <v>0</v>
      </c>
    </row>
    <row r="106" spans="1:44">
      <c r="A106" s="377">
        <v>91057</v>
      </c>
      <c r="B106" t="s">
        <v>818</v>
      </c>
      <c r="C106" s="378">
        <v>1.11E-5</v>
      </c>
      <c r="D106" s="378"/>
      <c r="E106" s="417">
        <v>4400</v>
      </c>
      <c r="F106" s="417">
        <v>1630</v>
      </c>
      <c r="G106" s="417">
        <v>-148</v>
      </c>
      <c r="H106" s="417">
        <v>-7442</v>
      </c>
      <c r="I106" s="417">
        <v>0</v>
      </c>
      <c r="J106" s="378">
        <v>1.11E-5</v>
      </c>
      <c r="K106" s="378"/>
      <c r="L106" s="417">
        <v>2717</v>
      </c>
      <c r="M106" s="417">
        <v>1877</v>
      </c>
      <c r="N106" s="417">
        <v>822</v>
      </c>
      <c r="O106" s="417">
        <v>0</v>
      </c>
      <c r="P106" s="417">
        <v>0</v>
      </c>
      <c r="Q106" s="378">
        <v>1.11E-5</v>
      </c>
      <c r="R106" s="378"/>
      <c r="S106" s="417">
        <v>-5576</v>
      </c>
      <c r="T106" s="417">
        <v>-5512</v>
      </c>
      <c r="U106" s="417">
        <v>-5790</v>
      </c>
      <c r="V106" s="417">
        <v>-7442</v>
      </c>
      <c r="W106" s="417">
        <v>0</v>
      </c>
      <c r="X106" s="378">
        <v>1.11E-5</v>
      </c>
      <c r="Z106" s="417">
        <v>4447</v>
      </c>
      <c r="AA106" s="417">
        <v>3124</v>
      </c>
      <c r="AB106" s="417">
        <v>3124</v>
      </c>
      <c r="AC106" s="417">
        <v>0</v>
      </c>
      <c r="AD106" s="417">
        <v>0</v>
      </c>
      <c r="AE106" s="378">
        <v>1.11E-5</v>
      </c>
      <c r="AF106" s="378"/>
      <c r="AG106" s="417">
        <v>3648</v>
      </c>
      <c r="AH106" s="417">
        <v>2975</v>
      </c>
      <c r="AI106" s="417">
        <v>1696</v>
      </c>
      <c r="AJ106" s="417">
        <v>0</v>
      </c>
      <c r="AK106" s="417">
        <v>0</v>
      </c>
      <c r="AL106" s="378">
        <v>1.11E-5</v>
      </c>
      <c r="AM106" s="378"/>
      <c r="AN106" s="417">
        <v>-836</v>
      </c>
      <c r="AO106" s="417">
        <v>-834</v>
      </c>
      <c r="AP106" s="417">
        <v>0</v>
      </c>
      <c r="AQ106" s="417">
        <v>0</v>
      </c>
      <c r="AR106" s="417">
        <v>0</v>
      </c>
    </row>
    <row r="107" spans="1:44">
      <c r="A107" s="377">
        <v>91061</v>
      </c>
      <c r="B107" t="s">
        <v>819</v>
      </c>
      <c r="C107" s="378">
        <v>3.7439999999999999E-4</v>
      </c>
      <c r="D107" s="378"/>
      <c r="E107" s="417">
        <v>42857</v>
      </c>
      <c r="F107" s="417">
        <v>-21309</v>
      </c>
      <c r="G107" s="417">
        <v>-63298</v>
      </c>
      <c r="H107" s="417">
        <v>-251025</v>
      </c>
      <c r="I107" s="417">
        <v>0</v>
      </c>
      <c r="J107" s="378">
        <v>3.7439999999999999E-4</v>
      </c>
      <c r="K107" s="378"/>
      <c r="L107" s="417">
        <v>91656</v>
      </c>
      <c r="M107" s="417">
        <v>63301</v>
      </c>
      <c r="N107" s="417">
        <v>27710</v>
      </c>
      <c r="O107" s="417">
        <v>0</v>
      </c>
      <c r="P107" s="417">
        <v>0</v>
      </c>
      <c r="Q107" s="378">
        <v>3.7439999999999999E-4</v>
      </c>
      <c r="R107" s="378"/>
      <c r="S107" s="417">
        <v>-188087</v>
      </c>
      <c r="T107" s="417">
        <v>-185910</v>
      </c>
      <c r="U107" s="417">
        <v>-195306</v>
      </c>
      <c r="V107" s="417">
        <v>-251025</v>
      </c>
      <c r="W107" s="417">
        <v>0</v>
      </c>
      <c r="X107" s="378">
        <v>3.7439999999999999E-4</v>
      </c>
      <c r="Z107" s="417">
        <v>149985</v>
      </c>
      <c r="AA107" s="417">
        <v>105373</v>
      </c>
      <c r="AB107" s="417">
        <v>105372</v>
      </c>
      <c r="AC107" s="417">
        <v>0</v>
      </c>
      <c r="AD107" s="417">
        <v>0</v>
      </c>
      <c r="AE107" s="378">
        <v>3.7439999999999999E-4</v>
      </c>
      <c r="AF107" s="378"/>
      <c r="AG107" s="417">
        <v>1002</v>
      </c>
      <c r="AH107" s="417">
        <v>1004</v>
      </c>
      <c r="AI107" s="417">
        <v>0</v>
      </c>
      <c r="AJ107" s="417">
        <v>0</v>
      </c>
      <c r="AK107" s="417">
        <v>0</v>
      </c>
      <c r="AL107" s="378">
        <v>3.7439999999999999E-4</v>
      </c>
      <c r="AM107" s="378"/>
      <c r="AN107" s="417">
        <v>-11699</v>
      </c>
      <c r="AO107" s="417">
        <v>-5077</v>
      </c>
      <c r="AP107" s="417">
        <v>-1074</v>
      </c>
      <c r="AQ107" s="417">
        <v>0</v>
      </c>
      <c r="AR107" s="417">
        <v>0</v>
      </c>
    </row>
    <row r="108" spans="1:44">
      <c r="A108" s="377">
        <v>91067</v>
      </c>
      <c r="B108" t="s">
        <v>820</v>
      </c>
      <c r="C108" s="378">
        <v>1.5800000000000001E-5</v>
      </c>
      <c r="D108" s="378"/>
      <c r="E108" s="417">
        <v>3924</v>
      </c>
      <c r="F108" s="417">
        <v>546</v>
      </c>
      <c r="G108" s="417">
        <v>-1678</v>
      </c>
      <c r="H108" s="417">
        <v>-10593</v>
      </c>
      <c r="I108" s="417">
        <v>0</v>
      </c>
      <c r="J108" s="378">
        <v>1.5800000000000001E-5</v>
      </c>
      <c r="K108" s="378"/>
      <c r="L108" s="417">
        <v>3868</v>
      </c>
      <c r="M108" s="417">
        <v>2671</v>
      </c>
      <c r="N108" s="417">
        <v>1169</v>
      </c>
      <c r="O108" s="417">
        <v>0</v>
      </c>
      <c r="P108" s="417">
        <v>0</v>
      </c>
      <c r="Q108" s="378">
        <v>1.5800000000000001E-5</v>
      </c>
      <c r="R108" s="378"/>
      <c r="S108" s="417">
        <v>-7937</v>
      </c>
      <c r="T108" s="417">
        <v>-7846</v>
      </c>
      <c r="U108" s="417">
        <v>-8242</v>
      </c>
      <c r="V108" s="417">
        <v>-10593</v>
      </c>
      <c r="W108" s="417">
        <v>0</v>
      </c>
      <c r="X108" s="378">
        <v>1.5800000000000001E-5</v>
      </c>
      <c r="Z108" s="417">
        <v>6330</v>
      </c>
      <c r="AA108" s="417">
        <v>4447</v>
      </c>
      <c r="AB108" s="417">
        <v>4447</v>
      </c>
      <c r="AC108" s="417">
        <v>0</v>
      </c>
      <c r="AD108" s="417">
        <v>0</v>
      </c>
      <c r="AE108" s="378">
        <v>1.5800000000000001E-5</v>
      </c>
      <c r="AF108" s="378"/>
      <c r="AG108" s="417">
        <v>1663</v>
      </c>
      <c r="AH108" s="417">
        <v>1274</v>
      </c>
      <c r="AI108" s="417">
        <v>948</v>
      </c>
      <c r="AJ108" s="417">
        <v>0</v>
      </c>
      <c r="AK108" s="417">
        <v>0</v>
      </c>
      <c r="AL108" s="378">
        <v>1.5800000000000001E-5</v>
      </c>
      <c r="AM108" s="378"/>
      <c r="AN108" s="417">
        <v>0</v>
      </c>
      <c r="AO108" s="417">
        <v>0</v>
      </c>
      <c r="AP108" s="417">
        <v>0</v>
      </c>
      <c r="AQ108" s="417">
        <v>0</v>
      </c>
      <c r="AR108" s="417">
        <v>0</v>
      </c>
    </row>
    <row r="109" spans="1:44">
      <c r="A109" s="377">
        <v>91071</v>
      </c>
      <c r="B109" t="s">
        <v>821</v>
      </c>
      <c r="C109" s="378">
        <v>2.1359999999999999E-4</v>
      </c>
      <c r="D109" s="378"/>
      <c r="E109" s="417">
        <v>19992</v>
      </c>
      <c r="F109" s="417">
        <v>-20211</v>
      </c>
      <c r="G109" s="417">
        <v>-36207</v>
      </c>
      <c r="H109" s="417">
        <v>-143213</v>
      </c>
      <c r="I109" s="417">
        <v>0</v>
      </c>
      <c r="J109" s="378">
        <v>2.1359999999999999E-4</v>
      </c>
      <c r="K109" s="378"/>
      <c r="L109" s="417">
        <v>52291</v>
      </c>
      <c r="M109" s="417">
        <v>36114</v>
      </c>
      <c r="N109" s="417">
        <v>15809</v>
      </c>
      <c r="O109" s="417">
        <v>0</v>
      </c>
      <c r="P109" s="417">
        <v>0</v>
      </c>
      <c r="Q109" s="378">
        <v>2.1359999999999999E-4</v>
      </c>
      <c r="R109" s="378"/>
      <c r="S109" s="417">
        <v>-107306</v>
      </c>
      <c r="T109" s="417">
        <v>-106064</v>
      </c>
      <c r="U109" s="417">
        <v>-111425</v>
      </c>
      <c r="V109" s="417">
        <v>-143213</v>
      </c>
      <c r="W109" s="417">
        <v>0</v>
      </c>
      <c r="X109" s="378">
        <v>2.1359999999999999E-4</v>
      </c>
      <c r="Z109" s="417">
        <v>85569</v>
      </c>
      <c r="AA109" s="417">
        <v>60117</v>
      </c>
      <c r="AB109" s="417">
        <v>60116</v>
      </c>
      <c r="AC109" s="417">
        <v>0</v>
      </c>
      <c r="AD109" s="417">
        <v>0</v>
      </c>
      <c r="AE109" s="378">
        <v>2.1359999999999999E-4</v>
      </c>
      <c r="AF109" s="378"/>
      <c r="AG109" s="417">
        <v>0</v>
      </c>
      <c r="AH109" s="417">
        <v>0</v>
      </c>
      <c r="AI109" s="417">
        <v>0</v>
      </c>
      <c r="AJ109" s="417">
        <v>0</v>
      </c>
      <c r="AK109" s="417">
        <v>0</v>
      </c>
      <c r="AL109" s="378">
        <v>2.1359999999999999E-4</v>
      </c>
      <c r="AM109" s="378"/>
      <c r="AN109" s="417">
        <v>-10562</v>
      </c>
      <c r="AO109" s="417">
        <v>-10378</v>
      </c>
      <c r="AP109" s="417">
        <v>-707</v>
      </c>
      <c r="AQ109" s="417">
        <v>0</v>
      </c>
      <c r="AR109" s="417">
        <v>0</v>
      </c>
    </row>
    <row r="110" spans="1:44">
      <c r="A110" s="377">
        <v>91077</v>
      </c>
      <c r="B110" t="s">
        <v>822</v>
      </c>
      <c r="C110" s="378">
        <v>1.31E-5</v>
      </c>
      <c r="D110" s="378"/>
      <c r="E110" s="417">
        <v>6524</v>
      </c>
      <c r="F110" s="417">
        <v>3870</v>
      </c>
      <c r="G110" s="417">
        <v>-1205</v>
      </c>
      <c r="H110" s="417">
        <v>-8783</v>
      </c>
      <c r="I110" s="417">
        <v>0</v>
      </c>
      <c r="J110" s="378">
        <v>1.31E-5</v>
      </c>
      <c r="K110" s="378"/>
      <c r="L110" s="417">
        <v>3207</v>
      </c>
      <c r="M110" s="417">
        <v>2215</v>
      </c>
      <c r="N110" s="417">
        <v>970</v>
      </c>
      <c r="O110" s="417">
        <v>0</v>
      </c>
      <c r="P110" s="417">
        <v>0</v>
      </c>
      <c r="Q110" s="378">
        <v>1.31E-5</v>
      </c>
      <c r="R110" s="378"/>
      <c r="S110" s="417">
        <v>-6581</v>
      </c>
      <c r="T110" s="417">
        <v>-6505</v>
      </c>
      <c r="U110" s="417">
        <v>-6834</v>
      </c>
      <c r="V110" s="417">
        <v>-8783</v>
      </c>
      <c r="W110" s="417">
        <v>0</v>
      </c>
      <c r="X110" s="378">
        <v>1.31E-5</v>
      </c>
      <c r="Z110" s="417">
        <v>5248</v>
      </c>
      <c r="AA110" s="417">
        <v>3687</v>
      </c>
      <c r="AB110" s="417">
        <v>3687</v>
      </c>
      <c r="AC110" s="417">
        <v>0</v>
      </c>
      <c r="AD110" s="417">
        <v>0</v>
      </c>
      <c r="AE110" s="378">
        <v>1.31E-5</v>
      </c>
      <c r="AF110" s="378"/>
      <c r="AG110" s="417">
        <v>4650</v>
      </c>
      <c r="AH110" s="417">
        <v>4473</v>
      </c>
      <c r="AI110" s="417">
        <v>972</v>
      </c>
      <c r="AJ110" s="417">
        <v>0</v>
      </c>
      <c r="AK110" s="417">
        <v>0</v>
      </c>
      <c r="AL110" s="378">
        <v>1.31E-5</v>
      </c>
      <c r="AM110" s="378"/>
      <c r="AN110" s="417">
        <v>0</v>
      </c>
      <c r="AO110" s="417">
        <v>0</v>
      </c>
      <c r="AP110" s="417">
        <v>0</v>
      </c>
      <c r="AQ110" s="417">
        <v>0</v>
      </c>
      <c r="AR110" s="417">
        <v>0</v>
      </c>
    </row>
    <row r="111" spans="1:44">
      <c r="A111" s="377">
        <v>91081</v>
      </c>
      <c r="B111" t="s">
        <v>823</v>
      </c>
      <c r="C111" s="378">
        <v>4.3070000000000001E-4</v>
      </c>
      <c r="D111" s="378"/>
      <c r="E111" s="417">
        <v>66037</v>
      </c>
      <c r="F111" s="417">
        <v>-20181</v>
      </c>
      <c r="G111" s="417">
        <v>-74086</v>
      </c>
      <c r="H111" s="417">
        <v>-288773</v>
      </c>
      <c r="I111" s="417">
        <v>0</v>
      </c>
      <c r="J111" s="378">
        <v>4.3070000000000001E-4</v>
      </c>
      <c r="K111" s="378"/>
      <c r="L111" s="417">
        <v>105439</v>
      </c>
      <c r="M111" s="417">
        <v>72819</v>
      </c>
      <c r="N111" s="417">
        <v>31877</v>
      </c>
      <c r="O111" s="417">
        <v>0</v>
      </c>
      <c r="P111" s="417">
        <v>0</v>
      </c>
      <c r="Q111" s="378">
        <v>4.3070000000000001E-4</v>
      </c>
      <c r="R111" s="378"/>
      <c r="S111" s="417">
        <v>-216370</v>
      </c>
      <c r="T111" s="417">
        <v>-213866</v>
      </c>
      <c r="U111" s="417">
        <v>-224675</v>
      </c>
      <c r="V111" s="417">
        <v>-288773</v>
      </c>
      <c r="W111" s="417">
        <v>0</v>
      </c>
      <c r="X111" s="378">
        <v>4.3070000000000001E-4</v>
      </c>
      <c r="Z111" s="417">
        <v>172539</v>
      </c>
      <c r="AA111" s="417">
        <v>121218</v>
      </c>
      <c r="AB111" s="417">
        <v>121218</v>
      </c>
      <c r="AC111" s="417">
        <v>0</v>
      </c>
      <c r="AD111" s="417">
        <v>0</v>
      </c>
      <c r="AE111" s="378">
        <v>4.3070000000000001E-4</v>
      </c>
      <c r="AF111" s="378"/>
      <c r="AG111" s="417">
        <v>8645</v>
      </c>
      <c r="AH111" s="417">
        <v>3865</v>
      </c>
      <c r="AI111" s="417">
        <v>0</v>
      </c>
      <c r="AJ111" s="417">
        <v>0</v>
      </c>
      <c r="AK111" s="417">
        <v>0</v>
      </c>
      <c r="AL111" s="378">
        <v>4.3070000000000001E-4</v>
      </c>
      <c r="AM111" s="378"/>
      <c r="AN111" s="417">
        <v>-4216</v>
      </c>
      <c r="AO111" s="417">
        <v>-4217</v>
      </c>
      <c r="AP111" s="417">
        <v>-2506</v>
      </c>
      <c r="AQ111" s="417">
        <v>0</v>
      </c>
      <c r="AR111" s="417">
        <v>0</v>
      </c>
    </row>
    <row r="112" spans="1:44">
      <c r="A112" s="377">
        <v>91091</v>
      </c>
      <c r="B112" t="s">
        <v>824</v>
      </c>
      <c r="C112" s="378">
        <v>5.8279999999999996E-4</v>
      </c>
      <c r="D112" s="378"/>
      <c r="E112" s="417">
        <v>95203</v>
      </c>
      <c r="F112" s="417">
        <v>-7968</v>
      </c>
      <c r="G112" s="417">
        <v>-91070</v>
      </c>
      <c r="H112" s="417">
        <v>-390752</v>
      </c>
      <c r="I112" s="417">
        <v>0</v>
      </c>
      <c r="J112" s="378">
        <v>5.8279999999999996E-4</v>
      </c>
      <c r="K112" s="378"/>
      <c r="L112" s="417">
        <v>142674</v>
      </c>
      <c r="M112" s="417">
        <v>98535</v>
      </c>
      <c r="N112" s="417">
        <v>43134</v>
      </c>
      <c r="O112" s="417">
        <v>0</v>
      </c>
      <c r="P112" s="417">
        <v>0</v>
      </c>
      <c r="Q112" s="378">
        <v>5.8279999999999996E-4</v>
      </c>
      <c r="R112" s="378"/>
      <c r="S112" s="417">
        <v>-292780</v>
      </c>
      <c r="T112" s="417">
        <v>-289392</v>
      </c>
      <c r="U112" s="417">
        <v>-304018</v>
      </c>
      <c r="V112" s="417">
        <v>-390752</v>
      </c>
      <c r="W112" s="417">
        <v>0</v>
      </c>
      <c r="X112" s="378">
        <v>5.8279999999999996E-4</v>
      </c>
      <c r="Z112" s="417">
        <v>233471</v>
      </c>
      <c r="AA112" s="417">
        <v>164026</v>
      </c>
      <c r="AB112" s="417">
        <v>164025</v>
      </c>
      <c r="AC112" s="417">
        <v>0</v>
      </c>
      <c r="AD112" s="417">
        <v>0</v>
      </c>
      <c r="AE112" s="378">
        <v>5.8279999999999996E-4</v>
      </c>
      <c r="AF112" s="378"/>
      <c r="AG112" s="417">
        <v>18862</v>
      </c>
      <c r="AH112" s="417">
        <v>18863</v>
      </c>
      <c r="AI112" s="417">
        <v>5789</v>
      </c>
      <c r="AJ112" s="417">
        <v>0</v>
      </c>
      <c r="AK112" s="417">
        <v>0</v>
      </c>
      <c r="AL112" s="378">
        <v>5.8279999999999996E-4</v>
      </c>
      <c r="AM112" s="378"/>
      <c r="AN112" s="417">
        <v>-7024</v>
      </c>
      <c r="AO112" s="417">
        <v>0</v>
      </c>
      <c r="AP112" s="417">
        <v>0</v>
      </c>
      <c r="AQ112" s="417">
        <v>0</v>
      </c>
      <c r="AR112" s="417">
        <v>0</v>
      </c>
    </row>
    <row r="113" spans="1:44">
      <c r="A113" s="377">
        <v>91101</v>
      </c>
      <c r="B113" t="s">
        <v>825</v>
      </c>
      <c r="C113" s="378">
        <v>1.38049E-2</v>
      </c>
      <c r="D113" s="378"/>
      <c r="E113" s="417">
        <v>1863082</v>
      </c>
      <c r="F113" s="417">
        <v>-698160</v>
      </c>
      <c r="G113" s="417">
        <v>-2011183</v>
      </c>
      <c r="H113" s="417">
        <v>-9255827</v>
      </c>
      <c r="I113" s="417">
        <v>0</v>
      </c>
      <c r="J113" s="378">
        <v>1.38049E-2</v>
      </c>
      <c r="K113" s="378"/>
      <c r="L113" s="417">
        <v>3379550</v>
      </c>
      <c r="M113" s="417">
        <v>2334022</v>
      </c>
      <c r="N113" s="417">
        <v>1021728</v>
      </c>
      <c r="O113" s="417">
        <v>0</v>
      </c>
      <c r="P113" s="417">
        <v>0</v>
      </c>
      <c r="Q113" s="378">
        <v>1.38049E-2</v>
      </c>
      <c r="R113" s="378"/>
      <c r="S113" s="417">
        <v>-6935140</v>
      </c>
      <c r="T113" s="417">
        <v>-6854892</v>
      </c>
      <c r="U113" s="417">
        <v>-7201340</v>
      </c>
      <c r="V113" s="417">
        <v>-9255827</v>
      </c>
      <c r="W113" s="417">
        <v>0</v>
      </c>
      <c r="X113" s="378">
        <v>1.38049E-2</v>
      </c>
      <c r="Z113" s="417">
        <v>5530271</v>
      </c>
      <c r="AA113" s="417">
        <v>3885320</v>
      </c>
      <c r="AB113" s="417">
        <v>3885292</v>
      </c>
      <c r="AC113" s="417">
        <v>0</v>
      </c>
      <c r="AD113" s="417">
        <v>0</v>
      </c>
      <c r="AE113" s="378">
        <v>1.38049E-2</v>
      </c>
      <c r="AF113" s="378"/>
      <c r="AG113" s="417">
        <v>283136</v>
      </c>
      <c r="AH113" s="417">
        <v>283136</v>
      </c>
      <c r="AI113" s="417">
        <v>283137</v>
      </c>
      <c r="AJ113" s="417">
        <v>0</v>
      </c>
      <c r="AK113" s="417">
        <v>0</v>
      </c>
      <c r="AL113" s="378">
        <v>1.38049E-2</v>
      </c>
      <c r="AM113" s="378"/>
      <c r="AN113" s="417">
        <v>-394735</v>
      </c>
      <c r="AO113" s="417">
        <v>-345746</v>
      </c>
      <c r="AP113" s="417">
        <v>0</v>
      </c>
      <c r="AQ113" s="417">
        <v>0</v>
      </c>
      <c r="AR113" s="417">
        <v>0</v>
      </c>
    </row>
    <row r="114" spans="1:44">
      <c r="A114" s="377">
        <v>91102</v>
      </c>
      <c r="B114" t="s">
        <v>826</v>
      </c>
      <c r="C114" s="378">
        <v>2.8889999999999997E-4</v>
      </c>
      <c r="D114" s="378"/>
      <c r="E114" s="417">
        <v>31020</v>
      </c>
      <c r="F114" s="417">
        <v>-23297</v>
      </c>
      <c r="G114" s="417">
        <v>-40695</v>
      </c>
      <c r="H114" s="417">
        <v>-193700</v>
      </c>
      <c r="I114" s="417">
        <v>0</v>
      </c>
      <c r="J114" s="378">
        <v>2.8889999999999997E-4</v>
      </c>
      <c r="K114" s="378"/>
      <c r="L114" s="417">
        <v>70725</v>
      </c>
      <c r="M114" s="417">
        <v>48845</v>
      </c>
      <c r="N114" s="417">
        <v>21382</v>
      </c>
      <c r="O114" s="417">
        <v>0</v>
      </c>
      <c r="P114" s="417">
        <v>0</v>
      </c>
      <c r="Q114" s="378">
        <v>2.8889999999999997E-4</v>
      </c>
      <c r="R114" s="378"/>
      <c r="S114" s="417">
        <v>-145134</v>
      </c>
      <c r="T114" s="417">
        <v>-143455</v>
      </c>
      <c r="U114" s="417">
        <v>-150705</v>
      </c>
      <c r="V114" s="417">
        <v>-193700</v>
      </c>
      <c r="W114" s="417">
        <v>0</v>
      </c>
      <c r="X114" s="378">
        <v>2.8889999999999997E-4</v>
      </c>
      <c r="Z114" s="417">
        <v>115734</v>
      </c>
      <c r="AA114" s="417">
        <v>81309</v>
      </c>
      <c r="AB114" s="417">
        <v>81309</v>
      </c>
      <c r="AC114" s="417">
        <v>0</v>
      </c>
      <c r="AD114" s="417">
        <v>0</v>
      </c>
      <c r="AE114" s="378">
        <v>2.8889999999999997E-4</v>
      </c>
      <c r="AF114" s="378"/>
      <c r="AG114" s="417">
        <v>7363</v>
      </c>
      <c r="AH114" s="417">
        <v>7363</v>
      </c>
      <c r="AI114" s="417">
        <v>7319</v>
      </c>
      <c r="AJ114" s="417">
        <v>0</v>
      </c>
      <c r="AK114" s="417">
        <v>0</v>
      </c>
      <c r="AL114" s="378">
        <v>2.8889999999999997E-4</v>
      </c>
      <c r="AM114" s="378"/>
      <c r="AN114" s="417">
        <v>-17668</v>
      </c>
      <c r="AO114" s="417">
        <v>-17359</v>
      </c>
      <c r="AP114" s="417">
        <v>0</v>
      </c>
      <c r="AQ114" s="417">
        <v>0</v>
      </c>
      <c r="AR114" s="417">
        <v>0</v>
      </c>
    </row>
    <row r="115" spans="1:44">
      <c r="A115" s="377">
        <v>91104</v>
      </c>
      <c r="B115" t="s">
        <v>827</v>
      </c>
      <c r="C115" s="378">
        <v>1.95E-5</v>
      </c>
      <c r="D115" s="378"/>
      <c r="E115" s="417">
        <v>9745</v>
      </c>
      <c r="F115" s="417">
        <v>5331</v>
      </c>
      <c r="G115" s="417">
        <v>-505</v>
      </c>
      <c r="H115" s="417">
        <v>-13074</v>
      </c>
      <c r="I115" s="417">
        <v>0</v>
      </c>
      <c r="J115" s="378">
        <v>1.95E-5</v>
      </c>
      <c r="K115" s="378"/>
      <c r="L115" s="417">
        <v>4774</v>
      </c>
      <c r="M115" s="417">
        <v>3297</v>
      </c>
      <c r="N115" s="417">
        <v>1443</v>
      </c>
      <c r="O115" s="417">
        <v>0</v>
      </c>
      <c r="P115" s="417">
        <v>0</v>
      </c>
      <c r="Q115" s="378">
        <v>1.95E-5</v>
      </c>
      <c r="R115" s="378"/>
      <c r="S115" s="417">
        <v>-9796</v>
      </c>
      <c r="T115" s="417">
        <v>-9683</v>
      </c>
      <c r="U115" s="417">
        <v>-10172</v>
      </c>
      <c r="V115" s="417">
        <v>-13074</v>
      </c>
      <c r="W115" s="417">
        <v>0</v>
      </c>
      <c r="X115" s="378">
        <v>1.95E-5</v>
      </c>
      <c r="Z115" s="417">
        <v>7812</v>
      </c>
      <c r="AA115" s="417">
        <v>5488</v>
      </c>
      <c r="AB115" s="417">
        <v>5488</v>
      </c>
      <c r="AC115" s="417">
        <v>0</v>
      </c>
      <c r="AD115" s="417">
        <v>0</v>
      </c>
      <c r="AE115" s="378">
        <v>1.95E-5</v>
      </c>
      <c r="AF115" s="378"/>
      <c r="AG115" s="417">
        <v>6955</v>
      </c>
      <c r="AH115" s="417">
        <v>6229</v>
      </c>
      <c r="AI115" s="417">
        <v>2736</v>
      </c>
      <c r="AJ115" s="417">
        <v>0</v>
      </c>
      <c r="AK115" s="417">
        <v>0</v>
      </c>
      <c r="AL115" s="378">
        <v>1.95E-5</v>
      </c>
      <c r="AM115" s="378"/>
      <c r="AN115" s="417">
        <v>0</v>
      </c>
      <c r="AO115" s="417">
        <v>0</v>
      </c>
      <c r="AP115" s="417">
        <v>0</v>
      </c>
      <c r="AQ115" s="417">
        <v>0</v>
      </c>
      <c r="AR115" s="417">
        <v>0</v>
      </c>
    </row>
    <row r="116" spans="1:44">
      <c r="A116" s="377">
        <v>91107</v>
      </c>
      <c r="B116" t="s">
        <v>1932</v>
      </c>
      <c r="C116" s="378">
        <v>4.2500000000000003E-5</v>
      </c>
      <c r="D116" s="378"/>
      <c r="E116" s="417">
        <v>9286</v>
      </c>
      <c r="F116" s="417">
        <v>1999</v>
      </c>
      <c r="G116" s="417">
        <v>-2363</v>
      </c>
      <c r="H116" s="417">
        <v>-28495</v>
      </c>
      <c r="I116" s="417">
        <v>0</v>
      </c>
      <c r="J116" s="378">
        <v>4.2500000000000003E-5</v>
      </c>
      <c r="K116" s="378"/>
      <c r="L116" s="417">
        <v>10404</v>
      </c>
      <c r="M116" s="417">
        <v>7186</v>
      </c>
      <c r="N116" s="417">
        <v>3146</v>
      </c>
      <c r="O116" s="417">
        <v>0</v>
      </c>
      <c r="P116" s="417">
        <v>0</v>
      </c>
      <c r="Q116" s="378">
        <v>4.2500000000000003E-5</v>
      </c>
      <c r="R116" s="378"/>
      <c r="S116" s="417">
        <v>-21351</v>
      </c>
      <c r="T116" s="417">
        <v>-21104</v>
      </c>
      <c r="U116" s="417">
        <v>-22170</v>
      </c>
      <c r="V116" s="417">
        <v>-28495</v>
      </c>
      <c r="W116" s="417">
        <v>0</v>
      </c>
      <c r="X116" s="378">
        <v>4.2500000000000003E-5</v>
      </c>
      <c r="Z116" s="417">
        <v>17026</v>
      </c>
      <c r="AA116" s="417">
        <v>11961</v>
      </c>
      <c r="AB116" s="417">
        <v>11961</v>
      </c>
      <c r="AC116" s="417">
        <v>0</v>
      </c>
      <c r="AD116" s="417">
        <v>0</v>
      </c>
      <c r="AE116" s="378">
        <v>4.2500000000000003E-5</v>
      </c>
      <c r="AF116" s="378"/>
      <c r="AG116" s="417">
        <v>6794</v>
      </c>
      <c r="AH116" s="417">
        <v>6793</v>
      </c>
      <c r="AI116" s="417">
        <v>4700</v>
      </c>
      <c r="AJ116" s="417">
        <v>0</v>
      </c>
      <c r="AK116" s="417">
        <v>0</v>
      </c>
      <c r="AL116" s="378">
        <v>4.2500000000000003E-5</v>
      </c>
      <c r="AM116" s="378"/>
      <c r="AN116" s="417">
        <v>-3587</v>
      </c>
      <c r="AO116" s="417">
        <v>-2837</v>
      </c>
      <c r="AP116" s="417">
        <v>0</v>
      </c>
      <c r="AQ116" s="417">
        <v>0</v>
      </c>
      <c r="AR116" s="417">
        <v>0</v>
      </c>
    </row>
    <row r="117" spans="1:44">
      <c r="A117" s="377">
        <v>91108</v>
      </c>
      <c r="B117" t="s">
        <v>829</v>
      </c>
      <c r="C117" s="378">
        <v>1.1758000000000001E-3</v>
      </c>
      <c r="D117" s="378"/>
      <c r="E117" s="417">
        <v>197274</v>
      </c>
      <c r="F117" s="417">
        <v>-31069</v>
      </c>
      <c r="G117" s="417">
        <v>-178337</v>
      </c>
      <c r="H117" s="417">
        <v>-788343</v>
      </c>
      <c r="I117" s="417">
        <v>0</v>
      </c>
      <c r="J117" s="378">
        <v>1.1758000000000001E-3</v>
      </c>
      <c r="K117" s="378"/>
      <c r="L117" s="417">
        <v>287845</v>
      </c>
      <c r="M117" s="417">
        <v>198795</v>
      </c>
      <c r="N117" s="417">
        <v>87023</v>
      </c>
      <c r="O117" s="417">
        <v>0</v>
      </c>
      <c r="P117" s="417">
        <v>0</v>
      </c>
      <c r="Q117" s="378">
        <v>1.1758000000000001E-3</v>
      </c>
      <c r="R117" s="378"/>
      <c r="S117" s="417">
        <v>-590684</v>
      </c>
      <c r="T117" s="417">
        <v>-583849</v>
      </c>
      <c r="U117" s="417">
        <v>-613357</v>
      </c>
      <c r="V117" s="417">
        <v>-788343</v>
      </c>
      <c r="W117" s="417">
        <v>0</v>
      </c>
      <c r="X117" s="378">
        <v>1.1758000000000001E-3</v>
      </c>
      <c r="Z117" s="417">
        <v>471028</v>
      </c>
      <c r="AA117" s="417">
        <v>330923</v>
      </c>
      <c r="AB117" s="417">
        <v>330921</v>
      </c>
      <c r="AC117" s="417">
        <v>0</v>
      </c>
      <c r="AD117" s="417">
        <v>0</v>
      </c>
      <c r="AE117" s="378">
        <v>1.1758000000000001E-3</v>
      </c>
      <c r="AF117" s="378"/>
      <c r="AG117" s="417">
        <v>34686</v>
      </c>
      <c r="AH117" s="417">
        <v>28661</v>
      </c>
      <c r="AI117" s="417">
        <v>17076</v>
      </c>
      <c r="AJ117" s="417">
        <v>0</v>
      </c>
      <c r="AK117" s="417">
        <v>0</v>
      </c>
      <c r="AL117" s="378">
        <v>1.1758000000000001E-3</v>
      </c>
      <c r="AM117" s="378"/>
      <c r="AN117" s="417">
        <v>-5601</v>
      </c>
      <c r="AO117" s="417">
        <v>-5599</v>
      </c>
      <c r="AP117" s="417">
        <v>0</v>
      </c>
      <c r="AQ117" s="417">
        <v>0</v>
      </c>
      <c r="AR117" s="417">
        <v>0</v>
      </c>
    </row>
    <row r="118" spans="1:44">
      <c r="A118" s="377">
        <v>91109</v>
      </c>
      <c r="B118" t="s">
        <v>830</v>
      </c>
      <c r="C118" s="378">
        <v>1.0069999999999999E-4</v>
      </c>
      <c r="D118" s="378"/>
      <c r="E118" s="417">
        <v>16526</v>
      </c>
      <c r="F118" s="417">
        <v>-3366</v>
      </c>
      <c r="G118" s="417">
        <v>-15774</v>
      </c>
      <c r="H118" s="417">
        <v>-67517</v>
      </c>
      <c r="I118" s="417">
        <v>0</v>
      </c>
      <c r="J118" s="378">
        <v>1.0069999999999999E-4</v>
      </c>
      <c r="K118" s="378"/>
      <c r="L118" s="417">
        <v>24652</v>
      </c>
      <c r="M118" s="417">
        <v>17026</v>
      </c>
      <c r="N118" s="417">
        <v>7453</v>
      </c>
      <c r="O118" s="417">
        <v>0</v>
      </c>
      <c r="P118" s="417">
        <v>0</v>
      </c>
      <c r="Q118" s="378">
        <v>1.0069999999999999E-4</v>
      </c>
      <c r="R118" s="378"/>
      <c r="S118" s="417">
        <v>-50588</v>
      </c>
      <c r="T118" s="417">
        <v>-50003</v>
      </c>
      <c r="U118" s="417">
        <v>-52530</v>
      </c>
      <c r="V118" s="417">
        <v>-67517</v>
      </c>
      <c r="W118" s="417">
        <v>0</v>
      </c>
      <c r="X118" s="378">
        <v>1.0069999999999999E-4</v>
      </c>
      <c r="Z118" s="417">
        <v>40341</v>
      </c>
      <c r="AA118" s="417">
        <v>28342</v>
      </c>
      <c r="AB118" s="417">
        <v>28341</v>
      </c>
      <c r="AC118" s="417">
        <v>0</v>
      </c>
      <c r="AD118" s="417">
        <v>0</v>
      </c>
      <c r="AE118" s="378">
        <v>1.0069999999999999E-4</v>
      </c>
      <c r="AF118" s="378"/>
      <c r="AG118" s="417">
        <v>2121</v>
      </c>
      <c r="AH118" s="417">
        <v>1269</v>
      </c>
      <c r="AI118" s="417">
        <v>962</v>
      </c>
      <c r="AJ118" s="417">
        <v>0</v>
      </c>
      <c r="AK118" s="417">
        <v>0</v>
      </c>
      <c r="AL118" s="378">
        <v>1.0069999999999999E-4</v>
      </c>
      <c r="AM118" s="378"/>
      <c r="AN118" s="417">
        <v>0</v>
      </c>
      <c r="AO118" s="417">
        <v>0</v>
      </c>
      <c r="AP118" s="417">
        <v>0</v>
      </c>
      <c r="AQ118" s="417">
        <v>0</v>
      </c>
      <c r="AR118" s="417">
        <v>0</v>
      </c>
    </row>
    <row r="119" spans="1:44">
      <c r="A119" s="377">
        <v>91111</v>
      </c>
      <c r="B119" t="s">
        <v>831</v>
      </c>
      <c r="C119" s="378">
        <v>2.0819999999999999E-4</v>
      </c>
      <c r="D119" s="378"/>
      <c r="E119" s="417">
        <v>38538</v>
      </c>
      <c r="F119" s="417">
        <v>-1984</v>
      </c>
      <c r="G119" s="417">
        <v>-28439</v>
      </c>
      <c r="H119" s="417">
        <v>-139593</v>
      </c>
      <c r="I119" s="417">
        <v>0</v>
      </c>
      <c r="J119" s="378">
        <v>2.0819999999999999E-4</v>
      </c>
      <c r="K119" s="378"/>
      <c r="L119" s="417">
        <v>50969</v>
      </c>
      <c r="M119" s="417">
        <v>35201</v>
      </c>
      <c r="N119" s="417">
        <v>15409</v>
      </c>
      <c r="O119" s="417">
        <v>0</v>
      </c>
      <c r="P119" s="417">
        <v>0</v>
      </c>
      <c r="Q119" s="378">
        <v>2.0819999999999999E-4</v>
      </c>
      <c r="R119" s="378"/>
      <c r="S119" s="417">
        <v>-104593</v>
      </c>
      <c r="T119" s="417">
        <v>-103383</v>
      </c>
      <c r="U119" s="417">
        <v>-108608</v>
      </c>
      <c r="V119" s="417">
        <v>-139593</v>
      </c>
      <c r="W119" s="417">
        <v>0</v>
      </c>
      <c r="X119" s="378">
        <v>2.0819999999999999E-4</v>
      </c>
      <c r="Z119" s="417">
        <v>83405</v>
      </c>
      <c r="AA119" s="417">
        <v>58597</v>
      </c>
      <c r="AB119" s="417">
        <v>58596</v>
      </c>
      <c r="AC119" s="417">
        <v>0</v>
      </c>
      <c r="AD119" s="417">
        <v>0</v>
      </c>
      <c r="AE119" s="378">
        <v>2.0819999999999999E-4</v>
      </c>
      <c r="AF119" s="378"/>
      <c r="AG119" s="417">
        <v>13581</v>
      </c>
      <c r="AH119" s="417">
        <v>12423</v>
      </c>
      <c r="AI119" s="417">
        <v>6164</v>
      </c>
      <c r="AJ119" s="417">
        <v>0</v>
      </c>
      <c r="AK119" s="417">
        <v>0</v>
      </c>
      <c r="AL119" s="378">
        <v>2.0819999999999999E-4</v>
      </c>
      <c r="AM119" s="378"/>
      <c r="AN119" s="417">
        <v>-4824</v>
      </c>
      <c r="AO119" s="417">
        <v>-4822</v>
      </c>
      <c r="AP119" s="417">
        <v>0</v>
      </c>
      <c r="AQ119" s="417">
        <v>0</v>
      </c>
      <c r="AR119" s="417">
        <v>0</v>
      </c>
    </row>
    <row r="120" spans="1:44">
      <c r="A120" s="377">
        <v>91120</v>
      </c>
      <c r="B120" t="s">
        <v>832</v>
      </c>
      <c r="C120" s="378">
        <v>2.4020000000000001E-4</v>
      </c>
      <c r="D120" s="378"/>
      <c r="E120" s="417">
        <v>33003</v>
      </c>
      <c r="F120" s="417">
        <v>-9691</v>
      </c>
      <c r="G120" s="417">
        <v>-69385</v>
      </c>
      <c r="H120" s="417">
        <v>-161048</v>
      </c>
      <c r="I120" s="417">
        <v>0</v>
      </c>
      <c r="J120" s="378">
        <v>2.4020000000000001E-4</v>
      </c>
      <c r="K120" s="378"/>
      <c r="L120" s="417">
        <v>58803</v>
      </c>
      <c r="M120" s="417">
        <v>40611</v>
      </c>
      <c r="N120" s="417">
        <v>17778</v>
      </c>
      <c r="O120" s="417">
        <v>0</v>
      </c>
      <c r="P120" s="417">
        <v>0</v>
      </c>
      <c r="Q120" s="378">
        <v>2.4020000000000001E-4</v>
      </c>
      <c r="R120" s="378"/>
      <c r="S120" s="417">
        <v>-120669</v>
      </c>
      <c r="T120" s="417">
        <v>-119273</v>
      </c>
      <c r="U120" s="417">
        <v>-125301</v>
      </c>
      <c r="V120" s="417">
        <v>-161048</v>
      </c>
      <c r="W120" s="417">
        <v>0</v>
      </c>
      <c r="X120" s="378">
        <v>2.4020000000000001E-4</v>
      </c>
      <c r="Z120" s="417">
        <v>96225</v>
      </c>
      <c r="AA120" s="417">
        <v>67603</v>
      </c>
      <c r="AB120" s="417">
        <v>67603</v>
      </c>
      <c r="AC120" s="417">
        <v>0</v>
      </c>
      <c r="AD120" s="417">
        <v>0</v>
      </c>
      <c r="AE120" s="378">
        <v>2.4020000000000001E-4</v>
      </c>
      <c r="AF120" s="378"/>
      <c r="AG120" s="417">
        <v>30832</v>
      </c>
      <c r="AH120" s="417">
        <v>30832</v>
      </c>
      <c r="AI120" s="417">
        <v>0</v>
      </c>
      <c r="AJ120" s="417">
        <v>0</v>
      </c>
      <c r="AK120" s="417">
        <v>0</v>
      </c>
      <c r="AL120" s="378">
        <v>2.4020000000000001E-4</v>
      </c>
      <c r="AM120" s="378"/>
      <c r="AN120" s="417">
        <v>-32188</v>
      </c>
      <c r="AO120" s="417">
        <v>-29464</v>
      </c>
      <c r="AP120" s="417">
        <v>-29465</v>
      </c>
      <c r="AQ120" s="417">
        <v>0</v>
      </c>
      <c r="AR120" s="417">
        <v>0</v>
      </c>
    </row>
    <row r="121" spans="1:44">
      <c r="A121" s="377">
        <v>91121</v>
      </c>
      <c r="B121" t="s">
        <v>833</v>
      </c>
      <c r="C121" s="378">
        <v>1.01818E-2</v>
      </c>
      <c r="D121" s="378"/>
      <c r="E121" s="417">
        <v>966132</v>
      </c>
      <c r="F121" s="417">
        <v>-938892</v>
      </c>
      <c r="G121" s="417">
        <v>-2021143</v>
      </c>
      <c r="H121" s="417">
        <v>-6826632</v>
      </c>
      <c r="I121" s="417">
        <v>0</v>
      </c>
      <c r="J121" s="378">
        <v>1.01818E-2</v>
      </c>
      <c r="K121" s="378"/>
      <c r="L121" s="417">
        <v>2492586</v>
      </c>
      <c r="M121" s="417">
        <v>1721457</v>
      </c>
      <c r="N121" s="417">
        <v>753575</v>
      </c>
      <c r="O121" s="417">
        <v>0</v>
      </c>
      <c r="P121" s="417">
        <v>0</v>
      </c>
      <c r="Q121" s="378">
        <v>1.01818E-2</v>
      </c>
      <c r="R121" s="378"/>
      <c r="S121" s="417">
        <v>-5115011</v>
      </c>
      <c r="T121" s="417">
        <v>-5055824</v>
      </c>
      <c r="U121" s="417">
        <v>-5311346</v>
      </c>
      <c r="V121" s="417">
        <v>-6826632</v>
      </c>
      <c r="W121" s="417">
        <v>0</v>
      </c>
      <c r="X121" s="378">
        <v>1.01818E-2</v>
      </c>
      <c r="Z121" s="417">
        <v>4078849</v>
      </c>
      <c r="AA121" s="417">
        <v>2865617</v>
      </c>
      <c r="AB121" s="417">
        <v>2865596</v>
      </c>
      <c r="AC121" s="417">
        <v>0</v>
      </c>
      <c r="AD121" s="417">
        <v>0</v>
      </c>
      <c r="AE121" s="378">
        <v>1.01818E-2</v>
      </c>
      <c r="AF121" s="378"/>
      <c r="AG121" s="417">
        <v>0</v>
      </c>
      <c r="AH121" s="417">
        <v>0</v>
      </c>
      <c r="AI121" s="417">
        <v>0</v>
      </c>
      <c r="AJ121" s="417">
        <v>0</v>
      </c>
      <c r="AK121" s="417">
        <v>0</v>
      </c>
      <c r="AL121" s="378">
        <v>1.01818E-2</v>
      </c>
      <c r="AM121" s="378"/>
      <c r="AN121" s="417">
        <v>-490292</v>
      </c>
      <c r="AO121" s="417">
        <v>-470142</v>
      </c>
      <c r="AP121" s="417">
        <v>-328968</v>
      </c>
      <c r="AQ121" s="417">
        <v>0</v>
      </c>
      <c r="AR121" s="417">
        <v>0</v>
      </c>
    </row>
    <row r="122" spans="1:44">
      <c r="A122" s="377">
        <v>91127</v>
      </c>
      <c r="B122" t="s">
        <v>834</v>
      </c>
      <c r="C122" s="378">
        <v>3.1520000000000002E-4</v>
      </c>
      <c r="D122" s="378"/>
      <c r="E122" s="417">
        <v>88884</v>
      </c>
      <c r="F122" s="417">
        <v>22383</v>
      </c>
      <c r="G122" s="417">
        <v>-27677</v>
      </c>
      <c r="H122" s="417">
        <v>-211333</v>
      </c>
      <c r="I122" s="417">
        <v>0</v>
      </c>
      <c r="J122" s="378">
        <v>3.1520000000000002E-4</v>
      </c>
      <c r="K122" s="378"/>
      <c r="L122" s="417">
        <v>77163</v>
      </c>
      <c r="M122" s="417">
        <v>53291</v>
      </c>
      <c r="N122" s="417">
        <v>23329</v>
      </c>
      <c r="O122" s="417">
        <v>0</v>
      </c>
      <c r="P122" s="417">
        <v>0</v>
      </c>
      <c r="Q122" s="378">
        <v>3.1520000000000002E-4</v>
      </c>
      <c r="R122" s="378"/>
      <c r="S122" s="417">
        <v>-158346</v>
      </c>
      <c r="T122" s="417">
        <v>-156514</v>
      </c>
      <c r="U122" s="417">
        <v>-164424</v>
      </c>
      <c r="V122" s="417">
        <v>-211333</v>
      </c>
      <c r="W122" s="417">
        <v>0</v>
      </c>
      <c r="X122" s="378">
        <v>3.1520000000000002E-4</v>
      </c>
      <c r="Z122" s="417">
        <v>126270</v>
      </c>
      <c r="AA122" s="417">
        <v>88711</v>
      </c>
      <c r="AB122" s="417">
        <v>88711</v>
      </c>
      <c r="AC122" s="417">
        <v>0</v>
      </c>
      <c r="AD122" s="417">
        <v>0</v>
      </c>
      <c r="AE122" s="378">
        <v>3.1520000000000002E-4</v>
      </c>
      <c r="AF122" s="378"/>
      <c r="AG122" s="417">
        <v>43797</v>
      </c>
      <c r="AH122" s="417">
        <v>36895</v>
      </c>
      <c r="AI122" s="417">
        <v>24707</v>
      </c>
      <c r="AJ122" s="417">
        <v>0</v>
      </c>
      <c r="AK122" s="417">
        <v>0</v>
      </c>
      <c r="AL122" s="378">
        <v>3.1520000000000002E-4</v>
      </c>
      <c r="AM122" s="378"/>
      <c r="AN122" s="417">
        <v>0</v>
      </c>
      <c r="AO122" s="417">
        <v>0</v>
      </c>
      <c r="AP122" s="417">
        <v>0</v>
      </c>
      <c r="AQ122" s="417">
        <v>0</v>
      </c>
      <c r="AR122" s="417">
        <v>0</v>
      </c>
    </row>
    <row r="123" spans="1:44">
      <c r="A123" s="377">
        <v>91128</v>
      </c>
      <c r="B123" t="s">
        <v>835</v>
      </c>
      <c r="C123" s="378">
        <v>5.6170000000000005E-4</v>
      </c>
      <c r="D123" s="378"/>
      <c r="E123" s="417">
        <v>117196</v>
      </c>
      <c r="F123" s="417">
        <v>13798</v>
      </c>
      <c r="G123" s="417">
        <v>-73199</v>
      </c>
      <c r="H123" s="417">
        <v>-376605</v>
      </c>
      <c r="I123" s="417">
        <v>0</v>
      </c>
      <c r="J123" s="378">
        <v>5.6170000000000005E-4</v>
      </c>
      <c r="K123" s="378"/>
      <c r="L123" s="417">
        <v>137509</v>
      </c>
      <c r="M123" s="417">
        <v>94968</v>
      </c>
      <c r="N123" s="417">
        <v>41573</v>
      </c>
      <c r="O123" s="417">
        <v>0</v>
      </c>
      <c r="P123" s="417">
        <v>0</v>
      </c>
      <c r="Q123" s="378">
        <v>5.6170000000000005E-4</v>
      </c>
      <c r="R123" s="378"/>
      <c r="S123" s="417">
        <v>-282180</v>
      </c>
      <c r="T123" s="417">
        <v>-278915</v>
      </c>
      <c r="U123" s="417">
        <v>-293011</v>
      </c>
      <c r="V123" s="417">
        <v>-376605</v>
      </c>
      <c r="W123" s="417">
        <v>0</v>
      </c>
      <c r="X123" s="378">
        <v>5.6170000000000005E-4</v>
      </c>
      <c r="Z123" s="417">
        <v>225018</v>
      </c>
      <c r="AA123" s="417">
        <v>158088</v>
      </c>
      <c r="AB123" s="417">
        <v>158087</v>
      </c>
      <c r="AC123" s="417">
        <v>0</v>
      </c>
      <c r="AD123" s="417">
        <v>0</v>
      </c>
      <c r="AE123" s="378">
        <v>5.6170000000000005E-4</v>
      </c>
      <c r="AF123" s="378"/>
      <c r="AG123" s="417">
        <v>45467</v>
      </c>
      <c r="AH123" s="417">
        <v>45468</v>
      </c>
      <c r="AI123" s="417">
        <v>20152</v>
      </c>
      <c r="AJ123" s="417">
        <v>0</v>
      </c>
      <c r="AK123" s="417">
        <v>0</v>
      </c>
      <c r="AL123" s="378">
        <v>5.6170000000000005E-4</v>
      </c>
      <c r="AM123" s="378"/>
      <c r="AN123" s="417">
        <v>-8618</v>
      </c>
      <c r="AO123" s="417">
        <v>-5811</v>
      </c>
      <c r="AP123" s="417">
        <v>0</v>
      </c>
      <c r="AQ123" s="417">
        <v>0</v>
      </c>
      <c r="AR123" s="417">
        <v>0</v>
      </c>
    </row>
    <row r="124" spans="1:44">
      <c r="A124" s="377">
        <v>91138</v>
      </c>
      <c r="B124" t="s">
        <v>836</v>
      </c>
      <c r="C124" s="378">
        <v>4.4339999999999999E-4</v>
      </c>
      <c r="D124" s="378"/>
      <c r="E124" s="417">
        <v>-1285</v>
      </c>
      <c r="F124" s="417">
        <v>-51814</v>
      </c>
      <c r="G124" s="417">
        <v>-76798</v>
      </c>
      <c r="H124" s="417">
        <v>-297288</v>
      </c>
      <c r="I124" s="417">
        <v>0</v>
      </c>
      <c r="J124" s="378">
        <v>4.4339999999999999E-4</v>
      </c>
      <c r="K124" s="378"/>
      <c r="L124" s="417">
        <v>108548</v>
      </c>
      <c r="M124" s="417">
        <v>74967</v>
      </c>
      <c r="N124" s="417">
        <v>32817</v>
      </c>
      <c r="O124" s="417">
        <v>0</v>
      </c>
      <c r="P124" s="417">
        <v>0</v>
      </c>
      <c r="Q124" s="378">
        <v>4.4339999999999999E-4</v>
      </c>
      <c r="R124" s="378"/>
      <c r="S124" s="417">
        <v>-222750</v>
      </c>
      <c r="T124" s="417">
        <v>-220172</v>
      </c>
      <c r="U124" s="417">
        <v>-231300</v>
      </c>
      <c r="V124" s="417">
        <v>-297288</v>
      </c>
      <c r="W124" s="417">
        <v>0</v>
      </c>
      <c r="X124" s="378">
        <v>4.4339999999999999E-4</v>
      </c>
      <c r="Z124" s="417">
        <v>177627</v>
      </c>
      <c r="AA124" s="417">
        <v>124793</v>
      </c>
      <c r="AB124" s="417">
        <v>124792</v>
      </c>
      <c r="AC124" s="417">
        <v>0</v>
      </c>
      <c r="AD124" s="417">
        <v>0</v>
      </c>
      <c r="AE124" s="378">
        <v>4.4339999999999999E-4</v>
      </c>
      <c r="AF124" s="378"/>
      <c r="AG124" s="417">
        <v>0</v>
      </c>
      <c r="AH124" s="417">
        <v>0</v>
      </c>
      <c r="AI124" s="417">
        <v>0</v>
      </c>
      <c r="AJ124" s="417">
        <v>0</v>
      </c>
      <c r="AK124" s="417">
        <v>0</v>
      </c>
      <c r="AL124" s="378">
        <v>4.4339999999999999E-4</v>
      </c>
      <c r="AM124" s="378"/>
      <c r="AN124" s="417">
        <v>-64710</v>
      </c>
      <c r="AO124" s="417">
        <v>-31402</v>
      </c>
      <c r="AP124" s="417">
        <v>-3107</v>
      </c>
      <c r="AQ124" s="417">
        <v>0</v>
      </c>
      <c r="AR124" s="417">
        <v>0</v>
      </c>
    </row>
    <row r="125" spans="1:44">
      <c r="A125" s="377">
        <v>91141</v>
      </c>
      <c r="B125" t="s">
        <v>837</v>
      </c>
      <c r="C125" s="378">
        <v>6.0269999999999996E-4</v>
      </c>
      <c r="D125" s="378"/>
      <c r="E125" s="417">
        <v>44183</v>
      </c>
      <c r="F125" s="417">
        <v>-63933</v>
      </c>
      <c r="G125" s="417">
        <v>-127112</v>
      </c>
      <c r="H125" s="417">
        <v>-404095</v>
      </c>
      <c r="I125" s="417">
        <v>0</v>
      </c>
      <c r="J125" s="378">
        <v>6.0269999999999996E-4</v>
      </c>
      <c r="K125" s="378"/>
      <c r="L125" s="417">
        <v>147546</v>
      </c>
      <c r="M125" s="417">
        <v>101900</v>
      </c>
      <c r="N125" s="417">
        <v>44607</v>
      </c>
      <c r="O125" s="417">
        <v>0</v>
      </c>
      <c r="P125" s="417">
        <v>0</v>
      </c>
      <c r="Q125" s="378">
        <v>6.0269999999999996E-4</v>
      </c>
      <c r="R125" s="378"/>
      <c r="S125" s="417">
        <v>-302777</v>
      </c>
      <c r="T125" s="417">
        <v>-299274</v>
      </c>
      <c r="U125" s="417">
        <v>-314399</v>
      </c>
      <c r="V125" s="417">
        <v>-404095</v>
      </c>
      <c r="W125" s="417">
        <v>0</v>
      </c>
      <c r="X125" s="378">
        <v>6.0269999999999996E-4</v>
      </c>
      <c r="Z125" s="417">
        <v>241443</v>
      </c>
      <c r="AA125" s="417">
        <v>169627</v>
      </c>
      <c r="AB125" s="417">
        <v>169626</v>
      </c>
      <c r="AC125" s="417">
        <v>0</v>
      </c>
      <c r="AD125" s="417">
        <v>0</v>
      </c>
      <c r="AE125" s="378">
        <v>6.0269999999999996E-4</v>
      </c>
      <c r="AF125" s="378"/>
      <c r="AG125" s="417">
        <v>7734</v>
      </c>
      <c r="AH125" s="417">
        <v>7735</v>
      </c>
      <c r="AI125" s="417">
        <v>0</v>
      </c>
      <c r="AJ125" s="417">
        <v>0</v>
      </c>
      <c r="AK125" s="417">
        <v>0</v>
      </c>
      <c r="AL125" s="378">
        <v>6.0269999999999996E-4</v>
      </c>
      <c r="AM125" s="378"/>
      <c r="AN125" s="417">
        <v>-49763</v>
      </c>
      <c r="AO125" s="417">
        <v>-43921</v>
      </c>
      <c r="AP125" s="417">
        <v>-26946</v>
      </c>
      <c r="AQ125" s="417">
        <v>0</v>
      </c>
      <c r="AR125" s="417">
        <v>0</v>
      </c>
    </row>
    <row r="126" spans="1:44">
      <c r="A126" s="377">
        <v>91147</v>
      </c>
      <c r="B126" t="s">
        <v>838</v>
      </c>
      <c r="C126" s="378">
        <v>3.1600000000000002E-5</v>
      </c>
      <c r="D126" s="378"/>
      <c r="E126" s="417">
        <v>9263</v>
      </c>
      <c r="F126" s="417">
        <v>2852</v>
      </c>
      <c r="G126" s="417">
        <v>-2632</v>
      </c>
      <c r="H126" s="417">
        <v>-21187</v>
      </c>
      <c r="I126" s="417">
        <v>0</v>
      </c>
      <c r="J126" s="378">
        <v>3.1600000000000002E-5</v>
      </c>
      <c r="K126" s="378"/>
      <c r="L126" s="417">
        <v>7736</v>
      </c>
      <c r="M126" s="417">
        <v>5343</v>
      </c>
      <c r="N126" s="417">
        <v>2339</v>
      </c>
      <c r="O126" s="417">
        <v>0</v>
      </c>
      <c r="P126" s="417">
        <v>0</v>
      </c>
      <c r="Q126" s="378">
        <v>3.1600000000000002E-5</v>
      </c>
      <c r="R126" s="378"/>
      <c r="S126" s="417">
        <v>-15875</v>
      </c>
      <c r="T126" s="417">
        <v>-15691</v>
      </c>
      <c r="U126" s="417">
        <v>-16484</v>
      </c>
      <c r="V126" s="417">
        <v>-21187</v>
      </c>
      <c r="W126" s="417">
        <v>0</v>
      </c>
      <c r="X126" s="378">
        <v>3.1600000000000002E-5</v>
      </c>
      <c r="Z126" s="417">
        <v>12659</v>
      </c>
      <c r="AA126" s="417">
        <v>8894</v>
      </c>
      <c r="AB126" s="417">
        <v>8894</v>
      </c>
      <c r="AC126" s="417">
        <v>0</v>
      </c>
      <c r="AD126" s="417">
        <v>0</v>
      </c>
      <c r="AE126" s="378">
        <v>3.1600000000000002E-5</v>
      </c>
      <c r="AF126" s="378"/>
      <c r="AG126" s="417">
        <v>4878</v>
      </c>
      <c r="AH126" s="417">
        <v>4442</v>
      </c>
      <c r="AI126" s="417">
        <v>2619</v>
      </c>
      <c r="AJ126" s="417">
        <v>0</v>
      </c>
      <c r="AK126" s="417">
        <v>0</v>
      </c>
      <c r="AL126" s="378">
        <v>3.1600000000000002E-5</v>
      </c>
      <c r="AM126" s="378"/>
      <c r="AN126" s="417">
        <v>-135</v>
      </c>
      <c r="AO126" s="417">
        <v>-136</v>
      </c>
      <c r="AP126" s="417">
        <v>0</v>
      </c>
      <c r="AQ126" s="417">
        <v>0</v>
      </c>
      <c r="AR126" s="417">
        <v>0</v>
      </c>
    </row>
    <row r="127" spans="1:44">
      <c r="A127" s="377">
        <v>91151</v>
      </c>
      <c r="B127" t="s">
        <v>839</v>
      </c>
      <c r="C127" s="378">
        <v>5.7740000000000005E-4</v>
      </c>
      <c r="D127" s="378"/>
      <c r="E127" s="417">
        <v>35302</v>
      </c>
      <c r="F127" s="417">
        <v>-64264</v>
      </c>
      <c r="G127" s="417">
        <v>-118785</v>
      </c>
      <c r="H127" s="417">
        <v>-387132</v>
      </c>
      <c r="I127" s="417">
        <v>0</v>
      </c>
      <c r="J127" s="378">
        <v>5.7740000000000005E-4</v>
      </c>
      <c r="K127" s="378"/>
      <c r="L127" s="417">
        <v>141352</v>
      </c>
      <c r="M127" s="417">
        <v>97622</v>
      </c>
      <c r="N127" s="417">
        <v>42735</v>
      </c>
      <c r="O127" s="417">
        <v>0</v>
      </c>
      <c r="P127" s="417">
        <v>0</v>
      </c>
      <c r="Q127" s="378">
        <v>5.7740000000000005E-4</v>
      </c>
      <c r="R127" s="378"/>
      <c r="S127" s="417">
        <v>-290067</v>
      </c>
      <c r="T127" s="417">
        <v>-286711</v>
      </c>
      <c r="U127" s="417">
        <v>-301201</v>
      </c>
      <c r="V127" s="417">
        <v>-387132</v>
      </c>
      <c r="W127" s="417">
        <v>0</v>
      </c>
      <c r="X127" s="378">
        <v>5.7740000000000005E-4</v>
      </c>
      <c r="Z127" s="417">
        <v>231308</v>
      </c>
      <c r="AA127" s="417">
        <v>162506</v>
      </c>
      <c r="AB127" s="417">
        <v>162505</v>
      </c>
      <c r="AC127" s="417">
        <v>0</v>
      </c>
      <c r="AD127" s="417">
        <v>0</v>
      </c>
      <c r="AE127" s="378">
        <v>5.7740000000000005E-4</v>
      </c>
      <c r="AF127" s="378"/>
      <c r="AG127" s="417">
        <v>0</v>
      </c>
      <c r="AH127" s="417">
        <v>0</v>
      </c>
      <c r="AI127" s="417">
        <v>0</v>
      </c>
      <c r="AJ127" s="417">
        <v>0</v>
      </c>
      <c r="AK127" s="417">
        <v>0</v>
      </c>
      <c r="AL127" s="378">
        <v>5.7740000000000005E-4</v>
      </c>
      <c r="AM127" s="378"/>
      <c r="AN127" s="417">
        <v>-47291</v>
      </c>
      <c r="AO127" s="417">
        <v>-37681</v>
      </c>
      <c r="AP127" s="417">
        <v>-22824</v>
      </c>
      <c r="AQ127" s="417">
        <v>0</v>
      </c>
      <c r="AR127" s="417">
        <v>0</v>
      </c>
    </row>
    <row r="128" spans="1:44">
      <c r="A128" s="377">
        <v>91154</v>
      </c>
      <c r="B128" t="s">
        <v>840</v>
      </c>
      <c r="C128" s="378">
        <v>1.9199999999999999E-5</v>
      </c>
      <c r="D128" s="378"/>
      <c r="E128" s="417">
        <v>342</v>
      </c>
      <c r="F128" s="417">
        <v>-2746</v>
      </c>
      <c r="G128" s="417">
        <v>-4611</v>
      </c>
      <c r="H128" s="417">
        <v>-12873</v>
      </c>
      <c r="I128" s="417">
        <v>0</v>
      </c>
      <c r="J128" s="378">
        <v>1.9199999999999999E-5</v>
      </c>
      <c r="K128" s="378"/>
      <c r="L128" s="417">
        <v>4700</v>
      </c>
      <c r="M128" s="417">
        <v>3246</v>
      </c>
      <c r="N128" s="417">
        <v>1421</v>
      </c>
      <c r="O128" s="417">
        <v>0</v>
      </c>
      <c r="P128" s="417">
        <v>0</v>
      </c>
      <c r="Q128" s="378">
        <v>1.9199999999999999E-5</v>
      </c>
      <c r="R128" s="378"/>
      <c r="S128" s="417">
        <v>-9645</v>
      </c>
      <c r="T128" s="417">
        <v>-9534</v>
      </c>
      <c r="U128" s="417">
        <v>-10016</v>
      </c>
      <c r="V128" s="417">
        <v>-12873</v>
      </c>
      <c r="W128" s="417">
        <v>0</v>
      </c>
      <c r="X128" s="378">
        <v>1.9199999999999999E-5</v>
      </c>
      <c r="Z128" s="417">
        <v>7692</v>
      </c>
      <c r="AA128" s="417">
        <v>5404</v>
      </c>
      <c r="AB128" s="417">
        <v>5404</v>
      </c>
      <c r="AC128" s="417">
        <v>0</v>
      </c>
      <c r="AD128" s="417">
        <v>0</v>
      </c>
      <c r="AE128" s="378">
        <v>1.9199999999999999E-5</v>
      </c>
      <c r="AF128" s="378"/>
      <c r="AG128" s="417">
        <v>489</v>
      </c>
      <c r="AH128" s="417">
        <v>490</v>
      </c>
      <c r="AI128" s="417">
        <v>0</v>
      </c>
      <c r="AJ128" s="417">
        <v>0</v>
      </c>
      <c r="AK128" s="417">
        <v>0</v>
      </c>
      <c r="AL128" s="378">
        <v>1.9199999999999999E-5</v>
      </c>
      <c r="AM128" s="378"/>
      <c r="AN128" s="417">
        <v>-2894</v>
      </c>
      <c r="AO128" s="417">
        <v>-2352</v>
      </c>
      <c r="AP128" s="417">
        <v>-1420</v>
      </c>
      <c r="AQ128" s="417">
        <v>0</v>
      </c>
      <c r="AR128" s="417">
        <v>0</v>
      </c>
    </row>
    <row r="129" spans="1:44">
      <c r="A129" s="377">
        <v>91161</v>
      </c>
      <c r="B129" t="s">
        <v>841</v>
      </c>
      <c r="C129" s="378">
        <v>9.5199999999999997E-5</v>
      </c>
      <c r="D129" s="378"/>
      <c r="E129" s="417">
        <v>9580</v>
      </c>
      <c r="F129" s="417">
        <v>-6232</v>
      </c>
      <c r="G129" s="417">
        <v>-15624</v>
      </c>
      <c r="H129" s="417">
        <v>-63829</v>
      </c>
      <c r="I129" s="417">
        <v>0</v>
      </c>
      <c r="J129" s="378">
        <v>9.5199999999999997E-5</v>
      </c>
      <c r="K129" s="378"/>
      <c r="L129" s="417">
        <v>23306</v>
      </c>
      <c r="M129" s="417">
        <v>16096</v>
      </c>
      <c r="N129" s="417">
        <v>7046</v>
      </c>
      <c r="O129" s="417">
        <v>0</v>
      </c>
      <c r="P129" s="417">
        <v>0</v>
      </c>
      <c r="Q129" s="378">
        <v>9.5199999999999997E-5</v>
      </c>
      <c r="R129" s="378"/>
      <c r="S129" s="417">
        <v>-47825</v>
      </c>
      <c r="T129" s="417">
        <v>-47272</v>
      </c>
      <c r="U129" s="417">
        <v>-49661</v>
      </c>
      <c r="V129" s="417">
        <v>-63829</v>
      </c>
      <c r="W129" s="417">
        <v>0</v>
      </c>
      <c r="X129" s="378">
        <v>9.5199999999999997E-5</v>
      </c>
      <c r="Z129" s="417">
        <v>38137</v>
      </c>
      <c r="AA129" s="417">
        <v>26794</v>
      </c>
      <c r="AB129" s="417">
        <v>26793</v>
      </c>
      <c r="AC129" s="417">
        <v>0</v>
      </c>
      <c r="AD129" s="417">
        <v>0</v>
      </c>
      <c r="AE129" s="378">
        <v>9.5199999999999997E-5</v>
      </c>
      <c r="AF129" s="378"/>
      <c r="AG129" s="417">
        <v>3048</v>
      </c>
      <c r="AH129" s="417">
        <v>3050</v>
      </c>
      <c r="AI129" s="417">
        <v>198</v>
      </c>
      <c r="AJ129" s="417">
        <v>0</v>
      </c>
      <c r="AK129" s="417">
        <v>0</v>
      </c>
      <c r="AL129" s="378">
        <v>9.5199999999999997E-5</v>
      </c>
      <c r="AM129" s="378"/>
      <c r="AN129" s="417">
        <v>-7086</v>
      </c>
      <c r="AO129" s="417">
        <v>-4900</v>
      </c>
      <c r="AP129" s="417">
        <v>0</v>
      </c>
      <c r="AQ129" s="417">
        <v>0</v>
      </c>
      <c r="AR129" s="417">
        <v>0</v>
      </c>
    </row>
    <row r="130" spans="1:44">
      <c r="A130" s="377">
        <v>91171</v>
      </c>
      <c r="B130" t="s">
        <v>842</v>
      </c>
      <c r="C130" s="378">
        <v>2.6140000000000001E-4</v>
      </c>
      <c r="D130" s="378"/>
      <c r="E130" s="417">
        <v>32342</v>
      </c>
      <c r="F130" s="417">
        <v>-23163</v>
      </c>
      <c r="G130" s="417">
        <v>-51701</v>
      </c>
      <c r="H130" s="417">
        <v>-175262</v>
      </c>
      <c r="I130" s="417">
        <v>0</v>
      </c>
      <c r="J130" s="378">
        <v>2.6140000000000001E-4</v>
      </c>
      <c r="K130" s="378"/>
      <c r="L130" s="417">
        <v>63993</v>
      </c>
      <c r="M130" s="417">
        <v>44195</v>
      </c>
      <c r="N130" s="417">
        <v>19347</v>
      </c>
      <c r="O130" s="417">
        <v>0</v>
      </c>
      <c r="P130" s="417">
        <v>0</v>
      </c>
      <c r="Q130" s="378">
        <v>2.6140000000000001E-4</v>
      </c>
      <c r="R130" s="378"/>
      <c r="S130" s="417">
        <v>-131319</v>
      </c>
      <c r="T130" s="417">
        <v>-129799</v>
      </c>
      <c r="U130" s="417">
        <v>-136360</v>
      </c>
      <c r="V130" s="417">
        <v>-175262</v>
      </c>
      <c r="W130" s="417">
        <v>0</v>
      </c>
      <c r="X130" s="378">
        <v>2.6140000000000001E-4</v>
      </c>
      <c r="Z130" s="417">
        <v>104717</v>
      </c>
      <c r="AA130" s="417">
        <v>73570</v>
      </c>
      <c r="AB130" s="417">
        <v>73569</v>
      </c>
      <c r="AC130" s="417">
        <v>0</v>
      </c>
      <c r="AD130" s="417">
        <v>0</v>
      </c>
      <c r="AE130" s="378">
        <v>2.6140000000000001E-4</v>
      </c>
      <c r="AF130" s="378"/>
      <c r="AG130" s="417">
        <v>8277</v>
      </c>
      <c r="AH130" s="417">
        <v>2198</v>
      </c>
      <c r="AI130" s="417">
        <v>0</v>
      </c>
      <c r="AJ130" s="417">
        <v>0</v>
      </c>
      <c r="AK130" s="417">
        <v>0</v>
      </c>
      <c r="AL130" s="378">
        <v>2.6140000000000001E-4</v>
      </c>
      <c r="AM130" s="378"/>
      <c r="AN130" s="417">
        <v>-13326</v>
      </c>
      <c r="AO130" s="417">
        <v>-13327</v>
      </c>
      <c r="AP130" s="417">
        <v>-8257</v>
      </c>
      <c r="AQ130" s="417">
        <v>0</v>
      </c>
      <c r="AR130" s="417">
        <v>0</v>
      </c>
    </row>
    <row r="131" spans="1:44">
      <c r="A131" s="377">
        <v>91201</v>
      </c>
      <c r="B131" t="s">
        <v>843</v>
      </c>
      <c r="C131" s="378">
        <v>2.5525999999999999E-3</v>
      </c>
      <c r="D131" s="378"/>
      <c r="E131" s="417">
        <v>412202</v>
      </c>
      <c r="F131" s="417">
        <v>-55301</v>
      </c>
      <c r="G131" s="417">
        <v>-447877</v>
      </c>
      <c r="H131" s="417">
        <v>-1711452</v>
      </c>
      <c r="I131" s="417">
        <v>0</v>
      </c>
      <c r="J131" s="378">
        <v>2.5525999999999999E-3</v>
      </c>
      <c r="K131" s="378"/>
      <c r="L131" s="417">
        <v>624897</v>
      </c>
      <c r="M131" s="417">
        <v>431573</v>
      </c>
      <c r="N131" s="417">
        <v>188923</v>
      </c>
      <c r="O131" s="417">
        <v>0</v>
      </c>
      <c r="P131" s="417">
        <v>0</v>
      </c>
      <c r="Q131" s="378">
        <v>2.5525999999999999E-3</v>
      </c>
      <c r="R131" s="378"/>
      <c r="S131" s="417">
        <v>-1282345</v>
      </c>
      <c r="T131" s="417">
        <v>-1267506</v>
      </c>
      <c r="U131" s="417">
        <v>-1331566</v>
      </c>
      <c r="V131" s="417">
        <v>-1711452</v>
      </c>
      <c r="W131" s="417">
        <v>0</v>
      </c>
      <c r="X131" s="378">
        <v>2.5525999999999999E-3</v>
      </c>
      <c r="Z131" s="417">
        <v>1022577</v>
      </c>
      <c r="AA131" s="417">
        <v>718417</v>
      </c>
      <c r="AB131" s="417">
        <v>718411</v>
      </c>
      <c r="AC131" s="417">
        <v>0</v>
      </c>
      <c r="AD131" s="417">
        <v>0</v>
      </c>
      <c r="AE131" s="378">
        <v>2.5525999999999999E-3</v>
      </c>
      <c r="AF131" s="378"/>
      <c r="AG131" s="417">
        <v>93163</v>
      </c>
      <c r="AH131" s="417">
        <v>93161</v>
      </c>
      <c r="AI131" s="417">
        <v>0</v>
      </c>
      <c r="AJ131" s="417">
        <v>0</v>
      </c>
      <c r="AK131" s="417">
        <v>0</v>
      </c>
      <c r="AL131" s="378">
        <v>2.5525999999999999E-3</v>
      </c>
      <c r="AM131" s="378"/>
      <c r="AN131" s="417">
        <v>-46090</v>
      </c>
      <c r="AO131" s="417">
        <v>-30946</v>
      </c>
      <c r="AP131" s="417">
        <v>-23645</v>
      </c>
      <c r="AQ131" s="417">
        <v>0</v>
      </c>
      <c r="AR131" s="417">
        <v>0</v>
      </c>
    </row>
    <row r="132" spans="1:44">
      <c r="A132" s="377">
        <v>91202</v>
      </c>
      <c r="B132" t="s">
        <v>844</v>
      </c>
      <c r="C132" s="378">
        <v>0</v>
      </c>
      <c r="D132" s="378"/>
      <c r="E132" s="417">
        <v>-85930</v>
      </c>
      <c r="F132" s="417">
        <v>-86913</v>
      </c>
      <c r="G132" s="417">
        <v>-41595</v>
      </c>
      <c r="H132" s="417">
        <v>0</v>
      </c>
      <c r="I132" s="417">
        <v>0</v>
      </c>
      <c r="J132" s="378">
        <v>0</v>
      </c>
      <c r="K132" s="378"/>
      <c r="L132" s="417">
        <v>0</v>
      </c>
      <c r="M132" s="417">
        <v>0</v>
      </c>
      <c r="N132" s="417">
        <v>0</v>
      </c>
      <c r="O132" s="417">
        <v>0</v>
      </c>
      <c r="P132" s="417">
        <v>0</v>
      </c>
      <c r="Q132" s="378">
        <v>0</v>
      </c>
      <c r="R132" s="378"/>
      <c r="S132" s="417">
        <v>0</v>
      </c>
      <c r="T132" s="417">
        <v>0</v>
      </c>
      <c r="U132" s="417">
        <v>0</v>
      </c>
      <c r="V132" s="417">
        <v>0</v>
      </c>
      <c r="W132" s="417">
        <v>0</v>
      </c>
      <c r="X132" s="378">
        <v>0</v>
      </c>
      <c r="Z132" s="417">
        <v>0</v>
      </c>
      <c r="AA132" s="417">
        <v>0</v>
      </c>
      <c r="AB132" s="417">
        <v>0</v>
      </c>
      <c r="AC132" s="417">
        <v>0</v>
      </c>
      <c r="AD132" s="417">
        <v>0</v>
      </c>
      <c r="AE132" s="378">
        <v>0</v>
      </c>
      <c r="AF132" s="378"/>
      <c r="AG132" s="417">
        <v>980</v>
      </c>
      <c r="AH132" s="417">
        <v>0</v>
      </c>
      <c r="AI132" s="417">
        <v>0</v>
      </c>
      <c r="AJ132" s="417">
        <v>0</v>
      </c>
      <c r="AK132" s="417">
        <v>0</v>
      </c>
      <c r="AL132" s="378">
        <v>0</v>
      </c>
      <c r="AM132" s="378"/>
      <c r="AN132" s="417">
        <v>-86910</v>
      </c>
      <c r="AO132" s="417">
        <v>-86913</v>
      </c>
      <c r="AP132" s="417">
        <v>-41595</v>
      </c>
      <c r="AQ132" s="417">
        <v>0</v>
      </c>
      <c r="AR132" s="417">
        <v>0</v>
      </c>
    </row>
    <row r="133" spans="1:44">
      <c r="A133" s="377">
        <v>91203</v>
      </c>
      <c r="B133" t="s">
        <v>845</v>
      </c>
      <c r="C133" s="378">
        <v>2.453E-4</v>
      </c>
      <c r="D133" s="378"/>
      <c r="E133" s="417">
        <v>64802</v>
      </c>
      <c r="F133" s="417">
        <v>11619</v>
      </c>
      <c r="G133" s="417">
        <v>-30888</v>
      </c>
      <c r="H133" s="417">
        <v>-164467</v>
      </c>
      <c r="I133" s="417">
        <v>0</v>
      </c>
      <c r="J133" s="378">
        <v>2.453E-4</v>
      </c>
      <c r="K133" s="378"/>
      <c r="L133" s="417">
        <v>60051</v>
      </c>
      <c r="M133" s="417">
        <v>41473</v>
      </c>
      <c r="N133" s="417">
        <v>18155</v>
      </c>
      <c r="O133" s="417">
        <v>0</v>
      </c>
      <c r="P133" s="417">
        <v>0</v>
      </c>
      <c r="Q133" s="378">
        <v>2.453E-4</v>
      </c>
      <c r="R133" s="378"/>
      <c r="S133" s="417">
        <v>-123231</v>
      </c>
      <c r="T133" s="417">
        <v>-121805</v>
      </c>
      <c r="U133" s="417">
        <v>-127961</v>
      </c>
      <c r="V133" s="417">
        <v>-164467</v>
      </c>
      <c r="W133" s="417">
        <v>0</v>
      </c>
      <c r="X133" s="378">
        <v>2.453E-4</v>
      </c>
      <c r="Z133" s="417">
        <v>98268</v>
      </c>
      <c r="AA133" s="417">
        <v>69038</v>
      </c>
      <c r="AB133" s="417">
        <v>69038</v>
      </c>
      <c r="AC133" s="417">
        <v>0</v>
      </c>
      <c r="AD133" s="417">
        <v>0</v>
      </c>
      <c r="AE133" s="378">
        <v>2.453E-4</v>
      </c>
      <c r="AF133" s="378"/>
      <c r="AG133" s="417">
        <v>29714</v>
      </c>
      <c r="AH133" s="417">
        <v>22913</v>
      </c>
      <c r="AI133" s="417">
        <v>9880</v>
      </c>
      <c r="AJ133" s="417">
        <v>0</v>
      </c>
      <c r="AK133" s="417">
        <v>0</v>
      </c>
      <c r="AL133" s="378">
        <v>2.453E-4</v>
      </c>
      <c r="AM133" s="378"/>
      <c r="AN133" s="417">
        <v>0</v>
      </c>
      <c r="AO133" s="417">
        <v>0</v>
      </c>
      <c r="AP133" s="417">
        <v>0</v>
      </c>
      <c r="AQ133" s="417">
        <v>0</v>
      </c>
      <c r="AR133" s="417">
        <v>0</v>
      </c>
    </row>
    <row r="134" spans="1:44">
      <c r="A134" s="377">
        <v>91206</v>
      </c>
      <c r="B134" t="s">
        <v>846</v>
      </c>
      <c r="C134" s="378">
        <v>9.9869999999999994E-4</v>
      </c>
      <c r="D134" s="378"/>
      <c r="E134" s="417">
        <v>178588</v>
      </c>
      <c r="F134" s="417">
        <v>-17372</v>
      </c>
      <c r="G134" s="417">
        <v>-124307</v>
      </c>
      <c r="H134" s="417">
        <v>-669602</v>
      </c>
      <c r="I134" s="417">
        <v>0</v>
      </c>
      <c r="J134" s="378">
        <v>9.9869999999999994E-4</v>
      </c>
      <c r="K134" s="378"/>
      <c r="L134" s="417">
        <v>244490</v>
      </c>
      <c r="M134" s="417">
        <v>168852</v>
      </c>
      <c r="N134" s="417">
        <v>73916</v>
      </c>
      <c r="O134" s="417">
        <v>0</v>
      </c>
      <c r="P134" s="417">
        <v>0</v>
      </c>
      <c r="Q134" s="378">
        <v>9.9869999999999994E-4</v>
      </c>
      <c r="R134" s="378"/>
      <c r="S134" s="417">
        <v>-501715</v>
      </c>
      <c r="T134" s="417">
        <v>-495909</v>
      </c>
      <c r="U134" s="417">
        <v>-520973</v>
      </c>
      <c r="V134" s="417">
        <v>-669602</v>
      </c>
      <c r="W134" s="417">
        <v>0</v>
      </c>
      <c r="X134" s="378">
        <v>9.9869999999999994E-4</v>
      </c>
      <c r="Z134" s="417">
        <v>400081</v>
      </c>
      <c r="AA134" s="417">
        <v>281079</v>
      </c>
      <c r="AB134" s="417">
        <v>281077</v>
      </c>
      <c r="AC134" s="417">
        <v>0</v>
      </c>
      <c r="AD134" s="417">
        <v>0</v>
      </c>
      <c r="AE134" s="378">
        <v>9.9869999999999994E-4</v>
      </c>
      <c r="AF134" s="378"/>
      <c r="AG134" s="417">
        <v>55143</v>
      </c>
      <c r="AH134" s="417">
        <v>48018</v>
      </c>
      <c r="AI134" s="417">
        <v>41673</v>
      </c>
      <c r="AJ134" s="417">
        <v>0</v>
      </c>
      <c r="AK134" s="417">
        <v>0</v>
      </c>
      <c r="AL134" s="378">
        <v>9.9869999999999994E-4</v>
      </c>
      <c r="AM134" s="378"/>
      <c r="AN134" s="417">
        <v>-19411</v>
      </c>
      <c r="AO134" s="417">
        <v>-19412</v>
      </c>
      <c r="AP134" s="417">
        <v>0</v>
      </c>
      <c r="AQ134" s="417">
        <v>0</v>
      </c>
      <c r="AR134" s="417">
        <v>0</v>
      </c>
    </row>
    <row r="135" spans="1:44">
      <c r="A135" s="377">
        <v>91208</v>
      </c>
      <c r="B135" t="s">
        <v>847</v>
      </c>
      <c r="C135" s="378">
        <v>1.5999999999999999E-5</v>
      </c>
      <c r="D135" s="378"/>
      <c r="E135" s="417">
        <v>2797</v>
      </c>
      <c r="F135" s="417">
        <v>-99</v>
      </c>
      <c r="G135" s="417">
        <v>-2296</v>
      </c>
      <c r="H135" s="417">
        <v>-10728</v>
      </c>
      <c r="I135" s="417">
        <v>0</v>
      </c>
      <c r="J135" s="378">
        <v>1.5999999999999999E-5</v>
      </c>
      <c r="K135" s="378"/>
      <c r="L135" s="417">
        <v>3917</v>
      </c>
      <c r="M135" s="417">
        <v>2705</v>
      </c>
      <c r="N135" s="417">
        <v>1184</v>
      </c>
      <c r="O135" s="417">
        <v>0</v>
      </c>
      <c r="P135" s="417">
        <v>0</v>
      </c>
      <c r="Q135" s="378">
        <v>1.5999999999999999E-5</v>
      </c>
      <c r="R135" s="378"/>
      <c r="S135" s="417">
        <v>-8038</v>
      </c>
      <c r="T135" s="417">
        <v>-7945</v>
      </c>
      <c r="U135" s="417">
        <v>-8346</v>
      </c>
      <c r="V135" s="417">
        <v>-10728</v>
      </c>
      <c r="W135" s="417">
        <v>0</v>
      </c>
      <c r="X135" s="378">
        <v>1.5999999999999999E-5</v>
      </c>
      <c r="Z135" s="417">
        <v>6410</v>
      </c>
      <c r="AA135" s="417">
        <v>4503</v>
      </c>
      <c r="AB135" s="417">
        <v>4503</v>
      </c>
      <c r="AC135" s="417">
        <v>0</v>
      </c>
      <c r="AD135" s="417">
        <v>0</v>
      </c>
      <c r="AE135" s="378">
        <v>1.5999999999999999E-5</v>
      </c>
      <c r="AF135" s="378"/>
      <c r="AG135" s="417">
        <v>1603</v>
      </c>
      <c r="AH135" s="417">
        <v>1605</v>
      </c>
      <c r="AI135" s="417">
        <v>363</v>
      </c>
      <c r="AJ135" s="417">
        <v>0</v>
      </c>
      <c r="AK135" s="417">
        <v>0</v>
      </c>
      <c r="AL135" s="378">
        <v>1.5999999999999999E-5</v>
      </c>
      <c r="AM135" s="378"/>
      <c r="AN135" s="417">
        <v>-1095</v>
      </c>
      <c r="AO135" s="417">
        <v>-967</v>
      </c>
      <c r="AP135" s="417">
        <v>0</v>
      </c>
      <c r="AQ135" s="417">
        <v>0</v>
      </c>
      <c r="AR135" s="417">
        <v>0</v>
      </c>
    </row>
    <row r="136" spans="1:44">
      <c r="A136" s="377">
        <v>91211</v>
      </c>
      <c r="B136" t="s">
        <v>848</v>
      </c>
      <c r="C136" s="378">
        <v>4.2250000000000002E-4</v>
      </c>
      <c r="D136" s="378"/>
      <c r="E136" s="417">
        <v>29151</v>
      </c>
      <c r="F136" s="417">
        <v>-47008</v>
      </c>
      <c r="G136" s="417">
        <v>-103884</v>
      </c>
      <c r="H136" s="417">
        <v>-283275</v>
      </c>
      <c r="I136" s="417">
        <v>0</v>
      </c>
      <c r="J136" s="378">
        <v>4.2250000000000002E-4</v>
      </c>
      <c r="K136" s="378"/>
      <c r="L136" s="417">
        <v>103431</v>
      </c>
      <c r="M136" s="417">
        <v>71433</v>
      </c>
      <c r="N136" s="417">
        <v>31270</v>
      </c>
      <c r="O136" s="417">
        <v>0</v>
      </c>
      <c r="P136" s="417">
        <v>0</v>
      </c>
      <c r="Q136" s="378">
        <v>4.2250000000000002E-4</v>
      </c>
      <c r="R136" s="378"/>
      <c r="S136" s="417">
        <v>-212250</v>
      </c>
      <c r="T136" s="417">
        <v>-209794</v>
      </c>
      <c r="U136" s="417">
        <v>-220398</v>
      </c>
      <c r="V136" s="417">
        <v>-283275</v>
      </c>
      <c r="W136" s="417">
        <v>0</v>
      </c>
      <c r="X136" s="378">
        <v>4.2250000000000002E-4</v>
      </c>
      <c r="Z136" s="417">
        <v>169254</v>
      </c>
      <c r="AA136" s="417">
        <v>118911</v>
      </c>
      <c r="AB136" s="417">
        <v>118910</v>
      </c>
      <c r="AC136" s="417">
        <v>0</v>
      </c>
      <c r="AD136" s="417">
        <v>0</v>
      </c>
      <c r="AE136" s="378">
        <v>4.2250000000000002E-4</v>
      </c>
      <c r="AF136" s="378"/>
      <c r="AG136" s="417">
        <v>10993</v>
      </c>
      <c r="AH136" s="417">
        <v>10993</v>
      </c>
      <c r="AI136" s="417">
        <v>0</v>
      </c>
      <c r="AJ136" s="417">
        <v>0</v>
      </c>
      <c r="AK136" s="417">
        <v>0</v>
      </c>
      <c r="AL136" s="378">
        <v>4.2250000000000002E-4</v>
      </c>
      <c r="AM136" s="378"/>
      <c r="AN136" s="417">
        <v>-42277</v>
      </c>
      <c r="AO136" s="417">
        <v>-38551</v>
      </c>
      <c r="AP136" s="417">
        <v>-33666</v>
      </c>
      <c r="AQ136" s="417">
        <v>0</v>
      </c>
      <c r="AR136" s="417">
        <v>0</v>
      </c>
    </row>
    <row r="137" spans="1:44">
      <c r="A137" s="377">
        <v>91213</v>
      </c>
      <c r="B137" t="s">
        <v>849</v>
      </c>
      <c r="C137" s="378">
        <v>2.2399999999999999E-5</v>
      </c>
      <c r="D137" s="378"/>
      <c r="E137" s="417">
        <v>-959</v>
      </c>
      <c r="F137" s="417">
        <v>-3728</v>
      </c>
      <c r="G137" s="417">
        <v>-6925</v>
      </c>
      <c r="H137" s="417">
        <v>-15019</v>
      </c>
      <c r="I137" s="417">
        <v>0</v>
      </c>
      <c r="J137" s="378">
        <v>2.2399999999999999E-5</v>
      </c>
      <c r="K137" s="378"/>
      <c r="L137" s="417">
        <v>5484</v>
      </c>
      <c r="M137" s="417">
        <v>3787</v>
      </c>
      <c r="N137" s="417">
        <v>1658</v>
      </c>
      <c r="O137" s="417">
        <v>0</v>
      </c>
      <c r="P137" s="417">
        <v>0</v>
      </c>
      <c r="Q137" s="378">
        <v>2.2399999999999999E-5</v>
      </c>
      <c r="R137" s="378"/>
      <c r="S137" s="417">
        <v>-11253</v>
      </c>
      <c r="T137" s="417">
        <v>-11123</v>
      </c>
      <c r="U137" s="417">
        <v>-11685</v>
      </c>
      <c r="V137" s="417">
        <v>-15019</v>
      </c>
      <c r="W137" s="417">
        <v>0</v>
      </c>
      <c r="X137" s="378">
        <v>2.2399999999999999E-5</v>
      </c>
      <c r="Z137" s="417">
        <v>8973</v>
      </c>
      <c r="AA137" s="417">
        <v>6304</v>
      </c>
      <c r="AB137" s="417">
        <v>6304</v>
      </c>
      <c r="AC137" s="417">
        <v>0</v>
      </c>
      <c r="AD137" s="417">
        <v>0</v>
      </c>
      <c r="AE137" s="378">
        <v>2.2399999999999999E-5</v>
      </c>
      <c r="AF137" s="378"/>
      <c r="AG137" s="417">
        <v>645</v>
      </c>
      <c r="AH137" s="417">
        <v>647</v>
      </c>
      <c r="AI137" s="417">
        <v>0</v>
      </c>
      <c r="AJ137" s="417">
        <v>0</v>
      </c>
      <c r="AK137" s="417">
        <v>0</v>
      </c>
      <c r="AL137" s="378">
        <v>2.2399999999999999E-5</v>
      </c>
      <c r="AM137" s="378"/>
      <c r="AN137" s="417">
        <v>-4808</v>
      </c>
      <c r="AO137" s="417">
        <v>-3343</v>
      </c>
      <c r="AP137" s="417">
        <v>-3202</v>
      </c>
      <c r="AQ137" s="417">
        <v>0</v>
      </c>
      <c r="AR137" s="417">
        <v>0</v>
      </c>
    </row>
    <row r="138" spans="1:44">
      <c r="A138" s="377">
        <v>91214</v>
      </c>
      <c r="B138" t="s">
        <v>850</v>
      </c>
      <c r="C138" s="378">
        <v>3.5200000000000002E-5</v>
      </c>
      <c r="D138" s="378"/>
      <c r="E138" s="417">
        <v>1176</v>
      </c>
      <c r="F138" s="417">
        <v>-5071</v>
      </c>
      <c r="G138" s="417">
        <v>-7984</v>
      </c>
      <c r="H138" s="417">
        <v>-23601</v>
      </c>
      <c r="I138" s="417">
        <v>0</v>
      </c>
      <c r="J138" s="378">
        <v>3.5200000000000002E-5</v>
      </c>
      <c r="K138" s="378"/>
      <c r="L138" s="417">
        <v>8617</v>
      </c>
      <c r="M138" s="417">
        <v>5951</v>
      </c>
      <c r="N138" s="417">
        <v>2605</v>
      </c>
      <c r="O138" s="417">
        <v>0</v>
      </c>
      <c r="P138" s="417">
        <v>0</v>
      </c>
      <c r="Q138" s="378">
        <v>3.5200000000000002E-5</v>
      </c>
      <c r="R138" s="378"/>
      <c r="S138" s="417">
        <v>-17683</v>
      </c>
      <c r="T138" s="417">
        <v>-17479</v>
      </c>
      <c r="U138" s="417">
        <v>-18362</v>
      </c>
      <c r="V138" s="417">
        <v>-23601</v>
      </c>
      <c r="W138" s="417">
        <v>0</v>
      </c>
      <c r="X138" s="378">
        <v>3.5200000000000002E-5</v>
      </c>
      <c r="Z138" s="417">
        <v>14101</v>
      </c>
      <c r="AA138" s="417">
        <v>9907</v>
      </c>
      <c r="AB138" s="417">
        <v>9907</v>
      </c>
      <c r="AC138" s="417">
        <v>0</v>
      </c>
      <c r="AD138" s="417">
        <v>0</v>
      </c>
      <c r="AE138" s="378">
        <v>3.5200000000000002E-5</v>
      </c>
      <c r="AF138" s="378"/>
      <c r="AG138" s="417">
        <v>154</v>
      </c>
      <c r="AH138" s="417">
        <v>154</v>
      </c>
      <c r="AI138" s="417">
        <v>0</v>
      </c>
      <c r="AJ138" s="417">
        <v>0</v>
      </c>
      <c r="AK138" s="417">
        <v>0</v>
      </c>
      <c r="AL138" s="378">
        <v>3.5200000000000002E-5</v>
      </c>
      <c r="AM138" s="378"/>
      <c r="AN138" s="417">
        <v>-4013</v>
      </c>
      <c r="AO138" s="417">
        <v>-3604</v>
      </c>
      <c r="AP138" s="417">
        <v>-2134</v>
      </c>
      <c r="AQ138" s="417">
        <v>0</v>
      </c>
      <c r="AR138" s="417">
        <v>0</v>
      </c>
    </row>
    <row r="139" spans="1:44">
      <c r="A139" s="377">
        <v>91217</v>
      </c>
      <c r="B139" t="s">
        <v>851</v>
      </c>
      <c r="C139" s="378">
        <v>2.6699999999999998E-5</v>
      </c>
      <c r="D139" s="378"/>
      <c r="E139" s="417">
        <v>11733</v>
      </c>
      <c r="F139" s="417">
        <v>7494</v>
      </c>
      <c r="G139" s="417">
        <v>-93</v>
      </c>
      <c r="H139" s="417">
        <v>-17902</v>
      </c>
      <c r="I139" s="417">
        <v>0</v>
      </c>
      <c r="J139" s="378">
        <v>2.6699999999999998E-5</v>
      </c>
      <c r="K139" s="378"/>
      <c r="L139" s="417">
        <v>6536</v>
      </c>
      <c r="M139" s="417">
        <v>4514</v>
      </c>
      <c r="N139" s="417">
        <v>1976</v>
      </c>
      <c r="O139" s="417">
        <v>0</v>
      </c>
      <c r="P139" s="417">
        <v>0</v>
      </c>
      <c r="Q139" s="378">
        <v>2.6699999999999998E-5</v>
      </c>
      <c r="R139" s="378"/>
      <c r="S139" s="417">
        <v>-13413</v>
      </c>
      <c r="T139" s="417">
        <v>-13258</v>
      </c>
      <c r="U139" s="417">
        <v>-13928</v>
      </c>
      <c r="V139" s="417">
        <v>-17902</v>
      </c>
      <c r="W139" s="417">
        <v>0</v>
      </c>
      <c r="X139" s="378">
        <v>2.6699999999999998E-5</v>
      </c>
      <c r="Z139" s="417">
        <v>10696</v>
      </c>
      <c r="AA139" s="417">
        <v>7515</v>
      </c>
      <c r="AB139" s="417">
        <v>7515</v>
      </c>
      <c r="AC139" s="417">
        <v>0</v>
      </c>
      <c r="AD139" s="417">
        <v>0</v>
      </c>
      <c r="AE139" s="378">
        <v>2.6699999999999998E-5</v>
      </c>
      <c r="AF139" s="378"/>
      <c r="AG139" s="417">
        <v>8726</v>
      </c>
      <c r="AH139" s="417">
        <v>8723</v>
      </c>
      <c r="AI139" s="417">
        <v>4344</v>
      </c>
      <c r="AJ139" s="417">
        <v>0</v>
      </c>
      <c r="AK139" s="417">
        <v>0</v>
      </c>
      <c r="AL139" s="378">
        <v>2.6699999999999998E-5</v>
      </c>
      <c r="AM139" s="378"/>
      <c r="AN139" s="417">
        <v>-812</v>
      </c>
      <c r="AO139" s="417">
        <v>0</v>
      </c>
      <c r="AP139" s="417">
        <v>0</v>
      </c>
      <c r="AQ139" s="417">
        <v>0</v>
      </c>
      <c r="AR139" s="417">
        <v>0</v>
      </c>
    </row>
    <row r="140" spans="1:44">
      <c r="A140" s="377">
        <v>91221</v>
      </c>
      <c r="B140" t="s">
        <v>852</v>
      </c>
      <c r="C140" s="378">
        <v>9.9099999999999996E-5</v>
      </c>
      <c r="D140" s="378"/>
      <c r="E140" s="417">
        <v>6574</v>
      </c>
      <c r="F140" s="417">
        <v>-9782</v>
      </c>
      <c r="G140" s="417">
        <v>-17353</v>
      </c>
      <c r="H140" s="417">
        <v>-66444</v>
      </c>
      <c r="I140" s="417">
        <v>0</v>
      </c>
      <c r="J140" s="378">
        <v>9.9099999999999996E-5</v>
      </c>
      <c r="K140" s="378"/>
      <c r="L140" s="417">
        <v>24260</v>
      </c>
      <c r="M140" s="417">
        <v>16755</v>
      </c>
      <c r="N140" s="417">
        <v>7335</v>
      </c>
      <c r="O140" s="417">
        <v>0</v>
      </c>
      <c r="P140" s="417">
        <v>0</v>
      </c>
      <c r="Q140" s="378">
        <v>9.9099999999999996E-5</v>
      </c>
      <c r="R140" s="378"/>
      <c r="S140" s="417">
        <v>-49785</v>
      </c>
      <c r="T140" s="417">
        <v>-49209</v>
      </c>
      <c r="U140" s="417">
        <v>-51696</v>
      </c>
      <c r="V140" s="417">
        <v>-66444</v>
      </c>
      <c r="W140" s="417">
        <v>0</v>
      </c>
      <c r="X140" s="378">
        <v>9.9099999999999996E-5</v>
      </c>
      <c r="Z140" s="417">
        <v>39700</v>
      </c>
      <c r="AA140" s="417">
        <v>27891</v>
      </c>
      <c r="AB140" s="417">
        <v>27891</v>
      </c>
      <c r="AC140" s="417">
        <v>0</v>
      </c>
      <c r="AD140" s="417">
        <v>0</v>
      </c>
      <c r="AE140" s="378">
        <v>9.9099999999999996E-5</v>
      </c>
      <c r="AF140" s="378"/>
      <c r="AG140" s="417">
        <v>0</v>
      </c>
      <c r="AH140" s="417">
        <v>0</v>
      </c>
      <c r="AI140" s="417">
        <v>0</v>
      </c>
      <c r="AJ140" s="417">
        <v>0</v>
      </c>
      <c r="AK140" s="417">
        <v>0</v>
      </c>
      <c r="AL140" s="378">
        <v>9.9099999999999996E-5</v>
      </c>
      <c r="AM140" s="378"/>
      <c r="AN140" s="417">
        <v>-7601</v>
      </c>
      <c r="AO140" s="417">
        <v>-5219</v>
      </c>
      <c r="AP140" s="417">
        <v>-883</v>
      </c>
      <c r="AQ140" s="417">
        <v>0</v>
      </c>
      <c r="AR140" s="417">
        <v>0</v>
      </c>
    </row>
    <row r="141" spans="1:44">
      <c r="A141" s="377">
        <v>91231</v>
      </c>
      <c r="B141" t="s">
        <v>853</v>
      </c>
      <c r="C141" s="378">
        <v>1.8575E-3</v>
      </c>
      <c r="D141" s="378"/>
      <c r="E141" s="417">
        <v>249427</v>
      </c>
      <c r="F141" s="417">
        <v>-96169</v>
      </c>
      <c r="G141" s="417">
        <v>-342536</v>
      </c>
      <c r="H141" s="417">
        <v>-1245405</v>
      </c>
      <c r="I141" s="417">
        <v>0</v>
      </c>
      <c r="J141" s="378">
        <v>1.8575E-3</v>
      </c>
      <c r="K141" s="378"/>
      <c r="L141" s="417">
        <v>454731</v>
      </c>
      <c r="M141" s="417">
        <v>314051</v>
      </c>
      <c r="N141" s="417">
        <v>137477</v>
      </c>
      <c r="O141" s="417">
        <v>0</v>
      </c>
      <c r="P141" s="417">
        <v>0</v>
      </c>
      <c r="Q141" s="378">
        <v>1.8575E-3</v>
      </c>
      <c r="R141" s="378"/>
      <c r="S141" s="417">
        <v>-933149</v>
      </c>
      <c r="T141" s="417">
        <v>-922351</v>
      </c>
      <c r="U141" s="417">
        <v>-968967</v>
      </c>
      <c r="V141" s="417">
        <v>-1245405</v>
      </c>
      <c r="W141" s="417">
        <v>0</v>
      </c>
      <c r="X141" s="378">
        <v>1.8575E-3</v>
      </c>
      <c r="Z141" s="417">
        <v>744118</v>
      </c>
      <c r="AA141" s="417">
        <v>522784</v>
      </c>
      <c r="AB141" s="417">
        <v>522780</v>
      </c>
      <c r="AC141" s="417">
        <v>0</v>
      </c>
      <c r="AD141" s="417">
        <v>0</v>
      </c>
      <c r="AE141" s="378">
        <v>1.8575E-3</v>
      </c>
      <c r="AF141" s="378"/>
      <c r="AG141" s="417">
        <v>23177</v>
      </c>
      <c r="AH141" s="417">
        <v>23174</v>
      </c>
      <c r="AI141" s="417">
        <v>0</v>
      </c>
      <c r="AJ141" s="417">
        <v>0</v>
      </c>
      <c r="AK141" s="417">
        <v>0</v>
      </c>
      <c r="AL141" s="378">
        <v>1.8575E-3</v>
      </c>
      <c r="AM141" s="378"/>
      <c r="AN141" s="417">
        <v>-39450</v>
      </c>
      <c r="AO141" s="417">
        <v>-33827</v>
      </c>
      <c r="AP141" s="417">
        <v>-33826</v>
      </c>
      <c r="AQ141" s="417">
        <v>0</v>
      </c>
      <c r="AR141" s="417">
        <v>0</v>
      </c>
    </row>
    <row r="142" spans="1:44">
      <c r="A142" s="377">
        <v>91233</v>
      </c>
      <c r="B142" t="s">
        <v>854</v>
      </c>
      <c r="C142" s="378">
        <v>6.5199999999999999E-5</v>
      </c>
      <c r="D142" s="378"/>
      <c r="E142" s="417">
        <v>7247</v>
      </c>
      <c r="F142" s="417">
        <v>-3499</v>
      </c>
      <c r="G142" s="417">
        <v>-13671</v>
      </c>
      <c r="H142" s="417">
        <v>-43715</v>
      </c>
      <c r="I142" s="417">
        <v>0</v>
      </c>
      <c r="J142" s="378">
        <v>6.5199999999999999E-5</v>
      </c>
      <c r="K142" s="378"/>
      <c r="L142" s="417">
        <v>15961</v>
      </c>
      <c r="M142" s="417">
        <v>11023</v>
      </c>
      <c r="N142" s="417">
        <v>4826</v>
      </c>
      <c r="O142" s="417">
        <v>0</v>
      </c>
      <c r="P142" s="417">
        <v>0</v>
      </c>
      <c r="Q142" s="378">
        <v>6.5199999999999999E-5</v>
      </c>
      <c r="R142" s="378"/>
      <c r="S142" s="417">
        <v>-32754</v>
      </c>
      <c r="T142" s="417">
        <v>-32375</v>
      </c>
      <c r="U142" s="417">
        <v>-34012</v>
      </c>
      <c r="V142" s="417">
        <v>-43715</v>
      </c>
      <c r="W142" s="417">
        <v>0</v>
      </c>
      <c r="X142" s="378">
        <v>6.5199999999999999E-5</v>
      </c>
      <c r="Z142" s="417">
        <v>26119</v>
      </c>
      <c r="AA142" s="417">
        <v>18350</v>
      </c>
      <c r="AB142" s="417">
        <v>18350</v>
      </c>
      <c r="AC142" s="417">
        <v>0</v>
      </c>
      <c r="AD142" s="417">
        <v>0</v>
      </c>
      <c r="AE142" s="378">
        <v>6.5199999999999999E-5</v>
      </c>
      <c r="AF142" s="378"/>
      <c r="AG142" s="417">
        <v>2340</v>
      </c>
      <c r="AH142" s="417">
        <v>2339</v>
      </c>
      <c r="AI142" s="417">
        <v>0</v>
      </c>
      <c r="AJ142" s="417">
        <v>0</v>
      </c>
      <c r="AK142" s="417">
        <v>0</v>
      </c>
      <c r="AL142" s="378">
        <v>6.5199999999999999E-5</v>
      </c>
      <c r="AM142" s="378"/>
      <c r="AN142" s="417">
        <v>-4419</v>
      </c>
      <c r="AO142" s="417">
        <v>-2836</v>
      </c>
      <c r="AP142" s="417">
        <v>-2835</v>
      </c>
      <c r="AQ142" s="417">
        <v>0</v>
      </c>
      <c r="AR142" s="417">
        <v>0</v>
      </c>
    </row>
    <row r="143" spans="1:44">
      <c r="A143" s="377">
        <v>91241</v>
      </c>
      <c r="B143" t="s">
        <v>855</v>
      </c>
      <c r="C143" s="378">
        <v>3.4999999999999997E-5</v>
      </c>
      <c r="D143" s="378"/>
      <c r="E143" s="417">
        <v>1553</v>
      </c>
      <c r="F143" s="417">
        <v>-8006</v>
      </c>
      <c r="G143" s="417">
        <v>-3865</v>
      </c>
      <c r="H143" s="417">
        <v>-23467</v>
      </c>
      <c r="I143" s="417">
        <v>0</v>
      </c>
      <c r="J143" s="378">
        <v>3.4999999999999997E-5</v>
      </c>
      <c r="K143" s="378"/>
      <c r="L143" s="417">
        <v>8568</v>
      </c>
      <c r="M143" s="417">
        <v>5918</v>
      </c>
      <c r="N143" s="417">
        <v>2590</v>
      </c>
      <c r="O143" s="417">
        <v>0</v>
      </c>
      <c r="P143" s="417">
        <v>0</v>
      </c>
      <c r="Q143" s="378">
        <v>3.4999999999999997E-5</v>
      </c>
      <c r="R143" s="378"/>
      <c r="S143" s="417">
        <v>-17583</v>
      </c>
      <c r="T143" s="417">
        <v>-17379</v>
      </c>
      <c r="U143" s="417">
        <v>-18258</v>
      </c>
      <c r="V143" s="417">
        <v>-23467</v>
      </c>
      <c r="W143" s="417">
        <v>0</v>
      </c>
      <c r="X143" s="378">
        <v>3.4999999999999997E-5</v>
      </c>
      <c r="Z143" s="417">
        <v>14021</v>
      </c>
      <c r="AA143" s="417">
        <v>9851</v>
      </c>
      <c r="AB143" s="417">
        <v>9851</v>
      </c>
      <c r="AC143" s="417">
        <v>0</v>
      </c>
      <c r="AD143" s="417">
        <v>0</v>
      </c>
      <c r="AE143" s="378">
        <v>3.4999999999999997E-5</v>
      </c>
      <c r="AF143" s="378"/>
      <c r="AG143" s="417">
        <v>5373</v>
      </c>
      <c r="AH143" s="417">
        <v>2430</v>
      </c>
      <c r="AI143" s="417">
        <v>1952</v>
      </c>
      <c r="AJ143" s="417">
        <v>0</v>
      </c>
      <c r="AK143" s="417">
        <v>0</v>
      </c>
      <c r="AL143" s="378">
        <v>3.4999999999999997E-5</v>
      </c>
      <c r="AM143" s="378"/>
      <c r="AN143" s="417">
        <v>-8826</v>
      </c>
      <c r="AO143" s="417">
        <v>-8826</v>
      </c>
      <c r="AP143" s="417">
        <v>0</v>
      </c>
      <c r="AQ143" s="417">
        <v>0</v>
      </c>
      <c r="AR143" s="417">
        <v>0</v>
      </c>
    </row>
    <row r="144" spans="1:44">
      <c r="A144" s="377">
        <v>91251</v>
      </c>
      <c r="B144" t="s">
        <v>856</v>
      </c>
      <c r="C144" s="378">
        <v>2.6999999999999999E-5</v>
      </c>
      <c r="D144" s="378"/>
      <c r="E144" s="417">
        <v>6272</v>
      </c>
      <c r="F144" s="417">
        <v>-1099</v>
      </c>
      <c r="G144" s="417">
        <v>-4658</v>
      </c>
      <c r="H144" s="417">
        <v>-18103</v>
      </c>
      <c r="I144" s="417">
        <v>0</v>
      </c>
      <c r="J144" s="378">
        <v>2.6999999999999999E-5</v>
      </c>
      <c r="K144" s="378"/>
      <c r="L144" s="417">
        <v>6610</v>
      </c>
      <c r="M144" s="417">
        <v>4565</v>
      </c>
      <c r="N144" s="417">
        <v>1998</v>
      </c>
      <c r="O144" s="417">
        <v>0</v>
      </c>
      <c r="P144" s="417">
        <v>0</v>
      </c>
      <c r="Q144" s="378">
        <v>2.6999999999999999E-5</v>
      </c>
      <c r="R144" s="378"/>
      <c r="S144" s="417">
        <v>-13564</v>
      </c>
      <c r="T144" s="417">
        <v>-13407</v>
      </c>
      <c r="U144" s="417">
        <v>-14085</v>
      </c>
      <c r="V144" s="417">
        <v>-18103</v>
      </c>
      <c r="W144" s="417">
        <v>0</v>
      </c>
      <c r="X144" s="378">
        <v>2.6999999999999999E-5</v>
      </c>
      <c r="Z144" s="417">
        <v>10816</v>
      </c>
      <c r="AA144" s="417">
        <v>7599</v>
      </c>
      <c r="AB144" s="417">
        <v>7599</v>
      </c>
      <c r="AC144" s="417">
        <v>0</v>
      </c>
      <c r="AD144" s="417">
        <v>0</v>
      </c>
      <c r="AE144" s="378">
        <v>2.6999999999999999E-5</v>
      </c>
      <c r="AF144" s="378"/>
      <c r="AG144" s="417">
        <v>4388</v>
      </c>
      <c r="AH144" s="417">
        <v>2120</v>
      </c>
      <c r="AI144" s="417">
        <v>0</v>
      </c>
      <c r="AJ144" s="417">
        <v>0</v>
      </c>
      <c r="AK144" s="417">
        <v>0</v>
      </c>
      <c r="AL144" s="378">
        <v>2.6999999999999999E-5</v>
      </c>
      <c r="AM144" s="378"/>
      <c r="AN144" s="417">
        <v>-1978</v>
      </c>
      <c r="AO144" s="417">
        <v>-1976</v>
      </c>
      <c r="AP144" s="417">
        <v>-170</v>
      </c>
      <c r="AQ144" s="417">
        <v>0</v>
      </c>
      <c r="AR144" s="417">
        <v>0</v>
      </c>
    </row>
    <row r="145" spans="1:44">
      <c r="A145" s="377">
        <v>91261</v>
      </c>
      <c r="B145" t="s">
        <v>857</v>
      </c>
      <c r="C145" s="378">
        <v>9.7000000000000003E-6</v>
      </c>
      <c r="D145" s="378"/>
      <c r="E145" s="417">
        <v>239</v>
      </c>
      <c r="F145" s="417">
        <v>-1598</v>
      </c>
      <c r="G145" s="417">
        <v>-2024</v>
      </c>
      <c r="H145" s="417">
        <v>-6504</v>
      </c>
      <c r="I145" s="417">
        <v>0</v>
      </c>
      <c r="J145" s="378">
        <v>9.7000000000000003E-6</v>
      </c>
      <c r="K145" s="378"/>
      <c r="L145" s="417">
        <v>2375</v>
      </c>
      <c r="M145" s="417">
        <v>1640</v>
      </c>
      <c r="N145" s="417">
        <v>718</v>
      </c>
      <c r="O145" s="417">
        <v>0</v>
      </c>
      <c r="P145" s="417">
        <v>0</v>
      </c>
      <c r="Q145" s="378">
        <v>9.7000000000000003E-6</v>
      </c>
      <c r="R145" s="378"/>
      <c r="S145" s="417">
        <v>-4873</v>
      </c>
      <c r="T145" s="417">
        <v>-4817</v>
      </c>
      <c r="U145" s="417">
        <v>-5060</v>
      </c>
      <c r="V145" s="417">
        <v>-6504</v>
      </c>
      <c r="W145" s="417">
        <v>0</v>
      </c>
      <c r="X145" s="378">
        <v>9.7000000000000003E-6</v>
      </c>
      <c r="Z145" s="417">
        <v>3886</v>
      </c>
      <c r="AA145" s="417">
        <v>2730</v>
      </c>
      <c r="AB145" s="417">
        <v>2730</v>
      </c>
      <c r="AC145" s="417">
        <v>0</v>
      </c>
      <c r="AD145" s="417">
        <v>0</v>
      </c>
      <c r="AE145" s="378">
        <v>9.7000000000000003E-6</v>
      </c>
      <c r="AF145" s="378"/>
      <c r="AG145" s="417">
        <v>0</v>
      </c>
      <c r="AH145" s="417">
        <v>0</v>
      </c>
      <c r="AI145" s="417">
        <v>0</v>
      </c>
      <c r="AJ145" s="417">
        <v>0</v>
      </c>
      <c r="AK145" s="417">
        <v>0</v>
      </c>
      <c r="AL145" s="378">
        <v>9.7000000000000003E-6</v>
      </c>
      <c r="AM145" s="378"/>
      <c r="AN145" s="417">
        <v>-1149</v>
      </c>
      <c r="AO145" s="417">
        <v>-1151</v>
      </c>
      <c r="AP145" s="417">
        <v>-412</v>
      </c>
      <c r="AQ145" s="417">
        <v>0</v>
      </c>
      <c r="AR145" s="417">
        <v>0</v>
      </c>
    </row>
    <row r="146" spans="1:44">
      <c r="A146" s="377">
        <v>91301</v>
      </c>
      <c r="B146" t="s">
        <v>858</v>
      </c>
      <c r="C146" s="378">
        <v>8.3421999999999993E-3</v>
      </c>
      <c r="D146" s="378"/>
      <c r="E146" s="417">
        <v>1310449</v>
      </c>
      <c r="F146" s="417">
        <v>-246941</v>
      </c>
      <c r="G146" s="417">
        <v>-1367122</v>
      </c>
      <c r="H146" s="417">
        <v>-5593228</v>
      </c>
      <c r="I146" s="417">
        <v>0</v>
      </c>
      <c r="J146" s="378">
        <v>8.3421999999999993E-3</v>
      </c>
      <c r="K146" s="378"/>
      <c r="L146" s="417">
        <v>2042237</v>
      </c>
      <c r="M146" s="417">
        <v>1410432</v>
      </c>
      <c r="N146" s="417">
        <v>617423</v>
      </c>
      <c r="O146" s="417">
        <v>0</v>
      </c>
      <c r="P146" s="417">
        <v>0</v>
      </c>
      <c r="Q146" s="378">
        <v>8.3421999999999993E-3</v>
      </c>
      <c r="R146" s="378"/>
      <c r="S146" s="417">
        <v>-4190854</v>
      </c>
      <c r="T146" s="417">
        <v>-4142361</v>
      </c>
      <c r="U146" s="417">
        <v>-4351717</v>
      </c>
      <c r="V146" s="417">
        <v>-5593228</v>
      </c>
      <c r="W146" s="417">
        <v>0</v>
      </c>
      <c r="X146" s="378">
        <v>8.3421999999999993E-3</v>
      </c>
      <c r="Z146" s="417">
        <v>3341902</v>
      </c>
      <c r="AA146" s="417">
        <v>2347870</v>
      </c>
      <c r="AB146" s="417">
        <v>2347854</v>
      </c>
      <c r="AC146" s="417">
        <v>0</v>
      </c>
      <c r="AD146" s="417">
        <v>0</v>
      </c>
      <c r="AE146" s="378">
        <v>8.3421999999999993E-3</v>
      </c>
      <c r="AF146" s="378"/>
      <c r="AG146" s="417">
        <v>137117</v>
      </c>
      <c r="AH146" s="417">
        <v>137118</v>
      </c>
      <c r="AI146" s="417">
        <v>19318</v>
      </c>
      <c r="AJ146" s="417">
        <v>0</v>
      </c>
      <c r="AK146" s="417">
        <v>0</v>
      </c>
      <c r="AL146" s="378">
        <v>8.3421999999999993E-3</v>
      </c>
      <c r="AM146" s="378"/>
      <c r="AN146" s="417">
        <v>-19953</v>
      </c>
      <c r="AO146" s="417">
        <v>0</v>
      </c>
      <c r="AP146" s="417">
        <v>0</v>
      </c>
      <c r="AQ146" s="417">
        <v>0</v>
      </c>
      <c r="AR146" s="417">
        <v>0</v>
      </c>
    </row>
    <row r="147" spans="1:44">
      <c r="A147" s="377">
        <v>91302</v>
      </c>
      <c r="B147" t="s">
        <v>1933</v>
      </c>
      <c r="C147" s="378">
        <v>5.1170000000000002E-4</v>
      </c>
      <c r="D147" s="378"/>
      <c r="E147" s="417">
        <v>52585</v>
      </c>
      <c r="F147" s="417">
        <v>-31615</v>
      </c>
      <c r="G147" s="417">
        <v>-78424</v>
      </c>
      <c r="H147" s="417">
        <v>-343082</v>
      </c>
      <c r="I147" s="417">
        <v>0</v>
      </c>
      <c r="J147" s="378">
        <v>5.1170000000000002E-4</v>
      </c>
      <c r="K147" s="378"/>
      <c r="L147" s="417">
        <v>125268</v>
      </c>
      <c r="M147" s="417">
        <v>86514</v>
      </c>
      <c r="N147" s="417">
        <v>37872</v>
      </c>
      <c r="O147" s="417">
        <v>0</v>
      </c>
      <c r="P147" s="417">
        <v>0</v>
      </c>
      <c r="Q147" s="378">
        <v>5.1170000000000002E-4</v>
      </c>
      <c r="R147" s="378"/>
      <c r="S147" s="417">
        <v>-257062</v>
      </c>
      <c r="T147" s="417">
        <v>-254087</v>
      </c>
      <c r="U147" s="417">
        <v>-266929</v>
      </c>
      <c r="V147" s="417">
        <v>-343082</v>
      </c>
      <c r="W147" s="417">
        <v>0</v>
      </c>
      <c r="X147" s="378">
        <v>5.1170000000000002E-4</v>
      </c>
      <c r="Z147" s="417">
        <v>204988</v>
      </c>
      <c r="AA147" s="417">
        <v>144015</v>
      </c>
      <c r="AB147" s="417">
        <v>144014</v>
      </c>
      <c r="AC147" s="417">
        <v>0</v>
      </c>
      <c r="AD147" s="417">
        <v>0</v>
      </c>
      <c r="AE147" s="378">
        <v>5.1170000000000002E-4</v>
      </c>
      <c r="AF147" s="378"/>
      <c r="AG147" s="417">
        <v>6618</v>
      </c>
      <c r="AH147" s="417">
        <v>6618</v>
      </c>
      <c r="AI147" s="417">
        <v>6619</v>
      </c>
      <c r="AJ147" s="417">
        <v>0</v>
      </c>
      <c r="AK147" s="417">
        <v>0</v>
      </c>
      <c r="AL147" s="378">
        <v>5.1170000000000002E-4</v>
      </c>
      <c r="AM147" s="378"/>
      <c r="AN147" s="417">
        <v>-27227</v>
      </c>
      <c r="AO147" s="417">
        <v>-14675</v>
      </c>
      <c r="AP147" s="417">
        <v>0</v>
      </c>
      <c r="AQ147" s="417">
        <v>0</v>
      </c>
      <c r="AR147" s="417">
        <v>0</v>
      </c>
    </row>
    <row r="148" spans="1:44">
      <c r="A148" s="377">
        <v>91306</v>
      </c>
      <c r="B148" t="s">
        <v>860</v>
      </c>
      <c r="C148" s="378">
        <v>1.9042E-3</v>
      </c>
      <c r="D148" s="378"/>
      <c r="E148" s="417">
        <v>349344</v>
      </c>
      <c r="F148" s="417">
        <v>-48513</v>
      </c>
      <c r="G148" s="417">
        <v>-270548</v>
      </c>
      <c r="H148" s="417">
        <v>-1276717</v>
      </c>
      <c r="I148" s="417">
        <v>0</v>
      </c>
      <c r="J148" s="378">
        <v>1.9042E-3</v>
      </c>
      <c r="K148" s="378"/>
      <c r="L148" s="417">
        <v>466163</v>
      </c>
      <c r="M148" s="417">
        <v>321947</v>
      </c>
      <c r="N148" s="417">
        <v>140934</v>
      </c>
      <c r="O148" s="417">
        <v>0</v>
      </c>
      <c r="P148" s="417">
        <v>0</v>
      </c>
      <c r="Q148" s="378">
        <v>1.9042E-3</v>
      </c>
      <c r="R148" s="378"/>
      <c r="S148" s="417">
        <v>-956609</v>
      </c>
      <c r="T148" s="417">
        <v>-945540</v>
      </c>
      <c r="U148" s="417">
        <v>-993328</v>
      </c>
      <c r="V148" s="417">
        <v>-1276717</v>
      </c>
      <c r="W148" s="417">
        <v>0</v>
      </c>
      <c r="X148" s="378">
        <v>1.9042E-3</v>
      </c>
      <c r="Z148" s="417">
        <v>762826</v>
      </c>
      <c r="AA148" s="417">
        <v>535928</v>
      </c>
      <c r="AB148" s="417">
        <v>535924</v>
      </c>
      <c r="AC148" s="417">
        <v>0</v>
      </c>
      <c r="AD148" s="417">
        <v>0</v>
      </c>
      <c r="AE148" s="378">
        <v>1.9042E-3</v>
      </c>
      <c r="AF148" s="378"/>
      <c r="AG148" s="417">
        <v>83734</v>
      </c>
      <c r="AH148" s="417">
        <v>45922</v>
      </c>
      <c r="AI148" s="417">
        <v>45922</v>
      </c>
      <c r="AJ148" s="417">
        <v>0</v>
      </c>
      <c r="AK148" s="417">
        <v>0</v>
      </c>
      <c r="AL148" s="378">
        <v>1.9042E-3</v>
      </c>
      <c r="AM148" s="378"/>
      <c r="AN148" s="417">
        <v>-6770</v>
      </c>
      <c r="AO148" s="417">
        <v>-6770</v>
      </c>
      <c r="AP148" s="417">
        <v>0</v>
      </c>
      <c r="AQ148" s="417">
        <v>0</v>
      </c>
      <c r="AR148" s="417">
        <v>0</v>
      </c>
    </row>
    <row r="149" spans="1:44">
      <c r="A149" s="377">
        <v>91308</v>
      </c>
      <c r="B149" t="s">
        <v>861</v>
      </c>
      <c r="C149" s="378">
        <v>1.0340000000000001E-4</v>
      </c>
      <c r="D149" s="378"/>
      <c r="E149" s="417">
        <v>-26044</v>
      </c>
      <c r="F149" s="417">
        <v>-43645</v>
      </c>
      <c r="G149" s="417">
        <v>-50035</v>
      </c>
      <c r="H149" s="417">
        <v>-69327</v>
      </c>
      <c r="I149" s="417">
        <v>0</v>
      </c>
      <c r="J149" s="378">
        <v>1.0340000000000001E-4</v>
      </c>
      <c r="K149" s="378"/>
      <c r="L149" s="417">
        <v>25313</v>
      </c>
      <c r="M149" s="417">
        <v>17482</v>
      </c>
      <c r="N149" s="417">
        <v>7653</v>
      </c>
      <c r="O149" s="417">
        <v>0</v>
      </c>
      <c r="P149" s="417">
        <v>0</v>
      </c>
      <c r="Q149" s="378">
        <v>1.0340000000000001E-4</v>
      </c>
      <c r="R149" s="378"/>
      <c r="S149" s="417">
        <v>-51945</v>
      </c>
      <c r="T149" s="417">
        <v>-51344</v>
      </c>
      <c r="U149" s="417">
        <v>-53939</v>
      </c>
      <c r="V149" s="417">
        <v>-69327</v>
      </c>
      <c r="W149" s="417">
        <v>0</v>
      </c>
      <c r="X149" s="378">
        <v>1.0340000000000001E-4</v>
      </c>
      <c r="Z149" s="417">
        <v>41422</v>
      </c>
      <c r="AA149" s="417">
        <v>29101</v>
      </c>
      <c r="AB149" s="417">
        <v>29101</v>
      </c>
      <c r="AC149" s="417">
        <v>0</v>
      </c>
      <c r="AD149" s="417">
        <v>0</v>
      </c>
      <c r="AE149" s="378">
        <v>1.0340000000000001E-4</v>
      </c>
      <c r="AF149" s="378"/>
      <c r="AG149" s="417">
        <v>0</v>
      </c>
      <c r="AH149" s="417">
        <v>0</v>
      </c>
      <c r="AI149" s="417">
        <v>0</v>
      </c>
      <c r="AJ149" s="417">
        <v>0</v>
      </c>
      <c r="AK149" s="417">
        <v>0</v>
      </c>
      <c r="AL149" s="378">
        <v>1.0340000000000001E-4</v>
      </c>
      <c r="AM149" s="378"/>
      <c r="AN149" s="417">
        <v>-40834</v>
      </c>
      <c r="AO149" s="417">
        <v>-38884</v>
      </c>
      <c r="AP149" s="417">
        <v>-32850</v>
      </c>
      <c r="AQ149" s="417">
        <v>0</v>
      </c>
      <c r="AR149" s="417">
        <v>0</v>
      </c>
    </row>
    <row r="150" spans="1:44">
      <c r="A150" s="377">
        <v>91311</v>
      </c>
      <c r="B150" t="s">
        <v>862</v>
      </c>
      <c r="C150" s="378">
        <v>8.6008000000000005E-3</v>
      </c>
      <c r="D150" s="378"/>
      <c r="E150" s="417">
        <v>1456704</v>
      </c>
      <c r="F150" s="417">
        <v>-150235</v>
      </c>
      <c r="G150" s="417">
        <v>-1392345</v>
      </c>
      <c r="H150" s="417">
        <v>-5766613</v>
      </c>
      <c r="I150" s="417">
        <v>0</v>
      </c>
      <c r="J150" s="378">
        <v>8.6008000000000005E-3</v>
      </c>
      <c r="K150" s="378"/>
      <c r="L150" s="417">
        <v>2105545</v>
      </c>
      <c r="M150" s="417">
        <v>1454154</v>
      </c>
      <c r="N150" s="417">
        <v>636562</v>
      </c>
      <c r="O150" s="417">
        <v>0</v>
      </c>
      <c r="P150" s="417">
        <v>0</v>
      </c>
      <c r="Q150" s="378">
        <v>8.6008000000000005E-3</v>
      </c>
      <c r="R150" s="378"/>
      <c r="S150" s="417">
        <v>-4320767</v>
      </c>
      <c r="T150" s="417">
        <v>-4270770</v>
      </c>
      <c r="U150" s="417">
        <v>-4486616</v>
      </c>
      <c r="V150" s="417">
        <v>-5766613</v>
      </c>
      <c r="W150" s="417">
        <v>0</v>
      </c>
      <c r="X150" s="378">
        <v>8.6008000000000005E-3</v>
      </c>
      <c r="Z150" s="417">
        <v>3445498</v>
      </c>
      <c r="AA150" s="417">
        <v>2420652</v>
      </c>
      <c r="AB150" s="417">
        <v>2420635</v>
      </c>
      <c r="AC150" s="417">
        <v>0</v>
      </c>
      <c r="AD150" s="417">
        <v>0</v>
      </c>
      <c r="AE150" s="378">
        <v>8.6008000000000005E-3</v>
      </c>
      <c r="AF150" s="378"/>
      <c r="AG150" s="417">
        <v>245731</v>
      </c>
      <c r="AH150" s="417">
        <v>245729</v>
      </c>
      <c r="AI150" s="417">
        <v>37074</v>
      </c>
      <c r="AJ150" s="417">
        <v>0</v>
      </c>
      <c r="AK150" s="417">
        <v>0</v>
      </c>
      <c r="AL150" s="378">
        <v>8.6008000000000005E-3</v>
      </c>
      <c r="AM150" s="378"/>
      <c r="AN150" s="417">
        <v>-19303</v>
      </c>
      <c r="AO150" s="417">
        <v>0</v>
      </c>
      <c r="AP150" s="417">
        <v>0</v>
      </c>
      <c r="AQ150" s="417">
        <v>0</v>
      </c>
      <c r="AR150" s="417">
        <v>0</v>
      </c>
    </row>
    <row r="151" spans="1:44">
      <c r="A151" s="377">
        <v>91317</v>
      </c>
      <c r="B151" t="s">
        <v>863</v>
      </c>
      <c r="C151" s="378">
        <v>1.416E-4</v>
      </c>
      <c r="D151" s="378"/>
      <c r="E151" s="417">
        <v>48865</v>
      </c>
      <c r="F151" s="417">
        <v>21080</v>
      </c>
      <c r="G151" s="417">
        <v>-12933</v>
      </c>
      <c r="H151" s="417">
        <v>-94939</v>
      </c>
      <c r="I151" s="417">
        <v>0</v>
      </c>
      <c r="J151" s="378">
        <v>1.416E-4</v>
      </c>
      <c r="K151" s="378"/>
      <c r="L151" s="417">
        <v>34665</v>
      </c>
      <c r="M151" s="417">
        <v>23941</v>
      </c>
      <c r="N151" s="417">
        <v>10480</v>
      </c>
      <c r="O151" s="417">
        <v>0</v>
      </c>
      <c r="P151" s="417">
        <v>0</v>
      </c>
      <c r="Q151" s="378">
        <v>1.416E-4</v>
      </c>
      <c r="R151" s="378"/>
      <c r="S151" s="417">
        <v>-71135</v>
      </c>
      <c r="T151" s="417">
        <v>-70312</v>
      </c>
      <c r="U151" s="417">
        <v>-73866</v>
      </c>
      <c r="V151" s="417">
        <v>-94939</v>
      </c>
      <c r="W151" s="417">
        <v>0</v>
      </c>
      <c r="X151" s="378">
        <v>1.416E-4</v>
      </c>
      <c r="Z151" s="417">
        <v>56725</v>
      </c>
      <c r="AA151" s="417">
        <v>39853</v>
      </c>
      <c r="AB151" s="417">
        <v>39852</v>
      </c>
      <c r="AC151" s="417">
        <v>0</v>
      </c>
      <c r="AD151" s="417">
        <v>0</v>
      </c>
      <c r="AE151" s="378">
        <v>1.416E-4</v>
      </c>
      <c r="AF151" s="378"/>
      <c r="AG151" s="417">
        <v>28610</v>
      </c>
      <c r="AH151" s="417">
        <v>27598</v>
      </c>
      <c r="AI151" s="417">
        <v>10601</v>
      </c>
      <c r="AJ151" s="417">
        <v>0</v>
      </c>
      <c r="AK151" s="417">
        <v>0</v>
      </c>
      <c r="AL151" s="378">
        <v>1.416E-4</v>
      </c>
      <c r="AM151" s="378"/>
      <c r="AN151" s="417">
        <v>0</v>
      </c>
      <c r="AO151" s="417">
        <v>0</v>
      </c>
      <c r="AP151" s="417">
        <v>0</v>
      </c>
      <c r="AQ151" s="417">
        <v>0</v>
      </c>
      <c r="AR151" s="417">
        <v>0</v>
      </c>
    </row>
    <row r="152" spans="1:44">
      <c r="A152" s="377">
        <v>91321</v>
      </c>
      <c r="B152" t="s">
        <v>864</v>
      </c>
      <c r="C152" s="378">
        <v>6.6000000000000005E-5</v>
      </c>
      <c r="D152" s="378"/>
      <c r="E152" s="417">
        <v>24767</v>
      </c>
      <c r="F152" s="417">
        <v>6935</v>
      </c>
      <c r="G152" s="417">
        <v>-12553</v>
      </c>
      <c r="H152" s="417">
        <v>-44251</v>
      </c>
      <c r="I152" s="417">
        <v>0</v>
      </c>
      <c r="J152" s="378">
        <v>6.6000000000000005E-5</v>
      </c>
      <c r="K152" s="378"/>
      <c r="L152" s="417">
        <v>16157</v>
      </c>
      <c r="M152" s="417">
        <v>11159</v>
      </c>
      <c r="N152" s="417">
        <v>4885</v>
      </c>
      <c r="O152" s="417">
        <v>0</v>
      </c>
      <c r="P152" s="417">
        <v>0</v>
      </c>
      <c r="Q152" s="378">
        <v>6.6000000000000005E-5</v>
      </c>
      <c r="R152" s="378"/>
      <c r="S152" s="417">
        <v>-33156</v>
      </c>
      <c r="T152" s="417">
        <v>-32773</v>
      </c>
      <c r="U152" s="417">
        <v>-34429</v>
      </c>
      <c r="V152" s="417">
        <v>-44251</v>
      </c>
      <c r="W152" s="417">
        <v>0</v>
      </c>
      <c r="X152" s="378">
        <v>6.6000000000000005E-5</v>
      </c>
      <c r="Z152" s="417">
        <v>26440</v>
      </c>
      <c r="AA152" s="417">
        <v>18575</v>
      </c>
      <c r="AB152" s="417">
        <v>18575</v>
      </c>
      <c r="AC152" s="417">
        <v>0</v>
      </c>
      <c r="AD152" s="417">
        <v>0</v>
      </c>
      <c r="AE152" s="378">
        <v>6.6000000000000005E-5</v>
      </c>
      <c r="AF152" s="378"/>
      <c r="AG152" s="417">
        <v>16911</v>
      </c>
      <c r="AH152" s="417">
        <v>11559</v>
      </c>
      <c r="AI152" s="417">
        <v>0</v>
      </c>
      <c r="AJ152" s="417">
        <v>0</v>
      </c>
      <c r="AK152" s="417">
        <v>0</v>
      </c>
      <c r="AL152" s="378">
        <v>6.6000000000000005E-5</v>
      </c>
      <c r="AM152" s="378"/>
      <c r="AN152" s="417">
        <v>-1585</v>
      </c>
      <c r="AO152" s="417">
        <v>-1585</v>
      </c>
      <c r="AP152" s="417">
        <v>-1584</v>
      </c>
      <c r="AQ152" s="417">
        <v>0</v>
      </c>
      <c r="AR152" s="417">
        <v>0</v>
      </c>
    </row>
    <row r="153" spans="1:44">
      <c r="A153" s="377">
        <v>91327</v>
      </c>
      <c r="B153" t="s">
        <v>865</v>
      </c>
      <c r="C153" s="378">
        <v>1.0499999999999999E-5</v>
      </c>
      <c r="D153" s="378"/>
      <c r="E153" s="417">
        <v>3915</v>
      </c>
      <c r="F153" s="417">
        <v>1802</v>
      </c>
      <c r="G153" s="417">
        <v>4112</v>
      </c>
      <c r="H153" s="417">
        <v>-7040</v>
      </c>
      <c r="I153" s="417">
        <v>0</v>
      </c>
      <c r="J153" s="378">
        <v>1.0499999999999999E-5</v>
      </c>
      <c r="K153" s="378"/>
      <c r="L153" s="417">
        <v>2570</v>
      </c>
      <c r="M153" s="417">
        <v>1775</v>
      </c>
      <c r="N153" s="417">
        <v>777</v>
      </c>
      <c r="O153" s="417">
        <v>0</v>
      </c>
      <c r="P153" s="417">
        <v>0</v>
      </c>
      <c r="Q153" s="378">
        <v>1.0499999999999999E-5</v>
      </c>
      <c r="R153" s="378"/>
      <c r="S153" s="417">
        <v>-5275</v>
      </c>
      <c r="T153" s="417">
        <v>-5214</v>
      </c>
      <c r="U153" s="417">
        <v>-5477</v>
      </c>
      <c r="V153" s="417">
        <v>-7040</v>
      </c>
      <c r="W153" s="417">
        <v>0</v>
      </c>
      <c r="X153" s="378">
        <v>1.0499999999999999E-5</v>
      </c>
      <c r="Z153" s="417">
        <v>4206</v>
      </c>
      <c r="AA153" s="417">
        <v>2955</v>
      </c>
      <c r="AB153" s="417">
        <v>2955</v>
      </c>
      <c r="AC153" s="417">
        <v>0</v>
      </c>
      <c r="AD153" s="417">
        <v>0</v>
      </c>
      <c r="AE153" s="378">
        <v>1.0499999999999999E-5</v>
      </c>
      <c r="AF153" s="378"/>
      <c r="AG153" s="417">
        <v>6680</v>
      </c>
      <c r="AH153" s="417">
        <v>6552</v>
      </c>
      <c r="AI153" s="417">
        <v>5857</v>
      </c>
      <c r="AJ153" s="417">
        <v>0</v>
      </c>
      <c r="AK153" s="417">
        <v>0</v>
      </c>
      <c r="AL153" s="378">
        <v>1.0499999999999999E-5</v>
      </c>
      <c r="AM153" s="378"/>
      <c r="AN153" s="417">
        <v>-4266</v>
      </c>
      <c r="AO153" s="417">
        <v>-4266</v>
      </c>
      <c r="AP153" s="417">
        <v>0</v>
      </c>
      <c r="AQ153" s="417">
        <v>0</v>
      </c>
      <c r="AR153" s="417">
        <v>0</v>
      </c>
    </row>
    <row r="154" spans="1:44">
      <c r="A154" s="377">
        <v>91331</v>
      </c>
      <c r="B154" t="s">
        <v>866</v>
      </c>
      <c r="C154" s="378">
        <v>3.0428999999999999E-3</v>
      </c>
      <c r="D154" s="378"/>
      <c r="E154" s="417">
        <v>343097</v>
      </c>
      <c r="F154" s="417">
        <v>-196783</v>
      </c>
      <c r="G154" s="417">
        <v>-542831</v>
      </c>
      <c r="H154" s="417">
        <v>-2040185</v>
      </c>
      <c r="I154" s="417">
        <v>0</v>
      </c>
      <c r="J154" s="378">
        <v>3.0428999999999999E-3</v>
      </c>
      <c r="K154" s="378"/>
      <c r="L154" s="417">
        <v>744926</v>
      </c>
      <c r="M154" s="417">
        <v>514469</v>
      </c>
      <c r="N154" s="417">
        <v>225211</v>
      </c>
      <c r="O154" s="417">
        <v>0</v>
      </c>
      <c r="P154" s="417">
        <v>0</v>
      </c>
      <c r="Q154" s="378">
        <v>3.0428999999999999E-3</v>
      </c>
      <c r="R154" s="378"/>
      <c r="S154" s="417">
        <v>-1528656</v>
      </c>
      <c r="T154" s="417">
        <v>-1510967</v>
      </c>
      <c r="U154" s="417">
        <v>-1587332</v>
      </c>
      <c r="V154" s="417">
        <v>-2040185</v>
      </c>
      <c r="W154" s="417">
        <v>0</v>
      </c>
      <c r="X154" s="378">
        <v>3.0428999999999999E-3</v>
      </c>
      <c r="Z154" s="417">
        <v>1218992</v>
      </c>
      <c r="AA154" s="417">
        <v>856409</v>
      </c>
      <c r="AB154" s="417">
        <v>856403</v>
      </c>
      <c r="AC154" s="417">
        <v>0</v>
      </c>
      <c r="AD154" s="417">
        <v>0</v>
      </c>
      <c r="AE154" s="378">
        <v>3.0428999999999999E-3</v>
      </c>
      <c r="AF154" s="378"/>
      <c r="AG154" s="417">
        <v>20880</v>
      </c>
      <c r="AH154" s="417">
        <v>20881</v>
      </c>
      <c r="AI154" s="417">
        <v>0</v>
      </c>
      <c r="AJ154" s="417">
        <v>0</v>
      </c>
      <c r="AK154" s="417">
        <v>0</v>
      </c>
      <c r="AL154" s="378">
        <v>3.0428999999999999E-3</v>
      </c>
      <c r="AM154" s="378"/>
      <c r="AN154" s="417">
        <v>-113045</v>
      </c>
      <c r="AO154" s="417">
        <v>-77575</v>
      </c>
      <c r="AP154" s="417">
        <v>-37113</v>
      </c>
      <c r="AQ154" s="417">
        <v>0</v>
      </c>
      <c r="AR154" s="417">
        <v>0</v>
      </c>
    </row>
    <row r="155" spans="1:44">
      <c r="A155" s="377">
        <v>91341</v>
      </c>
      <c r="B155" t="s">
        <v>867</v>
      </c>
      <c r="C155" s="378">
        <v>3.4499999999999998E-5</v>
      </c>
      <c r="D155" s="378"/>
      <c r="E155" s="417">
        <v>4012</v>
      </c>
      <c r="F155" s="417">
        <v>-2882</v>
      </c>
      <c r="G155" s="417">
        <v>-7982</v>
      </c>
      <c r="H155" s="417">
        <v>-23131</v>
      </c>
      <c r="I155" s="417">
        <v>0</v>
      </c>
      <c r="J155" s="378">
        <v>3.4499999999999998E-5</v>
      </c>
      <c r="K155" s="378"/>
      <c r="L155" s="417">
        <v>8446</v>
      </c>
      <c r="M155" s="417">
        <v>5833</v>
      </c>
      <c r="N155" s="417">
        <v>2553</v>
      </c>
      <c r="O155" s="417">
        <v>0</v>
      </c>
      <c r="P155" s="417">
        <v>0</v>
      </c>
      <c r="Q155" s="378">
        <v>3.4499999999999998E-5</v>
      </c>
      <c r="R155" s="378"/>
      <c r="S155" s="417">
        <v>-17332</v>
      </c>
      <c r="T155" s="417">
        <v>-17131</v>
      </c>
      <c r="U155" s="417">
        <v>-17997</v>
      </c>
      <c r="V155" s="417">
        <v>-23131</v>
      </c>
      <c r="W155" s="417">
        <v>0</v>
      </c>
      <c r="X155" s="378">
        <v>3.4499999999999998E-5</v>
      </c>
      <c r="Z155" s="417">
        <v>13821</v>
      </c>
      <c r="AA155" s="417">
        <v>9710</v>
      </c>
      <c r="AB155" s="417">
        <v>9710</v>
      </c>
      <c r="AC155" s="417">
        <v>0</v>
      </c>
      <c r="AD155" s="417">
        <v>0</v>
      </c>
      <c r="AE155" s="378">
        <v>3.4499999999999998E-5</v>
      </c>
      <c r="AF155" s="378"/>
      <c r="AG155" s="417">
        <v>2651</v>
      </c>
      <c r="AH155" s="417">
        <v>2278</v>
      </c>
      <c r="AI155" s="417">
        <v>0</v>
      </c>
      <c r="AJ155" s="417">
        <v>0</v>
      </c>
      <c r="AK155" s="417">
        <v>0</v>
      </c>
      <c r="AL155" s="378">
        <v>3.4499999999999998E-5</v>
      </c>
      <c r="AM155" s="378"/>
      <c r="AN155" s="417">
        <v>-3574</v>
      </c>
      <c r="AO155" s="417">
        <v>-3572</v>
      </c>
      <c r="AP155" s="417">
        <v>-2248</v>
      </c>
      <c r="AQ155" s="417">
        <v>0</v>
      </c>
      <c r="AR155" s="417">
        <v>0</v>
      </c>
    </row>
    <row r="156" spans="1:44">
      <c r="A156" s="377">
        <v>91401</v>
      </c>
      <c r="B156" t="s">
        <v>868</v>
      </c>
      <c r="C156" s="378">
        <v>3.6838000000000001E-3</v>
      </c>
      <c r="D156" s="378"/>
      <c r="E156" s="417">
        <v>567455</v>
      </c>
      <c r="F156" s="417">
        <v>-107851</v>
      </c>
      <c r="G156" s="417">
        <v>-680154</v>
      </c>
      <c r="H156" s="417">
        <v>-2469892</v>
      </c>
      <c r="I156" s="417">
        <v>0</v>
      </c>
      <c r="J156" s="378">
        <v>3.6838000000000001E-3</v>
      </c>
      <c r="K156" s="378"/>
      <c r="L156" s="417">
        <v>901824</v>
      </c>
      <c r="M156" s="417">
        <v>622827</v>
      </c>
      <c r="N156" s="417">
        <v>272645</v>
      </c>
      <c r="O156" s="417">
        <v>0</v>
      </c>
      <c r="P156" s="417">
        <v>0</v>
      </c>
      <c r="Q156" s="378">
        <v>3.6838000000000001E-3</v>
      </c>
      <c r="R156" s="378"/>
      <c r="S156" s="417">
        <v>-1850623</v>
      </c>
      <c r="T156" s="417">
        <v>-1829209</v>
      </c>
      <c r="U156" s="417">
        <v>-1921658</v>
      </c>
      <c r="V156" s="417">
        <v>-2469892</v>
      </c>
      <c r="W156" s="417">
        <v>0</v>
      </c>
      <c r="X156" s="378">
        <v>3.6838000000000001E-3</v>
      </c>
      <c r="Z156" s="417">
        <v>1475738</v>
      </c>
      <c r="AA156" s="417">
        <v>1036787</v>
      </c>
      <c r="AB156" s="417">
        <v>1036780</v>
      </c>
      <c r="AC156" s="417">
        <v>0</v>
      </c>
      <c r="AD156" s="417">
        <v>0</v>
      </c>
      <c r="AE156" s="378">
        <v>3.6838000000000001E-3</v>
      </c>
      <c r="AF156" s="378"/>
      <c r="AG156" s="417">
        <v>152478</v>
      </c>
      <c r="AH156" s="417">
        <v>152476</v>
      </c>
      <c r="AI156" s="417">
        <v>0</v>
      </c>
      <c r="AJ156" s="417">
        <v>0</v>
      </c>
      <c r="AK156" s="417">
        <v>0</v>
      </c>
      <c r="AL156" s="378">
        <v>3.6838000000000001E-3</v>
      </c>
      <c r="AM156" s="378"/>
      <c r="AN156" s="417">
        <v>-111962</v>
      </c>
      <c r="AO156" s="417">
        <v>-90732</v>
      </c>
      <c r="AP156" s="417">
        <v>-67921</v>
      </c>
      <c r="AQ156" s="417">
        <v>0</v>
      </c>
      <c r="AR156" s="417">
        <v>0</v>
      </c>
    </row>
    <row r="157" spans="1:44">
      <c r="A157" s="377">
        <v>91411</v>
      </c>
      <c r="B157" t="s">
        <v>869</v>
      </c>
      <c r="C157" s="378">
        <v>4.2220000000000002E-4</v>
      </c>
      <c r="D157" s="378"/>
      <c r="E157" s="417">
        <v>74354</v>
      </c>
      <c r="F157" s="417">
        <v>-5824</v>
      </c>
      <c r="G157" s="417">
        <v>-58158</v>
      </c>
      <c r="H157" s="417">
        <v>-283074</v>
      </c>
      <c r="I157" s="417">
        <v>0</v>
      </c>
      <c r="J157" s="378">
        <v>4.2220000000000002E-4</v>
      </c>
      <c r="K157" s="378"/>
      <c r="L157" s="417">
        <v>103358</v>
      </c>
      <c r="M157" s="417">
        <v>71382</v>
      </c>
      <c r="N157" s="417">
        <v>31248</v>
      </c>
      <c r="O157" s="417">
        <v>0</v>
      </c>
      <c r="P157" s="417">
        <v>0</v>
      </c>
      <c r="Q157" s="378">
        <v>4.2220000000000002E-4</v>
      </c>
      <c r="R157" s="378"/>
      <c r="S157" s="417">
        <v>-212100</v>
      </c>
      <c r="T157" s="417">
        <v>-209646</v>
      </c>
      <c r="U157" s="417">
        <v>-220241</v>
      </c>
      <c r="V157" s="417">
        <v>-283074</v>
      </c>
      <c r="W157" s="417">
        <v>0</v>
      </c>
      <c r="X157" s="378">
        <v>4.2220000000000002E-4</v>
      </c>
      <c r="Z157" s="417">
        <v>169134</v>
      </c>
      <c r="AA157" s="417">
        <v>118826</v>
      </c>
      <c r="AB157" s="417">
        <v>118825</v>
      </c>
      <c r="AC157" s="417">
        <v>0</v>
      </c>
      <c r="AD157" s="417">
        <v>0</v>
      </c>
      <c r="AE157" s="378">
        <v>4.2220000000000002E-4</v>
      </c>
      <c r="AF157" s="378"/>
      <c r="AG157" s="417">
        <v>13962</v>
      </c>
      <c r="AH157" s="417">
        <v>13614</v>
      </c>
      <c r="AI157" s="417">
        <v>12010</v>
      </c>
      <c r="AJ157" s="417">
        <v>0</v>
      </c>
      <c r="AK157" s="417">
        <v>0</v>
      </c>
      <c r="AL157" s="378">
        <v>4.2220000000000002E-4</v>
      </c>
      <c r="AM157" s="378"/>
      <c r="AN157" s="417">
        <v>0</v>
      </c>
      <c r="AO157" s="417">
        <v>0</v>
      </c>
      <c r="AP157" s="417">
        <v>0</v>
      </c>
      <c r="AQ157" s="417">
        <v>0</v>
      </c>
      <c r="AR157" s="417">
        <v>0</v>
      </c>
    </row>
    <row r="158" spans="1:44">
      <c r="A158" s="377">
        <v>91414</v>
      </c>
      <c r="B158" t="s">
        <v>3608</v>
      </c>
      <c r="C158" s="378">
        <v>3.1199999999999999E-5</v>
      </c>
      <c r="D158" s="378"/>
      <c r="E158" s="417">
        <v>14465</v>
      </c>
      <c r="F158" s="417">
        <v>8565</v>
      </c>
      <c r="G158" s="417">
        <v>-1369</v>
      </c>
      <c r="H158" s="417">
        <v>-20919</v>
      </c>
      <c r="I158" s="417">
        <v>0</v>
      </c>
      <c r="J158" s="378">
        <v>3.1199999999999999E-5</v>
      </c>
      <c r="K158" s="378"/>
      <c r="L158" s="417">
        <v>7638</v>
      </c>
      <c r="M158" s="417">
        <v>5275</v>
      </c>
      <c r="N158" s="417">
        <v>2309</v>
      </c>
      <c r="O158" s="417">
        <v>0</v>
      </c>
      <c r="P158" s="417">
        <v>0</v>
      </c>
      <c r="Q158" s="378">
        <v>3.1199999999999999E-5</v>
      </c>
      <c r="R158" s="378"/>
      <c r="S158" s="417">
        <v>-15674</v>
      </c>
      <c r="T158" s="417">
        <v>-15493</v>
      </c>
      <c r="U158" s="417">
        <v>-16276</v>
      </c>
      <c r="V158" s="417">
        <v>-20919</v>
      </c>
      <c r="W158" s="417">
        <v>0</v>
      </c>
      <c r="X158" s="378">
        <v>3.1199999999999999E-5</v>
      </c>
      <c r="Z158" s="417">
        <v>12499</v>
      </c>
      <c r="AA158" s="417">
        <v>8781</v>
      </c>
      <c r="AB158" s="417">
        <v>8781</v>
      </c>
      <c r="AC158" s="417">
        <v>0</v>
      </c>
      <c r="AD158" s="417">
        <v>0</v>
      </c>
      <c r="AE158" s="378">
        <v>3.1199999999999999E-5</v>
      </c>
      <c r="AF158" s="378"/>
      <c r="AG158" s="417">
        <v>10002</v>
      </c>
      <c r="AH158" s="417">
        <v>10002</v>
      </c>
      <c r="AI158" s="417">
        <v>3817</v>
      </c>
      <c r="AJ158" s="417">
        <v>0</v>
      </c>
      <c r="AK158" s="417">
        <v>0</v>
      </c>
      <c r="AL158" s="378">
        <v>3.1199999999999999E-5</v>
      </c>
      <c r="AM158" s="378"/>
      <c r="AN158" s="417">
        <v>0</v>
      </c>
      <c r="AO158" s="417">
        <v>0</v>
      </c>
      <c r="AP158" s="417">
        <v>0</v>
      </c>
      <c r="AQ158" s="417">
        <v>0</v>
      </c>
      <c r="AR158" s="417">
        <v>0</v>
      </c>
    </row>
    <row r="159" spans="1:44">
      <c r="A159" s="377">
        <v>91417</v>
      </c>
      <c r="B159" t="s">
        <v>870</v>
      </c>
      <c r="C159" s="378">
        <v>7.5000000000000002E-6</v>
      </c>
      <c r="D159" s="378"/>
      <c r="E159" s="417">
        <v>3947</v>
      </c>
      <c r="F159" s="417">
        <v>2410</v>
      </c>
      <c r="G159" s="417">
        <v>990</v>
      </c>
      <c r="H159" s="417">
        <v>-5029</v>
      </c>
      <c r="I159" s="417">
        <v>0</v>
      </c>
      <c r="J159" s="378">
        <v>7.5000000000000002E-6</v>
      </c>
      <c r="K159" s="378"/>
      <c r="L159" s="417">
        <v>1836</v>
      </c>
      <c r="M159" s="417">
        <v>1268</v>
      </c>
      <c r="N159" s="417">
        <v>555</v>
      </c>
      <c r="O159" s="417">
        <v>0</v>
      </c>
      <c r="P159" s="417">
        <v>0</v>
      </c>
      <c r="Q159" s="378">
        <v>7.5000000000000002E-6</v>
      </c>
      <c r="R159" s="378"/>
      <c r="S159" s="417">
        <v>-3768</v>
      </c>
      <c r="T159" s="417">
        <v>-3724</v>
      </c>
      <c r="U159" s="417">
        <v>-3912</v>
      </c>
      <c r="V159" s="417">
        <v>-5029</v>
      </c>
      <c r="W159" s="417">
        <v>0</v>
      </c>
      <c r="X159" s="378">
        <v>7.5000000000000002E-6</v>
      </c>
      <c r="Z159" s="417">
        <v>3005</v>
      </c>
      <c r="AA159" s="417">
        <v>2111</v>
      </c>
      <c r="AB159" s="417">
        <v>2111</v>
      </c>
      <c r="AC159" s="417">
        <v>0</v>
      </c>
      <c r="AD159" s="417">
        <v>0</v>
      </c>
      <c r="AE159" s="378">
        <v>7.5000000000000002E-6</v>
      </c>
      <c r="AF159" s="378"/>
      <c r="AG159" s="417">
        <v>2874</v>
      </c>
      <c r="AH159" s="417">
        <v>2755</v>
      </c>
      <c r="AI159" s="417">
        <v>2236</v>
      </c>
      <c r="AJ159" s="417">
        <v>0</v>
      </c>
      <c r="AK159" s="417">
        <v>0</v>
      </c>
      <c r="AL159" s="378">
        <v>7.5000000000000002E-6</v>
      </c>
      <c r="AM159" s="378"/>
      <c r="AN159" s="417">
        <v>0</v>
      </c>
      <c r="AO159" s="417">
        <v>0</v>
      </c>
      <c r="AP159" s="417">
        <v>0</v>
      </c>
      <c r="AQ159" s="417">
        <v>0</v>
      </c>
      <c r="AR159" s="417">
        <v>0</v>
      </c>
    </row>
    <row r="160" spans="1:44">
      <c r="A160" s="377">
        <v>91421</v>
      </c>
      <c r="B160" t="s">
        <v>871</v>
      </c>
      <c r="C160" s="378">
        <v>6.4800000000000003E-5</v>
      </c>
      <c r="D160" s="378"/>
      <c r="E160" s="417">
        <v>11141</v>
      </c>
      <c r="F160" s="417">
        <v>-2305</v>
      </c>
      <c r="G160" s="417">
        <v>-11706</v>
      </c>
      <c r="H160" s="417">
        <v>-43447</v>
      </c>
      <c r="I160" s="417">
        <v>0</v>
      </c>
      <c r="J160" s="378">
        <v>6.4800000000000003E-5</v>
      </c>
      <c r="K160" s="378"/>
      <c r="L160" s="417">
        <v>15864</v>
      </c>
      <c r="M160" s="417">
        <v>10956</v>
      </c>
      <c r="N160" s="417">
        <v>4796</v>
      </c>
      <c r="O160" s="417">
        <v>0</v>
      </c>
      <c r="P160" s="417">
        <v>0</v>
      </c>
      <c r="Q160" s="378">
        <v>6.4800000000000003E-5</v>
      </c>
      <c r="R160" s="378"/>
      <c r="S160" s="417">
        <v>-32553</v>
      </c>
      <c r="T160" s="417">
        <v>-32177</v>
      </c>
      <c r="U160" s="417">
        <v>-33803</v>
      </c>
      <c r="V160" s="417">
        <v>-43447</v>
      </c>
      <c r="W160" s="417">
        <v>0</v>
      </c>
      <c r="X160" s="378">
        <v>6.4800000000000003E-5</v>
      </c>
      <c r="Z160" s="417">
        <v>25959</v>
      </c>
      <c r="AA160" s="417">
        <v>18238</v>
      </c>
      <c r="AB160" s="417">
        <v>18238</v>
      </c>
      <c r="AC160" s="417">
        <v>0</v>
      </c>
      <c r="AD160" s="417">
        <v>0</v>
      </c>
      <c r="AE160" s="378">
        <v>6.4800000000000003E-5</v>
      </c>
      <c r="AF160" s="378"/>
      <c r="AG160" s="417">
        <v>2956</v>
      </c>
      <c r="AH160" s="417">
        <v>1764</v>
      </c>
      <c r="AI160" s="417">
        <v>0</v>
      </c>
      <c r="AJ160" s="417">
        <v>0</v>
      </c>
      <c r="AK160" s="417">
        <v>0</v>
      </c>
      <c r="AL160" s="378">
        <v>6.4800000000000003E-5</v>
      </c>
      <c r="AM160" s="378"/>
      <c r="AN160" s="417">
        <v>-1085</v>
      </c>
      <c r="AO160" s="417">
        <v>-1086</v>
      </c>
      <c r="AP160" s="417">
        <v>-937</v>
      </c>
      <c r="AQ160" s="417">
        <v>0</v>
      </c>
      <c r="AR160" s="417">
        <v>0</v>
      </c>
    </row>
    <row r="161" spans="1:44">
      <c r="A161" s="377">
        <v>91423</v>
      </c>
      <c r="B161" t="s">
        <v>872</v>
      </c>
      <c r="C161" s="378">
        <v>6.05E-5</v>
      </c>
      <c r="D161" s="378"/>
      <c r="E161" s="417">
        <v>8732</v>
      </c>
      <c r="F161" s="417">
        <v>-995</v>
      </c>
      <c r="G161" s="417">
        <v>-9187</v>
      </c>
      <c r="H161" s="417">
        <v>-40564</v>
      </c>
      <c r="I161" s="417">
        <v>0</v>
      </c>
      <c r="J161" s="378">
        <v>6.05E-5</v>
      </c>
      <c r="K161" s="378"/>
      <c r="L161" s="417">
        <v>14811</v>
      </c>
      <c r="M161" s="417">
        <v>10229</v>
      </c>
      <c r="N161" s="417">
        <v>4478</v>
      </c>
      <c r="O161" s="417">
        <v>0</v>
      </c>
      <c r="P161" s="417">
        <v>0</v>
      </c>
      <c r="Q161" s="378">
        <v>6.05E-5</v>
      </c>
      <c r="R161" s="378"/>
      <c r="S161" s="417">
        <v>-30393</v>
      </c>
      <c r="T161" s="417">
        <v>-30042</v>
      </c>
      <c r="U161" s="417">
        <v>-31560</v>
      </c>
      <c r="V161" s="417">
        <v>-40564</v>
      </c>
      <c r="W161" s="417">
        <v>0</v>
      </c>
      <c r="X161" s="378">
        <v>6.05E-5</v>
      </c>
      <c r="Z161" s="417">
        <v>24236</v>
      </c>
      <c r="AA161" s="417">
        <v>17027</v>
      </c>
      <c r="AB161" s="417">
        <v>17027</v>
      </c>
      <c r="AC161" s="417">
        <v>0</v>
      </c>
      <c r="AD161" s="417">
        <v>0</v>
      </c>
      <c r="AE161" s="378">
        <v>6.05E-5</v>
      </c>
      <c r="AF161" s="378"/>
      <c r="AG161" s="417">
        <v>1790</v>
      </c>
      <c r="AH161" s="417">
        <v>1791</v>
      </c>
      <c r="AI161" s="417">
        <v>868</v>
      </c>
      <c r="AJ161" s="417">
        <v>0</v>
      </c>
      <c r="AK161" s="417">
        <v>0</v>
      </c>
      <c r="AL161" s="378">
        <v>6.05E-5</v>
      </c>
      <c r="AM161" s="378"/>
      <c r="AN161" s="417">
        <v>-1712</v>
      </c>
      <c r="AO161" s="417">
        <v>0</v>
      </c>
      <c r="AP161" s="417">
        <v>0</v>
      </c>
      <c r="AQ161" s="417">
        <v>0</v>
      </c>
      <c r="AR161" s="417">
        <v>0</v>
      </c>
    </row>
    <row r="162" spans="1:44">
      <c r="A162" s="377">
        <v>91431</v>
      </c>
      <c r="B162" t="s">
        <v>873</v>
      </c>
      <c r="C162" s="378">
        <v>1.8929999999999999E-4</v>
      </c>
      <c r="D162" s="378"/>
      <c r="E162" s="417">
        <v>39342</v>
      </c>
      <c r="F162" s="417">
        <v>602</v>
      </c>
      <c r="G162" s="417">
        <v>-25903</v>
      </c>
      <c r="H162" s="417">
        <v>-126921</v>
      </c>
      <c r="I162" s="417">
        <v>0</v>
      </c>
      <c r="J162" s="378">
        <v>1.8929999999999999E-4</v>
      </c>
      <c r="K162" s="378"/>
      <c r="L162" s="417">
        <v>46342</v>
      </c>
      <c r="M162" s="417">
        <v>32005</v>
      </c>
      <c r="N162" s="417">
        <v>14010</v>
      </c>
      <c r="O162" s="417">
        <v>0</v>
      </c>
      <c r="P162" s="417">
        <v>0</v>
      </c>
      <c r="Q162" s="378">
        <v>1.8929999999999999E-4</v>
      </c>
      <c r="R162" s="378"/>
      <c r="S162" s="417">
        <v>-95098</v>
      </c>
      <c r="T162" s="417">
        <v>-93998</v>
      </c>
      <c r="U162" s="417">
        <v>-98749</v>
      </c>
      <c r="V162" s="417">
        <v>-126921</v>
      </c>
      <c r="W162" s="417">
        <v>0</v>
      </c>
      <c r="X162" s="378">
        <v>1.8929999999999999E-4</v>
      </c>
      <c r="Z162" s="417">
        <v>75834</v>
      </c>
      <c r="AA162" s="417">
        <v>53278</v>
      </c>
      <c r="AB162" s="417">
        <v>53277</v>
      </c>
      <c r="AC162" s="417">
        <v>0</v>
      </c>
      <c r="AD162" s="417">
        <v>0</v>
      </c>
      <c r="AE162" s="378">
        <v>1.8929999999999999E-4</v>
      </c>
      <c r="AF162" s="378"/>
      <c r="AG162" s="417">
        <v>13006</v>
      </c>
      <c r="AH162" s="417">
        <v>10058</v>
      </c>
      <c r="AI162" s="417">
        <v>5559</v>
      </c>
      <c r="AJ162" s="417">
        <v>0</v>
      </c>
      <c r="AK162" s="417">
        <v>0</v>
      </c>
      <c r="AL162" s="378">
        <v>1.8929999999999999E-4</v>
      </c>
      <c r="AM162" s="378"/>
      <c r="AN162" s="417">
        <v>-742</v>
      </c>
      <c r="AO162" s="417">
        <v>-741</v>
      </c>
      <c r="AP162" s="417">
        <v>0</v>
      </c>
      <c r="AQ162" s="417">
        <v>0</v>
      </c>
      <c r="AR162" s="417">
        <v>0</v>
      </c>
    </row>
    <row r="163" spans="1:44">
      <c r="A163" s="377">
        <v>91441</v>
      </c>
      <c r="B163" t="s">
        <v>874</v>
      </c>
      <c r="C163" s="378">
        <v>9.4760000000000005E-4</v>
      </c>
      <c r="D163" s="378"/>
      <c r="E163" s="417">
        <v>28170</v>
      </c>
      <c r="F163" s="417">
        <v>-127611</v>
      </c>
      <c r="G163" s="417">
        <v>-186006</v>
      </c>
      <c r="H163" s="417">
        <v>-635341</v>
      </c>
      <c r="I163" s="417">
        <v>0</v>
      </c>
      <c r="J163" s="378">
        <v>9.4760000000000005E-4</v>
      </c>
      <c r="K163" s="378"/>
      <c r="L163" s="417">
        <v>231980</v>
      </c>
      <c r="M163" s="417">
        <v>160213</v>
      </c>
      <c r="N163" s="417">
        <v>70134</v>
      </c>
      <c r="O163" s="417">
        <v>0</v>
      </c>
      <c r="P163" s="417">
        <v>0</v>
      </c>
      <c r="Q163" s="378">
        <v>9.4760000000000005E-4</v>
      </c>
      <c r="R163" s="378"/>
      <c r="S163" s="417">
        <v>-476044</v>
      </c>
      <c r="T163" s="417">
        <v>-470536</v>
      </c>
      <c r="U163" s="417">
        <v>-494316</v>
      </c>
      <c r="V163" s="417">
        <v>-635341</v>
      </c>
      <c r="W163" s="417">
        <v>0</v>
      </c>
      <c r="X163" s="378">
        <v>9.4760000000000005E-4</v>
      </c>
      <c r="Z163" s="417">
        <v>379610</v>
      </c>
      <c r="AA163" s="417">
        <v>266697</v>
      </c>
      <c r="AB163" s="417">
        <v>266695</v>
      </c>
      <c r="AC163" s="417">
        <v>0</v>
      </c>
      <c r="AD163" s="417">
        <v>0</v>
      </c>
      <c r="AE163" s="378">
        <v>9.4760000000000005E-4</v>
      </c>
      <c r="AF163" s="378"/>
      <c r="AG163" s="417">
        <v>0</v>
      </c>
      <c r="AH163" s="417">
        <v>0</v>
      </c>
      <c r="AI163" s="417">
        <v>0</v>
      </c>
      <c r="AJ163" s="417">
        <v>0</v>
      </c>
      <c r="AK163" s="417">
        <v>0</v>
      </c>
      <c r="AL163" s="378">
        <v>9.4760000000000005E-4</v>
      </c>
      <c r="AM163" s="378"/>
      <c r="AN163" s="417">
        <v>-107376</v>
      </c>
      <c r="AO163" s="417">
        <v>-83985</v>
      </c>
      <c r="AP163" s="417">
        <v>-28519</v>
      </c>
      <c r="AQ163" s="417">
        <v>0</v>
      </c>
      <c r="AR163" s="417">
        <v>0</v>
      </c>
    </row>
    <row r="164" spans="1:44">
      <c r="A164" s="377">
        <v>91451</v>
      </c>
      <c r="B164" t="s">
        <v>875</v>
      </c>
      <c r="C164" s="378">
        <v>1.4920000000000001E-3</v>
      </c>
      <c r="D164" s="378"/>
      <c r="E164" s="417">
        <v>186054</v>
      </c>
      <c r="F164" s="417">
        <v>-96007</v>
      </c>
      <c r="G164" s="417">
        <v>-277912</v>
      </c>
      <c r="H164" s="417">
        <v>-1000347</v>
      </c>
      <c r="I164" s="417">
        <v>0</v>
      </c>
      <c r="J164" s="378">
        <v>1.4920000000000001E-3</v>
      </c>
      <c r="K164" s="378"/>
      <c r="L164" s="417">
        <v>365254</v>
      </c>
      <c r="M164" s="417">
        <v>252255</v>
      </c>
      <c r="N164" s="417">
        <v>110426</v>
      </c>
      <c r="O164" s="417">
        <v>0</v>
      </c>
      <c r="P164" s="417">
        <v>0</v>
      </c>
      <c r="Q164" s="378">
        <v>1.4920000000000001E-3</v>
      </c>
      <c r="R164" s="378"/>
      <c r="S164" s="417">
        <v>-749533</v>
      </c>
      <c r="T164" s="417">
        <v>-740860</v>
      </c>
      <c r="U164" s="417">
        <v>-778303</v>
      </c>
      <c r="V164" s="417">
        <v>-1000347</v>
      </c>
      <c r="W164" s="417">
        <v>0</v>
      </c>
      <c r="X164" s="378">
        <v>1.4920000000000001E-3</v>
      </c>
      <c r="Z164" s="417">
        <v>597698</v>
      </c>
      <c r="AA164" s="417">
        <v>419916</v>
      </c>
      <c r="AB164" s="417">
        <v>419913</v>
      </c>
      <c r="AC164" s="417">
        <v>0</v>
      </c>
      <c r="AD164" s="417">
        <v>0</v>
      </c>
      <c r="AE164" s="378">
        <v>1.4920000000000001E-3</v>
      </c>
      <c r="AF164" s="378"/>
      <c r="AG164" s="417">
        <v>8268</v>
      </c>
      <c r="AH164" s="417">
        <v>8270</v>
      </c>
      <c r="AI164" s="417">
        <v>0</v>
      </c>
      <c r="AJ164" s="417">
        <v>0</v>
      </c>
      <c r="AK164" s="417">
        <v>0</v>
      </c>
      <c r="AL164" s="378">
        <v>1.4920000000000001E-3</v>
      </c>
      <c r="AM164" s="378"/>
      <c r="AN164" s="417">
        <v>-35633</v>
      </c>
      <c r="AO164" s="417">
        <v>-35588</v>
      </c>
      <c r="AP164" s="417">
        <v>-29948</v>
      </c>
      <c r="AQ164" s="417">
        <v>0</v>
      </c>
      <c r="AR164" s="417">
        <v>0</v>
      </c>
    </row>
    <row r="165" spans="1:44">
      <c r="A165" s="377">
        <v>91457</v>
      </c>
      <c r="B165" t="s">
        <v>876</v>
      </c>
      <c r="C165" s="378">
        <v>1.8300000000000001E-5</v>
      </c>
      <c r="D165" s="378"/>
      <c r="E165" s="417">
        <v>20747</v>
      </c>
      <c r="F165" s="417">
        <v>13517</v>
      </c>
      <c r="G165" s="417">
        <v>6625</v>
      </c>
      <c r="H165" s="417">
        <v>-12270</v>
      </c>
      <c r="I165" s="417">
        <v>0</v>
      </c>
      <c r="J165" s="378">
        <v>1.8300000000000001E-5</v>
      </c>
      <c r="K165" s="378"/>
      <c r="L165" s="417">
        <v>4480</v>
      </c>
      <c r="M165" s="417">
        <v>3094</v>
      </c>
      <c r="N165" s="417">
        <v>1354</v>
      </c>
      <c r="O165" s="417">
        <v>0</v>
      </c>
      <c r="P165" s="417">
        <v>0</v>
      </c>
      <c r="Q165" s="378">
        <v>1.8300000000000001E-5</v>
      </c>
      <c r="R165" s="378"/>
      <c r="S165" s="417">
        <v>-9193</v>
      </c>
      <c r="T165" s="417">
        <v>-9087</v>
      </c>
      <c r="U165" s="417">
        <v>-9546</v>
      </c>
      <c r="V165" s="417">
        <v>-12270</v>
      </c>
      <c r="W165" s="417">
        <v>0</v>
      </c>
      <c r="X165" s="378">
        <v>1.8300000000000001E-5</v>
      </c>
      <c r="Z165" s="417">
        <v>7331</v>
      </c>
      <c r="AA165" s="417">
        <v>5150</v>
      </c>
      <c r="AB165" s="417">
        <v>5150</v>
      </c>
      <c r="AC165" s="417">
        <v>0</v>
      </c>
      <c r="AD165" s="417">
        <v>0</v>
      </c>
      <c r="AE165" s="378">
        <v>1.8300000000000001E-5</v>
      </c>
      <c r="AF165" s="378"/>
      <c r="AG165" s="417">
        <v>18129</v>
      </c>
      <c r="AH165" s="417">
        <v>14360</v>
      </c>
      <c r="AI165" s="417">
        <v>9667</v>
      </c>
      <c r="AJ165" s="417">
        <v>0</v>
      </c>
      <c r="AK165" s="417">
        <v>0</v>
      </c>
      <c r="AL165" s="378">
        <v>1.8300000000000001E-5</v>
      </c>
      <c r="AM165" s="378"/>
      <c r="AN165" s="417">
        <v>0</v>
      </c>
      <c r="AO165" s="417">
        <v>0</v>
      </c>
      <c r="AP165" s="417">
        <v>0</v>
      </c>
      <c r="AQ165" s="417">
        <v>0</v>
      </c>
      <c r="AR165" s="417">
        <v>0</v>
      </c>
    </row>
    <row r="166" spans="1:44">
      <c r="A166" s="377">
        <v>91461</v>
      </c>
      <c r="B166" t="s">
        <v>877</v>
      </c>
      <c r="C166" s="378">
        <v>0</v>
      </c>
      <c r="D166" s="378"/>
      <c r="E166" s="417">
        <v>-4755</v>
      </c>
      <c r="F166" s="417">
        <v>-4476</v>
      </c>
      <c r="G166" s="417">
        <v>0</v>
      </c>
      <c r="H166" s="417">
        <v>0</v>
      </c>
      <c r="I166" s="417">
        <v>0</v>
      </c>
      <c r="J166" s="378">
        <v>0</v>
      </c>
      <c r="K166" s="378"/>
      <c r="L166" s="417">
        <v>0</v>
      </c>
      <c r="M166" s="417">
        <v>0</v>
      </c>
      <c r="N166" s="417">
        <v>0</v>
      </c>
      <c r="O166" s="417">
        <v>0</v>
      </c>
      <c r="P166" s="417">
        <v>0</v>
      </c>
      <c r="Q166" s="378">
        <v>0</v>
      </c>
      <c r="R166" s="378"/>
      <c r="S166" s="417">
        <v>0</v>
      </c>
      <c r="T166" s="417">
        <v>0</v>
      </c>
      <c r="U166" s="417">
        <v>0</v>
      </c>
      <c r="V166" s="417">
        <v>0</v>
      </c>
      <c r="W166" s="417">
        <v>0</v>
      </c>
      <c r="X166" s="378">
        <v>0</v>
      </c>
      <c r="Z166" s="417">
        <v>0</v>
      </c>
      <c r="AA166" s="417">
        <v>0</v>
      </c>
      <c r="AB166" s="417">
        <v>0</v>
      </c>
      <c r="AC166" s="417">
        <v>0</v>
      </c>
      <c r="AD166" s="417">
        <v>0</v>
      </c>
      <c r="AE166" s="378">
        <v>0</v>
      </c>
      <c r="AF166" s="378"/>
      <c r="AG166" s="417">
        <v>0</v>
      </c>
      <c r="AH166" s="417">
        <v>0</v>
      </c>
      <c r="AI166" s="417">
        <v>0</v>
      </c>
      <c r="AJ166" s="417">
        <v>0</v>
      </c>
      <c r="AK166" s="417">
        <v>0</v>
      </c>
      <c r="AL166" s="378">
        <v>0</v>
      </c>
      <c r="AM166" s="378"/>
      <c r="AN166" s="417">
        <v>-4755</v>
      </c>
      <c r="AO166" s="417">
        <v>-4476</v>
      </c>
      <c r="AP166" s="417">
        <v>0</v>
      </c>
      <c r="AQ166" s="417">
        <v>0</v>
      </c>
      <c r="AR166" s="417">
        <v>0</v>
      </c>
    </row>
    <row r="167" spans="1:44">
      <c r="A167" s="377">
        <v>91501</v>
      </c>
      <c r="B167" t="s">
        <v>878</v>
      </c>
      <c r="C167" s="378">
        <v>4.819E-4</v>
      </c>
      <c r="D167" s="378"/>
      <c r="E167" s="417">
        <v>62431</v>
      </c>
      <c r="F167" s="417">
        <v>-24810</v>
      </c>
      <c r="G167" s="417">
        <v>-84389</v>
      </c>
      <c r="H167" s="417">
        <v>-323101</v>
      </c>
      <c r="I167" s="417">
        <v>0</v>
      </c>
      <c r="J167" s="378">
        <v>4.819E-4</v>
      </c>
      <c r="K167" s="378"/>
      <c r="L167" s="417">
        <v>117973</v>
      </c>
      <c r="M167" s="417">
        <v>81476</v>
      </c>
      <c r="N167" s="417">
        <v>35666</v>
      </c>
      <c r="O167" s="417">
        <v>0</v>
      </c>
      <c r="P167" s="417">
        <v>0</v>
      </c>
      <c r="Q167" s="378">
        <v>4.819E-4</v>
      </c>
      <c r="R167" s="378"/>
      <c r="S167" s="417">
        <v>-242091</v>
      </c>
      <c r="T167" s="417">
        <v>-239290</v>
      </c>
      <c r="U167" s="417">
        <v>-251384</v>
      </c>
      <c r="V167" s="417">
        <v>-323101</v>
      </c>
      <c r="W167" s="417">
        <v>0</v>
      </c>
      <c r="X167" s="378">
        <v>4.819E-4</v>
      </c>
      <c r="Z167" s="417">
        <v>193050</v>
      </c>
      <c r="AA167" s="417">
        <v>135628</v>
      </c>
      <c r="AB167" s="417">
        <v>135627</v>
      </c>
      <c r="AC167" s="417">
        <v>0</v>
      </c>
      <c r="AD167" s="417">
        <v>0</v>
      </c>
      <c r="AE167" s="378">
        <v>4.819E-4</v>
      </c>
      <c r="AF167" s="378"/>
      <c r="AG167" s="417">
        <v>7423</v>
      </c>
      <c r="AH167" s="417">
        <v>7424</v>
      </c>
      <c r="AI167" s="417">
        <v>0</v>
      </c>
      <c r="AJ167" s="417">
        <v>0</v>
      </c>
      <c r="AK167" s="417">
        <v>0</v>
      </c>
      <c r="AL167" s="378">
        <v>4.819E-4</v>
      </c>
      <c r="AM167" s="378"/>
      <c r="AN167" s="417">
        <v>-13924</v>
      </c>
      <c r="AO167" s="417">
        <v>-10048</v>
      </c>
      <c r="AP167" s="417">
        <v>-4298</v>
      </c>
      <c r="AQ167" s="417">
        <v>0</v>
      </c>
      <c r="AR167" s="417">
        <v>0</v>
      </c>
    </row>
    <row r="168" spans="1:44">
      <c r="A168" s="377">
        <v>91504</v>
      </c>
      <c r="B168" t="s">
        <v>879</v>
      </c>
      <c r="C168" s="378">
        <v>8.8999999999999995E-6</v>
      </c>
      <c r="D168" s="378"/>
      <c r="E168" s="417">
        <v>4346</v>
      </c>
      <c r="F168" s="417">
        <v>2215</v>
      </c>
      <c r="G168" s="417">
        <v>125</v>
      </c>
      <c r="H168" s="417">
        <v>-5967</v>
      </c>
      <c r="I168" s="417">
        <v>0</v>
      </c>
      <c r="J168" s="378">
        <v>8.8999999999999995E-6</v>
      </c>
      <c r="K168" s="378"/>
      <c r="L168" s="417">
        <v>2179</v>
      </c>
      <c r="M168" s="417">
        <v>1505</v>
      </c>
      <c r="N168" s="417">
        <v>659</v>
      </c>
      <c r="O168" s="417">
        <v>0</v>
      </c>
      <c r="P168" s="417">
        <v>0</v>
      </c>
      <c r="Q168" s="378">
        <v>8.8999999999999995E-6</v>
      </c>
      <c r="R168" s="378"/>
      <c r="S168" s="417">
        <v>-4471</v>
      </c>
      <c r="T168" s="417">
        <v>-4419</v>
      </c>
      <c r="U168" s="417">
        <v>-4643</v>
      </c>
      <c r="V168" s="417">
        <v>-5967</v>
      </c>
      <c r="W168" s="417">
        <v>0</v>
      </c>
      <c r="X168" s="378">
        <v>8.8999999999999995E-6</v>
      </c>
      <c r="Z168" s="417">
        <v>3565</v>
      </c>
      <c r="AA168" s="417">
        <v>2505</v>
      </c>
      <c r="AB168" s="417">
        <v>2505</v>
      </c>
      <c r="AC168" s="417">
        <v>0</v>
      </c>
      <c r="AD168" s="417">
        <v>0</v>
      </c>
      <c r="AE168" s="378">
        <v>8.8999999999999995E-6</v>
      </c>
      <c r="AF168" s="378"/>
      <c r="AG168" s="417">
        <v>3073</v>
      </c>
      <c r="AH168" s="417">
        <v>2624</v>
      </c>
      <c r="AI168" s="417">
        <v>1604</v>
      </c>
      <c r="AJ168" s="417">
        <v>0</v>
      </c>
      <c r="AK168" s="417">
        <v>0</v>
      </c>
      <c r="AL168" s="378">
        <v>8.8999999999999995E-6</v>
      </c>
      <c r="AM168" s="378"/>
      <c r="AN168" s="417">
        <v>0</v>
      </c>
      <c r="AO168" s="417">
        <v>0</v>
      </c>
      <c r="AP168" s="417">
        <v>0</v>
      </c>
      <c r="AQ168" s="417">
        <v>0</v>
      </c>
      <c r="AR168" s="417">
        <v>0</v>
      </c>
    </row>
    <row r="169" spans="1:44">
      <c r="A169" s="377">
        <v>91601</v>
      </c>
      <c r="B169" t="s">
        <v>880</v>
      </c>
      <c r="C169" s="378">
        <v>2.8359000000000001E-3</v>
      </c>
      <c r="D169" s="378"/>
      <c r="E169" s="417">
        <v>466719</v>
      </c>
      <c r="F169" s="417">
        <v>-69948</v>
      </c>
      <c r="G169" s="417">
        <v>-414076</v>
      </c>
      <c r="H169" s="417">
        <v>-1901397</v>
      </c>
      <c r="I169" s="417">
        <v>0</v>
      </c>
      <c r="J169" s="378">
        <v>2.8359000000000001E-3</v>
      </c>
      <c r="K169" s="378"/>
      <c r="L169" s="417">
        <v>694251</v>
      </c>
      <c r="M169" s="417">
        <v>479471</v>
      </c>
      <c r="N169" s="417">
        <v>209891</v>
      </c>
      <c r="O169" s="417">
        <v>0</v>
      </c>
      <c r="P169" s="417">
        <v>0</v>
      </c>
      <c r="Q169" s="378">
        <v>2.8359000000000001E-3</v>
      </c>
      <c r="R169" s="378"/>
      <c r="S169" s="417">
        <v>-1424665</v>
      </c>
      <c r="T169" s="417">
        <v>-1408180</v>
      </c>
      <c r="U169" s="417">
        <v>-1479350</v>
      </c>
      <c r="V169" s="417">
        <v>-1901397</v>
      </c>
      <c r="W169" s="417">
        <v>0</v>
      </c>
      <c r="X169" s="378">
        <v>2.8359000000000001E-3</v>
      </c>
      <c r="Z169" s="417">
        <v>1136067</v>
      </c>
      <c r="AA169" s="417">
        <v>798150</v>
      </c>
      <c r="AB169" s="417">
        <v>798144</v>
      </c>
      <c r="AC169" s="417">
        <v>0</v>
      </c>
      <c r="AD169" s="417">
        <v>0</v>
      </c>
      <c r="AE169" s="378">
        <v>2.8359000000000001E-3</v>
      </c>
      <c r="AF169" s="378"/>
      <c r="AG169" s="417">
        <v>114428</v>
      </c>
      <c r="AH169" s="417">
        <v>113972</v>
      </c>
      <c r="AI169" s="417">
        <v>57239</v>
      </c>
      <c r="AJ169" s="417">
        <v>0</v>
      </c>
      <c r="AK169" s="417">
        <v>0</v>
      </c>
      <c r="AL169" s="378">
        <v>2.8359000000000001E-3</v>
      </c>
      <c r="AM169" s="378"/>
      <c r="AN169" s="417">
        <v>-53362</v>
      </c>
      <c r="AO169" s="417">
        <v>-53361</v>
      </c>
      <c r="AP169" s="417">
        <v>0</v>
      </c>
      <c r="AQ169" s="417">
        <v>0</v>
      </c>
      <c r="AR169" s="417">
        <v>0</v>
      </c>
    </row>
    <row r="170" spans="1:44">
      <c r="A170" s="377">
        <v>91604</v>
      </c>
      <c r="B170" t="s">
        <v>881</v>
      </c>
      <c r="C170" s="378">
        <v>7.3999999999999996E-5</v>
      </c>
      <c r="D170" s="378"/>
      <c r="E170" s="417">
        <v>21627</v>
      </c>
      <c r="F170" s="417">
        <v>5414</v>
      </c>
      <c r="G170" s="417">
        <v>-10223</v>
      </c>
      <c r="H170" s="417">
        <v>-49615</v>
      </c>
      <c r="I170" s="417">
        <v>0</v>
      </c>
      <c r="J170" s="378">
        <v>7.3999999999999996E-5</v>
      </c>
      <c r="K170" s="378"/>
      <c r="L170" s="417">
        <v>18116</v>
      </c>
      <c r="M170" s="417">
        <v>12511</v>
      </c>
      <c r="N170" s="417">
        <v>5477</v>
      </c>
      <c r="O170" s="417">
        <v>0</v>
      </c>
      <c r="P170" s="417">
        <v>0</v>
      </c>
      <c r="Q170" s="378">
        <v>7.3999999999999996E-5</v>
      </c>
      <c r="R170" s="378"/>
      <c r="S170" s="417">
        <v>-37175</v>
      </c>
      <c r="T170" s="417">
        <v>-36745</v>
      </c>
      <c r="U170" s="417">
        <v>-38602</v>
      </c>
      <c r="V170" s="417">
        <v>-49615</v>
      </c>
      <c r="W170" s="417">
        <v>0</v>
      </c>
      <c r="X170" s="378">
        <v>7.3999999999999996E-5</v>
      </c>
      <c r="Z170" s="417">
        <v>29645</v>
      </c>
      <c r="AA170" s="417">
        <v>20827</v>
      </c>
      <c r="AB170" s="417">
        <v>20827</v>
      </c>
      <c r="AC170" s="417">
        <v>0</v>
      </c>
      <c r="AD170" s="417">
        <v>0</v>
      </c>
      <c r="AE170" s="378">
        <v>7.3999999999999996E-5</v>
      </c>
      <c r="AF170" s="378"/>
      <c r="AG170" s="417">
        <v>11041</v>
      </c>
      <c r="AH170" s="417">
        <v>8821</v>
      </c>
      <c r="AI170" s="417">
        <v>2075</v>
      </c>
      <c r="AJ170" s="417">
        <v>0</v>
      </c>
      <c r="AK170" s="417">
        <v>0</v>
      </c>
      <c r="AL170" s="378">
        <v>7.3999999999999996E-5</v>
      </c>
      <c r="AM170" s="378"/>
      <c r="AN170" s="417">
        <v>0</v>
      </c>
      <c r="AO170" s="417">
        <v>0</v>
      </c>
      <c r="AP170" s="417">
        <v>0</v>
      </c>
      <c r="AQ170" s="417">
        <v>0</v>
      </c>
      <c r="AR170" s="417">
        <v>0</v>
      </c>
    </row>
    <row r="171" spans="1:44">
      <c r="A171" s="377">
        <v>91608</v>
      </c>
      <c r="B171" t="s">
        <v>882</v>
      </c>
      <c r="C171" s="378">
        <v>1.594E-4</v>
      </c>
      <c r="D171" s="378"/>
      <c r="E171" s="417">
        <v>-469</v>
      </c>
      <c r="F171" s="417">
        <v>-26516</v>
      </c>
      <c r="G171" s="417">
        <v>-41190</v>
      </c>
      <c r="H171" s="417">
        <v>-106874</v>
      </c>
      <c r="I171" s="417">
        <v>0</v>
      </c>
      <c r="J171" s="378">
        <v>1.594E-4</v>
      </c>
      <c r="K171" s="378"/>
      <c r="L171" s="417">
        <v>39022</v>
      </c>
      <c r="M171" s="417">
        <v>26950</v>
      </c>
      <c r="N171" s="417">
        <v>11798</v>
      </c>
      <c r="O171" s="417">
        <v>0</v>
      </c>
      <c r="P171" s="417">
        <v>0</v>
      </c>
      <c r="Q171" s="378">
        <v>1.594E-4</v>
      </c>
      <c r="R171" s="378"/>
      <c r="S171" s="417">
        <v>-80077</v>
      </c>
      <c r="T171" s="417">
        <v>-79151</v>
      </c>
      <c r="U171" s="417">
        <v>-83151</v>
      </c>
      <c r="V171" s="417">
        <v>-106874</v>
      </c>
      <c r="W171" s="417">
        <v>0</v>
      </c>
      <c r="X171" s="378">
        <v>1.594E-4</v>
      </c>
      <c r="Z171" s="417">
        <v>63856</v>
      </c>
      <c r="AA171" s="417">
        <v>44862</v>
      </c>
      <c r="AB171" s="417">
        <v>44862</v>
      </c>
      <c r="AC171" s="417">
        <v>0</v>
      </c>
      <c r="AD171" s="417">
        <v>0</v>
      </c>
      <c r="AE171" s="378">
        <v>1.594E-4</v>
      </c>
      <c r="AF171" s="378"/>
      <c r="AG171" s="417">
        <v>1194</v>
      </c>
      <c r="AH171" s="417">
        <v>1194</v>
      </c>
      <c r="AI171" s="417">
        <v>0</v>
      </c>
      <c r="AJ171" s="417">
        <v>0</v>
      </c>
      <c r="AK171" s="417">
        <v>0</v>
      </c>
      <c r="AL171" s="378">
        <v>1.594E-4</v>
      </c>
      <c r="AM171" s="378"/>
      <c r="AN171" s="417">
        <v>-24464</v>
      </c>
      <c r="AO171" s="417">
        <v>-20371</v>
      </c>
      <c r="AP171" s="417">
        <v>-14699</v>
      </c>
      <c r="AQ171" s="417">
        <v>0</v>
      </c>
      <c r="AR171" s="417">
        <v>0</v>
      </c>
    </row>
    <row r="172" spans="1:44">
      <c r="A172" s="377">
        <v>91611</v>
      </c>
      <c r="B172" t="s">
        <v>883</v>
      </c>
      <c r="C172" s="378">
        <v>1.3304E-3</v>
      </c>
      <c r="D172" s="378"/>
      <c r="E172" s="417">
        <v>30547</v>
      </c>
      <c r="F172" s="417">
        <v>-200277</v>
      </c>
      <c r="G172" s="417">
        <v>-331985</v>
      </c>
      <c r="H172" s="417">
        <v>-891999</v>
      </c>
      <c r="I172" s="417">
        <v>0</v>
      </c>
      <c r="J172" s="378">
        <v>1.3304E-3</v>
      </c>
      <c r="K172" s="378"/>
      <c r="L172" s="417">
        <v>325693</v>
      </c>
      <c r="M172" s="417">
        <v>224933</v>
      </c>
      <c r="N172" s="417">
        <v>98466</v>
      </c>
      <c r="O172" s="417">
        <v>0</v>
      </c>
      <c r="P172" s="417">
        <v>0</v>
      </c>
      <c r="Q172" s="378">
        <v>1.3304E-3</v>
      </c>
      <c r="R172" s="378"/>
      <c r="S172" s="417">
        <v>-668350</v>
      </c>
      <c r="T172" s="417">
        <v>-660617</v>
      </c>
      <c r="U172" s="417">
        <v>-694004</v>
      </c>
      <c r="V172" s="417">
        <v>-891999</v>
      </c>
      <c r="W172" s="417">
        <v>0</v>
      </c>
      <c r="X172" s="378">
        <v>1.3304E-3</v>
      </c>
      <c r="Z172" s="417">
        <v>532961</v>
      </c>
      <c r="AA172" s="417">
        <v>374434</v>
      </c>
      <c r="AB172" s="417">
        <v>374432</v>
      </c>
      <c r="AC172" s="417">
        <v>0</v>
      </c>
      <c r="AD172" s="417">
        <v>0</v>
      </c>
      <c r="AE172" s="378">
        <v>1.3304E-3</v>
      </c>
      <c r="AF172" s="378"/>
      <c r="AG172" s="417">
        <v>0</v>
      </c>
      <c r="AH172" s="417">
        <v>0</v>
      </c>
      <c r="AI172" s="417">
        <v>0</v>
      </c>
      <c r="AJ172" s="417">
        <v>0</v>
      </c>
      <c r="AK172" s="417">
        <v>0</v>
      </c>
      <c r="AL172" s="378">
        <v>1.3304E-3</v>
      </c>
      <c r="AM172" s="378"/>
      <c r="AN172" s="417">
        <v>-159757</v>
      </c>
      <c r="AO172" s="417">
        <v>-139027</v>
      </c>
      <c r="AP172" s="417">
        <v>-110879</v>
      </c>
      <c r="AQ172" s="417">
        <v>0</v>
      </c>
      <c r="AR172" s="417">
        <v>0</v>
      </c>
    </row>
    <row r="173" spans="1:44">
      <c r="A173" s="377">
        <v>91621</v>
      </c>
      <c r="B173" t="s">
        <v>884</v>
      </c>
      <c r="C173" s="378">
        <v>3.4180000000000001E-4</v>
      </c>
      <c r="D173" s="378"/>
      <c r="E173" s="417">
        <v>86476</v>
      </c>
      <c r="F173" s="417">
        <v>23669</v>
      </c>
      <c r="G173" s="417">
        <v>-24855</v>
      </c>
      <c r="H173" s="417">
        <v>-229168</v>
      </c>
      <c r="I173" s="417">
        <v>0</v>
      </c>
      <c r="J173" s="378">
        <v>3.4180000000000001E-4</v>
      </c>
      <c r="K173" s="378"/>
      <c r="L173" s="417">
        <v>83675</v>
      </c>
      <c r="M173" s="417">
        <v>57789</v>
      </c>
      <c r="N173" s="417">
        <v>25297</v>
      </c>
      <c r="O173" s="417">
        <v>0</v>
      </c>
      <c r="P173" s="417">
        <v>0</v>
      </c>
      <c r="Q173" s="378">
        <v>3.4180000000000001E-4</v>
      </c>
      <c r="R173" s="378"/>
      <c r="S173" s="417">
        <v>-171709</v>
      </c>
      <c r="T173" s="417">
        <v>-169722</v>
      </c>
      <c r="U173" s="417">
        <v>-178300</v>
      </c>
      <c r="V173" s="417">
        <v>-229168</v>
      </c>
      <c r="W173" s="417">
        <v>0</v>
      </c>
      <c r="X173" s="378">
        <v>3.4180000000000001E-4</v>
      </c>
      <c r="Z173" s="417">
        <v>136926</v>
      </c>
      <c r="AA173" s="417">
        <v>96198</v>
      </c>
      <c r="AB173" s="417">
        <v>96197</v>
      </c>
      <c r="AC173" s="417">
        <v>0</v>
      </c>
      <c r="AD173" s="417">
        <v>0</v>
      </c>
      <c r="AE173" s="378">
        <v>3.4180000000000001E-4</v>
      </c>
      <c r="AF173" s="378"/>
      <c r="AG173" s="417">
        <v>43660</v>
      </c>
      <c r="AH173" s="417">
        <v>43660</v>
      </c>
      <c r="AI173" s="417">
        <v>31951</v>
      </c>
      <c r="AJ173" s="417">
        <v>0</v>
      </c>
      <c r="AK173" s="417">
        <v>0</v>
      </c>
      <c r="AL173" s="378">
        <v>3.4180000000000001E-4</v>
      </c>
      <c r="AM173" s="378"/>
      <c r="AN173" s="417">
        <v>-6076</v>
      </c>
      <c r="AO173" s="417">
        <v>-4256</v>
      </c>
      <c r="AP173" s="417">
        <v>0</v>
      </c>
      <c r="AQ173" s="417">
        <v>0</v>
      </c>
      <c r="AR173" s="417">
        <v>0</v>
      </c>
    </row>
    <row r="174" spans="1:44">
      <c r="A174" s="377">
        <v>91631</v>
      </c>
      <c r="B174" t="s">
        <v>885</v>
      </c>
      <c r="C174" s="378">
        <v>6.3750000000000005E-4</v>
      </c>
      <c r="D174" s="378"/>
      <c r="E174" s="417">
        <v>96846</v>
      </c>
      <c r="F174" s="417">
        <v>-22739</v>
      </c>
      <c r="G174" s="417">
        <v>-119977</v>
      </c>
      <c r="H174" s="417">
        <v>-427427</v>
      </c>
      <c r="I174" s="417">
        <v>0</v>
      </c>
      <c r="J174" s="378">
        <v>6.3750000000000005E-4</v>
      </c>
      <c r="K174" s="378"/>
      <c r="L174" s="417">
        <v>156065</v>
      </c>
      <c r="M174" s="417">
        <v>107783</v>
      </c>
      <c r="N174" s="417">
        <v>47183</v>
      </c>
      <c r="O174" s="417">
        <v>0</v>
      </c>
      <c r="P174" s="417">
        <v>0</v>
      </c>
      <c r="Q174" s="378">
        <v>6.3750000000000005E-4</v>
      </c>
      <c r="R174" s="378"/>
      <c r="S174" s="417">
        <v>-320260</v>
      </c>
      <c r="T174" s="417">
        <v>-316554</v>
      </c>
      <c r="U174" s="417">
        <v>-332553</v>
      </c>
      <c r="V174" s="417">
        <v>-427427</v>
      </c>
      <c r="W174" s="417">
        <v>0</v>
      </c>
      <c r="X174" s="378">
        <v>6.3750000000000005E-4</v>
      </c>
      <c r="Z174" s="417">
        <v>255384</v>
      </c>
      <c r="AA174" s="417">
        <v>179421</v>
      </c>
      <c r="AB174" s="417">
        <v>179420</v>
      </c>
      <c r="AC174" s="417">
        <v>0</v>
      </c>
      <c r="AD174" s="417">
        <v>0</v>
      </c>
      <c r="AE174" s="378">
        <v>6.3750000000000005E-4</v>
      </c>
      <c r="AF174" s="378"/>
      <c r="AG174" s="417">
        <v>20639</v>
      </c>
      <c r="AH174" s="417">
        <v>20637</v>
      </c>
      <c r="AI174" s="417">
        <v>0</v>
      </c>
      <c r="AJ174" s="417">
        <v>0</v>
      </c>
      <c r="AK174" s="417">
        <v>0</v>
      </c>
      <c r="AL174" s="378">
        <v>6.3750000000000005E-4</v>
      </c>
      <c r="AM174" s="378"/>
      <c r="AN174" s="417">
        <v>-14982</v>
      </c>
      <c r="AO174" s="417">
        <v>-14026</v>
      </c>
      <c r="AP174" s="417">
        <v>-14027</v>
      </c>
      <c r="AQ174" s="417">
        <v>0</v>
      </c>
      <c r="AR174" s="417">
        <v>0</v>
      </c>
    </row>
    <row r="175" spans="1:44">
      <c r="A175" s="377">
        <v>91633</v>
      </c>
      <c r="B175" t="s">
        <v>886</v>
      </c>
      <c r="C175" s="378">
        <v>0</v>
      </c>
      <c r="D175" s="378"/>
      <c r="E175" s="417">
        <v>-12813</v>
      </c>
      <c r="F175" s="417">
        <v>-11873</v>
      </c>
      <c r="G175" s="417">
        <v>-13113</v>
      </c>
      <c r="H175" s="417">
        <v>0</v>
      </c>
      <c r="I175" s="417">
        <v>0</v>
      </c>
      <c r="J175" s="378">
        <v>0</v>
      </c>
      <c r="K175" s="378"/>
      <c r="L175" s="417">
        <v>0</v>
      </c>
      <c r="M175" s="417">
        <v>0</v>
      </c>
      <c r="N175" s="417">
        <v>0</v>
      </c>
      <c r="O175" s="417">
        <v>0</v>
      </c>
      <c r="P175" s="417">
        <v>0</v>
      </c>
      <c r="Q175" s="378">
        <v>0</v>
      </c>
      <c r="R175" s="378"/>
      <c r="S175" s="417">
        <v>0</v>
      </c>
      <c r="T175" s="417">
        <v>0</v>
      </c>
      <c r="U175" s="417">
        <v>0</v>
      </c>
      <c r="V175" s="417">
        <v>0</v>
      </c>
      <c r="W175" s="417">
        <v>0</v>
      </c>
      <c r="X175" s="378">
        <v>0</v>
      </c>
      <c r="Z175" s="417">
        <v>0</v>
      </c>
      <c r="AA175" s="417">
        <v>0</v>
      </c>
      <c r="AB175" s="417">
        <v>0</v>
      </c>
      <c r="AC175" s="417">
        <v>0</v>
      </c>
      <c r="AD175" s="417">
        <v>0</v>
      </c>
      <c r="AE175" s="378">
        <v>0</v>
      </c>
      <c r="AF175" s="378"/>
      <c r="AG175" s="417">
        <v>2151</v>
      </c>
      <c r="AH175" s="417">
        <v>2153</v>
      </c>
      <c r="AI175" s="417">
        <v>0</v>
      </c>
      <c r="AJ175" s="417">
        <v>0</v>
      </c>
      <c r="AK175" s="417">
        <v>0</v>
      </c>
      <c r="AL175" s="378">
        <v>0</v>
      </c>
      <c r="AM175" s="378"/>
      <c r="AN175" s="417">
        <v>-14964</v>
      </c>
      <c r="AO175" s="417">
        <v>-14026</v>
      </c>
      <c r="AP175" s="417">
        <v>-13113</v>
      </c>
      <c r="AQ175" s="417">
        <v>0</v>
      </c>
      <c r="AR175" s="417">
        <v>0</v>
      </c>
    </row>
    <row r="176" spans="1:44">
      <c r="A176" s="377">
        <v>91641</v>
      </c>
      <c r="B176" t="s">
        <v>887</v>
      </c>
      <c r="C176" s="378">
        <v>3.234E-4</v>
      </c>
      <c r="D176" s="378"/>
      <c r="E176" s="417">
        <v>40040</v>
      </c>
      <c r="F176" s="417">
        <v>-9906</v>
      </c>
      <c r="G176" s="417">
        <v>-50589</v>
      </c>
      <c r="H176" s="417">
        <v>-216831</v>
      </c>
      <c r="I176" s="417">
        <v>0</v>
      </c>
      <c r="J176" s="378">
        <v>3.234E-4</v>
      </c>
      <c r="K176" s="378"/>
      <c r="L176" s="417">
        <v>79171</v>
      </c>
      <c r="M176" s="417">
        <v>54678</v>
      </c>
      <c r="N176" s="417">
        <v>23935</v>
      </c>
      <c r="O176" s="417">
        <v>0</v>
      </c>
      <c r="P176" s="417">
        <v>0</v>
      </c>
      <c r="Q176" s="378">
        <v>3.234E-4</v>
      </c>
      <c r="R176" s="378"/>
      <c r="S176" s="417">
        <v>-162466</v>
      </c>
      <c r="T176" s="417">
        <v>-160586</v>
      </c>
      <c r="U176" s="417">
        <v>-168702</v>
      </c>
      <c r="V176" s="417">
        <v>-216831</v>
      </c>
      <c r="W176" s="417">
        <v>0</v>
      </c>
      <c r="X176" s="378">
        <v>3.234E-4</v>
      </c>
      <c r="Z176" s="417">
        <v>129555</v>
      </c>
      <c r="AA176" s="417">
        <v>91019</v>
      </c>
      <c r="AB176" s="417">
        <v>91019</v>
      </c>
      <c r="AC176" s="417">
        <v>0</v>
      </c>
      <c r="AD176" s="417">
        <v>0</v>
      </c>
      <c r="AE176" s="378">
        <v>3.234E-4</v>
      </c>
      <c r="AF176" s="378"/>
      <c r="AG176" s="417">
        <v>4984</v>
      </c>
      <c r="AH176" s="417">
        <v>4983</v>
      </c>
      <c r="AI176" s="417">
        <v>3159</v>
      </c>
      <c r="AJ176" s="417">
        <v>0</v>
      </c>
      <c r="AK176" s="417">
        <v>0</v>
      </c>
      <c r="AL176" s="378">
        <v>3.234E-4</v>
      </c>
      <c r="AM176" s="378"/>
      <c r="AN176" s="417">
        <v>-11204</v>
      </c>
      <c r="AO176" s="417">
        <v>0</v>
      </c>
      <c r="AP176" s="417">
        <v>0</v>
      </c>
      <c r="AQ176" s="417">
        <v>0</v>
      </c>
      <c r="AR176" s="417">
        <v>0</v>
      </c>
    </row>
    <row r="177" spans="1:44">
      <c r="A177" s="377">
        <v>91651</v>
      </c>
      <c r="B177" t="s">
        <v>888</v>
      </c>
      <c r="C177" s="378">
        <v>5.5210000000000003E-4</v>
      </c>
      <c r="D177" s="378"/>
      <c r="E177" s="417">
        <v>104104</v>
      </c>
      <c r="F177" s="417">
        <v>-6753</v>
      </c>
      <c r="G177" s="417">
        <v>-83890</v>
      </c>
      <c r="H177" s="417">
        <v>-370169</v>
      </c>
      <c r="I177" s="417">
        <v>0</v>
      </c>
      <c r="J177" s="378">
        <v>5.5210000000000003E-4</v>
      </c>
      <c r="K177" s="378"/>
      <c r="L177" s="417">
        <v>135158</v>
      </c>
      <c r="M177" s="417">
        <v>93345</v>
      </c>
      <c r="N177" s="417">
        <v>40862</v>
      </c>
      <c r="O177" s="417">
        <v>0</v>
      </c>
      <c r="P177" s="417">
        <v>0</v>
      </c>
      <c r="Q177" s="378">
        <v>5.5210000000000003E-4</v>
      </c>
      <c r="R177" s="378"/>
      <c r="S177" s="417">
        <v>-277357</v>
      </c>
      <c r="T177" s="417">
        <v>-274148</v>
      </c>
      <c r="U177" s="417">
        <v>-288004</v>
      </c>
      <c r="V177" s="417">
        <v>-370169</v>
      </c>
      <c r="W177" s="417">
        <v>0</v>
      </c>
      <c r="X177" s="378">
        <v>5.5210000000000003E-4</v>
      </c>
      <c r="Z177" s="417">
        <v>221172</v>
      </c>
      <c r="AA177" s="417">
        <v>155386</v>
      </c>
      <c r="AB177" s="417">
        <v>155385</v>
      </c>
      <c r="AC177" s="417">
        <v>0</v>
      </c>
      <c r="AD177" s="417">
        <v>0</v>
      </c>
      <c r="AE177" s="378">
        <v>5.5210000000000003E-4</v>
      </c>
      <c r="AF177" s="378"/>
      <c r="AG177" s="417">
        <v>27494</v>
      </c>
      <c r="AH177" s="417">
        <v>21025</v>
      </c>
      <c r="AI177" s="417">
        <v>7867</v>
      </c>
      <c r="AJ177" s="417">
        <v>0</v>
      </c>
      <c r="AK177" s="417">
        <v>0</v>
      </c>
      <c r="AL177" s="378">
        <v>5.5210000000000003E-4</v>
      </c>
      <c r="AM177" s="378"/>
      <c r="AN177" s="417">
        <v>-2363</v>
      </c>
      <c r="AO177" s="417">
        <v>-2361</v>
      </c>
      <c r="AP177" s="417">
        <v>0</v>
      </c>
      <c r="AQ177" s="417">
        <v>0</v>
      </c>
      <c r="AR177" s="417">
        <v>0</v>
      </c>
    </row>
    <row r="178" spans="1:44">
      <c r="A178" s="377">
        <v>91661</v>
      </c>
      <c r="B178" t="s">
        <v>889</v>
      </c>
      <c r="C178" s="378">
        <v>1.9269999999999999E-4</v>
      </c>
      <c r="D178" s="378"/>
      <c r="E178" s="417">
        <v>8849</v>
      </c>
      <c r="F178" s="417">
        <v>-25835</v>
      </c>
      <c r="G178" s="417">
        <v>-42736</v>
      </c>
      <c r="H178" s="417">
        <v>-129200</v>
      </c>
      <c r="I178" s="417">
        <v>0</v>
      </c>
      <c r="J178" s="378">
        <v>1.9269999999999999E-4</v>
      </c>
      <c r="K178" s="378"/>
      <c r="L178" s="417">
        <v>47175</v>
      </c>
      <c r="M178" s="417">
        <v>32580</v>
      </c>
      <c r="N178" s="417">
        <v>14262</v>
      </c>
      <c r="O178" s="417">
        <v>0</v>
      </c>
      <c r="P178" s="417">
        <v>0</v>
      </c>
      <c r="Q178" s="378">
        <v>1.9269999999999999E-4</v>
      </c>
      <c r="R178" s="378"/>
      <c r="S178" s="417">
        <v>-96806</v>
      </c>
      <c r="T178" s="417">
        <v>-95686</v>
      </c>
      <c r="U178" s="417">
        <v>-100522</v>
      </c>
      <c r="V178" s="417">
        <v>-129200</v>
      </c>
      <c r="W178" s="417">
        <v>0</v>
      </c>
      <c r="X178" s="378">
        <v>1.9269999999999999E-4</v>
      </c>
      <c r="Z178" s="417">
        <v>77196</v>
      </c>
      <c r="AA178" s="417">
        <v>54234</v>
      </c>
      <c r="AB178" s="417">
        <v>54234</v>
      </c>
      <c r="AC178" s="417">
        <v>0</v>
      </c>
      <c r="AD178" s="417">
        <v>0</v>
      </c>
      <c r="AE178" s="378">
        <v>1.9269999999999999E-4</v>
      </c>
      <c r="AF178" s="378"/>
      <c r="AG178" s="417">
        <v>0</v>
      </c>
      <c r="AH178" s="417">
        <v>0</v>
      </c>
      <c r="AI178" s="417">
        <v>0</v>
      </c>
      <c r="AJ178" s="417">
        <v>0</v>
      </c>
      <c r="AK178" s="417">
        <v>0</v>
      </c>
      <c r="AL178" s="378">
        <v>1.9269999999999999E-4</v>
      </c>
      <c r="AM178" s="378"/>
      <c r="AN178" s="417">
        <v>-18716</v>
      </c>
      <c r="AO178" s="417">
        <v>-16963</v>
      </c>
      <c r="AP178" s="417">
        <v>-10710</v>
      </c>
      <c r="AQ178" s="417">
        <v>0</v>
      </c>
      <c r="AR178" s="417">
        <v>0</v>
      </c>
    </row>
    <row r="179" spans="1:44">
      <c r="A179" s="377">
        <v>91671</v>
      </c>
      <c r="B179" t="s">
        <v>890</v>
      </c>
      <c r="C179" s="378">
        <v>1.013E-4</v>
      </c>
      <c r="D179" s="378"/>
      <c r="E179" s="417">
        <v>7572</v>
      </c>
      <c r="F179" s="417">
        <v>-12903</v>
      </c>
      <c r="G179" s="417">
        <v>-14506</v>
      </c>
      <c r="H179" s="417">
        <v>-67919</v>
      </c>
      <c r="I179" s="417">
        <v>0</v>
      </c>
      <c r="J179" s="378">
        <v>1.013E-4</v>
      </c>
      <c r="K179" s="378"/>
      <c r="L179" s="417">
        <v>24799</v>
      </c>
      <c r="M179" s="417">
        <v>17127</v>
      </c>
      <c r="N179" s="417">
        <v>7497</v>
      </c>
      <c r="O179" s="417">
        <v>0</v>
      </c>
      <c r="P179" s="417">
        <v>0</v>
      </c>
      <c r="Q179" s="378">
        <v>1.013E-4</v>
      </c>
      <c r="R179" s="378"/>
      <c r="S179" s="417">
        <v>-50890</v>
      </c>
      <c r="T179" s="417">
        <v>-50301</v>
      </c>
      <c r="U179" s="417">
        <v>-52843</v>
      </c>
      <c r="V179" s="417">
        <v>-67919</v>
      </c>
      <c r="W179" s="417">
        <v>0</v>
      </c>
      <c r="X179" s="378">
        <v>1.013E-4</v>
      </c>
      <c r="Z179" s="417">
        <v>40581</v>
      </c>
      <c r="AA179" s="417">
        <v>28510</v>
      </c>
      <c r="AB179" s="417">
        <v>28510</v>
      </c>
      <c r="AC179" s="417">
        <v>0</v>
      </c>
      <c r="AD179" s="417">
        <v>0</v>
      </c>
      <c r="AE179" s="378">
        <v>1.013E-4</v>
      </c>
      <c r="AF179" s="378"/>
      <c r="AG179" s="417">
        <v>3652</v>
      </c>
      <c r="AH179" s="417">
        <v>2332</v>
      </c>
      <c r="AI179" s="417">
        <v>2330</v>
      </c>
      <c r="AJ179" s="417">
        <v>0</v>
      </c>
      <c r="AK179" s="417">
        <v>0</v>
      </c>
      <c r="AL179" s="378">
        <v>1.013E-4</v>
      </c>
      <c r="AM179" s="378"/>
      <c r="AN179" s="417">
        <v>-10570</v>
      </c>
      <c r="AO179" s="417">
        <v>-10571</v>
      </c>
      <c r="AP179" s="417">
        <v>0</v>
      </c>
      <c r="AQ179" s="417">
        <v>0</v>
      </c>
      <c r="AR179" s="417">
        <v>0</v>
      </c>
    </row>
    <row r="180" spans="1:44">
      <c r="A180" s="377">
        <v>91681</v>
      </c>
      <c r="B180" t="s">
        <v>891</v>
      </c>
      <c r="C180" s="378">
        <v>4.5239999999999999E-4</v>
      </c>
      <c r="D180" s="378"/>
      <c r="E180" s="417">
        <v>168273</v>
      </c>
      <c r="F180" s="417">
        <v>49650</v>
      </c>
      <c r="G180" s="417">
        <v>-37765</v>
      </c>
      <c r="H180" s="417">
        <v>-303322</v>
      </c>
      <c r="I180" s="417">
        <v>0</v>
      </c>
      <c r="J180" s="378">
        <v>4.5239999999999999E-4</v>
      </c>
      <c r="K180" s="378"/>
      <c r="L180" s="417">
        <v>110751</v>
      </c>
      <c r="M180" s="417">
        <v>76488</v>
      </c>
      <c r="N180" s="417">
        <v>33483</v>
      </c>
      <c r="O180" s="417">
        <v>0</v>
      </c>
      <c r="P180" s="417">
        <v>0</v>
      </c>
      <c r="Q180" s="378">
        <v>4.5239999999999999E-4</v>
      </c>
      <c r="R180" s="378"/>
      <c r="S180" s="417">
        <v>-227271</v>
      </c>
      <c r="T180" s="417">
        <v>-224641</v>
      </c>
      <c r="U180" s="417">
        <v>-235995</v>
      </c>
      <c r="V180" s="417">
        <v>-303322</v>
      </c>
      <c r="W180" s="417">
        <v>0</v>
      </c>
      <c r="X180" s="378">
        <v>4.5239999999999999E-4</v>
      </c>
      <c r="Z180" s="417">
        <v>181232</v>
      </c>
      <c r="AA180" s="417">
        <v>127326</v>
      </c>
      <c r="AB180" s="417">
        <v>127325</v>
      </c>
      <c r="AC180" s="417">
        <v>0</v>
      </c>
      <c r="AD180" s="417">
        <v>0</v>
      </c>
      <c r="AE180" s="378">
        <v>4.5239999999999999E-4</v>
      </c>
      <c r="AF180" s="378"/>
      <c r="AG180" s="417">
        <v>104947</v>
      </c>
      <c r="AH180" s="417">
        <v>71862</v>
      </c>
      <c r="AI180" s="417">
        <v>37422</v>
      </c>
      <c r="AJ180" s="417">
        <v>0</v>
      </c>
      <c r="AK180" s="417">
        <v>0</v>
      </c>
      <c r="AL180" s="378">
        <v>4.5239999999999999E-4</v>
      </c>
      <c r="AM180" s="378"/>
      <c r="AN180" s="417">
        <v>-1386</v>
      </c>
      <c r="AO180" s="417">
        <v>-1385</v>
      </c>
      <c r="AP180" s="417">
        <v>0</v>
      </c>
      <c r="AQ180" s="417">
        <v>0</v>
      </c>
      <c r="AR180" s="417">
        <v>0</v>
      </c>
    </row>
    <row r="181" spans="1:44">
      <c r="A181" s="377">
        <v>91691</v>
      </c>
      <c r="B181" t="s">
        <v>892</v>
      </c>
      <c r="C181" s="378">
        <v>2.8500000000000002E-5</v>
      </c>
      <c r="D181" s="378"/>
      <c r="E181" s="417">
        <v>11567</v>
      </c>
      <c r="F181" s="417">
        <v>6280</v>
      </c>
      <c r="G181" s="417">
        <v>3879</v>
      </c>
      <c r="H181" s="417">
        <v>-19109</v>
      </c>
      <c r="I181" s="417">
        <v>0</v>
      </c>
      <c r="J181" s="378">
        <v>2.8500000000000002E-5</v>
      </c>
      <c r="K181" s="378"/>
      <c r="L181" s="417">
        <v>6977</v>
      </c>
      <c r="M181" s="417">
        <v>4819</v>
      </c>
      <c r="N181" s="417">
        <v>2109</v>
      </c>
      <c r="O181" s="417">
        <v>0</v>
      </c>
      <c r="P181" s="417">
        <v>0</v>
      </c>
      <c r="Q181" s="378">
        <v>2.8500000000000002E-5</v>
      </c>
      <c r="R181" s="378"/>
      <c r="S181" s="417">
        <v>-14317</v>
      </c>
      <c r="T181" s="417">
        <v>-14152</v>
      </c>
      <c r="U181" s="417">
        <v>-14867</v>
      </c>
      <c r="V181" s="417">
        <v>-19109</v>
      </c>
      <c r="W181" s="417">
        <v>0</v>
      </c>
      <c r="X181" s="378">
        <v>2.8500000000000002E-5</v>
      </c>
      <c r="Z181" s="417">
        <v>11417</v>
      </c>
      <c r="AA181" s="417">
        <v>8021</v>
      </c>
      <c r="AB181" s="417">
        <v>8021</v>
      </c>
      <c r="AC181" s="417">
        <v>0</v>
      </c>
      <c r="AD181" s="417">
        <v>0</v>
      </c>
      <c r="AE181" s="378">
        <v>2.8500000000000002E-5</v>
      </c>
      <c r="AF181" s="378"/>
      <c r="AG181" s="417">
        <v>9127</v>
      </c>
      <c r="AH181" s="417">
        <v>9129</v>
      </c>
      <c r="AI181" s="417">
        <v>8616</v>
      </c>
      <c r="AJ181" s="417">
        <v>0</v>
      </c>
      <c r="AK181" s="417">
        <v>0</v>
      </c>
      <c r="AL181" s="378">
        <v>2.8500000000000002E-5</v>
      </c>
      <c r="AM181" s="378"/>
      <c r="AN181" s="417">
        <v>-1637</v>
      </c>
      <c r="AO181" s="417">
        <v>-1537</v>
      </c>
      <c r="AP181" s="417">
        <v>0</v>
      </c>
      <c r="AQ181" s="417">
        <v>0</v>
      </c>
      <c r="AR181" s="417">
        <v>0</v>
      </c>
    </row>
    <row r="182" spans="1:44">
      <c r="A182" s="377">
        <v>91701</v>
      </c>
      <c r="B182" t="s">
        <v>893</v>
      </c>
      <c r="C182" s="378">
        <v>1.1352999999999999E-3</v>
      </c>
      <c r="D182" s="378"/>
      <c r="E182" s="417">
        <v>139051</v>
      </c>
      <c r="F182" s="417">
        <v>-65795</v>
      </c>
      <c r="G182" s="417">
        <v>-175971</v>
      </c>
      <c r="H182" s="417">
        <v>-761189</v>
      </c>
      <c r="I182" s="417">
        <v>0</v>
      </c>
      <c r="J182" s="378">
        <v>1.1352999999999999E-3</v>
      </c>
      <c r="K182" s="378"/>
      <c r="L182" s="417">
        <v>277931</v>
      </c>
      <c r="M182" s="417">
        <v>191947</v>
      </c>
      <c r="N182" s="417">
        <v>84026</v>
      </c>
      <c r="O182" s="417">
        <v>0</v>
      </c>
      <c r="P182" s="417">
        <v>0</v>
      </c>
      <c r="Q182" s="378">
        <v>1.1352999999999999E-3</v>
      </c>
      <c r="R182" s="378"/>
      <c r="S182" s="417">
        <v>-570338</v>
      </c>
      <c r="T182" s="417">
        <v>-563739</v>
      </c>
      <c r="U182" s="417">
        <v>-592230</v>
      </c>
      <c r="V182" s="417">
        <v>-761189</v>
      </c>
      <c r="W182" s="417">
        <v>0</v>
      </c>
      <c r="X182" s="378">
        <v>1.1352999999999999E-3</v>
      </c>
      <c r="Z182" s="417">
        <v>454803</v>
      </c>
      <c r="AA182" s="417">
        <v>319525</v>
      </c>
      <c r="AB182" s="417">
        <v>319522</v>
      </c>
      <c r="AC182" s="417">
        <v>0</v>
      </c>
      <c r="AD182" s="417">
        <v>0</v>
      </c>
      <c r="AE182" s="378">
        <v>1.1352999999999999E-3</v>
      </c>
      <c r="AF182" s="378"/>
      <c r="AG182" s="417">
        <v>12712</v>
      </c>
      <c r="AH182" s="417">
        <v>12712</v>
      </c>
      <c r="AI182" s="417">
        <v>12711</v>
      </c>
      <c r="AJ182" s="417">
        <v>0</v>
      </c>
      <c r="AK182" s="417">
        <v>0</v>
      </c>
      <c r="AL182" s="378">
        <v>1.1352999999999999E-3</v>
      </c>
      <c r="AM182" s="378"/>
      <c r="AN182" s="417">
        <v>-36057</v>
      </c>
      <c r="AO182" s="417">
        <v>-26240</v>
      </c>
      <c r="AP182" s="417">
        <v>0</v>
      </c>
      <c r="AQ182" s="417">
        <v>0</v>
      </c>
      <c r="AR182" s="417">
        <v>0</v>
      </c>
    </row>
    <row r="183" spans="1:44">
      <c r="A183" s="377">
        <v>91704</v>
      </c>
      <c r="B183" t="s">
        <v>894</v>
      </c>
      <c r="C183" s="378">
        <v>1.7600000000000001E-5</v>
      </c>
      <c r="D183" s="378"/>
      <c r="E183" s="417">
        <v>3768</v>
      </c>
      <c r="F183" s="417">
        <v>410</v>
      </c>
      <c r="G183" s="417">
        <v>-1844</v>
      </c>
      <c r="H183" s="417">
        <v>-11800</v>
      </c>
      <c r="I183" s="417">
        <v>0</v>
      </c>
      <c r="J183" s="378">
        <v>1.7600000000000001E-5</v>
      </c>
      <c r="K183" s="378"/>
      <c r="L183" s="417">
        <v>4309</v>
      </c>
      <c r="M183" s="417">
        <v>2976</v>
      </c>
      <c r="N183" s="417">
        <v>1303</v>
      </c>
      <c r="O183" s="417">
        <v>0</v>
      </c>
      <c r="P183" s="417">
        <v>0</v>
      </c>
      <c r="Q183" s="378">
        <v>1.7600000000000001E-5</v>
      </c>
      <c r="R183" s="378"/>
      <c r="S183" s="417">
        <v>-8842</v>
      </c>
      <c r="T183" s="417">
        <v>-8739</v>
      </c>
      <c r="U183" s="417">
        <v>-9181</v>
      </c>
      <c r="V183" s="417">
        <v>-11800</v>
      </c>
      <c r="W183" s="417">
        <v>0</v>
      </c>
      <c r="X183" s="378">
        <v>1.7600000000000001E-5</v>
      </c>
      <c r="Z183" s="417">
        <v>7051</v>
      </c>
      <c r="AA183" s="417">
        <v>4953</v>
      </c>
      <c r="AB183" s="417">
        <v>4953</v>
      </c>
      <c r="AC183" s="417">
        <v>0</v>
      </c>
      <c r="AD183" s="417">
        <v>0</v>
      </c>
      <c r="AE183" s="378">
        <v>1.7600000000000001E-5</v>
      </c>
      <c r="AF183" s="378"/>
      <c r="AG183" s="417">
        <v>1258</v>
      </c>
      <c r="AH183" s="417">
        <v>1226</v>
      </c>
      <c r="AI183" s="417">
        <v>1081</v>
      </c>
      <c r="AJ183" s="417">
        <v>0</v>
      </c>
      <c r="AK183" s="417">
        <v>0</v>
      </c>
      <c r="AL183" s="378">
        <v>1.7600000000000001E-5</v>
      </c>
      <c r="AM183" s="378"/>
      <c r="AN183" s="417">
        <v>-8</v>
      </c>
      <c r="AO183" s="417">
        <v>-6</v>
      </c>
      <c r="AP183" s="417">
        <v>0</v>
      </c>
      <c r="AQ183" s="417">
        <v>0</v>
      </c>
      <c r="AR183" s="417">
        <v>0</v>
      </c>
    </row>
    <row r="184" spans="1:44">
      <c r="A184" s="377">
        <v>91706</v>
      </c>
      <c r="B184" t="s">
        <v>895</v>
      </c>
      <c r="C184" s="378">
        <v>1.9760000000000001E-4</v>
      </c>
      <c r="D184" s="378"/>
      <c r="E184" s="417">
        <v>27707</v>
      </c>
      <c r="F184" s="417">
        <v>-17250</v>
      </c>
      <c r="G184" s="417">
        <v>-40068</v>
      </c>
      <c r="H184" s="417">
        <v>-132486</v>
      </c>
      <c r="I184" s="417">
        <v>0</v>
      </c>
      <c r="J184" s="378">
        <v>1.9760000000000001E-4</v>
      </c>
      <c r="K184" s="378"/>
      <c r="L184" s="417">
        <v>48374</v>
      </c>
      <c r="M184" s="417">
        <v>33409</v>
      </c>
      <c r="N184" s="417">
        <v>14625</v>
      </c>
      <c r="O184" s="417">
        <v>0</v>
      </c>
      <c r="P184" s="417">
        <v>0</v>
      </c>
      <c r="Q184" s="378">
        <v>1.9760000000000001E-4</v>
      </c>
      <c r="R184" s="378"/>
      <c r="S184" s="417">
        <v>-99268</v>
      </c>
      <c r="T184" s="417">
        <v>-98119</v>
      </c>
      <c r="U184" s="417">
        <v>-103078</v>
      </c>
      <c r="V184" s="417">
        <v>-132486</v>
      </c>
      <c r="W184" s="417">
        <v>0</v>
      </c>
      <c r="X184" s="378">
        <v>1.9760000000000001E-4</v>
      </c>
      <c r="Z184" s="417">
        <v>79159</v>
      </c>
      <c r="AA184" s="417">
        <v>55614</v>
      </c>
      <c r="AB184" s="417">
        <v>55613</v>
      </c>
      <c r="AC184" s="417">
        <v>0</v>
      </c>
      <c r="AD184" s="417">
        <v>0</v>
      </c>
      <c r="AE184" s="378">
        <v>1.9760000000000001E-4</v>
      </c>
      <c r="AF184" s="378"/>
      <c r="AG184" s="417">
        <v>15254</v>
      </c>
      <c r="AH184" s="417">
        <v>7657</v>
      </c>
      <c r="AI184" s="417">
        <v>0</v>
      </c>
      <c r="AJ184" s="417">
        <v>0</v>
      </c>
      <c r="AK184" s="417">
        <v>0</v>
      </c>
      <c r="AL184" s="378">
        <v>1.9760000000000001E-4</v>
      </c>
      <c r="AM184" s="378"/>
      <c r="AN184" s="417">
        <v>-15812</v>
      </c>
      <c r="AO184" s="417">
        <v>-15811</v>
      </c>
      <c r="AP184" s="417">
        <v>-7228</v>
      </c>
      <c r="AQ184" s="417">
        <v>0</v>
      </c>
      <c r="AR184" s="417">
        <v>0</v>
      </c>
    </row>
    <row r="185" spans="1:44">
      <c r="A185" s="377">
        <v>91719</v>
      </c>
      <c r="B185" t="s">
        <v>896</v>
      </c>
      <c r="C185" s="378">
        <v>4.99E-5</v>
      </c>
      <c r="D185" s="378"/>
      <c r="E185" s="417">
        <v>-45</v>
      </c>
      <c r="F185" s="417">
        <v>-9613</v>
      </c>
      <c r="G185" s="417">
        <v>-12441</v>
      </c>
      <c r="H185" s="417">
        <v>-33457</v>
      </c>
      <c r="I185" s="417">
        <v>0</v>
      </c>
      <c r="J185" s="378">
        <v>4.99E-5</v>
      </c>
      <c r="K185" s="378"/>
      <c r="L185" s="417">
        <v>12216</v>
      </c>
      <c r="M185" s="417">
        <v>8437</v>
      </c>
      <c r="N185" s="417">
        <v>3693</v>
      </c>
      <c r="O185" s="417">
        <v>0</v>
      </c>
      <c r="P185" s="417">
        <v>0</v>
      </c>
      <c r="Q185" s="378">
        <v>4.99E-5</v>
      </c>
      <c r="R185" s="378"/>
      <c r="S185" s="417">
        <v>-25068</v>
      </c>
      <c r="T185" s="417">
        <v>-24778</v>
      </c>
      <c r="U185" s="417">
        <v>-26030</v>
      </c>
      <c r="V185" s="417">
        <v>-33457</v>
      </c>
      <c r="W185" s="417">
        <v>0</v>
      </c>
      <c r="X185" s="378">
        <v>4.99E-5</v>
      </c>
      <c r="Z185" s="417">
        <v>19990</v>
      </c>
      <c r="AA185" s="417">
        <v>14044</v>
      </c>
      <c r="AB185" s="417">
        <v>14044</v>
      </c>
      <c r="AC185" s="417">
        <v>0</v>
      </c>
      <c r="AD185" s="417">
        <v>0</v>
      </c>
      <c r="AE185" s="378">
        <v>4.99E-5</v>
      </c>
      <c r="AF185" s="378"/>
      <c r="AG185" s="417">
        <v>134</v>
      </c>
      <c r="AH185" s="417">
        <v>0</v>
      </c>
      <c r="AI185" s="417">
        <v>0</v>
      </c>
      <c r="AJ185" s="417">
        <v>0</v>
      </c>
      <c r="AK185" s="417">
        <v>0</v>
      </c>
      <c r="AL185" s="378">
        <v>4.99E-5</v>
      </c>
      <c r="AM185" s="378"/>
      <c r="AN185" s="417">
        <v>-7317</v>
      </c>
      <c r="AO185" s="417">
        <v>-7316</v>
      </c>
      <c r="AP185" s="417">
        <v>-4148</v>
      </c>
      <c r="AQ185" s="417">
        <v>0</v>
      </c>
      <c r="AR185" s="417">
        <v>0</v>
      </c>
    </row>
    <row r="186" spans="1:44">
      <c r="A186" s="377">
        <v>91801</v>
      </c>
      <c r="B186" t="s">
        <v>897</v>
      </c>
      <c r="C186" s="378">
        <v>7.6772999999999997E-3</v>
      </c>
      <c r="D186" s="378"/>
      <c r="E186" s="417">
        <v>1066980</v>
      </c>
      <c r="F186" s="417">
        <v>-350539</v>
      </c>
      <c r="G186" s="417">
        <v>-1248110</v>
      </c>
      <c r="H186" s="417">
        <v>-5147430</v>
      </c>
      <c r="I186" s="417">
        <v>0</v>
      </c>
      <c r="J186" s="378">
        <v>7.6772999999999997E-3</v>
      </c>
      <c r="K186" s="378"/>
      <c r="L186" s="417">
        <v>1879464</v>
      </c>
      <c r="M186" s="417">
        <v>1298016</v>
      </c>
      <c r="N186" s="417">
        <v>568212</v>
      </c>
      <c r="O186" s="417">
        <v>0</v>
      </c>
      <c r="P186" s="417">
        <v>0</v>
      </c>
      <c r="Q186" s="378">
        <v>7.6772999999999997E-3</v>
      </c>
      <c r="R186" s="378"/>
      <c r="S186" s="417">
        <v>-3856830</v>
      </c>
      <c r="T186" s="417">
        <v>-3812202</v>
      </c>
      <c r="U186" s="417">
        <v>-4004871</v>
      </c>
      <c r="V186" s="417">
        <v>-5147430</v>
      </c>
      <c r="W186" s="417">
        <v>0</v>
      </c>
      <c r="X186" s="378">
        <v>7.6772999999999997E-3</v>
      </c>
      <c r="Z186" s="417">
        <v>3075542</v>
      </c>
      <c r="AA186" s="417">
        <v>2160738</v>
      </c>
      <c r="AB186" s="417">
        <v>2160722</v>
      </c>
      <c r="AC186" s="417">
        <v>0</v>
      </c>
      <c r="AD186" s="417">
        <v>0</v>
      </c>
      <c r="AE186" s="378">
        <v>7.6772999999999997E-3</v>
      </c>
      <c r="AF186" s="378"/>
      <c r="AG186" s="417">
        <v>70369</v>
      </c>
      <c r="AH186" s="417">
        <v>70368</v>
      </c>
      <c r="AI186" s="417">
        <v>27827</v>
      </c>
      <c r="AJ186" s="417">
        <v>0</v>
      </c>
      <c r="AK186" s="417">
        <v>0</v>
      </c>
      <c r="AL186" s="378">
        <v>7.6772999999999997E-3</v>
      </c>
      <c r="AM186" s="378"/>
      <c r="AN186" s="417">
        <v>-101565</v>
      </c>
      <c r="AO186" s="417">
        <v>-67459</v>
      </c>
      <c r="AP186" s="417">
        <v>0</v>
      </c>
      <c r="AQ186" s="417">
        <v>0</v>
      </c>
      <c r="AR186" s="417">
        <v>0</v>
      </c>
    </row>
    <row r="187" spans="1:44">
      <c r="A187" s="377">
        <v>91804</v>
      </c>
      <c r="B187" t="s">
        <v>898</v>
      </c>
      <c r="C187" s="378">
        <v>1.4300000000000001E-4</v>
      </c>
      <c r="D187" s="378"/>
      <c r="E187" s="417">
        <v>66999</v>
      </c>
      <c r="F187" s="417">
        <v>30949</v>
      </c>
      <c r="G187" s="417">
        <v>-7650</v>
      </c>
      <c r="H187" s="417">
        <v>-95878</v>
      </c>
      <c r="I187" s="417">
        <v>0</v>
      </c>
      <c r="J187" s="378">
        <v>1.4300000000000001E-4</v>
      </c>
      <c r="K187" s="378"/>
      <c r="L187" s="417">
        <v>35008</v>
      </c>
      <c r="M187" s="417">
        <v>24177</v>
      </c>
      <c r="N187" s="417">
        <v>10584</v>
      </c>
      <c r="O187" s="417">
        <v>0</v>
      </c>
      <c r="P187" s="417">
        <v>0</v>
      </c>
      <c r="Q187" s="378">
        <v>1.4300000000000001E-4</v>
      </c>
      <c r="R187" s="378"/>
      <c r="S187" s="417">
        <v>-71839</v>
      </c>
      <c r="T187" s="417">
        <v>-71007</v>
      </c>
      <c r="U187" s="417">
        <v>-74596</v>
      </c>
      <c r="V187" s="417">
        <v>-95878</v>
      </c>
      <c r="W187" s="417">
        <v>0</v>
      </c>
      <c r="X187" s="378">
        <v>1.4300000000000001E-4</v>
      </c>
      <c r="Z187" s="417">
        <v>57286</v>
      </c>
      <c r="AA187" s="417">
        <v>40247</v>
      </c>
      <c r="AB187" s="417">
        <v>40246</v>
      </c>
      <c r="AC187" s="417">
        <v>0</v>
      </c>
      <c r="AD187" s="417">
        <v>0</v>
      </c>
      <c r="AE187" s="378">
        <v>1.4300000000000001E-4</v>
      </c>
      <c r="AF187" s="378"/>
      <c r="AG187" s="417">
        <v>46544</v>
      </c>
      <c r="AH187" s="417">
        <v>37532</v>
      </c>
      <c r="AI187" s="417">
        <v>16116</v>
      </c>
      <c r="AJ187" s="417">
        <v>0</v>
      </c>
      <c r="AK187" s="417">
        <v>0</v>
      </c>
      <c r="AL187" s="378">
        <v>1.4300000000000001E-4</v>
      </c>
      <c r="AM187" s="378"/>
      <c r="AN187" s="417">
        <v>0</v>
      </c>
      <c r="AO187" s="417">
        <v>0</v>
      </c>
      <c r="AP187" s="417">
        <v>0</v>
      </c>
      <c r="AQ187" s="417">
        <v>0</v>
      </c>
      <c r="AR187" s="417">
        <v>0</v>
      </c>
    </row>
    <row r="188" spans="1:44">
      <c r="A188" s="377">
        <v>91811</v>
      </c>
      <c r="B188" t="s">
        <v>899</v>
      </c>
      <c r="C188" s="378">
        <v>4.2316999999999997E-3</v>
      </c>
      <c r="D188" s="378"/>
      <c r="E188" s="417">
        <v>455621</v>
      </c>
      <c r="F188" s="417">
        <v>-300750</v>
      </c>
      <c r="G188" s="417">
        <v>-798488</v>
      </c>
      <c r="H188" s="417">
        <v>-2837245</v>
      </c>
      <c r="I188" s="417">
        <v>0</v>
      </c>
      <c r="J188" s="378">
        <v>4.2316999999999997E-3</v>
      </c>
      <c r="K188" s="378"/>
      <c r="L188" s="417">
        <v>1035954</v>
      </c>
      <c r="M188" s="417">
        <v>715462</v>
      </c>
      <c r="N188" s="417">
        <v>313197</v>
      </c>
      <c r="O188" s="417">
        <v>0</v>
      </c>
      <c r="P188" s="417">
        <v>0</v>
      </c>
      <c r="Q188" s="378">
        <v>4.2316999999999997E-3</v>
      </c>
      <c r="R188" s="378"/>
      <c r="S188" s="417">
        <v>-2125871</v>
      </c>
      <c r="T188" s="417">
        <v>-2101272</v>
      </c>
      <c r="U188" s="417">
        <v>-2207471</v>
      </c>
      <c r="V188" s="417">
        <v>-2837245</v>
      </c>
      <c r="W188" s="417">
        <v>0</v>
      </c>
      <c r="X188" s="378">
        <v>4.2316999999999997E-3</v>
      </c>
      <c r="Z188" s="417">
        <v>1695227</v>
      </c>
      <c r="AA188" s="417">
        <v>1190991</v>
      </c>
      <c r="AB188" s="417">
        <v>1190982</v>
      </c>
      <c r="AC188" s="417">
        <v>0</v>
      </c>
      <c r="AD188" s="417">
        <v>0</v>
      </c>
      <c r="AE188" s="378">
        <v>4.2316999999999997E-3</v>
      </c>
      <c r="AF188" s="378"/>
      <c r="AG188" s="417">
        <v>37355</v>
      </c>
      <c r="AH188" s="417">
        <v>37355</v>
      </c>
      <c r="AI188" s="417">
        <v>0</v>
      </c>
      <c r="AJ188" s="417">
        <v>0</v>
      </c>
      <c r="AK188" s="417">
        <v>0</v>
      </c>
      <c r="AL188" s="378">
        <v>4.2316999999999997E-3</v>
      </c>
      <c r="AM188" s="378"/>
      <c r="AN188" s="417">
        <v>-187044</v>
      </c>
      <c r="AO188" s="417">
        <v>-143286</v>
      </c>
      <c r="AP188" s="417">
        <v>-95196</v>
      </c>
      <c r="AQ188" s="417">
        <v>0</v>
      </c>
      <c r="AR188" s="417">
        <v>0</v>
      </c>
    </row>
    <row r="189" spans="1:44">
      <c r="A189" s="377">
        <v>91812</v>
      </c>
      <c r="B189" t="s">
        <v>900</v>
      </c>
      <c r="C189" s="378">
        <v>5.41E-5</v>
      </c>
      <c r="D189" s="378"/>
      <c r="E189" s="417">
        <v>13745</v>
      </c>
      <c r="F189" s="417">
        <v>2584</v>
      </c>
      <c r="G189" s="417">
        <v>-9872</v>
      </c>
      <c r="H189" s="417">
        <v>-36273</v>
      </c>
      <c r="I189" s="417">
        <v>0</v>
      </c>
      <c r="J189" s="378">
        <v>5.41E-5</v>
      </c>
      <c r="K189" s="378"/>
      <c r="L189" s="417">
        <v>13244</v>
      </c>
      <c r="M189" s="417">
        <v>9147</v>
      </c>
      <c r="N189" s="417">
        <v>4004</v>
      </c>
      <c r="O189" s="417">
        <v>0</v>
      </c>
      <c r="P189" s="417">
        <v>0</v>
      </c>
      <c r="Q189" s="378">
        <v>5.41E-5</v>
      </c>
      <c r="R189" s="378"/>
      <c r="S189" s="417">
        <v>-27178</v>
      </c>
      <c r="T189" s="417">
        <v>-26864</v>
      </c>
      <c r="U189" s="417">
        <v>-28221</v>
      </c>
      <c r="V189" s="417">
        <v>-36273</v>
      </c>
      <c r="W189" s="417">
        <v>0</v>
      </c>
      <c r="X189" s="378">
        <v>5.41E-5</v>
      </c>
      <c r="Z189" s="417">
        <v>21673</v>
      </c>
      <c r="AA189" s="417">
        <v>15226</v>
      </c>
      <c r="AB189" s="417">
        <v>15226</v>
      </c>
      <c r="AC189" s="417">
        <v>0</v>
      </c>
      <c r="AD189" s="417">
        <v>0</v>
      </c>
      <c r="AE189" s="378">
        <v>5.41E-5</v>
      </c>
      <c r="AF189" s="378"/>
      <c r="AG189" s="417">
        <v>7509</v>
      </c>
      <c r="AH189" s="417">
        <v>6580</v>
      </c>
      <c r="AI189" s="417">
        <v>0</v>
      </c>
      <c r="AJ189" s="417">
        <v>0</v>
      </c>
      <c r="AK189" s="417">
        <v>0</v>
      </c>
      <c r="AL189" s="378">
        <v>5.41E-5</v>
      </c>
      <c r="AM189" s="378"/>
      <c r="AN189" s="417">
        <v>-1503</v>
      </c>
      <c r="AO189" s="417">
        <v>-1505</v>
      </c>
      <c r="AP189" s="417">
        <v>-881</v>
      </c>
      <c r="AQ189" s="417">
        <v>0</v>
      </c>
      <c r="AR189" s="417">
        <v>0</v>
      </c>
    </row>
    <row r="190" spans="1:44">
      <c r="A190" s="377">
        <v>91813</v>
      </c>
      <c r="B190" t="s">
        <v>901</v>
      </c>
      <c r="C190" s="378">
        <v>7.1799999999999997E-5</v>
      </c>
      <c r="D190" s="378"/>
      <c r="E190" s="417">
        <v>10209</v>
      </c>
      <c r="F190" s="417">
        <v>-2892</v>
      </c>
      <c r="G190" s="417">
        <v>-14192</v>
      </c>
      <c r="H190" s="417">
        <v>-48140</v>
      </c>
      <c r="I190" s="417">
        <v>0</v>
      </c>
      <c r="J190" s="378">
        <v>7.1799999999999997E-5</v>
      </c>
      <c r="K190" s="378"/>
      <c r="L190" s="417">
        <v>17577</v>
      </c>
      <c r="M190" s="417">
        <v>12139</v>
      </c>
      <c r="N190" s="417">
        <v>5314</v>
      </c>
      <c r="O190" s="417">
        <v>0</v>
      </c>
      <c r="P190" s="417">
        <v>0</v>
      </c>
      <c r="Q190" s="378">
        <v>7.1799999999999997E-5</v>
      </c>
      <c r="R190" s="378"/>
      <c r="S190" s="417">
        <v>-36070</v>
      </c>
      <c r="T190" s="417">
        <v>-35653</v>
      </c>
      <c r="U190" s="417">
        <v>-37455</v>
      </c>
      <c r="V190" s="417">
        <v>-48140</v>
      </c>
      <c r="W190" s="417">
        <v>0</v>
      </c>
      <c r="X190" s="378">
        <v>7.1799999999999997E-5</v>
      </c>
      <c r="Z190" s="417">
        <v>28763</v>
      </c>
      <c r="AA190" s="417">
        <v>20208</v>
      </c>
      <c r="AB190" s="417">
        <v>20208</v>
      </c>
      <c r="AC190" s="417">
        <v>0</v>
      </c>
      <c r="AD190" s="417">
        <v>0</v>
      </c>
      <c r="AE190" s="378">
        <v>7.1799999999999997E-5</v>
      </c>
      <c r="AF190" s="378"/>
      <c r="AG190" s="417">
        <v>4272</v>
      </c>
      <c r="AH190" s="417">
        <v>4270</v>
      </c>
      <c r="AI190" s="417">
        <v>0</v>
      </c>
      <c r="AJ190" s="417">
        <v>0</v>
      </c>
      <c r="AK190" s="417">
        <v>0</v>
      </c>
      <c r="AL190" s="378">
        <v>7.1799999999999997E-5</v>
      </c>
      <c r="AM190" s="378"/>
      <c r="AN190" s="417">
        <v>-4333</v>
      </c>
      <c r="AO190" s="417">
        <v>-3856</v>
      </c>
      <c r="AP190" s="417">
        <v>-2259</v>
      </c>
      <c r="AQ190" s="417">
        <v>0</v>
      </c>
      <c r="AR190" s="417">
        <v>0</v>
      </c>
    </row>
    <row r="191" spans="1:44">
      <c r="A191" s="377">
        <v>91818</v>
      </c>
      <c r="B191" t="s">
        <v>902</v>
      </c>
      <c r="C191" s="378">
        <v>4.683E-4</v>
      </c>
      <c r="D191" s="378"/>
      <c r="E191" s="417">
        <v>165246</v>
      </c>
      <c r="F191" s="417">
        <v>22790</v>
      </c>
      <c r="G191" s="417">
        <v>-50665</v>
      </c>
      <c r="H191" s="417">
        <v>-313983</v>
      </c>
      <c r="I191" s="417">
        <v>0</v>
      </c>
      <c r="J191" s="378">
        <v>4.683E-4</v>
      </c>
      <c r="K191" s="378"/>
      <c r="L191" s="417">
        <v>114644</v>
      </c>
      <c r="M191" s="417">
        <v>79176</v>
      </c>
      <c r="N191" s="417">
        <v>34660</v>
      </c>
      <c r="O191" s="417">
        <v>0</v>
      </c>
      <c r="P191" s="417">
        <v>0</v>
      </c>
      <c r="Q191" s="378">
        <v>4.683E-4</v>
      </c>
      <c r="R191" s="378"/>
      <c r="S191" s="417">
        <v>-235259</v>
      </c>
      <c r="T191" s="417">
        <v>-232537</v>
      </c>
      <c r="U191" s="417">
        <v>-244289</v>
      </c>
      <c r="V191" s="417">
        <v>-313983</v>
      </c>
      <c r="W191" s="417">
        <v>0</v>
      </c>
      <c r="X191" s="378">
        <v>4.683E-4</v>
      </c>
      <c r="Z191" s="417">
        <v>187602</v>
      </c>
      <c r="AA191" s="417">
        <v>131801</v>
      </c>
      <c r="AB191" s="417">
        <v>131800</v>
      </c>
      <c r="AC191" s="417">
        <v>0</v>
      </c>
      <c r="AD191" s="417">
        <v>0</v>
      </c>
      <c r="AE191" s="378">
        <v>4.683E-4</v>
      </c>
      <c r="AF191" s="378"/>
      <c r="AG191" s="417">
        <v>98259</v>
      </c>
      <c r="AH191" s="417">
        <v>44350</v>
      </c>
      <c r="AI191" s="417">
        <v>27164</v>
      </c>
      <c r="AJ191" s="417">
        <v>0</v>
      </c>
      <c r="AK191" s="417">
        <v>0</v>
      </c>
      <c r="AL191" s="378">
        <v>4.683E-4</v>
      </c>
      <c r="AM191" s="378"/>
      <c r="AN191" s="417">
        <v>0</v>
      </c>
      <c r="AO191" s="417">
        <v>0</v>
      </c>
      <c r="AP191" s="417">
        <v>0</v>
      </c>
      <c r="AQ191" s="417">
        <v>0</v>
      </c>
      <c r="AR191" s="417">
        <v>0</v>
      </c>
    </row>
    <row r="192" spans="1:44">
      <c r="A192" s="377">
        <v>91819</v>
      </c>
      <c r="B192" t="s">
        <v>903</v>
      </c>
      <c r="C192" s="378">
        <v>2.6840000000000002E-4</v>
      </c>
      <c r="D192" s="378"/>
      <c r="E192" s="417">
        <v>27824</v>
      </c>
      <c r="F192" s="417">
        <v>-28041</v>
      </c>
      <c r="G192" s="417">
        <v>-56552</v>
      </c>
      <c r="H192" s="417">
        <v>-179955</v>
      </c>
      <c r="I192" s="417">
        <v>0</v>
      </c>
      <c r="J192" s="378">
        <v>2.6840000000000002E-4</v>
      </c>
      <c r="K192" s="378"/>
      <c r="L192" s="417">
        <v>65706</v>
      </c>
      <c r="M192" s="417">
        <v>45379</v>
      </c>
      <c r="N192" s="417">
        <v>19865</v>
      </c>
      <c r="O192" s="417">
        <v>0</v>
      </c>
      <c r="P192" s="417">
        <v>0</v>
      </c>
      <c r="Q192" s="378">
        <v>2.6840000000000002E-4</v>
      </c>
      <c r="R192" s="378"/>
      <c r="S192" s="417">
        <v>-134836</v>
      </c>
      <c r="T192" s="417">
        <v>-133275</v>
      </c>
      <c r="U192" s="417">
        <v>-140011</v>
      </c>
      <c r="V192" s="417">
        <v>-179955</v>
      </c>
      <c r="W192" s="417">
        <v>0</v>
      </c>
      <c r="X192" s="378">
        <v>2.6840000000000002E-4</v>
      </c>
      <c r="Z192" s="417">
        <v>107522</v>
      </c>
      <c r="AA192" s="417">
        <v>75540</v>
      </c>
      <c r="AB192" s="417">
        <v>75539</v>
      </c>
      <c r="AC192" s="417">
        <v>0</v>
      </c>
      <c r="AD192" s="417">
        <v>0</v>
      </c>
      <c r="AE192" s="378">
        <v>2.6840000000000002E-4</v>
      </c>
      <c r="AF192" s="378"/>
      <c r="AG192" s="417">
        <v>10020</v>
      </c>
      <c r="AH192" s="417">
        <v>4901</v>
      </c>
      <c r="AI192" s="417">
        <v>0</v>
      </c>
      <c r="AJ192" s="417">
        <v>0</v>
      </c>
      <c r="AK192" s="417">
        <v>0</v>
      </c>
      <c r="AL192" s="378">
        <v>2.6840000000000002E-4</v>
      </c>
      <c r="AM192" s="378"/>
      <c r="AN192" s="417">
        <v>-20588</v>
      </c>
      <c r="AO192" s="417">
        <v>-20586</v>
      </c>
      <c r="AP192" s="417">
        <v>-11945</v>
      </c>
      <c r="AQ192" s="417">
        <v>0</v>
      </c>
      <c r="AR192" s="417">
        <v>0</v>
      </c>
    </row>
    <row r="193" spans="1:44">
      <c r="A193" s="377">
        <v>91821</v>
      </c>
      <c r="B193" t="s">
        <v>904</v>
      </c>
      <c r="C193" s="378">
        <v>1.617E-4</v>
      </c>
      <c r="D193" s="378"/>
      <c r="E193" s="417">
        <v>20305</v>
      </c>
      <c r="F193" s="417">
        <v>-7968</v>
      </c>
      <c r="G193" s="417">
        <v>-19073</v>
      </c>
      <c r="H193" s="417">
        <v>-108416</v>
      </c>
      <c r="I193" s="417">
        <v>0</v>
      </c>
      <c r="J193" s="378">
        <v>1.617E-4</v>
      </c>
      <c r="K193" s="378"/>
      <c r="L193" s="417">
        <v>39585</v>
      </c>
      <c r="M193" s="417">
        <v>27339</v>
      </c>
      <c r="N193" s="417">
        <v>11968</v>
      </c>
      <c r="O193" s="417">
        <v>0</v>
      </c>
      <c r="P193" s="417">
        <v>0</v>
      </c>
      <c r="Q193" s="378">
        <v>1.617E-4</v>
      </c>
      <c r="R193" s="378"/>
      <c r="S193" s="417">
        <v>-81233</v>
      </c>
      <c r="T193" s="417">
        <v>-80293</v>
      </c>
      <c r="U193" s="417">
        <v>-84351</v>
      </c>
      <c r="V193" s="417">
        <v>-108416</v>
      </c>
      <c r="W193" s="417">
        <v>0</v>
      </c>
      <c r="X193" s="378">
        <v>1.617E-4</v>
      </c>
      <c r="Z193" s="417">
        <v>64777</v>
      </c>
      <c r="AA193" s="417">
        <v>45510</v>
      </c>
      <c r="AB193" s="417">
        <v>45509</v>
      </c>
      <c r="AC193" s="417">
        <v>0</v>
      </c>
      <c r="AD193" s="417">
        <v>0</v>
      </c>
      <c r="AE193" s="378">
        <v>1.617E-4</v>
      </c>
      <c r="AF193" s="378"/>
      <c r="AG193" s="417">
        <v>7800</v>
      </c>
      <c r="AH193" s="417">
        <v>7800</v>
      </c>
      <c r="AI193" s="417">
        <v>7801</v>
      </c>
      <c r="AJ193" s="417">
        <v>0</v>
      </c>
      <c r="AK193" s="417">
        <v>0</v>
      </c>
      <c r="AL193" s="378">
        <v>1.617E-4</v>
      </c>
      <c r="AM193" s="378"/>
      <c r="AN193" s="417">
        <v>-10624</v>
      </c>
      <c r="AO193" s="417">
        <v>-8324</v>
      </c>
      <c r="AP193" s="417">
        <v>0</v>
      </c>
      <c r="AQ193" s="417">
        <v>0</v>
      </c>
      <c r="AR193" s="417">
        <v>0</v>
      </c>
    </row>
    <row r="194" spans="1:44">
      <c r="A194" s="377">
        <v>91831</v>
      </c>
      <c r="B194" t="s">
        <v>905</v>
      </c>
      <c r="C194" s="378">
        <v>4.0200000000000001E-4</v>
      </c>
      <c r="D194" s="378"/>
      <c r="E194" s="417">
        <v>57485</v>
      </c>
      <c r="F194" s="417">
        <v>-21982</v>
      </c>
      <c r="G194" s="417">
        <v>-88696</v>
      </c>
      <c r="H194" s="417">
        <v>-269531</v>
      </c>
      <c r="I194" s="417">
        <v>0</v>
      </c>
      <c r="J194" s="378">
        <v>4.0200000000000001E-4</v>
      </c>
      <c r="K194" s="378"/>
      <c r="L194" s="417">
        <v>98413</v>
      </c>
      <c r="M194" s="417">
        <v>67967</v>
      </c>
      <c r="N194" s="417">
        <v>29753</v>
      </c>
      <c r="O194" s="417">
        <v>0</v>
      </c>
      <c r="P194" s="417">
        <v>0</v>
      </c>
      <c r="Q194" s="378">
        <v>4.0200000000000001E-4</v>
      </c>
      <c r="R194" s="378"/>
      <c r="S194" s="417">
        <v>-201952</v>
      </c>
      <c r="T194" s="417">
        <v>-199615</v>
      </c>
      <c r="U194" s="417">
        <v>-209704</v>
      </c>
      <c r="V194" s="417">
        <v>-269531</v>
      </c>
      <c r="W194" s="417">
        <v>0</v>
      </c>
      <c r="X194" s="378">
        <v>4.0200000000000001E-4</v>
      </c>
      <c r="Z194" s="417">
        <v>161042</v>
      </c>
      <c r="AA194" s="417">
        <v>113141</v>
      </c>
      <c r="AB194" s="417">
        <v>113140</v>
      </c>
      <c r="AC194" s="417">
        <v>0</v>
      </c>
      <c r="AD194" s="417">
        <v>0</v>
      </c>
      <c r="AE194" s="378">
        <v>4.0200000000000001E-4</v>
      </c>
      <c r="AF194" s="378"/>
      <c r="AG194" s="417">
        <v>22362</v>
      </c>
      <c r="AH194" s="417">
        <v>18906</v>
      </c>
      <c r="AI194" s="417">
        <v>0</v>
      </c>
      <c r="AJ194" s="417">
        <v>0</v>
      </c>
      <c r="AK194" s="417">
        <v>0</v>
      </c>
      <c r="AL194" s="378">
        <v>4.0200000000000001E-4</v>
      </c>
      <c r="AM194" s="378"/>
      <c r="AN194" s="417">
        <v>-22380</v>
      </c>
      <c r="AO194" s="417">
        <v>-22381</v>
      </c>
      <c r="AP194" s="417">
        <v>-21885</v>
      </c>
      <c r="AQ194" s="417">
        <v>0</v>
      </c>
      <c r="AR194" s="417">
        <v>0</v>
      </c>
    </row>
    <row r="195" spans="1:44">
      <c r="A195" s="377">
        <v>91841</v>
      </c>
      <c r="B195" t="s">
        <v>906</v>
      </c>
      <c r="C195" s="378">
        <v>2.8810000000000001E-4</v>
      </c>
      <c r="D195" s="378"/>
      <c r="E195" s="417">
        <v>55037</v>
      </c>
      <c r="F195" s="417">
        <v>-610</v>
      </c>
      <c r="G195" s="417">
        <v>-44224</v>
      </c>
      <c r="H195" s="417">
        <v>-193164</v>
      </c>
      <c r="I195" s="417">
        <v>0</v>
      </c>
      <c r="J195" s="378">
        <v>2.8810000000000001E-4</v>
      </c>
      <c r="K195" s="378"/>
      <c r="L195" s="417">
        <v>70529</v>
      </c>
      <c r="M195" s="417">
        <v>48710</v>
      </c>
      <c r="N195" s="417">
        <v>21323</v>
      </c>
      <c r="O195" s="417">
        <v>0</v>
      </c>
      <c r="P195" s="417">
        <v>0</v>
      </c>
      <c r="Q195" s="378">
        <v>2.8810000000000001E-4</v>
      </c>
      <c r="R195" s="378"/>
      <c r="S195" s="417">
        <v>-144732</v>
      </c>
      <c r="T195" s="417">
        <v>-143057</v>
      </c>
      <c r="U195" s="417">
        <v>-150288</v>
      </c>
      <c r="V195" s="417">
        <v>-193164</v>
      </c>
      <c r="W195" s="417">
        <v>0</v>
      </c>
      <c r="X195" s="378">
        <v>2.8810000000000001E-4</v>
      </c>
      <c r="Z195" s="417">
        <v>115413</v>
      </c>
      <c r="AA195" s="417">
        <v>81084</v>
      </c>
      <c r="AB195" s="417">
        <v>81084</v>
      </c>
      <c r="AC195" s="417">
        <v>0</v>
      </c>
      <c r="AD195" s="417">
        <v>0</v>
      </c>
      <c r="AE195" s="378">
        <v>2.8810000000000001E-4</v>
      </c>
      <c r="AF195" s="378"/>
      <c r="AG195" s="417">
        <v>15686</v>
      </c>
      <c r="AH195" s="417">
        <v>14513</v>
      </c>
      <c r="AI195" s="417">
        <v>3657</v>
      </c>
      <c r="AJ195" s="417">
        <v>0</v>
      </c>
      <c r="AK195" s="417">
        <v>0</v>
      </c>
      <c r="AL195" s="378">
        <v>2.8810000000000001E-4</v>
      </c>
      <c r="AM195" s="378"/>
      <c r="AN195" s="417">
        <v>-1859</v>
      </c>
      <c r="AO195" s="417">
        <v>-1860</v>
      </c>
      <c r="AP195" s="417">
        <v>0</v>
      </c>
      <c r="AQ195" s="417">
        <v>0</v>
      </c>
      <c r="AR195" s="417">
        <v>0</v>
      </c>
    </row>
    <row r="196" spans="1:44">
      <c r="A196" s="377">
        <v>91851</v>
      </c>
      <c r="B196" t="s">
        <v>907</v>
      </c>
      <c r="C196" s="378">
        <v>6.7020000000000003E-4</v>
      </c>
      <c r="D196" s="378"/>
      <c r="E196" s="417">
        <v>91591</v>
      </c>
      <c r="F196" s="417">
        <v>-32742</v>
      </c>
      <c r="G196" s="417">
        <v>-106239</v>
      </c>
      <c r="H196" s="417">
        <v>-449352</v>
      </c>
      <c r="I196" s="417">
        <v>0</v>
      </c>
      <c r="J196" s="378">
        <v>6.7020000000000003E-4</v>
      </c>
      <c r="K196" s="378"/>
      <c r="L196" s="417">
        <v>164070</v>
      </c>
      <c r="M196" s="417">
        <v>113312</v>
      </c>
      <c r="N196" s="417">
        <v>49603</v>
      </c>
      <c r="O196" s="417">
        <v>0</v>
      </c>
      <c r="P196" s="417">
        <v>0</v>
      </c>
      <c r="Q196" s="378">
        <v>6.7020000000000003E-4</v>
      </c>
      <c r="R196" s="378"/>
      <c r="S196" s="417">
        <v>-336687</v>
      </c>
      <c r="T196" s="417">
        <v>-332791</v>
      </c>
      <c r="U196" s="417">
        <v>-349611</v>
      </c>
      <c r="V196" s="417">
        <v>-449352</v>
      </c>
      <c r="W196" s="417">
        <v>0</v>
      </c>
      <c r="X196" s="378">
        <v>6.7020000000000003E-4</v>
      </c>
      <c r="Z196" s="417">
        <v>268483</v>
      </c>
      <c r="AA196" s="417">
        <v>188624</v>
      </c>
      <c r="AB196" s="417">
        <v>188623</v>
      </c>
      <c r="AC196" s="417">
        <v>0</v>
      </c>
      <c r="AD196" s="417">
        <v>0</v>
      </c>
      <c r="AE196" s="378">
        <v>6.7020000000000003E-4</v>
      </c>
      <c r="AF196" s="378"/>
      <c r="AG196" s="417">
        <v>5147</v>
      </c>
      <c r="AH196" s="417">
        <v>5147</v>
      </c>
      <c r="AI196" s="417">
        <v>5146</v>
      </c>
      <c r="AJ196" s="417">
        <v>0</v>
      </c>
      <c r="AK196" s="417">
        <v>0</v>
      </c>
      <c r="AL196" s="378">
        <v>6.7020000000000003E-4</v>
      </c>
      <c r="AM196" s="378"/>
      <c r="AN196" s="417">
        <v>-9422</v>
      </c>
      <c r="AO196" s="417">
        <v>-7034</v>
      </c>
      <c r="AP196" s="417">
        <v>0</v>
      </c>
      <c r="AQ196" s="417">
        <v>0</v>
      </c>
      <c r="AR196" s="417">
        <v>0</v>
      </c>
    </row>
    <row r="197" spans="1:44">
      <c r="A197" s="377">
        <v>91861</v>
      </c>
      <c r="B197" t="s">
        <v>908</v>
      </c>
      <c r="C197" s="378">
        <v>6.4999999999999996E-6</v>
      </c>
      <c r="D197" s="378"/>
      <c r="E197" s="417">
        <v>-1702</v>
      </c>
      <c r="F197" s="417">
        <v>-1831</v>
      </c>
      <c r="G197" s="417">
        <v>-1363</v>
      </c>
      <c r="H197" s="417">
        <v>-4358</v>
      </c>
      <c r="I197" s="417">
        <v>0</v>
      </c>
      <c r="J197" s="378">
        <v>6.4999999999999996E-6</v>
      </c>
      <c r="K197" s="378"/>
      <c r="L197" s="417">
        <v>1591</v>
      </c>
      <c r="M197" s="417">
        <v>1099</v>
      </c>
      <c r="N197" s="417">
        <v>481</v>
      </c>
      <c r="O197" s="417">
        <v>0</v>
      </c>
      <c r="P197" s="417">
        <v>0</v>
      </c>
      <c r="Q197" s="378">
        <v>6.4999999999999996E-6</v>
      </c>
      <c r="R197" s="378"/>
      <c r="S197" s="417">
        <v>-3265</v>
      </c>
      <c r="T197" s="417">
        <v>-3228</v>
      </c>
      <c r="U197" s="417">
        <v>-3391</v>
      </c>
      <c r="V197" s="417">
        <v>-4358</v>
      </c>
      <c r="W197" s="417">
        <v>0</v>
      </c>
      <c r="X197" s="378">
        <v>6.4999999999999996E-6</v>
      </c>
      <c r="Z197" s="417">
        <v>2604</v>
      </c>
      <c r="AA197" s="417">
        <v>1829</v>
      </c>
      <c r="AB197" s="417">
        <v>1829</v>
      </c>
      <c r="AC197" s="417">
        <v>0</v>
      </c>
      <c r="AD197" s="417">
        <v>0</v>
      </c>
      <c r="AE197" s="378">
        <v>6.4999999999999996E-6</v>
      </c>
      <c r="AF197" s="378"/>
      <c r="AG197" s="417">
        <v>0</v>
      </c>
      <c r="AH197" s="417">
        <v>0</v>
      </c>
      <c r="AI197" s="417">
        <v>0</v>
      </c>
      <c r="AJ197" s="417">
        <v>0</v>
      </c>
      <c r="AK197" s="417">
        <v>0</v>
      </c>
      <c r="AL197" s="378">
        <v>6.4999999999999996E-6</v>
      </c>
      <c r="AM197" s="378"/>
      <c r="AN197" s="417">
        <v>-2632</v>
      </c>
      <c r="AO197" s="417">
        <v>-1531</v>
      </c>
      <c r="AP197" s="417">
        <v>-282</v>
      </c>
      <c r="AQ197" s="417">
        <v>0</v>
      </c>
      <c r="AR197" s="417">
        <v>0</v>
      </c>
    </row>
    <row r="198" spans="1:44">
      <c r="A198" s="377">
        <v>91871</v>
      </c>
      <c r="B198" t="s">
        <v>909</v>
      </c>
      <c r="C198" s="378">
        <v>1.2749E-3</v>
      </c>
      <c r="D198" s="378"/>
      <c r="E198" s="417">
        <v>131147</v>
      </c>
      <c r="F198" s="417">
        <v>-101774</v>
      </c>
      <c r="G198" s="417">
        <v>-266015</v>
      </c>
      <c r="H198" s="417">
        <v>-854787</v>
      </c>
      <c r="I198" s="417">
        <v>0</v>
      </c>
      <c r="J198" s="378">
        <v>1.2749E-3</v>
      </c>
      <c r="K198" s="378"/>
      <c r="L198" s="417">
        <v>312106</v>
      </c>
      <c r="M198" s="417">
        <v>215550</v>
      </c>
      <c r="N198" s="417">
        <v>94358</v>
      </c>
      <c r="O198" s="417">
        <v>0</v>
      </c>
      <c r="P198" s="417">
        <v>0</v>
      </c>
      <c r="Q198" s="378">
        <v>1.2749E-3</v>
      </c>
      <c r="R198" s="378"/>
      <c r="S198" s="417">
        <v>-640469</v>
      </c>
      <c r="T198" s="417">
        <v>-633058</v>
      </c>
      <c r="U198" s="417">
        <v>-665053</v>
      </c>
      <c r="V198" s="417">
        <v>-854787</v>
      </c>
      <c r="W198" s="417">
        <v>0</v>
      </c>
      <c r="X198" s="378">
        <v>1.2749E-3</v>
      </c>
      <c r="Z198" s="417">
        <v>510727</v>
      </c>
      <c r="AA198" s="417">
        <v>358814</v>
      </c>
      <c r="AB198" s="417">
        <v>358812</v>
      </c>
      <c r="AC198" s="417">
        <v>0</v>
      </c>
      <c r="AD198" s="417">
        <v>0</v>
      </c>
      <c r="AE198" s="378">
        <v>1.2749E-3</v>
      </c>
      <c r="AF198" s="378"/>
      <c r="AG198" s="417">
        <v>15138</v>
      </c>
      <c r="AH198" s="417">
        <v>15139</v>
      </c>
      <c r="AI198" s="417">
        <v>0</v>
      </c>
      <c r="AJ198" s="417">
        <v>0</v>
      </c>
      <c r="AK198" s="417">
        <v>0</v>
      </c>
      <c r="AL198" s="378">
        <v>1.2749E-3</v>
      </c>
      <c r="AM198" s="378"/>
      <c r="AN198" s="417">
        <v>-66355</v>
      </c>
      <c r="AO198" s="417">
        <v>-58219</v>
      </c>
      <c r="AP198" s="417">
        <v>-54132</v>
      </c>
      <c r="AQ198" s="417">
        <v>0</v>
      </c>
      <c r="AR198" s="417">
        <v>0</v>
      </c>
    </row>
    <row r="199" spans="1:44">
      <c r="A199" s="377">
        <v>91881</v>
      </c>
      <c r="B199" t="s">
        <v>910</v>
      </c>
      <c r="C199" s="378">
        <v>1.6900000000000001E-5</v>
      </c>
      <c r="D199" s="378"/>
      <c r="E199" s="417">
        <v>3171</v>
      </c>
      <c r="F199" s="417">
        <v>-35</v>
      </c>
      <c r="G199" s="417">
        <v>-1973</v>
      </c>
      <c r="H199" s="417">
        <v>-11331</v>
      </c>
      <c r="I199" s="417">
        <v>0</v>
      </c>
      <c r="J199" s="378">
        <v>1.6900000000000001E-5</v>
      </c>
      <c r="K199" s="378"/>
      <c r="L199" s="417">
        <v>4137</v>
      </c>
      <c r="M199" s="417">
        <v>2857</v>
      </c>
      <c r="N199" s="417">
        <v>1251</v>
      </c>
      <c r="O199" s="417">
        <v>0</v>
      </c>
      <c r="P199" s="417">
        <v>0</v>
      </c>
      <c r="Q199" s="378">
        <v>1.6900000000000001E-5</v>
      </c>
      <c r="R199" s="378"/>
      <c r="S199" s="417">
        <v>-8490</v>
      </c>
      <c r="T199" s="417">
        <v>-8392</v>
      </c>
      <c r="U199" s="417">
        <v>-8816</v>
      </c>
      <c r="V199" s="417">
        <v>-11331</v>
      </c>
      <c r="W199" s="417">
        <v>0</v>
      </c>
      <c r="X199" s="378">
        <v>1.6900000000000001E-5</v>
      </c>
      <c r="Z199" s="417">
        <v>6770</v>
      </c>
      <c r="AA199" s="417">
        <v>4756</v>
      </c>
      <c r="AB199" s="417">
        <v>4756</v>
      </c>
      <c r="AC199" s="417">
        <v>0</v>
      </c>
      <c r="AD199" s="417">
        <v>0</v>
      </c>
      <c r="AE199" s="378">
        <v>1.6900000000000001E-5</v>
      </c>
      <c r="AF199" s="378"/>
      <c r="AG199" s="417">
        <v>3127</v>
      </c>
      <c r="AH199" s="417">
        <v>3115</v>
      </c>
      <c r="AI199" s="417">
        <v>836</v>
      </c>
      <c r="AJ199" s="417">
        <v>0</v>
      </c>
      <c r="AK199" s="417">
        <v>0</v>
      </c>
      <c r="AL199" s="378">
        <v>1.6900000000000001E-5</v>
      </c>
      <c r="AM199" s="378"/>
      <c r="AN199" s="417">
        <v>-2373</v>
      </c>
      <c r="AO199" s="417">
        <v>-2371</v>
      </c>
      <c r="AP199" s="417">
        <v>0</v>
      </c>
      <c r="AQ199" s="417">
        <v>0</v>
      </c>
      <c r="AR199" s="417">
        <v>0</v>
      </c>
    </row>
    <row r="200" spans="1:44">
      <c r="A200" s="377">
        <v>91901</v>
      </c>
      <c r="B200" t="s">
        <v>911</v>
      </c>
      <c r="C200" s="378">
        <v>3.6871999999999999E-3</v>
      </c>
      <c r="D200" s="378"/>
      <c r="E200" s="417">
        <v>448719</v>
      </c>
      <c r="F200" s="417">
        <v>-239709</v>
      </c>
      <c r="G200" s="417">
        <v>-680678</v>
      </c>
      <c r="H200" s="417">
        <v>-2472172</v>
      </c>
      <c r="I200" s="417">
        <v>0</v>
      </c>
      <c r="J200" s="378">
        <v>3.6871999999999999E-3</v>
      </c>
      <c r="K200" s="378"/>
      <c r="L200" s="417">
        <v>902656</v>
      </c>
      <c r="M200" s="417">
        <v>623402</v>
      </c>
      <c r="N200" s="417">
        <v>272897</v>
      </c>
      <c r="O200" s="417">
        <v>0</v>
      </c>
      <c r="P200" s="417">
        <v>0</v>
      </c>
      <c r="Q200" s="378">
        <v>3.6871999999999999E-3</v>
      </c>
      <c r="R200" s="378"/>
      <c r="S200" s="417">
        <v>-1852331</v>
      </c>
      <c r="T200" s="417">
        <v>-1830898</v>
      </c>
      <c r="U200" s="417">
        <v>-1923432</v>
      </c>
      <c r="V200" s="417">
        <v>-2472172</v>
      </c>
      <c r="W200" s="417">
        <v>0</v>
      </c>
      <c r="X200" s="378">
        <v>3.6871999999999999E-3</v>
      </c>
      <c r="Z200" s="417">
        <v>1477100</v>
      </c>
      <c r="AA200" s="417">
        <v>1037744</v>
      </c>
      <c r="AB200" s="417">
        <v>1037737</v>
      </c>
      <c r="AC200" s="417">
        <v>0</v>
      </c>
      <c r="AD200" s="417">
        <v>0</v>
      </c>
      <c r="AE200" s="378">
        <v>3.6871999999999999E-3</v>
      </c>
      <c r="AF200" s="378"/>
      <c r="AG200" s="417">
        <v>9307</v>
      </c>
      <c r="AH200" s="417">
        <v>9307</v>
      </c>
      <c r="AI200" s="417">
        <v>0</v>
      </c>
      <c r="AJ200" s="417">
        <v>0</v>
      </c>
      <c r="AK200" s="417">
        <v>0</v>
      </c>
      <c r="AL200" s="378">
        <v>3.6871999999999999E-3</v>
      </c>
      <c r="AM200" s="378"/>
      <c r="AN200" s="417">
        <v>-88013</v>
      </c>
      <c r="AO200" s="417">
        <v>-79264</v>
      </c>
      <c r="AP200" s="417">
        <v>-67880</v>
      </c>
      <c r="AQ200" s="417">
        <v>0</v>
      </c>
      <c r="AR200" s="417">
        <v>0</v>
      </c>
    </row>
    <row r="201" spans="1:44">
      <c r="A201" s="377">
        <v>91903</v>
      </c>
      <c r="B201" t="s">
        <v>912</v>
      </c>
      <c r="C201" s="378">
        <v>6.4999999999999996E-6</v>
      </c>
      <c r="D201" s="378"/>
      <c r="E201" s="417">
        <v>3369</v>
      </c>
      <c r="F201" s="417">
        <v>1673</v>
      </c>
      <c r="G201" s="417">
        <v>102</v>
      </c>
      <c r="H201" s="417">
        <v>-4358</v>
      </c>
      <c r="I201" s="417">
        <v>0</v>
      </c>
      <c r="J201" s="378">
        <v>6.4999999999999996E-6</v>
      </c>
      <c r="K201" s="378"/>
      <c r="L201" s="417">
        <v>1591</v>
      </c>
      <c r="M201" s="417">
        <v>1099</v>
      </c>
      <c r="N201" s="417">
        <v>481</v>
      </c>
      <c r="O201" s="417">
        <v>0</v>
      </c>
      <c r="P201" s="417">
        <v>0</v>
      </c>
      <c r="Q201" s="378">
        <v>6.4999999999999996E-6</v>
      </c>
      <c r="R201" s="378"/>
      <c r="S201" s="417">
        <v>-3265</v>
      </c>
      <c r="T201" s="417">
        <v>-3228</v>
      </c>
      <c r="U201" s="417">
        <v>-3391</v>
      </c>
      <c r="V201" s="417">
        <v>-4358</v>
      </c>
      <c r="W201" s="417">
        <v>0</v>
      </c>
      <c r="X201" s="378">
        <v>6.4999999999999996E-6</v>
      </c>
      <c r="Z201" s="417">
        <v>2604</v>
      </c>
      <c r="AA201" s="417">
        <v>1829</v>
      </c>
      <c r="AB201" s="417">
        <v>1829</v>
      </c>
      <c r="AC201" s="417">
        <v>0</v>
      </c>
      <c r="AD201" s="417">
        <v>0</v>
      </c>
      <c r="AE201" s="378">
        <v>6.4999999999999996E-6</v>
      </c>
      <c r="AF201" s="378"/>
      <c r="AG201" s="417">
        <v>2439</v>
      </c>
      <c r="AH201" s="417">
        <v>1973</v>
      </c>
      <c r="AI201" s="417">
        <v>1183</v>
      </c>
      <c r="AJ201" s="417">
        <v>0</v>
      </c>
      <c r="AK201" s="417">
        <v>0</v>
      </c>
      <c r="AL201" s="378">
        <v>6.4999999999999996E-6</v>
      </c>
      <c r="AM201" s="378"/>
      <c r="AN201" s="417">
        <v>0</v>
      </c>
      <c r="AO201" s="417">
        <v>0</v>
      </c>
      <c r="AP201" s="417">
        <v>0</v>
      </c>
      <c r="AQ201" s="417">
        <v>0</v>
      </c>
      <c r="AR201" s="417">
        <v>0</v>
      </c>
    </row>
    <row r="202" spans="1:44">
      <c r="A202" s="377">
        <v>91904</v>
      </c>
      <c r="B202" t="s">
        <v>913</v>
      </c>
      <c r="C202" s="378">
        <v>4.9599999999999999E-5</v>
      </c>
      <c r="D202" s="378"/>
      <c r="E202" s="417">
        <v>18615</v>
      </c>
      <c r="F202" s="417">
        <v>9343</v>
      </c>
      <c r="G202" s="417">
        <v>-1688</v>
      </c>
      <c r="H202" s="417">
        <v>-33256</v>
      </c>
      <c r="I202" s="417">
        <v>0</v>
      </c>
      <c r="J202" s="378">
        <v>4.9599999999999999E-5</v>
      </c>
      <c r="K202" s="378"/>
      <c r="L202" s="417">
        <v>12142</v>
      </c>
      <c r="M202" s="417">
        <v>8386</v>
      </c>
      <c r="N202" s="417">
        <v>3671</v>
      </c>
      <c r="O202" s="417">
        <v>0</v>
      </c>
      <c r="P202" s="417">
        <v>0</v>
      </c>
      <c r="Q202" s="378">
        <v>4.9599999999999999E-5</v>
      </c>
      <c r="R202" s="378"/>
      <c r="S202" s="417">
        <v>-24917</v>
      </c>
      <c r="T202" s="417">
        <v>-24629</v>
      </c>
      <c r="U202" s="417">
        <v>-25874</v>
      </c>
      <c r="V202" s="417">
        <v>-33256</v>
      </c>
      <c r="W202" s="417">
        <v>0</v>
      </c>
      <c r="X202" s="378">
        <v>4.9599999999999999E-5</v>
      </c>
      <c r="Z202" s="417">
        <v>19870</v>
      </c>
      <c r="AA202" s="417">
        <v>13960</v>
      </c>
      <c r="AB202" s="417">
        <v>13960</v>
      </c>
      <c r="AC202" s="417">
        <v>0</v>
      </c>
      <c r="AD202" s="417">
        <v>0</v>
      </c>
      <c r="AE202" s="378">
        <v>4.9599999999999999E-5</v>
      </c>
      <c r="AF202" s="378"/>
      <c r="AG202" s="417">
        <v>11630</v>
      </c>
      <c r="AH202" s="417">
        <v>11626</v>
      </c>
      <c r="AI202" s="417">
        <v>6555</v>
      </c>
      <c r="AJ202" s="417">
        <v>0</v>
      </c>
      <c r="AK202" s="417">
        <v>0</v>
      </c>
      <c r="AL202" s="378">
        <v>4.9599999999999999E-5</v>
      </c>
      <c r="AM202" s="378"/>
      <c r="AN202" s="417">
        <v>-110</v>
      </c>
      <c r="AO202" s="417">
        <v>0</v>
      </c>
      <c r="AP202" s="417">
        <v>0</v>
      </c>
      <c r="AQ202" s="417">
        <v>0</v>
      </c>
      <c r="AR202" s="417">
        <v>0</v>
      </c>
    </row>
    <row r="203" spans="1:44">
      <c r="A203" s="377">
        <v>91908</v>
      </c>
      <c r="B203" t="s">
        <v>914</v>
      </c>
      <c r="C203" s="378">
        <v>1.4E-5</v>
      </c>
      <c r="D203" s="378"/>
      <c r="E203" s="417">
        <v>-1685</v>
      </c>
      <c r="F203" s="417">
        <v>-3582</v>
      </c>
      <c r="G203" s="417">
        <v>-3814</v>
      </c>
      <c r="H203" s="417">
        <v>-9387</v>
      </c>
      <c r="I203" s="417">
        <v>0</v>
      </c>
      <c r="J203" s="378">
        <v>1.4E-5</v>
      </c>
      <c r="K203" s="378"/>
      <c r="L203" s="417">
        <v>3427</v>
      </c>
      <c r="M203" s="417">
        <v>2367</v>
      </c>
      <c r="N203" s="417">
        <v>1036</v>
      </c>
      <c r="O203" s="417">
        <v>0</v>
      </c>
      <c r="P203" s="417">
        <v>0</v>
      </c>
      <c r="Q203" s="378">
        <v>1.4E-5</v>
      </c>
      <c r="R203" s="378"/>
      <c r="S203" s="417">
        <v>-7033</v>
      </c>
      <c r="T203" s="417">
        <v>-6952</v>
      </c>
      <c r="U203" s="417">
        <v>-7303</v>
      </c>
      <c r="V203" s="417">
        <v>-9387</v>
      </c>
      <c r="W203" s="417">
        <v>0</v>
      </c>
      <c r="X203" s="378">
        <v>1.4E-5</v>
      </c>
      <c r="Z203" s="417">
        <v>5608</v>
      </c>
      <c r="AA203" s="417">
        <v>3940</v>
      </c>
      <c r="AB203" s="417">
        <v>3940</v>
      </c>
      <c r="AC203" s="417">
        <v>0</v>
      </c>
      <c r="AD203" s="417">
        <v>0</v>
      </c>
      <c r="AE203" s="378">
        <v>1.4E-5</v>
      </c>
      <c r="AF203" s="378"/>
      <c r="AG203" s="417">
        <v>0</v>
      </c>
      <c r="AH203" s="417">
        <v>0</v>
      </c>
      <c r="AI203" s="417">
        <v>0</v>
      </c>
      <c r="AJ203" s="417">
        <v>0</v>
      </c>
      <c r="AK203" s="417">
        <v>0</v>
      </c>
      <c r="AL203" s="378">
        <v>1.4E-5</v>
      </c>
      <c r="AM203" s="378"/>
      <c r="AN203" s="417">
        <v>-3687</v>
      </c>
      <c r="AO203" s="417">
        <v>-2937</v>
      </c>
      <c r="AP203" s="417">
        <v>-1487</v>
      </c>
      <c r="AQ203" s="417">
        <v>0</v>
      </c>
      <c r="AR203" s="417">
        <v>0</v>
      </c>
    </row>
    <row r="204" spans="1:44">
      <c r="A204" s="377">
        <v>91911</v>
      </c>
      <c r="B204" t="s">
        <v>915</v>
      </c>
      <c r="C204" s="378">
        <v>5.6570000000000004E-4</v>
      </c>
      <c r="D204" s="378"/>
      <c r="E204" s="417">
        <v>124351</v>
      </c>
      <c r="F204" s="417">
        <v>13294</v>
      </c>
      <c r="G204" s="417">
        <v>-87954</v>
      </c>
      <c r="H204" s="417">
        <v>-379287</v>
      </c>
      <c r="I204" s="417">
        <v>0</v>
      </c>
      <c r="J204" s="378">
        <v>5.6570000000000004E-4</v>
      </c>
      <c r="K204" s="378"/>
      <c r="L204" s="417">
        <v>138488</v>
      </c>
      <c r="M204" s="417">
        <v>95644</v>
      </c>
      <c r="N204" s="417">
        <v>41869</v>
      </c>
      <c r="O204" s="417">
        <v>0</v>
      </c>
      <c r="P204" s="417">
        <v>0</v>
      </c>
      <c r="Q204" s="378">
        <v>5.6570000000000004E-4</v>
      </c>
      <c r="R204" s="378"/>
      <c r="S204" s="417">
        <v>-284190</v>
      </c>
      <c r="T204" s="417">
        <v>-280901</v>
      </c>
      <c r="U204" s="417">
        <v>-295098</v>
      </c>
      <c r="V204" s="417">
        <v>-379287</v>
      </c>
      <c r="W204" s="417">
        <v>0</v>
      </c>
      <c r="X204" s="378">
        <v>5.6570000000000004E-4</v>
      </c>
      <c r="Z204" s="417">
        <v>226621</v>
      </c>
      <c r="AA204" s="417">
        <v>159213</v>
      </c>
      <c r="AB204" s="417">
        <v>159212</v>
      </c>
      <c r="AC204" s="417">
        <v>0</v>
      </c>
      <c r="AD204" s="417">
        <v>0</v>
      </c>
      <c r="AE204" s="378">
        <v>5.6570000000000004E-4</v>
      </c>
      <c r="AF204" s="378"/>
      <c r="AG204" s="417">
        <v>51175</v>
      </c>
      <c r="AH204" s="417">
        <v>47080</v>
      </c>
      <c r="AI204" s="417">
        <v>6063</v>
      </c>
      <c r="AJ204" s="417">
        <v>0</v>
      </c>
      <c r="AK204" s="417">
        <v>0</v>
      </c>
      <c r="AL204" s="378">
        <v>5.6570000000000004E-4</v>
      </c>
      <c r="AM204" s="378"/>
      <c r="AN204" s="417">
        <v>-7743</v>
      </c>
      <c r="AO204" s="417">
        <v>-7742</v>
      </c>
      <c r="AP204" s="417">
        <v>0</v>
      </c>
      <c r="AQ204" s="417">
        <v>0</v>
      </c>
      <c r="AR204" s="417">
        <v>0</v>
      </c>
    </row>
    <row r="205" spans="1:44">
      <c r="A205" s="377">
        <v>91917</v>
      </c>
      <c r="B205" t="s">
        <v>916</v>
      </c>
      <c r="C205" s="378">
        <v>1.4600000000000001E-5</v>
      </c>
      <c r="D205" s="378"/>
      <c r="E205" s="417">
        <v>5248</v>
      </c>
      <c r="F205" s="417">
        <v>2433</v>
      </c>
      <c r="G205" s="417">
        <v>-302</v>
      </c>
      <c r="H205" s="417">
        <v>-9789</v>
      </c>
      <c r="I205" s="417">
        <v>0</v>
      </c>
      <c r="J205" s="378">
        <v>1.4600000000000001E-5</v>
      </c>
      <c r="K205" s="378"/>
      <c r="L205" s="417">
        <v>3574</v>
      </c>
      <c r="M205" s="417">
        <v>2468</v>
      </c>
      <c r="N205" s="417">
        <v>1081</v>
      </c>
      <c r="O205" s="417">
        <v>0</v>
      </c>
      <c r="P205" s="417">
        <v>0</v>
      </c>
      <c r="Q205" s="378">
        <v>1.4600000000000001E-5</v>
      </c>
      <c r="R205" s="378"/>
      <c r="S205" s="417">
        <v>-7335</v>
      </c>
      <c r="T205" s="417">
        <v>-7250</v>
      </c>
      <c r="U205" s="417">
        <v>-7616</v>
      </c>
      <c r="V205" s="417">
        <v>-9789</v>
      </c>
      <c r="W205" s="417">
        <v>0</v>
      </c>
      <c r="X205" s="378">
        <v>1.4600000000000001E-5</v>
      </c>
      <c r="Z205" s="417">
        <v>5849</v>
      </c>
      <c r="AA205" s="417">
        <v>4109</v>
      </c>
      <c r="AB205" s="417">
        <v>4109</v>
      </c>
      <c r="AC205" s="417">
        <v>0</v>
      </c>
      <c r="AD205" s="417">
        <v>0</v>
      </c>
      <c r="AE205" s="378">
        <v>1.4600000000000001E-5</v>
      </c>
      <c r="AF205" s="378"/>
      <c r="AG205" s="417">
        <v>3160</v>
      </c>
      <c r="AH205" s="417">
        <v>3106</v>
      </c>
      <c r="AI205" s="417">
        <v>2124</v>
      </c>
      <c r="AJ205" s="417">
        <v>0</v>
      </c>
      <c r="AK205" s="417">
        <v>0</v>
      </c>
      <c r="AL205" s="378">
        <v>1.4600000000000001E-5</v>
      </c>
      <c r="AM205" s="378"/>
      <c r="AN205" s="417">
        <v>0</v>
      </c>
      <c r="AO205" s="417">
        <v>0</v>
      </c>
      <c r="AP205" s="417">
        <v>0</v>
      </c>
      <c r="AQ205" s="417">
        <v>0</v>
      </c>
      <c r="AR205" s="417">
        <v>0</v>
      </c>
    </row>
    <row r="206" spans="1:44">
      <c r="A206" s="377">
        <v>91921</v>
      </c>
      <c r="B206" t="s">
        <v>917</v>
      </c>
      <c r="C206" s="378">
        <v>3.7800000000000003E-4</v>
      </c>
      <c r="D206" s="378"/>
      <c r="E206" s="417">
        <v>36143</v>
      </c>
      <c r="F206" s="417">
        <v>-29974</v>
      </c>
      <c r="G206" s="417">
        <v>-79193</v>
      </c>
      <c r="H206" s="417">
        <v>-253439</v>
      </c>
      <c r="I206" s="417">
        <v>0</v>
      </c>
      <c r="J206" s="378">
        <v>3.7800000000000003E-4</v>
      </c>
      <c r="K206" s="378"/>
      <c r="L206" s="417">
        <v>92537</v>
      </c>
      <c r="M206" s="417">
        <v>63909</v>
      </c>
      <c r="N206" s="417">
        <v>27977</v>
      </c>
      <c r="O206" s="417">
        <v>0</v>
      </c>
      <c r="P206" s="417">
        <v>0</v>
      </c>
      <c r="Q206" s="378">
        <v>3.7800000000000003E-4</v>
      </c>
      <c r="R206" s="378"/>
      <c r="S206" s="417">
        <v>-189895</v>
      </c>
      <c r="T206" s="417">
        <v>-187698</v>
      </c>
      <c r="U206" s="417">
        <v>-197184</v>
      </c>
      <c r="V206" s="417">
        <v>-253439</v>
      </c>
      <c r="W206" s="417">
        <v>0</v>
      </c>
      <c r="X206" s="378">
        <v>3.7800000000000003E-4</v>
      </c>
      <c r="Z206" s="417">
        <v>151428</v>
      </c>
      <c r="AA206" s="417">
        <v>106386</v>
      </c>
      <c r="AB206" s="417">
        <v>106385</v>
      </c>
      <c r="AC206" s="417">
        <v>0</v>
      </c>
      <c r="AD206" s="417">
        <v>0</v>
      </c>
      <c r="AE206" s="378">
        <v>3.7800000000000003E-4</v>
      </c>
      <c r="AF206" s="378"/>
      <c r="AG206" s="417">
        <v>3802</v>
      </c>
      <c r="AH206" s="417">
        <v>3802</v>
      </c>
      <c r="AI206" s="417">
        <v>0</v>
      </c>
      <c r="AJ206" s="417">
        <v>0</v>
      </c>
      <c r="AK206" s="417">
        <v>0</v>
      </c>
      <c r="AL206" s="378">
        <v>3.7800000000000003E-4</v>
      </c>
      <c r="AM206" s="378"/>
      <c r="AN206" s="417">
        <v>-21729</v>
      </c>
      <c r="AO206" s="417">
        <v>-16373</v>
      </c>
      <c r="AP206" s="417">
        <v>-16371</v>
      </c>
      <c r="AQ206" s="417">
        <v>0</v>
      </c>
      <c r="AR206" s="417">
        <v>0</v>
      </c>
    </row>
    <row r="207" spans="1:44">
      <c r="A207" s="377">
        <v>92001</v>
      </c>
      <c r="B207" t="s">
        <v>918</v>
      </c>
      <c r="C207" s="378">
        <v>1.7407E-3</v>
      </c>
      <c r="D207" s="378"/>
      <c r="E207" s="417">
        <v>208118</v>
      </c>
      <c r="F207" s="417">
        <v>-117592</v>
      </c>
      <c r="G207" s="417">
        <v>-321211</v>
      </c>
      <c r="H207" s="417">
        <v>-1167094</v>
      </c>
      <c r="I207" s="417">
        <v>0</v>
      </c>
      <c r="J207" s="378">
        <v>1.7407E-3</v>
      </c>
      <c r="K207" s="378"/>
      <c r="L207" s="417">
        <v>426137</v>
      </c>
      <c r="M207" s="417">
        <v>294304</v>
      </c>
      <c r="N207" s="417">
        <v>128833</v>
      </c>
      <c r="O207" s="417">
        <v>0</v>
      </c>
      <c r="P207" s="417">
        <v>0</v>
      </c>
      <c r="Q207" s="378">
        <v>1.7407E-3</v>
      </c>
      <c r="R207" s="378"/>
      <c r="S207" s="417">
        <v>-874472</v>
      </c>
      <c r="T207" s="417">
        <v>-864353</v>
      </c>
      <c r="U207" s="417">
        <v>-908038</v>
      </c>
      <c r="V207" s="417">
        <v>-1167094</v>
      </c>
      <c r="W207" s="417">
        <v>0</v>
      </c>
      <c r="X207" s="378">
        <v>1.7407E-3</v>
      </c>
      <c r="Z207" s="417">
        <v>697328</v>
      </c>
      <c r="AA207" s="417">
        <v>489911</v>
      </c>
      <c r="AB207" s="417">
        <v>489908</v>
      </c>
      <c r="AC207" s="417">
        <v>0</v>
      </c>
      <c r="AD207" s="417">
        <v>0</v>
      </c>
      <c r="AE207" s="378">
        <v>1.7407E-3</v>
      </c>
      <c r="AF207" s="378"/>
      <c r="AG207" s="417">
        <v>8123</v>
      </c>
      <c r="AH207" s="417">
        <v>8122</v>
      </c>
      <c r="AI207" s="417">
        <v>0</v>
      </c>
      <c r="AJ207" s="417">
        <v>0</v>
      </c>
      <c r="AK207" s="417">
        <v>0</v>
      </c>
      <c r="AL207" s="378">
        <v>1.7407E-3</v>
      </c>
      <c r="AM207" s="378"/>
      <c r="AN207" s="417">
        <v>-48998</v>
      </c>
      <c r="AO207" s="417">
        <v>-45576</v>
      </c>
      <c r="AP207" s="417">
        <v>-31914</v>
      </c>
      <c r="AQ207" s="417">
        <v>0</v>
      </c>
      <c r="AR207" s="417">
        <v>0</v>
      </c>
    </row>
    <row r="208" spans="1:44">
      <c r="A208" s="377">
        <v>92005</v>
      </c>
      <c r="B208" t="s">
        <v>919</v>
      </c>
      <c r="C208" s="378">
        <v>3.43E-5</v>
      </c>
      <c r="D208" s="378"/>
      <c r="E208" s="417">
        <v>6815</v>
      </c>
      <c r="F208" s="417">
        <v>-482</v>
      </c>
      <c r="G208" s="417">
        <v>-4569</v>
      </c>
      <c r="H208" s="417">
        <v>-22997</v>
      </c>
      <c r="I208" s="417">
        <v>0</v>
      </c>
      <c r="J208" s="378">
        <v>3.43E-5</v>
      </c>
      <c r="K208" s="378"/>
      <c r="L208" s="417">
        <v>8397</v>
      </c>
      <c r="M208" s="417">
        <v>5799</v>
      </c>
      <c r="N208" s="417">
        <v>2539</v>
      </c>
      <c r="O208" s="417">
        <v>0</v>
      </c>
      <c r="P208" s="417">
        <v>0</v>
      </c>
      <c r="Q208" s="378">
        <v>3.43E-5</v>
      </c>
      <c r="R208" s="378"/>
      <c r="S208" s="417">
        <v>-17231</v>
      </c>
      <c r="T208" s="417">
        <v>-17032</v>
      </c>
      <c r="U208" s="417">
        <v>-17893</v>
      </c>
      <c r="V208" s="417">
        <v>-22997</v>
      </c>
      <c r="W208" s="417">
        <v>0</v>
      </c>
      <c r="X208" s="378">
        <v>3.43E-5</v>
      </c>
      <c r="Z208" s="417">
        <v>13741</v>
      </c>
      <c r="AA208" s="417">
        <v>9654</v>
      </c>
      <c r="AB208" s="417">
        <v>9653</v>
      </c>
      <c r="AC208" s="417">
        <v>0</v>
      </c>
      <c r="AD208" s="417">
        <v>0</v>
      </c>
      <c r="AE208" s="378">
        <v>3.43E-5</v>
      </c>
      <c r="AF208" s="378"/>
      <c r="AG208" s="417">
        <v>2574</v>
      </c>
      <c r="AH208" s="417">
        <v>1761</v>
      </c>
      <c r="AI208" s="417">
        <v>1132</v>
      </c>
      <c r="AJ208" s="417">
        <v>0</v>
      </c>
      <c r="AK208" s="417">
        <v>0</v>
      </c>
      <c r="AL208" s="378">
        <v>3.43E-5</v>
      </c>
      <c r="AM208" s="378"/>
      <c r="AN208" s="417">
        <v>-666</v>
      </c>
      <c r="AO208" s="417">
        <v>-664</v>
      </c>
      <c r="AP208" s="417">
        <v>0</v>
      </c>
      <c r="AQ208" s="417">
        <v>0</v>
      </c>
      <c r="AR208" s="417">
        <v>0</v>
      </c>
    </row>
    <row r="209" spans="1:44">
      <c r="A209" s="377">
        <v>92011</v>
      </c>
      <c r="B209" t="s">
        <v>920</v>
      </c>
      <c r="C209" s="378">
        <v>1.996E-4</v>
      </c>
      <c r="D209" s="378"/>
      <c r="E209" s="417">
        <v>22565</v>
      </c>
      <c r="F209" s="417">
        <v>-13730</v>
      </c>
      <c r="G209" s="417">
        <v>-41386</v>
      </c>
      <c r="H209" s="417">
        <v>-133827</v>
      </c>
      <c r="I209" s="417">
        <v>0</v>
      </c>
      <c r="J209" s="378">
        <v>1.996E-4</v>
      </c>
      <c r="K209" s="378"/>
      <c r="L209" s="417">
        <v>48864</v>
      </c>
      <c r="M209" s="417">
        <v>33747</v>
      </c>
      <c r="N209" s="417">
        <v>14773</v>
      </c>
      <c r="O209" s="417">
        <v>0</v>
      </c>
      <c r="P209" s="417">
        <v>0</v>
      </c>
      <c r="Q209" s="378">
        <v>1.996E-4</v>
      </c>
      <c r="R209" s="378"/>
      <c r="S209" s="417">
        <v>-100273</v>
      </c>
      <c r="T209" s="417">
        <v>-99112</v>
      </c>
      <c r="U209" s="417">
        <v>-104122</v>
      </c>
      <c r="V209" s="417">
        <v>-133827</v>
      </c>
      <c r="W209" s="417">
        <v>0</v>
      </c>
      <c r="X209" s="378">
        <v>1.996E-4</v>
      </c>
      <c r="Z209" s="417">
        <v>79960</v>
      </c>
      <c r="AA209" s="417">
        <v>56176</v>
      </c>
      <c r="AB209" s="417">
        <v>56176</v>
      </c>
      <c r="AC209" s="417">
        <v>0</v>
      </c>
      <c r="AD209" s="417">
        <v>0</v>
      </c>
      <c r="AE209" s="378">
        <v>1.996E-4</v>
      </c>
      <c r="AF209" s="378"/>
      <c r="AG209" s="417">
        <v>4971</v>
      </c>
      <c r="AH209" s="417">
        <v>4971</v>
      </c>
      <c r="AI209" s="417">
        <v>0</v>
      </c>
      <c r="AJ209" s="417">
        <v>0</v>
      </c>
      <c r="AK209" s="417">
        <v>0</v>
      </c>
      <c r="AL209" s="378">
        <v>1.996E-4</v>
      </c>
      <c r="AM209" s="378"/>
      <c r="AN209" s="417">
        <v>-10957</v>
      </c>
      <c r="AO209" s="417">
        <v>-9512</v>
      </c>
      <c r="AP209" s="417">
        <v>-8213</v>
      </c>
      <c r="AQ209" s="417">
        <v>0</v>
      </c>
      <c r="AR209" s="417">
        <v>0</v>
      </c>
    </row>
    <row r="210" spans="1:44">
      <c r="A210" s="377">
        <v>92017</v>
      </c>
      <c r="B210" t="s">
        <v>921</v>
      </c>
      <c r="C210" s="378">
        <v>2.9200000000000002E-5</v>
      </c>
      <c r="D210" s="378"/>
      <c r="E210" s="417">
        <v>6301</v>
      </c>
      <c r="F210" s="417">
        <v>531</v>
      </c>
      <c r="G210" s="417">
        <v>-3840</v>
      </c>
      <c r="H210" s="417">
        <v>-19578</v>
      </c>
      <c r="I210" s="417">
        <v>0</v>
      </c>
      <c r="J210" s="378">
        <v>2.9200000000000002E-5</v>
      </c>
      <c r="K210" s="378"/>
      <c r="L210" s="417">
        <v>7148</v>
      </c>
      <c r="M210" s="417">
        <v>4937</v>
      </c>
      <c r="N210" s="417">
        <v>2161</v>
      </c>
      <c r="O210" s="417">
        <v>0</v>
      </c>
      <c r="P210" s="417">
        <v>0</v>
      </c>
      <c r="Q210" s="378">
        <v>2.9200000000000002E-5</v>
      </c>
      <c r="R210" s="378"/>
      <c r="S210" s="417">
        <v>-14669</v>
      </c>
      <c r="T210" s="417">
        <v>-14499</v>
      </c>
      <c r="U210" s="417">
        <v>-15232</v>
      </c>
      <c r="V210" s="417">
        <v>-19578</v>
      </c>
      <c r="W210" s="417">
        <v>0</v>
      </c>
      <c r="X210" s="378">
        <v>2.9200000000000002E-5</v>
      </c>
      <c r="Z210" s="417">
        <v>11698</v>
      </c>
      <c r="AA210" s="417">
        <v>8218</v>
      </c>
      <c r="AB210" s="417">
        <v>8218</v>
      </c>
      <c r="AC210" s="417">
        <v>0</v>
      </c>
      <c r="AD210" s="417">
        <v>0</v>
      </c>
      <c r="AE210" s="378">
        <v>2.9200000000000002E-5</v>
      </c>
      <c r="AF210" s="378"/>
      <c r="AG210" s="417">
        <v>2124</v>
      </c>
      <c r="AH210" s="417">
        <v>1875</v>
      </c>
      <c r="AI210" s="417">
        <v>1013</v>
      </c>
      <c r="AJ210" s="417">
        <v>0</v>
      </c>
      <c r="AK210" s="417">
        <v>0</v>
      </c>
      <c r="AL210" s="378">
        <v>2.9200000000000002E-5</v>
      </c>
      <c r="AM210" s="378"/>
      <c r="AN210" s="417">
        <v>0</v>
      </c>
      <c r="AO210" s="417">
        <v>0</v>
      </c>
      <c r="AP210" s="417">
        <v>0</v>
      </c>
      <c r="AQ210" s="417">
        <v>0</v>
      </c>
      <c r="AR210" s="417">
        <v>0</v>
      </c>
    </row>
    <row r="211" spans="1:44">
      <c r="A211" s="377">
        <v>92021</v>
      </c>
      <c r="B211" t="s">
        <v>922</v>
      </c>
      <c r="C211" s="378">
        <v>1.2799999999999999E-4</v>
      </c>
      <c r="D211" s="378"/>
      <c r="E211" s="417">
        <v>10015</v>
      </c>
      <c r="F211" s="417">
        <v>-9075</v>
      </c>
      <c r="G211" s="417">
        <v>-18140</v>
      </c>
      <c r="H211" s="417">
        <v>-85821</v>
      </c>
      <c r="I211" s="417">
        <v>0</v>
      </c>
      <c r="J211" s="378">
        <v>1.2799999999999999E-4</v>
      </c>
      <c r="K211" s="378"/>
      <c r="L211" s="417">
        <v>31335</v>
      </c>
      <c r="M211" s="417">
        <v>21641</v>
      </c>
      <c r="N211" s="417">
        <v>9474</v>
      </c>
      <c r="O211" s="417">
        <v>0</v>
      </c>
      <c r="P211" s="417">
        <v>0</v>
      </c>
      <c r="Q211" s="378">
        <v>1.2799999999999999E-4</v>
      </c>
      <c r="R211" s="378"/>
      <c r="S211" s="417">
        <v>-64303</v>
      </c>
      <c r="T211" s="417">
        <v>-63559</v>
      </c>
      <c r="U211" s="417">
        <v>-66771</v>
      </c>
      <c r="V211" s="417">
        <v>-85821</v>
      </c>
      <c r="W211" s="417">
        <v>0</v>
      </c>
      <c r="X211" s="378">
        <v>1.2799999999999999E-4</v>
      </c>
      <c r="Z211" s="417">
        <v>51277</v>
      </c>
      <c r="AA211" s="417">
        <v>36025</v>
      </c>
      <c r="AB211" s="417">
        <v>36025</v>
      </c>
      <c r="AC211" s="417">
        <v>0</v>
      </c>
      <c r="AD211" s="417">
        <v>0</v>
      </c>
      <c r="AE211" s="378">
        <v>1.2799999999999999E-4</v>
      </c>
      <c r="AF211" s="378"/>
      <c r="AG211" s="417">
        <v>5742</v>
      </c>
      <c r="AH211" s="417">
        <v>5742</v>
      </c>
      <c r="AI211" s="417">
        <v>3132</v>
      </c>
      <c r="AJ211" s="417">
        <v>0</v>
      </c>
      <c r="AK211" s="417">
        <v>0</v>
      </c>
      <c r="AL211" s="378">
        <v>1.2799999999999999E-4</v>
      </c>
      <c r="AM211" s="378"/>
      <c r="AN211" s="417">
        <v>-14036</v>
      </c>
      <c r="AO211" s="417">
        <v>-8924</v>
      </c>
      <c r="AP211" s="417">
        <v>0</v>
      </c>
      <c r="AQ211" s="417">
        <v>0</v>
      </c>
      <c r="AR211" s="417">
        <v>0</v>
      </c>
    </row>
    <row r="212" spans="1:44">
      <c r="A212" s="377">
        <v>92101</v>
      </c>
      <c r="B212" t="s">
        <v>923</v>
      </c>
      <c r="C212" s="378">
        <v>7.0399999999999998E-4</v>
      </c>
      <c r="D212" s="378"/>
      <c r="E212" s="417">
        <v>43123</v>
      </c>
      <c r="F212" s="417">
        <v>-80938</v>
      </c>
      <c r="G212" s="417">
        <v>-150857</v>
      </c>
      <c r="H212" s="417">
        <v>-472014</v>
      </c>
      <c r="I212" s="417">
        <v>0</v>
      </c>
      <c r="J212" s="378">
        <v>7.0399999999999998E-4</v>
      </c>
      <c r="K212" s="378"/>
      <c r="L212" s="417">
        <v>172345</v>
      </c>
      <c r="M212" s="417">
        <v>119027</v>
      </c>
      <c r="N212" s="417">
        <v>52104</v>
      </c>
      <c r="O212" s="417">
        <v>0</v>
      </c>
      <c r="P212" s="417">
        <v>0</v>
      </c>
      <c r="Q212" s="378">
        <v>7.0399999999999998E-4</v>
      </c>
      <c r="R212" s="378"/>
      <c r="S212" s="417">
        <v>-353667</v>
      </c>
      <c r="T212" s="417">
        <v>-349575</v>
      </c>
      <c r="U212" s="417">
        <v>-367242</v>
      </c>
      <c r="V212" s="417">
        <v>-472014</v>
      </c>
      <c r="W212" s="417">
        <v>0</v>
      </c>
      <c r="X212" s="378">
        <v>7.0399999999999998E-4</v>
      </c>
      <c r="Z212" s="417">
        <v>282024</v>
      </c>
      <c r="AA212" s="417">
        <v>198137</v>
      </c>
      <c r="AB212" s="417">
        <v>198136</v>
      </c>
      <c r="AC212" s="417">
        <v>0</v>
      </c>
      <c r="AD212" s="417">
        <v>0</v>
      </c>
      <c r="AE212" s="378">
        <v>7.0399999999999998E-4</v>
      </c>
      <c r="AF212" s="378"/>
      <c r="AG212" s="417">
        <v>0</v>
      </c>
      <c r="AH212" s="417">
        <v>0</v>
      </c>
      <c r="AI212" s="417">
        <v>0</v>
      </c>
      <c r="AJ212" s="417">
        <v>0</v>
      </c>
      <c r="AK212" s="417">
        <v>0</v>
      </c>
      <c r="AL212" s="378">
        <v>7.0399999999999998E-4</v>
      </c>
      <c r="AM212" s="378"/>
      <c r="AN212" s="417">
        <v>-57579</v>
      </c>
      <c r="AO212" s="417">
        <v>-48527</v>
      </c>
      <c r="AP212" s="417">
        <v>-33855</v>
      </c>
      <c r="AQ212" s="417">
        <v>0</v>
      </c>
      <c r="AR212" s="417">
        <v>0</v>
      </c>
    </row>
    <row r="213" spans="1:44">
      <c r="A213" s="377">
        <v>92104</v>
      </c>
      <c r="B213" t="s">
        <v>924</v>
      </c>
      <c r="C213" s="378">
        <v>7.7999999999999999E-6</v>
      </c>
      <c r="D213" s="378"/>
      <c r="E213" s="417">
        <v>2987</v>
      </c>
      <c r="F213" s="417">
        <v>1294</v>
      </c>
      <c r="G213" s="417">
        <v>-397</v>
      </c>
      <c r="H213" s="417">
        <v>-5230</v>
      </c>
      <c r="I213" s="417">
        <v>0</v>
      </c>
      <c r="J213" s="378">
        <v>7.7999999999999999E-6</v>
      </c>
      <c r="K213" s="378"/>
      <c r="L213" s="417">
        <v>1910</v>
      </c>
      <c r="M213" s="417">
        <v>1319</v>
      </c>
      <c r="N213" s="417">
        <v>577</v>
      </c>
      <c r="O213" s="417">
        <v>0</v>
      </c>
      <c r="P213" s="417">
        <v>0</v>
      </c>
      <c r="Q213" s="378">
        <v>7.7999999999999999E-6</v>
      </c>
      <c r="R213" s="378"/>
      <c r="S213" s="417">
        <v>-3918</v>
      </c>
      <c r="T213" s="417">
        <v>-3873</v>
      </c>
      <c r="U213" s="417">
        <v>-4069</v>
      </c>
      <c r="V213" s="417">
        <v>-5230</v>
      </c>
      <c r="W213" s="417">
        <v>0</v>
      </c>
      <c r="X213" s="378">
        <v>7.7999999999999999E-6</v>
      </c>
      <c r="Z213" s="417">
        <v>3125</v>
      </c>
      <c r="AA213" s="417">
        <v>2195</v>
      </c>
      <c r="AB213" s="417">
        <v>2195</v>
      </c>
      <c r="AC213" s="417">
        <v>0</v>
      </c>
      <c r="AD213" s="417">
        <v>0</v>
      </c>
      <c r="AE213" s="378">
        <v>7.7999999999999999E-6</v>
      </c>
      <c r="AF213" s="378"/>
      <c r="AG213" s="417">
        <v>1870</v>
      </c>
      <c r="AH213" s="417">
        <v>1653</v>
      </c>
      <c r="AI213" s="417">
        <v>900</v>
      </c>
      <c r="AJ213" s="417">
        <v>0</v>
      </c>
      <c r="AK213" s="417">
        <v>0</v>
      </c>
      <c r="AL213" s="378">
        <v>7.7999999999999999E-6</v>
      </c>
      <c r="AM213" s="378"/>
      <c r="AN213" s="417">
        <v>0</v>
      </c>
      <c r="AO213" s="417">
        <v>0</v>
      </c>
      <c r="AP213" s="417">
        <v>0</v>
      </c>
      <c r="AQ213" s="417">
        <v>0</v>
      </c>
      <c r="AR213" s="417">
        <v>0</v>
      </c>
    </row>
    <row r="214" spans="1:44">
      <c r="A214" s="377">
        <v>92109</v>
      </c>
      <c r="B214" t="s">
        <v>925</v>
      </c>
      <c r="C214" s="378">
        <v>1.95E-4</v>
      </c>
      <c r="D214" s="378"/>
      <c r="E214" s="417">
        <v>36204</v>
      </c>
      <c r="F214" s="417">
        <v>2679</v>
      </c>
      <c r="G214" s="417">
        <v>-25708</v>
      </c>
      <c r="H214" s="417">
        <v>-130742</v>
      </c>
      <c r="I214" s="417">
        <v>0</v>
      </c>
      <c r="J214" s="378">
        <v>1.95E-4</v>
      </c>
      <c r="K214" s="378"/>
      <c r="L214" s="417">
        <v>47738</v>
      </c>
      <c r="M214" s="417">
        <v>32969</v>
      </c>
      <c r="N214" s="417">
        <v>14432</v>
      </c>
      <c r="O214" s="417">
        <v>0</v>
      </c>
      <c r="P214" s="417">
        <v>0</v>
      </c>
      <c r="Q214" s="378">
        <v>1.95E-4</v>
      </c>
      <c r="R214" s="378"/>
      <c r="S214" s="417">
        <v>-97962</v>
      </c>
      <c r="T214" s="417">
        <v>-96828</v>
      </c>
      <c r="U214" s="417">
        <v>-101722</v>
      </c>
      <c r="V214" s="417">
        <v>-130742</v>
      </c>
      <c r="W214" s="417">
        <v>0</v>
      </c>
      <c r="X214" s="378">
        <v>1.95E-4</v>
      </c>
      <c r="Z214" s="417">
        <v>78117</v>
      </c>
      <c r="AA214" s="417">
        <v>54882</v>
      </c>
      <c r="AB214" s="417">
        <v>54881</v>
      </c>
      <c r="AC214" s="417">
        <v>0</v>
      </c>
      <c r="AD214" s="417">
        <v>0</v>
      </c>
      <c r="AE214" s="378">
        <v>1.95E-4</v>
      </c>
      <c r="AF214" s="378"/>
      <c r="AG214" s="417">
        <v>12893</v>
      </c>
      <c r="AH214" s="417">
        <v>12892</v>
      </c>
      <c r="AI214" s="417">
        <v>6701</v>
      </c>
      <c r="AJ214" s="417">
        <v>0</v>
      </c>
      <c r="AK214" s="417">
        <v>0</v>
      </c>
      <c r="AL214" s="378">
        <v>1.95E-4</v>
      </c>
      <c r="AM214" s="378"/>
      <c r="AN214" s="417">
        <v>-4582</v>
      </c>
      <c r="AO214" s="417">
        <v>-1236</v>
      </c>
      <c r="AP214" s="417">
        <v>0</v>
      </c>
      <c r="AQ214" s="417">
        <v>0</v>
      </c>
      <c r="AR214" s="417">
        <v>0</v>
      </c>
    </row>
    <row r="215" spans="1:44">
      <c r="A215" s="377">
        <v>92111</v>
      </c>
      <c r="B215" t="s">
        <v>926</v>
      </c>
      <c r="C215" s="378">
        <v>5.3620000000000002E-4</v>
      </c>
      <c r="D215" s="378"/>
      <c r="E215" s="417">
        <v>78853</v>
      </c>
      <c r="F215" s="417">
        <v>-22866</v>
      </c>
      <c r="G215" s="417">
        <v>-96868</v>
      </c>
      <c r="H215" s="417">
        <v>-359508</v>
      </c>
      <c r="I215" s="417">
        <v>0</v>
      </c>
      <c r="J215" s="378">
        <v>5.3620000000000002E-4</v>
      </c>
      <c r="K215" s="378"/>
      <c r="L215" s="417">
        <v>131266</v>
      </c>
      <c r="M215" s="417">
        <v>90656</v>
      </c>
      <c r="N215" s="417">
        <v>39685</v>
      </c>
      <c r="O215" s="417">
        <v>0</v>
      </c>
      <c r="P215" s="417">
        <v>0</v>
      </c>
      <c r="Q215" s="378">
        <v>5.3620000000000002E-4</v>
      </c>
      <c r="R215" s="378"/>
      <c r="S215" s="417">
        <v>-269370</v>
      </c>
      <c r="T215" s="417">
        <v>-266253</v>
      </c>
      <c r="U215" s="417">
        <v>-279709</v>
      </c>
      <c r="V215" s="417">
        <v>-359508</v>
      </c>
      <c r="W215" s="417">
        <v>0</v>
      </c>
      <c r="X215" s="378">
        <v>5.3620000000000002E-4</v>
      </c>
      <c r="Z215" s="417">
        <v>214803</v>
      </c>
      <c r="AA215" s="417">
        <v>150911</v>
      </c>
      <c r="AB215" s="417">
        <v>150910</v>
      </c>
      <c r="AC215" s="417">
        <v>0</v>
      </c>
      <c r="AD215" s="417">
        <v>0</v>
      </c>
      <c r="AE215" s="378">
        <v>5.3620000000000002E-4</v>
      </c>
      <c r="AF215" s="378"/>
      <c r="AG215" s="417">
        <v>17015</v>
      </c>
      <c r="AH215" s="417">
        <v>16680</v>
      </c>
      <c r="AI215" s="417">
        <v>0</v>
      </c>
      <c r="AJ215" s="417">
        <v>0</v>
      </c>
      <c r="AK215" s="417">
        <v>0</v>
      </c>
      <c r="AL215" s="378">
        <v>5.3620000000000002E-4</v>
      </c>
      <c r="AM215" s="378"/>
      <c r="AN215" s="417">
        <v>-14861</v>
      </c>
      <c r="AO215" s="417">
        <v>-14860</v>
      </c>
      <c r="AP215" s="417">
        <v>-7754</v>
      </c>
      <c r="AQ215" s="417">
        <v>0</v>
      </c>
      <c r="AR215" s="417">
        <v>0</v>
      </c>
    </row>
    <row r="216" spans="1:44">
      <c r="A216" s="377">
        <v>92113</v>
      </c>
      <c r="B216" t="s">
        <v>927</v>
      </c>
      <c r="C216" s="378">
        <v>1.8899999999999999E-5</v>
      </c>
      <c r="D216" s="378"/>
      <c r="E216" s="417">
        <v>8541</v>
      </c>
      <c r="F216" s="417">
        <v>3783</v>
      </c>
      <c r="G216" s="417">
        <v>-1295</v>
      </c>
      <c r="H216" s="417">
        <v>-12672</v>
      </c>
      <c r="I216" s="417">
        <v>0</v>
      </c>
      <c r="J216" s="378">
        <v>1.8899999999999999E-5</v>
      </c>
      <c r="K216" s="378"/>
      <c r="L216" s="417">
        <v>4627</v>
      </c>
      <c r="M216" s="417">
        <v>3195</v>
      </c>
      <c r="N216" s="417">
        <v>1399</v>
      </c>
      <c r="O216" s="417">
        <v>0</v>
      </c>
      <c r="P216" s="417">
        <v>0</v>
      </c>
      <c r="Q216" s="378">
        <v>1.8899999999999999E-5</v>
      </c>
      <c r="R216" s="378"/>
      <c r="S216" s="417">
        <v>-9495</v>
      </c>
      <c r="T216" s="417">
        <v>-9385</v>
      </c>
      <c r="U216" s="417">
        <v>-9859</v>
      </c>
      <c r="V216" s="417">
        <v>-12672</v>
      </c>
      <c r="W216" s="417">
        <v>0</v>
      </c>
      <c r="X216" s="378">
        <v>1.8899999999999999E-5</v>
      </c>
      <c r="Z216" s="417">
        <v>7571</v>
      </c>
      <c r="AA216" s="417">
        <v>5319</v>
      </c>
      <c r="AB216" s="417">
        <v>5319</v>
      </c>
      <c r="AC216" s="417">
        <v>0</v>
      </c>
      <c r="AD216" s="417">
        <v>0</v>
      </c>
      <c r="AE216" s="378">
        <v>1.8899999999999999E-5</v>
      </c>
      <c r="AF216" s="378"/>
      <c r="AG216" s="417">
        <v>5838</v>
      </c>
      <c r="AH216" s="417">
        <v>4654</v>
      </c>
      <c r="AI216" s="417">
        <v>1846</v>
      </c>
      <c r="AJ216" s="417">
        <v>0</v>
      </c>
      <c r="AK216" s="417">
        <v>0</v>
      </c>
      <c r="AL216" s="378">
        <v>1.8899999999999999E-5</v>
      </c>
      <c r="AM216" s="378"/>
      <c r="AN216" s="417">
        <v>0</v>
      </c>
      <c r="AO216" s="417">
        <v>0</v>
      </c>
      <c r="AP216" s="417">
        <v>0</v>
      </c>
      <c r="AQ216" s="417">
        <v>0</v>
      </c>
      <c r="AR216" s="417">
        <v>0</v>
      </c>
    </row>
    <row r="217" spans="1:44">
      <c r="A217" s="377">
        <v>92201</v>
      </c>
      <c r="B217" t="s">
        <v>928</v>
      </c>
      <c r="C217" s="378">
        <v>9.5560000000000003E-4</v>
      </c>
      <c r="D217" s="378"/>
      <c r="E217" s="417">
        <v>186881</v>
      </c>
      <c r="F217" s="417">
        <v>6139</v>
      </c>
      <c r="G217" s="417">
        <v>-144629</v>
      </c>
      <c r="H217" s="417">
        <v>-640705</v>
      </c>
      <c r="I217" s="417">
        <v>0</v>
      </c>
      <c r="J217" s="378">
        <v>9.5560000000000003E-4</v>
      </c>
      <c r="K217" s="378"/>
      <c r="L217" s="417">
        <v>233939</v>
      </c>
      <c r="M217" s="417">
        <v>161565</v>
      </c>
      <c r="N217" s="417">
        <v>70726</v>
      </c>
      <c r="O217" s="417">
        <v>0</v>
      </c>
      <c r="P217" s="417">
        <v>0</v>
      </c>
      <c r="Q217" s="378">
        <v>9.5560000000000003E-4</v>
      </c>
      <c r="R217" s="378"/>
      <c r="S217" s="417">
        <v>-480063</v>
      </c>
      <c r="T217" s="417">
        <v>-474508</v>
      </c>
      <c r="U217" s="417">
        <v>-498490</v>
      </c>
      <c r="V217" s="417">
        <v>-640705</v>
      </c>
      <c r="W217" s="417">
        <v>0</v>
      </c>
      <c r="X217" s="378">
        <v>9.5560000000000003E-4</v>
      </c>
      <c r="Z217" s="417">
        <v>382815</v>
      </c>
      <c r="AA217" s="417">
        <v>268949</v>
      </c>
      <c r="AB217" s="417">
        <v>268947</v>
      </c>
      <c r="AC217" s="417">
        <v>0</v>
      </c>
      <c r="AD217" s="417">
        <v>0</v>
      </c>
      <c r="AE217" s="378">
        <v>9.5560000000000003E-4</v>
      </c>
      <c r="AF217" s="378"/>
      <c r="AG217" s="417">
        <v>60029</v>
      </c>
      <c r="AH217" s="417">
        <v>59972</v>
      </c>
      <c r="AI217" s="417">
        <v>14188</v>
      </c>
      <c r="AJ217" s="417">
        <v>0</v>
      </c>
      <c r="AK217" s="417">
        <v>0</v>
      </c>
      <c r="AL217" s="378">
        <v>9.5560000000000003E-4</v>
      </c>
      <c r="AM217" s="378"/>
      <c r="AN217" s="417">
        <v>-9839</v>
      </c>
      <c r="AO217" s="417">
        <v>-9839</v>
      </c>
      <c r="AP217" s="417">
        <v>0</v>
      </c>
      <c r="AQ217" s="417">
        <v>0</v>
      </c>
      <c r="AR217" s="417">
        <v>0</v>
      </c>
    </row>
    <row r="218" spans="1:44">
      <c r="A218" s="377">
        <v>92214</v>
      </c>
      <c r="B218" t="s">
        <v>1925</v>
      </c>
      <c r="C218" s="378">
        <v>2.0599999999999999E-5</v>
      </c>
      <c r="D218" s="378"/>
      <c r="E218" s="417">
        <v>7439</v>
      </c>
      <c r="F218" s="417">
        <v>41</v>
      </c>
      <c r="G218" s="417">
        <v>-2106</v>
      </c>
      <c r="H218" s="417">
        <v>-13812</v>
      </c>
      <c r="I218" s="417">
        <v>0</v>
      </c>
      <c r="J218" s="378">
        <v>2.0599999999999999E-5</v>
      </c>
      <c r="K218" s="378"/>
      <c r="L218" s="417">
        <v>5043</v>
      </c>
      <c r="M218" s="417">
        <v>3483</v>
      </c>
      <c r="N218" s="417">
        <v>1525</v>
      </c>
      <c r="O218" s="417">
        <v>0</v>
      </c>
      <c r="P218" s="417">
        <v>0</v>
      </c>
      <c r="Q218" s="378">
        <v>2.0599999999999999E-5</v>
      </c>
      <c r="R218" s="378"/>
      <c r="S218" s="417">
        <v>-10349</v>
      </c>
      <c r="T218" s="417">
        <v>-10229</v>
      </c>
      <c r="U218" s="417">
        <v>-10746</v>
      </c>
      <c r="V218" s="417">
        <v>-13812</v>
      </c>
      <c r="W218" s="417">
        <v>0</v>
      </c>
      <c r="X218" s="378">
        <v>2.0599999999999999E-5</v>
      </c>
      <c r="Z218" s="417">
        <v>8252</v>
      </c>
      <c r="AA218" s="417">
        <v>5798</v>
      </c>
      <c r="AB218" s="417">
        <v>5798</v>
      </c>
      <c r="AC218" s="417">
        <v>0</v>
      </c>
      <c r="AD218" s="417">
        <v>0</v>
      </c>
      <c r="AE218" s="378">
        <v>2.0599999999999999E-5</v>
      </c>
      <c r="AF218" s="378"/>
      <c r="AG218" s="417">
        <v>4997</v>
      </c>
      <c r="AH218" s="417">
        <v>1494</v>
      </c>
      <c r="AI218" s="417">
        <v>1317</v>
      </c>
      <c r="AJ218" s="417">
        <v>0</v>
      </c>
      <c r="AK218" s="417">
        <v>0</v>
      </c>
      <c r="AL218" s="378">
        <v>2.0599999999999999E-5</v>
      </c>
      <c r="AM218" s="378"/>
      <c r="AN218" s="417">
        <v>-504</v>
      </c>
      <c r="AO218" s="417">
        <v>-505</v>
      </c>
      <c r="AP218" s="417">
        <v>0</v>
      </c>
      <c r="AQ218" s="417">
        <v>0</v>
      </c>
      <c r="AR218" s="417">
        <v>0</v>
      </c>
    </row>
    <row r="219" spans="1:44">
      <c r="A219" s="377">
        <v>92301</v>
      </c>
      <c r="B219" t="s">
        <v>929</v>
      </c>
      <c r="C219" s="378">
        <v>5.0848000000000004E-3</v>
      </c>
      <c r="D219" s="378"/>
      <c r="E219" s="417">
        <v>445234</v>
      </c>
      <c r="F219" s="417">
        <v>-525113</v>
      </c>
      <c r="G219" s="417">
        <v>-1020154</v>
      </c>
      <c r="H219" s="417">
        <v>-3409226</v>
      </c>
      <c r="I219" s="417">
        <v>0</v>
      </c>
      <c r="J219" s="378">
        <v>5.0848000000000004E-3</v>
      </c>
      <c r="K219" s="378"/>
      <c r="L219" s="417">
        <v>1244800</v>
      </c>
      <c r="M219" s="417">
        <v>859697</v>
      </c>
      <c r="N219" s="417">
        <v>376336</v>
      </c>
      <c r="O219" s="417">
        <v>0</v>
      </c>
      <c r="P219" s="417">
        <v>0</v>
      </c>
      <c r="Q219" s="378">
        <v>5.0848000000000004E-3</v>
      </c>
      <c r="R219" s="378"/>
      <c r="S219" s="417">
        <v>-2554441</v>
      </c>
      <c r="T219" s="417">
        <v>-2524883</v>
      </c>
      <c r="U219" s="417">
        <v>-2652491</v>
      </c>
      <c r="V219" s="417">
        <v>-3409226</v>
      </c>
      <c r="W219" s="417">
        <v>0</v>
      </c>
      <c r="X219" s="378">
        <v>5.0848000000000004E-3</v>
      </c>
      <c r="Z219" s="417">
        <v>2036981</v>
      </c>
      <c r="AA219" s="417">
        <v>1431092</v>
      </c>
      <c r="AB219" s="417">
        <v>1431081</v>
      </c>
      <c r="AC219" s="417">
        <v>0</v>
      </c>
      <c r="AD219" s="417">
        <v>0</v>
      </c>
      <c r="AE219" s="378">
        <v>5.0848000000000004E-3</v>
      </c>
      <c r="AF219" s="378"/>
      <c r="AG219" s="417">
        <v>37043</v>
      </c>
      <c r="AH219" s="417">
        <v>28131</v>
      </c>
      <c r="AI219" s="417">
        <v>0</v>
      </c>
      <c r="AJ219" s="417">
        <v>0</v>
      </c>
      <c r="AK219" s="417">
        <v>0</v>
      </c>
      <c r="AL219" s="378">
        <v>5.0848000000000004E-3</v>
      </c>
      <c r="AM219" s="378"/>
      <c r="AN219" s="417">
        <v>-319149</v>
      </c>
      <c r="AO219" s="417">
        <v>-319150</v>
      </c>
      <c r="AP219" s="417">
        <v>-175080</v>
      </c>
      <c r="AQ219" s="417">
        <v>0</v>
      </c>
      <c r="AR219" s="417">
        <v>0</v>
      </c>
    </row>
    <row r="220" spans="1:44">
      <c r="A220" s="377">
        <v>92302</v>
      </c>
      <c r="B220" t="s">
        <v>1934</v>
      </c>
      <c r="C220" s="378">
        <v>2.8669999999999998E-4</v>
      </c>
      <c r="D220" s="378"/>
      <c r="E220" s="417">
        <v>27630</v>
      </c>
      <c r="F220" s="417">
        <v>-28195</v>
      </c>
      <c r="G220" s="417">
        <v>-55274</v>
      </c>
      <c r="H220" s="417">
        <v>-192225</v>
      </c>
      <c r="I220" s="417">
        <v>0</v>
      </c>
      <c r="J220" s="378">
        <v>2.8669999999999998E-4</v>
      </c>
      <c r="K220" s="378"/>
      <c r="L220" s="417">
        <v>70186</v>
      </c>
      <c r="M220" s="417">
        <v>48473</v>
      </c>
      <c r="N220" s="417">
        <v>21219</v>
      </c>
      <c r="O220" s="417">
        <v>0</v>
      </c>
      <c r="P220" s="417">
        <v>0</v>
      </c>
      <c r="Q220" s="378">
        <v>2.8669999999999998E-4</v>
      </c>
      <c r="R220" s="378"/>
      <c r="S220" s="417">
        <v>-144029</v>
      </c>
      <c r="T220" s="417">
        <v>-142362</v>
      </c>
      <c r="U220" s="417">
        <v>-149557</v>
      </c>
      <c r="V220" s="417">
        <v>-192225</v>
      </c>
      <c r="W220" s="417">
        <v>0</v>
      </c>
      <c r="X220" s="378">
        <v>2.8669999999999998E-4</v>
      </c>
      <c r="Z220" s="417">
        <v>114853</v>
      </c>
      <c r="AA220" s="417">
        <v>80690</v>
      </c>
      <c r="AB220" s="417">
        <v>80690</v>
      </c>
      <c r="AC220" s="417">
        <v>0</v>
      </c>
      <c r="AD220" s="417">
        <v>0</v>
      </c>
      <c r="AE220" s="378">
        <v>2.8669999999999998E-4</v>
      </c>
      <c r="AF220" s="378"/>
      <c r="AG220" s="417">
        <v>1616</v>
      </c>
      <c r="AH220" s="417">
        <v>0</v>
      </c>
      <c r="AI220" s="417">
        <v>0</v>
      </c>
      <c r="AJ220" s="417">
        <v>0</v>
      </c>
      <c r="AK220" s="417">
        <v>0</v>
      </c>
      <c r="AL220" s="378">
        <v>2.8669999999999998E-4</v>
      </c>
      <c r="AM220" s="378"/>
      <c r="AN220" s="417">
        <v>-14996</v>
      </c>
      <c r="AO220" s="417">
        <v>-14996</v>
      </c>
      <c r="AP220" s="417">
        <v>-7626</v>
      </c>
      <c r="AQ220" s="417">
        <v>0</v>
      </c>
      <c r="AR220" s="417">
        <v>0</v>
      </c>
    </row>
    <row r="221" spans="1:44">
      <c r="A221" s="377">
        <v>92311</v>
      </c>
      <c r="B221" t="s">
        <v>931</v>
      </c>
      <c r="C221" s="378">
        <v>2.2017E-3</v>
      </c>
      <c r="D221" s="378"/>
      <c r="E221" s="417">
        <v>224645</v>
      </c>
      <c r="F221" s="417">
        <v>-176220</v>
      </c>
      <c r="G221" s="417">
        <v>-454841</v>
      </c>
      <c r="H221" s="417">
        <v>-1476183</v>
      </c>
      <c r="I221" s="417">
        <v>0</v>
      </c>
      <c r="J221" s="378">
        <v>2.2017E-3</v>
      </c>
      <c r="K221" s="378"/>
      <c r="L221" s="417">
        <v>538994</v>
      </c>
      <c r="M221" s="417">
        <v>372246</v>
      </c>
      <c r="N221" s="417">
        <v>162952</v>
      </c>
      <c r="O221" s="417">
        <v>0</v>
      </c>
      <c r="P221" s="417">
        <v>0</v>
      </c>
      <c r="Q221" s="378">
        <v>2.2017E-3</v>
      </c>
      <c r="R221" s="378"/>
      <c r="S221" s="417">
        <v>-1106064</v>
      </c>
      <c r="T221" s="417">
        <v>-1093265</v>
      </c>
      <c r="U221" s="417">
        <v>-1148519</v>
      </c>
      <c r="V221" s="417">
        <v>-1476183</v>
      </c>
      <c r="W221" s="417">
        <v>0</v>
      </c>
      <c r="X221" s="378">
        <v>2.2017E-3</v>
      </c>
      <c r="Z221" s="417">
        <v>882005</v>
      </c>
      <c r="AA221" s="417">
        <v>619657</v>
      </c>
      <c r="AB221" s="417">
        <v>619653</v>
      </c>
      <c r="AC221" s="417">
        <v>0</v>
      </c>
      <c r="AD221" s="417">
        <v>0</v>
      </c>
      <c r="AE221" s="378">
        <v>2.2017E-3</v>
      </c>
      <c r="AF221" s="378"/>
      <c r="AG221" s="417">
        <v>14067</v>
      </c>
      <c r="AH221" s="417">
        <v>14068</v>
      </c>
      <c r="AI221" s="417">
        <v>0</v>
      </c>
      <c r="AJ221" s="417">
        <v>0</v>
      </c>
      <c r="AK221" s="417">
        <v>0</v>
      </c>
      <c r="AL221" s="378">
        <v>2.2017E-3</v>
      </c>
      <c r="AM221" s="378"/>
      <c r="AN221" s="417">
        <v>-104357</v>
      </c>
      <c r="AO221" s="417">
        <v>-88926</v>
      </c>
      <c r="AP221" s="417">
        <v>-88927</v>
      </c>
      <c r="AQ221" s="417">
        <v>0</v>
      </c>
      <c r="AR221" s="417">
        <v>0</v>
      </c>
    </row>
    <row r="222" spans="1:44">
      <c r="A222" s="377">
        <v>92317</v>
      </c>
      <c r="B222" t="s">
        <v>932</v>
      </c>
      <c r="C222" s="378">
        <v>3.6399999999999997E-5</v>
      </c>
      <c r="D222" s="378"/>
      <c r="E222" s="417">
        <v>17694</v>
      </c>
      <c r="F222" s="417">
        <v>9715</v>
      </c>
      <c r="G222" s="417">
        <v>-2189</v>
      </c>
      <c r="H222" s="417">
        <v>-24405</v>
      </c>
      <c r="I222" s="417">
        <v>0</v>
      </c>
      <c r="J222" s="378">
        <v>3.6399999999999997E-5</v>
      </c>
      <c r="K222" s="378"/>
      <c r="L222" s="417">
        <v>8911</v>
      </c>
      <c r="M222" s="417">
        <v>6154</v>
      </c>
      <c r="N222" s="417">
        <v>2694</v>
      </c>
      <c r="O222" s="417">
        <v>0</v>
      </c>
      <c r="P222" s="417">
        <v>0</v>
      </c>
      <c r="Q222" s="378">
        <v>3.6399999999999997E-5</v>
      </c>
      <c r="R222" s="378"/>
      <c r="S222" s="417">
        <v>-18286</v>
      </c>
      <c r="T222" s="417">
        <v>-18075</v>
      </c>
      <c r="U222" s="417">
        <v>-18988</v>
      </c>
      <c r="V222" s="417">
        <v>-24405</v>
      </c>
      <c r="W222" s="417">
        <v>0</v>
      </c>
      <c r="X222" s="378">
        <v>3.6399999999999997E-5</v>
      </c>
      <c r="Z222" s="417">
        <v>14582</v>
      </c>
      <c r="AA222" s="417">
        <v>10245</v>
      </c>
      <c r="AB222" s="417">
        <v>10245</v>
      </c>
      <c r="AC222" s="417">
        <v>0</v>
      </c>
      <c r="AD222" s="417">
        <v>0</v>
      </c>
      <c r="AE222" s="378">
        <v>3.6399999999999997E-5</v>
      </c>
      <c r="AF222" s="378"/>
      <c r="AG222" s="417">
        <v>12487</v>
      </c>
      <c r="AH222" s="417">
        <v>11391</v>
      </c>
      <c r="AI222" s="417">
        <v>3860</v>
      </c>
      <c r="AJ222" s="417">
        <v>0</v>
      </c>
      <c r="AK222" s="417">
        <v>0</v>
      </c>
      <c r="AL222" s="378">
        <v>3.6399999999999997E-5</v>
      </c>
      <c r="AM222" s="378"/>
      <c r="AN222" s="417">
        <v>0</v>
      </c>
      <c r="AO222" s="417">
        <v>0</v>
      </c>
      <c r="AP222" s="417">
        <v>0</v>
      </c>
      <c r="AQ222" s="417">
        <v>0</v>
      </c>
      <c r="AR222" s="417">
        <v>0</v>
      </c>
    </row>
    <row r="223" spans="1:44">
      <c r="A223" s="377">
        <v>92321</v>
      </c>
      <c r="B223" t="s">
        <v>933</v>
      </c>
      <c r="C223" s="378">
        <v>1.2914999999999999E-3</v>
      </c>
      <c r="D223" s="378"/>
      <c r="E223" s="417">
        <v>218107</v>
      </c>
      <c r="F223" s="417">
        <v>-36372</v>
      </c>
      <c r="G223" s="417">
        <v>-242131</v>
      </c>
      <c r="H223" s="417">
        <v>-865917</v>
      </c>
      <c r="I223" s="417">
        <v>0</v>
      </c>
      <c r="J223" s="378">
        <v>1.2914999999999999E-3</v>
      </c>
      <c r="K223" s="378"/>
      <c r="L223" s="417">
        <v>316170</v>
      </c>
      <c r="M223" s="417">
        <v>218356</v>
      </c>
      <c r="N223" s="417">
        <v>95586</v>
      </c>
      <c r="O223" s="417">
        <v>0</v>
      </c>
      <c r="P223" s="417">
        <v>0</v>
      </c>
      <c r="Q223" s="378">
        <v>1.2914999999999999E-3</v>
      </c>
      <c r="R223" s="378"/>
      <c r="S223" s="417">
        <v>-648808</v>
      </c>
      <c r="T223" s="417">
        <v>-641301</v>
      </c>
      <c r="U223" s="417">
        <v>-673712</v>
      </c>
      <c r="V223" s="417">
        <v>-865917</v>
      </c>
      <c r="W223" s="417">
        <v>0</v>
      </c>
      <c r="X223" s="378">
        <v>1.2914999999999999E-3</v>
      </c>
      <c r="Z223" s="417">
        <v>517377</v>
      </c>
      <c r="AA223" s="417">
        <v>363486</v>
      </c>
      <c r="AB223" s="417">
        <v>363484</v>
      </c>
      <c r="AC223" s="417">
        <v>0</v>
      </c>
      <c r="AD223" s="417">
        <v>0</v>
      </c>
      <c r="AE223" s="378">
        <v>1.2914999999999999E-3</v>
      </c>
      <c r="AF223" s="378"/>
      <c r="AG223" s="417">
        <v>63268</v>
      </c>
      <c r="AH223" s="417">
        <v>52988</v>
      </c>
      <c r="AI223" s="417">
        <v>0</v>
      </c>
      <c r="AJ223" s="417">
        <v>0</v>
      </c>
      <c r="AK223" s="417">
        <v>0</v>
      </c>
      <c r="AL223" s="378">
        <v>1.2914999999999999E-3</v>
      </c>
      <c r="AM223" s="378"/>
      <c r="AN223" s="417">
        <v>-29900</v>
      </c>
      <c r="AO223" s="417">
        <v>-29901</v>
      </c>
      <c r="AP223" s="417">
        <v>-27489</v>
      </c>
      <c r="AQ223" s="417">
        <v>0</v>
      </c>
      <c r="AR223" s="417">
        <v>0</v>
      </c>
    </row>
    <row r="224" spans="1:44">
      <c r="A224" s="377">
        <v>92327</v>
      </c>
      <c r="B224" t="s">
        <v>934</v>
      </c>
      <c r="C224" s="378">
        <v>6.8000000000000001E-6</v>
      </c>
      <c r="D224" s="378"/>
      <c r="E224" s="417">
        <v>5508</v>
      </c>
      <c r="F224" s="417">
        <v>3279</v>
      </c>
      <c r="G224" s="417">
        <v>464</v>
      </c>
      <c r="H224" s="417">
        <v>-4559</v>
      </c>
      <c r="I224" s="417">
        <v>0</v>
      </c>
      <c r="J224" s="378">
        <v>6.8000000000000001E-6</v>
      </c>
      <c r="K224" s="378"/>
      <c r="L224" s="417">
        <v>1665</v>
      </c>
      <c r="M224" s="417">
        <v>1150</v>
      </c>
      <c r="N224" s="417">
        <v>503</v>
      </c>
      <c r="O224" s="417">
        <v>0</v>
      </c>
      <c r="P224" s="417">
        <v>0</v>
      </c>
      <c r="Q224" s="378">
        <v>6.8000000000000001E-6</v>
      </c>
      <c r="R224" s="378"/>
      <c r="S224" s="417">
        <v>-3416</v>
      </c>
      <c r="T224" s="417">
        <v>-3377</v>
      </c>
      <c r="U224" s="417">
        <v>-3547</v>
      </c>
      <c r="V224" s="417">
        <v>-4559</v>
      </c>
      <c r="W224" s="417">
        <v>0</v>
      </c>
      <c r="X224" s="378">
        <v>6.8000000000000001E-6</v>
      </c>
      <c r="Z224" s="417">
        <v>2724</v>
      </c>
      <c r="AA224" s="417">
        <v>1914</v>
      </c>
      <c r="AB224" s="417">
        <v>1914</v>
      </c>
      <c r="AC224" s="417">
        <v>0</v>
      </c>
      <c r="AD224" s="417">
        <v>0</v>
      </c>
      <c r="AE224" s="378">
        <v>6.8000000000000001E-6</v>
      </c>
      <c r="AF224" s="378"/>
      <c r="AG224" s="417">
        <v>4535</v>
      </c>
      <c r="AH224" s="417">
        <v>3592</v>
      </c>
      <c r="AI224" s="417">
        <v>1594</v>
      </c>
      <c r="AJ224" s="417">
        <v>0</v>
      </c>
      <c r="AK224" s="417">
        <v>0</v>
      </c>
      <c r="AL224" s="378">
        <v>6.8000000000000001E-6</v>
      </c>
      <c r="AM224" s="378"/>
      <c r="AN224" s="417">
        <v>0</v>
      </c>
      <c r="AO224" s="417">
        <v>0</v>
      </c>
      <c r="AP224" s="417">
        <v>0</v>
      </c>
      <c r="AQ224" s="417">
        <v>0</v>
      </c>
      <c r="AR224" s="417">
        <v>0</v>
      </c>
    </row>
    <row r="225" spans="1:44">
      <c r="A225" s="377">
        <v>92331</v>
      </c>
      <c r="B225" t="s">
        <v>935</v>
      </c>
      <c r="C225" s="378">
        <v>1.6119999999999999E-4</v>
      </c>
      <c r="D225" s="378"/>
      <c r="E225" s="417">
        <v>44145</v>
      </c>
      <c r="F225" s="417">
        <v>14753</v>
      </c>
      <c r="G225" s="417">
        <v>-12729</v>
      </c>
      <c r="H225" s="417">
        <v>-108080</v>
      </c>
      <c r="I225" s="417">
        <v>0</v>
      </c>
      <c r="J225" s="378">
        <v>1.6119999999999999E-4</v>
      </c>
      <c r="K225" s="378"/>
      <c r="L225" s="417">
        <v>39463</v>
      </c>
      <c r="M225" s="417">
        <v>27254</v>
      </c>
      <c r="N225" s="417">
        <v>11931</v>
      </c>
      <c r="O225" s="417">
        <v>0</v>
      </c>
      <c r="P225" s="417">
        <v>0</v>
      </c>
      <c r="Q225" s="378">
        <v>1.6119999999999999E-4</v>
      </c>
      <c r="R225" s="378"/>
      <c r="S225" s="417">
        <v>-80982</v>
      </c>
      <c r="T225" s="417">
        <v>-80045</v>
      </c>
      <c r="U225" s="417">
        <v>-84090</v>
      </c>
      <c r="V225" s="417">
        <v>-108080</v>
      </c>
      <c r="W225" s="417">
        <v>0</v>
      </c>
      <c r="X225" s="378">
        <v>1.6119999999999999E-4</v>
      </c>
      <c r="Z225" s="417">
        <v>64577</v>
      </c>
      <c r="AA225" s="417">
        <v>45369</v>
      </c>
      <c r="AB225" s="417">
        <v>45369</v>
      </c>
      <c r="AC225" s="417">
        <v>0</v>
      </c>
      <c r="AD225" s="417">
        <v>0</v>
      </c>
      <c r="AE225" s="378">
        <v>1.6119999999999999E-4</v>
      </c>
      <c r="AF225" s="378"/>
      <c r="AG225" s="417">
        <v>22178</v>
      </c>
      <c r="AH225" s="417">
        <v>22175</v>
      </c>
      <c r="AI225" s="417">
        <v>14061</v>
      </c>
      <c r="AJ225" s="417">
        <v>0</v>
      </c>
      <c r="AK225" s="417">
        <v>0</v>
      </c>
      <c r="AL225" s="378">
        <v>1.6119999999999999E-4</v>
      </c>
      <c r="AM225" s="378"/>
      <c r="AN225" s="417">
        <v>-1091</v>
      </c>
      <c r="AO225" s="417">
        <v>0</v>
      </c>
      <c r="AP225" s="417">
        <v>0</v>
      </c>
      <c r="AQ225" s="417">
        <v>0</v>
      </c>
      <c r="AR225" s="417">
        <v>0</v>
      </c>
    </row>
    <row r="226" spans="1:44">
      <c r="A226" s="377">
        <v>92341</v>
      </c>
      <c r="B226" t="s">
        <v>936</v>
      </c>
      <c r="C226" s="378">
        <v>7.9999999999999996E-6</v>
      </c>
      <c r="D226" s="378"/>
      <c r="E226" s="417">
        <v>-303</v>
      </c>
      <c r="F226" s="417">
        <v>-1459</v>
      </c>
      <c r="G226" s="417">
        <v>-1517</v>
      </c>
      <c r="H226" s="417">
        <v>-5364</v>
      </c>
      <c r="I226" s="417">
        <v>0</v>
      </c>
      <c r="J226" s="378">
        <v>7.9999999999999996E-6</v>
      </c>
      <c r="K226" s="378"/>
      <c r="L226" s="417">
        <v>1958</v>
      </c>
      <c r="M226" s="417">
        <v>1353</v>
      </c>
      <c r="N226" s="417">
        <v>592</v>
      </c>
      <c r="O226" s="417">
        <v>0</v>
      </c>
      <c r="P226" s="417">
        <v>0</v>
      </c>
      <c r="Q226" s="378">
        <v>7.9999999999999996E-6</v>
      </c>
      <c r="R226" s="378"/>
      <c r="S226" s="417">
        <v>-4019</v>
      </c>
      <c r="T226" s="417">
        <v>-3972</v>
      </c>
      <c r="U226" s="417">
        <v>-4173</v>
      </c>
      <c r="V226" s="417">
        <v>-5364</v>
      </c>
      <c r="W226" s="417">
        <v>0</v>
      </c>
      <c r="X226" s="378">
        <v>7.9999999999999996E-6</v>
      </c>
      <c r="Z226" s="417">
        <v>3205</v>
      </c>
      <c r="AA226" s="417">
        <v>2252</v>
      </c>
      <c r="AB226" s="417">
        <v>2252</v>
      </c>
      <c r="AC226" s="417">
        <v>0</v>
      </c>
      <c r="AD226" s="417">
        <v>0</v>
      </c>
      <c r="AE226" s="378">
        <v>7.9999999999999996E-6</v>
      </c>
      <c r="AF226" s="378"/>
      <c r="AG226" s="417">
        <v>0</v>
      </c>
      <c r="AH226" s="417">
        <v>0</v>
      </c>
      <c r="AI226" s="417">
        <v>0</v>
      </c>
      <c r="AJ226" s="417">
        <v>0</v>
      </c>
      <c r="AK226" s="417">
        <v>0</v>
      </c>
      <c r="AL226" s="378">
        <v>7.9999999999999996E-6</v>
      </c>
      <c r="AM226" s="378"/>
      <c r="AN226" s="417">
        <v>-1447</v>
      </c>
      <c r="AO226" s="417">
        <v>-1092</v>
      </c>
      <c r="AP226" s="417">
        <v>-188</v>
      </c>
      <c r="AQ226" s="417">
        <v>0</v>
      </c>
      <c r="AR226" s="417">
        <v>0</v>
      </c>
    </row>
    <row r="227" spans="1:44">
      <c r="A227" s="377">
        <v>92351</v>
      </c>
      <c r="B227" t="s">
        <v>937</v>
      </c>
      <c r="C227" s="378">
        <v>2.55E-5</v>
      </c>
      <c r="D227" s="378"/>
      <c r="E227" s="417">
        <v>8051</v>
      </c>
      <c r="F227" s="417">
        <v>2425</v>
      </c>
      <c r="G227" s="417">
        <v>-3886</v>
      </c>
      <c r="H227" s="417">
        <v>-17097</v>
      </c>
      <c r="I227" s="417">
        <v>0</v>
      </c>
      <c r="J227" s="378">
        <v>2.55E-5</v>
      </c>
      <c r="K227" s="378"/>
      <c r="L227" s="417">
        <v>6243</v>
      </c>
      <c r="M227" s="417">
        <v>4311</v>
      </c>
      <c r="N227" s="417">
        <v>1887</v>
      </c>
      <c r="O227" s="417">
        <v>0</v>
      </c>
      <c r="P227" s="417">
        <v>0</v>
      </c>
      <c r="Q227" s="378">
        <v>2.55E-5</v>
      </c>
      <c r="R227" s="378"/>
      <c r="S227" s="417">
        <v>-12810</v>
      </c>
      <c r="T227" s="417">
        <v>-12662</v>
      </c>
      <c r="U227" s="417">
        <v>-13302</v>
      </c>
      <c r="V227" s="417">
        <v>-17097</v>
      </c>
      <c r="W227" s="417">
        <v>0</v>
      </c>
      <c r="X227" s="378">
        <v>2.55E-5</v>
      </c>
      <c r="Z227" s="417">
        <v>10215</v>
      </c>
      <c r="AA227" s="417">
        <v>7177</v>
      </c>
      <c r="AB227" s="417">
        <v>7177</v>
      </c>
      <c r="AC227" s="417">
        <v>0</v>
      </c>
      <c r="AD227" s="417">
        <v>0</v>
      </c>
      <c r="AE227" s="378">
        <v>2.55E-5</v>
      </c>
      <c r="AF227" s="378"/>
      <c r="AG227" s="417">
        <v>4584</v>
      </c>
      <c r="AH227" s="417">
        <v>3780</v>
      </c>
      <c r="AI227" s="417">
        <v>352</v>
      </c>
      <c r="AJ227" s="417">
        <v>0</v>
      </c>
      <c r="AK227" s="417">
        <v>0</v>
      </c>
      <c r="AL227" s="378">
        <v>2.55E-5</v>
      </c>
      <c r="AM227" s="378"/>
      <c r="AN227" s="417">
        <v>-181</v>
      </c>
      <c r="AO227" s="417">
        <v>-181</v>
      </c>
      <c r="AP227" s="417">
        <v>0</v>
      </c>
      <c r="AQ227" s="417">
        <v>0</v>
      </c>
      <c r="AR227" s="417">
        <v>0</v>
      </c>
    </row>
    <row r="228" spans="1:44">
      <c r="A228" s="377">
        <v>92401</v>
      </c>
      <c r="B228" t="s">
        <v>938</v>
      </c>
      <c r="C228" s="378">
        <v>2.5695000000000002E-3</v>
      </c>
      <c r="D228" s="378"/>
      <c r="E228" s="417">
        <v>410018</v>
      </c>
      <c r="F228" s="417">
        <v>-62257</v>
      </c>
      <c r="G228" s="417">
        <v>-402917</v>
      </c>
      <c r="H228" s="417">
        <v>-1722783</v>
      </c>
      <c r="I228" s="417">
        <v>0</v>
      </c>
      <c r="J228" s="378">
        <v>2.5695000000000002E-3</v>
      </c>
      <c r="K228" s="378"/>
      <c r="L228" s="417">
        <v>629034</v>
      </c>
      <c r="M228" s="417">
        <v>434431</v>
      </c>
      <c r="N228" s="417">
        <v>190174</v>
      </c>
      <c r="O228" s="417">
        <v>0</v>
      </c>
      <c r="P228" s="417">
        <v>0</v>
      </c>
      <c r="Q228" s="378">
        <v>2.5695000000000002E-3</v>
      </c>
      <c r="R228" s="378"/>
      <c r="S228" s="417">
        <v>-1290835</v>
      </c>
      <c r="T228" s="417">
        <v>-1275898</v>
      </c>
      <c r="U228" s="417">
        <v>-1340382</v>
      </c>
      <c r="V228" s="417">
        <v>-1722783</v>
      </c>
      <c r="W228" s="417">
        <v>0</v>
      </c>
      <c r="X228" s="378">
        <v>2.5695000000000002E-3</v>
      </c>
      <c r="Z228" s="417">
        <v>1029347</v>
      </c>
      <c r="AA228" s="417">
        <v>723173</v>
      </c>
      <c r="AB228" s="417">
        <v>723168</v>
      </c>
      <c r="AC228" s="417">
        <v>0</v>
      </c>
      <c r="AD228" s="417">
        <v>0</v>
      </c>
      <c r="AE228" s="378">
        <v>2.5695000000000002E-3</v>
      </c>
      <c r="AF228" s="378"/>
      <c r="AG228" s="417">
        <v>78508</v>
      </c>
      <c r="AH228" s="417">
        <v>78507</v>
      </c>
      <c r="AI228" s="417">
        <v>24123</v>
      </c>
      <c r="AJ228" s="417">
        <v>0</v>
      </c>
      <c r="AK228" s="417">
        <v>0</v>
      </c>
      <c r="AL228" s="378">
        <v>2.5695000000000002E-3</v>
      </c>
      <c r="AM228" s="378"/>
      <c r="AN228" s="417">
        <v>-36036</v>
      </c>
      <c r="AO228" s="417">
        <v>-22470</v>
      </c>
      <c r="AP228" s="417">
        <v>0</v>
      </c>
      <c r="AQ228" s="417">
        <v>0</v>
      </c>
      <c r="AR228" s="417">
        <v>0</v>
      </c>
    </row>
    <row r="229" spans="1:44">
      <c r="A229" s="377">
        <v>92403</v>
      </c>
      <c r="B229" t="s">
        <v>939</v>
      </c>
      <c r="C229" s="378">
        <v>1.45E-5</v>
      </c>
      <c r="D229" s="378"/>
      <c r="E229" s="417">
        <v>7668</v>
      </c>
      <c r="F229" s="417">
        <v>4841</v>
      </c>
      <c r="G229" s="417">
        <v>2201</v>
      </c>
      <c r="H229" s="417">
        <v>-9722</v>
      </c>
      <c r="I229" s="417">
        <v>0</v>
      </c>
      <c r="J229" s="378">
        <v>1.45E-5</v>
      </c>
      <c r="K229" s="378"/>
      <c r="L229" s="417">
        <v>3550</v>
      </c>
      <c r="M229" s="417">
        <v>2452</v>
      </c>
      <c r="N229" s="417">
        <v>1073</v>
      </c>
      <c r="O229" s="417">
        <v>0</v>
      </c>
      <c r="P229" s="417">
        <v>0</v>
      </c>
      <c r="Q229" s="378">
        <v>1.45E-5</v>
      </c>
      <c r="R229" s="378"/>
      <c r="S229" s="417">
        <v>-7284</v>
      </c>
      <c r="T229" s="417">
        <v>-7200</v>
      </c>
      <c r="U229" s="417">
        <v>-7564</v>
      </c>
      <c r="V229" s="417">
        <v>-9722</v>
      </c>
      <c r="W229" s="417">
        <v>0</v>
      </c>
      <c r="X229" s="378">
        <v>1.45E-5</v>
      </c>
      <c r="Z229" s="417">
        <v>5809</v>
      </c>
      <c r="AA229" s="417">
        <v>4081</v>
      </c>
      <c r="AB229" s="417">
        <v>4081</v>
      </c>
      <c r="AC229" s="417">
        <v>0</v>
      </c>
      <c r="AD229" s="417">
        <v>0</v>
      </c>
      <c r="AE229" s="378">
        <v>1.45E-5</v>
      </c>
      <c r="AF229" s="378"/>
      <c r="AG229" s="417">
        <v>5593</v>
      </c>
      <c r="AH229" s="417">
        <v>5508</v>
      </c>
      <c r="AI229" s="417">
        <v>4611</v>
      </c>
      <c r="AJ229" s="417">
        <v>0</v>
      </c>
      <c r="AK229" s="417">
        <v>0</v>
      </c>
      <c r="AL229" s="378">
        <v>1.45E-5</v>
      </c>
      <c r="AM229" s="378"/>
      <c r="AN229" s="417">
        <v>0</v>
      </c>
      <c r="AO229" s="417">
        <v>0</v>
      </c>
      <c r="AP229" s="417">
        <v>0</v>
      </c>
      <c r="AQ229" s="417">
        <v>0</v>
      </c>
      <c r="AR229" s="417">
        <v>0</v>
      </c>
    </row>
    <row r="230" spans="1:44">
      <c r="A230" s="377">
        <v>92411</v>
      </c>
      <c r="B230" t="s">
        <v>940</v>
      </c>
      <c r="C230" s="378">
        <v>4.5340000000000002E-4</v>
      </c>
      <c r="D230" s="378"/>
      <c r="E230" s="417">
        <v>44100</v>
      </c>
      <c r="F230" s="417">
        <v>-30015</v>
      </c>
      <c r="G230" s="417">
        <v>-93239</v>
      </c>
      <c r="H230" s="417">
        <v>-303993</v>
      </c>
      <c r="I230" s="417">
        <v>0</v>
      </c>
      <c r="J230" s="378">
        <v>4.5340000000000002E-4</v>
      </c>
      <c r="K230" s="378"/>
      <c r="L230" s="417">
        <v>110996</v>
      </c>
      <c r="M230" s="417">
        <v>76657</v>
      </c>
      <c r="N230" s="417">
        <v>33557</v>
      </c>
      <c r="O230" s="417">
        <v>0</v>
      </c>
      <c r="P230" s="417">
        <v>0</v>
      </c>
      <c r="Q230" s="378">
        <v>4.5340000000000002E-4</v>
      </c>
      <c r="R230" s="378"/>
      <c r="S230" s="417">
        <v>-227774</v>
      </c>
      <c r="T230" s="417">
        <v>-225138</v>
      </c>
      <c r="U230" s="417">
        <v>-236517</v>
      </c>
      <c r="V230" s="417">
        <v>-303993</v>
      </c>
      <c r="W230" s="417">
        <v>0</v>
      </c>
      <c r="X230" s="378">
        <v>4.5340000000000002E-4</v>
      </c>
      <c r="Z230" s="417">
        <v>181633</v>
      </c>
      <c r="AA230" s="417">
        <v>127607</v>
      </c>
      <c r="AB230" s="417">
        <v>127606</v>
      </c>
      <c r="AC230" s="417">
        <v>0</v>
      </c>
      <c r="AD230" s="417">
        <v>0</v>
      </c>
      <c r="AE230" s="378">
        <v>4.5340000000000002E-4</v>
      </c>
      <c r="AF230" s="378"/>
      <c r="AG230" s="417">
        <v>8748</v>
      </c>
      <c r="AH230" s="417">
        <v>8746</v>
      </c>
      <c r="AI230" s="417">
        <v>0</v>
      </c>
      <c r="AJ230" s="417">
        <v>0</v>
      </c>
      <c r="AK230" s="417">
        <v>0</v>
      </c>
      <c r="AL230" s="378">
        <v>4.5340000000000002E-4</v>
      </c>
      <c r="AM230" s="378"/>
      <c r="AN230" s="417">
        <v>-29503</v>
      </c>
      <c r="AO230" s="417">
        <v>-17887</v>
      </c>
      <c r="AP230" s="417">
        <v>-17885</v>
      </c>
      <c r="AQ230" s="417">
        <v>0</v>
      </c>
      <c r="AR230" s="417">
        <v>0</v>
      </c>
    </row>
    <row r="231" spans="1:44">
      <c r="A231" s="377">
        <v>92414</v>
      </c>
      <c r="B231" t="s">
        <v>70</v>
      </c>
      <c r="C231" s="378">
        <v>0</v>
      </c>
      <c r="D231" s="378"/>
      <c r="E231" s="417">
        <v>0</v>
      </c>
      <c r="F231" s="417">
        <v>0</v>
      </c>
      <c r="G231" s="417">
        <v>0</v>
      </c>
      <c r="H231" s="417">
        <v>0</v>
      </c>
      <c r="I231" s="417">
        <v>0</v>
      </c>
      <c r="J231" s="417">
        <v>0</v>
      </c>
      <c r="K231" s="417">
        <v>0</v>
      </c>
      <c r="L231" s="417">
        <v>0</v>
      </c>
      <c r="M231" s="417">
        <v>0</v>
      </c>
      <c r="N231" s="417">
        <v>0</v>
      </c>
      <c r="O231" s="417">
        <v>0</v>
      </c>
      <c r="P231" s="417">
        <v>0</v>
      </c>
      <c r="Q231" s="417">
        <v>0</v>
      </c>
      <c r="R231" s="417">
        <v>0</v>
      </c>
      <c r="S231" s="417">
        <v>0</v>
      </c>
      <c r="T231" s="417">
        <v>0</v>
      </c>
      <c r="U231" s="417">
        <v>0</v>
      </c>
      <c r="V231" s="417">
        <v>0</v>
      </c>
      <c r="W231" s="417">
        <v>0</v>
      </c>
      <c r="X231" s="417">
        <v>0</v>
      </c>
      <c r="Y231" s="417">
        <v>0</v>
      </c>
      <c r="Z231" s="417">
        <v>0</v>
      </c>
      <c r="AA231" s="417">
        <v>0</v>
      </c>
      <c r="AB231" s="417">
        <v>0</v>
      </c>
      <c r="AC231" s="417">
        <v>0</v>
      </c>
      <c r="AD231" s="417">
        <v>0</v>
      </c>
      <c r="AE231" s="417">
        <v>0</v>
      </c>
      <c r="AF231" s="417">
        <v>0</v>
      </c>
      <c r="AG231" s="417">
        <v>0</v>
      </c>
      <c r="AH231" s="417">
        <v>0</v>
      </c>
      <c r="AI231" s="417">
        <v>0</v>
      </c>
      <c r="AJ231" s="417">
        <v>0</v>
      </c>
      <c r="AK231" s="417">
        <v>0</v>
      </c>
      <c r="AL231" s="417">
        <v>0</v>
      </c>
      <c r="AM231" s="417">
        <v>0</v>
      </c>
      <c r="AN231" s="417">
        <v>0</v>
      </c>
      <c r="AO231" s="417">
        <v>0</v>
      </c>
      <c r="AP231" s="417">
        <v>0</v>
      </c>
      <c r="AQ231" s="417">
        <v>0</v>
      </c>
      <c r="AR231" s="417">
        <v>0</v>
      </c>
    </row>
    <row r="232" spans="1:44">
      <c r="A232" s="377">
        <v>92417</v>
      </c>
      <c r="B232" t="s">
        <v>941</v>
      </c>
      <c r="C232" s="378">
        <v>7.9999999999999996E-6</v>
      </c>
      <c r="D232" s="378"/>
      <c r="E232" s="417">
        <v>-5216</v>
      </c>
      <c r="F232" s="417">
        <v>-6262</v>
      </c>
      <c r="G232" s="417">
        <v>-3603</v>
      </c>
      <c r="H232" s="417">
        <v>-5364</v>
      </c>
      <c r="I232" s="417">
        <v>0</v>
      </c>
      <c r="J232" s="378">
        <v>7.9999999999999996E-6</v>
      </c>
      <c r="K232" s="378"/>
      <c r="L232" s="417">
        <v>1958</v>
      </c>
      <c r="M232" s="417">
        <v>1353</v>
      </c>
      <c r="N232" s="417">
        <v>592</v>
      </c>
      <c r="O232" s="417">
        <v>0</v>
      </c>
      <c r="P232" s="417">
        <v>0</v>
      </c>
      <c r="Q232" s="378">
        <v>7.9999999999999996E-6</v>
      </c>
      <c r="R232" s="378"/>
      <c r="S232" s="417">
        <v>-4019</v>
      </c>
      <c r="T232" s="417">
        <v>-3972</v>
      </c>
      <c r="U232" s="417">
        <v>-4173</v>
      </c>
      <c r="V232" s="417">
        <v>-5364</v>
      </c>
      <c r="W232" s="417">
        <v>0</v>
      </c>
      <c r="X232" s="378">
        <v>7.9999999999999996E-6</v>
      </c>
      <c r="Z232" s="417">
        <v>3205</v>
      </c>
      <c r="AA232" s="417">
        <v>2252</v>
      </c>
      <c r="AB232" s="417">
        <v>2252</v>
      </c>
      <c r="AC232" s="417">
        <v>0</v>
      </c>
      <c r="AD232" s="417">
        <v>0</v>
      </c>
      <c r="AE232" s="378">
        <v>7.9999999999999996E-6</v>
      </c>
      <c r="AF232" s="378"/>
      <c r="AG232" s="417">
        <v>0</v>
      </c>
      <c r="AH232" s="417">
        <v>0</v>
      </c>
      <c r="AI232" s="417">
        <v>0</v>
      </c>
      <c r="AJ232" s="417">
        <v>0</v>
      </c>
      <c r="AK232" s="417">
        <v>0</v>
      </c>
      <c r="AL232" s="378">
        <v>7.9999999999999996E-6</v>
      </c>
      <c r="AM232" s="378"/>
      <c r="AN232" s="417">
        <v>-6360</v>
      </c>
      <c r="AO232" s="417">
        <v>-5895</v>
      </c>
      <c r="AP232" s="417">
        <v>-2274</v>
      </c>
      <c r="AQ232" s="417">
        <v>0</v>
      </c>
      <c r="AR232" s="417">
        <v>0</v>
      </c>
    </row>
    <row r="233" spans="1:44">
      <c r="A233" s="377">
        <v>92421</v>
      </c>
      <c r="B233" t="s">
        <v>942</v>
      </c>
      <c r="C233" s="378">
        <v>1.45E-5</v>
      </c>
      <c r="D233" s="378"/>
      <c r="E233" s="417">
        <v>3523</v>
      </c>
      <c r="F233" s="417">
        <v>-212</v>
      </c>
      <c r="G233" s="417">
        <v>-3960</v>
      </c>
      <c r="H233" s="417">
        <v>-9722</v>
      </c>
      <c r="I233" s="417">
        <v>0</v>
      </c>
      <c r="J233" s="378">
        <v>1.45E-5</v>
      </c>
      <c r="K233" s="378"/>
      <c r="L233" s="417">
        <v>3550</v>
      </c>
      <c r="M233" s="417">
        <v>2452</v>
      </c>
      <c r="N233" s="417">
        <v>1073</v>
      </c>
      <c r="O233" s="417">
        <v>0</v>
      </c>
      <c r="P233" s="417">
        <v>0</v>
      </c>
      <c r="Q233" s="378">
        <v>1.45E-5</v>
      </c>
      <c r="R233" s="378"/>
      <c r="S233" s="417">
        <v>-7284</v>
      </c>
      <c r="T233" s="417">
        <v>-7200</v>
      </c>
      <c r="U233" s="417">
        <v>-7564</v>
      </c>
      <c r="V233" s="417">
        <v>-9722</v>
      </c>
      <c r="W233" s="417">
        <v>0</v>
      </c>
      <c r="X233" s="378">
        <v>1.45E-5</v>
      </c>
      <c r="Z233" s="417">
        <v>5809</v>
      </c>
      <c r="AA233" s="417">
        <v>4081</v>
      </c>
      <c r="AB233" s="417">
        <v>4081</v>
      </c>
      <c r="AC233" s="417">
        <v>0</v>
      </c>
      <c r="AD233" s="417">
        <v>0</v>
      </c>
      <c r="AE233" s="378">
        <v>1.45E-5</v>
      </c>
      <c r="AF233" s="378"/>
      <c r="AG233" s="417">
        <v>3000</v>
      </c>
      <c r="AH233" s="417">
        <v>2007</v>
      </c>
      <c r="AI233" s="417">
        <v>0</v>
      </c>
      <c r="AJ233" s="417">
        <v>0</v>
      </c>
      <c r="AK233" s="417">
        <v>0</v>
      </c>
      <c r="AL233" s="378">
        <v>1.45E-5</v>
      </c>
      <c r="AM233" s="378"/>
      <c r="AN233" s="417">
        <v>-1552</v>
      </c>
      <c r="AO233" s="417">
        <v>-1552</v>
      </c>
      <c r="AP233" s="417">
        <v>-1550</v>
      </c>
      <c r="AQ233" s="417">
        <v>0</v>
      </c>
      <c r="AR233" s="417">
        <v>0</v>
      </c>
    </row>
    <row r="234" spans="1:44">
      <c r="A234" s="377">
        <v>92427</v>
      </c>
      <c r="B234" t="s">
        <v>943</v>
      </c>
      <c r="C234" s="378">
        <v>1.7E-6</v>
      </c>
      <c r="D234" s="378"/>
      <c r="E234" s="417">
        <v>1246</v>
      </c>
      <c r="F234" s="417">
        <v>495</v>
      </c>
      <c r="G234" s="417">
        <v>-11</v>
      </c>
      <c r="H234" s="417">
        <v>-1140</v>
      </c>
      <c r="I234" s="417">
        <v>0</v>
      </c>
      <c r="J234" s="378">
        <v>1.7E-6</v>
      </c>
      <c r="K234" s="378"/>
      <c r="L234" s="417">
        <v>416</v>
      </c>
      <c r="M234" s="417">
        <v>287</v>
      </c>
      <c r="N234" s="417">
        <v>126</v>
      </c>
      <c r="O234" s="417">
        <v>0</v>
      </c>
      <c r="P234" s="417">
        <v>0</v>
      </c>
      <c r="Q234" s="378">
        <v>1.7E-6</v>
      </c>
      <c r="R234" s="378"/>
      <c r="S234" s="417">
        <v>-854</v>
      </c>
      <c r="T234" s="417">
        <v>-844</v>
      </c>
      <c r="U234" s="417">
        <v>-887</v>
      </c>
      <c r="V234" s="417">
        <v>-1140</v>
      </c>
      <c r="W234" s="417">
        <v>0</v>
      </c>
      <c r="X234" s="378">
        <v>1.7E-6</v>
      </c>
      <c r="Z234" s="417">
        <v>681</v>
      </c>
      <c r="AA234" s="417">
        <v>478</v>
      </c>
      <c r="AB234" s="417">
        <v>478</v>
      </c>
      <c r="AC234" s="417">
        <v>0</v>
      </c>
      <c r="AD234" s="417">
        <v>0</v>
      </c>
      <c r="AE234" s="378">
        <v>1.7E-6</v>
      </c>
      <c r="AF234" s="378"/>
      <c r="AG234" s="417">
        <v>1003</v>
      </c>
      <c r="AH234" s="417">
        <v>574</v>
      </c>
      <c r="AI234" s="417">
        <v>272</v>
      </c>
      <c r="AJ234" s="417">
        <v>0</v>
      </c>
      <c r="AK234" s="417">
        <v>0</v>
      </c>
      <c r="AL234" s="378">
        <v>1.7E-6</v>
      </c>
      <c r="AM234" s="378"/>
      <c r="AN234" s="417">
        <v>0</v>
      </c>
      <c r="AO234" s="417">
        <v>0</v>
      </c>
      <c r="AP234" s="417">
        <v>0</v>
      </c>
      <c r="AQ234" s="417">
        <v>0</v>
      </c>
      <c r="AR234" s="417">
        <v>0</v>
      </c>
    </row>
    <row r="235" spans="1:44">
      <c r="A235" s="377">
        <v>92431</v>
      </c>
      <c r="B235" t="s">
        <v>944</v>
      </c>
      <c r="C235" s="378">
        <v>1.6500000000000001E-5</v>
      </c>
      <c r="D235" s="378"/>
      <c r="E235" s="417">
        <v>3101</v>
      </c>
      <c r="F235" s="417">
        <v>400</v>
      </c>
      <c r="G235" s="417">
        <v>-3617</v>
      </c>
      <c r="H235" s="417">
        <v>-11063</v>
      </c>
      <c r="I235" s="417">
        <v>0</v>
      </c>
      <c r="J235" s="378">
        <v>1.6500000000000001E-5</v>
      </c>
      <c r="K235" s="378"/>
      <c r="L235" s="417">
        <v>4039</v>
      </c>
      <c r="M235" s="417">
        <v>2790</v>
      </c>
      <c r="N235" s="417">
        <v>1221</v>
      </c>
      <c r="O235" s="417">
        <v>0</v>
      </c>
      <c r="P235" s="417">
        <v>0</v>
      </c>
      <c r="Q235" s="378">
        <v>1.6500000000000001E-5</v>
      </c>
      <c r="R235" s="378"/>
      <c r="S235" s="417">
        <v>-8289</v>
      </c>
      <c r="T235" s="417">
        <v>-8193</v>
      </c>
      <c r="U235" s="417">
        <v>-8607</v>
      </c>
      <c r="V235" s="417">
        <v>-11063</v>
      </c>
      <c r="W235" s="417">
        <v>0</v>
      </c>
      <c r="X235" s="378">
        <v>1.6500000000000001E-5</v>
      </c>
      <c r="Z235" s="417">
        <v>6610</v>
      </c>
      <c r="AA235" s="417">
        <v>4644</v>
      </c>
      <c r="AB235" s="417">
        <v>4644</v>
      </c>
      <c r="AC235" s="417">
        <v>0</v>
      </c>
      <c r="AD235" s="417">
        <v>0</v>
      </c>
      <c r="AE235" s="378">
        <v>1.6500000000000001E-5</v>
      </c>
      <c r="AF235" s="378"/>
      <c r="AG235" s="417">
        <v>2036</v>
      </c>
      <c r="AH235" s="417">
        <v>2035</v>
      </c>
      <c r="AI235" s="417">
        <v>0</v>
      </c>
      <c r="AJ235" s="417">
        <v>0</v>
      </c>
      <c r="AK235" s="417">
        <v>0</v>
      </c>
      <c r="AL235" s="378">
        <v>1.6500000000000001E-5</v>
      </c>
      <c r="AM235" s="378"/>
      <c r="AN235" s="417">
        <v>-1295</v>
      </c>
      <c r="AO235" s="417">
        <v>-876</v>
      </c>
      <c r="AP235" s="417">
        <v>-875</v>
      </c>
      <c r="AQ235" s="417">
        <v>0</v>
      </c>
      <c r="AR235" s="417">
        <v>0</v>
      </c>
    </row>
    <row r="236" spans="1:44">
      <c r="A236" s="377">
        <v>92441</v>
      </c>
      <c r="B236" t="s">
        <v>945</v>
      </c>
      <c r="C236" s="378">
        <v>1.004E-4</v>
      </c>
      <c r="D236" s="378"/>
      <c r="E236" s="417">
        <v>17642</v>
      </c>
      <c r="F236" s="417">
        <v>-5176</v>
      </c>
      <c r="G236" s="417">
        <v>-20926</v>
      </c>
      <c r="H236" s="417">
        <v>-67316</v>
      </c>
      <c r="I236" s="417">
        <v>0</v>
      </c>
      <c r="J236" s="378">
        <v>1.004E-4</v>
      </c>
      <c r="K236" s="378"/>
      <c r="L236" s="417">
        <v>24579</v>
      </c>
      <c r="M236" s="417">
        <v>16975</v>
      </c>
      <c r="N236" s="417">
        <v>7431</v>
      </c>
      <c r="O236" s="417">
        <v>0</v>
      </c>
      <c r="P236" s="417">
        <v>0</v>
      </c>
      <c r="Q236" s="378">
        <v>1.004E-4</v>
      </c>
      <c r="R236" s="378"/>
      <c r="S236" s="417">
        <v>-50438</v>
      </c>
      <c r="T236" s="417">
        <v>-49854</v>
      </c>
      <c r="U236" s="417">
        <v>-52374</v>
      </c>
      <c r="V236" s="417">
        <v>-67316</v>
      </c>
      <c r="W236" s="417">
        <v>0</v>
      </c>
      <c r="X236" s="378">
        <v>1.004E-4</v>
      </c>
      <c r="Z236" s="417">
        <v>40220</v>
      </c>
      <c r="AA236" s="417">
        <v>28257</v>
      </c>
      <c r="AB236" s="417">
        <v>28257</v>
      </c>
      <c r="AC236" s="417">
        <v>0</v>
      </c>
      <c r="AD236" s="417">
        <v>0</v>
      </c>
      <c r="AE236" s="378">
        <v>1.004E-4</v>
      </c>
      <c r="AF236" s="378"/>
      <c r="AG236" s="417">
        <v>10724</v>
      </c>
      <c r="AH236" s="417">
        <v>6889</v>
      </c>
      <c r="AI236" s="417">
        <v>0</v>
      </c>
      <c r="AJ236" s="417">
        <v>0</v>
      </c>
      <c r="AK236" s="417">
        <v>0</v>
      </c>
      <c r="AL236" s="378">
        <v>1.004E-4</v>
      </c>
      <c r="AM236" s="378"/>
      <c r="AN236" s="417">
        <v>-7443</v>
      </c>
      <c r="AO236" s="417">
        <v>-7443</v>
      </c>
      <c r="AP236" s="417">
        <v>-4240</v>
      </c>
      <c r="AQ236" s="417">
        <v>0</v>
      </c>
      <c r="AR236" s="417">
        <v>0</v>
      </c>
    </row>
    <row r="237" spans="1:44">
      <c r="A237" s="377">
        <v>92444</v>
      </c>
      <c r="B237" t="s">
        <v>946</v>
      </c>
      <c r="C237" s="378">
        <v>9.2E-6</v>
      </c>
      <c r="D237" s="378"/>
      <c r="E237" s="417">
        <v>5710</v>
      </c>
      <c r="F237" s="417">
        <v>3518</v>
      </c>
      <c r="G237" s="417">
        <v>814</v>
      </c>
      <c r="H237" s="417">
        <v>-6168</v>
      </c>
      <c r="I237" s="417">
        <v>0</v>
      </c>
      <c r="J237" s="378">
        <v>9.2E-6</v>
      </c>
      <c r="K237" s="378"/>
      <c r="L237" s="417">
        <v>2252</v>
      </c>
      <c r="M237" s="417">
        <v>1555</v>
      </c>
      <c r="N237" s="417">
        <v>681</v>
      </c>
      <c r="O237" s="417">
        <v>0</v>
      </c>
      <c r="P237" s="417">
        <v>0</v>
      </c>
      <c r="Q237" s="378">
        <v>9.2E-6</v>
      </c>
      <c r="R237" s="378"/>
      <c r="S237" s="417">
        <v>-4622</v>
      </c>
      <c r="T237" s="417">
        <v>-4568</v>
      </c>
      <c r="U237" s="417">
        <v>-4799</v>
      </c>
      <c r="V237" s="417">
        <v>-6168</v>
      </c>
      <c r="W237" s="417">
        <v>0</v>
      </c>
      <c r="X237" s="378">
        <v>9.2E-6</v>
      </c>
      <c r="Z237" s="417">
        <v>3686</v>
      </c>
      <c r="AA237" s="417">
        <v>2589</v>
      </c>
      <c r="AB237" s="417">
        <v>2589</v>
      </c>
      <c r="AC237" s="417">
        <v>0</v>
      </c>
      <c r="AD237" s="417">
        <v>0</v>
      </c>
      <c r="AE237" s="378">
        <v>9.2E-6</v>
      </c>
      <c r="AF237" s="378"/>
      <c r="AG237" s="417">
        <v>4394</v>
      </c>
      <c r="AH237" s="417">
        <v>3942</v>
      </c>
      <c r="AI237" s="417">
        <v>2343</v>
      </c>
      <c r="AJ237" s="417">
        <v>0</v>
      </c>
      <c r="AK237" s="417">
        <v>0</v>
      </c>
      <c r="AL237" s="378">
        <v>9.2E-6</v>
      </c>
      <c r="AM237" s="378"/>
      <c r="AN237" s="417">
        <v>0</v>
      </c>
      <c r="AO237" s="417">
        <v>0</v>
      </c>
      <c r="AP237" s="417">
        <v>0</v>
      </c>
      <c r="AQ237" s="417">
        <v>0</v>
      </c>
      <c r="AR237" s="417">
        <v>0</v>
      </c>
    </row>
    <row r="238" spans="1:44">
      <c r="A238" s="377">
        <v>92451</v>
      </c>
      <c r="B238" t="s">
        <v>947</v>
      </c>
      <c r="C238" s="378">
        <v>1.044E-4</v>
      </c>
      <c r="D238" s="378"/>
      <c r="E238" s="417">
        <v>30675</v>
      </c>
      <c r="F238" s="417">
        <v>8094</v>
      </c>
      <c r="G238" s="417">
        <v>-9935</v>
      </c>
      <c r="H238" s="417">
        <v>-69997</v>
      </c>
      <c r="I238" s="417">
        <v>0</v>
      </c>
      <c r="J238" s="378">
        <v>1.044E-4</v>
      </c>
      <c r="K238" s="378"/>
      <c r="L238" s="417">
        <v>25558</v>
      </c>
      <c r="M238" s="417">
        <v>17651</v>
      </c>
      <c r="N238" s="417">
        <v>7727</v>
      </c>
      <c r="O238" s="417">
        <v>0</v>
      </c>
      <c r="P238" s="417">
        <v>0</v>
      </c>
      <c r="Q238" s="378">
        <v>1.044E-4</v>
      </c>
      <c r="R238" s="378"/>
      <c r="S238" s="417">
        <v>-52447</v>
      </c>
      <c r="T238" s="417">
        <v>-51840</v>
      </c>
      <c r="U238" s="417">
        <v>-54460</v>
      </c>
      <c r="V238" s="417">
        <v>-69997</v>
      </c>
      <c r="W238" s="417">
        <v>0</v>
      </c>
      <c r="X238" s="378">
        <v>1.044E-4</v>
      </c>
      <c r="Z238" s="417">
        <v>41823</v>
      </c>
      <c r="AA238" s="417">
        <v>29383</v>
      </c>
      <c r="AB238" s="417">
        <v>29383</v>
      </c>
      <c r="AC238" s="417">
        <v>0</v>
      </c>
      <c r="AD238" s="417">
        <v>0</v>
      </c>
      <c r="AE238" s="378">
        <v>1.044E-4</v>
      </c>
      <c r="AF238" s="378"/>
      <c r="AG238" s="417">
        <v>15741</v>
      </c>
      <c r="AH238" s="417">
        <v>12900</v>
      </c>
      <c r="AI238" s="417">
        <v>7415</v>
      </c>
      <c r="AJ238" s="417">
        <v>0</v>
      </c>
      <c r="AK238" s="417">
        <v>0</v>
      </c>
      <c r="AL238" s="378">
        <v>1.044E-4</v>
      </c>
      <c r="AM238" s="378"/>
      <c r="AN238" s="417">
        <v>0</v>
      </c>
      <c r="AO238" s="417">
        <v>0</v>
      </c>
      <c r="AP238" s="417">
        <v>0</v>
      </c>
      <c r="AQ238" s="417">
        <v>0</v>
      </c>
      <c r="AR238" s="417">
        <v>0</v>
      </c>
    </row>
    <row r="239" spans="1:44">
      <c r="A239" s="377">
        <v>92461</v>
      </c>
      <c r="B239" t="s">
        <v>948</v>
      </c>
      <c r="C239" s="378">
        <v>8.1699999999999994E-5</v>
      </c>
      <c r="D239" s="378"/>
      <c r="E239" s="417">
        <v>32327</v>
      </c>
      <c r="F239" s="417">
        <v>15511</v>
      </c>
      <c r="G239" s="417">
        <v>3562</v>
      </c>
      <c r="H239" s="417">
        <v>-54778</v>
      </c>
      <c r="I239" s="417">
        <v>0</v>
      </c>
      <c r="J239" s="378">
        <v>8.1699999999999994E-5</v>
      </c>
      <c r="K239" s="378"/>
      <c r="L239" s="417">
        <v>20001</v>
      </c>
      <c r="M239" s="417">
        <v>13813</v>
      </c>
      <c r="N239" s="417">
        <v>6047</v>
      </c>
      <c r="O239" s="417">
        <v>0</v>
      </c>
      <c r="P239" s="417">
        <v>0</v>
      </c>
      <c r="Q239" s="378">
        <v>8.1699999999999994E-5</v>
      </c>
      <c r="R239" s="378"/>
      <c r="S239" s="417">
        <v>-41043</v>
      </c>
      <c r="T239" s="417">
        <v>-40569</v>
      </c>
      <c r="U239" s="417">
        <v>-42619</v>
      </c>
      <c r="V239" s="417">
        <v>-54778</v>
      </c>
      <c r="W239" s="417">
        <v>0</v>
      </c>
      <c r="X239" s="378">
        <v>8.1699999999999994E-5</v>
      </c>
      <c r="Z239" s="417">
        <v>32729</v>
      </c>
      <c r="AA239" s="417">
        <v>22994</v>
      </c>
      <c r="AB239" s="417">
        <v>22994</v>
      </c>
      <c r="AC239" s="417">
        <v>0</v>
      </c>
      <c r="AD239" s="417">
        <v>0</v>
      </c>
      <c r="AE239" s="378">
        <v>8.1699999999999994E-5</v>
      </c>
      <c r="AF239" s="378"/>
      <c r="AG239" s="417">
        <v>20640</v>
      </c>
      <c r="AH239" s="417">
        <v>19273</v>
      </c>
      <c r="AI239" s="417">
        <v>17140</v>
      </c>
      <c r="AJ239" s="417">
        <v>0</v>
      </c>
      <c r="AK239" s="417">
        <v>0</v>
      </c>
      <c r="AL239" s="378">
        <v>8.1699999999999994E-5</v>
      </c>
      <c r="AM239" s="378"/>
      <c r="AN239" s="417">
        <v>0</v>
      </c>
      <c r="AO239" s="417">
        <v>0</v>
      </c>
      <c r="AP239" s="417">
        <v>0</v>
      </c>
      <c r="AQ239" s="417">
        <v>0</v>
      </c>
      <c r="AR239" s="417">
        <v>0</v>
      </c>
    </row>
    <row r="240" spans="1:44">
      <c r="A240" s="377">
        <v>92501</v>
      </c>
      <c r="B240" t="s">
        <v>949</v>
      </c>
      <c r="C240" s="378">
        <v>3.9338999999999997E-3</v>
      </c>
      <c r="D240" s="378"/>
      <c r="E240" s="417">
        <v>769011</v>
      </c>
      <c r="F240" s="417">
        <v>2819</v>
      </c>
      <c r="G240" s="417">
        <v>-673647</v>
      </c>
      <c r="H240" s="417">
        <v>-2637578</v>
      </c>
      <c r="I240" s="417">
        <v>0</v>
      </c>
      <c r="J240" s="378">
        <v>3.9338999999999997E-3</v>
      </c>
      <c r="K240" s="378"/>
      <c r="L240" s="417">
        <v>963050</v>
      </c>
      <c r="M240" s="417">
        <v>665112</v>
      </c>
      <c r="N240" s="417">
        <v>291156</v>
      </c>
      <c r="O240" s="417">
        <v>0</v>
      </c>
      <c r="P240" s="417">
        <v>0</v>
      </c>
      <c r="Q240" s="378">
        <v>3.9338999999999997E-3</v>
      </c>
      <c r="R240" s="378"/>
      <c r="S240" s="417">
        <v>-1976265</v>
      </c>
      <c r="T240" s="417">
        <v>-1953398</v>
      </c>
      <c r="U240" s="417">
        <v>-2052123</v>
      </c>
      <c r="V240" s="417">
        <v>-2637578</v>
      </c>
      <c r="W240" s="417">
        <v>0</v>
      </c>
      <c r="X240" s="378">
        <v>3.9338999999999997E-3</v>
      </c>
      <c r="Z240" s="417">
        <v>1575928</v>
      </c>
      <c r="AA240" s="417">
        <v>1107176</v>
      </c>
      <c r="AB240" s="417">
        <v>1107169</v>
      </c>
      <c r="AC240" s="417">
        <v>0</v>
      </c>
      <c r="AD240" s="417">
        <v>0</v>
      </c>
      <c r="AE240" s="378">
        <v>3.9338999999999997E-3</v>
      </c>
      <c r="AF240" s="378"/>
      <c r="AG240" s="417">
        <v>226146</v>
      </c>
      <c r="AH240" s="417">
        <v>203777</v>
      </c>
      <c r="AI240" s="417">
        <v>0</v>
      </c>
      <c r="AJ240" s="417">
        <v>0</v>
      </c>
      <c r="AK240" s="417">
        <v>0</v>
      </c>
      <c r="AL240" s="378">
        <v>3.9338999999999997E-3</v>
      </c>
      <c r="AM240" s="378"/>
      <c r="AN240" s="417">
        <v>-19848</v>
      </c>
      <c r="AO240" s="417">
        <v>-19848</v>
      </c>
      <c r="AP240" s="417">
        <v>-19849</v>
      </c>
      <c r="AQ240" s="417">
        <v>0</v>
      </c>
      <c r="AR240" s="417">
        <v>0</v>
      </c>
    </row>
    <row r="241" spans="1:48">
      <c r="A241" s="377">
        <v>92502</v>
      </c>
      <c r="B241" t="s">
        <v>950</v>
      </c>
      <c r="C241" s="378">
        <v>2.1100000000000001E-5</v>
      </c>
      <c r="D241" s="378"/>
      <c r="E241" s="417">
        <v>5583</v>
      </c>
      <c r="F241" s="417">
        <v>1385</v>
      </c>
      <c r="G241" s="417">
        <v>-1638</v>
      </c>
      <c r="H241" s="417">
        <v>-14147</v>
      </c>
      <c r="I241" s="417">
        <v>0</v>
      </c>
      <c r="J241" s="378">
        <v>2.1100000000000001E-5</v>
      </c>
      <c r="K241" s="378"/>
      <c r="L241" s="417">
        <v>5165</v>
      </c>
      <c r="M241" s="417">
        <v>3567</v>
      </c>
      <c r="N241" s="417">
        <v>1562</v>
      </c>
      <c r="O241" s="417">
        <v>0</v>
      </c>
      <c r="P241" s="417">
        <v>0</v>
      </c>
      <c r="Q241" s="378">
        <v>2.1100000000000001E-5</v>
      </c>
      <c r="R241" s="378"/>
      <c r="S241" s="417">
        <v>-10600</v>
      </c>
      <c r="T241" s="417">
        <v>-10477</v>
      </c>
      <c r="U241" s="417">
        <v>-11007</v>
      </c>
      <c r="V241" s="417">
        <v>-14147</v>
      </c>
      <c r="W241" s="417">
        <v>0</v>
      </c>
      <c r="X241" s="378">
        <v>2.1100000000000001E-5</v>
      </c>
      <c r="Z241" s="417">
        <v>8453</v>
      </c>
      <c r="AA241" s="417">
        <v>5938</v>
      </c>
      <c r="AB241" s="417">
        <v>5938</v>
      </c>
      <c r="AC241" s="417">
        <v>0</v>
      </c>
      <c r="AD241" s="417">
        <v>0</v>
      </c>
      <c r="AE241" s="378">
        <v>2.1100000000000001E-5</v>
      </c>
      <c r="AF241" s="378"/>
      <c r="AG241" s="417">
        <v>2565</v>
      </c>
      <c r="AH241" s="417">
        <v>2357</v>
      </c>
      <c r="AI241" s="417">
        <v>1869</v>
      </c>
      <c r="AJ241" s="417">
        <v>0</v>
      </c>
      <c r="AK241" s="417">
        <v>0</v>
      </c>
      <c r="AL241" s="378">
        <v>2.1100000000000001E-5</v>
      </c>
      <c r="AM241" s="378"/>
      <c r="AN241" s="417">
        <v>0</v>
      </c>
      <c r="AO241" s="417">
        <v>0</v>
      </c>
      <c r="AP241" s="417">
        <v>0</v>
      </c>
      <c r="AQ241" s="417">
        <v>0</v>
      </c>
      <c r="AR241" s="417">
        <v>0</v>
      </c>
    </row>
    <row r="242" spans="1:48">
      <c r="A242" s="377">
        <v>92504</v>
      </c>
      <c r="B242" t="s">
        <v>951</v>
      </c>
      <c r="C242" s="378">
        <v>9.1100000000000005E-5</v>
      </c>
      <c r="D242" s="378"/>
      <c r="E242" s="417">
        <v>29177</v>
      </c>
      <c r="F242" s="417">
        <v>10532</v>
      </c>
      <c r="G242" s="417">
        <v>-11840</v>
      </c>
      <c r="H242" s="417">
        <v>-61080</v>
      </c>
      <c r="I242" s="417">
        <v>0</v>
      </c>
      <c r="J242" s="378">
        <v>9.1100000000000005E-5</v>
      </c>
      <c r="K242" s="378"/>
      <c r="L242" s="417">
        <v>22302</v>
      </c>
      <c r="M242" s="417">
        <v>15402</v>
      </c>
      <c r="N242" s="417">
        <v>6742</v>
      </c>
      <c r="O242" s="417">
        <v>0</v>
      </c>
      <c r="P242" s="417">
        <v>0</v>
      </c>
      <c r="Q242" s="378">
        <v>9.1100000000000005E-5</v>
      </c>
      <c r="R242" s="378"/>
      <c r="S242" s="417">
        <v>-45766</v>
      </c>
      <c r="T242" s="417">
        <v>-45236</v>
      </c>
      <c r="U242" s="417">
        <v>-47522</v>
      </c>
      <c r="V242" s="417">
        <v>-61080</v>
      </c>
      <c r="W242" s="417">
        <v>0</v>
      </c>
      <c r="X242" s="378">
        <v>9.1100000000000005E-5</v>
      </c>
      <c r="Z242" s="417">
        <v>36495</v>
      </c>
      <c r="AA242" s="417">
        <v>25640</v>
      </c>
      <c r="AB242" s="417">
        <v>25639</v>
      </c>
      <c r="AC242" s="417">
        <v>0</v>
      </c>
      <c r="AD242" s="417">
        <v>0</v>
      </c>
      <c r="AE242" s="378">
        <v>9.1100000000000005E-5</v>
      </c>
      <c r="AF242" s="378"/>
      <c r="AG242" s="417">
        <v>16146</v>
      </c>
      <c r="AH242" s="417">
        <v>14726</v>
      </c>
      <c r="AI242" s="417">
        <v>3301</v>
      </c>
      <c r="AJ242" s="417">
        <v>0</v>
      </c>
      <c r="AK242" s="417">
        <v>0</v>
      </c>
      <c r="AL242" s="378">
        <v>9.1100000000000005E-5</v>
      </c>
      <c r="AM242" s="378"/>
      <c r="AN242" s="417">
        <v>0</v>
      </c>
      <c r="AO242" s="417">
        <v>0</v>
      </c>
      <c r="AP242" s="417">
        <v>0</v>
      </c>
      <c r="AQ242" s="417">
        <v>0</v>
      </c>
      <c r="AR242" s="417">
        <v>0</v>
      </c>
    </row>
    <row r="243" spans="1:48">
      <c r="A243" s="377">
        <v>92505</v>
      </c>
      <c r="B243" t="s">
        <v>952</v>
      </c>
      <c r="C243" s="378">
        <v>9.9099999999999996E-5</v>
      </c>
      <c r="D243" s="378"/>
      <c r="E243" s="417">
        <v>2477</v>
      </c>
      <c r="F243" s="417">
        <v>-22264</v>
      </c>
      <c r="G243" s="417">
        <v>-53289</v>
      </c>
      <c r="H243" s="417">
        <v>-66444</v>
      </c>
      <c r="I243" s="417">
        <v>0</v>
      </c>
      <c r="J243" s="378">
        <v>9.9099999999999996E-5</v>
      </c>
      <c r="K243" s="378"/>
      <c r="L243" s="417">
        <v>24260</v>
      </c>
      <c r="M243" s="417">
        <v>16755</v>
      </c>
      <c r="N243" s="417">
        <v>7335</v>
      </c>
      <c r="O243" s="417">
        <v>0</v>
      </c>
      <c r="P243" s="417">
        <v>0</v>
      </c>
      <c r="Q243" s="378">
        <v>9.9099999999999996E-5</v>
      </c>
      <c r="R243" s="378"/>
      <c r="S243" s="417">
        <v>-49785</v>
      </c>
      <c r="T243" s="417">
        <v>-49209</v>
      </c>
      <c r="U243" s="417">
        <v>-51696</v>
      </c>
      <c r="V243" s="417">
        <v>-66444</v>
      </c>
      <c r="W243" s="417">
        <v>0</v>
      </c>
      <c r="X243" s="378">
        <v>9.9099999999999996E-5</v>
      </c>
      <c r="Z243" s="417">
        <v>39700</v>
      </c>
      <c r="AA243" s="417">
        <v>27891</v>
      </c>
      <c r="AB243" s="417">
        <v>27891</v>
      </c>
      <c r="AC243" s="417">
        <v>0</v>
      </c>
      <c r="AD243" s="417">
        <v>0</v>
      </c>
      <c r="AE243" s="378">
        <v>9.9099999999999996E-5</v>
      </c>
      <c r="AF243" s="378"/>
      <c r="AG243" s="417">
        <v>25121</v>
      </c>
      <c r="AH243" s="417">
        <v>19118</v>
      </c>
      <c r="AI243" s="417">
        <v>0</v>
      </c>
      <c r="AJ243" s="417">
        <v>0</v>
      </c>
      <c r="AK243" s="417">
        <v>0</v>
      </c>
      <c r="AL243" s="378">
        <v>9.9099999999999996E-5</v>
      </c>
      <c r="AM243" s="378"/>
      <c r="AN243" s="417">
        <v>-36819</v>
      </c>
      <c r="AO243" s="417">
        <v>-36819</v>
      </c>
      <c r="AP243" s="417">
        <v>-36819</v>
      </c>
      <c r="AQ243" s="417">
        <v>0</v>
      </c>
      <c r="AR243" s="417">
        <v>0</v>
      </c>
    </row>
    <row r="244" spans="1:48">
      <c r="A244" s="377">
        <v>92506</v>
      </c>
      <c r="B244" t="s">
        <v>953</v>
      </c>
      <c r="C244" s="378">
        <v>6.4999999999999994E-5</v>
      </c>
      <c r="D244" s="378"/>
      <c r="E244" s="417">
        <v>23434</v>
      </c>
      <c r="F244" s="417">
        <v>7818</v>
      </c>
      <c r="G244" s="417">
        <v>-5173</v>
      </c>
      <c r="H244" s="417">
        <v>-43581</v>
      </c>
      <c r="I244" s="417">
        <v>0</v>
      </c>
      <c r="J244" s="378">
        <v>6.4999999999999994E-5</v>
      </c>
      <c r="K244" s="378"/>
      <c r="L244" s="417">
        <v>15913</v>
      </c>
      <c r="M244" s="417">
        <v>10990</v>
      </c>
      <c r="N244" s="417">
        <v>4811</v>
      </c>
      <c r="O244" s="417">
        <v>0</v>
      </c>
      <c r="P244" s="417">
        <v>0</v>
      </c>
      <c r="Q244" s="378">
        <v>6.4999999999999994E-5</v>
      </c>
      <c r="R244" s="378"/>
      <c r="S244" s="417">
        <v>-32654</v>
      </c>
      <c r="T244" s="417">
        <v>-32276</v>
      </c>
      <c r="U244" s="417">
        <v>-33907</v>
      </c>
      <c r="V244" s="417">
        <v>-43581</v>
      </c>
      <c r="W244" s="417">
        <v>0</v>
      </c>
      <c r="X244" s="378">
        <v>6.4999999999999994E-5</v>
      </c>
      <c r="Z244" s="417">
        <v>26039</v>
      </c>
      <c r="AA244" s="417">
        <v>18294</v>
      </c>
      <c r="AB244" s="417">
        <v>18294</v>
      </c>
      <c r="AC244" s="417">
        <v>0</v>
      </c>
      <c r="AD244" s="417">
        <v>0</v>
      </c>
      <c r="AE244" s="378">
        <v>6.4999999999999994E-5</v>
      </c>
      <c r="AF244" s="378"/>
      <c r="AG244" s="417">
        <v>14469</v>
      </c>
      <c r="AH244" s="417">
        <v>11144</v>
      </c>
      <c r="AI244" s="417">
        <v>5629</v>
      </c>
      <c r="AJ244" s="417">
        <v>0</v>
      </c>
      <c r="AK244" s="417">
        <v>0</v>
      </c>
      <c r="AL244" s="378">
        <v>6.4999999999999994E-5</v>
      </c>
      <c r="AM244" s="378"/>
      <c r="AN244" s="417">
        <v>-333</v>
      </c>
      <c r="AO244" s="417">
        <v>-334</v>
      </c>
      <c r="AP244" s="417">
        <v>0</v>
      </c>
      <c r="AQ244" s="417">
        <v>0</v>
      </c>
      <c r="AR244" s="417">
        <v>0</v>
      </c>
    </row>
    <row r="245" spans="1:48">
      <c r="A245" s="377">
        <v>92507</v>
      </c>
      <c r="B245" t="s">
        <v>954</v>
      </c>
      <c r="C245" s="378">
        <v>1.033E-4</v>
      </c>
      <c r="D245" s="378"/>
      <c r="E245" s="417">
        <v>15599</v>
      </c>
      <c r="F245" s="417">
        <v>-2065</v>
      </c>
      <c r="G245" s="417">
        <v>-11394</v>
      </c>
      <c r="H245" s="417">
        <v>-69260</v>
      </c>
      <c r="I245" s="417">
        <v>0</v>
      </c>
      <c r="J245" s="378">
        <v>1.033E-4</v>
      </c>
      <c r="K245" s="378"/>
      <c r="L245" s="417">
        <v>25289</v>
      </c>
      <c r="M245" s="417">
        <v>17465</v>
      </c>
      <c r="N245" s="417">
        <v>7645</v>
      </c>
      <c r="O245" s="417">
        <v>0</v>
      </c>
      <c r="P245" s="417">
        <v>0</v>
      </c>
      <c r="Q245" s="378">
        <v>1.033E-4</v>
      </c>
      <c r="R245" s="378"/>
      <c r="S245" s="417">
        <v>-51895</v>
      </c>
      <c r="T245" s="417">
        <v>-51294</v>
      </c>
      <c r="U245" s="417">
        <v>-53887</v>
      </c>
      <c r="V245" s="417">
        <v>-69260</v>
      </c>
      <c r="W245" s="417">
        <v>0</v>
      </c>
      <c r="X245" s="378">
        <v>1.033E-4</v>
      </c>
      <c r="Z245" s="417">
        <v>41382</v>
      </c>
      <c r="AA245" s="417">
        <v>29073</v>
      </c>
      <c r="AB245" s="417">
        <v>29073</v>
      </c>
      <c r="AC245" s="417">
        <v>0</v>
      </c>
      <c r="AD245" s="417">
        <v>0</v>
      </c>
      <c r="AE245" s="378">
        <v>1.033E-4</v>
      </c>
      <c r="AF245" s="378"/>
      <c r="AG245" s="417">
        <v>6233</v>
      </c>
      <c r="AH245" s="417">
        <v>6233</v>
      </c>
      <c r="AI245" s="417">
        <v>5775</v>
      </c>
      <c r="AJ245" s="417">
        <v>0</v>
      </c>
      <c r="AK245" s="417">
        <v>0</v>
      </c>
      <c r="AL245" s="378">
        <v>1.033E-4</v>
      </c>
      <c r="AM245" s="378"/>
      <c r="AN245" s="417">
        <v>-5410</v>
      </c>
      <c r="AO245" s="417">
        <v>-3542</v>
      </c>
      <c r="AP245" s="417">
        <v>0</v>
      </c>
      <c r="AQ245" s="417">
        <v>0</v>
      </c>
      <c r="AR245" s="417">
        <v>0</v>
      </c>
    </row>
    <row r="246" spans="1:48">
      <c r="A246" s="377">
        <v>92509</v>
      </c>
      <c r="B246" t="s">
        <v>1614</v>
      </c>
      <c r="C246" s="378">
        <v>0</v>
      </c>
      <c r="D246" s="378"/>
      <c r="E246" s="417">
        <v>0</v>
      </c>
      <c r="F246" s="417">
        <v>0</v>
      </c>
      <c r="G246" s="417">
        <v>0</v>
      </c>
      <c r="H246" s="417">
        <v>0</v>
      </c>
      <c r="I246" s="417">
        <v>0</v>
      </c>
      <c r="J246" s="378"/>
      <c r="K246" s="378">
        <v>0</v>
      </c>
      <c r="L246" s="417">
        <v>0</v>
      </c>
      <c r="M246" s="417">
        <v>0</v>
      </c>
      <c r="N246" s="417">
        <v>0</v>
      </c>
      <c r="O246" s="417">
        <v>0</v>
      </c>
      <c r="P246" s="417">
        <v>0</v>
      </c>
      <c r="Q246" s="378"/>
      <c r="R246" s="378">
        <v>0</v>
      </c>
      <c r="S246" s="417">
        <v>0</v>
      </c>
      <c r="T246" s="417">
        <v>0</v>
      </c>
      <c r="U246" s="417">
        <v>0</v>
      </c>
      <c r="V246" s="417">
        <v>0</v>
      </c>
      <c r="W246" s="417">
        <v>0</v>
      </c>
      <c r="X246" s="378"/>
      <c r="Y246" s="417">
        <v>0</v>
      </c>
      <c r="Z246" s="417">
        <v>0</v>
      </c>
      <c r="AA246" s="417">
        <v>0</v>
      </c>
      <c r="AB246" s="417">
        <v>0</v>
      </c>
      <c r="AC246" s="417">
        <v>0</v>
      </c>
      <c r="AD246" s="417">
        <v>0</v>
      </c>
      <c r="AE246" s="378"/>
      <c r="AF246" s="378">
        <v>0</v>
      </c>
      <c r="AG246" s="417">
        <v>0</v>
      </c>
      <c r="AH246" s="417">
        <v>0</v>
      </c>
      <c r="AI246" s="417">
        <v>0</v>
      </c>
      <c r="AJ246" s="417">
        <v>0</v>
      </c>
      <c r="AK246" s="417">
        <v>0</v>
      </c>
      <c r="AL246" s="378"/>
      <c r="AM246" s="378">
        <v>0</v>
      </c>
      <c r="AN246" s="417">
        <v>0</v>
      </c>
      <c r="AO246" s="417">
        <v>0</v>
      </c>
      <c r="AP246" s="417">
        <v>0</v>
      </c>
      <c r="AQ246" s="417">
        <v>0</v>
      </c>
      <c r="AR246" s="417">
        <v>0</v>
      </c>
      <c r="AS246" s="417"/>
      <c r="AT246" s="417"/>
      <c r="AU246" s="417"/>
      <c r="AV246" s="417"/>
    </row>
    <row r="247" spans="1:48">
      <c r="A247" s="377">
        <v>92508</v>
      </c>
      <c r="B247" t="s">
        <v>955</v>
      </c>
      <c r="C247" s="378">
        <v>2.809E-4</v>
      </c>
      <c r="D247" s="378"/>
      <c r="E247" s="417">
        <v>49980</v>
      </c>
      <c r="F247" s="417">
        <v>-4561</v>
      </c>
      <c r="G247" s="417">
        <v>-51593</v>
      </c>
      <c r="H247" s="417">
        <v>-188336</v>
      </c>
      <c r="I247" s="417">
        <v>0</v>
      </c>
      <c r="J247" s="378">
        <v>2.809E-4</v>
      </c>
      <c r="K247" s="378"/>
      <c r="L247" s="417">
        <v>68767</v>
      </c>
      <c r="M247" s="417">
        <v>47492</v>
      </c>
      <c r="N247" s="417">
        <v>20790</v>
      </c>
      <c r="O247" s="417">
        <v>0</v>
      </c>
      <c r="P247" s="417">
        <v>0</v>
      </c>
      <c r="Q247" s="378">
        <v>2.809E-4</v>
      </c>
      <c r="R247" s="378"/>
      <c r="S247" s="417">
        <v>-141115</v>
      </c>
      <c r="T247" s="417">
        <v>-139482</v>
      </c>
      <c r="U247" s="417">
        <v>-146532</v>
      </c>
      <c r="V247" s="417">
        <v>-188336</v>
      </c>
      <c r="W247" s="417">
        <v>0</v>
      </c>
      <c r="X247" s="378">
        <v>2.809E-4</v>
      </c>
      <c r="Z247" s="417">
        <v>112529</v>
      </c>
      <c r="AA247" s="417">
        <v>79058</v>
      </c>
      <c r="AB247" s="417">
        <v>79057</v>
      </c>
      <c r="AC247" s="417">
        <v>0</v>
      </c>
      <c r="AD247" s="417">
        <v>0</v>
      </c>
      <c r="AE247" s="378">
        <v>2.809E-4</v>
      </c>
      <c r="AF247" s="378"/>
      <c r="AG247" s="417">
        <v>14708</v>
      </c>
      <c r="AH247" s="417">
        <v>13280</v>
      </c>
      <c r="AI247" s="417">
        <v>0</v>
      </c>
      <c r="AJ247" s="417">
        <v>0</v>
      </c>
      <c r="AK247" s="417">
        <v>0</v>
      </c>
      <c r="AL247" s="378">
        <v>2.809E-4</v>
      </c>
      <c r="AM247" s="378"/>
      <c r="AN247" s="417">
        <v>-4909</v>
      </c>
      <c r="AO247" s="417">
        <v>-4909</v>
      </c>
      <c r="AP247" s="417">
        <v>-4908</v>
      </c>
      <c r="AQ247" s="417">
        <v>0</v>
      </c>
      <c r="AR247" s="417">
        <v>0</v>
      </c>
    </row>
    <row r="248" spans="1:48">
      <c r="A248" s="377">
        <v>92511</v>
      </c>
      <c r="B248" t="s">
        <v>956</v>
      </c>
      <c r="C248" s="378">
        <v>3.346E-3</v>
      </c>
      <c r="D248" s="378"/>
      <c r="E248" s="417">
        <v>409487</v>
      </c>
      <c r="F248" s="417">
        <v>-226121</v>
      </c>
      <c r="G248" s="417">
        <v>-569356</v>
      </c>
      <c r="H248" s="417">
        <v>-2243406</v>
      </c>
      <c r="I248" s="417">
        <v>0</v>
      </c>
      <c r="J248" s="378">
        <v>3.346E-3</v>
      </c>
      <c r="K248" s="378"/>
      <c r="L248" s="417">
        <v>819128</v>
      </c>
      <c r="M248" s="417">
        <v>565715</v>
      </c>
      <c r="N248" s="417">
        <v>247644</v>
      </c>
      <c r="O248" s="417">
        <v>0</v>
      </c>
      <c r="P248" s="417">
        <v>0</v>
      </c>
      <c r="Q248" s="378">
        <v>3.346E-3</v>
      </c>
      <c r="R248" s="378"/>
      <c r="S248" s="417">
        <v>-1680923</v>
      </c>
      <c r="T248" s="417">
        <v>-1661473</v>
      </c>
      <c r="U248" s="417">
        <v>-1745444</v>
      </c>
      <c r="V248" s="417">
        <v>-2243406</v>
      </c>
      <c r="W248" s="417">
        <v>0</v>
      </c>
      <c r="X248" s="378">
        <v>3.346E-3</v>
      </c>
      <c r="Z248" s="417">
        <v>1340414</v>
      </c>
      <c r="AA248" s="417">
        <v>941715</v>
      </c>
      <c r="AB248" s="417">
        <v>941708</v>
      </c>
      <c r="AC248" s="417">
        <v>0</v>
      </c>
      <c r="AD248" s="417">
        <v>0</v>
      </c>
      <c r="AE248" s="378">
        <v>3.346E-3</v>
      </c>
      <c r="AF248" s="378"/>
      <c r="AG248" s="417">
        <v>46377</v>
      </c>
      <c r="AH248" s="417">
        <v>43432</v>
      </c>
      <c r="AI248" s="417">
        <v>0</v>
      </c>
      <c r="AJ248" s="417">
        <v>0</v>
      </c>
      <c r="AK248" s="417">
        <v>0</v>
      </c>
      <c r="AL248" s="378">
        <v>3.346E-3</v>
      </c>
      <c r="AM248" s="378"/>
      <c r="AN248" s="417">
        <v>-115509</v>
      </c>
      <c r="AO248" s="417">
        <v>-115510</v>
      </c>
      <c r="AP248" s="417">
        <v>-13264</v>
      </c>
      <c r="AQ248" s="417">
        <v>0</v>
      </c>
      <c r="AR248" s="417">
        <v>0</v>
      </c>
    </row>
    <row r="249" spans="1:48">
      <c r="A249" s="377">
        <v>92513</v>
      </c>
      <c r="B249" t="s">
        <v>957</v>
      </c>
      <c r="C249" s="378">
        <v>4.0124000000000002E-3</v>
      </c>
      <c r="D249" s="378"/>
      <c r="E249" s="417">
        <v>478069</v>
      </c>
      <c r="F249" s="417">
        <v>-228495</v>
      </c>
      <c r="G249" s="417">
        <v>-638527</v>
      </c>
      <c r="H249" s="417">
        <v>-2690210</v>
      </c>
      <c r="I249" s="417">
        <v>0</v>
      </c>
      <c r="J249" s="378">
        <v>4.0124000000000002E-3</v>
      </c>
      <c r="K249" s="378"/>
      <c r="L249" s="417">
        <v>982268</v>
      </c>
      <c r="M249" s="417">
        <v>678384</v>
      </c>
      <c r="N249" s="417">
        <v>296966</v>
      </c>
      <c r="O249" s="417">
        <v>0</v>
      </c>
      <c r="P249" s="417">
        <v>0</v>
      </c>
      <c r="Q249" s="378">
        <v>4.0124000000000002E-3</v>
      </c>
      <c r="R249" s="378"/>
      <c r="S249" s="417">
        <v>-2015701</v>
      </c>
      <c r="T249" s="417">
        <v>-1992377</v>
      </c>
      <c r="U249" s="417">
        <v>-2093072</v>
      </c>
      <c r="V249" s="417">
        <v>-2690210</v>
      </c>
      <c r="W249" s="417">
        <v>0</v>
      </c>
      <c r="X249" s="378">
        <v>4.0124000000000002E-3</v>
      </c>
      <c r="Z249" s="417">
        <v>1607375</v>
      </c>
      <c r="AA249" s="417">
        <v>1129270</v>
      </c>
      <c r="AB249" s="417">
        <v>1129262</v>
      </c>
      <c r="AC249" s="417">
        <v>0</v>
      </c>
      <c r="AD249" s="417">
        <v>0</v>
      </c>
      <c r="AE249" s="378">
        <v>4.0124000000000002E-3</v>
      </c>
      <c r="AF249" s="378"/>
      <c r="AG249" s="417">
        <v>28317</v>
      </c>
      <c r="AH249" s="417">
        <v>28317</v>
      </c>
      <c r="AI249" s="417">
        <v>28317</v>
      </c>
      <c r="AJ249" s="417">
        <v>0</v>
      </c>
      <c r="AK249" s="417">
        <v>0</v>
      </c>
      <c r="AL249" s="378">
        <v>4.0124000000000002E-3</v>
      </c>
      <c r="AM249" s="378"/>
      <c r="AN249" s="417">
        <v>-124190</v>
      </c>
      <c r="AO249" s="417">
        <v>-72089</v>
      </c>
      <c r="AP249" s="417">
        <v>0</v>
      </c>
      <c r="AQ249" s="417">
        <v>0</v>
      </c>
      <c r="AR249" s="417">
        <v>0</v>
      </c>
    </row>
    <row r="250" spans="1:48">
      <c r="A250" s="377">
        <v>92521</v>
      </c>
      <c r="B250" t="s">
        <v>958</v>
      </c>
      <c r="C250" s="378">
        <v>6.9599999999999998E-5</v>
      </c>
      <c r="D250" s="378"/>
      <c r="E250" s="417">
        <v>7630</v>
      </c>
      <c r="F250" s="417">
        <v>-5093</v>
      </c>
      <c r="G250" s="417">
        <v>-8990</v>
      </c>
      <c r="H250" s="417">
        <v>-46665</v>
      </c>
      <c r="I250" s="417">
        <v>0</v>
      </c>
      <c r="J250" s="378">
        <v>6.9599999999999998E-5</v>
      </c>
      <c r="K250" s="378"/>
      <c r="L250" s="417">
        <v>17039</v>
      </c>
      <c r="M250" s="417">
        <v>11767</v>
      </c>
      <c r="N250" s="417">
        <v>5151</v>
      </c>
      <c r="O250" s="417">
        <v>0</v>
      </c>
      <c r="P250" s="417">
        <v>0</v>
      </c>
      <c r="Q250" s="378">
        <v>6.9599999999999998E-5</v>
      </c>
      <c r="R250" s="378"/>
      <c r="S250" s="417">
        <v>-34965</v>
      </c>
      <c r="T250" s="417">
        <v>-34560</v>
      </c>
      <c r="U250" s="417">
        <v>-36307</v>
      </c>
      <c r="V250" s="417">
        <v>-46665</v>
      </c>
      <c r="W250" s="417">
        <v>0</v>
      </c>
      <c r="X250" s="378">
        <v>6.9599999999999998E-5</v>
      </c>
      <c r="Z250" s="417">
        <v>27882</v>
      </c>
      <c r="AA250" s="417">
        <v>19589</v>
      </c>
      <c r="AB250" s="417">
        <v>19588</v>
      </c>
      <c r="AC250" s="417">
        <v>0</v>
      </c>
      <c r="AD250" s="417">
        <v>0</v>
      </c>
      <c r="AE250" s="378">
        <v>6.9599999999999998E-5</v>
      </c>
      <c r="AF250" s="378"/>
      <c r="AG250" s="417">
        <v>2578</v>
      </c>
      <c r="AH250" s="417">
        <v>2578</v>
      </c>
      <c r="AI250" s="417">
        <v>2578</v>
      </c>
      <c r="AJ250" s="417">
        <v>0</v>
      </c>
      <c r="AK250" s="417">
        <v>0</v>
      </c>
      <c r="AL250" s="378">
        <v>6.9599999999999998E-5</v>
      </c>
      <c r="AM250" s="378"/>
      <c r="AN250" s="417">
        <v>-4904</v>
      </c>
      <c r="AO250" s="417">
        <v>-4467</v>
      </c>
      <c r="AP250" s="417">
        <v>0</v>
      </c>
      <c r="AQ250" s="417">
        <v>0</v>
      </c>
      <c r="AR250" s="417">
        <v>0</v>
      </c>
    </row>
    <row r="251" spans="1:48">
      <c r="A251" s="377">
        <v>92531</v>
      </c>
      <c r="B251" t="s">
        <v>959</v>
      </c>
      <c r="C251" s="378">
        <v>7.8069999999999995E-4</v>
      </c>
      <c r="D251" s="378"/>
      <c r="E251" s="417">
        <v>45156</v>
      </c>
      <c r="F251" s="417">
        <v>-90268</v>
      </c>
      <c r="G251" s="417">
        <v>-173740</v>
      </c>
      <c r="H251" s="417">
        <v>-523439</v>
      </c>
      <c r="I251" s="417">
        <v>0</v>
      </c>
      <c r="J251" s="378">
        <v>7.8069999999999995E-4</v>
      </c>
      <c r="K251" s="378"/>
      <c r="L251" s="417">
        <v>191122</v>
      </c>
      <c r="M251" s="417">
        <v>131995</v>
      </c>
      <c r="N251" s="417">
        <v>57781</v>
      </c>
      <c r="O251" s="417">
        <v>0</v>
      </c>
      <c r="P251" s="417">
        <v>0</v>
      </c>
      <c r="Q251" s="378">
        <v>7.8069999999999995E-4</v>
      </c>
      <c r="R251" s="378"/>
      <c r="S251" s="417">
        <v>-392199</v>
      </c>
      <c r="T251" s="417">
        <v>-387660</v>
      </c>
      <c r="U251" s="417">
        <v>-407253</v>
      </c>
      <c r="V251" s="417">
        <v>-523439</v>
      </c>
      <c r="W251" s="417">
        <v>0</v>
      </c>
      <c r="X251" s="378">
        <v>7.8069999999999995E-4</v>
      </c>
      <c r="Z251" s="417">
        <v>312750</v>
      </c>
      <c r="AA251" s="417">
        <v>219724</v>
      </c>
      <c r="AB251" s="417">
        <v>219723</v>
      </c>
      <c r="AC251" s="417">
        <v>0</v>
      </c>
      <c r="AD251" s="417">
        <v>0</v>
      </c>
      <c r="AE251" s="378">
        <v>7.8069999999999995E-4</v>
      </c>
      <c r="AF251" s="378"/>
      <c r="AG251" s="417">
        <v>0</v>
      </c>
      <c r="AH251" s="417">
        <v>0</v>
      </c>
      <c r="AI251" s="417">
        <v>0</v>
      </c>
      <c r="AJ251" s="417">
        <v>0</v>
      </c>
      <c r="AK251" s="417">
        <v>0</v>
      </c>
      <c r="AL251" s="378">
        <v>7.8069999999999995E-4</v>
      </c>
      <c r="AM251" s="378"/>
      <c r="AN251" s="417">
        <v>-66517</v>
      </c>
      <c r="AO251" s="417">
        <v>-54327</v>
      </c>
      <c r="AP251" s="417">
        <v>-43991</v>
      </c>
      <c r="AQ251" s="417">
        <v>0</v>
      </c>
      <c r="AR251" s="417">
        <v>0</v>
      </c>
    </row>
    <row r="252" spans="1:48">
      <c r="A252" s="377">
        <v>92541</v>
      </c>
      <c r="B252" t="s">
        <v>960</v>
      </c>
      <c r="C252" s="378">
        <v>1.4630000000000001E-4</v>
      </c>
      <c r="D252" s="378"/>
      <c r="E252" s="417">
        <v>22452</v>
      </c>
      <c r="F252" s="417">
        <v>-1455</v>
      </c>
      <c r="G252" s="417">
        <v>-24851</v>
      </c>
      <c r="H252" s="417">
        <v>-98090</v>
      </c>
      <c r="I252" s="417">
        <v>0</v>
      </c>
      <c r="J252" s="378">
        <v>1.4630000000000001E-4</v>
      </c>
      <c r="K252" s="378"/>
      <c r="L252" s="417">
        <v>35815</v>
      </c>
      <c r="M252" s="417">
        <v>24735</v>
      </c>
      <c r="N252" s="417">
        <v>10828</v>
      </c>
      <c r="O252" s="417">
        <v>0</v>
      </c>
      <c r="P252" s="417">
        <v>0</v>
      </c>
      <c r="Q252" s="378">
        <v>1.4630000000000001E-4</v>
      </c>
      <c r="R252" s="378"/>
      <c r="S252" s="417">
        <v>-73496</v>
      </c>
      <c r="T252" s="417">
        <v>-72646</v>
      </c>
      <c r="U252" s="417">
        <v>-76318</v>
      </c>
      <c r="V252" s="417">
        <v>-98090</v>
      </c>
      <c r="W252" s="417">
        <v>0</v>
      </c>
      <c r="X252" s="378">
        <v>1.4630000000000001E-4</v>
      </c>
      <c r="Z252" s="417">
        <v>58608</v>
      </c>
      <c r="AA252" s="417">
        <v>41175</v>
      </c>
      <c r="AB252" s="417">
        <v>41175</v>
      </c>
      <c r="AC252" s="417">
        <v>0</v>
      </c>
      <c r="AD252" s="417">
        <v>0</v>
      </c>
      <c r="AE252" s="378">
        <v>1.4630000000000001E-4</v>
      </c>
      <c r="AF252" s="378"/>
      <c r="AG252" s="417">
        <v>5820</v>
      </c>
      <c r="AH252" s="417">
        <v>5818</v>
      </c>
      <c r="AI252" s="417">
        <v>0</v>
      </c>
      <c r="AJ252" s="417">
        <v>0</v>
      </c>
      <c r="AK252" s="417">
        <v>0</v>
      </c>
      <c r="AL252" s="378">
        <v>1.4630000000000001E-4</v>
      </c>
      <c r="AM252" s="378"/>
      <c r="AN252" s="417">
        <v>-4295</v>
      </c>
      <c r="AO252" s="417">
        <v>-537</v>
      </c>
      <c r="AP252" s="417">
        <v>-536</v>
      </c>
      <c r="AQ252" s="417">
        <v>0</v>
      </c>
      <c r="AR252" s="417">
        <v>0</v>
      </c>
    </row>
    <row r="253" spans="1:48">
      <c r="A253" s="377">
        <v>92551</v>
      </c>
      <c r="B253" t="s">
        <v>961</v>
      </c>
      <c r="C253" s="378">
        <v>6.2199999999999994E-5</v>
      </c>
      <c r="D253" s="378"/>
      <c r="E253" s="417">
        <v>8395</v>
      </c>
      <c r="F253" s="417">
        <v>-1597</v>
      </c>
      <c r="G253" s="417">
        <v>-8664</v>
      </c>
      <c r="H253" s="417">
        <v>-41703</v>
      </c>
      <c r="I253" s="417">
        <v>0</v>
      </c>
      <c r="J253" s="378">
        <v>6.2199999999999994E-5</v>
      </c>
      <c r="K253" s="378"/>
      <c r="L253" s="417">
        <v>15227</v>
      </c>
      <c r="M253" s="417">
        <v>10516</v>
      </c>
      <c r="N253" s="417">
        <v>4604</v>
      </c>
      <c r="O253" s="417">
        <v>0</v>
      </c>
      <c r="P253" s="417">
        <v>0</v>
      </c>
      <c r="Q253" s="378">
        <v>6.2199999999999994E-5</v>
      </c>
      <c r="R253" s="378"/>
      <c r="S253" s="417">
        <v>-31247</v>
      </c>
      <c r="T253" s="417">
        <v>-30886</v>
      </c>
      <c r="U253" s="417">
        <v>-32447</v>
      </c>
      <c r="V253" s="417">
        <v>-41703</v>
      </c>
      <c r="W253" s="417">
        <v>0</v>
      </c>
      <c r="X253" s="378">
        <v>6.2199999999999994E-5</v>
      </c>
      <c r="Z253" s="417">
        <v>24917</v>
      </c>
      <c r="AA253" s="417">
        <v>17506</v>
      </c>
      <c r="AB253" s="417">
        <v>17506</v>
      </c>
      <c r="AC253" s="417">
        <v>0</v>
      </c>
      <c r="AD253" s="417">
        <v>0</v>
      </c>
      <c r="AE253" s="378">
        <v>6.2199999999999994E-5</v>
      </c>
      <c r="AF253" s="378"/>
      <c r="AG253" s="417">
        <v>3476</v>
      </c>
      <c r="AH253" s="417">
        <v>3477</v>
      </c>
      <c r="AI253" s="417">
        <v>1673</v>
      </c>
      <c r="AJ253" s="417">
        <v>0</v>
      </c>
      <c r="AK253" s="417">
        <v>0</v>
      </c>
      <c r="AL253" s="378">
        <v>6.2199999999999994E-5</v>
      </c>
      <c r="AM253" s="378"/>
      <c r="AN253" s="417">
        <v>-3978</v>
      </c>
      <c r="AO253" s="417">
        <v>-2210</v>
      </c>
      <c r="AP253" s="417">
        <v>0</v>
      </c>
      <c r="AQ253" s="417">
        <v>0</v>
      </c>
      <c r="AR253" s="417">
        <v>0</v>
      </c>
    </row>
    <row r="254" spans="1:48">
      <c r="A254" s="377">
        <v>92561</v>
      </c>
      <c r="B254" t="s">
        <v>962</v>
      </c>
      <c r="C254" s="378">
        <v>1.5699999999999999E-5</v>
      </c>
      <c r="D254" s="378"/>
      <c r="E254" s="417">
        <v>2410</v>
      </c>
      <c r="F254" s="417">
        <v>-524</v>
      </c>
      <c r="G254" s="417">
        <v>-197</v>
      </c>
      <c r="H254" s="417">
        <v>-10526</v>
      </c>
      <c r="I254" s="417">
        <v>0</v>
      </c>
      <c r="J254" s="378">
        <v>1.5699999999999999E-5</v>
      </c>
      <c r="K254" s="378"/>
      <c r="L254" s="417">
        <v>3843</v>
      </c>
      <c r="M254" s="417">
        <v>2654</v>
      </c>
      <c r="N254" s="417">
        <v>1162</v>
      </c>
      <c r="O254" s="417">
        <v>0</v>
      </c>
      <c r="P254" s="417">
        <v>0</v>
      </c>
      <c r="Q254" s="378">
        <v>1.5699999999999999E-5</v>
      </c>
      <c r="R254" s="378"/>
      <c r="S254" s="417">
        <v>-7887</v>
      </c>
      <c r="T254" s="417">
        <v>-7796</v>
      </c>
      <c r="U254" s="417">
        <v>-8190</v>
      </c>
      <c r="V254" s="417">
        <v>-10526</v>
      </c>
      <c r="W254" s="417">
        <v>0</v>
      </c>
      <c r="X254" s="378">
        <v>1.5699999999999999E-5</v>
      </c>
      <c r="Z254" s="417">
        <v>6289</v>
      </c>
      <c r="AA254" s="417">
        <v>4419</v>
      </c>
      <c r="AB254" s="417">
        <v>4419</v>
      </c>
      <c r="AC254" s="417">
        <v>0</v>
      </c>
      <c r="AD254" s="417">
        <v>0</v>
      </c>
      <c r="AE254" s="378">
        <v>1.5699999999999999E-5</v>
      </c>
      <c r="AF254" s="378"/>
      <c r="AG254" s="417">
        <v>2412</v>
      </c>
      <c r="AH254" s="417">
        <v>2412</v>
      </c>
      <c r="AI254" s="417">
        <v>2412</v>
      </c>
      <c r="AJ254" s="417">
        <v>0</v>
      </c>
      <c r="AK254" s="417">
        <v>0</v>
      </c>
      <c r="AL254" s="378">
        <v>1.5699999999999999E-5</v>
      </c>
      <c r="AM254" s="378"/>
      <c r="AN254" s="417">
        <v>-2247</v>
      </c>
      <c r="AO254" s="417">
        <v>-2213</v>
      </c>
      <c r="AP254" s="417">
        <v>0</v>
      </c>
      <c r="AQ254" s="417">
        <v>0</v>
      </c>
      <c r="AR254" s="417">
        <v>0</v>
      </c>
    </row>
    <row r="255" spans="1:48">
      <c r="A255" s="377">
        <v>92571</v>
      </c>
      <c r="B255" t="s">
        <v>963</v>
      </c>
      <c r="C255" s="378">
        <v>5.3000000000000001E-6</v>
      </c>
      <c r="D255" s="378"/>
      <c r="E255" s="417">
        <v>1003</v>
      </c>
      <c r="F255" s="417">
        <v>-267</v>
      </c>
      <c r="G255" s="417">
        <v>141</v>
      </c>
      <c r="H255" s="417">
        <v>-3554</v>
      </c>
      <c r="I255" s="417">
        <v>0</v>
      </c>
      <c r="J255" s="378">
        <v>5.3000000000000001E-6</v>
      </c>
      <c r="K255" s="378"/>
      <c r="L255" s="417">
        <v>1297</v>
      </c>
      <c r="M255" s="417">
        <v>896</v>
      </c>
      <c r="N255" s="417">
        <v>392</v>
      </c>
      <c r="O255" s="417">
        <v>0</v>
      </c>
      <c r="P255" s="417">
        <v>0</v>
      </c>
      <c r="Q255" s="378">
        <v>5.3000000000000001E-6</v>
      </c>
      <c r="R255" s="378"/>
      <c r="S255" s="417">
        <v>-2663</v>
      </c>
      <c r="T255" s="417">
        <v>-2632</v>
      </c>
      <c r="U255" s="417">
        <v>-2765</v>
      </c>
      <c r="V255" s="417">
        <v>-3554</v>
      </c>
      <c r="W255" s="417">
        <v>0</v>
      </c>
      <c r="X255" s="378">
        <v>5.3000000000000001E-6</v>
      </c>
      <c r="Z255" s="417">
        <v>2123</v>
      </c>
      <c r="AA255" s="417">
        <v>1492</v>
      </c>
      <c r="AB255" s="417">
        <v>1492</v>
      </c>
      <c r="AC255" s="417">
        <v>0</v>
      </c>
      <c r="AD255" s="417">
        <v>0</v>
      </c>
      <c r="AE255" s="378">
        <v>5.3000000000000001E-6</v>
      </c>
      <c r="AF255" s="378"/>
      <c r="AG255" s="417">
        <v>1340</v>
      </c>
      <c r="AH255" s="417">
        <v>1072</v>
      </c>
      <c r="AI255" s="417">
        <v>1022</v>
      </c>
      <c r="AJ255" s="417">
        <v>0</v>
      </c>
      <c r="AK255" s="417">
        <v>0</v>
      </c>
      <c r="AL255" s="378">
        <v>5.3000000000000001E-6</v>
      </c>
      <c r="AM255" s="378"/>
      <c r="AN255" s="417">
        <v>-1094</v>
      </c>
      <c r="AO255" s="417">
        <v>-1095</v>
      </c>
      <c r="AP255" s="417">
        <v>0</v>
      </c>
      <c r="AQ255" s="417">
        <v>0</v>
      </c>
      <c r="AR255" s="417">
        <v>0</v>
      </c>
    </row>
    <row r="256" spans="1:48">
      <c r="A256" s="377">
        <v>92601</v>
      </c>
      <c r="B256" t="s">
        <v>964</v>
      </c>
      <c r="C256" s="378">
        <v>1.2883E-2</v>
      </c>
      <c r="D256" s="378"/>
      <c r="E256" s="417">
        <v>1517496</v>
      </c>
      <c r="F256" s="417">
        <v>-629389</v>
      </c>
      <c r="G256" s="417">
        <v>-2035478</v>
      </c>
      <c r="H256" s="417">
        <v>-8637717</v>
      </c>
      <c r="I256" s="417">
        <v>0</v>
      </c>
      <c r="J256" s="378">
        <v>1.2883E-2</v>
      </c>
      <c r="K256" s="378"/>
      <c r="L256" s="417">
        <v>3153861</v>
      </c>
      <c r="M256" s="417">
        <v>2178155</v>
      </c>
      <c r="N256" s="417">
        <v>953497</v>
      </c>
      <c r="O256" s="417">
        <v>0</v>
      </c>
      <c r="P256" s="417">
        <v>0</v>
      </c>
      <c r="Q256" s="378">
        <v>1.2883E-2</v>
      </c>
      <c r="R256" s="378"/>
      <c r="S256" s="417">
        <v>-6472007</v>
      </c>
      <c r="T256" s="417">
        <v>-6397118</v>
      </c>
      <c r="U256" s="417">
        <v>-6720430</v>
      </c>
      <c r="V256" s="417">
        <v>-8637717</v>
      </c>
      <c r="W256" s="417">
        <v>0</v>
      </c>
      <c r="X256" s="378">
        <v>1.2883E-2</v>
      </c>
      <c r="Z256" s="417">
        <v>5160956</v>
      </c>
      <c r="AA256" s="417">
        <v>3625856</v>
      </c>
      <c r="AB256" s="417">
        <v>3625830</v>
      </c>
      <c r="AC256" s="417">
        <v>0</v>
      </c>
      <c r="AD256" s="417">
        <v>0</v>
      </c>
      <c r="AE256" s="378">
        <v>1.2883E-2</v>
      </c>
      <c r="AF256" s="378"/>
      <c r="AG256" s="417">
        <v>105624</v>
      </c>
      <c r="AH256" s="417">
        <v>105624</v>
      </c>
      <c r="AI256" s="417">
        <v>105625</v>
      </c>
      <c r="AJ256" s="417">
        <v>0</v>
      </c>
      <c r="AK256" s="417">
        <v>0</v>
      </c>
      <c r="AL256" s="378">
        <v>1.2883E-2</v>
      </c>
      <c r="AM256" s="378"/>
      <c r="AN256" s="417">
        <v>-430938</v>
      </c>
      <c r="AO256" s="417">
        <v>-141906</v>
      </c>
      <c r="AP256" s="417">
        <v>0</v>
      </c>
      <c r="AQ256" s="417">
        <v>0</v>
      </c>
      <c r="AR256" s="417">
        <v>0</v>
      </c>
    </row>
    <row r="257" spans="1:44">
      <c r="A257" s="377">
        <v>92602</v>
      </c>
      <c r="B257" t="s">
        <v>965</v>
      </c>
      <c r="C257" s="378">
        <v>5.2000000000000002E-6</v>
      </c>
      <c r="D257" s="378"/>
      <c r="E257" s="417">
        <v>-16</v>
      </c>
      <c r="F257" s="417">
        <v>-524</v>
      </c>
      <c r="G257" s="417">
        <v>-529</v>
      </c>
      <c r="H257" s="417">
        <v>-3486</v>
      </c>
      <c r="I257" s="417">
        <v>0</v>
      </c>
      <c r="J257" s="378">
        <v>5.2000000000000002E-6</v>
      </c>
      <c r="K257" s="378"/>
      <c r="L257" s="417">
        <v>1273</v>
      </c>
      <c r="M257" s="417">
        <v>879</v>
      </c>
      <c r="N257" s="417">
        <v>385</v>
      </c>
      <c r="O257" s="417">
        <v>0</v>
      </c>
      <c r="P257" s="417">
        <v>0</v>
      </c>
      <c r="Q257" s="378">
        <v>5.2000000000000002E-6</v>
      </c>
      <c r="R257" s="378"/>
      <c r="S257" s="417">
        <v>-2612</v>
      </c>
      <c r="T257" s="417">
        <v>-2582</v>
      </c>
      <c r="U257" s="417">
        <v>-2713</v>
      </c>
      <c r="V257" s="417">
        <v>-3486</v>
      </c>
      <c r="W257" s="417">
        <v>0</v>
      </c>
      <c r="X257" s="378">
        <v>5.2000000000000002E-6</v>
      </c>
      <c r="Z257" s="417">
        <v>2083</v>
      </c>
      <c r="AA257" s="417">
        <v>1464</v>
      </c>
      <c r="AB257" s="417">
        <v>1464</v>
      </c>
      <c r="AC257" s="417">
        <v>0</v>
      </c>
      <c r="AD257" s="417">
        <v>0</v>
      </c>
      <c r="AE257" s="378">
        <v>5.2000000000000002E-6</v>
      </c>
      <c r="AF257" s="378"/>
      <c r="AG257" s="417">
        <v>335</v>
      </c>
      <c r="AH257" s="417">
        <v>335</v>
      </c>
      <c r="AI257" s="417">
        <v>335</v>
      </c>
      <c r="AJ257" s="417">
        <v>0</v>
      </c>
      <c r="AK257" s="417">
        <v>0</v>
      </c>
      <c r="AL257" s="378">
        <v>5.2000000000000002E-6</v>
      </c>
      <c r="AM257" s="378"/>
      <c r="AN257" s="417">
        <v>-1095</v>
      </c>
      <c r="AO257" s="417">
        <v>-620</v>
      </c>
      <c r="AP257" s="417">
        <v>0</v>
      </c>
      <c r="AQ257" s="417">
        <v>0</v>
      </c>
      <c r="AR257" s="417">
        <v>0</v>
      </c>
    </row>
    <row r="258" spans="1:44">
      <c r="A258" s="377">
        <v>92604</v>
      </c>
      <c r="B258" t="s">
        <v>966</v>
      </c>
      <c r="C258" s="378">
        <v>3.392E-4</v>
      </c>
      <c r="D258" s="378"/>
      <c r="E258" s="417">
        <v>57433</v>
      </c>
      <c r="F258" s="417">
        <v>-11686</v>
      </c>
      <c r="G258" s="417">
        <v>-71050</v>
      </c>
      <c r="H258" s="417">
        <v>-227425</v>
      </c>
      <c r="I258" s="417">
        <v>0</v>
      </c>
      <c r="J258" s="378">
        <v>3.392E-4</v>
      </c>
      <c r="K258" s="378"/>
      <c r="L258" s="417">
        <v>83039</v>
      </c>
      <c r="M258" s="417">
        <v>57349</v>
      </c>
      <c r="N258" s="417">
        <v>25105</v>
      </c>
      <c r="O258" s="417">
        <v>0</v>
      </c>
      <c r="P258" s="417">
        <v>0</v>
      </c>
      <c r="Q258" s="378">
        <v>3.392E-4</v>
      </c>
      <c r="R258" s="378"/>
      <c r="S258" s="417">
        <v>-170403</v>
      </c>
      <c r="T258" s="417">
        <v>-168431</v>
      </c>
      <c r="U258" s="417">
        <v>-176944</v>
      </c>
      <c r="V258" s="417">
        <v>-227425</v>
      </c>
      <c r="W258" s="417">
        <v>0</v>
      </c>
      <c r="X258" s="378">
        <v>3.392E-4</v>
      </c>
      <c r="Z258" s="417">
        <v>135884</v>
      </c>
      <c r="AA258" s="417">
        <v>95466</v>
      </c>
      <c r="AB258" s="417">
        <v>95465</v>
      </c>
      <c r="AC258" s="417">
        <v>0</v>
      </c>
      <c r="AD258" s="417">
        <v>0</v>
      </c>
      <c r="AE258" s="378">
        <v>3.392E-4</v>
      </c>
      <c r="AF258" s="378"/>
      <c r="AG258" s="417">
        <v>23588</v>
      </c>
      <c r="AH258" s="417">
        <v>18605</v>
      </c>
      <c r="AI258" s="417">
        <v>0</v>
      </c>
      <c r="AJ258" s="417">
        <v>0</v>
      </c>
      <c r="AK258" s="417">
        <v>0</v>
      </c>
      <c r="AL258" s="378">
        <v>3.392E-4</v>
      </c>
      <c r="AM258" s="378"/>
      <c r="AN258" s="417">
        <v>-14675</v>
      </c>
      <c r="AO258" s="417">
        <v>-14675</v>
      </c>
      <c r="AP258" s="417">
        <v>-14676</v>
      </c>
      <c r="AQ258" s="417">
        <v>0</v>
      </c>
      <c r="AR258" s="417">
        <v>0</v>
      </c>
    </row>
    <row r="259" spans="1:44">
      <c r="A259" s="377">
        <v>92607</v>
      </c>
      <c r="B259" t="s">
        <v>967</v>
      </c>
      <c r="C259" s="378">
        <v>7.25E-5</v>
      </c>
      <c r="D259" s="378"/>
      <c r="E259" s="417">
        <v>22235</v>
      </c>
      <c r="F259" s="417">
        <v>7263</v>
      </c>
      <c r="G259" s="417">
        <v>-8342</v>
      </c>
      <c r="H259" s="417">
        <v>-48609</v>
      </c>
      <c r="I259" s="417">
        <v>0</v>
      </c>
      <c r="J259" s="378">
        <v>7.25E-5</v>
      </c>
      <c r="K259" s="378"/>
      <c r="L259" s="417">
        <v>17749</v>
      </c>
      <c r="M259" s="417">
        <v>12258</v>
      </c>
      <c r="N259" s="417">
        <v>5366</v>
      </c>
      <c r="O259" s="417">
        <v>0</v>
      </c>
      <c r="P259" s="417">
        <v>0</v>
      </c>
      <c r="Q259" s="378">
        <v>7.25E-5</v>
      </c>
      <c r="R259" s="378"/>
      <c r="S259" s="417">
        <v>-36422</v>
      </c>
      <c r="T259" s="417">
        <v>-36000</v>
      </c>
      <c r="U259" s="417">
        <v>-37820</v>
      </c>
      <c r="V259" s="417">
        <v>-48609</v>
      </c>
      <c r="W259" s="417">
        <v>0</v>
      </c>
      <c r="X259" s="378">
        <v>7.25E-5</v>
      </c>
      <c r="Z259" s="417">
        <v>29044</v>
      </c>
      <c r="AA259" s="417">
        <v>20405</v>
      </c>
      <c r="AB259" s="417">
        <v>20405</v>
      </c>
      <c r="AC259" s="417">
        <v>0</v>
      </c>
      <c r="AD259" s="417">
        <v>0</v>
      </c>
      <c r="AE259" s="378">
        <v>7.25E-5</v>
      </c>
      <c r="AF259" s="378"/>
      <c r="AG259" s="417">
        <v>12053</v>
      </c>
      <c r="AH259" s="417">
        <v>10791</v>
      </c>
      <c r="AI259" s="417">
        <v>3707</v>
      </c>
      <c r="AJ259" s="417">
        <v>0</v>
      </c>
      <c r="AK259" s="417">
        <v>0</v>
      </c>
      <c r="AL259" s="378">
        <v>7.25E-5</v>
      </c>
      <c r="AM259" s="378"/>
      <c r="AN259" s="417">
        <v>-189</v>
      </c>
      <c r="AO259" s="417">
        <v>-191</v>
      </c>
      <c r="AP259" s="417">
        <v>0</v>
      </c>
      <c r="AQ259" s="417">
        <v>0</v>
      </c>
      <c r="AR259" s="417">
        <v>0</v>
      </c>
    </row>
    <row r="260" spans="1:44">
      <c r="A260" s="377">
        <v>92608</v>
      </c>
      <c r="B260" t="s">
        <v>3712</v>
      </c>
      <c r="C260" s="378">
        <v>0</v>
      </c>
      <c r="D260" s="378"/>
      <c r="E260" s="417">
        <v>0</v>
      </c>
      <c r="F260" s="417">
        <v>0</v>
      </c>
      <c r="G260" s="417">
        <v>0</v>
      </c>
      <c r="H260" s="417">
        <v>0</v>
      </c>
      <c r="I260" s="417">
        <v>0</v>
      </c>
      <c r="J260" s="417">
        <v>0</v>
      </c>
      <c r="K260" s="417">
        <v>0</v>
      </c>
      <c r="L260" s="417">
        <v>0</v>
      </c>
      <c r="M260" s="417">
        <v>0</v>
      </c>
      <c r="N260" s="417">
        <v>0</v>
      </c>
      <c r="O260" s="417">
        <v>0</v>
      </c>
      <c r="P260" s="417">
        <v>0</v>
      </c>
      <c r="Q260" s="417">
        <v>0</v>
      </c>
      <c r="R260" s="417">
        <v>0</v>
      </c>
      <c r="S260" s="417">
        <v>0</v>
      </c>
      <c r="T260" s="417">
        <v>0</v>
      </c>
      <c r="U260" s="417">
        <v>0</v>
      </c>
      <c r="V260" s="417">
        <v>0</v>
      </c>
      <c r="W260" s="417">
        <v>0</v>
      </c>
      <c r="X260" s="417">
        <v>0</v>
      </c>
      <c r="Y260" s="417">
        <v>0</v>
      </c>
      <c r="Z260" s="417">
        <v>0</v>
      </c>
      <c r="AA260" s="417">
        <v>0</v>
      </c>
      <c r="AB260" s="417">
        <v>0</v>
      </c>
      <c r="AC260" s="417">
        <v>0</v>
      </c>
      <c r="AD260" s="417">
        <v>0</v>
      </c>
      <c r="AE260" s="417">
        <v>0</v>
      </c>
      <c r="AF260" s="417">
        <v>0</v>
      </c>
      <c r="AG260" s="417">
        <v>0</v>
      </c>
      <c r="AH260" s="417">
        <v>0</v>
      </c>
      <c r="AI260" s="417">
        <v>0</v>
      </c>
      <c r="AJ260" s="417">
        <v>0</v>
      </c>
      <c r="AK260" s="417">
        <v>0</v>
      </c>
      <c r="AL260" s="417">
        <v>0</v>
      </c>
      <c r="AM260" s="417">
        <v>0</v>
      </c>
      <c r="AN260" s="417">
        <v>0</v>
      </c>
      <c r="AO260" s="417">
        <v>0</v>
      </c>
      <c r="AP260" s="417">
        <v>0</v>
      </c>
      <c r="AQ260" s="417">
        <v>0</v>
      </c>
      <c r="AR260" s="417">
        <v>0</v>
      </c>
    </row>
    <row r="261" spans="1:44">
      <c r="A261" s="377">
        <v>92611</v>
      </c>
      <c r="B261" t="s">
        <v>969</v>
      </c>
      <c r="C261" s="378">
        <v>1.0895E-2</v>
      </c>
      <c r="D261" s="378"/>
      <c r="E261" s="417">
        <v>624735</v>
      </c>
      <c r="F261" s="417">
        <v>-1296562</v>
      </c>
      <c r="G261" s="417">
        <v>-2073961</v>
      </c>
      <c r="H261" s="417">
        <v>-7304814</v>
      </c>
      <c r="I261" s="417">
        <v>0</v>
      </c>
      <c r="J261" s="378">
        <v>1.0895E-2</v>
      </c>
      <c r="K261" s="378"/>
      <c r="L261" s="417">
        <v>2667183</v>
      </c>
      <c r="M261" s="417">
        <v>1842039</v>
      </c>
      <c r="N261" s="417">
        <v>806361</v>
      </c>
      <c r="O261" s="417">
        <v>0</v>
      </c>
      <c r="P261" s="417">
        <v>0</v>
      </c>
      <c r="Q261" s="378">
        <v>1.0895E-2</v>
      </c>
      <c r="R261" s="378"/>
      <c r="S261" s="417">
        <v>-5473299</v>
      </c>
      <c r="T261" s="417">
        <v>-5409967</v>
      </c>
      <c r="U261" s="417">
        <v>-5683388</v>
      </c>
      <c r="V261" s="417">
        <v>-7304814</v>
      </c>
      <c r="W261" s="417">
        <v>0</v>
      </c>
      <c r="X261" s="378">
        <v>1.0895E-2</v>
      </c>
      <c r="Z261" s="417">
        <v>4364559</v>
      </c>
      <c r="AA261" s="417">
        <v>3066343</v>
      </c>
      <c r="AB261" s="417">
        <v>3066321</v>
      </c>
      <c r="AC261" s="417">
        <v>0</v>
      </c>
      <c r="AD261" s="417">
        <v>0</v>
      </c>
      <c r="AE261" s="378">
        <v>1.0895E-2</v>
      </c>
      <c r="AF261" s="378"/>
      <c r="AG261" s="417">
        <v>0</v>
      </c>
      <c r="AH261" s="417">
        <v>0</v>
      </c>
      <c r="AI261" s="417">
        <v>0</v>
      </c>
      <c r="AJ261" s="417">
        <v>0</v>
      </c>
      <c r="AK261" s="417">
        <v>0</v>
      </c>
      <c r="AL261" s="378">
        <v>1.0895E-2</v>
      </c>
      <c r="AM261" s="378"/>
      <c r="AN261" s="417">
        <v>-933708</v>
      </c>
      <c r="AO261" s="417">
        <v>-794977</v>
      </c>
      <c r="AP261" s="417">
        <v>-263255</v>
      </c>
      <c r="AQ261" s="417">
        <v>0</v>
      </c>
      <c r="AR261" s="417">
        <v>0</v>
      </c>
    </row>
    <row r="262" spans="1:44">
      <c r="A262" s="377">
        <v>92613</v>
      </c>
      <c r="B262" t="s">
        <v>970</v>
      </c>
      <c r="C262" s="378">
        <v>2.265E-4</v>
      </c>
      <c r="D262" s="378"/>
      <c r="E262" s="417">
        <v>54934</v>
      </c>
      <c r="F262" s="417">
        <v>12381</v>
      </c>
      <c r="G262" s="417">
        <v>-25807</v>
      </c>
      <c r="H262" s="417">
        <v>-151862</v>
      </c>
      <c r="I262" s="417">
        <v>0</v>
      </c>
      <c r="J262" s="378">
        <v>2.265E-4</v>
      </c>
      <c r="K262" s="378"/>
      <c r="L262" s="417">
        <v>55449</v>
      </c>
      <c r="M262" s="417">
        <v>38295</v>
      </c>
      <c r="N262" s="417">
        <v>16764</v>
      </c>
      <c r="O262" s="417">
        <v>0</v>
      </c>
      <c r="P262" s="417">
        <v>0</v>
      </c>
      <c r="Q262" s="378">
        <v>2.265E-4</v>
      </c>
      <c r="R262" s="378"/>
      <c r="S262" s="417">
        <v>-113786</v>
      </c>
      <c r="T262" s="417">
        <v>-112470</v>
      </c>
      <c r="U262" s="417">
        <v>-118154</v>
      </c>
      <c r="V262" s="417">
        <v>-151862</v>
      </c>
      <c r="W262" s="417">
        <v>0</v>
      </c>
      <c r="X262" s="378">
        <v>2.265E-4</v>
      </c>
      <c r="Z262" s="417">
        <v>90736</v>
      </c>
      <c r="AA262" s="417">
        <v>63747</v>
      </c>
      <c r="AB262" s="417">
        <v>63747</v>
      </c>
      <c r="AC262" s="417">
        <v>0</v>
      </c>
      <c r="AD262" s="417">
        <v>0</v>
      </c>
      <c r="AE262" s="378">
        <v>2.265E-4</v>
      </c>
      <c r="AF262" s="378"/>
      <c r="AG262" s="417">
        <v>22808</v>
      </c>
      <c r="AH262" s="417">
        <v>22809</v>
      </c>
      <c r="AI262" s="417">
        <v>11836</v>
      </c>
      <c r="AJ262" s="417">
        <v>0</v>
      </c>
      <c r="AK262" s="417">
        <v>0</v>
      </c>
      <c r="AL262" s="378">
        <v>2.265E-4</v>
      </c>
      <c r="AM262" s="378"/>
      <c r="AN262" s="417">
        <v>-273</v>
      </c>
      <c r="AO262" s="417">
        <v>0</v>
      </c>
      <c r="AP262" s="417">
        <v>0</v>
      </c>
      <c r="AQ262" s="417">
        <v>0</v>
      </c>
      <c r="AR262" s="417">
        <v>0</v>
      </c>
    </row>
    <row r="263" spans="1:44">
      <c r="A263" s="377">
        <v>92614</v>
      </c>
      <c r="B263" t="s">
        <v>971</v>
      </c>
      <c r="C263" s="378">
        <v>6.1628999999999998E-3</v>
      </c>
      <c r="D263" s="378"/>
      <c r="E263" s="417">
        <v>2815057</v>
      </c>
      <c r="F263" s="417">
        <v>1234988</v>
      </c>
      <c r="G263" s="417">
        <v>-118373</v>
      </c>
      <c r="H263" s="417">
        <v>-4132064</v>
      </c>
      <c r="I263" s="417">
        <v>0</v>
      </c>
      <c r="J263" s="378">
        <v>6.1628999999999998E-3</v>
      </c>
      <c r="K263" s="378"/>
      <c r="L263" s="417">
        <v>1508727</v>
      </c>
      <c r="M263" s="417">
        <v>1041974</v>
      </c>
      <c r="N263" s="417">
        <v>456129</v>
      </c>
      <c r="O263" s="417">
        <v>0</v>
      </c>
      <c r="P263" s="417">
        <v>0</v>
      </c>
      <c r="Q263" s="378">
        <v>6.1628999999999998E-3</v>
      </c>
      <c r="R263" s="378"/>
      <c r="S263" s="417">
        <v>-3096044</v>
      </c>
      <c r="T263" s="417">
        <v>-3060219</v>
      </c>
      <c r="U263" s="417">
        <v>-3214883</v>
      </c>
      <c r="V263" s="417">
        <v>-4132064</v>
      </c>
      <c r="W263" s="417">
        <v>0</v>
      </c>
      <c r="X263" s="378">
        <v>6.1628999999999998E-3</v>
      </c>
      <c r="Z263" s="417">
        <v>2468870</v>
      </c>
      <c r="AA263" s="417">
        <v>1734517</v>
      </c>
      <c r="AB263" s="417">
        <v>1734505</v>
      </c>
      <c r="AC263" s="417">
        <v>0</v>
      </c>
      <c r="AD263" s="417">
        <v>0</v>
      </c>
      <c r="AE263" s="378">
        <v>6.1628999999999998E-3</v>
      </c>
      <c r="AF263" s="378"/>
      <c r="AG263" s="417">
        <v>1933504</v>
      </c>
      <c r="AH263" s="417">
        <v>1518716</v>
      </c>
      <c r="AI263" s="417">
        <v>905876</v>
      </c>
      <c r="AJ263" s="417">
        <v>0</v>
      </c>
      <c r="AK263" s="417">
        <v>0</v>
      </c>
      <c r="AL263" s="378">
        <v>6.1628999999999998E-3</v>
      </c>
      <c r="AM263" s="378"/>
      <c r="AN263" s="417">
        <v>0</v>
      </c>
      <c r="AO263" s="417">
        <v>0</v>
      </c>
      <c r="AP263" s="417">
        <v>0</v>
      </c>
      <c r="AQ263" s="417">
        <v>0</v>
      </c>
      <c r="AR263" s="417">
        <v>0</v>
      </c>
    </row>
    <row r="264" spans="1:44">
      <c r="A264" s="377">
        <v>92621</v>
      </c>
      <c r="B264" t="s">
        <v>972</v>
      </c>
      <c r="C264" s="378">
        <v>2.7900000000000001E-5</v>
      </c>
      <c r="D264" s="378"/>
      <c r="E264" s="417">
        <v>5470</v>
      </c>
      <c r="F264" s="417">
        <v>360</v>
      </c>
      <c r="G264" s="417">
        <v>-3538</v>
      </c>
      <c r="H264" s="417">
        <v>-18706</v>
      </c>
      <c r="I264" s="417">
        <v>0</v>
      </c>
      <c r="J264" s="378">
        <v>2.7900000000000001E-5</v>
      </c>
      <c r="K264" s="378"/>
      <c r="L264" s="417">
        <v>6830</v>
      </c>
      <c r="M264" s="417">
        <v>4717</v>
      </c>
      <c r="N264" s="417">
        <v>2065</v>
      </c>
      <c r="O264" s="417">
        <v>0</v>
      </c>
      <c r="P264" s="417">
        <v>0</v>
      </c>
      <c r="Q264" s="378">
        <v>2.7900000000000001E-5</v>
      </c>
      <c r="R264" s="378"/>
      <c r="S264" s="417">
        <v>-14016</v>
      </c>
      <c r="T264" s="417">
        <v>-13854</v>
      </c>
      <c r="U264" s="417">
        <v>-14554</v>
      </c>
      <c r="V264" s="417">
        <v>-18706</v>
      </c>
      <c r="W264" s="417">
        <v>0</v>
      </c>
      <c r="X264" s="378">
        <v>2.7900000000000001E-5</v>
      </c>
      <c r="Z264" s="417">
        <v>11177</v>
      </c>
      <c r="AA264" s="417">
        <v>7852</v>
      </c>
      <c r="AB264" s="417">
        <v>7852</v>
      </c>
      <c r="AC264" s="417">
        <v>0</v>
      </c>
      <c r="AD264" s="417">
        <v>0</v>
      </c>
      <c r="AE264" s="378">
        <v>2.7900000000000001E-5</v>
      </c>
      <c r="AF264" s="378"/>
      <c r="AG264" s="417">
        <v>1939</v>
      </c>
      <c r="AH264" s="417">
        <v>1941</v>
      </c>
      <c r="AI264" s="417">
        <v>1099</v>
      </c>
      <c r="AJ264" s="417">
        <v>0</v>
      </c>
      <c r="AK264" s="417">
        <v>0</v>
      </c>
      <c r="AL264" s="378">
        <v>2.7900000000000001E-5</v>
      </c>
      <c r="AM264" s="378"/>
      <c r="AN264" s="417">
        <v>-460</v>
      </c>
      <c r="AO264" s="417">
        <v>-296</v>
      </c>
      <c r="AP264" s="417">
        <v>0</v>
      </c>
      <c r="AQ264" s="417">
        <v>0</v>
      </c>
      <c r="AR264" s="417">
        <v>0</v>
      </c>
    </row>
    <row r="265" spans="1:44">
      <c r="A265" s="377">
        <v>92631</v>
      </c>
      <c r="B265" t="s">
        <v>973</v>
      </c>
      <c r="C265" s="378">
        <v>8.4230000000000004E-4</v>
      </c>
      <c r="D265" s="378"/>
      <c r="E265" s="417">
        <v>48861</v>
      </c>
      <c r="F265" s="417">
        <v>-100719</v>
      </c>
      <c r="G265" s="417">
        <v>-179316</v>
      </c>
      <c r="H265" s="417">
        <v>-564740</v>
      </c>
      <c r="I265" s="417">
        <v>0</v>
      </c>
      <c r="J265" s="378">
        <v>8.4230000000000004E-4</v>
      </c>
      <c r="K265" s="378"/>
      <c r="L265" s="417">
        <v>206202</v>
      </c>
      <c r="M265" s="417">
        <v>142409</v>
      </c>
      <c r="N265" s="417">
        <v>62340</v>
      </c>
      <c r="O265" s="417">
        <v>0</v>
      </c>
      <c r="P265" s="417">
        <v>0</v>
      </c>
      <c r="Q265" s="378">
        <v>8.4230000000000004E-4</v>
      </c>
      <c r="R265" s="378"/>
      <c r="S265" s="417">
        <v>-423145</v>
      </c>
      <c r="T265" s="417">
        <v>-418248</v>
      </c>
      <c r="U265" s="417">
        <v>-439387</v>
      </c>
      <c r="V265" s="417">
        <v>-564740</v>
      </c>
      <c r="W265" s="417">
        <v>0</v>
      </c>
      <c r="X265" s="378">
        <v>8.4230000000000004E-4</v>
      </c>
      <c r="Z265" s="417">
        <v>337427</v>
      </c>
      <c r="AA265" s="417">
        <v>237061</v>
      </c>
      <c r="AB265" s="417">
        <v>237059</v>
      </c>
      <c r="AC265" s="417">
        <v>0</v>
      </c>
      <c r="AD265" s="417">
        <v>0</v>
      </c>
      <c r="AE265" s="378">
        <v>8.4230000000000004E-4</v>
      </c>
      <c r="AF265" s="378"/>
      <c r="AG265" s="417">
        <v>0</v>
      </c>
      <c r="AH265" s="417">
        <v>0</v>
      </c>
      <c r="AI265" s="417">
        <v>0</v>
      </c>
      <c r="AJ265" s="417">
        <v>0</v>
      </c>
      <c r="AK265" s="417">
        <v>0</v>
      </c>
      <c r="AL265" s="378">
        <v>8.4230000000000004E-4</v>
      </c>
      <c r="AM265" s="378"/>
      <c r="AN265" s="417">
        <v>-71623</v>
      </c>
      <c r="AO265" s="417">
        <v>-61941</v>
      </c>
      <c r="AP265" s="417">
        <v>-39328</v>
      </c>
      <c r="AQ265" s="417">
        <v>0</v>
      </c>
      <c r="AR265" s="417">
        <v>0</v>
      </c>
    </row>
    <row r="266" spans="1:44">
      <c r="A266" s="377">
        <v>92641</v>
      </c>
      <c r="B266" t="s">
        <v>974</v>
      </c>
      <c r="C266" s="378">
        <v>9.5999999999999996E-6</v>
      </c>
      <c r="D266" s="378"/>
      <c r="E266" s="417">
        <v>3680</v>
      </c>
      <c r="F266" s="417">
        <v>1510</v>
      </c>
      <c r="G266" s="417">
        <v>-743</v>
      </c>
      <c r="H266" s="417">
        <v>-6437</v>
      </c>
      <c r="I266" s="417">
        <v>0</v>
      </c>
      <c r="J266" s="378">
        <v>9.5999999999999996E-6</v>
      </c>
      <c r="K266" s="378"/>
      <c r="L266" s="417">
        <v>2350</v>
      </c>
      <c r="M266" s="417">
        <v>1623</v>
      </c>
      <c r="N266" s="417">
        <v>711</v>
      </c>
      <c r="O266" s="417">
        <v>0</v>
      </c>
      <c r="P266" s="417">
        <v>0</v>
      </c>
      <c r="Q266" s="378">
        <v>9.5999999999999996E-6</v>
      </c>
      <c r="R266" s="378"/>
      <c r="S266" s="417">
        <v>-4823</v>
      </c>
      <c r="T266" s="417">
        <v>-4767</v>
      </c>
      <c r="U266" s="417">
        <v>-5008</v>
      </c>
      <c r="V266" s="417">
        <v>-6437</v>
      </c>
      <c r="W266" s="417">
        <v>0</v>
      </c>
      <c r="X266" s="378">
        <v>9.5999999999999996E-6</v>
      </c>
      <c r="Z266" s="417">
        <v>3846</v>
      </c>
      <c r="AA266" s="417">
        <v>2702</v>
      </c>
      <c r="AB266" s="417">
        <v>2702</v>
      </c>
      <c r="AC266" s="417">
        <v>0</v>
      </c>
      <c r="AD266" s="417">
        <v>0</v>
      </c>
      <c r="AE266" s="378">
        <v>9.5999999999999996E-6</v>
      </c>
      <c r="AF266" s="378"/>
      <c r="AG266" s="417">
        <v>2307</v>
      </c>
      <c r="AH266" s="417">
        <v>1952</v>
      </c>
      <c r="AI266" s="417">
        <v>852</v>
      </c>
      <c r="AJ266" s="417">
        <v>0</v>
      </c>
      <c r="AK266" s="417">
        <v>0</v>
      </c>
      <c r="AL266" s="378">
        <v>9.5999999999999996E-6</v>
      </c>
      <c r="AM266" s="378"/>
      <c r="AN266" s="417">
        <v>0</v>
      </c>
      <c r="AO266" s="417">
        <v>0</v>
      </c>
      <c r="AP266" s="417">
        <v>0</v>
      </c>
      <c r="AQ266" s="417">
        <v>0</v>
      </c>
      <c r="AR266" s="417">
        <v>0</v>
      </c>
    </row>
    <row r="267" spans="1:44">
      <c r="A267" s="377">
        <v>92651</v>
      </c>
      <c r="B267" t="s">
        <v>975</v>
      </c>
      <c r="C267" s="378">
        <v>4.7999999999999998E-6</v>
      </c>
      <c r="D267" s="378"/>
      <c r="E267" s="417">
        <v>1661</v>
      </c>
      <c r="F267" s="417">
        <v>350</v>
      </c>
      <c r="G267" s="417">
        <v>-401</v>
      </c>
      <c r="H267" s="417">
        <v>-3218</v>
      </c>
      <c r="I267" s="417">
        <v>0</v>
      </c>
      <c r="J267" s="378">
        <v>4.7999999999999998E-6</v>
      </c>
      <c r="K267" s="378"/>
      <c r="L267" s="417">
        <v>1175</v>
      </c>
      <c r="M267" s="417">
        <v>812</v>
      </c>
      <c r="N267" s="417">
        <v>355</v>
      </c>
      <c r="O267" s="417">
        <v>0</v>
      </c>
      <c r="P267" s="417">
        <v>0</v>
      </c>
      <c r="Q267" s="378">
        <v>4.7999999999999998E-6</v>
      </c>
      <c r="R267" s="378"/>
      <c r="S267" s="417">
        <v>-2411</v>
      </c>
      <c r="T267" s="417">
        <v>-2383</v>
      </c>
      <c r="U267" s="417">
        <v>-2504</v>
      </c>
      <c r="V267" s="417">
        <v>-3218</v>
      </c>
      <c r="W267" s="417">
        <v>0</v>
      </c>
      <c r="X267" s="378">
        <v>4.7999999999999998E-6</v>
      </c>
      <c r="Z267" s="417">
        <v>1923</v>
      </c>
      <c r="AA267" s="417">
        <v>1351</v>
      </c>
      <c r="AB267" s="417">
        <v>1351</v>
      </c>
      <c r="AC267" s="417">
        <v>0</v>
      </c>
      <c r="AD267" s="417">
        <v>0</v>
      </c>
      <c r="AE267" s="378">
        <v>4.7999999999999998E-6</v>
      </c>
      <c r="AF267" s="378"/>
      <c r="AG267" s="417">
        <v>974</v>
      </c>
      <c r="AH267" s="417">
        <v>570</v>
      </c>
      <c r="AI267" s="417">
        <v>397</v>
      </c>
      <c r="AJ267" s="417">
        <v>0</v>
      </c>
      <c r="AK267" s="417">
        <v>0</v>
      </c>
      <c r="AL267" s="378">
        <v>4.7999999999999998E-6</v>
      </c>
      <c r="AM267" s="378"/>
      <c r="AN267" s="417">
        <v>0</v>
      </c>
      <c r="AO267" s="417">
        <v>0</v>
      </c>
      <c r="AP267" s="417">
        <v>0</v>
      </c>
      <c r="AQ267" s="417">
        <v>0</v>
      </c>
      <c r="AR267" s="417">
        <v>0</v>
      </c>
    </row>
    <row r="268" spans="1:44">
      <c r="A268" s="377">
        <v>92661</v>
      </c>
      <c r="B268" t="s">
        <v>976</v>
      </c>
      <c r="C268" s="378">
        <v>6.3690000000000003E-4</v>
      </c>
      <c r="D268" s="378"/>
      <c r="E268" s="417">
        <v>233319</v>
      </c>
      <c r="F268" s="417">
        <v>77488</v>
      </c>
      <c r="G268" s="417">
        <v>-52268</v>
      </c>
      <c r="H268" s="417">
        <v>-427025</v>
      </c>
      <c r="I268" s="417">
        <v>0</v>
      </c>
      <c r="J268" s="378">
        <v>6.3690000000000003E-4</v>
      </c>
      <c r="K268" s="378"/>
      <c r="L268" s="417">
        <v>155918</v>
      </c>
      <c r="M268" s="417">
        <v>107682</v>
      </c>
      <c r="N268" s="417">
        <v>47138</v>
      </c>
      <c r="O268" s="417">
        <v>0</v>
      </c>
      <c r="P268" s="417">
        <v>0</v>
      </c>
      <c r="Q268" s="378">
        <v>6.3690000000000003E-4</v>
      </c>
      <c r="R268" s="378"/>
      <c r="S268" s="417">
        <v>-319958</v>
      </c>
      <c r="T268" s="417">
        <v>-316256</v>
      </c>
      <c r="U268" s="417">
        <v>-332240</v>
      </c>
      <c r="V268" s="417">
        <v>-427025</v>
      </c>
      <c r="W268" s="417">
        <v>0</v>
      </c>
      <c r="X268" s="378">
        <v>6.3690000000000003E-4</v>
      </c>
      <c r="Z268" s="417">
        <v>255143</v>
      </c>
      <c r="AA268" s="417">
        <v>179252</v>
      </c>
      <c r="AB268" s="417">
        <v>179251</v>
      </c>
      <c r="AC268" s="417">
        <v>0</v>
      </c>
      <c r="AD268" s="417">
        <v>0</v>
      </c>
      <c r="AE268" s="378">
        <v>6.3690000000000003E-4</v>
      </c>
      <c r="AF268" s="378"/>
      <c r="AG268" s="417">
        <v>142216</v>
      </c>
      <c r="AH268" s="417">
        <v>106810</v>
      </c>
      <c r="AI268" s="417">
        <v>53583</v>
      </c>
      <c r="AJ268" s="417">
        <v>0</v>
      </c>
      <c r="AK268" s="417">
        <v>0</v>
      </c>
      <c r="AL268" s="378">
        <v>6.3690000000000003E-4</v>
      </c>
      <c r="AM268" s="378"/>
      <c r="AN268" s="417">
        <v>0</v>
      </c>
      <c r="AO268" s="417">
        <v>0</v>
      </c>
      <c r="AP268" s="417">
        <v>0</v>
      </c>
      <c r="AQ268" s="417">
        <v>0</v>
      </c>
      <c r="AR268" s="417">
        <v>0</v>
      </c>
    </row>
    <row r="269" spans="1:44">
      <c r="A269" s="377">
        <v>92671</v>
      </c>
      <c r="B269" t="s">
        <v>977</v>
      </c>
      <c r="C269" s="378">
        <v>1.9999999999999999E-6</v>
      </c>
      <c r="D269" s="378"/>
      <c r="E269" s="417">
        <v>3929</v>
      </c>
      <c r="F269" s="417">
        <v>2737</v>
      </c>
      <c r="G269" s="417">
        <v>1124</v>
      </c>
      <c r="H269" s="417">
        <v>-1341</v>
      </c>
      <c r="I269" s="417">
        <v>0</v>
      </c>
      <c r="J269" s="378">
        <v>1.9999999999999999E-6</v>
      </c>
      <c r="K269" s="378"/>
      <c r="L269" s="417">
        <v>490</v>
      </c>
      <c r="M269" s="417">
        <v>338</v>
      </c>
      <c r="N269" s="417">
        <v>148</v>
      </c>
      <c r="O269" s="417">
        <v>0</v>
      </c>
      <c r="P269" s="417">
        <v>0</v>
      </c>
      <c r="Q269" s="378">
        <v>1.9999999999999999E-6</v>
      </c>
      <c r="R269" s="378"/>
      <c r="S269" s="417">
        <v>-1005</v>
      </c>
      <c r="T269" s="417">
        <v>-993</v>
      </c>
      <c r="U269" s="417">
        <v>-1043</v>
      </c>
      <c r="V269" s="417">
        <v>-1341</v>
      </c>
      <c r="W269" s="417">
        <v>0</v>
      </c>
      <c r="X269" s="378">
        <v>1.9999999999999999E-6</v>
      </c>
      <c r="Z269" s="417">
        <v>801</v>
      </c>
      <c r="AA269" s="417">
        <v>563</v>
      </c>
      <c r="AB269" s="417">
        <v>563</v>
      </c>
      <c r="AC269" s="417">
        <v>0</v>
      </c>
      <c r="AD269" s="417">
        <v>0</v>
      </c>
      <c r="AE269" s="378">
        <v>1.9999999999999999E-6</v>
      </c>
      <c r="AF269" s="378"/>
      <c r="AG269" s="417">
        <v>3643</v>
      </c>
      <c r="AH269" s="417">
        <v>2829</v>
      </c>
      <c r="AI269" s="417">
        <v>1456</v>
      </c>
      <c r="AJ269" s="417">
        <v>0</v>
      </c>
      <c r="AK269" s="417">
        <v>0</v>
      </c>
      <c r="AL269" s="378">
        <v>1.9999999999999999E-6</v>
      </c>
      <c r="AM269" s="378"/>
      <c r="AN269" s="417">
        <v>0</v>
      </c>
      <c r="AO269" s="417">
        <v>0</v>
      </c>
      <c r="AP269" s="417">
        <v>0</v>
      </c>
      <c r="AQ269" s="417">
        <v>0</v>
      </c>
      <c r="AR269" s="417">
        <v>0</v>
      </c>
    </row>
    <row r="270" spans="1:44">
      <c r="A270" s="377">
        <v>92681</v>
      </c>
      <c r="B270" t="s">
        <v>978</v>
      </c>
      <c r="C270" s="378">
        <v>9.5999999999999996E-6</v>
      </c>
      <c r="D270" s="378"/>
      <c r="E270" s="417">
        <v>1777</v>
      </c>
      <c r="F270" s="417">
        <v>-1332</v>
      </c>
      <c r="G270" s="417">
        <v>-1775</v>
      </c>
      <c r="H270" s="417">
        <v>-6437</v>
      </c>
      <c r="I270" s="417">
        <v>0</v>
      </c>
      <c r="J270" s="378">
        <v>9.5999999999999996E-6</v>
      </c>
      <c r="K270" s="378"/>
      <c r="L270" s="417">
        <v>2350</v>
      </c>
      <c r="M270" s="417">
        <v>1623</v>
      </c>
      <c r="N270" s="417">
        <v>711</v>
      </c>
      <c r="O270" s="417">
        <v>0</v>
      </c>
      <c r="P270" s="417">
        <v>0</v>
      </c>
      <c r="Q270" s="378">
        <v>9.5999999999999996E-6</v>
      </c>
      <c r="R270" s="378"/>
      <c r="S270" s="417">
        <v>-4823</v>
      </c>
      <c r="T270" s="417">
        <v>-4767</v>
      </c>
      <c r="U270" s="417">
        <v>-5008</v>
      </c>
      <c r="V270" s="417">
        <v>-6437</v>
      </c>
      <c r="W270" s="417">
        <v>0</v>
      </c>
      <c r="X270" s="378">
        <v>9.5999999999999996E-6</v>
      </c>
      <c r="Z270" s="417">
        <v>3846</v>
      </c>
      <c r="AA270" s="417">
        <v>2702</v>
      </c>
      <c r="AB270" s="417">
        <v>2702</v>
      </c>
      <c r="AC270" s="417">
        <v>0</v>
      </c>
      <c r="AD270" s="417">
        <v>0</v>
      </c>
      <c r="AE270" s="378">
        <v>9.5999999999999996E-6</v>
      </c>
      <c r="AF270" s="378"/>
      <c r="AG270" s="417">
        <v>1856</v>
      </c>
      <c r="AH270" s="417">
        <v>563</v>
      </c>
      <c r="AI270" s="417">
        <v>0</v>
      </c>
      <c r="AJ270" s="417">
        <v>0</v>
      </c>
      <c r="AK270" s="417">
        <v>0</v>
      </c>
      <c r="AL270" s="378">
        <v>9.5999999999999996E-6</v>
      </c>
      <c r="AM270" s="378"/>
      <c r="AN270" s="417">
        <v>-1452</v>
      </c>
      <c r="AO270" s="417">
        <v>-1453</v>
      </c>
      <c r="AP270" s="417">
        <v>-180</v>
      </c>
      <c r="AQ270" s="417">
        <v>0</v>
      </c>
      <c r="AR270" s="417">
        <v>0</v>
      </c>
    </row>
    <row r="271" spans="1:44">
      <c r="A271" s="377">
        <v>92701</v>
      </c>
      <c r="B271" t="s">
        <v>979</v>
      </c>
      <c r="C271" s="378">
        <v>2.9215999999999999E-3</v>
      </c>
      <c r="D271" s="378"/>
      <c r="E271" s="417">
        <v>325717</v>
      </c>
      <c r="F271" s="417">
        <v>-189032</v>
      </c>
      <c r="G271" s="417">
        <v>-519447</v>
      </c>
      <c r="H271" s="417">
        <v>-1958857</v>
      </c>
      <c r="I271" s="417">
        <v>0</v>
      </c>
      <c r="J271" s="378">
        <v>2.9215999999999999E-3</v>
      </c>
      <c r="K271" s="378"/>
      <c r="L271" s="417">
        <v>715231</v>
      </c>
      <c r="M271" s="417">
        <v>493961</v>
      </c>
      <c r="N271" s="417">
        <v>216233</v>
      </c>
      <c r="O271" s="417">
        <v>0</v>
      </c>
      <c r="P271" s="417">
        <v>0</v>
      </c>
      <c r="Q271" s="378">
        <v>2.9215999999999999E-3</v>
      </c>
      <c r="R271" s="378"/>
      <c r="S271" s="417">
        <v>-1467718</v>
      </c>
      <c r="T271" s="417">
        <v>-1450735</v>
      </c>
      <c r="U271" s="417">
        <v>-1524056</v>
      </c>
      <c r="V271" s="417">
        <v>-1958857</v>
      </c>
      <c r="W271" s="417">
        <v>0</v>
      </c>
      <c r="X271" s="378">
        <v>2.9215999999999999E-3</v>
      </c>
      <c r="Z271" s="417">
        <v>1170399</v>
      </c>
      <c r="AA271" s="417">
        <v>822270</v>
      </c>
      <c r="AB271" s="417">
        <v>822264</v>
      </c>
      <c r="AC271" s="417">
        <v>0</v>
      </c>
      <c r="AD271" s="417">
        <v>0</v>
      </c>
      <c r="AE271" s="378">
        <v>2.9215999999999999E-3</v>
      </c>
      <c r="AF271" s="378"/>
      <c r="AG271" s="417">
        <v>25269</v>
      </c>
      <c r="AH271" s="417">
        <v>25271</v>
      </c>
      <c r="AI271" s="417">
        <v>0</v>
      </c>
      <c r="AJ271" s="417">
        <v>0</v>
      </c>
      <c r="AK271" s="417">
        <v>0</v>
      </c>
      <c r="AL271" s="378">
        <v>2.9215999999999999E-3</v>
      </c>
      <c r="AM271" s="378"/>
      <c r="AN271" s="417">
        <v>-117464</v>
      </c>
      <c r="AO271" s="417">
        <v>-79799</v>
      </c>
      <c r="AP271" s="417">
        <v>-33888</v>
      </c>
      <c r="AQ271" s="417">
        <v>0</v>
      </c>
      <c r="AR271" s="417">
        <v>0</v>
      </c>
    </row>
    <row r="272" spans="1:44">
      <c r="A272" s="377">
        <v>92704</v>
      </c>
      <c r="B272" t="s">
        <v>980</v>
      </c>
      <c r="C272" s="378">
        <v>4.0299999999999997E-5</v>
      </c>
      <c r="D272" s="378"/>
      <c r="E272" s="417">
        <v>8020</v>
      </c>
      <c r="F272" s="417">
        <v>728</v>
      </c>
      <c r="G272" s="417">
        <v>-3889</v>
      </c>
      <c r="H272" s="417">
        <v>-27020</v>
      </c>
      <c r="I272" s="417">
        <v>0</v>
      </c>
      <c r="J272" s="378">
        <v>4.0299999999999997E-5</v>
      </c>
      <c r="K272" s="378"/>
      <c r="L272" s="417">
        <v>9866</v>
      </c>
      <c r="M272" s="417">
        <v>6814</v>
      </c>
      <c r="N272" s="417">
        <v>2983</v>
      </c>
      <c r="O272" s="417">
        <v>0</v>
      </c>
      <c r="P272" s="417">
        <v>0</v>
      </c>
      <c r="Q272" s="378">
        <v>4.0299999999999997E-5</v>
      </c>
      <c r="R272" s="378"/>
      <c r="S272" s="417">
        <v>-20245</v>
      </c>
      <c r="T272" s="417">
        <v>-20011</v>
      </c>
      <c r="U272" s="417">
        <v>-21023</v>
      </c>
      <c r="V272" s="417">
        <v>-27020</v>
      </c>
      <c r="W272" s="417">
        <v>0</v>
      </c>
      <c r="X272" s="378">
        <v>4.0299999999999997E-5</v>
      </c>
      <c r="Z272" s="417">
        <v>16144</v>
      </c>
      <c r="AA272" s="417">
        <v>11342</v>
      </c>
      <c r="AB272" s="417">
        <v>11342</v>
      </c>
      <c r="AC272" s="417">
        <v>0</v>
      </c>
      <c r="AD272" s="417">
        <v>0</v>
      </c>
      <c r="AE272" s="378">
        <v>4.0299999999999997E-5</v>
      </c>
      <c r="AF272" s="378"/>
      <c r="AG272" s="417">
        <v>2968</v>
      </c>
      <c r="AH272" s="417">
        <v>2967</v>
      </c>
      <c r="AI272" s="417">
        <v>2809</v>
      </c>
      <c r="AJ272" s="417">
        <v>0</v>
      </c>
      <c r="AK272" s="417">
        <v>0</v>
      </c>
      <c r="AL272" s="378">
        <v>4.0299999999999997E-5</v>
      </c>
      <c r="AM272" s="378"/>
      <c r="AN272" s="417">
        <v>-713</v>
      </c>
      <c r="AO272" s="417">
        <v>-384</v>
      </c>
      <c r="AP272" s="417">
        <v>0</v>
      </c>
      <c r="AQ272" s="417">
        <v>0</v>
      </c>
      <c r="AR272" s="417">
        <v>0</v>
      </c>
    </row>
    <row r="273" spans="1:44">
      <c r="A273" s="377">
        <v>92801</v>
      </c>
      <c r="B273" t="s">
        <v>981</v>
      </c>
      <c r="C273" s="378">
        <v>5.1568999999999999E-3</v>
      </c>
      <c r="D273" s="378"/>
      <c r="E273" s="417">
        <v>759112</v>
      </c>
      <c r="F273" s="417">
        <v>-257526</v>
      </c>
      <c r="G273" s="417">
        <v>-968086</v>
      </c>
      <c r="H273" s="417">
        <v>-3457567</v>
      </c>
      <c r="I273" s="417">
        <v>0</v>
      </c>
      <c r="J273" s="378">
        <v>5.1568999999999999E-3</v>
      </c>
      <c r="K273" s="378"/>
      <c r="L273" s="417">
        <v>1262450</v>
      </c>
      <c r="M273" s="417">
        <v>871887</v>
      </c>
      <c r="N273" s="417">
        <v>381672</v>
      </c>
      <c r="O273" s="417">
        <v>0</v>
      </c>
      <c r="P273" s="417">
        <v>0</v>
      </c>
      <c r="Q273" s="378">
        <v>5.1568999999999999E-3</v>
      </c>
      <c r="R273" s="378"/>
      <c r="S273" s="417">
        <v>-2590662</v>
      </c>
      <c r="T273" s="417">
        <v>-2560684</v>
      </c>
      <c r="U273" s="417">
        <v>-2690102</v>
      </c>
      <c r="V273" s="417">
        <v>-3457567</v>
      </c>
      <c r="W273" s="417">
        <v>0</v>
      </c>
      <c r="X273" s="378">
        <v>5.1568999999999999E-3</v>
      </c>
      <c r="Z273" s="417">
        <v>2065864</v>
      </c>
      <c r="AA273" s="417">
        <v>1451384</v>
      </c>
      <c r="AB273" s="417">
        <v>1451373</v>
      </c>
      <c r="AC273" s="417">
        <v>0</v>
      </c>
      <c r="AD273" s="417">
        <v>0</v>
      </c>
      <c r="AE273" s="378">
        <v>5.1568999999999999E-3</v>
      </c>
      <c r="AF273" s="378"/>
      <c r="AG273" s="417">
        <v>132491</v>
      </c>
      <c r="AH273" s="417">
        <v>90918</v>
      </c>
      <c r="AI273" s="417">
        <v>0</v>
      </c>
      <c r="AJ273" s="417">
        <v>0</v>
      </c>
      <c r="AK273" s="417">
        <v>0</v>
      </c>
      <c r="AL273" s="378">
        <v>5.1568999999999999E-3</v>
      </c>
      <c r="AM273" s="378"/>
      <c r="AN273" s="417">
        <v>-111031</v>
      </c>
      <c r="AO273" s="417">
        <v>-111031</v>
      </c>
      <c r="AP273" s="417">
        <v>-111029</v>
      </c>
      <c r="AQ273" s="417">
        <v>0</v>
      </c>
      <c r="AR273" s="417">
        <v>0</v>
      </c>
    </row>
    <row r="274" spans="1:44">
      <c r="A274" s="377">
        <v>92802</v>
      </c>
      <c r="B274" t="s">
        <v>982</v>
      </c>
      <c r="C274" s="378">
        <v>9.9099999999999996E-5</v>
      </c>
      <c r="D274" s="378"/>
      <c r="E274" s="417">
        <v>-520</v>
      </c>
      <c r="F274" s="417">
        <v>-17967</v>
      </c>
      <c r="G274" s="417">
        <v>-24554</v>
      </c>
      <c r="H274" s="417">
        <v>-66444</v>
      </c>
      <c r="I274" s="417">
        <v>0</v>
      </c>
      <c r="J274" s="378">
        <v>9.9099999999999996E-5</v>
      </c>
      <c r="K274" s="378"/>
      <c r="L274" s="417">
        <v>24260</v>
      </c>
      <c r="M274" s="417">
        <v>16755</v>
      </c>
      <c r="N274" s="417">
        <v>7335</v>
      </c>
      <c r="O274" s="417">
        <v>0</v>
      </c>
      <c r="P274" s="417">
        <v>0</v>
      </c>
      <c r="Q274" s="378">
        <v>9.9099999999999996E-5</v>
      </c>
      <c r="R274" s="378"/>
      <c r="S274" s="417">
        <v>-49785</v>
      </c>
      <c r="T274" s="417">
        <v>-49209</v>
      </c>
      <c r="U274" s="417">
        <v>-51696</v>
      </c>
      <c r="V274" s="417">
        <v>-66444</v>
      </c>
      <c r="W274" s="417">
        <v>0</v>
      </c>
      <c r="X274" s="378">
        <v>9.9099999999999996E-5</v>
      </c>
      <c r="Z274" s="417">
        <v>39700</v>
      </c>
      <c r="AA274" s="417">
        <v>27891</v>
      </c>
      <c r="AB274" s="417">
        <v>27891</v>
      </c>
      <c r="AC274" s="417">
        <v>0</v>
      </c>
      <c r="AD274" s="417">
        <v>0</v>
      </c>
      <c r="AE274" s="378">
        <v>9.9099999999999996E-5</v>
      </c>
      <c r="AF274" s="378"/>
      <c r="AG274" s="417">
        <v>0</v>
      </c>
      <c r="AH274" s="417">
        <v>0</v>
      </c>
      <c r="AI274" s="417">
        <v>0</v>
      </c>
      <c r="AJ274" s="417">
        <v>0</v>
      </c>
      <c r="AK274" s="417">
        <v>0</v>
      </c>
      <c r="AL274" s="378">
        <v>9.9099999999999996E-5</v>
      </c>
      <c r="AM274" s="378"/>
      <c r="AN274" s="417">
        <v>-14695</v>
      </c>
      <c r="AO274" s="417">
        <v>-13404</v>
      </c>
      <c r="AP274" s="417">
        <v>-8084</v>
      </c>
      <c r="AQ274" s="417">
        <v>0</v>
      </c>
      <c r="AR274" s="417">
        <v>0</v>
      </c>
    </row>
    <row r="275" spans="1:44">
      <c r="A275" s="377">
        <v>92804</v>
      </c>
      <c r="B275" t="s">
        <v>983</v>
      </c>
      <c r="C275" s="378">
        <v>1.371E-4</v>
      </c>
      <c r="D275" s="378"/>
      <c r="E275" s="417">
        <v>11297</v>
      </c>
      <c r="F275" s="417">
        <v>-15752</v>
      </c>
      <c r="G275" s="417">
        <v>-31277</v>
      </c>
      <c r="H275" s="417">
        <v>-91922</v>
      </c>
      <c r="I275" s="417">
        <v>0</v>
      </c>
      <c r="J275" s="378">
        <v>1.371E-4</v>
      </c>
      <c r="K275" s="378"/>
      <c r="L275" s="417">
        <v>33563</v>
      </c>
      <c r="M275" s="417">
        <v>23180</v>
      </c>
      <c r="N275" s="417">
        <v>10147</v>
      </c>
      <c r="O275" s="417">
        <v>0</v>
      </c>
      <c r="P275" s="417">
        <v>0</v>
      </c>
      <c r="Q275" s="378">
        <v>1.371E-4</v>
      </c>
      <c r="R275" s="378"/>
      <c r="S275" s="417">
        <v>-68875</v>
      </c>
      <c r="T275" s="417">
        <v>-68078</v>
      </c>
      <c r="U275" s="417">
        <v>-71518</v>
      </c>
      <c r="V275" s="417">
        <v>-91922</v>
      </c>
      <c r="W275" s="417">
        <v>0</v>
      </c>
      <c r="X275" s="378">
        <v>1.371E-4</v>
      </c>
      <c r="Z275" s="417">
        <v>54923</v>
      </c>
      <c r="AA275" s="417">
        <v>38586</v>
      </c>
      <c r="AB275" s="417">
        <v>38586</v>
      </c>
      <c r="AC275" s="417">
        <v>0</v>
      </c>
      <c r="AD275" s="417">
        <v>0</v>
      </c>
      <c r="AE275" s="378">
        <v>1.371E-4</v>
      </c>
      <c r="AF275" s="378"/>
      <c r="AG275" s="417">
        <v>2599</v>
      </c>
      <c r="AH275" s="417">
        <v>1472</v>
      </c>
      <c r="AI275" s="417">
        <v>0</v>
      </c>
      <c r="AJ275" s="417">
        <v>0</v>
      </c>
      <c r="AK275" s="417">
        <v>0</v>
      </c>
      <c r="AL275" s="378">
        <v>1.371E-4</v>
      </c>
      <c r="AM275" s="378"/>
      <c r="AN275" s="417">
        <v>-10913</v>
      </c>
      <c r="AO275" s="417">
        <v>-10912</v>
      </c>
      <c r="AP275" s="417">
        <v>-8492</v>
      </c>
      <c r="AQ275" s="417">
        <v>0</v>
      </c>
      <c r="AR275" s="417">
        <v>0</v>
      </c>
    </row>
    <row r="276" spans="1:44">
      <c r="A276" s="377">
        <v>92811</v>
      </c>
      <c r="B276" t="s">
        <v>984</v>
      </c>
      <c r="C276" s="378">
        <v>9.3099999999999997E-4</v>
      </c>
      <c r="D276" s="378"/>
      <c r="E276" s="417">
        <v>127490</v>
      </c>
      <c r="F276" s="417">
        <v>-43440</v>
      </c>
      <c r="G276" s="417">
        <v>-169360</v>
      </c>
      <c r="H276" s="417">
        <v>-624211</v>
      </c>
      <c r="I276" s="417">
        <v>0</v>
      </c>
      <c r="J276" s="378">
        <v>9.3099999999999997E-4</v>
      </c>
      <c r="K276" s="378"/>
      <c r="L276" s="417">
        <v>227916</v>
      </c>
      <c r="M276" s="417">
        <v>157406</v>
      </c>
      <c r="N276" s="417">
        <v>68905</v>
      </c>
      <c r="O276" s="417">
        <v>0</v>
      </c>
      <c r="P276" s="417">
        <v>0</v>
      </c>
      <c r="Q276" s="378">
        <v>9.3099999999999997E-4</v>
      </c>
      <c r="R276" s="378"/>
      <c r="S276" s="417">
        <v>-467705</v>
      </c>
      <c r="T276" s="417">
        <v>-462293</v>
      </c>
      <c r="U276" s="417">
        <v>-485657</v>
      </c>
      <c r="V276" s="417">
        <v>-624211</v>
      </c>
      <c r="W276" s="417">
        <v>0</v>
      </c>
      <c r="X276" s="378">
        <v>9.3099999999999997E-4</v>
      </c>
      <c r="Z276" s="417">
        <v>372960</v>
      </c>
      <c r="AA276" s="417">
        <v>262025</v>
      </c>
      <c r="AB276" s="417">
        <v>262023</v>
      </c>
      <c r="AC276" s="417">
        <v>0</v>
      </c>
      <c r="AD276" s="417">
        <v>0</v>
      </c>
      <c r="AE276" s="378">
        <v>9.3099999999999997E-4</v>
      </c>
      <c r="AF276" s="378"/>
      <c r="AG276" s="417">
        <v>22192</v>
      </c>
      <c r="AH276" s="417">
        <v>22192</v>
      </c>
      <c r="AI276" s="417">
        <v>0</v>
      </c>
      <c r="AJ276" s="417">
        <v>0</v>
      </c>
      <c r="AK276" s="417">
        <v>0</v>
      </c>
      <c r="AL276" s="378">
        <v>9.3099999999999997E-4</v>
      </c>
      <c r="AM276" s="378"/>
      <c r="AN276" s="417">
        <v>-27873</v>
      </c>
      <c r="AO276" s="417">
        <v>-22770</v>
      </c>
      <c r="AP276" s="417">
        <v>-14631</v>
      </c>
      <c r="AQ276" s="417">
        <v>0</v>
      </c>
      <c r="AR276" s="417">
        <v>0</v>
      </c>
    </row>
    <row r="277" spans="1:44">
      <c r="A277" s="377">
        <v>92821</v>
      </c>
      <c r="B277" t="s">
        <v>985</v>
      </c>
      <c r="C277" s="378">
        <v>9.634E-4</v>
      </c>
      <c r="D277" s="378"/>
      <c r="E277" s="417">
        <v>159714</v>
      </c>
      <c r="F277" s="417">
        <v>-26019</v>
      </c>
      <c r="G277" s="417">
        <v>-156512</v>
      </c>
      <c r="H277" s="417">
        <v>-645935</v>
      </c>
      <c r="I277" s="417">
        <v>0</v>
      </c>
      <c r="J277" s="378">
        <v>9.634E-4</v>
      </c>
      <c r="K277" s="378"/>
      <c r="L277" s="417">
        <v>235848</v>
      </c>
      <c r="M277" s="417">
        <v>162884</v>
      </c>
      <c r="N277" s="417">
        <v>71303</v>
      </c>
      <c r="O277" s="417">
        <v>0</v>
      </c>
      <c r="P277" s="417">
        <v>0</v>
      </c>
      <c r="Q277" s="378">
        <v>9.634E-4</v>
      </c>
      <c r="R277" s="378"/>
      <c r="S277" s="417">
        <v>-483981</v>
      </c>
      <c r="T277" s="417">
        <v>-478381</v>
      </c>
      <c r="U277" s="417">
        <v>-502559</v>
      </c>
      <c r="V277" s="417">
        <v>-645935</v>
      </c>
      <c r="W277" s="417">
        <v>0</v>
      </c>
      <c r="X277" s="378">
        <v>9.634E-4</v>
      </c>
      <c r="Z277" s="417">
        <v>385940</v>
      </c>
      <c r="AA277" s="417">
        <v>271144</v>
      </c>
      <c r="AB277" s="417">
        <v>271142</v>
      </c>
      <c r="AC277" s="417">
        <v>0</v>
      </c>
      <c r="AD277" s="417">
        <v>0</v>
      </c>
      <c r="AE277" s="378">
        <v>9.634E-4</v>
      </c>
      <c r="AF277" s="378"/>
      <c r="AG277" s="417">
        <v>21907</v>
      </c>
      <c r="AH277" s="417">
        <v>18334</v>
      </c>
      <c r="AI277" s="417">
        <v>3602</v>
      </c>
      <c r="AJ277" s="417">
        <v>0</v>
      </c>
      <c r="AK277" s="417">
        <v>0</v>
      </c>
      <c r="AL277" s="378">
        <v>9.634E-4</v>
      </c>
      <c r="AM277" s="378"/>
      <c r="AN277" s="417">
        <v>0</v>
      </c>
      <c r="AO277" s="417">
        <v>0</v>
      </c>
      <c r="AP277" s="417">
        <v>0</v>
      </c>
      <c r="AQ277" s="417">
        <v>0</v>
      </c>
      <c r="AR277" s="417">
        <v>0</v>
      </c>
    </row>
    <row r="278" spans="1:44">
      <c r="A278" s="377">
        <v>92831</v>
      </c>
      <c r="B278" t="s">
        <v>986</v>
      </c>
      <c r="C278" s="378">
        <v>2.5819999999999999E-4</v>
      </c>
      <c r="D278" s="378"/>
      <c r="E278" s="417">
        <v>61727</v>
      </c>
      <c r="F278" s="417">
        <v>6035</v>
      </c>
      <c r="G278" s="417">
        <v>-42099</v>
      </c>
      <c r="H278" s="417">
        <v>-173116</v>
      </c>
      <c r="I278" s="417">
        <v>0</v>
      </c>
      <c r="J278" s="378">
        <v>2.5819999999999999E-4</v>
      </c>
      <c r="K278" s="378"/>
      <c r="L278" s="417">
        <v>63209</v>
      </c>
      <c r="M278" s="417">
        <v>43654</v>
      </c>
      <c r="N278" s="417">
        <v>19110</v>
      </c>
      <c r="O278" s="417">
        <v>0</v>
      </c>
      <c r="P278" s="417">
        <v>0</v>
      </c>
      <c r="Q278" s="378">
        <v>2.5819999999999999E-4</v>
      </c>
      <c r="R278" s="378"/>
      <c r="S278" s="417">
        <v>-129711</v>
      </c>
      <c r="T278" s="417">
        <v>-128211</v>
      </c>
      <c r="U278" s="417">
        <v>-134690</v>
      </c>
      <c r="V278" s="417">
        <v>-173116</v>
      </c>
      <c r="W278" s="417">
        <v>0</v>
      </c>
      <c r="X278" s="378">
        <v>2.5819999999999999E-4</v>
      </c>
      <c r="Z278" s="417">
        <v>103435</v>
      </c>
      <c r="AA278" s="417">
        <v>72669</v>
      </c>
      <c r="AB278" s="417">
        <v>72669</v>
      </c>
      <c r="AC278" s="417">
        <v>0</v>
      </c>
      <c r="AD278" s="417">
        <v>0</v>
      </c>
      <c r="AE278" s="378">
        <v>2.5819999999999999E-4</v>
      </c>
      <c r="AF278" s="378"/>
      <c r="AG278" s="417">
        <v>24794</v>
      </c>
      <c r="AH278" s="417">
        <v>17923</v>
      </c>
      <c r="AI278" s="417">
        <v>812</v>
      </c>
      <c r="AJ278" s="417">
        <v>0</v>
      </c>
      <c r="AK278" s="417">
        <v>0</v>
      </c>
      <c r="AL278" s="378">
        <v>2.5819999999999999E-4</v>
      </c>
      <c r="AM278" s="378"/>
      <c r="AN278" s="417">
        <v>0</v>
      </c>
      <c r="AO278" s="417">
        <v>0</v>
      </c>
      <c r="AP278" s="417">
        <v>0</v>
      </c>
      <c r="AQ278" s="417">
        <v>0</v>
      </c>
      <c r="AR278" s="417">
        <v>0</v>
      </c>
    </row>
    <row r="279" spans="1:44">
      <c r="A279" s="377">
        <v>92841</v>
      </c>
      <c r="B279" t="s">
        <v>987</v>
      </c>
      <c r="C279" s="378">
        <v>2.6180000000000002E-4</v>
      </c>
      <c r="D279" s="378"/>
      <c r="E279" s="417">
        <v>43681</v>
      </c>
      <c r="F279" s="417">
        <v>-1967</v>
      </c>
      <c r="G279" s="417">
        <v>-23000</v>
      </c>
      <c r="H279" s="417">
        <v>-175530</v>
      </c>
      <c r="I279" s="417">
        <v>0</v>
      </c>
      <c r="J279" s="378">
        <v>2.6180000000000002E-4</v>
      </c>
      <c r="K279" s="378"/>
      <c r="L279" s="417">
        <v>64091</v>
      </c>
      <c r="M279" s="417">
        <v>44263</v>
      </c>
      <c r="N279" s="417">
        <v>19376</v>
      </c>
      <c r="O279" s="417">
        <v>0</v>
      </c>
      <c r="P279" s="417">
        <v>0</v>
      </c>
      <c r="Q279" s="378">
        <v>2.6180000000000002E-4</v>
      </c>
      <c r="R279" s="378"/>
      <c r="S279" s="417">
        <v>-131520</v>
      </c>
      <c r="T279" s="417">
        <v>-129998</v>
      </c>
      <c r="U279" s="417">
        <v>-136568</v>
      </c>
      <c r="V279" s="417">
        <v>-175530</v>
      </c>
      <c r="W279" s="417">
        <v>0</v>
      </c>
      <c r="X279" s="378">
        <v>2.6180000000000002E-4</v>
      </c>
      <c r="Z279" s="417">
        <v>104878</v>
      </c>
      <c r="AA279" s="417">
        <v>73682</v>
      </c>
      <c r="AB279" s="417">
        <v>73682</v>
      </c>
      <c r="AC279" s="417">
        <v>0</v>
      </c>
      <c r="AD279" s="417">
        <v>0</v>
      </c>
      <c r="AE279" s="378">
        <v>2.6180000000000002E-4</v>
      </c>
      <c r="AF279" s="378"/>
      <c r="AG279" s="417">
        <v>20511</v>
      </c>
      <c r="AH279" s="417">
        <v>20511</v>
      </c>
      <c r="AI279" s="417">
        <v>20510</v>
      </c>
      <c r="AJ279" s="417">
        <v>0</v>
      </c>
      <c r="AK279" s="417">
        <v>0</v>
      </c>
      <c r="AL279" s="378">
        <v>2.6180000000000002E-4</v>
      </c>
      <c r="AM279" s="378"/>
      <c r="AN279" s="417">
        <v>-14279</v>
      </c>
      <c r="AO279" s="417">
        <v>-10425</v>
      </c>
      <c r="AP279" s="417">
        <v>0</v>
      </c>
      <c r="AQ279" s="417">
        <v>0</v>
      </c>
      <c r="AR279" s="417">
        <v>0</v>
      </c>
    </row>
    <row r="280" spans="1:44">
      <c r="A280" s="377">
        <v>92851</v>
      </c>
      <c r="B280" t="s">
        <v>988</v>
      </c>
      <c r="C280" s="378">
        <v>3.7429999999999999E-4</v>
      </c>
      <c r="D280" s="378"/>
      <c r="E280" s="417">
        <v>7779</v>
      </c>
      <c r="F280" s="417">
        <v>-54558</v>
      </c>
      <c r="G280" s="417">
        <v>-73787</v>
      </c>
      <c r="H280" s="417">
        <v>-250958</v>
      </c>
      <c r="I280" s="417">
        <v>0</v>
      </c>
      <c r="J280" s="378">
        <v>3.7429999999999999E-4</v>
      </c>
      <c r="K280" s="378"/>
      <c r="L280" s="417">
        <v>91632</v>
      </c>
      <c r="M280" s="417">
        <v>63284</v>
      </c>
      <c r="N280" s="417">
        <v>27703</v>
      </c>
      <c r="O280" s="417">
        <v>0</v>
      </c>
      <c r="P280" s="417">
        <v>0</v>
      </c>
      <c r="Q280" s="378">
        <v>3.7429999999999999E-4</v>
      </c>
      <c r="R280" s="378"/>
      <c r="S280" s="417">
        <v>-188036</v>
      </c>
      <c r="T280" s="417">
        <v>-185861</v>
      </c>
      <c r="U280" s="417">
        <v>-195254</v>
      </c>
      <c r="V280" s="417">
        <v>-250958</v>
      </c>
      <c r="W280" s="417">
        <v>0</v>
      </c>
      <c r="X280" s="378">
        <v>3.7429999999999999E-4</v>
      </c>
      <c r="Z280" s="417">
        <v>149945</v>
      </c>
      <c r="AA280" s="417">
        <v>105345</v>
      </c>
      <c r="AB280" s="417">
        <v>105344</v>
      </c>
      <c r="AC280" s="417">
        <v>0</v>
      </c>
      <c r="AD280" s="417">
        <v>0</v>
      </c>
      <c r="AE280" s="378">
        <v>3.7429999999999999E-4</v>
      </c>
      <c r="AF280" s="378"/>
      <c r="AG280" s="417">
        <v>0</v>
      </c>
      <c r="AH280" s="417">
        <v>0</v>
      </c>
      <c r="AI280" s="417">
        <v>0</v>
      </c>
      <c r="AJ280" s="417">
        <v>0</v>
      </c>
      <c r="AK280" s="417">
        <v>0</v>
      </c>
      <c r="AL280" s="378">
        <v>3.7429999999999999E-4</v>
      </c>
      <c r="AM280" s="378"/>
      <c r="AN280" s="417">
        <v>-45762</v>
      </c>
      <c r="AO280" s="417">
        <v>-37326</v>
      </c>
      <c r="AP280" s="417">
        <v>-11580</v>
      </c>
      <c r="AQ280" s="417">
        <v>0</v>
      </c>
      <c r="AR280" s="417">
        <v>0</v>
      </c>
    </row>
    <row r="281" spans="1:44">
      <c r="A281" s="377">
        <v>92861</v>
      </c>
      <c r="B281" t="s">
        <v>989</v>
      </c>
      <c r="C281" s="378">
        <v>3.4749999999999999E-4</v>
      </c>
      <c r="D281" s="378"/>
      <c r="E281" s="417">
        <v>7428</v>
      </c>
      <c r="F281" s="417">
        <v>-51494</v>
      </c>
      <c r="G281" s="417">
        <v>-82074</v>
      </c>
      <c r="H281" s="417">
        <v>-232990</v>
      </c>
      <c r="I281" s="417">
        <v>0</v>
      </c>
      <c r="J281" s="378">
        <v>3.4749999999999999E-4</v>
      </c>
      <c r="K281" s="378"/>
      <c r="L281" s="417">
        <v>85071</v>
      </c>
      <c r="M281" s="417">
        <v>58753</v>
      </c>
      <c r="N281" s="417">
        <v>25719</v>
      </c>
      <c r="O281" s="417">
        <v>0</v>
      </c>
      <c r="P281" s="417">
        <v>0</v>
      </c>
      <c r="Q281" s="378">
        <v>3.4749999999999999E-4</v>
      </c>
      <c r="R281" s="378"/>
      <c r="S281" s="417">
        <v>-174573</v>
      </c>
      <c r="T281" s="417">
        <v>-172553</v>
      </c>
      <c r="U281" s="417">
        <v>-181274</v>
      </c>
      <c r="V281" s="417">
        <v>-232990</v>
      </c>
      <c r="W281" s="417">
        <v>0</v>
      </c>
      <c r="X281" s="378">
        <v>3.4749999999999999E-4</v>
      </c>
      <c r="Z281" s="417">
        <v>139209</v>
      </c>
      <c r="AA281" s="417">
        <v>97802</v>
      </c>
      <c r="AB281" s="417">
        <v>97801</v>
      </c>
      <c r="AC281" s="417">
        <v>0</v>
      </c>
      <c r="AD281" s="417">
        <v>0</v>
      </c>
      <c r="AE281" s="378">
        <v>3.4749999999999999E-4</v>
      </c>
      <c r="AF281" s="378"/>
      <c r="AG281" s="417">
        <v>0</v>
      </c>
      <c r="AH281" s="417">
        <v>0</v>
      </c>
      <c r="AI281" s="417">
        <v>0</v>
      </c>
      <c r="AJ281" s="417">
        <v>0</v>
      </c>
      <c r="AK281" s="417">
        <v>0</v>
      </c>
      <c r="AL281" s="378">
        <v>3.4749999999999999E-4</v>
      </c>
      <c r="AM281" s="378"/>
      <c r="AN281" s="417">
        <v>-42279</v>
      </c>
      <c r="AO281" s="417">
        <v>-35496</v>
      </c>
      <c r="AP281" s="417">
        <v>-24320</v>
      </c>
      <c r="AQ281" s="417">
        <v>0</v>
      </c>
      <c r="AR281" s="417">
        <v>0</v>
      </c>
    </row>
    <row r="282" spans="1:44">
      <c r="A282" s="377">
        <v>92901</v>
      </c>
      <c r="B282" t="s">
        <v>990</v>
      </c>
      <c r="C282" s="378">
        <v>5.2097000000000003E-3</v>
      </c>
      <c r="D282" s="378"/>
      <c r="E282" s="417">
        <v>701631</v>
      </c>
      <c r="F282" s="417">
        <v>-282673</v>
      </c>
      <c r="G282" s="417">
        <v>-949978</v>
      </c>
      <c r="H282" s="417">
        <v>-3492968</v>
      </c>
      <c r="I282" s="417">
        <v>0</v>
      </c>
      <c r="J282" s="378">
        <v>5.2097000000000003E-3</v>
      </c>
      <c r="K282" s="378"/>
      <c r="L282" s="417">
        <v>1275376</v>
      </c>
      <c r="M282" s="417">
        <v>880814</v>
      </c>
      <c r="N282" s="417">
        <v>385580</v>
      </c>
      <c r="O282" s="417">
        <v>0</v>
      </c>
      <c r="P282" s="417">
        <v>0</v>
      </c>
      <c r="Q282" s="378">
        <v>5.2097000000000003E-3</v>
      </c>
      <c r="R282" s="378"/>
      <c r="S282" s="417">
        <v>-2617187</v>
      </c>
      <c r="T282" s="417">
        <v>-2586903</v>
      </c>
      <c r="U282" s="417">
        <v>-2717645</v>
      </c>
      <c r="V282" s="417">
        <v>-3492968</v>
      </c>
      <c r="W282" s="417">
        <v>0</v>
      </c>
      <c r="X282" s="378">
        <v>5.2097000000000003E-3</v>
      </c>
      <c r="Z282" s="417">
        <v>2087016</v>
      </c>
      <c r="AA282" s="417">
        <v>1466244</v>
      </c>
      <c r="AB282" s="417">
        <v>1466234</v>
      </c>
      <c r="AC282" s="417">
        <v>0</v>
      </c>
      <c r="AD282" s="417">
        <v>0</v>
      </c>
      <c r="AE282" s="378">
        <v>5.2097000000000003E-3</v>
      </c>
      <c r="AF282" s="378"/>
      <c r="AG282" s="417">
        <v>41322</v>
      </c>
      <c r="AH282" s="417">
        <v>41321</v>
      </c>
      <c r="AI282" s="417">
        <v>0</v>
      </c>
      <c r="AJ282" s="417">
        <v>0</v>
      </c>
      <c r="AK282" s="417">
        <v>0</v>
      </c>
      <c r="AL282" s="378">
        <v>5.2097000000000003E-3</v>
      </c>
      <c r="AM282" s="378"/>
      <c r="AN282" s="417">
        <v>-84896</v>
      </c>
      <c r="AO282" s="417">
        <v>-84149</v>
      </c>
      <c r="AP282" s="417">
        <v>-84147</v>
      </c>
      <c r="AQ282" s="417">
        <v>0</v>
      </c>
      <c r="AR282" s="417">
        <v>0</v>
      </c>
    </row>
    <row r="283" spans="1:44">
      <c r="A283" s="377">
        <v>92911</v>
      </c>
      <c r="B283" t="s">
        <v>991</v>
      </c>
      <c r="C283" s="378">
        <v>1.8693E-3</v>
      </c>
      <c r="D283" s="378"/>
      <c r="E283" s="417">
        <v>307811</v>
      </c>
      <c r="F283" s="417">
        <v>-50079</v>
      </c>
      <c r="G283" s="417">
        <v>-285359</v>
      </c>
      <c r="H283" s="417">
        <v>-1253317</v>
      </c>
      <c r="I283" s="417">
        <v>0</v>
      </c>
      <c r="J283" s="378">
        <v>1.8693E-3</v>
      </c>
      <c r="K283" s="378"/>
      <c r="L283" s="417">
        <v>457620</v>
      </c>
      <c r="M283" s="417">
        <v>316046</v>
      </c>
      <c r="N283" s="417">
        <v>138351</v>
      </c>
      <c r="O283" s="417">
        <v>0</v>
      </c>
      <c r="P283" s="417">
        <v>0</v>
      </c>
      <c r="Q283" s="378">
        <v>1.8693E-3</v>
      </c>
      <c r="R283" s="378"/>
      <c r="S283" s="417">
        <v>-939077</v>
      </c>
      <c r="T283" s="417">
        <v>-928210</v>
      </c>
      <c r="U283" s="417">
        <v>-975122</v>
      </c>
      <c r="V283" s="417">
        <v>-1253317</v>
      </c>
      <c r="W283" s="417">
        <v>0</v>
      </c>
      <c r="X283" s="378">
        <v>1.8693E-3</v>
      </c>
      <c r="Z283" s="417">
        <v>748845</v>
      </c>
      <c r="AA283" s="417">
        <v>526105</v>
      </c>
      <c r="AB283" s="417">
        <v>526101</v>
      </c>
      <c r="AC283" s="417">
        <v>0</v>
      </c>
      <c r="AD283" s="417">
        <v>0</v>
      </c>
      <c r="AE283" s="378">
        <v>1.8693E-3</v>
      </c>
      <c r="AF283" s="378"/>
      <c r="AG283" s="417">
        <v>40423</v>
      </c>
      <c r="AH283" s="417">
        <v>35980</v>
      </c>
      <c r="AI283" s="417">
        <v>25311</v>
      </c>
      <c r="AJ283" s="417">
        <v>0</v>
      </c>
      <c r="AK283" s="417">
        <v>0</v>
      </c>
      <c r="AL283" s="378">
        <v>1.8693E-3</v>
      </c>
      <c r="AM283" s="378"/>
      <c r="AN283" s="417">
        <v>0</v>
      </c>
      <c r="AO283" s="417">
        <v>0</v>
      </c>
      <c r="AP283" s="417">
        <v>0</v>
      </c>
      <c r="AQ283" s="417">
        <v>0</v>
      </c>
      <c r="AR283" s="417">
        <v>0</v>
      </c>
    </row>
    <row r="284" spans="1:44">
      <c r="A284" s="377">
        <v>92913</v>
      </c>
      <c r="B284" t="s">
        <v>992</v>
      </c>
      <c r="C284" s="378">
        <v>2.2099999999999998E-5</v>
      </c>
      <c r="D284" s="378"/>
      <c r="E284" s="417">
        <v>41092</v>
      </c>
      <c r="F284" s="417">
        <v>27709</v>
      </c>
      <c r="G284" s="417">
        <v>12652</v>
      </c>
      <c r="H284" s="417">
        <v>-14817</v>
      </c>
      <c r="I284" s="417">
        <v>0</v>
      </c>
      <c r="J284" s="378">
        <v>2.2099999999999998E-5</v>
      </c>
      <c r="K284" s="378"/>
      <c r="L284" s="417">
        <v>5410</v>
      </c>
      <c r="M284" s="417">
        <v>3736</v>
      </c>
      <c r="N284" s="417">
        <v>1636</v>
      </c>
      <c r="O284" s="417">
        <v>0</v>
      </c>
      <c r="P284" s="417">
        <v>0</v>
      </c>
      <c r="Q284" s="378">
        <v>2.2099999999999998E-5</v>
      </c>
      <c r="R284" s="378"/>
      <c r="S284" s="417">
        <v>-11102</v>
      </c>
      <c r="T284" s="417">
        <v>-10974</v>
      </c>
      <c r="U284" s="417">
        <v>-11528</v>
      </c>
      <c r="V284" s="417">
        <v>-14817</v>
      </c>
      <c r="W284" s="417">
        <v>0</v>
      </c>
      <c r="X284" s="378">
        <v>2.2099999999999998E-5</v>
      </c>
      <c r="Z284" s="417">
        <v>8853</v>
      </c>
      <c r="AA284" s="417">
        <v>6220</v>
      </c>
      <c r="AB284" s="417">
        <v>6220</v>
      </c>
      <c r="AC284" s="417">
        <v>0</v>
      </c>
      <c r="AD284" s="417">
        <v>0</v>
      </c>
      <c r="AE284" s="378">
        <v>2.2099999999999998E-5</v>
      </c>
      <c r="AF284" s="378"/>
      <c r="AG284" s="417">
        <v>37931</v>
      </c>
      <c r="AH284" s="417">
        <v>28727</v>
      </c>
      <c r="AI284" s="417">
        <v>16324</v>
      </c>
      <c r="AJ284" s="417">
        <v>0</v>
      </c>
      <c r="AK284" s="417">
        <v>0</v>
      </c>
      <c r="AL284" s="378">
        <v>2.2099999999999998E-5</v>
      </c>
      <c r="AM284" s="378"/>
      <c r="AN284" s="417">
        <v>0</v>
      </c>
      <c r="AO284" s="417">
        <v>0</v>
      </c>
      <c r="AP284" s="417">
        <v>0</v>
      </c>
      <c r="AQ284" s="417">
        <v>0</v>
      </c>
      <c r="AR284" s="417">
        <v>0</v>
      </c>
    </row>
    <row r="285" spans="1:44">
      <c r="A285" s="377">
        <v>92914</v>
      </c>
      <c r="B285" t="s">
        <v>993</v>
      </c>
      <c r="C285" s="378">
        <v>3.5500000000000002E-5</v>
      </c>
      <c r="D285" s="378"/>
      <c r="E285" s="417">
        <v>12948</v>
      </c>
      <c r="F285" s="417">
        <v>6546</v>
      </c>
      <c r="G285" s="417">
        <v>-91</v>
      </c>
      <c r="H285" s="417">
        <v>-23802</v>
      </c>
      <c r="I285" s="417">
        <v>0</v>
      </c>
      <c r="J285" s="378">
        <v>3.5500000000000002E-5</v>
      </c>
      <c r="K285" s="378"/>
      <c r="L285" s="417">
        <v>8691</v>
      </c>
      <c r="M285" s="417">
        <v>6002</v>
      </c>
      <c r="N285" s="417">
        <v>2627</v>
      </c>
      <c r="O285" s="417">
        <v>0</v>
      </c>
      <c r="P285" s="417">
        <v>0</v>
      </c>
      <c r="Q285" s="378">
        <v>3.5500000000000002E-5</v>
      </c>
      <c r="R285" s="378"/>
      <c r="S285" s="417">
        <v>-17834</v>
      </c>
      <c r="T285" s="417">
        <v>-17628</v>
      </c>
      <c r="U285" s="417">
        <v>-18519</v>
      </c>
      <c r="V285" s="417">
        <v>-23802</v>
      </c>
      <c r="W285" s="417">
        <v>0</v>
      </c>
      <c r="X285" s="378">
        <v>3.5500000000000002E-5</v>
      </c>
      <c r="Z285" s="417">
        <v>14221</v>
      </c>
      <c r="AA285" s="417">
        <v>9991</v>
      </c>
      <c r="AB285" s="417">
        <v>9991</v>
      </c>
      <c r="AC285" s="417">
        <v>0</v>
      </c>
      <c r="AD285" s="417">
        <v>0</v>
      </c>
      <c r="AE285" s="378">
        <v>3.5500000000000002E-5</v>
      </c>
      <c r="AF285" s="378"/>
      <c r="AG285" s="417">
        <v>8180</v>
      </c>
      <c r="AH285" s="417">
        <v>8181</v>
      </c>
      <c r="AI285" s="417">
        <v>5810</v>
      </c>
      <c r="AJ285" s="417">
        <v>0</v>
      </c>
      <c r="AK285" s="417">
        <v>0</v>
      </c>
      <c r="AL285" s="378">
        <v>3.5500000000000002E-5</v>
      </c>
      <c r="AM285" s="378"/>
      <c r="AN285" s="417">
        <v>-310</v>
      </c>
      <c r="AO285" s="417">
        <v>0</v>
      </c>
      <c r="AP285" s="417">
        <v>0</v>
      </c>
      <c r="AQ285" s="417">
        <v>0</v>
      </c>
      <c r="AR285" s="417">
        <v>0</v>
      </c>
    </row>
    <row r="286" spans="1:44">
      <c r="A286" s="377">
        <v>92917</v>
      </c>
      <c r="B286" t="s">
        <v>994</v>
      </c>
      <c r="C286" s="378">
        <v>2.3E-5</v>
      </c>
      <c r="D286" s="378"/>
      <c r="E286" s="417">
        <v>15239</v>
      </c>
      <c r="F286" s="417">
        <v>9011</v>
      </c>
      <c r="G286" s="417">
        <v>4352</v>
      </c>
      <c r="H286" s="417">
        <v>-15421</v>
      </c>
      <c r="I286" s="417">
        <v>0</v>
      </c>
      <c r="J286" s="378">
        <v>2.3E-5</v>
      </c>
      <c r="K286" s="378"/>
      <c r="L286" s="417">
        <v>5631</v>
      </c>
      <c r="M286" s="417">
        <v>3889</v>
      </c>
      <c r="N286" s="417">
        <v>1702</v>
      </c>
      <c r="O286" s="417">
        <v>0</v>
      </c>
      <c r="P286" s="417">
        <v>0</v>
      </c>
      <c r="Q286" s="378">
        <v>2.3E-5</v>
      </c>
      <c r="R286" s="378"/>
      <c r="S286" s="417">
        <v>-11554</v>
      </c>
      <c r="T286" s="417">
        <v>-11421</v>
      </c>
      <c r="U286" s="417">
        <v>-11998</v>
      </c>
      <c r="V286" s="417">
        <v>-15421</v>
      </c>
      <c r="W286" s="417">
        <v>0</v>
      </c>
      <c r="X286" s="378">
        <v>2.3E-5</v>
      </c>
      <c r="Z286" s="417">
        <v>9214</v>
      </c>
      <c r="AA286" s="417">
        <v>6473</v>
      </c>
      <c r="AB286" s="417">
        <v>6473</v>
      </c>
      <c r="AC286" s="417">
        <v>0</v>
      </c>
      <c r="AD286" s="417">
        <v>0</v>
      </c>
      <c r="AE286" s="378">
        <v>2.3E-5</v>
      </c>
      <c r="AF286" s="378"/>
      <c r="AG286" s="417">
        <v>11948</v>
      </c>
      <c r="AH286" s="417">
        <v>10070</v>
      </c>
      <c r="AI286" s="417">
        <v>8175</v>
      </c>
      <c r="AJ286" s="417">
        <v>0</v>
      </c>
      <c r="AK286" s="417">
        <v>0</v>
      </c>
      <c r="AL286" s="378">
        <v>2.3E-5</v>
      </c>
      <c r="AM286" s="378"/>
      <c r="AN286" s="417">
        <v>0</v>
      </c>
      <c r="AO286" s="417">
        <v>0</v>
      </c>
      <c r="AP286" s="417">
        <v>0</v>
      </c>
      <c r="AQ286" s="417">
        <v>0</v>
      </c>
      <c r="AR286" s="417">
        <v>0</v>
      </c>
    </row>
    <row r="287" spans="1:44">
      <c r="A287" s="377">
        <v>92921</v>
      </c>
      <c r="B287" t="s">
        <v>995</v>
      </c>
      <c r="C287" s="378">
        <v>8.8599999999999999E-5</v>
      </c>
      <c r="D287" s="378"/>
      <c r="E287" s="417">
        <v>17840</v>
      </c>
      <c r="F287" s="417">
        <v>-2588</v>
      </c>
      <c r="G287" s="417">
        <v>-16421</v>
      </c>
      <c r="H287" s="417">
        <v>-59404</v>
      </c>
      <c r="I287" s="417">
        <v>0</v>
      </c>
      <c r="J287" s="378">
        <v>8.8599999999999999E-5</v>
      </c>
      <c r="K287" s="378"/>
      <c r="L287" s="417">
        <v>21690</v>
      </c>
      <c r="M287" s="417">
        <v>14980</v>
      </c>
      <c r="N287" s="417">
        <v>6557</v>
      </c>
      <c r="O287" s="417">
        <v>0</v>
      </c>
      <c r="P287" s="417">
        <v>0</v>
      </c>
      <c r="Q287" s="378">
        <v>8.8599999999999999E-5</v>
      </c>
      <c r="R287" s="378"/>
      <c r="S287" s="417">
        <v>-44510</v>
      </c>
      <c r="T287" s="417">
        <v>-43995</v>
      </c>
      <c r="U287" s="417">
        <v>-46218</v>
      </c>
      <c r="V287" s="417">
        <v>-59404</v>
      </c>
      <c r="W287" s="417">
        <v>0</v>
      </c>
      <c r="X287" s="378">
        <v>8.8599999999999999E-5</v>
      </c>
      <c r="Z287" s="417">
        <v>35493</v>
      </c>
      <c r="AA287" s="417">
        <v>24936</v>
      </c>
      <c r="AB287" s="417">
        <v>24936</v>
      </c>
      <c r="AC287" s="417">
        <v>0</v>
      </c>
      <c r="AD287" s="417">
        <v>0</v>
      </c>
      <c r="AE287" s="378">
        <v>8.8599999999999999E-5</v>
      </c>
      <c r="AF287" s="378"/>
      <c r="AG287" s="417">
        <v>6864</v>
      </c>
      <c r="AH287" s="417">
        <v>3188</v>
      </c>
      <c r="AI287" s="417">
        <v>0</v>
      </c>
      <c r="AJ287" s="417">
        <v>0</v>
      </c>
      <c r="AK287" s="417">
        <v>0</v>
      </c>
      <c r="AL287" s="378">
        <v>8.8599999999999999E-5</v>
      </c>
      <c r="AM287" s="378"/>
      <c r="AN287" s="417">
        <v>-1697</v>
      </c>
      <c r="AO287" s="417">
        <v>-1697</v>
      </c>
      <c r="AP287" s="417">
        <v>-1696</v>
      </c>
      <c r="AQ287" s="417">
        <v>0</v>
      </c>
      <c r="AR287" s="417">
        <v>0</v>
      </c>
    </row>
    <row r="288" spans="1:44">
      <c r="A288" s="377">
        <v>92931</v>
      </c>
      <c r="B288" t="s">
        <v>996</v>
      </c>
      <c r="C288" s="378">
        <v>2.1461000000000002E-3</v>
      </c>
      <c r="D288" s="378"/>
      <c r="E288" s="417">
        <v>191993</v>
      </c>
      <c r="F288" s="417">
        <v>-220843</v>
      </c>
      <c r="G288" s="417">
        <v>-456183</v>
      </c>
      <c r="H288" s="417">
        <v>-1438904</v>
      </c>
      <c r="I288" s="417">
        <v>0</v>
      </c>
      <c r="J288" s="378">
        <v>2.1461000000000002E-3</v>
      </c>
      <c r="K288" s="378"/>
      <c r="L288" s="417">
        <v>525382</v>
      </c>
      <c r="M288" s="417">
        <v>362845</v>
      </c>
      <c r="N288" s="417">
        <v>158837</v>
      </c>
      <c r="O288" s="417">
        <v>0</v>
      </c>
      <c r="P288" s="417">
        <v>0</v>
      </c>
      <c r="Q288" s="378">
        <v>2.1461000000000002E-3</v>
      </c>
      <c r="R288" s="378"/>
      <c r="S288" s="417">
        <v>-1078132</v>
      </c>
      <c r="T288" s="417">
        <v>-1065657</v>
      </c>
      <c r="U288" s="417">
        <v>-1119515</v>
      </c>
      <c r="V288" s="417">
        <v>-1438904</v>
      </c>
      <c r="W288" s="417">
        <v>0</v>
      </c>
      <c r="X288" s="378">
        <v>2.1461000000000002E-3</v>
      </c>
      <c r="Z288" s="417">
        <v>859732</v>
      </c>
      <c r="AA288" s="417">
        <v>604009</v>
      </c>
      <c r="AB288" s="417">
        <v>604005</v>
      </c>
      <c r="AC288" s="417">
        <v>0</v>
      </c>
      <c r="AD288" s="417">
        <v>0</v>
      </c>
      <c r="AE288" s="378">
        <v>2.1461000000000002E-3</v>
      </c>
      <c r="AF288" s="378"/>
      <c r="AG288" s="417">
        <v>32296</v>
      </c>
      <c r="AH288" s="417">
        <v>25246</v>
      </c>
      <c r="AI288" s="417">
        <v>0</v>
      </c>
      <c r="AJ288" s="417">
        <v>0</v>
      </c>
      <c r="AK288" s="417">
        <v>0</v>
      </c>
      <c r="AL288" s="378">
        <v>2.1461000000000002E-3</v>
      </c>
      <c r="AM288" s="378"/>
      <c r="AN288" s="417">
        <v>-147285</v>
      </c>
      <c r="AO288" s="417">
        <v>-147286</v>
      </c>
      <c r="AP288" s="417">
        <v>-99510</v>
      </c>
      <c r="AQ288" s="417">
        <v>0</v>
      </c>
      <c r="AR288" s="417">
        <v>0</v>
      </c>
    </row>
    <row r="289" spans="1:44">
      <c r="A289" s="377">
        <v>92941</v>
      </c>
      <c r="B289" t="s">
        <v>81</v>
      </c>
      <c r="C289" s="378">
        <v>4.5000000000000001E-6</v>
      </c>
      <c r="D289" s="378"/>
      <c r="E289" s="417">
        <v>889</v>
      </c>
      <c r="F289" s="417">
        <v>728</v>
      </c>
      <c r="G289" s="417">
        <v>-295</v>
      </c>
      <c r="H289" s="417">
        <v>-3017</v>
      </c>
      <c r="I289" s="417">
        <v>0</v>
      </c>
      <c r="J289" s="378">
        <v>4.5000000000000001E-6</v>
      </c>
      <c r="K289" s="378"/>
      <c r="L289" s="417">
        <v>1102</v>
      </c>
      <c r="M289" s="417">
        <v>761</v>
      </c>
      <c r="N289" s="417">
        <v>333</v>
      </c>
      <c r="O289" s="417">
        <v>0</v>
      </c>
      <c r="P289" s="417">
        <v>0</v>
      </c>
      <c r="Q289" s="378">
        <v>4.5000000000000001E-6</v>
      </c>
      <c r="R289" s="378"/>
      <c r="S289" s="417">
        <v>-2261</v>
      </c>
      <c r="T289" s="417">
        <v>-2234</v>
      </c>
      <c r="U289" s="417">
        <v>-2347</v>
      </c>
      <c r="V289" s="417">
        <v>-3017</v>
      </c>
      <c r="W289" s="417">
        <v>0</v>
      </c>
      <c r="X289" s="378">
        <v>4.5000000000000001E-6</v>
      </c>
      <c r="Z289" s="417">
        <v>1803</v>
      </c>
      <c r="AA289" s="417">
        <v>1267</v>
      </c>
      <c r="AB289" s="417">
        <v>1266</v>
      </c>
      <c r="AC289" s="417">
        <v>0</v>
      </c>
      <c r="AD289" s="417">
        <v>0</v>
      </c>
      <c r="AE289" s="378">
        <v>4.5000000000000001E-6</v>
      </c>
      <c r="AF289" s="378"/>
      <c r="AG289" s="417">
        <v>936</v>
      </c>
      <c r="AH289" s="417">
        <v>934</v>
      </c>
      <c r="AI289" s="417">
        <v>453</v>
      </c>
      <c r="AJ289" s="417">
        <v>0</v>
      </c>
      <c r="AK289" s="417">
        <v>0</v>
      </c>
      <c r="AL289" s="378">
        <v>4.5000000000000001E-6</v>
      </c>
      <c r="AM289" s="378"/>
      <c r="AN289" s="417">
        <v>-691</v>
      </c>
      <c r="AO289" s="417">
        <v>0</v>
      </c>
      <c r="AP289" s="417">
        <v>0</v>
      </c>
      <c r="AQ289" s="417">
        <v>0</v>
      </c>
      <c r="AR289" s="417">
        <v>0</v>
      </c>
    </row>
    <row r="290" spans="1:44">
      <c r="A290" s="377">
        <v>93001</v>
      </c>
      <c r="B290" t="s">
        <v>997</v>
      </c>
      <c r="C290" s="378">
        <v>2.2403000000000002E-3</v>
      </c>
      <c r="D290" s="378"/>
      <c r="E290" s="417">
        <v>329639</v>
      </c>
      <c r="F290" s="417">
        <v>-96646</v>
      </c>
      <c r="G290" s="417">
        <v>-332293</v>
      </c>
      <c r="H290" s="417">
        <v>-1502063</v>
      </c>
      <c r="I290" s="417">
        <v>0</v>
      </c>
      <c r="J290" s="378">
        <v>2.2403000000000002E-3</v>
      </c>
      <c r="K290" s="378"/>
      <c r="L290" s="417">
        <v>548443</v>
      </c>
      <c r="M290" s="417">
        <v>378772</v>
      </c>
      <c r="N290" s="417">
        <v>165809</v>
      </c>
      <c r="O290" s="417">
        <v>0</v>
      </c>
      <c r="P290" s="417">
        <v>0</v>
      </c>
      <c r="Q290" s="378">
        <v>2.2403000000000002E-3</v>
      </c>
      <c r="R290" s="378"/>
      <c r="S290" s="417">
        <v>-1125455</v>
      </c>
      <c r="T290" s="417">
        <v>-1112432</v>
      </c>
      <c r="U290" s="417">
        <v>-1168655</v>
      </c>
      <c r="V290" s="417">
        <v>-1502063</v>
      </c>
      <c r="W290" s="417">
        <v>0</v>
      </c>
      <c r="X290" s="378">
        <v>2.2403000000000002E-3</v>
      </c>
      <c r="Z290" s="417">
        <v>897469</v>
      </c>
      <c r="AA290" s="417">
        <v>630521</v>
      </c>
      <c r="AB290" s="417">
        <v>630517</v>
      </c>
      <c r="AC290" s="417">
        <v>0</v>
      </c>
      <c r="AD290" s="417">
        <v>0</v>
      </c>
      <c r="AE290" s="378">
        <v>2.2403000000000002E-3</v>
      </c>
      <c r="AF290" s="378"/>
      <c r="AG290" s="417">
        <v>42727</v>
      </c>
      <c r="AH290" s="417">
        <v>40037</v>
      </c>
      <c r="AI290" s="417">
        <v>40036</v>
      </c>
      <c r="AJ290" s="417">
        <v>0</v>
      </c>
      <c r="AK290" s="417">
        <v>0</v>
      </c>
      <c r="AL290" s="378">
        <v>2.2403000000000002E-3</v>
      </c>
      <c r="AM290" s="378"/>
      <c r="AN290" s="417">
        <v>-33545</v>
      </c>
      <c r="AO290" s="417">
        <v>-33544</v>
      </c>
      <c r="AP290" s="417">
        <v>0</v>
      </c>
      <c r="AQ290" s="417">
        <v>0</v>
      </c>
      <c r="AR290" s="417">
        <v>0</v>
      </c>
    </row>
    <row r="291" spans="1:44">
      <c r="A291" s="377">
        <v>93009</v>
      </c>
      <c r="B291" t="s">
        <v>998</v>
      </c>
      <c r="C291" s="378">
        <v>5.9000000000000003E-6</v>
      </c>
      <c r="D291" s="378"/>
      <c r="E291" s="417">
        <v>-4124</v>
      </c>
      <c r="F291" s="417">
        <v>-4879</v>
      </c>
      <c r="G291" s="417">
        <v>-4523</v>
      </c>
      <c r="H291" s="417">
        <v>-3956</v>
      </c>
      <c r="I291" s="417">
        <v>0</v>
      </c>
      <c r="J291" s="378">
        <v>5.9000000000000003E-6</v>
      </c>
      <c r="K291" s="378"/>
      <c r="L291" s="417">
        <v>1444</v>
      </c>
      <c r="M291" s="417">
        <v>998</v>
      </c>
      <c r="N291" s="417">
        <v>437</v>
      </c>
      <c r="O291" s="417">
        <v>0</v>
      </c>
      <c r="P291" s="417">
        <v>0</v>
      </c>
      <c r="Q291" s="378">
        <v>5.9000000000000003E-6</v>
      </c>
      <c r="R291" s="378"/>
      <c r="S291" s="417">
        <v>-2964</v>
      </c>
      <c r="T291" s="417">
        <v>-2930</v>
      </c>
      <c r="U291" s="417">
        <v>-3078</v>
      </c>
      <c r="V291" s="417">
        <v>-3956</v>
      </c>
      <c r="W291" s="417">
        <v>0</v>
      </c>
      <c r="X291" s="378">
        <v>5.9000000000000003E-6</v>
      </c>
      <c r="Z291" s="417">
        <v>2364</v>
      </c>
      <c r="AA291" s="417">
        <v>1661</v>
      </c>
      <c r="AB291" s="417">
        <v>1661</v>
      </c>
      <c r="AC291" s="417">
        <v>0</v>
      </c>
      <c r="AD291" s="417">
        <v>0</v>
      </c>
      <c r="AE291" s="378">
        <v>5.9000000000000003E-6</v>
      </c>
      <c r="AF291" s="378"/>
      <c r="AG291" s="417">
        <v>0</v>
      </c>
      <c r="AH291" s="417">
        <v>0</v>
      </c>
      <c r="AI291" s="417">
        <v>0</v>
      </c>
      <c r="AJ291" s="417">
        <v>0</v>
      </c>
      <c r="AK291" s="417">
        <v>0</v>
      </c>
      <c r="AL291" s="378">
        <v>5.9000000000000003E-6</v>
      </c>
      <c r="AM291" s="378"/>
      <c r="AN291" s="417">
        <v>-4968</v>
      </c>
      <c r="AO291" s="417">
        <v>-4608</v>
      </c>
      <c r="AP291" s="417">
        <v>-3543</v>
      </c>
      <c r="AQ291" s="417">
        <v>0</v>
      </c>
      <c r="AR291" s="417">
        <v>0</v>
      </c>
    </row>
    <row r="292" spans="1:44">
      <c r="A292" s="377">
        <v>93011</v>
      </c>
      <c r="B292" t="s">
        <v>999</v>
      </c>
      <c r="C292" s="378">
        <v>2.809E-4</v>
      </c>
      <c r="D292" s="378"/>
      <c r="E292" s="417">
        <v>39678</v>
      </c>
      <c r="F292" s="417">
        <v>-26176</v>
      </c>
      <c r="G292" s="417">
        <v>-65145</v>
      </c>
      <c r="H292" s="417">
        <v>-188336</v>
      </c>
      <c r="I292" s="417">
        <v>0</v>
      </c>
      <c r="J292" s="378">
        <v>2.809E-4</v>
      </c>
      <c r="K292" s="378"/>
      <c r="L292" s="417">
        <v>68767</v>
      </c>
      <c r="M292" s="417">
        <v>47492</v>
      </c>
      <c r="N292" s="417">
        <v>20790</v>
      </c>
      <c r="O292" s="417">
        <v>0</v>
      </c>
      <c r="P292" s="417">
        <v>0</v>
      </c>
      <c r="Q292" s="378">
        <v>2.809E-4</v>
      </c>
      <c r="R292" s="378"/>
      <c r="S292" s="417">
        <v>-141115</v>
      </c>
      <c r="T292" s="417">
        <v>-139482</v>
      </c>
      <c r="U292" s="417">
        <v>-146532</v>
      </c>
      <c r="V292" s="417">
        <v>-188336</v>
      </c>
      <c r="W292" s="417">
        <v>0</v>
      </c>
      <c r="X292" s="378">
        <v>2.809E-4</v>
      </c>
      <c r="Z292" s="417">
        <v>112529</v>
      </c>
      <c r="AA292" s="417">
        <v>79058</v>
      </c>
      <c r="AB292" s="417">
        <v>79057</v>
      </c>
      <c r="AC292" s="417">
        <v>0</v>
      </c>
      <c r="AD292" s="417">
        <v>0</v>
      </c>
      <c r="AE292" s="378">
        <v>2.809E-4</v>
      </c>
      <c r="AF292" s="378"/>
      <c r="AG292" s="417">
        <v>19395</v>
      </c>
      <c r="AH292" s="417">
        <v>6655</v>
      </c>
      <c r="AI292" s="417">
        <v>0</v>
      </c>
      <c r="AJ292" s="417">
        <v>0</v>
      </c>
      <c r="AK292" s="417">
        <v>0</v>
      </c>
      <c r="AL292" s="378">
        <v>2.809E-4</v>
      </c>
      <c r="AM292" s="378"/>
      <c r="AN292" s="417">
        <v>-19898</v>
      </c>
      <c r="AO292" s="417">
        <v>-19899</v>
      </c>
      <c r="AP292" s="417">
        <v>-18460</v>
      </c>
      <c r="AQ292" s="417">
        <v>0</v>
      </c>
      <c r="AR292" s="417">
        <v>0</v>
      </c>
    </row>
    <row r="293" spans="1:44">
      <c r="A293" s="377">
        <v>93021</v>
      </c>
      <c r="B293" t="s">
        <v>1000</v>
      </c>
      <c r="C293" s="378">
        <v>2.6299999999999999E-5</v>
      </c>
      <c r="D293" s="378"/>
      <c r="E293" s="417">
        <v>-184</v>
      </c>
      <c r="F293" s="417">
        <v>-4536</v>
      </c>
      <c r="G293" s="417">
        <v>-6500</v>
      </c>
      <c r="H293" s="417">
        <v>-17633</v>
      </c>
      <c r="I293" s="417">
        <v>0</v>
      </c>
      <c r="J293" s="378">
        <v>2.6299999999999999E-5</v>
      </c>
      <c r="K293" s="378"/>
      <c r="L293" s="417">
        <v>6438</v>
      </c>
      <c r="M293" s="417">
        <v>4447</v>
      </c>
      <c r="N293" s="417">
        <v>1947</v>
      </c>
      <c r="O293" s="417">
        <v>0</v>
      </c>
      <c r="P293" s="417">
        <v>0</v>
      </c>
      <c r="Q293" s="378">
        <v>2.6299999999999999E-5</v>
      </c>
      <c r="R293" s="378"/>
      <c r="S293" s="417">
        <v>-13212</v>
      </c>
      <c r="T293" s="417">
        <v>-13059</v>
      </c>
      <c r="U293" s="417">
        <v>-13719</v>
      </c>
      <c r="V293" s="417">
        <v>-17633</v>
      </c>
      <c r="W293" s="417">
        <v>0</v>
      </c>
      <c r="X293" s="378">
        <v>2.6299999999999999E-5</v>
      </c>
      <c r="Z293" s="417">
        <v>10536</v>
      </c>
      <c r="AA293" s="417">
        <v>7402</v>
      </c>
      <c r="AB293" s="417">
        <v>7402</v>
      </c>
      <c r="AC293" s="417">
        <v>0</v>
      </c>
      <c r="AD293" s="417">
        <v>0</v>
      </c>
      <c r="AE293" s="378">
        <v>2.6299999999999999E-5</v>
      </c>
      <c r="AF293" s="378"/>
      <c r="AG293" s="417">
        <v>0</v>
      </c>
      <c r="AH293" s="417">
        <v>0</v>
      </c>
      <c r="AI293" s="417">
        <v>0</v>
      </c>
      <c r="AJ293" s="417">
        <v>0</v>
      </c>
      <c r="AK293" s="417">
        <v>0</v>
      </c>
      <c r="AL293" s="378">
        <v>2.6299999999999999E-5</v>
      </c>
      <c r="AM293" s="378"/>
      <c r="AN293" s="417">
        <v>-3946</v>
      </c>
      <c r="AO293" s="417">
        <v>-3326</v>
      </c>
      <c r="AP293" s="417">
        <v>-2130</v>
      </c>
      <c r="AQ293" s="417">
        <v>0</v>
      </c>
      <c r="AR293" s="417">
        <v>0</v>
      </c>
    </row>
    <row r="294" spans="1:44">
      <c r="A294" s="377">
        <v>93027</v>
      </c>
      <c r="B294" t="s">
        <v>1001</v>
      </c>
      <c r="C294" s="378">
        <v>0</v>
      </c>
      <c r="D294" s="378"/>
      <c r="E294" s="417"/>
      <c r="F294" s="417"/>
      <c r="G294" s="417">
        <v>0</v>
      </c>
      <c r="H294" s="417">
        <v>0</v>
      </c>
      <c r="I294" s="417">
        <v>0</v>
      </c>
      <c r="J294" s="378">
        <v>0</v>
      </c>
      <c r="K294" s="378"/>
      <c r="L294" s="417">
        <v>0</v>
      </c>
      <c r="M294" s="417">
        <v>0</v>
      </c>
      <c r="N294" s="417">
        <v>0</v>
      </c>
      <c r="O294" s="417">
        <v>0</v>
      </c>
      <c r="P294" s="417">
        <v>0</v>
      </c>
      <c r="Q294" s="378">
        <v>0</v>
      </c>
      <c r="R294" s="378"/>
      <c r="S294" s="417">
        <v>0</v>
      </c>
      <c r="T294" s="417">
        <v>0</v>
      </c>
      <c r="U294" s="417">
        <v>0</v>
      </c>
      <c r="V294" s="417">
        <v>0</v>
      </c>
      <c r="W294" s="417">
        <v>0</v>
      </c>
      <c r="X294" s="378">
        <v>0</v>
      </c>
      <c r="Z294" s="417">
        <v>0</v>
      </c>
      <c r="AA294" s="417">
        <v>0</v>
      </c>
      <c r="AB294" s="417">
        <v>0</v>
      </c>
      <c r="AC294" s="417">
        <v>0</v>
      </c>
      <c r="AD294" s="417">
        <v>0</v>
      </c>
      <c r="AE294" s="378">
        <v>0</v>
      </c>
      <c r="AF294" s="378"/>
      <c r="AG294" s="417">
        <v>0</v>
      </c>
      <c r="AH294" s="417">
        <v>0</v>
      </c>
      <c r="AI294" s="417">
        <v>0</v>
      </c>
      <c r="AJ294" s="417">
        <v>0</v>
      </c>
      <c r="AK294" s="417">
        <v>0</v>
      </c>
      <c r="AL294" s="378">
        <v>0</v>
      </c>
      <c r="AM294" s="378"/>
      <c r="AN294" s="417">
        <v>-3720</v>
      </c>
      <c r="AO294" s="417">
        <v>-3192</v>
      </c>
      <c r="AP294" s="417">
        <v>0</v>
      </c>
      <c r="AQ294" s="417">
        <v>0</v>
      </c>
      <c r="AR294" s="417">
        <v>0</v>
      </c>
    </row>
    <row r="295" spans="1:44">
      <c r="A295" s="377">
        <v>93028</v>
      </c>
      <c r="B295" t="s">
        <v>3609</v>
      </c>
      <c r="C295" s="378">
        <v>1.9199999999999999E-5</v>
      </c>
      <c r="D295" s="378"/>
      <c r="E295" s="417">
        <v>10579</v>
      </c>
      <c r="F295" s="417">
        <v>6948</v>
      </c>
      <c r="G295" s="417">
        <v>-5181</v>
      </c>
      <c r="H295" s="417">
        <v>-12873</v>
      </c>
      <c r="I295" s="417">
        <v>0</v>
      </c>
      <c r="J295" s="378">
        <v>1.9199999999999999E-5</v>
      </c>
      <c r="K295" s="378"/>
      <c r="L295" s="417">
        <v>4700</v>
      </c>
      <c r="M295" s="417">
        <v>3246</v>
      </c>
      <c r="N295" s="417">
        <v>1421</v>
      </c>
      <c r="O295" s="417">
        <v>0</v>
      </c>
      <c r="P295" s="417">
        <v>0</v>
      </c>
      <c r="Q295" s="378">
        <v>1.9199999999999999E-5</v>
      </c>
      <c r="R295" s="378"/>
      <c r="S295" s="417">
        <v>-9645</v>
      </c>
      <c r="T295" s="417">
        <v>-9534</v>
      </c>
      <c r="U295" s="417">
        <v>-10016</v>
      </c>
      <c r="V295" s="417">
        <v>-12873</v>
      </c>
      <c r="W295" s="417">
        <v>0</v>
      </c>
      <c r="X295" s="378">
        <v>1.9199999999999999E-5</v>
      </c>
      <c r="Z295" s="417">
        <v>7692</v>
      </c>
      <c r="AA295" s="417">
        <v>5404</v>
      </c>
      <c r="AB295" s="417">
        <v>5404</v>
      </c>
      <c r="AC295" s="417">
        <v>0</v>
      </c>
      <c r="AD295" s="417">
        <v>0</v>
      </c>
      <c r="AE295" s="378">
        <v>1.9199999999999999E-5</v>
      </c>
      <c r="AF295" s="378"/>
      <c r="AG295" s="417">
        <v>9821</v>
      </c>
      <c r="AH295" s="417">
        <v>9821</v>
      </c>
      <c r="AI295" s="417">
        <v>0</v>
      </c>
      <c r="AJ295" s="417">
        <v>0</v>
      </c>
      <c r="AK295" s="417">
        <v>0</v>
      </c>
      <c r="AL295" s="378">
        <v>1.9199999999999999E-5</v>
      </c>
      <c r="AM295" s="378"/>
      <c r="AN295" s="417">
        <v>-1989</v>
      </c>
      <c r="AO295" s="417">
        <v>-1989</v>
      </c>
      <c r="AP295" s="417">
        <v>-1990</v>
      </c>
      <c r="AQ295" s="417">
        <v>0</v>
      </c>
      <c r="AR295" s="417">
        <v>0</v>
      </c>
    </row>
    <row r="296" spans="1:44">
      <c r="A296" s="377">
        <v>93031</v>
      </c>
      <c r="B296" t="s">
        <v>1002</v>
      </c>
      <c r="C296" s="378">
        <v>3.8999999999999999E-6</v>
      </c>
      <c r="D296" s="378"/>
      <c r="E296" s="417">
        <v>2159</v>
      </c>
      <c r="F296" s="417">
        <v>-460</v>
      </c>
      <c r="G296" s="417">
        <v>-54</v>
      </c>
      <c r="H296" s="417">
        <v>-2615</v>
      </c>
      <c r="I296" s="417">
        <v>0</v>
      </c>
      <c r="J296" s="378">
        <v>3.8999999999999999E-6</v>
      </c>
      <c r="K296" s="378"/>
      <c r="L296" s="417">
        <v>955</v>
      </c>
      <c r="M296" s="417">
        <v>659</v>
      </c>
      <c r="N296" s="417">
        <v>289</v>
      </c>
      <c r="O296" s="417">
        <v>0</v>
      </c>
      <c r="P296" s="417">
        <v>0</v>
      </c>
      <c r="Q296" s="378">
        <v>3.8999999999999999E-6</v>
      </c>
      <c r="R296" s="378"/>
      <c r="S296" s="417">
        <v>-1959</v>
      </c>
      <c r="T296" s="417">
        <v>-1937</v>
      </c>
      <c r="U296" s="417">
        <v>-2034</v>
      </c>
      <c r="V296" s="417">
        <v>-2615</v>
      </c>
      <c r="W296" s="417">
        <v>0</v>
      </c>
      <c r="X296" s="378">
        <v>3.8999999999999999E-6</v>
      </c>
      <c r="Z296" s="417">
        <v>1562</v>
      </c>
      <c r="AA296" s="417">
        <v>1098</v>
      </c>
      <c r="AB296" s="417">
        <v>1098</v>
      </c>
      <c r="AC296" s="417">
        <v>0</v>
      </c>
      <c r="AD296" s="417">
        <v>0</v>
      </c>
      <c r="AE296" s="378">
        <v>3.8999999999999999E-6</v>
      </c>
      <c r="AF296" s="378"/>
      <c r="AG296" s="417">
        <v>2814</v>
      </c>
      <c r="AH296" s="417">
        <v>931</v>
      </c>
      <c r="AI296" s="417">
        <v>593</v>
      </c>
      <c r="AJ296" s="417">
        <v>0</v>
      </c>
      <c r="AK296" s="417">
        <v>0</v>
      </c>
      <c r="AL296" s="378">
        <v>3.8999999999999999E-6</v>
      </c>
      <c r="AM296" s="378"/>
      <c r="AN296" s="417">
        <v>-1213</v>
      </c>
      <c r="AO296" s="417">
        <v>-1211</v>
      </c>
      <c r="AP296" s="417">
        <v>0</v>
      </c>
      <c r="AQ296" s="417">
        <v>0</v>
      </c>
      <c r="AR296" s="417">
        <v>0</v>
      </c>
    </row>
    <row r="297" spans="1:44">
      <c r="A297" s="377">
        <v>93101</v>
      </c>
      <c r="B297" t="s">
        <v>1003</v>
      </c>
      <c r="C297" s="378">
        <v>2.8521000000000002E-3</v>
      </c>
      <c r="D297" s="378"/>
      <c r="E297" s="417">
        <v>163279</v>
      </c>
      <c r="F297" s="417">
        <v>-321084</v>
      </c>
      <c r="G297" s="417">
        <v>-524497</v>
      </c>
      <c r="H297" s="417">
        <v>-1912259</v>
      </c>
      <c r="I297" s="417">
        <v>0</v>
      </c>
      <c r="J297" s="378">
        <v>2.8521000000000002E-3</v>
      </c>
      <c r="K297" s="378"/>
      <c r="L297" s="417">
        <v>698217</v>
      </c>
      <c r="M297" s="417">
        <v>482210</v>
      </c>
      <c r="N297" s="417">
        <v>211090</v>
      </c>
      <c r="O297" s="417">
        <v>0</v>
      </c>
      <c r="P297" s="417">
        <v>0</v>
      </c>
      <c r="Q297" s="378">
        <v>2.8521000000000002E-3</v>
      </c>
      <c r="R297" s="378"/>
      <c r="S297" s="417">
        <v>-1432804</v>
      </c>
      <c r="T297" s="417">
        <v>-1416225</v>
      </c>
      <c r="U297" s="417">
        <v>-1487801</v>
      </c>
      <c r="V297" s="417">
        <v>-1912259</v>
      </c>
      <c r="W297" s="417">
        <v>0</v>
      </c>
      <c r="X297" s="378">
        <v>2.8521000000000002E-3</v>
      </c>
      <c r="Z297" s="417">
        <v>1142557</v>
      </c>
      <c r="AA297" s="417">
        <v>802709</v>
      </c>
      <c r="AB297" s="417">
        <v>802704</v>
      </c>
      <c r="AC297" s="417">
        <v>0</v>
      </c>
      <c r="AD297" s="417">
        <v>0</v>
      </c>
      <c r="AE297" s="378">
        <v>2.8521000000000002E-3</v>
      </c>
      <c r="AF297" s="378"/>
      <c r="AG297" s="417">
        <v>0</v>
      </c>
      <c r="AH297" s="417">
        <v>0</v>
      </c>
      <c r="AI297" s="417">
        <v>0</v>
      </c>
      <c r="AJ297" s="417">
        <v>0</v>
      </c>
      <c r="AK297" s="417">
        <v>0</v>
      </c>
      <c r="AL297" s="378">
        <v>2.8521000000000002E-3</v>
      </c>
      <c r="AM297" s="378"/>
      <c r="AN297" s="417">
        <v>-244691</v>
      </c>
      <c r="AO297" s="417">
        <v>-189778</v>
      </c>
      <c r="AP297" s="417">
        <v>-50490</v>
      </c>
      <c r="AQ297" s="417">
        <v>0</v>
      </c>
      <c r="AR297" s="417">
        <v>0</v>
      </c>
    </row>
    <row r="298" spans="1:44">
      <c r="A298" s="377">
        <v>93103</v>
      </c>
      <c r="B298" t="s">
        <v>260</v>
      </c>
      <c r="C298" s="378">
        <v>0</v>
      </c>
      <c r="D298" s="378"/>
      <c r="E298" s="417">
        <v>-11833</v>
      </c>
      <c r="F298" s="417">
        <v>-11330</v>
      </c>
      <c r="G298" s="417">
        <v>-9532</v>
      </c>
      <c r="H298" s="417">
        <v>0</v>
      </c>
      <c r="I298" s="417">
        <v>0</v>
      </c>
      <c r="J298" s="378">
        <v>0</v>
      </c>
      <c r="K298" s="378"/>
      <c r="L298" s="417">
        <v>0</v>
      </c>
      <c r="M298" s="417">
        <v>0</v>
      </c>
      <c r="N298" s="417">
        <v>0</v>
      </c>
      <c r="O298" s="417">
        <v>0</v>
      </c>
      <c r="P298" s="417">
        <v>0</v>
      </c>
      <c r="Q298" s="378">
        <v>0</v>
      </c>
      <c r="R298" s="378"/>
      <c r="S298" s="417">
        <v>0</v>
      </c>
      <c r="T298" s="417">
        <v>0</v>
      </c>
      <c r="U298" s="417">
        <v>0</v>
      </c>
      <c r="V298" s="417">
        <v>0</v>
      </c>
      <c r="W298" s="417">
        <v>0</v>
      </c>
      <c r="X298" s="378">
        <v>0</v>
      </c>
      <c r="Z298" s="417">
        <v>0</v>
      </c>
      <c r="AA298" s="417">
        <v>0</v>
      </c>
      <c r="AB298" s="417">
        <v>0</v>
      </c>
      <c r="AC298" s="417">
        <v>0</v>
      </c>
      <c r="AD298" s="417">
        <v>0</v>
      </c>
      <c r="AE298" s="378">
        <v>0</v>
      </c>
      <c r="AF298" s="378"/>
      <c r="AG298" s="417">
        <v>0</v>
      </c>
      <c r="AH298" s="417">
        <v>0</v>
      </c>
      <c r="AI298" s="417">
        <v>0</v>
      </c>
      <c r="AJ298" s="417">
        <v>0</v>
      </c>
      <c r="AK298" s="417">
        <v>0</v>
      </c>
      <c r="AL298" s="378">
        <v>0</v>
      </c>
      <c r="AM298" s="378"/>
      <c r="AN298" s="417">
        <v>-11833</v>
      </c>
      <c r="AO298" s="417">
        <v>-11330</v>
      </c>
      <c r="AP298" s="417">
        <v>-9532</v>
      </c>
      <c r="AQ298" s="417">
        <v>0</v>
      </c>
      <c r="AR298" s="417">
        <v>0</v>
      </c>
    </row>
    <row r="299" spans="1:44">
      <c r="A299" s="377">
        <v>93108</v>
      </c>
      <c r="B299" t="s">
        <v>1004</v>
      </c>
      <c r="C299" s="378">
        <v>2.3987000000000001E-3</v>
      </c>
      <c r="D299" s="378"/>
      <c r="E299" s="417">
        <v>382281</v>
      </c>
      <c r="F299" s="417">
        <v>-25856</v>
      </c>
      <c r="G299" s="417">
        <v>-275134</v>
      </c>
      <c r="H299" s="417">
        <v>-1608266</v>
      </c>
      <c r="I299" s="417">
        <v>0</v>
      </c>
      <c r="J299" s="378">
        <v>2.3987000000000001E-3</v>
      </c>
      <c r="K299" s="378"/>
      <c r="L299" s="417">
        <v>587221</v>
      </c>
      <c r="M299" s="417">
        <v>405553</v>
      </c>
      <c r="N299" s="417">
        <v>177533</v>
      </c>
      <c r="O299" s="417">
        <v>0</v>
      </c>
      <c r="P299" s="417">
        <v>0</v>
      </c>
      <c r="Q299" s="378">
        <v>2.3987000000000001E-3</v>
      </c>
      <c r="R299" s="378"/>
      <c r="S299" s="417">
        <v>-1205030</v>
      </c>
      <c r="T299" s="417">
        <v>-1191086</v>
      </c>
      <c r="U299" s="417">
        <v>-1251284</v>
      </c>
      <c r="V299" s="417">
        <v>-1608266</v>
      </c>
      <c r="W299" s="417">
        <v>0</v>
      </c>
      <c r="X299" s="378">
        <v>2.3987000000000001E-3</v>
      </c>
      <c r="Z299" s="417">
        <v>960924</v>
      </c>
      <c r="AA299" s="417">
        <v>675102</v>
      </c>
      <c r="AB299" s="417">
        <v>675097</v>
      </c>
      <c r="AC299" s="417">
        <v>0</v>
      </c>
      <c r="AD299" s="417">
        <v>0</v>
      </c>
      <c r="AE299" s="378">
        <v>2.3987000000000001E-3</v>
      </c>
      <c r="AF299" s="378"/>
      <c r="AG299" s="417">
        <v>123519</v>
      </c>
      <c r="AH299" s="417">
        <v>123519</v>
      </c>
      <c r="AI299" s="417">
        <v>123520</v>
      </c>
      <c r="AJ299" s="417">
        <v>0</v>
      </c>
      <c r="AK299" s="417">
        <v>0</v>
      </c>
      <c r="AL299" s="378">
        <v>2.3987000000000001E-3</v>
      </c>
      <c r="AM299" s="378"/>
      <c r="AN299" s="417">
        <v>-84353</v>
      </c>
      <c r="AO299" s="417">
        <v>-38944</v>
      </c>
      <c r="AP299" s="417">
        <v>0</v>
      </c>
      <c r="AQ299" s="417">
        <v>0</v>
      </c>
      <c r="AR299" s="417">
        <v>0</v>
      </c>
    </row>
    <row r="300" spans="1:44">
      <c r="A300" s="377">
        <v>93111</v>
      </c>
      <c r="B300" t="s">
        <v>1005</v>
      </c>
      <c r="C300" s="378">
        <v>5.7899999999999998E-5</v>
      </c>
      <c r="D300" s="378"/>
      <c r="E300" s="417">
        <v>8655</v>
      </c>
      <c r="F300" s="417">
        <v>-2443</v>
      </c>
      <c r="G300" s="417">
        <v>-7053</v>
      </c>
      <c r="H300" s="417">
        <v>-38820</v>
      </c>
      <c r="I300" s="417">
        <v>0</v>
      </c>
      <c r="J300" s="378">
        <v>5.7899999999999998E-5</v>
      </c>
      <c r="K300" s="378"/>
      <c r="L300" s="417">
        <v>14174</v>
      </c>
      <c r="M300" s="417">
        <v>9789</v>
      </c>
      <c r="N300" s="417">
        <v>4285</v>
      </c>
      <c r="O300" s="417">
        <v>0</v>
      </c>
      <c r="P300" s="417">
        <v>0</v>
      </c>
      <c r="Q300" s="378">
        <v>5.7899999999999998E-5</v>
      </c>
      <c r="R300" s="378"/>
      <c r="S300" s="417">
        <v>-29087</v>
      </c>
      <c r="T300" s="417">
        <v>-28751</v>
      </c>
      <c r="U300" s="417">
        <v>-30204</v>
      </c>
      <c r="V300" s="417">
        <v>-38820</v>
      </c>
      <c r="W300" s="417">
        <v>0</v>
      </c>
      <c r="X300" s="378">
        <v>5.7899999999999998E-5</v>
      </c>
      <c r="Z300" s="417">
        <v>23195</v>
      </c>
      <c r="AA300" s="417">
        <v>16296</v>
      </c>
      <c r="AB300" s="417">
        <v>16296</v>
      </c>
      <c r="AC300" s="417">
        <v>0</v>
      </c>
      <c r="AD300" s="417">
        <v>0</v>
      </c>
      <c r="AE300" s="378">
        <v>5.7899999999999998E-5</v>
      </c>
      <c r="AF300" s="378"/>
      <c r="AG300" s="417">
        <v>2724</v>
      </c>
      <c r="AH300" s="417">
        <v>2571</v>
      </c>
      <c r="AI300" s="417">
        <v>2570</v>
      </c>
      <c r="AJ300" s="417">
        <v>0</v>
      </c>
      <c r="AK300" s="417">
        <v>0</v>
      </c>
      <c r="AL300" s="378">
        <v>5.7899999999999998E-5</v>
      </c>
      <c r="AM300" s="378"/>
      <c r="AN300" s="417">
        <v>-2351</v>
      </c>
      <c r="AO300" s="417">
        <v>-2348</v>
      </c>
      <c r="AP300" s="417">
        <v>0</v>
      </c>
      <c r="AQ300" s="417">
        <v>0</v>
      </c>
      <c r="AR300" s="417">
        <v>0</v>
      </c>
    </row>
    <row r="301" spans="1:44">
      <c r="A301" s="377">
        <v>93121</v>
      </c>
      <c r="B301" t="s">
        <v>1006</v>
      </c>
      <c r="C301" s="378">
        <v>4.8000000000000001E-5</v>
      </c>
      <c r="D301" s="378"/>
      <c r="E301" s="417">
        <v>5315</v>
      </c>
      <c r="F301" s="417">
        <v>-3142</v>
      </c>
      <c r="G301" s="417">
        <v>-8985</v>
      </c>
      <c r="H301" s="417">
        <v>-32183</v>
      </c>
      <c r="I301" s="417">
        <v>0</v>
      </c>
      <c r="J301" s="378">
        <v>4.8000000000000001E-5</v>
      </c>
      <c r="K301" s="378"/>
      <c r="L301" s="417">
        <v>11751</v>
      </c>
      <c r="M301" s="417">
        <v>8115</v>
      </c>
      <c r="N301" s="417">
        <v>3553</v>
      </c>
      <c r="O301" s="417">
        <v>0</v>
      </c>
      <c r="P301" s="417">
        <v>0</v>
      </c>
      <c r="Q301" s="378">
        <v>4.8000000000000001E-5</v>
      </c>
      <c r="R301" s="378"/>
      <c r="S301" s="417">
        <v>-24114</v>
      </c>
      <c r="T301" s="417">
        <v>-23835</v>
      </c>
      <c r="U301" s="417">
        <v>-25039</v>
      </c>
      <c r="V301" s="417">
        <v>-32183</v>
      </c>
      <c r="W301" s="417">
        <v>0</v>
      </c>
      <c r="X301" s="378">
        <v>4.8000000000000001E-5</v>
      </c>
      <c r="Z301" s="417">
        <v>19229</v>
      </c>
      <c r="AA301" s="417">
        <v>13509</v>
      </c>
      <c r="AB301" s="417">
        <v>13509</v>
      </c>
      <c r="AC301" s="417">
        <v>0</v>
      </c>
      <c r="AD301" s="417">
        <v>0</v>
      </c>
      <c r="AE301" s="378">
        <v>4.8000000000000001E-5</v>
      </c>
      <c r="AF301" s="378"/>
      <c r="AG301" s="417">
        <v>2196</v>
      </c>
      <c r="AH301" s="417">
        <v>2195</v>
      </c>
      <c r="AI301" s="417">
        <v>0</v>
      </c>
      <c r="AJ301" s="417">
        <v>0</v>
      </c>
      <c r="AK301" s="417">
        <v>0</v>
      </c>
      <c r="AL301" s="378">
        <v>4.8000000000000001E-5</v>
      </c>
      <c r="AM301" s="378"/>
      <c r="AN301" s="417">
        <v>-3747</v>
      </c>
      <c r="AO301" s="417">
        <v>-3126</v>
      </c>
      <c r="AP301" s="417">
        <v>-1008</v>
      </c>
      <c r="AQ301" s="417">
        <v>0</v>
      </c>
      <c r="AR301" s="417">
        <v>0</v>
      </c>
    </row>
    <row r="302" spans="1:44">
      <c r="A302" s="377">
        <v>93127</v>
      </c>
      <c r="B302" t="s">
        <v>1007</v>
      </c>
      <c r="C302" s="378">
        <v>4.1999999999999996E-6</v>
      </c>
      <c r="D302" s="378"/>
      <c r="E302" s="417">
        <v>-359</v>
      </c>
      <c r="F302" s="417">
        <v>-1117</v>
      </c>
      <c r="G302" s="417">
        <v>-1506</v>
      </c>
      <c r="H302" s="417">
        <v>-2816</v>
      </c>
      <c r="I302" s="417">
        <v>0</v>
      </c>
      <c r="J302" s="378">
        <v>4.1999999999999996E-6</v>
      </c>
      <c r="K302" s="378"/>
      <c r="L302" s="417">
        <v>1028</v>
      </c>
      <c r="M302" s="417">
        <v>710</v>
      </c>
      <c r="N302" s="417">
        <v>311</v>
      </c>
      <c r="O302" s="417">
        <v>0</v>
      </c>
      <c r="P302" s="417">
        <v>0</v>
      </c>
      <c r="Q302" s="378">
        <v>4.1999999999999996E-6</v>
      </c>
      <c r="R302" s="378"/>
      <c r="S302" s="417">
        <v>-2110</v>
      </c>
      <c r="T302" s="417">
        <v>-2086</v>
      </c>
      <c r="U302" s="417">
        <v>-2191</v>
      </c>
      <c r="V302" s="417">
        <v>-2816</v>
      </c>
      <c r="W302" s="417">
        <v>0</v>
      </c>
      <c r="X302" s="378">
        <v>4.1999999999999996E-6</v>
      </c>
      <c r="Z302" s="417">
        <v>1683</v>
      </c>
      <c r="AA302" s="417">
        <v>1182</v>
      </c>
      <c r="AB302" s="417">
        <v>1182</v>
      </c>
      <c r="AC302" s="417">
        <v>0</v>
      </c>
      <c r="AD302" s="417">
        <v>0</v>
      </c>
      <c r="AE302" s="378">
        <v>4.1999999999999996E-6</v>
      </c>
      <c r="AF302" s="378"/>
      <c r="AG302" s="417">
        <v>89</v>
      </c>
      <c r="AH302" s="417">
        <v>87</v>
      </c>
      <c r="AI302" s="417">
        <v>0</v>
      </c>
      <c r="AJ302" s="417">
        <v>0</v>
      </c>
      <c r="AK302" s="417">
        <v>0</v>
      </c>
      <c r="AL302" s="378">
        <v>4.1999999999999996E-6</v>
      </c>
      <c r="AM302" s="378"/>
      <c r="AN302" s="417">
        <v>-1049</v>
      </c>
      <c r="AO302" s="417">
        <v>-1010</v>
      </c>
      <c r="AP302" s="417">
        <v>-808</v>
      </c>
      <c r="AQ302" s="417">
        <v>0</v>
      </c>
      <c r="AR302" s="417">
        <v>0</v>
      </c>
    </row>
    <row r="303" spans="1:44">
      <c r="A303" s="377">
        <v>93131</v>
      </c>
      <c r="B303" t="s">
        <v>1008</v>
      </c>
      <c r="C303" s="378">
        <v>1.706E-4</v>
      </c>
      <c r="D303" s="378"/>
      <c r="E303" s="417">
        <v>17571</v>
      </c>
      <c r="F303" s="417">
        <v>-10081</v>
      </c>
      <c r="G303" s="417">
        <v>-27020</v>
      </c>
      <c r="H303" s="417">
        <v>-114383</v>
      </c>
      <c r="I303" s="417">
        <v>0</v>
      </c>
      <c r="J303" s="378">
        <v>1.706E-4</v>
      </c>
      <c r="K303" s="378"/>
      <c r="L303" s="417">
        <v>41764</v>
      </c>
      <c r="M303" s="417">
        <v>28844</v>
      </c>
      <c r="N303" s="417">
        <v>12626</v>
      </c>
      <c r="O303" s="417">
        <v>0</v>
      </c>
      <c r="P303" s="417">
        <v>0</v>
      </c>
      <c r="Q303" s="378">
        <v>1.706E-4</v>
      </c>
      <c r="R303" s="378"/>
      <c r="S303" s="417">
        <v>-85704</v>
      </c>
      <c r="T303" s="417">
        <v>-84712</v>
      </c>
      <c r="U303" s="417">
        <v>-88994</v>
      </c>
      <c r="V303" s="417">
        <v>-114383</v>
      </c>
      <c r="W303" s="417">
        <v>0</v>
      </c>
      <c r="X303" s="378">
        <v>1.706E-4</v>
      </c>
      <c r="Z303" s="417">
        <v>68343</v>
      </c>
      <c r="AA303" s="417">
        <v>48015</v>
      </c>
      <c r="AB303" s="417">
        <v>48014</v>
      </c>
      <c r="AC303" s="417">
        <v>0</v>
      </c>
      <c r="AD303" s="417">
        <v>0</v>
      </c>
      <c r="AE303" s="378">
        <v>1.706E-4</v>
      </c>
      <c r="AF303" s="378"/>
      <c r="AG303" s="417">
        <v>1666</v>
      </c>
      <c r="AH303" s="417">
        <v>1666</v>
      </c>
      <c r="AI303" s="417">
        <v>1334</v>
      </c>
      <c r="AJ303" s="417">
        <v>0</v>
      </c>
      <c r="AK303" s="417">
        <v>0</v>
      </c>
      <c r="AL303" s="378">
        <v>1.706E-4</v>
      </c>
      <c r="AM303" s="378"/>
      <c r="AN303" s="417">
        <v>-8498</v>
      </c>
      <c r="AO303" s="417">
        <v>-3894</v>
      </c>
      <c r="AP303" s="417">
        <v>0</v>
      </c>
      <c r="AQ303" s="417">
        <v>0</v>
      </c>
      <c r="AR303" s="417">
        <v>0</v>
      </c>
    </row>
    <row r="304" spans="1:44">
      <c r="A304" s="377">
        <v>93137</v>
      </c>
      <c r="B304" t="s">
        <v>1009</v>
      </c>
      <c r="C304" s="378">
        <v>6.1E-6</v>
      </c>
      <c r="D304" s="378"/>
      <c r="E304" s="417">
        <v>2530</v>
      </c>
      <c r="F304" s="417">
        <v>984</v>
      </c>
      <c r="G304" s="417">
        <v>-124</v>
      </c>
      <c r="H304" s="417">
        <v>-4090</v>
      </c>
      <c r="I304" s="417">
        <v>0</v>
      </c>
      <c r="J304" s="378">
        <v>6.1E-6</v>
      </c>
      <c r="K304" s="378"/>
      <c r="L304" s="417">
        <v>1493</v>
      </c>
      <c r="M304" s="417">
        <v>1031</v>
      </c>
      <c r="N304" s="417">
        <v>451</v>
      </c>
      <c r="O304" s="417">
        <v>0</v>
      </c>
      <c r="P304" s="417">
        <v>0</v>
      </c>
      <c r="Q304" s="378">
        <v>6.1E-6</v>
      </c>
      <c r="R304" s="378"/>
      <c r="S304" s="417">
        <v>-3064</v>
      </c>
      <c r="T304" s="417">
        <v>-3029</v>
      </c>
      <c r="U304" s="417">
        <v>-3182</v>
      </c>
      <c r="V304" s="417">
        <v>-4090</v>
      </c>
      <c r="W304" s="417">
        <v>0</v>
      </c>
      <c r="X304" s="378">
        <v>6.1E-6</v>
      </c>
      <c r="Z304" s="417">
        <v>2444</v>
      </c>
      <c r="AA304" s="417">
        <v>1717</v>
      </c>
      <c r="AB304" s="417">
        <v>1717</v>
      </c>
      <c r="AC304" s="417">
        <v>0</v>
      </c>
      <c r="AD304" s="417">
        <v>0</v>
      </c>
      <c r="AE304" s="378">
        <v>6.1E-6</v>
      </c>
      <c r="AF304" s="378"/>
      <c r="AG304" s="417">
        <v>1657</v>
      </c>
      <c r="AH304" s="417">
        <v>1265</v>
      </c>
      <c r="AI304" s="417">
        <v>890</v>
      </c>
      <c r="AJ304" s="417">
        <v>0</v>
      </c>
      <c r="AK304" s="417">
        <v>0</v>
      </c>
      <c r="AL304" s="378">
        <v>6.1E-6</v>
      </c>
      <c r="AM304" s="378"/>
      <c r="AN304" s="417">
        <v>0</v>
      </c>
      <c r="AO304" s="417">
        <v>0</v>
      </c>
      <c r="AP304" s="417">
        <v>0</v>
      </c>
      <c r="AQ304" s="417">
        <v>0</v>
      </c>
      <c r="AR304" s="417">
        <v>0</v>
      </c>
    </row>
    <row r="305" spans="1:44">
      <c r="A305" s="377">
        <v>93141</v>
      </c>
      <c r="B305" t="s">
        <v>1010</v>
      </c>
      <c r="C305" s="378">
        <v>3.26E-5</v>
      </c>
      <c r="D305" s="378"/>
      <c r="E305" s="417">
        <v>2545</v>
      </c>
      <c r="F305" s="417">
        <v>-2107</v>
      </c>
      <c r="G305" s="417">
        <v>-7956</v>
      </c>
      <c r="H305" s="417">
        <v>-21857</v>
      </c>
      <c r="I305" s="417">
        <v>0</v>
      </c>
      <c r="J305" s="378">
        <v>3.26E-5</v>
      </c>
      <c r="K305" s="378"/>
      <c r="L305" s="417">
        <v>7981</v>
      </c>
      <c r="M305" s="417">
        <v>5512</v>
      </c>
      <c r="N305" s="417">
        <v>2413</v>
      </c>
      <c r="O305" s="417">
        <v>0</v>
      </c>
      <c r="P305" s="417">
        <v>0</v>
      </c>
      <c r="Q305" s="378">
        <v>3.26E-5</v>
      </c>
      <c r="R305" s="378"/>
      <c r="S305" s="417">
        <v>-16377</v>
      </c>
      <c r="T305" s="417">
        <v>-16188</v>
      </c>
      <c r="U305" s="417">
        <v>-17006</v>
      </c>
      <c r="V305" s="417">
        <v>-21857</v>
      </c>
      <c r="W305" s="417">
        <v>0</v>
      </c>
      <c r="X305" s="378">
        <v>3.26E-5</v>
      </c>
      <c r="Z305" s="417">
        <v>13060</v>
      </c>
      <c r="AA305" s="417">
        <v>9175</v>
      </c>
      <c r="AB305" s="417">
        <v>9175</v>
      </c>
      <c r="AC305" s="417">
        <v>0</v>
      </c>
      <c r="AD305" s="417">
        <v>0</v>
      </c>
      <c r="AE305" s="378">
        <v>3.26E-5</v>
      </c>
      <c r="AF305" s="378"/>
      <c r="AG305" s="417">
        <v>1936</v>
      </c>
      <c r="AH305" s="417">
        <v>1932</v>
      </c>
      <c r="AI305" s="417">
        <v>0</v>
      </c>
      <c r="AJ305" s="417">
        <v>0</v>
      </c>
      <c r="AK305" s="417">
        <v>0</v>
      </c>
      <c r="AL305" s="378">
        <v>3.26E-5</v>
      </c>
      <c r="AM305" s="378"/>
      <c r="AN305" s="417">
        <v>-4055</v>
      </c>
      <c r="AO305" s="417">
        <v>-2538</v>
      </c>
      <c r="AP305" s="417">
        <v>-2538</v>
      </c>
      <c r="AQ305" s="417">
        <v>0</v>
      </c>
      <c r="AR305" s="417">
        <v>0</v>
      </c>
    </row>
    <row r="306" spans="1:44">
      <c r="A306" s="377">
        <v>93151</v>
      </c>
      <c r="B306" t="s">
        <v>1011</v>
      </c>
      <c r="C306" s="378">
        <v>3.6019999999999997E-4</v>
      </c>
      <c r="D306" s="378"/>
      <c r="E306" s="417">
        <v>42032</v>
      </c>
      <c r="F306" s="417">
        <v>-23164</v>
      </c>
      <c r="G306" s="417">
        <v>-57925</v>
      </c>
      <c r="H306" s="417">
        <v>-241505</v>
      </c>
      <c r="I306" s="417">
        <v>0</v>
      </c>
      <c r="J306" s="378">
        <v>3.6019999999999997E-4</v>
      </c>
      <c r="K306" s="378"/>
      <c r="L306" s="417">
        <v>88180</v>
      </c>
      <c r="M306" s="417">
        <v>60900</v>
      </c>
      <c r="N306" s="417">
        <v>26659</v>
      </c>
      <c r="O306" s="417">
        <v>0</v>
      </c>
      <c r="P306" s="417">
        <v>0</v>
      </c>
      <c r="Q306" s="378">
        <v>3.6019999999999997E-4</v>
      </c>
      <c r="R306" s="378"/>
      <c r="S306" s="417">
        <v>-180953</v>
      </c>
      <c r="T306" s="417">
        <v>-178859</v>
      </c>
      <c r="U306" s="417">
        <v>-187899</v>
      </c>
      <c r="V306" s="417">
        <v>-241505</v>
      </c>
      <c r="W306" s="417">
        <v>0</v>
      </c>
      <c r="X306" s="378">
        <v>3.6019999999999997E-4</v>
      </c>
      <c r="Z306" s="417">
        <v>144297</v>
      </c>
      <c r="AA306" s="417">
        <v>101376</v>
      </c>
      <c r="AB306" s="417">
        <v>101376</v>
      </c>
      <c r="AC306" s="417">
        <v>0</v>
      </c>
      <c r="AD306" s="417">
        <v>0</v>
      </c>
      <c r="AE306" s="378">
        <v>3.6019999999999997E-4</v>
      </c>
      <c r="AF306" s="378"/>
      <c r="AG306" s="417">
        <v>6444</v>
      </c>
      <c r="AH306" s="417">
        <v>6446</v>
      </c>
      <c r="AI306" s="417">
        <v>1939</v>
      </c>
      <c r="AJ306" s="417">
        <v>0</v>
      </c>
      <c r="AK306" s="417">
        <v>0</v>
      </c>
      <c r="AL306" s="378">
        <v>3.6019999999999997E-4</v>
      </c>
      <c r="AM306" s="378"/>
      <c r="AN306" s="417">
        <v>-15936</v>
      </c>
      <c r="AO306" s="417">
        <v>-13027</v>
      </c>
      <c r="AP306" s="417">
        <v>0</v>
      </c>
      <c r="AQ306" s="417">
        <v>0</v>
      </c>
      <c r="AR306" s="417">
        <v>0</v>
      </c>
    </row>
    <row r="307" spans="1:44">
      <c r="A307" s="377">
        <v>93157</v>
      </c>
      <c r="B307" t="s">
        <v>1012</v>
      </c>
      <c r="C307" s="378">
        <v>8.8000000000000004E-6</v>
      </c>
      <c r="D307" s="378"/>
      <c r="E307" s="417">
        <v>3772</v>
      </c>
      <c r="F307" s="417">
        <v>1106</v>
      </c>
      <c r="G307" s="417">
        <v>-3361</v>
      </c>
      <c r="H307" s="417">
        <v>-5900</v>
      </c>
      <c r="I307" s="417">
        <v>0</v>
      </c>
      <c r="J307" s="378">
        <v>8.8000000000000004E-6</v>
      </c>
      <c r="K307" s="378"/>
      <c r="L307" s="417">
        <v>2154</v>
      </c>
      <c r="M307" s="417">
        <v>1488</v>
      </c>
      <c r="N307" s="417">
        <v>651</v>
      </c>
      <c r="O307" s="417">
        <v>0</v>
      </c>
      <c r="P307" s="417">
        <v>0</v>
      </c>
      <c r="Q307" s="378">
        <v>8.8000000000000004E-6</v>
      </c>
      <c r="R307" s="378"/>
      <c r="S307" s="417">
        <v>-4421</v>
      </c>
      <c r="T307" s="417">
        <v>-4370</v>
      </c>
      <c r="U307" s="417">
        <v>-4591</v>
      </c>
      <c r="V307" s="417">
        <v>-5900</v>
      </c>
      <c r="W307" s="417">
        <v>0</v>
      </c>
      <c r="X307" s="378">
        <v>8.8000000000000004E-6</v>
      </c>
      <c r="Z307" s="417">
        <v>3525</v>
      </c>
      <c r="AA307" s="417">
        <v>2477</v>
      </c>
      <c r="AB307" s="417">
        <v>2477</v>
      </c>
      <c r="AC307" s="417">
        <v>0</v>
      </c>
      <c r="AD307" s="417">
        <v>0</v>
      </c>
      <c r="AE307" s="378">
        <v>8.8000000000000004E-6</v>
      </c>
      <c r="AF307" s="378"/>
      <c r="AG307" s="417">
        <v>4411</v>
      </c>
      <c r="AH307" s="417">
        <v>3408</v>
      </c>
      <c r="AI307" s="417">
        <v>0</v>
      </c>
      <c r="AJ307" s="417">
        <v>0</v>
      </c>
      <c r="AK307" s="417">
        <v>0</v>
      </c>
      <c r="AL307" s="378">
        <v>8.8000000000000004E-6</v>
      </c>
      <c r="AM307" s="378"/>
      <c r="AN307" s="417">
        <v>-1897</v>
      </c>
      <c r="AO307" s="417">
        <v>-1897</v>
      </c>
      <c r="AP307" s="417">
        <v>-1898</v>
      </c>
      <c r="AQ307" s="417">
        <v>0</v>
      </c>
      <c r="AR307" s="417">
        <v>0</v>
      </c>
    </row>
    <row r="308" spans="1:44">
      <c r="A308" s="377">
        <v>93161</v>
      </c>
      <c r="B308" t="s">
        <v>1013</v>
      </c>
      <c r="C308" s="378">
        <v>9.7800000000000006E-5</v>
      </c>
      <c r="D308" s="378"/>
      <c r="E308" s="417">
        <v>2048</v>
      </c>
      <c r="F308" s="417">
        <v>-17182</v>
      </c>
      <c r="G308" s="417">
        <v>-21763</v>
      </c>
      <c r="H308" s="417">
        <v>-65572</v>
      </c>
      <c r="I308" s="417">
        <v>0</v>
      </c>
      <c r="J308" s="378">
        <v>9.7800000000000006E-5</v>
      </c>
      <c r="K308" s="378"/>
      <c r="L308" s="417">
        <v>23942</v>
      </c>
      <c r="M308" s="417">
        <v>16535</v>
      </c>
      <c r="N308" s="417">
        <v>7238</v>
      </c>
      <c r="O308" s="417">
        <v>0</v>
      </c>
      <c r="P308" s="417">
        <v>0</v>
      </c>
      <c r="Q308" s="378">
        <v>9.7800000000000006E-5</v>
      </c>
      <c r="R308" s="378"/>
      <c r="S308" s="417">
        <v>-49132</v>
      </c>
      <c r="T308" s="417">
        <v>-48563</v>
      </c>
      <c r="U308" s="417">
        <v>-51017</v>
      </c>
      <c r="V308" s="417">
        <v>-65572</v>
      </c>
      <c r="W308" s="417">
        <v>0</v>
      </c>
      <c r="X308" s="378">
        <v>9.7800000000000006E-5</v>
      </c>
      <c r="Z308" s="417">
        <v>39179</v>
      </c>
      <c r="AA308" s="417">
        <v>27525</v>
      </c>
      <c r="AB308" s="417">
        <v>27525</v>
      </c>
      <c r="AC308" s="417">
        <v>0</v>
      </c>
      <c r="AD308" s="417">
        <v>0</v>
      </c>
      <c r="AE308" s="378">
        <v>9.7800000000000006E-5</v>
      </c>
      <c r="AF308" s="378"/>
      <c r="AG308" s="417">
        <v>1747</v>
      </c>
      <c r="AH308" s="417">
        <v>1010</v>
      </c>
      <c r="AI308" s="417">
        <v>0</v>
      </c>
      <c r="AJ308" s="417">
        <v>0</v>
      </c>
      <c r="AK308" s="417">
        <v>0</v>
      </c>
      <c r="AL308" s="378">
        <v>9.7800000000000006E-5</v>
      </c>
      <c r="AM308" s="378"/>
      <c r="AN308" s="417">
        <v>-13688</v>
      </c>
      <c r="AO308" s="417">
        <v>-13689</v>
      </c>
      <c r="AP308" s="417">
        <v>-5509</v>
      </c>
      <c r="AQ308" s="417">
        <v>0</v>
      </c>
      <c r="AR308" s="417">
        <v>0</v>
      </c>
    </row>
    <row r="309" spans="1:44">
      <c r="A309" s="377">
        <v>93171</v>
      </c>
      <c r="B309" t="s">
        <v>1014</v>
      </c>
      <c r="C309" s="378">
        <v>1.03E-5</v>
      </c>
      <c r="D309" s="378"/>
      <c r="E309" s="417">
        <v>5058</v>
      </c>
      <c r="F309" s="417">
        <v>3356</v>
      </c>
      <c r="G309" s="417">
        <v>-877</v>
      </c>
      <c r="H309" s="417">
        <v>-6906</v>
      </c>
      <c r="I309" s="417">
        <v>0</v>
      </c>
      <c r="J309" s="378">
        <v>1.03E-5</v>
      </c>
      <c r="K309" s="378"/>
      <c r="L309" s="417">
        <v>2522</v>
      </c>
      <c r="M309" s="417">
        <v>1741</v>
      </c>
      <c r="N309" s="417">
        <v>762</v>
      </c>
      <c r="O309" s="417">
        <v>0</v>
      </c>
      <c r="P309" s="417">
        <v>0</v>
      </c>
      <c r="Q309" s="378">
        <v>1.03E-5</v>
      </c>
      <c r="R309" s="378"/>
      <c r="S309" s="417">
        <v>-5174</v>
      </c>
      <c r="T309" s="417">
        <v>-5115</v>
      </c>
      <c r="U309" s="417">
        <v>-5373</v>
      </c>
      <c r="V309" s="417">
        <v>-6906</v>
      </c>
      <c r="W309" s="417">
        <v>0</v>
      </c>
      <c r="X309" s="378">
        <v>1.03E-5</v>
      </c>
      <c r="Z309" s="417">
        <v>4126</v>
      </c>
      <c r="AA309" s="417">
        <v>2899</v>
      </c>
      <c r="AB309" s="417">
        <v>2899</v>
      </c>
      <c r="AC309" s="417">
        <v>0</v>
      </c>
      <c r="AD309" s="417">
        <v>0</v>
      </c>
      <c r="AE309" s="378">
        <v>1.03E-5</v>
      </c>
      <c r="AF309" s="378"/>
      <c r="AG309" s="417">
        <v>3830</v>
      </c>
      <c r="AH309" s="417">
        <v>3831</v>
      </c>
      <c r="AI309" s="417">
        <v>835</v>
      </c>
      <c r="AJ309" s="417">
        <v>0</v>
      </c>
      <c r="AK309" s="417">
        <v>0</v>
      </c>
      <c r="AL309" s="378">
        <v>1.03E-5</v>
      </c>
      <c r="AM309" s="378"/>
      <c r="AN309" s="417">
        <v>-246</v>
      </c>
      <c r="AO309" s="417">
        <v>0</v>
      </c>
      <c r="AP309" s="417">
        <v>0</v>
      </c>
      <c r="AQ309" s="417">
        <v>0</v>
      </c>
      <c r="AR309" s="417">
        <v>0</v>
      </c>
    </row>
    <row r="310" spans="1:44">
      <c r="A310" s="377">
        <v>93181</v>
      </c>
      <c r="B310" t="s">
        <v>1015</v>
      </c>
      <c r="C310" s="378">
        <v>1.06E-5</v>
      </c>
      <c r="D310" s="378"/>
      <c r="E310" s="417">
        <v>2551</v>
      </c>
      <c r="F310" s="417">
        <v>521</v>
      </c>
      <c r="G310" s="417">
        <v>-943</v>
      </c>
      <c r="H310" s="417">
        <v>-7107</v>
      </c>
      <c r="I310" s="417">
        <v>0</v>
      </c>
      <c r="J310" s="378">
        <v>1.06E-5</v>
      </c>
      <c r="K310" s="378"/>
      <c r="L310" s="417">
        <v>2595</v>
      </c>
      <c r="M310" s="417">
        <v>1792</v>
      </c>
      <c r="N310" s="417">
        <v>785</v>
      </c>
      <c r="O310" s="417">
        <v>0</v>
      </c>
      <c r="P310" s="417">
        <v>0</v>
      </c>
      <c r="Q310" s="378">
        <v>1.06E-5</v>
      </c>
      <c r="R310" s="378"/>
      <c r="S310" s="417">
        <v>-5325</v>
      </c>
      <c r="T310" s="417">
        <v>-5263</v>
      </c>
      <c r="U310" s="417">
        <v>-5530</v>
      </c>
      <c r="V310" s="417">
        <v>-7107</v>
      </c>
      <c r="W310" s="417">
        <v>0</v>
      </c>
      <c r="X310" s="378">
        <v>1.06E-5</v>
      </c>
      <c r="Z310" s="417">
        <v>4246</v>
      </c>
      <c r="AA310" s="417">
        <v>2983</v>
      </c>
      <c r="AB310" s="417">
        <v>2983</v>
      </c>
      <c r="AC310" s="417">
        <v>0</v>
      </c>
      <c r="AD310" s="417">
        <v>0</v>
      </c>
      <c r="AE310" s="378">
        <v>1.06E-5</v>
      </c>
      <c r="AF310" s="378"/>
      <c r="AG310" s="417">
        <v>1035</v>
      </c>
      <c r="AH310" s="417">
        <v>1009</v>
      </c>
      <c r="AI310" s="417">
        <v>819</v>
      </c>
      <c r="AJ310" s="417">
        <v>0</v>
      </c>
      <c r="AK310" s="417">
        <v>0</v>
      </c>
      <c r="AL310" s="378">
        <v>1.06E-5</v>
      </c>
      <c r="AM310" s="378"/>
      <c r="AN310" s="417">
        <v>0</v>
      </c>
      <c r="AO310" s="417">
        <v>0</v>
      </c>
      <c r="AP310" s="417">
        <v>0</v>
      </c>
      <c r="AQ310" s="417">
        <v>0</v>
      </c>
      <c r="AR310" s="417">
        <v>0</v>
      </c>
    </row>
    <row r="311" spans="1:44">
      <c r="A311" s="377">
        <v>93191</v>
      </c>
      <c r="B311" t="s">
        <v>1016</v>
      </c>
      <c r="C311" s="378">
        <v>2.48E-5</v>
      </c>
      <c r="D311" s="378"/>
      <c r="E311" s="417">
        <v>9638</v>
      </c>
      <c r="F311" s="417">
        <v>4210</v>
      </c>
      <c r="G311" s="417">
        <v>-3758</v>
      </c>
      <c r="H311" s="417">
        <v>-16628</v>
      </c>
      <c r="I311" s="417">
        <v>0</v>
      </c>
      <c r="J311" s="378">
        <v>2.48E-5</v>
      </c>
      <c r="K311" s="378"/>
      <c r="L311" s="417">
        <v>6071</v>
      </c>
      <c r="M311" s="417">
        <v>4193</v>
      </c>
      <c r="N311" s="417">
        <v>1835</v>
      </c>
      <c r="O311" s="417">
        <v>0</v>
      </c>
      <c r="P311" s="417">
        <v>0</v>
      </c>
      <c r="Q311" s="378">
        <v>2.48E-5</v>
      </c>
      <c r="R311" s="378"/>
      <c r="S311" s="417">
        <v>-12459</v>
      </c>
      <c r="T311" s="417">
        <v>-12315</v>
      </c>
      <c r="U311" s="417">
        <v>-12937</v>
      </c>
      <c r="V311" s="417">
        <v>-16628</v>
      </c>
      <c r="W311" s="417">
        <v>0</v>
      </c>
      <c r="X311" s="378">
        <v>2.48E-5</v>
      </c>
      <c r="Z311" s="417">
        <v>9935</v>
      </c>
      <c r="AA311" s="417">
        <v>6980</v>
      </c>
      <c r="AB311" s="417">
        <v>6980</v>
      </c>
      <c r="AC311" s="417">
        <v>0</v>
      </c>
      <c r="AD311" s="417">
        <v>0</v>
      </c>
      <c r="AE311" s="378">
        <v>2.48E-5</v>
      </c>
      <c r="AF311" s="378"/>
      <c r="AG311" s="417">
        <v>6091</v>
      </c>
      <c r="AH311" s="417">
        <v>5352</v>
      </c>
      <c r="AI311" s="417">
        <v>364</v>
      </c>
      <c r="AJ311" s="417">
        <v>0</v>
      </c>
      <c r="AK311" s="417">
        <v>0</v>
      </c>
      <c r="AL311" s="378">
        <v>2.48E-5</v>
      </c>
      <c r="AM311" s="378"/>
      <c r="AN311" s="417">
        <v>0</v>
      </c>
      <c r="AO311" s="417">
        <v>0</v>
      </c>
      <c r="AP311" s="417">
        <v>0</v>
      </c>
      <c r="AQ311" s="417">
        <v>0</v>
      </c>
      <c r="AR311" s="417">
        <v>0</v>
      </c>
    </row>
    <row r="312" spans="1:44">
      <c r="A312" s="377">
        <v>93201</v>
      </c>
      <c r="B312" t="s">
        <v>1017</v>
      </c>
      <c r="C312" s="378">
        <v>1.54521E-2</v>
      </c>
      <c r="D312" s="378"/>
      <c r="E312" s="417">
        <v>2291059</v>
      </c>
      <c r="F312" s="417">
        <v>-689557</v>
      </c>
      <c r="G312" s="417">
        <v>-2375481</v>
      </c>
      <c r="H312" s="417">
        <v>-10360231</v>
      </c>
      <c r="I312" s="417">
        <v>0</v>
      </c>
      <c r="J312" s="378">
        <v>1.54521E-2</v>
      </c>
      <c r="K312" s="378"/>
      <c r="L312" s="417">
        <v>3782798</v>
      </c>
      <c r="M312" s="417">
        <v>2612517</v>
      </c>
      <c r="N312" s="417">
        <v>1143641</v>
      </c>
      <c r="O312" s="417">
        <v>0</v>
      </c>
      <c r="P312" s="417">
        <v>0</v>
      </c>
      <c r="Q312" s="378">
        <v>1.54521E-2</v>
      </c>
      <c r="R312" s="378"/>
      <c r="S312" s="417">
        <v>-7762641</v>
      </c>
      <c r="T312" s="417">
        <v>-7672818</v>
      </c>
      <c r="U312" s="417">
        <v>-8060603</v>
      </c>
      <c r="V312" s="417">
        <v>-10360231</v>
      </c>
      <c r="W312" s="417">
        <v>0</v>
      </c>
      <c r="X312" s="378">
        <v>1.54521E-2</v>
      </c>
      <c r="Z312" s="417">
        <v>6190142</v>
      </c>
      <c r="AA312" s="417">
        <v>4348916</v>
      </c>
      <c r="AB312" s="417">
        <v>4348885</v>
      </c>
      <c r="AC312" s="417">
        <v>0</v>
      </c>
      <c r="AD312" s="417">
        <v>0</v>
      </c>
      <c r="AE312" s="378">
        <v>1.54521E-2</v>
      </c>
      <c r="AF312" s="378"/>
      <c r="AG312" s="417">
        <v>251532</v>
      </c>
      <c r="AH312" s="417">
        <v>192598</v>
      </c>
      <c r="AI312" s="417">
        <v>192596</v>
      </c>
      <c r="AJ312" s="417">
        <v>0</v>
      </c>
      <c r="AK312" s="417">
        <v>0</v>
      </c>
      <c r="AL312" s="378">
        <v>1.54521E-2</v>
      </c>
      <c r="AM312" s="378"/>
      <c r="AN312" s="417">
        <v>-170772</v>
      </c>
      <c r="AO312" s="417">
        <v>-170770</v>
      </c>
      <c r="AP312" s="417">
        <v>0</v>
      </c>
      <c r="AQ312" s="417">
        <v>0</v>
      </c>
      <c r="AR312" s="417">
        <v>0</v>
      </c>
    </row>
    <row r="313" spans="1:44">
      <c r="A313" s="377">
        <v>93202</v>
      </c>
      <c r="B313" t="s">
        <v>1018</v>
      </c>
      <c r="C313" s="378">
        <v>0</v>
      </c>
      <c r="D313" s="378">
        <v>0</v>
      </c>
      <c r="E313" s="417">
        <v>0</v>
      </c>
      <c r="F313" s="417">
        <v>0</v>
      </c>
      <c r="G313" s="417">
        <v>0</v>
      </c>
      <c r="H313" s="417">
        <v>0</v>
      </c>
      <c r="I313" s="417">
        <v>0</v>
      </c>
      <c r="J313" s="417">
        <v>0</v>
      </c>
      <c r="K313" s="417">
        <v>0</v>
      </c>
      <c r="L313" s="417">
        <v>0</v>
      </c>
      <c r="M313" s="417">
        <v>0</v>
      </c>
      <c r="N313" s="417">
        <v>0</v>
      </c>
      <c r="O313" s="417">
        <v>0</v>
      </c>
      <c r="P313" s="417">
        <v>0</v>
      </c>
      <c r="Q313" s="417">
        <v>0</v>
      </c>
      <c r="R313" s="417">
        <v>0</v>
      </c>
      <c r="S313" s="417">
        <v>0</v>
      </c>
      <c r="T313" s="417">
        <v>0</v>
      </c>
      <c r="U313" s="417">
        <v>0</v>
      </c>
      <c r="V313" s="417">
        <v>0</v>
      </c>
      <c r="W313" s="417">
        <v>0</v>
      </c>
      <c r="X313" s="417">
        <v>0</v>
      </c>
      <c r="Y313" s="417">
        <v>0</v>
      </c>
      <c r="Z313" s="417">
        <v>0</v>
      </c>
      <c r="AA313" s="417">
        <v>0</v>
      </c>
      <c r="AB313" s="417">
        <v>0</v>
      </c>
      <c r="AC313" s="417">
        <v>0</v>
      </c>
      <c r="AD313" s="417">
        <v>0</v>
      </c>
      <c r="AE313" s="417">
        <v>0</v>
      </c>
      <c r="AF313" s="417">
        <v>0</v>
      </c>
      <c r="AG313" s="417">
        <v>0</v>
      </c>
      <c r="AH313" s="417">
        <v>0</v>
      </c>
      <c r="AI313" s="417">
        <v>0</v>
      </c>
      <c r="AJ313" s="417">
        <v>0</v>
      </c>
      <c r="AK313" s="417">
        <v>0</v>
      </c>
      <c r="AL313" s="417">
        <v>0</v>
      </c>
      <c r="AM313" s="417">
        <v>0</v>
      </c>
      <c r="AN313" s="417">
        <v>0</v>
      </c>
      <c r="AO313" s="417">
        <v>0</v>
      </c>
      <c r="AP313" s="417">
        <v>0</v>
      </c>
      <c r="AQ313" s="417">
        <v>0</v>
      </c>
      <c r="AR313" s="417">
        <v>0</v>
      </c>
    </row>
    <row r="314" spans="1:44">
      <c r="A314" s="377">
        <v>93204</v>
      </c>
      <c r="B314" t="s">
        <v>1019</v>
      </c>
      <c r="C314" s="378">
        <v>3.0600000000000001E-4</v>
      </c>
      <c r="D314" s="378"/>
      <c r="E314" s="417">
        <v>69288</v>
      </c>
      <c r="F314" s="417">
        <v>5065</v>
      </c>
      <c r="G314" s="417">
        <v>-21772</v>
      </c>
      <c r="H314" s="417">
        <v>-205165</v>
      </c>
      <c r="I314" s="417">
        <v>0</v>
      </c>
      <c r="J314" s="378">
        <v>3.0600000000000001E-4</v>
      </c>
      <c r="K314" s="378"/>
      <c r="L314" s="417">
        <v>74911</v>
      </c>
      <c r="M314" s="417">
        <v>51736</v>
      </c>
      <c r="N314" s="417">
        <v>22648</v>
      </c>
      <c r="O314" s="417">
        <v>0</v>
      </c>
      <c r="P314" s="417">
        <v>0</v>
      </c>
      <c r="Q314" s="378">
        <v>3.0600000000000001E-4</v>
      </c>
      <c r="R314" s="378"/>
      <c r="S314" s="417">
        <v>-153725</v>
      </c>
      <c r="T314" s="417">
        <v>-151946</v>
      </c>
      <c r="U314" s="417">
        <v>-159625</v>
      </c>
      <c r="V314" s="417">
        <v>-205165</v>
      </c>
      <c r="W314" s="417">
        <v>0</v>
      </c>
      <c r="X314" s="378">
        <v>3.0600000000000001E-4</v>
      </c>
      <c r="Z314" s="417">
        <v>122584</v>
      </c>
      <c r="AA314" s="417">
        <v>86122</v>
      </c>
      <c r="AB314" s="417">
        <v>86122</v>
      </c>
      <c r="AC314" s="417">
        <v>0</v>
      </c>
      <c r="AD314" s="417">
        <v>0</v>
      </c>
      <c r="AE314" s="378">
        <v>3.0600000000000001E-4</v>
      </c>
      <c r="AF314" s="378"/>
      <c r="AG314" s="417">
        <v>35446</v>
      </c>
      <c r="AH314" s="417">
        <v>29082</v>
      </c>
      <c r="AI314" s="417">
        <v>29083</v>
      </c>
      <c r="AJ314" s="417">
        <v>0</v>
      </c>
      <c r="AK314" s="417">
        <v>0</v>
      </c>
      <c r="AL314" s="378">
        <v>3.0600000000000001E-4</v>
      </c>
      <c r="AM314" s="378"/>
      <c r="AN314" s="417">
        <v>-9928</v>
      </c>
      <c r="AO314" s="417">
        <v>-9929</v>
      </c>
      <c r="AP314" s="417">
        <v>0</v>
      </c>
      <c r="AQ314" s="417">
        <v>0</v>
      </c>
      <c r="AR314" s="417">
        <v>0</v>
      </c>
    </row>
    <row r="315" spans="1:44">
      <c r="A315" s="377">
        <v>93209</v>
      </c>
      <c r="B315" t="s">
        <v>1020</v>
      </c>
      <c r="C315" s="378">
        <v>5.6934999999999998E-3</v>
      </c>
      <c r="D315" s="378"/>
      <c r="E315" s="417">
        <v>872234</v>
      </c>
      <c r="F315" s="417">
        <v>-252562</v>
      </c>
      <c r="G315" s="417">
        <v>-787283</v>
      </c>
      <c r="H315" s="417">
        <v>-3817344</v>
      </c>
      <c r="I315" s="417">
        <v>0</v>
      </c>
      <c r="J315" s="378">
        <v>5.6934999999999998E-3</v>
      </c>
      <c r="K315" s="378"/>
      <c r="L315" s="417">
        <v>1393814</v>
      </c>
      <c r="M315" s="417">
        <v>962611</v>
      </c>
      <c r="N315" s="417">
        <v>421387</v>
      </c>
      <c r="O315" s="417">
        <v>0</v>
      </c>
      <c r="P315" s="417">
        <v>0</v>
      </c>
      <c r="Q315" s="378">
        <v>5.6934999999999998E-3</v>
      </c>
      <c r="R315" s="378"/>
      <c r="S315" s="417">
        <v>-2860232</v>
      </c>
      <c r="T315" s="417">
        <v>-2827136</v>
      </c>
      <c r="U315" s="417">
        <v>-2970020</v>
      </c>
      <c r="V315" s="417">
        <v>-3817344</v>
      </c>
      <c r="W315" s="417">
        <v>0</v>
      </c>
      <c r="X315" s="378">
        <v>5.6934999999999998E-3</v>
      </c>
      <c r="Z315" s="417">
        <v>2280827</v>
      </c>
      <c r="AA315" s="417">
        <v>1602407</v>
      </c>
      <c r="AB315" s="417">
        <v>1602396</v>
      </c>
      <c r="AC315" s="417">
        <v>0</v>
      </c>
      <c r="AD315" s="417">
        <v>0</v>
      </c>
      <c r="AE315" s="378">
        <v>5.6934999999999998E-3</v>
      </c>
      <c r="AF315" s="378"/>
      <c r="AG315" s="417">
        <v>231315</v>
      </c>
      <c r="AH315" s="417">
        <v>183046</v>
      </c>
      <c r="AI315" s="417">
        <v>158954</v>
      </c>
      <c r="AJ315" s="417">
        <v>0</v>
      </c>
      <c r="AK315" s="417">
        <v>0</v>
      </c>
      <c r="AL315" s="378">
        <v>5.6934999999999998E-3</v>
      </c>
      <c r="AM315" s="378"/>
      <c r="AN315" s="417">
        <v>-173490</v>
      </c>
      <c r="AO315" s="417">
        <v>-173490</v>
      </c>
      <c r="AP315" s="417">
        <v>0</v>
      </c>
      <c r="AQ315" s="417">
        <v>0</v>
      </c>
      <c r="AR315" s="417">
        <v>0</v>
      </c>
    </row>
    <row r="316" spans="1:44">
      <c r="A316" s="377">
        <v>93211</v>
      </c>
      <c r="B316" t="s">
        <v>1021</v>
      </c>
      <c r="C316" s="378">
        <v>2.2281100000000002E-2</v>
      </c>
      <c r="D316" s="378"/>
      <c r="E316" s="417">
        <v>3717378</v>
      </c>
      <c r="F316" s="417">
        <v>-600259</v>
      </c>
      <c r="G316" s="417">
        <v>-3668205</v>
      </c>
      <c r="H316" s="417">
        <v>-14938898</v>
      </c>
      <c r="I316" s="417">
        <v>0</v>
      </c>
      <c r="J316" s="378">
        <v>2.2281100000000002E-2</v>
      </c>
      <c r="K316" s="378"/>
      <c r="L316" s="417">
        <v>5454592</v>
      </c>
      <c r="M316" s="417">
        <v>3767110</v>
      </c>
      <c r="N316" s="417">
        <v>1649069</v>
      </c>
      <c r="O316" s="417">
        <v>0</v>
      </c>
      <c r="P316" s="417">
        <v>0</v>
      </c>
      <c r="Q316" s="378">
        <v>2.2281100000000002E-2</v>
      </c>
      <c r="R316" s="378"/>
      <c r="S316" s="417">
        <v>-11193312</v>
      </c>
      <c r="T316" s="417">
        <v>-11063792</v>
      </c>
      <c r="U316" s="417">
        <v>-11622958</v>
      </c>
      <c r="V316" s="417">
        <v>-14938898</v>
      </c>
      <c r="W316" s="417">
        <v>0</v>
      </c>
      <c r="X316" s="378">
        <v>2.2281100000000002E-2</v>
      </c>
      <c r="Z316" s="417">
        <v>8925853</v>
      </c>
      <c r="AA316" s="417">
        <v>6270904</v>
      </c>
      <c r="AB316" s="417">
        <v>6270860</v>
      </c>
      <c r="AC316" s="417">
        <v>0</v>
      </c>
      <c r="AD316" s="417">
        <v>0</v>
      </c>
      <c r="AE316" s="378">
        <v>2.2281100000000002E-2</v>
      </c>
      <c r="AF316" s="378"/>
      <c r="AG316" s="417">
        <v>530245</v>
      </c>
      <c r="AH316" s="417">
        <v>425519</v>
      </c>
      <c r="AI316" s="417">
        <v>34824</v>
      </c>
      <c r="AJ316" s="417">
        <v>0</v>
      </c>
      <c r="AK316" s="417">
        <v>0</v>
      </c>
      <c r="AL316" s="378">
        <v>2.2281100000000002E-2</v>
      </c>
      <c r="AM316" s="378"/>
      <c r="AN316" s="417">
        <v>0</v>
      </c>
      <c r="AO316" s="417">
        <v>0</v>
      </c>
      <c r="AP316" s="417">
        <v>0</v>
      </c>
      <c r="AQ316" s="417">
        <v>0</v>
      </c>
      <c r="AR316" s="417">
        <v>0</v>
      </c>
    </row>
    <row r="317" spans="1:44">
      <c r="A317" s="377">
        <v>93212</v>
      </c>
      <c r="B317" t="s">
        <v>1022</v>
      </c>
      <c r="C317" s="378">
        <v>2.231E-4</v>
      </c>
      <c r="D317" s="378"/>
      <c r="E317" s="417">
        <v>73157</v>
      </c>
      <c r="F317" s="417">
        <v>-720</v>
      </c>
      <c r="G317" s="417">
        <v>-60337</v>
      </c>
      <c r="H317" s="417">
        <v>-149583</v>
      </c>
      <c r="I317" s="417">
        <v>0</v>
      </c>
      <c r="J317" s="378">
        <v>2.231E-4</v>
      </c>
      <c r="K317" s="378"/>
      <c r="L317" s="417">
        <v>54617</v>
      </c>
      <c r="M317" s="417">
        <v>37720</v>
      </c>
      <c r="N317" s="417">
        <v>16512</v>
      </c>
      <c r="O317" s="417">
        <v>0</v>
      </c>
      <c r="P317" s="417">
        <v>0</v>
      </c>
      <c r="Q317" s="378">
        <v>2.231E-4</v>
      </c>
      <c r="R317" s="378"/>
      <c r="S317" s="417">
        <v>-112078</v>
      </c>
      <c r="T317" s="417">
        <v>-110781</v>
      </c>
      <c r="U317" s="417">
        <v>-116380</v>
      </c>
      <c r="V317" s="417">
        <v>-149583</v>
      </c>
      <c r="W317" s="417">
        <v>0</v>
      </c>
      <c r="X317" s="378">
        <v>2.231E-4</v>
      </c>
      <c r="Z317" s="417">
        <v>89374</v>
      </c>
      <c r="AA317" s="417">
        <v>62790</v>
      </c>
      <c r="AB317" s="417">
        <v>62790</v>
      </c>
      <c r="AC317" s="417">
        <v>0</v>
      </c>
      <c r="AD317" s="417">
        <v>0</v>
      </c>
      <c r="AE317" s="378">
        <v>2.231E-4</v>
      </c>
      <c r="AF317" s="378"/>
      <c r="AG317" s="417">
        <v>64504</v>
      </c>
      <c r="AH317" s="417">
        <v>32811</v>
      </c>
      <c r="AI317" s="417">
        <v>0</v>
      </c>
      <c r="AJ317" s="417">
        <v>0</v>
      </c>
      <c r="AK317" s="417">
        <v>0</v>
      </c>
      <c r="AL317" s="378">
        <v>2.231E-4</v>
      </c>
      <c r="AM317" s="378"/>
      <c r="AN317" s="417">
        <v>-23260</v>
      </c>
      <c r="AO317" s="417">
        <v>-23260</v>
      </c>
      <c r="AP317" s="417">
        <v>-23259</v>
      </c>
      <c r="AQ317" s="417">
        <v>0</v>
      </c>
      <c r="AR317" s="417">
        <v>0</v>
      </c>
    </row>
    <row r="318" spans="1:44">
      <c r="A318" s="377">
        <v>93219</v>
      </c>
      <c r="B318" t="s">
        <v>1023</v>
      </c>
      <c r="C318" s="378">
        <v>2.6029999999999998E-4</v>
      </c>
      <c r="D318" s="378"/>
      <c r="E318" s="417">
        <v>47946</v>
      </c>
      <c r="F318" s="417">
        <v>-661</v>
      </c>
      <c r="G318" s="417">
        <v>-37750</v>
      </c>
      <c r="H318" s="417">
        <v>-174524</v>
      </c>
      <c r="I318" s="417">
        <v>0</v>
      </c>
      <c r="J318" s="378">
        <v>2.6029999999999998E-4</v>
      </c>
      <c r="K318" s="378"/>
      <c r="L318" s="417">
        <v>63724</v>
      </c>
      <c r="M318" s="417">
        <v>44009</v>
      </c>
      <c r="N318" s="417">
        <v>19265</v>
      </c>
      <c r="O318" s="417">
        <v>0</v>
      </c>
      <c r="P318" s="417">
        <v>0</v>
      </c>
      <c r="Q318" s="378">
        <v>2.6029999999999998E-4</v>
      </c>
      <c r="R318" s="378"/>
      <c r="S318" s="417">
        <v>-130766</v>
      </c>
      <c r="T318" s="417">
        <v>-129253</v>
      </c>
      <c r="U318" s="417">
        <v>-135786</v>
      </c>
      <c r="V318" s="417">
        <v>-174524</v>
      </c>
      <c r="W318" s="417">
        <v>0</v>
      </c>
      <c r="X318" s="378">
        <v>2.6029999999999998E-4</v>
      </c>
      <c r="Z318" s="417">
        <v>104277</v>
      </c>
      <c r="AA318" s="417">
        <v>73260</v>
      </c>
      <c r="AB318" s="417">
        <v>73260</v>
      </c>
      <c r="AC318" s="417">
        <v>0</v>
      </c>
      <c r="AD318" s="417">
        <v>0</v>
      </c>
      <c r="AE318" s="378">
        <v>2.6029999999999998E-4</v>
      </c>
      <c r="AF318" s="378"/>
      <c r="AG318" s="417">
        <v>11326</v>
      </c>
      <c r="AH318" s="417">
        <v>11323</v>
      </c>
      <c r="AI318" s="417">
        <v>5511</v>
      </c>
      <c r="AJ318" s="417">
        <v>0</v>
      </c>
      <c r="AK318" s="417">
        <v>0</v>
      </c>
      <c r="AL318" s="378">
        <v>2.6029999999999998E-4</v>
      </c>
      <c r="AM318" s="378"/>
      <c r="AN318" s="417">
        <v>-615</v>
      </c>
      <c r="AO318" s="417">
        <v>0</v>
      </c>
      <c r="AP318" s="417">
        <v>0</v>
      </c>
      <c r="AQ318" s="417">
        <v>0</v>
      </c>
      <c r="AR318" s="417">
        <v>0</v>
      </c>
    </row>
    <row r="319" spans="1:44">
      <c r="A319" s="377">
        <v>93301</v>
      </c>
      <c r="B319" t="s">
        <v>1024</v>
      </c>
      <c r="C319" s="378">
        <v>2.1727000000000001E-3</v>
      </c>
      <c r="D319" s="378"/>
      <c r="E319" s="417">
        <v>296955</v>
      </c>
      <c r="F319" s="417">
        <v>-70585</v>
      </c>
      <c r="G319" s="417">
        <v>-319901</v>
      </c>
      <c r="H319" s="417">
        <v>-1456739</v>
      </c>
      <c r="I319" s="417">
        <v>0</v>
      </c>
      <c r="J319" s="378">
        <v>2.1727000000000001E-3</v>
      </c>
      <c r="K319" s="378"/>
      <c r="L319" s="417">
        <v>531894</v>
      </c>
      <c r="M319" s="417">
        <v>367343</v>
      </c>
      <c r="N319" s="417">
        <v>160806</v>
      </c>
      <c r="O319" s="417">
        <v>0</v>
      </c>
      <c r="P319" s="417">
        <v>0</v>
      </c>
      <c r="Q319" s="378">
        <v>2.1727000000000001E-3</v>
      </c>
      <c r="R319" s="378"/>
      <c r="S319" s="417">
        <v>-1091495</v>
      </c>
      <c r="T319" s="417">
        <v>-1078865</v>
      </c>
      <c r="U319" s="417">
        <v>-1133391</v>
      </c>
      <c r="V319" s="417">
        <v>-1456739</v>
      </c>
      <c r="W319" s="417">
        <v>0</v>
      </c>
      <c r="X319" s="378">
        <v>2.1727000000000001E-3</v>
      </c>
      <c r="Z319" s="417">
        <v>870388</v>
      </c>
      <c r="AA319" s="417">
        <v>611496</v>
      </c>
      <c r="AB319" s="417">
        <v>611491</v>
      </c>
      <c r="AC319" s="417">
        <v>0</v>
      </c>
      <c r="AD319" s="417">
        <v>0</v>
      </c>
      <c r="AE319" s="378">
        <v>2.1727000000000001E-3</v>
      </c>
      <c r="AF319" s="378"/>
      <c r="AG319" s="417">
        <v>45349</v>
      </c>
      <c r="AH319" s="417">
        <v>45347</v>
      </c>
      <c r="AI319" s="417">
        <v>41193</v>
      </c>
      <c r="AJ319" s="417">
        <v>0</v>
      </c>
      <c r="AK319" s="417">
        <v>0</v>
      </c>
      <c r="AL319" s="378">
        <v>2.1727000000000001E-3</v>
      </c>
      <c r="AM319" s="378"/>
      <c r="AN319" s="417">
        <v>-59181</v>
      </c>
      <c r="AO319" s="417">
        <v>-15906</v>
      </c>
      <c r="AP319" s="417">
        <v>0</v>
      </c>
      <c r="AQ319" s="417">
        <v>0</v>
      </c>
      <c r="AR319" s="417">
        <v>0</v>
      </c>
    </row>
    <row r="320" spans="1:44">
      <c r="A320" s="377">
        <v>93304</v>
      </c>
      <c r="B320" t="s">
        <v>1025</v>
      </c>
      <c r="C320" s="378">
        <v>4.5300000000000003E-5</v>
      </c>
      <c r="D320" s="378"/>
      <c r="E320" s="417">
        <v>17275</v>
      </c>
      <c r="F320" s="417">
        <v>7246</v>
      </c>
      <c r="G320" s="417">
        <v>-1914</v>
      </c>
      <c r="H320" s="417">
        <v>-30372</v>
      </c>
      <c r="I320" s="417">
        <v>0</v>
      </c>
      <c r="J320" s="378">
        <v>4.5300000000000003E-5</v>
      </c>
      <c r="K320" s="378"/>
      <c r="L320" s="417">
        <v>11090</v>
      </c>
      <c r="M320" s="417">
        <v>7659</v>
      </c>
      <c r="N320" s="417">
        <v>3353</v>
      </c>
      <c r="O320" s="417">
        <v>0</v>
      </c>
      <c r="P320" s="417">
        <v>0</v>
      </c>
      <c r="Q320" s="378">
        <v>4.5300000000000003E-5</v>
      </c>
      <c r="R320" s="378"/>
      <c r="S320" s="417">
        <v>-22757</v>
      </c>
      <c r="T320" s="417">
        <v>-22494</v>
      </c>
      <c r="U320" s="417">
        <v>-23631</v>
      </c>
      <c r="V320" s="417">
        <v>-30372</v>
      </c>
      <c r="W320" s="417">
        <v>0</v>
      </c>
      <c r="X320" s="378">
        <v>4.5300000000000003E-5</v>
      </c>
      <c r="Z320" s="417">
        <v>18147</v>
      </c>
      <c r="AA320" s="417">
        <v>12749</v>
      </c>
      <c r="AB320" s="417">
        <v>12749</v>
      </c>
      <c r="AC320" s="417">
        <v>0</v>
      </c>
      <c r="AD320" s="417">
        <v>0</v>
      </c>
      <c r="AE320" s="378">
        <v>4.5300000000000003E-5</v>
      </c>
      <c r="AF320" s="378"/>
      <c r="AG320" s="417">
        <v>10795</v>
      </c>
      <c r="AH320" s="417">
        <v>9332</v>
      </c>
      <c r="AI320" s="417">
        <v>5615</v>
      </c>
      <c r="AJ320" s="417">
        <v>0</v>
      </c>
      <c r="AK320" s="417">
        <v>0</v>
      </c>
      <c r="AL320" s="378">
        <v>4.5300000000000003E-5</v>
      </c>
      <c r="AM320" s="378"/>
      <c r="AN320" s="417">
        <v>0</v>
      </c>
      <c r="AO320" s="417">
        <v>0</v>
      </c>
      <c r="AP320" s="417">
        <v>0</v>
      </c>
      <c r="AQ320" s="417">
        <v>0</v>
      </c>
      <c r="AR320" s="417">
        <v>0</v>
      </c>
    </row>
    <row r="321" spans="1:44">
      <c r="A321" s="377">
        <v>93305</v>
      </c>
      <c r="B321" t="s">
        <v>1026</v>
      </c>
      <c r="C321" s="378">
        <v>3.0199999999999999E-5</v>
      </c>
      <c r="D321" s="378"/>
      <c r="E321" s="417">
        <v>-1448</v>
      </c>
      <c r="F321" s="417">
        <v>-6566</v>
      </c>
      <c r="G321" s="417">
        <v>-7004</v>
      </c>
      <c r="H321" s="417">
        <v>-20248</v>
      </c>
      <c r="I321" s="417">
        <v>0</v>
      </c>
      <c r="J321" s="378">
        <v>3.0199999999999999E-5</v>
      </c>
      <c r="K321" s="378"/>
      <c r="L321" s="417">
        <v>7393</v>
      </c>
      <c r="M321" s="417">
        <v>5106</v>
      </c>
      <c r="N321" s="417">
        <v>2235</v>
      </c>
      <c r="O321" s="417">
        <v>0</v>
      </c>
      <c r="P321" s="417">
        <v>0</v>
      </c>
      <c r="Q321" s="378">
        <v>3.0199999999999999E-5</v>
      </c>
      <c r="R321" s="378"/>
      <c r="S321" s="417">
        <v>-15172</v>
      </c>
      <c r="T321" s="417">
        <v>-14996</v>
      </c>
      <c r="U321" s="417">
        <v>-15754</v>
      </c>
      <c r="V321" s="417">
        <v>-20248</v>
      </c>
      <c r="W321" s="417">
        <v>0</v>
      </c>
      <c r="X321" s="378">
        <v>3.0199999999999999E-5</v>
      </c>
      <c r="Z321" s="417">
        <v>12098</v>
      </c>
      <c r="AA321" s="417">
        <v>8500</v>
      </c>
      <c r="AB321" s="417">
        <v>8500</v>
      </c>
      <c r="AC321" s="417">
        <v>0</v>
      </c>
      <c r="AD321" s="417">
        <v>0</v>
      </c>
      <c r="AE321" s="378">
        <v>3.0199999999999999E-5</v>
      </c>
      <c r="AF321" s="378"/>
      <c r="AG321" s="417">
        <v>0</v>
      </c>
      <c r="AH321" s="417">
        <v>0</v>
      </c>
      <c r="AI321" s="417">
        <v>0</v>
      </c>
      <c r="AJ321" s="417">
        <v>0</v>
      </c>
      <c r="AK321" s="417">
        <v>0</v>
      </c>
      <c r="AL321" s="378">
        <v>3.0199999999999999E-5</v>
      </c>
      <c r="AM321" s="378"/>
      <c r="AN321" s="417">
        <v>-5767</v>
      </c>
      <c r="AO321" s="417">
        <v>-5176</v>
      </c>
      <c r="AP321" s="417">
        <v>-1985</v>
      </c>
      <c r="AQ321" s="417">
        <v>0</v>
      </c>
      <c r="AR321" s="417">
        <v>0</v>
      </c>
    </row>
    <row r="322" spans="1:44">
      <c r="A322" s="377">
        <v>93309</v>
      </c>
      <c r="B322" t="s">
        <v>1027</v>
      </c>
      <c r="C322" s="378">
        <v>1.6750000000000001E-4</v>
      </c>
      <c r="D322" s="378"/>
      <c r="E322" s="417">
        <v>38785</v>
      </c>
      <c r="F322" s="417">
        <v>3053</v>
      </c>
      <c r="G322" s="417">
        <v>-24858</v>
      </c>
      <c r="H322" s="417">
        <v>-112304</v>
      </c>
      <c r="I322" s="417">
        <v>0</v>
      </c>
      <c r="J322" s="378">
        <v>1.6750000000000001E-4</v>
      </c>
      <c r="K322" s="378"/>
      <c r="L322" s="417">
        <v>41005</v>
      </c>
      <c r="M322" s="417">
        <v>28320</v>
      </c>
      <c r="N322" s="417">
        <v>12397</v>
      </c>
      <c r="O322" s="417">
        <v>0</v>
      </c>
      <c r="P322" s="417">
        <v>0</v>
      </c>
      <c r="Q322" s="378">
        <v>1.6750000000000001E-4</v>
      </c>
      <c r="R322" s="378"/>
      <c r="S322" s="417">
        <v>-84147</v>
      </c>
      <c r="T322" s="417">
        <v>-83173</v>
      </c>
      <c r="U322" s="417">
        <v>-87377</v>
      </c>
      <c r="V322" s="417">
        <v>-112304</v>
      </c>
      <c r="W322" s="417">
        <v>0</v>
      </c>
      <c r="X322" s="378">
        <v>1.6750000000000001E-4</v>
      </c>
      <c r="Z322" s="417">
        <v>67101</v>
      </c>
      <c r="AA322" s="417">
        <v>47142</v>
      </c>
      <c r="AB322" s="417">
        <v>47142</v>
      </c>
      <c r="AC322" s="417">
        <v>0</v>
      </c>
      <c r="AD322" s="417">
        <v>0</v>
      </c>
      <c r="AE322" s="378">
        <v>1.6750000000000001E-4</v>
      </c>
      <c r="AF322" s="378"/>
      <c r="AG322" s="417">
        <v>14826</v>
      </c>
      <c r="AH322" s="417">
        <v>10764</v>
      </c>
      <c r="AI322" s="417">
        <v>2980</v>
      </c>
      <c r="AJ322" s="417">
        <v>0</v>
      </c>
      <c r="AK322" s="417">
        <v>0</v>
      </c>
      <c r="AL322" s="378">
        <v>1.6750000000000001E-4</v>
      </c>
      <c r="AM322" s="378"/>
      <c r="AN322" s="417">
        <v>0</v>
      </c>
      <c r="AO322" s="417">
        <v>0</v>
      </c>
      <c r="AP322" s="417">
        <v>0</v>
      </c>
      <c r="AQ322" s="417">
        <v>0</v>
      </c>
      <c r="AR322" s="417">
        <v>0</v>
      </c>
    </row>
    <row r="323" spans="1:44">
      <c r="A323" s="377">
        <v>93311</v>
      </c>
      <c r="B323" t="s">
        <v>1028</v>
      </c>
      <c r="C323" s="378">
        <v>1.1885000000000001E-3</v>
      </c>
      <c r="D323" s="378"/>
      <c r="E323" s="417">
        <v>81366</v>
      </c>
      <c r="F323" s="417">
        <v>-148729</v>
      </c>
      <c r="G323" s="417">
        <v>-294393</v>
      </c>
      <c r="H323" s="417">
        <v>-796858</v>
      </c>
      <c r="I323" s="417">
        <v>0</v>
      </c>
      <c r="J323" s="378">
        <v>1.1885000000000001E-3</v>
      </c>
      <c r="K323" s="378"/>
      <c r="L323" s="417">
        <v>290954</v>
      </c>
      <c r="M323" s="417">
        <v>200942</v>
      </c>
      <c r="N323" s="417">
        <v>87963</v>
      </c>
      <c r="O323" s="417">
        <v>0</v>
      </c>
      <c r="P323" s="417">
        <v>0</v>
      </c>
      <c r="Q323" s="378">
        <v>1.1885000000000001E-3</v>
      </c>
      <c r="R323" s="378"/>
      <c r="S323" s="417">
        <v>-597064</v>
      </c>
      <c r="T323" s="417">
        <v>-590156</v>
      </c>
      <c r="U323" s="417">
        <v>-619982</v>
      </c>
      <c r="V323" s="417">
        <v>-796858</v>
      </c>
      <c r="W323" s="417">
        <v>0</v>
      </c>
      <c r="X323" s="378">
        <v>1.1885000000000001E-3</v>
      </c>
      <c r="Z323" s="417">
        <v>476115</v>
      </c>
      <c r="AA323" s="417">
        <v>334497</v>
      </c>
      <c r="AB323" s="417">
        <v>334495</v>
      </c>
      <c r="AC323" s="417">
        <v>0</v>
      </c>
      <c r="AD323" s="417">
        <v>0</v>
      </c>
      <c r="AE323" s="378">
        <v>1.1885000000000001E-3</v>
      </c>
      <c r="AF323" s="378"/>
      <c r="AG323" s="417">
        <v>22535</v>
      </c>
      <c r="AH323" s="417">
        <v>17162</v>
      </c>
      <c r="AI323" s="417">
        <v>0</v>
      </c>
      <c r="AJ323" s="417">
        <v>0</v>
      </c>
      <c r="AK323" s="417">
        <v>0</v>
      </c>
      <c r="AL323" s="378">
        <v>1.1885000000000001E-3</v>
      </c>
      <c r="AM323" s="378"/>
      <c r="AN323" s="417">
        <v>-111174</v>
      </c>
      <c r="AO323" s="417">
        <v>-111174</v>
      </c>
      <c r="AP323" s="417">
        <v>-96869</v>
      </c>
      <c r="AQ323" s="417">
        <v>0</v>
      </c>
      <c r="AR323" s="417">
        <v>0</v>
      </c>
    </row>
    <row r="324" spans="1:44">
      <c r="A324" s="377">
        <v>93317</v>
      </c>
      <c r="B324" t="s">
        <v>1029</v>
      </c>
      <c r="C324" s="378">
        <v>4.0099999999999999E-5</v>
      </c>
      <c r="D324" s="378"/>
      <c r="E324" s="417">
        <v>4860</v>
      </c>
      <c r="F324" s="417">
        <v>-2033</v>
      </c>
      <c r="G324" s="417">
        <v>-8212</v>
      </c>
      <c r="H324" s="417">
        <v>-26886</v>
      </c>
      <c r="I324" s="417">
        <v>0</v>
      </c>
      <c r="J324" s="378">
        <v>4.0099999999999999E-5</v>
      </c>
      <c r="K324" s="378"/>
      <c r="L324" s="417">
        <v>9817</v>
      </c>
      <c r="M324" s="417">
        <v>6780</v>
      </c>
      <c r="N324" s="417">
        <v>2968</v>
      </c>
      <c r="O324" s="417">
        <v>0</v>
      </c>
      <c r="P324" s="417">
        <v>0</v>
      </c>
      <c r="Q324" s="378">
        <v>4.0099999999999999E-5</v>
      </c>
      <c r="R324" s="378"/>
      <c r="S324" s="417">
        <v>-20145</v>
      </c>
      <c r="T324" s="417">
        <v>-19912</v>
      </c>
      <c r="U324" s="417">
        <v>-20918</v>
      </c>
      <c r="V324" s="417">
        <v>-26886</v>
      </c>
      <c r="W324" s="417">
        <v>0</v>
      </c>
      <c r="X324" s="378">
        <v>4.0099999999999999E-5</v>
      </c>
      <c r="Z324" s="417">
        <v>16064</v>
      </c>
      <c r="AA324" s="417">
        <v>11286</v>
      </c>
      <c r="AB324" s="417">
        <v>11286</v>
      </c>
      <c r="AC324" s="417">
        <v>0</v>
      </c>
      <c r="AD324" s="417">
        <v>0</v>
      </c>
      <c r="AE324" s="378">
        <v>4.0099999999999999E-5</v>
      </c>
      <c r="AF324" s="378"/>
      <c r="AG324" s="417">
        <v>2394</v>
      </c>
      <c r="AH324" s="417">
        <v>2395</v>
      </c>
      <c r="AI324" s="417">
        <v>0</v>
      </c>
      <c r="AJ324" s="417">
        <v>0</v>
      </c>
      <c r="AK324" s="417">
        <v>0</v>
      </c>
      <c r="AL324" s="378">
        <v>4.0099999999999999E-5</v>
      </c>
      <c r="AM324" s="378"/>
      <c r="AN324" s="417">
        <v>-3270</v>
      </c>
      <c r="AO324" s="417">
        <v>-2582</v>
      </c>
      <c r="AP324" s="417">
        <v>-1548</v>
      </c>
      <c r="AQ324" s="417">
        <v>0</v>
      </c>
      <c r="AR324" s="417">
        <v>0</v>
      </c>
    </row>
    <row r="325" spans="1:44">
      <c r="A325" s="377">
        <v>93321</v>
      </c>
      <c r="B325" t="s">
        <v>1030</v>
      </c>
      <c r="C325" s="378">
        <v>6.6814999999999999E-3</v>
      </c>
      <c r="D325" s="378"/>
      <c r="E325" s="417">
        <v>761715</v>
      </c>
      <c r="F325" s="417">
        <v>-433946</v>
      </c>
      <c r="G325" s="417">
        <v>-1112388</v>
      </c>
      <c r="H325" s="417">
        <v>-4479772</v>
      </c>
      <c r="I325" s="417">
        <v>0</v>
      </c>
      <c r="J325" s="378">
        <v>6.6814999999999999E-3</v>
      </c>
      <c r="K325" s="378"/>
      <c r="L325" s="417">
        <v>1635685</v>
      </c>
      <c r="M325" s="417">
        <v>1129655</v>
      </c>
      <c r="N325" s="417">
        <v>494511</v>
      </c>
      <c r="O325" s="417">
        <v>0</v>
      </c>
      <c r="P325" s="417">
        <v>0</v>
      </c>
      <c r="Q325" s="378">
        <v>6.6814999999999999E-3</v>
      </c>
      <c r="R325" s="378"/>
      <c r="S325" s="417">
        <v>-3356572</v>
      </c>
      <c r="T325" s="417">
        <v>-3317732</v>
      </c>
      <c r="U325" s="417">
        <v>-3485411</v>
      </c>
      <c r="V325" s="417">
        <v>-4479772</v>
      </c>
      <c r="W325" s="417">
        <v>0</v>
      </c>
      <c r="X325" s="378">
        <v>6.6814999999999999E-3</v>
      </c>
      <c r="Z325" s="417">
        <v>2676622</v>
      </c>
      <c r="AA325" s="417">
        <v>1880475</v>
      </c>
      <c r="AB325" s="417">
        <v>1880461</v>
      </c>
      <c r="AC325" s="417">
        <v>0</v>
      </c>
      <c r="AD325" s="417">
        <v>0</v>
      </c>
      <c r="AE325" s="378">
        <v>6.6814999999999999E-3</v>
      </c>
      <c r="AF325" s="378"/>
      <c r="AG325" s="417">
        <v>0</v>
      </c>
      <c r="AH325" s="417">
        <v>0</v>
      </c>
      <c r="AI325" s="417">
        <v>0</v>
      </c>
      <c r="AJ325" s="417">
        <v>0</v>
      </c>
      <c r="AK325" s="417">
        <v>0</v>
      </c>
      <c r="AL325" s="378">
        <v>6.6814999999999999E-3</v>
      </c>
      <c r="AM325" s="378"/>
      <c r="AN325" s="417">
        <v>-194020</v>
      </c>
      <c r="AO325" s="417">
        <v>-126344</v>
      </c>
      <c r="AP325" s="417">
        <v>-1949</v>
      </c>
      <c r="AQ325" s="417">
        <v>0</v>
      </c>
      <c r="AR325" s="417">
        <v>0</v>
      </c>
    </row>
    <row r="326" spans="1:44">
      <c r="A326" s="377">
        <v>93323</v>
      </c>
      <c r="B326" t="s">
        <v>1031</v>
      </c>
      <c r="C326" s="378">
        <v>4.57E-5</v>
      </c>
      <c r="D326" s="378"/>
      <c r="E326" s="417">
        <v>19372</v>
      </c>
      <c r="F326" s="417">
        <v>11197</v>
      </c>
      <c r="G326" s="417">
        <v>253</v>
      </c>
      <c r="H326" s="417">
        <v>-30641</v>
      </c>
      <c r="I326" s="417">
        <v>0</v>
      </c>
      <c r="J326" s="378">
        <v>4.57E-5</v>
      </c>
      <c r="K326" s="378"/>
      <c r="L326" s="417">
        <v>11188</v>
      </c>
      <c r="M326" s="417">
        <v>7727</v>
      </c>
      <c r="N326" s="417">
        <v>3382</v>
      </c>
      <c r="O326" s="417">
        <v>0</v>
      </c>
      <c r="P326" s="417">
        <v>0</v>
      </c>
      <c r="Q326" s="378">
        <v>4.57E-5</v>
      </c>
      <c r="R326" s="378"/>
      <c r="S326" s="417">
        <v>-22958</v>
      </c>
      <c r="T326" s="417">
        <v>-22693</v>
      </c>
      <c r="U326" s="417">
        <v>-23839</v>
      </c>
      <c r="V326" s="417">
        <v>-30641</v>
      </c>
      <c r="W326" s="417">
        <v>0</v>
      </c>
      <c r="X326" s="378">
        <v>4.57E-5</v>
      </c>
      <c r="Z326" s="417">
        <v>18308</v>
      </c>
      <c r="AA326" s="417">
        <v>12862</v>
      </c>
      <c r="AB326" s="417">
        <v>12862</v>
      </c>
      <c r="AC326" s="417">
        <v>0</v>
      </c>
      <c r="AD326" s="417">
        <v>0</v>
      </c>
      <c r="AE326" s="378">
        <v>4.57E-5</v>
      </c>
      <c r="AF326" s="378"/>
      <c r="AG326" s="417">
        <v>13466</v>
      </c>
      <c r="AH326" s="417">
        <v>13466</v>
      </c>
      <c r="AI326" s="417">
        <v>7848</v>
      </c>
      <c r="AJ326" s="417">
        <v>0</v>
      </c>
      <c r="AK326" s="417">
        <v>0</v>
      </c>
      <c r="AL326" s="378">
        <v>4.57E-5</v>
      </c>
      <c r="AM326" s="378"/>
      <c r="AN326" s="417">
        <v>-632</v>
      </c>
      <c r="AO326" s="417">
        <v>-165</v>
      </c>
      <c r="AP326" s="417">
        <v>0</v>
      </c>
      <c r="AQ326" s="417">
        <v>0</v>
      </c>
      <c r="AR326" s="417">
        <v>0</v>
      </c>
    </row>
    <row r="327" spans="1:44">
      <c r="A327" s="377">
        <v>93331</v>
      </c>
      <c r="B327" t="s">
        <v>1032</v>
      </c>
      <c r="C327" s="378">
        <v>9.1700000000000006E-5</v>
      </c>
      <c r="D327" s="378"/>
      <c r="E327" s="417">
        <v>319</v>
      </c>
      <c r="F327" s="417">
        <v>-18345</v>
      </c>
      <c r="G327" s="417">
        <v>-35660</v>
      </c>
      <c r="H327" s="417">
        <v>-61482</v>
      </c>
      <c r="I327" s="417">
        <v>0</v>
      </c>
      <c r="J327" s="378">
        <v>9.1700000000000006E-5</v>
      </c>
      <c r="K327" s="378"/>
      <c r="L327" s="417">
        <v>22449</v>
      </c>
      <c r="M327" s="417">
        <v>15504</v>
      </c>
      <c r="N327" s="417">
        <v>6787</v>
      </c>
      <c r="O327" s="417">
        <v>0</v>
      </c>
      <c r="P327" s="417">
        <v>0</v>
      </c>
      <c r="Q327" s="378">
        <v>9.1700000000000006E-5</v>
      </c>
      <c r="R327" s="378"/>
      <c r="S327" s="417">
        <v>-46067</v>
      </c>
      <c r="T327" s="417">
        <v>-45534</v>
      </c>
      <c r="U327" s="417">
        <v>-47835</v>
      </c>
      <c r="V327" s="417">
        <v>-61482</v>
      </c>
      <c r="W327" s="417">
        <v>0</v>
      </c>
      <c r="X327" s="378">
        <v>9.1700000000000006E-5</v>
      </c>
      <c r="Z327" s="417">
        <v>36735</v>
      </c>
      <c r="AA327" s="417">
        <v>25809</v>
      </c>
      <c r="AB327" s="417">
        <v>25808</v>
      </c>
      <c r="AC327" s="417">
        <v>0</v>
      </c>
      <c r="AD327" s="417">
        <v>0</v>
      </c>
      <c r="AE327" s="378">
        <v>9.1700000000000006E-5</v>
      </c>
      <c r="AF327" s="378"/>
      <c r="AG327" s="417">
        <v>9247</v>
      </c>
      <c r="AH327" s="417">
        <v>7923</v>
      </c>
      <c r="AI327" s="417">
        <v>0</v>
      </c>
      <c r="AJ327" s="417">
        <v>0</v>
      </c>
      <c r="AK327" s="417">
        <v>0</v>
      </c>
      <c r="AL327" s="378">
        <v>9.1700000000000006E-5</v>
      </c>
      <c r="AM327" s="378"/>
      <c r="AN327" s="417">
        <v>-22045</v>
      </c>
      <c r="AO327" s="417">
        <v>-22047</v>
      </c>
      <c r="AP327" s="417">
        <v>-20420</v>
      </c>
      <c r="AQ327" s="417">
        <v>0</v>
      </c>
      <c r="AR327" s="417">
        <v>0</v>
      </c>
    </row>
    <row r="328" spans="1:44">
      <c r="A328" s="377">
        <v>93333</v>
      </c>
      <c r="B328" t="s">
        <v>1033</v>
      </c>
      <c r="C328" s="378">
        <v>1.9090000000000001E-4</v>
      </c>
      <c r="D328" s="378"/>
      <c r="E328" s="417">
        <v>69612</v>
      </c>
      <c r="F328" s="417">
        <v>31422</v>
      </c>
      <c r="G328" s="417">
        <v>-15181</v>
      </c>
      <c r="H328" s="417">
        <v>-127993</v>
      </c>
      <c r="I328" s="417">
        <v>0</v>
      </c>
      <c r="J328" s="378">
        <v>1.9090000000000001E-4</v>
      </c>
      <c r="K328" s="378"/>
      <c r="L328" s="417">
        <v>46734</v>
      </c>
      <c r="M328" s="417">
        <v>32276</v>
      </c>
      <c r="N328" s="417">
        <v>14129</v>
      </c>
      <c r="O328" s="417">
        <v>0</v>
      </c>
      <c r="P328" s="417">
        <v>0</v>
      </c>
      <c r="Q328" s="378">
        <v>1.9090000000000001E-4</v>
      </c>
      <c r="R328" s="378"/>
      <c r="S328" s="417">
        <v>-95902</v>
      </c>
      <c r="T328" s="417">
        <v>-94792</v>
      </c>
      <c r="U328" s="417">
        <v>-99583</v>
      </c>
      <c r="V328" s="417">
        <v>-127993</v>
      </c>
      <c r="W328" s="417">
        <v>0</v>
      </c>
      <c r="X328" s="378">
        <v>1.9090000000000001E-4</v>
      </c>
      <c r="Z328" s="417">
        <v>76475</v>
      </c>
      <c r="AA328" s="417">
        <v>53728</v>
      </c>
      <c r="AB328" s="417">
        <v>53727</v>
      </c>
      <c r="AC328" s="417">
        <v>0</v>
      </c>
      <c r="AD328" s="417">
        <v>0</v>
      </c>
      <c r="AE328" s="378">
        <v>1.9090000000000001E-4</v>
      </c>
      <c r="AF328" s="378"/>
      <c r="AG328" s="417">
        <v>42305</v>
      </c>
      <c r="AH328" s="417">
        <v>40210</v>
      </c>
      <c r="AI328" s="417">
        <v>16546</v>
      </c>
      <c r="AJ328" s="417">
        <v>0</v>
      </c>
      <c r="AK328" s="417">
        <v>0</v>
      </c>
      <c r="AL328" s="378">
        <v>1.9090000000000001E-4</v>
      </c>
      <c r="AM328" s="378"/>
      <c r="AN328" s="417">
        <v>0</v>
      </c>
      <c r="AO328" s="417">
        <v>0</v>
      </c>
      <c r="AP328" s="417">
        <v>0</v>
      </c>
      <c r="AQ328" s="417">
        <v>0</v>
      </c>
      <c r="AR328" s="417">
        <v>0</v>
      </c>
    </row>
    <row r="329" spans="1:44">
      <c r="A329" s="377">
        <v>93341</v>
      </c>
      <c r="B329" t="s">
        <v>1034</v>
      </c>
      <c r="C329" s="378">
        <v>3.43E-5</v>
      </c>
      <c r="D329" s="378"/>
      <c r="E329" s="417">
        <v>9420</v>
      </c>
      <c r="F329" s="417">
        <v>2045</v>
      </c>
      <c r="G329" s="417">
        <v>-1543</v>
      </c>
      <c r="H329" s="417">
        <v>-22997</v>
      </c>
      <c r="I329" s="417">
        <v>0</v>
      </c>
      <c r="J329" s="378">
        <v>3.43E-5</v>
      </c>
      <c r="K329" s="378"/>
      <c r="L329" s="417">
        <v>8397</v>
      </c>
      <c r="M329" s="417">
        <v>5799</v>
      </c>
      <c r="N329" s="417">
        <v>2539</v>
      </c>
      <c r="O329" s="417">
        <v>0</v>
      </c>
      <c r="P329" s="417">
        <v>0</v>
      </c>
      <c r="Q329" s="378">
        <v>3.43E-5</v>
      </c>
      <c r="R329" s="378"/>
      <c r="S329" s="417">
        <v>-17231</v>
      </c>
      <c r="T329" s="417">
        <v>-17032</v>
      </c>
      <c r="U329" s="417">
        <v>-17893</v>
      </c>
      <c r="V329" s="417">
        <v>-22997</v>
      </c>
      <c r="W329" s="417">
        <v>0</v>
      </c>
      <c r="X329" s="378">
        <v>3.43E-5</v>
      </c>
      <c r="Z329" s="417">
        <v>13741</v>
      </c>
      <c r="AA329" s="417">
        <v>9654</v>
      </c>
      <c r="AB329" s="417">
        <v>9653</v>
      </c>
      <c r="AC329" s="417">
        <v>0</v>
      </c>
      <c r="AD329" s="417">
        <v>0</v>
      </c>
      <c r="AE329" s="378">
        <v>3.43E-5</v>
      </c>
      <c r="AF329" s="378"/>
      <c r="AG329" s="417">
        <v>5549</v>
      </c>
      <c r="AH329" s="417">
        <v>4660</v>
      </c>
      <c r="AI329" s="417">
        <v>4158</v>
      </c>
      <c r="AJ329" s="417">
        <v>0</v>
      </c>
      <c r="AK329" s="417">
        <v>0</v>
      </c>
      <c r="AL329" s="378">
        <v>3.43E-5</v>
      </c>
      <c r="AM329" s="378"/>
      <c r="AN329" s="417">
        <v>-1036</v>
      </c>
      <c r="AO329" s="417">
        <v>-1036</v>
      </c>
      <c r="AP329" s="417">
        <v>0</v>
      </c>
      <c r="AQ329" s="417">
        <v>0</v>
      </c>
      <c r="AR329" s="417">
        <v>0</v>
      </c>
    </row>
    <row r="330" spans="1:44">
      <c r="A330" s="377">
        <v>93351</v>
      </c>
      <c r="B330" t="s">
        <v>1035</v>
      </c>
      <c r="C330" s="378">
        <v>3.0000000000000001E-5</v>
      </c>
      <c r="D330" s="378"/>
      <c r="E330" s="417">
        <v>1272</v>
      </c>
      <c r="F330" s="417">
        <v>-1719</v>
      </c>
      <c r="G330" s="417">
        <v>-6396</v>
      </c>
      <c r="H330" s="417">
        <v>-20114</v>
      </c>
      <c r="I330" s="417">
        <v>0</v>
      </c>
      <c r="J330" s="378">
        <v>3.0000000000000001E-5</v>
      </c>
      <c r="K330" s="378"/>
      <c r="L330" s="417">
        <v>7344</v>
      </c>
      <c r="M330" s="417">
        <v>5072</v>
      </c>
      <c r="N330" s="417">
        <v>2220</v>
      </c>
      <c r="O330" s="417">
        <v>0</v>
      </c>
      <c r="P330" s="417">
        <v>0</v>
      </c>
      <c r="Q330" s="378">
        <v>3.0000000000000001E-5</v>
      </c>
      <c r="R330" s="378"/>
      <c r="S330" s="417">
        <v>-15071</v>
      </c>
      <c r="T330" s="417">
        <v>-14897</v>
      </c>
      <c r="U330" s="417">
        <v>-15650</v>
      </c>
      <c r="V330" s="417">
        <v>-20114</v>
      </c>
      <c r="W330" s="417">
        <v>0</v>
      </c>
      <c r="X330" s="378">
        <v>3.0000000000000001E-5</v>
      </c>
      <c r="Z330" s="417">
        <v>12018</v>
      </c>
      <c r="AA330" s="417">
        <v>8443</v>
      </c>
      <c r="AB330" s="417">
        <v>8443</v>
      </c>
      <c r="AC330" s="417">
        <v>0</v>
      </c>
      <c r="AD330" s="417">
        <v>0</v>
      </c>
      <c r="AE330" s="378">
        <v>3.0000000000000001E-5</v>
      </c>
      <c r="AF330" s="378"/>
      <c r="AG330" s="417">
        <v>1609</v>
      </c>
      <c r="AH330" s="417">
        <v>1609</v>
      </c>
      <c r="AI330" s="417">
        <v>0</v>
      </c>
      <c r="AJ330" s="417">
        <v>0</v>
      </c>
      <c r="AK330" s="417">
        <v>0</v>
      </c>
      <c r="AL330" s="378">
        <v>3.0000000000000001E-5</v>
      </c>
      <c r="AM330" s="378"/>
      <c r="AN330" s="417">
        <v>-4628</v>
      </c>
      <c r="AO330" s="417">
        <v>-1946</v>
      </c>
      <c r="AP330" s="417">
        <v>-1409</v>
      </c>
      <c r="AQ330" s="417">
        <v>0</v>
      </c>
      <c r="AR330" s="417">
        <v>0</v>
      </c>
    </row>
    <row r="331" spans="1:44">
      <c r="A331" s="377">
        <v>93401</v>
      </c>
      <c r="B331" t="s">
        <v>1036</v>
      </c>
      <c r="C331" s="378">
        <v>1.37733E-2</v>
      </c>
      <c r="D331" s="378"/>
      <c r="E331" s="417">
        <v>1930944</v>
      </c>
      <c r="F331" s="417">
        <v>-704803</v>
      </c>
      <c r="G331" s="417">
        <v>-2356696</v>
      </c>
      <c r="H331" s="417">
        <v>-9234640</v>
      </c>
      <c r="I331" s="417">
        <v>0</v>
      </c>
      <c r="J331" s="378">
        <v>1.37733E-2</v>
      </c>
      <c r="K331" s="378"/>
      <c r="L331" s="417">
        <v>3371814</v>
      </c>
      <c r="M331" s="417">
        <v>2328679</v>
      </c>
      <c r="N331" s="417">
        <v>1019389</v>
      </c>
      <c r="O331" s="417">
        <v>0</v>
      </c>
      <c r="P331" s="417">
        <v>0</v>
      </c>
      <c r="Q331" s="378">
        <v>1.37733E-2</v>
      </c>
      <c r="R331" s="378"/>
      <c r="S331" s="417">
        <v>-6919265</v>
      </c>
      <c r="T331" s="417">
        <v>-6839201</v>
      </c>
      <c r="U331" s="417">
        <v>-7184856</v>
      </c>
      <c r="V331" s="417">
        <v>-9234640</v>
      </c>
      <c r="W331" s="417">
        <v>0</v>
      </c>
      <c r="X331" s="378">
        <v>1.37733E-2</v>
      </c>
      <c r="Z331" s="417">
        <v>5517612</v>
      </c>
      <c r="AA331" s="417">
        <v>3876426</v>
      </c>
      <c r="AB331" s="417">
        <v>3876399</v>
      </c>
      <c r="AC331" s="417">
        <v>0</v>
      </c>
      <c r="AD331" s="417">
        <v>0</v>
      </c>
      <c r="AE331" s="378">
        <v>1.37733E-2</v>
      </c>
      <c r="AF331" s="378"/>
      <c r="AG331" s="417">
        <v>96208</v>
      </c>
      <c r="AH331" s="417">
        <v>64717</v>
      </c>
      <c r="AI331" s="417">
        <v>0</v>
      </c>
      <c r="AJ331" s="417">
        <v>0</v>
      </c>
      <c r="AK331" s="417">
        <v>0</v>
      </c>
      <c r="AL331" s="378">
        <v>1.37733E-2</v>
      </c>
      <c r="AM331" s="378"/>
      <c r="AN331" s="417">
        <v>-135425</v>
      </c>
      <c r="AO331" s="417">
        <v>-135424</v>
      </c>
      <c r="AP331" s="417">
        <v>-67628</v>
      </c>
      <c r="AQ331" s="417">
        <v>0</v>
      </c>
      <c r="AR331" s="417">
        <v>0</v>
      </c>
    </row>
    <row r="332" spans="1:44">
      <c r="A332" s="377">
        <v>93402</v>
      </c>
      <c r="B332" t="s">
        <v>1037</v>
      </c>
      <c r="C332" s="378">
        <v>0</v>
      </c>
      <c r="D332" s="378"/>
      <c r="E332" s="417">
        <v>0</v>
      </c>
      <c r="F332" s="417">
        <v>0</v>
      </c>
      <c r="G332" s="417">
        <v>0</v>
      </c>
      <c r="H332" s="417">
        <v>0</v>
      </c>
      <c r="I332" s="417">
        <v>0</v>
      </c>
      <c r="J332" s="378">
        <v>0</v>
      </c>
      <c r="K332" s="378"/>
      <c r="L332" s="417">
        <v>0</v>
      </c>
      <c r="M332" s="417">
        <v>0</v>
      </c>
      <c r="N332" s="417">
        <v>0</v>
      </c>
      <c r="O332" s="417">
        <v>0</v>
      </c>
      <c r="P332" s="417">
        <v>0</v>
      </c>
      <c r="Q332" s="378">
        <v>0</v>
      </c>
      <c r="R332" s="378"/>
      <c r="S332" s="417">
        <v>0</v>
      </c>
      <c r="T332" s="417">
        <v>0</v>
      </c>
      <c r="U332" s="417">
        <v>0</v>
      </c>
      <c r="V332" s="417">
        <v>0</v>
      </c>
      <c r="W332" s="417">
        <v>0</v>
      </c>
      <c r="X332" s="378">
        <v>0</v>
      </c>
      <c r="Z332" s="417">
        <v>0</v>
      </c>
      <c r="AA332" s="417">
        <v>0</v>
      </c>
      <c r="AB332" s="417">
        <v>0</v>
      </c>
      <c r="AC332" s="417">
        <v>0</v>
      </c>
      <c r="AD332" s="417">
        <v>0</v>
      </c>
      <c r="AE332" s="378">
        <v>0</v>
      </c>
      <c r="AF332" s="378"/>
      <c r="AG332" s="417">
        <v>0</v>
      </c>
      <c r="AH332" s="417">
        <v>0</v>
      </c>
      <c r="AI332" s="417">
        <v>0</v>
      </c>
      <c r="AJ332" s="417">
        <v>0</v>
      </c>
      <c r="AK332" s="417">
        <v>0</v>
      </c>
      <c r="AL332" s="378">
        <v>0</v>
      </c>
      <c r="AM332" s="378"/>
      <c r="AN332" s="417">
        <v>-18172</v>
      </c>
      <c r="AO332" s="417">
        <v>-16204</v>
      </c>
      <c r="AP332" s="417">
        <v>0</v>
      </c>
      <c r="AQ332" s="417">
        <v>0</v>
      </c>
      <c r="AR332" s="417">
        <v>0</v>
      </c>
    </row>
    <row r="333" spans="1:44">
      <c r="A333" s="377">
        <v>93406</v>
      </c>
      <c r="B333" t="s">
        <v>1038</v>
      </c>
      <c r="C333" s="378">
        <v>5.7970000000000005E-4</v>
      </c>
      <c r="D333" s="378"/>
      <c r="E333" s="417">
        <v>122547</v>
      </c>
      <c r="F333" s="417">
        <v>36373</v>
      </c>
      <c r="G333" s="417">
        <v>-46557</v>
      </c>
      <c r="H333" s="417">
        <v>-388674</v>
      </c>
      <c r="I333" s="417">
        <v>0</v>
      </c>
      <c r="J333" s="378">
        <v>5.7970000000000005E-4</v>
      </c>
      <c r="K333" s="378"/>
      <c r="L333" s="417">
        <v>141915</v>
      </c>
      <c r="M333" s="417">
        <v>98011</v>
      </c>
      <c r="N333" s="417">
        <v>42905</v>
      </c>
      <c r="O333" s="417">
        <v>0</v>
      </c>
      <c r="P333" s="417">
        <v>0</v>
      </c>
      <c r="Q333" s="378">
        <v>5.7970000000000005E-4</v>
      </c>
      <c r="R333" s="378"/>
      <c r="S333" s="417">
        <v>-291223</v>
      </c>
      <c r="T333" s="417">
        <v>-287853</v>
      </c>
      <c r="U333" s="417">
        <v>-302401</v>
      </c>
      <c r="V333" s="417">
        <v>-388674</v>
      </c>
      <c r="W333" s="417">
        <v>0</v>
      </c>
      <c r="X333" s="378">
        <v>5.7970000000000005E-4</v>
      </c>
      <c r="Z333" s="417">
        <v>232229</v>
      </c>
      <c r="AA333" s="417">
        <v>163154</v>
      </c>
      <c r="AB333" s="417">
        <v>163153</v>
      </c>
      <c r="AC333" s="417">
        <v>0</v>
      </c>
      <c r="AD333" s="417">
        <v>0</v>
      </c>
      <c r="AE333" s="378">
        <v>5.7970000000000005E-4</v>
      </c>
      <c r="AF333" s="378"/>
      <c r="AG333" s="417">
        <v>63058</v>
      </c>
      <c r="AH333" s="417">
        <v>63061</v>
      </c>
      <c r="AI333" s="417">
        <v>49786</v>
      </c>
      <c r="AJ333" s="417">
        <v>0</v>
      </c>
      <c r="AK333" s="417">
        <v>0</v>
      </c>
      <c r="AL333" s="378">
        <v>5.7970000000000005E-4</v>
      </c>
      <c r="AM333" s="378"/>
      <c r="AN333" s="417">
        <v>-23432</v>
      </c>
      <c r="AO333" s="417">
        <v>0</v>
      </c>
      <c r="AP333" s="417">
        <v>0</v>
      </c>
      <c r="AQ333" s="417">
        <v>0</v>
      </c>
      <c r="AR333" s="417">
        <v>0</v>
      </c>
    </row>
    <row r="334" spans="1:44">
      <c r="A334" s="377">
        <v>93408</v>
      </c>
      <c r="B334" t="s">
        <v>1039</v>
      </c>
      <c r="C334" s="378">
        <v>0</v>
      </c>
      <c r="D334" s="378"/>
      <c r="E334" s="417">
        <v>0</v>
      </c>
      <c r="F334" s="417">
        <v>0</v>
      </c>
      <c r="G334" s="417">
        <v>0</v>
      </c>
      <c r="H334" s="417">
        <v>0</v>
      </c>
      <c r="I334" s="417">
        <v>0</v>
      </c>
      <c r="J334" s="378">
        <v>0</v>
      </c>
      <c r="K334" s="378"/>
      <c r="L334" s="417">
        <v>0</v>
      </c>
      <c r="M334" s="417">
        <v>0</v>
      </c>
      <c r="N334" s="417">
        <v>0</v>
      </c>
      <c r="O334" s="417">
        <v>0</v>
      </c>
      <c r="P334" s="417">
        <v>0</v>
      </c>
      <c r="Q334" s="378">
        <v>0</v>
      </c>
      <c r="R334" s="378"/>
      <c r="S334" s="417">
        <v>0</v>
      </c>
      <c r="T334" s="417">
        <v>0</v>
      </c>
      <c r="U334" s="417">
        <v>0</v>
      </c>
      <c r="V334" s="417">
        <v>0</v>
      </c>
      <c r="W334" s="417">
        <v>0</v>
      </c>
      <c r="X334" s="378">
        <v>0</v>
      </c>
      <c r="Z334" s="417">
        <v>0</v>
      </c>
      <c r="AA334" s="417">
        <v>0</v>
      </c>
      <c r="AB334" s="417">
        <v>0</v>
      </c>
      <c r="AC334" s="417">
        <v>0</v>
      </c>
      <c r="AD334" s="417">
        <v>0</v>
      </c>
      <c r="AE334" s="378">
        <v>0</v>
      </c>
      <c r="AF334" s="378"/>
      <c r="AG334" s="417">
        <v>0</v>
      </c>
      <c r="AH334" s="417">
        <v>0</v>
      </c>
      <c r="AI334" s="417">
        <v>0</v>
      </c>
      <c r="AJ334" s="417">
        <v>0</v>
      </c>
      <c r="AK334" s="417">
        <v>0</v>
      </c>
      <c r="AL334" s="378">
        <v>0</v>
      </c>
      <c r="AM334" s="378"/>
      <c r="AN334" s="417">
        <v>0</v>
      </c>
      <c r="AO334" s="417">
        <v>0</v>
      </c>
      <c r="AP334" s="417">
        <v>0</v>
      </c>
      <c r="AQ334" s="417">
        <v>0</v>
      </c>
      <c r="AR334" s="417">
        <v>0</v>
      </c>
    </row>
    <row r="335" spans="1:44">
      <c r="A335" s="377">
        <v>93411</v>
      </c>
      <c r="B335" t="s">
        <v>1040</v>
      </c>
      <c r="C335" s="378">
        <v>1.7717E-2</v>
      </c>
      <c r="D335" s="378"/>
      <c r="E335" s="417">
        <v>2527394</v>
      </c>
      <c r="F335" s="417">
        <v>-960440</v>
      </c>
      <c r="G335" s="417">
        <v>-3121720</v>
      </c>
      <c r="H335" s="417">
        <v>-11878788</v>
      </c>
      <c r="I335" s="417">
        <v>0</v>
      </c>
      <c r="J335" s="378">
        <v>1.7717E-2</v>
      </c>
      <c r="K335" s="378"/>
      <c r="L335" s="417">
        <v>4337263</v>
      </c>
      <c r="M335" s="417">
        <v>2995449</v>
      </c>
      <c r="N335" s="417">
        <v>1311271</v>
      </c>
      <c r="O335" s="417">
        <v>0</v>
      </c>
      <c r="P335" s="417">
        <v>0</v>
      </c>
      <c r="Q335" s="378">
        <v>1.7717E-2</v>
      </c>
      <c r="R335" s="378"/>
      <c r="S335" s="417">
        <v>-8900454</v>
      </c>
      <c r="T335" s="417">
        <v>-8797465</v>
      </c>
      <c r="U335" s="417">
        <v>-9242091</v>
      </c>
      <c r="V335" s="417">
        <v>-11878788</v>
      </c>
      <c r="W335" s="417">
        <v>0</v>
      </c>
      <c r="X335" s="378">
        <v>1.7717E-2</v>
      </c>
      <c r="Z335" s="417">
        <v>7097466</v>
      </c>
      <c r="AA335" s="417">
        <v>4986361</v>
      </c>
      <c r="AB335" s="417">
        <v>4986326</v>
      </c>
      <c r="AC335" s="417">
        <v>0</v>
      </c>
      <c r="AD335" s="417">
        <v>0</v>
      </c>
      <c r="AE335" s="378">
        <v>1.7717E-2</v>
      </c>
      <c r="AF335" s="378"/>
      <c r="AG335" s="417">
        <v>235964</v>
      </c>
      <c r="AH335" s="417">
        <v>98058</v>
      </c>
      <c r="AI335" s="417">
        <v>0</v>
      </c>
      <c r="AJ335" s="417">
        <v>0</v>
      </c>
      <c r="AK335" s="417">
        <v>0</v>
      </c>
      <c r="AL335" s="378">
        <v>1.7717E-2</v>
      </c>
      <c r="AM335" s="378"/>
      <c r="AN335" s="417">
        <v>-242845</v>
      </c>
      <c r="AO335" s="417">
        <v>-242843</v>
      </c>
      <c r="AP335" s="417">
        <v>-177226</v>
      </c>
      <c r="AQ335" s="417">
        <v>0</v>
      </c>
      <c r="AR335" s="417">
        <v>0</v>
      </c>
    </row>
    <row r="336" spans="1:44">
      <c r="A336" s="377">
        <v>93413</v>
      </c>
      <c r="B336" t="s">
        <v>1041</v>
      </c>
      <c r="C336" s="378">
        <v>7.1159999999999995E-4</v>
      </c>
      <c r="D336" s="378"/>
      <c r="E336" s="417">
        <v>112338</v>
      </c>
      <c r="F336" s="417">
        <v>-18617</v>
      </c>
      <c r="G336" s="417">
        <v>-101414</v>
      </c>
      <c r="H336" s="417">
        <v>-477109</v>
      </c>
      <c r="I336" s="417">
        <v>0</v>
      </c>
      <c r="J336" s="378">
        <v>7.1159999999999995E-4</v>
      </c>
      <c r="K336" s="378"/>
      <c r="L336" s="417">
        <v>174205</v>
      </c>
      <c r="M336" s="417">
        <v>120312</v>
      </c>
      <c r="N336" s="417">
        <v>52667</v>
      </c>
      <c r="O336" s="417">
        <v>0</v>
      </c>
      <c r="P336" s="417">
        <v>0</v>
      </c>
      <c r="Q336" s="378">
        <v>7.1159999999999995E-4</v>
      </c>
      <c r="R336" s="378"/>
      <c r="S336" s="417">
        <v>-357485</v>
      </c>
      <c r="T336" s="417">
        <v>-353349</v>
      </c>
      <c r="U336" s="417">
        <v>-371207</v>
      </c>
      <c r="V336" s="417">
        <v>-477109</v>
      </c>
      <c r="W336" s="417">
        <v>0</v>
      </c>
      <c r="X336" s="378">
        <v>7.1159999999999995E-4</v>
      </c>
      <c r="Z336" s="417">
        <v>285068</v>
      </c>
      <c r="AA336" s="417">
        <v>200276</v>
      </c>
      <c r="AB336" s="417">
        <v>200275</v>
      </c>
      <c r="AC336" s="417">
        <v>0</v>
      </c>
      <c r="AD336" s="417">
        <v>0</v>
      </c>
      <c r="AE336" s="378">
        <v>7.1159999999999995E-4</v>
      </c>
      <c r="AF336" s="378"/>
      <c r="AG336" s="417">
        <v>17247</v>
      </c>
      <c r="AH336" s="417">
        <v>17245</v>
      </c>
      <c r="AI336" s="417">
        <v>16851</v>
      </c>
      <c r="AJ336" s="417">
        <v>0</v>
      </c>
      <c r="AK336" s="417">
        <v>0</v>
      </c>
      <c r="AL336" s="378">
        <v>7.1159999999999995E-4</v>
      </c>
      <c r="AM336" s="378"/>
      <c r="AN336" s="417">
        <v>-6697</v>
      </c>
      <c r="AO336" s="417">
        <v>-3101</v>
      </c>
      <c r="AP336" s="417">
        <v>0</v>
      </c>
      <c r="AQ336" s="417">
        <v>0</v>
      </c>
      <c r="AR336" s="417">
        <v>0</v>
      </c>
    </row>
    <row r="337" spans="1:44">
      <c r="A337" s="377">
        <v>93417</v>
      </c>
      <c r="B337" t="s">
        <v>1042</v>
      </c>
      <c r="C337" s="378">
        <v>2.9250000000000001E-4</v>
      </c>
      <c r="D337" s="378"/>
      <c r="E337" s="417">
        <v>71365</v>
      </c>
      <c r="F337" s="417">
        <v>13692</v>
      </c>
      <c r="G337" s="417">
        <v>-33840</v>
      </c>
      <c r="H337" s="417">
        <v>-196114</v>
      </c>
      <c r="I337" s="417">
        <v>0</v>
      </c>
      <c r="J337" s="378">
        <v>2.9250000000000001E-4</v>
      </c>
      <c r="K337" s="378"/>
      <c r="L337" s="417">
        <v>71606</v>
      </c>
      <c r="M337" s="417">
        <v>49454</v>
      </c>
      <c r="N337" s="417">
        <v>21649</v>
      </c>
      <c r="O337" s="417">
        <v>0</v>
      </c>
      <c r="P337" s="417">
        <v>0</v>
      </c>
      <c r="Q337" s="378">
        <v>2.9250000000000001E-4</v>
      </c>
      <c r="R337" s="378"/>
      <c r="S337" s="417">
        <v>-146943</v>
      </c>
      <c r="T337" s="417">
        <v>-145242</v>
      </c>
      <c r="U337" s="417">
        <v>-152583</v>
      </c>
      <c r="V337" s="417">
        <v>-196114</v>
      </c>
      <c r="W337" s="417">
        <v>0</v>
      </c>
      <c r="X337" s="378">
        <v>2.9250000000000001E-4</v>
      </c>
      <c r="Z337" s="417">
        <v>117176</v>
      </c>
      <c r="AA337" s="417">
        <v>82323</v>
      </c>
      <c r="AB337" s="417">
        <v>82322</v>
      </c>
      <c r="AC337" s="417">
        <v>0</v>
      </c>
      <c r="AD337" s="417">
        <v>0</v>
      </c>
      <c r="AE337" s="378">
        <v>2.9250000000000001E-4</v>
      </c>
      <c r="AF337" s="378"/>
      <c r="AG337" s="417">
        <v>30291</v>
      </c>
      <c r="AH337" s="417">
        <v>27922</v>
      </c>
      <c r="AI337" s="417">
        <v>14772</v>
      </c>
      <c r="AJ337" s="417">
        <v>0</v>
      </c>
      <c r="AK337" s="417">
        <v>0</v>
      </c>
      <c r="AL337" s="378">
        <v>2.9250000000000001E-4</v>
      </c>
      <c r="AM337" s="378"/>
      <c r="AN337" s="417">
        <v>-765</v>
      </c>
      <c r="AO337" s="417">
        <v>-765</v>
      </c>
      <c r="AP337" s="417">
        <v>0</v>
      </c>
      <c r="AQ337" s="417">
        <v>0</v>
      </c>
      <c r="AR337" s="417">
        <v>0</v>
      </c>
    </row>
    <row r="338" spans="1:44">
      <c r="A338" s="377">
        <v>93421</v>
      </c>
      <c r="B338" t="s">
        <v>1043</v>
      </c>
      <c r="C338" s="378">
        <v>1.8813E-3</v>
      </c>
      <c r="D338" s="378"/>
      <c r="E338" s="417">
        <v>98081</v>
      </c>
      <c r="F338" s="417">
        <v>-240523</v>
      </c>
      <c r="G338" s="417">
        <v>-405160</v>
      </c>
      <c r="H338" s="417">
        <v>-1261363</v>
      </c>
      <c r="I338" s="417">
        <v>0</v>
      </c>
      <c r="J338" s="378">
        <v>1.8813E-3</v>
      </c>
      <c r="K338" s="378"/>
      <c r="L338" s="417">
        <v>460557</v>
      </c>
      <c r="M338" s="417">
        <v>318075</v>
      </c>
      <c r="N338" s="417">
        <v>139239</v>
      </c>
      <c r="O338" s="417">
        <v>0</v>
      </c>
      <c r="P338" s="417">
        <v>0</v>
      </c>
      <c r="Q338" s="378">
        <v>1.8813E-3</v>
      </c>
      <c r="R338" s="378"/>
      <c r="S338" s="417">
        <v>-945105</v>
      </c>
      <c r="T338" s="417">
        <v>-934169</v>
      </c>
      <c r="U338" s="417">
        <v>-981382</v>
      </c>
      <c r="V338" s="417">
        <v>-1261363</v>
      </c>
      <c r="W338" s="417">
        <v>0</v>
      </c>
      <c r="X338" s="378">
        <v>1.8813E-3</v>
      </c>
      <c r="Z338" s="417">
        <v>753653</v>
      </c>
      <c r="AA338" s="417">
        <v>529482</v>
      </c>
      <c r="AB338" s="417">
        <v>529479</v>
      </c>
      <c r="AC338" s="417">
        <v>0</v>
      </c>
      <c r="AD338" s="417">
        <v>0</v>
      </c>
      <c r="AE338" s="378">
        <v>1.8813E-3</v>
      </c>
      <c r="AF338" s="378"/>
      <c r="AG338" s="417">
        <v>0</v>
      </c>
      <c r="AH338" s="417">
        <v>0</v>
      </c>
      <c r="AI338" s="417">
        <v>0</v>
      </c>
      <c r="AJ338" s="417">
        <v>0</v>
      </c>
      <c r="AK338" s="417">
        <v>0</v>
      </c>
      <c r="AL338" s="378">
        <v>1.8813E-3</v>
      </c>
      <c r="AM338" s="378"/>
      <c r="AN338" s="417">
        <v>-171024</v>
      </c>
      <c r="AO338" s="417">
        <v>-153911</v>
      </c>
      <c r="AP338" s="417">
        <v>-92496</v>
      </c>
      <c r="AQ338" s="417">
        <v>0</v>
      </c>
      <c r="AR338" s="417">
        <v>0</v>
      </c>
    </row>
    <row r="339" spans="1:44">
      <c r="A339" s="377">
        <v>93431</v>
      </c>
      <c r="B339" t="s">
        <v>1044</v>
      </c>
      <c r="C339" s="378">
        <v>1.5009999999999999E-4</v>
      </c>
      <c r="D339" s="378"/>
      <c r="E339" s="417">
        <v>32786</v>
      </c>
      <c r="F339" s="417">
        <v>2196</v>
      </c>
      <c r="G339" s="417">
        <v>-14467</v>
      </c>
      <c r="H339" s="417">
        <v>-100638</v>
      </c>
      <c r="I339" s="417">
        <v>0</v>
      </c>
      <c r="J339" s="378">
        <v>1.5009999999999999E-4</v>
      </c>
      <c r="K339" s="378"/>
      <c r="L339" s="417">
        <v>36746</v>
      </c>
      <c r="M339" s="417">
        <v>25378</v>
      </c>
      <c r="N339" s="417">
        <v>11109</v>
      </c>
      <c r="O339" s="417">
        <v>0</v>
      </c>
      <c r="P339" s="417">
        <v>0</v>
      </c>
      <c r="Q339" s="378">
        <v>1.5009999999999999E-4</v>
      </c>
      <c r="R339" s="378"/>
      <c r="S339" s="417">
        <v>-75405</v>
      </c>
      <c r="T339" s="417">
        <v>-74533</v>
      </c>
      <c r="U339" s="417">
        <v>-78300</v>
      </c>
      <c r="V339" s="417">
        <v>-100638</v>
      </c>
      <c r="W339" s="417">
        <v>0</v>
      </c>
      <c r="X339" s="378">
        <v>1.5009999999999999E-4</v>
      </c>
      <c r="Z339" s="417">
        <v>60130</v>
      </c>
      <c r="AA339" s="417">
        <v>42245</v>
      </c>
      <c r="AB339" s="417">
        <v>42245</v>
      </c>
      <c r="AC339" s="417">
        <v>0</v>
      </c>
      <c r="AD339" s="417">
        <v>0</v>
      </c>
      <c r="AE339" s="378">
        <v>1.5009999999999999E-4</v>
      </c>
      <c r="AF339" s="378"/>
      <c r="AG339" s="417">
        <v>12684</v>
      </c>
      <c r="AH339" s="417">
        <v>10478</v>
      </c>
      <c r="AI339" s="417">
        <v>10479</v>
      </c>
      <c r="AJ339" s="417">
        <v>0</v>
      </c>
      <c r="AK339" s="417">
        <v>0</v>
      </c>
      <c r="AL339" s="378">
        <v>1.5009999999999999E-4</v>
      </c>
      <c r="AM339" s="378"/>
      <c r="AN339" s="417">
        <v>-1369</v>
      </c>
      <c r="AO339" s="417">
        <v>-1372</v>
      </c>
      <c r="AP339" s="417">
        <v>0</v>
      </c>
      <c r="AQ339" s="417">
        <v>0</v>
      </c>
      <c r="AR339" s="417">
        <v>0</v>
      </c>
    </row>
    <row r="340" spans="1:44">
      <c r="A340" s="377">
        <v>93441</v>
      </c>
      <c r="B340" t="s">
        <v>1045</v>
      </c>
      <c r="C340" s="378">
        <v>1.573E-4</v>
      </c>
      <c r="D340" s="378"/>
      <c r="E340" s="417">
        <v>17885</v>
      </c>
      <c r="F340" s="417">
        <v>-13339</v>
      </c>
      <c r="G340" s="417">
        <v>-31392</v>
      </c>
      <c r="H340" s="417">
        <v>-105466</v>
      </c>
      <c r="I340" s="417">
        <v>0</v>
      </c>
      <c r="J340" s="378">
        <v>1.573E-4</v>
      </c>
      <c r="K340" s="378"/>
      <c r="L340" s="417">
        <v>38508</v>
      </c>
      <c r="M340" s="417">
        <v>26595</v>
      </c>
      <c r="N340" s="417">
        <v>11642</v>
      </c>
      <c r="O340" s="417">
        <v>0</v>
      </c>
      <c r="P340" s="417">
        <v>0</v>
      </c>
      <c r="Q340" s="378">
        <v>1.573E-4</v>
      </c>
      <c r="R340" s="378"/>
      <c r="S340" s="417">
        <v>-79022</v>
      </c>
      <c r="T340" s="417">
        <v>-78108</v>
      </c>
      <c r="U340" s="417">
        <v>-82056</v>
      </c>
      <c r="V340" s="417">
        <v>-105466</v>
      </c>
      <c r="W340" s="417">
        <v>0</v>
      </c>
      <c r="X340" s="378">
        <v>1.573E-4</v>
      </c>
      <c r="Z340" s="417">
        <v>63015</v>
      </c>
      <c r="AA340" s="417">
        <v>44271</v>
      </c>
      <c r="AB340" s="417">
        <v>44271</v>
      </c>
      <c r="AC340" s="417">
        <v>0</v>
      </c>
      <c r="AD340" s="417">
        <v>0</v>
      </c>
      <c r="AE340" s="378">
        <v>1.573E-4</v>
      </c>
      <c r="AF340" s="378"/>
      <c r="AG340" s="417">
        <v>1653</v>
      </c>
      <c r="AH340" s="417">
        <v>173</v>
      </c>
      <c r="AI340" s="417">
        <v>0</v>
      </c>
      <c r="AJ340" s="417">
        <v>0</v>
      </c>
      <c r="AK340" s="417">
        <v>0</v>
      </c>
      <c r="AL340" s="378">
        <v>1.573E-4</v>
      </c>
      <c r="AM340" s="378"/>
      <c r="AN340" s="417">
        <v>-6269</v>
      </c>
      <c r="AO340" s="417">
        <v>-6270</v>
      </c>
      <c r="AP340" s="417">
        <v>-5249</v>
      </c>
      <c r="AQ340" s="417">
        <v>0</v>
      </c>
      <c r="AR340" s="417">
        <v>0</v>
      </c>
    </row>
    <row r="341" spans="1:44">
      <c r="A341" s="377">
        <v>93442</v>
      </c>
      <c r="B341" t="s">
        <v>1046</v>
      </c>
      <c r="C341" s="378">
        <v>1.3750000000000001E-4</v>
      </c>
      <c r="D341" s="378"/>
      <c r="E341" s="417">
        <v>2384</v>
      </c>
      <c r="F341" s="417">
        <v>-22092</v>
      </c>
      <c r="G341" s="417">
        <v>-31169</v>
      </c>
      <c r="H341" s="417">
        <v>-92190</v>
      </c>
      <c r="I341" s="417">
        <v>0</v>
      </c>
      <c r="J341" s="378">
        <v>1.3750000000000001E-4</v>
      </c>
      <c r="K341" s="378"/>
      <c r="L341" s="417">
        <v>33661</v>
      </c>
      <c r="M341" s="417">
        <v>23247</v>
      </c>
      <c r="N341" s="417">
        <v>10177</v>
      </c>
      <c r="O341" s="417">
        <v>0</v>
      </c>
      <c r="P341" s="417">
        <v>0</v>
      </c>
      <c r="Q341" s="378">
        <v>1.3750000000000001E-4</v>
      </c>
      <c r="R341" s="378"/>
      <c r="S341" s="417">
        <v>-69076</v>
      </c>
      <c r="T341" s="417">
        <v>-68276</v>
      </c>
      <c r="U341" s="417">
        <v>-71727</v>
      </c>
      <c r="V341" s="417">
        <v>-92190</v>
      </c>
      <c r="W341" s="417">
        <v>0</v>
      </c>
      <c r="X341" s="378">
        <v>1.3750000000000001E-4</v>
      </c>
      <c r="Z341" s="417">
        <v>55083</v>
      </c>
      <c r="AA341" s="417">
        <v>38699</v>
      </c>
      <c r="AB341" s="417">
        <v>38698</v>
      </c>
      <c r="AC341" s="417">
        <v>0</v>
      </c>
      <c r="AD341" s="417">
        <v>0</v>
      </c>
      <c r="AE341" s="378">
        <v>1.3750000000000001E-4</v>
      </c>
      <c r="AF341" s="378"/>
      <c r="AG341" s="417">
        <v>0</v>
      </c>
      <c r="AH341" s="417">
        <v>0</v>
      </c>
      <c r="AI341" s="417">
        <v>0</v>
      </c>
      <c r="AJ341" s="417">
        <v>0</v>
      </c>
      <c r="AK341" s="417">
        <v>0</v>
      </c>
      <c r="AL341" s="378">
        <v>1.3750000000000001E-4</v>
      </c>
      <c r="AM341" s="378"/>
      <c r="AN341" s="417">
        <v>-17284</v>
      </c>
      <c r="AO341" s="417">
        <v>-15762</v>
      </c>
      <c r="AP341" s="417">
        <v>-8317</v>
      </c>
      <c r="AQ341" s="417">
        <v>0</v>
      </c>
      <c r="AR341" s="417">
        <v>0</v>
      </c>
    </row>
    <row r="342" spans="1:44">
      <c r="A342" s="377">
        <v>93451</v>
      </c>
      <c r="B342" t="s">
        <v>1047</v>
      </c>
      <c r="C342" s="378">
        <v>6.3E-5</v>
      </c>
      <c r="D342" s="378"/>
      <c r="E342" s="417">
        <v>16424</v>
      </c>
      <c r="F342" s="417">
        <v>1605</v>
      </c>
      <c r="G342" s="417">
        <v>-9152</v>
      </c>
      <c r="H342" s="417">
        <v>-42240</v>
      </c>
      <c r="I342" s="417">
        <v>0</v>
      </c>
      <c r="J342" s="378">
        <v>6.3E-5</v>
      </c>
      <c r="K342" s="378"/>
      <c r="L342" s="417">
        <v>15423</v>
      </c>
      <c r="M342" s="417">
        <v>10652</v>
      </c>
      <c r="N342" s="417">
        <v>4663</v>
      </c>
      <c r="O342" s="417">
        <v>0</v>
      </c>
      <c r="P342" s="417">
        <v>0</v>
      </c>
      <c r="Q342" s="378">
        <v>6.3E-5</v>
      </c>
      <c r="R342" s="378"/>
      <c r="S342" s="417">
        <v>-31649</v>
      </c>
      <c r="T342" s="417">
        <v>-31283</v>
      </c>
      <c r="U342" s="417">
        <v>-32864</v>
      </c>
      <c r="V342" s="417">
        <v>-42240</v>
      </c>
      <c r="W342" s="417">
        <v>0</v>
      </c>
      <c r="X342" s="378">
        <v>6.3E-5</v>
      </c>
      <c r="Z342" s="417">
        <v>25238</v>
      </c>
      <c r="AA342" s="417">
        <v>17731</v>
      </c>
      <c r="AB342" s="417">
        <v>17731</v>
      </c>
      <c r="AC342" s="417">
        <v>0</v>
      </c>
      <c r="AD342" s="417">
        <v>0</v>
      </c>
      <c r="AE342" s="378">
        <v>6.3E-5</v>
      </c>
      <c r="AF342" s="378"/>
      <c r="AG342" s="417">
        <v>7660</v>
      </c>
      <c r="AH342" s="417">
        <v>4753</v>
      </c>
      <c r="AI342" s="417">
        <v>1318</v>
      </c>
      <c r="AJ342" s="417">
        <v>0</v>
      </c>
      <c r="AK342" s="417">
        <v>0</v>
      </c>
      <c r="AL342" s="378">
        <v>6.3E-5</v>
      </c>
      <c r="AM342" s="378"/>
      <c r="AN342" s="417">
        <v>-248</v>
      </c>
      <c r="AO342" s="417">
        <v>-248</v>
      </c>
      <c r="AP342" s="417">
        <v>0</v>
      </c>
      <c r="AQ342" s="417">
        <v>0</v>
      </c>
      <c r="AR342" s="417">
        <v>0</v>
      </c>
    </row>
    <row r="343" spans="1:44">
      <c r="A343" s="377">
        <v>93461</v>
      </c>
      <c r="B343" t="s">
        <v>1048</v>
      </c>
      <c r="C343" s="378">
        <v>1.5699999999999999E-5</v>
      </c>
      <c r="D343" s="378"/>
      <c r="E343" s="417">
        <v>2447</v>
      </c>
      <c r="F343" s="417">
        <v>-617</v>
      </c>
      <c r="G343" s="417">
        <v>-2243</v>
      </c>
      <c r="H343" s="417">
        <v>-10526</v>
      </c>
      <c r="I343" s="417">
        <v>0</v>
      </c>
      <c r="J343" s="378">
        <v>1.5699999999999999E-5</v>
      </c>
      <c r="K343" s="378"/>
      <c r="L343" s="417">
        <v>3843</v>
      </c>
      <c r="M343" s="417">
        <v>2654</v>
      </c>
      <c r="N343" s="417">
        <v>1162</v>
      </c>
      <c r="O343" s="417">
        <v>0</v>
      </c>
      <c r="P343" s="417">
        <v>0</v>
      </c>
      <c r="Q343" s="378">
        <v>1.5699999999999999E-5</v>
      </c>
      <c r="R343" s="378"/>
      <c r="S343" s="417">
        <v>-7887</v>
      </c>
      <c r="T343" s="417">
        <v>-7796</v>
      </c>
      <c r="U343" s="417">
        <v>-8190</v>
      </c>
      <c r="V343" s="417">
        <v>-10526</v>
      </c>
      <c r="W343" s="417">
        <v>0</v>
      </c>
      <c r="X343" s="378">
        <v>1.5699999999999999E-5</v>
      </c>
      <c r="Z343" s="417">
        <v>6289</v>
      </c>
      <c r="AA343" s="417">
        <v>4419</v>
      </c>
      <c r="AB343" s="417">
        <v>4419</v>
      </c>
      <c r="AC343" s="417">
        <v>0</v>
      </c>
      <c r="AD343" s="417">
        <v>0</v>
      </c>
      <c r="AE343" s="378">
        <v>1.5699999999999999E-5</v>
      </c>
      <c r="AF343" s="378"/>
      <c r="AG343" s="417">
        <v>462</v>
      </c>
      <c r="AH343" s="417">
        <v>368</v>
      </c>
      <c r="AI343" s="417">
        <v>366</v>
      </c>
      <c r="AJ343" s="417">
        <v>0</v>
      </c>
      <c r="AK343" s="417">
        <v>0</v>
      </c>
      <c r="AL343" s="378">
        <v>1.5699999999999999E-5</v>
      </c>
      <c r="AM343" s="378"/>
      <c r="AN343" s="417">
        <v>-260</v>
      </c>
      <c r="AO343" s="417">
        <v>-262</v>
      </c>
      <c r="AP343" s="417">
        <v>0</v>
      </c>
      <c r="AQ343" s="417">
        <v>0</v>
      </c>
      <c r="AR343" s="417">
        <v>0</v>
      </c>
    </row>
    <row r="344" spans="1:44">
      <c r="A344" s="377">
        <v>93471</v>
      </c>
      <c r="B344" t="s">
        <v>1049</v>
      </c>
      <c r="C344" s="378">
        <v>1.2099999999999999E-5</v>
      </c>
      <c r="D344" s="378"/>
      <c r="E344" s="417">
        <v>5599</v>
      </c>
      <c r="F344" s="417">
        <v>2943</v>
      </c>
      <c r="G344" s="417">
        <v>-821</v>
      </c>
      <c r="H344" s="417">
        <v>-8113</v>
      </c>
      <c r="I344" s="417">
        <v>0</v>
      </c>
      <c r="J344" s="378">
        <v>1.2099999999999999E-5</v>
      </c>
      <c r="K344" s="378"/>
      <c r="L344" s="417">
        <v>2962</v>
      </c>
      <c r="M344" s="417">
        <v>2046</v>
      </c>
      <c r="N344" s="417">
        <v>896</v>
      </c>
      <c r="O344" s="417">
        <v>0</v>
      </c>
      <c r="P344" s="417">
        <v>0</v>
      </c>
      <c r="Q344" s="378">
        <v>1.2099999999999999E-5</v>
      </c>
      <c r="R344" s="378"/>
      <c r="S344" s="417">
        <v>-6079</v>
      </c>
      <c r="T344" s="417">
        <v>-6008</v>
      </c>
      <c r="U344" s="417">
        <v>-6312</v>
      </c>
      <c r="V344" s="417">
        <v>-8113</v>
      </c>
      <c r="W344" s="417">
        <v>0</v>
      </c>
      <c r="X344" s="378">
        <v>1.2099999999999999E-5</v>
      </c>
      <c r="Z344" s="417">
        <v>4847</v>
      </c>
      <c r="AA344" s="417">
        <v>3405</v>
      </c>
      <c r="AB344" s="417">
        <v>3405</v>
      </c>
      <c r="AC344" s="417">
        <v>0</v>
      </c>
      <c r="AD344" s="417">
        <v>0</v>
      </c>
      <c r="AE344" s="378">
        <v>1.2099999999999999E-5</v>
      </c>
      <c r="AF344" s="378"/>
      <c r="AG344" s="417">
        <v>3869</v>
      </c>
      <c r="AH344" s="417">
        <v>3500</v>
      </c>
      <c r="AI344" s="417">
        <v>1190</v>
      </c>
      <c r="AJ344" s="417">
        <v>0</v>
      </c>
      <c r="AK344" s="417">
        <v>0</v>
      </c>
      <c r="AL344" s="378">
        <v>1.2099999999999999E-5</v>
      </c>
      <c r="AM344" s="378"/>
      <c r="AN344" s="417">
        <v>0</v>
      </c>
      <c r="AO344" s="417">
        <v>0</v>
      </c>
      <c r="AP344" s="417">
        <v>0</v>
      </c>
      <c r="AQ344" s="417">
        <v>0</v>
      </c>
      <c r="AR344" s="417">
        <v>0</v>
      </c>
    </row>
    <row r="345" spans="1:44">
      <c r="A345" s="377">
        <v>93501</v>
      </c>
      <c r="B345" t="s">
        <v>1050</v>
      </c>
      <c r="C345" s="378">
        <v>3.5084999999999999E-3</v>
      </c>
      <c r="D345" s="378"/>
      <c r="E345" s="417">
        <v>371483</v>
      </c>
      <c r="F345" s="417">
        <v>-304838</v>
      </c>
      <c r="G345" s="417">
        <v>-695372</v>
      </c>
      <c r="H345" s="417">
        <v>-2352358</v>
      </c>
      <c r="I345" s="417">
        <v>0</v>
      </c>
      <c r="J345" s="378">
        <v>3.5084999999999999E-3</v>
      </c>
      <c r="K345" s="378"/>
      <c r="L345" s="417">
        <v>858909</v>
      </c>
      <c r="M345" s="417">
        <v>593189</v>
      </c>
      <c r="N345" s="417">
        <v>259671</v>
      </c>
      <c r="O345" s="417">
        <v>0</v>
      </c>
      <c r="P345" s="417">
        <v>0</v>
      </c>
      <c r="Q345" s="378">
        <v>3.5084999999999999E-3</v>
      </c>
      <c r="R345" s="378"/>
      <c r="S345" s="417">
        <v>-1762558</v>
      </c>
      <c r="T345" s="417">
        <v>-1742163</v>
      </c>
      <c r="U345" s="417">
        <v>-1830213</v>
      </c>
      <c r="V345" s="417">
        <v>-2352358</v>
      </c>
      <c r="W345" s="417">
        <v>0</v>
      </c>
      <c r="X345" s="378">
        <v>3.5084999999999999E-3</v>
      </c>
      <c r="Z345" s="417">
        <v>1405512</v>
      </c>
      <c r="AA345" s="417">
        <v>987450</v>
      </c>
      <c r="AB345" s="417">
        <v>987443</v>
      </c>
      <c r="AC345" s="417">
        <v>0</v>
      </c>
      <c r="AD345" s="417">
        <v>0</v>
      </c>
      <c r="AE345" s="378">
        <v>3.5084999999999999E-3</v>
      </c>
      <c r="AF345" s="378"/>
      <c r="AG345" s="417">
        <v>34204</v>
      </c>
      <c r="AH345" s="417">
        <v>21268</v>
      </c>
      <c r="AI345" s="417">
        <v>0</v>
      </c>
      <c r="AJ345" s="417">
        <v>0</v>
      </c>
      <c r="AK345" s="417">
        <v>0</v>
      </c>
      <c r="AL345" s="378">
        <v>3.5084999999999999E-3</v>
      </c>
      <c r="AM345" s="378"/>
      <c r="AN345" s="417">
        <v>-164584</v>
      </c>
      <c r="AO345" s="417">
        <v>-164582</v>
      </c>
      <c r="AP345" s="417">
        <v>-112273</v>
      </c>
      <c r="AQ345" s="417">
        <v>0</v>
      </c>
      <c r="AR345" s="417">
        <v>0</v>
      </c>
    </row>
    <row r="346" spans="1:44">
      <c r="A346" s="377">
        <v>93511</v>
      </c>
      <c r="B346" t="s">
        <v>1051</v>
      </c>
      <c r="C346" s="378">
        <v>8.2100000000000003E-5</v>
      </c>
      <c r="D346" s="378"/>
      <c r="E346" s="417">
        <v>14843</v>
      </c>
      <c r="F346" s="417">
        <v>-2082</v>
      </c>
      <c r="G346" s="417">
        <v>-12809</v>
      </c>
      <c r="H346" s="417">
        <v>-55046</v>
      </c>
      <c r="I346" s="417">
        <v>0</v>
      </c>
      <c r="J346" s="378">
        <v>8.2100000000000003E-5</v>
      </c>
      <c r="K346" s="378"/>
      <c r="L346" s="417">
        <v>20099</v>
      </c>
      <c r="M346" s="417">
        <v>13881</v>
      </c>
      <c r="N346" s="417">
        <v>6076</v>
      </c>
      <c r="O346" s="417">
        <v>0</v>
      </c>
      <c r="P346" s="417">
        <v>0</v>
      </c>
      <c r="Q346" s="378">
        <v>8.2100000000000003E-5</v>
      </c>
      <c r="R346" s="378"/>
      <c r="S346" s="417">
        <v>-41244</v>
      </c>
      <c r="T346" s="417">
        <v>-40767</v>
      </c>
      <c r="U346" s="417">
        <v>-42828</v>
      </c>
      <c r="V346" s="417">
        <v>-55046</v>
      </c>
      <c r="W346" s="417">
        <v>0</v>
      </c>
      <c r="X346" s="378">
        <v>8.2100000000000003E-5</v>
      </c>
      <c r="Z346" s="417">
        <v>32889</v>
      </c>
      <c r="AA346" s="417">
        <v>23107</v>
      </c>
      <c r="AB346" s="417">
        <v>23106</v>
      </c>
      <c r="AC346" s="417">
        <v>0</v>
      </c>
      <c r="AD346" s="417">
        <v>0</v>
      </c>
      <c r="AE346" s="378">
        <v>8.2100000000000003E-5</v>
      </c>
      <c r="AF346" s="378"/>
      <c r="AG346" s="417">
        <v>3707</v>
      </c>
      <c r="AH346" s="417">
        <v>2304</v>
      </c>
      <c r="AI346" s="417">
        <v>837</v>
      </c>
      <c r="AJ346" s="417">
        <v>0</v>
      </c>
      <c r="AK346" s="417">
        <v>0</v>
      </c>
      <c r="AL346" s="378">
        <v>8.2100000000000003E-5</v>
      </c>
      <c r="AM346" s="378"/>
      <c r="AN346" s="417">
        <v>-608</v>
      </c>
      <c r="AO346" s="417">
        <v>-607</v>
      </c>
      <c r="AP346" s="417">
        <v>0</v>
      </c>
      <c r="AQ346" s="417">
        <v>0</v>
      </c>
      <c r="AR346" s="417">
        <v>0</v>
      </c>
    </row>
    <row r="347" spans="1:44">
      <c r="A347" s="377">
        <v>93517</v>
      </c>
      <c r="B347" t="s">
        <v>1052</v>
      </c>
      <c r="C347" s="378">
        <v>4.5000000000000001E-6</v>
      </c>
      <c r="D347" s="378"/>
      <c r="E347" s="417">
        <v>3213</v>
      </c>
      <c r="F347" s="417">
        <v>2125</v>
      </c>
      <c r="G347" s="417">
        <v>623</v>
      </c>
      <c r="H347" s="417">
        <v>-3017</v>
      </c>
      <c r="I347" s="417">
        <v>0</v>
      </c>
      <c r="J347" s="378">
        <v>4.5000000000000001E-6</v>
      </c>
      <c r="K347" s="378"/>
      <c r="L347" s="417">
        <v>1102</v>
      </c>
      <c r="M347" s="417">
        <v>761</v>
      </c>
      <c r="N347" s="417">
        <v>333</v>
      </c>
      <c r="O347" s="417">
        <v>0</v>
      </c>
      <c r="P347" s="417">
        <v>0</v>
      </c>
      <c r="Q347" s="378">
        <v>4.5000000000000001E-6</v>
      </c>
      <c r="R347" s="378"/>
      <c r="S347" s="417">
        <v>-2261</v>
      </c>
      <c r="T347" s="417">
        <v>-2234</v>
      </c>
      <c r="U347" s="417">
        <v>-2347</v>
      </c>
      <c r="V347" s="417">
        <v>-3017</v>
      </c>
      <c r="W347" s="417">
        <v>0</v>
      </c>
      <c r="X347" s="378">
        <v>4.5000000000000001E-6</v>
      </c>
      <c r="Z347" s="417">
        <v>1803</v>
      </c>
      <c r="AA347" s="417">
        <v>1267</v>
      </c>
      <c r="AB347" s="417">
        <v>1266</v>
      </c>
      <c r="AC347" s="417">
        <v>0</v>
      </c>
      <c r="AD347" s="417">
        <v>0</v>
      </c>
      <c r="AE347" s="378">
        <v>4.5000000000000001E-6</v>
      </c>
      <c r="AF347" s="378"/>
      <c r="AG347" s="417">
        <v>2569</v>
      </c>
      <c r="AH347" s="417">
        <v>2331</v>
      </c>
      <c r="AI347" s="417">
        <v>1371</v>
      </c>
      <c r="AJ347" s="417">
        <v>0</v>
      </c>
      <c r="AK347" s="417">
        <v>0</v>
      </c>
      <c r="AL347" s="378">
        <v>4.5000000000000001E-6</v>
      </c>
      <c r="AM347" s="378"/>
      <c r="AN347" s="417">
        <v>0</v>
      </c>
      <c r="AO347" s="417">
        <v>0</v>
      </c>
      <c r="AP347" s="417">
        <v>0</v>
      </c>
      <c r="AQ347" s="417">
        <v>0</v>
      </c>
      <c r="AR347" s="417">
        <v>0</v>
      </c>
    </row>
    <row r="348" spans="1:44">
      <c r="A348" s="377">
        <v>93521</v>
      </c>
      <c r="B348" t="s">
        <v>1053</v>
      </c>
      <c r="C348" s="378">
        <v>4.5629999999999998E-4</v>
      </c>
      <c r="D348" s="378"/>
      <c r="E348" s="417">
        <v>59568</v>
      </c>
      <c r="F348" s="417">
        <v>-27277</v>
      </c>
      <c r="G348" s="417">
        <v>-80888</v>
      </c>
      <c r="H348" s="417">
        <v>-305937</v>
      </c>
      <c r="I348" s="417">
        <v>0</v>
      </c>
      <c r="J348" s="378">
        <v>4.5629999999999998E-4</v>
      </c>
      <c r="K348" s="378"/>
      <c r="L348" s="417">
        <v>111706</v>
      </c>
      <c r="M348" s="417">
        <v>77148</v>
      </c>
      <c r="N348" s="417">
        <v>33772</v>
      </c>
      <c r="O348" s="417">
        <v>0</v>
      </c>
      <c r="P348" s="417">
        <v>0</v>
      </c>
      <c r="Q348" s="378">
        <v>4.5629999999999998E-4</v>
      </c>
      <c r="R348" s="378"/>
      <c r="S348" s="417">
        <v>-229231</v>
      </c>
      <c r="T348" s="417">
        <v>-226578</v>
      </c>
      <c r="U348" s="417">
        <v>-238029</v>
      </c>
      <c r="V348" s="417">
        <v>-305937</v>
      </c>
      <c r="W348" s="417">
        <v>0</v>
      </c>
      <c r="X348" s="378">
        <v>4.5629999999999998E-4</v>
      </c>
      <c r="Z348" s="417">
        <v>182795</v>
      </c>
      <c r="AA348" s="417">
        <v>128423</v>
      </c>
      <c r="AB348" s="417">
        <v>128422</v>
      </c>
      <c r="AC348" s="417">
        <v>0</v>
      </c>
      <c r="AD348" s="417">
        <v>0</v>
      </c>
      <c r="AE348" s="378">
        <v>4.5629999999999998E-4</v>
      </c>
      <c r="AF348" s="378"/>
      <c r="AG348" s="417">
        <v>3546</v>
      </c>
      <c r="AH348" s="417">
        <v>2976</v>
      </c>
      <c r="AI348" s="417">
        <v>0</v>
      </c>
      <c r="AJ348" s="417">
        <v>0</v>
      </c>
      <c r="AK348" s="417">
        <v>0</v>
      </c>
      <c r="AL348" s="378">
        <v>4.5629999999999998E-4</v>
      </c>
      <c r="AM348" s="378"/>
      <c r="AN348" s="417">
        <v>-9248</v>
      </c>
      <c r="AO348" s="417">
        <v>-9246</v>
      </c>
      <c r="AP348" s="417">
        <v>-5053</v>
      </c>
      <c r="AQ348" s="417">
        <v>0</v>
      </c>
      <c r="AR348" s="417">
        <v>0</v>
      </c>
    </row>
    <row r="349" spans="1:44">
      <c r="A349" s="377">
        <v>93527</v>
      </c>
      <c r="B349" t="s">
        <v>1054</v>
      </c>
      <c r="C349" s="378">
        <v>1.4800000000000001E-5</v>
      </c>
      <c r="D349" s="378"/>
      <c r="E349" s="417">
        <v>9732</v>
      </c>
      <c r="F349" s="417">
        <v>5855</v>
      </c>
      <c r="G349" s="417">
        <v>2532</v>
      </c>
      <c r="H349" s="417">
        <v>-9923</v>
      </c>
      <c r="I349" s="417">
        <v>0</v>
      </c>
      <c r="J349" s="378">
        <v>1.4800000000000001E-5</v>
      </c>
      <c r="K349" s="378"/>
      <c r="L349" s="417">
        <v>3623</v>
      </c>
      <c r="M349" s="417">
        <v>2502</v>
      </c>
      <c r="N349" s="417">
        <v>1095</v>
      </c>
      <c r="O349" s="417">
        <v>0</v>
      </c>
      <c r="P349" s="417">
        <v>0</v>
      </c>
      <c r="Q349" s="378">
        <v>1.4800000000000001E-5</v>
      </c>
      <c r="R349" s="378"/>
      <c r="S349" s="417">
        <v>-7435</v>
      </c>
      <c r="T349" s="417">
        <v>-7349</v>
      </c>
      <c r="U349" s="417">
        <v>-7720</v>
      </c>
      <c r="V349" s="417">
        <v>-9923</v>
      </c>
      <c r="W349" s="417">
        <v>0</v>
      </c>
      <c r="X349" s="378">
        <v>1.4800000000000001E-5</v>
      </c>
      <c r="Z349" s="417">
        <v>5929</v>
      </c>
      <c r="AA349" s="417">
        <v>4165</v>
      </c>
      <c r="AB349" s="417">
        <v>4165</v>
      </c>
      <c r="AC349" s="417">
        <v>0</v>
      </c>
      <c r="AD349" s="417">
        <v>0</v>
      </c>
      <c r="AE349" s="378">
        <v>1.4800000000000001E-5</v>
      </c>
      <c r="AF349" s="378"/>
      <c r="AG349" s="417">
        <v>7615</v>
      </c>
      <c r="AH349" s="417">
        <v>6537</v>
      </c>
      <c r="AI349" s="417">
        <v>4992</v>
      </c>
      <c r="AJ349" s="417">
        <v>0</v>
      </c>
      <c r="AK349" s="417">
        <v>0</v>
      </c>
      <c r="AL349" s="378">
        <v>1.4800000000000001E-5</v>
      </c>
      <c r="AM349" s="378"/>
      <c r="AN349" s="417">
        <v>0</v>
      </c>
      <c r="AO349" s="417">
        <v>0</v>
      </c>
      <c r="AP349" s="417">
        <v>0</v>
      </c>
      <c r="AQ349" s="417">
        <v>0</v>
      </c>
      <c r="AR349" s="417">
        <v>0</v>
      </c>
    </row>
    <row r="350" spans="1:44">
      <c r="A350" s="377">
        <v>93531</v>
      </c>
      <c r="B350" t="s">
        <v>1055</v>
      </c>
      <c r="C350" s="378">
        <v>2.5400000000000001E-5</v>
      </c>
      <c r="D350" s="378"/>
      <c r="E350" s="417">
        <v>6654</v>
      </c>
      <c r="F350" s="417">
        <v>47</v>
      </c>
      <c r="G350" s="417">
        <v>-3201</v>
      </c>
      <c r="H350" s="417">
        <v>-17030</v>
      </c>
      <c r="I350" s="417">
        <v>0</v>
      </c>
      <c r="J350" s="378">
        <v>2.5400000000000001E-5</v>
      </c>
      <c r="K350" s="378"/>
      <c r="L350" s="417">
        <v>6218</v>
      </c>
      <c r="M350" s="417">
        <v>4294</v>
      </c>
      <c r="N350" s="417">
        <v>1880</v>
      </c>
      <c r="O350" s="417">
        <v>0</v>
      </c>
      <c r="P350" s="417">
        <v>0</v>
      </c>
      <c r="Q350" s="378">
        <v>2.5400000000000001E-5</v>
      </c>
      <c r="R350" s="378"/>
      <c r="S350" s="417">
        <v>-12760</v>
      </c>
      <c r="T350" s="417">
        <v>-12612</v>
      </c>
      <c r="U350" s="417">
        <v>-13250</v>
      </c>
      <c r="V350" s="417">
        <v>-17030</v>
      </c>
      <c r="W350" s="417">
        <v>0</v>
      </c>
      <c r="X350" s="378">
        <v>2.5400000000000001E-5</v>
      </c>
      <c r="Z350" s="417">
        <v>10175</v>
      </c>
      <c r="AA350" s="417">
        <v>7149</v>
      </c>
      <c r="AB350" s="417">
        <v>7149</v>
      </c>
      <c r="AC350" s="417">
        <v>0</v>
      </c>
      <c r="AD350" s="417">
        <v>0</v>
      </c>
      <c r="AE350" s="378">
        <v>2.5400000000000001E-5</v>
      </c>
      <c r="AF350" s="378"/>
      <c r="AG350" s="417">
        <v>4550</v>
      </c>
      <c r="AH350" s="417">
        <v>2747</v>
      </c>
      <c r="AI350" s="417">
        <v>1020</v>
      </c>
      <c r="AJ350" s="417">
        <v>0</v>
      </c>
      <c r="AK350" s="417">
        <v>0</v>
      </c>
      <c r="AL350" s="378">
        <v>2.5400000000000001E-5</v>
      </c>
      <c r="AM350" s="378"/>
      <c r="AN350" s="417">
        <v>-1529</v>
      </c>
      <c r="AO350" s="417">
        <v>-1531</v>
      </c>
      <c r="AP350" s="417">
        <v>0</v>
      </c>
      <c r="AQ350" s="417">
        <v>0</v>
      </c>
      <c r="AR350" s="417">
        <v>0</v>
      </c>
    </row>
    <row r="351" spans="1:44">
      <c r="A351" s="377">
        <v>93537</v>
      </c>
      <c r="B351" t="s">
        <v>1056</v>
      </c>
      <c r="C351" s="378">
        <v>9.7999999999999993E-6</v>
      </c>
      <c r="D351" s="378"/>
      <c r="E351" s="417">
        <v>-376</v>
      </c>
      <c r="F351" s="417">
        <v>-1965</v>
      </c>
      <c r="G351" s="417">
        <v>-2302</v>
      </c>
      <c r="H351" s="417">
        <v>-6571</v>
      </c>
      <c r="I351" s="417">
        <v>0</v>
      </c>
      <c r="J351" s="378">
        <v>9.7999999999999993E-6</v>
      </c>
      <c r="K351" s="378"/>
      <c r="L351" s="417">
        <v>2399</v>
      </c>
      <c r="M351" s="417">
        <v>1657</v>
      </c>
      <c r="N351" s="417">
        <v>725</v>
      </c>
      <c r="O351" s="417">
        <v>0</v>
      </c>
      <c r="P351" s="417">
        <v>0</v>
      </c>
      <c r="Q351" s="378">
        <v>9.7999999999999993E-6</v>
      </c>
      <c r="R351" s="378"/>
      <c r="S351" s="417">
        <v>-4923</v>
      </c>
      <c r="T351" s="417">
        <v>-4866</v>
      </c>
      <c r="U351" s="417">
        <v>-5112</v>
      </c>
      <c r="V351" s="417">
        <v>-6571</v>
      </c>
      <c r="W351" s="417">
        <v>0</v>
      </c>
      <c r="X351" s="378">
        <v>9.7999999999999993E-6</v>
      </c>
      <c r="Z351" s="417">
        <v>3926</v>
      </c>
      <c r="AA351" s="417">
        <v>2758</v>
      </c>
      <c r="AB351" s="417">
        <v>2758</v>
      </c>
      <c r="AC351" s="417">
        <v>0</v>
      </c>
      <c r="AD351" s="417">
        <v>0</v>
      </c>
      <c r="AE351" s="378">
        <v>9.7999999999999993E-6</v>
      </c>
      <c r="AF351" s="378"/>
      <c r="AG351" s="417">
        <v>0</v>
      </c>
      <c r="AH351" s="417">
        <v>0</v>
      </c>
      <c r="AI351" s="417">
        <v>0</v>
      </c>
      <c r="AJ351" s="417">
        <v>0</v>
      </c>
      <c r="AK351" s="417">
        <v>0</v>
      </c>
      <c r="AL351" s="378">
        <v>9.7999999999999993E-6</v>
      </c>
      <c r="AM351" s="378"/>
      <c r="AN351" s="417">
        <v>-1778</v>
      </c>
      <c r="AO351" s="417">
        <v>-1514</v>
      </c>
      <c r="AP351" s="417">
        <v>-673</v>
      </c>
      <c r="AQ351" s="417">
        <v>0</v>
      </c>
      <c r="AR351" s="417">
        <v>0</v>
      </c>
    </row>
    <row r="352" spans="1:44">
      <c r="A352" s="377">
        <v>93541</v>
      </c>
      <c r="B352" t="s">
        <v>1057</v>
      </c>
      <c r="C352" s="378">
        <v>1.8760000000000001E-4</v>
      </c>
      <c r="D352" s="378"/>
      <c r="E352" s="417">
        <v>61543</v>
      </c>
      <c r="F352" s="417">
        <v>27256</v>
      </c>
      <c r="G352" s="417">
        <v>-21941</v>
      </c>
      <c r="H352" s="417">
        <v>-125781</v>
      </c>
      <c r="I352" s="417">
        <v>0</v>
      </c>
      <c r="J352" s="378">
        <v>1.8760000000000001E-4</v>
      </c>
      <c r="K352" s="378"/>
      <c r="L352" s="417">
        <v>45926</v>
      </c>
      <c r="M352" s="417">
        <v>31718</v>
      </c>
      <c r="N352" s="417">
        <v>13885</v>
      </c>
      <c r="O352" s="417">
        <v>0</v>
      </c>
      <c r="P352" s="417">
        <v>0</v>
      </c>
      <c r="Q352" s="378">
        <v>1.8760000000000001E-4</v>
      </c>
      <c r="R352" s="378"/>
      <c r="S352" s="417">
        <v>-94244</v>
      </c>
      <c r="T352" s="417">
        <v>-93154</v>
      </c>
      <c r="U352" s="417">
        <v>-97862</v>
      </c>
      <c r="V352" s="417">
        <v>-125781</v>
      </c>
      <c r="W352" s="417">
        <v>0</v>
      </c>
      <c r="X352" s="378">
        <v>1.8760000000000001E-4</v>
      </c>
      <c r="Z352" s="417">
        <v>75153</v>
      </c>
      <c r="AA352" s="417">
        <v>52799</v>
      </c>
      <c r="AB352" s="417">
        <v>52799</v>
      </c>
      <c r="AC352" s="417">
        <v>0</v>
      </c>
      <c r="AD352" s="417">
        <v>0</v>
      </c>
      <c r="AE352" s="378">
        <v>1.8760000000000001E-4</v>
      </c>
      <c r="AF352" s="378"/>
      <c r="AG352" s="417">
        <v>35894</v>
      </c>
      <c r="AH352" s="417">
        <v>35893</v>
      </c>
      <c r="AI352" s="417">
        <v>9237</v>
      </c>
      <c r="AJ352" s="417">
        <v>0</v>
      </c>
      <c r="AK352" s="417">
        <v>0</v>
      </c>
      <c r="AL352" s="378">
        <v>1.8760000000000001E-4</v>
      </c>
      <c r="AM352" s="378"/>
      <c r="AN352" s="417">
        <v>-1186</v>
      </c>
      <c r="AO352" s="417">
        <v>0</v>
      </c>
      <c r="AP352" s="417">
        <v>0</v>
      </c>
      <c r="AQ352" s="417">
        <v>0</v>
      </c>
      <c r="AR352" s="417">
        <v>0</v>
      </c>
    </row>
    <row r="353" spans="1:44">
      <c r="A353" s="377">
        <v>93601</v>
      </c>
      <c r="B353" t="s">
        <v>1058</v>
      </c>
      <c r="C353" s="378">
        <v>1.1387599999999999E-2</v>
      </c>
      <c r="D353" s="378"/>
      <c r="E353" s="417">
        <v>1924795</v>
      </c>
      <c r="F353" s="417">
        <v>-325339</v>
      </c>
      <c r="G353" s="417">
        <v>-1664671</v>
      </c>
      <c r="H353" s="417">
        <v>-7635090</v>
      </c>
      <c r="I353" s="417">
        <v>0</v>
      </c>
      <c r="J353" s="378">
        <v>1.1387599999999999E-2</v>
      </c>
      <c r="K353" s="378"/>
      <c r="L353" s="417">
        <v>2787776</v>
      </c>
      <c r="M353" s="417">
        <v>1925324</v>
      </c>
      <c r="N353" s="417">
        <v>842819</v>
      </c>
      <c r="O353" s="417">
        <v>0</v>
      </c>
      <c r="P353" s="417">
        <v>0</v>
      </c>
      <c r="Q353" s="378">
        <v>1.1387599999999999E-2</v>
      </c>
      <c r="R353" s="378"/>
      <c r="S353" s="417">
        <v>-5720766</v>
      </c>
      <c r="T353" s="417">
        <v>-5654570</v>
      </c>
      <c r="U353" s="417">
        <v>-5940353</v>
      </c>
      <c r="V353" s="417">
        <v>-7635090</v>
      </c>
      <c r="W353" s="417">
        <v>0</v>
      </c>
      <c r="X353" s="378">
        <v>1.1387599999999999E-2</v>
      </c>
      <c r="Z353" s="417">
        <v>4561895</v>
      </c>
      <c r="AA353" s="417">
        <v>3204983</v>
      </c>
      <c r="AB353" s="417">
        <v>3204960</v>
      </c>
      <c r="AC353" s="417">
        <v>0</v>
      </c>
      <c r="AD353" s="417">
        <v>0</v>
      </c>
      <c r="AE353" s="378">
        <v>1.1387599999999999E-2</v>
      </c>
      <c r="AF353" s="378"/>
      <c r="AG353" s="417">
        <v>352853</v>
      </c>
      <c r="AH353" s="417">
        <v>255886</v>
      </c>
      <c r="AI353" s="417">
        <v>227903</v>
      </c>
      <c r="AJ353" s="417">
        <v>0</v>
      </c>
      <c r="AK353" s="417">
        <v>0</v>
      </c>
      <c r="AL353" s="378">
        <v>1.1387599999999999E-2</v>
      </c>
      <c r="AM353" s="378"/>
      <c r="AN353" s="417">
        <v>-56963</v>
      </c>
      <c r="AO353" s="417">
        <v>-56962</v>
      </c>
      <c r="AP353" s="417">
        <v>0</v>
      </c>
      <c r="AQ353" s="417">
        <v>0</v>
      </c>
      <c r="AR353" s="417">
        <v>0</v>
      </c>
    </row>
    <row r="354" spans="1:44">
      <c r="A354" s="377">
        <v>93602</v>
      </c>
      <c r="B354" t="s">
        <v>1059</v>
      </c>
      <c r="C354" s="378">
        <v>1.7000000000000001E-4</v>
      </c>
      <c r="D354" s="378"/>
      <c r="E354" s="417">
        <v>33299</v>
      </c>
      <c r="F354" s="417">
        <v>-615</v>
      </c>
      <c r="G354" s="417">
        <v>-15950</v>
      </c>
      <c r="H354" s="417">
        <v>-113981</v>
      </c>
      <c r="I354" s="417">
        <v>0</v>
      </c>
      <c r="J354" s="378">
        <v>1.7000000000000001E-4</v>
      </c>
      <c r="K354" s="378"/>
      <c r="L354" s="417">
        <v>41617</v>
      </c>
      <c r="M354" s="417">
        <v>28742</v>
      </c>
      <c r="N354" s="417">
        <v>12582</v>
      </c>
      <c r="O354" s="417">
        <v>0</v>
      </c>
      <c r="P354" s="417">
        <v>0</v>
      </c>
      <c r="Q354" s="378">
        <v>1.7000000000000001E-4</v>
      </c>
      <c r="R354" s="378"/>
      <c r="S354" s="417">
        <v>-85403</v>
      </c>
      <c r="T354" s="417">
        <v>-84414</v>
      </c>
      <c r="U354" s="417">
        <v>-88681</v>
      </c>
      <c r="V354" s="417">
        <v>-113981</v>
      </c>
      <c r="W354" s="417">
        <v>0</v>
      </c>
      <c r="X354" s="378">
        <v>1.7000000000000001E-4</v>
      </c>
      <c r="Z354" s="417">
        <v>68102</v>
      </c>
      <c r="AA354" s="417">
        <v>47846</v>
      </c>
      <c r="AB354" s="417">
        <v>47845</v>
      </c>
      <c r="AC354" s="417">
        <v>0</v>
      </c>
      <c r="AD354" s="417">
        <v>0</v>
      </c>
      <c r="AE354" s="378">
        <v>1.7000000000000001E-4</v>
      </c>
      <c r="AF354" s="378"/>
      <c r="AG354" s="417">
        <v>17358</v>
      </c>
      <c r="AH354" s="417">
        <v>15585</v>
      </c>
      <c r="AI354" s="417">
        <v>12304</v>
      </c>
      <c r="AJ354" s="417">
        <v>0</v>
      </c>
      <c r="AK354" s="417">
        <v>0</v>
      </c>
      <c r="AL354" s="378">
        <v>1.7000000000000001E-4</v>
      </c>
      <c r="AM354" s="378"/>
      <c r="AN354" s="417">
        <v>-8375</v>
      </c>
      <c r="AO354" s="417">
        <v>-8374</v>
      </c>
      <c r="AP354" s="417">
        <v>0</v>
      </c>
      <c r="AQ354" s="417">
        <v>0</v>
      </c>
      <c r="AR354" s="417">
        <v>0</v>
      </c>
    </row>
    <row r="355" spans="1:44">
      <c r="A355" s="377">
        <v>93604</v>
      </c>
      <c r="B355" t="s">
        <v>1926</v>
      </c>
      <c r="C355" s="378">
        <v>1.3900000000000001E-5</v>
      </c>
      <c r="D355" s="378"/>
      <c r="E355" s="417">
        <v>5907</v>
      </c>
      <c r="F355" s="417">
        <v>-1621</v>
      </c>
      <c r="G355" s="417">
        <v>-560</v>
      </c>
      <c r="H355" s="417">
        <v>-9320</v>
      </c>
      <c r="I355" s="417">
        <v>0</v>
      </c>
      <c r="J355" s="378">
        <v>1.3900000000000001E-5</v>
      </c>
      <c r="K355" s="378"/>
      <c r="L355" s="417">
        <v>3403</v>
      </c>
      <c r="M355" s="417">
        <v>2350</v>
      </c>
      <c r="N355" s="417">
        <v>1029</v>
      </c>
      <c r="O355" s="417">
        <v>0</v>
      </c>
      <c r="P355" s="417">
        <v>0</v>
      </c>
      <c r="Q355" s="378">
        <v>1.3900000000000001E-5</v>
      </c>
      <c r="R355" s="378"/>
      <c r="S355" s="417">
        <v>-6983</v>
      </c>
      <c r="T355" s="417">
        <v>-6902</v>
      </c>
      <c r="U355" s="417">
        <v>-7251</v>
      </c>
      <c r="V355" s="417">
        <v>-9320</v>
      </c>
      <c r="W355" s="417">
        <v>0</v>
      </c>
      <c r="X355" s="378">
        <v>1.3900000000000001E-5</v>
      </c>
      <c r="Z355" s="417">
        <v>5568</v>
      </c>
      <c r="AA355" s="417">
        <v>3912</v>
      </c>
      <c r="AB355" s="417">
        <v>3912</v>
      </c>
      <c r="AC355" s="417">
        <v>0</v>
      </c>
      <c r="AD355" s="417">
        <v>0</v>
      </c>
      <c r="AE355" s="378">
        <v>1.3900000000000001E-5</v>
      </c>
      <c r="AF355" s="378"/>
      <c r="AG355" s="417">
        <v>8469</v>
      </c>
      <c r="AH355" s="417">
        <v>3568</v>
      </c>
      <c r="AI355" s="417">
        <v>1750</v>
      </c>
      <c r="AJ355" s="417">
        <v>0</v>
      </c>
      <c r="AK355" s="417">
        <v>0</v>
      </c>
      <c r="AL355" s="378">
        <v>1.3900000000000001E-5</v>
      </c>
      <c r="AM355" s="378"/>
      <c r="AN355" s="417">
        <v>-4550</v>
      </c>
      <c r="AO355" s="417">
        <v>-4549</v>
      </c>
      <c r="AP355" s="417">
        <v>0</v>
      </c>
      <c r="AQ355" s="417">
        <v>0</v>
      </c>
      <c r="AR355" s="417">
        <v>0</v>
      </c>
    </row>
    <row r="356" spans="1:44">
      <c r="A356" s="377">
        <v>93609</v>
      </c>
      <c r="B356" t="s">
        <v>1060</v>
      </c>
      <c r="C356" s="378">
        <v>3.9456999999999999E-3</v>
      </c>
      <c r="D356" s="378"/>
      <c r="E356" s="417">
        <v>639199</v>
      </c>
      <c r="F356" s="417">
        <v>-116157</v>
      </c>
      <c r="G356" s="417">
        <v>-506894</v>
      </c>
      <c r="H356" s="417">
        <v>-2645489</v>
      </c>
      <c r="I356" s="417">
        <v>0</v>
      </c>
      <c r="J356" s="378">
        <v>3.9456999999999999E-3</v>
      </c>
      <c r="K356" s="378"/>
      <c r="L356" s="417">
        <v>965939</v>
      </c>
      <c r="M356" s="417">
        <v>667107</v>
      </c>
      <c r="N356" s="417">
        <v>292029</v>
      </c>
      <c r="O356" s="417">
        <v>0</v>
      </c>
      <c r="P356" s="417">
        <v>0</v>
      </c>
      <c r="Q356" s="378">
        <v>3.9456999999999999E-3</v>
      </c>
      <c r="R356" s="378"/>
      <c r="S356" s="417">
        <v>-1982193</v>
      </c>
      <c r="T356" s="417">
        <v>-1959257</v>
      </c>
      <c r="U356" s="417">
        <v>-2058278</v>
      </c>
      <c r="V356" s="417">
        <v>-2645489</v>
      </c>
      <c r="W356" s="417">
        <v>0</v>
      </c>
      <c r="X356" s="378">
        <v>3.9456999999999999E-3</v>
      </c>
      <c r="Z356" s="417">
        <v>1580655</v>
      </c>
      <c r="AA356" s="417">
        <v>1110498</v>
      </c>
      <c r="AB356" s="417">
        <v>1110490</v>
      </c>
      <c r="AC356" s="417">
        <v>0</v>
      </c>
      <c r="AD356" s="417">
        <v>0</v>
      </c>
      <c r="AE356" s="378">
        <v>3.9456999999999999E-3</v>
      </c>
      <c r="AF356" s="378"/>
      <c r="AG356" s="417">
        <v>158170</v>
      </c>
      <c r="AH356" s="417">
        <v>148867</v>
      </c>
      <c r="AI356" s="417">
        <v>148865</v>
      </c>
      <c r="AJ356" s="417">
        <v>0</v>
      </c>
      <c r="AK356" s="417">
        <v>0</v>
      </c>
      <c r="AL356" s="378">
        <v>3.9456999999999999E-3</v>
      </c>
      <c r="AM356" s="378"/>
      <c r="AN356" s="417">
        <v>-83372</v>
      </c>
      <c r="AO356" s="417">
        <v>-83372</v>
      </c>
      <c r="AP356" s="417">
        <v>0</v>
      </c>
      <c r="AQ356" s="417">
        <v>0</v>
      </c>
      <c r="AR356" s="417">
        <v>0</v>
      </c>
    </row>
    <row r="357" spans="1:44">
      <c r="A357" s="377">
        <v>93610</v>
      </c>
      <c r="B357" t="s">
        <v>1061</v>
      </c>
      <c r="C357" s="378">
        <v>1.6099999999999998E-5</v>
      </c>
      <c r="D357" s="378"/>
      <c r="E357" s="417">
        <v>1606</v>
      </c>
      <c r="F357" s="417">
        <v>-1607</v>
      </c>
      <c r="G357" s="417">
        <v>-3047</v>
      </c>
      <c r="H357" s="417">
        <v>-10795</v>
      </c>
      <c r="I357" s="417">
        <v>0</v>
      </c>
      <c r="J357" s="378">
        <v>1.6099999999999998E-5</v>
      </c>
      <c r="K357" s="378"/>
      <c r="L357" s="417">
        <v>3941</v>
      </c>
      <c r="M357" s="417">
        <v>2722</v>
      </c>
      <c r="N357" s="417">
        <v>1192</v>
      </c>
      <c r="O357" s="417">
        <v>0</v>
      </c>
      <c r="P357" s="417">
        <v>0</v>
      </c>
      <c r="Q357" s="378">
        <v>1.6099999999999998E-5</v>
      </c>
      <c r="R357" s="378"/>
      <c r="S357" s="417">
        <v>-8088</v>
      </c>
      <c r="T357" s="417">
        <v>-7995</v>
      </c>
      <c r="U357" s="417">
        <v>-8399</v>
      </c>
      <c r="V357" s="417">
        <v>-10795</v>
      </c>
      <c r="W357" s="417">
        <v>0</v>
      </c>
      <c r="X357" s="378">
        <v>1.6099999999999998E-5</v>
      </c>
      <c r="Z357" s="417">
        <v>6450</v>
      </c>
      <c r="AA357" s="417">
        <v>4531</v>
      </c>
      <c r="AB357" s="417">
        <v>4531</v>
      </c>
      <c r="AC357" s="417">
        <v>0</v>
      </c>
      <c r="AD357" s="417">
        <v>0</v>
      </c>
      <c r="AE357" s="378">
        <v>1.6099999999999998E-5</v>
      </c>
      <c r="AF357" s="378"/>
      <c r="AG357" s="417">
        <v>168</v>
      </c>
      <c r="AH357" s="417">
        <v>0</v>
      </c>
      <c r="AI357" s="417">
        <v>0</v>
      </c>
      <c r="AJ357" s="417">
        <v>0</v>
      </c>
      <c r="AK357" s="417">
        <v>0</v>
      </c>
      <c r="AL357" s="378">
        <v>1.6099999999999998E-5</v>
      </c>
      <c r="AM357" s="378"/>
      <c r="AN357" s="417">
        <v>-865</v>
      </c>
      <c r="AO357" s="417">
        <v>-865</v>
      </c>
      <c r="AP357" s="417">
        <v>-371</v>
      </c>
      <c r="AQ357" s="417">
        <v>0</v>
      </c>
      <c r="AR357" s="417">
        <v>0</v>
      </c>
    </row>
    <row r="358" spans="1:44">
      <c r="A358" s="377">
        <v>93611</v>
      </c>
      <c r="B358" t="s">
        <v>1062</v>
      </c>
      <c r="C358" s="378">
        <v>6.4822999999999999E-3</v>
      </c>
      <c r="D358" s="378"/>
      <c r="E358" s="417">
        <v>729464</v>
      </c>
      <c r="F358" s="417">
        <v>-487628</v>
      </c>
      <c r="G358" s="417">
        <v>-1221375</v>
      </c>
      <c r="H358" s="417">
        <v>-4346214</v>
      </c>
      <c r="I358" s="417">
        <v>0</v>
      </c>
      <c r="J358" s="378">
        <v>6.4822999999999999E-3</v>
      </c>
      <c r="K358" s="378"/>
      <c r="L358" s="417">
        <v>1586919</v>
      </c>
      <c r="M358" s="417">
        <v>1095975</v>
      </c>
      <c r="N358" s="417">
        <v>479768</v>
      </c>
      <c r="O358" s="417">
        <v>0</v>
      </c>
      <c r="P358" s="417">
        <v>0</v>
      </c>
      <c r="Q358" s="378">
        <v>6.4822999999999999E-3</v>
      </c>
      <c r="R358" s="378"/>
      <c r="S358" s="417">
        <v>-3256500</v>
      </c>
      <c r="T358" s="417">
        <v>-3218818</v>
      </c>
      <c r="U358" s="417">
        <v>-3381498</v>
      </c>
      <c r="V358" s="417">
        <v>-4346214</v>
      </c>
      <c r="W358" s="417">
        <v>0</v>
      </c>
      <c r="X358" s="378">
        <v>6.4822999999999999E-3</v>
      </c>
      <c r="Z358" s="417">
        <v>2596822</v>
      </c>
      <c r="AA358" s="417">
        <v>1824411</v>
      </c>
      <c r="AB358" s="417">
        <v>1824398</v>
      </c>
      <c r="AC358" s="417">
        <v>0</v>
      </c>
      <c r="AD358" s="417">
        <v>0</v>
      </c>
      <c r="AE358" s="378">
        <v>6.4822999999999999E-3</v>
      </c>
      <c r="AF358" s="378"/>
      <c r="AG358" s="417">
        <v>0</v>
      </c>
      <c r="AH358" s="417">
        <v>0</v>
      </c>
      <c r="AI358" s="417">
        <v>0</v>
      </c>
      <c r="AJ358" s="417">
        <v>0</v>
      </c>
      <c r="AK358" s="417">
        <v>0</v>
      </c>
      <c r="AL358" s="378">
        <v>6.4822999999999999E-3</v>
      </c>
      <c r="AM358" s="378"/>
      <c r="AN358" s="417">
        <v>-197777</v>
      </c>
      <c r="AO358" s="417">
        <v>-189196</v>
      </c>
      <c r="AP358" s="417">
        <v>-144043</v>
      </c>
      <c r="AQ358" s="417">
        <v>0</v>
      </c>
      <c r="AR358" s="417">
        <v>0</v>
      </c>
    </row>
    <row r="359" spans="1:44">
      <c r="A359" s="377">
        <v>93617</v>
      </c>
      <c r="B359" t="s">
        <v>1063</v>
      </c>
      <c r="C359" s="378">
        <v>9.7700000000000003E-5</v>
      </c>
      <c r="D359" s="378"/>
      <c r="E359" s="417">
        <v>39257</v>
      </c>
      <c r="F359" s="417">
        <v>17722</v>
      </c>
      <c r="G359" s="417">
        <v>215</v>
      </c>
      <c r="H359" s="417">
        <v>-65505</v>
      </c>
      <c r="I359" s="417">
        <v>0</v>
      </c>
      <c r="J359" s="378">
        <v>9.7700000000000003E-5</v>
      </c>
      <c r="K359" s="378"/>
      <c r="L359" s="417">
        <v>23918</v>
      </c>
      <c r="M359" s="417">
        <v>16518</v>
      </c>
      <c r="N359" s="417">
        <v>7231</v>
      </c>
      <c r="O359" s="417">
        <v>0</v>
      </c>
      <c r="P359" s="417">
        <v>0</v>
      </c>
      <c r="Q359" s="378">
        <v>9.7700000000000003E-5</v>
      </c>
      <c r="R359" s="378"/>
      <c r="S359" s="417">
        <v>-49081</v>
      </c>
      <c r="T359" s="417">
        <v>-48513</v>
      </c>
      <c r="U359" s="417">
        <v>-50965</v>
      </c>
      <c r="V359" s="417">
        <v>-65505</v>
      </c>
      <c r="W359" s="417">
        <v>0</v>
      </c>
      <c r="X359" s="378">
        <v>9.7700000000000003E-5</v>
      </c>
      <c r="Z359" s="417">
        <v>39139</v>
      </c>
      <c r="AA359" s="417">
        <v>27497</v>
      </c>
      <c r="AB359" s="417">
        <v>27497</v>
      </c>
      <c r="AC359" s="417">
        <v>0</v>
      </c>
      <c r="AD359" s="417">
        <v>0</v>
      </c>
      <c r="AE359" s="378">
        <v>9.7700000000000003E-5</v>
      </c>
      <c r="AF359" s="378"/>
      <c r="AG359" s="417">
        <v>25281</v>
      </c>
      <c r="AH359" s="417">
        <v>22220</v>
      </c>
      <c r="AI359" s="417">
        <v>16452</v>
      </c>
      <c r="AJ359" s="417">
        <v>0</v>
      </c>
      <c r="AK359" s="417">
        <v>0</v>
      </c>
      <c r="AL359" s="378">
        <v>9.7700000000000003E-5</v>
      </c>
      <c r="AM359" s="378"/>
      <c r="AN359" s="417">
        <v>0</v>
      </c>
      <c r="AO359" s="417">
        <v>0</v>
      </c>
      <c r="AP359" s="417">
        <v>0</v>
      </c>
      <c r="AQ359" s="417">
        <v>0</v>
      </c>
      <c r="AR359" s="417">
        <v>0</v>
      </c>
    </row>
    <row r="360" spans="1:44">
      <c r="A360" s="377">
        <v>93618</v>
      </c>
      <c r="B360" t="s">
        <v>1064</v>
      </c>
      <c r="C360" s="378">
        <v>7.7999999999999999E-6</v>
      </c>
      <c r="D360" s="378"/>
      <c r="E360" s="417">
        <v>16708</v>
      </c>
      <c r="F360" s="417">
        <v>11373</v>
      </c>
      <c r="G360" s="417">
        <v>4776</v>
      </c>
      <c r="H360" s="417">
        <v>-5230</v>
      </c>
      <c r="I360" s="417">
        <v>0</v>
      </c>
      <c r="J360" s="378">
        <v>7.7999999999999999E-6</v>
      </c>
      <c r="K360" s="378"/>
      <c r="L360" s="417">
        <v>1910</v>
      </c>
      <c r="M360" s="417">
        <v>1319</v>
      </c>
      <c r="N360" s="417">
        <v>577</v>
      </c>
      <c r="O360" s="417">
        <v>0</v>
      </c>
      <c r="P360" s="417">
        <v>0</v>
      </c>
      <c r="Q360" s="378">
        <v>7.7999999999999999E-6</v>
      </c>
      <c r="R360" s="378"/>
      <c r="S360" s="417">
        <v>-3918</v>
      </c>
      <c r="T360" s="417">
        <v>-3873</v>
      </c>
      <c r="U360" s="417">
        <v>-4069</v>
      </c>
      <c r="V360" s="417">
        <v>-5230</v>
      </c>
      <c r="W360" s="417">
        <v>0</v>
      </c>
      <c r="X360" s="378">
        <v>7.7999999999999999E-6</v>
      </c>
      <c r="Z360" s="417">
        <v>3125</v>
      </c>
      <c r="AA360" s="417">
        <v>2195</v>
      </c>
      <c r="AB360" s="417">
        <v>2195</v>
      </c>
      <c r="AC360" s="417">
        <v>0</v>
      </c>
      <c r="AD360" s="417">
        <v>0</v>
      </c>
      <c r="AE360" s="378">
        <v>7.7999999999999999E-6</v>
      </c>
      <c r="AF360" s="378"/>
      <c r="AG360" s="417">
        <v>15591</v>
      </c>
      <c r="AH360" s="417">
        <v>11732</v>
      </c>
      <c r="AI360" s="417">
        <v>6073</v>
      </c>
      <c r="AJ360" s="417">
        <v>0</v>
      </c>
      <c r="AK360" s="417">
        <v>0</v>
      </c>
      <c r="AL360" s="378">
        <v>7.7999999999999999E-6</v>
      </c>
      <c r="AM360" s="378"/>
      <c r="AN360" s="417">
        <v>0</v>
      </c>
      <c r="AO360" s="417">
        <v>0</v>
      </c>
      <c r="AP360" s="417">
        <v>0</v>
      </c>
      <c r="AQ360" s="417">
        <v>0</v>
      </c>
      <c r="AR360" s="417">
        <v>0</v>
      </c>
    </row>
    <row r="361" spans="1:44">
      <c r="A361" s="377">
        <v>93621</v>
      </c>
      <c r="B361" t="s">
        <v>1065</v>
      </c>
      <c r="C361" s="378">
        <v>1.1558E-3</v>
      </c>
      <c r="D361" s="378"/>
      <c r="E361" s="417">
        <v>188025</v>
      </c>
      <c r="F361" s="417">
        <v>-34230</v>
      </c>
      <c r="G361" s="417">
        <v>-197081</v>
      </c>
      <c r="H361" s="417">
        <v>-774934</v>
      </c>
      <c r="I361" s="417">
        <v>0</v>
      </c>
      <c r="J361" s="378">
        <v>1.1558E-3</v>
      </c>
      <c r="K361" s="378"/>
      <c r="L361" s="417">
        <v>282949</v>
      </c>
      <c r="M361" s="417">
        <v>195413</v>
      </c>
      <c r="N361" s="417">
        <v>85543</v>
      </c>
      <c r="O361" s="417">
        <v>0</v>
      </c>
      <c r="P361" s="417">
        <v>0</v>
      </c>
      <c r="Q361" s="378">
        <v>1.1558E-3</v>
      </c>
      <c r="R361" s="378"/>
      <c r="S361" s="417">
        <v>-580637</v>
      </c>
      <c r="T361" s="417">
        <v>-573918</v>
      </c>
      <c r="U361" s="417">
        <v>-602924</v>
      </c>
      <c r="V361" s="417">
        <v>-774934</v>
      </c>
      <c r="W361" s="417">
        <v>0</v>
      </c>
      <c r="X361" s="378">
        <v>1.1558E-3</v>
      </c>
      <c r="Z361" s="417">
        <v>463016</v>
      </c>
      <c r="AA361" s="417">
        <v>325294</v>
      </c>
      <c r="AB361" s="417">
        <v>325292</v>
      </c>
      <c r="AC361" s="417">
        <v>0</v>
      </c>
      <c r="AD361" s="417">
        <v>0</v>
      </c>
      <c r="AE361" s="378">
        <v>1.1558E-3</v>
      </c>
      <c r="AF361" s="378"/>
      <c r="AG361" s="417">
        <v>29362</v>
      </c>
      <c r="AH361" s="417">
        <v>25648</v>
      </c>
      <c r="AI361" s="417">
        <v>0</v>
      </c>
      <c r="AJ361" s="417">
        <v>0</v>
      </c>
      <c r="AK361" s="417">
        <v>0</v>
      </c>
      <c r="AL361" s="378">
        <v>1.1558E-3</v>
      </c>
      <c r="AM361" s="378"/>
      <c r="AN361" s="417">
        <v>-6665</v>
      </c>
      <c r="AO361" s="417">
        <v>-6667</v>
      </c>
      <c r="AP361" s="417">
        <v>-4992</v>
      </c>
      <c r="AQ361" s="417">
        <v>0</v>
      </c>
      <c r="AR361" s="417">
        <v>0</v>
      </c>
    </row>
    <row r="362" spans="1:44">
      <c r="A362" s="377">
        <v>93623</v>
      </c>
      <c r="B362" t="s">
        <v>1066</v>
      </c>
      <c r="C362" s="378">
        <v>1.04E-5</v>
      </c>
      <c r="D362" s="378"/>
      <c r="E362" s="417">
        <v>2202</v>
      </c>
      <c r="F362" s="417">
        <v>-121</v>
      </c>
      <c r="G362" s="417">
        <v>-1949</v>
      </c>
      <c r="H362" s="417">
        <v>-6973</v>
      </c>
      <c r="I362" s="417">
        <v>0</v>
      </c>
      <c r="J362" s="378">
        <v>1.04E-5</v>
      </c>
      <c r="K362" s="378"/>
      <c r="L362" s="417">
        <v>2546</v>
      </c>
      <c r="M362" s="417">
        <v>1758</v>
      </c>
      <c r="N362" s="417">
        <v>770</v>
      </c>
      <c r="O362" s="417">
        <v>0</v>
      </c>
      <c r="P362" s="417">
        <v>0</v>
      </c>
      <c r="Q362" s="378">
        <v>1.04E-5</v>
      </c>
      <c r="R362" s="378"/>
      <c r="S362" s="417">
        <v>-5225</v>
      </c>
      <c r="T362" s="417">
        <v>-5164</v>
      </c>
      <c r="U362" s="417">
        <v>-5425</v>
      </c>
      <c r="V362" s="417">
        <v>-6973</v>
      </c>
      <c r="W362" s="417">
        <v>0</v>
      </c>
      <c r="X362" s="378">
        <v>1.04E-5</v>
      </c>
      <c r="Z362" s="417">
        <v>4166</v>
      </c>
      <c r="AA362" s="417">
        <v>2927</v>
      </c>
      <c r="AB362" s="417">
        <v>2927</v>
      </c>
      <c r="AC362" s="417">
        <v>0</v>
      </c>
      <c r="AD362" s="417">
        <v>0</v>
      </c>
      <c r="AE362" s="378">
        <v>1.04E-5</v>
      </c>
      <c r="AF362" s="378"/>
      <c r="AG362" s="417">
        <v>938</v>
      </c>
      <c r="AH362" s="417">
        <v>581</v>
      </c>
      <c r="AI362" s="417">
        <v>0</v>
      </c>
      <c r="AJ362" s="417">
        <v>0</v>
      </c>
      <c r="AK362" s="417">
        <v>0</v>
      </c>
      <c r="AL362" s="378">
        <v>1.04E-5</v>
      </c>
      <c r="AM362" s="378"/>
      <c r="AN362" s="417">
        <v>-223</v>
      </c>
      <c r="AO362" s="417">
        <v>-223</v>
      </c>
      <c r="AP362" s="417">
        <v>-221</v>
      </c>
      <c r="AQ362" s="417">
        <v>0</v>
      </c>
      <c r="AR362" s="417">
        <v>0</v>
      </c>
    </row>
    <row r="363" spans="1:44">
      <c r="A363" s="377">
        <v>93631</v>
      </c>
      <c r="B363" t="s">
        <v>1067</v>
      </c>
      <c r="C363" s="378">
        <v>2.4949999999999999E-4</v>
      </c>
      <c r="D363" s="378"/>
      <c r="E363" s="417">
        <v>24764</v>
      </c>
      <c r="F363" s="417">
        <v>-21363</v>
      </c>
      <c r="G363" s="417">
        <v>-65067</v>
      </c>
      <c r="H363" s="417">
        <v>-167283</v>
      </c>
      <c r="I363" s="417">
        <v>0</v>
      </c>
      <c r="J363" s="378">
        <v>2.4949999999999999E-4</v>
      </c>
      <c r="K363" s="378"/>
      <c r="L363" s="417">
        <v>61080</v>
      </c>
      <c r="M363" s="417">
        <v>42183</v>
      </c>
      <c r="N363" s="417">
        <v>18466</v>
      </c>
      <c r="O363" s="417">
        <v>0</v>
      </c>
      <c r="P363" s="417">
        <v>0</v>
      </c>
      <c r="Q363" s="378">
        <v>2.4949999999999999E-4</v>
      </c>
      <c r="R363" s="378"/>
      <c r="S363" s="417">
        <v>-125341</v>
      </c>
      <c r="T363" s="417">
        <v>-123890</v>
      </c>
      <c r="U363" s="417">
        <v>-130152</v>
      </c>
      <c r="V363" s="417">
        <v>-167283</v>
      </c>
      <c r="W363" s="417">
        <v>0</v>
      </c>
      <c r="X363" s="378">
        <v>2.4949999999999999E-4</v>
      </c>
      <c r="Z363" s="417">
        <v>99950</v>
      </c>
      <c r="AA363" s="417">
        <v>70221</v>
      </c>
      <c r="AB363" s="417">
        <v>70220</v>
      </c>
      <c r="AC363" s="417">
        <v>0</v>
      </c>
      <c r="AD363" s="417">
        <v>0</v>
      </c>
      <c r="AE363" s="378">
        <v>2.4949999999999999E-4</v>
      </c>
      <c r="AF363" s="378"/>
      <c r="AG363" s="417">
        <v>13727</v>
      </c>
      <c r="AH363" s="417">
        <v>13725</v>
      </c>
      <c r="AI363" s="417">
        <v>0</v>
      </c>
      <c r="AJ363" s="417">
        <v>0</v>
      </c>
      <c r="AK363" s="417">
        <v>0</v>
      </c>
      <c r="AL363" s="378">
        <v>2.4949999999999999E-4</v>
      </c>
      <c r="AM363" s="378"/>
      <c r="AN363" s="417">
        <v>-24652</v>
      </c>
      <c r="AO363" s="417">
        <v>-23602</v>
      </c>
      <c r="AP363" s="417">
        <v>-23601</v>
      </c>
      <c r="AQ363" s="417">
        <v>0</v>
      </c>
      <c r="AR363" s="417">
        <v>0</v>
      </c>
    </row>
    <row r="364" spans="1:44">
      <c r="A364" s="377">
        <v>93641</v>
      </c>
      <c r="B364" t="s">
        <v>1068</v>
      </c>
      <c r="C364" s="378">
        <v>3.881E-4</v>
      </c>
      <c r="D364" s="378"/>
      <c r="E364" s="417">
        <v>88200</v>
      </c>
      <c r="F364" s="417">
        <v>15366</v>
      </c>
      <c r="G364" s="417">
        <v>-46285</v>
      </c>
      <c r="H364" s="417">
        <v>-260211</v>
      </c>
      <c r="I364" s="417">
        <v>0</v>
      </c>
      <c r="J364" s="378">
        <v>3.881E-4</v>
      </c>
      <c r="K364" s="378"/>
      <c r="L364" s="417">
        <v>95010</v>
      </c>
      <c r="M364" s="417">
        <v>65617</v>
      </c>
      <c r="N364" s="417">
        <v>28724</v>
      </c>
      <c r="O364" s="417">
        <v>0</v>
      </c>
      <c r="P364" s="417">
        <v>0</v>
      </c>
      <c r="Q364" s="378">
        <v>3.881E-4</v>
      </c>
      <c r="R364" s="378"/>
      <c r="S364" s="417">
        <v>-194969</v>
      </c>
      <c r="T364" s="417">
        <v>-192713</v>
      </c>
      <c r="U364" s="417">
        <v>-202453</v>
      </c>
      <c r="V364" s="417">
        <v>-260211</v>
      </c>
      <c r="W364" s="417">
        <v>0</v>
      </c>
      <c r="X364" s="378">
        <v>3.881E-4</v>
      </c>
      <c r="Z364" s="417">
        <v>155474</v>
      </c>
      <c r="AA364" s="417">
        <v>109229</v>
      </c>
      <c r="AB364" s="417">
        <v>109228</v>
      </c>
      <c r="AC364" s="417">
        <v>0</v>
      </c>
      <c r="AD364" s="417">
        <v>0</v>
      </c>
      <c r="AE364" s="378">
        <v>3.881E-4</v>
      </c>
      <c r="AF364" s="378"/>
      <c r="AG364" s="417">
        <v>33230</v>
      </c>
      <c r="AH364" s="417">
        <v>33233</v>
      </c>
      <c r="AI364" s="417">
        <v>18216</v>
      </c>
      <c r="AJ364" s="417">
        <v>0</v>
      </c>
      <c r="AK364" s="417">
        <v>0</v>
      </c>
      <c r="AL364" s="378">
        <v>3.881E-4</v>
      </c>
      <c r="AM364" s="378"/>
      <c r="AN364" s="417">
        <v>-545</v>
      </c>
      <c r="AO364" s="417">
        <v>0</v>
      </c>
      <c r="AP364" s="417">
        <v>0</v>
      </c>
      <c r="AQ364" s="417">
        <v>0</v>
      </c>
      <c r="AR364" s="417">
        <v>0</v>
      </c>
    </row>
    <row r="365" spans="1:44">
      <c r="A365" s="377">
        <v>93647</v>
      </c>
      <c r="B365" t="s">
        <v>1069</v>
      </c>
      <c r="C365" s="378">
        <v>4.6999999999999999E-6</v>
      </c>
      <c r="D365" s="378"/>
      <c r="E365" s="417">
        <v>5913</v>
      </c>
      <c r="F365" s="417">
        <v>3636</v>
      </c>
      <c r="G365" s="417">
        <v>1567</v>
      </c>
      <c r="H365" s="417">
        <v>-3151</v>
      </c>
      <c r="I365" s="417">
        <v>0</v>
      </c>
      <c r="J365" s="378">
        <v>4.6999999999999999E-6</v>
      </c>
      <c r="K365" s="378"/>
      <c r="L365" s="417">
        <v>1151</v>
      </c>
      <c r="M365" s="417">
        <v>795</v>
      </c>
      <c r="N365" s="417">
        <v>348</v>
      </c>
      <c r="O365" s="417">
        <v>0</v>
      </c>
      <c r="P365" s="417">
        <v>0</v>
      </c>
      <c r="Q365" s="378">
        <v>4.6999999999999999E-6</v>
      </c>
      <c r="R365" s="378"/>
      <c r="S365" s="417">
        <v>-2361</v>
      </c>
      <c r="T365" s="417">
        <v>-2334</v>
      </c>
      <c r="U365" s="417">
        <v>-2452</v>
      </c>
      <c r="V365" s="417">
        <v>-3151</v>
      </c>
      <c r="W365" s="417">
        <v>0</v>
      </c>
      <c r="X365" s="378">
        <v>4.6999999999999999E-6</v>
      </c>
      <c r="Z365" s="417">
        <v>1883</v>
      </c>
      <c r="AA365" s="417">
        <v>1323</v>
      </c>
      <c r="AB365" s="417">
        <v>1323</v>
      </c>
      <c r="AC365" s="417">
        <v>0</v>
      </c>
      <c r="AD365" s="417">
        <v>0</v>
      </c>
      <c r="AE365" s="378">
        <v>4.6999999999999999E-6</v>
      </c>
      <c r="AF365" s="378"/>
      <c r="AG365" s="417">
        <v>5240</v>
      </c>
      <c r="AH365" s="417">
        <v>3852</v>
      </c>
      <c r="AI365" s="417">
        <v>2348</v>
      </c>
      <c r="AJ365" s="417">
        <v>0</v>
      </c>
      <c r="AK365" s="417">
        <v>0</v>
      </c>
      <c r="AL365" s="378">
        <v>4.6999999999999999E-6</v>
      </c>
      <c r="AM365" s="378"/>
      <c r="AN365" s="417">
        <v>0</v>
      </c>
      <c r="AO365" s="417">
        <v>0</v>
      </c>
      <c r="AP365" s="417">
        <v>0</v>
      </c>
      <c r="AQ365" s="417">
        <v>0</v>
      </c>
      <c r="AR365" s="417">
        <v>0</v>
      </c>
    </row>
    <row r="366" spans="1:44">
      <c r="A366" s="377">
        <v>93651</v>
      </c>
      <c r="B366" t="s">
        <v>1070</v>
      </c>
      <c r="C366" s="378">
        <v>4.462E-4</v>
      </c>
      <c r="D366" s="378"/>
      <c r="E366" s="417">
        <v>49195</v>
      </c>
      <c r="F366" s="417">
        <v>-34126</v>
      </c>
      <c r="G366" s="417">
        <v>-82991</v>
      </c>
      <c r="H366" s="417">
        <v>-299165</v>
      </c>
      <c r="I366" s="417">
        <v>0</v>
      </c>
      <c r="J366" s="378">
        <v>4.462E-4</v>
      </c>
      <c r="K366" s="378"/>
      <c r="L366" s="417">
        <v>109233</v>
      </c>
      <c r="M366" s="417">
        <v>75440</v>
      </c>
      <c r="N366" s="417">
        <v>33024</v>
      </c>
      <c r="O366" s="417">
        <v>0</v>
      </c>
      <c r="P366" s="417">
        <v>0</v>
      </c>
      <c r="Q366" s="378">
        <v>4.462E-4</v>
      </c>
      <c r="R366" s="378"/>
      <c r="S366" s="417">
        <v>-224157</v>
      </c>
      <c r="T366" s="417">
        <v>-221563</v>
      </c>
      <c r="U366" s="417">
        <v>-232761</v>
      </c>
      <c r="V366" s="417">
        <v>-299165</v>
      </c>
      <c r="W366" s="417">
        <v>0</v>
      </c>
      <c r="X366" s="378">
        <v>4.462E-4</v>
      </c>
      <c r="Z366" s="417">
        <v>178749</v>
      </c>
      <c r="AA366" s="417">
        <v>125581</v>
      </c>
      <c r="AB366" s="417">
        <v>125580</v>
      </c>
      <c r="AC366" s="417">
        <v>0</v>
      </c>
      <c r="AD366" s="417">
        <v>0</v>
      </c>
      <c r="AE366" s="378">
        <v>4.462E-4</v>
      </c>
      <c r="AF366" s="378"/>
      <c r="AG366" s="417">
        <v>861</v>
      </c>
      <c r="AH366" s="417">
        <v>862</v>
      </c>
      <c r="AI366" s="417">
        <v>0</v>
      </c>
      <c r="AJ366" s="417">
        <v>0</v>
      </c>
      <c r="AK366" s="417">
        <v>0</v>
      </c>
      <c r="AL366" s="378">
        <v>4.462E-4</v>
      </c>
      <c r="AM366" s="378"/>
      <c r="AN366" s="417">
        <v>-15491</v>
      </c>
      <c r="AO366" s="417">
        <v>-14446</v>
      </c>
      <c r="AP366" s="417">
        <v>-8834</v>
      </c>
      <c r="AQ366" s="417">
        <v>0</v>
      </c>
      <c r="AR366" s="417">
        <v>0</v>
      </c>
    </row>
    <row r="367" spans="1:44">
      <c r="A367" s="377">
        <v>93661</v>
      </c>
      <c r="B367" t="s">
        <v>1071</v>
      </c>
      <c r="C367" s="378">
        <v>1.3999999999999999E-4</v>
      </c>
      <c r="D367" s="378"/>
      <c r="E367" s="417">
        <v>24441</v>
      </c>
      <c r="F367" s="417">
        <v>-3135</v>
      </c>
      <c r="G367" s="417">
        <v>-26523</v>
      </c>
      <c r="H367" s="417">
        <v>-93866</v>
      </c>
      <c r="I367" s="417">
        <v>0</v>
      </c>
      <c r="J367" s="378">
        <v>1.3999999999999999E-4</v>
      </c>
      <c r="K367" s="378"/>
      <c r="L367" s="417">
        <v>34273</v>
      </c>
      <c r="M367" s="417">
        <v>23670</v>
      </c>
      <c r="N367" s="417">
        <v>10362</v>
      </c>
      <c r="O367" s="417">
        <v>0</v>
      </c>
      <c r="P367" s="417">
        <v>0</v>
      </c>
      <c r="Q367" s="378">
        <v>1.3999999999999999E-4</v>
      </c>
      <c r="R367" s="378"/>
      <c r="S367" s="417">
        <v>-70332</v>
      </c>
      <c r="T367" s="417">
        <v>-69518</v>
      </c>
      <c r="U367" s="417">
        <v>-73031</v>
      </c>
      <c r="V367" s="417">
        <v>-93866</v>
      </c>
      <c r="W367" s="417">
        <v>0</v>
      </c>
      <c r="X367" s="378">
        <v>1.3999999999999999E-4</v>
      </c>
      <c r="Z367" s="417">
        <v>56084</v>
      </c>
      <c r="AA367" s="417">
        <v>39402</v>
      </c>
      <c r="AB367" s="417">
        <v>39402</v>
      </c>
      <c r="AC367" s="417">
        <v>0</v>
      </c>
      <c r="AD367" s="417">
        <v>0</v>
      </c>
      <c r="AE367" s="378">
        <v>1.3999999999999999E-4</v>
      </c>
      <c r="AF367" s="378"/>
      <c r="AG367" s="417">
        <v>10042</v>
      </c>
      <c r="AH367" s="417">
        <v>8937</v>
      </c>
      <c r="AI367" s="417">
        <v>0</v>
      </c>
      <c r="AJ367" s="417">
        <v>0</v>
      </c>
      <c r="AK367" s="417">
        <v>0</v>
      </c>
      <c r="AL367" s="378">
        <v>1.3999999999999999E-4</v>
      </c>
      <c r="AM367" s="378"/>
      <c r="AN367" s="417">
        <v>-5626</v>
      </c>
      <c r="AO367" s="417">
        <v>-5626</v>
      </c>
      <c r="AP367" s="417">
        <v>-3256</v>
      </c>
      <c r="AQ367" s="417">
        <v>0</v>
      </c>
      <c r="AR367" s="417">
        <v>0</v>
      </c>
    </row>
    <row r="368" spans="1:44">
      <c r="A368" s="377">
        <v>93671</v>
      </c>
      <c r="B368" t="s">
        <v>1072</v>
      </c>
      <c r="C368" s="378">
        <v>3.6230000000000002E-4</v>
      </c>
      <c r="D368" s="378"/>
      <c r="E368" s="417">
        <v>76166</v>
      </c>
      <c r="F368" s="417">
        <v>6149</v>
      </c>
      <c r="G368" s="417">
        <v>-53011</v>
      </c>
      <c r="H368" s="417">
        <v>-242913</v>
      </c>
      <c r="I368" s="417">
        <v>0</v>
      </c>
      <c r="J368" s="378">
        <v>3.6230000000000002E-4</v>
      </c>
      <c r="K368" s="378"/>
      <c r="L368" s="417">
        <v>88694</v>
      </c>
      <c r="M368" s="417">
        <v>61255</v>
      </c>
      <c r="N368" s="417">
        <v>26815</v>
      </c>
      <c r="O368" s="417">
        <v>0</v>
      </c>
      <c r="P368" s="417">
        <v>0</v>
      </c>
      <c r="Q368" s="378">
        <v>3.6230000000000002E-4</v>
      </c>
      <c r="R368" s="378"/>
      <c r="S368" s="417">
        <v>-182008</v>
      </c>
      <c r="T368" s="417">
        <v>-179902</v>
      </c>
      <c r="U368" s="417">
        <v>-188994</v>
      </c>
      <c r="V368" s="417">
        <v>-242913</v>
      </c>
      <c r="W368" s="417">
        <v>0</v>
      </c>
      <c r="X368" s="378">
        <v>3.6230000000000002E-4</v>
      </c>
      <c r="Z368" s="417">
        <v>145138</v>
      </c>
      <c r="AA368" s="417">
        <v>101968</v>
      </c>
      <c r="AB368" s="417">
        <v>101967</v>
      </c>
      <c r="AC368" s="417">
        <v>0</v>
      </c>
      <c r="AD368" s="417">
        <v>0</v>
      </c>
      <c r="AE368" s="378">
        <v>3.6230000000000002E-4</v>
      </c>
      <c r="AF368" s="378"/>
      <c r="AG368" s="417">
        <v>24342</v>
      </c>
      <c r="AH368" s="417">
        <v>22828</v>
      </c>
      <c r="AI368" s="417">
        <v>7201</v>
      </c>
      <c r="AJ368" s="417">
        <v>0</v>
      </c>
      <c r="AK368" s="417">
        <v>0</v>
      </c>
      <c r="AL368" s="378">
        <v>3.6230000000000002E-4</v>
      </c>
      <c r="AM368" s="378"/>
      <c r="AN368" s="417">
        <v>0</v>
      </c>
      <c r="AO368" s="417">
        <v>0</v>
      </c>
      <c r="AP368" s="417">
        <v>0</v>
      </c>
      <c r="AQ368" s="417">
        <v>0</v>
      </c>
      <c r="AR368" s="417">
        <v>0</v>
      </c>
    </row>
    <row r="369" spans="1:44">
      <c r="A369" s="377">
        <v>93681</v>
      </c>
      <c r="B369" t="s">
        <v>1073</v>
      </c>
      <c r="C369" s="378">
        <v>1.9430000000000001E-4</v>
      </c>
      <c r="D369" s="378"/>
      <c r="E369" s="417">
        <v>59465</v>
      </c>
      <c r="F369" s="417">
        <v>21108</v>
      </c>
      <c r="G369" s="417">
        <v>-14797</v>
      </c>
      <c r="H369" s="417">
        <v>-130273</v>
      </c>
      <c r="I369" s="417">
        <v>0</v>
      </c>
      <c r="J369" s="378">
        <v>1.9430000000000001E-4</v>
      </c>
      <c r="K369" s="378"/>
      <c r="L369" s="417">
        <v>47566</v>
      </c>
      <c r="M369" s="417">
        <v>32851</v>
      </c>
      <c r="N369" s="417">
        <v>14381</v>
      </c>
      <c r="O369" s="417">
        <v>0</v>
      </c>
      <c r="P369" s="417">
        <v>0</v>
      </c>
      <c r="Q369" s="378">
        <v>1.9430000000000001E-4</v>
      </c>
      <c r="R369" s="378"/>
      <c r="S369" s="417">
        <v>-97610</v>
      </c>
      <c r="T369" s="417">
        <v>-96481</v>
      </c>
      <c r="U369" s="417">
        <v>-101357</v>
      </c>
      <c r="V369" s="417">
        <v>-130273</v>
      </c>
      <c r="W369" s="417">
        <v>0</v>
      </c>
      <c r="X369" s="378">
        <v>1.9430000000000001E-4</v>
      </c>
      <c r="Z369" s="417">
        <v>77837</v>
      </c>
      <c r="AA369" s="417">
        <v>54685</v>
      </c>
      <c r="AB369" s="417">
        <v>54684</v>
      </c>
      <c r="AC369" s="417">
        <v>0</v>
      </c>
      <c r="AD369" s="417">
        <v>0</v>
      </c>
      <c r="AE369" s="378">
        <v>1.9430000000000001E-4</v>
      </c>
      <c r="AF369" s="378"/>
      <c r="AG369" s="417">
        <v>31672</v>
      </c>
      <c r="AH369" s="417">
        <v>30053</v>
      </c>
      <c r="AI369" s="417">
        <v>17495</v>
      </c>
      <c r="AJ369" s="417">
        <v>0</v>
      </c>
      <c r="AK369" s="417">
        <v>0</v>
      </c>
      <c r="AL369" s="378">
        <v>1.9430000000000001E-4</v>
      </c>
      <c r="AM369" s="378"/>
      <c r="AN369" s="417">
        <v>0</v>
      </c>
      <c r="AO369" s="417">
        <v>0</v>
      </c>
      <c r="AP369" s="417">
        <v>0</v>
      </c>
      <c r="AQ369" s="417">
        <v>0</v>
      </c>
      <c r="AR369" s="417">
        <v>0</v>
      </c>
    </row>
    <row r="370" spans="1:44">
      <c r="A370" s="377">
        <v>93691</v>
      </c>
      <c r="B370" t="s">
        <v>1074</v>
      </c>
      <c r="C370" s="378">
        <v>9.9149999999999998E-4</v>
      </c>
      <c r="D370" s="378"/>
      <c r="E370" s="417">
        <v>59541</v>
      </c>
      <c r="F370" s="417">
        <v>-117391</v>
      </c>
      <c r="G370" s="417">
        <v>-233721</v>
      </c>
      <c r="H370" s="417">
        <v>-664775</v>
      </c>
      <c r="I370" s="417">
        <v>0</v>
      </c>
      <c r="J370" s="378">
        <v>9.9149999999999998E-4</v>
      </c>
      <c r="K370" s="378"/>
      <c r="L370" s="417">
        <v>242727</v>
      </c>
      <c r="M370" s="417">
        <v>167635</v>
      </c>
      <c r="N370" s="417">
        <v>73383</v>
      </c>
      <c r="O370" s="417">
        <v>0</v>
      </c>
      <c r="P370" s="417">
        <v>0</v>
      </c>
      <c r="Q370" s="378">
        <v>9.9149999999999998E-4</v>
      </c>
      <c r="R370" s="378"/>
      <c r="S370" s="417">
        <v>-498098</v>
      </c>
      <c r="T370" s="417">
        <v>-492334</v>
      </c>
      <c r="U370" s="417">
        <v>-517217</v>
      </c>
      <c r="V370" s="417">
        <v>-664775</v>
      </c>
      <c r="W370" s="417">
        <v>0</v>
      </c>
      <c r="X370" s="378">
        <v>9.9149999999999998E-4</v>
      </c>
      <c r="Z370" s="417">
        <v>397197</v>
      </c>
      <c r="AA370" s="417">
        <v>279053</v>
      </c>
      <c r="AB370" s="417">
        <v>279051</v>
      </c>
      <c r="AC370" s="417">
        <v>0</v>
      </c>
      <c r="AD370" s="417">
        <v>0</v>
      </c>
      <c r="AE370" s="378">
        <v>9.9149999999999998E-4</v>
      </c>
      <c r="AF370" s="378"/>
      <c r="AG370" s="417">
        <v>5653</v>
      </c>
      <c r="AH370" s="417">
        <v>5651</v>
      </c>
      <c r="AI370" s="417">
        <v>0</v>
      </c>
      <c r="AJ370" s="417">
        <v>0</v>
      </c>
      <c r="AK370" s="417">
        <v>0</v>
      </c>
      <c r="AL370" s="378">
        <v>9.9149999999999998E-4</v>
      </c>
      <c r="AM370" s="378"/>
      <c r="AN370" s="417">
        <v>-87938</v>
      </c>
      <c r="AO370" s="417">
        <v>-77396</v>
      </c>
      <c r="AP370" s="417">
        <v>-68938</v>
      </c>
      <c r="AQ370" s="417">
        <v>0</v>
      </c>
      <c r="AR370" s="417">
        <v>0</v>
      </c>
    </row>
    <row r="371" spans="1:44">
      <c r="A371" s="377">
        <v>93701</v>
      </c>
      <c r="B371" t="s">
        <v>1935</v>
      </c>
      <c r="C371" s="378">
        <v>4.0969999999999998E-4</v>
      </c>
      <c r="D371" s="378"/>
      <c r="E371" s="417">
        <v>39561</v>
      </c>
      <c r="F371" s="417">
        <v>-37673</v>
      </c>
      <c r="G371" s="417">
        <v>-78356</v>
      </c>
      <c r="H371" s="417">
        <v>-274693</v>
      </c>
      <c r="I371" s="417">
        <v>0</v>
      </c>
      <c r="J371" s="378">
        <v>4.0969999999999998E-4</v>
      </c>
      <c r="K371" s="378"/>
      <c r="L371" s="417">
        <v>100298</v>
      </c>
      <c r="M371" s="417">
        <v>69269</v>
      </c>
      <c r="N371" s="417">
        <v>30323</v>
      </c>
      <c r="O371" s="417">
        <v>0</v>
      </c>
      <c r="P371" s="417">
        <v>0</v>
      </c>
      <c r="Q371" s="378">
        <v>4.0969999999999998E-4</v>
      </c>
      <c r="R371" s="378"/>
      <c r="S371" s="417">
        <v>-205820</v>
      </c>
      <c r="T371" s="417">
        <v>-203439</v>
      </c>
      <c r="U371" s="417">
        <v>-213720</v>
      </c>
      <c r="V371" s="417">
        <v>-274693</v>
      </c>
      <c r="W371" s="417">
        <v>0</v>
      </c>
      <c r="X371" s="378">
        <v>4.0969999999999998E-4</v>
      </c>
      <c r="Z371" s="417">
        <v>164127</v>
      </c>
      <c r="AA371" s="417">
        <v>115308</v>
      </c>
      <c r="AB371" s="417">
        <v>115307</v>
      </c>
      <c r="AC371" s="417">
        <v>0</v>
      </c>
      <c r="AD371" s="417">
        <v>0</v>
      </c>
      <c r="AE371" s="378">
        <v>4.0969999999999998E-4</v>
      </c>
      <c r="AF371" s="378"/>
      <c r="AG371" s="417">
        <v>0</v>
      </c>
      <c r="AH371" s="417">
        <v>0</v>
      </c>
      <c r="AI371" s="417">
        <v>0</v>
      </c>
      <c r="AJ371" s="417">
        <v>0</v>
      </c>
      <c r="AK371" s="417">
        <v>0</v>
      </c>
      <c r="AL371" s="378">
        <v>4.0969999999999998E-4</v>
      </c>
      <c r="AM371" s="378"/>
      <c r="AN371" s="417">
        <v>-19044</v>
      </c>
      <c r="AO371" s="417">
        <v>-18811</v>
      </c>
      <c r="AP371" s="417">
        <v>-10266</v>
      </c>
      <c r="AQ371" s="417">
        <v>0</v>
      </c>
      <c r="AR371" s="417">
        <v>0</v>
      </c>
    </row>
    <row r="372" spans="1:44">
      <c r="A372" s="377">
        <v>93704</v>
      </c>
      <c r="B372" t="s">
        <v>1076</v>
      </c>
      <c r="C372" s="378">
        <v>1.7999999999999999E-6</v>
      </c>
      <c r="D372" s="378"/>
      <c r="E372" s="417">
        <v>1035</v>
      </c>
      <c r="F372" s="417">
        <v>603</v>
      </c>
      <c r="G372" s="417">
        <v>34</v>
      </c>
      <c r="H372" s="417">
        <v>-1207</v>
      </c>
      <c r="I372" s="417">
        <v>0</v>
      </c>
      <c r="J372" s="378">
        <v>1.7999999999999999E-6</v>
      </c>
      <c r="K372" s="378"/>
      <c r="L372" s="417">
        <v>441</v>
      </c>
      <c r="M372" s="417">
        <v>304</v>
      </c>
      <c r="N372" s="417">
        <v>133</v>
      </c>
      <c r="O372" s="417">
        <v>0</v>
      </c>
      <c r="P372" s="417">
        <v>0</v>
      </c>
      <c r="Q372" s="378">
        <v>1.7999999999999999E-6</v>
      </c>
      <c r="R372" s="378"/>
      <c r="S372" s="417">
        <v>-904</v>
      </c>
      <c r="T372" s="417">
        <v>-894</v>
      </c>
      <c r="U372" s="417">
        <v>-939</v>
      </c>
      <c r="V372" s="417">
        <v>-1207</v>
      </c>
      <c r="W372" s="417">
        <v>0</v>
      </c>
      <c r="X372" s="378">
        <v>1.7999999999999999E-6</v>
      </c>
      <c r="Z372" s="417">
        <v>721</v>
      </c>
      <c r="AA372" s="417">
        <v>507</v>
      </c>
      <c r="AB372" s="417">
        <v>507</v>
      </c>
      <c r="AC372" s="417">
        <v>0</v>
      </c>
      <c r="AD372" s="417">
        <v>0</v>
      </c>
      <c r="AE372" s="378">
        <v>1.7999999999999999E-6</v>
      </c>
      <c r="AF372" s="378"/>
      <c r="AG372" s="417">
        <v>777</v>
      </c>
      <c r="AH372" s="417">
        <v>686</v>
      </c>
      <c r="AI372" s="417">
        <v>333</v>
      </c>
      <c r="AJ372" s="417">
        <v>0</v>
      </c>
      <c r="AK372" s="417">
        <v>0</v>
      </c>
      <c r="AL372" s="378">
        <v>1.7999999999999999E-6</v>
      </c>
      <c r="AM372" s="378"/>
      <c r="AN372" s="417">
        <v>0</v>
      </c>
      <c r="AO372" s="417">
        <v>0</v>
      </c>
      <c r="AP372" s="417">
        <v>0</v>
      </c>
      <c r="AQ372" s="417">
        <v>0</v>
      </c>
      <c r="AR372" s="417">
        <v>0</v>
      </c>
    </row>
    <row r="373" spans="1:44">
      <c r="A373" s="377">
        <v>93801</v>
      </c>
      <c r="B373" t="s">
        <v>1077</v>
      </c>
      <c r="C373" s="378">
        <v>4.4470000000000002E-4</v>
      </c>
      <c r="D373" s="378"/>
      <c r="E373" s="417">
        <v>65049</v>
      </c>
      <c r="F373" s="417">
        <v>-9807</v>
      </c>
      <c r="G373" s="417">
        <v>-67358</v>
      </c>
      <c r="H373" s="417">
        <v>-298160</v>
      </c>
      <c r="I373" s="417">
        <v>0</v>
      </c>
      <c r="J373" s="378">
        <v>4.4470000000000002E-4</v>
      </c>
      <c r="K373" s="378"/>
      <c r="L373" s="417">
        <v>108866</v>
      </c>
      <c r="M373" s="417">
        <v>75186</v>
      </c>
      <c r="N373" s="417">
        <v>32913</v>
      </c>
      <c r="O373" s="417">
        <v>0</v>
      </c>
      <c r="P373" s="417">
        <v>0</v>
      </c>
      <c r="Q373" s="378">
        <v>4.4470000000000002E-4</v>
      </c>
      <c r="R373" s="378"/>
      <c r="S373" s="417">
        <v>-223403</v>
      </c>
      <c r="T373" s="417">
        <v>-220818</v>
      </c>
      <c r="U373" s="417">
        <v>-231978</v>
      </c>
      <c r="V373" s="417">
        <v>-298160</v>
      </c>
      <c r="W373" s="417">
        <v>0</v>
      </c>
      <c r="X373" s="378">
        <v>4.4470000000000002E-4</v>
      </c>
      <c r="Z373" s="417">
        <v>178148</v>
      </c>
      <c r="AA373" s="417">
        <v>125159</v>
      </c>
      <c r="AB373" s="417">
        <v>125158</v>
      </c>
      <c r="AC373" s="417">
        <v>0</v>
      </c>
      <c r="AD373" s="417">
        <v>0</v>
      </c>
      <c r="AE373" s="378">
        <v>4.4470000000000002E-4</v>
      </c>
      <c r="AF373" s="378"/>
      <c r="AG373" s="417">
        <v>12341</v>
      </c>
      <c r="AH373" s="417">
        <v>12340</v>
      </c>
      <c r="AI373" s="417">
        <v>6549</v>
      </c>
      <c r="AJ373" s="417">
        <v>0</v>
      </c>
      <c r="AK373" s="417">
        <v>0</v>
      </c>
      <c r="AL373" s="378">
        <v>4.4470000000000002E-4</v>
      </c>
      <c r="AM373" s="378"/>
      <c r="AN373" s="417">
        <v>-10903</v>
      </c>
      <c r="AO373" s="417">
        <v>-1674</v>
      </c>
      <c r="AP373" s="417">
        <v>0</v>
      </c>
      <c r="AQ373" s="417">
        <v>0</v>
      </c>
      <c r="AR373" s="417">
        <v>0</v>
      </c>
    </row>
    <row r="374" spans="1:44">
      <c r="A374" s="377">
        <v>93803</v>
      </c>
      <c r="B374" t="s">
        <v>1078</v>
      </c>
      <c r="C374" s="378">
        <v>1.138E-4</v>
      </c>
      <c r="D374" s="378"/>
      <c r="E374" s="417">
        <v>20466</v>
      </c>
      <c r="F374" s="417">
        <v>1450</v>
      </c>
      <c r="G374" s="417">
        <v>-13062</v>
      </c>
      <c r="H374" s="417">
        <v>-76300</v>
      </c>
      <c r="I374" s="417">
        <v>0</v>
      </c>
      <c r="J374" s="378">
        <v>1.138E-4</v>
      </c>
      <c r="K374" s="378"/>
      <c r="L374" s="417">
        <v>27859</v>
      </c>
      <c r="M374" s="417">
        <v>19240</v>
      </c>
      <c r="N374" s="417">
        <v>8423</v>
      </c>
      <c r="O374" s="417">
        <v>0</v>
      </c>
      <c r="P374" s="417">
        <v>0</v>
      </c>
      <c r="Q374" s="378">
        <v>1.138E-4</v>
      </c>
      <c r="R374" s="378"/>
      <c r="S374" s="417">
        <v>-57169</v>
      </c>
      <c r="T374" s="417">
        <v>-56508</v>
      </c>
      <c r="U374" s="417">
        <v>-59364</v>
      </c>
      <c r="V374" s="417">
        <v>-76300</v>
      </c>
      <c r="W374" s="417">
        <v>0</v>
      </c>
      <c r="X374" s="378">
        <v>1.138E-4</v>
      </c>
      <c r="Z374" s="417">
        <v>45589</v>
      </c>
      <c r="AA374" s="417">
        <v>32028</v>
      </c>
      <c r="AB374" s="417">
        <v>32028</v>
      </c>
      <c r="AC374" s="417">
        <v>0</v>
      </c>
      <c r="AD374" s="417">
        <v>0</v>
      </c>
      <c r="AE374" s="378">
        <v>1.138E-4</v>
      </c>
      <c r="AF374" s="378"/>
      <c r="AG374" s="417">
        <v>11165</v>
      </c>
      <c r="AH374" s="417">
        <v>11165</v>
      </c>
      <c r="AI374" s="417">
        <v>5851</v>
      </c>
      <c r="AJ374" s="417">
        <v>0</v>
      </c>
      <c r="AK374" s="417">
        <v>0</v>
      </c>
      <c r="AL374" s="378">
        <v>1.138E-4</v>
      </c>
      <c r="AM374" s="378"/>
      <c r="AN374" s="417">
        <v>-6978</v>
      </c>
      <c r="AO374" s="417">
        <v>-4475</v>
      </c>
      <c r="AP374" s="417">
        <v>0</v>
      </c>
      <c r="AQ374" s="417">
        <v>0</v>
      </c>
      <c r="AR374" s="417">
        <v>0</v>
      </c>
    </row>
    <row r="375" spans="1:44">
      <c r="A375" s="377">
        <v>93806</v>
      </c>
      <c r="B375" t="s">
        <v>1079</v>
      </c>
      <c r="C375" s="378">
        <v>7.5599999999999994E-5</v>
      </c>
      <c r="D375" s="378"/>
      <c r="E375" s="417">
        <v>8299</v>
      </c>
      <c r="F375" s="417">
        <v>-3875</v>
      </c>
      <c r="G375" s="417">
        <v>-8209</v>
      </c>
      <c r="H375" s="417">
        <v>-50688</v>
      </c>
      <c r="I375" s="417">
        <v>0</v>
      </c>
      <c r="J375" s="378">
        <v>7.5599999999999994E-5</v>
      </c>
      <c r="K375" s="378"/>
      <c r="L375" s="417">
        <v>18507</v>
      </c>
      <c r="M375" s="417">
        <v>12782</v>
      </c>
      <c r="N375" s="417">
        <v>5595</v>
      </c>
      <c r="O375" s="417">
        <v>0</v>
      </c>
      <c r="P375" s="417">
        <v>0</v>
      </c>
      <c r="Q375" s="378">
        <v>7.5599999999999994E-5</v>
      </c>
      <c r="R375" s="378"/>
      <c r="S375" s="417">
        <v>-37979</v>
      </c>
      <c r="T375" s="417">
        <v>-37540</v>
      </c>
      <c r="U375" s="417">
        <v>-39437</v>
      </c>
      <c r="V375" s="417">
        <v>-50688</v>
      </c>
      <c r="W375" s="417">
        <v>0</v>
      </c>
      <c r="X375" s="378">
        <v>7.5599999999999994E-5</v>
      </c>
      <c r="Z375" s="417">
        <v>30286</v>
      </c>
      <c r="AA375" s="417">
        <v>21277</v>
      </c>
      <c r="AB375" s="417">
        <v>21277</v>
      </c>
      <c r="AC375" s="417">
        <v>0</v>
      </c>
      <c r="AD375" s="417">
        <v>0</v>
      </c>
      <c r="AE375" s="378">
        <v>7.5599999999999994E-5</v>
      </c>
      <c r="AF375" s="378"/>
      <c r="AG375" s="417">
        <v>4771</v>
      </c>
      <c r="AH375" s="417">
        <v>4772</v>
      </c>
      <c r="AI375" s="417">
        <v>4356</v>
      </c>
      <c r="AJ375" s="417">
        <v>0</v>
      </c>
      <c r="AK375" s="417">
        <v>0</v>
      </c>
      <c r="AL375" s="378">
        <v>7.5599999999999994E-5</v>
      </c>
      <c r="AM375" s="378"/>
      <c r="AN375" s="417">
        <v>-7286</v>
      </c>
      <c r="AO375" s="417">
        <v>-5166</v>
      </c>
      <c r="AP375" s="417">
        <v>0</v>
      </c>
      <c r="AQ375" s="417">
        <v>0</v>
      </c>
      <c r="AR375" s="417">
        <v>0</v>
      </c>
    </row>
    <row r="376" spans="1:44">
      <c r="A376" s="377">
        <v>93821</v>
      </c>
      <c r="B376" t="s">
        <v>1080</v>
      </c>
      <c r="C376" s="378">
        <v>6.8899999999999994E-5</v>
      </c>
      <c r="D376" s="378"/>
      <c r="E376" s="417">
        <v>21832</v>
      </c>
      <c r="F376" s="417">
        <v>-1377</v>
      </c>
      <c r="G376" s="417">
        <v>-8633</v>
      </c>
      <c r="H376" s="417">
        <v>-46196</v>
      </c>
      <c r="I376" s="417">
        <v>0</v>
      </c>
      <c r="J376" s="378">
        <v>6.8899999999999994E-5</v>
      </c>
      <c r="K376" s="378"/>
      <c r="L376" s="417">
        <v>16867</v>
      </c>
      <c r="M376" s="417">
        <v>11649</v>
      </c>
      <c r="N376" s="417">
        <v>5099</v>
      </c>
      <c r="O376" s="417">
        <v>0</v>
      </c>
      <c r="P376" s="417">
        <v>0</v>
      </c>
      <c r="Q376" s="378">
        <v>6.8899999999999994E-5</v>
      </c>
      <c r="R376" s="378"/>
      <c r="S376" s="417">
        <v>-34613</v>
      </c>
      <c r="T376" s="417">
        <v>-34213</v>
      </c>
      <c r="U376" s="417">
        <v>-35942</v>
      </c>
      <c r="V376" s="417">
        <v>-46196</v>
      </c>
      <c r="W376" s="417">
        <v>0</v>
      </c>
      <c r="X376" s="378">
        <v>6.8899999999999994E-5</v>
      </c>
      <c r="Z376" s="417">
        <v>27601</v>
      </c>
      <c r="AA376" s="417">
        <v>19392</v>
      </c>
      <c r="AB376" s="417">
        <v>19391</v>
      </c>
      <c r="AC376" s="417">
        <v>0</v>
      </c>
      <c r="AD376" s="417">
        <v>0</v>
      </c>
      <c r="AE376" s="378">
        <v>6.8899999999999994E-5</v>
      </c>
      <c r="AF376" s="378"/>
      <c r="AG376" s="417">
        <v>15182</v>
      </c>
      <c r="AH376" s="417">
        <v>4999</v>
      </c>
      <c r="AI376" s="417">
        <v>2819</v>
      </c>
      <c r="AJ376" s="417">
        <v>0</v>
      </c>
      <c r="AK376" s="417">
        <v>0</v>
      </c>
      <c r="AL376" s="378">
        <v>6.8899999999999994E-5</v>
      </c>
      <c r="AM376" s="378"/>
      <c r="AN376" s="417">
        <v>-3205</v>
      </c>
      <c r="AO376" s="417">
        <v>-3204</v>
      </c>
      <c r="AP376" s="417">
        <v>0</v>
      </c>
      <c r="AQ376" s="417">
        <v>0</v>
      </c>
      <c r="AR376" s="417">
        <v>0</v>
      </c>
    </row>
    <row r="377" spans="1:44">
      <c r="A377" s="377">
        <v>93901</v>
      </c>
      <c r="B377" t="s">
        <v>1081</v>
      </c>
      <c r="C377" s="378">
        <v>1.8913999999999999E-3</v>
      </c>
      <c r="D377" s="378"/>
      <c r="E377" s="417">
        <v>419529</v>
      </c>
      <c r="F377" s="417">
        <v>48014</v>
      </c>
      <c r="G377" s="417">
        <v>-247416</v>
      </c>
      <c r="H377" s="417">
        <v>-1268135</v>
      </c>
      <c r="I377" s="417">
        <v>0</v>
      </c>
      <c r="J377" s="378">
        <v>1.8913999999999999E-3</v>
      </c>
      <c r="K377" s="378"/>
      <c r="L377" s="417">
        <v>463030</v>
      </c>
      <c r="M377" s="417">
        <v>319783</v>
      </c>
      <c r="N377" s="417">
        <v>139986</v>
      </c>
      <c r="O377" s="417">
        <v>0</v>
      </c>
      <c r="P377" s="417">
        <v>0</v>
      </c>
      <c r="Q377" s="378">
        <v>1.8913999999999999E-3</v>
      </c>
      <c r="R377" s="378"/>
      <c r="S377" s="417">
        <v>-950179</v>
      </c>
      <c r="T377" s="417">
        <v>-939184</v>
      </c>
      <c r="U377" s="417">
        <v>-986651</v>
      </c>
      <c r="V377" s="417">
        <v>-1268135</v>
      </c>
      <c r="W377" s="417">
        <v>0</v>
      </c>
      <c r="X377" s="378">
        <v>1.8913999999999999E-3</v>
      </c>
      <c r="Z377" s="417">
        <v>757699</v>
      </c>
      <c r="AA377" s="417">
        <v>532325</v>
      </c>
      <c r="AB377" s="417">
        <v>532321</v>
      </c>
      <c r="AC377" s="417">
        <v>0</v>
      </c>
      <c r="AD377" s="417">
        <v>0</v>
      </c>
      <c r="AE377" s="378">
        <v>1.8913999999999999E-3</v>
      </c>
      <c r="AF377" s="378"/>
      <c r="AG377" s="417">
        <v>148979</v>
      </c>
      <c r="AH377" s="417">
        <v>135090</v>
      </c>
      <c r="AI377" s="417">
        <v>66928</v>
      </c>
      <c r="AJ377" s="417">
        <v>0</v>
      </c>
      <c r="AK377" s="417">
        <v>0</v>
      </c>
      <c r="AL377" s="378">
        <v>1.8913999999999999E-3</v>
      </c>
      <c r="AM377" s="378"/>
      <c r="AN377" s="417">
        <v>0</v>
      </c>
      <c r="AO377" s="417">
        <v>0</v>
      </c>
      <c r="AP377" s="417">
        <v>0</v>
      </c>
      <c r="AQ377" s="417">
        <v>0</v>
      </c>
      <c r="AR377" s="417">
        <v>0</v>
      </c>
    </row>
    <row r="378" spans="1:44">
      <c r="A378" s="377">
        <v>93904</v>
      </c>
      <c r="B378" t="s">
        <v>1082</v>
      </c>
      <c r="C378" s="378">
        <v>3.2700000000000002E-5</v>
      </c>
      <c r="D378" s="378"/>
      <c r="E378" s="417">
        <v>12299</v>
      </c>
      <c r="F378" s="417">
        <v>4669</v>
      </c>
      <c r="G378" s="417">
        <v>-2791</v>
      </c>
      <c r="H378" s="417">
        <v>-21924</v>
      </c>
      <c r="I378" s="417">
        <v>0</v>
      </c>
      <c r="J378" s="378">
        <v>3.2700000000000002E-5</v>
      </c>
      <c r="K378" s="378"/>
      <c r="L378" s="417">
        <v>8005</v>
      </c>
      <c r="M378" s="417">
        <v>5529</v>
      </c>
      <c r="N378" s="417">
        <v>2420</v>
      </c>
      <c r="O378" s="417">
        <v>0</v>
      </c>
      <c r="P378" s="417">
        <v>0</v>
      </c>
      <c r="Q378" s="378">
        <v>3.2700000000000002E-5</v>
      </c>
      <c r="R378" s="378"/>
      <c r="S378" s="417">
        <v>-16427</v>
      </c>
      <c r="T378" s="417">
        <v>-16237</v>
      </c>
      <c r="U378" s="417">
        <v>-17058</v>
      </c>
      <c r="V378" s="417">
        <v>-21924</v>
      </c>
      <c r="W378" s="417">
        <v>0</v>
      </c>
      <c r="X378" s="378">
        <v>3.2700000000000002E-5</v>
      </c>
      <c r="Z378" s="417">
        <v>13100</v>
      </c>
      <c r="AA378" s="417">
        <v>9203</v>
      </c>
      <c r="AB378" s="417">
        <v>9203</v>
      </c>
      <c r="AC378" s="417">
        <v>0</v>
      </c>
      <c r="AD378" s="417">
        <v>0</v>
      </c>
      <c r="AE378" s="378">
        <v>3.2700000000000002E-5</v>
      </c>
      <c r="AF378" s="378"/>
      <c r="AG378" s="417">
        <v>7621</v>
      </c>
      <c r="AH378" s="417">
        <v>6174</v>
      </c>
      <c r="AI378" s="417">
        <v>2644</v>
      </c>
      <c r="AJ378" s="417">
        <v>0</v>
      </c>
      <c r="AK378" s="417">
        <v>0</v>
      </c>
      <c r="AL378" s="378">
        <v>3.2700000000000002E-5</v>
      </c>
      <c r="AM378" s="378"/>
      <c r="AN378" s="417">
        <v>0</v>
      </c>
      <c r="AO378" s="417">
        <v>0</v>
      </c>
      <c r="AP378" s="417">
        <v>0</v>
      </c>
      <c r="AQ378" s="417">
        <v>0</v>
      </c>
      <c r="AR378" s="417">
        <v>0</v>
      </c>
    </row>
    <row r="379" spans="1:44">
      <c r="A379" s="377">
        <v>93906</v>
      </c>
      <c r="B379" t="s">
        <v>1083</v>
      </c>
      <c r="C379" s="378">
        <v>3.3013999999999999E-3</v>
      </c>
      <c r="D379" s="378"/>
      <c r="E379" s="417">
        <v>492040</v>
      </c>
      <c r="F379" s="417">
        <v>-89055</v>
      </c>
      <c r="G379" s="417">
        <v>-447038</v>
      </c>
      <c r="H379" s="417">
        <v>-2213503</v>
      </c>
      <c r="I379" s="417">
        <v>0</v>
      </c>
      <c r="J379" s="378">
        <v>3.3013999999999999E-3</v>
      </c>
      <c r="K379" s="378"/>
      <c r="L379" s="417">
        <v>808209</v>
      </c>
      <c r="M379" s="417">
        <v>558174</v>
      </c>
      <c r="N379" s="417">
        <v>244343</v>
      </c>
      <c r="O379" s="417">
        <v>0</v>
      </c>
      <c r="P379" s="417">
        <v>0</v>
      </c>
      <c r="Q379" s="378">
        <v>3.3013999999999999E-3</v>
      </c>
      <c r="R379" s="378"/>
      <c r="S379" s="417">
        <v>-1658518</v>
      </c>
      <c r="T379" s="417">
        <v>-1639327</v>
      </c>
      <c r="U379" s="417">
        <v>-1722179</v>
      </c>
      <c r="V379" s="417">
        <v>-2213503</v>
      </c>
      <c r="W379" s="417">
        <v>0</v>
      </c>
      <c r="X379" s="378">
        <v>3.3013999999999999E-3</v>
      </c>
      <c r="Z379" s="417">
        <v>1322547</v>
      </c>
      <c r="AA379" s="417">
        <v>929163</v>
      </c>
      <c r="AB379" s="417">
        <v>929156</v>
      </c>
      <c r="AC379" s="417">
        <v>0</v>
      </c>
      <c r="AD379" s="417">
        <v>0</v>
      </c>
      <c r="AE379" s="378">
        <v>3.3013999999999999E-3</v>
      </c>
      <c r="AF379" s="378"/>
      <c r="AG379" s="417">
        <v>101641</v>
      </c>
      <c r="AH379" s="417">
        <v>101641</v>
      </c>
      <c r="AI379" s="417">
        <v>101642</v>
      </c>
      <c r="AJ379" s="417">
        <v>0</v>
      </c>
      <c r="AK379" s="417">
        <v>0</v>
      </c>
      <c r="AL379" s="378">
        <v>3.3013999999999999E-3</v>
      </c>
      <c r="AM379" s="378"/>
      <c r="AN379" s="417">
        <v>-81839</v>
      </c>
      <c r="AO379" s="417">
        <v>-38706</v>
      </c>
      <c r="AP379" s="417">
        <v>0</v>
      </c>
      <c r="AQ379" s="417">
        <v>0</v>
      </c>
      <c r="AR379" s="417">
        <v>0</v>
      </c>
    </row>
    <row r="380" spans="1:44">
      <c r="A380" s="377">
        <v>93908</v>
      </c>
      <c r="B380" t="s">
        <v>1936</v>
      </c>
      <c r="C380" s="378">
        <v>6.1220000000000003E-4</v>
      </c>
      <c r="D380" s="378"/>
      <c r="E380" s="417">
        <v>151190</v>
      </c>
      <c r="F380" s="417">
        <v>40309</v>
      </c>
      <c r="G380" s="417">
        <v>-46133</v>
      </c>
      <c r="H380" s="417">
        <v>-410464</v>
      </c>
      <c r="I380" s="417">
        <v>0</v>
      </c>
      <c r="J380" s="378">
        <v>6.1220000000000003E-4</v>
      </c>
      <c r="K380" s="378"/>
      <c r="L380" s="417">
        <v>149871</v>
      </c>
      <c r="M380" s="417">
        <v>103506</v>
      </c>
      <c r="N380" s="417">
        <v>45310</v>
      </c>
      <c r="O380" s="417">
        <v>0</v>
      </c>
      <c r="P380" s="417">
        <v>0</v>
      </c>
      <c r="Q380" s="378">
        <v>6.1220000000000003E-4</v>
      </c>
      <c r="R380" s="378"/>
      <c r="S380" s="417">
        <v>-307550</v>
      </c>
      <c r="T380" s="417">
        <v>-303991</v>
      </c>
      <c r="U380" s="417">
        <v>-319355</v>
      </c>
      <c r="V380" s="417">
        <v>-410464</v>
      </c>
      <c r="W380" s="417">
        <v>0</v>
      </c>
      <c r="X380" s="378">
        <v>6.1220000000000003E-4</v>
      </c>
      <c r="Z380" s="417">
        <v>245249</v>
      </c>
      <c r="AA380" s="417">
        <v>172301</v>
      </c>
      <c r="AB380" s="417">
        <v>172299</v>
      </c>
      <c r="AC380" s="417">
        <v>0</v>
      </c>
      <c r="AD380" s="417">
        <v>0</v>
      </c>
      <c r="AE380" s="378">
        <v>6.1220000000000003E-4</v>
      </c>
      <c r="AF380" s="378"/>
      <c r="AG380" s="417">
        <v>68492</v>
      </c>
      <c r="AH380" s="417">
        <v>68493</v>
      </c>
      <c r="AI380" s="417">
        <v>55613</v>
      </c>
      <c r="AJ380" s="417">
        <v>0</v>
      </c>
      <c r="AK380" s="417">
        <v>0</v>
      </c>
      <c r="AL380" s="378">
        <v>6.1220000000000003E-4</v>
      </c>
      <c r="AM380" s="378"/>
      <c r="AN380" s="417">
        <v>-4872</v>
      </c>
      <c r="AO380" s="417">
        <v>0</v>
      </c>
      <c r="AP380" s="417">
        <v>0</v>
      </c>
      <c r="AQ380" s="417">
        <v>0</v>
      </c>
      <c r="AR380" s="417">
        <v>0</v>
      </c>
    </row>
    <row r="381" spans="1:44">
      <c r="A381" s="377">
        <v>93910</v>
      </c>
      <c r="B381" t="s">
        <v>1085</v>
      </c>
      <c r="C381" s="378">
        <v>3.3369999999999998E-4</v>
      </c>
      <c r="D381" s="378"/>
      <c r="E381" s="417">
        <v>97555</v>
      </c>
      <c r="F381" s="417">
        <v>38430</v>
      </c>
      <c r="G381" s="417">
        <v>-16022</v>
      </c>
      <c r="H381" s="417">
        <v>-223737</v>
      </c>
      <c r="I381" s="417">
        <v>0</v>
      </c>
      <c r="J381" s="378">
        <v>3.3369999999999998E-4</v>
      </c>
      <c r="K381" s="378"/>
      <c r="L381" s="417">
        <v>81692</v>
      </c>
      <c r="M381" s="417">
        <v>56419</v>
      </c>
      <c r="N381" s="417">
        <v>24698</v>
      </c>
      <c r="O381" s="417">
        <v>0</v>
      </c>
      <c r="P381" s="417">
        <v>0</v>
      </c>
      <c r="Q381" s="378">
        <v>3.3369999999999998E-4</v>
      </c>
      <c r="R381" s="378"/>
      <c r="S381" s="417">
        <v>-167640</v>
      </c>
      <c r="T381" s="417">
        <v>-165700</v>
      </c>
      <c r="U381" s="417">
        <v>-174075</v>
      </c>
      <c r="V381" s="417">
        <v>-223737</v>
      </c>
      <c r="W381" s="417">
        <v>0</v>
      </c>
      <c r="X381" s="378">
        <v>3.3369999999999998E-4</v>
      </c>
      <c r="Z381" s="417">
        <v>133681</v>
      </c>
      <c r="AA381" s="417">
        <v>93918</v>
      </c>
      <c r="AB381" s="417">
        <v>93918</v>
      </c>
      <c r="AC381" s="417">
        <v>0</v>
      </c>
      <c r="AD381" s="417">
        <v>0</v>
      </c>
      <c r="AE381" s="378">
        <v>3.3369999999999998E-4</v>
      </c>
      <c r="AF381" s="378"/>
      <c r="AG381" s="417">
        <v>58395</v>
      </c>
      <c r="AH381" s="417">
        <v>58396</v>
      </c>
      <c r="AI381" s="417">
        <v>39437</v>
      </c>
      <c r="AJ381" s="417">
        <v>0</v>
      </c>
      <c r="AK381" s="417">
        <v>0</v>
      </c>
      <c r="AL381" s="378">
        <v>3.3369999999999998E-4</v>
      </c>
      <c r="AM381" s="378"/>
      <c r="AN381" s="417">
        <v>-8573</v>
      </c>
      <c r="AO381" s="417">
        <v>-4603</v>
      </c>
      <c r="AP381" s="417">
        <v>0</v>
      </c>
      <c r="AQ381" s="417">
        <v>0</v>
      </c>
      <c r="AR381" s="417">
        <v>0</v>
      </c>
    </row>
    <row r="382" spans="1:44">
      <c r="A382" s="377">
        <v>93911</v>
      </c>
      <c r="B382" t="s">
        <v>1086</v>
      </c>
      <c r="C382" s="378">
        <v>5.5719999999999999E-4</v>
      </c>
      <c r="D382" s="378"/>
      <c r="E382" s="417">
        <v>46737</v>
      </c>
      <c r="F382" s="417">
        <v>-62185</v>
      </c>
      <c r="G382" s="417">
        <v>-119467</v>
      </c>
      <c r="H382" s="417">
        <v>-373588</v>
      </c>
      <c r="I382" s="417">
        <v>0</v>
      </c>
      <c r="J382" s="378">
        <v>5.5719999999999999E-4</v>
      </c>
      <c r="K382" s="378"/>
      <c r="L382" s="417">
        <v>136407</v>
      </c>
      <c r="M382" s="417">
        <v>94207</v>
      </c>
      <c r="N382" s="417">
        <v>41239</v>
      </c>
      <c r="O382" s="417">
        <v>0</v>
      </c>
      <c r="P382" s="417">
        <v>0</v>
      </c>
      <c r="Q382" s="378">
        <v>5.5719999999999999E-4</v>
      </c>
      <c r="R382" s="378"/>
      <c r="S382" s="417">
        <v>-279919</v>
      </c>
      <c r="T382" s="417">
        <v>-276680</v>
      </c>
      <c r="U382" s="417">
        <v>-290664</v>
      </c>
      <c r="V382" s="417">
        <v>-373588</v>
      </c>
      <c r="W382" s="417">
        <v>0</v>
      </c>
      <c r="X382" s="378">
        <v>5.5719999999999999E-4</v>
      </c>
      <c r="Z382" s="417">
        <v>223215</v>
      </c>
      <c r="AA382" s="417">
        <v>156821</v>
      </c>
      <c r="AB382" s="417">
        <v>156820</v>
      </c>
      <c r="AC382" s="417">
        <v>0</v>
      </c>
      <c r="AD382" s="417">
        <v>0</v>
      </c>
      <c r="AE382" s="378">
        <v>5.5719999999999999E-4</v>
      </c>
      <c r="AF382" s="378"/>
      <c r="AG382" s="417">
        <v>3569</v>
      </c>
      <c r="AH382" s="417">
        <v>0</v>
      </c>
      <c r="AI382" s="417">
        <v>0</v>
      </c>
      <c r="AJ382" s="417">
        <v>0</v>
      </c>
      <c r="AK382" s="417">
        <v>0</v>
      </c>
      <c r="AL382" s="378">
        <v>5.5719999999999999E-4</v>
      </c>
      <c r="AM382" s="378"/>
      <c r="AN382" s="417">
        <v>-36535</v>
      </c>
      <c r="AO382" s="417">
        <v>-36533</v>
      </c>
      <c r="AP382" s="417">
        <v>-26862</v>
      </c>
      <c r="AQ382" s="417">
        <v>0</v>
      </c>
      <c r="AR382" s="417">
        <v>0</v>
      </c>
    </row>
    <row r="383" spans="1:44">
      <c r="A383" s="377">
        <v>93913</v>
      </c>
      <c r="B383" t="s">
        <v>1087</v>
      </c>
      <c r="C383" s="378">
        <v>4.07E-5</v>
      </c>
      <c r="D383" s="378"/>
      <c r="E383" s="417">
        <v>7373</v>
      </c>
      <c r="F383" s="417">
        <v>-1054</v>
      </c>
      <c r="G383" s="417">
        <v>-6556</v>
      </c>
      <c r="H383" s="417">
        <v>-27288</v>
      </c>
      <c r="I383" s="417">
        <v>0</v>
      </c>
      <c r="J383" s="378">
        <v>4.07E-5</v>
      </c>
      <c r="K383" s="378"/>
      <c r="L383" s="417">
        <v>9964</v>
      </c>
      <c r="M383" s="417">
        <v>6881</v>
      </c>
      <c r="N383" s="417">
        <v>3012</v>
      </c>
      <c r="O383" s="417">
        <v>0</v>
      </c>
      <c r="P383" s="417">
        <v>0</v>
      </c>
      <c r="Q383" s="378">
        <v>4.07E-5</v>
      </c>
      <c r="R383" s="378"/>
      <c r="S383" s="417">
        <v>-20446</v>
      </c>
      <c r="T383" s="417">
        <v>-20210</v>
      </c>
      <c r="U383" s="417">
        <v>-21231</v>
      </c>
      <c r="V383" s="417">
        <v>-27288</v>
      </c>
      <c r="W383" s="417">
        <v>0</v>
      </c>
      <c r="X383" s="378">
        <v>4.07E-5</v>
      </c>
      <c r="Z383" s="417">
        <v>16305</v>
      </c>
      <c r="AA383" s="417">
        <v>11455</v>
      </c>
      <c r="AB383" s="417">
        <v>11455</v>
      </c>
      <c r="AC383" s="417">
        <v>0</v>
      </c>
      <c r="AD383" s="417">
        <v>0</v>
      </c>
      <c r="AE383" s="378">
        <v>4.07E-5</v>
      </c>
      <c r="AF383" s="378"/>
      <c r="AG383" s="417">
        <v>2084</v>
      </c>
      <c r="AH383" s="417">
        <v>1355</v>
      </c>
      <c r="AI383" s="417">
        <v>208</v>
      </c>
      <c r="AJ383" s="417">
        <v>0</v>
      </c>
      <c r="AK383" s="417">
        <v>0</v>
      </c>
      <c r="AL383" s="378">
        <v>4.07E-5</v>
      </c>
      <c r="AM383" s="378"/>
      <c r="AN383" s="417">
        <v>-534</v>
      </c>
      <c r="AO383" s="417">
        <v>-535</v>
      </c>
      <c r="AP383" s="417">
        <v>0</v>
      </c>
      <c r="AQ383" s="417">
        <v>0</v>
      </c>
      <c r="AR383" s="417">
        <v>0</v>
      </c>
    </row>
    <row r="384" spans="1:44">
      <c r="A384" s="377">
        <v>93914</v>
      </c>
      <c r="B384" t="s">
        <v>1088</v>
      </c>
      <c r="C384" s="378">
        <v>5.1000000000000003E-6</v>
      </c>
      <c r="D384" s="378"/>
      <c r="E384" s="417">
        <v>2873</v>
      </c>
      <c r="F384" s="417">
        <v>1420</v>
      </c>
      <c r="G384" s="417">
        <v>-180</v>
      </c>
      <c r="H384" s="417">
        <v>-3419</v>
      </c>
      <c r="I384" s="417">
        <v>0</v>
      </c>
      <c r="J384" s="378">
        <v>5.1000000000000003E-6</v>
      </c>
      <c r="K384" s="378"/>
      <c r="L384" s="417">
        <v>1249</v>
      </c>
      <c r="M384" s="417">
        <v>862</v>
      </c>
      <c r="N384" s="417">
        <v>377</v>
      </c>
      <c r="O384" s="417">
        <v>0</v>
      </c>
      <c r="P384" s="417">
        <v>0</v>
      </c>
      <c r="Q384" s="378">
        <v>5.1000000000000003E-6</v>
      </c>
      <c r="R384" s="378"/>
      <c r="S384" s="417">
        <v>-2562</v>
      </c>
      <c r="T384" s="417">
        <v>-2532</v>
      </c>
      <c r="U384" s="417">
        <v>-2660</v>
      </c>
      <c r="V384" s="417">
        <v>-3419</v>
      </c>
      <c r="W384" s="417">
        <v>0</v>
      </c>
      <c r="X384" s="378">
        <v>5.1000000000000003E-6</v>
      </c>
      <c r="Z384" s="417">
        <v>2043</v>
      </c>
      <c r="AA384" s="417">
        <v>1435</v>
      </c>
      <c r="AB384" s="417">
        <v>1435</v>
      </c>
      <c r="AC384" s="417">
        <v>0</v>
      </c>
      <c r="AD384" s="417">
        <v>0</v>
      </c>
      <c r="AE384" s="378">
        <v>5.1000000000000003E-6</v>
      </c>
      <c r="AF384" s="378"/>
      <c r="AG384" s="417">
        <v>2143</v>
      </c>
      <c r="AH384" s="417">
        <v>1655</v>
      </c>
      <c r="AI384" s="417">
        <v>668</v>
      </c>
      <c r="AJ384" s="417">
        <v>0</v>
      </c>
      <c r="AK384" s="417">
        <v>0</v>
      </c>
      <c r="AL384" s="378">
        <v>5.1000000000000003E-6</v>
      </c>
      <c r="AM384" s="378"/>
      <c r="AN384" s="417">
        <v>0</v>
      </c>
      <c r="AO384" s="417">
        <v>0</v>
      </c>
      <c r="AP384" s="417">
        <v>0</v>
      </c>
      <c r="AQ384" s="417">
        <v>0</v>
      </c>
      <c r="AR384" s="417">
        <v>0</v>
      </c>
    </row>
    <row r="385" spans="1:44">
      <c r="A385" s="377">
        <v>93921</v>
      </c>
      <c r="B385" t="s">
        <v>1089</v>
      </c>
      <c r="C385" s="378">
        <v>2.6479999999999999E-4</v>
      </c>
      <c r="D385" s="378"/>
      <c r="E385" s="417">
        <v>41527</v>
      </c>
      <c r="F385" s="417">
        <v>-7033</v>
      </c>
      <c r="G385" s="417">
        <v>-46963</v>
      </c>
      <c r="H385" s="417">
        <v>-177542</v>
      </c>
      <c r="I385" s="417">
        <v>0</v>
      </c>
      <c r="J385" s="378">
        <v>2.6479999999999999E-4</v>
      </c>
      <c r="K385" s="378"/>
      <c r="L385" s="417">
        <v>64825</v>
      </c>
      <c r="M385" s="417">
        <v>44770</v>
      </c>
      <c r="N385" s="417">
        <v>19598</v>
      </c>
      <c r="O385" s="417">
        <v>0</v>
      </c>
      <c r="P385" s="417">
        <v>0</v>
      </c>
      <c r="Q385" s="378">
        <v>2.6479999999999999E-4</v>
      </c>
      <c r="R385" s="378"/>
      <c r="S385" s="417">
        <v>-133027</v>
      </c>
      <c r="T385" s="417">
        <v>-131488</v>
      </c>
      <c r="U385" s="417">
        <v>-138133</v>
      </c>
      <c r="V385" s="417">
        <v>-177542</v>
      </c>
      <c r="W385" s="417">
        <v>0</v>
      </c>
      <c r="X385" s="378">
        <v>2.6479999999999999E-4</v>
      </c>
      <c r="Z385" s="417">
        <v>106079</v>
      </c>
      <c r="AA385" s="417">
        <v>74527</v>
      </c>
      <c r="AB385" s="417">
        <v>74526</v>
      </c>
      <c r="AC385" s="417">
        <v>0</v>
      </c>
      <c r="AD385" s="417">
        <v>0</v>
      </c>
      <c r="AE385" s="378">
        <v>2.6479999999999999E-4</v>
      </c>
      <c r="AF385" s="378"/>
      <c r="AG385" s="417">
        <v>17329</v>
      </c>
      <c r="AH385" s="417">
        <v>17329</v>
      </c>
      <c r="AI385" s="417">
        <v>0</v>
      </c>
      <c r="AJ385" s="417">
        <v>0</v>
      </c>
      <c r="AK385" s="417">
        <v>0</v>
      </c>
      <c r="AL385" s="378">
        <v>2.6479999999999999E-4</v>
      </c>
      <c r="AM385" s="378"/>
      <c r="AN385" s="417">
        <v>-13679</v>
      </c>
      <c r="AO385" s="417">
        <v>-12171</v>
      </c>
      <c r="AP385" s="417">
        <v>-2954</v>
      </c>
      <c r="AQ385" s="417">
        <v>0</v>
      </c>
      <c r="AR385" s="417">
        <v>0</v>
      </c>
    </row>
    <row r="386" spans="1:44">
      <c r="A386" s="377">
        <v>93931</v>
      </c>
      <c r="B386" t="s">
        <v>1090</v>
      </c>
      <c r="C386" s="378">
        <v>5.4149999999999999E-4</v>
      </c>
      <c r="D386" s="378"/>
      <c r="E386" s="417">
        <v>62726</v>
      </c>
      <c r="F386" s="417">
        <v>-41979</v>
      </c>
      <c r="G386" s="417">
        <v>-97257</v>
      </c>
      <c r="H386" s="417">
        <v>-363062</v>
      </c>
      <c r="I386" s="417">
        <v>0</v>
      </c>
      <c r="J386" s="378">
        <v>5.4149999999999999E-4</v>
      </c>
      <c r="K386" s="378"/>
      <c r="L386" s="417">
        <v>132564</v>
      </c>
      <c r="M386" s="417">
        <v>91552</v>
      </c>
      <c r="N386" s="417">
        <v>40077</v>
      </c>
      <c r="O386" s="417">
        <v>0</v>
      </c>
      <c r="P386" s="417">
        <v>0</v>
      </c>
      <c r="Q386" s="378">
        <v>5.4149999999999999E-4</v>
      </c>
      <c r="R386" s="378"/>
      <c r="S386" s="417">
        <v>-272032</v>
      </c>
      <c r="T386" s="417">
        <v>-268885</v>
      </c>
      <c r="U386" s="417">
        <v>-282474</v>
      </c>
      <c r="V386" s="417">
        <v>-363062</v>
      </c>
      <c r="W386" s="417">
        <v>0</v>
      </c>
      <c r="X386" s="378">
        <v>5.4149999999999999E-4</v>
      </c>
      <c r="Z386" s="417">
        <v>216926</v>
      </c>
      <c r="AA386" s="417">
        <v>152402</v>
      </c>
      <c r="AB386" s="417">
        <v>152401</v>
      </c>
      <c r="AC386" s="417">
        <v>0</v>
      </c>
      <c r="AD386" s="417">
        <v>0</v>
      </c>
      <c r="AE386" s="378">
        <v>5.4149999999999999E-4</v>
      </c>
      <c r="AF386" s="378"/>
      <c r="AG386" s="417">
        <v>2778</v>
      </c>
      <c r="AH386" s="417">
        <v>461</v>
      </c>
      <c r="AI386" s="417">
        <v>0</v>
      </c>
      <c r="AJ386" s="417">
        <v>0</v>
      </c>
      <c r="AK386" s="417">
        <v>0</v>
      </c>
      <c r="AL386" s="378">
        <v>5.4149999999999999E-4</v>
      </c>
      <c r="AM386" s="378"/>
      <c r="AN386" s="417">
        <v>-17510</v>
      </c>
      <c r="AO386" s="417">
        <v>-17509</v>
      </c>
      <c r="AP386" s="417">
        <v>-7261</v>
      </c>
      <c r="AQ386" s="417">
        <v>0</v>
      </c>
      <c r="AR386" s="417">
        <v>0</v>
      </c>
    </row>
    <row r="387" spans="1:44">
      <c r="A387" s="377">
        <v>94001</v>
      </c>
      <c r="B387" t="s">
        <v>1091</v>
      </c>
      <c r="C387" s="378">
        <v>1.0621999999999999E-3</v>
      </c>
      <c r="D387" s="378"/>
      <c r="E387" s="417">
        <v>205031</v>
      </c>
      <c r="F387" s="417">
        <v>791</v>
      </c>
      <c r="G387" s="417">
        <v>-178042</v>
      </c>
      <c r="H387" s="417">
        <v>-712177</v>
      </c>
      <c r="I387" s="417">
        <v>0</v>
      </c>
      <c r="J387" s="378">
        <v>1.0621999999999999E-3</v>
      </c>
      <c r="K387" s="378"/>
      <c r="L387" s="417">
        <v>260035</v>
      </c>
      <c r="M387" s="417">
        <v>179588</v>
      </c>
      <c r="N387" s="417">
        <v>78616</v>
      </c>
      <c r="O387" s="417">
        <v>0</v>
      </c>
      <c r="P387" s="417">
        <v>0</v>
      </c>
      <c r="Q387" s="378">
        <v>1.0621999999999999E-3</v>
      </c>
      <c r="R387" s="378"/>
      <c r="S387" s="417">
        <v>-533615</v>
      </c>
      <c r="T387" s="417">
        <v>-527441</v>
      </c>
      <c r="U387" s="417">
        <v>-554098</v>
      </c>
      <c r="V387" s="417">
        <v>-712177</v>
      </c>
      <c r="W387" s="417">
        <v>0</v>
      </c>
      <c r="X387" s="378">
        <v>1.0621999999999999E-3</v>
      </c>
      <c r="Z387" s="417">
        <v>425519</v>
      </c>
      <c r="AA387" s="417">
        <v>298951</v>
      </c>
      <c r="AB387" s="417">
        <v>298949</v>
      </c>
      <c r="AC387" s="417">
        <v>0</v>
      </c>
      <c r="AD387" s="417">
        <v>0</v>
      </c>
      <c r="AE387" s="378">
        <v>1.0621999999999999E-3</v>
      </c>
      <c r="AF387" s="378"/>
      <c r="AG387" s="417">
        <v>54603</v>
      </c>
      <c r="AH387" s="417">
        <v>51204</v>
      </c>
      <c r="AI387" s="417">
        <v>0</v>
      </c>
      <c r="AJ387" s="417">
        <v>0</v>
      </c>
      <c r="AK387" s="417">
        <v>0</v>
      </c>
      <c r="AL387" s="378">
        <v>1.0621999999999999E-3</v>
      </c>
      <c r="AM387" s="378"/>
      <c r="AN387" s="417">
        <v>-1511</v>
      </c>
      <c r="AO387" s="417">
        <v>-1511</v>
      </c>
      <c r="AP387" s="417">
        <v>-1509</v>
      </c>
      <c r="AQ387" s="417">
        <v>0</v>
      </c>
      <c r="AR387" s="417">
        <v>0</v>
      </c>
    </row>
    <row r="388" spans="1:44">
      <c r="A388" s="377">
        <v>94002</v>
      </c>
      <c r="B388" t="s">
        <v>1092</v>
      </c>
      <c r="C388" s="378">
        <v>4.1999999999999996E-6</v>
      </c>
      <c r="D388" s="378"/>
      <c r="E388" s="417">
        <v>1964</v>
      </c>
      <c r="F388" s="417">
        <v>1004</v>
      </c>
      <c r="G388" s="417">
        <v>-120</v>
      </c>
      <c r="H388" s="417">
        <v>-2816</v>
      </c>
      <c r="I388" s="417">
        <v>0</v>
      </c>
      <c r="J388" s="378">
        <v>4.1999999999999996E-6</v>
      </c>
      <c r="K388" s="378"/>
      <c r="L388" s="417">
        <v>1028</v>
      </c>
      <c r="M388" s="417">
        <v>710</v>
      </c>
      <c r="N388" s="417">
        <v>311</v>
      </c>
      <c r="O388" s="417">
        <v>0</v>
      </c>
      <c r="P388" s="417">
        <v>0</v>
      </c>
      <c r="Q388" s="378">
        <v>4.1999999999999996E-6</v>
      </c>
      <c r="R388" s="378"/>
      <c r="S388" s="417">
        <v>-2110</v>
      </c>
      <c r="T388" s="417">
        <v>-2086</v>
      </c>
      <c r="U388" s="417">
        <v>-2191</v>
      </c>
      <c r="V388" s="417">
        <v>-2816</v>
      </c>
      <c r="W388" s="417">
        <v>0</v>
      </c>
      <c r="X388" s="378">
        <v>4.1999999999999996E-6</v>
      </c>
      <c r="Z388" s="417">
        <v>1683</v>
      </c>
      <c r="AA388" s="417">
        <v>1182</v>
      </c>
      <c r="AB388" s="417">
        <v>1182</v>
      </c>
      <c r="AC388" s="417">
        <v>0</v>
      </c>
      <c r="AD388" s="417">
        <v>0</v>
      </c>
      <c r="AE388" s="378">
        <v>4.1999999999999996E-6</v>
      </c>
      <c r="AF388" s="378"/>
      <c r="AG388" s="417">
        <v>1363</v>
      </c>
      <c r="AH388" s="417">
        <v>1198</v>
      </c>
      <c r="AI388" s="417">
        <v>578</v>
      </c>
      <c r="AJ388" s="417">
        <v>0</v>
      </c>
      <c r="AK388" s="417">
        <v>0</v>
      </c>
      <c r="AL388" s="378">
        <v>4.1999999999999996E-6</v>
      </c>
      <c r="AM388" s="378"/>
      <c r="AN388" s="417">
        <v>0</v>
      </c>
      <c r="AO388" s="417">
        <v>0</v>
      </c>
      <c r="AP388" s="417">
        <v>0</v>
      </c>
      <c r="AQ388" s="417">
        <v>0</v>
      </c>
      <c r="AR388" s="417">
        <v>0</v>
      </c>
    </row>
    <row r="389" spans="1:44">
      <c r="A389" s="377">
        <v>94004</v>
      </c>
      <c r="B389" t="s">
        <v>1093</v>
      </c>
      <c r="C389" s="378">
        <v>1.0200000000000001E-5</v>
      </c>
      <c r="D389" s="378"/>
      <c r="E389" s="417">
        <v>4727</v>
      </c>
      <c r="F389" s="417">
        <v>2591</v>
      </c>
      <c r="G389" s="417">
        <v>803</v>
      </c>
      <c r="H389" s="417">
        <v>-6839</v>
      </c>
      <c r="I389" s="417">
        <v>0</v>
      </c>
      <c r="J389" s="378">
        <v>1.0200000000000001E-5</v>
      </c>
      <c r="K389" s="378"/>
      <c r="L389" s="417">
        <v>2497</v>
      </c>
      <c r="M389" s="417">
        <v>1725</v>
      </c>
      <c r="N389" s="417">
        <v>755</v>
      </c>
      <c r="O389" s="417">
        <v>0</v>
      </c>
      <c r="P389" s="417">
        <v>0</v>
      </c>
      <c r="Q389" s="378">
        <v>1.0200000000000001E-5</v>
      </c>
      <c r="R389" s="378"/>
      <c r="S389" s="417">
        <v>-5124</v>
      </c>
      <c r="T389" s="417">
        <v>-5065</v>
      </c>
      <c r="U389" s="417">
        <v>-5321</v>
      </c>
      <c r="V389" s="417">
        <v>-6839</v>
      </c>
      <c r="W389" s="417">
        <v>0</v>
      </c>
      <c r="X389" s="378">
        <v>1.0200000000000001E-5</v>
      </c>
      <c r="Z389" s="417">
        <v>4086</v>
      </c>
      <c r="AA389" s="417">
        <v>2871</v>
      </c>
      <c r="AB389" s="417">
        <v>2871</v>
      </c>
      <c r="AC389" s="417">
        <v>0</v>
      </c>
      <c r="AD389" s="417">
        <v>0</v>
      </c>
      <c r="AE389" s="378">
        <v>1.0200000000000001E-5</v>
      </c>
      <c r="AF389" s="378"/>
      <c r="AG389" s="417">
        <v>3268</v>
      </c>
      <c r="AH389" s="417">
        <v>3060</v>
      </c>
      <c r="AI389" s="417">
        <v>2498</v>
      </c>
      <c r="AJ389" s="417">
        <v>0</v>
      </c>
      <c r="AK389" s="417">
        <v>0</v>
      </c>
      <c r="AL389" s="378">
        <v>1.0200000000000001E-5</v>
      </c>
      <c r="AM389" s="378"/>
      <c r="AN389" s="417">
        <v>0</v>
      </c>
      <c r="AO389" s="417">
        <v>0</v>
      </c>
      <c r="AP389" s="417">
        <v>0</v>
      </c>
      <c r="AQ389" s="417">
        <v>0</v>
      </c>
      <c r="AR389" s="417">
        <v>0</v>
      </c>
    </row>
    <row r="390" spans="1:44">
      <c r="A390" s="377">
        <v>94005</v>
      </c>
      <c r="B390" t="s">
        <v>1094</v>
      </c>
      <c r="C390" s="378">
        <v>6.2999999999999998E-6</v>
      </c>
      <c r="D390" s="378"/>
      <c r="E390" s="417">
        <v>4685</v>
      </c>
      <c r="F390" s="417">
        <v>2624</v>
      </c>
      <c r="G390" s="417">
        <v>1779</v>
      </c>
      <c r="H390" s="417">
        <v>-4224</v>
      </c>
      <c r="I390" s="417">
        <v>0</v>
      </c>
      <c r="J390" s="378">
        <v>6.2999999999999998E-6</v>
      </c>
      <c r="K390" s="378"/>
      <c r="L390" s="417">
        <v>1542</v>
      </c>
      <c r="M390" s="417">
        <v>1065</v>
      </c>
      <c r="N390" s="417">
        <v>466</v>
      </c>
      <c r="O390" s="417">
        <v>0</v>
      </c>
      <c r="P390" s="417">
        <v>0</v>
      </c>
      <c r="Q390" s="378">
        <v>6.2999999999999998E-6</v>
      </c>
      <c r="R390" s="378"/>
      <c r="S390" s="417">
        <v>-3165</v>
      </c>
      <c r="T390" s="417">
        <v>-3128</v>
      </c>
      <c r="U390" s="417">
        <v>-3286</v>
      </c>
      <c r="V390" s="417">
        <v>-4224</v>
      </c>
      <c r="W390" s="417">
        <v>0</v>
      </c>
      <c r="X390" s="378">
        <v>6.2999999999999998E-6</v>
      </c>
      <c r="Z390" s="417">
        <v>2524</v>
      </c>
      <c r="AA390" s="417">
        <v>1773</v>
      </c>
      <c r="AB390" s="417">
        <v>1773</v>
      </c>
      <c r="AC390" s="417">
        <v>0</v>
      </c>
      <c r="AD390" s="417">
        <v>0</v>
      </c>
      <c r="AE390" s="378">
        <v>6.2999999999999998E-6</v>
      </c>
      <c r="AF390" s="378"/>
      <c r="AG390" s="417">
        <v>4126</v>
      </c>
      <c r="AH390" s="417">
        <v>3255</v>
      </c>
      <c r="AI390" s="417">
        <v>2826</v>
      </c>
      <c r="AJ390" s="417">
        <v>0</v>
      </c>
      <c r="AK390" s="417">
        <v>0</v>
      </c>
      <c r="AL390" s="378">
        <v>6.2999999999999998E-6</v>
      </c>
      <c r="AM390" s="378"/>
      <c r="AN390" s="417">
        <v>-342</v>
      </c>
      <c r="AO390" s="417">
        <v>-341</v>
      </c>
      <c r="AP390" s="417">
        <v>0</v>
      </c>
      <c r="AQ390" s="417">
        <v>0</v>
      </c>
      <c r="AR390" s="417">
        <v>0</v>
      </c>
    </row>
    <row r="391" spans="1:44">
      <c r="A391" s="377">
        <v>94011</v>
      </c>
      <c r="B391" t="s">
        <v>1095</v>
      </c>
      <c r="C391" s="378">
        <v>2.8900000000000001E-5</v>
      </c>
      <c r="D391" s="378"/>
      <c r="E391" s="417">
        <v>3449</v>
      </c>
      <c r="F391" s="417">
        <v>-2461</v>
      </c>
      <c r="G391" s="417">
        <v>-4992</v>
      </c>
      <c r="H391" s="417">
        <v>-19377</v>
      </c>
      <c r="I391" s="417">
        <v>0</v>
      </c>
      <c r="J391" s="378">
        <v>2.8900000000000001E-5</v>
      </c>
      <c r="K391" s="378"/>
      <c r="L391" s="417">
        <v>7075</v>
      </c>
      <c r="M391" s="417">
        <v>4886</v>
      </c>
      <c r="N391" s="417">
        <v>2139</v>
      </c>
      <c r="O391" s="417">
        <v>0</v>
      </c>
      <c r="P391" s="417">
        <v>0</v>
      </c>
      <c r="Q391" s="378">
        <v>2.8900000000000001E-5</v>
      </c>
      <c r="R391" s="378"/>
      <c r="S391" s="417">
        <v>-14518</v>
      </c>
      <c r="T391" s="417">
        <v>-14350</v>
      </c>
      <c r="U391" s="417">
        <v>-15076</v>
      </c>
      <c r="V391" s="417">
        <v>-19377</v>
      </c>
      <c r="W391" s="417">
        <v>0</v>
      </c>
      <c r="X391" s="378">
        <v>2.8900000000000001E-5</v>
      </c>
      <c r="Z391" s="417">
        <v>11577</v>
      </c>
      <c r="AA391" s="417">
        <v>8134</v>
      </c>
      <c r="AB391" s="417">
        <v>8134</v>
      </c>
      <c r="AC391" s="417">
        <v>0</v>
      </c>
      <c r="AD391" s="417">
        <v>0</v>
      </c>
      <c r="AE391" s="378">
        <v>2.8900000000000001E-5</v>
      </c>
      <c r="AF391" s="378"/>
      <c r="AG391" s="417">
        <v>450</v>
      </c>
      <c r="AH391" s="417">
        <v>0</v>
      </c>
      <c r="AI391" s="417">
        <v>0</v>
      </c>
      <c r="AJ391" s="417">
        <v>0</v>
      </c>
      <c r="AK391" s="417">
        <v>0</v>
      </c>
      <c r="AL391" s="378">
        <v>2.8900000000000001E-5</v>
      </c>
      <c r="AM391" s="378"/>
      <c r="AN391" s="417">
        <v>-1135</v>
      </c>
      <c r="AO391" s="417">
        <v>-1131</v>
      </c>
      <c r="AP391" s="417">
        <v>-189</v>
      </c>
      <c r="AQ391" s="417">
        <v>0</v>
      </c>
      <c r="AR391" s="417">
        <v>0</v>
      </c>
    </row>
    <row r="392" spans="1:44">
      <c r="A392" s="377">
        <v>94021</v>
      </c>
      <c r="B392" t="s">
        <v>1096</v>
      </c>
      <c r="C392" s="378">
        <v>8.6000000000000003E-5</v>
      </c>
      <c r="D392" s="378"/>
      <c r="E392" s="417">
        <v>12959</v>
      </c>
      <c r="F392" s="417">
        <v>-3408</v>
      </c>
      <c r="G392" s="417">
        <v>-23027</v>
      </c>
      <c r="H392" s="417">
        <v>-57661</v>
      </c>
      <c r="I392" s="417">
        <v>0</v>
      </c>
      <c r="J392" s="378">
        <v>8.6000000000000003E-5</v>
      </c>
      <c r="K392" s="378"/>
      <c r="L392" s="417">
        <v>21053</v>
      </c>
      <c r="M392" s="417">
        <v>14540</v>
      </c>
      <c r="N392" s="417">
        <v>6365</v>
      </c>
      <c r="O392" s="417">
        <v>0</v>
      </c>
      <c r="P392" s="417">
        <v>0</v>
      </c>
      <c r="Q392" s="378">
        <v>8.6000000000000003E-5</v>
      </c>
      <c r="R392" s="378"/>
      <c r="S392" s="417">
        <v>-43204</v>
      </c>
      <c r="T392" s="417">
        <v>-42704</v>
      </c>
      <c r="U392" s="417">
        <v>-44862</v>
      </c>
      <c r="V392" s="417">
        <v>-57661</v>
      </c>
      <c r="W392" s="417">
        <v>0</v>
      </c>
      <c r="X392" s="378">
        <v>8.6000000000000003E-5</v>
      </c>
      <c r="Z392" s="417">
        <v>34452</v>
      </c>
      <c r="AA392" s="417">
        <v>24204</v>
      </c>
      <c r="AB392" s="417">
        <v>24204</v>
      </c>
      <c r="AC392" s="417">
        <v>0</v>
      </c>
      <c r="AD392" s="417">
        <v>0</v>
      </c>
      <c r="AE392" s="378">
        <v>8.6000000000000003E-5</v>
      </c>
      <c r="AF392" s="378"/>
      <c r="AG392" s="417">
        <v>9392</v>
      </c>
      <c r="AH392" s="417">
        <v>9286</v>
      </c>
      <c r="AI392" s="417">
        <v>0</v>
      </c>
      <c r="AJ392" s="417">
        <v>0</v>
      </c>
      <c r="AK392" s="417">
        <v>0</v>
      </c>
      <c r="AL392" s="378">
        <v>8.6000000000000003E-5</v>
      </c>
      <c r="AM392" s="378"/>
      <c r="AN392" s="417">
        <v>-8734</v>
      </c>
      <c r="AO392" s="417">
        <v>-8734</v>
      </c>
      <c r="AP392" s="417">
        <v>-8734</v>
      </c>
      <c r="AQ392" s="417">
        <v>0</v>
      </c>
      <c r="AR392" s="417">
        <v>0</v>
      </c>
    </row>
    <row r="393" spans="1:44">
      <c r="A393" s="377">
        <v>94031</v>
      </c>
      <c r="B393" t="s">
        <v>1097</v>
      </c>
      <c r="C393" s="378">
        <v>4.8999999999999997E-6</v>
      </c>
      <c r="D393" s="378"/>
      <c r="E393" s="417">
        <v>4835</v>
      </c>
      <c r="F393" s="417">
        <v>3057</v>
      </c>
      <c r="G393" s="417">
        <v>1050</v>
      </c>
      <c r="H393" s="417">
        <v>-3285</v>
      </c>
      <c r="I393" s="417">
        <v>0</v>
      </c>
      <c r="J393" s="378">
        <v>4.8999999999999997E-6</v>
      </c>
      <c r="K393" s="378"/>
      <c r="L393" s="417">
        <v>1200</v>
      </c>
      <c r="M393" s="417">
        <v>828</v>
      </c>
      <c r="N393" s="417">
        <v>363</v>
      </c>
      <c r="O393" s="417">
        <v>0</v>
      </c>
      <c r="P393" s="417">
        <v>0</v>
      </c>
      <c r="Q393" s="378">
        <v>4.8999999999999997E-6</v>
      </c>
      <c r="R393" s="378"/>
      <c r="S393" s="417">
        <v>-2462</v>
      </c>
      <c r="T393" s="417">
        <v>-2433</v>
      </c>
      <c r="U393" s="417">
        <v>-2556</v>
      </c>
      <c r="V393" s="417">
        <v>-3285</v>
      </c>
      <c r="W393" s="417">
        <v>0</v>
      </c>
      <c r="X393" s="378">
        <v>4.8999999999999997E-6</v>
      </c>
      <c r="Z393" s="417">
        <v>1963</v>
      </c>
      <c r="AA393" s="417">
        <v>1379</v>
      </c>
      <c r="AB393" s="417">
        <v>1379</v>
      </c>
      <c r="AC393" s="417">
        <v>0</v>
      </c>
      <c r="AD393" s="417">
        <v>0</v>
      </c>
      <c r="AE393" s="378">
        <v>4.8999999999999997E-6</v>
      </c>
      <c r="AF393" s="378"/>
      <c r="AG393" s="417">
        <v>4134</v>
      </c>
      <c r="AH393" s="417">
        <v>3283</v>
      </c>
      <c r="AI393" s="417">
        <v>1864</v>
      </c>
      <c r="AJ393" s="417">
        <v>0</v>
      </c>
      <c r="AK393" s="417">
        <v>0</v>
      </c>
      <c r="AL393" s="378">
        <v>4.8999999999999997E-6</v>
      </c>
      <c r="AM393" s="378"/>
      <c r="AN393" s="417">
        <v>0</v>
      </c>
      <c r="AO393" s="417">
        <v>0</v>
      </c>
      <c r="AP393" s="417">
        <v>0</v>
      </c>
      <c r="AQ393" s="417">
        <v>0</v>
      </c>
      <c r="AR393" s="417">
        <v>0</v>
      </c>
    </row>
    <row r="394" spans="1:44">
      <c r="A394" s="377">
        <v>94101</v>
      </c>
      <c r="B394" t="s">
        <v>1098</v>
      </c>
      <c r="C394" s="378">
        <v>1.7842E-2</v>
      </c>
      <c r="D394" s="378"/>
      <c r="E394" s="417">
        <v>2908624</v>
      </c>
      <c r="F394" s="417">
        <v>-473351</v>
      </c>
      <c r="G394" s="417">
        <v>-2515539</v>
      </c>
      <c r="H394" s="417">
        <v>-11962597</v>
      </c>
      <c r="I394" s="417">
        <v>0</v>
      </c>
      <c r="J394" s="378">
        <v>1.7842E-2</v>
      </c>
      <c r="K394" s="378"/>
      <c r="L394" s="417">
        <v>4367864</v>
      </c>
      <c r="M394" s="417">
        <v>3016583</v>
      </c>
      <c r="N394" s="417">
        <v>1320522</v>
      </c>
      <c r="O394" s="417">
        <v>0</v>
      </c>
      <c r="P394" s="417">
        <v>0</v>
      </c>
      <c r="Q394" s="378">
        <v>1.7842E-2</v>
      </c>
      <c r="R394" s="378"/>
      <c r="S394" s="417">
        <v>-8963250</v>
      </c>
      <c r="T394" s="417">
        <v>-8859534</v>
      </c>
      <c r="U394" s="417">
        <v>-9307297</v>
      </c>
      <c r="V394" s="417">
        <v>-11962597</v>
      </c>
      <c r="W394" s="417">
        <v>0</v>
      </c>
      <c r="X394" s="378">
        <v>1.7842E-2</v>
      </c>
      <c r="Z394" s="417">
        <v>7147541</v>
      </c>
      <c r="AA394" s="417">
        <v>5021542</v>
      </c>
      <c r="AB394" s="417">
        <v>5021506</v>
      </c>
      <c r="AC394" s="417">
        <v>0</v>
      </c>
      <c r="AD394" s="417">
        <v>0</v>
      </c>
      <c r="AE394" s="378">
        <v>1.7842E-2</v>
      </c>
      <c r="AF394" s="378"/>
      <c r="AG394" s="417">
        <v>458144</v>
      </c>
      <c r="AH394" s="417">
        <v>449730</v>
      </c>
      <c r="AI394" s="417">
        <v>449730</v>
      </c>
      <c r="AJ394" s="417">
        <v>0</v>
      </c>
      <c r="AK394" s="417">
        <v>0</v>
      </c>
      <c r="AL394" s="378">
        <v>1.7842E-2</v>
      </c>
      <c r="AM394" s="378"/>
      <c r="AN394" s="417">
        <v>-101675</v>
      </c>
      <c r="AO394" s="417">
        <v>-101672</v>
      </c>
      <c r="AP394" s="417">
        <v>0</v>
      </c>
      <c r="AQ394" s="417">
        <v>0</v>
      </c>
      <c r="AR394" s="417">
        <v>0</v>
      </c>
    </row>
    <row r="395" spans="1:44">
      <c r="A395" s="377">
        <v>94102</v>
      </c>
      <c r="B395" t="s">
        <v>1099</v>
      </c>
      <c r="C395" s="378">
        <v>3.4259999999999998E-4</v>
      </c>
      <c r="D395" s="378"/>
      <c r="E395" s="417">
        <v>12248</v>
      </c>
      <c r="F395" s="417">
        <v>-44878</v>
      </c>
      <c r="G395" s="417">
        <v>-92327</v>
      </c>
      <c r="H395" s="417">
        <v>-229704</v>
      </c>
      <c r="I395" s="417">
        <v>0</v>
      </c>
      <c r="J395" s="378">
        <v>3.4259999999999998E-4</v>
      </c>
      <c r="K395" s="378"/>
      <c r="L395" s="417">
        <v>83871</v>
      </c>
      <c r="M395" s="417">
        <v>57924</v>
      </c>
      <c r="N395" s="417">
        <v>25357</v>
      </c>
      <c r="O395" s="417">
        <v>0</v>
      </c>
      <c r="P395" s="417">
        <v>0</v>
      </c>
      <c r="Q395" s="378">
        <v>3.4259999999999998E-4</v>
      </c>
      <c r="R395" s="378"/>
      <c r="S395" s="417">
        <v>-172111</v>
      </c>
      <c r="T395" s="417">
        <v>-170120</v>
      </c>
      <c r="U395" s="417">
        <v>-178718</v>
      </c>
      <c r="V395" s="417">
        <v>-229704</v>
      </c>
      <c r="W395" s="417">
        <v>0</v>
      </c>
      <c r="X395" s="378">
        <v>3.4259999999999998E-4</v>
      </c>
      <c r="Z395" s="417">
        <v>137246</v>
      </c>
      <c r="AA395" s="417">
        <v>96423</v>
      </c>
      <c r="AB395" s="417">
        <v>96422</v>
      </c>
      <c r="AC395" s="417">
        <v>0</v>
      </c>
      <c r="AD395" s="417">
        <v>0</v>
      </c>
      <c r="AE395" s="378">
        <v>3.4259999999999998E-4</v>
      </c>
      <c r="AF395" s="378"/>
      <c r="AG395" s="417">
        <v>6283</v>
      </c>
      <c r="AH395" s="417">
        <v>6284</v>
      </c>
      <c r="AI395" s="417">
        <v>0</v>
      </c>
      <c r="AJ395" s="417">
        <v>0</v>
      </c>
      <c r="AK395" s="417">
        <v>0</v>
      </c>
      <c r="AL395" s="378">
        <v>3.4259999999999998E-4</v>
      </c>
      <c r="AM395" s="378"/>
      <c r="AN395" s="417">
        <v>-43041</v>
      </c>
      <c r="AO395" s="417">
        <v>-35389</v>
      </c>
      <c r="AP395" s="417">
        <v>-35388</v>
      </c>
      <c r="AQ395" s="417">
        <v>0</v>
      </c>
      <c r="AR395" s="417">
        <v>0</v>
      </c>
    </row>
    <row r="396" spans="1:44">
      <c r="A396" s="377">
        <v>94108</v>
      </c>
      <c r="B396" t="s">
        <v>1100</v>
      </c>
      <c r="C396" s="378">
        <v>3.9619999999999998E-4</v>
      </c>
      <c r="D396" s="378"/>
      <c r="E396" s="417">
        <v>18197</v>
      </c>
      <c r="F396" s="417">
        <v>-60114</v>
      </c>
      <c r="G396" s="417">
        <v>-95447</v>
      </c>
      <c r="H396" s="417">
        <v>-265642</v>
      </c>
      <c r="I396" s="417">
        <v>0</v>
      </c>
      <c r="J396" s="378">
        <v>3.9619999999999998E-4</v>
      </c>
      <c r="K396" s="378"/>
      <c r="L396" s="417">
        <v>96993</v>
      </c>
      <c r="M396" s="417">
        <v>66986</v>
      </c>
      <c r="N396" s="417">
        <v>29324</v>
      </c>
      <c r="O396" s="417">
        <v>0</v>
      </c>
      <c r="P396" s="417">
        <v>0</v>
      </c>
      <c r="Q396" s="378">
        <v>3.9619999999999998E-4</v>
      </c>
      <c r="R396" s="378"/>
      <c r="S396" s="417">
        <v>-199038</v>
      </c>
      <c r="T396" s="417">
        <v>-196735</v>
      </c>
      <c r="U396" s="417">
        <v>-206678</v>
      </c>
      <c r="V396" s="417">
        <v>-265642</v>
      </c>
      <c r="W396" s="417">
        <v>0</v>
      </c>
      <c r="X396" s="378">
        <v>3.9619999999999998E-4</v>
      </c>
      <c r="Z396" s="417">
        <v>158719</v>
      </c>
      <c r="AA396" s="417">
        <v>111509</v>
      </c>
      <c r="AB396" s="417">
        <v>111508</v>
      </c>
      <c r="AC396" s="417">
        <v>0</v>
      </c>
      <c r="AD396" s="417">
        <v>0</v>
      </c>
      <c r="AE396" s="378">
        <v>3.9619999999999998E-4</v>
      </c>
      <c r="AF396" s="378"/>
      <c r="AG396" s="417">
        <v>3398</v>
      </c>
      <c r="AH396" s="417">
        <v>0</v>
      </c>
      <c r="AI396" s="417">
        <v>0</v>
      </c>
      <c r="AJ396" s="417">
        <v>0</v>
      </c>
      <c r="AK396" s="417">
        <v>0</v>
      </c>
      <c r="AL396" s="378">
        <v>3.9619999999999998E-4</v>
      </c>
      <c r="AM396" s="378"/>
      <c r="AN396" s="417">
        <v>-41875</v>
      </c>
      <c r="AO396" s="417">
        <v>-41874</v>
      </c>
      <c r="AP396" s="417">
        <v>-29601</v>
      </c>
      <c r="AQ396" s="417">
        <v>0</v>
      </c>
      <c r="AR396" s="417">
        <v>0</v>
      </c>
    </row>
    <row r="397" spans="1:44">
      <c r="A397" s="377">
        <v>94109</v>
      </c>
      <c r="B397" t="s">
        <v>1101</v>
      </c>
      <c r="C397" s="378">
        <v>9.7399999999999996E-5</v>
      </c>
      <c r="D397" s="378"/>
      <c r="E397" s="417">
        <v>-479</v>
      </c>
      <c r="F397" s="417">
        <v>-17448</v>
      </c>
      <c r="G397" s="417">
        <v>-24138</v>
      </c>
      <c r="H397" s="417">
        <v>-65304</v>
      </c>
      <c r="I397" s="417">
        <v>0</v>
      </c>
      <c r="J397" s="378">
        <v>9.7399999999999996E-5</v>
      </c>
      <c r="K397" s="378"/>
      <c r="L397" s="417">
        <v>23844</v>
      </c>
      <c r="M397" s="417">
        <v>16468</v>
      </c>
      <c r="N397" s="417">
        <v>7209</v>
      </c>
      <c r="O397" s="417">
        <v>0</v>
      </c>
      <c r="P397" s="417">
        <v>0</v>
      </c>
      <c r="Q397" s="378">
        <v>9.7399999999999996E-5</v>
      </c>
      <c r="R397" s="378"/>
      <c r="S397" s="417">
        <v>-48931</v>
      </c>
      <c r="T397" s="417">
        <v>-48364</v>
      </c>
      <c r="U397" s="417">
        <v>-50809</v>
      </c>
      <c r="V397" s="417">
        <v>-65304</v>
      </c>
      <c r="W397" s="417">
        <v>0</v>
      </c>
      <c r="X397" s="378">
        <v>9.7399999999999996E-5</v>
      </c>
      <c r="Z397" s="417">
        <v>39019</v>
      </c>
      <c r="AA397" s="417">
        <v>27413</v>
      </c>
      <c r="AB397" s="417">
        <v>27413</v>
      </c>
      <c r="AC397" s="417">
        <v>0</v>
      </c>
      <c r="AD397" s="417">
        <v>0</v>
      </c>
      <c r="AE397" s="378">
        <v>9.7399999999999996E-5</v>
      </c>
      <c r="AF397" s="378"/>
      <c r="AG397" s="417">
        <v>0</v>
      </c>
      <c r="AH397" s="417">
        <v>0</v>
      </c>
      <c r="AI397" s="417">
        <v>0</v>
      </c>
      <c r="AJ397" s="417">
        <v>0</v>
      </c>
      <c r="AK397" s="417">
        <v>0</v>
      </c>
      <c r="AL397" s="378">
        <v>9.7399999999999996E-5</v>
      </c>
      <c r="AM397" s="378"/>
      <c r="AN397" s="417">
        <v>-14411</v>
      </c>
      <c r="AO397" s="417">
        <v>-12965</v>
      </c>
      <c r="AP397" s="417">
        <v>-7951</v>
      </c>
      <c r="AQ397" s="417">
        <v>0</v>
      </c>
      <c r="AR397" s="417">
        <v>0</v>
      </c>
    </row>
    <row r="398" spans="1:44">
      <c r="A398" s="377">
        <v>94111</v>
      </c>
      <c r="B398" t="s">
        <v>1102</v>
      </c>
      <c r="C398" s="378">
        <v>2.33067E-2</v>
      </c>
      <c r="D398" s="378"/>
      <c r="E398" s="417">
        <v>2380240</v>
      </c>
      <c r="F398" s="417">
        <v>-1859340</v>
      </c>
      <c r="G398" s="417">
        <v>-4346850</v>
      </c>
      <c r="H398" s="417">
        <v>-15626536</v>
      </c>
      <c r="I398" s="417">
        <v>0</v>
      </c>
      <c r="J398" s="378">
        <v>2.33067E-2</v>
      </c>
      <c r="K398" s="378"/>
      <c r="L398" s="417">
        <v>5705667</v>
      </c>
      <c r="M398" s="417">
        <v>3940510</v>
      </c>
      <c r="N398" s="417">
        <v>1724975</v>
      </c>
      <c r="O398" s="417">
        <v>0</v>
      </c>
      <c r="P398" s="417">
        <v>0</v>
      </c>
      <c r="Q398" s="378">
        <v>2.33067E-2</v>
      </c>
      <c r="R398" s="378"/>
      <c r="S398" s="417">
        <v>-11708540</v>
      </c>
      <c r="T398" s="417">
        <v>-11573058</v>
      </c>
      <c r="U398" s="417">
        <v>-12157963</v>
      </c>
      <c r="V398" s="417">
        <v>-15626536</v>
      </c>
      <c r="W398" s="417">
        <v>0</v>
      </c>
      <c r="X398" s="378">
        <v>2.33067E-2</v>
      </c>
      <c r="Z398" s="417">
        <v>9336711</v>
      </c>
      <c r="AA398" s="417">
        <v>6559554</v>
      </c>
      <c r="AB398" s="417">
        <v>6559508</v>
      </c>
      <c r="AC398" s="417">
        <v>0</v>
      </c>
      <c r="AD398" s="417">
        <v>0</v>
      </c>
      <c r="AE398" s="378">
        <v>2.33067E-2</v>
      </c>
      <c r="AF398" s="378"/>
      <c r="AG398" s="417">
        <v>0</v>
      </c>
      <c r="AH398" s="417">
        <v>0</v>
      </c>
      <c r="AI398" s="417">
        <v>0</v>
      </c>
      <c r="AJ398" s="417">
        <v>0</v>
      </c>
      <c r="AK398" s="417">
        <v>0</v>
      </c>
      <c r="AL398" s="378">
        <v>2.33067E-2</v>
      </c>
      <c r="AM398" s="378"/>
      <c r="AN398" s="417">
        <v>-953598</v>
      </c>
      <c r="AO398" s="417">
        <v>-786346</v>
      </c>
      <c r="AP398" s="417">
        <v>-473370</v>
      </c>
      <c r="AQ398" s="417">
        <v>0</v>
      </c>
      <c r="AR398" s="417">
        <v>0</v>
      </c>
    </row>
    <row r="399" spans="1:44">
      <c r="A399" s="377">
        <v>94112</v>
      </c>
      <c r="B399" t="s">
        <v>1103</v>
      </c>
      <c r="C399" s="378">
        <v>1.429E-4</v>
      </c>
      <c r="D399" s="378"/>
      <c r="E399" s="417">
        <v>5065</v>
      </c>
      <c r="F399" s="417">
        <v>-21068</v>
      </c>
      <c r="G399" s="417">
        <v>-29114</v>
      </c>
      <c r="H399" s="417">
        <v>-95811</v>
      </c>
      <c r="I399" s="417">
        <v>0</v>
      </c>
      <c r="J399" s="378">
        <v>1.429E-4</v>
      </c>
      <c r="K399" s="378"/>
      <c r="L399" s="417">
        <v>34983</v>
      </c>
      <c r="M399" s="417">
        <v>24160</v>
      </c>
      <c r="N399" s="417">
        <v>10576</v>
      </c>
      <c r="O399" s="417">
        <v>0</v>
      </c>
      <c r="P399" s="417">
        <v>0</v>
      </c>
      <c r="Q399" s="378">
        <v>1.429E-4</v>
      </c>
      <c r="R399" s="378"/>
      <c r="S399" s="417">
        <v>-71788</v>
      </c>
      <c r="T399" s="417">
        <v>-70958</v>
      </c>
      <c r="U399" s="417">
        <v>-74544</v>
      </c>
      <c r="V399" s="417">
        <v>-95811</v>
      </c>
      <c r="W399" s="417">
        <v>0</v>
      </c>
      <c r="X399" s="378">
        <v>1.429E-4</v>
      </c>
      <c r="Z399" s="417">
        <v>57246</v>
      </c>
      <c r="AA399" s="417">
        <v>40218</v>
      </c>
      <c r="AB399" s="417">
        <v>40218</v>
      </c>
      <c r="AC399" s="417">
        <v>0</v>
      </c>
      <c r="AD399" s="417">
        <v>0</v>
      </c>
      <c r="AE399" s="378">
        <v>1.429E-4</v>
      </c>
      <c r="AF399" s="378"/>
      <c r="AG399" s="417">
        <v>0</v>
      </c>
      <c r="AH399" s="417">
        <v>0</v>
      </c>
      <c r="AI399" s="417">
        <v>0</v>
      </c>
      <c r="AJ399" s="417">
        <v>0</v>
      </c>
      <c r="AK399" s="417">
        <v>0</v>
      </c>
      <c r="AL399" s="378">
        <v>1.429E-4</v>
      </c>
      <c r="AM399" s="378"/>
      <c r="AN399" s="417">
        <v>-15376</v>
      </c>
      <c r="AO399" s="417">
        <v>-14488</v>
      </c>
      <c r="AP399" s="417">
        <v>-5364</v>
      </c>
      <c r="AQ399" s="417">
        <v>0</v>
      </c>
      <c r="AR399" s="417">
        <v>0</v>
      </c>
    </row>
    <row r="400" spans="1:44">
      <c r="A400" s="377">
        <v>94117</v>
      </c>
      <c r="B400" t="s">
        <v>1104</v>
      </c>
      <c r="C400" s="378">
        <v>3.5599999999999998E-4</v>
      </c>
      <c r="D400" s="378"/>
      <c r="E400" s="417">
        <v>85335</v>
      </c>
      <c r="F400" s="417">
        <v>23976</v>
      </c>
      <c r="G400" s="417">
        <v>-26718</v>
      </c>
      <c r="H400" s="417">
        <v>-238689</v>
      </c>
      <c r="I400" s="417">
        <v>0</v>
      </c>
      <c r="J400" s="378">
        <v>3.5599999999999998E-4</v>
      </c>
      <c r="K400" s="378"/>
      <c r="L400" s="417">
        <v>87152</v>
      </c>
      <c r="M400" s="417">
        <v>60190</v>
      </c>
      <c r="N400" s="417">
        <v>26348</v>
      </c>
      <c r="O400" s="417">
        <v>0</v>
      </c>
      <c r="P400" s="417">
        <v>0</v>
      </c>
      <c r="Q400" s="378">
        <v>3.5599999999999998E-4</v>
      </c>
      <c r="R400" s="378"/>
      <c r="S400" s="417">
        <v>-178843</v>
      </c>
      <c r="T400" s="417">
        <v>-176774</v>
      </c>
      <c r="U400" s="417">
        <v>-185708</v>
      </c>
      <c r="V400" s="417">
        <v>-238689</v>
      </c>
      <c r="W400" s="417">
        <v>0</v>
      </c>
      <c r="X400" s="378">
        <v>3.5599999999999998E-4</v>
      </c>
      <c r="Z400" s="417">
        <v>142614</v>
      </c>
      <c r="AA400" s="417">
        <v>100194</v>
      </c>
      <c r="AB400" s="417">
        <v>100194</v>
      </c>
      <c r="AC400" s="417">
        <v>0</v>
      </c>
      <c r="AD400" s="417">
        <v>0</v>
      </c>
      <c r="AE400" s="378">
        <v>3.5599999999999998E-4</v>
      </c>
      <c r="AF400" s="378"/>
      <c r="AG400" s="417">
        <v>42257</v>
      </c>
      <c r="AH400" s="417">
        <v>42257</v>
      </c>
      <c r="AI400" s="417">
        <v>32448</v>
      </c>
      <c r="AJ400" s="417">
        <v>0</v>
      </c>
      <c r="AK400" s="417">
        <v>0</v>
      </c>
      <c r="AL400" s="378">
        <v>3.5599999999999998E-4</v>
      </c>
      <c r="AM400" s="378"/>
      <c r="AN400" s="417">
        <v>-7845</v>
      </c>
      <c r="AO400" s="417">
        <v>-1891</v>
      </c>
      <c r="AP400" s="417">
        <v>0</v>
      </c>
      <c r="AQ400" s="417">
        <v>0</v>
      </c>
      <c r="AR400" s="417">
        <v>0</v>
      </c>
    </row>
    <row r="401" spans="1:44">
      <c r="A401" s="377">
        <v>94118</v>
      </c>
      <c r="B401" t="s">
        <v>1105</v>
      </c>
      <c r="C401" s="378">
        <v>1.5090000000000001E-4</v>
      </c>
      <c r="D401" s="378"/>
      <c r="E401" s="417">
        <v>7406</v>
      </c>
      <c r="F401" s="417">
        <v>-20278</v>
      </c>
      <c r="G401" s="417">
        <v>-29392</v>
      </c>
      <c r="H401" s="417">
        <v>-101175</v>
      </c>
      <c r="I401" s="417">
        <v>0</v>
      </c>
      <c r="J401" s="378">
        <v>1.5090000000000001E-4</v>
      </c>
      <c r="K401" s="378"/>
      <c r="L401" s="417">
        <v>36942</v>
      </c>
      <c r="M401" s="417">
        <v>25513</v>
      </c>
      <c r="N401" s="417">
        <v>11168</v>
      </c>
      <c r="O401" s="417">
        <v>0</v>
      </c>
      <c r="P401" s="417">
        <v>0</v>
      </c>
      <c r="Q401" s="378">
        <v>1.5090000000000001E-4</v>
      </c>
      <c r="R401" s="378"/>
      <c r="S401" s="417">
        <v>-75807</v>
      </c>
      <c r="T401" s="417">
        <v>-74930</v>
      </c>
      <c r="U401" s="417">
        <v>-78717</v>
      </c>
      <c r="V401" s="417">
        <v>-101175</v>
      </c>
      <c r="W401" s="417">
        <v>0</v>
      </c>
      <c r="X401" s="378">
        <v>1.5090000000000001E-4</v>
      </c>
      <c r="Z401" s="417">
        <v>60451</v>
      </c>
      <c r="AA401" s="417">
        <v>42470</v>
      </c>
      <c r="AB401" s="417">
        <v>42470</v>
      </c>
      <c r="AC401" s="417">
        <v>0</v>
      </c>
      <c r="AD401" s="417">
        <v>0</v>
      </c>
      <c r="AE401" s="378">
        <v>1.5090000000000001E-4</v>
      </c>
      <c r="AF401" s="378"/>
      <c r="AG401" s="417">
        <v>0</v>
      </c>
      <c r="AH401" s="417">
        <v>0</v>
      </c>
      <c r="AI401" s="417">
        <v>0</v>
      </c>
      <c r="AJ401" s="417">
        <v>0</v>
      </c>
      <c r="AK401" s="417">
        <v>0</v>
      </c>
      <c r="AL401" s="378">
        <v>1.5090000000000001E-4</v>
      </c>
      <c r="AM401" s="378"/>
      <c r="AN401" s="417">
        <v>-14180</v>
      </c>
      <c r="AO401" s="417">
        <v>-13331</v>
      </c>
      <c r="AP401" s="417">
        <v>-4313</v>
      </c>
      <c r="AQ401" s="417">
        <v>0</v>
      </c>
      <c r="AR401" s="417">
        <v>0</v>
      </c>
    </row>
    <row r="402" spans="1:44">
      <c r="A402" s="377">
        <v>94121</v>
      </c>
      <c r="B402" t="s">
        <v>1106</v>
      </c>
      <c r="C402" s="378">
        <v>1.06166E-2</v>
      </c>
      <c r="D402" s="378"/>
      <c r="E402" s="417">
        <v>1495770</v>
      </c>
      <c r="F402" s="417">
        <v>-546093</v>
      </c>
      <c r="G402" s="417">
        <v>-1920237</v>
      </c>
      <c r="H402" s="417">
        <v>-7118154</v>
      </c>
      <c r="I402" s="417">
        <v>0</v>
      </c>
      <c r="J402" s="378">
        <v>1.06166E-2</v>
      </c>
      <c r="K402" s="378"/>
      <c r="L402" s="417">
        <v>2599029</v>
      </c>
      <c r="M402" s="417">
        <v>1794970</v>
      </c>
      <c r="N402" s="417">
        <v>785756</v>
      </c>
      <c r="O402" s="417">
        <v>0</v>
      </c>
      <c r="P402" s="417">
        <v>0</v>
      </c>
      <c r="Q402" s="378">
        <v>1.06166E-2</v>
      </c>
      <c r="R402" s="378"/>
      <c r="S402" s="417">
        <v>-5333440</v>
      </c>
      <c r="T402" s="417">
        <v>-5271726</v>
      </c>
      <c r="U402" s="417">
        <v>-5538160</v>
      </c>
      <c r="V402" s="417">
        <v>-7118154</v>
      </c>
      <c r="W402" s="417">
        <v>0</v>
      </c>
      <c r="X402" s="378">
        <v>1.06166E-2</v>
      </c>
      <c r="Z402" s="417">
        <v>4253031</v>
      </c>
      <c r="AA402" s="417">
        <v>2987989</v>
      </c>
      <c r="AB402" s="417">
        <v>2987968</v>
      </c>
      <c r="AC402" s="417">
        <v>0</v>
      </c>
      <c r="AD402" s="417">
        <v>0</v>
      </c>
      <c r="AE402" s="378">
        <v>1.06166E-2</v>
      </c>
      <c r="AF402" s="378"/>
      <c r="AG402" s="417">
        <v>132950</v>
      </c>
      <c r="AH402" s="417">
        <v>98474</v>
      </c>
      <c r="AI402" s="417">
        <v>0</v>
      </c>
      <c r="AJ402" s="417">
        <v>0</v>
      </c>
      <c r="AK402" s="417">
        <v>0</v>
      </c>
      <c r="AL402" s="378">
        <v>1.06166E-2</v>
      </c>
      <c r="AM402" s="378"/>
      <c r="AN402" s="417">
        <v>-155800</v>
      </c>
      <c r="AO402" s="417">
        <v>-155800</v>
      </c>
      <c r="AP402" s="417">
        <v>-155801</v>
      </c>
      <c r="AQ402" s="417">
        <v>0</v>
      </c>
      <c r="AR402" s="417">
        <v>0</v>
      </c>
    </row>
    <row r="403" spans="1:44">
      <c r="A403" s="377">
        <v>94127</v>
      </c>
      <c r="B403" t="s">
        <v>1107</v>
      </c>
      <c r="C403" s="378">
        <v>1.9210000000000001E-4</v>
      </c>
      <c r="D403" s="378"/>
      <c r="E403" s="417">
        <v>54388</v>
      </c>
      <c r="F403" s="417">
        <v>21188</v>
      </c>
      <c r="G403" s="417">
        <v>-4733</v>
      </c>
      <c r="H403" s="417">
        <v>-128798</v>
      </c>
      <c r="I403" s="417">
        <v>0</v>
      </c>
      <c r="J403" s="378">
        <v>1.9210000000000001E-4</v>
      </c>
      <c r="K403" s="378"/>
      <c r="L403" s="417">
        <v>47028</v>
      </c>
      <c r="M403" s="417">
        <v>32479</v>
      </c>
      <c r="N403" s="417">
        <v>14218</v>
      </c>
      <c r="O403" s="417">
        <v>0</v>
      </c>
      <c r="P403" s="417">
        <v>0</v>
      </c>
      <c r="Q403" s="378">
        <v>1.9210000000000001E-4</v>
      </c>
      <c r="R403" s="378"/>
      <c r="S403" s="417">
        <v>-96505</v>
      </c>
      <c r="T403" s="417">
        <v>-95388</v>
      </c>
      <c r="U403" s="417">
        <v>-100209</v>
      </c>
      <c r="V403" s="417">
        <v>-128798</v>
      </c>
      <c r="W403" s="417">
        <v>0</v>
      </c>
      <c r="X403" s="378">
        <v>1.9210000000000001E-4</v>
      </c>
      <c r="Z403" s="417">
        <v>76956</v>
      </c>
      <c r="AA403" s="417">
        <v>54066</v>
      </c>
      <c r="AB403" s="417">
        <v>54065</v>
      </c>
      <c r="AC403" s="417">
        <v>0</v>
      </c>
      <c r="AD403" s="417">
        <v>0</v>
      </c>
      <c r="AE403" s="378">
        <v>1.9210000000000001E-4</v>
      </c>
      <c r="AF403" s="378"/>
      <c r="AG403" s="417">
        <v>31511</v>
      </c>
      <c r="AH403" s="417">
        <v>31512</v>
      </c>
      <c r="AI403" s="417">
        <v>27193</v>
      </c>
      <c r="AJ403" s="417">
        <v>0</v>
      </c>
      <c r="AK403" s="417">
        <v>0</v>
      </c>
      <c r="AL403" s="378">
        <v>1.9210000000000001E-4</v>
      </c>
      <c r="AM403" s="378"/>
      <c r="AN403" s="417">
        <v>-4602</v>
      </c>
      <c r="AO403" s="417">
        <v>-1481</v>
      </c>
      <c r="AP403" s="417">
        <v>0</v>
      </c>
      <c r="AQ403" s="417">
        <v>0</v>
      </c>
      <c r="AR403" s="417">
        <v>0</v>
      </c>
    </row>
    <row r="404" spans="1:44">
      <c r="A404" s="377">
        <v>94131</v>
      </c>
      <c r="B404" t="s">
        <v>1108</v>
      </c>
      <c r="C404" s="378">
        <v>2.0560000000000001E-4</v>
      </c>
      <c r="D404" s="378"/>
      <c r="E404" s="417">
        <v>35806</v>
      </c>
      <c r="F404" s="417">
        <v>-9237</v>
      </c>
      <c r="G404" s="417">
        <v>-36680</v>
      </c>
      <c r="H404" s="417">
        <v>-137849</v>
      </c>
      <c r="I404" s="417">
        <v>0</v>
      </c>
      <c r="J404" s="378">
        <v>2.0560000000000001E-4</v>
      </c>
      <c r="K404" s="378"/>
      <c r="L404" s="417">
        <v>50333</v>
      </c>
      <c r="M404" s="417">
        <v>34761</v>
      </c>
      <c r="N404" s="417">
        <v>15217</v>
      </c>
      <c r="O404" s="417">
        <v>0</v>
      </c>
      <c r="P404" s="417">
        <v>0</v>
      </c>
      <c r="Q404" s="378">
        <v>2.0560000000000001E-4</v>
      </c>
      <c r="R404" s="378"/>
      <c r="S404" s="417">
        <v>-103287</v>
      </c>
      <c r="T404" s="417">
        <v>-102092</v>
      </c>
      <c r="U404" s="417">
        <v>-107251</v>
      </c>
      <c r="V404" s="417">
        <v>-137849</v>
      </c>
      <c r="W404" s="417">
        <v>0</v>
      </c>
      <c r="X404" s="378">
        <v>2.0560000000000001E-4</v>
      </c>
      <c r="Z404" s="417">
        <v>82364</v>
      </c>
      <c r="AA404" s="417">
        <v>57865</v>
      </c>
      <c r="AB404" s="417">
        <v>57865</v>
      </c>
      <c r="AC404" s="417">
        <v>0</v>
      </c>
      <c r="AD404" s="417">
        <v>0</v>
      </c>
      <c r="AE404" s="378">
        <v>2.0560000000000001E-4</v>
      </c>
      <c r="AF404" s="378"/>
      <c r="AG404" s="417">
        <v>8909</v>
      </c>
      <c r="AH404" s="417">
        <v>2742</v>
      </c>
      <c r="AI404" s="417">
        <v>0</v>
      </c>
      <c r="AJ404" s="417">
        <v>0</v>
      </c>
      <c r="AK404" s="417">
        <v>0</v>
      </c>
      <c r="AL404" s="378">
        <v>2.0560000000000001E-4</v>
      </c>
      <c r="AM404" s="378"/>
      <c r="AN404" s="417">
        <v>-2513</v>
      </c>
      <c r="AO404" s="417">
        <v>-2513</v>
      </c>
      <c r="AP404" s="417">
        <v>-2511</v>
      </c>
      <c r="AQ404" s="417">
        <v>0</v>
      </c>
      <c r="AR404" s="417">
        <v>0</v>
      </c>
    </row>
    <row r="405" spans="1:44">
      <c r="A405" s="377">
        <v>94151</v>
      </c>
      <c r="B405" t="s">
        <v>1109</v>
      </c>
      <c r="C405" s="378">
        <v>4.5780000000000001E-4</v>
      </c>
      <c r="D405" s="378"/>
      <c r="E405" s="417">
        <v>55780</v>
      </c>
      <c r="F405" s="417">
        <v>-33817</v>
      </c>
      <c r="G405" s="417">
        <v>-67441</v>
      </c>
      <c r="H405" s="417">
        <v>-306943</v>
      </c>
      <c r="I405" s="417">
        <v>0</v>
      </c>
      <c r="J405" s="378">
        <v>4.5780000000000001E-4</v>
      </c>
      <c r="K405" s="378"/>
      <c r="L405" s="417">
        <v>112073</v>
      </c>
      <c r="M405" s="417">
        <v>77401</v>
      </c>
      <c r="N405" s="417">
        <v>33883</v>
      </c>
      <c r="O405" s="417">
        <v>0</v>
      </c>
      <c r="P405" s="417">
        <v>0</v>
      </c>
      <c r="Q405" s="378">
        <v>4.5780000000000001E-4</v>
      </c>
      <c r="R405" s="378"/>
      <c r="S405" s="417">
        <v>-229984</v>
      </c>
      <c r="T405" s="417">
        <v>-227323</v>
      </c>
      <c r="U405" s="417">
        <v>-238812</v>
      </c>
      <c r="V405" s="417">
        <v>-306943</v>
      </c>
      <c r="W405" s="417">
        <v>0</v>
      </c>
      <c r="X405" s="378">
        <v>4.5780000000000001E-4</v>
      </c>
      <c r="Z405" s="417">
        <v>183396</v>
      </c>
      <c r="AA405" s="417">
        <v>128846</v>
      </c>
      <c r="AB405" s="417">
        <v>128845</v>
      </c>
      <c r="AC405" s="417">
        <v>0</v>
      </c>
      <c r="AD405" s="417">
        <v>0</v>
      </c>
      <c r="AE405" s="378">
        <v>4.5780000000000001E-4</v>
      </c>
      <c r="AF405" s="378"/>
      <c r="AG405" s="417">
        <v>11680</v>
      </c>
      <c r="AH405" s="417">
        <v>8644</v>
      </c>
      <c r="AI405" s="417">
        <v>8643</v>
      </c>
      <c r="AJ405" s="417">
        <v>0</v>
      </c>
      <c r="AK405" s="417">
        <v>0</v>
      </c>
      <c r="AL405" s="378">
        <v>4.5780000000000001E-4</v>
      </c>
      <c r="AM405" s="378"/>
      <c r="AN405" s="417">
        <v>-21385</v>
      </c>
      <c r="AO405" s="417">
        <v>-21385</v>
      </c>
      <c r="AP405" s="417">
        <v>0</v>
      </c>
      <c r="AQ405" s="417">
        <v>0</v>
      </c>
      <c r="AR405" s="417">
        <v>0</v>
      </c>
    </row>
    <row r="406" spans="1:44">
      <c r="A406" s="377">
        <v>94157</v>
      </c>
      <c r="B406" t="s">
        <v>1110</v>
      </c>
      <c r="C406" s="378">
        <v>1.84E-5</v>
      </c>
      <c r="D406" s="378"/>
      <c r="E406" s="417">
        <v>7891</v>
      </c>
      <c r="F406" s="417">
        <v>4282</v>
      </c>
      <c r="G406" s="417">
        <v>1021</v>
      </c>
      <c r="H406" s="417">
        <v>-12337</v>
      </c>
      <c r="I406" s="417">
        <v>0</v>
      </c>
      <c r="J406" s="378">
        <v>1.84E-5</v>
      </c>
      <c r="K406" s="378"/>
      <c r="L406" s="417">
        <v>4504</v>
      </c>
      <c r="M406" s="417">
        <v>3111</v>
      </c>
      <c r="N406" s="417">
        <v>1362</v>
      </c>
      <c r="O406" s="417">
        <v>0</v>
      </c>
      <c r="P406" s="417">
        <v>0</v>
      </c>
      <c r="Q406" s="378">
        <v>1.84E-5</v>
      </c>
      <c r="R406" s="378"/>
      <c r="S406" s="417">
        <v>-9244</v>
      </c>
      <c r="T406" s="417">
        <v>-9137</v>
      </c>
      <c r="U406" s="417">
        <v>-9598</v>
      </c>
      <c r="V406" s="417">
        <v>-12337</v>
      </c>
      <c r="W406" s="417">
        <v>0</v>
      </c>
      <c r="X406" s="378">
        <v>1.84E-5</v>
      </c>
      <c r="Z406" s="417">
        <v>7371</v>
      </c>
      <c r="AA406" s="417">
        <v>5179</v>
      </c>
      <c r="AB406" s="417">
        <v>5179</v>
      </c>
      <c r="AC406" s="417">
        <v>0</v>
      </c>
      <c r="AD406" s="417">
        <v>0</v>
      </c>
      <c r="AE406" s="378">
        <v>1.84E-5</v>
      </c>
      <c r="AF406" s="378"/>
      <c r="AG406" s="417">
        <v>5260</v>
      </c>
      <c r="AH406" s="417">
        <v>5129</v>
      </c>
      <c r="AI406" s="417">
        <v>4078</v>
      </c>
      <c r="AJ406" s="417">
        <v>0</v>
      </c>
      <c r="AK406" s="417">
        <v>0</v>
      </c>
      <c r="AL406" s="378">
        <v>1.84E-5</v>
      </c>
      <c r="AM406" s="378"/>
      <c r="AN406" s="417">
        <v>0</v>
      </c>
      <c r="AO406" s="417">
        <v>0</v>
      </c>
      <c r="AP406" s="417">
        <v>0</v>
      </c>
      <c r="AQ406" s="417">
        <v>0</v>
      </c>
      <c r="AR406" s="417">
        <v>0</v>
      </c>
    </row>
    <row r="407" spans="1:44">
      <c r="A407" s="377">
        <v>94161</v>
      </c>
      <c r="B407" t="s">
        <v>1111</v>
      </c>
      <c r="C407" s="378">
        <v>5.3900000000000002E-5</v>
      </c>
      <c r="D407" s="378"/>
      <c r="E407" s="417">
        <v>13772</v>
      </c>
      <c r="F407" s="417">
        <v>5447</v>
      </c>
      <c r="G407" s="417">
        <v>-5408</v>
      </c>
      <c r="H407" s="417">
        <v>-36139</v>
      </c>
      <c r="I407" s="417">
        <v>0</v>
      </c>
      <c r="J407" s="378">
        <v>5.3900000000000002E-5</v>
      </c>
      <c r="K407" s="378"/>
      <c r="L407" s="417">
        <v>13195</v>
      </c>
      <c r="M407" s="417">
        <v>9113</v>
      </c>
      <c r="N407" s="417">
        <v>3989</v>
      </c>
      <c r="O407" s="417">
        <v>0</v>
      </c>
      <c r="P407" s="417">
        <v>0</v>
      </c>
      <c r="Q407" s="378">
        <v>5.3900000000000002E-5</v>
      </c>
      <c r="R407" s="378"/>
      <c r="S407" s="417">
        <v>-27078</v>
      </c>
      <c r="T407" s="417">
        <v>-26764</v>
      </c>
      <c r="U407" s="417">
        <v>-28117</v>
      </c>
      <c r="V407" s="417">
        <v>-36139</v>
      </c>
      <c r="W407" s="417">
        <v>0</v>
      </c>
      <c r="X407" s="378">
        <v>5.3900000000000002E-5</v>
      </c>
      <c r="Z407" s="417">
        <v>21592</v>
      </c>
      <c r="AA407" s="417">
        <v>15170</v>
      </c>
      <c r="AB407" s="417">
        <v>15170</v>
      </c>
      <c r="AC407" s="417">
        <v>0</v>
      </c>
      <c r="AD407" s="417">
        <v>0</v>
      </c>
      <c r="AE407" s="378">
        <v>5.3900000000000002E-5</v>
      </c>
      <c r="AF407" s="378"/>
      <c r="AG407" s="417">
        <v>7928</v>
      </c>
      <c r="AH407" s="417">
        <v>7928</v>
      </c>
      <c r="AI407" s="417">
        <v>3550</v>
      </c>
      <c r="AJ407" s="417">
        <v>0</v>
      </c>
      <c r="AK407" s="417">
        <v>0</v>
      </c>
      <c r="AL407" s="378">
        <v>5.3900000000000002E-5</v>
      </c>
      <c r="AM407" s="378"/>
      <c r="AN407" s="417">
        <v>-1865</v>
      </c>
      <c r="AO407" s="417">
        <v>0</v>
      </c>
      <c r="AP407" s="417">
        <v>0</v>
      </c>
      <c r="AQ407" s="417">
        <v>0</v>
      </c>
      <c r="AR407" s="417">
        <v>0</v>
      </c>
    </row>
    <row r="408" spans="1:44">
      <c r="A408" s="377">
        <v>94168</v>
      </c>
      <c r="B408" t="s">
        <v>1112</v>
      </c>
      <c r="C408" s="378">
        <v>7.7999999999999999E-5</v>
      </c>
      <c r="D408" s="378"/>
      <c r="E408" s="417">
        <v>23711</v>
      </c>
      <c r="F408" s="417">
        <v>4974</v>
      </c>
      <c r="G408" s="417">
        <v>-8756</v>
      </c>
      <c r="H408" s="417">
        <v>-52297</v>
      </c>
      <c r="I408" s="417">
        <v>0</v>
      </c>
      <c r="J408" s="378">
        <v>7.7999999999999999E-5</v>
      </c>
      <c r="K408" s="378"/>
      <c r="L408" s="417">
        <v>19095</v>
      </c>
      <c r="M408" s="417">
        <v>13188</v>
      </c>
      <c r="N408" s="417">
        <v>5773</v>
      </c>
      <c r="O408" s="417">
        <v>0</v>
      </c>
      <c r="P408" s="417">
        <v>0</v>
      </c>
      <c r="Q408" s="378">
        <v>7.7999999999999999E-5</v>
      </c>
      <c r="R408" s="378"/>
      <c r="S408" s="417">
        <v>-39185</v>
      </c>
      <c r="T408" s="417">
        <v>-38731</v>
      </c>
      <c r="U408" s="417">
        <v>-40689</v>
      </c>
      <c r="V408" s="417">
        <v>-52297</v>
      </c>
      <c r="W408" s="417">
        <v>0</v>
      </c>
      <c r="X408" s="378">
        <v>7.7999999999999999E-5</v>
      </c>
      <c r="Z408" s="417">
        <v>31247</v>
      </c>
      <c r="AA408" s="417">
        <v>21953</v>
      </c>
      <c r="AB408" s="417">
        <v>21953</v>
      </c>
      <c r="AC408" s="417">
        <v>0</v>
      </c>
      <c r="AD408" s="417">
        <v>0</v>
      </c>
      <c r="AE408" s="378">
        <v>7.7999999999999999E-5</v>
      </c>
      <c r="AF408" s="378"/>
      <c r="AG408" s="417">
        <v>12554</v>
      </c>
      <c r="AH408" s="417">
        <v>8564</v>
      </c>
      <c r="AI408" s="417">
        <v>4207</v>
      </c>
      <c r="AJ408" s="417">
        <v>0</v>
      </c>
      <c r="AK408" s="417">
        <v>0</v>
      </c>
      <c r="AL408" s="378">
        <v>7.7999999999999999E-5</v>
      </c>
      <c r="AM408" s="378"/>
      <c r="AN408" s="417">
        <v>0</v>
      </c>
      <c r="AO408" s="417">
        <v>0</v>
      </c>
      <c r="AP408" s="417">
        <v>0</v>
      </c>
      <c r="AQ408" s="417">
        <v>0</v>
      </c>
      <c r="AR408" s="417">
        <v>0</v>
      </c>
    </row>
    <row r="409" spans="1:44">
      <c r="A409" s="377">
        <v>94171</v>
      </c>
      <c r="B409" t="s">
        <v>1113</v>
      </c>
      <c r="C409" s="378">
        <v>7.6500000000000003E-5</v>
      </c>
      <c r="D409" s="378"/>
      <c r="E409" s="417">
        <v>10892</v>
      </c>
      <c r="F409" s="417">
        <v>-4027</v>
      </c>
      <c r="G409" s="417">
        <v>-11129</v>
      </c>
      <c r="H409" s="417">
        <v>-51291</v>
      </c>
      <c r="I409" s="417">
        <v>0</v>
      </c>
      <c r="J409" s="378">
        <v>7.6500000000000003E-5</v>
      </c>
      <c r="K409" s="378"/>
      <c r="L409" s="417">
        <v>18728</v>
      </c>
      <c r="M409" s="417">
        <v>12934</v>
      </c>
      <c r="N409" s="417">
        <v>5662</v>
      </c>
      <c r="O409" s="417">
        <v>0</v>
      </c>
      <c r="P409" s="417">
        <v>0</v>
      </c>
      <c r="Q409" s="378">
        <v>7.6500000000000003E-5</v>
      </c>
      <c r="R409" s="378"/>
      <c r="S409" s="417">
        <v>-38431</v>
      </c>
      <c r="T409" s="417">
        <v>-37986</v>
      </c>
      <c r="U409" s="417">
        <v>-39906</v>
      </c>
      <c r="V409" s="417">
        <v>-51291</v>
      </c>
      <c r="W409" s="417">
        <v>0</v>
      </c>
      <c r="X409" s="378">
        <v>7.6500000000000003E-5</v>
      </c>
      <c r="Z409" s="417">
        <v>30646</v>
      </c>
      <c r="AA409" s="417">
        <v>21531</v>
      </c>
      <c r="AB409" s="417">
        <v>21530</v>
      </c>
      <c r="AC409" s="417">
        <v>0</v>
      </c>
      <c r="AD409" s="417">
        <v>0</v>
      </c>
      <c r="AE409" s="378">
        <v>7.6500000000000003E-5</v>
      </c>
      <c r="AF409" s="378"/>
      <c r="AG409" s="417">
        <v>4096</v>
      </c>
      <c r="AH409" s="417">
        <v>3640</v>
      </c>
      <c r="AI409" s="417">
        <v>1585</v>
      </c>
      <c r="AJ409" s="417">
        <v>0</v>
      </c>
      <c r="AK409" s="417">
        <v>0</v>
      </c>
      <c r="AL409" s="378">
        <v>7.6500000000000003E-5</v>
      </c>
      <c r="AM409" s="378"/>
      <c r="AN409" s="417">
        <v>-4147</v>
      </c>
      <c r="AO409" s="417">
        <v>-4146</v>
      </c>
      <c r="AP409" s="417">
        <v>0</v>
      </c>
      <c r="AQ409" s="417">
        <v>0</v>
      </c>
      <c r="AR409" s="417">
        <v>0</v>
      </c>
    </row>
    <row r="410" spans="1:44">
      <c r="A410" s="377">
        <v>94172</v>
      </c>
      <c r="B410" t="s">
        <v>1114</v>
      </c>
      <c r="C410" s="378">
        <v>2.9910000000000001E-4</v>
      </c>
      <c r="D410" s="378"/>
      <c r="E410" s="417">
        <v>25967</v>
      </c>
      <c r="F410" s="417">
        <v>-27357</v>
      </c>
      <c r="G410" s="417">
        <v>-42753</v>
      </c>
      <c r="H410" s="417">
        <v>-200539</v>
      </c>
      <c r="I410" s="417">
        <v>0</v>
      </c>
      <c r="J410" s="378">
        <v>2.9910000000000001E-4</v>
      </c>
      <c r="K410" s="378"/>
      <c r="L410" s="417">
        <v>73222</v>
      </c>
      <c r="M410" s="417">
        <v>50569</v>
      </c>
      <c r="N410" s="417">
        <v>22137</v>
      </c>
      <c r="O410" s="417">
        <v>0</v>
      </c>
      <c r="P410" s="417">
        <v>0</v>
      </c>
      <c r="Q410" s="378">
        <v>2.9910000000000001E-4</v>
      </c>
      <c r="R410" s="378"/>
      <c r="S410" s="417">
        <v>-150258</v>
      </c>
      <c r="T410" s="417">
        <v>-148520</v>
      </c>
      <c r="U410" s="417">
        <v>-156026</v>
      </c>
      <c r="V410" s="417">
        <v>-200539</v>
      </c>
      <c r="W410" s="417">
        <v>0</v>
      </c>
      <c r="X410" s="378">
        <v>2.9910000000000001E-4</v>
      </c>
      <c r="Z410" s="417">
        <v>119820</v>
      </c>
      <c r="AA410" s="417">
        <v>84180</v>
      </c>
      <c r="AB410" s="417">
        <v>84180</v>
      </c>
      <c r="AC410" s="417">
        <v>0</v>
      </c>
      <c r="AD410" s="417">
        <v>0</v>
      </c>
      <c r="AE410" s="378">
        <v>2.9910000000000001E-4</v>
      </c>
      <c r="AF410" s="378"/>
      <c r="AG410" s="417">
        <v>6958</v>
      </c>
      <c r="AH410" s="417">
        <v>6958</v>
      </c>
      <c r="AI410" s="417">
        <v>6956</v>
      </c>
      <c r="AJ410" s="417">
        <v>0</v>
      </c>
      <c r="AK410" s="417">
        <v>0</v>
      </c>
      <c r="AL410" s="378">
        <v>2.9910000000000001E-4</v>
      </c>
      <c r="AM410" s="378"/>
      <c r="AN410" s="417">
        <v>-23775</v>
      </c>
      <c r="AO410" s="417">
        <v>-20544</v>
      </c>
      <c r="AP410" s="417">
        <v>0</v>
      </c>
      <c r="AQ410" s="417">
        <v>0</v>
      </c>
      <c r="AR410" s="417">
        <v>0</v>
      </c>
    </row>
    <row r="411" spans="1:44">
      <c r="A411" s="377">
        <v>94201</v>
      </c>
      <c r="B411" t="s">
        <v>1115</v>
      </c>
      <c r="C411" s="378">
        <v>2.9031E-3</v>
      </c>
      <c r="D411" s="378"/>
      <c r="E411" s="417">
        <v>299733</v>
      </c>
      <c r="F411" s="417">
        <v>-240829</v>
      </c>
      <c r="G411" s="417">
        <v>-517014</v>
      </c>
      <c r="H411" s="417">
        <v>-1946453</v>
      </c>
      <c r="I411" s="417">
        <v>0</v>
      </c>
      <c r="J411" s="378">
        <v>2.9031E-3</v>
      </c>
      <c r="K411" s="378"/>
      <c r="L411" s="417">
        <v>710702</v>
      </c>
      <c r="M411" s="417">
        <v>490833</v>
      </c>
      <c r="N411" s="417">
        <v>214864</v>
      </c>
      <c r="O411" s="417">
        <v>0</v>
      </c>
      <c r="P411" s="417">
        <v>0</v>
      </c>
      <c r="Q411" s="378">
        <v>2.9031E-3</v>
      </c>
      <c r="R411" s="378"/>
      <c r="S411" s="417">
        <v>-1458425</v>
      </c>
      <c r="T411" s="417">
        <v>-1441549</v>
      </c>
      <c r="U411" s="417">
        <v>-1514405</v>
      </c>
      <c r="V411" s="417">
        <v>-1946453</v>
      </c>
      <c r="W411" s="417">
        <v>0</v>
      </c>
      <c r="X411" s="378">
        <v>2.9031E-3</v>
      </c>
      <c r="Z411" s="417">
        <v>1162988</v>
      </c>
      <c r="AA411" s="417">
        <v>817063</v>
      </c>
      <c r="AB411" s="417">
        <v>817057</v>
      </c>
      <c r="AC411" s="417">
        <v>0</v>
      </c>
      <c r="AD411" s="417">
        <v>0</v>
      </c>
      <c r="AE411" s="378">
        <v>2.9031E-3</v>
      </c>
      <c r="AF411" s="378"/>
      <c r="AG411" s="417">
        <v>2616</v>
      </c>
      <c r="AH411" s="417">
        <v>2614</v>
      </c>
      <c r="AI411" s="417">
        <v>0</v>
      </c>
      <c r="AJ411" s="417">
        <v>0</v>
      </c>
      <c r="AK411" s="417">
        <v>0</v>
      </c>
      <c r="AL411" s="378">
        <v>2.9031E-3</v>
      </c>
      <c r="AM411" s="378"/>
      <c r="AN411" s="417">
        <v>-118148</v>
      </c>
      <c r="AO411" s="417">
        <v>-109790</v>
      </c>
      <c r="AP411" s="417">
        <v>-34530</v>
      </c>
      <c r="AQ411" s="417">
        <v>0</v>
      </c>
      <c r="AR411" s="417">
        <v>0</v>
      </c>
    </row>
    <row r="412" spans="1:44">
      <c r="A412" s="377">
        <v>94204</v>
      </c>
      <c r="B412" t="s">
        <v>1116</v>
      </c>
      <c r="C412" s="378">
        <v>3.8999999999999999E-5</v>
      </c>
      <c r="D412" s="378"/>
      <c r="E412" s="417">
        <v>14753</v>
      </c>
      <c r="F412" s="417">
        <v>6103</v>
      </c>
      <c r="G412" s="417">
        <v>-2641</v>
      </c>
      <c r="H412" s="417">
        <v>-26148</v>
      </c>
      <c r="I412" s="417">
        <v>0</v>
      </c>
      <c r="J412" s="378">
        <v>3.8999999999999999E-5</v>
      </c>
      <c r="K412" s="378"/>
      <c r="L412" s="417">
        <v>9548</v>
      </c>
      <c r="M412" s="417">
        <v>6594</v>
      </c>
      <c r="N412" s="417">
        <v>2886</v>
      </c>
      <c r="O412" s="417">
        <v>0</v>
      </c>
      <c r="P412" s="417">
        <v>0</v>
      </c>
      <c r="Q412" s="378">
        <v>3.8999999999999999E-5</v>
      </c>
      <c r="R412" s="378"/>
      <c r="S412" s="417">
        <v>-19592</v>
      </c>
      <c r="T412" s="417">
        <v>-19366</v>
      </c>
      <c r="U412" s="417">
        <v>-20344</v>
      </c>
      <c r="V412" s="417">
        <v>-26148</v>
      </c>
      <c r="W412" s="417">
        <v>0</v>
      </c>
      <c r="X412" s="378">
        <v>3.8999999999999999E-5</v>
      </c>
      <c r="Z412" s="417">
        <v>15623</v>
      </c>
      <c r="AA412" s="417">
        <v>10976</v>
      </c>
      <c r="AB412" s="417">
        <v>10976</v>
      </c>
      <c r="AC412" s="417">
        <v>0</v>
      </c>
      <c r="AD412" s="417">
        <v>0</v>
      </c>
      <c r="AE412" s="378">
        <v>3.8999999999999999E-5</v>
      </c>
      <c r="AF412" s="378"/>
      <c r="AG412" s="417">
        <v>9174</v>
      </c>
      <c r="AH412" s="417">
        <v>7899</v>
      </c>
      <c r="AI412" s="417">
        <v>3841</v>
      </c>
      <c r="AJ412" s="417">
        <v>0</v>
      </c>
      <c r="AK412" s="417">
        <v>0</v>
      </c>
      <c r="AL412" s="378">
        <v>3.8999999999999999E-5</v>
      </c>
      <c r="AM412" s="378"/>
      <c r="AN412" s="417">
        <v>0</v>
      </c>
      <c r="AO412" s="417">
        <v>0</v>
      </c>
      <c r="AP412" s="417">
        <v>0</v>
      </c>
      <c r="AQ412" s="417">
        <v>0</v>
      </c>
      <c r="AR412" s="417">
        <v>0</v>
      </c>
    </row>
    <row r="413" spans="1:44">
      <c r="A413" s="377">
        <v>94205</v>
      </c>
      <c r="B413" t="s">
        <v>1117</v>
      </c>
      <c r="C413" s="378">
        <v>1.31E-5</v>
      </c>
      <c r="D413" s="378"/>
      <c r="E413" s="417">
        <v>3585</v>
      </c>
      <c r="F413" s="417">
        <v>975</v>
      </c>
      <c r="G413" s="417">
        <v>-1520</v>
      </c>
      <c r="H413" s="417">
        <v>-8783</v>
      </c>
      <c r="I413" s="417">
        <v>0</v>
      </c>
      <c r="J413" s="378">
        <v>1.31E-5</v>
      </c>
      <c r="K413" s="378"/>
      <c r="L413" s="417">
        <v>3207</v>
      </c>
      <c r="M413" s="417">
        <v>2215</v>
      </c>
      <c r="N413" s="417">
        <v>970</v>
      </c>
      <c r="O413" s="417">
        <v>0</v>
      </c>
      <c r="P413" s="417">
        <v>0</v>
      </c>
      <c r="Q413" s="378">
        <v>1.31E-5</v>
      </c>
      <c r="R413" s="378"/>
      <c r="S413" s="417">
        <v>-6581</v>
      </c>
      <c r="T413" s="417">
        <v>-6505</v>
      </c>
      <c r="U413" s="417">
        <v>-6834</v>
      </c>
      <c r="V413" s="417">
        <v>-8783</v>
      </c>
      <c r="W413" s="417">
        <v>0</v>
      </c>
      <c r="X413" s="378">
        <v>1.31E-5</v>
      </c>
      <c r="Z413" s="417">
        <v>5248</v>
      </c>
      <c r="AA413" s="417">
        <v>3687</v>
      </c>
      <c r="AB413" s="417">
        <v>3687</v>
      </c>
      <c r="AC413" s="417">
        <v>0</v>
      </c>
      <c r="AD413" s="417">
        <v>0</v>
      </c>
      <c r="AE413" s="378">
        <v>1.31E-5</v>
      </c>
      <c r="AF413" s="378"/>
      <c r="AG413" s="417">
        <v>1711</v>
      </c>
      <c r="AH413" s="417">
        <v>1578</v>
      </c>
      <c r="AI413" s="417">
        <v>657</v>
      </c>
      <c r="AJ413" s="417">
        <v>0</v>
      </c>
      <c r="AK413" s="417">
        <v>0</v>
      </c>
      <c r="AL413" s="378">
        <v>1.31E-5</v>
      </c>
      <c r="AM413" s="378"/>
      <c r="AN413" s="417">
        <v>0</v>
      </c>
      <c r="AO413" s="417">
        <v>0</v>
      </c>
      <c r="AP413" s="417">
        <v>0</v>
      </c>
      <c r="AQ413" s="417">
        <v>0</v>
      </c>
      <c r="AR413" s="417">
        <v>0</v>
      </c>
    </row>
    <row r="414" spans="1:44">
      <c r="A414" s="377">
        <v>94209</v>
      </c>
      <c r="B414" t="s">
        <v>1118</v>
      </c>
      <c r="C414" s="378">
        <v>2.9789999999999998E-4</v>
      </c>
      <c r="D414" s="378"/>
      <c r="E414" s="417">
        <v>30386</v>
      </c>
      <c r="F414" s="417">
        <v>-21673</v>
      </c>
      <c r="G414" s="417">
        <v>-55984</v>
      </c>
      <c r="H414" s="417">
        <v>-199734</v>
      </c>
      <c r="I414" s="417">
        <v>0</v>
      </c>
      <c r="J414" s="378">
        <v>2.9789999999999998E-4</v>
      </c>
      <c r="K414" s="378"/>
      <c r="L414" s="417">
        <v>72928</v>
      </c>
      <c r="M414" s="417">
        <v>50367</v>
      </c>
      <c r="N414" s="417">
        <v>22048</v>
      </c>
      <c r="O414" s="417">
        <v>0</v>
      </c>
      <c r="P414" s="417">
        <v>0</v>
      </c>
      <c r="Q414" s="378">
        <v>2.9789999999999998E-4</v>
      </c>
      <c r="R414" s="378"/>
      <c r="S414" s="417">
        <v>-149655</v>
      </c>
      <c r="T414" s="417">
        <v>-147924</v>
      </c>
      <c r="U414" s="417">
        <v>-155400</v>
      </c>
      <c r="V414" s="417">
        <v>-199734</v>
      </c>
      <c r="W414" s="417">
        <v>0</v>
      </c>
      <c r="X414" s="378">
        <v>2.9789999999999998E-4</v>
      </c>
      <c r="Z414" s="417">
        <v>119339</v>
      </c>
      <c r="AA414" s="417">
        <v>83842</v>
      </c>
      <c r="AB414" s="417">
        <v>83842</v>
      </c>
      <c r="AC414" s="417">
        <v>0</v>
      </c>
      <c r="AD414" s="417">
        <v>0</v>
      </c>
      <c r="AE414" s="378">
        <v>2.9789999999999998E-4</v>
      </c>
      <c r="AF414" s="378"/>
      <c r="AG414" s="417">
        <v>1780</v>
      </c>
      <c r="AH414" s="417">
        <v>1781</v>
      </c>
      <c r="AI414" s="417">
        <v>0</v>
      </c>
      <c r="AJ414" s="417">
        <v>0</v>
      </c>
      <c r="AK414" s="417">
        <v>0</v>
      </c>
      <c r="AL414" s="378">
        <v>2.9789999999999998E-4</v>
      </c>
      <c r="AM414" s="378"/>
      <c r="AN414" s="417">
        <v>-14006</v>
      </c>
      <c r="AO414" s="417">
        <v>-9739</v>
      </c>
      <c r="AP414" s="417">
        <v>-6474</v>
      </c>
      <c r="AQ414" s="417">
        <v>0</v>
      </c>
      <c r="AR414" s="417">
        <v>0</v>
      </c>
    </row>
    <row r="415" spans="1:44">
      <c r="A415" s="377">
        <v>94211</v>
      </c>
      <c r="B415" t="s">
        <v>1119</v>
      </c>
      <c r="C415" s="378">
        <v>1.225E-4</v>
      </c>
      <c r="D415" s="378"/>
      <c r="E415" s="417">
        <v>4392</v>
      </c>
      <c r="F415" s="417">
        <v>-20202</v>
      </c>
      <c r="G415" s="417">
        <v>-31066</v>
      </c>
      <c r="H415" s="417">
        <v>-82133</v>
      </c>
      <c r="I415" s="417">
        <v>0</v>
      </c>
      <c r="J415" s="378">
        <v>1.225E-4</v>
      </c>
      <c r="K415" s="378"/>
      <c r="L415" s="417">
        <v>29989</v>
      </c>
      <c r="M415" s="417">
        <v>20711</v>
      </c>
      <c r="N415" s="417">
        <v>9066</v>
      </c>
      <c r="O415" s="417">
        <v>0</v>
      </c>
      <c r="P415" s="417">
        <v>0</v>
      </c>
      <c r="Q415" s="378">
        <v>1.225E-4</v>
      </c>
      <c r="R415" s="378"/>
      <c r="S415" s="417">
        <v>-61540</v>
      </c>
      <c r="T415" s="417">
        <v>-60828</v>
      </c>
      <c r="U415" s="417">
        <v>-63902</v>
      </c>
      <c r="V415" s="417">
        <v>-82133</v>
      </c>
      <c r="W415" s="417">
        <v>0</v>
      </c>
      <c r="X415" s="378">
        <v>1.225E-4</v>
      </c>
      <c r="Z415" s="417">
        <v>49074</v>
      </c>
      <c r="AA415" s="417">
        <v>34477</v>
      </c>
      <c r="AB415" s="417">
        <v>34477</v>
      </c>
      <c r="AC415" s="417">
        <v>0</v>
      </c>
      <c r="AD415" s="417">
        <v>0</v>
      </c>
      <c r="AE415" s="378">
        <v>1.225E-4</v>
      </c>
      <c r="AF415" s="378"/>
      <c r="AG415" s="417">
        <v>1432</v>
      </c>
      <c r="AH415" s="417">
        <v>0</v>
      </c>
      <c r="AI415" s="417">
        <v>0</v>
      </c>
      <c r="AJ415" s="417">
        <v>0</v>
      </c>
      <c r="AK415" s="417">
        <v>0</v>
      </c>
      <c r="AL415" s="378">
        <v>1.225E-4</v>
      </c>
      <c r="AM415" s="378"/>
      <c r="AN415" s="417">
        <v>-14563</v>
      </c>
      <c r="AO415" s="417">
        <v>-14562</v>
      </c>
      <c r="AP415" s="417">
        <v>-10707</v>
      </c>
      <c r="AQ415" s="417">
        <v>0</v>
      </c>
      <c r="AR415" s="417">
        <v>0</v>
      </c>
    </row>
    <row r="416" spans="1:44">
      <c r="A416" s="377">
        <v>94221</v>
      </c>
      <c r="B416" t="s">
        <v>1120</v>
      </c>
      <c r="C416" s="378">
        <v>8.476E-4</v>
      </c>
      <c r="D416" s="378"/>
      <c r="E416" s="417">
        <v>12602</v>
      </c>
      <c r="F416" s="417">
        <v>-141757</v>
      </c>
      <c r="G416" s="417">
        <v>-218722</v>
      </c>
      <c r="H416" s="417">
        <v>-568294</v>
      </c>
      <c r="I416" s="417">
        <v>0</v>
      </c>
      <c r="J416" s="378">
        <v>8.476E-4</v>
      </c>
      <c r="K416" s="378"/>
      <c r="L416" s="417">
        <v>207499</v>
      </c>
      <c r="M416" s="417">
        <v>143305</v>
      </c>
      <c r="N416" s="417">
        <v>62733</v>
      </c>
      <c r="O416" s="417">
        <v>0</v>
      </c>
      <c r="P416" s="417">
        <v>0</v>
      </c>
      <c r="Q416" s="378">
        <v>8.476E-4</v>
      </c>
      <c r="R416" s="378"/>
      <c r="S416" s="417">
        <v>-425807</v>
      </c>
      <c r="T416" s="417">
        <v>-420880</v>
      </c>
      <c r="U416" s="417">
        <v>-442151</v>
      </c>
      <c r="V416" s="417">
        <v>-568294</v>
      </c>
      <c r="W416" s="417">
        <v>0</v>
      </c>
      <c r="X416" s="378">
        <v>8.476E-4</v>
      </c>
      <c r="Z416" s="417">
        <v>339550</v>
      </c>
      <c r="AA416" s="417">
        <v>238553</v>
      </c>
      <c r="AB416" s="417">
        <v>238551</v>
      </c>
      <c r="AC416" s="417">
        <v>0</v>
      </c>
      <c r="AD416" s="417">
        <v>0</v>
      </c>
      <c r="AE416" s="378">
        <v>8.476E-4</v>
      </c>
      <c r="AF416" s="378"/>
      <c r="AG416" s="417">
        <v>0</v>
      </c>
      <c r="AH416" s="417">
        <v>0</v>
      </c>
      <c r="AI416" s="417">
        <v>0</v>
      </c>
      <c r="AJ416" s="417">
        <v>0</v>
      </c>
      <c r="AK416" s="417">
        <v>0</v>
      </c>
      <c r="AL416" s="378">
        <v>8.476E-4</v>
      </c>
      <c r="AM416" s="378"/>
      <c r="AN416" s="417">
        <v>-108640</v>
      </c>
      <c r="AO416" s="417">
        <v>-102735</v>
      </c>
      <c r="AP416" s="417">
        <v>-77855</v>
      </c>
      <c r="AQ416" s="417">
        <v>0</v>
      </c>
      <c r="AR416" s="417">
        <v>0</v>
      </c>
    </row>
    <row r="417" spans="1:44">
      <c r="A417" s="377">
        <v>94231</v>
      </c>
      <c r="B417" t="s">
        <v>1121</v>
      </c>
      <c r="C417" s="378">
        <v>1.438E-4</v>
      </c>
      <c r="D417" s="378"/>
      <c r="E417" s="417">
        <v>11304</v>
      </c>
      <c r="F417" s="417">
        <v>-9694</v>
      </c>
      <c r="G417" s="417">
        <v>-11297</v>
      </c>
      <c r="H417" s="417">
        <v>-96414</v>
      </c>
      <c r="I417" s="417">
        <v>0</v>
      </c>
      <c r="J417" s="378">
        <v>1.438E-4</v>
      </c>
      <c r="K417" s="378"/>
      <c r="L417" s="417">
        <v>35203</v>
      </c>
      <c r="M417" s="417">
        <v>24313</v>
      </c>
      <c r="N417" s="417">
        <v>10643</v>
      </c>
      <c r="O417" s="417">
        <v>0</v>
      </c>
      <c r="P417" s="417">
        <v>0</v>
      </c>
      <c r="Q417" s="378">
        <v>1.438E-4</v>
      </c>
      <c r="R417" s="378"/>
      <c r="S417" s="417">
        <v>-72241</v>
      </c>
      <c r="T417" s="417">
        <v>-71405</v>
      </c>
      <c r="U417" s="417">
        <v>-75013</v>
      </c>
      <c r="V417" s="417">
        <v>-96414</v>
      </c>
      <c r="W417" s="417">
        <v>0</v>
      </c>
      <c r="X417" s="378">
        <v>1.438E-4</v>
      </c>
      <c r="Z417" s="417">
        <v>57607</v>
      </c>
      <c r="AA417" s="417">
        <v>40472</v>
      </c>
      <c r="AB417" s="417">
        <v>40472</v>
      </c>
      <c r="AC417" s="417">
        <v>0</v>
      </c>
      <c r="AD417" s="417">
        <v>0</v>
      </c>
      <c r="AE417" s="378">
        <v>1.438E-4</v>
      </c>
      <c r="AF417" s="378"/>
      <c r="AG417" s="417">
        <v>12603</v>
      </c>
      <c r="AH417" s="417">
        <v>12603</v>
      </c>
      <c r="AI417" s="417">
        <v>12601</v>
      </c>
      <c r="AJ417" s="417">
        <v>0</v>
      </c>
      <c r="AK417" s="417">
        <v>0</v>
      </c>
      <c r="AL417" s="378">
        <v>1.438E-4</v>
      </c>
      <c r="AM417" s="378"/>
      <c r="AN417" s="417">
        <v>-21868</v>
      </c>
      <c r="AO417" s="417">
        <v>-15677</v>
      </c>
      <c r="AP417" s="417">
        <v>0</v>
      </c>
      <c r="AQ417" s="417">
        <v>0</v>
      </c>
      <c r="AR417" s="417">
        <v>0</v>
      </c>
    </row>
    <row r="418" spans="1:44">
      <c r="A418" s="377">
        <v>94241</v>
      </c>
      <c r="B418" t="s">
        <v>1122</v>
      </c>
      <c r="C418" s="378">
        <v>1.6980000000000001E-4</v>
      </c>
      <c r="D418" s="378"/>
      <c r="E418" s="417">
        <v>53618</v>
      </c>
      <c r="F418" s="417">
        <v>23211</v>
      </c>
      <c r="G418" s="417">
        <v>-9762</v>
      </c>
      <c r="H418" s="417">
        <v>-113846</v>
      </c>
      <c r="I418" s="417">
        <v>0</v>
      </c>
      <c r="J418" s="378">
        <v>1.6980000000000001E-4</v>
      </c>
      <c r="K418" s="378"/>
      <c r="L418" s="417">
        <v>41568</v>
      </c>
      <c r="M418" s="417">
        <v>28708</v>
      </c>
      <c r="N418" s="417">
        <v>12567</v>
      </c>
      <c r="O418" s="417">
        <v>0</v>
      </c>
      <c r="P418" s="417">
        <v>0</v>
      </c>
      <c r="Q418" s="378">
        <v>1.6980000000000001E-4</v>
      </c>
      <c r="R418" s="378"/>
      <c r="S418" s="417">
        <v>-85302</v>
      </c>
      <c r="T418" s="417">
        <v>-84315</v>
      </c>
      <c r="U418" s="417">
        <v>-88576</v>
      </c>
      <c r="V418" s="417">
        <v>-113846</v>
      </c>
      <c r="W418" s="417">
        <v>0</v>
      </c>
      <c r="X418" s="378">
        <v>1.6980000000000001E-4</v>
      </c>
      <c r="Z418" s="417">
        <v>68022</v>
      </c>
      <c r="AA418" s="417">
        <v>47789</v>
      </c>
      <c r="AB418" s="417">
        <v>47789</v>
      </c>
      <c r="AC418" s="417">
        <v>0</v>
      </c>
      <c r="AD418" s="417">
        <v>0</v>
      </c>
      <c r="AE418" s="378">
        <v>1.6980000000000001E-4</v>
      </c>
      <c r="AF418" s="378"/>
      <c r="AG418" s="417">
        <v>33298</v>
      </c>
      <c r="AH418" s="417">
        <v>33297</v>
      </c>
      <c r="AI418" s="417">
        <v>18458</v>
      </c>
      <c r="AJ418" s="417">
        <v>0</v>
      </c>
      <c r="AK418" s="417">
        <v>0</v>
      </c>
      <c r="AL418" s="378">
        <v>1.6980000000000001E-4</v>
      </c>
      <c r="AM418" s="378"/>
      <c r="AN418" s="417">
        <v>-3968</v>
      </c>
      <c r="AO418" s="417">
        <v>-2268</v>
      </c>
      <c r="AP418" s="417">
        <v>0</v>
      </c>
      <c r="AQ418" s="417">
        <v>0</v>
      </c>
      <c r="AR418" s="417">
        <v>0</v>
      </c>
    </row>
    <row r="419" spans="1:44">
      <c r="A419" s="377">
        <v>94251</v>
      </c>
      <c r="B419" t="s">
        <v>1123</v>
      </c>
      <c r="C419" s="378">
        <v>1.91E-5</v>
      </c>
      <c r="D419" s="378"/>
      <c r="E419" s="417">
        <v>3434</v>
      </c>
      <c r="F419" s="417">
        <v>88</v>
      </c>
      <c r="G419" s="417">
        <v>-2766</v>
      </c>
      <c r="H419" s="417">
        <v>-12806</v>
      </c>
      <c r="I419" s="417">
        <v>0</v>
      </c>
      <c r="J419" s="378">
        <v>1.91E-5</v>
      </c>
      <c r="K419" s="378"/>
      <c r="L419" s="417">
        <v>4676</v>
      </c>
      <c r="M419" s="417">
        <v>3229</v>
      </c>
      <c r="N419" s="417">
        <v>1414</v>
      </c>
      <c r="O419" s="417">
        <v>0</v>
      </c>
      <c r="P419" s="417">
        <v>0</v>
      </c>
      <c r="Q419" s="378">
        <v>1.91E-5</v>
      </c>
      <c r="R419" s="378"/>
      <c r="S419" s="417">
        <v>-9595</v>
      </c>
      <c r="T419" s="417">
        <v>-9484</v>
      </c>
      <c r="U419" s="417">
        <v>-9964</v>
      </c>
      <c r="V419" s="417">
        <v>-12806</v>
      </c>
      <c r="W419" s="417">
        <v>0</v>
      </c>
      <c r="X419" s="378">
        <v>1.91E-5</v>
      </c>
      <c r="Z419" s="417">
        <v>7651</v>
      </c>
      <c r="AA419" s="417">
        <v>5376</v>
      </c>
      <c r="AB419" s="417">
        <v>5376</v>
      </c>
      <c r="AC419" s="417">
        <v>0</v>
      </c>
      <c r="AD419" s="417">
        <v>0</v>
      </c>
      <c r="AE419" s="378">
        <v>1.91E-5</v>
      </c>
      <c r="AF419" s="378"/>
      <c r="AG419" s="417">
        <v>967</v>
      </c>
      <c r="AH419" s="417">
        <v>967</v>
      </c>
      <c r="AI419" s="417">
        <v>408</v>
      </c>
      <c r="AJ419" s="417">
        <v>0</v>
      </c>
      <c r="AK419" s="417">
        <v>0</v>
      </c>
      <c r="AL419" s="378">
        <v>1.91E-5</v>
      </c>
      <c r="AM419" s="378"/>
      <c r="AN419" s="417">
        <v>-265</v>
      </c>
      <c r="AO419" s="417">
        <v>0</v>
      </c>
      <c r="AP419" s="417">
        <v>0</v>
      </c>
      <c r="AQ419" s="417">
        <v>0</v>
      </c>
      <c r="AR419" s="417">
        <v>0</v>
      </c>
    </row>
    <row r="420" spans="1:44">
      <c r="A420" s="377">
        <v>94261</v>
      </c>
      <c r="B420" t="s">
        <v>1124</v>
      </c>
      <c r="C420" s="378">
        <v>4.1E-5</v>
      </c>
      <c r="D420" s="378"/>
      <c r="E420" s="417">
        <v>4505</v>
      </c>
      <c r="F420" s="417">
        <v>-3051</v>
      </c>
      <c r="G420" s="417">
        <v>-5807</v>
      </c>
      <c r="H420" s="417">
        <v>-27489</v>
      </c>
      <c r="I420" s="417">
        <v>0</v>
      </c>
      <c r="J420" s="378">
        <v>4.1E-5</v>
      </c>
      <c r="K420" s="378"/>
      <c r="L420" s="417">
        <v>10037</v>
      </c>
      <c r="M420" s="417">
        <v>6932</v>
      </c>
      <c r="N420" s="417">
        <v>3034</v>
      </c>
      <c r="O420" s="417">
        <v>0</v>
      </c>
      <c r="P420" s="417">
        <v>0</v>
      </c>
      <c r="Q420" s="378">
        <v>4.1E-5</v>
      </c>
      <c r="R420" s="378"/>
      <c r="S420" s="417">
        <v>-20597</v>
      </c>
      <c r="T420" s="417">
        <v>-20359</v>
      </c>
      <c r="U420" s="417">
        <v>-21388</v>
      </c>
      <c r="V420" s="417">
        <v>-27489</v>
      </c>
      <c r="W420" s="417">
        <v>0</v>
      </c>
      <c r="X420" s="378">
        <v>4.1E-5</v>
      </c>
      <c r="Z420" s="417">
        <v>16425</v>
      </c>
      <c r="AA420" s="417">
        <v>11539</v>
      </c>
      <c r="AB420" s="417">
        <v>11539</v>
      </c>
      <c r="AC420" s="417">
        <v>0</v>
      </c>
      <c r="AD420" s="417">
        <v>0</v>
      </c>
      <c r="AE420" s="378">
        <v>4.1E-5</v>
      </c>
      <c r="AF420" s="378"/>
      <c r="AG420" s="417">
        <v>2703</v>
      </c>
      <c r="AH420" s="417">
        <v>2703</v>
      </c>
      <c r="AI420" s="417">
        <v>1008</v>
      </c>
      <c r="AJ420" s="417">
        <v>0</v>
      </c>
      <c r="AK420" s="417">
        <v>0</v>
      </c>
      <c r="AL420" s="378">
        <v>4.1E-5</v>
      </c>
      <c r="AM420" s="378"/>
      <c r="AN420" s="417">
        <v>-4063</v>
      </c>
      <c r="AO420" s="417">
        <v>-3866</v>
      </c>
      <c r="AP420" s="417">
        <v>0</v>
      </c>
      <c r="AQ420" s="417">
        <v>0</v>
      </c>
      <c r="AR420" s="417">
        <v>0</v>
      </c>
    </row>
    <row r="421" spans="1:44">
      <c r="A421" s="377">
        <v>94301</v>
      </c>
      <c r="B421" t="s">
        <v>1125</v>
      </c>
      <c r="C421" s="378">
        <v>5.8427000000000002E-3</v>
      </c>
      <c r="D421" s="378"/>
      <c r="E421" s="417">
        <v>559422</v>
      </c>
      <c r="F421" s="417">
        <v>-546506</v>
      </c>
      <c r="G421" s="417">
        <v>-1127153</v>
      </c>
      <c r="H421" s="417">
        <v>-3917378</v>
      </c>
      <c r="I421" s="417">
        <v>0</v>
      </c>
      <c r="J421" s="378">
        <v>5.8427000000000002E-3</v>
      </c>
      <c r="K421" s="378"/>
      <c r="L421" s="417">
        <v>1430340</v>
      </c>
      <c r="M421" s="417">
        <v>987837</v>
      </c>
      <c r="N421" s="417">
        <v>432430</v>
      </c>
      <c r="O421" s="417">
        <v>0</v>
      </c>
      <c r="P421" s="417">
        <v>0</v>
      </c>
      <c r="Q421" s="378">
        <v>5.8427000000000002E-3</v>
      </c>
      <c r="R421" s="378"/>
      <c r="S421" s="417">
        <v>-2935186</v>
      </c>
      <c r="T421" s="417">
        <v>-2901222</v>
      </c>
      <c r="U421" s="417">
        <v>-3047850</v>
      </c>
      <c r="V421" s="417">
        <v>-3917378</v>
      </c>
      <c r="W421" s="417">
        <v>0</v>
      </c>
      <c r="X421" s="378">
        <v>5.8427000000000002E-3</v>
      </c>
      <c r="Z421" s="417">
        <v>2340597</v>
      </c>
      <c r="AA421" s="417">
        <v>1644399</v>
      </c>
      <c r="AB421" s="417">
        <v>1644387</v>
      </c>
      <c r="AC421" s="417">
        <v>0</v>
      </c>
      <c r="AD421" s="417">
        <v>0</v>
      </c>
      <c r="AE421" s="378">
        <v>5.8427000000000002E-3</v>
      </c>
      <c r="AF421" s="378"/>
      <c r="AG421" s="417">
        <v>1190</v>
      </c>
      <c r="AH421" s="417">
        <v>0</v>
      </c>
      <c r="AI421" s="417">
        <v>0</v>
      </c>
      <c r="AJ421" s="417">
        <v>0</v>
      </c>
      <c r="AK421" s="417">
        <v>0</v>
      </c>
      <c r="AL421" s="378">
        <v>5.8427000000000002E-3</v>
      </c>
      <c r="AM421" s="378"/>
      <c r="AN421" s="417">
        <v>-277519</v>
      </c>
      <c r="AO421" s="417">
        <v>-277520</v>
      </c>
      <c r="AP421" s="417">
        <v>-156120</v>
      </c>
      <c r="AQ421" s="417">
        <v>0</v>
      </c>
      <c r="AR421" s="417">
        <v>0</v>
      </c>
    </row>
    <row r="422" spans="1:44">
      <c r="A422" s="377">
        <v>94311</v>
      </c>
      <c r="B422" t="s">
        <v>1126</v>
      </c>
      <c r="C422" s="378">
        <v>7.9109999999999998E-4</v>
      </c>
      <c r="D422" s="378"/>
      <c r="E422" s="417">
        <v>124317</v>
      </c>
      <c r="F422" s="417">
        <v>-19327</v>
      </c>
      <c r="G422" s="417">
        <v>-129484</v>
      </c>
      <c r="H422" s="417">
        <v>-530412</v>
      </c>
      <c r="I422" s="417">
        <v>0</v>
      </c>
      <c r="J422" s="378">
        <v>7.9109999999999998E-4</v>
      </c>
      <c r="K422" s="378"/>
      <c r="L422" s="417">
        <v>193668</v>
      </c>
      <c r="M422" s="417">
        <v>133753</v>
      </c>
      <c r="N422" s="417">
        <v>58551</v>
      </c>
      <c r="O422" s="417">
        <v>0</v>
      </c>
      <c r="P422" s="417">
        <v>0</v>
      </c>
      <c r="Q422" s="378">
        <v>7.9109999999999998E-4</v>
      </c>
      <c r="R422" s="378"/>
      <c r="S422" s="417">
        <v>-397423</v>
      </c>
      <c r="T422" s="417">
        <v>-392825</v>
      </c>
      <c r="U422" s="417">
        <v>-412678</v>
      </c>
      <c r="V422" s="417">
        <v>-530412</v>
      </c>
      <c r="W422" s="417">
        <v>0</v>
      </c>
      <c r="X422" s="378">
        <v>7.9109999999999998E-4</v>
      </c>
      <c r="Z422" s="417">
        <v>316916</v>
      </c>
      <c r="AA422" s="417">
        <v>222651</v>
      </c>
      <c r="AB422" s="417">
        <v>222650</v>
      </c>
      <c r="AC422" s="417">
        <v>0</v>
      </c>
      <c r="AD422" s="417">
        <v>0</v>
      </c>
      <c r="AE422" s="378">
        <v>7.9109999999999998E-4</v>
      </c>
      <c r="AF422" s="378"/>
      <c r="AG422" s="417">
        <v>17095</v>
      </c>
      <c r="AH422" s="417">
        <v>17094</v>
      </c>
      <c r="AI422" s="417">
        <v>1993</v>
      </c>
      <c r="AJ422" s="417">
        <v>0</v>
      </c>
      <c r="AK422" s="417">
        <v>0</v>
      </c>
      <c r="AL422" s="378">
        <v>7.9109999999999998E-4</v>
      </c>
      <c r="AM422" s="378"/>
      <c r="AN422" s="417">
        <v>-5939</v>
      </c>
      <c r="AO422" s="417">
        <v>0</v>
      </c>
      <c r="AP422" s="417">
        <v>0</v>
      </c>
      <c r="AQ422" s="417">
        <v>0</v>
      </c>
      <c r="AR422" s="417">
        <v>0</v>
      </c>
    </row>
    <row r="423" spans="1:44">
      <c r="A423" s="377">
        <v>94313</v>
      </c>
      <c r="B423" t="s">
        <v>1127</v>
      </c>
      <c r="C423" s="378">
        <v>1.98E-5</v>
      </c>
      <c r="D423" s="378"/>
      <c r="E423" s="417">
        <v>9841</v>
      </c>
      <c r="F423" s="417">
        <v>4848</v>
      </c>
      <c r="G423" s="417">
        <v>173</v>
      </c>
      <c r="H423" s="417">
        <v>-13275</v>
      </c>
      <c r="I423" s="417">
        <v>0</v>
      </c>
      <c r="J423" s="378">
        <v>1.98E-5</v>
      </c>
      <c r="K423" s="378"/>
      <c r="L423" s="417">
        <v>4847</v>
      </c>
      <c r="M423" s="417">
        <v>3348</v>
      </c>
      <c r="N423" s="417">
        <v>1465</v>
      </c>
      <c r="O423" s="417">
        <v>0</v>
      </c>
      <c r="P423" s="417">
        <v>0</v>
      </c>
      <c r="Q423" s="378">
        <v>1.98E-5</v>
      </c>
      <c r="R423" s="378"/>
      <c r="S423" s="417">
        <v>-9947</v>
      </c>
      <c r="T423" s="417">
        <v>-9832</v>
      </c>
      <c r="U423" s="417">
        <v>-10329</v>
      </c>
      <c r="V423" s="417">
        <v>-13275</v>
      </c>
      <c r="W423" s="417">
        <v>0</v>
      </c>
      <c r="X423" s="378">
        <v>1.98E-5</v>
      </c>
      <c r="Z423" s="417">
        <v>7932</v>
      </c>
      <c r="AA423" s="417">
        <v>5573</v>
      </c>
      <c r="AB423" s="417">
        <v>5573</v>
      </c>
      <c r="AC423" s="417">
        <v>0</v>
      </c>
      <c r="AD423" s="417">
        <v>0</v>
      </c>
      <c r="AE423" s="378">
        <v>1.98E-5</v>
      </c>
      <c r="AF423" s="378"/>
      <c r="AG423" s="417">
        <v>7111</v>
      </c>
      <c r="AH423" s="417">
        <v>5860</v>
      </c>
      <c r="AI423" s="417">
        <v>3464</v>
      </c>
      <c r="AJ423" s="417">
        <v>0</v>
      </c>
      <c r="AK423" s="417">
        <v>0</v>
      </c>
      <c r="AL423" s="378">
        <v>1.98E-5</v>
      </c>
      <c r="AM423" s="378"/>
      <c r="AN423" s="417">
        <v>-102</v>
      </c>
      <c r="AO423" s="417">
        <v>-101</v>
      </c>
      <c r="AP423" s="417">
        <v>0</v>
      </c>
      <c r="AQ423" s="417">
        <v>0</v>
      </c>
      <c r="AR423" s="417">
        <v>0</v>
      </c>
    </row>
    <row r="424" spans="1:44">
      <c r="A424" s="377">
        <v>94317</v>
      </c>
      <c r="B424" t="s">
        <v>1128</v>
      </c>
      <c r="C424" s="378">
        <v>1.3200000000000001E-5</v>
      </c>
      <c r="D424" s="378"/>
      <c r="E424" s="417">
        <v>9601</v>
      </c>
      <c r="F424" s="417">
        <v>6179</v>
      </c>
      <c r="G424" s="417">
        <v>4149</v>
      </c>
      <c r="H424" s="417">
        <v>-8850</v>
      </c>
      <c r="I424" s="417">
        <v>0</v>
      </c>
      <c r="J424" s="378">
        <v>1.3200000000000001E-5</v>
      </c>
      <c r="K424" s="378"/>
      <c r="L424" s="417">
        <v>3231</v>
      </c>
      <c r="M424" s="417">
        <v>2232</v>
      </c>
      <c r="N424" s="417">
        <v>977</v>
      </c>
      <c r="O424" s="417">
        <v>0</v>
      </c>
      <c r="P424" s="417">
        <v>0</v>
      </c>
      <c r="Q424" s="378">
        <v>1.3200000000000001E-5</v>
      </c>
      <c r="R424" s="378"/>
      <c r="S424" s="417">
        <v>-6631</v>
      </c>
      <c r="T424" s="417">
        <v>-6555</v>
      </c>
      <c r="U424" s="417">
        <v>-6886</v>
      </c>
      <c r="V424" s="417">
        <v>-8850</v>
      </c>
      <c r="W424" s="417">
        <v>0</v>
      </c>
      <c r="X424" s="378">
        <v>1.3200000000000001E-5</v>
      </c>
      <c r="Z424" s="417">
        <v>5288</v>
      </c>
      <c r="AA424" s="417">
        <v>3715</v>
      </c>
      <c r="AB424" s="417">
        <v>3715</v>
      </c>
      <c r="AC424" s="417">
        <v>0</v>
      </c>
      <c r="AD424" s="417">
        <v>0</v>
      </c>
      <c r="AE424" s="378">
        <v>1.3200000000000001E-5</v>
      </c>
      <c r="AF424" s="378"/>
      <c r="AG424" s="417">
        <v>8197</v>
      </c>
      <c r="AH424" s="417">
        <v>7271</v>
      </c>
      <c r="AI424" s="417">
        <v>6343</v>
      </c>
      <c r="AJ424" s="417">
        <v>0</v>
      </c>
      <c r="AK424" s="417">
        <v>0</v>
      </c>
      <c r="AL424" s="378">
        <v>1.3200000000000001E-5</v>
      </c>
      <c r="AM424" s="378"/>
      <c r="AN424" s="417">
        <v>-484</v>
      </c>
      <c r="AO424" s="417">
        <v>-484</v>
      </c>
      <c r="AP424" s="417">
        <v>0</v>
      </c>
      <c r="AQ424" s="417">
        <v>0</v>
      </c>
      <c r="AR424" s="417">
        <v>0</v>
      </c>
    </row>
    <row r="425" spans="1:44">
      <c r="A425" s="377">
        <v>94321</v>
      </c>
      <c r="B425" t="s">
        <v>1129</v>
      </c>
      <c r="C425" s="378">
        <v>3.0529999999999999E-4</v>
      </c>
      <c r="D425" s="378"/>
      <c r="E425" s="417">
        <v>47890</v>
      </c>
      <c r="F425" s="417">
        <v>-7126</v>
      </c>
      <c r="G425" s="417">
        <v>-55682</v>
      </c>
      <c r="H425" s="417">
        <v>-204696</v>
      </c>
      <c r="I425" s="417">
        <v>0</v>
      </c>
      <c r="J425" s="378">
        <v>3.0529999999999999E-4</v>
      </c>
      <c r="K425" s="378"/>
      <c r="L425" s="417">
        <v>74740</v>
      </c>
      <c r="M425" s="417">
        <v>51618</v>
      </c>
      <c r="N425" s="417">
        <v>22596</v>
      </c>
      <c r="O425" s="417">
        <v>0</v>
      </c>
      <c r="P425" s="417">
        <v>0</v>
      </c>
      <c r="Q425" s="378">
        <v>3.0529999999999999E-4</v>
      </c>
      <c r="R425" s="378"/>
      <c r="S425" s="417">
        <v>-153373</v>
      </c>
      <c r="T425" s="417">
        <v>-151598</v>
      </c>
      <c r="U425" s="417">
        <v>-159260</v>
      </c>
      <c r="V425" s="417">
        <v>-204696</v>
      </c>
      <c r="W425" s="417">
        <v>0</v>
      </c>
      <c r="X425" s="378">
        <v>3.0529999999999999E-4</v>
      </c>
      <c r="Z425" s="417">
        <v>122304</v>
      </c>
      <c r="AA425" s="417">
        <v>85925</v>
      </c>
      <c r="AB425" s="417">
        <v>85925</v>
      </c>
      <c r="AC425" s="417">
        <v>0</v>
      </c>
      <c r="AD425" s="417">
        <v>0</v>
      </c>
      <c r="AE425" s="378">
        <v>3.0529999999999999E-4</v>
      </c>
      <c r="AF425" s="378"/>
      <c r="AG425" s="417">
        <v>12644</v>
      </c>
      <c r="AH425" s="417">
        <v>12642</v>
      </c>
      <c r="AI425" s="417">
        <v>0</v>
      </c>
      <c r="AJ425" s="417">
        <v>0</v>
      </c>
      <c r="AK425" s="417">
        <v>0</v>
      </c>
      <c r="AL425" s="378">
        <v>3.0529999999999999E-4</v>
      </c>
      <c r="AM425" s="378"/>
      <c r="AN425" s="417">
        <v>-8425</v>
      </c>
      <c r="AO425" s="417">
        <v>-5713</v>
      </c>
      <c r="AP425" s="417">
        <v>-4943</v>
      </c>
      <c r="AQ425" s="417">
        <v>0</v>
      </c>
      <c r="AR425" s="417">
        <v>0</v>
      </c>
    </row>
    <row r="426" spans="1:44">
      <c r="A426" s="377">
        <v>94331</v>
      </c>
      <c r="B426" t="s">
        <v>1130</v>
      </c>
      <c r="C426" s="378">
        <v>1.392E-4</v>
      </c>
      <c r="D426" s="378"/>
      <c r="E426" s="417">
        <v>17454</v>
      </c>
      <c r="F426" s="417">
        <v>-13461</v>
      </c>
      <c r="G426" s="417">
        <v>-28989</v>
      </c>
      <c r="H426" s="417">
        <v>-93330</v>
      </c>
      <c r="I426" s="417">
        <v>0</v>
      </c>
      <c r="J426" s="378">
        <v>1.392E-4</v>
      </c>
      <c r="K426" s="378"/>
      <c r="L426" s="417">
        <v>34077</v>
      </c>
      <c r="M426" s="417">
        <v>23535</v>
      </c>
      <c r="N426" s="417">
        <v>10302</v>
      </c>
      <c r="O426" s="417">
        <v>0</v>
      </c>
      <c r="P426" s="417">
        <v>0</v>
      </c>
      <c r="Q426" s="378">
        <v>1.392E-4</v>
      </c>
      <c r="R426" s="378"/>
      <c r="S426" s="417">
        <v>-69930</v>
      </c>
      <c r="T426" s="417">
        <v>-69120</v>
      </c>
      <c r="U426" s="417">
        <v>-72614</v>
      </c>
      <c r="V426" s="417">
        <v>-93330</v>
      </c>
      <c r="W426" s="417">
        <v>0</v>
      </c>
      <c r="X426" s="378">
        <v>1.392E-4</v>
      </c>
      <c r="Z426" s="417">
        <v>55764</v>
      </c>
      <c r="AA426" s="417">
        <v>39177</v>
      </c>
      <c r="AB426" s="417">
        <v>39177</v>
      </c>
      <c r="AC426" s="417">
        <v>0</v>
      </c>
      <c r="AD426" s="417">
        <v>0</v>
      </c>
      <c r="AE426" s="378">
        <v>1.392E-4</v>
      </c>
      <c r="AF426" s="378"/>
      <c r="AG426" s="417">
        <v>5228</v>
      </c>
      <c r="AH426" s="417">
        <v>634</v>
      </c>
      <c r="AI426" s="417">
        <v>0</v>
      </c>
      <c r="AJ426" s="417">
        <v>0</v>
      </c>
      <c r="AK426" s="417">
        <v>0</v>
      </c>
      <c r="AL426" s="378">
        <v>1.392E-4</v>
      </c>
      <c r="AM426" s="378"/>
      <c r="AN426" s="417">
        <v>-7685</v>
      </c>
      <c r="AO426" s="417">
        <v>-7687</v>
      </c>
      <c r="AP426" s="417">
        <v>-5854</v>
      </c>
      <c r="AQ426" s="417">
        <v>0</v>
      </c>
      <c r="AR426" s="417">
        <v>0</v>
      </c>
    </row>
    <row r="427" spans="1:44">
      <c r="A427" s="377">
        <v>94341</v>
      </c>
      <c r="B427" t="s">
        <v>1131</v>
      </c>
      <c r="C427" s="378">
        <v>8.8499999999999996E-5</v>
      </c>
      <c r="D427" s="378"/>
      <c r="E427" s="417">
        <v>3995</v>
      </c>
      <c r="F427" s="417">
        <v>-10267</v>
      </c>
      <c r="G427" s="417">
        <v>-19097</v>
      </c>
      <c r="H427" s="417">
        <v>-59337</v>
      </c>
      <c r="I427" s="417">
        <v>0</v>
      </c>
      <c r="J427" s="378">
        <v>8.8499999999999996E-5</v>
      </c>
      <c r="K427" s="378"/>
      <c r="L427" s="417">
        <v>21666</v>
      </c>
      <c r="M427" s="417">
        <v>14963</v>
      </c>
      <c r="N427" s="417">
        <v>6550</v>
      </c>
      <c r="O427" s="417">
        <v>0</v>
      </c>
      <c r="P427" s="417">
        <v>0</v>
      </c>
      <c r="Q427" s="378">
        <v>8.8499999999999996E-5</v>
      </c>
      <c r="R427" s="378"/>
      <c r="S427" s="417">
        <v>-44460</v>
      </c>
      <c r="T427" s="417">
        <v>-43945</v>
      </c>
      <c r="U427" s="417">
        <v>-46166</v>
      </c>
      <c r="V427" s="417">
        <v>-59337</v>
      </c>
      <c r="W427" s="417">
        <v>0</v>
      </c>
      <c r="X427" s="378">
        <v>8.8499999999999996E-5</v>
      </c>
      <c r="Z427" s="417">
        <v>35453</v>
      </c>
      <c r="AA427" s="417">
        <v>24908</v>
      </c>
      <c r="AB427" s="417">
        <v>24908</v>
      </c>
      <c r="AC427" s="417">
        <v>0</v>
      </c>
      <c r="AD427" s="417">
        <v>0</v>
      </c>
      <c r="AE427" s="378">
        <v>8.8499999999999996E-5</v>
      </c>
      <c r="AF427" s="378"/>
      <c r="AG427" s="417">
        <v>1649</v>
      </c>
      <c r="AH427" s="417">
        <v>1651</v>
      </c>
      <c r="AI427" s="417">
        <v>0</v>
      </c>
      <c r="AJ427" s="417">
        <v>0</v>
      </c>
      <c r="AK427" s="417">
        <v>0</v>
      </c>
      <c r="AL427" s="378">
        <v>8.8499999999999996E-5</v>
      </c>
      <c r="AM427" s="378"/>
      <c r="AN427" s="417">
        <v>-10313</v>
      </c>
      <c r="AO427" s="417">
        <v>-7844</v>
      </c>
      <c r="AP427" s="417">
        <v>-4389</v>
      </c>
      <c r="AQ427" s="417">
        <v>0</v>
      </c>
      <c r="AR427" s="417">
        <v>0</v>
      </c>
    </row>
    <row r="428" spans="1:44">
      <c r="A428" s="377">
        <v>94347</v>
      </c>
      <c r="B428" t="s">
        <v>1132</v>
      </c>
      <c r="C428" s="378">
        <v>1.6099999999999998E-5</v>
      </c>
      <c r="D428" s="378"/>
      <c r="E428" s="417">
        <v>6967</v>
      </c>
      <c r="F428" s="417">
        <v>4157</v>
      </c>
      <c r="G428" s="417">
        <v>-2180</v>
      </c>
      <c r="H428" s="417">
        <v>-10795</v>
      </c>
      <c r="I428" s="417">
        <v>0</v>
      </c>
      <c r="J428" s="378">
        <v>1.6099999999999998E-5</v>
      </c>
      <c r="K428" s="378"/>
      <c r="L428" s="417">
        <v>3941</v>
      </c>
      <c r="M428" s="417">
        <v>2722</v>
      </c>
      <c r="N428" s="417">
        <v>1192</v>
      </c>
      <c r="O428" s="417">
        <v>0</v>
      </c>
      <c r="P428" s="417">
        <v>0</v>
      </c>
      <c r="Q428" s="378">
        <v>1.6099999999999998E-5</v>
      </c>
      <c r="R428" s="378"/>
      <c r="S428" s="417">
        <v>-8088</v>
      </c>
      <c r="T428" s="417">
        <v>-7995</v>
      </c>
      <c r="U428" s="417">
        <v>-8399</v>
      </c>
      <c r="V428" s="417">
        <v>-10795</v>
      </c>
      <c r="W428" s="417">
        <v>0</v>
      </c>
      <c r="X428" s="378">
        <v>1.6099999999999998E-5</v>
      </c>
      <c r="Z428" s="417">
        <v>6450</v>
      </c>
      <c r="AA428" s="417">
        <v>4531</v>
      </c>
      <c r="AB428" s="417">
        <v>4531</v>
      </c>
      <c r="AC428" s="417">
        <v>0</v>
      </c>
      <c r="AD428" s="417">
        <v>0</v>
      </c>
      <c r="AE428" s="378">
        <v>1.6099999999999998E-5</v>
      </c>
      <c r="AF428" s="378"/>
      <c r="AG428" s="417">
        <v>4901</v>
      </c>
      <c r="AH428" s="417">
        <v>4899</v>
      </c>
      <c r="AI428" s="417">
        <v>496</v>
      </c>
      <c r="AJ428" s="417">
        <v>0</v>
      </c>
      <c r="AK428" s="417">
        <v>0</v>
      </c>
      <c r="AL428" s="378">
        <v>1.6099999999999998E-5</v>
      </c>
      <c r="AM428" s="378"/>
      <c r="AN428" s="417">
        <v>-237</v>
      </c>
      <c r="AO428" s="417">
        <v>0</v>
      </c>
      <c r="AP428" s="417">
        <v>0</v>
      </c>
      <c r="AQ428" s="417">
        <v>0</v>
      </c>
      <c r="AR428" s="417">
        <v>0</v>
      </c>
    </row>
    <row r="429" spans="1:44">
      <c r="A429" s="377">
        <v>94351</v>
      </c>
      <c r="B429" t="s">
        <v>1133</v>
      </c>
      <c r="C429" s="378">
        <v>3.1760000000000002E-4</v>
      </c>
      <c r="D429" s="378"/>
      <c r="E429" s="417">
        <v>77295</v>
      </c>
      <c r="F429" s="417">
        <v>18342</v>
      </c>
      <c r="G429" s="417">
        <v>-42024</v>
      </c>
      <c r="H429" s="417">
        <v>-212943</v>
      </c>
      <c r="I429" s="417">
        <v>0</v>
      </c>
      <c r="J429" s="378">
        <v>3.1760000000000002E-4</v>
      </c>
      <c r="K429" s="378"/>
      <c r="L429" s="417">
        <v>77751</v>
      </c>
      <c r="M429" s="417">
        <v>53697</v>
      </c>
      <c r="N429" s="417">
        <v>23506</v>
      </c>
      <c r="O429" s="417">
        <v>0</v>
      </c>
      <c r="P429" s="417">
        <v>0</v>
      </c>
      <c r="Q429" s="378">
        <v>3.1760000000000002E-4</v>
      </c>
      <c r="R429" s="378"/>
      <c r="S429" s="417">
        <v>-159552</v>
      </c>
      <c r="T429" s="417">
        <v>-157706</v>
      </c>
      <c r="U429" s="417">
        <v>-165676</v>
      </c>
      <c r="V429" s="417">
        <v>-212943</v>
      </c>
      <c r="W429" s="417">
        <v>0</v>
      </c>
      <c r="X429" s="378">
        <v>3.1760000000000002E-4</v>
      </c>
      <c r="Z429" s="417">
        <v>127231</v>
      </c>
      <c r="AA429" s="417">
        <v>89387</v>
      </c>
      <c r="AB429" s="417">
        <v>89386</v>
      </c>
      <c r="AC429" s="417">
        <v>0</v>
      </c>
      <c r="AD429" s="417">
        <v>0</v>
      </c>
      <c r="AE429" s="378">
        <v>3.1760000000000002E-4</v>
      </c>
      <c r="AF429" s="378"/>
      <c r="AG429" s="417">
        <v>37129</v>
      </c>
      <c r="AH429" s="417">
        <v>37129</v>
      </c>
      <c r="AI429" s="417">
        <v>10760</v>
      </c>
      <c r="AJ429" s="417">
        <v>0</v>
      </c>
      <c r="AK429" s="417">
        <v>0</v>
      </c>
      <c r="AL429" s="378">
        <v>3.1760000000000002E-4</v>
      </c>
      <c r="AM429" s="378"/>
      <c r="AN429" s="417">
        <v>-5264</v>
      </c>
      <c r="AO429" s="417">
        <v>-4165</v>
      </c>
      <c r="AP429" s="417">
        <v>0</v>
      </c>
      <c r="AQ429" s="417">
        <v>0</v>
      </c>
      <c r="AR429" s="417">
        <v>0</v>
      </c>
    </row>
    <row r="430" spans="1:44">
      <c r="A430" s="377">
        <v>94401</v>
      </c>
      <c r="B430" t="s">
        <v>1937</v>
      </c>
      <c r="C430" s="378">
        <v>3.2978999999999999E-3</v>
      </c>
      <c r="D430" s="378"/>
      <c r="E430" s="417">
        <v>360586</v>
      </c>
      <c r="F430" s="417">
        <v>-265248</v>
      </c>
      <c r="G430" s="417">
        <v>-696549</v>
      </c>
      <c r="H430" s="417">
        <v>-2211156</v>
      </c>
      <c r="I430" s="417">
        <v>0</v>
      </c>
      <c r="J430" s="378">
        <v>3.2978999999999999E-3</v>
      </c>
      <c r="K430" s="378"/>
      <c r="L430" s="417">
        <v>807352</v>
      </c>
      <c r="M430" s="417">
        <v>557583</v>
      </c>
      <c r="N430" s="417">
        <v>244084</v>
      </c>
      <c r="O430" s="417">
        <v>0</v>
      </c>
      <c r="P430" s="417">
        <v>0</v>
      </c>
      <c r="Q430" s="378">
        <v>3.2978999999999999E-3</v>
      </c>
      <c r="R430" s="378"/>
      <c r="S430" s="417">
        <v>-1656759</v>
      </c>
      <c r="T430" s="417">
        <v>-1637589</v>
      </c>
      <c r="U430" s="417">
        <v>-1720353</v>
      </c>
      <c r="V430" s="417">
        <v>-2211156</v>
      </c>
      <c r="W430" s="417">
        <v>0</v>
      </c>
      <c r="X430" s="378">
        <v>3.2978999999999999E-3</v>
      </c>
      <c r="Z430" s="417">
        <v>1321145</v>
      </c>
      <c r="AA430" s="417">
        <v>928177</v>
      </c>
      <c r="AB430" s="417">
        <v>928171</v>
      </c>
      <c r="AC430" s="417">
        <v>0</v>
      </c>
      <c r="AD430" s="417">
        <v>0</v>
      </c>
      <c r="AE430" s="378">
        <v>3.2978999999999999E-3</v>
      </c>
      <c r="AF430" s="378"/>
      <c r="AG430" s="417">
        <v>37300</v>
      </c>
      <c r="AH430" s="417">
        <v>35033</v>
      </c>
      <c r="AI430" s="417">
        <v>0</v>
      </c>
      <c r="AJ430" s="417">
        <v>0</v>
      </c>
      <c r="AK430" s="417">
        <v>0</v>
      </c>
      <c r="AL430" s="378">
        <v>3.2978999999999999E-3</v>
      </c>
      <c r="AM430" s="378"/>
      <c r="AN430" s="417">
        <v>-148452</v>
      </c>
      <c r="AO430" s="417">
        <v>-148452</v>
      </c>
      <c r="AP430" s="417">
        <v>-148451</v>
      </c>
      <c r="AQ430" s="417">
        <v>0</v>
      </c>
      <c r="AR430" s="417">
        <v>0</v>
      </c>
    </row>
    <row r="431" spans="1:44">
      <c r="A431" s="377">
        <v>94402</v>
      </c>
      <c r="B431" t="s">
        <v>1135</v>
      </c>
      <c r="C431" s="378">
        <v>0</v>
      </c>
      <c r="D431" s="378">
        <v>0</v>
      </c>
      <c r="E431" s="417">
        <v>0</v>
      </c>
      <c r="F431" s="417">
        <v>0</v>
      </c>
      <c r="G431" s="417">
        <v>0</v>
      </c>
      <c r="H431" s="417">
        <v>0</v>
      </c>
      <c r="I431" s="417">
        <v>0</v>
      </c>
      <c r="J431" s="417">
        <v>0</v>
      </c>
      <c r="K431" s="417">
        <v>0</v>
      </c>
      <c r="L431" s="417">
        <v>0</v>
      </c>
      <c r="M431" s="417">
        <v>0</v>
      </c>
      <c r="N431" s="417">
        <v>0</v>
      </c>
      <c r="O431" s="417">
        <v>0</v>
      </c>
      <c r="P431" s="417">
        <v>0</v>
      </c>
      <c r="Q431" s="417">
        <v>0</v>
      </c>
      <c r="R431" s="417">
        <v>0</v>
      </c>
      <c r="S431" s="417">
        <v>0</v>
      </c>
      <c r="T431" s="417">
        <v>0</v>
      </c>
      <c r="U431" s="417">
        <v>0</v>
      </c>
      <c r="V431" s="417">
        <v>0</v>
      </c>
      <c r="W431" s="417">
        <v>0</v>
      </c>
      <c r="X431" s="417">
        <v>0</v>
      </c>
      <c r="Y431" s="417">
        <v>0</v>
      </c>
      <c r="Z431" s="417">
        <v>0</v>
      </c>
      <c r="AA431" s="417">
        <v>0</v>
      </c>
      <c r="AB431" s="417">
        <v>0</v>
      </c>
      <c r="AC431" s="417">
        <v>0</v>
      </c>
      <c r="AD431" s="417">
        <v>0</v>
      </c>
      <c r="AE431" s="417">
        <v>0</v>
      </c>
      <c r="AF431" s="417">
        <v>0</v>
      </c>
      <c r="AG431" s="417">
        <v>0</v>
      </c>
      <c r="AH431" s="417">
        <v>0</v>
      </c>
      <c r="AI431" s="417">
        <v>0</v>
      </c>
      <c r="AJ431" s="417">
        <v>0</v>
      </c>
      <c r="AK431" s="417">
        <v>0</v>
      </c>
      <c r="AL431" s="417">
        <v>0</v>
      </c>
      <c r="AM431" s="417">
        <v>0</v>
      </c>
      <c r="AN431" s="417">
        <v>0</v>
      </c>
      <c r="AO431" s="417">
        <v>0</v>
      </c>
      <c r="AP431" s="417">
        <v>0</v>
      </c>
      <c r="AQ431" s="417">
        <v>0</v>
      </c>
      <c r="AR431" s="417">
        <v>0</v>
      </c>
    </row>
    <row r="432" spans="1:44">
      <c r="A432" s="377">
        <v>94403</v>
      </c>
      <c r="B432" t="s">
        <v>1136</v>
      </c>
      <c r="C432" s="378">
        <v>4.46E-5</v>
      </c>
      <c r="D432" s="378"/>
      <c r="E432" s="417">
        <v>14614</v>
      </c>
      <c r="F432" s="417">
        <v>4220</v>
      </c>
      <c r="G432" s="417">
        <v>-4571</v>
      </c>
      <c r="H432" s="417">
        <v>-29903</v>
      </c>
      <c r="I432" s="417">
        <v>0</v>
      </c>
      <c r="J432" s="378">
        <v>4.46E-5</v>
      </c>
      <c r="K432" s="378"/>
      <c r="L432" s="417">
        <v>10918</v>
      </c>
      <c r="M432" s="417">
        <v>7541</v>
      </c>
      <c r="N432" s="417">
        <v>3301</v>
      </c>
      <c r="O432" s="417">
        <v>0</v>
      </c>
      <c r="P432" s="417">
        <v>0</v>
      </c>
      <c r="Q432" s="378">
        <v>4.46E-5</v>
      </c>
      <c r="R432" s="378"/>
      <c r="S432" s="417">
        <v>-22406</v>
      </c>
      <c r="T432" s="417">
        <v>-22146</v>
      </c>
      <c r="U432" s="417">
        <v>-23266</v>
      </c>
      <c r="V432" s="417">
        <v>-29903</v>
      </c>
      <c r="W432" s="417">
        <v>0</v>
      </c>
      <c r="X432" s="378">
        <v>4.46E-5</v>
      </c>
      <c r="Z432" s="417">
        <v>17867</v>
      </c>
      <c r="AA432" s="417">
        <v>12552</v>
      </c>
      <c r="AB432" s="417">
        <v>12552</v>
      </c>
      <c r="AC432" s="417">
        <v>0</v>
      </c>
      <c r="AD432" s="417">
        <v>0</v>
      </c>
      <c r="AE432" s="378">
        <v>4.46E-5</v>
      </c>
      <c r="AF432" s="378"/>
      <c r="AG432" s="417">
        <v>8235</v>
      </c>
      <c r="AH432" s="417">
        <v>6273</v>
      </c>
      <c r="AI432" s="417">
        <v>2842</v>
      </c>
      <c r="AJ432" s="417">
        <v>0</v>
      </c>
      <c r="AK432" s="417">
        <v>0</v>
      </c>
      <c r="AL432" s="378">
        <v>4.46E-5</v>
      </c>
      <c r="AM432" s="378"/>
      <c r="AN432" s="417">
        <v>0</v>
      </c>
      <c r="AO432" s="417">
        <v>0</v>
      </c>
      <c r="AP432" s="417">
        <v>0</v>
      </c>
      <c r="AQ432" s="417">
        <v>0</v>
      </c>
      <c r="AR432" s="417">
        <v>0</v>
      </c>
    </row>
    <row r="433" spans="1:44">
      <c r="A433" s="377">
        <v>94408</v>
      </c>
      <c r="B433" t="s">
        <v>1137</v>
      </c>
      <c r="C433" s="378">
        <v>6.6799999999999997E-5</v>
      </c>
      <c r="D433" s="378"/>
      <c r="E433" s="417">
        <v>12973</v>
      </c>
      <c r="F433" s="417">
        <v>612</v>
      </c>
      <c r="G433" s="417">
        <v>-5406</v>
      </c>
      <c r="H433" s="417">
        <v>-44788</v>
      </c>
      <c r="I433" s="417">
        <v>0</v>
      </c>
      <c r="J433" s="378">
        <v>6.6799999999999997E-5</v>
      </c>
      <c r="K433" s="378"/>
      <c r="L433" s="417">
        <v>16353</v>
      </c>
      <c r="M433" s="417">
        <v>11294</v>
      </c>
      <c r="N433" s="417">
        <v>4944</v>
      </c>
      <c r="O433" s="417">
        <v>0</v>
      </c>
      <c r="P433" s="417">
        <v>0</v>
      </c>
      <c r="Q433" s="378">
        <v>6.6799999999999997E-5</v>
      </c>
      <c r="R433" s="378"/>
      <c r="S433" s="417">
        <v>-33558</v>
      </c>
      <c r="T433" s="417">
        <v>-33170</v>
      </c>
      <c r="U433" s="417">
        <v>-34846</v>
      </c>
      <c r="V433" s="417">
        <v>-44788</v>
      </c>
      <c r="W433" s="417">
        <v>0</v>
      </c>
      <c r="X433" s="378">
        <v>6.6799999999999997E-5</v>
      </c>
      <c r="Z433" s="417">
        <v>26760</v>
      </c>
      <c r="AA433" s="417">
        <v>18801</v>
      </c>
      <c r="AB433" s="417">
        <v>18800</v>
      </c>
      <c r="AC433" s="417">
        <v>0</v>
      </c>
      <c r="AD433" s="417">
        <v>0</v>
      </c>
      <c r="AE433" s="378">
        <v>6.6799999999999997E-5</v>
      </c>
      <c r="AF433" s="378"/>
      <c r="AG433" s="417">
        <v>7941</v>
      </c>
      <c r="AH433" s="417">
        <v>7941</v>
      </c>
      <c r="AI433" s="417">
        <v>5696</v>
      </c>
      <c r="AJ433" s="417">
        <v>0</v>
      </c>
      <c r="AK433" s="417">
        <v>0</v>
      </c>
      <c r="AL433" s="378">
        <v>6.6799999999999997E-5</v>
      </c>
      <c r="AM433" s="378"/>
      <c r="AN433" s="417">
        <v>-4523</v>
      </c>
      <c r="AO433" s="417">
        <v>-4254</v>
      </c>
      <c r="AP433" s="417">
        <v>0</v>
      </c>
      <c r="AQ433" s="417">
        <v>0</v>
      </c>
      <c r="AR433" s="417">
        <v>0</v>
      </c>
    </row>
    <row r="434" spans="1:44">
      <c r="A434" s="377">
        <v>94411</v>
      </c>
      <c r="B434" t="s">
        <v>1138</v>
      </c>
      <c r="C434" s="378">
        <v>1.0996000000000001E-3</v>
      </c>
      <c r="D434" s="378"/>
      <c r="E434" s="417">
        <v>55813</v>
      </c>
      <c r="F434" s="417">
        <v>-144849</v>
      </c>
      <c r="G434" s="417">
        <v>-228313</v>
      </c>
      <c r="H434" s="417">
        <v>-737253</v>
      </c>
      <c r="I434" s="417">
        <v>0</v>
      </c>
      <c r="J434" s="378">
        <v>1.0996000000000001E-3</v>
      </c>
      <c r="K434" s="378"/>
      <c r="L434" s="417">
        <v>269191</v>
      </c>
      <c r="M434" s="417">
        <v>185912</v>
      </c>
      <c r="N434" s="417">
        <v>81384</v>
      </c>
      <c r="O434" s="417">
        <v>0</v>
      </c>
      <c r="P434" s="417">
        <v>0</v>
      </c>
      <c r="Q434" s="378">
        <v>1.0996000000000001E-3</v>
      </c>
      <c r="R434" s="378"/>
      <c r="S434" s="417">
        <v>-552404</v>
      </c>
      <c r="T434" s="417">
        <v>-546012</v>
      </c>
      <c r="U434" s="417">
        <v>-573607</v>
      </c>
      <c r="V434" s="417">
        <v>-737253</v>
      </c>
      <c r="W434" s="417">
        <v>0</v>
      </c>
      <c r="X434" s="378">
        <v>1.0996000000000001E-3</v>
      </c>
      <c r="Z434" s="417">
        <v>440502</v>
      </c>
      <c r="AA434" s="417">
        <v>309477</v>
      </c>
      <c r="AB434" s="417">
        <v>309475</v>
      </c>
      <c r="AC434" s="417">
        <v>0</v>
      </c>
      <c r="AD434" s="417">
        <v>0</v>
      </c>
      <c r="AE434" s="378">
        <v>1.0996000000000001E-3</v>
      </c>
      <c r="AF434" s="378"/>
      <c r="AG434" s="417">
        <v>0</v>
      </c>
      <c r="AH434" s="417">
        <v>0</v>
      </c>
      <c r="AI434" s="417">
        <v>0</v>
      </c>
      <c r="AJ434" s="417">
        <v>0</v>
      </c>
      <c r="AK434" s="417">
        <v>0</v>
      </c>
      <c r="AL434" s="378">
        <v>1.0996000000000001E-3</v>
      </c>
      <c r="AM434" s="378"/>
      <c r="AN434" s="417">
        <v>-101476</v>
      </c>
      <c r="AO434" s="417">
        <v>-94226</v>
      </c>
      <c r="AP434" s="417">
        <v>-45565</v>
      </c>
      <c r="AQ434" s="417">
        <v>0</v>
      </c>
      <c r="AR434" s="417">
        <v>0</v>
      </c>
    </row>
    <row r="435" spans="1:44">
      <c r="A435" s="377">
        <v>94412</v>
      </c>
      <c r="B435" t="s">
        <v>1139</v>
      </c>
      <c r="C435" s="378">
        <v>1.9899999999999999E-5</v>
      </c>
      <c r="D435" s="378"/>
      <c r="E435" s="417">
        <v>10607</v>
      </c>
      <c r="F435" s="417">
        <v>5462</v>
      </c>
      <c r="G435" s="417">
        <v>-272</v>
      </c>
      <c r="H435" s="417">
        <v>-13342</v>
      </c>
      <c r="I435" s="417">
        <v>0</v>
      </c>
      <c r="J435" s="378">
        <v>1.9899999999999999E-5</v>
      </c>
      <c r="K435" s="378"/>
      <c r="L435" s="417">
        <v>4872</v>
      </c>
      <c r="M435" s="417">
        <v>3365</v>
      </c>
      <c r="N435" s="417">
        <v>1473</v>
      </c>
      <c r="O435" s="417">
        <v>0</v>
      </c>
      <c r="P435" s="417">
        <v>0</v>
      </c>
      <c r="Q435" s="378">
        <v>1.9899999999999999E-5</v>
      </c>
      <c r="R435" s="378"/>
      <c r="S435" s="417">
        <v>-9997</v>
      </c>
      <c r="T435" s="417">
        <v>-9881</v>
      </c>
      <c r="U435" s="417">
        <v>-10381</v>
      </c>
      <c r="V435" s="417">
        <v>-13342</v>
      </c>
      <c r="W435" s="417">
        <v>0</v>
      </c>
      <c r="X435" s="378">
        <v>1.9899999999999999E-5</v>
      </c>
      <c r="Z435" s="417">
        <v>7972</v>
      </c>
      <c r="AA435" s="417">
        <v>5601</v>
      </c>
      <c r="AB435" s="417">
        <v>5601</v>
      </c>
      <c r="AC435" s="417">
        <v>0</v>
      </c>
      <c r="AD435" s="417">
        <v>0</v>
      </c>
      <c r="AE435" s="378">
        <v>1.9899999999999999E-5</v>
      </c>
      <c r="AF435" s="378"/>
      <c r="AG435" s="417">
        <v>7760</v>
      </c>
      <c r="AH435" s="417">
        <v>6377</v>
      </c>
      <c r="AI435" s="417">
        <v>3035</v>
      </c>
      <c r="AJ435" s="417">
        <v>0</v>
      </c>
      <c r="AK435" s="417">
        <v>0</v>
      </c>
      <c r="AL435" s="378">
        <v>1.9899999999999999E-5</v>
      </c>
      <c r="AM435" s="378"/>
      <c r="AN435" s="417">
        <v>0</v>
      </c>
      <c r="AO435" s="417">
        <v>0</v>
      </c>
      <c r="AP435" s="417">
        <v>0</v>
      </c>
      <c r="AQ435" s="417">
        <v>0</v>
      </c>
      <c r="AR435" s="417">
        <v>0</v>
      </c>
    </row>
    <row r="436" spans="1:44">
      <c r="A436" s="377">
        <v>94421</v>
      </c>
      <c r="B436" t="s">
        <v>1140</v>
      </c>
      <c r="C436" s="378">
        <v>1.56E-4</v>
      </c>
      <c r="D436" s="378"/>
      <c r="E436" s="417">
        <v>37396</v>
      </c>
      <c r="F436" s="417">
        <v>9164</v>
      </c>
      <c r="G436" s="417">
        <v>-2291</v>
      </c>
      <c r="H436" s="417">
        <v>-104594</v>
      </c>
      <c r="I436" s="417">
        <v>0</v>
      </c>
      <c r="J436" s="378">
        <v>1.56E-4</v>
      </c>
      <c r="K436" s="378"/>
      <c r="L436" s="417">
        <v>38190</v>
      </c>
      <c r="M436" s="417">
        <v>26375</v>
      </c>
      <c r="N436" s="417">
        <v>11546</v>
      </c>
      <c r="O436" s="417">
        <v>0</v>
      </c>
      <c r="P436" s="417">
        <v>0</v>
      </c>
      <c r="Q436" s="378">
        <v>1.56E-4</v>
      </c>
      <c r="R436" s="378"/>
      <c r="S436" s="417">
        <v>-78369</v>
      </c>
      <c r="T436" s="417">
        <v>-77463</v>
      </c>
      <c r="U436" s="417">
        <v>-81378</v>
      </c>
      <c r="V436" s="417">
        <v>-104594</v>
      </c>
      <c r="W436" s="417">
        <v>0</v>
      </c>
      <c r="X436" s="378">
        <v>1.56E-4</v>
      </c>
      <c r="Z436" s="417">
        <v>62494</v>
      </c>
      <c r="AA436" s="417">
        <v>43905</v>
      </c>
      <c r="AB436" s="417">
        <v>43905</v>
      </c>
      <c r="AC436" s="417">
        <v>0</v>
      </c>
      <c r="AD436" s="417">
        <v>0</v>
      </c>
      <c r="AE436" s="378">
        <v>1.56E-4</v>
      </c>
      <c r="AF436" s="378"/>
      <c r="AG436" s="417">
        <v>23636</v>
      </c>
      <c r="AH436" s="417">
        <v>23636</v>
      </c>
      <c r="AI436" s="417">
        <v>23636</v>
      </c>
      <c r="AJ436" s="417">
        <v>0</v>
      </c>
      <c r="AK436" s="417">
        <v>0</v>
      </c>
      <c r="AL436" s="378">
        <v>1.56E-4</v>
      </c>
      <c r="AM436" s="378"/>
      <c r="AN436" s="417">
        <v>-8555</v>
      </c>
      <c r="AO436" s="417">
        <v>-7289</v>
      </c>
      <c r="AP436" s="417">
        <v>0</v>
      </c>
      <c r="AQ436" s="417">
        <v>0</v>
      </c>
      <c r="AR436" s="417">
        <v>0</v>
      </c>
    </row>
    <row r="437" spans="1:44">
      <c r="A437" s="377">
        <v>94427</v>
      </c>
      <c r="B437" t="s">
        <v>1141</v>
      </c>
      <c r="C437" s="378">
        <v>2.5899999999999999E-5</v>
      </c>
      <c r="D437" s="378"/>
      <c r="E437" s="417">
        <v>8886</v>
      </c>
      <c r="F437" s="417">
        <v>3321</v>
      </c>
      <c r="G437" s="417">
        <v>-3099</v>
      </c>
      <c r="H437" s="417">
        <v>-17365</v>
      </c>
      <c r="I437" s="417">
        <v>0</v>
      </c>
      <c r="J437" s="378">
        <v>2.5899999999999999E-5</v>
      </c>
      <c r="K437" s="378"/>
      <c r="L437" s="417">
        <v>6341</v>
      </c>
      <c r="M437" s="417">
        <v>4379</v>
      </c>
      <c r="N437" s="417">
        <v>1917</v>
      </c>
      <c r="O437" s="417">
        <v>0</v>
      </c>
      <c r="P437" s="417">
        <v>0</v>
      </c>
      <c r="Q437" s="378">
        <v>2.5899999999999999E-5</v>
      </c>
      <c r="R437" s="378"/>
      <c r="S437" s="417">
        <v>-13011</v>
      </c>
      <c r="T437" s="417">
        <v>-12861</v>
      </c>
      <c r="U437" s="417">
        <v>-13511</v>
      </c>
      <c r="V437" s="417">
        <v>-17365</v>
      </c>
      <c r="W437" s="417">
        <v>0</v>
      </c>
      <c r="X437" s="378">
        <v>2.5899999999999999E-5</v>
      </c>
      <c r="Z437" s="417">
        <v>10376</v>
      </c>
      <c r="AA437" s="417">
        <v>7289</v>
      </c>
      <c r="AB437" s="417">
        <v>7289</v>
      </c>
      <c r="AC437" s="417">
        <v>0</v>
      </c>
      <c r="AD437" s="417">
        <v>0</v>
      </c>
      <c r="AE437" s="378">
        <v>2.5899999999999999E-5</v>
      </c>
      <c r="AF437" s="378"/>
      <c r="AG437" s="417">
        <v>5180</v>
      </c>
      <c r="AH437" s="417">
        <v>4514</v>
      </c>
      <c r="AI437" s="417">
        <v>1206</v>
      </c>
      <c r="AJ437" s="417">
        <v>0</v>
      </c>
      <c r="AK437" s="417">
        <v>0</v>
      </c>
      <c r="AL437" s="378">
        <v>2.5899999999999999E-5</v>
      </c>
      <c r="AM437" s="378"/>
      <c r="AN437" s="417">
        <v>0</v>
      </c>
      <c r="AO437" s="417">
        <v>0</v>
      </c>
      <c r="AP437" s="417">
        <v>0</v>
      </c>
      <c r="AQ437" s="417">
        <v>0</v>
      </c>
      <c r="AR437" s="417">
        <v>0</v>
      </c>
    </row>
    <row r="438" spans="1:44">
      <c r="A438" s="377">
        <v>94428</v>
      </c>
      <c r="B438" t="s">
        <v>1142</v>
      </c>
      <c r="C438" s="378">
        <v>7.5300000000000001E-5</v>
      </c>
      <c r="D438" s="378"/>
      <c r="E438" s="417">
        <v>16300</v>
      </c>
      <c r="F438" s="417">
        <v>524</v>
      </c>
      <c r="G438" s="417">
        <v>-10313</v>
      </c>
      <c r="H438" s="417">
        <v>-50487</v>
      </c>
      <c r="I438" s="417">
        <v>0</v>
      </c>
      <c r="J438" s="378">
        <v>7.5300000000000001E-5</v>
      </c>
      <c r="K438" s="378"/>
      <c r="L438" s="417">
        <v>18434</v>
      </c>
      <c r="M438" s="417">
        <v>12731</v>
      </c>
      <c r="N438" s="417">
        <v>5573</v>
      </c>
      <c r="O438" s="417">
        <v>0</v>
      </c>
      <c r="P438" s="417">
        <v>0</v>
      </c>
      <c r="Q438" s="378">
        <v>7.5300000000000001E-5</v>
      </c>
      <c r="R438" s="378"/>
      <c r="S438" s="417">
        <v>-37828</v>
      </c>
      <c r="T438" s="417">
        <v>-37391</v>
      </c>
      <c r="U438" s="417">
        <v>-39280</v>
      </c>
      <c r="V438" s="417">
        <v>-50487</v>
      </c>
      <c r="W438" s="417">
        <v>0</v>
      </c>
      <c r="X438" s="378">
        <v>7.5300000000000001E-5</v>
      </c>
      <c r="Z438" s="417">
        <v>30165</v>
      </c>
      <c r="AA438" s="417">
        <v>21193</v>
      </c>
      <c r="AB438" s="417">
        <v>21193</v>
      </c>
      <c r="AC438" s="417">
        <v>0</v>
      </c>
      <c r="AD438" s="417">
        <v>0</v>
      </c>
      <c r="AE438" s="378">
        <v>7.5300000000000001E-5</v>
      </c>
      <c r="AF438" s="378"/>
      <c r="AG438" s="417">
        <v>5529</v>
      </c>
      <c r="AH438" s="417">
        <v>3991</v>
      </c>
      <c r="AI438" s="417">
        <v>2201</v>
      </c>
      <c r="AJ438" s="417">
        <v>0</v>
      </c>
      <c r="AK438" s="417">
        <v>0</v>
      </c>
      <c r="AL438" s="378">
        <v>7.5300000000000001E-5</v>
      </c>
      <c r="AM438" s="378"/>
      <c r="AN438" s="417">
        <v>0</v>
      </c>
      <c r="AO438" s="417">
        <v>0</v>
      </c>
      <c r="AP438" s="417">
        <v>0</v>
      </c>
      <c r="AQ438" s="417">
        <v>0</v>
      </c>
      <c r="AR438" s="417">
        <v>0</v>
      </c>
    </row>
    <row r="439" spans="1:44">
      <c r="A439" s="377">
        <v>94431</v>
      </c>
      <c r="B439" t="s">
        <v>1143</v>
      </c>
      <c r="C439" s="378">
        <v>3.6440000000000002E-4</v>
      </c>
      <c r="D439" s="378"/>
      <c r="E439" s="417">
        <v>70423</v>
      </c>
      <c r="F439" s="417">
        <v>-14817</v>
      </c>
      <c r="G439" s="417">
        <v>-68863</v>
      </c>
      <c r="H439" s="417">
        <v>-244321</v>
      </c>
      <c r="I439" s="417">
        <v>0</v>
      </c>
      <c r="J439" s="378">
        <v>3.6440000000000002E-4</v>
      </c>
      <c r="K439" s="378"/>
      <c r="L439" s="417">
        <v>89208</v>
      </c>
      <c r="M439" s="417">
        <v>61610</v>
      </c>
      <c r="N439" s="417">
        <v>26970</v>
      </c>
      <c r="O439" s="417">
        <v>0</v>
      </c>
      <c r="P439" s="417">
        <v>0</v>
      </c>
      <c r="Q439" s="378">
        <v>3.6440000000000002E-4</v>
      </c>
      <c r="R439" s="378"/>
      <c r="S439" s="417">
        <v>-183063</v>
      </c>
      <c r="T439" s="417">
        <v>-180945</v>
      </c>
      <c r="U439" s="417">
        <v>-190090</v>
      </c>
      <c r="V439" s="417">
        <v>-244321</v>
      </c>
      <c r="W439" s="417">
        <v>0</v>
      </c>
      <c r="X439" s="378">
        <v>3.6440000000000002E-4</v>
      </c>
      <c r="Z439" s="417">
        <v>145979</v>
      </c>
      <c r="AA439" s="417">
        <v>102559</v>
      </c>
      <c r="AB439" s="417">
        <v>102558</v>
      </c>
      <c r="AC439" s="417">
        <v>0</v>
      </c>
      <c r="AD439" s="417">
        <v>0</v>
      </c>
      <c r="AE439" s="378">
        <v>3.6440000000000002E-4</v>
      </c>
      <c r="AF439" s="378"/>
      <c r="AG439" s="417">
        <v>43726</v>
      </c>
      <c r="AH439" s="417">
        <v>27384</v>
      </c>
      <c r="AI439" s="417">
        <v>0</v>
      </c>
      <c r="AJ439" s="417">
        <v>0</v>
      </c>
      <c r="AK439" s="417">
        <v>0</v>
      </c>
      <c r="AL439" s="378">
        <v>3.6440000000000002E-4</v>
      </c>
      <c r="AM439" s="378"/>
      <c r="AN439" s="417">
        <v>-25427</v>
      </c>
      <c r="AO439" s="417">
        <v>-25425</v>
      </c>
      <c r="AP439" s="417">
        <v>-8301</v>
      </c>
      <c r="AQ439" s="417">
        <v>0</v>
      </c>
      <c r="AR439" s="417">
        <v>0</v>
      </c>
    </row>
    <row r="440" spans="1:44">
      <c r="A440" s="377">
        <v>94437</v>
      </c>
      <c r="B440" t="s">
        <v>1144</v>
      </c>
      <c r="C440" s="378">
        <v>1.5099999999999999E-5</v>
      </c>
      <c r="D440" s="378"/>
      <c r="E440" s="417">
        <v>7176</v>
      </c>
      <c r="F440" s="417">
        <v>3053</v>
      </c>
      <c r="G440" s="417">
        <v>325</v>
      </c>
      <c r="H440" s="417">
        <v>-10124</v>
      </c>
      <c r="I440" s="417">
        <v>0</v>
      </c>
      <c r="J440" s="378">
        <v>1.5099999999999999E-5</v>
      </c>
      <c r="K440" s="378"/>
      <c r="L440" s="417">
        <v>3697</v>
      </c>
      <c r="M440" s="417">
        <v>2553</v>
      </c>
      <c r="N440" s="417">
        <v>1118</v>
      </c>
      <c r="O440" s="417">
        <v>0</v>
      </c>
      <c r="P440" s="417">
        <v>0</v>
      </c>
      <c r="Q440" s="378">
        <v>1.5099999999999999E-5</v>
      </c>
      <c r="R440" s="378"/>
      <c r="S440" s="417">
        <v>-7586</v>
      </c>
      <c r="T440" s="417">
        <v>-7498</v>
      </c>
      <c r="U440" s="417">
        <v>-7877</v>
      </c>
      <c r="V440" s="417">
        <v>-10124</v>
      </c>
      <c r="W440" s="417">
        <v>0</v>
      </c>
      <c r="X440" s="378">
        <v>1.5099999999999999E-5</v>
      </c>
      <c r="Z440" s="417">
        <v>6049</v>
      </c>
      <c r="AA440" s="417">
        <v>4250</v>
      </c>
      <c r="AB440" s="417">
        <v>4250</v>
      </c>
      <c r="AC440" s="417">
        <v>0</v>
      </c>
      <c r="AD440" s="417">
        <v>0</v>
      </c>
      <c r="AE440" s="378">
        <v>1.5099999999999999E-5</v>
      </c>
      <c r="AF440" s="378"/>
      <c r="AG440" s="417">
        <v>5016</v>
      </c>
      <c r="AH440" s="417">
        <v>3748</v>
      </c>
      <c r="AI440" s="417">
        <v>2834</v>
      </c>
      <c r="AJ440" s="417">
        <v>0</v>
      </c>
      <c r="AK440" s="417">
        <v>0</v>
      </c>
      <c r="AL440" s="378">
        <v>1.5099999999999999E-5</v>
      </c>
      <c r="AM440" s="378"/>
      <c r="AN440" s="417">
        <v>0</v>
      </c>
      <c r="AO440" s="417">
        <v>0</v>
      </c>
      <c r="AP440" s="417">
        <v>0</v>
      </c>
      <c r="AQ440" s="417">
        <v>0</v>
      </c>
      <c r="AR440" s="417">
        <v>0</v>
      </c>
    </row>
    <row r="441" spans="1:44">
      <c r="A441" s="377">
        <v>94501</v>
      </c>
      <c r="B441" t="s">
        <v>1145</v>
      </c>
      <c r="C441" s="378">
        <v>5.8125E-3</v>
      </c>
      <c r="D441" s="378"/>
      <c r="E441" s="417">
        <v>818280</v>
      </c>
      <c r="F441" s="417">
        <v>-307061</v>
      </c>
      <c r="G441" s="417">
        <v>-1020600</v>
      </c>
      <c r="H441" s="417">
        <v>-3897130</v>
      </c>
      <c r="I441" s="417">
        <v>0</v>
      </c>
      <c r="J441" s="378">
        <v>5.8125E-3</v>
      </c>
      <c r="K441" s="378"/>
      <c r="L441" s="417">
        <v>1422947</v>
      </c>
      <c r="M441" s="417">
        <v>982731</v>
      </c>
      <c r="N441" s="417">
        <v>430195</v>
      </c>
      <c r="O441" s="417">
        <v>0</v>
      </c>
      <c r="P441" s="417">
        <v>0</v>
      </c>
      <c r="Q441" s="378">
        <v>5.8125E-3</v>
      </c>
      <c r="R441" s="378"/>
      <c r="S441" s="417">
        <v>-2920014</v>
      </c>
      <c r="T441" s="417">
        <v>-2886226</v>
      </c>
      <c r="U441" s="417">
        <v>-3032096</v>
      </c>
      <c r="V441" s="417">
        <v>-3897130</v>
      </c>
      <c r="W441" s="417">
        <v>0</v>
      </c>
      <c r="X441" s="378">
        <v>5.8125E-3</v>
      </c>
      <c r="Z441" s="417">
        <v>2328499</v>
      </c>
      <c r="AA441" s="417">
        <v>1635899</v>
      </c>
      <c r="AB441" s="417">
        <v>1635887</v>
      </c>
      <c r="AC441" s="417">
        <v>0</v>
      </c>
      <c r="AD441" s="417">
        <v>0</v>
      </c>
      <c r="AE441" s="378">
        <v>5.8125E-3</v>
      </c>
      <c r="AF441" s="378"/>
      <c r="AG441" s="417">
        <v>44032</v>
      </c>
      <c r="AH441" s="417">
        <v>17719</v>
      </c>
      <c r="AI441" s="417">
        <v>0</v>
      </c>
      <c r="AJ441" s="417">
        <v>0</v>
      </c>
      <c r="AK441" s="417">
        <v>0</v>
      </c>
      <c r="AL441" s="378">
        <v>5.8125E-3</v>
      </c>
      <c r="AM441" s="378"/>
      <c r="AN441" s="417">
        <v>-57184</v>
      </c>
      <c r="AO441" s="417">
        <v>-57184</v>
      </c>
      <c r="AP441" s="417">
        <v>-54586</v>
      </c>
      <c r="AQ441" s="417">
        <v>0</v>
      </c>
      <c r="AR441" s="417">
        <v>0</v>
      </c>
    </row>
    <row r="442" spans="1:44">
      <c r="A442" s="377">
        <v>94511</v>
      </c>
      <c r="B442" t="s">
        <v>1146</v>
      </c>
      <c r="C442" s="378">
        <v>1.9949999999999998E-3</v>
      </c>
      <c r="D442" s="378"/>
      <c r="E442" s="417">
        <v>189889</v>
      </c>
      <c r="F442" s="417">
        <v>-192112</v>
      </c>
      <c r="G442" s="417">
        <v>-355149</v>
      </c>
      <c r="H442" s="417">
        <v>-1337596</v>
      </c>
      <c r="I442" s="417">
        <v>0</v>
      </c>
      <c r="J442" s="378">
        <v>1.9949999999999998E-3</v>
      </c>
      <c r="K442" s="378"/>
      <c r="L442" s="417">
        <v>488392</v>
      </c>
      <c r="M442" s="417">
        <v>337299</v>
      </c>
      <c r="N442" s="417">
        <v>147654</v>
      </c>
      <c r="O442" s="417">
        <v>0</v>
      </c>
      <c r="P442" s="417">
        <v>0</v>
      </c>
      <c r="Q442" s="378">
        <v>1.9949999999999998E-3</v>
      </c>
      <c r="R442" s="378"/>
      <c r="S442" s="417">
        <v>-1002224</v>
      </c>
      <c r="T442" s="417">
        <v>-990627</v>
      </c>
      <c r="U442" s="417">
        <v>-1040694</v>
      </c>
      <c r="V442" s="417">
        <v>-1337596</v>
      </c>
      <c r="W442" s="417">
        <v>0</v>
      </c>
      <c r="X442" s="378">
        <v>1.9949999999999998E-3</v>
      </c>
      <c r="Z442" s="417">
        <v>799201</v>
      </c>
      <c r="AA442" s="417">
        <v>561483</v>
      </c>
      <c r="AB442" s="417">
        <v>561479</v>
      </c>
      <c r="AC442" s="417">
        <v>0</v>
      </c>
      <c r="AD442" s="417">
        <v>0</v>
      </c>
      <c r="AE442" s="378">
        <v>1.9949999999999998E-3</v>
      </c>
      <c r="AF442" s="378"/>
      <c r="AG442" s="417">
        <v>4788</v>
      </c>
      <c r="AH442" s="417">
        <v>0</v>
      </c>
      <c r="AI442" s="417">
        <v>0</v>
      </c>
      <c r="AJ442" s="417">
        <v>0</v>
      </c>
      <c r="AK442" s="417">
        <v>0</v>
      </c>
      <c r="AL442" s="378">
        <v>1.9949999999999998E-3</v>
      </c>
      <c r="AM442" s="378"/>
      <c r="AN442" s="417">
        <v>-100268</v>
      </c>
      <c r="AO442" s="417">
        <v>-100267</v>
      </c>
      <c r="AP442" s="417">
        <v>-23588</v>
      </c>
      <c r="AQ442" s="417">
        <v>0</v>
      </c>
      <c r="AR442" s="417">
        <v>0</v>
      </c>
    </row>
    <row r="443" spans="1:44">
      <c r="A443" s="377">
        <v>94512</v>
      </c>
      <c r="B443" t="s">
        <v>1147</v>
      </c>
      <c r="C443" s="378">
        <v>0</v>
      </c>
      <c r="D443" s="378"/>
      <c r="E443" s="417">
        <v>0</v>
      </c>
      <c r="F443" s="417">
        <v>0</v>
      </c>
      <c r="G443" s="417">
        <v>0</v>
      </c>
      <c r="H443" s="417">
        <v>0</v>
      </c>
      <c r="I443" s="417">
        <v>0</v>
      </c>
      <c r="J443" s="417">
        <v>0</v>
      </c>
      <c r="K443" s="417">
        <v>0</v>
      </c>
      <c r="L443" s="417">
        <v>0</v>
      </c>
      <c r="M443" s="417">
        <v>0</v>
      </c>
      <c r="N443" s="417">
        <v>0</v>
      </c>
      <c r="O443" s="417">
        <v>0</v>
      </c>
      <c r="P443" s="417">
        <v>0</v>
      </c>
      <c r="Q443" s="417">
        <v>0</v>
      </c>
      <c r="R443" s="417">
        <v>0</v>
      </c>
      <c r="S443" s="417">
        <v>0</v>
      </c>
      <c r="T443" s="417">
        <v>0</v>
      </c>
      <c r="U443" s="417">
        <v>0</v>
      </c>
      <c r="V443" s="417">
        <v>0</v>
      </c>
      <c r="W443" s="417">
        <v>0</v>
      </c>
      <c r="X443" s="417">
        <v>0</v>
      </c>
      <c r="Y443" s="417">
        <v>0</v>
      </c>
      <c r="Z443" s="417">
        <v>0</v>
      </c>
      <c r="AA443" s="417">
        <v>0</v>
      </c>
      <c r="AB443" s="417">
        <v>0</v>
      </c>
      <c r="AC443" s="417">
        <v>0</v>
      </c>
      <c r="AD443" s="417">
        <v>0</v>
      </c>
      <c r="AE443" s="417">
        <v>0</v>
      </c>
      <c r="AF443" s="417">
        <v>0</v>
      </c>
      <c r="AG443" s="417">
        <v>0</v>
      </c>
      <c r="AH443" s="417">
        <v>0</v>
      </c>
      <c r="AI443" s="417">
        <v>0</v>
      </c>
      <c r="AJ443" s="417">
        <v>0</v>
      </c>
      <c r="AK443" s="417">
        <v>0</v>
      </c>
      <c r="AL443" s="417">
        <v>0</v>
      </c>
      <c r="AM443" s="417">
        <v>0</v>
      </c>
      <c r="AN443" s="417">
        <v>0</v>
      </c>
      <c r="AO443" s="417">
        <v>0</v>
      </c>
      <c r="AP443" s="417">
        <v>0</v>
      </c>
      <c r="AQ443" s="417">
        <v>0</v>
      </c>
      <c r="AR443" s="417">
        <v>0</v>
      </c>
    </row>
    <row r="444" spans="1:44">
      <c r="A444" s="377">
        <v>94517</v>
      </c>
      <c r="B444" t="s">
        <v>1148</v>
      </c>
      <c r="C444" s="378">
        <v>6.3800000000000006E-5</v>
      </c>
      <c r="D444" s="378"/>
      <c r="E444" s="417">
        <v>26574</v>
      </c>
      <c r="F444" s="417">
        <v>13732</v>
      </c>
      <c r="G444" s="417">
        <v>-4052</v>
      </c>
      <c r="H444" s="417">
        <v>-42776</v>
      </c>
      <c r="I444" s="417">
        <v>0</v>
      </c>
      <c r="J444" s="378">
        <v>6.3800000000000006E-5</v>
      </c>
      <c r="K444" s="378"/>
      <c r="L444" s="417">
        <v>15619</v>
      </c>
      <c r="M444" s="417">
        <v>10787</v>
      </c>
      <c r="N444" s="417">
        <v>4722</v>
      </c>
      <c r="O444" s="417">
        <v>0</v>
      </c>
      <c r="P444" s="417">
        <v>0</v>
      </c>
      <c r="Q444" s="378">
        <v>6.3800000000000006E-5</v>
      </c>
      <c r="R444" s="378"/>
      <c r="S444" s="417">
        <v>-32051</v>
      </c>
      <c r="T444" s="417">
        <v>-31680</v>
      </c>
      <c r="U444" s="417">
        <v>-33281</v>
      </c>
      <c r="V444" s="417">
        <v>-42776</v>
      </c>
      <c r="W444" s="417">
        <v>0</v>
      </c>
      <c r="X444" s="378">
        <v>6.3800000000000006E-5</v>
      </c>
      <c r="Z444" s="417">
        <v>25558</v>
      </c>
      <c r="AA444" s="417">
        <v>17956</v>
      </c>
      <c r="AB444" s="417">
        <v>17956</v>
      </c>
      <c r="AC444" s="417">
        <v>0</v>
      </c>
      <c r="AD444" s="417">
        <v>0</v>
      </c>
      <c r="AE444" s="378">
        <v>6.3800000000000006E-5</v>
      </c>
      <c r="AF444" s="378"/>
      <c r="AG444" s="417">
        <v>17448</v>
      </c>
      <c r="AH444" s="417">
        <v>16669</v>
      </c>
      <c r="AI444" s="417">
        <v>6551</v>
      </c>
      <c r="AJ444" s="417">
        <v>0</v>
      </c>
      <c r="AK444" s="417">
        <v>0</v>
      </c>
      <c r="AL444" s="378">
        <v>6.3800000000000006E-5</v>
      </c>
      <c r="AM444" s="378"/>
      <c r="AN444" s="417">
        <v>0</v>
      </c>
      <c r="AO444" s="417">
        <v>0</v>
      </c>
      <c r="AP444" s="417">
        <v>0</v>
      </c>
      <c r="AQ444" s="417">
        <v>0</v>
      </c>
      <c r="AR444" s="417">
        <v>0</v>
      </c>
    </row>
    <row r="445" spans="1:44">
      <c r="A445" s="377">
        <v>94521</v>
      </c>
      <c r="B445" t="s">
        <v>1149</v>
      </c>
      <c r="C445" s="378">
        <v>1.3880000000000001E-4</v>
      </c>
      <c r="D445" s="378"/>
      <c r="E445" s="417">
        <v>1842</v>
      </c>
      <c r="F445" s="417">
        <v>-23071</v>
      </c>
      <c r="G445" s="417">
        <v>-31456</v>
      </c>
      <c r="H445" s="417">
        <v>-93062</v>
      </c>
      <c r="I445" s="417">
        <v>0</v>
      </c>
      <c r="J445" s="378">
        <v>1.3880000000000001E-4</v>
      </c>
      <c r="K445" s="378"/>
      <c r="L445" s="417">
        <v>33979</v>
      </c>
      <c r="M445" s="417">
        <v>23467</v>
      </c>
      <c r="N445" s="417">
        <v>10273</v>
      </c>
      <c r="O445" s="417">
        <v>0</v>
      </c>
      <c r="P445" s="417">
        <v>0</v>
      </c>
      <c r="Q445" s="378">
        <v>1.3880000000000001E-4</v>
      </c>
      <c r="R445" s="378"/>
      <c r="S445" s="417">
        <v>-69729</v>
      </c>
      <c r="T445" s="417">
        <v>-68922</v>
      </c>
      <c r="U445" s="417">
        <v>-72405</v>
      </c>
      <c r="V445" s="417">
        <v>-93062</v>
      </c>
      <c r="W445" s="417">
        <v>0</v>
      </c>
      <c r="X445" s="378">
        <v>1.3880000000000001E-4</v>
      </c>
      <c r="Z445" s="417">
        <v>55604</v>
      </c>
      <c r="AA445" s="417">
        <v>39065</v>
      </c>
      <c r="AB445" s="417">
        <v>39064</v>
      </c>
      <c r="AC445" s="417">
        <v>0</v>
      </c>
      <c r="AD445" s="417">
        <v>0</v>
      </c>
      <c r="AE445" s="378">
        <v>1.3880000000000001E-4</v>
      </c>
      <c r="AF445" s="378"/>
      <c r="AG445" s="417">
        <v>0</v>
      </c>
      <c r="AH445" s="417">
        <v>0</v>
      </c>
      <c r="AI445" s="417">
        <v>0</v>
      </c>
      <c r="AJ445" s="417">
        <v>0</v>
      </c>
      <c r="AK445" s="417">
        <v>0</v>
      </c>
      <c r="AL445" s="378">
        <v>1.3880000000000001E-4</v>
      </c>
      <c r="AM445" s="378"/>
      <c r="AN445" s="417">
        <v>-18012</v>
      </c>
      <c r="AO445" s="417">
        <v>-16681</v>
      </c>
      <c r="AP445" s="417">
        <v>-8388</v>
      </c>
      <c r="AQ445" s="417">
        <v>0</v>
      </c>
      <c r="AR445" s="417">
        <v>0</v>
      </c>
    </row>
    <row r="446" spans="1:44">
      <c r="A446" s="377">
        <v>94527</v>
      </c>
      <c r="B446" t="s">
        <v>1150</v>
      </c>
      <c r="C446" s="378">
        <v>7.4000000000000003E-6</v>
      </c>
      <c r="D446" s="378"/>
      <c r="E446" s="417">
        <v>1475</v>
      </c>
      <c r="F446" s="417">
        <v>-90</v>
      </c>
      <c r="G446" s="417">
        <v>-1060</v>
      </c>
      <c r="H446" s="417">
        <v>-4962</v>
      </c>
      <c r="I446" s="417">
        <v>0</v>
      </c>
      <c r="J446" s="378">
        <v>7.4000000000000003E-6</v>
      </c>
      <c r="K446" s="378"/>
      <c r="L446" s="417">
        <v>1812</v>
      </c>
      <c r="M446" s="417">
        <v>1251</v>
      </c>
      <c r="N446" s="417">
        <v>548</v>
      </c>
      <c r="O446" s="417">
        <v>0</v>
      </c>
      <c r="P446" s="417">
        <v>0</v>
      </c>
      <c r="Q446" s="378">
        <v>7.4000000000000003E-6</v>
      </c>
      <c r="R446" s="378"/>
      <c r="S446" s="417">
        <v>-3718</v>
      </c>
      <c r="T446" s="417">
        <v>-3675</v>
      </c>
      <c r="U446" s="417">
        <v>-3860</v>
      </c>
      <c r="V446" s="417">
        <v>-4962</v>
      </c>
      <c r="W446" s="417">
        <v>0</v>
      </c>
      <c r="X446" s="378">
        <v>7.4000000000000003E-6</v>
      </c>
      <c r="Z446" s="417">
        <v>2964</v>
      </c>
      <c r="AA446" s="417">
        <v>2083</v>
      </c>
      <c r="AB446" s="417">
        <v>2083</v>
      </c>
      <c r="AC446" s="417">
        <v>0</v>
      </c>
      <c r="AD446" s="417">
        <v>0</v>
      </c>
      <c r="AE446" s="378">
        <v>7.4000000000000003E-6</v>
      </c>
      <c r="AF446" s="378"/>
      <c r="AG446" s="417">
        <v>417</v>
      </c>
      <c r="AH446" s="417">
        <v>251</v>
      </c>
      <c r="AI446" s="417">
        <v>169</v>
      </c>
      <c r="AJ446" s="417">
        <v>0</v>
      </c>
      <c r="AK446" s="417">
        <v>0</v>
      </c>
      <c r="AL446" s="378">
        <v>7.4000000000000003E-6</v>
      </c>
      <c r="AM446" s="378"/>
      <c r="AN446" s="417">
        <v>0</v>
      </c>
      <c r="AO446" s="417">
        <v>0</v>
      </c>
      <c r="AP446" s="417">
        <v>0</v>
      </c>
      <c r="AQ446" s="417">
        <v>0</v>
      </c>
      <c r="AR446" s="417">
        <v>0</v>
      </c>
    </row>
    <row r="447" spans="1:44">
      <c r="A447" s="377">
        <v>94531</v>
      </c>
      <c r="B447" t="s">
        <v>1151</v>
      </c>
      <c r="C447" s="378">
        <v>2.16E-5</v>
      </c>
      <c r="D447" s="378"/>
      <c r="E447" s="417">
        <v>9166</v>
      </c>
      <c r="F447" s="417">
        <v>4092</v>
      </c>
      <c r="G447" s="417">
        <v>-1717</v>
      </c>
      <c r="H447" s="417">
        <v>-14482</v>
      </c>
      <c r="I447" s="417">
        <v>0</v>
      </c>
      <c r="J447" s="378">
        <v>2.16E-5</v>
      </c>
      <c r="K447" s="378"/>
      <c r="L447" s="417">
        <v>5288</v>
      </c>
      <c r="M447" s="417">
        <v>3652</v>
      </c>
      <c r="N447" s="417">
        <v>1599</v>
      </c>
      <c r="O447" s="417">
        <v>0</v>
      </c>
      <c r="P447" s="417">
        <v>0</v>
      </c>
      <c r="Q447" s="378">
        <v>2.16E-5</v>
      </c>
      <c r="R447" s="378"/>
      <c r="S447" s="417">
        <v>-10851</v>
      </c>
      <c r="T447" s="417">
        <v>-10726</v>
      </c>
      <c r="U447" s="417">
        <v>-11268</v>
      </c>
      <c r="V447" s="417">
        <v>-14482</v>
      </c>
      <c r="W447" s="417">
        <v>0</v>
      </c>
      <c r="X447" s="378">
        <v>2.16E-5</v>
      </c>
      <c r="Z447" s="417">
        <v>8653</v>
      </c>
      <c r="AA447" s="417">
        <v>6079</v>
      </c>
      <c r="AB447" s="417">
        <v>6079</v>
      </c>
      <c r="AC447" s="417">
        <v>0</v>
      </c>
      <c r="AD447" s="417">
        <v>0</v>
      </c>
      <c r="AE447" s="378">
        <v>2.16E-5</v>
      </c>
      <c r="AF447" s="378"/>
      <c r="AG447" s="417">
        <v>6076</v>
      </c>
      <c r="AH447" s="417">
        <v>5087</v>
      </c>
      <c r="AI447" s="417">
        <v>1873</v>
      </c>
      <c r="AJ447" s="417">
        <v>0</v>
      </c>
      <c r="AK447" s="417">
        <v>0</v>
      </c>
      <c r="AL447" s="378">
        <v>2.16E-5</v>
      </c>
      <c r="AM447" s="378"/>
      <c r="AN447" s="417">
        <v>0</v>
      </c>
      <c r="AO447" s="417">
        <v>0</v>
      </c>
      <c r="AP447" s="417">
        <v>0</v>
      </c>
      <c r="AQ447" s="417">
        <v>0</v>
      </c>
      <c r="AR447" s="417">
        <v>0</v>
      </c>
    </row>
    <row r="448" spans="1:44">
      <c r="A448" s="377">
        <v>94532</v>
      </c>
      <c r="B448" t="s">
        <v>1152</v>
      </c>
      <c r="C448" s="378">
        <v>1.1010000000000001E-4</v>
      </c>
      <c r="D448" s="378"/>
      <c r="E448" s="417">
        <v>17596</v>
      </c>
      <c r="F448" s="417">
        <v>-5613</v>
      </c>
      <c r="G448" s="417">
        <v>-31389</v>
      </c>
      <c r="H448" s="417">
        <v>-73819</v>
      </c>
      <c r="I448" s="417">
        <v>0</v>
      </c>
      <c r="J448" s="378">
        <v>1.1010000000000001E-4</v>
      </c>
      <c r="K448" s="378"/>
      <c r="L448" s="417">
        <v>26953</v>
      </c>
      <c r="M448" s="417">
        <v>18615</v>
      </c>
      <c r="N448" s="417">
        <v>8149</v>
      </c>
      <c r="O448" s="417">
        <v>0</v>
      </c>
      <c r="P448" s="417">
        <v>0</v>
      </c>
      <c r="Q448" s="378">
        <v>1.1010000000000001E-4</v>
      </c>
      <c r="R448" s="378"/>
      <c r="S448" s="417">
        <v>-55311</v>
      </c>
      <c r="T448" s="417">
        <v>-54671</v>
      </c>
      <c r="U448" s="417">
        <v>-57434</v>
      </c>
      <c r="V448" s="417">
        <v>-73819</v>
      </c>
      <c r="W448" s="417">
        <v>0</v>
      </c>
      <c r="X448" s="378">
        <v>1.1010000000000001E-4</v>
      </c>
      <c r="Z448" s="417">
        <v>44106</v>
      </c>
      <c r="AA448" s="417">
        <v>30987</v>
      </c>
      <c r="AB448" s="417">
        <v>30987</v>
      </c>
      <c r="AC448" s="417">
        <v>0</v>
      </c>
      <c r="AD448" s="417">
        <v>0</v>
      </c>
      <c r="AE448" s="378">
        <v>1.1010000000000001E-4</v>
      </c>
      <c r="AF448" s="378"/>
      <c r="AG448" s="417">
        <v>14941</v>
      </c>
      <c r="AH448" s="417">
        <v>12549</v>
      </c>
      <c r="AI448" s="417">
        <v>0</v>
      </c>
      <c r="AJ448" s="417">
        <v>0</v>
      </c>
      <c r="AK448" s="417">
        <v>0</v>
      </c>
      <c r="AL448" s="378">
        <v>1.1010000000000001E-4</v>
      </c>
      <c r="AM448" s="378"/>
      <c r="AN448" s="417">
        <v>-13093</v>
      </c>
      <c r="AO448" s="417">
        <v>-13093</v>
      </c>
      <c r="AP448" s="417">
        <v>-13091</v>
      </c>
      <c r="AQ448" s="417">
        <v>0</v>
      </c>
      <c r="AR448" s="417">
        <v>0</v>
      </c>
    </row>
    <row r="449" spans="1:44">
      <c r="A449" s="377">
        <v>94541</v>
      </c>
      <c r="B449" t="s">
        <v>1153</v>
      </c>
      <c r="C449" s="378">
        <v>2.7490000000000001E-4</v>
      </c>
      <c r="D449" s="378"/>
      <c r="E449" s="417">
        <v>31153</v>
      </c>
      <c r="F449" s="417">
        <v>-17154</v>
      </c>
      <c r="G449" s="417">
        <v>-48440</v>
      </c>
      <c r="H449" s="417">
        <v>-184313</v>
      </c>
      <c r="I449" s="417">
        <v>0</v>
      </c>
      <c r="J449" s="378">
        <v>2.7490000000000001E-4</v>
      </c>
      <c r="K449" s="378"/>
      <c r="L449" s="417">
        <v>67298</v>
      </c>
      <c r="M449" s="417">
        <v>46478</v>
      </c>
      <c r="N449" s="417">
        <v>20346</v>
      </c>
      <c r="O449" s="417">
        <v>0</v>
      </c>
      <c r="P449" s="417">
        <v>0</v>
      </c>
      <c r="Q449" s="378">
        <v>2.7490000000000001E-4</v>
      </c>
      <c r="R449" s="378"/>
      <c r="S449" s="417">
        <v>-138101</v>
      </c>
      <c r="T449" s="417">
        <v>-136503</v>
      </c>
      <c r="U449" s="417">
        <v>-143402</v>
      </c>
      <c r="V449" s="417">
        <v>-184313</v>
      </c>
      <c r="W449" s="417">
        <v>0</v>
      </c>
      <c r="X449" s="378">
        <v>2.7490000000000001E-4</v>
      </c>
      <c r="Z449" s="417">
        <v>110125</v>
      </c>
      <c r="AA449" s="417">
        <v>77369</v>
      </c>
      <c r="AB449" s="417">
        <v>77369</v>
      </c>
      <c r="AC449" s="417">
        <v>0</v>
      </c>
      <c r="AD449" s="417">
        <v>0</v>
      </c>
      <c r="AE449" s="378">
        <v>2.7490000000000001E-4</v>
      </c>
      <c r="AF449" s="378"/>
      <c r="AG449" s="417">
        <v>640</v>
      </c>
      <c r="AH449" s="417">
        <v>640</v>
      </c>
      <c r="AI449" s="417">
        <v>0</v>
      </c>
      <c r="AJ449" s="417">
        <v>0</v>
      </c>
      <c r="AK449" s="417">
        <v>0</v>
      </c>
      <c r="AL449" s="378">
        <v>2.7490000000000001E-4</v>
      </c>
      <c r="AM449" s="378"/>
      <c r="AN449" s="417">
        <v>-8809</v>
      </c>
      <c r="AO449" s="417">
        <v>-5138</v>
      </c>
      <c r="AP449" s="417">
        <v>-2753</v>
      </c>
      <c r="AQ449" s="417">
        <v>0</v>
      </c>
      <c r="AR449" s="417">
        <v>0</v>
      </c>
    </row>
    <row r="450" spans="1:44">
      <c r="A450" s="377">
        <v>94547</v>
      </c>
      <c r="B450" t="s">
        <v>1154</v>
      </c>
      <c r="C450" s="378">
        <v>1.7E-5</v>
      </c>
      <c r="D450" s="378"/>
      <c r="E450" s="417">
        <v>11171</v>
      </c>
      <c r="F450" s="417">
        <v>7248</v>
      </c>
      <c r="G450" s="417">
        <v>1737</v>
      </c>
      <c r="H450" s="417">
        <v>-11398</v>
      </c>
      <c r="I450" s="417">
        <v>0</v>
      </c>
      <c r="J450" s="378">
        <v>1.7E-5</v>
      </c>
      <c r="K450" s="378"/>
      <c r="L450" s="417">
        <v>4162</v>
      </c>
      <c r="M450" s="417">
        <v>2874</v>
      </c>
      <c r="N450" s="417">
        <v>1258</v>
      </c>
      <c r="O450" s="417">
        <v>0</v>
      </c>
      <c r="P450" s="417">
        <v>0</v>
      </c>
      <c r="Q450" s="378">
        <v>1.7E-5</v>
      </c>
      <c r="R450" s="378"/>
      <c r="S450" s="417">
        <v>-8540</v>
      </c>
      <c r="T450" s="417">
        <v>-8441</v>
      </c>
      <c r="U450" s="417">
        <v>-8868</v>
      </c>
      <c r="V450" s="417">
        <v>-11398</v>
      </c>
      <c r="W450" s="417">
        <v>0</v>
      </c>
      <c r="X450" s="378">
        <v>1.7E-5</v>
      </c>
      <c r="Z450" s="417">
        <v>6810</v>
      </c>
      <c r="AA450" s="417">
        <v>4785</v>
      </c>
      <c r="AB450" s="417">
        <v>4785</v>
      </c>
      <c r="AC450" s="417">
        <v>0</v>
      </c>
      <c r="AD450" s="417">
        <v>0</v>
      </c>
      <c r="AE450" s="378">
        <v>1.7E-5</v>
      </c>
      <c r="AF450" s="378"/>
      <c r="AG450" s="417">
        <v>8739</v>
      </c>
      <c r="AH450" s="417">
        <v>8030</v>
      </c>
      <c r="AI450" s="417">
        <v>4562</v>
      </c>
      <c r="AJ450" s="417">
        <v>0</v>
      </c>
      <c r="AK450" s="417">
        <v>0</v>
      </c>
      <c r="AL450" s="378">
        <v>1.7E-5</v>
      </c>
      <c r="AM450" s="378"/>
      <c r="AN450" s="417">
        <v>0</v>
      </c>
      <c r="AO450" s="417">
        <v>0</v>
      </c>
      <c r="AP450" s="417">
        <v>0</v>
      </c>
      <c r="AQ450" s="417">
        <v>0</v>
      </c>
      <c r="AR450" s="417">
        <v>0</v>
      </c>
    </row>
    <row r="451" spans="1:44">
      <c r="A451" s="377">
        <v>94551</v>
      </c>
      <c r="B451" t="s">
        <v>1155</v>
      </c>
      <c r="C451" s="378">
        <v>5.0800000000000002E-5</v>
      </c>
      <c r="D451" s="378"/>
      <c r="E451" s="417">
        <v>8943</v>
      </c>
      <c r="F451" s="417">
        <v>-2300</v>
      </c>
      <c r="G451" s="417">
        <v>-11377</v>
      </c>
      <c r="H451" s="417">
        <v>-34060</v>
      </c>
      <c r="I451" s="417">
        <v>0</v>
      </c>
      <c r="J451" s="378">
        <v>5.0800000000000002E-5</v>
      </c>
      <c r="K451" s="378"/>
      <c r="L451" s="417">
        <v>12436</v>
      </c>
      <c r="M451" s="417">
        <v>8589</v>
      </c>
      <c r="N451" s="417">
        <v>3760</v>
      </c>
      <c r="O451" s="417">
        <v>0</v>
      </c>
      <c r="P451" s="417">
        <v>0</v>
      </c>
      <c r="Q451" s="378">
        <v>5.0800000000000002E-5</v>
      </c>
      <c r="R451" s="378"/>
      <c r="S451" s="417">
        <v>-25520</v>
      </c>
      <c r="T451" s="417">
        <v>-25225</v>
      </c>
      <c r="U451" s="417">
        <v>-26500</v>
      </c>
      <c r="V451" s="417">
        <v>-34060</v>
      </c>
      <c r="W451" s="417">
        <v>0</v>
      </c>
      <c r="X451" s="378">
        <v>5.0800000000000002E-5</v>
      </c>
      <c r="Z451" s="417">
        <v>20351</v>
      </c>
      <c r="AA451" s="417">
        <v>14297</v>
      </c>
      <c r="AB451" s="417">
        <v>14297</v>
      </c>
      <c r="AC451" s="417">
        <v>0</v>
      </c>
      <c r="AD451" s="417">
        <v>0</v>
      </c>
      <c r="AE451" s="378">
        <v>5.0800000000000002E-5</v>
      </c>
      <c r="AF451" s="378"/>
      <c r="AG451" s="417">
        <v>4611</v>
      </c>
      <c r="AH451" s="417">
        <v>2974</v>
      </c>
      <c r="AI451" s="417">
        <v>0</v>
      </c>
      <c r="AJ451" s="417">
        <v>0</v>
      </c>
      <c r="AK451" s="417">
        <v>0</v>
      </c>
      <c r="AL451" s="378">
        <v>5.0800000000000002E-5</v>
      </c>
      <c r="AM451" s="378"/>
      <c r="AN451" s="417">
        <v>-2935</v>
      </c>
      <c r="AO451" s="417">
        <v>-2935</v>
      </c>
      <c r="AP451" s="417">
        <v>-2934</v>
      </c>
      <c r="AQ451" s="417">
        <v>0</v>
      </c>
      <c r="AR451" s="417">
        <v>0</v>
      </c>
    </row>
    <row r="452" spans="1:44">
      <c r="A452" s="377">
        <v>94601</v>
      </c>
      <c r="B452" t="s">
        <v>1156</v>
      </c>
      <c r="C452" s="378">
        <v>9.6500000000000004E-4</v>
      </c>
      <c r="D452" s="378"/>
      <c r="E452" s="417">
        <v>155711</v>
      </c>
      <c r="F452" s="417">
        <v>-31260</v>
      </c>
      <c r="G452" s="417">
        <v>-132444</v>
      </c>
      <c r="H452" s="417">
        <v>-647007</v>
      </c>
      <c r="I452" s="417">
        <v>0</v>
      </c>
      <c r="J452" s="378">
        <v>9.6500000000000004E-4</v>
      </c>
      <c r="K452" s="378"/>
      <c r="L452" s="417">
        <v>236240</v>
      </c>
      <c r="M452" s="417">
        <v>163154</v>
      </c>
      <c r="N452" s="417">
        <v>71422</v>
      </c>
      <c r="O452" s="417">
        <v>0</v>
      </c>
      <c r="P452" s="417">
        <v>0</v>
      </c>
      <c r="Q452" s="378">
        <v>9.6500000000000004E-4</v>
      </c>
      <c r="R452" s="378"/>
      <c r="S452" s="417">
        <v>-484785</v>
      </c>
      <c r="T452" s="417">
        <v>-479176</v>
      </c>
      <c r="U452" s="417">
        <v>-503393</v>
      </c>
      <c r="V452" s="417">
        <v>-647007</v>
      </c>
      <c r="W452" s="417">
        <v>0</v>
      </c>
      <c r="X452" s="378">
        <v>9.6500000000000004E-4</v>
      </c>
      <c r="Z452" s="417">
        <v>386581</v>
      </c>
      <c r="AA452" s="417">
        <v>271594</v>
      </c>
      <c r="AB452" s="417">
        <v>271592</v>
      </c>
      <c r="AC452" s="417">
        <v>0</v>
      </c>
      <c r="AD452" s="417">
        <v>0</v>
      </c>
      <c r="AE452" s="378">
        <v>9.6500000000000004E-4</v>
      </c>
      <c r="AF452" s="378"/>
      <c r="AG452" s="417">
        <v>43669</v>
      </c>
      <c r="AH452" s="417">
        <v>39160</v>
      </c>
      <c r="AI452" s="417">
        <v>27935</v>
      </c>
      <c r="AJ452" s="417">
        <v>0</v>
      </c>
      <c r="AK452" s="417">
        <v>0</v>
      </c>
      <c r="AL452" s="378">
        <v>9.6500000000000004E-4</v>
      </c>
      <c r="AM452" s="378"/>
      <c r="AN452" s="417">
        <v>-25994</v>
      </c>
      <c r="AO452" s="417">
        <v>-25992</v>
      </c>
      <c r="AP452" s="417">
        <v>0</v>
      </c>
      <c r="AQ452" s="417">
        <v>0</v>
      </c>
      <c r="AR452" s="417">
        <v>0</v>
      </c>
    </row>
    <row r="453" spans="1:44">
      <c r="A453" s="377">
        <v>94604</v>
      </c>
      <c r="B453" t="s">
        <v>1157</v>
      </c>
      <c r="C453" s="378">
        <v>2.65E-5</v>
      </c>
      <c r="D453" s="378"/>
      <c r="E453" s="417">
        <v>7491</v>
      </c>
      <c r="F453" s="417">
        <v>2024</v>
      </c>
      <c r="G453" s="417">
        <v>-245</v>
      </c>
      <c r="H453" s="417">
        <v>-17768</v>
      </c>
      <c r="I453" s="417">
        <v>0</v>
      </c>
      <c r="J453" s="378">
        <v>2.65E-5</v>
      </c>
      <c r="K453" s="378"/>
      <c r="L453" s="417">
        <v>6487</v>
      </c>
      <c r="M453" s="417">
        <v>4480</v>
      </c>
      <c r="N453" s="417">
        <v>1961</v>
      </c>
      <c r="O453" s="417">
        <v>0</v>
      </c>
      <c r="P453" s="417">
        <v>0</v>
      </c>
      <c r="Q453" s="378">
        <v>2.65E-5</v>
      </c>
      <c r="R453" s="378"/>
      <c r="S453" s="417">
        <v>-13313</v>
      </c>
      <c r="T453" s="417">
        <v>-13159</v>
      </c>
      <c r="U453" s="417">
        <v>-13824</v>
      </c>
      <c r="V453" s="417">
        <v>-17768</v>
      </c>
      <c r="W453" s="417">
        <v>0</v>
      </c>
      <c r="X453" s="378">
        <v>2.65E-5</v>
      </c>
      <c r="Z453" s="417">
        <v>10616</v>
      </c>
      <c r="AA453" s="417">
        <v>7458</v>
      </c>
      <c r="AB453" s="417">
        <v>7458</v>
      </c>
      <c r="AC453" s="417">
        <v>0</v>
      </c>
      <c r="AD453" s="417">
        <v>0</v>
      </c>
      <c r="AE453" s="378">
        <v>2.65E-5</v>
      </c>
      <c r="AF453" s="378"/>
      <c r="AG453" s="417">
        <v>4621</v>
      </c>
      <c r="AH453" s="417">
        <v>4163</v>
      </c>
      <c r="AI453" s="417">
        <v>4160</v>
      </c>
      <c r="AJ453" s="417">
        <v>0</v>
      </c>
      <c r="AK453" s="417">
        <v>0</v>
      </c>
      <c r="AL453" s="378">
        <v>2.65E-5</v>
      </c>
      <c r="AM453" s="378"/>
      <c r="AN453" s="417">
        <v>-920</v>
      </c>
      <c r="AO453" s="417">
        <v>-918</v>
      </c>
      <c r="AP453" s="417">
        <v>0</v>
      </c>
      <c r="AQ453" s="417">
        <v>0</v>
      </c>
      <c r="AR453" s="417">
        <v>0</v>
      </c>
    </row>
    <row r="454" spans="1:44">
      <c r="A454" s="377">
        <v>94606</v>
      </c>
      <c r="B454" t="s">
        <v>1158</v>
      </c>
      <c r="C454" s="378">
        <v>0</v>
      </c>
      <c r="D454" s="378"/>
      <c r="E454" s="417">
        <v>0</v>
      </c>
      <c r="F454" s="417">
        <v>0</v>
      </c>
      <c r="G454" s="417">
        <v>0</v>
      </c>
      <c r="H454" s="417">
        <v>0</v>
      </c>
      <c r="I454" s="417">
        <v>0</v>
      </c>
      <c r="J454" s="378">
        <v>0</v>
      </c>
      <c r="K454" s="378"/>
      <c r="L454" s="417">
        <v>0</v>
      </c>
      <c r="M454" s="417">
        <v>0</v>
      </c>
      <c r="N454" s="417">
        <v>0</v>
      </c>
      <c r="O454" s="417">
        <v>0</v>
      </c>
      <c r="P454" s="417">
        <v>0</v>
      </c>
      <c r="Q454" s="378">
        <v>0</v>
      </c>
      <c r="R454" s="378"/>
      <c r="S454" s="417">
        <v>0</v>
      </c>
      <c r="T454" s="417">
        <v>0</v>
      </c>
      <c r="U454" s="417">
        <v>0</v>
      </c>
      <c r="V454" s="417">
        <v>0</v>
      </c>
      <c r="W454" s="417">
        <v>0</v>
      </c>
      <c r="X454" s="378">
        <v>0</v>
      </c>
      <c r="Z454" s="417">
        <v>0</v>
      </c>
      <c r="AA454" s="417">
        <v>0</v>
      </c>
      <c r="AB454" s="417">
        <v>0</v>
      </c>
      <c r="AC454" s="417">
        <v>0</v>
      </c>
      <c r="AD454" s="417">
        <v>0</v>
      </c>
      <c r="AE454" s="378">
        <v>0</v>
      </c>
      <c r="AF454" s="378"/>
      <c r="AG454" s="417">
        <v>0</v>
      </c>
      <c r="AH454" s="417">
        <v>0</v>
      </c>
      <c r="AI454" s="417">
        <v>0</v>
      </c>
      <c r="AJ454" s="417">
        <v>0</v>
      </c>
      <c r="AK454" s="417">
        <v>0</v>
      </c>
      <c r="AL454" s="378">
        <v>0</v>
      </c>
      <c r="AM454" s="378"/>
      <c r="AN454" s="417">
        <v>-46761</v>
      </c>
      <c r="AO454" s="417">
        <v>-40452</v>
      </c>
      <c r="AP454" s="417">
        <v>0</v>
      </c>
      <c r="AQ454" s="417">
        <v>0</v>
      </c>
      <c r="AR454" s="417">
        <v>0</v>
      </c>
    </row>
    <row r="455" spans="1:44">
      <c r="A455" s="377">
        <v>94611</v>
      </c>
      <c r="B455" t="s">
        <v>1159</v>
      </c>
      <c r="C455" s="378">
        <v>2.8889999999999997E-4</v>
      </c>
      <c r="D455" s="378"/>
      <c r="E455" s="417">
        <v>26027</v>
      </c>
      <c r="F455" s="417">
        <v>-28586</v>
      </c>
      <c r="G455" s="417">
        <v>-51287</v>
      </c>
      <c r="H455" s="417">
        <v>-193700</v>
      </c>
      <c r="I455" s="417">
        <v>0</v>
      </c>
      <c r="J455" s="378">
        <v>2.8889999999999997E-4</v>
      </c>
      <c r="K455" s="378"/>
      <c r="L455" s="417">
        <v>70725</v>
      </c>
      <c r="M455" s="417">
        <v>48845</v>
      </c>
      <c r="N455" s="417">
        <v>21382</v>
      </c>
      <c r="O455" s="417">
        <v>0</v>
      </c>
      <c r="P455" s="417">
        <v>0</v>
      </c>
      <c r="Q455" s="378">
        <v>2.8889999999999997E-4</v>
      </c>
      <c r="R455" s="378"/>
      <c r="S455" s="417">
        <v>-145134</v>
      </c>
      <c r="T455" s="417">
        <v>-143455</v>
      </c>
      <c r="U455" s="417">
        <v>-150705</v>
      </c>
      <c r="V455" s="417">
        <v>-193700</v>
      </c>
      <c r="W455" s="417">
        <v>0</v>
      </c>
      <c r="X455" s="378">
        <v>2.8889999999999997E-4</v>
      </c>
      <c r="Z455" s="417">
        <v>115734</v>
      </c>
      <c r="AA455" s="417">
        <v>81309</v>
      </c>
      <c r="AB455" s="417">
        <v>81309</v>
      </c>
      <c r="AC455" s="417">
        <v>0</v>
      </c>
      <c r="AD455" s="417">
        <v>0</v>
      </c>
      <c r="AE455" s="378">
        <v>2.8889999999999997E-4</v>
      </c>
      <c r="AF455" s="378"/>
      <c r="AG455" s="417">
        <v>0</v>
      </c>
      <c r="AH455" s="417">
        <v>0</v>
      </c>
      <c r="AI455" s="417">
        <v>0</v>
      </c>
      <c r="AJ455" s="417">
        <v>0</v>
      </c>
      <c r="AK455" s="417">
        <v>0</v>
      </c>
      <c r="AL455" s="378">
        <v>2.8889999999999997E-4</v>
      </c>
      <c r="AM455" s="378"/>
      <c r="AN455" s="417">
        <v>-15298</v>
      </c>
      <c r="AO455" s="417">
        <v>-15285</v>
      </c>
      <c r="AP455" s="417">
        <v>-3273</v>
      </c>
      <c r="AQ455" s="417">
        <v>0</v>
      </c>
      <c r="AR455" s="417">
        <v>0</v>
      </c>
    </row>
    <row r="456" spans="1:44">
      <c r="A456" s="377">
        <v>94621</v>
      </c>
      <c r="B456" t="s">
        <v>1160</v>
      </c>
      <c r="C456" s="378">
        <v>1.1120000000000001E-4</v>
      </c>
      <c r="D456" s="378"/>
      <c r="E456" s="417">
        <v>19244</v>
      </c>
      <c r="F456" s="417">
        <v>-6712</v>
      </c>
      <c r="G456" s="417">
        <v>-18126</v>
      </c>
      <c r="H456" s="417">
        <v>-74557</v>
      </c>
      <c r="I456" s="417">
        <v>0</v>
      </c>
      <c r="J456" s="378">
        <v>1.1120000000000001E-4</v>
      </c>
      <c r="K456" s="378"/>
      <c r="L456" s="417">
        <v>27223</v>
      </c>
      <c r="M456" s="417">
        <v>18801</v>
      </c>
      <c r="N456" s="417">
        <v>8230</v>
      </c>
      <c r="O456" s="417">
        <v>0</v>
      </c>
      <c r="P456" s="417">
        <v>0</v>
      </c>
      <c r="Q456" s="378">
        <v>1.1120000000000001E-4</v>
      </c>
      <c r="R456" s="378"/>
      <c r="S456" s="417">
        <v>-55863</v>
      </c>
      <c r="T456" s="417">
        <v>-55217</v>
      </c>
      <c r="U456" s="417">
        <v>-58008</v>
      </c>
      <c r="V456" s="417">
        <v>-74557</v>
      </c>
      <c r="W456" s="417">
        <v>0</v>
      </c>
      <c r="X456" s="378">
        <v>1.1120000000000001E-4</v>
      </c>
      <c r="Z456" s="417">
        <v>44547</v>
      </c>
      <c r="AA456" s="417">
        <v>31297</v>
      </c>
      <c r="AB456" s="417">
        <v>31296</v>
      </c>
      <c r="AC456" s="417">
        <v>0</v>
      </c>
      <c r="AD456" s="417">
        <v>0</v>
      </c>
      <c r="AE456" s="378">
        <v>1.1120000000000001E-4</v>
      </c>
      <c r="AF456" s="378"/>
      <c r="AG456" s="417">
        <v>11806</v>
      </c>
      <c r="AH456" s="417">
        <v>6876</v>
      </c>
      <c r="AI456" s="417">
        <v>356</v>
      </c>
      <c r="AJ456" s="417">
        <v>0</v>
      </c>
      <c r="AK456" s="417">
        <v>0</v>
      </c>
      <c r="AL456" s="378">
        <v>1.1120000000000001E-4</v>
      </c>
      <c r="AM456" s="378"/>
      <c r="AN456" s="417">
        <v>-8469</v>
      </c>
      <c r="AO456" s="417">
        <v>-8469</v>
      </c>
      <c r="AP456" s="417">
        <v>0</v>
      </c>
      <c r="AQ456" s="417">
        <v>0</v>
      </c>
      <c r="AR456" s="417">
        <v>0</v>
      </c>
    </row>
    <row r="457" spans="1:44">
      <c r="A457" s="377">
        <v>94631</v>
      </c>
      <c r="B457" t="s">
        <v>1161</v>
      </c>
      <c r="C457" s="378">
        <v>4.0200000000000001E-5</v>
      </c>
      <c r="D457" s="378"/>
      <c r="E457" s="417">
        <v>4638</v>
      </c>
      <c r="F457" s="417">
        <v>-3708</v>
      </c>
      <c r="G457" s="417">
        <v>-8014</v>
      </c>
      <c r="H457" s="417">
        <v>-26953</v>
      </c>
      <c r="I457" s="417">
        <v>0</v>
      </c>
      <c r="J457" s="378">
        <v>4.0200000000000001E-5</v>
      </c>
      <c r="K457" s="378"/>
      <c r="L457" s="417">
        <v>9841</v>
      </c>
      <c r="M457" s="417">
        <v>6797</v>
      </c>
      <c r="N457" s="417">
        <v>2975</v>
      </c>
      <c r="O457" s="417">
        <v>0</v>
      </c>
      <c r="P457" s="417">
        <v>0</v>
      </c>
      <c r="Q457" s="378">
        <v>4.0200000000000001E-5</v>
      </c>
      <c r="R457" s="378"/>
      <c r="S457" s="417">
        <v>-20195</v>
      </c>
      <c r="T457" s="417">
        <v>-19962</v>
      </c>
      <c r="U457" s="417">
        <v>-20970</v>
      </c>
      <c r="V457" s="417">
        <v>-26953</v>
      </c>
      <c r="W457" s="417">
        <v>0</v>
      </c>
      <c r="X457" s="378">
        <v>4.0200000000000001E-5</v>
      </c>
      <c r="Z457" s="417">
        <v>16104</v>
      </c>
      <c r="AA457" s="417">
        <v>11314</v>
      </c>
      <c r="AB457" s="417">
        <v>11314</v>
      </c>
      <c r="AC457" s="417">
        <v>0</v>
      </c>
      <c r="AD457" s="417">
        <v>0</v>
      </c>
      <c r="AE457" s="378">
        <v>4.0200000000000001E-5</v>
      </c>
      <c r="AF457" s="378"/>
      <c r="AG457" s="417">
        <v>745</v>
      </c>
      <c r="AH457" s="417">
        <v>0</v>
      </c>
      <c r="AI457" s="417">
        <v>0</v>
      </c>
      <c r="AJ457" s="417">
        <v>0</v>
      </c>
      <c r="AK457" s="417">
        <v>0</v>
      </c>
      <c r="AL457" s="378">
        <v>4.0200000000000001E-5</v>
      </c>
      <c r="AM457" s="378"/>
      <c r="AN457" s="417">
        <v>-1857</v>
      </c>
      <c r="AO457" s="417">
        <v>-1857</v>
      </c>
      <c r="AP457" s="417">
        <v>-1333</v>
      </c>
      <c r="AQ457" s="417">
        <v>0</v>
      </c>
      <c r="AR457" s="417">
        <v>0</v>
      </c>
    </row>
    <row r="458" spans="1:44">
      <c r="A458" s="377">
        <v>94641</v>
      </c>
      <c r="B458" t="s">
        <v>1162</v>
      </c>
      <c r="C458" s="378">
        <v>1.3499999999999999E-5</v>
      </c>
      <c r="D458" s="378"/>
      <c r="E458" s="417">
        <v>7212</v>
      </c>
      <c r="F458" s="417">
        <v>4115</v>
      </c>
      <c r="G458" s="417">
        <v>-1560</v>
      </c>
      <c r="H458" s="417">
        <v>-9051</v>
      </c>
      <c r="I458" s="417">
        <v>0</v>
      </c>
      <c r="J458" s="378">
        <v>1.3499999999999999E-5</v>
      </c>
      <c r="K458" s="378"/>
      <c r="L458" s="417">
        <v>3305</v>
      </c>
      <c r="M458" s="417">
        <v>2282</v>
      </c>
      <c r="N458" s="417">
        <v>999</v>
      </c>
      <c r="O458" s="417">
        <v>0</v>
      </c>
      <c r="P458" s="417">
        <v>0</v>
      </c>
      <c r="Q458" s="378">
        <v>1.3499999999999999E-5</v>
      </c>
      <c r="R458" s="378"/>
      <c r="S458" s="417">
        <v>-6782</v>
      </c>
      <c r="T458" s="417">
        <v>-6703</v>
      </c>
      <c r="U458" s="417">
        <v>-7042</v>
      </c>
      <c r="V458" s="417">
        <v>-9051</v>
      </c>
      <c r="W458" s="417">
        <v>0</v>
      </c>
      <c r="X458" s="378">
        <v>1.3499999999999999E-5</v>
      </c>
      <c r="Z458" s="417">
        <v>5408</v>
      </c>
      <c r="AA458" s="417">
        <v>3800</v>
      </c>
      <c r="AB458" s="417">
        <v>3799</v>
      </c>
      <c r="AC458" s="417">
        <v>0</v>
      </c>
      <c r="AD458" s="417">
        <v>0</v>
      </c>
      <c r="AE458" s="378">
        <v>1.3499999999999999E-5</v>
      </c>
      <c r="AF458" s="378"/>
      <c r="AG458" s="417">
        <v>5281</v>
      </c>
      <c r="AH458" s="417">
        <v>4736</v>
      </c>
      <c r="AI458" s="417">
        <v>684</v>
      </c>
      <c r="AJ458" s="417">
        <v>0</v>
      </c>
      <c r="AK458" s="417">
        <v>0</v>
      </c>
      <c r="AL458" s="378">
        <v>1.3499999999999999E-5</v>
      </c>
      <c r="AM458" s="378"/>
      <c r="AN458" s="417">
        <v>0</v>
      </c>
      <c r="AO458" s="417">
        <v>0</v>
      </c>
      <c r="AP458" s="417">
        <v>0</v>
      </c>
      <c r="AQ458" s="417">
        <v>0</v>
      </c>
      <c r="AR458" s="417">
        <v>0</v>
      </c>
    </row>
    <row r="459" spans="1:44">
      <c r="A459" s="377">
        <v>94701</v>
      </c>
      <c r="B459" t="s">
        <v>1163</v>
      </c>
      <c r="C459" s="378">
        <v>2.3996999999999998E-3</v>
      </c>
      <c r="D459" s="378"/>
      <c r="E459" s="417">
        <v>321206</v>
      </c>
      <c r="F459" s="417">
        <v>-102916</v>
      </c>
      <c r="G459" s="417">
        <v>-436661</v>
      </c>
      <c r="H459" s="417">
        <v>-1608936</v>
      </c>
      <c r="I459" s="417">
        <v>0</v>
      </c>
      <c r="J459" s="378">
        <v>2.3996999999999998E-3</v>
      </c>
      <c r="K459" s="378"/>
      <c r="L459" s="417">
        <v>587466</v>
      </c>
      <c r="M459" s="417">
        <v>405722</v>
      </c>
      <c r="N459" s="417">
        <v>177607</v>
      </c>
      <c r="O459" s="417">
        <v>0</v>
      </c>
      <c r="P459" s="417">
        <v>0</v>
      </c>
      <c r="Q459" s="378">
        <v>2.3996999999999998E-3</v>
      </c>
      <c r="R459" s="378"/>
      <c r="S459" s="417">
        <v>-1205532</v>
      </c>
      <c r="T459" s="417">
        <v>-1191583</v>
      </c>
      <c r="U459" s="417">
        <v>-1251806</v>
      </c>
      <c r="V459" s="417">
        <v>-1608936</v>
      </c>
      <c r="W459" s="417">
        <v>0</v>
      </c>
      <c r="X459" s="378">
        <v>2.3996999999999998E-3</v>
      </c>
      <c r="Z459" s="417">
        <v>961325</v>
      </c>
      <c r="AA459" s="417">
        <v>675384</v>
      </c>
      <c r="AB459" s="417">
        <v>675379</v>
      </c>
      <c r="AC459" s="417">
        <v>0</v>
      </c>
      <c r="AD459" s="417">
        <v>0</v>
      </c>
      <c r="AE459" s="378">
        <v>2.3996999999999998E-3</v>
      </c>
      <c r="AF459" s="378"/>
      <c r="AG459" s="417">
        <v>45405</v>
      </c>
      <c r="AH459" s="417">
        <v>45403</v>
      </c>
      <c r="AI459" s="417">
        <v>0</v>
      </c>
      <c r="AJ459" s="417">
        <v>0</v>
      </c>
      <c r="AK459" s="417">
        <v>0</v>
      </c>
      <c r="AL459" s="378">
        <v>2.3996999999999998E-3</v>
      </c>
      <c r="AM459" s="378"/>
      <c r="AN459" s="417">
        <v>-67458</v>
      </c>
      <c r="AO459" s="417">
        <v>-37842</v>
      </c>
      <c r="AP459" s="417">
        <v>-37841</v>
      </c>
      <c r="AQ459" s="417">
        <v>0</v>
      </c>
      <c r="AR459" s="417">
        <v>0</v>
      </c>
    </row>
    <row r="460" spans="1:44">
      <c r="A460" s="377">
        <v>94704</v>
      </c>
      <c r="B460" t="s">
        <v>1164</v>
      </c>
      <c r="C460" s="378">
        <v>1.7099999999999999E-5</v>
      </c>
      <c r="D460" s="378"/>
      <c r="E460" s="417">
        <v>5894</v>
      </c>
      <c r="F460" s="417">
        <v>1430</v>
      </c>
      <c r="G460" s="417">
        <v>-1298</v>
      </c>
      <c r="H460" s="417">
        <v>-11465</v>
      </c>
      <c r="I460" s="417">
        <v>0</v>
      </c>
      <c r="J460" s="378">
        <v>1.7099999999999999E-5</v>
      </c>
      <c r="K460" s="378"/>
      <c r="L460" s="417">
        <v>4186</v>
      </c>
      <c r="M460" s="417">
        <v>2891</v>
      </c>
      <c r="N460" s="417">
        <v>1266</v>
      </c>
      <c r="O460" s="417">
        <v>0</v>
      </c>
      <c r="P460" s="417">
        <v>0</v>
      </c>
      <c r="Q460" s="378">
        <v>1.7099999999999999E-5</v>
      </c>
      <c r="R460" s="378"/>
      <c r="S460" s="417">
        <v>-8590</v>
      </c>
      <c r="T460" s="417">
        <v>-8491</v>
      </c>
      <c r="U460" s="417">
        <v>-8920</v>
      </c>
      <c r="V460" s="417">
        <v>-11465</v>
      </c>
      <c r="W460" s="417">
        <v>0</v>
      </c>
      <c r="X460" s="378">
        <v>1.7099999999999999E-5</v>
      </c>
      <c r="Z460" s="417">
        <v>6850</v>
      </c>
      <c r="AA460" s="417">
        <v>4813</v>
      </c>
      <c r="AB460" s="417">
        <v>4813</v>
      </c>
      <c r="AC460" s="417">
        <v>0</v>
      </c>
      <c r="AD460" s="417">
        <v>0</v>
      </c>
      <c r="AE460" s="378">
        <v>1.7099999999999999E-5</v>
      </c>
      <c r="AF460" s="378"/>
      <c r="AG460" s="417">
        <v>3458</v>
      </c>
      <c r="AH460" s="417">
        <v>2228</v>
      </c>
      <c r="AI460" s="417">
        <v>1543</v>
      </c>
      <c r="AJ460" s="417">
        <v>0</v>
      </c>
      <c r="AK460" s="417">
        <v>0</v>
      </c>
      <c r="AL460" s="378">
        <v>1.7099999999999999E-5</v>
      </c>
      <c r="AM460" s="378"/>
      <c r="AN460" s="417">
        <v>-10</v>
      </c>
      <c r="AO460" s="417">
        <v>-11</v>
      </c>
      <c r="AP460" s="417">
        <v>0</v>
      </c>
      <c r="AQ460" s="417">
        <v>0</v>
      </c>
      <c r="AR460" s="417">
        <v>0</v>
      </c>
    </row>
    <row r="461" spans="1:44">
      <c r="A461" s="377">
        <v>94711</v>
      </c>
      <c r="B461" t="s">
        <v>1165</v>
      </c>
      <c r="C461" s="378">
        <v>3.344E-4</v>
      </c>
      <c r="D461" s="378"/>
      <c r="E461" s="417">
        <v>63146</v>
      </c>
      <c r="F461" s="417">
        <v>-800</v>
      </c>
      <c r="G461" s="417">
        <v>-36931</v>
      </c>
      <c r="H461" s="417">
        <v>-224207</v>
      </c>
      <c r="I461" s="417">
        <v>0</v>
      </c>
      <c r="J461" s="378">
        <v>3.344E-4</v>
      </c>
      <c r="K461" s="378"/>
      <c r="L461" s="417">
        <v>81864</v>
      </c>
      <c r="M461" s="417">
        <v>56538</v>
      </c>
      <c r="N461" s="417">
        <v>24750</v>
      </c>
      <c r="O461" s="417">
        <v>0</v>
      </c>
      <c r="P461" s="417">
        <v>0</v>
      </c>
      <c r="Q461" s="378">
        <v>3.344E-4</v>
      </c>
      <c r="R461" s="378"/>
      <c r="S461" s="417">
        <v>-167992</v>
      </c>
      <c r="T461" s="417">
        <v>-166048</v>
      </c>
      <c r="U461" s="417">
        <v>-174440</v>
      </c>
      <c r="V461" s="417">
        <v>-224207</v>
      </c>
      <c r="W461" s="417">
        <v>0</v>
      </c>
      <c r="X461" s="378">
        <v>3.344E-4</v>
      </c>
      <c r="Z461" s="417">
        <v>133961</v>
      </c>
      <c r="AA461" s="417">
        <v>94115</v>
      </c>
      <c r="AB461" s="417">
        <v>94115</v>
      </c>
      <c r="AC461" s="417">
        <v>0</v>
      </c>
      <c r="AD461" s="417">
        <v>0</v>
      </c>
      <c r="AE461" s="378">
        <v>3.344E-4</v>
      </c>
      <c r="AF461" s="378"/>
      <c r="AG461" s="417">
        <v>21567</v>
      </c>
      <c r="AH461" s="417">
        <v>20847</v>
      </c>
      <c r="AI461" s="417">
        <v>18644</v>
      </c>
      <c r="AJ461" s="417">
        <v>0</v>
      </c>
      <c r="AK461" s="417">
        <v>0</v>
      </c>
      <c r="AL461" s="378">
        <v>3.344E-4</v>
      </c>
      <c r="AM461" s="378"/>
      <c r="AN461" s="417">
        <v>-6254</v>
      </c>
      <c r="AO461" s="417">
        <v>-6252</v>
      </c>
      <c r="AP461" s="417">
        <v>0</v>
      </c>
      <c r="AQ461" s="417">
        <v>0</v>
      </c>
      <c r="AR461" s="417">
        <v>0</v>
      </c>
    </row>
    <row r="462" spans="1:44">
      <c r="A462" s="377">
        <v>94801</v>
      </c>
      <c r="B462" t="s">
        <v>1166</v>
      </c>
      <c r="C462" s="378">
        <v>6.2790000000000003E-4</v>
      </c>
      <c r="D462" s="378"/>
      <c r="E462" s="417">
        <v>64067</v>
      </c>
      <c r="F462" s="417">
        <v>-49090</v>
      </c>
      <c r="G462" s="417">
        <v>-132229</v>
      </c>
      <c r="H462" s="417">
        <v>-420991</v>
      </c>
      <c r="I462" s="417">
        <v>0</v>
      </c>
      <c r="J462" s="378">
        <v>6.2790000000000003E-4</v>
      </c>
      <c r="K462" s="378"/>
      <c r="L462" s="417">
        <v>153715</v>
      </c>
      <c r="M462" s="417">
        <v>106160</v>
      </c>
      <c r="N462" s="417">
        <v>46472</v>
      </c>
      <c r="O462" s="417">
        <v>0</v>
      </c>
      <c r="P462" s="417">
        <v>0</v>
      </c>
      <c r="Q462" s="378">
        <v>6.2790000000000003E-4</v>
      </c>
      <c r="R462" s="378"/>
      <c r="S462" s="417">
        <v>-315437</v>
      </c>
      <c r="T462" s="417">
        <v>-311787</v>
      </c>
      <c r="U462" s="417">
        <v>-327545</v>
      </c>
      <c r="V462" s="417">
        <v>-420991</v>
      </c>
      <c r="W462" s="417">
        <v>0</v>
      </c>
      <c r="X462" s="378">
        <v>6.2790000000000003E-4</v>
      </c>
      <c r="Z462" s="417">
        <v>251538</v>
      </c>
      <c r="AA462" s="417">
        <v>176719</v>
      </c>
      <c r="AB462" s="417">
        <v>176718</v>
      </c>
      <c r="AC462" s="417">
        <v>0</v>
      </c>
      <c r="AD462" s="417">
        <v>0</v>
      </c>
      <c r="AE462" s="378">
        <v>6.2790000000000003E-4</v>
      </c>
      <c r="AF462" s="378"/>
      <c r="AG462" s="417">
        <v>7691</v>
      </c>
      <c r="AH462" s="417">
        <v>7693</v>
      </c>
      <c r="AI462" s="417">
        <v>0</v>
      </c>
      <c r="AJ462" s="417">
        <v>0</v>
      </c>
      <c r="AK462" s="417">
        <v>0</v>
      </c>
      <c r="AL462" s="378">
        <v>6.2790000000000003E-4</v>
      </c>
      <c r="AM462" s="378"/>
      <c r="AN462" s="417">
        <v>-33440</v>
      </c>
      <c r="AO462" s="417">
        <v>-27875</v>
      </c>
      <c r="AP462" s="417">
        <v>-27874</v>
      </c>
      <c r="AQ462" s="417">
        <v>0</v>
      </c>
      <c r="AR462" s="417">
        <v>0</v>
      </c>
    </row>
    <row r="463" spans="1:44">
      <c r="A463" s="377">
        <v>94804</v>
      </c>
      <c r="B463" t="s">
        <v>1167</v>
      </c>
      <c r="C463" s="378">
        <v>2.7E-6</v>
      </c>
      <c r="D463" s="378"/>
      <c r="E463" s="417">
        <v>1899</v>
      </c>
      <c r="F463" s="417">
        <v>1247</v>
      </c>
      <c r="G463" s="417">
        <v>49</v>
      </c>
      <c r="H463" s="417">
        <v>-1810</v>
      </c>
      <c r="I463" s="417">
        <v>0</v>
      </c>
      <c r="J463" s="378">
        <v>2.7E-6</v>
      </c>
      <c r="K463" s="378"/>
      <c r="L463" s="417">
        <v>661</v>
      </c>
      <c r="M463" s="417">
        <v>456</v>
      </c>
      <c r="N463" s="417">
        <v>200</v>
      </c>
      <c r="O463" s="417">
        <v>0</v>
      </c>
      <c r="P463" s="417">
        <v>0</v>
      </c>
      <c r="Q463" s="378">
        <v>2.7E-6</v>
      </c>
      <c r="R463" s="378"/>
      <c r="S463" s="417">
        <v>-1356</v>
      </c>
      <c r="T463" s="417">
        <v>-1341</v>
      </c>
      <c r="U463" s="417">
        <v>-1408</v>
      </c>
      <c r="V463" s="417">
        <v>-1810</v>
      </c>
      <c r="W463" s="417">
        <v>0</v>
      </c>
      <c r="X463" s="378">
        <v>2.7E-6</v>
      </c>
      <c r="Z463" s="417">
        <v>1082</v>
      </c>
      <c r="AA463" s="417">
        <v>760</v>
      </c>
      <c r="AB463" s="417">
        <v>760</v>
      </c>
      <c r="AC463" s="417">
        <v>0</v>
      </c>
      <c r="AD463" s="417">
        <v>0</v>
      </c>
      <c r="AE463" s="378">
        <v>2.7E-6</v>
      </c>
      <c r="AF463" s="378"/>
      <c r="AG463" s="417">
        <v>1512</v>
      </c>
      <c r="AH463" s="417">
        <v>1372</v>
      </c>
      <c r="AI463" s="417">
        <v>497</v>
      </c>
      <c r="AJ463" s="417">
        <v>0</v>
      </c>
      <c r="AK463" s="417">
        <v>0</v>
      </c>
      <c r="AL463" s="378">
        <v>2.7E-6</v>
      </c>
      <c r="AM463" s="378"/>
      <c r="AN463" s="417">
        <v>0</v>
      </c>
      <c r="AO463" s="417">
        <v>0</v>
      </c>
      <c r="AP463" s="417">
        <v>0</v>
      </c>
      <c r="AQ463" s="417">
        <v>0</v>
      </c>
      <c r="AR463" s="417">
        <v>0</v>
      </c>
    </row>
    <row r="464" spans="1:44">
      <c r="A464" s="377">
        <v>94812</v>
      </c>
      <c r="B464" t="s">
        <v>1168</v>
      </c>
      <c r="C464" s="378">
        <v>2.5599999999999999E-5</v>
      </c>
      <c r="D464" s="378"/>
      <c r="E464" s="417">
        <v>6422</v>
      </c>
      <c r="F464" s="417">
        <v>736</v>
      </c>
      <c r="G464" s="417">
        <v>-4416</v>
      </c>
      <c r="H464" s="417">
        <v>-17164</v>
      </c>
      <c r="I464" s="417">
        <v>0</v>
      </c>
      <c r="J464" s="378">
        <v>2.5599999999999999E-5</v>
      </c>
      <c r="K464" s="378"/>
      <c r="L464" s="417">
        <v>6267</v>
      </c>
      <c r="M464" s="417">
        <v>4328</v>
      </c>
      <c r="N464" s="417">
        <v>1895</v>
      </c>
      <c r="O464" s="417">
        <v>0</v>
      </c>
      <c r="P464" s="417">
        <v>0</v>
      </c>
      <c r="Q464" s="378">
        <v>2.5599999999999999E-5</v>
      </c>
      <c r="R464" s="378"/>
      <c r="S464" s="417">
        <v>-12861</v>
      </c>
      <c r="T464" s="417">
        <v>-12712</v>
      </c>
      <c r="U464" s="417">
        <v>-13354</v>
      </c>
      <c r="V464" s="417">
        <v>-17164</v>
      </c>
      <c r="W464" s="417">
        <v>0</v>
      </c>
      <c r="X464" s="378">
        <v>2.5599999999999999E-5</v>
      </c>
      <c r="Z464" s="417">
        <v>10255</v>
      </c>
      <c r="AA464" s="417">
        <v>7205</v>
      </c>
      <c r="AB464" s="417">
        <v>7205</v>
      </c>
      <c r="AC464" s="417">
        <v>0</v>
      </c>
      <c r="AD464" s="417">
        <v>0</v>
      </c>
      <c r="AE464" s="378">
        <v>2.5599999999999999E-5</v>
      </c>
      <c r="AF464" s="378"/>
      <c r="AG464" s="417">
        <v>2925</v>
      </c>
      <c r="AH464" s="417">
        <v>2079</v>
      </c>
      <c r="AI464" s="417">
        <v>0</v>
      </c>
      <c r="AJ464" s="417">
        <v>0</v>
      </c>
      <c r="AK464" s="417">
        <v>0</v>
      </c>
      <c r="AL464" s="378">
        <v>2.5599999999999999E-5</v>
      </c>
      <c r="AM464" s="378"/>
      <c r="AN464" s="417">
        <v>-164</v>
      </c>
      <c r="AO464" s="417">
        <v>-164</v>
      </c>
      <c r="AP464" s="417">
        <v>-162</v>
      </c>
      <c r="AQ464" s="417">
        <v>0</v>
      </c>
      <c r="AR464" s="417">
        <v>0</v>
      </c>
    </row>
    <row r="465" spans="1:44">
      <c r="A465" s="377">
        <v>94901</v>
      </c>
      <c r="B465" t="s">
        <v>1169</v>
      </c>
      <c r="C465" s="378">
        <v>7.1942000000000004E-3</v>
      </c>
      <c r="D465" s="378"/>
      <c r="E465" s="417">
        <v>1099420</v>
      </c>
      <c r="F465" s="417">
        <v>-315911</v>
      </c>
      <c r="G465" s="417">
        <v>-1231289</v>
      </c>
      <c r="H465" s="417">
        <v>-4823524</v>
      </c>
      <c r="I465" s="417">
        <v>0</v>
      </c>
      <c r="J465" s="378">
        <v>7.1942000000000004E-3</v>
      </c>
      <c r="K465" s="378"/>
      <c r="L465" s="417">
        <v>1761198</v>
      </c>
      <c r="M465" s="417">
        <v>1216338</v>
      </c>
      <c r="N465" s="417">
        <v>532457</v>
      </c>
      <c r="O465" s="417">
        <v>0</v>
      </c>
      <c r="P465" s="417">
        <v>0</v>
      </c>
      <c r="Q465" s="378">
        <v>7.1942000000000004E-3</v>
      </c>
      <c r="R465" s="378"/>
      <c r="S465" s="417">
        <v>-3614136</v>
      </c>
      <c r="T465" s="417">
        <v>-3572316</v>
      </c>
      <c r="U465" s="417">
        <v>-3752862</v>
      </c>
      <c r="V465" s="417">
        <v>-4823524</v>
      </c>
      <c r="W465" s="417">
        <v>0</v>
      </c>
      <c r="X465" s="378">
        <v>7.1942000000000004E-3</v>
      </c>
      <c r="Z465" s="417">
        <v>2882011</v>
      </c>
      <c r="AA465" s="417">
        <v>2024772</v>
      </c>
      <c r="AB465" s="417">
        <v>2024757</v>
      </c>
      <c r="AC465" s="417">
        <v>0</v>
      </c>
      <c r="AD465" s="417">
        <v>0</v>
      </c>
      <c r="AE465" s="378">
        <v>7.1942000000000004E-3</v>
      </c>
      <c r="AF465" s="378"/>
      <c r="AG465" s="417">
        <v>105988</v>
      </c>
      <c r="AH465" s="417">
        <v>50936</v>
      </c>
      <c r="AI465" s="417">
        <v>0</v>
      </c>
      <c r="AJ465" s="417">
        <v>0</v>
      </c>
      <c r="AK465" s="417">
        <v>0</v>
      </c>
      <c r="AL465" s="378">
        <v>7.1942000000000004E-3</v>
      </c>
      <c r="AM465" s="378"/>
      <c r="AN465" s="417">
        <v>-35641</v>
      </c>
      <c r="AO465" s="417">
        <v>-35641</v>
      </c>
      <c r="AP465" s="417">
        <v>-35641</v>
      </c>
      <c r="AQ465" s="417">
        <v>0</v>
      </c>
      <c r="AR465" s="417">
        <v>0</v>
      </c>
    </row>
    <row r="466" spans="1:44">
      <c r="A466" s="377">
        <v>94908</v>
      </c>
      <c r="B466" t="s">
        <v>1170</v>
      </c>
      <c r="C466" s="378">
        <v>6.0999999999999999E-5</v>
      </c>
      <c r="D466" s="378"/>
      <c r="E466" s="417">
        <v>33122</v>
      </c>
      <c r="F466" s="417">
        <v>21684</v>
      </c>
      <c r="G466" s="417">
        <v>-13274</v>
      </c>
      <c r="H466" s="417">
        <v>-40899</v>
      </c>
      <c r="I466" s="417">
        <v>0</v>
      </c>
      <c r="J466" s="378">
        <v>6.0999999999999999E-5</v>
      </c>
      <c r="K466" s="378"/>
      <c r="L466" s="417">
        <v>14933</v>
      </c>
      <c r="M466" s="417">
        <v>10313</v>
      </c>
      <c r="N466" s="417">
        <v>4515</v>
      </c>
      <c r="O466" s="417">
        <v>0</v>
      </c>
      <c r="P466" s="417">
        <v>0</v>
      </c>
      <c r="Q466" s="378">
        <v>6.0999999999999999E-5</v>
      </c>
      <c r="R466" s="378"/>
      <c r="S466" s="417">
        <v>-30644</v>
      </c>
      <c r="T466" s="417">
        <v>-30290</v>
      </c>
      <c r="U466" s="417">
        <v>-31821</v>
      </c>
      <c r="V466" s="417">
        <v>-40899</v>
      </c>
      <c r="W466" s="417">
        <v>0</v>
      </c>
      <c r="X466" s="378">
        <v>6.0999999999999999E-5</v>
      </c>
      <c r="Z466" s="417">
        <v>24437</v>
      </c>
      <c r="AA466" s="417">
        <v>17168</v>
      </c>
      <c r="AB466" s="417">
        <v>17168</v>
      </c>
      <c r="AC466" s="417">
        <v>0</v>
      </c>
      <c r="AD466" s="417">
        <v>0</v>
      </c>
      <c r="AE466" s="378">
        <v>6.0999999999999999E-5</v>
      </c>
      <c r="AF466" s="378"/>
      <c r="AG466" s="417">
        <v>27634</v>
      </c>
      <c r="AH466" s="417">
        <v>27630</v>
      </c>
      <c r="AI466" s="417">
        <v>0</v>
      </c>
      <c r="AJ466" s="417">
        <v>0</v>
      </c>
      <c r="AK466" s="417">
        <v>0</v>
      </c>
      <c r="AL466" s="378">
        <v>6.0999999999999999E-5</v>
      </c>
      <c r="AM466" s="378"/>
      <c r="AN466" s="417">
        <v>-3238</v>
      </c>
      <c r="AO466" s="417">
        <v>-3137</v>
      </c>
      <c r="AP466" s="417">
        <v>-3136</v>
      </c>
      <c r="AQ466" s="417">
        <v>0</v>
      </c>
      <c r="AR466" s="417">
        <v>0</v>
      </c>
    </row>
    <row r="467" spans="1:44">
      <c r="A467" s="377">
        <v>94911</v>
      </c>
      <c r="B467" t="s">
        <v>1171</v>
      </c>
      <c r="C467" s="378">
        <v>2.9751999999999999E-3</v>
      </c>
      <c r="D467" s="378"/>
      <c r="E467" s="417">
        <v>466497</v>
      </c>
      <c r="F467" s="417">
        <v>-118838</v>
      </c>
      <c r="G467" s="417">
        <v>-475503</v>
      </c>
      <c r="H467" s="417">
        <v>-1994794</v>
      </c>
      <c r="I467" s="417">
        <v>0</v>
      </c>
      <c r="J467" s="378">
        <v>2.9751999999999999E-3</v>
      </c>
      <c r="K467" s="378"/>
      <c r="L467" s="417">
        <v>728353</v>
      </c>
      <c r="M467" s="417">
        <v>503023</v>
      </c>
      <c r="N467" s="417">
        <v>220201</v>
      </c>
      <c r="O467" s="417">
        <v>0</v>
      </c>
      <c r="P467" s="417">
        <v>0</v>
      </c>
      <c r="Q467" s="378">
        <v>2.9751999999999999E-3</v>
      </c>
      <c r="R467" s="378"/>
      <c r="S467" s="417">
        <v>-1494645</v>
      </c>
      <c r="T467" s="417">
        <v>-1477350</v>
      </c>
      <c r="U467" s="417">
        <v>-1552016</v>
      </c>
      <c r="V467" s="417">
        <v>-1994794</v>
      </c>
      <c r="W467" s="417">
        <v>0</v>
      </c>
      <c r="X467" s="378">
        <v>2.9751999999999999E-3</v>
      </c>
      <c r="Z467" s="417">
        <v>1191871</v>
      </c>
      <c r="AA467" s="417">
        <v>837355</v>
      </c>
      <c r="AB467" s="417">
        <v>837349</v>
      </c>
      <c r="AC467" s="417">
        <v>0</v>
      </c>
      <c r="AD467" s="417">
        <v>0</v>
      </c>
      <c r="AE467" s="378">
        <v>2.9751999999999999E-3</v>
      </c>
      <c r="AF467" s="378"/>
      <c r="AG467" s="417">
        <v>62518</v>
      </c>
      <c r="AH467" s="417">
        <v>39732</v>
      </c>
      <c r="AI467" s="417">
        <v>18963</v>
      </c>
      <c r="AJ467" s="417">
        <v>0</v>
      </c>
      <c r="AK467" s="417">
        <v>0</v>
      </c>
      <c r="AL467" s="378">
        <v>2.9751999999999999E-3</v>
      </c>
      <c r="AM467" s="378"/>
      <c r="AN467" s="417">
        <v>-21600</v>
      </c>
      <c r="AO467" s="417">
        <v>-21598</v>
      </c>
      <c r="AP467" s="417">
        <v>0</v>
      </c>
      <c r="AQ467" s="417">
        <v>0</v>
      </c>
      <c r="AR467" s="417">
        <v>0</v>
      </c>
    </row>
    <row r="468" spans="1:44">
      <c r="A468" s="377">
        <v>94917</v>
      </c>
      <c r="B468" t="s">
        <v>1172</v>
      </c>
      <c r="C468" s="378">
        <v>3.6900000000000002E-5</v>
      </c>
      <c r="D468" s="378"/>
      <c r="E468" s="417">
        <v>20999</v>
      </c>
      <c r="F468" s="417">
        <v>12231</v>
      </c>
      <c r="G468" s="417">
        <v>980</v>
      </c>
      <c r="H468" s="417">
        <v>-24740</v>
      </c>
      <c r="I468" s="417">
        <v>0</v>
      </c>
      <c r="J468" s="378">
        <v>3.6900000000000002E-5</v>
      </c>
      <c r="K468" s="378"/>
      <c r="L468" s="417">
        <v>9033</v>
      </c>
      <c r="M468" s="417">
        <v>6239</v>
      </c>
      <c r="N468" s="417">
        <v>2731</v>
      </c>
      <c r="O468" s="417">
        <v>0</v>
      </c>
      <c r="P468" s="417">
        <v>0</v>
      </c>
      <c r="Q468" s="378">
        <v>3.6900000000000002E-5</v>
      </c>
      <c r="R468" s="378"/>
      <c r="S468" s="417">
        <v>-18537</v>
      </c>
      <c r="T468" s="417">
        <v>-18323</v>
      </c>
      <c r="U468" s="417">
        <v>-19249</v>
      </c>
      <c r="V468" s="417">
        <v>-24740</v>
      </c>
      <c r="W468" s="417">
        <v>0</v>
      </c>
      <c r="X468" s="378">
        <v>3.6900000000000002E-5</v>
      </c>
      <c r="Z468" s="417">
        <v>14782</v>
      </c>
      <c r="AA468" s="417">
        <v>10385</v>
      </c>
      <c r="AB468" s="417">
        <v>10385</v>
      </c>
      <c r="AC468" s="417">
        <v>0</v>
      </c>
      <c r="AD468" s="417">
        <v>0</v>
      </c>
      <c r="AE468" s="378">
        <v>3.6900000000000002E-5</v>
      </c>
      <c r="AF468" s="378"/>
      <c r="AG468" s="417">
        <v>15721</v>
      </c>
      <c r="AH468" s="417">
        <v>13930</v>
      </c>
      <c r="AI468" s="417">
        <v>7113</v>
      </c>
      <c r="AJ468" s="417">
        <v>0</v>
      </c>
      <c r="AK468" s="417">
        <v>0</v>
      </c>
      <c r="AL468" s="378">
        <v>3.6900000000000002E-5</v>
      </c>
      <c r="AM468" s="378"/>
      <c r="AN468" s="417">
        <v>0</v>
      </c>
      <c r="AO468" s="417">
        <v>0</v>
      </c>
      <c r="AP468" s="417">
        <v>0</v>
      </c>
      <c r="AQ468" s="417">
        <v>0</v>
      </c>
      <c r="AR468" s="417">
        <v>0</v>
      </c>
    </row>
    <row r="469" spans="1:44">
      <c r="A469" s="377">
        <v>94921</v>
      </c>
      <c r="B469" t="s">
        <v>1173</v>
      </c>
      <c r="C469" s="378">
        <v>4.0705999999999997E-3</v>
      </c>
      <c r="D469" s="378"/>
      <c r="E469" s="417">
        <v>575803</v>
      </c>
      <c r="F469" s="417">
        <v>-157872</v>
      </c>
      <c r="G469" s="417">
        <v>-555156</v>
      </c>
      <c r="H469" s="417">
        <v>-2729231</v>
      </c>
      <c r="I469" s="417">
        <v>0</v>
      </c>
      <c r="J469" s="378">
        <v>4.0705999999999997E-3</v>
      </c>
      <c r="K469" s="378"/>
      <c r="L469" s="417">
        <v>996515</v>
      </c>
      <c r="M469" s="417">
        <v>688224</v>
      </c>
      <c r="N469" s="417">
        <v>301273</v>
      </c>
      <c r="O469" s="417">
        <v>0</v>
      </c>
      <c r="P469" s="417">
        <v>0</v>
      </c>
      <c r="Q469" s="378">
        <v>4.0705999999999997E-3</v>
      </c>
      <c r="R469" s="378"/>
      <c r="S469" s="417">
        <v>-2044939</v>
      </c>
      <c r="T469" s="417">
        <v>-2021277</v>
      </c>
      <c r="U469" s="417">
        <v>-2123433</v>
      </c>
      <c r="V469" s="417">
        <v>-2729231</v>
      </c>
      <c r="W469" s="417">
        <v>0</v>
      </c>
      <c r="X469" s="378">
        <v>4.0705999999999997E-3</v>
      </c>
      <c r="Z469" s="417">
        <v>1630691</v>
      </c>
      <c r="AA469" s="417">
        <v>1145650</v>
      </c>
      <c r="AB469" s="417">
        <v>1145642</v>
      </c>
      <c r="AC469" s="417">
        <v>0</v>
      </c>
      <c r="AD469" s="417">
        <v>0</v>
      </c>
      <c r="AE469" s="378">
        <v>4.0705999999999997E-3</v>
      </c>
      <c r="AF469" s="378"/>
      <c r="AG469" s="417">
        <v>121361</v>
      </c>
      <c r="AH469" s="417">
        <v>121361</v>
      </c>
      <c r="AI469" s="417">
        <v>121362</v>
      </c>
      <c r="AJ469" s="417">
        <v>0</v>
      </c>
      <c r="AK469" s="417">
        <v>0</v>
      </c>
      <c r="AL469" s="378">
        <v>4.0705999999999997E-3</v>
      </c>
      <c r="AM469" s="378"/>
      <c r="AN469" s="417">
        <v>-127825</v>
      </c>
      <c r="AO469" s="417">
        <v>-91830</v>
      </c>
      <c r="AP469" s="417">
        <v>0</v>
      </c>
      <c r="AQ469" s="417">
        <v>0</v>
      </c>
      <c r="AR469" s="417">
        <v>0</v>
      </c>
    </row>
    <row r="470" spans="1:44">
      <c r="A470" s="377">
        <v>94923</v>
      </c>
      <c r="B470" t="s">
        <v>1174</v>
      </c>
      <c r="C470" s="378">
        <v>2.41E-5</v>
      </c>
      <c r="D470" s="378"/>
      <c r="E470" s="417">
        <v>4863</v>
      </c>
      <c r="F470" s="417">
        <v>246</v>
      </c>
      <c r="G470" s="417">
        <v>-3324</v>
      </c>
      <c r="H470" s="417">
        <v>-16158</v>
      </c>
      <c r="I470" s="417">
        <v>0</v>
      </c>
      <c r="J470" s="378">
        <v>2.41E-5</v>
      </c>
      <c r="K470" s="378"/>
      <c r="L470" s="417">
        <v>5900</v>
      </c>
      <c r="M470" s="417">
        <v>4075</v>
      </c>
      <c r="N470" s="417">
        <v>1784</v>
      </c>
      <c r="O470" s="417">
        <v>0</v>
      </c>
      <c r="P470" s="417">
        <v>0</v>
      </c>
      <c r="Q470" s="378">
        <v>2.41E-5</v>
      </c>
      <c r="R470" s="378"/>
      <c r="S470" s="417">
        <v>-12107</v>
      </c>
      <c r="T470" s="417">
        <v>-11967</v>
      </c>
      <c r="U470" s="417">
        <v>-12572</v>
      </c>
      <c r="V470" s="417">
        <v>-16158</v>
      </c>
      <c r="W470" s="417">
        <v>0</v>
      </c>
      <c r="X470" s="378">
        <v>2.41E-5</v>
      </c>
      <c r="Z470" s="417">
        <v>9655</v>
      </c>
      <c r="AA470" s="417">
        <v>6783</v>
      </c>
      <c r="AB470" s="417">
        <v>6783</v>
      </c>
      <c r="AC470" s="417">
        <v>0</v>
      </c>
      <c r="AD470" s="417">
        <v>0</v>
      </c>
      <c r="AE470" s="378">
        <v>2.41E-5</v>
      </c>
      <c r="AF470" s="378"/>
      <c r="AG470" s="417">
        <v>1415</v>
      </c>
      <c r="AH470" s="417">
        <v>1355</v>
      </c>
      <c r="AI470" s="417">
        <v>681</v>
      </c>
      <c r="AJ470" s="417">
        <v>0</v>
      </c>
      <c r="AK470" s="417">
        <v>0</v>
      </c>
      <c r="AL470" s="378">
        <v>2.41E-5</v>
      </c>
      <c r="AM470" s="378"/>
      <c r="AN470" s="417">
        <v>0</v>
      </c>
      <c r="AO470" s="417">
        <v>0</v>
      </c>
      <c r="AP470" s="417">
        <v>0</v>
      </c>
      <c r="AQ470" s="417">
        <v>0</v>
      </c>
      <c r="AR470" s="417">
        <v>0</v>
      </c>
    </row>
    <row r="471" spans="1:44">
      <c r="A471" s="377">
        <v>94927</v>
      </c>
      <c r="B471" t="s">
        <v>1175</v>
      </c>
      <c r="C471" s="378">
        <v>2.3600000000000001E-5</v>
      </c>
      <c r="D471" s="378"/>
      <c r="E471" s="417">
        <v>13142</v>
      </c>
      <c r="F471" s="417">
        <v>7905</v>
      </c>
      <c r="G471" s="417">
        <v>1804</v>
      </c>
      <c r="H471" s="417">
        <v>-15823</v>
      </c>
      <c r="I471" s="417">
        <v>0</v>
      </c>
      <c r="J471" s="378">
        <v>2.3600000000000001E-5</v>
      </c>
      <c r="K471" s="378"/>
      <c r="L471" s="417">
        <v>5777</v>
      </c>
      <c r="M471" s="417">
        <v>3990</v>
      </c>
      <c r="N471" s="417">
        <v>1747</v>
      </c>
      <c r="O471" s="417">
        <v>0</v>
      </c>
      <c r="P471" s="417">
        <v>0</v>
      </c>
      <c r="Q471" s="378">
        <v>2.3600000000000001E-5</v>
      </c>
      <c r="R471" s="378"/>
      <c r="S471" s="417">
        <v>-11856</v>
      </c>
      <c r="T471" s="417">
        <v>-11719</v>
      </c>
      <c r="U471" s="417">
        <v>-12311</v>
      </c>
      <c r="V471" s="417">
        <v>-15823</v>
      </c>
      <c r="W471" s="417">
        <v>0</v>
      </c>
      <c r="X471" s="378">
        <v>2.3600000000000001E-5</v>
      </c>
      <c r="Z471" s="417">
        <v>9454</v>
      </c>
      <c r="AA471" s="417">
        <v>6642</v>
      </c>
      <c r="AB471" s="417">
        <v>6642</v>
      </c>
      <c r="AC471" s="417">
        <v>0</v>
      </c>
      <c r="AD471" s="417">
        <v>0</v>
      </c>
      <c r="AE471" s="378">
        <v>2.3600000000000001E-5</v>
      </c>
      <c r="AF471" s="378"/>
      <c r="AG471" s="417">
        <v>9767</v>
      </c>
      <c r="AH471" s="417">
        <v>8992</v>
      </c>
      <c r="AI471" s="417">
        <v>5726</v>
      </c>
      <c r="AJ471" s="417">
        <v>0</v>
      </c>
      <c r="AK471" s="417">
        <v>0</v>
      </c>
      <c r="AL471" s="378">
        <v>2.3600000000000001E-5</v>
      </c>
      <c r="AM471" s="378"/>
      <c r="AN471" s="417">
        <v>0</v>
      </c>
      <c r="AO471" s="417">
        <v>0</v>
      </c>
      <c r="AP471" s="417">
        <v>0</v>
      </c>
      <c r="AQ471" s="417">
        <v>0</v>
      </c>
      <c r="AR471" s="417">
        <v>0</v>
      </c>
    </row>
    <row r="472" spans="1:44">
      <c r="A472" s="377">
        <v>94931</v>
      </c>
      <c r="B472" t="s">
        <v>1176</v>
      </c>
      <c r="C472" s="378">
        <v>2.1660000000000001E-4</v>
      </c>
      <c r="D472" s="378"/>
      <c r="E472" s="417">
        <v>35917</v>
      </c>
      <c r="F472" s="417">
        <v>-3041</v>
      </c>
      <c r="G472" s="417">
        <v>-26399</v>
      </c>
      <c r="H472" s="417">
        <v>-145225</v>
      </c>
      <c r="I472" s="417">
        <v>0</v>
      </c>
      <c r="J472" s="378">
        <v>2.1660000000000001E-4</v>
      </c>
      <c r="K472" s="378"/>
      <c r="L472" s="417">
        <v>53025</v>
      </c>
      <c r="M472" s="417">
        <v>36621</v>
      </c>
      <c r="N472" s="417">
        <v>16031</v>
      </c>
      <c r="O472" s="417">
        <v>0</v>
      </c>
      <c r="P472" s="417">
        <v>0</v>
      </c>
      <c r="Q472" s="378">
        <v>2.1660000000000001E-4</v>
      </c>
      <c r="R472" s="378"/>
      <c r="S472" s="417">
        <v>-108813</v>
      </c>
      <c r="T472" s="417">
        <v>-107554</v>
      </c>
      <c r="U472" s="417">
        <v>-112990</v>
      </c>
      <c r="V472" s="417">
        <v>-145225</v>
      </c>
      <c r="W472" s="417">
        <v>0</v>
      </c>
      <c r="X472" s="378">
        <v>2.1660000000000001E-4</v>
      </c>
      <c r="Z472" s="417">
        <v>86770</v>
      </c>
      <c r="AA472" s="417">
        <v>60961</v>
      </c>
      <c r="AB472" s="417">
        <v>60961</v>
      </c>
      <c r="AC472" s="417">
        <v>0</v>
      </c>
      <c r="AD472" s="417">
        <v>0</v>
      </c>
      <c r="AE472" s="378">
        <v>2.1660000000000001E-4</v>
      </c>
      <c r="AF472" s="378"/>
      <c r="AG472" s="417">
        <v>12057</v>
      </c>
      <c r="AH472" s="417">
        <v>12055</v>
      </c>
      <c r="AI472" s="417">
        <v>9599</v>
      </c>
      <c r="AJ472" s="417">
        <v>0</v>
      </c>
      <c r="AK472" s="417">
        <v>0</v>
      </c>
      <c r="AL472" s="378">
        <v>2.1660000000000001E-4</v>
      </c>
      <c r="AM472" s="378"/>
      <c r="AN472" s="417">
        <v>-7122</v>
      </c>
      <c r="AO472" s="417">
        <v>-5124</v>
      </c>
      <c r="AP472" s="417">
        <v>0</v>
      </c>
      <c r="AQ472" s="417">
        <v>0</v>
      </c>
      <c r="AR472" s="417">
        <v>0</v>
      </c>
    </row>
    <row r="473" spans="1:44">
      <c r="A473" s="377">
        <v>94937</v>
      </c>
      <c r="B473" t="s">
        <v>1927</v>
      </c>
      <c r="C473" s="378">
        <v>8.6999999999999997E-6</v>
      </c>
      <c r="D473" s="378"/>
      <c r="E473" s="417">
        <v>3482</v>
      </c>
      <c r="F473" s="417">
        <v>1838</v>
      </c>
      <c r="G473" s="417">
        <v>-958</v>
      </c>
      <c r="H473" s="417">
        <v>-5833</v>
      </c>
      <c r="I473" s="417">
        <v>0</v>
      </c>
      <c r="J473" s="378">
        <v>8.6999999999999997E-6</v>
      </c>
      <c r="K473" s="378"/>
      <c r="L473" s="417">
        <v>2130</v>
      </c>
      <c r="M473" s="417">
        <v>1471</v>
      </c>
      <c r="N473" s="417">
        <v>644</v>
      </c>
      <c r="O473" s="417">
        <v>0</v>
      </c>
      <c r="P473" s="417">
        <v>0</v>
      </c>
      <c r="Q473" s="378">
        <v>8.6999999999999997E-6</v>
      </c>
      <c r="R473" s="378"/>
      <c r="S473" s="417">
        <v>-4371</v>
      </c>
      <c r="T473" s="417">
        <v>-4320</v>
      </c>
      <c r="U473" s="417">
        <v>-4538</v>
      </c>
      <c r="V473" s="417">
        <v>-5833</v>
      </c>
      <c r="W473" s="417">
        <v>0</v>
      </c>
      <c r="X473" s="378">
        <v>8.6999999999999997E-6</v>
      </c>
      <c r="Z473" s="417">
        <v>3485</v>
      </c>
      <c r="AA473" s="417">
        <v>2449</v>
      </c>
      <c r="AB473" s="417">
        <v>2449</v>
      </c>
      <c r="AC473" s="417">
        <v>0</v>
      </c>
      <c r="AD473" s="417">
        <v>0</v>
      </c>
      <c r="AE473" s="378">
        <v>8.6999999999999997E-6</v>
      </c>
      <c r="AF473" s="378"/>
      <c r="AG473" s="417">
        <v>2238</v>
      </c>
      <c r="AH473" s="417">
        <v>2238</v>
      </c>
      <c r="AI473" s="417">
        <v>487</v>
      </c>
      <c r="AJ473" s="417">
        <v>0</v>
      </c>
      <c r="AK473" s="417">
        <v>0</v>
      </c>
      <c r="AL473" s="378">
        <v>8.6999999999999997E-6</v>
      </c>
      <c r="AM473" s="378"/>
      <c r="AN473" s="417">
        <v>0</v>
      </c>
      <c r="AO473" s="417">
        <v>0</v>
      </c>
      <c r="AP473" s="417">
        <v>0</v>
      </c>
      <c r="AQ473" s="417">
        <v>0</v>
      </c>
      <c r="AR473" s="417">
        <v>0</v>
      </c>
    </row>
    <row r="474" spans="1:44">
      <c r="A474" s="377">
        <v>94941</v>
      </c>
      <c r="B474" t="s">
        <v>1177</v>
      </c>
      <c r="C474" s="378">
        <v>7.9999999999999996E-6</v>
      </c>
      <c r="D474" s="378"/>
      <c r="E474" s="417">
        <v>-377436</v>
      </c>
      <c r="F474" s="417">
        <v>-369115</v>
      </c>
      <c r="G474" s="417">
        <v>-319553</v>
      </c>
      <c r="H474" s="417">
        <v>-5364</v>
      </c>
      <c r="I474" s="417">
        <v>0</v>
      </c>
      <c r="J474" s="378">
        <v>7.9999999999999996E-6</v>
      </c>
      <c r="K474" s="378"/>
      <c r="L474" s="417">
        <v>1958</v>
      </c>
      <c r="M474" s="417">
        <v>1353</v>
      </c>
      <c r="N474" s="417">
        <v>592</v>
      </c>
      <c r="O474" s="417">
        <v>0</v>
      </c>
      <c r="P474" s="417">
        <v>0</v>
      </c>
      <c r="Q474" s="378">
        <v>7.9999999999999996E-6</v>
      </c>
      <c r="R474" s="378"/>
      <c r="S474" s="417">
        <v>-4019</v>
      </c>
      <c r="T474" s="417">
        <v>-3972</v>
      </c>
      <c r="U474" s="417">
        <v>-4173</v>
      </c>
      <c r="V474" s="417">
        <v>-5364</v>
      </c>
      <c r="W474" s="417">
        <v>0</v>
      </c>
      <c r="X474" s="378">
        <v>7.9999999999999996E-6</v>
      </c>
      <c r="Z474" s="417">
        <v>3205</v>
      </c>
      <c r="AA474" s="417">
        <v>2252</v>
      </c>
      <c r="AB474" s="417">
        <v>2252</v>
      </c>
      <c r="AC474" s="417">
        <v>0</v>
      </c>
      <c r="AD474" s="417">
        <v>0</v>
      </c>
      <c r="AE474" s="378">
        <v>7.9999999999999996E-6</v>
      </c>
      <c r="AF474" s="378"/>
      <c r="AG474" s="417">
        <v>3700</v>
      </c>
      <c r="AH474" s="417">
        <v>3699</v>
      </c>
      <c r="AI474" s="417">
        <v>0</v>
      </c>
      <c r="AJ474" s="417">
        <v>0</v>
      </c>
      <c r="AK474" s="417">
        <v>0</v>
      </c>
      <c r="AL474" s="378">
        <v>7.9999999999999996E-6</v>
      </c>
      <c r="AM474" s="378"/>
      <c r="AN474" s="417">
        <v>-382280</v>
      </c>
      <c r="AO474" s="417">
        <v>-372447</v>
      </c>
      <c r="AP474" s="417">
        <v>-318224</v>
      </c>
      <c r="AQ474" s="417">
        <v>0</v>
      </c>
      <c r="AR474" s="417">
        <v>0</v>
      </c>
    </row>
    <row r="475" spans="1:44">
      <c r="A475" s="377">
        <v>94947</v>
      </c>
      <c r="B475" t="s">
        <v>1928</v>
      </c>
      <c r="C475" s="378">
        <v>6.0000000000000002E-6</v>
      </c>
      <c r="D475" s="378"/>
      <c r="E475" s="417">
        <v>3642</v>
      </c>
      <c r="F475" s="417">
        <v>2507</v>
      </c>
      <c r="G475" s="417">
        <v>-131</v>
      </c>
      <c r="H475" s="417">
        <v>-4023</v>
      </c>
      <c r="I475" s="417">
        <v>0</v>
      </c>
      <c r="J475" s="378">
        <v>6.0000000000000002E-6</v>
      </c>
      <c r="K475" s="378"/>
      <c r="L475" s="417">
        <v>1469</v>
      </c>
      <c r="M475" s="417">
        <v>1014</v>
      </c>
      <c r="N475" s="417">
        <v>444</v>
      </c>
      <c r="O475" s="417">
        <v>0</v>
      </c>
      <c r="P475" s="417">
        <v>0</v>
      </c>
      <c r="Q475" s="378">
        <v>6.0000000000000002E-6</v>
      </c>
      <c r="R475" s="378"/>
      <c r="S475" s="417">
        <v>-3014</v>
      </c>
      <c r="T475" s="417">
        <v>-2979</v>
      </c>
      <c r="U475" s="417">
        <v>-3130</v>
      </c>
      <c r="V475" s="417">
        <v>-4023</v>
      </c>
      <c r="W475" s="417">
        <v>0</v>
      </c>
      <c r="X475" s="378">
        <v>6.0000000000000002E-6</v>
      </c>
      <c r="Z475" s="417">
        <v>2404</v>
      </c>
      <c r="AA475" s="417">
        <v>1689</v>
      </c>
      <c r="AB475" s="417">
        <v>1689</v>
      </c>
      <c r="AC475" s="417">
        <v>0</v>
      </c>
      <c r="AD475" s="417">
        <v>0</v>
      </c>
      <c r="AE475" s="378">
        <v>6.0000000000000002E-6</v>
      </c>
      <c r="AF475" s="378"/>
      <c r="AG475" s="417">
        <v>2783</v>
      </c>
      <c r="AH475" s="417">
        <v>2783</v>
      </c>
      <c r="AI475" s="417">
        <v>866</v>
      </c>
      <c r="AJ475" s="417">
        <v>0</v>
      </c>
      <c r="AK475" s="417">
        <v>0</v>
      </c>
      <c r="AL475" s="378">
        <v>6.0000000000000002E-6</v>
      </c>
      <c r="AM475" s="378"/>
      <c r="AN475" s="417">
        <v>0</v>
      </c>
      <c r="AO475" s="417">
        <v>0</v>
      </c>
      <c r="AP475" s="417">
        <v>0</v>
      </c>
      <c r="AQ475" s="417">
        <v>0</v>
      </c>
      <c r="AR475" s="417">
        <v>0</v>
      </c>
    </row>
    <row r="476" spans="1:44">
      <c r="A476" s="377">
        <v>95001</v>
      </c>
      <c r="B476" t="s">
        <v>1178</v>
      </c>
      <c r="C476" s="378">
        <v>2.1762000000000001E-3</v>
      </c>
      <c r="D476" s="378"/>
      <c r="E476" s="417">
        <v>357551</v>
      </c>
      <c r="F476" s="417">
        <v>-41560</v>
      </c>
      <c r="G476" s="417">
        <v>-335607</v>
      </c>
      <c r="H476" s="417">
        <v>-1459086</v>
      </c>
      <c r="I476" s="417">
        <v>0</v>
      </c>
      <c r="J476" s="378">
        <v>2.1762000000000001E-3</v>
      </c>
      <c r="K476" s="378"/>
      <c r="L476" s="417">
        <v>532751</v>
      </c>
      <c r="M476" s="417">
        <v>367934</v>
      </c>
      <c r="N476" s="417">
        <v>161065</v>
      </c>
      <c r="O476" s="417">
        <v>0</v>
      </c>
      <c r="P476" s="417">
        <v>0</v>
      </c>
      <c r="Q476" s="378">
        <v>2.1762000000000001E-3</v>
      </c>
      <c r="R476" s="378"/>
      <c r="S476" s="417">
        <v>-1093253</v>
      </c>
      <c r="T476" s="417">
        <v>-1080603</v>
      </c>
      <c r="U476" s="417">
        <v>-1135217</v>
      </c>
      <c r="V476" s="417">
        <v>-1459086</v>
      </c>
      <c r="W476" s="417">
        <v>0</v>
      </c>
      <c r="X476" s="378">
        <v>2.1762000000000001E-3</v>
      </c>
      <c r="Z476" s="417">
        <v>871790</v>
      </c>
      <c r="AA476" s="417">
        <v>612481</v>
      </c>
      <c r="AB476" s="417">
        <v>612476</v>
      </c>
      <c r="AC476" s="417">
        <v>0</v>
      </c>
      <c r="AD476" s="417">
        <v>0</v>
      </c>
      <c r="AE476" s="378">
        <v>2.1762000000000001E-3</v>
      </c>
      <c r="AF476" s="378"/>
      <c r="AG476" s="417">
        <v>58629</v>
      </c>
      <c r="AH476" s="417">
        <v>58628</v>
      </c>
      <c r="AI476" s="417">
        <v>26069</v>
      </c>
      <c r="AJ476" s="417">
        <v>0</v>
      </c>
      <c r="AK476" s="417">
        <v>0</v>
      </c>
      <c r="AL476" s="378">
        <v>2.1762000000000001E-3</v>
      </c>
      <c r="AM476" s="378"/>
      <c r="AN476" s="417">
        <v>-12366</v>
      </c>
      <c r="AO476" s="417">
        <v>0</v>
      </c>
      <c r="AP476" s="417">
        <v>0</v>
      </c>
      <c r="AQ476" s="417">
        <v>0</v>
      </c>
      <c r="AR476" s="417">
        <v>0</v>
      </c>
    </row>
    <row r="477" spans="1:44">
      <c r="A477" s="377">
        <v>95002</v>
      </c>
      <c r="B477" t="s">
        <v>1179</v>
      </c>
      <c r="C477" s="378">
        <v>1.716E-4</v>
      </c>
      <c r="D477" s="378"/>
      <c r="E477" s="417">
        <v>42724</v>
      </c>
      <c r="F477" s="417">
        <v>7940</v>
      </c>
      <c r="G477" s="417">
        <v>-18630</v>
      </c>
      <c r="H477" s="417">
        <v>-115053</v>
      </c>
      <c r="I477" s="417">
        <v>0</v>
      </c>
      <c r="J477" s="378">
        <v>1.716E-4</v>
      </c>
      <c r="K477" s="378"/>
      <c r="L477" s="417">
        <v>42009</v>
      </c>
      <c r="M477" s="417">
        <v>29013</v>
      </c>
      <c r="N477" s="417">
        <v>12700</v>
      </c>
      <c r="O477" s="417">
        <v>0</v>
      </c>
      <c r="P477" s="417">
        <v>0</v>
      </c>
      <c r="Q477" s="378">
        <v>1.716E-4</v>
      </c>
      <c r="R477" s="378"/>
      <c r="S477" s="417">
        <v>-86206</v>
      </c>
      <c r="T477" s="417">
        <v>-85209</v>
      </c>
      <c r="U477" s="417">
        <v>-89515</v>
      </c>
      <c r="V477" s="417">
        <v>-115053</v>
      </c>
      <c r="W477" s="417">
        <v>0</v>
      </c>
      <c r="X477" s="378">
        <v>1.716E-4</v>
      </c>
      <c r="Z477" s="417">
        <v>68743</v>
      </c>
      <c r="AA477" s="417">
        <v>48296</v>
      </c>
      <c r="AB477" s="417">
        <v>48296</v>
      </c>
      <c r="AC477" s="417">
        <v>0</v>
      </c>
      <c r="AD477" s="417">
        <v>0</v>
      </c>
      <c r="AE477" s="378">
        <v>1.716E-4</v>
      </c>
      <c r="AF477" s="378"/>
      <c r="AG477" s="417">
        <v>18178</v>
      </c>
      <c r="AH477" s="417">
        <v>15840</v>
      </c>
      <c r="AI477" s="417">
        <v>9889</v>
      </c>
      <c r="AJ477" s="417">
        <v>0</v>
      </c>
      <c r="AK477" s="417">
        <v>0</v>
      </c>
      <c r="AL477" s="378">
        <v>1.716E-4</v>
      </c>
      <c r="AM477" s="378"/>
      <c r="AN477" s="417">
        <v>0</v>
      </c>
      <c r="AO477" s="417">
        <v>0</v>
      </c>
      <c r="AP477" s="417">
        <v>0</v>
      </c>
      <c r="AQ477" s="417">
        <v>0</v>
      </c>
      <c r="AR477" s="417">
        <v>0</v>
      </c>
    </row>
    <row r="478" spans="1:44">
      <c r="A478" s="377">
        <v>95005</v>
      </c>
      <c r="B478" t="s">
        <v>1180</v>
      </c>
      <c r="C478" s="378">
        <v>1.874E-4</v>
      </c>
      <c r="D478" s="378"/>
      <c r="E478" s="417">
        <v>37160</v>
      </c>
      <c r="F478" s="417">
        <v>2433</v>
      </c>
      <c r="G478" s="417">
        <v>-14393</v>
      </c>
      <c r="H478" s="417">
        <v>-125647</v>
      </c>
      <c r="I478" s="417">
        <v>0</v>
      </c>
      <c r="J478" s="378">
        <v>1.874E-4</v>
      </c>
      <c r="K478" s="378"/>
      <c r="L478" s="417">
        <v>45877</v>
      </c>
      <c r="M478" s="417">
        <v>31684</v>
      </c>
      <c r="N478" s="417">
        <v>13870</v>
      </c>
      <c r="O478" s="417">
        <v>0</v>
      </c>
      <c r="P478" s="417">
        <v>0</v>
      </c>
      <c r="Q478" s="378">
        <v>1.874E-4</v>
      </c>
      <c r="R478" s="378"/>
      <c r="S478" s="417">
        <v>-94144</v>
      </c>
      <c r="T478" s="417">
        <v>-93054</v>
      </c>
      <c r="U478" s="417">
        <v>-97757</v>
      </c>
      <c r="V478" s="417">
        <v>-125647</v>
      </c>
      <c r="W478" s="417">
        <v>0</v>
      </c>
      <c r="X478" s="378">
        <v>1.874E-4</v>
      </c>
      <c r="Z478" s="417">
        <v>75073</v>
      </c>
      <c r="AA478" s="417">
        <v>52743</v>
      </c>
      <c r="AB478" s="417">
        <v>52742</v>
      </c>
      <c r="AC478" s="417">
        <v>0</v>
      </c>
      <c r="AD478" s="417">
        <v>0</v>
      </c>
      <c r="AE478" s="378">
        <v>1.874E-4</v>
      </c>
      <c r="AF478" s="378"/>
      <c r="AG478" s="417">
        <v>16751</v>
      </c>
      <c r="AH478" s="417">
        <v>16751</v>
      </c>
      <c r="AI478" s="417">
        <v>16752</v>
      </c>
      <c r="AJ478" s="417">
        <v>0</v>
      </c>
      <c r="AK478" s="417">
        <v>0</v>
      </c>
      <c r="AL478" s="378">
        <v>1.874E-4</v>
      </c>
      <c r="AM478" s="378"/>
      <c r="AN478" s="417">
        <v>-6397</v>
      </c>
      <c r="AO478" s="417">
        <v>-5691</v>
      </c>
      <c r="AP478" s="417">
        <v>0</v>
      </c>
      <c r="AQ478" s="417">
        <v>0</v>
      </c>
      <c r="AR478" s="417">
        <v>0</v>
      </c>
    </row>
    <row r="479" spans="1:44">
      <c r="A479" s="377">
        <v>95008</v>
      </c>
      <c r="B479" t="s">
        <v>1181</v>
      </c>
      <c r="C479" s="378">
        <v>1.228E-4</v>
      </c>
      <c r="D479" s="378"/>
      <c r="E479" s="417">
        <v>28813</v>
      </c>
      <c r="F479" s="417">
        <v>2956</v>
      </c>
      <c r="G479" s="417">
        <v>-18152</v>
      </c>
      <c r="H479" s="417">
        <v>-82334</v>
      </c>
      <c r="I479" s="417">
        <v>0</v>
      </c>
      <c r="J479" s="378">
        <v>1.228E-4</v>
      </c>
      <c r="K479" s="378"/>
      <c r="L479" s="417">
        <v>30062</v>
      </c>
      <c r="M479" s="417">
        <v>20762</v>
      </c>
      <c r="N479" s="417">
        <v>9089</v>
      </c>
      <c r="O479" s="417">
        <v>0</v>
      </c>
      <c r="P479" s="417">
        <v>0</v>
      </c>
      <c r="Q479" s="378">
        <v>1.228E-4</v>
      </c>
      <c r="R479" s="378"/>
      <c r="S479" s="417">
        <v>-61691</v>
      </c>
      <c r="T479" s="417">
        <v>-60977</v>
      </c>
      <c r="U479" s="417">
        <v>-64059</v>
      </c>
      <c r="V479" s="417">
        <v>-82334</v>
      </c>
      <c r="W479" s="417">
        <v>0</v>
      </c>
      <c r="X479" s="378">
        <v>1.228E-4</v>
      </c>
      <c r="Z479" s="417">
        <v>49194</v>
      </c>
      <c r="AA479" s="417">
        <v>34561</v>
      </c>
      <c r="AB479" s="417">
        <v>34561</v>
      </c>
      <c r="AC479" s="417">
        <v>0</v>
      </c>
      <c r="AD479" s="417">
        <v>0</v>
      </c>
      <c r="AE479" s="378">
        <v>1.228E-4</v>
      </c>
      <c r="AF479" s="378"/>
      <c r="AG479" s="417">
        <v>11248</v>
      </c>
      <c r="AH479" s="417">
        <v>8610</v>
      </c>
      <c r="AI479" s="417">
        <v>2257</v>
      </c>
      <c r="AJ479" s="417">
        <v>0</v>
      </c>
      <c r="AK479" s="417">
        <v>0</v>
      </c>
      <c r="AL479" s="378">
        <v>1.228E-4</v>
      </c>
      <c r="AM479" s="378"/>
      <c r="AN479" s="417">
        <v>0</v>
      </c>
      <c r="AO479" s="417">
        <v>0</v>
      </c>
      <c r="AP479" s="417">
        <v>0</v>
      </c>
      <c r="AQ479" s="417">
        <v>0</v>
      </c>
      <c r="AR479" s="417">
        <v>0</v>
      </c>
    </row>
    <row r="480" spans="1:44">
      <c r="A480" s="377">
        <v>95009</v>
      </c>
      <c r="B480" t="s">
        <v>1182</v>
      </c>
      <c r="C480" s="378">
        <v>4.0679999999999996E-3</v>
      </c>
      <c r="D480" s="378"/>
      <c r="E480" s="417">
        <v>497059</v>
      </c>
      <c r="F480" s="417">
        <v>-243838</v>
      </c>
      <c r="G480" s="417">
        <v>-553959</v>
      </c>
      <c r="H480" s="417">
        <v>-2727488</v>
      </c>
      <c r="I480" s="417">
        <v>0</v>
      </c>
      <c r="J480" s="378">
        <v>4.0679999999999996E-3</v>
      </c>
      <c r="K480" s="378"/>
      <c r="L480" s="417">
        <v>995879</v>
      </c>
      <c r="M480" s="417">
        <v>687785</v>
      </c>
      <c r="N480" s="417">
        <v>301081</v>
      </c>
      <c r="O480" s="417">
        <v>0</v>
      </c>
      <c r="P480" s="417">
        <v>0</v>
      </c>
      <c r="Q480" s="378">
        <v>4.0679999999999996E-3</v>
      </c>
      <c r="R480" s="378"/>
      <c r="S480" s="417">
        <v>-2043633</v>
      </c>
      <c r="T480" s="417">
        <v>-2019986</v>
      </c>
      <c r="U480" s="417">
        <v>-2122076</v>
      </c>
      <c r="V480" s="417">
        <v>-2727488</v>
      </c>
      <c r="W480" s="417">
        <v>0</v>
      </c>
      <c r="X480" s="378">
        <v>4.0679999999999996E-3</v>
      </c>
      <c r="Z480" s="417">
        <v>1629649</v>
      </c>
      <c r="AA480" s="417">
        <v>1144918</v>
      </c>
      <c r="AB480" s="417">
        <v>1144910</v>
      </c>
      <c r="AC480" s="417">
        <v>0</v>
      </c>
      <c r="AD480" s="417">
        <v>0</v>
      </c>
      <c r="AE480" s="378">
        <v>4.0679999999999996E-3</v>
      </c>
      <c r="AF480" s="378"/>
      <c r="AG480" s="417">
        <v>122128</v>
      </c>
      <c r="AH480" s="417">
        <v>122128</v>
      </c>
      <c r="AI480" s="417">
        <v>122126</v>
      </c>
      <c r="AJ480" s="417">
        <v>0</v>
      </c>
      <c r="AK480" s="417">
        <v>0</v>
      </c>
      <c r="AL480" s="378">
        <v>4.0679999999999996E-3</v>
      </c>
      <c r="AM480" s="378"/>
      <c r="AN480" s="417">
        <v>-206964</v>
      </c>
      <c r="AO480" s="417">
        <v>-178683</v>
      </c>
      <c r="AP480" s="417">
        <v>0</v>
      </c>
      <c r="AQ480" s="417">
        <v>0</v>
      </c>
      <c r="AR480" s="417">
        <v>0</v>
      </c>
    </row>
    <row r="481" spans="1:44">
      <c r="A481" s="377">
        <v>95010</v>
      </c>
      <c r="B481" t="s">
        <v>3719</v>
      </c>
      <c r="C481" s="378">
        <v>2.2399999999999999E-5</v>
      </c>
      <c r="D481" s="378"/>
      <c r="E481" s="417">
        <v>10644</v>
      </c>
      <c r="F481" s="417">
        <v>6408</v>
      </c>
      <c r="G481" s="417">
        <v>-4178</v>
      </c>
      <c r="H481" s="417">
        <v>-15019</v>
      </c>
      <c r="I481" s="417">
        <v>0</v>
      </c>
      <c r="J481" s="378">
        <v>2.2399999999999999E-5</v>
      </c>
      <c r="K481" s="378"/>
      <c r="L481" s="417">
        <v>5484</v>
      </c>
      <c r="M481" s="417">
        <v>3787</v>
      </c>
      <c r="N481" s="417">
        <v>1658</v>
      </c>
      <c r="O481" s="417">
        <v>0</v>
      </c>
      <c r="P481" s="417">
        <v>0</v>
      </c>
      <c r="Q481" s="378">
        <v>2.2399999999999999E-5</v>
      </c>
      <c r="R481" s="378"/>
      <c r="S481" s="417">
        <v>-11253</v>
      </c>
      <c r="T481" s="417">
        <v>-11123</v>
      </c>
      <c r="U481" s="417">
        <v>-11685</v>
      </c>
      <c r="V481" s="417">
        <v>-15019</v>
      </c>
      <c r="W481" s="417">
        <v>0</v>
      </c>
      <c r="X481" s="378">
        <v>2.2399999999999999E-5</v>
      </c>
      <c r="Z481" s="417">
        <v>8973</v>
      </c>
      <c r="AA481" s="417">
        <v>6304</v>
      </c>
      <c r="AB481" s="417">
        <v>6304</v>
      </c>
      <c r="AC481" s="417">
        <v>0</v>
      </c>
      <c r="AD481" s="417">
        <v>0</v>
      </c>
      <c r="AE481" s="378">
        <v>2.2399999999999999E-5</v>
      </c>
      <c r="AF481" s="378"/>
      <c r="AG481" s="417">
        <v>7895</v>
      </c>
      <c r="AH481" s="417">
        <v>7895</v>
      </c>
      <c r="AI481" s="417">
        <v>0</v>
      </c>
      <c r="AJ481" s="417">
        <v>0</v>
      </c>
      <c r="AK481" s="417">
        <v>0</v>
      </c>
      <c r="AL481" s="378">
        <v>2.2399999999999999E-5</v>
      </c>
      <c r="AM481" s="378"/>
      <c r="AN481" s="417">
        <v>-455</v>
      </c>
      <c r="AO481" s="417">
        <v>-455</v>
      </c>
      <c r="AP481" s="417">
        <v>-455</v>
      </c>
      <c r="AQ481" s="417">
        <v>0</v>
      </c>
      <c r="AR481" s="417">
        <v>0</v>
      </c>
    </row>
    <row r="482" spans="1:44">
      <c r="A482" s="377">
        <v>95011</v>
      </c>
      <c r="B482" t="s">
        <v>1183</v>
      </c>
      <c r="C482" s="378">
        <v>1.808E-4</v>
      </c>
      <c r="D482" s="378"/>
      <c r="E482" s="417">
        <v>21397</v>
      </c>
      <c r="F482" s="417">
        <v>-13604</v>
      </c>
      <c r="G482" s="417">
        <v>-27550</v>
      </c>
      <c r="H482" s="417">
        <v>-121222</v>
      </c>
      <c r="I482" s="417">
        <v>0</v>
      </c>
      <c r="J482" s="378">
        <v>1.808E-4</v>
      </c>
      <c r="K482" s="378"/>
      <c r="L482" s="417">
        <v>44261</v>
      </c>
      <c r="M482" s="417">
        <v>30568</v>
      </c>
      <c r="N482" s="417">
        <v>13381</v>
      </c>
      <c r="O482" s="417">
        <v>0</v>
      </c>
      <c r="P482" s="417">
        <v>0</v>
      </c>
      <c r="Q482" s="378">
        <v>1.808E-4</v>
      </c>
      <c r="R482" s="378"/>
      <c r="S482" s="417">
        <v>-90828</v>
      </c>
      <c r="T482" s="417">
        <v>-89777</v>
      </c>
      <c r="U482" s="417">
        <v>-94315</v>
      </c>
      <c r="V482" s="417">
        <v>-121222</v>
      </c>
      <c r="W482" s="417">
        <v>0</v>
      </c>
      <c r="X482" s="378">
        <v>1.808E-4</v>
      </c>
      <c r="Z482" s="417">
        <v>72429</v>
      </c>
      <c r="AA482" s="417">
        <v>50885</v>
      </c>
      <c r="AB482" s="417">
        <v>50885</v>
      </c>
      <c r="AC482" s="417">
        <v>0</v>
      </c>
      <c r="AD482" s="417">
        <v>0</v>
      </c>
      <c r="AE482" s="378">
        <v>1.808E-4</v>
      </c>
      <c r="AF482" s="378"/>
      <c r="AG482" s="417">
        <v>3578</v>
      </c>
      <c r="AH482" s="417">
        <v>2764</v>
      </c>
      <c r="AI482" s="417">
        <v>2499</v>
      </c>
      <c r="AJ482" s="417">
        <v>0</v>
      </c>
      <c r="AK482" s="417">
        <v>0</v>
      </c>
      <c r="AL482" s="378">
        <v>1.808E-4</v>
      </c>
      <c r="AM482" s="378"/>
      <c r="AN482" s="417">
        <v>-8043</v>
      </c>
      <c r="AO482" s="417">
        <v>-8044</v>
      </c>
      <c r="AP482" s="417">
        <v>0</v>
      </c>
      <c r="AQ482" s="417">
        <v>0</v>
      </c>
      <c r="AR482" s="417">
        <v>0</v>
      </c>
    </row>
    <row r="483" spans="1:44">
      <c r="A483" s="377">
        <v>95017</v>
      </c>
      <c r="B483" t="s">
        <v>1184</v>
      </c>
      <c r="C483" s="378">
        <v>0</v>
      </c>
      <c r="D483" s="378"/>
      <c r="E483" s="417">
        <v>-21941</v>
      </c>
      <c r="F483" s="417">
        <v>-22215</v>
      </c>
      <c r="G483" s="417">
        <v>-17819</v>
      </c>
      <c r="H483" s="417">
        <v>0</v>
      </c>
      <c r="I483" s="417">
        <v>0</v>
      </c>
      <c r="J483" s="378">
        <v>0</v>
      </c>
      <c r="K483" s="378"/>
      <c r="L483" s="417">
        <v>0</v>
      </c>
      <c r="M483" s="417">
        <v>0</v>
      </c>
      <c r="N483" s="417">
        <v>0</v>
      </c>
      <c r="O483" s="417">
        <v>0</v>
      </c>
      <c r="P483" s="417">
        <v>0</v>
      </c>
      <c r="Q483" s="378">
        <v>0</v>
      </c>
      <c r="R483" s="378"/>
      <c r="S483" s="417">
        <v>0</v>
      </c>
      <c r="T483" s="417">
        <v>0</v>
      </c>
      <c r="U483" s="417">
        <v>0</v>
      </c>
      <c r="V483" s="417">
        <v>0</v>
      </c>
      <c r="W483" s="417">
        <v>0</v>
      </c>
      <c r="X483" s="378">
        <v>0</v>
      </c>
      <c r="Z483" s="417">
        <v>0</v>
      </c>
      <c r="AA483" s="417">
        <v>0</v>
      </c>
      <c r="AB483" s="417">
        <v>0</v>
      </c>
      <c r="AC483" s="417">
        <v>0</v>
      </c>
      <c r="AD483" s="417">
        <v>0</v>
      </c>
      <c r="AE483" s="378">
        <v>0</v>
      </c>
      <c r="AF483" s="378"/>
      <c r="AG483" s="417">
        <v>278</v>
      </c>
      <c r="AH483" s="417">
        <v>5</v>
      </c>
      <c r="AI483" s="417">
        <v>0</v>
      </c>
      <c r="AJ483" s="417">
        <v>0</v>
      </c>
      <c r="AK483" s="417">
        <v>0</v>
      </c>
      <c r="AL483" s="378">
        <v>0</v>
      </c>
      <c r="AM483" s="378"/>
      <c r="AN483" s="417">
        <v>-22219</v>
      </c>
      <c r="AO483" s="417">
        <v>-22220</v>
      </c>
      <c r="AP483" s="417">
        <v>-17819</v>
      </c>
      <c r="AQ483" s="417">
        <v>0</v>
      </c>
      <c r="AR483" s="417">
        <v>0</v>
      </c>
    </row>
    <row r="484" spans="1:44">
      <c r="A484" s="377">
        <v>95101</v>
      </c>
      <c r="B484" t="s">
        <v>1185</v>
      </c>
      <c r="C484" s="378">
        <v>8.7860999999999998E-3</v>
      </c>
      <c r="D484" s="378"/>
      <c r="E484" s="417">
        <v>1110792</v>
      </c>
      <c r="F484" s="417">
        <v>-531928</v>
      </c>
      <c r="G484" s="417">
        <v>-1591336</v>
      </c>
      <c r="H484" s="417">
        <v>-5890852</v>
      </c>
      <c r="I484" s="417">
        <v>0</v>
      </c>
      <c r="J484" s="378">
        <v>8.7860999999999998E-3</v>
      </c>
      <c r="K484" s="378"/>
      <c r="L484" s="417">
        <v>2150908</v>
      </c>
      <c r="M484" s="417">
        <v>1485483</v>
      </c>
      <c r="N484" s="417">
        <v>650277</v>
      </c>
      <c r="O484" s="417">
        <v>0</v>
      </c>
      <c r="P484" s="417">
        <v>0</v>
      </c>
      <c r="Q484" s="378">
        <v>8.7860999999999998E-3</v>
      </c>
      <c r="R484" s="378"/>
      <c r="S484" s="417">
        <v>-4413855</v>
      </c>
      <c r="T484" s="417">
        <v>-4362782</v>
      </c>
      <c r="U484" s="417">
        <v>-4583278</v>
      </c>
      <c r="V484" s="417">
        <v>-5890852</v>
      </c>
      <c r="W484" s="417">
        <v>0</v>
      </c>
      <c r="X484" s="378">
        <v>8.7860999999999998E-3</v>
      </c>
      <c r="Z484" s="417">
        <v>3519729</v>
      </c>
      <c r="AA484" s="417">
        <v>2472804</v>
      </c>
      <c r="AB484" s="417">
        <v>2472786</v>
      </c>
      <c r="AC484" s="417">
        <v>0</v>
      </c>
      <c r="AD484" s="417">
        <v>0</v>
      </c>
      <c r="AE484" s="378">
        <v>8.7860999999999998E-3</v>
      </c>
      <c r="AF484" s="378"/>
      <c r="AG484" s="417">
        <v>10681</v>
      </c>
      <c r="AH484" s="417">
        <v>10679</v>
      </c>
      <c r="AI484" s="417">
        <v>0</v>
      </c>
      <c r="AJ484" s="417">
        <v>0</v>
      </c>
      <c r="AK484" s="417">
        <v>0</v>
      </c>
      <c r="AL484" s="378">
        <v>8.7860999999999998E-3</v>
      </c>
      <c r="AM484" s="378"/>
      <c r="AN484" s="417">
        <v>-156671</v>
      </c>
      <c r="AO484" s="417">
        <v>-138112</v>
      </c>
      <c r="AP484" s="417">
        <v>-131121</v>
      </c>
      <c r="AQ484" s="417">
        <v>0</v>
      </c>
      <c r="AR484" s="417">
        <v>0</v>
      </c>
    </row>
    <row r="485" spans="1:44">
      <c r="A485" s="377">
        <v>95103</v>
      </c>
      <c r="B485" t="s">
        <v>1186</v>
      </c>
      <c r="C485" s="378">
        <v>4.7700000000000001E-5</v>
      </c>
      <c r="D485" s="378"/>
      <c r="E485" s="417">
        <v>10914</v>
      </c>
      <c r="F485" s="417">
        <v>1040</v>
      </c>
      <c r="G485" s="417">
        <v>-6614</v>
      </c>
      <c r="H485" s="417">
        <v>-31982</v>
      </c>
      <c r="I485" s="417">
        <v>0</v>
      </c>
      <c r="J485" s="378">
        <v>4.7700000000000001E-5</v>
      </c>
      <c r="K485" s="378"/>
      <c r="L485" s="417">
        <v>11677</v>
      </c>
      <c r="M485" s="417">
        <v>8065</v>
      </c>
      <c r="N485" s="417">
        <v>3530</v>
      </c>
      <c r="O485" s="417">
        <v>0</v>
      </c>
      <c r="P485" s="417">
        <v>0</v>
      </c>
      <c r="Q485" s="378">
        <v>4.7700000000000001E-5</v>
      </c>
      <c r="R485" s="378"/>
      <c r="S485" s="417">
        <v>-23963</v>
      </c>
      <c r="T485" s="417">
        <v>-23686</v>
      </c>
      <c r="U485" s="417">
        <v>-24883</v>
      </c>
      <c r="V485" s="417">
        <v>-31982</v>
      </c>
      <c r="W485" s="417">
        <v>0</v>
      </c>
      <c r="X485" s="378">
        <v>4.7700000000000001E-5</v>
      </c>
      <c r="Z485" s="417">
        <v>19109</v>
      </c>
      <c r="AA485" s="417">
        <v>13425</v>
      </c>
      <c r="AB485" s="417">
        <v>13425</v>
      </c>
      <c r="AC485" s="417">
        <v>0</v>
      </c>
      <c r="AD485" s="417">
        <v>0</v>
      </c>
      <c r="AE485" s="378">
        <v>4.7700000000000001E-5</v>
      </c>
      <c r="AF485" s="378"/>
      <c r="AG485" s="417">
        <v>5264</v>
      </c>
      <c r="AH485" s="417">
        <v>4408</v>
      </c>
      <c r="AI485" s="417">
        <v>1314</v>
      </c>
      <c r="AJ485" s="417">
        <v>0</v>
      </c>
      <c r="AK485" s="417">
        <v>0</v>
      </c>
      <c r="AL485" s="378">
        <v>4.7700000000000001E-5</v>
      </c>
      <c r="AM485" s="378"/>
      <c r="AN485" s="417">
        <v>-1173</v>
      </c>
      <c r="AO485" s="417">
        <v>-1172</v>
      </c>
      <c r="AP485" s="417">
        <v>0</v>
      </c>
      <c r="AQ485" s="417">
        <v>0</v>
      </c>
      <c r="AR485" s="417">
        <v>0</v>
      </c>
    </row>
    <row r="486" spans="1:44">
      <c r="A486" s="377">
        <v>95104</v>
      </c>
      <c r="B486" t="s">
        <v>1187</v>
      </c>
      <c r="C486" s="378">
        <v>1.271E-4</v>
      </c>
      <c r="D486" s="378"/>
      <c r="E486" s="417">
        <v>51649</v>
      </c>
      <c r="F486" s="417">
        <v>25644</v>
      </c>
      <c r="G486" s="417">
        <v>-3832</v>
      </c>
      <c r="H486" s="417">
        <v>-85217</v>
      </c>
      <c r="I486" s="417">
        <v>0</v>
      </c>
      <c r="J486" s="378">
        <v>1.271E-4</v>
      </c>
      <c r="K486" s="378"/>
      <c r="L486" s="417">
        <v>31115</v>
      </c>
      <c r="M486" s="417">
        <v>21489</v>
      </c>
      <c r="N486" s="417">
        <v>9407</v>
      </c>
      <c r="O486" s="417">
        <v>0</v>
      </c>
      <c r="P486" s="417">
        <v>0</v>
      </c>
      <c r="Q486" s="378">
        <v>1.271E-4</v>
      </c>
      <c r="R486" s="378"/>
      <c r="S486" s="417">
        <v>-63851</v>
      </c>
      <c r="T486" s="417">
        <v>-63112</v>
      </c>
      <c r="U486" s="417">
        <v>-66302</v>
      </c>
      <c r="V486" s="417">
        <v>-85217</v>
      </c>
      <c r="W486" s="417">
        <v>0</v>
      </c>
      <c r="X486" s="378">
        <v>1.271E-4</v>
      </c>
      <c r="Z486" s="417">
        <v>50917</v>
      </c>
      <c r="AA486" s="417">
        <v>35772</v>
      </c>
      <c r="AB486" s="417">
        <v>35771</v>
      </c>
      <c r="AC486" s="417">
        <v>0</v>
      </c>
      <c r="AD486" s="417">
        <v>0</v>
      </c>
      <c r="AE486" s="378">
        <v>1.271E-4</v>
      </c>
      <c r="AF486" s="378"/>
      <c r="AG486" s="417">
        <v>33468</v>
      </c>
      <c r="AH486" s="417">
        <v>31495</v>
      </c>
      <c r="AI486" s="417">
        <v>17292</v>
      </c>
      <c r="AJ486" s="417">
        <v>0</v>
      </c>
      <c r="AK486" s="417">
        <v>0</v>
      </c>
      <c r="AL486" s="378">
        <v>1.271E-4</v>
      </c>
      <c r="AM486" s="378"/>
      <c r="AN486" s="417">
        <v>0</v>
      </c>
      <c r="AO486" s="417">
        <v>0</v>
      </c>
      <c r="AP486" s="417">
        <v>0</v>
      </c>
      <c r="AQ486" s="417">
        <v>0</v>
      </c>
      <c r="AR486" s="417">
        <v>0</v>
      </c>
    </row>
    <row r="487" spans="1:44">
      <c r="A487" s="377">
        <v>95105</v>
      </c>
      <c r="B487" t="s">
        <v>1188</v>
      </c>
      <c r="C487" s="378">
        <v>5.63E-5</v>
      </c>
      <c r="D487" s="378"/>
      <c r="E487" s="417">
        <v>-199</v>
      </c>
      <c r="F487" s="417">
        <v>-12398</v>
      </c>
      <c r="G487" s="417">
        <v>-23827</v>
      </c>
      <c r="H487" s="417">
        <v>-37748</v>
      </c>
      <c r="I487" s="417">
        <v>0</v>
      </c>
      <c r="J487" s="378">
        <v>5.63E-5</v>
      </c>
      <c r="K487" s="378"/>
      <c r="L487" s="417">
        <v>13783</v>
      </c>
      <c r="M487" s="417">
        <v>9519</v>
      </c>
      <c r="N487" s="417">
        <v>4167</v>
      </c>
      <c r="O487" s="417">
        <v>0</v>
      </c>
      <c r="P487" s="417">
        <v>0</v>
      </c>
      <c r="Q487" s="378">
        <v>5.63E-5</v>
      </c>
      <c r="R487" s="378"/>
      <c r="S487" s="417">
        <v>-28283</v>
      </c>
      <c r="T487" s="417">
        <v>-27956</v>
      </c>
      <c r="U487" s="417">
        <v>-29369</v>
      </c>
      <c r="V487" s="417">
        <v>-37748</v>
      </c>
      <c r="W487" s="417">
        <v>0</v>
      </c>
      <c r="X487" s="378">
        <v>5.63E-5</v>
      </c>
      <c r="Z487" s="417">
        <v>22554</v>
      </c>
      <c r="AA487" s="417">
        <v>15845</v>
      </c>
      <c r="AB487" s="417">
        <v>15845</v>
      </c>
      <c r="AC487" s="417">
        <v>0</v>
      </c>
      <c r="AD487" s="417">
        <v>0</v>
      </c>
      <c r="AE487" s="378">
        <v>5.63E-5</v>
      </c>
      <c r="AF487" s="378"/>
      <c r="AG487" s="417">
        <v>6219</v>
      </c>
      <c r="AH487" s="417">
        <v>4666</v>
      </c>
      <c r="AI487" s="417">
        <v>0</v>
      </c>
      <c r="AJ487" s="417">
        <v>0</v>
      </c>
      <c r="AK487" s="417">
        <v>0</v>
      </c>
      <c r="AL487" s="378">
        <v>5.63E-5</v>
      </c>
      <c r="AM487" s="378"/>
      <c r="AN487" s="417">
        <v>-14472</v>
      </c>
      <c r="AO487" s="417">
        <v>-14472</v>
      </c>
      <c r="AP487" s="417">
        <v>-14470</v>
      </c>
      <c r="AQ487" s="417">
        <v>0</v>
      </c>
      <c r="AR487" s="417">
        <v>0</v>
      </c>
    </row>
    <row r="488" spans="1:44">
      <c r="A488" s="377">
        <v>95106</v>
      </c>
      <c r="B488" t="s">
        <v>1189</v>
      </c>
      <c r="C488" s="378">
        <v>1.5800000000000001E-5</v>
      </c>
      <c r="D488" s="378"/>
      <c r="E488" s="417">
        <v>7089</v>
      </c>
      <c r="F488" s="417">
        <v>3524</v>
      </c>
      <c r="G488" s="417">
        <v>1114</v>
      </c>
      <c r="H488" s="417">
        <v>-10593</v>
      </c>
      <c r="I488" s="417">
        <v>0</v>
      </c>
      <c r="J488" s="378">
        <v>1.5800000000000001E-5</v>
      </c>
      <c r="K488" s="378"/>
      <c r="L488" s="417">
        <v>3868</v>
      </c>
      <c r="M488" s="417">
        <v>2671</v>
      </c>
      <c r="N488" s="417">
        <v>1169</v>
      </c>
      <c r="O488" s="417">
        <v>0</v>
      </c>
      <c r="P488" s="417">
        <v>0</v>
      </c>
      <c r="Q488" s="378">
        <v>1.5800000000000001E-5</v>
      </c>
      <c r="R488" s="378"/>
      <c r="S488" s="417">
        <v>-7937</v>
      </c>
      <c r="T488" s="417">
        <v>-7846</v>
      </c>
      <c r="U488" s="417">
        <v>-8242</v>
      </c>
      <c r="V488" s="417">
        <v>-10593</v>
      </c>
      <c r="W488" s="417">
        <v>0</v>
      </c>
      <c r="X488" s="378">
        <v>1.5800000000000001E-5</v>
      </c>
      <c r="Z488" s="417">
        <v>6330</v>
      </c>
      <c r="AA488" s="417">
        <v>4447</v>
      </c>
      <c r="AB488" s="417">
        <v>4447</v>
      </c>
      <c r="AC488" s="417">
        <v>0</v>
      </c>
      <c r="AD488" s="417">
        <v>0</v>
      </c>
      <c r="AE488" s="378">
        <v>1.5800000000000001E-5</v>
      </c>
      <c r="AF488" s="378"/>
      <c r="AG488" s="417">
        <v>4828</v>
      </c>
      <c r="AH488" s="417">
        <v>4252</v>
      </c>
      <c r="AI488" s="417">
        <v>3740</v>
      </c>
      <c r="AJ488" s="417">
        <v>0</v>
      </c>
      <c r="AK488" s="417">
        <v>0</v>
      </c>
      <c r="AL488" s="378">
        <v>1.5800000000000001E-5</v>
      </c>
      <c r="AM488" s="378"/>
      <c r="AN488" s="417">
        <v>0</v>
      </c>
      <c r="AO488" s="417">
        <v>0</v>
      </c>
      <c r="AP488" s="417">
        <v>0</v>
      </c>
      <c r="AQ488" s="417">
        <v>0</v>
      </c>
      <c r="AR488" s="417">
        <v>0</v>
      </c>
    </row>
    <row r="489" spans="1:44">
      <c r="A489" s="377">
        <v>95110</v>
      </c>
      <c r="B489" t="s">
        <v>1190</v>
      </c>
      <c r="C489" s="378">
        <v>2.4620000000000002E-3</v>
      </c>
      <c r="D489" s="378"/>
      <c r="E489" s="417">
        <v>27026</v>
      </c>
      <c r="F489" s="417">
        <v>-351189</v>
      </c>
      <c r="G489" s="417">
        <v>-504685</v>
      </c>
      <c r="H489" s="417">
        <v>-1650707</v>
      </c>
      <c r="I489" s="417">
        <v>0</v>
      </c>
      <c r="J489" s="378">
        <v>2.4620000000000002E-3</v>
      </c>
      <c r="K489" s="378"/>
      <c r="L489" s="417">
        <v>602717</v>
      </c>
      <c r="M489" s="417">
        <v>416255</v>
      </c>
      <c r="N489" s="417">
        <v>182218</v>
      </c>
      <c r="O489" s="417">
        <v>0</v>
      </c>
      <c r="P489" s="417">
        <v>0</v>
      </c>
      <c r="Q489" s="378">
        <v>2.4620000000000002E-3</v>
      </c>
      <c r="R489" s="378"/>
      <c r="S489" s="417">
        <v>-1236830</v>
      </c>
      <c r="T489" s="417">
        <v>-1222518</v>
      </c>
      <c r="U489" s="417">
        <v>-1284305</v>
      </c>
      <c r="V489" s="417">
        <v>-1650707</v>
      </c>
      <c r="W489" s="417">
        <v>0</v>
      </c>
      <c r="X489" s="378">
        <v>2.4620000000000002E-3</v>
      </c>
      <c r="Z489" s="417">
        <v>986282</v>
      </c>
      <c r="AA489" s="417">
        <v>692918</v>
      </c>
      <c r="AB489" s="417">
        <v>692913</v>
      </c>
      <c r="AC489" s="417">
        <v>0</v>
      </c>
      <c r="AD489" s="417">
        <v>0</v>
      </c>
      <c r="AE489" s="378">
        <v>2.4620000000000002E-3</v>
      </c>
      <c r="AF489" s="378"/>
      <c r="AG489" s="417">
        <v>0</v>
      </c>
      <c r="AH489" s="417">
        <v>0</v>
      </c>
      <c r="AI489" s="417">
        <v>0</v>
      </c>
      <c r="AJ489" s="417">
        <v>0</v>
      </c>
      <c r="AK489" s="417">
        <v>0</v>
      </c>
      <c r="AL489" s="378">
        <v>2.4620000000000002E-3</v>
      </c>
      <c r="AM489" s="378"/>
      <c r="AN489" s="417">
        <v>-325143</v>
      </c>
      <c r="AO489" s="417">
        <v>-237844</v>
      </c>
      <c r="AP489" s="417">
        <v>-95511</v>
      </c>
      <c r="AQ489" s="417">
        <v>0</v>
      </c>
      <c r="AR489" s="417">
        <v>0</v>
      </c>
    </row>
    <row r="490" spans="1:44">
      <c r="A490" s="377">
        <v>95111</v>
      </c>
      <c r="B490" t="s">
        <v>1191</v>
      </c>
      <c r="C490" s="378">
        <v>9.366E-4</v>
      </c>
      <c r="D490" s="378"/>
      <c r="E490" s="417">
        <v>67939</v>
      </c>
      <c r="F490" s="417">
        <v>-106256</v>
      </c>
      <c r="G490" s="417">
        <v>-177099</v>
      </c>
      <c r="H490" s="417">
        <v>-627966</v>
      </c>
      <c r="I490" s="417">
        <v>0</v>
      </c>
      <c r="J490" s="378">
        <v>9.366E-4</v>
      </c>
      <c r="K490" s="378"/>
      <c r="L490" s="417">
        <v>229287</v>
      </c>
      <c r="M490" s="417">
        <v>158353</v>
      </c>
      <c r="N490" s="417">
        <v>69320</v>
      </c>
      <c r="O490" s="417">
        <v>0</v>
      </c>
      <c r="P490" s="417">
        <v>0</v>
      </c>
      <c r="Q490" s="378">
        <v>9.366E-4</v>
      </c>
      <c r="R490" s="378"/>
      <c r="S490" s="417">
        <v>-470518</v>
      </c>
      <c r="T490" s="417">
        <v>-465073</v>
      </c>
      <c r="U490" s="417">
        <v>-488578</v>
      </c>
      <c r="V490" s="417">
        <v>-627966</v>
      </c>
      <c r="W490" s="417">
        <v>0</v>
      </c>
      <c r="X490" s="378">
        <v>9.366E-4</v>
      </c>
      <c r="Z490" s="417">
        <v>375204</v>
      </c>
      <c r="AA490" s="417">
        <v>263601</v>
      </c>
      <c r="AB490" s="417">
        <v>263600</v>
      </c>
      <c r="AC490" s="417">
        <v>0</v>
      </c>
      <c r="AD490" s="417">
        <v>0</v>
      </c>
      <c r="AE490" s="378">
        <v>9.366E-4</v>
      </c>
      <c r="AF490" s="378"/>
      <c r="AG490" s="417">
        <v>0</v>
      </c>
      <c r="AH490" s="417">
        <v>0</v>
      </c>
      <c r="AI490" s="417">
        <v>0</v>
      </c>
      <c r="AJ490" s="417">
        <v>0</v>
      </c>
      <c r="AK490" s="417">
        <v>0</v>
      </c>
      <c r="AL490" s="378">
        <v>9.366E-4</v>
      </c>
      <c r="AM490" s="378"/>
      <c r="AN490" s="417">
        <v>-66034</v>
      </c>
      <c r="AO490" s="417">
        <v>-63137</v>
      </c>
      <c r="AP490" s="417">
        <v>-21441</v>
      </c>
      <c r="AQ490" s="417">
        <v>0</v>
      </c>
      <c r="AR490" s="417">
        <v>0</v>
      </c>
    </row>
    <row r="491" spans="1:44">
      <c r="A491" s="377">
        <v>95113</v>
      </c>
      <c r="B491" t="s">
        <v>1192</v>
      </c>
      <c r="C491" s="378">
        <v>4.9599999999999999E-5</v>
      </c>
      <c r="D491" s="378"/>
      <c r="E491" s="417">
        <v>48252</v>
      </c>
      <c r="F491" s="417">
        <v>28700</v>
      </c>
      <c r="G491" s="417">
        <v>9448</v>
      </c>
      <c r="H491" s="417">
        <v>-33256</v>
      </c>
      <c r="I491" s="417">
        <v>0</v>
      </c>
      <c r="J491" s="378">
        <v>4.9599999999999999E-5</v>
      </c>
      <c r="K491" s="378"/>
      <c r="L491" s="417">
        <v>12142</v>
      </c>
      <c r="M491" s="417">
        <v>8386</v>
      </c>
      <c r="N491" s="417">
        <v>3671</v>
      </c>
      <c r="O491" s="417">
        <v>0</v>
      </c>
      <c r="P491" s="417">
        <v>0</v>
      </c>
      <c r="Q491" s="378">
        <v>4.9599999999999999E-5</v>
      </c>
      <c r="R491" s="378"/>
      <c r="S491" s="417">
        <v>-24917</v>
      </c>
      <c r="T491" s="417">
        <v>-24629</v>
      </c>
      <c r="U491" s="417">
        <v>-25874</v>
      </c>
      <c r="V491" s="417">
        <v>-33256</v>
      </c>
      <c r="W491" s="417">
        <v>0</v>
      </c>
      <c r="X491" s="378">
        <v>4.9599999999999999E-5</v>
      </c>
      <c r="Z491" s="417">
        <v>19870</v>
      </c>
      <c r="AA491" s="417">
        <v>13960</v>
      </c>
      <c r="AB491" s="417">
        <v>13960</v>
      </c>
      <c r="AC491" s="417">
        <v>0</v>
      </c>
      <c r="AD491" s="417">
        <v>0</v>
      </c>
      <c r="AE491" s="378">
        <v>4.9599999999999999E-5</v>
      </c>
      <c r="AF491" s="378"/>
      <c r="AG491" s="417">
        <v>41157</v>
      </c>
      <c r="AH491" s="417">
        <v>30983</v>
      </c>
      <c r="AI491" s="417">
        <v>17691</v>
      </c>
      <c r="AJ491" s="417">
        <v>0</v>
      </c>
      <c r="AK491" s="417">
        <v>0</v>
      </c>
      <c r="AL491" s="378">
        <v>4.9599999999999999E-5</v>
      </c>
      <c r="AM491" s="378"/>
      <c r="AN491" s="417">
        <v>0</v>
      </c>
      <c r="AO491" s="417">
        <v>0</v>
      </c>
      <c r="AP491" s="417">
        <v>0</v>
      </c>
      <c r="AQ491" s="417">
        <v>0</v>
      </c>
      <c r="AR491" s="417">
        <v>0</v>
      </c>
    </row>
    <row r="492" spans="1:44">
      <c r="A492" s="377">
        <v>95121</v>
      </c>
      <c r="B492" t="s">
        <v>1193</v>
      </c>
      <c r="C492" s="378">
        <v>5.1400000000000003E-4</v>
      </c>
      <c r="D492" s="378"/>
      <c r="E492" s="417">
        <v>76271</v>
      </c>
      <c r="F492" s="417">
        <v>-22514</v>
      </c>
      <c r="G492" s="417">
        <v>-88491</v>
      </c>
      <c r="H492" s="417">
        <v>-344624</v>
      </c>
      <c r="I492" s="417">
        <v>0</v>
      </c>
      <c r="J492" s="378">
        <v>5.1400000000000003E-4</v>
      </c>
      <c r="K492" s="378"/>
      <c r="L492" s="417">
        <v>125831</v>
      </c>
      <c r="M492" s="417">
        <v>86903</v>
      </c>
      <c r="N492" s="417">
        <v>38042</v>
      </c>
      <c r="O492" s="417">
        <v>0</v>
      </c>
      <c r="P492" s="417">
        <v>0</v>
      </c>
      <c r="Q492" s="378">
        <v>5.1400000000000003E-4</v>
      </c>
      <c r="R492" s="378"/>
      <c r="S492" s="417">
        <v>-258217</v>
      </c>
      <c r="T492" s="417">
        <v>-255229</v>
      </c>
      <c r="U492" s="417">
        <v>-268129</v>
      </c>
      <c r="V492" s="417">
        <v>-344624</v>
      </c>
      <c r="W492" s="417">
        <v>0</v>
      </c>
      <c r="X492" s="378">
        <v>5.1400000000000003E-4</v>
      </c>
      <c r="Z492" s="417">
        <v>205909</v>
      </c>
      <c r="AA492" s="417">
        <v>144663</v>
      </c>
      <c r="AB492" s="417">
        <v>144662</v>
      </c>
      <c r="AC492" s="417">
        <v>0</v>
      </c>
      <c r="AD492" s="417">
        <v>0</v>
      </c>
      <c r="AE492" s="378">
        <v>5.1400000000000003E-4</v>
      </c>
      <c r="AF492" s="378"/>
      <c r="AG492" s="417">
        <v>16117</v>
      </c>
      <c r="AH492" s="417">
        <v>14516</v>
      </c>
      <c r="AI492" s="417">
        <v>0</v>
      </c>
      <c r="AJ492" s="417">
        <v>0</v>
      </c>
      <c r="AK492" s="417">
        <v>0</v>
      </c>
      <c r="AL492" s="378">
        <v>5.1400000000000003E-4</v>
      </c>
      <c r="AM492" s="378"/>
      <c r="AN492" s="417">
        <v>-13369</v>
      </c>
      <c r="AO492" s="417">
        <v>-13367</v>
      </c>
      <c r="AP492" s="417">
        <v>-3066</v>
      </c>
      <c r="AQ492" s="417">
        <v>0</v>
      </c>
      <c r="AR492" s="417">
        <v>0</v>
      </c>
    </row>
    <row r="493" spans="1:44">
      <c r="A493" s="377">
        <v>95122</v>
      </c>
      <c r="B493" t="s">
        <v>1194</v>
      </c>
      <c r="C493" s="378">
        <v>2.34E-5</v>
      </c>
      <c r="D493" s="378"/>
      <c r="E493" s="417">
        <v>12460</v>
      </c>
      <c r="F493" s="417">
        <v>7742</v>
      </c>
      <c r="G493" s="417">
        <v>873</v>
      </c>
      <c r="H493" s="417">
        <v>-15689</v>
      </c>
      <c r="I493" s="417">
        <v>0</v>
      </c>
      <c r="J493" s="378">
        <v>2.34E-5</v>
      </c>
      <c r="K493" s="378"/>
      <c r="L493" s="417">
        <v>5729</v>
      </c>
      <c r="M493" s="417">
        <v>3956</v>
      </c>
      <c r="N493" s="417">
        <v>1732</v>
      </c>
      <c r="O493" s="417">
        <v>0</v>
      </c>
      <c r="P493" s="417">
        <v>0</v>
      </c>
      <c r="Q493" s="378">
        <v>2.34E-5</v>
      </c>
      <c r="R493" s="378"/>
      <c r="S493" s="417">
        <v>-11755</v>
      </c>
      <c r="T493" s="417">
        <v>-11619</v>
      </c>
      <c r="U493" s="417">
        <v>-12207</v>
      </c>
      <c r="V493" s="417">
        <v>-15689</v>
      </c>
      <c r="W493" s="417">
        <v>0</v>
      </c>
      <c r="X493" s="378">
        <v>2.34E-5</v>
      </c>
      <c r="Z493" s="417">
        <v>9374</v>
      </c>
      <c r="AA493" s="417">
        <v>6586</v>
      </c>
      <c r="AB493" s="417">
        <v>6586</v>
      </c>
      <c r="AC493" s="417">
        <v>0</v>
      </c>
      <c r="AD493" s="417">
        <v>0</v>
      </c>
      <c r="AE493" s="378">
        <v>2.34E-5</v>
      </c>
      <c r="AF493" s="378"/>
      <c r="AG493" s="417">
        <v>9112</v>
      </c>
      <c r="AH493" s="417">
        <v>8819</v>
      </c>
      <c r="AI493" s="417">
        <v>4762</v>
      </c>
      <c r="AJ493" s="417">
        <v>0</v>
      </c>
      <c r="AK493" s="417">
        <v>0</v>
      </c>
      <c r="AL493" s="378">
        <v>2.34E-5</v>
      </c>
      <c r="AM493" s="378"/>
      <c r="AN493" s="417">
        <v>0</v>
      </c>
      <c r="AO493" s="417">
        <v>0</v>
      </c>
      <c r="AP493" s="417">
        <v>0</v>
      </c>
      <c r="AQ493" s="417">
        <v>0</v>
      </c>
      <c r="AR493" s="417">
        <v>0</v>
      </c>
    </row>
    <row r="494" spans="1:44">
      <c r="A494" s="377">
        <v>95123</v>
      </c>
      <c r="B494" t="s">
        <v>1195</v>
      </c>
      <c r="C494" s="378">
        <v>5.6799999999999998E-5</v>
      </c>
      <c r="D494" s="378"/>
      <c r="E494" s="417">
        <v>8882</v>
      </c>
      <c r="F494" s="417">
        <v>-1895</v>
      </c>
      <c r="G494" s="417">
        <v>-9423</v>
      </c>
      <c r="H494" s="417">
        <v>-38083</v>
      </c>
      <c r="I494" s="417">
        <v>0</v>
      </c>
      <c r="J494" s="378">
        <v>5.6799999999999998E-5</v>
      </c>
      <c r="K494" s="378"/>
      <c r="L494" s="417">
        <v>13905</v>
      </c>
      <c r="M494" s="417">
        <v>9603</v>
      </c>
      <c r="N494" s="417">
        <v>4204</v>
      </c>
      <c r="O494" s="417">
        <v>0</v>
      </c>
      <c r="P494" s="417">
        <v>0</v>
      </c>
      <c r="Q494" s="378">
        <v>5.6799999999999998E-5</v>
      </c>
      <c r="R494" s="378"/>
      <c r="S494" s="417">
        <v>-28535</v>
      </c>
      <c r="T494" s="417">
        <v>-28204</v>
      </c>
      <c r="U494" s="417">
        <v>-29630</v>
      </c>
      <c r="V494" s="417">
        <v>-38083</v>
      </c>
      <c r="W494" s="417">
        <v>0</v>
      </c>
      <c r="X494" s="378">
        <v>5.6799999999999998E-5</v>
      </c>
      <c r="Z494" s="417">
        <v>22754</v>
      </c>
      <c r="AA494" s="417">
        <v>15986</v>
      </c>
      <c r="AB494" s="417">
        <v>15986</v>
      </c>
      <c r="AC494" s="417">
        <v>0</v>
      </c>
      <c r="AD494" s="417">
        <v>0</v>
      </c>
      <c r="AE494" s="378">
        <v>5.6799999999999998E-5</v>
      </c>
      <c r="AF494" s="378"/>
      <c r="AG494" s="417">
        <v>1171</v>
      </c>
      <c r="AH494" s="417">
        <v>1132</v>
      </c>
      <c r="AI494" s="417">
        <v>17</v>
      </c>
      <c r="AJ494" s="417">
        <v>0</v>
      </c>
      <c r="AK494" s="417">
        <v>0</v>
      </c>
      <c r="AL494" s="378">
        <v>5.6799999999999998E-5</v>
      </c>
      <c r="AM494" s="378"/>
      <c r="AN494" s="417">
        <v>-413</v>
      </c>
      <c r="AO494" s="417">
        <v>-412</v>
      </c>
      <c r="AP494" s="417">
        <v>0</v>
      </c>
      <c r="AQ494" s="417">
        <v>0</v>
      </c>
      <c r="AR494" s="417">
        <v>0</v>
      </c>
    </row>
    <row r="495" spans="1:44">
      <c r="A495" s="377">
        <v>95131</v>
      </c>
      <c r="B495" t="s">
        <v>1196</v>
      </c>
      <c r="C495" s="378">
        <v>1.8209000000000001E-3</v>
      </c>
      <c r="D495" s="378"/>
      <c r="E495" s="417">
        <v>281914</v>
      </c>
      <c r="F495" s="417">
        <v>-68570</v>
      </c>
      <c r="G495" s="417">
        <v>-318489</v>
      </c>
      <c r="H495" s="417">
        <v>-1220866</v>
      </c>
      <c r="I495" s="417">
        <v>0</v>
      </c>
      <c r="J495" s="378">
        <v>1.8209000000000001E-3</v>
      </c>
      <c r="K495" s="378"/>
      <c r="L495" s="417">
        <v>445771</v>
      </c>
      <c r="M495" s="417">
        <v>307863</v>
      </c>
      <c r="N495" s="417">
        <v>134768</v>
      </c>
      <c r="O495" s="417">
        <v>0</v>
      </c>
      <c r="P495" s="417">
        <v>0</v>
      </c>
      <c r="Q495" s="378">
        <v>1.8209000000000001E-3</v>
      </c>
      <c r="R495" s="378"/>
      <c r="S495" s="417">
        <v>-914762</v>
      </c>
      <c r="T495" s="417">
        <v>-904177</v>
      </c>
      <c r="U495" s="417">
        <v>-949874</v>
      </c>
      <c r="V495" s="417">
        <v>-1220866</v>
      </c>
      <c r="W495" s="417">
        <v>0</v>
      </c>
      <c r="X495" s="378">
        <v>1.8209000000000001E-3</v>
      </c>
      <c r="Z495" s="417">
        <v>729456</v>
      </c>
      <c r="AA495" s="417">
        <v>512483</v>
      </c>
      <c r="AB495" s="417">
        <v>512480</v>
      </c>
      <c r="AC495" s="417">
        <v>0</v>
      </c>
      <c r="AD495" s="417">
        <v>0</v>
      </c>
      <c r="AE495" s="378">
        <v>1.8209000000000001E-3</v>
      </c>
      <c r="AF495" s="378"/>
      <c r="AG495" s="417">
        <v>37313</v>
      </c>
      <c r="AH495" s="417">
        <v>31125</v>
      </c>
      <c r="AI495" s="417">
        <v>0</v>
      </c>
      <c r="AJ495" s="417">
        <v>0</v>
      </c>
      <c r="AK495" s="417">
        <v>0</v>
      </c>
      <c r="AL495" s="378">
        <v>1.8209000000000001E-3</v>
      </c>
      <c r="AM495" s="378"/>
      <c r="AN495" s="417">
        <v>-15864</v>
      </c>
      <c r="AO495" s="417">
        <v>-15864</v>
      </c>
      <c r="AP495" s="417">
        <v>-15863</v>
      </c>
      <c r="AQ495" s="417">
        <v>0</v>
      </c>
      <c r="AR495" s="417">
        <v>0</v>
      </c>
    </row>
    <row r="496" spans="1:44">
      <c r="A496" s="377">
        <v>95141</v>
      </c>
      <c r="B496" t="s">
        <v>1197</v>
      </c>
      <c r="C496" s="378">
        <v>4.2129999999999999E-4</v>
      </c>
      <c r="D496" s="378"/>
      <c r="E496" s="417">
        <v>76041</v>
      </c>
      <c r="F496" s="417">
        <v>-1902</v>
      </c>
      <c r="G496" s="417">
        <v>-63392</v>
      </c>
      <c r="H496" s="417">
        <v>-282471</v>
      </c>
      <c r="I496" s="417">
        <v>0</v>
      </c>
      <c r="J496" s="378">
        <v>4.2129999999999999E-4</v>
      </c>
      <c r="K496" s="378"/>
      <c r="L496" s="417">
        <v>103138</v>
      </c>
      <c r="M496" s="417">
        <v>71230</v>
      </c>
      <c r="N496" s="417">
        <v>31181</v>
      </c>
      <c r="O496" s="417">
        <v>0</v>
      </c>
      <c r="P496" s="417">
        <v>0</v>
      </c>
      <c r="Q496" s="378">
        <v>4.2129999999999999E-4</v>
      </c>
      <c r="R496" s="378"/>
      <c r="S496" s="417">
        <v>-211648</v>
      </c>
      <c r="T496" s="417">
        <v>-209199</v>
      </c>
      <c r="U496" s="417">
        <v>-219772</v>
      </c>
      <c r="V496" s="417">
        <v>-282471</v>
      </c>
      <c r="W496" s="417">
        <v>0</v>
      </c>
      <c r="X496" s="378">
        <v>4.2129999999999999E-4</v>
      </c>
      <c r="Z496" s="417">
        <v>168774</v>
      </c>
      <c r="AA496" s="417">
        <v>118573</v>
      </c>
      <c r="AB496" s="417">
        <v>118572</v>
      </c>
      <c r="AC496" s="417">
        <v>0</v>
      </c>
      <c r="AD496" s="417">
        <v>0</v>
      </c>
      <c r="AE496" s="378">
        <v>4.2129999999999999E-4</v>
      </c>
      <c r="AF496" s="378"/>
      <c r="AG496" s="417">
        <v>17496</v>
      </c>
      <c r="AH496" s="417">
        <v>17494</v>
      </c>
      <c r="AI496" s="417">
        <v>6627</v>
      </c>
      <c r="AJ496" s="417">
        <v>0</v>
      </c>
      <c r="AK496" s="417">
        <v>0</v>
      </c>
      <c r="AL496" s="378">
        <v>4.2129999999999999E-4</v>
      </c>
      <c r="AM496" s="378"/>
      <c r="AN496" s="417">
        <v>-1719</v>
      </c>
      <c r="AO496" s="417">
        <v>0</v>
      </c>
      <c r="AP496" s="417">
        <v>0</v>
      </c>
      <c r="AQ496" s="417">
        <v>0</v>
      </c>
      <c r="AR496" s="417">
        <v>0</v>
      </c>
    </row>
    <row r="497" spans="1:44">
      <c r="A497" s="377">
        <v>95151</v>
      </c>
      <c r="B497" t="s">
        <v>1198</v>
      </c>
      <c r="C497" s="378">
        <v>1.2540000000000001E-4</v>
      </c>
      <c r="D497" s="378"/>
      <c r="E497" s="417">
        <v>19149</v>
      </c>
      <c r="F497" s="417">
        <v>-4622</v>
      </c>
      <c r="G497" s="417">
        <v>-20525</v>
      </c>
      <c r="H497" s="417">
        <v>-84077</v>
      </c>
      <c r="I497" s="417">
        <v>0</v>
      </c>
      <c r="J497" s="378">
        <v>1.2540000000000001E-4</v>
      </c>
      <c r="K497" s="378"/>
      <c r="L497" s="417">
        <v>30699</v>
      </c>
      <c r="M497" s="417">
        <v>21202</v>
      </c>
      <c r="N497" s="417">
        <v>9281</v>
      </c>
      <c r="O497" s="417">
        <v>0</v>
      </c>
      <c r="P497" s="417">
        <v>0</v>
      </c>
      <c r="Q497" s="378">
        <v>1.2540000000000001E-4</v>
      </c>
      <c r="R497" s="378"/>
      <c r="S497" s="417">
        <v>-62997</v>
      </c>
      <c r="T497" s="417">
        <v>-62268</v>
      </c>
      <c r="U497" s="417">
        <v>-65415</v>
      </c>
      <c r="V497" s="417">
        <v>-84077</v>
      </c>
      <c r="W497" s="417">
        <v>0</v>
      </c>
      <c r="X497" s="378">
        <v>1.2540000000000001E-4</v>
      </c>
      <c r="Z497" s="417">
        <v>50235</v>
      </c>
      <c r="AA497" s="417">
        <v>35293</v>
      </c>
      <c r="AB497" s="417">
        <v>35293</v>
      </c>
      <c r="AC497" s="417">
        <v>0</v>
      </c>
      <c r="AD497" s="417">
        <v>0</v>
      </c>
      <c r="AE497" s="378">
        <v>1.2540000000000001E-4</v>
      </c>
      <c r="AF497" s="378"/>
      <c r="AG497" s="417">
        <v>2840</v>
      </c>
      <c r="AH497" s="417">
        <v>2778</v>
      </c>
      <c r="AI497" s="417">
        <v>316</v>
      </c>
      <c r="AJ497" s="417">
        <v>0</v>
      </c>
      <c r="AK497" s="417">
        <v>0</v>
      </c>
      <c r="AL497" s="378">
        <v>1.2540000000000001E-4</v>
      </c>
      <c r="AM497" s="378"/>
      <c r="AN497" s="417">
        <v>-1628</v>
      </c>
      <c r="AO497" s="417">
        <v>-1627</v>
      </c>
      <c r="AP497" s="417">
        <v>0</v>
      </c>
      <c r="AQ497" s="417">
        <v>0</v>
      </c>
      <c r="AR497" s="417">
        <v>0</v>
      </c>
    </row>
    <row r="498" spans="1:44">
      <c r="A498" s="377">
        <v>95161</v>
      </c>
      <c r="B498" t="s">
        <v>1199</v>
      </c>
      <c r="C498" s="378">
        <v>6.8200000000000004E-5</v>
      </c>
      <c r="D498" s="378"/>
      <c r="E498" s="417">
        <v>11794</v>
      </c>
      <c r="F498" s="417">
        <v>-2761</v>
      </c>
      <c r="G498" s="417">
        <v>-13911</v>
      </c>
      <c r="H498" s="417">
        <v>-45726</v>
      </c>
      <c r="I498" s="417">
        <v>0</v>
      </c>
      <c r="J498" s="378">
        <v>6.8200000000000004E-5</v>
      </c>
      <c r="K498" s="378"/>
      <c r="L498" s="417">
        <v>16696</v>
      </c>
      <c r="M498" s="417">
        <v>11531</v>
      </c>
      <c r="N498" s="417">
        <v>5048</v>
      </c>
      <c r="O498" s="417">
        <v>0</v>
      </c>
      <c r="P498" s="417">
        <v>0</v>
      </c>
      <c r="Q498" s="378">
        <v>6.8200000000000004E-5</v>
      </c>
      <c r="R498" s="378"/>
      <c r="S498" s="417">
        <v>-34261</v>
      </c>
      <c r="T498" s="417">
        <v>-33865</v>
      </c>
      <c r="U498" s="417">
        <v>-35577</v>
      </c>
      <c r="V498" s="417">
        <v>-45726</v>
      </c>
      <c r="W498" s="417">
        <v>0</v>
      </c>
      <c r="X498" s="378">
        <v>6.8200000000000004E-5</v>
      </c>
      <c r="Z498" s="417">
        <v>27321</v>
      </c>
      <c r="AA498" s="417">
        <v>19195</v>
      </c>
      <c r="AB498" s="417">
        <v>19194</v>
      </c>
      <c r="AC498" s="417">
        <v>0</v>
      </c>
      <c r="AD498" s="417">
        <v>0</v>
      </c>
      <c r="AE498" s="378">
        <v>6.8200000000000004E-5</v>
      </c>
      <c r="AF498" s="378"/>
      <c r="AG498" s="417">
        <v>4615</v>
      </c>
      <c r="AH498" s="417">
        <v>2955</v>
      </c>
      <c r="AI498" s="417">
        <v>0</v>
      </c>
      <c r="AJ498" s="417">
        <v>0</v>
      </c>
      <c r="AK498" s="417">
        <v>0</v>
      </c>
      <c r="AL498" s="378">
        <v>6.8200000000000004E-5</v>
      </c>
      <c r="AM498" s="378"/>
      <c r="AN498" s="417">
        <v>-2577</v>
      </c>
      <c r="AO498" s="417">
        <v>-2577</v>
      </c>
      <c r="AP498" s="417">
        <v>-2576</v>
      </c>
      <c r="AQ498" s="417">
        <v>0</v>
      </c>
      <c r="AR498" s="417">
        <v>0</v>
      </c>
    </row>
    <row r="499" spans="1:44">
      <c r="A499" s="377">
        <v>95171</v>
      </c>
      <c r="B499" t="s">
        <v>1200</v>
      </c>
      <c r="C499" s="378">
        <v>1.0009999999999999E-4</v>
      </c>
      <c r="D499" s="378"/>
      <c r="E499" s="417">
        <v>10630</v>
      </c>
      <c r="F499" s="417">
        <v>-6233</v>
      </c>
      <c r="G499" s="417">
        <v>-28970</v>
      </c>
      <c r="H499" s="417">
        <v>-67114</v>
      </c>
      <c r="I499" s="417">
        <v>0</v>
      </c>
      <c r="J499" s="378">
        <v>1.0009999999999999E-4</v>
      </c>
      <c r="K499" s="378"/>
      <c r="L499" s="417">
        <v>24505</v>
      </c>
      <c r="M499" s="417">
        <v>16924</v>
      </c>
      <c r="N499" s="417">
        <v>7409</v>
      </c>
      <c r="O499" s="417">
        <v>0</v>
      </c>
      <c r="P499" s="417">
        <v>0</v>
      </c>
      <c r="Q499" s="378">
        <v>1.0009999999999999E-4</v>
      </c>
      <c r="R499" s="378"/>
      <c r="S499" s="417">
        <v>-50287</v>
      </c>
      <c r="T499" s="417">
        <v>-49705</v>
      </c>
      <c r="U499" s="417">
        <v>-52217</v>
      </c>
      <c r="V499" s="417">
        <v>-67114</v>
      </c>
      <c r="W499" s="417">
        <v>0</v>
      </c>
      <c r="X499" s="378">
        <v>1.0009999999999999E-4</v>
      </c>
      <c r="Z499" s="417">
        <v>40100</v>
      </c>
      <c r="AA499" s="417">
        <v>28173</v>
      </c>
      <c r="AB499" s="417">
        <v>28172</v>
      </c>
      <c r="AC499" s="417">
        <v>0</v>
      </c>
      <c r="AD499" s="417">
        <v>0</v>
      </c>
      <c r="AE499" s="378">
        <v>1.0009999999999999E-4</v>
      </c>
      <c r="AF499" s="378"/>
      <c r="AG499" s="417">
        <v>10711</v>
      </c>
      <c r="AH499" s="417">
        <v>10711</v>
      </c>
      <c r="AI499" s="417">
        <v>0</v>
      </c>
      <c r="AJ499" s="417">
        <v>0</v>
      </c>
      <c r="AK499" s="417">
        <v>0</v>
      </c>
      <c r="AL499" s="378">
        <v>1.0009999999999999E-4</v>
      </c>
      <c r="AM499" s="378"/>
      <c r="AN499" s="417">
        <v>-14399</v>
      </c>
      <c r="AO499" s="417">
        <v>-12336</v>
      </c>
      <c r="AP499" s="417">
        <v>-12334</v>
      </c>
      <c r="AQ499" s="417">
        <v>0</v>
      </c>
      <c r="AR499" s="417">
        <v>0</v>
      </c>
    </row>
    <row r="500" spans="1:44">
      <c r="A500" s="377">
        <v>95181</v>
      </c>
      <c r="B500" t="s">
        <v>1201</v>
      </c>
      <c r="C500" s="378">
        <v>7.36E-5</v>
      </c>
      <c r="D500" s="378"/>
      <c r="E500" s="417">
        <v>12637</v>
      </c>
      <c r="F500" s="417">
        <v>-345</v>
      </c>
      <c r="G500" s="417">
        <v>-11249</v>
      </c>
      <c r="H500" s="417">
        <v>-49347</v>
      </c>
      <c r="I500" s="417">
        <v>0</v>
      </c>
      <c r="J500" s="378">
        <v>7.36E-5</v>
      </c>
      <c r="K500" s="378"/>
      <c r="L500" s="417">
        <v>18018</v>
      </c>
      <c r="M500" s="417">
        <v>12444</v>
      </c>
      <c r="N500" s="417">
        <v>5447</v>
      </c>
      <c r="O500" s="417">
        <v>0</v>
      </c>
      <c r="P500" s="417">
        <v>0</v>
      </c>
      <c r="Q500" s="378">
        <v>7.36E-5</v>
      </c>
      <c r="R500" s="378"/>
      <c r="S500" s="417">
        <v>-36974</v>
      </c>
      <c r="T500" s="417">
        <v>-36546</v>
      </c>
      <c r="U500" s="417">
        <v>-38394</v>
      </c>
      <c r="V500" s="417">
        <v>-49347</v>
      </c>
      <c r="W500" s="417">
        <v>0</v>
      </c>
      <c r="X500" s="378">
        <v>7.36E-5</v>
      </c>
      <c r="Z500" s="417">
        <v>29484</v>
      </c>
      <c r="AA500" s="417">
        <v>20714</v>
      </c>
      <c r="AB500" s="417">
        <v>20714</v>
      </c>
      <c r="AC500" s="417">
        <v>0</v>
      </c>
      <c r="AD500" s="417">
        <v>0</v>
      </c>
      <c r="AE500" s="378">
        <v>7.36E-5</v>
      </c>
      <c r="AF500" s="378"/>
      <c r="AG500" s="417">
        <v>6131</v>
      </c>
      <c r="AH500" s="417">
        <v>6132</v>
      </c>
      <c r="AI500" s="417">
        <v>984</v>
      </c>
      <c r="AJ500" s="417">
        <v>0</v>
      </c>
      <c r="AK500" s="417">
        <v>0</v>
      </c>
      <c r="AL500" s="378">
        <v>7.36E-5</v>
      </c>
      <c r="AM500" s="378"/>
      <c r="AN500" s="417">
        <v>-4022</v>
      </c>
      <c r="AO500" s="417">
        <v>-3089</v>
      </c>
      <c r="AP500" s="417">
        <v>0</v>
      </c>
      <c r="AQ500" s="417">
        <v>0</v>
      </c>
      <c r="AR500" s="417">
        <v>0</v>
      </c>
    </row>
    <row r="501" spans="1:44">
      <c r="A501" s="377">
        <v>95191</v>
      </c>
      <c r="B501" t="s">
        <v>1202</v>
      </c>
      <c r="C501" s="378">
        <v>7.0400000000000004E-5</v>
      </c>
      <c r="D501" s="378"/>
      <c r="E501" s="417">
        <v>21953</v>
      </c>
      <c r="F501" s="417">
        <v>7829</v>
      </c>
      <c r="G501" s="417">
        <v>-9145</v>
      </c>
      <c r="H501" s="417">
        <v>-47201</v>
      </c>
      <c r="I501" s="417">
        <v>0</v>
      </c>
      <c r="J501" s="378">
        <v>7.0400000000000004E-5</v>
      </c>
      <c r="K501" s="378"/>
      <c r="L501" s="417">
        <v>17234</v>
      </c>
      <c r="M501" s="417">
        <v>11903</v>
      </c>
      <c r="N501" s="417">
        <v>5210</v>
      </c>
      <c r="O501" s="417">
        <v>0</v>
      </c>
      <c r="P501" s="417">
        <v>0</v>
      </c>
      <c r="Q501" s="378">
        <v>7.0400000000000004E-5</v>
      </c>
      <c r="R501" s="378"/>
      <c r="S501" s="417">
        <v>-35367</v>
      </c>
      <c r="T501" s="417">
        <v>-34957</v>
      </c>
      <c r="U501" s="417">
        <v>-36724</v>
      </c>
      <c r="V501" s="417">
        <v>-47201</v>
      </c>
      <c r="W501" s="417">
        <v>0</v>
      </c>
      <c r="X501" s="378">
        <v>7.0400000000000004E-5</v>
      </c>
      <c r="Z501" s="417">
        <v>28202</v>
      </c>
      <c r="AA501" s="417">
        <v>19814</v>
      </c>
      <c r="AB501" s="417">
        <v>19814</v>
      </c>
      <c r="AC501" s="417">
        <v>0</v>
      </c>
      <c r="AD501" s="417">
        <v>0</v>
      </c>
      <c r="AE501" s="378">
        <v>7.0400000000000004E-5</v>
      </c>
      <c r="AF501" s="378"/>
      <c r="AG501" s="417">
        <v>11884</v>
      </c>
      <c r="AH501" s="417">
        <v>11069</v>
      </c>
      <c r="AI501" s="417">
        <v>2555</v>
      </c>
      <c r="AJ501" s="417">
        <v>0</v>
      </c>
      <c r="AK501" s="417">
        <v>0</v>
      </c>
      <c r="AL501" s="378">
        <v>7.0400000000000004E-5</v>
      </c>
      <c r="AM501" s="378"/>
      <c r="AN501" s="417">
        <v>0</v>
      </c>
      <c r="AO501" s="417">
        <v>0</v>
      </c>
      <c r="AP501" s="417">
        <v>0</v>
      </c>
      <c r="AQ501" s="417">
        <v>0</v>
      </c>
      <c r="AR501" s="417">
        <v>0</v>
      </c>
    </row>
    <row r="502" spans="1:44">
      <c r="A502" s="377">
        <v>95201</v>
      </c>
      <c r="B502" t="s">
        <v>1203</v>
      </c>
      <c r="C502" s="378">
        <v>6.3869999999999997E-4</v>
      </c>
      <c r="D502" s="378"/>
      <c r="E502" s="417">
        <v>49357</v>
      </c>
      <c r="F502" s="417">
        <v>-66249</v>
      </c>
      <c r="G502" s="417">
        <v>-147004</v>
      </c>
      <c r="H502" s="417">
        <v>-428232</v>
      </c>
      <c r="I502" s="417">
        <v>0</v>
      </c>
      <c r="J502" s="378">
        <v>6.3869999999999997E-4</v>
      </c>
      <c r="K502" s="378"/>
      <c r="L502" s="417">
        <v>156359</v>
      </c>
      <c r="M502" s="417">
        <v>107986</v>
      </c>
      <c r="N502" s="417">
        <v>47271</v>
      </c>
      <c r="O502" s="417">
        <v>0</v>
      </c>
      <c r="P502" s="417">
        <v>0</v>
      </c>
      <c r="Q502" s="378">
        <v>6.3869999999999997E-4</v>
      </c>
      <c r="R502" s="378"/>
      <c r="S502" s="417">
        <v>-320862</v>
      </c>
      <c r="T502" s="417">
        <v>-317150</v>
      </c>
      <c r="U502" s="417">
        <v>-333178</v>
      </c>
      <c r="V502" s="417">
        <v>-428232</v>
      </c>
      <c r="W502" s="417">
        <v>0</v>
      </c>
      <c r="X502" s="378">
        <v>6.3869999999999997E-4</v>
      </c>
      <c r="Z502" s="417">
        <v>255864</v>
      </c>
      <c r="AA502" s="417">
        <v>179759</v>
      </c>
      <c r="AB502" s="417">
        <v>179758</v>
      </c>
      <c r="AC502" s="417">
        <v>0</v>
      </c>
      <c r="AD502" s="417">
        <v>0</v>
      </c>
      <c r="AE502" s="378">
        <v>6.3869999999999997E-4</v>
      </c>
      <c r="AF502" s="378"/>
      <c r="AG502" s="417">
        <v>14417</v>
      </c>
      <c r="AH502" s="417">
        <v>14417</v>
      </c>
      <c r="AI502" s="417">
        <v>0</v>
      </c>
      <c r="AJ502" s="417">
        <v>0</v>
      </c>
      <c r="AK502" s="417">
        <v>0</v>
      </c>
      <c r="AL502" s="378">
        <v>6.3869999999999997E-4</v>
      </c>
      <c r="AM502" s="378"/>
      <c r="AN502" s="417">
        <v>-56421</v>
      </c>
      <c r="AO502" s="417">
        <v>-51261</v>
      </c>
      <c r="AP502" s="417">
        <v>-40855</v>
      </c>
      <c r="AQ502" s="417">
        <v>0</v>
      </c>
      <c r="AR502" s="417">
        <v>0</v>
      </c>
    </row>
    <row r="503" spans="1:44">
      <c r="A503" s="377">
        <v>95204</v>
      </c>
      <c r="B503" t="s">
        <v>1204</v>
      </c>
      <c r="C503" s="378">
        <v>4.7999999999999998E-6</v>
      </c>
      <c r="D503" s="378"/>
      <c r="E503" s="417">
        <v>-207</v>
      </c>
      <c r="F503" s="417">
        <v>-1043</v>
      </c>
      <c r="G503" s="417">
        <v>-2798</v>
      </c>
      <c r="H503" s="417">
        <v>-3218</v>
      </c>
      <c r="I503" s="417">
        <v>0</v>
      </c>
      <c r="J503" s="378">
        <v>4.7999999999999998E-6</v>
      </c>
      <c r="K503" s="378"/>
      <c r="L503" s="417">
        <v>1175</v>
      </c>
      <c r="M503" s="417">
        <v>812</v>
      </c>
      <c r="N503" s="417">
        <v>355</v>
      </c>
      <c r="O503" s="417">
        <v>0</v>
      </c>
      <c r="P503" s="417">
        <v>0</v>
      </c>
      <c r="Q503" s="378">
        <v>4.7999999999999998E-6</v>
      </c>
      <c r="R503" s="378"/>
      <c r="S503" s="417">
        <v>-2411</v>
      </c>
      <c r="T503" s="417">
        <v>-2383</v>
      </c>
      <c r="U503" s="417">
        <v>-2504</v>
      </c>
      <c r="V503" s="417">
        <v>-3218</v>
      </c>
      <c r="W503" s="417">
        <v>0</v>
      </c>
      <c r="X503" s="378">
        <v>4.7999999999999998E-6</v>
      </c>
      <c r="Z503" s="417">
        <v>1923</v>
      </c>
      <c r="AA503" s="417">
        <v>1351</v>
      </c>
      <c r="AB503" s="417">
        <v>1351</v>
      </c>
      <c r="AC503" s="417">
        <v>0</v>
      </c>
      <c r="AD503" s="417">
        <v>0</v>
      </c>
      <c r="AE503" s="378">
        <v>4.7999999999999998E-6</v>
      </c>
      <c r="AF503" s="378"/>
      <c r="AG503" s="417">
        <v>1642</v>
      </c>
      <c r="AH503" s="417">
        <v>1643</v>
      </c>
      <c r="AI503" s="417">
        <v>0</v>
      </c>
      <c r="AJ503" s="417">
        <v>0</v>
      </c>
      <c r="AK503" s="417">
        <v>0</v>
      </c>
      <c r="AL503" s="378">
        <v>4.7999999999999998E-6</v>
      </c>
      <c r="AM503" s="378"/>
      <c r="AN503" s="417">
        <v>-2536</v>
      </c>
      <c r="AO503" s="417">
        <v>-2466</v>
      </c>
      <c r="AP503" s="417">
        <v>-2000</v>
      </c>
      <c r="AQ503" s="417">
        <v>0</v>
      </c>
      <c r="AR503" s="417">
        <v>0</v>
      </c>
    </row>
    <row r="504" spans="1:44">
      <c r="A504" s="377">
        <v>95205</v>
      </c>
      <c r="B504" t="s">
        <v>1205</v>
      </c>
      <c r="C504" s="378">
        <v>3.8999999999999999E-6</v>
      </c>
      <c r="D504" s="378"/>
      <c r="E504" s="417">
        <v>1949</v>
      </c>
      <c r="F504" s="417">
        <v>1450</v>
      </c>
      <c r="G504" s="417">
        <v>106</v>
      </c>
      <c r="H504" s="417">
        <v>-2615</v>
      </c>
      <c r="I504" s="417">
        <v>0</v>
      </c>
      <c r="J504" s="378">
        <v>3.8999999999999999E-6</v>
      </c>
      <c r="K504" s="378"/>
      <c r="L504" s="417">
        <v>955</v>
      </c>
      <c r="M504" s="417">
        <v>659</v>
      </c>
      <c r="N504" s="417">
        <v>289</v>
      </c>
      <c r="O504" s="417">
        <v>0</v>
      </c>
      <c r="P504" s="417">
        <v>0</v>
      </c>
      <c r="Q504" s="378">
        <v>3.8999999999999999E-6</v>
      </c>
      <c r="R504" s="378"/>
      <c r="S504" s="417">
        <v>-1959</v>
      </c>
      <c r="T504" s="417">
        <v>-1937</v>
      </c>
      <c r="U504" s="417">
        <v>-2034</v>
      </c>
      <c r="V504" s="417">
        <v>-2615</v>
      </c>
      <c r="W504" s="417">
        <v>0</v>
      </c>
      <c r="X504" s="378">
        <v>3.8999999999999999E-6</v>
      </c>
      <c r="Z504" s="417">
        <v>1562</v>
      </c>
      <c r="AA504" s="417">
        <v>1098</v>
      </c>
      <c r="AB504" s="417">
        <v>1098</v>
      </c>
      <c r="AC504" s="417">
        <v>0</v>
      </c>
      <c r="AD504" s="417">
        <v>0</v>
      </c>
      <c r="AE504" s="378">
        <v>3.8999999999999999E-6</v>
      </c>
      <c r="AF504" s="378"/>
      <c r="AG504" s="417">
        <v>1629</v>
      </c>
      <c r="AH504" s="417">
        <v>1630</v>
      </c>
      <c r="AI504" s="417">
        <v>753</v>
      </c>
      <c r="AJ504" s="417">
        <v>0</v>
      </c>
      <c r="AK504" s="417">
        <v>0</v>
      </c>
      <c r="AL504" s="378">
        <v>3.8999999999999999E-6</v>
      </c>
      <c r="AM504" s="378"/>
      <c r="AN504" s="417">
        <v>-238</v>
      </c>
      <c r="AO504" s="417">
        <v>0</v>
      </c>
      <c r="AP504" s="417">
        <v>0</v>
      </c>
      <c r="AQ504" s="417">
        <v>0</v>
      </c>
      <c r="AR504" s="417">
        <v>0</v>
      </c>
    </row>
    <row r="505" spans="1:44">
      <c r="A505" s="377">
        <v>95211</v>
      </c>
      <c r="B505" t="s">
        <v>1206</v>
      </c>
      <c r="C505" s="378">
        <v>1.7E-6</v>
      </c>
      <c r="D505" s="378"/>
      <c r="E505" s="417">
        <v>-1025</v>
      </c>
      <c r="F505" s="417">
        <v>-959</v>
      </c>
      <c r="G505" s="417">
        <v>-27</v>
      </c>
      <c r="H505" s="417">
        <v>-1140</v>
      </c>
      <c r="I505" s="417">
        <v>0</v>
      </c>
      <c r="J505" s="378">
        <v>1.7E-6</v>
      </c>
      <c r="K505" s="378"/>
      <c r="L505" s="417">
        <v>416</v>
      </c>
      <c r="M505" s="417">
        <v>287</v>
      </c>
      <c r="N505" s="417">
        <v>126</v>
      </c>
      <c r="O505" s="417">
        <v>0</v>
      </c>
      <c r="P505" s="417">
        <v>0</v>
      </c>
      <c r="Q505" s="378">
        <v>1.7E-6</v>
      </c>
      <c r="R505" s="378"/>
      <c r="S505" s="417">
        <v>-854</v>
      </c>
      <c r="T505" s="417">
        <v>-844</v>
      </c>
      <c r="U505" s="417">
        <v>-887</v>
      </c>
      <c r="V505" s="417">
        <v>-1140</v>
      </c>
      <c r="W505" s="417">
        <v>0</v>
      </c>
      <c r="X505" s="378">
        <v>1.7E-6</v>
      </c>
      <c r="Z505" s="417">
        <v>681</v>
      </c>
      <c r="AA505" s="417">
        <v>478</v>
      </c>
      <c r="AB505" s="417">
        <v>478</v>
      </c>
      <c r="AC505" s="417">
        <v>0</v>
      </c>
      <c r="AD505" s="417">
        <v>0</v>
      </c>
      <c r="AE505" s="378">
        <v>1.7E-6</v>
      </c>
      <c r="AF505" s="378"/>
      <c r="AG505" s="417">
        <v>272</v>
      </c>
      <c r="AH505" s="417">
        <v>273</v>
      </c>
      <c r="AI505" s="417">
        <v>256</v>
      </c>
      <c r="AJ505" s="417">
        <v>0</v>
      </c>
      <c r="AK505" s="417">
        <v>0</v>
      </c>
      <c r="AL505" s="378">
        <v>1.7E-6</v>
      </c>
      <c r="AM505" s="378"/>
      <c r="AN505" s="417">
        <v>-1540</v>
      </c>
      <c r="AO505" s="417">
        <v>-1153</v>
      </c>
      <c r="AP505" s="417">
        <v>0</v>
      </c>
      <c r="AQ505" s="417">
        <v>0</v>
      </c>
      <c r="AR505" s="417">
        <v>0</v>
      </c>
    </row>
    <row r="506" spans="1:44">
      <c r="A506" s="377">
        <v>95221</v>
      </c>
      <c r="B506" t="s">
        <v>1207</v>
      </c>
      <c r="C506" s="378">
        <v>5.0599999999999997E-5</v>
      </c>
      <c r="D506" s="378"/>
      <c r="E506" s="417">
        <v>5240</v>
      </c>
      <c r="F506" s="417">
        <v>-5942</v>
      </c>
      <c r="G506" s="417">
        <v>-4838</v>
      </c>
      <c r="H506" s="417">
        <v>-33926</v>
      </c>
      <c r="I506" s="417">
        <v>0</v>
      </c>
      <c r="J506" s="378">
        <v>5.0599999999999997E-5</v>
      </c>
      <c r="K506" s="378"/>
      <c r="L506" s="417">
        <v>12387</v>
      </c>
      <c r="M506" s="417">
        <v>8555</v>
      </c>
      <c r="N506" s="417">
        <v>3745</v>
      </c>
      <c r="O506" s="417">
        <v>0</v>
      </c>
      <c r="P506" s="417">
        <v>0</v>
      </c>
      <c r="Q506" s="378">
        <v>5.0599999999999997E-5</v>
      </c>
      <c r="R506" s="378"/>
      <c r="S506" s="417">
        <v>-25420</v>
      </c>
      <c r="T506" s="417">
        <v>-25126</v>
      </c>
      <c r="U506" s="417">
        <v>-26396</v>
      </c>
      <c r="V506" s="417">
        <v>-33926</v>
      </c>
      <c r="W506" s="417">
        <v>0</v>
      </c>
      <c r="X506" s="378">
        <v>5.0599999999999997E-5</v>
      </c>
      <c r="Z506" s="417">
        <v>20270</v>
      </c>
      <c r="AA506" s="417">
        <v>14241</v>
      </c>
      <c r="AB506" s="417">
        <v>14241</v>
      </c>
      <c r="AC506" s="417">
        <v>0</v>
      </c>
      <c r="AD506" s="417">
        <v>0</v>
      </c>
      <c r="AE506" s="378">
        <v>5.0599999999999997E-5</v>
      </c>
      <c r="AF506" s="378"/>
      <c r="AG506" s="417">
        <v>5186</v>
      </c>
      <c r="AH506" s="417">
        <v>3571</v>
      </c>
      <c r="AI506" s="417">
        <v>3572</v>
      </c>
      <c r="AJ506" s="417">
        <v>0</v>
      </c>
      <c r="AK506" s="417">
        <v>0</v>
      </c>
      <c r="AL506" s="378">
        <v>5.0599999999999997E-5</v>
      </c>
      <c r="AM506" s="378"/>
      <c r="AN506" s="417">
        <v>-7183</v>
      </c>
      <c r="AO506" s="417">
        <v>-7183</v>
      </c>
      <c r="AP506" s="417">
        <v>0</v>
      </c>
      <c r="AQ506" s="417">
        <v>0</v>
      </c>
      <c r="AR506" s="417">
        <v>0</v>
      </c>
    </row>
    <row r="507" spans="1:44">
      <c r="A507" s="377">
        <v>95301</v>
      </c>
      <c r="B507" t="s">
        <v>1208</v>
      </c>
      <c r="C507" s="378">
        <v>2.2288999999999998E-3</v>
      </c>
      <c r="D507" s="378"/>
      <c r="E507" s="417">
        <v>378762</v>
      </c>
      <c r="F507" s="417">
        <v>-36361</v>
      </c>
      <c r="G507" s="417">
        <v>-332754</v>
      </c>
      <c r="H507" s="417">
        <v>-1494419</v>
      </c>
      <c r="I507" s="417">
        <v>0</v>
      </c>
      <c r="J507" s="378">
        <v>2.2288999999999998E-3</v>
      </c>
      <c r="K507" s="378"/>
      <c r="L507" s="417">
        <v>545653</v>
      </c>
      <c r="M507" s="417">
        <v>376845</v>
      </c>
      <c r="N507" s="417">
        <v>164965</v>
      </c>
      <c r="O507" s="417">
        <v>0</v>
      </c>
      <c r="P507" s="417">
        <v>0</v>
      </c>
      <c r="Q507" s="378">
        <v>2.2288999999999998E-3</v>
      </c>
      <c r="R507" s="378"/>
      <c r="S507" s="417">
        <v>-1119728</v>
      </c>
      <c r="T507" s="417">
        <v>-1106771</v>
      </c>
      <c r="U507" s="417">
        <v>-1162708</v>
      </c>
      <c r="V507" s="417">
        <v>-1494419</v>
      </c>
      <c r="W507" s="417">
        <v>0</v>
      </c>
      <c r="X507" s="378">
        <v>2.2288999999999998E-3</v>
      </c>
      <c r="Z507" s="417">
        <v>892902</v>
      </c>
      <c r="AA507" s="417">
        <v>627313</v>
      </c>
      <c r="AB507" s="417">
        <v>627308</v>
      </c>
      <c r="AC507" s="417">
        <v>0</v>
      </c>
      <c r="AD507" s="417">
        <v>0</v>
      </c>
      <c r="AE507" s="378">
        <v>2.2288999999999998E-3</v>
      </c>
      <c r="AF507" s="378"/>
      <c r="AG507" s="417">
        <v>87592</v>
      </c>
      <c r="AH507" s="417">
        <v>87592</v>
      </c>
      <c r="AI507" s="417">
        <v>37681</v>
      </c>
      <c r="AJ507" s="417">
        <v>0</v>
      </c>
      <c r="AK507" s="417">
        <v>0</v>
      </c>
      <c r="AL507" s="378">
        <v>2.2288999999999998E-3</v>
      </c>
      <c r="AM507" s="378"/>
      <c r="AN507" s="417">
        <v>-27657</v>
      </c>
      <c r="AO507" s="417">
        <v>-21340</v>
      </c>
      <c r="AP507" s="417">
        <v>0</v>
      </c>
      <c r="AQ507" s="417">
        <v>0</v>
      </c>
      <c r="AR507" s="417">
        <v>0</v>
      </c>
    </row>
    <row r="508" spans="1:44">
      <c r="A508" s="377">
        <v>95311</v>
      </c>
      <c r="B508" t="s">
        <v>1209</v>
      </c>
      <c r="C508" s="378">
        <v>2.3481000000000001E-3</v>
      </c>
      <c r="D508" s="378"/>
      <c r="E508" s="417">
        <v>289089</v>
      </c>
      <c r="F508" s="417">
        <v>-157969</v>
      </c>
      <c r="G508" s="417">
        <v>-409969</v>
      </c>
      <c r="H508" s="417">
        <v>-1574340</v>
      </c>
      <c r="I508" s="417">
        <v>0</v>
      </c>
      <c r="J508" s="378">
        <v>2.3481000000000001E-3</v>
      </c>
      <c r="K508" s="378"/>
      <c r="L508" s="417">
        <v>574834</v>
      </c>
      <c r="M508" s="417">
        <v>396998</v>
      </c>
      <c r="N508" s="417">
        <v>173788</v>
      </c>
      <c r="O508" s="417">
        <v>0</v>
      </c>
      <c r="P508" s="417">
        <v>0</v>
      </c>
      <c r="Q508" s="378">
        <v>2.3481000000000001E-3</v>
      </c>
      <c r="R508" s="378"/>
      <c r="S508" s="417">
        <v>-1179610</v>
      </c>
      <c r="T508" s="417">
        <v>-1165961</v>
      </c>
      <c r="U508" s="417">
        <v>-1224889</v>
      </c>
      <c r="V508" s="417">
        <v>-1574340</v>
      </c>
      <c r="W508" s="417">
        <v>0</v>
      </c>
      <c r="X508" s="378">
        <v>2.3481000000000001E-3</v>
      </c>
      <c r="Z508" s="417">
        <v>940654</v>
      </c>
      <c r="AA508" s="417">
        <v>660861</v>
      </c>
      <c r="AB508" s="417">
        <v>660856</v>
      </c>
      <c r="AC508" s="417">
        <v>0</v>
      </c>
      <c r="AD508" s="417">
        <v>0</v>
      </c>
      <c r="AE508" s="378">
        <v>2.3481000000000001E-3</v>
      </c>
      <c r="AF508" s="378"/>
      <c r="AG508" s="417">
        <v>3095</v>
      </c>
      <c r="AH508" s="417">
        <v>18</v>
      </c>
      <c r="AI508" s="417">
        <v>0</v>
      </c>
      <c r="AJ508" s="417">
        <v>0</v>
      </c>
      <c r="AK508" s="417">
        <v>0</v>
      </c>
      <c r="AL508" s="378">
        <v>2.3481000000000001E-3</v>
      </c>
      <c r="AM508" s="378"/>
      <c r="AN508" s="417">
        <v>-49884</v>
      </c>
      <c r="AO508" s="417">
        <v>-49885</v>
      </c>
      <c r="AP508" s="417">
        <v>-19724</v>
      </c>
      <c r="AQ508" s="417">
        <v>0</v>
      </c>
      <c r="AR508" s="417">
        <v>0</v>
      </c>
    </row>
    <row r="509" spans="1:44">
      <c r="A509" s="377">
        <v>95317</v>
      </c>
      <c r="B509" t="s">
        <v>1210</v>
      </c>
      <c r="C509" s="378">
        <v>4.3699999999999998E-5</v>
      </c>
      <c r="D509" s="378"/>
      <c r="E509" s="417">
        <v>15696</v>
      </c>
      <c r="F509" s="417">
        <v>7181</v>
      </c>
      <c r="G509" s="417">
        <v>-2082</v>
      </c>
      <c r="H509" s="417">
        <v>-29300</v>
      </c>
      <c r="I509" s="417">
        <v>0</v>
      </c>
      <c r="J509" s="378">
        <v>4.3699999999999998E-5</v>
      </c>
      <c r="K509" s="378"/>
      <c r="L509" s="417">
        <v>10698</v>
      </c>
      <c r="M509" s="417">
        <v>7388</v>
      </c>
      <c r="N509" s="417">
        <v>3234</v>
      </c>
      <c r="O509" s="417">
        <v>0</v>
      </c>
      <c r="P509" s="417">
        <v>0</v>
      </c>
      <c r="Q509" s="378">
        <v>4.3699999999999998E-5</v>
      </c>
      <c r="R509" s="378"/>
      <c r="S509" s="417">
        <v>-21953</v>
      </c>
      <c r="T509" s="417">
        <v>-21699</v>
      </c>
      <c r="U509" s="417">
        <v>-22796</v>
      </c>
      <c r="V509" s="417">
        <v>-29300</v>
      </c>
      <c r="W509" s="417">
        <v>0</v>
      </c>
      <c r="X509" s="378">
        <v>4.3699999999999998E-5</v>
      </c>
      <c r="Z509" s="417">
        <v>17506</v>
      </c>
      <c r="AA509" s="417">
        <v>12299</v>
      </c>
      <c r="AB509" s="417">
        <v>12299</v>
      </c>
      <c r="AC509" s="417">
        <v>0</v>
      </c>
      <c r="AD509" s="417">
        <v>0</v>
      </c>
      <c r="AE509" s="378">
        <v>4.3699999999999998E-5</v>
      </c>
      <c r="AF509" s="378"/>
      <c r="AG509" s="417">
        <v>9445</v>
      </c>
      <c r="AH509" s="417">
        <v>9193</v>
      </c>
      <c r="AI509" s="417">
        <v>5181</v>
      </c>
      <c r="AJ509" s="417">
        <v>0</v>
      </c>
      <c r="AK509" s="417">
        <v>0</v>
      </c>
      <c r="AL509" s="378">
        <v>4.3699999999999998E-5</v>
      </c>
      <c r="AM509" s="378"/>
      <c r="AN509" s="417">
        <v>0</v>
      </c>
      <c r="AO509" s="417">
        <v>0</v>
      </c>
      <c r="AP509" s="417">
        <v>0</v>
      </c>
      <c r="AQ509" s="417">
        <v>0</v>
      </c>
      <c r="AR509" s="417">
        <v>0</v>
      </c>
    </row>
    <row r="510" spans="1:44">
      <c r="A510" s="377">
        <v>95321</v>
      </c>
      <c r="B510" t="s">
        <v>1211</v>
      </c>
      <c r="C510" s="378">
        <v>3.65E-5</v>
      </c>
      <c r="D510" s="378"/>
      <c r="E510" s="417">
        <v>6772</v>
      </c>
      <c r="F510" s="417">
        <v>-1409</v>
      </c>
      <c r="G510" s="417">
        <v>-6106</v>
      </c>
      <c r="H510" s="417">
        <v>-24472</v>
      </c>
      <c r="I510" s="417">
        <v>0</v>
      </c>
      <c r="J510" s="378">
        <v>3.65E-5</v>
      </c>
      <c r="K510" s="378"/>
      <c r="L510" s="417">
        <v>8935</v>
      </c>
      <c r="M510" s="417">
        <v>6171</v>
      </c>
      <c r="N510" s="417">
        <v>2701</v>
      </c>
      <c r="O510" s="417">
        <v>0</v>
      </c>
      <c r="P510" s="417">
        <v>0</v>
      </c>
      <c r="Q510" s="378">
        <v>3.65E-5</v>
      </c>
      <c r="R510" s="378"/>
      <c r="S510" s="417">
        <v>-18336</v>
      </c>
      <c r="T510" s="417">
        <v>-18124</v>
      </c>
      <c r="U510" s="417">
        <v>-19040</v>
      </c>
      <c r="V510" s="417">
        <v>-24472</v>
      </c>
      <c r="W510" s="417">
        <v>0</v>
      </c>
      <c r="X510" s="378">
        <v>3.65E-5</v>
      </c>
      <c r="Z510" s="417">
        <v>14622</v>
      </c>
      <c r="AA510" s="417">
        <v>10273</v>
      </c>
      <c r="AB510" s="417">
        <v>10273</v>
      </c>
      <c r="AC510" s="417">
        <v>0</v>
      </c>
      <c r="AD510" s="417">
        <v>0</v>
      </c>
      <c r="AE510" s="378">
        <v>3.65E-5</v>
      </c>
      <c r="AF510" s="378"/>
      <c r="AG510" s="417">
        <v>1590</v>
      </c>
      <c r="AH510" s="417">
        <v>310</v>
      </c>
      <c r="AI510" s="417">
        <v>0</v>
      </c>
      <c r="AJ510" s="417">
        <v>0</v>
      </c>
      <c r="AK510" s="417">
        <v>0</v>
      </c>
      <c r="AL510" s="378">
        <v>3.65E-5</v>
      </c>
      <c r="AM510" s="378"/>
      <c r="AN510" s="417">
        <v>-39</v>
      </c>
      <c r="AO510" s="417">
        <v>-39</v>
      </c>
      <c r="AP510" s="417">
        <v>-40</v>
      </c>
      <c r="AQ510" s="417">
        <v>0</v>
      </c>
      <c r="AR510" s="417">
        <v>0</v>
      </c>
    </row>
    <row r="511" spans="1:44">
      <c r="A511" s="377">
        <v>95401</v>
      </c>
      <c r="B511" t="s">
        <v>1212</v>
      </c>
      <c r="C511" s="378">
        <v>2.5170000000000001E-3</v>
      </c>
      <c r="D511" s="378"/>
      <c r="E511" s="417">
        <v>125637</v>
      </c>
      <c r="F511" s="417">
        <v>-320830</v>
      </c>
      <c r="G511" s="417">
        <v>-506790</v>
      </c>
      <c r="H511" s="417">
        <v>-1687583</v>
      </c>
      <c r="I511" s="417">
        <v>0</v>
      </c>
      <c r="J511" s="378">
        <v>2.5170000000000001E-3</v>
      </c>
      <c r="K511" s="378"/>
      <c r="L511" s="417">
        <v>616182</v>
      </c>
      <c r="M511" s="417">
        <v>425554</v>
      </c>
      <c r="N511" s="417">
        <v>186288</v>
      </c>
      <c r="O511" s="417">
        <v>0</v>
      </c>
      <c r="P511" s="417">
        <v>0</v>
      </c>
      <c r="Q511" s="378">
        <v>2.5170000000000001E-3</v>
      </c>
      <c r="R511" s="378"/>
      <c r="S511" s="417">
        <v>-1264460</v>
      </c>
      <c r="T511" s="417">
        <v>-1249829</v>
      </c>
      <c r="U511" s="417">
        <v>-1312996</v>
      </c>
      <c r="V511" s="417">
        <v>-1687583</v>
      </c>
      <c r="W511" s="417">
        <v>0</v>
      </c>
      <c r="X511" s="378">
        <v>2.5170000000000001E-3</v>
      </c>
      <c r="Z511" s="417">
        <v>1008315</v>
      </c>
      <c r="AA511" s="417">
        <v>708397</v>
      </c>
      <c r="AB511" s="417">
        <v>708392</v>
      </c>
      <c r="AC511" s="417">
        <v>0</v>
      </c>
      <c r="AD511" s="417">
        <v>0</v>
      </c>
      <c r="AE511" s="378">
        <v>2.5170000000000001E-3</v>
      </c>
      <c r="AF511" s="378"/>
      <c r="AG511" s="417">
        <v>0</v>
      </c>
      <c r="AH511" s="417">
        <v>0</v>
      </c>
      <c r="AI511" s="417">
        <v>0</v>
      </c>
      <c r="AJ511" s="417">
        <v>0</v>
      </c>
      <c r="AK511" s="417">
        <v>0</v>
      </c>
      <c r="AL511" s="378">
        <v>2.5170000000000001E-3</v>
      </c>
      <c r="AM511" s="378"/>
      <c r="AN511" s="417">
        <v>-234400</v>
      </c>
      <c r="AO511" s="417">
        <v>-204952</v>
      </c>
      <c r="AP511" s="417">
        <v>-88474</v>
      </c>
      <c r="AQ511" s="417">
        <v>0</v>
      </c>
      <c r="AR511" s="417">
        <v>0</v>
      </c>
    </row>
    <row r="512" spans="1:44">
      <c r="A512" s="377">
        <v>95404</v>
      </c>
      <c r="B512" t="s">
        <v>1213</v>
      </c>
      <c r="C512" s="378">
        <v>4.6900000000000002E-5</v>
      </c>
      <c r="D512" s="378"/>
      <c r="E512" s="417">
        <v>5398</v>
      </c>
      <c r="F512" s="417">
        <v>-2636</v>
      </c>
      <c r="G512" s="417">
        <v>-8976</v>
      </c>
      <c r="H512" s="417">
        <v>-31445</v>
      </c>
      <c r="I512" s="417">
        <v>0</v>
      </c>
      <c r="J512" s="378">
        <v>4.6900000000000002E-5</v>
      </c>
      <c r="K512" s="378"/>
      <c r="L512" s="417">
        <v>11481</v>
      </c>
      <c r="M512" s="417">
        <v>7929</v>
      </c>
      <c r="N512" s="417">
        <v>3471</v>
      </c>
      <c r="O512" s="417">
        <v>0</v>
      </c>
      <c r="P512" s="417">
        <v>0</v>
      </c>
      <c r="Q512" s="378">
        <v>4.6900000000000002E-5</v>
      </c>
      <c r="R512" s="378"/>
      <c r="S512" s="417">
        <v>-23561</v>
      </c>
      <c r="T512" s="417">
        <v>-23288</v>
      </c>
      <c r="U512" s="417">
        <v>-24465</v>
      </c>
      <c r="V512" s="417">
        <v>-31445</v>
      </c>
      <c r="W512" s="417">
        <v>0</v>
      </c>
      <c r="X512" s="378">
        <v>4.6900000000000002E-5</v>
      </c>
      <c r="Z512" s="417">
        <v>18788</v>
      </c>
      <c r="AA512" s="417">
        <v>13200</v>
      </c>
      <c r="AB512" s="417">
        <v>13200</v>
      </c>
      <c r="AC512" s="417">
        <v>0</v>
      </c>
      <c r="AD512" s="417">
        <v>0</v>
      </c>
      <c r="AE512" s="378">
        <v>4.6900000000000002E-5</v>
      </c>
      <c r="AF512" s="378"/>
      <c r="AG512" s="417">
        <v>1709</v>
      </c>
      <c r="AH512" s="417">
        <v>1710</v>
      </c>
      <c r="AI512" s="417">
        <v>0</v>
      </c>
      <c r="AJ512" s="417">
        <v>0</v>
      </c>
      <c r="AK512" s="417">
        <v>0</v>
      </c>
      <c r="AL512" s="378">
        <v>4.6900000000000002E-5</v>
      </c>
      <c r="AM512" s="378"/>
      <c r="AN512" s="417">
        <v>-3019</v>
      </c>
      <c r="AO512" s="417">
        <v>-2187</v>
      </c>
      <c r="AP512" s="417">
        <v>-1182</v>
      </c>
      <c r="AQ512" s="417">
        <v>0</v>
      </c>
      <c r="AR512" s="417">
        <v>0</v>
      </c>
    </row>
    <row r="513" spans="1:44">
      <c r="A513" s="377">
        <v>95405</v>
      </c>
      <c r="B513" t="s">
        <v>1214</v>
      </c>
      <c r="C513" s="378">
        <v>4.5300000000000003E-5</v>
      </c>
      <c r="D513" s="378"/>
      <c r="E513" s="417">
        <v>13447</v>
      </c>
      <c r="F513" s="417">
        <v>2840</v>
      </c>
      <c r="G513" s="417">
        <v>-9869</v>
      </c>
      <c r="H513" s="417">
        <v>-30372</v>
      </c>
      <c r="I513" s="417">
        <v>0</v>
      </c>
      <c r="J513" s="378">
        <v>4.5300000000000003E-5</v>
      </c>
      <c r="K513" s="378"/>
      <c r="L513" s="417">
        <v>11090</v>
      </c>
      <c r="M513" s="417">
        <v>7659</v>
      </c>
      <c r="N513" s="417">
        <v>3353</v>
      </c>
      <c r="O513" s="417">
        <v>0</v>
      </c>
      <c r="P513" s="417">
        <v>0</v>
      </c>
      <c r="Q513" s="378">
        <v>4.5300000000000003E-5</v>
      </c>
      <c r="R513" s="378"/>
      <c r="S513" s="417">
        <v>-22757</v>
      </c>
      <c r="T513" s="417">
        <v>-22494</v>
      </c>
      <c r="U513" s="417">
        <v>-23631</v>
      </c>
      <c r="V513" s="417">
        <v>-30372</v>
      </c>
      <c r="W513" s="417">
        <v>0</v>
      </c>
      <c r="X513" s="378">
        <v>4.5300000000000003E-5</v>
      </c>
      <c r="Z513" s="417">
        <v>18147</v>
      </c>
      <c r="AA513" s="417">
        <v>12749</v>
      </c>
      <c r="AB513" s="417">
        <v>12749</v>
      </c>
      <c r="AC513" s="417">
        <v>0</v>
      </c>
      <c r="AD513" s="417">
        <v>0</v>
      </c>
      <c r="AE513" s="378">
        <v>4.5300000000000003E-5</v>
      </c>
      <c r="AF513" s="378"/>
      <c r="AG513" s="417">
        <v>9307</v>
      </c>
      <c r="AH513" s="417">
        <v>7266</v>
      </c>
      <c r="AI513" s="417">
        <v>0</v>
      </c>
      <c r="AJ513" s="417">
        <v>0</v>
      </c>
      <c r="AK513" s="417">
        <v>0</v>
      </c>
      <c r="AL513" s="378">
        <v>4.5300000000000003E-5</v>
      </c>
      <c r="AM513" s="378"/>
      <c r="AN513" s="417">
        <v>-2340</v>
      </c>
      <c r="AO513" s="417">
        <v>-2340</v>
      </c>
      <c r="AP513" s="417">
        <v>-2340</v>
      </c>
      <c r="AQ513" s="417">
        <v>0</v>
      </c>
      <c r="AR513" s="417">
        <v>0</v>
      </c>
    </row>
    <row r="514" spans="1:44">
      <c r="A514" s="377">
        <v>95411</v>
      </c>
      <c r="B514" t="s">
        <v>1215</v>
      </c>
      <c r="C514" s="378">
        <v>2.0901000000000001E-3</v>
      </c>
      <c r="D514" s="378"/>
      <c r="E514" s="417">
        <v>304441</v>
      </c>
      <c r="F514" s="417">
        <v>-89126</v>
      </c>
      <c r="G514" s="417">
        <v>-325502</v>
      </c>
      <c r="H514" s="417">
        <v>-1401358</v>
      </c>
      <c r="I514" s="417">
        <v>0</v>
      </c>
      <c r="J514" s="378">
        <v>2.0901000000000001E-3</v>
      </c>
      <c r="K514" s="378"/>
      <c r="L514" s="417">
        <v>511673</v>
      </c>
      <c r="M514" s="417">
        <v>353377</v>
      </c>
      <c r="N514" s="417">
        <v>154692</v>
      </c>
      <c r="O514" s="417">
        <v>0</v>
      </c>
      <c r="P514" s="417">
        <v>0</v>
      </c>
      <c r="Q514" s="378">
        <v>2.0901000000000001E-3</v>
      </c>
      <c r="R514" s="378"/>
      <c r="S514" s="417">
        <v>-1049999</v>
      </c>
      <c r="T514" s="417">
        <v>-1037850</v>
      </c>
      <c r="U514" s="417">
        <v>-1090303</v>
      </c>
      <c r="V514" s="417">
        <v>-1401358</v>
      </c>
      <c r="W514" s="417">
        <v>0</v>
      </c>
      <c r="X514" s="378">
        <v>2.0901000000000001E-3</v>
      </c>
      <c r="Z514" s="417">
        <v>837298</v>
      </c>
      <c r="AA514" s="417">
        <v>588248</v>
      </c>
      <c r="AB514" s="417">
        <v>588244</v>
      </c>
      <c r="AC514" s="417">
        <v>0</v>
      </c>
      <c r="AD514" s="417">
        <v>0</v>
      </c>
      <c r="AE514" s="378">
        <v>2.0901000000000001E-3</v>
      </c>
      <c r="AF514" s="378"/>
      <c r="AG514" s="417">
        <v>21866</v>
      </c>
      <c r="AH514" s="417">
        <v>21866</v>
      </c>
      <c r="AI514" s="417">
        <v>21865</v>
      </c>
      <c r="AJ514" s="417">
        <v>0</v>
      </c>
      <c r="AK514" s="417">
        <v>0</v>
      </c>
      <c r="AL514" s="378">
        <v>2.0901000000000001E-3</v>
      </c>
      <c r="AM514" s="378"/>
      <c r="AN514" s="417">
        <v>-16397</v>
      </c>
      <c r="AO514" s="417">
        <v>-14767</v>
      </c>
      <c r="AP514" s="417">
        <v>0</v>
      </c>
      <c r="AQ514" s="417">
        <v>0</v>
      </c>
      <c r="AR514" s="417">
        <v>0</v>
      </c>
    </row>
    <row r="515" spans="1:44">
      <c r="A515" s="377">
        <v>95412</v>
      </c>
      <c r="B515" t="s">
        <v>3713</v>
      </c>
      <c r="C515" s="378">
        <v>0</v>
      </c>
      <c r="D515" s="378"/>
      <c r="E515" s="417">
        <v>0</v>
      </c>
      <c r="F515" s="417">
        <v>0</v>
      </c>
      <c r="G515" s="417">
        <v>0</v>
      </c>
      <c r="H515" s="417">
        <v>0</v>
      </c>
      <c r="I515" s="417">
        <v>0</v>
      </c>
      <c r="J515" s="378"/>
      <c r="K515" s="378"/>
      <c r="L515" s="417">
        <v>0</v>
      </c>
      <c r="M515" s="417">
        <v>0</v>
      </c>
      <c r="N515" s="417">
        <v>0</v>
      </c>
      <c r="O515" s="417">
        <v>0</v>
      </c>
      <c r="P515" s="417">
        <v>0</v>
      </c>
      <c r="Q515" s="378"/>
      <c r="R515" s="378"/>
      <c r="S515" s="417">
        <v>0</v>
      </c>
      <c r="T515" s="417">
        <v>0</v>
      </c>
      <c r="U515" s="417">
        <v>0</v>
      </c>
      <c r="V515" s="417">
        <v>0</v>
      </c>
      <c r="W515" s="417">
        <v>0</v>
      </c>
      <c r="X515" s="378"/>
      <c r="Z515" s="417">
        <v>0</v>
      </c>
      <c r="AA515" s="417">
        <v>0</v>
      </c>
      <c r="AB515" s="417">
        <v>0</v>
      </c>
      <c r="AC515" s="417">
        <v>0</v>
      </c>
      <c r="AD515" s="417">
        <v>0</v>
      </c>
      <c r="AE515" s="378"/>
      <c r="AF515" s="378">
        <v>0</v>
      </c>
      <c r="AG515" s="417">
        <v>0</v>
      </c>
      <c r="AH515" s="417">
        <v>0</v>
      </c>
      <c r="AI515" s="417">
        <v>0</v>
      </c>
      <c r="AJ515" s="417">
        <v>0</v>
      </c>
      <c r="AK515" s="417">
        <v>0</v>
      </c>
      <c r="AL515" s="378"/>
      <c r="AM515" s="378"/>
      <c r="AN515" s="417">
        <v>0</v>
      </c>
      <c r="AO515" s="417">
        <v>0</v>
      </c>
      <c r="AP515" s="417">
        <v>0</v>
      </c>
      <c r="AQ515" s="417">
        <v>0</v>
      </c>
      <c r="AR515" s="417">
        <v>0</v>
      </c>
    </row>
    <row r="516" spans="1:44">
      <c r="A516" s="377">
        <v>95413</v>
      </c>
      <c r="B516" t="s">
        <v>1217</v>
      </c>
      <c r="C516" s="378">
        <v>2.3369999999999999E-4</v>
      </c>
      <c r="D516" s="378"/>
      <c r="E516" s="417">
        <v>26532</v>
      </c>
      <c r="F516" s="417">
        <v>-19416</v>
      </c>
      <c r="G516" s="417">
        <v>-48885</v>
      </c>
      <c r="H516" s="417">
        <v>-156690</v>
      </c>
      <c r="I516" s="417">
        <v>0</v>
      </c>
      <c r="J516" s="378">
        <v>2.3369999999999999E-4</v>
      </c>
      <c r="K516" s="378"/>
      <c r="L516" s="417">
        <v>57212</v>
      </c>
      <c r="M516" s="417">
        <v>39512</v>
      </c>
      <c r="N516" s="417">
        <v>17297</v>
      </c>
      <c r="O516" s="417">
        <v>0</v>
      </c>
      <c r="P516" s="417">
        <v>0</v>
      </c>
      <c r="Q516" s="378">
        <v>2.3369999999999999E-4</v>
      </c>
      <c r="R516" s="378"/>
      <c r="S516" s="417">
        <v>-117403</v>
      </c>
      <c r="T516" s="417">
        <v>-116045</v>
      </c>
      <c r="U516" s="417">
        <v>-121910</v>
      </c>
      <c r="V516" s="417">
        <v>-156690</v>
      </c>
      <c r="W516" s="417">
        <v>0</v>
      </c>
      <c r="X516" s="378">
        <v>2.3369999999999999E-4</v>
      </c>
      <c r="Z516" s="417">
        <v>93621</v>
      </c>
      <c r="AA516" s="417">
        <v>65774</v>
      </c>
      <c r="AB516" s="417">
        <v>65773</v>
      </c>
      <c r="AC516" s="417">
        <v>0</v>
      </c>
      <c r="AD516" s="417">
        <v>0</v>
      </c>
      <c r="AE516" s="378">
        <v>2.3369999999999999E-4</v>
      </c>
      <c r="AF516" s="378"/>
      <c r="AG516" s="417">
        <v>6575</v>
      </c>
      <c r="AH516" s="417">
        <v>4814</v>
      </c>
      <c r="AI516" s="417">
        <v>0</v>
      </c>
      <c r="AJ516" s="417">
        <v>0</v>
      </c>
      <c r="AK516" s="417">
        <v>0</v>
      </c>
      <c r="AL516" s="378">
        <v>2.3369999999999999E-4</v>
      </c>
      <c r="AM516" s="378"/>
      <c r="AN516" s="417">
        <v>-13473</v>
      </c>
      <c r="AO516" s="417">
        <v>-13471</v>
      </c>
      <c r="AP516" s="417">
        <v>-10045</v>
      </c>
      <c r="AQ516" s="417">
        <v>0</v>
      </c>
      <c r="AR516" s="417">
        <v>0</v>
      </c>
    </row>
    <row r="517" spans="1:44">
      <c r="A517" s="377">
        <v>95415</v>
      </c>
      <c r="B517" t="s">
        <v>1218</v>
      </c>
      <c r="C517" s="378">
        <v>5.9500000000000003E-5</v>
      </c>
      <c r="D517" s="378"/>
      <c r="E517" s="417">
        <v>6570</v>
      </c>
      <c r="F517" s="417">
        <v>-5465</v>
      </c>
      <c r="G517" s="417">
        <v>-12338</v>
      </c>
      <c r="H517" s="417">
        <v>-39893</v>
      </c>
      <c r="I517" s="417">
        <v>0</v>
      </c>
      <c r="J517" s="378">
        <v>5.9500000000000003E-5</v>
      </c>
      <c r="K517" s="378"/>
      <c r="L517" s="417">
        <v>14566</v>
      </c>
      <c r="M517" s="417">
        <v>10060</v>
      </c>
      <c r="N517" s="417">
        <v>4404</v>
      </c>
      <c r="O517" s="417">
        <v>0</v>
      </c>
      <c r="P517" s="417">
        <v>0</v>
      </c>
      <c r="Q517" s="378">
        <v>5.9500000000000003E-5</v>
      </c>
      <c r="R517" s="378"/>
      <c r="S517" s="417">
        <v>-29891</v>
      </c>
      <c r="T517" s="417">
        <v>-29545</v>
      </c>
      <c r="U517" s="417">
        <v>-31038</v>
      </c>
      <c r="V517" s="417">
        <v>-39893</v>
      </c>
      <c r="W517" s="417">
        <v>0</v>
      </c>
      <c r="X517" s="378">
        <v>5.9500000000000003E-5</v>
      </c>
      <c r="Z517" s="417">
        <v>23836</v>
      </c>
      <c r="AA517" s="417">
        <v>16746</v>
      </c>
      <c r="AB517" s="417">
        <v>16746</v>
      </c>
      <c r="AC517" s="417">
        <v>0</v>
      </c>
      <c r="AD517" s="417">
        <v>0</v>
      </c>
      <c r="AE517" s="378">
        <v>5.9500000000000003E-5</v>
      </c>
      <c r="AF517" s="378"/>
      <c r="AG517" s="417">
        <v>3004</v>
      </c>
      <c r="AH517" s="417">
        <v>2218</v>
      </c>
      <c r="AI517" s="417">
        <v>0</v>
      </c>
      <c r="AJ517" s="417">
        <v>0</v>
      </c>
      <c r="AK517" s="417">
        <v>0</v>
      </c>
      <c r="AL517" s="378">
        <v>5.9500000000000003E-5</v>
      </c>
      <c r="AM517" s="378"/>
      <c r="AN517" s="417">
        <v>-4945</v>
      </c>
      <c r="AO517" s="417">
        <v>-4944</v>
      </c>
      <c r="AP517" s="417">
        <v>-2450</v>
      </c>
      <c r="AQ517" s="417">
        <v>0</v>
      </c>
      <c r="AR517" s="417">
        <v>0</v>
      </c>
    </row>
    <row r="518" spans="1:44">
      <c r="A518" s="377">
        <v>95421</v>
      </c>
      <c r="B518" t="s">
        <v>1219</v>
      </c>
      <c r="C518" s="378">
        <v>3.0899999999999999E-5</v>
      </c>
      <c r="D518" s="378"/>
      <c r="E518" s="417">
        <v>2701</v>
      </c>
      <c r="F518" s="417">
        <v>-3242</v>
      </c>
      <c r="G518" s="417">
        <v>-2486</v>
      </c>
      <c r="H518" s="417">
        <v>-20718</v>
      </c>
      <c r="I518" s="417">
        <v>0</v>
      </c>
      <c r="J518" s="378">
        <v>3.0899999999999999E-5</v>
      </c>
      <c r="K518" s="378"/>
      <c r="L518" s="417">
        <v>7565</v>
      </c>
      <c r="M518" s="417">
        <v>5224</v>
      </c>
      <c r="N518" s="417">
        <v>2287</v>
      </c>
      <c r="O518" s="417">
        <v>0</v>
      </c>
      <c r="P518" s="417">
        <v>0</v>
      </c>
      <c r="Q518" s="378">
        <v>3.0899999999999999E-5</v>
      </c>
      <c r="R518" s="378"/>
      <c r="S518" s="417">
        <v>-15523</v>
      </c>
      <c r="T518" s="417">
        <v>-15344</v>
      </c>
      <c r="U518" s="417">
        <v>-16119</v>
      </c>
      <c r="V518" s="417">
        <v>-20718</v>
      </c>
      <c r="W518" s="417">
        <v>0</v>
      </c>
      <c r="X518" s="378">
        <v>3.0899999999999999E-5</v>
      </c>
      <c r="Z518" s="417">
        <v>12379</v>
      </c>
      <c r="AA518" s="417">
        <v>8697</v>
      </c>
      <c r="AB518" s="417">
        <v>8697</v>
      </c>
      <c r="AC518" s="417">
        <v>0</v>
      </c>
      <c r="AD518" s="417">
        <v>0</v>
      </c>
      <c r="AE518" s="378">
        <v>3.0899999999999999E-5</v>
      </c>
      <c r="AF518" s="378"/>
      <c r="AG518" s="417">
        <v>2841</v>
      </c>
      <c r="AH518" s="417">
        <v>2743</v>
      </c>
      <c r="AI518" s="417">
        <v>2649</v>
      </c>
      <c r="AJ518" s="417">
        <v>0</v>
      </c>
      <c r="AK518" s="417">
        <v>0</v>
      </c>
      <c r="AL518" s="378">
        <v>3.0899999999999999E-5</v>
      </c>
      <c r="AM518" s="378"/>
      <c r="AN518" s="417">
        <v>-4561</v>
      </c>
      <c r="AO518" s="417">
        <v>-4562</v>
      </c>
      <c r="AP518" s="417">
        <v>0</v>
      </c>
      <c r="AQ518" s="417">
        <v>0</v>
      </c>
      <c r="AR518" s="417">
        <v>0</v>
      </c>
    </row>
    <row r="519" spans="1:44">
      <c r="A519" s="377">
        <v>95431</v>
      </c>
      <c r="B519" t="s">
        <v>1220</v>
      </c>
      <c r="C519" s="378">
        <v>1.3229999999999999E-4</v>
      </c>
      <c r="D519" s="378"/>
      <c r="E519" s="417">
        <v>18206</v>
      </c>
      <c r="F519" s="417">
        <v>-4515</v>
      </c>
      <c r="G519" s="417">
        <v>-12697</v>
      </c>
      <c r="H519" s="417">
        <v>-88704</v>
      </c>
      <c r="I519" s="417">
        <v>0</v>
      </c>
      <c r="J519" s="378">
        <v>1.3229999999999999E-4</v>
      </c>
      <c r="K519" s="378"/>
      <c r="L519" s="417">
        <v>32388</v>
      </c>
      <c r="M519" s="417">
        <v>22368</v>
      </c>
      <c r="N519" s="417">
        <v>9792</v>
      </c>
      <c r="O519" s="417">
        <v>0</v>
      </c>
      <c r="P519" s="417">
        <v>0</v>
      </c>
      <c r="Q519" s="378">
        <v>1.3229999999999999E-4</v>
      </c>
      <c r="R519" s="378"/>
      <c r="S519" s="417">
        <v>-66463</v>
      </c>
      <c r="T519" s="417">
        <v>-65694</v>
      </c>
      <c r="U519" s="417">
        <v>-69014</v>
      </c>
      <c r="V519" s="417">
        <v>-88704</v>
      </c>
      <c r="W519" s="417">
        <v>0</v>
      </c>
      <c r="X519" s="378">
        <v>1.3229999999999999E-4</v>
      </c>
      <c r="Z519" s="417">
        <v>53000</v>
      </c>
      <c r="AA519" s="417">
        <v>37235</v>
      </c>
      <c r="AB519" s="417">
        <v>37235</v>
      </c>
      <c r="AC519" s="417">
        <v>0</v>
      </c>
      <c r="AD519" s="417">
        <v>0</v>
      </c>
      <c r="AE519" s="378">
        <v>1.3229999999999999E-4</v>
      </c>
      <c r="AF519" s="378"/>
      <c r="AG519" s="417">
        <v>9292</v>
      </c>
      <c r="AH519" s="417">
        <v>9292</v>
      </c>
      <c r="AI519" s="417">
        <v>9290</v>
      </c>
      <c r="AJ519" s="417">
        <v>0</v>
      </c>
      <c r="AK519" s="417">
        <v>0</v>
      </c>
      <c r="AL519" s="378">
        <v>1.3229999999999999E-4</v>
      </c>
      <c r="AM519" s="378"/>
      <c r="AN519" s="417">
        <v>-10011</v>
      </c>
      <c r="AO519" s="417">
        <v>-7716</v>
      </c>
      <c r="AP519" s="417">
        <v>0</v>
      </c>
      <c r="AQ519" s="417">
        <v>0</v>
      </c>
      <c r="AR519" s="417">
        <v>0</v>
      </c>
    </row>
    <row r="520" spans="1:44">
      <c r="A520" s="377">
        <v>95501</v>
      </c>
      <c r="B520" t="s">
        <v>1221</v>
      </c>
      <c r="C520" s="378">
        <v>5.1955999999999999E-3</v>
      </c>
      <c r="D520" s="378"/>
      <c r="E520" s="417">
        <v>785796</v>
      </c>
      <c r="F520" s="417">
        <v>-182255</v>
      </c>
      <c r="G520" s="417">
        <v>-945824</v>
      </c>
      <c r="H520" s="417">
        <v>-3483515</v>
      </c>
      <c r="I520" s="417">
        <v>0</v>
      </c>
      <c r="J520" s="378">
        <v>5.1955999999999999E-3</v>
      </c>
      <c r="K520" s="378"/>
      <c r="L520" s="417">
        <v>1271924</v>
      </c>
      <c r="M520" s="417">
        <v>878430</v>
      </c>
      <c r="N520" s="417">
        <v>384537</v>
      </c>
      <c r="O520" s="417">
        <v>0</v>
      </c>
      <c r="P520" s="417">
        <v>0</v>
      </c>
      <c r="Q520" s="378">
        <v>5.1955999999999999E-3</v>
      </c>
      <c r="R520" s="378"/>
      <c r="S520" s="417">
        <v>-2610103</v>
      </c>
      <c r="T520" s="417">
        <v>-2579901</v>
      </c>
      <c r="U520" s="417">
        <v>-2710290</v>
      </c>
      <c r="V520" s="417">
        <v>-3483515</v>
      </c>
      <c r="W520" s="417">
        <v>0</v>
      </c>
      <c r="X520" s="378">
        <v>5.1955999999999999E-3</v>
      </c>
      <c r="Z520" s="417">
        <v>2081368</v>
      </c>
      <c r="AA520" s="417">
        <v>1462276</v>
      </c>
      <c r="AB520" s="417">
        <v>1462265</v>
      </c>
      <c r="AC520" s="417">
        <v>0</v>
      </c>
      <c r="AD520" s="417">
        <v>0</v>
      </c>
      <c r="AE520" s="378">
        <v>5.1955999999999999E-3</v>
      </c>
      <c r="AF520" s="378"/>
      <c r="AG520" s="417">
        <v>139273</v>
      </c>
      <c r="AH520" s="417">
        <v>139275</v>
      </c>
      <c r="AI520" s="417">
        <v>0</v>
      </c>
      <c r="AJ520" s="417">
        <v>0</v>
      </c>
      <c r="AK520" s="417">
        <v>0</v>
      </c>
      <c r="AL520" s="378">
        <v>5.1955999999999999E-3</v>
      </c>
      <c r="AM520" s="378"/>
      <c r="AN520" s="417">
        <v>-96666</v>
      </c>
      <c r="AO520" s="417">
        <v>-82335</v>
      </c>
      <c r="AP520" s="417">
        <v>-82336</v>
      </c>
      <c r="AQ520" s="417">
        <v>0</v>
      </c>
      <c r="AR520" s="417">
        <v>0</v>
      </c>
    </row>
    <row r="521" spans="1:44">
      <c r="A521" s="377">
        <v>95504</v>
      </c>
      <c r="B521" t="s">
        <v>1222</v>
      </c>
      <c r="C521" s="378">
        <v>1.8099999999999999E-5</v>
      </c>
      <c r="D521" s="378"/>
      <c r="E521" s="417">
        <v>12744</v>
      </c>
      <c r="F521" s="417">
        <v>8230</v>
      </c>
      <c r="G521" s="417">
        <v>122</v>
      </c>
      <c r="H521" s="417">
        <v>-12136</v>
      </c>
      <c r="I521" s="417">
        <v>0</v>
      </c>
      <c r="J521" s="378">
        <v>1.8099999999999999E-5</v>
      </c>
      <c r="K521" s="378"/>
      <c r="L521" s="417">
        <v>4431</v>
      </c>
      <c r="M521" s="417">
        <v>3060</v>
      </c>
      <c r="N521" s="417">
        <v>1340</v>
      </c>
      <c r="O521" s="417">
        <v>0</v>
      </c>
      <c r="P521" s="417">
        <v>0</v>
      </c>
      <c r="Q521" s="378">
        <v>1.8099999999999999E-5</v>
      </c>
      <c r="R521" s="378"/>
      <c r="S521" s="417">
        <v>-9093</v>
      </c>
      <c r="T521" s="417">
        <v>-8988</v>
      </c>
      <c r="U521" s="417">
        <v>-9442</v>
      </c>
      <c r="V521" s="417">
        <v>-12136</v>
      </c>
      <c r="W521" s="417">
        <v>0</v>
      </c>
      <c r="X521" s="378">
        <v>1.8099999999999999E-5</v>
      </c>
      <c r="Z521" s="417">
        <v>7251</v>
      </c>
      <c r="AA521" s="417">
        <v>5094</v>
      </c>
      <c r="AB521" s="417">
        <v>5094</v>
      </c>
      <c r="AC521" s="417">
        <v>0</v>
      </c>
      <c r="AD521" s="417">
        <v>0</v>
      </c>
      <c r="AE521" s="378">
        <v>1.8099999999999999E-5</v>
      </c>
      <c r="AF521" s="378"/>
      <c r="AG521" s="417">
        <v>10155</v>
      </c>
      <c r="AH521" s="417">
        <v>9064</v>
      </c>
      <c r="AI521" s="417">
        <v>3130</v>
      </c>
      <c r="AJ521" s="417">
        <v>0</v>
      </c>
      <c r="AK521" s="417">
        <v>0</v>
      </c>
      <c r="AL521" s="378">
        <v>1.8099999999999999E-5</v>
      </c>
      <c r="AM521" s="378"/>
      <c r="AN521" s="417">
        <v>0</v>
      </c>
      <c r="AO521" s="417">
        <v>0</v>
      </c>
      <c r="AP521" s="417">
        <v>0</v>
      </c>
      <c r="AQ521" s="417">
        <v>0</v>
      </c>
      <c r="AR521" s="417">
        <v>0</v>
      </c>
    </row>
    <row r="522" spans="1:44">
      <c r="A522" s="377">
        <v>95511</v>
      </c>
      <c r="B522" t="s">
        <v>1223</v>
      </c>
      <c r="C522" s="378">
        <v>1.0248E-3</v>
      </c>
      <c r="D522" s="378"/>
      <c r="E522" s="417">
        <v>212374</v>
      </c>
      <c r="F522" s="417">
        <v>13840</v>
      </c>
      <c r="G522" s="417">
        <v>-164399</v>
      </c>
      <c r="H522" s="417">
        <v>-687102</v>
      </c>
      <c r="I522" s="417">
        <v>0</v>
      </c>
      <c r="J522" s="378">
        <v>1.0248E-3</v>
      </c>
      <c r="K522" s="378"/>
      <c r="L522" s="417">
        <v>250879</v>
      </c>
      <c r="M522" s="417">
        <v>173265</v>
      </c>
      <c r="N522" s="417">
        <v>75847</v>
      </c>
      <c r="O522" s="417">
        <v>0</v>
      </c>
      <c r="P522" s="417">
        <v>0</v>
      </c>
      <c r="Q522" s="378">
        <v>1.0248E-3</v>
      </c>
      <c r="R522" s="378"/>
      <c r="S522" s="417">
        <v>-514827</v>
      </c>
      <c r="T522" s="417">
        <v>-508870</v>
      </c>
      <c r="U522" s="417">
        <v>-534588</v>
      </c>
      <c r="V522" s="417">
        <v>-687102</v>
      </c>
      <c r="W522" s="417">
        <v>0</v>
      </c>
      <c r="X522" s="378">
        <v>1.0248E-3</v>
      </c>
      <c r="Z522" s="417">
        <v>410537</v>
      </c>
      <c r="AA522" s="417">
        <v>288425</v>
      </c>
      <c r="AB522" s="417">
        <v>288423</v>
      </c>
      <c r="AC522" s="417">
        <v>0</v>
      </c>
      <c r="AD522" s="417">
        <v>0</v>
      </c>
      <c r="AE522" s="378">
        <v>1.0248E-3</v>
      </c>
      <c r="AF522" s="378"/>
      <c r="AG522" s="417">
        <v>65785</v>
      </c>
      <c r="AH522" s="417">
        <v>61020</v>
      </c>
      <c r="AI522" s="417">
        <v>5919</v>
      </c>
      <c r="AJ522" s="417">
        <v>0</v>
      </c>
      <c r="AK522" s="417">
        <v>0</v>
      </c>
      <c r="AL522" s="378">
        <v>1.0248E-3</v>
      </c>
      <c r="AM522" s="378"/>
      <c r="AN522" s="417">
        <v>0</v>
      </c>
      <c r="AO522" s="417">
        <v>0</v>
      </c>
      <c r="AP522" s="417">
        <v>0</v>
      </c>
      <c r="AQ522" s="417">
        <v>0</v>
      </c>
      <c r="AR522" s="417">
        <v>0</v>
      </c>
    </row>
    <row r="523" spans="1:44">
      <c r="A523" s="377">
        <v>95513</v>
      </c>
      <c r="B523" t="s">
        <v>1224</v>
      </c>
      <c r="C523" s="378">
        <v>5.0699999999999999E-5</v>
      </c>
      <c r="D523" s="378"/>
      <c r="E523" s="417">
        <v>23725</v>
      </c>
      <c r="F523" s="417">
        <v>11937</v>
      </c>
      <c r="G523" s="417">
        <v>-2917</v>
      </c>
      <c r="H523" s="417">
        <v>-33993</v>
      </c>
      <c r="I523" s="417">
        <v>0</v>
      </c>
      <c r="J523" s="378">
        <v>5.0699999999999999E-5</v>
      </c>
      <c r="K523" s="378"/>
      <c r="L523" s="417">
        <v>12412</v>
      </c>
      <c r="M523" s="417">
        <v>8572</v>
      </c>
      <c r="N523" s="417">
        <v>3752</v>
      </c>
      <c r="O523" s="417">
        <v>0</v>
      </c>
      <c r="P523" s="417">
        <v>0</v>
      </c>
      <c r="Q523" s="378">
        <v>5.0699999999999999E-5</v>
      </c>
      <c r="R523" s="378"/>
      <c r="S523" s="417">
        <v>-25470</v>
      </c>
      <c r="T523" s="417">
        <v>-25175</v>
      </c>
      <c r="U523" s="417">
        <v>-26448</v>
      </c>
      <c r="V523" s="417">
        <v>-33993</v>
      </c>
      <c r="W523" s="417">
        <v>0</v>
      </c>
      <c r="X523" s="378">
        <v>5.0699999999999999E-5</v>
      </c>
      <c r="Z523" s="417">
        <v>20311</v>
      </c>
      <c r="AA523" s="417">
        <v>14269</v>
      </c>
      <c r="AB523" s="417">
        <v>14269</v>
      </c>
      <c r="AC523" s="417">
        <v>0</v>
      </c>
      <c r="AD523" s="417">
        <v>0</v>
      </c>
      <c r="AE523" s="378">
        <v>5.0699999999999999E-5</v>
      </c>
      <c r="AF523" s="378"/>
      <c r="AG523" s="417">
        <v>16472</v>
      </c>
      <c r="AH523" s="417">
        <v>14271</v>
      </c>
      <c r="AI523" s="417">
        <v>5510</v>
      </c>
      <c r="AJ523" s="417">
        <v>0</v>
      </c>
      <c r="AK523" s="417">
        <v>0</v>
      </c>
      <c r="AL523" s="378">
        <v>5.0699999999999999E-5</v>
      </c>
      <c r="AM523" s="378"/>
      <c r="AN523" s="417">
        <v>0</v>
      </c>
      <c r="AO523" s="417">
        <v>0</v>
      </c>
      <c r="AP523" s="417">
        <v>0</v>
      </c>
      <c r="AQ523" s="417">
        <v>0</v>
      </c>
      <c r="AR523" s="417">
        <v>0</v>
      </c>
    </row>
    <row r="524" spans="1:44">
      <c r="A524" s="377">
        <v>95517</v>
      </c>
      <c r="B524" t="s">
        <v>1225</v>
      </c>
      <c r="C524" s="378">
        <v>1.6200000000000001E-5</v>
      </c>
      <c r="D524" s="378"/>
      <c r="E524" s="417">
        <v>1002</v>
      </c>
      <c r="F524" s="417">
        <v>-1425</v>
      </c>
      <c r="G524" s="417">
        <v>-3690</v>
      </c>
      <c r="H524" s="417">
        <v>-10862</v>
      </c>
      <c r="I524" s="417">
        <v>0</v>
      </c>
      <c r="J524" s="378">
        <v>1.6200000000000001E-5</v>
      </c>
      <c r="K524" s="378"/>
      <c r="L524" s="417">
        <v>3966</v>
      </c>
      <c r="M524" s="417">
        <v>2739</v>
      </c>
      <c r="N524" s="417">
        <v>1199</v>
      </c>
      <c r="O524" s="417">
        <v>0</v>
      </c>
      <c r="P524" s="417">
        <v>0</v>
      </c>
      <c r="Q524" s="378">
        <v>1.6200000000000001E-5</v>
      </c>
      <c r="R524" s="378"/>
      <c r="S524" s="417">
        <v>-8138</v>
      </c>
      <c r="T524" s="417">
        <v>-8044</v>
      </c>
      <c r="U524" s="417">
        <v>-8451</v>
      </c>
      <c r="V524" s="417">
        <v>-10862</v>
      </c>
      <c r="W524" s="417">
        <v>0</v>
      </c>
      <c r="X524" s="378">
        <v>1.6200000000000001E-5</v>
      </c>
      <c r="Z524" s="417">
        <v>6490</v>
      </c>
      <c r="AA524" s="417">
        <v>4559</v>
      </c>
      <c r="AB524" s="417">
        <v>4559</v>
      </c>
      <c r="AC524" s="417">
        <v>0</v>
      </c>
      <c r="AD524" s="417">
        <v>0</v>
      </c>
      <c r="AE524" s="378">
        <v>1.6200000000000001E-5</v>
      </c>
      <c r="AF524" s="378"/>
      <c r="AG524" s="417">
        <v>324</v>
      </c>
      <c r="AH524" s="417">
        <v>324</v>
      </c>
      <c r="AI524" s="417">
        <v>0</v>
      </c>
      <c r="AJ524" s="417">
        <v>0</v>
      </c>
      <c r="AK524" s="417">
        <v>0</v>
      </c>
      <c r="AL524" s="378">
        <v>1.6200000000000001E-5</v>
      </c>
      <c r="AM524" s="378"/>
      <c r="AN524" s="417">
        <v>-1640</v>
      </c>
      <c r="AO524" s="417">
        <v>-1003</v>
      </c>
      <c r="AP524" s="417">
        <v>-997</v>
      </c>
      <c r="AQ524" s="417">
        <v>0</v>
      </c>
      <c r="AR524" s="417">
        <v>0</v>
      </c>
    </row>
    <row r="525" spans="1:44">
      <c r="A525" s="377">
        <v>95601</v>
      </c>
      <c r="B525" t="s">
        <v>1226</v>
      </c>
      <c r="C525" s="378">
        <v>2.2501999999999999E-3</v>
      </c>
      <c r="D525" s="378"/>
      <c r="E525" s="417">
        <v>195529</v>
      </c>
      <c r="F525" s="417">
        <v>-225106</v>
      </c>
      <c r="G525" s="417">
        <v>-442179</v>
      </c>
      <c r="H525" s="417">
        <v>-1508701</v>
      </c>
      <c r="I525" s="417">
        <v>0</v>
      </c>
      <c r="J525" s="378">
        <v>2.2501999999999999E-3</v>
      </c>
      <c r="K525" s="378"/>
      <c r="L525" s="417">
        <v>550867</v>
      </c>
      <c r="M525" s="417">
        <v>380446</v>
      </c>
      <c r="N525" s="417">
        <v>166542</v>
      </c>
      <c r="O525" s="417">
        <v>0</v>
      </c>
      <c r="P525" s="417">
        <v>0</v>
      </c>
      <c r="Q525" s="378">
        <v>2.2501999999999999E-3</v>
      </c>
      <c r="R525" s="378"/>
      <c r="S525" s="417">
        <v>-1130428</v>
      </c>
      <c r="T525" s="417">
        <v>-1117348</v>
      </c>
      <c r="U525" s="417">
        <v>-1173819</v>
      </c>
      <c r="V525" s="417">
        <v>-1508701</v>
      </c>
      <c r="W525" s="417">
        <v>0</v>
      </c>
      <c r="X525" s="378">
        <v>2.2501999999999999E-3</v>
      </c>
      <c r="Z525" s="417">
        <v>901435</v>
      </c>
      <c r="AA525" s="417">
        <v>633308</v>
      </c>
      <c r="AB525" s="417">
        <v>633303</v>
      </c>
      <c r="AC525" s="417">
        <v>0</v>
      </c>
      <c r="AD525" s="417">
        <v>0</v>
      </c>
      <c r="AE525" s="378">
        <v>2.2501999999999999E-3</v>
      </c>
      <c r="AF525" s="378"/>
      <c r="AG525" s="417">
        <v>0</v>
      </c>
      <c r="AH525" s="417">
        <v>0</v>
      </c>
      <c r="AI525" s="417">
        <v>0</v>
      </c>
      <c r="AJ525" s="417">
        <v>0</v>
      </c>
      <c r="AK525" s="417">
        <v>0</v>
      </c>
      <c r="AL525" s="378">
        <v>2.2501999999999999E-3</v>
      </c>
      <c r="AM525" s="378"/>
      <c r="AN525" s="417">
        <v>-126345</v>
      </c>
      <c r="AO525" s="417">
        <v>-121512</v>
      </c>
      <c r="AP525" s="417">
        <v>-68205</v>
      </c>
      <c r="AQ525" s="417">
        <v>0</v>
      </c>
      <c r="AR525" s="417">
        <v>0</v>
      </c>
    </row>
    <row r="526" spans="1:44">
      <c r="A526" s="377">
        <v>95611</v>
      </c>
      <c r="B526" t="s">
        <v>1227</v>
      </c>
      <c r="C526" s="378">
        <v>3.4969999999999999E-4</v>
      </c>
      <c r="D526" s="378"/>
      <c r="E526" s="417">
        <v>45161</v>
      </c>
      <c r="F526" s="417">
        <v>-20298</v>
      </c>
      <c r="G526" s="417">
        <v>-48881</v>
      </c>
      <c r="H526" s="417">
        <v>-234465</v>
      </c>
      <c r="I526" s="417">
        <v>0</v>
      </c>
      <c r="J526" s="378">
        <v>3.4969999999999999E-4</v>
      </c>
      <c r="K526" s="378"/>
      <c r="L526" s="417">
        <v>85609</v>
      </c>
      <c r="M526" s="417">
        <v>59124</v>
      </c>
      <c r="N526" s="417">
        <v>25882</v>
      </c>
      <c r="O526" s="417">
        <v>0</v>
      </c>
      <c r="P526" s="417">
        <v>0</v>
      </c>
      <c r="Q526" s="378">
        <v>3.4969999999999999E-4</v>
      </c>
      <c r="R526" s="378"/>
      <c r="S526" s="417">
        <v>-175678</v>
      </c>
      <c r="T526" s="417">
        <v>-173645</v>
      </c>
      <c r="U526" s="417">
        <v>-182421</v>
      </c>
      <c r="V526" s="417">
        <v>-234465</v>
      </c>
      <c r="W526" s="417">
        <v>0</v>
      </c>
      <c r="X526" s="378">
        <v>3.4969999999999999E-4</v>
      </c>
      <c r="Z526" s="417">
        <v>140091</v>
      </c>
      <c r="AA526" s="417">
        <v>98421</v>
      </c>
      <c r="AB526" s="417">
        <v>98421</v>
      </c>
      <c r="AC526" s="417">
        <v>0</v>
      </c>
      <c r="AD526" s="417">
        <v>0</v>
      </c>
      <c r="AE526" s="378">
        <v>3.4969999999999999E-4</v>
      </c>
      <c r="AF526" s="378"/>
      <c r="AG526" s="417">
        <v>10073</v>
      </c>
      <c r="AH526" s="417">
        <v>10071</v>
      </c>
      <c r="AI526" s="417">
        <v>9237</v>
      </c>
      <c r="AJ526" s="417">
        <v>0</v>
      </c>
      <c r="AK526" s="417">
        <v>0</v>
      </c>
      <c r="AL526" s="378">
        <v>3.4969999999999999E-4</v>
      </c>
      <c r="AM526" s="378"/>
      <c r="AN526" s="417">
        <v>-14934</v>
      </c>
      <c r="AO526" s="417">
        <v>-14269</v>
      </c>
      <c r="AP526" s="417">
        <v>0</v>
      </c>
      <c r="AQ526" s="417">
        <v>0</v>
      </c>
      <c r="AR526" s="417">
        <v>0</v>
      </c>
    </row>
    <row r="527" spans="1:44">
      <c r="A527" s="377">
        <v>95617</v>
      </c>
      <c r="B527" t="s">
        <v>1228</v>
      </c>
      <c r="C527" s="378">
        <v>1.8199999999999999E-5</v>
      </c>
      <c r="D527" s="378"/>
      <c r="E527" s="417">
        <v>5851</v>
      </c>
      <c r="F527" s="417">
        <v>2305</v>
      </c>
      <c r="G527" s="417">
        <v>-196</v>
      </c>
      <c r="H527" s="417">
        <v>-12203</v>
      </c>
      <c r="I527" s="417">
        <v>0</v>
      </c>
      <c r="J527" s="378">
        <v>1.8199999999999999E-5</v>
      </c>
      <c r="K527" s="378"/>
      <c r="L527" s="417">
        <v>4456</v>
      </c>
      <c r="M527" s="417">
        <v>3077</v>
      </c>
      <c r="N527" s="417">
        <v>1347</v>
      </c>
      <c r="O527" s="417">
        <v>0</v>
      </c>
      <c r="P527" s="417">
        <v>0</v>
      </c>
      <c r="Q527" s="378">
        <v>1.8199999999999999E-5</v>
      </c>
      <c r="R527" s="378"/>
      <c r="S527" s="417">
        <v>-9143</v>
      </c>
      <c r="T527" s="417">
        <v>-9037</v>
      </c>
      <c r="U527" s="417">
        <v>-9494</v>
      </c>
      <c r="V527" s="417">
        <v>-12203</v>
      </c>
      <c r="W527" s="417">
        <v>0</v>
      </c>
      <c r="X527" s="378">
        <v>1.8199999999999999E-5</v>
      </c>
      <c r="Z527" s="417">
        <v>7291</v>
      </c>
      <c r="AA527" s="417">
        <v>5122</v>
      </c>
      <c r="AB527" s="417">
        <v>5122</v>
      </c>
      <c r="AC527" s="417">
        <v>0</v>
      </c>
      <c r="AD527" s="417">
        <v>0</v>
      </c>
      <c r="AE527" s="378">
        <v>1.8199999999999999E-5</v>
      </c>
      <c r="AF527" s="378"/>
      <c r="AG527" s="417">
        <v>3247</v>
      </c>
      <c r="AH527" s="417">
        <v>3143</v>
      </c>
      <c r="AI527" s="417">
        <v>2829</v>
      </c>
      <c r="AJ527" s="417">
        <v>0</v>
      </c>
      <c r="AK527" s="417">
        <v>0</v>
      </c>
      <c r="AL527" s="378">
        <v>1.8199999999999999E-5</v>
      </c>
      <c r="AM527" s="378"/>
      <c r="AN527" s="417">
        <v>0</v>
      </c>
      <c r="AO527" s="417">
        <v>0</v>
      </c>
      <c r="AP527" s="417">
        <v>0</v>
      </c>
      <c r="AQ527" s="417">
        <v>0</v>
      </c>
      <c r="AR527" s="417">
        <v>0</v>
      </c>
    </row>
    <row r="528" spans="1:44">
      <c r="A528" s="377">
        <v>95621</v>
      </c>
      <c r="B528" t="s">
        <v>1229</v>
      </c>
      <c r="C528" s="378">
        <v>4.793E-4</v>
      </c>
      <c r="D528" s="378"/>
      <c r="E528" s="417">
        <v>96562</v>
      </c>
      <c r="F528" s="417">
        <v>-4656</v>
      </c>
      <c r="G528" s="417">
        <v>-67750</v>
      </c>
      <c r="H528" s="417">
        <v>-321358</v>
      </c>
      <c r="I528" s="417">
        <v>0</v>
      </c>
      <c r="J528" s="378">
        <v>4.793E-4</v>
      </c>
      <c r="K528" s="378"/>
      <c r="L528" s="417">
        <v>117336</v>
      </c>
      <c r="M528" s="417">
        <v>81036</v>
      </c>
      <c r="N528" s="417">
        <v>35474</v>
      </c>
      <c r="O528" s="417">
        <v>0</v>
      </c>
      <c r="P528" s="417">
        <v>0</v>
      </c>
      <c r="Q528" s="378">
        <v>4.793E-4</v>
      </c>
      <c r="R528" s="378"/>
      <c r="S528" s="417">
        <v>-240785</v>
      </c>
      <c r="T528" s="417">
        <v>-237999</v>
      </c>
      <c r="U528" s="417">
        <v>-250027</v>
      </c>
      <c r="V528" s="417">
        <v>-321358</v>
      </c>
      <c r="W528" s="417">
        <v>0</v>
      </c>
      <c r="X528" s="378">
        <v>4.793E-4</v>
      </c>
      <c r="Z528" s="417">
        <v>192009</v>
      </c>
      <c r="AA528" s="417">
        <v>134897</v>
      </c>
      <c r="AB528" s="417">
        <v>134896</v>
      </c>
      <c r="AC528" s="417">
        <v>0</v>
      </c>
      <c r="AD528" s="417">
        <v>0</v>
      </c>
      <c r="AE528" s="378">
        <v>4.793E-4</v>
      </c>
      <c r="AF528" s="378"/>
      <c r="AG528" s="417">
        <v>33464</v>
      </c>
      <c r="AH528" s="417">
        <v>22873</v>
      </c>
      <c r="AI528" s="417">
        <v>11907</v>
      </c>
      <c r="AJ528" s="417">
        <v>0</v>
      </c>
      <c r="AK528" s="417">
        <v>0</v>
      </c>
      <c r="AL528" s="378">
        <v>4.793E-4</v>
      </c>
      <c r="AM528" s="378"/>
      <c r="AN528" s="417">
        <v>-5462</v>
      </c>
      <c r="AO528" s="417">
        <v>-5463</v>
      </c>
      <c r="AP528" s="417">
        <v>0</v>
      </c>
      <c r="AQ528" s="417">
        <v>0</v>
      </c>
      <c r="AR528" s="417">
        <v>0</v>
      </c>
    </row>
    <row r="529" spans="1:44">
      <c r="A529" s="377">
        <v>95701</v>
      </c>
      <c r="B529" t="s">
        <v>1230</v>
      </c>
      <c r="C529" s="378">
        <v>1.1892999999999999E-3</v>
      </c>
      <c r="D529" s="378"/>
      <c r="E529" s="417">
        <v>94515</v>
      </c>
      <c r="F529" s="417">
        <v>-111047</v>
      </c>
      <c r="G529" s="417">
        <v>-218610</v>
      </c>
      <c r="H529" s="417">
        <v>-797395</v>
      </c>
      <c r="I529" s="417">
        <v>0</v>
      </c>
      <c r="J529" s="378">
        <v>1.1892999999999999E-3</v>
      </c>
      <c r="K529" s="378"/>
      <c r="L529" s="417">
        <v>291150</v>
      </c>
      <c r="M529" s="417">
        <v>201077</v>
      </c>
      <c r="N529" s="417">
        <v>88022</v>
      </c>
      <c r="O529" s="417">
        <v>0</v>
      </c>
      <c r="P529" s="417">
        <v>0</v>
      </c>
      <c r="Q529" s="378">
        <v>1.1892999999999999E-3</v>
      </c>
      <c r="R529" s="378"/>
      <c r="S529" s="417">
        <v>-597466</v>
      </c>
      <c r="T529" s="417">
        <v>-590553</v>
      </c>
      <c r="U529" s="417">
        <v>-620400</v>
      </c>
      <c r="V529" s="417">
        <v>-797395</v>
      </c>
      <c r="W529" s="417">
        <v>0</v>
      </c>
      <c r="X529" s="378">
        <v>1.1892999999999999E-3</v>
      </c>
      <c r="Z529" s="417">
        <v>476436</v>
      </c>
      <c r="AA529" s="417">
        <v>334723</v>
      </c>
      <c r="AB529" s="417">
        <v>334720</v>
      </c>
      <c r="AC529" s="417">
        <v>0</v>
      </c>
      <c r="AD529" s="417">
        <v>0</v>
      </c>
      <c r="AE529" s="378">
        <v>1.1892999999999999E-3</v>
      </c>
      <c r="AF529" s="378"/>
      <c r="AG529" s="417">
        <v>0</v>
      </c>
      <c r="AH529" s="417">
        <v>0</v>
      </c>
      <c r="AI529" s="417">
        <v>0</v>
      </c>
      <c r="AJ529" s="417">
        <v>0</v>
      </c>
      <c r="AK529" s="417">
        <v>0</v>
      </c>
      <c r="AL529" s="378">
        <v>1.1892999999999999E-3</v>
      </c>
      <c r="AM529" s="378"/>
      <c r="AN529" s="417">
        <v>-75605</v>
      </c>
      <c r="AO529" s="417">
        <v>-56294</v>
      </c>
      <c r="AP529" s="417">
        <v>-20952</v>
      </c>
      <c r="AQ529" s="417">
        <v>0</v>
      </c>
      <c r="AR529" s="417">
        <v>0</v>
      </c>
    </row>
    <row r="530" spans="1:44">
      <c r="A530" s="377">
        <v>95711</v>
      </c>
      <c r="B530" t="s">
        <v>1231</v>
      </c>
      <c r="C530" s="378">
        <v>1.6249999999999999E-4</v>
      </c>
      <c r="D530" s="378"/>
      <c r="E530" s="417">
        <v>24106</v>
      </c>
      <c r="F530" s="417">
        <v>-5422</v>
      </c>
      <c r="G530" s="417">
        <v>-22971</v>
      </c>
      <c r="H530" s="417">
        <v>-108952</v>
      </c>
      <c r="I530" s="417">
        <v>0</v>
      </c>
      <c r="J530" s="378">
        <v>1.6249999999999999E-4</v>
      </c>
      <c r="K530" s="378"/>
      <c r="L530" s="417">
        <v>39781</v>
      </c>
      <c r="M530" s="417">
        <v>27474</v>
      </c>
      <c r="N530" s="417">
        <v>12027</v>
      </c>
      <c r="O530" s="417">
        <v>0</v>
      </c>
      <c r="P530" s="417">
        <v>0</v>
      </c>
      <c r="Q530" s="378">
        <v>1.6249999999999999E-4</v>
      </c>
      <c r="R530" s="378"/>
      <c r="S530" s="417">
        <v>-81635</v>
      </c>
      <c r="T530" s="417">
        <v>-80690</v>
      </c>
      <c r="U530" s="417">
        <v>-84768</v>
      </c>
      <c r="V530" s="417">
        <v>-108952</v>
      </c>
      <c r="W530" s="417">
        <v>0</v>
      </c>
      <c r="X530" s="378">
        <v>1.6249999999999999E-4</v>
      </c>
      <c r="Z530" s="417">
        <v>65098</v>
      </c>
      <c r="AA530" s="417">
        <v>45735</v>
      </c>
      <c r="AB530" s="417">
        <v>45734</v>
      </c>
      <c r="AC530" s="417">
        <v>0</v>
      </c>
      <c r="AD530" s="417">
        <v>0</v>
      </c>
      <c r="AE530" s="378">
        <v>1.6249999999999999E-4</v>
      </c>
      <c r="AF530" s="378"/>
      <c r="AG530" s="417">
        <v>4035</v>
      </c>
      <c r="AH530" s="417">
        <v>4035</v>
      </c>
      <c r="AI530" s="417">
        <v>4036</v>
      </c>
      <c r="AJ530" s="417">
        <v>0</v>
      </c>
      <c r="AK530" s="417">
        <v>0</v>
      </c>
      <c r="AL530" s="378">
        <v>1.6249999999999999E-4</v>
      </c>
      <c r="AM530" s="378"/>
      <c r="AN530" s="417">
        <v>-3173</v>
      </c>
      <c r="AO530" s="417">
        <v>-1976</v>
      </c>
      <c r="AP530" s="417">
        <v>0</v>
      </c>
      <c r="AQ530" s="417">
        <v>0</v>
      </c>
      <c r="AR530" s="417">
        <v>0</v>
      </c>
    </row>
    <row r="531" spans="1:44">
      <c r="A531" s="377">
        <v>95721</v>
      </c>
      <c r="B531" t="s">
        <v>1232</v>
      </c>
      <c r="C531" s="378">
        <v>6.1799999999999998E-5</v>
      </c>
      <c r="D531" s="378"/>
      <c r="E531" s="417">
        <v>9683</v>
      </c>
      <c r="F531" s="417">
        <v>-1609</v>
      </c>
      <c r="G531" s="417">
        <v>-3405</v>
      </c>
      <c r="H531" s="417">
        <v>-41435</v>
      </c>
      <c r="I531" s="417">
        <v>0</v>
      </c>
      <c r="J531" s="378">
        <v>6.1799999999999998E-5</v>
      </c>
      <c r="K531" s="378"/>
      <c r="L531" s="417">
        <v>15129</v>
      </c>
      <c r="M531" s="417">
        <v>10449</v>
      </c>
      <c r="N531" s="417">
        <v>4574</v>
      </c>
      <c r="O531" s="417">
        <v>0</v>
      </c>
      <c r="P531" s="417">
        <v>0</v>
      </c>
      <c r="Q531" s="378">
        <v>6.1799999999999998E-5</v>
      </c>
      <c r="R531" s="378"/>
      <c r="S531" s="417">
        <v>-31046</v>
      </c>
      <c r="T531" s="417">
        <v>-30687</v>
      </c>
      <c r="U531" s="417">
        <v>-32238</v>
      </c>
      <c r="V531" s="417">
        <v>-41435</v>
      </c>
      <c r="W531" s="417">
        <v>0</v>
      </c>
      <c r="X531" s="378">
        <v>6.1799999999999998E-5</v>
      </c>
      <c r="Z531" s="417">
        <v>24757</v>
      </c>
      <c r="AA531" s="417">
        <v>17393</v>
      </c>
      <c r="AB531" s="417">
        <v>17393</v>
      </c>
      <c r="AC531" s="417">
        <v>0</v>
      </c>
      <c r="AD531" s="417">
        <v>0</v>
      </c>
      <c r="AE531" s="378">
        <v>6.1799999999999998E-5</v>
      </c>
      <c r="AF531" s="378"/>
      <c r="AG531" s="417">
        <v>6865</v>
      </c>
      <c r="AH531" s="417">
        <v>6865</v>
      </c>
      <c r="AI531" s="417">
        <v>6866</v>
      </c>
      <c r="AJ531" s="417">
        <v>0</v>
      </c>
      <c r="AK531" s="417">
        <v>0</v>
      </c>
      <c r="AL531" s="378">
        <v>6.1799999999999998E-5</v>
      </c>
      <c r="AM531" s="378"/>
      <c r="AN531" s="417">
        <v>-6022</v>
      </c>
      <c r="AO531" s="417">
        <v>-5629</v>
      </c>
      <c r="AP531" s="417">
        <v>0</v>
      </c>
      <c r="AQ531" s="417">
        <v>0</v>
      </c>
      <c r="AR531" s="417">
        <v>0</v>
      </c>
    </row>
    <row r="532" spans="1:44">
      <c r="A532" s="377">
        <v>95733</v>
      </c>
      <c r="B532" t="s">
        <v>1233</v>
      </c>
      <c r="C532" s="378">
        <v>1.36E-5</v>
      </c>
      <c r="D532" s="378"/>
      <c r="E532" s="417">
        <v>2070</v>
      </c>
      <c r="F532" s="417">
        <v>-512</v>
      </c>
      <c r="G532" s="417">
        <v>-1804</v>
      </c>
      <c r="H532" s="417">
        <v>-9118</v>
      </c>
      <c r="I532" s="417">
        <v>0</v>
      </c>
      <c r="J532" s="378">
        <v>1.36E-5</v>
      </c>
      <c r="K532" s="378"/>
      <c r="L532" s="417">
        <v>3329</v>
      </c>
      <c r="M532" s="417">
        <v>2299</v>
      </c>
      <c r="N532" s="417">
        <v>1007</v>
      </c>
      <c r="O532" s="417">
        <v>0</v>
      </c>
      <c r="P532" s="417">
        <v>0</v>
      </c>
      <c r="Q532" s="378">
        <v>1.36E-5</v>
      </c>
      <c r="R532" s="378"/>
      <c r="S532" s="417">
        <v>-6832</v>
      </c>
      <c r="T532" s="417">
        <v>-6753</v>
      </c>
      <c r="U532" s="417">
        <v>-7094</v>
      </c>
      <c r="V532" s="417">
        <v>-9118</v>
      </c>
      <c r="W532" s="417">
        <v>0</v>
      </c>
      <c r="X532" s="378">
        <v>1.36E-5</v>
      </c>
      <c r="Z532" s="417">
        <v>5448</v>
      </c>
      <c r="AA532" s="417">
        <v>3828</v>
      </c>
      <c r="AB532" s="417">
        <v>3828</v>
      </c>
      <c r="AC532" s="417">
        <v>0</v>
      </c>
      <c r="AD532" s="417">
        <v>0</v>
      </c>
      <c r="AE532" s="378">
        <v>1.36E-5</v>
      </c>
      <c r="AF532" s="378"/>
      <c r="AG532" s="417">
        <v>470</v>
      </c>
      <c r="AH532" s="417">
        <v>457</v>
      </c>
      <c r="AI532" s="417">
        <v>455</v>
      </c>
      <c r="AJ532" s="417">
        <v>0</v>
      </c>
      <c r="AK532" s="417">
        <v>0</v>
      </c>
      <c r="AL532" s="378">
        <v>1.36E-5</v>
      </c>
      <c r="AM532" s="378"/>
      <c r="AN532" s="417">
        <v>-345</v>
      </c>
      <c r="AO532" s="417">
        <v>-343</v>
      </c>
      <c r="AP532" s="417">
        <v>0</v>
      </c>
      <c r="AQ532" s="417">
        <v>0</v>
      </c>
      <c r="AR532" s="417">
        <v>0</v>
      </c>
    </row>
    <row r="533" spans="1:44">
      <c r="A533" s="377">
        <v>95801</v>
      </c>
      <c r="B533" t="s">
        <v>1234</v>
      </c>
      <c r="C533" s="378">
        <v>8.8820000000000001E-4</v>
      </c>
      <c r="D533" s="378"/>
      <c r="E533" s="417">
        <v>124472</v>
      </c>
      <c r="F533" s="417">
        <v>-49100</v>
      </c>
      <c r="G533" s="417">
        <v>-154741</v>
      </c>
      <c r="H533" s="417">
        <v>-595515</v>
      </c>
      <c r="I533" s="417">
        <v>0</v>
      </c>
      <c r="J533" s="378">
        <v>8.8820000000000001E-4</v>
      </c>
      <c r="K533" s="378"/>
      <c r="L533" s="417">
        <v>217438</v>
      </c>
      <c r="M533" s="417">
        <v>150170</v>
      </c>
      <c r="N533" s="417">
        <v>65737</v>
      </c>
      <c r="O533" s="417">
        <v>0</v>
      </c>
      <c r="P533" s="417">
        <v>0</v>
      </c>
      <c r="Q533" s="378">
        <v>8.8820000000000001E-4</v>
      </c>
      <c r="R533" s="378"/>
      <c r="S533" s="417">
        <v>-446203</v>
      </c>
      <c r="T533" s="417">
        <v>-441040</v>
      </c>
      <c r="U533" s="417">
        <v>-463330</v>
      </c>
      <c r="V533" s="417">
        <v>-595515</v>
      </c>
      <c r="W533" s="417">
        <v>0</v>
      </c>
      <c r="X533" s="378">
        <v>8.8820000000000001E-4</v>
      </c>
      <c r="Z533" s="417">
        <v>355815</v>
      </c>
      <c r="AA533" s="417">
        <v>249979</v>
      </c>
      <c r="AB533" s="417">
        <v>249978</v>
      </c>
      <c r="AC533" s="417">
        <v>0</v>
      </c>
      <c r="AD533" s="417">
        <v>0</v>
      </c>
      <c r="AE533" s="378">
        <v>8.8820000000000001E-4</v>
      </c>
      <c r="AF533" s="378"/>
      <c r="AG533" s="417">
        <v>5634</v>
      </c>
      <c r="AH533" s="417">
        <v>0</v>
      </c>
      <c r="AI533" s="417">
        <v>0</v>
      </c>
      <c r="AJ533" s="417">
        <v>0</v>
      </c>
      <c r="AK533" s="417">
        <v>0</v>
      </c>
      <c r="AL533" s="378">
        <v>8.8820000000000001E-4</v>
      </c>
      <c r="AM533" s="378"/>
      <c r="AN533" s="417">
        <v>-8212</v>
      </c>
      <c r="AO533" s="417">
        <v>-8209</v>
      </c>
      <c r="AP533" s="417">
        <v>-7126</v>
      </c>
      <c r="AQ533" s="417">
        <v>0</v>
      </c>
      <c r="AR533" s="417">
        <v>0</v>
      </c>
    </row>
    <row r="534" spans="1:44">
      <c r="A534" s="377">
        <v>95802</v>
      </c>
      <c r="B534" t="s">
        <v>1235</v>
      </c>
      <c r="C534" s="378">
        <v>6.9E-6</v>
      </c>
      <c r="D534" s="378"/>
      <c r="E534" s="417">
        <v>5254</v>
      </c>
      <c r="F534" s="417">
        <v>3449</v>
      </c>
      <c r="G534" s="417">
        <v>921</v>
      </c>
      <c r="H534" s="417">
        <v>-4626</v>
      </c>
      <c r="I534" s="417">
        <v>0</v>
      </c>
      <c r="J534" s="378">
        <v>6.9E-6</v>
      </c>
      <c r="K534" s="378"/>
      <c r="L534" s="417">
        <v>1689</v>
      </c>
      <c r="M534" s="417">
        <v>1167</v>
      </c>
      <c r="N534" s="417">
        <v>511</v>
      </c>
      <c r="O534" s="417">
        <v>0</v>
      </c>
      <c r="P534" s="417">
        <v>0</v>
      </c>
      <c r="Q534" s="378">
        <v>6.9E-6</v>
      </c>
      <c r="R534" s="378"/>
      <c r="S534" s="417">
        <v>-3466</v>
      </c>
      <c r="T534" s="417">
        <v>-3426</v>
      </c>
      <c r="U534" s="417">
        <v>-3599</v>
      </c>
      <c r="V534" s="417">
        <v>-4626</v>
      </c>
      <c r="W534" s="417">
        <v>0</v>
      </c>
      <c r="X534" s="378">
        <v>6.9E-6</v>
      </c>
      <c r="Z534" s="417">
        <v>2764</v>
      </c>
      <c r="AA534" s="417">
        <v>1942</v>
      </c>
      <c r="AB534" s="417">
        <v>1942</v>
      </c>
      <c r="AC534" s="417">
        <v>0</v>
      </c>
      <c r="AD534" s="417">
        <v>0</v>
      </c>
      <c r="AE534" s="378">
        <v>6.9E-6</v>
      </c>
      <c r="AF534" s="378"/>
      <c r="AG534" s="417">
        <v>4267</v>
      </c>
      <c r="AH534" s="417">
        <v>3766</v>
      </c>
      <c r="AI534" s="417">
        <v>2067</v>
      </c>
      <c r="AJ534" s="417">
        <v>0</v>
      </c>
      <c r="AK534" s="417">
        <v>0</v>
      </c>
      <c r="AL534" s="378">
        <v>6.9E-6</v>
      </c>
      <c r="AM534" s="378"/>
      <c r="AN534" s="417">
        <v>0</v>
      </c>
      <c r="AO534" s="417">
        <v>0</v>
      </c>
      <c r="AP534" s="417">
        <v>0</v>
      </c>
      <c r="AQ534" s="417">
        <v>0</v>
      </c>
      <c r="AR534" s="417">
        <v>0</v>
      </c>
    </row>
    <row r="535" spans="1:44">
      <c r="A535" s="377">
        <v>95804</v>
      </c>
      <c r="B535" t="s">
        <v>1236</v>
      </c>
      <c r="C535" s="378">
        <v>2.5299999999999998E-5</v>
      </c>
      <c r="D535" s="378"/>
      <c r="E535" s="417">
        <v>1339</v>
      </c>
      <c r="F535" s="417">
        <v>-2852</v>
      </c>
      <c r="G535" s="417">
        <v>-5372</v>
      </c>
      <c r="H535" s="417">
        <v>-16963</v>
      </c>
      <c r="I535" s="417">
        <v>0</v>
      </c>
      <c r="J535" s="378">
        <v>2.5299999999999998E-5</v>
      </c>
      <c r="K535" s="378"/>
      <c r="L535" s="417">
        <v>6194</v>
      </c>
      <c r="M535" s="417">
        <v>4278</v>
      </c>
      <c r="N535" s="417">
        <v>1873</v>
      </c>
      <c r="O535" s="417">
        <v>0</v>
      </c>
      <c r="P535" s="417">
        <v>0</v>
      </c>
      <c r="Q535" s="378">
        <v>2.5299999999999998E-5</v>
      </c>
      <c r="R535" s="378"/>
      <c r="S535" s="417">
        <v>-12710</v>
      </c>
      <c r="T535" s="417">
        <v>-12563</v>
      </c>
      <c r="U535" s="417">
        <v>-13198</v>
      </c>
      <c r="V535" s="417">
        <v>-16963</v>
      </c>
      <c r="W535" s="417">
        <v>0</v>
      </c>
      <c r="X535" s="378">
        <v>2.5299999999999998E-5</v>
      </c>
      <c r="Z535" s="417">
        <v>10135</v>
      </c>
      <c r="AA535" s="417">
        <v>7121</v>
      </c>
      <c r="AB535" s="417">
        <v>7121</v>
      </c>
      <c r="AC535" s="417">
        <v>0</v>
      </c>
      <c r="AD535" s="417">
        <v>0</v>
      </c>
      <c r="AE535" s="378">
        <v>2.5299999999999998E-5</v>
      </c>
      <c r="AF535" s="378"/>
      <c r="AG535" s="417">
        <v>212</v>
      </c>
      <c r="AH535" s="417">
        <v>214</v>
      </c>
      <c r="AI535" s="417">
        <v>0</v>
      </c>
      <c r="AJ535" s="417">
        <v>0</v>
      </c>
      <c r="AK535" s="417">
        <v>0</v>
      </c>
      <c r="AL535" s="378">
        <v>2.5299999999999998E-5</v>
      </c>
      <c r="AM535" s="378"/>
      <c r="AN535" s="417">
        <v>-2492</v>
      </c>
      <c r="AO535" s="417">
        <v>-1902</v>
      </c>
      <c r="AP535" s="417">
        <v>-1168</v>
      </c>
      <c r="AQ535" s="417">
        <v>0</v>
      </c>
      <c r="AR535" s="417">
        <v>0</v>
      </c>
    </row>
    <row r="536" spans="1:44">
      <c r="A536" s="377">
        <v>95811</v>
      </c>
      <c r="B536" t="s">
        <v>1237</v>
      </c>
      <c r="C536" s="378">
        <v>5.2939999999999997E-4</v>
      </c>
      <c r="D536" s="378"/>
      <c r="E536" s="417">
        <v>66065</v>
      </c>
      <c r="F536" s="417">
        <v>-34234</v>
      </c>
      <c r="G536" s="417">
        <v>-104865</v>
      </c>
      <c r="H536" s="417">
        <v>-354949</v>
      </c>
      <c r="I536" s="417">
        <v>0</v>
      </c>
      <c r="J536" s="378">
        <v>5.2939999999999997E-4</v>
      </c>
      <c r="K536" s="378"/>
      <c r="L536" s="417">
        <v>129601</v>
      </c>
      <c r="M536" s="417">
        <v>89507</v>
      </c>
      <c r="N536" s="417">
        <v>39182</v>
      </c>
      <c r="O536" s="417">
        <v>0</v>
      </c>
      <c r="P536" s="417">
        <v>0</v>
      </c>
      <c r="Q536" s="378">
        <v>5.2939999999999997E-4</v>
      </c>
      <c r="R536" s="378"/>
      <c r="S536" s="417">
        <v>-265954</v>
      </c>
      <c r="T536" s="417">
        <v>-262876</v>
      </c>
      <c r="U536" s="417">
        <v>-276162</v>
      </c>
      <c r="V536" s="417">
        <v>-354949</v>
      </c>
      <c r="W536" s="417">
        <v>0</v>
      </c>
      <c r="X536" s="378">
        <v>5.2939999999999997E-4</v>
      </c>
      <c r="Z536" s="417">
        <v>212079</v>
      </c>
      <c r="AA536" s="417">
        <v>148997</v>
      </c>
      <c r="AB536" s="417">
        <v>148996</v>
      </c>
      <c r="AC536" s="417">
        <v>0</v>
      </c>
      <c r="AD536" s="417">
        <v>0</v>
      </c>
      <c r="AE536" s="378">
        <v>5.2939999999999997E-4</v>
      </c>
      <c r="AF536" s="378"/>
      <c r="AG536" s="417">
        <v>7222</v>
      </c>
      <c r="AH536" s="417">
        <v>7021</v>
      </c>
      <c r="AI536" s="417">
        <v>0</v>
      </c>
      <c r="AJ536" s="417">
        <v>0</v>
      </c>
      <c r="AK536" s="417">
        <v>0</v>
      </c>
      <c r="AL536" s="378">
        <v>5.2939999999999997E-4</v>
      </c>
      <c r="AM536" s="378"/>
      <c r="AN536" s="417">
        <v>-16883</v>
      </c>
      <c r="AO536" s="417">
        <v>-16883</v>
      </c>
      <c r="AP536" s="417">
        <v>-16881</v>
      </c>
      <c r="AQ536" s="417">
        <v>0</v>
      </c>
      <c r="AR536" s="417">
        <v>0</v>
      </c>
    </row>
    <row r="537" spans="1:44">
      <c r="A537" s="377">
        <v>95813</v>
      </c>
      <c r="B537" t="s">
        <v>1238</v>
      </c>
      <c r="C537" s="378">
        <v>4.6100000000000002E-5</v>
      </c>
      <c r="D537" s="378"/>
      <c r="E537" s="417">
        <v>28978</v>
      </c>
      <c r="F537" s="417">
        <v>10599</v>
      </c>
      <c r="G537" s="417">
        <v>-2722</v>
      </c>
      <c r="H537" s="417">
        <v>-30909</v>
      </c>
      <c r="I537" s="417">
        <v>0</v>
      </c>
      <c r="J537" s="378">
        <v>4.6100000000000002E-5</v>
      </c>
      <c r="K537" s="378"/>
      <c r="L537" s="417">
        <v>11286</v>
      </c>
      <c r="M537" s="417">
        <v>7794</v>
      </c>
      <c r="N537" s="417">
        <v>3412</v>
      </c>
      <c r="O537" s="417">
        <v>0</v>
      </c>
      <c r="P537" s="417">
        <v>0</v>
      </c>
      <c r="Q537" s="378">
        <v>4.6100000000000002E-5</v>
      </c>
      <c r="R537" s="378"/>
      <c r="S537" s="417">
        <v>-23159</v>
      </c>
      <c r="T537" s="417">
        <v>-22891</v>
      </c>
      <c r="U537" s="417">
        <v>-24048</v>
      </c>
      <c r="V537" s="417">
        <v>-30909</v>
      </c>
      <c r="W537" s="417">
        <v>0</v>
      </c>
      <c r="X537" s="378">
        <v>4.6100000000000002E-5</v>
      </c>
      <c r="Z537" s="417">
        <v>18468</v>
      </c>
      <c r="AA537" s="417">
        <v>12975</v>
      </c>
      <c r="AB537" s="417">
        <v>12975</v>
      </c>
      <c r="AC537" s="417">
        <v>0</v>
      </c>
      <c r="AD537" s="417">
        <v>0</v>
      </c>
      <c r="AE537" s="378">
        <v>4.6100000000000002E-5</v>
      </c>
      <c r="AF537" s="378"/>
      <c r="AG537" s="417">
        <v>22383</v>
      </c>
      <c r="AH537" s="417">
        <v>12721</v>
      </c>
      <c r="AI537" s="417">
        <v>4939</v>
      </c>
      <c r="AJ537" s="417">
        <v>0</v>
      </c>
      <c r="AK537" s="417">
        <v>0</v>
      </c>
      <c r="AL537" s="378">
        <v>4.6100000000000002E-5</v>
      </c>
      <c r="AM537" s="378"/>
      <c r="AN537" s="417">
        <v>0</v>
      </c>
      <c r="AO537" s="417">
        <v>0</v>
      </c>
      <c r="AP537" s="417">
        <v>0</v>
      </c>
      <c r="AQ537" s="417">
        <v>0</v>
      </c>
      <c r="AR537" s="417">
        <v>0</v>
      </c>
    </row>
    <row r="538" spans="1:44">
      <c r="A538" s="377">
        <v>95821</v>
      </c>
      <c r="B538" t="s">
        <v>1239</v>
      </c>
      <c r="C538" s="378">
        <v>7.0999999999999998E-6</v>
      </c>
      <c r="D538" s="378"/>
      <c r="E538" s="417">
        <v>2822</v>
      </c>
      <c r="F538" s="417">
        <v>1073</v>
      </c>
      <c r="G538" s="417">
        <v>-768</v>
      </c>
      <c r="H538" s="417">
        <v>-4760</v>
      </c>
      <c r="I538" s="417">
        <v>0</v>
      </c>
      <c r="J538" s="378">
        <v>7.0999999999999998E-6</v>
      </c>
      <c r="K538" s="378"/>
      <c r="L538" s="417">
        <v>1738</v>
      </c>
      <c r="M538" s="417">
        <v>1200</v>
      </c>
      <c r="N538" s="417">
        <v>525</v>
      </c>
      <c r="O538" s="417">
        <v>0</v>
      </c>
      <c r="P538" s="417">
        <v>0</v>
      </c>
      <c r="Q538" s="378">
        <v>7.0999999999999998E-6</v>
      </c>
      <c r="R538" s="378"/>
      <c r="S538" s="417">
        <v>-3567</v>
      </c>
      <c r="T538" s="417">
        <v>-3526</v>
      </c>
      <c r="U538" s="417">
        <v>-3704</v>
      </c>
      <c r="V538" s="417">
        <v>-4760</v>
      </c>
      <c r="W538" s="417">
        <v>0</v>
      </c>
      <c r="X538" s="378">
        <v>7.0999999999999998E-6</v>
      </c>
      <c r="Z538" s="417">
        <v>2844</v>
      </c>
      <c r="AA538" s="417">
        <v>1998</v>
      </c>
      <c r="AB538" s="417">
        <v>1998</v>
      </c>
      <c r="AC538" s="417">
        <v>0</v>
      </c>
      <c r="AD538" s="417">
        <v>0</v>
      </c>
      <c r="AE538" s="378">
        <v>7.0999999999999998E-6</v>
      </c>
      <c r="AF538" s="378"/>
      <c r="AG538" s="417">
        <v>2037</v>
      </c>
      <c r="AH538" s="417">
        <v>1632</v>
      </c>
      <c r="AI538" s="417">
        <v>413</v>
      </c>
      <c r="AJ538" s="417">
        <v>0</v>
      </c>
      <c r="AK538" s="417">
        <v>0</v>
      </c>
      <c r="AL538" s="378">
        <v>7.0999999999999998E-6</v>
      </c>
      <c r="AM538" s="378"/>
      <c r="AN538" s="417">
        <v>-230</v>
      </c>
      <c r="AO538" s="417">
        <v>-231</v>
      </c>
      <c r="AP538" s="417">
        <v>0</v>
      </c>
      <c r="AQ538" s="417">
        <v>0</v>
      </c>
      <c r="AR538" s="417">
        <v>0</v>
      </c>
    </row>
    <row r="539" spans="1:44">
      <c r="A539" s="377">
        <v>95831</v>
      </c>
      <c r="B539" t="s">
        <v>1240</v>
      </c>
      <c r="C539" s="378">
        <v>2.02E-5</v>
      </c>
      <c r="D539" s="378"/>
      <c r="E539" s="417">
        <v>12453</v>
      </c>
      <c r="F539" s="417">
        <v>6052</v>
      </c>
      <c r="G539" s="417">
        <v>1765</v>
      </c>
      <c r="H539" s="417">
        <v>-13544</v>
      </c>
      <c r="I539" s="417">
        <v>0</v>
      </c>
      <c r="J539" s="378">
        <v>2.02E-5</v>
      </c>
      <c r="K539" s="378"/>
      <c r="L539" s="417">
        <v>4945</v>
      </c>
      <c r="M539" s="417">
        <v>3415</v>
      </c>
      <c r="N539" s="417">
        <v>1495</v>
      </c>
      <c r="O539" s="417">
        <v>0</v>
      </c>
      <c r="P539" s="417">
        <v>0</v>
      </c>
      <c r="Q539" s="378">
        <v>2.02E-5</v>
      </c>
      <c r="R539" s="378"/>
      <c r="S539" s="417">
        <v>-10148</v>
      </c>
      <c r="T539" s="417">
        <v>-10030</v>
      </c>
      <c r="U539" s="417">
        <v>-10537</v>
      </c>
      <c r="V539" s="417">
        <v>-13544</v>
      </c>
      <c r="W539" s="417">
        <v>0</v>
      </c>
      <c r="X539" s="378">
        <v>2.02E-5</v>
      </c>
      <c r="Z539" s="417">
        <v>8092</v>
      </c>
      <c r="AA539" s="417">
        <v>5685</v>
      </c>
      <c r="AB539" s="417">
        <v>5685</v>
      </c>
      <c r="AC539" s="417">
        <v>0</v>
      </c>
      <c r="AD539" s="417">
        <v>0</v>
      </c>
      <c r="AE539" s="378">
        <v>2.02E-5</v>
      </c>
      <c r="AF539" s="378"/>
      <c r="AG539" s="417">
        <v>9564</v>
      </c>
      <c r="AH539" s="417">
        <v>6982</v>
      </c>
      <c r="AI539" s="417">
        <v>5122</v>
      </c>
      <c r="AJ539" s="417">
        <v>0</v>
      </c>
      <c r="AK539" s="417">
        <v>0</v>
      </c>
      <c r="AL539" s="378">
        <v>2.02E-5</v>
      </c>
      <c r="AM539" s="378"/>
      <c r="AN539" s="417">
        <v>0</v>
      </c>
      <c r="AO539" s="417">
        <v>0</v>
      </c>
      <c r="AP539" s="417">
        <v>0</v>
      </c>
      <c r="AQ539" s="417">
        <v>0</v>
      </c>
      <c r="AR539" s="417">
        <v>0</v>
      </c>
    </row>
    <row r="540" spans="1:44">
      <c r="A540" s="377">
        <v>95841</v>
      </c>
      <c r="B540" t="s">
        <v>1241</v>
      </c>
      <c r="C540" s="378">
        <v>2.5299999999999998E-5</v>
      </c>
      <c r="D540" s="378"/>
      <c r="E540" s="417">
        <v>3510</v>
      </c>
      <c r="F540" s="417">
        <v>-1703</v>
      </c>
      <c r="G540" s="417">
        <v>-5453</v>
      </c>
      <c r="H540" s="417">
        <v>-16963</v>
      </c>
      <c r="I540" s="417">
        <v>0</v>
      </c>
      <c r="J540" s="378">
        <v>2.5299999999999998E-5</v>
      </c>
      <c r="K540" s="378"/>
      <c r="L540" s="417">
        <v>6194</v>
      </c>
      <c r="M540" s="417">
        <v>4278</v>
      </c>
      <c r="N540" s="417">
        <v>1873</v>
      </c>
      <c r="O540" s="417">
        <v>0</v>
      </c>
      <c r="P540" s="417">
        <v>0</v>
      </c>
      <c r="Q540" s="378">
        <v>2.5299999999999998E-5</v>
      </c>
      <c r="R540" s="378"/>
      <c r="S540" s="417">
        <v>-12710</v>
      </c>
      <c r="T540" s="417">
        <v>-12563</v>
      </c>
      <c r="U540" s="417">
        <v>-13198</v>
      </c>
      <c r="V540" s="417">
        <v>-16963</v>
      </c>
      <c r="W540" s="417">
        <v>0</v>
      </c>
      <c r="X540" s="378">
        <v>2.5299999999999998E-5</v>
      </c>
      <c r="Z540" s="417">
        <v>10135</v>
      </c>
      <c r="AA540" s="417">
        <v>7121</v>
      </c>
      <c r="AB540" s="417">
        <v>7121</v>
      </c>
      <c r="AC540" s="417">
        <v>0</v>
      </c>
      <c r="AD540" s="417">
        <v>0</v>
      </c>
      <c r="AE540" s="378">
        <v>2.5299999999999998E-5</v>
      </c>
      <c r="AF540" s="378"/>
      <c r="AG540" s="417">
        <v>1430</v>
      </c>
      <c r="AH540" s="417">
        <v>1000</v>
      </c>
      <c r="AI540" s="417">
        <v>0</v>
      </c>
      <c r="AJ540" s="417">
        <v>0</v>
      </c>
      <c r="AK540" s="417">
        <v>0</v>
      </c>
      <c r="AL540" s="378">
        <v>2.5299999999999998E-5</v>
      </c>
      <c r="AM540" s="378"/>
      <c r="AN540" s="417">
        <v>-1539</v>
      </c>
      <c r="AO540" s="417">
        <v>-1539</v>
      </c>
      <c r="AP540" s="417">
        <v>-1249</v>
      </c>
      <c r="AQ540" s="417">
        <v>0</v>
      </c>
      <c r="AR540" s="417">
        <v>0</v>
      </c>
    </row>
    <row r="541" spans="1:44">
      <c r="A541" s="377">
        <v>95851</v>
      </c>
      <c r="B541" t="s">
        <v>1242</v>
      </c>
      <c r="C541" s="378">
        <v>1.0840000000000001E-4</v>
      </c>
      <c r="D541" s="378"/>
      <c r="E541" s="417">
        <v>32367</v>
      </c>
      <c r="F541" s="417">
        <v>-4355</v>
      </c>
      <c r="G541" s="417">
        <v>-28749</v>
      </c>
      <c r="H541" s="417">
        <v>-72679</v>
      </c>
      <c r="I541" s="417">
        <v>0</v>
      </c>
      <c r="J541" s="378">
        <v>1.0840000000000001E-4</v>
      </c>
      <c r="K541" s="378"/>
      <c r="L541" s="417">
        <v>26537</v>
      </c>
      <c r="M541" s="417">
        <v>18327</v>
      </c>
      <c r="N541" s="417">
        <v>8023</v>
      </c>
      <c r="O541" s="417">
        <v>0</v>
      </c>
      <c r="P541" s="417">
        <v>0</v>
      </c>
      <c r="Q541" s="378">
        <v>1.0840000000000001E-4</v>
      </c>
      <c r="R541" s="378"/>
      <c r="S541" s="417">
        <v>-54457</v>
      </c>
      <c r="T541" s="417">
        <v>-53827</v>
      </c>
      <c r="U541" s="417">
        <v>-56547</v>
      </c>
      <c r="V541" s="417">
        <v>-72679</v>
      </c>
      <c r="W541" s="417">
        <v>0</v>
      </c>
      <c r="X541" s="378">
        <v>1.0840000000000001E-4</v>
      </c>
      <c r="Z541" s="417">
        <v>43425</v>
      </c>
      <c r="AA541" s="417">
        <v>30509</v>
      </c>
      <c r="AB541" s="417">
        <v>30508</v>
      </c>
      <c r="AC541" s="417">
        <v>0</v>
      </c>
      <c r="AD541" s="417">
        <v>0</v>
      </c>
      <c r="AE541" s="378">
        <v>1.0840000000000001E-4</v>
      </c>
      <c r="AF541" s="378"/>
      <c r="AG541" s="417">
        <v>28067</v>
      </c>
      <c r="AH541" s="417">
        <v>11842</v>
      </c>
      <c r="AI541" s="417">
        <v>0</v>
      </c>
      <c r="AJ541" s="417">
        <v>0</v>
      </c>
      <c r="AK541" s="417">
        <v>0</v>
      </c>
      <c r="AL541" s="378">
        <v>1.0840000000000001E-4</v>
      </c>
      <c r="AM541" s="378"/>
      <c r="AN541" s="417">
        <v>-11205</v>
      </c>
      <c r="AO541" s="417">
        <v>-11206</v>
      </c>
      <c r="AP541" s="417">
        <v>-10733</v>
      </c>
      <c r="AQ541" s="417">
        <v>0</v>
      </c>
      <c r="AR541" s="417">
        <v>0</v>
      </c>
    </row>
    <row r="542" spans="1:44">
      <c r="A542" s="377">
        <v>95853</v>
      </c>
      <c r="B542" t="s">
        <v>1243</v>
      </c>
      <c r="C542" s="378">
        <v>2.8E-5</v>
      </c>
      <c r="D542" s="378"/>
      <c r="E542" s="417">
        <v>4069</v>
      </c>
      <c r="F542" s="417">
        <v>-2139</v>
      </c>
      <c r="G542" s="417">
        <v>-5304</v>
      </c>
      <c r="H542" s="417">
        <v>-18773</v>
      </c>
      <c r="I542" s="417">
        <v>0</v>
      </c>
      <c r="J542" s="378">
        <v>2.8E-5</v>
      </c>
      <c r="K542" s="378"/>
      <c r="L542" s="417">
        <v>6855</v>
      </c>
      <c r="M542" s="417">
        <v>4734</v>
      </c>
      <c r="N542" s="417">
        <v>2072</v>
      </c>
      <c r="O542" s="417">
        <v>0</v>
      </c>
      <c r="P542" s="417">
        <v>0</v>
      </c>
      <c r="Q542" s="378">
        <v>2.8E-5</v>
      </c>
      <c r="R542" s="378"/>
      <c r="S542" s="417">
        <v>-14066</v>
      </c>
      <c r="T542" s="417">
        <v>-13904</v>
      </c>
      <c r="U542" s="417">
        <v>-14606</v>
      </c>
      <c r="V542" s="417">
        <v>-18773</v>
      </c>
      <c r="W542" s="417">
        <v>0</v>
      </c>
      <c r="X542" s="378">
        <v>2.8E-5</v>
      </c>
      <c r="Z542" s="417">
        <v>11217</v>
      </c>
      <c r="AA542" s="417">
        <v>7880</v>
      </c>
      <c r="AB542" s="417">
        <v>7880</v>
      </c>
      <c r="AC542" s="417">
        <v>0</v>
      </c>
      <c r="AD542" s="417">
        <v>0</v>
      </c>
      <c r="AE542" s="378">
        <v>2.8E-5</v>
      </c>
      <c r="AF542" s="378"/>
      <c r="AG542" s="417">
        <v>913</v>
      </c>
      <c r="AH542" s="417">
        <v>0</v>
      </c>
      <c r="AI542" s="417">
        <v>0</v>
      </c>
      <c r="AJ542" s="417">
        <v>0</v>
      </c>
      <c r="AK542" s="417">
        <v>0</v>
      </c>
      <c r="AL542" s="378">
        <v>2.8E-5</v>
      </c>
      <c r="AM542" s="378"/>
      <c r="AN542" s="417">
        <v>-850</v>
      </c>
      <c r="AO542" s="417">
        <v>-849</v>
      </c>
      <c r="AP542" s="417">
        <v>-650</v>
      </c>
      <c r="AQ542" s="417">
        <v>0</v>
      </c>
      <c r="AR542" s="417">
        <v>0</v>
      </c>
    </row>
    <row r="543" spans="1:44">
      <c r="A543" s="377">
        <v>95901</v>
      </c>
      <c r="B543" t="s">
        <v>1244</v>
      </c>
      <c r="C543" s="378">
        <v>2.0098999999999998E-3</v>
      </c>
      <c r="D543" s="378"/>
      <c r="E543" s="417">
        <v>290461</v>
      </c>
      <c r="F543" s="417">
        <v>-88941</v>
      </c>
      <c r="G543" s="417">
        <v>-319931</v>
      </c>
      <c r="H543" s="417">
        <v>-1347586</v>
      </c>
      <c r="I543" s="417">
        <v>0</v>
      </c>
      <c r="J543" s="378">
        <v>2.0098999999999998E-3</v>
      </c>
      <c r="K543" s="378"/>
      <c r="L543" s="417">
        <v>492040</v>
      </c>
      <c r="M543" s="417">
        <v>339818</v>
      </c>
      <c r="N543" s="417">
        <v>148757</v>
      </c>
      <c r="O543" s="417">
        <v>0</v>
      </c>
      <c r="P543" s="417">
        <v>0</v>
      </c>
      <c r="Q543" s="378">
        <v>2.0098999999999998E-3</v>
      </c>
      <c r="R543" s="378"/>
      <c r="S543" s="417">
        <v>-1009709</v>
      </c>
      <c r="T543" s="417">
        <v>-998026</v>
      </c>
      <c r="U543" s="417">
        <v>-1048466</v>
      </c>
      <c r="V543" s="417">
        <v>-1347586</v>
      </c>
      <c r="W543" s="417">
        <v>0</v>
      </c>
      <c r="X543" s="378">
        <v>2.0098999999999998E-3</v>
      </c>
      <c r="Z543" s="417">
        <v>805170</v>
      </c>
      <c r="AA543" s="417">
        <v>565676</v>
      </c>
      <c r="AB543" s="417">
        <v>565672</v>
      </c>
      <c r="AC543" s="417">
        <v>0</v>
      </c>
      <c r="AD543" s="417">
        <v>0</v>
      </c>
      <c r="AE543" s="378">
        <v>2.0098999999999998E-3</v>
      </c>
      <c r="AF543" s="378"/>
      <c r="AG543" s="417">
        <v>14106</v>
      </c>
      <c r="AH543" s="417">
        <v>14106</v>
      </c>
      <c r="AI543" s="417">
        <v>14106</v>
      </c>
      <c r="AJ543" s="417">
        <v>0</v>
      </c>
      <c r="AK543" s="417">
        <v>0</v>
      </c>
      <c r="AL543" s="378">
        <v>2.0098999999999998E-3</v>
      </c>
      <c r="AM543" s="378"/>
      <c r="AN543" s="417">
        <v>-11146</v>
      </c>
      <c r="AO543" s="417">
        <v>-10515</v>
      </c>
      <c r="AP543" s="417">
        <v>0</v>
      </c>
      <c r="AQ543" s="417">
        <v>0</v>
      </c>
      <c r="AR543" s="417">
        <v>0</v>
      </c>
    </row>
    <row r="544" spans="1:44">
      <c r="A544" s="377">
        <v>95908</v>
      </c>
      <c r="B544" t="s">
        <v>1245</v>
      </c>
      <c r="C544" s="378">
        <v>5.8999999999999998E-5</v>
      </c>
      <c r="D544" s="378"/>
      <c r="E544" s="417">
        <v>-216</v>
      </c>
      <c r="F544" s="417">
        <v>-8749</v>
      </c>
      <c r="G544" s="417">
        <v>-9643</v>
      </c>
      <c r="H544" s="417">
        <v>-39558</v>
      </c>
      <c r="I544" s="417">
        <v>0</v>
      </c>
      <c r="J544" s="378">
        <v>5.8999999999999998E-5</v>
      </c>
      <c r="K544" s="378"/>
      <c r="L544" s="417">
        <v>14444</v>
      </c>
      <c r="M544" s="417">
        <v>9975</v>
      </c>
      <c r="N544" s="417">
        <v>4367</v>
      </c>
      <c r="O544" s="417">
        <v>0</v>
      </c>
      <c r="P544" s="417">
        <v>0</v>
      </c>
      <c r="Q544" s="378">
        <v>5.8999999999999998E-5</v>
      </c>
      <c r="R544" s="378"/>
      <c r="S544" s="417">
        <v>-29640</v>
      </c>
      <c r="T544" s="417">
        <v>-29297</v>
      </c>
      <c r="U544" s="417">
        <v>-30777</v>
      </c>
      <c r="V544" s="417">
        <v>-39558</v>
      </c>
      <c r="W544" s="417">
        <v>0</v>
      </c>
      <c r="X544" s="378">
        <v>5.8999999999999998E-5</v>
      </c>
      <c r="Z544" s="417">
        <v>23636</v>
      </c>
      <c r="AA544" s="417">
        <v>16605</v>
      </c>
      <c r="AB544" s="417">
        <v>16605</v>
      </c>
      <c r="AC544" s="417">
        <v>0</v>
      </c>
      <c r="AD544" s="417">
        <v>0</v>
      </c>
      <c r="AE544" s="378">
        <v>5.8999999999999998E-5</v>
      </c>
      <c r="AF544" s="378"/>
      <c r="AG544" s="417">
        <v>695</v>
      </c>
      <c r="AH544" s="417">
        <v>697</v>
      </c>
      <c r="AI544" s="417">
        <v>162</v>
      </c>
      <c r="AJ544" s="417">
        <v>0</v>
      </c>
      <c r="AK544" s="417">
        <v>0</v>
      </c>
      <c r="AL544" s="378">
        <v>5.8999999999999998E-5</v>
      </c>
      <c r="AM544" s="378"/>
      <c r="AN544" s="417">
        <v>-9351</v>
      </c>
      <c r="AO544" s="417">
        <v>-6729</v>
      </c>
      <c r="AP544" s="417">
        <v>0</v>
      </c>
      <c r="AQ544" s="417">
        <v>0</v>
      </c>
      <c r="AR544" s="417">
        <v>0</v>
      </c>
    </row>
    <row r="545" spans="1:44">
      <c r="A545" s="377">
        <v>95911</v>
      </c>
      <c r="B545" t="s">
        <v>1246</v>
      </c>
      <c r="C545" s="378">
        <v>5.1449999999999998E-4</v>
      </c>
      <c r="D545" s="378"/>
      <c r="E545" s="417">
        <v>33936</v>
      </c>
      <c r="F545" s="417">
        <v>-57090</v>
      </c>
      <c r="G545" s="417">
        <v>-108136</v>
      </c>
      <c r="H545" s="417">
        <v>-344959</v>
      </c>
      <c r="I545" s="417">
        <v>0</v>
      </c>
      <c r="J545" s="378">
        <v>5.1449999999999998E-4</v>
      </c>
      <c r="K545" s="378"/>
      <c r="L545" s="417">
        <v>125954</v>
      </c>
      <c r="M545" s="417">
        <v>86988</v>
      </c>
      <c r="N545" s="417">
        <v>38079</v>
      </c>
      <c r="O545" s="417">
        <v>0</v>
      </c>
      <c r="P545" s="417">
        <v>0</v>
      </c>
      <c r="Q545" s="378">
        <v>5.1449999999999998E-4</v>
      </c>
      <c r="R545" s="378"/>
      <c r="S545" s="417">
        <v>-258468</v>
      </c>
      <c r="T545" s="417">
        <v>-255478</v>
      </c>
      <c r="U545" s="417">
        <v>-268389</v>
      </c>
      <c r="V545" s="417">
        <v>-344959</v>
      </c>
      <c r="W545" s="417">
        <v>0</v>
      </c>
      <c r="X545" s="378">
        <v>5.1449999999999998E-4</v>
      </c>
      <c r="Z545" s="417">
        <v>206110</v>
      </c>
      <c r="AA545" s="417">
        <v>144803</v>
      </c>
      <c r="AB545" s="417">
        <v>144802</v>
      </c>
      <c r="AC545" s="417">
        <v>0</v>
      </c>
      <c r="AD545" s="417">
        <v>0</v>
      </c>
      <c r="AE545" s="378">
        <v>5.1449999999999998E-4</v>
      </c>
      <c r="AF545" s="378"/>
      <c r="AG545" s="417">
        <v>0</v>
      </c>
      <c r="AH545" s="417">
        <v>0</v>
      </c>
      <c r="AI545" s="417">
        <v>0</v>
      </c>
      <c r="AJ545" s="417">
        <v>0</v>
      </c>
      <c r="AK545" s="417">
        <v>0</v>
      </c>
      <c r="AL545" s="378">
        <v>5.1449999999999998E-4</v>
      </c>
      <c r="AM545" s="378"/>
      <c r="AN545" s="417">
        <v>-39660</v>
      </c>
      <c r="AO545" s="417">
        <v>-33403</v>
      </c>
      <c r="AP545" s="417">
        <v>-22628</v>
      </c>
      <c r="AQ545" s="417">
        <v>0</v>
      </c>
      <c r="AR545" s="417">
        <v>0</v>
      </c>
    </row>
    <row r="546" spans="1:44">
      <c r="A546" s="377">
        <v>95917</v>
      </c>
      <c r="B546" t="s">
        <v>1247</v>
      </c>
      <c r="C546" s="378">
        <v>3.0899999999999999E-5</v>
      </c>
      <c r="D546" s="378"/>
      <c r="E546" s="417">
        <v>10695</v>
      </c>
      <c r="F546" s="417">
        <v>5647</v>
      </c>
      <c r="G546" s="417">
        <v>-362</v>
      </c>
      <c r="H546" s="417">
        <v>-20718</v>
      </c>
      <c r="I546" s="417">
        <v>0</v>
      </c>
      <c r="J546" s="378">
        <v>3.0899999999999999E-5</v>
      </c>
      <c r="K546" s="378"/>
      <c r="L546" s="417">
        <v>7565</v>
      </c>
      <c r="M546" s="417">
        <v>5224</v>
      </c>
      <c r="N546" s="417">
        <v>2287</v>
      </c>
      <c r="O546" s="417">
        <v>0</v>
      </c>
      <c r="P546" s="417">
        <v>0</v>
      </c>
      <c r="Q546" s="378">
        <v>3.0899999999999999E-5</v>
      </c>
      <c r="R546" s="378"/>
      <c r="S546" s="417">
        <v>-15523</v>
      </c>
      <c r="T546" s="417">
        <v>-15344</v>
      </c>
      <c r="U546" s="417">
        <v>-16119</v>
      </c>
      <c r="V546" s="417">
        <v>-20718</v>
      </c>
      <c r="W546" s="417">
        <v>0</v>
      </c>
      <c r="X546" s="378">
        <v>3.0899999999999999E-5</v>
      </c>
      <c r="Z546" s="417">
        <v>12379</v>
      </c>
      <c r="AA546" s="417">
        <v>8697</v>
      </c>
      <c r="AB546" s="417">
        <v>8697</v>
      </c>
      <c r="AC546" s="417">
        <v>0</v>
      </c>
      <c r="AD546" s="417">
        <v>0</v>
      </c>
      <c r="AE546" s="378">
        <v>3.0899999999999999E-5</v>
      </c>
      <c r="AF546" s="378"/>
      <c r="AG546" s="417">
        <v>7069</v>
      </c>
      <c r="AH546" s="417">
        <v>7070</v>
      </c>
      <c r="AI546" s="417">
        <v>4773</v>
      </c>
      <c r="AJ546" s="417">
        <v>0</v>
      </c>
      <c r="AK546" s="417">
        <v>0</v>
      </c>
      <c r="AL546" s="378">
        <v>3.0899999999999999E-5</v>
      </c>
      <c r="AM546" s="378"/>
      <c r="AN546" s="417">
        <v>-795</v>
      </c>
      <c r="AO546" s="417">
        <v>0</v>
      </c>
      <c r="AP546" s="417">
        <v>0</v>
      </c>
      <c r="AQ546" s="417">
        <v>0</v>
      </c>
      <c r="AR546" s="417">
        <v>0</v>
      </c>
    </row>
    <row r="547" spans="1:44">
      <c r="A547" s="377">
        <v>95921</v>
      </c>
      <c r="B547" t="s">
        <v>1248</v>
      </c>
      <c r="C547" s="378">
        <v>3.7200000000000003E-5</v>
      </c>
      <c r="D547" s="378"/>
      <c r="E547" s="417">
        <v>802</v>
      </c>
      <c r="F547" s="417">
        <v>-6767</v>
      </c>
      <c r="G547" s="417">
        <v>-11817</v>
      </c>
      <c r="H547" s="417">
        <v>-24942</v>
      </c>
      <c r="I547" s="417">
        <v>0</v>
      </c>
      <c r="J547" s="378">
        <v>3.7200000000000003E-5</v>
      </c>
      <c r="K547" s="378"/>
      <c r="L547" s="417">
        <v>9107</v>
      </c>
      <c r="M547" s="417">
        <v>6289</v>
      </c>
      <c r="N547" s="417">
        <v>2753</v>
      </c>
      <c r="O547" s="417">
        <v>0</v>
      </c>
      <c r="P547" s="417">
        <v>0</v>
      </c>
      <c r="Q547" s="378">
        <v>3.7200000000000003E-5</v>
      </c>
      <c r="R547" s="378"/>
      <c r="S547" s="417">
        <v>-18688</v>
      </c>
      <c r="T547" s="417">
        <v>-18472</v>
      </c>
      <c r="U547" s="417">
        <v>-19405</v>
      </c>
      <c r="V547" s="417">
        <v>-24942</v>
      </c>
      <c r="W547" s="417">
        <v>0</v>
      </c>
      <c r="X547" s="378">
        <v>3.7200000000000003E-5</v>
      </c>
      <c r="Z547" s="417">
        <v>14902</v>
      </c>
      <c r="AA547" s="417">
        <v>10470</v>
      </c>
      <c r="AB547" s="417">
        <v>10470</v>
      </c>
      <c r="AC547" s="417">
        <v>0</v>
      </c>
      <c r="AD547" s="417">
        <v>0</v>
      </c>
      <c r="AE547" s="378">
        <v>3.7200000000000003E-5</v>
      </c>
      <c r="AF547" s="378"/>
      <c r="AG547" s="417">
        <v>1718</v>
      </c>
      <c r="AH547" s="417">
        <v>1182</v>
      </c>
      <c r="AI547" s="417">
        <v>0</v>
      </c>
      <c r="AJ547" s="417">
        <v>0</v>
      </c>
      <c r="AK547" s="417">
        <v>0</v>
      </c>
      <c r="AL547" s="378">
        <v>3.7200000000000003E-5</v>
      </c>
      <c r="AM547" s="378"/>
      <c r="AN547" s="417">
        <v>-6237</v>
      </c>
      <c r="AO547" s="417">
        <v>-6236</v>
      </c>
      <c r="AP547" s="417">
        <v>-5635</v>
      </c>
      <c r="AQ547" s="417">
        <v>0</v>
      </c>
      <c r="AR547" s="417">
        <v>0</v>
      </c>
    </row>
    <row r="548" spans="1:44">
      <c r="A548" s="377">
        <v>96001</v>
      </c>
      <c r="B548" t="s">
        <v>1249</v>
      </c>
      <c r="C548" s="378">
        <v>4.5452399999999997E-2</v>
      </c>
      <c r="D548" s="378"/>
      <c r="E548" s="417">
        <v>6396330</v>
      </c>
      <c r="F548" s="417">
        <v>-2108157</v>
      </c>
      <c r="G548" s="417">
        <v>-8216114</v>
      </c>
      <c r="H548" s="417">
        <v>-30474652</v>
      </c>
      <c r="I548" s="417">
        <v>0</v>
      </c>
      <c r="J548" s="378">
        <v>4.5452399999999997E-2</v>
      </c>
      <c r="K548" s="378"/>
      <c r="L548" s="417">
        <v>11127111</v>
      </c>
      <c r="M548" s="417">
        <v>7684728</v>
      </c>
      <c r="N548" s="417">
        <v>3364023</v>
      </c>
      <c r="O548" s="417">
        <v>0</v>
      </c>
      <c r="P548" s="417">
        <v>0</v>
      </c>
      <c r="Q548" s="378">
        <v>4.5452399999999997E-2</v>
      </c>
      <c r="R548" s="378"/>
      <c r="S548" s="417">
        <v>-22833831</v>
      </c>
      <c r="T548" s="417">
        <v>-22569616</v>
      </c>
      <c r="U548" s="417">
        <v>-23710290</v>
      </c>
      <c r="V548" s="417">
        <v>-30474652</v>
      </c>
      <c r="W548" s="417">
        <v>0</v>
      </c>
      <c r="X548" s="378">
        <v>4.5452399999999997E-2</v>
      </c>
      <c r="Z548" s="417">
        <v>18208322</v>
      </c>
      <c r="AA548" s="417">
        <v>12792351</v>
      </c>
      <c r="AB548" s="417">
        <v>12792260</v>
      </c>
      <c r="AC548" s="417">
        <v>0</v>
      </c>
      <c r="AD548" s="417">
        <v>0</v>
      </c>
      <c r="AE548" s="378">
        <v>4.5452399999999997E-2</v>
      </c>
      <c r="AF548" s="378"/>
      <c r="AG548" s="417">
        <v>698127</v>
      </c>
      <c r="AH548" s="417">
        <v>698128</v>
      </c>
      <c r="AI548" s="417">
        <v>0</v>
      </c>
      <c r="AJ548" s="417">
        <v>0</v>
      </c>
      <c r="AK548" s="417">
        <v>0</v>
      </c>
      <c r="AL548" s="378">
        <v>4.5452399999999997E-2</v>
      </c>
      <c r="AM548" s="378"/>
      <c r="AN548" s="417">
        <v>-803399</v>
      </c>
      <c r="AO548" s="417">
        <v>-713748</v>
      </c>
      <c r="AP548" s="417">
        <v>-662107</v>
      </c>
      <c r="AQ548" s="417">
        <v>0</v>
      </c>
      <c r="AR548" s="417">
        <v>0</v>
      </c>
    </row>
    <row r="549" spans="1:44">
      <c r="A549" s="377">
        <v>96003</v>
      </c>
      <c r="B549" t="s">
        <v>1250</v>
      </c>
      <c r="C549" s="378">
        <v>2.0500000000000002E-3</v>
      </c>
      <c r="D549" s="378"/>
      <c r="E549" s="417">
        <v>466931</v>
      </c>
      <c r="F549" s="417">
        <v>100200</v>
      </c>
      <c r="G549" s="417">
        <v>-214308</v>
      </c>
      <c r="H549" s="417">
        <v>-1374472</v>
      </c>
      <c r="I549" s="417">
        <v>0</v>
      </c>
      <c r="J549" s="378">
        <v>2.0500000000000002E-3</v>
      </c>
      <c r="K549" s="378"/>
      <c r="L549" s="417">
        <v>501856</v>
      </c>
      <c r="M549" s="417">
        <v>346598</v>
      </c>
      <c r="N549" s="417">
        <v>151725</v>
      </c>
      <c r="O549" s="417">
        <v>0</v>
      </c>
      <c r="P549" s="417">
        <v>0</v>
      </c>
      <c r="Q549" s="378">
        <v>2.0500000000000002E-3</v>
      </c>
      <c r="R549" s="378"/>
      <c r="S549" s="417">
        <v>-1029854</v>
      </c>
      <c r="T549" s="417">
        <v>-1017938</v>
      </c>
      <c r="U549" s="417">
        <v>-1069385</v>
      </c>
      <c r="V549" s="417">
        <v>-1374472</v>
      </c>
      <c r="W549" s="417">
        <v>0</v>
      </c>
      <c r="X549" s="378">
        <v>2.0500000000000002E-3</v>
      </c>
      <c r="Z549" s="417">
        <v>821234</v>
      </c>
      <c r="AA549" s="417">
        <v>576962</v>
      </c>
      <c r="AB549" s="417">
        <v>576958</v>
      </c>
      <c r="AC549" s="417">
        <v>0</v>
      </c>
      <c r="AD549" s="417">
        <v>0</v>
      </c>
      <c r="AE549" s="378">
        <v>2.0500000000000002E-3</v>
      </c>
      <c r="AF549" s="378"/>
      <c r="AG549" s="417">
        <v>194578</v>
      </c>
      <c r="AH549" s="417">
        <v>194578</v>
      </c>
      <c r="AI549" s="417">
        <v>126394</v>
      </c>
      <c r="AJ549" s="417">
        <v>0</v>
      </c>
      <c r="AK549" s="417">
        <v>0</v>
      </c>
      <c r="AL549" s="378">
        <v>2.0500000000000002E-3</v>
      </c>
      <c r="AM549" s="378"/>
      <c r="AN549" s="417">
        <v>-20883</v>
      </c>
      <c r="AO549" s="417">
        <v>0</v>
      </c>
      <c r="AP549" s="417">
        <v>0</v>
      </c>
      <c r="AQ549" s="417">
        <v>0</v>
      </c>
      <c r="AR549" s="417">
        <v>0</v>
      </c>
    </row>
    <row r="550" spans="1:44">
      <c r="A550" s="377">
        <v>96004</v>
      </c>
      <c r="B550" t="s">
        <v>1251</v>
      </c>
      <c r="C550" s="378">
        <v>1.0675999999999999E-3</v>
      </c>
      <c r="D550" s="378"/>
      <c r="E550" s="417">
        <v>314659</v>
      </c>
      <c r="F550" s="417">
        <v>99474</v>
      </c>
      <c r="G550" s="417">
        <v>-88825</v>
      </c>
      <c r="H550" s="417">
        <v>-715798</v>
      </c>
      <c r="I550" s="417">
        <v>0</v>
      </c>
      <c r="J550" s="378">
        <v>1.0675999999999999E-3</v>
      </c>
      <c r="K550" s="378"/>
      <c r="L550" s="417">
        <v>261357</v>
      </c>
      <c r="M550" s="417">
        <v>180501</v>
      </c>
      <c r="N550" s="417">
        <v>79015</v>
      </c>
      <c r="O550" s="417">
        <v>0</v>
      </c>
      <c r="P550" s="417">
        <v>0</v>
      </c>
      <c r="Q550" s="378">
        <v>1.0675999999999999E-3</v>
      </c>
      <c r="R550" s="378"/>
      <c r="S550" s="417">
        <v>-536328</v>
      </c>
      <c r="T550" s="417">
        <v>-530122</v>
      </c>
      <c r="U550" s="417">
        <v>-556915</v>
      </c>
      <c r="V550" s="417">
        <v>-715798</v>
      </c>
      <c r="W550" s="417">
        <v>0</v>
      </c>
      <c r="X550" s="378">
        <v>1.0675999999999999E-3</v>
      </c>
      <c r="Z550" s="417">
        <v>427683</v>
      </c>
      <c r="AA550" s="417">
        <v>300471</v>
      </c>
      <c r="AB550" s="417">
        <v>300469</v>
      </c>
      <c r="AC550" s="417">
        <v>0</v>
      </c>
      <c r="AD550" s="417">
        <v>0</v>
      </c>
      <c r="AE550" s="378">
        <v>1.0675999999999999E-3</v>
      </c>
      <c r="AF550" s="378"/>
      <c r="AG550" s="417">
        <v>161947</v>
      </c>
      <c r="AH550" s="417">
        <v>148624</v>
      </c>
      <c r="AI550" s="417">
        <v>88606</v>
      </c>
      <c r="AJ550" s="417">
        <v>0</v>
      </c>
      <c r="AK550" s="417">
        <v>0</v>
      </c>
      <c r="AL550" s="378">
        <v>1.0675999999999999E-3</v>
      </c>
      <c r="AM550" s="378"/>
      <c r="AN550" s="417">
        <v>0</v>
      </c>
      <c r="AO550" s="417">
        <v>0</v>
      </c>
      <c r="AP550" s="417">
        <v>0</v>
      </c>
      <c r="AQ550" s="417">
        <v>0</v>
      </c>
      <c r="AR550" s="417">
        <v>0</v>
      </c>
    </row>
    <row r="551" spans="1:44">
      <c r="A551" s="377">
        <v>96005</v>
      </c>
      <c r="B551" t="s">
        <v>1252</v>
      </c>
      <c r="C551" s="378">
        <v>2.6773999999999999E-3</v>
      </c>
      <c r="D551" s="378"/>
      <c r="E551" s="417">
        <v>488061</v>
      </c>
      <c r="F551" s="417">
        <v>-15966</v>
      </c>
      <c r="G551" s="417">
        <v>-352922</v>
      </c>
      <c r="H551" s="417">
        <v>-1795127</v>
      </c>
      <c r="I551" s="417">
        <v>0</v>
      </c>
      <c r="J551" s="378">
        <v>2.6773999999999999E-3</v>
      </c>
      <c r="K551" s="378"/>
      <c r="L551" s="417">
        <v>655449</v>
      </c>
      <c r="M551" s="417">
        <v>452673</v>
      </c>
      <c r="N551" s="417">
        <v>198160</v>
      </c>
      <c r="O551" s="417">
        <v>0</v>
      </c>
      <c r="P551" s="417">
        <v>0</v>
      </c>
      <c r="Q551" s="378">
        <v>2.6773999999999999E-3</v>
      </c>
      <c r="R551" s="378"/>
      <c r="S551" s="417">
        <v>-1345040</v>
      </c>
      <c r="T551" s="417">
        <v>-1329476</v>
      </c>
      <c r="U551" s="417">
        <v>-1396668</v>
      </c>
      <c r="V551" s="417">
        <v>-1795127</v>
      </c>
      <c r="W551" s="417">
        <v>0</v>
      </c>
      <c r="X551" s="378">
        <v>2.6773999999999999E-3</v>
      </c>
      <c r="Z551" s="417">
        <v>1072572</v>
      </c>
      <c r="AA551" s="417">
        <v>753541</v>
      </c>
      <c r="AB551" s="417">
        <v>753535</v>
      </c>
      <c r="AC551" s="417">
        <v>0</v>
      </c>
      <c r="AD551" s="417">
        <v>0</v>
      </c>
      <c r="AE551" s="378">
        <v>2.6773999999999999E-3</v>
      </c>
      <c r="AF551" s="378"/>
      <c r="AG551" s="417">
        <v>131343</v>
      </c>
      <c r="AH551" s="417">
        <v>131343</v>
      </c>
      <c r="AI551" s="417">
        <v>92051</v>
      </c>
      <c r="AJ551" s="417">
        <v>0</v>
      </c>
      <c r="AK551" s="417">
        <v>0</v>
      </c>
      <c r="AL551" s="378">
        <v>2.6773999999999999E-3</v>
      </c>
      <c r="AM551" s="378"/>
      <c r="AN551" s="417">
        <v>-26263</v>
      </c>
      <c r="AO551" s="417">
        <v>-24047</v>
      </c>
      <c r="AP551" s="417">
        <v>0</v>
      </c>
      <c r="AQ551" s="417">
        <v>0</v>
      </c>
      <c r="AR551" s="417">
        <v>0</v>
      </c>
    </row>
    <row r="552" spans="1:44">
      <c r="A552" s="377">
        <v>96008</v>
      </c>
      <c r="B552" t="s">
        <v>1253</v>
      </c>
      <c r="C552" s="378">
        <v>5.5976000000000003E-3</v>
      </c>
      <c r="D552" s="378"/>
      <c r="E552" s="417">
        <v>-207783</v>
      </c>
      <c r="F552" s="417">
        <v>-1158934</v>
      </c>
      <c r="G552" s="417">
        <v>-1447265</v>
      </c>
      <c r="H552" s="417">
        <v>-3753045</v>
      </c>
      <c r="I552" s="417">
        <v>0</v>
      </c>
      <c r="J552" s="378">
        <v>5.5976000000000003E-3</v>
      </c>
      <c r="K552" s="378"/>
      <c r="L552" s="417">
        <v>1370337</v>
      </c>
      <c r="M552" s="417">
        <v>946397</v>
      </c>
      <c r="N552" s="417">
        <v>414290</v>
      </c>
      <c r="O552" s="417">
        <v>0</v>
      </c>
      <c r="P552" s="417">
        <v>0</v>
      </c>
      <c r="Q552" s="378">
        <v>5.5976000000000003E-3</v>
      </c>
      <c r="R552" s="378"/>
      <c r="S552" s="417">
        <v>-2812055</v>
      </c>
      <c r="T552" s="417">
        <v>-2779516</v>
      </c>
      <c r="U552" s="417">
        <v>-2919994</v>
      </c>
      <c r="V552" s="417">
        <v>-3753045</v>
      </c>
      <c r="W552" s="417">
        <v>0</v>
      </c>
      <c r="X552" s="378">
        <v>5.5976000000000003E-3</v>
      </c>
      <c r="Z552" s="417">
        <v>2242410</v>
      </c>
      <c r="AA552" s="417">
        <v>1575417</v>
      </c>
      <c r="AB552" s="417">
        <v>1575405</v>
      </c>
      <c r="AC552" s="417">
        <v>0</v>
      </c>
      <c r="AD552" s="417">
        <v>0</v>
      </c>
      <c r="AE552" s="378">
        <v>5.5976000000000003E-3</v>
      </c>
      <c r="AF552" s="378"/>
      <c r="AG552" s="417">
        <v>0</v>
      </c>
      <c r="AH552" s="417">
        <v>0</v>
      </c>
      <c r="AI552" s="417">
        <v>0</v>
      </c>
      <c r="AJ552" s="417">
        <v>0</v>
      </c>
      <c r="AK552" s="417">
        <v>0</v>
      </c>
      <c r="AL552" s="378">
        <v>5.5976000000000003E-3</v>
      </c>
      <c r="AM552" s="378"/>
      <c r="AN552" s="417">
        <v>-1008475</v>
      </c>
      <c r="AO552" s="417">
        <v>-901232</v>
      </c>
      <c r="AP552" s="417">
        <v>-516966</v>
      </c>
      <c r="AQ552" s="417">
        <v>0</v>
      </c>
      <c r="AR552" s="417">
        <v>0</v>
      </c>
    </row>
    <row r="553" spans="1:44">
      <c r="A553" s="377">
        <v>96009</v>
      </c>
      <c r="B553" t="s">
        <v>1254</v>
      </c>
      <c r="C553" s="378">
        <v>3.8479999999999997E-4</v>
      </c>
      <c r="D553" s="378"/>
      <c r="E553" s="417">
        <v>78441</v>
      </c>
      <c r="F553" s="417">
        <v>-837</v>
      </c>
      <c r="G553" s="417">
        <v>-60699</v>
      </c>
      <c r="H553" s="417">
        <v>-257998</v>
      </c>
      <c r="I553" s="417">
        <v>0</v>
      </c>
      <c r="J553" s="378">
        <v>3.8479999999999997E-4</v>
      </c>
      <c r="K553" s="378"/>
      <c r="L553" s="417">
        <v>94202</v>
      </c>
      <c r="M553" s="417">
        <v>65059</v>
      </c>
      <c r="N553" s="417">
        <v>28480</v>
      </c>
      <c r="O553" s="417">
        <v>0</v>
      </c>
      <c r="P553" s="417">
        <v>0</v>
      </c>
      <c r="Q553" s="378">
        <v>3.8479999999999997E-4</v>
      </c>
      <c r="R553" s="378"/>
      <c r="S553" s="417">
        <v>-193311</v>
      </c>
      <c r="T553" s="417">
        <v>-191074</v>
      </c>
      <c r="U553" s="417">
        <v>-200731</v>
      </c>
      <c r="V553" s="417">
        <v>-257998</v>
      </c>
      <c r="W553" s="417">
        <v>0</v>
      </c>
      <c r="X553" s="378">
        <v>3.8479999999999997E-4</v>
      </c>
      <c r="Z553" s="417">
        <v>154152</v>
      </c>
      <c r="AA553" s="417">
        <v>108300</v>
      </c>
      <c r="AB553" s="417">
        <v>108299</v>
      </c>
      <c r="AC553" s="417">
        <v>0</v>
      </c>
      <c r="AD553" s="417">
        <v>0</v>
      </c>
      <c r="AE553" s="378">
        <v>3.8479999999999997E-4</v>
      </c>
      <c r="AF553" s="378"/>
      <c r="AG553" s="417">
        <v>24753</v>
      </c>
      <c r="AH553" s="417">
        <v>18231</v>
      </c>
      <c r="AI553" s="417">
        <v>3253</v>
      </c>
      <c r="AJ553" s="417">
        <v>0</v>
      </c>
      <c r="AK553" s="417">
        <v>0</v>
      </c>
      <c r="AL553" s="378">
        <v>3.8479999999999997E-4</v>
      </c>
      <c r="AM553" s="378"/>
      <c r="AN553" s="417">
        <v>-1355</v>
      </c>
      <c r="AO553" s="417">
        <v>-1353</v>
      </c>
      <c r="AP553" s="417">
        <v>0</v>
      </c>
      <c r="AQ553" s="417">
        <v>0</v>
      </c>
      <c r="AR553" s="417">
        <v>0</v>
      </c>
    </row>
    <row r="554" spans="1:44">
      <c r="A554" s="377">
        <v>96011</v>
      </c>
      <c r="B554" t="s">
        <v>1255</v>
      </c>
      <c r="C554" s="378">
        <v>6.8435399999999993E-2</v>
      </c>
      <c r="D554" s="378"/>
      <c r="E554" s="417">
        <v>12985159</v>
      </c>
      <c r="F554" s="417">
        <v>-179028</v>
      </c>
      <c r="G554" s="417">
        <v>-9555775</v>
      </c>
      <c r="H554" s="417">
        <v>-45884156</v>
      </c>
      <c r="I554" s="417">
        <v>0</v>
      </c>
      <c r="J554" s="378">
        <v>6.8435399999999993E-2</v>
      </c>
      <c r="K554" s="378"/>
      <c r="L554" s="417">
        <v>16753533</v>
      </c>
      <c r="M554" s="417">
        <v>11570510</v>
      </c>
      <c r="N554" s="417">
        <v>5065041</v>
      </c>
      <c r="O554" s="417">
        <v>0</v>
      </c>
      <c r="P554" s="417">
        <v>0</v>
      </c>
      <c r="Q554" s="378">
        <v>6.8435399999999993E-2</v>
      </c>
      <c r="R554" s="378"/>
      <c r="S554" s="417">
        <v>-34379755</v>
      </c>
      <c r="T554" s="417">
        <v>-33981940</v>
      </c>
      <c r="U554" s="417">
        <v>-35699395</v>
      </c>
      <c r="V554" s="417">
        <v>-45884156</v>
      </c>
      <c r="W554" s="417">
        <v>0</v>
      </c>
      <c r="X554" s="378">
        <v>6.8435399999999993E-2</v>
      </c>
      <c r="Z554" s="417">
        <v>27415358</v>
      </c>
      <c r="AA554" s="417">
        <v>19260801</v>
      </c>
      <c r="AB554" s="417">
        <v>19260664</v>
      </c>
      <c r="AC554" s="417">
        <v>0</v>
      </c>
      <c r="AD554" s="417">
        <v>0</v>
      </c>
      <c r="AE554" s="378">
        <v>6.8435399999999993E-2</v>
      </c>
      <c r="AF554" s="378"/>
      <c r="AG554" s="417">
        <v>3196023</v>
      </c>
      <c r="AH554" s="417">
        <v>2971601</v>
      </c>
      <c r="AI554" s="417">
        <v>1817915</v>
      </c>
      <c r="AJ554" s="417">
        <v>0</v>
      </c>
      <c r="AK554" s="417">
        <v>0</v>
      </c>
      <c r="AL554" s="378">
        <v>6.8435399999999993E-2</v>
      </c>
      <c r="AM554" s="378"/>
      <c r="AN554" s="417">
        <v>0</v>
      </c>
      <c r="AO554" s="417">
        <v>0</v>
      </c>
      <c r="AP554" s="417">
        <v>0</v>
      </c>
      <c r="AQ554" s="417">
        <v>0</v>
      </c>
      <c r="AR554" s="417">
        <v>0</v>
      </c>
    </row>
    <row r="555" spans="1:44">
      <c r="A555" s="377">
        <v>96012</v>
      </c>
      <c r="B555" t="s">
        <v>1256</v>
      </c>
      <c r="C555" s="378">
        <v>2.3944000000000001E-3</v>
      </c>
      <c r="D555" s="378"/>
      <c r="E555" s="417">
        <v>239434</v>
      </c>
      <c r="F555" s="417">
        <v>-226942</v>
      </c>
      <c r="G555" s="417">
        <v>-477501</v>
      </c>
      <c r="H555" s="417">
        <v>-1605383</v>
      </c>
      <c r="I555" s="417">
        <v>0</v>
      </c>
      <c r="J555" s="378">
        <v>2.3944000000000001E-3</v>
      </c>
      <c r="K555" s="378"/>
      <c r="L555" s="417">
        <v>586168</v>
      </c>
      <c r="M555" s="417">
        <v>404826</v>
      </c>
      <c r="N555" s="417">
        <v>177214</v>
      </c>
      <c r="O555" s="417">
        <v>0</v>
      </c>
      <c r="P555" s="417">
        <v>0</v>
      </c>
      <c r="Q555" s="378">
        <v>2.3944000000000001E-3</v>
      </c>
      <c r="R555" s="378"/>
      <c r="S555" s="417">
        <v>-1202870</v>
      </c>
      <c r="T555" s="417">
        <v>-1188951</v>
      </c>
      <c r="U555" s="417">
        <v>-1249041</v>
      </c>
      <c r="V555" s="417">
        <v>-1605383</v>
      </c>
      <c r="W555" s="417">
        <v>0</v>
      </c>
      <c r="X555" s="378">
        <v>2.3944000000000001E-3</v>
      </c>
      <c r="Z555" s="417">
        <v>959201</v>
      </c>
      <c r="AA555" s="417">
        <v>673892</v>
      </c>
      <c r="AB555" s="417">
        <v>673887</v>
      </c>
      <c r="AC555" s="417">
        <v>0</v>
      </c>
      <c r="AD555" s="417">
        <v>0</v>
      </c>
      <c r="AE555" s="378">
        <v>2.3944000000000001E-3</v>
      </c>
      <c r="AF555" s="378"/>
      <c r="AG555" s="417">
        <v>13644</v>
      </c>
      <c r="AH555" s="417">
        <v>0</v>
      </c>
      <c r="AI555" s="417">
        <v>0</v>
      </c>
      <c r="AJ555" s="417">
        <v>0</v>
      </c>
      <c r="AK555" s="417">
        <v>0</v>
      </c>
      <c r="AL555" s="378">
        <v>2.3944000000000001E-3</v>
      </c>
      <c r="AM555" s="378"/>
      <c r="AN555" s="417">
        <v>-116709</v>
      </c>
      <c r="AO555" s="417">
        <v>-116709</v>
      </c>
      <c r="AP555" s="417">
        <v>-79561</v>
      </c>
      <c r="AQ555" s="417">
        <v>0</v>
      </c>
      <c r="AR555" s="417">
        <v>0</v>
      </c>
    </row>
    <row r="556" spans="1:44">
      <c r="A556" s="377">
        <v>96018</v>
      </c>
      <c r="B556" t="s">
        <v>1257</v>
      </c>
      <c r="C556" s="378">
        <v>4.1100000000000003E-5</v>
      </c>
      <c r="D556" s="378"/>
      <c r="E556" s="417">
        <v>9108</v>
      </c>
      <c r="F556" s="417">
        <v>1326</v>
      </c>
      <c r="G556" s="417">
        <v>-3000</v>
      </c>
      <c r="H556" s="417">
        <v>-27556</v>
      </c>
      <c r="I556" s="417">
        <v>0</v>
      </c>
      <c r="J556" s="378">
        <v>4.1100000000000003E-5</v>
      </c>
      <c r="K556" s="378"/>
      <c r="L556" s="417">
        <v>10062</v>
      </c>
      <c r="M556" s="417">
        <v>6949</v>
      </c>
      <c r="N556" s="417">
        <v>3042</v>
      </c>
      <c r="O556" s="417">
        <v>0</v>
      </c>
      <c r="P556" s="417">
        <v>0</v>
      </c>
      <c r="Q556" s="378">
        <v>4.1100000000000003E-5</v>
      </c>
      <c r="R556" s="378"/>
      <c r="S556" s="417">
        <v>-20647</v>
      </c>
      <c r="T556" s="417">
        <v>-20408</v>
      </c>
      <c r="U556" s="417">
        <v>-21440</v>
      </c>
      <c r="V556" s="417">
        <v>-27556</v>
      </c>
      <c r="W556" s="417">
        <v>0</v>
      </c>
      <c r="X556" s="378">
        <v>4.1100000000000003E-5</v>
      </c>
      <c r="Z556" s="417">
        <v>16465</v>
      </c>
      <c r="AA556" s="417">
        <v>11567</v>
      </c>
      <c r="AB556" s="417">
        <v>11567</v>
      </c>
      <c r="AC556" s="417">
        <v>0</v>
      </c>
      <c r="AD556" s="417">
        <v>0</v>
      </c>
      <c r="AE556" s="378">
        <v>4.1100000000000003E-5</v>
      </c>
      <c r="AF556" s="378"/>
      <c r="AG556" s="417">
        <v>5433</v>
      </c>
      <c r="AH556" s="417">
        <v>5424</v>
      </c>
      <c r="AI556" s="417">
        <v>3831</v>
      </c>
      <c r="AJ556" s="417">
        <v>0</v>
      </c>
      <c r="AK556" s="417">
        <v>0</v>
      </c>
      <c r="AL556" s="378">
        <v>4.1100000000000003E-5</v>
      </c>
      <c r="AM556" s="378"/>
      <c r="AN556" s="417">
        <v>-2205</v>
      </c>
      <c r="AO556" s="417">
        <v>-2206</v>
      </c>
      <c r="AP556" s="417">
        <v>0</v>
      </c>
      <c r="AQ556" s="417">
        <v>0</v>
      </c>
      <c r="AR556" s="417">
        <v>0</v>
      </c>
    </row>
    <row r="557" spans="1:44">
      <c r="A557" s="377">
        <v>96021</v>
      </c>
      <c r="B557" t="s">
        <v>1258</v>
      </c>
      <c r="C557" s="378">
        <v>7.0790000000000002E-4</v>
      </c>
      <c r="D557" s="378"/>
      <c r="E557" s="417">
        <v>74429</v>
      </c>
      <c r="F557" s="417">
        <v>-59826</v>
      </c>
      <c r="G557" s="417">
        <v>-119228</v>
      </c>
      <c r="H557" s="417">
        <v>-474629</v>
      </c>
      <c r="I557" s="417">
        <v>0</v>
      </c>
      <c r="J557" s="378">
        <v>7.0790000000000002E-4</v>
      </c>
      <c r="K557" s="378"/>
      <c r="L557" s="417">
        <v>173300</v>
      </c>
      <c r="M557" s="417">
        <v>119686</v>
      </c>
      <c r="N557" s="417">
        <v>52393</v>
      </c>
      <c r="O557" s="417">
        <v>0</v>
      </c>
      <c r="P557" s="417">
        <v>0</v>
      </c>
      <c r="Q557" s="378">
        <v>7.0790000000000002E-4</v>
      </c>
      <c r="R557" s="378"/>
      <c r="S557" s="417">
        <v>-355626</v>
      </c>
      <c r="T557" s="417">
        <v>-351511</v>
      </c>
      <c r="U557" s="417">
        <v>-369277</v>
      </c>
      <c r="V557" s="417">
        <v>-474629</v>
      </c>
      <c r="W557" s="417">
        <v>0</v>
      </c>
      <c r="X557" s="378">
        <v>7.0790000000000002E-4</v>
      </c>
      <c r="Z557" s="417">
        <v>283586</v>
      </c>
      <c r="AA557" s="417">
        <v>199235</v>
      </c>
      <c r="AB557" s="417">
        <v>199233</v>
      </c>
      <c r="AC557" s="417">
        <v>0</v>
      </c>
      <c r="AD557" s="417">
        <v>0</v>
      </c>
      <c r="AE557" s="378">
        <v>7.0790000000000002E-4</v>
      </c>
      <c r="AF557" s="378"/>
      <c r="AG557" s="417">
        <v>2426</v>
      </c>
      <c r="AH557" s="417">
        <v>2020</v>
      </c>
      <c r="AI557" s="417">
        <v>0</v>
      </c>
      <c r="AJ557" s="417">
        <v>0</v>
      </c>
      <c r="AK557" s="417">
        <v>0</v>
      </c>
      <c r="AL557" s="378">
        <v>7.0790000000000002E-4</v>
      </c>
      <c r="AM557" s="378"/>
      <c r="AN557" s="417">
        <v>-29257</v>
      </c>
      <c r="AO557" s="417">
        <v>-29256</v>
      </c>
      <c r="AP557" s="417">
        <v>-1577</v>
      </c>
      <c r="AQ557" s="417">
        <v>0</v>
      </c>
      <c r="AR557" s="417">
        <v>0</v>
      </c>
    </row>
    <row r="558" spans="1:44">
      <c r="A558" s="377">
        <v>96031</v>
      </c>
      <c r="B558" t="s">
        <v>1259</v>
      </c>
      <c r="C558" s="378">
        <v>7.9569999999999999E-4</v>
      </c>
      <c r="D558" s="378"/>
      <c r="E558" s="417">
        <v>33921</v>
      </c>
      <c r="F558" s="417">
        <v>-106413</v>
      </c>
      <c r="G558" s="417">
        <v>-162595</v>
      </c>
      <c r="H558" s="417">
        <v>-533496</v>
      </c>
      <c r="I558" s="417">
        <v>0</v>
      </c>
      <c r="J558" s="378">
        <v>7.9569999999999999E-4</v>
      </c>
      <c r="K558" s="378"/>
      <c r="L558" s="417">
        <v>194794</v>
      </c>
      <c r="M558" s="417">
        <v>134531</v>
      </c>
      <c r="N558" s="417">
        <v>58891</v>
      </c>
      <c r="O558" s="417">
        <v>0</v>
      </c>
      <c r="P558" s="417">
        <v>0</v>
      </c>
      <c r="Q558" s="378">
        <v>7.9569999999999999E-4</v>
      </c>
      <c r="R558" s="378"/>
      <c r="S558" s="417">
        <v>-399734</v>
      </c>
      <c r="T558" s="417">
        <v>-395109</v>
      </c>
      <c r="U558" s="417">
        <v>-415078</v>
      </c>
      <c r="V558" s="417">
        <v>-533496</v>
      </c>
      <c r="W558" s="417">
        <v>0</v>
      </c>
      <c r="X558" s="378">
        <v>7.9569999999999999E-4</v>
      </c>
      <c r="Z558" s="417">
        <v>318759</v>
      </c>
      <c r="AA558" s="417">
        <v>223946</v>
      </c>
      <c r="AB558" s="417">
        <v>223944</v>
      </c>
      <c r="AC558" s="417">
        <v>0</v>
      </c>
      <c r="AD558" s="417">
        <v>0</v>
      </c>
      <c r="AE558" s="378">
        <v>7.9569999999999999E-4</v>
      </c>
      <c r="AF558" s="378"/>
      <c r="AG558" s="417">
        <v>0</v>
      </c>
      <c r="AH558" s="417">
        <v>0</v>
      </c>
      <c r="AI558" s="417">
        <v>0</v>
      </c>
      <c r="AJ558" s="417">
        <v>0</v>
      </c>
      <c r="AK558" s="417">
        <v>0</v>
      </c>
      <c r="AL558" s="378">
        <v>7.9569999999999999E-4</v>
      </c>
      <c r="AM558" s="378"/>
      <c r="AN558" s="417">
        <v>-79898</v>
      </c>
      <c r="AO558" s="417">
        <v>-69781</v>
      </c>
      <c r="AP558" s="417">
        <v>-30352</v>
      </c>
      <c r="AQ558" s="417">
        <v>0</v>
      </c>
      <c r="AR558" s="417">
        <v>0</v>
      </c>
    </row>
    <row r="559" spans="1:44">
      <c r="A559" s="377">
        <v>96041</v>
      </c>
      <c r="B559" t="s">
        <v>1260</v>
      </c>
      <c r="C559" s="378">
        <v>1.8835E-3</v>
      </c>
      <c r="D559" s="378"/>
      <c r="E559" s="417">
        <v>287448</v>
      </c>
      <c r="F559" s="417">
        <v>-47942</v>
      </c>
      <c r="G559" s="417">
        <v>-281141</v>
      </c>
      <c r="H559" s="417">
        <v>-1262838</v>
      </c>
      <c r="I559" s="417">
        <v>0</v>
      </c>
      <c r="J559" s="378">
        <v>1.8835E-3</v>
      </c>
      <c r="K559" s="378"/>
      <c r="L559" s="417">
        <v>461096</v>
      </c>
      <c r="M559" s="417">
        <v>318447</v>
      </c>
      <c r="N559" s="417">
        <v>139402</v>
      </c>
      <c r="O559" s="417">
        <v>0</v>
      </c>
      <c r="P559" s="417">
        <v>0</v>
      </c>
      <c r="Q559" s="378">
        <v>1.8835E-3</v>
      </c>
      <c r="R559" s="378"/>
      <c r="S559" s="417">
        <v>-946210</v>
      </c>
      <c r="T559" s="417">
        <v>-935261</v>
      </c>
      <c r="U559" s="417">
        <v>-982530</v>
      </c>
      <c r="V559" s="417">
        <v>-1262838</v>
      </c>
      <c r="W559" s="417">
        <v>0</v>
      </c>
      <c r="X559" s="378">
        <v>1.8835E-3</v>
      </c>
      <c r="Z559" s="417">
        <v>754534</v>
      </c>
      <c r="AA559" s="417">
        <v>530102</v>
      </c>
      <c r="AB559" s="417">
        <v>530098</v>
      </c>
      <c r="AC559" s="417">
        <v>0</v>
      </c>
      <c r="AD559" s="417">
        <v>0</v>
      </c>
      <c r="AE559" s="378">
        <v>1.8835E-3</v>
      </c>
      <c r="AF559" s="378"/>
      <c r="AG559" s="417">
        <v>38768</v>
      </c>
      <c r="AH559" s="417">
        <v>38770</v>
      </c>
      <c r="AI559" s="417">
        <v>31889</v>
      </c>
      <c r="AJ559" s="417">
        <v>0</v>
      </c>
      <c r="AK559" s="417">
        <v>0</v>
      </c>
      <c r="AL559" s="378">
        <v>1.8835E-3</v>
      </c>
      <c r="AM559" s="378"/>
      <c r="AN559" s="417">
        <v>-20740</v>
      </c>
      <c r="AO559" s="417">
        <v>0</v>
      </c>
      <c r="AP559" s="417">
        <v>0</v>
      </c>
      <c r="AQ559" s="417">
        <v>0</v>
      </c>
      <c r="AR559" s="417">
        <v>0</v>
      </c>
    </row>
    <row r="560" spans="1:44">
      <c r="A560" s="377">
        <v>96051</v>
      </c>
      <c r="B560" t="s">
        <v>1261</v>
      </c>
      <c r="C560" s="378">
        <v>1.0357000000000001E-3</v>
      </c>
      <c r="D560" s="378"/>
      <c r="E560" s="417">
        <v>119120</v>
      </c>
      <c r="F560" s="417">
        <v>-70624</v>
      </c>
      <c r="G560" s="417">
        <v>-188847</v>
      </c>
      <c r="H560" s="417">
        <v>-694410</v>
      </c>
      <c r="I560" s="417">
        <v>0</v>
      </c>
      <c r="J560" s="378">
        <v>1.0357000000000001E-3</v>
      </c>
      <c r="K560" s="378"/>
      <c r="L560" s="417">
        <v>253548</v>
      </c>
      <c r="M560" s="417">
        <v>175108</v>
      </c>
      <c r="N560" s="417">
        <v>76654</v>
      </c>
      <c r="O560" s="417">
        <v>0</v>
      </c>
      <c r="P560" s="417">
        <v>0</v>
      </c>
      <c r="Q560" s="378">
        <v>1.0357000000000001E-3</v>
      </c>
      <c r="R560" s="378"/>
      <c r="S560" s="417">
        <v>-520303</v>
      </c>
      <c r="T560" s="417">
        <v>-514282</v>
      </c>
      <c r="U560" s="417">
        <v>-540274</v>
      </c>
      <c r="V560" s="417">
        <v>-694410</v>
      </c>
      <c r="W560" s="417">
        <v>0</v>
      </c>
      <c r="X560" s="378">
        <v>1.0357000000000001E-3</v>
      </c>
      <c r="Z560" s="417">
        <v>414903</v>
      </c>
      <c r="AA560" s="417">
        <v>291493</v>
      </c>
      <c r="AB560" s="417">
        <v>291491</v>
      </c>
      <c r="AC560" s="417">
        <v>0</v>
      </c>
      <c r="AD560" s="417">
        <v>0</v>
      </c>
      <c r="AE560" s="378">
        <v>1.0357000000000001E-3</v>
      </c>
      <c r="AF560" s="378"/>
      <c r="AG560" s="417">
        <v>17178</v>
      </c>
      <c r="AH560" s="417">
        <v>17176</v>
      </c>
      <c r="AI560" s="417">
        <v>0</v>
      </c>
      <c r="AJ560" s="417">
        <v>0</v>
      </c>
      <c r="AK560" s="417">
        <v>0</v>
      </c>
      <c r="AL560" s="378">
        <v>1.0357000000000001E-3</v>
      </c>
      <c r="AM560" s="378"/>
      <c r="AN560" s="417">
        <v>-46206</v>
      </c>
      <c r="AO560" s="417">
        <v>-40119</v>
      </c>
      <c r="AP560" s="417">
        <v>-16718</v>
      </c>
      <c r="AQ560" s="417">
        <v>0</v>
      </c>
      <c r="AR560" s="417">
        <v>0</v>
      </c>
    </row>
    <row r="561" spans="1:44">
      <c r="A561" s="377">
        <v>96061</v>
      </c>
      <c r="B561" t="s">
        <v>1262</v>
      </c>
      <c r="C561" s="378">
        <v>3.411E-4</v>
      </c>
      <c r="D561" s="378"/>
      <c r="E561" s="417">
        <v>47572</v>
      </c>
      <c r="F561" s="417">
        <v>-14420</v>
      </c>
      <c r="G561" s="417">
        <v>-52907</v>
      </c>
      <c r="H561" s="417">
        <v>-228699</v>
      </c>
      <c r="I561" s="417">
        <v>0</v>
      </c>
      <c r="J561" s="378">
        <v>3.411E-4</v>
      </c>
      <c r="K561" s="378"/>
      <c r="L561" s="417">
        <v>83504</v>
      </c>
      <c r="M561" s="417">
        <v>57670</v>
      </c>
      <c r="N561" s="417">
        <v>25245</v>
      </c>
      <c r="O561" s="417">
        <v>0</v>
      </c>
      <c r="P561" s="417">
        <v>0</v>
      </c>
      <c r="Q561" s="378">
        <v>3.411E-4</v>
      </c>
      <c r="R561" s="378"/>
      <c r="S561" s="417">
        <v>-171358</v>
      </c>
      <c r="T561" s="417">
        <v>-169375</v>
      </c>
      <c r="U561" s="417">
        <v>-177935</v>
      </c>
      <c r="V561" s="417">
        <v>-228699</v>
      </c>
      <c r="W561" s="417">
        <v>0</v>
      </c>
      <c r="X561" s="378">
        <v>3.411E-4</v>
      </c>
      <c r="Z561" s="417">
        <v>136645</v>
      </c>
      <c r="AA561" s="417">
        <v>96001</v>
      </c>
      <c r="AB561" s="417">
        <v>96000</v>
      </c>
      <c r="AC561" s="417">
        <v>0</v>
      </c>
      <c r="AD561" s="417">
        <v>0</v>
      </c>
      <c r="AE561" s="378">
        <v>3.411E-4</v>
      </c>
      <c r="AF561" s="378"/>
      <c r="AG561" s="417">
        <v>8753</v>
      </c>
      <c r="AH561" s="417">
        <v>8754</v>
      </c>
      <c r="AI561" s="417">
        <v>3783</v>
      </c>
      <c r="AJ561" s="417">
        <v>0</v>
      </c>
      <c r="AK561" s="417">
        <v>0</v>
      </c>
      <c r="AL561" s="378">
        <v>3.411E-4</v>
      </c>
      <c r="AM561" s="378"/>
      <c r="AN561" s="417">
        <v>-9972</v>
      </c>
      <c r="AO561" s="417">
        <v>-7470</v>
      </c>
      <c r="AP561" s="417">
        <v>0</v>
      </c>
      <c r="AQ561" s="417">
        <v>0</v>
      </c>
      <c r="AR561" s="417">
        <v>0</v>
      </c>
    </row>
    <row r="562" spans="1:44">
      <c r="A562" s="377">
        <v>96071</v>
      </c>
      <c r="B562" t="s">
        <v>1263</v>
      </c>
      <c r="C562" s="378">
        <v>1.3278000000000001E-3</v>
      </c>
      <c r="D562" s="378"/>
      <c r="E562" s="417">
        <v>254693</v>
      </c>
      <c r="F562" s="417">
        <v>-8457</v>
      </c>
      <c r="G562" s="417">
        <v>-216872</v>
      </c>
      <c r="H562" s="417">
        <v>-890255</v>
      </c>
      <c r="I562" s="417">
        <v>0</v>
      </c>
      <c r="J562" s="378">
        <v>1.3278000000000001E-3</v>
      </c>
      <c r="K562" s="378"/>
      <c r="L562" s="417">
        <v>325056</v>
      </c>
      <c r="M562" s="417">
        <v>224494</v>
      </c>
      <c r="N562" s="417">
        <v>98273</v>
      </c>
      <c r="O562" s="417">
        <v>0</v>
      </c>
      <c r="P562" s="417">
        <v>0</v>
      </c>
      <c r="Q562" s="378">
        <v>1.3278000000000001E-3</v>
      </c>
      <c r="R562" s="378"/>
      <c r="S562" s="417">
        <v>-667044</v>
      </c>
      <c r="T562" s="417">
        <v>-659326</v>
      </c>
      <c r="U562" s="417">
        <v>-692648</v>
      </c>
      <c r="V562" s="417">
        <v>-890255</v>
      </c>
      <c r="W562" s="417">
        <v>0</v>
      </c>
      <c r="X562" s="378">
        <v>1.3278000000000001E-3</v>
      </c>
      <c r="Z562" s="417">
        <v>531919</v>
      </c>
      <c r="AA562" s="417">
        <v>373703</v>
      </c>
      <c r="AB562" s="417">
        <v>373700</v>
      </c>
      <c r="AC562" s="417">
        <v>0</v>
      </c>
      <c r="AD562" s="417">
        <v>0</v>
      </c>
      <c r="AE562" s="378">
        <v>1.3278000000000001E-3</v>
      </c>
      <c r="AF562" s="378"/>
      <c r="AG562" s="417">
        <v>64762</v>
      </c>
      <c r="AH562" s="417">
        <v>52672</v>
      </c>
      <c r="AI562" s="417">
        <v>3803</v>
      </c>
      <c r="AJ562" s="417">
        <v>0</v>
      </c>
      <c r="AK562" s="417">
        <v>0</v>
      </c>
      <c r="AL562" s="378">
        <v>1.3278000000000001E-3</v>
      </c>
      <c r="AM562" s="378"/>
      <c r="AN562" s="417">
        <v>0</v>
      </c>
      <c r="AO562" s="417">
        <v>0</v>
      </c>
      <c r="AP562" s="417">
        <v>0</v>
      </c>
      <c r="AQ562" s="417">
        <v>0</v>
      </c>
      <c r="AR562" s="417">
        <v>0</v>
      </c>
    </row>
    <row r="563" spans="1:44">
      <c r="A563" s="377">
        <v>96081</v>
      </c>
      <c r="B563" t="s">
        <v>1264</v>
      </c>
      <c r="C563" s="378">
        <v>6.2560000000000003E-4</v>
      </c>
      <c r="D563" s="378"/>
      <c r="E563" s="417">
        <v>117694</v>
      </c>
      <c r="F563" s="417">
        <v>-2289</v>
      </c>
      <c r="G563" s="417">
        <v>-77036</v>
      </c>
      <c r="H563" s="417">
        <v>-419449</v>
      </c>
      <c r="I563" s="417">
        <v>0</v>
      </c>
      <c r="J563" s="378">
        <v>6.2560000000000003E-4</v>
      </c>
      <c r="K563" s="378"/>
      <c r="L563" s="417">
        <v>153152</v>
      </c>
      <c r="M563" s="417">
        <v>105771</v>
      </c>
      <c r="N563" s="417">
        <v>46302</v>
      </c>
      <c r="O563" s="417">
        <v>0</v>
      </c>
      <c r="P563" s="417">
        <v>0</v>
      </c>
      <c r="Q563" s="378">
        <v>6.2560000000000003E-4</v>
      </c>
      <c r="R563" s="378"/>
      <c r="S563" s="417">
        <v>-314281</v>
      </c>
      <c r="T563" s="417">
        <v>-310645</v>
      </c>
      <c r="U563" s="417">
        <v>-326345</v>
      </c>
      <c r="V563" s="417">
        <v>-419449</v>
      </c>
      <c r="W563" s="417">
        <v>0</v>
      </c>
      <c r="X563" s="378">
        <v>6.2560000000000003E-4</v>
      </c>
      <c r="Z563" s="417">
        <v>250617</v>
      </c>
      <c r="AA563" s="417">
        <v>176072</v>
      </c>
      <c r="AB563" s="417">
        <v>176071</v>
      </c>
      <c r="AC563" s="417">
        <v>0</v>
      </c>
      <c r="AD563" s="417">
        <v>0</v>
      </c>
      <c r="AE563" s="378">
        <v>6.2560000000000003E-4</v>
      </c>
      <c r="AF563" s="378"/>
      <c r="AG563" s="417">
        <v>32993</v>
      </c>
      <c r="AH563" s="417">
        <v>31301</v>
      </c>
      <c r="AI563" s="417">
        <v>26936</v>
      </c>
      <c r="AJ563" s="417">
        <v>0</v>
      </c>
      <c r="AK563" s="417">
        <v>0</v>
      </c>
      <c r="AL563" s="378">
        <v>6.2560000000000003E-4</v>
      </c>
      <c r="AM563" s="378"/>
      <c r="AN563" s="417">
        <v>-4787</v>
      </c>
      <c r="AO563" s="417">
        <v>-4788</v>
      </c>
      <c r="AP563" s="417">
        <v>0</v>
      </c>
      <c r="AQ563" s="417">
        <v>0</v>
      </c>
      <c r="AR563" s="417">
        <v>0</v>
      </c>
    </row>
    <row r="564" spans="1:44">
      <c r="A564" s="377">
        <v>96101</v>
      </c>
      <c r="B564" t="s">
        <v>1265</v>
      </c>
      <c r="C564" s="378">
        <v>6.6339999999999997E-4</v>
      </c>
      <c r="D564" s="378"/>
      <c r="E564" s="417">
        <v>110115</v>
      </c>
      <c r="F564" s="417">
        <v>-23832</v>
      </c>
      <c r="G564" s="417">
        <v>-78103</v>
      </c>
      <c r="H564" s="417">
        <v>-444792</v>
      </c>
      <c r="I564" s="417">
        <v>0</v>
      </c>
      <c r="J564" s="378">
        <v>6.6339999999999997E-4</v>
      </c>
      <c r="K564" s="378"/>
      <c r="L564" s="417">
        <v>162406</v>
      </c>
      <c r="M564" s="417">
        <v>112162</v>
      </c>
      <c r="N564" s="417">
        <v>49100</v>
      </c>
      <c r="O564" s="417">
        <v>0</v>
      </c>
      <c r="P564" s="417">
        <v>0</v>
      </c>
      <c r="Q564" s="378">
        <v>6.6339999999999997E-4</v>
      </c>
      <c r="R564" s="378"/>
      <c r="S564" s="417">
        <v>-333271</v>
      </c>
      <c r="T564" s="417">
        <v>-329415</v>
      </c>
      <c r="U564" s="417">
        <v>-346063</v>
      </c>
      <c r="V564" s="417">
        <v>-444792</v>
      </c>
      <c r="W564" s="417">
        <v>0</v>
      </c>
      <c r="X564" s="378">
        <v>6.6339999999999997E-4</v>
      </c>
      <c r="Z564" s="417">
        <v>265759</v>
      </c>
      <c r="AA564" s="417">
        <v>186711</v>
      </c>
      <c r="AB564" s="417">
        <v>186709</v>
      </c>
      <c r="AC564" s="417">
        <v>0</v>
      </c>
      <c r="AD564" s="417">
        <v>0</v>
      </c>
      <c r="AE564" s="378">
        <v>6.6339999999999997E-4</v>
      </c>
      <c r="AF564" s="378"/>
      <c r="AG564" s="417">
        <v>40664</v>
      </c>
      <c r="AH564" s="417">
        <v>32152</v>
      </c>
      <c r="AI564" s="417">
        <v>32151</v>
      </c>
      <c r="AJ564" s="417">
        <v>0</v>
      </c>
      <c r="AK564" s="417">
        <v>0</v>
      </c>
      <c r="AL564" s="378">
        <v>6.6339999999999997E-4</v>
      </c>
      <c r="AM564" s="378"/>
      <c r="AN564" s="417">
        <v>-25443</v>
      </c>
      <c r="AO564" s="417">
        <v>-25442</v>
      </c>
      <c r="AP564" s="417">
        <v>0</v>
      </c>
      <c r="AQ564" s="417">
        <v>0</v>
      </c>
      <c r="AR564" s="417">
        <v>0</v>
      </c>
    </row>
    <row r="565" spans="1:44">
      <c r="A565" s="377">
        <v>96102</v>
      </c>
      <c r="B565" t="s">
        <v>1266</v>
      </c>
      <c r="C565" s="378">
        <v>1.0699999999999999E-5</v>
      </c>
      <c r="D565" s="378"/>
      <c r="E565" s="417">
        <v>-119</v>
      </c>
      <c r="F565" s="417">
        <v>-1604</v>
      </c>
      <c r="G565" s="417">
        <v>-2154</v>
      </c>
      <c r="H565" s="417">
        <v>-7174</v>
      </c>
      <c r="I565" s="417">
        <v>0</v>
      </c>
      <c r="J565" s="378">
        <v>1.0699999999999999E-5</v>
      </c>
      <c r="K565" s="378"/>
      <c r="L565" s="417">
        <v>2619</v>
      </c>
      <c r="M565" s="417">
        <v>1809</v>
      </c>
      <c r="N565" s="417">
        <v>792</v>
      </c>
      <c r="O565" s="417">
        <v>0</v>
      </c>
      <c r="P565" s="417">
        <v>0</v>
      </c>
      <c r="Q565" s="378">
        <v>1.0699999999999999E-5</v>
      </c>
      <c r="R565" s="378"/>
      <c r="S565" s="417">
        <v>-5375</v>
      </c>
      <c r="T565" s="417">
        <v>-5313</v>
      </c>
      <c r="U565" s="417">
        <v>-5582</v>
      </c>
      <c r="V565" s="417">
        <v>-7174</v>
      </c>
      <c r="W565" s="417">
        <v>0</v>
      </c>
      <c r="X565" s="378">
        <v>1.0699999999999999E-5</v>
      </c>
      <c r="Z565" s="417">
        <v>4286</v>
      </c>
      <c r="AA565" s="417">
        <v>3011</v>
      </c>
      <c r="AB565" s="417">
        <v>3011</v>
      </c>
      <c r="AC565" s="417">
        <v>0</v>
      </c>
      <c r="AD565" s="417">
        <v>0</v>
      </c>
      <c r="AE565" s="378">
        <v>1.0699999999999999E-5</v>
      </c>
      <c r="AF565" s="378"/>
      <c r="AG565" s="417">
        <v>0</v>
      </c>
      <c r="AH565" s="417">
        <v>0</v>
      </c>
      <c r="AI565" s="417">
        <v>0</v>
      </c>
      <c r="AJ565" s="417">
        <v>0</v>
      </c>
      <c r="AK565" s="417">
        <v>0</v>
      </c>
      <c r="AL565" s="378">
        <v>1.0699999999999999E-5</v>
      </c>
      <c r="AM565" s="378"/>
      <c r="AN565" s="417">
        <v>-1649</v>
      </c>
      <c r="AO565" s="417">
        <v>-1111</v>
      </c>
      <c r="AP565" s="417">
        <v>-375</v>
      </c>
      <c r="AQ565" s="417">
        <v>0</v>
      </c>
      <c r="AR565" s="417">
        <v>0</v>
      </c>
    </row>
    <row r="566" spans="1:44">
      <c r="A566" s="377">
        <v>96111</v>
      </c>
      <c r="B566" t="s">
        <v>1267</v>
      </c>
      <c r="C566" s="378">
        <v>1.6789999999999999E-4</v>
      </c>
      <c r="D566" s="378"/>
      <c r="E566" s="417">
        <v>41494</v>
      </c>
      <c r="F566" s="417">
        <v>7560</v>
      </c>
      <c r="G566" s="417">
        <v>-23714</v>
      </c>
      <c r="H566" s="417">
        <v>-112573</v>
      </c>
      <c r="I566" s="417">
        <v>0</v>
      </c>
      <c r="J566" s="378">
        <v>1.6789999999999999E-4</v>
      </c>
      <c r="K566" s="378"/>
      <c r="L566" s="417">
        <v>41103</v>
      </c>
      <c r="M566" s="417">
        <v>28387</v>
      </c>
      <c r="N566" s="417">
        <v>12427</v>
      </c>
      <c r="O566" s="417">
        <v>0</v>
      </c>
      <c r="P566" s="417">
        <v>0</v>
      </c>
      <c r="Q566" s="378">
        <v>1.6789999999999999E-4</v>
      </c>
      <c r="R566" s="378"/>
      <c r="S566" s="417">
        <v>-84348</v>
      </c>
      <c r="T566" s="417">
        <v>-83372</v>
      </c>
      <c r="U566" s="417">
        <v>-87585</v>
      </c>
      <c r="V566" s="417">
        <v>-112573</v>
      </c>
      <c r="W566" s="417">
        <v>0</v>
      </c>
      <c r="X566" s="378">
        <v>1.6789999999999999E-4</v>
      </c>
      <c r="Z566" s="417">
        <v>67261</v>
      </c>
      <c r="AA566" s="417">
        <v>47255</v>
      </c>
      <c r="AB566" s="417">
        <v>47254</v>
      </c>
      <c r="AC566" s="417">
        <v>0</v>
      </c>
      <c r="AD566" s="417">
        <v>0</v>
      </c>
      <c r="AE566" s="378">
        <v>1.6789999999999999E-4</v>
      </c>
      <c r="AF566" s="378"/>
      <c r="AG566" s="417">
        <v>17478</v>
      </c>
      <c r="AH566" s="417">
        <v>15290</v>
      </c>
      <c r="AI566" s="417">
        <v>4190</v>
      </c>
      <c r="AJ566" s="417">
        <v>0</v>
      </c>
      <c r="AK566" s="417">
        <v>0</v>
      </c>
      <c r="AL566" s="378">
        <v>1.6789999999999999E-4</v>
      </c>
      <c r="AM566" s="378"/>
      <c r="AN566" s="417">
        <v>0</v>
      </c>
      <c r="AO566" s="417">
        <v>0</v>
      </c>
      <c r="AP566" s="417">
        <v>0</v>
      </c>
      <c r="AQ566" s="417">
        <v>0</v>
      </c>
      <c r="AR566" s="417">
        <v>0</v>
      </c>
    </row>
    <row r="567" spans="1:44">
      <c r="A567" s="377">
        <v>96121</v>
      </c>
      <c r="B567" t="s">
        <v>1268</v>
      </c>
      <c r="C567" s="378">
        <v>1.77E-5</v>
      </c>
      <c r="D567" s="378"/>
      <c r="E567" s="417">
        <v>-755</v>
      </c>
      <c r="F567" s="417">
        <v>-3745</v>
      </c>
      <c r="G567" s="417">
        <v>-2682</v>
      </c>
      <c r="H567" s="417">
        <v>-11867</v>
      </c>
      <c r="I567" s="417">
        <v>0</v>
      </c>
      <c r="J567" s="378">
        <v>1.77E-5</v>
      </c>
      <c r="K567" s="378"/>
      <c r="L567" s="417">
        <v>4333</v>
      </c>
      <c r="M567" s="417">
        <v>2993</v>
      </c>
      <c r="N567" s="417">
        <v>1310</v>
      </c>
      <c r="O567" s="417">
        <v>0</v>
      </c>
      <c r="P567" s="417">
        <v>0</v>
      </c>
      <c r="Q567" s="378">
        <v>1.77E-5</v>
      </c>
      <c r="R567" s="378"/>
      <c r="S567" s="417">
        <v>-8892</v>
      </c>
      <c r="T567" s="417">
        <v>-8789</v>
      </c>
      <c r="U567" s="417">
        <v>-9233</v>
      </c>
      <c r="V567" s="417">
        <v>-11867</v>
      </c>
      <c r="W567" s="417">
        <v>0</v>
      </c>
      <c r="X567" s="378">
        <v>1.77E-5</v>
      </c>
      <c r="Z567" s="417">
        <v>7091</v>
      </c>
      <c r="AA567" s="417">
        <v>4982</v>
      </c>
      <c r="AB567" s="417">
        <v>4982</v>
      </c>
      <c r="AC567" s="417">
        <v>0</v>
      </c>
      <c r="AD567" s="417">
        <v>0</v>
      </c>
      <c r="AE567" s="378">
        <v>1.77E-5</v>
      </c>
      <c r="AF567" s="378"/>
      <c r="AG567" s="417">
        <v>350</v>
      </c>
      <c r="AH567" s="417">
        <v>351</v>
      </c>
      <c r="AI567" s="417">
        <v>259</v>
      </c>
      <c r="AJ567" s="417">
        <v>0</v>
      </c>
      <c r="AK567" s="417">
        <v>0</v>
      </c>
      <c r="AL567" s="378">
        <v>1.77E-5</v>
      </c>
      <c r="AM567" s="378"/>
      <c r="AN567" s="417">
        <v>-3637</v>
      </c>
      <c r="AO567" s="417">
        <v>-3282</v>
      </c>
      <c r="AP567" s="417">
        <v>0</v>
      </c>
      <c r="AQ567" s="417">
        <v>0</v>
      </c>
      <c r="AR567" s="417">
        <v>0</v>
      </c>
    </row>
    <row r="568" spans="1:44">
      <c r="A568" s="377">
        <v>96201</v>
      </c>
      <c r="B568" t="s">
        <v>1269</v>
      </c>
      <c r="C568" s="378">
        <v>1.0398E-3</v>
      </c>
      <c r="D568" s="378"/>
      <c r="E568" s="417">
        <v>154626</v>
      </c>
      <c r="F568" s="417">
        <v>-29318</v>
      </c>
      <c r="G568" s="417">
        <v>-124299</v>
      </c>
      <c r="H568" s="417">
        <v>-697159</v>
      </c>
      <c r="I568" s="417">
        <v>0</v>
      </c>
      <c r="J568" s="378">
        <v>1.0398E-3</v>
      </c>
      <c r="K568" s="378"/>
      <c r="L568" s="417">
        <v>254551</v>
      </c>
      <c r="M568" s="417">
        <v>175801</v>
      </c>
      <c r="N568" s="417">
        <v>76958</v>
      </c>
      <c r="O568" s="417">
        <v>0</v>
      </c>
      <c r="P568" s="417">
        <v>0</v>
      </c>
      <c r="Q568" s="378">
        <v>1.0398E-3</v>
      </c>
      <c r="R568" s="378"/>
      <c r="S568" s="417">
        <v>-522362</v>
      </c>
      <c r="T568" s="417">
        <v>-516318</v>
      </c>
      <c r="U568" s="417">
        <v>-542413</v>
      </c>
      <c r="V568" s="417">
        <v>-697159</v>
      </c>
      <c r="W568" s="417">
        <v>0</v>
      </c>
      <c r="X568" s="378">
        <v>1.0398E-3</v>
      </c>
      <c r="Z568" s="417">
        <v>416546</v>
      </c>
      <c r="AA568" s="417">
        <v>292647</v>
      </c>
      <c r="AB568" s="417">
        <v>292644</v>
      </c>
      <c r="AC568" s="417">
        <v>0</v>
      </c>
      <c r="AD568" s="417">
        <v>0</v>
      </c>
      <c r="AE568" s="378">
        <v>1.0398E-3</v>
      </c>
      <c r="AF568" s="378"/>
      <c r="AG568" s="417">
        <v>48514</v>
      </c>
      <c r="AH568" s="417">
        <v>48514</v>
      </c>
      <c r="AI568" s="417">
        <v>48512</v>
      </c>
      <c r="AJ568" s="417">
        <v>0</v>
      </c>
      <c r="AK568" s="417">
        <v>0</v>
      </c>
      <c r="AL568" s="378">
        <v>1.0398E-3</v>
      </c>
      <c r="AM568" s="378"/>
      <c r="AN568" s="417">
        <v>-42623</v>
      </c>
      <c r="AO568" s="417">
        <v>-29962</v>
      </c>
      <c r="AP568" s="417">
        <v>0</v>
      </c>
      <c r="AQ568" s="417">
        <v>0</v>
      </c>
      <c r="AR568" s="417">
        <v>0</v>
      </c>
    </row>
    <row r="569" spans="1:44">
      <c r="A569" s="377">
        <v>96204</v>
      </c>
      <c r="B569" t="s">
        <v>1270</v>
      </c>
      <c r="C569" s="378">
        <v>1.6200000000000001E-5</v>
      </c>
      <c r="D569" s="378"/>
      <c r="E569" s="417">
        <v>6230</v>
      </c>
      <c r="F569" s="417">
        <v>2860</v>
      </c>
      <c r="G569" s="417">
        <v>-581</v>
      </c>
      <c r="H569" s="417">
        <v>-10862</v>
      </c>
      <c r="I569" s="417">
        <v>0</v>
      </c>
      <c r="J569" s="378">
        <v>1.6200000000000001E-5</v>
      </c>
      <c r="K569" s="378"/>
      <c r="L569" s="417">
        <v>3966</v>
      </c>
      <c r="M569" s="417">
        <v>2739</v>
      </c>
      <c r="N569" s="417">
        <v>1199</v>
      </c>
      <c r="O569" s="417">
        <v>0</v>
      </c>
      <c r="P569" s="417">
        <v>0</v>
      </c>
      <c r="Q569" s="378">
        <v>1.6200000000000001E-5</v>
      </c>
      <c r="R569" s="378"/>
      <c r="S569" s="417">
        <v>-8138</v>
      </c>
      <c r="T569" s="417">
        <v>-8044</v>
      </c>
      <c r="U569" s="417">
        <v>-8451</v>
      </c>
      <c r="V569" s="417">
        <v>-10862</v>
      </c>
      <c r="W569" s="417">
        <v>0</v>
      </c>
      <c r="X569" s="378">
        <v>1.6200000000000001E-5</v>
      </c>
      <c r="Z569" s="417">
        <v>6490</v>
      </c>
      <c r="AA569" s="417">
        <v>4559</v>
      </c>
      <c r="AB569" s="417">
        <v>4559</v>
      </c>
      <c r="AC569" s="417">
        <v>0</v>
      </c>
      <c r="AD569" s="417">
        <v>0</v>
      </c>
      <c r="AE569" s="378">
        <v>1.6200000000000001E-5</v>
      </c>
      <c r="AF569" s="378"/>
      <c r="AG569" s="417">
        <v>3912</v>
      </c>
      <c r="AH569" s="417">
        <v>3606</v>
      </c>
      <c r="AI569" s="417">
        <v>2112</v>
      </c>
      <c r="AJ569" s="417">
        <v>0</v>
      </c>
      <c r="AK569" s="417">
        <v>0</v>
      </c>
      <c r="AL569" s="378">
        <v>1.6200000000000001E-5</v>
      </c>
      <c r="AM569" s="378"/>
      <c r="AN569" s="417">
        <v>0</v>
      </c>
      <c r="AO569" s="417">
        <v>0</v>
      </c>
      <c r="AP569" s="417">
        <v>0</v>
      </c>
      <c r="AQ569" s="417">
        <v>0</v>
      </c>
      <c r="AR569" s="417">
        <v>0</v>
      </c>
    </row>
    <row r="570" spans="1:44">
      <c r="A570" s="377">
        <v>96211</v>
      </c>
      <c r="B570" t="s">
        <v>1271</v>
      </c>
      <c r="C570" s="378">
        <v>2.0299999999999999E-5</v>
      </c>
      <c r="D570" s="378"/>
      <c r="E570" s="417">
        <v>6795</v>
      </c>
      <c r="F570" s="417">
        <v>1854</v>
      </c>
      <c r="G570" s="417">
        <v>-1905</v>
      </c>
      <c r="H570" s="417">
        <v>-13611</v>
      </c>
      <c r="I570" s="417">
        <v>0</v>
      </c>
      <c r="J570" s="378">
        <v>2.0299999999999999E-5</v>
      </c>
      <c r="K570" s="378"/>
      <c r="L570" s="417">
        <v>4970</v>
      </c>
      <c r="M570" s="417">
        <v>3432</v>
      </c>
      <c r="N570" s="417">
        <v>1502</v>
      </c>
      <c r="O570" s="417">
        <v>0</v>
      </c>
      <c r="P570" s="417">
        <v>0</v>
      </c>
      <c r="Q570" s="378">
        <v>2.0299999999999999E-5</v>
      </c>
      <c r="R570" s="378"/>
      <c r="S570" s="417">
        <v>-10198</v>
      </c>
      <c r="T570" s="417">
        <v>-10080</v>
      </c>
      <c r="U570" s="417">
        <v>-10590</v>
      </c>
      <c r="V570" s="417">
        <v>-13611</v>
      </c>
      <c r="W570" s="417">
        <v>0</v>
      </c>
      <c r="X570" s="378">
        <v>2.0299999999999999E-5</v>
      </c>
      <c r="Z570" s="417">
        <v>8132</v>
      </c>
      <c r="AA570" s="417">
        <v>5713</v>
      </c>
      <c r="AB570" s="417">
        <v>5713</v>
      </c>
      <c r="AC570" s="417">
        <v>0</v>
      </c>
      <c r="AD570" s="417">
        <v>0</v>
      </c>
      <c r="AE570" s="378">
        <v>2.0299999999999999E-5</v>
      </c>
      <c r="AF570" s="378"/>
      <c r="AG570" s="417">
        <v>3891</v>
      </c>
      <c r="AH570" s="417">
        <v>2789</v>
      </c>
      <c r="AI570" s="417">
        <v>1470</v>
      </c>
      <c r="AJ570" s="417">
        <v>0</v>
      </c>
      <c r="AK570" s="417">
        <v>0</v>
      </c>
      <c r="AL570" s="378">
        <v>2.0299999999999999E-5</v>
      </c>
      <c r="AM570" s="378"/>
      <c r="AN570" s="417">
        <v>0</v>
      </c>
      <c r="AO570" s="417">
        <v>0</v>
      </c>
      <c r="AP570" s="417">
        <v>0</v>
      </c>
      <c r="AQ570" s="417">
        <v>0</v>
      </c>
      <c r="AR570" s="417">
        <v>0</v>
      </c>
    </row>
    <row r="571" spans="1:44">
      <c r="A571" s="377">
        <v>96221</v>
      </c>
      <c r="B571" t="s">
        <v>1272</v>
      </c>
      <c r="C571" s="378">
        <v>1.8440000000000001E-4</v>
      </c>
      <c r="D571" s="378"/>
      <c r="E571" s="417">
        <v>7747</v>
      </c>
      <c r="F571" s="417">
        <v>-25030</v>
      </c>
      <c r="G571" s="417">
        <v>-36816</v>
      </c>
      <c r="H571" s="417">
        <v>-123635</v>
      </c>
      <c r="I571" s="417">
        <v>0</v>
      </c>
      <c r="J571" s="378">
        <v>1.8440000000000001E-4</v>
      </c>
      <c r="K571" s="378"/>
      <c r="L571" s="417">
        <v>45143</v>
      </c>
      <c r="M571" s="417">
        <v>31177</v>
      </c>
      <c r="N571" s="417">
        <v>13648</v>
      </c>
      <c r="O571" s="417">
        <v>0</v>
      </c>
      <c r="P571" s="417">
        <v>0</v>
      </c>
      <c r="Q571" s="378">
        <v>1.8440000000000001E-4</v>
      </c>
      <c r="R571" s="378"/>
      <c r="S571" s="417">
        <v>-92637</v>
      </c>
      <c r="T571" s="417">
        <v>-91565</v>
      </c>
      <c r="U571" s="417">
        <v>-96192</v>
      </c>
      <c r="V571" s="417">
        <v>-123635</v>
      </c>
      <c r="W571" s="417">
        <v>0</v>
      </c>
      <c r="X571" s="378">
        <v>1.8440000000000001E-4</v>
      </c>
      <c r="Z571" s="417">
        <v>73871</v>
      </c>
      <c r="AA571" s="417">
        <v>51898</v>
      </c>
      <c r="AB571" s="417">
        <v>51898</v>
      </c>
      <c r="AC571" s="417">
        <v>0</v>
      </c>
      <c r="AD571" s="417">
        <v>0</v>
      </c>
      <c r="AE571" s="378">
        <v>1.8440000000000001E-4</v>
      </c>
      <c r="AF571" s="378"/>
      <c r="AG571" s="417">
        <v>0</v>
      </c>
      <c r="AH571" s="417">
        <v>0</v>
      </c>
      <c r="AI571" s="417">
        <v>0</v>
      </c>
      <c r="AJ571" s="417">
        <v>0</v>
      </c>
      <c r="AK571" s="417">
        <v>0</v>
      </c>
      <c r="AL571" s="378">
        <v>1.8440000000000001E-4</v>
      </c>
      <c r="AM571" s="378"/>
      <c r="AN571" s="417">
        <v>-18630</v>
      </c>
      <c r="AO571" s="417">
        <v>-16540</v>
      </c>
      <c r="AP571" s="417">
        <v>-6170</v>
      </c>
      <c r="AQ571" s="417">
        <v>0</v>
      </c>
      <c r="AR571" s="417">
        <v>0</v>
      </c>
    </row>
    <row r="572" spans="1:44">
      <c r="A572" s="377">
        <v>96231</v>
      </c>
      <c r="B572" t="s">
        <v>1273</v>
      </c>
      <c r="C572" s="378">
        <v>1.086E-4</v>
      </c>
      <c r="D572" s="378"/>
      <c r="E572" s="417">
        <v>-449</v>
      </c>
      <c r="F572" s="417">
        <v>-17214</v>
      </c>
      <c r="G572" s="417">
        <v>-17831</v>
      </c>
      <c r="H572" s="417">
        <v>-72813</v>
      </c>
      <c r="I572" s="417">
        <v>0</v>
      </c>
      <c r="J572" s="378">
        <v>1.086E-4</v>
      </c>
      <c r="K572" s="378"/>
      <c r="L572" s="417">
        <v>26586</v>
      </c>
      <c r="M572" s="417">
        <v>18361</v>
      </c>
      <c r="N572" s="417">
        <v>8038</v>
      </c>
      <c r="O572" s="417">
        <v>0</v>
      </c>
      <c r="P572" s="417">
        <v>0</v>
      </c>
      <c r="Q572" s="378">
        <v>1.086E-4</v>
      </c>
      <c r="R572" s="378"/>
      <c r="S572" s="417">
        <v>-54557</v>
      </c>
      <c r="T572" s="417">
        <v>-53926</v>
      </c>
      <c r="U572" s="417">
        <v>-56651</v>
      </c>
      <c r="V572" s="417">
        <v>-72813</v>
      </c>
      <c r="W572" s="417">
        <v>0</v>
      </c>
      <c r="X572" s="378">
        <v>1.086E-4</v>
      </c>
      <c r="Z572" s="417">
        <v>43505</v>
      </c>
      <c r="AA572" s="417">
        <v>30565</v>
      </c>
      <c r="AB572" s="417">
        <v>30565</v>
      </c>
      <c r="AC572" s="417">
        <v>0</v>
      </c>
      <c r="AD572" s="417">
        <v>0</v>
      </c>
      <c r="AE572" s="378">
        <v>1.086E-4</v>
      </c>
      <c r="AF572" s="378"/>
      <c r="AG572" s="417">
        <v>218</v>
      </c>
      <c r="AH572" s="417">
        <v>218</v>
      </c>
      <c r="AI572" s="417">
        <v>217</v>
      </c>
      <c r="AJ572" s="417">
        <v>0</v>
      </c>
      <c r="AK572" s="417">
        <v>0</v>
      </c>
      <c r="AL572" s="378">
        <v>1.086E-4</v>
      </c>
      <c r="AM572" s="378"/>
      <c r="AN572" s="417">
        <v>-16201</v>
      </c>
      <c r="AO572" s="417">
        <v>-12432</v>
      </c>
      <c r="AP572" s="417">
        <v>0</v>
      </c>
      <c r="AQ572" s="417">
        <v>0</v>
      </c>
      <c r="AR572" s="417">
        <v>0</v>
      </c>
    </row>
    <row r="573" spans="1:44">
      <c r="A573" s="377">
        <v>96241</v>
      </c>
      <c r="B573" t="s">
        <v>1274</v>
      </c>
      <c r="C573" s="378">
        <v>5.5600000000000003E-5</v>
      </c>
      <c r="D573" s="378"/>
      <c r="E573" s="417">
        <v>1524</v>
      </c>
      <c r="F573" s="417">
        <v>-10053</v>
      </c>
      <c r="G573" s="417">
        <v>-13621</v>
      </c>
      <c r="H573" s="417">
        <v>-37278</v>
      </c>
      <c r="I573" s="417">
        <v>0</v>
      </c>
      <c r="J573" s="378">
        <v>5.5600000000000003E-5</v>
      </c>
      <c r="K573" s="378"/>
      <c r="L573" s="417">
        <v>13611</v>
      </c>
      <c r="M573" s="417">
        <v>9400</v>
      </c>
      <c r="N573" s="417">
        <v>4115</v>
      </c>
      <c r="O573" s="417">
        <v>0</v>
      </c>
      <c r="P573" s="417">
        <v>0</v>
      </c>
      <c r="Q573" s="378">
        <v>5.5600000000000003E-5</v>
      </c>
      <c r="R573" s="378"/>
      <c r="S573" s="417">
        <v>-27932</v>
      </c>
      <c r="T573" s="417">
        <v>-27608</v>
      </c>
      <c r="U573" s="417">
        <v>-29004</v>
      </c>
      <c r="V573" s="417">
        <v>-37278</v>
      </c>
      <c r="W573" s="417">
        <v>0</v>
      </c>
      <c r="X573" s="378">
        <v>5.5600000000000003E-5</v>
      </c>
      <c r="Z573" s="417">
        <v>22273</v>
      </c>
      <c r="AA573" s="417">
        <v>15648</v>
      </c>
      <c r="AB573" s="417">
        <v>15648</v>
      </c>
      <c r="AC573" s="417">
        <v>0</v>
      </c>
      <c r="AD573" s="417">
        <v>0</v>
      </c>
      <c r="AE573" s="378">
        <v>5.5600000000000003E-5</v>
      </c>
      <c r="AF573" s="378"/>
      <c r="AG573" s="417">
        <v>1886</v>
      </c>
      <c r="AH573" s="417">
        <v>819</v>
      </c>
      <c r="AI573" s="417">
        <v>0</v>
      </c>
      <c r="AJ573" s="417">
        <v>0</v>
      </c>
      <c r="AK573" s="417">
        <v>0</v>
      </c>
      <c r="AL573" s="378">
        <v>5.5600000000000003E-5</v>
      </c>
      <c r="AM573" s="378"/>
      <c r="AN573" s="417">
        <v>-8314</v>
      </c>
      <c r="AO573" s="417">
        <v>-8312</v>
      </c>
      <c r="AP573" s="417">
        <v>-4380</v>
      </c>
      <c r="AQ573" s="417">
        <v>0</v>
      </c>
      <c r="AR573" s="417">
        <v>0</v>
      </c>
    </row>
    <row r="574" spans="1:44">
      <c r="A574" s="377">
        <v>96251</v>
      </c>
      <c r="B574" t="s">
        <v>1275</v>
      </c>
      <c r="C574" s="378">
        <v>1.0340000000000001E-4</v>
      </c>
      <c r="D574" s="378"/>
      <c r="E574" s="417">
        <v>10435</v>
      </c>
      <c r="F574" s="417">
        <v>-8575</v>
      </c>
      <c r="G574" s="417">
        <v>-11341</v>
      </c>
      <c r="H574" s="417">
        <v>-69327</v>
      </c>
      <c r="I574" s="417">
        <v>0</v>
      </c>
      <c r="J574" s="378">
        <v>1.0340000000000001E-4</v>
      </c>
      <c r="K574" s="378"/>
      <c r="L574" s="417">
        <v>25313</v>
      </c>
      <c r="M574" s="417">
        <v>17482</v>
      </c>
      <c r="N574" s="417">
        <v>7653</v>
      </c>
      <c r="O574" s="417">
        <v>0</v>
      </c>
      <c r="P574" s="417">
        <v>0</v>
      </c>
      <c r="Q574" s="378">
        <v>1.0340000000000001E-4</v>
      </c>
      <c r="R574" s="378"/>
      <c r="S574" s="417">
        <v>-51945</v>
      </c>
      <c r="T574" s="417">
        <v>-51344</v>
      </c>
      <c r="U574" s="417">
        <v>-53939</v>
      </c>
      <c r="V574" s="417">
        <v>-69327</v>
      </c>
      <c r="W574" s="417">
        <v>0</v>
      </c>
      <c r="X574" s="378">
        <v>1.0340000000000001E-4</v>
      </c>
      <c r="Z574" s="417">
        <v>41422</v>
      </c>
      <c r="AA574" s="417">
        <v>29101</v>
      </c>
      <c r="AB574" s="417">
        <v>29101</v>
      </c>
      <c r="AC574" s="417">
        <v>0</v>
      </c>
      <c r="AD574" s="417">
        <v>0</v>
      </c>
      <c r="AE574" s="378">
        <v>1.0340000000000001E-4</v>
      </c>
      <c r="AF574" s="378"/>
      <c r="AG574" s="417">
        <v>5845</v>
      </c>
      <c r="AH574" s="417">
        <v>5845</v>
      </c>
      <c r="AI574" s="417">
        <v>5844</v>
      </c>
      <c r="AJ574" s="417">
        <v>0</v>
      </c>
      <c r="AK574" s="417">
        <v>0</v>
      </c>
      <c r="AL574" s="378">
        <v>1.0340000000000001E-4</v>
      </c>
      <c r="AM574" s="378"/>
      <c r="AN574" s="417">
        <v>-10200</v>
      </c>
      <c r="AO574" s="417">
        <v>-9659</v>
      </c>
      <c r="AP574" s="417">
        <v>0</v>
      </c>
      <c r="AQ574" s="417">
        <v>0</v>
      </c>
      <c r="AR574" s="417">
        <v>0</v>
      </c>
    </row>
    <row r="575" spans="1:44">
      <c r="A575" s="377">
        <v>96301</v>
      </c>
      <c r="B575" t="s">
        <v>1276</v>
      </c>
      <c r="C575" s="378">
        <v>4.7479999999999996E-3</v>
      </c>
      <c r="D575" s="378"/>
      <c r="E575" s="417">
        <v>693906</v>
      </c>
      <c r="F575" s="417">
        <v>-196885</v>
      </c>
      <c r="G575" s="417">
        <v>-841428</v>
      </c>
      <c r="H575" s="417">
        <v>-3183411</v>
      </c>
      <c r="I575" s="417">
        <v>0</v>
      </c>
      <c r="J575" s="378">
        <v>4.7479999999999996E-3</v>
      </c>
      <c r="K575" s="378"/>
      <c r="L575" s="417">
        <v>1162348</v>
      </c>
      <c r="M575" s="417">
        <v>802754</v>
      </c>
      <c r="N575" s="417">
        <v>351409</v>
      </c>
      <c r="O575" s="417">
        <v>0</v>
      </c>
      <c r="P575" s="417">
        <v>0</v>
      </c>
      <c r="Q575" s="378">
        <v>4.7479999999999996E-3</v>
      </c>
      <c r="R575" s="378"/>
      <c r="S575" s="417">
        <v>-2385243</v>
      </c>
      <c r="T575" s="417">
        <v>-2357643</v>
      </c>
      <c r="U575" s="417">
        <v>-2476799</v>
      </c>
      <c r="V575" s="417">
        <v>-3183411</v>
      </c>
      <c r="W575" s="417">
        <v>0</v>
      </c>
      <c r="X575" s="378">
        <v>4.7479999999999996E-3</v>
      </c>
      <c r="Z575" s="417">
        <v>1902058</v>
      </c>
      <c r="AA575" s="417">
        <v>1336301</v>
      </c>
      <c r="AB575" s="417">
        <v>1336291</v>
      </c>
      <c r="AC575" s="417">
        <v>0</v>
      </c>
      <c r="AD575" s="417">
        <v>0</v>
      </c>
      <c r="AE575" s="378">
        <v>4.7479999999999996E-3</v>
      </c>
      <c r="AF575" s="378"/>
      <c r="AG575" s="417">
        <v>74034</v>
      </c>
      <c r="AH575" s="417">
        <v>74032</v>
      </c>
      <c r="AI575" s="417">
        <v>0</v>
      </c>
      <c r="AJ575" s="417">
        <v>0</v>
      </c>
      <c r="AK575" s="417">
        <v>0</v>
      </c>
      <c r="AL575" s="378">
        <v>4.7479999999999996E-3</v>
      </c>
      <c r="AM575" s="378"/>
      <c r="AN575" s="417">
        <v>-59291</v>
      </c>
      <c r="AO575" s="417">
        <v>-52329</v>
      </c>
      <c r="AP575" s="417">
        <v>-52329</v>
      </c>
      <c r="AQ575" s="417">
        <v>0</v>
      </c>
      <c r="AR575" s="417">
        <v>0</v>
      </c>
    </row>
    <row r="576" spans="1:44">
      <c r="A576" s="377">
        <v>96302</v>
      </c>
      <c r="B576" t="s">
        <v>1277</v>
      </c>
      <c r="C576" s="378">
        <v>2.2500000000000001E-5</v>
      </c>
      <c r="D576" s="378"/>
      <c r="E576" s="417">
        <v>-3499</v>
      </c>
      <c r="F576" s="417">
        <v>-7562</v>
      </c>
      <c r="G576" s="417">
        <v>-19783</v>
      </c>
      <c r="H576" s="417">
        <v>-15086</v>
      </c>
      <c r="I576" s="417">
        <v>0</v>
      </c>
      <c r="J576" s="378">
        <v>2.2500000000000001E-5</v>
      </c>
      <c r="K576" s="378"/>
      <c r="L576" s="417">
        <v>5508</v>
      </c>
      <c r="M576" s="417">
        <v>3804</v>
      </c>
      <c r="N576" s="417">
        <v>1665</v>
      </c>
      <c r="O576" s="417">
        <v>0</v>
      </c>
      <c r="P576" s="417">
        <v>0</v>
      </c>
      <c r="Q576" s="378">
        <v>2.2500000000000001E-5</v>
      </c>
      <c r="R576" s="378"/>
      <c r="S576" s="417">
        <v>-11303</v>
      </c>
      <c r="T576" s="417">
        <v>-11172</v>
      </c>
      <c r="U576" s="417">
        <v>-11737</v>
      </c>
      <c r="V576" s="417">
        <v>-15086</v>
      </c>
      <c r="W576" s="417">
        <v>0</v>
      </c>
      <c r="X576" s="378">
        <v>2.2500000000000001E-5</v>
      </c>
      <c r="Z576" s="417">
        <v>9014</v>
      </c>
      <c r="AA576" s="417">
        <v>6333</v>
      </c>
      <c r="AB576" s="417">
        <v>6332</v>
      </c>
      <c r="AC576" s="417">
        <v>0</v>
      </c>
      <c r="AD576" s="417">
        <v>0</v>
      </c>
      <c r="AE576" s="378">
        <v>2.2500000000000001E-5</v>
      </c>
      <c r="AF576" s="378"/>
      <c r="AG576" s="417">
        <v>9515</v>
      </c>
      <c r="AH576" s="417">
        <v>9518</v>
      </c>
      <c r="AI576" s="417">
        <v>0</v>
      </c>
      <c r="AJ576" s="417">
        <v>0</v>
      </c>
      <c r="AK576" s="417">
        <v>0</v>
      </c>
      <c r="AL576" s="378">
        <v>2.2500000000000001E-5</v>
      </c>
      <c r="AM576" s="378"/>
      <c r="AN576" s="417">
        <v>-16233</v>
      </c>
      <c r="AO576" s="417">
        <v>-16045</v>
      </c>
      <c r="AP576" s="417">
        <v>-16043</v>
      </c>
      <c r="AQ576" s="417">
        <v>0</v>
      </c>
      <c r="AR576" s="417">
        <v>0</v>
      </c>
    </row>
    <row r="577" spans="1:44">
      <c r="A577" s="377">
        <v>96304</v>
      </c>
      <c r="B577" t="s">
        <v>1278</v>
      </c>
      <c r="C577" s="378">
        <v>5.1400000000000003E-5</v>
      </c>
      <c r="D577" s="378"/>
      <c r="E577" s="417">
        <v>14774</v>
      </c>
      <c r="F577" s="417">
        <v>3554</v>
      </c>
      <c r="G577" s="417">
        <v>-5677</v>
      </c>
      <c r="H577" s="417">
        <v>-34462</v>
      </c>
      <c r="I577" s="417">
        <v>0</v>
      </c>
      <c r="J577" s="378">
        <v>5.1400000000000003E-5</v>
      </c>
      <c r="K577" s="378"/>
      <c r="L577" s="417">
        <v>12583</v>
      </c>
      <c r="M577" s="417">
        <v>8690</v>
      </c>
      <c r="N577" s="417">
        <v>3804</v>
      </c>
      <c r="O577" s="417">
        <v>0</v>
      </c>
      <c r="P577" s="417">
        <v>0</v>
      </c>
      <c r="Q577" s="378">
        <v>5.1400000000000003E-5</v>
      </c>
      <c r="R577" s="378"/>
      <c r="S577" s="417">
        <v>-25822</v>
      </c>
      <c r="T577" s="417">
        <v>-25523</v>
      </c>
      <c r="U577" s="417">
        <v>-26813</v>
      </c>
      <c r="V577" s="417">
        <v>-34462</v>
      </c>
      <c r="W577" s="417">
        <v>0</v>
      </c>
      <c r="X577" s="378">
        <v>5.1400000000000003E-5</v>
      </c>
      <c r="Z577" s="417">
        <v>20591</v>
      </c>
      <c r="AA577" s="417">
        <v>14466</v>
      </c>
      <c r="AB577" s="417">
        <v>14466</v>
      </c>
      <c r="AC577" s="417">
        <v>0</v>
      </c>
      <c r="AD577" s="417">
        <v>0</v>
      </c>
      <c r="AE577" s="378">
        <v>5.1400000000000003E-5</v>
      </c>
      <c r="AF577" s="378"/>
      <c r="AG577" s="417">
        <v>7422</v>
      </c>
      <c r="AH577" s="417">
        <v>5921</v>
      </c>
      <c r="AI577" s="417">
        <v>2866</v>
      </c>
      <c r="AJ577" s="417">
        <v>0</v>
      </c>
      <c r="AK577" s="417">
        <v>0</v>
      </c>
      <c r="AL577" s="378">
        <v>5.1400000000000003E-5</v>
      </c>
      <c r="AM577" s="378"/>
      <c r="AN577" s="417">
        <v>0</v>
      </c>
      <c r="AO577" s="417">
        <v>0</v>
      </c>
      <c r="AP577" s="417">
        <v>0</v>
      </c>
      <c r="AQ577" s="417">
        <v>0</v>
      </c>
      <c r="AR577" s="417">
        <v>0</v>
      </c>
    </row>
    <row r="578" spans="1:44">
      <c r="A578" s="377">
        <v>96305</v>
      </c>
      <c r="B578" t="s">
        <v>1279</v>
      </c>
      <c r="C578" s="378">
        <v>3.8699999999999999E-5</v>
      </c>
      <c r="D578" s="378"/>
      <c r="E578" s="417">
        <v>13252</v>
      </c>
      <c r="F578" s="417">
        <v>4008</v>
      </c>
      <c r="G578" s="417">
        <v>-5839</v>
      </c>
      <c r="H578" s="417">
        <v>-25947</v>
      </c>
      <c r="I578" s="417">
        <v>0</v>
      </c>
      <c r="J578" s="378">
        <v>3.8699999999999999E-5</v>
      </c>
      <c r="K578" s="378"/>
      <c r="L578" s="417">
        <v>9474</v>
      </c>
      <c r="M578" s="417">
        <v>6543</v>
      </c>
      <c r="N578" s="417">
        <v>2864</v>
      </c>
      <c r="O578" s="417">
        <v>0</v>
      </c>
      <c r="P578" s="417">
        <v>0</v>
      </c>
      <c r="Q578" s="378">
        <v>3.8699999999999999E-5</v>
      </c>
      <c r="R578" s="378"/>
      <c r="S578" s="417">
        <v>-19442</v>
      </c>
      <c r="T578" s="417">
        <v>-19217</v>
      </c>
      <c r="U578" s="417">
        <v>-20188</v>
      </c>
      <c r="V578" s="417">
        <v>-25947</v>
      </c>
      <c r="W578" s="417">
        <v>0</v>
      </c>
      <c r="X578" s="378">
        <v>3.8699999999999999E-5</v>
      </c>
      <c r="Z578" s="417">
        <v>15503</v>
      </c>
      <c r="AA578" s="417">
        <v>10892</v>
      </c>
      <c r="AB578" s="417">
        <v>10892</v>
      </c>
      <c r="AC578" s="417">
        <v>0</v>
      </c>
      <c r="AD578" s="417">
        <v>0</v>
      </c>
      <c r="AE578" s="378">
        <v>3.8699999999999999E-5</v>
      </c>
      <c r="AF578" s="378"/>
      <c r="AG578" s="417">
        <v>7717</v>
      </c>
      <c r="AH578" s="417">
        <v>5790</v>
      </c>
      <c r="AI578" s="417">
        <v>593</v>
      </c>
      <c r="AJ578" s="417">
        <v>0</v>
      </c>
      <c r="AK578" s="417">
        <v>0</v>
      </c>
      <c r="AL578" s="378">
        <v>3.8699999999999999E-5</v>
      </c>
      <c r="AM578" s="378"/>
      <c r="AN578" s="417">
        <v>0</v>
      </c>
      <c r="AO578" s="417">
        <v>0</v>
      </c>
      <c r="AP578" s="417">
        <v>0</v>
      </c>
      <c r="AQ578" s="417">
        <v>0</v>
      </c>
      <c r="AR578" s="417">
        <v>0</v>
      </c>
    </row>
    <row r="579" spans="1:44">
      <c r="A579" s="377">
        <v>96310</v>
      </c>
      <c r="B579" t="s">
        <v>1280</v>
      </c>
      <c r="C579" s="378">
        <v>5.6700000000000003E-5</v>
      </c>
      <c r="D579" s="378"/>
      <c r="E579" s="417">
        <v>17976</v>
      </c>
      <c r="F579" s="417">
        <v>8243</v>
      </c>
      <c r="G579" s="417">
        <v>-839</v>
      </c>
      <c r="H579" s="417">
        <v>-38016</v>
      </c>
      <c r="I579" s="417">
        <v>0</v>
      </c>
      <c r="J579" s="378">
        <v>5.6700000000000003E-5</v>
      </c>
      <c r="K579" s="378"/>
      <c r="L579" s="417">
        <v>13881</v>
      </c>
      <c r="M579" s="417">
        <v>9586</v>
      </c>
      <c r="N579" s="417">
        <v>4196</v>
      </c>
      <c r="O579" s="417">
        <v>0</v>
      </c>
      <c r="P579" s="417">
        <v>0</v>
      </c>
      <c r="Q579" s="378">
        <v>5.6700000000000003E-5</v>
      </c>
      <c r="R579" s="378"/>
      <c r="S579" s="417">
        <v>-28484</v>
      </c>
      <c r="T579" s="417">
        <v>-28155</v>
      </c>
      <c r="U579" s="417">
        <v>-29578</v>
      </c>
      <c r="V579" s="417">
        <v>-38016</v>
      </c>
      <c r="W579" s="417">
        <v>0</v>
      </c>
      <c r="X579" s="378">
        <v>5.6700000000000003E-5</v>
      </c>
      <c r="Z579" s="417">
        <v>22714</v>
      </c>
      <c r="AA579" s="417">
        <v>15958</v>
      </c>
      <c r="AB579" s="417">
        <v>15958</v>
      </c>
      <c r="AC579" s="417">
        <v>0</v>
      </c>
      <c r="AD579" s="417">
        <v>0</v>
      </c>
      <c r="AE579" s="378">
        <v>5.6700000000000003E-5</v>
      </c>
      <c r="AF579" s="378"/>
      <c r="AG579" s="417">
        <v>11015</v>
      </c>
      <c r="AH579" s="417">
        <v>11013</v>
      </c>
      <c r="AI579" s="417">
        <v>8585</v>
      </c>
      <c r="AJ579" s="417">
        <v>0</v>
      </c>
      <c r="AK579" s="417">
        <v>0</v>
      </c>
      <c r="AL579" s="378">
        <v>5.6700000000000003E-5</v>
      </c>
      <c r="AM579" s="378"/>
      <c r="AN579" s="417">
        <v>-1150</v>
      </c>
      <c r="AO579" s="417">
        <v>-159</v>
      </c>
      <c r="AP579" s="417">
        <v>0</v>
      </c>
      <c r="AQ579" s="417">
        <v>0</v>
      </c>
      <c r="AR579" s="417">
        <v>0</v>
      </c>
    </row>
    <row r="580" spans="1:44">
      <c r="A580" s="377">
        <v>96311</v>
      </c>
      <c r="B580" t="s">
        <v>1281</v>
      </c>
      <c r="C580" s="378">
        <v>1.3083000000000001E-3</v>
      </c>
      <c r="D580" s="378"/>
      <c r="E580" s="417">
        <v>145230</v>
      </c>
      <c r="F580" s="417">
        <v>-97487</v>
      </c>
      <c r="G580" s="417">
        <v>-266953</v>
      </c>
      <c r="H580" s="417">
        <v>-877181</v>
      </c>
      <c r="I580" s="417">
        <v>0</v>
      </c>
      <c r="J580" s="378">
        <v>1.3083000000000001E-3</v>
      </c>
      <c r="K580" s="378"/>
      <c r="L580" s="417">
        <v>320282</v>
      </c>
      <c r="M580" s="417">
        <v>221197</v>
      </c>
      <c r="N580" s="417">
        <v>96830</v>
      </c>
      <c r="O580" s="417">
        <v>0</v>
      </c>
      <c r="P580" s="417">
        <v>0</v>
      </c>
      <c r="Q580" s="378">
        <v>1.3083000000000001E-3</v>
      </c>
      <c r="R580" s="378"/>
      <c r="S580" s="417">
        <v>-657248</v>
      </c>
      <c r="T580" s="417">
        <v>-649643</v>
      </c>
      <c r="U580" s="417">
        <v>-682476</v>
      </c>
      <c r="V580" s="417">
        <v>-877181</v>
      </c>
      <c r="W580" s="417">
        <v>0</v>
      </c>
      <c r="X580" s="378">
        <v>1.3083000000000001E-3</v>
      </c>
      <c r="Z580" s="417">
        <v>524108</v>
      </c>
      <c r="AA580" s="417">
        <v>368214</v>
      </c>
      <c r="AB580" s="417">
        <v>368212</v>
      </c>
      <c r="AC580" s="417">
        <v>0</v>
      </c>
      <c r="AD580" s="417">
        <v>0</v>
      </c>
      <c r="AE580" s="378">
        <v>1.3083000000000001E-3</v>
      </c>
      <c r="AF580" s="378"/>
      <c r="AG580" s="417">
        <v>22644</v>
      </c>
      <c r="AH580" s="417">
        <v>22643</v>
      </c>
      <c r="AI580" s="417">
        <v>0</v>
      </c>
      <c r="AJ580" s="417">
        <v>0</v>
      </c>
      <c r="AK580" s="417">
        <v>0</v>
      </c>
      <c r="AL580" s="378">
        <v>1.3083000000000001E-3</v>
      </c>
      <c r="AM580" s="378"/>
      <c r="AN580" s="417">
        <v>-64556</v>
      </c>
      <c r="AO580" s="417">
        <v>-59898</v>
      </c>
      <c r="AP580" s="417">
        <v>-49519</v>
      </c>
      <c r="AQ580" s="417">
        <v>0</v>
      </c>
      <c r="AR580" s="417">
        <v>0</v>
      </c>
    </row>
    <row r="581" spans="1:44">
      <c r="A581" s="377">
        <v>96312</v>
      </c>
      <c r="B581" t="s">
        <v>1282</v>
      </c>
      <c r="C581" s="378">
        <v>8.6000000000000007E-6</v>
      </c>
      <c r="D581" s="378"/>
      <c r="E581" s="417">
        <v>-2099</v>
      </c>
      <c r="F581" s="417">
        <v>-2055</v>
      </c>
      <c r="G581" s="417">
        <v>-7016</v>
      </c>
      <c r="H581" s="417">
        <v>-5766</v>
      </c>
      <c r="I581" s="417">
        <v>0</v>
      </c>
      <c r="J581" s="378">
        <v>8.6000000000000007E-6</v>
      </c>
      <c r="K581" s="378"/>
      <c r="L581" s="417">
        <v>2105</v>
      </c>
      <c r="M581" s="417">
        <v>1454</v>
      </c>
      <c r="N581" s="417">
        <v>637</v>
      </c>
      <c r="O581" s="417">
        <v>0</v>
      </c>
      <c r="P581" s="417">
        <v>0</v>
      </c>
      <c r="Q581" s="378">
        <v>8.6000000000000007E-6</v>
      </c>
      <c r="R581" s="378"/>
      <c r="S581" s="417">
        <v>-4320</v>
      </c>
      <c r="T581" s="417">
        <v>-4270</v>
      </c>
      <c r="U581" s="417">
        <v>-4486</v>
      </c>
      <c r="V581" s="417">
        <v>-5766</v>
      </c>
      <c r="W581" s="417">
        <v>0</v>
      </c>
      <c r="X581" s="378">
        <v>8.6000000000000007E-6</v>
      </c>
      <c r="Z581" s="417">
        <v>3445</v>
      </c>
      <c r="AA581" s="417">
        <v>2420</v>
      </c>
      <c r="AB581" s="417">
        <v>2420</v>
      </c>
      <c r="AC581" s="417">
        <v>0</v>
      </c>
      <c r="AD581" s="417">
        <v>0</v>
      </c>
      <c r="AE581" s="378">
        <v>8.6000000000000007E-6</v>
      </c>
      <c r="AF581" s="378"/>
      <c r="AG581" s="417">
        <v>3933</v>
      </c>
      <c r="AH581" s="417">
        <v>3931</v>
      </c>
      <c r="AI581" s="417">
        <v>0</v>
      </c>
      <c r="AJ581" s="417">
        <v>0</v>
      </c>
      <c r="AK581" s="417">
        <v>0</v>
      </c>
      <c r="AL581" s="378">
        <v>8.6000000000000007E-6</v>
      </c>
      <c r="AM581" s="378"/>
      <c r="AN581" s="417">
        <v>-7262</v>
      </c>
      <c r="AO581" s="417">
        <v>-5590</v>
      </c>
      <c r="AP581" s="417">
        <v>-5587</v>
      </c>
      <c r="AQ581" s="417">
        <v>0</v>
      </c>
      <c r="AR581" s="417">
        <v>0</v>
      </c>
    </row>
    <row r="582" spans="1:44">
      <c r="A582" s="377">
        <v>96318</v>
      </c>
      <c r="B582" t="s">
        <v>1283</v>
      </c>
      <c r="C582" s="378">
        <v>2.3858E-3</v>
      </c>
      <c r="D582" s="378"/>
      <c r="E582" s="417">
        <v>521649</v>
      </c>
      <c r="F582" s="417">
        <v>44561</v>
      </c>
      <c r="G582" s="417">
        <v>-357587</v>
      </c>
      <c r="H582" s="417">
        <v>-1599617</v>
      </c>
      <c r="I582" s="417">
        <v>0</v>
      </c>
      <c r="J582" s="378">
        <v>2.3858E-3</v>
      </c>
      <c r="K582" s="378"/>
      <c r="L582" s="417">
        <v>584063</v>
      </c>
      <c r="M582" s="417">
        <v>403372</v>
      </c>
      <c r="N582" s="417">
        <v>176578</v>
      </c>
      <c r="O582" s="417">
        <v>0</v>
      </c>
      <c r="P582" s="417">
        <v>0</v>
      </c>
      <c r="Q582" s="378">
        <v>2.3858E-3</v>
      </c>
      <c r="R582" s="378"/>
      <c r="S582" s="417">
        <v>-1198550</v>
      </c>
      <c r="T582" s="417">
        <v>-1184681</v>
      </c>
      <c r="U582" s="417">
        <v>-1244555</v>
      </c>
      <c r="V582" s="417">
        <v>-1599617</v>
      </c>
      <c r="W582" s="417">
        <v>0</v>
      </c>
      <c r="X582" s="378">
        <v>2.3858E-3</v>
      </c>
      <c r="Z582" s="417">
        <v>955756</v>
      </c>
      <c r="AA582" s="417">
        <v>671471</v>
      </c>
      <c r="AB582" s="417">
        <v>671467</v>
      </c>
      <c r="AC582" s="417">
        <v>0</v>
      </c>
      <c r="AD582" s="417">
        <v>0</v>
      </c>
      <c r="AE582" s="378">
        <v>2.3858E-3</v>
      </c>
      <c r="AF582" s="378"/>
      <c r="AG582" s="417">
        <v>180380</v>
      </c>
      <c r="AH582" s="417">
        <v>154399</v>
      </c>
      <c r="AI582" s="417">
        <v>38923</v>
      </c>
      <c r="AJ582" s="417">
        <v>0</v>
      </c>
      <c r="AK582" s="417">
        <v>0</v>
      </c>
      <c r="AL582" s="378">
        <v>2.3858E-3</v>
      </c>
      <c r="AM582" s="378"/>
      <c r="AN582" s="417">
        <v>0</v>
      </c>
      <c r="AO582" s="417">
        <v>0</v>
      </c>
      <c r="AP582" s="417">
        <v>0</v>
      </c>
      <c r="AQ582" s="417">
        <v>0</v>
      </c>
      <c r="AR582" s="417">
        <v>0</v>
      </c>
    </row>
    <row r="583" spans="1:44">
      <c r="A583" s="377">
        <v>96321</v>
      </c>
      <c r="B583" t="s">
        <v>1284</v>
      </c>
      <c r="C583" s="378">
        <v>4.2299999999999998E-5</v>
      </c>
      <c r="D583" s="378"/>
      <c r="E583" s="417">
        <v>5628</v>
      </c>
      <c r="F583" s="417">
        <v>-2611</v>
      </c>
      <c r="G583" s="417">
        <v>-11965</v>
      </c>
      <c r="H583" s="417">
        <v>-28361</v>
      </c>
      <c r="I583" s="417">
        <v>0</v>
      </c>
      <c r="J583" s="378">
        <v>4.2299999999999998E-5</v>
      </c>
      <c r="K583" s="378"/>
      <c r="L583" s="417">
        <v>10355</v>
      </c>
      <c r="M583" s="417">
        <v>7152</v>
      </c>
      <c r="N583" s="417">
        <v>3131</v>
      </c>
      <c r="O583" s="417">
        <v>0</v>
      </c>
      <c r="P583" s="417">
        <v>0</v>
      </c>
      <c r="Q583" s="378">
        <v>4.2299999999999998E-5</v>
      </c>
      <c r="R583" s="378"/>
      <c r="S583" s="417">
        <v>-21250</v>
      </c>
      <c r="T583" s="417">
        <v>-21004</v>
      </c>
      <c r="U583" s="417">
        <v>-22066</v>
      </c>
      <c r="V583" s="417">
        <v>-28361</v>
      </c>
      <c r="W583" s="417">
        <v>0</v>
      </c>
      <c r="X583" s="378">
        <v>4.2299999999999998E-5</v>
      </c>
      <c r="Z583" s="417">
        <v>16945</v>
      </c>
      <c r="AA583" s="417">
        <v>11905</v>
      </c>
      <c r="AB583" s="417">
        <v>11905</v>
      </c>
      <c r="AC583" s="417">
        <v>0</v>
      </c>
      <c r="AD583" s="417">
        <v>0</v>
      </c>
      <c r="AE583" s="378">
        <v>4.2299999999999998E-5</v>
      </c>
      <c r="AF583" s="378"/>
      <c r="AG583" s="417">
        <v>4515</v>
      </c>
      <c r="AH583" s="417">
        <v>4273</v>
      </c>
      <c r="AI583" s="417">
        <v>0</v>
      </c>
      <c r="AJ583" s="417">
        <v>0</v>
      </c>
      <c r="AK583" s="417">
        <v>0</v>
      </c>
      <c r="AL583" s="378">
        <v>4.2299999999999998E-5</v>
      </c>
      <c r="AM583" s="378"/>
      <c r="AN583" s="417">
        <v>-4937</v>
      </c>
      <c r="AO583" s="417">
        <v>-4937</v>
      </c>
      <c r="AP583" s="417">
        <v>-4935</v>
      </c>
      <c r="AQ583" s="417">
        <v>0</v>
      </c>
      <c r="AR583" s="417">
        <v>0</v>
      </c>
    </row>
    <row r="584" spans="1:44">
      <c r="A584" s="377">
        <v>96331</v>
      </c>
      <c r="B584" t="s">
        <v>1285</v>
      </c>
      <c r="C584" s="378">
        <v>6.6549999999999997E-4</v>
      </c>
      <c r="D584" s="378"/>
      <c r="E584" s="417">
        <v>33203</v>
      </c>
      <c r="F584" s="417">
        <v>-83183</v>
      </c>
      <c r="G584" s="417">
        <v>-133016</v>
      </c>
      <c r="H584" s="417">
        <v>-446200</v>
      </c>
      <c r="I584" s="417">
        <v>0</v>
      </c>
      <c r="J584" s="378">
        <v>6.6549999999999997E-4</v>
      </c>
      <c r="K584" s="378"/>
      <c r="L584" s="417">
        <v>162920</v>
      </c>
      <c r="M584" s="417">
        <v>112517</v>
      </c>
      <c r="N584" s="417">
        <v>49255</v>
      </c>
      <c r="O584" s="417">
        <v>0</v>
      </c>
      <c r="P584" s="417">
        <v>0</v>
      </c>
      <c r="Q584" s="378">
        <v>6.6549999999999997E-4</v>
      </c>
      <c r="R584" s="378"/>
      <c r="S584" s="417">
        <v>-334326</v>
      </c>
      <c r="T584" s="417">
        <v>-330457</v>
      </c>
      <c r="U584" s="417">
        <v>-347159</v>
      </c>
      <c r="V584" s="417">
        <v>-446200</v>
      </c>
      <c r="W584" s="417">
        <v>0</v>
      </c>
      <c r="X584" s="378">
        <v>6.6549999999999997E-4</v>
      </c>
      <c r="Z584" s="417">
        <v>266601</v>
      </c>
      <c r="AA584" s="417">
        <v>187302</v>
      </c>
      <c r="AB584" s="417">
        <v>187300</v>
      </c>
      <c r="AC584" s="417">
        <v>0</v>
      </c>
      <c r="AD584" s="417">
        <v>0</v>
      </c>
      <c r="AE584" s="378">
        <v>6.6549999999999997E-4</v>
      </c>
      <c r="AF584" s="378"/>
      <c r="AG584" s="417">
        <v>0</v>
      </c>
      <c r="AH584" s="417">
        <v>0</v>
      </c>
      <c r="AI584" s="417">
        <v>0</v>
      </c>
      <c r="AJ584" s="417">
        <v>0</v>
      </c>
      <c r="AK584" s="417">
        <v>0</v>
      </c>
      <c r="AL584" s="378">
        <v>6.6549999999999997E-4</v>
      </c>
      <c r="AM584" s="378"/>
      <c r="AN584" s="417">
        <v>-61992</v>
      </c>
      <c r="AO584" s="417">
        <v>-52545</v>
      </c>
      <c r="AP584" s="417">
        <v>-22412</v>
      </c>
      <c r="AQ584" s="417">
        <v>0</v>
      </c>
      <c r="AR584" s="417">
        <v>0</v>
      </c>
    </row>
    <row r="585" spans="1:44">
      <c r="A585" s="377">
        <v>96341</v>
      </c>
      <c r="B585" t="s">
        <v>1286</v>
      </c>
      <c r="C585" s="378">
        <v>7.8499999999999997E-5</v>
      </c>
      <c r="D585" s="378"/>
      <c r="E585" s="417">
        <v>10741</v>
      </c>
      <c r="F585" s="417">
        <v>-4899</v>
      </c>
      <c r="G585" s="417">
        <v>-4603</v>
      </c>
      <c r="H585" s="417">
        <v>-52632</v>
      </c>
      <c r="I585" s="417">
        <v>0</v>
      </c>
      <c r="J585" s="378">
        <v>7.8499999999999997E-5</v>
      </c>
      <c r="K585" s="378"/>
      <c r="L585" s="417">
        <v>19217</v>
      </c>
      <c r="M585" s="417">
        <v>13272</v>
      </c>
      <c r="N585" s="417">
        <v>5810</v>
      </c>
      <c r="O585" s="417">
        <v>0</v>
      </c>
      <c r="P585" s="417">
        <v>0</v>
      </c>
      <c r="Q585" s="378">
        <v>7.8499999999999997E-5</v>
      </c>
      <c r="R585" s="378"/>
      <c r="S585" s="417">
        <v>-39436</v>
      </c>
      <c r="T585" s="417">
        <v>-38980</v>
      </c>
      <c r="U585" s="417">
        <v>-40950</v>
      </c>
      <c r="V585" s="417">
        <v>-52632</v>
      </c>
      <c r="W585" s="417">
        <v>0</v>
      </c>
      <c r="X585" s="378">
        <v>7.8499999999999997E-5</v>
      </c>
      <c r="Z585" s="417">
        <v>31447</v>
      </c>
      <c r="AA585" s="417">
        <v>22093</v>
      </c>
      <c r="AB585" s="417">
        <v>22093</v>
      </c>
      <c r="AC585" s="417">
        <v>0</v>
      </c>
      <c r="AD585" s="417">
        <v>0</v>
      </c>
      <c r="AE585" s="378">
        <v>7.8499999999999997E-5</v>
      </c>
      <c r="AF585" s="378"/>
      <c r="AG585" s="417">
        <v>9240</v>
      </c>
      <c r="AH585" s="417">
        <v>8446</v>
      </c>
      <c r="AI585" s="417">
        <v>8444</v>
      </c>
      <c r="AJ585" s="417">
        <v>0</v>
      </c>
      <c r="AK585" s="417">
        <v>0</v>
      </c>
      <c r="AL585" s="378">
        <v>7.8499999999999997E-5</v>
      </c>
      <c r="AM585" s="378"/>
      <c r="AN585" s="417">
        <v>-9727</v>
      </c>
      <c r="AO585" s="417">
        <v>-9730</v>
      </c>
      <c r="AP585" s="417">
        <v>0</v>
      </c>
      <c r="AQ585" s="417">
        <v>0</v>
      </c>
      <c r="AR585" s="417">
        <v>0</v>
      </c>
    </row>
    <row r="586" spans="1:44">
      <c r="A586" s="377">
        <v>96351</v>
      </c>
      <c r="B586" t="s">
        <v>1287</v>
      </c>
      <c r="C586" s="378">
        <v>1.0480000000000001E-3</v>
      </c>
      <c r="D586" s="378"/>
      <c r="E586" s="417">
        <v>154826</v>
      </c>
      <c r="F586" s="417">
        <v>-39381</v>
      </c>
      <c r="G586" s="417">
        <v>-175705</v>
      </c>
      <c r="H586" s="417">
        <v>-702657</v>
      </c>
      <c r="I586" s="417">
        <v>0</v>
      </c>
      <c r="J586" s="378">
        <v>1.0480000000000001E-3</v>
      </c>
      <c r="K586" s="378"/>
      <c r="L586" s="417">
        <v>256559</v>
      </c>
      <c r="M586" s="417">
        <v>177187</v>
      </c>
      <c r="N586" s="417">
        <v>77565</v>
      </c>
      <c r="O586" s="417">
        <v>0</v>
      </c>
      <c r="P586" s="417">
        <v>0</v>
      </c>
      <c r="Q586" s="378">
        <v>1.0480000000000001E-3</v>
      </c>
      <c r="R586" s="378"/>
      <c r="S586" s="417">
        <v>-526482</v>
      </c>
      <c r="T586" s="417">
        <v>-520390</v>
      </c>
      <c r="U586" s="417">
        <v>-546690</v>
      </c>
      <c r="V586" s="417">
        <v>-702657</v>
      </c>
      <c r="W586" s="417">
        <v>0</v>
      </c>
      <c r="X586" s="378">
        <v>1.0480000000000001E-3</v>
      </c>
      <c r="Z586" s="417">
        <v>419831</v>
      </c>
      <c r="AA586" s="417">
        <v>294954</v>
      </c>
      <c r="AB586" s="417">
        <v>294952</v>
      </c>
      <c r="AC586" s="417">
        <v>0</v>
      </c>
      <c r="AD586" s="417">
        <v>0</v>
      </c>
      <c r="AE586" s="378">
        <v>1.0480000000000001E-3</v>
      </c>
      <c r="AF586" s="378"/>
      <c r="AG586" s="417">
        <v>16299</v>
      </c>
      <c r="AH586" s="417">
        <v>16298</v>
      </c>
      <c r="AI586" s="417">
        <v>0</v>
      </c>
      <c r="AJ586" s="417">
        <v>0</v>
      </c>
      <c r="AK586" s="417">
        <v>0</v>
      </c>
      <c r="AL586" s="378">
        <v>1.0480000000000001E-3</v>
      </c>
      <c r="AM586" s="378"/>
      <c r="AN586" s="417">
        <v>-11381</v>
      </c>
      <c r="AO586" s="417">
        <v>-7430</v>
      </c>
      <c r="AP586" s="417">
        <v>-1532</v>
      </c>
      <c r="AQ586" s="417">
        <v>0</v>
      </c>
      <c r="AR586" s="417">
        <v>0</v>
      </c>
    </row>
    <row r="587" spans="1:44">
      <c r="A587" s="377">
        <v>96361</v>
      </c>
      <c r="B587" t="s">
        <v>1288</v>
      </c>
      <c r="C587" s="378">
        <v>4.5000000000000003E-5</v>
      </c>
      <c r="D587" s="378"/>
      <c r="E587" s="417">
        <v>6695</v>
      </c>
      <c r="F587" s="417">
        <v>-1075</v>
      </c>
      <c r="G587" s="417">
        <v>-8268</v>
      </c>
      <c r="H587" s="417">
        <v>-30171</v>
      </c>
      <c r="I587" s="417">
        <v>0</v>
      </c>
      <c r="J587" s="378">
        <v>4.5000000000000003E-5</v>
      </c>
      <c r="K587" s="378"/>
      <c r="L587" s="417">
        <v>11016</v>
      </c>
      <c r="M587" s="417">
        <v>7608</v>
      </c>
      <c r="N587" s="417">
        <v>3331</v>
      </c>
      <c r="O587" s="417">
        <v>0</v>
      </c>
      <c r="P587" s="417">
        <v>0</v>
      </c>
      <c r="Q587" s="378">
        <v>4.5000000000000003E-5</v>
      </c>
      <c r="R587" s="378"/>
      <c r="S587" s="417">
        <v>-22607</v>
      </c>
      <c r="T587" s="417">
        <v>-22345</v>
      </c>
      <c r="U587" s="417">
        <v>-23474</v>
      </c>
      <c r="V587" s="417">
        <v>-30171</v>
      </c>
      <c r="W587" s="417">
        <v>0</v>
      </c>
      <c r="X587" s="378">
        <v>4.5000000000000003E-5</v>
      </c>
      <c r="Z587" s="417">
        <v>18027</v>
      </c>
      <c r="AA587" s="417">
        <v>12665</v>
      </c>
      <c r="AB587" s="417">
        <v>12665</v>
      </c>
      <c r="AC587" s="417">
        <v>0</v>
      </c>
      <c r="AD587" s="417">
        <v>0</v>
      </c>
      <c r="AE587" s="378">
        <v>4.5000000000000003E-5</v>
      </c>
      <c r="AF587" s="378"/>
      <c r="AG587" s="417">
        <v>2902</v>
      </c>
      <c r="AH587" s="417">
        <v>2901</v>
      </c>
      <c r="AI587" s="417">
        <v>0</v>
      </c>
      <c r="AJ587" s="417">
        <v>0</v>
      </c>
      <c r="AK587" s="417">
        <v>0</v>
      </c>
      <c r="AL587" s="378">
        <v>4.5000000000000003E-5</v>
      </c>
      <c r="AM587" s="378"/>
      <c r="AN587" s="417">
        <v>-2643</v>
      </c>
      <c r="AO587" s="417">
        <v>-1904</v>
      </c>
      <c r="AP587" s="417">
        <v>-790</v>
      </c>
      <c r="AQ587" s="417">
        <v>0</v>
      </c>
      <c r="AR587" s="417">
        <v>0</v>
      </c>
    </row>
    <row r="588" spans="1:44">
      <c r="A588" s="377">
        <v>96371</v>
      </c>
      <c r="B588" t="s">
        <v>1289</v>
      </c>
      <c r="C588" s="378">
        <v>1.384E-4</v>
      </c>
      <c r="D588" s="378"/>
      <c r="E588" s="417">
        <v>14981</v>
      </c>
      <c r="F588" s="417">
        <v>-9786</v>
      </c>
      <c r="G588" s="417">
        <v>-30265</v>
      </c>
      <c r="H588" s="417">
        <v>-92794</v>
      </c>
      <c r="I588" s="417">
        <v>0</v>
      </c>
      <c r="J588" s="378">
        <v>1.384E-4</v>
      </c>
      <c r="K588" s="378"/>
      <c r="L588" s="417">
        <v>33881</v>
      </c>
      <c r="M588" s="417">
        <v>23400</v>
      </c>
      <c r="N588" s="417">
        <v>10243</v>
      </c>
      <c r="O588" s="417">
        <v>0</v>
      </c>
      <c r="P588" s="417">
        <v>0</v>
      </c>
      <c r="Q588" s="378">
        <v>1.384E-4</v>
      </c>
      <c r="R588" s="378"/>
      <c r="S588" s="417">
        <v>-69528</v>
      </c>
      <c r="T588" s="417">
        <v>-68723</v>
      </c>
      <c r="U588" s="417">
        <v>-72196</v>
      </c>
      <c r="V588" s="417">
        <v>-92794</v>
      </c>
      <c r="W588" s="417">
        <v>0</v>
      </c>
      <c r="X588" s="378">
        <v>1.384E-4</v>
      </c>
      <c r="Z588" s="417">
        <v>55443</v>
      </c>
      <c r="AA588" s="417">
        <v>38952</v>
      </c>
      <c r="AB588" s="417">
        <v>38952</v>
      </c>
      <c r="AC588" s="417">
        <v>0</v>
      </c>
      <c r="AD588" s="417">
        <v>0</v>
      </c>
      <c r="AE588" s="378">
        <v>1.384E-4</v>
      </c>
      <c r="AF588" s="378"/>
      <c r="AG588" s="417">
        <v>3851</v>
      </c>
      <c r="AH588" s="417">
        <v>3849</v>
      </c>
      <c r="AI588" s="417">
        <v>0</v>
      </c>
      <c r="AJ588" s="417">
        <v>0</v>
      </c>
      <c r="AK588" s="417">
        <v>0</v>
      </c>
      <c r="AL588" s="378">
        <v>1.384E-4</v>
      </c>
      <c r="AM588" s="378"/>
      <c r="AN588" s="417">
        <v>-8666</v>
      </c>
      <c r="AO588" s="417">
        <v>-7264</v>
      </c>
      <c r="AP588" s="417">
        <v>-7264</v>
      </c>
      <c r="AQ588" s="417">
        <v>0</v>
      </c>
      <c r="AR588" s="417">
        <v>0</v>
      </c>
    </row>
    <row r="589" spans="1:44">
      <c r="A589" s="377">
        <v>96381</v>
      </c>
      <c r="B589" t="s">
        <v>1290</v>
      </c>
      <c r="C589" s="378">
        <v>2.4300000000000001E-5</v>
      </c>
      <c r="D589" s="378"/>
      <c r="E589" s="417">
        <v>569</v>
      </c>
      <c r="F589" s="417">
        <v>-4411</v>
      </c>
      <c r="G589" s="417">
        <v>-6308</v>
      </c>
      <c r="H589" s="417">
        <v>-16293</v>
      </c>
      <c r="I589" s="417">
        <v>0</v>
      </c>
      <c r="J589" s="378">
        <v>2.4300000000000001E-5</v>
      </c>
      <c r="K589" s="378"/>
      <c r="L589" s="417">
        <v>5949</v>
      </c>
      <c r="M589" s="417">
        <v>4108</v>
      </c>
      <c r="N589" s="417">
        <v>1798</v>
      </c>
      <c r="O589" s="417">
        <v>0</v>
      </c>
      <c r="P589" s="417">
        <v>0</v>
      </c>
      <c r="Q589" s="378">
        <v>2.4300000000000001E-5</v>
      </c>
      <c r="R589" s="378"/>
      <c r="S589" s="417">
        <v>-12208</v>
      </c>
      <c r="T589" s="417">
        <v>-12066</v>
      </c>
      <c r="U589" s="417">
        <v>-12676</v>
      </c>
      <c r="V589" s="417">
        <v>-16293</v>
      </c>
      <c r="W589" s="417">
        <v>0</v>
      </c>
      <c r="X589" s="378">
        <v>2.4300000000000001E-5</v>
      </c>
      <c r="Z589" s="417">
        <v>9735</v>
      </c>
      <c r="AA589" s="417">
        <v>6839</v>
      </c>
      <c r="AB589" s="417">
        <v>6839</v>
      </c>
      <c r="AC589" s="417">
        <v>0</v>
      </c>
      <c r="AD589" s="417">
        <v>0</v>
      </c>
      <c r="AE589" s="378">
        <v>2.4300000000000001E-5</v>
      </c>
      <c r="AF589" s="378"/>
      <c r="AG589" s="417">
        <v>386</v>
      </c>
      <c r="AH589" s="417">
        <v>0</v>
      </c>
      <c r="AI589" s="417">
        <v>0</v>
      </c>
      <c r="AJ589" s="417">
        <v>0</v>
      </c>
      <c r="AK589" s="417">
        <v>0</v>
      </c>
      <c r="AL589" s="378">
        <v>2.4300000000000001E-5</v>
      </c>
      <c r="AM589" s="378"/>
      <c r="AN589" s="417">
        <v>-3293</v>
      </c>
      <c r="AO589" s="417">
        <v>-3292</v>
      </c>
      <c r="AP589" s="417">
        <v>-2269</v>
      </c>
      <c r="AQ589" s="417">
        <v>0</v>
      </c>
      <c r="AR589" s="417">
        <v>0</v>
      </c>
    </row>
    <row r="590" spans="1:44">
      <c r="A590" s="377">
        <v>96391</v>
      </c>
      <c r="B590" t="s">
        <v>1291</v>
      </c>
      <c r="C590" s="378">
        <v>1.696E-4</v>
      </c>
      <c r="D590" s="378"/>
      <c r="E590" s="417">
        <v>-16721</v>
      </c>
      <c r="F590" s="417">
        <v>-46216</v>
      </c>
      <c r="G590" s="417">
        <v>-56928</v>
      </c>
      <c r="H590" s="417">
        <v>-113712</v>
      </c>
      <c r="I590" s="417">
        <v>0</v>
      </c>
      <c r="J590" s="378">
        <v>1.696E-4</v>
      </c>
      <c r="K590" s="378"/>
      <c r="L590" s="417">
        <v>41519</v>
      </c>
      <c r="M590" s="417">
        <v>28675</v>
      </c>
      <c r="N590" s="417">
        <v>12552</v>
      </c>
      <c r="O590" s="417">
        <v>0</v>
      </c>
      <c r="P590" s="417">
        <v>0</v>
      </c>
      <c r="Q590" s="378">
        <v>1.696E-4</v>
      </c>
      <c r="R590" s="378"/>
      <c r="S590" s="417">
        <v>-85202</v>
      </c>
      <c r="T590" s="417">
        <v>-84216</v>
      </c>
      <c r="U590" s="417">
        <v>-88472</v>
      </c>
      <c r="V590" s="417">
        <v>-113712</v>
      </c>
      <c r="W590" s="417">
        <v>0</v>
      </c>
      <c r="X590" s="378">
        <v>1.696E-4</v>
      </c>
      <c r="Z590" s="417">
        <v>67942</v>
      </c>
      <c r="AA590" s="417">
        <v>47733</v>
      </c>
      <c r="AB590" s="417">
        <v>47733</v>
      </c>
      <c r="AC590" s="417">
        <v>0</v>
      </c>
      <c r="AD590" s="417">
        <v>0</v>
      </c>
      <c r="AE590" s="378">
        <v>1.696E-4</v>
      </c>
      <c r="AF590" s="378"/>
      <c r="AG590" s="417">
        <v>0</v>
      </c>
      <c r="AH590" s="417">
        <v>0</v>
      </c>
      <c r="AI590" s="417">
        <v>0</v>
      </c>
      <c r="AJ590" s="417">
        <v>0</v>
      </c>
      <c r="AK590" s="417">
        <v>0</v>
      </c>
      <c r="AL590" s="378">
        <v>1.696E-4</v>
      </c>
      <c r="AM590" s="378"/>
      <c r="AN590" s="417">
        <v>-40980</v>
      </c>
      <c r="AO590" s="417">
        <v>-38408</v>
      </c>
      <c r="AP590" s="417">
        <v>-28741</v>
      </c>
      <c r="AQ590" s="417">
        <v>0</v>
      </c>
      <c r="AR590" s="417">
        <v>0</v>
      </c>
    </row>
    <row r="591" spans="1:44">
      <c r="A591" s="377">
        <v>96401</v>
      </c>
      <c r="B591" t="s">
        <v>1292</v>
      </c>
      <c r="C591" s="378">
        <v>4.0784000000000003E-3</v>
      </c>
      <c r="D591" s="378"/>
      <c r="E591" s="417">
        <v>426073</v>
      </c>
      <c r="F591" s="417">
        <v>-318951</v>
      </c>
      <c r="G591" s="417">
        <v>-783513</v>
      </c>
      <c r="H591" s="417">
        <v>-2734461</v>
      </c>
      <c r="I591" s="417">
        <v>0</v>
      </c>
      <c r="J591" s="378">
        <v>4.0784000000000003E-3</v>
      </c>
      <c r="K591" s="378"/>
      <c r="L591" s="417">
        <v>998425</v>
      </c>
      <c r="M591" s="417">
        <v>689543</v>
      </c>
      <c r="N591" s="417">
        <v>301851</v>
      </c>
      <c r="O591" s="417">
        <v>0</v>
      </c>
      <c r="P591" s="417">
        <v>0</v>
      </c>
      <c r="Q591" s="378">
        <v>4.0784000000000003E-3</v>
      </c>
      <c r="R591" s="378"/>
      <c r="S591" s="417">
        <v>-2048858</v>
      </c>
      <c r="T591" s="417">
        <v>-2025150</v>
      </c>
      <c r="U591" s="417">
        <v>-2127501</v>
      </c>
      <c r="V591" s="417">
        <v>-2734461</v>
      </c>
      <c r="W591" s="417">
        <v>0</v>
      </c>
      <c r="X591" s="378">
        <v>4.0784000000000003E-3</v>
      </c>
      <c r="Z591" s="417">
        <v>1633815</v>
      </c>
      <c r="AA591" s="417">
        <v>1147845</v>
      </c>
      <c r="AB591" s="417">
        <v>1147837</v>
      </c>
      <c r="AC591" s="417">
        <v>0</v>
      </c>
      <c r="AD591" s="417">
        <v>0</v>
      </c>
      <c r="AE591" s="378">
        <v>4.0784000000000003E-3</v>
      </c>
      <c r="AF591" s="378"/>
      <c r="AG591" s="417">
        <v>0</v>
      </c>
      <c r="AH591" s="417">
        <v>0</v>
      </c>
      <c r="AI591" s="417">
        <v>0</v>
      </c>
      <c r="AJ591" s="417">
        <v>0</v>
      </c>
      <c r="AK591" s="417">
        <v>0</v>
      </c>
      <c r="AL591" s="378">
        <v>4.0784000000000003E-3</v>
      </c>
      <c r="AM591" s="378"/>
      <c r="AN591" s="417">
        <v>-157309</v>
      </c>
      <c r="AO591" s="417">
        <v>-131189</v>
      </c>
      <c r="AP591" s="417">
        <v>-105700</v>
      </c>
      <c r="AQ591" s="417">
        <v>0</v>
      </c>
      <c r="AR591" s="417">
        <v>0</v>
      </c>
    </row>
    <row r="592" spans="1:44">
      <c r="A592" s="377">
        <v>96404</v>
      </c>
      <c r="B592" t="s">
        <v>1293</v>
      </c>
      <c r="C592" s="378">
        <v>1.032E-4</v>
      </c>
      <c r="D592" s="378"/>
      <c r="E592" s="417">
        <v>33510</v>
      </c>
      <c r="F592" s="417">
        <v>11694</v>
      </c>
      <c r="G592" s="417">
        <v>-6711</v>
      </c>
      <c r="H592" s="417">
        <v>-69193</v>
      </c>
      <c r="I592" s="417">
        <v>0</v>
      </c>
      <c r="J592" s="378">
        <v>1.032E-4</v>
      </c>
      <c r="K592" s="378"/>
      <c r="L592" s="417">
        <v>25264</v>
      </c>
      <c r="M592" s="417">
        <v>17448</v>
      </c>
      <c r="N592" s="417">
        <v>7638</v>
      </c>
      <c r="O592" s="417">
        <v>0</v>
      </c>
      <c r="P592" s="417">
        <v>0</v>
      </c>
      <c r="Q592" s="378">
        <v>1.032E-4</v>
      </c>
      <c r="R592" s="378"/>
      <c r="S592" s="417">
        <v>-51844</v>
      </c>
      <c r="T592" s="417">
        <v>-51244</v>
      </c>
      <c r="U592" s="417">
        <v>-53834</v>
      </c>
      <c r="V592" s="417">
        <v>-69193</v>
      </c>
      <c r="W592" s="417">
        <v>0</v>
      </c>
      <c r="X592" s="378">
        <v>1.032E-4</v>
      </c>
      <c r="Z592" s="417">
        <v>41342</v>
      </c>
      <c r="AA592" s="417">
        <v>29045</v>
      </c>
      <c r="AB592" s="417">
        <v>29045</v>
      </c>
      <c r="AC592" s="417">
        <v>0</v>
      </c>
      <c r="AD592" s="417">
        <v>0</v>
      </c>
      <c r="AE592" s="378">
        <v>1.032E-4</v>
      </c>
      <c r="AF592" s="378"/>
      <c r="AG592" s="417">
        <v>18748</v>
      </c>
      <c r="AH592" s="417">
        <v>16445</v>
      </c>
      <c r="AI592" s="417">
        <v>10440</v>
      </c>
      <c r="AJ592" s="417">
        <v>0</v>
      </c>
      <c r="AK592" s="417">
        <v>0</v>
      </c>
      <c r="AL592" s="378">
        <v>1.032E-4</v>
      </c>
      <c r="AM592" s="378"/>
      <c r="AN592" s="417">
        <v>0</v>
      </c>
      <c r="AO592" s="417">
        <v>0</v>
      </c>
      <c r="AP592" s="417">
        <v>0</v>
      </c>
      <c r="AQ592" s="417">
        <v>0</v>
      </c>
      <c r="AR592" s="417">
        <v>0</v>
      </c>
    </row>
    <row r="593" spans="1:47">
      <c r="A593" s="377">
        <v>96405</v>
      </c>
      <c r="B593" t="s">
        <v>1294</v>
      </c>
      <c r="C593" s="378">
        <v>1.3880000000000001E-4</v>
      </c>
      <c r="D593" s="378"/>
      <c r="E593" s="417">
        <v>31488</v>
      </c>
      <c r="F593" s="417">
        <v>5403</v>
      </c>
      <c r="G593" s="417">
        <v>-12753</v>
      </c>
      <c r="H593" s="417">
        <v>-93062</v>
      </c>
      <c r="I593" s="417">
        <v>0</v>
      </c>
      <c r="J593" s="378">
        <v>1.3880000000000001E-4</v>
      </c>
      <c r="K593" s="378"/>
      <c r="L593" s="417">
        <v>33979</v>
      </c>
      <c r="M593" s="417">
        <v>23467</v>
      </c>
      <c r="N593" s="417">
        <v>10273</v>
      </c>
      <c r="O593" s="417">
        <v>0</v>
      </c>
      <c r="P593" s="417">
        <v>0</v>
      </c>
      <c r="Q593" s="378">
        <v>1.3880000000000001E-4</v>
      </c>
      <c r="R593" s="378"/>
      <c r="S593" s="417">
        <v>-69729</v>
      </c>
      <c r="T593" s="417">
        <v>-68922</v>
      </c>
      <c r="U593" s="417">
        <v>-72405</v>
      </c>
      <c r="V593" s="417">
        <v>-93062</v>
      </c>
      <c r="W593" s="417">
        <v>0</v>
      </c>
      <c r="X593" s="378">
        <v>1.3880000000000001E-4</v>
      </c>
      <c r="Z593" s="417">
        <v>55604</v>
      </c>
      <c r="AA593" s="417">
        <v>39065</v>
      </c>
      <c r="AB593" s="417">
        <v>39064</v>
      </c>
      <c r="AC593" s="417">
        <v>0</v>
      </c>
      <c r="AD593" s="417">
        <v>0</v>
      </c>
      <c r="AE593" s="378">
        <v>1.3880000000000001E-4</v>
      </c>
      <c r="AF593" s="378"/>
      <c r="AG593" s="417">
        <v>16641</v>
      </c>
      <c r="AH593" s="417">
        <v>16642</v>
      </c>
      <c r="AI593" s="417">
        <v>10315</v>
      </c>
      <c r="AJ593" s="417">
        <v>0</v>
      </c>
      <c r="AK593" s="417">
        <v>0</v>
      </c>
      <c r="AL593" s="378">
        <v>1.3880000000000001E-4</v>
      </c>
      <c r="AM593" s="378"/>
      <c r="AN593" s="417">
        <v>-5007</v>
      </c>
      <c r="AO593" s="417">
        <v>-4849</v>
      </c>
      <c r="AP593" s="417">
        <v>0</v>
      </c>
      <c r="AQ593" s="417">
        <v>0</v>
      </c>
      <c r="AR593" s="417">
        <v>0</v>
      </c>
    </row>
    <row r="594" spans="1:47">
      <c r="A594" s="377">
        <v>96411</v>
      </c>
      <c r="B594" t="s">
        <v>1295</v>
      </c>
      <c r="C594" s="378">
        <v>6.8200000000000004E-5</v>
      </c>
      <c r="D594" s="378"/>
      <c r="E594" s="417">
        <v>4135</v>
      </c>
      <c r="F594" s="417">
        <v>-7801</v>
      </c>
      <c r="G594" s="417">
        <v>-12866</v>
      </c>
      <c r="H594" s="417">
        <v>-45726</v>
      </c>
      <c r="I594" s="417">
        <v>0</v>
      </c>
      <c r="J594" s="378">
        <v>6.8200000000000004E-5</v>
      </c>
      <c r="K594" s="378"/>
      <c r="L594" s="417">
        <v>16696</v>
      </c>
      <c r="M594" s="417">
        <v>11531</v>
      </c>
      <c r="N594" s="417">
        <v>5048</v>
      </c>
      <c r="O594" s="417">
        <v>0</v>
      </c>
      <c r="P594" s="417">
        <v>0</v>
      </c>
      <c r="Q594" s="378">
        <v>6.8200000000000004E-5</v>
      </c>
      <c r="R594" s="378"/>
      <c r="S594" s="417">
        <v>-34261</v>
      </c>
      <c r="T594" s="417">
        <v>-33865</v>
      </c>
      <c r="U594" s="417">
        <v>-35577</v>
      </c>
      <c r="V594" s="417">
        <v>-45726</v>
      </c>
      <c r="W594" s="417">
        <v>0</v>
      </c>
      <c r="X594" s="378">
        <v>6.8200000000000004E-5</v>
      </c>
      <c r="Z594" s="417">
        <v>27321</v>
      </c>
      <c r="AA594" s="417">
        <v>19195</v>
      </c>
      <c r="AB594" s="417">
        <v>19194</v>
      </c>
      <c r="AC594" s="417">
        <v>0</v>
      </c>
      <c r="AD594" s="417">
        <v>0</v>
      </c>
      <c r="AE594" s="378">
        <v>6.8200000000000004E-5</v>
      </c>
      <c r="AF594" s="378"/>
      <c r="AG594" s="417">
        <v>0</v>
      </c>
      <c r="AH594" s="417">
        <v>0</v>
      </c>
      <c r="AI594" s="417">
        <v>0</v>
      </c>
      <c r="AJ594" s="417">
        <v>0</v>
      </c>
      <c r="AK594" s="417">
        <v>0</v>
      </c>
      <c r="AL594" s="378">
        <v>6.8200000000000004E-5</v>
      </c>
      <c r="AM594" s="378"/>
      <c r="AN594" s="417">
        <v>-5621</v>
      </c>
      <c r="AO594" s="417">
        <v>-4662</v>
      </c>
      <c r="AP594" s="417">
        <v>-1531</v>
      </c>
      <c r="AQ594" s="417">
        <v>0</v>
      </c>
      <c r="AR594" s="417">
        <v>0</v>
      </c>
    </row>
    <row r="595" spans="1:47">
      <c r="A595" s="377">
        <v>96421</v>
      </c>
      <c r="B595" t="s">
        <v>1296</v>
      </c>
      <c r="C595" s="378">
        <v>4.5800000000000002E-4</v>
      </c>
      <c r="D595" s="378"/>
      <c r="E595" s="417">
        <v>60155</v>
      </c>
      <c r="F595" s="417">
        <v>-22198</v>
      </c>
      <c r="G595" s="417">
        <v>-68959</v>
      </c>
      <c r="H595" s="417">
        <v>-307077</v>
      </c>
      <c r="I595" s="417">
        <v>0</v>
      </c>
      <c r="J595" s="378">
        <v>4.5800000000000002E-4</v>
      </c>
      <c r="K595" s="378"/>
      <c r="L595" s="417">
        <v>112122</v>
      </c>
      <c r="M595" s="417">
        <v>77435</v>
      </c>
      <c r="N595" s="417">
        <v>33897</v>
      </c>
      <c r="O595" s="417">
        <v>0</v>
      </c>
      <c r="P595" s="417">
        <v>0</v>
      </c>
      <c r="Q595" s="378">
        <v>4.5800000000000002E-4</v>
      </c>
      <c r="R595" s="378"/>
      <c r="S595" s="417">
        <v>-230085</v>
      </c>
      <c r="T595" s="417">
        <v>-227422</v>
      </c>
      <c r="U595" s="417">
        <v>-238916</v>
      </c>
      <c r="V595" s="417">
        <v>-307077</v>
      </c>
      <c r="W595" s="417">
        <v>0</v>
      </c>
      <c r="X595" s="378">
        <v>4.5800000000000002E-4</v>
      </c>
      <c r="Z595" s="417">
        <v>183476</v>
      </c>
      <c r="AA595" s="417">
        <v>128902</v>
      </c>
      <c r="AB595" s="417">
        <v>128901</v>
      </c>
      <c r="AC595" s="417">
        <v>0</v>
      </c>
      <c r="AD595" s="417">
        <v>0</v>
      </c>
      <c r="AE595" s="378">
        <v>4.5800000000000002E-4</v>
      </c>
      <c r="AF595" s="378"/>
      <c r="AG595" s="417">
        <v>13244</v>
      </c>
      <c r="AH595" s="417">
        <v>13242</v>
      </c>
      <c r="AI595" s="417">
        <v>7159</v>
      </c>
      <c r="AJ595" s="417">
        <v>0</v>
      </c>
      <c r="AK595" s="417">
        <v>0</v>
      </c>
      <c r="AL595" s="378">
        <v>4.5800000000000002E-4</v>
      </c>
      <c r="AM595" s="378"/>
      <c r="AN595" s="417">
        <v>-18602</v>
      </c>
      <c r="AO595" s="417">
        <v>-14355</v>
      </c>
      <c r="AP595" s="417">
        <v>0</v>
      </c>
      <c r="AQ595" s="417">
        <v>0</v>
      </c>
      <c r="AR595" s="417">
        <v>0</v>
      </c>
    </row>
    <row r="596" spans="1:47">
      <c r="A596" s="377">
        <v>96431</v>
      </c>
      <c r="B596" t="s">
        <v>1297</v>
      </c>
      <c r="C596" s="378">
        <v>4.4400000000000002E-5</v>
      </c>
      <c r="D596" s="378"/>
      <c r="E596" s="417">
        <v>14542</v>
      </c>
      <c r="F596" s="417">
        <v>6955</v>
      </c>
      <c r="G596" s="417">
        <v>-7803</v>
      </c>
      <c r="H596" s="417">
        <v>-29769</v>
      </c>
      <c r="I596" s="417">
        <v>0</v>
      </c>
      <c r="J596" s="378">
        <v>4.4400000000000002E-5</v>
      </c>
      <c r="K596" s="378"/>
      <c r="L596" s="417">
        <v>10869</v>
      </c>
      <c r="M596" s="417">
        <v>7507</v>
      </c>
      <c r="N596" s="417">
        <v>3286</v>
      </c>
      <c r="O596" s="417">
        <v>0</v>
      </c>
      <c r="P596" s="417">
        <v>0</v>
      </c>
      <c r="Q596" s="378">
        <v>4.4400000000000002E-5</v>
      </c>
      <c r="R596" s="378"/>
      <c r="S596" s="417">
        <v>-22305</v>
      </c>
      <c r="T596" s="417">
        <v>-22047</v>
      </c>
      <c r="U596" s="417">
        <v>-23161</v>
      </c>
      <c r="V596" s="417">
        <v>-29769</v>
      </c>
      <c r="W596" s="417">
        <v>0</v>
      </c>
      <c r="X596" s="378">
        <v>4.4400000000000002E-5</v>
      </c>
      <c r="Z596" s="417">
        <v>17787</v>
      </c>
      <c r="AA596" s="417">
        <v>12496</v>
      </c>
      <c r="AB596" s="417">
        <v>12496</v>
      </c>
      <c r="AC596" s="417">
        <v>0</v>
      </c>
      <c r="AD596" s="417">
        <v>0</v>
      </c>
      <c r="AE596" s="378">
        <v>4.4400000000000002E-5</v>
      </c>
      <c r="AF596" s="378"/>
      <c r="AG596" s="417">
        <v>9421</v>
      </c>
      <c r="AH596" s="417">
        <v>9422</v>
      </c>
      <c r="AI596" s="417">
        <v>0</v>
      </c>
      <c r="AJ596" s="417">
        <v>0</v>
      </c>
      <c r="AK596" s="417">
        <v>0</v>
      </c>
      <c r="AL596" s="378">
        <v>4.4400000000000002E-5</v>
      </c>
      <c r="AM596" s="378"/>
      <c r="AN596" s="417">
        <v>-1230</v>
      </c>
      <c r="AO596" s="417">
        <v>-423</v>
      </c>
      <c r="AP596" s="417">
        <v>-424</v>
      </c>
      <c r="AQ596" s="417">
        <v>0</v>
      </c>
      <c r="AR596" s="417">
        <v>0</v>
      </c>
    </row>
    <row r="597" spans="1:47">
      <c r="A597" s="377">
        <v>96441</v>
      </c>
      <c r="B597" t="s">
        <v>1298</v>
      </c>
      <c r="C597" s="378">
        <v>2.97E-5</v>
      </c>
      <c r="D597" s="378"/>
      <c r="E597" s="417">
        <v>7754</v>
      </c>
      <c r="F597" s="417">
        <v>2110</v>
      </c>
      <c r="G597" s="417">
        <v>-4813</v>
      </c>
      <c r="H597" s="417">
        <v>-19913</v>
      </c>
      <c r="I597" s="417">
        <v>0</v>
      </c>
      <c r="J597" s="378">
        <v>2.97E-5</v>
      </c>
      <c r="K597" s="378"/>
      <c r="L597" s="417">
        <v>7271</v>
      </c>
      <c r="M597" s="417">
        <v>5021</v>
      </c>
      <c r="N597" s="417">
        <v>2198</v>
      </c>
      <c r="O597" s="417">
        <v>0</v>
      </c>
      <c r="P597" s="417">
        <v>0</v>
      </c>
      <c r="Q597" s="378">
        <v>2.97E-5</v>
      </c>
      <c r="R597" s="378"/>
      <c r="S597" s="417">
        <v>-14920</v>
      </c>
      <c r="T597" s="417">
        <v>-14748</v>
      </c>
      <c r="U597" s="417">
        <v>-15493</v>
      </c>
      <c r="V597" s="417">
        <v>-19913</v>
      </c>
      <c r="W597" s="417">
        <v>0</v>
      </c>
      <c r="X597" s="378">
        <v>2.97E-5</v>
      </c>
      <c r="Z597" s="417">
        <v>11898</v>
      </c>
      <c r="AA597" s="417">
        <v>8359</v>
      </c>
      <c r="AB597" s="417">
        <v>8359</v>
      </c>
      <c r="AC597" s="417">
        <v>0</v>
      </c>
      <c r="AD597" s="417">
        <v>0</v>
      </c>
      <c r="AE597" s="378">
        <v>2.97E-5</v>
      </c>
      <c r="AF597" s="378"/>
      <c r="AG597" s="417">
        <v>4505</v>
      </c>
      <c r="AH597" s="417">
        <v>4477</v>
      </c>
      <c r="AI597" s="417">
        <v>123</v>
      </c>
      <c r="AJ597" s="417">
        <v>0</v>
      </c>
      <c r="AK597" s="417">
        <v>0</v>
      </c>
      <c r="AL597" s="378">
        <v>2.97E-5</v>
      </c>
      <c r="AM597" s="378"/>
      <c r="AN597" s="417">
        <v>-1000</v>
      </c>
      <c r="AO597" s="417">
        <v>-999</v>
      </c>
      <c r="AP597" s="417">
        <v>0</v>
      </c>
      <c r="AQ597" s="417">
        <v>0</v>
      </c>
      <c r="AR597" s="417">
        <v>0</v>
      </c>
    </row>
    <row r="598" spans="1:47">
      <c r="A598" s="377">
        <v>96451</v>
      </c>
      <c r="B598" t="s">
        <v>1299</v>
      </c>
      <c r="C598" s="378">
        <v>1.2300000000000001E-5</v>
      </c>
      <c r="D598" s="378"/>
      <c r="E598" s="417">
        <v>3049</v>
      </c>
      <c r="F598" s="417">
        <v>1132</v>
      </c>
      <c r="G598" s="417">
        <v>-2152</v>
      </c>
      <c r="H598" s="417">
        <v>-8247</v>
      </c>
      <c r="I598" s="417">
        <v>0</v>
      </c>
      <c r="J598" s="378">
        <v>1.2300000000000001E-5</v>
      </c>
      <c r="K598" s="378"/>
      <c r="L598" s="417">
        <v>3011</v>
      </c>
      <c r="M598" s="417">
        <v>2080</v>
      </c>
      <c r="N598" s="417">
        <v>910</v>
      </c>
      <c r="O598" s="417">
        <v>0</v>
      </c>
      <c r="P598" s="417">
        <v>0</v>
      </c>
      <c r="Q598" s="378">
        <v>1.2300000000000001E-5</v>
      </c>
      <c r="R598" s="378"/>
      <c r="S598" s="417">
        <v>-6179</v>
      </c>
      <c r="T598" s="417">
        <v>-6108</v>
      </c>
      <c r="U598" s="417">
        <v>-6416</v>
      </c>
      <c r="V598" s="417">
        <v>-8247</v>
      </c>
      <c r="W598" s="417">
        <v>0</v>
      </c>
      <c r="X598" s="378">
        <v>1.2300000000000001E-5</v>
      </c>
      <c r="Z598" s="417">
        <v>4927</v>
      </c>
      <c r="AA598" s="417">
        <v>3462</v>
      </c>
      <c r="AB598" s="417">
        <v>3462</v>
      </c>
      <c r="AC598" s="417">
        <v>0</v>
      </c>
      <c r="AD598" s="417">
        <v>0</v>
      </c>
      <c r="AE598" s="378">
        <v>1.2300000000000001E-5</v>
      </c>
      <c r="AF598" s="378"/>
      <c r="AG598" s="417">
        <v>3373</v>
      </c>
      <c r="AH598" s="417">
        <v>3374</v>
      </c>
      <c r="AI598" s="417">
        <v>0</v>
      </c>
      <c r="AJ598" s="417">
        <v>0</v>
      </c>
      <c r="AK598" s="417">
        <v>0</v>
      </c>
      <c r="AL598" s="378">
        <v>1.2300000000000001E-5</v>
      </c>
      <c r="AM598" s="378"/>
      <c r="AN598" s="417">
        <v>-2083</v>
      </c>
      <c r="AO598" s="417">
        <v>-1676</v>
      </c>
      <c r="AP598" s="417">
        <v>-108</v>
      </c>
      <c r="AQ598" s="417">
        <v>0</v>
      </c>
      <c r="AR598" s="417">
        <v>0</v>
      </c>
    </row>
    <row r="599" spans="1:47">
      <c r="A599" s="377">
        <v>96461</v>
      </c>
      <c r="B599" t="s">
        <v>1300</v>
      </c>
      <c r="C599" s="378">
        <v>1.5970000000000001E-4</v>
      </c>
      <c r="D599" s="378"/>
      <c r="E599" s="417">
        <v>31546</v>
      </c>
      <c r="F599" s="417">
        <v>-1171</v>
      </c>
      <c r="G599" s="417">
        <v>-11478</v>
      </c>
      <c r="H599" s="417">
        <v>-107075</v>
      </c>
      <c r="I599" s="417">
        <v>0</v>
      </c>
      <c r="J599" s="378">
        <v>1.5970000000000001E-4</v>
      </c>
      <c r="K599" s="378"/>
      <c r="L599" s="417">
        <v>39096</v>
      </c>
      <c r="M599" s="417">
        <v>27001</v>
      </c>
      <c r="N599" s="417">
        <v>11820</v>
      </c>
      <c r="O599" s="417">
        <v>0</v>
      </c>
      <c r="P599" s="417">
        <v>0</v>
      </c>
      <c r="Q599" s="378">
        <v>1.5970000000000001E-4</v>
      </c>
      <c r="R599" s="378"/>
      <c r="S599" s="417">
        <v>-80228</v>
      </c>
      <c r="T599" s="417">
        <v>-79300</v>
      </c>
      <c r="U599" s="417">
        <v>-83308</v>
      </c>
      <c r="V599" s="417">
        <v>-107075</v>
      </c>
      <c r="W599" s="417">
        <v>0</v>
      </c>
      <c r="X599" s="378">
        <v>1.5970000000000001E-4</v>
      </c>
      <c r="Z599" s="417">
        <v>63976</v>
      </c>
      <c r="AA599" s="417">
        <v>44947</v>
      </c>
      <c r="AB599" s="417">
        <v>44946</v>
      </c>
      <c r="AC599" s="417">
        <v>0</v>
      </c>
      <c r="AD599" s="417">
        <v>0</v>
      </c>
      <c r="AE599" s="378">
        <v>1.5970000000000001E-4</v>
      </c>
      <c r="AF599" s="378"/>
      <c r="AG599" s="417">
        <v>17585</v>
      </c>
      <c r="AH599" s="417">
        <v>15066</v>
      </c>
      <c r="AI599" s="417">
        <v>15064</v>
      </c>
      <c r="AJ599" s="417">
        <v>0</v>
      </c>
      <c r="AK599" s="417">
        <v>0</v>
      </c>
      <c r="AL599" s="378">
        <v>1.5970000000000001E-4</v>
      </c>
      <c r="AM599" s="378"/>
      <c r="AN599" s="417">
        <v>-8883</v>
      </c>
      <c r="AO599" s="417">
        <v>-8885</v>
      </c>
      <c r="AP599" s="417">
        <v>0</v>
      </c>
      <c r="AQ599" s="417">
        <v>0</v>
      </c>
      <c r="AR599" s="417">
        <v>0</v>
      </c>
    </row>
    <row r="600" spans="1:47">
      <c r="A600" s="377">
        <v>96501</v>
      </c>
      <c r="B600" t="s">
        <v>1301</v>
      </c>
      <c r="C600" s="378">
        <v>1.42842E-2</v>
      </c>
      <c r="D600" s="378"/>
      <c r="E600" s="417">
        <v>1816704</v>
      </c>
      <c r="F600" s="417">
        <v>-861565</v>
      </c>
      <c r="G600" s="417">
        <v>-2636637</v>
      </c>
      <c r="H600" s="417">
        <v>-9577185</v>
      </c>
      <c r="I600" s="417">
        <v>0</v>
      </c>
      <c r="J600" s="378">
        <v>1.42842E-2</v>
      </c>
      <c r="K600" s="378"/>
      <c r="L600" s="417">
        <v>3496886</v>
      </c>
      <c r="M600" s="417">
        <v>2415058</v>
      </c>
      <c r="N600" s="417">
        <v>1057202</v>
      </c>
      <c r="O600" s="417">
        <v>0</v>
      </c>
      <c r="P600" s="417">
        <v>0</v>
      </c>
      <c r="Q600" s="378">
        <v>1.42842E-2</v>
      </c>
      <c r="R600" s="378"/>
      <c r="S600" s="417">
        <v>-7175925</v>
      </c>
      <c r="T600" s="417">
        <v>-7092891</v>
      </c>
      <c r="U600" s="417">
        <v>-7451367</v>
      </c>
      <c r="V600" s="417">
        <v>-9577185</v>
      </c>
      <c r="W600" s="417">
        <v>0</v>
      </c>
      <c r="X600" s="378">
        <v>1.42842E-2</v>
      </c>
      <c r="Z600" s="417">
        <v>5722279</v>
      </c>
      <c r="AA600" s="417">
        <v>4020217</v>
      </c>
      <c r="AB600" s="417">
        <v>4020188</v>
      </c>
      <c r="AC600" s="417">
        <v>0</v>
      </c>
      <c r="AD600" s="417">
        <v>0</v>
      </c>
      <c r="AE600" s="378">
        <v>1.42842E-2</v>
      </c>
      <c r="AF600" s="378"/>
      <c r="AG600" s="417">
        <v>58714</v>
      </c>
      <c r="AH600" s="417">
        <v>58712</v>
      </c>
      <c r="AI600" s="417">
        <v>0</v>
      </c>
      <c r="AJ600" s="417">
        <v>0</v>
      </c>
      <c r="AK600" s="417">
        <v>0</v>
      </c>
      <c r="AL600" s="378">
        <v>1.42842E-2</v>
      </c>
      <c r="AM600" s="378"/>
      <c r="AN600" s="417">
        <v>-285250</v>
      </c>
      <c r="AO600" s="417">
        <v>-262661</v>
      </c>
      <c r="AP600" s="417">
        <v>-262660</v>
      </c>
      <c r="AQ600" s="417">
        <v>0</v>
      </c>
      <c r="AR600" s="417">
        <v>0</v>
      </c>
    </row>
    <row r="601" spans="1:47">
      <c r="A601" s="377">
        <v>96502</v>
      </c>
      <c r="B601" t="s">
        <v>1302</v>
      </c>
      <c r="C601" s="378">
        <v>3.366E-4</v>
      </c>
      <c r="D601" s="378"/>
      <c r="E601" s="417">
        <v>36802</v>
      </c>
      <c r="F601" s="417">
        <v>-26902</v>
      </c>
      <c r="G601" s="417">
        <v>-46470</v>
      </c>
      <c r="H601" s="417">
        <v>-225682</v>
      </c>
      <c r="I601" s="417">
        <v>0</v>
      </c>
      <c r="J601" s="378">
        <v>3.366E-4</v>
      </c>
      <c r="K601" s="378"/>
      <c r="L601" s="417">
        <v>82402</v>
      </c>
      <c r="M601" s="417">
        <v>56910</v>
      </c>
      <c r="N601" s="417">
        <v>24912</v>
      </c>
      <c r="O601" s="417">
        <v>0</v>
      </c>
      <c r="P601" s="417">
        <v>0</v>
      </c>
      <c r="Q601" s="378">
        <v>3.366E-4</v>
      </c>
      <c r="R601" s="378"/>
      <c r="S601" s="417">
        <v>-169097</v>
      </c>
      <c r="T601" s="417">
        <v>-167140</v>
      </c>
      <c r="U601" s="417">
        <v>-175588</v>
      </c>
      <c r="V601" s="417">
        <v>-225682</v>
      </c>
      <c r="W601" s="417">
        <v>0</v>
      </c>
      <c r="X601" s="378">
        <v>3.366E-4</v>
      </c>
      <c r="Z601" s="417">
        <v>134843</v>
      </c>
      <c r="AA601" s="417">
        <v>94734</v>
      </c>
      <c r="AB601" s="417">
        <v>94734</v>
      </c>
      <c r="AC601" s="417">
        <v>0</v>
      </c>
      <c r="AD601" s="417">
        <v>0</v>
      </c>
      <c r="AE601" s="378">
        <v>3.366E-4</v>
      </c>
      <c r="AF601" s="378"/>
      <c r="AG601" s="417">
        <v>12930</v>
      </c>
      <c r="AH601" s="417">
        <v>12869</v>
      </c>
      <c r="AI601" s="417">
        <v>9472</v>
      </c>
      <c r="AJ601" s="417">
        <v>0</v>
      </c>
      <c r="AK601" s="417">
        <v>0</v>
      </c>
      <c r="AL601" s="378">
        <v>3.366E-4</v>
      </c>
      <c r="AM601" s="378"/>
      <c r="AN601" s="417">
        <v>-24276</v>
      </c>
      <c r="AO601" s="417">
        <v>-24275</v>
      </c>
      <c r="AP601" s="417">
        <v>0</v>
      </c>
      <c r="AQ601" s="417">
        <v>0</v>
      </c>
      <c r="AR601" s="417">
        <v>0</v>
      </c>
    </row>
    <row r="602" spans="1:47">
      <c r="A602" s="377">
        <v>96503</v>
      </c>
      <c r="B602" t="s">
        <v>1939</v>
      </c>
      <c r="C602" s="378">
        <v>2.9750000000000002E-4</v>
      </c>
      <c r="D602" s="378"/>
      <c r="E602" s="417">
        <v>200050</v>
      </c>
      <c r="F602" s="417">
        <v>110321</v>
      </c>
      <c r="G602" s="417">
        <v>29215</v>
      </c>
      <c r="H602" s="417">
        <v>-199466</v>
      </c>
      <c r="I602" s="417">
        <v>0</v>
      </c>
      <c r="J602" s="378">
        <v>2.9750000000000002E-4</v>
      </c>
      <c r="K602" s="378"/>
      <c r="L602" s="417">
        <v>72830</v>
      </c>
      <c r="M602" s="417">
        <v>50299</v>
      </c>
      <c r="N602" s="417">
        <v>22019</v>
      </c>
      <c r="O602" s="417">
        <v>0</v>
      </c>
      <c r="P602" s="417">
        <v>0</v>
      </c>
      <c r="Q602" s="378">
        <v>2.9750000000000002E-4</v>
      </c>
      <c r="R602" s="378"/>
      <c r="S602" s="417">
        <v>-149454</v>
      </c>
      <c r="T602" s="417">
        <v>-147725</v>
      </c>
      <c r="U602" s="417">
        <v>-155191</v>
      </c>
      <c r="V602" s="417">
        <v>-199466</v>
      </c>
      <c r="W602" s="417">
        <v>0</v>
      </c>
      <c r="X602" s="378">
        <v>2.9750000000000002E-4</v>
      </c>
      <c r="Z602" s="417">
        <v>119179</v>
      </c>
      <c r="AA602" s="417">
        <v>83730</v>
      </c>
      <c r="AB602" s="417">
        <v>83729</v>
      </c>
      <c r="AC602" s="417">
        <v>0</v>
      </c>
      <c r="AD602" s="417">
        <v>0</v>
      </c>
      <c r="AE602" s="378">
        <v>2.9750000000000002E-4</v>
      </c>
      <c r="AF602" s="378"/>
      <c r="AG602" s="417">
        <v>160668</v>
      </c>
      <c r="AH602" s="417">
        <v>127188</v>
      </c>
      <c r="AI602" s="417">
        <v>78658</v>
      </c>
      <c r="AJ602" s="417">
        <v>0</v>
      </c>
      <c r="AK602" s="417">
        <v>0</v>
      </c>
      <c r="AL602" s="378">
        <v>2.9750000000000002E-4</v>
      </c>
      <c r="AM602" s="378"/>
      <c r="AN602" s="417">
        <v>-3173</v>
      </c>
      <c r="AO602" s="417">
        <v>-3171</v>
      </c>
      <c r="AP602" s="417">
        <v>0</v>
      </c>
      <c r="AQ602" s="417">
        <v>0</v>
      </c>
      <c r="AR602" s="417">
        <v>0</v>
      </c>
    </row>
    <row r="603" spans="1:47">
      <c r="A603" s="377">
        <v>96504</v>
      </c>
      <c r="B603" t="s">
        <v>1304</v>
      </c>
      <c r="C603" s="378">
        <v>3.7270000000000001E-4</v>
      </c>
      <c r="D603" s="378"/>
      <c r="E603" s="417">
        <v>38481</v>
      </c>
      <c r="F603" s="417">
        <v>-31809</v>
      </c>
      <c r="G603" s="417">
        <v>-64131</v>
      </c>
      <c r="H603" s="417">
        <v>-249886</v>
      </c>
      <c r="I603" s="417">
        <v>0</v>
      </c>
      <c r="J603" s="378">
        <v>3.7270000000000001E-4</v>
      </c>
      <c r="K603" s="378"/>
      <c r="L603" s="417">
        <v>91240</v>
      </c>
      <c r="M603" s="417">
        <v>63013</v>
      </c>
      <c r="N603" s="417">
        <v>27584</v>
      </c>
      <c r="O603" s="417">
        <v>0</v>
      </c>
      <c r="P603" s="417">
        <v>0</v>
      </c>
      <c r="Q603" s="378">
        <v>3.7270000000000001E-4</v>
      </c>
      <c r="R603" s="378"/>
      <c r="S603" s="417">
        <v>-187233</v>
      </c>
      <c r="T603" s="417">
        <v>-185066</v>
      </c>
      <c r="U603" s="417">
        <v>-194419</v>
      </c>
      <c r="V603" s="417">
        <v>-249886</v>
      </c>
      <c r="W603" s="417">
        <v>0</v>
      </c>
      <c r="X603" s="378">
        <v>3.7270000000000001E-4</v>
      </c>
      <c r="Z603" s="417">
        <v>149304</v>
      </c>
      <c r="AA603" s="417">
        <v>104895</v>
      </c>
      <c r="AB603" s="417">
        <v>104894</v>
      </c>
      <c r="AC603" s="417">
        <v>0</v>
      </c>
      <c r="AD603" s="417">
        <v>0</v>
      </c>
      <c r="AE603" s="378">
        <v>3.7270000000000001E-4</v>
      </c>
      <c r="AF603" s="378"/>
      <c r="AG603" s="417">
        <v>5115</v>
      </c>
      <c r="AH603" s="417">
        <v>5117</v>
      </c>
      <c r="AI603" s="417">
        <v>0</v>
      </c>
      <c r="AJ603" s="417">
        <v>0</v>
      </c>
      <c r="AK603" s="417">
        <v>0</v>
      </c>
      <c r="AL603" s="378">
        <v>3.7270000000000001E-4</v>
      </c>
      <c r="AM603" s="378"/>
      <c r="AN603" s="417">
        <v>-19945</v>
      </c>
      <c r="AO603" s="417">
        <v>-19768</v>
      </c>
      <c r="AP603" s="417">
        <v>-2190</v>
      </c>
      <c r="AQ603" s="417">
        <v>0</v>
      </c>
      <c r="AR603" s="417">
        <v>0</v>
      </c>
    </row>
    <row r="604" spans="1:47">
      <c r="A604" s="377">
        <v>96507</v>
      </c>
      <c r="B604" t="s">
        <v>1305</v>
      </c>
      <c r="C604" s="378">
        <v>2.418E-3</v>
      </c>
      <c r="D604" s="378"/>
      <c r="E604" s="417">
        <v>480069</v>
      </c>
      <c r="F604" s="417">
        <v>14366</v>
      </c>
      <c r="G604" s="417">
        <v>-312082</v>
      </c>
      <c r="H604" s="417">
        <v>-1621206</v>
      </c>
      <c r="I604" s="417">
        <v>0</v>
      </c>
      <c r="J604" s="378">
        <v>2.418E-3</v>
      </c>
      <c r="K604" s="378"/>
      <c r="L604" s="417">
        <v>591946</v>
      </c>
      <c r="M604" s="417">
        <v>408816</v>
      </c>
      <c r="N604" s="417">
        <v>178961</v>
      </c>
      <c r="O604" s="417">
        <v>0</v>
      </c>
      <c r="P604" s="417">
        <v>0</v>
      </c>
      <c r="Q604" s="378">
        <v>2.418E-3</v>
      </c>
      <c r="R604" s="378"/>
      <c r="S604" s="417">
        <v>-1214726</v>
      </c>
      <c r="T604" s="417">
        <v>-1200670</v>
      </c>
      <c r="U604" s="417">
        <v>-1261352</v>
      </c>
      <c r="V604" s="417">
        <v>-1621206</v>
      </c>
      <c r="W604" s="417">
        <v>0</v>
      </c>
      <c r="X604" s="378">
        <v>2.418E-3</v>
      </c>
      <c r="Z604" s="417">
        <v>968656</v>
      </c>
      <c r="AA604" s="417">
        <v>680534</v>
      </c>
      <c r="AB604" s="417">
        <v>680529</v>
      </c>
      <c r="AC604" s="417">
        <v>0</v>
      </c>
      <c r="AD604" s="417">
        <v>0</v>
      </c>
      <c r="AE604" s="378">
        <v>2.418E-3</v>
      </c>
      <c r="AF604" s="378"/>
      <c r="AG604" s="417">
        <v>134193</v>
      </c>
      <c r="AH604" s="417">
        <v>125686</v>
      </c>
      <c r="AI604" s="417">
        <v>89780</v>
      </c>
      <c r="AJ604" s="417">
        <v>0</v>
      </c>
      <c r="AK604" s="417">
        <v>0</v>
      </c>
      <c r="AL604" s="378">
        <v>2.418E-3</v>
      </c>
      <c r="AM604" s="378"/>
      <c r="AN604" s="417">
        <v>0</v>
      </c>
      <c r="AO604" s="417">
        <v>0</v>
      </c>
      <c r="AP604" s="417">
        <v>0</v>
      </c>
      <c r="AQ604" s="417">
        <v>0</v>
      </c>
      <c r="AR604" s="417">
        <v>0</v>
      </c>
    </row>
    <row r="605" spans="1:47">
      <c r="A605" s="377">
        <v>96508</v>
      </c>
      <c r="B605" t="s">
        <v>1306</v>
      </c>
      <c r="C605" s="378">
        <v>8.3000000000000002E-6</v>
      </c>
      <c r="D605" s="378"/>
      <c r="E605" s="417">
        <v>11245</v>
      </c>
      <c r="F605" s="417">
        <v>8271</v>
      </c>
      <c r="G605" s="417">
        <v>4644</v>
      </c>
      <c r="H605" s="417">
        <v>-5565</v>
      </c>
      <c r="I605" s="417">
        <v>0</v>
      </c>
      <c r="J605" s="378">
        <v>8.3000000000000002E-6</v>
      </c>
      <c r="K605" s="378"/>
      <c r="L605" s="417">
        <v>2032</v>
      </c>
      <c r="M605" s="417">
        <v>1403</v>
      </c>
      <c r="N605" s="417">
        <v>614</v>
      </c>
      <c r="O605" s="417">
        <v>0</v>
      </c>
      <c r="P605" s="417">
        <v>0</v>
      </c>
      <c r="Q605" s="378">
        <v>8.3000000000000002E-6</v>
      </c>
      <c r="R605" s="378"/>
      <c r="S605" s="417">
        <v>-4170</v>
      </c>
      <c r="T605" s="417">
        <v>-4121</v>
      </c>
      <c r="U605" s="417">
        <v>-4330</v>
      </c>
      <c r="V605" s="417">
        <v>-5565</v>
      </c>
      <c r="W605" s="417">
        <v>0</v>
      </c>
      <c r="X605" s="378">
        <v>8.3000000000000002E-6</v>
      </c>
      <c r="Z605" s="417">
        <v>3325</v>
      </c>
      <c r="AA605" s="417">
        <v>2336</v>
      </c>
      <c r="AB605" s="417">
        <v>2336</v>
      </c>
      <c r="AC605" s="417">
        <v>0</v>
      </c>
      <c r="AD605" s="417">
        <v>0</v>
      </c>
      <c r="AE605" s="378">
        <v>8.3000000000000002E-6</v>
      </c>
      <c r="AF605" s="378"/>
      <c r="AG605" s="417">
        <v>10058</v>
      </c>
      <c r="AH605" s="417">
        <v>8653</v>
      </c>
      <c r="AI605" s="417">
        <v>6024</v>
      </c>
      <c r="AJ605" s="417">
        <v>0</v>
      </c>
      <c r="AK605" s="417">
        <v>0</v>
      </c>
      <c r="AL605" s="378">
        <v>8.3000000000000002E-6</v>
      </c>
      <c r="AM605" s="378"/>
      <c r="AN605" s="417">
        <v>0</v>
      </c>
      <c r="AO605" s="417">
        <v>0</v>
      </c>
      <c r="AP605" s="417">
        <v>0</v>
      </c>
      <c r="AQ605" s="417">
        <v>0</v>
      </c>
      <c r="AR605" s="417">
        <v>0</v>
      </c>
    </row>
    <row r="606" spans="1:47">
      <c r="A606" s="377">
        <v>96511</v>
      </c>
      <c r="B606" t="s">
        <v>1307</v>
      </c>
      <c r="C606" s="378">
        <v>5.6360000000000004E-4</v>
      </c>
      <c r="D606" s="378"/>
      <c r="E606" s="417">
        <v>58324</v>
      </c>
      <c r="F606" s="417">
        <v>-45954</v>
      </c>
      <c r="G606" s="417">
        <v>-90513</v>
      </c>
      <c r="H606" s="417">
        <v>-377879</v>
      </c>
      <c r="I606" s="417">
        <v>0</v>
      </c>
      <c r="J606" s="378">
        <v>5.6360000000000004E-4</v>
      </c>
      <c r="K606" s="378"/>
      <c r="L606" s="417">
        <v>137974</v>
      </c>
      <c r="M606" s="417">
        <v>95289</v>
      </c>
      <c r="N606" s="417">
        <v>41713</v>
      </c>
      <c r="O606" s="417">
        <v>0</v>
      </c>
      <c r="P606" s="417">
        <v>0</v>
      </c>
      <c r="Q606" s="378">
        <v>5.6360000000000004E-4</v>
      </c>
      <c r="R606" s="378"/>
      <c r="S606" s="417">
        <v>-283135</v>
      </c>
      <c r="T606" s="417">
        <v>-279858</v>
      </c>
      <c r="U606" s="417">
        <v>-294003</v>
      </c>
      <c r="V606" s="417">
        <v>-377879</v>
      </c>
      <c r="W606" s="417">
        <v>0</v>
      </c>
      <c r="X606" s="378">
        <v>5.6360000000000004E-4</v>
      </c>
      <c r="Z606" s="417">
        <v>225779</v>
      </c>
      <c r="AA606" s="417">
        <v>158622</v>
      </c>
      <c r="AB606" s="417">
        <v>158621</v>
      </c>
      <c r="AC606" s="417">
        <v>0</v>
      </c>
      <c r="AD606" s="417">
        <v>0</v>
      </c>
      <c r="AE606" s="378">
        <v>5.6360000000000004E-4</v>
      </c>
      <c r="AF606" s="378"/>
      <c r="AG606" s="417">
        <v>3157</v>
      </c>
      <c r="AH606" s="417">
        <v>3157</v>
      </c>
      <c r="AI606" s="417">
        <v>3156</v>
      </c>
      <c r="AJ606" s="417">
        <v>0</v>
      </c>
      <c r="AK606" s="417">
        <v>0</v>
      </c>
      <c r="AL606" s="378">
        <v>5.6360000000000004E-4</v>
      </c>
      <c r="AM606" s="378"/>
      <c r="AN606" s="417">
        <v>-25451</v>
      </c>
      <c r="AO606" s="417">
        <v>-23164</v>
      </c>
      <c r="AP606" s="417">
        <v>0</v>
      </c>
      <c r="AQ606" s="417">
        <v>0</v>
      </c>
      <c r="AR606" s="417">
        <v>0</v>
      </c>
    </row>
    <row r="607" spans="1:47">
      <c r="A607" s="377">
        <v>96512</v>
      </c>
      <c r="B607" t="s">
        <v>1308</v>
      </c>
      <c r="C607" s="378">
        <v>1.3870000000000001E-4</v>
      </c>
      <c r="D607" s="378"/>
      <c r="E607" s="417">
        <v>22191</v>
      </c>
      <c r="F607" s="417">
        <v>-5815</v>
      </c>
      <c r="G607" s="417">
        <v>-18221</v>
      </c>
      <c r="H607" s="417">
        <v>-92995</v>
      </c>
      <c r="I607" s="417">
        <v>0</v>
      </c>
      <c r="J607" s="378">
        <v>1.3870000000000001E-4</v>
      </c>
      <c r="K607" s="378"/>
      <c r="L607" s="417">
        <v>33955</v>
      </c>
      <c r="M607" s="417">
        <v>23450</v>
      </c>
      <c r="N607" s="417">
        <v>10265</v>
      </c>
      <c r="O607" s="417">
        <v>0</v>
      </c>
      <c r="P607" s="417">
        <v>0</v>
      </c>
      <c r="Q607" s="378">
        <v>1.3870000000000001E-4</v>
      </c>
      <c r="R607" s="378"/>
      <c r="S607" s="417">
        <v>-69678</v>
      </c>
      <c r="T607" s="417">
        <v>-68872</v>
      </c>
      <c r="U607" s="417">
        <v>-72353</v>
      </c>
      <c r="V607" s="417">
        <v>-92995</v>
      </c>
      <c r="W607" s="417">
        <v>0</v>
      </c>
      <c r="X607" s="378">
        <v>1.3870000000000001E-4</v>
      </c>
      <c r="Z607" s="417">
        <v>55563</v>
      </c>
      <c r="AA607" s="417">
        <v>39036</v>
      </c>
      <c r="AB607" s="417">
        <v>39036</v>
      </c>
      <c r="AC607" s="417">
        <v>0</v>
      </c>
      <c r="AD607" s="417">
        <v>0</v>
      </c>
      <c r="AE607" s="378">
        <v>1.3870000000000001E-4</v>
      </c>
      <c r="AF607" s="378"/>
      <c r="AG607" s="417">
        <v>6609</v>
      </c>
      <c r="AH607" s="417">
        <v>4830</v>
      </c>
      <c r="AI607" s="417">
        <v>4831</v>
      </c>
      <c r="AJ607" s="417">
        <v>0</v>
      </c>
      <c r="AK607" s="417">
        <v>0</v>
      </c>
      <c r="AL607" s="378">
        <v>1.3870000000000001E-4</v>
      </c>
      <c r="AM607" s="378"/>
      <c r="AN607" s="417">
        <v>-4258</v>
      </c>
      <c r="AO607" s="417">
        <v>-4259</v>
      </c>
      <c r="AP607" s="417">
        <v>0</v>
      </c>
      <c r="AQ607" s="417">
        <v>0</v>
      </c>
      <c r="AR607" s="417">
        <v>0</v>
      </c>
    </row>
    <row r="608" spans="1:47">
      <c r="A608" s="377">
        <v>96519</v>
      </c>
      <c r="B608" t="s">
        <v>1615</v>
      </c>
      <c r="C608" s="378">
        <v>0</v>
      </c>
      <c r="D608" s="378"/>
      <c r="E608" s="417">
        <v>0</v>
      </c>
      <c r="F608" s="417">
        <v>0</v>
      </c>
      <c r="G608" s="417">
        <v>0</v>
      </c>
      <c r="H608" s="417">
        <v>0</v>
      </c>
      <c r="I608" s="417">
        <v>0</v>
      </c>
      <c r="J608" s="417">
        <v>0</v>
      </c>
      <c r="K608" s="417">
        <v>0</v>
      </c>
      <c r="L608" s="417">
        <v>0</v>
      </c>
      <c r="M608" s="417">
        <v>0</v>
      </c>
      <c r="N608" s="417">
        <v>0</v>
      </c>
      <c r="O608" s="417">
        <v>0</v>
      </c>
      <c r="P608" s="417">
        <v>0</v>
      </c>
      <c r="Q608" s="417">
        <v>0</v>
      </c>
      <c r="R608" s="417">
        <v>0</v>
      </c>
      <c r="S608" s="417">
        <v>0</v>
      </c>
      <c r="T608" s="417">
        <v>0</v>
      </c>
      <c r="U608" s="417">
        <v>0</v>
      </c>
      <c r="V608" s="417">
        <v>0</v>
      </c>
      <c r="W608" s="417">
        <v>0</v>
      </c>
      <c r="X608" s="417">
        <v>0</v>
      </c>
      <c r="Y608" s="417">
        <v>0</v>
      </c>
      <c r="Z608" s="417">
        <v>0</v>
      </c>
      <c r="AA608" s="417">
        <v>0</v>
      </c>
      <c r="AB608" s="417">
        <v>0</v>
      </c>
      <c r="AC608" s="417">
        <v>0</v>
      </c>
      <c r="AD608" s="417">
        <v>0</v>
      </c>
      <c r="AE608" s="417">
        <v>0</v>
      </c>
      <c r="AF608" s="417">
        <v>0</v>
      </c>
      <c r="AG608" s="417">
        <v>0</v>
      </c>
      <c r="AH608" s="417">
        <v>0</v>
      </c>
      <c r="AI608" s="417">
        <v>0</v>
      </c>
      <c r="AJ608" s="417">
        <v>0</v>
      </c>
      <c r="AK608" s="417">
        <v>0</v>
      </c>
      <c r="AL608" s="417">
        <v>0</v>
      </c>
      <c r="AM608" s="417">
        <v>0</v>
      </c>
      <c r="AN608" s="417">
        <v>0</v>
      </c>
      <c r="AO608" s="417">
        <v>0</v>
      </c>
      <c r="AP608" s="417">
        <v>0</v>
      </c>
      <c r="AQ608" s="417">
        <v>0</v>
      </c>
      <c r="AR608" s="417">
        <v>0</v>
      </c>
      <c r="AS608" s="417">
        <v>0</v>
      </c>
      <c r="AT608" s="417">
        <v>0</v>
      </c>
      <c r="AU608" s="417">
        <v>0</v>
      </c>
    </row>
    <row r="609" spans="1:44">
      <c r="A609" s="377">
        <v>96521</v>
      </c>
      <c r="B609" t="s">
        <v>1309</v>
      </c>
      <c r="C609" s="378">
        <v>9.5069999999999996E-4</v>
      </c>
      <c r="D609" s="378"/>
      <c r="E609" s="417">
        <v>105459</v>
      </c>
      <c r="F609" s="417">
        <v>-61477</v>
      </c>
      <c r="G609" s="417">
        <v>-136749</v>
      </c>
      <c r="H609" s="417">
        <v>-637420</v>
      </c>
      <c r="I609" s="417">
        <v>0</v>
      </c>
      <c r="J609" s="378">
        <v>9.5069999999999996E-4</v>
      </c>
      <c r="K609" s="378"/>
      <c r="L609" s="417">
        <v>232739</v>
      </c>
      <c r="M609" s="417">
        <v>160737</v>
      </c>
      <c r="N609" s="417">
        <v>70363</v>
      </c>
      <c r="O609" s="417">
        <v>0</v>
      </c>
      <c r="P609" s="417">
        <v>0</v>
      </c>
      <c r="Q609" s="378">
        <v>9.5069999999999996E-4</v>
      </c>
      <c r="R609" s="378"/>
      <c r="S609" s="417">
        <v>-477601</v>
      </c>
      <c r="T609" s="417">
        <v>-472075</v>
      </c>
      <c r="U609" s="417">
        <v>-495934</v>
      </c>
      <c r="V609" s="417">
        <v>-637420</v>
      </c>
      <c r="W609" s="417">
        <v>0</v>
      </c>
      <c r="X609" s="378">
        <v>9.5069999999999996E-4</v>
      </c>
      <c r="Z609" s="417">
        <v>380852</v>
      </c>
      <c r="AA609" s="417">
        <v>267570</v>
      </c>
      <c r="AB609" s="417">
        <v>267568</v>
      </c>
      <c r="AC609" s="417">
        <v>0</v>
      </c>
      <c r="AD609" s="417">
        <v>0</v>
      </c>
      <c r="AE609" s="378">
        <v>9.5069999999999996E-4</v>
      </c>
      <c r="AF609" s="378"/>
      <c r="AG609" s="417">
        <v>21256</v>
      </c>
      <c r="AH609" s="417">
        <v>21256</v>
      </c>
      <c r="AI609" s="417">
        <v>21254</v>
      </c>
      <c r="AJ609" s="417">
        <v>0</v>
      </c>
      <c r="AK609" s="417">
        <v>0</v>
      </c>
      <c r="AL609" s="378">
        <v>9.5069999999999996E-4</v>
      </c>
      <c r="AM609" s="378"/>
      <c r="AN609" s="417">
        <v>-51787</v>
      </c>
      <c r="AO609" s="417">
        <v>-38965</v>
      </c>
      <c r="AP609" s="417">
        <v>0</v>
      </c>
      <c r="AQ609" s="417">
        <v>0</v>
      </c>
      <c r="AR609" s="417">
        <v>0</v>
      </c>
    </row>
    <row r="610" spans="1:44">
      <c r="A610" s="377">
        <v>96531</v>
      </c>
      <c r="B610" t="s">
        <v>1310</v>
      </c>
      <c r="C610" s="378">
        <v>7.9558000000000007E-3</v>
      </c>
      <c r="D610" s="378"/>
      <c r="E610" s="417">
        <v>719628</v>
      </c>
      <c r="F610" s="417">
        <v>-762385</v>
      </c>
      <c r="G610" s="417">
        <v>-1510748</v>
      </c>
      <c r="H610" s="417">
        <v>-5334157</v>
      </c>
      <c r="I610" s="417">
        <v>0</v>
      </c>
      <c r="J610" s="378">
        <v>7.9558000000000007E-3</v>
      </c>
      <c r="K610" s="378"/>
      <c r="L610" s="417">
        <v>1947643</v>
      </c>
      <c r="M610" s="417">
        <v>1345103</v>
      </c>
      <c r="N610" s="417">
        <v>588825</v>
      </c>
      <c r="O610" s="417">
        <v>0</v>
      </c>
      <c r="P610" s="417">
        <v>0</v>
      </c>
      <c r="Q610" s="378">
        <v>7.9558000000000007E-3</v>
      </c>
      <c r="R610" s="378"/>
      <c r="S610" s="417">
        <v>-3996739</v>
      </c>
      <c r="T610" s="417">
        <v>-3950492</v>
      </c>
      <c r="U610" s="417">
        <v>-4150151</v>
      </c>
      <c r="V610" s="417">
        <v>-5334157</v>
      </c>
      <c r="W610" s="417">
        <v>0</v>
      </c>
      <c r="X610" s="378">
        <v>7.9558000000000007E-3</v>
      </c>
      <c r="Z610" s="417">
        <v>3187109</v>
      </c>
      <c r="AA610" s="417">
        <v>2239120</v>
      </c>
      <c r="AB610" s="417">
        <v>2239104</v>
      </c>
      <c r="AC610" s="417">
        <v>0</v>
      </c>
      <c r="AD610" s="417">
        <v>0</v>
      </c>
      <c r="AE610" s="378">
        <v>7.9558000000000007E-3</v>
      </c>
      <c r="AF610" s="378"/>
      <c r="AG610" s="417">
        <v>0</v>
      </c>
      <c r="AH610" s="417">
        <v>0</v>
      </c>
      <c r="AI610" s="417">
        <v>0</v>
      </c>
      <c r="AJ610" s="417">
        <v>0</v>
      </c>
      <c r="AK610" s="417">
        <v>0</v>
      </c>
      <c r="AL610" s="378">
        <v>7.9558000000000007E-3</v>
      </c>
      <c r="AM610" s="378"/>
      <c r="AN610" s="417">
        <v>-418385</v>
      </c>
      <c r="AO610" s="417">
        <v>-396116</v>
      </c>
      <c r="AP610" s="417">
        <v>-188526</v>
      </c>
      <c r="AQ610" s="417">
        <v>0</v>
      </c>
      <c r="AR610" s="417">
        <v>0</v>
      </c>
    </row>
    <row r="611" spans="1:44">
      <c r="A611" s="377">
        <v>96541</v>
      </c>
      <c r="B611" t="s">
        <v>1311</v>
      </c>
      <c r="C611" s="378">
        <v>4.0220000000000002E-4</v>
      </c>
      <c r="D611" s="378"/>
      <c r="E611" s="417">
        <v>53250</v>
      </c>
      <c r="F611" s="417">
        <v>-21512</v>
      </c>
      <c r="G611" s="417">
        <v>-75358</v>
      </c>
      <c r="H611" s="417">
        <v>-269665</v>
      </c>
      <c r="I611" s="417">
        <v>0</v>
      </c>
      <c r="J611" s="378">
        <v>4.0220000000000002E-4</v>
      </c>
      <c r="K611" s="378"/>
      <c r="L611" s="417">
        <v>98462</v>
      </c>
      <c r="M611" s="417">
        <v>68001</v>
      </c>
      <c r="N611" s="417">
        <v>29768</v>
      </c>
      <c r="O611" s="417">
        <v>0</v>
      </c>
      <c r="P611" s="417">
        <v>0</v>
      </c>
      <c r="Q611" s="378">
        <v>4.0220000000000002E-4</v>
      </c>
      <c r="R611" s="378"/>
      <c r="S611" s="417">
        <v>-202052</v>
      </c>
      <c r="T611" s="417">
        <v>-199714</v>
      </c>
      <c r="U611" s="417">
        <v>-209808</v>
      </c>
      <c r="V611" s="417">
        <v>-269665</v>
      </c>
      <c r="W611" s="417">
        <v>0</v>
      </c>
      <c r="X611" s="378">
        <v>4.0220000000000002E-4</v>
      </c>
      <c r="Z611" s="417">
        <v>161122</v>
      </c>
      <c r="AA611" s="417">
        <v>113197</v>
      </c>
      <c r="AB611" s="417">
        <v>113196</v>
      </c>
      <c r="AC611" s="417">
        <v>0</v>
      </c>
      <c r="AD611" s="417">
        <v>0</v>
      </c>
      <c r="AE611" s="378">
        <v>4.0220000000000002E-4</v>
      </c>
      <c r="AF611" s="378"/>
      <c r="AG611" s="417">
        <v>5523</v>
      </c>
      <c r="AH611" s="417">
        <v>5520</v>
      </c>
      <c r="AI611" s="417">
        <v>0</v>
      </c>
      <c r="AJ611" s="417">
        <v>0</v>
      </c>
      <c r="AK611" s="417">
        <v>0</v>
      </c>
      <c r="AL611" s="378">
        <v>4.0220000000000002E-4</v>
      </c>
      <c r="AM611" s="378"/>
      <c r="AN611" s="417">
        <v>-9805</v>
      </c>
      <c r="AO611" s="417">
        <v>-8516</v>
      </c>
      <c r="AP611" s="417">
        <v>-8514</v>
      </c>
      <c r="AQ611" s="417">
        <v>0</v>
      </c>
      <c r="AR611" s="417">
        <v>0</v>
      </c>
    </row>
    <row r="612" spans="1:44">
      <c r="A612" s="377">
        <v>96601</v>
      </c>
      <c r="B612" t="s">
        <v>1312</v>
      </c>
      <c r="C612" s="378">
        <v>1.5223999999999999E-3</v>
      </c>
      <c r="D612" s="378"/>
      <c r="E612" s="417">
        <v>127142</v>
      </c>
      <c r="F612" s="417">
        <v>-141647</v>
      </c>
      <c r="G612" s="417">
        <v>-280833</v>
      </c>
      <c r="H612" s="417">
        <v>-1020730</v>
      </c>
      <c r="I612" s="417">
        <v>0</v>
      </c>
      <c r="J612" s="378">
        <v>1.5223999999999999E-3</v>
      </c>
      <c r="K612" s="378"/>
      <c r="L612" s="417">
        <v>372696</v>
      </c>
      <c r="M612" s="417">
        <v>257395</v>
      </c>
      <c r="N612" s="417">
        <v>112676</v>
      </c>
      <c r="O612" s="417">
        <v>0</v>
      </c>
      <c r="P612" s="417">
        <v>0</v>
      </c>
      <c r="Q612" s="378">
        <v>1.5223999999999999E-3</v>
      </c>
      <c r="R612" s="378"/>
      <c r="S612" s="417">
        <v>-764805</v>
      </c>
      <c r="T612" s="417">
        <v>-755955</v>
      </c>
      <c r="U612" s="417">
        <v>-794161</v>
      </c>
      <c r="V612" s="417">
        <v>-1020730</v>
      </c>
      <c r="W612" s="417">
        <v>0</v>
      </c>
      <c r="X612" s="378">
        <v>1.5223999999999999E-3</v>
      </c>
      <c r="Z612" s="417">
        <v>609876</v>
      </c>
      <c r="AA612" s="417">
        <v>428472</v>
      </c>
      <c r="AB612" s="417">
        <v>428469</v>
      </c>
      <c r="AC612" s="417">
        <v>0</v>
      </c>
      <c r="AD612" s="417">
        <v>0</v>
      </c>
      <c r="AE612" s="378">
        <v>1.5223999999999999E-3</v>
      </c>
      <c r="AF612" s="378"/>
      <c r="AG612" s="417">
        <v>3683</v>
      </c>
      <c r="AH612" s="417">
        <v>3685</v>
      </c>
      <c r="AI612" s="417">
        <v>0</v>
      </c>
      <c r="AJ612" s="417">
        <v>0</v>
      </c>
      <c r="AK612" s="417">
        <v>0</v>
      </c>
      <c r="AL612" s="378">
        <v>1.5223999999999999E-3</v>
      </c>
      <c r="AM612" s="378"/>
      <c r="AN612" s="417">
        <v>-94308</v>
      </c>
      <c r="AO612" s="417">
        <v>-75244</v>
      </c>
      <c r="AP612" s="417">
        <v>-27817</v>
      </c>
      <c r="AQ612" s="417">
        <v>0</v>
      </c>
      <c r="AR612" s="417">
        <v>0</v>
      </c>
    </row>
    <row r="613" spans="1:44">
      <c r="A613" s="377">
        <v>96604</v>
      </c>
      <c r="B613" t="s">
        <v>1313</v>
      </c>
      <c r="C613" s="378">
        <v>4.4000000000000002E-6</v>
      </c>
      <c r="D613" s="378"/>
      <c r="E613" s="417">
        <v>2023</v>
      </c>
      <c r="F613" s="417">
        <v>1119</v>
      </c>
      <c r="G613" s="417">
        <v>-53</v>
      </c>
      <c r="H613" s="417">
        <v>-2950</v>
      </c>
      <c r="I613" s="417">
        <v>0</v>
      </c>
      <c r="J613" s="378">
        <v>4.4000000000000002E-6</v>
      </c>
      <c r="K613" s="378"/>
      <c r="L613" s="417">
        <v>1077</v>
      </c>
      <c r="M613" s="417">
        <v>744</v>
      </c>
      <c r="N613" s="417">
        <v>326</v>
      </c>
      <c r="O613" s="417">
        <v>0</v>
      </c>
      <c r="P613" s="417">
        <v>0</v>
      </c>
      <c r="Q613" s="378">
        <v>4.4000000000000002E-6</v>
      </c>
      <c r="R613" s="378"/>
      <c r="S613" s="417">
        <v>-2210</v>
      </c>
      <c r="T613" s="417">
        <v>-2185</v>
      </c>
      <c r="U613" s="417">
        <v>-2295</v>
      </c>
      <c r="V613" s="417">
        <v>-2950</v>
      </c>
      <c r="W613" s="417">
        <v>0</v>
      </c>
      <c r="X613" s="378">
        <v>4.4000000000000002E-6</v>
      </c>
      <c r="Z613" s="417">
        <v>1763</v>
      </c>
      <c r="AA613" s="417">
        <v>1238</v>
      </c>
      <c r="AB613" s="417">
        <v>1238</v>
      </c>
      <c r="AC613" s="417">
        <v>0</v>
      </c>
      <c r="AD613" s="417">
        <v>0</v>
      </c>
      <c r="AE613" s="378">
        <v>4.4000000000000002E-6</v>
      </c>
      <c r="AF613" s="378"/>
      <c r="AG613" s="417">
        <v>1393</v>
      </c>
      <c r="AH613" s="417">
        <v>1322</v>
      </c>
      <c r="AI613" s="417">
        <v>678</v>
      </c>
      <c r="AJ613" s="417">
        <v>0</v>
      </c>
      <c r="AK613" s="417">
        <v>0</v>
      </c>
      <c r="AL613" s="378">
        <v>4.4000000000000002E-6</v>
      </c>
      <c r="AM613" s="378"/>
      <c r="AN613" s="417">
        <v>0</v>
      </c>
      <c r="AO613" s="417">
        <v>0</v>
      </c>
      <c r="AP613" s="417">
        <v>0</v>
      </c>
      <c r="AQ613" s="417">
        <v>0</v>
      </c>
      <c r="AR613" s="417">
        <v>0</v>
      </c>
    </row>
    <row r="614" spans="1:44">
      <c r="A614" s="377">
        <v>96611</v>
      </c>
      <c r="B614" t="s">
        <v>1314</v>
      </c>
      <c r="C614" s="378">
        <v>1.2799999999999999E-5</v>
      </c>
      <c r="D614" s="378"/>
      <c r="E614" s="417">
        <v>-316</v>
      </c>
      <c r="F614" s="417">
        <v>-2207</v>
      </c>
      <c r="G614" s="417">
        <v>-5423</v>
      </c>
      <c r="H614" s="417">
        <v>-8582</v>
      </c>
      <c r="I614" s="417">
        <v>0</v>
      </c>
      <c r="J614" s="378">
        <v>1.2799999999999999E-5</v>
      </c>
      <c r="K614" s="378"/>
      <c r="L614" s="417">
        <v>3134</v>
      </c>
      <c r="M614" s="417">
        <v>2164</v>
      </c>
      <c r="N614" s="417">
        <v>947</v>
      </c>
      <c r="O614" s="417">
        <v>0</v>
      </c>
      <c r="P614" s="417">
        <v>0</v>
      </c>
      <c r="Q614" s="378">
        <v>1.2799999999999999E-5</v>
      </c>
      <c r="R614" s="378"/>
      <c r="S614" s="417">
        <v>-6430</v>
      </c>
      <c r="T614" s="417">
        <v>-6356</v>
      </c>
      <c r="U614" s="417">
        <v>-6677</v>
      </c>
      <c r="V614" s="417">
        <v>-8582</v>
      </c>
      <c r="W614" s="417">
        <v>0</v>
      </c>
      <c r="X614" s="378">
        <v>1.2799999999999999E-5</v>
      </c>
      <c r="Z614" s="417">
        <v>5128</v>
      </c>
      <c r="AA614" s="417">
        <v>3602</v>
      </c>
      <c r="AB614" s="417">
        <v>3602</v>
      </c>
      <c r="AC614" s="417">
        <v>0</v>
      </c>
      <c r="AD614" s="417">
        <v>0</v>
      </c>
      <c r="AE614" s="378">
        <v>1.2799999999999999E-5</v>
      </c>
      <c r="AF614" s="378"/>
      <c r="AG614" s="417">
        <v>2729</v>
      </c>
      <c r="AH614" s="417">
        <v>2729</v>
      </c>
      <c r="AI614" s="417">
        <v>0</v>
      </c>
      <c r="AJ614" s="417">
        <v>0</v>
      </c>
      <c r="AK614" s="417">
        <v>0</v>
      </c>
      <c r="AL614" s="378">
        <v>1.2799999999999999E-5</v>
      </c>
      <c r="AM614" s="378"/>
      <c r="AN614" s="417">
        <v>-4877</v>
      </c>
      <c r="AO614" s="417">
        <v>-4346</v>
      </c>
      <c r="AP614" s="417">
        <v>-3295</v>
      </c>
      <c r="AQ614" s="417">
        <v>0</v>
      </c>
      <c r="AR614" s="417">
        <v>0</v>
      </c>
    </row>
    <row r="615" spans="1:44">
      <c r="A615" s="377">
        <v>96612</v>
      </c>
      <c r="B615" t="s">
        <v>1315</v>
      </c>
      <c r="C615" s="378">
        <v>4.6300000000000001E-5</v>
      </c>
      <c r="D615" s="378"/>
      <c r="E615" s="417">
        <v>10782</v>
      </c>
      <c r="F615" s="417">
        <v>2593</v>
      </c>
      <c r="G615" s="417">
        <v>-4089</v>
      </c>
      <c r="H615" s="417">
        <v>-31043</v>
      </c>
      <c r="I615" s="417">
        <v>0</v>
      </c>
      <c r="J615" s="378">
        <v>4.6300000000000001E-5</v>
      </c>
      <c r="K615" s="378"/>
      <c r="L615" s="417">
        <v>11335</v>
      </c>
      <c r="M615" s="417">
        <v>7828</v>
      </c>
      <c r="N615" s="417">
        <v>3427</v>
      </c>
      <c r="O615" s="417">
        <v>0</v>
      </c>
      <c r="P615" s="417">
        <v>0</v>
      </c>
      <c r="Q615" s="378">
        <v>4.6300000000000001E-5</v>
      </c>
      <c r="R615" s="378"/>
      <c r="S615" s="417">
        <v>-23260</v>
      </c>
      <c r="T615" s="417">
        <v>-22990</v>
      </c>
      <c r="U615" s="417">
        <v>-24152</v>
      </c>
      <c r="V615" s="417">
        <v>-31043</v>
      </c>
      <c r="W615" s="417">
        <v>0</v>
      </c>
      <c r="X615" s="378">
        <v>4.6300000000000001E-5</v>
      </c>
      <c r="Z615" s="417">
        <v>18548</v>
      </c>
      <c r="AA615" s="417">
        <v>13031</v>
      </c>
      <c r="AB615" s="417">
        <v>13031</v>
      </c>
      <c r="AC615" s="417">
        <v>0</v>
      </c>
      <c r="AD615" s="417">
        <v>0</v>
      </c>
      <c r="AE615" s="378">
        <v>4.6300000000000001E-5</v>
      </c>
      <c r="AF615" s="378"/>
      <c r="AG615" s="417">
        <v>5469</v>
      </c>
      <c r="AH615" s="417">
        <v>5469</v>
      </c>
      <c r="AI615" s="417">
        <v>3605</v>
      </c>
      <c r="AJ615" s="417">
        <v>0</v>
      </c>
      <c r="AK615" s="417">
        <v>0</v>
      </c>
      <c r="AL615" s="378">
        <v>4.6300000000000001E-5</v>
      </c>
      <c r="AM615" s="378"/>
      <c r="AN615" s="417">
        <v>-1310</v>
      </c>
      <c r="AO615" s="417">
        <v>-745</v>
      </c>
      <c r="AP615" s="417">
        <v>0</v>
      </c>
      <c r="AQ615" s="417">
        <v>0</v>
      </c>
      <c r="AR615" s="417">
        <v>0</v>
      </c>
    </row>
    <row r="616" spans="1:44">
      <c r="A616" s="377">
        <v>96621</v>
      </c>
      <c r="B616" t="s">
        <v>1316</v>
      </c>
      <c r="C616" s="378">
        <v>2.48E-5</v>
      </c>
      <c r="D616" s="378"/>
      <c r="E616" s="417">
        <v>8221</v>
      </c>
      <c r="F616" s="417">
        <v>4105</v>
      </c>
      <c r="G616" s="417">
        <v>512</v>
      </c>
      <c r="H616" s="417">
        <v>-16628</v>
      </c>
      <c r="I616" s="417">
        <v>0</v>
      </c>
      <c r="J616" s="378">
        <v>2.48E-5</v>
      </c>
      <c r="K616" s="378"/>
      <c r="L616" s="417">
        <v>6071</v>
      </c>
      <c r="M616" s="417">
        <v>4193</v>
      </c>
      <c r="N616" s="417">
        <v>1835</v>
      </c>
      <c r="O616" s="417">
        <v>0</v>
      </c>
      <c r="P616" s="417">
        <v>0</v>
      </c>
      <c r="Q616" s="378">
        <v>2.48E-5</v>
      </c>
      <c r="R616" s="378"/>
      <c r="S616" s="417">
        <v>-12459</v>
      </c>
      <c r="T616" s="417">
        <v>-12315</v>
      </c>
      <c r="U616" s="417">
        <v>-12937</v>
      </c>
      <c r="V616" s="417">
        <v>-16628</v>
      </c>
      <c r="W616" s="417">
        <v>0</v>
      </c>
      <c r="X616" s="378">
        <v>2.48E-5</v>
      </c>
      <c r="Z616" s="417">
        <v>9935</v>
      </c>
      <c r="AA616" s="417">
        <v>6980</v>
      </c>
      <c r="AB616" s="417">
        <v>6980</v>
      </c>
      <c r="AC616" s="417">
        <v>0</v>
      </c>
      <c r="AD616" s="417">
        <v>0</v>
      </c>
      <c r="AE616" s="378">
        <v>2.48E-5</v>
      </c>
      <c r="AF616" s="378"/>
      <c r="AG616" s="417">
        <v>5247</v>
      </c>
      <c r="AH616" s="417">
        <v>5247</v>
      </c>
      <c r="AI616" s="417">
        <v>4634</v>
      </c>
      <c r="AJ616" s="417">
        <v>0</v>
      </c>
      <c r="AK616" s="417">
        <v>0</v>
      </c>
      <c r="AL616" s="378">
        <v>2.48E-5</v>
      </c>
      <c r="AM616" s="378"/>
      <c r="AN616" s="417">
        <v>-573</v>
      </c>
      <c r="AO616" s="417">
        <v>0</v>
      </c>
      <c r="AP616" s="417">
        <v>0</v>
      </c>
      <c r="AQ616" s="417">
        <v>0</v>
      </c>
      <c r="AR616" s="417">
        <v>0</v>
      </c>
    </row>
    <row r="617" spans="1:44">
      <c r="A617" s="377">
        <v>96631</v>
      </c>
      <c r="B617" t="s">
        <v>1317</v>
      </c>
      <c r="C617" s="378">
        <v>2.4700000000000001E-5</v>
      </c>
      <c r="D617" s="378"/>
      <c r="E617" s="417">
        <v>5140</v>
      </c>
      <c r="F617" s="417">
        <v>542</v>
      </c>
      <c r="G617" s="417">
        <v>-2967</v>
      </c>
      <c r="H617" s="417">
        <v>-16561</v>
      </c>
      <c r="I617" s="417">
        <v>0</v>
      </c>
      <c r="J617" s="378">
        <v>2.4700000000000001E-5</v>
      </c>
      <c r="K617" s="378"/>
      <c r="L617" s="417">
        <v>6047</v>
      </c>
      <c r="M617" s="417">
        <v>4176</v>
      </c>
      <c r="N617" s="417">
        <v>1828</v>
      </c>
      <c r="O617" s="417">
        <v>0</v>
      </c>
      <c r="P617" s="417">
        <v>0</v>
      </c>
      <c r="Q617" s="378">
        <v>2.4700000000000001E-5</v>
      </c>
      <c r="R617" s="378"/>
      <c r="S617" s="417">
        <v>-12408</v>
      </c>
      <c r="T617" s="417">
        <v>-12265</v>
      </c>
      <c r="U617" s="417">
        <v>-12885</v>
      </c>
      <c r="V617" s="417">
        <v>-16561</v>
      </c>
      <c r="W617" s="417">
        <v>0</v>
      </c>
      <c r="X617" s="378">
        <v>2.4700000000000001E-5</v>
      </c>
      <c r="Z617" s="417">
        <v>9895</v>
      </c>
      <c r="AA617" s="417">
        <v>6952</v>
      </c>
      <c r="AB617" s="417">
        <v>6952</v>
      </c>
      <c r="AC617" s="417">
        <v>0</v>
      </c>
      <c r="AD617" s="417">
        <v>0</v>
      </c>
      <c r="AE617" s="378">
        <v>2.4700000000000001E-5</v>
      </c>
      <c r="AF617" s="378"/>
      <c r="AG617" s="417">
        <v>1811</v>
      </c>
      <c r="AH617" s="417">
        <v>1812</v>
      </c>
      <c r="AI617" s="417">
        <v>1138</v>
      </c>
      <c r="AJ617" s="417">
        <v>0</v>
      </c>
      <c r="AK617" s="417">
        <v>0</v>
      </c>
      <c r="AL617" s="378">
        <v>2.4700000000000001E-5</v>
      </c>
      <c r="AM617" s="378"/>
      <c r="AN617" s="417">
        <v>-205</v>
      </c>
      <c r="AO617" s="417">
        <v>-133</v>
      </c>
      <c r="AP617" s="417">
        <v>0</v>
      </c>
      <c r="AQ617" s="417">
        <v>0</v>
      </c>
      <c r="AR617" s="417">
        <v>0</v>
      </c>
    </row>
    <row r="618" spans="1:44">
      <c r="A618" s="377">
        <v>96641</v>
      </c>
      <c r="B618" t="s">
        <v>1318</v>
      </c>
      <c r="C618" s="378">
        <v>4.1E-5</v>
      </c>
      <c r="D618" s="378"/>
      <c r="E618" s="417">
        <v>16254</v>
      </c>
      <c r="F618" s="417">
        <v>7257</v>
      </c>
      <c r="G618" s="417">
        <v>206</v>
      </c>
      <c r="H618" s="417">
        <v>-27489</v>
      </c>
      <c r="I618" s="417">
        <v>0</v>
      </c>
      <c r="J618" s="378">
        <v>4.1E-5</v>
      </c>
      <c r="K618" s="378"/>
      <c r="L618" s="417">
        <v>10037</v>
      </c>
      <c r="M618" s="417">
        <v>6932</v>
      </c>
      <c r="N618" s="417">
        <v>3034</v>
      </c>
      <c r="O618" s="417">
        <v>0</v>
      </c>
      <c r="P618" s="417">
        <v>0</v>
      </c>
      <c r="Q618" s="378">
        <v>4.1E-5</v>
      </c>
      <c r="R618" s="378"/>
      <c r="S618" s="417">
        <v>-20597</v>
      </c>
      <c r="T618" s="417">
        <v>-20359</v>
      </c>
      <c r="U618" s="417">
        <v>-21388</v>
      </c>
      <c r="V618" s="417">
        <v>-27489</v>
      </c>
      <c r="W618" s="417">
        <v>0</v>
      </c>
      <c r="X618" s="378">
        <v>4.1E-5</v>
      </c>
      <c r="Z618" s="417">
        <v>16425</v>
      </c>
      <c r="AA618" s="417">
        <v>11539</v>
      </c>
      <c r="AB618" s="417">
        <v>11539</v>
      </c>
      <c r="AC618" s="417">
        <v>0</v>
      </c>
      <c r="AD618" s="417">
        <v>0</v>
      </c>
      <c r="AE618" s="378">
        <v>4.1E-5</v>
      </c>
      <c r="AF618" s="378"/>
      <c r="AG618" s="417">
        <v>10389</v>
      </c>
      <c r="AH618" s="417">
        <v>9145</v>
      </c>
      <c r="AI618" s="417">
        <v>7021</v>
      </c>
      <c r="AJ618" s="417">
        <v>0</v>
      </c>
      <c r="AK618" s="417">
        <v>0</v>
      </c>
      <c r="AL618" s="378">
        <v>4.1E-5</v>
      </c>
      <c r="AM618" s="378"/>
      <c r="AN618" s="417">
        <v>0</v>
      </c>
      <c r="AO618" s="417">
        <v>0</v>
      </c>
      <c r="AP618" s="417">
        <v>0</v>
      </c>
      <c r="AQ618" s="417">
        <v>0</v>
      </c>
      <c r="AR618" s="417">
        <v>0</v>
      </c>
    </row>
    <row r="619" spans="1:44">
      <c r="A619" s="377">
        <v>96651</v>
      </c>
      <c r="B619" t="s">
        <v>1319</v>
      </c>
      <c r="C619" s="378">
        <v>2.23E-5</v>
      </c>
      <c r="D619" s="378"/>
      <c r="E619" s="417">
        <v>6025</v>
      </c>
      <c r="F619" s="417">
        <v>1439</v>
      </c>
      <c r="G619" s="417">
        <v>230</v>
      </c>
      <c r="H619" s="417">
        <v>-14952</v>
      </c>
      <c r="I619" s="417">
        <v>0</v>
      </c>
      <c r="J619" s="378">
        <v>2.23E-5</v>
      </c>
      <c r="K619" s="378"/>
      <c r="L619" s="417">
        <v>5459</v>
      </c>
      <c r="M619" s="417">
        <v>3770</v>
      </c>
      <c r="N619" s="417">
        <v>1650</v>
      </c>
      <c r="O619" s="417">
        <v>0</v>
      </c>
      <c r="P619" s="417">
        <v>0</v>
      </c>
      <c r="Q619" s="378">
        <v>2.23E-5</v>
      </c>
      <c r="R619" s="378"/>
      <c r="S619" s="417">
        <v>-11203</v>
      </c>
      <c r="T619" s="417">
        <v>-11073</v>
      </c>
      <c r="U619" s="417">
        <v>-11633</v>
      </c>
      <c r="V619" s="417">
        <v>-14952</v>
      </c>
      <c r="W619" s="417">
        <v>0</v>
      </c>
      <c r="X619" s="378">
        <v>2.23E-5</v>
      </c>
      <c r="Z619" s="417">
        <v>8933</v>
      </c>
      <c r="AA619" s="417">
        <v>6276</v>
      </c>
      <c r="AB619" s="417">
        <v>6276</v>
      </c>
      <c r="AC619" s="417">
        <v>0</v>
      </c>
      <c r="AD619" s="417">
        <v>0</v>
      </c>
      <c r="AE619" s="378">
        <v>2.23E-5</v>
      </c>
      <c r="AF619" s="378"/>
      <c r="AG619" s="417">
        <v>4308</v>
      </c>
      <c r="AH619" s="417">
        <v>3936</v>
      </c>
      <c r="AI619" s="417">
        <v>3937</v>
      </c>
      <c r="AJ619" s="417">
        <v>0</v>
      </c>
      <c r="AK619" s="417">
        <v>0</v>
      </c>
      <c r="AL619" s="378">
        <v>2.23E-5</v>
      </c>
      <c r="AM619" s="378"/>
      <c r="AN619" s="417">
        <v>-1472</v>
      </c>
      <c r="AO619" s="417">
        <v>-1470</v>
      </c>
      <c r="AP619" s="417">
        <v>0</v>
      </c>
      <c r="AQ619" s="417">
        <v>0</v>
      </c>
      <c r="AR619" s="417">
        <v>0</v>
      </c>
    </row>
    <row r="620" spans="1:44">
      <c r="A620" s="377">
        <v>96661</v>
      </c>
      <c r="B620" t="s">
        <v>1320</v>
      </c>
      <c r="C620" s="378">
        <v>2.23E-5</v>
      </c>
      <c r="D620" s="378"/>
      <c r="E620" s="417">
        <v>4038</v>
      </c>
      <c r="F620" s="417">
        <v>-369</v>
      </c>
      <c r="G620" s="417">
        <v>-5797</v>
      </c>
      <c r="H620" s="417">
        <v>-14952</v>
      </c>
      <c r="I620" s="417">
        <v>0</v>
      </c>
      <c r="J620" s="378">
        <v>2.23E-5</v>
      </c>
      <c r="K620" s="378"/>
      <c r="L620" s="417">
        <v>5459</v>
      </c>
      <c r="M620" s="417">
        <v>3770</v>
      </c>
      <c r="N620" s="417">
        <v>1650</v>
      </c>
      <c r="O620" s="417">
        <v>0</v>
      </c>
      <c r="P620" s="417">
        <v>0</v>
      </c>
      <c r="Q620" s="378">
        <v>2.23E-5</v>
      </c>
      <c r="R620" s="378"/>
      <c r="S620" s="417">
        <v>-11203</v>
      </c>
      <c r="T620" s="417">
        <v>-11073</v>
      </c>
      <c r="U620" s="417">
        <v>-11633</v>
      </c>
      <c r="V620" s="417">
        <v>-14952</v>
      </c>
      <c r="W620" s="417">
        <v>0</v>
      </c>
      <c r="X620" s="378">
        <v>2.23E-5</v>
      </c>
      <c r="Z620" s="417">
        <v>8933</v>
      </c>
      <c r="AA620" s="417">
        <v>6276</v>
      </c>
      <c r="AB620" s="417">
        <v>6276</v>
      </c>
      <c r="AC620" s="417">
        <v>0</v>
      </c>
      <c r="AD620" s="417">
        <v>0</v>
      </c>
      <c r="AE620" s="378">
        <v>2.23E-5</v>
      </c>
      <c r="AF620" s="378"/>
      <c r="AG620" s="417">
        <v>2982</v>
      </c>
      <c r="AH620" s="417">
        <v>2792</v>
      </c>
      <c r="AI620" s="417">
        <v>0</v>
      </c>
      <c r="AJ620" s="417">
        <v>0</v>
      </c>
      <c r="AK620" s="417">
        <v>0</v>
      </c>
      <c r="AL620" s="378">
        <v>2.23E-5</v>
      </c>
      <c r="AM620" s="378"/>
      <c r="AN620" s="417">
        <v>-2133</v>
      </c>
      <c r="AO620" s="417">
        <v>-2134</v>
      </c>
      <c r="AP620" s="417">
        <v>-2090</v>
      </c>
      <c r="AQ620" s="417">
        <v>0</v>
      </c>
      <c r="AR620" s="417">
        <v>0</v>
      </c>
    </row>
    <row r="621" spans="1:44">
      <c r="A621" s="377">
        <v>96671</v>
      </c>
      <c r="B621" t="s">
        <v>1321</v>
      </c>
      <c r="C621" s="378">
        <v>1.42E-5</v>
      </c>
      <c r="D621" s="378"/>
      <c r="E621" s="417">
        <v>5389</v>
      </c>
      <c r="F621" s="417">
        <v>2469</v>
      </c>
      <c r="G621" s="417">
        <v>-1058</v>
      </c>
      <c r="H621" s="417">
        <v>-9521</v>
      </c>
      <c r="I621" s="417">
        <v>0</v>
      </c>
      <c r="J621" s="378">
        <v>1.42E-5</v>
      </c>
      <c r="K621" s="378"/>
      <c r="L621" s="417">
        <v>3476</v>
      </c>
      <c r="M621" s="417">
        <v>2401</v>
      </c>
      <c r="N621" s="417">
        <v>1051</v>
      </c>
      <c r="O621" s="417">
        <v>0</v>
      </c>
      <c r="P621" s="417">
        <v>0</v>
      </c>
      <c r="Q621" s="378">
        <v>1.42E-5</v>
      </c>
      <c r="R621" s="378"/>
      <c r="S621" s="417">
        <v>-7134</v>
      </c>
      <c r="T621" s="417">
        <v>-7051</v>
      </c>
      <c r="U621" s="417">
        <v>-7407</v>
      </c>
      <c r="V621" s="417">
        <v>-9521</v>
      </c>
      <c r="W621" s="417">
        <v>0</v>
      </c>
      <c r="X621" s="378">
        <v>1.42E-5</v>
      </c>
      <c r="Z621" s="417">
        <v>5689</v>
      </c>
      <c r="AA621" s="417">
        <v>3997</v>
      </c>
      <c r="AB621" s="417">
        <v>3996</v>
      </c>
      <c r="AC621" s="417">
        <v>0</v>
      </c>
      <c r="AD621" s="417">
        <v>0</v>
      </c>
      <c r="AE621" s="378">
        <v>1.42E-5</v>
      </c>
      <c r="AF621" s="378"/>
      <c r="AG621" s="417">
        <v>3358</v>
      </c>
      <c r="AH621" s="417">
        <v>3122</v>
      </c>
      <c r="AI621" s="417">
        <v>1302</v>
      </c>
      <c r="AJ621" s="417">
        <v>0</v>
      </c>
      <c r="AK621" s="417">
        <v>0</v>
      </c>
      <c r="AL621" s="378">
        <v>1.42E-5</v>
      </c>
      <c r="AM621" s="378"/>
      <c r="AN621" s="417">
        <v>0</v>
      </c>
      <c r="AO621" s="417">
        <v>0</v>
      </c>
      <c r="AP621" s="417">
        <v>0</v>
      </c>
      <c r="AQ621" s="417">
        <v>0</v>
      </c>
      <c r="AR621" s="417">
        <v>0</v>
      </c>
    </row>
    <row r="622" spans="1:44">
      <c r="A622" s="377">
        <v>96681</v>
      </c>
      <c r="B622" t="s">
        <v>1322</v>
      </c>
      <c r="C622" s="378">
        <v>2.0999999999999999E-5</v>
      </c>
      <c r="D622" s="378"/>
      <c r="E622" s="417">
        <v>7720</v>
      </c>
      <c r="F622" s="417">
        <v>2114</v>
      </c>
      <c r="G622" s="417">
        <v>22</v>
      </c>
      <c r="H622" s="417">
        <v>-14080</v>
      </c>
      <c r="I622" s="417">
        <v>0</v>
      </c>
      <c r="J622" s="378">
        <v>2.0999999999999999E-5</v>
      </c>
      <c r="K622" s="378"/>
      <c r="L622" s="417">
        <v>5141</v>
      </c>
      <c r="M622" s="417">
        <v>3551</v>
      </c>
      <c r="N622" s="417">
        <v>1554</v>
      </c>
      <c r="O622" s="417">
        <v>0</v>
      </c>
      <c r="P622" s="417">
        <v>0</v>
      </c>
      <c r="Q622" s="378">
        <v>2.0999999999999999E-5</v>
      </c>
      <c r="R622" s="378"/>
      <c r="S622" s="417">
        <v>-10550</v>
      </c>
      <c r="T622" s="417">
        <v>-10428</v>
      </c>
      <c r="U622" s="417">
        <v>-10955</v>
      </c>
      <c r="V622" s="417">
        <v>-14080</v>
      </c>
      <c r="W622" s="417">
        <v>0</v>
      </c>
      <c r="X622" s="378">
        <v>2.0999999999999999E-5</v>
      </c>
      <c r="Z622" s="417">
        <v>8413</v>
      </c>
      <c r="AA622" s="417">
        <v>5910</v>
      </c>
      <c r="AB622" s="417">
        <v>5910</v>
      </c>
      <c r="AC622" s="417">
        <v>0</v>
      </c>
      <c r="AD622" s="417">
        <v>0</v>
      </c>
      <c r="AE622" s="378">
        <v>2.0999999999999999E-5</v>
      </c>
      <c r="AF622" s="378"/>
      <c r="AG622" s="417">
        <v>6581</v>
      </c>
      <c r="AH622" s="417">
        <v>4944</v>
      </c>
      <c r="AI622" s="417">
        <v>3513</v>
      </c>
      <c r="AJ622" s="417">
        <v>0</v>
      </c>
      <c r="AK622" s="417">
        <v>0</v>
      </c>
      <c r="AL622" s="378">
        <v>2.0999999999999999E-5</v>
      </c>
      <c r="AM622" s="378"/>
      <c r="AN622" s="417">
        <v>-1865</v>
      </c>
      <c r="AO622" s="417">
        <v>-1863</v>
      </c>
      <c r="AP622" s="417">
        <v>0</v>
      </c>
      <c r="AQ622" s="417">
        <v>0</v>
      </c>
      <c r="AR622" s="417">
        <v>0</v>
      </c>
    </row>
    <row r="623" spans="1:44">
      <c r="A623" s="377">
        <v>96701</v>
      </c>
      <c r="B623" t="s">
        <v>1323</v>
      </c>
      <c r="C623" s="378">
        <v>7.8210999999999992E-3</v>
      </c>
      <c r="D623" s="378"/>
      <c r="E623" s="417">
        <v>575431</v>
      </c>
      <c r="F623" s="417">
        <v>-879652</v>
      </c>
      <c r="G623" s="417">
        <v>-1450477</v>
      </c>
      <c r="H623" s="417">
        <v>-5243844</v>
      </c>
      <c r="I623" s="417">
        <v>0</v>
      </c>
      <c r="J623" s="378">
        <v>7.8210999999999992E-3</v>
      </c>
      <c r="K623" s="378"/>
      <c r="L623" s="417">
        <v>1914668</v>
      </c>
      <c r="M623" s="417">
        <v>1322329</v>
      </c>
      <c r="N623" s="417">
        <v>578855</v>
      </c>
      <c r="O623" s="417">
        <v>0</v>
      </c>
      <c r="P623" s="417">
        <v>0</v>
      </c>
      <c r="Q623" s="378">
        <v>7.8210999999999992E-3</v>
      </c>
      <c r="R623" s="378"/>
      <c r="S623" s="417">
        <v>-3929070</v>
      </c>
      <c r="T623" s="417">
        <v>-3883606</v>
      </c>
      <c r="U623" s="417">
        <v>-4079885</v>
      </c>
      <c r="V623" s="417">
        <v>-5243844</v>
      </c>
      <c r="W623" s="417">
        <v>0</v>
      </c>
      <c r="X623" s="378">
        <v>7.8210999999999992E-3</v>
      </c>
      <c r="Z623" s="417">
        <v>3133148</v>
      </c>
      <c r="AA623" s="417">
        <v>2201209</v>
      </c>
      <c r="AB623" s="417">
        <v>2201194</v>
      </c>
      <c r="AC623" s="417">
        <v>0</v>
      </c>
      <c r="AD623" s="417">
        <v>0</v>
      </c>
      <c r="AE623" s="378">
        <v>7.8210999999999992E-3</v>
      </c>
      <c r="AF623" s="378"/>
      <c r="AG623" s="417">
        <v>0</v>
      </c>
      <c r="AH623" s="417">
        <v>0</v>
      </c>
      <c r="AI623" s="417">
        <v>0</v>
      </c>
      <c r="AJ623" s="417">
        <v>0</v>
      </c>
      <c r="AK623" s="417">
        <v>0</v>
      </c>
      <c r="AL623" s="378">
        <v>7.8210999999999992E-3</v>
      </c>
      <c r="AM623" s="378"/>
      <c r="AN623" s="417">
        <v>-543315</v>
      </c>
      <c r="AO623" s="417">
        <v>-519584</v>
      </c>
      <c r="AP623" s="417">
        <v>-150641</v>
      </c>
      <c r="AQ623" s="417">
        <v>0</v>
      </c>
      <c r="AR623" s="417">
        <v>0</v>
      </c>
    </row>
    <row r="624" spans="1:44">
      <c r="A624" s="377">
        <v>96704</v>
      </c>
      <c r="B624" t="s">
        <v>1324</v>
      </c>
      <c r="C624" s="378">
        <v>2.2550000000000001E-4</v>
      </c>
      <c r="D624" s="378"/>
      <c r="E624" s="417">
        <v>81228</v>
      </c>
      <c r="F624" s="417">
        <v>33857</v>
      </c>
      <c r="G624" s="417">
        <v>-13170</v>
      </c>
      <c r="H624" s="417">
        <v>-151192</v>
      </c>
      <c r="I624" s="417">
        <v>0</v>
      </c>
      <c r="J624" s="378">
        <v>2.2550000000000001E-4</v>
      </c>
      <c r="K624" s="378"/>
      <c r="L624" s="417">
        <v>55204</v>
      </c>
      <c r="M624" s="417">
        <v>38126</v>
      </c>
      <c r="N624" s="417">
        <v>16690</v>
      </c>
      <c r="O624" s="417">
        <v>0</v>
      </c>
      <c r="P624" s="417">
        <v>0</v>
      </c>
      <c r="Q624" s="378">
        <v>2.2550000000000001E-4</v>
      </c>
      <c r="R624" s="378"/>
      <c r="S624" s="417">
        <v>-113284</v>
      </c>
      <c r="T624" s="417">
        <v>-111973</v>
      </c>
      <c r="U624" s="417">
        <v>-117632</v>
      </c>
      <c r="V624" s="417">
        <v>-151192</v>
      </c>
      <c r="W624" s="417">
        <v>0</v>
      </c>
      <c r="X624" s="378">
        <v>2.2550000000000001E-4</v>
      </c>
      <c r="Z624" s="417">
        <v>90336</v>
      </c>
      <c r="AA624" s="417">
        <v>63466</v>
      </c>
      <c r="AB624" s="417">
        <v>63465</v>
      </c>
      <c r="AC624" s="417">
        <v>0</v>
      </c>
      <c r="AD624" s="417">
        <v>0</v>
      </c>
      <c r="AE624" s="378">
        <v>2.2550000000000001E-4</v>
      </c>
      <c r="AF624" s="378"/>
      <c r="AG624" s="417">
        <v>48972</v>
      </c>
      <c r="AH624" s="417">
        <v>44238</v>
      </c>
      <c r="AI624" s="417">
        <v>24307</v>
      </c>
      <c r="AJ624" s="417">
        <v>0</v>
      </c>
      <c r="AK624" s="417">
        <v>0</v>
      </c>
      <c r="AL624" s="378">
        <v>2.2550000000000001E-4</v>
      </c>
      <c r="AM624" s="378"/>
      <c r="AN624" s="417">
        <v>0</v>
      </c>
      <c r="AO624" s="417">
        <v>0</v>
      </c>
      <c r="AP624" s="417">
        <v>0</v>
      </c>
      <c r="AQ624" s="417">
        <v>0</v>
      </c>
      <c r="AR624" s="417">
        <v>0</v>
      </c>
    </row>
    <row r="625" spans="1:44">
      <c r="A625" s="377">
        <v>96708</v>
      </c>
      <c r="B625" t="s">
        <v>1325</v>
      </c>
      <c r="C625" s="378">
        <v>8.4489999999999999E-4</v>
      </c>
      <c r="D625" s="378"/>
      <c r="E625" s="417">
        <v>128380</v>
      </c>
      <c r="F625" s="417">
        <v>-37695</v>
      </c>
      <c r="G625" s="417">
        <v>-135864</v>
      </c>
      <c r="H625" s="417">
        <v>-566483</v>
      </c>
      <c r="I625" s="417">
        <v>0</v>
      </c>
      <c r="J625" s="378">
        <v>8.4489999999999999E-4</v>
      </c>
      <c r="K625" s="378"/>
      <c r="L625" s="417">
        <v>206838</v>
      </c>
      <c r="M625" s="417">
        <v>142849</v>
      </c>
      <c r="N625" s="417">
        <v>62533</v>
      </c>
      <c r="O625" s="417">
        <v>0</v>
      </c>
      <c r="P625" s="417">
        <v>0</v>
      </c>
      <c r="Q625" s="378">
        <v>8.4489999999999999E-4</v>
      </c>
      <c r="R625" s="378"/>
      <c r="S625" s="417">
        <v>-424451</v>
      </c>
      <c r="T625" s="417">
        <v>-419539</v>
      </c>
      <c r="U625" s="417">
        <v>-440743</v>
      </c>
      <c r="V625" s="417">
        <v>-566483</v>
      </c>
      <c r="W625" s="417">
        <v>0</v>
      </c>
      <c r="X625" s="378">
        <v>8.4489999999999999E-4</v>
      </c>
      <c r="Z625" s="417">
        <v>338469</v>
      </c>
      <c r="AA625" s="417">
        <v>237793</v>
      </c>
      <c r="AB625" s="417">
        <v>237791</v>
      </c>
      <c r="AC625" s="417">
        <v>0</v>
      </c>
      <c r="AD625" s="417">
        <v>0</v>
      </c>
      <c r="AE625" s="378">
        <v>8.4489999999999999E-4</v>
      </c>
      <c r="AF625" s="378"/>
      <c r="AG625" s="417">
        <v>19448</v>
      </c>
      <c r="AH625" s="417">
        <v>13126</v>
      </c>
      <c r="AI625" s="417">
        <v>4555</v>
      </c>
      <c r="AJ625" s="417">
        <v>0</v>
      </c>
      <c r="AK625" s="417">
        <v>0</v>
      </c>
      <c r="AL625" s="378">
        <v>8.4489999999999999E-4</v>
      </c>
      <c r="AM625" s="378"/>
      <c r="AN625" s="417">
        <v>-11924</v>
      </c>
      <c r="AO625" s="417">
        <v>-11924</v>
      </c>
      <c r="AP625" s="417">
        <v>0</v>
      </c>
      <c r="AQ625" s="417">
        <v>0</v>
      </c>
      <c r="AR625" s="417">
        <v>0</v>
      </c>
    </row>
    <row r="626" spans="1:44">
      <c r="A626" s="377">
        <v>96711</v>
      </c>
      <c r="B626" t="s">
        <v>1326</v>
      </c>
      <c r="C626" s="378">
        <v>3.7699000000000001E-3</v>
      </c>
      <c r="D626" s="378"/>
      <c r="E626" s="417">
        <v>415654</v>
      </c>
      <c r="F626" s="417">
        <v>-268164</v>
      </c>
      <c r="G626" s="417">
        <v>-712810</v>
      </c>
      <c r="H626" s="417">
        <v>-2527620</v>
      </c>
      <c r="I626" s="417">
        <v>0</v>
      </c>
      <c r="J626" s="378">
        <v>3.7699000000000001E-3</v>
      </c>
      <c r="K626" s="378"/>
      <c r="L626" s="417">
        <v>922902</v>
      </c>
      <c r="M626" s="417">
        <v>637385</v>
      </c>
      <c r="N626" s="417">
        <v>279018</v>
      </c>
      <c r="O626" s="417">
        <v>0</v>
      </c>
      <c r="P626" s="417">
        <v>0</v>
      </c>
      <c r="Q626" s="378">
        <v>3.7699000000000001E-3</v>
      </c>
      <c r="R626" s="378"/>
      <c r="S626" s="417">
        <v>-1893877</v>
      </c>
      <c r="T626" s="417">
        <v>-1871963</v>
      </c>
      <c r="U626" s="417">
        <v>-1966572</v>
      </c>
      <c r="V626" s="417">
        <v>-2527620</v>
      </c>
      <c r="W626" s="417">
        <v>0</v>
      </c>
      <c r="X626" s="378">
        <v>3.7699000000000001E-3</v>
      </c>
      <c r="Z626" s="417">
        <v>1510229</v>
      </c>
      <c r="AA626" s="417">
        <v>1061020</v>
      </c>
      <c r="AB626" s="417">
        <v>1061012</v>
      </c>
      <c r="AC626" s="417">
        <v>0</v>
      </c>
      <c r="AD626" s="417">
        <v>0</v>
      </c>
      <c r="AE626" s="378">
        <v>3.7699000000000001E-3</v>
      </c>
      <c r="AF626" s="378"/>
      <c r="AG626" s="417">
        <v>11631</v>
      </c>
      <c r="AH626" s="417">
        <v>11630</v>
      </c>
      <c r="AI626" s="417">
        <v>0</v>
      </c>
      <c r="AJ626" s="417">
        <v>0</v>
      </c>
      <c r="AK626" s="417">
        <v>0</v>
      </c>
      <c r="AL626" s="378">
        <v>3.7699000000000001E-3</v>
      </c>
      <c r="AM626" s="378"/>
      <c r="AN626" s="417">
        <v>-135231</v>
      </c>
      <c r="AO626" s="417">
        <v>-106236</v>
      </c>
      <c r="AP626" s="417">
        <v>-86268</v>
      </c>
      <c r="AQ626" s="417">
        <v>0</v>
      </c>
      <c r="AR626" s="417">
        <v>0</v>
      </c>
    </row>
    <row r="627" spans="1:44">
      <c r="A627" s="377">
        <v>96721</v>
      </c>
      <c r="B627" t="s">
        <v>1327</v>
      </c>
      <c r="C627" s="378">
        <v>2.5119999999999998E-4</v>
      </c>
      <c r="D627" s="378"/>
      <c r="E627" s="417">
        <v>48182</v>
      </c>
      <c r="F627" s="417">
        <v>354</v>
      </c>
      <c r="G627" s="417">
        <v>-38373</v>
      </c>
      <c r="H627" s="417">
        <v>-168423</v>
      </c>
      <c r="I627" s="417">
        <v>0</v>
      </c>
      <c r="J627" s="378">
        <v>2.5119999999999998E-4</v>
      </c>
      <c r="K627" s="378"/>
      <c r="L627" s="417">
        <v>61496</v>
      </c>
      <c r="M627" s="417">
        <v>42471</v>
      </c>
      <c r="N627" s="417">
        <v>18592</v>
      </c>
      <c r="O627" s="417">
        <v>0</v>
      </c>
      <c r="P627" s="417">
        <v>0</v>
      </c>
      <c r="Q627" s="378">
        <v>2.5119999999999998E-4</v>
      </c>
      <c r="R627" s="378"/>
      <c r="S627" s="417">
        <v>-126195</v>
      </c>
      <c r="T627" s="417">
        <v>-124735</v>
      </c>
      <c r="U627" s="417">
        <v>-131039</v>
      </c>
      <c r="V627" s="417">
        <v>-168423</v>
      </c>
      <c r="W627" s="417">
        <v>0</v>
      </c>
      <c r="X627" s="378">
        <v>2.5119999999999998E-4</v>
      </c>
      <c r="Z627" s="417">
        <v>100631</v>
      </c>
      <c r="AA627" s="417">
        <v>70699</v>
      </c>
      <c r="AB627" s="417">
        <v>70698</v>
      </c>
      <c r="AC627" s="417">
        <v>0</v>
      </c>
      <c r="AD627" s="417">
        <v>0</v>
      </c>
      <c r="AE627" s="378">
        <v>2.5119999999999998E-4</v>
      </c>
      <c r="AF627" s="378"/>
      <c r="AG627" s="417">
        <v>13139</v>
      </c>
      <c r="AH627" s="417">
        <v>12807</v>
      </c>
      <c r="AI627" s="417">
        <v>3376</v>
      </c>
      <c r="AJ627" s="417">
        <v>0</v>
      </c>
      <c r="AK627" s="417">
        <v>0</v>
      </c>
      <c r="AL627" s="378">
        <v>2.5119999999999998E-4</v>
      </c>
      <c r="AM627" s="378"/>
      <c r="AN627" s="417">
        <v>-889</v>
      </c>
      <c r="AO627" s="417">
        <v>-888</v>
      </c>
      <c r="AP627" s="417">
        <v>0</v>
      </c>
      <c r="AQ627" s="417">
        <v>0</v>
      </c>
      <c r="AR627" s="417">
        <v>0</v>
      </c>
    </row>
    <row r="628" spans="1:44">
      <c r="A628" s="377">
        <v>96731</v>
      </c>
      <c r="B628" t="s">
        <v>1328</v>
      </c>
      <c r="C628" s="378">
        <v>2.008E-4</v>
      </c>
      <c r="D628" s="378"/>
      <c r="E628" s="417">
        <v>35326</v>
      </c>
      <c r="F628" s="417">
        <v>-2196</v>
      </c>
      <c r="G628" s="417">
        <v>-24691</v>
      </c>
      <c r="H628" s="417">
        <v>-134631</v>
      </c>
      <c r="I628" s="417">
        <v>0</v>
      </c>
      <c r="J628" s="378">
        <v>2.008E-4</v>
      </c>
      <c r="K628" s="378"/>
      <c r="L628" s="417">
        <v>49157</v>
      </c>
      <c r="M628" s="417">
        <v>33950</v>
      </c>
      <c r="N628" s="417">
        <v>14862</v>
      </c>
      <c r="O628" s="417">
        <v>0</v>
      </c>
      <c r="P628" s="417">
        <v>0</v>
      </c>
      <c r="Q628" s="378">
        <v>2.008E-4</v>
      </c>
      <c r="R628" s="378"/>
      <c r="S628" s="417">
        <v>-100875</v>
      </c>
      <c r="T628" s="417">
        <v>-99708</v>
      </c>
      <c r="U628" s="417">
        <v>-104748</v>
      </c>
      <c r="V628" s="417">
        <v>-134631</v>
      </c>
      <c r="W628" s="417">
        <v>0</v>
      </c>
      <c r="X628" s="378">
        <v>2.008E-4</v>
      </c>
      <c r="Z628" s="417">
        <v>80441</v>
      </c>
      <c r="AA628" s="417">
        <v>56514</v>
      </c>
      <c r="AB628" s="417">
        <v>56514</v>
      </c>
      <c r="AC628" s="417">
        <v>0</v>
      </c>
      <c r="AD628" s="417">
        <v>0</v>
      </c>
      <c r="AE628" s="378">
        <v>2.008E-4</v>
      </c>
      <c r="AF628" s="378"/>
      <c r="AG628" s="417">
        <v>8845</v>
      </c>
      <c r="AH628" s="417">
        <v>8847</v>
      </c>
      <c r="AI628" s="417">
        <v>8681</v>
      </c>
      <c r="AJ628" s="417">
        <v>0</v>
      </c>
      <c r="AK628" s="417">
        <v>0</v>
      </c>
      <c r="AL628" s="378">
        <v>2.008E-4</v>
      </c>
      <c r="AM628" s="378"/>
      <c r="AN628" s="417">
        <v>-2242</v>
      </c>
      <c r="AO628" s="417">
        <v>-1799</v>
      </c>
      <c r="AP628" s="417">
        <v>0</v>
      </c>
      <c r="AQ628" s="417">
        <v>0</v>
      </c>
      <c r="AR628" s="417">
        <v>0</v>
      </c>
    </row>
    <row r="629" spans="1:44">
      <c r="A629" s="377">
        <v>96733</v>
      </c>
      <c r="B629" t="s">
        <v>1329</v>
      </c>
      <c r="C629" s="378">
        <v>0</v>
      </c>
      <c r="D629" s="378"/>
      <c r="E629" s="417">
        <v>-3710</v>
      </c>
      <c r="F629" s="417">
        <v>-4259</v>
      </c>
      <c r="G629" s="417">
        <v>0</v>
      </c>
      <c r="H629" s="417">
        <v>0</v>
      </c>
      <c r="I629" s="417">
        <v>0</v>
      </c>
      <c r="J629" s="378">
        <v>0</v>
      </c>
      <c r="K629" s="378"/>
      <c r="L629" s="417">
        <v>0</v>
      </c>
      <c r="M629" s="417">
        <v>0</v>
      </c>
      <c r="N629" s="417">
        <v>0</v>
      </c>
      <c r="O629" s="417">
        <v>0</v>
      </c>
      <c r="P629" s="417">
        <v>0</v>
      </c>
      <c r="Q629" s="378">
        <v>0</v>
      </c>
      <c r="R629" s="378"/>
      <c r="S629" s="417">
        <v>0</v>
      </c>
      <c r="T629" s="417">
        <v>0</v>
      </c>
      <c r="U629" s="417">
        <v>0</v>
      </c>
      <c r="V629" s="417">
        <v>0</v>
      </c>
      <c r="W629" s="417">
        <v>0</v>
      </c>
      <c r="X629" s="378">
        <v>0</v>
      </c>
      <c r="Z629" s="417">
        <v>0</v>
      </c>
      <c r="AA629" s="417">
        <v>0</v>
      </c>
      <c r="AB629" s="417">
        <v>0</v>
      </c>
      <c r="AC629" s="417">
        <v>0</v>
      </c>
      <c r="AD629" s="417">
        <v>0</v>
      </c>
      <c r="AE629" s="378">
        <v>0</v>
      </c>
      <c r="AF629" s="378"/>
      <c r="AG629" s="417">
        <v>550</v>
      </c>
      <c r="AH629" s="417">
        <v>0</v>
      </c>
      <c r="AI629" s="417">
        <v>0</v>
      </c>
      <c r="AJ629" s="417">
        <v>0</v>
      </c>
      <c r="AK629" s="417">
        <v>0</v>
      </c>
      <c r="AL629" s="378">
        <v>0</v>
      </c>
      <c r="AM629" s="378"/>
      <c r="AN629" s="417">
        <v>-4260</v>
      </c>
      <c r="AO629" s="417">
        <v>-4259</v>
      </c>
      <c r="AP629" s="417">
        <v>0</v>
      </c>
      <c r="AQ629" s="417">
        <v>0</v>
      </c>
      <c r="AR629" s="417">
        <v>0</v>
      </c>
    </row>
    <row r="630" spans="1:44">
      <c r="A630" s="377">
        <v>96741</v>
      </c>
      <c r="B630" t="s">
        <v>1330</v>
      </c>
      <c r="C630" s="378">
        <v>8.81E-5</v>
      </c>
      <c r="D630" s="378"/>
      <c r="E630" s="417">
        <v>7231</v>
      </c>
      <c r="F630" s="417">
        <v>-10125</v>
      </c>
      <c r="G630" s="417">
        <v>-15039</v>
      </c>
      <c r="H630" s="417">
        <v>-59069</v>
      </c>
      <c r="I630" s="417">
        <v>0</v>
      </c>
      <c r="J630" s="378">
        <v>8.81E-5</v>
      </c>
      <c r="K630" s="378"/>
      <c r="L630" s="417">
        <v>21568</v>
      </c>
      <c r="M630" s="417">
        <v>14895</v>
      </c>
      <c r="N630" s="417">
        <v>6520</v>
      </c>
      <c r="O630" s="417">
        <v>0</v>
      </c>
      <c r="P630" s="417">
        <v>0</v>
      </c>
      <c r="Q630" s="378">
        <v>8.81E-5</v>
      </c>
      <c r="R630" s="378"/>
      <c r="S630" s="417">
        <v>-44259</v>
      </c>
      <c r="T630" s="417">
        <v>-43746</v>
      </c>
      <c r="U630" s="417">
        <v>-45957</v>
      </c>
      <c r="V630" s="417">
        <v>-59069</v>
      </c>
      <c r="W630" s="417">
        <v>0</v>
      </c>
      <c r="X630" s="378">
        <v>8.81E-5</v>
      </c>
      <c r="Z630" s="417">
        <v>35293</v>
      </c>
      <c r="AA630" s="417">
        <v>24795</v>
      </c>
      <c r="AB630" s="417">
        <v>24795</v>
      </c>
      <c r="AC630" s="417">
        <v>0</v>
      </c>
      <c r="AD630" s="417">
        <v>0</v>
      </c>
      <c r="AE630" s="378">
        <v>8.81E-5</v>
      </c>
      <c r="AF630" s="378"/>
      <c r="AG630" s="417">
        <v>701</v>
      </c>
      <c r="AH630" s="417">
        <v>0</v>
      </c>
      <c r="AI630" s="417">
        <v>0</v>
      </c>
      <c r="AJ630" s="417">
        <v>0</v>
      </c>
      <c r="AK630" s="417">
        <v>0</v>
      </c>
      <c r="AL630" s="378">
        <v>8.81E-5</v>
      </c>
      <c r="AM630" s="378"/>
      <c r="AN630" s="417">
        <v>-6072</v>
      </c>
      <c r="AO630" s="417">
        <v>-6069</v>
      </c>
      <c r="AP630" s="417">
        <v>-397</v>
      </c>
      <c r="AQ630" s="417">
        <v>0</v>
      </c>
      <c r="AR630" s="417">
        <v>0</v>
      </c>
    </row>
    <row r="631" spans="1:44">
      <c r="A631" s="377">
        <v>96751</v>
      </c>
      <c r="B631" t="s">
        <v>1331</v>
      </c>
      <c r="C631" s="378">
        <v>3.2870000000000002E-4</v>
      </c>
      <c r="D631" s="378"/>
      <c r="E631" s="417">
        <v>68221</v>
      </c>
      <c r="F631" s="417">
        <v>5642</v>
      </c>
      <c r="G631" s="417">
        <v>-27600</v>
      </c>
      <c r="H631" s="417">
        <v>-220385</v>
      </c>
      <c r="I631" s="417">
        <v>0</v>
      </c>
      <c r="J631" s="378">
        <v>3.2870000000000002E-4</v>
      </c>
      <c r="K631" s="378"/>
      <c r="L631" s="417">
        <v>80468</v>
      </c>
      <c r="M631" s="417">
        <v>55574</v>
      </c>
      <c r="N631" s="417">
        <v>24328</v>
      </c>
      <c r="O631" s="417">
        <v>0</v>
      </c>
      <c r="P631" s="417">
        <v>0</v>
      </c>
      <c r="Q631" s="378">
        <v>3.2870000000000002E-4</v>
      </c>
      <c r="R631" s="378"/>
      <c r="S631" s="417">
        <v>-165128</v>
      </c>
      <c r="T631" s="417">
        <v>-163218</v>
      </c>
      <c r="U631" s="417">
        <v>-171467</v>
      </c>
      <c r="V631" s="417">
        <v>-220385</v>
      </c>
      <c r="W631" s="417">
        <v>0</v>
      </c>
      <c r="X631" s="378">
        <v>3.2870000000000002E-4</v>
      </c>
      <c r="Z631" s="417">
        <v>131678</v>
      </c>
      <c r="AA631" s="417">
        <v>92511</v>
      </c>
      <c r="AB631" s="417">
        <v>92510</v>
      </c>
      <c r="AC631" s="417">
        <v>0</v>
      </c>
      <c r="AD631" s="417">
        <v>0</v>
      </c>
      <c r="AE631" s="378">
        <v>3.2870000000000002E-4</v>
      </c>
      <c r="AF631" s="378"/>
      <c r="AG631" s="417">
        <v>33049</v>
      </c>
      <c r="AH631" s="417">
        <v>32621</v>
      </c>
      <c r="AI631" s="417">
        <v>27029</v>
      </c>
      <c r="AJ631" s="417">
        <v>0</v>
      </c>
      <c r="AK631" s="417">
        <v>0</v>
      </c>
      <c r="AL631" s="378">
        <v>3.2870000000000002E-4</v>
      </c>
      <c r="AM631" s="378"/>
      <c r="AN631" s="417">
        <v>-11846</v>
      </c>
      <c r="AO631" s="417">
        <v>-11846</v>
      </c>
      <c r="AP631" s="417">
        <v>0</v>
      </c>
      <c r="AQ631" s="417">
        <v>0</v>
      </c>
      <c r="AR631" s="417">
        <v>0</v>
      </c>
    </row>
    <row r="632" spans="1:44">
      <c r="A632" s="377">
        <v>96801</v>
      </c>
      <c r="B632" t="s">
        <v>1332</v>
      </c>
      <c r="C632" s="378">
        <v>7.3797000000000003E-3</v>
      </c>
      <c r="D632" s="378"/>
      <c r="E632" s="417">
        <v>1031436</v>
      </c>
      <c r="F632" s="417">
        <v>-381937</v>
      </c>
      <c r="G632" s="417">
        <v>-1205127</v>
      </c>
      <c r="H632" s="417">
        <v>-4947897</v>
      </c>
      <c r="I632" s="417">
        <v>0</v>
      </c>
      <c r="J632" s="378">
        <v>7.3797000000000003E-3</v>
      </c>
      <c r="K632" s="378"/>
      <c r="L632" s="417">
        <v>1806610</v>
      </c>
      <c r="M632" s="417">
        <v>1247701</v>
      </c>
      <c r="N632" s="417">
        <v>546186</v>
      </c>
      <c r="O632" s="417">
        <v>0</v>
      </c>
      <c r="P632" s="417">
        <v>0</v>
      </c>
      <c r="Q632" s="378">
        <v>7.3797000000000003E-3</v>
      </c>
      <c r="R632" s="378"/>
      <c r="S632" s="417">
        <v>-3707325</v>
      </c>
      <c r="T632" s="417">
        <v>-3664427</v>
      </c>
      <c r="U632" s="417">
        <v>-3849628</v>
      </c>
      <c r="V632" s="417">
        <v>-4947897</v>
      </c>
      <c r="W632" s="417">
        <v>0</v>
      </c>
      <c r="X632" s="378">
        <v>7.3797000000000003E-3</v>
      </c>
      <c r="Z632" s="417">
        <v>2956323</v>
      </c>
      <c r="AA632" s="417">
        <v>2076980</v>
      </c>
      <c r="AB632" s="417">
        <v>2076965</v>
      </c>
      <c r="AC632" s="417">
        <v>0</v>
      </c>
      <c r="AD632" s="417">
        <v>0</v>
      </c>
      <c r="AE632" s="378">
        <v>7.3797000000000003E-3</v>
      </c>
      <c r="AF632" s="378"/>
      <c r="AG632" s="417">
        <v>39365</v>
      </c>
      <c r="AH632" s="417">
        <v>21349</v>
      </c>
      <c r="AI632" s="417">
        <v>21350</v>
      </c>
      <c r="AJ632" s="417">
        <v>0</v>
      </c>
      <c r="AK632" s="417">
        <v>0</v>
      </c>
      <c r="AL632" s="378">
        <v>7.3797000000000003E-3</v>
      </c>
      <c r="AM632" s="378"/>
      <c r="AN632" s="417">
        <v>-63537</v>
      </c>
      <c r="AO632" s="417">
        <v>-63540</v>
      </c>
      <c r="AP632" s="417">
        <v>0</v>
      </c>
      <c r="AQ632" s="417">
        <v>0</v>
      </c>
      <c r="AR632" s="417">
        <v>0</v>
      </c>
    </row>
    <row r="633" spans="1:44">
      <c r="A633" s="377">
        <v>96804</v>
      </c>
      <c r="B633" t="s">
        <v>1333</v>
      </c>
      <c r="C633" s="378">
        <v>2.3699999999999999E-4</v>
      </c>
      <c r="D633" s="378"/>
      <c r="E633" s="417">
        <v>17291</v>
      </c>
      <c r="F633" s="417">
        <v>-22664</v>
      </c>
      <c r="G633" s="417">
        <v>-41384</v>
      </c>
      <c r="H633" s="417">
        <v>-158902</v>
      </c>
      <c r="I633" s="417">
        <v>0</v>
      </c>
      <c r="J633" s="378">
        <v>2.3699999999999999E-4</v>
      </c>
      <c r="K633" s="378"/>
      <c r="L633" s="417">
        <v>58019</v>
      </c>
      <c r="M633" s="417">
        <v>40070</v>
      </c>
      <c r="N633" s="417">
        <v>17541</v>
      </c>
      <c r="O633" s="417">
        <v>0</v>
      </c>
      <c r="P633" s="417">
        <v>0</v>
      </c>
      <c r="Q633" s="378">
        <v>2.3699999999999999E-4</v>
      </c>
      <c r="R633" s="378"/>
      <c r="S633" s="417">
        <v>-119061</v>
      </c>
      <c r="T633" s="417">
        <v>-117684</v>
      </c>
      <c r="U633" s="417">
        <v>-123631</v>
      </c>
      <c r="V633" s="417">
        <v>-158902</v>
      </c>
      <c r="W633" s="417">
        <v>0</v>
      </c>
      <c r="X633" s="378">
        <v>2.3699999999999999E-4</v>
      </c>
      <c r="Z633" s="417">
        <v>94943</v>
      </c>
      <c r="AA633" s="417">
        <v>66702</v>
      </c>
      <c r="AB633" s="417">
        <v>66702</v>
      </c>
      <c r="AC633" s="417">
        <v>0</v>
      </c>
      <c r="AD633" s="417">
        <v>0</v>
      </c>
      <c r="AE633" s="378">
        <v>2.3699999999999999E-4</v>
      </c>
      <c r="AF633" s="378"/>
      <c r="AG633" s="417">
        <v>0</v>
      </c>
      <c r="AH633" s="417">
        <v>0</v>
      </c>
      <c r="AI633" s="417">
        <v>0</v>
      </c>
      <c r="AJ633" s="417">
        <v>0</v>
      </c>
      <c r="AK633" s="417">
        <v>0</v>
      </c>
      <c r="AL633" s="378">
        <v>2.3699999999999999E-4</v>
      </c>
      <c r="AM633" s="378"/>
      <c r="AN633" s="417">
        <v>-16610</v>
      </c>
      <c r="AO633" s="417">
        <v>-11752</v>
      </c>
      <c r="AP633" s="417">
        <v>-1996</v>
      </c>
      <c r="AQ633" s="417">
        <v>0</v>
      </c>
      <c r="AR633" s="417">
        <v>0</v>
      </c>
    </row>
    <row r="634" spans="1:44">
      <c r="A634" s="377">
        <v>96808</v>
      </c>
      <c r="B634" t="s">
        <v>1334</v>
      </c>
      <c r="C634" s="378">
        <v>1.2228E-3</v>
      </c>
      <c r="D634" s="378"/>
      <c r="E634" s="417">
        <v>169503</v>
      </c>
      <c r="F634" s="417">
        <v>-58634</v>
      </c>
      <c r="G634" s="417">
        <v>-218861</v>
      </c>
      <c r="H634" s="417">
        <v>-819856</v>
      </c>
      <c r="I634" s="417">
        <v>0</v>
      </c>
      <c r="J634" s="378">
        <v>1.2228E-3</v>
      </c>
      <c r="K634" s="378"/>
      <c r="L634" s="417">
        <v>299351</v>
      </c>
      <c r="M634" s="417">
        <v>206741</v>
      </c>
      <c r="N634" s="417">
        <v>90502</v>
      </c>
      <c r="O634" s="417">
        <v>0</v>
      </c>
      <c r="P634" s="417">
        <v>0</v>
      </c>
      <c r="Q634" s="378">
        <v>1.2228E-3</v>
      </c>
      <c r="R634" s="378"/>
      <c r="S634" s="417">
        <v>-614296</v>
      </c>
      <c r="T634" s="417">
        <v>-607187</v>
      </c>
      <c r="U634" s="417">
        <v>-637875</v>
      </c>
      <c r="V634" s="417">
        <v>-819856</v>
      </c>
      <c r="W634" s="417">
        <v>0</v>
      </c>
      <c r="X634" s="378">
        <v>1.2228E-3</v>
      </c>
      <c r="Z634" s="417">
        <v>489856</v>
      </c>
      <c r="AA634" s="417">
        <v>344151</v>
      </c>
      <c r="AB634" s="417">
        <v>344149</v>
      </c>
      <c r="AC634" s="417">
        <v>0</v>
      </c>
      <c r="AD634" s="417">
        <v>0</v>
      </c>
      <c r="AE634" s="378">
        <v>1.2228E-3</v>
      </c>
      <c r="AF634" s="378"/>
      <c r="AG634" s="417">
        <v>20485</v>
      </c>
      <c r="AH634" s="417">
        <v>20486</v>
      </c>
      <c r="AI634" s="417">
        <v>0</v>
      </c>
      <c r="AJ634" s="417">
        <v>0</v>
      </c>
      <c r="AK634" s="417">
        <v>0</v>
      </c>
      <c r="AL634" s="378">
        <v>1.2228E-3</v>
      </c>
      <c r="AM634" s="378"/>
      <c r="AN634" s="417">
        <v>-25893</v>
      </c>
      <c r="AO634" s="417">
        <v>-22825</v>
      </c>
      <c r="AP634" s="417">
        <v>-15637</v>
      </c>
      <c r="AQ634" s="417">
        <v>0</v>
      </c>
      <c r="AR634" s="417">
        <v>0</v>
      </c>
    </row>
    <row r="635" spans="1:44">
      <c r="A635" s="377">
        <v>96811</v>
      </c>
      <c r="B635" t="s">
        <v>1335</v>
      </c>
      <c r="C635" s="378">
        <v>5.5815999999999999E-3</v>
      </c>
      <c r="D635" s="378"/>
      <c r="E635" s="417">
        <v>620455</v>
      </c>
      <c r="F635" s="417">
        <v>-421661</v>
      </c>
      <c r="G635" s="417">
        <v>-1033743</v>
      </c>
      <c r="H635" s="417">
        <v>-3742318</v>
      </c>
      <c r="I635" s="417">
        <v>0</v>
      </c>
      <c r="J635" s="378">
        <v>5.5815999999999999E-3</v>
      </c>
      <c r="K635" s="378"/>
      <c r="L635" s="417">
        <v>1366420</v>
      </c>
      <c r="M635" s="417">
        <v>943692</v>
      </c>
      <c r="N635" s="417">
        <v>413105</v>
      </c>
      <c r="O635" s="417">
        <v>0</v>
      </c>
      <c r="P635" s="417">
        <v>0</v>
      </c>
      <c r="Q635" s="378">
        <v>5.5815999999999999E-3</v>
      </c>
      <c r="R635" s="378"/>
      <c r="S635" s="417">
        <v>-2804017</v>
      </c>
      <c r="T635" s="417">
        <v>-2771571</v>
      </c>
      <c r="U635" s="417">
        <v>-2911647</v>
      </c>
      <c r="V635" s="417">
        <v>-3742318</v>
      </c>
      <c r="W635" s="417">
        <v>0</v>
      </c>
      <c r="X635" s="378">
        <v>5.5815999999999999E-3</v>
      </c>
      <c r="Z635" s="417">
        <v>2236000</v>
      </c>
      <c r="AA635" s="417">
        <v>1570913</v>
      </c>
      <c r="AB635" s="417">
        <v>1570902</v>
      </c>
      <c r="AC635" s="417">
        <v>0</v>
      </c>
      <c r="AD635" s="417">
        <v>0</v>
      </c>
      <c r="AE635" s="378">
        <v>5.5815999999999999E-3</v>
      </c>
      <c r="AF635" s="378"/>
      <c r="AG635" s="417">
        <v>0</v>
      </c>
      <c r="AH635" s="417">
        <v>0</v>
      </c>
      <c r="AI635" s="417">
        <v>0</v>
      </c>
      <c r="AJ635" s="417">
        <v>0</v>
      </c>
      <c r="AK635" s="417">
        <v>0</v>
      </c>
      <c r="AL635" s="378">
        <v>5.5815999999999999E-3</v>
      </c>
      <c r="AM635" s="378"/>
      <c r="AN635" s="417">
        <v>-177948</v>
      </c>
      <c r="AO635" s="417">
        <v>-164695</v>
      </c>
      <c r="AP635" s="417">
        <v>-106103</v>
      </c>
      <c r="AQ635" s="417">
        <v>0</v>
      </c>
      <c r="AR635" s="417">
        <v>0</v>
      </c>
    </row>
    <row r="636" spans="1:44">
      <c r="A636" s="377">
        <v>96821</v>
      </c>
      <c r="B636" t="s">
        <v>1336</v>
      </c>
      <c r="C636" s="378">
        <v>1.1953000000000001E-3</v>
      </c>
      <c r="D636" s="378"/>
      <c r="E636" s="417">
        <v>179532</v>
      </c>
      <c r="F636" s="417">
        <v>-24147</v>
      </c>
      <c r="G636" s="417">
        <v>-196912</v>
      </c>
      <c r="H636" s="417">
        <v>-801418</v>
      </c>
      <c r="I636" s="417">
        <v>0</v>
      </c>
      <c r="J636" s="378">
        <v>1.1953000000000001E-3</v>
      </c>
      <c r="K636" s="378"/>
      <c r="L636" s="417">
        <v>292619</v>
      </c>
      <c r="M636" s="417">
        <v>202092</v>
      </c>
      <c r="N636" s="417">
        <v>88467</v>
      </c>
      <c r="O636" s="417">
        <v>0</v>
      </c>
      <c r="P636" s="417">
        <v>0</v>
      </c>
      <c r="Q636" s="378">
        <v>1.1953000000000001E-3</v>
      </c>
      <c r="R636" s="378"/>
      <c r="S636" s="417">
        <v>-600480</v>
      </c>
      <c r="T636" s="417">
        <v>-593532</v>
      </c>
      <c r="U636" s="417">
        <v>-623529</v>
      </c>
      <c r="V636" s="417">
        <v>-801418</v>
      </c>
      <c r="W636" s="417">
        <v>0</v>
      </c>
      <c r="X636" s="378">
        <v>1.1953000000000001E-3</v>
      </c>
      <c r="Z636" s="417">
        <v>478840</v>
      </c>
      <c r="AA636" s="417">
        <v>336411</v>
      </c>
      <c r="AB636" s="417">
        <v>336409</v>
      </c>
      <c r="AC636" s="417">
        <v>0</v>
      </c>
      <c r="AD636" s="417">
        <v>0</v>
      </c>
      <c r="AE636" s="378">
        <v>1.1953000000000001E-3</v>
      </c>
      <c r="AF636" s="378"/>
      <c r="AG636" s="417">
        <v>30882</v>
      </c>
      <c r="AH636" s="417">
        <v>30882</v>
      </c>
      <c r="AI636" s="417">
        <v>1741</v>
      </c>
      <c r="AJ636" s="417">
        <v>0</v>
      </c>
      <c r="AK636" s="417">
        <v>0</v>
      </c>
      <c r="AL636" s="378">
        <v>1.1953000000000001E-3</v>
      </c>
      <c r="AM636" s="378"/>
      <c r="AN636" s="417">
        <v>-22329</v>
      </c>
      <c r="AO636" s="417">
        <v>0</v>
      </c>
      <c r="AP636" s="417">
        <v>0</v>
      </c>
      <c r="AQ636" s="417">
        <v>0</v>
      </c>
      <c r="AR636" s="417">
        <v>0</v>
      </c>
    </row>
    <row r="637" spans="1:44">
      <c r="A637" s="377">
        <v>96831</v>
      </c>
      <c r="B637" t="s">
        <v>1337</v>
      </c>
      <c r="C637" s="378">
        <v>7.9889999999999996E-4</v>
      </c>
      <c r="D637" s="378"/>
      <c r="E637" s="417">
        <v>54918</v>
      </c>
      <c r="F637" s="417">
        <v>-94687</v>
      </c>
      <c r="G637" s="417">
        <v>-192413</v>
      </c>
      <c r="H637" s="417">
        <v>-535642</v>
      </c>
      <c r="I637" s="417">
        <v>0</v>
      </c>
      <c r="J637" s="378">
        <v>7.9889999999999996E-4</v>
      </c>
      <c r="K637" s="378"/>
      <c r="L637" s="417">
        <v>195577</v>
      </c>
      <c r="M637" s="417">
        <v>135072</v>
      </c>
      <c r="N637" s="417">
        <v>59128</v>
      </c>
      <c r="O637" s="417">
        <v>0</v>
      </c>
      <c r="P637" s="417">
        <v>0</v>
      </c>
      <c r="Q637" s="378">
        <v>7.9889999999999996E-4</v>
      </c>
      <c r="R637" s="378"/>
      <c r="S637" s="417">
        <v>-401342</v>
      </c>
      <c r="T637" s="417">
        <v>-396698</v>
      </c>
      <c r="U637" s="417">
        <v>-416747</v>
      </c>
      <c r="V637" s="417">
        <v>-535642</v>
      </c>
      <c r="W637" s="417">
        <v>0</v>
      </c>
      <c r="X637" s="378">
        <v>7.9889999999999996E-4</v>
      </c>
      <c r="Z637" s="417">
        <v>320041</v>
      </c>
      <c r="AA637" s="417">
        <v>224846</v>
      </c>
      <c r="AB637" s="417">
        <v>224845</v>
      </c>
      <c r="AC637" s="417">
        <v>0</v>
      </c>
      <c r="AD637" s="417">
        <v>0</v>
      </c>
      <c r="AE637" s="378">
        <v>7.9889999999999996E-4</v>
      </c>
      <c r="AF637" s="378"/>
      <c r="AG637" s="417">
        <v>8760</v>
      </c>
      <c r="AH637" s="417">
        <v>8758</v>
      </c>
      <c r="AI637" s="417">
        <v>0</v>
      </c>
      <c r="AJ637" s="417">
        <v>0</v>
      </c>
      <c r="AK637" s="417">
        <v>0</v>
      </c>
      <c r="AL637" s="378">
        <v>7.9889999999999996E-4</v>
      </c>
      <c r="AM637" s="378"/>
      <c r="AN637" s="417">
        <v>-68118</v>
      </c>
      <c r="AO637" s="417">
        <v>-66665</v>
      </c>
      <c r="AP637" s="417">
        <v>-59639</v>
      </c>
      <c r="AQ637" s="417">
        <v>0</v>
      </c>
      <c r="AR637" s="417">
        <v>0</v>
      </c>
    </row>
    <row r="638" spans="1:44">
      <c r="A638" s="377">
        <v>96901</v>
      </c>
      <c r="B638" t="s">
        <v>1338</v>
      </c>
      <c r="C638" s="378">
        <v>8.2089999999999995E-4</v>
      </c>
      <c r="D638" s="378"/>
      <c r="E638" s="417">
        <v>60424</v>
      </c>
      <c r="F638" s="417">
        <v>-97792</v>
      </c>
      <c r="G638" s="417">
        <v>-154697</v>
      </c>
      <c r="H638" s="417">
        <v>-550392</v>
      </c>
      <c r="I638" s="417">
        <v>0</v>
      </c>
      <c r="J638" s="378">
        <v>8.2089999999999995E-4</v>
      </c>
      <c r="K638" s="378"/>
      <c r="L638" s="417">
        <v>200963</v>
      </c>
      <c r="M638" s="417">
        <v>138791</v>
      </c>
      <c r="N638" s="417">
        <v>60756</v>
      </c>
      <c r="O638" s="417">
        <v>0</v>
      </c>
      <c r="P638" s="417">
        <v>0</v>
      </c>
      <c r="Q638" s="378">
        <v>8.2089999999999995E-4</v>
      </c>
      <c r="R638" s="378"/>
      <c r="S638" s="417">
        <v>-412394</v>
      </c>
      <c r="T638" s="417">
        <v>-407622</v>
      </c>
      <c r="U638" s="417">
        <v>-428223</v>
      </c>
      <c r="V638" s="417">
        <v>-550392</v>
      </c>
      <c r="W638" s="417">
        <v>0</v>
      </c>
      <c r="X638" s="378">
        <v>8.2089999999999995E-4</v>
      </c>
      <c r="Z638" s="417">
        <v>328854</v>
      </c>
      <c r="AA638" s="417">
        <v>231038</v>
      </c>
      <c r="AB638" s="417">
        <v>231037</v>
      </c>
      <c r="AC638" s="417">
        <v>0</v>
      </c>
      <c r="AD638" s="417">
        <v>0</v>
      </c>
      <c r="AE638" s="378">
        <v>8.2089999999999995E-4</v>
      </c>
      <c r="AF638" s="378"/>
      <c r="AG638" s="417">
        <v>10305</v>
      </c>
      <c r="AH638" s="417">
        <v>7306</v>
      </c>
      <c r="AI638" s="417">
        <v>0</v>
      </c>
      <c r="AJ638" s="417">
        <v>0</v>
      </c>
      <c r="AK638" s="417">
        <v>0</v>
      </c>
      <c r="AL638" s="378">
        <v>8.2089999999999995E-4</v>
      </c>
      <c r="AM638" s="378"/>
      <c r="AN638" s="417">
        <v>-67304</v>
      </c>
      <c r="AO638" s="417">
        <v>-67305</v>
      </c>
      <c r="AP638" s="417">
        <v>-18267</v>
      </c>
      <c r="AQ638" s="417">
        <v>0</v>
      </c>
      <c r="AR638" s="417">
        <v>0</v>
      </c>
    </row>
    <row r="639" spans="1:44">
      <c r="A639" s="377">
        <v>96911</v>
      </c>
      <c r="B639" t="s">
        <v>1339</v>
      </c>
      <c r="C639" s="378">
        <v>2.2000000000000001E-6</v>
      </c>
      <c r="D639" s="378"/>
      <c r="E639" s="417">
        <v>1957</v>
      </c>
      <c r="F639" s="417">
        <v>1289</v>
      </c>
      <c r="G639" s="417">
        <v>174</v>
      </c>
      <c r="H639" s="417">
        <v>-1475</v>
      </c>
      <c r="I639" s="417">
        <v>0</v>
      </c>
      <c r="J639" s="378">
        <v>2.2000000000000001E-6</v>
      </c>
      <c r="K639" s="378"/>
      <c r="L639" s="417">
        <v>539</v>
      </c>
      <c r="M639" s="417">
        <v>372</v>
      </c>
      <c r="N639" s="417">
        <v>163</v>
      </c>
      <c r="O639" s="417">
        <v>0</v>
      </c>
      <c r="P639" s="417">
        <v>0</v>
      </c>
      <c r="Q639" s="378">
        <v>2.2000000000000001E-6</v>
      </c>
      <c r="R639" s="378"/>
      <c r="S639" s="417">
        <v>-1105</v>
      </c>
      <c r="T639" s="417">
        <v>-1092</v>
      </c>
      <c r="U639" s="417">
        <v>-1148</v>
      </c>
      <c r="V639" s="417">
        <v>-1475</v>
      </c>
      <c r="W639" s="417">
        <v>0</v>
      </c>
      <c r="X639" s="378">
        <v>2.2000000000000001E-6</v>
      </c>
      <c r="Z639" s="417">
        <v>881</v>
      </c>
      <c r="AA639" s="417">
        <v>619</v>
      </c>
      <c r="AB639" s="417">
        <v>619</v>
      </c>
      <c r="AC639" s="417">
        <v>0</v>
      </c>
      <c r="AD639" s="417">
        <v>0</v>
      </c>
      <c r="AE639" s="378">
        <v>2.2000000000000001E-6</v>
      </c>
      <c r="AF639" s="378"/>
      <c r="AG639" s="417">
        <v>1642</v>
      </c>
      <c r="AH639" s="417">
        <v>1390</v>
      </c>
      <c r="AI639" s="417">
        <v>540</v>
      </c>
      <c r="AJ639" s="417">
        <v>0</v>
      </c>
      <c r="AK639" s="417">
        <v>0</v>
      </c>
      <c r="AL639" s="378">
        <v>2.2000000000000001E-6</v>
      </c>
      <c r="AM639" s="378"/>
      <c r="AN639" s="417">
        <v>0</v>
      </c>
      <c r="AO639" s="417">
        <v>0</v>
      </c>
      <c r="AP639" s="417">
        <v>0</v>
      </c>
      <c r="AQ639" s="417">
        <v>0</v>
      </c>
      <c r="AR639" s="417">
        <v>0</v>
      </c>
    </row>
    <row r="640" spans="1:44">
      <c r="A640" s="377">
        <v>96912</v>
      </c>
      <c r="B640" t="s">
        <v>1340</v>
      </c>
      <c r="C640" s="378">
        <v>7.25E-5</v>
      </c>
      <c r="D640" s="378"/>
      <c r="E640" s="417">
        <v>7957</v>
      </c>
      <c r="F640" s="417">
        <v>-5861</v>
      </c>
      <c r="G640" s="417">
        <v>-14977</v>
      </c>
      <c r="H640" s="417">
        <v>-48609</v>
      </c>
      <c r="I640" s="417">
        <v>0</v>
      </c>
      <c r="J640" s="378">
        <v>7.25E-5</v>
      </c>
      <c r="K640" s="378"/>
      <c r="L640" s="417">
        <v>17749</v>
      </c>
      <c r="M640" s="417">
        <v>12258</v>
      </c>
      <c r="N640" s="417">
        <v>5366</v>
      </c>
      <c r="O640" s="417">
        <v>0</v>
      </c>
      <c r="P640" s="417">
        <v>0</v>
      </c>
      <c r="Q640" s="378">
        <v>7.25E-5</v>
      </c>
      <c r="R640" s="378"/>
      <c r="S640" s="417">
        <v>-36422</v>
      </c>
      <c r="T640" s="417">
        <v>-36000</v>
      </c>
      <c r="U640" s="417">
        <v>-37820</v>
      </c>
      <c r="V640" s="417">
        <v>-48609</v>
      </c>
      <c r="W640" s="417">
        <v>0</v>
      </c>
      <c r="X640" s="378">
        <v>7.25E-5</v>
      </c>
      <c r="Z640" s="417">
        <v>29044</v>
      </c>
      <c r="AA640" s="417">
        <v>20405</v>
      </c>
      <c r="AB640" s="417">
        <v>20405</v>
      </c>
      <c r="AC640" s="417">
        <v>0</v>
      </c>
      <c r="AD640" s="417">
        <v>0</v>
      </c>
      <c r="AE640" s="378">
        <v>7.25E-5</v>
      </c>
      <c r="AF640" s="378"/>
      <c r="AG640" s="417">
        <v>765</v>
      </c>
      <c r="AH640" s="417">
        <v>656</v>
      </c>
      <c r="AI640" s="417">
        <v>0</v>
      </c>
      <c r="AJ640" s="417">
        <v>0</v>
      </c>
      <c r="AK640" s="417">
        <v>0</v>
      </c>
      <c r="AL640" s="378">
        <v>7.25E-5</v>
      </c>
      <c r="AM640" s="378"/>
      <c r="AN640" s="417">
        <v>-3179</v>
      </c>
      <c r="AO640" s="417">
        <v>-3180</v>
      </c>
      <c r="AP640" s="417">
        <v>-2928</v>
      </c>
      <c r="AQ640" s="417">
        <v>0</v>
      </c>
      <c r="AR640" s="417">
        <v>0</v>
      </c>
    </row>
    <row r="641" spans="1:46">
      <c r="A641" s="377">
        <v>96918</v>
      </c>
      <c r="B641" t="s">
        <v>1341</v>
      </c>
      <c r="C641" s="378">
        <v>2.9200000000000002E-5</v>
      </c>
      <c r="D641" s="378"/>
      <c r="E641" s="417">
        <v>7151</v>
      </c>
      <c r="F641" s="417">
        <v>2460</v>
      </c>
      <c r="G641" s="417">
        <v>-3555</v>
      </c>
      <c r="H641" s="417">
        <v>-19578</v>
      </c>
      <c r="I641" s="417">
        <v>0</v>
      </c>
      <c r="J641" s="378">
        <v>2.9200000000000002E-5</v>
      </c>
      <c r="K641" s="378"/>
      <c r="L641" s="417">
        <v>7148</v>
      </c>
      <c r="M641" s="417">
        <v>4937</v>
      </c>
      <c r="N641" s="417">
        <v>2161</v>
      </c>
      <c r="O641" s="417">
        <v>0</v>
      </c>
      <c r="P641" s="417">
        <v>0</v>
      </c>
      <c r="Q641" s="378">
        <v>2.9200000000000002E-5</v>
      </c>
      <c r="R641" s="378"/>
      <c r="S641" s="417">
        <v>-14669</v>
      </c>
      <c r="T641" s="417">
        <v>-14499</v>
      </c>
      <c r="U641" s="417">
        <v>-15232</v>
      </c>
      <c r="V641" s="417">
        <v>-19578</v>
      </c>
      <c r="W641" s="417">
        <v>0</v>
      </c>
      <c r="X641" s="378">
        <v>2.9200000000000002E-5</v>
      </c>
      <c r="Z641" s="417">
        <v>11698</v>
      </c>
      <c r="AA641" s="417">
        <v>8218</v>
      </c>
      <c r="AB641" s="417">
        <v>8218</v>
      </c>
      <c r="AC641" s="417">
        <v>0</v>
      </c>
      <c r="AD641" s="417">
        <v>0</v>
      </c>
      <c r="AE641" s="378">
        <v>2.9200000000000002E-5</v>
      </c>
      <c r="AF641" s="378"/>
      <c r="AG641" s="417">
        <v>3904</v>
      </c>
      <c r="AH641" s="417">
        <v>3903</v>
      </c>
      <c r="AI641" s="417">
        <v>1298</v>
      </c>
      <c r="AJ641" s="417">
        <v>0</v>
      </c>
      <c r="AK641" s="417">
        <v>0</v>
      </c>
      <c r="AL641" s="378">
        <v>2.9200000000000002E-5</v>
      </c>
      <c r="AM641" s="378"/>
      <c r="AN641" s="417">
        <v>-930</v>
      </c>
      <c r="AO641" s="417">
        <v>-99</v>
      </c>
      <c r="AP641" s="417">
        <v>0</v>
      </c>
      <c r="AQ641" s="417">
        <v>0</v>
      </c>
      <c r="AR641" s="417">
        <v>0</v>
      </c>
    </row>
    <row r="642" spans="1:46">
      <c r="A642" s="377">
        <v>97001</v>
      </c>
      <c r="B642" t="s">
        <v>1342</v>
      </c>
      <c r="C642" s="378">
        <v>1.4491E-3</v>
      </c>
      <c r="D642" s="378"/>
      <c r="E642" s="417">
        <v>320009</v>
      </c>
      <c r="F642" s="417">
        <v>35646</v>
      </c>
      <c r="G642" s="417">
        <v>-183550</v>
      </c>
      <c r="H642" s="417">
        <v>-971584</v>
      </c>
      <c r="I642" s="417">
        <v>0</v>
      </c>
      <c r="J642" s="378">
        <v>1.4491E-3</v>
      </c>
      <c r="K642" s="378"/>
      <c r="L642" s="417">
        <v>354751</v>
      </c>
      <c r="M642" s="417">
        <v>245002</v>
      </c>
      <c r="N642" s="417">
        <v>107251</v>
      </c>
      <c r="O642" s="417">
        <v>0</v>
      </c>
      <c r="P642" s="417">
        <v>0</v>
      </c>
      <c r="Q642" s="378">
        <v>1.4491E-3</v>
      </c>
      <c r="R642" s="378"/>
      <c r="S642" s="417">
        <v>-727981</v>
      </c>
      <c r="T642" s="417">
        <v>-719558</v>
      </c>
      <c r="U642" s="417">
        <v>-755924</v>
      </c>
      <c r="V642" s="417">
        <v>-971584</v>
      </c>
      <c r="W642" s="417">
        <v>0</v>
      </c>
      <c r="X642" s="378">
        <v>1.4491E-3</v>
      </c>
      <c r="Z642" s="417">
        <v>580512</v>
      </c>
      <c r="AA642" s="417">
        <v>407842</v>
      </c>
      <c r="AB642" s="417">
        <v>407839</v>
      </c>
      <c r="AC642" s="417">
        <v>0</v>
      </c>
      <c r="AD642" s="417">
        <v>0</v>
      </c>
      <c r="AE642" s="378">
        <v>1.4491E-3</v>
      </c>
      <c r="AF642" s="378"/>
      <c r="AG642" s="417">
        <v>112727</v>
      </c>
      <c r="AH642" s="417">
        <v>102360</v>
      </c>
      <c r="AI642" s="417">
        <v>57284</v>
      </c>
      <c r="AJ642" s="417">
        <v>0</v>
      </c>
      <c r="AK642" s="417">
        <v>0</v>
      </c>
      <c r="AL642" s="378">
        <v>1.4491E-3</v>
      </c>
      <c r="AM642" s="378"/>
      <c r="AN642" s="417">
        <v>0</v>
      </c>
      <c r="AO642" s="417">
        <v>0</v>
      </c>
      <c r="AP642" s="417">
        <v>0</v>
      </c>
      <c r="AQ642" s="417">
        <v>0</v>
      </c>
      <c r="AR642" s="417">
        <v>0</v>
      </c>
    </row>
    <row r="643" spans="1:46">
      <c r="A643" s="377">
        <v>97002</v>
      </c>
      <c r="B643" t="s">
        <v>1343</v>
      </c>
      <c r="C643" s="378">
        <v>4.395E-4</v>
      </c>
      <c r="D643" s="378"/>
      <c r="E643" s="417">
        <v>-25185</v>
      </c>
      <c r="F643" s="417">
        <v>-90712</v>
      </c>
      <c r="G643" s="417">
        <v>-106773</v>
      </c>
      <c r="H643" s="417">
        <v>-294673</v>
      </c>
      <c r="I643" s="417">
        <v>0</v>
      </c>
      <c r="J643" s="378">
        <v>4.395E-4</v>
      </c>
      <c r="K643" s="378"/>
      <c r="L643" s="417">
        <v>107593</v>
      </c>
      <c r="M643" s="417">
        <v>74307</v>
      </c>
      <c r="N643" s="417">
        <v>32528</v>
      </c>
      <c r="O643" s="417">
        <v>0</v>
      </c>
      <c r="P643" s="417">
        <v>0</v>
      </c>
      <c r="Q643" s="378">
        <v>4.395E-4</v>
      </c>
      <c r="R643" s="378"/>
      <c r="S643" s="417">
        <v>-220791</v>
      </c>
      <c r="T643" s="417">
        <v>-218236</v>
      </c>
      <c r="U643" s="417">
        <v>-229266</v>
      </c>
      <c r="V643" s="417">
        <v>-294673</v>
      </c>
      <c r="W643" s="417">
        <v>0</v>
      </c>
      <c r="X643" s="378">
        <v>4.395E-4</v>
      </c>
      <c r="Z643" s="417">
        <v>176065</v>
      </c>
      <c r="AA643" s="417">
        <v>123695</v>
      </c>
      <c r="AB643" s="417">
        <v>123694</v>
      </c>
      <c r="AC643" s="417">
        <v>0</v>
      </c>
      <c r="AD643" s="417">
        <v>0</v>
      </c>
      <c r="AE643" s="378">
        <v>4.395E-4</v>
      </c>
      <c r="AF643" s="378"/>
      <c r="AG643" s="417">
        <v>0</v>
      </c>
      <c r="AH643" s="417">
        <v>0</v>
      </c>
      <c r="AI643" s="417">
        <v>0</v>
      </c>
      <c r="AJ643" s="417">
        <v>0</v>
      </c>
      <c r="AK643" s="417">
        <v>0</v>
      </c>
      <c r="AL643" s="378">
        <v>4.395E-4</v>
      </c>
      <c r="AM643" s="378"/>
      <c r="AN643" s="417">
        <v>-88052</v>
      </c>
      <c r="AO643" s="417">
        <v>-70478</v>
      </c>
      <c r="AP643" s="417">
        <v>-33729</v>
      </c>
      <c r="AQ643" s="417">
        <v>0</v>
      </c>
      <c r="AR643" s="417">
        <v>0</v>
      </c>
    </row>
    <row r="644" spans="1:46">
      <c r="A644" s="377">
        <v>97004</v>
      </c>
      <c r="B644" t="s">
        <v>1344</v>
      </c>
      <c r="C644" s="378">
        <v>1.5999999999999999E-5</v>
      </c>
      <c r="D644" s="378"/>
      <c r="E644" s="417">
        <v>6807</v>
      </c>
      <c r="F644" s="417">
        <v>3084</v>
      </c>
      <c r="G644" s="417">
        <v>-452</v>
      </c>
      <c r="H644" s="417">
        <v>-10728</v>
      </c>
      <c r="I644" s="417">
        <v>0</v>
      </c>
      <c r="J644" s="378">
        <v>1.5999999999999999E-5</v>
      </c>
      <c r="K644" s="378"/>
      <c r="L644" s="417">
        <v>3917</v>
      </c>
      <c r="M644" s="417">
        <v>2705</v>
      </c>
      <c r="N644" s="417">
        <v>1184</v>
      </c>
      <c r="O644" s="417">
        <v>0</v>
      </c>
      <c r="P644" s="417">
        <v>0</v>
      </c>
      <c r="Q644" s="378">
        <v>1.5999999999999999E-5</v>
      </c>
      <c r="R644" s="378"/>
      <c r="S644" s="417">
        <v>-8038</v>
      </c>
      <c r="T644" s="417">
        <v>-7945</v>
      </c>
      <c r="U644" s="417">
        <v>-8346</v>
      </c>
      <c r="V644" s="417">
        <v>-10728</v>
      </c>
      <c r="W644" s="417">
        <v>0</v>
      </c>
      <c r="X644" s="378">
        <v>1.5999999999999999E-5</v>
      </c>
      <c r="Z644" s="417">
        <v>6410</v>
      </c>
      <c r="AA644" s="417">
        <v>4503</v>
      </c>
      <c r="AB644" s="417">
        <v>4503</v>
      </c>
      <c r="AC644" s="417">
        <v>0</v>
      </c>
      <c r="AD644" s="417">
        <v>0</v>
      </c>
      <c r="AE644" s="378">
        <v>1.5999999999999999E-5</v>
      </c>
      <c r="AF644" s="378"/>
      <c r="AG644" s="417">
        <v>4823</v>
      </c>
      <c r="AH644" s="417">
        <v>4125</v>
      </c>
      <c r="AI644" s="417">
        <v>2207</v>
      </c>
      <c r="AJ644" s="417">
        <v>0</v>
      </c>
      <c r="AK644" s="417">
        <v>0</v>
      </c>
      <c r="AL644" s="378">
        <v>1.5999999999999999E-5</v>
      </c>
      <c r="AM644" s="378"/>
      <c r="AN644" s="417">
        <v>-305</v>
      </c>
      <c r="AO644" s="417">
        <v>-304</v>
      </c>
      <c r="AP644" s="417">
        <v>0</v>
      </c>
      <c r="AQ644" s="417">
        <v>0</v>
      </c>
      <c r="AR644" s="417">
        <v>0</v>
      </c>
    </row>
    <row r="645" spans="1:46">
      <c r="A645" s="377">
        <v>97005</v>
      </c>
      <c r="B645" t="s">
        <v>1345</v>
      </c>
      <c r="C645" s="378">
        <v>3.04E-5</v>
      </c>
      <c r="D645" s="378"/>
      <c r="E645" s="417">
        <v>11015</v>
      </c>
      <c r="F645" s="417">
        <v>5109</v>
      </c>
      <c r="G645" s="417">
        <v>-222</v>
      </c>
      <c r="H645" s="417">
        <v>-20382</v>
      </c>
      <c r="I645" s="417">
        <v>0</v>
      </c>
      <c r="J645" s="378">
        <v>3.04E-5</v>
      </c>
      <c r="K645" s="378"/>
      <c r="L645" s="417">
        <v>7442</v>
      </c>
      <c r="M645" s="417">
        <v>5140</v>
      </c>
      <c r="N645" s="417">
        <v>2250</v>
      </c>
      <c r="O645" s="417">
        <v>0</v>
      </c>
      <c r="P645" s="417">
        <v>0</v>
      </c>
      <c r="Q645" s="378">
        <v>3.04E-5</v>
      </c>
      <c r="R645" s="378"/>
      <c r="S645" s="417">
        <v>-15272</v>
      </c>
      <c r="T645" s="417">
        <v>-15095</v>
      </c>
      <c r="U645" s="417">
        <v>-15858</v>
      </c>
      <c r="V645" s="417">
        <v>-20382</v>
      </c>
      <c r="W645" s="417">
        <v>0</v>
      </c>
      <c r="X645" s="378">
        <v>3.04E-5</v>
      </c>
      <c r="Z645" s="417">
        <v>12178</v>
      </c>
      <c r="AA645" s="417">
        <v>8556</v>
      </c>
      <c r="AB645" s="417">
        <v>8556</v>
      </c>
      <c r="AC645" s="417">
        <v>0</v>
      </c>
      <c r="AD645" s="417">
        <v>0</v>
      </c>
      <c r="AE645" s="378">
        <v>3.04E-5</v>
      </c>
      <c r="AF645" s="378"/>
      <c r="AG645" s="417">
        <v>7117</v>
      </c>
      <c r="AH645" s="417">
        <v>6959</v>
      </c>
      <c r="AI645" s="417">
        <v>4830</v>
      </c>
      <c r="AJ645" s="417">
        <v>0</v>
      </c>
      <c r="AK645" s="417">
        <v>0</v>
      </c>
      <c r="AL645" s="378">
        <v>3.04E-5</v>
      </c>
      <c r="AM645" s="378"/>
      <c r="AN645" s="417">
        <v>-450</v>
      </c>
      <c r="AO645" s="417">
        <v>-451</v>
      </c>
      <c r="AP645" s="417">
        <v>0</v>
      </c>
      <c r="AQ645" s="417">
        <v>0</v>
      </c>
      <c r="AR645" s="417">
        <v>0</v>
      </c>
    </row>
    <row r="646" spans="1:46">
      <c r="A646" s="377">
        <v>97008</v>
      </c>
      <c r="B646" t="s">
        <v>1346</v>
      </c>
      <c r="C646" s="378">
        <v>2.8479999999999998E-4</v>
      </c>
      <c r="D646" s="378"/>
      <c r="E646" s="417">
        <v>49235</v>
      </c>
      <c r="F646" s="417">
        <v>-3701</v>
      </c>
      <c r="G646" s="417">
        <v>-38451</v>
      </c>
      <c r="H646" s="417">
        <v>-190951</v>
      </c>
      <c r="I646" s="417">
        <v>0</v>
      </c>
      <c r="J646" s="378">
        <v>2.8479999999999998E-4</v>
      </c>
      <c r="K646" s="378"/>
      <c r="L646" s="417">
        <v>69721</v>
      </c>
      <c r="M646" s="417">
        <v>48152</v>
      </c>
      <c r="N646" s="417">
        <v>21079</v>
      </c>
      <c r="O646" s="417">
        <v>0</v>
      </c>
      <c r="P646" s="417">
        <v>0</v>
      </c>
      <c r="Q646" s="378">
        <v>2.8479999999999998E-4</v>
      </c>
      <c r="R646" s="378"/>
      <c r="S646" s="417">
        <v>-143074</v>
      </c>
      <c r="T646" s="417">
        <v>-141419</v>
      </c>
      <c r="U646" s="417">
        <v>-148566</v>
      </c>
      <c r="V646" s="417">
        <v>-190951</v>
      </c>
      <c r="W646" s="417">
        <v>0</v>
      </c>
      <c r="X646" s="378">
        <v>2.8479999999999998E-4</v>
      </c>
      <c r="Z646" s="417">
        <v>114091</v>
      </c>
      <c r="AA646" s="417">
        <v>80156</v>
      </c>
      <c r="AB646" s="417">
        <v>80155</v>
      </c>
      <c r="AC646" s="417">
        <v>0</v>
      </c>
      <c r="AD646" s="417">
        <v>0</v>
      </c>
      <c r="AE646" s="378">
        <v>2.8479999999999998E-4</v>
      </c>
      <c r="AF646" s="378"/>
      <c r="AG646" s="417">
        <v>11797</v>
      </c>
      <c r="AH646" s="417">
        <v>11796</v>
      </c>
      <c r="AI646" s="417">
        <v>8881</v>
      </c>
      <c r="AJ646" s="417">
        <v>0</v>
      </c>
      <c r="AK646" s="417">
        <v>0</v>
      </c>
      <c r="AL646" s="378">
        <v>2.8479999999999998E-4</v>
      </c>
      <c r="AM646" s="378"/>
      <c r="AN646" s="417">
        <v>-3300</v>
      </c>
      <c r="AO646" s="417">
        <v>-2386</v>
      </c>
      <c r="AP646" s="417">
        <v>0</v>
      </c>
      <c r="AQ646" s="417">
        <v>0</v>
      </c>
      <c r="AR646" s="417">
        <v>0</v>
      </c>
    </row>
    <row r="647" spans="1:46">
      <c r="A647" s="377">
        <v>97010</v>
      </c>
      <c r="B647" t="s">
        <v>1347</v>
      </c>
      <c r="C647" s="378">
        <v>0</v>
      </c>
      <c r="D647" s="378"/>
      <c r="E647" s="417">
        <v>0</v>
      </c>
      <c r="F647" s="417">
        <v>0</v>
      </c>
      <c r="G647" s="417">
        <v>0</v>
      </c>
      <c r="H647" s="417">
        <v>0</v>
      </c>
      <c r="I647" s="417">
        <v>0</v>
      </c>
      <c r="J647" s="378"/>
      <c r="K647" s="378">
        <v>0</v>
      </c>
      <c r="L647" s="417">
        <v>0</v>
      </c>
      <c r="M647" s="417">
        <v>0</v>
      </c>
      <c r="N647" s="417">
        <v>0</v>
      </c>
      <c r="O647" s="417">
        <v>0</v>
      </c>
      <c r="P647" s="417">
        <v>0</v>
      </c>
      <c r="Q647" s="378"/>
      <c r="R647" s="378">
        <v>0</v>
      </c>
      <c r="S647" s="417">
        <v>0</v>
      </c>
      <c r="T647" s="417">
        <v>0</v>
      </c>
      <c r="U647" s="417">
        <v>0</v>
      </c>
      <c r="V647" s="417">
        <v>0</v>
      </c>
      <c r="W647" s="417">
        <v>0</v>
      </c>
      <c r="X647" s="378"/>
      <c r="Y647" s="417">
        <v>0</v>
      </c>
      <c r="Z647" s="417">
        <v>0</v>
      </c>
      <c r="AA647" s="417">
        <v>0</v>
      </c>
      <c r="AB647" s="417">
        <v>0</v>
      </c>
      <c r="AC647" s="417">
        <v>0</v>
      </c>
      <c r="AD647" s="417">
        <v>0</v>
      </c>
      <c r="AE647" s="378"/>
      <c r="AF647" s="378">
        <v>0</v>
      </c>
      <c r="AG647" s="417">
        <v>0</v>
      </c>
      <c r="AH647" s="417">
        <v>0</v>
      </c>
      <c r="AI647" s="417">
        <v>0</v>
      </c>
      <c r="AJ647" s="417">
        <v>0</v>
      </c>
      <c r="AK647" s="417">
        <v>0</v>
      </c>
      <c r="AL647" s="378"/>
      <c r="AM647" s="378">
        <v>0</v>
      </c>
      <c r="AN647" s="417">
        <v>0</v>
      </c>
      <c r="AO647" s="417">
        <v>0</v>
      </c>
      <c r="AP647" s="417">
        <v>0</v>
      </c>
      <c r="AQ647" s="417">
        <v>0</v>
      </c>
      <c r="AR647" s="417">
        <v>0</v>
      </c>
      <c r="AS647" s="417">
        <v>0</v>
      </c>
      <c r="AT647" s="417">
        <v>0</v>
      </c>
    </row>
    <row r="648" spans="1:46">
      <c r="A648" s="377">
        <v>97011</v>
      </c>
      <c r="B648" t="s">
        <v>1348</v>
      </c>
      <c r="C648" s="378">
        <v>1.8075999999999999E-3</v>
      </c>
      <c r="D648" s="378"/>
      <c r="E648" s="417">
        <v>228740</v>
      </c>
      <c r="F648" s="417">
        <v>-111262</v>
      </c>
      <c r="G648" s="417">
        <v>-309871</v>
      </c>
      <c r="H648" s="417">
        <v>-1211949</v>
      </c>
      <c r="I648" s="417">
        <v>0</v>
      </c>
      <c r="J648" s="378">
        <v>1.8075999999999999E-3</v>
      </c>
      <c r="K648" s="378"/>
      <c r="L648" s="417">
        <v>442515</v>
      </c>
      <c r="M648" s="417">
        <v>305615</v>
      </c>
      <c r="N648" s="417">
        <v>133784</v>
      </c>
      <c r="O648" s="417">
        <v>0</v>
      </c>
      <c r="P648" s="417">
        <v>0</v>
      </c>
      <c r="Q648" s="378">
        <v>1.8075999999999999E-3</v>
      </c>
      <c r="R648" s="378"/>
      <c r="S648" s="417">
        <v>-908080</v>
      </c>
      <c r="T648" s="417">
        <v>-897573</v>
      </c>
      <c r="U648" s="417">
        <v>-942936</v>
      </c>
      <c r="V648" s="417">
        <v>-1211949</v>
      </c>
      <c r="W648" s="417">
        <v>0</v>
      </c>
      <c r="X648" s="378">
        <v>1.8075999999999999E-3</v>
      </c>
      <c r="Z648" s="417">
        <v>724128</v>
      </c>
      <c r="AA648" s="417">
        <v>508740</v>
      </c>
      <c r="AB648" s="417">
        <v>508736</v>
      </c>
      <c r="AC648" s="417">
        <v>0</v>
      </c>
      <c r="AD648" s="417">
        <v>0</v>
      </c>
      <c r="AE648" s="378">
        <v>1.8075999999999999E-3</v>
      </c>
      <c r="AF648" s="378"/>
      <c r="AG648" s="417">
        <v>5687</v>
      </c>
      <c r="AH648" s="417">
        <v>5686</v>
      </c>
      <c r="AI648" s="417">
        <v>0</v>
      </c>
      <c r="AJ648" s="417">
        <v>0</v>
      </c>
      <c r="AK648" s="417">
        <v>0</v>
      </c>
      <c r="AL648" s="378">
        <v>1.8075999999999999E-3</v>
      </c>
      <c r="AM648" s="378"/>
      <c r="AN648" s="417">
        <v>-35510</v>
      </c>
      <c r="AO648" s="417">
        <v>-33730</v>
      </c>
      <c r="AP648" s="417">
        <v>-9455</v>
      </c>
      <c r="AQ648" s="417">
        <v>0</v>
      </c>
      <c r="AR648" s="417">
        <v>0</v>
      </c>
    </row>
    <row r="649" spans="1:46">
      <c r="A649" s="377">
        <v>97012</v>
      </c>
      <c r="B649" t="s">
        <v>1349</v>
      </c>
      <c r="C649" s="378">
        <v>2.1999999999999999E-5</v>
      </c>
      <c r="D649" s="378"/>
      <c r="E649" s="417">
        <v>1447</v>
      </c>
      <c r="F649" s="417">
        <v>-3525</v>
      </c>
      <c r="G649" s="417">
        <v>-5571</v>
      </c>
      <c r="H649" s="417">
        <v>-14750</v>
      </c>
      <c r="I649" s="417">
        <v>0</v>
      </c>
      <c r="J649" s="378">
        <v>2.1999999999999999E-5</v>
      </c>
      <c r="K649" s="378"/>
      <c r="L649" s="417">
        <v>5386</v>
      </c>
      <c r="M649" s="417">
        <v>3720</v>
      </c>
      <c r="N649" s="417">
        <v>1628</v>
      </c>
      <c r="O649" s="417">
        <v>0</v>
      </c>
      <c r="P649" s="417">
        <v>0</v>
      </c>
      <c r="Q649" s="378">
        <v>2.1999999999999999E-5</v>
      </c>
      <c r="R649" s="378"/>
      <c r="S649" s="417">
        <v>-11052</v>
      </c>
      <c r="T649" s="417">
        <v>-10924</v>
      </c>
      <c r="U649" s="417">
        <v>-11476</v>
      </c>
      <c r="V649" s="417">
        <v>-14750</v>
      </c>
      <c r="W649" s="417">
        <v>0</v>
      </c>
      <c r="X649" s="378">
        <v>2.1999999999999999E-5</v>
      </c>
      <c r="Z649" s="417">
        <v>8813</v>
      </c>
      <c r="AA649" s="417">
        <v>6192</v>
      </c>
      <c r="AB649" s="417">
        <v>6192</v>
      </c>
      <c r="AC649" s="417">
        <v>0</v>
      </c>
      <c r="AD649" s="417">
        <v>0</v>
      </c>
      <c r="AE649" s="378">
        <v>2.1999999999999999E-5</v>
      </c>
      <c r="AF649" s="378"/>
      <c r="AG649" s="417">
        <v>1219</v>
      </c>
      <c r="AH649" s="417">
        <v>404</v>
      </c>
      <c r="AI649" s="417">
        <v>0</v>
      </c>
      <c r="AJ649" s="417">
        <v>0</v>
      </c>
      <c r="AK649" s="417">
        <v>0</v>
      </c>
      <c r="AL649" s="378">
        <v>2.1999999999999999E-5</v>
      </c>
      <c r="AM649" s="378"/>
      <c r="AN649" s="417">
        <v>-2919</v>
      </c>
      <c r="AO649" s="417">
        <v>-2917</v>
      </c>
      <c r="AP649" s="417">
        <v>-1915</v>
      </c>
      <c r="AQ649" s="417">
        <v>0</v>
      </c>
      <c r="AR649" s="417">
        <v>0</v>
      </c>
    </row>
    <row r="650" spans="1:46">
      <c r="A650" s="377">
        <v>97013</v>
      </c>
      <c r="B650" t="s">
        <v>1350</v>
      </c>
      <c r="C650" s="378">
        <v>2.0999999999999999E-5</v>
      </c>
      <c r="D650" s="378"/>
      <c r="E650" s="417">
        <v>7956</v>
      </c>
      <c r="F650" s="417">
        <v>3081</v>
      </c>
      <c r="G650" s="417">
        <v>-1573</v>
      </c>
      <c r="H650" s="417">
        <v>-14080</v>
      </c>
      <c r="I650" s="417">
        <v>0</v>
      </c>
      <c r="J650" s="378">
        <v>2.0999999999999999E-5</v>
      </c>
      <c r="K650" s="378"/>
      <c r="L650" s="417">
        <v>5141</v>
      </c>
      <c r="M650" s="417">
        <v>3551</v>
      </c>
      <c r="N650" s="417">
        <v>1554</v>
      </c>
      <c r="O650" s="417">
        <v>0</v>
      </c>
      <c r="P650" s="417">
        <v>0</v>
      </c>
      <c r="Q650" s="378">
        <v>2.0999999999999999E-5</v>
      </c>
      <c r="R650" s="378"/>
      <c r="S650" s="417">
        <v>-10550</v>
      </c>
      <c r="T650" s="417">
        <v>-10428</v>
      </c>
      <c r="U650" s="417">
        <v>-10955</v>
      </c>
      <c r="V650" s="417">
        <v>-14080</v>
      </c>
      <c r="W650" s="417">
        <v>0</v>
      </c>
      <c r="X650" s="378">
        <v>2.0999999999999999E-5</v>
      </c>
      <c r="Z650" s="417">
        <v>8413</v>
      </c>
      <c r="AA650" s="417">
        <v>5910</v>
      </c>
      <c r="AB650" s="417">
        <v>5910</v>
      </c>
      <c r="AC650" s="417">
        <v>0</v>
      </c>
      <c r="AD650" s="417">
        <v>0</v>
      </c>
      <c r="AE650" s="378">
        <v>2.0999999999999999E-5</v>
      </c>
      <c r="AF650" s="378"/>
      <c r="AG650" s="417">
        <v>7065</v>
      </c>
      <c r="AH650" s="417">
        <v>6159</v>
      </c>
      <c r="AI650" s="417">
        <v>1918</v>
      </c>
      <c r="AJ650" s="417">
        <v>0</v>
      </c>
      <c r="AK650" s="417">
        <v>0</v>
      </c>
      <c r="AL650" s="378">
        <v>2.0999999999999999E-5</v>
      </c>
      <c r="AM650" s="378"/>
      <c r="AN650" s="417">
        <v>-2113</v>
      </c>
      <c r="AO650" s="417">
        <v>-2111</v>
      </c>
      <c r="AP650" s="417">
        <v>0</v>
      </c>
      <c r="AQ650" s="417">
        <v>0</v>
      </c>
      <c r="AR650" s="417">
        <v>0</v>
      </c>
    </row>
    <row r="651" spans="1:46">
      <c r="A651" s="377">
        <v>97015</v>
      </c>
      <c r="B651" t="s">
        <v>1351</v>
      </c>
      <c r="C651" s="378">
        <v>4.6799999999999999E-5</v>
      </c>
      <c r="D651" s="378"/>
      <c r="E651" s="417">
        <v>10288</v>
      </c>
      <c r="F651" s="417">
        <v>-388</v>
      </c>
      <c r="G651" s="417">
        <v>-7301</v>
      </c>
      <c r="H651" s="417">
        <v>-31378</v>
      </c>
      <c r="I651" s="417">
        <v>0</v>
      </c>
      <c r="J651" s="378">
        <v>4.6799999999999999E-5</v>
      </c>
      <c r="K651" s="378"/>
      <c r="L651" s="417">
        <v>11457</v>
      </c>
      <c r="M651" s="417">
        <v>7913</v>
      </c>
      <c r="N651" s="417">
        <v>3464</v>
      </c>
      <c r="O651" s="417">
        <v>0</v>
      </c>
      <c r="P651" s="417">
        <v>0</v>
      </c>
      <c r="Q651" s="378">
        <v>4.6799999999999999E-5</v>
      </c>
      <c r="R651" s="378"/>
      <c r="S651" s="417">
        <v>-23511</v>
      </c>
      <c r="T651" s="417">
        <v>-23239</v>
      </c>
      <c r="U651" s="417">
        <v>-24413</v>
      </c>
      <c r="V651" s="417">
        <v>-31378</v>
      </c>
      <c r="W651" s="417">
        <v>0</v>
      </c>
      <c r="X651" s="378">
        <v>4.6799999999999999E-5</v>
      </c>
      <c r="Z651" s="417">
        <v>18748</v>
      </c>
      <c r="AA651" s="417">
        <v>13172</v>
      </c>
      <c r="AB651" s="417">
        <v>13172</v>
      </c>
      <c r="AC651" s="417">
        <v>0</v>
      </c>
      <c r="AD651" s="417">
        <v>0</v>
      </c>
      <c r="AE651" s="378">
        <v>4.6799999999999999E-5</v>
      </c>
      <c r="AF651" s="378"/>
      <c r="AG651" s="417">
        <v>4744</v>
      </c>
      <c r="AH651" s="417">
        <v>2916</v>
      </c>
      <c r="AI651" s="417">
        <v>476</v>
      </c>
      <c r="AJ651" s="417">
        <v>0</v>
      </c>
      <c r="AK651" s="417">
        <v>0</v>
      </c>
      <c r="AL651" s="378">
        <v>4.6799999999999999E-5</v>
      </c>
      <c r="AM651" s="378"/>
      <c r="AN651" s="417">
        <v>-1150</v>
      </c>
      <c r="AO651" s="417">
        <v>-1150</v>
      </c>
      <c r="AP651" s="417">
        <v>0</v>
      </c>
      <c r="AQ651" s="417">
        <v>0</v>
      </c>
      <c r="AR651" s="417">
        <v>0</v>
      </c>
    </row>
    <row r="652" spans="1:46">
      <c r="A652" s="377">
        <v>97018</v>
      </c>
      <c r="B652" t="s">
        <v>1352</v>
      </c>
      <c r="C652" s="378">
        <v>1.63E-5</v>
      </c>
      <c r="D652" s="378"/>
      <c r="E652" s="417">
        <v>4001</v>
      </c>
      <c r="F652" s="417">
        <v>141</v>
      </c>
      <c r="G652" s="417">
        <v>-3614</v>
      </c>
      <c r="H652" s="417">
        <v>-10929</v>
      </c>
      <c r="I652" s="417">
        <v>0</v>
      </c>
      <c r="J652" s="378">
        <v>1.63E-5</v>
      </c>
      <c r="K652" s="378"/>
      <c r="L652" s="417">
        <v>3990</v>
      </c>
      <c r="M652" s="417">
        <v>2756</v>
      </c>
      <c r="N652" s="417">
        <v>1206</v>
      </c>
      <c r="O652" s="417">
        <v>0</v>
      </c>
      <c r="P652" s="417">
        <v>0</v>
      </c>
      <c r="Q652" s="378">
        <v>1.63E-5</v>
      </c>
      <c r="R652" s="378"/>
      <c r="S652" s="417">
        <v>-8189</v>
      </c>
      <c r="T652" s="417">
        <v>-8094</v>
      </c>
      <c r="U652" s="417">
        <v>-8503</v>
      </c>
      <c r="V652" s="417">
        <v>-10929</v>
      </c>
      <c r="W652" s="417">
        <v>0</v>
      </c>
      <c r="X652" s="378">
        <v>1.63E-5</v>
      </c>
      <c r="Z652" s="417">
        <v>6530</v>
      </c>
      <c r="AA652" s="417">
        <v>4588</v>
      </c>
      <c r="AB652" s="417">
        <v>4588</v>
      </c>
      <c r="AC652" s="417">
        <v>0</v>
      </c>
      <c r="AD652" s="417">
        <v>0</v>
      </c>
      <c r="AE652" s="378">
        <v>1.63E-5</v>
      </c>
      <c r="AF652" s="378"/>
      <c r="AG652" s="417">
        <v>2577</v>
      </c>
      <c r="AH652" s="417">
        <v>1798</v>
      </c>
      <c r="AI652" s="417">
        <v>0</v>
      </c>
      <c r="AJ652" s="417">
        <v>0</v>
      </c>
      <c r="AK652" s="417">
        <v>0</v>
      </c>
      <c r="AL652" s="378">
        <v>1.63E-5</v>
      </c>
      <c r="AM652" s="378"/>
      <c r="AN652" s="417">
        <v>-907</v>
      </c>
      <c r="AO652" s="417">
        <v>-907</v>
      </c>
      <c r="AP652" s="417">
        <v>-905</v>
      </c>
      <c r="AQ652" s="417">
        <v>0</v>
      </c>
      <c r="AR652" s="417">
        <v>0</v>
      </c>
    </row>
    <row r="653" spans="1:46">
      <c r="A653" s="377">
        <v>97101</v>
      </c>
      <c r="B653" t="s">
        <v>1353</v>
      </c>
      <c r="C653" s="378">
        <v>2.9548999999999999E-3</v>
      </c>
      <c r="D653" s="378"/>
      <c r="E653" s="417">
        <v>628296</v>
      </c>
      <c r="F653" s="417">
        <v>63800</v>
      </c>
      <c r="G653" s="417">
        <v>-376774</v>
      </c>
      <c r="H653" s="417">
        <v>-1981184</v>
      </c>
      <c r="I653" s="417">
        <v>0</v>
      </c>
      <c r="J653" s="378">
        <v>2.9548999999999999E-3</v>
      </c>
      <c r="K653" s="378"/>
      <c r="L653" s="417">
        <v>723383</v>
      </c>
      <c r="M653" s="417">
        <v>499591</v>
      </c>
      <c r="N653" s="417">
        <v>218698</v>
      </c>
      <c r="O653" s="417">
        <v>0</v>
      </c>
      <c r="P653" s="417">
        <v>0</v>
      </c>
      <c r="Q653" s="378">
        <v>2.9548999999999999E-3</v>
      </c>
      <c r="R653" s="378"/>
      <c r="S653" s="417">
        <v>-1484447</v>
      </c>
      <c r="T653" s="417">
        <v>-1467270</v>
      </c>
      <c r="U653" s="417">
        <v>-1541427</v>
      </c>
      <c r="V653" s="417">
        <v>-1981184</v>
      </c>
      <c r="W653" s="417">
        <v>0</v>
      </c>
      <c r="X653" s="378">
        <v>2.9548999999999999E-3</v>
      </c>
      <c r="Z653" s="417">
        <v>1183739</v>
      </c>
      <c r="AA653" s="417">
        <v>831642</v>
      </c>
      <c r="AB653" s="417">
        <v>831636</v>
      </c>
      <c r="AC653" s="417">
        <v>0</v>
      </c>
      <c r="AD653" s="417">
        <v>0</v>
      </c>
      <c r="AE653" s="378">
        <v>2.9548999999999999E-3</v>
      </c>
      <c r="AF653" s="378"/>
      <c r="AG653" s="417">
        <v>205621</v>
      </c>
      <c r="AH653" s="417">
        <v>199837</v>
      </c>
      <c r="AI653" s="417">
        <v>114319</v>
      </c>
      <c r="AJ653" s="417">
        <v>0</v>
      </c>
      <c r="AK653" s="417">
        <v>0</v>
      </c>
      <c r="AL653" s="378">
        <v>2.9548999999999999E-3</v>
      </c>
      <c r="AM653" s="378"/>
      <c r="AN653" s="417">
        <v>0</v>
      </c>
      <c r="AO653" s="417">
        <v>0</v>
      </c>
      <c r="AP653" s="417">
        <v>0</v>
      </c>
      <c r="AQ653" s="417">
        <v>0</v>
      </c>
      <c r="AR653" s="417">
        <v>0</v>
      </c>
    </row>
    <row r="654" spans="1:46">
      <c r="A654" s="377">
        <v>97104</v>
      </c>
      <c r="B654" t="s">
        <v>1354</v>
      </c>
      <c r="C654" s="378">
        <v>6.2399999999999999E-5</v>
      </c>
      <c r="D654" s="378"/>
      <c r="E654" s="417">
        <v>18948</v>
      </c>
      <c r="F654" s="417">
        <v>5741</v>
      </c>
      <c r="G654" s="417">
        <v>-3232</v>
      </c>
      <c r="H654" s="417">
        <v>-41838</v>
      </c>
      <c r="I654" s="417">
        <v>0</v>
      </c>
      <c r="J654" s="378">
        <v>6.2399999999999999E-5</v>
      </c>
      <c r="K654" s="378"/>
      <c r="L654" s="417">
        <v>15276</v>
      </c>
      <c r="M654" s="417">
        <v>10550</v>
      </c>
      <c r="N654" s="417">
        <v>4618</v>
      </c>
      <c r="O654" s="417">
        <v>0</v>
      </c>
      <c r="P654" s="417">
        <v>0</v>
      </c>
      <c r="Q654" s="378">
        <v>6.2399999999999999E-5</v>
      </c>
      <c r="R654" s="378"/>
      <c r="S654" s="417">
        <v>-31348</v>
      </c>
      <c r="T654" s="417">
        <v>-30985</v>
      </c>
      <c r="U654" s="417">
        <v>-32551</v>
      </c>
      <c r="V654" s="417">
        <v>-41838</v>
      </c>
      <c r="W654" s="417">
        <v>0</v>
      </c>
      <c r="X654" s="378">
        <v>6.2399999999999999E-5</v>
      </c>
      <c r="Z654" s="417">
        <v>24998</v>
      </c>
      <c r="AA654" s="417">
        <v>17562</v>
      </c>
      <c r="AB654" s="417">
        <v>17562</v>
      </c>
      <c r="AC654" s="417">
        <v>0</v>
      </c>
      <c r="AD654" s="417">
        <v>0</v>
      </c>
      <c r="AE654" s="378">
        <v>6.2399999999999999E-5</v>
      </c>
      <c r="AF654" s="378"/>
      <c r="AG654" s="417">
        <v>10022</v>
      </c>
      <c r="AH654" s="417">
        <v>8614</v>
      </c>
      <c r="AI654" s="417">
        <v>7139</v>
      </c>
      <c r="AJ654" s="417">
        <v>0</v>
      </c>
      <c r="AK654" s="417">
        <v>0</v>
      </c>
      <c r="AL654" s="378">
        <v>6.2399999999999999E-5</v>
      </c>
      <c r="AM654" s="378"/>
      <c r="AN654" s="417">
        <v>0</v>
      </c>
      <c r="AO654" s="417">
        <v>0</v>
      </c>
      <c r="AP654" s="417">
        <v>0</v>
      </c>
      <c r="AQ654" s="417">
        <v>0</v>
      </c>
      <c r="AR654" s="417">
        <v>0</v>
      </c>
    </row>
    <row r="655" spans="1:46">
      <c r="A655" s="377">
        <v>97111</v>
      </c>
      <c r="B655" t="s">
        <v>1355</v>
      </c>
      <c r="C655" s="378">
        <v>3.057E-4</v>
      </c>
      <c r="D655" s="378"/>
      <c r="E655" s="417">
        <v>34527</v>
      </c>
      <c r="F655" s="417">
        <v>-21330</v>
      </c>
      <c r="G655" s="417">
        <v>-64158</v>
      </c>
      <c r="H655" s="417">
        <v>-204964</v>
      </c>
      <c r="I655" s="417">
        <v>0</v>
      </c>
      <c r="J655" s="378">
        <v>3.057E-4</v>
      </c>
      <c r="K655" s="378"/>
      <c r="L655" s="417">
        <v>74838</v>
      </c>
      <c r="M655" s="417">
        <v>51685</v>
      </c>
      <c r="N655" s="417">
        <v>22625</v>
      </c>
      <c r="O655" s="417">
        <v>0</v>
      </c>
      <c r="P655" s="417">
        <v>0</v>
      </c>
      <c r="Q655" s="378">
        <v>3.057E-4</v>
      </c>
      <c r="R655" s="378"/>
      <c r="S655" s="417">
        <v>-153574</v>
      </c>
      <c r="T655" s="417">
        <v>-151797</v>
      </c>
      <c r="U655" s="417">
        <v>-159469</v>
      </c>
      <c r="V655" s="417">
        <v>-204964</v>
      </c>
      <c r="W655" s="417">
        <v>0</v>
      </c>
      <c r="X655" s="378">
        <v>3.057E-4</v>
      </c>
      <c r="Z655" s="417">
        <v>122464</v>
      </c>
      <c r="AA655" s="417">
        <v>86038</v>
      </c>
      <c r="AB655" s="417">
        <v>86037</v>
      </c>
      <c r="AC655" s="417">
        <v>0</v>
      </c>
      <c r="AD655" s="417">
        <v>0</v>
      </c>
      <c r="AE655" s="378">
        <v>3.057E-4</v>
      </c>
      <c r="AF655" s="378"/>
      <c r="AG655" s="417">
        <v>10029</v>
      </c>
      <c r="AH655" s="417">
        <v>10029</v>
      </c>
      <c r="AI655" s="417">
        <v>0</v>
      </c>
      <c r="AJ655" s="417">
        <v>0</v>
      </c>
      <c r="AK655" s="417">
        <v>0</v>
      </c>
      <c r="AL655" s="378">
        <v>3.057E-4</v>
      </c>
      <c r="AM655" s="378"/>
      <c r="AN655" s="417">
        <v>-19230</v>
      </c>
      <c r="AO655" s="417">
        <v>-17285</v>
      </c>
      <c r="AP655" s="417">
        <v>-13351</v>
      </c>
      <c r="AQ655" s="417">
        <v>0</v>
      </c>
      <c r="AR655" s="417">
        <v>0</v>
      </c>
    </row>
    <row r="656" spans="1:46">
      <c r="A656" s="377">
        <v>97121</v>
      </c>
      <c r="B656" t="s">
        <v>1356</v>
      </c>
      <c r="C656" s="378">
        <v>1.516E-4</v>
      </c>
      <c r="D656" s="378"/>
      <c r="E656" s="417">
        <v>44576</v>
      </c>
      <c r="F656" s="417">
        <v>14557</v>
      </c>
      <c r="G656" s="417">
        <v>-15086</v>
      </c>
      <c r="H656" s="417">
        <v>-101644</v>
      </c>
      <c r="I656" s="417">
        <v>0</v>
      </c>
      <c r="J656" s="378">
        <v>1.516E-4</v>
      </c>
      <c r="K656" s="378"/>
      <c r="L656" s="417">
        <v>37113</v>
      </c>
      <c r="M656" s="417">
        <v>25631</v>
      </c>
      <c r="N656" s="417">
        <v>11220</v>
      </c>
      <c r="O656" s="417">
        <v>0</v>
      </c>
      <c r="P656" s="417">
        <v>0</v>
      </c>
      <c r="Q656" s="378">
        <v>1.516E-4</v>
      </c>
      <c r="R656" s="378"/>
      <c r="S656" s="417">
        <v>-76159</v>
      </c>
      <c r="T656" s="417">
        <v>-75278</v>
      </c>
      <c r="U656" s="417">
        <v>-79082</v>
      </c>
      <c r="V656" s="417">
        <v>-101644</v>
      </c>
      <c r="W656" s="417">
        <v>0</v>
      </c>
      <c r="X656" s="378">
        <v>1.516E-4</v>
      </c>
      <c r="Z656" s="417">
        <v>60731</v>
      </c>
      <c r="AA656" s="417">
        <v>42667</v>
      </c>
      <c r="AB656" s="417">
        <v>42667</v>
      </c>
      <c r="AC656" s="417">
        <v>0</v>
      </c>
      <c r="AD656" s="417">
        <v>0</v>
      </c>
      <c r="AE656" s="378">
        <v>1.516E-4</v>
      </c>
      <c r="AF656" s="378"/>
      <c r="AG656" s="417">
        <v>22891</v>
      </c>
      <c r="AH656" s="417">
        <v>21537</v>
      </c>
      <c r="AI656" s="417">
        <v>10109</v>
      </c>
      <c r="AJ656" s="417">
        <v>0</v>
      </c>
      <c r="AK656" s="417">
        <v>0</v>
      </c>
      <c r="AL656" s="378">
        <v>1.516E-4</v>
      </c>
      <c r="AM656" s="378"/>
      <c r="AN656" s="417">
        <v>0</v>
      </c>
      <c r="AO656" s="417">
        <v>0</v>
      </c>
      <c r="AP656" s="417">
        <v>0</v>
      </c>
      <c r="AQ656" s="417">
        <v>0</v>
      </c>
      <c r="AR656" s="417">
        <v>0</v>
      </c>
    </row>
    <row r="657" spans="1:44">
      <c r="A657" s="377">
        <v>97131</v>
      </c>
      <c r="B657" t="s">
        <v>1357</v>
      </c>
      <c r="C657" s="378">
        <v>7.1290000000000004E-4</v>
      </c>
      <c r="D657" s="378"/>
      <c r="E657" s="417">
        <v>63972</v>
      </c>
      <c r="F657" s="417">
        <v>-41512</v>
      </c>
      <c r="G657" s="417">
        <v>-137298</v>
      </c>
      <c r="H657" s="417">
        <v>-477981</v>
      </c>
      <c r="I657" s="417">
        <v>0</v>
      </c>
      <c r="J657" s="378">
        <v>7.1290000000000004E-4</v>
      </c>
      <c r="K657" s="378"/>
      <c r="L657" s="417">
        <v>174524</v>
      </c>
      <c r="M657" s="417">
        <v>120531</v>
      </c>
      <c r="N657" s="417">
        <v>52763</v>
      </c>
      <c r="O657" s="417">
        <v>0</v>
      </c>
      <c r="P657" s="417">
        <v>0</v>
      </c>
      <c r="Q657" s="378">
        <v>7.1290000000000004E-4</v>
      </c>
      <c r="R657" s="378"/>
      <c r="S657" s="417">
        <v>-358138</v>
      </c>
      <c r="T657" s="417">
        <v>-353994</v>
      </c>
      <c r="U657" s="417">
        <v>-371885</v>
      </c>
      <c r="V657" s="417">
        <v>-477981</v>
      </c>
      <c r="W657" s="417">
        <v>0</v>
      </c>
      <c r="X657" s="378">
        <v>7.1290000000000004E-4</v>
      </c>
      <c r="Z657" s="417">
        <v>285589</v>
      </c>
      <c r="AA657" s="417">
        <v>200642</v>
      </c>
      <c r="AB657" s="417">
        <v>200641</v>
      </c>
      <c r="AC657" s="417">
        <v>0</v>
      </c>
      <c r="AD657" s="417">
        <v>0</v>
      </c>
      <c r="AE657" s="378">
        <v>7.1290000000000004E-4</v>
      </c>
      <c r="AF657" s="378"/>
      <c r="AG657" s="417">
        <v>10128</v>
      </c>
      <c r="AH657" s="417">
        <v>10127</v>
      </c>
      <c r="AI657" s="417">
        <v>0</v>
      </c>
      <c r="AJ657" s="417">
        <v>0</v>
      </c>
      <c r="AK657" s="417">
        <v>0</v>
      </c>
      <c r="AL657" s="378">
        <v>7.1290000000000004E-4</v>
      </c>
      <c r="AM657" s="378"/>
      <c r="AN657" s="417">
        <v>-48131</v>
      </c>
      <c r="AO657" s="417">
        <v>-18818</v>
      </c>
      <c r="AP657" s="417">
        <v>-18817</v>
      </c>
      <c r="AQ657" s="417">
        <v>0</v>
      </c>
      <c r="AR657" s="417">
        <v>0</v>
      </c>
    </row>
    <row r="658" spans="1:44">
      <c r="A658" s="377">
        <v>97201</v>
      </c>
      <c r="B658" t="s">
        <v>1358</v>
      </c>
      <c r="C658" s="378">
        <v>5.53E-4</v>
      </c>
      <c r="D658" s="378"/>
      <c r="E658" s="417">
        <v>82966</v>
      </c>
      <c r="F658" s="417">
        <v>-21286</v>
      </c>
      <c r="G658" s="417">
        <v>-89751</v>
      </c>
      <c r="H658" s="417">
        <v>-370772</v>
      </c>
      <c r="I658" s="417">
        <v>0</v>
      </c>
      <c r="J658" s="378">
        <v>5.53E-4</v>
      </c>
      <c r="K658" s="378"/>
      <c r="L658" s="417">
        <v>135379</v>
      </c>
      <c r="M658" s="417">
        <v>93497</v>
      </c>
      <c r="N658" s="417">
        <v>40929</v>
      </c>
      <c r="O658" s="417">
        <v>0</v>
      </c>
      <c r="P658" s="417">
        <v>0</v>
      </c>
      <c r="Q658" s="378">
        <v>5.53E-4</v>
      </c>
      <c r="R658" s="378"/>
      <c r="S658" s="417">
        <v>-277810</v>
      </c>
      <c r="T658" s="417">
        <v>-274595</v>
      </c>
      <c r="U658" s="417">
        <v>-288473</v>
      </c>
      <c r="V658" s="417">
        <v>-370772</v>
      </c>
      <c r="W658" s="417">
        <v>0</v>
      </c>
      <c r="X658" s="378">
        <v>5.53E-4</v>
      </c>
      <c r="Z658" s="417">
        <v>221533</v>
      </c>
      <c r="AA658" s="417">
        <v>155639</v>
      </c>
      <c r="AB658" s="417">
        <v>155638</v>
      </c>
      <c r="AC658" s="417">
        <v>0</v>
      </c>
      <c r="AD658" s="417">
        <v>0</v>
      </c>
      <c r="AE658" s="378">
        <v>5.53E-4</v>
      </c>
      <c r="AF658" s="378"/>
      <c r="AG658" s="417">
        <v>16732</v>
      </c>
      <c r="AH658" s="417">
        <v>16731</v>
      </c>
      <c r="AI658" s="417">
        <v>2155</v>
      </c>
      <c r="AJ658" s="417">
        <v>0</v>
      </c>
      <c r="AK658" s="417">
        <v>0</v>
      </c>
      <c r="AL658" s="378">
        <v>5.53E-4</v>
      </c>
      <c r="AM658" s="378"/>
      <c r="AN658" s="417">
        <v>-12868</v>
      </c>
      <c r="AO658" s="417">
        <v>-12558</v>
      </c>
      <c r="AP658" s="417">
        <v>0</v>
      </c>
      <c r="AQ658" s="417">
        <v>0</v>
      </c>
      <c r="AR658" s="417">
        <v>0</v>
      </c>
    </row>
    <row r="659" spans="1:44">
      <c r="A659" s="377">
        <v>97211</v>
      </c>
      <c r="B659" t="s">
        <v>1359</v>
      </c>
      <c r="C659" s="378">
        <v>1.6420000000000001E-4</v>
      </c>
      <c r="D659" s="378"/>
      <c r="E659" s="417">
        <v>55354</v>
      </c>
      <c r="F659" s="417">
        <v>25515</v>
      </c>
      <c r="G659" s="417">
        <v>-14171</v>
      </c>
      <c r="H659" s="417">
        <v>-110092</v>
      </c>
      <c r="I659" s="417">
        <v>0</v>
      </c>
      <c r="J659" s="378">
        <v>1.6420000000000001E-4</v>
      </c>
      <c r="K659" s="378"/>
      <c r="L659" s="417">
        <v>40197</v>
      </c>
      <c r="M659" s="417">
        <v>27762</v>
      </c>
      <c r="N659" s="417">
        <v>12153</v>
      </c>
      <c r="O659" s="417">
        <v>0</v>
      </c>
      <c r="P659" s="417">
        <v>0</v>
      </c>
      <c r="Q659" s="378">
        <v>1.6420000000000001E-4</v>
      </c>
      <c r="R659" s="378"/>
      <c r="S659" s="417">
        <v>-82489</v>
      </c>
      <c r="T659" s="417">
        <v>-81534</v>
      </c>
      <c r="U659" s="417">
        <v>-85655</v>
      </c>
      <c r="V659" s="417">
        <v>-110092</v>
      </c>
      <c r="W659" s="417">
        <v>0</v>
      </c>
      <c r="X659" s="378">
        <v>1.6420000000000001E-4</v>
      </c>
      <c r="Z659" s="417">
        <v>65779</v>
      </c>
      <c r="AA659" s="417">
        <v>46213</v>
      </c>
      <c r="AB659" s="417">
        <v>46213</v>
      </c>
      <c r="AC659" s="417">
        <v>0</v>
      </c>
      <c r="AD659" s="417">
        <v>0</v>
      </c>
      <c r="AE659" s="378">
        <v>1.6420000000000001E-4</v>
      </c>
      <c r="AF659" s="378"/>
      <c r="AG659" s="417">
        <v>41299</v>
      </c>
      <c r="AH659" s="417">
        <v>41298</v>
      </c>
      <c r="AI659" s="417">
        <v>13118</v>
      </c>
      <c r="AJ659" s="417">
        <v>0</v>
      </c>
      <c r="AK659" s="417">
        <v>0</v>
      </c>
      <c r="AL659" s="378">
        <v>1.6420000000000001E-4</v>
      </c>
      <c r="AM659" s="378"/>
      <c r="AN659" s="417">
        <v>-9432</v>
      </c>
      <c r="AO659" s="417">
        <v>-8224</v>
      </c>
      <c r="AP659" s="417">
        <v>0</v>
      </c>
      <c r="AQ659" s="417">
        <v>0</v>
      </c>
      <c r="AR659" s="417">
        <v>0</v>
      </c>
    </row>
    <row r="660" spans="1:44">
      <c r="A660" s="377">
        <v>97213</v>
      </c>
      <c r="B660" t="s">
        <v>1360</v>
      </c>
      <c r="C660" s="378">
        <v>3.5099999999999999E-5</v>
      </c>
      <c r="D660" s="378"/>
      <c r="E660" s="417">
        <v>6450</v>
      </c>
      <c r="F660" s="417">
        <v>-1219</v>
      </c>
      <c r="G660" s="417">
        <v>-5384</v>
      </c>
      <c r="H660" s="417">
        <v>-23534</v>
      </c>
      <c r="I660" s="417">
        <v>0</v>
      </c>
      <c r="J660" s="378">
        <v>3.5099999999999999E-5</v>
      </c>
      <c r="K660" s="378"/>
      <c r="L660" s="417">
        <v>8593</v>
      </c>
      <c r="M660" s="417">
        <v>5934</v>
      </c>
      <c r="N660" s="417">
        <v>2598</v>
      </c>
      <c r="O660" s="417">
        <v>0</v>
      </c>
      <c r="P660" s="417">
        <v>0</v>
      </c>
      <c r="Q660" s="378">
        <v>3.5099999999999999E-5</v>
      </c>
      <c r="R660" s="378"/>
      <c r="S660" s="417">
        <v>-17633</v>
      </c>
      <c r="T660" s="417">
        <v>-17429</v>
      </c>
      <c r="U660" s="417">
        <v>-18310</v>
      </c>
      <c r="V660" s="417">
        <v>-23534</v>
      </c>
      <c r="W660" s="417">
        <v>0</v>
      </c>
      <c r="X660" s="378">
        <v>3.5099999999999999E-5</v>
      </c>
      <c r="Z660" s="417">
        <v>14061</v>
      </c>
      <c r="AA660" s="417">
        <v>9879</v>
      </c>
      <c r="AB660" s="417">
        <v>9879</v>
      </c>
      <c r="AC660" s="417">
        <v>0</v>
      </c>
      <c r="AD660" s="417">
        <v>0</v>
      </c>
      <c r="AE660" s="378">
        <v>3.5099999999999999E-5</v>
      </c>
      <c r="AF660" s="378"/>
      <c r="AG660" s="417">
        <v>2668</v>
      </c>
      <c r="AH660" s="417">
        <v>1634</v>
      </c>
      <c r="AI660" s="417">
        <v>449</v>
      </c>
      <c r="AJ660" s="417">
        <v>0</v>
      </c>
      <c r="AK660" s="417">
        <v>0</v>
      </c>
      <c r="AL660" s="378">
        <v>3.5099999999999999E-5</v>
      </c>
      <c r="AM660" s="378"/>
      <c r="AN660" s="417">
        <v>-1239</v>
      </c>
      <c r="AO660" s="417">
        <v>-1237</v>
      </c>
      <c r="AP660" s="417">
        <v>0</v>
      </c>
      <c r="AQ660" s="417">
        <v>0</v>
      </c>
      <c r="AR660" s="417">
        <v>0</v>
      </c>
    </row>
    <row r="661" spans="1:44">
      <c r="A661" s="377">
        <v>97217</v>
      </c>
      <c r="B661" t="s">
        <v>1361</v>
      </c>
      <c r="C661" s="378">
        <v>8.1999999999999994E-6</v>
      </c>
      <c r="D661" s="378"/>
      <c r="E661" s="417">
        <v>5733</v>
      </c>
      <c r="F661" s="417">
        <v>3317</v>
      </c>
      <c r="G661" s="417">
        <v>478</v>
      </c>
      <c r="H661" s="417">
        <v>-5498</v>
      </c>
      <c r="I661" s="417">
        <v>0</v>
      </c>
      <c r="J661" s="378">
        <v>8.1999999999999994E-6</v>
      </c>
      <c r="K661" s="378"/>
      <c r="L661" s="417">
        <v>2007</v>
      </c>
      <c r="M661" s="417">
        <v>1386</v>
      </c>
      <c r="N661" s="417">
        <v>607</v>
      </c>
      <c r="O661" s="417">
        <v>0</v>
      </c>
      <c r="P661" s="417">
        <v>0</v>
      </c>
      <c r="Q661" s="378">
        <v>8.1999999999999994E-6</v>
      </c>
      <c r="R661" s="378"/>
      <c r="S661" s="417">
        <v>-4119</v>
      </c>
      <c r="T661" s="417">
        <v>-4072</v>
      </c>
      <c r="U661" s="417">
        <v>-4278</v>
      </c>
      <c r="V661" s="417">
        <v>-5498</v>
      </c>
      <c r="W661" s="417">
        <v>0</v>
      </c>
      <c r="X661" s="378">
        <v>8.1999999999999994E-6</v>
      </c>
      <c r="Z661" s="417">
        <v>3285</v>
      </c>
      <c r="AA661" s="417">
        <v>2308</v>
      </c>
      <c r="AB661" s="417">
        <v>2308</v>
      </c>
      <c r="AC661" s="417">
        <v>0</v>
      </c>
      <c r="AD661" s="417">
        <v>0</v>
      </c>
      <c r="AE661" s="378">
        <v>8.1999999999999994E-6</v>
      </c>
      <c r="AF661" s="378"/>
      <c r="AG661" s="417">
        <v>4560</v>
      </c>
      <c r="AH661" s="417">
        <v>3695</v>
      </c>
      <c r="AI661" s="417">
        <v>1841</v>
      </c>
      <c r="AJ661" s="417">
        <v>0</v>
      </c>
      <c r="AK661" s="417">
        <v>0</v>
      </c>
      <c r="AL661" s="378">
        <v>8.1999999999999994E-6</v>
      </c>
      <c r="AM661" s="378"/>
      <c r="AN661" s="417">
        <v>0</v>
      </c>
      <c r="AO661" s="417">
        <v>0</v>
      </c>
      <c r="AP661" s="417">
        <v>0</v>
      </c>
      <c r="AQ661" s="417">
        <v>0</v>
      </c>
      <c r="AR661" s="417">
        <v>0</v>
      </c>
    </row>
    <row r="662" spans="1:44">
      <c r="A662" s="377">
        <v>97221</v>
      </c>
      <c r="B662" t="s">
        <v>1362</v>
      </c>
      <c r="C662" s="378">
        <v>1.26E-5</v>
      </c>
      <c r="D662" s="378"/>
      <c r="E662" s="417">
        <v>7341</v>
      </c>
      <c r="F662" s="417">
        <v>4680</v>
      </c>
      <c r="G662" s="417">
        <v>4049</v>
      </c>
      <c r="H662" s="417">
        <v>-8448</v>
      </c>
      <c r="I662" s="417">
        <v>0</v>
      </c>
      <c r="J662" s="378">
        <v>1.26E-5</v>
      </c>
      <c r="K662" s="378"/>
      <c r="L662" s="417">
        <v>3085</v>
      </c>
      <c r="M662" s="417">
        <v>2130</v>
      </c>
      <c r="N662" s="417">
        <v>933</v>
      </c>
      <c r="O662" s="417">
        <v>0</v>
      </c>
      <c r="P662" s="417">
        <v>0</v>
      </c>
      <c r="Q662" s="378">
        <v>1.26E-5</v>
      </c>
      <c r="R662" s="378"/>
      <c r="S662" s="417">
        <v>-6330</v>
      </c>
      <c r="T662" s="417">
        <v>-6257</v>
      </c>
      <c r="U662" s="417">
        <v>-6573</v>
      </c>
      <c r="V662" s="417">
        <v>-8448</v>
      </c>
      <c r="W662" s="417">
        <v>0</v>
      </c>
      <c r="X662" s="378">
        <v>1.26E-5</v>
      </c>
      <c r="Z662" s="417">
        <v>5048</v>
      </c>
      <c r="AA662" s="417">
        <v>3546</v>
      </c>
      <c r="AB662" s="417">
        <v>3546</v>
      </c>
      <c r="AC662" s="417">
        <v>0</v>
      </c>
      <c r="AD662" s="417">
        <v>0</v>
      </c>
      <c r="AE662" s="378">
        <v>1.26E-5</v>
      </c>
      <c r="AF662" s="378"/>
      <c r="AG662" s="417">
        <v>8200</v>
      </c>
      <c r="AH662" s="417">
        <v>7924</v>
      </c>
      <c r="AI662" s="417">
        <v>6143</v>
      </c>
      <c r="AJ662" s="417">
        <v>0</v>
      </c>
      <c r="AK662" s="417">
        <v>0</v>
      </c>
      <c r="AL662" s="378">
        <v>1.26E-5</v>
      </c>
      <c r="AM662" s="378"/>
      <c r="AN662" s="417">
        <v>-2662</v>
      </c>
      <c r="AO662" s="417">
        <v>-2663</v>
      </c>
      <c r="AP662" s="417">
        <v>0</v>
      </c>
      <c r="AQ662" s="417">
        <v>0</v>
      </c>
      <c r="AR662" s="417">
        <v>0</v>
      </c>
    </row>
    <row r="663" spans="1:44">
      <c r="A663" s="377">
        <v>97301</v>
      </c>
      <c r="B663" t="s">
        <v>1363</v>
      </c>
      <c r="C663" s="378">
        <v>2.4133000000000002E-3</v>
      </c>
      <c r="D663" s="378"/>
      <c r="E663" s="417">
        <v>314566</v>
      </c>
      <c r="F663" s="417">
        <v>-137725</v>
      </c>
      <c r="G663" s="417">
        <v>-380935</v>
      </c>
      <c r="H663" s="417">
        <v>-1618055</v>
      </c>
      <c r="I663" s="417">
        <v>0</v>
      </c>
      <c r="J663" s="378">
        <v>2.4133000000000002E-3</v>
      </c>
      <c r="K663" s="378"/>
      <c r="L663" s="417">
        <v>590795</v>
      </c>
      <c r="M663" s="417">
        <v>408021</v>
      </c>
      <c r="N663" s="417">
        <v>178613</v>
      </c>
      <c r="O663" s="417">
        <v>0</v>
      </c>
      <c r="P663" s="417">
        <v>0</v>
      </c>
      <c r="Q663" s="378">
        <v>2.4133000000000002E-3</v>
      </c>
      <c r="R663" s="378"/>
      <c r="S663" s="417">
        <v>-1212365</v>
      </c>
      <c r="T663" s="417">
        <v>-1198336</v>
      </c>
      <c r="U663" s="417">
        <v>-1258900</v>
      </c>
      <c r="V663" s="417">
        <v>-1618055</v>
      </c>
      <c r="W663" s="417">
        <v>0</v>
      </c>
      <c r="X663" s="378">
        <v>2.4133000000000002E-3</v>
      </c>
      <c r="Z663" s="417">
        <v>966773</v>
      </c>
      <c r="AA663" s="417">
        <v>679211</v>
      </c>
      <c r="AB663" s="417">
        <v>679206</v>
      </c>
      <c r="AC663" s="417">
        <v>0</v>
      </c>
      <c r="AD663" s="417">
        <v>0</v>
      </c>
      <c r="AE663" s="378">
        <v>2.4133000000000002E-3</v>
      </c>
      <c r="AF663" s="378"/>
      <c r="AG663" s="417">
        <v>20146</v>
      </c>
      <c r="AH663" s="417">
        <v>20146</v>
      </c>
      <c r="AI663" s="417">
        <v>20146</v>
      </c>
      <c r="AJ663" s="417">
        <v>0</v>
      </c>
      <c r="AK663" s="417">
        <v>0</v>
      </c>
      <c r="AL663" s="378">
        <v>2.4133000000000002E-3</v>
      </c>
      <c r="AM663" s="378"/>
      <c r="AN663" s="417">
        <v>-50783</v>
      </c>
      <c r="AO663" s="417">
        <v>-46767</v>
      </c>
      <c r="AP663" s="417">
        <v>0</v>
      </c>
      <c r="AQ663" s="417">
        <v>0</v>
      </c>
      <c r="AR663" s="417">
        <v>0</v>
      </c>
    </row>
    <row r="664" spans="1:44">
      <c r="A664" s="377">
        <v>97302</v>
      </c>
      <c r="B664" t="s">
        <v>3611</v>
      </c>
      <c r="C664" s="378">
        <v>4.6400000000000003E-5</v>
      </c>
      <c r="D664" s="378"/>
      <c r="E664" s="417">
        <v>34994</v>
      </c>
      <c r="F664" s="417">
        <v>26221</v>
      </c>
      <c r="G664" s="417">
        <v>-2669</v>
      </c>
      <c r="H664" s="417">
        <v>-31110</v>
      </c>
      <c r="I664" s="417">
        <v>0</v>
      </c>
      <c r="J664" s="378">
        <v>4.6400000000000003E-5</v>
      </c>
      <c r="K664" s="378"/>
      <c r="L664" s="417">
        <v>11359</v>
      </c>
      <c r="M664" s="417">
        <v>7845</v>
      </c>
      <c r="N664" s="417">
        <v>3434</v>
      </c>
      <c r="O664" s="417">
        <v>0</v>
      </c>
      <c r="P664" s="417">
        <v>0</v>
      </c>
      <c r="Q664" s="378">
        <v>4.6400000000000003E-5</v>
      </c>
      <c r="R664" s="378"/>
      <c r="S664" s="417">
        <v>-23310</v>
      </c>
      <c r="T664" s="417">
        <v>-23040</v>
      </c>
      <c r="U664" s="417">
        <v>-24205</v>
      </c>
      <c r="V664" s="417">
        <v>-31110</v>
      </c>
      <c r="W664" s="417">
        <v>0</v>
      </c>
      <c r="X664" s="378">
        <v>4.6400000000000003E-5</v>
      </c>
      <c r="Z664" s="417">
        <v>18588</v>
      </c>
      <c r="AA664" s="417">
        <v>13059</v>
      </c>
      <c r="AB664" s="417">
        <v>13059</v>
      </c>
      <c r="AC664" s="417">
        <v>0</v>
      </c>
      <c r="AD664" s="417">
        <v>0</v>
      </c>
      <c r="AE664" s="378">
        <v>4.6400000000000003E-5</v>
      </c>
      <c r="AF664" s="378"/>
      <c r="AG664" s="417">
        <v>28357</v>
      </c>
      <c r="AH664" s="417">
        <v>28357</v>
      </c>
      <c r="AI664" s="417">
        <v>5043</v>
      </c>
      <c r="AJ664" s="417">
        <v>0</v>
      </c>
      <c r="AK664" s="417">
        <v>0</v>
      </c>
      <c r="AL664" s="378">
        <v>4.6400000000000003E-5</v>
      </c>
      <c r="AM664" s="378"/>
      <c r="AN664" s="417">
        <v>0</v>
      </c>
      <c r="AO664" s="417">
        <v>0</v>
      </c>
      <c r="AP664" s="417">
        <v>0</v>
      </c>
      <c r="AQ664" s="417">
        <v>0</v>
      </c>
      <c r="AR664" s="417">
        <v>0</v>
      </c>
    </row>
    <row r="665" spans="1:44">
      <c r="A665" s="377">
        <v>97304</v>
      </c>
      <c r="B665" t="s">
        <v>1364</v>
      </c>
      <c r="C665" s="378">
        <v>1.9599999999999999E-5</v>
      </c>
      <c r="D665" s="378"/>
      <c r="E665" s="417">
        <v>14079</v>
      </c>
      <c r="F665" s="417">
        <v>9390</v>
      </c>
      <c r="G665" s="417">
        <v>3251</v>
      </c>
      <c r="H665" s="417">
        <v>-13141</v>
      </c>
      <c r="I665" s="417">
        <v>0</v>
      </c>
      <c r="J665" s="378">
        <v>1.9599999999999999E-5</v>
      </c>
      <c r="K665" s="378"/>
      <c r="L665" s="417">
        <v>4798</v>
      </c>
      <c r="M665" s="417">
        <v>3314</v>
      </c>
      <c r="N665" s="417">
        <v>1451</v>
      </c>
      <c r="O665" s="417">
        <v>0</v>
      </c>
      <c r="P665" s="417">
        <v>0</v>
      </c>
      <c r="Q665" s="378">
        <v>1.9599999999999999E-5</v>
      </c>
      <c r="R665" s="378"/>
      <c r="S665" s="417">
        <v>-9846</v>
      </c>
      <c r="T665" s="417">
        <v>-9732</v>
      </c>
      <c r="U665" s="417">
        <v>-10224</v>
      </c>
      <c r="V665" s="417">
        <v>-13141</v>
      </c>
      <c r="W665" s="417">
        <v>0</v>
      </c>
      <c r="X665" s="378">
        <v>1.9599999999999999E-5</v>
      </c>
      <c r="Z665" s="417">
        <v>7852</v>
      </c>
      <c r="AA665" s="417">
        <v>5516</v>
      </c>
      <c r="AB665" s="417">
        <v>5516</v>
      </c>
      <c r="AC665" s="417">
        <v>0</v>
      </c>
      <c r="AD665" s="417">
        <v>0</v>
      </c>
      <c r="AE665" s="378">
        <v>1.9599999999999999E-5</v>
      </c>
      <c r="AF665" s="378"/>
      <c r="AG665" s="417">
        <v>11275</v>
      </c>
      <c r="AH665" s="417">
        <v>10292</v>
      </c>
      <c r="AI665" s="417">
        <v>6508</v>
      </c>
      <c r="AJ665" s="417">
        <v>0</v>
      </c>
      <c r="AK665" s="417">
        <v>0</v>
      </c>
      <c r="AL665" s="378">
        <v>1.9599999999999999E-5</v>
      </c>
      <c r="AM665" s="378"/>
      <c r="AN665" s="417">
        <v>0</v>
      </c>
      <c r="AO665" s="417">
        <v>0</v>
      </c>
      <c r="AP665" s="417">
        <v>0</v>
      </c>
      <c r="AQ665" s="417">
        <v>0</v>
      </c>
      <c r="AR665" s="417">
        <v>0</v>
      </c>
    </row>
    <row r="666" spans="1:44">
      <c r="A666" s="377">
        <v>97311</v>
      </c>
      <c r="B666" t="s">
        <v>1365</v>
      </c>
      <c r="C666" s="378">
        <v>8.6180000000000002E-4</v>
      </c>
      <c r="D666" s="378"/>
      <c r="E666" s="417">
        <v>105440</v>
      </c>
      <c r="F666" s="417">
        <v>-50524</v>
      </c>
      <c r="G666" s="417">
        <v>-131432</v>
      </c>
      <c r="H666" s="417">
        <v>-577814</v>
      </c>
      <c r="I666" s="417">
        <v>0</v>
      </c>
      <c r="J666" s="378">
        <v>8.6180000000000002E-4</v>
      </c>
      <c r="K666" s="378"/>
      <c r="L666" s="417">
        <v>210976</v>
      </c>
      <c r="M666" s="417">
        <v>145706</v>
      </c>
      <c r="N666" s="417">
        <v>63784</v>
      </c>
      <c r="O666" s="417">
        <v>0</v>
      </c>
      <c r="P666" s="417">
        <v>0</v>
      </c>
      <c r="Q666" s="378">
        <v>8.6180000000000002E-4</v>
      </c>
      <c r="R666" s="378"/>
      <c r="S666" s="417">
        <v>-432941</v>
      </c>
      <c r="T666" s="417">
        <v>-427931</v>
      </c>
      <c r="U666" s="417">
        <v>-449559</v>
      </c>
      <c r="V666" s="417">
        <v>-577814</v>
      </c>
      <c r="W666" s="417">
        <v>0</v>
      </c>
      <c r="X666" s="378">
        <v>8.6180000000000002E-4</v>
      </c>
      <c r="Z666" s="417">
        <v>345239</v>
      </c>
      <c r="AA666" s="417">
        <v>242549</v>
      </c>
      <c r="AB666" s="417">
        <v>242548</v>
      </c>
      <c r="AC666" s="417">
        <v>0</v>
      </c>
      <c r="AD666" s="417">
        <v>0</v>
      </c>
      <c r="AE666" s="378">
        <v>8.6180000000000002E-4</v>
      </c>
      <c r="AF666" s="378"/>
      <c r="AG666" s="417">
        <v>11796</v>
      </c>
      <c r="AH666" s="417">
        <v>11796</v>
      </c>
      <c r="AI666" s="417">
        <v>11795</v>
      </c>
      <c r="AJ666" s="417">
        <v>0</v>
      </c>
      <c r="AK666" s="417">
        <v>0</v>
      </c>
      <c r="AL666" s="378">
        <v>8.6180000000000002E-4</v>
      </c>
      <c r="AM666" s="378"/>
      <c r="AN666" s="417">
        <v>-29630</v>
      </c>
      <c r="AO666" s="417">
        <v>-22644</v>
      </c>
      <c r="AP666" s="417">
        <v>0</v>
      </c>
      <c r="AQ666" s="417">
        <v>0</v>
      </c>
      <c r="AR666" s="417">
        <v>0</v>
      </c>
    </row>
    <row r="667" spans="1:44">
      <c r="A667" s="377">
        <v>97401</v>
      </c>
      <c r="B667" t="s">
        <v>1366</v>
      </c>
      <c r="C667" s="378">
        <v>7.1457999999999999E-3</v>
      </c>
      <c r="D667" s="378"/>
      <c r="E667" s="417">
        <v>1049601</v>
      </c>
      <c r="F667" s="417">
        <v>-321817</v>
      </c>
      <c r="G667" s="417">
        <v>-1103208</v>
      </c>
      <c r="H667" s="417">
        <v>-4791073</v>
      </c>
      <c r="I667" s="417">
        <v>0</v>
      </c>
      <c r="J667" s="378">
        <v>7.1457999999999999E-3</v>
      </c>
      <c r="K667" s="378"/>
      <c r="L667" s="417">
        <v>1749349</v>
      </c>
      <c r="M667" s="417">
        <v>1208155</v>
      </c>
      <c r="N667" s="417">
        <v>528875</v>
      </c>
      <c r="O667" s="417">
        <v>0</v>
      </c>
      <c r="P667" s="417">
        <v>0</v>
      </c>
      <c r="Q667" s="378">
        <v>7.1457999999999999E-3</v>
      </c>
      <c r="R667" s="378"/>
      <c r="S667" s="417">
        <v>-3589821</v>
      </c>
      <c r="T667" s="417">
        <v>-3548283</v>
      </c>
      <c r="U667" s="417">
        <v>-3727614</v>
      </c>
      <c r="V667" s="417">
        <v>-4791073</v>
      </c>
      <c r="W667" s="417">
        <v>0</v>
      </c>
      <c r="X667" s="378">
        <v>7.1457999999999999E-3</v>
      </c>
      <c r="Z667" s="417">
        <v>2862622</v>
      </c>
      <c r="AA667" s="417">
        <v>2011150</v>
      </c>
      <c r="AB667" s="417">
        <v>2011135</v>
      </c>
      <c r="AC667" s="417">
        <v>0</v>
      </c>
      <c r="AD667" s="417">
        <v>0</v>
      </c>
      <c r="AE667" s="378">
        <v>7.1457999999999999E-3</v>
      </c>
      <c r="AF667" s="378"/>
      <c r="AG667" s="417">
        <v>104685</v>
      </c>
      <c r="AH667" s="417">
        <v>84397</v>
      </c>
      <c r="AI667" s="417">
        <v>84396</v>
      </c>
      <c r="AJ667" s="417">
        <v>0</v>
      </c>
      <c r="AK667" s="417">
        <v>0</v>
      </c>
      <c r="AL667" s="378">
        <v>7.1457999999999999E-3</v>
      </c>
      <c r="AM667" s="378"/>
      <c r="AN667" s="417">
        <v>-77234</v>
      </c>
      <c r="AO667" s="417">
        <v>-77236</v>
      </c>
      <c r="AP667" s="417">
        <v>0</v>
      </c>
      <c r="AQ667" s="417">
        <v>0</v>
      </c>
      <c r="AR667" s="417">
        <v>0</v>
      </c>
    </row>
    <row r="668" spans="1:44">
      <c r="A668" s="377">
        <v>97402</v>
      </c>
      <c r="B668" t="s">
        <v>1367</v>
      </c>
      <c r="C668" s="378">
        <v>5.0399999999999999E-5</v>
      </c>
      <c r="D668" s="378"/>
      <c r="E668" s="417">
        <v>12588</v>
      </c>
      <c r="F668" s="417">
        <v>2437</v>
      </c>
      <c r="G668" s="417">
        <v>-9158</v>
      </c>
      <c r="H668" s="417">
        <v>-33792</v>
      </c>
      <c r="I668" s="417">
        <v>0</v>
      </c>
      <c r="J668" s="378">
        <v>5.0399999999999999E-5</v>
      </c>
      <c r="K668" s="378"/>
      <c r="L668" s="417">
        <v>12338</v>
      </c>
      <c r="M668" s="417">
        <v>8521</v>
      </c>
      <c r="N668" s="417">
        <v>3730</v>
      </c>
      <c r="O668" s="417">
        <v>0</v>
      </c>
      <c r="P668" s="417">
        <v>0</v>
      </c>
      <c r="Q668" s="378">
        <v>5.0399999999999999E-5</v>
      </c>
      <c r="R668" s="378"/>
      <c r="S668" s="417">
        <v>-25319</v>
      </c>
      <c r="T668" s="417">
        <v>-25026</v>
      </c>
      <c r="U668" s="417">
        <v>-26291</v>
      </c>
      <c r="V668" s="417">
        <v>-33792</v>
      </c>
      <c r="W668" s="417">
        <v>0</v>
      </c>
      <c r="X668" s="378">
        <v>5.0399999999999999E-5</v>
      </c>
      <c r="Z668" s="417">
        <v>20190</v>
      </c>
      <c r="AA668" s="417">
        <v>14185</v>
      </c>
      <c r="AB668" s="417">
        <v>14185</v>
      </c>
      <c r="AC668" s="417">
        <v>0</v>
      </c>
      <c r="AD668" s="417">
        <v>0</v>
      </c>
      <c r="AE668" s="378">
        <v>5.0399999999999999E-5</v>
      </c>
      <c r="AF668" s="378"/>
      <c r="AG668" s="417">
        <v>6172</v>
      </c>
      <c r="AH668" s="417">
        <v>5551</v>
      </c>
      <c r="AI668" s="417">
        <v>0</v>
      </c>
      <c r="AJ668" s="417">
        <v>0</v>
      </c>
      <c r="AK668" s="417">
        <v>0</v>
      </c>
      <c r="AL668" s="378">
        <v>5.0399999999999999E-5</v>
      </c>
      <c r="AM668" s="378"/>
      <c r="AN668" s="417">
        <v>-793</v>
      </c>
      <c r="AO668" s="417">
        <v>-794</v>
      </c>
      <c r="AP668" s="417">
        <v>-782</v>
      </c>
      <c r="AQ668" s="417">
        <v>0</v>
      </c>
      <c r="AR668" s="417">
        <v>0</v>
      </c>
    </row>
    <row r="669" spans="1:44">
      <c r="A669" s="377">
        <v>97404</v>
      </c>
      <c r="B669" t="s">
        <v>1368</v>
      </c>
      <c r="C669" s="378">
        <v>2.321E-4</v>
      </c>
      <c r="D669" s="378"/>
      <c r="E669" s="417">
        <v>37337</v>
      </c>
      <c r="F669" s="417">
        <v>-3559</v>
      </c>
      <c r="G669" s="417">
        <v>-29699</v>
      </c>
      <c r="H669" s="417">
        <v>-155617</v>
      </c>
      <c r="I669" s="417">
        <v>0</v>
      </c>
      <c r="J669" s="378">
        <v>2.321E-4</v>
      </c>
      <c r="K669" s="378"/>
      <c r="L669" s="417">
        <v>56820</v>
      </c>
      <c r="M669" s="417">
        <v>39242</v>
      </c>
      <c r="N669" s="417">
        <v>17178</v>
      </c>
      <c r="O669" s="417">
        <v>0</v>
      </c>
      <c r="P669" s="417">
        <v>0</v>
      </c>
      <c r="Q669" s="378">
        <v>2.321E-4</v>
      </c>
      <c r="R669" s="378"/>
      <c r="S669" s="417">
        <v>-116600</v>
      </c>
      <c r="T669" s="417">
        <v>-115250</v>
      </c>
      <c r="U669" s="417">
        <v>-121075</v>
      </c>
      <c r="V669" s="417">
        <v>-155617</v>
      </c>
      <c r="W669" s="417">
        <v>0</v>
      </c>
      <c r="X669" s="378">
        <v>2.321E-4</v>
      </c>
      <c r="Z669" s="417">
        <v>92980</v>
      </c>
      <c r="AA669" s="417">
        <v>65323</v>
      </c>
      <c r="AB669" s="417">
        <v>65323</v>
      </c>
      <c r="AC669" s="417">
        <v>0</v>
      </c>
      <c r="AD669" s="417">
        <v>0</v>
      </c>
      <c r="AE669" s="378">
        <v>2.321E-4</v>
      </c>
      <c r="AF669" s="378"/>
      <c r="AG669" s="417">
        <v>9078</v>
      </c>
      <c r="AH669" s="417">
        <v>9078</v>
      </c>
      <c r="AI669" s="417">
        <v>8875</v>
      </c>
      <c r="AJ669" s="417">
        <v>0</v>
      </c>
      <c r="AK669" s="417">
        <v>0</v>
      </c>
      <c r="AL669" s="378">
        <v>2.321E-4</v>
      </c>
      <c r="AM669" s="378"/>
      <c r="AN669" s="417">
        <v>-4941</v>
      </c>
      <c r="AO669" s="417">
        <v>-1952</v>
      </c>
      <c r="AP669" s="417">
        <v>0</v>
      </c>
      <c r="AQ669" s="417">
        <v>0</v>
      </c>
      <c r="AR669" s="417">
        <v>0</v>
      </c>
    </row>
    <row r="670" spans="1:44">
      <c r="A670" s="377">
        <v>97405</v>
      </c>
      <c r="B670" t="s">
        <v>1369</v>
      </c>
      <c r="C670" s="378">
        <v>9.7899999999999994E-5</v>
      </c>
      <c r="D670" s="378"/>
      <c r="E670" s="417">
        <v>23730</v>
      </c>
      <c r="F670" s="417">
        <v>1145</v>
      </c>
      <c r="G670" s="417">
        <v>-13520</v>
      </c>
      <c r="H670" s="417">
        <v>-65639</v>
      </c>
      <c r="I670" s="417">
        <v>0</v>
      </c>
      <c r="J670" s="378">
        <v>9.7899999999999994E-5</v>
      </c>
      <c r="K670" s="378"/>
      <c r="L670" s="417">
        <v>23967</v>
      </c>
      <c r="M670" s="417">
        <v>16552</v>
      </c>
      <c r="N670" s="417">
        <v>7246</v>
      </c>
      <c r="O670" s="417">
        <v>0</v>
      </c>
      <c r="P670" s="417">
        <v>0</v>
      </c>
      <c r="Q670" s="378">
        <v>9.7899999999999994E-5</v>
      </c>
      <c r="R670" s="378"/>
      <c r="S670" s="417">
        <v>-49182</v>
      </c>
      <c r="T670" s="417">
        <v>-48613</v>
      </c>
      <c r="U670" s="417">
        <v>-51070</v>
      </c>
      <c r="V670" s="417">
        <v>-65639</v>
      </c>
      <c r="W670" s="417">
        <v>0</v>
      </c>
      <c r="X670" s="378">
        <v>9.7899999999999994E-5</v>
      </c>
      <c r="Z670" s="417">
        <v>39219</v>
      </c>
      <c r="AA670" s="417">
        <v>27553</v>
      </c>
      <c r="AB670" s="417">
        <v>27553</v>
      </c>
      <c r="AC670" s="417">
        <v>0</v>
      </c>
      <c r="AD670" s="417">
        <v>0</v>
      </c>
      <c r="AE670" s="378">
        <v>9.7899999999999994E-5</v>
      </c>
      <c r="AF670" s="378"/>
      <c r="AG670" s="417">
        <v>9726</v>
      </c>
      <c r="AH670" s="417">
        <v>5653</v>
      </c>
      <c r="AI670" s="417">
        <v>2751</v>
      </c>
      <c r="AJ670" s="417">
        <v>0</v>
      </c>
      <c r="AK670" s="417">
        <v>0</v>
      </c>
      <c r="AL670" s="378">
        <v>9.7899999999999994E-5</v>
      </c>
      <c r="AM670" s="378"/>
      <c r="AN670" s="417">
        <v>0</v>
      </c>
      <c r="AO670" s="417">
        <v>0</v>
      </c>
      <c r="AP670" s="417">
        <v>0</v>
      </c>
      <c r="AQ670" s="417">
        <v>0</v>
      </c>
      <c r="AR670" s="417">
        <v>0</v>
      </c>
    </row>
    <row r="671" spans="1:44">
      <c r="A671" s="377">
        <v>97408</v>
      </c>
      <c r="B671" t="s">
        <v>1370</v>
      </c>
      <c r="C671" s="378">
        <v>3.8099999999999998E-5</v>
      </c>
      <c r="D671" s="378"/>
      <c r="E671" s="417">
        <v>9916</v>
      </c>
      <c r="F671" s="417">
        <v>2161</v>
      </c>
      <c r="G671" s="417">
        <v>-5893</v>
      </c>
      <c r="H671" s="417">
        <v>-25545</v>
      </c>
      <c r="I671" s="417">
        <v>0</v>
      </c>
      <c r="J671" s="378">
        <v>3.8099999999999998E-5</v>
      </c>
      <c r="K671" s="378"/>
      <c r="L671" s="417">
        <v>9327</v>
      </c>
      <c r="M671" s="417">
        <v>6442</v>
      </c>
      <c r="N671" s="417">
        <v>2820</v>
      </c>
      <c r="O671" s="417">
        <v>0</v>
      </c>
      <c r="P671" s="417">
        <v>0</v>
      </c>
      <c r="Q671" s="378">
        <v>3.8099999999999998E-5</v>
      </c>
      <c r="R671" s="378"/>
      <c r="S671" s="417">
        <v>-19140</v>
      </c>
      <c r="T671" s="417">
        <v>-18919</v>
      </c>
      <c r="U671" s="417">
        <v>-19875</v>
      </c>
      <c r="V671" s="417">
        <v>-25545</v>
      </c>
      <c r="W671" s="417">
        <v>0</v>
      </c>
      <c r="X671" s="378">
        <v>3.8099999999999998E-5</v>
      </c>
      <c r="Z671" s="417">
        <v>15263</v>
      </c>
      <c r="AA671" s="417">
        <v>10723</v>
      </c>
      <c r="AB671" s="417">
        <v>10723</v>
      </c>
      <c r="AC671" s="417">
        <v>0</v>
      </c>
      <c r="AD671" s="417">
        <v>0</v>
      </c>
      <c r="AE671" s="378">
        <v>3.8099999999999998E-5</v>
      </c>
      <c r="AF671" s="378"/>
      <c r="AG671" s="417">
        <v>4466</v>
      </c>
      <c r="AH671" s="417">
        <v>3915</v>
      </c>
      <c r="AI671" s="417">
        <v>439</v>
      </c>
      <c r="AJ671" s="417">
        <v>0</v>
      </c>
      <c r="AK671" s="417">
        <v>0</v>
      </c>
      <c r="AL671" s="378">
        <v>3.8099999999999998E-5</v>
      </c>
      <c r="AM671" s="378"/>
      <c r="AN671" s="417">
        <v>0</v>
      </c>
      <c r="AO671" s="417">
        <v>0</v>
      </c>
      <c r="AP671" s="417">
        <v>0</v>
      </c>
      <c r="AQ671" s="417">
        <v>0</v>
      </c>
      <c r="AR671" s="417">
        <v>0</v>
      </c>
    </row>
    <row r="672" spans="1:44">
      <c r="A672" s="377">
        <v>97411</v>
      </c>
      <c r="B672" t="s">
        <v>1371</v>
      </c>
      <c r="C672" s="378">
        <v>5.8314999999999999E-3</v>
      </c>
      <c r="D672" s="378"/>
      <c r="E672" s="417">
        <v>361800</v>
      </c>
      <c r="F672" s="417">
        <v>-664536</v>
      </c>
      <c r="G672" s="417">
        <v>-1311765</v>
      </c>
      <c r="H672" s="417">
        <v>-3909869</v>
      </c>
      <c r="I672" s="417">
        <v>0</v>
      </c>
      <c r="J672" s="378">
        <v>5.8314999999999999E-3</v>
      </c>
      <c r="K672" s="378"/>
      <c r="L672" s="417">
        <v>1427598</v>
      </c>
      <c r="M672" s="417">
        <v>985943</v>
      </c>
      <c r="N672" s="417">
        <v>431601</v>
      </c>
      <c r="O672" s="417">
        <v>0</v>
      </c>
      <c r="P672" s="417">
        <v>0</v>
      </c>
      <c r="Q672" s="378">
        <v>5.8314999999999999E-3</v>
      </c>
      <c r="R672" s="378"/>
      <c r="S672" s="417">
        <v>-2929559</v>
      </c>
      <c r="T672" s="417">
        <v>-2895660</v>
      </c>
      <c r="U672" s="417">
        <v>-3042008</v>
      </c>
      <c r="V672" s="417">
        <v>-3909869</v>
      </c>
      <c r="W672" s="417">
        <v>0</v>
      </c>
      <c r="X672" s="378">
        <v>5.8314999999999999E-3</v>
      </c>
      <c r="Z672" s="417">
        <v>2336111</v>
      </c>
      <c r="AA672" s="417">
        <v>1641247</v>
      </c>
      <c r="AB672" s="417">
        <v>1641235</v>
      </c>
      <c r="AC672" s="417">
        <v>0</v>
      </c>
      <c r="AD672" s="417">
        <v>0</v>
      </c>
      <c r="AE672" s="378">
        <v>5.8314999999999999E-3</v>
      </c>
      <c r="AF672" s="378"/>
      <c r="AG672" s="417">
        <v>8440</v>
      </c>
      <c r="AH672" s="417">
        <v>8440</v>
      </c>
      <c r="AI672" s="417">
        <v>0</v>
      </c>
      <c r="AJ672" s="417">
        <v>0</v>
      </c>
      <c r="AK672" s="417">
        <v>0</v>
      </c>
      <c r="AL672" s="378">
        <v>5.8314999999999999E-3</v>
      </c>
      <c r="AM672" s="378"/>
      <c r="AN672" s="417">
        <v>-480790</v>
      </c>
      <c r="AO672" s="417">
        <v>-404506</v>
      </c>
      <c r="AP672" s="417">
        <v>-342593</v>
      </c>
      <c r="AQ672" s="417">
        <v>0</v>
      </c>
      <c r="AR672" s="417">
        <v>0</v>
      </c>
    </row>
    <row r="673" spans="1:46">
      <c r="A673" s="377">
        <v>97412</v>
      </c>
      <c r="B673" t="s">
        <v>1372</v>
      </c>
      <c r="C673" s="378">
        <v>4.1450999999999997E-3</v>
      </c>
      <c r="D673" s="378"/>
      <c r="E673" s="417">
        <v>480707</v>
      </c>
      <c r="F673" s="417">
        <v>-325304</v>
      </c>
      <c r="G673" s="417">
        <v>-781829</v>
      </c>
      <c r="H673" s="417">
        <v>-2779182</v>
      </c>
      <c r="I673" s="417">
        <v>0</v>
      </c>
      <c r="J673" s="378">
        <v>4.1450999999999997E-3</v>
      </c>
      <c r="K673" s="378"/>
      <c r="L673" s="417">
        <v>1014754</v>
      </c>
      <c r="M673" s="417">
        <v>700820</v>
      </c>
      <c r="N673" s="417">
        <v>306787</v>
      </c>
      <c r="O673" s="417">
        <v>0</v>
      </c>
      <c r="P673" s="417">
        <v>0</v>
      </c>
      <c r="Q673" s="378">
        <v>4.1450999999999997E-3</v>
      </c>
      <c r="R673" s="378"/>
      <c r="S673" s="417">
        <v>-2082366</v>
      </c>
      <c r="T673" s="417">
        <v>-2058270</v>
      </c>
      <c r="U673" s="417">
        <v>-2162296</v>
      </c>
      <c r="V673" s="417">
        <v>-2779182</v>
      </c>
      <c r="W673" s="417">
        <v>0</v>
      </c>
      <c r="X673" s="378">
        <v>4.1450999999999997E-3</v>
      </c>
      <c r="Z673" s="417">
        <v>1660535</v>
      </c>
      <c r="AA673" s="417">
        <v>1166618</v>
      </c>
      <c r="AB673" s="417">
        <v>1166609</v>
      </c>
      <c r="AC673" s="417">
        <v>0</v>
      </c>
      <c r="AD673" s="417">
        <v>0</v>
      </c>
      <c r="AE673" s="378">
        <v>4.1450999999999997E-3</v>
      </c>
      <c r="AF673" s="378"/>
      <c r="AG673" s="417">
        <v>22254</v>
      </c>
      <c r="AH673" s="417">
        <v>0</v>
      </c>
      <c r="AI673" s="417">
        <v>0</v>
      </c>
      <c r="AJ673" s="417">
        <v>0</v>
      </c>
      <c r="AK673" s="417">
        <v>0</v>
      </c>
      <c r="AL673" s="378">
        <v>4.1450999999999997E-3</v>
      </c>
      <c r="AM673" s="378"/>
      <c r="AN673" s="417">
        <v>-134470</v>
      </c>
      <c r="AO673" s="417">
        <v>-134472</v>
      </c>
      <c r="AP673" s="417">
        <v>-92929</v>
      </c>
      <c r="AQ673" s="417">
        <v>0</v>
      </c>
      <c r="AR673" s="417">
        <v>0</v>
      </c>
    </row>
    <row r="674" spans="1:46">
      <c r="A674" s="377">
        <v>97413</v>
      </c>
      <c r="B674" t="s">
        <v>1373</v>
      </c>
      <c r="C674" s="378">
        <v>3.165E-4</v>
      </c>
      <c r="D674" s="378"/>
      <c r="E674" s="417">
        <v>93170</v>
      </c>
      <c r="F674" s="417">
        <v>29337</v>
      </c>
      <c r="G674" s="417">
        <v>-18639</v>
      </c>
      <c r="H674" s="417">
        <v>-212205</v>
      </c>
      <c r="I674" s="417">
        <v>0</v>
      </c>
      <c r="J674" s="378">
        <v>3.165E-4</v>
      </c>
      <c r="K674" s="378"/>
      <c r="L674" s="417">
        <v>77482</v>
      </c>
      <c r="M674" s="417">
        <v>53511</v>
      </c>
      <c r="N674" s="417">
        <v>23425</v>
      </c>
      <c r="O674" s="417">
        <v>0</v>
      </c>
      <c r="P674" s="417">
        <v>0</v>
      </c>
      <c r="Q674" s="378">
        <v>3.165E-4</v>
      </c>
      <c r="R674" s="378"/>
      <c r="S674" s="417">
        <v>-158999</v>
      </c>
      <c r="T674" s="417">
        <v>-157160</v>
      </c>
      <c r="U674" s="417">
        <v>-165103</v>
      </c>
      <c r="V674" s="417">
        <v>-212205</v>
      </c>
      <c r="W674" s="417">
        <v>0</v>
      </c>
      <c r="X674" s="378">
        <v>3.165E-4</v>
      </c>
      <c r="Z674" s="417">
        <v>126791</v>
      </c>
      <c r="AA674" s="417">
        <v>89077</v>
      </c>
      <c r="AB674" s="417">
        <v>89077</v>
      </c>
      <c r="AC674" s="417">
        <v>0</v>
      </c>
      <c r="AD674" s="417">
        <v>0</v>
      </c>
      <c r="AE674" s="378">
        <v>3.165E-4</v>
      </c>
      <c r="AF674" s="378"/>
      <c r="AG674" s="417">
        <v>47896</v>
      </c>
      <c r="AH674" s="417">
        <v>43909</v>
      </c>
      <c r="AI674" s="417">
        <v>33962</v>
      </c>
      <c r="AJ674" s="417">
        <v>0</v>
      </c>
      <c r="AK674" s="417">
        <v>0</v>
      </c>
      <c r="AL674" s="378">
        <v>3.165E-4</v>
      </c>
      <c r="AM674" s="378"/>
      <c r="AN674" s="417">
        <v>0</v>
      </c>
      <c r="AO674" s="417">
        <v>0</v>
      </c>
      <c r="AP674" s="417">
        <v>0</v>
      </c>
      <c r="AQ674" s="417">
        <v>0</v>
      </c>
      <c r="AR674" s="417">
        <v>0</v>
      </c>
    </row>
    <row r="675" spans="1:46">
      <c r="A675" s="377">
        <v>97421</v>
      </c>
      <c r="B675" t="s">
        <v>1374</v>
      </c>
      <c r="C675" s="378">
        <v>4.3879999999999999E-4</v>
      </c>
      <c r="D675" s="378"/>
      <c r="E675" s="417">
        <v>53858</v>
      </c>
      <c r="F675" s="417">
        <v>-30749</v>
      </c>
      <c r="G675" s="417">
        <v>-70745</v>
      </c>
      <c r="H675" s="417">
        <v>-294204</v>
      </c>
      <c r="I675" s="417">
        <v>0</v>
      </c>
      <c r="J675" s="378">
        <v>4.3879999999999999E-4</v>
      </c>
      <c r="K675" s="378"/>
      <c r="L675" s="417">
        <v>107422</v>
      </c>
      <c r="M675" s="417">
        <v>74189</v>
      </c>
      <c r="N675" s="417">
        <v>32476</v>
      </c>
      <c r="O675" s="417">
        <v>0</v>
      </c>
      <c r="P675" s="417">
        <v>0</v>
      </c>
      <c r="Q675" s="378">
        <v>4.3879999999999999E-4</v>
      </c>
      <c r="R675" s="378"/>
      <c r="S675" s="417">
        <v>-220439</v>
      </c>
      <c r="T675" s="417">
        <v>-217888</v>
      </c>
      <c r="U675" s="417">
        <v>-228900</v>
      </c>
      <c r="V675" s="417">
        <v>-294204</v>
      </c>
      <c r="W675" s="417">
        <v>0</v>
      </c>
      <c r="X675" s="378">
        <v>4.3879999999999999E-4</v>
      </c>
      <c r="Z675" s="417">
        <v>175784</v>
      </c>
      <c r="AA675" s="417">
        <v>123498</v>
      </c>
      <c r="AB675" s="417">
        <v>123497</v>
      </c>
      <c r="AC675" s="417">
        <v>0</v>
      </c>
      <c r="AD675" s="417">
        <v>0</v>
      </c>
      <c r="AE675" s="378">
        <v>4.3879999999999999E-4</v>
      </c>
      <c r="AF675" s="378"/>
      <c r="AG675" s="417">
        <v>3822</v>
      </c>
      <c r="AH675" s="417">
        <v>2183</v>
      </c>
      <c r="AI675" s="417">
        <v>2182</v>
      </c>
      <c r="AJ675" s="417">
        <v>0</v>
      </c>
      <c r="AK675" s="417">
        <v>0</v>
      </c>
      <c r="AL675" s="378">
        <v>4.3879999999999999E-4</v>
      </c>
      <c r="AM675" s="378"/>
      <c r="AN675" s="417">
        <v>-12731</v>
      </c>
      <c r="AO675" s="417">
        <v>-12731</v>
      </c>
      <c r="AP675" s="417">
        <v>0</v>
      </c>
      <c r="AQ675" s="417">
        <v>0</v>
      </c>
      <c r="AR675" s="417">
        <v>0</v>
      </c>
    </row>
    <row r="676" spans="1:46">
      <c r="A676" s="377">
        <v>97423</v>
      </c>
      <c r="B676" t="s">
        <v>1375</v>
      </c>
      <c r="C676" s="378">
        <v>3.5299999999999997E-5</v>
      </c>
      <c r="D676" s="378"/>
      <c r="E676" s="417">
        <v>13574</v>
      </c>
      <c r="F676" s="417">
        <v>3412</v>
      </c>
      <c r="G676" s="417">
        <v>-4937</v>
      </c>
      <c r="H676" s="417">
        <v>-23668</v>
      </c>
      <c r="I676" s="417">
        <v>0</v>
      </c>
      <c r="J676" s="378">
        <v>3.5299999999999997E-5</v>
      </c>
      <c r="K676" s="378"/>
      <c r="L676" s="417">
        <v>8642</v>
      </c>
      <c r="M676" s="417">
        <v>5968</v>
      </c>
      <c r="N676" s="417">
        <v>2613</v>
      </c>
      <c r="O676" s="417">
        <v>0</v>
      </c>
      <c r="P676" s="417">
        <v>0</v>
      </c>
      <c r="Q676" s="378">
        <v>3.5299999999999997E-5</v>
      </c>
      <c r="R676" s="378"/>
      <c r="S676" s="417">
        <v>-17734</v>
      </c>
      <c r="T676" s="417">
        <v>-17528</v>
      </c>
      <c r="U676" s="417">
        <v>-18414</v>
      </c>
      <c r="V676" s="417">
        <v>-23668</v>
      </c>
      <c r="W676" s="417">
        <v>0</v>
      </c>
      <c r="X676" s="378">
        <v>3.5299999999999997E-5</v>
      </c>
      <c r="Z676" s="417">
        <v>14141</v>
      </c>
      <c r="AA676" s="417">
        <v>9935</v>
      </c>
      <c r="AB676" s="417">
        <v>9935</v>
      </c>
      <c r="AC676" s="417">
        <v>0</v>
      </c>
      <c r="AD676" s="417">
        <v>0</v>
      </c>
      <c r="AE676" s="378">
        <v>3.5299999999999997E-5</v>
      </c>
      <c r="AF676" s="378"/>
      <c r="AG676" s="417">
        <v>9992</v>
      </c>
      <c r="AH676" s="417">
        <v>6504</v>
      </c>
      <c r="AI676" s="417">
        <v>929</v>
      </c>
      <c r="AJ676" s="417">
        <v>0</v>
      </c>
      <c r="AK676" s="417">
        <v>0</v>
      </c>
      <c r="AL676" s="378">
        <v>3.5299999999999997E-5</v>
      </c>
      <c r="AM676" s="378"/>
      <c r="AN676" s="417">
        <v>-1467</v>
      </c>
      <c r="AO676" s="417">
        <v>-1467</v>
      </c>
      <c r="AP676" s="417">
        <v>0</v>
      </c>
      <c r="AQ676" s="417">
        <v>0</v>
      </c>
      <c r="AR676" s="417">
        <v>0</v>
      </c>
    </row>
    <row r="677" spans="1:46">
      <c r="A677" s="377">
        <v>97431</v>
      </c>
      <c r="B677" t="s">
        <v>1376</v>
      </c>
      <c r="C677" s="378">
        <v>9.3900000000000006E-5</v>
      </c>
      <c r="D677" s="378"/>
      <c r="E677" s="417">
        <v>17275</v>
      </c>
      <c r="F677" s="417">
        <v>-3694</v>
      </c>
      <c r="G677" s="417">
        <v>-15172</v>
      </c>
      <c r="H677" s="417">
        <v>-62958</v>
      </c>
      <c r="I677" s="417">
        <v>0</v>
      </c>
      <c r="J677" s="378">
        <v>9.3900000000000006E-5</v>
      </c>
      <c r="K677" s="378"/>
      <c r="L677" s="417">
        <v>22987</v>
      </c>
      <c r="M677" s="417">
        <v>15876</v>
      </c>
      <c r="N677" s="417">
        <v>6950</v>
      </c>
      <c r="O677" s="417">
        <v>0</v>
      </c>
      <c r="P677" s="417">
        <v>0</v>
      </c>
      <c r="Q677" s="378">
        <v>9.3900000000000006E-5</v>
      </c>
      <c r="R677" s="378"/>
      <c r="S677" s="417">
        <v>-47172</v>
      </c>
      <c r="T677" s="417">
        <v>-46627</v>
      </c>
      <c r="U677" s="417">
        <v>-48983</v>
      </c>
      <c r="V677" s="417">
        <v>-62958</v>
      </c>
      <c r="W677" s="417">
        <v>0</v>
      </c>
      <c r="X677" s="378">
        <v>9.3900000000000006E-5</v>
      </c>
      <c r="Z677" s="417">
        <v>37617</v>
      </c>
      <c r="AA677" s="417">
        <v>26428</v>
      </c>
      <c r="AB677" s="417">
        <v>26427</v>
      </c>
      <c r="AC677" s="417">
        <v>0</v>
      </c>
      <c r="AD677" s="417">
        <v>0</v>
      </c>
      <c r="AE677" s="378">
        <v>9.3900000000000006E-5</v>
      </c>
      <c r="AF677" s="378"/>
      <c r="AG677" s="417">
        <v>5619</v>
      </c>
      <c r="AH677" s="417">
        <v>2407</v>
      </c>
      <c r="AI677" s="417">
        <v>434</v>
      </c>
      <c r="AJ677" s="417">
        <v>0</v>
      </c>
      <c r="AK677" s="417">
        <v>0</v>
      </c>
      <c r="AL677" s="378">
        <v>9.3900000000000006E-5</v>
      </c>
      <c r="AM677" s="378"/>
      <c r="AN677" s="417">
        <v>-1776</v>
      </c>
      <c r="AO677" s="417">
        <v>-1778</v>
      </c>
      <c r="AP677" s="417">
        <v>0</v>
      </c>
      <c r="AQ677" s="417">
        <v>0</v>
      </c>
      <c r="AR677" s="417">
        <v>0</v>
      </c>
    </row>
    <row r="678" spans="1:46">
      <c r="A678" s="377">
        <v>97441</v>
      </c>
      <c r="B678" t="s">
        <v>1377</v>
      </c>
      <c r="C678" s="378">
        <v>5.3300000000000001E-5</v>
      </c>
      <c r="D678" s="378"/>
      <c r="E678" s="417">
        <v>-5732</v>
      </c>
      <c r="F678" s="417">
        <v>-10850</v>
      </c>
      <c r="G678" s="417">
        <v>-15571</v>
      </c>
      <c r="H678" s="417">
        <v>-35736</v>
      </c>
      <c r="I678" s="417">
        <v>0</v>
      </c>
      <c r="J678" s="378">
        <v>5.3300000000000001E-5</v>
      </c>
      <c r="K678" s="378"/>
      <c r="L678" s="417">
        <v>13048</v>
      </c>
      <c r="M678" s="417">
        <v>9012</v>
      </c>
      <c r="N678" s="417">
        <v>3945</v>
      </c>
      <c r="O678" s="417">
        <v>0</v>
      </c>
      <c r="P678" s="417">
        <v>0</v>
      </c>
      <c r="Q678" s="378">
        <v>5.3300000000000001E-5</v>
      </c>
      <c r="R678" s="378"/>
      <c r="S678" s="417">
        <v>-26776</v>
      </c>
      <c r="T678" s="417">
        <v>-26466</v>
      </c>
      <c r="U678" s="417">
        <v>-27804</v>
      </c>
      <c r="V678" s="417">
        <v>-35736</v>
      </c>
      <c r="W678" s="417">
        <v>0</v>
      </c>
      <c r="X678" s="378">
        <v>5.3300000000000001E-5</v>
      </c>
      <c r="Z678" s="417">
        <v>21352</v>
      </c>
      <c r="AA678" s="417">
        <v>15001</v>
      </c>
      <c r="AB678" s="417">
        <v>15001</v>
      </c>
      <c r="AC678" s="417">
        <v>0</v>
      </c>
      <c r="AD678" s="417">
        <v>0</v>
      </c>
      <c r="AE678" s="378">
        <v>5.3300000000000001E-5</v>
      </c>
      <c r="AF678" s="378"/>
      <c r="AG678" s="417">
        <v>0</v>
      </c>
      <c r="AH678" s="417">
        <v>0</v>
      </c>
      <c r="AI678" s="417">
        <v>0</v>
      </c>
      <c r="AJ678" s="417">
        <v>0</v>
      </c>
      <c r="AK678" s="417">
        <v>0</v>
      </c>
      <c r="AL678" s="378">
        <v>5.3300000000000001E-5</v>
      </c>
      <c r="AM678" s="378"/>
      <c r="AN678" s="417">
        <v>-13356</v>
      </c>
      <c r="AO678" s="417">
        <v>-8397</v>
      </c>
      <c r="AP678" s="417">
        <v>-6713</v>
      </c>
      <c r="AQ678" s="417">
        <v>0</v>
      </c>
      <c r="AR678" s="417">
        <v>0</v>
      </c>
    </row>
    <row r="679" spans="1:46">
      <c r="A679" s="377">
        <v>97451</v>
      </c>
      <c r="B679" t="s">
        <v>1378</v>
      </c>
      <c r="C679" s="378">
        <v>6.6299999999999996E-4</v>
      </c>
      <c r="D679" s="378"/>
      <c r="E679" s="417">
        <v>57500</v>
      </c>
      <c r="F679" s="417">
        <v>-70764</v>
      </c>
      <c r="G679" s="417">
        <v>-176224</v>
      </c>
      <c r="H679" s="417">
        <v>-444524</v>
      </c>
      <c r="I679" s="417">
        <v>0</v>
      </c>
      <c r="J679" s="378">
        <v>6.6299999999999996E-4</v>
      </c>
      <c r="K679" s="378"/>
      <c r="L679" s="417">
        <v>162308</v>
      </c>
      <c r="M679" s="417">
        <v>112095</v>
      </c>
      <c r="N679" s="417">
        <v>49070</v>
      </c>
      <c r="O679" s="417">
        <v>0</v>
      </c>
      <c r="P679" s="417">
        <v>0</v>
      </c>
      <c r="Q679" s="378">
        <v>6.6299999999999996E-4</v>
      </c>
      <c r="R679" s="378"/>
      <c r="S679" s="417">
        <v>-333070</v>
      </c>
      <c r="T679" s="417">
        <v>-329216</v>
      </c>
      <c r="U679" s="417">
        <v>-345855</v>
      </c>
      <c r="V679" s="417">
        <v>-444524</v>
      </c>
      <c r="W679" s="417">
        <v>0</v>
      </c>
      <c r="X679" s="378">
        <v>6.6299999999999996E-4</v>
      </c>
      <c r="Z679" s="417">
        <v>265599</v>
      </c>
      <c r="AA679" s="417">
        <v>186598</v>
      </c>
      <c r="AB679" s="417">
        <v>186597</v>
      </c>
      <c r="AC679" s="417">
        <v>0</v>
      </c>
      <c r="AD679" s="417">
        <v>0</v>
      </c>
      <c r="AE679" s="378">
        <v>6.6299999999999996E-4</v>
      </c>
      <c r="AF679" s="378"/>
      <c r="AG679" s="417">
        <v>29170</v>
      </c>
      <c r="AH679" s="417">
        <v>26266</v>
      </c>
      <c r="AI679" s="417">
        <v>0</v>
      </c>
      <c r="AJ679" s="417">
        <v>0</v>
      </c>
      <c r="AK679" s="417">
        <v>0</v>
      </c>
      <c r="AL679" s="378">
        <v>6.6299999999999996E-4</v>
      </c>
      <c r="AM679" s="378"/>
      <c r="AN679" s="417">
        <v>-66507</v>
      </c>
      <c r="AO679" s="417">
        <v>-66507</v>
      </c>
      <c r="AP679" s="417">
        <v>-66036</v>
      </c>
      <c r="AQ679" s="417">
        <v>0</v>
      </c>
      <c r="AR679" s="417">
        <v>0</v>
      </c>
    </row>
    <row r="680" spans="1:46">
      <c r="A680" s="377">
        <v>97461</v>
      </c>
      <c r="B680" t="s">
        <v>1379</v>
      </c>
      <c r="C680" s="378">
        <v>5.3189999999999997E-4</v>
      </c>
      <c r="D680" s="378"/>
      <c r="E680" s="417">
        <v>29276</v>
      </c>
      <c r="F680" s="417">
        <v>-61605</v>
      </c>
      <c r="G680" s="417">
        <v>-120087</v>
      </c>
      <c r="H680" s="417">
        <v>-356625</v>
      </c>
      <c r="I680" s="417">
        <v>0</v>
      </c>
      <c r="J680" s="378">
        <v>5.3189999999999997E-4</v>
      </c>
      <c r="K680" s="378"/>
      <c r="L680" s="417">
        <v>130213</v>
      </c>
      <c r="M680" s="417">
        <v>89929</v>
      </c>
      <c r="N680" s="417">
        <v>39367</v>
      </c>
      <c r="O680" s="417">
        <v>0</v>
      </c>
      <c r="P680" s="417">
        <v>0</v>
      </c>
      <c r="Q680" s="378">
        <v>5.3189999999999997E-4</v>
      </c>
      <c r="R680" s="378"/>
      <c r="S680" s="417">
        <v>-267210</v>
      </c>
      <c r="T680" s="417">
        <v>-264118</v>
      </c>
      <c r="U680" s="417">
        <v>-277466</v>
      </c>
      <c r="V680" s="417">
        <v>-356625</v>
      </c>
      <c r="W680" s="417">
        <v>0</v>
      </c>
      <c r="X680" s="378">
        <v>5.3189999999999997E-4</v>
      </c>
      <c r="Z680" s="417">
        <v>213080</v>
      </c>
      <c r="AA680" s="417">
        <v>149701</v>
      </c>
      <c r="AB680" s="417">
        <v>149700</v>
      </c>
      <c r="AC680" s="417">
        <v>0</v>
      </c>
      <c r="AD680" s="417">
        <v>0</v>
      </c>
      <c r="AE680" s="378">
        <v>5.3189999999999997E-4</v>
      </c>
      <c r="AF680" s="378"/>
      <c r="AG680" s="417">
        <v>3188</v>
      </c>
      <c r="AH680" s="417">
        <v>3188</v>
      </c>
      <c r="AI680" s="417">
        <v>0</v>
      </c>
      <c r="AJ680" s="417">
        <v>0</v>
      </c>
      <c r="AK680" s="417">
        <v>0</v>
      </c>
      <c r="AL680" s="378">
        <v>5.3189999999999997E-4</v>
      </c>
      <c r="AM680" s="378"/>
      <c r="AN680" s="417">
        <v>-49995</v>
      </c>
      <c r="AO680" s="417">
        <v>-40305</v>
      </c>
      <c r="AP680" s="417">
        <v>-31688</v>
      </c>
      <c r="AQ680" s="417">
        <v>0</v>
      </c>
      <c r="AR680" s="417">
        <v>0</v>
      </c>
    </row>
    <row r="681" spans="1:46">
      <c r="A681" s="377">
        <v>97463</v>
      </c>
      <c r="B681" t="s">
        <v>1380</v>
      </c>
      <c r="C681" s="378">
        <v>0</v>
      </c>
      <c r="D681" s="378"/>
      <c r="E681" s="417">
        <v>0</v>
      </c>
      <c r="F681" s="417">
        <v>0</v>
      </c>
      <c r="G681" s="417">
        <v>0</v>
      </c>
      <c r="H681" s="417">
        <v>0</v>
      </c>
      <c r="I681" s="417">
        <v>0</v>
      </c>
      <c r="J681" s="378">
        <v>0</v>
      </c>
      <c r="K681" s="378"/>
      <c r="L681" s="417">
        <v>0</v>
      </c>
      <c r="M681" s="417">
        <v>0</v>
      </c>
      <c r="N681" s="417">
        <v>0</v>
      </c>
      <c r="O681" s="417">
        <v>0</v>
      </c>
      <c r="P681" s="417">
        <v>0</v>
      </c>
      <c r="Q681" s="378">
        <v>0</v>
      </c>
      <c r="R681" s="378"/>
      <c r="S681" s="417">
        <v>0</v>
      </c>
      <c r="T681" s="417">
        <v>0</v>
      </c>
      <c r="U681" s="417">
        <v>0</v>
      </c>
      <c r="V681" s="417">
        <v>0</v>
      </c>
      <c r="W681" s="417">
        <v>0</v>
      </c>
      <c r="X681" s="378">
        <v>0</v>
      </c>
      <c r="Z681" s="417">
        <v>0</v>
      </c>
      <c r="AA681" s="417">
        <v>0</v>
      </c>
      <c r="AB681" s="417">
        <v>0</v>
      </c>
      <c r="AC681" s="417">
        <v>0</v>
      </c>
      <c r="AD681" s="417">
        <v>0</v>
      </c>
      <c r="AE681" s="378">
        <v>0</v>
      </c>
      <c r="AF681" s="378"/>
      <c r="AG681" s="417">
        <v>0</v>
      </c>
      <c r="AH681" s="417">
        <v>0</v>
      </c>
      <c r="AI681" s="417">
        <v>0</v>
      </c>
      <c r="AJ681" s="417">
        <v>0</v>
      </c>
      <c r="AK681" s="417">
        <v>0</v>
      </c>
      <c r="AL681" s="378">
        <v>0</v>
      </c>
      <c r="AM681" s="378"/>
      <c r="AN681" s="417">
        <v>-5607</v>
      </c>
      <c r="AO681" s="417">
        <v>0</v>
      </c>
      <c r="AP681" s="417">
        <v>0</v>
      </c>
      <c r="AQ681" s="417">
        <v>0</v>
      </c>
      <c r="AR681" s="417">
        <v>0</v>
      </c>
    </row>
    <row r="682" spans="1:46">
      <c r="A682" s="377">
        <v>97471</v>
      </c>
      <c r="B682" t="s">
        <v>1381</v>
      </c>
      <c r="C682" s="378">
        <v>2.0100000000000001E-5</v>
      </c>
      <c r="D682" s="378"/>
      <c r="E682" s="417">
        <v>10075</v>
      </c>
      <c r="F682" s="417">
        <v>4648</v>
      </c>
      <c r="G682" s="417">
        <v>-237</v>
      </c>
      <c r="H682" s="417">
        <v>-13477</v>
      </c>
      <c r="I682" s="417">
        <v>0</v>
      </c>
      <c r="J682" s="378">
        <v>2.0100000000000001E-5</v>
      </c>
      <c r="K682" s="378"/>
      <c r="L682" s="417">
        <v>4921</v>
      </c>
      <c r="M682" s="417">
        <v>3398</v>
      </c>
      <c r="N682" s="417">
        <v>1488</v>
      </c>
      <c r="O682" s="417">
        <v>0</v>
      </c>
      <c r="P682" s="417">
        <v>0</v>
      </c>
      <c r="Q682" s="378">
        <v>2.0100000000000001E-5</v>
      </c>
      <c r="R682" s="378"/>
      <c r="S682" s="417">
        <v>-10098</v>
      </c>
      <c r="T682" s="417">
        <v>-9981</v>
      </c>
      <c r="U682" s="417">
        <v>-10485</v>
      </c>
      <c r="V682" s="417">
        <v>-13477</v>
      </c>
      <c r="W682" s="417">
        <v>0</v>
      </c>
      <c r="X682" s="378">
        <v>2.0100000000000001E-5</v>
      </c>
      <c r="Z682" s="417">
        <v>8052</v>
      </c>
      <c r="AA682" s="417">
        <v>5657</v>
      </c>
      <c r="AB682" s="417">
        <v>5657</v>
      </c>
      <c r="AC682" s="417">
        <v>0</v>
      </c>
      <c r="AD682" s="417">
        <v>0</v>
      </c>
      <c r="AE682" s="378">
        <v>2.0100000000000001E-5</v>
      </c>
      <c r="AF682" s="378"/>
      <c r="AG682" s="417">
        <v>7200</v>
      </c>
      <c r="AH682" s="417">
        <v>5574</v>
      </c>
      <c r="AI682" s="417">
        <v>3103</v>
      </c>
      <c r="AJ682" s="417">
        <v>0</v>
      </c>
      <c r="AK682" s="417">
        <v>0</v>
      </c>
      <c r="AL682" s="378">
        <v>2.0100000000000001E-5</v>
      </c>
      <c r="AM682" s="378"/>
      <c r="AN682" s="417">
        <v>0</v>
      </c>
      <c r="AO682" s="417">
        <v>0</v>
      </c>
      <c r="AP682" s="417">
        <v>0</v>
      </c>
      <c r="AQ682" s="417">
        <v>0</v>
      </c>
      <c r="AR682" s="417">
        <v>0</v>
      </c>
    </row>
    <row r="683" spans="1:46">
      <c r="A683" s="377">
        <v>97481</v>
      </c>
      <c r="B683" t="s">
        <v>1382</v>
      </c>
      <c r="C683" s="378">
        <v>2.0999999999999998E-6</v>
      </c>
      <c r="D683" s="378"/>
      <c r="E683" s="417">
        <v>-394</v>
      </c>
      <c r="F683" s="417">
        <v>-921</v>
      </c>
      <c r="G683" s="417">
        <v>151</v>
      </c>
      <c r="H683" s="417">
        <v>-1408</v>
      </c>
      <c r="I683" s="417">
        <v>0</v>
      </c>
      <c r="J683" s="378">
        <v>2.0999999999999998E-6</v>
      </c>
      <c r="K683" s="378"/>
      <c r="L683" s="417">
        <v>514</v>
      </c>
      <c r="M683" s="417">
        <v>355</v>
      </c>
      <c r="N683" s="417">
        <v>155</v>
      </c>
      <c r="O683" s="417">
        <v>0</v>
      </c>
      <c r="P683" s="417">
        <v>0</v>
      </c>
      <c r="Q683" s="378">
        <v>2.0999999999999998E-6</v>
      </c>
      <c r="R683" s="378"/>
      <c r="S683" s="417">
        <v>-1055</v>
      </c>
      <c r="T683" s="417">
        <v>-1043</v>
      </c>
      <c r="U683" s="417">
        <v>-1095</v>
      </c>
      <c r="V683" s="417">
        <v>-1408</v>
      </c>
      <c r="W683" s="417">
        <v>0</v>
      </c>
      <c r="X683" s="378">
        <v>2.0999999999999998E-6</v>
      </c>
      <c r="Z683" s="417">
        <v>841</v>
      </c>
      <c r="AA683" s="417">
        <v>591</v>
      </c>
      <c r="AB683" s="417">
        <v>591</v>
      </c>
      <c r="AC683" s="417">
        <v>0</v>
      </c>
      <c r="AD683" s="417">
        <v>0</v>
      </c>
      <c r="AE683" s="378">
        <v>2.0999999999999998E-6</v>
      </c>
      <c r="AF683" s="378"/>
      <c r="AG683" s="417">
        <v>1431</v>
      </c>
      <c r="AH683" s="417">
        <v>1300</v>
      </c>
      <c r="AI683" s="417">
        <v>500</v>
      </c>
      <c r="AJ683" s="417">
        <v>0</v>
      </c>
      <c r="AK683" s="417">
        <v>0</v>
      </c>
      <c r="AL683" s="378">
        <v>2.0999999999999998E-6</v>
      </c>
      <c r="AM683" s="378"/>
      <c r="AN683" s="417">
        <v>-2125</v>
      </c>
      <c r="AO683" s="417">
        <v>-2124</v>
      </c>
      <c r="AP683" s="417">
        <v>0</v>
      </c>
      <c r="AQ683" s="417">
        <v>0</v>
      </c>
      <c r="AR683" s="417">
        <v>0</v>
      </c>
    </row>
    <row r="684" spans="1:46">
      <c r="A684" s="377">
        <v>97491</v>
      </c>
      <c r="B684" t="s">
        <v>3714</v>
      </c>
      <c r="C684" s="378">
        <v>0</v>
      </c>
      <c r="D684" s="378"/>
      <c r="E684" s="417">
        <v>0</v>
      </c>
      <c r="F684" s="417">
        <v>0</v>
      </c>
      <c r="G684" s="417">
        <v>0</v>
      </c>
      <c r="H684" s="417">
        <v>0</v>
      </c>
      <c r="I684" s="417">
        <v>0</v>
      </c>
      <c r="J684" s="378"/>
      <c r="K684" s="378">
        <v>0</v>
      </c>
      <c r="L684" s="417">
        <v>0</v>
      </c>
      <c r="M684" s="417">
        <v>0</v>
      </c>
      <c r="N684" s="417">
        <v>0</v>
      </c>
      <c r="O684" s="417">
        <v>0</v>
      </c>
      <c r="P684" s="417">
        <v>0</v>
      </c>
      <c r="Q684" s="378"/>
      <c r="R684" s="378">
        <v>0</v>
      </c>
      <c r="S684" s="417">
        <v>0</v>
      </c>
      <c r="T684" s="417">
        <v>0</v>
      </c>
      <c r="U684" s="417">
        <v>0</v>
      </c>
      <c r="V684" s="417">
        <v>0</v>
      </c>
      <c r="W684" s="417">
        <v>0</v>
      </c>
      <c r="X684" s="378"/>
      <c r="Y684" s="417">
        <v>0</v>
      </c>
      <c r="Z684" s="417">
        <v>0</v>
      </c>
      <c r="AA684" s="417">
        <v>0</v>
      </c>
      <c r="AB684" s="417">
        <v>0</v>
      </c>
      <c r="AC684" s="417">
        <v>0</v>
      </c>
      <c r="AD684" s="417">
        <v>0</v>
      </c>
      <c r="AE684" s="378"/>
      <c r="AF684" s="378">
        <v>0</v>
      </c>
      <c r="AG684" s="417">
        <v>0</v>
      </c>
      <c r="AH684" s="417">
        <v>0</v>
      </c>
      <c r="AI684" s="417">
        <v>0</v>
      </c>
      <c r="AJ684" s="417">
        <v>0</v>
      </c>
      <c r="AK684" s="417">
        <v>0</v>
      </c>
      <c r="AL684" s="378"/>
      <c r="AM684" s="378">
        <v>0</v>
      </c>
      <c r="AN684" s="417">
        <v>0</v>
      </c>
      <c r="AO684" s="417">
        <v>0</v>
      </c>
      <c r="AP684" s="417">
        <v>0</v>
      </c>
      <c r="AQ684" s="417">
        <v>0</v>
      </c>
      <c r="AR684" s="417">
        <v>0</v>
      </c>
      <c r="AS684" s="417">
        <v>0</v>
      </c>
      <c r="AT684" s="417">
        <v>0</v>
      </c>
    </row>
    <row r="685" spans="1:46">
      <c r="A685" s="377">
        <v>97501</v>
      </c>
      <c r="B685" t="s">
        <v>1384</v>
      </c>
      <c r="C685" s="378">
        <v>1.2677999999999999E-3</v>
      </c>
      <c r="D685" s="378"/>
      <c r="E685" s="417">
        <v>246063</v>
      </c>
      <c r="F685" s="417">
        <v>7167</v>
      </c>
      <c r="G685" s="417">
        <v>-185259</v>
      </c>
      <c r="H685" s="417">
        <v>-850027</v>
      </c>
      <c r="I685" s="417">
        <v>0</v>
      </c>
      <c r="J685" s="378">
        <v>1.2677999999999999E-3</v>
      </c>
      <c r="K685" s="378"/>
      <c r="L685" s="417">
        <v>310368</v>
      </c>
      <c r="M685" s="417">
        <v>214349</v>
      </c>
      <c r="N685" s="417">
        <v>93832</v>
      </c>
      <c r="O685" s="417">
        <v>0</v>
      </c>
      <c r="P685" s="417">
        <v>0</v>
      </c>
      <c r="Q685" s="378">
        <v>1.2677999999999999E-3</v>
      </c>
      <c r="R685" s="378"/>
      <c r="S685" s="417">
        <v>-636902</v>
      </c>
      <c r="T685" s="417">
        <v>-629532</v>
      </c>
      <c r="U685" s="417">
        <v>-661349</v>
      </c>
      <c r="V685" s="417">
        <v>-850027</v>
      </c>
      <c r="W685" s="417">
        <v>0</v>
      </c>
      <c r="X685" s="378">
        <v>1.2677999999999999E-3</v>
      </c>
      <c r="Z685" s="417">
        <v>507883</v>
      </c>
      <c r="AA685" s="417">
        <v>356816</v>
      </c>
      <c r="AB685" s="417">
        <v>356813</v>
      </c>
      <c r="AC685" s="417">
        <v>0</v>
      </c>
      <c r="AD685" s="417">
        <v>0</v>
      </c>
      <c r="AE685" s="378">
        <v>1.2677999999999999E-3</v>
      </c>
      <c r="AF685" s="378"/>
      <c r="AG685" s="417">
        <v>65533</v>
      </c>
      <c r="AH685" s="417">
        <v>65534</v>
      </c>
      <c r="AI685" s="417">
        <v>25445</v>
      </c>
      <c r="AJ685" s="417">
        <v>0</v>
      </c>
      <c r="AK685" s="417">
        <v>0</v>
      </c>
      <c r="AL685" s="378">
        <v>1.2677999999999999E-3</v>
      </c>
      <c r="AM685" s="378"/>
      <c r="AN685" s="417">
        <v>-819</v>
      </c>
      <c r="AO685" s="417">
        <v>0</v>
      </c>
      <c r="AP685" s="417">
        <v>0</v>
      </c>
      <c r="AQ685" s="417">
        <v>0</v>
      </c>
      <c r="AR685" s="417">
        <v>0</v>
      </c>
    </row>
    <row r="686" spans="1:46">
      <c r="A686" s="377">
        <v>97517</v>
      </c>
      <c r="B686" t="s">
        <v>3733</v>
      </c>
      <c r="C686" s="378">
        <v>0</v>
      </c>
      <c r="D686" s="378"/>
      <c r="E686" s="417">
        <v>359</v>
      </c>
      <c r="F686" s="417">
        <v>359</v>
      </c>
      <c r="G686" s="417">
        <v>360</v>
      </c>
      <c r="H686" s="417">
        <v>0</v>
      </c>
      <c r="I686" s="417">
        <v>0</v>
      </c>
      <c r="J686" s="378">
        <v>0</v>
      </c>
      <c r="K686" s="378"/>
      <c r="L686" s="417">
        <v>0</v>
      </c>
      <c r="M686" s="417">
        <v>0</v>
      </c>
      <c r="N686" s="417">
        <v>0</v>
      </c>
      <c r="O686" s="417">
        <v>0</v>
      </c>
      <c r="P686" s="417">
        <v>0</v>
      </c>
      <c r="Q686" s="378">
        <v>0</v>
      </c>
      <c r="R686" s="378"/>
      <c r="S686" s="417">
        <v>0</v>
      </c>
      <c r="T686" s="417">
        <v>0</v>
      </c>
      <c r="U686" s="417">
        <v>0</v>
      </c>
      <c r="V686" s="417">
        <v>0</v>
      </c>
      <c r="W686" s="417">
        <v>0</v>
      </c>
      <c r="X686" s="378">
        <v>0</v>
      </c>
      <c r="Z686" s="417">
        <v>0</v>
      </c>
      <c r="AA686" s="417">
        <v>0</v>
      </c>
      <c r="AB686" s="417">
        <v>0</v>
      </c>
      <c r="AC686" s="417">
        <v>0</v>
      </c>
      <c r="AD686" s="417">
        <v>0</v>
      </c>
      <c r="AE686" s="378">
        <v>0</v>
      </c>
      <c r="AF686" s="378"/>
      <c r="AG686" s="417">
        <v>359</v>
      </c>
      <c r="AH686" s="417">
        <v>359</v>
      </c>
      <c r="AI686" s="417">
        <v>360</v>
      </c>
      <c r="AJ686" s="417">
        <v>0</v>
      </c>
      <c r="AK686" s="417">
        <v>0</v>
      </c>
      <c r="AL686" s="378">
        <v>0</v>
      </c>
      <c r="AM686" s="378"/>
      <c r="AN686" s="417">
        <v>0</v>
      </c>
      <c r="AO686" s="417">
        <v>0</v>
      </c>
      <c r="AP686" s="417">
        <v>0</v>
      </c>
      <c r="AQ686" s="417">
        <v>0</v>
      </c>
      <c r="AR686" s="417">
        <v>0</v>
      </c>
    </row>
    <row r="687" spans="1:46">
      <c r="A687" s="377">
        <v>97511</v>
      </c>
      <c r="B687" t="s">
        <v>1385</v>
      </c>
      <c r="C687" s="378">
        <v>2.388E-4</v>
      </c>
      <c r="D687" s="378"/>
      <c r="E687" s="417">
        <v>59013</v>
      </c>
      <c r="F687" s="417">
        <v>20732</v>
      </c>
      <c r="G687" s="417">
        <v>-26975</v>
      </c>
      <c r="H687" s="417">
        <v>-160109</v>
      </c>
      <c r="I687" s="417">
        <v>0</v>
      </c>
      <c r="J687" s="378">
        <v>2.388E-4</v>
      </c>
      <c r="K687" s="378"/>
      <c r="L687" s="417">
        <v>58460</v>
      </c>
      <c r="M687" s="417">
        <v>40374</v>
      </c>
      <c r="N687" s="417">
        <v>17674</v>
      </c>
      <c r="O687" s="417">
        <v>0</v>
      </c>
      <c r="P687" s="417">
        <v>0</v>
      </c>
      <c r="Q687" s="378">
        <v>2.388E-4</v>
      </c>
      <c r="R687" s="378"/>
      <c r="S687" s="417">
        <v>-119965</v>
      </c>
      <c r="T687" s="417">
        <v>-118577</v>
      </c>
      <c r="U687" s="417">
        <v>-124570</v>
      </c>
      <c r="V687" s="417">
        <v>-160109</v>
      </c>
      <c r="W687" s="417">
        <v>0</v>
      </c>
      <c r="X687" s="378">
        <v>2.388E-4</v>
      </c>
      <c r="Z687" s="417">
        <v>95664</v>
      </c>
      <c r="AA687" s="417">
        <v>67209</v>
      </c>
      <c r="AB687" s="417">
        <v>67209</v>
      </c>
      <c r="AC687" s="417">
        <v>0</v>
      </c>
      <c r="AD687" s="417">
        <v>0</v>
      </c>
      <c r="AE687" s="378">
        <v>2.388E-4</v>
      </c>
      <c r="AF687" s="378"/>
      <c r="AG687" s="417">
        <v>31728</v>
      </c>
      <c r="AH687" s="417">
        <v>31726</v>
      </c>
      <c r="AI687" s="417">
        <v>12712</v>
      </c>
      <c r="AJ687" s="417">
        <v>0</v>
      </c>
      <c r="AK687" s="417">
        <v>0</v>
      </c>
      <c r="AL687" s="378">
        <v>2.388E-4</v>
      </c>
      <c r="AM687" s="378"/>
      <c r="AN687" s="417">
        <v>-6874</v>
      </c>
      <c r="AO687" s="417">
        <v>0</v>
      </c>
      <c r="AP687" s="417">
        <v>0</v>
      </c>
      <c r="AQ687" s="417">
        <v>0</v>
      </c>
      <c r="AR687" s="417">
        <v>0</v>
      </c>
    </row>
    <row r="688" spans="1:46">
      <c r="A688" s="377">
        <v>97521</v>
      </c>
      <c r="B688" t="s">
        <v>1386</v>
      </c>
      <c r="C688" s="378">
        <v>1.3080000000000001E-4</v>
      </c>
      <c r="D688" s="378"/>
      <c r="E688" s="417">
        <v>19010</v>
      </c>
      <c r="F688" s="417">
        <v>-4606</v>
      </c>
      <c r="G688" s="417">
        <v>-23499</v>
      </c>
      <c r="H688" s="417">
        <v>-87698</v>
      </c>
      <c r="I688" s="417">
        <v>0</v>
      </c>
      <c r="J688" s="378">
        <v>1.3080000000000001E-4</v>
      </c>
      <c r="K688" s="378"/>
      <c r="L688" s="417">
        <v>32021</v>
      </c>
      <c r="M688" s="417">
        <v>22115</v>
      </c>
      <c r="N688" s="417">
        <v>9681</v>
      </c>
      <c r="O688" s="417">
        <v>0</v>
      </c>
      <c r="P688" s="417">
        <v>0</v>
      </c>
      <c r="Q688" s="378">
        <v>1.3080000000000001E-4</v>
      </c>
      <c r="R688" s="378"/>
      <c r="S688" s="417">
        <v>-65710</v>
      </c>
      <c r="T688" s="417">
        <v>-64949</v>
      </c>
      <c r="U688" s="417">
        <v>-68232</v>
      </c>
      <c r="V688" s="417">
        <v>-87698</v>
      </c>
      <c r="W688" s="417">
        <v>0</v>
      </c>
      <c r="X688" s="378">
        <v>1.3080000000000001E-4</v>
      </c>
      <c r="Z688" s="417">
        <v>52399</v>
      </c>
      <c r="AA688" s="417">
        <v>36813</v>
      </c>
      <c r="AB688" s="417">
        <v>36813</v>
      </c>
      <c r="AC688" s="417">
        <v>0</v>
      </c>
      <c r="AD688" s="417">
        <v>0</v>
      </c>
      <c r="AE688" s="378">
        <v>1.3080000000000001E-4</v>
      </c>
      <c r="AF688" s="378"/>
      <c r="AG688" s="417">
        <v>6139</v>
      </c>
      <c r="AH688" s="417">
        <v>6139</v>
      </c>
      <c r="AI688" s="417">
        <v>0</v>
      </c>
      <c r="AJ688" s="417">
        <v>0</v>
      </c>
      <c r="AK688" s="417">
        <v>0</v>
      </c>
      <c r="AL688" s="378">
        <v>1.3080000000000001E-4</v>
      </c>
      <c r="AM688" s="378"/>
      <c r="AN688" s="417">
        <v>-5839</v>
      </c>
      <c r="AO688" s="417">
        <v>-4724</v>
      </c>
      <c r="AP688" s="417">
        <v>-1761</v>
      </c>
      <c r="AQ688" s="417">
        <v>0</v>
      </c>
      <c r="AR688" s="417">
        <v>0</v>
      </c>
    </row>
    <row r="689" spans="1:44">
      <c r="A689" s="377">
        <v>97527</v>
      </c>
      <c r="B689" t="s">
        <v>1637</v>
      </c>
      <c r="C689" s="378">
        <v>6.0000000000000002E-6</v>
      </c>
      <c r="D689" s="378"/>
      <c r="E689" s="417">
        <v>1018</v>
      </c>
      <c r="F689" s="417">
        <v>-981</v>
      </c>
      <c r="G689" s="417">
        <v>369</v>
      </c>
      <c r="H689" s="417">
        <v>-4023</v>
      </c>
      <c r="I689" s="417">
        <v>0</v>
      </c>
      <c r="J689" s="378">
        <v>6.0000000000000002E-6</v>
      </c>
      <c r="K689" s="378"/>
      <c r="L689" s="417">
        <v>1469</v>
      </c>
      <c r="M689" s="417">
        <v>1014</v>
      </c>
      <c r="N689" s="417">
        <v>444</v>
      </c>
      <c r="O689" s="417">
        <v>0</v>
      </c>
      <c r="P689" s="417">
        <v>0</v>
      </c>
      <c r="Q689" s="378">
        <v>6.0000000000000002E-6</v>
      </c>
      <c r="R689" s="378"/>
      <c r="S689" s="417">
        <v>-3014</v>
      </c>
      <c r="T689" s="417">
        <v>-2979</v>
      </c>
      <c r="U689" s="417">
        <v>-3130</v>
      </c>
      <c r="V689" s="417">
        <v>-4023</v>
      </c>
      <c r="W689" s="417">
        <v>0</v>
      </c>
      <c r="X689" s="378">
        <v>6.0000000000000002E-6</v>
      </c>
      <c r="Z689" s="417">
        <v>2404</v>
      </c>
      <c r="AA689" s="417">
        <v>1689</v>
      </c>
      <c r="AB689" s="417">
        <v>1689</v>
      </c>
      <c r="AC689" s="417">
        <v>0</v>
      </c>
      <c r="AD689" s="417">
        <v>0</v>
      </c>
      <c r="AE689" s="378">
        <v>6.0000000000000002E-6</v>
      </c>
      <c r="AF689" s="378"/>
      <c r="AG689" s="417">
        <v>4795</v>
      </c>
      <c r="AH689" s="417">
        <v>3930</v>
      </c>
      <c r="AI689" s="417">
        <v>1366</v>
      </c>
      <c r="AJ689" s="417">
        <v>0</v>
      </c>
      <c r="AK689" s="417">
        <v>0</v>
      </c>
      <c r="AL689" s="378">
        <v>6.0000000000000002E-6</v>
      </c>
      <c r="AM689" s="378"/>
      <c r="AN689" s="417">
        <v>-4636</v>
      </c>
      <c r="AO689" s="417">
        <v>-4635</v>
      </c>
      <c r="AP689" s="417">
        <v>0</v>
      </c>
      <c r="AQ689" s="417">
        <v>0</v>
      </c>
      <c r="AR689" s="417">
        <v>0</v>
      </c>
    </row>
    <row r="690" spans="1:44">
      <c r="A690" s="377">
        <v>97531</v>
      </c>
      <c r="B690" t="s">
        <v>1387</v>
      </c>
      <c r="C690" s="378">
        <v>8.2000000000000001E-5</v>
      </c>
      <c r="D690" s="378"/>
      <c r="E690" s="417">
        <v>19402</v>
      </c>
      <c r="F690" s="417">
        <v>1359</v>
      </c>
      <c r="G690" s="417">
        <v>-6538</v>
      </c>
      <c r="H690" s="417">
        <v>-54979</v>
      </c>
      <c r="I690" s="417">
        <v>0</v>
      </c>
      <c r="J690" s="378">
        <v>8.2000000000000001E-5</v>
      </c>
      <c r="K690" s="378"/>
      <c r="L690" s="417">
        <v>20074</v>
      </c>
      <c r="M690" s="417">
        <v>13864</v>
      </c>
      <c r="N690" s="417">
        <v>6069</v>
      </c>
      <c r="O690" s="417">
        <v>0</v>
      </c>
      <c r="P690" s="417">
        <v>0</v>
      </c>
      <c r="Q690" s="378">
        <v>8.2000000000000001E-5</v>
      </c>
      <c r="R690" s="378"/>
      <c r="S690" s="417">
        <v>-41194</v>
      </c>
      <c r="T690" s="417">
        <v>-40718</v>
      </c>
      <c r="U690" s="417">
        <v>-42775</v>
      </c>
      <c r="V690" s="417">
        <v>-54979</v>
      </c>
      <c r="W690" s="417">
        <v>0</v>
      </c>
      <c r="X690" s="378">
        <v>8.2000000000000001E-5</v>
      </c>
      <c r="Z690" s="417">
        <v>32849</v>
      </c>
      <c r="AA690" s="417">
        <v>23078</v>
      </c>
      <c r="AB690" s="417">
        <v>23078</v>
      </c>
      <c r="AC690" s="417">
        <v>0</v>
      </c>
      <c r="AD690" s="417">
        <v>0</v>
      </c>
      <c r="AE690" s="378">
        <v>8.2000000000000001E-5</v>
      </c>
      <c r="AF690" s="378"/>
      <c r="AG690" s="417">
        <v>14489</v>
      </c>
      <c r="AH690" s="417">
        <v>11950</v>
      </c>
      <c r="AI690" s="417">
        <v>7090</v>
      </c>
      <c r="AJ690" s="417">
        <v>0</v>
      </c>
      <c r="AK690" s="417">
        <v>0</v>
      </c>
      <c r="AL690" s="378">
        <v>8.2000000000000001E-5</v>
      </c>
      <c r="AM690" s="378"/>
      <c r="AN690" s="417">
        <v>-6816</v>
      </c>
      <c r="AO690" s="417">
        <v>-6815</v>
      </c>
      <c r="AP690" s="417">
        <v>0</v>
      </c>
      <c r="AQ690" s="417">
        <v>0</v>
      </c>
      <c r="AR690" s="417">
        <v>0</v>
      </c>
    </row>
    <row r="691" spans="1:44">
      <c r="A691" s="377">
        <v>97601</v>
      </c>
      <c r="B691" t="s">
        <v>1388</v>
      </c>
      <c r="C691" s="378">
        <v>5.3641000000000001E-3</v>
      </c>
      <c r="D691" s="378"/>
      <c r="E691" s="417">
        <v>737255</v>
      </c>
      <c r="F691" s="417">
        <v>-274301</v>
      </c>
      <c r="G691" s="417">
        <v>-882418</v>
      </c>
      <c r="H691" s="417">
        <v>-3596490</v>
      </c>
      <c r="I691" s="417">
        <v>0</v>
      </c>
      <c r="J691" s="378">
        <v>5.3641000000000001E-3</v>
      </c>
      <c r="K691" s="378"/>
      <c r="L691" s="417">
        <v>1313175</v>
      </c>
      <c r="M691" s="417">
        <v>906919</v>
      </c>
      <c r="N691" s="417">
        <v>397008</v>
      </c>
      <c r="O691" s="417">
        <v>0</v>
      </c>
      <c r="P691" s="417">
        <v>0</v>
      </c>
      <c r="Q691" s="378">
        <v>5.3641000000000001E-3</v>
      </c>
      <c r="R691" s="378"/>
      <c r="S691" s="417">
        <v>-2694752</v>
      </c>
      <c r="T691" s="417">
        <v>-2663571</v>
      </c>
      <c r="U691" s="417">
        <v>-2798188</v>
      </c>
      <c r="V691" s="417">
        <v>-3596490</v>
      </c>
      <c r="W691" s="417">
        <v>0</v>
      </c>
      <c r="X691" s="378">
        <v>5.3641000000000001E-3</v>
      </c>
      <c r="Z691" s="417">
        <v>2148869</v>
      </c>
      <c r="AA691" s="417">
        <v>1509699</v>
      </c>
      <c r="AB691" s="417">
        <v>1509688</v>
      </c>
      <c r="AC691" s="417">
        <v>0</v>
      </c>
      <c r="AD691" s="417">
        <v>0</v>
      </c>
      <c r="AE691" s="378">
        <v>5.3641000000000001E-3</v>
      </c>
      <c r="AF691" s="378"/>
      <c r="AG691" s="417">
        <v>9076</v>
      </c>
      <c r="AH691" s="417">
        <v>9076</v>
      </c>
      <c r="AI691" s="417">
        <v>9074</v>
      </c>
      <c r="AJ691" s="417">
        <v>0</v>
      </c>
      <c r="AK691" s="417">
        <v>0</v>
      </c>
      <c r="AL691" s="378">
        <v>5.3641000000000001E-3</v>
      </c>
      <c r="AM691" s="378"/>
      <c r="AN691" s="417">
        <v>-39113</v>
      </c>
      <c r="AO691" s="417">
        <v>-36424</v>
      </c>
      <c r="AP691" s="417">
        <v>0</v>
      </c>
      <c r="AQ691" s="417">
        <v>0</v>
      </c>
      <c r="AR691" s="417">
        <v>0</v>
      </c>
    </row>
    <row r="692" spans="1:44">
      <c r="A692" s="377">
        <v>97607</v>
      </c>
      <c r="B692" t="s">
        <v>1389</v>
      </c>
      <c r="C692" s="378">
        <v>2.5599999999999999E-5</v>
      </c>
      <c r="D692" s="378"/>
      <c r="E692" s="417">
        <v>14272</v>
      </c>
      <c r="F692" s="417">
        <v>8000</v>
      </c>
      <c r="G692" s="417">
        <v>1963</v>
      </c>
      <c r="H692" s="417">
        <v>-17164</v>
      </c>
      <c r="I692" s="417">
        <v>0</v>
      </c>
      <c r="J692" s="378">
        <v>2.5599999999999999E-5</v>
      </c>
      <c r="K692" s="378"/>
      <c r="L692" s="417">
        <v>6267</v>
      </c>
      <c r="M692" s="417">
        <v>4328</v>
      </c>
      <c r="N692" s="417">
        <v>1895</v>
      </c>
      <c r="O692" s="417">
        <v>0</v>
      </c>
      <c r="P692" s="417">
        <v>0</v>
      </c>
      <c r="Q692" s="378">
        <v>2.5599999999999999E-5</v>
      </c>
      <c r="R692" s="378"/>
      <c r="S692" s="417">
        <v>-12861</v>
      </c>
      <c r="T692" s="417">
        <v>-12712</v>
      </c>
      <c r="U692" s="417">
        <v>-13354</v>
      </c>
      <c r="V692" s="417">
        <v>-17164</v>
      </c>
      <c r="W692" s="417">
        <v>0</v>
      </c>
      <c r="X692" s="378">
        <v>2.5599999999999999E-5</v>
      </c>
      <c r="Z692" s="417">
        <v>10255</v>
      </c>
      <c r="AA692" s="417">
        <v>7205</v>
      </c>
      <c r="AB692" s="417">
        <v>7205</v>
      </c>
      <c r="AC692" s="417">
        <v>0</v>
      </c>
      <c r="AD692" s="417">
        <v>0</v>
      </c>
      <c r="AE692" s="378">
        <v>2.5599999999999999E-5</v>
      </c>
      <c r="AF692" s="378"/>
      <c r="AG692" s="417">
        <v>10611</v>
      </c>
      <c r="AH692" s="417">
        <v>9179</v>
      </c>
      <c r="AI692" s="417">
        <v>6217</v>
      </c>
      <c r="AJ692" s="417">
        <v>0</v>
      </c>
      <c r="AK692" s="417">
        <v>0</v>
      </c>
      <c r="AL692" s="378">
        <v>2.5599999999999999E-5</v>
      </c>
      <c r="AM692" s="378"/>
      <c r="AN692" s="417">
        <v>0</v>
      </c>
      <c r="AO692" s="417">
        <v>0</v>
      </c>
      <c r="AP692" s="417">
        <v>0</v>
      </c>
      <c r="AQ692" s="417">
        <v>0</v>
      </c>
      <c r="AR692" s="417">
        <v>0</v>
      </c>
    </row>
    <row r="693" spans="1:44">
      <c r="A693" s="377">
        <v>97611</v>
      </c>
      <c r="B693" t="s">
        <v>1390</v>
      </c>
      <c r="C693" s="378">
        <v>2.4091999999999998E-3</v>
      </c>
      <c r="D693" s="378"/>
      <c r="E693" s="417">
        <v>361634</v>
      </c>
      <c r="F693" s="417">
        <v>-68369</v>
      </c>
      <c r="G693" s="417">
        <v>-405347</v>
      </c>
      <c r="H693" s="417">
        <v>-1615306</v>
      </c>
      <c r="I693" s="417">
        <v>0</v>
      </c>
      <c r="J693" s="378">
        <v>2.4091999999999998E-3</v>
      </c>
      <c r="K693" s="378"/>
      <c r="L693" s="417">
        <v>589791</v>
      </c>
      <c r="M693" s="417">
        <v>407328</v>
      </c>
      <c r="N693" s="417">
        <v>178310</v>
      </c>
      <c r="O693" s="417">
        <v>0</v>
      </c>
      <c r="P693" s="417">
        <v>0</v>
      </c>
      <c r="Q693" s="378">
        <v>2.4091999999999998E-3</v>
      </c>
      <c r="R693" s="378"/>
      <c r="S693" s="417">
        <v>-1210305</v>
      </c>
      <c r="T693" s="417">
        <v>-1196300</v>
      </c>
      <c r="U693" s="417">
        <v>-1256762</v>
      </c>
      <c r="V693" s="417">
        <v>-1615306</v>
      </c>
      <c r="W693" s="417">
        <v>0</v>
      </c>
      <c r="X693" s="378">
        <v>2.4091999999999998E-3</v>
      </c>
      <c r="Z693" s="417">
        <v>965130</v>
      </c>
      <c r="AA693" s="417">
        <v>678057</v>
      </c>
      <c r="AB693" s="417">
        <v>678052</v>
      </c>
      <c r="AC693" s="417">
        <v>0</v>
      </c>
      <c r="AD693" s="417">
        <v>0</v>
      </c>
      <c r="AE693" s="378">
        <v>2.4091999999999998E-3</v>
      </c>
      <c r="AF693" s="378"/>
      <c r="AG693" s="417">
        <v>49774</v>
      </c>
      <c r="AH693" s="417">
        <v>49773</v>
      </c>
      <c r="AI693" s="417">
        <v>0</v>
      </c>
      <c r="AJ693" s="417">
        <v>0</v>
      </c>
      <c r="AK693" s="417">
        <v>0</v>
      </c>
      <c r="AL693" s="378">
        <v>2.4091999999999998E-3</v>
      </c>
      <c r="AM693" s="378"/>
      <c r="AN693" s="417">
        <v>-32756</v>
      </c>
      <c r="AO693" s="417">
        <v>-7227</v>
      </c>
      <c r="AP693" s="417">
        <v>-4947</v>
      </c>
      <c r="AQ693" s="417">
        <v>0</v>
      </c>
      <c r="AR693" s="417">
        <v>0</v>
      </c>
    </row>
    <row r="694" spans="1:44">
      <c r="A694" s="377">
        <v>97613</v>
      </c>
      <c r="B694" t="s">
        <v>1391</v>
      </c>
      <c r="C694" s="378">
        <v>9.9099999999999996E-5</v>
      </c>
      <c r="D694" s="378"/>
      <c r="E694" s="417">
        <v>29455</v>
      </c>
      <c r="F694" s="417">
        <v>9543</v>
      </c>
      <c r="G694" s="417">
        <v>-4505</v>
      </c>
      <c r="H694" s="417">
        <v>-66444</v>
      </c>
      <c r="I694" s="417">
        <v>0</v>
      </c>
      <c r="J694" s="378">
        <v>9.9099999999999996E-5</v>
      </c>
      <c r="K694" s="378"/>
      <c r="L694" s="417">
        <v>24260</v>
      </c>
      <c r="M694" s="417">
        <v>16755</v>
      </c>
      <c r="N694" s="417">
        <v>7335</v>
      </c>
      <c r="O694" s="417">
        <v>0</v>
      </c>
      <c r="P694" s="417">
        <v>0</v>
      </c>
      <c r="Q694" s="378">
        <v>9.9099999999999996E-5</v>
      </c>
      <c r="R694" s="378"/>
      <c r="S694" s="417">
        <v>-49785</v>
      </c>
      <c r="T694" s="417">
        <v>-49209</v>
      </c>
      <c r="U694" s="417">
        <v>-51696</v>
      </c>
      <c r="V694" s="417">
        <v>-66444</v>
      </c>
      <c r="W694" s="417">
        <v>0</v>
      </c>
      <c r="X694" s="378">
        <v>9.9099999999999996E-5</v>
      </c>
      <c r="Z694" s="417">
        <v>39700</v>
      </c>
      <c r="AA694" s="417">
        <v>27891</v>
      </c>
      <c r="AB694" s="417">
        <v>27891</v>
      </c>
      <c r="AC694" s="417">
        <v>0</v>
      </c>
      <c r="AD694" s="417">
        <v>0</v>
      </c>
      <c r="AE694" s="378">
        <v>9.9099999999999996E-5</v>
      </c>
      <c r="AF694" s="378"/>
      <c r="AG694" s="417">
        <v>17741</v>
      </c>
      <c r="AH694" s="417">
        <v>16566</v>
      </c>
      <c r="AI694" s="417">
        <v>11965</v>
      </c>
      <c r="AJ694" s="417">
        <v>0</v>
      </c>
      <c r="AK694" s="417">
        <v>0</v>
      </c>
      <c r="AL694" s="378">
        <v>9.9099999999999996E-5</v>
      </c>
      <c r="AM694" s="378"/>
      <c r="AN694" s="417">
        <v>-2461</v>
      </c>
      <c r="AO694" s="417">
        <v>-2460</v>
      </c>
      <c r="AP694" s="417">
        <v>0</v>
      </c>
      <c r="AQ694" s="417">
        <v>0</v>
      </c>
      <c r="AR694" s="417">
        <v>0</v>
      </c>
    </row>
    <row r="695" spans="1:44">
      <c r="A695" s="377">
        <v>97621</v>
      </c>
      <c r="B695" t="s">
        <v>1392</v>
      </c>
      <c r="C695" s="378">
        <v>4.1300000000000001E-4</v>
      </c>
      <c r="D695" s="378"/>
      <c r="E695" s="417">
        <v>18609</v>
      </c>
      <c r="F695" s="417">
        <v>-52387</v>
      </c>
      <c r="G695" s="417">
        <v>-76889</v>
      </c>
      <c r="H695" s="417">
        <v>-276906</v>
      </c>
      <c r="I695" s="417">
        <v>0</v>
      </c>
      <c r="J695" s="378">
        <v>4.1300000000000001E-4</v>
      </c>
      <c r="K695" s="378"/>
      <c r="L695" s="417">
        <v>101106</v>
      </c>
      <c r="M695" s="417">
        <v>69827</v>
      </c>
      <c r="N695" s="417">
        <v>30567</v>
      </c>
      <c r="O695" s="417">
        <v>0</v>
      </c>
      <c r="P695" s="417">
        <v>0</v>
      </c>
      <c r="Q695" s="378">
        <v>4.1300000000000001E-4</v>
      </c>
      <c r="R695" s="378"/>
      <c r="S695" s="417">
        <v>-207478</v>
      </c>
      <c r="T695" s="417">
        <v>-205077</v>
      </c>
      <c r="U695" s="417">
        <v>-215442</v>
      </c>
      <c r="V695" s="417">
        <v>-276906</v>
      </c>
      <c r="W695" s="417">
        <v>0</v>
      </c>
      <c r="X695" s="378">
        <v>4.1300000000000001E-4</v>
      </c>
      <c r="Z695" s="417">
        <v>165449</v>
      </c>
      <c r="AA695" s="417">
        <v>116237</v>
      </c>
      <c r="AB695" s="417">
        <v>116236</v>
      </c>
      <c r="AC695" s="417">
        <v>0</v>
      </c>
      <c r="AD695" s="417">
        <v>0</v>
      </c>
      <c r="AE695" s="378">
        <v>4.1300000000000001E-4</v>
      </c>
      <c r="AF695" s="378"/>
      <c r="AG695" s="417">
        <v>0</v>
      </c>
      <c r="AH695" s="417">
        <v>0</v>
      </c>
      <c r="AI695" s="417">
        <v>0</v>
      </c>
      <c r="AJ695" s="417">
        <v>0</v>
      </c>
      <c r="AK695" s="417">
        <v>0</v>
      </c>
      <c r="AL695" s="378">
        <v>4.1300000000000001E-4</v>
      </c>
      <c r="AM695" s="378"/>
      <c r="AN695" s="417">
        <v>-40468</v>
      </c>
      <c r="AO695" s="417">
        <v>-33374</v>
      </c>
      <c r="AP695" s="417">
        <v>-8250</v>
      </c>
      <c r="AQ695" s="417">
        <v>0</v>
      </c>
      <c r="AR695" s="417">
        <v>0</v>
      </c>
    </row>
    <row r="696" spans="1:44">
      <c r="A696" s="377">
        <v>97623</v>
      </c>
      <c r="B696" t="s">
        <v>1393</v>
      </c>
      <c r="C696" s="378">
        <v>2.6599999999999999E-5</v>
      </c>
      <c r="D696" s="378"/>
      <c r="E696" s="417">
        <v>4428</v>
      </c>
      <c r="F696" s="417">
        <v>449</v>
      </c>
      <c r="G696" s="417">
        <v>-2944</v>
      </c>
      <c r="H696" s="417">
        <v>-17835</v>
      </c>
      <c r="I696" s="417">
        <v>0</v>
      </c>
      <c r="J696" s="378">
        <v>2.6599999999999999E-5</v>
      </c>
      <c r="K696" s="378"/>
      <c r="L696" s="417">
        <v>6512</v>
      </c>
      <c r="M696" s="417">
        <v>4497</v>
      </c>
      <c r="N696" s="417">
        <v>1969</v>
      </c>
      <c r="O696" s="417">
        <v>0</v>
      </c>
      <c r="P696" s="417">
        <v>0</v>
      </c>
      <c r="Q696" s="378">
        <v>2.6599999999999999E-5</v>
      </c>
      <c r="R696" s="378"/>
      <c r="S696" s="417">
        <v>-13363</v>
      </c>
      <c r="T696" s="417">
        <v>-13208</v>
      </c>
      <c r="U696" s="417">
        <v>-13876</v>
      </c>
      <c r="V696" s="417">
        <v>-17835</v>
      </c>
      <c r="W696" s="417">
        <v>0</v>
      </c>
      <c r="X696" s="378">
        <v>2.6599999999999999E-5</v>
      </c>
      <c r="Z696" s="417">
        <v>10656</v>
      </c>
      <c r="AA696" s="417">
        <v>7486</v>
      </c>
      <c r="AB696" s="417">
        <v>7486</v>
      </c>
      <c r="AC696" s="417">
        <v>0</v>
      </c>
      <c r="AD696" s="417">
        <v>0</v>
      </c>
      <c r="AE696" s="378">
        <v>2.6599999999999999E-5</v>
      </c>
      <c r="AF696" s="378"/>
      <c r="AG696" s="417">
        <v>1675</v>
      </c>
      <c r="AH696" s="417">
        <v>1674</v>
      </c>
      <c r="AI696" s="417">
        <v>1477</v>
      </c>
      <c r="AJ696" s="417">
        <v>0</v>
      </c>
      <c r="AK696" s="417">
        <v>0</v>
      </c>
      <c r="AL696" s="378">
        <v>2.6599999999999999E-5</v>
      </c>
      <c r="AM696" s="378"/>
      <c r="AN696" s="417">
        <v>-1052</v>
      </c>
      <c r="AO696" s="417">
        <v>0</v>
      </c>
      <c r="AP696" s="417">
        <v>0</v>
      </c>
      <c r="AQ696" s="417">
        <v>0</v>
      </c>
      <c r="AR696" s="417">
        <v>0</v>
      </c>
    </row>
    <row r="697" spans="1:44">
      <c r="A697" s="377">
        <v>97627</v>
      </c>
      <c r="B697" t="s">
        <v>1394</v>
      </c>
      <c r="C697" s="378">
        <v>3.4999999999999999E-6</v>
      </c>
      <c r="D697" s="378"/>
      <c r="E697" s="417">
        <v>-423</v>
      </c>
      <c r="F697" s="417">
        <v>-1212</v>
      </c>
      <c r="G697" s="417">
        <v>-723</v>
      </c>
      <c r="H697" s="417">
        <v>-2347</v>
      </c>
      <c r="I697" s="417">
        <v>0</v>
      </c>
      <c r="J697" s="378">
        <v>3.4999999999999999E-6</v>
      </c>
      <c r="K697" s="378"/>
      <c r="L697" s="417">
        <v>857</v>
      </c>
      <c r="M697" s="417">
        <v>592</v>
      </c>
      <c r="N697" s="417">
        <v>259</v>
      </c>
      <c r="O697" s="417">
        <v>0</v>
      </c>
      <c r="P697" s="417">
        <v>0</v>
      </c>
      <c r="Q697" s="378">
        <v>3.4999999999999999E-6</v>
      </c>
      <c r="R697" s="378"/>
      <c r="S697" s="417">
        <v>-1758</v>
      </c>
      <c r="T697" s="417">
        <v>-1738</v>
      </c>
      <c r="U697" s="417">
        <v>-1826</v>
      </c>
      <c r="V697" s="417">
        <v>-2347</v>
      </c>
      <c r="W697" s="417">
        <v>0</v>
      </c>
      <c r="X697" s="378">
        <v>3.4999999999999999E-6</v>
      </c>
      <c r="Z697" s="417">
        <v>1402</v>
      </c>
      <c r="AA697" s="417">
        <v>985</v>
      </c>
      <c r="AB697" s="417">
        <v>985</v>
      </c>
      <c r="AC697" s="417">
        <v>0</v>
      </c>
      <c r="AD697" s="417">
        <v>0</v>
      </c>
      <c r="AE697" s="378">
        <v>3.4999999999999999E-6</v>
      </c>
      <c r="AF697" s="378"/>
      <c r="AG697" s="417">
        <v>274</v>
      </c>
      <c r="AH697" s="417">
        <v>147</v>
      </c>
      <c r="AI697" s="417">
        <v>0</v>
      </c>
      <c r="AJ697" s="417">
        <v>0</v>
      </c>
      <c r="AK697" s="417">
        <v>0</v>
      </c>
      <c r="AL697" s="378">
        <v>3.4999999999999999E-6</v>
      </c>
      <c r="AM697" s="378"/>
      <c r="AN697" s="417">
        <v>-1198</v>
      </c>
      <c r="AO697" s="417">
        <v>-1198</v>
      </c>
      <c r="AP697" s="417">
        <v>-141</v>
      </c>
      <c r="AQ697" s="417">
        <v>0</v>
      </c>
      <c r="AR697" s="417">
        <v>0</v>
      </c>
    </row>
    <row r="698" spans="1:44">
      <c r="A698" s="377">
        <v>97631</v>
      </c>
      <c r="B698" t="s">
        <v>1395</v>
      </c>
      <c r="C698" s="378">
        <v>1.984E-4</v>
      </c>
      <c r="D698" s="378"/>
      <c r="E698" s="417">
        <v>18835</v>
      </c>
      <c r="F698" s="417">
        <v>-17403</v>
      </c>
      <c r="G698" s="417">
        <v>-41320</v>
      </c>
      <c r="H698" s="417">
        <v>-133022</v>
      </c>
      <c r="I698" s="417">
        <v>0</v>
      </c>
      <c r="J698" s="378">
        <v>1.984E-4</v>
      </c>
      <c r="K698" s="378"/>
      <c r="L698" s="417">
        <v>48570</v>
      </c>
      <c r="M698" s="417">
        <v>33544</v>
      </c>
      <c r="N698" s="417">
        <v>14684</v>
      </c>
      <c r="O698" s="417">
        <v>0</v>
      </c>
      <c r="P698" s="417">
        <v>0</v>
      </c>
      <c r="Q698" s="378">
        <v>1.984E-4</v>
      </c>
      <c r="R698" s="378"/>
      <c r="S698" s="417">
        <v>-99670</v>
      </c>
      <c r="T698" s="417">
        <v>-98517</v>
      </c>
      <c r="U698" s="417">
        <v>-103496</v>
      </c>
      <c r="V698" s="417">
        <v>-133022</v>
      </c>
      <c r="W698" s="417">
        <v>0</v>
      </c>
      <c r="X698" s="378">
        <v>1.984E-4</v>
      </c>
      <c r="Z698" s="417">
        <v>79479</v>
      </c>
      <c r="AA698" s="417">
        <v>55839</v>
      </c>
      <c r="AB698" s="417">
        <v>55838</v>
      </c>
      <c r="AC698" s="417">
        <v>0</v>
      </c>
      <c r="AD698" s="417">
        <v>0</v>
      </c>
      <c r="AE698" s="378">
        <v>1.984E-4</v>
      </c>
      <c r="AF698" s="378"/>
      <c r="AG698" s="417">
        <v>3522</v>
      </c>
      <c r="AH698" s="417">
        <v>3523</v>
      </c>
      <c r="AI698" s="417">
        <v>0</v>
      </c>
      <c r="AJ698" s="417">
        <v>0</v>
      </c>
      <c r="AK698" s="417">
        <v>0</v>
      </c>
      <c r="AL698" s="378">
        <v>1.984E-4</v>
      </c>
      <c r="AM698" s="378"/>
      <c r="AN698" s="417">
        <v>-13066</v>
      </c>
      <c r="AO698" s="417">
        <v>-11792</v>
      </c>
      <c r="AP698" s="417">
        <v>-8346</v>
      </c>
      <c r="AQ698" s="417">
        <v>0</v>
      </c>
      <c r="AR698" s="417">
        <v>0</v>
      </c>
    </row>
    <row r="699" spans="1:44">
      <c r="A699" s="377">
        <v>97637</v>
      </c>
      <c r="B699" t="s">
        <v>1396</v>
      </c>
      <c r="C699" s="378">
        <v>0</v>
      </c>
      <c r="D699" s="378"/>
      <c r="E699" s="417">
        <v>-436</v>
      </c>
      <c r="F699" s="417">
        <v>-629</v>
      </c>
      <c r="G699" s="417">
        <v>114</v>
      </c>
      <c r="H699" s="417">
        <v>0</v>
      </c>
      <c r="I699" s="417">
        <v>0</v>
      </c>
      <c r="J699" s="378">
        <v>0</v>
      </c>
      <c r="K699" s="378"/>
      <c r="L699" s="417">
        <v>0</v>
      </c>
      <c r="M699" s="417">
        <v>0</v>
      </c>
      <c r="N699" s="417">
        <v>0</v>
      </c>
      <c r="O699" s="417">
        <v>0</v>
      </c>
      <c r="P699" s="417">
        <v>0</v>
      </c>
      <c r="Q699" s="378">
        <v>0</v>
      </c>
      <c r="R699" s="378"/>
      <c r="S699" s="417">
        <v>0</v>
      </c>
      <c r="T699" s="417">
        <v>0</v>
      </c>
      <c r="U699" s="417">
        <v>0</v>
      </c>
      <c r="V699" s="417">
        <v>0</v>
      </c>
      <c r="W699" s="417">
        <v>0</v>
      </c>
      <c r="X699" s="378">
        <v>0</v>
      </c>
      <c r="Z699" s="417">
        <v>0</v>
      </c>
      <c r="AA699" s="417">
        <v>0</v>
      </c>
      <c r="AB699" s="417">
        <v>0</v>
      </c>
      <c r="AC699" s="417">
        <v>0</v>
      </c>
      <c r="AD699" s="417">
        <v>0</v>
      </c>
      <c r="AE699" s="378">
        <v>0</v>
      </c>
      <c r="AF699" s="378"/>
      <c r="AG699" s="417">
        <v>546</v>
      </c>
      <c r="AH699" s="417">
        <v>353</v>
      </c>
      <c r="AI699" s="417">
        <v>114</v>
      </c>
      <c r="AJ699" s="417">
        <v>0</v>
      </c>
      <c r="AK699" s="417">
        <v>0</v>
      </c>
      <c r="AL699" s="378">
        <v>0</v>
      </c>
      <c r="AM699" s="378"/>
      <c r="AN699" s="417">
        <v>-982</v>
      </c>
      <c r="AO699" s="417">
        <v>-982</v>
      </c>
      <c r="AP699" s="417">
        <v>0</v>
      </c>
      <c r="AQ699" s="417">
        <v>0</v>
      </c>
      <c r="AR699" s="417">
        <v>0</v>
      </c>
    </row>
    <row r="700" spans="1:44">
      <c r="A700" s="377">
        <v>97641</v>
      </c>
      <c r="B700" t="s">
        <v>1397</v>
      </c>
      <c r="C700" s="378">
        <v>7.7799999999999994E-5</v>
      </c>
      <c r="D700" s="378"/>
      <c r="E700" s="417">
        <v>30442</v>
      </c>
      <c r="F700" s="417">
        <v>17801</v>
      </c>
      <c r="G700" s="417">
        <v>4333</v>
      </c>
      <c r="H700" s="417">
        <v>-52163</v>
      </c>
      <c r="I700" s="417">
        <v>0</v>
      </c>
      <c r="J700" s="378">
        <v>7.7799999999999994E-5</v>
      </c>
      <c r="K700" s="378"/>
      <c r="L700" s="417">
        <v>19046</v>
      </c>
      <c r="M700" s="417">
        <v>13154</v>
      </c>
      <c r="N700" s="417">
        <v>5758</v>
      </c>
      <c r="O700" s="417">
        <v>0</v>
      </c>
      <c r="P700" s="417">
        <v>0</v>
      </c>
      <c r="Q700" s="378">
        <v>7.7799999999999994E-5</v>
      </c>
      <c r="R700" s="378"/>
      <c r="S700" s="417">
        <v>-39084</v>
      </c>
      <c r="T700" s="417">
        <v>-38632</v>
      </c>
      <c r="U700" s="417">
        <v>-40584</v>
      </c>
      <c r="V700" s="417">
        <v>-52163</v>
      </c>
      <c r="W700" s="417">
        <v>0</v>
      </c>
      <c r="X700" s="378">
        <v>7.7799999999999994E-5</v>
      </c>
      <c r="Z700" s="417">
        <v>31167</v>
      </c>
      <c r="AA700" s="417">
        <v>21896</v>
      </c>
      <c r="AB700" s="417">
        <v>21896</v>
      </c>
      <c r="AC700" s="417">
        <v>0</v>
      </c>
      <c r="AD700" s="417">
        <v>0</v>
      </c>
      <c r="AE700" s="378">
        <v>7.7799999999999994E-5</v>
      </c>
      <c r="AF700" s="378"/>
      <c r="AG700" s="417">
        <v>21386</v>
      </c>
      <c r="AH700" s="417">
        <v>21383</v>
      </c>
      <c r="AI700" s="417">
        <v>17263</v>
      </c>
      <c r="AJ700" s="417">
        <v>0</v>
      </c>
      <c r="AK700" s="417">
        <v>0</v>
      </c>
      <c r="AL700" s="378">
        <v>7.7799999999999994E-5</v>
      </c>
      <c r="AM700" s="378"/>
      <c r="AN700" s="417">
        <v>-2073</v>
      </c>
      <c r="AO700" s="417">
        <v>0</v>
      </c>
      <c r="AP700" s="417">
        <v>0</v>
      </c>
      <c r="AQ700" s="417">
        <v>0</v>
      </c>
      <c r="AR700" s="417">
        <v>0</v>
      </c>
    </row>
    <row r="701" spans="1:44">
      <c r="A701" s="377">
        <v>97651</v>
      </c>
      <c r="B701" t="s">
        <v>1398</v>
      </c>
      <c r="C701" s="378">
        <v>4.8879999999999996E-4</v>
      </c>
      <c r="D701" s="378"/>
      <c r="E701" s="417">
        <v>29369</v>
      </c>
      <c r="F701" s="417">
        <v>-58677</v>
      </c>
      <c r="G701" s="417">
        <v>-107297</v>
      </c>
      <c r="H701" s="417">
        <v>-327728</v>
      </c>
      <c r="I701" s="417">
        <v>0</v>
      </c>
      <c r="J701" s="378">
        <v>4.8879999999999996E-4</v>
      </c>
      <c r="K701" s="378"/>
      <c r="L701" s="417">
        <v>119662</v>
      </c>
      <c r="M701" s="417">
        <v>82642</v>
      </c>
      <c r="N701" s="417">
        <v>36177</v>
      </c>
      <c r="O701" s="417">
        <v>0</v>
      </c>
      <c r="P701" s="417">
        <v>0</v>
      </c>
      <c r="Q701" s="378">
        <v>4.8879999999999996E-4</v>
      </c>
      <c r="R701" s="378"/>
      <c r="S701" s="417">
        <v>-245557</v>
      </c>
      <c r="T701" s="417">
        <v>-242716</v>
      </c>
      <c r="U701" s="417">
        <v>-254983</v>
      </c>
      <c r="V701" s="417">
        <v>-327728</v>
      </c>
      <c r="W701" s="417">
        <v>0</v>
      </c>
      <c r="X701" s="378">
        <v>4.8879999999999996E-4</v>
      </c>
      <c r="Z701" s="417">
        <v>195814</v>
      </c>
      <c r="AA701" s="417">
        <v>137570</v>
      </c>
      <c r="AB701" s="417">
        <v>137569</v>
      </c>
      <c r="AC701" s="417">
        <v>0</v>
      </c>
      <c r="AD701" s="417">
        <v>0</v>
      </c>
      <c r="AE701" s="378">
        <v>4.8879999999999996E-4</v>
      </c>
      <c r="AF701" s="378"/>
      <c r="AG701" s="417">
        <v>0</v>
      </c>
      <c r="AH701" s="417">
        <v>0</v>
      </c>
      <c r="AI701" s="417">
        <v>0</v>
      </c>
      <c r="AJ701" s="417">
        <v>0</v>
      </c>
      <c r="AK701" s="417">
        <v>0</v>
      </c>
      <c r="AL701" s="378">
        <v>4.8879999999999996E-4</v>
      </c>
      <c r="AM701" s="378"/>
      <c r="AN701" s="417">
        <v>-40550</v>
      </c>
      <c r="AO701" s="417">
        <v>-36173</v>
      </c>
      <c r="AP701" s="417">
        <v>-26060</v>
      </c>
      <c r="AQ701" s="417">
        <v>0</v>
      </c>
      <c r="AR701" s="417">
        <v>0</v>
      </c>
    </row>
    <row r="702" spans="1:44">
      <c r="A702" s="377">
        <v>97661</v>
      </c>
      <c r="B702" t="s">
        <v>1399</v>
      </c>
      <c r="C702" s="378">
        <v>4.74E-5</v>
      </c>
      <c r="D702" s="378"/>
      <c r="E702" s="417">
        <v>7778</v>
      </c>
      <c r="F702" s="417">
        <v>-700</v>
      </c>
      <c r="G702" s="417">
        <v>-4855</v>
      </c>
      <c r="H702" s="417">
        <v>-31780</v>
      </c>
      <c r="I702" s="417">
        <v>0</v>
      </c>
      <c r="J702" s="378">
        <v>4.74E-5</v>
      </c>
      <c r="K702" s="378"/>
      <c r="L702" s="417">
        <v>11604</v>
      </c>
      <c r="M702" s="417">
        <v>8014</v>
      </c>
      <c r="N702" s="417">
        <v>3508</v>
      </c>
      <c r="O702" s="417">
        <v>0</v>
      </c>
      <c r="P702" s="417">
        <v>0</v>
      </c>
      <c r="Q702" s="378">
        <v>4.74E-5</v>
      </c>
      <c r="R702" s="378"/>
      <c r="S702" s="417">
        <v>-23812</v>
      </c>
      <c r="T702" s="417">
        <v>-23537</v>
      </c>
      <c r="U702" s="417">
        <v>-24726</v>
      </c>
      <c r="V702" s="417">
        <v>-31780</v>
      </c>
      <c r="W702" s="417">
        <v>0</v>
      </c>
      <c r="X702" s="378">
        <v>4.74E-5</v>
      </c>
      <c r="Z702" s="417">
        <v>18989</v>
      </c>
      <c r="AA702" s="417">
        <v>13340</v>
      </c>
      <c r="AB702" s="417">
        <v>13340</v>
      </c>
      <c r="AC702" s="417">
        <v>0</v>
      </c>
      <c r="AD702" s="417">
        <v>0</v>
      </c>
      <c r="AE702" s="378">
        <v>4.74E-5</v>
      </c>
      <c r="AF702" s="378"/>
      <c r="AG702" s="417">
        <v>4857</v>
      </c>
      <c r="AH702" s="417">
        <v>4856</v>
      </c>
      <c r="AI702" s="417">
        <v>3023</v>
      </c>
      <c r="AJ702" s="417">
        <v>0</v>
      </c>
      <c r="AK702" s="417">
        <v>0</v>
      </c>
      <c r="AL702" s="378">
        <v>4.74E-5</v>
      </c>
      <c r="AM702" s="378"/>
      <c r="AN702" s="417">
        <v>-3860</v>
      </c>
      <c r="AO702" s="417">
        <v>-3373</v>
      </c>
      <c r="AP702" s="417">
        <v>0</v>
      </c>
      <c r="AQ702" s="417">
        <v>0</v>
      </c>
      <c r="AR702" s="417">
        <v>0</v>
      </c>
    </row>
    <row r="703" spans="1:44">
      <c r="A703" s="377">
        <v>97701</v>
      </c>
      <c r="B703" t="s">
        <v>1400</v>
      </c>
      <c r="C703" s="378">
        <v>2.4559E-3</v>
      </c>
      <c r="D703" s="378"/>
      <c r="E703" s="417">
        <v>345789</v>
      </c>
      <c r="F703" s="417">
        <v>-128063</v>
      </c>
      <c r="G703" s="417">
        <v>-381443</v>
      </c>
      <c r="H703" s="417">
        <v>-1646617</v>
      </c>
      <c r="I703" s="417">
        <v>0</v>
      </c>
      <c r="J703" s="378">
        <v>2.4559E-3</v>
      </c>
      <c r="K703" s="378"/>
      <c r="L703" s="417">
        <v>601224</v>
      </c>
      <c r="M703" s="417">
        <v>415224</v>
      </c>
      <c r="N703" s="417">
        <v>181766</v>
      </c>
      <c r="O703" s="417">
        <v>0</v>
      </c>
      <c r="P703" s="417">
        <v>0</v>
      </c>
      <c r="Q703" s="378">
        <v>2.4559E-3</v>
      </c>
      <c r="R703" s="378"/>
      <c r="S703" s="417">
        <v>-1233766</v>
      </c>
      <c r="T703" s="417">
        <v>-1219489</v>
      </c>
      <c r="U703" s="417">
        <v>-1281123</v>
      </c>
      <c r="V703" s="417">
        <v>-1646617</v>
      </c>
      <c r="W703" s="417">
        <v>0</v>
      </c>
      <c r="X703" s="378">
        <v>2.4559E-3</v>
      </c>
      <c r="Z703" s="417">
        <v>983838</v>
      </c>
      <c r="AA703" s="417">
        <v>691201</v>
      </c>
      <c r="AB703" s="417">
        <v>691196</v>
      </c>
      <c r="AC703" s="417">
        <v>0</v>
      </c>
      <c r="AD703" s="417">
        <v>0</v>
      </c>
      <c r="AE703" s="378">
        <v>2.4559E-3</v>
      </c>
      <c r="AF703" s="378"/>
      <c r="AG703" s="417">
        <v>36207</v>
      </c>
      <c r="AH703" s="417">
        <v>26717</v>
      </c>
      <c r="AI703" s="417">
        <v>26718</v>
      </c>
      <c r="AJ703" s="417">
        <v>0</v>
      </c>
      <c r="AK703" s="417">
        <v>0</v>
      </c>
      <c r="AL703" s="378">
        <v>2.4559E-3</v>
      </c>
      <c r="AM703" s="378"/>
      <c r="AN703" s="417">
        <v>-41714</v>
      </c>
      <c r="AO703" s="417">
        <v>-41716</v>
      </c>
      <c r="AP703" s="417">
        <v>0</v>
      </c>
      <c r="AQ703" s="417">
        <v>0</v>
      </c>
      <c r="AR703" s="417">
        <v>0</v>
      </c>
    </row>
    <row r="704" spans="1:44">
      <c r="A704" s="377">
        <v>97705</v>
      </c>
      <c r="B704" t="s">
        <v>1401</v>
      </c>
      <c r="C704" s="378">
        <v>2.9300000000000001E-5</v>
      </c>
      <c r="D704" s="378"/>
      <c r="E704" s="417">
        <v>5905</v>
      </c>
      <c r="F704" s="417">
        <v>490</v>
      </c>
      <c r="G704" s="417">
        <v>-3462</v>
      </c>
      <c r="H704" s="417">
        <v>-19645</v>
      </c>
      <c r="I704" s="417">
        <v>0</v>
      </c>
      <c r="J704" s="378">
        <v>2.9300000000000001E-5</v>
      </c>
      <c r="K704" s="378"/>
      <c r="L704" s="417">
        <v>7173</v>
      </c>
      <c r="M704" s="417">
        <v>4954</v>
      </c>
      <c r="N704" s="417">
        <v>2169</v>
      </c>
      <c r="O704" s="417">
        <v>0</v>
      </c>
      <c r="P704" s="417">
        <v>0</v>
      </c>
      <c r="Q704" s="378">
        <v>2.9300000000000001E-5</v>
      </c>
      <c r="R704" s="378"/>
      <c r="S704" s="417">
        <v>-14719</v>
      </c>
      <c r="T704" s="417">
        <v>-14549</v>
      </c>
      <c r="U704" s="417">
        <v>-15284</v>
      </c>
      <c r="V704" s="417">
        <v>-19645</v>
      </c>
      <c r="W704" s="417">
        <v>0</v>
      </c>
      <c r="X704" s="378">
        <v>2.9300000000000001E-5</v>
      </c>
      <c r="Z704" s="417">
        <v>11738</v>
      </c>
      <c r="AA704" s="417">
        <v>8246</v>
      </c>
      <c r="AB704" s="417">
        <v>8246</v>
      </c>
      <c r="AC704" s="417">
        <v>0</v>
      </c>
      <c r="AD704" s="417">
        <v>0</v>
      </c>
      <c r="AE704" s="378">
        <v>2.9300000000000001E-5</v>
      </c>
      <c r="AF704" s="378"/>
      <c r="AG704" s="417">
        <v>3443</v>
      </c>
      <c r="AH704" s="417">
        <v>3442</v>
      </c>
      <c r="AI704" s="417">
        <v>1407</v>
      </c>
      <c r="AJ704" s="417">
        <v>0</v>
      </c>
      <c r="AK704" s="417">
        <v>0</v>
      </c>
      <c r="AL704" s="378">
        <v>2.9300000000000001E-5</v>
      </c>
      <c r="AM704" s="378"/>
      <c r="AN704" s="417">
        <v>-1730</v>
      </c>
      <c r="AO704" s="417">
        <v>-1603</v>
      </c>
      <c r="AP704" s="417">
        <v>0</v>
      </c>
      <c r="AQ704" s="417">
        <v>0</v>
      </c>
      <c r="AR704" s="417">
        <v>0</v>
      </c>
    </row>
    <row r="705" spans="1:44">
      <c r="A705" s="377">
        <v>97711</v>
      </c>
      <c r="B705" t="s">
        <v>1402</v>
      </c>
      <c r="C705" s="378">
        <v>8.1419999999999995E-4</v>
      </c>
      <c r="D705" s="378"/>
      <c r="E705" s="417">
        <v>102806</v>
      </c>
      <c r="F705" s="417">
        <v>-53887</v>
      </c>
      <c r="G705" s="417">
        <v>-140782</v>
      </c>
      <c r="H705" s="417">
        <v>-545900</v>
      </c>
      <c r="I705" s="417">
        <v>0</v>
      </c>
      <c r="J705" s="378">
        <v>8.1419999999999995E-4</v>
      </c>
      <c r="K705" s="378"/>
      <c r="L705" s="417">
        <v>199323</v>
      </c>
      <c r="M705" s="417">
        <v>137658</v>
      </c>
      <c r="N705" s="417">
        <v>60261</v>
      </c>
      <c r="O705" s="417">
        <v>0</v>
      </c>
      <c r="P705" s="417">
        <v>0</v>
      </c>
      <c r="Q705" s="378">
        <v>8.1419999999999995E-4</v>
      </c>
      <c r="R705" s="378"/>
      <c r="S705" s="417">
        <v>-409028</v>
      </c>
      <c r="T705" s="417">
        <v>-404295</v>
      </c>
      <c r="U705" s="417">
        <v>-424728</v>
      </c>
      <c r="V705" s="417">
        <v>-545900</v>
      </c>
      <c r="W705" s="417">
        <v>0</v>
      </c>
      <c r="X705" s="378">
        <v>8.1419999999999995E-4</v>
      </c>
      <c r="Z705" s="417">
        <v>326170</v>
      </c>
      <c r="AA705" s="417">
        <v>229153</v>
      </c>
      <c r="AB705" s="417">
        <v>229151</v>
      </c>
      <c r="AC705" s="417">
        <v>0</v>
      </c>
      <c r="AD705" s="417">
        <v>0</v>
      </c>
      <c r="AE705" s="378">
        <v>8.1419999999999995E-4</v>
      </c>
      <c r="AF705" s="378"/>
      <c r="AG705" s="417">
        <v>2747</v>
      </c>
      <c r="AH705" s="417">
        <v>0</v>
      </c>
      <c r="AI705" s="417">
        <v>0</v>
      </c>
      <c r="AJ705" s="417">
        <v>0</v>
      </c>
      <c r="AK705" s="417">
        <v>0</v>
      </c>
      <c r="AL705" s="378">
        <v>8.1419999999999995E-4</v>
      </c>
      <c r="AM705" s="378"/>
      <c r="AN705" s="417">
        <v>-16406</v>
      </c>
      <c r="AO705" s="417">
        <v>-16403</v>
      </c>
      <c r="AP705" s="417">
        <v>-5466</v>
      </c>
      <c r="AQ705" s="417">
        <v>0</v>
      </c>
      <c r="AR705" s="417">
        <v>0</v>
      </c>
    </row>
    <row r="706" spans="1:44">
      <c r="A706" s="377">
        <v>97713</v>
      </c>
      <c r="B706" t="s">
        <v>1403</v>
      </c>
      <c r="C706" s="378">
        <v>6.1199999999999997E-5</v>
      </c>
      <c r="D706" s="378"/>
      <c r="E706" s="417">
        <v>13271</v>
      </c>
      <c r="F706" s="417">
        <v>593</v>
      </c>
      <c r="G706" s="417">
        <v>-8833</v>
      </c>
      <c r="H706" s="417">
        <v>-41033</v>
      </c>
      <c r="I706" s="417">
        <v>0</v>
      </c>
      <c r="J706" s="378">
        <v>6.1199999999999997E-5</v>
      </c>
      <c r="K706" s="378"/>
      <c r="L706" s="417">
        <v>14982</v>
      </c>
      <c r="M706" s="417">
        <v>10347</v>
      </c>
      <c r="N706" s="417">
        <v>4530</v>
      </c>
      <c r="O706" s="417">
        <v>0</v>
      </c>
      <c r="P706" s="417">
        <v>0</v>
      </c>
      <c r="Q706" s="378">
        <v>6.1199999999999997E-5</v>
      </c>
      <c r="R706" s="378"/>
      <c r="S706" s="417">
        <v>-30745</v>
      </c>
      <c r="T706" s="417">
        <v>-30389</v>
      </c>
      <c r="U706" s="417">
        <v>-31925</v>
      </c>
      <c r="V706" s="417">
        <v>-41033</v>
      </c>
      <c r="W706" s="417">
        <v>0</v>
      </c>
      <c r="X706" s="378">
        <v>6.1199999999999997E-5</v>
      </c>
      <c r="Z706" s="417">
        <v>24517</v>
      </c>
      <c r="AA706" s="417">
        <v>17224</v>
      </c>
      <c r="AB706" s="417">
        <v>17224</v>
      </c>
      <c r="AC706" s="417">
        <v>0</v>
      </c>
      <c r="AD706" s="417">
        <v>0</v>
      </c>
      <c r="AE706" s="378">
        <v>6.1199999999999997E-5</v>
      </c>
      <c r="AF706" s="378"/>
      <c r="AG706" s="417">
        <v>4689</v>
      </c>
      <c r="AH706" s="417">
        <v>3583</v>
      </c>
      <c r="AI706" s="417">
        <v>1338</v>
      </c>
      <c r="AJ706" s="417">
        <v>0</v>
      </c>
      <c r="AK706" s="417">
        <v>0</v>
      </c>
      <c r="AL706" s="378">
        <v>6.1199999999999997E-5</v>
      </c>
      <c r="AM706" s="378"/>
      <c r="AN706" s="417">
        <v>-172</v>
      </c>
      <c r="AO706" s="417">
        <v>-172</v>
      </c>
      <c r="AP706" s="417">
        <v>0</v>
      </c>
      <c r="AQ706" s="417">
        <v>0</v>
      </c>
      <c r="AR706" s="417">
        <v>0</v>
      </c>
    </row>
    <row r="707" spans="1:44">
      <c r="A707" s="377">
        <v>97717</v>
      </c>
      <c r="B707" t="s">
        <v>1404</v>
      </c>
      <c r="C707" s="378">
        <v>1.6399999999999999E-5</v>
      </c>
      <c r="D707" s="378"/>
      <c r="E707" s="417">
        <v>8968</v>
      </c>
      <c r="F707" s="417">
        <v>5781</v>
      </c>
      <c r="G707" s="417">
        <v>3396</v>
      </c>
      <c r="H707" s="417">
        <v>-10996</v>
      </c>
      <c r="I707" s="417">
        <v>0</v>
      </c>
      <c r="J707" s="378">
        <v>1.6399999999999999E-5</v>
      </c>
      <c r="K707" s="378"/>
      <c r="L707" s="417">
        <v>4015</v>
      </c>
      <c r="M707" s="417">
        <v>2773</v>
      </c>
      <c r="N707" s="417">
        <v>1214</v>
      </c>
      <c r="O707" s="417">
        <v>0</v>
      </c>
      <c r="P707" s="417">
        <v>0</v>
      </c>
      <c r="Q707" s="378">
        <v>1.6399999999999999E-5</v>
      </c>
      <c r="R707" s="378"/>
      <c r="S707" s="417">
        <v>-8239</v>
      </c>
      <c r="T707" s="417">
        <v>-8144</v>
      </c>
      <c r="U707" s="417">
        <v>-8555</v>
      </c>
      <c r="V707" s="417">
        <v>-10996</v>
      </c>
      <c r="W707" s="417">
        <v>0</v>
      </c>
      <c r="X707" s="378">
        <v>1.6399999999999999E-5</v>
      </c>
      <c r="Z707" s="417">
        <v>6570</v>
      </c>
      <c r="AA707" s="417">
        <v>4616</v>
      </c>
      <c r="AB707" s="417">
        <v>4616</v>
      </c>
      <c r="AC707" s="417">
        <v>0</v>
      </c>
      <c r="AD707" s="417">
        <v>0</v>
      </c>
      <c r="AE707" s="378">
        <v>1.6399999999999999E-5</v>
      </c>
      <c r="AF707" s="378"/>
      <c r="AG707" s="417">
        <v>6640</v>
      </c>
      <c r="AH707" s="417">
        <v>6556</v>
      </c>
      <c r="AI707" s="417">
        <v>6121</v>
      </c>
      <c r="AJ707" s="417">
        <v>0</v>
      </c>
      <c r="AK707" s="417">
        <v>0</v>
      </c>
      <c r="AL707" s="378">
        <v>1.6399999999999999E-5</v>
      </c>
      <c r="AM707" s="378"/>
      <c r="AN707" s="417">
        <v>-18</v>
      </c>
      <c r="AO707" s="417">
        <v>-20</v>
      </c>
      <c r="AP707" s="417">
        <v>0</v>
      </c>
      <c r="AQ707" s="417">
        <v>0</v>
      </c>
      <c r="AR707" s="417">
        <v>0</v>
      </c>
    </row>
    <row r="708" spans="1:44">
      <c r="A708" s="377">
        <v>97721</v>
      </c>
      <c r="B708" t="s">
        <v>1405</v>
      </c>
      <c r="C708" s="378">
        <v>4.7889999999999999E-4</v>
      </c>
      <c r="D708" s="378"/>
      <c r="E708" s="417">
        <v>11214</v>
      </c>
      <c r="F708" s="417">
        <v>-80201</v>
      </c>
      <c r="G708" s="417">
        <v>-111606</v>
      </c>
      <c r="H708" s="417">
        <v>-321090</v>
      </c>
      <c r="I708" s="417">
        <v>0</v>
      </c>
      <c r="J708" s="378">
        <v>4.7889999999999999E-4</v>
      </c>
      <c r="K708" s="378"/>
      <c r="L708" s="417">
        <v>117239</v>
      </c>
      <c r="M708" s="417">
        <v>80969</v>
      </c>
      <c r="N708" s="417">
        <v>35444</v>
      </c>
      <c r="O708" s="417">
        <v>0</v>
      </c>
      <c r="P708" s="417">
        <v>0</v>
      </c>
      <c r="Q708" s="378">
        <v>4.7889999999999999E-4</v>
      </c>
      <c r="R708" s="378"/>
      <c r="S708" s="417">
        <v>-240584</v>
      </c>
      <c r="T708" s="417">
        <v>-237800</v>
      </c>
      <c r="U708" s="417">
        <v>-249819</v>
      </c>
      <c r="V708" s="417">
        <v>-321090</v>
      </c>
      <c r="W708" s="417">
        <v>0</v>
      </c>
      <c r="X708" s="378">
        <v>4.7889999999999999E-4</v>
      </c>
      <c r="Z708" s="417">
        <v>191848</v>
      </c>
      <c r="AA708" s="417">
        <v>134784</v>
      </c>
      <c r="AB708" s="417">
        <v>134783</v>
      </c>
      <c r="AC708" s="417">
        <v>0</v>
      </c>
      <c r="AD708" s="417">
        <v>0</v>
      </c>
      <c r="AE708" s="378">
        <v>4.7889999999999999E-4</v>
      </c>
      <c r="AF708" s="378"/>
      <c r="AG708" s="417">
        <v>868</v>
      </c>
      <c r="AH708" s="417">
        <v>0</v>
      </c>
      <c r="AI708" s="417">
        <v>0</v>
      </c>
      <c r="AJ708" s="417">
        <v>0</v>
      </c>
      <c r="AK708" s="417">
        <v>0</v>
      </c>
      <c r="AL708" s="378">
        <v>4.7889999999999999E-4</v>
      </c>
      <c r="AM708" s="378"/>
      <c r="AN708" s="417">
        <v>-58157</v>
      </c>
      <c r="AO708" s="417">
        <v>-58154</v>
      </c>
      <c r="AP708" s="417">
        <v>-32014</v>
      </c>
      <c r="AQ708" s="417">
        <v>0</v>
      </c>
      <c r="AR708" s="417">
        <v>0</v>
      </c>
    </row>
    <row r="709" spans="1:44">
      <c r="A709" s="377">
        <v>97727</v>
      </c>
      <c r="B709" t="s">
        <v>1406</v>
      </c>
      <c r="C709" s="378">
        <v>2.0699999999999998E-5</v>
      </c>
      <c r="D709" s="378"/>
      <c r="E709" s="417">
        <v>6100</v>
      </c>
      <c r="F709" s="417">
        <v>2344</v>
      </c>
      <c r="G709" s="417">
        <v>-291</v>
      </c>
      <c r="H709" s="417">
        <v>-13879</v>
      </c>
      <c r="I709" s="417">
        <v>0</v>
      </c>
      <c r="J709" s="378">
        <v>2.0699999999999998E-5</v>
      </c>
      <c r="K709" s="378"/>
      <c r="L709" s="417">
        <v>5068</v>
      </c>
      <c r="M709" s="417">
        <v>3500</v>
      </c>
      <c r="N709" s="417">
        <v>1532</v>
      </c>
      <c r="O709" s="417">
        <v>0</v>
      </c>
      <c r="P709" s="417">
        <v>0</v>
      </c>
      <c r="Q709" s="378">
        <v>2.0699999999999998E-5</v>
      </c>
      <c r="R709" s="378"/>
      <c r="S709" s="417">
        <v>-10399</v>
      </c>
      <c r="T709" s="417">
        <v>-10279</v>
      </c>
      <c r="U709" s="417">
        <v>-10798</v>
      </c>
      <c r="V709" s="417">
        <v>-13879</v>
      </c>
      <c r="W709" s="417">
        <v>0</v>
      </c>
      <c r="X709" s="378">
        <v>2.0699999999999998E-5</v>
      </c>
      <c r="Z709" s="417">
        <v>8292</v>
      </c>
      <c r="AA709" s="417">
        <v>5826</v>
      </c>
      <c r="AB709" s="417">
        <v>5826</v>
      </c>
      <c r="AC709" s="417">
        <v>0</v>
      </c>
      <c r="AD709" s="417">
        <v>0</v>
      </c>
      <c r="AE709" s="378">
        <v>2.0699999999999998E-5</v>
      </c>
      <c r="AF709" s="378"/>
      <c r="AG709" s="417">
        <v>3306</v>
      </c>
      <c r="AH709" s="417">
        <v>3307</v>
      </c>
      <c r="AI709" s="417">
        <v>3149</v>
      </c>
      <c r="AJ709" s="417">
        <v>0</v>
      </c>
      <c r="AK709" s="417">
        <v>0</v>
      </c>
      <c r="AL709" s="378">
        <v>2.0699999999999998E-5</v>
      </c>
      <c r="AM709" s="378"/>
      <c r="AN709" s="417">
        <v>-167</v>
      </c>
      <c r="AO709" s="417">
        <v>-10</v>
      </c>
      <c r="AP709" s="417">
        <v>0</v>
      </c>
      <c r="AQ709" s="417">
        <v>0</v>
      </c>
      <c r="AR709" s="417">
        <v>0</v>
      </c>
    </row>
    <row r="710" spans="1:44">
      <c r="A710" s="377">
        <v>97731</v>
      </c>
      <c r="B710" t="s">
        <v>1407</v>
      </c>
      <c r="C710" s="378">
        <v>3.2299999999999999E-5</v>
      </c>
      <c r="D710" s="378"/>
      <c r="E710" s="417">
        <v>4344</v>
      </c>
      <c r="F710" s="417">
        <v>-2086</v>
      </c>
      <c r="G710" s="417">
        <v>-7705</v>
      </c>
      <c r="H710" s="417">
        <v>-21656</v>
      </c>
      <c r="I710" s="417">
        <v>0</v>
      </c>
      <c r="J710" s="378">
        <v>3.2299999999999999E-5</v>
      </c>
      <c r="K710" s="378"/>
      <c r="L710" s="417">
        <v>7907</v>
      </c>
      <c r="M710" s="417">
        <v>5461</v>
      </c>
      <c r="N710" s="417">
        <v>2391</v>
      </c>
      <c r="O710" s="417">
        <v>0</v>
      </c>
      <c r="P710" s="417">
        <v>0</v>
      </c>
      <c r="Q710" s="378">
        <v>3.2299999999999999E-5</v>
      </c>
      <c r="R710" s="378"/>
      <c r="S710" s="417">
        <v>-16226</v>
      </c>
      <c r="T710" s="417">
        <v>-16039</v>
      </c>
      <c r="U710" s="417">
        <v>-16849</v>
      </c>
      <c r="V710" s="417">
        <v>-21656</v>
      </c>
      <c r="W710" s="417">
        <v>0</v>
      </c>
      <c r="X710" s="378">
        <v>3.2299999999999999E-5</v>
      </c>
      <c r="Z710" s="417">
        <v>12939</v>
      </c>
      <c r="AA710" s="417">
        <v>9091</v>
      </c>
      <c r="AB710" s="417">
        <v>9091</v>
      </c>
      <c r="AC710" s="417">
        <v>0</v>
      </c>
      <c r="AD710" s="417">
        <v>0</v>
      </c>
      <c r="AE710" s="378">
        <v>3.2299999999999999E-5</v>
      </c>
      <c r="AF710" s="378"/>
      <c r="AG710" s="417">
        <v>2062</v>
      </c>
      <c r="AH710" s="417">
        <v>1739</v>
      </c>
      <c r="AI710" s="417">
        <v>0</v>
      </c>
      <c r="AJ710" s="417">
        <v>0</v>
      </c>
      <c r="AK710" s="417">
        <v>0</v>
      </c>
      <c r="AL710" s="378">
        <v>3.2299999999999999E-5</v>
      </c>
      <c r="AM710" s="378"/>
      <c r="AN710" s="417">
        <v>-2338</v>
      </c>
      <c r="AO710" s="417">
        <v>-2338</v>
      </c>
      <c r="AP710" s="417">
        <v>-2338</v>
      </c>
      <c r="AQ710" s="417">
        <v>0</v>
      </c>
      <c r="AR710" s="417">
        <v>0</v>
      </c>
    </row>
    <row r="711" spans="1:44">
      <c r="A711" s="377">
        <v>97801</v>
      </c>
      <c r="B711" t="s">
        <v>1940</v>
      </c>
      <c r="C711" s="378">
        <v>6.0962000000000004E-3</v>
      </c>
      <c r="D711" s="378"/>
      <c r="E711" s="417">
        <v>915582</v>
      </c>
      <c r="F711" s="417">
        <v>-180145</v>
      </c>
      <c r="G711" s="417">
        <v>-1016853</v>
      </c>
      <c r="H711" s="417">
        <v>-4087344</v>
      </c>
      <c r="I711" s="417">
        <v>0</v>
      </c>
      <c r="J711" s="378">
        <v>6.0962000000000004E-3</v>
      </c>
      <c r="K711" s="378"/>
      <c r="L711" s="417">
        <v>1492399</v>
      </c>
      <c r="M711" s="417">
        <v>1030697</v>
      </c>
      <c r="N711" s="417">
        <v>451192</v>
      </c>
      <c r="O711" s="417">
        <v>0</v>
      </c>
      <c r="P711" s="417">
        <v>0</v>
      </c>
      <c r="Q711" s="378">
        <v>6.0962000000000004E-3</v>
      </c>
      <c r="R711" s="378"/>
      <c r="S711" s="417">
        <v>-3062536</v>
      </c>
      <c r="T711" s="417">
        <v>-3027099</v>
      </c>
      <c r="U711" s="417">
        <v>-3180089</v>
      </c>
      <c r="V711" s="417">
        <v>-4087344</v>
      </c>
      <c r="W711" s="417">
        <v>0</v>
      </c>
      <c r="X711" s="378">
        <v>6.0962000000000004E-3</v>
      </c>
      <c r="Z711" s="417">
        <v>2442150</v>
      </c>
      <c r="AA711" s="417">
        <v>1715745</v>
      </c>
      <c r="AB711" s="417">
        <v>1715733</v>
      </c>
      <c r="AC711" s="417">
        <v>0</v>
      </c>
      <c r="AD711" s="417">
        <v>0</v>
      </c>
      <c r="AE711" s="378">
        <v>6.0962000000000004E-3</v>
      </c>
      <c r="AF711" s="378"/>
      <c r="AG711" s="417">
        <v>181868</v>
      </c>
      <c r="AH711" s="417">
        <v>181866</v>
      </c>
      <c r="AI711" s="417">
        <v>0</v>
      </c>
      <c r="AJ711" s="417">
        <v>0</v>
      </c>
      <c r="AK711" s="417">
        <v>0</v>
      </c>
      <c r="AL711" s="378">
        <v>6.0962000000000004E-3</v>
      </c>
      <c r="AM711" s="378"/>
      <c r="AN711" s="417">
        <v>-138299</v>
      </c>
      <c r="AO711" s="417">
        <v>-81354</v>
      </c>
      <c r="AP711" s="417">
        <v>-3689</v>
      </c>
      <c r="AQ711" s="417">
        <v>0</v>
      </c>
      <c r="AR711" s="417">
        <v>0</v>
      </c>
    </row>
    <row r="712" spans="1:44">
      <c r="A712" s="377">
        <v>97802</v>
      </c>
      <c r="B712" t="s">
        <v>1409</v>
      </c>
      <c r="C712" s="378">
        <v>1.5919999999999999E-4</v>
      </c>
      <c r="D712" s="378"/>
      <c r="E712" s="417">
        <v>15434</v>
      </c>
      <c r="F712" s="417">
        <v>-17852</v>
      </c>
      <c r="G712" s="417">
        <v>-26863</v>
      </c>
      <c r="H712" s="417">
        <v>-106739</v>
      </c>
      <c r="I712" s="417">
        <v>0</v>
      </c>
      <c r="J712" s="378">
        <v>1.5919999999999999E-4</v>
      </c>
      <c r="K712" s="378"/>
      <c r="L712" s="417">
        <v>38973</v>
      </c>
      <c r="M712" s="417">
        <v>26916</v>
      </c>
      <c r="N712" s="417">
        <v>11783</v>
      </c>
      <c r="O712" s="417">
        <v>0</v>
      </c>
      <c r="P712" s="417">
        <v>0</v>
      </c>
      <c r="Q712" s="378">
        <v>1.5919999999999999E-4</v>
      </c>
      <c r="R712" s="378"/>
      <c r="S712" s="417">
        <v>-79977</v>
      </c>
      <c r="T712" s="417">
        <v>-79052</v>
      </c>
      <c r="U712" s="417">
        <v>-83047</v>
      </c>
      <c r="V712" s="417">
        <v>-106739</v>
      </c>
      <c r="W712" s="417">
        <v>0</v>
      </c>
      <c r="X712" s="378">
        <v>1.5919999999999999E-4</v>
      </c>
      <c r="Z712" s="417">
        <v>63776</v>
      </c>
      <c r="AA712" s="417">
        <v>44806</v>
      </c>
      <c r="AB712" s="417">
        <v>44806</v>
      </c>
      <c r="AC712" s="417">
        <v>0</v>
      </c>
      <c r="AD712" s="417">
        <v>0</v>
      </c>
      <c r="AE712" s="378">
        <v>1.5919999999999999E-4</v>
      </c>
      <c r="AF712" s="378"/>
      <c r="AG712" s="417">
        <v>6410</v>
      </c>
      <c r="AH712" s="417">
        <v>3225</v>
      </c>
      <c r="AI712" s="417">
        <v>0</v>
      </c>
      <c r="AJ712" s="417">
        <v>0</v>
      </c>
      <c r="AK712" s="417">
        <v>0</v>
      </c>
      <c r="AL712" s="378">
        <v>1.5919999999999999E-4</v>
      </c>
      <c r="AM712" s="378"/>
      <c r="AN712" s="417">
        <v>-13748</v>
      </c>
      <c r="AO712" s="417">
        <v>-13747</v>
      </c>
      <c r="AP712" s="417">
        <v>-405</v>
      </c>
      <c r="AQ712" s="417">
        <v>0</v>
      </c>
      <c r="AR712" s="417">
        <v>0</v>
      </c>
    </row>
    <row r="713" spans="1:44">
      <c r="A713" s="377">
        <v>97803</v>
      </c>
      <c r="B713" t="s">
        <v>1410</v>
      </c>
      <c r="C713" s="378">
        <v>7.86E-5</v>
      </c>
      <c r="D713" s="378"/>
      <c r="E713" s="417">
        <v>14426</v>
      </c>
      <c r="F713" s="417">
        <v>-1437</v>
      </c>
      <c r="G713" s="417">
        <v>-8654</v>
      </c>
      <c r="H713" s="417">
        <v>-52699</v>
      </c>
      <c r="I713" s="417">
        <v>0</v>
      </c>
      <c r="J713" s="378">
        <v>7.86E-5</v>
      </c>
      <c r="K713" s="378"/>
      <c r="L713" s="417">
        <v>19242</v>
      </c>
      <c r="M713" s="417">
        <v>13289</v>
      </c>
      <c r="N713" s="417">
        <v>5817</v>
      </c>
      <c r="O713" s="417">
        <v>0</v>
      </c>
      <c r="P713" s="417">
        <v>0</v>
      </c>
      <c r="Q713" s="378">
        <v>7.86E-5</v>
      </c>
      <c r="R713" s="378"/>
      <c r="S713" s="417">
        <v>-39486</v>
      </c>
      <c r="T713" s="417">
        <v>-39029</v>
      </c>
      <c r="U713" s="417">
        <v>-41002</v>
      </c>
      <c r="V713" s="417">
        <v>-52699</v>
      </c>
      <c r="W713" s="417">
        <v>0</v>
      </c>
      <c r="X713" s="378">
        <v>7.86E-5</v>
      </c>
      <c r="Z713" s="417">
        <v>31487</v>
      </c>
      <c r="AA713" s="417">
        <v>22122</v>
      </c>
      <c r="AB713" s="417">
        <v>22121</v>
      </c>
      <c r="AC713" s="417">
        <v>0</v>
      </c>
      <c r="AD713" s="417">
        <v>0</v>
      </c>
      <c r="AE713" s="378">
        <v>7.86E-5</v>
      </c>
      <c r="AF713" s="378"/>
      <c r="AG713" s="417">
        <v>5412</v>
      </c>
      <c r="AH713" s="417">
        <v>4411</v>
      </c>
      <c r="AI713" s="417">
        <v>4410</v>
      </c>
      <c r="AJ713" s="417">
        <v>0</v>
      </c>
      <c r="AK713" s="417">
        <v>0</v>
      </c>
      <c r="AL713" s="378">
        <v>7.86E-5</v>
      </c>
      <c r="AM713" s="378"/>
      <c r="AN713" s="417">
        <v>-2229</v>
      </c>
      <c r="AO713" s="417">
        <v>-2230</v>
      </c>
      <c r="AP713" s="417">
        <v>0</v>
      </c>
      <c r="AQ713" s="417">
        <v>0</v>
      </c>
      <c r="AR713" s="417">
        <v>0</v>
      </c>
    </row>
    <row r="714" spans="1:44">
      <c r="A714" s="377">
        <v>97805</v>
      </c>
      <c r="B714" t="s">
        <v>1411</v>
      </c>
      <c r="C714" s="378">
        <v>8.0400000000000003E-5</v>
      </c>
      <c r="D714" s="378"/>
      <c r="E714" s="417">
        <v>9042</v>
      </c>
      <c r="F714" s="417">
        <v>-7088</v>
      </c>
      <c r="G714" s="417">
        <v>-17100</v>
      </c>
      <c r="H714" s="417">
        <v>-53906</v>
      </c>
      <c r="I714" s="417">
        <v>0</v>
      </c>
      <c r="J714" s="378">
        <v>8.0400000000000003E-5</v>
      </c>
      <c r="K714" s="378"/>
      <c r="L714" s="417">
        <v>19683</v>
      </c>
      <c r="M714" s="417">
        <v>13593</v>
      </c>
      <c r="N714" s="417">
        <v>5951</v>
      </c>
      <c r="O714" s="417">
        <v>0</v>
      </c>
      <c r="P714" s="417">
        <v>0</v>
      </c>
      <c r="Q714" s="378">
        <v>8.0400000000000003E-5</v>
      </c>
      <c r="R714" s="378"/>
      <c r="S714" s="417">
        <v>-40390</v>
      </c>
      <c r="T714" s="417">
        <v>-39923</v>
      </c>
      <c r="U714" s="417">
        <v>-41941</v>
      </c>
      <c r="V714" s="417">
        <v>-53906</v>
      </c>
      <c r="W714" s="417">
        <v>0</v>
      </c>
      <c r="X714" s="378">
        <v>8.0400000000000003E-5</v>
      </c>
      <c r="Z714" s="417">
        <v>32208</v>
      </c>
      <c r="AA714" s="417">
        <v>22628</v>
      </c>
      <c r="AB714" s="417">
        <v>22628</v>
      </c>
      <c r="AC714" s="417">
        <v>0</v>
      </c>
      <c r="AD714" s="417">
        <v>0</v>
      </c>
      <c r="AE714" s="378">
        <v>8.0400000000000003E-5</v>
      </c>
      <c r="AF714" s="378"/>
      <c r="AG714" s="417">
        <v>1747</v>
      </c>
      <c r="AH714" s="417">
        <v>819</v>
      </c>
      <c r="AI714" s="417">
        <v>0</v>
      </c>
      <c r="AJ714" s="417">
        <v>0</v>
      </c>
      <c r="AK714" s="417">
        <v>0</v>
      </c>
      <c r="AL714" s="378">
        <v>8.0400000000000003E-5</v>
      </c>
      <c r="AM714" s="378"/>
      <c r="AN714" s="417">
        <v>-4206</v>
      </c>
      <c r="AO714" s="417">
        <v>-4205</v>
      </c>
      <c r="AP714" s="417">
        <v>-3738</v>
      </c>
      <c r="AQ714" s="417">
        <v>0</v>
      </c>
      <c r="AR714" s="417">
        <v>0</v>
      </c>
    </row>
    <row r="715" spans="1:44">
      <c r="A715" s="377">
        <v>97811</v>
      </c>
      <c r="B715" t="s">
        <v>1412</v>
      </c>
      <c r="C715" s="378">
        <v>2.2604000000000001E-3</v>
      </c>
      <c r="D715" s="378"/>
      <c r="E715" s="417">
        <v>248945</v>
      </c>
      <c r="F715" s="417">
        <v>-177316</v>
      </c>
      <c r="G715" s="417">
        <v>-404049</v>
      </c>
      <c r="H715" s="417">
        <v>-1515539</v>
      </c>
      <c r="I715" s="417">
        <v>0</v>
      </c>
      <c r="J715" s="378">
        <v>2.2604000000000001E-3</v>
      </c>
      <c r="K715" s="378"/>
      <c r="L715" s="417">
        <v>553364</v>
      </c>
      <c r="M715" s="417">
        <v>382170</v>
      </c>
      <c r="N715" s="417">
        <v>167297</v>
      </c>
      <c r="O715" s="417">
        <v>0</v>
      </c>
      <c r="P715" s="417">
        <v>0</v>
      </c>
      <c r="Q715" s="378">
        <v>2.2604000000000001E-3</v>
      </c>
      <c r="R715" s="378"/>
      <c r="S715" s="417">
        <v>-1135553</v>
      </c>
      <c r="T715" s="417">
        <v>-1122413</v>
      </c>
      <c r="U715" s="417">
        <v>-1179140</v>
      </c>
      <c r="V715" s="417">
        <v>-1515539</v>
      </c>
      <c r="W715" s="417">
        <v>0</v>
      </c>
      <c r="X715" s="378">
        <v>2.2604000000000001E-3</v>
      </c>
      <c r="Z715" s="417">
        <v>905521</v>
      </c>
      <c r="AA715" s="417">
        <v>636178</v>
      </c>
      <c r="AB715" s="417">
        <v>636174</v>
      </c>
      <c r="AC715" s="417">
        <v>0</v>
      </c>
      <c r="AD715" s="417">
        <v>0</v>
      </c>
      <c r="AE715" s="378">
        <v>2.2604000000000001E-3</v>
      </c>
      <c r="AF715" s="378"/>
      <c r="AG715" s="417">
        <v>0</v>
      </c>
      <c r="AH715" s="417">
        <v>0</v>
      </c>
      <c r="AI715" s="417">
        <v>0</v>
      </c>
      <c r="AJ715" s="417">
        <v>0</v>
      </c>
      <c r="AK715" s="417">
        <v>0</v>
      </c>
      <c r="AL715" s="378">
        <v>2.2604000000000001E-3</v>
      </c>
      <c r="AM715" s="378"/>
      <c r="AN715" s="417">
        <v>-74387</v>
      </c>
      <c r="AO715" s="417">
        <v>-73251</v>
      </c>
      <c r="AP715" s="417">
        <v>-28380</v>
      </c>
      <c r="AQ715" s="417">
        <v>0</v>
      </c>
      <c r="AR715" s="417">
        <v>0</v>
      </c>
    </row>
    <row r="716" spans="1:44">
      <c r="A716" s="377">
        <v>97817</v>
      </c>
      <c r="B716" t="s">
        <v>1413</v>
      </c>
      <c r="C716" s="378">
        <v>2.0400000000000001E-5</v>
      </c>
      <c r="D716" s="378"/>
      <c r="E716" s="417">
        <v>8101</v>
      </c>
      <c r="F716" s="417">
        <v>3980</v>
      </c>
      <c r="G716" s="417">
        <v>-1447</v>
      </c>
      <c r="H716" s="417">
        <v>-13678</v>
      </c>
      <c r="I716" s="417">
        <v>0</v>
      </c>
      <c r="J716" s="378">
        <v>2.0400000000000001E-5</v>
      </c>
      <c r="K716" s="378"/>
      <c r="L716" s="417">
        <v>4994</v>
      </c>
      <c r="M716" s="417">
        <v>3449</v>
      </c>
      <c r="N716" s="417">
        <v>1510</v>
      </c>
      <c r="O716" s="417">
        <v>0</v>
      </c>
      <c r="P716" s="417">
        <v>0</v>
      </c>
      <c r="Q716" s="378">
        <v>2.0400000000000001E-5</v>
      </c>
      <c r="R716" s="378"/>
      <c r="S716" s="417">
        <v>-10248</v>
      </c>
      <c r="T716" s="417">
        <v>-10130</v>
      </c>
      <c r="U716" s="417">
        <v>-10642</v>
      </c>
      <c r="V716" s="417">
        <v>-13678</v>
      </c>
      <c r="W716" s="417">
        <v>0</v>
      </c>
      <c r="X716" s="378">
        <v>2.0400000000000001E-5</v>
      </c>
      <c r="Z716" s="417">
        <v>8172</v>
      </c>
      <c r="AA716" s="417">
        <v>5741</v>
      </c>
      <c r="AB716" s="417">
        <v>5741</v>
      </c>
      <c r="AC716" s="417">
        <v>0</v>
      </c>
      <c r="AD716" s="417">
        <v>0</v>
      </c>
      <c r="AE716" s="378">
        <v>2.0400000000000001E-5</v>
      </c>
      <c r="AF716" s="378"/>
      <c r="AG716" s="417">
        <v>5183</v>
      </c>
      <c r="AH716" s="417">
        <v>4920</v>
      </c>
      <c r="AI716" s="417">
        <v>1944</v>
      </c>
      <c r="AJ716" s="417">
        <v>0</v>
      </c>
      <c r="AK716" s="417">
        <v>0</v>
      </c>
      <c r="AL716" s="378">
        <v>2.0400000000000001E-5</v>
      </c>
      <c r="AM716" s="378"/>
      <c r="AN716" s="417">
        <v>0</v>
      </c>
      <c r="AO716" s="417">
        <v>0</v>
      </c>
      <c r="AP716" s="417">
        <v>0</v>
      </c>
      <c r="AQ716" s="417">
        <v>0</v>
      </c>
      <c r="AR716" s="417">
        <v>0</v>
      </c>
    </row>
    <row r="717" spans="1:44">
      <c r="A717" s="377">
        <v>97818</v>
      </c>
      <c r="B717" t="s">
        <v>1414</v>
      </c>
      <c r="C717" s="378">
        <v>1.49E-5</v>
      </c>
      <c r="D717" s="378"/>
      <c r="E717" s="417">
        <v>1060</v>
      </c>
      <c r="F717" s="417">
        <v>-1510</v>
      </c>
      <c r="G717" s="417">
        <v>-2023</v>
      </c>
      <c r="H717" s="417">
        <v>-9990</v>
      </c>
      <c r="I717" s="417">
        <v>0</v>
      </c>
      <c r="J717" s="378">
        <v>1.49E-5</v>
      </c>
      <c r="K717" s="378"/>
      <c r="L717" s="417">
        <v>3648</v>
      </c>
      <c r="M717" s="417">
        <v>2519</v>
      </c>
      <c r="N717" s="417">
        <v>1103</v>
      </c>
      <c r="O717" s="417">
        <v>0</v>
      </c>
      <c r="P717" s="417">
        <v>0</v>
      </c>
      <c r="Q717" s="378">
        <v>1.49E-5</v>
      </c>
      <c r="R717" s="378"/>
      <c r="S717" s="417">
        <v>-7485</v>
      </c>
      <c r="T717" s="417">
        <v>-7399</v>
      </c>
      <c r="U717" s="417">
        <v>-7773</v>
      </c>
      <c r="V717" s="417">
        <v>-9990</v>
      </c>
      <c r="W717" s="417">
        <v>0</v>
      </c>
      <c r="X717" s="378">
        <v>1.49E-5</v>
      </c>
      <c r="Z717" s="417">
        <v>5969</v>
      </c>
      <c r="AA717" s="417">
        <v>4194</v>
      </c>
      <c r="AB717" s="417">
        <v>4194</v>
      </c>
      <c r="AC717" s="417">
        <v>0</v>
      </c>
      <c r="AD717" s="417">
        <v>0</v>
      </c>
      <c r="AE717" s="378">
        <v>1.49E-5</v>
      </c>
      <c r="AF717" s="378"/>
      <c r="AG717" s="417">
        <v>1398</v>
      </c>
      <c r="AH717" s="417">
        <v>1400</v>
      </c>
      <c r="AI717" s="417">
        <v>453</v>
      </c>
      <c r="AJ717" s="417">
        <v>0</v>
      </c>
      <c r="AK717" s="417">
        <v>0</v>
      </c>
      <c r="AL717" s="378">
        <v>1.49E-5</v>
      </c>
      <c r="AM717" s="378"/>
      <c r="AN717" s="417">
        <v>-2470</v>
      </c>
      <c r="AO717" s="417">
        <v>-2224</v>
      </c>
      <c r="AP717" s="417">
        <v>0</v>
      </c>
      <c r="AQ717" s="417">
        <v>0</v>
      </c>
      <c r="AR717" s="417">
        <v>0</v>
      </c>
    </row>
    <row r="718" spans="1:44">
      <c r="A718" s="377">
        <v>97821</v>
      </c>
      <c r="B718" t="s">
        <v>1415</v>
      </c>
      <c r="C718" s="378">
        <v>1.2430000000000001E-4</v>
      </c>
      <c r="D718" s="378"/>
      <c r="E718" s="417">
        <v>28348</v>
      </c>
      <c r="F718" s="417">
        <v>2700</v>
      </c>
      <c r="G718" s="417">
        <v>-8997</v>
      </c>
      <c r="H718" s="417">
        <v>-83340</v>
      </c>
      <c r="I718" s="417">
        <v>0</v>
      </c>
      <c r="J718" s="378">
        <v>1.2430000000000001E-4</v>
      </c>
      <c r="K718" s="378"/>
      <c r="L718" s="417">
        <v>30430</v>
      </c>
      <c r="M718" s="417">
        <v>21016</v>
      </c>
      <c r="N718" s="417">
        <v>9200</v>
      </c>
      <c r="O718" s="417">
        <v>0</v>
      </c>
      <c r="P718" s="417">
        <v>0</v>
      </c>
      <c r="Q718" s="378">
        <v>1.2430000000000001E-4</v>
      </c>
      <c r="R718" s="378"/>
      <c r="S718" s="417">
        <v>-62444</v>
      </c>
      <c r="T718" s="417">
        <v>-61722</v>
      </c>
      <c r="U718" s="417">
        <v>-64841</v>
      </c>
      <c r="V718" s="417">
        <v>-83340</v>
      </c>
      <c r="W718" s="417">
        <v>0</v>
      </c>
      <c r="X718" s="378">
        <v>1.2430000000000001E-4</v>
      </c>
      <c r="Z718" s="417">
        <v>49795</v>
      </c>
      <c r="AA718" s="417">
        <v>34984</v>
      </c>
      <c r="AB718" s="417">
        <v>34983</v>
      </c>
      <c r="AC718" s="417">
        <v>0</v>
      </c>
      <c r="AD718" s="417">
        <v>0</v>
      </c>
      <c r="AE718" s="378">
        <v>1.2430000000000001E-4</v>
      </c>
      <c r="AF718" s="378"/>
      <c r="AG718" s="417">
        <v>19680</v>
      </c>
      <c r="AH718" s="417">
        <v>17533</v>
      </c>
      <c r="AI718" s="417">
        <v>11661</v>
      </c>
      <c r="AJ718" s="417">
        <v>0</v>
      </c>
      <c r="AK718" s="417">
        <v>0</v>
      </c>
      <c r="AL718" s="378">
        <v>1.2430000000000001E-4</v>
      </c>
      <c r="AM718" s="378"/>
      <c r="AN718" s="417">
        <v>-9113</v>
      </c>
      <c r="AO718" s="417">
        <v>-9111</v>
      </c>
      <c r="AP718" s="417">
        <v>0</v>
      </c>
      <c r="AQ718" s="417">
        <v>0</v>
      </c>
      <c r="AR718" s="417">
        <v>0</v>
      </c>
    </row>
    <row r="719" spans="1:44">
      <c r="A719" s="377">
        <v>97823</v>
      </c>
      <c r="B719" t="s">
        <v>1416</v>
      </c>
      <c r="C719" s="378">
        <v>1.9000000000000001E-5</v>
      </c>
      <c r="D719" s="378"/>
      <c r="E719" s="417">
        <v>6044</v>
      </c>
      <c r="F719" s="417">
        <v>2975</v>
      </c>
      <c r="G719" s="417">
        <v>-2464</v>
      </c>
      <c r="H719" s="417">
        <v>-12739</v>
      </c>
      <c r="I719" s="417">
        <v>0</v>
      </c>
      <c r="J719" s="378">
        <v>1.9000000000000001E-5</v>
      </c>
      <c r="K719" s="378"/>
      <c r="L719" s="417">
        <v>4651</v>
      </c>
      <c r="M719" s="417">
        <v>3212</v>
      </c>
      <c r="N719" s="417">
        <v>1406</v>
      </c>
      <c r="O719" s="417">
        <v>0</v>
      </c>
      <c r="P719" s="417">
        <v>0</v>
      </c>
      <c r="Q719" s="378">
        <v>1.9000000000000001E-5</v>
      </c>
      <c r="R719" s="378"/>
      <c r="S719" s="417">
        <v>-9545</v>
      </c>
      <c r="T719" s="417">
        <v>-9435</v>
      </c>
      <c r="U719" s="417">
        <v>-9911</v>
      </c>
      <c r="V719" s="417">
        <v>-12739</v>
      </c>
      <c r="W719" s="417">
        <v>0</v>
      </c>
      <c r="X719" s="378">
        <v>1.9000000000000001E-5</v>
      </c>
      <c r="Z719" s="417">
        <v>7611</v>
      </c>
      <c r="AA719" s="417">
        <v>5347</v>
      </c>
      <c r="AB719" s="417">
        <v>5347</v>
      </c>
      <c r="AC719" s="417">
        <v>0</v>
      </c>
      <c r="AD719" s="417">
        <v>0</v>
      </c>
      <c r="AE719" s="378">
        <v>1.9000000000000001E-5</v>
      </c>
      <c r="AF719" s="378"/>
      <c r="AG719" s="417">
        <v>3852</v>
      </c>
      <c r="AH719" s="417">
        <v>3851</v>
      </c>
      <c r="AI719" s="417">
        <v>694</v>
      </c>
      <c r="AJ719" s="417">
        <v>0</v>
      </c>
      <c r="AK719" s="417">
        <v>0</v>
      </c>
      <c r="AL719" s="378">
        <v>1.9000000000000001E-5</v>
      </c>
      <c r="AM719" s="378"/>
      <c r="AN719" s="417">
        <v>-525</v>
      </c>
      <c r="AO719" s="417">
        <v>0</v>
      </c>
      <c r="AP719" s="417">
        <v>0</v>
      </c>
      <c r="AQ719" s="417">
        <v>0</v>
      </c>
      <c r="AR719" s="417">
        <v>0</v>
      </c>
    </row>
    <row r="720" spans="1:44">
      <c r="A720" s="377">
        <v>97831</v>
      </c>
      <c r="B720" t="s">
        <v>1417</v>
      </c>
      <c r="C720" s="378">
        <v>1.9469999999999999E-4</v>
      </c>
      <c r="D720" s="378"/>
      <c r="E720" s="417">
        <v>46883</v>
      </c>
      <c r="F720" s="417">
        <v>10894</v>
      </c>
      <c r="G720" s="417">
        <v>-28732</v>
      </c>
      <c r="H720" s="417">
        <v>-130541</v>
      </c>
      <c r="I720" s="417">
        <v>0</v>
      </c>
      <c r="J720" s="378">
        <v>1.9469999999999999E-4</v>
      </c>
      <c r="K720" s="378"/>
      <c r="L720" s="417">
        <v>47664</v>
      </c>
      <c r="M720" s="417">
        <v>32918</v>
      </c>
      <c r="N720" s="417">
        <v>14410</v>
      </c>
      <c r="O720" s="417">
        <v>0</v>
      </c>
      <c r="P720" s="417">
        <v>0</v>
      </c>
      <c r="Q720" s="378">
        <v>1.9469999999999999E-4</v>
      </c>
      <c r="R720" s="378"/>
      <c r="S720" s="417">
        <v>-97811</v>
      </c>
      <c r="T720" s="417">
        <v>-96679</v>
      </c>
      <c r="U720" s="417">
        <v>-101565</v>
      </c>
      <c r="V720" s="417">
        <v>-130541</v>
      </c>
      <c r="W720" s="417">
        <v>0</v>
      </c>
      <c r="X720" s="378">
        <v>1.9469999999999999E-4</v>
      </c>
      <c r="Z720" s="417">
        <v>77997</v>
      </c>
      <c r="AA720" s="417">
        <v>54797</v>
      </c>
      <c r="AB720" s="417">
        <v>54797</v>
      </c>
      <c r="AC720" s="417">
        <v>0</v>
      </c>
      <c r="AD720" s="417">
        <v>0</v>
      </c>
      <c r="AE720" s="378">
        <v>1.9469999999999999E-4</v>
      </c>
      <c r="AF720" s="378"/>
      <c r="AG720" s="417">
        <v>19859</v>
      </c>
      <c r="AH720" s="417">
        <v>19858</v>
      </c>
      <c r="AI720" s="417">
        <v>3626</v>
      </c>
      <c r="AJ720" s="417">
        <v>0</v>
      </c>
      <c r="AK720" s="417">
        <v>0</v>
      </c>
      <c r="AL720" s="378">
        <v>1.9469999999999999E-4</v>
      </c>
      <c r="AM720" s="378"/>
      <c r="AN720" s="417">
        <v>-826</v>
      </c>
      <c r="AO720" s="417">
        <v>0</v>
      </c>
      <c r="AP720" s="417">
        <v>0</v>
      </c>
      <c r="AQ720" s="417">
        <v>0</v>
      </c>
      <c r="AR720" s="417">
        <v>0</v>
      </c>
    </row>
    <row r="721" spans="1:44">
      <c r="A721" s="377">
        <v>97837</v>
      </c>
      <c r="B721" t="s">
        <v>1418</v>
      </c>
      <c r="C721" s="378">
        <v>1.3699999999999999E-5</v>
      </c>
      <c r="D721" s="378"/>
      <c r="E721" s="417">
        <v>4199</v>
      </c>
      <c r="F721" s="417">
        <v>1257</v>
      </c>
      <c r="G721" s="417">
        <v>264</v>
      </c>
      <c r="H721" s="417">
        <v>-9185</v>
      </c>
      <c r="I721" s="417">
        <v>0</v>
      </c>
      <c r="J721" s="378">
        <v>1.3699999999999999E-5</v>
      </c>
      <c r="K721" s="378"/>
      <c r="L721" s="417">
        <v>3354</v>
      </c>
      <c r="M721" s="417">
        <v>2316</v>
      </c>
      <c r="N721" s="417">
        <v>1014</v>
      </c>
      <c r="O721" s="417">
        <v>0</v>
      </c>
      <c r="P721" s="417">
        <v>0</v>
      </c>
      <c r="Q721" s="378">
        <v>1.3699999999999999E-5</v>
      </c>
      <c r="R721" s="378"/>
      <c r="S721" s="417">
        <v>-6882</v>
      </c>
      <c r="T721" s="417">
        <v>-6803</v>
      </c>
      <c r="U721" s="417">
        <v>-7147</v>
      </c>
      <c r="V721" s="417">
        <v>-9185</v>
      </c>
      <c r="W721" s="417">
        <v>0</v>
      </c>
      <c r="X721" s="378">
        <v>1.3699999999999999E-5</v>
      </c>
      <c r="Z721" s="417">
        <v>5488</v>
      </c>
      <c r="AA721" s="417">
        <v>3856</v>
      </c>
      <c r="AB721" s="417">
        <v>3856</v>
      </c>
      <c r="AC721" s="417">
        <v>0</v>
      </c>
      <c r="AD721" s="417">
        <v>0</v>
      </c>
      <c r="AE721" s="378">
        <v>1.3699999999999999E-5</v>
      </c>
      <c r="AF721" s="378"/>
      <c r="AG721" s="417">
        <v>3040</v>
      </c>
      <c r="AH721" s="417">
        <v>2689</v>
      </c>
      <c r="AI721" s="417">
        <v>2541</v>
      </c>
      <c r="AJ721" s="417">
        <v>0</v>
      </c>
      <c r="AK721" s="417">
        <v>0</v>
      </c>
      <c r="AL721" s="378">
        <v>1.3699999999999999E-5</v>
      </c>
      <c r="AM721" s="378"/>
      <c r="AN721" s="417">
        <v>-801</v>
      </c>
      <c r="AO721" s="417">
        <v>-801</v>
      </c>
      <c r="AP721" s="417">
        <v>0</v>
      </c>
      <c r="AQ721" s="417">
        <v>0</v>
      </c>
      <c r="AR721" s="417">
        <v>0</v>
      </c>
    </row>
    <row r="722" spans="1:44">
      <c r="A722" s="377">
        <v>97840</v>
      </c>
      <c r="B722" t="s">
        <v>1419</v>
      </c>
      <c r="C722" s="378">
        <v>1.3679999999999999E-4</v>
      </c>
      <c r="D722" s="378"/>
      <c r="E722" s="417">
        <v>65277</v>
      </c>
      <c r="F722" s="417">
        <v>28824</v>
      </c>
      <c r="G722" s="417">
        <v>-4938</v>
      </c>
      <c r="H722" s="417">
        <v>-91721</v>
      </c>
      <c r="I722" s="417">
        <v>0</v>
      </c>
      <c r="J722" s="378">
        <v>1.3679999999999999E-4</v>
      </c>
      <c r="K722" s="378"/>
      <c r="L722" s="417">
        <v>33490</v>
      </c>
      <c r="M722" s="417">
        <v>23129</v>
      </c>
      <c r="N722" s="417">
        <v>10125</v>
      </c>
      <c r="O722" s="417">
        <v>0</v>
      </c>
      <c r="P722" s="417">
        <v>0</v>
      </c>
      <c r="Q722" s="378">
        <v>1.3679999999999999E-4</v>
      </c>
      <c r="R722" s="378"/>
      <c r="S722" s="417">
        <v>-68724</v>
      </c>
      <c r="T722" s="417">
        <v>-67929</v>
      </c>
      <c r="U722" s="417">
        <v>-71362</v>
      </c>
      <c r="V722" s="417">
        <v>-91721</v>
      </c>
      <c r="W722" s="417">
        <v>0</v>
      </c>
      <c r="X722" s="378">
        <v>1.3679999999999999E-4</v>
      </c>
      <c r="Z722" s="417">
        <v>54802</v>
      </c>
      <c r="AA722" s="417">
        <v>38502</v>
      </c>
      <c r="AB722" s="417">
        <v>38501</v>
      </c>
      <c r="AC722" s="417">
        <v>0</v>
      </c>
      <c r="AD722" s="417">
        <v>0</v>
      </c>
      <c r="AE722" s="378">
        <v>1.3679999999999999E-4</v>
      </c>
      <c r="AF722" s="378"/>
      <c r="AG722" s="417">
        <v>45709</v>
      </c>
      <c r="AH722" s="417">
        <v>35122</v>
      </c>
      <c r="AI722" s="417">
        <v>17798</v>
      </c>
      <c r="AJ722" s="417">
        <v>0</v>
      </c>
      <c r="AK722" s="417">
        <v>0</v>
      </c>
      <c r="AL722" s="378">
        <v>1.3679999999999999E-4</v>
      </c>
      <c r="AM722" s="378"/>
      <c r="AN722" s="417">
        <v>0</v>
      </c>
      <c r="AO722" s="417">
        <v>0</v>
      </c>
      <c r="AP722" s="417">
        <v>0</v>
      </c>
      <c r="AQ722" s="417">
        <v>0</v>
      </c>
      <c r="AR722" s="417">
        <v>0</v>
      </c>
    </row>
    <row r="723" spans="1:44">
      <c r="A723" s="377">
        <v>97841</v>
      </c>
      <c r="B723" t="s">
        <v>1420</v>
      </c>
      <c r="C723" s="378">
        <v>1.3499999999999999E-5</v>
      </c>
      <c r="D723" s="378"/>
      <c r="E723" s="417">
        <v>2713</v>
      </c>
      <c r="F723" s="417">
        <v>178</v>
      </c>
      <c r="G723" s="417">
        <v>-1958</v>
      </c>
      <c r="H723" s="417">
        <v>-9051</v>
      </c>
      <c r="I723" s="417">
        <v>0</v>
      </c>
      <c r="J723" s="378">
        <v>1.3499999999999999E-5</v>
      </c>
      <c r="K723" s="378"/>
      <c r="L723" s="417">
        <v>3305</v>
      </c>
      <c r="M723" s="417">
        <v>2282</v>
      </c>
      <c r="N723" s="417">
        <v>999</v>
      </c>
      <c r="O723" s="417">
        <v>0</v>
      </c>
      <c r="P723" s="417">
        <v>0</v>
      </c>
      <c r="Q723" s="378">
        <v>1.3499999999999999E-5</v>
      </c>
      <c r="R723" s="378"/>
      <c r="S723" s="417">
        <v>-6782</v>
      </c>
      <c r="T723" s="417">
        <v>-6703</v>
      </c>
      <c r="U723" s="417">
        <v>-7042</v>
      </c>
      <c r="V723" s="417">
        <v>-9051</v>
      </c>
      <c r="W723" s="417">
        <v>0</v>
      </c>
      <c r="X723" s="378">
        <v>1.3499999999999999E-5</v>
      </c>
      <c r="Z723" s="417">
        <v>5408</v>
      </c>
      <c r="AA723" s="417">
        <v>3800</v>
      </c>
      <c r="AB723" s="417">
        <v>3799</v>
      </c>
      <c r="AC723" s="417">
        <v>0</v>
      </c>
      <c r="AD723" s="417">
        <v>0</v>
      </c>
      <c r="AE723" s="378">
        <v>1.3499999999999999E-5</v>
      </c>
      <c r="AF723" s="378"/>
      <c r="AG723" s="417">
        <v>798</v>
      </c>
      <c r="AH723" s="417">
        <v>799</v>
      </c>
      <c r="AI723" s="417">
        <v>286</v>
      </c>
      <c r="AJ723" s="417">
        <v>0</v>
      </c>
      <c r="AK723" s="417">
        <v>0</v>
      </c>
      <c r="AL723" s="378">
        <v>1.3499999999999999E-5</v>
      </c>
      <c r="AM723" s="378"/>
      <c r="AN723" s="417">
        <v>-16</v>
      </c>
      <c r="AO723" s="417">
        <v>0</v>
      </c>
      <c r="AP723" s="417">
        <v>0</v>
      </c>
      <c r="AQ723" s="417">
        <v>0</v>
      </c>
      <c r="AR723" s="417">
        <v>0</v>
      </c>
    </row>
    <row r="724" spans="1:44">
      <c r="A724" s="377">
        <v>97847</v>
      </c>
      <c r="B724" t="s">
        <v>1421</v>
      </c>
      <c r="C724" s="378">
        <v>2.0999999999999998E-6</v>
      </c>
      <c r="D724" s="378"/>
      <c r="E724" s="417">
        <v>2123</v>
      </c>
      <c r="F724" s="417">
        <v>1472</v>
      </c>
      <c r="G724" s="417">
        <v>364</v>
      </c>
      <c r="H724" s="417">
        <v>-1408</v>
      </c>
      <c r="I724" s="417">
        <v>0</v>
      </c>
      <c r="J724" s="378">
        <v>2.0999999999999998E-6</v>
      </c>
      <c r="K724" s="378"/>
      <c r="L724" s="417">
        <v>514</v>
      </c>
      <c r="M724" s="417">
        <v>355</v>
      </c>
      <c r="N724" s="417">
        <v>155</v>
      </c>
      <c r="O724" s="417">
        <v>0</v>
      </c>
      <c r="P724" s="417">
        <v>0</v>
      </c>
      <c r="Q724" s="378">
        <v>2.0999999999999998E-6</v>
      </c>
      <c r="R724" s="378"/>
      <c r="S724" s="417">
        <v>-1055</v>
      </c>
      <c r="T724" s="417">
        <v>-1043</v>
      </c>
      <c r="U724" s="417">
        <v>-1095</v>
      </c>
      <c r="V724" s="417">
        <v>-1408</v>
      </c>
      <c r="W724" s="417">
        <v>0</v>
      </c>
      <c r="X724" s="378">
        <v>2.0999999999999998E-6</v>
      </c>
      <c r="Z724" s="417">
        <v>841</v>
      </c>
      <c r="AA724" s="417">
        <v>591</v>
      </c>
      <c r="AB724" s="417">
        <v>591</v>
      </c>
      <c r="AC724" s="417">
        <v>0</v>
      </c>
      <c r="AD724" s="417">
        <v>0</v>
      </c>
      <c r="AE724" s="378">
        <v>2.0999999999999998E-6</v>
      </c>
      <c r="AF724" s="378"/>
      <c r="AG724" s="417">
        <v>1823</v>
      </c>
      <c r="AH724" s="417">
        <v>1569</v>
      </c>
      <c r="AI724" s="417">
        <v>713</v>
      </c>
      <c r="AJ724" s="417">
        <v>0</v>
      </c>
      <c r="AK724" s="417">
        <v>0</v>
      </c>
      <c r="AL724" s="378">
        <v>2.0999999999999998E-6</v>
      </c>
      <c r="AM724" s="378"/>
      <c r="AN724" s="417">
        <v>0</v>
      </c>
      <c r="AO724" s="417">
        <v>0</v>
      </c>
      <c r="AP724" s="417">
        <v>0</v>
      </c>
      <c r="AQ724" s="417">
        <v>0</v>
      </c>
      <c r="AR724" s="417">
        <v>0</v>
      </c>
    </row>
    <row r="725" spans="1:44">
      <c r="A725" s="377">
        <v>97851</v>
      </c>
      <c r="B725" t="s">
        <v>1422</v>
      </c>
      <c r="C725" s="378">
        <v>2.6120000000000001E-4</v>
      </c>
      <c r="D725" s="378"/>
      <c r="E725" s="417">
        <v>15402</v>
      </c>
      <c r="F725" s="417">
        <v>-29837</v>
      </c>
      <c r="G725" s="417">
        <v>-44966</v>
      </c>
      <c r="H725" s="417">
        <v>-175128</v>
      </c>
      <c r="I725" s="417">
        <v>0</v>
      </c>
      <c r="J725" s="378">
        <v>2.6120000000000001E-4</v>
      </c>
      <c r="K725" s="378"/>
      <c r="L725" s="417">
        <v>63944</v>
      </c>
      <c r="M725" s="417">
        <v>44162</v>
      </c>
      <c r="N725" s="417">
        <v>19332</v>
      </c>
      <c r="O725" s="417">
        <v>0</v>
      </c>
      <c r="P725" s="417">
        <v>0</v>
      </c>
      <c r="Q725" s="378">
        <v>2.6120000000000001E-4</v>
      </c>
      <c r="R725" s="378"/>
      <c r="S725" s="417">
        <v>-131219</v>
      </c>
      <c r="T725" s="417">
        <v>-129700</v>
      </c>
      <c r="U725" s="417">
        <v>-136255</v>
      </c>
      <c r="V725" s="417">
        <v>-175128</v>
      </c>
      <c r="W725" s="417">
        <v>0</v>
      </c>
      <c r="X725" s="378">
        <v>2.6120000000000001E-4</v>
      </c>
      <c r="Z725" s="417">
        <v>104637</v>
      </c>
      <c r="AA725" s="417">
        <v>73513</v>
      </c>
      <c r="AB725" s="417">
        <v>73513</v>
      </c>
      <c r="AC725" s="417">
        <v>0</v>
      </c>
      <c r="AD725" s="417">
        <v>0</v>
      </c>
      <c r="AE725" s="378">
        <v>2.6120000000000001E-4</v>
      </c>
      <c r="AF725" s="378"/>
      <c r="AG725" s="417">
        <v>0</v>
      </c>
      <c r="AH725" s="417">
        <v>0</v>
      </c>
      <c r="AI725" s="417">
        <v>0</v>
      </c>
      <c r="AJ725" s="417">
        <v>0</v>
      </c>
      <c r="AK725" s="417">
        <v>0</v>
      </c>
      <c r="AL725" s="378">
        <v>2.6120000000000001E-4</v>
      </c>
      <c r="AM725" s="378"/>
      <c r="AN725" s="417">
        <v>-21960</v>
      </c>
      <c r="AO725" s="417">
        <v>-17812</v>
      </c>
      <c r="AP725" s="417">
        <v>-1556</v>
      </c>
      <c r="AQ725" s="417">
        <v>0</v>
      </c>
      <c r="AR725" s="417">
        <v>0</v>
      </c>
    </row>
    <row r="726" spans="1:44">
      <c r="A726" s="377">
        <v>97853</v>
      </c>
      <c r="B726" t="s">
        <v>1423</v>
      </c>
      <c r="C726" s="378">
        <v>8.53E-5</v>
      </c>
      <c r="D726" s="378"/>
      <c r="E726" s="417">
        <v>7217</v>
      </c>
      <c r="F726" s="417">
        <v>-5992</v>
      </c>
      <c r="G726" s="417">
        <v>-10843</v>
      </c>
      <c r="H726" s="417">
        <v>-57191</v>
      </c>
      <c r="I726" s="417">
        <v>0</v>
      </c>
      <c r="J726" s="378">
        <v>8.53E-5</v>
      </c>
      <c r="K726" s="378"/>
      <c r="L726" s="417">
        <v>20882</v>
      </c>
      <c r="M726" s="417">
        <v>14422</v>
      </c>
      <c r="N726" s="417">
        <v>6313</v>
      </c>
      <c r="O726" s="417">
        <v>0</v>
      </c>
      <c r="P726" s="417">
        <v>0</v>
      </c>
      <c r="Q726" s="378">
        <v>8.53E-5</v>
      </c>
      <c r="R726" s="378"/>
      <c r="S726" s="417">
        <v>-42852</v>
      </c>
      <c r="T726" s="417">
        <v>-42356</v>
      </c>
      <c r="U726" s="417">
        <v>-44497</v>
      </c>
      <c r="V726" s="417">
        <v>-57191</v>
      </c>
      <c r="W726" s="417">
        <v>0</v>
      </c>
      <c r="X726" s="378">
        <v>8.53E-5</v>
      </c>
      <c r="Z726" s="417">
        <v>34171</v>
      </c>
      <c r="AA726" s="417">
        <v>24007</v>
      </c>
      <c r="AB726" s="417">
        <v>24007</v>
      </c>
      <c r="AC726" s="417">
        <v>0</v>
      </c>
      <c r="AD726" s="417">
        <v>0</v>
      </c>
      <c r="AE726" s="378">
        <v>8.53E-5</v>
      </c>
      <c r="AF726" s="378"/>
      <c r="AG726" s="417">
        <v>3335</v>
      </c>
      <c r="AH726" s="417">
        <v>3335</v>
      </c>
      <c r="AI726" s="417">
        <v>3334</v>
      </c>
      <c r="AJ726" s="417">
        <v>0</v>
      </c>
      <c r="AK726" s="417">
        <v>0</v>
      </c>
      <c r="AL726" s="378">
        <v>8.53E-5</v>
      </c>
      <c r="AM726" s="378"/>
      <c r="AN726" s="417">
        <v>-8319</v>
      </c>
      <c r="AO726" s="417">
        <v>-5400</v>
      </c>
      <c r="AP726" s="417">
        <v>0</v>
      </c>
      <c r="AQ726" s="417">
        <v>0</v>
      </c>
      <c r="AR726" s="417">
        <v>0</v>
      </c>
    </row>
    <row r="727" spans="1:44">
      <c r="A727" s="377">
        <v>97861</v>
      </c>
      <c r="B727" t="s">
        <v>1424</v>
      </c>
      <c r="C727" s="378">
        <v>5.24E-5</v>
      </c>
      <c r="D727" s="378"/>
      <c r="E727" s="417">
        <v>14478</v>
      </c>
      <c r="F727" s="417">
        <v>7701</v>
      </c>
      <c r="G727" s="417">
        <v>-2757</v>
      </c>
      <c r="H727" s="417">
        <v>-35133</v>
      </c>
      <c r="I727" s="417">
        <v>0</v>
      </c>
      <c r="J727" s="378">
        <v>5.24E-5</v>
      </c>
      <c r="K727" s="378"/>
      <c r="L727" s="417">
        <v>12828</v>
      </c>
      <c r="M727" s="417">
        <v>8859</v>
      </c>
      <c r="N727" s="417">
        <v>3878</v>
      </c>
      <c r="O727" s="417">
        <v>0</v>
      </c>
      <c r="P727" s="417">
        <v>0</v>
      </c>
      <c r="Q727" s="378">
        <v>5.24E-5</v>
      </c>
      <c r="R727" s="378"/>
      <c r="S727" s="417">
        <v>-26324</v>
      </c>
      <c r="T727" s="417">
        <v>-26019</v>
      </c>
      <c r="U727" s="417">
        <v>-27335</v>
      </c>
      <c r="V727" s="417">
        <v>-35133</v>
      </c>
      <c r="W727" s="417">
        <v>0</v>
      </c>
      <c r="X727" s="378">
        <v>5.24E-5</v>
      </c>
      <c r="Z727" s="417">
        <v>20992</v>
      </c>
      <c r="AA727" s="417">
        <v>14748</v>
      </c>
      <c r="AB727" s="417">
        <v>14748</v>
      </c>
      <c r="AC727" s="417">
        <v>0</v>
      </c>
      <c r="AD727" s="417">
        <v>0</v>
      </c>
      <c r="AE727" s="378">
        <v>5.24E-5</v>
      </c>
      <c r="AF727" s="378"/>
      <c r="AG727" s="417">
        <v>10115</v>
      </c>
      <c r="AH727" s="417">
        <v>10113</v>
      </c>
      <c r="AI727" s="417">
        <v>5952</v>
      </c>
      <c r="AJ727" s="417">
        <v>0</v>
      </c>
      <c r="AK727" s="417">
        <v>0</v>
      </c>
      <c r="AL727" s="378">
        <v>5.24E-5</v>
      </c>
      <c r="AM727" s="378"/>
      <c r="AN727" s="417">
        <v>-3133</v>
      </c>
      <c r="AO727" s="417">
        <v>0</v>
      </c>
      <c r="AP727" s="417">
        <v>0</v>
      </c>
      <c r="AQ727" s="417">
        <v>0</v>
      </c>
      <c r="AR727" s="417">
        <v>0</v>
      </c>
    </row>
    <row r="728" spans="1:44">
      <c r="A728" s="377">
        <v>97871</v>
      </c>
      <c r="B728" t="s">
        <v>1425</v>
      </c>
      <c r="C728" s="378">
        <v>3.1339999999999997E-4</v>
      </c>
      <c r="D728" s="378"/>
      <c r="E728" s="417">
        <v>158949</v>
      </c>
      <c r="F728" s="417">
        <v>69032</v>
      </c>
      <c r="G728" s="417">
        <v>15234</v>
      </c>
      <c r="H728" s="417">
        <v>-210127</v>
      </c>
      <c r="I728" s="417">
        <v>0</v>
      </c>
      <c r="J728" s="378">
        <v>3.1339999999999997E-4</v>
      </c>
      <c r="K728" s="378"/>
      <c r="L728" s="417">
        <v>76723</v>
      </c>
      <c r="M728" s="417">
        <v>52987</v>
      </c>
      <c r="N728" s="417">
        <v>23195</v>
      </c>
      <c r="O728" s="417">
        <v>0</v>
      </c>
      <c r="P728" s="417">
        <v>0</v>
      </c>
      <c r="Q728" s="378">
        <v>3.1339999999999997E-4</v>
      </c>
      <c r="R728" s="378"/>
      <c r="S728" s="417">
        <v>-157442</v>
      </c>
      <c r="T728" s="417">
        <v>-155620</v>
      </c>
      <c r="U728" s="417">
        <v>-163485</v>
      </c>
      <c r="V728" s="417">
        <v>-210127</v>
      </c>
      <c r="W728" s="417">
        <v>0</v>
      </c>
      <c r="X728" s="378">
        <v>3.1339999999999997E-4</v>
      </c>
      <c r="Z728" s="417">
        <v>125549</v>
      </c>
      <c r="AA728" s="417">
        <v>88205</v>
      </c>
      <c r="AB728" s="417">
        <v>88204</v>
      </c>
      <c r="AC728" s="417">
        <v>0</v>
      </c>
      <c r="AD728" s="417">
        <v>0</v>
      </c>
      <c r="AE728" s="378">
        <v>3.1339999999999997E-4</v>
      </c>
      <c r="AF728" s="378"/>
      <c r="AG728" s="417">
        <v>124979</v>
      </c>
      <c r="AH728" s="417">
        <v>94320</v>
      </c>
      <c r="AI728" s="417">
        <v>67320</v>
      </c>
      <c r="AJ728" s="417">
        <v>0</v>
      </c>
      <c r="AK728" s="417">
        <v>0</v>
      </c>
      <c r="AL728" s="378">
        <v>3.1339999999999997E-4</v>
      </c>
      <c r="AM728" s="378"/>
      <c r="AN728" s="417">
        <v>-10860</v>
      </c>
      <c r="AO728" s="417">
        <v>-10860</v>
      </c>
      <c r="AP728" s="417">
        <v>0</v>
      </c>
      <c r="AQ728" s="417">
        <v>0</v>
      </c>
      <c r="AR728" s="417">
        <v>0</v>
      </c>
    </row>
    <row r="729" spans="1:44">
      <c r="A729" s="377">
        <v>97877</v>
      </c>
      <c r="B729" t="s">
        <v>1426</v>
      </c>
      <c r="C729" s="378">
        <v>9.5000000000000005E-6</v>
      </c>
      <c r="D729" s="378"/>
      <c r="E729" s="417">
        <v>4416</v>
      </c>
      <c r="F729" s="417">
        <v>2258</v>
      </c>
      <c r="G729" s="417">
        <v>-1023</v>
      </c>
      <c r="H729" s="417">
        <v>-6370</v>
      </c>
      <c r="I729" s="417">
        <v>0</v>
      </c>
      <c r="J729" s="378">
        <v>9.5000000000000005E-6</v>
      </c>
      <c r="K729" s="378"/>
      <c r="L729" s="417">
        <v>2326</v>
      </c>
      <c r="M729" s="417">
        <v>1606</v>
      </c>
      <c r="N729" s="417">
        <v>703</v>
      </c>
      <c r="O729" s="417">
        <v>0</v>
      </c>
      <c r="P729" s="417">
        <v>0</v>
      </c>
      <c r="Q729" s="378">
        <v>9.5000000000000005E-6</v>
      </c>
      <c r="R729" s="378"/>
      <c r="S729" s="417">
        <v>-4772</v>
      </c>
      <c r="T729" s="417">
        <v>-4717</v>
      </c>
      <c r="U729" s="417">
        <v>-4956</v>
      </c>
      <c r="V729" s="417">
        <v>-6370</v>
      </c>
      <c r="W729" s="417">
        <v>0</v>
      </c>
      <c r="X729" s="378">
        <v>9.5000000000000005E-6</v>
      </c>
      <c r="Z729" s="417">
        <v>3806</v>
      </c>
      <c r="AA729" s="417">
        <v>2674</v>
      </c>
      <c r="AB729" s="417">
        <v>2674</v>
      </c>
      <c r="AC729" s="417">
        <v>0</v>
      </c>
      <c r="AD729" s="417">
        <v>0</v>
      </c>
      <c r="AE729" s="378">
        <v>9.5000000000000005E-6</v>
      </c>
      <c r="AF729" s="378"/>
      <c r="AG729" s="417">
        <v>3056</v>
      </c>
      <c r="AH729" s="417">
        <v>2695</v>
      </c>
      <c r="AI729" s="417">
        <v>556</v>
      </c>
      <c r="AJ729" s="417">
        <v>0</v>
      </c>
      <c r="AK729" s="417">
        <v>0</v>
      </c>
      <c r="AL729" s="378">
        <v>9.5000000000000005E-6</v>
      </c>
      <c r="AM729" s="378"/>
      <c r="AN729" s="417">
        <v>0</v>
      </c>
      <c r="AO729" s="417">
        <v>0</v>
      </c>
      <c r="AP729" s="417">
        <v>0</v>
      </c>
      <c r="AQ729" s="417">
        <v>0</v>
      </c>
      <c r="AR729" s="417">
        <v>0</v>
      </c>
    </row>
    <row r="730" spans="1:44">
      <c r="A730" s="377">
        <v>97901</v>
      </c>
      <c r="B730" t="s">
        <v>1427</v>
      </c>
      <c r="C730" s="378">
        <v>3.7361E-3</v>
      </c>
      <c r="D730" s="378"/>
      <c r="E730" s="417">
        <v>369274</v>
      </c>
      <c r="F730" s="417">
        <v>-332487</v>
      </c>
      <c r="G730" s="417">
        <v>-659871</v>
      </c>
      <c r="H730" s="417">
        <v>-2504958</v>
      </c>
      <c r="I730" s="417">
        <v>0</v>
      </c>
      <c r="J730" s="378">
        <v>3.7361E-3</v>
      </c>
      <c r="K730" s="378"/>
      <c r="L730" s="417">
        <v>914627</v>
      </c>
      <c r="M730" s="417">
        <v>631670</v>
      </c>
      <c r="N730" s="417">
        <v>276516</v>
      </c>
      <c r="O730" s="417">
        <v>0</v>
      </c>
      <c r="P730" s="417">
        <v>0</v>
      </c>
      <c r="Q730" s="378">
        <v>3.7361E-3</v>
      </c>
      <c r="R730" s="378"/>
      <c r="S730" s="417">
        <v>-1876897</v>
      </c>
      <c r="T730" s="417">
        <v>-1855179</v>
      </c>
      <c r="U730" s="417">
        <v>-1948940</v>
      </c>
      <c r="V730" s="417">
        <v>-2504958</v>
      </c>
      <c r="W730" s="417">
        <v>0</v>
      </c>
      <c r="X730" s="378">
        <v>3.7361E-3</v>
      </c>
      <c r="Z730" s="417">
        <v>1496689</v>
      </c>
      <c r="AA730" s="417">
        <v>1051507</v>
      </c>
      <c r="AB730" s="417">
        <v>1051499</v>
      </c>
      <c r="AC730" s="417">
        <v>0</v>
      </c>
      <c r="AD730" s="417">
        <v>0</v>
      </c>
      <c r="AE730" s="378">
        <v>3.7361E-3</v>
      </c>
      <c r="AF730" s="378"/>
      <c r="AG730" s="417">
        <v>0</v>
      </c>
      <c r="AH730" s="417">
        <v>0</v>
      </c>
      <c r="AI730" s="417">
        <v>0</v>
      </c>
      <c r="AJ730" s="417">
        <v>0</v>
      </c>
      <c r="AK730" s="417">
        <v>0</v>
      </c>
      <c r="AL730" s="378">
        <v>3.7361E-3</v>
      </c>
      <c r="AM730" s="378"/>
      <c r="AN730" s="417">
        <v>-165145</v>
      </c>
      <c r="AO730" s="417">
        <v>-160485</v>
      </c>
      <c r="AP730" s="417">
        <v>-38946</v>
      </c>
      <c r="AQ730" s="417">
        <v>0</v>
      </c>
      <c r="AR730" s="417">
        <v>0</v>
      </c>
    </row>
    <row r="731" spans="1:44">
      <c r="A731" s="377">
        <v>97911</v>
      </c>
      <c r="B731" t="s">
        <v>1428</v>
      </c>
      <c r="C731" s="378">
        <v>1.1257999999999999E-3</v>
      </c>
      <c r="D731" s="378"/>
      <c r="E731" s="417">
        <v>139976</v>
      </c>
      <c r="F731" s="417">
        <v>-73031</v>
      </c>
      <c r="G731" s="417">
        <v>-216344</v>
      </c>
      <c r="H731" s="417">
        <v>-754820</v>
      </c>
      <c r="I731" s="417">
        <v>0</v>
      </c>
      <c r="J731" s="378">
        <v>1.1257999999999999E-3</v>
      </c>
      <c r="K731" s="378"/>
      <c r="L731" s="417">
        <v>275605</v>
      </c>
      <c r="M731" s="417">
        <v>190341</v>
      </c>
      <c r="N731" s="417">
        <v>83323</v>
      </c>
      <c r="O731" s="417">
        <v>0</v>
      </c>
      <c r="P731" s="417">
        <v>0</v>
      </c>
      <c r="Q731" s="378">
        <v>1.1257999999999999E-3</v>
      </c>
      <c r="R731" s="378"/>
      <c r="S731" s="417">
        <v>-565566</v>
      </c>
      <c r="T731" s="417">
        <v>-559022</v>
      </c>
      <c r="U731" s="417">
        <v>-587275</v>
      </c>
      <c r="V731" s="417">
        <v>-754820</v>
      </c>
      <c r="W731" s="417">
        <v>0</v>
      </c>
      <c r="X731" s="378">
        <v>1.1257999999999999E-3</v>
      </c>
      <c r="Z731" s="417">
        <v>450998</v>
      </c>
      <c r="AA731" s="417">
        <v>316851</v>
      </c>
      <c r="AB731" s="417">
        <v>316849</v>
      </c>
      <c r="AC731" s="417">
        <v>0</v>
      </c>
      <c r="AD731" s="417">
        <v>0</v>
      </c>
      <c r="AE731" s="378">
        <v>1.1257999999999999E-3</v>
      </c>
      <c r="AF731" s="378"/>
      <c r="AG731" s="417">
        <v>14135</v>
      </c>
      <c r="AH731" s="417">
        <v>13994</v>
      </c>
      <c r="AI731" s="417">
        <v>0</v>
      </c>
      <c r="AJ731" s="417">
        <v>0</v>
      </c>
      <c r="AK731" s="417">
        <v>0</v>
      </c>
      <c r="AL731" s="378">
        <v>1.1257999999999999E-3</v>
      </c>
      <c r="AM731" s="378"/>
      <c r="AN731" s="417">
        <v>-35196</v>
      </c>
      <c r="AO731" s="417">
        <v>-35195</v>
      </c>
      <c r="AP731" s="417">
        <v>-29241</v>
      </c>
      <c r="AQ731" s="417">
        <v>0</v>
      </c>
      <c r="AR731" s="417">
        <v>0</v>
      </c>
    </row>
    <row r="732" spans="1:44">
      <c r="A732" s="377">
        <v>97913</v>
      </c>
      <c r="B732" t="s">
        <v>1429</v>
      </c>
      <c r="C732" s="378">
        <v>3.4400000000000003E-5</v>
      </c>
      <c r="D732" s="378"/>
      <c r="E732" s="417">
        <v>18749</v>
      </c>
      <c r="F732" s="417">
        <v>10477</v>
      </c>
      <c r="G732" s="417">
        <v>4416</v>
      </c>
      <c r="H732" s="417">
        <v>-23064</v>
      </c>
      <c r="I732" s="417">
        <v>0</v>
      </c>
      <c r="J732" s="378">
        <v>3.4400000000000003E-5</v>
      </c>
      <c r="K732" s="378"/>
      <c r="L732" s="417">
        <v>8421</v>
      </c>
      <c r="M732" s="417">
        <v>5816</v>
      </c>
      <c r="N732" s="417">
        <v>2546</v>
      </c>
      <c r="O732" s="417">
        <v>0</v>
      </c>
      <c r="P732" s="417">
        <v>0</v>
      </c>
      <c r="Q732" s="378">
        <v>3.4400000000000003E-5</v>
      </c>
      <c r="R732" s="378"/>
      <c r="S732" s="417">
        <v>-17281</v>
      </c>
      <c r="T732" s="417">
        <v>-17081</v>
      </c>
      <c r="U732" s="417">
        <v>-17945</v>
      </c>
      <c r="V732" s="417">
        <v>-23064</v>
      </c>
      <c r="W732" s="417">
        <v>0</v>
      </c>
      <c r="X732" s="378">
        <v>3.4400000000000003E-5</v>
      </c>
      <c r="Z732" s="417">
        <v>13781</v>
      </c>
      <c r="AA732" s="417">
        <v>9682</v>
      </c>
      <c r="AB732" s="417">
        <v>9682</v>
      </c>
      <c r="AC732" s="417">
        <v>0</v>
      </c>
      <c r="AD732" s="417">
        <v>0</v>
      </c>
      <c r="AE732" s="378">
        <v>3.4400000000000003E-5</v>
      </c>
      <c r="AF732" s="378"/>
      <c r="AG732" s="417">
        <v>13828</v>
      </c>
      <c r="AH732" s="417">
        <v>12060</v>
      </c>
      <c r="AI732" s="417">
        <v>10133</v>
      </c>
      <c r="AJ732" s="417">
        <v>0</v>
      </c>
      <c r="AK732" s="417">
        <v>0</v>
      </c>
      <c r="AL732" s="378">
        <v>3.4400000000000003E-5</v>
      </c>
      <c r="AM732" s="378"/>
      <c r="AN732" s="417">
        <v>0</v>
      </c>
      <c r="AO732" s="417">
        <v>0</v>
      </c>
      <c r="AP732" s="417">
        <v>0</v>
      </c>
      <c r="AQ732" s="417">
        <v>0</v>
      </c>
      <c r="AR732" s="417">
        <v>0</v>
      </c>
    </row>
    <row r="733" spans="1:44">
      <c r="A733" s="377">
        <v>97917</v>
      </c>
      <c r="B733" t="s">
        <v>1430</v>
      </c>
      <c r="C733" s="378">
        <v>2.2500000000000001E-5</v>
      </c>
      <c r="D733" s="378"/>
      <c r="E733" s="417">
        <v>10546</v>
      </c>
      <c r="F733" s="417">
        <v>5696</v>
      </c>
      <c r="G733" s="417">
        <v>759</v>
      </c>
      <c r="H733" s="417">
        <v>-15086</v>
      </c>
      <c r="I733" s="417">
        <v>0</v>
      </c>
      <c r="J733" s="378">
        <v>2.2500000000000001E-5</v>
      </c>
      <c r="K733" s="378"/>
      <c r="L733" s="417">
        <v>5508</v>
      </c>
      <c r="M733" s="417">
        <v>3804</v>
      </c>
      <c r="N733" s="417">
        <v>1665</v>
      </c>
      <c r="O733" s="417">
        <v>0</v>
      </c>
      <c r="P733" s="417">
        <v>0</v>
      </c>
      <c r="Q733" s="378">
        <v>2.2500000000000001E-5</v>
      </c>
      <c r="R733" s="378"/>
      <c r="S733" s="417">
        <v>-11303</v>
      </c>
      <c r="T733" s="417">
        <v>-11172</v>
      </c>
      <c r="U733" s="417">
        <v>-11737</v>
      </c>
      <c r="V733" s="417">
        <v>-15086</v>
      </c>
      <c r="W733" s="417">
        <v>0</v>
      </c>
      <c r="X733" s="378">
        <v>2.2500000000000001E-5</v>
      </c>
      <c r="Z733" s="417">
        <v>9014</v>
      </c>
      <c r="AA733" s="417">
        <v>6333</v>
      </c>
      <c r="AB733" s="417">
        <v>6332</v>
      </c>
      <c r="AC733" s="417">
        <v>0</v>
      </c>
      <c r="AD733" s="417">
        <v>0</v>
      </c>
      <c r="AE733" s="378">
        <v>2.2500000000000001E-5</v>
      </c>
      <c r="AF733" s="378"/>
      <c r="AG733" s="417">
        <v>7327</v>
      </c>
      <c r="AH733" s="417">
        <v>6731</v>
      </c>
      <c r="AI733" s="417">
        <v>4499</v>
      </c>
      <c r="AJ733" s="417">
        <v>0</v>
      </c>
      <c r="AK733" s="417">
        <v>0</v>
      </c>
      <c r="AL733" s="378">
        <v>2.2500000000000001E-5</v>
      </c>
      <c r="AM733" s="378"/>
      <c r="AN733" s="417">
        <v>0</v>
      </c>
      <c r="AO733" s="417">
        <v>0</v>
      </c>
      <c r="AP733" s="417">
        <v>0</v>
      </c>
      <c r="AQ733" s="417">
        <v>0</v>
      </c>
      <c r="AR733" s="417">
        <v>0</v>
      </c>
    </row>
    <row r="734" spans="1:44">
      <c r="A734" s="377">
        <v>97921</v>
      </c>
      <c r="B734" t="s">
        <v>1431</v>
      </c>
      <c r="C734" s="378">
        <v>2.14E-4</v>
      </c>
      <c r="D734" s="378"/>
      <c r="E734" s="417">
        <v>32346</v>
      </c>
      <c r="F734" s="417">
        <v>-10019</v>
      </c>
      <c r="G734" s="417">
        <v>-35560</v>
      </c>
      <c r="H734" s="417">
        <v>-143481</v>
      </c>
      <c r="I734" s="417">
        <v>0</v>
      </c>
      <c r="J734" s="378">
        <v>2.14E-4</v>
      </c>
      <c r="K734" s="378"/>
      <c r="L734" s="417">
        <v>52389</v>
      </c>
      <c r="M734" s="417">
        <v>36181</v>
      </c>
      <c r="N734" s="417">
        <v>15839</v>
      </c>
      <c r="O734" s="417">
        <v>0</v>
      </c>
      <c r="P734" s="417">
        <v>0</v>
      </c>
      <c r="Q734" s="378">
        <v>2.14E-4</v>
      </c>
      <c r="R734" s="378"/>
      <c r="S734" s="417">
        <v>-107507</v>
      </c>
      <c r="T734" s="417">
        <v>-106263</v>
      </c>
      <c r="U734" s="417">
        <v>-111633</v>
      </c>
      <c r="V734" s="417">
        <v>-143481</v>
      </c>
      <c r="W734" s="417">
        <v>0</v>
      </c>
      <c r="X734" s="378">
        <v>2.14E-4</v>
      </c>
      <c r="Z734" s="417">
        <v>85729</v>
      </c>
      <c r="AA734" s="417">
        <v>60229</v>
      </c>
      <c r="AB734" s="417">
        <v>60229</v>
      </c>
      <c r="AC734" s="417">
        <v>0</v>
      </c>
      <c r="AD734" s="417">
        <v>0</v>
      </c>
      <c r="AE734" s="378">
        <v>2.14E-4</v>
      </c>
      <c r="AF734" s="378"/>
      <c r="AG734" s="417">
        <v>5019</v>
      </c>
      <c r="AH734" s="417">
        <v>3120</v>
      </c>
      <c r="AI734" s="417">
        <v>5</v>
      </c>
      <c r="AJ734" s="417">
        <v>0</v>
      </c>
      <c r="AK734" s="417">
        <v>0</v>
      </c>
      <c r="AL734" s="378">
        <v>2.14E-4</v>
      </c>
      <c r="AM734" s="378"/>
      <c r="AN734" s="417">
        <v>-3284</v>
      </c>
      <c r="AO734" s="417">
        <v>-3286</v>
      </c>
      <c r="AP734" s="417">
        <v>0</v>
      </c>
      <c r="AQ734" s="417">
        <v>0</v>
      </c>
      <c r="AR734" s="417">
        <v>0</v>
      </c>
    </row>
    <row r="735" spans="1:44">
      <c r="A735" s="377">
        <v>97931</v>
      </c>
      <c r="B735" t="s">
        <v>1432</v>
      </c>
      <c r="C735" s="378">
        <v>6.9499999999999995E-5</v>
      </c>
      <c r="D735" s="378"/>
      <c r="E735" s="417">
        <v>8912</v>
      </c>
      <c r="F735" s="417">
        <v>-3789</v>
      </c>
      <c r="G735" s="417">
        <v>-16325</v>
      </c>
      <c r="H735" s="417">
        <v>-46598</v>
      </c>
      <c r="I735" s="417">
        <v>0</v>
      </c>
      <c r="J735" s="378">
        <v>6.9499999999999995E-5</v>
      </c>
      <c r="K735" s="378"/>
      <c r="L735" s="417">
        <v>17014</v>
      </c>
      <c r="M735" s="417">
        <v>11751</v>
      </c>
      <c r="N735" s="417">
        <v>5144</v>
      </c>
      <c r="O735" s="417">
        <v>0</v>
      </c>
      <c r="P735" s="417">
        <v>0</v>
      </c>
      <c r="Q735" s="378">
        <v>6.9499999999999995E-5</v>
      </c>
      <c r="R735" s="378"/>
      <c r="S735" s="417">
        <v>-34915</v>
      </c>
      <c r="T735" s="417">
        <v>-34511</v>
      </c>
      <c r="U735" s="417">
        <v>-36255</v>
      </c>
      <c r="V735" s="417">
        <v>-46598</v>
      </c>
      <c r="W735" s="417">
        <v>0</v>
      </c>
      <c r="X735" s="378">
        <v>6.9499999999999995E-5</v>
      </c>
      <c r="Z735" s="417">
        <v>27842</v>
      </c>
      <c r="AA735" s="417">
        <v>19560</v>
      </c>
      <c r="AB735" s="417">
        <v>19560</v>
      </c>
      <c r="AC735" s="417">
        <v>0</v>
      </c>
      <c r="AD735" s="417">
        <v>0</v>
      </c>
      <c r="AE735" s="378">
        <v>6.9499999999999995E-5</v>
      </c>
      <c r="AF735" s="378"/>
      <c r="AG735" s="417">
        <v>4187</v>
      </c>
      <c r="AH735" s="417">
        <v>4186</v>
      </c>
      <c r="AI735" s="417">
        <v>0</v>
      </c>
      <c r="AJ735" s="417">
        <v>0</v>
      </c>
      <c r="AK735" s="417">
        <v>0</v>
      </c>
      <c r="AL735" s="378">
        <v>6.9499999999999995E-5</v>
      </c>
      <c r="AM735" s="378"/>
      <c r="AN735" s="417">
        <v>-5216</v>
      </c>
      <c r="AO735" s="417">
        <v>-4775</v>
      </c>
      <c r="AP735" s="417">
        <v>-4774</v>
      </c>
      <c r="AQ735" s="417">
        <v>0</v>
      </c>
      <c r="AR735" s="417">
        <v>0</v>
      </c>
    </row>
    <row r="736" spans="1:44">
      <c r="A736" s="377">
        <v>97941</v>
      </c>
      <c r="B736" t="s">
        <v>1433</v>
      </c>
      <c r="C736" s="378">
        <v>2.106E-4</v>
      </c>
      <c r="D736" s="378"/>
      <c r="E736" s="417">
        <v>33725</v>
      </c>
      <c r="F736" s="417">
        <v>-8809</v>
      </c>
      <c r="G736" s="417">
        <v>-42729</v>
      </c>
      <c r="H736" s="417">
        <v>-141202</v>
      </c>
      <c r="I736" s="417">
        <v>0</v>
      </c>
      <c r="J736" s="378">
        <v>2.106E-4</v>
      </c>
      <c r="K736" s="378"/>
      <c r="L736" s="417">
        <v>51557</v>
      </c>
      <c r="M736" s="417">
        <v>35607</v>
      </c>
      <c r="N736" s="417">
        <v>15587</v>
      </c>
      <c r="O736" s="417">
        <v>0</v>
      </c>
      <c r="P736" s="417">
        <v>0</v>
      </c>
      <c r="Q736" s="378">
        <v>2.106E-4</v>
      </c>
      <c r="R736" s="378"/>
      <c r="S736" s="417">
        <v>-105799</v>
      </c>
      <c r="T736" s="417">
        <v>-104574</v>
      </c>
      <c r="U736" s="417">
        <v>-109860</v>
      </c>
      <c r="V736" s="417">
        <v>-141202</v>
      </c>
      <c r="W736" s="417">
        <v>0</v>
      </c>
      <c r="X736" s="378">
        <v>2.106E-4</v>
      </c>
      <c r="Z736" s="417">
        <v>84367</v>
      </c>
      <c r="AA736" s="417">
        <v>59272</v>
      </c>
      <c r="AB736" s="417">
        <v>59272</v>
      </c>
      <c r="AC736" s="417">
        <v>0</v>
      </c>
      <c r="AD736" s="417">
        <v>0</v>
      </c>
      <c r="AE736" s="378">
        <v>2.106E-4</v>
      </c>
      <c r="AF736" s="378"/>
      <c r="AG736" s="417">
        <v>11330</v>
      </c>
      <c r="AH736" s="417">
        <v>8616</v>
      </c>
      <c r="AI736" s="417">
        <v>0</v>
      </c>
      <c r="AJ736" s="417">
        <v>0</v>
      </c>
      <c r="AK736" s="417">
        <v>0</v>
      </c>
      <c r="AL736" s="378">
        <v>2.106E-4</v>
      </c>
      <c r="AM736" s="378"/>
      <c r="AN736" s="417">
        <v>-7730</v>
      </c>
      <c r="AO736" s="417">
        <v>-7730</v>
      </c>
      <c r="AP736" s="417">
        <v>-7728</v>
      </c>
      <c r="AQ736" s="417">
        <v>0</v>
      </c>
      <c r="AR736" s="417">
        <v>0</v>
      </c>
    </row>
    <row r="737" spans="1:44">
      <c r="A737" s="377">
        <v>97947</v>
      </c>
      <c r="B737" t="s">
        <v>1434</v>
      </c>
      <c r="C737" s="378">
        <v>1.63E-5</v>
      </c>
      <c r="D737" s="378"/>
      <c r="E737" s="417">
        <v>8216</v>
      </c>
      <c r="F737" s="417">
        <v>3801</v>
      </c>
      <c r="G737" s="417">
        <v>66</v>
      </c>
      <c r="H737" s="417">
        <v>-10929</v>
      </c>
      <c r="I737" s="417">
        <v>0</v>
      </c>
      <c r="J737" s="378">
        <v>1.63E-5</v>
      </c>
      <c r="K737" s="378"/>
      <c r="L737" s="417">
        <v>3990</v>
      </c>
      <c r="M737" s="417">
        <v>2756</v>
      </c>
      <c r="N737" s="417">
        <v>1206</v>
      </c>
      <c r="O737" s="417">
        <v>0</v>
      </c>
      <c r="P737" s="417">
        <v>0</v>
      </c>
      <c r="Q737" s="378">
        <v>1.63E-5</v>
      </c>
      <c r="R737" s="378"/>
      <c r="S737" s="417">
        <v>-8189</v>
      </c>
      <c r="T737" s="417">
        <v>-8094</v>
      </c>
      <c r="U737" s="417">
        <v>-8503</v>
      </c>
      <c r="V737" s="417">
        <v>-10929</v>
      </c>
      <c r="W737" s="417">
        <v>0</v>
      </c>
      <c r="X737" s="378">
        <v>1.63E-5</v>
      </c>
      <c r="Z737" s="417">
        <v>6530</v>
      </c>
      <c r="AA737" s="417">
        <v>4588</v>
      </c>
      <c r="AB737" s="417">
        <v>4588</v>
      </c>
      <c r="AC737" s="417">
        <v>0</v>
      </c>
      <c r="AD737" s="417">
        <v>0</v>
      </c>
      <c r="AE737" s="378">
        <v>1.63E-5</v>
      </c>
      <c r="AF737" s="378"/>
      <c r="AG737" s="417">
        <v>5885</v>
      </c>
      <c r="AH737" s="417">
        <v>4551</v>
      </c>
      <c r="AI737" s="417">
        <v>2775</v>
      </c>
      <c r="AJ737" s="417">
        <v>0</v>
      </c>
      <c r="AK737" s="417">
        <v>0</v>
      </c>
      <c r="AL737" s="378">
        <v>1.63E-5</v>
      </c>
      <c r="AM737" s="378"/>
      <c r="AN737" s="417">
        <v>0</v>
      </c>
      <c r="AO737" s="417">
        <v>0</v>
      </c>
      <c r="AP737" s="417">
        <v>0</v>
      </c>
      <c r="AQ737" s="417">
        <v>0</v>
      </c>
      <c r="AR737" s="417">
        <v>0</v>
      </c>
    </row>
    <row r="738" spans="1:44">
      <c r="A738" s="377">
        <v>97948</v>
      </c>
      <c r="B738" t="s">
        <v>1435</v>
      </c>
      <c r="C738" s="378">
        <v>2.6400000000000001E-5</v>
      </c>
      <c r="D738" s="378"/>
      <c r="E738" s="417">
        <v>3933</v>
      </c>
      <c r="F738" s="417">
        <v>-1153</v>
      </c>
      <c r="G738" s="417">
        <v>-5310</v>
      </c>
      <c r="H738" s="417">
        <v>-17701</v>
      </c>
      <c r="I738" s="417">
        <v>0</v>
      </c>
      <c r="J738" s="378">
        <v>2.6400000000000001E-5</v>
      </c>
      <c r="K738" s="378"/>
      <c r="L738" s="417">
        <v>6463</v>
      </c>
      <c r="M738" s="417">
        <v>4464</v>
      </c>
      <c r="N738" s="417">
        <v>1954</v>
      </c>
      <c r="O738" s="417">
        <v>0</v>
      </c>
      <c r="P738" s="417">
        <v>0</v>
      </c>
      <c r="Q738" s="378">
        <v>2.6400000000000001E-5</v>
      </c>
      <c r="R738" s="378"/>
      <c r="S738" s="417">
        <v>-13263</v>
      </c>
      <c r="T738" s="417">
        <v>-13109</v>
      </c>
      <c r="U738" s="417">
        <v>-13772</v>
      </c>
      <c r="V738" s="417">
        <v>-17701</v>
      </c>
      <c r="W738" s="417">
        <v>0</v>
      </c>
      <c r="X738" s="378">
        <v>2.6400000000000001E-5</v>
      </c>
      <c r="Z738" s="417">
        <v>10576</v>
      </c>
      <c r="AA738" s="417">
        <v>7430</v>
      </c>
      <c r="AB738" s="417">
        <v>7430</v>
      </c>
      <c r="AC738" s="417">
        <v>0</v>
      </c>
      <c r="AD738" s="417">
        <v>0</v>
      </c>
      <c r="AE738" s="378">
        <v>2.6400000000000001E-5</v>
      </c>
      <c r="AF738" s="378"/>
      <c r="AG738" s="417">
        <v>1078</v>
      </c>
      <c r="AH738" s="417">
        <v>983</v>
      </c>
      <c r="AI738" s="417">
        <v>0</v>
      </c>
      <c r="AJ738" s="417">
        <v>0</v>
      </c>
      <c r="AK738" s="417">
        <v>0</v>
      </c>
      <c r="AL738" s="378">
        <v>2.6400000000000001E-5</v>
      </c>
      <c r="AM738" s="378"/>
      <c r="AN738" s="417">
        <v>-921</v>
      </c>
      <c r="AO738" s="417">
        <v>-921</v>
      </c>
      <c r="AP738" s="417">
        <v>-922</v>
      </c>
      <c r="AQ738" s="417">
        <v>0</v>
      </c>
      <c r="AR738" s="417">
        <v>0</v>
      </c>
    </row>
    <row r="739" spans="1:44">
      <c r="A739" s="377">
        <v>97951</v>
      </c>
      <c r="B739" t="s">
        <v>1436</v>
      </c>
      <c r="C739" s="378">
        <v>1.1387999999999999E-3</v>
      </c>
      <c r="D739" s="378"/>
      <c r="E739" s="417">
        <v>184612</v>
      </c>
      <c r="F739" s="417">
        <v>-30685</v>
      </c>
      <c r="G739" s="417">
        <v>-177367</v>
      </c>
      <c r="H739" s="417">
        <v>-763536</v>
      </c>
      <c r="I739" s="417">
        <v>0</v>
      </c>
      <c r="J739" s="378">
        <v>1.1387999999999999E-3</v>
      </c>
      <c r="K739" s="378"/>
      <c r="L739" s="417">
        <v>278787</v>
      </c>
      <c r="M739" s="417">
        <v>192539</v>
      </c>
      <c r="N739" s="417">
        <v>84285</v>
      </c>
      <c r="O739" s="417">
        <v>0</v>
      </c>
      <c r="P739" s="417">
        <v>0</v>
      </c>
      <c r="Q739" s="378">
        <v>1.1387999999999999E-3</v>
      </c>
      <c r="R739" s="378"/>
      <c r="S739" s="417">
        <v>-572097</v>
      </c>
      <c r="T739" s="417">
        <v>-565477</v>
      </c>
      <c r="U739" s="417">
        <v>-594056</v>
      </c>
      <c r="V739" s="417">
        <v>-763536</v>
      </c>
      <c r="W739" s="417">
        <v>0</v>
      </c>
      <c r="X739" s="378">
        <v>1.1387999999999999E-3</v>
      </c>
      <c r="Z739" s="417">
        <v>456206</v>
      </c>
      <c r="AA739" s="417">
        <v>320510</v>
      </c>
      <c r="AB739" s="417">
        <v>320507</v>
      </c>
      <c r="AC739" s="417">
        <v>0</v>
      </c>
      <c r="AD739" s="417">
        <v>0</v>
      </c>
      <c r="AE739" s="378">
        <v>1.1387999999999999E-3</v>
      </c>
      <c r="AF739" s="378"/>
      <c r="AG739" s="417">
        <v>21741</v>
      </c>
      <c r="AH739" s="417">
        <v>21743</v>
      </c>
      <c r="AI739" s="417">
        <v>11897</v>
      </c>
      <c r="AJ739" s="417">
        <v>0</v>
      </c>
      <c r="AK739" s="417">
        <v>0</v>
      </c>
      <c r="AL739" s="378">
        <v>1.1387999999999999E-3</v>
      </c>
      <c r="AM739" s="378"/>
      <c r="AN739" s="417">
        <v>-25</v>
      </c>
      <c r="AO739" s="417">
        <v>0</v>
      </c>
      <c r="AP739" s="417">
        <v>0</v>
      </c>
      <c r="AQ739" s="417">
        <v>0</v>
      </c>
      <c r="AR739" s="417">
        <v>0</v>
      </c>
    </row>
    <row r="740" spans="1:44">
      <c r="A740" s="377">
        <v>97957</v>
      </c>
      <c r="B740" t="s">
        <v>1437</v>
      </c>
      <c r="C740" s="378">
        <v>1.1800000000000001E-5</v>
      </c>
      <c r="D740" s="378"/>
      <c r="E740" s="417">
        <v>5806</v>
      </c>
      <c r="F740" s="417">
        <v>2914</v>
      </c>
      <c r="G740" s="417">
        <v>-641</v>
      </c>
      <c r="H740" s="417">
        <v>-7912</v>
      </c>
      <c r="I740" s="417">
        <v>0</v>
      </c>
      <c r="J740" s="378">
        <v>1.1800000000000001E-5</v>
      </c>
      <c r="K740" s="378"/>
      <c r="L740" s="417">
        <v>2889</v>
      </c>
      <c r="M740" s="417">
        <v>1995</v>
      </c>
      <c r="N740" s="417">
        <v>873</v>
      </c>
      <c r="O740" s="417">
        <v>0</v>
      </c>
      <c r="P740" s="417">
        <v>0</v>
      </c>
      <c r="Q740" s="378">
        <v>1.1800000000000001E-5</v>
      </c>
      <c r="R740" s="378"/>
      <c r="S740" s="417">
        <v>-5928</v>
      </c>
      <c r="T740" s="417">
        <v>-5859</v>
      </c>
      <c r="U740" s="417">
        <v>-6155</v>
      </c>
      <c r="V740" s="417">
        <v>-7912</v>
      </c>
      <c r="W740" s="417">
        <v>0</v>
      </c>
      <c r="X740" s="378">
        <v>1.1800000000000001E-5</v>
      </c>
      <c r="Z740" s="417">
        <v>4727</v>
      </c>
      <c r="AA740" s="417">
        <v>3321</v>
      </c>
      <c r="AB740" s="417">
        <v>3321</v>
      </c>
      <c r="AC740" s="417">
        <v>0</v>
      </c>
      <c r="AD740" s="417">
        <v>0</v>
      </c>
      <c r="AE740" s="378">
        <v>1.1800000000000001E-5</v>
      </c>
      <c r="AF740" s="378"/>
      <c r="AG740" s="417">
        <v>4118</v>
      </c>
      <c r="AH740" s="417">
        <v>3457</v>
      </c>
      <c r="AI740" s="417">
        <v>1320</v>
      </c>
      <c r="AJ740" s="417">
        <v>0</v>
      </c>
      <c r="AK740" s="417">
        <v>0</v>
      </c>
      <c r="AL740" s="378">
        <v>1.1800000000000001E-5</v>
      </c>
      <c r="AM740" s="378"/>
      <c r="AN740" s="417">
        <v>0</v>
      </c>
      <c r="AO740" s="417">
        <v>0</v>
      </c>
      <c r="AP740" s="417">
        <v>0</v>
      </c>
      <c r="AQ740" s="417">
        <v>0</v>
      </c>
      <c r="AR740" s="417">
        <v>0</v>
      </c>
    </row>
    <row r="741" spans="1:44">
      <c r="A741" s="377">
        <v>98001</v>
      </c>
      <c r="B741" t="s">
        <v>1438</v>
      </c>
      <c r="C741" s="378">
        <v>5.5972000000000001E-3</v>
      </c>
      <c r="D741" s="378"/>
      <c r="E741" s="417">
        <v>974796</v>
      </c>
      <c r="F741" s="417">
        <v>-127163</v>
      </c>
      <c r="G741" s="417">
        <v>-832742</v>
      </c>
      <c r="H741" s="417">
        <v>-3752777</v>
      </c>
      <c r="I741" s="417">
        <v>0</v>
      </c>
      <c r="J741" s="378">
        <v>5.5972000000000001E-3</v>
      </c>
      <c r="K741" s="378"/>
      <c r="L741" s="417">
        <v>1370239</v>
      </c>
      <c r="M741" s="417">
        <v>946330</v>
      </c>
      <c r="N741" s="417">
        <v>414260</v>
      </c>
      <c r="O741" s="417">
        <v>0</v>
      </c>
      <c r="P741" s="417">
        <v>0</v>
      </c>
      <c r="Q741" s="378">
        <v>5.5972000000000001E-3</v>
      </c>
      <c r="R741" s="378"/>
      <c r="S741" s="417">
        <v>-2811854</v>
      </c>
      <c r="T741" s="417">
        <v>-2779318</v>
      </c>
      <c r="U741" s="417">
        <v>-2919785</v>
      </c>
      <c r="V741" s="417">
        <v>-3752777</v>
      </c>
      <c r="W741" s="417">
        <v>0</v>
      </c>
      <c r="X741" s="378">
        <v>5.5972000000000001E-3</v>
      </c>
      <c r="Z741" s="417">
        <v>2242250</v>
      </c>
      <c r="AA741" s="417">
        <v>1575304</v>
      </c>
      <c r="AB741" s="417">
        <v>1575293</v>
      </c>
      <c r="AC741" s="417">
        <v>0</v>
      </c>
      <c r="AD741" s="417">
        <v>0</v>
      </c>
      <c r="AE741" s="378">
        <v>5.5972000000000001E-3</v>
      </c>
      <c r="AF741" s="378"/>
      <c r="AG741" s="417">
        <v>187857</v>
      </c>
      <c r="AH741" s="417">
        <v>144219</v>
      </c>
      <c r="AI741" s="417">
        <v>97490</v>
      </c>
      <c r="AJ741" s="417">
        <v>0</v>
      </c>
      <c r="AK741" s="417">
        <v>0</v>
      </c>
      <c r="AL741" s="378">
        <v>5.5972000000000001E-3</v>
      </c>
      <c r="AM741" s="378"/>
      <c r="AN741" s="417">
        <v>-13696</v>
      </c>
      <c r="AO741" s="417">
        <v>-13698</v>
      </c>
      <c r="AP741" s="417">
        <v>0</v>
      </c>
      <c r="AQ741" s="417">
        <v>0</v>
      </c>
      <c r="AR741" s="417">
        <v>0</v>
      </c>
    </row>
    <row r="742" spans="1:44">
      <c r="A742" s="377">
        <v>98002</v>
      </c>
      <c r="B742" t="s">
        <v>1439</v>
      </c>
      <c r="C742" s="378">
        <v>5.5999999999999997E-6</v>
      </c>
      <c r="D742" s="378"/>
      <c r="E742" s="417">
        <v>1437</v>
      </c>
      <c r="F742" s="417">
        <v>100</v>
      </c>
      <c r="G742" s="417">
        <v>-1094</v>
      </c>
      <c r="H742" s="417">
        <v>-3755</v>
      </c>
      <c r="I742" s="417">
        <v>0</v>
      </c>
      <c r="J742" s="378">
        <v>5.5999999999999997E-6</v>
      </c>
      <c r="K742" s="378"/>
      <c r="L742" s="417">
        <v>1371</v>
      </c>
      <c r="M742" s="417">
        <v>947</v>
      </c>
      <c r="N742" s="417">
        <v>414</v>
      </c>
      <c r="O742" s="417">
        <v>0</v>
      </c>
      <c r="P742" s="417">
        <v>0</v>
      </c>
      <c r="Q742" s="378">
        <v>5.5999999999999997E-6</v>
      </c>
      <c r="R742" s="378"/>
      <c r="S742" s="417">
        <v>-2813</v>
      </c>
      <c r="T742" s="417">
        <v>-2781</v>
      </c>
      <c r="U742" s="417">
        <v>-2921</v>
      </c>
      <c r="V742" s="417">
        <v>-3755</v>
      </c>
      <c r="W742" s="417">
        <v>0</v>
      </c>
      <c r="X742" s="378">
        <v>5.5999999999999997E-6</v>
      </c>
      <c r="Z742" s="417">
        <v>2243</v>
      </c>
      <c r="AA742" s="417">
        <v>1576</v>
      </c>
      <c r="AB742" s="417">
        <v>1576</v>
      </c>
      <c r="AC742" s="417">
        <v>0</v>
      </c>
      <c r="AD742" s="417">
        <v>0</v>
      </c>
      <c r="AE742" s="378">
        <v>5.5999999999999997E-6</v>
      </c>
      <c r="AF742" s="378"/>
      <c r="AG742" s="417">
        <v>800</v>
      </c>
      <c r="AH742" s="417">
        <v>522</v>
      </c>
      <c r="AI742" s="417">
        <v>0</v>
      </c>
      <c r="AJ742" s="417">
        <v>0</v>
      </c>
      <c r="AK742" s="417">
        <v>0</v>
      </c>
      <c r="AL742" s="378">
        <v>5.5999999999999997E-6</v>
      </c>
      <c r="AM742" s="378"/>
      <c r="AN742" s="417">
        <v>-164</v>
      </c>
      <c r="AO742" s="417">
        <v>-164</v>
      </c>
      <c r="AP742" s="417">
        <v>-163</v>
      </c>
      <c r="AQ742" s="417">
        <v>0</v>
      </c>
      <c r="AR742" s="417">
        <v>0</v>
      </c>
    </row>
    <row r="743" spans="1:44">
      <c r="A743" s="377">
        <v>98003</v>
      </c>
      <c r="B743" t="s">
        <v>1440</v>
      </c>
      <c r="C743" s="378">
        <v>8.2000000000000001E-5</v>
      </c>
      <c r="D743" s="378"/>
      <c r="E743" s="417">
        <v>42504</v>
      </c>
      <c r="F743" s="417">
        <v>20425</v>
      </c>
      <c r="G743" s="417">
        <v>1570</v>
      </c>
      <c r="H743" s="417">
        <v>-54979</v>
      </c>
      <c r="I743" s="417">
        <v>0</v>
      </c>
      <c r="J743" s="378">
        <v>8.2000000000000001E-5</v>
      </c>
      <c r="K743" s="378"/>
      <c r="L743" s="417">
        <v>20074</v>
      </c>
      <c r="M743" s="417">
        <v>13864</v>
      </c>
      <c r="N743" s="417">
        <v>6069</v>
      </c>
      <c r="O743" s="417">
        <v>0</v>
      </c>
      <c r="P743" s="417">
        <v>0</v>
      </c>
      <c r="Q743" s="378">
        <v>8.2000000000000001E-5</v>
      </c>
      <c r="R743" s="378"/>
      <c r="S743" s="417">
        <v>-41194</v>
      </c>
      <c r="T743" s="417">
        <v>-40718</v>
      </c>
      <c r="U743" s="417">
        <v>-42775</v>
      </c>
      <c r="V743" s="417">
        <v>-54979</v>
      </c>
      <c r="W743" s="417">
        <v>0</v>
      </c>
      <c r="X743" s="378">
        <v>8.2000000000000001E-5</v>
      </c>
      <c r="Z743" s="417">
        <v>32849</v>
      </c>
      <c r="AA743" s="417">
        <v>23078</v>
      </c>
      <c r="AB743" s="417">
        <v>23078</v>
      </c>
      <c r="AC743" s="417">
        <v>0</v>
      </c>
      <c r="AD743" s="417">
        <v>0</v>
      </c>
      <c r="AE743" s="378">
        <v>8.2000000000000001E-5</v>
      </c>
      <c r="AF743" s="378"/>
      <c r="AG743" s="417">
        <v>30775</v>
      </c>
      <c r="AH743" s="417">
        <v>24201</v>
      </c>
      <c r="AI743" s="417">
        <v>15198</v>
      </c>
      <c r="AJ743" s="417">
        <v>0</v>
      </c>
      <c r="AK743" s="417">
        <v>0</v>
      </c>
      <c r="AL743" s="378">
        <v>8.2000000000000001E-5</v>
      </c>
      <c r="AM743" s="378"/>
      <c r="AN743" s="417">
        <v>0</v>
      </c>
      <c r="AO743" s="417">
        <v>0</v>
      </c>
      <c r="AP743" s="417">
        <v>0</v>
      </c>
      <c r="AQ743" s="417">
        <v>0</v>
      </c>
      <c r="AR743" s="417">
        <v>0</v>
      </c>
    </row>
    <row r="744" spans="1:44">
      <c r="A744" s="377">
        <v>98004</v>
      </c>
      <c r="B744" t="s">
        <v>1441</v>
      </c>
      <c r="C744" s="378">
        <v>1.74E-4</v>
      </c>
      <c r="D744" s="378"/>
      <c r="E744" s="417">
        <v>87396</v>
      </c>
      <c r="F744" s="417">
        <v>49631</v>
      </c>
      <c r="G744" s="417">
        <v>5658</v>
      </c>
      <c r="H744" s="417">
        <v>-116662</v>
      </c>
      <c r="I744" s="417">
        <v>0</v>
      </c>
      <c r="J744" s="378">
        <v>1.74E-4</v>
      </c>
      <c r="K744" s="378"/>
      <c r="L744" s="417">
        <v>42597</v>
      </c>
      <c r="M744" s="417">
        <v>29419</v>
      </c>
      <c r="N744" s="417">
        <v>12878</v>
      </c>
      <c r="O744" s="417">
        <v>0</v>
      </c>
      <c r="P744" s="417">
        <v>0</v>
      </c>
      <c r="Q744" s="378">
        <v>1.74E-4</v>
      </c>
      <c r="R744" s="378"/>
      <c r="S744" s="417">
        <v>-87412</v>
      </c>
      <c r="T744" s="417">
        <v>-86401</v>
      </c>
      <c r="U744" s="417">
        <v>-90767</v>
      </c>
      <c r="V744" s="417">
        <v>-116662</v>
      </c>
      <c r="W744" s="417">
        <v>0</v>
      </c>
      <c r="X744" s="378">
        <v>1.74E-4</v>
      </c>
      <c r="Z744" s="417">
        <v>69705</v>
      </c>
      <c r="AA744" s="417">
        <v>48971</v>
      </c>
      <c r="AB744" s="417">
        <v>48971</v>
      </c>
      <c r="AC744" s="417">
        <v>0</v>
      </c>
      <c r="AD744" s="417">
        <v>0</v>
      </c>
      <c r="AE744" s="378">
        <v>1.74E-4</v>
      </c>
      <c r="AF744" s="378"/>
      <c r="AG744" s="417">
        <v>62506</v>
      </c>
      <c r="AH744" s="417">
        <v>57642</v>
      </c>
      <c r="AI744" s="417">
        <v>34576</v>
      </c>
      <c r="AJ744" s="417">
        <v>0</v>
      </c>
      <c r="AK744" s="417">
        <v>0</v>
      </c>
      <c r="AL744" s="378">
        <v>1.74E-4</v>
      </c>
      <c r="AM744" s="378"/>
      <c r="AN744" s="417">
        <v>0</v>
      </c>
      <c r="AO744" s="417">
        <v>0</v>
      </c>
      <c r="AP744" s="417">
        <v>0</v>
      </c>
      <c r="AQ744" s="417">
        <v>0</v>
      </c>
      <c r="AR744" s="417">
        <v>0</v>
      </c>
    </row>
    <row r="745" spans="1:44">
      <c r="A745" s="377">
        <v>98008</v>
      </c>
      <c r="B745" t="s">
        <v>1442</v>
      </c>
      <c r="C745" s="378">
        <v>6.9E-6</v>
      </c>
      <c r="D745" s="378"/>
      <c r="E745" s="417">
        <v>752</v>
      </c>
      <c r="F745" s="417">
        <v>-490</v>
      </c>
      <c r="G745" s="417">
        <v>-1044</v>
      </c>
      <c r="H745" s="417">
        <v>-4626</v>
      </c>
      <c r="I745" s="417">
        <v>0</v>
      </c>
      <c r="J745" s="378">
        <v>6.9E-6</v>
      </c>
      <c r="K745" s="378"/>
      <c r="L745" s="417">
        <v>1689</v>
      </c>
      <c r="M745" s="417">
        <v>1167</v>
      </c>
      <c r="N745" s="417">
        <v>511</v>
      </c>
      <c r="O745" s="417">
        <v>0</v>
      </c>
      <c r="P745" s="417">
        <v>0</v>
      </c>
      <c r="Q745" s="378">
        <v>6.9E-6</v>
      </c>
      <c r="R745" s="378"/>
      <c r="S745" s="417">
        <v>-3466</v>
      </c>
      <c r="T745" s="417">
        <v>-3426</v>
      </c>
      <c r="U745" s="417">
        <v>-3599</v>
      </c>
      <c r="V745" s="417">
        <v>-4626</v>
      </c>
      <c r="W745" s="417">
        <v>0</v>
      </c>
      <c r="X745" s="378">
        <v>6.9E-6</v>
      </c>
      <c r="Z745" s="417">
        <v>2764</v>
      </c>
      <c r="AA745" s="417">
        <v>1942</v>
      </c>
      <c r="AB745" s="417">
        <v>1942</v>
      </c>
      <c r="AC745" s="417">
        <v>0</v>
      </c>
      <c r="AD745" s="417">
        <v>0</v>
      </c>
      <c r="AE745" s="378">
        <v>6.9E-6</v>
      </c>
      <c r="AF745" s="378"/>
      <c r="AG745" s="417">
        <v>103</v>
      </c>
      <c r="AH745" s="417">
        <v>103</v>
      </c>
      <c r="AI745" s="417">
        <v>102</v>
      </c>
      <c r="AJ745" s="417">
        <v>0</v>
      </c>
      <c r="AK745" s="417">
        <v>0</v>
      </c>
      <c r="AL745" s="378">
        <v>6.9E-6</v>
      </c>
      <c r="AM745" s="378"/>
      <c r="AN745" s="417">
        <v>-338</v>
      </c>
      <c r="AO745" s="417">
        <v>-276</v>
      </c>
      <c r="AP745" s="417">
        <v>0</v>
      </c>
      <c r="AQ745" s="417">
        <v>0</v>
      </c>
      <c r="AR745" s="417">
        <v>0</v>
      </c>
    </row>
    <row r="746" spans="1:44">
      <c r="A746" s="377">
        <v>98011</v>
      </c>
      <c r="B746" t="s">
        <v>1443</v>
      </c>
      <c r="C746" s="378">
        <v>3.2637999999999999E-3</v>
      </c>
      <c r="D746" s="378"/>
      <c r="E746" s="417">
        <v>303094</v>
      </c>
      <c r="F746" s="417">
        <v>-334346</v>
      </c>
      <c r="G746" s="417">
        <v>-687637</v>
      </c>
      <c r="H746" s="417">
        <v>-2188293</v>
      </c>
      <c r="I746" s="417">
        <v>0</v>
      </c>
      <c r="J746" s="378">
        <v>3.2637999999999999E-3</v>
      </c>
      <c r="K746" s="378"/>
      <c r="L746" s="417">
        <v>799004</v>
      </c>
      <c r="M746" s="417">
        <v>551817</v>
      </c>
      <c r="N746" s="417">
        <v>241560</v>
      </c>
      <c r="O746" s="417">
        <v>0</v>
      </c>
      <c r="P746" s="417">
        <v>0</v>
      </c>
      <c r="Q746" s="378">
        <v>3.2637999999999999E-3</v>
      </c>
      <c r="R746" s="378"/>
      <c r="S746" s="417">
        <v>-1639629</v>
      </c>
      <c r="T746" s="417">
        <v>-1620656</v>
      </c>
      <c r="U746" s="417">
        <v>-1702565</v>
      </c>
      <c r="V746" s="417">
        <v>-2188293</v>
      </c>
      <c r="W746" s="417">
        <v>0</v>
      </c>
      <c r="X746" s="378">
        <v>3.2637999999999999E-3</v>
      </c>
      <c r="Z746" s="417">
        <v>1307485</v>
      </c>
      <c r="AA746" s="417">
        <v>918580</v>
      </c>
      <c r="AB746" s="417">
        <v>918574</v>
      </c>
      <c r="AC746" s="417">
        <v>0</v>
      </c>
      <c r="AD746" s="417">
        <v>0</v>
      </c>
      <c r="AE746" s="378">
        <v>3.2637999999999999E-3</v>
      </c>
      <c r="AF746" s="378"/>
      <c r="AG746" s="417">
        <v>28964</v>
      </c>
      <c r="AH746" s="417">
        <v>8642</v>
      </c>
      <c r="AI746" s="417">
        <v>0</v>
      </c>
      <c r="AJ746" s="417">
        <v>0</v>
      </c>
      <c r="AK746" s="417">
        <v>0</v>
      </c>
      <c r="AL746" s="378">
        <v>3.2637999999999999E-3</v>
      </c>
      <c r="AM746" s="378"/>
      <c r="AN746" s="417">
        <v>-192730</v>
      </c>
      <c r="AO746" s="417">
        <v>-192729</v>
      </c>
      <c r="AP746" s="417">
        <v>-145206</v>
      </c>
      <c r="AQ746" s="417">
        <v>0</v>
      </c>
      <c r="AR746" s="417">
        <v>0</v>
      </c>
    </row>
    <row r="747" spans="1:44">
      <c r="A747" s="377">
        <v>98013</v>
      </c>
      <c r="B747" t="s">
        <v>1444</v>
      </c>
      <c r="C747" s="378">
        <v>1.3109999999999999E-4</v>
      </c>
      <c r="D747" s="378"/>
      <c r="E747" s="417">
        <v>44726</v>
      </c>
      <c r="F747" s="417">
        <v>6009</v>
      </c>
      <c r="G747" s="417">
        <v>-28659</v>
      </c>
      <c r="H747" s="417">
        <v>-87899</v>
      </c>
      <c r="I747" s="417">
        <v>0</v>
      </c>
      <c r="J747" s="378">
        <v>1.3109999999999999E-4</v>
      </c>
      <c r="K747" s="378"/>
      <c r="L747" s="417">
        <v>32094</v>
      </c>
      <c r="M747" s="417">
        <v>22165</v>
      </c>
      <c r="N747" s="417">
        <v>9703</v>
      </c>
      <c r="O747" s="417">
        <v>0</v>
      </c>
      <c r="P747" s="417">
        <v>0</v>
      </c>
      <c r="Q747" s="378">
        <v>1.3109999999999999E-4</v>
      </c>
      <c r="R747" s="378"/>
      <c r="S747" s="417">
        <v>-65860</v>
      </c>
      <c r="T747" s="417">
        <v>-65098</v>
      </c>
      <c r="U747" s="417">
        <v>-68388</v>
      </c>
      <c r="V747" s="417">
        <v>-87899</v>
      </c>
      <c r="W747" s="417">
        <v>0</v>
      </c>
      <c r="X747" s="378">
        <v>1.3109999999999999E-4</v>
      </c>
      <c r="Z747" s="417">
        <v>52519</v>
      </c>
      <c r="AA747" s="417">
        <v>36897</v>
      </c>
      <c r="AB747" s="417">
        <v>36897</v>
      </c>
      <c r="AC747" s="417">
        <v>0</v>
      </c>
      <c r="AD747" s="417">
        <v>0</v>
      </c>
      <c r="AE747" s="378">
        <v>1.3109999999999999E-4</v>
      </c>
      <c r="AF747" s="378"/>
      <c r="AG747" s="417">
        <v>32843</v>
      </c>
      <c r="AH747" s="417">
        <v>18915</v>
      </c>
      <c r="AI747" s="417">
        <v>0</v>
      </c>
      <c r="AJ747" s="417">
        <v>0</v>
      </c>
      <c r="AK747" s="417">
        <v>0</v>
      </c>
      <c r="AL747" s="378">
        <v>1.3109999999999999E-4</v>
      </c>
      <c r="AM747" s="378"/>
      <c r="AN747" s="417">
        <v>-6870</v>
      </c>
      <c r="AO747" s="417">
        <v>-6870</v>
      </c>
      <c r="AP747" s="417">
        <v>-6871</v>
      </c>
      <c r="AQ747" s="417">
        <v>0</v>
      </c>
      <c r="AR747" s="417">
        <v>0</v>
      </c>
    </row>
    <row r="748" spans="1:44">
      <c r="A748" s="377">
        <v>98021</v>
      </c>
      <c r="B748" t="s">
        <v>1445</v>
      </c>
      <c r="C748" s="378">
        <v>3.8399999999999998E-5</v>
      </c>
      <c r="D748" s="378"/>
      <c r="E748" s="417">
        <v>4696</v>
      </c>
      <c r="F748" s="417">
        <v>4472</v>
      </c>
      <c r="G748" s="417">
        <v>-4482</v>
      </c>
      <c r="H748" s="417">
        <v>-25746</v>
      </c>
      <c r="I748" s="417">
        <v>0</v>
      </c>
      <c r="J748" s="378">
        <v>3.8399999999999998E-5</v>
      </c>
      <c r="K748" s="378"/>
      <c r="L748" s="417">
        <v>9401</v>
      </c>
      <c r="M748" s="417">
        <v>6492</v>
      </c>
      <c r="N748" s="417">
        <v>2842</v>
      </c>
      <c r="O748" s="417">
        <v>0</v>
      </c>
      <c r="P748" s="417">
        <v>0</v>
      </c>
      <c r="Q748" s="378">
        <v>3.8399999999999998E-5</v>
      </c>
      <c r="R748" s="378"/>
      <c r="S748" s="417">
        <v>-19291</v>
      </c>
      <c r="T748" s="417">
        <v>-19068</v>
      </c>
      <c r="U748" s="417">
        <v>-20031</v>
      </c>
      <c r="V748" s="417">
        <v>-25746</v>
      </c>
      <c r="W748" s="417">
        <v>0</v>
      </c>
      <c r="X748" s="378">
        <v>3.8399999999999998E-5</v>
      </c>
      <c r="Z748" s="417">
        <v>15383</v>
      </c>
      <c r="AA748" s="417">
        <v>10807</v>
      </c>
      <c r="AB748" s="417">
        <v>10807</v>
      </c>
      <c r="AC748" s="417">
        <v>0</v>
      </c>
      <c r="AD748" s="417">
        <v>0</v>
      </c>
      <c r="AE748" s="378">
        <v>3.8399999999999998E-5</v>
      </c>
      <c r="AF748" s="378"/>
      <c r="AG748" s="417">
        <v>6242</v>
      </c>
      <c r="AH748" s="417">
        <v>6241</v>
      </c>
      <c r="AI748" s="417">
        <v>1900</v>
      </c>
      <c r="AJ748" s="417">
        <v>0</v>
      </c>
      <c r="AK748" s="417">
        <v>0</v>
      </c>
      <c r="AL748" s="378">
        <v>3.8399999999999998E-5</v>
      </c>
      <c r="AM748" s="378"/>
      <c r="AN748" s="417">
        <v>-7039</v>
      </c>
      <c r="AO748" s="417">
        <v>0</v>
      </c>
      <c r="AP748" s="417">
        <v>0</v>
      </c>
      <c r="AQ748" s="417">
        <v>0</v>
      </c>
      <c r="AR748" s="417">
        <v>0</v>
      </c>
    </row>
    <row r="749" spans="1:44">
      <c r="A749" s="377">
        <v>98023</v>
      </c>
      <c r="B749" t="s">
        <v>1446</v>
      </c>
      <c r="C749" s="378">
        <v>6.3999999999999997E-6</v>
      </c>
      <c r="D749" s="378"/>
      <c r="E749" s="417">
        <v>-3354</v>
      </c>
      <c r="F749" s="417">
        <v>-4974</v>
      </c>
      <c r="G749" s="417">
        <v>-4420</v>
      </c>
      <c r="H749" s="417">
        <v>-4291</v>
      </c>
      <c r="I749" s="417">
        <v>0</v>
      </c>
      <c r="J749" s="378">
        <v>6.3999999999999997E-6</v>
      </c>
      <c r="K749" s="378"/>
      <c r="L749" s="417">
        <v>1567</v>
      </c>
      <c r="M749" s="417">
        <v>1082</v>
      </c>
      <c r="N749" s="417">
        <v>474</v>
      </c>
      <c r="O749" s="417">
        <v>0</v>
      </c>
      <c r="P749" s="417">
        <v>0</v>
      </c>
      <c r="Q749" s="378">
        <v>6.3999999999999997E-6</v>
      </c>
      <c r="R749" s="378"/>
      <c r="S749" s="417">
        <v>-3215</v>
      </c>
      <c r="T749" s="417">
        <v>-3178</v>
      </c>
      <c r="U749" s="417">
        <v>-3339</v>
      </c>
      <c r="V749" s="417">
        <v>-4291</v>
      </c>
      <c r="W749" s="417">
        <v>0</v>
      </c>
      <c r="X749" s="378">
        <v>6.3999999999999997E-6</v>
      </c>
      <c r="Z749" s="417">
        <v>2564</v>
      </c>
      <c r="AA749" s="417">
        <v>1801</v>
      </c>
      <c r="AB749" s="417">
        <v>1801</v>
      </c>
      <c r="AC749" s="417">
        <v>0</v>
      </c>
      <c r="AD749" s="417">
        <v>0</v>
      </c>
      <c r="AE749" s="378">
        <v>6.3999999999999997E-6</v>
      </c>
      <c r="AF749" s="378"/>
      <c r="AG749" s="417">
        <v>1232</v>
      </c>
      <c r="AH749" s="417">
        <v>825</v>
      </c>
      <c r="AI749" s="417">
        <v>0</v>
      </c>
      <c r="AJ749" s="417">
        <v>0</v>
      </c>
      <c r="AK749" s="417">
        <v>0</v>
      </c>
      <c r="AL749" s="378">
        <v>6.3999999999999997E-6</v>
      </c>
      <c r="AM749" s="378"/>
      <c r="AN749" s="417">
        <v>-5502</v>
      </c>
      <c r="AO749" s="417">
        <v>-5504</v>
      </c>
      <c r="AP749" s="417">
        <v>-3356</v>
      </c>
      <c r="AQ749" s="417">
        <v>0</v>
      </c>
      <c r="AR749" s="417">
        <v>0</v>
      </c>
    </row>
    <row r="750" spans="1:44">
      <c r="A750" s="377">
        <v>98031</v>
      </c>
      <c r="B750" t="s">
        <v>1447</v>
      </c>
      <c r="C750" s="378">
        <v>1.563E-4</v>
      </c>
      <c r="D750" s="378"/>
      <c r="E750" s="417">
        <v>23725</v>
      </c>
      <c r="F750" s="417">
        <v>-7120</v>
      </c>
      <c r="G750" s="417">
        <v>-11471</v>
      </c>
      <c r="H750" s="417">
        <v>-104795</v>
      </c>
      <c r="I750" s="417">
        <v>0</v>
      </c>
      <c r="J750" s="378">
        <v>1.563E-4</v>
      </c>
      <c r="K750" s="378"/>
      <c r="L750" s="417">
        <v>38263</v>
      </c>
      <c r="M750" s="417">
        <v>26426</v>
      </c>
      <c r="N750" s="417">
        <v>11568</v>
      </c>
      <c r="O750" s="417">
        <v>0</v>
      </c>
      <c r="P750" s="417">
        <v>0</v>
      </c>
      <c r="Q750" s="378">
        <v>1.563E-4</v>
      </c>
      <c r="R750" s="378"/>
      <c r="S750" s="417">
        <v>-78520</v>
      </c>
      <c r="T750" s="417">
        <v>-77612</v>
      </c>
      <c r="U750" s="417">
        <v>-81534</v>
      </c>
      <c r="V750" s="417">
        <v>-104795</v>
      </c>
      <c r="W750" s="417">
        <v>0</v>
      </c>
      <c r="X750" s="378">
        <v>1.563E-4</v>
      </c>
      <c r="Z750" s="417">
        <v>62614</v>
      </c>
      <c r="AA750" s="417">
        <v>43990</v>
      </c>
      <c r="AB750" s="417">
        <v>43990</v>
      </c>
      <c r="AC750" s="417">
        <v>0</v>
      </c>
      <c r="AD750" s="417">
        <v>0</v>
      </c>
      <c r="AE750" s="378">
        <v>1.563E-4</v>
      </c>
      <c r="AF750" s="378"/>
      <c r="AG750" s="417">
        <v>15797</v>
      </c>
      <c r="AH750" s="417">
        <v>14505</v>
      </c>
      <c r="AI750" s="417">
        <v>14505</v>
      </c>
      <c r="AJ750" s="417">
        <v>0</v>
      </c>
      <c r="AK750" s="417">
        <v>0</v>
      </c>
      <c r="AL750" s="378">
        <v>1.563E-4</v>
      </c>
      <c r="AM750" s="378"/>
      <c r="AN750" s="417">
        <v>-14429</v>
      </c>
      <c r="AO750" s="417">
        <v>-14429</v>
      </c>
      <c r="AP750" s="417">
        <v>0</v>
      </c>
      <c r="AQ750" s="417">
        <v>0</v>
      </c>
      <c r="AR750" s="417">
        <v>0</v>
      </c>
    </row>
    <row r="751" spans="1:44">
      <c r="A751" s="377">
        <v>98041</v>
      </c>
      <c r="B751" t="s">
        <v>1448</v>
      </c>
      <c r="C751" s="378">
        <v>2.4140000000000001E-4</v>
      </c>
      <c r="D751" s="378"/>
      <c r="E751" s="417">
        <v>37154</v>
      </c>
      <c r="F751" s="417">
        <v>-11370</v>
      </c>
      <c r="G751" s="417">
        <v>-29892</v>
      </c>
      <c r="H751" s="417">
        <v>-161852</v>
      </c>
      <c r="I751" s="417">
        <v>0</v>
      </c>
      <c r="J751" s="378">
        <v>2.4140000000000001E-4</v>
      </c>
      <c r="K751" s="378"/>
      <c r="L751" s="417">
        <v>59097</v>
      </c>
      <c r="M751" s="417">
        <v>40814</v>
      </c>
      <c r="N751" s="417">
        <v>17866</v>
      </c>
      <c r="O751" s="417">
        <v>0</v>
      </c>
      <c r="P751" s="417">
        <v>0</v>
      </c>
      <c r="Q751" s="378">
        <v>2.4140000000000001E-4</v>
      </c>
      <c r="R751" s="378"/>
      <c r="S751" s="417">
        <v>-121272</v>
      </c>
      <c r="T751" s="417">
        <v>-119868</v>
      </c>
      <c r="U751" s="417">
        <v>-125927</v>
      </c>
      <c r="V751" s="417">
        <v>-161852</v>
      </c>
      <c r="W751" s="417">
        <v>0</v>
      </c>
      <c r="X751" s="378">
        <v>2.4140000000000001E-4</v>
      </c>
      <c r="Z751" s="417">
        <v>96705</v>
      </c>
      <c r="AA751" s="417">
        <v>67941</v>
      </c>
      <c r="AB751" s="417">
        <v>67940</v>
      </c>
      <c r="AC751" s="417">
        <v>0</v>
      </c>
      <c r="AD751" s="417">
        <v>0</v>
      </c>
      <c r="AE751" s="378">
        <v>2.4140000000000001E-4</v>
      </c>
      <c r="AF751" s="378"/>
      <c r="AG751" s="417">
        <v>13109</v>
      </c>
      <c r="AH751" s="417">
        <v>10229</v>
      </c>
      <c r="AI751" s="417">
        <v>10229</v>
      </c>
      <c r="AJ751" s="417">
        <v>0</v>
      </c>
      <c r="AK751" s="417">
        <v>0</v>
      </c>
      <c r="AL751" s="378">
        <v>2.4140000000000001E-4</v>
      </c>
      <c r="AM751" s="378"/>
      <c r="AN751" s="417">
        <v>-10485</v>
      </c>
      <c r="AO751" s="417">
        <v>-10486</v>
      </c>
      <c r="AP751" s="417">
        <v>0</v>
      </c>
      <c r="AQ751" s="417">
        <v>0</v>
      </c>
      <c r="AR751" s="417">
        <v>0</v>
      </c>
    </row>
    <row r="752" spans="1:44">
      <c r="A752" s="377">
        <v>98051</v>
      </c>
      <c r="B752" t="s">
        <v>1449</v>
      </c>
      <c r="C752" s="378">
        <v>2.499E-4</v>
      </c>
      <c r="D752" s="378"/>
      <c r="E752" s="417">
        <v>26108</v>
      </c>
      <c r="F752" s="417">
        <v>-21205</v>
      </c>
      <c r="G752" s="417">
        <v>-31368</v>
      </c>
      <c r="H752" s="417">
        <v>-167551</v>
      </c>
      <c r="I752" s="417">
        <v>0</v>
      </c>
      <c r="J752" s="378">
        <v>2.499E-4</v>
      </c>
      <c r="K752" s="378"/>
      <c r="L752" s="417">
        <v>61178</v>
      </c>
      <c r="M752" s="417">
        <v>42251</v>
      </c>
      <c r="N752" s="417">
        <v>18496</v>
      </c>
      <c r="O752" s="417">
        <v>0</v>
      </c>
      <c r="P752" s="417">
        <v>0</v>
      </c>
      <c r="Q752" s="378">
        <v>2.499E-4</v>
      </c>
      <c r="R752" s="378"/>
      <c r="S752" s="417">
        <v>-125542</v>
      </c>
      <c r="T752" s="417">
        <v>-124089</v>
      </c>
      <c r="U752" s="417">
        <v>-130361</v>
      </c>
      <c r="V752" s="417">
        <v>-167551</v>
      </c>
      <c r="W752" s="417">
        <v>0</v>
      </c>
      <c r="X752" s="378">
        <v>2.499E-4</v>
      </c>
      <c r="Z752" s="417">
        <v>100110</v>
      </c>
      <c r="AA752" s="417">
        <v>70333</v>
      </c>
      <c r="AB752" s="417">
        <v>70333</v>
      </c>
      <c r="AC752" s="417">
        <v>0</v>
      </c>
      <c r="AD752" s="417">
        <v>0</v>
      </c>
      <c r="AE752" s="378">
        <v>2.499E-4</v>
      </c>
      <c r="AF752" s="378"/>
      <c r="AG752" s="417">
        <v>14621</v>
      </c>
      <c r="AH752" s="417">
        <v>14558</v>
      </c>
      <c r="AI752" s="417">
        <v>10164</v>
      </c>
      <c r="AJ752" s="417">
        <v>0</v>
      </c>
      <c r="AK752" s="417">
        <v>0</v>
      </c>
      <c r="AL752" s="378">
        <v>2.499E-4</v>
      </c>
      <c r="AM752" s="378"/>
      <c r="AN752" s="417">
        <v>-24259</v>
      </c>
      <c r="AO752" s="417">
        <v>-24258</v>
      </c>
      <c r="AP752" s="417">
        <v>0</v>
      </c>
      <c r="AQ752" s="417">
        <v>0</v>
      </c>
      <c r="AR752" s="417">
        <v>0</v>
      </c>
    </row>
    <row r="753" spans="1:44">
      <c r="A753" s="377">
        <v>98061</v>
      </c>
      <c r="B753" t="s">
        <v>1450</v>
      </c>
      <c r="C753" s="378">
        <v>1.2410000000000001E-4</v>
      </c>
      <c r="D753" s="378"/>
      <c r="E753" s="417">
        <v>12728</v>
      </c>
      <c r="F753" s="417">
        <v>-13580</v>
      </c>
      <c r="G753" s="417">
        <v>-24494</v>
      </c>
      <c r="H753" s="417">
        <v>-83206</v>
      </c>
      <c r="I753" s="417">
        <v>0</v>
      </c>
      <c r="J753" s="378">
        <v>1.2410000000000001E-4</v>
      </c>
      <c r="K753" s="378"/>
      <c r="L753" s="417">
        <v>30381</v>
      </c>
      <c r="M753" s="417">
        <v>20982</v>
      </c>
      <c r="N753" s="417">
        <v>9185</v>
      </c>
      <c r="O753" s="417">
        <v>0</v>
      </c>
      <c r="P753" s="417">
        <v>0</v>
      </c>
      <c r="Q753" s="378">
        <v>1.2410000000000001E-4</v>
      </c>
      <c r="R753" s="378"/>
      <c r="S753" s="417">
        <v>-62344</v>
      </c>
      <c r="T753" s="417">
        <v>-61622</v>
      </c>
      <c r="U753" s="417">
        <v>-64737</v>
      </c>
      <c r="V753" s="417">
        <v>-83206</v>
      </c>
      <c r="W753" s="417">
        <v>0</v>
      </c>
      <c r="X753" s="378">
        <v>1.2410000000000001E-4</v>
      </c>
      <c r="Z753" s="417">
        <v>49715</v>
      </c>
      <c r="AA753" s="417">
        <v>34927</v>
      </c>
      <c r="AB753" s="417">
        <v>34927</v>
      </c>
      <c r="AC753" s="417">
        <v>0</v>
      </c>
      <c r="AD753" s="417">
        <v>0</v>
      </c>
      <c r="AE753" s="378">
        <v>1.2410000000000001E-4</v>
      </c>
      <c r="AF753" s="378"/>
      <c r="AG753" s="417">
        <v>2865</v>
      </c>
      <c r="AH753" s="417">
        <v>20</v>
      </c>
      <c r="AI753" s="417">
        <v>0</v>
      </c>
      <c r="AJ753" s="417">
        <v>0</v>
      </c>
      <c r="AK753" s="417">
        <v>0</v>
      </c>
      <c r="AL753" s="378">
        <v>1.2410000000000001E-4</v>
      </c>
      <c r="AM753" s="378"/>
      <c r="AN753" s="417">
        <v>-7889</v>
      </c>
      <c r="AO753" s="417">
        <v>-7887</v>
      </c>
      <c r="AP753" s="417">
        <v>-3869</v>
      </c>
      <c r="AQ753" s="417">
        <v>0</v>
      </c>
      <c r="AR753" s="417">
        <v>0</v>
      </c>
    </row>
    <row r="754" spans="1:44">
      <c r="A754" s="377">
        <v>98071</v>
      </c>
      <c r="B754" t="s">
        <v>1451</v>
      </c>
      <c r="C754" s="378">
        <v>6.6600000000000006E-5</v>
      </c>
      <c r="D754" s="378"/>
      <c r="E754" s="417">
        <v>30183</v>
      </c>
      <c r="F754" s="417">
        <v>15767</v>
      </c>
      <c r="G754" s="417">
        <v>-2076</v>
      </c>
      <c r="H754" s="417">
        <v>-44654</v>
      </c>
      <c r="I754" s="417">
        <v>0</v>
      </c>
      <c r="J754" s="378">
        <v>6.6600000000000006E-5</v>
      </c>
      <c r="K754" s="378"/>
      <c r="L754" s="417">
        <v>16304</v>
      </c>
      <c r="M754" s="417">
        <v>11260</v>
      </c>
      <c r="N754" s="417">
        <v>4929</v>
      </c>
      <c r="O754" s="417">
        <v>0</v>
      </c>
      <c r="P754" s="417">
        <v>0</v>
      </c>
      <c r="Q754" s="378">
        <v>6.6600000000000006E-5</v>
      </c>
      <c r="R754" s="378"/>
      <c r="S754" s="417">
        <v>-33458</v>
      </c>
      <c r="T754" s="417">
        <v>-33071</v>
      </c>
      <c r="U754" s="417">
        <v>-34742</v>
      </c>
      <c r="V754" s="417">
        <v>-44654</v>
      </c>
      <c r="W754" s="417">
        <v>0</v>
      </c>
      <c r="X754" s="378">
        <v>6.6600000000000006E-5</v>
      </c>
      <c r="Z754" s="417">
        <v>26680</v>
      </c>
      <c r="AA754" s="417">
        <v>18744</v>
      </c>
      <c r="AB754" s="417">
        <v>18744</v>
      </c>
      <c r="AC754" s="417">
        <v>0</v>
      </c>
      <c r="AD754" s="417">
        <v>0</v>
      </c>
      <c r="AE754" s="378">
        <v>6.6600000000000006E-5</v>
      </c>
      <c r="AF754" s="378"/>
      <c r="AG754" s="417">
        <v>20657</v>
      </c>
      <c r="AH754" s="417">
        <v>18834</v>
      </c>
      <c r="AI754" s="417">
        <v>8993</v>
      </c>
      <c r="AJ754" s="417">
        <v>0</v>
      </c>
      <c r="AK754" s="417">
        <v>0</v>
      </c>
      <c r="AL754" s="378">
        <v>6.6600000000000006E-5</v>
      </c>
      <c r="AM754" s="378"/>
      <c r="AN754" s="417">
        <v>0</v>
      </c>
      <c r="AO754" s="417">
        <v>0</v>
      </c>
      <c r="AP754" s="417">
        <v>0</v>
      </c>
      <c r="AQ754" s="417">
        <v>0</v>
      </c>
      <c r="AR754" s="417">
        <v>0</v>
      </c>
    </row>
    <row r="755" spans="1:44">
      <c r="A755" s="377">
        <v>98081</v>
      </c>
      <c r="B755" t="s">
        <v>1452</v>
      </c>
      <c r="C755" s="378">
        <v>1.42E-5</v>
      </c>
      <c r="D755" s="378"/>
      <c r="E755" s="417">
        <v>1186</v>
      </c>
      <c r="F755" s="417">
        <v>-1217</v>
      </c>
      <c r="G755" s="417">
        <v>-2286</v>
      </c>
      <c r="H755" s="417">
        <v>-9521</v>
      </c>
      <c r="I755" s="417">
        <v>0</v>
      </c>
      <c r="J755" s="378">
        <v>1.42E-5</v>
      </c>
      <c r="K755" s="378"/>
      <c r="L755" s="417">
        <v>3476</v>
      </c>
      <c r="M755" s="417">
        <v>2401</v>
      </c>
      <c r="N755" s="417">
        <v>1051</v>
      </c>
      <c r="O755" s="417">
        <v>0</v>
      </c>
      <c r="P755" s="417">
        <v>0</v>
      </c>
      <c r="Q755" s="378">
        <v>1.42E-5</v>
      </c>
      <c r="R755" s="378"/>
      <c r="S755" s="417">
        <v>-7134</v>
      </c>
      <c r="T755" s="417">
        <v>-7051</v>
      </c>
      <c r="U755" s="417">
        <v>-7407</v>
      </c>
      <c r="V755" s="417">
        <v>-9521</v>
      </c>
      <c r="W755" s="417">
        <v>0</v>
      </c>
      <c r="X755" s="378">
        <v>1.42E-5</v>
      </c>
      <c r="Z755" s="417">
        <v>5689</v>
      </c>
      <c r="AA755" s="417">
        <v>3997</v>
      </c>
      <c r="AB755" s="417">
        <v>3996</v>
      </c>
      <c r="AC755" s="417">
        <v>0</v>
      </c>
      <c r="AD755" s="417">
        <v>0</v>
      </c>
      <c r="AE755" s="378">
        <v>1.42E-5</v>
      </c>
      <c r="AF755" s="378"/>
      <c r="AG755" s="417">
        <v>76</v>
      </c>
      <c r="AH755" s="417">
        <v>76</v>
      </c>
      <c r="AI755" s="417">
        <v>74</v>
      </c>
      <c r="AJ755" s="417">
        <v>0</v>
      </c>
      <c r="AK755" s="417">
        <v>0</v>
      </c>
      <c r="AL755" s="378">
        <v>1.42E-5</v>
      </c>
      <c r="AM755" s="378"/>
      <c r="AN755" s="417">
        <v>-921</v>
      </c>
      <c r="AO755" s="417">
        <v>-640</v>
      </c>
      <c r="AP755" s="417">
        <v>0</v>
      </c>
      <c r="AQ755" s="417">
        <v>0</v>
      </c>
      <c r="AR755" s="417">
        <v>0</v>
      </c>
    </row>
    <row r="756" spans="1:44">
      <c r="A756" s="377">
        <v>98091</v>
      </c>
      <c r="B756" t="s">
        <v>1453</v>
      </c>
      <c r="C756" s="378">
        <v>4.8000000000000001E-5</v>
      </c>
      <c r="D756" s="378"/>
      <c r="E756" s="417">
        <v>3824</v>
      </c>
      <c r="F756" s="417">
        <v>-6516</v>
      </c>
      <c r="G756" s="417">
        <v>-6817</v>
      </c>
      <c r="H756" s="417">
        <v>-32183</v>
      </c>
      <c r="I756" s="417">
        <v>0</v>
      </c>
      <c r="J756" s="378">
        <v>4.8000000000000001E-5</v>
      </c>
      <c r="K756" s="378"/>
      <c r="L756" s="417">
        <v>11751</v>
      </c>
      <c r="M756" s="417">
        <v>8115</v>
      </c>
      <c r="N756" s="417">
        <v>3553</v>
      </c>
      <c r="O756" s="417">
        <v>0</v>
      </c>
      <c r="P756" s="417">
        <v>0</v>
      </c>
      <c r="Q756" s="378">
        <v>4.8000000000000001E-5</v>
      </c>
      <c r="R756" s="378"/>
      <c r="S756" s="417">
        <v>-24114</v>
      </c>
      <c r="T756" s="417">
        <v>-23835</v>
      </c>
      <c r="U756" s="417">
        <v>-25039</v>
      </c>
      <c r="V756" s="417">
        <v>-32183</v>
      </c>
      <c r="W756" s="417">
        <v>0</v>
      </c>
      <c r="X756" s="378">
        <v>4.8000000000000001E-5</v>
      </c>
      <c r="Z756" s="417">
        <v>19229</v>
      </c>
      <c r="AA756" s="417">
        <v>13509</v>
      </c>
      <c r="AB756" s="417">
        <v>13509</v>
      </c>
      <c r="AC756" s="417">
        <v>0</v>
      </c>
      <c r="AD756" s="417">
        <v>0</v>
      </c>
      <c r="AE756" s="378">
        <v>4.8000000000000001E-5</v>
      </c>
      <c r="AF756" s="378"/>
      <c r="AG756" s="417">
        <v>4241</v>
      </c>
      <c r="AH756" s="417">
        <v>2977</v>
      </c>
      <c r="AI756" s="417">
        <v>1160</v>
      </c>
      <c r="AJ756" s="417">
        <v>0</v>
      </c>
      <c r="AK756" s="417">
        <v>0</v>
      </c>
      <c r="AL756" s="378">
        <v>4.8000000000000001E-5</v>
      </c>
      <c r="AM756" s="378"/>
      <c r="AN756" s="417">
        <v>-7283</v>
      </c>
      <c r="AO756" s="417">
        <v>-7282</v>
      </c>
      <c r="AP756" s="417">
        <v>0</v>
      </c>
      <c r="AQ756" s="417">
        <v>0</v>
      </c>
      <c r="AR756" s="417">
        <v>0</v>
      </c>
    </row>
    <row r="757" spans="1:44">
      <c r="A757" s="377">
        <v>98101</v>
      </c>
      <c r="B757" t="s">
        <v>1454</v>
      </c>
      <c r="C757" s="378">
        <v>2.7187000000000001E-3</v>
      </c>
      <c r="D757" s="378"/>
      <c r="E757" s="417">
        <v>346164</v>
      </c>
      <c r="F757" s="417">
        <v>-121951</v>
      </c>
      <c r="G757" s="417">
        <v>-492522</v>
      </c>
      <c r="H757" s="417">
        <v>-1822818</v>
      </c>
      <c r="I757" s="417">
        <v>0</v>
      </c>
      <c r="J757" s="378">
        <v>2.7187000000000001E-3</v>
      </c>
      <c r="K757" s="378"/>
      <c r="L757" s="417">
        <v>665560</v>
      </c>
      <c r="M757" s="417">
        <v>459656</v>
      </c>
      <c r="N757" s="417">
        <v>201216</v>
      </c>
      <c r="O757" s="417">
        <v>0</v>
      </c>
      <c r="P757" s="417">
        <v>0</v>
      </c>
      <c r="Q757" s="378">
        <v>2.7187000000000001E-3</v>
      </c>
      <c r="R757" s="378"/>
      <c r="S757" s="417">
        <v>-1365788</v>
      </c>
      <c r="T757" s="417">
        <v>-1349984</v>
      </c>
      <c r="U757" s="417">
        <v>-1418213</v>
      </c>
      <c r="V757" s="417">
        <v>-1822818</v>
      </c>
      <c r="W757" s="417">
        <v>0</v>
      </c>
      <c r="X757" s="378">
        <v>2.7187000000000001E-3</v>
      </c>
      <c r="Z757" s="417">
        <v>1089117</v>
      </c>
      <c r="AA757" s="417">
        <v>765165</v>
      </c>
      <c r="AB757" s="417">
        <v>765159</v>
      </c>
      <c r="AC757" s="417">
        <v>0</v>
      </c>
      <c r="AD757" s="417">
        <v>0</v>
      </c>
      <c r="AE757" s="378">
        <v>2.7187000000000001E-3</v>
      </c>
      <c r="AF757" s="378"/>
      <c r="AG757" s="417">
        <v>43895</v>
      </c>
      <c r="AH757" s="417">
        <v>43895</v>
      </c>
      <c r="AI757" s="417">
        <v>0</v>
      </c>
      <c r="AJ757" s="417">
        <v>0</v>
      </c>
      <c r="AK757" s="417">
        <v>0</v>
      </c>
      <c r="AL757" s="378">
        <v>2.7187000000000001E-3</v>
      </c>
      <c r="AM757" s="378"/>
      <c r="AN757" s="417">
        <v>-86620</v>
      </c>
      <c r="AO757" s="417">
        <v>-40683</v>
      </c>
      <c r="AP757" s="417">
        <v>-40684</v>
      </c>
      <c r="AQ757" s="417">
        <v>0</v>
      </c>
      <c r="AR757" s="417">
        <v>0</v>
      </c>
    </row>
    <row r="758" spans="1:44">
      <c r="A758" s="377">
        <v>98102</v>
      </c>
      <c r="B758" t="s">
        <v>1455</v>
      </c>
      <c r="C758" s="378">
        <v>1.4760000000000001E-4</v>
      </c>
      <c r="D758" s="378"/>
      <c r="E758" s="417">
        <v>19077</v>
      </c>
      <c r="F758" s="417">
        <v>-7729</v>
      </c>
      <c r="G758" s="417">
        <v>-26524</v>
      </c>
      <c r="H758" s="417">
        <v>-98962</v>
      </c>
      <c r="I758" s="417">
        <v>0</v>
      </c>
      <c r="J758" s="378">
        <v>1.4760000000000001E-4</v>
      </c>
      <c r="K758" s="378"/>
      <c r="L758" s="417">
        <v>36134</v>
      </c>
      <c r="M758" s="417">
        <v>24955</v>
      </c>
      <c r="N758" s="417">
        <v>10924</v>
      </c>
      <c r="O758" s="417">
        <v>0</v>
      </c>
      <c r="P758" s="417">
        <v>0</v>
      </c>
      <c r="Q758" s="378">
        <v>1.4760000000000001E-4</v>
      </c>
      <c r="R758" s="378"/>
      <c r="S758" s="417">
        <v>-74150</v>
      </c>
      <c r="T758" s="417">
        <v>-73292</v>
      </c>
      <c r="U758" s="417">
        <v>-76996</v>
      </c>
      <c r="V758" s="417">
        <v>-98962</v>
      </c>
      <c r="W758" s="417">
        <v>0</v>
      </c>
      <c r="X758" s="378">
        <v>1.4760000000000001E-4</v>
      </c>
      <c r="Z758" s="417">
        <v>59129</v>
      </c>
      <c r="AA758" s="417">
        <v>41541</v>
      </c>
      <c r="AB758" s="417">
        <v>41541</v>
      </c>
      <c r="AC758" s="417">
        <v>0</v>
      </c>
      <c r="AD758" s="417">
        <v>0</v>
      </c>
      <c r="AE758" s="378">
        <v>1.4760000000000001E-4</v>
      </c>
      <c r="AF758" s="378"/>
      <c r="AG758" s="417">
        <v>2199</v>
      </c>
      <c r="AH758" s="417">
        <v>2200</v>
      </c>
      <c r="AI758" s="417">
        <v>0</v>
      </c>
      <c r="AJ758" s="417">
        <v>0</v>
      </c>
      <c r="AK758" s="417">
        <v>0</v>
      </c>
      <c r="AL758" s="378">
        <v>1.4760000000000001E-4</v>
      </c>
      <c r="AM758" s="378"/>
      <c r="AN758" s="417">
        <v>-4235</v>
      </c>
      <c r="AO758" s="417">
        <v>-3133</v>
      </c>
      <c r="AP758" s="417">
        <v>-1993</v>
      </c>
      <c r="AQ758" s="417">
        <v>0</v>
      </c>
      <c r="AR758" s="417">
        <v>0</v>
      </c>
    </row>
    <row r="759" spans="1:44">
      <c r="A759" s="377">
        <v>98103</v>
      </c>
      <c r="B759" t="s">
        <v>1456</v>
      </c>
      <c r="C759" s="378">
        <v>4.9779999999999996E-4</v>
      </c>
      <c r="D759" s="378"/>
      <c r="E759" s="417">
        <v>59188</v>
      </c>
      <c r="F759" s="417">
        <v>-26943</v>
      </c>
      <c r="G759" s="417">
        <v>-89215</v>
      </c>
      <c r="H759" s="417">
        <v>-333762</v>
      </c>
      <c r="I759" s="417">
        <v>0</v>
      </c>
      <c r="J759" s="378">
        <v>4.9779999999999996E-4</v>
      </c>
      <c r="K759" s="378"/>
      <c r="L759" s="417">
        <v>121865</v>
      </c>
      <c r="M759" s="417">
        <v>84164</v>
      </c>
      <c r="N759" s="417">
        <v>36843</v>
      </c>
      <c r="O759" s="417">
        <v>0</v>
      </c>
      <c r="P759" s="417">
        <v>0</v>
      </c>
      <c r="Q759" s="378">
        <v>4.9779999999999996E-4</v>
      </c>
      <c r="R759" s="378"/>
      <c r="S759" s="417">
        <v>-250079</v>
      </c>
      <c r="T759" s="417">
        <v>-247185</v>
      </c>
      <c r="U759" s="417">
        <v>-259678</v>
      </c>
      <c r="V759" s="417">
        <v>-333762</v>
      </c>
      <c r="W759" s="417">
        <v>0</v>
      </c>
      <c r="X759" s="378">
        <v>4.9779999999999996E-4</v>
      </c>
      <c r="Z759" s="417">
        <v>199420</v>
      </c>
      <c r="AA759" s="417">
        <v>140103</v>
      </c>
      <c r="AB759" s="417">
        <v>140102</v>
      </c>
      <c r="AC759" s="417">
        <v>0</v>
      </c>
      <c r="AD759" s="417">
        <v>0</v>
      </c>
      <c r="AE759" s="378">
        <v>4.9779999999999996E-4</v>
      </c>
      <c r="AF759" s="378"/>
      <c r="AG759" s="417">
        <v>6516</v>
      </c>
      <c r="AH759" s="417">
        <v>6516</v>
      </c>
      <c r="AI759" s="417">
        <v>0</v>
      </c>
      <c r="AJ759" s="417">
        <v>0</v>
      </c>
      <c r="AK759" s="417">
        <v>0</v>
      </c>
      <c r="AL759" s="378">
        <v>4.9779999999999996E-4</v>
      </c>
      <c r="AM759" s="378"/>
      <c r="AN759" s="417">
        <v>-18534</v>
      </c>
      <c r="AO759" s="417">
        <v>-10541</v>
      </c>
      <c r="AP759" s="417">
        <v>-6482</v>
      </c>
      <c r="AQ759" s="417">
        <v>0</v>
      </c>
      <c r="AR759" s="417">
        <v>0</v>
      </c>
    </row>
    <row r="760" spans="1:44">
      <c r="A760" s="377">
        <v>98107</v>
      </c>
      <c r="B760" t="s">
        <v>1457</v>
      </c>
      <c r="C760" s="378">
        <v>2.4700000000000001E-5</v>
      </c>
      <c r="D760" s="378"/>
      <c r="E760" s="417">
        <v>17550</v>
      </c>
      <c r="F760" s="417">
        <v>12108</v>
      </c>
      <c r="G760" s="417">
        <v>6570</v>
      </c>
      <c r="H760" s="417">
        <v>-16561</v>
      </c>
      <c r="I760" s="417">
        <v>0</v>
      </c>
      <c r="J760" s="378">
        <v>2.4700000000000001E-5</v>
      </c>
      <c r="K760" s="378"/>
      <c r="L760" s="417">
        <v>6047</v>
      </c>
      <c r="M760" s="417">
        <v>4176</v>
      </c>
      <c r="N760" s="417">
        <v>1828</v>
      </c>
      <c r="O760" s="417">
        <v>0</v>
      </c>
      <c r="P760" s="417">
        <v>0</v>
      </c>
      <c r="Q760" s="378">
        <v>2.4700000000000001E-5</v>
      </c>
      <c r="R760" s="378"/>
      <c r="S760" s="417">
        <v>-12408</v>
      </c>
      <c r="T760" s="417">
        <v>-12265</v>
      </c>
      <c r="U760" s="417">
        <v>-12885</v>
      </c>
      <c r="V760" s="417">
        <v>-16561</v>
      </c>
      <c r="W760" s="417">
        <v>0</v>
      </c>
      <c r="X760" s="378">
        <v>2.4700000000000001E-5</v>
      </c>
      <c r="Z760" s="417">
        <v>9895</v>
      </c>
      <c r="AA760" s="417">
        <v>6952</v>
      </c>
      <c r="AB760" s="417">
        <v>6952</v>
      </c>
      <c r="AC760" s="417">
        <v>0</v>
      </c>
      <c r="AD760" s="417">
        <v>0</v>
      </c>
      <c r="AE760" s="378">
        <v>2.4700000000000001E-5</v>
      </c>
      <c r="AF760" s="378"/>
      <c r="AG760" s="417">
        <v>14016</v>
      </c>
      <c r="AH760" s="417">
        <v>13245</v>
      </c>
      <c r="AI760" s="417">
        <v>10675</v>
      </c>
      <c r="AJ760" s="417">
        <v>0</v>
      </c>
      <c r="AK760" s="417">
        <v>0</v>
      </c>
      <c r="AL760" s="378">
        <v>2.4700000000000001E-5</v>
      </c>
      <c r="AM760" s="378"/>
      <c r="AN760" s="417">
        <v>0</v>
      </c>
      <c r="AO760" s="417">
        <v>0</v>
      </c>
      <c r="AP760" s="417">
        <v>0</v>
      </c>
      <c r="AQ760" s="417">
        <v>0</v>
      </c>
      <c r="AR760" s="417">
        <v>0</v>
      </c>
    </row>
    <row r="761" spans="1:44">
      <c r="A761" s="377">
        <v>98109</v>
      </c>
      <c r="B761" t="s">
        <v>1458</v>
      </c>
      <c r="C761" s="378">
        <v>1.6750000000000001E-4</v>
      </c>
      <c r="D761" s="378"/>
      <c r="E761" s="417">
        <v>44817</v>
      </c>
      <c r="F761" s="417">
        <v>13041</v>
      </c>
      <c r="G761" s="417">
        <v>-12265</v>
      </c>
      <c r="H761" s="417">
        <v>-112304</v>
      </c>
      <c r="I761" s="417">
        <v>0</v>
      </c>
      <c r="J761" s="378">
        <v>1.6750000000000001E-4</v>
      </c>
      <c r="K761" s="378"/>
      <c r="L761" s="417">
        <v>41005</v>
      </c>
      <c r="M761" s="417">
        <v>28320</v>
      </c>
      <c r="N761" s="417">
        <v>12397</v>
      </c>
      <c r="O761" s="417">
        <v>0</v>
      </c>
      <c r="P761" s="417">
        <v>0</v>
      </c>
      <c r="Q761" s="378">
        <v>1.6750000000000001E-4</v>
      </c>
      <c r="R761" s="378"/>
      <c r="S761" s="417">
        <v>-84147</v>
      </c>
      <c r="T761" s="417">
        <v>-83173</v>
      </c>
      <c r="U761" s="417">
        <v>-87377</v>
      </c>
      <c r="V761" s="417">
        <v>-112304</v>
      </c>
      <c r="W761" s="417">
        <v>0</v>
      </c>
      <c r="X761" s="378">
        <v>1.6750000000000001E-4</v>
      </c>
      <c r="Z761" s="417">
        <v>67101</v>
      </c>
      <c r="AA761" s="417">
        <v>47142</v>
      </c>
      <c r="AB761" s="417">
        <v>47142</v>
      </c>
      <c r="AC761" s="417">
        <v>0</v>
      </c>
      <c r="AD761" s="417">
        <v>0</v>
      </c>
      <c r="AE761" s="378">
        <v>1.6750000000000001E-4</v>
      </c>
      <c r="AF761" s="378"/>
      <c r="AG761" s="417">
        <v>21585</v>
      </c>
      <c r="AH761" s="417">
        <v>21477</v>
      </c>
      <c r="AI761" s="417">
        <v>15573</v>
      </c>
      <c r="AJ761" s="417">
        <v>0</v>
      </c>
      <c r="AK761" s="417">
        <v>0</v>
      </c>
      <c r="AL761" s="378">
        <v>1.6750000000000001E-4</v>
      </c>
      <c r="AM761" s="378"/>
      <c r="AN761" s="417">
        <v>-727</v>
      </c>
      <c r="AO761" s="417">
        <v>-725</v>
      </c>
      <c r="AP761" s="417">
        <v>0</v>
      </c>
      <c r="AQ761" s="417">
        <v>0</v>
      </c>
      <c r="AR761" s="417">
        <v>0</v>
      </c>
    </row>
    <row r="762" spans="1:44">
      <c r="A762" s="377">
        <v>98111</v>
      </c>
      <c r="B762" t="s">
        <v>1459</v>
      </c>
      <c r="C762" s="378">
        <v>9.9400000000000009E-4</v>
      </c>
      <c r="D762" s="378"/>
      <c r="E762" s="417">
        <v>93202</v>
      </c>
      <c r="F762" s="417">
        <v>-86970</v>
      </c>
      <c r="G762" s="417">
        <v>-173875</v>
      </c>
      <c r="H762" s="417">
        <v>-666451</v>
      </c>
      <c r="I762" s="417">
        <v>0</v>
      </c>
      <c r="J762" s="378">
        <v>9.9400000000000009E-4</v>
      </c>
      <c r="K762" s="378"/>
      <c r="L762" s="417">
        <v>243339</v>
      </c>
      <c r="M762" s="417">
        <v>168058</v>
      </c>
      <c r="N762" s="417">
        <v>73568</v>
      </c>
      <c r="O762" s="417">
        <v>0</v>
      </c>
      <c r="P762" s="417">
        <v>0</v>
      </c>
      <c r="Q762" s="378">
        <v>9.9400000000000009E-4</v>
      </c>
      <c r="R762" s="378"/>
      <c r="S762" s="417">
        <v>-499354</v>
      </c>
      <c r="T762" s="417">
        <v>-493576</v>
      </c>
      <c r="U762" s="417">
        <v>-518521</v>
      </c>
      <c r="V762" s="417">
        <v>-666451</v>
      </c>
      <c r="W762" s="417">
        <v>0</v>
      </c>
      <c r="X762" s="378">
        <v>9.9400000000000009E-4</v>
      </c>
      <c r="Z762" s="417">
        <v>398198</v>
      </c>
      <c r="AA762" s="417">
        <v>279756</v>
      </c>
      <c r="AB762" s="417">
        <v>279754</v>
      </c>
      <c r="AC762" s="417">
        <v>0</v>
      </c>
      <c r="AD762" s="417">
        <v>0</v>
      </c>
      <c r="AE762" s="378">
        <v>9.9400000000000009E-4</v>
      </c>
      <c r="AF762" s="378"/>
      <c r="AG762" s="417">
        <v>0</v>
      </c>
      <c r="AH762" s="417">
        <v>0</v>
      </c>
      <c r="AI762" s="417">
        <v>0</v>
      </c>
      <c r="AJ762" s="417">
        <v>0</v>
      </c>
      <c r="AK762" s="417">
        <v>0</v>
      </c>
      <c r="AL762" s="378">
        <v>9.9400000000000009E-4</v>
      </c>
      <c r="AM762" s="378"/>
      <c r="AN762" s="417">
        <v>-48981</v>
      </c>
      <c r="AO762" s="417">
        <v>-41208</v>
      </c>
      <c r="AP762" s="417">
        <v>-8676</v>
      </c>
      <c r="AQ762" s="417">
        <v>0</v>
      </c>
      <c r="AR762" s="417">
        <v>0</v>
      </c>
    </row>
    <row r="763" spans="1:44">
      <c r="A763" s="377">
        <v>98113</v>
      </c>
      <c r="B763" t="s">
        <v>1460</v>
      </c>
      <c r="C763" s="378">
        <v>3.3099999999999998E-5</v>
      </c>
      <c r="D763" s="378"/>
      <c r="E763" s="417">
        <v>10771</v>
      </c>
      <c r="F763" s="417">
        <v>4618</v>
      </c>
      <c r="G763" s="417">
        <v>-924</v>
      </c>
      <c r="H763" s="417">
        <v>-22193</v>
      </c>
      <c r="I763" s="417">
        <v>0</v>
      </c>
      <c r="J763" s="378">
        <v>3.3099999999999998E-5</v>
      </c>
      <c r="K763" s="378"/>
      <c r="L763" s="417">
        <v>8103</v>
      </c>
      <c r="M763" s="417">
        <v>5596</v>
      </c>
      <c r="N763" s="417">
        <v>2450</v>
      </c>
      <c r="O763" s="417">
        <v>0</v>
      </c>
      <c r="P763" s="417">
        <v>0</v>
      </c>
      <c r="Q763" s="378">
        <v>3.3099999999999998E-5</v>
      </c>
      <c r="R763" s="378"/>
      <c r="S763" s="417">
        <v>-16628</v>
      </c>
      <c r="T763" s="417">
        <v>-16436</v>
      </c>
      <c r="U763" s="417">
        <v>-17267</v>
      </c>
      <c r="V763" s="417">
        <v>-22193</v>
      </c>
      <c r="W763" s="417">
        <v>0</v>
      </c>
      <c r="X763" s="378">
        <v>3.3099999999999998E-5</v>
      </c>
      <c r="Z763" s="417">
        <v>13260</v>
      </c>
      <c r="AA763" s="417">
        <v>9316</v>
      </c>
      <c r="AB763" s="417">
        <v>9316</v>
      </c>
      <c r="AC763" s="417">
        <v>0</v>
      </c>
      <c r="AD763" s="417">
        <v>0</v>
      </c>
      <c r="AE763" s="378">
        <v>3.3099999999999998E-5</v>
      </c>
      <c r="AF763" s="378"/>
      <c r="AG763" s="417">
        <v>6140</v>
      </c>
      <c r="AH763" s="417">
        <v>6142</v>
      </c>
      <c r="AI763" s="417">
        <v>4577</v>
      </c>
      <c r="AJ763" s="417">
        <v>0</v>
      </c>
      <c r="AK763" s="417">
        <v>0</v>
      </c>
      <c r="AL763" s="378">
        <v>3.3099999999999998E-5</v>
      </c>
      <c r="AM763" s="378"/>
      <c r="AN763" s="417">
        <v>-104</v>
      </c>
      <c r="AO763" s="417">
        <v>0</v>
      </c>
      <c r="AP763" s="417">
        <v>0</v>
      </c>
      <c r="AQ763" s="417">
        <v>0</v>
      </c>
      <c r="AR763" s="417">
        <v>0</v>
      </c>
    </row>
    <row r="764" spans="1:44">
      <c r="A764" s="377">
        <v>98121</v>
      </c>
      <c r="B764" t="s">
        <v>1461</v>
      </c>
      <c r="C764" s="378">
        <v>2.0699999999999999E-4</v>
      </c>
      <c r="D764" s="378"/>
      <c r="E764" s="417">
        <v>29284</v>
      </c>
      <c r="F764" s="417">
        <v>-11159</v>
      </c>
      <c r="G764" s="417">
        <v>-31144</v>
      </c>
      <c r="H764" s="417">
        <v>-138788</v>
      </c>
      <c r="I764" s="417">
        <v>0</v>
      </c>
      <c r="J764" s="378">
        <v>2.0699999999999999E-4</v>
      </c>
      <c r="K764" s="378"/>
      <c r="L764" s="417">
        <v>50675</v>
      </c>
      <c r="M764" s="417">
        <v>34998</v>
      </c>
      <c r="N764" s="417">
        <v>15320</v>
      </c>
      <c r="O764" s="417">
        <v>0</v>
      </c>
      <c r="P764" s="417">
        <v>0</v>
      </c>
      <c r="Q764" s="378">
        <v>2.0699999999999999E-4</v>
      </c>
      <c r="R764" s="378"/>
      <c r="S764" s="417">
        <v>-103990</v>
      </c>
      <c r="T764" s="417">
        <v>-102787</v>
      </c>
      <c r="U764" s="417">
        <v>-107982</v>
      </c>
      <c r="V764" s="417">
        <v>-138788</v>
      </c>
      <c r="W764" s="417">
        <v>0</v>
      </c>
      <c r="X764" s="378">
        <v>2.0699999999999999E-4</v>
      </c>
      <c r="Z764" s="417">
        <v>82925</v>
      </c>
      <c r="AA764" s="417">
        <v>58259</v>
      </c>
      <c r="AB764" s="417">
        <v>58259</v>
      </c>
      <c r="AC764" s="417">
        <v>0</v>
      </c>
      <c r="AD764" s="417">
        <v>0</v>
      </c>
      <c r="AE764" s="378">
        <v>2.0699999999999999E-4</v>
      </c>
      <c r="AF764" s="378"/>
      <c r="AG764" s="417">
        <v>4563</v>
      </c>
      <c r="AH764" s="417">
        <v>3259</v>
      </c>
      <c r="AI764" s="417">
        <v>3259</v>
      </c>
      <c r="AJ764" s="417">
        <v>0</v>
      </c>
      <c r="AK764" s="417">
        <v>0</v>
      </c>
      <c r="AL764" s="378">
        <v>2.0699999999999999E-4</v>
      </c>
      <c r="AM764" s="378"/>
      <c r="AN764" s="417">
        <v>-4889</v>
      </c>
      <c r="AO764" s="417">
        <v>-4888</v>
      </c>
      <c r="AP764" s="417">
        <v>0</v>
      </c>
      <c r="AQ764" s="417">
        <v>0</v>
      </c>
      <c r="AR764" s="417">
        <v>0</v>
      </c>
    </row>
    <row r="765" spans="1:44">
      <c r="A765" s="377">
        <v>98131</v>
      </c>
      <c r="B765" t="s">
        <v>1462</v>
      </c>
      <c r="C765" s="378">
        <v>2.6879999999999997E-4</v>
      </c>
      <c r="D765" s="378"/>
      <c r="E765" s="417">
        <v>50753</v>
      </c>
      <c r="F765" s="417">
        <v>2638</v>
      </c>
      <c r="G765" s="417">
        <v>-39407</v>
      </c>
      <c r="H765" s="417">
        <v>-180223</v>
      </c>
      <c r="I765" s="417">
        <v>0</v>
      </c>
      <c r="J765" s="378">
        <v>2.6879999999999997E-4</v>
      </c>
      <c r="K765" s="378"/>
      <c r="L765" s="417">
        <v>65804</v>
      </c>
      <c r="M765" s="417">
        <v>45447</v>
      </c>
      <c r="N765" s="417">
        <v>19894</v>
      </c>
      <c r="O765" s="417">
        <v>0</v>
      </c>
      <c r="P765" s="417">
        <v>0</v>
      </c>
      <c r="Q765" s="378">
        <v>2.6879999999999997E-4</v>
      </c>
      <c r="R765" s="378"/>
      <c r="S765" s="417">
        <v>-135037</v>
      </c>
      <c r="T765" s="417">
        <v>-133474</v>
      </c>
      <c r="U765" s="417">
        <v>-140220</v>
      </c>
      <c r="V765" s="417">
        <v>-180223</v>
      </c>
      <c r="W765" s="417">
        <v>0</v>
      </c>
      <c r="X765" s="378">
        <v>2.6879999999999997E-4</v>
      </c>
      <c r="Z765" s="417">
        <v>107682</v>
      </c>
      <c r="AA765" s="417">
        <v>75652</v>
      </c>
      <c r="AB765" s="417">
        <v>75652</v>
      </c>
      <c r="AC765" s="417">
        <v>0</v>
      </c>
      <c r="AD765" s="417">
        <v>0</v>
      </c>
      <c r="AE765" s="378">
        <v>2.6879999999999997E-4</v>
      </c>
      <c r="AF765" s="378"/>
      <c r="AG765" s="417">
        <v>15011</v>
      </c>
      <c r="AH765" s="417">
        <v>15013</v>
      </c>
      <c r="AI765" s="417">
        <v>5267</v>
      </c>
      <c r="AJ765" s="417">
        <v>0</v>
      </c>
      <c r="AK765" s="417">
        <v>0</v>
      </c>
      <c r="AL765" s="378">
        <v>2.6879999999999997E-4</v>
      </c>
      <c r="AM765" s="378"/>
      <c r="AN765" s="417">
        <v>-2707</v>
      </c>
      <c r="AO765" s="417">
        <v>0</v>
      </c>
      <c r="AP765" s="417">
        <v>0</v>
      </c>
      <c r="AQ765" s="417">
        <v>0</v>
      </c>
      <c r="AR765" s="417">
        <v>0</v>
      </c>
    </row>
    <row r="766" spans="1:44">
      <c r="A766" s="377">
        <v>98141</v>
      </c>
      <c r="B766" t="s">
        <v>1463</v>
      </c>
      <c r="C766" s="378">
        <v>2.8400000000000002E-4</v>
      </c>
      <c r="D766" s="378"/>
      <c r="E766" s="417">
        <v>24687</v>
      </c>
      <c r="F766" s="417">
        <v>-26196</v>
      </c>
      <c r="G766" s="417">
        <v>-54882</v>
      </c>
      <c r="H766" s="417">
        <v>-190415</v>
      </c>
      <c r="I766" s="417">
        <v>0</v>
      </c>
      <c r="J766" s="378">
        <v>2.8400000000000002E-4</v>
      </c>
      <c r="K766" s="378"/>
      <c r="L766" s="417">
        <v>69525</v>
      </c>
      <c r="M766" s="417">
        <v>48016</v>
      </c>
      <c r="N766" s="417">
        <v>21019</v>
      </c>
      <c r="O766" s="417">
        <v>0</v>
      </c>
      <c r="P766" s="417">
        <v>0</v>
      </c>
      <c r="Q766" s="378">
        <v>2.8400000000000002E-4</v>
      </c>
      <c r="R766" s="378"/>
      <c r="S766" s="417">
        <v>-142673</v>
      </c>
      <c r="T766" s="417">
        <v>-141022</v>
      </c>
      <c r="U766" s="417">
        <v>-148149</v>
      </c>
      <c r="V766" s="417">
        <v>-190415</v>
      </c>
      <c r="W766" s="417">
        <v>0</v>
      </c>
      <c r="X766" s="378">
        <v>2.8400000000000002E-4</v>
      </c>
      <c r="Z766" s="417">
        <v>113771</v>
      </c>
      <c r="AA766" s="417">
        <v>79930</v>
      </c>
      <c r="AB766" s="417">
        <v>79930</v>
      </c>
      <c r="AC766" s="417">
        <v>0</v>
      </c>
      <c r="AD766" s="417">
        <v>0</v>
      </c>
      <c r="AE766" s="378">
        <v>2.8400000000000002E-4</v>
      </c>
      <c r="AF766" s="378"/>
      <c r="AG766" s="417">
        <v>0</v>
      </c>
      <c r="AH766" s="417">
        <v>0</v>
      </c>
      <c r="AI766" s="417">
        <v>0</v>
      </c>
      <c r="AJ766" s="417">
        <v>0</v>
      </c>
      <c r="AK766" s="417">
        <v>0</v>
      </c>
      <c r="AL766" s="378">
        <v>2.8400000000000002E-4</v>
      </c>
      <c r="AM766" s="378"/>
      <c r="AN766" s="417">
        <v>-15936</v>
      </c>
      <c r="AO766" s="417">
        <v>-13120</v>
      </c>
      <c r="AP766" s="417">
        <v>-7682</v>
      </c>
      <c r="AQ766" s="417">
        <v>0</v>
      </c>
      <c r="AR766" s="417">
        <v>0</v>
      </c>
    </row>
    <row r="767" spans="1:44">
      <c r="A767" s="377">
        <v>98147</v>
      </c>
      <c r="B767" t="s">
        <v>1464</v>
      </c>
      <c r="C767" s="378">
        <v>1.13E-5</v>
      </c>
      <c r="D767" s="378"/>
      <c r="E767" s="417">
        <v>6860</v>
      </c>
      <c r="F767" s="417">
        <v>3962</v>
      </c>
      <c r="G767" s="417">
        <v>241</v>
      </c>
      <c r="H767" s="417">
        <v>-7576</v>
      </c>
      <c r="I767" s="417">
        <v>0</v>
      </c>
      <c r="J767" s="378">
        <v>1.13E-5</v>
      </c>
      <c r="K767" s="378"/>
      <c r="L767" s="417">
        <v>2766</v>
      </c>
      <c r="M767" s="417">
        <v>1911</v>
      </c>
      <c r="N767" s="417">
        <v>836</v>
      </c>
      <c r="O767" s="417">
        <v>0</v>
      </c>
      <c r="P767" s="417">
        <v>0</v>
      </c>
      <c r="Q767" s="378">
        <v>1.13E-5</v>
      </c>
      <c r="R767" s="378"/>
      <c r="S767" s="417">
        <v>-5677</v>
      </c>
      <c r="T767" s="417">
        <v>-5611</v>
      </c>
      <c r="U767" s="417">
        <v>-5895</v>
      </c>
      <c r="V767" s="417">
        <v>-7576</v>
      </c>
      <c r="W767" s="417">
        <v>0</v>
      </c>
      <c r="X767" s="378">
        <v>1.13E-5</v>
      </c>
      <c r="Z767" s="417">
        <v>4527</v>
      </c>
      <c r="AA767" s="417">
        <v>3180</v>
      </c>
      <c r="AB767" s="417">
        <v>3180</v>
      </c>
      <c r="AC767" s="417">
        <v>0</v>
      </c>
      <c r="AD767" s="417">
        <v>0</v>
      </c>
      <c r="AE767" s="378">
        <v>1.13E-5</v>
      </c>
      <c r="AF767" s="378"/>
      <c r="AG767" s="417">
        <v>5244</v>
      </c>
      <c r="AH767" s="417">
        <v>4482</v>
      </c>
      <c r="AI767" s="417">
        <v>2120</v>
      </c>
      <c r="AJ767" s="417">
        <v>0</v>
      </c>
      <c r="AK767" s="417">
        <v>0</v>
      </c>
      <c r="AL767" s="378">
        <v>1.13E-5</v>
      </c>
      <c r="AM767" s="378"/>
      <c r="AN767" s="417">
        <v>0</v>
      </c>
      <c r="AO767" s="417">
        <v>0</v>
      </c>
      <c r="AP767" s="417">
        <v>0</v>
      </c>
      <c r="AQ767" s="417">
        <v>0</v>
      </c>
      <c r="AR767" s="417">
        <v>0</v>
      </c>
    </row>
    <row r="768" spans="1:44">
      <c r="A768" s="377">
        <v>98161</v>
      </c>
      <c r="B768" t="s">
        <v>1465</v>
      </c>
      <c r="C768" s="378">
        <v>5.5999999999999997E-6</v>
      </c>
      <c r="D768" s="378"/>
      <c r="E768" s="417">
        <v>2798</v>
      </c>
      <c r="F768" s="417">
        <v>1431</v>
      </c>
      <c r="G768" s="417">
        <v>-203</v>
      </c>
      <c r="H768" s="417">
        <v>-3755</v>
      </c>
      <c r="I768" s="417">
        <v>0</v>
      </c>
      <c r="J768" s="378">
        <v>5.5999999999999997E-6</v>
      </c>
      <c r="K768" s="378"/>
      <c r="L768" s="417">
        <v>1371</v>
      </c>
      <c r="M768" s="417">
        <v>947</v>
      </c>
      <c r="N768" s="417">
        <v>414</v>
      </c>
      <c r="O768" s="417">
        <v>0</v>
      </c>
      <c r="P768" s="417">
        <v>0</v>
      </c>
      <c r="Q768" s="378">
        <v>5.5999999999999997E-6</v>
      </c>
      <c r="R768" s="378"/>
      <c r="S768" s="417">
        <v>-2813</v>
      </c>
      <c r="T768" s="417">
        <v>-2781</v>
      </c>
      <c r="U768" s="417">
        <v>-2921</v>
      </c>
      <c r="V768" s="417">
        <v>-3755</v>
      </c>
      <c r="W768" s="417">
        <v>0</v>
      </c>
      <c r="X768" s="378">
        <v>5.5999999999999997E-6</v>
      </c>
      <c r="Z768" s="417">
        <v>2243</v>
      </c>
      <c r="AA768" s="417">
        <v>1576</v>
      </c>
      <c r="AB768" s="417">
        <v>1576</v>
      </c>
      <c r="AC768" s="417">
        <v>0</v>
      </c>
      <c r="AD768" s="417">
        <v>0</v>
      </c>
      <c r="AE768" s="378">
        <v>5.5999999999999997E-6</v>
      </c>
      <c r="AF768" s="378"/>
      <c r="AG768" s="417">
        <v>1997</v>
      </c>
      <c r="AH768" s="417">
        <v>1689</v>
      </c>
      <c r="AI768" s="417">
        <v>728</v>
      </c>
      <c r="AJ768" s="417">
        <v>0</v>
      </c>
      <c r="AK768" s="417">
        <v>0</v>
      </c>
      <c r="AL768" s="378">
        <v>5.5999999999999997E-6</v>
      </c>
      <c r="AM768" s="378"/>
      <c r="AN768" s="417">
        <v>0</v>
      </c>
      <c r="AO768" s="417">
        <v>0</v>
      </c>
      <c r="AP768" s="417">
        <v>0</v>
      </c>
      <c r="AQ768" s="417">
        <v>0</v>
      </c>
      <c r="AR768" s="417">
        <v>0</v>
      </c>
    </row>
    <row r="769" spans="1:44">
      <c r="A769" s="377">
        <v>98201</v>
      </c>
      <c r="B769" t="s">
        <v>1466</v>
      </c>
      <c r="C769" s="378">
        <v>2.9794999999999999E-3</v>
      </c>
      <c r="D769" s="378"/>
      <c r="E769" s="417">
        <v>237496</v>
      </c>
      <c r="F769" s="417">
        <v>-317858</v>
      </c>
      <c r="G769" s="417">
        <v>-620613</v>
      </c>
      <c r="H769" s="417">
        <v>-1997677</v>
      </c>
      <c r="I769" s="417">
        <v>0</v>
      </c>
      <c r="J769" s="378">
        <v>2.9794999999999999E-3</v>
      </c>
      <c r="K769" s="378"/>
      <c r="L769" s="417">
        <v>729405</v>
      </c>
      <c r="M769" s="417">
        <v>503750</v>
      </c>
      <c r="N769" s="417">
        <v>220519</v>
      </c>
      <c r="O769" s="417">
        <v>0</v>
      </c>
      <c r="P769" s="417">
        <v>0</v>
      </c>
      <c r="Q769" s="378">
        <v>2.9794999999999999E-3</v>
      </c>
      <c r="R769" s="378"/>
      <c r="S769" s="417">
        <v>-1496805</v>
      </c>
      <c r="T769" s="417">
        <v>-1479486</v>
      </c>
      <c r="U769" s="417">
        <v>-1554259</v>
      </c>
      <c r="V769" s="417">
        <v>-1997677</v>
      </c>
      <c r="W769" s="417">
        <v>0</v>
      </c>
      <c r="X769" s="378">
        <v>2.9794999999999999E-3</v>
      </c>
      <c r="Z769" s="417">
        <v>1193594</v>
      </c>
      <c r="AA769" s="417">
        <v>838565</v>
      </c>
      <c r="AB769" s="417">
        <v>838559</v>
      </c>
      <c r="AC769" s="417">
        <v>0</v>
      </c>
      <c r="AD769" s="417">
        <v>0</v>
      </c>
      <c r="AE769" s="378">
        <v>2.9794999999999999E-3</v>
      </c>
      <c r="AF769" s="378"/>
      <c r="AG769" s="417">
        <v>24557</v>
      </c>
      <c r="AH769" s="417">
        <v>24557</v>
      </c>
      <c r="AI769" s="417">
        <v>0</v>
      </c>
      <c r="AJ769" s="417">
        <v>0</v>
      </c>
      <c r="AK769" s="417">
        <v>0</v>
      </c>
      <c r="AL769" s="378">
        <v>2.9794999999999999E-3</v>
      </c>
      <c r="AM769" s="378"/>
      <c r="AN769" s="417">
        <v>-213255</v>
      </c>
      <c r="AO769" s="417">
        <v>-205244</v>
      </c>
      <c r="AP769" s="417">
        <v>-125432</v>
      </c>
      <c r="AQ769" s="417">
        <v>0</v>
      </c>
      <c r="AR769" s="417">
        <v>0</v>
      </c>
    </row>
    <row r="770" spans="1:44">
      <c r="A770" s="377">
        <v>98205</v>
      </c>
      <c r="B770" t="s">
        <v>1467</v>
      </c>
      <c r="C770" s="378">
        <v>3.9700000000000003E-5</v>
      </c>
      <c r="D770" s="378"/>
      <c r="E770" s="417">
        <v>7177</v>
      </c>
      <c r="F770" s="417">
        <v>787</v>
      </c>
      <c r="G770" s="417">
        <v>293</v>
      </c>
      <c r="H770" s="417">
        <v>-26618</v>
      </c>
      <c r="I770" s="417">
        <v>0</v>
      </c>
      <c r="J770" s="378">
        <v>3.9700000000000003E-5</v>
      </c>
      <c r="K770" s="378"/>
      <c r="L770" s="417">
        <v>9719</v>
      </c>
      <c r="M770" s="417">
        <v>6712</v>
      </c>
      <c r="N770" s="417">
        <v>2938</v>
      </c>
      <c r="O770" s="417">
        <v>0</v>
      </c>
      <c r="P770" s="417">
        <v>0</v>
      </c>
      <c r="Q770" s="378">
        <v>3.9700000000000003E-5</v>
      </c>
      <c r="R770" s="378"/>
      <c r="S770" s="417">
        <v>-19944</v>
      </c>
      <c r="T770" s="417">
        <v>-19713</v>
      </c>
      <c r="U770" s="417">
        <v>-20710</v>
      </c>
      <c r="V770" s="417">
        <v>-26618</v>
      </c>
      <c r="W770" s="417">
        <v>0</v>
      </c>
      <c r="X770" s="378">
        <v>3.9700000000000003E-5</v>
      </c>
      <c r="Z770" s="417">
        <v>15904</v>
      </c>
      <c r="AA770" s="417">
        <v>11173</v>
      </c>
      <c r="AB770" s="417">
        <v>11173</v>
      </c>
      <c r="AC770" s="417">
        <v>0</v>
      </c>
      <c r="AD770" s="417">
        <v>0</v>
      </c>
      <c r="AE770" s="378">
        <v>3.9700000000000003E-5</v>
      </c>
      <c r="AF770" s="378"/>
      <c r="AG770" s="417">
        <v>7797</v>
      </c>
      <c r="AH770" s="417">
        <v>7798</v>
      </c>
      <c r="AI770" s="417">
        <v>6892</v>
      </c>
      <c r="AJ770" s="417">
        <v>0</v>
      </c>
      <c r="AK770" s="417">
        <v>0</v>
      </c>
      <c r="AL770" s="378">
        <v>3.9700000000000003E-5</v>
      </c>
      <c r="AM770" s="378"/>
      <c r="AN770" s="417">
        <v>-6299</v>
      </c>
      <c r="AO770" s="417">
        <v>-5183</v>
      </c>
      <c r="AP770" s="417">
        <v>0</v>
      </c>
      <c r="AQ770" s="417">
        <v>0</v>
      </c>
      <c r="AR770" s="417">
        <v>0</v>
      </c>
    </row>
    <row r="771" spans="1:44">
      <c r="A771" s="377">
        <v>98211</v>
      </c>
      <c r="B771" t="s">
        <v>1468</v>
      </c>
      <c r="C771" s="378">
        <v>8.5130000000000004E-4</v>
      </c>
      <c r="D771" s="378"/>
      <c r="E771" s="417">
        <v>75826</v>
      </c>
      <c r="F771" s="417">
        <v>-78742</v>
      </c>
      <c r="G771" s="417">
        <v>-168537</v>
      </c>
      <c r="H771" s="417">
        <v>-570775</v>
      </c>
      <c r="I771" s="417">
        <v>0</v>
      </c>
      <c r="J771" s="378">
        <v>8.5130000000000004E-4</v>
      </c>
      <c r="K771" s="378"/>
      <c r="L771" s="417">
        <v>208405</v>
      </c>
      <c r="M771" s="417">
        <v>143931</v>
      </c>
      <c r="N771" s="417">
        <v>63006</v>
      </c>
      <c r="O771" s="417">
        <v>0</v>
      </c>
      <c r="P771" s="417">
        <v>0</v>
      </c>
      <c r="Q771" s="378">
        <v>8.5130000000000004E-4</v>
      </c>
      <c r="R771" s="378"/>
      <c r="S771" s="417">
        <v>-427666</v>
      </c>
      <c r="T771" s="417">
        <v>-422717</v>
      </c>
      <c r="U771" s="417">
        <v>-444081</v>
      </c>
      <c r="V771" s="417">
        <v>-570775</v>
      </c>
      <c r="W771" s="417">
        <v>0</v>
      </c>
      <c r="X771" s="378">
        <v>8.5130000000000004E-4</v>
      </c>
      <c r="Z771" s="417">
        <v>341032</v>
      </c>
      <c r="AA771" s="417">
        <v>239594</v>
      </c>
      <c r="AB771" s="417">
        <v>239592</v>
      </c>
      <c r="AC771" s="417">
        <v>0</v>
      </c>
      <c r="AD771" s="417">
        <v>0</v>
      </c>
      <c r="AE771" s="378">
        <v>8.5130000000000004E-4</v>
      </c>
      <c r="AF771" s="378"/>
      <c r="AG771" s="417">
        <v>6305</v>
      </c>
      <c r="AH771" s="417">
        <v>6305</v>
      </c>
      <c r="AI771" s="417">
        <v>0</v>
      </c>
      <c r="AJ771" s="417">
        <v>0</v>
      </c>
      <c r="AK771" s="417">
        <v>0</v>
      </c>
      <c r="AL771" s="378">
        <v>8.5130000000000004E-4</v>
      </c>
      <c r="AM771" s="378"/>
      <c r="AN771" s="417">
        <v>-52250</v>
      </c>
      <c r="AO771" s="417">
        <v>-45855</v>
      </c>
      <c r="AP771" s="417">
        <v>-27054</v>
      </c>
      <c r="AQ771" s="417">
        <v>0</v>
      </c>
      <c r="AR771" s="417">
        <v>0</v>
      </c>
    </row>
    <row r="772" spans="1:44">
      <c r="A772" s="377">
        <v>98218</v>
      </c>
      <c r="B772" t="s">
        <v>1469</v>
      </c>
      <c r="C772" s="378">
        <v>1.91E-5</v>
      </c>
      <c r="D772" s="378"/>
      <c r="E772" s="417">
        <v>4397</v>
      </c>
      <c r="F772" s="417">
        <v>186</v>
      </c>
      <c r="G772" s="417">
        <v>-2515</v>
      </c>
      <c r="H772" s="417">
        <v>-12806</v>
      </c>
      <c r="I772" s="417">
        <v>0</v>
      </c>
      <c r="J772" s="378">
        <v>1.91E-5</v>
      </c>
      <c r="K772" s="378"/>
      <c r="L772" s="417">
        <v>4676</v>
      </c>
      <c r="M772" s="417">
        <v>3229</v>
      </c>
      <c r="N772" s="417">
        <v>1414</v>
      </c>
      <c r="O772" s="417">
        <v>0</v>
      </c>
      <c r="P772" s="417">
        <v>0</v>
      </c>
      <c r="Q772" s="378">
        <v>1.91E-5</v>
      </c>
      <c r="R772" s="378"/>
      <c r="S772" s="417">
        <v>-9595</v>
      </c>
      <c r="T772" s="417">
        <v>-9484</v>
      </c>
      <c r="U772" s="417">
        <v>-9964</v>
      </c>
      <c r="V772" s="417">
        <v>-12806</v>
      </c>
      <c r="W772" s="417">
        <v>0</v>
      </c>
      <c r="X772" s="378">
        <v>1.91E-5</v>
      </c>
      <c r="Z772" s="417">
        <v>7651</v>
      </c>
      <c r="AA772" s="417">
        <v>5376</v>
      </c>
      <c r="AB772" s="417">
        <v>5376</v>
      </c>
      <c r="AC772" s="417">
        <v>0</v>
      </c>
      <c r="AD772" s="417">
        <v>0</v>
      </c>
      <c r="AE772" s="378">
        <v>1.91E-5</v>
      </c>
      <c r="AF772" s="378"/>
      <c r="AG772" s="417">
        <v>1799</v>
      </c>
      <c r="AH772" s="417">
        <v>1199</v>
      </c>
      <c r="AI772" s="417">
        <v>659</v>
      </c>
      <c r="AJ772" s="417">
        <v>0</v>
      </c>
      <c r="AK772" s="417">
        <v>0</v>
      </c>
      <c r="AL772" s="378">
        <v>1.91E-5</v>
      </c>
      <c r="AM772" s="378"/>
      <c r="AN772" s="417">
        <v>-134</v>
      </c>
      <c r="AO772" s="417">
        <v>-134</v>
      </c>
      <c r="AP772" s="417">
        <v>0</v>
      </c>
      <c r="AQ772" s="417">
        <v>0</v>
      </c>
      <c r="AR772" s="417">
        <v>0</v>
      </c>
    </row>
    <row r="773" spans="1:44">
      <c r="A773" s="377">
        <v>98221</v>
      </c>
      <c r="B773" t="s">
        <v>1470</v>
      </c>
      <c r="C773" s="378">
        <v>2.44E-5</v>
      </c>
      <c r="D773" s="378"/>
      <c r="E773" s="417">
        <v>2655</v>
      </c>
      <c r="F773" s="417">
        <v>-2299</v>
      </c>
      <c r="G773" s="417">
        <v>-5058</v>
      </c>
      <c r="H773" s="417">
        <v>-16360</v>
      </c>
      <c r="I773" s="417">
        <v>0</v>
      </c>
      <c r="J773" s="378">
        <v>2.44E-5</v>
      </c>
      <c r="K773" s="378"/>
      <c r="L773" s="417">
        <v>5973</v>
      </c>
      <c r="M773" s="417">
        <v>4125</v>
      </c>
      <c r="N773" s="417">
        <v>1806</v>
      </c>
      <c r="O773" s="417">
        <v>0</v>
      </c>
      <c r="P773" s="417">
        <v>0</v>
      </c>
      <c r="Q773" s="378">
        <v>2.44E-5</v>
      </c>
      <c r="R773" s="378"/>
      <c r="S773" s="417">
        <v>-12258</v>
      </c>
      <c r="T773" s="417">
        <v>-12116</v>
      </c>
      <c r="U773" s="417">
        <v>-12728</v>
      </c>
      <c r="V773" s="417">
        <v>-16360</v>
      </c>
      <c r="W773" s="417">
        <v>0</v>
      </c>
      <c r="X773" s="378">
        <v>2.44E-5</v>
      </c>
      <c r="Z773" s="417">
        <v>9775</v>
      </c>
      <c r="AA773" s="417">
        <v>6867</v>
      </c>
      <c r="AB773" s="417">
        <v>6867</v>
      </c>
      <c r="AC773" s="417">
        <v>0</v>
      </c>
      <c r="AD773" s="417">
        <v>0</v>
      </c>
      <c r="AE773" s="378">
        <v>2.44E-5</v>
      </c>
      <c r="AF773" s="378"/>
      <c r="AG773" s="417">
        <v>1816</v>
      </c>
      <c r="AH773" s="417">
        <v>1477</v>
      </c>
      <c r="AI773" s="417">
        <v>0</v>
      </c>
      <c r="AJ773" s="417">
        <v>0</v>
      </c>
      <c r="AK773" s="417">
        <v>0</v>
      </c>
      <c r="AL773" s="378">
        <v>2.44E-5</v>
      </c>
      <c r="AM773" s="378"/>
      <c r="AN773" s="417">
        <v>-2651</v>
      </c>
      <c r="AO773" s="417">
        <v>-2652</v>
      </c>
      <c r="AP773" s="417">
        <v>-1003</v>
      </c>
      <c r="AQ773" s="417">
        <v>0</v>
      </c>
      <c r="AR773" s="417">
        <v>0</v>
      </c>
    </row>
    <row r="774" spans="1:44">
      <c r="A774" s="377">
        <v>98231</v>
      </c>
      <c r="B774" t="s">
        <v>1471</v>
      </c>
      <c r="C774" s="378">
        <v>4.3099999999999997E-5</v>
      </c>
      <c r="D774" s="378"/>
      <c r="E774" s="417">
        <v>13851</v>
      </c>
      <c r="F774" s="417">
        <v>3956</v>
      </c>
      <c r="G774" s="417">
        <v>-699</v>
      </c>
      <c r="H774" s="417">
        <v>-28897</v>
      </c>
      <c r="I774" s="417">
        <v>0</v>
      </c>
      <c r="J774" s="378">
        <v>4.3099999999999997E-5</v>
      </c>
      <c r="K774" s="378"/>
      <c r="L774" s="417">
        <v>10551</v>
      </c>
      <c r="M774" s="417">
        <v>7287</v>
      </c>
      <c r="N774" s="417">
        <v>3190</v>
      </c>
      <c r="O774" s="417">
        <v>0</v>
      </c>
      <c r="P774" s="417">
        <v>0</v>
      </c>
      <c r="Q774" s="378">
        <v>4.3099999999999997E-5</v>
      </c>
      <c r="R774" s="378"/>
      <c r="S774" s="417">
        <v>-21652</v>
      </c>
      <c r="T774" s="417">
        <v>-21402</v>
      </c>
      <c r="U774" s="417">
        <v>-22483</v>
      </c>
      <c r="V774" s="417">
        <v>-28897</v>
      </c>
      <c r="W774" s="417">
        <v>0</v>
      </c>
      <c r="X774" s="378">
        <v>4.3099999999999997E-5</v>
      </c>
      <c r="Z774" s="417">
        <v>17266</v>
      </c>
      <c r="AA774" s="417">
        <v>12130</v>
      </c>
      <c r="AB774" s="417">
        <v>12130</v>
      </c>
      <c r="AC774" s="417">
        <v>0</v>
      </c>
      <c r="AD774" s="417">
        <v>0</v>
      </c>
      <c r="AE774" s="378">
        <v>4.3099999999999997E-5</v>
      </c>
      <c r="AF774" s="378"/>
      <c r="AG774" s="417">
        <v>8417</v>
      </c>
      <c r="AH774" s="417">
        <v>6671</v>
      </c>
      <c r="AI774" s="417">
        <v>6464</v>
      </c>
      <c r="AJ774" s="417">
        <v>0</v>
      </c>
      <c r="AK774" s="417">
        <v>0</v>
      </c>
      <c r="AL774" s="378">
        <v>4.3099999999999997E-5</v>
      </c>
      <c r="AM774" s="378"/>
      <c r="AN774" s="417">
        <v>-731</v>
      </c>
      <c r="AO774" s="417">
        <v>-730</v>
      </c>
      <c r="AP774" s="417">
        <v>0</v>
      </c>
      <c r="AQ774" s="417">
        <v>0</v>
      </c>
      <c r="AR774" s="417">
        <v>0</v>
      </c>
    </row>
    <row r="775" spans="1:44">
      <c r="A775" s="377">
        <v>98237</v>
      </c>
      <c r="B775" t="s">
        <v>1472</v>
      </c>
      <c r="C775" s="378">
        <v>6.4999999999999996E-6</v>
      </c>
      <c r="D775" s="378"/>
      <c r="E775" s="417">
        <v>1543</v>
      </c>
      <c r="F775" s="417">
        <v>152</v>
      </c>
      <c r="G775" s="417">
        <v>-896</v>
      </c>
      <c r="H775" s="417">
        <v>-4358</v>
      </c>
      <c r="I775" s="417">
        <v>0</v>
      </c>
      <c r="J775" s="378">
        <v>6.4999999999999996E-6</v>
      </c>
      <c r="K775" s="378"/>
      <c r="L775" s="417">
        <v>1591</v>
      </c>
      <c r="M775" s="417">
        <v>1099</v>
      </c>
      <c r="N775" s="417">
        <v>481</v>
      </c>
      <c r="O775" s="417">
        <v>0</v>
      </c>
      <c r="P775" s="417">
        <v>0</v>
      </c>
      <c r="Q775" s="378">
        <v>6.4999999999999996E-6</v>
      </c>
      <c r="R775" s="378"/>
      <c r="S775" s="417">
        <v>-3265</v>
      </c>
      <c r="T775" s="417">
        <v>-3228</v>
      </c>
      <c r="U775" s="417">
        <v>-3391</v>
      </c>
      <c r="V775" s="417">
        <v>-4358</v>
      </c>
      <c r="W775" s="417">
        <v>0</v>
      </c>
      <c r="X775" s="378">
        <v>6.4999999999999996E-6</v>
      </c>
      <c r="Z775" s="417">
        <v>2604</v>
      </c>
      <c r="AA775" s="417">
        <v>1829</v>
      </c>
      <c r="AB775" s="417">
        <v>1829</v>
      </c>
      <c r="AC775" s="417">
        <v>0</v>
      </c>
      <c r="AD775" s="417">
        <v>0</v>
      </c>
      <c r="AE775" s="378">
        <v>6.4999999999999996E-6</v>
      </c>
      <c r="AF775" s="378"/>
      <c r="AG775" s="417">
        <v>653</v>
      </c>
      <c r="AH775" s="417">
        <v>491</v>
      </c>
      <c r="AI775" s="417">
        <v>185</v>
      </c>
      <c r="AJ775" s="417">
        <v>0</v>
      </c>
      <c r="AK775" s="417">
        <v>0</v>
      </c>
      <c r="AL775" s="378">
        <v>6.4999999999999996E-6</v>
      </c>
      <c r="AM775" s="378"/>
      <c r="AN775" s="417">
        <v>-40</v>
      </c>
      <c r="AO775" s="417">
        <v>-39</v>
      </c>
      <c r="AP775" s="417">
        <v>0</v>
      </c>
      <c r="AQ775" s="417">
        <v>0</v>
      </c>
      <c r="AR775" s="417">
        <v>0</v>
      </c>
    </row>
    <row r="776" spans="1:44">
      <c r="A776" s="377">
        <v>98241</v>
      </c>
      <c r="B776" t="s">
        <v>1473</v>
      </c>
      <c r="C776" s="378">
        <v>6.0000000000000002E-6</v>
      </c>
      <c r="D776" s="378"/>
      <c r="E776" s="417">
        <v>-2648</v>
      </c>
      <c r="F776" s="417">
        <v>-3566</v>
      </c>
      <c r="G776" s="417">
        <v>-2408</v>
      </c>
      <c r="H776" s="417">
        <v>-4023</v>
      </c>
      <c r="I776" s="417">
        <v>0</v>
      </c>
      <c r="J776" s="378">
        <v>6.0000000000000002E-6</v>
      </c>
      <c r="K776" s="378"/>
      <c r="L776" s="417">
        <v>1469</v>
      </c>
      <c r="M776" s="417">
        <v>1014</v>
      </c>
      <c r="N776" s="417">
        <v>444</v>
      </c>
      <c r="O776" s="417">
        <v>0</v>
      </c>
      <c r="P776" s="417">
        <v>0</v>
      </c>
      <c r="Q776" s="378">
        <v>6.0000000000000002E-6</v>
      </c>
      <c r="R776" s="378"/>
      <c r="S776" s="417">
        <v>-3014</v>
      </c>
      <c r="T776" s="417">
        <v>-2979</v>
      </c>
      <c r="U776" s="417">
        <v>-3130</v>
      </c>
      <c r="V776" s="417">
        <v>-4023</v>
      </c>
      <c r="W776" s="417">
        <v>0</v>
      </c>
      <c r="X776" s="378">
        <v>6.0000000000000002E-6</v>
      </c>
      <c r="Z776" s="417">
        <v>2404</v>
      </c>
      <c r="AA776" s="417">
        <v>1689</v>
      </c>
      <c r="AB776" s="417">
        <v>1689</v>
      </c>
      <c r="AC776" s="417">
        <v>0</v>
      </c>
      <c r="AD776" s="417">
        <v>0</v>
      </c>
      <c r="AE776" s="378">
        <v>6.0000000000000002E-6</v>
      </c>
      <c r="AF776" s="378"/>
      <c r="AG776" s="417">
        <v>1576</v>
      </c>
      <c r="AH776" s="417">
        <v>1575</v>
      </c>
      <c r="AI776" s="417">
        <v>0</v>
      </c>
      <c r="AJ776" s="417">
        <v>0</v>
      </c>
      <c r="AK776" s="417">
        <v>0</v>
      </c>
      <c r="AL776" s="378">
        <v>6.0000000000000002E-6</v>
      </c>
      <c r="AM776" s="378"/>
      <c r="AN776" s="417">
        <v>-5083</v>
      </c>
      <c r="AO776" s="417">
        <v>-4865</v>
      </c>
      <c r="AP776" s="417">
        <v>-1411</v>
      </c>
      <c r="AQ776" s="417">
        <v>0</v>
      </c>
      <c r="AR776" s="417">
        <v>0</v>
      </c>
    </row>
    <row r="777" spans="1:44">
      <c r="A777" s="377">
        <v>98251</v>
      </c>
      <c r="B777" t="s">
        <v>1474</v>
      </c>
      <c r="C777" s="378">
        <v>2.6000000000000001E-6</v>
      </c>
      <c r="D777" s="378"/>
      <c r="E777" s="417">
        <v>1770</v>
      </c>
      <c r="F777" s="417">
        <v>1118</v>
      </c>
      <c r="G777" s="417">
        <v>190</v>
      </c>
      <c r="H777" s="417">
        <v>-1743</v>
      </c>
      <c r="I777" s="417">
        <v>0</v>
      </c>
      <c r="J777" s="378">
        <v>2.6000000000000001E-6</v>
      </c>
      <c r="K777" s="378"/>
      <c r="L777" s="417">
        <v>637</v>
      </c>
      <c r="M777" s="417">
        <v>440</v>
      </c>
      <c r="N777" s="417">
        <v>192</v>
      </c>
      <c r="O777" s="417">
        <v>0</v>
      </c>
      <c r="P777" s="417">
        <v>0</v>
      </c>
      <c r="Q777" s="378">
        <v>2.6000000000000001E-6</v>
      </c>
      <c r="R777" s="378"/>
      <c r="S777" s="417">
        <v>-1306</v>
      </c>
      <c r="T777" s="417">
        <v>-1291</v>
      </c>
      <c r="U777" s="417">
        <v>-1356</v>
      </c>
      <c r="V777" s="417">
        <v>-1743</v>
      </c>
      <c r="W777" s="417">
        <v>0</v>
      </c>
      <c r="X777" s="378">
        <v>2.6000000000000001E-6</v>
      </c>
      <c r="Z777" s="417">
        <v>1042</v>
      </c>
      <c r="AA777" s="417">
        <v>732</v>
      </c>
      <c r="AB777" s="417">
        <v>732</v>
      </c>
      <c r="AC777" s="417">
        <v>0</v>
      </c>
      <c r="AD777" s="417">
        <v>0</v>
      </c>
      <c r="AE777" s="378">
        <v>2.6000000000000001E-6</v>
      </c>
      <c r="AF777" s="378"/>
      <c r="AG777" s="417">
        <v>1397</v>
      </c>
      <c r="AH777" s="417">
        <v>1237</v>
      </c>
      <c r="AI777" s="417">
        <v>622</v>
      </c>
      <c r="AJ777" s="417">
        <v>0</v>
      </c>
      <c r="AK777" s="417">
        <v>0</v>
      </c>
      <c r="AL777" s="378">
        <v>2.6000000000000001E-6</v>
      </c>
      <c r="AM777" s="378"/>
      <c r="AN777" s="417">
        <v>0</v>
      </c>
      <c r="AO777" s="417">
        <v>0</v>
      </c>
      <c r="AP777" s="417">
        <v>0</v>
      </c>
      <c r="AQ777" s="417">
        <v>0</v>
      </c>
      <c r="AR777" s="417">
        <v>0</v>
      </c>
    </row>
    <row r="778" spans="1:44">
      <c r="A778" s="377">
        <v>98261</v>
      </c>
      <c r="B778" t="s">
        <v>1475</v>
      </c>
      <c r="C778" s="378">
        <v>3.4799999999999999E-5</v>
      </c>
      <c r="D778" s="378"/>
      <c r="E778" s="417">
        <v>6597</v>
      </c>
      <c r="F778" s="417">
        <v>-607</v>
      </c>
      <c r="G778" s="417">
        <v>-6053</v>
      </c>
      <c r="H778" s="417">
        <v>-23332</v>
      </c>
      <c r="I778" s="417">
        <v>0</v>
      </c>
      <c r="J778" s="378">
        <v>3.4799999999999999E-5</v>
      </c>
      <c r="K778" s="378"/>
      <c r="L778" s="417">
        <v>8519</v>
      </c>
      <c r="M778" s="417">
        <v>5884</v>
      </c>
      <c r="N778" s="417">
        <v>2576</v>
      </c>
      <c r="O778" s="417">
        <v>0</v>
      </c>
      <c r="P778" s="417">
        <v>0</v>
      </c>
      <c r="Q778" s="378">
        <v>3.4799999999999999E-5</v>
      </c>
      <c r="R778" s="378"/>
      <c r="S778" s="417">
        <v>-17482</v>
      </c>
      <c r="T778" s="417">
        <v>-17280</v>
      </c>
      <c r="U778" s="417">
        <v>-18153</v>
      </c>
      <c r="V778" s="417">
        <v>-23332</v>
      </c>
      <c r="W778" s="417">
        <v>0</v>
      </c>
      <c r="X778" s="378">
        <v>3.4799999999999999E-5</v>
      </c>
      <c r="Z778" s="417">
        <v>13941</v>
      </c>
      <c r="AA778" s="417">
        <v>9794</v>
      </c>
      <c r="AB778" s="417">
        <v>9794</v>
      </c>
      <c r="AC778" s="417">
        <v>0</v>
      </c>
      <c r="AD778" s="417">
        <v>0</v>
      </c>
      <c r="AE778" s="378">
        <v>3.4799999999999999E-5</v>
      </c>
      <c r="AF778" s="378"/>
      <c r="AG778" s="417">
        <v>1889</v>
      </c>
      <c r="AH778" s="417">
        <v>1265</v>
      </c>
      <c r="AI778" s="417">
        <v>0</v>
      </c>
      <c r="AJ778" s="417">
        <v>0</v>
      </c>
      <c r="AK778" s="417">
        <v>0</v>
      </c>
      <c r="AL778" s="378">
        <v>3.4799999999999999E-5</v>
      </c>
      <c r="AM778" s="378"/>
      <c r="AN778" s="417">
        <v>-270</v>
      </c>
      <c r="AO778" s="417">
        <v>-270</v>
      </c>
      <c r="AP778" s="417">
        <v>-270</v>
      </c>
      <c r="AQ778" s="417">
        <v>0</v>
      </c>
      <c r="AR778" s="417">
        <v>0</v>
      </c>
    </row>
    <row r="779" spans="1:44">
      <c r="A779" s="377">
        <v>98271</v>
      </c>
      <c r="B779" t="s">
        <v>1476</v>
      </c>
      <c r="C779" s="378">
        <v>7.9999999999999996E-6</v>
      </c>
      <c r="D779" s="378"/>
      <c r="E779" s="417">
        <v>2852</v>
      </c>
      <c r="F779" s="417">
        <v>1038</v>
      </c>
      <c r="G779" s="417">
        <v>-909</v>
      </c>
      <c r="H779" s="417">
        <v>-5364</v>
      </c>
      <c r="I779" s="417">
        <v>0</v>
      </c>
      <c r="J779" s="378">
        <v>7.9999999999999996E-6</v>
      </c>
      <c r="K779" s="378"/>
      <c r="L779" s="417">
        <v>1958</v>
      </c>
      <c r="M779" s="417">
        <v>1353</v>
      </c>
      <c r="N779" s="417">
        <v>592</v>
      </c>
      <c r="O779" s="417">
        <v>0</v>
      </c>
      <c r="P779" s="417">
        <v>0</v>
      </c>
      <c r="Q779" s="378">
        <v>7.9999999999999996E-6</v>
      </c>
      <c r="R779" s="378"/>
      <c r="S779" s="417">
        <v>-4019</v>
      </c>
      <c r="T779" s="417">
        <v>-3972</v>
      </c>
      <c r="U779" s="417">
        <v>-4173</v>
      </c>
      <c r="V779" s="417">
        <v>-5364</v>
      </c>
      <c r="W779" s="417">
        <v>0</v>
      </c>
      <c r="X779" s="378">
        <v>7.9999999999999996E-6</v>
      </c>
      <c r="Z779" s="417">
        <v>3205</v>
      </c>
      <c r="AA779" s="417">
        <v>2252</v>
      </c>
      <c r="AB779" s="417">
        <v>2252</v>
      </c>
      <c r="AC779" s="417">
        <v>0</v>
      </c>
      <c r="AD779" s="417">
        <v>0</v>
      </c>
      <c r="AE779" s="378">
        <v>7.9999999999999996E-6</v>
      </c>
      <c r="AF779" s="378"/>
      <c r="AG779" s="417">
        <v>1708</v>
      </c>
      <c r="AH779" s="417">
        <v>1405</v>
      </c>
      <c r="AI779" s="417">
        <v>420</v>
      </c>
      <c r="AJ779" s="417">
        <v>0</v>
      </c>
      <c r="AK779" s="417">
        <v>0</v>
      </c>
      <c r="AL779" s="378">
        <v>7.9999999999999996E-6</v>
      </c>
      <c r="AM779" s="378"/>
      <c r="AN779" s="417">
        <v>0</v>
      </c>
      <c r="AO779" s="417">
        <v>0</v>
      </c>
      <c r="AP779" s="417">
        <v>0</v>
      </c>
      <c r="AQ779" s="417">
        <v>0</v>
      </c>
      <c r="AR779" s="417">
        <v>0</v>
      </c>
    </row>
    <row r="780" spans="1:44">
      <c r="A780" s="377">
        <v>98301</v>
      </c>
      <c r="B780" t="s">
        <v>1477</v>
      </c>
      <c r="C780" s="378">
        <v>1.8951E-3</v>
      </c>
      <c r="D780" s="378"/>
      <c r="E780" s="417">
        <v>362327</v>
      </c>
      <c r="F780" s="417">
        <v>-3606</v>
      </c>
      <c r="G780" s="417">
        <v>-277462</v>
      </c>
      <c r="H780" s="417">
        <v>-1270615</v>
      </c>
      <c r="I780" s="417">
        <v>0</v>
      </c>
      <c r="J780" s="378">
        <v>1.8951E-3</v>
      </c>
      <c r="K780" s="378"/>
      <c r="L780" s="417">
        <v>463936</v>
      </c>
      <c r="M780" s="417">
        <v>320408</v>
      </c>
      <c r="N780" s="417">
        <v>140260</v>
      </c>
      <c r="O780" s="417">
        <v>0</v>
      </c>
      <c r="P780" s="417">
        <v>0</v>
      </c>
      <c r="Q780" s="378">
        <v>1.8951E-3</v>
      </c>
      <c r="R780" s="378"/>
      <c r="S780" s="417">
        <v>-952038</v>
      </c>
      <c r="T780" s="417">
        <v>-941021</v>
      </c>
      <c r="U780" s="417">
        <v>-988581</v>
      </c>
      <c r="V780" s="417">
        <v>-1270615</v>
      </c>
      <c r="W780" s="417">
        <v>0</v>
      </c>
      <c r="X780" s="378">
        <v>1.8951E-3</v>
      </c>
      <c r="Z780" s="417">
        <v>759181</v>
      </c>
      <c r="AA780" s="417">
        <v>533366</v>
      </c>
      <c r="AB780" s="417">
        <v>533363</v>
      </c>
      <c r="AC780" s="417">
        <v>0</v>
      </c>
      <c r="AD780" s="417">
        <v>0</v>
      </c>
      <c r="AE780" s="378">
        <v>1.8951E-3</v>
      </c>
      <c r="AF780" s="378"/>
      <c r="AG780" s="417">
        <v>91248</v>
      </c>
      <c r="AH780" s="417">
        <v>83641</v>
      </c>
      <c r="AI780" s="417">
        <v>37496</v>
      </c>
      <c r="AJ780" s="417">
        <v>0</v>
      </c>
      <c r="AK780" s="417">
        <v>0</v>
      </c>
      <c r="AL780" s="378">
        <v>1.8951E-3</v>
      </c>
      <c r="AM780" s="378"/>
      <c r="AN780" s="417">
        <v>0</v>
      </c>
      <c r="AO780" s="417">
        <v>0</v>
      </c>
      <c r="AP780" s="417">
        <v>0</v>
      </c>
      <c r="AQ780" s="417">
        <v>0</v>
      </c>
      <c r="AR780" s="417">
        <v>0</v>
      </c>
    </row>
    <row r="781" spans="1:44">
      <c r="A781" s="377">
        <v>98304</v>
      </c>
      <c r="B781" t="s">
        <v>1478</v>
      </c>
      <c r="C781" s="378">
        <v>2.1699999999999999E-5</v>
      </c>
      <c r="D781" s="378"/>
      <c r="E781" s="417">
        <v>7927</v>
      </c>
      <c r="F781" s="417">
        <v>3225</v>
      </c>
      <c r="G781" s="417">
        <v>-1531</v>
      </c>
      <c r="H781" s="417">
        <v>-14549</v>
      </c>
      <c r="I781" s="417">
        <v>0</v>
      </c>
      <c r="J781" s="378">
        <v>2.1699999999999999E-5</v>
      </c>
      <c r="K781" s="378"/>
      <c r="L781" s="417">
        <v>5312</v>
      </c>
      <c r="M781" s="417">
        <v>3669</v>
      </c>
      <c r="N781" s="417">
        <v>1606</v>
      </c>
      <c r="O781" s="417">
        <v>0</v>
      </c>
      <c r="P781" s="417">
        <v>0</v>
      </c>
      <c r="Q781" s="378">
        <v>2.1699999999999999E-5</v>
      </c>
      <c r="R781" s="378"/>
      <c r="S781" s="417">
        <v>-10901</v>
      </c>
      <c r="T781" s="417">
        <v>-10775</v>
      </c>
      <c r="U781" s="417">
        <v>-11320</v>
      </c>
      <c r="V781" s="417">
        <v>-14549</v>
      </c>
      <c r="W781" s="417">
        <v>0</v>
      </c>
      <c r="X781" s="378">
        <v>2.1699999999999999E-5</v>
      </c>
      <c r="Z781" s="417">
        <v>8693</v>
      </c>
      <c r="AA781" s="417">
        <v>6107</v>
      </c>
      <c r="AB781" s="417">
        <v>6107</v>
      </c>
      <c r="AC781" s="417">
        <v>0</v>
      </c>
      <c r="AD781" s="417">
        <v>0</v>
      </c>
      <c r="AE781" s="378">
        <v>2.1699999999999999E-5</v>
      </c>
      <c r="AF781" s="378"/>
      <c r="AG781" s="417">
        <v>4823</v>
      </c>
      <c r="AH781" s="417">
        <v>4224</v>
      </c>
      <c r="AI781" s="417">
        <v>2076</v>
      </c>
      <c r="AJ781" s="417">
        <v>0</v>
      </c>
      <c r="AK781" s="417">
        <v>0</v>
      </c>
      <c r="AL781" s="378">
        <v>2.1699999999999999E-5</v>
      </c>
      <c r="AM781" s="378"/>
      <c r="AN781" s="417">
        <v>0</v>
      </c>
      <c r="AO781" s="417">
        <v>0</v>
      </c>
      <c r="AP781" s="417">
        <v>0</v>
      </c>
      <c r="AQ781" s="417">
        <v>0</v>
      </c>
      <c r="AR781" s="417">
        <v>0</v>
      </c>
    </row>
    <row r="782" spans="1:44">
      <c r="A782" s="377">
        <v>98308</v>
      </c>
      <c r="B782" t="s">
        <v>1479</v>
      </c>
      <c r="C782" s="378">
        <v>2.4199999999999999E-5</v>
      </c>
      <c r="D782" s="378"/>
      <c r="E782" s="417">
        <v>15344</v>
      </c>
      <c r="F782" s="417">
        <v>9883</v>
      </c>
      <c r="G782" s="417">
        <v>4181</v>
      </c>
      <c r="H782" s="417">
        <v>-16225</v>
      </c>
      <c r="I782" s="417">
        <v>0</v>
      </c>
      <c r="J782" s="378">
        <v>2.4199999999999999E-5</v>
      </c>
      <c r="K782" s="378"/>
      <c r="L782" s="417">
        <v>5924</v>
      </c>
      <c r="M782" s="417">
        <v>4092</v>
      </c>
      <c r="N782" s="417">
        <v>1791</v>
      </c>
      <c r="O782" s="417">
        <v>0</v>
      </c>
      <c r="P782" s="417">
        <v>0</v>
      </c>
      <c r="Q782" s="378">
        <v>2.4199999999999999E-5</v>
      </c>
      <c r="R782" s="378"/>
      <c r="S782" s="417">
        <v>-12157</v>
      </c>
      <c r="T782" s="417">
        <v>-12017</v>
      </c>
      <c r="U782" s="417">
        <v>-12624</v>
      </c>
      <c r="V782" s="417">
        <v>-16225</v>
      </c>
      <c r="W782" s="417">
        <v>0</v>
      </c>
      <c r="X782" s="378">
        <v>2.4199999999999999E-5</v>
      </c>
      <c r="Z782" s="417">
        <v>9695</v>
      </c>
      <c r="AA782" s="417">
        <v>6811</v>
      </c>
      <c r="AB782" s="417">
        <v>6811</v>
      </c>
      <c r="AC782" s="417">
        <v>0</v>
      </c>
      <c r="AD782" s="417">
        <v>0</v>
      </c>
      <c r="AE782" s="378">
        <v>2.4199999999999999E-5</v>
      </c>
      <c r="AF782" s="378"/>
      <c r="AG782" s="417">
        <v>11882</v>
      </c>
      <c r="AH782" s="417">
        <v>10997</v>
      </c>
      <c r="AI782" s="417">
        <v>8203</v>
      </c>
      <c r="AJ782" s="417">
        <v>0</v>
      </c>
      <c r="AK782" s="417">
        <v>0</v>
      </c>
      <c r="AL782" s="378">
        <v>2.4199999999999999E-5</v>
      </c>
      <c r="AM782" s="378"/>
      <c r="AN782" s="417">
        <v>0</v>
      </c>
      <c r="AO782" s="417">
        <v>0</v>
      </c>
      <c r="AP782" s="417">
        <v>0</v>
      </c>
      <c r="AQ782" s="417">
        <v>0</v>
      </c>
      <c r="AR782" s="417">
        <v>0</v>
      </c>
    </row>
    <row r="783" spans="1:44">
      <c r="A783" s="377">
        <v>98311</v>
      </c>
      <c r="B783" t="s">
        <v>1480</v>
      </c>
      <c r="C783" s="378">
        <v>9.904E-4</v>
      </c>
      <c r="D783" s="378"/>
      <c r="E783" s="417">
        <v>55681</v>
      </c>
      <c r="F783" s="417">
        <v>-110227</v>
      </c>
      <c r="G783" s="417">
        <v>-194581</v>
      </c>
      <c r="H783" s="417">
        <v>-664037</v>
      </c>
      <c r="I783" s="417">
        <v>0</v>
      </c>
      <c r="J783" s="378">
        <v>9.904E-4</v>
      </c>
      <c r="K783" s="378"/>
      <c r="L783" s="417">
        <v>242458</v>
      </c>
      <c r="M783" s="417">
        <v>167449</v>
      </c>
      <c r="N783" s="417">
        <v>73301</v>
      </c>
      <c r="O783" s="417">
        <v>0</v>
      </c>
      <c r="P783" s="417">
        <v>0</v>
      </c>
      <c r="Q783" s="378">
        <v>9.904E-4</v>
      </c>
      <c r="R783" s="378"/>
      <c r="S783" s="417">
        <v>-497545</v>
      </c>
      <c r="T783" s="417">
        <v>-491788</v>
      </c>
      <c r="U783" s="417">
        <v>-516643</v>
      </c>
      <c r="V783" s="417">
        <v>-664037</v>
      </c>
      <c r="W783" s="417">
        <v>0</v>
      </c>
      <c r="X783" s="378">
        <v>9.904E-4</v>
      </c>
      <c r="Z783" s="417">
        <v>396756</v>
      </c>
      <c r="AA783" s="417">
        <v>278743</v>
      </c>
      <c r="AB783" s="417">
        <v>278741</v>
      </c>
      <c r="AC783" s="417">
        <v>0</v>
      </c>
      <c r="AD783" s="417">
        <v>0</v>
      </c>
      <c r="AE783" s="378">
        <v>9.904E-4</v>
      </c>
      <c r="AF783" s="378"/>
      <c r="AG783" s="417">
        <v>0</v>
      </c>
      <c r="AH783" s="417">
        <v>0</v>
      </c>
      <c r="AI783" s="417">
        <v>0</v>
      </c>
      <c r="AJ783" s="417">
        <v>0</v>
      </c>
      <c r="AK783" s="417">
        <v>0</v>
      </c>
      <c r="AL783" s="378">
        <v>9.904E-4</v>
      </c>
      <c r="AM783" s="378"/>
      <c r="AN783" s="417">
        <v>-85988</v>
      </c>
      <c r="AO783" s="417">
        <v>-64631</v>
      </c>
      <c r="AP783" s="417">
        <v>-29980</v>
      </c>
      <c r="AQ783" s="417">
        <v>0</v>
      </c>
      <c r="AR783" s="417">
        <v>0</v>
      </c>
    </row>
    <row r="784" spans="1:44">
      <c r="A784" s="377">
        <v>98313</v>
      </c>
      <c r="B784" t="s">
        <v>1481</v>
      </c>
      <c r="C784" s="378">
        <v>1.9320000000000001E-4</v>
      </c>
      <c r="D784" s="378"/>
      <c r="E784" s="417">
        <v>130713</v>
      </c>
      <c r="F784" s="417">
        <v>62162</v>
      </c>
      <c r="G784" s="417">
        <v>10222</v>
      </c>
      <c r="H784" s="417">
        <v>-129536</v>
      </c>
      <c r="I784" s="417">
        <v>0</v>
      </c>
      <c r="J784" s="378">
        <v>1.9320000000000001E-4</v>
      </c>
      <c r="K784" s="378"/>
      <c r="L784" s="417">
        <v>47297</v>
      </c>
      <c r="M784" s="417">
        <v>32665</v>
      </c>
      <c r="N784" s="417">
        <v>14299</v>
      </c>
      <c r="O784" s="417">
        <v>0</v>
      </c>
      <c r="P784" s="417">
        <v>0</v>
      </c>
      <c r="Q784" s="378">
        <v>1.9320000000000001E-4</v>
      </c>
      <c r="R784" s="378"/>
      <c r="S784" s="417">
        <v>-97057</v>
      </c>
      <c r="T784" s="417">
        <v>-95934</v>
      </c>
      <c r="U784" s="417">
        <v>-100783</v>
      </c>
      <c r="V784" s="417">
        <v>-129536</v>
      </c>
      <c r="W784" s="417">
        <v>0</v>
      </c>
      <c r="X784" s="378">
        <v>1.9320000000000001E-4</v>
      </c>
      <c r="Z784" s="417">
        <v>77396</v>
      </c>
      <c r="AA784" s="417">
        <v>54375</v>
      </c>
      <c r="AB784" s="417">
        <v>54375</v>
      </c>
      <c r="AC784" s="417">
        <v>0</v>
      </c>
      <c r="AD784" s="417">
        <v>0</v>
      </c>
      <c r="AE784" s="378">
        <v>1.9320000000000001E-4</v>
      </c>
      <c r="AF784" s="378"/>
      <c r="AG784" s="417">
        <v>103077</v>
      </c>
      <c r="AH784" s="417">
        <v>71056</v>
      </c>
      <c r="AI784" s="417">
        <v>42331</v>
      </c>
      <c r="AJ784" s="417">
        <v>0</v>
      </c>
      <c r="AK784" s="417">
        <v>0</v>
      </c>
      <c r="AL784" s="378">
        <v>1.9320000000000001E-4</v>
      </c>
      <c r="AM784" s="378"/>
      <c r="AN784" s="417">
        <v>0</v>
      </c>
      <c r="AO784" s="417">
        <v>0</v>
      </c>
      <c r="AP784" s="417">
        <v>0</v>
      </c>
      <c r="AQ784" s="417">
        <v>0</v>
      </c>
      <c r="AR784" s="417">
        <v>0</v>
      </c>
    </row>
    <row r="785" spans="1:44">
      <c r="A785" s="377">
        <v>98321</v>
      </c>
      <c r="B785" t="s">
        <v>1482</v>
      </c>
      <c r="C785" s="378">
        <v>1.26E-5</v>
      </c>
      <c r="D785" s="378"/>
      <c r="E785" s="417">
        <v>685</v>
      </c>
      <c r="F785" s="417">
        <v>-1698</v>
      </c>
      <c r="G785" s="417">
        <v>-2008</v>
      </c>
      <c r="H785" s="417">
        <v>-8448</v>
      </c>
      <c r="I785" s="417">
        <v>0</v>
      </c>
      <c r="J785" s="378">
        <v>1.26E-5</v>
      </c>
      <c r="K785" s="378"/>
      <c r="L785" s="417">
        <v>3085</v>
      </c>
      <c r="M785" s="417">
        <v>2130</v>
      </c>
      <c r="N785" s="417">
        <v>933</v>
      </c>
      <c r="O785" s="417">
        <v>0</v>
      </c>
      <c r="P785" s="417">
        <v>0</v>
      </c>
      <c r="Q785" s="378">
        <v>1.26E-5</v>
      </c>
      <c r="R785" s="378"/>
      <c r="S785" s="417">
        <v>-6330</v>
      </c>
      <c r="T785" s="417">
        <v>-6257</v>
      </c>
      <c r="U785" s="417">
        <v>-6573</v>
      </c>
      <c r="V785" s="417">
        <v>-8448</v>
      </c>
      <c r="W785" s="417">
        <v>0</v>
      </c>
      <c r="X785" s="378">
        <v>1.26E-5</v>
      </c>
      <c r="Z785" s="417">
        <v>5048</v>
      </c>
      <c r="AA785" s="417">
        <v>3546</v>
      </c>
      <c r="AB785" s="417">
        <v>3546</v>
      </c>
      <c r="AC785" s="417">
        <v>0</v>
      </c>
      <c r="AD785" s="417">
        <v>0</v>
      </c>
      <c r="AE785" s="378">
        <v>1.26E-5</v>
      </c>
      <c r="AF785" s="378"/>
      <c r="AG785" s="417">
        <v>88</v>
      </c>
      <c r="AH785" s="417">
        <v>88</v>
      </c>
      <c r="AI785" s="417">
        <v>86</v>
      </c>
      <c r="AJ785" s="417">
        <v>0</v>
      </c>
      <c r="AK785" s="417">
        <v>0</v>
      </c>
      <c r="AL785" s="378">
        <v>1.26E-5</v>
      </c>
      <c r="AM785" s="378"/>
      <c r="AN785" s="417">
        <v>-1206</v>
      </c>
      <c r="AO785" s="417">
        <v>-1205</v>
      </c>
      <c r="AP785" s="417">
        <v>0</v>
      </c>
      <c r="AQ785" s="417">
        <v>0</v>
      </c>
      <c r="AR785" s="417">
        <v>0</v>
      </c>
    </row>
    <row r="786" spans="1:44">
      <c r="A786" s="377">
        <v>98331</v>
      </c>
      <c r="B786" t="s">
        <v>1483</v>
      </c>
      <c r="C786" s="378">
        <v>6.1E-6</v>
      </c>
      <c r="D786" s="378"/>
      <c r="E786" s="417">
        <v>2502</v>
      </c>
      <c r="F786" s="417">
        <v>1012</v>
      </c>
      <c r="G786" s="417">
        <v>2182</v>
      </c>
      <c r="H786" s="417">
        <v>-4090</v>
      </c>
      <c r="I786" s="417">
        <v>0</v>
      </c>
      <c r="J786" s="378">
        <v>6.1E-6</v>
      </c>
      <c r="K786" s="378"/>
      <c r="L786" s="417">
        <v>1493</v>
      </c>
      <c r="M786" s="417">
        <v>1031</v>
      </c>
      <c r="N786" s="417">
        <v>451</v>
      </c>
      <c r="O786" s="417">
        <v>0</v>
      </c>
      <c r="P786" s="417">
        <v>0</v>
      </c>
      <c r="Q786" s="378">
        <v>6.1E-6</v>
      </c>
      <c r="R786" s="378"/>
      <c r="S786" s="417">
        <v>-3064</v>
      </c>
      <c r="T786" s="417">
        <v>-3029</v>
      </c>
      <c r="U786" s="417">
        <v>-3182</v>
      </c>
      <c r="V786" s="417">
        <v>-4090</v>
      </c>
      <c r="W786" s="417">
        <v>0</v>
      </c>
      <c r="X786" s="378">
        <v>6.1E-6</v>
      </c>
      <c r="Z786" s="417">
        <v>2444</v>
      </c>
      <c r="AA786" s="417">
        <v>1717</v>
      </c>
      <c r="AB786" s="417">
        <v>1717</v>
      </c>
      <c r="AC786" s="417">
        <v>0</v>
      </c>
      <c r="AD786" s="417">
        <v>0</v>
      </c>
      <c r="AE786" s="378">
        <v>6.1E-6</v>
      </c>
      <c r="AF786" s="378"/>
      <c r="AG786" s="417">
        <v>3834</v>
      </c>
      <c r="AH786" s="417">
        <v>3498</v>
      </c>
      <c r="AI786" s="417">
        <v>3196</v>
      </c>
      <c r="AJ786" s="417">
        <v>0</v>
      </c>
      <c r="AK786" s="417">
        <v>0</v>
      </c>
      <c r="AL786" s="378">
        <v>6.1E-6</v>
      </c>
      <c r="AM786" s="378"/>
      <c r="AN786" s="417">
        <v>-2205</v>
      </c>
      <c r="AO786" s="417">
        <v>-2205</v>
      </c>
      <c r="AP786" s="417">
        <v>0</v>
      </c>
      <c r="AQ786" s="417">
        <v>0</v>
      </c>
      <c r="AR786" s="417">
        <v>0</v>
      </c>
    </row>
    <row r="787" spans="1:44">
      <c r="A787" s="377">
        <v>98401</v>
      </c>
      <c r="B787" t="s">
        <v>1484</v>
      </c>
      <c r="C787" s="378">
        <v>2.8972999999999998E-3</v>
      </c>
      <c r="D787" s="378"/>
      <c r="E787" s="417">
        <v>508556</v>
      </c>
      <c r="F787" s="417">
        <v>-62069</v>
      </c>
      <c r="G787" s="417">
        <v>-476282</v>
      </c>
      <c r="H787" s="417">
        <v>-1942564</v>
      </c>
      <c r="I787" s="417">
        <v>0</v>
      </c>
      <c r="J787" s="378">
        <v>2.8972999999999998E-3</v>
      </c>
      <c r="K787" s="378"/>
      <c r="L787" s="417">
        <v>709282</v>
      </c>
      <c r="M787" s="417">
        <v>489852</v>
      </c>
      <c r="N787" s="417">
        <v>214435</v>
      </c>
      <c r="O787" s="417">
        <v>0</v>
      </c>
      <c r="P787" s="417">
        <v>0</v>
      </c>
      <c r="Q787" s="378">
        <v>2.8972999999999998E-3</v>
      </c>
      <c r="R787" s="378"/>
      <c r="S787" s="417">
        <v>-1455511</v>
      </c>
      <c r="T787" s="417">
        <v>-1438669</v>
      </c>
      <c r="U787" s="417">
        <v>-1511379</v>
      </c>
      <c r="V787" s="417">
        <v>-1942564</v>
      </c>
      <c r="W787" s="417">
        <v>0</v>
      </c>
      <c r="X787" s="378">
        <v>2.8972999999999998E-3</v>
      </c>
      <c r="Z787" s="417">
        <v>1160664</v>
      </c>
      <c r="AA787" s="417">
        <v>815431</v>
      </c>
      <c r="AB787" s="417">
        <v>815425</v>
      </c>
      <c r="AC787" s="417">
        <v>0</v>
      </c>
      <c r="AD787" s="417">
        <v>0</v>
      </c>
      <c r="AE787" s="378">
        <v>2.8972999999999998E-3</v>
      </c>
      <c r="AF787" s="378"/>
      <c r="AG787" s="417">
        <v>94121</v>
      </c>
      <c r="AH787" s="417">
        <v>71317</v>
      </c>
      <c r="AI787" s="417">
        <v>5237</v>
      </c>
      <c r="AJ787" s="417">
        <v>0</v>
      </c>
      <c r="AK787" s="417">
        <v>0</v>
      </c>
      <c r="AL787" s="378">
        <v>2.8972999999999998E-3</v>
      </c>
      <c r="AM787" s="378"/>
      <c r="AN787" s="417">
        <v>0</v>
      </c>
      <c r="AO787" s="417">
        <v>0</v>
      </c>
      <c r="AP787" s="417">
        <v>0</v>
      </c>
      <c r="AQ787" s="417">
        <v>0</v>
      </c>
      <c r="AR787" s="417">
        <v>0</v>
      </c>
    </row>
    <row r="788" spans="1:44">
      <c r="A788" s="377">
        <v>98404</v>
      </c>
      <c r="B788" t="s">
        <v>1485</v>
      </c>
      <c r="C788" s="378">
        <v>2.23E-5</v>
      </c>
      <c r="D788" s="378"/>
      <c r="E788" s="417">
        <v>7938</v>
      </c>
      <c r="F788" s="417">
        <v>3541</v>
      </c>
      <c r="G788" s="417">
        <v>531</v>
      </c>
      <c r="H788" s="417">
        <v>-14952</v>
      </c>
      <c r="I788" s="417">
        <v>0</v>
      </c>
      <c r="J788" s="378">
        <v>2.23E-5</v>
      </c>
      <c r="K788" s="378"/>
      <c r="L788" s="417">
        <v>5459</v>
      </c>
      <c r="M788" s="417">
        <v>3770</v>
      </c>
      <c r="N788" s="417">
        <v>1650</v>
      </c>
      <c r="O788" s="417">
        <v>0</v>
      </c>
      <c r="P788" s="417">
        <v>0</v>
      </c>
      <c r="Q788" s="378">
        <v>2.23E-5</v>
      </c>
      <c r="R788" s="378"/>
      <c r="S788" s="417">
        <v>-11203</v>
      </c>
      <c r="T788" s="417">
        <v>-11073</v>
      </c>
      <c r="U788" s="417">
        <v>-11633</v>
      </c>
      <c r="V788" s="417">
        <v>-14952</v>
      </c>
      <c r="W788" s="417">
        <v>0</v>
      </c>
      <c r="X788" s="378">
        <v>2.23E-5</v>
      </c>
      <c r="Z788" s="417">
        <v>8933</v>
      </c>
      <c r="AA788" s="417">
        <v>6276</v>
      </c>
      <c r="AB788" s="417">
        <v>6276</v>
      </c>
      <c r="AC788" s="417">
        <v>0</v>
      </c>
      <c r="AD788" s="417">
        <v>0</v>
      </c>
      <c r="AE788" s="378">
        <v>2.23E-5</v>
      </c>
      <c r="AF788" s="378"/>
      <c r="AG788" s="417">
        <v>4833</v>
      </c>
      <c r="AH788" s="417">
        <v>4652</v>
      </c>
      <c r="AI788" s="417">
        <v>4238</v>
      </c>
      <c r="AJ788" s="417">
        <v>0</v>
      </c>
      <c r="AK788" s="417">
        <v>0</v>
      </c>
      <c r="AL788" s="378">
        <v>2.23E-5</v>
      </c>
      <c r="AM788" s="378"/>
      <c r="AN788" s="417">
        <v>-84</v>
      </c>
      <c r="AO788" s="417">
        <v>-84</v>
      </c>
      <c r="AP788" s="417">
        <v>0</v>
      </c>
      <c r="AQ788" s="417">
        <v>0</v>
      </c>
      <c r="AR788" s="417">
        <v>0</v>
      </c>
    </row>
    <row r="789" spans="1:44">
      <c r="A789" s="377">
        <v>98411</v>
      </c>
      <c r="B789" t="s">
        <v>1486</v>
      </c>
      <c r="C789" s="378">
        <v>1.7966E-3</v>
      </c>
      <c r="D789" s="378"/>
      <c r="E789" s="417">
        <v>156434</v>
      </c>
      <c r="F789" s="417">
        <v>-166791</v>
      </c>
      <c r="G789" s="417">
        <v>-303403</v>
      </c>
      <c r="H789" s="417">
        <v>-1204574</v>
      </c>
      <c r="I789" s="417">
        <v>0</v>
      </c>
      <c r="J789" s="378">
        <v>1.7966E-3</v>
      </c>
      <c r="K789" s="378"/>
      <c r="L789" s="417">
        <v>439822</v>
      </c>
      <c r="M789" s="417">
        <v>303755</v>
      </c>
      <c r="N789" s="417">
        <v>132970</v>
      </c>
      <c r="O789" s="417">
        <v>0</v>
      </c>
      <c r="P789" s="417">
        <v>0</v>
      </c>
      <c r="Q789" s="378">
        <v>1.7966E-3</v>
      </c>
      <c r="R789" s="378"/>
      <c r="S789" s="417">
        <v>-902554</v>
      </c>
      <c r="T789" s="417">
        <v>-892111</v>
      </c>
      <c r="U789" s="417">
        <v>-937198</v>
      </c>
      <c r="V789" s="417">
        <v>-1204574</v>
      </c>
      <c r="W789" s="417">
        <v>0</v>
      </c>
      <c r="X789" s="378">
        <v>1.7966E-3</v>
      </c>
      <c r="Z789" s="417">
        <v>719722</v>
      </c>
      <c r="AA789" s="417">
        <v>505644</v>
      </c>
      <c r="AB789" s="417">
        <v>505640</v>
      </c>
      <c r="AC789" s="417">
        <v>0</v>
      </c>
      <c r="AD789" s="417">
        <v>0</v>
      </c>
      <c r="AE789" s="378">
        <v>1.7966E-3</v>
      </c>
      <c r="AF789" s="378"/>
      <c r="AG789" s="417">
        <v>0</v>
      </c>
      <c r="AH789" s="417">
        <v>0</v>
      </c>
      <c r="AI789" s="417">
        <v>0</v>
      </c>
      <c r="AJ789" s="417">
        <v>0</v>
      </c>
      <c r="AK789" s="417">
        <v>0</v>
      </c>
      <c r="AL789" s="378">
        <v>1.7966E-3</v>
      </c>
      <c r="AM789" s="378"/>
      <c r="AN789" s="417">
        <v>-100556</v>
      </c>
      <c r="AO789" s="417">
        <v>-84079</v>
      </c>
      <c r="AP789" s="417">
        <v>-4815</v>
      </c>
      <c r="AQ789" s="417">
        <v>0</v>
      </c>
      <c r="AR789" s="417">
        <v>0</v>
      </c>
    </row>
    <row r="790" spans="1:44">
      <c r="A790" s="377">
        <v>98414</v>
      </c>
      <c r="B790" t="s">
        <v>1487</v>
      </c>
      <c r="C790" s="378">
        <v>3.9700000000000003E-5</v>
      </c>
      <c r="D790" s="378"/>
      <c r="E790" s="417">
        <v>8065</v>
      </c>
      <c r="F790" s="417">
        <v>463</v>
      </c>
      <c r="G790" s="417">
        <v>-4768</v>
      </c>
      <c r="H790" s="417">
        <v>-26618</v>
      </c>
      <c r="I790" s="417">
        <v>0</v>
      </c>
      <c r="J790" s="378">
        <v>3.9700000000000003E-5</v>
      </c>
      <c r="K790" s="378"/>
      <c r="L790" s="417">
        <v>9719</v>
      </c>
      <c r="M790" s="417">
        <v>6712</v>
      </c>
      <c r="N790" s="417">
        <v>2938</v>
      </c>
      <c r="O790" s="417">
        <v>0</v>
      </c>
      <c r="P790" s="417">
        <v>0</v>
      </c>
      <c r="Q790" s="378">
        <v>3.9700000000000003E-5</v>
      </c>
      <c r="R790" s="378"/>
      <c r="S790" s="417">
        <v>-19944</v>
      </c>
      <c r="T790" s="417">
        <v>-19713</v>
      </c>
      <c r="U790" s="417">
        <v>-20710</v>
      </c>
      <c r="V790" s="417">
        <v>-26618</v>
      </c>
      <c r="W790" s="417">
        <v>0</v>
      </c>
      <c r="X790" s="378">
        <v>3.9700000000000003E-5</v>
      </c>
      <c r="Z790" s="417">
        <v>15904</v>
      </c>
      <c r="AA790" s="417">
        <v>11173</v>
      </c>
      <c r="AB790" s="417">
        <v>11173</v>
      </c>
      <c r="AC790" s="417">
        <v>0</v>
      </c>
      <c r="AD790" s="417">
        <v>0</v>
      </c>
      <c r="AE790" s="378">
        <v>3.9700000000000003E-5</v>
      </c>
      <c r="AF790" s="378"/>
      <c r="AG790" s="417">
        <v>6236</v>
      </c>
      <c r="AH790" s="417">
        <v>4315</v>
      </c>
      <c r="AI790" s="417">
        <v>1831</v>
      </c>
      <c r="AJ790" s="417">
        <v>0</v>
      </c>
      <c r="AK790" s="417">
        <v>0</v>
      </c>
      <c r="AL790" s="378">
        <v>3.9700000000000003E-5</v>
      </c>
      <c r="AM790" s="378"/>
      <c r="AN790" s="417">
        <v>-3850</v>
      </c>
      <c r="AO790" s="417">
        <v>-2024</v>
      </c>
      <c r="AP790" s="417">
        <v>0</v>
      </c>
      <c r="AQ790" s="417">
        <v>0</v>
      </c>
      <c r="AR790" s="417">
        <v>0</v>
      </c>
    </row>
    <row r="791" spans="1:44">
      <c r="A791" s="377">
        <v>98417</v>
      </c>
      <c r="B791" t="s">
        <v>1488</v>
      </c>
      <c r="C791" s="378">
        <v>2.1399999999999998E-5</v>
      </c>
      <c r="D791" s="378"/>
      <c r="E791" s="417">
        <v>8592</v>
      </c>
      <c r="F791" s="417">
        <v>3812</v>
      </c>
      <c r="G791" s="417">
        <v>-963</v>
      </c>
      <c r="H791" s="417">
        <v>-14348</v>
      </c>
      <c r="I791" s="417">
        <v>0</v>
      </c>
      <c r="J791" s="378">
        <v>2.1399999999999998E-5</v>
      </c>
      <c r="K791" s="378"/>
      <c r="L791" s="417">
        <v>5239</v>
      </c>
      <c r="M791" s="417">
        <v>3618</v>
      </c>
      <c r="N791" s="417">
        <v>1584</v>
      </c>
      <c r="O791" s="417">
        <v>0</v>
      </c>
      <c r="P791" s="417">
        <v>0</v>
      </c>
      <c r="Q791" s="378">
        <v>2.1399999999999998E-5</v>
      </c>
      <c r="R791" s="378"/>
      <c r="S791" s="417">
        <v>-10751</v>
      </c>
      <c r="T791" s="417">
        <v>-10626</v>
      </c>
      <c r="U791" s="417">
        <v>-11163</v>
      </c>
      <c r="V791" s="417">
        <v>-14348</v>
      </c>
      <c r="W791" s="417">
        <v>0</v>
      </c>
      <c r="X791" s="378">
        <v>2.1399999999999998E-5</v>
      </c>
      <c r="Z791" s="417">
        <v>8573</v>
      </c>
      <c r="AA791" s="417">
        <v>6023</v>
      </c>
      <c r="AB791" s="417">
        <v>6023</v>
      </c>
      <c r="AC791" s="417">
        <v>0</v>
      </c>
      <c r="AD791" s="417">
        <v>0</v>
      </c>
      <c r="AE791" s="378">
        <v>2.1399999999999998E-5</v>
      </c>
      <c r="AF791" s="378"/>
      <c r="AG791" s="417">
        <v>5531</v>
      </c>
      <c r="AH791" s="417">
        <v>4797</v>
      </c>
      <c r="AI791" s="417">
        <v>2593</v>
      </c>
      <c r="AJ791" s="417">
        <v>0</v>
      </c>
      <c r="AK791" s="417">
        <v>0</v>
      </c>
      <c r="AL791" s="378">
        <v>2.1399999999999998E-5</v>
      </c>
      <c r="AM791" s="378"/>
      <c r="AN791" s="417">
        <v>0</v>
      </c>
      <c r="AO791" s="417">
        <v>0</v>
      </c>
      <c r="AP791" s="417">
        <v>0</v>
      </c>
      <c r="AQ791" s="417">
        <v>0</v>
      </c>
      <c r="AR791" s="417">
        <v>0</v>
      </c>
    </row>
    <row r="792" spans="1:44">
      <c r="A792" s="377">
        <v>98421</v>
      </c>
      <c r="B792" t="s">
        <v>1489</v>
      </c>
      <c r="C792" s="378">
        <v>1.053E-4</v>
      </c>
      <c r="D792" s="378"/>
      <c r="E792" s="417">
        <v>14393</v>
      </c>
      <c r="F792" s="417">
        <v>-9397</v>
      </c>
      <c r="G792" s="417">
        <v>-19152</v>
      </c>
      <c r="H792" s="417">
        <v>-70601</v>
      </c>
      <c r="I792" s="417">
        <v>0</v>
      </c>
      <c r="J792" s="378">
        <v>1.053E-4</v>
      </c>
      <c r="K792" s="378"/>
      <c r="L792" s="417">
        <v>25778</v>
      </c>
      <c r="M792" s="417">
        <v>17803</v>
      </c>
      <c r="N792" s="417">
        <v>7793</v>
      </c>
      <c r="O792" s="417">
        <v>0</v>
      </c>
      <c r="P792" s="417">
        <v>0</v>
      </c>
      <c r="Q792" s="378">
        <v>1.053E-4</v>
      </c>
      <c r="R792" s="378"/>
      <c r="S792" s="417">
        <v>-52899</v>
      </c>
      <c r="T792" s="417">
        <v>-52287</v>
      </c>
      <c r="U792" s="417">
        <v>-54930</v>
      </c>
      <c r="V792" s="417">
        <v>-70601</v>
      </c>
      <c r="W792" s="417">
        <v>0</v>
      </c>
      <c r="X792" s="378">
        <v>1.053E-4</v>
      </c>
      <c r="Z792" s="417">
        <v>42183</v>
      </c>
      <c r="AA792" s="417">
        <v>29636</v>
      </c>
      <c r="AB792" s="417">
        <v>29636</v>
      </c>
      <c r="AC792" s="417">
        <v>0</v>
      </c>
      <c r="AD792" s="417">
        <v>0</v>
      </c>
      <c r="AE792" s="378">
        <v>1.053E-4</v>
      </c>
      <c r="AF792" s="378"/>
      <c r="AG792" s="417">
        <v>4302</v>
      </c>
      <c r="AH792" s="417">
        <v>420</v>
      </c>
      <c r="AI792" s="417">
        <v>0</v>
      </c>
      <c r="AJ792" s="417">
        <v>0</v>
      </c>
      <c r="AK792" s="417">
        <v>0</v>
      </c>
      <c r="AL792" s="378">
        <v>1.053E-4</v>
      </c>
      <c r="AM792" s="378"/>
      <c r="AN792" s="417">
        <v>-4971</v>
      </c>
      <c r="AO792" s="417">
        <v>-4969</v>
      </c>
      <c r="AP792" s="417">
        <v>-1651</v>
      </c>
      <c r="AQ792" s="417">
        <v>0</v>
      </c>
      <c r="AR792" s="417">
        <v>0</v>
      </c>
    </row>
    <row r="793" spans="1:44">
      <c r="A793" s="377">
        <v>98427</v>
      </c>
      <c r="B793" t="s">
        <v>1490</v>
      </c>
      <c r="C793" s="378">
        <v>1.9E-6</v>
      </c>
      <c r="D793" s="378"/>
      <c r="E793" s="417">
        <v>1522</v>
      </c>
      <c r="F793" s="417">
        <v>946</v>
      </c>
      <c r="G793" s="417">
        <v>-151</v>
      </c>
      <c r="H793" s="417">
        <v>-1274</v>
      </c>
      <c r="I793" s="417">
        <v>0</v>
      </c>
      <c r="J793" s="378">
        <v>1.9E-6</v>
      </c>
      <c r="K793" s="378"/>
      <c r="L793" s="417">
        <v>465</v>
      </c>
      <c r="M793" s="417">
        <v>321</v>
      </c>
      <c r="N793" s="417">
        <v>141</v>
      </c>
      <c r="O793" s="417">
        <v>0</v>
      </c>
      <c r="P793" s="417">
        <v>0</v>
      </c>
      <c r="Q793" s="378">
        <v>1.9E-6</v>
      </c>
      <c r="R793" s="378"/>
      <c r="S793" s="417">
        <v>-954</v>
      </c>
      <c r="T793" s="417">
        <v>-943</v>
      </c>
      <c r="U793" s="417">
        <v>-991</v>
      </c>
      <c r="V793" s="417">
        <v>-1274</v>
      </c>
      <c r="W793" s="417">
        <v>0</v>
      </c>
      <c r="X793" s="378">
        <v>1.9E-6</v>
      </c>
      <c r="Z793" s="417">
        <v>761</v>
      </c>
      <c r="AA793" s="417">
        <v>535</v>
      </c>
      <c r="AB793" s="417">
        <v>535</v>
      </c>
      <c r="AC793" s="417">
        <v>0</v>
      </c>
      <c r="AD793" s="417">
        <v>0</v>
      </c>
      <c r="AE793" s="378">
        <v>1.9E-6</v>
      </c>
      <c r="AF793" s="378"/>
      <c r="AG793" s="417">
        <v>1250</v>
      </c>
      <c r="AH793" s="417">
        <v>1033</v>
      </c>
      <c r="AI793" s="417">
        <v>164</v>
      </c>
      <c r="AJ793" s="417">
        <v>0</v>
      </c>
      <c r="AK793" s="417">
        <v>0</v>
      </c>
      <c r="AL793" s="378">
        <v>1.9E-6</v>
      </c>
      <c r="AM793" s="378"/>
      <c r="AN793" s="417">
        <v>0</v>
      </c>
      <c r="AO793" s="417">
        <v>0</v>
      </c>
      <c r="AP793" s="417">
        <v>0</v>
      </c>
      <c r="AQ793" s="417">
        <v>0</v>
      </c>
      <c r="AR793" s="417">
        <v>0</v>
      </c>
    </row>
    <row r="794" spans="1:44">
      <c r="A794" s="377">
        <v>98431</v>
      </c>
      <c r="B794" t="s">
        <v>1491</v>
      </c>
      <c r="C794" s="378">
        <v>2.589E-4</v>
      </c>
      <c r="D794" s="378"/>
      <c r="E794" s="417">
        <v>51089</v>
      </c>
      <c r="F794" s="417">
        <v>6521</v>
      </c>
      <c r="G794" s="417">
        <v>-23826</v>
      </c>
      <c r="H794" s="417">
        <v>-173586</v>
      </c>
      <c r="I794" s="417">
        <v>0</v>
      </c>
      <c r="J794" s="378">
        <v>2.589E-4</v>
      </c>
      <c r="K794" s="378"/>
      <c r="L794" s="417">
        <v>63381</v>
      </c>
      <c r="M794" s="417">
        <v>43773</v>
      </c>
      <c r="N794" s="417">
        <v>19162</v>
      </c>
      <c r="O794" s="417">
        <v>0</v>
      </c>
      <c r="P794" s="417">
        <v>0</v>
      </c>
      <c r="Q794" s="378">
        <v>2.589E-4</v>
      </c>
      <c r="R794" s="378"/>
      <c r="S794" s="417">
        <v>-130063</v>
      </c>
      <c r="T794" s="417">
        <v>-128558</v>
      </c>
      <c r="U794" s="417">
        <v>-135055</v>
      </c>
      <c r="V794" s="417">
        <v>-173586</v>
      </c>
      <c r="W794" s="417">
        <v>0</v>
      </c>
      <c r="X794" s="378">
        <v>2.589E-4</v>
      </c>
      <c r="Z794" s="417">
        <v>103716</v>
      </c>
      <c r="AA794" s="417">
        <v>72866</v>
      </c>
      <c r="AB794" s="417">
        <v>72866</v>
      </c>
      <c r="AC794" s="417">
        <v>0</v>
      </c>
      <c r="AD794" s="417">
        <v>0</v>
      </c>
      <c r="AE794" s="378">
        <v>2.589E-4</v>
      </c>
      <c r="AF794" s="378"/>
      <c r="AG794" s="417">
        <v>19831</v>
      </c>
      <c r="AH794" s="417">
        <v>19832</v>
      </c>
      <c r="AI794" s="417">
        <v>19201</v>
      </c>
      <c r="AJ794" s="417">
        <v>0</v>
      </c>
      <c r="AK794" s="417">
        <v>0</v>
      </c>
      <c r="AL794" s="378">
        <v>2.589E-4</v>
      </c>
      <c r="AM794" s="378"/>
      <c r="AN794" s="417">
        <v>-5776</v>
      </c>
      <c r="AO794" s="417">
        <v>-1392</v>
      </c>
      <c r="AP794" s="417">
        <v>0</v>
      </c>
      <c r="AQ794" s="417">
        <v>0</v>
      </c>
      <c r="AR794" s="417">
        <v>0</v>
      </c>
    </row>
    <row r="795" spans="1:44">
      <c r="A795" s="377">
        <v>98441</v>
      </c>
      <c r="B795" t="s">
        <v>1492</v>
      </c>
      <c r="C795" s="378">
        <v>1.2449999999999999E-4</v>
      </c>
      <c r="D795" s="378"/>
      <c r="E795" s="417">
        <v>23246</v>
      </c>
      <c r="F795" s="417">
        <v>-3313</v>
      </c>
      <c r="G795" s="417">
        <v>-21010</v>
      </c>
      <c r="H795" s="417">
        <v>-83474</v>
      </c>
      <c r="I795" s="417">
        <v>0</v>
      </c>
      <c r="J795" s="378">
        <v>1.2449999999999999E-4</v>
      </c>
      <c r="K795" s="378"/>
      <c r="L795" s="417">
        <v>30479</v>
      </c>
      <c r="M795" s="417">
        <v>21049</v>
      </c>
      <c r="N795" s="417">
        <v>9214</v>
      </c>
      <c r="O795" s="417">
        <v>0</v>
      </c>
      <c r="P795" s="417">
        <v>0</v>
      </c>
      <c r="Q795" s="378">
        <v>1.2449999999999999E-4</v>
      </c>
      <c r="R795" s="378"/>
      <c r="S795" s="417">
        <v>-62545</v>
      </c>
      <c r="T795" s="417">
        <v>-61821</v>
      </c>
      <c r="U795" s="417">
        <v>-64946</v>
      </c>
      <c r="V795" s="417">
        <v>-83474</v>
      </c>
      <c r="W795" s="417">
        <v>0</v>
      </c>
      <c r="X795" s="378">
        <v>1.2449999999999999E-4</v>
      </c>
      <c r="Z795" s="417">
        <v>49875</v>
      </c>
      <c r="AA795" s="417">
        <v>35040</v>
      </c>
      <c r="AB795" s="417">
        <v>35040</v>
      </c>
      <c r="AC795" s="417">
        <v>0</v>
      </c>
      <c r="AD795" s="417">
        <v>0</v>
      </c>
      <c r="AE795" s="378">
        <v>1.2449999999999999E-4</v>
      </c>
      <c r="AF795" s="378"/>
      <c r="AG795" s="417">
        <v>8168</v>
      </c>
      <c r="AH795" s="417">
        <v>5149</v>
      </c>
      <c r="AI795" s="417">
        <v>0</v>
      </c>
      <c r="AJ795" s="417">
        <v>0</v>
      </c>
      <c r="AK795" s="417">
        <v>0</v>
      </c>
      <c r="AL795" s="378">
        <v>1.2449999999999999E-4</v>
      </c>
      <c r="AM795" s="378"/>
      <c r="AN795" s="417">
        <v>-2731</v>
      </c>
      <c r="AO795" s="417">
        <v>-2730</v>
      </c>
      <c r="AP795" s="417">
        <v>-318</v>
      </c>
      <c r="AQ795" s="417">
        <v>0</v>
      </c>
      <c r="AR795" s="417">
        <v>0</v>
      </c>
    </row>
    <row r="796" spans="1:44">
      <c r="A796" s="377">
        <v>98451</v>
      </c>
      <c r="B796" t="s">
        <v>1493</v>
      </c>
      <c r="C796" s="378">
        <v>4.9799999999999998E-5</v>
      </c>
      <c r="D796" s="378"/>
      <c r="E796" s="417">
        <v>12499</v>
      </c>
      <c r="F796" s="417">
        <v>3990</v>
      </c>
      <c r="G796" s="417">
        <v>2878</v>
      </c>
      <c r="H796" s="417">
        <v>-33390</v>
      </c>
      <c r="I796" s="417">
        <v>0</v>
      </c>
      <c r="J796" s="378">
        <v>4.9799999999999998E-5</v>
      </c>
      <c r="K796" s="378"/>
      <c r="L796" s="417">
        <v>12191</v>
      </c>
      <c r="M796" s="417">
        <v>8420</v>
      </c>
      <c r="N796" s="417">
        <v>3686</v>
      </c>
      <c r="O796" s="417">
        <v>0</v>
      </c>
      <c r="P796" s="417">
        <v>0</v>
      </c>
      <c r="Q796" s="378">
        <v>4.9799999999999998E-5</v>
      </c>
      <c r="R796" s="378"/>
      <c r="S796" s="417">
        <v>-25018</v>
      </c>
      <c r="T796" s="417">
        <v>-24728</v>
      </c>
      <c r="U796" s="417">
        <v>-25978</v>
      </c>
      <c r="V796" s="417">
        <v>-33390</v>
      </c>
      <c r="W796" s="417">
        <v>0</v>
      </c>
      <c r="X796" s="378">
        <v>4.9799999999999998E-5</v>
      </c>
      <c r="Z796" s="417">
        <v>19950</v>
      </c>
      <c r="AA796" s="417">
        <v>14016</v>
      </c>
      <c r="AB796" s="417">
        <v>14016</v>
      </c>
      <c r="AC796" s="417">
        <v>0</v>
      </c>
      <c r="AD796" s="417">
        <v>0</v>
      </c>
      <c r="AE796" s="378">
        <v>4.9799999999999998E-5</v>
      </c>
      <c r="AF796" s="378"/>
      <c r="AG796" s="417">
        <v>11193</v>
      </c>
      <c r="AH796" s="417">
        <v>11194</v>
      </c>
      <c r="AI796" s="417">
        <v>11154</v>
      </c>
      <c r="AJ796" s="417">
        <v>0</v>
      </c>
      <c r="AK796" s="417">
        <v>0</v>
      </c>
      <c r="AL796" s="378">
        <v>4.9799999999999998E-5</v>
      </c>
      <c r="AM796" s="378"/>
      <c r="AN796" s="417">
        <v>-5817</v>
      </c>
      <c r="AO796" s="417">
        <v>-4912</v>
      </c>
      <c r="AP796" s="417">
        <v>0</v>
      </c>
      <c r="AQ796" s="417">
        <v>0</v>
      </c>
      <c r="AR796" s="417">
        <v>0</v>
      </c>
    </row>
    <row r="797" spans="1:44">
      <c r="A797" s="377">
        <v>98471</v>
      </c>
      <c r="B797" t="s">
        <v>1638</v>
      </c>
      <c r="C797" s="378">
        <v>8.3999999999999992E-6</v>
      </c>
      <c r="D797" s="378"/>
      <c r="E797" s="417">
        <v>3781</v>
      </c>
      <c r="F797" s="417">
        <v>908</v>
      </c>
      <c r="G797" s="417">
        <v>-693</v>
      </c>
      <c r="H797" s="417">
        <v>-5632</v>
      </c>
      <c r="I797" s="417">
        <v>0</v>
      </c>
      <c r="J797" s="378">
        <v>8.3999999999999992E-6</v>
      </c>
      <c r="K797" s="378"/>
      <c r="L797" s="417">
        <v>2056</v>
      </c>
      <c r="M797" s="417">
        <v>1420</v>
      </c>
      <c r="N797" s="417">
        <v>622</v>
      </c>
      <c r="O797" s="417">
        <v>0</v>
      </c>
      <c r="P797" s="417">
        <v>0</v>
      </c>
      <c r="Q797" s="378">
        <v>8.3999999999999992E-6</v>
      </c>
      <c r="R797" s="378"/>
      <c r="S797" s="417">
        <v>-4220</v>
      </c>
      <c r="T797" s="417">
        <v>-4171</v>
      </c>
      <c r="U797" s="417">
        <v>-4382</v>
      </c>
      <c r="V797" s="417">
        <v>-5632</v>
      </c>
      <c r="W797" s="417">
        <v>0</v>
      </c>
      <c r="X797" s="378">
        <v>8.3999999999999992E-6</v>
      </c>
      <c r="Z797" s="417">
        <v>3365</v>
      </c>
      <c r="AA797" s="417">
        <v>2364</v>
      </c>
      <c r="AB797" s="417">
        <v>2364</v>
      </c>
      <c r="AC797" s="417">
        <v>0</v>
      </c>
      <c r="AD797" s="417">
        <v>0</v>
      </c>
      <c r="AE797" s="378">
        <v>8.3999999999999992E-6</v>
      </c>
      <c r="AF797" s="378"/>
      <c r="AG797" s="417">
        <v>2580</v>
      </c>
      <c r="AH797" s="417">
        <v>1295</v>
      </c>
      <c r="AI797" s="417">
        <v>703</v>
      </c>
      <c r="AJ797" s="417">
        <v>0</v>
      </c>
      <c r="AK797" s="417">
        <v>0</v>
      </c>
      <c r="AL797" s="378">
        <v>8.3999999999999992E-6</v>
      </c>
      <c r="AM797" s="378"/>
      <c r="AN797" s="417">
        <v>0</v>
      </c>
      <c r="AO797" s="417">
        <v>0</v>
      </c>
      <c r="AP797" s="417">
        <v>0</v>
      </c>
      <c r="AQ797" s="417">
        <v>0</v>
      </c>
      <c r="AR797" s="417">
        <v>0</v>
      </c>
    </row>
    <row r="798" spans="1:44">
      <c r="A798" s="377">
        <v>98481</v>
      </c>
      <c r="B798" t="s">
        <v>1494</v>
      </c>
      <c r="C798" s="378">
        <v>7.0199999999999999E-5</v>
      </c>
      <c r="D798" s="378"/>
      <c r="E798" s="417">
        <v>13535</v>
      </c>
      <c r="F798" s="417">
        <v>-283</v>
      </c>
      <c r="G798" s="417">
        <v>-6492</v>
      </c>
      <c r="H798" s="417">
        <v>-47067</v>
      </c>
      <c r="I798" s="417">
        <v>0</v>
      </c>
      <c r="J798" s="378">
        <v>7.0199999999999999E-5</v>
      </c>
      <c r="K798" s="378"/>
      <c r="L798" s="417">
        <v>17186</v>
      </c>
      <c r="M798" s="417">
        <v>11869</v>
      </c>
      <c r="N798" s="417">
        <v>5196</v>
      </c>
      <c r="O798" s="417">
        <v>0</v>
      </c>
      <c r="P798" s="417">
        <v>0</v>
      </c>
      <c r="Q798" s="378">
        <v>7.0199999999999999E-5</v>
      </c>
      <c r="R798" s="378"/>
      <c r="S798" s="417">
        <v>-35266</v>
      </c>
      <c r="T798" s="417">
        <v>-34858</v>
      </c>
      <c r="U798" s="417">
        <v>-36620</v>
      </c>
      <c r="V798" s="417">
        <v>-47067</v>
      </c>
      <c r="W798" s="417">
        <v>0</v>
      </c>
      <c r="X798" s="378">
        <v>7.0199999999999999E-5</v>
      </c>
      <c r="Z798" s="417">
        <v>28122</v>
      </c>
      <c r="AA798" s="417">
        <v>19757</v>
      </c>
      <c r="AB798" s="417">
        <v>19757</v>
      </c>
      <c r="AC798" s="417">
        <v>0</v>
      </c>
      <c r="AD798" s="417">
        <v>0</v>
      </c>
      <c r="AE798" s="378">
        <v>7.0199999999999999E-5</v>
      </c>
      <c r="AF798" s="378"/>
      <c r="AG798" s="417">
        <v>5723</v>
      </c>
      <c r="AH798" s="417">
        <v>5176</v>
      </c>
      <c r="AI798" s="417">
        <v>5175</v>
      </c>
      <c r="AJ798" s="417">
        <v>0</v>
      </c>
      <c r="AK798" s="417">
        <v>0</v>
      </c>
      <c r="AL798" s="378">
        <v>7.0199999999999999E-5</v>
      </c>
      <c r="AM798" s="378"/>
      <c r="AN798" s="417">
        <v>-2230</v>
      </c>
      <c r="AO798" s="417">
        <v>-2227</v>
      </c>
      <c r="AP798" s="417">
        <v>0</v>
      </c>
      <c r="AQ798" s="417">
        <v>0</v>
      </c>
      <c r="AR798" s="417">
        <v>0</v>
      </c>
    </row>
    <row r="799" spans="1:44">
      <c r="A799" s="377">
        <v>98501</v>
      </c>
      <c r="B799" t="s">
        <v>1495</v>
      </c>
      <c r="C799" s="378">
        <v>2.1158000000000001E-3</v>
      </c>
      <c r="D799" s="378"/>
      <c r="E799" s="417">
        <v>580906</v>
      </c>
      <c r="F799" s="417">
        <v>168320</v>
      </c>
      <c r="G799" s="417">
        <v>-190844</v>
      </c>
      <c r="H799" s="417">
        <v>-1418589</v>
      </c>
      <c r="I799" s="417">
        <v>0</v>
      </c>
      <c r="J799" s="378">
        <v>2.1158000000000001E-3</v>
      </c>
      <c r="K799" s="378"/>
      <c r="L799" s="417">
        <v>517965</v>
      </c>
      <c r="M799" s="417">
        <v>357723</v>
      </c>
      <c r="N799" s="417">
        <v>156595</v>
      </c>
      <c r="O799" s="417">
        <v>0</v>
      </c>
      <c r="P799" s="417">
        <v>0</v>
      </c>
      <c r="Q799" s="378">
        <v>2.1158000000000001E-3</v>
      </c>
      <c r="R799" s="378"/>
      <c r="S799" s="417">
        <v>-1062910</v>
      </c>
      <c r="T799" s="417">
        <v>-1050611</v>
      </c>
      <c r="U799" s="417">
        <v>-1103709</v>
      </c>
      <c r="V799" s="417">
        <v>-1418589</v>
      </c>
      <c r="W799" s="417">
        <v>0</v>
      </c>
      <c r="X799" s="378">
        <v>2.1158000000000001E-3</v>
      </c>
      <c r="Z799" s="417">
        <v>847594</v>
      </c>
      <c r="AA799" s="417">
        <v>595481</v>
      </c>
      <c r="AB799" s="417">
        <v>595477</v>
      </c>
      <c r="AC799" s="417">
        <v>0</v>
      </c>
      <c r="AD799" s="417">
        <v>0</v>
      </c>
      <c r="AE799" s="378">
        <v>2.1158000000000001E-3</v>
      </c>
      <c r="AF799" s="378"/>
      <c r="AG799" s="417">
        <v>278257</v>
      </c>
      <c r="AH799" s="417">
        <v>265727</v>
      </c>
      <c r="AI799" s="417">
        <v>160793</v>
      </c>
      <c r="AJ799" s="417">
        <v>0</v>
      </c>
      <c r="AK799" s="417">
        <v>0</v>
      </c>
      <c r="AL799" s="378">
        <v>2.1158000000000001E-3</v>
      </c>
      <c r="AM799" s="378"/>
      <c r="AN799" s="417">
        <v>0</v>
      </c>
      <c r="AO799" s="417">
        <v>0</v>
      </c>
      <c r="AP799" s="417">
        <v>0</v>
      </c>
      <c r="AQ799" s="417">
        <v>0</v>
      </c>
      <c r="AR799" s="417">
        <v>0</v>
      </c>
    </row>
    <row r="800" spans="1:44">
      <c r="A800" s="377">
        <v>98511</v>
      </c>
      <c r="B800" t="s">
        <v>1496</v>
      </c>
      <c r="C800" s="378">
        <v>4.9599999999999999E-5</v>
      </c>
      <c r="D800" s="378"/>
      <c r="E800" s="417">
        <v>10115</v>
      </c>
      <c r="F800" s="417">
        <v>1418</v>
      </c>
      <c r="G800" s="417">
        <v>-4496</v>
      </c>
      <c r="H800" s="417">
        <v>-33256</v>
      </c>
      <c r="I800" s="417">
        <v>0</v>
      </c>
      <c r="J800" s="378">
        <v>4.9599999999999999E-5</v>
      </c>
      <c r="K800" s="378"/>
      <c r="L800" s="417">
        <v>12142</v>
      </c>
      <c r="M800" s="417">
        <v>8386</v>
      </c>
      <c r="N800" s="417">
        <v>3671</v>
      </c>
      <c r="O800" s="417">
        <v>0</v>
      </c>
      <c r="P800" s="417">
        <v>0</v>
      </c>
      <c r="Q800" s="378">
        <v>4.9599999999999999E-5</v>
      </c>
      <c r="R800" s="378"/>
      <c r="S800" s="417">
        <v>-24917</v>
      </c>
      <c r="T800" s="417">
        <v>-24629</v>
      </c>
      <c r="U800" s="417">
        <v>-25874</v>
      </c>
      <c r="V800" s="417">
        <v>-33256</v>
      </c>
      <c r="W800" s="417">
        <v>0</v>
      </c>
      <c r="X800" s="378">
        <v>4.9599999999999999E-5</v>
      </c>
      <c r="Z800" s="417">
        <v>19870</v>
      </c>
      <c r="AA800" s="417">
        <v>13960</v>
      </c>
      <c r="AB800" s="417">
        <v>13960</v>
      </c>
      <c r="AC800" s="417">
        <v>0</v>
      </c>
      <c r="AD800" s="417">
        <v>0</v>
      </c>
      <c r="AE800" s="378">
        <v>4.9599999999999999E-5</v>
      </c>
      <c r="AF800" s="378"/>
      <c r="AG800" s="417">
        <v>5304</v>
      </c>
      <c r="AH800" s="417">
        <v>5306</v>
      </c>
      <c r="AI800" s="417">
        <v>3747</v>
      </c>
      <c r="AJ800" s="417">
        <v>0</v>
      </c>
      <c r="AK800" s="417">
        <v>0</v>
      </c>
      <c r="AL800" s="378">
        <v>4.9599999999999999E-5</v>
      </c>
      <c r="AM800" s="378"/>
      <c r="AN800" s="417">
        <v>-2284</v>
      </c>
      <c r="AO800" s="417">
        <v>-1605</v>
      </c>
      <c r="AP800" s="417">
        <v>0</v>
      </c>
      <c r="AQ800" s="417">
        <v>0</v>
      </c>
      <c r="AR800" s="417">
        <v>0</v>
      </c>
    </row>
    <row r="801" spans="1:44">
      <c r="A801" s="377">
        <v>98517</v>
      </c>
      <c r="B801" t="s">
        <v>1497</v>
      </c>
      <c r="C801" s="378">
        <v>1.5999999999999999E-5</v>
      </c>
      <c r="D801" s="378"/>
      <c r="E801" s="417">
        <v>10224</v>
      </c>
      <c r="F801" s="417">
        <v>6770</v>
      </c>
      <c r="G801" s="417">
        <v>4713</v>
      </c>
      <c r="H801" s="417">
        <v>-10728</v>
      </c>
      <c r="I801" s="417">
        <v>0</v>
      </c>
      <c r="J801" s="378">
        <v>1.5999999999999999E-5</v>
      </c>
      <c r="K801" s="378"/>
      <c r="L801" s="417">
        <v>3917</v>
      </c>
      <c r="M801" s="417">
        <v>2705</v>
      </c>
      <c r="N801" s="417">
        <v>1184</v>
      </c>
      <c r="O801" s="417">
        <v>0</v>
      </c>
      <c r="P801" s="417">
        <v>0</v>
      </c>
      <c r="Q801" s="378">
        <v>1.5999999999999999E-5</v>
      </c>
      <c r="R801" s="378"/>
      <c r="S801" s="417">
        <v>-8038</v>
      </c>
      <c r="T801" s="417">
        <v>-7945</v>
      </c>
      <c r="U801" s="417">
        <v>-8346</v>
      </c>
      <c r="V801" s="417">
        <v>-10728</v>
      </c>
      <c r="W801" s="417">
        <v>0</v>
      </c>
      <c r="X801" s="378">
        <v>1.5999999999999999E-5</v>
      </c>
      <c r="Z801" s="417">
        <v>6410</v>
      </c>
      <c r="AA801" s="417">
        <v>4503</v>
      </c>
      <c r="AB801" s="417">
        <v>4503</v>
      </c>
      <c r="AC801" s="417">
        <v>0</v>
      </c>
      <c r="AD801" s="417">
        <v>0</v>
      </c>
      <c r="AE801" s="378">
        <v>1.5999999999999999E-5</v>
      </c>
      <c r="AF801" s="378"/>
      <c r="AG801" s="417">
        <v>8263</v>
      </c>
      <c r="AH801" s="417">
        <v>7833</v>
      </c>
      <c r="AI801" s="417">
        <v>7372</v>
      </c>
      <c r="AJ801" s="417">
        <v>0</v>
      </c>
      <c r="AK801" s="417">
        <v>0</v>
      </c>
      <c r="AL801" s="378">
        <v>1.5999999999999999E-5</v>
      </c>
      <c r="AM801" s="378"/>
      <c r="AN801" s="417">
        <v>-328</v>
      </c>
      <c r="AO801" s="417">
        <v>-326</v>
      </c>
      <c r="AP801" s="417">
        <v>0</v>
      </c>
      <c r="AQ801" s="417">
        <v>0</v>
      </c>
      <c r="AR801" s="417">
        <v>0</v>
      </c>
    </row>
    <row r="802" spans="1:44">
      <c r="A802" s="377">
        <v>98521</v>
      </c>
      <c r="B802" t="s">
        <v>1498</v>
      </c>
      <c r="C802" s="378">
        <v>6.4740000000000002E-4</v>
      </c>
      <c r="D802" s="378"/>
      <c r="E802" s="417">
        <v>79188</v>
      </c>
      <c r="F802" s="417">
        <v>-36420</v>
      </c>
      <c r="G802" s="417">
        <v>-118700</v>
      </c>
      <c r="H802" s="417">
        <v>-434065</v>
      </c>
      <c r="I802" s="417">
        <v>0</v>
      </c>
      <c r="J802" s="378">
        <v>6.4740000000000002E-4</v>
      </c>
      <c r="K802" s="378"/>
      <c r="L802" s="417">
        <v>158489</v>
      </c>
      <c r="M802" s="417">
        <v>109457</v>
      </c>
      <c r="N802" s="417">
        <v>47915</v>
      </c>
      <c r="O802" s="417">
        <v>0</v>
      </c>
      <c r="P802" s="417">
        <v>0</v>
      </c>
      <c r="Q802" s="378">
        <v>6.4740000000000002E-4</v>
      </c>
      <c r="R802" s="378"/>
      <c r="S802" s="417">
        <v>-325233</v>
      </c>
      <c r="T802" s="417">
        <v>-321470</v>
      </c>
      <c r="U802" s="417">
        <v>-337717</v>
      </c>
      <c r="V802" s="417">
        <v>-434065</v>
      </c>
      <c r="W802" s="417">
        <v>0</v>
      </c>
      <c r="X802" s="378">
        <v>6.4740000000000002E-4</v>
      </c>
      <c r="Z802" s="417">
        <v>259350</v>
      </c>
      <c r="AA802" s="417">
        <v>182207</v>
      </c>
      <c r="AB802" s="417">
        <v>182206</v>
      </c>
      <c r="AC802" s="417">
        <v>0</v>
      </c>
      <c r="AD802" s="417">
        <v>0</v>
      </c>
      <c r="AE802" s="378">
        <v>6.4740000000000002E-4</v>
      </c>
      <c r="AF802" s="378"/>
      <c r="AG802" s="417">
        <v>9129</v>
      </c>
      <c r="AH802" s="417">
        <v>9127</v>
      </c>
      <c r="AI802" s="417">
        <v>0</v>
      </c>
      <c r="AJ802" s="417">
        <v>0</v>
      </c>
      <c r="AK802" s="417">
        <v>0</v>
      </c>
      <c r="AL802" s="378">
        <v>6.4740000000000002E-4</v>
      </c>
      <c r="AM802" s="378"/>
      <c r="AN802" s="417">
        <v>-22547</v>
      </c>
      <c r="AO802" s="417">
        <v>-15741</v>
      </c>
      <c r="AP802" s="417">
        <v>-11104</v>
      </c>
      <c r="AQ802" s="417">
        <v>0</v>
      </c>
      <c r="AR802" s="417">
        <v>0</v>
      </c>
    </row>
    <row r="803" spans="1:44">
      <c r="A803" s="377">
        <v>98601</v>
      </c>
      <c r="B803" t="s">
        <v>1499</v>
      </c>
      <c r="C803" s="378">
        <v>3.5036999999999998E-3</v>
      </c>
      <c r="D803" s="378"/>
      <c r="E803" s="417">
        <v>441941</v>
      </c>
      <c r="F803" s="417">
        <v>-218290</v>
      </c>
      <c r="G803" s="417">
        <v>-658866</v>
      </c>
      <c r="H803" s="417">
        <v>-2349140</v>
      </c>
      <c r="I803" s="417">
        <v>0</v>
      </c>
      <c r="J803" s="378">
        <v>3.5036999999999998E-3</v>
      </c>
      <c r="K803" s="378"/>
      <c r="L803" s="417">
        <v>857734</v>
      </c>
      <c r="M803" s="417">
        <v>592378</v>
      </c>
      <c r="N803" s="417">
        <v>259316</v>
      </c>
      <c r="O803" s="417">
        <v>0</v>
      </c>
      <c r="P803" s="417">
        <v>0</v>
      </c>
      <c r="Q803" s="378">
        <v>3.5036999999999998E-3</v>
      </c>
      <c r="R803" s="378"/>
      <c r="S803" s="417">
        <v>-1760147</v>
      </c>
      <c r="T803" s="417">
        <v>-1739780</v>
      </c>
      <c r="U803" s="417">
        <v>-1827709</v>
      </c>
      <c r="V803" s="417">
        <v>-2349140</v>
      </c>
      <c r="W803" s="417">
        <v>0</v>
      </c>
      <c r="X803" s="378">
        <v>3.5036999999999998E-3</v>
      </c>
      <c r="Z803" s="417">
        <v>1403589</v>
      </c>
      <c r="AA803" s="417">
        <v>986099</v>
      </c>
      <c r="AB803" s="417">
        <v>986092</v>
      </c>
      <c r="AC803" s="417">
        <v>0</v>
      </c>
      <c r="AD803" s="417">
        <v>0</v>
      </c>
      <c r="AE803" s="378">
        <v>3.5036999999999998E-3</v>
      </c>
      <c r="AF803" s="378"/>
      <c r="AG803" s="417">
        <v>19582</v>
      </c>
      <c r="AH803" s="417">
        <v>19580</v>
      </c>
      <c r="AI803" s="417">
        <v>0</v>
      </c>
      <c r="AJ803" s="417">
        <v>0</v>
      </c>
      <c r="AK803" s="417">
        <v>0</v>
      </c>
      <c r="AL803" s="378">
        <v>3.5036999999999998E-3</v>
      </c>
      <c r="AM803" s="378"/>
      <c r="AN803" s="417">
        <v>-78817</v>
      </c>
      <c r="AO803" s="417">
        <v>-76567</v>
      </c>
      <c r="AP803" s="417">
        <v>-76565</v>
      </c>
      <c r="AQ803" s="417">
        <v>0</v>
      </c>
      <c r="AR803" s="417">
        <v>0</v>
      </c>
    </row>
    <row r="804" spans="1:44">
      <c r="A804" s="377">
        <v>98604</v>
      </c>
      <c r="B804" t="s">
        <v>1500</v>
      </c>
      <c r="C804" s="378">
        <v>1.5099999999999999E-5</v>
      </c>
      <c r="D804" s="378"/>
      <c r="E804" s="417">
        <v>5333</v>
      </c>
      <c r="F804" s="417">
        <v>2256</v>
      </c>
      <c r="G804" s="417">
        <v>-1622</v>
      </c>
      <c r="H804" s="417">
        <v>-10124</v>
      </c>
      <c r="I804" s="417">
        <v>0</v>
      </c>
      <c r="J804" s="378">
        <v>1.5099999999999999E-5</v>
      </c>
      <c r="K804" s="378"/>
      <c r="L804" s="417">
        <v>3697</v>
      </c>
      <c r="M804" s="417">
        <v>2553</v>
      </c>
      <c r="N804" s="417">
        <v>1118</v>
      </c>
      <c r="O804" s="417">
        <v>0</v>
      </c>
      <c r="P804" s="417">
        <v>0</v>
      </c>
      <c r="Q804" s="378">
        <v>1.5099999999999999E-5</v>
      </c>
      <c r="R804" s="378"/>
      <c r="S804" s="417">
        <v>-7586</v>
      </c>
      <c r="T804" s="417">
        <v>-7498</v>
      </c>
      <c r="U804" s="417">
        <v>-7877</v>
      </c>
      <c r="V804" s="417">
        <v>-10124</v>
      </c>
      <c r="W804" s="417">
        <v>0</v>
      </c>
      <c r="X804" s="378">
        <v>1.5099999999999999E-5</v>
      </c>
      <c r="Z804" s="417">
        <v>6049</v>
      </c>
      <c r="AA804" s="417">
        <v>4250</v>
      </c>
      <c r="AB804" s="417">
        <v>4250</v>
      </c>
      <c r="AC804" s="417">
        <v>0</v>
      </c>
      <c r="AD804" s="417">
        <v>0</v>
      </c>
      <c r="AE804" s="378">
        <v>1.5099999999999999E-5</v>
      </c>
      <c r="AF804" s="378"/>
      <c r="AG804" s="417">
        <v>3173</v>
      </c>
      <c r="AH804" s="417">
        <v>2951</v>
      </c>
      <c r="AI804" s="417">
        <v>887</v>
      </c>
      <c r="AJ804" s="417">
        <v>0</v>
      </c>
      <c r="AK804" s="417">
        <v>0</v>
      </c>
      <c r="AL804" s="378">
        <v>1.5099999999999999E-5</v>
      </c>
      <c r="AM804" s="378"/>
      <c r="AN804" s="417">
        <v>0</v>
      </c>
      <c r="AO804" s="417">
        <v>0</v>
      </c>
      <c r="AP804" s="417">
        <v>0</v>
      </c>
      <c r="AQ804" s="417">
        <v>0</v>
      </c>
      <c r="AR804" s="417">
        <v>0</v>
      </c>
    </row>
    <row r="805" spans="1:44">
      <c r="A805" s="377">
        <v>98607</v>
      </c>
      <c r="B805" t="s">
        <v>1501</v>
      </c>
      <c r="C805" s="378">
        <v>5.4E-6</v>
      </c>
      <c r="D805" s="378"/>
      <c r="E805" s="417">
        <v>1596</v>
      </c>
      <c r="F805" s="417">
        <v>230</v>
      </c>
      <c r="G805" s="417">
        <v>-428</v>
      </c>
      <c r="H805" s="417">
        <v>-3621</v>
      </c>
      <c r="I805" s="417">
        <v>0</v>
      </c>
      <c r="J805" s="378">
        <v>5.4E-6</v>
      </c>
      <c r="K805" s="378"/>
      <c r="L805" s="417">
        <v>1322</v>
      </c>
      <c r="M805" s="417">
        <v>913</v>
      </c>
      <c r="N805" s="417">
        <v>400</v>
      </c>
      <c r="O805" s="417">
        <v>0</v>
      </c>
      <c r="P805" s="417">
        <v>0</v>
      </c>
      <c r="Q805" s="378">
        <v>5.4E-6</v>
      </c>
      <c r="R805" s="378"/>
      <c r="S805" s="417">
        <v>-2713</v>
      </c>
      <c r="T805" s="417">
        <v>-2681</v>
      </c>
      <c r="U805" s="417">
        <v>-2817</v>
      </c>
      <c r="V805" s="417">
        <v>-3621</v>
      </c>
      <c r="W805" s="417">
        <v>0</v>
      </c>
      <c r="X805" s="378">
        <v>5.4E-6</v>
      </c>
      <c r="Z805" s="417">
        <v>2163</v>
      </c>
      <c r="AA805" s="417">
        <v>1520</v>
      </c>
      <c r="AB805" s="417">
        <v>1520</v>
      </c>
      <c r="AC805" s="417">
        <v>0</v>
      </c>
      <c r="AD805" s="417">
        <v>0</v>
      </c>
      <c r="AE805" s="378">
        <v>5.4E-6</v>
      </c>
      <c r="AF805" s="378"/>
      <c r="AG805" s="417">
        <v>1015</v>
      </c>
      <c r="AH805" s="417">
        <v>667</v>
      </c>
      <c r="AI805" s="417">
        <v>469</v>
      </c>
      <c r="AJ805" s="417">
        <v>0</v>
      </c>
      <c r="AK805" s="417">
        <v>0</v>
      </c>
      <c r="AL805" s="378">
        <v>5.4E-6</v>
      </c>
      <c r="AM805" s="378"/>
      <c r="AN805" s="417">
        <v>-191</v>
      </c>
      <c r="AO805" s="417">
        <v>-189</v>
      </c>
      <c r="AP805" s="417">
        <v>0</v>
      </c>
      <c r="AQ805" s="417">
        <v>0</v>
      </c>
      <c r="AR805" s="417">
        <v>0</v>
      </c>
    </row>
    <row r="806" spans="1:44">
      <c r="A806" s="377">
        <v>98608</v>
      </c>
      <c r="B806" t="s">
        <v>1502</v>
      </c>
      <c r="C806" s="378">
        <v>6.9300000000000004E-5</v>
      </c>
      <c r="D806" s="378"/>
      <c r="E806" s="417">
        <v>22060</v>
      </c>
      <c r="F806" s="417">
        <v>9211</v>
      </c>
      <c r="G806" s="417">
        <v>-8054</v>
      </c>
      <c r="H806" s="417">
        <v>-46464</v>
      </c>
      <c r="I806" s="417">
        <v>0</v>
      </c>
      <c r="J806" s="378">
        <v>6.9300000000000004E-5</v>
      </c>
      <c r="K806" s="378"/>
      <c r="L806" s="417">
        <v>16965</v>
      </c>
      <c r="M806" s="417">
        <v>11717</v>
      </c>
      <c r="N806" s="417">
        <v>5129</v>
      </c>
      <c r="O806" s="417">
        <v>0</v>
      </c>
      <c r="P806" s="417">
        <v>0</v>
      </c>
      <c r="Q806" s="378">
        <v>6.9300000000000004E-5</v>
      </c>
      <c r="R806" s="378"/>
      <c r="S806" s="417">
        <v>-34814</v>
      </c>
      <c r="T806" s="417">
        <v>-34411</v>
      </c>
      <c r="U806" s="417">
        <v>-36150</v>
      </c>
      <c r="V806" s="417">
        <v>-46464</v>
      </c>
      <c r="W806" s="417">
        <v>0</v>
      </c>
      <c r="X806" s="378">
        <v>6.9300000000000004E-5</v>
      </c>
      <c r="Z806" s="417">
        <v>27762</v>
      </c>
      <c r="AA806" s="417">
        <v>19504</v>
      </c>
      <c r="AB806" s="417">
        <v>19504</v>
      </c>
      <c r="AC806" s="417">
        <v>0</v>
      </c>
      <c r="AD806" s="417">
        <v>0</v>
      </c>
      <c r="AE806" s="378">
        <v>6.9300000000000004E-5</v>
      </c>
      <c r="AF806" s="378"/>
      <c r="AG806" s="417">
        <v>12399</v>
      </c>
      <c r="AH806" s="417">
        <v>12401</v>
      </c>
      <c r="AI806" s="417">
        <v>3463</v>
      </c>
      <c r="AJ806" s="417">
        <v>0</v>
      </c>
      <c r="AK806" s="417">
        <v>0</v>
      </c>
      <c r="AL806" s="378">
        <v>6.9300000000000004E-5</v>
      </c>
      <c r="AM806" s="378"/>
      <c r="AN806" s="417">
        <v>-252</v>
      </c>
      <c r="AO806" s="417">
        <v>0</v>
      </c>
      <c r="AP806" s="417">
        <v>0</v>
      </c>
      <c r="AQ806" s="417">
        <v>0</v>
      </c>
      <c r="AR806" s="417">
        <v>0</v>
      </c>
    </row>
    <row r="807" spans="1:44">
      <c r="A807" s="377">
        <v>98611</v>
      </c>
      <c r="B807" t="s">
        <v>1503</v>
      </c>
      <c r="C807" s="378">
        <v>1.1E-4</v>
      </c>
      <c r="D807" s="378"/>
      <c r="E807" s="417">
        <v>20040</v>
      </c>
      <c r="F807" s="417">
        <v>-6029</v>
      </c>
      <c r="G807" s="417">
        <v>-16481</v>
      </c>
      <c r="H807" s="417">
        <v>-73752</v>
      </c>
      <c r="I807" s="417">
        <v>0</v>
      </c>
      <c r="J807" s="378">
        <v>1.1E-4</v>
      </c>
      <c r="K807" s="378"/>
      <c r="L807" s="417">
        <v>26929</v>
      </c>
      <c r="M807" s="417">
        <v>18598</v>
      </c>
      <c r="N807" s="417">
        <v>8141</v>
      </c>
      <c r="O807" s="417">
        <v>0</v>
      </c>
      <c r="P807" s="417">
        <v>0</v>
      </c>
      <c r="Q807" s="378">
        <v>1.1E-4</v>
      </c>
      <c r="R807" s="378"/>
      <c r="S807" s="417">
        <v>-55260</v>
      </c>
      <c r="T807" s="417">
        <v>-54621</v>
      </c>
      <c r="U807" s="417">
        <v>-57382</v>
      </c>
      <c r="V807" s="417">
        <v>-73752</v>
      </c>
      <c r="W807" s="417">
        <v>0</v>
      </c>
      <c r="X807" s="378">
        <v>1.1E-4</v>
      </c>
      <c r="Z807" s="417">
        <v>44066</v>
      </c>
      <c r="AA807" s="417">
        <v>30959</v>
      </c>
      <c r="AB807" s="417">
        <v>30959</v>
      </c>
      <c r="AC807" s="417">
        <v>0</v>
      </c>
      <c r="AD807" s="417">
        <v>0</v>
      </c>
      <c r="AE807" s="378">
        <v>1.1E-4</v>
      </c>
      <c r="AF807" s="378"/>
      <c r="AG807" s="417">
        <v>8622</v>
      </c>
      <c r="AH807" s="417">
        <v>3351</v>
      </c>
      <c r="AI807" s="417">
        <v>1801</v>
      </c>
      <c r="AJ807" s="417">
        <v>0</v>
      </c>
      <c r="AK807" s="417">
        <v>0</v>
      </c>
      <c r="AL807" s="378">
        <v>1.1E-4</v>
      </c>
      <c r="AM807" s="378"/>
      <c r="AN807" s="417">
        <v>-4317</v>
      </c>
      <c r="AO807" s="417">
        <v>-4316</v>
      </c>
      <c r="AP807" s="417">
        <v>0</v>
      </c>
      <c r="AQ807" s="417">
        <v>0</v>
      </c>
      <c r="AR807" s="417">
        <v>0</v>
      </c>
    </row>
    <row r="808" spans="1:44">
      <c r="A808" s="377">
        <v>98621</v>
      </c>
      <c r="B808" t="s">
        <v>1504</v>
      </c>
      <c r="C808" s="378">
        <v>1.405E-4</v>
      </c>
      <c r="D808" s="378"/>
      <c r="E808" s="417">
        <v>21860</v>
      </c>
      <c r="F808" s="417">
        <v>-4764</v>
      </c>
      <c r="G808" s="417">
        <v>-23822</v>
      </c>
      <c r="H808" s="417">
        <v>-94202</v>
      </c>
      <c r="I808" s="417">
        <v>0</v>
      </c>
      <c r="J808" s="378">
        <v>1.405E-4</v>
      </c>
      <c r="K808" s="378"/>
      <c r="L808" s="417">
        <v>34396</v>
      </c>
      <c r="M808" s="417">
        <v>23755</v>
      </c>
      <c r="N808" s="417">
        <v>10399</v>
      </c>
      <c r="O808" s="417">
        <v>0</v>
      </c>
      <c r="P808" s="417">
        <v>0</v>
      </c>
      <c r="Q808" s="378">
        <v>1.405E-4</v>
      </c>
      <c r="R808" s="378"/>
      <c r="S808" s="417">
        <v>-70583</v>
      </c>
      <c r="T808" s="417">
        <v>-69766</v>
      </c>
      <c r="U808" s="417">
        <v>-73292</v>
      </c>
      <c r="V808" s="417">
        <v>-94202</v>
      </c>
      <c r="W808" s="417">
        <v>0</v>
      </c>
      <c r="X808" s="378">
        <v>1.405E-4</v>
      </c>
      <c r="Z808" s="417">
        <v>56285</v>
      </c>
      <c r="AA808" s="417">
        <v>39543</v>
      </c>
      <c r="AB808" s="417">
        <v>39543</v>
      </c>
      <c r="AC808" s="417">
        <v>0</v>
      </c>
      <c r="AD808" s="417">
        <v>0</v>
      </c>
      <c r="AE808" s="378">
        <v>1.405E-4</v>
      </c>
      <c r="AF808" s="378"/>
      <c r="AG808" s="417">
        <v>3792</v>
      </c>
      <c r="AH808" s="417">
        <v>3734</v>
      </c>
      <c r="AI808" s="417">
        <v>0</v>
      </c>
      <c r="AJ808" s="417">
        <v>0</v>
      </c>
      <c r="AK808" s="417">
        <v>0</v>
      </c>
      <c r="AL808" s="378">
        <v>1.405E-4</v>
      </c>
      <c r="AM808" s="378"/>
      <c r="AN808" s="417">
        <v>-2030</v>
      </c>
      <c r="AO808" s="417">
        <v>-2030</v>
      </c>
      <c r="AP808" s="417">
        <v>-472</v>
      </c>
      <c r="AQ808" s="417">
        <v>0</v>
      </c>
      <c r="AR808" s="417">
        <v>0</v>
      </c>
    </row>
    <row r="809" spans="1:44">
      <c r="A809" s="377">
        <v>98627</v>
      </c>
      <c r="B809" t="s">
        <v>1505</v>
      </c>
      <c r="C809" s="378">
        <v>1.0200000000000001E-5</v>
      </c>
      <c r="D809" s="378"/>
      <c r="E809" s="417">
        <v>2562</v>
      </c>
      <c r="F809" s="417">
        <v>801</v>
      </c>
      <c r="G809" s="417">
        <v>-85</v>
      </c>
      <c r="H809" s="417">
        <v>-6839</v>
      </c>
      <c r="I809" s="417">
        <v>0</v>
      </c>
      <c r="J809" s="378">
        <v>1.0200000000000001E-5</v>
      </c>
      <c r="K809" s="378"/>
      <c r="L809" s="417">
        <v>2497</v>
      </c>
      <c r="M809" s="417">
        <v>1725</v>
      </c>
      <c r="N809" s="417">
        <v>755</v>
      </c>
      <c r="O809" s="417">
        <v>0</v>
      </c>
      <c r="P809" s="417">
        <v>0</v>
      </c>
      <c r="Q809" s="378">
        <v>1.0200000000000001E-5</v>
      </c>
      <c r="R809" s="378"/>
      <c r="S809" s="417">
        <v>-5124</v>
      </c>
      <c r="T809" s="417">
        <v>-5065</v>
      </c>
      <c r="U809" s="417">
        <v>-5321</v>
      </c>
      <c r="V809" s="417">
        <v>-6839</v>
      </c>
      <c r="W809" s="417">
        <v>0</v>
      </c>
      <c r="X809" s="378">
        <v>1.0200000000000001E-5</v>
      </c>
      <c r="Z809" s="417">
        <v>4086</v>
      </c>
      <c r="AA809" s="417">
        <v>2871</v>
      </c>
      <c r="AB809" s="417">
        <v>2871</v>
      </c>
      <c r="AC809" s="417">
        <v>0</v>
      </c>
      <c r="AD809" s="417">
        <v>0</v>
      </c>
      <c r="AE809" s="378">
        <v>1.0200000000000001E-5</v>
      </c>
      <c r="AF809" s="378"/>
      <c r="AG809" s="417">
        <v>1610</v>
      </c>
      <c r="AH809" s="417">
        <v>1610</v>
      </c>
      <c r="AI809" s="417">
        <v>1610</v>
      </c>
      <c r="AJ809" s="417">
        <v>0</v>
      </c>
      <c r="AK809" s="417">
        <v>0</v>
      </c>
      <c r="AL809" s="378">
        <v>1.0200000000000001E-5</v>
      </c>
      <c r="AM809" s="378"/>
      <c r="AN809" s="417">
        <v>-507</v>
      </c>
      <c r="AO809" s="417">
        <v>-340</v>
      </c>
      <c r="AP809" s="417">
        <v>0</v>
      </c>
      <c r="AQ809" s="417">
        <v>0</v>
      </c>
      <c r="AR809" s="417">
        <v>0</v>
      </c>
    </row>
    <row r="810" spans="1:44">
      <c r="A810" s="377">
        <v>98631</v>
      </c>
      <c r="B810" t="s">
        <v>1506</v>
      </c>
      <c r="C810" s="378">
        <v>8.5400000000000005E-4</v>
      </c>
      <c r="D810" s="378"/>
      <c r="E810" s="417">
        <v>51989</v>
      </c>
      <c r="F810" s="417">
        <v>-114230</v>
      </c>
      <c r="G810" s="417">
        <v>-189052</v>
      </c>
      <c r="H810" s="417">
        <v>-572585</v>
      </c>
      <c r="I810" s="417">
        <v>0</v>
      </c>
      <c r="J810" s="378">
        <v>8.5400000000000005E-4</v>
      </c>
      <c r="K810" s="378"/>
      <c r="L810" s="417">
        <v>209066</v>
      </c>
      <c r="M810" s="417">
        <v>144387</v>
      </c>
      <c r="N810" s="417">
        <v>63206</v>
      </c>
      <c r="O810" s="417">
        <v>0</v>
      </c>
      <c r="P810" s="417">
        <v>0</v>
      </c>
      <c r="Q810" s="378">
        <v>8.5400000000000005E-4</v>
      </c>
      <c r="R810" s="378"/>
      <c r="S810" s="417">
        <v>-429022</v>
      </c>
      <c r="T810" s="417">
        <v>-424058</v>
      </c>
      <c r="U810" s="417">
        <v>-445490</v>
      </c>
      <c r="V810" s="417">
        <v>-572585</v>
      </c>
      <c r="W810" s="417">
        <v>0</v>
      </c>
      <c r="X810" s="378">
        <v>8.5400000000000005E-4</v>
      </c>
      <c r="Z810" s="417">
        <v>342114</v>
      </c>
      <c r="AA810" s="417">
        <v>240354</v>
      </c>
      <c r="AB810" s="417">
        <v>240352</v>
      </c>
      <c r="AC810" s="417">
        <v>0</v>
      </c>
      <c r="AD810" s="417">
        <v>0</v>
      </c>
      <c r="AE810" s="378">
        <v>8.5400000000000005E-4</v>
      </c>
      <c r="AF810" s="378"/>
      <c r="AG810" s="417">
        <v>4747</v>
      </c>
      <c r="AH810" s="417">
        <v>0</v>
      </c>
      <c r="AI810" s="417">
        <v>0</v>
      </c>
      <c r="AJ810" s="417">
        <v>0</v>
      </c>
      <c r="AK810" s="417">
        <v>0</v>
      </c>
      <c r="AL810" s="378">
        <v>8.5400000000000005E-4</v>
      </c>
      <c r="AM810" s="378"/>
      <c r="AN810" s="417">
        <v>-74916</v>
      </c>
      <c r="AO810" s="417">
        <v>-74913</v>
      </c>
      <c r="AP810" s="417">
        <v>-47120</v>
      </c>
      <c r="AQ810" s="417">
        <v>0</v>
      </c>
      <c r="AR810" s="417">
        <v>0</v>
      </c>
    </row>
    <row r="811" spans="1:44">
      <c r="A811" s="377">
        <v>98637</v>
      </c>
      <c r="B811" t="s">
        <v>1507</v>
      </c>
      <c r="C811" s="378">
        <v>2.1299999999999999E-5</v>
      </c>
      <c r="D811" s="378"/>
      <c r="E811" s="417">
        <v>11161</v>
      </c>
      <c r="F811" s="417">
        <v>5980</v>
      </c>
      <c r="G811" s="417">
        <v>-2619</v>
      </c>
      <c r="H811" s="417">
        <v>-14281</v>
      </c>
      <c r="I811" s="417">
        <v>0</v>
      </c>
      <c r="J811" s="378">
        <v>2.1299999999999999E-5</v>
      </c>
      <c r="K811" s="378"/>
      <c r="L811" s="417">
        <v>5214</v>
      </c>
      <c r="M811" s="417">
        <v>3601</v>
      </c>
      <c r="N811" s="417">
        <v>1576</v>
      </c>
      <c r="O811" s="417">
        <v>0</v>
      </c>
      <c r="P811" s="417">
        <v>0</v>
      </c>
      <c r="Q811" s="378">
        <v>2.1299999999999999E-5</v>
      </c>
      <c r="R811" s="378"/>
      <c r="S811" s="417">
        <v>-10700</v>
      </c>
      <c r="T811" s="417">
        <v>-10577</v>
      </c>
      <c r="U811" s="417">
        <v>-11111</v>
      </c>
      <c r="V811" s="417">
        <v>-14281</v>
      </c>
      <c r="W811" s="417">
        <v>0</v>
      </c>
      <c r="X811" s="378">
        <v>2.1299999999999999E-5</v>
      </c>
      <c r="Z811" s="417">
        <v>8533</v>
      </c>
      <c r="AA811" s="417">
        <v>5995</v>
      </c>
      <c r="AB811" s="417">
        <v>5995</v>
      </c>
      <c r="AC811" s="417">
        <v>0</v>
      </c>
      <c r="AD811" s="417">
        <v>0</v>
      </c>
      <c r="AE811" s="378">
        <v>2.1299999999999999E-5</v>
      </c>
      <c r="AF811" s="378"/>
      <c r="AG811" s="417">
        <v>8114</v>
      </c>
      <c r="AH811" s="417">
        <v>6961</v>
      </c>
      <c r="AI811" s="417">
        <v>921</v>
      </c>
      <c r="AJ811" s="417">
        <v>0</v>
      </c>
      <c r="AK811" s="417">
        <v>0</v>
      </c>
      <c r="AL811" s="378">
        <v>2.1299999999999999E-5</v>
      </c>
      <c r="AM811" s="378"/>
      <c r="AN811" s="417">
        <v>0</v>
      </c>
      <c r="AO811" s="417">
        <v>0</v>
      </c>
      <c r="AP811" s="417">
        <v>0</v>
      </c>
      <c r="AQ811" s="417">
        <v>0</v>
      </c>
      <c r="AR811" s="417">
        <v>0</v>
      </c>
    </row>
    <row r="812" spans="1:44">
      <c r="A812" s="377">
        <v>98641</v>
      </c>
      <c r="B812" t="s">
        <v>1508</v>
      </c>
      <c r="C812" s="378">
        <v>3.1060000000000001E-4</v>
      </c>
      <c r="D812" s="378"/>
      <c r="E812" s="417">
        <v>64121</v>
      </c>
      <c r="F812" s="417">
        <v>5122</v>
      </c>
      <c r="G812" s="417">
        <v>-39970</v>
      </c>
      <c r="H812" s="417">
        <v>-208249</v>
      </c>
      <c r="I812" s="417">
        <v>0</v>
      </c>
      <c r="J812" s="378">
        <v>3.1060000000000001E-4</v>
      </c>
      <c r="K812" s="378"/>
      <c r="L812" s="417">
        <v>76037</v>
      </c>
      <c r="M812" s="417">
        <v>52514</v>
      </c>
      <c r="N812" s="417">
        <v>22988</v>
      </c>
      <c r="O812" s="417">
        <v>0</v>
      </c>
      <c r="P812" s="417">
        <v>0</v>
      </c>
      <c r="Q812" s="378">
        <v>3.1060000000000001E-4</v>
      </c>
      <c r="R812" s="378"/>
      <c r="S812" s="417">
        <v>-156036</v>
      </c>
      <c r="T812" s="417">
        <v>-154230</v>
      </c>
      <c r="U812" s="417">
        <v>-162025</v>
      </c>
      <c r="V812" s="417">
        <v>-208249</v>
      </c>
      <c r="W812" s="417">
        <v>0</v>
      </c>
      <c r="X812" s="378">
        <v>3.1060000000000001E-4</v>
      </c>
      <c r="Z812" s="417">
        <v>124427</v>
      </c>
      <c r="AA812" s="417">
        <v>87417</v>
      </c>
      <c r="AB812" s="417">
        <v>87416</v>
      </c>
      <c r="AC812" s="417">
        <v>0</v>
      </c>
      <c r="AD812" s="417">
        <v>0</v>
      </c>
      <c r="AE812" s="378">
        <v>3.1060000000000001E-4</v>
      </c>
      <c r="AF812" s="378"/>
      <c r="AG812" s="417">
        <v>21353</v>
      </c>
      <c r="AH812" s="417">
        <v>21079</v>
      </c>
      <c r="AI812" s="417">
        <v>11651</v>
      </c>
      <c r="AJ812" s="417">
        <v>0</v>
      </c>
      <c r="AK812" s="417">
        <v>0</v>
      </c>
      <c r="AL812" s="378">
        <v>3.1060000000000001E-4</v>
      </c>
      <c r="AM812" s="378"/>
      <c r="AN812" s="417">
        <v>-1660</v>
      </c>
      <c r="AO812" s="417">
        <v>-1658</v>
      </c>
      <c r="AP812" s="417">
        <v>0</v>
      </c>
      <c r="AQ812" s="417">
        <v>0</v>
      </c>
      <c r="AR812" s="417">
        <v>0</v>
      </c>
    </row>
    <row r="813" spans="1:44">
      <c r="A813" s="377">
        <v>98701</v>
      </c>
      <c r="B813" t="s">
        <v>1509</v>
      </c>
      <c r="C813" s="378">
        <v>1.0554E-3</v>
      </c>
      <c r="D813" s="378"/>
      <c r="E813" s="417">
        <v>178753</v>
      </c>
      <c r="F813" s="417">
        <v>-10902</v>
      </c>
      <c r="G813" s="417">
        <v>-135488</v>
      </c>
      <c r="H813" s="417">
        <v>-707618</v>
      </c>
      <c r="I813" s="417">
        <v>0</v>
      </c>
      <c r="J813" s="378">
        <v>1.0554E-3</v>
      </c>
      <c r="K813" s="378"/>
      <c r="L813" s="417">
        <v>258370</v>
      </c>
      <c r="M813" s="417">
        <v>178439</v>
      </c>
      <c r="N813" s="417">
        <v>78112</v>
      </c>
      <c r="O813" s="417">
        <v>0</v>
      </c>
      <c r="P813" s="417">
        <v>0</v>
      </c>
      <c r="Q813" s="378">
        <v>1.0554E-3</v>
      </c>
      <c r="R813" s="378"/>
      <c r="S813" s="417">
        <v>-530199</v>
      </c>
      <c r="T813" s="417">
        <v>-524064</v>
      </c>
      <c r="U813" s="417">
        <v>-550550</v>
      </c>
      <c r="V813" s="417">
        <v>-707618</v>
      </c>
      <c r="W813" s="417">
        <v>0</v>
      </c>
      <c r="X813" s="378">
        <v>1.0554E-3</v>
      </c>
      <c r="Z813" s="417">
        <v>422795</v>
      </c>
      <c r="AA813" s="417">
        <v>297037</v>
      </c>
      <c r="AB813" s="417">
        <v>297035</v>
      </c>
      <c r="AC813" s="417">
        <v>0</v>
      </c>
      <c r="AD813" s="417">
        <v>0</v>
      </c>
      <c r="AE813" s="378">
        <v>1.0554E-3</v>
      </c>
      <c r="AF813" s="378"/>
      <c r="AG813" s="417">
        <v>57066</v>
      </c>
      <c r="AH813" s="417">
        <v>57065</v>
      </c>
      <c r="AI813" s="417">
        <v>39915</v>
      </c>
      <c r="AJ813" s="417">
        <v>0</v>
      </c>
      <c r="AK813" s="417">
        <v>0</v>
      </c>
      <c r="AL813" s="378">
        <v>1.0554E-3</v>
      </c>
      <c r="AM813" s="378"/>
      <c r="AN813" s="417">
        <v>-29279</v>
      </c>
      <c r="AO813" s="417">
        <v>-19379</v>
      </c>
      <c r="AP813" s="417">
        <v>0</v>
      </c>
      <c r="AQ813" s="417">
        <v>0</v>
      </c>
      <c r="AR813" s="417">
        <v>0</v>
      </c>
    </row>
    <row r="814" spans="1:44">
      <c r="A814" s="377">
        <v>98711</v>
      </c>
      <c r="B814" t="s">
        <v>1510</v>
      </c>
      <c r="C814" s="378">
        <v>1.6440000000000001E-4</v>
      </c>
      <c r="D814" s="378"/>
      <c r="E814" s="417">
        <v>15706</v>
      </c>
      <c r="F814" s="417">
        <v>-10349</v>
      </c>
      <c r="G814" s="417">
        <v>-18362</v>
      </c>
      <c r="H814" s="417">
        <v>-110226</v>
      </c>
      <c r="I814" s="417">
        <v>0</v>
      </c>
      <c r="J814" s="378">
        <v>1.6440000000000001E-4</v>
      </c>
      <c r="K814" s="378"/>
      <c r="L814" s="417">
        <v>40246</v>
      </c>
      <c r="M814" s="417">
        <v>27795</v>
      </c>
      <c r="N814" s="417">
        <v>12168</v>
      </c>
      <c r="O814" s="417">
        <v>0</v>
      </c>
      <c r="P814" s="417">
        <v>0</v>
      </c>
      <c r="Q814" s="378">
        <v>1.6440000000000001E-4</v>
      </c>
      <c r="R814" s="378"/>
      <c r="S814" s="417">
        <v>-82589</v>
      </c>
      <c r="T814" s="417">
        <v>-81634</v>
      </c>
      <c r="U814" s="417">
        <v>-85759</v>
      </c>
      <c r="V814" s="417">
        <v>-110226</v>
      </c>
      <c r="W814" s="417">
        <v>0</v>
      </c>
      <c r="X814" s="378">
        <v>1.6440000000000001E-4</v>
      </c>
      <c r="Z814" s="417">
        <v>65859</v>
      </c>
      <c r="AA814" s="417">
        <v>46270</v>
      </c>
      <c r="AB814" s="417">
        <v>46269</v>
      </c>
      <c r="AC814" s="417">
        <v>0</v>
      </c>
      <c r="AD814" s="417">
        <v>0</v>
      </c>
      <c r="AE814" s="378">
        <v>1.6440000000000001E-4</v>
      </c>
      <c r="AF814" s="378"/>
      <c r="AG814" s="417">
        <v>8961</v>
      </c>
      <c r="AH814" s="417">
        <v>8961</v>
      </c>
      <c r="AI814" s="417">
        <v>8960</v>
      </c>
      <c r="AJ814" s="417">
        <v>0</v>
      </c>
      <c r="AK814" s="417">
        <v>0</v>
      </c>
      <c r="AL814" s="378">
        <v>1.6440000000000001E-4</v>
      </c>
      <c r="AM814" s="378"/>
      <c r="AN814" s="417">
        <v>-16771</v>
      </c>
      <c r="AO814" s="417">
        <v>-11741</v>
      </c>
      <c r="AP814" s="417">
        <v>0</v>
      </c>
      <c r="AQ814" s="417">
        <v>0</v>
      </c>
      <c r="AR814" s="417">
        <v>0</v>
      </c>
    </row>
    <row r="815" spans="1:44">
      <c r="A815" s="377">
        <v>98717</v>
      </c>
      <c r="B815" t="s">
        <v>1511</v>
      </c>
      <c r="C815" s="378">
        <v>1.1600000000000001E-5</v>
      </c>
      <c r="D815" s="378"/>
      <c r="E815" s="417">
        <v>-2516</v>
      </c>
      <c r="F815" s="417">
        <v>-4277</v>
      </c>
      <c r="G815" s="417">
        <v>-3916</v>
      </c>
      <c r="H815" s="417">
        <v>-7777</v>
      </c>
      <c r="I815" s="417">
        <v>0</v>
      </c>
      <c r="J815" s="378">
        <v>1.1600000000000001E-5</v>
      </c>
      <c r="K815" s="378"/>
      <c r="L815" s="417">
        <v>2840</v>
      </c>
      <c r="M815" s="417">
        <v>1961</v>
      </c>
      <c r="N815" s="417">
        <v>859</v>
      </c>
      <c r="O815" s="417">
        <v>0</v>
      </c>
      <c r="P815" s="417">
        <v>0</v>
      </c>
      <c r="Q815" s="378">
        <v>1.1600000000000001E-5</v>
      </c>
      <c r="R815" s="378"/>
      <c r="S815" s="417">
        <v>-5827</v>
      </c>
      <c r="T815" s="417">
        <v>-5760</v>
      </c>
      <c r="U815" s="417">
        <v>-6051</v>
      </c>
      <c r="V815" s="417">
        <v>-7777</v>
      </c>
      <c r="W815" s="417">
        <v>0</v>
      </c>
      <c r="X815" s="378">
        <v>1.1600000000000001E-5</v>
      </c>
      <c r="Z815" s="417">
        <v>4647</v>
      </c>
      <c r="AA815" s="417">
        <v>3265</v>
      </c>
      <c r="AB815" s="417">
        <v>3265</v>
      </c>
      <c r="AC815" s="417">
        <v>0</v>
      </c>
      <c r="AD815" s="417">
        <v>0</v>
      </c>
      <c r="AE815" s="378">
        <v>1.1600000000000001E-5</v>
      </c>
      <c r="AF815" s="378"/>
      <c r="AG815" s="417">
        <v>371</v>
      </c>
      <c r="AH815" s="417">
        <v>372</v>
      </c>
      <c r="AI815" s="417">
        <v>0</v>
      </c>
      <c r="AJ815" s="417">
        <v>0</v>
      </c>
      <c r="AK815" s="417">
        <v>0</v>
      </c>
      <c r="AL815" s="378">
        <v>1.1600000000000001E-5</v>
      </c>
      <c r="AM815" s="378"/>
      <c r="AN815" s="417">
        <v>-4547</v>
      </c>
      <c r="AO815" s="417">
        <v>-4115</v>
      </c>
      <c r="AP815" s="417">
        <v>-1989</v>
      </c>
      <c r="AQ815" s="417">
        <v>0</v>
      </c>
      <c r="AR815" s="417">
        <v>0</v>
      </c>
    </row>
    <row r="816" spans="1:44">
      <c r="A816" s="377">
        <v>98801</v>
      </c>
      <c r="B816" t="s">
        <v>1512</v>
      </c>
      <c r="C816" s="378">
        <v>2.4087000000000002E-3</v>
      </c>
      <c r="D816" s="378"/>
      <c r="E816" s="417">
        <v>515731</v>
      </c>
      <c r="F816" s="417">
        <v>79318</v>
      </c>
      <c r="G816" s="417">
        <v>-318684</v>
      </c>
      <c r="H816" s="417">
        <v>-1614971</v>
      </c>
      <c r="I816" s="417">
        <v>0</v>
      </c>
      <c r="J816" s="378">
        <v>2.4087000000000002E-3</v>
      </c>
      <c r="K816" s="378"/>
      <c r="L816" s="417">
        <v>589669</v>
      </c>
      <c r="M816" s="417">
        <v>407244</v>
      </c>
      <c r="N816" s="417">
        <v>178273</v>
      </c>
      <c r="O816" s="417">
        <v>0</v>
      </c>
      <c r="P816" s="417">
        <v>0</v>
      </c>
      <c r="Q816" s="378">
        <v>2.4087000000000002E-3</v>
      </c>
      <c r="R816" s="378"/>
      <c r="S816" s="417">
        <v>-1210054</v>
      </c>
      <c r="T816" s="417">
        <v>-1196052</v>
      </c>
      <c r="U816" s="417">
        <v>-1256501</v>
      </c>
      <c r="V816" s="417">
        <v>-1614971</v>
      </c>
      <c r="W816" s="417">
        <v>0</v>
      </c>
      <c r="X816" s="378">
        <v>2.4087000000000002E-3</v>
      </c>
      <c r="Z816" s="417">
        <v>964930</v>
      </c>
      <c r="AA816" s="417">
        <v>677917</v>
      </c>
      <c r="AB816" s="417">
        <v>677912</v>
      </c>
      <c r="AC816" s="417">
        <v>0</v>
      </c>
      <c r="AD816" s="417">
        <v>0</v>
      </c>
      <c r="AE816" s="378">
        <v>2.4087000000000002E-3</v>
      </c>
      <c r="AF816" s="378"/>
      <c r="AG816" s="417">
        <v>190207</v>
      </c>
      <c r="AH816" s="417">
        <v>190209</v>
      </c>
      <c r="AI816" s="417">
        <v>81632</v>
      </c>
      <c r="AJ816" s="417">
        <v>0</v>
      </c>
      <c r="AK816" s="417">
        <v>0</v>
      </c>
      <c r="AL816" s="378">
        <v>2.4087000000000002E-3</v>
      </c>
      <c r="AM816" s="378"/>
      <c r="AN816" s="417">
        <v>-19021</v>
      </c>
      <c r="AO816" s="417">
        <v>0</v>
      </c>
      <c r="AP816" s="417">
        <v>0</v>
      </c>
      <c r="AQ816" s="417">
        <v>0</v>
      </c>
      <c r="AR816" s="417">
        <v>0</v>
      </c>
    </row>
    <row r="817" spans="1:44">
      <c r="A817" s="377">
        <v>98811</v>
      </c>
      <c r="B817" t="s">
        <v>1513</v>
      </c>
      <c r="C817" s="378">
        <v>5.6229999999999995E-4</v>
      </c>
      <c r="D817" s="378"/>
      <c r="E817" s="417">
        <v>54903</v>
      </c>
      <c r="F817" s="417">
        <v>-53252</v>
      </c>
      <c r="G817" s="417">
        <v>-135162</v>
      </c>
      <c r="H817" s="417">
        <v>-377008</v>
      </c>
      <c r="I817" s="417">
        <v>0</v>
      </c>
      <c r="J817" s="378">
        <v>5.6229999999999995E-4</v>
      </c>
      <c r="K817" s="378"/>
      <c r="L817" s="417">
        <v>137656</v>
      </c>
      <c r="M817" s="417">
        <v>95069</v>
      </c>
      <c r="N817" s="417">
        <v>41617</v>
      </c>
      <c r="O817" s="417">
        <v>0</v>
      </c>
      <c r="P817" s="417">
        <v>0</v>
      </c>
      <c r="Q817" s="378">
        <v>5.6229999999999995E-4</v>
      </c>
      <c r="R817" s="378"/>
      <c r="S817" s="417">
        <v>-282482</v>
      </c>
      <c r="T817" s="417">
        <v>-279213</v>
      </c>
      <c r="U817" s="417">
        <v>-293324</v>
      </c>
      <c r="V817" s="417">
        <v>-377008</v>
      </c>
      <c r="W817" s="417">
        <v>0</v>
      </c>
      <c r="X817" s="378">
        <v>5.6229999999999995E-4</v>
      </c>
      <c r="Z817" s="417">
        <v>225259</v>
      </c>
      <c r="AA817" s="417">
        <v>158257</v>
      </c>
      <c r="AB817" s="417">
        <v>158255</v>
      </c>
      <c r="AC817" s="417">
        <v>0</v>
      </c>
      <c r="AD817" s="417">
        <v>0</v>
      </c>
      <c r="AE817" s="378">
        <v>5.6229999999999995E-4</v>
      </c>
      <c r="AF817" s="378"/>
      <c r="AG817" s="417">
        <v>16179</v>
      </c>
      <c r="AH817" s="417">
        <v>14344</v>
      </c>
      <c r="AI817" s="417">
        <v>0</v>
      </c>
      <c r="AJ817" s="417">
        <v>0</v>
      </c>
      <c r="AK817" s="417">
        <v>0</v>
      </c>
      <c r="AL817" s="378">
        <v>5.6229999999999995E-4</v>
      </c>
      <c r="AM817" s="378"/>
      <c r="AN817" s="417">
        <v>-41709</v>
      </c>
      <c r="AO817" s="417">
        <v>-41709</v>
      </c>
      <c r="AP817" s="417">
        <v>-41710</v>
      </c>
      <c r="AQ817" s="417">
        <v>0</v>
      </c>
      <c r="AR817" s="417">
        <v>0</v>
      </c>
    </row>
    <row r="818" spans="1:44">
      <c r="A818" s="377">
        <v>98817</v>
      </c>
      <c r="B818" t="s">
        <v>1514</v>
      </c>
      <c r="C818" s="378">
        <v>1.5999999999999999E-5</v>
      </c>
      <c r="D818" s="378"/>
      <c r="E818" s="417">
        <v>3338</v>
      </c>
      <c r="F818" s="417">
        <v>73</v>
      </c>
      <c r="G818" s="417">
        <v>-534</v>
      </c>
      <c r="H818" s="417">
        <v>-10728</v>
      </c>
      <c r="I818" s="417">
        <v>0</v>
      </c>
      <c r="J818" s="378">
        <v>1.5999999999999999E-5</v>
      </c>
      <c r="K818" s="378"/>
      <c r="L818" s="417">
        <v>3917</v>
      </c>
      <c r="M818" s="417">
        <v>2705</v>
      </c>
      <c r="N818" s="417">
        <v>1184</v>
      </c>
      <c r="O818" s="417">
        <v>0</v>
      </c>
      <c r="P818" s="417">
        <v>0</v>
      </c>
      <c r="Q818" s="378">
        <v>1.5999999999999999E-5</v>
      </c>
      <c r="R818" s="378"/>
      <c r="S818" s="417">
        <v>-8038</v>
      </c>
      <c r="T818" s="417">
        <v>-7945</v>
      </c>
      <c r="U818" s="417">
        <v>-8346</v>
      </c>
      <c r="V818" s="417">
        <v>-10728</v>
      </c>
      <c r="W818" s="417">
        <v>0</v>
      </c>
      <c r="X818" s="378">
        <v>1.5999999999999999E-5</v>
      </c>
      <c r="Z818" s="417">
        <v>6410</v>
      </c>
      <c r="AA818" s="417">
        <v>4503</v>
      </c>
      <c r="AB818" s="417">
        <v>4503</v>
      </c>
      <c r="AC818" s="417">
        <v>0</v>
      </c>
      <c r="AD818" s="417">
        <v>0</v>
      </c>
      <c r="AE818" s="378">
        <v>1.5999999999999999E-5</v>
      </c>
      <c r="AF818" s="378"/>
      <c r="AG818" s="417">
        <v>2364</v>
      </c>
      <c r="AH818" s="417">
        <v>2124</v>
      </c>
      <c r="AI818" s="417">
        <v>2125</v>
      </c>
      <c r="AJ818" s="417">
        <v>0</v>
      </c>
      <c r="AK818" s="417">
        <v>0</v>
      </c>
      <c r="AL818" s="378">
        <v>1.5999999999999999E-5</v>
      </c>
      <c r="AM818" s="378"/>
      <c r="AN818" s="417">
        <v>-1315</v>
      </c>
      <c r="AO818" s="417">
        <v>-1314</v>
      </c>
      <c r="AP818" s="417">
        <v>0</v>
      </c>
      <c r="AQ818" s="417">
        <v>0</v>
      </c>
      <c r="AR818" s="417">
        <v>0</v>
      </c>
    </row>
    <row r="819" spans="1:44">
      <c r="A819" s="377">
        <v>98901</v>
      </c>
      <c r="B819" t="s">
        <v>1515</v>
      </c>
      <c r="C819" s="378">
        <v>2.7609999999999999E-4</v>
      </c>
      <c r="D819" s="378"/>
      <c r="E819" s="417">
        <v>41429</v>
      </c>
      <c r="F819" s="417">
        <v>-5265</v>
      </c>
      <c r="G819" s="417">
        <v>-46913</v>
      </c>
      <c r="H819" s="417">
        <v>-185118</v>
      </c>
      <c r="I819" s="417">
        <v>0</v>
      </c>
      <c r="J819" s="378">
        <v>2.7609999999999999E-4</v>
      </c>
      <c r="K819" s="378"/>
      <c r="L819" s="417">
        <v>67591</v>
      </c>
      <c r="M819" s="417">
        <v>46681</v>
      </c>
      <c r="N819" s="417">
        <v>20435</v>
      </c>
      <c r="O819" s="417">
        <v>0</v>
      </c>
      <c r="P819" s="417">
        <v>0</v>
      </c>
      <c r="Q819" s="378">
        <v>2.7609999999999999E-4</v>
      </c>
      <c r="R819" s="378"/>
      <c r="S819" s="417">
        <v>-138704</v>
      </c>
      <c r="T819" s="417">
        <v>-137099</v>
      </c>
      <c r="U819" s="417">
        <v>-144028</v>
      </c>
      <c r="V819" s="417">
        <v>-185118</v>
      </c>
      <c r="W819" s="417">
        <v>0</v>
      </c>
      <c r="X819" s="378">
        <v>2.7609999999999999E-4</v>
      </c>
      <c r="Z819" s="417">
        <v>110606</v>
      </c>
      <c r="AA819" s="417">
        <v>77707</v>
      </c>
      <c r="AB819" s="417">
        <v>77706</v>
      </c>
      <c r="AC819" s="417">
        <v>0</v>
      </c>
      <c r="AD819" s="417">
        <v>0</v>
      </c>
      <c r="AE819" s="378">
        <v>2.7609999999999999E-4</v>
      </c>
      <c r="AF819" s="378"/>
      <c r="AG819" s="417">
        <v>8478</v>
      </c>
      <c r="AH819" s="417">
        <v>8474</v>
      </c>
      <c r="AI819" s="417">
        <v>0</v>
      </c>
      <c r="AJ819" s="417">
        <v>0</v>
      </c>
      <c r="AK819" s="417">
        <v>0</v>
      </c>
      <c r="AL819" s="378">
        <v>2.7609999999999999E-4</v>
      </c>
      <c r="AM819" s="378"/>
      <c r="AN819" s="417">
        <v>-6542</v>
      </c>
      <c r="AO819" s="417">
        <v>-1028</v>
      </c>
      <c r="AP819" s="417">
        <v>-1026</v>
      </c>
      <c r="AQ819" s="417">
        <v>0</v>
      </c>
      <c r="AR819" s="417">
        <v>0</v>
      </c>
    </row>
    <row r="820" spans="1:44">
      <c r="A820" s="377">
        <v>98904</v>
      </c>
      <c r="B820" t="s">
        <v>1516</v>
      </c>
      <c r="C820" s="378">
        <v>2.9000000000000002E-6</v>
      </c>
      <c r="D820" s="378"/>
      <c r="E820" s="417">
        <v>-258</v>
      </c>
      <c r="F820" s="417">
        <v>-956</v>
      </c>
      <c r="G820" s="417">
        <v>-1160</v>
      </c>
      <c r="H820" s="417">
        <v>-1944</v>
      </c>
      <c r="I820" s="417">
        <v>0</v>
      </c>
      <c r="J820" s="378">
        <v>2.9000000000000002E-6</v>
      </c>
      <c r="K820" s="378"/>
      <c r="L820" s="417">
        <v>710</v>
      </c>
      <c r="M820" s="417">
        <v>490</v>
      </c>
      <c r="N820" s="417">
        <v>215</v>
      </c>
      <c r="O820" s="417">
        <v>0</v>
      </c>
      <c r="P820" s="417">
        <v>0</v>
      </c>
      <c r="Q820" s="378">
        <v>2.9000000000000002E-6</v>
      </c>
      <c r="R820" s="378"/>
      <c r="S820" s="417">
        <v>-1457</v>
      </c>
      <c r="T820" s="417">
        <v>-1440</v>
      </c>
      <c r="U820" s="417">
        <v>-1513</v>
      </c>
      <c r="V820" s="417">
        <v>-1944</v>
      </c>
      <c r="W820" s="417">
        <v>0</v>
      </c>
      <c r="X820" s="378">
        <v>2.9000000000000002E-6</v>
      </c>
      <c r="Z820" s="417">
        <v>1162</v>
      </c>
      <c r="AA820" s="417">
        <v>816</v>
      </c>
      <c r="AB820" s="417">
        <v>816</v>
      </c>
      <c r="AC820" s="417">
        <v>0</v>
      </c>
      <c r="AD820" s="417">
        <v>0</v>
      </c>
      <c r="AE820" s="378">
        <v>2.9000000000000002E-6</v>
      </c>
      <c r="AF820" s="378"/>
      <c r="AG820" s="417">
        <v>151</v>
      </c>
      <c r="AH820" s="417">
        <v>0</v>
      </c>
      <c r="AI820" s="417">
        <v>0</v>
      </c>
      <c r="AJ820" s="417">
        <v>0</v>
      </c>
      <c r="AK820" s="417">
        <v>0</v>
      </c>
      <c r="AL820" s="378">
        <v>2.9000000000000002E-6</v>
      </c>
      <c r="AM820" s="378"/>
      <c r="AN820" s="417">
        <v>-824</v>
      </c>
      <c r="AO820" s="417">
        <v>-822</v>
      </c>
      <c r="AP820" s="417">
        <v>-678</v>
      </c>
      <c r="AQ820" s="417">
        <v>0</v>
      </c>
      <c r="AR820" s="417">
        <v>0</v>
      </c>
    </row>
    <row r="821" spans="1:44">
      <c r="A821" s="377">
        <v>98911</v>
      </c>
      <c r="B821" t="s">
        <v>1517</v>
      </c>
      <c r="C821" s="378">
        <v>2.2500000000000001E-5</v>
      </c>
      <c r="D821" s="378"/>
      <c r="E821" s="417">
        <v>10626</v>
      </c>
      <c r="F821" s="417">
        <v>5016</v>
      </c>
      <c r="G821" s="417">
        <v>-1520</v>
      </c>
      <c r="H821" s="417">
        <v>-15086</v>
      </c>
      <c r="I821" s="417">
        <v>0</v>
      </c>
      <c r="J821" s="378">
        <v>2.2500000000000001E-5</v>
      </c>
      <c r="K821" s="378"/>
      <c r="L821" s="417">
        <v>5508</v>
      </c>
      <c r="M821" s="417">
        <v>3804</v>
      </c>
      <c r="N821" s="417">
        <v>1665</v>
      </c>
      <c r="O821" s="417">
        <v>0</v>
      </c>
      <c r="P821" s="417">
        <v>0</v>
      </c>
      <c r="Q821" s="378">
        <v>2.2500000000000001E-5</v>
      </c>
      <c r="R821" s="378"/>
      <c r="S821" s="417">
        <v>-11303</v>
      </c>
      <c r="T821" s="417">
        <v>-11172</v>
      </c>
      <c r="U821" s="417">
        <v>-11737</v>
      </c>
      <c r="V821" s="417">
        <v>-15086</v>
      </c>
      <c r="W821" s="417">
        <v>0</v>
      </c>
      <c r="X821" s="378">
        <v>2.2500000000000001E-5</v>
      </c>
      <c r="Z821" s="417">
        <v>9014</v>
      </c>
      <c r="AA821" s="417">
        <v>6333</v>
      </c>
      <c r="AB821" s="417">
        <v>6332</v>
      </c>
      <c r="AC821" s="417">
        <v>0</v>
      </c>
      <c r="AD821" s="417">
        <v>0</v>
      </c>
      <c r="AE821" s="378">
        <v>2.2500000000000001E-5</v>
      </c>
      <c r="AF821" s="378"/>
      <c r="AG821" s="417">
        <v>7697</v>
      </c>
      <c r="AH821" s="417">
        <v>6340</v>
      </c>
      <c r="AI821" s="417">
        <v>2220</v>
      </c>
      <c r="AJ821" s="417">
        <v>0</v>
      </c>
      <c r="AK821" s="417">
        <v>0</v>
      </c>
      <c r="AL821" s="378">
        <v>2.2500000000000001E-5</v>
      </c>
      <c r="AM821" s="378"/>
      <c r="AN821" s="417">
        <v>-290</v>
      </c>
      <c r="AO821" s="417">
        <v>-289</v>
      </c>
      <c r="AP821" s="417">
        <v>0</v>
      </c>
      <c r="AQ821" s="417">
        <v>0</v>
      </c>
      <c r="AR821" s="417">
        <v>0</v>
      </c>
    </row>
    <row r="822" spans="1:44">
      <c r="A822" s="377">
        <v>99001</v>
      </c>
      <c r="B822" t="s">
        <v>1518</v>
      </c>
      <c r="C822" s="378">
        <v>9.5493999999999996E-3</v>
      </c>
      <c r="D822" s="378"/>
      <c r="E822" s="417">
        <v>1830469</v>
      </c>
      <c r="F822" s="417">
        <v>15103</v>
      </c>
      <c r="G822" s="417">
        <v>-1438707</v>
      </c>
      <c r="H822" s="417">
        <v>-6402624</v>
      </c>
      <c r="I822" s="417">
        <v>0</v>
      </c>
      <c r="J822" s="378">
        <v>9.5493999999999996E-3</v>
      </c>
      <c r="K822" s="378"/>
      <c r="L822" s="417">
        <v>2337770</v>
      </c>
      <c r="M822" s="417">
        <v>1614536</v>
      </c>
      <c r="N822" s="417">
        <v>706770</v>
      </c>
      <c r="O822" s="417">
        <v>0</v>
      </c>
      <c r="P822" s="417">
        <v>0</v>
      </c>
      <c r="Q822" s="378">
        <v>9.5493999999999996E-3</v>
      </c>
      <c r="R822" s="378"/>
      <c r="S822" s="417">
        <v>-4797313</v>
      </c>
      <c r="T822" s="417">
        <v>-4741802</v>
      </c>
      <c r="U822" s="417">
        <v>-4981454</v>
      </c>
      <c r="V822" s="417">
        <v>-6402624</v>
      </c>
      <c r="W822" s="417">
        <v>0</v>
      </c>
      <c r="X822" s="378">
        <v>9.5493999999999996E-3</v>
      </c>
      <c r="Z822" s="417">
        <v>3825509</v>
      </c>
      <c r="AA822" s="417">
        <v>2687631</v>
      </c>
      <c r="AB822" s="417">
        <v>2687612</v>
      </c>
      <c r="AC822" s="417">
        <v>0</v>
      </c>
      <c r="AD822" s="417">
        <v>0</v>
      </c>
      <c r="AE822" s="378">
        <v>9.5493999999999996E-3</v>
      </c>
      <c r="AF822" s="378"/>
      <c r="AG822" s="417">
        <v>464503</v>
      </c>
      <c r="AH822" s="417">
        <v>454738</v>
      </c>
      <c r="AI822" s="417">
        <v>148365</v>
      </c>
      <c r="AJ822" s="417">
        <v>0</v>
      </c>
      <c r="AK822" s="417">
        <v>0</v>
      </c>
      <c r="AL822" s="378">
        <v>9.5493999999999996E-3</v>
      </c>
      <c r="AM822" s="378"/>
      <c r="AN822" s="417">
        <v>0</v>
      </c>
      <c r="AO822" s="417">
        <v>0</v>
      </c>
      <c r="AP822" s="417">
        <v>0</v>
      </c>
      <c r="AQ822" s="417">
        <v>0</v>
      </c>
      <c r="AR822" s="417">
        <v>0</v>
      </c>
    </row>
    <row r="823" spans="1:44">
      <c r="A823" s="377">
        <v>99011</v>
      </c>
      <c r="B823" t="s">
        <v>1519</v>
      </c>
      <c r="C823" s="378">
        <v>3.8801E-3</v>
      </c>
      <c r="D823" s="378"/>
      <c r="E823" s="417">
        <v>603158</v>
      </c>
      <c r="F823" s="417">
        <v>-130703</v>
      </c>
      <c r="G823" s="417">
        <v>-619898</v>
      </c>
      <c r="H823" s="417">
        <v>-2601506</v>
      </c>
      <c r="I823" s="417">
        <v>0</v>
      </c>
      <c r="J823" s="378">
        <v>3.8801E-3</v>
      </c>
      <c r="K823" s="378"/>
      <c r="L823" s="417">
        <v>949880</v>
      </c>
      <c r="M823" s="417">
        <v>656016</v>
      </c>
      <c r="N823" s="417">
        <v>287174</v>
      </c>
      <c r="O823" s="417">
        <v>0</v>
      </c>
      <c r="P823" s="417">
        <v>0</v>
      </c>
      <c r="Q823" s="378">
        <v>3.8801E-3</v>
      </c>
      <c r="R823" s="378"/>
      <c r="S823" s="417">
        <v>-1949238</v>
      </c>
      <c r="T823" s="417">
        <v>-1926683</v>
      </c>
      <c r="U823" s="417">
        <v>-2024058</v>
      </c>
      <c r="V823" s="417">
        <v>-2601506</v>
      </c>
      <c r="W823" s="417">
        <v>0</v>
      </c>
      <c r="X823" s="378">
        <v>3.8801E-3</v>
      </c>
      <c r="Z823" s="417">
        <v>1554376</v>
      </c>
      <c r="AA823" s="417">
        <v>1092035</v>
      </c>
      <c r="AB823" s="417">
        <v>1092027</v>
      </c>
      <c r="AC823" s="417">
        <v>0</v>
      </c>
      <c r="AD823" s="417">
        <v>0</v>
      </c>
      <c r="AE823" s="378">
        <v>3.8801E-3</v>
      </c>
      <c r="AF823" s="378"/>
      <c r="AG823" s="417">
        <v>48140</v>
      </c>
      <c r="AH823" s="417">
        <v>47929</v>
      </c>
      <c r="AI823" s="417">
        <v>24959</v>
      </c>
      <c r="AJ823" s="417">
        <v>0</v>
      </c>
      <c r="AK823" s="417">
        <v>0</v>
      </c>
      <c r="AL823" s="378">
        <v>3.8801E-3</v>
      </c>
      <c r="AM823" s="378"/>
      <c r="AN823" s="417">
        <v>0</v>
      </c>
      <c r="AO823" s="417">
        <v>0</v>
      </c>
      <c r="AP823" s="417">
        <v>0</v>
      </c>
      <c r="AQ823" s="417">
        <v>0</v>
      </c>
      <c r="AR823" s="417">
        <v>0</v>
      </c>
    </row>
    <row r="824" spans="1:44">
      <c r="A824" s="377">
        <v>99013</v>
      </c>
      <c r="B824" t="s">
        <v>1520</v>
      </c>
      <c r="C824" s="378">
        <v>7.5599999999999994E-5</v>
      </c>
      <c r="D824" s="378"/>
      <c r="E824" s="417">
        <v>33198</v>
      </c>
      <c r="F824" s="417">
        <v>19258</v>
      </c>
      <c r="G824" s="417">
        <v>8304</v>
      </c>
      <c r="H824" s="417">
        <v>-50688</v>
      </c>
      <c r="I824" s="417">
        <v>0</v>
      </c>
      <c r="J824" s="378">
        <v>7.5599999999999994E-5</v>
      </c>
      <c r="K824" s="378"/>
      <c r="L824" s="417">
        <v>18507</v>
      </c>
      <c r="M824" s="417">
        <v>12782</v>
      </c>
      <c r="N824" s="417">
        <v>5595</v>
      </c>
      <c r="O824" s="417">
        <v>0</v>
      </c>
      <c r="P824" s="417">
        <v>0</v>
      </c>
      <c r="Q824" s="378">
        <v>7.5599999999999994E-5</v>
      </c>
      <c r="R824" s="378"/>
      <c r="S824" s="417">
        <v>-37979</v>
      </c>
      <c r="T824" s="417">
        <v>-37540</v>
      </c>
      <c r="U824" s="417">
        <v>-39437</v>
      </c>
      <c r="V824" s="417">
        <v>-50688</v>
      </c>
      <c r="W824" s="417">
        <v>0</v>
      </c>
      <c r="X824" s="378">
        <v>7.5599999999999994E-5</v>
      </c>
      <c r="Z824" s="417">
        <v>30286</v>
      </c>
      <c r="AA824" s="417">
        <v>21277</v>
      </c>
      <c r="AB824" s="417">
        <v>21277</v>
      </c>
      <c r="AC824" s="417">
        <v>0</v>
      </c>
      <c r="AD824" s="417">
        <v>0</v>
      </c>
      <c r="AE824" s="378">
        <v>7.5599999999999994E-5</v>
      </c>
      <c r="AF824" s="378"/>
      <c r="AG824" s="417">
        <v>22743</v>
      </c>
      <c r="AH824" s="417">
        <v>22739</v>
      </c>
      <c r="AI824" s="417">
        <v>20869</v>
      </c>
      <c r="AJ824" s="417">
        <v>0</v>
      </c>
      <c r="AK824" s="417">
        <v>0</v>
      </c>
      <c r="AL824" s="378">
        <v>7.5599999999999994E-5</v>
      </c>
      <c r="AM824" s="378"/>
      <c r="AN824" s="417">
        <v>-359</v>
      </c>
      <c r="AO824" s="417">
        <v>0</v>
      </c>
      <c r="AP824" s="417">
        <v>0</v>
      </c>
      <c r="AQ824" s="417">
        <v>0</v>
      </c>
      <c r="AR824" s="417">
        <v>0</v>
      </c>
    </row>
    <row r="825" spans="1:44">
      <c r="A825" s="377">
        <v>99014</v>
      </c>
      <c r="B825" t="s">
        <v>1521</v>
      </c>
      <c r="C825" s="378">
        <v>1.9899999999999999E-5</v>
      </c>
      <c r="D825" s="378"/>
      <c r="E825" s="417">
        <v>5755</v>
      </c>
      <c r="F825" s="417">
        <v>2049</v>
      </c>
      <c r="G825" s="417">
        <v>-2729</v>
      </c>
      <c r="H825" s="417">
        <v>-13342</v>
      </c>
      <c r="I825" s="417">
        <v>0</v>
      </c>
      <c r="J825" s="378">
        <v>1.9899999999999999E-5</v>
      </c>
      <c r="K825" s="378"/>
      <c r="L825" s="417">
        <v>4872</v>
      </c>
      <c r="M825" s="417">
        <v>3365</v>
      </c>
      <c r="N825" s="417">
        <v>1473</v>
      </c>
      <c r="O825" s="417">
        <v>0</v>
      </c>
      <c r="P825" s="417">
        <v>0</v>
      </c>
      <c r="Q825" s="378">
        <v>1.9899999999999999E-5</v>
      </c>
      <c r="R825" s="378"/>
      <c r="S825" s="417">
        <v>-9997</v>
      </c>
      <c r="T825" s="417">
        <v>-9881</v>
      </c>
      <c r="U825" s="417">
        <v>-10381</v>
      </c>
      <c r="V825" s="417">
        <v>-13342</v>
      </c>
      <c r="W825" s="417">
        <v>0</v>
      </c>
      <c r="X825" s="378">
        <v>1.9899999999999999E-5</v>
      </c>
      <c r="Z825" s="417">
        <v>7972</v>
      </c>
      <c r="AA825" s="417">
        <v>5601</v>
      </c>
      <c r="AB825" s="417">
        <v>5601</v>
      </c>
      <c r="AC825" s="417">
        <v>0</v>
      </c>
      <c r="AD825" s="417">
        <v>0</v>
      </c>
      <c r="AE825" s="378">
        <v>1.9899999999999999E-5</v>
      </c>
      <c r="AF825" s="378"/>
      <c r="AG825" s="417">
        <v>3255</v>
      </c>
      <c r="AH825" s="417">
        <v>3254</v>
      </c>
      <c r="AI825" s="417">
        <v>578</v>
      </c>
      <c r="AJ825" s="417">
        <v>0</v>
      </c>
      <c r="AK825" s="417">
        <v>0</v>
      </c>
      <c r="AL825" s="378">
        <v>1.9899999999999999E-5</v>
      </c>
      <c r="AM825" s="378"/>
      <c r="AN825" s="417">
        <v>-347</v>
      </c>
      <c r="AO825" s="417">
        <v>-290</v>
      </c>
      <c r="AP825" s="417">
        <v>0</v>
      </c>
      <c r="AQ825" s="417">
        <v>0</v>
      </c>
      <c r="AR825" s="417">
        <v>0</v>
      </c>
    </row>
    <row r="826" spans="1:44">
      <c r="A826" s="377">
        <v>99017</v>
      </c>
      <c r="B826" t="s">
        <v>1522</v>
      </c>
      <c r="C826" s="378">
        <v>4.8300000000000002E-5</v>
      </c>
      <c r="D826" s="378"/>
      <c r="E826" s="417">
        <v>9727</v>
      </c>
      <c r="F826" s="417">
        <v>1421</v>
      </c>
      <c r="G826" s="417">
        <v>-278</v>
      </c>
      <c r="H826" s="417">
        <v>-32384</v>
      </c>
      <c r="I826" s="417">
        <v>0</v>
      </c>
      <c r="J826" s="378">
        <v>4.8300000000000002E-5</v>
      </c>
      <c r="K826" s="378"/>
      <c r="L826" s="417">
        <v>11824</v>
      </c>
      <c r="M826" s="417">
        <v>8166</v>
      </c>
      <c r="N826" s="417">
        <v>3575</v>
      </c>
      <c r="O826" s="417">
        <v>0</v>
      </c>
      <c r="P826" s="417">
        <v>0</v>
      </c>
      <c r="Q826" s="378">
        <v>4.8300000000000002E-5</v>
      </c>
      <c r="R826" s="378"/>
      <c r="S826" s="417">
        <v>-24264</v>
      </c>
      <c r="T826" s="417">
        <v>-23984</v>
      </c>
      <c r="U826" s="417">
        <v>-25196</v>
      </c>
      <c r="V826" s="417">
        <v>-32384</v>
      </c>
      <c r="W826" s="417">
        <v>0</v>
      </c>
      <c r="X826" s="378">
        <v>4.8300000000000002E-5</v>
      </c>
      <c r="Z826" s="417">
        <v>19349</v>
      </c>
      <c r="AA826" s="417">
        <v>13594</v>
      </c>
      <c r="AB826" s="417">
        <v>13594</v>
      </c>
      <c r="AC826" s="417">
        <v>0</v>
      </c>
      <c r="AD826" s="417">
        <v>0</v>
      </c>
      <c r="AE826" s="378">
        <v>4.8300000000000002E-5</v>
      </c>
      <c r="AF826" s="378"/>
      <c r="AG826" s="417">
        <v>8115</v>
      </c>
      <c r="AH826" s="417">
        <v>8117</v>
      </c>
      <c r="AI826" s="417">
        <v>7749</v>
      </c>
      <c r="AJ826" s="417">
        <v>0</v>
      </c>
      <c r="AK826" s="417">
        <v>0</v>
      </c>
      <c r="AL826" s="378">
        <v>4.8300000000000002E-5</v>
      </c>
      <c r="AM826" s="378"/>
      <c r="AN826" s="417">
        <v>-5297</v>
      </c>
      <c r="AO826" s="417">
        <v>-4472</v>
      </c>
      <c r="AP826" s="417">
        <v>0</v>
      </c>
      <c r="AQ826" s="417">
        <v>0</v>
      </c>
      <c r="AR826" s="417">
        <v>0</v>
      </c>
    </row>
    <row r="827" spans="1:44">
      <c r="A827" s="377">
        <v>99021</v>
      </c>
      <c r="B827" t="s">
        <v>1523</v>
      </c>
      <c r="C827" s="378">
        <v>1.3019999999999999E-4</v>
      </c>
      <c r="D827" s="378"/>
      <c r="E827" s="417">
        <v>12458</v>
      </c>
      <c r="F827" s="417">
        <v>-8854</v>
      </c>
      <c r="G827" s="417">
        <v>-21859</v>
      </c>
      <c r="H827" s="417">
        <v>-87296</v>
      </c>
      <c r="I827" s="417">
        <v>0</v>
      </c>
      <c r="J827" s="378">
        <v>1.3019999999999999E-4</v>
      </c>
      <c r="K827" s="378"/>
      <c r="L827" s="417">
        <v>31874</v>
      </c>
      <c r="M827" s="417">
        <v>22013</v>
      </c>
      <c r="N827" s="417">
        <v>9636</v>
      </c>
      <c r="O827" s="417">
        <v>0</v>
      </c>
      <c r="P827" s="417">
        <v>0</v>
      </c>
      <c r="Q827" s="378">
        <v>1.3019999999999999E-4</v>
      </c>
      <c r="R827" s="378"/>
      <c r="S827" s="417">
        <v>-65408</v>
      </c>
      <c r="T827" s="417">
        <v>-64651</v>
      </c>
      <c r="U827" s="417">
        <v>-67919</v>
      </c>
      <c r="V827" s="417">
        <v>-87296</v>
      </c>
      <c r="W827" s="417">
        <v>0</v>
      </c>
      <c r="X827" s="378">
        <v>1.3019999999999999E-4</v>
      </c>
      <c r="Z827" s="417">
        <v>52158</v>
      </c>
      <c r="AA827" s="417">
        <v>36644</v>
      </c>
      <c r="AB827" s="417">
        <v>36644</v>
      </c>
      <c r="AC827" s="417">
        <v>0</v>
      </c>
      <c r="AD827" s="417">
        <v>0</v>
      </c>
      <c r="AE827" s="378">
        <v>1.3019999999999999E-4</v>
      </c>
      <c r="AF827" s="378"/>
      <c r="AG827" s="417">
        <v>923</v>
      </c>
      <c r="AH827" s="417">
        <v>923</v>
      </c>
      <c r="AI827" s="417">
        <v>0</v>
      </c>
      <c r="AJ827" s="417">
        <v>0</v>
      </c>
      <c r="AK827" s="417">
        <v>0</v>
      </c>
      <c r="AL827" s="378">
        <v>1.3019999999999999E-4</v>
      </c>
      <c r="AM827" s="378"/>
      <c r="AN827" s="417">
        <v>-7089</v>
      </c>
      <c r="AO827" s="417">
        <v>-3783</v>
      </c>
      <c r="AP827" s="417">
        <v>-220</v>
      </c>
      <c r="AQ827" s="417">
        <v>0</v>
      </c>
      <c r="AR827" s="417">
        <v>0</v>
      </c>
    </row>
    <row r="828" spans="1:44">
      <c r="A828" s="377">
        <v>99022</v>
      </c>
      <c r="B828" t="s">
        <v>211</v>
      </c>
      <c r="C828" s="378">
        <v>7.7999999999999999E-6</v>
      </c>
      <c r="D828" s="378"/>
      <c r="E828" s="417">
        <v>6969</v>
      </c>
      <c r="F828" s="417">
        <v>4230</v>
      </c>
      <c r="G828" s="417">
        <v>1297</v>
      </c>
      <c r="H828" s="417">
        <v>-5230</v>
      </c>
      <c r="I828" s="417">
        <v>0</v>
      </c>
      <c r="J828" s="378">
        <v>7.7999999999999999E-6</v>
      </c>
      <c r="K828" s="378"/>
      <c r="L828" s="417">
        <v>1910</v>
      </c>
      <c r="M828" s="417">
        <v>1319</v>
      </c>
      <c r="N828" s="417">
        <v>577</v>
      </c>
      <c r="O828" s="417">
        <v>0</v>
      </c>
      <c r="P828" s="417">
        <v>0</v>
      </c>
      <c r="Q828" s="378">
        <v>7.7999999999999999E-6</v>
      </c>
      <c r="R828" s="378"/>
      <c r="S828" s="417">
        <v>-3918</v>
      </c>
      <c r="T828" s="417">
        <v>-3873</v>
      </c>
      <c r="U828" s="417">
        <v>-4069</v>
      </c>
      <c r="V828" s="417">
        <v>-5230</v>
      </c>
      <c r="W828" s="417">
        <v>0</v>
      </c>
      <c r="X828" s="378">
        <v>7.7999999999999999E-6</v>
      </c>
      <c r="Z828" s="417">
        <v>3125</v>
      </c>
      <c r="AA828" s="417">
        <v>2195</v>
      </c>
      <c r="AB828" s="417">
        <v>2195</v>
      </c>
      <c r="AC828" s="417">
        <v>0</v>
      </c>
      <c r="AD828" s="417">
        <v>0</v>
      </c>
      <c r="AE828" s="378">
        <v>7.7999999999999999E-6</v>
      </c>
      <c r="AF828" s="378"/>
      <c r="AG828" s="417">
        <v>5852</v>
      </c>
      <c r="AH828" s="417">
        <v>4589</v>
      </c>
      <c r="AI828" s="417">
        <v>2594</v>
      </c>
      <c r="AJ828" s="417">
        <v>0</v>
      </c>
      <c r="AK828" s="417">
        <v>0</v>
      </c>
      <c r="AL828" s="378">
        <v>7.7999999999999999E-6</v>
      </c>
      <c r="AM828" s="378"/>
      <c r="AN828" s="417">
        <v>0</v>
      </c>
      <c r="AO828" s="417">
        <v>0</v>
      </c>
      <c r="AP828" s="417">
        <v>0</v>
      </c>
      <c r="AQ828" s="417">
        <v>0</v>
      </c>
      <c r="AR828" s="417">
        <v>0</v>
      </c>
    </row>
    <row r="829" spans="1:44">
      <c r="A829" s="377">
        <v>99031</v>
      </c>
      <c r="B829" t="s">
        <v>1524</v>
      </c>
      <c r="C829" s="378">
        <v>9.4400000000000004E-5</v>
      </c>
      <c r="D829" s="378"/>
      <c r="E829" s="417">
        <v>-2355</v>
      </c>
      <c r="F829" s="417">
        <v>-16049</v>
      </c>
      <c r="G829" s="417">
        <v>-15548</v>
      </c>
      <c r="H829" s="417">
        <v>-63293</v>
      </c>
      <c r="I829" s="417">
        <v>0</v>
      </c>
      <c r="J829" s="378">
        <v>9.4400000000000004E-5</v>
      </c>
      <c r="K829" s="378"/>
      <c r="L829" s="417">
        <v>23110</v>
      </c>
      <c r="M829" s="417">
        <v>15960</v>
      </c>
      <c r="N829" s="417">
        <v>6987</v>
      </c>
      <c r="O829" s="417">
        <v>0</v>
      </c>
      <c r="P829" s="417">
        <v>0</v>
      </c>
      <c r="Q829" s="378">
        <v>9.4400000000000004E-5</v>
      </c>
      <c r="R829" s="378"/>
      <c r="S829" s="417">
        <v>-47424</v>
      </c>
      <c r="T829" s="417">
        <v>-46875</v>
      </c>
      <c r="U829" s="417">
        <v>-49244</v>
      </c>
      <c r="V829" s="417">
        <v>-63293</v>
      </c>
      <c r="W829" s="417">
        <v>0</v>
      </c>
      <c r="X829" s="378">
        <v>9.4400000000000004E-5</v>
      </c>
      <c r="Z829" s="417">
        <v>37817</v>
      </c>
      <c r="AA829" s="417">
        <v>26568</v>
      </c>
      <c r="AB829" s="417">
        <v>26568</v>
      </c>
      <c r="AC829" s="417">
        <v>0</v>
      </c>
      <c r="AD829" s="417">
        <v>0</v>
      </c>
      <c r="AE829" s="378">
        <v>9.4400000000000004E-5</v>
      </c>
      <c r="AF829" s="378"/>
      <c r="AG829" s="417">
        <v>142</v>
      </c>
      <c r="AH829" s="417">
        <v>142</v>
      </c>
      <c r="AI829" s="417">
        <v>141</v>
      </c>
      <c r="AJ829" s="417">
        <v>0</v>
      </c>
      <c r="AK829" s="417">
        <v>0</v>
      </c>
      <c r="AL829" s="378">
        <v>9.4400000000000004E-5</v>
      </c>
      <c r="AM829" s="378"/>
      <c r="AN829" s="417">
        <v>-16000</v>
      </c>
      <c r="AO829" s="417">
        <v>-11844</v>
      </c>
      <c r="AP829" s="417">
        <v>0</v>
      </c>
      <c r="AQ829" s="417">
        <v>0</v>
      </c>
      <c r="AR829" s="417">
        <v>0</v>
      </c>
    </row>
    <row r="830" spans="1:44">
      <c r="A830" s="377">
        <v>99041</v>
      </c>
      <c r="B830" t="s">
        <v>1525</v>
      </c>
      <c r="C830" s="378">
        <v>6.4740000000000002E-4</v>
      </c>
      <c r="D830" s="378"/>
      <c r="E830" s="417">
        <v>77784</v>
      </c>
      <c r="F830" s="417">
        <v>-41349</v>
      </c>
      <c r="G830" s="417">
        <v>-113429</v>
      </c>
      <c r="H830" s="417">
        <v>-434065</v>
      </c>
      <c r="I830" s="417">
        <v>0</v>
      </c>
      <c r="J830" s="378">
        <v>6.4740000000000002E-4</v>
      </c>
      <c r="K830" s="378"/>
      <c r="L830" s="417">
        <v>158489</v>
      </c>
      <c r="M830" s="417">
        <v>109457</v>
      </c>
      <c r="N830" s="417">
        <v>47915</v>
      </c>
      <c r="O830" s="417">
        <v>0</v>
      </c>
      <c r="P830" s="417">
        <v>0</v>
      </c>
      <c r="Q830" s="378">
        <v>6.4740000000000002E-4</v>
      </c>
      <c r="R830" s="378"/>
      <c r="S830" s="417">
        <v>-325233</v>
      </c>
      <c r="T830" s="417">
        <v>-321470</v>
      </c>
      <c r="U830" s="417">
        <v>-337717</v>
      </c>
      <c r="V830" s="417">
        <v>-434065</v>
      </c>
      <c r="W830" s="417">
        <v>0</v>
      </c>
      <c r="X830" s="378">
        <v>6.4740000000000002E-4</v>
      </c>
      <c r="Z830" s="417">
        <v>259350</v>
      </c>
      <c r="AA830" s="417">
        <v>182207</v>
      </c>
      <c r="AB830" s="417">
        <v>182206</v>
      </c>
      <c r="AC830" s="417">
        <v>0</v>
      </c>
      <c r="AD830" s="417">
        <v>0</v>
      </c>
      <c r="AE830" s="378">
        <v>6.4740000000000002E-4</v>
      </c>
      <c r="AF830" s="378"/>
      <c r="AG830" s="417">
        <v>3544</v>
      </c>
      <c r="AH830" s="417">
        <v>3545</v>
      </c>
      <c r="AI830" s="417">
        <v>0</v>
      </c>
      <c r="AJ830" s="417">
        <v>0</v>
      </c>
      <c r="AK830" s="417">
        <v>0</v>
      </c>
      <c r="AL830" s="378">
        <v>6.4740000000000002E-4</v>
      </c>
      <c r="AM830" s="378"/>
      <c r="AN830" s="417">
        <v>-18366</v>
      </c>
      <c r="AO830" s="417">
        <v>-15088</v>
      </c>
      <c r="AP830" s="417">
        <v>-5833</v>
      </c>
      <c r="AQ830" s="417">
        <v>0</v>
      </c>
      <c r="AR830" s="417">
        <v>0</v>
      </c>
    </row>
    <row r="831" spans="1:44">
      <c r="A831" s="377">
        <v>99047</v>
      </c>
      <c r="B831" t="s">
        <v>1526</v>
      </c>
      <c r="C831" s="378">
        <v>1.98E-5</v>
      </c>
      <c r="D831" s="378"/>
      <c r="E831" s="417">
        <v>10672</v>
      </c>
      <c r="F831" s="417">
        <v>6250</v>
      </c>
      <c r="G831" s="417">
        <v>1584</v>
      </c>
      <c r="H831" s="417">
        <v>-13275</v>
      </c>
      <c r="I831" s="417">
        <v>0</v>
      </c>
      <c r="J831" s="378">
        <v>1.98E-5</v>
      </c>
      <c r="K831" s="378"/>
      <c r="L831" s="417">
        <v>4847</v>
      </c>
      <c r="M831" s="417">
        <v>3348</v>
      </c>
      <c r="N831" s="417">
        <v>1465</v>
      </c>
      <c r="O831" s="417">
        <v>0</v>
      </c>
      <c r="P831" s="417">
        <v>0</v>
      </c>
      <c r="Q831" s="378">
        <v>1.98E-5</v>
      </c>
      <c r="R831" s="378"/>
      <c r="S831" s="417">
        <v>-9947</v>
      </c>
      <c r="T831" s="417">
        <v>-9832</v>
      </c>
      <c r="U831" s="417">
        <v>-10329</v>
      </c>
      <c r="V831" s="417">
        <v>-13275</v>
      </c>
      <c r="W831" s="417">
        <v>0</v>
      </c>
      <c r="X831" s="378">
        <v>1.98E-5</v>
      </c>
      <c r="Z831" s="417">
        <v>7932</v>
      </c>
      <c r="AA831" s="417">
        <v>5573</v>
      </c>
      <c r="AB831" s="417">
        <v>5573</v>
      </c>
      <c r="AC831" s="417">
        <v>0</v>
      </c>
      <c r="AD831" s="417">
        <v>0</v>
      </c>
      <c r="AE831" s="378">
        <v>1.98E-5</v>
      </c>
      <c r="AF831" s="378"/>
      <c r="AG831" s="417">
        <v>7840</v>
      </c>
      <c r="AH831" s="417">
        <v>7161</v>
      </c>
      <c r="AI831" s="417">
        <v>4875</v>
      </c>
      <c r="AJ831" s="417">
        <v>0</v>
      </c>
      <c r="AK831" s="417">
        <v>0</v>
      </c>
      <c r="AL831" s="378">
        <v>1.98E-5</v>
      </c>
      <c r="AM831" s="378"/>
      <c r="AN831" s="417">
        <v>0</v>
      </c>
      <c r="AO831" s="417">
        <v>0</v>
      </c>
      <c r="AP831" s="417">
        <v>0</v>
      </c>
      <c r="AQ831" s="417">
        <v>0</v>
      </c>
      <c r="AR831" s="417">
        <v>0</v>
      </c>
    </row>
    <row r="832" spans="1:44">
      <c r="A832" s="377">
        <v>99051</v>
      </c>
      <c r="B832" t="s">
        <v>1527</v>
      </c>
      <c r="C832" s="378">
        <v>3.3849999999999999E-4</v>
      </c>
      <c r="D832" s="378"/>
      <c r="E832" s="417">
        <v>29838</v>
      </c>
      <c r="F832" s="417">
        <v>-31294</v>
      </c>
      <c r="G832" s="417">
        <v>-70734</v>
      </c>
      <c r="H832" s="417">
        <v>-226955</v>
      </c>
      <c r="I832" s="417">
        <v>0</v>
      </c>
      <c r="J832" s="378">
        <v>3.3849999999999999E-4</v>
      </c>
      <c r="K832" s="378"/>
      <c r="L832" s="417">
        <v>82868</v>
      </c>
      <c r="M832" s="417">
        <v>57231</v>
      </c>
      <c r="N832" s="417">
        <v>25053</v>
      </c>
      <c r="O832" s="417">
        <v>0</v>
      </c>
      <c r="P832" s="417">
        <v>0</v>
      </c>
      <c r="Q832" s="378">
        <v>3.3849999999999999E-4</v>
      </c>
      <c r="R832" s="378"/>
      <c r="S832" s="417">
        <v>-170052</v>
      </c>
      <c r="T832" s="417">
        <v>-168084</v>
      </c>
      <c r="U832" s="417">
        <v>-176579</v>
      </c>
      <c r="V832" s="417">
        <v>-226955</v>
      </c>
      <c r="W832" s="417">
        <v>0</v>
      </c>
      <c r="X832" s="378">
        <v>3.3849999999999999E-4</v>
      </c>
      <c r="Z832" s="417">
        <v>135604</v>
      </c>
      <c r="AA832" s="417">
        <v>95269</v>
      </c>
      <c r="AB832" s="417">
        <v>95268</v>
      </c>
      <c r="AC832" s="417">
        <v>0</v>
      </c>
      <c r="AD832" s="417">
        <v>0</v>
      </c>
      <c r="AE832" s="378">
        <v>3.3849999999999999E-4</v>
      </c>
      <c r="AF832" s="378"/>
      <c r="AG832" s="417">
        <v>2951</v>
      </c>
      <c r="AH832" s="417">
        <v>2950</v>
      </c>
      <c r="AI832" s="417">
        <v>0</v>
      </c>
      <c r="AJ832" s="417">
        <v>0</v>
      </c>
      <c r="AK832" s="417">
        <v>0</v>
      </c>
      <c r="AL832" s="378">
        <v>3.3849999999999999E-4</v>
      </c>
      <c r="AM832" s="378"/>
      <c r="AN832" s="417">
        <v>-21533</v>
      </c>
      <c r="AO832" s="417">
        <v>-18660</v>
      </c>
      <c r="AP832" s="417">
        <v>-14476</v>
      </c>
      <c r="AQ832" s="417">
        <v>0</v>
      </c>
      <c r="AR832" s="417">
        <v>0</v>
      </c>
    </row>
    <row r="833" spans="1:44">
      <c r="A833" s="377">
        <v>99061</v>
      </c>
      <c r="B833" t="s">
        <v>1528</v>
      </c>
      <c r="C833" s="378">
        <v>5.4E-6</v>
      </c>
      <c r="D833" s="378"/>
      <c r="E833" s="417">
        <v>2640</v>
      </c>
      <c r="F833" s="417">
        <v>778</v>
      </c>
      <c r="G833" s="417">
        <v>-196</v>
      </c>
      <c r="H833" s="417">
        <v>-3621</v>
      </c>
      <c r="I833" s="417">
        <v>0</v>
      </c>
      <c r="J833" s="378">
        <v>5.4E-6</v>
      </c>
      <c r="K833" s="378"/>
      <c r="L833" s="417">
        <v>1322</v>
      </c>
      <c r="M833" s="417">
        <v>913</v>
      </c>
      <c r="N833" s="417">
        <v>400</v>
      </c>
      <c r="O833" s="417">
        <v>0</v>
      </c>
      <c r="P833" s="417">
        <v>0</v>
      </c>
      <c r="Q833" s="378">
        <v>5.4E-6</v>
      </c>
      <c r="R833" s="378"/>
      <c r="S833" s="417">
        <v>-2713</v>
      </c>
      <c r="T833" s="417">
        <v>-2681</v>
      </c>
      <c r="U833" s="417">
        <v>-2817</v>
      </c>
      <c r="V833" s="417">
        <v>-3621</v>
      </c>
      <c r="W833" s="417">
        <v>0</v>
      </c>
      <c r="X833" s="378">
        <v>5.4E-6</v>
      </c>
      <c r="Z833" s="417">
        <v>2163</v>
      </c>
      <c r="AA833" s="417">
        <v>1520</v>
      </c>
      <c r="AB833" s="417">
        <v>1520</v>
      </c>
      <c r="AC833" s="417">
        <v>0</v>
      </c>
      <c r="AD833" s="417">
        <v>0</v>
      </c>
      <c r="AE833" s="378">
        <v>5.4E-6</v>
      </c>
      <c r="AF833" s="378"/>
      <c r="AG833" s="417">
        <v>1868</v>
      </c>
      <c r="AH833" s="417">
        <v>1026</v>
      </c>
      <c r="AI833" s="417">
        <v>701</v>
      </c>
      <c r="AJ833" s="417">
        <v>0</v>
      </c>
      <c r="AK833" s="417">
        <v>0</v>
      </c>
      <c r="AL833" s="378">
        <v>5.4E-6</v>
      </c>
      <c r="AM833" s="378"/>
      <c r="AN833" s="417">
        <v>0</v>
      </c>
      <c r="AO833" s="417">
        <v>0</v>
      </c>
      <c r="AP833" s="417">
        <v>0</v>
      </c>
      <c r="AQ833" s="417">
        <v>0</v>
      </c>
      <c r="AR833" s="417">
        <v>0</v>
      </c>
    </row>
    <row r="834" spans="1:44">
      <c r="A834" s="377">
        <v>99071</v>
      </c>
      <c r="B834" t="s">
        <v>1529</v>
      </c>
      <c r="C834" s="378">
        <v>2.48E-5</v>
      </c>
      <c r="D834" s="378"/>
      <c r="E834" s="417">
        <v>5279</v>
      </c>
      <c r="F834" s="417">
        <v>1438</v>
      </c>
      <c r="G834" s="417">
        <v>-2292</v>
      </c>
      <c r="H834" s="417">
        <v>-16628</v>
      </c>
      <c r="I834" s="417">
        <v>0</v>
      </c>
      <c r="J834" s="378">
        <v>2.48E-5</v>
      </c>
      <c r="K834" s="378"/>
      <c r="L834" s="417">
        <v>6071</v>
      </c>
      <c r="M834" s="417">
        <v>4193</v>
      </c>
      <c r="N834" s="417">
        <v>1835</v>
      </c>
      <c r="O834" s="417">
        <v>0</v>
      </c>
      <c r="P834" s="417">
        <v>0</v>
      </c>
      <c r="Q834" s="378">
        <v>2.48E-5</v>
      </c>
      <c r="R834" s="378"/>
      <c r="S834" s="417">
        <v>-12459</v>
      </c>
      <c r="T834" s="417">
        <v>-12315</v>
      </c>
      <c r="U834" s="417">
        <v>-12937</v>
      </c>
      <c r="V834" s="417">
        <v>-16628</v>
      </c>
      <c r="W834" s="417">
        <v>0</v>
      </c>
      <c r="X834" s="378">
        <v>2.48E-5</v>
      </c>
      <c r="Z834" s="417">
        <v>9935</v>
      </c>
      <c r="AA834" s="417">
        <v>6980</v>
      </c>
      <c r="AB834" s="417">
        <v>6980</v>
      </c>
      <c r="AC834" s="417">
        <v>0</v>
      </c>
      <c r="AD834" s="417">
        <v>0</v>
      </c>
      <c r="AE834" s="378">
        <v>2.48E-5</v>
      </c>
      <c r="AF834" s="378"/>
      <c r="AG834" s="417">
        <v>2966</v>
      </c>
      <c r="AH834" s="417">
        <v>2966</v>
      </c>
      <c r="AI834" s="417">
        <v>1830</v>
      </c>
      <c r="AJ834" s="417">
        <v>0</v>
      </c>
      <c r="AK834" s="417">
        <v>0</v>
      </c>
      <c r="AL834" s="378">
        <v>2.48E-5</v>
      </c>
      <c r="AM834" s="378"/>
      <c r="AN834" s="417">
        <v>-1234</v>
      </c>
      <c r="AO834" s="417">
        <v>-386</v>
      </c>
      <c r="AP834" s="417">
        <v>0</v>
      </c>
      <c r="AQ834" s="417">
        <v>0</v>
      </c>
      <c r="AR834" s="417">
        <v>0</v>
      </c>
    </row>
    <row r="835" spans="1:44">
      <c r="A835" s="377">
        <v>99081</v>
      </c>
      <c r="B835" t="s">
        <v>1530</v>
      </c>
      <c r="C835" s="378">
        <v>5.0699999999999999E-5</v>
      </c>
      <c r="D835" s="378"/>
      <c r="E835" s="417">
        <v>18013</v>
      </c>
      <c r="F835" s="417">
        <v>7365</v>
      </c>
      <c r="G835" s="417">
        <v>-2688</v>
      </c>
      <c r="H835" s="417">
        <v>-33993</v>
      </c>
      <c r="I835" s="417">
        <v>0</v>
      </c>
      <c r="J835" s="378">
        <v>5.0699999999999999E-5</v>
      </c>
      <c r="K835" s="378"/>
      <c r="L835" s="417">
        <v>12412</v>
      </c>
      <c r="M835" s="417">
        <v>8572</v>
      </c>
      <c r="N835" s="417">
        <v>3752</v>
      </c>
      <c r="O835" s="417">
        <v>0</v>
      </c>
      <c r="P835" s="417">
        <v>0</v>
      </c>
      <c r="Q835" s="378">
        <v>5.0699999999999999E-5</v>
      </c>
      <c r="R835" s="378"/>
      <c r="S835" s="417">
        <v>-25470</v>
      </c>
      <c r="T835" s="417">
        <v>-25175</v>
      </c>
      <c r="U835" s="417">
        <v>-26448</v>
      </c>
      <c r="V835" s="417">
        <v>-33993</v>
      </c>
      <c r="W835" s="417">
        <v>0</v>
      </c>
      <c r="X835" s="378">
        <v>5.0699999999999999E-5</v>
      </c>
      <c r="Z835" s="417">
        <v>20311</v>
      </c>
      <c r="AA835" s="417">
        <v>14269</v>
      </c>
      <c r="AB835" s="417">
        <v>14269</v>
      </c>
      <c r="AC835" s="417">
        <v>0</v>
      </c>
      <c r="AD835" s="417">
        <v>0</v>
      </c>
      <c r="AE835" s="378">
        <v>5.0699999999999999E-5</v>
      </c>
      <c r="AF835" s="378"/>
      <c r="AG835" s="417">
        <v>10760</v>
      </c>
      <c r="AH835" s="417">
        <v>9699</v>
      </c>
      <c r="AI835" s="417">
        <v>5739</v>
      </c>
      <c r="AJ835" s="417">
        <v>0</v>
      </c>
      <c r="AK835" s="417">
        <v>0</v>
      </c>
      <c r="AL835" s="378">
        <v>5.0699999999999999E-5</v>
      </c>
      <c r="AM835" s="378"/>
      <c r="AN835" s="417">
        <v>0</v>
      </c>
      <c r="AO835" s="417">
        <v>0</v>
      </c>
      <c r="AP835" s="417">
        <v>0</v>
      </c>
      <c r="AQ835" s="417">
        <v>0</v>
      </c>
      <c r="AR835" s="417">
        <v>0</v>
      </c>
    </row>
    <row r="836" spans="1:44">
      <c r="A836" s="377">
        <v>99091</v>
      </c>
      <c r="B836" t="s">
        <v>1531</v>
      </c>
      <c r="C836" s="378">
        <v>7.4000000000000003E-6</v>
      </c>
      <c r="D836" s="378"/>
      <c r="E836" s="417">
        <v>4841</v>
      </c>
      <c r="F836" s="417">
        <v>2877</v>
      </c>
      <c r="G836" s="417">
        <v>-4865</v>
      </c>
      <c r="H836" s="417">
        <v>-4962</v>
      </c>
      <c r="I836" s="417">
        <v>0</v>
      </c>
      <c r="J836" s="378">
        <v>7.4000000000000003E-6</v>
      </c>
      <c r="K836" s="378"/>
      <c r="L836" s="417">
        <v>1812</v>
      </c>
      <c r="M836" s="417">
        <v>1251</v>
      </c>
      <c r="N836" s="417">
        <v>548</v>
      </c>
      <c r="O836" s="417">
        <v>0</v>
      </c>
      <c r="P836" s="417">
        <v>0</v>
      </c>
      <c r="Q836" s="378">
        <v>7.4000000000000003E-6</v>
      </c>
      <c r="R836" s="378"/>
      <c r="S836" s="417">
        <v>-3718</v>
      </c>
      <c r="T836" s="417">
        <v>-3675</v>
      </c>
      <c r="U836" s="417">
        <v>-3860</v>
      </c>
      <c r="V836" s="417">
        <v>-4962</v>
      </c>
      <c r="W836" s="417">
        <v>0</v>
      </c>
      <c r="X836" s="378">
        <v>7.4000000000000003E-6</v>
      </c>
      <c r="Z836" s="417">
        <v>2964</v>
      </c>
      <c r="AA836" s="417">
        <v>2083</v>
      </c>
      <c r="AB836" s="417">
        <v>2083</v>
      </c>
      <c r="AC836" s="417">
        <v>0</v>
      </c>
      <c r="AD836" s="417">
        <v>0</v>
      </c>
      <c r="AE836" s="378">
        <v>7.4000000000000003E-6</v>
      </c>
      <c r="AF836" s="378"/>
      <c r="AG836" s="417">
        <v>7419</v>
      </c>
      <c r="AH836" s="417">
        <v>6854</v>
      </c>
      <c r="AI836" s="417">
        <v>0</v>
      </c>
      <c r="AJ836" s="417">
        <v>0</v>
      </c>
      <c r="AK836" s="417">
        <v>0</v>
      </c>
      <c r="AL836" s="378">
        <v>7.4000000000000003E-6</v>
      </c>
      <c r="AM836" s="378"/>
      <c r="AN836" s="417">
        <v>-3636</v>
      </c>
      <c r="AO836" s="417">
        <v>-3636</v>
      </c>
      <c r="AP836" s="417">
        <v>-3636</v>
      </c>
      <c r="AQ836" s="417">
        <v>0</v>
      </c>
      <c r="AR836" s="417">
        <v>0</v>
      </c>
    </row>
    <row r="837" spans="1:44">
      <c r="A837" s="377">
        <v>99101</v>
      </c>
      <c r="B837" t="s">
        <v>1532</v>
      </c>
      <c r="C837" s="378">
        <v>1.8289000000000001E-3</v>
      </c>
      <c r="D837" s="378"/>
      <c r="E837" s="417">
        <v>100495</v>
      </c>
      <c r="F837" s="417">
        <v>-236123</v>
      </c>
      <c r="G837" s="417">
        <v>-339612</v>
      </c>
      <c r="H837" s="417">
        <v>-1226230</v>
      </c>
      <c r="I837" s="417">
        <v>0</v>
      </c>
      <c r="J837" s="378">
        <v>1.8289000000000001E-3</v>
      </c>
      <c r="K837" s="378"/>
      <c r="L837" s="417">
        <v>447729</v>
      </c>
      <c r="M837" s="417">
        <v>309216</v>
      </c>
      <c r="N837" s="417">
        <v>135361</v>
      </c>
      <c r="O837" s="417">
        <v>0</v>
      </c>
      <c r="P837" s="417">
        <v>0</v>
      </c>
      <c r="Q837" s="378">
        <v>1.8289000000000001E-3</v>
      </c>
      <c r="R837" s="378"/>
      <c r="S837" s="417">
        <v>-918781</v>
      </c>
      <c r="T837" s="417">
        <v>-908149</v>
      </c>
      <c r="U837" s="417">
        <v>-954048</v>
      </c>
      <c r="V837" s="417">
        <v>-1226230</v>
      </c>
      <c r="W837" s="417">
        <v>0</v>
      </c>
      <c r="X837" s="378">
        <v>1.8289000000000001E-3</v>
      </c>
      <c r="Z837" s="417">
        <v>732661</v>
      </c>
      <c r="AA837" s="417">
        <v>514735</v>
      </c>
      <c r="AB837" s="417">
        <v>514731</v>
      </c>
      <c r="AC837" s="417">
        <v>0</v>
      </c>
      <c r="AD837" s="417">
        <v>0</v>
      </c>
      <c r="AE837" s="378">
        <v>1.8289000000000001E-3</v>
      </c>
      <c r="AF837" s="378"/>
      <c r="AG837" s="417">
        <v>0</v>
      </c>
      <c r="AH837" s="417">
        <v>0</v>
      </c>
      <c r="AI837" s="417">
        <v>0</v>
      </c>
      <c r="AJ837" s="417">
        <v>0</v>
      </c>
      <c r="AK837" s="417">
        <v>0</v>
      </c>
      <c r="AL837" s="378">
        <v>1.8289000000000001E-3</v>
      </c>
      <c r="AM837" s="378"/>
      <c r="AN837" s="417">
        <v>-161114</v>
      </c>
      <c r="AO837" s="417">
        <v>-151925</v>
      </c>
      <c r="AP837" s="417">
        <v>-35656</v>
      </c>
      <c r="AQ837" s="417">
        <v>0</v>
      </c>
      <c r="AR837" s="417">
        <v>0</v>
      </c>
    </row>
    <row r="838" spans="1:44">
      <c r="A838" s="377">
        <v>99104</v>
      </c>
      <c r="B838" t="s">
        <v>1533</v>
      </c>
      <c r="C838" s="378">
        <v>3.6199999999999999E-5</v>
      </c>
      <c r="D838" s="378"/>
      <c r="E838" s="417">
        <v>19205</v>
      </c>
      <c r="F838" s="417">
        <v>10488</v>
      </c>
      <c r="G838" s="417">
        <v>705</v>
      </c>
      <c r="H838" s="417">
        <v>-24271</v>
      </c>
      <c r="I838" s="417">
        <v>0</v>
      </c>
      <c r="J838" s="378">
        <v>3.6199999999999999E-5</v>
      </c>
      <c r="K838" s="378"/>
      <c r="L838" s="417">
        <v>8862</v>
      </c>
      <c r="M838" s="417">
        <v>6120</v>
      </c>
      <c r="N838" s="417">
        <v>2679</v>
      </c>
      <c r="O838" s="417">
        <v>0</v>
      </c>
      <c r="P838" s="417">
        <v>0</v>
      </c>
      <c r="Q838" s="378">
        <v>3.6199999999999999E-5</v>
      </c>
      <c r="R838" s="378"/>
      <c r="S838" s="417">
        <v>-18186</v>
      </c>
      <c r="T838" s="417">
        <v>-17975</v>
      </c>
      <c r="U838" s="417">
        <v>-18884</v>
      </c>
      <c r="V838" s="417">
        <v>-24271</v>
      </c>
      <c r="W838" s="417">
        <v>0</v>
      </c>
      <c r="X838" s="378">
        <v>3.6199999999999999E-5</v>
      </c>
      <c r="Z838" s="417">
        <v>14502</v>
      </c>
      <c r="AA838" s="417">
        <v>10188</v>
      </c>
      <c r="AB838" s="417">
        <v>10188</v>
      </c>
      <c r="AC838" s="417">
        <v>0</v>
      </c>
      <c r="AD838" s="417">
        <v>0</v>
      </c>
      <c r="AE838" s="378">
        <v>3.6199999999999999E-5</v>
      </c>
      <c r="AF838" s="378"/>
      <c r="AG838" s="417">
        <v>14027</v>
      </c>
      <c r="AH838" s="417">
        <v>12155</v>
      </c>
      <c r="AI838" s="417">
        <v>6722</v>
      </c>
      <c r="AJ838" s="417">
        <v>0</v>
      </c>
      <c r="AK838" s="417">
        <v>0</v>
      </c>
      <c r="AL838" s="378">
        <v>3.6199999999999999E-5</v>
      </c>
      <c r="AM838" s="378"/>
      <c r="AN838" s="417">
        <v>0</v>
      </c>
      <c r="AO838" s="417">
        <v>0</v>
      </c>
      <c r="AP838" s="417">
        <v>0</v>
      </c>
      <c r="AQ838" s="417">
        <v>0</v>
      </c>
      <c r="AR838" s="417">
        <v>0</v>
      </c>
    </row>
    <row r="839" spans="1:44">
      <c r="A839" s="377">
        <v>99109</v>
      </c>
      <c r="B839" t="s">
        <v>1534</v>
      </c>
      <c r="C839" s="378">
        <v>1.18E-4</v>
      </c>
      <c r="D839" s="378"/>
      <c r="E839" s="417">
        <v>15321</v>
      </c>
      <c r="F839" s="417">
        <v>-6309</v>
      </c>
      <c r="G839" s="417">
        <v>-17474</v>
      </c>
      <c r="H839" s="417">
        <v>-79116</v>
      </c>
      <c r="I839" s="417">
        <v>0</v>
      </c>
      <c r="J839" s="378">
        <v>1.18E-4</v>
      </c>
      <c r="K839" s="378"/>
      <c r="L839" s="417">
        <v>28887</v>
      </c>
      <c r="M839" s="417">
        <v>19950</v>
      </c>
      <c r="N839" s="417">
        <v>8733</v>
      </c>
      <c r="O839" s="417">
        <v>0</v>
      </c>
      <c r="P839" s="417">
        <v>0</v>
      </c>
      <c r="Q839" s="378">
        <v>1.18E-4</v>
      </c>
      <c r="R839" s="378"/>
      <c r="S839" s="417">
        <v>-59279</v>
      </c>
      <c r="T839" s="417">
        <v>-58593</v>
      </c>
      <c r="U839" s="417">
        <v>-61555</v>
      </c>
      <c r="V839" s="417">
        <v>-79116</v>
      </c>
      <c r="W839" s="417">
        <v>0</v>
      </c>
      <c r="X839" s="378">
        <v>1.18E-4</v>
      </c>
      <c r="Z839" s="417">
        <v>47271</v>
      </c>
      <c r="AA839" s="417">
        <v>33211</v>
      </c>
      <c r="AB839" s="417">
        <v>33210</v>
      </c>
      <c r="AC839" s="417">
        <v>0</v>
      </c>
      <c r="AD839" s="417">
        <v>0</v>
      </c>
      <c r="AE839" s="378">
        <v>1.18E-4</v>
      </c>
      <c r="AF839" s="378"/>
      <c r="AG839" s="417">
        <v>2140</v>
      </c>
      <c r="AH839" s="417">
        <v>2140</v>
      </c>
      <c r="AI839" s="417">
        <v>2138</v>
      </c>
      <c r="AJ839" s="417">
        <v>0</v>
      </c>
      <c r="AK839" s="417">
        <v>0</v>
      </c>
      <c r="AL839" s="378">
        <v>1.18E-4</v>
      </c>
      <c r="AM839" s="378"/>
      <c r="AN839" s="417">
        <v>-3698</v>
      </c>
      <c r="AO839" s="417">
        <v>-3017</v>
      </c>
      <c r="AP839" s="417">
        <v>0</v>
      </c>
      <c r="AQ839" s="417">
        <v>0</v>
      </c>
      <c r="AR839" s="417">
        <v>0</v>
      </c>
    </row>
    <row r="840" spans="1:44">
      <c r="A840" s="377">
        <v>99110</v>
      </c>
      <c r="B840" t="s">
        <v>1535</v>
      </c>
      <c r="C840" s="378">
        <v>2.02E-4</v>
      </c>
      <c r="D840" s="378"/>
      <c r="E840" s="417">
        <v>89991</v>
      </c>
      <c r="F840" s="417">
        <v>44434</v>
      </c>
      <c r="G840" s="417">
        <v>-18339</v>
      </c>
      <c r="H840" s="417">
        <v>-135436</v>
      </c>
      <c r="I840" s="417">
        <v>0</v>
      </c>
      <c r="J840" s="378">
        <v>2.02E-4</v>
      </c>
      <c r="K840" s="378"/>
      <c r="L840" s="417">
        <v>49451</v>
      </c>
      <c r="M840" s="417">
        <v>34153</v>
      </c>
      <c r="N840" s="417">
        <v>14950</v>
      </c>
      <c r="O840" s="417">
        <v>0</v>
      </c>
      <c r="P840" s="417">
        <v>0</v>
      </c>
      <c r="Q840" s="378">
        <v>2.02E-4</v>
      </c>
      <c r="R840" s="378"/>
      <c r="S840" s="417">
        <v>-101478</v>
      </c>
      <c r="T840" s="417">
        <v>-100304</v>
      </c>
      <c r="U840" s="417">
        <v>-105374</v>
      </c>
      <c r="V840" s="417">
        <v>-135436</v>
      </c>
      <c r="W840" s="417">
        <v>0</v>
      </c>
      <c r="X840" s="378">
        <v>2.02E-4</v>
      </c>
      <c r="Z840" s="417">
        <v>80922</v>
      </c>
      <c r="AA840" s="417">
        <v>56852</v>
      </c>
      <c r="AB840" s="417">
        <v>56851</v>
      </c>
      <c r="AC840" s="417">
        <v>0</v>
      </c>
      <c r="AD840" s="417">
        <v>0</v>
      </c>
      <c r="AE840" s="378">
        <v>2.02E-4</v>
      </c>
      <c r="AF840" s="378"/>
      <c r="AG840" s="417">
        <v>61096</v>
      </c>
      <c r="AH840" s="417">
        <v>53733</v>
      </c>
      <c r="AI840" s="417">
        <v>15234</v>
      </c>
      <c r="AJ840" s="417">
        <v>0</v>
      </c>
      <c r="AK840" s="417">
        <v>0</v>
      </c>
      <c r="AL840" s="378">
        <v>2.02E-4</v>
      </c>
      <c r="AM840" s="378"/>
      <c r="AN840" s="417">
        <v>0</v>
      </c>
      <c r="AO840" s="417">
        <v>0</v>
      </c>
      <c r="AP840" s="417">
        <v>0</v>
      </c>
      <c r="AQ840" s="417">
        <v>0</v>
      </c>
      <c r="AR840" s="417">
        <v>0</v>
      </c>
    </row>
    <row r="841" spans="1:44">
      <c r="A841" s="377">
        <v>99111</v>
      </c>
      <c r="B841" t="s">
        <v>1536</v>
      </c>
      <c r="C841" s="378">
        <v>1.2878E-3</v>
      </c>
      <c r="D841" s="378"/>
      <c r="E841" s="417">
        <v>127549</v>
      </c>
      <c r="F841" s="417">
        <v>-113498</v>
      </c>
      <c r="G841" s="417">
        <v>-283101</v>
      </c>
      <c r="H841" s="417">
        <v>-863436</v>
      </c>
      <c r="I841" s="417">
        <v>0</v>
      </c>
      <c r="J841" s="378">
        <v>1.2878E-3</v>
      </c>
      <c r="K841" s="378"/>
      <c r="L841" s="417">
        <v>315264</v>
      </c>
      <c r="M841" s="417">
        <v>217731</v>
      </c>
      <c r="N841" s="417">
        <v>95313</v>
      </c>
      <c r="O841" s="417">
        <v>0</v>
      </c>
      <c r="P841" s="417">
        <v>0</v>
      </c>
      <c r="Q841" s="378">
        <v>1.2878E-3</v>
      </c>
      <c r="R841" s="378"/>
      <c r="S841" s="417">
        <v>-646950</v>
      </c>
      <c r="T841" s="417">
        <v>-639464</v>
      </c>
      <c r="U841" s="417">
        <v>-671782</v>
      </c>
      <c r="V841" s="417">
        <v>-863436</v>
      </c>
      <c r="W841" s="417">
        <v>0</v>
      </c>
      <c r="X841" s="378">
        <v>1.2878E-3</v>
      </c>
      <c r="Z841" s="417">
        <v>515895</v>
      </c>
      <c r="AA841" s="417">
        <v>362445</v>
      </c>
      <c r="AB841" s="417">
        <v>362442</v>
      </c>
      <c r="AC841" s="417">
        <v>0</v>
      </c>
      <c r="AD841" s="417">
        <v>0</v>
      </c>
      <c r="AE841" s="378">
        <v>1.2878E-3</v>
      </c>
      <c r="AF841" s="378"/>
      <c r="AG841" s="417">
        <v>21348</v>
      </c>
      <c r="AH841" s="417">
        <v>21347</v>
      </c>
      <c r="AI841" s="417">
        <v>0</v>
      </c>
      <c r="AJ841" s="417">
        <v>0</v>
      </c>
      <c r="AK841" s="417">
        <v>0</v>
      </c>
      <c r="AL841" s="378">
        <v>1.2878E-3</v>
      </c>
      <c r="AM841" s="378"/>
      <c r="AN841" s="417">
        <v>-78008</v>
      </c>
      <c r="AO841" s="417">
        <v>-75557</v>
      </c>
      <c r="AP841" s="417">
        <v>-69074</v>
      </c>
      <c r="AQ841" s="417">
        <v>0</v>
      </c>
      <c r="AR841" s="417">
        <v>0</v>
      </c>
    </row>
    <row r="842" spans="1:44">
      <c r="A842" s="377">
        <v>99201</v>
      </c>
      <c r="B842" t="s">
        <v>1537</v>
      </c>
      <c r="C842" s="378">
        <v>3.7127800000000002E-2</v>
      </c>
      <c r="D842" s="378"/>
      <c r="E842" s="417">
        <v>6628684</v>
      </c>
      <c r="F842" s="417">
        <v>-533105</v>
      </c>
      <c r="G842" s="417">
        <v>-5269472</v>
      </c>
      <c r="H842" s="417">
        <v>-24893225</v>
      </c>
      <c r="I842" s="417">
        <v>0</v>
      </c>
      <c r="J842" s="378">
        <v>3.7127800000000002E-2</v>
      </c>
      <c r="K842" s="378"/>
      <c r="L842" s="417">
        <v>9089182</v>
      </c>
      <c r="M842" s="417">
        <v>6277271</v>
      </c>
      <c r="N842" s="417">
        <v>2747903</v>
      </c>
      <c r="O842" s="417">
        <v>0</v>
      </c>
      <c r="P842" s="417">
        <v>0</v>
      </c>
      <c r="Q842" s="378">
        <v>3.7127800000000002E-2</v>
      </c>
      <c r="R842" s="378"/>
      <c r="S842" s="417">
        <v>-18651819</v>
      </c>
      <c r="T842" s="417">
        <v>-18435995</v>
      </c>
      <c r="U842" s="417">
        <v>-19367754</v>
      </c>
      <c r="V842" s="417">
        <v>-24893225</v>
      </c>
      <c r="W842" s="417">
        <v>0</v>
      </c>
      <c r="X842" s="378">
        <v>3.7127800000000002E-2</v>
      </c>
      <c r="Z842" s="417">
        <v>14873471</v>
      </c>
      <c r="AA842" s="417">
        <v>10449434</v>
      </c>
      <c r="AB842" s="417">
        <v>10449359</v>
      </c>
      <c r="AC842" s="417">
        <v>0</v>
      </c>
      <c r="AD842" s="417">
        <v>0</v>
      </c>
      <c r="AE842" s="378">
        <v>3.7127800000000002E-2</v>
      </c>
      <c r="AF842" s="378"/>
      <c r="AG842" s="417">
        <v>1317850</v>
      </c>
      <c r="AH842" s="417">
        <v>1176185</v>
      </c>
      <c r="AI842" s="417">
        <v>901020</v>
      </c>
      <c r="AJ842" s="417">
        <v>0</v>
      </c>
      <c r="AK842" s="417">
        <v>0</v>
      </c>
      <c r="AL842" s="378">
        <v>3.7127800000000002E-2</v>
      </c>
      <c r="AM842" s="378"/>
      <c r="AN842" s="417">
        <v>0</v>
      </c>
      <c r="AO842" s="417">
        <v>0</v>
      </c>
      <c r="AP842" s="417">
        <v>0</v>
      </c>
      <c r="AQ842" s="417">
        <v>0</v>
      </c>
      <c r="AR842" s="417">
        <v>0</v>
      </c>
    </row>
    <row r="843" spans="1:44">
      <c r="A843" s="377">
        <v>99202</v>
      </c>
      <c r="B843" t="s">
        <v>1538</v>
      </c>
      <c r="C843" s="378">
        <v>3.0500000000000002E-3</v>
      </c>
      <c r="D843" s="378"/>
      <c r="E843" s="417">
        <v>457835</v>
      </c>
      <c r="F843" s="417">
        <v>-116648</v>
      </c>
      <c r="G843" s="417">
        <v>-471077</v>
      </c>
      <c r="H843" s="417">
        <v>-2044946</v>
      </c>
      <c r="I843" s="417">
        <v>0</v>
      </c>
      <c r="J843" s="378">
        <v>3.0500000000000002E-3</v>
      </c>
      <c r="K843" s="378"/>
      <c r="L843" s="417">
        <v>746664</v>
      </c>
      <c r="M843" s="417">
        <v>515670</v>
      </c>
      <c r="N843" s="417">
        <v>225737</v>
      </c>
      <c r="O843" s="417">
        <v>0</v>
      </c>
      <c r="P843" s="417">
        <v>0</v>
      </c>
      <c r="Q843" s="378">
        <v>3.0500000000000002E-3</v>
      </c>
      <c r="R843" s="378"/>
      <c r="S843" s="417">
        <v>-1532222</v>
      </c>
      <c r="T843" s="417">
        <v>-1514493</v>
      </c>
      <c r="U843" s="417">
        <v>-1591036</v>
      </c>
      <c r="V843" s="417">
        <v>-2044946</v>
      </c>
      <c r="W843" s="417">
        <v>0</v>
      </c>
      <c r="X843" s="378">
        <v>3.0500000000000002E-3</v>
      </c>
      <c r="Z843" s="417">
        <v>1221836</v>
      </c>
      <c r="AA843" s="417">
        <v>858407</v>
      </c>
      <c r="AB843" s="417">
        <v>858401</v>
      </c>
      <c r="AC843" s="417">
        <v>0</v>
      </c>
      <c r="AD843" s="417">
        <v>0</v>
      </c>
      <c r="AE843" s="378">
        <v>3.0500000000000002E-3</v>
      </c>
      <c r="AF843" s="378"/>
      <c r="AG843" s="417">
        <v>35822</v>
      </c>
      <c r="AH843" s="417">
        <v>35822</v>
      </c>
      <c r="AI843" s="417">
        <v>35821</v>
      </c>
      <c r="AJ843" s="417">
        <v>0</v>
      </c>
      <c r="AK843" s="417">
        <v>0</v>
      </c>
      <c r="AL843" s="378">
        <v>3.0500000000000002E-3</v>
      </c>
      <c r="AM843" s="378"/>
      <c r="AN843" s="417">
        <v>-14265</v>
      </c>
      <c r="AO843" s="417">
        <v>-12054</v>
      </c>
      <c r="AP843" s="417">
        <v>0</v>
      </c>
      <c r="AQ843" s="417">
        <v>0</v>
      </c>
      <c r="AR843" s="417">
        <v>0</v>
      </c>
    </row>
    <row r="844" spans="1:44">
      <c r="A844" s="377">
        <v>99203</v>
      </c>
      <c r="B844" t="s">
        <v>1539</v>
      </c>
      <c r="C844" s="378">
        <v>3.7080000000000001E-4</v>
      </c>
      <c r="D844" s="378"/>
      <c r="E844" s="417">
        <v>60295</v>
      </c>
      <c r="F844" s="417">
        <v>-7151</v>
      </c>
      <c r="G844" s="417">
        <v>-71435</v>
      </c>
      <c r="H844" s="417">
        <v>-248612</v>
      </c>
      <c r="I844" s="417">
        <v>0</v>
      </c>
      <c r="J844" s="378">
        <v>3.7080000000000001E-4</v>
      </c>
      <c r="K844" s="378"/>
      <c r="L844" s="417">
        <v>90775</v>
      </c>
      <c r="M844" s="417">
        <v>62692</v>
      </c>
      <c r="N844" s="417">
        <v>27444</v>
      </c>
      <c r="O844" s="417">
        <v>0</v>
      </c>
      <c r="P844" s="417">
        <v>0</v>
      </c>
      <c r="Q844" s="378">
        <v>3.7080000000000001E-4</v>
      </c>
      <c r="R844" s="378"/>
      <c r="S844" s="417">
        <v>-186278</v>
      </c>
      <c r="T844" s="417">
        <v>-184123</v>
      </c>
      <c r="U844" s="417">
        <v>-193428</v>
      </c>
      <c r="V844" s="417">
        <v>-248612</v>
      </c>
      <c r="W844" s="417">
        <v>0</v>
      </c>
      <c r="X844" s="378">
        <v>3.7080000000000001E-4</v>
      </c>
      <c r="Z844" s="417">
        <v>148543</v>
      </c>
      <c r="AA844" s="417">
        <v>104360</v>
      </c>
      <c r="AB844" s="417">
        <v>104359</v>
      </c>
      <c r="AC844" s="417">
        <v>0</v>
      </c>
      <c r="AD844" s="417">
        <v>0</v>
      </c>
      <c r="AE844" s="378">
        <v>3.7080000000000001E-4</v>
      </c>
      <c r="AF844" s="378"/>
      <c r="AG844" s="417">
        <v>19730</v>
      </c>
      <c r="AH844" s="417">
        <v>19730</v>
      </c>
      <c r="AI844" s="417">
        <v>0</v>
      </c>
      <c r="AJ844" s="417">
        <v>0</v>
      </c>
      <c r="AK844" s="417">
        <v>0</v>
      </c>
      <c r="AL844" s="378">
        <v>3.7080000000000001E-4</v>
      </c>
      <c r="AM844" s="378"/>
      <c r="AN844" s="417">
        <v>-12475</v>
      </c>
      <c r="AO844" s="417">
        <v>-9810</v>
      </c>
      <c r="AP844" s="417">
        <v>-9810</v>
      </c>
      <c r="AQ844" s="417">
        <v>0</v>
      </c>
      <c r="AR844" s="417">
        <v>0</v>
      </c>
    </row>
    <row r="845" spans="1:44">
      <c r="A845" s="377">
        <v>99204</v>
      </c>
      <c r="B845" t="s">
        <v>1540</v>
      </c>
      <c r="C845" s="378">
        <v>1.1161999999999999E-3</v>
      </c>
      <c r="D845" s="378"/>
      <c r="E845" s="417">
        <v>328610</v>
      </c>
      <c r="F845" s="417">
        <v>103762</v>
      </c>
      <c r="G845" s="417">
        <v>-62723</v>
      </c>
      <c r="H845" s="417">
        <v>-748383</v>
      </c>
      <c r="I845" s="417">
        <v>0</v>
      </c>
      <c r="J845" s="378">
        <v>1.1161999999999999E-3</v>
      </c>
      <c r="K845" s="378"/>
      <c r="L845" s="417">
        <v>273255</v>
      </c>
      <c r="M845" s="417">
        <v>188718</v>
      </c>
      <c r="N845" s="417">
        <v>82612</v>
      </c>
      <c r="O845" s="417">
        <v>0</v>
      </c>
      <c r="P845" s="417">
        <v>0</v>
      </c>
      <c r="Q845" s="378">
        <v>1.1161999999999999E-3</v>
      </c>
      <c r="R845" s="378"/>
      <c r="S845" s="417">
        <v>-560743</v>
      </c>
      <c r="T845" s="417">
        <v>-554255</v>
      </c>
      <c r="U845" s="417">
        <v>-582267</v>
      </c>
      <c r="V845" s="417">
        <v>-748383</v>
      </c>
      <c r="W845" s="417">
        <v>0</v>
      </c>
      <c r="X845" s="378">
        <v>1.1161999999999999E-3</v>
      </c>
      <c r="Z845" s="417">
        <v>447152</v>
      </c>
      <c r="AA845" s="417">
        <v>314149</v>
      </c>
      <c r="AB845" s="417">
        <v>314147</v>
      </c>
      <c r="AC845" s="417">
        <v>0</v>
      </c>
      <c r="AD845" s="417">
        <v>0</v>
      </c>
      <c r="AE845" s="378">
        <v>1.1161999999999999E-3</v>
      </c>
      <c r="AF845" s="378"/>
      <c r="AG845" s="417">
        <v>168946</v>
      </c>
      <c r="AH845" s="417">
        <v>155150</v>
      </c>
      <c r="AI845" s="417">
        <v>122785</v>
      </c>
      <c r="AJ845" s="417">
        <v>0</v>
      </c>
      <c r="AK845" s="417">
        <v>0</v>
      </c>
      <c r="AL845" s="378">
        <v>1.1161999999999999E-3</v>
      </c>
      <c r="AM845" s="378"/>
      <c r="AN845" s="417">
        <v>0</v>
      </c>
      <c r="AO845" s="417">
        <v>0</v>
      </c>
      <c r="AP845" s="417">
        <v>0</v>
      </c>
      <c r="AQ845" s="417">
        <v>0</v>
      </c>
      <c r="AR845" s="417">
        <v>0</v>
      </c>
    </row>
    <row r="846" spans="1:44">
      <c r="A846" s="377">
        <v>99206</v>
      </c>
      <c r="B846" t="s">
        <v>1541</v>
      </c>
      <c r="C846" s="378">
        <v>1.9970000000000001E-3</v>
      </c>
      <c r="D846" s="378"/>
      <c r="E846" s="417">
        <v>526814</v>
      </c>
      <c r="F846" s="417">
        <v>45482</v>
      </c>
      <c r="G846" s="417">
        <v>-212345</v>
      </c>
      <c r="H846" s="417">
        <v>-1338937</v>
      </c>
      <c r="I846" s="417">
        <v>0</v>
      </c>
      <c r="J846" s="378">
        <v>1.9970000000000001E-3</v>
      </c>
      <c r="K846" s="378"/>
      <c r="L846" s="417">
        <v>488882</v>
      </c>
      <c r="M846" s="417">
        <v>337637</v>
      </c>
      <c r="N846" s="417">
        <v>147802</v>
      </c>
      <c r="O846" s="417">
        <v>0</v>
      </c>
      <c r="P846" s="417">
        <v>0</v>
      </c>
      <c r="Q846" s="378">
        <v>1.9970000000000001E-3</v>
      </c>
      <c r="R846" s="378"/>
      <c r="S846" s="417">
        <v>-1003229</v>
      </c>
      <c r="T846" s="417">
        <v>-991620</v>
      </c>
      <c r="U846" s="417">
        <v>-1041737</v>
      </c>
      <c r="V846" s="417">
        <v>-1338937</v>
      </c>
      <c r="W846" s="417">
        <v>0</v>
      </c>
      <c r="X846" s="378">
        <v>1.9970000000000001E-3</v>
      </c>
      <c r="Z846" s="417">
        <v>800002</v>
      </c>
      <c r="AA846" s="417">
        <v>562046</v>
      </c>
      <c r="AB846" s="417">
        <v>562042</v>
      </c>
      <c r="AC846" s="417">
        <v>0</v>
      </c>
      <c r="AD846" s="417">
        <v>0</v>
      </c>
      <c r="AE846" s="378">
        <v>1.9970000000000001E-3</v>
      </c>
      <c r="AF846" s="378"/>
      <c r="AG846" s="417">
        <v>266386</v>
      </c>
      <c r="AH846" s="417">
        <v>162648</v>
      </c>
      <c r="AI846" s="417">
        <v>119548</v>
      </c>
      <c r="AJ846" s="417">
        <v>0</v>
      </c>
      <c r="AK846" s="417">
        <v>0</v>
      </c>
      <c r="AL846" s="378">
        <v>1.9970000000000001E-3</v>
      </c>
      <c r="AM846" s="378"/>
      <c r="AN846" s="417">
        <v>-25227</v>
      </c>
      <c r="AO846" s="417">
        <v>-25229</v>
      </c>
      <c r="AP846" s="417">
        <v>0</v>
      </c>
      <c r="AQ846" s="417">
        <v>0</v>
      </c>
      <c r="AR846" s="417">
        <v>0</v>
      </c>
    </row>
    <row r="847" spans="1:44">
      <c r="A847" s="377">
        <v>99207</v>
      </c>
      <c r="B847" t="s">
        <v>1941</v>
      </c>
      <c r="C847" s="378">
        <v>1.4200000000000001E-4</v>
      </c>
      <c r="D847" s="378"/>
      <c r="E847" s="417">
        <v>120662</v>
      </c>
      <c r="F847" s="417">
        <v>70813</v>
      </c>
      <c r="G847" s="417">
        <v>30538</v>
      </c>
      <c r="H847" s="417">
        <v>-95207</v>
      </c>
      <c r="I847" s="417">
        <v>0</v>
      </c>
      <c r="J847" s="378">
        <v>1.4200000000000001E-4</v>
      </c>
      <c r="K847" s="378"/>
      <c r="L847" s="417">
        <v>34763</v>
      </c>
      <c r="M847" s="417">
        <v>24008</v>
      </c>
      <c r="N847" s="417">
        <v>10510</v>
      </c>
      <c r="O847" s="417">
        <v>0</v>
      </c>
      <c r="P847" s="417">
        <v>0</v>
      </c>
      <c r="Q847" s="378">
        <v>1.4200000000000001E-4</v>
      </c>
      <c r="R847" s="378"/>
      <c r="S847" s="417">
        <v>-71336</v>
      </c>
      <c r="T847" s="417">
        <v>-70511</v>
      </c>
      <c r="U847" s="417">
        <v>-74074</v>
      </c>
      <c r="V847" s="417">
        <v>-95207</v>
      </c>
      <c r="W847" s="417">
        <v>0</v>
      </c>
      <c r="X847" s="378">
        <v>1.4200000000000001E-4</v>
      </c>
      <c r="Z847" s="417">
        <v>56885</v>
      </c>
      <c r="AA847" s="417">
        <v>39965</v>
      </c>
      <c r="AB847" s="417">
        <v>39965</v>
      </c>
      <c r="AC847" s="417">
        <v>0</v>
      </c>
      <c r="AD847" s="417">
        <v>0</v>
      </c>
      <c r="AE847" s="378">
        <v>1.4200000000000001E-4</v>
      </c>
      <c r="AF847" s="378"/>
      <c r="AG847" s="417">
        <v>100545</v>
      </c>
      <c r="AH847" s="417">
        <v>77547</v>
      </c>
      <c r="AI847" s="417">
        <v>54137</v>
      </c>
      <c r="AJ847" s="417">
        <v>0</v>
      </c>
      <c r="AK847" s="417">
        <v>0</v>
      </c>
      <c r="AL847" s="378">
        <v>1.4200000000000001E-4</v>
      </c>
      <c r="AM847" s="378"/>
      <c r="AN847" s="417">
        <v>-195</v>
      </c>
      <c r="AO847" s="417">
        <v>-196</v>
      </c>
      <c r="AP847" s="417">
        <v>0</v>
      </c>
      <c r="AQ847" s="417">
        <v>0</v>
      </c>
      <c r="AR847" s="417">
        <v>0</v>
      </c>
    </row>
    <row r="848" spans="1:44">
      <c r="A848" s="377">
        <v>99208</v>
      </c>
      <c r="B848" t="s">
        <v>1543</v>
      </c>
      <c r="C848" s="378">
        <v>2.9770000000000003E-4</v>
      </c>
      <c r="D848" s="378"/>
      <c r="E848" s="417">
        <v>34816</v>
      </c>
      <c r="F848" s="417">
        <v>-33987</v>
      </c>
      <c r="G848" s="417">
        <v>-75259</v>
      </c>
      <c r="H848" s="417">
        <v>-199600</v>
      </c>
      <c r="I848" s="417">
        <v>0</v>
      </c>
      <c r="J848" s="378">
        <v>2.9770000000000003E-4</v>
      </c>
      <c r="K848" s="378"/>
      <c r="L848" s="417">
        <v>72879</v>
      </c>
      <c r="M848" s="417">
        <v>50333</v>
      </c>
      <c r="N848" s="417">
        <v>22033</v>
      </c>
      <c r="O848" s="417">
        <v>0</v>
      </c>
      <c r="P848" s="417">
        <v>0</v>
      </c>
      <c r="Q848" s="378">
        <v>2.9770000000000003E-4</v>
      </c>
      <c r="R848" s="378"/>
      <c r="S848" s="417">
        <v>-149555</v>
      </c>
      <c r="T848" s="417">
        <v>-147824</v>
      </c>
      <c r="U848" s="417">
        <v>-155296</v>
      </c>
      <c r="V848" s="417">
        <v>-199600</v>
      </c>
      <c r="W848" s="417">
        <v>0</v>
      </c>
      <c r="X848" s="378">
        <v>2.9770000000000003E-4</v>
      </c>
      <c r="Z848" s="417">
        <v>119259</v>
      </c>
      <c r="AA848" s="417">
        <v>83786</v>
      </c>
      <c r="AB848" s="417">
        <v>83786</v>
      </c>
      <c r="AC848" s="417">
        <v>0</v>
      </c>
      <c r="AD848" s="417">
        <v>0</v>
      </c>
      <c r="AE848" s="378">
        <v>2.9770000000000003E-4</v>
      </c>
      <c r="AF848" s="378"/>
      <c r="AG848" s="417">
        <v>20055</v>
      </c>
      <c r="AH848" s="417">
        <v>7541</v>
      </c>
      <c r="AI848" s="417">
        <v>0</v>
      </c>
      <c r="AJ848" s="417">
        <v>0</v>
      </c>
      <c r="AK848" s="417">
        <v>0</v>
      </c>
      <c r="AL848" s="378">
        <v>2.9770000000000003E-4</v>
      </c>
      <c r="AM848" s="378"/>
      <c r="AN848" s="417">
        <v>-27822</v>
      </c>
      <c r="AO848" s="417">
        <v>-27823</v>
      </c>
      <c r="AP848" s="417">
        <v>-25782</v>
      </c>
      <c r="AQ848" s="417">
        <v>0</v>
      </c>
      <c r="AR848" s="417">
        <v>0</v>
      </c>
    </row>
    <row r="849" spans="1:44">
      <c r="A849" s="377">
        <v>99210</v>
      </c>
      <c r="B849" t="s">
        <v>1544</v>
      </c>
      <c r="C849" s="378">
        <v>1.9134E-3</v>
      </c>
      <c r="D849" s="378"/>
      <c r="E849" s="417">
        <v>425802</v>
      </c>
      <c r="F849" s="417">
        <v>41071</v>
      </c>
      <c r="G849" s="417">
        <v>-289465</v>
      </c>
      <c r="H849" s="417">
        <v>-1282885</v>
      </c>
      <c r="I849" s="417">
        <v>0</v>
      </c>
      <c r="J849" s="378">
        <v>1.9134E-3</v>
      </c>
      <c r="K849" s="378"/>
      <c r="L849" s="417">
        <v>468416</v>
      </c>
      <c r="M849" s="417">
        <v>323502</v>
      </c>
      <c r="N849" s="417">
        <v>141615</v>
      </c>
      <c r="O849" s="417">
        <v>0</v>
      </c>
      <c r="P849" s="417">
        <v>0</v>
      </c>
      <c r="Q849" s="378">
        <v>1.9134E-3</v>
      </c>
      <c r="R849" s="378"/>
      <c r="S849" s="417">
        <v>-961231</v>
      </c>
      <c r="T849" s="417">
        <v>-950108</v>
      </c>
      <c r="U849" s="417">
        <v>-998127</v>
      </c>
      <c r="V849" s="417">
        <v>-1282885</v>
      </c>
      <c r="W849" s="417">
        <v>0</v>
      </c>
      <c r="X849" s="378">
        <v>1.9134E-3</v>
      </c>
      <c r="Z849" s="417">
        <v>766512</v>
      </c>
      <c r="AA849" s="417">
        <v>538517</v>
      </c>
      <c r="AB849" s="417">
        <v>538513</v>
      </c>
      <c r="AC849" s="417">
        <v>0</v>
      </c>
      <c r="AD849" s="417">
        <v>0</v>
      </c>
      <c r="AE849" s="378">
        <v>1.9134E-3</v>
      </c>
      <c r="AF849" s="378"/>
      <c r="AG849" s="417">
        <v>152105</v>
      </c>
      <c r="AH849" s="417">
        <v>129160</v>
      </c>
      <c r="AI849" s="417">
        <v>28534</v>
      </c>
      <c r="AJ849" s="417">
        <v>0</v>
      </c>
      <c r="AK849" s="417">
        <v>0</v>
      </c>
      <c r="AL849" s="378">
        <v>1.9134E-3</v>
      </c>
      <c r="AM849" s="378"/>
      <c r="AN849" s="417">
        <v>0</v>
      </c>
      <c r="AO849" s="417">
        <v>0</v>
      </c>
      <c r="AP849" s="417">
        <v>0</v>
      </c>
      <c r="AQ849" s="417">
        <v>0</v>
      </c>
      <c r="AR849" s="417">
        <v>0</v>
      </c>
    </row>
    <row r="850" spans="1:44">
      <c r="A850" s="377">
        <v>99211</v>
      </c>
      <c r="B850" t="s">
        <v>1545</v>
      </c>
      <c r="C850" s="378">
        <v>3.65305E-2</v>
      </c>
      <c r="D850" s="378"/>
      <c r="E850" s="417">
        <v>3936052</v>
      </c>
      <c r="F850" s="417">
        <v>-3133641</v>
      </c>
      <c r="G850" s="417">
        <v>-6839419</v>
      </c>
      <c r="H850" s="417">
        <v>-24492750</v>
      </c>
      <c r="I850" s="417">
        <v>0</v>
      </c>
      <c r="J850" s="378">
        <v>3.65305E-2</v>
      </c>
      <c r="K850" s="378"/>
      <c r="L850" s="417">
        <v>8942959</v>
      </c>
      <c r="M850" s="417">
        <v>6176285</v>
      </c>
      <c r="N850" s="417">
        <v>2703695</v>
      </c>
      <c r="O850" s="417">
        <v>0</v>
      </c>
      <c r="P850" s="417">
        <v>0</v>
      </c>
      <c r="Q850" s="378">
        <v>3.65305E-2</v>
      </c>
      <c r="R850" s="378"/>
      <c r="S850" s="417">
        <v>-18351754</v>
      </c>
      <c r="T850" s="417">
        <v>-18139402</v>
      </c>
      <c r="U850" s="417">
        <v>-19056172</v>
      </c>
      <c r="V850" s="417">
        <v>-24492750</v>
      </c>
      <c r="W850" s="417">
        <v>0</v>
      </c>
      <c r="X850" s="378">
        <v>3.65305E-2</v>
      </c>
      <c r="Z850" s="417">
        <v>14634191</v>
      </c>
      <c r="AA850" s="417">
        <v>10281327</v>
      </c>
      <c r="AB850" s="417">
        <v>10281254</v>
      </c>
      <c r="AC850" s="417">
        <v>0</v>
      </c>
      <c r="AD850" s="417">
        <v>0</v>
      </c>
      <c r="AE850" s="378">
        <v>3.65305E-2</v>
      </c>
      <c r="AF850" s="378"/>
      <c r="AG850" s="417">
        <v>162508</v>
      </c>
      <c r="AH850" s="417">
        <v>0</v>
      </c>
      <c r="AI850" s="417">
        <v>0</v>
      </c>
      <c r="AJ850" s="417">
        <v>0</v>
      </c>
      <c r="AK850" s="417">
        <v>0</v>
      </c>
      <c r="AL850" s="378">
        <v>3.65305E-2</v>
      </c>
      <c r="AM850" s="378"/>
      <c r="AN850" s="417">
        <v>-1451852</v>
      </c>
      <c r="AO850" s="417">
        <v>-1451851</v>
      </c>
      <c r="AP850" s="417">
        <v>-768196</v>
      </c>
      <c r="AQ850" s="417">
        <v>0</v>
      </c>
      <c r="AR850" s="417">
        <v>0</v>
      </c>
    </row>
    <row r="851" spans="1:44">
      <c r="A851" s="377">
        <v>99212</v>
      </c>
      <c r="B851" t="s">
        <v>1546</v>
      </c>
      <c r="C851" s="378">
        <v>7.08E-5</v>
      </c>
      <c r="D851" s="378"/>
      <c r="E851" s="417">
        <v>-711</v>
      </c>
      <c r="F851" s="417">
        <v>-11795</v>
      </c>
      <c r="G851" s="417">
        <v>-23832</v>
      </c>
      <c r="H851" s="417">
        <v>-47470</v>
      </c>
      <c r="I851" s="417">
        <v>0</v>
      </c>
      <c r="J851" s="378">
        <v>7.08E-5</v>
      </c>
      <c r="K851" s="378"/>
      <c r="L851" s="417">
        <v>17332</v>
      </c>
      <c r="M851" s="417">
        <v>11970</v>
      </c>
      <c r="N851" s="417">
        <v>5240</v>
      </c>
      <c r="O851" s="417">
        <v>0</v>
      </c>
      <c r="P851" s="417">
        <v>0</v>
      </c>
      <c r="Q851" s="378">
        <v>7.08E-5</v>
      </c>
      <c r="R851" s="378"/>
      <c r="S851" s="417">
        <v>-35568</v>
      </c>
      <c r="T851" s="417">
        <v>-35156</v>
      </c>
      <c r="U851" s="417">
        <v>-36933</v>
      </c>
      <c r="V851" s="417">
        <v>-47470</v>
      </c>
      <c r="W851" s="417">
        <v>0</v>
      </c>
      <c r="X851" s="378">
        <v>7.08E-5</v>
      </c>
      <c r="Z851" s="417">
        <v>28363</v>
      </c>
      <c r="AA851" s="417">
        <v>19926</v>
      </c>
      <c r="AB851" s="417">
        <v>19926</v>
      </c>
      <c r="AC851" s="417">
        <v>0</v>
      </c>
      <c r="AD851" s="417">
        <v>0</v>
      </c>
      <c r="AE851" s="378">
        <v>7.08E-5</v>
      </c>
      <c r="AF851" s="378"/>
      <c r="AG851" s="417">
        <v>4683</v>
      </c>
      <c r="AH851" s="417">
        <v>4683</v>
      </c>
      <c r="AI851" s="417">
        <v>0</v>
      </c>
      <c r="AJ851" s="417">
        <v>0</v>
      </c>
      <c r="AK851" s="417">
        <v>0</v>
      </c>
      <c r="AL851" s="378">
        <v>7.08E-5</v>
      </c>
      <c r="AM851" s="378"/>
      <c r="AN851" s="417">
        <v>-15521</v>
      </c>
      <c r="AO851" s="417">
        <v>-13218</v>
      </c>
      <c r="AP851" s="417">
        <v>-12065</v>
      </c>
      <c r="AQ851" s="417">
        <v>0</v>
      </c>
      <c r="AR851" s="417">
        <v>0</v>
      </c>
    </row>
    <row r="852" spans="1:44">
      <c r="A852" s="377">
        <v>99213</v>
      </c>
      <c r="B852" t="s">
        <v>1547</v>
      </c>
      <c r="C852" s="378">
        <v>6.7599999999999995E-4</v>
      </c>
      <c r="D852" s="378"/>
      <c r="E852" s="417">
        <v>99212</v>
      </c>
      <c r="F852" s="417">
        <v>-32265</v>
      </c>
      <c r="G852" s="417">
        <v>-100787</v>
      </c>
      <c r="H852" s="417">
        <v>-453240</v>
      </c>
      <c r="I852" s="417">
        <v>0</v>
      </c>
      <c r="J852" s="378">
        <v>6.7599999999999995E-4</v>
      </c>
      <c r="K852" s="378"/>
      <c r="L852" s="417">
        <v>165490</v>
      </c>
      <c r="M852" s="417">
        <v>114293</v>
      </c>
      <c r="N852" s="417">
        <v>50032</v>
      </c>
      <c r="O852" s="417">
        <v>0</v>
      </c>
      <c r="P852" s="417">
        <v>0</v>
      </c>
      <c r="Q852" s="378">
        <v>6.7599999999999995E-4</v>
      </c>
      <c r="R852" s="378"/>
      <c r="S852" s="417">
        <v>-339601</v>
      </c>
      <c r="T852" s="417">
        <v>-335671</v>
      </c>
      <c r="U852" s="417">
        <v>-352636</v>
      </c>
      <c r="V852" s="417">
        <v>-453240</v>
      </c>
      <c r="W852" s="417">
        <v>0</v>
      </c>
      <c r="X852" s="378">
        <v>6.7599999999999995E-4</v>
      </c>
      <c r="Z852" s="417">
        <v>270807</v>
      </c>
      <c r="AA852" s="417">
        <v>190257</v>
      </c>
      <c r="AB852" s="417">
        <v>190255</v>
      </c>
      <c r="AC852" s="417">
        <v>0</v>
      </c>
      <c r="AD852" s="417">
        <v>0</v>
      </c>
      <c r="AE852" s="378">
        <v>6.7599999999999995E-4</v>
      </c>
      <c r="AF852" s="378"/>
      <c r="AG852" s="417">
        <v>18899</v>
      </c>
      <c r="AH852" s="417">
        <v>15241</v>
      </c>
      <c r="AI852" s="417">
        <v>11562</v>
      </c>
      <c r="AJ852" s="417">
        <v>0</v>
      </c>
      <c r="AK852" s="417">
        <v>0</v>
      </c>
      <c r="AL852" s="378">
        <v>6.7599999999999995E-4</v>
      </c>
      <c r="AM852" s="378"/>
      <c r="AN852" s="417">
        <v>-16383</v>
      </c>
      <c r="AO852" s="417">
        <v>-16385</v>
      </c>
      <c r="AP852" s="417">
        <v>0</v>
      </c>
      <c r="AQ852" s="417">
        <v>0</v>
      </c>
      <c r="AR852" s="417">
        <v>0</v>
      </c>
    </row>
    <row r="853" spans="1:44">
      <c r="A853" s="377">
        <v>99218</v>
      </c>
      <c r="B853" t="s">
        <v>1548</v>
      </c>
      <c r="C853" s="378">
        <v>3.7296999999999999E-3</v>
      </c>
      <c r="D853" s="378"/>
      <c r="E853" s="417">
        <v>756318</v>
      </c>
      <c r="F853" s="417">
        <v>4060</v>
      </c>
      <c r="G853" s="417">
        <v>-654149</v>
      </c>
      <c r="H853" s="417">
        <v>-2500667</v>
      </c>
      <c r="I853" s="417">
        <v>0</v>
      </c>
      <c r="J853" s="378">
        <v>3.7296999999999999E-3</v>
      </c>
      <c r="K853" s="378"/>
      <c r="L853" s="417">
        <v>913060</v>
      </c>
      <c r="M853" s="417">
        <v>630588</v>
      </c>
      <c r="N853" s="417">
        <v>276043</v>
      </c>
      <c r="O853" s="417">
        <v>0</v>
      </c>
      <c r="P853" s="417">
        <v>0</v>
      </c>
      <c r="Q853" s="378">
        <v>3.7296999999999999E-3</v>
      </c>
      <c r="R853" s="378"/>
      <c r="S853" s="417">
        <v>-1873682</v>
      </c>
      <c r="T853" s="417">
        <v>-1852001</v>
      </c>
      <c r="U853" s="417">
        <v>-1945602</v>
      </c>
      <c r="V853" s="417">
        <v>-2500667</v>
      </c>
      <c r="W853" s="417">
        <v>0</v>
      </c>
      <c r="X853" s="378">
        <v>3.7296999999999999E-3</v>
      </c>
      <c r="Z853" s="417">
        <v>1494125</v>
      </c>
      <c r="AA853" s="417">
        <v>1049705</v>
      </c>
      <c r="AB853" s="417">
        <v>1049698</v>
      </c>
      <c r="AC853" s="417">
        <v>0</v>
      </c>
      <c r="AD853" s="417">
        <v>0</v>
      </c>
      <c r="AE853" s="378">
        <v>3.7296999999999999E-3</v>
      </c>
      <c r="AF853" s="378"/>
      <c r="AG853" s="417">
        <v>257105</v>
      </c>
      <c r="AH853" s="417">
        <v>210058</v>
      </c>
      <c r="AI853" s="417">
        <v>0</v>
      </c>
      <c r="AJ853" s="417">
        <v>0</v>
      </c>
      <c r="AK853" s="417">
        <v>0</v>
      </c>
      <c r="AL853" s="378">
        <v>3.7296999999999999E-3</v>
      </c>
      <c r="AM853" s="378"/>
      <c r="AN853" s="417">
        <v>-34290</v>
      </c>
      <c r="AO853" s="417">
        <v>-34290</v>
      </c>
      <c r="AP853" s="417">
        <v>-34288</v>
      </c>
      <c r="AQ853" s="417">
        <v>0</v>
      </c>
      <c r="AR853" s="417">
        <v>0</v>
      </c>
    </row>
    <row r="854" spans="1:44">
      <c r="A854" s="377">
        <v>99221</v>
      </c>
      <c r="B854" t="s">
        <v>1549</v>
      </c>
      <c r="C854" s="378">
        <v>1.21263E-2</v>
      </c>
      <c r="D854" s="378"/>
      <c r="E854" s="417">
        <v>1484027</v>
      </c>
      <c r="F854" s="417">
        <v>-768280</v>
      </c>
      <c r="G854" s="417">
        <v>-2097374</v>
      </c>
      <c r="H854" s="417">
        <v>-8130369</v>
      </c>
      <c r="I854" s="417">
        <v>0</v>
      </c>
      <c r="J854" s="378">
        <v>1.21263E-2</v>
      </c>
      <c r="K854" s="378"/>
      <c r="L854" s="417">
        <v>2968615</v>
      </c>
      <c r="M854" s="417">
        <v>2050218</v>
      </c>
      <c r="N854" s="417">
        <v>897492</v>
      </c>
      <c r="O854" s="417">
        <v>0</v>
      </c>
      <c r="P854" s="417">
        <v>0</v>
      </c>
      <c r="Q854" s="378">
        <v>1.21263E-2</v>
      </c>
      <c r="R854" s="378"/>
      <c r="S854" s="417">
        <v>-6091865</v>
      </c>
      <c r="T854" s="417">
        <v>-6021375</v>
      </c>
      <c r="U854" s="417">
        <v>-6325697</v>
      </c>
      <c r="V854" s="417">
        <v>-8130369</v>
      </c>
      <c r="W854" s="417">
        <v>0</v>
      </c>
      <c r="X854" s="378">
        <v>1.21263E-2</v>
      </c>
      <c r="Z854" s="417">
        <v>4857820</v>
      </c>
      <c r="AA854" s="417">
        <v>3412887</v>
      </c>
      <c r="AB854" s="417">
        <v>3412862</v>
      </c>
      <c r="AC854" s="417">
        <v>0</v>
      </c>
      <c r="AD854" s="417">
        <v>0</v>
      </c>
      <c r="AE854" s="378">
        <v>1.21263E-2</v>
      </c>
      <c r="AF854" s="378"/>
      <c r="AG854" s="417">
        <v>0</v>
      </c>
      <c r="AH854" s="417">
        <v>0</v>
      </c>
      <c r="AI854" s="417">
        <v>0</v>
      </c>
      <c r="AJ854" s="417">
        <v>0</v>
      </c>
      <c r="AK854" s="417">
        <v>0</v>
      </c>
      <c r="AL854" s="378">
        <v>1.21263E-2</v>
      </c>
      <c r="AM854" s="378"/>
      <c r="AN854" s="417">
        <v>-250543</v>
      </c>
      <c r="AO854" s="417">
        <v>-210010</v>
      </c>
      <c r="AP854" s="417">
        <v>-82031</v>
      </c>
      <c r="AQ854" s="417">
        <v>0</v>
      </c>
      <c r="AR854" s="417">
        <v>0</v>
      </c>
    </row>
    <row r="855" spans="1:44">
      <c r="A855" s="377">
        <v>99222</v>
      </c>
      <c r="B855" t="s">
        <v>1550</v>
      </c>
      <c r="C855" s="378">
        <v>3.3099999999999998E-5</v>
      </c>
      <c r="D855" s="378"/>
      <c r="E855" s="417">
        <v>2462</v>
      </c>
      <c r="F855" s="417">
        <v>-3128</v>
      </c>
      <c r="G855" s="417">
        <v>-5471</v>
      </c>
      <c r="H855" s="417">
        <v>-22193</v>
      </c>
      <c r="I855" s="417">
        <v>0</v>
      </c>
      <c r="J855" s="378">
        <v>3.3099999999999998E-5</v>
      </c>
      <c r="K855" s="378"/>
      <c r="L855" s="417">
        <v>8103</v>
      </c>
      <c r="M855" s="417">
        <v>5596</v>
      </c>
      <c r="N855" s="417">
        <v>2450</v>
      </c>
      <c r="O855" s="417">
        <v>0</v>
      </c>
      <c r="P855" s="417">
        <v>0</v>
      </c>
      <c r="Q855" s="378">
        <v>3.3099999999999998E-5</v>
      </c>
      <c r="R855" s="378"/>
      <c r="S855" s="417">
        <v>-16628</v>
      </c>
      <c r="T855" s="417">
        <v>-16436</v>
      </c>
      <c r="U855" s="417">
        <v>-17267</v>
      </c>
      <c r="V855" s="417">
        <v>-22193</v>
      </c>
      <c r="W855" s="417">
        <v>0</v>
      </c>
      <c r="X855" s="378">
        <v>3.3099999999999998E-5</v>
      </c>
      <c r="Z855" s="417">
        <v>13260</v>
      </c>
      <c r="AA855" s="417">
        <v>9316</v>
      </c>
      <c r="AB855" s="417">
        <v>9316</v>
      </c>
      <c r="AC855" s="417">
        <v>0</v>
      </c>
      <c r="AD855" s="417">
        <v>0</v>
      </c>
      <c r="AE855" s="378">
        <v>3.3099999999999998E-5</v>
      </c>
      <c r="AF855" s="378"/>
      <c r="AG855" s="417">
        <v>29</v>
      </c>
      <c r="AH855" s="417">
        <v>29</v>
      </c>
      <c r="AI855" s="417">
        <v>30</v>
      </c>
      <c r="AJ855" s="417">
        <v>0</v>
      </c>
      <c r="AK855" s="417">
        <v>0</v>
      </c>
      <c r="AL855" s="378">
        <v>3.3099999999999998E-5</v>
      </c>
      <c r="AM855" s="378"/>
      <c r="AN855" s="417">
        <v>-2302</v>
      </c>
      <c r="AO855" s="417">
        <v>-1633</v>
      </c>
      <c r="AP855" s="417">
        <v>0</v>
      </c>
      <c r="AQ855" s="417">
        <v>0</v>
      </c>
      <c r="AR855" s="417">
        <v>0</v>
      </c>
    </row>
    <row r="856" spans="1:44">
      <c r="A856" s="377">
        <v>99231</v>
      </c>
      <c r="B856" t="s">
        <v>1551</v>
      </c>
      <c r="C856" s="378">
        <v>4.5189999999999998E-4</v>
      </c>
      <c r="D856" s="378"/>
      <c r="E856" s="417">
        <v>110861</v>
      </c>
      <c r="F856" s="417">
        <v>28355</v>
      </c>
      <c r="G856" s="417">
        <v>-45892</v>
      </c>
      <c r="H856" s="417">
        <v>-302987</v>
      </c>
      <c r="I856" s="417">
        <v>0</v>
      </c>
      <c r="J856" s="378">
        <v>4.5189999999999998E-4</v>
      </c>
      <c r="K856" s="378"/>
      <c r="L856" s="417">
        <v>110629</v>
      </c>
      <c r="M856" s="417">
        <v>76404</v>
      </c>
      <c r="N856" s="417">
        <v>33446</v>
      </c>
      <c r="O856" s="417">
        <v>0</v>
      </c>
      <c r="P856" s="417">
        <v>0</v>
      </c>
      <c r="Q856" s="378">
        <v>4.5189999999999998E-4</v>
      </c>
      <c r="R856" s="378"/>
      <c r="S856" s="417">
        <v>-227020</v>
      </c>
      <c r="T856" s="417">
        <v>-224393</v>
      </c>
      <c r="U856" s="417">
        <v>-235734</v>
      </c>
      <c r="V856" s="417">
        <v>-302987</v>
      </c>
      <c r="W856" s="417">
        <v>0</v>
      </c>
      <c r="X856" s="378">
        <v>4.5189999999999998E-4</v>
      </c>
      <c r="Z856" s="417">
        <v>181032</v>
      </c>
      <c r="AA856" s="417">
        <v>127185</v>
      </c>
      <c r="AB856" s="417">
        <v>127184</v>
      </c>
      <c r="AC856" s="417">
        <v>0</v>
      </c>
      <c r="AD856" s="417">
        <v>0</v>
      </c>
      <c r="AE856" s="378">
        <v>4.5189999999999998E-4</v>
      </c>
      <c r="AF856" s="378"/>
      <c r="AG856" s="417">
        <v>51261</v>
      </c>
      <c r="AH856" s="417">
        <v>51259</v>
      </c>
      <c r="AI856" s="417">
        <v>29212</v>
      </c>
      <c r="AJ856" s="417">
        <v>0</v>
      </c>
      <c r="AK856" s="417">
        <v>0</v>
      </c>
      <c r="AL856" s="378">
        <v>4.5189999999999998E-4</v>
      </c>
      <c r="AM856" s="378"/>
      <c r="AN856" s="417">
        <v>-5041</v>
      </c>
      <c r="AO856" s="417">
        <v>-2100</v>
      </c>
      <c r="AP856" s="417">
        <v>0</v>
      </c>
      <c r="AQ856" s="417">
        <v>0</v>
      </c>
      <c r="AR856" s="417">
        <v>0</v>
      </c>
    </row>
    <row r="857" spans="1:44">
      <c r="A857" s="377">
        <v>99241</v>
      </c>
      <c r="B857" t="s">
        <v>1552</v>
      </c>
      <c r="C857" s="378">
        <v>5.4799999999999998E-4</v>
      </c>
      <c r="D857" s="378"/>
      <c r="E857" s="417">
        <v>53137</v>
      </c>
      <c r="F857" s="417">
        <v>-47343</v>
      </c>
      <c r="G857" s="417">
        <v>-115831</v>
      </c>
      <c r="H857" s="417">
        <v>-367420</v>
      </c>
      <c r="I857" s="417">
        <v>0</v>
      </c>
      <c r="J857" s="378">
        <v>5.4799999999999998E-4</v>
      </c>
      <c r="K857" s="378"/>
      <c r="L857" s="417">
        <v>134155</v>
      </c>
      <c r="M857" s="417">
        <v>92651</v>
      </c>
      <c r="N857" s="417">
        <v>40559</v>
      </c>
      <c r="O857" s="417">
        <v>0</v>
      </c>
      <c r="P857" s="417">
        <v>0</v>
      </c>
      <c r="Q857" s="378">
        <v>5.4799999999999998E-4</v>
      </c>
      <c r="R857" s="378"/>
      <c r="S857" s="417">
        <v>-275298</v>
      </c>
      <c r="T857" s="417">
        <v>-272112</v>
      </c>
      <c r="U857" s="417">
        <v>-285865</v>
      </c>
      <c r="V857" s="417">
        <v>-367420</v>
      </c>
      <c r="W857" s="417">
        <v>0</v>
      </c>
      <c r="X857" s="378">
        <v>5.4799999999999998E-4</v>
      </c>
      <c r="Z857" s="417">
        <v>219530</v>
      </c>
      <c r="AA857" s="417">
        <v>154232</v>
      </c>
      <c r="AB857" s="417">
        <v>154231</v>
      </c>
      <c r="AC857" s="417">
        <v>0</v>
      </c>
      <c r="AD857" s="417">
        <v>0</v>
      </c>
      <c r="AE857" s="378">
        <v>5.4799999999999998E-4</v>
      </c>
      <c r="AF857" s="378"/>
      <c r="AG857" s="417">
        <v>3938</v>
      </c>
      <c r="AH857" s="417">
        <v>3938</v>
      </c>
      <c r="AI857" s="417">
        <v>0</v>
      </c>
      <c r="AJ857" s="417">
        <v>0</v>
      </c>
      <c r="AK857" s="417">
        <v>0</v>
      </c>
      <c r="AL857" s="378">
        <v>5.4799999999999998E-4</v>
      </c>
      <c r="AM857" s="378"/>
      <c r="AN857" s="417">
        <v>-29188</v>
      </c>
      <c r="AO857" s="417">
        <v>-26052</v>
      </c>
      <c r="AP857" s="417">
        <v>-24756</v>
      </c>
      <c r="AQ857" s="417">
        <v>0</v>
      </c>
      <c r="AR857" s="417">
        <v>0</v>
      </c>
    </row>
    <row r="858" spans="1:44">
      <c r="A858" s="377">
        <v>99251</v>
      </c>
      <c r="B858" t="s">
        <v>1553</v>
      </c>
      <c r="C858" s="378">
        <v>1.6489E-3</v>
      </c>
      <c r="D858" s="378"/>
      <c r="E858" s="417">
        <v>242388</v>
      </c>
      <c r="F858" s="417">
        <v>-65467</v>
      </c>
      <c r="G858" s="417">
        <v>-268006</v>
      </c>
      <c r="H858" s="417">
        <v>-1105545</v>
      </c>
      <c r="I858" s="417">
        <v>0</v>
      </c>
      <c r="J858" s="378">
        <v>1.6489E-3</v>
      </c>
      <c r="K858" s="378"/>
      <c r="L858" s="417">
        <v>403664</v>
      </c>
      <c r="M858" s="417">
        <v>278783</v>
      </c>
      <c r="N858" s="417">
        <v>122038</v>
      </c>
      <c r="O858" s="417">
        <v>0</v>
      </c>
      <c r="P858" s="417">
        <v>0</v>
      </c>
      <c r="Q858" s="378">
        <v>1.6489E-3</v>
      </c>
      <c r="R858" s="378"/>
      <c r="S858" s="417">
        <v>-828355</v>
      </c>
      <c r="T858" s="417">
        <v>-818770</v>
      </c>
      <c r="U858" s="417">
        <v>-860150</v>
      </c>
      <c r="V858" s="417">
        <v>-1105545</v>
      </c>
      <c r="W858" s="417">
        <v>0</v>
      </c>
      <c r="X858" s="378">
        <v>1.6489E-3</v>
      </c>
      <c r="Z858" s="417">
        <v>660553</v>
      </c>
      <c r="AA858" s="417">
        <v>464075</v>
      </c>
      <c r="AB858" s="417">
        <v>464071</v>
      </c>
      <c r="AC858" s="417">
        <v>0</v>
      </c>
      <c r="AD858" s="417">
        <v>0</v>
      </c>
      <c r="AE858" s="378">
        <v>1.6489E-3</v>
      </c>
      <c r="AF858" s="378"/>
      <c r="AG858" s="417">
        <v>10447</v>
      </c>
      <c r="AH858" s="417">
        <v>10445</v>
      </c>
      <c r="AI858" s="417">
        <v>6035</v>
      </c>
      <c r="AJ858" s="417">
        <v>0</v>
      </c>
      <c r="AK858" s="417">
        <v>0</v>
      </c>
      <c r="AL858" s="378">
        <v>1.6489E-3</v>
      </c>
      <c r="AM858" s="378"/>
      <c r="AN858" s="417">
        <v>-3921</v>
      </c>
      <c r="AO858" s="417">
        <v>0</v>
      </c>
      <c r="AP858" s="417">
        <v>0</v>
      </c>
      <c r="AQ858" s="417">
        <v>0</v>
      </c>
      <c r="AR858" s="417">
        <v>0</v>
      </c>
    </row>
    <row r="859" spans="1:44">
      <c r="A859" s="377">
        <v>99252</v>
      </c>
      <c r="B859" t="s">
        <v>1554</v>
      </c>
      <c r="C859" s="378">
        <v>6.3929999999999998E-4</v>
      </c>
      <c r="D859" s="378"/>
      <c r="E859" s="417">
        <v>18975</v>
      </c>
      <c r="F859" s="417">
        <v>-94289</v>
      </c>
      <c r="G859" s="417">
        <v>-119061</v>
      </c>
      <c r="H859" s="417">
        <v>-428634</v>
      </c>
      <c r="I859" s="417">
        <v>0</v>
      </c>
      <c r="J859" s="378">
        <v>6.3929999999999998E-4</v>
      </c>
      <c r="K859" s="378"/>
      <c r="L859" s="417">
        <v>156506</v>
      </c>
      <c r="M859" s="417">
        <v>108088</v>
      </c>
      <c r="N859" s="417">
        <v>47316</v>
      </c>
      <c r="O859" s="417">
        <v>0</v>
      </c>
      <c r="P859" s="417">
        <v>0</v>
      </c>
      <c r="Q859" s="378">
        <v>6.3929999999999998E-4</v>
      </c>
      <c r="R859" s="378"/>
      <c r="S859" s="417">
        <v>-321164</v>
      </c>
      <c r="T859" s="417">
        <v>-317448</v>
      </c>
      <c r="U859" s="417">
        <v>-333491</v>
      </c>
      <c r="V859" s="417">
        <v>-428634</v>
      </c>
      <c r="W859" s="417">
        <v>0</v>
      </c>
      <c r="X859" s="378">
        <v>6.3929999999999998E-4</v>
      </c>
      <c r="Z859" s="417">
        <v>256105</v>
      </c>
      <c r="AA859" s="417">
        <v>179928</v>
      </c>
      <c r="AB859" s="417">
        <v>179927</v>
      </c>
      <c r="AC859" s="417">
        <v>0</v>
      </c>
      <c r="AD859" s="417">
        <v>0</v>
      </c>
      <c r="AE859" s="378">
        <v>6.3929999999999998E-4</v>
      </c>
      <c r="AF859" s="378"/>
      <c r="AG859" s="417">
        <v>0</v>
      </c>
      <c r="AH859" s="417">
        <v>0</v>
      </c>
      <c r="AI859" s="417">
        <v>0</v>
      </c>
      <c r="AJ859" s="417">
        <v>0</v>
      </c>
      <c r="AK859" s="417">
        <v>0</v>
      </c>
      <c r="AL859" s="378">
        <v>6.3929999999999998E-4</v>
      </c>
      <c r="AM859" s="378"/>
      <c r="AN859" s="417">
        <v>-72472</v>
      </c>
      <c r="AO859" s="417">
        <v>-64857</v>
      </c>
      <c r="AP859" s="417">
        <v>-12813</v>
      </c>
      <c r="AQ859" s="417">
        <v>0</v>
      </c>
      <c r="AR859" s="417">
        <v>0</v>
      </c>
    </row>
    <row r="860" spans="1:44">
      <c r="A860" s="377">
        <v>99261</v>
      </c>
      <c r="B860" t="s">
        <v>1555</v>
      </c>
      <c r="C860" s="378">
        <v>2.2912000000000002E-3</v>
      </c>
      <c r="D860" s="378"/>
      <c r="E860" s="417">
        <v>272174</v>
      </c>
      <c r="F860" s="417">
        <v>-155370</v>
      </c>
      <c r="G860" s="417">
        <v>-414603</v>
      </c>
      <c r="H860" s="417">
        <v>-1536190</v>
      </c>
      <c r="I860" s="417">
        <v>0</v>
      </c>
      <c r="J860" s="378">
        <v>2.2912000000000002E-3</v>
      </c>
      <c r="K860" s="378"/>
      <c r="L860" s="417">
        <v>560904</v>
      </c>
      <c r="M860" s="417">
        <v>387378</v>
      </c>
      <c r="N860" s="417">
        <v>169576</v>
      </c>
      <c r="O860" s="417">
        <v>0</v>
      </c>
      <c r="P860" s="417">
        <v>0</v>
      </c>
      <c r="Q860" s="378">
        <v>2.2912000000000002E-3</v>
      </c>
      <c r="R860" s="378"/>
      <c r="S860" s="417">
        <v>-1151026</v>
      </c>
      <c r="T860" s="417">
        <v>-1137707</v>
      </c>
      <c r="U860" s="417">
        <v>-1195207</v>
      </c>
      <c r="V860" s="417">
        <v>-1536190</v>
      </c>
      <c r="W860" s="417">
        <v>0</v>
      </c>
      <c r="X860" s="378">
        <v>2.2912000000000002E-3</v>
      </c>
      <c r="Z860" s="417">
        <v>917859</v>
      </c>
      <c r="AA860" s="417">
        <v>644847</v>
      </c>
      <c r="AB860" s="417">
        <v>644842</v>
      </c>
      <c r="AC860" s="417">
        <v>0</v>
      </c>
      <c r="AD860" s="417">
        <v>0</v>
      </c>
      <c r="AE860" s="378">
        <v>2.2912000000000002E-3</v>
      </c>
      <c r="AF860" s="378"/>
      <c r="AG860" s="417">
        <v>470</v>
      </c>
      <c r="AH860" s="417">
        <v>472</v>
      </c>
      <c r="AI860" s="417">
        <v>0</v>
      </c>
      <c r="AJ860" s="417">
        <v>0</v>
      </c>
      <c r="AK860" s="417">
        <v>0</v>
      </c>
      <c r="AL860" s="378">
        <v>2.2912000000000002E-3</v>
      </c>
      <c r="AM860" s="378"/>
      <c r="AN860" s="417">
        <v>-56033</v>
      </c>
      <c r="AO860" s="417">
        <v>-50360</v>
      </c>
      <c r="AP860" s="417">
        <v>-33814</v>
      </c>
      <c r="AQ860" s="417">
        <v>0</v>
      </c>
      <c r="AR860" s="417">
        <v>0</v>
      </c>
    </row>
    <row r="861" spans="1:44">
      <c r="A861" s="377">
        <v>99271</v>
      </c>
      <c r="B861" t="s">
        <v>1556</v>
      </c>
      <c r="C861" s="378">
        <v>5.0762000000000003E-3</v>
      </c>
      <c r="D861" s="378"/>
      <c r="E861" s="417">
        <v>1036072</v>
      </c>
      <c r="F861" s="417">
        <v>57660</v>
      </c>
      <c r="G861" s="417">
        <v>-641770</v>
      </c>
      <c r="H861" s="417">
        <v>-3403460</v>
      </c>
      <c r="I861" s="417">
        <v>0</v>
      </c>
      <c r="J861" s="378">
        <v>5.0762000000000003E-3</v>
      </c>
      <c r="K861" s="378"/>
      <c r="L861" s="417">
        <v>1242694</v>
      </c>
      <c r="M861" s="417">
        <v>858243</v>
      </c>
      <c r="N861" s="417">
        <v>375700</v>
      </c>
      <c r="O861" s="417">
        <v>0</v>
      </c>
      <c r="P861" s="417">
        <v>0</v>
      </c>
      <c r="Q861" s="378">
        <v>5.0762000000000003E-3</v>
      </c>
      <c r="R861" s="378"/>
      <c r="S861" s="417">
        <v>-2550120</v>
      </c>
      <c r="T861" s="417">
        <v>-2520612</v>
      </c>
      <c r="U861" s="417">
        <v>-2648005</v>
      </c>
      <c r="V861" s="417">
        <v>-3403460</v>
      </c>
      <c r="W861" s="417">
        <v>0</v>
      </c>
      <c r="X861" s="378">
        <v>5.0762000000000003E-3</v>
      </c>
      <c r="Z861" s="417">
        <v>2033536</v>
      </c>
      <c r="AA861" s="417">
        <v>1428671</v>
      </c>
      <c r="AB861" s="417">
        <v>1428661</v>
      </c>
      <c r="AC861" s="417">
        <v>0</v>
      </c>
      <c r="AD861" s="417">
        <v>0</v>
      </c>
      <c r="AE861" s="378">
        <v>5.0762000000000003E-3</v>
      </c>
      <c r="AF861" s="378"/>
      <c r="AG861" s="417">
        <v>331055</v>
      </c>
      <c r="AH861" s="417">
        <v>312449</v>
      </c>
      <c r="AI861" s="417">
        <v>201874</v>
      </c>
      <c r="AJ861" s="417">
        <v>0</v>
      </c>
      <c r="AK861" s="417">
        <v>0</v>
      </c>
      <c r="AL861" s="378">
        <v>5.0762000000000003E-3</v>
      </c>
      <c r="AM861" s="378"/>
      <c r="AN861" s="417">
        <v>-21093</v>
      </c>
      <c r="AO861" s="417">
        <v>-21091</v>
      </c>
      <c r="AP861" s="417">
        <v>0</v>
      </c>
      <c r="AQ861" s="417">
        <v>0</v>
      </c>
      <c r="AR861" s="417">
        <v>0</v>
      </c>
    </row>
    <row r="862" spans="1:44">
      <c r="A862" s="377">
        <v>99281</v>
      </c>
      <c r="B862" t="s">
        <v>1557</v>
      </c>
      <c r="C862" s="378">
        <v>3.4172E-3</v>
      </c>
      <c r="D862" s="378"/>
      <c r="E862" s="417">
        <v>942634</v>
      </c>
      <c r="F862" s="417">
        <v>291745</v>
      </c>
      <c r="G862" s="417">
        <v>-148637</v>
      </c>
      <c r="H862" s="417">
        <v>-2291144</v>
      </c>
      <c r="I862" s="417">
        <v>0</v>
      </c>
      <c r="J862" s="378">
        <v>3.4172E-3</v>
      </c>
      <c r="K862" s="378"/>
      <c r="L862" s="417">
        <v>836558</v>
      </c>
      <c r="M862" s="417">
        <v>577753</v>
      </c>
      <c r="N862" s="417">
        <v>252914</v>
      </c>
      <c r="O862" s="417">
        <v>0</v>
      </c>
      <c r="P862" s="417">
        <v>0</v>
      </c>
      <c r="Q862" s="378">
        <v>3.4172E-3</v>
      </c>
      <c r="R862" s="378"/>
      <c r="S862" s="417">
        <v>-1716692</v>
      </c>
      <c r="T862" s="417">
        <v>-1696828</v>
      </c>
      <c r="U862" s="417">
        <v>-1782586</v>
      </c>
      <c r="V862" s="417">
        <v>-2291144</v>
      </c>
      <c r="W862" s="417">
        <v>0</v>
      </c>
      <c r="X862" s="378">
        <v>3.4172E-3</v>
      </c>
      <c r="Z862" s="417">
        <v>1368937</v>
      </c>
      <c r="AA862" s="417">
        <v>961754</v>
      </c>
      <c r="AB862" s="417">
        <v>961747</v>
      </c>
      <c r="AC862" s="417">
        <v>0</v>
      </c>
      <c r="AD862" s="417">
        <v>0</v>
      </c>
      <c r="AE862" s="378">
        <v>3.4172E-3</v>
      </c>
      <c r="AF862" s="378"/>
      <c r="AG862" s="417">
        <v>453842</v>
      </c>
      <c r="AH862" s="417">
        <v>449079</v>
      </c>
      <c r="AI862" s="417">
        <v>419288</v>
      </c>
      <c r="AJ862" s="417">
        <v>0</v>
      </c>
      <c r="AK862" s="417">
        <v>0</v>
      </c>
      <c r="AL862" s="378">
        <v>3.4172E-3</v>
      </c>
      <c r="AM862" s="378"/>
      <c r="AN862" s="417">
        <v>-11</v>
      </c>
      <c r="AO862" s="417">
        <v>-13</v>
      </c>
      <c r="AP862" s="417">
        <v>0</v>
      </c>
      <c r="AQ862" s="417">
        <v>0</v>
      </c>
      <c r="AR862" s="417">
        <v>0</v>
      </c>
    </row>
    <row r="863" spans="1:44">
      <c r="A863" s="377">
        <v>99291</v>
      </c>
      <c r="B863" t="s">
        <v>1558</v>
      </c>
      <c r="C863" s="378">
        <v>9.6429999999999997E-4</v>
      </c>
      <c r="D863" s="378"/>
      <c r="E863" s="417">
        <v>177741</v>
      </c>
      <c r="F863" s="417">
        <v>-7732</v>
      </c>
      <c r="G863" s="417">
        <v>-99028</v>
      </c>
      <c r="H863" s="417">
        <v>-646538</v>
      </c>
      <c r="I863" s="417">
        <v>0</v>
      </c>
      <c r="J863" s="378">
        <v>9.6429999999999997E-4</v>
      </c>
      <c r="K863" s="378"/>
      <c r="L863" s="417">
        <v>236068</v>
      </c>
      <c r="M863" s="417">
        <v>163036</v>
      </c>
      <c r="N863" s="417">
        <v>71370</v>
      </c>
      <c r="O863" s="417">
        <v>0</v>
      </c>
      <c r="P863" s="417">
        <v>0</v>
      </c>
      <c r="Q863" s="378">
        <v>9.6429999999999997E-4</v>
      </c>
      <c r="R863" s="378"/>
      <c r="S863" s="417">
        <v>-484433</v>
      </c>
      <c r="T863" s="417">
        <v>-478828</v>
      </c>
      <c r="U863" s="417">
        <v>-503028</v>
      </c>
      <c r="V863" s="417">
        <v>-646538</v>
      </c>
      <c r="W863" s="417">
        <v>0</v>
      </c>
      <c r="X863" s="378">
        <v>9.6429999999999997E-4</v>
      </c>
      <c r="Z863" s="417">
        <v>386301</v>
      </c>
      <c r="AA863" s="417">
        <v>271397</v>
      </c>
      <c r="AB863" s="417">
        <v>271395</v>
      </c>
      <c r="AC863" s="417">
        <v>0</v>
      </c>
      <c r="AD863" s="417">
        <v>0</v>
      </c>
      <c r="AE863" s="378">
        <v>9.6429999999999997E-4</v>
      </c>
      <c r="AF863" s="378"/>
      <c r="AG863" s="417">
        <v>64378</v>
      </c>
      <c r="AH863" s="417">
        <v>61236</v>
      </c>
      <c r="AI863" s="417">
        <v>61235</v>
      </c>
      <c r="AJ863" s="417">
        <v>0</v>
      </c>
      <c r="AK863" s="417">
        <v>0</v>
      </c>
      <c r="AL863" s="378">
        <v>9.6429999999999997E-4</v>
      </c>
      <c r="AM863" s="378"/>
      <c r="AN863" s="417">
        <v>-24573</v>
      </c>
      <c r="AO863" s="417">
        <v>-24573</v>
      </c>
      <c r="AP863" s="417">
        <v>0</v>
      </c>
      <c r="AQ863" s="417">
        <v>0</v>
      </c>
      <c r="AR863" s="417">
        <v>0</v>
      </c>
    </row>
    <row r="864" spans="1:44">
      <c r="A864" s="377">
        <v>99301</v>
      </c>
      <c r="B864" t="s">
        <v>1559</v>
      </c>
      <c r="C864" s="378">
        <v>1.4434000000000001E-3</v>
      </c>
      <c r="D864" s="378"/>
      <c r="E864" s="417">
        <v>100409</v>
      </c>
      <c r="F864" s="417">
        <v>-157122</v>
      </c>
      <c r="G864" s="417">
        <v>-279942</v>
      </c>
      <c r="H864" s="417">
        <v>-967762</v>
      </c>
      <c r="I864" s="417">
        <v>0</v>
      </c>
      <c r="J864" s="378">
        <v>1.4434000000000001E-3</v>
      </c>
      <c r="K864" s="378"/>
      <c r="L864" s="417">
        <v>353356</v>
      </c>
      <c r="M864" s="417">
        <v>244039</v>
      </c>
      <c r="N864" s="417">
        <v>106829</v>
      </c>
      <c r="O864" s="417">
        <v>0</v>
      </c>
      <c r="P864" s="417">
        <v>0</v>
      </c>
      <c r="Q864" s="378">
        <v>1.4434000000000001E-3</v>
      </c>
      <c r="R864" s="378"/>
      <c r="S864" s="417">
        <v>-725118</v>
      </c>
      <c r="T864" s="417">
        <v>-716727</v>
      </c>
      <c r="U864" s="417">
        <v>-752951</v>
      </c>
      <c r="V864" s="417">
        <v>-967762</v>
      </c>
      <c r="W864" s="417">
        <v>0</v>
      </c>
      <c r="X864" s="378">
        <v>1.4434000000000001E-3</v>
      </c>
      <c r="Z864" s="417">
        <v>578229</v>
      </c>
      <c r="AA864" s="417">
        <v>406238</v>
      </c>
      <c r="AB864" s="417">
        <v>406235</v>
      </c>
      <c r="AC864" s="417">
        <v>0</v>
      </c>
      <c r="AD864" s="417">
        <v>0</v>
      </c>
      <c r="AE864" s="378">
        <v>1.4434000000000001E-3</v>
      </c>
      <c r="AF864" s="378"/>
      <c r="AG864" s="417">
        <v>0</v>
      </c>
      <c r="AH864" s="417">
        <v>0</v>
      </c>
      <c r="AI864" s="417">
        <v>0</v>
      </c>
      <c r="AJ864" s="417">
        <v>0</v>
      </c>
      <c r="AK864" s="417">
        <v>0</v>
      </c>
      <c r="AL864" s="378">
        <v>1.4434000000000001E-3</v>
      </c>
      <c r="AM864" s="378"/>
      <c r="AN864" s="417">
        <v>-106058</v>
      </c>
      <c r="AO864" s="417">
        <v>-90672</v>
      </c>
      <c r="AP864" s="417">
        <v>-40055</v>
      </c>
      <c r="AQ864" s="417">
        <v>0</v>
      </c>
      <c r="AR864" s="417">
        <v>0</v>
      </c>
    </row>
    <row r="865" spans="1:44">
      <c r="A865" s="377">
        <v>99304</v>
      </c>
      <c r="B865" t="s">
        <v>1560</v>
      </c>
      <c r="C865" s="378">
        <v>6.7000000000000002E-6</v>
      </c>
      <c r="D865" s="378"/>
      <c r="E865" s="417">
        <v>5160</v>
      </c>
      <c r="F865" s="417">
        <v>3204</v>
      </c>
      <c r="G865" s="417">
        <v>617</v>
      </c>
      <c r="H865" s="417">
        <v>-4492</v>
      </c>
      <c r="I865" s="417">
        <v>0</v>
      </c>
      <c r="J865" s="378">
        <v>6.7000000000000002E-6</v>
      </c>
      <c r="K865" s="378"/>
      <c r="L865" s="417">
        <v>1640</v>
      </c>
      <c r="M865" s="417">
        <v>1133</v>
      </c>
      <c r="N865" s="417">
        <v>496</v>
      </c>
      <c r="O865" s="417">
        <v>0</v>
      </c>
      <c r="P865" s="417">
        <v>0</v>
      </c>
      <c r="Q865" s="378">
        <v>6.7000000000000002E-6</v>
      </c>
      <c r="R865" s="378"/>
      <c r="S865" s="417">
        <v>-3366</v>
      </c>
      <c r="T865" s="417">
        <v>-3327</v>
      </c>
      <c r="U865" s="417">
        <v>-3495</v>
      </c>
      <c r="V865" s="417">
        <v>-4492</v>
      </c>
      <c r="W865" s="417">
        <v>0</v>
      </c>
      <c r="X865" s="378">
        <v>6.7000000000000002E-6</v>
      </c>
      <c r="Z865" s="417">
        <v>2684</v>
      </c>
      <c r="AA865" s="417">
        <v>1886</v>
      </c>
      <c r="AB865" s="417">
        <v>1886</v>
      </c>
      <c r="AC865" s="417">
        <v>0</v>
      </c>
      <c r="AD865" s="417">
        <v>0</v>
      </c>
      <c r="AE865" s="378">
        <v>6.7000000000000002E-6</v>
      </c>
      <c r="AF865" s="378"/>
      <c r="AG865" s="417">
        <v>4202</v>
      </c>
      <c r="AH865" s="417">
        <v>3512</v>
      </c>
      <c r="AI865" s="417">
        <v>1730</v>
      </c>
      <c r="AJ865" s="417">
        <v>0</v>
      </c>
      <c r="AK865" s="417">
        <v>0</v>
      </c>
      <c r="AL865" s="378">
        <v>6.7000000000000002E-6</v>
      </c>
      <c r="AM865" s="378"/>
      <c r="AN865" s="417">
        <v>0</v>
      </c>
      <c r="AO865" s="417">
        <v>0</v>
      </c>
      <c r="AP865" s="417">
        <v>0</v>
      </c>
      <c r="AQ865" s="417">
        <v>0</v>
      </c>
      <c r="AR865" s="417">
        <v>0</v>
      </c>
    </row>
    <row r="866" spans="1:44">
      <c r="A866" s="377">
        <v>99311</v>
      </c>
      <c r="B866" t="s">
        <v>1561</v>
      </c>
      <c r="C866" s="378">
        <v>5.6799999999999998E-5</v>
      </c>
      <c r="D866" s="378"/>
      <c r="E866" s="417">
        <v>5847</v>
      </c>
      <c r="F866" s="417">
        <v>-5913</v>
      </c>
      <c r="G866" s="417">
        <v>-9251</v>
      </c>
      <c r="H866" s="417">
        <v>-38083</v>
      </c>
      <c r="I866" s="417">
        <v>0</v>
      </c>
      <c r="J866" s="378">
        <v>5.6799999999999998E-5</v>
      </c>
      <c r="K866" s="378"/>
      <c r="L866" s="417">
        <v>13905</v>
      </c>
      <c r="M866" s="417">
        <v>9603</v>
      </c>
      <c r="N866" s="417">
        <v>4204</v>
      </c>
      <c r="O866" s="417">
        <v>0</v>
      </c>
      <c r="P866" s="417">
        <v>0</v>
      </c>
      <c r="Q866" s="378">
        <v>5.6799999999999998E-5</v>
      </c>
      <c r="R866" s="378"/>
      <c r="S866" s="417">
        <v>-28535</v>
      </c>
      <c r="T866" s="417">
        <v>-28204</v>
      </c>
      <c r="U866" s="417">
        <v>-29630</v>
      </c>
      <c r="V866" s="417">
        <v>-38083</v>
      </c>
      <c r="W866" s="417">
        <v>0</v>
      </c>
      <c r="X866" s="378">
        <v>5.6799999999999998E-5</v>
      </c>
      <c r="Z866" s="417">
        <v>22754</v>
      </c>
      <c r="AA866" s="417">
        <v>15986</v>
      </c>
      <c r="AB866" s="417">
        <v>15986</v>
      </c>
      <c r="AC866" s="417">
        <v>0</v>
      </c>
      <c r="AD866" s="417">
        <v>0</v>
      </c>
      <c r="AE866" s="378">
        <v>5.6799999999999998E-5</v>
      </c>
      <c r="AF866" s="378"/>
      <c r="AG866" s="417">
        <v>1211</v>
      </c>
      <c r="AH866" s="417">
        <v>190</v>
      </c>
      <c r="AI866" s="417">
        <v>189</v>
      </c>
      <c r="AJ866" s="417">
        <v>0</v>
      </c>
      <c r="AK866" s="417">
        <v>0</v>
      </c>
      <c r="AL866" s="378">
        <v>5.6799999999999998E-5</v>
      </c>
      <c r="AM866" s="378"/>
      <c r="AN866" s="417">
        <v>-3488</v>
      </c>
      <c r="AO866" s="417">
        <v>-3488</v>
      </c>
      <c r="AP866" s="417">
        <v>0</v>
      </c>
      <c r="AQ866" s="417">
        <v>0</v>
      </c>
      <c r="AR866" s="417">
        <v>0</v>
      </c>
    </row>
    <row r="867" spans="1:44">
      <c r="A867" s="377">
        <v>99321</v>
      </c>
      <c r="B867" t="s">
        <v>1562</v>
      </c>
      <c r="C867" s="378">
        <v>1.0230000000000001E-4</v>
      </c>
      <c r="D867" s="378"/>
      <c r="E867" s="417">
        <v>54534</v>
      </c>
      <c r="F867" s="417">
        <v>28669</v>
      </c>
      <c r="G867" s="417">
        <v>-2846</v>
      </c>
      <c r="H867" s="417">
        <v>-68589</v>
      </c>
      <c r="I867" s="417">
        <v>0</v>
      </c>
      <c r="J867" s="378">
        <v>1.0230000000000001E-4</v>
      </c>
      <c r="K867" s="378"/>
      <c r="L867" s="417">
        <v>25044</v>
      </c>
      <c r="M867" s="417">
        <v>17296</v>
      </c>
      <c r="N867" s="417">
        <v>7571</v>
      </c>
      <c r="O867" s="417">
        <v>0</v>
      </c>
      <c r="P867" s="417">
        <v>0</v>
      </c>
      <c r="Q867" s="378">
        <v>1.0230000000000001E-4</v>
      </c>
      <c r="R867" s="378"/>
      <c r="S867" s="417">
        <v>-51392</v>
      </c>
      <c r="T867" s="417">
        <v>-50798</v>
      </c>
      <c r="U867" s="417">
        <v>-53365</v>
      </c>
      <c r="V867" s="417">
        <v>-68589</v>
      </c>
      <c r="W867" s="417">
        <v>0</v>
      </c>
      <c r="X867" s="378">
        <v>1.0230000000000001E-4</v>
      </c>
      <c r="Z867" s="417">
        <v>40982</v>
      </c>
      <c r="AA867" s="417">
        <v>28792</v>
      </c>
      <c r="AB867" s="417">
        <v>28792</v>
      </c>
      <c r="AC867" s="417">
        <v>0</v>
      </c>
      <c r="AD867" s="417">
        <v>0</v>
      </c>
      <c r="AE867" s="378">
        <v>1.0230000000000001E-4</v>
      </c>
      <c r="AF867" s="378"/>
      <c r="AG867" s="417">
        <v>39900</v>
      </c>
      <c r="AH867" s="417">
        <v>33379</v>
      </c>
      <c r="AI867" s="417">
        <v>14156</v>
      </c>
      <c r="AJ867" s="417">
        <v>0</v>
      </c>
      <c r="AK867" s="417">
        <v>0</v>
      </c>
      <c r="AL867" s="378">
        <v>1.0230000000000001E-4</v>
      </c>
      <c r="AM867" s="378"/>
      <c r="AN867" s="417">
        <v>0</v>
      </c>
      <c r="AO867" s="417">
        <v>0</v>
      </c>
      <c r="AP867" s="417">
        <v>0</v>
      </c>
      <c r="AQ867" s="417">
        <v>0</v>
      </c>
      <c r="AR867" s="417">
        <v>0</v>
      </c>
    </row>
    <row r="868" spans="1:44">
      <c r="A868" s="377">
        <v>99401</v>
      </c>
      <c r="B868" t="s">
        <v>1563</v>
      </c>
      <c r="C868" s="378">
        <v>7.381E-4</v>
      </c>
      <c r="D868" s="378"/>
      <c r="E868" s="417">
        <v>82985</v>
      </c>
      <c r="F868" s="417">
        <v>-42009</v>
      </c>
      <c r="G868" s="417">
        <v>-125563</v>
      </c>
      <c r="H868" s="417">
        <v>-494877</v>
      </c>
      <c r="I868" s="417">
        <v>0</v>
      </c>
      <c r="J868" s="378">
        <v>7.381E-4</v>
      </c>
      <c r="K868" s="378"/>
      <c r="L868" s="417">
        <v>180693</v>
      </c>
      <c r="M868" s="417">
        <v>124792</v>
      </c>
      <c r="N868" s="417">
        <v>54628</v>
      </c>
      <c r="O868" s="417">
        <v>0</v>
      </c>
      <c r="P868" s="417">
        <v>0</v>
      </c>
      <c r="Q868" s="378">
        <v>7.381E-4</v>
      </c>
      <c r="R868" s="378"/>
      <c r="S868" s="417">
        <v>-370798</v>
      </c>
      <c r="T868" s="417">
        <v>-366507</v>
      </c>
      <c r="U868" s="417">
        <v>-385031</v>
      </c>
      <c r="V868" s="417">
        <v>-494877</v>
      </c>
      <c r="W868" s="417">
        <v>0</v>
      </c>
      <c r="X868" s="378">
        <v>7.381E-4</v>
      </c>
      <c r="Z868" s="417">
        <v>295684</v>
      </c>
      <c r="AA868" s="417">
        <v>207735</v>
      </c>
      <c r="AB868" s="417">
        <v>207733</v>
      </c>
      <c r="AC868" s="417">
        <v>0</v>
      </c>
      <c r="AD868" s="417">
        <v>0</v>
      </c>
      <c r="AE868" s="378">
        <v>7.381E-4</v>
      </c>
      <c r="AF868" s="378"/>
      <c r="AG868" s="417">
        <v>2028</v>
      </c>
      <c r="AH868" s="417">
        <v>2027</v>
      </c>
      <c r="AI868" s="417">
        <v>0</v>
      </c>
      <c r="AJ868" s="417">
        <v>0</v>
      </c>
      <c r="AK868" s="417">
        <v>0</v>
      </c>
      <c r="AL868" s="378">
        <v>7.381E-4</v>
      </c>
      <c r="AM868" s="378"/>
      <c r="AN868" s="417">
        <v>-24622</v>
      </c>
      <c r="AO868" s="417">
        <v>-10056</v>
      </c>
      <c r="AP868" s="417">
        <v>-2893</v>
      </c>
      <c r="AQ868" s="417">
        <v>0</v>
      </c>
      <c r="AR868" s="417">
        <v>0</v>
      </c>
    </row>
    <row r="869" spans="1:44">
      <c r="A869" s="377">
        <v>99404</v>
      </c>
      <c r="B869" t="s">
        <v>1564</v>
      </c>
      <c r="C869" s="378">
        <v>7.4000000000000003E-6</v>
      </c>
      <c r="D869" s="378"/>
      <c r="E869" s="417">
        <v>2208</v>
      </c>
      <c r="F869" s="417">
        <v>620</v>
      </c>
      <c r="G869" s="417">
        <v>-840</v>
      </c>
      <c r="H869" s="417">
        <v>-4962</v>
      </c>
      <c r="I869" s="417">
        <v>0</v>
      </c>
      <c r="J869" s="378">
        <v>7.4000000000000003E-6</v>
      </c>
      <c r="K869" s="378"/>
      <c r="L869" s="417">
        <v>1812</v>
      </c>
      <c r="M869" s="417">
        <v>1251</v>
      </c>
      <c r="N869" s="417">
        <v>548</v>
      </c>
      <c r="O869" s="417">
        <v>0</v>
      </c>
      <c r="P869" s="417">
        <v>0</v>
      </c>
      <c r="Q869" s="378">
        <v>7.4000000000000003E-6</v>
      </c>
      <c r="R869" s="378"/>
      <c r="S869" s="417">
        <v>-3718</v>
      </c>
      <c r="T869" s="417">
        <v>-3675</v>
      </c>
      <c r="U869" s="417">
        <v>-3860</v>
      </c>
      <c r="V869" s="417">
        <v>-4962</v>
      </c>
      <c r="W869" s="417">
        <v>0</v>
      </c>
      <c r="X869" s="378">
        <v>7.4000000000000003E-6</v>
      </c>
      <c r="Z869" s="417">
        <v>2964</v>
      </c>
      <c r="AA869" s="417">
        <v>2083</v>
      </c>
      <c r="AB869" s="417">
        <v>2083</v>
      </c>
      <c r="AC869" s="417">
        <v>0</v>
      </c>
      <c r="AD869" s="417">
        <v>0</v>
      </c>
      <c r="AE869" s="378">
        <v>7.4000000000000003E-6</v>
      </c>
      <c r="AF869" s="378"/>
      <c r="AG869" s="417">
        <v>1150</v>
      </c>
      <c r="AH869" s="417">
        <v>961</v>
      </c>
      <c r="AI869" s="417">
        <v>389</v>
      </c>
      <c r="AJ869" s="417">
        <v>0</v>
      </c>
      <c r="AK869" s="417">
        <v>0</v>
      </c>
      <c r="AL869" s="378">
        <v>7.4000000000000003E-6</v>
      </c>
      <c r="AM869" s="378"/>
      <c r="AN869" s="417">
        <v>0</v>
      </c>
      <c r="AO869" s="417">
        <v>0</v>
      </c>
      <c r="AP869" s="417">
        <v>0</v>
      </c>
      <c r="AQ869" s="417">
        <v>0</v>
      </c>
      <c r="AR869" s="417">
        <v>0</v>
      </c>
    </row>
    <row r="870" spans="1:44">
      <c r="A870" s="377">
        <v>99405</v>
      </c>
      <c r="B870" t="s">
        <v>1565</v>
      </c>
      <c r="C870" s="378">
        <v>5.27E-5</v>
      </c>
      <c r="D870" s="378"/>
      <c r="E870" s="417">
        <v>12591</v>
      </c>
      <c r="F870" s="417">
        <v>2062</v>
      </c>
      <c r="G870" s="417">
        <v>-9915</v>
      </c>
      <c r="H870" s="417">
        <v>-35334</v>
      </c>
      <c r="I870" s="417">
        <v>0</v>
      </c>
      <c r="J870" s="378">
        <v>5.27E-5</v>
      </c>
      <c r="K870" s="378"/>
      <c r="L870" s="417">
        <v>12901</v>
      </c>
      <c r="M870" s="417">
        <v>8910</v>
      </c>
      <c r="N870" s="417">
        <v>3900</v>
      </c>
      <c r="O870" s="417">
        <v>0</v>
      </c>
      <c r="P870" s="417">
        <v>0</v>
      </c>
      <c r="Q870" s="378">
        <v>5.27E-5</v>
      </c>
      <c r="R870" s="378"/>
      <c r="S870" s="417">
        <v>-26475</v>
      </c>
      <c r="T870" s="417">
        <v>-26168</v>
      </c>
      <c r="U870" s="417">
        <v>-27491</v>
      </c>
      <c r="V870" s="417">
        <v>-35334</v>
      </c>
      <c r="W870" s="417">
        <v>0</v>
      </c>
      <c r="X870" s="378">
        <v>5.27E-5</v>
      </c>
      <c r="Z870" s="417">
        <v>21112</v>
      </c>
      <c r="AA870" s="417">
        <v>14832</v>
      </c>
      <c r="AB870" s="417">
        <v>14832</v>
      </c>
      <c r="AC870" s="417">
        <v>0</v>
      </c>
      <c r="AD870" s="417">
        <v>0</v>
      </c>
      <c r="AE870" s="378">
        <v>5.27E-5</v>
      </c>
      <c r="AF870" s="378"/>
      <c r="AG870" s="417">
        <v>6211</v>
      </c>
      <c r="AH870" s="417">
        <v>5646</v>
      </c>
      <c r="AI870" s="417">
        <v>0</v>
      </c>
      <c r="AJ870" s="417">
        <v>0</v>
      </c>
      <c r="AK870" s="417">
        <v>0</v>
      </c>
      <c r="AL870" s="378">
        <v>5.27E-5</v>
      </c>
      <c r="AM870" s="378"/>
      <c r="AN870" s="417">
        <v>-1158</v>
      </c>
      <c r="AO870" s="417">
        <v>-1158</v>
      </c>
      <c r="AP870" s="417">
        <v>-1156</v>
      </c>
      <c r="AQ870" s="417">
        <v>0</v>
      </c>
      <c r="AR870" s="417">
        <v>0</v>
      </c>
    </row>
    <row r="871" spans="1:44">
      <c r="A871" s="377">
        <v>99411</v>
      </c>
      <c r="B871" t="s">
        <v>1566</v>
      </c>
      <c r="C871" s="378">
        <v>1.64E-4</v>
      </c>
      <c r="D871" s="378"/>
      <c r="E871" s="417">
        <v>25985</v>
      </c>
      <c r="F871" s="417">
        <v>-8144</v>
      </c>
      <c r="G871" s="417">
        <v>-30800</v>
      </c>
      <c r="H871" s="417">
        <v>-109958</v>
      </c>
      <c r="I871" s="417">
        <v>0</v>
      </c>
      <c r="J871" s="378">
        <v>1.64E-4</v>
      </c>
      <c r="K871" s="378"/>
      <c r="L871" s="417">
        <v>40149</v>
      </c>
      <c r="M871" s="417">
        <v>27728</v>
      </c>
      <c r="N871" s="417">
        <v>12138</v>
      </c>
      <c r="O871" s="417">
        <v>0</v>
      </c>
      <c r="P871" s="417">
        <v>0</v>
      </c>
      <c r="Q871" s="378">
        <v>1.64E-4</v>
      </c>
      <c r="R871" s="378"/>
      <c r="S871" s="417">
        <v>-82388</v>
      </c>
      <c r="T871" s="417">
        <v>-81435</v>
      </c>
      <c r="U871" s="417">
        <v>-85551</v>
      </c>
      <c r="V871" s="417">
        <v>-109958</v>
      </c>
      <c r="W871" s="417">
        <v>0</v>
      </c>
      <c r="X871" s="378">
        <v>1.64E-4</v>
      </c>
      <c r="Z871" s="417">
        <v>65699</v>
      </c>
      <c r="AA871" s="417">
        <v>46157</v>
      </c>
      <c r="AB871" s="417">
        <v>46157</v>
      </c>
      <c r="AC871" s="417">
        <v>0</v>
      </c>
      <c r="AD871" s="417">
        <v>0</v>
      </c>
      <c r="AE871" s="378">
        <v>1.64E-4</v>
      </c>
      <c r="AF871" s="378"/>
      <c r="AG871" s="417">
        <v>6071</v>
      </c>
      <c r="AH871" s="417">
        <v>2952</v>
      </c>
      <c r="AI871" s="417">
        <v>0</v>
      </c>
      <c r="AJ871" s="417">
        <v>0</v>
      </c>
      <c r="AK871" s="417">
        <v>0</v>
      </c>
      <c r="AL871" s="378">
        <v>1.64E-4</v>
      </c>
      <c r="AM871" s="378"/>
      <c r="AN871" s="417">
        <v>-3546</v>
      </c>
      <c r="AO871" s="417">
        <v>-3546</v>
      </c>
      <c r="AP871" s="417">
        <v>-3544</v>
      </c>
      <c r="AQ871" s="417">
        <v>0</v>
      </c>
      <c r="AR871" s="417">
        <v>0</v>
      </c>
    </row>
    <row r="872" spans="1:44">
      <c r="A872" s="377">
        <v>99413</v>
      </c>
      <c r="B872" t="s">
        <v>1567</v>
      </c>
      <c r="C872" s="378">
        <v>3.7299999999999999E-5</v>
      </c>
      <c r="D872" s="378"/>
      <c r="E872" s="417">
        <v>17971</v>
      </c>
      <c r="F872" s="417">
        <v>11773</v>
      </c>
      <c r="G872" s="417">
        <v>-2043</v>
      </c>
      <c r="H872" s="417">
        <v>-25009</v>
      </c>
      <c r="I872" s="417">
        <v>0</v>
      </c>
      <c r="J872" s="378">
        <v>3.7299999999999999E-5</v>
      </c>
      <c r="K872" s="378"/>
      <c r="L872" s="417">
        <v>9131</v>
      </c>
      <c r="M872" s="417">
        <v>6306</v>
      </c>
      <c r="N872" s="417">
        <v>2761</v>
      </c>
      <c r="O872" s="417">
        <v>0</v>
      </c>
      <c r="P872" s="417">
        <v>0</v>
      </c>
      <c r="Q872" s="378">
        <v>3.7299999999999999E-5</v>
      </c>
      <c r="R872" s="378"/>
      <c r="S872" s="417">
        <v>-18738</v>
      </c>
      <c r="T872" s="417">
        <v>-18522</v>
      </c>
      <c r="U872" s="417">
        <v>-19458</v>
      </c>
      <c r="V872" s="417">
        <v>-25009</v>
      </c>
      <c r="W872" s="417">
        <v>0</v>
      </c>
      <c r="X872" s="378">
        <v>3.7299999999999999E-5</v>
      </c>
      <c r="Z872" s="417">
        <v>14942</v>
      </c>
      <c r="AA872" s="417">
        <v>10498</v>
      </c>
      <c r="AB872" s="417">
        <v>10498</v>
      </c>
      <c r="AC872" s="417">
        <v>0</v>
      </c>
      <c r="AD872" s="417">
        <v>0</v>
      </c>
      <c r="AE872" s="378">
        <v>3.7299999999999999E-5</v>
      </c>
      <c r="AF872" s="378"/>
      <c r="AG872" s="417">
        <v>13489</v>
      </c>
      <c r="AH872" s="417">
        <v>13491</v>
      </c>
      <c r="AI872" s="417">
        <v>4156</v>
      </c>
      <c r="AJ872" s="417">
        <v>0</v>
      </c>
      <c r="AK872" s="417">
        <v>0</v>
      </c>
      <c r="AL872" s="378">
        <v>3.7299999999999999E-5</v>
      </c>
      <c r="AM872" s="378"/>
      <c r="AN872" s="417">
        <v>-853</v>
      </c>
      <c r="AO872" s="417">
        <v>0</v>
      </c>
      <c r="AP872" s="417">
        <v>0</v>
      </c>
      <c r="AQ872" s="417">
        <v>0</v>
      </c>
      <c r="AR872" s="417">
        <v>0</v>
      </c>
    </row>
    <row r="873" spans="1:44">
      <c r="A873" s="377">
        <v>99421</v>
      </c>
      <c r="B873" t="s">
        <v>1568</v>
      </c>
      <c r="C873" s="378">
        <v>1.2300000000000001E-5</v>
      </c>
      <c r="D873" s="378"/>
      <c r="E873" s="417">
        <v>1456</v>
      </c>
      <c r="F873" s="417">
        <v>-1100</v>
      </c>
      <c r="G873" s="417">
        <v>-1418</v>
      </c>
      <c r="H873" s="417">
        <v>-8247</v>
      </c>
      <c r="I873" s="417">
        <v>0</v>
      </c>
      <c r="J873" s="378">
        <v>1.2300000000000001E-5</v>
      </c>
      <c r="K873" s="378"/>
      <c r="L873" s="417">
        <v>3011</v>
      </c>
      <c r="M873" s="417">
        <v>2080</v>
      </c>
      <c r="N873" s="417">
        <v>910</v>
      </c>
      <c r="O873" s="417">
        <v>0</v>
      </c>
      <c r="P873" s="417">
        <v>0</v>
      </c>
      <c r="Q873" s="378">
        <v>1.2300000000000001E-5</v>
      </c>
      <c r="R873" s="378"/>
      <c r="S873" s="417">
        <v>-6179</v>
      </c>
      <c r="T873" s="417">
        <v>-6108</v>
      </c>
      <c r="U873" s="417">
        <v>-6416</v>
      </c>
      <c r="V873" s="417">
        <v>-8247</v>
      </c>
      <c r="W873" s="417">
        <v>0</v>
      </c>
      <c r="X873" s="378">
        <v>1.2300000000000001E-5</v>
      </c>
      <c r="Z873" s="417">
        <v>4927</v>
      </c>
      <c r="AA873" s="417">
        <v>3462</v>
      </c>
      <c r="AB873" s="417">
        <v>3462</v>
      </c>
      <c r="AC873" s="417">
        <v>0</v>
      </c>
      <c r="AD873" s="417">
        <v>0</v>
      </c>
      <c r="AE873" s="378">
        <v>1.2300000000000001E-5</v>
      </c>
      <c r="AF873" s="378"/>
      <c r="AG873" s="417">
        <v>931</v>
      </c>
      <c r="AH873" s="417">
        <v>700</v>
      </c>
      <c r="AI873" s="417">
        <v>626</v>
      </c>
      <c r="AJ873" s="417">
        <v>0</v>
      </c>
      <c r="AK873" s="417">
        <v>0</v>
      </c>
      <c r="AL873" s="378">
        <v>1.2300000000000001E-5</v>
      </c>
      <c r="AM873" s="378"/>
      <c r="AN873" s="417">
        <v>-1234</v>
      </c>
      <c r="AO873" s="417">
        <v>-1234</v>
      </c>
      <c r="AP873" s="417">
        <v>0</v>
      </c>
      <c r="AQ873" s="417">
        <v>0</v>
      </c>
      <c r="AR873" s="417">
        <v>0</v>
      </c>
    </row>
    <row r="874" spans="1:44">
      <c r="A874" s="377">
        <v>99431</v>
      </c>
      <c r="B874" t="s">
        <v>1569</v>
      </c>
      <c r="C874" s="378">
        <v>1.8099999999999999E-5</v>
      </c>
      <c r="D874" s="378"/>
      <c r="E874" s="417">
        <v>1143</v>
      </c>
      <c r="F874" s="417">
        <v>-1741</v>
      </c>
      <c r="G874" s="417">
        <v>-3914</v>
      </c>
      <c r="H874" s="417">
        <v>-12136</v>
      </c>
      <c r="I874" s="417">
        <v>0</v>
      </c>
      <c r="J874" s="378">
        <v>1.8099999999999999E-5</v>
      </c>
      <c r="K874" s="378"/>
      <c r="L874" s="417">
        <v>4431</v>
      </c>
      <c r="M874" s="417">
        <v>3060</v>
      </c>
      <c r="N874" s="417">
        <v>1340</v>
      </c>
      <c r="O874" s="417">
        <v>0</v>
      </c>
      <c r="P874" s="417">
        <v>0</v>
      </c>
      <c r="Q874" s="378">
        <v>1.8099999999999999E-5</v>
      </c>
      <c r="R874" s="378"/>
      <c r="S874" s="417">
        <v>-9093</v>
      </c>
      <c r="T874" s="417">
        <v>-8988</v>
      </c>
      <c r="U874" s="417">
        <v>-9442</v>
      </c>
      <c r="V874" s="417">
        <v>-12136</v>
      </c>
      <c r="W874" s="417">
        <v>0</v>
      </c>
      <c r="X874" s="378">
        <v>1.8099999999999999E-5</v>
      </c>
      <c r="Z874" s="417">
        <v>7251</v>
      </c>
      <c r="AA874" s="417">
        <v>5094</v>
      </c>
      <c r="AB874" s="417">
        <v>5094</v>
      </c>
      <c r="AC874" s="417">
        <v>0</v>
      </c>
      <c r="AD874" s="417">
        <v>0</v>
      </c>
      <c r="AE874" s="378">
        <v>1.8099999999999999E-5</v>
      </c>
      <c r="AF874" s="378"/>
      <c r="AG874" s="417">
        <v>1462</v>
      </c>
      <c r="AH874" s="417">
        <v>1461</v>
      </c>
      <c r="AI874" s="417">
        <v>0</v>
      </c>
      <c r="AJ874" s="417">
        <v>0</v>
      </c>
      <c r="AK874" s="417">
        <v>0</v>
      </c>
      <c r="AL874" s="378">
        <v>1.8099999999999999E-5</v>
      </c>
      <c r="AM874" s="378"/>
      <c r="AN874" s="417">
        <v>-2908</v>
      </c>
      <c r="AO874" s="417">
        <v>-2368</v>
      </c>
      <c r="AP874" s="417">
        <v>-906</v>
      </c>
      <c r="AQ874" s="417">
        <v>0</v>
      </c>
      <c r="AR874" s="417">
        <v>0</v>
      </c>
    </row>
    <row r="875" spans="1:44">
      <c r="A875" s="377">
        <v>99501</v>
      </c>
      <c r="B875" t="s">
        <v>1570</v>
      </c>
      <c r="C875" s="378">
        <v>1.6647999999999999E-3</v>
      </c>
      <c r="D875" s="378"/>
      <c r="E875" s="417">
        <v>298583</v>
      </c>
      <c r="F875" s="417">
        <v>-22274</v>
      </c>
      <c r="G875" s="417">
        <v>-246310</v>
      </c>
      <c r="H875" s="417">
        <v>-1116205</v>
      </c>
      <c r="I875" s="417">
        <v>0</v>
      </c>
      <c r="J875" s="378">
        <v>1.6647999999999999E-3</v>
      </c>
      <c r="K875" s="378"/>
      <c r="L875" s="417">
        <v>407556</v>
      </c>
      <c r="M875" s="417">
        <v>281471</v>
      </c>
      <c r="N875" s="417">
        <v>123215</v>
      </c>
      <c r="O875" s="417">
        <v>0</v>
      </c>
      <c r="P875" s="417">
        <v>0</v>
      </c>
      <c r="Q875" s="378">
        <v>1.6647999999999999E-3</v>
      </c>
      <c r="R875" s="378"/>
      <c r="S875" s="417">
        <v>-836342</v>
      </c>
      <c r="T875" s="417">
        <v>-826665</v>
      </c>
      <c r="U875" s="417">
        <v>-868445</v>
      </c>
      <c r="V875" s="417">
        <v>-1116205</v>
      </c>
      <c r="W875" s="417">
        <v>0</v>
      </c>
      <c r="X875" s="378">
        <v>1.6647999999999999E-3</v>
      </c>
      <c r="Z875" s="417">
        <v>666922</v>
      </c>
      <c r="AA875" s="417">
        <v>468550</v>
      </c>
      <c r="AB875" s="417">
        <v>468546</v>
      </c>
      <c r="AC875" s="417">
        <v>0</v>
      </c>
      <c r="AD875" s="417">
        <v>0</v>
      </c>
      <c r="AE875" s="378">
        <v>1.6647999999999999E-3</v>
      </c>
      <c r="AF875" s="378"/>
      <c r="AG875" s="417">
        <v>60447</v>
      </c>
      <c r="AH875" s="417">
        <v>54370</v>
      </c>
      <c r="AI875" s="417">
        <v>30374</v>
      </c>
      <c r="AJ875" s="417">
        <v>0</v>
      </c>
      <c r="AK875" s="417">
        <v>0</v>
      </c>
      <c r="AL875" s="378">
        <v>1.6647999999999999E-3</v>
      </c>
      <c r="AM875" s="378"/>
      <c r="AN875" s="417">
        <v>0</v>
      </c>
      <c r="AO875" s="417">
        <v>0</v>
      </c>
      <c r="AP875" s="417">
        <v>0</v>
      </c>
      <c r="AQ875" s="417">
        <v>0</v>
      </c>
      <c r="AR875" s="417">
        <v>0</v>
      </c>
    </row>
    <row r="876" spans="1:44">
      <c r="A876" s="377">
        <v>99502</v>
      </c>
      <c r="B876" t="s">
        <v>1571</v>
      </c>
      <c r="C876" s="378">
        <v>1.5300000000000001E-4</v>
      </c>
      <c r="D876" s="378"/>
      <c r="E876" s="417">
        <v>22950</v>
      </c>
      <c r="F876" s="417">
        <v>-8261</v>
      </c>
      <c r="G876" s="417">
        <v>-25420</v>
      </c>
      <c r="H876" s="417">
        <v>-102583</v>
      </c>
      <c r="I876" s="417">
        <v>0</v>
      </c>
      <c r="J876" s="378">
        <v>1.5300000000000001E-4</v>
      </c>
      <c r="K876" s="378"/>
      <c r="L876" s="417">
        <v>37456</v>
      </c>
      <c r="M876" s="417">
        <v>25868</v>
      </c>
      <c r="N876" s="417">
        <v>11324</v>
      </c>
      <c r="O876" s="417">
        <v>0</v>
      </c>
      <c r="P876" s="417">
        <v>0</v>
      </c>
      <c r="Q876" s="378">
        <v>1.5300000000000001E-4</v>
      </c>
      <c r="R876" s="378"/>
      <c r="S876" s="417">
        <v>-76862</v>
      </c>
      <c r="T876" s="417">
        <v>-75973</v>
      </c>
      <c r="U876" s="417">
        <v>-79813</v>
      </c>
      <c r="V876" s="417">
        <v>-102583</v>
      </c>
      <c r="W876" s="417">
        <v>0</v>
      </c>
      <c r="X876" s="378">
        <v>1.5300000000000001E-4</v>
      </c>
      <c r="Z876" s="417">
        <v>61292</v>
      </c>
      <c r="AA876" s="417">
        <v>43061</v>
      </c>
      <c r="AB876" s="417">
        <v>43061</v>
      </c>
      <c r="AC876" s="417">
        <v>0</v>
      </c>
      <c r="AD876" s="417">
        <v>0</v>
      </c>
      <c r="AE876" s="378">
        <v>1.5300000000000001E-4</v>
      </c>
      <c r="AF876" s="378"/>
      <c r="AG876" s="417">
        <v>4308</v>
      </c>
      <c r="AH876" s="417">
        <v>2026</v>
      </c>
      <c r="AI876" s="417">
        <v>8</v>
      </c>
      <c r="AJ876" s="417">
        <v>0</v>
      </c>
      <c r="AK876" s="417">
        <v>0</v>
      </c>
      <c r="AL876" s="378">
        <v>1.5300000000000001E-4</v>
      </c>
      <c r="AM876" s="378"/>
      <c r="AN876" s="417">
        <v>-3244</v>
      </c>
      <c r="AO876" s="417">
        <v>-3243</v>
      </c>
      <c r="AP876" s="417">
        <v>0</v>
      </c>
      <c r="AQ876" s="417">
        <v>0</v>
      </c>
      <c r="AR876" s="417">
        <v>0</v>
      </c>
    </row>
    <row r="877" spans="1:44">
      <c r="A877" s="377">
        <v>99508</v>
      </c>
      <c r="B877" t="s">
        <v>1572</v>
      </c>
      <c r="C877" s="378">
        <v>2.1100000000000001E-5</v>
      </c>
      <c r="D877" s="378"/>
      <c r="E877" s="417">
        <v>3011</v>
      </c>
      <c r="F877" s="417">
        <v>-916</v>
      </c>
      <c r="G877" s="417">
        <v>-3127</v>
      </c>
      <c r="H877" s="417">
        <v>-14147</v>
      </c>
      <c r="I877" s="417">
        <v>0</v>
      </c>
      <c r="J877" s="378">
        <v>2.1100000000000001E-5</v>
      </c>
      <c r="K877" s="378"/>
      <c r="L877" s="417">
        <v>5165</v>
      </c>
      <c r="M877" s="417">
        <v>3567</v>
      </c>
      <c r="N877" s="417">
        <v>1562</v>
      </c>
      <c r="O877" s="417">
        <v>0</v>
      </c>
      <c r="P877" s="417">
        <v>0</v>
      </c>
      <c r="Q877" s="378">
        <v>2.1100000000000001E-5</v>
      </c>
      <c r="R877" s="378"/>
      <c r="S877" s="417">
        <v>-10600</v>
      </c>
      <c r="T877" s="417">
        <v>-10477</v>
      </c>
      <c r="U877" s="417">
        <v>-11007</v>
      </c>
      <c r="V877" s="417">
        <v>-14147</v>
      </c>
      <c r="W877" s="417">
        <v>0</v>
      </c>
      <c r="X877" s="378">
        <v>2.1100000000000001E-5</v>
      </c>
      <c r="Z877" s="417">
        <v>8453</v>
      </c>
      <c r="AA877" s="417">
        <v>5938</v>
      </c>
      <c r="AB877" s="417">
        <v>5938</v>
      </c>
      <c r="AC877" s="417">
        <v>0</v>
      </c>
      <c r="AD877" s="417">
        <v>0</v>
      </c>
      <c r="AE877" s="378">
        <v>2.1100000000000001E-5</v>
      </c>
      <c r="AF877" s="378"/>
      <c r="AG877" s="417">
        <v>382</v>
      </c>
      <c r="AH877" s="417">
        <v>382</v>
      </c>
      <c r="AI877" s="417">
        <v>380</v>
      </c>
      <c r="AJ877" s="417">
        <v>0</v>
      </c>
      <c r="AK877" s="417">
        <v>0</v>
      </c>
      <c r="AL877" s="378">
        <v>2.1100000000000001E-5</v>
      </c>
      <c r="AM877" s="378"/>
      <c r="AN877" s="417">
        <v>-389</v>
      </c>
      <c r="AO877" s="417">
        <v>-326</v>
      </c>
      <c r="AP877" s="417">
        <v>0</v>
      </c>
      <c r="AQ877" s="417">
        <v>0</v>
      </c>
      <c r="AR877" s="417">
        <v>0</v>
      </c>
    </row>
    <row r="878" spans="1:44">
      <c r="A878" s="377">
        <v>99509</v>
      </c>
      <c r="B878" t="s">
        <v>1573</v>
      </c>
      <c r="C878" s="378">
        <v>2.1699999999999999E-5</v>
      </c>
      <c r="D878" s="378"/>
      <c r="E878" s="417">
        <v>2329</v>
      </c>
      <c r="F878" s="417">
        <v>-1399</v>
      </c>
      <c r="G878" s="417">
        <v>-2465</v>
      </c>
      <c r="H878" s="417">
        <v>-14549</v>
      </c>
      <c r="I878" s="417">
        <v>0</v>
      </c>
      <c r="J878" s="378">
        <v>2.1699999999999999E-5</v>
      </c>
      <c r="K878" s="378"/>
      <c r="L878" s="417">
        <v>5312</v>
      </c>
      <c r="M878" s="417">
        <v>3669</v>
      </c>
      <c r="N878" s="417">
        <v>1606</v>
      </c>
      <c r="O878" s="417">
        <v>0</v>
      </c>
      <c r="P878" s="417">
        <v>0</v>
      </c>
      <c r="Q878" s="378">
        <v>2.1699999999999999E-5</v>
      </c>
      <c r="R878" s="378"/>
      <c r="S878" s="417">
        <v>-10901</v>
      </c>
      <c r="T878" s="417">
        <v>-10775</v>
      </c>
      <c r="U878" s="417">
        <v>-11320</v>
      </c>
      <c r="V878" s="417">
        <v>-14549</v>
      </c>
      <c r="W878" s="417">
        <v>0</v>
      </c>
      <c r="X878" s="378">
        <v>2.1699999999999999E-5</v>
      </c>
      <c r="Z878" s="417">
        <v>8693</v>
      </c>
      <c r="AA878" s="417">
        <v>6107</v>
      </c>
      <c r="AB878" s="417">
        <v>6107</v>
      </c>
      <c r="AC878" s="417">
        <v>0</v>
      </c>
      <c r="AD878" s="417">
        <v>0</v>
      </c>
      <c r="AE878" s="378">
        <v>2.1699999999999999E-5</v>
      </c>
      <c r="AF878" s="378"/>
      <c r="AG878" s="417">
        <v>1142</v>
      </c>
      <c r="AH878" s="417">
        <v>1142</v>
      </c>
      <c r="AI878" s="417">
        <v>1142</v>
      </c>
      <c r="AJ878" s="417">
        <v>0</v>
      </c>
      <c r="AK878" s="417">
        <v>0</v>
      </c>
      <c r="AL878" s="378">
        <v>2.1699999999999999E-5</v>
      </c>
      <c r="AM878" s="378"/>
      <c r="AN878" s="417">
        <v>-1917</v>
      </c>
      <c r="AO878" s="417">
        <v>-1542</v>
      </c>
      <c r="AP878" s="417">
        <v>0</v>
      </c>
      <c r="AQ878" s="417">
        <v>0</v>
      </c>
      <c r="AR878" s="417">
        <v>0</v>
      </c>
    </row>
    <row r="879" spans="1:44">
      <c r="A879" s="377">
        <v>99511</v>
      </c>
      <c r="B879" t="s">
        <v>1574</v>
      </c>
      <c r="C879" s="378">
        <v>1.3062E-3</v>
      </c>
      <c r="D879" s="378"/>
      <c r="E879" s="417">
        <v>109066</v>
      </c>
      <c r="F879" s="417">
        <v>-117391</v>
      </c>
      <c r="G879" s="417">
        <v>-241123</v>
      </c>
      <c r="H879" s="417">
        <v>-875773</v>
      </c>
      <c r="I879" s="417">
        <v>0</v>
      </c>
      <c r="J879" s="378">
        <v>1.3062E-3</v>
      </c>
      <c r="K879" s="378"/>
      <c r="L879" s="417">
        <v>319768</v>
      </c>
      <c r="M879" s="417">
        <v>220842</v>
      </c>
      <c r="N879" s="417">
        <v>96674</v>
      </c>
      <c r="O879" s="417">
        <v>0</v>
      </c>
      <c r="P879" s="417">
        <v>0</v>
      </c>
      <c r="Q879" s="378">
        <v>1.3062E-3</v>
      </c>
      <c r="R879" s="378"/>
      <c r="S879" s="417">
        <v>-656193</v>
      </c>
      <c r="T879" s="417">
        <v>-648600</v>
      </c>
      <c r="U879" s="417">
        <v>-681381</v>
      </c>
      <c r="V879" s="417">
        <v>-875773</v>
      </c>
      <c r="W879" s="417">
        <v>0</v>
      </c>
      <c r="X879" s="378">
        <v>1.3062E-3</v>
      </c>
      <c r="Z879" s="417">
        <v>523266</v>
      </c>
      <c r="AA879" s="417">
        <v>367623</v>
      </c>
      <c r="AB879" s="417">
        <v>367621</v>
      </c>
      <c r="AC879" s="417">
        <v>0</v>
      </c>
      <c r="AD879" s="417">
        <v>0</v>
      </c>
      <c r="AE879" s="378">
        <v>1.3062E-3</v>
      </c>
      <c r="AF879" s="378"/>
      <c r="AG879" s="417">
        <v>0</v>
      </c>
      <c r="AH879" s="417">
        <v>0</v>
      </c>
      <c r="AI879" s="417">
        <v>0</v>
      </c>
      <c r="AJ879" s="417">
        <v>0</v>
      </c>
      <c r="AK879" s="417">
        <v>0</v>
      </c>
      <c r="AL879" s="378">
        <v>1.3062E-3</v>
      </c>
      <c r="AM879" s="378"/>
      <c r="AN879" s="417">
        <v>-77775</v>
      </c>
      <c r="AO879" s="417">
        <v>-57256</v>
      </c>
      <c r="AP879" s="417">
        <v>-24037</v>
      </c>
      <c r="AQ879" s="417">
        <v>0</v>
      </c>
      <c r="AR879" s="417">
        <v>0</v>
      </c>
    </row>
    <row r="880" spans="1:44">
      <c r="A880" s="377">
        <v>99521</v>
      </c>
      <c r="B880" t="s">
        <v>1575</v>
      </c>
      <c r="C880" s="378">
        <v>5.2010000000000001E-4</v>
      </c>
      <c r="D880" s="378"/>
      <c r="E880" s="417">
        <v>63510</v>
      </c>
      <c r="F880" s="417">
        <v>-40132</v>
      </c>
      <c r="G880" s="417">
        <v>-83137</v>
      </c>
      <c r="H880" s="417">
        <v>-348714</v>
      </c>
      <c r="I880" s="417">
        <v>0</v>
      </c>
      <c r="J880" s="378">
        <v>5.2010000000000001E-4</v>
      </c>
      <c r="K880" s="378"/>
      <c r="L880" s="417">
        <v>127325</v>
      </c>
      <c r="M880" s="417">
        <v>87934</v>
      </c>
      <c r="N880" s="417">
        <v>38494</v>
      </c>
      <c r="O880" s="417">
        <v>0</v>
      </c>
      <c r="P880" s="417">
        <v>0</v>
      </c>
      <c r="Q880" s="378">
        <v>5.2010000000000001E-4</v>
      </c>
      <c r="R880" s="378"/>
      <c r="S880" s="417">
        <v>-261282</v>
      </c>
      <c r="T880" s="417">
        <v>-258258</v>
      </c>
      <c r="U880" s="417">
        <v>-271311</v>
      </c>
      <c r="V880" s="417">
        <v>-348714</v>
      </c>
      <c r="W880" s="417">
        <v>0</v>
      </c>
      <c r="X880" s="378">
        <v>5.2010000000000001E-4</v>
      </c>
      <c r="Z880" s="417">
        <v>208353</v>
      </c>
      <c r="AA880" s="417">
        <v>146380</v>
      </c>
      <c r="AB880" s="417">
        <v>146379</v>
      </c>
      <c r="AC880" s="417">
        <v>0</v>
      </c>
      <c r="AD880" s="417">
        <v>0</v>
      </c>
      <c r="AE880" s="378">
        <v>5.2010000000000001E-4</v>
      </c>
      <c r="AF880" s="378"/>
      <c r="AG880" s="417">
        <v>8602</v>
      </c>
      <c r="AH880" s="417">
        <v>3300</v>
      </c>
      <c r="AI880" s="417">
        <v>3301</v>
      </c>
      <c r="AJ880" s="417">
        <v>0</v>
      </c>
      <c r="AK880" s="417">
        <v>0</v>
      </c>
      <c r="AL880" s="378">
        <v>5.2010000000000001E-4</v>
      </c>
      <c r="AM880" s="378"/>
      <c r="AN880" s="417">
        <v>-19488</v>
      </c>
      <c r="AO880" s="417">
        <v>-19488</v>
      </c>
      <c r="AP880" s="417">
        <v>0</v>
      </c>
      <c r="AQ880" s="417">
        <v>0</v>
      </c>
      <c r="AR880" s="417">
        <v>0</v>
      </c>
    </row>
    <row r="881" spans="1:44">
      <c r="A881" s="377">
        <v>99527</v>
      </c>
      <c r="B881" t="s">
        <v>1576</v>
      </c>
      <c r="C881" s="378">
        <v>1.04E-5</v>
      </c>
      <c r="D881" s="378"/>
      <c r="E881" s="417">
        <v>3039</v>
      </c>
      <c r="F881" s="417">
        <v>937</v>
      </c>
      <c r="G881" s="417">
        <v>-764</v>
      </c>
      <c r="H881" s="417">
        <v>-6973</v>
      </c>
      <c r="I881" s="417">
        <v>0</v>
      </c>
      <c r="J881" s="378">
        <v>1.04E-5</v>
      </c>
      <c r="K881" s="378"/>
      <c r="L881" s="417">
        <v>2546</v>
      </c>
      <c r="M881" s="417">
        <v>1758</v>
      </c>
      <c r="N881" s="417">
        <v>770</v>
      </c>
      <c r="O881" s="417">
        <v>0</v>
      </c>
      <c r="P881" s="417">
        <v>0</v>
      </c>
      <c r="Q881" s="378">
        <v>1.04E-5</v>
      </c>
      <c r="R881" s="378"/>
      <c r="S881" s="417">
        <v>-5225</v>
      </c>
      <c r="T881" s="417">
        <v>-5164</v>
      </c>
      <c r="U881" s="417">
        <v>-5425</v>
      </c>
      <c r="V881" s="417">
        <v>-6973</v>
      </c>
      <c r="W881" s="417">
        <v>0</v>
      </c>
      <c r="X881" s="378">
        <v>1.04E-5</v>
      </c>
      <c r="Z881" s="417">
        <v>4166</v>
      </c>
      <c r="AA881" s="417">
        <v>2927</v>
      </c>
      <c r="AB881" s="417">
        <v>2927</v>
      </c>
      <c r="AC881" s="417">
        <v>0</v>
      </c>
      <c r="AD881" s="417">
        <v>0</v>
      </c>
      <c r="AE881" s="378">
        <v>1.04E-5</v>
      </c>
      <c r="AF881" s="378"/>
      <c r="AG881" s="417">
        <v>1552</v>
      </c>
      <c r="AH881" s="417">
        <v>1416</v>
      </c>
      <c r="AI881" s="417">
        <v>964</v>
      </c>
      <c r="AJ881" s="417">
        <v>0</v>
      </c>
      <c r="AK881" s="417">
        <v>0</v>
      </c>
      <c r="AL881" s="378">
        <v>1.04E-5</v>
      </c>
      <c r="AM881" s="378"/>
      <c r="AN881" s="417">
        <v>0</v>
      </c>
      <c r="AO881" s="417">
        <v>0</v>
      </c>
      <c r="AP881" s="417">
        <v>0</v>
      </c>
      <c r="AQ881" s="417">
        <v>0</v>
      </c>
      <c r="AR881" s="417">
        <v>0</v>
      </c>
    </row>
    <row r="882" spans="1:44">
      <c r="A882" s="377">
        <v>99531</v>
      </c>
      <c r="B882" t="s">
        <v>1577</v>
      </c>
      <c r="C882" s="378">
        <v>8.7800000000000006E-5</v>
      </c>
      <c r="D882" s="378"/>
      <c r="E882" s="417">
        <v>35075</v>
      </c>
      <c r="F882" s="417">
        <v>12689</v>
      </c>
      <c r="G882" s="417">
        <v>-6633</v>
      </c>
      <c r="H882" s="417">
        <v>-58868</v>
      </c>
      <c r="I882" s="417">
        <v>0</v>
      </c>
      <c r="J882" s="378">
        <v>8.7800000000000006E-5</v>
      </c>
      <c r="K882" s="378"/>
      <c r="L882" s="417">
        <v>21494</v>
      </c>
      <c r="M882" s="417">
        <v>14845</v>
      </c>
      <c r="N882" s="417">
        <v>6498</v>
      </c>
      <c r="O882" s="417">
        <v>0</v>
      </c>
      <c r="P882" s="417">
        <v>0</v>
      </c>
      <c r="Q882" s="378">
        <v>8.7800000000000006E-5</v>
      </c>
      <c r="R882" s="378"/>
      <c r="S882" s="417">
        <v>-44108</v>
      </c>
      <c r="T882" s="417">
        <v>-43598</v>
      </c>
      <c r="U882" s="417">
        <v>-45801</v>
      </c>
      <c r="V882" s="417">
        <v>-58868</v>
      </c>
      <c r="W882" s="417">
        <v>0</v>
      </c>
      <c r="X882" s="378">
        <v>8.7800000000000006E-5</v>
      </c>
      <c r="Z882" s="417">
        <v>35173</v>
      </c>
      <c r="AA882" s="417">
        <v>24711</v>
      </c>
      <c r="AB882" s="417">
        <v>24711</v>
      </c>
      <c r="AC882" s="417">
        <v>0</v>
      </c>
      <c r="AD882" s="417">
        <v>0</v>
      </c>
      <c r="AE882" s="378">
        <v>8.7800000000000006E-5</v>
      </c>
      <c r="AF882" s="378"/>
      <c r="AG882" s="417">
        <v>22516</v>
      </c>
      <c r="AH882" s="417">
        <v>16731</v>
      </c>
      <c r="AI882" s="417">
        <v>7959</v>
      </c>
      <c r="AJ882" s="417">
        <v>0</v>
      </c>
      <c r="AK882" s="417">
        <v>0</v>
      </c>
      <c r="AL882" s="378">
        <v>8.7800000000000006E-5</v>
      </c>
      <c r="AM882" s="378"/>
      <c r="AN882" s="417">
        <v>0</v>
      </c>
      <c r="AO882" s="417">
        <v>0</v>
      </c>
      <c r="AP882" s="417">
        <v>0</v>
      </c>
      <c r="AQ882" s="417">
        <v>0</v>
      </c>
      <c r="AR882" s="417">
        <v>0</v>
      </c>
    </row>
    <row r="883" spans="1:44">
      <c r="A883" s="377">
        <v>99601</v>
      </c>
      <c r="B883" t="s">
        <v>1578</v>
      </c>
      <c r="C883" s="378">
        <v>5.0832000000000004E-3</v>
      </c>
      <c r="D883" s="378"/>
      <c r="E883" s="417">
        <v>287079</v>
      </c>
      <c r="F883" s="417">
        <v>-675392</v>
      </c>
      <c r="G883" s="417">
        <v>-976638</v>
      </c>
      <c r="H883" s="417">
        <v>-3408153</v>
      </c>
      <c r="I883" s="417">
        <v>0</v>
      </c>
      <c r="J883" s="378">
        <v>5.0832000000000004E-3</v>
      </c>
      <c r="K883" s="378"/>
      <c r="L883" s="417">
        <v>1244408</v>
      </c>
      <c r="M883" s="417">
        <v>859427</v>
      </c>
      <c r="N883" s="417">
        <v>376218</v>
      </c>
      <c r="O883" s="417">
        <v>0</v>
      </c>
      <c r="P883" s="417">
        <v>0</v>
      </c>
      <c r="Q883" s="378">
        <v>5.0832000000000004E-3</v>
      </c>
      <c r="R883" s="378"/>
      <c r="S883" s="417">
        <v>-2553637</v>
      </c>
      <c r="T883" s="417">
        <v>-2524088</v>
      </c>
      <c r="U883" s="417">
        <v>-2651656</v>
      </c>
      <c r="V883" s="417">
        <v>-3408153</v>
      </c>
      <c r="W883" s="417">
        <v>0</v>
      </c>
      <c r="X883" s="378">
        <v>5.0832000000000004E-3</v>
      </c>
      <c r="Z883" s="417">
        <v>2036340</v>
      </c>
      <c r="AA883" s="417">
        <v>1430641</v>
      </c>
      <c r="AB883" s="417">
        <v>1430631</v>
      </c>
      <c r="AC883" s="417">
        <v>0</v>
      </c>
      <c r="AD883" s="417">
        <v>0</v>
      </c>
      <c r="AE883" s="378">
        <v>5.0832000000000004E-3</v>
      </c>
      <c r="AF883" s="378"/>
      <c r="AG883" s="417">
        <v>1339</v>
      </c>
      <c r="AH883" s="417">
        <v>0</v>
      </c>
      <c r="AI883" s="417">
        <v>0</v>
      </c>
      <c r="AJ883" s="417">
        <v>0</v>
      </c>
      <c r="AK883" s="417">
        <v>0</v>
      </c>
      <c r="AL883" s="378">
        <v>5.0832000000000004E-3</v>
      </c>
      <c r="AM883" s="378"/>
      <c r="AN883" s="417">
        <v>-441371</v>
      </c>
      <c r="AO883" s="417">
        <v>-441372</v>
      </c>
      <c r="AP883" s="417">
        <v>-131831</v>
      </c>
      <c r="AQ883" s="417">
        <v>0</v>
      </c>
      <c r="AR883" s="417">
        <v>0</v>
      </c>
    </row>
    <row r="884" spans="1:44">
      <c r="A884" s="377">
        <v>99602</v>
      </c>
      <c r="B884" t="s">
        <v>1579</v>
      </c>
      <c r="C884" s="378">
        <v>6.1600000000000007E-5</v>
      </c>
      <c r="D884" s="378"/>
      <c r="E884" s="417">
        <v>5620</v>
      </c>
      <c r="F884" s="417">
        <v>-5922</v>
      </c>
      <c r="G884" s="417">
        <v>-11219</v>
      </c>
      <c r="H884" s="417">
        <v>-41301</v>
      </c>
      <c r="I884" s="417">
        <v>0</v>
      </c>
      <c r="J884" s="378">
        <v>6.1600000000000007E-5</v>
      </c>
      <c r="K884" s="378"/>
      <c r="L884" s="417">
        <v>15080</v>
      </c>
      <c r="M884" s="417">
        <v>10415</v>
      </c>
      <c r="N884" s="417">
        <v>4559</v>
      </c>
      <c r="O884" s="417">
        <v>0</v>
      </c>
      <c r="P884" s="417">
        <v>0</v>
      </c>
      <c r="Q884" s="378">
        <v>6.1600000000000007E-5</v>
      </c>
      <c r="R884" s="378"/>
      <c r="S884" s="417">
        <v>-30946</v>
      </c>
      <c r="T884" s="417">
        <v>-30588</v>
      </c>
      <c r="U884" s="417">
        <v>-32134</v>
      </c>
      <c r="V884" s="417">
        <v>-41301</v>
      </c>
      <c r="W884" s="417">
        <v>0</v>
      </c>
      <c r="X884" s="378">
        <v>6.1600000000000007E-5</v>
      </c>
      <c r="Z884" s="417">
        <v>24677</v>
      </c>
      <c r="AA884" s="417">
        <v>17337</v>
      </c>
      <c r="AB884" s="417">
        <v>17337</v>
      </c>
      <c r="AC884" s="417">
        <v>0</v>
      </c>
      <c r="AD884" s="417">
        <v>0</v>
      </c>
      <c r="AE884" s="378">
        <v>6.1600000000000007E-5</v>
      </c>
      <c r="AF884" s="378"/>
      <c r="AG884" s="417">
        <v>0</v>
      </c>
      <c r="AH884" s="417">
        <v>0</v>
      </c>
      <c r="AI884" s="417">
        <v>0</v>
      </c>
      <c r="AJ884" s="417">
        <v>0</v>
      </c>
      <c r="AK884" s="417">
        <v>0</v>
      </c>
      <c r="AL884" s="378">
        <v>6.1600000000000007E-5</v>
      </c>
      <c r="AM884" s="378"/>
      <c r="AN884" s="417">
        <v>-3191</v>
      </c>
      <c r="AO884" s="417">
        <v>-3086</v>
      </c>
      <c r="AP884" s="417">
        <v>-981</v>
      </c>
      <c r="AQ884" s="417">
        <v>0</v>
      </c>
      <c r="AR884" s="417">
        <v>0</v>
      </c>
    </row>
    <row r="885" spans="1:44">
      <c r="A885" s="377">
        <v>99603</v>
      </c>
      <c r="B885" t="s">
        <v>1580</v>
      </c>
      <c r="C885" s="378">
        <v>1.6080000000000001E-4</v>
      </c>
      <c r="D885" s="378"/>
      <c r="E885" s="417">
        <v>39075</v>
      </c>
      <c r="F885" s="417">
        <v>4224</v>
      </c>
      <c r="G885" s="417">
        <v>-12350</v>
      </c>
      <c r="H885" s="417">
        <v>-107812</v>
      </c>
      <c r="I885" s="417">
        <v>0</v>
      </c>
      <c r="J885" s="378">
        <v>1.6080000000000001E-4</v>
      </c>
      <c r="K885" s="378"/>
      <c r="L885" s="417">
        <v>39365</v>
      </c>
      <c r="M885" s="417">
        <v>27187</v>
      </c>
      <c r="N885" s="417">
        <v>11901</v>
      </c>
      <c r="O885" s="417">
        <v>0</v>
      </c>
      <c r="P885" s="417">
        <v>0</v>
      </c>
      <c r="Q885" s="378">
        <v>1.6080000000000001E-4</v>
      </c>
      <c r="R885" s="378"/>
      <c r="S885" s="417">
        <v>-80781</v>
      </c>
      <c r="T885" s="417">
        <v>-79846</v>
      </c>
      <c r="U885" s="417">
        <v>-83881</v>
      </c>
      <c r="V885" s="417">
        <v>-107812</v>
      </c>
      <c r="W885" s="417">
        <v>0</v>
      </c>
      <c r="X885" s="378">
        <v>1.6080000000000001E-4</v>
      </c>
      <c r="Z885" s="417">
        <v>64417</v>
      </c>
      <c r="AA885" s="417">
        <v>45256</v>
      </c>
      <c r="AB885" s="417">
        <v>45256</v>
      </c>
      <c r="AC885" s="417">
        <v>0</v>
      </c>
      <c r="AD885" s="417">
        <v>0</v>
      </c>
      <c r="AE885" s="378">
        <v>1.6080000000000001E-4</v>
      </c>
      <c r="AF885" s="378"/>
      <c r="AG885" s="417">
        <v>18825</v>
      </c>
      <c r="AH885" s="417">
        <v>14376</v>
      </c>
      <c r="AI885" s="417">
        <v>14374</v>
      </c>
      <c r="AJ885" s="417">
        <v>0</v>
      </c>
      <c r="AK885" s="417">
        <v>0</v>
      </c>
      <c r="AL885" s="378">
        <v>1.6080000000000001E-4</v>
      </c>
      <c r="AM885" s="378"/>
      <c r="AN885" s="417">
        <v>-2751</v>
      </c>
      <c r="AO885" s="417">
        <v>-2749</v>
      </c>
      <c r="AP885" s="417">
        <v>0</v>
      </c>
      <c r="AQ885" s="417">
        <v>0</v>
      </c>
      <c r="AR885" s="417">
        <v>0</v>
      </c>
    </row>
    <row r="886" spans="1:44">
      <c r="A886" s="377">
        <v>99604</v>
      </c>
      <c r="B886" t="s">
        <v>1581</v>
      </c>
      <c r="C886" s="378">
        <v>1.142E-4</v>
      </c>
      <c r="D886" s="378"/>
      <c r="E886" s="417">
        <v>33867</v>
      </c>
      <c r="F886" s="417">
        <v>9859</v>
      </c>
      <c r="G886" s="417">
        <v>-11964</v>
      </c>
      <c r="H886" s="417">
        <v>-76568</v>
      </c>
      <c r="I886" s="417">
        <v>0</v>
      </c>
      <c r="J886" s="378">
        <v>1.142E-4</v>
      </c>
      <c r="K886" s="378"/>
      <c r="L886" s="417">
        <v>27957</v>
      </c>
      <c r="M886" s="417">
        <v>19308</v>
      </c>
      <c r="N886" s="417">
        <v>8452</v>
      </c>
      <c r="O886" s="417">
        <v>0</v>
      </c>
      <c r="P886" s="417">
        <v>0</v>
      </c>
      <c r="Q886" s="378">
        <v>1.142E-4</v>
      </c>
      <c r="R886" s="378"/>
      <c r="S886" s="417">
        <v>-57370</v>
      </c>
      <c r="T886" s="417">
        <v>-56707</v>
      </c>
      <c r="U886" s="417">
        <v>-59573</v>
      </c>
      <c r="V886" s="417">
        <v>-76568</v>
      </c>
      <c r="W886" s="417">
        <v>0</v>
      </c>
      <c r="X886" s="378">
        <v>1.142E-4</v>
      </c>
      <c r="Z886" s="417">
        <v>45749</v>
      </c>
      <c r="AA886" s="417">
        <v>32141</v>
      </c>
      <c r="AB886" s="417">
        <v>32141</v>
      </c>
      <c r="AC886" s="417">
        <v>0</v>
      </c>
      <c r="AD886" s="417">
        <v>0</v>
      </c>
      <c r="AE886" s="378">
        <v>1.142E-4</v>
      </c>
      <c r="AF886" s="378"/>
      <c r="AG886" s="417">
        <v>17531</v>
      </c>
      <c r="AH886" s="417">
        <v>15117</v>
      </c>
      <c r="AI886" s="417">
        <v>7016</v>
      </c>
      <c r="AJ886" s="417">
        <v>0</v>
      </c>
      <c r="AK886" s="417">
        <v>0</v>
      </c>
      <c r="AL886" s="378">
        <v>1.142E-4</v>
      </c>
      <c r="AM886" s="378"/>
      <c r="AN886" s="417">
        <v>0</v>
      </c>
      <c r="AO886" s="417">
        <v>0</v>
      </c>
      <c r="AP886" s="417">
        <v>0</v>
      </c>
      <c r="AQ886" s="417">
        <v>0</v>
      </c>
      <c r="AR886" s="417">
        <v>0</v>
      </c>
    </row>
    <row r="887" spans="1:44">
      <c r="A887" s="377">
        <v>99609</v>
      </c>
      <c r="B887" t="s">
        <v>1582</v>
      </c>
      <c r="C887" s="378">
        <v>3.0599999999999998E-5</v>
      </c>
      <c r="D887" s="378"/>
      <c r="E887" s="417">
        <v>6597</v>
      </c>
      <c r="F887" s="417">
        <v>-223</v>
      </c>
      <c r="G887" s="417">
        <v>-5030</v>
      </c>
      <c r="H887" s="417">
        <v>-20517</v>
      </c>
      <c r="I887" s="417">
        <v>0</v>
      </c>
      <c r="J887" s="378">
        <v>3.0599999999999998E-5</v>
      </c>
      <c r="K887" s="378"/>
      <c r="L887" s="417">
        <v>7491</v>
      </c>
      <c r="M887" s="417">
        <v>5174</v>
      </c>
      <c r="N887" s="417">
        <v>2265</v>
      </c>
      <c r="O887" s="417">
        <v>0</v>
      </c>
      <c r="P887" s="417">
        <v>0</v>
      </c>
      <c r="Q887" s="378">
        <v>3.0599999999999998E-5</v>
      </c>
      <c r="R887" s="378"/>
      <c r="S887" s="417">
        <v>-15372</v>
      </c>
      <c r="T887" s="417">
        <v>-15195</v>
      </c>
      <c r="U887" s="417">
        <v>-15963</v>
      </c>
      <c r="V887" s="417">
        <v>-20517</v>
      </c>
      <c r="W887" s="417">
        <v>0</v>
      </c>
      <c r="X887" s="378">
        <v>3.0599999999999998E-5</v>
      </c>
      <c r="Z887" s="417">
        <v>12258</v>
      </c>
      <c r="AA887" s="417">
        <v>8612</v>
      </c>
      <c r="AB887" s="417">
        <v>8612</v>
      </c>
      <c r="AC887" s="417">
        <v>0</v>
      </c>
      <c r="AD887" s="417">
        <v>0</v>
      </c>
      <c r="AE887" s="378">
        <v>3.0599999999999998E-5</v>
      </c>
      <c r="AF887" s="378"/>
      <c r="AG887" s="417">
        <v>2343</v>
      </c>
      <c r="AH887" s="417">
        <v>1307</v>
      </c>
      <c r="AI887" s="417">
        <v>56</v>
      </c>
      <c r="AJ887" s="417">
        <v>0</v>
      </c>
      <c r="AK887" s="417">
        <v>0</v>
      </c>
      <c r="AL887" s="378">
        <v>3.0599999999999998E-5</v>
      </c>
      <c r="AM887" s="378"/>
      <c r="AN887" s="417">
        <v>-123</v>
      </c>
      <c r="AO887" s="417">
        <v>-121</v>
      </c>
      <c r="AP887" s="417">
        <v>0</v>
      </c>
      <c r="AQ887" s="417">
        <v>0</v>
      </c>
      <c r="AR887" s="417">
        <v>0</v>
      </c>
    </row>
    <row r="888" spans="1:44">
      <c r="A888" s="377">
        <v>99610</v>
      </c>
      <c r="B888" t="s">
        <v>1583</v>
      </c>
      <c r="C888" s="378">
        <v>1.7650000000000001E-4</v>
      </c>
      <c r="D888" s="378"/>
      <c r="E888" s="417">
        <v>31927</v>
      </c>
      <c r="F888" s="417">
        <v>-147</v>
      </c>
      <c r="G888" s="417">
        <v>-21650</v>
      </c>
      <c r="H888" s="417">
        <v>-118339</v>
      </c>
      <c r="I888" s="417">
        <v>0</v>
      </c>
      <c r="J888" s="378">
        <v>1.7650000000000001E-4</v>
      </c>
      <c r="K888" s="378"/>
      <c r="L888" s="417">
        <v>43209</v>
      </c>
      <c r="M888" s="417">
        <v>29841</v>
      </c>
      <c r="N888" s="417">
        <v>13063</v>
      </c>
      <c r="O888" s="417">
        <v>0</v>
      </c>
      <c r="P888" s="417">
        <v>0</v>
      </c>
      <c r="Q888" s="378">
        <v>1.7650000000000001E-4</v>
      </c>
      <c r="R888" s="378"/>
      <c r="S888" s="417">
        <v>-88668</v>
      </c>
      <c r="T888" s="417">
        <v>-87642</v>
      </c>
      <c r="U888" s="417">
        <v>-92071</v>
      </c>
      <c r="V888" s="417">
        <v>-118339</v>
      </c>
      <c r="W888" s="417">
        <v>0</v>
      </c>
      <c r="X888" s="378">
        <v>1.7650000000000001E-4</v>
      </c>
      <c r="Z888" s="417">
        <v>70706</v>
      </c>
      <c r="AA888" s="417">
        <v>49675</v>
      </c>
      <c r="AB888" s="417">
        <v>49675</v>
      </c>
      <c r="AC888" s="417">
        <v>0</v>
      </c>
      <c r="AD888" s="417">
        <v>0</v>
      </c>
      <c r="AE888" s="378">
        <v>1.7650000000000001E-4</v>
      </c>
      <c r="AF888" s="378"/>
      <c r="AG888" s="417">
        <v>10400</v>
      </c>
      <c r="AH888" s="417">
        <v>10401</v>
      </c>
      <c r="AI888" s="417">
        <v>7683</v>
      </c>
      <c r="AJ888" s="417">
        <v>0</v>
      </c>
      <c r="AK888" s="417">
        <v>0</v>
      </c>
      <c r="AL888" s="378">
        <v>1.7650000000000001E-4</v>
      </c>
      <c r="AM888" s="378"/>
      <c r="AN888" s="417">
        <v>-3720</v>
      </c>
      <c r="AO888" s="417">
        <v>-2422</v>
      </c>
      <c r="AP888" s="417">
        <v>0</v>
      </c>
      <c r="AQ888" s="417">
        <v>0</v>
      </c>
      <c r="AR888" s="417">
        <v>0</v>
      </c>
    </row>
    <row r="889" spans="1:44">
      <c r="A889" s="377">
        <v>99611</v>
      </c>
      <c r="B889" t="s">
        <v>1584</v>
      </c>
      <c r="C889" s="378">
        <v>3.1145000000000001E-3</v>
      </c>
      <c r="D889" s="378"/>
      <c r="E889" s="417">
        <v>336761</v>
      </c>
      <c r="F889" s="417">
        <v>-260738</v>
      </c>
      <c r="G889" s="417">
        <v>-587333</v>
      </c>
      <c r="H889" s="417">
        <v>-2088191</v>
      </c>
      <c r="I889" s="417">
        <v>0</v>
      </c>
      <c r="J889" s="378">
        <v>3.1145000000000001E-3</v>
      </c>
      <c r="K889" s="378"/>
      <c r="L889" s="417">
        <v>762455</v>
      </c>
      <c r="M889" s="417">
        <v>526575</v>
      </c>
      <c r="N889" s="417">
        <v>230510</v>
      </c>
      <c r="O889" s="417">
        <v>0</v>
      </c>
      <c r="P889" s="417">
        <v>0</v>
      </c>
      <c r="Q889" s="378">
        <v>3.1145000000000001E-3</v>
      </c>
      <c r="R889" s="378"/>
      <c r="S889" s="417">
        <v>-1564625</v>
      </c>
      <c r="T889" s="417">
        <v>-1546521</v>
      </c>
      <c r="U889" s="417">
        <v>-1624682</v>
      </c>
      <c r="V889" s="417">
        <v>-2088191</v>
      </c>
      <c r="W889" s="417">
        <v>0</v>
      </c>
      <c r="X889" s="378">
        <v>3.1145000000000001E-3</v>
      </c>
      <c r="Z889" s="417">
        <v>1247675</v>
      </c>
      <c r="AA889" s="417">
        <v>876560</v>
      </c>
      <c r="AB889" s="417">
        <v>876554</v>
      </c>
      <c r="AC889" s="417">
        <v>0</v>
      </c>
      <c r="AD889" s="417">
        <v>0</v>
      </c>
      <c r="AE889" s="378">
        <v>3.1145000000000001E-3</v>
      </c>
      <c r="AF889" s="378"/>
      <c r="AG889" s="417">
        <v>8608</v>
      </c>
      <c r="AH889" s="417">
        <v>0</v>
      </c>
      <c r="AI889" s="417">
        <v>0</v>
      </c>
      <c r="AJ889" s="417">
        <v>0</v>
      </c>
      <c r="AK889" s="417">
        <v>0</v>
      </c>
      <c r="AL889" s="378">
        <v>3.1145000000000001E-3</v>
      </c>
      <c r="AM889" s="378"/>
      <c r="AN889" s="417">
        <v>-117352</v>
      </c>
      <c r="AO889" s="417">
        <v>-117352</v>
      </c>
      <c r="AP889" s="417">
        <v>-69715</v>
      </c>
      <c r="AQ889" s="417">
        <v>0</v>
      </c>
      <c r="AR889" s="417">
        <v>0</v>
      </c>
    </row>
    <row r="890" spans="1:44">
      <c r="A890" s="377">
        <v>99613</v>
      </c>
      <c r="B890" t="s">
        <v>1585</v>
      </c>
      <c r="C890" s="378">
        <v>3.5100000000000002E-4</v>
      </c>
      <c r="D890" s="378"/>
      <c r="E890" s="417">
        <v>96816</v>
      </c>
      <c r="F890" s="417">
        <v>-8382</v>
      </c>
      <c r="G890" s="417">
        <v>-41074</v>
      </c>
      <c r="H890" s="417">
        <v>-235336</v>
      </c>
      <c r="I890" s="417">
        <v>0</v>
      </c>
      <c r="J890" s="378">
        <v>3.5100000000000002E-4</v>
      </c>
      <c r="K890" s="378"/>
      <c r="L890" s="417">
        <v>85928</v>
      </c>
      <c r="M890" s="417">
        <v>59344</v>
      </c>
      <c r="N890" s="417">
        <v>25978</v>
      </c>
      <c r="O890" s="417">
        <v>0</v>
      </c>
      <c r="P890" s="417">
        <v>0</v>
      </c>
      <c r="Q890" s="378">
        <v>3.5100000000000002E-4</v>
      </c>
      <c r="R890" s="378"/>
      <c r="S890" s="417">
        <v>-176331</v>
      </c>
      <c r="T890" s="417">
        <v>-174291</v>
      </c>
      <c r="U890" s="417">
        <v>-183100</v>
      </c>
      <c r="V890" s="417">
        <v>-235336</v>
      </c>
      <c r="W890" s="417">
        <v>0</v>
      </c>
      <c r="X890" s="378">
        <v>3.5100000000000002E-4</v>
      </c>
      <c r="Z890" s="417">
        <v>140611</v>
      </c>
      <c r="AA890" s="417">
        <v>98787</v>
      </c>
      <c r="AB890" s="417">
        <v>98786</v>
      </c>
      <c r="AC890" s="417">
        <v>0</v>
      </c>
      <c r="AD890" s="417">
        <v>0</v>
      </c>
      <c r="AE890" s="378">
        <v>3.5100000000000002E-4</v>
      </c>
      <c r="AF890" s="378"/>
      <c r="AG890" s="417">
        <v>56094</v>
      </c>
      <c r="AH890" s="417">
        <v>17262</v>
      </c>
      <c r="AI890" s="417">
        <v>17262</v>
      </c>
      <c r="AJ890" s="417">
        <v>0</v>
      </c>
      <c r="AK890" s="417">
        <v>0</v>
      </c>
      <c r="AL890" s="378">
        <v>3.5100000000000002E-4</v>
      </c>
      <c r="AM890" s="378"/>
      <c r="AN890" s="417">
        <v>-9486</v>
      </c>
      <c r="AO890" s="417">
        <v>-9484</v>
      </c>
      <c r="AP890" s="417">
        <v>0</v>
      </c>
      <c r="AQ890" s="417">
        <v>0</v>
      </c>
      <c r="AR890" s="417">
        <v>0</v>
      </c>
    </row>
    <row r="891" spans="1:44">
      <c r="A891" s="377">
        <v>99621</v>
      </c>
      <c r="B891" t="s">
        <v>1586</v>
      </c>
      <c r="C891" s="378">
        <v>3.3369999999999998E-4</v>
      </c>
      <c r="D891" s="378"/>
      <c r="E891" s="417">
        <v>39543</v>
      </c>
      <c r="F891" s="417">
        <v>-23119</v>
      </c>
      <c r="G891" s="417">
        <v>-51056</v>
      </c>
      <c r="H891" s="417">
        <v>-223737</v>
      </c>
      <c r="I891" s="417">
        <v>0</v>
      </c>
      <c r="J891" s="378">
        <v>3.3369999999999998E-4</v>
      </c>
      <c r="K891" s="378"/>
      <c r="L891" s="417">
        <v>81692</v>
      </c>
      <c r="M891" s="417">
        <v>56419</v>
      </c>
      <c r="N891" s="417">
        <v>24698</v>
      </c>
      <c r="O891" s="417">
        <v>0</v>
      </c>
      <c r="P891" s="417">
        <v>0</v>
      </c>
      <c r="Q891" s="378">
        <v>3.3369999999999998E-4</v>
      </c>
      <c r="R891" s="378"/>
      <c r="S891" s="417">
        <v>-167640</v>
      </c>
      <c r="T891" s="417">
        <v>-165700</v>
      </c>
      <c r="U891" s="417">
        <v>-174075</v>
      </c>
      <c r="V891" s="417">
        <v>-223737</v>
      </c>
      <c r="W891" s="417">
        <v>0</v>
      </c>
      <c r="X891" s="378">
        <v>3.3369999999999998E-4</v>
      </c>
      <c r="Z891" s="417">
        <v>133681</v>
      </c>
      <c r="AA891" s="417">
        <v>93918</v>
      </c>
      <c r="AB891" s="417">
        <v>93918</v>
      </c>
      <c r="AC891" s="417">
        <v>0</v>
      </c>
      <c r="AD891" s="417">
        <v>0</v>
      </c>
      <c r="AE891" s="378">
        <v>3.3369999999999998E-4</v>
      </c>
      <c r="AF891" s="378"/>
      <c r="AG891" s="417">
        <v>4404</v>
      </c>
      <c r="AH891" s="417">
        <v>4404</v>
      </c>
      <c r="AI891" s="417">
        <v>4403</v>
      </c>
      <c r="AJ891" s="417">
        <v>0</v>
      </c>
      <c r="AK891" s="417">
        <v>0</v>
      </c>
      <c r="AL891" s="378">
        <v>3.3369999999999998E-4</v>
      </c>
      <c r="AM891" s="378"/>
      <c r="AN891" s="417">
        <v>-12594</v>
      </c>
      <c r="AO891" s="417">
        <v>-12160</v>
      </c>
      <c r="AP891" s="417">
        <v>0</v>
      </c>
      <c r="AQ891" s="417">
        <v>0</v>
      </c>
      <c r="AR891" s="417">
        <v>0</v>
      </c>
    </row>
    <row r="892" spans="1:44">
      <c r="A892" s="377">
        <v>99623</v>
      </c>
      <c r="B892" t="s">
        <v>1587</v>
      </c>
      <c r="C892" s="378">
        <v>1.6399999999999999E-5</v>
      </c>
      <c r="D892" s="378"/>
      <c r="E892" s="417">
        <v>-95</v>
      </c>
      <c r="F892" s="417">
        <v>-3186</v>
      </c>
      <c r="G892" s="417">
        <v>-3048</v>
      </c>
      <c r="H892" s="417">
        <v>-10996</v>
      </c>
      <c r="I892" s="417">
        <v>0</v>
      </c>
      <c r="J892" s="378">
        <v>1.6399999999999999E-5</v>
      </c>
      <c r="K892" s="378"/>
      <c r="L892" s="417">
        <v>4015</v>
      </c>
      <c r="M892" s="417">
        <v>2773</v>
      </c>
      <c r="N892" s="417">
        <v>1214</v>
      </c>
      <c r="O892" s="417">
        <v>0</v>
      </c>
      <c r="P892" s="417">
        <v>0</v>
      </c>
      <c r="Q892" s="378">
        <v>1.6399999999999999E-5</v>
      </c>
      <c r="R892" s="378"/>
      <c r="S892" s="417">
        <v>-8239</v>
      </c>
      <c r="T892" s="417">
        <v>-8144</v>
      </c>
      <c r="U892" s="417">
        <v>-8555</v>
      </c>
      <c r="V892" s="417">
        <v>-10996</v>
      </c>
      <c r="W892" s="417">
        <v>0</v>
      </c>
      <c r="X892" s="378">
        <v>1.6399999999999999E-5</v>
      </c>
      <c r="Z892" s="417">
        <v>6570</v>
      </c>
      <c r="AA892" s="417">
        <v>4616</v>
      </c>
      <c r="AB892" s="417">
        <v>4616</v>
      </c>
      <c r="AC892" s="417">
        <v>0</v>
      </c>
      <c r="AD892" s="417">
        <v>0</v>
      </c>
      <c r="AE892" s="378">
        <v>1.6399999999999999E-5</v>
      </c>
      <c r="AF892" s="378"/>
      <c r="AG892" s="417">
        <v>2726</v>
      </c>
      <c r="AH892" s="417">
        <v>2727</v>
      </c>
      <c r="AI892" s="417">
        <v>0</v>
      </c>
      <c r="AJ892" s="417">
        <v>0</v>
      </c>
      <c r="AK892" s="417">
        <v>0</v>
      </c>
      <c r="AL892" s="378">
        <v>1.6399999999999999E-5</v>
      </c>
      <c r="AM892" s="378"/>
      <c r="AN892" s="417">
        <v>-5167</v>
      </c>
      <c r="AO892" s="417">
        <v>-5158</v>
      </c>
      <c r="AP892" s="417">
        <v>-323</v>
      </c>
      <c r="AQ892" s="417">
        <v>0</v>
      </c>
      <c r="AR892" s="417">
        <v>0</v>
      </c>
    </row>
    <row r="893" spans="1:44">
      <c r="A893" s="377">
        <v>99631</v>
      </c>
      <c r="B893" t="s">
        <v>1588</v>
      </c>
      <c r="C893" s="378">
        <v>8.5699999999999996E-5</v>
      </c>
      <c r="D893" s="378"/>
      <c r="E893" s="417">
        <v>1691</v>
      </c>
      <c r="F893" s="417">
        <v>-14135</v>
      </c>
      <c r="G893" s="417">
        <v>-9665</v>
      </c>
      <c r="H893" s="417">
        <v>-57460</v>
      </c>
      <c r="I893" s="417">
        <v>0</v>
      </c>
      <c r="J893" s="378">
        <v>8.5699999999999996E-5</v>
      </c>
      <c r="K893" s="378"/>
      <c r="L893" s="417">
        <v>20980</v>
      </c>
      <c r="M893" s="417">
        <v>14489</v>
      </c>
      <c r="N893" s="417">
        <v>6343</v>
      </c>
      <c r="O893" s="417">
        <v>0</v>
      </c>
      <c r="P893" s="417">
        <v>0</v>
      </c>
      <c r="Q893" s="378">
        <v>8.5699999999999996E-5</v>
      </c>
      <c r="R893" s="378"/>
      <c r="S893" s="417">
        <v>-43053</v>
      </c>
      <c r="T893" s="417">
        <v>-42555</v>
      </c>
      <c r="U893" s="417">
        <v>-44705</v>
      </c>
      <c r="V893" s="417">
        <v>-57460</v>
      </c>
      <c r="W893" s="417">
        <v>0</v>
      </c>
      <c r="X893" s="378">
        <v>8.5699999999999996E-5</v>
      </c>
      <c r="Z893" s="417">
        <v>34332</v>
      </c>
      <c r="AA893" s="417">
        <v>24120</v>
      </c>
      <c r="AB893" s="417">
        <v>24120</v>
      </c>
      <c r="AC893" s="417">
        <v>0</v>
      </c>
      <c r="AD893" s="417">
        <v>0</v>
      </c>
      <c r="AE893" s="378">
        <v>8.5699999999999996E-5</v>
      </c>
      <c r="AF893" s="378"/>
      <c r="AG893" s="417">
        <v>4576</v>
      </c>
      <c r="AH893" s="417">
        <v>4576</v>
      </c>
      <c r="AI893" s="417">
        <v>4577</v>
      </c>
      <c r="AJ893" s="417">
        <v>0</v>
      </c>
      <c r="AK893" s="417">
        <v>0</v>
      </c>
      <c r="AL893" s="378">
        <v>8.5699999999999996E-5</v>
      </c>
      <c r="AM893" s="378"/>
      <c r="AN893" s="417">
        <v>-15144</v>
      </c>
      <c r="AO893" s="417">
        <v>-14765</v>
      </c>
      <c r="AP893" s="417">
        <v>0</v>
      </c>
      <c r="AQ893" s="417">
        <v>0</v>
      </c>
      <c r="AR893" s="417">
        <v>0</v>
      </c>
    </row>
    <row r="894" spans="1:44">
      <c r="A894" s="377">
        <v>99651</v>
      </c>
      <c r="B894" t="s">
        <v>1589</v>
      </c>
      <c r="C894" s="378">
        <v>5.3699999999999997E-5</v>
      </c>
      <c r="D894" s="378"/>
      <c r="E894" s="417">
        <v>-224</v>
      </c>
      <c r="F894" s="417">
        <v>-8822</v>
      </c>
      <c r="G894" s="417">
        <v>-16130</v>
      </c>
      <c r="H894" s="417">
        <v>-36004</v>
      </c>
      <c r="I894" s="417">
        <v>0</v>
      </c>
      <c r="J894" s="378">
        <v>5.3699999999999997E-5</v>
      </c>
      <c r="K894" s="378"/>
      <c r="L894" s="417">
        <v>13146</v>
      </c>
      <c r="M894" s="417">
        <v>9079</v>
      </c>
      <c r="N894" s="417">
        <v>3974</v>
      </c>
      <c r="O894" s="417">
        <v>0</v>
      </c>
      <c r="P894" s="417">
        <v>0</v>
      </c>
      <c r="Q894" s="378">
        <v>5.3699999999999997E-5</v>
      </c>
      <c r="R894" s="378"/>
      <c r="S894" s="417">
        <v>-26977</v>
      </c>
      <c r="T894" s="417">
        <v>-26665</v>
      </c>
      <c r="U894" s="417">
        <v>-28013</v>
      </c>
      <c r="V894" s="417">
        <v>-36004</v>
      </c>
      <c r="W894" s="417">
        <v>0</v>
      </c>
      <c r="X894" s="378">
        <v>5.3699999999999997E-5</v>
      </c>
      <c r="Z894" s="417">
        <v>21512</v>
      </c>
      <c r="AA894" s="417">
        <v>15114</v>
      </c>
      <c r="AB894" s="417">
        <v>15113</v>
      </c>
      <c r="AC894" s="417">
        <v>0</v>
      </c>
      <c r="AD894" s="417">
        <v>0</v>
      </c>
      <c r="AE894" s="378">
        <v>5.3699999999999997E-5</v>
      </c>
      <c r="AF894" s="378"/>
      <c r="AG894" s="417">
        <v>1912</v>
      </c>
      <c r="AH894" s="417">
        <v>1911</v>
      </c>
      <c r="AI894" s="417">
        <v>0</v>
      </c>
      <c r="AJ894" s="417">
        <v>0</v>
      </c>
      <c r="AK894" s="417">
        <v>0</v>
      </c>
      <c r="AL894" s="378">
        <v>5.3699999999999997E-5</v>
      </c>
      <c r="AM894" s="378"/>
      <c r="AN894" s="417">
        <v>-9817</v>
      </c>
      <c r="AO894" s="417">
        <v>-8261</v>
      </c>
      <c r="AP894" s="417">
        <v>-7204</v>
      </c>
      <c r="AQ894" s="417">
        <v>0</v>
      </c>
      <c r="AR894" s="417">
        <v>0</v>
      </c>
    </row>
    <row r="895" spans="1:44">
      <c r="A895" s="377">
        <v>99661</v>
      </c>
      <c r="B895" t="s">
        <v>1590</v>
      </c>
      <c r="C895" s="378">
        <v>3.4199999999999998E-5</v>
      </c>
      <c r="D895" s="378"/>
      <c r="E895" s="417">
        <v>22492</v>
      </c>
      <c r="F895" s="417">
        <v>11121</v>
      </c>
      <c r="G895" s="417">
        <v>-2849</v>
      </c>
      <c r="H895" s="417">
        <v>-22930</v>
      </c>
      <c r="I895" s="417">
        <v>0</v>
      </c>
      <c r="J895" s="378">
        <v>3.4199999999999998E-5</v>
      </c>
      <c r="K895" s="378"/>
      <c r="L895" s="417">
        <v>8372</v>
      </c>
      <c r="M895" s="417">
        <v>5782</v>
      </c>
      <c r="N895" s="417">
        <v>2531</v>
      </c>
      <c r="O895" s="417">
        <v>0</v>
      </c>
      <c r="P895" s="417">
        <v>0</v>
      </c>
      <c r="Q895" s="378">
        <v>3.4199999999999998E-5</v>
      </c>
      <c r="R895" s="378"/>
      <c r="S895" s="417">
        <v>-17181</v>
      </c>
      <c r="T895" s="417">
        <v>-16982</v>
      </c>
      <c r="U895" s="417">
        <v>-17840</v>
      </c>
      <c r="V895" s="417">
        <v>-22930</v>
      </c>
      <c r="W895" s="417">
        <v>0</v>
      </c>
      <c r="X895" s="378">
        <v>3.4199999999999998E-5</v>
      </c>
      <c r="Z895" s="417">
        <v>13701</v>
      </c>
      <c r="AA895" s="417">
        <v>9625</v>
      </c>
      <c r="AB895" s="417">
        <v>9625</v>
      </c>
      <c r="AC895" s="417">
        <v>0</v>
      </c>
      <c r="AD895" s="417">
        <v>0</v>
      </c>
      <c r="AE895" s="378">
        <v>3.4199999999999998E-5</v>
      </c>
      <c r="AF895" s="378"/>
      <c r="AG895" s="417">
        <v>17600</v>
      </c>
      <c r="AH895" s="417">
        <v>12696</v>
      </c>
      <c r="AI895" s="417">
        <v>2835</v>
      </c>
      <c r="AJ895" s="417">
        <v>0</v>
      </c>
      <c r="AK895" s="417">
        <v>0</v>
      </c>
      <c r="AL895" s="378">
        <v>3.4199999999999998E-5</v>
      </c>
      <c r="AM895" s="378"/>
      <c r="AN895" s="417">
        <v>0</v>
      </c>
      <c r="AO895" s="417">
        <v>0</v>
      </c>
      <c r="AP895" s="417">
        <v>0</v>
      </c>
      <c r="AQ895" s="417">
        <v>0</v>
      </c>
      <c r="AR895" s="417">
        <v>0</v>
      </c>
    </row>
    <row r="896" spans="1:44">
      <c r="A896" s="377">
        <v>99701</v>
      </c>
      <c r="B896" t="s">
        <v>1591</v>
      </c>
      <c r="C896" s="378">
        <v>3.0317999999999999E-3</v>
      </c>
      <c r="D896" s="378"/>
      <c r="E896" s="417">
        <v>399372</v>
      </c>
      <c r="F896" s="417">
        <v>-170234</v>
      </c>
      <c r="G896" s="417">
        <v>-548364</v>
      </c>
      <c r="H896" s="417">
        <v>-2032743</v>
      </c>
      <c r="I896" s="417">
        <v>0</v>
      </c>
      <c r="J896" s="378">
        <v>3.0317999999999999E-3</v>
      </c>
      <c r="K896" s="378"/>
      <c r="L896" s="417">
        <v>742209</v>
      </c>
      <c r="M896" s="417">
        <v>512592</v>
      </c>
      <c r="N896" s="417">
        <v>224390</v>
      </c>
      <c r="O896" s="417">
        <v>0</v>
      </c>
      <c r="P896" s="417">
        <v>0</v>
      </c>
      <c r="Q896" s="378">
        <v>3.0317999999999999E-3</v>
      </c>
      <c r="R896" s="378"/>
      <c r="S896" s="417">
        <v>-1523079</v>
      </c>
      <c r="T896" s="417">
        <v>-1505455</v>
      </c>
      <c r="U896" s="417">
        <v>-1581542</v>
      </c>
      <c r="V896" s="417">
        <v>-2032743</v>
      </c>
      <c r="W896" s="417">
        <v>0</v>
      </c>
      <c r="X896" s="378">
        <v>3.0317999999999999E-3</v>
      </c>
      <c r="Z896" s="417">
        <v>1214545</v>
      </c>
      <c r="AA896" s="417">
        <v>853285</v>
      </c>
      <c r="AB896" s="417">
        <v>853279</v>
      </c>
      <c r="AC896" s="417">
        <v>0</v>
      </c>
      <c r="AD896" s="417">
        <v>0</v>
      </c>
      <c r="AE896" s="378">
        <v>3.0317999999999999E-3</v>
      </c>
      <c r="AF896" s="378"/>
      <c r="AG896" s="417">
        <v>17246</v>
      </c>
      <c r="AH896" s="417">
        <v>17246</v>
      </c>
      <c r="AI896" s="417">
        <v>0</v>
      </c>
      <c r="AJ896" s="417">
        <v>0</v>
      </c>
      <c r="AK896" s="417">
        <v>0</v>
      </c>
      <c r="AL896" s="378">
        <v>3.0317999999999999E-3</v>
      </c>
      <c r="AM896" s="378"/>
      <c r="AN896" s="417">
        <v>-51549</v>
      </c>
      <c r="AO896" s="417">
        <v>-47902</v>
      </c>
      <c r="AP896" s="417">
        <v>-44491</v>
      </c>
      <c r="AQ896" s="417">
        <v>0</v>
      </c>
      <c r="AR896" s="417">
        <v>0</v>
      </c>
    </row>
    <row r="897" spans="1:44">
      <c r="A897" s="377">
        <v>99705</v>
      </c>
      <c r="B897" t="s">
        <v>1592</v>
      </c>
      <c r="C897" s="378">
        <v>1.716E-4</v>
      </c>
      <c r="D897" s="378"/>
      <c r="E897" s="417">
        <v>47272</v>
      </c>
      <c r="F897" s="417">
        <v>13748</v>
      </c>
      <c r="G897" s="417">
        <v>-19427</v>
      </c>
      <c r="H897" s="417">
        <v>-115053</v>
      </c>
      <c r="I897" s="417">
        <v>0</v>
      </c>
      <c r="J897" s="378">
        <v>1.716E-4</v>
      </c>
      <c r="K897" s="378"/>
      <c r="L897" s="417">
        <v>42009</v>
      </c>
      <c r="M897" s="417">
        <v>29013</v>
      </c>
      <c r="N897" s="417">
        <v>12700</v>
      </c>
      <c r="O897" s="417">
        <v>0</v>
      </c>
      <c r="P897" s="417">
        <v>0</v>
      </c>
      <c r="Q897" s="378">
        <v>1.716E-4</v>
      </c>
      <c r="R897" s="378"/>
      <c r="S897" s="417">
        <v>-86206</v>
      </c>
      <c r="T897" s="417">
        <v>-85209</v>
      </c>
      <c r="U897" s="417">
        <v>-89515</v>
      </c>
      <c r="V897" s="417">
        <v>-115053</v>
      </c>
      <c r="W897" s="417">
        <v>0</v>
      </c>
      <c r="X897" s="378">
        <v>1.716E-4</v>
      </c>
      <c r="Z897" s="417">
        <v>68743</v>
      </c>
      <c r="AA897" s="417">
        <v>48296</v>
      </c>
      <c r="AB897" s="417">
        <v>48296</v>
      </c>
      <c r="AC897" s="417">
        <v>0</v>
      </c>
      <c r="AD897" s="417">
        <v>0</v>
      </c>
      <c r="AE897" s="378">
        <v>1.716E-4</v>
      </c>
      <c r="AF897" s="378"/>
      <c r="AG897" s="417">
        <v>22726</v>
      </c>
      <c r="AH897" s="417">
        <v>21648</v>
      </c>
      <c r="AI897" s="417">
        <v>9092</v>
      </c>
      <c r="AJ897" s="417">
        <v>0</v>
      </c>
      <c r="AK897" s="417">
        <v>0</v>
      </c>
      <c r="AL897" s="378">
        <v>1.716E-4</v>
      </c>
      <c r="AM897" s="378"/>
      <c r="AN897" s="417">
        <v>0</v>
      </c>
      <c r="AO897" s="417">
        <v>0</v>
      </c>
      <c r="AP897" s="417">
        <v>0</v>
      </c>
      <c r="AQ897" s="417">
        <v>0</v>
      </c>
      <c r="AR897" s="417">
        <v>0</v>
      </c>
    </row>
    <row r="898" spans="1:44">
      <c r="A898" s="377">
        <v>99711</v>
      </c>
      <c r="B898" t="s">
        <v>1593</v>
      </c>
      <c r="C898" s="378">
        <v>3.9609999999999998E-4</v>
      </c>
      <c r="D898" s="378"/>
      <c r="E898" s="417">
        <v>41945</v>
      </c>
      <c r="F898" s="417">
        <v>-32916</v>
      </c>
      <c r="G898" s="417">
        <v>-81720</v>
      </c>
      <c r="H898" s="417">
        <v>-265575</v>
      </c>
      <c r="I898" s="417">
        <v>0</v>
      </c>
      <c r="J898" s="378">
        <v>3.9609999999999998E-4</v>
      </c>
      <c r="K898" s="378"/>
      <c r="L898" s="417">
        <v>96968</v>
      </c>
      <c r="M898" s="417">
        <v>66969</v>
      </c>
      <c r="N898" s="417">
        <v>29316</v>
      </c>
      <c r="O898" s="417">
        <v>0</v>
      </c>
      <c r="P898" s="417">
        <v>0</v>
      </c>
      <c r="Q898" s="378">
        <v>3.9609999999999998E-4</v>
      </c>
      <c r="R898" s="378"/>
      <c r="S898" s="417">
        <v>-198988</v>
      </c>
      <c r="T898" s="417">
        <v>-196685</v>
      </c>
      <c r="U898" s="417">
        <v>-206626</v>
      </c>
      <c r="V898" s="417">
        <v>-265575</v>
      </c>
      <c r="W898" s="417">
        <v>0</v>
      </c>
      <c r="X898" s="378">
        <v>3.9609999999999998E-4</v>
      </c>
      <c r="Z898" s="417">
        <v>158678</v>
      </c>
      <c r="AA898" s="417">
        <v>111480</v>
      </c>
      <c r="AB898" s="417">
        <v>111480</v>
      </c>
      <c r="AC898" s="417">
        <v>0</v>
      </c>
      <c r="AD898" s="417">
        <v>0</v>
      </c>
      <c r="AE898" s="378">
        <v>3.9609999999999998E-4</v>
      </c>
      <c r="AF898" s="378"/>
      <c r="AG898" s="417">
        <v>3319</v>
      </c>
      <c r="AH898" s="417">
        <v>3319</v>
      </c>
      <c r="AI898" s="417">
        <v>0</v>
      </c>
      <c r="AJ898" s="417">
        <v>0</v>
      </c>
      <c r="AK898" s="417">
        <v>0</v>
      </c>
      <c r="AL898" s="378">
        <v>3.9609999999999998E-4</v>
      </c>
      <c r="AM898" s="378"/>
      <c r="AN898" s="417">
        <v>-18032</v>
      </c>
      <c r="AO898" s="417">
        <v>-17999</v>
      </c>
      <c r="AP898" s="417">
        <v>-15890</v>
      </c>
      <c r="AQ898" s="417">
        <v>0</v>
      </c>
      <c r="AR898" s="417">
        <v>0</v>
      </c>
    </row>
    <row r="899" spans="1:44">
      <c r="A899" s="377">
        <v>99717</v>
      </c>
      <c r="B899" t="s">
        <v>1594</v>
      </c>
      <c r="C899" s="378">
        <v>1.7900000000000001E-5</v>
      </c>
      <c r="D899" s="378"/>
      <c r="E899" s="417">
        <v>-685</v>
      </c>
      <c r="F899" s="417">
        <v>-3718</v>
      </c>
      <c r="G899" s="417">
        <v>-1724</v>
      </c>
      <c r="H899" s="417">
        <v>-12001</v>
      </c>
      <c r="I899" s="417">
        <v>0</v>
      </c>
      <c r="J899" s="378">
        <v>1.7900000000000001E-5</v>
      </c>
      <c r="K899" s="378"/>
      <c r="L899" s="417">
        <v>4382</v>
      </c>
      <c r="M899" s="417">
        <v>3026</v>
      </c>
      <c r="N899" s="417">
        <v>1325</v>
      </c>
      <c r="O899" s="417">
        <v>0</v>
      </c>
      <c r="P899" s="417">
        <v>0</v>
      </c>
      <c r="Q899" s="378">
        <v>1.7900000000000001E-5</v>
      </c>
      <c r="R899" s="378"/>
      <c r="S899" s="417">
        <v>-8992</v>
      </c>
      <c r="T899" s="417">
        <v>-8888</v>
      </c>
      <c r="U899" s="417">
        <v>-9338</v>
      </c>
      <c r="V899" s="417">
        <v>-12001</v>
      </c>
      <c r="W899" s="417">
        <v>0</v>
      </c>
      <c r="X899" s="378">
        <v>1.7900000000000001E-5</v>
      </c>
      <c r="Z899" s="417">
        <v>7171</v>
      </c>
      <c r="AA899" s="417">
        <v>5038</v>
      </c>
      <c r="AB899" s="417">
        <v>5038</v>
      </c>
      <c r="AC899" s="417">
        <v>0</v>
      </c>
      <c r="AD899" s="417">
        <v>0</v>
      </c>
      <c r="AE899" s="378">
        <v>1.7900000000000001E-5</v>
      </c>
      <c r="AF899" s="378"/>
      <c r="AG899" s="417">
        <v>1465</v>
      </c>
      <c r="AH899" s="417">
        <v>1463</v>
      </c>
      <c r="AI899" s="417">
        <v>1251</v>
      </c>
      <c r="AJ899" s="417">
        <v>0</v>
      </c>
      <c r="AK899" s="417">
        <v>0</v>
      </c>
      <c r="AL899" s="378">
        <v>1.7900000000000001E-5</v>
      </c>
      <c r="AM899" s="378"/>
      <c r="AN899" s="417">
        <v>-4711</v>
      </c>
      <c r="AO899" s="417">
        <v>-4357</v>
      </c>
      <c r="AP899" s="417">
        <v>0</v>
      </c>
      <c r="AQ899" s="417">
        <v>0</v>
      </c>
      <c r="AR899" s="417">
        <v>0</v>
      </c>
    </row>
    <row r="900" spans="1:44">
      <c r="A900" s="377">
        <v>99721</v>
      </c>
      <c r="B900" t="s">
        <v>1595</v>
      </c>
      <c r="C900" s="378">
        <v>5.8679999999999995E-4</v>
      </c>
      <c r="D900" s="378"/>
      <c r="E900" s="417">
        <v>71982</v>
      </c>
      <c r="F900" s="417">
        <v>-37488</v>
      </c>
      <c r="G900" s="417">
        <v>-93883</v>
      </c>
      <c r="H900" s="417">
        <v>-393434</v>
      </c>
      <c r="I900" s="417">
        <v>0</v>
      </c>
      <c r="J900" s="378">
        <v>5.8679999999999995E-4</v>
      </c>
      <c r="K900" s="378"/>
      <c r="L900" s="417">
        <v>143653</v>
      </c>
      <c r="M900" s="417">
        <v>99211</v>
      </c>
      <c r="N900" s="417">
        <v>43430</v>
      </c>
      <c r="O900" s="417">
        <v>0</v>
      </c>
      <c r="P900" s="417">
        <v>0</v>
      </c>
      <c r="Q900" s="378">
        <v>5.8679999999999995E-4</v>
      </c>
      <c r="R900" s="378"/>
      <c r="S900" s="417">
        <v>-294790</v>
      </c>
      <c r="T900" s="417">
        <v>-291378</v>
      </c>
      <c r="U900" s="417">
        <v>-306105</v>
      </c>
      <c r="V900" s="417">
        <v>-393434</v>
      </c>
      <c r="W900" s="417">
        <v>0</v>
      </c>
      <c r="X900" s="378">
        <v>5.8679999999999995E-4</v>
      </c>
      <c r="Z900" s="417">
        <v>235073</v>
      </c>
      <c r="AA900" s="417">
        <v>165152</v>
      </c>
      <c r="AB900" s="417">
        <v>165151</v>
      </c>
      <c r="AC900" s="417">
        <v>0</v>
      </c>
      <c r="AD900" s="417">
        <v>0</v>
      </c>
      <c r="AE900" s="378">
        <v>5.8679999999999995E-4</v>
      </c>
      <c r="AF900" s="378"/>
      <c r="AG900" s="417">
        <v>4222</v>
      </c>
      <c r="AH900" s="417">
        <v>4223</v>
      </c>
      <c r="AI900" s="417">
        <v>3641</v>
      </c>
      <c r="AJ900" s="417">
        <v>0</v>
      </c>
      <c r="AK900" s="417">
        <v>0</v>
      </c>
      <c r="AL900" s="378">
        <v>5.8679999999999995E-4</v>
      </c>
      <c r="AM900" s="378"/>
      <c r="AN900" s="417">
        <v>-16176</v>
      </c>
      <c r="AO900" s="417">
        <v>-14696</v>
      </c>
      <c r="AP900" s="417">
        <v>0</v>
      </c>
      <c r="AQ900" s="417">
        <v>0</v>
      </c>
      <c r="AR900" s="417">
        <v>0</v>
      </c>
    </row>
    <row r="901" spans="1:44">
      <c r="A901" s="377">
        <v>99727</v>
      </c>
      <c r="B901" t="s">
        <v>1596</v>
      </c>
      <c r="C901" s="378">
        <v>1.84E-5</v>
      </c>
      <c r="D901" s="378"/>
      <c r="E901" s="417">
        <v>20102</v>
      </c>
      <c r="F901" s="417">
        <v>9251</v>
      </c>
      <c r="G901" s="417">
        <v>-204</v>
      </c>
      <c r="H901" s="417">
        <v>-12337</v>
      </c>
      <c r="I901" s="417">
        <v>0</v>
      </c>
      <c r="J901" s="378">
        <v>1.84E-5</v>
      </c>
      <c r="K901" s="378"/>
      <c r="L901" s="417">
        <v>4504</v>
      </c>
      <c r="M901" s="417">
        <v>3111</v>
      </c>
      <c r="N901" s="417">
        <v>1362</v>
      </c>
      <c r="O901" s="417">
        <v>0</v>
      </c>
      <c r="P901" s="417">
        <v>0</v>
      </c>
      <c r="Q901" s="378">
        <v>1.84E-5</v>
      </c>
      <c r="R901" s="378"/>
      <c r="S901" s="417">
        <v>-9244</v>
      </c>
      <c r="T901" s="417">
        <v>-9137</v>
      </c>
      <c r="U901" s="417">
        <v>-9598</v>
      </c>
      <c r="V901" s="417">
        <v>-12337</v>
      </c>
      <c r="W901" s="417">
        <v>0</v>
      </c>
      <c r="X901" s="378">
        <v>1.84E-5</v>
      </c>
      <c r="Z901" s="417">
        <v>7371</v>
      </c>
      <c r="AA901" s="417">
        <v>5179</v>
      </c>
      <c r="AB901" s="417">
        <v>5179</v>
      </c>
      <c r="AC901" s="417">
        <v>0</v>
      </c>
      <c r="AD901" s="417">
        <v>0</v>
      </c>
      <c r="AE901" s="378">
        <v>1.84E-5</v>
      </c>
      <c r="AF901" s="378"/>
      <c r="AG901" s="417">
        <v>17471</v>
      </c>
      <c r="AH901" s="417">
        <v>10098</v>
      </c>
      <c r="AI901" s="417">
        <v>2853</v>
      </c>
      <c r="AJ901" s="417">
        <v>0</v>
      </c>
      <c r="AK901" s="417">
        <v>0</v>
      </c>
      <c r="AL901" s="378">
        <v>1.84E-5</v>
      </c>
      <c r="AM901" s="378"/>
      <c r="AN901" s="417">
        <v>0</v>
      </c>
      <c r="AO901" s="417">
        <v>0</v>
      </c>
      <c r="AP901" s="417">
        <v>0</v>
      </c>
      <c r="AQ901" s="417">
        <v>0</v>
      </c>
      <c r="AR901" s="417">
        <v>0</v>
      </c>
    </row>
    <row r="902" spans="1:44">
      <c r="A902" s="377">
        <v>99801</v>
      </c>
      <c r="B902" t="s">
        <v>1597</v>
      </c>
      <c r="C902" s="378">
        <v>4.6610999999999996E-3</v>
      </c>
      <c r="D902" s="378"/>
      <c r="E902" s="417">
        <v>436932</v>
      </c>
      <c r="F902" s="417">
        <v>-384346</v>
      </c>
      <c r="G902" s="417">
        <v>-818289</v>
      </c>
      <c r="H902" s="417">
        <v>-3125146</v>
      </c>
      <c r="I902" s="417">
        <v>0</v>
      </c>
      <c r="J902" s="378">
        <v>4.6610999999999996E-3</v>
      </c>
      <c r="K902" s="378"/>
      <c r="L902" s="417">
        <v>1141075</v>
      </c>
      <c r="M902" s="417">
        <v>788061</v>
      </c>
      <c r="N902" s="417">
        <v>344977</v>
      </c>
      <c r="O902" s="417">
        <v>0</v>
      </c>
      <c r="P902" s="417">
        <v>0</v>
      </c>
      <c r="Q902" s="378">
        <v>4.6610999999999996E-3</v>
      </c>
      <c r="R902" s="378"/>
      <c r="S902" s="417">
        <v>-2341587</v>
      </c>
      <c r="T902" s="417">
        <v>-2314493</v>
      </c>
      <c r="U902" s="417">
        <v>-2431467</v>
      </c>
      <c r="V902" s="417">
        <v>-3125146</v>
      </c>
      <c r="W902" s="417">
        <v>0</v>
      </c>
      <c r="X902" s="378">
        <v>4.6610999999999996E-3</v>
      </c>
      <c r="Z902" s="417">
        <v>1867246</v>
      </c>
      <c r="AA902" s="417">
        <v>1311843</v>
      </c>
      <c r="AB902" s="417">
        <v>1311834</v>
      </c>
      <c r="AC902" s="417">
        <v>0</v>
      </c>
      <c r="AD902" s="417">
        <v>0</v>
      </c>
      <c r="AE902" s="378">
        <v>4.6610999999999996E-3</v>
      </c>
      <c r="AF902" s="378"/>
      <c r="AG902" s="417">
        <v>0</v>
      </c>
      <c r="AH902" s="417">
        <v>0</v>
      </c>
      <c r="AI902" s="417">
        <v>0</v>
      </c>
      <c r="AJ902" s="417">
        <v>0</v>
      </c>
      <c r="AK902" s="417">
        <v>0</v>
      </c>
      <c r="AL902" s="378">
        <v>4.6610999999999996E-3</v>
      </c>
      <c r="AM902" s="378"/>
      <c r="AN902" s="417">
        <v>-229802</v>
      </c>
      <c r="AO902" s="417">
        <v>-169757</v>
      </c>
      <c r="AP902" s="417">
        <v>-43633</v>
      </c>
      <c r="AQ902" s="417">
        <v>0</v>
      </c>
      <c r="AR902" s="417">
        <v>0</v>
      </c>
    </row>
    <row r="903" spans="1:44">
      <c r="A903" s="377">
        <v>99802</v>
      </c>
      <c r="B903" t="s">
        <v>1598</v>
      </c>
      <c r="C903" s="378">
        <v>1.0900000000000001E-5</v>
      </c>
      <c r="D903" s="378"/>
      <c r="E903" s="417">
        <v>3049</v>
      </c>
      <c r="F903" s="417">
        <v>-251</v>
      </c>
      <c r="G903" s="417">
        <v>-2281</v>
      </c>
      <c r="H903" s="417">
        <v>-7308</v>
      </c>
      <c r="I903" s="417">
        <v>0</v>
      </c>
      <c r="J903" s="378">
        <v>1.0900000000000001E-5</v>
      </c>
      <c r="K903" s="378"/>
      <c r="L903" s="417">
        <v>2668</v>
      </c>
      <c r="M903" s="417">
        <v>1843</v>
      </c>
      <c r="N903" s="417">
        <v>807</v>
      </c>
      <c r="O903" s="417">
        <v>0</v>
      </c>
      <c r="P903" s="417">
        <v>0</v>
      </c>
      <c r="Q903" s="378">
        <v>1.0900000000000001E-5</v>
      </c>
      <c r="R903" s="378"/>
      <c r="S903" s="417">
        <v>-5476</v>
      </c>
      <c r="T903" s="417">
        <v>-5412</v>
      </c>
      <c r="U903" s="417">
        <v>-5686</v>
      </c>
      <c r="V903" s="417">
        <v>-7308</v>
      </c>
      <c r="W903" s="417">
        <v>0</v>
      </c>
      <c r="X903" s="378">
        <v>1.0900000000000001E-5</v>
      </c>
      <c r="Z903" s="417">
        <v>4367</v>
      </c>
      <c r="AA903" s="417">
        <v>3068</v>
      </c>
      <c r="AB903" s="417">
        <v>3068</v>
      </c>
      <c r="AC903" s="417">
        <v>0</v>
      </c>
      <c r="AD903" s="417">
        <v>0</v>
      </c>
      <c r="AE903" s="378">
        <v>1.0900000000000001E-5</v>
      </c>
      <c r="AF903" s="378"/>
      <c r="AG903" s="417">
        <v>1959</v>
      </c>
      <c r="AH903" s="417">
        <v>719</v>
      </c>
      <c r="AI903" s="417">
        <v>0</v>
      </c>
      <c r="AJ903" s="417">
        <v>0</v>
      </c>
      <c r="AK903" s="417">
        <v>0</v>
      </c>
      <c r="AL903" s="378">
        <v>1.0900000000000001E-5</v>
      </c>
      <c r="AM903" s="378"/>
      <c r="AN903" s="417">
        <v>-469</v>
      </c>
      <c r="AO903" s="417">
        <v>-469</v>
      </c>
      <c r="AP903" s="417">
        <v>-470</v>
      </c>
      <c r="AQ903" s="417">
        <v>0</v>
      </c>
      <c r="AR903" s="417">
        <v>0</v>
      </c>
    </row>
    <row r="904" spans="1:44">
      <c r="A904" s="377">
        <v>99804</v>
      </c>
      <c r="B904" t="s">
        <v>1599</v>
      </c>
      <c r="C904" s="378">
        <v>8.8300000000000005E-5</v>
      </c>
      <c r="D904" s="378"/>
      <c r="E904" s="417">
        <v>30732</v>
      </c>
      <c r="F904" s="417">
        <v>14071</v>
      </c>
      <c r="G904" s="417">
        <v>-1569</v>
      </c>
      <c r="H904" s="417">
        <v>-59203</v>
      </c>
      <c r="I904" s="417">
        <v>0</v>
      </c>
      <c r="J904" s="378">
        <v>8.8300000000000005E-5</v>
      </c>
      <c r="K904" s="378"/>
      <c r="L904" s="417">
        <v>21617</v>
      </c>
      <c r="M904" s="417">
        <v>14929</v>
      </c>
      <c r="N904" s="417">
        <v>6535</v>
      </c>
      <c r="O904" s="417">
        <v>0</v>
      </c>
      <c r="P904" s="417">
        <v>0</v>
      </c>
      <c r="Q904" s="378">
        <v>8.8300000000000005E-5</v>
      </c>
      <c r="R904" s="378"/>
      <c r="S904" s="417">
        <v>-44359</v>
      </c>
      <c r="T904" s="417">
        <v>-43846</v>
      </c>
      <c r="U904" s="417">
        <v>-46062</v>
      </c>
      <c r="V904" s="417">
        <v>-59203</v>
      </c>
      <c r="W904" s="417">
        <v>0</v>
      </c>
      <c r="X904" s="378">
        <v>8.8300000000000005E-5</v>
      </c>
      <c r="Z904" s="417">
        <v>35373</v>
      </c>
      <c r="AA904" s="417">
        <v>24852</v>
      </c>
      <c r="AB904" s="417">
        <v>24851</v>
      </c>
      <c r="AC904" s="417">
        <v>0</v>
      </c>
      <c r="AD904" s="417">
        <v>0</v>
      </c>
      <c r="AE904" s="378">
        <v>8.8300000000000005E-5</v>
      </c>
      <c r="AF904" s="378"/>
      <c r="AG904" s="417">
        <v>18134</v>
      </c>
      <c r="AH904" s="417">
        <v>18136</v>
      </c>
      <c r="AI904" s="417">
        <v>13107</v>
      </c>
      <c r="AJ904" s="417">
        <v>0</v>
      </c>
      <c r="AK904" s="417">
        <v>0</v>
      </c>
      <c r="AL904" s="378">
        <v>8.8300000000000005E-5</v>
      </c>
      <c r="AM904" s="378"/>
      <c r="AN904" s="417">
        <v>-33</v>
      </c>
      <c r="AO904" s="417">
        <v>0</v>
      </c>
      <c r="AP904" s="417">
        <v>0</v>
      </c>
      <c r="AQ904" s="417">
        <v>0</v>
      </c>
      <c r="AR904" s="417">
        <v>0</v>
      </c>
    </row>
    <row r="905" spans="1:44">
      <c r="A905" s="377">
        <v>99811</v>
      </c>
      <c r="B905" t="s">
        <v>1600</v>
      </c>
      <c r="C905" s="378">
        <v>6.2027999999999996E-3</v>
      </c>
      <c r="D905" s="378"/>
      <c r="E905" s="417">
        <v>620563</v>
      </c>
      <c r="F905" s="417">
        <v>-491441</v>
      </c>
      <c r="G905" s="417">
        <v>-1142473</v>
      </c>
      <c r="H905" s="417">
        <v>-4158816</v>
      </c>
      <c r="I905" s="417">
        <v>0</v>
      </c>
      <c r="J905" s="378">
        <v>6.2027999999999996E-3</v>
      </c>
      <c r="K905" s="378"/>
      <c r="L905" s="417">
        <v>1518495</v>
      </c>
      <c r="M905" s="417">
        <v>1048720</v>
      </c>
      <c r="N905" s="417">
        <v>459082</v>
      </c>
      <c r="O905" s="417">
        <v>0</v>
      </c>
      <c r="P905" s="417">
        <v>0</v>
      </c>
      <c r="Q905" s="378">
        <v>6.2027999999999996E-3</v>
      </c>
      <c r="R905" s="378"/>
      <c r="S905" s="417">
        <v>-3116088</v>
      </c>
      <c r="T905" s="417">
        <v>-3080031</v>
      </c>
      <c r="U905" s="417">
        <v>-3235697</v>
      </c>
      <c r="V905" s="417">
        <v>-4158816</v>
      </c>
      <c r="W905" s="417">
        <v>0</v>
      </c>
      <c r="X905" s="378">
        <v>6.2027999999999996E-3</v>
      </c>
      <c r="Z905" s="417">
        <v>2484854</v>
      </c>
      <c r="AA905" s="417">
        <v>1745747</v>
      </c>
      <c r="AB905" s="417">
        <v>1745735</v>
      </c>
      <c r="AC905" s="417">
        <v>0</v>
      </c>
      <c r="AD905" s="417">
        <v>0</v>
      </c>
      <c r="AE905" s="378">
        <v>6.2027999999999996E-3</v>
      </c>
      <c r="AF905" s="378"/>
      <c r="AG905" s="417">
        <v>0</v>
      </c>
      <c r="AH905" s="417">
        <v>0</v>
      </c>
      <c r="AI905" s="417">
        <v>0</v>
      </c>
      <c r="AJ905" s="417">
        <v>0</v>
      </c>
      <c r="AK905" s="417">
        <v>0</v>
      </c>
      <c r="AL905" s="378">
        <v>6.2027999999999996E-3</v>
      </c>
      <c r="AM905" s="378"/>
      <c r="AN905" s="417">
        <v>-266698</v>
      </c>
      <c r="AO905" s="417">
        <v>-205877</v>
      </c>
      <c r="AP905" s="417">
        <v>-111593</v>
      </c>
      <c r="AQ905" s="417">
        <v>0</v>
      </c>
      <c r="AR905" s="417">
        <v>0</v>
      </c>
    </row>
    <row r="906" spans="1:44">
      <c r="A906" s="377">
        <v>99812</v>
      </c>
      <c r="B906" t="s">
        <v>1601</v>
      </c>
      <c r="C906" s="378">
        <v>1.77E-5</v>
      </c>
      <c r="D906" s="378"/>
      <c r="E906" s="417">
        <v>15114</v>
      </c>
      <c r="F906" s="417">
        <v>9839</v>
      </c>
      <c r="G906" s="417">
        <v>2114</v>
      </c>
      <c r="H906" s="417">
        <v>-11867</v>
      </c>
      <c r="I906" s="417">
        <v>0</v>
      </c>
      <c r="J906" s="378">
        <v>1.77E-5</v>
      </c>
      <c r="K906" s="378"/>
      <c r="L906" s="417">
        <v>4333</v>
      </c>
      <c r="M906" s="417">
        <v>2993</v>
      </c>
      <c r="N906" s="417">
        <v>1310</v>
      </c>
      <c r="O906" s="417">
        <v>0</v>
      </c>
      <c r="P906" s="417">
        <v>0</v>
      </c>
      <c r="Q906" s="378">
        <v>1.77E-5</v>
      </c>
      <c r="R906" s="378"/>
      <c r="S906" s="417">
        <v>-8892</v>
      </c>
      <c r="T906" s="417">
        <v>-8789</v>
      </c>
      <c r="U906" s="417">
        <v>-9233</v>
      </c>
      <c r="V906" s="417">
        <v>-11867</v>
      </c>
      <c r="W906" s="417">
        <v>0</v>
      </c>
      <c r="X906" s="378">
        <v>1.77E-5</v>
      </c>
      <c r="Z906" s="417">
        <v>7091</v>
      </c>
      <c r="AA906" s="417">
        <v>4982</v>
      </c>
      <c r="AB906" s="417">
        <v>4982</v>
      </c>
      <c r="AC906" s="417">
        <v>0</v>
      </c>
      <c r="AD906" s="417">
        <v>0</v>
      </c>
      <c r="AE906" s="378">
        <v>1.77E-5</v>
      </c>
      <c r="AF906" s="378"/>
      <c r="AG906" s="417">
        <v>12582</v>
      </c>
      <c r="AH906" s="417">
        <v>10653</v>
      </c>
      <c r="AI906" s="417">
        <v>5055</v>
      </c>
      <c r="AJ906" s="417">
        <v>0</v>
      </c>
      <c r="AK906" s="417">
        <v>0</v>
      </c>
      <c r="AL906" s="378">
        <v>1.77E-5</v>
      </c>
      <c r="AM906" s="378"/>
      <c r="AN906" s="417">
        <v>0</v>
      </c>
      <c r="AO906" s="417">
        <v>0</v>
      </c>
      <c r="AP906" s="417">
        <v>0</v>
      </c>
      <c r="AQ906" s="417">
        <v>0</v>
      </c>
      <c r="AR906" s="417">
        <v>0</v>
      </c>
    </row>
    <row r="907" spans="1:44">
      <c r="A907" s="377">
        <v>99818</v>
      </c>
      <c r="B907" t="s">
        <v>1602</v>
      </c>
      <c r="C907" s="378">
        <v>2.4600000000000002E-5</v>
      </c>
      <c r="D907" s="378"/>
      <c r="E907" s="417">
        <v>-7398</v>
      </c>
      <c r="F907" s="417">
        <v>-11792</v>
      </c>
      <c r="G907" s="417">
        <v>-17405</v>
      </c>
      <c r="H907" s="417">
        <v>-16494</v>
      </c>
      <c r="I907" s="417">
        <v>0</v>
      </c>
      <c r="J907" s="378">
        <v>2.4600000000000002E-5</v>
      </c>
      <c r="K907" s="378"/>
      <c r="L907" s="417">
        <v>6022</v>
      </c>
      <c r="M907" s="417">
        <v>4159</v>
      </c>
      <c r="N907" s="417">
        <v>1821</v>
      </c>
      <c r="O907" s="417">
        <v>0</v>
      </c>
      <c r="P907" s="417">
        <v>0</v>
      </c>
      <c r="Q907" s="378">
        <v>2.4600000000000002E-5</v>
      </c>
      <c r="R907" s="378"/>
      <c r="S907" s="417">
        <v>-12358</v>
      </c>
      <c r="T907" s="417">
        <v>-12215</v>
      </c>
      <c r="U907" s="417">
        <v>-12833</v>
      </c>
      <c r="V907" s="417">
        <v>-16494</v>
      </c>
      <c r="W907" s="417">
        <v>0</v>
      </c>
      <c r="X907" s="378">
        <v>2.4600000000000002E-5</v>
      </c>
      <c r="Z907" s="417">
        <v>9855</v>
      </c>
      <c r="AA907" s="417">
        <v>6924</v>
      </c>
      <c r="AB907" s="417">
        <v>6923</v>
      </c>
      <c r="AC907" s="417">
        <v>0</v>
      </c>
      <c r="AD907" s="417">
        <v>0</v>
      </c>
      <c r="AE907" s="378">
        <v>2.4600000000000002E-5</v>
      </c>
      <c r="AF907" s="378"/>
      <c r="AG907" s="417">
        <v>2917</v>
      </c>
      <c r="AH907" s="417">
        <v>2915</v>
      </c>
      <c r="AI907" s="417">
        <v>0</v>
      </c>
      <c r="AJ907" s="417">
        <v>0</v>
      </c>
      <c r="AK907" s="417">
        <v>0</v>
      </c>
      <c r="AL907" s="378">
        <v>2.4600000000000002E-5</v>
      </c>
      <c r="AM907" s="378"/>
      <c r="AN907" s="417">
        <v>-13834</v>
      </c>
      <c r="AO907" s="417">
        <v>-13575</v>
      </c>
      <c r="AP907" s="417">
        <v>-13316</v>
      </c>
      <c r="AQ907" s="417">
        <v>0</v>
      </c>
      <c r="AR907" s="417">
        <v>0</v>
      </c>
    </row>
    <row r="908" spans="1:44">
      <c r="A908" s="377">
        <v>99821</v>
      </c>
      <c r="B908" t="s">
        <v>1603</v>
      </c>
      <c r="C908" s="378">
        <v>1.089E-4</v>
      </c>
      <c r="D908" s="378"/>
      <c r="E908" s="417">
        <v>27864</v>
      </c>
      <c r="F908" s="417">
        <v>5941</v>
      </c>
      <c r="G908" s="417">
        <v>-6652</v>
      </c>
      <c r="H908" s="417">
        <v>-73015</v>
      </c>
      <c r="I908" s="417">
        <v>0</v>
      </c>
      <c r="J908" s="378">
        <v>1.089E-4</v>
      </c>
      <c r="K908" s="378"/>
      <c r="L908" s="417">
        <v>26660</v>
      </c>
      <c r="M908" s="417">
        <v>18412</v>
      </c>
      <c r="N908" s="417">
        <v>8060</v>
      </c>
      <c r="O908" s="417">
        <v>0</v>
      </c>
      <c r="P908" s="417">
        <v>0</v>
      </c>
      <c r="Q908" s="378">
        <v>1.089E-4</v>
      </c>
      <c r="R908" s="378"/>
      <c r="S908" s="417">
        <v>-54708</v>
      </c>
      <c r="T908" s="417">
        <v>-54075</v>
      </c>
      <c r="U908" s="417">
        <v>-56808</v>
      </c>
      <c r="V908" s="417">
        <v>-73015</v>
      </c>
      <c r="W908" s="417">
        <v>0</v>
      </c>
      <c r="X908" s="378">
        <v>1.089E-4</v>
      </c>
      <c r="Z908" s="417">
        <v>43626</v>
      </c>
      <c r="AA908" s="417">
        <v>30649</v>
      </c>
      <c r="AB908" s="417">
        <v>30649</v>
      </c>
      <c r="AC908" s="417">
        <v>0</v>
      </c>
      <c r="AD908" s="417">
        <v>0</v>
      </c>
      <c r="AE908" s="378">
        <v>1.089E-4</v>
      </c>
      <c r="AF908" s="378"/>
      <c r="AG908" s="417">
        <v>14406</v>
      </c>
      <c r="AH908" s="417">
        <v>13075</v>
      </c>
      <c r="AI908" s="417">
        <v>11447</v>
      </c>
      <c r="AJ908" s="417">
        <v>0</v>
      </c>
      <c r="AK908" s="417">
        <v>0</v>
      </c>
      <c r="AL908" s="378">
        <v>1.089E-4</v>
      </c>
      <c r="AM908" s="378"/>
      <c r="AN908" s="417">
        <v>-2120</v>
      </c>
      <c r="AO908" s="417">
        <v>-2120</v>
      </c>
      <c r="AP908" s="417">
        <v>0</v>
      </c>
      <c r="AQ908" s="417">
        <v>0</v>
      </c>
      <c r="AR908" s="417">
        <v>0</v>
      </c>
    </row>
    <row r="909" spans="1:44">
      <c r="A909" s="377">
        <v>99831</v>
      </c>
      <c r="B909" t="s">
        <v>1604</v>
      </c>
      <c r="C909" s="378">
        <v>3.3500000000000001E-5</v>
      </c>
      <c r="D909" s="378"/>
      <c r="E909" s="417">
        <v>-4200</v>
      </c>
      <c r="F909" s="417">
        <v>-8739</v>
      </c>
      <c r="G909" s="417">
        <v>-15518</v>
      </c>
      <c r="H909" s="417">
        <v>-22461</v>
      </c>
      <c r="I909" s="417">
        <v>0</v>
      </c>
      <c r="J909" s="378">
        <v>3.3500000000000001E-5</v>
      </c>
      <c r="K909" s="378"/>
      <c r="L909" s="417">
        <v>8201</v>
      </c>
      <c r="M909" s="417">
        <v>5664</v>
      </c>
      <c r="N909" s="417">
        <v>2479</v>
      </c>
      <c r="O909" s="417">
        <v>0</v>
      </c>
      <c r="P909" s="417">
        <v>0</v>
      </c>
      <c r="Q909" s="378">
        <v>3.3500000000000001E-5</v>
      </c>
      <c r="R909" s="378"/>
      <c r="S909" s="417">
        <v>-16829</v>
      </c>
      <c r="T909" s="417">
        <v>-16635</v>
      </c>
      <c r="U909" s="417">
        <v>-17475</v>
      </c>
      <c r="V909" s="417">
        <v>-22461</v>
      </c>
      <c r="W909" s="417">
        <v>0</v>
      </c>
      <c r="X909" s="378">
        <v>3.3500000000000001E-5</v>
      </c>
      <c r="Z909" s="417">
        <v>13420</v>
      </c>
      <c r="AA909" s="417">
        <v>9428</v>
      </c>
      <c r="AB909" s="417">
        <v>9428</v>
      </c>
      <c r="AC909" s="417">
        <v>0</v>
      </c>
      <c r="AD909" s="417">
        <v>0</v>
      </c>
      <c r="AE909" s="378">
        <v>3.3500000000000001E-5</v>
      </c>
      <c r="AF909" s="378"/>
      <c r="AG909" s="417">
        <v>2758</v>
      </c>
      <c r="AH909" s="417">
        <v>2754</v>
      </c>
      <c r="AI909" s="417">
        <v>0</v>
      </c>
      <c r="AJ909" s="417">
        <v>0</v>
      </c>
      <c r="AK909" s="417">
        <v>0</v>
      </c>
      <c r="AL909" s="378">
        <v>3.3500000000000001E-5</v>
      </c>
      <c r="AM909" s="378"/>
      <c r="AN909" s="417">
        <v>-11750</v>
      </c>
      <c r="AO909" s="417">
        <v>-9950</v>
      </c>
      <c r="AP909" s="417">
        <v>-9950</v>
      </c>
      <c r="AQ909" s="417">
        <v>0</v>
      </c>
      <c r="AR909" s="417">
        <v>0</v>
      </c>
    </row>
    <row r="910" spans="1:44">
      <c r="A910" s="377">
        <v>99841</v>
      </c>
      <c r="B910" t="s">
        <v>1605</v>
      </c>
      <c r="C910" s="378">
        <v>5.5099999999999998E-5</v>
      </c>
      <c r="D910" s="378"/>
      <c r="E910" s="417">
        <v>21661</v>
      </c>
      <c r="F910" s="417">
        <v>12919</v>
      </c>
      <c r="G910" s="417">
        <v>-6630</v>
      </c>
      <c r="H910" s="417">
        <v>-36943</v>
      </c>
      <c r="I910" s="417">
        <v>0</v>
      </c>
      <c r="J910" s="378">
        <v>5.5099999999999998E-5</v>
      </c>
      <c r="K910" s="378"/>
      <c r="L910" s="417">
        <v>13489</v>
      </c>
      <c r="M910" s="417">
        <v>9316</v>
      </c>
      <c r="N910" s="417">
        <v>4078</v>
      </c>
      <c r="O910" s="417">
        <v>0</v>
      </c>
      <c r="P910" s="417">
        <v>0</v>
      </c>
      <c r="Q910" s="378">
        <v>5.5099999999999998E-5</v>
      </c>
      <c r="R910" s="378"/>
      <c r="S910" s="417">
        <v>-27680</v>
      </c>
      <c r="T910" s="417">
        <v>-27360</v>
      </c>
      <c r="U910" s="417">
        <v>-28743</v>
      </c>
      <c r="V910" s="417">
        <v>-36943</v>
      </c>
      <c r="W910" s="417">
        <v>0</v>
      </c>
      <c r="X910" s="378">
        <v>5.5099999999999998E-5</v>
      </c>
      <c r="Z910" s="417">
        <v>22073</v>
      </c>
      <c r="AA910" s="417">
        <v>15508</v>
      </c>
      <c r="AB910" s="417">
        <v>15508</v>
      </c>
      <c r="AC910" s="417">
        <v>0</v>
      </c>
      <c r="AD910" s="417">
        <v>0</v>
      </c>
      <c r="AE910" s="378">
        <v>5.5099999999999998E-5</v>
      </c>
      <c r="AF910" s="378"/>
      <c r="AG910" s="417">
        <v>17620</v>
      </c>
      <c r="AH910" s="417">
        <v>17618</v>
      </c>
      <c r="AI910" s="417">
        <v>2527</v>
      </c>
      <c r="AJ910" s="417">
        <v>0</v>
      </c>
      <c r="AK910" s="417">
        <v>0</v>
      </c>
      <c r="AL910" s="378">
        <v>5.5099999999999998E-5</v>
      </c>
      <c r="AM910" s="378"/>
      <c r="AN910" s="417">
        <v>-3841</v>
      </c>
      <c r="AO910" s="417">
        <v>-2163</v>
      </c>
      <c r="AP910" s="417">
        <v>0</v>
      </c>
      <c r="AQ910" s="417">
        <v>0</v>
      </c>
      <c r="AR910" s="417">
        <v>0</v>
      </c>
    </row>
    <row r="911" spans="1:44">
      <c r="A911" s="377">
        <v>99851</v>
      </c>
      <c r="B911" t="s">
        <v>1606</v>
      </c>
      <c r="C911" s="378">
        <v>7.6000000000000001E-6</v>
      </c>
      <c r="D911" s="378"/>
      <c r="E911" s="417">
        <v>-2871</v>
      </c>
      <c r="F911" s="417">
        <v>-3821</v>
      </c>
      <c r="G911" s="417">
        <v>-1435</v>
      </c>
      <c r="H911" s="417">
        <v>-5096</v>
      </c>
      <c r="I911" s="417">
        <v>0</v>
      </c>
      <c r="J911" s="378">
        <v>7.6000000000000001E-6</v>
      </c>
      <c r="K911" s="378"/>
      <c r="L911" s="417">
        <v>1861</v>
      </c>
      <c r="M911" s="417">
        <v>1285</v>
      </c>
      <c r="N911" s="417">
        <v>562</v>
      </c>
      <c r="O911" s="417">
        <v>0</v>
      </c>
      <c r="P911" s="417">
        <v>0</v>
      </c>
      <c r="Q911" s="378">
        <v>7.6000000000000001E-6</v>
      </c>
      <c r="R911" s="378"/>
      <c r="S911" s="417">
        <v>-3818</v>
      </c>
      <c r="T911" s="417">
        <v>-3774</v>
      </c>
      <c r="U911" s="417">
        <v>-3965</v>
      </c>
      <c r="V911" s="417">
        <v>-5096</v>
      </c>
      <c r="W911" s="417">
        <v>0</v>
      </c>
      <c r="X911" s="378">
        <v>7.6000000000000001E-6</v>
      </c>
      <c r="Z911" s="417">
        <v>3045</v>
      </c>
      <c r="AA911" s="417">
        <v>2139</v>
      </c>
      <c r="AB911" s="417">
        <v>2139</v>
      </c>
      <c r="AC911" s="417">
        <v>0</v>
      </c>
      <c r="AD911" s="417">
        <v>0</v>
      </c>
      <c r="AE911" s="378">
        <v>7.6000000000000001E-6</v>
      </c>
      <c r="AF911" s="378"/>
      <c r="AG911" s="417">
        <v>0</v>
      </c>
      <c r="AH911" s="417">
        <v>0</v>
      </c>
      <c r="AI911" s="417">
        <v>0</v>
      </c>
      <c r="AJ911" s="417">
        <v>0</v>
      </c>
      <c r="AK911" s="417">
        <v>0</v>
      </c>
      <c r="AL911" s="378">
        <v>7.6000000000000001E-6</v>
      </c>
      <c r="AM911" s="378"/>
      <c r="AN911" s="417">
        <v>-3959</v>
      </c>
      <c r="AO911" s="417">
        <v>-3471</v>
      </c>
      <c r="AP911" s="417">
        <v>-171</v>
      </c>
      <c r="AQ911" s="417">
        <v>0</v>
      </c>
      <c r="AR911" s="417">
        <v>0</v>
      </c>
    </row>
    <row r="912" spans="1:44">
      <c r="A912" s="377">
        <v>99901</v>
      </c>
      <c r="B912" t="s">
        <v>1607</v>
      </c>
      <c r="C912" s="378">
        <v>1.4748999999999999E-3</v>
      </c>
      <c r="D912" s="378"/>
      <c r="E912" s="417">
        <v>112355</v>
      </c>
      <c r="F912" s="417">
        <v>-146511</v>
      </c>
      <c r="G912" s="417">
        <v>-308585</v>
      </c>
      <c r="H912" s="417">
        <v>-988882</v>
      </c>
      <c r="I912" s="417">
        <v>0</v>
      </c>
      <c r="J912" s="378">
        <v>1.4748999999999999E-3</v>
      </c>
      <c r="K912" s="378"/>
      <c r="L912" s="417">
        <v>361067</v>
      </c>
      <c r="M912" s="417">
        <v>249364</v>
      </c>
      <c r="N912" s="417">
        <v>109160</v>
      </c>
      <c r="O912" s="417">
        <v>0</v>
      </c>
      <c r="P912" s="417">
        <v>0</v>
      </c>
      <c r="Q912" s="378">
        <v>1.4748999999999999E-3</v>
      </c>
      <c r="R912" s="378"/>
      <c r="S912" s="417">
        <v>-740943</v>
      </c>
      <c r="T912" s="417">
        <v>-732369</v>
      </c>
      <c r="U912" s="417">
        <v>-769383</v>
      </c>
      <c r="V912" s="417">
        <v>-988882</v>
      </c>
      <c r="W912" s="417">
        <v>0</v>
      </c>
      <c r="X912" s="378">
        <v>1.4748999999999999E-3</v>
      </c>
      <c r="Z912" s="417">
        <v>590848</v>
      </c>
      <c r="AA912" s="417">
        <v>415103</v>
      </c>
      <c r="AB912" s="417">
        <v>415100</v>
      </c>
      <c r="AC912" s="417">
        <v>0</v>
      </c>
      <c r="AD912" s="417">
        <v>0</v>
      </c>
      <c r="AE912" s="378">
        <v>1.4748999999999999E-3</v>
      </c>
      <c r="AF912" s="378"/>
      <c r="AG912" s="417">
        <v>0</v>
      </c>
      <c r="AH912" s="417">
        <v>0</v>
      </c>
      <c r="AI912" s="417">
        <v>0</v>
      </c>
      <c r="AJ912" s="417">
        <v>0</v>
      </c>
      <c r="AK912" s="417">
        <v>0</v>
      </c>
      <c r="AL912" s="378">
        <v>1.4748999999999999E-3</v>
      </c>
      <c r="AM912" s="378"/>
      <c r="AN912" s="417">
        <v>-98617</v>
      </c>
      <c r="AO912" s="417">
        <v>-78609</v>
      </c>
      <c r="AP912" s="417">
        <v>-63462</v>
      </c>
      <c r="AQ912" s="417">
        <v>0</v>
      </c>
      <c r="AR912" s="417">
        <v>0</v>
      </c>
    </row>
    <row r="913" spans="1:44">
      <c r="A913" s="377">
        <v>99911</v>
      </c>
      <c r="B913" t="s">
        <v>1608</v>
      </c>
      <c r="C913" s="378">
        <v>2.4499999999999999E-4</v>
      </c>
      <c r="D913" s="378"/>
      <c r="E913" s="417">
        <v>55459</v>
      </c>
      <c r="F913" s="417">
        <v>10875</v>
      </c>
      <c r="G913" s="417">
        <v>-32841</v>
      </c>
      <c r="H913" s="417">
        <v>-164266</v>
      </c>
      <c r="I913" s="417">
        <v>0</v>
      </c>
      <c r="J913" s="378">
        <v>2.4499999999999999E-4</v>
      </c>
      <c r="K913" s="378"/>
      <c r="L913" s="417">
        <v>59978</v>
      </c>
      <c r="M913" s="417">
        <v>41423</v>
      </c>
      <c r="N913" s="417">
        <v>18133</v>
      </c>
      <c r="O913" s="417">
        <v>0</v>
      </c>
      <c r="P913" s="417">
        <v>0</v>
      </c>
      <c r="Q913" s="378">
        <v>2.4499999999999999E-4</v>
      </c>
      <c r="R913" s="378"/>
      <c r="S913" s="417">
        <v>-123080</v>
      </c>
      <c r="T913" s="417">
        <v>-121656</v>
      </c>
      <c r="U913" s="417">
        <v>-127804</v>
      </c>
      <c r="V913" s="417">
        <v>-164266</v>
      </c>
      <c r="W913" s="417">
        <v>0</v>
      </c>
      <c r="X913" s="378">
        <v>2.4499999999999999E-4</v>
      </c>
      <c r="Z913" s="417">
        <v>98147</v>
      </c>
      <c r="AA913" s="417">
        <v>68954</v>
      </c>
      <c r="AB913" s="417">
        <v>68954</v>
      </c>
      <c r="AC913" s="417">
        <v>0</v>
      </c>
      <c r="AD913" s="417">
        <v>0</v>
      </c>
      <c r="AE913" s="378">
        <v>2.4499999999999999E-4</v>
      </c>
      <c r="AF913" s="378"/>
      <c r="AG913" s="417">
        <v>22153</v>
      </c>
      <c r="AH913" s="417">
        <v>22154</v>
      </c>
      <c r="AI913" s="417">
        <v>7876</v>
      </c>
      <c r="AJ913" s="417">
        <v>0</v>
      </c>
      <c r="AK913" s="417">
        <v>0</v>
      </c>
      <c r="AL913" s="378">
        <v>2.4499999999999999E-4</v>
      </c>
      <c r="AM913" s="378"/>
      <c r="AN913" s="417">
        <v>-1739</v>
      </c>
      <c r="AO913" s="417">
        <v>0</v>
      </c>
      <c r="AP913" s="417">
        <v>0</v>
      </c>
      <c r="AQ913" s="417">
        <v>0</v>
      </c>
      <c r="AR913" s="417">
        <v>0</v>
      </c>
    </row>
    <row r="914" spans="1:44">
      <c r="A914" s="377">
        <v>99921</v>
      </c>
      <c r="B914" t="s">
        <v>1609</v>
      </c>
      <c r="C914" s="378">
        <v>1.4080000000000001E-4</v>
      </c>
      <c r="D914" s="378"/>
      <c r="E914" s="417">
        <v>17409</v>
      </c>
      <c r="F914" s="417">
        <v>-5011</v>
      </c>
      <c r="G914" s="417">
        <v>-29214</v>
      </c>
      <c r="H914" s="417">
        <v>-94403</v>
      </c>
      <c r="I914" s="417">
        <v>0</v>
      </c>
      <c r="J914" s="378">
        <v>1.4080000000000001E-4</v>
      </c>
      <c r="K914" s="378"/>
      <c r="L914" s="417">
        <v>34469</v>
      </c>
      <c r="M914" s="417">
        <v>23805</v>
      </c>
      <c r="N914" s="417">
        <v>10421</v>
      </c>
      <c r="O914" s="417">
        <v>0</v>
      </c>
      <c r="P914" s="417">
        <v>0</v>
      </c>
      <c r="Q914" s="378">
        <v>1.4080000000000001E-4</v>
      </c>
      <c r="R914" s="378"/>
      <c r="S914" s="417">
        <v>-70733</v>
      </c>
      <c r="T914" s="417">
        <v>-69915</v>
      </c>
      <c r="U914" s="417">
        <v>-73448</v>
      </c>
      <c r="V914" s="417">
        <v>-94403</v>
      </c>
      <c r="W914" s="417">
        <v>0</v>
      </c>
      <c r="X914" s="378">
        <v>1.4080000000000001E-4</v>
      </c>
      <c r="Z914" s="417">
        <v>56405</v>
      </c>
      <c r="AA914" s="417">
        <v>39627</v>
      </c>
      <c r="AB914" s="417">
        <v>39627</v>
      </c>
      <c r="AC914" s="417">
        <v>0</v>
      </c>
      <c r="AD914" s="417">
        <v>0</v>
      </c>
      <c r="AE914" s="378">
        <v>1.4080000000000001E-4</v>
      </c>
      <c r="AF914" s="378"/>
      <c r="AG914" s="417">
        <v>7286</v>
      </c>
      <c r="AH914" s="417">
        <v>7286</v>
      </c>
      <c r="AI914" s="417">
        <v>0</v>
      </c>
      <c r="AJ914" s="417">
        <v>0</v>
      </c>
      <c r="AK914" s="417">
        <v>0</v>
      </c>
      <c r="AL914" s="378">
        <v>1.4080000000000001E-4</v>
      </c>
      <c r="AM914" s="378"/>
      <c r="AN914" s="417">
        <v>-10018</v>
      </c>
      <c r="AO914" s="417">
        <v>-5814</v>
      </c>
      <c r="AP914" s="417">
        <v>-5814</v>
      </c>
      <c r="AQ914" s="417">
        <v>0</v>
      </c>
      <c r="AR914" s="417">
        <v>0</v>
      </c>
    </row>
    <row r="915" spans="1:44">
      <c r="A915" s="377">
        <v>99931</v>
      </c>
      <c r="B915" t="s">
        <v>1610</v>
      </c>
      <c r="C915" s="378">
        <v>2.7399999999999999E-5</v>
      </c>
      <c r="D915" s="378"/>
      <c r="E915" s="417">
        <v>7836</v>
      </c>
      <c r="F915" s="417">
        <v>2255</v>
      </c>
      <c r="G915" s="417">
        <v>-3643</v>
      </c>
      <c r="H915" s="417">
        <v>-18371</v>
      </c>
      <c r="I915" s="417">
        <v>0</v>
      </c>
      <c r="J915" s="378">
        <v>2.7399999999999999E-5</v>
      </c>
      <c r="K915" s="378"/>
      <c r="L915" s="417">
        <v>6708</v>
      </c>
      <c r="M915" s="417">
        <v>4633</v>
      </c>
      <c r="N915" s="417">
        <v>2028</v>
      </c>
      <c r="O915" s="417">
        <v>0</v>
      </c>
      <c r="P915" s="417">
        <v>0</v>
      </c>
      <c r="Q915" s="378">
        <v>2.7399999999999999E-5</v>
      </c>
      <c r="R915" s="378"/>
      <c r="S915" s="417">
        <v>-13765</v>
      </c>
      <c r="T915" s="417">
        <v>-13606</v>
      </c>
      <c r="U915" s="417">
        <v>-14293</v>
      </c>
      <c r="V915" s="417">
        <v>-18371</v>
      </c>
      <c r="W915" s="417">
        <v>0</v>
      </c>
      <c r="X915" s="378">
        <v>2.7399999999999999E-5</v>
      </c>
      <c r="Z915" s="417">
        <v>10976</v>
      </c>
      <c r="AA915" s="417">
        <v>7712</v>
      </c>
      <c r="AB915" s="417">
        <v>7712</v>
      </c>
      <c r="AC915" s="417">
        <v>0</v>
      </c>
      <c r="AD915" s="417">
        <v>0</v>
      </c>
      <c r="AE915" s="378">
        <v>2.7399999999999999E-5</v>
      </c>
      <c r="AF915" s="378"/>
      <c r="AG915" s="417">
        <v>3917</v>
      </c>
      <c r="AH915" s="417">
        <v>3516</v>
      </c>
      <c r="AI915" s="417">
        <v>910</v>
      </c>
      <c r="AJ915" s="417">
        <v>0</v>
      </c>
      <c r="AK915" s="417">
        <v>0</v>
      </c>
      <c r="AL915" s="378">
        <v>2.7399999999999999E-5</v>
      </c>
      <c r="AM915" s="378"/>
      <c r="AN915" s="417">
        <v>0</v>
      </c>
      <c r="AO915" s="417">
        <v>0</v>
      </c>
      <c r="AP915" s="417">
        <v>0</v>
      </c>
      <c r="AQ915" s="417">
        <v>0</v>
      </c>
      <c r="AR915" s="417">
        <v>0</v>
      </c>
    </row>
    <row r="916" spans="1:44">
      <c r="A916" s="377">
        <v>99941</v>
      </c>
      <c r="B916" t="s">
        <v>1611</v>
      </c>
      <c r="C916" s="378">
        <v>5.52E-5</v>
      </c>
      <c r="D916" s="378"/>
      <c r="E916" s="417">
        <v>-4778</v>
      </c>
      <c r="F916" s="417">
        <v>-14711</v>
      </c>
      <c r="G916" s="417">
        <v>-11830</v>
      </c>
      <c r="H916" s="417">
        <v>-37010</v>
      </c>
      <c r="I916" s="417">
        <v>0</v>
      </c>
      <c r="J916" s="378">
        <v>5.52E-5</v>
      </c>
      <c r="K916" s="378"/>
      <c r="L916" s="417">
        <v>13513</v>
      </c>
      <c r="M916" s="417">
        <v>9333</v>
      </c>
      <c r="N916" s="417">
        <v>4085</v>
      </c>
      <c r="O916" s="417">
        <v>0</v>
      </c>
      <c r="P916" s="417">
        <v>0</v>
      </c>
      <c r="Q916" s="378">
        <v>5.52E-5</v>
      </c>
      <c r="R916" s="378"/>
      <c r="S916" s="417">
        <v>-27731</v>
      </c>
      <c r="T916" s="417">
        <v>-27410</v>
      </c>
      <c r="U916" s="417">
        <v>-28795</v>
      </c>
      <c r="V916" s="417">
        <v>-37010</v>
      </c>
      <c r="W916" s="417">
        <v>0</v>
      </c>
      <c r="X916" s="378">
        <v>5.52E-5</v>
      </c>
      <c r="Z916" s="417">
        <v>22113</v>
      </c>
      <c r="AA916" s="417">
        <v>15536</v>
      </c>
      <c r="AB916" s="417">
        <v>15536</v>
      </c>
      <c r="AC916" s="417">
        <v>0</v>
      </c>
      <c r="AD916" s="417">
        <v>0</v>
      </c>
      <c r="AE916" s="378">
        <v>5.52E-5</v>
      </c>
      <c r="AF916" s="378"/>
      <c r="AG916" s="417">
        <v>0</v>
      </c>
      <c r="AH916" s="417">
        <v>0</v>
      </c>
      <c r="AI916" s="417">
        <v>0</v>
      </c>
      <c r="AJ916" s="417">
        <v>0</v>
      </c>
      <c r="AK916" s="417">
        <v>0</v>
      </c>
      <c r="AL916" s="378">
        <v>5.52E-5</v>
      </c>
      <c r="AM916" s="378"/>
      <c r="AN916" s="417">
        <v>-12673</v>
      </c>
      <c r="AO916" s="417">
        <v>-12170</v>
      </c>
      <c r="AP916" s="417">
        <v>-2656</v>
      </c>
      <c r="AQ916" s="417">
        <v>0</v>
      </c>
      <c r="AR916" s="417">
        <v>0</v>
      </c>
    </row>
    <row r="917" spans="1:44">
      <c r="A917" s="377">
        <v>99991</v>
      </c>
      <c r="B917" t="s">
        <v>1612</v>
      </c>
      <c r="C917" s="378">
        <v>4.4989999999999999E-4</v>
      </c>
      <c r="D917" s="378"/>
      <c r="E917" s="417">
        <v>45030</v>
      </c>
      <c r="F917" s="417">
        <v>-38422</v>
      </c>
      <c r="G917" s="417">
        <v>-66388</v>
      </c>
      <c r="H917" s="417">
        <v>-301646</v>
      </c>
      <c r="I917" s="417">
        <v>0</v>
      </c>
      <c r="J917" s="378">
        <v>4.4989999999999999E-4</v>
      </c>
      <c r="K917" s="378"/>
      <c r="L917" s="417">
        <v>110139</v>
      </c>
      <c r="M917" s="417">
        <v>76065</v>
      </c>
      <c r="N917" s="417">
        <v>33298</v>
      </c>
      <c r="O917" s="417">
        <v>0</v>
      </c>
      <c r="P917" s="417">
        <v>0</v>
      </c>
      <c r="Q917" s="378">
        <v>4.4989999999999999E-4</v>
      </c>
      <c r="R917" s="378"/>
      <c r="S917" s="417">
        <v>-226015</v>
      </c>
      <c r="T917" s="417">
        <v>-223400</v>
      </c>
      <c r="U917" s="417">
        <v>-234691</v>
      </c>
      <c r="V917" s="417">
        <v>-301646</v>
      </c>
      <c r="W917" s="417">
        <v>0</v>
      </c>
      <c r="X917" s="378">
        <v>4.4989999999999999E-4</v>
      </c>
      <c r="Z917" s="417">
        <v>180231</v>
      </c>
      <c r="AA917" s="417">
        <v>126622</v>
      </c>
      <c r="AB917" s="417">
        <v>126621</v>
      </c>
      <c r="AC917" s="417">
        <v>0</v>
      </c>
      <c r="AD917" s="417">
        <v>0</v>
      </c>
      <c r="AE917" s="378">
        <v>4.4989999999999999E-4</v>
      </c>
      <c r="AF917" s="378"/>
      <c r="AG917" s="417">
        <v>8383</v>
      </c>
      <c r="AH917" s="417">
        <v>8383</v>
      </c>
      <c r="AI917" s="417">
        <v>8384</v>
      </c>
      <c r="AJ917" s="417">
        <v>0</v>
      </c>
      <c r="AK917" s="417">
        <v>0</v>
      </c>
      <c r="AL917" s="378">
        <v>4.4989999999999999E-4</v>
      </c>
      <c r="AM917" s="378"/>
      <c r="AN917" s="417">
        <v>-27708</v>
      </c>
      <c r="AO917" s="417">
        <v>-26092</v>
      </c>
      <c r="AP917" s="417">
        <v>0</v>
      </c>
      <c r="AQ917" s="417">
        <v>0</v>
      </c>
      <c r="AR917" s="417">
        <v>0</v>
      </c>
    </row>
    <row r="918" spans="1:44">
      <c r="A918" s="377">
        <v>99999</v>
      </c>
      <c r="B918" t="s">
        <v>1613</v>
      </c>
      <c r="C918" s="378">
        <v>9.9799999999999997E-4</v>
      </c>
      <c r="D918" s="378"/>
      <c r="E918" s="417">
        <v>241674</v>
      </c>
      <c r="F918" s="417">
        <v>29156</v>
      </c>
      <c r="G918" s="417">
        <v>-141060</v>
      </c>
      <c r="H918" s="417">
        <v>-669133</v>
      </c>
      <c r="I918" s="417">
        <v>0</v>
      </c>
      <c r="J918" s="378">
        <v>9.9799999999999997E-4</v>
      </c>
      <c r="K918" s="378"/>
      <c r="L918" s="417">
        <v>244318</v>
      </c>
      <c r="M918" s="417">
        <v>168734</v>
      </c>
      <c r="N918" s="417">
        <v>73864</v>
      </c>
      <c r="O918" s="417">
        <v>0</v>
      </c>
      <c r="P918" s="417">
        <v>0</v>
      </c>
      <c r="Q918" s="378">
        <v>9.9799999999999997E-4</v>
      </c>
      <c r="R918" s="378"/>
      <c r="S918" s="417">
        <v>-501363</v>
      </c>
      <c r="T918" s="417">
        <v>-495562</v>
      </c>
      <c r="U918" s="417">
        <v>-520608</v>
      </c>
      <c r="V918" s="417">
        <v>-669133</v>
      </c>
      <c r="W918" s="417">
        <v>0</v>
      </c>
      <c r="X918" s="378">
        <v>9.9799999999999997E-4</v>
      </c>
      <c r="Z918" s="417">
        <v>399801</v>
      </c>
      <c r="AA918" s="417">
        <v>280882</v>
      </c>
      <c r="AB918" s="417">
        <v>280880</v>
      </c>
      <c r="AC918" s="417">
        <v>0</v>
      </c>
      <c r="AD918" s="417">
        <v>0</v>
      </c>
      <c r="AE918" s="378">
        <v>9.9799999999999997E-4</v>
      </c>
      <c r="AF918" s="378"/>
      <c r="AG918" s="417">
        <v>98918</v>
      </c>
      <c r="AH918" s="417">
        <v>75102</v>
      </c>
      <c r="AI918" s="417">
        <v>24804</v>
      </c>
      <c r="AJ918" s="417">
        <v>0</v>
      </c>
      <c r="AK918" s="417">
        <v>0</v>
      </c>
      <c r="AL918" s="378">
        <v>9.9799999999999997E-4</v>
      </c>
      <c r="AM918" s="378"/>
      <c r="AN918" s="417">
        <v>0</v>
      </c>
      <c r="AO918" s="417">
        <v>0</v>
      </c>
      <c r="AP918" s="417">
        <v>0</v>
      </c>
      <c r="AQ918" s="417">
        <v>0</v>
      </c>
      <c r="AR918" s="417">
        <v>0</v>
      </c>
    </row>
    <row r="919" spans="1:44">
      <c r="C919" s="378"/>
      <c r="D919" s="378"/>
      <c r="E919" s="417"/>
      <c r="F919" s="417"/>
      <c r="G919" s="417"/>
      <c r="H919" s="417"/>
      <c r="I919" s="417"/>
      <c r="J919" s="378"/>
      <c r="K919" s="378"/>
      <c r="L919" s="417"/>
      <c r="M919" s="417"/>
      <c r="N919" s="417"/>
      <c r="O919" s="417"/>
      <c r="Q919" s="378"/>
      <c r="R919" s="378"/>
      <c r="S919" s="417"/>
      <c r="T919" s="417"/>
      <c r="U919" s="417"/>
      <c r="V919" s="417"/>
      <c r="W919" s="417"/>
      <c r="X919" s="378"/>
      <c r="Z919" s="417"/>
      <c r="AA919" s="417"/>
      <c r="AB919" s="417"/>
      <c r="AC919" s="417"/>
      <c r="AD919" s="417"/>
      <c r="AE919" s="378"/>
      <c r="AF919" s="378"/>
      <c r="AG919" s="417"/>
      <c r="AH919" s="417"/>
      <c r="AI919" s="417"/>
      <c r="AJ919" s="417"/>
      <c r="AK919" s="417"/>
      <c r="AL919" s="378"/>
      <c r="AM919" s="378"/>
      <c r="AN919" s="417"/>
      <c r="AO919" s="417"/>
      <c r="AP919" s="417"/>
      <c r="AQ919" s="417"/>
      <c r="AR919" s="417"/>
    </row>
    <row r="920" spans="1:44">
      <c r="C920" s="378">
        <f>SUM(C7:C919)</f>
        <v>1.0000000000000004</v>
      </c>
      <c r="D920" s="378"/>
      <c r="E920" s="418">
        <f>SUM(E7:E919)</f>
        <v>143116385</v>
      </c>
      <c r="F920" s="418">
        <f t="shared" ref="F920:H920" si="1">SUM(F7:F919)</f>
        <v>-45978117</v>
      </c>
      <c r="G920" s="418">
        <f t="shared" si="1"/>
        <v>-166196023</v>
      </c>
      <c r="H920" s="418">
        <f t="shared" si="1"/>
        <v>-670474008</v>
      </c>
      <c r="I920" s="417">
        <v>0</v>
      </c>
      <c r="J920" s="378">
        <f>SUM(J7:J919)</f>
        <v>1.0000000000000004</v>
      </c>
      <c r="K920" s="378"/>
      <c r="L920" s="418">
        <f>SUM(L7:L919)</f>
        <v>244807986</v>
      </c>
      <c r="M920" s="418">
        <f t="shared" ref="M920:N920" si="2">SUM(M7:M919)</f>
        <v>169071979</v>
      </c>
      <c r="N920" s="418">
        <f t="shared" si="2"/>
        <v>74012007</v>
      </c>
      <c r="O920" s="417">
        <v>0</v>
      </c>
      <c r="Q920" s="378">
        <f>SUM(Q7:Q919)</f>
        <v>1.0000000000000004</v>
      </c>
      <c r="R920" s="378"/>
      <c r="S920" s="418">
        <f>SUM(S7:S919)</f>
        <v>-502367976</v>
      </c>
      <c r="T920" s="418">
        <f t="shared" ref="T920:V920" si="3">SUM(T7:T919)</f>
        <v>-496555005</v>
      </c>
      <c r="U920" s="418">
        <f t="shared" si="3"/>
        <v>-521651015</v>
      </c>
      <c r="V920" s="418">
        <f t="shared" si="3"/>
        <v>-670474008</v>
      </c>
      <c r="W920" s="417">
        <v>0</v>
      </c>
      <c r="X920" s="378">
        <f>SUM(X7:X919)</f>
        <v>1.0000000000000004</v>
      </c>
      <c r="Z920" s="418">
        <f>SUM(Z7:Z919)</f>
        <v>400602003</v>
      </c>
      <c r="AA920" s="418">
        <f t="shared" ref="AA920:AB920" si="4">SUM(AA7:AA919)</f>
        <v>281445003</v>
      </c>
      <c r="AB920" s="418">
        <f t="shared" si="4"/>
        <v>281442998</v>
      </c>
      <c r="AC920" s="417">
        <v>0</v>
      </c>
      <c r="AD920" s="417">
        <v>0</v>
      </c>
      <c r="AE920" s="378">
        <f>SUM(AE7:AE919)</f>
        <v>1.0000000000000004</v>
      </c>
      <c r="AF920" s="378"/>
      <c r="AG920" s="418">
        <f>SUM(AG7:AG919)</f>
        <v>27795704</v>
      </c>
      <c r="AH920" s="418">
        <f t="shared" ref="AH920:AI920" si="5">SUM(AH7:AH919)</f>
        <v>24193338</v>
      </c>
      <c r="AI920" s="418">
        <f t="shared" si="5"/>
        <v>12382210</v>
      </c>
      <c r="AJ920" s="417">
        <v>0</v>
      </c>
      <c r="AK920" s="417">
        <v>0</v>
      </c>
      <c r="AL920" s="378">
        <f>SUM(AL7:AL919)</f>
        <v>1.0000000000000004</v>
      </c>
      <c r="AM920" s="378"/>
      <c r="AN920" s="418">
        <f>SUM(AN7:AN919)</f>
        <v>-27795592</v>
      </c>
      <c r="AO920" s="418">
        <f t="shared" ref="AO920:AP920" si="6">SUM(AO7:AO919)</f>
        <v>-24193280</v>
      </c>
      <c r="AP920" s="418">
        <f t="shared" si="6"/>
        <v>-12382223</v>
      </c>
      <c r="AQ920" s="417">
        <v>0</v>
      </c>
      <c r="AR920" s="417">
        <v>0</v>
      </c>
    </row>
    <row r="921" spans="1:44">
      <c r="C921" s="378"/>
      <c r="D921" s="378"/>
      <c r="E921" s="417"/>
      <c r="F921" s="417"/>
      <c r="G921" s="417"/>
      <c r="H921" s="417"/>
      <c r="I921" s="417"/>
    </row>
    <row r="922" spans="1:44">
      <c r="C922" s="378"/>
      <c r="D922" s="378"/>
      <c r="E922" s="417"/>
      <c r="F922" s="417"/>
      <c r="G922" s="417"/>
      <c r="H922" s="417"/>
      <c r="I922" s="417"/>
    </row>
    <row r="923" spans="1:44">
      <c r="C923" s="378"/>
      <c r="D923" s="378"/>
      <c r="E923" s="417"/>
      <c r="F923" s="417"/>
      <c r="G923" s="417"/>
      <c r="H923" s="417"/>
      <c r="I923" s="417"/>
    </row>
    <row r="924" spans="1:44">
      <c r="C924" s="378"/>
      <c r="D924" s="378"/>
      <c r="E924" s="417"/>
      <c r="F924" s="417"/>
      <c r="G924" s="417"/>
      <c r="H924" s="417"/>
      <c r="I924" s="417"/>
    </row>
    <row r="925" spans="1:44">
      <c r="C925" s="378"/>
      <c r="D925" s="378"/>
      <c r="E925" s="417"/>
      <c r="F925" s="417"/>
      <c r="G925" s="417"/>
      <c r="H925" s="417"/>
      <c r="I925" s="417"/>
    </row>
    <row r="926" spans="1:44">
      <c r="C926" s="378"/>
      <c r="D926" s="378"/>
      <c r="E926" s="417"/>
      <c r="F926" s="417"/>
      <c r="G926" s="417"/>
      <c r="H926" s="417"/>
      <c r="I926" s="417"/>
    </row>
    <row r="927" spans="1:44">
      <c r="C927" s="378"/>
      <c r="D927" s="378"/>
      <c r="E927" s="417"/>
      <c r="F927" s="417"/>
      <c r="G927" s="417"/>
      <c r="H927" s="417"/>
      <c r="I927" s="417"/>
    </row>
    <row r="928" spans="1:44">
      <c r="C928" s="378"/>
      <c r="D928" s="378"/>
      <c r="E928" s="417"/>
      <c r="F928" s="417"/>
      <c r="G928" s="417"/>
      <c r="H928" s="417"/>
      <c r="I928" s="417"/>
    </row>
    <row r="929" spans="3:9">
      <c r="C929" s="378"/>
      <c r="D929" s="378"/>
      <c r="E929" s="417"/>
      <c r="F929" s="417"/>
      <c r="G929" s="417"/>
      <c r="H929" s="417"/>
      <c r="I929" s="417"/>
    </row>
    <row r="930" spans="3:9">
      <c r="C930" s="378"/>
      <c r="D930" s="378"/>
      <c r="E930" s="417"/>
      <c r="F930" s="417"/>
      <c r="G930" s="417"/>
      <c r="H930" s="417"/>
      <c r="I930" s="417"/>
    </row>
    <row r="931" spans="3:9">
      <c r="E931" s="417"/>
      <c r="F931" s="417"/>
      <c r="G931" s="417"/>
      <c r="H931" s="417" t="s">
        <v>1924</v>
      </c>
      <c r="I931" s="417"/>
    </row>
    <row r="932" spans="3:9">
      <c r="C932" s="341"/>
      <c r="E932" s="417"/>
      <c r="F932" s="417"/>
      <c r="G932" s="417"/>
      <c r="H932" s="417"/>
      <c r="I932" s="417"/>
    </row>
    <row r="933" spans="3:9">
      <c r="C933" s="419"/>
      <c r="E933" s="417"/>
      <c r="F933" s="417"/>
      <c r="G933" s="417"/>
      <c r="H933" s="417"/>
      <c r="I933" s="417"/>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N923"/>
  <sheetViews>
    <sheetView topLeftCell="G1" zoomScaleNormal="100" workbookViewId="0">
      <pane ySplit="7" topLeftCell="A8" activePane="bottomLeft" state="frozen"/>
      <selection pane="bottomLeft" activeCell="G1" sqref="G1"/>
    </sheetView>
  </sheetViews>
  <sheetFormatPr defaultColWidth="9.140625" defaultRowHeight="15"/>
  <cols>
    <col min="1" max="1" width="15.28515625" style="374" customWidth="1"/>
    <col min="2" max="2" width="55.5703125" style="209" bestFit="1" customWidth="1"/>
    <col min="3" max="3" width="13.85546875" style="209" customWidth="1"/>
    <col min="4" max="4" width="4.140625" customWidth="1"/>
    <col min="5" max="9" width="19.28515625" style="209" customWidth="1"/>
    <col min="10" max="10" width="4.140625" style="209" customWidth="1"/>
    <col min="11" max="15" width="19.28515625" style="209" customWidth="1"/>
    <col min="16" max="16" width="4.140625" style="209" customWidth="1"/>
    <col min="17" max="21" width="19.28515625" style="209" customWidth="1"/>
    <col min="22" max="22" width="4.140625" style="209" customWidth="1"/>
    <col min="23" max="27" width="19.28515625" style="209" customWidth="1"/>
    <col min="28" max="28" width="4.140625" style="209" customWidth="1"/>
    <col min="29" max="33" width="19.28515625" style="209" customWidth="1"/>
    <col min="34" max="34" width="4.140625" style="209" customWidth="1"/>
    <col min="35" max="39" width="19.28515625" style="209" customWidth="1"/>
    <col min="40" max="16384" width="9.140625" style="209"/>
  </cols>
  <sheetData>
    <row r="1" spans="1:92" s="47" customFormat="1">
      <c r="A1" s="96"/>
      <c r="B1" s="47" t="s">
        <v>711</v>
      </c>
      <c r="C1" s="341">
        <f>SUM(C8:C923)</f>
        <v>1.0000000000000002</v>
      </c>
      <c r="D1"/>
      <c r="E1" s="248">
        <f>SUM(E9:E919)</f>
        <v>344174210</v>
      </c>
      <c r="F1" s="248">
        <f>SUM(F9:F919)</f>
        <v>458020984</v>
      </c>
      <c r="G1" s="248">
        <f>SUM(G9:G919)</f>
        <v>268949594</v>
      </c>
      <c r="H1" s="248">
        <f>SUM(H9:H919)</f>
        <v>148815184</v>
      </c>
      <c r="I1" s="53">
        <v>0</v>
      </c>
      <c r="J1" s="245"/>
      <c r="K1" s="246">
        <f>SUM(K9:K919)</f>
        <v>185400506</v>
      </c>
      <c r="L1" s="246">
        <f>SUM(L9:L919)</f>
        <v>170786175</v>
      </c>
      <c r="M1" s="246">
        <f>SUM(M9:M919)</f>
        <v>95053641</v>
      </c>
      <c r="N1" s="246">
        <f>SUM(N9:N919)</f>
        <v>0</v>
      </c>
      <c r="O1" s="246">
        <f>SUM(O9:O919)</f>
        <v>0</v>
      </c>
      <c r="Q1" s="246">
        <f>SUM(Q9:Q919)</f>
        <v>12018444</v>
      </c>
      <c r="R1" s="246">
        <f>SUM(R9:R919)</f>
        <v>168097287</v>
      </c>
      <c r="S1" s="246">
        <f>SUM(S9:S919)</f>
        <v>173910030</v>
      </c>
      <c r="T1" s="246">
        <f>SUM(T9:T919)</f>
        <v>148815184</v>
      </c>
      <c r="U1" s="246">
        <f>SUM(U9:U919)</f>
        <v>0</v>
      </c>
      <c r="W1" s="247">
        <f>SUM(W9:W919)</f>
        <v>146769289</v>
      </c>
      <c r="X1" s="247">
        <f>SUM(X9:X919)</f>
        <v>119151545</v>
      </c>
      <c r="Y1" s="247">
        <f>SUM(Y9:Y919)</f>
        <v>0</v>
      </c>
      <c r="Z1" s="247">
        <f>SUM(Z9:Z919)</f>
        <v>0</v>
      </c>
      <c r="AA1" s="247">
        <f>SUM(AA9:AA919)</f>
        <v>0</v>
      </c>
      <c r="AB1" s="248"/>
      <c r="AC1" s="247">
        <f>SUM(AC9:AC919)</f>
        <v>18775436</v>
      </c>
      <c r="AD1" s="247">
        <f>SUM(AD9:AD919)</f>
        <v>15399142</v>
      </c>
      <c r="AE1" s="247">
        <f>SUM(AE9:AE919)</f>
        <v>11796776</v>
      </c>
      <c r="AF1" s="247">
        <f>SUM(AF9:AF919)</f>
        <v>0</v>
      </c>
      <c r="AG1" s="247">
        <f>SUM(AG9:AG919)</f>
        <v>0</v>
      </c>
      <c r="AH1" s="247"/>
      <c r="AI1" s="247">
        <f>SUM(AI9:AI919)</f>
        <v>-18789465</v>
      </c>
      <c r="AJ1" s="247">
        <f>SUM(AJ9:AJ919)</f>
        <v>-15413165</v>
      </c>
      <c r="AK1" s="247">
        <f>SUM(AK9:AK919)</f>
        <v>-11810853</v>
      </c>
      <c r="AL1" s="247">
        <f>SUM(AL9:AL919)</f>
        <v>0</v>
      </c>
      <c r="AM1" s="247">
        <f>SUM(AM9:AM919)</f>
        <v>-15413165</v>
      </c>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row>
    <row r="2" spans="1:92">
      <c r="A2" s="74" t="str">
        <f>+'Changes to Update Template '!C47</f>
        <v>Measurement date 6/30/2022</v>
      </c>
    </row>
    <row r="3" spans="1:92">
      <c r="C3" s="376">
        <f>+C1-1</f>
        <v>0</v>
      </c>
      <c r="E3" s="363"/>
    </row>
    <row r="4" spans="1:92">
      <c r="E4" s="363"/>
    </row>
    <row r="5" spans="1:92">
      <c r="E5" s="363"/>
    </row>
    <row r="6" spans="1:92" s="47" customFormat="1">
      <c r="A6" s="96"/>
      <c r="D6"/>
      <c r="E6" s="375">
        <v>2021</v>
      </c>
      <c r="F6" s="375">
        <v>2022</v>
      </c>
      <c r="G6" s="375">
        <v>2023</v>
      </c>
      <c r="H6" s="375">
        <v>2024</v>
      </c>
      <c r="I6" s="375">
        <v>2025</v>
      </c>
      <c r="K6" s="7">
        <v>2020</v>
      </c>
      <c r="L6" s="7">
        <v>2021</v>
      </c>
      <c r="M6" s="7">
        <v>2022</v>
      </c>
      <c r="N6" s="7">
        <v>2023</v>
      </c>
      <c r="O6" s="7">
        <v>2024</v>
      </c>
      <c r="Q6" s="7">
        <v>2020</v>
      </c>
      <c r="R6" s="7">
        <v>2021</v>
      </c>
      <c r="S6" s="7">
        <v>2022</v>
      </c>
      <c r="T6" s="7">
        <v>2023</v>
      </c>
      <c r="U6" s="7">
        <v>2024</v>
      </c>
      <c r="W6" s="7">
        <v>2020</v>
      </c>
      <c r="X6" s="7">
        <v>2021</v>
      </c>
      <c r="Y6" s="7">
        <v>2022</v>
      </c>
      <c r="Z6" s="7">
        <v>2023</v>
      </c>
      <c r="AA6" s="7">
        <v>2024</v>
      </c>
      <c r="AC6" s="7">
        <v>2020</v>
      </c>
      <c r="AD6" s="7">
        <v>2021</v>
      </c>
      <c r="AE6" s="7">
        <v>2022</v>
      </c>
      <c r="AF6" s="7">
        <v>2023</v>
      </c>
      <c r="AG6" s="7">
        <v>2024</v>
      </c>
      <c r="AI6" s="7">
        <v>2020</v>
      </c>
      <c r="AJ6" s="7">
        <v>2021</v>
      </c>
      <c r="AK6" s="7">
        <v>2022</v>
      </c>
      <c r="AL6" s="7">
        <v>2023</v>
      </c>
      <c r="AM6" s="7">
        <v>2024</v>
      </c>
    </row>
    <row r="7" spans="1:92" ht="90">
      <c r="A7" s="7" t="s">
        <v>0</v>
      </c>
      <c r="B7" s="7" t="s">
        <v>1</v>
      </c>
      <c r="C7" s="7" t="s">
        <v>262</v>
      </c>
      <c r="E7" s="7" t="s">
        <v>698</v>
      </c>
      <c r="F7" s="7" t="s">
        <v>698</v>
      </c>
      <c r="G7" s="7" t="s">
        <v>698</v>
      </c>
      <c r="H7" s="7" t="s">
        <v>698</v>
      </c>
      <c r="I7" s="7" t="s">
        <v>698</v>
      </c>
      <c r="K7" s="7" t="s">
        <v>5</v>
      </c>
      <c r="L7" s="7" t="s">
        <v>5</v>
      </c>
      <c r="M7" s="7" t="s">
        <v>5</v>
      </c>
      <c r="N7" s="7" t="s">
        <v>5</v>
      </c>
      <c r="O7" s="7" t="s">
        <v>5</v>
      </c>
      <c r="Q7" s="7" t="s">
        <v>6</v>
      </c>
      <c r="R7" s="7" t="s">
        <v>6</v>
      </c>
      <c r="S7" s="7" t="s">
        <v>6</v>
      </c>
      <c r="T7" s="7" t="s">
        <v>6</v>
      </c>
      <c r="U7" s="7" t="s">
        <v>6</v>
      </c>
      <c r="W7" s="7" t="s">
        <v>7</v>
      </c>
      <c r="X7" s="7" t="s">
        <v>7</v>
      </c>
      <c r="Y7" s="7" t="s">
        <v>7</v>
      </c>
      <c r="Z7" s="7" t="s">
        <v>7</v>
      </c>
      <c r="AA7" s="7" t="s">
        <v>7</v>
      </c>
      <c r="AC7" s="7" t="s">
        <v>699</v>
      </c>
      <c r="AD7" s="7" t="s">
        <v>699</v>
      </c>
      <c r="AE7" s="7" t="s">
        <v>699</v>
      </c>
      <c r="AF7" s="7" t="s">
        <v>699</v>
      </c>
      <c r="AG7" s="7" t="s">
        <v>699</v>
      </c>
      <c r="AI7" s="7" t="s">
        <v>700</v>
      </c>
      <c r="AJ7" s="7" t="s">
        <v>700</v>
      </c>
      <c r="AK7" s="7" t="s">
        <v>700</v>
      </c>
      <c r="AL7" s="7" t="s">
        <v>700</v>
      </c>
      <c r="AM7" s="7" t="s">
        <v>700</v>
      </c>
    </row>
    <row r="8" spans="1:92">
      <c r="A8" s="356">
        <v>91414</v>
      </c>
      <c r="B8" s="357" t="s">
        <v>3608</v>
      </c>
      <c r="C8" s="358">
        <v>2.4499999999999999E-5</v>
      </c>
      <c r="E8" s="2">
        <v>14618</v>
      </c>
      <c r="F8" s="2">
        <v>17407</v>
      </c>
      <c r="G8" s="2">
        <v>12775</v>
      </c>
      <c r="H8" s="2">
        <v>3646</v>
      </c>
      <c r="I8" s="2">
        <v>0</v>
      </c>
      <c r="J8" s="2"/>
      <c r="K8" s="2">
        <v>4543</v>
      </c>
      <c r="L8" s="2">
        <v>4184</v>
      </c>
      <c r="M8" s="2">
        <v>2329</v>
      </c>
      <c r="N8" s="2">
        <v>0</v>
      </c>
      <c r="O8" s="2">
        <v>0</v>
      </c>
      <c r="P8" s="2"/>
      <c r="Q8" s="2">
        <v>294</v>
      </c>
      <c r="R8" s="2">
        <v>4119</v>
      </c>
      <c r="S8" s="2">
        <v>4261</v>
      </c>
      <c r="T8" s="2">
        <v>3646</v>
      </c>
      <c r="U8" s="2">
        <v>0</v>
      </c>
      <c r="V8" s="2"/>
      <c r="W8" s="2">
        <v>3596</v>
      </c>
      <c r="X8" s="2">
        <v>2919</v>
      </c>
      <c r="Y8" s="2">
        <v>0</v>
      </c>
      <c r="Z8" s="2">
        <v>0</v>
      </c>
      <c r="AA8" s="2">
        <v>0</v>
      </c>
      <c r="AB8" s="2"/>
      <c r="AC8" s="2">
        <v>6185</v>
      </c>
      <c r="AD8" s="2">
        <v>6185</v>
      </c>
      <c r="AE8" s="2">
        <v>6185</v>
      </c>
      <c r="AF8" s="2">
        <v>0</v>
      </c>
      <c r="AG8" s="2">
        <v>0</v>
      </c>
      <c r="AH8" s="2"/>
      <c r="AI8" s="2">
        <v>0</v>
      </c>
      <c r="AJ8" s="2">
        <v>0</v>
      </c>
      <c r="AK8" s="2">
        <v>0</v>
      </c>
      <c r="AL8" s="2">
        <v>0</v>
      </c>
      <c r="AM8" s="2">
        <v>0</v>
      </c>
    </row>
    <row r="9" spans="1:92">
      <c r="A9" s="344">
        <v>92414</v>
      </c>
      <c r="B9" s="345" t="s">
        <v>70</v>
      </c>
      <c r="C9" s="369"/>
      <c r="E9" s="2">
        <v>0</v>
      </c>
      <c r="F9" s="2">
        <v>0</v>
      </c>
      <c r="G9" s="2">
        <v>0</v>
      </c>
      <c r="H9" s="2">
        <v>0</v>
      </c>
      <c r="I9" s="2">
        <v>0</v>
      </c>
      <c r="J9" s="2"/>
      <c r="K9" s="2">
        <v>0</v>
      </c>
      <c r="L9" s="2">
        <v>0</v>
      </c>
      <c r="M9" s="2">
        <v>0</v>
      </c>
      <c r="N9" s="2">
        <v>0</v>
      </c>
      <c r="O9" s="2">
        <v>0</v>
      </c>
      <c r="P9" s="2"/>
      <c r="Q9" s="2">
        <v>0</v>
      </c>
      <c r="R9" s="2">
        <v>0</v>
      </c>
      <c r="S9" s="2">
        <v>0</v>
      </c>
      <c r="T9" s="2">
        <v>0</v>
      </c>
      <c r="U9" s="2">
        <v>0</v>
      </c>
      <c r="V9" s="2"/>
      <c r="W9" s="2">
        <v>0</v>
      </c>
      <c r="X9" s="2">
        <v>0</v>
      </c>
      <c r="Y9" s="2">
        <v>0</v>
      </c>
      <c r="Z9" s="2">
        <v>0</v>
      </c>
      <c r="AA9" s="2">
        <v>0</v>
      </c>
      <c r="AB9" s="2"/>
      <c r="AC9" s="2">
        <v>0</v>
      </c>
      <c r="AD9" s="2">
        <v>0</v>
      </c>
      <c r="AE9" s="2">
        <v>0</v>
      </c>
      <c r="AF9" s="2">
        <v>0</v>
      </c>
      <c r="AG9" s="2">
        <v>0</v>
      </c>
      <c r="AH9" s="2"/>
      <c r="AI9" s="2">
        <v>0</v>
      </c>
      <c r="AJ9" s="2">
        <v>0</v>
      </c>
      <c r="AK9" s="2">
        <v>0</v>
      </c>
      <c r="AL9" s="2">
        <v>0</v>
      </c>
      <c r="AM9" s="2">
        <v>0</v>
      </c>
    </row>
    <row r="10" spans="1:92">
      <c r="A10" s="344">
        <v>92608</v>
      </c>
      <c r="B10" s="345" t="s">
        <v>3712</v>
      </c>
      <c r="C10" s="369"/>
      <c r="E10" s="2">
        <v>0</v>
      </c>
      <c r="F10" s="2">
        <v>0</v>
      </c>
      <c r="G10" s="2">
        <v>0</v>
      </c>
      <c r="H10" s="2">
        <v>0</v>
      </c>
      <c r="I10" s="2">
        <v>0</v>
      </c>
      <c r="J10" s="2"/>
      <c r="K10" s="2">
        <v>0</v>
      </c>
      <c r="L10" s="2">
        <v>0</v>
      </c>
      <c r="M10" s="2">
        <v>0</v>
      </c>
      <c r="N10" s="2">
        <v>0</v>
      </c>
      <c r="O10" s="2">
        <v>0</v>
      </c>
      <c r="P10" s="2"/>
      <c r="Q10" s="2">
        <v>0</v>
      </c>
      <c r="R10" s="2">
        <v>0</v>
      </c>
      <c r="S10" s="2">
        <v>0</v>
      </c>
      <c r="T10" s="2">
        <v>0</v>
      </c>
      <c r="U10" s="2">
        <v>0</v>
      </c>
      <c r="V10" s="2"/>
      <c r="W10" s="2">
        <v>0</v>
      </c>
      <c r="X10" s="2">
        <v>0</v>
      </c>
      <c r="Y10" s="2">
        <v>0</v>
      </c>
      <c r="Z10" s="2">
        <v>0</v>
      </c>
      <c r="AA10" s="2">
        <v>0</v>
      </c>
      <c r="AB10" s="2"/>
      <c r="AC10" s="2">
        <v>0</v>
      </c>
      <c r="AD10" s="2">
        <v>0</v>
      </c>
      <c r="AE10" s="2">
        <v>0</v>
      </c>
      <c r="AF10" s="2">
        <v>0</v>
      </c>
      <c r="AG10" s="2">
        <v>0</v>
      </c>
      <c r="AH10" s="2"/>
      <c r="AI10" s="2">
        <v>0</v>
      </c>
      <c r="AJ10" s="2">
        <v>0</v>
      </c>
      <c r="AK10" s="2">
        <v>0</v>
      </c>
      <c r="AL10" s="2">
        <v>0</v>
      </c>
      <c r="AM10" s="2">
        <v>0</v>
      </c>
    </row>
    <row r="11" spans="1:92">
      <c r="A11" s="360">
        <v>93027</v>
      </c>
      <c r="B11" s="361" t="s">
        <v>1001</v>
      </c>
      <c r="C11" s="369"/>
      <c r="E11" s="2">
        <v>-3601</v>
      </c>
      <c r="F11" s="2">
        <v>-3720</v>
      </c>
      <c r="G11" s="2">
        <v>-3192</v>
      </c>
      <c r="H11" s="2">
        <v>0</v>
      </c>
      <c r="I11" s="2">
        <v>0</v>
      </c>
      <c r="J11" s="2"/>
      <c r="K11" s="2">
        <v>0</v>
      </c>
      <c r="L11" s="2">
        <v>0</v>
      </c>
      <c r="M11" s="2">
        <v>0</v>
      </c>
      <c r="N11" s="2">
        <v>0</v>
      </c>
      <c r="O11" s="2">
        <v>0</v>
      </c>
      <c r="P11" s="2"/>
      <c r="Q11" s="2">
        <v>0</v>
      </c>
      <c r="R11" s="2">
        <v>0</v>
      </c>
      <c r="S11" s="2">
        <v>0</v>
      </c>
      <c r="T11" s="2">
        <v>0</v>
      </c>
      <c r="U11" s="2">
        <v>0</v>
      </c>
      <c r="V11" s="2"/>
      <c r="W11" s="2">
        <v>0</v>
      </c>
      <c r="X11" s="2">
        <v>0</v>
      </c>
      <c r="Y11" s="2">
        <v>0</v>
      </c>
      <c r="Z11" s="2">
        <v>0</v>
      </c>
      <c r="AA11" s="2">
        <v>0</v>
      </c>
      <c r="AB11" s="2"/>
      <c r="AC11" s="2">
        <v>119</v>
      </c>
      <c r="AD11" s="2">
        <v>0</v>
      </c>
      <c r="AE11" s="2">
        <v>0</v>
      </c>
      <c r="AF11" s="2">
        <v>0</v>
      </c>
      <c r="AG11" s="2">
        <v>0</v>
      </c>
      <c r="AH11" s="2"/>
      <c r="AI11" s="2">
        <v>-3720</v>
      </c>
      <c r="AJ11" s="2">
        <v>-3720</v>
      </c>
      <c r="AK11" s="2">
        <v>-3192</v>
      </c>
      <c r="AL11" s="2">
        <v>0</v>
      </c>
      <c r="AM11" s="2">
        <v>-3720</v>
      </c>
    </row>
    <row r="12" spans="1:92">
      <c r="A12" s="360">
        <v>93028</v>
      </c>
      <c r="B12" s="361" t="s">
        <v>3609</v>
      </c>
      <c r="C12" s="358">
        <v>2.16E-5</v>
      </c>
      <c r="E12" s="2">
        <v>17256</v>
      </c>
      <c r="F12" s="2">
        <v>19715</v>
      </c>
      <c r="G12" s="2">
        <v>15631</v>
      </c>
      <c r="H12" s="2">
        <v>3215</v>
      </c>
      <c r="I12" s="2">
        <v>0</v>
      </c>
      <c r="J12" s="2"/>
      <c r="K12" s="2">
        <v>4005</v>
      </c>
      <c r="L12" s="2">
        <v>3689</v>
      </c>
      <c r="M12" s="2">
        <v>2053</v>
      </c>
      <c r="N12" s="2">
        <v>0</v>
      </c>
      <c r="O12" s="2">
        <v>0</v>
      </c>
      <c r="P12" s="2"/>
      <c r="Q12" s="2">
        <v>260</v>
      </c>
      <c r="R12" s="2">
        <v>3631</v>
      </c>
      <c r="S12" s="2">
        <v>3757</v>
      </c>
      <c r="T12" s="2">
        <v>3215</v>
      </c>
      <c r="U12" s="2">
        <v>0</v>
      </c>
      <c r="V12" s="2"/>
      <c r="W12" s="2">
        <v>3170</v>
      </c>
      <c r="X12" s="2">
        <v>2574</v>
      </c>
      <c r="Y12" s="2">
        <v>0</v>
      </c>
      <c r="Z12" s="2">
        <v>0</v>
      </c>
      <c r="AA12" s="2">
        <v>0</v>
      </c>
      <c r="AB12" s="2"/>
      <c r="AC12" s="2">
        <v>9821</v>
      </c>
      <c r="AD12" s="2">
        <v>9821</v>
      </c>
      <c r="AE12" s="2">
        <v>9821</v>
      </c>
      <c r="AF12" s="2">
        <v>0</v>
      </c>
      <c r="AG12" s="2">
        <v>0</v>
      </c>
      <c r="AH12" s="2"/>
      <c r="AI12" s="2">
        <v>0</v>
      </c>
      <c r="AJ12" s="2">
        <v>0</v>
      </c>
      <c r="AK12" s="2">
        <v>0</v>
      </c>
      <c r="AL12" s="2">
        <v>0</v>
      </c>
      <c r="AM12" s="2">
        <v>0</v>
      </c>
    </row>
    <row r="13" spans="1:92">
      <c r="A13" s="344">
        <v>93202</v>
      </c>
      <c r="B13" s="345" t="s">
        <v>1018</v>
      </c>
      <c r="C13" s="369"/>
      <c r="E13" s="2">
        <v>0</v>
      </c>
      <c r="F13" s="2">
        <v>0</v>
      </c>
      <c r="G13" s="2">
        <v>0</v>
      </c>
      <c r="H13" s="2">
        <v>0</v>
      </c>
      <c r="I13" s="2">
        <v>0</v>
      </c>
      <c r="J13" s="2"/>
      <c r="K13" s="2">
        <v>0</v>
      </c>
      <c r="L13" s="2">
        <v>0</v>
      </c>
      <c r="M13" s="2">
        <v>0</v>
      </c>
      <c r="N13" s="2">
        <v>0</v>
      </c>
      <c r="O13" s="2">
        <v>0</v>
      </c>
      <c r="P13" s="2"/>
      <c r="Q13" s="2">
        <v>0</v>
      </c>
      <c r="R13" s="2">
        <v>0</v>
      </c>
      <c r="S13" s="2">
        <v>0</v>
      </c>
      <c r="T13" s="2">
        <v>0</v>
      </c>
      <c r="U13" s="2">
        <v>0</v>
      </c>
      <c r="V13" s="2"/>
      <c r="W13" s="2">
        <v>0</v>
      </c>
      <c r="X13" s="2">
        <v>0</v>
      </c>
      <c r="Y13" s="2">
        <v>0</v>
      </c>
      <c r="Z13" s="2">
        <v>0</v>
      </c>
      <c r="AA13" s="2">
        <v>0</v>
      </c>
      <c r="AB13" s="2"/>
      <c r="AC13" s="2">
        <v>0</v>
      </c>
      <c r="AD13" s="2">
        <v>0</v>
      </c>
      <c r="AE13" s="2">
        <v>0</v>
      </c>
      <c r="AF13" s="2">
        <v>0</v>
      </c>
      <c r="AG13" s="2">
        <v>0</v>
      </c>
      <c r="AH13" s="2"/>
      <c r="AI13" s="2">
        <v>0</v>
      </c>
      <c r="AJ13" s="2">
        <v>0</v>
      </c>
      <c r="AK13" s="2">
        <v>0</v>
      </c>
      <c r="AL13" s="2">
        <v>0</v>
      </c>
      <c r="AM13" s="2">
        <v>0</v>
      </c>
    </row>
    <row r="14" spans="1:92">
      <c r="A14" s="360">
        <v>93402</v>
      </c>
      <c r="B14" s="361" t="s">
        <v>1037</v>
      </c>
      <c r="C14" s="369"/>
      <c r="E14" s="2">
        <v>-18552</v>
      </c>
      <c r="F14" s="2">
        <v>-18172</v>
      </c>
      <c r="G14" s="2">
        <v>-16204</v>
      </c>
      <c r="H14" s="2">
        <v>0</v>
      </c>
      <c r="I14" s="2">
        <v>0</v>
      </c>
      <c r="J14" s="2"/>
      <c r="K14" s="2">
        <v>0</v>
      </c>
      <c r="L14" s="2">
        <v>0</v>
      </c>
      <c r="M14" s="2">
        <v>0</v>
      </c>
      <c r="N14" s="2">
        <v>0</v>
      </c>
      <c r="O14" s="2">
        <v>0</v>
      </c>
      <c r="P14" s="2"/>
      <c r="Q14" s="2">
        <v>0</v>
      </c>
      <c r="R14" s="2">
        <v>0</v>
      </c>
      <c r="S14" s="2">
        <v>0</v>
      </c>
      <c r="T14" s="2">
        <v>0</v>
      </c>
      <c r="U14" s="2">
        <v>0</v>
      </c>
      <c r="V14" s="2"/>
      <c r="W14" s="2">
        <v>0</v>
      </c>
      <c r="X14" s="2">
        <v>0</v>
      </c>
      <c r="Y14" s="2">
        <v>0</v>
      </c>
      <c r="Z14" s="2">
        <v>0</v>
      </c>
      <c r="AA14" s="2">
        <v>0</v>
      </c>
      <c r="AB14" s="2"/>
      <c r="AC14" s="2">
        <v>0</v>
      </c>
      <c r="AD14" s="2">
        <v>0</v>
      </c>
      <c r="AE14" s="2">
        <v>0</v>
      </c>
      <c r="AF14" s="2">
        <v>0</v>
      </c>
      <c r="AG14" s="2">
        <v>0</v>
      </c>
      <c r="AH14" s="2"/>
      <c r="AI14" s="2">
        <v>-18552</v>
      </c>
      <c r="AJ14" s="2">
        <v>-18172</v>
      </c>
      <c r="AK14" s="2">
        <v>-16204</v>
      </c>
      <c r="AL14" s="2">
        <v>0</v>
      </c>
      <c r="AM14" s="2">
        <v>-18172</v>
      </c>
    </row>
    <row r="15" spans="1:92">
      <c r="A15" s="344">
        <v>93408</v>
      </c>
      <c r="B15" s="345" t="s">
        <v>1039</v>
      </c>
      <c r="C15" s="369"/>
      <c r="E15" s="2">
        <v>-303143</v>
      </c>
      <c r="F15" s="2">
        <v>0</v>
      </c>
      <c r="G15" s="2">
        <v>0</v>
      </c>
      <c r="H15" s="2">
        <v>0</v>
      </c>
      <c r="I15" s="2">
        <v>0</v>
      </c>
      <c r="J15" s="2"/>
      <c r="K15" s="2">
        <v>0</v>
      </c>
      <c r="L15" s="2">
        <v>0</v>
      </c>
      <c r="M15" s="2">
        <v>0</v>
      </c>
      <c r="N15" s="2">
        <v>0</v>
      </c>
      <c r="O15" s="2">
        <v>0</v>
      </c>
      <c r="P15" s="2"/>
      <c r="Q15" s="2">
        <v>0</v>
      </c>
      <c r="R15" s="2">
        <v>0</v>
      </c>
      <c r="S15" s="2">
        <v>0</v>
      </c>
      <c r="T15" s="2">
        <v>0</v>
      </c>
      <c r="U15" s="2">
        <v>0</v>
      </c>
      <c r="V15" s="2"/>
      <c r="W15" s="2">
        <v>0</v>
      </c>
      <c r="X15" s="2">
        <v>0</v>
      </c>
      <c r="Y15" s="2">
        <v>0</v>
      </c>
      <c r="Z15" s="2">
        <v>0</v>
      </c>
      <c r="AA15" s="2">
        <v>0</v>
      </c>
      <c r="AB15" s="2"/>
      <c r="AC15" s="2">
        <v>0</v>
      </c>
      <c r="AD15" s="2">
        <v>0</v>
      </c>
      <c r="AE15" s="2">
        <v>0</v>
      </c>
      <c r="AF15" s="2">
        <v>0</v>
      </c>
      <c r="AG15" s="2">
        <v>0</v>
      </c>
      <c r="AH15" s="2"/>
      <c r="AI15" s="2">
        <v>-303143</v>
      </c>
      <c r="AJ15" s="2">
        <v>0</v>
      </c>
      <c r="AK15" s="2">
        <v>0</v>
      </c>
      <c r="AL15" s="2">
        <v>0</v>
      </c>
      <c r="AM15" s="2">
        <v>0</v>
      </c>
    </row>
    <row r="16" spans="1:92">
      <c r="A16" s="344">
        <v>94402</v>
      </c>
      <c r="B16" s="345" t="s">
        <v>1135</v>
      </c>
      <c r="C16" s="369"/>
      <c r="E16" s="2">
        <v>0</v>
      </c>
      <c r="F16" s="2">
        <v>0</v>
      </c>
      <c r="G16" s="2">
        <v>0</v>
      </c>
      <c r="H16" s="2">
        <v>0</v>
      </c>
      <c r="I16" s="2">
        <v>0</v>
      </c>
      <c r="J16" s="2"/>
      <c r="K16" s="2">
        <v>0</v>
      </c>
      <c r="L16" s="2">
        <v>0</v>
      </c>
      <c r="M16" s="2">
        <v>0</v>
      </c>
      <c r="N16" s="2">
        <v>0</v>
      </c>
      <c r="O16" s="2">
        <v>0</v>
      </c>
      <c r="P16" s="2"/>
      <c r="Q16" s="2">
        <v>0</v>
      </c>
      <c r="R16" s="2">
        <v>0</v>
      </c>
      <c r="S16" s="2">
        <v>0</v>
      </c>
      <c r="T16" s="2">
        <v>0</v>
      </c>
      <c r="U16" s="2">
        <v>0</v>
      </c>
      <c r="V16" s="2"/>
      <c r="W16" s="2">
        <v>0</v>
      </c>
      <c r="X16" s="2">
        <v>0</v>
      </c>
      <c r="Y16" s="2">
        <v>0</v>
      </c>
      <c r="Z16" s="2">
        <v>0</v>
      </c>
      <c r="AA16" s="2">
        <v>0</v>
      </c>
      <c r="AB16" s="2"/>
      <c r="AC16" s="2">
        <v>0</v>
      </c>
      <c r="AD16" s="2">
        <v>0</v>
      </c>
      <c r="AE16" s="2">
        <v>0</v>
      </c>
      <c r="AF16" s="2">
        <v>0</v>
      </c>
      <c r="AG16" s="2">
        <v>0</v>
      </c>
      <c r="AH16" s="2"/>
      <c r="AI16" s="2">
        <v>0</v>
      </c>
      <c r="AJ16" s="2">
        <v>0</v>
      </c>
      <c r="AK16" s="2">
        <v>0</v>
      </c>
      <c r="AL16" s="2">
        <v>0</v>
      </c>
      <c r="AM16" s="2">
        <v>0</v>
      </c>
    </row>
    <row r="17" spans="1:39">
      <c r="A17" s="344">
        <v>94512</v>
      </c>
      <c r="B17" s="345" t="s">
        <v>1147</v>
      </c>
      <c r="C17" s="369"/>
      <c r="E17" s="2">
        <v>0</v>
      </c>
      <c r="F17" s="2">
        <v>0</v>
      </c>
      <c r="G17" s="2">
        <v>0</v>
      </c>
      <c r="H17" s="2">
        <v>0</v>
      </c>
      <c r="I17" s="2">
        <v>0</v>
      </c>
      <c r="J17" s="2"/>
      <c r="K17" s="2">
        <v>0</v>
      </c>
      <c r="L17" s="2">
        <v>0</v>
      </c>
      <c r="M17" s="2">
        <v>0</v>
      </c>
      <c r="N17" s="2">
        <v>0</v>
      </c>
      <c r="O17" s="2">
        <v>0</v>
      </c>
      <c r="P17" s="2"/>
      <c r="Q17" s="2">
        <v>0</v>
      </c>
      <c r="R17" s="2">
        <v>0</v>
      </c>
      <c r="S17" s="2">
        <v>0</v>
      </c>
      <c r="T17" s="2">
        <v>0</v>
      </c>
      <c r="U17" s="2">
        <v>0</v>
      </c>
      <c r="V17" s="2"/>
      <c r="W17" s="2">
        <v>0</v>
      </c>
      <c r="X17" s="2">
        <v>0</v>
      </c>
      <c r="Y17" s="2">
        <v>0</v>
      </c>
      <c r="Z17" s="2">
        <v>0</v>
      </c>
      <c r="AA17" s="2">
        <v>0</v>
      </c>
      <c r="AB17" s="2"/>
      <c r="AC17" s="2">
        <v>0</v>
      </c>
      <c r="AD17" s="2">
        <v>0</v>
      </c>
      <c r="AE17" s="2">
        <v>0</v>
      </c>
      <c r="AF17" s="2">
        <v>0</v>
      </c>
      <c r="AG17" s="2">
        <v>0</v>
      </c>
      <c r="AH17" s="2"/>
      <c r="AI17" s="2">
        <v>0</v>
      </c>
      <c r="AJ17" s="2">
        <v>0</v>
      </c>
      <c r="AK17" s="2">
        <v>0</v>
      </c>
      <c r="AL17" s="2">
        <v>0</v>
      </c>
      <c r="AM17" s="2">
        <v>0</v>
      </c>
    </row>
    <row r="18" spans="1:39">
      <c r="A18" s="360">
        <v>94606</v>
      </c>
      <c r="B18" s="361" t="s">
        <v>1158</v>
      </c>
      <c r="C18" s="369"/>
      <c r="E18" s="2">
        <v>-51492</v>
      </c>
      <c r="F18" s="2">
        <v>-46761</v>
      </c>
      <c r="G18" s="2">
        <v>-40452</v>
      </c>
      <c r="H18" s="2">
        <v>0</v>
      </c>
      <c r="I18" s="2">
        <v>0</v>
      </c>
      <c r="J18" s="2"/>
      <c r="K18" s="2">
        <v>0</v>
      </c>
      <c r="L18" s="2">
        <v>0</v>
      </c>
      <c r="M18" s="2">
        <v>0</v>
      </c>
      <c r="N18" s="2">
        <v>0</v>
      </c>
      <c r="O18" s="2">
        <v>0</v>
      </c>
      <c r="P18" s="2"/>
      <c r="Q18" s="2">
        <v>0</v>
      </c>
      <c r="R18" s="2">
        <v>0</v>
      </c>
      <c r="S18" s="2">
        <v>0</v>
      </c>
      <c r="T18" s="2">
        <v>0</v>
      </c>
      <c r="U18" s="2">
        <v>0</v>
      </c>
      <c r="V18" s="2"/>
      <c r="W18" s="2">
        <v>0</v>
      </c>
      <c r="X18" s="2">
        <v>0</v>
      </c>
      <c r="Y18" s="2">
        <v>0</v>
      </c>
      <c r="Z18" s="2">
        <v>0</v>
      </c>
      <c r="AA18" s="2">
        <v>0</v>
      </c>
      <c r="AB18" s="2"/>
      <c r="AC18" s="2">
        <v>0</v>
      </c>
      <c r="AD18" s="2">
        <v>0</v>
      </c>
      <c r="AE18" s="2">
        <v>0</v>
      </c>
      <c r="AF18" s="2">
        <v>0</v>
      </c>
      <c r="AG18" s="2">
        <v>0</v>
      </c>
      <c r="AH18" s="2"/>
      <c r="AI18" s="2">
        <v>-51492</v>
      </c>
      <c r="AJ18" s="2">
        <v>-46761</v>
      </c>
      <c r="AK18" s="2">
        <v>-40452</v>
      </c>
      <c r="AL18" s="2">
        <v>0</v>
      </c>
      <c r="AM18" s="2">
        <v>-46761</v>
      </c>
    </row>
    <row r="19" spans="1:39">
      <c r="A19" s="344">
        <v>95412</v>
      </c>
      <c r="B19" s="345" t="s">
        <v>3713</v>
      </c>
      <c r="C19" s="369"/>
      <c r="E19" s="2">
        <v>0</v>
      </c>
      <c r="F19" s="2">
        <v>0</v>
      </c>
      <c r="G19" s="2">
        <v>0</v>
      </c>
      <c r="H19" s="2">
        <v>0</v>
      </c>
      <c r="I19" s="2">
        <v>0</v>
      </c>
      <c r="J19" s="2"/>
      <c r="K19" s="2">
        <v>0</v>
      </c>
      <c r="L19" s="2">
        <v>0</v>
      </c>
      <c r="M19" s="2">
        <v>0</v>
      </c>
      <c r="N19" s="2">
        <v>0</v>
      </c>
      <c r="O19" s="2">
        <v>0</v>
      </c>
      <c r="P19" s="2"/>
      <c r="Q19" s="2">
        <v>0</v>
      </c>
      <c r="R19" s="2">
        <v>0</v>
      </c>
      <c r="S19" s="2">
        <v>0</v>
      </c>
      <c r="T19" s="2">
        <v>0</v>
      </c>
      <c r="U19" s="2">
        <v>0</v>
      </c>
      <c r="V19" s="2"/>
      <c r="W19" s="2">
        <v>0</v>
      </c>
      <c r="X19" s="2">
        <v>0</v>
      </c>
      <c r="Y19" s="2">
        <v>0</v>
      </c>
      <c r="Z19" s="2">
        <v>0</v>
      </c>
      <c r="AA19" s="2">
        <v>0</v>
      </c>
      <c r="AB19" s="2"/>
      <c r="AC19" s="2">
        <v>0</v>
      </c>
      <c r="AD19" s="2">
        <v>0</v>
      </c>
      <c r="AE19" s="2">
        <v>0</v>
      </c>
      <c r="AF19" s="2">
        <v>0</v>
      </c>
      <c r="AG19" s="2">
        <v>0</v>
      </c>
      <c r="AH19" s="2"/>
      <c r="AI19" s="2">
        <v>0</v>
      </c>
      <c r="AJ19" s="2">
        <v>0</v>
      </c>
      <c r="AK19" s="2">
        <v>0</v>
      </c>
      <c r="AL19" s="2">
        <v>0</v>
      </c>
      <c r="AM19" s="2">
        <v>0</v>
      </c>
    </row>
    <row r="20" spans="1:39">
      <c r="A20" s="344">
        <v>97010</v>
      </c>
      <c r="B20" s="345" t="s">
        <v>1347</v>
      </c>
      <c r="C20" s="369"/>
      <c r="E20" s="2">
        <v>0</v>
      </c>
      <c r="F20" s="2">
        <v>0</v>
      </c>
      <c r="G20" s="2">
        <v>0</v>
      </c>
      <c r="H20" s="2">
        <v>0</v>
      </c>
      <c r="I20" s="2">
        <v>0</v>
      </c>
      <c r="J20" s="2"/>
      <c r="K20" s="2">
        <v>0</v>
      </c>
      <c r="L20" s="2">
        <v>0</v>
      </c>
      <c r="M20" s="2">
        <v>0</v>
      </c>
      <c r="N20" s="2">
        <v>0</v>
      </c>
      <c r="O20" s="2">
        <v>0</v>
      </c>
      <c r="P20" s="2"/>
      <c r="Q20" s="2">
        <v>0</v>
      </c>
      <c r="R20" s="2">
        <v>0</v>
      </c>
      <c r="S20" s="2">
        <v>0</v>
      </c>
      <c r="T20" s="2">
        <v>0</v>
      </c>
      <c r="U20" s="2">
        <v>0</v>
      </c>
      <c r="V20" s="2"/>
      <c r="W20" s="2">
        <v>0</v>
      </c>
      <c r="X20" s="2">
        <v>0</v>
      </c>
      <c r="Y20" s="2">
        <v>0</v>
      </c>
      <c r="Z20" s="2">
        <v>0</v>
      </c>
      <c r="AA20" s="2">
        <v>0</v>
      </c>
      <c r="AB20" s="2"/>
      <c r="AC20" s="2">
        <v>0</v>
      </c>
      <c r="AD20" s="2">
        <v>0</v>
      </c>
      <c r="AE20" s="2">
        <v>0</v>
      </c>
      <c r="AF20" s="2">
        <v>0</v>
      </c>
      <c r="AG20" s="2">
        <v>0</v>
      </c>
      <c r="AH20" s="2"/>
      <c r="AI20" s="2">
        <v>0</v>
      </c>
      <c r="AJ20" s="2">
        <v>0</v>
      </c>
      <c r="AK20" s="2">
        <v>0</v>
      </c>
      <c r="AL20" s="2">
        <v>0</v>
      </c>
      <c r="AM20" s="2">
        <v>0</v>
      </c>
    </row>
    <row r="21" spans="1:39">
      <c r="A21" s="344">
        <v>97302</v>
      </c>
      <c r="B21" s="345" t="s">
        <v>3611</v>
      </c>
      <c r="C21" s="358">
        <v>4.1300000000000001E-5</v>
      </c>
      <c r="E21" s="2">
        <v>37528</v>
      </c>
      <c r="F21" s="2">
        <v>42231</v>
      </c>
      <c r="G21" s="2">
        <v>34422</v>
      </c>
      <c r="H21" s="2">
        <v>6146</v>
      </c>
      <c r="I21" s="2">
        <v>0</v>
      </c>
      <c r="J21" s="2"/>
      <c r="K21" s="2">
        <v>7657</v>
      </c>
      <c r="L21" s="2">
        <v>7054</v>
      </c>
      <c r="M21" s="2">
        <v>3926</v>
      </c>
      <c r="N21" s="2">
        <v>0</v>
      </c>
      <c r="O21" s="2">
        <v>0</v>
      </c>
      <c r="P21" s="2"/>
      <c r="Q21" s="2">
        <v>496</v>
      </c>
      <c r="R21" s="2">
        <v>6943</v>
      </c>
      <c r="S21" s="2">
        <v>7183</v>
      </c>
      <c r="T21" s="2">
        <v>6146</v>
      </c>
      <c r="U21" s="2">
        <v>0</v>
      </c>
      <c r="V21" s="2"/>
      <c r="W21" s="2">
        <v>6062</v>
      </c>
      <c r="X21" s="2">
        <v>4921</v>
      </c>
      <c r="Y21" s="2">
        <v>0</v>
      </c>
      <c r="Z21" s="2">
        <v>0</v>
      </c>
      <c r="AA21" s="2">
        <v>0</v>
      </c>
      <c r="AB21" s="2"/>
      <c r="AC21" s="2">
        <v>23313</v>
      </c>
      <c r="AD21" s="2">
        <v>23313</v>
      </c>
      <c r="AE21" s="2">
        <v>23313</v>
      </c>
      <c r="AF21" s="2">
        <v>0</v>
      </c>
      <c r="AG21" s="2">
        <v>0</v>
      </c>
      <c r="AH21" s="2"/>
      <c r="AI21" s="2">
        <v>0</v>
      </c>
      <c r="AJ21" s="2">
        <v>0</v>
      </c>
      <c r="AK21" s="2">
        <v>0</v>
      </c>
      <c r="AL21" s="2">
        <v>0</v>
      </c>
      <c r="AM21" s="2">
        <v>0</v>
      </c>
    </row>
    <row r="22" spans="1:39">
      <c r="A22" s="344">
        <v>97491</v>
      </c>
      <c r="B22" s="345" t="s">
        <v>3714</v>
      </c>
      <c r="C22" s="369"/>
      <c r="E22" s="2">
        <v>0</v>
      </c>
      <c r="F22" s="2">
        <v>0</v>
      </c>
      <c r="G22" s="2">
        <v>0</v>
      </c>
      <c r="H22" s="2">
        <v>0</v>
      </c>
      <c r="I22" s="2">
        <v>0</v>
      </c>
      <c r="J22" s="2"/>
      <c r="K22" s="2">
        <v>0</v>
      </c>
      <c r="L22" s="2">
        <v>0</v>
      </c>
      <c r="M22" s="2">
        <v>0</v>
      </c>
      <c r="N22" s="2">
        <v>0</v>
      </c>
      <c r="O22" s="2">
        <v>0</v>
      </c>
      <c r="P22" s="2"/>
      <c r="Q22" s="2">
        <v>0</v>
      </c>
      <c r="R22" s="2">
        <v>0</v>
      </c>
      <c r="S22" s="2">
        <v>0</v>
      </c>
      <c r="T22" s="2">
        <v>0</v>
      </c>
      <c r="U22" s="2">
        <v>0</v>
      </c>
      <c r="V22" s="2"/>
      <c r="W22" s="2">
        <v>0</v>
      </c>
      <c r="X22" s="2">
        <v>0</v>
      </c>
      <c r="Y22" s="2">
        <v>0</v>
      </c>
      <c r="Z22" s="2">
        <v>0</v>
      </c>
      <c r="AA22" s="2">
        <v>0</v>
      </c>
      <c r="AB22" s="2"/>
      <c r="AC22" s="2">
        <v>0</v>
      </c>
      <c r="AD22" s="2">
        <v>0</v>
      </c>
      <c r="AE22" s="2">
        <v>0</v>
      </c>
      <c r="AF22" s="2">
        <v>0</v>
      </c>
      <c r="AG22" s="2">
        <v>0</v>
      </c>
      <c r="AH22" s="2"/>
      <c r="AI22" s="2">
        <v>0</v>
      </c>
      <c r="AJ22" s="2">
        <v>0</v>
      </c>
      <c r="AK22" s="2">
        <v>0</v>
      </c>
      <c r="AL22" s="2">
        <v>0</v>
      </c>
      <c r="AM22" s="2">
        <v>0</v>
      </c>
    </row>
    <row r="23" spans="1:39">
      <c r="A23" s="367">
        <v>71786</v>
      </c>
      <c r="B23" s="345" t="s">
        <v>1487</v>
      </c>
      <c r="C23" s="369"/>
      <c r="E23" s="2">
        <v>0</v>
      </c>
      <c r="F23" s="2">
        <v>0</v>
      </c>
      <c r="G23" s="2">
        <v>0</v>
      </c>
      <c r="H23" s="2">
        <v>0</v>
      </c>
      <c r="I23" s="2">
        <v>0</v>
      </c>
      <c r="J23" s="2"/>
      <c r="K23" s="2">
        <v>0</v>
      </c>
      <c r="L23" s="2">
        <v>0</v>
      </c>
      <c r="M23" s="2">
        <v>0</v>
      </c>
      <c r="N23" s="2">
        <v>0</v>
      </c>
      <c r="O23" s="2">
        <v>0</v>
      </c>
      <c r="P23" s="2"/>
      <c r="Q23" s="2">
        <v>0</v>
      </c>
      <c r="R23" s="2">
        <v>0</v>
      </c>
      <c r="S23" s="2">
        <v>0</v>
      </c>
      <c r="T23" s="2">
        <v>0</v>
      </c>
      <c r="U23" s="2">
        <v>0</v>
      </c>
      <c r="V23" s="2"/>
      <c r="W23" s="2">
        <v>0</v>
      </c>
      <c r="X23" s="2">
        <v>0</v>
      </c>
      <c r="Y23" s="2">
        <v>0</v>
      </c>
      <c r="Z23" s="2">
        <v>0</v>
      </c>
      <c r="AA23" s="2">
        <v>0</v>
      </c>
      <c r="AB23" s="2"/>
      <c r="AC23" s="2">
        <v>0</v>
      </c>
      <c r="AD23" s="2">
        <v>0</v>
      </c>
      <c r="AE23" s="2">
        <v>0</v>
      </c>
      <c r="AF23" s="2">
        <v>0</v>
      </c>
      <c r="AG23" s="2">
        <v>0</v>
      </c>
      <c r="AH23" s="2"/>
      <c r="AI23" s="2">
        <v>-6946</v>
      </c>
      <c r="AJ23" s="2">
        <v>-1825</v>
      </c>
      <c r="AK23" s="2">
        <v>0</v>
      </c>
      <c r="AL23" s="2">
        <v>0</v>
      </c>
      <c r="AM23" s="2">
        <v>-1825</v>
      </c>
    </row>
    <row r="24" spans="1:39">
      <c r="A24" s="368">
        <v>98414</v>
      </c>
      <c r="B24" s="342" t="s">
        <v>1487</v>
      </c>
      <c r="C24" s="358">
        <v>3.5099999999999999E-5</v>
      </c>
      <c r="E24" s="2">
        <v>11132</v>
      </c>
      <c r="F24" s="2">
        <v>16633</v>
      </c>
      <c r="G24" s="2">
        <v>9903</v>
      </c>
      <c r="H24" s="2">
        <v>5224</v>
      </c>
      <c r="I24" s="2">
        <v>0</v>
      </c>
      <c r="J24" s="2"/>
      <c r="K24" s="2">
        <v>6508</v>
      </c>
      <c r="L24" s="2">
        <v>5995</v>
      </c>
      <c r="M24" s="2">
        <v>3337</v>
      </c>
      <c r="N24" s="2">
        <v>0</v>
      </c>
      <c r="O24" s="2">
        <v>0</v>
      </c>
      <c r="P24" s="2"/>
      <c r="Q24" s="2">
        <v>422</v>
      </c>
      <c r="R24" s="2">
        <v>5900</v>
      </c>
      <c r="S24" s="2">
        <v>6105</v>
      </c>
      <c r="T24" s="2">
        <v>5224</v>
      </c>
      <c r="U24" s="2">
        <v>0</v>
      </c>
      <c r="V24" s="2"/>
      <c r="W24" s="2">
        <v>5152</v>
      </c>
      <c r="X24" s="2">
        <v>4182</v>
      </c>
      <c r="Y24" s="2">
        <v>0</v>
      </c>
      <c r="Z24" s="2">
        <v>0</v>
      </c>
      <c r="AA24" s="2">
        <v>0</v>
      </c>
      <c r="AB24" s="2"/>
      <c r="AC24" s="2">
        <v>8021</v>
      </c>
      <c r="AD24" s="2">
        <v>4406</v>
      </c>
      <c r="AE24" s="2">
        <v>2485</v>
      </c>
      <c r="AF24" s="2">
        <v>0</v>
      </c>
      <c r="AG24" s="2">
        <v>0</v>
      </c>
      <c r="AH24" s="2"/>
      <c r="AI24" s="2">
        <v>-2025</v>
      </c>
      <c r="AJ24" s="2">
        <v>-2025</v>
      </c>
      <c r="AK24" s="2">
        <v>-2024</v>
      </c>
      <c r="AL24" s="2">
        <v>0</v>
      </c>
      <c r="AM24" s="2">
        <v>-2025</v>
      </c>
    </row>
    <row r="25" spans="1:39">
      <c r="A25" s="367">
        <v>92509</v>
      </c>
      <c r="B25" s="345" t="s">
        <v>1614</v>
      </c>
      <c r="C25" s="369"/>
      <c r="E25" s="2">
        <v>0</v>
      </c>
      <c r="F25" s="2">
        <v>0</v>
      </c>
      <c r="G25" s="2">
        <v>0</v>
      </c>
      <c r="H25" s="2">
        <v>0</v>
      </c>
      <c r="I25" s="2">
        <v>0</v>
      </c>
      <c r="J25" s="2"/>
      <c r="K25" s="2">
        <v>0</v>
      </c>
      <c r="L25" s="2">
        <v>0</v>
      </c>
      <c r="M25" s="2">
        <v>0</v>
      </c>
      <c r="N25" s="2">
        <v>0</v>
      </c>
      <c r="O25" s="2">
        <v>0</v>
      </c>
      <c r="P25" s="2"/>
      <c r="Q25" s="2">
        <v>0</v>
      </c>
      <c r="R25" s="2">
        <v>0</v>
      </c>
      <c r="S25" s="2">
        <v>0</v>
      </c>
      <c r="T25" s="2">
        <v>0</v>
      </c>
      <c r="U25" s="2">
        <v>0</v>
      </c>
      <c r="V25" s="2"/>
      <c r="W25" s="2">
        <v>0</v>
      </c>
      <c r="X25" s="2">
        <v>0</v>
      </c>
      <c r="Y25" s="2">
        <v>0</v>
      </c>
      <c r="Z25" s="2">
        <v>0</v>
      </c>
      <c r="AA25" s="2">
        <v>0</v>
      </c>
      <c r="AB25" s="2"/>
      <c r="AC25" s="2">
        <v>0</v>
      </c>
      <c r="AD25" s="2">
        <v>0</v>
      </c>
      <c r="AE25" s="2">
        <v>0</v>
      </c>
      <c r="AF25" s="2">
        <v>0</v>
      </c>
      <c r="AG25" s="2">
        <v>0</v>
      </c>
      <c r="AH25" s="2"/>
      <c r="AI25" s="2">
        <v>0</v>
      </c>
      <c r="AJ25" s="2">
        <v>0</v>
      </c>
      <c r="AK25" s="2">
        <v>0</v>
      </c>
      <c r="AL25" s="2">
        <v>0</v>
      </c>
      <c r="AM25" s="2">
        <v>0</v>
      </c>
    </row>
    <row r="26" spans="1:39">
      <c r="A26" s="367">
        <v>96519</v>
      </c>
      <c r="B26" s="345" t="s">
        <v>1615</v>
      </c>
      <c r="C26" s="369"/>
      <c r="E26" s="2">
        <v>0</v>
      </c>
      <c r="F26" s="2">
        <v>0</v>
      </c>
      <c r="G26" s="2">
        <v>0</v>
      </c>
      <c r="H26" s="2">
        <v>0</v>
      </c>
      <c r="I26" s="2">
        <v>0</v>
      </c>
      <c r="J26" s="2"/>
      <c r="K26" s="2">
        <v>0</v>
      </c>
      <c r="L26" s="2">
        <v>0</v>
      </c>
      <c r="M26" s="2">
        <v>0</v>
      </c>
      <c r="N26" s="2">
        <v>0</v>
      </c>
      <c r="O26" s="2">
        <v>0</v>
      </c>
      <c r="P26" s="2"/>
      <c r="Q26" s="2">
        <v>0</v>
      </c>
      <c r="R26" s="2">
        <v>0</v>
      </c>
      <c r="S26" s="2">
        <v>0</v>
      </c>
      <c r="T26" s="2">
        <v>0</v>
      </c>
      <c r="U26" s="2">
        <v>0</v>
      </c>
      <c r="V26" s="2"/>
      <c r="W26" s="2">
        <v>0</v>
      </c>
      <c r="X26" s="2">
        <v>0</v>
      </c>
      <c r="Y26" s="2">
        <v>0</v>
      </c>
      <c r="Z26" s="2">
        <v>0</v>
      </c>
      <c r="AA26" s="2">
        <v>0</v>
      </c>
      <c r="AB26" s="2"/>
      <c r="AC26" s="2">
        <v>0</v>
      </c>
      <c r="AD26" s="2">
        <v>0</v>
      </c>
      <c r="AE26" s="2">
        <v>0</v>
      </c>
      <c r="AF26" s="2">
        <v>0</v>
      </c>
      <c r="AG26" s="2">
        <v>0</v>
      </c>
      <c r="AH26" s="2"/>
      <c r="AI26" s="2">
        <v>0</v>
      </c>
      <c r="AJ26" s="2">
        <v>0</v>
      </c>
      <c r="AK26" s="2">
        <v>0</v>
      </c>
      <c r="AL26" s="2">
        <v>0</v>
      </c>
      <c r="AM26" s="2">
        <v>0</v>
      </c>
    </row>
    <row r="27" spans="1:39">
      <c r="A27" s="368">
        <v>97461</v>
      </c>
      <c r="B27" s="354" t="s">
        <v>1379</v>
      </c>
      <c r="C27" s="358">
        <v>5.7600000000000001E-4</v>
      </c>
      <c r="E27" s="2">
        <v>184051</v>
      </c>
      <c r="F27" s="2">
        <v>248720</v>
      </c>
      <c r="G27" s="2">
        <v>149501</v>
      </c>
      <c r="H27" s="2">
        <v>85721</v>
      </c>
      <c r="I27" s="2">
        <v>0</v>
      </c>
      <c r="J27" s="2"/>
      <c r="K27" s="2">
        <v>106796</v>
      </c>
      <c r="L27" s="2">
        <v>98377</v>
      </c>
      <c r="M27" s="2">
        <v>54753</v>
      </c>
      <c r="N27" s="2">
        <v>0</v>
      </c>
      <c r="O27" s="2">
        <v>0</v>
      </c>
      <c r="P27" s="2"/>
      <c r="Q27" s="2">
        <v>6923</v>
      </c>
      <c r="R27" s="2">
        <v>96828</v>
      </c>
      <c r="S27" s="2">
        <v>100177</v>
      </c>
      <c r="T27" s="2">
        <v>85721</v>
      </c>
      <c r="U27" s="2">
        <v>0</v>
      </c>
      <c r="V27" s="2"/>
      <c r="W27" s="2">
        <v>84543</v>
      </c>
      <c r="X27" s="2">
        <v>68634</v>
      </c>
      <c r="Y27" s="2">
        <v>0</v>
      </c>
      <c r="Z27" s="2">
        <v>0</v>
      </c>
      <c r="AA27" s="2">
        <v>0</v>
      </c>
      <c r="AB27" s="2"/>
      <c r="AC27" s="2">
        <v>4098</v>
      </c>
      <c r="AD27" s="2">
        <v>3188</v>
      </c>
      <c r="AE27" s="2">
        <v>3188</v>
      </c>
      <c r="AF27" s="2">
        <v>0</v>
      </c>
      <c r="AG27" s="2">
        <v>0</v>
      </c>
      <c r="AH27" s="2"/>
      <c r="AI27" s="2">
        <v>-18309</v>
      </c>
      <c r="AJ27" s="2">
        <v>-18307</v>
      </c>
      <c r="AK27" s="2">
        <v>-8617</v>
      </c>
      <c r="AL27" s="2">
        <v>0</v>
      </c>
      <c r="AM27" s="2">
        <v>-18307</v>
      </c>
    </row>
    <row r="28" spans="1:39">
      <c r="A28" s="367">
        <v>97463</v>
      </c>
      <c r="B28" s="345" t="s">
        <v>1380</v>
      </c>
      <c r="C28" s="369"/>
      <c r="E28" s="2">
        <v>-7626</v>
      </c>
      <c r="F28" s="2">
        <v>-5607</v>
      </c>
      <c r="G28" s="2">
        <v>0</v>
      </c>
      <c r="H28" s="2">
        <v>0</v>
      </c>
      <c r="I28" s="2">
        <v>0</v>
      </c>
      <c r="J28" s="2"/>
      <c r="K28" s="2">
        <v>0</v>
      </c>
      <c r="L28" s="2">
        <v>0</v>
      </c>
      <c r="M28" s="2">
        <v>0</v>
      </c>
      <c r="N28" s="2">
        <v>0</v>
      </c>
      <c r="O28" s="2">
        <v>0</v>
      </c>
      <c r="P28" s="2"/>
      <c r="Q28" s="2">
        <v>0</v>
      </c>
      <c r="R28" s="2">
        <v>0</v>
      </c>
      <c r="S28" s="2">
        <v>0</v>
      </c>
      <c r="T28" s="2">
        <v>0</v>
      </c>
      <c r="U28" s="2">
        <v>0</v>
      </c>
      <c r="V28" s="2"/>
      <c r="W28" s="2">
        <v>0</v>
      </c>
      <c r="X28" s="2">
        <v>0</v>
      </c>
      <c r="Y28" s="2">
        <v>0</v>
      </c>
      <c r="Z28" s="2">
        <v>0</v>
      </c>
      <c r="AA28" s="2">
        <v>0</v>
      </c>
      <c r="AB28" s="2"/>
      <c r="AC28" s="2">
        <v>0</v>
      </c>
      <c r="AD28" s="2">
        <v>0</v>
      </c>
      <c r="AE28" s="2">
        <v>0</v>
      </c>
      <c r="AF28" s="2">
        <v>0</v>
      </c>
      <c r="AG28" s="2">
        <v>0</v>
      </c>
      <c r="AH28" s="2"/>
      <c r="AI28" s="2">
        <v>-7626</v>
      </c>
      <c r="AJ28" s="2">
        <v>-5607</v>
      </c>
      <c r="AK28" s="2">
        <v>0</v>
      </c>
      <c r="AL28" s="2">
        <v>0</v>
      </c>
      <c r="AM28" s="2">
        <v>-5607</v>
      </c>
    </row>
    <row r="29" spans="1:39">
      <c r="A29" s="368">
        <v>98604</v>
      </c>
      <c r="B29" s="354" t="s">
        <v>1500</v>
      </c>
      <c r="C29" s="358">
        <v>1.45E-5</v>
      </c>
      <c r="E29" s="2">
        <v>7146</v>
      </c>
      <c r="F29" s="2">
        <v>8929</v>
      </c>
      <c r="G29" s="2">
        <v>5964</v>
      </c>
      <c r="H29" s="2">
        <v>2158</v>
      </c>
      <c r="I29" s="2">
        <v>0</v>
      </c>
      <c r="J29" s="2"/>
      <c r="K29" s="2">
        <v>2688</v>
      </c>
      <c r="L29" s="2">
        <v>2477</v>
      </c>
      <c r="M29" s="2">
        <v>1378</v>
      </c>
      <c r="N29" s="2">
        <v>0</v>
      </c>
      <c r="O29" s="2">
        <v>0</v>
      </c>
      <c r="P29" s="2"/>
      <c r="Q29" s="2">
        <v>174</v>
      </c>
      <c r="R29" s="2">
        <v>2438</v>
      </c>
      <c r="S29" s="2">
        <v>2522</v>
      </c>
      <c r="T29" s="2">
        <v>2158</v>
      </c>
      <c r="U29" s="2">
        <v>0</v>
      </c>
      <c r="V29" s="2"/>
      <c r="W29" s="2">
        <v>2128</v>
      </c>
      <c r="X29" s="2">
        <v>1728</v>
      </c>
      <c r="Y29" s="2">
        <v>0</v>
      </c>
      <c r="Z29" s="2">
        <v>0</v>
      </c>
      <c r="AA29" s="2">
        <v>0</v>
      </c>
      <c r="AB29" s="2"/>
      <c r="AC29" s="2">
        <v>2287</v>
      </c>
      <c r="AD29" s="2">
        <v>2286</v>
      </c>
      <c r="AE29" s="2">
        <v>2064</v>
      </c>
      <c r="AF29" s="2">
        <v>0</v>
      </c>
      <c r="AG29" s="2">
        <v>0</v>
      </c>
      <c r="AH29" s="2"/>
      <c r="AI29" s="2">
        <v>-131</v>
      </c>
      <c r="AJ29" s="2">
        <v>0</v>
      </c>
      <c r="AK29" s="2">
        <v>0</v>
      </c>
      <c r="AL29" s="2">
        <v>0</v>
      </c>
      <c r="AM29" s="2">
        <v>0</v>
      </c>
    </row>
    <row r="30" spans="1:39">
      <c r="A30" s="367">
        <v>98647</v>
      </c>
      <c r="B30" s="345" t="s">
        <v>1616</v>
      </c>
      <c r="C30" s="369"/>
      <c r="E30" s="2">
        <v>0</v>
      </c>
      <c r="F30" s="2">
        <v>0</v>
      </c>
      <c r="G30" s="2">
        <v>0</v>
      </c>
      <c r="H30" s="2">
        <v>0</v>
      </c>
      <c r="I30" s="2">
        <v>0</v>
      </c>
      <c r="J30" s="2"/>
      <c r="K30" s="2">
        <v>0</v>
      </c>
      <c r="L30" s="2">
        <v>0</v>
      </c>
      <c r="M30" s="2">
        <v>0</v>
      </c>
      <c r="N30" s="2">
        <v>0</v>
      </c>
      <c r="O30" s="2">
        <v>0</v>
      </c>
      <c r="P30" s="2"/>
      <c r="Q30" s="2">
        <v>0</v>
      </c>
      <c r="R30" s="2">
        <v>0</v>
      </c>
      <c r="S30" s="2">
        <v>0</v>
      </c>
      <c r="T30" s="2">
        <v>0</v>
      </c>
      <c r="U30" s="2">
        <v>0</v>
      </c>
      <c r="V30" s="2"/>
      <c r="W30" s="2">
        <v>0</v>
      </c>
      <c r="X30" s="2">
        <v>0</v>
      </c>
      <c r="Y30" s="2">
        <v>0</v>
      </c>
      <c r="Z30" s="2">
        <v>0</v>
      </c>
      <c r="AA30" s="2">
        <v>0</v>
      </c>
      <c r="AB30" s="2"/>
      <c r="AC30" s="2">
        <v>0</v>
      </c>
      <c r="AD30" s="2">
        <v>0</v>
      </c>
      <c r="AE30" s="2">
        <v>0</v>
      </c>
      <c r="AF30" s="2">
        <v>0</v>
      </c>
      <c r="AG30" s="2">
        <v>0</v>
      </c>
      <c r="AH30" s="2"/>
      <c r="AI30" s="2">
        <v>0</v>
      </c>
      <c r="AJ30" s="2">
        <v>0</v>
      </c>
      <c r="AK30" s="2">
        <v>0</v>
      </c>
      <c r="AL30" s="2">
        <v>0</v>
      </c>
      <c r="AM30" s="2">
        <v>0</v>
      </c>
    </row>
    <row r="31" spans="1:39">
      <c r="A31" s="349">
        <v>70505</v>
      </c>
      <c r="B31" s="342" t="s">
        <v>723</v>
      </c>
      <c r="C31" s="358">
        <v>2.9159999999999999E-4</v>
      </c>
      <c r="E31" s="2">
        <v>76861</v>
      </c>
      <c r="F31" s="2">
        <v>118052</v>
      </c>
      <c r="G31" s="2">
        <v>67524</v>
      </c>
      <c r="H31" s="2">
        <v>43396</v>
      </c>
      <c r="I31" s="2">
        <v>0</v>
      </c>
      <c r="J31" s="2"/>
      <c r="K31" s="2">
        <v>54065</v>
      </c>
      <c r="L31" s="2">
        <v>49804</v>
      </c>
      <c r="M31" s="2">
        <v>27719</v>
      </c>
      <c r="N31" s="2">
        <v>0</v>
      </c>
      <c r="O31" s="2">
        <v>0</v>
      </c>
      <c r="P31" s="2"/>
      <c r="Q31" s="2">
        <v>3505</v>
      </c>
      <c r="R31" s="2">
        <v>49019</v>
      </c>
      <c r="S31" s="2">
        <v>50714</v>
      </c>
      <c r="T31" s="2">
        <v>43396</v>
      </c>
      <c r="U31" s="2">
        <v>0</v>
      </c>
      <c r="V31" s="2"/>
      <c r="W31" s="2">
        <v>42800</v>
      </c>
      <c r="X31" s="2">
        <v>34746</v>
      </c>
      <c r="Y31" s="2">
        <v>0</v>
      </c>
      <c r="Z31" s="2">
        <v>0</v>
      </c>
      <c r="AA31" s="2">
        <v>0</v>
      </c>
      <c r="AB31" s="2"/>
      <c r="AC31" s="2">
        <v>0</v>
      </c>
      <c r="AD31" s="2">
        <v>0</v>
      </c>
      <c r="AE31" s="2">
        <v>0</v>
      </c>
      <c r="AF31" s="2">
        <v>0</v>
      </c>
      <c r="AG31" s="2">
        <v>0</v>
      </c>
      <c r="AH31" s="2"/>
      <c r="AI31" s="2">
        <v>-23509</v>
      </c>
      <c r="AJ31" s="2">
        <v>-15517</v>
      </c>
      <c r="AK31" s="2">
        <v>-10909</v>
      </c>
      <c r="AL31" s="2">
        <v>0</v>
      </c>
      <c r="AM31" s="2">
        <v>-15517</v>
      </c>
    </row>
    <row r="32" spans="1:39">
      <c r="A32" s="349">
        <v>72265</v>
      </c>
      <c r="B32" s="342" t="s">
        <v>724</v>
      </c>
      <c r="C32" s="358">
        <v>1.5550000000000001E-4</v>
      </c>
      <c r="E32" s="2">
        <v>60274</v>
      </c>
      <c r="F32" s="2">
        <v>77234</v>
      </c>
      <c r="G32" s="2">
        <v>45817</v>
      </c>
      <c r="H32" s="2">
        <v>23142</v>
      </c>
      <c r="I32" s="2">
        <v>0</v>
      </c>
      <c r="J32" s="2"/>
      <c r="K32" s="2">
        <v>28831</v>
      </c>
      <c r="L32" s="2">
        <v>26558</v>
      </c>
      <c r="M32" s="2">
        <v>14782</v>
      </c>
      <c r="N32" s="2">
        <v>0</v>
      </c>
      <c r="O32" s="2">
        <v>0</v>
      </c>
      <c r="P32" s="2"/>
      <c r="Q32" s="2">
        <v>1869</v>
      </c>
      <c r="R32" s="2">
        <v>26140</v>
      </c>
      <c r="S32" s="2">
        <v>27044</v>
      </c>
      <c r="T32" s="2">
        <v>23142</v>
      </c>
      <c r="U32" s="2">
        <v>0</v>
      </c>
      <c r="V32" s="2"/>
      <c r="W32" s="2">
        <v>22824</v>
      </c>
      <c r="X32" s="2">
        <v>18529</v>
      </c>
      <c r="Y32" s="2">
        <v>0</v>
      </c>
      <c r="Z32" s="2">
        <v>0</v>
      </c>
      <c r="AA32" s="2">
        <v>0</v>
      </c>
      <c r="AB32" s="2"/>
      <c r="AC32" s="2">
        <v>8191</v>
      </c>
      <c r="AD32" s="2">
        <v>7448</v>
      </c>
      <c r="AE32" s="2">
        <v>5431</v>
      </c>
      <c r="AF32" s="2">
        <v>0</v>
      </c>
      <c r="AG32" s="2">
        <v>0</v>
      </c>
      <c r="AH32" s="2"/>
      <c r="AI32" s="2">
        <v>-1441</v>
      </c>
      <c r="AJ32" s="2">
        <v>-1441</v>
      </c>
      <c r="AK32" s="2">
        <v>-1440</v>
      </c>
      <c r="AL32" s="2">
        <v>0</v>
      </c>
      <c r="AM32" s="2">
        <v>-1441</v>
      </c>
    </row>
    <row r="33" spans="1:39">
      <c r="A33" s="349">
        <v>72593</v>
      </c>
      <c r="B33" s="342" t="s">
        <v>725</v>
      </c>
      <c r="C33" s="358">
        <v>6.7000000000000002E-6</v>
      </c>
      <c r="E33" s="2">
        <v>2867</v>
      </c>
      <c r="F33" s="2">
        <v>2876</v>
      </c>
      <c r="G33" s="2">
        <v>1755</v>
      </c>
      <c r="H33" s="2">
        <v>997</v>
      </c>
      <c r="I33" s="2">
        <v>0</v>
      </c>
      <c r="J33" s="2"/>
      <c r="K33" s="2">
        <v>1242</v>
      </c>
      <c r="L33" s="2">
        <v>1144</v>
      </c>
      <c r="M33" s="2">
        <v>637</v>
      </c>
      <c r="N33" s="2">
        <v>0</v>
      </c>
      <c r="O33" s="2">
        <v>0</v>
      </c>
      <c r="P33" s="2"/>
      <c r="Q33" s="2">
        <v>81</v>
      </c>
      <c r="R33" s="2">
        <v>1126</v>
      </c>
      <c r="S33" s="2">
        <v>1165</v>
      </c>
      <c r="T33" s="2">
        <v>997</v>
      </c>
      <c r="U33" s="2">
        <v>0</v>
      </c>
      <c r="V33" s="2"/>
      <c r="W33" s="2">
        <v>983</v>
      </c>
      <c r="X33" s="2">
        <v>798</v>
      </c>
      <c r="Y33" s="2">
        <v>0</v>
      </c>
      <c r="Z33" s="2">
        <v>0</v>
      </c>
      <c r="AA33" s="2">
        <v>0</v>
      </c>
      <c r="AB33" s="2"/>
      <c r="AC33" s="2">
        <v>809</v>
      </c>
      <c r="AD33" s="2">
        <v>54</v>
      </c>
      <c r="AE33" s="2">
        <v>55</v>
      </c>
      <c r="AF33" s="2">
        <v>0</v>
      </c>
      <c r="AG33" s="2">
        <v>0</v>
      </c>
      <c r="AH33" s="2"/>
      <c r="AI33" s="2">
        <v>-248</v>
      </c>
      <c r="AJ33" s="2">
        <v>-246</v>
      </c>
      <c r="AK33" s="2">
        <v>-102</v>
      </c>
      <c r="AL33" s="2">
        <v>0</v>
      </c>
      <c r="AM33" s="2">
        <v>-246</v>
      </c>
    </row>
    <row r="34" spans="1:39">
      <c r="A34" s="349">
        <v>72657</v>
      </c>
      <c r="B34" s="342" t="s">
        <v>726</v>
      </c>
      <c r="C34" s="358">
        <v>3.8000000000000002E-5</v>
      </c>
      <c r="E34" s="2">
        <v>10385</v>
      </c>
      <c r="F34" s="2">
        <v>15538</v>
      </c>
      <c r="G34" s="2">
        <v>8863</v>
      </c>
      <c r="H34" s="2">
        <v>5655</v>
      </c>
      <c r="I34" s="2">
        <v>0</v>
      </c>
      <c r="J34" s="2"/>
      <c r="K34" s="2">
        <v>7046</v>
      </c>
      <c r="L34" s="2">
        <v>6490</v>
      </c>
      <c r="M34" s="2">
        <v>3612</v>
      </c>
      <c r="N34" s="2">
        <v>0</v>
      </c>
      <c r="O34" s="2">
        <v>0</v>
      </c>
      <c r="P34" s="2"/>
      <c r="Q34" s="2">
        <v>457</v>
      </c>
      <c r="R34" s="2">
        <v>6388</v>
      </c>
      <c r="S34" s="2">
        <v>6609</v>
      </c>
      <c r="T34" s="2">
        <v>5655</v>
      </c>
      <c r="U34" s="2">
        <v>0</v>
      </c>
      <c r="V34" s="2"/>
      <c r="W34" s="2">
        <v>5577</v>
      </c>
      <c r="X34" s="2">
        <v>4528</v>
      </c>
      <c r="Y34" s="2">
        <v>0</v>
      </c>
      <c r="Z34" s="2">
        <v>0</v>
      </c>
      <c r="AA34" s="2">
        <v>0</v>
      </c>
      <c r="AB34" s="2"/>
      <c r="AC34" s="2">
        <v>0</v>
      </c>
      <c r="AD34" s="2">
        <v>0</v>
      </c>
      <c r="AE34" s="2">
        <v>0</v>
      </c>
      <c r="AF34" s="2">
        <v>0</v>
      </c>
      <c r="AG34" s="2">
        <v>0</v>
      </c>
      <c r="AH34" s="2"/>
      <c r="AI34" s="2">
        <v>-2695</v>
      </c>
      <c r="AJ34" s="2">
        <v>-1868</v>
      </c>
      <c r="AK34" s="2">
        <v>-1358</v>
      </c>
      <c r="AL34" s="2">
        <v>0</v>
      </c>
      <c r="AM34" s="2">
        <v>-1868</v>
      </c>
    </row>
    <row r="35" spans="1:39">
      <c r="A35" s="349">
        <v>90001</v>
      </c>
      <c r="B35" s="342" t="s">
        <v>727</v>
      </c>
      <c r="C35" s="358">
        <v>8.8630000000000002E-4</v>
      </c>
      <c r="E35" s="2">
        <v>318630</v>
      </c>
      <c r="F35" s="2">
        <v>422668</v>
      </c>
      <c r="G35" s="2">
        <v>254763</v>
      </c>
      <c r="H35" s="2">
        <v>131901</v>
      </c>
      <c r="I35" s="2">
        <v>0</v>
      </c>
      <c r="J35" s="2"/>
      <c r="K35" s="2">
        <v>164328</v>
      </c>
      <c r="L35" s="2">
        <v>151375</v>
      </c>
      <c r="M35" s="2">
        <v>84250</v>
      </c>
      <c r="N35" s="2">
        <v>0</v>
      </c>
      <c r="O35" s="2">
        <v>0</v>
      </c>
      <c r="P35" s="2"/>
      <c r="Q35" s="2">
        <v>10652</v>
      </c>
      <c r="R35" s="2">
        <v>148991</v>
      </c>
      <c r="S35" s="2">
        <v>154144</v>
      </c>
      <c r="T35" s="2">
        <v>131901</v>
      </c>
      <c r="U35" s="2">
        <v>0</v>
      </c>
      <c r="V35" s="2"/>
      <c r="W35" s="2">
        <v>130088</v>
      </c>
      <c r="X35" s="2">
        <v>105609</v>
      </c>
      <c r="Y35" s="2">
        <v>0</v>
      </c>
      <c r="Z35" s="2">
        <v>0</v>
      </c>
      <c r="AA35" s="2">
        <v>0</v>
      </c>
      <c r="AB35" s="2"/>
      <c r="AC35" s="2">
        <v>16695</v>
      </c>
      <c r="AD35" s="2">
        <v>16693</v>
      </c>
      <c r="AE35" s="2">
        <v>16369</v>
      </c>
      <c r="AF35" s="2">
        <v>0</v>
      </c>
      <c r="AG35" s="2">
        <v>0</v>
      </c>
      <c r="AH35" s="2"/>
      <c r="AI35" s="2">
        <v>-3133</v>
      </c>
      <c r="AJ35" s="2">
        <v>0</v>
      </c>
      <c r="AK35" s="2">
        <v>0</v>
      </c>
      <c r="AL35" s="2">
        <v>0</v>
      </c>
      <c r="AM35" s="2">
        <v>0</v>
      </c>
    </row>
    <row r="36" spans="1:39">
      <c r="A36" s="349">
        <v>90002</v>
      </c>
      <c r="B36" s="342" t="s">
        <v>3633</v>
      </c>
      <c r="C36" s="358">
        <v>7.7999999999999999E-6</v>
      </c>
      <c r="E36" s="2">
        <v>3717</v>
      </c>
      <c r="F36" s="2">
        <v>4479</v>
      </c>
      <c r="G36" s="2">
        <v>2827</v>
      </c>
      <c r="H36" s="2">
        <v>1161</v>
      </c>
      <c r="I36" s="2">
        <v>0</v>
      </c>
      <c r="J36" s="2"/>
      <c r="K36" s="2">
        <v>1446</v>
      </c>
      <c r="L36" s="2">
        <v>1332</v>
      </c>
      <c r="M36" s="2">
        <v>741</v>
      </c>
      <c r="N36" s="2">
        <v>0</v>
      </c>
      <c r="O36" s="2">
        <v>0</v>
      </c>
      <c r="P36" s="2"/>
      <c r="Q36" s="2">
        <v>94</v>
      </c>
      <c r="R36" s="2">
        <v>1311</v>
      </c>
      <c r="S36" s="2">
        <v>1357</v>
      </c>
      <c r="T36" s="2">
        <v>1161</v>
      </c>
      <c r="U36" s="2">
        <v>0</v>
      </c>
      <c r="V36" s="2"/>
      <c r="W36" s="2">
        <v>1145</v>
      </c>
      <c r="X36" s="2">
        <v>929</v>
      </c>
      <c r="Y36" s="2">
        <v>0</v>
      </c>
      <c r="Z36" s="2">
        <v>0</v>
      </c>
      <c r="AA36" s="2">
        <v>0</v>
      </c>
      <c r="AB36" s="2"/>
      <c r="AC36" s="2">
        <v>1032</v>
      </c>
      <c r="AD36" s="2">
        <v>907</v>
      </c>
      <c r="AE36" s="2">
        <v>729</v>
      </c>
      <c r="AF36" s="2">
        <v>0</v>
      </c>
      <c r="AG36" s="2">
        <v>0</v>
      </c>
      <c r="AH36" s="2"/>
      <c r="AI36" s="2">
        <v>0</v>
      </c>
      <c r="AJ36" s="2">
        <v>0</v>
      </c>
      <c r="AK36" s="2">
        <v>0</v>
      </c>
      <c r="AL36" s="2">
        <v>0</v>
      </c>
      <c r="AM36" s="2">
        <v>0</v>
      </c>
    </row>
    <row r="37" spans="1:39">
      <c r="A37" s="349">
        <v>90011</v>
      </c>
      <c r="B37" s="342" t="s">
        <v>729</v>
      </c>
      <c r="C37" s="358">
        <v>1.6799999999999999E-4</v>
      </c>
      <c r="E37" s="2">
        <v>47683</v>
      </c>
      <c r="F37" s="2">
        <v>69902</v>
      </c>
      <c r="G37" s="2">
        <v>40030</v>
      </c>
      <c r="H37" s="2">
        <v>25002</v>
      </c>
      <c r="I37" s="2">
        <v>0</v>
      </c>
      <c r="J37" s="2"/>
      <c r="K37" s="2">
        <v>31149</v>
      </c>
      <c r="L37" s="2">
        <v>28693</v>
      </c>
      <c r="M37" s="2">
        <v>15970</v>
      </c>
      <c r="N37" s="2">
        <v>0</v>
      </c>
      <c r="O37" s="2">
        <v>0</v>
      </c>
      <c r="P37" s="2"/>
      <c r="Q37" s="2">
        <v>2019</v>
      </c>
      <c r="R37" s="2">
        <v>28242</v>
      </c>
      <c r="S37" s="2">
        <v>29218</v>
      </c>
      <c r="T37" s="2">
        <v>25002</v>
      </c>
      <c r="U37" s="2">
        <v>0</v>
      </c>
      <c r="V37" s="2"/>
      <c r="W37" s="2">
        <v>24658</v>
      </c>
      <c r="X37" s="2">
        <v>20018</v>
      </c>
      <c r="Y37" s="2">
        <v>0</v>
      </c>
      <c r="Z37" s="2">
        <v>0</v>
      </c>
      <c r="AA37" s="2">
        <v>0</v>
      </c>
      <c r="AB37" s="2"/>
      <c r="AC37" s="2">
        <v>0</v>
      </c>
      <c r="AD37" s="2">
        <v>0</v>
      </c>
      <c r="AE37" s="2">
        <v>0</v>
      </c>
      <c r="AF37" s="2">
        <v>0</v>
      </c>
      <c r="AG37" s="2">
        <v>0</v>
      </c>
      <c r="AH37" s="2"/>
      <c r="AI37" s="2">
        <v>-10143</v>
      </c>
      <c r="AJ37" s="2">
        <v>-7051</v>
      </c>
      <c r="AK37" s="2">
        <v>-5158</v>
      </c>
      <c r="AL37" s="2">
        <v>0</v>
      </c>
      <c r="AM37" s="2">
        <v>-7051</v>
      </c>
    </row>
    <row r="38" spans="1:39">
      <c r="A38" s="349">
        <v>90092</v>
      </c>
      <c r="B38" s="342" t="s">
        <v>2796</v>
      </c>
      <c r="C38" s="358">
        <v>4.2119999999999999E-4</v>
      </c>
      <c r="E38" s="2">
        <v>169117</v>
      </c>
      <c r="F38" s="2">
        <v>219089</v>
      </c>
      <c r="G38" s="2">
        <v>135776</v>
      </c>
      <c r="H38" s="2">
        <v>62684</v>
      </c>
      <c r="I38" s="2">
        <v>0</v>
      </c>
      <c r="J38" s="2"/>
      <c r="K38" s="2">
        <v>78094</v>
      </c>
      <c r="L38" s="2">
        <v>71938</v>
      </c>
      <c r="M38" s="2">
        <v>40038</v>
      </c>
      <c r="N38" s="2">
        <v>0</v>
      </c>
      <c r="O38" s="2">
        <v>0</v>
      </c>
      <c r="P38" s="2"/>
      <c r="Q38" s="2">
        <v>5062</v>
      </c>
      <c r="R38" s="2">
        <v>70806</v>
      </c>
      <c r="S38" s="2">
        <v>73254</v>
      </c>
      <c r="T38" s="2">
        <v>62684</v>
      </c>
      <c r="U38" s="2">
        <v>0</v>
      </c>
      <c r="V38" s="2"/>
      <c r="W38" s="2">
        <v>61822</v>
      </c>
      <c r="X38" s="2">
        <v>50189</v>
      </c>
      <c r="Y38" s="2">
        <v>0</v>
      </c>
      <c r="Z38" s="2">
        <v>0</v>
      </c>
      <c r="AA38" s="2">
        <v>0</v>
      </c>
      <c r="AB38" s="2"/>
      <c r="AC38" s="2">
        <v>26157</v>
      </c>
      <c r="AD38" s="2">
        <v>26156</v>
      </c>
      <c r="AE38" s="2">
        <v>22484</v>
      </c>
      <c r="AF38" s="2">
        <v>0</v>
      </c>
      <c r="AG38" s="2">
        <v>0</v>
      </c>
      <c r="AH38" s="2"/>
      <c r="AI38" s="2">
        <v>-2018</v>
      </c>
      <c r="AJ38" s="2">
        <v>0</v>
      </c>
      <c r="AK38" s="2">
        <v>0</v>
      </c>
      <c r="AL38" s="2">
        <v>0</v>
      </c>
      <c r="AM38" s="2">
        <v>0</v>
      </c>
    </row>
    <row r="39" spans="1:39">
      <c r="A39" s="349">
        <v>90096</v>
      </c>
      <c r="B39" s="342" t="s">
        <v>731</v>
      </c>
      <c r="C39" s="358">
        <v>9.6089999999999999E-4</v>
      </c>
      <c r="E39" s="2">
        <v>345200</v>
      </c>
      <c r="F39" s="2">
        <v>505958</v>
      </c>
      <c r="G39" s="2">
        <v>315581</v>
      </c>
      <c r="H39" s="2">
        <v>143003</v>
      </c>
      <c r="I39" s="2">
        <v>0</v>
      </c>
      <c r="J39" s="2"/>
      <c r="K39" s="2">
        <v>178160</v>
      </c>
      <c r="L39" s="2">
        <v>164116</v>
      </c>
      <c r="M39" s="2">
        <v>91341</v>
      </c>
      <c r="N39" s="2">
        <v>0</v>
      </c>
      <c r="O39" s="2">
        <v>0</v>
      </c>
      <c r="P39" s="2"/>
      <c r="Q39" s="2">
        <v>11549</v>
      </c>
      <c r="R39" s="2">
        <v>161532</v>
      </c>
      <c r="S39" s="2">
        <v>167118</v>
      </c>
      <c r="T39" s="2">
        <v>143003</v>
      </c>
      <c r="U39" s="2">
        <v>0</v>
      </c>
      <c r="V39" s="2"/>
      <c r="W39" s="2">
        <v>141037</v>
      </c>
      <c r="X39" s="2">
        <v>114498</v>
      </c>
      <c r="Y39" s="2">
        <v>0</v>
      </c>
      <c r="Z39" s="2">
        <v>0</v>
      </c>
      <c r="AA39" s="2">
        <v>0</v>
      </c>
      <c r="AB39" s="2"/>
      <c r="AC39" s="2">
        <v>65810</v>
      </c>
      <c r="AD39" s="2">
        <v>65812</v>
      </c>
      <c r="AE39" s="2">
        <v>57122</v>
      </c>
      <c r="AF39" s="2">
        <v>0</v>
      </c>
      <c r="AG39" s="2">
        <v>0</v>
      </c>
      <c r="AH39" s="2"/>
      <c r="AI39" s="2">
        <v>-51356</v>
      </c>
      <c r="AJ39" s="2">
        <v>0</v>
      </c>
      <c r="AK39" s="2">
        <v>0</v>
      </c>
      <c r="AL39" s="2">
        <v>0</v>
      </c>
      <c r="AM39" s="2">
        <v>0</v>
      </c>
    </row>
    <row r="40" spans="1:39">
      <c r="A40" s="349">
        <v>90098</v>
      </c>
      <c r="B40" s="342" t="s">
        <v>732</v>
      </c>
      <c r="C40" s="358">
        <v>2.5950000000000002E-4</v>
      </c>
      <c r="E40" s="2">
        <v>88684</v>
      </c>
      <c r="F40" s="2">
        <v>116830</v>
      </c>
      <c r="G40" s="2">
        <v>63989</v>
      </c>
      <c r="H40" s="2">
        <v>38619</v>
      </c>
      <c r="I40" s="2">
        <v>0</v>
      </c>
      <c r="J40" s="2"/>
      <c r="K40" s="2">
        <v>48114</v>
      </c>
      <c r="L40" s="2">
        <v>44321</v>
      </c>
      <c r="M40" s="2">
        <v>24668</v>
      </c>
      <c r="N40" s="2">
        <v>0</v>
      </c>
      <c r="O40" s="2">
        <v>0</v>
      </c>
      <c r="P40" s="2"/>
      <c r="Q40" s="2">
        <v>3119</v>
      </c>
      <c r="R40" s="2">
        <v>43623</v>
      </c>
      <c r="S40" s="2">
        <v>45132</v>
      </c>
      <c r="T40" s="2">
        <v>38619</v>
      </c>
      <c r="U40" s="2">
        <v>0</v>
      </c>
      <c r="V40" s="2"/>
      <c r="W40" s="2">
        <v>38088</v>
      </c>
      <c r="X40" s="2">
        <v>30921</v>
      </c>
      <c r="Y40" s="2">
        <v>0</v>
      </c>
      <c r="Z40" s="2">
        <v>0</v>
      </c>
      <c r="AA40" s="2">
        <v>0</v>
      </c>
      <c r="AB40" s="2"/>
      <c r="AC40" s="2">
        <v>10629</v>
      </c>
      <c r="AD40" s="2">
        <v>9231</v>
      </c>
      <c r="AE40" s="2">
        <v>5453</v>
      </c>
      <c r="AF40" s="2">
        <v>0</v>
      </c>
      <c r="AG40" s="2">
        <v>0</v>
      </c>
      <c r="AH40" s="2"/>
      <c r="AI40" s="2">
        <v>-11266</v>
      </c>
      <c r="AJ40" s="2">
        <v>-11266</v>
      </c>
      <c r="AK40" s="2">
        <v>-11264</v>
      </c>
      <c r="AL40" s="2">
        <v>0</v>
      </c>
      <c r="AM40" s="2">
        <v>-11266</v>
      </c>
    </row>
    <row r="41" spans="1:39">
      <c r="A41" s="349">
        <v>90099</v>
      </c>
      <c r="B41" s="342" t="s">
        <v>3634</v>
      </c>
      <c r="C41" s="358">
        <v>6.7920000000000003E-4</v>
      </c>
      <c r="E41" s="2">
        <v>236099</v>
      </c>
      <c r="F41" s="2">
        <v>291591</v>
      </c>
      <c r="G41" s="2">
        <v>164179</v>
      </c>
      <c r="H41" s="2">
        <v>101080</v>
      </c>
      <c r="I41" s="2">
        <v>0</v>
      </c>
      <c r="J41" s="2"/>
      <c r="K41" s="2">
        <v>125930</v>
      </c>
      <c r="L41" s="2">
        <v>116003</v>
      </c>
      <c r="M41" s="2">
        <v>64563</v>
      </c>
      <c r="N41" s="2">
        <v>0</v>
      </c>
      <c r="O41" s="2">
        <v>0</v>
      </c>
      <c r="P41" s="2"/>
      <c r="Q41" s="2">
        <v>8163</v>
      </c>
      <c r="R41" s="2">
        <v>114177</v>
      </c>
      <c r="S41" s="2">
        <v>118125</v>
      </c>
      <c r="T41" s="2">
        <v>101080</v>
      </c>
      <c r="U41" s="2">
        <v>0</v>
      </c>
      <c r="V41" s="2"/>
      <c r="W41" s="2">
        <v>99690</v>
      </c>
      <c r="X41" s="2">
        <v>80931</v>
      </c>
      <c r="Y41" s="2">
        <v>0</v>
      </c>
      <c r="Z41" s="2">
        <v>0</v>
      </c>
      <c r="AA41" s="2">
        <v>0</v>
      </c>
      <c r="AB41" s="2"/>
      <c r="AC41" s="2">
        <v>21836</v>
      </c>
      <c r="AD41" s="2">
        <v>0</v>
      </c>
      <c r="AE41" s="2">
        <v>0</v>
      </c>
      <c r="AF41" s="2">
        <v>0</v>
      </c>
      <c r="AG41" s="2">
        <v>0</v>
      </c>
      <c r="AH41" s="2"/>
      <c r="AI41" s="2">
        <v>-19520</v>
      </c>
      <c r="AJ41" s="2">
        <v>-19520</v>
      </c>
      <c r="AK41" s="2">
        <v>-18509</v>
      </c>
      <c r="AL41" s="2">
        <v>0</v>
      </c>
      <c r="AM41" s="2">
        <v>-19520</v>
      </c>
    </row>
    <row r="42" spans="1:39">
      <c r="A42" s="349">
        <v>90101</v>
      </c>
      <c r="B42" s="342" t="s">
        <v>734</v>
      </c>
      <c r="C42" s="358">
        <v>6.2649999999999997E-3</v>
      </c>
      <c r="E42" s="2">
        <v>2108087</v>
      </c>
      <c r="F42" s="2">
        <v>2799260</v>
      </c>
      <c r="G42" s="2">
        <v>1649857</v>
      </c>
      <c r="H42" s="2">
        <v>932370</v>
      </c>
      <c r="I42" s="2">
        <v>0</v>
      </c>
      <c r="J42" s="2"/>
      <c r="K42" s="2">
        <v>1161587</v>
      </c>
      <c r="L42" s="2">
        <v>1070024</v>
      </c>
      <c r="M42" s="2">
        <v>595538</v>
      </c>
      <c r="N42" s="2">
        <v>0</v>
      </c>
      <c r="O42" s="2">
        <v>0</v>
      </c>
      <c r="P42" s="2"/>
      <c r="Q42" s="2">
        <v>75299</v>
      </c>
      <c r="R42" s="2">
        <v>1053178</v>
      </c>
      <c r="S42" s="2">
        <v>1089596</v>
      </c>
      <c r="T42" s="2">
        <v>932370</v>
      </c>
      <c r="U42" s="2">
        <v>0</v>
      </c>
      <c r="V42" s="2"/>
      <c r="W42" s="2">
        <v>919552</v>
      </c>
      <c r="X42" s="2">
        <v>746519</v>
      </c>
      <c r="Y42" s="2">
        <v>0</v>
      </c>
      <c r="Z42" s="2">
        <v>0</v>
      </c>
      <c r="AA42" s="2">
        <v>0</v>
      </c>
      <c r="AB42" s="2"/>
      <c r="AC42" s="2">
        <v>44728</v>
      </c>
      <c r="AD42" s="2">
        <v>22619</v>
      </c>
      <c r="AE42" s="2">
        <v>22620</v>
      </c>
      <c r="AF42" s="2">
        <v>0</v>
      </c>
      <c r="AG42" s="2">
        <v>0</v>
      </c>
      <c r="AH42" s="2"/>
      <c r="AI42" s="2">
        <v>-93079</v>
      </c>
      <c r="AJ42" s="2">
        <v>-93080</v>
      </c>
      <c r="AK42" s="2">
        <v>-57897</v>
      </c>
      <c r="AL42" s="2">
        <v>0</v>
      </c>
      <c r="AM42" s="2">
        <v>-93080</v>
      </c>
    </row>
    <row r="43" spans="1:39">
      <c r="A43" s="349">
        <v>90111</v>
      </c>
      <c r="B43" s="342" t="s">
        <v>735</v>
      </c>
      <c r="C43" s="358">
        <v>4.9195999999999997E-3</v>
      </c>
      <c r="E43" s="2">
        <v>1622274</v>
      </c>
      <c r="F43" s="2">
        <v>2178608</v>
      </c>
      <c r="G43" s="2">
        <v>1246661</v>
      </c>
      <c r="H43" s="2">
        <v>732145</v>
      </c>
      <c r="I43" s="2">
        <v>0</v>
      </c>
      <c r="J43" s="2"/>
      <c r="K43" s="2">
        <v>912138</v>
      </c>
      <c r="L43" s="2">
        <v>840238</v>
      </c>
      <c r="M43" s="2">
        <v>467647</v>
      </c>
      <c r="N43" s="2">
        <v>0</v>
      </c>
      <c r="O43" s="2">
        <v>0</v>
      </c>
      <c r="P43" s="2"/>
      <c r="Q43" s="2">
        <v>59129</v>
      </c>
      <c r="R43" s="2">
        <v>827009</v>
      </c>
      <c r="S43" s="2">
        <v>855607</v>
      </c>
      <c r="T43" s="2">
        <v>732145</v>
      </c>
      <c r="U43" s="2">
        <v>0</v>
      </c>
      <c r="V43" s="2"/>
      <c r="W43" s="2">
        <v>722079</v>
      </c>
      <c r="X43" s="2">
        <v>586205</v>
      </c>
      <c r="Y43" s="2">
        <v>0</v>
      </c>
      <c r="Z43" s="2">
        <v>0</v>
      </c>
      <c r="AA43" s="2">
        <v>0</v>
      </c>
      <c r="AB43" s="2"/>
      <c r="AC43" s="2">
        <v>5522</v>
      </c>
      <c r="AD43" s="2">
        <v>1750</v>
      </c>
      <c r="AE43" s="2">
        <v>0</v>
      </c>
      <c r="AF43" s="2">
        <v>0</v>
      </c>
      <c r="AG43" s="2">
        <v>0</v>
      </c>
      <c r="AH43" s="2"/>
      <c r="AI43" s="2">
        <v>-76594</v>
      </c>
      <c r="AJ43" s="2">
        <v>-76594</v>
      </c>
      <c r="AK43" s="2">
        <v>-76593</v>
      </c>
      <c r="AL43" s="2">
        <v>0</v>
      </c>
      <c r="AM43" s="2">
        <v>-76594</v>
      </c>
    </row>
    <row r="44" spans="1:39">
      <c r="A44" s="349">
        <v>90114</v>
      </c>
      <c r="B44" s="342" t="s">
        <v>736</v>
      </c>
      <c r="C44" s="358">
        <v>1.1237E-3</v>
      </c>
      <c r="E44" s="2">
        <v>800784</v>
      </c>
      <c r="F44" s="2">
        <v>803292</v>
      </c>
      <c r="G44" s="2">
        <v>459384</v>
      </c>
      <c r="H44" s="2">
        <v>167231</v>
      </c>
      <c r="I44" s="2">
        <v>0</v>
      </c>
      <c r="J44" s="2"/>
      <c r="K44" s="2">
        <v>208344</v>
      </c>
      <c r="L44" s="2">
        <v>191921</v>
      </c>
      <c r="M44" s="2">
        <v>106817</v>
      </c>
      <c r="N44" s="2">
        <v>0</v>
      </c>
      <c r="O44" s="2">
        <v>0</v>
      </c>
      <c r="P44" s="2"/>
      <c r="Q44" s="2">
        <v>13506</v>
      </c>
      <c r="R44" s="2">
        <v>188900</v>
      </c>
      <c r="S44" s="2">
        <v>195432</v>
      </c>
      <c r="T44" s="2">
        <v>167231</v>
      </c>
      <c r="U44" s="2">
        <v>0</v>
      </c>
      <c r="V44" s="2"/>
      <c r="W44" s="2">
        <v>164932</v>
      </c>
      <c r="X44" s="2">
        <v>133897</v>
      </c>
      <c r="Y44" s="2">
        <v>0</v>
      </c>
      <c r="Z44" s="2">
        <v>0</v>
      </c>
      <c r="AA44" s="2">
        <v>0</v>
      </c>
      <c r="AB44" s="2"/>
      <c r="AC44" s="2">
        <v>414064</v>
      </c>
      <c r="AD44" s="2">
        <v>288636</v>
      </c>
      <c r="AE44" s="2">
        <v>157196</v>
      </c>
      <c r="AF44" s="2">
        <v>0</v>
      </c>
      <c r="AG44" s="2">
        <v>0</v>
      </c>
      <c r="AH44" s="2"/>
      <c r="AI44" s="2">
        <v>-62</v>
      </c>
      <c r="AJ44" s="2">
        <v>-62</v>
      </c>
      <c r="AK44" s="2">
        <v>-61</v>
      </c>
      <c r="AL44" s="2">
        <v>0</v>
      </c>
      <c r="AM44" s="2">
        <v>-62</v>
      </c>
    </row>
    <row r="45" spans="1:39">
      <c r="A45" s="349">
        <v>90117</v>
      </c>
      <c r="B45" s="342" t="s">
        <v>737</v>
      </c>
      <c r="C45" s="358">
        <v>1.3799999999999999E-4</v>
      </c>
      <c r="E45" s="2">
        <v>67797</v>
      </c>
      <c r="F45" s="2">
        <v>79442</v>
      </c>
      <c r="G45" s="2">
        <v>49843</v>
      </c>
      <c r="H45" s="2">
        <v>20537</v>
      </c>
      <c r="I45" s="2">
        <v>0</v>
      </c>
      <c r="J45" s="2"/>
      <c r="K45" s="2">
        <v>25586</v>
      </c>
      <c r="L45" s="2">
        <v>23570</v>
      </c>
      <c r="M45" s="2">
        <v>13118</v>
      </c>
      <c r="N45" s="2">
        <v>0</v>
      </c>
      <c r="O45" s="2">
        <v>0</v>
      </c>
      <c r="P45" s="2"/>
      <c r="Q45" s="2">
        <v>1659</v>
      </c>
      <c r="R45" s="2">
        <v>23198</v>
      </c>
      <c r="S45" s="2">
        <v>24001</v>
      </c>
      <c r="T45" s="2">
        <v>20537</v>
      </c>
      <c r="U45" s="2">
        <v>0</v>
      </c>
      <c r="V45" s="2"/>
      <c r="W45" s="2">
        <v>20255</v>
      </c>
      <c r="X45" s="2">
        <v>16444</v>
      </c>
      <c r="Y45" s="2">
        <v>0</v>
      </c>
      <c r="Z45" s="2">
        <v>0</v>
      </c>
      <c r="AA45" s="2">
        <v>0</v>
      </c>
      <c r="AB45" s="2"/>
      <c r="AC45" s="2">
        <v>20297</v>
      </c>
      <c r="AD45" s="2">
        <v>16230</v>
      </c>
      <c r="AE45" s="2">
        <v>12724</v>
      </c>
      <c r="AF45" s="2">
        <v>0</v>
      </c>
      <c r="AG45" s="2">
        <v>0</v>
      </c>
      <c r="AH45" s="2"/>
      <c r="AI45" s="2">
        <v>0</v>
      </c>
      <c r="AJ45" s="2">
        <v>0</v>
      </c>
      <c r="AK45" s="2">
        <v>0</v>
      </c>
      <c r="AL45" s="2">
        <v>0</v>
      </c>
      <c r="AM45" s="2">
        <v>0</v>
      </c>
    </row>
    <row r="46" spans="1:39">
      <c r="A46" s="349">
        <v>90121</v>
      </c>
      <c r="B46" s="342" t="s">
        <v>738</v>
      </c>
      <c r="C46" s="358">
        <v>1.0861E-3</v>
      </c>
      <c r="E46" s="2">
        <v>327638</v>
      </c>
      <c r="F46" s="2">
        <v>458392</v>
      </c>
      <c r="G46" s="2">
        <v>271279</v>
      </c>
      <c r="H46" s="2">
        <v>161636</v>
      </c>
      <c r="I46" s="2">
        <v>0</v>
      </c>
      <c r="J46" s="2"/>
      <c r="K46" s="2">
        <v>201373</v>
      </c>
      <c r="L46" s="2">
        <v>185499</v>
      </c>
      <c r="M46" s="2">
        <v>103242</v>
      </c>
      <c r="N46" s="2">
        <v>0</v>
      </c>
      <c r="O46" s="2">
        <v>0</v>
      </c>
      <c r="P46" s="2"/>
      <c r="Q46" s="2">
        <v>13054</v>
      </c>
      <c r="R46" s="2">
        <v>182579</v>
      </c>
      <c r="S46" s="2">
        <v>188892</v>
      </c>
      <c r="T46" s="2">
        <v>161636</v>
      </c>
      <c r="U46" s="2">
        <v>0</v>
      </c>
      <c r="V46" s="2"/>
      <c r="W46" s="2">
        <v>159413</v>
      </c>
      <c r="X46" s="2">
        <v>129416</v>
      </c>
      <c r="Y46" s="2">
        <v>0</v>
      </c>
      <c r="Z46" s="2">
        <v>0</v>
      </c>
      <c r="AA46" s="2">
        <v>0</v>
      </c>
      <c r="AB46" s="2"/>
      <c r="AC46" s="2">
        <v>0</v>
      </c>
      <c r="AD46" s="2">
        <v>0</v>
      </c>
      <c r="AE46" s="2">
        <v>0</v>
      </c>
      <c r="AF46" s="2">
        <v>0</v>
      </c>
      <c r="AG46" s="2">
        <v>0</v>
      </c>
      <c r="AH46" s="2"/>
      <c r="AI46" s="2">
        <v>-46202</v>
      </c>
      <c r="AJ46" s="2">
        <v>-39102</v>
      </c>
      <c r="AK46" s="2">
        <v>-20855</v>
      </c>
      <c r="AL46" s="2">
        <v>0</v>
      </c>
      <c r="AM46" s="2">
        <v>-39102</v>
      </c>
    </row>
    <row r="47" spans="1:39">
      <c r="A47" s="349">
        <v>90131</v>
      </c>
      <c r="B47" s="342" t="s">
        <v>739</v>
      </c>
      <c r="C47" s="358">
        <v>4.9819999999999997E-4</v>
      </c>
      <c r="E47" s="2">
        <v>163104</v>
      </c>
      <c r="F47" s="2">
        <v>226810</v>
      </c>
      <c r="G47" s="2">
        <v>135159</v>
      </c>
      <c r="H47" s="2">
        <v>74143</v>
      </c>
      <c r="I47" s="2">
        <v>0</v>
      </c>
      <c r="J47" s="2"/>
      <c r="K47" s="2">
        <v>92371</v>
      </c>
      <c r="L47" s="2">
        <v>85090</v>
      </c>
      <c r="M47" s="2">
        <v>47358</v>
      </c>
      <c r="N47" s="2">
        <v>0</v>
      </c>
      <c r="O47" s="2">
        <v>0</v>
      </c>
      <c r="P47" s="2"/>
      <c r="Q47" s="2">
        <v>5988</v>
      </c>
      <c r="R47" s="2">
        <v>83750</v>
      </c>
      <c r="S47" s="2">
        <v>86646</v>
      </c>
      <c r="T47" s="2">
        <v>74143</v>
      </c>
      <c r="U47" s="2">
        <v>0</v>
      </c>
      <c r="V47" s="2"/>
      <c r="W47" s="2">
        <v>73124</v>
      </c>
      <c r="X47" s="2">
        <v>59364</v>
      </c>
      <c r="Y47" s="2">
        <v>0</v>
      </c>
      <c r="Z47" s="2">
        <v>0</v>
      </c>
      <c r="AA47" s="2">
        <v>0</v>
      </c>
      <c r="AB47" s="2"/>
      <c r="AC47" s="2">
        <v>1158</v>
      </c>
      <c r="AD47" s="2">
        <v>1158</v>
      </c>
      <c r="AE47" s="2">
        <v>1155</v>
      </c>
      <c r="AF47" s="2">
        <v>0</v>
      </c>
      <c r="AG47" s="2">
        <v>0</v>
      </c>
      <c r="AH47" s="2"/>
      <c r="AI47" s="2">
        <v>-9537</v>
      </c>
      <c r="AJ47" s="2">
        <v>-2552</v>
      </c>
      <c r="AK47" s="2">
        <v>0</v>
      </c>
      <c r="AL47" s="2">
        <v>0</v>
      </c>
      <c r="AM47" s="2">
        <v>-2552</v>
      </c>
    </row>
    <row r="48" spans="1:39">
      <c r="A48" s="349">
        <v>90141</v>
      </c>
      <c r="B48" s="342" t="s">
        <v>740</v>
      </c>
      <c r="C48" s="358">
        <v>1.6770000000000001E-4</v>
      </c>
      <c r="E48" s="2">
        <v>65564</v>
      </c>
      <c r="F48" s="2">
        <v>82811</v>
      </c>
      <c r="G48" s="2">
        <v>51801</v>
      </c>
      <c r="H48" s="2">
        <v>24957</v>
      </c>
      <c r="I48" s="2">
        <v>0</v>
      </c>
      <c r="J48" s="2"/>
      <c r="K48" s="2">
        <v>31093</v>
      </c>
      <c r="L48" s="2">
        <v>28642</v>
      </c>
      <c r="M48" s="2">
        <v>15941</v>
      </c>
      <c r="N48" s="2">
        <v>0</v>
      </c>
      <c r="O48" s="2">
        <v>0</v>
      </c>
      <c r="P48" s="2"/>
      <c r="Q48" s="2">
        <v>2016</v>
      </c>
      <c r="R48" s="2">
        <v>28191</v>
      </c>
      <c r="S48" s="2">
        <v>29166</v>
      </c>
      <c r="T48" s="2">
        <v>24957</v>
      </c>
      <c r="U48" s="2">
        <v>0</v>
      </c>
      <c r="V48" s="2"/>
      <c r="W48" s="2">
        <v>24614</v>
      </c>
      <c r="X48" s="2">
        <v>19983</v>
      </c>
      <c r="Y48" s="2">
        <v>0</v>
      </c>
      <c r="Z48" s="2">
        <v>0</v>
      </c>
      <c r="AA48" s="2">
        <v>0</v>
      </c>
      <c r="AB48" s="2"/>
      <c r="AC48" s="2">
        <v>8542</v>
      </c>
      <c r="AD48" s="2">
        <v>6697</v>
      </c>
      <c r="AE48" s="2">
        <v>6694</v>
      </c>
      <c r="AF48" s="2">
        <v>0</v>
      </c>
      <c r="AG48" s="2">
        <v>0</v>
      </c>
      <c r="AH48" s="2"/>
      <c r="AI48" s="2">
        <v>-701</v>
      </c>
      <c r="AJ48" s="2">
        <v>-702</v>
      </c>
      <c r="AK48" s="2">
        <v>0</v>
      </c>
      <c r="AL48" s="2">
        <v>0</v>
      </c>
      <c r="AM48" s="2">
        <v>-702</v>
      </c>
    </row>
    <row r="49" spans="1:39">
      <c r="A49" s="349">
        <v>90151</v>
      </c>
      <c r="B49" s="342" t="s">
        <v>741</v>
      </c>
      <c r="C49" s="358">
        <v>8.8999999999999995E-6</v>
      </c>
      <c r="E49" s="2">
        <v>1529</v>
      </c>
      <c r="F49" s="2">
        <v>2852</v>
      </c>
      <c r="G49" s="2">
        <v>1497</v>
      </c>
      <c r="H49" s="2">
        <v>1325</v>
      </c>
      <c r="I49" s="2">
        <v>0</v>
      </c>
      <c r="J49" s="2"/>
      <c r="K49" s="2">
        <v>1650</v>
      </c>
      <c r="L49" s="2">
        <v>1520</v>
      </c>
      <c r="M49" s="2">
        <v>846</v>
      </c>
      <c r="N49" s="2">
        <v>0</v>
      </c>
      <c r="O49" s="2">
        <v>0</v>
      </c>
      <c r="P49" s="2"/>
      <c r="Q49" s="2">
        <v>107</v>
      </c>
      <c r="R49" s="2">
        <v>1496</v>
      </c>
      <c r="S49" s="2">
        <v>1548</v>
      </c>
      <c r="T49" s="2">
        <v>1325</v>
      </c>
      <c r="U49" s="2">
        <v>0</v>
      </c>
      <c r="V49" s="2"/>
      <c r="W49" s="2">
        <v>1306</v>
      </c>
      <c r="X49" s="2">
        <v>1060</v>
      </c>
      <c r="Y49" s="2">
        <v>0</v>
      </c>
      <c r="Z49" s="2">
        <v>0</v>
      </c>
      <c r="AA49" s="2">
        <v>0</v>
      </c>
      <c r="AB49" s="2"/>
      <c r="AC49" s="2">
        <v>0</v>
      </c>
      <c r="AD49" s="2">
        <v>0</v>
      </c>
      <c r="AE49" s="2">
        <v>0</v>
      </c>
      <c r="AF49" s="2">
        <v>0</v>
      </c>
      <c r="AG49" s="2">
        <v>0</v>
      </c>
      <c r="AH49" s="2"/>
      <c r="AI49" s="2">
        <v>-1534</v>
      </c>
      <c r="AJ49" s="2">
        <v>-1224</v>
      </c>
      <c r="AK49" s="2">
        <v>-897</v>
      </c>
      <c r="AL49" s="2">
        <v>0</v>
      </c>
      <c r="AM49" s="2">
        <v>-1224</v>
      </c>
    </row>
    <row r="50" spans="1:39">
      <c r="A50" s="349">
        <v>90161</v>
      </c>
      <c r="B50" s="342" t="s">
        <v>742</v>
      </c>
      <c r="C50" s="358">
        <v>2.73E-5</v>
      </c>
      <c r="E50" s="2">
        <v>4876</v>
      </c>
      <c r="F50" s="2">
        <v>8103</v>
      </c>
      <c r="G50" s="2">
        <v>2276</v>
      </c>
      <c r="H50" s="2">
        <v>4063</v>
      </c>
      <c r="I50" s="2">
        <v>0</v>
      </c>
      <c r="J50" s="2"/>
      <c r="K50" s="2">
        <v>5062</v>
      </c>
      <c r="L50" s="2">
        <v>4663</v>
      </c>
      <c r="M50" s="2">
        <v>2595</v>
      </c>
      <c r="N50" s="2">
        <v>0</v>
      </c>
      <c r="O50" s="2">
        <v>0</v>
      </c>
      <c r="P50" s="2"/>
      <c r="Q50" s="2">
        <v>328</v>
      </c>
      <c r="R50" s="2">
        <v>4589</v>
      </c>
      <c r="S50" s="2">
        <v>4748</v>
      </c>
      <c r="T50" s="2">
        <v>4063</v>
      </c>
      <c r="U50" s="2">
        <v>0</v>
      </c>
      <c r="V50" s="2"/>
      <c r="W50" s="2">
        <v>4007</v>
      </c>
      <c r="X50" s="2">
        <v>3253</v>
      </c>
      <c r="Y50" s="2">
        <v>0</v>
      </c>
      <c r="Z50" s="2">
        <v>0</v>
      </c>
      <c r="AA50" s="2">
        <v>0</v>
      </c>
      <c r="AB50" s="2"/>
      <c r="AC50" s="2">
        <v>664</v>
      </c>
      <c r="AD50" s="2">
        <v>666</v>
      </c>
      <c r="AE50" s="2">
        <v>0</v>
      </c>
      <c r="AF50" s="2">
        <v>0</v>
      </c>
      <c r="AG50" s="2">
        <v>0</v>
      </c>
      <c r="AH50" s="2"/>
      <c r="AI50" s="2">
        <v>-5185</v>
      </c>
      <c r="AJ50" s="2">
        <v>-5068</v>
      </c>
      <c r="AK50" s="2">
        <v>-5067</v>
      </c>
      <c r="AL50" s="2">
        <v>0</v>
      </c>
      <c r="AM50" s="2">
        <v>-5068</v>
      </c>
    </row>
    <row r="51" spans="1:39">
      <c r="A51" s="349">
        <v>90201</v>
      </c>
      <c r="B51" s="342" t="s">
        <v>743</v>
      </c>
      <c r="C51" s="358">
        <v>1.3292E-3</v>
      </c>
      <c r="E51" s="2">
        <v>480257</v>
      </c>
      <c r="F51" s="2">
        <v>640602</v>
      </c>
      <c r="G51" s="2">
        <v>395710</v>
      </c>
      <c r="H51" s="2">
        <v>197814</v>
      </c>
      <c r="I51" s="2">
        <v>0</v>
      </c>
      <c r="J51" s="2"/>
      <c r="K51" s="2">
        <v>246446</v>
      </c>
      <c r="L51" s="2">
        <v>227019</v>
      </c>
      <c r="M51" s="2">
        <v>126351</v>
      </c>
      <c r="N51" s="2">
        <v>0</v>
      </c>
      <c r="O51" s="2">
        <v>0</v>
      </c>
      <c r="P51" s="2"/>
      <c r="Q51" s="2">
        <v>15976</v>
      </c>
      <c r="R51" s="2">
        <v>223445</v>
      </c>
      <c r="S51" s="2">
        <v>231172</v>
      </c>
      <c r="T51" s="2">
        <v>197814</v>
      </c>
      <c r="U51" s="2">
        <v>0</v>
      </c>
      <c r="V51" s="2"/>
      <c r="W51" s="2">
        <v>195095</v>
      </c>
      <c r="X51" s="2">
        <v>158383</v>
      </c>
      <c r="Y51" s="2">
        <v>0</v>
      </c>
      <c r="Z51" s="2">
        <v>0</v>
      </c>
      <c r="AA51" s="2">
        <v>0</v>
      </c>
      <c r="AB51" s="2"/>
      <c r="AC51" s="2">
        <v>38189</v>
      </c>
      <c r="AD51" s="2">
        <v>38189</v>
      </c>
      <c r="AE51" s="2">
        <v>38187</v>
      </c>
      <c r="AF51" s="2">
        <v>0</v>
      </c>
      <c r="AG51" s="2">
        <v>0</v>
      </c>
      <c r="AH51" s="2"/>
      <c r="AI51" s="2">
        <v>-15449</v>
      </c>
      <c r="AJ51" s="2">
        <v>-6434</v>
      </c>
      <c r="AK51" s="2">
        <v>0</v>
      </c>
      <c r="AL51" s="2">
        <v>0</v>
      </c>
      <c r="AM51" s="2">
        <v>-6434</v>
      </c>
    </row>
    <row r="52" spans="1:39">
      <c r="A52" s="349">
        <v>90203</v>
      </c>
      <c r="B52" s="342" t="s">
        <v>3635</v>
      </c>
      <c r="C52" s="358">
        <v>1.8110000000000001E-4</v>
      </c>
      <c r="E52" s="2">
        <v>51248</v>
      </c>
      <c r="F52" s="2">
        <v>78232</v>
      </c>
      <c r="G52" s="2">
        <v>43211</v>
      </c>
      <c r="H52" s="2">
        <v>26952</v>
      </c>
      <c r="I52" s="2">
        <v>0</v>
      </c>
      <c r="J52" s="2"/>
      <c r="K52" s="2">
        <v>33578</v>
      </c>
      <c r="L52" s="2">
        <v>30931</v>
      </c>
      <c r="M52" s="2">
        <v>17215</v>
      </c>
      <c r="N52" s="2">
        <v>0</v>
      </c>
      <c r="O52" s="2">
        <v>0</v>
      </c>
      <c r="P52" s="2"/>
      <c r="Q52" s="2">
        <v>2177</v>
      </c>
      <c r="R52" s="2">
        <v>30444</v>
      </c>
      <c r="S52" s="2">
        <v>31497</v>
      </c>
      <c r="T52" s="2">
        <v>26952</v>
      </c>
      <c r="U52" s="2">
        <v>0</v>
      </c>
      <c r="V52" s="2"/>
      <c r="W52" s="2">
        <v>26581</v>
      </c>
      <c r="X52" s="2">
        <v>21579</v>
      </c>
      <c r="Y52" s="2">
        <v>0</v>
      </c>
      <c r="Z52" s="2">
        <v>0</v>
      </c>
      <c r="AA52" s="2">
        <v>0</v>
      </c>
      <c r="AB52" s="2"/>
      <c r="AC52" s="2">
        <v>1514</v>
      </c>
      <c r="AD52" s="2">
        <v>1515</v>
      </c>
      <c r="AE52" s="2">
        <v>735</v>
      </c>
      <c r="AF52" s="2">
        <v>0</v>
      </c>
      <c r="AG52" s="2">
        <v>0</v>
      </c>
      <c r="AH52" s="2"/>
      <c r="AI52" s="2">
        <v>-12602</v>
      </c>
      <c r="AJ52" s="2">
        <v>-6237</v>
      </c>
      <c r="AK52" s="2">
        <v>-6236</v>
      </c>
      <c r="AL52" s="2">
        <v>0</v>
      </c>
      <c r="AM52" s="2">
        <v>-6237</v>
      </c>
    </row>
    <row r="53" spans="1:39">
      <c r="A53" s="349">
        <v>90205</v>
      </c>
      <c r="B53" s="342" t="s">
        <v>745</v>
      </c>
      <c r="C53" s="358">
        <v>3.0199999999999999E-5</v>
      </c>
      <c r="E53" s="2">
        <v>10600</v>
      </c>
      <c r="F53" s="2">
        <v>14550</v>
      </c>
      <c r="G53" s="2">
        <v>8251</v>
      </c>
      <c r="H53" s="2">
        <v>4494</v>
      </c>
      <c r="I53" s="2">
        <v>0</v>
      </c>
      <c r="J53" s="2"/>
      <c r="K53" s="2">
        <v>5599</v>
      </c>
      <c r="L53" s="2">
        <v>5158</v>
      </c>
      <c r="M53" s="2">
        <v>2871</v>
      </c>
      <c r="N53" s="2">
        <v>0</v>
      </c>
      <c r="O53" s="2">
        <v>0</v>
      </c>
      <c r="P53" s="2"/>
      <c r="Q53" s="2">
        <v>363</v>
      </c>
      <c r="R53" s="2">
        <v>5077</v>
      </c>
      <c r="S53" s="2">
        <v>5252</v>
      </c>
      <c r="T53" s="2">
        <v>4494</v>
      </c>
      <c r="U53" s="2">
        <v>0</v>
      </c>
      <c r="V53" s="2"/>
      <c r="W53" s="2">
        <v>4433</v>
      </c>
      <c r="X53" s="2">
        <v>3599</v>
      </c>
      <c r="Y53" s="2">
        <v>0</v>
      </c>
      <c r="Z53" s="2">
        <v>0</v>
      </c>
      <c r="AA53" s="2">
        <v>0</v>
      </c>
      <c r="AB53" s="2"/>
      <c r="AC53" s="2">
        <v>860</v>
      </c>
      <c r="AD53" s="2">
        <v>858</v>
      </c>
      <c r="AE53" s="2">
        <v>268</v>
      </c>
      <c r="AF53" s="2">
        <v>0</v>
      </c>
      <c r="AG53" s="2">
        <v>0</v>
      </c>
      <c r="AH53" s="2"/>
      <c r="AI53" s="2">
        <v>-655</v>
      </c>
      <c r="AJ53" s="2">
        <v>-142</v>
      </c>
      <c r="AK53" s="2">
        <v>-140</v>
      </c>
      <c r="AL53" s="2">
        <v>0</v>
      </c>
      <c r="AM53" s="2">
        <v>-142</v>
      </c>
    </row>
    <row r="54" spans="1:39">
      <c r="A54" s="349">
        <v>90206</v>
      </c>
      <c r="B54" s="342" t="s">
        <v>3636</v>
      </c>
      <c r="C54" s="358">
        <v>3.6870000000000002E-4</v>
      </c>
      <c r="E54" s="2">
        <v>119653</v>
      </c>
      <c r="F54" s="2">
        <v>165755</v>
      </c>
      <c r="G54" s="2">
        <v>97478</v>
      </c>
      <c r="H54" s="2">
        <v>54871</v>
      </c>
      <c r="I54" s="2">
        <v>0</v>
      </c>
      <c r="J54" s="2"/>
      <c r="K54" s="2">
        <v>68360</v>
      </c>
      <c r="L54" s="2">
        <v>62972</v>
      </c>
      <c r="M54" s="2">
        <v>35048</v>
      </c>
      <c r="N54" s="2">
        <v>0</v>
      </c>
      <c r="O54" s="2">
        <v>0</v>
      </c>
      <c r="P54" s="2"/>
      <c r="Q54" s="2">
        <v>4431</v>
      </c>
      <c r="R54" s="2">
        <v>61980</v>
      </c>
      <c r="S54" s="2">
        <v>64124</v>
      </c>
      <c r="T54" s="2">
        <v>54871</v>
      </c>
      <c r="U54" s="2">
        <v>0</v>
      </c>
      <c r="V54" s="2"/>
      <c r="W54" s="2">
        <v>54116</v>
      </c>
      <c r="X54" s="2">
        <v>43933</v>
      </c>
      <c r="Y54" s="2">
        <v>0</v>
      </c>
      <c r="Z54" s="2">
        <v>0</v>
      </c>
      <c r="AA54" s="2">
        <v>0</v>
      </c>
      <c r="AB54" s="2"/>
      <c r="AC54" s="2">
        <v>9089</v>
      </c>
      <c r="AD54" s="2">
        <v>9089</v>
      </c>
      <c r="AE54" s="2">
        <v>9088</v>
      </c>
      <c r="AF54" s="2">
        <v>0</v>
      </c>
      <c r="AG54" s="2">
        <v>0</v>
      </c>
      <c r="AH54" s="2"/>
      <c r="AI54" s="2">
        <v>-16343</v>
      </c>
      <c r="AJ54" s="2">
        <v>-12219</v>
      </c>
      <c r="AK54" s="2">
        <v>-10782</v>
      </c>
      <c r="AL54" s="2">
        <v>0</v>
      </c>
      <c r="AM54" s="2">
        <v>-12219</v>
      </c>
    </row>
    <row r="55" spans="1:39">
      <c r="A55" s="349">
        <v>90211</v>
      </c>
      <c r="B55" s="342" t="s">
        <v>747</v>
      </c>
      <c r="C55" s="358">
        <v>1.473E-4</v>
      </c>
      <c r="E55" s="2">
        <v>50871</v>
      </c>
      <c r="F55" s="2">
        <v>68471</v>
      </c>
      <c r="G55" s="2">
        <v>38833</v>
      </c>
      <c r="H55" s="2">
        <v>21921</v>
      </c>
      <c r="I55" s="2">
        <v>0</v>
      </c>
      <c r="J55" s="2"/>
      <c r="K55" s="2">
        <v>27311</v>
      </c>
      <c r="L55" s="2">
        <v>25158</v>
      </c>
      <c r="M55" s="2">
        <v>14002</v>
      </c>
      <c r="N55" s="2">
        <v>0</v>
      </c>
      <c r="O55" s="2">
        <v>0</v>
      </c>
      <c r="P55" s="2"/>
      <c r="Q55" s="2">
        <v>1770</v>
      </c>
      <c r="R55" s="2">
        <v>24762</v>
      </c>
      <c r="S55" s="2">
        <v>25618</v>
      </c>
      <c r="T55" s="2">
        <v>21921</v>
      </c>
      <c r="U55" s="2">
        <v>0</v>
      </c>
      <c r="V55" s="2"/>
      <c r="W55" s="2">
        <v>21620</v>
      </c>
      <c r="X55" s="2">
        <v>17552</v>
      </c>
      <c r="Y55" s="2">
        <v>0</v>
      </c>
      <c r="Z55" s="2">
        <v>0</v>
      </c>
      <c r="AA55" s="2">
        <v>0</v>
      </c>
      <c r="AB55" s="2"/>
      <c r="AC55" s="2">
        <v>2962</v>
      </c>
      <c r="AD55" s="2">
        <v>2964</v>
      </c>
      <c r="AE55" s="2">
        <v>1177</v>
      </c>
      <c r="AF55" s="2">
        <v>0</v>
      </c>
      <c r="AG55" s="2">
        <v>0</v>
      </c>
      <c r="AH55" s="2"/>
      <c r="AI55" s="2">
        <v>-2792</v>
      </c>
      <c r="AJ55" s="2">
        <v>-1965</v>
      </c>
      <c r="AK55" s="2">
        <v>-1964</v>
      </c>
      <c r="AL55" s="2">
        <v>0</v>
      </c>
      <c r="AM55" s="2">
        <v>-1965</v>
      </c>
    </row>
    <row r="56" spans="1:39">
      <c r="A56" s="349">
        <v>90301</v>
      </c>
      <c r="B56" s="342" t="s">
        <v>748</v>
      </c>
      <c r="C56" s="358">
        <v>7.2150000000000003E-4</v>
      </c>
      <c r="E56" s="2">
        <v>241616</v>
      </c>
      <c r="F56" s="2">
        <v>324105</v>
      </c>
      <c r="G56" s="2">
        <v>189200</v>
      </c>
      <c r="H56" s="2">
        <v>107375</v>
      </c>
      <c r="I56" s="2">
        <v>0</v>
      </c>
      <c r="J56" s="2"/>
      <c r="K56" s="2">
        <v>133773</v>
      </c>
      <c r="L56" s="2">
        <v>123228</v>
      </c>
      <c r="M56" s="2">
        <v>68584</v>
      </c>
      <c r="N56" s="2">
        <v>0</v>
      </c>
      <c r="O56" s="2">
        <v>0</v>
      </c>
      <c r="P56" s="2"/>
      <c r="Q56" s="2">
        <v>8672</v>
      </c>
      <c r="R56" s="2">
        <v>121288</v>
      </c>
      <c r="S56" s="2">
        <v>125482</v>
      </c>
      <c r="T56" s="2">
        <v>107375</v>
      </c>
      <c r="U56" s="2">
        <v>0</v>
      </c>
      <c r="V56" s="2"/>
      <c r="W56" s="2">
        <v>105899</v>
      </c>
      <c r="X56" s="2">
        <v>85972</v>
      </c>
      <c r="Y56" s="2">
        <v>0</v>
      </c>
      <c r="Z56" s="2">
        <v>0</v>
      </c>
      <c r="AA56" s="2">
        <v>0</v>
      </c>
      <c r="AB56" s="2"/>
      <c r="AC56" s="2">
        <v>0</v>
      </c>
      <c r="AD56" s="2">
        <v>0</v>
      </c>
      <c r="AE56" s="2">
        <v>0</v>
      </c>
      <c r="AF56" s="2">
        <v>0</v>
      </c>
      <c r="AG56" s="2">
        <v>0</v>
      </c>
      <c r="AH56" s="2"/>
      <c r="AI56" s="2">
        <v>-6728</v>
      </c>
      <c r="AJ56" s="2">
        <v>-6383</v>
      </c>
      <c r="AK56" s="2">
        <v>-4866</v>
      </c>
      <c r="AL56" s="2">
        <v>0</v>
      </c>
      <c r="AM56" s="2">
        <v>-6383</v>
      </c>
    </row>
    <row r="57" spans="1:39">
      <c r="A57" s="349">
        <v>90305</v>
      </c>
      <c r="B57" s="342" t="s">
        <v>749</v>
      </c>
      <c r="C57" s="358">
        <v>1.4750000000000001E-4</v>
      </c>
      <c r="E57" s="2">
        <v>61339</v>
      </c>
      <c r="F57" s="2">
        <v>77208</v>
      </c>
      <c r="G57" s="2">
        <v>48916</v>
      </c>
      <c r="H57" s="2">
        <v>21951</v>
      </c>
      <c r="I57" s="2">
        <v>0</v>
      </c>
      <c r="J57" s="2"/>
      <c r="K57" s="2">
        <v>27348</v>
      </c>
      <c r="L57" s="2">
        <v>25192</v>
      </c>
      <c r="M57" s="2">
        <v>14021</v>
      </c>
      <c r="N57" s="2">
        <v>0</v>
      </c>
      <c r="O57" s="2">
        <v>0</v>
      </c>
      <c r="P57" s="2"/>
      <c r="Q57" s="2">
        <v>1773</v>
      </c>
      <c r="R57" s="2">
        <v>24795</v>
      </c>
      <c r="S57" s="2">
        <v>25653</v>
      </c>
      <c r="T57" s="2">
        <v>21951</v>
      </c>
      <c r="U57" s="2">
        <v>0</v>
      </c>
      <c r="V57" s="2"/>
      <c r="W57" s="2">
        <v>21649</v>
      </c>
      <c r="X57" s="2">
        <v>17576</v>
      </c>
      <c r="Y57" s="2">
        <v>0</v>
      </c>
      <c r="Z57" s="2">
        <v>0</v>
      </c>
      <c r="AA57" s="2">
        <v>0</v>
      </c>
      <c r="AB57" s="2"/>
      <c r="AC57" s="2">
        <v>10569</v>
      </c>
      <c r="AD57" s="2">
        <v>9645</v>
      </c>
      <c r="AE57" s="2">
        <v>9242</v>
      </c>
      <c r="AF57" s="2">
        <v>0</v>
      </c>
      <c r="AG57" s="2">
        <v>0</v>
      </c>
      <c r="AH57" s="2"/>
      <c r="AI57" s="2">
        <v>0</v>
      </c>
      <c r="AJ57" s="2">
        <v>0</v>
      </c>
      <c r="AK57" s="2">
        <v>0</v>
      </c>
      <c r="AL57" s="2">
        <v>0</v>
      </c>
      <c r="AM57" s="2">
        <v>0</v>
      </c>
    </row>
    <row r="58" spans="1:39">
      <c r="A58" s="349">
        <v>90307</v>
      </c>
      <c r="B58" s="342" t="s">
        <v>750</v>
      </c>
      <c r="C58" s="358">
        <v>5.1000000000000003E-6</v>
      </c>
      <c r="E58" s="2">
        <v>2169</v>
      </c>
      <c r="F58" s="2">
        <v>2624</v>
      </c>
      <c r="G58" s="2">
        <v>1669</v>
      </c>
      <c r="H58" s="2">
        <v>759</v>
      </c>
      <c r="I58" s="2">
        <v>0</v>
      </c>
      <c r="J58" s="2"/>
      <c r="K58" s="2">
        <v>946</v>
      </c>
      <c r="L58" s="2">
        <v>871</v>
      </c>
      <c r="M58" s="2">
        <v>485</v>
      </c>
      <c r="N58" s="2">
        <v>0</v>
      </c>
      <c r="O58" s="2">
        <v>0</v>
      </c>
      <c r="P58" s="2"/>
      <c r="Q58" s="2">
        <v>61</v>
      </c>
      <c r="R58" s="2">
        <v>857</v>
      </c>
      <c r="S58" s="2">
        <v>887</v>
      </c>
      <c r="T58" s="2">
        <v>759</v>
      </c>
      <c r="U58" s="2">
        <v>0</v>
      </c>
      <c r="V58" s="2"/>
      <c r="W58" s="2">
        <v>749</v>
      </c>
      <c r="X58" s="2">
        <v>608</v>
      </c>
      <c r="Y58" s="2">
        <v>0</v>
      </c>
      <c r="Z58" s="2">
        <v>0</v>
      </c>
      <c r="AA58" s="2">
        <v>0</v>
      </c>
      <c r="AB58" s="2"/>
      <c r="AC58" s="2">
        <v>421</v>
      </c>
      <c r="AD58" s="2">
        <v>296</v>
      </c>
      <c r="AE58" s="2">
        <v>297</v>
      </c>
      <c r="AF58" s="2">
        <v>0</v>
      </c>
      <c r="AG58" s="2">
        <v>0</v>
      </c>
      <c r="AH58" s="2"/>
      <c r="AI58" s="2">
        <v>-8</v>
      </c>
      <c r="AJ58" s="2">
        <v>-8</v>
      </c>
      <c r="AK58" s="2">
        <v>0</v>
      </c>
      <c r="AL58" s="2">
        <v>0</v>
      </c>
      <c r="AM58" s="2">
        <v>-8</v>
      </c>
    </row>
    <row r="59" spans="1:39">
      <c r="A59" s="349">
        <v>90401</v>
      </c>
      <c r="B59" s="342" t="s">
        <v>751</v>
      </c>
      <c r="C59" s="358">
        <v>1.3274000000000001E-3</v>
      </c>
      <c r="E59" s="2">
        <v>509766</v>
      </c>
      <c r="F59" s="2">
        <v>663722</v>
      </c>
      <c r="G59" s="2">
        <v>415152</v>
      </c>
      <c r="H59" s="2">
        <v>197546</v>
      </c>
      <c r="I59" s="2">
        <v>0</v>
      </c>
      <c r="J59" s="2"/>
      <c r="K59" s="2">
        <v>246112</v>
      </c>
      <c r="L59" s="2">
        <v>226712</v>
      </c>
      <c r="M59" s="2">
        <v>126180</v>
      </c>
      <c r="N59" s="2">
        <v>0</v>
      </c>
      <c r="O59" s="2">
        <v>0</v>
      </c>
      <c r="P59" s="2"/>
      <c r="Q59" s="2">
        <v>15954</v>
      </c>
      <c r="R59" s="2">
        <v>223143</v>
      </c>
      <c r="S59" s="2">
        <v>230859</v>
      </c>
      <c r="T59" s="2">
        <v>197546</v>
      </c>
      <c r="U59" s="2">
        <v>0</v>
      </c>
      <c r="V59" s="2"/>
      <c r="W59" s="2">
        <v>194830</v>
      </c>
      <c r="X59" s="2">
        <v>158169</v>
      </c>
      <c r="Y59" s="2">
        <v>0</v>
      </c>
      <c r="Z59" s="2">
        <v>0</v>
      </c>
      <c r="AA59" s="2">
        <v>0</v>
      </c>
      <c r="AB59" s="2"/>
      <c r="AC59" s="2">
        <v>58114</v>
      </c>
      <c r="AD59" s="2">
        <v>58114</v>
      </c>
      <c r="AE59" s="2">
        <v>58113</v>
      </c>
      <c r="AF59" s="2">
        <v>0</v>
      </c>
      <c r="AG59" s="2">
        <v>0</v>
      </c>
      <c r="AH59" s="2"/>
      <c r="AI59" s="2">
        <v>-5244</v>
      </c>
      <c r="AJ59" s="2">
        <v>-2416</v>
      </c>
      <c r="AK59" s="2">
        <v>0</v>
      </c>
      <c r="AL59" s="2">
        <v>0</v>
      </c>
      <c r="AM59" s="2">
        <v>-2416</v>
      </c>
    </row>
    <row r="60" spans="1:39">
      <c r="A60" s="349">
        <v>90411</v>
      </c>
      <c r="B60" s="342" t="s">
        <v>752</v>
      </c>
      <c r="C60" s="358">
        <v>3.4289999999999999E-4</v>
      </c>
      <c r="E60" s="2">
        <v>114404</v>
      </c>
      <c r="F60" s="2">
        <v>155860</v>
      </c>
      <c r="G60" s="2">
        <v>93462</v>
      </c>
      <c r="H60" s="2">
        <v>51031</v>
      </c>
      <c r="I60" s="2">
        <v>0</v>
      </c>
      <c r="J60" s="2"/>
      <c r="K60" s="2">
        <v>63577</v>
      </c>
      <c r="L60" s="2">
        <v>58565</v>
      </c>
      <c r="M60" s="2">
        <v>32595</v>
      </c>
      <c r="N60" s="2">
        <v>0</v>
      </c>
      <c r="O60" s="2">
        <v>0</v>
      </c>
      <c r="P60" s="2"/>
      <c r="Q60" s="2">
        <v>4121</v>
      </c>
      <c r="R60" s="2">
        <v>57643</v>
      </c>
      <c r="S60" s="2">
        <v>59636</v>
      </c>
      <c r="T60" s="2">
        <v>51031</v>
      </c>
      <c r="U60" s="2">
        <v>0</v>
      </c>
      <c r="V60" s="2"/>
      <c r="W60" s="2">
        <v>50329</v>
      </c>
      <c r="X60" s="2">
        <v>40859</v>
      </c>
      <c r="Y60" s="2">
        <v>0</v>
      </c>
      <c r="Z60" s="2">
        <v>0</v>
      </c>
      <c r="AA60" s="2">
        <v>0</v>
      </c>
      <c r="AB60" s="2"/>
      <c r="AC60" s="2">
        <v>6508</v>
      </c>
      <c r="AD60" s="2">
        <v>6508</v>
      </c>
      <c r="AE60" s="2">
        <v>6509</v>
      </c>
      <c r="AF60" s="2">
        <v>0</v>
      </c>
      <c r="AG60" s="2">
        <v>0</v>
      </c>
      <c r="AH60" s="2"/>
      <c r="AI60" s="2">
        <v>-10131</v>
      </c>
      <c r="AJ60" s="2">
        <v>-7715</v>
      </c>
      <c r="AK60" s="2">
        <v>-5278</v>
      </c>
      <c r="AL60" s="2">
        <v>0</v>
      </c>
      <c r="AM60" s="2">
        <v>-7715</v>
      </c>
    </row>
    <row r="61" spans="1:39">
      <c r="A61" s="349">
        <v>90413</v>
      </c>
      <c r="B61" s="342" t="s">
        <v>753</v>
      </c>
      <c r="C61" s="358">
        <v>3.3899999999999997E-5</v>
      </c>
      <c r="E61" s="2">
        <v>12593</v>
      </c>
      <c r="F61" s="2">
        <v>16682</v>
      </c>
      <c r="G61" s="2">
        <v>9836</v>
      </c>
      <c r="H61" s="2">
        <v>5045</v>
      </c>
      <c r="I61" s="2">
        <v>0</v>
      </c>
      <c r="J61" s="2"/>
      <c r="K61" s="2">
        <v>6285</v>
      </c>
      <c r="L61" s="2">
        <v>5790</v>
      </c>
      <c r="M61" s="2">
        <v>3222</v>
      </c>
      <c r="N61" s="2">
        <v>0</v>
      </c>
      <c r="O61" s="2">
        <v>0</v>
      </c>
      <c r="P61" s="2"/>
      <c r="Q61" s="2">
        <v>407</v>
      </c>
      <c r="R61" s="2">
        <v>5699</v>
      </c>
      <c r="S61" s="2">
        <v>5896</v>
      </c>
      <c r="T61" s="2">
        <v>5045</v>
      </c>
      <c r="U61" s="2">
        <v>0</v>
      </c>
      <c r="V61" s="2"/>
      <c r="W61" s="2">
        <v>4976</v>
      </c>
      <c r="X61" s="2">
        <v>4039</v>
      </c>
      <c r="Y61" s="2">
        <v>0</v>
      </c>
      <c r="Z61" s="2">
        <v>0</v>
      </c>
      <c r="AA61" s="2">
        <v>0</v>
      </c>
      <c r="AB61" s="2"/>
      <c r="AC61" s="2">
        <v>1154</v>
      </c>
      <c r="AD61" s="2">
        <v>1154</v>
      </c>
      <c r="AE61" s="2">
        <v>718</v>
      </c>
      <c r="AF61" s="2">
        <v>0</v>
      </c>
      <c r="AG61" s="2">
        <v>0</v>
      </c>
      <c r="AH61" s="2"/>
      <c r="AI61" s="2">
        <v>-229</v>
      </c>
      <c r="AJ61" s="2">
        <v>0</v>
      </c>
      <c r="AK61" s="2">
        <v>0</v>
      </c>
      <c r="AL61" s="2">
        <v>0</v>
      </c>
      <c r="AM61" s="2">
        <v>0</v>
      </c>
    </row>
    <row r="62" spans="1:39">
      <c r="A62" s="349">
        <v>90417</v>
      </c>
      <c r="B62" s="342" t="s">
        <v>754</v>
      </c>
      <c r="C62" s="358">
        <v>9.5999999999999996E-6</v>
      </c>
      <c r="E62" s="2">
        <v>5551</v>
      </c>
      <c r="F62" s="2">
        <v>6110</v>
      </c>
      <c r="G62" s="2">
        <v>3641</v>
      </c>
      <c r="H62" s="2">
        <v>1429</v>
      </c>
      <c r="I62" s="2">
        <v>0</v>
      </c>
      <c r="J62" s="2"/>
      <c r="K62" s="2">
        <v>1780</v>
      </c>
      <c r="L62" s="2">
        <v>1640</v>
      </c>
      <c r="M62" s="2">
        <v>913</v>
      </c>
      <c r="N62" s="2">
        <v>0</v>
      </c>
      <c r="O62" s="2">
        <v>0</v>
      </c>
      <c r="P62" s="2"/>
      <c r="Q62" s="2">
        <v>115</v>
      </c>
      <c r="R62" s="2">
        <v>1614</v>
      </c>
      <c r="S62" s="2">
        <v>1670</v>
      </c>
      <c r="T62" s="2">
        <v>1429</v>
      </c>
      <c r="U62" s="2">
        <v>0</v>
      </c>
      <c r="V62" s="2"/>
      <c r="W62" s="2">
        <v>1409</v>
      </c>
      <c r="X62" s="2">
        <v>1144</v>
      </c>
      <c r="Y62" s="2">
        <v>0</v>
      </c>
      <c r="Z62" s="2">
        <v>0</v>
      </c>
      <c r="AA62" s="2">
        <v>0</v>
      </c>
      <c r="AB62" s="2"/>
      <c r="AC62" s="2">
        <v>2247</v>
      </c>
      <c r="AD62" s="2">
        <v>1712</v>
      </c>
      <c r="AE62" s="2">
        <v>1058</v>
      </c>
      <c r="AF62" s="2">
        <v>0</v>
      </c>
      <c r="AG62" s="2">
        <v>0</v>
      </c>
      <c r="AH62" s="2"/>
      <c r="AI62" s="2">
        <v>0</v>
      </c>
      <c r="AJ62" s="2">
        <v>0</v>
      </c>
      <c r="AK62" s="2">
        <v>0</v>
      </c>
      <c r="AL62" s="2">
        <v>0</v>
      </c>
      <c r="AM62" s="2">
        <v>0</v>
      </c>
    </row>
    <row r="63" spans="1:39">
      <c r="A63" s="349">
        <v>90421</v>
      </c>
      <c r="B63" s="342" t="s">
        <v>755</v>
      </c>
      <c r="C63" s="358">
        <v>2.5199999999999999E-5</v>
      </c>
      <c r="E63" s="2">
        <v>10169</v>
      </c>
      <c r="F63" s="2">
        <v>13625</v>
      </c>
      <c r="G63" s="2">
        <v>9284</v>
      </c>
      <c r="H63" s="2">
        <v>3750</v>
      </c>
      <c r="I63" s="2">
        <v>0</v>
      </c>
      <c r="J63" s="2"/>
      <c r="K63" s="2">
        <v>4672</v>
      </c>
      <c r="L63" s="2">
        <v>4304</v>
      </c>
      <c r="M63" s="2">
        <v>2395</v>
      </c>
      <c r="N63" s="2">
        <v>0</v>
      </c>
      <c r="O63" s="2">
        <v>0</v>
      </c>
      <c r="P63" s="2"/>
      <c r="Q63" s="2">
        <v>303</v>
      </c>
      <c r="R63" s="2">
        <v>4236</v>
      </c>
      <c r="S63" s="2">
        <v>4383</v>
      </c>
      <c r="T63" s="2">
        <v>3750</v>
      </c>
      <c r="U63" s="2">
        <v>0</v>
      </c>
      <c r="V63" s="2"/>
      <c r="W63" s="2">
        <v>3699</v>
      </c>
      <c r="X63" s="2">
        <v>3003</v>
      </c>
      <c r="Y63" s="2">
        <v>0</v>
      </c>
      <c r="Z63" s="2">
        <v>0</v>
      </c>
      <c r="AA63" s="2">
        <v>0</v>
      </c>
      <c r="AB63" s="2"/>
      <c r="AC63" s="2">
        <v>2849</v>
      </c>
      <c r="AD63" s="2">
        <v>2849</v>
      </c>
      <c r="AE63" s="2">
        <v>2848</v>
      </c>
      <c r="AF63" s="2">
        <v>0</v>
      </c>
      <c r="AG63" s="2">
        <v>0</v>
      </c>
      <c r="AH63" s="2"/>
      <c r="AI63" s="2">
        <v>-1354</v>
      </c>
      <c r="AJ63" s="2">
        <v>-767</v>
      </c>
      <c r="AK63" s="2">
        <v>-342</v>
      </c>
      <c r="AL63" s="2">
        <v>0</v>
      </c>
      <c r="AM63" s="2">
        <v>-767</v>
      </c>
    </row>
    <row r="64" spans="1:39">
      <c r="A64" s="349">
        <v>90431</v>
      </c>
      <c r="B64" s="342" t="s">
        <v>756</v>
      </c>
      <c r="C64" s="358">
        <v>4.85E-5</v>
      </c>
      <c r="E64" s="2">
        <v>17807</v>
      </c>
      <c r="F64" s="2">
        <v>22475</v>
      </c>
      <c r="G64" s="2">
        <v>13661</v>
      </c>
      <c r="H64" s="2">
        <v>7218</v>
      </c>
      <c r="I64" s="2">
        <v>0</v>
      </c>
      <c r="J64" s="2"/>
      <c r="K64" s="2">
        <v>8992</v>
      </c>
      <c r="L64" s="2">
        <v>8284</v>
      </c>
      <c r="M64" s="2">
        <v>4610</v>
      </c>
      <c r="N64" s="2">
        <v>0</v>
      </c>
      <c r="O64" s="2">
        <v>0</v>
      </c>
      <c r="P64" s="2"/>
      <c r="Q64" s="2">
        <v>583</v>
      </c>
      <c r="R64" s="2">
        <v>8153</v>
      </c>
      <c r="S64" s="2">
        <v>8435</v>
      </c>
      <c r="T64" s="2">
        <v>7218</v>
      </c>
      <c r="U64" s="2">
        <v>0</v>
      </c>
      <c r="V64" s="2"/>
      <c r="W64" s="2">
        <v>7119</v>
      </c>
      <c r="X64" s="2">
        <v>5779</v>
      </c>
      <c r="Y64" s="2">
        <v>0</v>
      </c>
      <c r="Z64" s="2">
        <v>0</v>
      </c>
      <c r="AA64" s="2">
        <v>0</v>
      </c>
      <c r="AB64" s="2"/>
      <c r="AC64" s="2">
        <v>1506</v>
      </c>
      <c r="AD64" s="2">
        <v>651</v>
      </c>
      <c r="AE64" s="2">
        <v>649</v>
      </c>
      <c r="AF64" s="2">
        <v>0</v>
      </c>
      <c r="AG64" s="2">
        <v>0</v>
      </c>
      <c r="AH64" s="2"/>
      <c r="AI64" s="2">
        <v>-393</v>
      </c>
      <c r="AJ64" s="2">
        <v>-392</v>
      </c>
      <c r="AK64" s="2">
        <v>-33</v>
      </c>
      <c r="AL64" s="2">
        <v>0</v>
      </c>
      <c r="AM64" s="2">
        <v>-392</v>
      </c>
    </row>
    <row r="65" spans="1:39">
      <c r="A65" s="349">
        <v>90441</v>
      </c>
      <c r="B65" s="342" t="s">
        <v>757</v>
      </c>
      <c r="C65" s="358">
        <v>5.8000000000000004E-6</v>
      </c>
      <c r="E65" s="2">
        <v>2710</v>
      </c>
      <c r="F65" s="2">
        <v>3325</v>
      </c>
      <c r="G65" s="2">
        <v>2075</v>
      </c>
      <c r="H65" s="2">
        <v>863</v>
      </c>
      <c r="I65" s="2">
        <v>0</v>
      </c>
      <c r="J65" s="2"/>
      <c r="K65" s="2">
        <v>1075</v>
      </c>
      <c r="L65" s="2">
        <v>991</v>
      </c>
      <c r="M65" s="2">
        <v>551</v>
      </c>
      <c r="N65" s="2">
        <v>0</v>
      </c>
      <c r="O65" s="2">
        <v>0</v>
      </c>
      <c r="P65" s="2"/>
      <c r="Q65" s="2">
        <v>70</v>
      </c>
      <c r="R65" s="2">
        <v>975</v>
      </c>
      <c r="S65" s="2">
        <v>1009</v>
      </c>
      <c r="T65" s="2">
        <v>863</v>
      </c>
      <c r="U65" s="2">
        <v>0</v>
      </c>
      <c r="V65" s="2"/>
      <c r="W65" s="2">
        <v>851</v>
      </c>
      <c r="X65" s="2">
        <v>691</v>
      </c>
      <c r="Y65" s="2">
        <v>0</v>
      </c>
      <c r="Z65" s="2">
        <v>0</v>
      </c>
      <c r="AA65" s="2">
        <v>0</v>
      </c>
      <c r="AB65" s="2"/>
      <c r="AC65" s="2">
        <v>714</v>
      </c>
      <c r="AD65" s="2">
        <v>668</v>
      </c>
      <c r="AE65" s="2">
        <v>515</v>
      </c>
      <c r="AF65" s="2">
        <v>0</v>
      </c>
      <c r="AG65" s="2">
        <v>0</v>
      </c>
      <c r="AH65" s="2"/>
      <c r="AI65" s="2">
        <v>0</v>
      </c>
      <c r="AJ65" s="2">
        <v>0</v>
      </c>
      <c r="AK65" s="2">
        <v>0</v>
      </c>
      <c r="AL65" s="2">
        <v>0</v>
      </c>
      <c r="AM65" s="2">
        <v>0</v>
      </c>
    </row>
    <row r="66" spans="1:39">
      <c r="A66" s="349">
        <v>90451</v>
      </c>
      <c r="B66" s="342" t="s">
        <v>758</v>
      </c>
      <c r="C66" s="358">
        <v>2.2399999999999999E-5</v>
      </c>
      <c r="E66" s="2">
        <v>8122</v>
      </c>
      <c r="F66" s="2">
        <v>10855</v>
      </c>
      <c r="G66" s="2">
        <v>5971</v>
      </c>
      <c r="H66" s="2">
        <v>3334</v>
      </c>
      <c r="I66" s="2">
        <v>0</v>
      </c>
      <c r="J66" s="2"/>
      <c r="K66" s="2">
        <v>4153</v>
      </c>
      <c r="L66" s="2">
        <v>3826</v>
      </c>
      <c r="M66" s="2">
        <v>2129</v>
      </c>
      <c r="N66" s="2">
        <v>0</v>
      </c>
      <c r="O66" s="2">
        <v>0</v>
      </c>
      <c r="P66" s="2"/>
      <c r="Q66" s="2">
        <v>269</v>
      </c>
      <c r="R66" s="2">
        <v>3766</v>
      </c>
      <c r="S66" s="2">
        <v>3896</v>
      </c>
      <c r="T66" s="2">
        <v>3334</v>
      </c>
      <c r="U66" s="2">
        <v>0</v>
      </c>
      <c r="V66" s="2"/>
      <c r="W66" s="2">
        <v>3288</v>
      </c>
      <c r="X66" s="2">
        <v>2669</v>
      </c>
      <c r="Y66" s="2">
        <v>0</v>
      </c>
      <c r="Z66" s="2">
        <v>0</v>
      </c>
      <c r="AA66" s="2">
        <v>0</v>
      </c>
      <c r="AB66" s="2"/>
      <c r="AC66" s="2">
        <v>1110</v>
      </c>
      <c r="AD66" s="2">
        <v>1111</v>
      </c>
      <c r="AE66" s="2">
        <v>462</v>
      </c>
      <c r="AF66" s="2">
        <v>0</v>
      </c>
      <c r="AG66" s="2">
        <v>0</v>
      </c>
      <c r="AH66" s="2"/>
      <c r="AI66" s="2">
        <v>-698</v>
      </c>
      <c r="AJ66" s="2">
        <v>-517</v>
      </c>
      <c r="AK66" s="2">
        <v>-516</v>
      </c>
      <c r="AL66" s="2">
        <v>0</v>
      </c>
      <c r="AM66" s="2">
        <v>-517</v>
      </c>
    </row>
    <row r="67" spans="1:39">
      <c r="A67" s="349">
        <v>90461</v>
      </c>
      <c r="B67" s="342" t="s">
        <v>759</v>
      </c>
      <c r="C67" s="358">
        <v>1.9E-6</v>
      </c>
      <c r="E67" s="2">
        <v>124</v>
      </c>
      <c r="F67" s="2">
        <v>1921</v>
      </c>
      <c r="G67" s="2">
        <v>1541</v>
      </c>
      <c r="H67" s="2">
        <v>283</v>
      </c>
      <c r="I67" s="2">
        <v>0</v>
      </c>
      <c r="J67" s="2"/>
      <c r="K67" s="2">
        <v>352</v>
      </c>
      <c r="L67" s="2">
        <v>325</v>
      </c>
      <c r="M67" s="2">
        <v>181</v>
      </c>
      <c r="N67" s="2">
        <v>0</v>
      </c>
      <c r="O67" s="2">
        <v>0</v>
      </c>
      <c r="P67" s="2"/>
      <c r="Q67" s="2">
        <v>23</v>
      </c>
      <c r="R67" s="2">
        <v>319</v>
      </c>
      <c r="S67" s="2">
        <v>330</v>
      </c>
      <c r="T67" s="2">
        <v>283</v>
      </c>
      <c r="U67" s="2">
        <v>0</v>
      </c>
      <c r="V67" s="2"/>
      <c r="W67" s="2">
        <v>279</v>
      </c>
      <c r="X67" s="2">
        <v>226</v>
      </c>
      <c r="Y67" s="2">
        <v>0</v>
      </c>
      <c r="Z67" s="2">
        <v>0</v>
      </c>
      <c r="AA67" s="2">
        <v>0</v>
      </c>
      <c r="AB67" s="2"/>
      <c r="AC67" s="2">
        <v>1708</v>
      </c>
      <c r="AD67" s="2">
        <v>1706</v>
      </c>
      <c r="AE67" s="2">
        <v>1686</v>
      </c>
      <c r="AF67" s="2">
        <v>0</v>
      </c>
      <c r="AG67" s="2">
        <v>0</v>
      </c>
      <c r="AH67" s="2"/>
      <c r="AI67" s="2">
        <v>-2238</v>
      </c>
      <c r="AJ67" s="2">
        <v>-655</v>
      </c>
      <c r="AK67" s="2">
        <v>-656</v>
      </c>
      <c r="AL67" s="2">
        <v>0</v>
      </c>
      <c r="AM67" s="2">
        <v>-655</v>
      </c>
    </row>
    <row r="68" spans="1:39">
      <c r="A68" s="349">
        <v>90501</v>
      </c>
      <c r="B68" s="342" t="s">
        <v>760</v>
      </c>
      <c r="C68" s="358">
        <v>1.4997999999999999E-3</v>
      </c>
      <c r="E68" s="2">
        <v>563134</v>
      </c>
      <c r="F68" s="2">
        <v>727075</v>
      </c>
      <c r="G68" s="2">
        <v>444977</v>
      </c>
      <c r="H68" s="2">
        <v>223203</v>
      </c>
      <c r="I68" s="2">
        <v>0</v>
      </c>
      <c r="J68" s="2"/>
      <c r="K68" s="2">
        <v>278076</v>
      </c>
      <c r="L68" s="2">
        <v>256157</v>
      </c>
      <c r="M68" s="2">
        <v>142568</v>
      </c>
      <c r="N68" s="2">
        <v>0</v>
      </c>
      <c r="O68" s="2">
        <v>0</v>
      </c>
      <c r="P68" s="2"/>
      <c r="Q68" s="2">
        <v>18026</v>
      </c>
      <c r="R68" s="2">
        <v>252124</v>
      </c>
      <c r="S68" s="2">
        <v>260842</v>
      </c>
      <c r="T68" s="2">
        <v>223203</v>
      </c>
      <c r="U68" s="2">
        <v>0</v>
      </c>
      <c r="V68" s="2"/>
      <c r="W68" s="2">
        <v>220135</v>
      </c>
      <c r="X68" s="2">
        <v>178712</v>
      </c>
      <c r="Y68" s="2">
        <v>0</v>
      </c>
      <c r="Z68" s="2">
        <v>0</v>
      </c>
      <c r="AA68" s="2">
        <v>0</v>
      </c>
      <c r="AB68" s="2"/>
      <c r="AC68" s="2">
        <v>48384</v>
      </c>
      <c r="AD68" s="2">
        <v>41569</v>
      </c>
      <c r="AE68" s="2">
        <v>41567</v>
      </c>
      <c r="AF68" s="2">
        <v>0</v>
      </c>
      <c r="AG68" s="2">
        <v>0</v>
      </c>
      <c r="AH68" s="2"/>
      <c r="AI68" s="2">
        <v>-1487</v>
      </c>
      <c r="AJ68" s="2">
        <v>-1487</v>
      </c>
      <c r="AK68" s="2">
        <v>0</v>
      </c>
      <c r="AL68" s="2">
        <v>0</v>
      </c>
      <c r="AM68" s="2">
        <v>-1487</v>
      </c>
    </row>
    <row r="69" spans="1:39">
      <c r="A69" s="349">
        <v>90507</v>
      </c>
      <c r="B69" s="342" t="s">
        <v>34</v>
      </c>
      <c r="C69" s="358">
        <v>1.1199999999999999E-5</v>
      </c>
      <c r="E69" s="2">
        <v>11835</v>
      </c>
      <c r="F69" s="2">
        <v>11749</v>
      </c>
      <c r="G69" s="2">
        <v>8096</v>
      </c>
      <c r="H69" s="2">
        <v>1667</v>
      </c>
      <c r="I69" s="2">
        <v>0</v>
      </c>
      <c r="J69" s="2"/>
      <c r="K69" s="2">
        <v>2077</v>
      </c>
      <c r="L69" s="2">
        <v>1913</v>
      </c>
      <c r="M69" s="2">
        <v>1065</v>
      </c>
      <c r="N69" s="2">
        <v>0</v>
      </c>
      <c r="O69" s="2">
        <v>0</v>
      </c>
      <c r="P69" s="2"/>
      <c r="Q69" s="2">
        <v>135</v>
      </c>
      <c r="R69" s="2">
        <v>1883</v>
      </c>
      <c r="S69" s="2">
        <v>1948</v>
      </c>
      <c r="T69" s="2">
        <v>1667</v>
      </c>
      <c r="U69" s="2">
        <v>0</v>
      </c>
      <c r="V69" s="2"/>
      <c r="W69" s="2">
        <v>1644</v>
      </c>
      <c r="X69" s="2">
        <v>1335</v>
      </c>
      <c r="Y69" s="2">
        <v>0</v>
      </c>
      <c r="Z69" s="2">
        <v>0</v>
      </c>
      <c r="AA69" s="2">
        <v>0</v>
      </c>
      <c r="AB69" s="2"/>
      <c r="AC69" s="2">
        <v>7979</v>
      </c>
      <c r="AD69" s="2">
        <v>6618</v>
      </c>
      <c r="AE69" s="2">
        <v>5083</v>
      </c>
      <c r="AF69" s="2">
        <v>0</v>
      </c>
      <c r="AG69" s="2">
        <v>0</v>
      </c>
      <c r="AH69" s="2"/>
      <c r="AI69" s="2">
        <v>0</v>
      </c>
      <c r="AJ69" s="2">
        <v>0</v>
      </c>
      <c r="AK69" s="2">
        <v>0</v>
      </c>
      <c r="AL69" s="2">
        <v>0</v>
      </c>
      <c r="AM69" s="2">
        <v>0</v>
      </c>
    </row>
    <row r="70" spans="1:39">
      <c r="A70" s="349">
        <v>90511</v>
      </c>
      <c r="B70" s="342" t="s">
        <v>761</v>
      </c>
      <c r="C70" s="358">
        <v>9.2200000000000005E-5</v>
      </c>
      <c r="E70" s="2">
        <v>39343</v>
      </c>
      <c r="F70" s="2">
        <v>48774</v>
      </c>
      <c r="G70" s="2">
        <v>29285</v>
      </c>
      <c r="H70" s="2">
        <v>13721</v>
      </c>
      <c r="I70" s="2">
        <v>0</v>
      </c>
      <c r="J70" s="2"/>
      <c r="K70" s="2">
        <v>17095</v>
      </c>
      <c r="L70" s="2">
        <v>15747</v>
      </c>
      <c r="M70" s="2">
        <v>8764</v>
      </c>
      <c r="N70" s="2">
        <v>0</v>
      </c>
      <c r="O70" s="2">
        <v>0</v>
      </c>
      <c r="P70" s="2"/>
      <c r="Q70" s="2">
        <v>1108</v>
      </c>
      <c r="R70" s="2">
        <v>15499</v>
      </c>
      <c r="S70" s="2">
        <v>16035</v>
      </c>
      <c r="T70" s="2">
        <v>13721</v>
      </c>
      <c r="U70" s="2">
        <v>0</v>
      </c>
      <c r="V70" s="2"/>
      <c r="W70" s="2">
        <v>13533</v>
      </c>
      <c r="X70" s="2">
        <v>10986</v>
      </c>
      <c r="Y70" s="2">
        <v>0</v>
      </c>
      <c r="Z70" s="2">
        <v>0</v>
      </c>
      <c r="AA70" s="2">
        <v>0</v>
      </c>
      <c r="AB70" s="2"/>
      <c r="AC70" s="2">
        <v>8493</v>
      </c>
      <c r="AD70" s="2">
        <v>7428</v>
      </c>
      <c r="AE70" s="2">
        <v>5370</v>
      </c>
      <c r="AF70" s="2">
        <v>0</v>
      </c>
      <c r="AG70" s="2">
        <v>0</v>
      </c>
      <c r="AH70" s="2"/>
      <c r="AI70" s="2">
        <v>-886</v>
      </c>
      <c r="AJ70" s="2">
        <v>-886</v>
      </c>
      <c r="AK70" s="2">
        <v>-884</v>
      </c>
      <c r="AL70" s="2">
        <v>0</v>
      </c>
      <c r="AM70" s="2">
        <v>-886</v>
      </c>
    </row>
    <row r="71" spans="1:39">
      <c r="A71" s="349">
        <v>90521</v>
      </c>
      <c r="B71" s="342" t="s">
        <v>762</v>
      </c>
      <c r="C71" s="358">
        <v>1.4129999999999999E-4</v>
      </c>
      <c r="E71" s="2">
        <v>42025</v>
      </c>
      <c r="F71" s="2">
        <v>59733</v>
      </c>
      <c r="G71" s="2">
        <v>36238</v>
      </c>
      <c r="H71" s="2">
        <v>21029</v>
      </c>
      <c r="I71" s="2">
        <v>0</v>
      </c>
      <c r="J71" s="2"/>
      <c r="K71" s="2">
        <v>26198</v>
      </c>
      <c r="L71" s="2">
        <v>24133</v>
      </c>
      <c r="M71" s="2">
        <v>13432</v>
      </c>
      <c r="N71" s="2">
        <v>0</v>
      </c>
      <c r="O71" s="2">
        <v>0</v>
      </c>
      <c r="P71" s="2"/>
      <c r="Q71" s="2">
        <v>1698</v>
      </c>
      <c r="R71" s="2">
        <v>23753</v>
      </c>
      <c r="S71" s="2">
        <v>24575</v>
      </c>
      <c r="T71" s="2">
        <v>21029</v>
      </c>
      <c r="U71" s="2">
        <v>0</v>
      </c>
      <c r="V71" s="2"/>
      <c r="W71" s="2">
        <v>20739</v>
      </c>
      <c r="X71" s="2">
        <v>16837</v>
      </c>
      <c r="Y71" s="2">
        <v>0</v>
      </c>
      <c r="Z71" s="2">
        <v>0</v>
      </c>
      <c r="AA71" s="2">
        <v>0</v>
      </c>
      <c r="AB71" s="2"/>
      <c r="AC71" s="2">
        <v>0</v>
      </c>
      <c r="AD71" s="2">
        <v>0</v>
      </c>
      <c r="AE71" s="2">
        <v>0</v>
      </c>
      <c r="AF71" s="2">
        <v>0</v>
      </c>
      <c r="AG71" s="2">
        <v>0</v>
      </c>
      <c r="AH71" s="2"/>
      <c r="AI71" s="2">
        <v>-6610</v>
      </c>
      <c r="AJ71" s="2">
        <v>-4990</v>
      </c>
      <c r="AK71" s="2">
        <v>-1769</v>
      </c>
      <c r="AL71" s="2">
        <v>0</v>
      </c>
      <c r="AM71" s="2">
        <v>-4990</v>
      </c>
    </row>
    <row r="72" spans="1:39">
      <c r="A72" s="349">
        <v>90601</v>
      </c>
      <c r="B72" s="342" t="s">
        <v>763</v>
      </c>
      <c r="C72" s="358">
        <v>1.242E-3</v>
      </c>
      <c r="E72" s="2">
        <v>475045</v>
      </c>
      <c r="F72" s="2">
        <v>615696</v>
      </c>
      <c r="G72" s="2">
        <v>387364</v>
      </c>
      <c r="H72" s="2">
        <v>184837</v>
      </c>
      <c r="I72" s="2">
        <v>0</v>
      </c>
      <c r="J72" s="2"/>
      <c r="K72" s="2">
        <v>230278</v>
      </c>
      <c r="L72" s="2">
        <v>212126</v>
      </c>
      <c r="M72" s="2">
        <v>118062</v>
      </c>
      <c r="N72" s="2">
        <v>0</v>
      </c>
      <c r="O72" s="2">
        <v>0</v>
      </c>
      <c r="P72" s="2"/>
      <c r="Q72" s="2">
        <v>14928</v>
      </c>
      <c r="R72" s="2">
        <v>208786</v>
      </c>
      <c r="S72" s="2">
        <v>216006</v>
      </c>
      <c r="T72" s="2">
        <v>184837</v>
      </c>
      <c r="U72" s="2">
        <v>0</v>
      </c>
      <c r="V72" s="2"/>
      <c r="W72" s="2">
        <v>182296</v>
      </c>
      <c r="X72" s="2">
        <v>147993</v>
      </c>
      <c r="Y72" s="2">
        <v>0</v>
      </c>
      <c r="Z72" s="2">
        <v>0</v>
      </c>
      <c r="AA72" s="2">
        <v>0</v>
      </c>
      <c r="AB72" s="2"/>
      <c r="AC72" s="2">
        <v>54047</v>
      </c>
      <c r="AD72" s="2">
        <v>53293</v>
      </c>
      <c r="AE72" s="2">
        <v>53296</v>
      </c>
      <c r="AF72" s="2">
        <v>0</v>
      </c>
      <c r="AG72" s="2">
        <v>0</v>
      </c>
      <c r="AH72" s="2"/>
      <c r="AI72" s="2">
        <v>-6504</v>
      </c>
      <c r="AJ72" s="2">
        <v>-6502</v>
      </c>
      <c r="AK72" s="2">
        <v>0</v>
      </c>
      <c r="AL72" s="2">
        <v>0</v>
      </c>
      <c r="AM72" s="2">
        <v>-6502</v>
      </c>
    </row>
    <row r="73" spans="1:39">
      <c r="A73" s="349">
        <v>90602</v>
      </c>
      <c r="B73" s="342" t="s">
        <v>259</v>
      </c>
      <c r="C73" s="358">
        <v>8.0099999999999995E-5</v>
      </c>
      <c r="E73" s="2">
        <v>29257</v>
      </c>
      <c r="F73" s="2">
        <v>37175</v>
      </c>
      <c r="G73" s="2">
        <v>19549</v>
      </c>
      <c r="H73" s="2">
        <v>11921</v>
      </c>
      <c r="I73" s="2">
        <v>0</v>
      </c>
      <c r="J73" s="2"/>
      <c r="K73" s="2">
        <v>14851</v>
      </c>
      <c r="L73" s="2">
        <v>13681</v>
      </c>
      <c r="M73" s="2">
        <v>7614</v>
      </c>
      <c r="N73" s="2">
        <v>0</v>
      </c>
      <c r="O73" s="2">
        <v>0</v>
      </c>
      <c r="P73" s="2"/>
      <c r="Q73" s="2">
        <v>963</v>
      </c>
      <c r="R73" s="2">
        <v>13465</v>
      </c>
      <c r="S73" s="2">
        <v>13931</v>
      </c>
      <c r="T73" s="2">
        <v>11921</v>
      </c>
      <c r="U73" s="2">
        <v>0</v>
      </c>
      <c r="V73" s="2"/>
      <c r="W73" s="2">
        <v>11757</v>
      </c>
      <c r="X73" s="2">
        <v>9544</v>
      </c>
      <c r="Y73" s="2">
        <v>0</v>
      </c>
      <c r="Z73" s="2">
        <v>0</v>
      </c>
      <c r="AA73" s="2">
        <v>0</v>
      </c>
      <c r="AB73" s="2"/>
      <c r="AC73" s="2">
        <v>11261</v>
      </c>
      <c r="AD73" s="2">
        <v>10060</v>
      </c>
      <c r="AE73" s="2">
        <v>7580</v>
      </c>
      <c r="AF73" s="2">
        <v>0</v>
      </c>
      <c r="AG73" s="2">
        <v>0</v>
      </c>
      <c r="AH73" s="2"/>
      <c r="AI73" s="2">
        <v>-9575</v>
      </c>
      <c r="AJ73" s="2">
        <v>-9575</v>
      </c>
      <c r="AK73" s="2">
        <v>-9576</v>
      </c>
      <c r="AL73" s="2">
        <v>0</v>
      </c>
      <c r="AM73" s="2">
        <v>-9575</v>
      </c>
    </row>
    <row r="74" spans="1:39">
      <c r="A74" s="349">
        <v>90605</v>
      </c>
      <c r="B74" s="342" t="s">
        <v>3637</v>
      </c>
      <c r="C74" s="358">
        <v>4.8399999999999997E-5</v>
      </c>
      <c r="E74" s="2">
        <v>22237</v>
      </c>
      <c r="F74" s="2">
        <v>25905</v>
      </c>
      <c r="G74" s="2">
        <v>15568</v>
      </c>
      <c r="H74" s="2">
        <v>7203</v>
      </c>
      <c r="I74" s="2">
        <v>0</v>
      </c>
      <c r="J74" s="2"/>
      <c r="K74" s="2">
        <v>8974</v>
      </c>
      <c r="L74" s="2">
        <v>8266</v>
      </c>
      <c r="M74" s="2">
        <v>4601</v>
      </c>
      <c r="N74" s="2">
        <v>0</v>
      </c>
      <c r="O74" s="2">
        <v>0</v>
      </c>
      <c r="P74" s="2"/>
      <c r="Q74" s="2">
        <v>582</v>
      </c>
      <c r="R74" s="2">
        <v>8136</v>
      </c>
      <c r="S74" s="2">
        <v>8418</v>
      </c>
      <c r="T74" s="2">
        <v>7203</v>
      </c>
      <c r="U74" s="2">
        <v>0</v>
      </c>
      <c r="V74" s="2"/>
      <c r="W74" s="2">
        <v>7104</v>
      </c>
      <c r="X74" s="2">
        <v>5767</v>
      </c>
      <c r="Y74" s="2">
        <v>0</v>
      </c>
      <c r="Z74" s="2">
        <v>0</v>
      </c>
      <c r="AA74" s="2">
        <v>0</v>
      </c>
      <c r="AB74" s="2"/>
      <c r="AC74" s="2">
        <v>5762</v>
      </c>
      <c r="AD74" s="2">
        <v>3921</v>
      </c>
      <c r="AE74" s="2">
        <v>2734</v>
      </c>
      <c r="AF74" s="2">
        <v>0</v>
      </c>
      <c r="AG74" s="2">
        <v>0</v>
      </c>
      <c r="AH74" s="2"/>
      <c r="AI74" s="2">
        <v>-185</v>
      </c>
      <c r="AJ74" s="2">
        <v>-185</v>
      </c>
      <c r="AK74" s="2">
        <v>-185</v>
      </c>
      <c r="AL74" s="2">
        <v>0</v>
      </c>
      <c r="AM74" s="2">
        <v>-185</v>
      </c>
    </row>
    <row r="75" spans="1:39">
      <c r="A75" s="349">
        <v>90611</v>
      </c>
      <c r="B75" s="342" t="s">
        <v>765</v>
      </c>
      <c r="C75" s="358">
        <v>1.4320000000000001E-4</v>
      </c>
      <c r="E75" s="2">
        <v>40496</v>
      </c>
      <c r="F75" s="2">
        <v>58916</v>
      </c>
      <c r="G75" s="2">
        <v>33966</v>
      </c>
      <c r="H75" s="2">
        <v>21311</v>
      </c>
      <c r="I75" s="2">
        <v>0</v>
      </c>
      <c r="J75" s="2"/>
      <c r="K75" s="2">
        <v>26551</v>
      </c>
      <c r="L75" s="2">
        <v>24458</v>
      </c>
      <c r="M75" s="2">
        <v>13612</v>
      </c>
      <c r="N75" s="2">
        <v>0</v>
      </c>
      <c r="O75" s="2">
        <v>0</v>
      </c>
      <c r="P75" s="2"/>
      <c r="Q75" s="2">
        <v>1721</v>
      </c>
      <c r="R75" s="2">
        <v>24073</v>
      </c>
      <c r="S75" s="2">
        <v>24905</v>
      </c>
      <c r="T75" s="2">
        <v>21311</v>
      </c>
      <c r="U75" s="2">
        <v>0</v>
      </c>
      <c r="V75" s="2"/>
      <c r="W75" s="2">
        <v>21018</v>
      </c>
      <c r="X75" s="2">
        <v>17063</v>
      </c>
      <c r="Y75" s="2">
        <v>0</v>
      </c>
      <c r="Z75" s="2">
        <v>0</v>
      </c>
      <c r="AA75" s="2">
        <v>0</v>
      </c>
      <c r="AB75" s="2"/>
      <c r="AC75" s="2">
        <v>1242</v>
      </c>
      <c r="AD75" s="2">
        <v>1242</v>
      </c>
      <c r="AE75" s="2">
        <v>1244</v>
      </c>
      <c r="AF75" s="2">
        <v>0</v>
      </c>
      <c r="AG75" s="2">
        <v>0</v>
      </c>
      <c r="AH75" s="2"/>
      <c r="AI75" s="2">
        <v>-10036</v>
      </c>
      <c r="AJ75" s="2">
        <v>-7920</v>
      </c>
      <c r="AK75" s="2">
        <v>-5795</v>
      </c>
      <c r="AL75" s="2">
        <v>0</v>
      </c>
      <c r="AM75" s="2">
        <v>-7920</v>
      </c>
    </row>
    <row r="76" spans="1:39">
      <c r="A76" s="349">
        <v>90617</v>
      </c>
      <c r="B76" s="342" t="s">
        <v>766</v>
      </c>
      <c r="C76" s="358">
        <v>2.94E-5</v>
      </c>
      <c r="E76" s="2">
        <v>13290</v>
      </c>
      <c r="F76" s="2">
        <v>15994</v>
      </c>
      <c r="G76" s="2">
        <v>9948</v>
      </c>
      <c r="H76" s="2">
        <v>4375</v>
      </c>
      <c r="I76" s="2">
        <v>0</v>
      </c>
      <c r="J76" s="2"/>
      <c r="K76" s="2">
        <v>5451</v>
      </c>
      <c r="L76" s="2">
        <v>5021</v>
      </c>
      <c r="M76" s="2">
        <v>2795</v>
      </c>
      <c r="N76" s="2">
        <v>0</v>
      </c>
      <c r="O76" s="2">
        <v>0</v>
      </c>
      <c r="P76" s="2"/>
      <c r="Q76" s="2">
        <v>353</v>
      </c>
      <c r="R76" s="2">
        <v>4942</v>
      </c>
      <c r="S76" s="2">
        <v>5113</v>
      </c>
      <c r="T76" s="2">
        <v>4375</v>
      </c>
      <c r="U76" s="2">
        <v>0</v>
      </c>
      <c r="V76" s="2"/>
      <c r="W76" s="2">
        <v>4315</v>
      </c>
      <c r="X76" s="2">
        <v>3503</v>
      </c>
      <c r="Y76" s="2">
        <v>0</v>
      </c>
      <c r="Z76" s="2">
        <v>0</v>
      </c>
      <c r="AA76" s="2">
        <v>0</v>
      </c>
      <c r="AB76" s="2"/>
      <c r="AC76" s="2">
        <v>3171</v>
      </c>
      <c r="AD76" s="2">
        <v>2528</v>
      </c>
      <c r="AE76" s="2">
        <v>2040</v>
      </c>
      <c r="AF76" s="2">
        <v>0</v>
      </c>
      <c r="AG76" s="2">
        <v>0</v>
      </c>
      <c r="AH76" s="2"/>
      <c r="AI76" s="2">
        <v>0</v>
      </c>
      <c r="AJ76" s="2">
        <v>0</v>
      </c>
      <c r="AK76" s="2">
        <v>0</v>
      </c>
      <c r="AL76" s="2">
        <v>0</v>
      </c>
      <c r="AM76" s="2">
        <v>0</v>
      </c>
    </row>
    <row r="77" spans="1:39">
      <c r="A77" s="349">
        <v>90621</v>
      </c>
      <c r="B77" s="342" t="s">
        <v>767</v>
      </c>
      <c r="C77" s="358">
        <v>6.9300000000000004E-5</v>
      </c>
      <c r="E77" s="2">
        <v>20143</v>
      </c>
      <c r="F77" s="2">
        <v>31435</v>
      </c>
      <c r="G77" s="2">
        <v>19020</v>
      </c>
      <c r="H77" s="2">
        <v>10313</v>
      </c>
      <c r="I77" s="2">
        <v>0</v>
      </c>
      <c r="J77" s="2"/>
      <c r="K77" s="2">
        <v>12849</v>
      </c>
      <c r="L77" s="2">
        <v>11836</v>
      </c>
      <c r="M77" s="2">
        <v>6588</v>
      </c>
      <c r="N77" s="2">
        <v>0</v>
      </c>
      <c r="O77" s="2">
        <v>0</v>
      </c>
      <c r="P77" s="2"/>
      <c r="Q77" s="2">
        <v>833</v>
      </c>
      <c r="R77" s="2">
        <v>11650</v>
      </c>
      <c r="S77" s="2">
        <v>12053</v>
      </c>
      <c r="T77" s="2">
        <v>10313</v>
      </c>
      <c r="U77" s="2">
        <v>0</v>
      </c>
      <c r="V77" s="2"/>
      <c r="W77" s="2">
        <v>10172</v>
      </c>
      <c r="X77" s="2">
        <v>8258</v>
      </c>
      <c r="Y77" s="2">
        <v>0</v>
      </c>
      <c r="Z77" s="2">
        <v>0</v>
      </c>
      <c r="AA77" s="2">
        <v>0</v>
      </c>
      <c r="AB77" s="2"/>
      <c r="AC77" s="2">
        <v>552</v>
      </c>
      <c r="AD77" s="2">
        <v>552</v>
      </c>
      <c r="AE77" s="2">
        <v>552</v>
      </c>
      <c r="AF77" s="2">
        <v>0</v>
      </c>
      <c r="AG77" s="2">
        <v>0</v>
      </c>
      <c r="AH77" s="2"/>
      <c r="AI77" s="2">
        <v>-4263</v>
      </c>
      <c r="AJ77" s="2">
        <v>-861</v>
      </c>
      <c r="AK77" s="2">
        <v>-173</v>
      </c>
      <c r="AL77" s="2">
        <v>0</v>
      </c>
      <c r="AM77" s="2">
        <v>-861</v>
      </c>
    </row>
    <row r="78" spans="1:39">
      <c r="A78" s="349">
        <v>90631</v>
      </c>
      <c r="B78" s="342" t="s">
        <v>768</v>
      </c>
      <c r="C78" s="358">
        <v>3.636E-4</v>
      </c>
      <c r="E78" s="2">
        <v>125692</v>
      </c>
      <c r="F78" s="2">
        <v>165716</v>
      </c>
      <c r="G78" s="2">
        <v>101020</v>
      </c>
      <c r="H78" s="2">
        <v>54112</v>
      </c>
      <c r="I78" s="2">
        <v>0</v>
      </c>
      <c r="J78" s="2"/>
      <c r="K78" s="2">
        <v>67415</v>
      </c>
      <c r="L78" s="2">
        <v>62101</v>
      </c>
      <c r="M78" s="2">
        <v>34563</v>
      </c>
      <c r="N78" s="2">
        <v>0</v>
      </c>
      <c r="O78" s="2">
        <v>0</v>
      </c>
      <c r="P78" s="2"/>
      <c r="Q78" s="2">
        <v>4370</v>
      </c>
      <c r="R78" s="2">
        <v>61123</v>
      </c>
      <c r="S78" s="2">
        <v>63237</v>
      </c>
      <c r="T78" s="2">
        <v>54112</v>
      </c>
      <c r="U78" s="2">
        <v>0</v>
      </c>
      <c r="V78" s="2"/>
      <c r="W78" s="2">
        <v>53368</v>
      </c>
      <c r="X78" s="2">
        <v>43325</v>
      </c>
      <c r="Y78" s="2">
        <v>0</v>
      </c>
      <c r="Z78" s="2">
        <v>0</v>
      </c>
      <c r="AA78" s="2">
        <v>0</v>
      </c>
      <c r="AB78" s="2"/>
      <c r="AC78" s="2">
        <v>4597</v>
      </c>
      <c r="AD78" s="2">
        <v>3223</v>
      </c>
      <c r="AE78" s="2">
        <v>3220</v>
      </c>
      <c r="AF78" s="2">
        <v>0</v>
      </c>
      <c r="AG78" s="2">
        <v>0</v>
      </c>
      <c r="AH78" s="2"/>
      <c r="AI78" s="2">
        <v>-4058</v>
      </c>
      <c r="AJ78" s="2">
        <v>-4056</v>
      </c>
      <c r="AK78" s="2">
        <v>0</v>
      </c>
      <c r="AL78" s="2">
        <v>0</v>
      </c>
      <c r="AM78" s="2">
        <v>-4056</v>
      </c>
    </row>
    <row r="79" spans="1:39">
      <c r="A79" s="349">
        <v>90641</v>
      </c>
      <c r="B79" s="342" t="s">
        <v>769</v>
      </c>
      <c r="C79" s="358">
        <v>1.1E-5</v>
      </c>
      <c r="E79" s="2">
        <v>3751</v>
      </c>
      <c r="F79" s="2">
        <v>4984</v>
      </c>
      <c r="G79" s="2">
        <v>2884</v>
      </c>
      <c r="H79" s="2">
        <v>1637</v>
      </c>
      <c r="I79" s="2">
        <v>0</v>
      </c>
      <c r="J79" s="2"/>
      <c r="K79" s="2">
        <v>2039</v>
      </c>
      <c r="L79" s="2">
        <v>1879</v>
      </c>
      <c r="M79" s="2">
        <v>1046</v>
      </c>
      <c r="N79" s="2">
        <v>0</v>
      </c>
      <c r="O79" s="2">
        <v>0</v>
      </c>
      <c r="P79" s="2"/>
      <c r="Q79" s="2">
        <v>132</v>
      </c>
      <c r="R79" s="2">
        <v>1849</v>
      </c>
      <c r="S79" s="2">
        <v>1913</v>
      </c>
      <c r="T79" s="2">
        <v>1637</v>
      </c>
      <c r="U79" s="2">
        <v>0</v>
      </c>
      <c r="V79" s="2"/>
      <c r="W79" s="2">
        <v>1615</v>
      </c>
      <c r="X79" s="2">
        <v>1311</v>
      </c>
      <c r="Y79" s="2">
        <v>0</v>
      </c>
      <c r="Z79" s="2">
        <v>0</v>
      </c>
      <c r="AA79" s="2">
        <v>0</v>
      </c>
      <c r="AB79" s="2"/>
      <c r="AC79" s="2">
        <v>70</v>
      </c>
      <c r="AD79" s="2">
        <v>50</v>
      </c>
      <c r="AE79" s="2">
        <v>28</v>
      </c>
      <c r="AF79" s="2">
        <v>0</v>
      </c>
      <c r="AG79" s="2">
        <v>0</v>
      </c>
      <c r="AH79" s="2"/>
      <c r="AI79" s="2">
        <v>-105</v>
      </c>
      <c r="AJ79" s="2">
        <v>-105</v>
      </c>
      <c r="AK79" s="2">
        <v>-103</v>
      </c>
      <c r="AL79" s="2">
        <v>0</v>
      </c>
      <c r="AM79" s="2">
        <v>-105</v>
      </c>
    </row>
    <row r="80" spans="1:39">
      <c r="A80" s="349">
        <v>90651</v>
      </c>
      <c r="B80" s="342" t="s">
        <v>770</v>
      </c>
      <c r="C80" s="358">
        <v>9.5199999999999997E-5</v>
      </c>
      <c r="E80" s="2">
        <v>62450</v>
      </c>
      <c r="F80" s="2">
        <v>64672</v>
      </c>
      <c r="G80" s="2">
        <v>35410</v>
      </c>
      <c r="H80" s="2">
        <v>14168</v>
      </c>
      <c r="I80" s="2">
        <v>0</v>
      </c>
      <c r="J80" s="2"/>
      <c r="K80" s="2">
        <v>17651</v>
      </c>
      <c r="L80" s="2">
        <v>16260</v>
      </c>
      <c r="M80" s="2">
        <v>9050</v>
      </c>
      <c r="N80" s="2">
        <v>0</v>
      </c>
      <c r="O80" s="2">
        <v>0</v>
      </c>
      <c r="P80" s="2"/>
      <c r="Q80" s="2">
        <v>1144</v>
      </c>
      <c r="R80" s="2">
        <v>16004</v>
      </c>
      <c r="S80" s="2">
        <v>16557</v>
      </c>
      <c r="T80" s="2">
        <v>14168</v>
      </c>
      <c r="U80" s="2">
        <v>0</v>
      </c>
      <c r="V80" s="2"/>
      <c r="W80" s="2">
        <v>13973</v>
      </c>
      <c r="X80" s="2">
        <v>11344</v>
      </c>
      <c r="Y80" s="2">
        <v>0</v>
      </c>
      <c r="Z80" s="2">
        <v>0</v>
      </c>
      <c r="AA80" s="2">
        <v>0</v>
      </c>
      <c r="AB80" s="2"/>
      <c r="AC80" s="2">
        <v>30466</v>
      </c>
      <c r="AD80" s="2">
        <v>21848</v>
      </c>
      <c r="AE80" s="2">
        <v>10585</v>
      </c>
      <c r="AF80" s="2">
        <v>0</v>
      </c>
      <c r="AG80" s="2">
        <v>0</v>
      </c>
      <c r="AH80" s="2"/>
      <c r="AI80" s="2">
        <v>-784</v>
      </c>
      <c r="AJ80" s="2">
        <v>-784</v>
      </c>
      <c r="AK80" s="2">
        <v>-782</v>
      </c>
      <c r="AL80" s="2">
        <v>0</v>
      </c>
      <c r="AM80" s="2">
        <v>-784</v>
      </c>
    </row>
    <row r="81" spans="1:39">
      <c r="A81" s="349">
        <v>90701</v>
      </c>
      <c r="B81" s="342" t="s">
        <v>771</v>
      </c>
      <c r="C81" s="358">
        <v>2.5049E-3</v>
      </c>
      <c r="E81" s="2">
        <v>772842</v>
      </c>
      <c r="F81" s="2">
        <v>1029781</v>
      </c>
      <c r="G81" s="2">
        <v>578765</v>
      </c>
      <c r="H81" s="2">
        <v>372784</v>
      </c>
      <c r="I81" s="2">
        <v>0</v>
      </c>
      <c r="J81" s="2"/>
      <c r="K81" s="2">
        <v>464431</v>
      </c>
      <c r="L81" s="2">
        <v>427822</v>
      </c>
      <c r="M81" s="2">
        <v>238111</v>
      </c>
      <c r="N81" s="2">
        <v>0</v>
      </c>
      <c r="O81" s="2">
        <v>0</v>
      </c>
      <c r="P81" s="2"/>
      <c r="Q81" s="2">
        <v>30106</v>
      </c>
      <c r="R81" s="2">
        <v>421086</v>
      </c>
      <c r="S81" s="2">
        <v>435647</v>
      </c>
      <c r="T81" s="2">
        <v>372784</v>
      </c>
      <c r="U81" s="2">
        <v>0</v>
      </c>
      <c r="V81" s="2"/>
      <c r="W81" s="2">
        <v>367659</v>
      </c>
      <c r="X81" s="2">
        <v>298476</v>
      </c>
      <c r="Y81" s="2">
        <v>0</v>
      </c>
      <c r="Z81" s="2">
        <v>0</v>
      </c>
      <c r="AA81" s="2">
        <v>0</v>
      </c>
      <c r="AB81" s="2"/>
      <c r="AC81" s="2">
        <v>28249</v>
      </c>
      <c r="AD81" s="2">
        <v>0</v>
      </c>
      <c r="AE81" s="2">
        <v>0</v>
      </c>
      <c r="AF81" s="2">
        <v>0</v>
      </c>
      <c r="AG81" s="2">
        <v>0</v>
      </c>
      <c r="AH81" s="2"/>
      <c r="AI81" s="2">
        <v>-117603</v>
      </c>
      <c r="AJ81" s="2">
        <v>-117603</v>
      </c>
      <c r="AK81" s="2">
        <v>-94993</v>
      </c>
      <c r="AL81" s="2">
        <v>0</v>
      </c>
      <c r="AM81" s="2">
        <v>-117603</v>
      </c>
    </row>
    <row r="82" spans="1:39">
      <c r="A82" s="349">
        <v>90704</v>
      </c>
      <c r="B82" s="342" t="s">
        <v>772</v>
      </c>
      <c r="C82" s="358">
        <v>4.1999999999999998E-5</v>
      </c>
      <c r="E82" s="2">
        <v>24095</v>
      </c>
      <c r="F82" s="2">
        <v>27427</v>
      </c>
      <c r="G82" s="2">
        <v>17271</v>
      </c>
      <c r="H82" s="2">
        <v>6251</v>
      </c>
      <c r="I82" s="2">
        <v>0</v>
      </c>
      <c r="J82" s="2"/>
      <c r="K82" s="2">
        <v>7787</v>
      </c>
      <c r="L82" s="2">
        <v>7173</v>
      </c>
      <c r="M82" s="2">
        <v>3992</v>
      </c>
      <c r="N82" s="2">
        <v>0</v>
      </c>
      <c r="O82" s="2">
        <v>0</v>
      </c>
      <c r="P82" s="2"/>
      <c r="Q82" s="2">
        <v>505</v>
      </c>
      <c r="R82" s="2">
        <v>7060</v>
      </c>
      <c r="S82" s="2">
        <v>7305</v>
      </c>
      <c r="T82" s="2">
        <v>6251</v>
      </c>
      <c r="U82" s="2">
        <v>0</v>
      </c>
      <c r="V82" s="2"/>
      <c r="W82" s="2">
        <v>6165</v>
      </c>
      <c r="X82" s="2">
        <v>5005</v>
      </c>
      <c r="Y82" s="2">
        <v>0</v>
      </c>
      <c r="Z82" s="2">
        <v>0</v>
      </c>
      <c r="AA82" s="2">
        <v>0</v>
      </c>
      <c r="AB82" s="2"/>
      <c r="AC82" s="2">
        <v>9638</v>
      </c>
      <c r="AD82" s="2">
        <v>8189</v>
      </c>
      <c r="AE82" s="2">
        <v>5974</v>
      </c>
      <c r="AF82" s="2">
        <v>0</v>
      </c>
      <c r="AG82" s="2">
        <v>0</v>
      </c>
      <c r="AH82" s="2"/>
      <c r="AI82" s="2">
        <v>0</v>
      </c>
      <c r="AJ82" s="2">
        <v>0</v>
      </c>
      <c r="AK82" s="2">
        <v>0</v>
      </c>
      <c r="AL82" s="2">
        <v>0</v>
      </c>
      <c r="AM82" s="2">
        <v>0</v>
      </c>
    </row>
    <row r="83" spans="1:39">
      <c r="A83" s="349">
        <v>90705</v>
      </c>
      <c r="B83" s="342" t="s">
        <v>773</v>
      </c>
      <c r="C83" s="358">
        <v>3.3800000000000002E-5</v>
      </c>
      <c r="E83" s="2">
        <v>13592</v>
      </c>
      <c r="F83" s="2">
        <v>14485</v>
      </c>
      <c r="G83" s="2">
        <v>9955</v>
      </c>
      <c r="H83" s="2">
        <v>5030</v>
      </c>
      <c r="I83" s="2">
        <v>0</v>
      </c>
      <c r="J83" s="2"/>
      <c r="K83" s="2">
        <v>6267</v>
      </c>
      <c r="L83" s="2">
        <v>5773</v>
      </c>
      <c r="M83" s="2">
        <v>3213</v>
      </c>
      <c r="N83" s="2">
        <v>0</v>
      </c>
      <c r="O83" s="2">
        <v>0</v>
      </c>
      <c r="P83" s="2"/>
      <c r="Q83" s="2">
        <v>406</v>
      </c>
      <c r="R83" s="2">
        <v>5682</v>
      </c>
      <c r="S83" s="2">
        <v>5878</v>
      </c>
      <c r="T83" s="2">
        <v>5030</v>
      </c>
      <c r="U83" s="2">
        <v>0</v>
      </c>
      <c r="V83" s="2"/>
      <c r="W83" s="2">
        <v>4961</v>
      </c>
      <c r="X83" s="2">
        <v>4028</v>
      </c>
      <c r="Y83" s="2">
        <v>0</v>
      </c>
      <c r="Z83" s="2">
        <v>0</v>
      </c>
      <c r="AA83" s="2">
        <v>0</v>
      </c>
      <c r="AB83" s="2"/>
      <c r="AC83" s="2">
        <v>4926</v>
      </c>
      <c r="AD83" s="2">
        <v>1970</v>
      </c>
      <c r="AE83" s="2">
        <v>1972</v>
      </c>
      <c r="AF83" s="2">
        <v>0</v>
      </c>
      <c r="AG83" s="2">
        <v>0</v>
      </c>
      <c r="AH83" s="2"/>
      <c r="AI83" s="2">
        <v>-2968</v>
      </c>
      <c r="AJ83" s="2">
        <v>-2968</v>
      </c>
      <c r="AK83" s="2">
        <v>-1108</v>
      </c>
      <c r="AL83" s="2">
        <v>0</v>
      </c>
      <c r="AM83" s="2">
        <v>-2968</v>
      </c>
    </row>
    <row r="84" spans="1:39">
      <c r="A84" s="349">
        <v>90709</v>
      </c>
      <c r="B84" s="342" t="s">
        <v>774</v>
      </c>
      <c r="C84" s="358">
        <v>1.4219999999999999E-4</v>
      </c>
      <c r="E84" s="2">
        <v>52855</v>
      </c>
      <c r="F84" s="2">
        <v>71534</v>
      </c>
      <c r="G84" s="2">
        <v>34878</v>
      </c>
      <c r="H84" s="2">
        <v>21162</v>
      </c>
      <c r="I84" s="2">
        <v>0</v>
      </c>
      <c r="J84" s="2"/>
      <c r="K84" s="2">
        <v>26365</v>
      </c>
      <c r="L84" s="2">
        <v>24287</v>
      </c>
      <c r="M84" s="2">
        <v>13517</v>
      </c>
      <c r="N84" s="2">
        <v>0</v>
      </c>
      <c r="O84" s="2">
        <v>0</v>
      </c>
      <c r="P84" s="2"/>
      <c r="Q84" s="2">
        <v>1709</v>
      </c>
      <c r="R84" s="2">
        <v>23905</v>
      </c>
      <c r="S84" s="2">
        <v>24731</v>
      </c>
      <c r="T84" s="2">
        <v>21162</v>
      </c>
      <c r="U84" s="2">
        <v>0</v>
      </c>
      <c r="V84" s="2"/>
      <c r="W84" s="2">
        <v>20872</v>
      </c>
      <c r="X84" s="2">
        <v>16944</v>
      </c>
      <c r="Y84" s="2">
        <v>0</v>
      </c>
      <c r="Z84" s="2">
        <v>0</v>
      </c>
      <c r="AA84" s="2">
        <v>0</v>
      </c>
      <c r="AB84" s="2"/>
      <c r="AC84" s="2">
        <v>10068</v>
      </c>
      <c r="AD84" s="2">
        <v>10066</v>
      </c>
      <c r="AE84" s="2">
        <v>298</v>
      </c>
      <c r="AF84" s="2">
        <v>0</v>
      </c>
      <c r="AG84" s="2">
        <v>0</v>
      </c>
      <c r="AH84" s="2"/>
      <c r="AI84" s="2">
        <v>-6159</v>
      </c>
      <c r="AJ84" s="2">
        <v>-3668</v>
      </c>
      <c r="AK84" s="2">
        <v>-3668</v>
      </c>
      <c r="AL84" s="2">
        <v>0</v>
      </c>
      <c r="AM84" s="2">
        <v>-3668</v>
      </c>
    </row>
    <row r="85" spans="1:39">
      <c r="A85" s="349">
        <v>90711</v>
      </c>
      <c r="B85" s="342" t="s">
        <v>775</v>
      </c>
      <c r="C85" s="358">
        <v>1.5904000000000001E-3</v>
      </c>
      <c r="E85" s="2">
        <v>523963</v>
      </c>
      <c r="F85" s="2">
        <v>712266</v>
      </c>
      <c r="G85" s="2">
        <v>426633</v>
      </c>
      <c r="H85" s="2">
        <v>236687</v>
      </c>
      <c r="I85" s="2">
        <v>0</v>
      </c>
      <c r="J85" s="2"/>
      <c r="K85" s="2">
        <v>294874</v>
      </c>
      <c r="L85" s="2">
        <v>271631</v>
      </c>
      <c r="M85" s="2">
        <v>151180</v>
      </c>
      <c r="N85" s="2">
        <v>0</v>
      </c>
      <c r="O85" s="2">
        <v>0</v>
      </c>
      <c r="P85" s="2"/>
      <c r="Q85" s="2">
        <v>19115</v>
      </c>
      <c r="R85" s="2">
        <v>267354</v>
      </c>
      <c r="S85" s="2">
        <v>276599</v>
      </c>
      <c r="T85" s="2">
        <v>236687</v>
      </c>
      <c r="U85" s="2">
        <v>0</v>
      </c>
      <c r="V85" s="2"/>
      <c r="W85" s="2">
        <v>233433</v>
      </c>
      <c r="X85" s="2">
        <v>189507</v>
      </c>
      <c r="Y85" s="2">
        <v>0</v>
      </c>
      <c r="Z85" s="2">
        <v>0</v>
      </c>
      <c r="AA85" s="2">
        <v>0</v>
      </c>
      <c r="AB85" s="2"/>
      <c r="AC85" s="2">
        <v>12880</v>
      </c>
      <c r="AD85" s="2">
        <v>12880</v>
      </c>
      <c r="AE85" s="2">
        <v>12880</v>
      </c>
      <c r="AF85" s="2">
        <v>0</v>
      </c>
      <c r="AG85" s="2">
        <v>0</v>
      </c>
      <c r="AH85" s="2"/>
      <c r="AI85" s="2">
        <v>-36339</v>
      </c>
      <c r="AJ85" s="2">
        <v>-29106</v>
      </c>
      <c r="AK85" s="2">
        <v>-14026</v>
      </c>
      <c r="AL85" s="2">
        <v>0</v>
      </c>
      <c r="AM85" s="2">
        <v>-29106</v>
      </c>
    </row>
    <row r="86" spans="1:39">
      <c r="A86" s="349">
        <v>90721</v>
      </c>
      <c r="B86" s="342" t="s">
        <v>776</v>
      </c>
      <c r="C86" s="358">
        <v>2.12E-5</v>
      </c>
      <c r="E86" s="2">
        <v>6474</v>
      </c>
      <c r="F86" s="2">
        <v>9913</v>
      </c>
      <c r="G86" s="2">
        <v>5852</v>
      </c>
      <c r="H86" s="2">
        <v>3155</v>
      </c>
      <c r="I86" s="2">
        <v>0</v>
      </c>
      <c r="J86" s="2"/>
      <c r="K86" s="2">
        <v>3931</v>
      </c>
      <c r="L86" s="2">
        <v>3621</v>
      </c>
      <c r="M86" s="2">
        <v>2015</v>
      </c>
      <c r="N86" s="2">
        <v>0</v>
      </c>
      <c r="O86" s="2">
        <v>0</v>
      </c>
      <c r="P86" s="2"/>
      <c r="Q86" s="2">
        <v>255</v>
      </c>
      <c r="R86" s="2">
        <v>3564</v>
      </c>
      <c r="S86" s="2">
        <v>3687</v>
      </c>
      <c r="T86" s="2">
        <v>3155</v>
      </c>
      <c r="U86" s="2">
        <v>0</v>
      </c>
      <c r="V86" s="2"/>
      <c r="W86" s="2">
        <v>3112</v>
      </c>
      <c r="X86" s="2">
        <v>2526</v>
      </c>
      <c r="Y86" s="2">
        <v>0</v>
      </c>
      <c r="Z86" s="2">
        <v>0</v>
      </c>
      <c r="AA86" s="2">
        <v>0</v>
      </c>
      <c r="AB86" s="2"/>
      <c r="AC86" s="2">
        <v>1249</v>
      </c>
      <c r="AD86" s="2">
        <v>1247</v>
      </c>
      <c r="AE86" s="2">
        <v>1196</v>
      </c>
      <c r="AF86" s="2">
        <v>0</v>
      </c>
      <c r="AG86" s="2">
        <v>0</v>
      </c>
      <c r="AH86" s="2"/>
      <c r="AI86" s="2">
        <v>-2073</v>
      </c>
      <c r="AJ86" s="2">
        <v>-1045</v>
      </c>
      <c r="AK86" s="2">
        <v>-1046</v>
      </c>
      <c r="AL86" s="2">
        <v>0</v>
      </c>
      <c r="AM86" s="2">
        <v>-1045</v>
      </c>
    </row>
    <row r="87" spans="1:39">
      <c r="A87" s="349">
        <v>90731</v>
      </c>
      <c r="B87" s="342" t="s">
        <v>777</v>
      </c>
      <c r="C87" s="358">
        <v>1.5310000000000001E-4</v>
      </c>
      <c r="E87" s="2">
        <v>53825</v>
      </c>
      <c r="F87" s="2">
        <v>74285</v>
      </c>
      <c r="G87" s="2">
        <v>48574</v>
      </c>
      <c r="H87" s="2">
        <v>22785</v>
      </c>
      <c r="I87" s="2">
        <v>0</v>
      </c>
      <c r="J87" s="2"/>
      <c r="K87" s="2">
        <v>28386</v>
      </c>
      <c r="L87" s="2">
        <v>26149</v>
      </c>
      <c r="M87" s="2">
        <v>14553</v>
      </c>
      <c r="N87" s="2">
        <v>0</v>
      </c>
      <c r="O87" s="2">
        <v>0</v>
      </c>
      <c r="P87" s="2"/>
      <c r="Q87" s="2">
        <v>1840</v>
      </c>
      <c r="R87" s="2">
        <v>25737</v>
      </c>
      <c r="S87" s="2">
        <v>26627</v>
      </c>
      <c r="T87" s="2">
        <v>22785</v>
      </c>
      <c r="U87" s="2">
        <v>0</v>
      </c>
      <c r="V87" s="2"/>
      <c r="W87" s="2">
        <v>22471</v>
      </c>
      <c r="X87" s="2">
        <v>18243</v>
      </c>
      <c r="Y87" s="2">
        <v>0</v>
      </c>
      <c r="Z87" s="2">
        <v>0</v>
      </c>
      <c r="AA87" s="2">
        <v>0</v>
      </c>
      <c r="AB87" s="2"/>
      <c r="AC87" s="2">
        <v>7574</v>
      </c>
      <c r="AD87" s="2">
        <v>7574</v>
      </c>
      <c r="AE87" s="2">
        <v>7575</v>
      </c>
      <c r="AF87" s="2">
        <v>0</v>
      </c>
      <c r="AG87" s="2">
        <v>0</v>
      </c>
      <c r="AH87" s="2"/>
      <c r="AI87" s="2">
        <v>-6446</v>
      </c>
      <c r="AJ87" s="2">
        <v>-3418</v>
      </c>
      <c r="AK87" s="2">
        <v>-181</v>
      </c>
      <c r="AL87" s="2">
        <v>0</v>
      </c>
      <c r="AM87" s="2">
        <v>-3418</v>
      </c>
    </row>
    <row r="88" spans="1:39">
      <c r="A88" s="349">
        <v>90741</v>
      </c>
      <c r="B88" s="342" t="s">
        <v>778</v>
      </c>
      <c r="C88" s="358">
        <v>1.33E-5</v>
      </c>
      <c r="E88" s="2">
        <v>5236</v>
      </c>
      <c r="F88" s="2">
        <v>6801</v>
      </c>
      <c r="G88" s="2">
        <v>3282</v>
      </c>
      <c r="H88" s="2">
        <v>1979</v>
      </c>
      <c r="I88" s="2">
        <v>0</v>
      </c>
      <c r="J88" s="2"/>
      <c r="K88" s="2">
        <v>2466</v>
      </c>
      <c r="L88" s="2">
        <v>2272</v>
      </c>
      <c r="M88" s="2">
        <v>1264</v>
      </c>
      <c r="N88" s="2">
        <v>0</v>
      </c>
      <c r="O88" s="2">
        <v>0</v>
      </c>
      <c r="P88" s="2"/>
      <c r="Q88" s="2">
        <v>160</v>
      </c>
      <c r="R88" s="2">
        <v>2236</v>
      </c>
      <c r="S88" s="2">
        <v>2313</v>
      </c>
      <c r="T88" s="2">
        <v>1979</v>
      </c>
      <c r="U88" s="2">
        <v>0</v>
      </c>
      <c r="V88" s="2"/>
      <c r="W88" s="2">
        <v>1952</v>
      </c>
      <c r="X88" s="2">
        <v>1585</v>
      </c>
      <c r="Y88" s="2">
        <v>0</v>
      </c>
      <c r="Z88" s="2">
        <v>0</v>
      </c>
      <c r="AA88" s="2">
        <v>0</v>
      </c>
      <c r="AB88" s="2"/>
      <c r="AC88" s="2">
        <v>1003</v>
      </c>
      <c r="AD88" s="2">
        <v>1002</v>
      </c>
      <c r="AE88" s="2">
        <v>0</v>
      </c>
      <c r="AF88" s="2">
        <v>0</v>
      </c>
      <c r="AG88" s="2">
        <v>0</v>
      </c>
      <c r="AH88" s="2"/>
      <c r="AI88" s="2">
        <v>-345</v>
      </c>
      <c r="AJ88" s="2">
        <v>-294</v>
      </c>
      <c r="AK88" s="2">
        <v>-295</v>
      </c>
      <c r="AL88" s="2">
        <v>0</v>
      </c>
      <c r="AM88" s="2">
        <v>-294</v>
      </c>
    </row>
    <row r="89" spans="1:39">
      <c r="A89" s="349">
        <v>90751</v>
      </c>
      <c r="B89" s="342" t="s">
        <v>779</v>
      </c>
      <c r="C89" s="358">
        <v>6.2600000000000004E-5</v>
      </c>
      <c r="E89" s="2">
        <v>17699</v>
      </c>
      <c r="F89" s="2">
        <v>25097</v>
      </c>
      <c r="G89" s="2">
        <v>12644</v>
      </c>
      <c r="H89" s="2">
        <v>9316</v>
      </c>
      <c r="I89" s="2">
        <v>0</v>
      </c>
      <c r="J89" s="2"/>
      <c r="K89" s="2">
        <v>11607</v>
      </c>
      <c r="L89" s="2">
        <v>10692</v>
      </c>
      <c r="M89" s="2">
        <v>5951</v>
      </c>
      <c r="N89" s="2">
        <v>0</v>
      </c>
      <c r="O89" s="2">
        <v>0</v>
      </c>
      <c r="P89" s="2"/>
      <c r="Q89" s="2">
        <v>752</v>
      </c>
      <c r="R89" s="2">
        <v>10523</v>
      </c>
      <c r="S89" s="2">
        <v>10887</v>
      </c>
      <c r="T89" s="2">
        <v>9316</v>
      </c>
      <c r="U89" s="2">
        <v>0</v>
      </c>
      <c r="V89" s="2"/>
      <c r="W89" s="2">
        <v>9188</v>
      </c>
      <c r="X89" s="2">
        <v>7459</v>
      </c>
      <c r="Y89" s="2">
        <v>0</v>
      </c>
      <c r="Z89" s="2">
        <v>0</v>
      </c>
      <c r="AA89" s="2">
        <v>0</v>
      </c>
      <c r="AB89" s="2"/>
      <c r="AC89" s="2">
        <v>617</v>
      </c>
      <c r="AD89" s="2">
        <v>618</v>
      </c>
      <c r="AE89" s="2">
        <v>0</v>
      </c>
      <c r="AF89" s="2">
        <v>0</v>
      </c>
      <c r="AG89" s="2">
        <v>0</v>
      </c>
      <c r="AH89" s="2"/>
      <c r="AI89" s="2">
        <v>-4465</v>
      </c>
      <c r="AJ89" s="2">
        <v>-4195</v>
      </c>
      <c r="AK89" s="2">
        <v>-4194</v>
      </c>
      <c r="AL89" s="2">
        <v>0</v>
      </c>
      <c r="AM89" s="2">
        <v>-4195</v>
      </c>
    </row>
    <row r="90" spans="1:39">
      <c r="A90" s="349">
        <v>90801</v>
      </c>
      <c r="B90" s="342" t="s">
        <v>780</v>
      </c>
      <c r="C90" s="358">
        <v>1.2543000000000001E-3</v>
      </c>
      <c r="E90" s="2">
        <v>376276</v>
      </c>
      <c r="F90" s="2">
        <v>506974</v>
      </c>
      <c r="G90" s="2">
        <v>282428</v>
      </c>
      <c r="H90" s="2">
        <v>186667</v>
      </c>
      <c r="I90" s="2">
        <v>0</v>
      </c>
      <c r="J90" s="2"/>
      <c r="K90" s="2">
        <v>232559</v>
      </c>
      <c r="L90" s="2">
        <v>214227</v>
      </c>
      <c r="M90" s="2">
        <v>119231</v>
      </c>
      <c r="N90" s="2">
        <v>0</v>
      </c>
      <c r="O90" s="2">
        <v>0</v>
      </c>
      <c r="P90" s="2"/>
      <c r="Q90" s="2">
        <v>15075</v>
      </c>
      <c r="R90" s="2">
        <v>210854</v>
      </c>
      <c r="S90" s="2">
        <v>218145</v>
      </c>
      <c r="T90" s="2">
        <v>186667</v>
      </c>
      <c r="U90" s="2">
        <v>0</v>
      </c>
      <c r="V90" s="2"/>
      <c r="W90" s="2">
        <v>184101</v>
      </c>
      <c r="X90" s="2">
        <v>149459</v>
      </c>
      <c r="Y90" s="2">
        <v>0</v>
      </c>
      <c r="Z90" s="2">
        <v>0</v>
      </c>
      <c r="AA90" s="2">
        <v>0</v>
      </c>
      <c r="AB90" s="2"/>
      <c r="AC90" s="2">
        <v>12107</v>
      </c>
      <c r="AD90" s="2">
        <v>0</v>
      </c>
      <c r="AE90" s="2">
        <v>0</v>
      </c>
      <c r="AF90" s="2">
        <v>0</v>
      </c>
      <c r="AG90" s="2">
        <v>0</v>
      </c>
      <c r="AH90" s="2"/>
      <c r="AI90" s="2">
        <v>-67566</v>
      </c>
      <c r="AJ90" s="2">
        <v>-67566</v>
      </c>
      <c r="AK90" s="2">
        <v>-54948</v>
      </c>
      <c r="AL90" s="2">
        <v>0</v>
      </c>
      <c r="AM90" s="2">
        <v>-67566</v>
      </c>
    </row>
    <row r="91" spans="1:39">
      <c r="A91" s="349">
        <v>90804</v>
      </c>
      <c r="B91" s="342" t="s">
        <v>781</v>
      </c>
      <c r="C91" s="358">
        <v>5.0000000000000004E-6</v>
      </c>
      <c r="E91" s="2">
        <v>1458</v>
      </c>
      <c r="F91" s="2">
        <v>2016</v>
      </c>
      <c r="G91" s="2">
        <v>1127</v>
      </c>
      <c r="H91" s="2">
        <v>744</v>
      </c>
      <c r="I91" s="2">
        <v>0</v>
      </c>
      <c r="J91" s="2"/>
      <c r="K91" s="2">
        <v>927</v>
      </c>
      <c r="L91" s="2">
        <v>854</v>
      </c>
      <c r="M91" s="2">
        <v>475</v>
      </c>
      <c r="N91" s="2">
        <v>0</v>
      </c>
      <c r="O91" s="2">
        <v>0</v>
      </c>
      <c r="P91" s="2"/>
      <c r="Q91" s="2">
        <v>60</v>
      </c>
      <c r="R91" s="2">
        <v>841</v>
      </c>
      <c r="S91" s="2">
        <v>870</v>
      </c>
      <c r="T91" s="2">
        <v>744</v>
      </c>
      <c r="U91" s="2">
        <v>0</v>
      </c>
      <c r="V91" s="2"/>
      <c r="W91" s="2">
        <v>734</v>
      </c>
      <c r="X91" s="2">
        <v>596</v>
      </c>
      <c r="Y91" s="2">
        <v>0</v>
      </c>
      <c r="Z91" s="2">
        <v>0</v>
      </c>
      <c r="AA91" s="2">
        <v>0</v>
      </c>
      <c r="AB91" s="2"/>
      <c r="AC91" s="2">
        <v>13</v>
      </c>
      <c r="AD91" s="2">
        <v>0</v>
      </c>
      <c r="AE91" s="2">
        <v>0</v>
      </c>
      <c r="AF91" s="2">
        <v>0</v>
      </c>
      <c r="AG91" s="2">
        <v>0</v>
      </c>
      <c r="AH91" s="2"/>
      <c r="AI91" s="2">
        <v>-276</v>
      </c>
      <c r="AJ91" s="2">
        <v>-275</v>
      </c>
      <c r="AK91" s="2">
        <v>-218</v>
      </c>
      <c r="AL91" s="2">
        <v>0</v>
      </c>
      <c r="AM91" s="2">
        <v>-275</v>
      </c>
    </row>
    <row r="92" spans="1:39">
      <c r="A92" s="349">
        <v>90805</v>
      </c>
      <c r="B92" s="342" t="s">
        <v>782</v>
      </c>
      <c r="C92" s="358">
        <v>6.3E-5</v>
      </c>
      <c r="E92" s="2">
        <v>31314</v>
      </c>
      <c r="F92" s="2">
        <v>36665</v>
      </c>
      <c r="G92" s="2">
        <v>20464</v>
      </c>
      <c r="H92" s="2">
        <v>9376</v>
      </c>
      <c r="I92" s="2">
        <v>0</v>
      </c>
      <c r="J92" s="2"/>
      <c r="K92" s="2">
        <v>11681</v>
      </c>
      <c r="L92" s="2">
        <v>10760</v>
      </c>
      <c r="M92" s="2">
        <v>5989</v>
      </c>
      <c r="N92" s="2">
        <v>0</v>
      </c>
      <c r="O92" s="2">
        <v>0</v>
      </c>
      <c r="P92" s="2"/>
      <c r="Q92" s="2">
        <v>757</v>
      </c>
      <c r="R92" s="2">
        <v>10591</v>
      </c>
      <c r="S92" s="2">
        <v>10957</v>
      </c>
      <c r="T92" s="2">
        <v>9376</v>
      </c>
      <c r="U92" s="2">
        <v>0</v>
      </c>
      <c r="V92" s="2"/>
      <c r="W92" s="2">
        <v>9247</v>
      </c>
      <c r="X92" s="2">
        <v>7507</v>
      </c>
      <c r="Y92" s="2">
        <v>0</v>
      </c>
      <c r="Z92" s="2">
        <v>0</v>
      </c>
      <c r="AA92" s="2">
        <v>0</v>
      </c>
      <c r="AB92" s="2"/>
      <c r="AC92" s="2">
        <v>9629</v>
      </c>
      <c r="AD92" s="2">
        <v>7807</v>
      </c>
      <c r="AE92" s="2">
        <v>3518</v>
      </c>
      <c r="AF92" s="2">
        <v>0</v>
      </c>
      <c r="AG92" s="2">
        <v>0</v>
      </c>
      <c r="AH92" s="2"/>
      <c r="AI92" s="2">
        <v>0</v>
      </c>
      <c r="AJ92" s="2">
        <v>0</v>
      </c>
      <c r="AK92" s="2">
        <v>0</v>
      </c>
      <c r="AL92" s="2">
        <v>0</v>
      </c>
      <c r="AM92" s="2">
        <v>0</v>
      </c>
    </row>
    <row r="93" spans="1:39">
      <c r="A93" s="349">
        <v>90808</v>
      </c>
      <c r="B93" s="342" t="s">
        <v>3638</v>
      </c>
      <c r="C93" s="358">
        <v>1.4809999999999999E-4</v>
      </c>
      <c r="E93" s="2">
        <v>66316</v>
      </c>
      <c r="F93" s="2">
        <v>81985</v>
      </c>
      <c r="G93" s="2">
        <v>54053</v>
      </c>
      <c r="H93" s="2">
        <v>22041</v>
      </c>
      <c r="I93" s="2">
        <v>0</v>
      </c>
      <c r="J93" s="2"/>
      <c r="K93" s="2">
        <v>27459</v>
      </c>
      <c r="L93" s="2">
        <v>25295</v>
      </c>
      <c r="M93" s="2">
        <v>14078</v>
      </c>
      <c r="N93" s="2">
        <v>0</v>
      </c>
      <c r="O93" s="2">
        <v>0</v>
      </c>
      <c r="P93" s="2"/>
      <c r="Q93" s="2">
        <v>1780</v>
      </c>
      <c r="R93" s="2">
        <v>24896</v>
      </c>
      <c r="S93" s="2">
        <v>25757</v>
      </c>
      <c r="T93" s="2">
        <v>22041</v>
      </c>
      <c r="U93" s="2">
        <v>0</v>
      </c>
      <c r="V93" s="2"/>
      <c r="W93" s="2">
        <v>21738</v>
      </c>
      <c r="X93" s="2">
        <v>17647</v>
      </c>
      <c r="Y93" s="2">
        <v>0</v>
      </c>
      <c r="Z93" s="2">
        <v>0</v>
      </c>
      <c r="AA93" s="2">
        <v>0</v>
      </c>
      <c r="AB93" s="2"/>
      <c r="AC93" s="2">
        <v>15411</v>
      </c>
      <c r="AD93" s="2">
        <v>14220</v>
      </c>
      <c r="AE93" s="2">
        <v>14218</v>
      </c>
      <c r="AF93" s="2">
        <v>0</v>
      </c>
      <c r="AG93" s="2">
        <v>0</v>
      </c>
      <c r="AH93" s="2"/>
      <c r="AI93" s="2">
        <v>-72</v>
      </c>
      <c r="AJ93" s="2">
        <v>-73</v>
      </c>
      <c r="AK93" s="2">
        <v>0</v>
      </c>
      <c r="AL93" s="2">
        <v>0</v>
      </c>
      <c r="AM93" s="2">
        <v>-73</v>
      </c>
    </row>
    <row r="94" spans="1:39">
      <c r="A94" s="349">
        <v>90811</v>
      </c>
      <c r="B94" s="342" t="s">
        <v>784</v>
      </c>
      <c r="C94" s="358">
        <v>3.8999999999999999E-5</v>
      </c>
      <c r="E94" s="2">
        <v>10910</v>
      </c>
      <c r="F94" s="2">
        <v>17175</v>
      </c>
      <c r="G94" s="2">
        <v>10513</v>
      </c>
      <c r="H94" s="2">
        <v>5804</v>
      </c>
      <c r="I94" s="2">
        <v>0</v>
      </c>
      <c r="J94" s="2"/>
      <c r="K94" s="2">
        <v>7231</v>
      </c>
      <c r="L94" s="2">
        <v>6661</v>
      </c>
      <c r="M94" s="2">
        <v>3707</v>
      </c>
      <c r="N94" s="2">
        <v>0</v>
      </c>
      <c r="O94" s="2">
        <v>0</v>
      </c>
      <c r="P94" s="2"/>
      <c r="Q94" s="2">
        <v>469</v>
      </c>
      <c r="R94" s="2">
        <v>6556</v>
      </c>
      <c r="S94" s="2">
        <v>6783</v>
      </c>
      <c r="T94" s="2">
        <v>5804</v>
      </c>
      <c r="U94" s="2">
        <v>0</v>
      </c>
      <c r="V94" s="2"/>
      <c r="W94" s="2">
        <v>5724</v>
      </c>
      <c r="X94" s="2">
        <v>4647</v>
      </c>
      <c r="Y94" s="2">
        <v>0</v>
      </c>
      <c r="Z94" s="2">
        <v>0</v>
      </c>
      <c r="AA94" s="2">
        <v>0</v>
      </c>
      <c r="AB94" s="2"/>
      <c r="AC94" s="2">
        <v>955</v>
      </c>
      <c r="AD94" s="2">
        <v>955</v>
      </c>
      <c r="AE94" s="2">
        <v>955</v>
      </c>
      <c r="AF94" s="2">
        <v>0</v>
      </c>
      <c r="AG94" s="2">
        <v>0</v>
      </c>
      <c r="AH94" s="2"/>
      <c r="AI94" s="2">
        <v>-3469</v>
      </c>
      <c r="AJ94" s="2">
        <v>-1644</v>
      </c>
      <c r="AK94" s="2">
        <v>-932</v>
      </c>
      <c r="AL94" s="2">
        <v>0</v>
      </c>
      <c r="AM94" s="2">
        <v>-1644</v>
      </c>
    </row>
    <row r="95" spans="1:39">
      <c r="A95" s="349">
        <v>90812</v>
      </c>
      <c r="B95" s="342" t="s">
        <v>785</v>
      </c>
      <c r="C95" s="358">
        <v>2.0900000000000001E-4</v>
      </c>
      <c r="E95" s="2">
        <v>66768</v>
      </c>
      <c r="F95" s="2">
        <v>87901</v>
      </c>
      <c r="G95" s="2">
        <v>49520</v>
      </c>
      <c r="H95" s="2">
        <v>31104</v>
      </c>
      <c r="I95" s="2">
        <v>0</v>
      </c>
      <c r="J95" s="2"/>
      <c r="K95" s="2">
        <v>38750</v>
      </c>
      <c r="L95" s="2">
        <v>35696</v>
      </c>
      <c r="M95" s="2">
        <v>19867</v>
      </c>
      <c r="N95" s="2">
        <v>0</v>
      </c>
      <c r="O95" s="2">
        <v>0</v>
      </c>
      <c r="P95" s="2"/>
      <c r="Q95" s="2">
        <v>2512</v>
      </c>
      <c r="R95" s="2">
        <v>35134</v>
      </c>
      <c r="S95" s="2">
        <v>36349</v>
      </c>
      <c r="T95" s="2">
        <v>31104</v>
      </c>
      <c r="U95" s="2">
        <v>0</v>
      </c>
      <c r="V95" s="2"/>
      <c r="W95" s="2">
        <v>30676</v>
      </c>
      <c r="X95" s="2">
        <v>24904</v>
      </c>
      <c r="Y95" s="2">
        <v>0</v>
      </c>
      <c r="Z95" s="2">
        <v>0</v>
      </c>
      <c r="AA95" s="2">
        <v>0</v>
      </c>
      <c r="AB95" s="2"/>
      <c r="AC95" s="2">
        <v>2663</v>
      </c>
      <c r="AD95" s="2">
        <v>0</v>
      </c>
      <c r="AE95" s="2">
        <v>0</v>
      </c>
      <c r="AF95" s="2">
        <v>0</v>
      </c>
      <c r="AG95" s="2">
        <v>0</v>
      </c>
      <c r="AH95" s="2"/>
      <c r="AI95" s="2">
        <v>-7833</v>
      </c>
      <c r="AJ95" s="2">
        <v>-7833</v>
      </c>
      <c r="AK95" s="2">
        <v>-6696</v>
      </c>
      <c r="AL95" s="2">
        <v>0</v>
      </c>
      <c r="AM95" s="2">
        <v>-7833</v>
      </c>
    </row>
    <row r="96" spans="1:39">
      <c r="A96" s="349">
        <v>90813</v>
      </c>
      <c r="B96" s="342" t="s">
        <v>786</v>
      </c>
      <c r="C96" s="358">
        <v>4.0999999999999997E-6</v>
      </c>
      <c r="E96" s="2">
        <v>845</v>
      </c>
      <c r="F96" s="2">
        <v>1418</v>
      </c>
      <c r="G96" s="2">
        <v>746</v>
      </c>
      <c r="H96" s="2">
        <v>610</v>
      </c>
      <c r="I96" s="2">
        <v>0</v>
      </c>
      <c r="J96" s="2"/>
      <c r="K96" s="2">
        <v>760</v>
      </c>
      <c r="L96" s="2">
        <v>700</v>
      </c>
      <c r="M96" s="2">
        <v>390</v>
      </c>
      <c r="N96" s="2">
        <v>0</v>
      </c>
      <c r="O96" s="2">
        <v>0</v>
      </c>
      <c r="P96" s="2"/>
      <c r="Q96" s="2">
        <v>49</v>
      </c>
      <c r="R96" s="2">
        <v>689</v>
      </c>
      <c r="S96" s="2">
        <v>713</v>
      </c>
      <c r="T96" s="2">
        <v>610</v>
      </c>
      <c r="U96" s="2">
        <v>0</v>
      </c>
      <c r="V96" s="2"/>
      <c r="W96" s="2">
        <v>602</v>
      </c>
      <c r="X96" s="2">
        <v>489</v>
      </c>
      <c r="Y96" s="2">
        <v>0</v>
      </c>
      <c r="Z96" s="2">
        <v>0</v>
      </c>
      <c r="AA96" s="2">
        <v>0</v>
      </c>
      <c r="AB96" s="2"/>
      <c r="AC96" s="2">
        <v>0</v>
      </c>
      <c r="AD96" s="2">
        <v>0</v>
      </c>
      <c r="AE96" s="2">
        <v>0</v>
      </c>
      <c r="AF96" s="2">
        <v>0</v>
      </c>
      <c r="AG96" s="2">
        <v>0</v>
      </c>
      <c r="AH96" s="2"/>
      <c r="AI96" s="2">
        <v>-566</v>
      </c>
      <c r="AJ96" s="2">
        <v>-460</v>
      </c>
      <c r="AK96" s="2">
        <v>-357</v>
      </c>
      <c r="AL96" s="2">
        <v>0</v>
      </c>
      <c r="AM96" s="2">
        <v>-460</v>
      </c>
    </row>
    <row r="97" spans="1:39">
      <c r="A97" s="349">
        <v>90861</v>
      </c>
      <c r="B97" s="342" t="s">
        <v>787</v>
      </c>
      <c r="C97" s="358">
        <v>2.5000000000000002E-6</v>
      </c>
      <c r="E97" s="2">
        <v>1268</v>
      </c>
      <c r="F97" s="2">
        <v>1295</v>
      </c>
      <c r="G97" s="2">
        <v>-332</v>
      </c>
      <c r="H97" s="2">
        <v>372</v>
      </c>
      <c r="I97" s="2">
        <v>0</v>
      </c>
      <c r="J97" s="2"/>
      <c r="K97" s="2">
        <v>464</v>
      </c>
      <c r="L97" s="2">
        <v>427</v>
      </c>
      <c r="M97" s="2">
        <v>238</v>
      </c>
      <c r="N97" s="2">
        <v>0</v>
      </c>
      <c r="O97" s="2">
        <v>0</v>
      </c>
      <c r="P97" s="2"/>
      <c r="Q97" s="2">
        <v>30</v>
      </c>
      <c r="R97" s="2">
        <v>420</v>
      </c>
      <c r="S97" s="2">
        <v>435</v>
      </c>
      <c r="T97" s="2">
        <v>372</v>
      </c>
      <c r="U97" s="2">
        <v>0</v>
      </c>
      <c r="V97" s="2"/>
      <c r="W97" s="2">
        <v>367</v>
      </c>
      <c r="X97" s="2">
        <v>298</v>
      </c>
      <c r="Y97" s="2">
        <v>0</v>
      </c>
      <c r="Z97" s="2">
        <v>0</v>
      </c>
      <c r="AA97" s="2">
        <v>0</v>
      </c>
      <c r="AB97" s="2"/>
      <c r="AC97" s="2">
        <v>2263</v>
      </c>
      <c r="AD97" s="2">
        <v>2006</v>
      </c>
      <c r="AE97" s="2">
        <v>849</v>
      </c>
      <c r="AF97" s="2">
        <v>0</v>
      </c>
      <c r="AG97" s="2">
        <v>0</v>
      </c>
      <c r="AH97" s="2"/>
      <c r="AI97" s="2">
        <v>-1856</v>
      </c>
      <c r="AJ97" s="2">
        <v>-1856</v>
      </c>
      <c r="AK97" s="2">
        <v>-1854</v>
      </c>
      <c r="AL97" s="2">
        <v>0</v>
      </c>
      <c r="AM97" s="2">
        <v>-1856</v>
      </c>
    </row>
    <row r="98" spans="1:39">
      <c r="A98" s="349">
        <v>90901</v>
      </c>
      <c r="B98" s="342" t="s">
        <v>788</v>
      </c>
      <c r="C98" s="358">
        <v>2.0888E-3</v>
      </c>
      <c r="E98" s="2">
        <v>672024</v>
      </c>
      <c r="F98" s="2">
        <v>905373</v>
      </c>
      <c r="G98" s="2">
        <v>511741</v>
      </c>
      <c r="H98" s="2">
        <v>310859</v>
      </c>
      <c r="I98" s="2">
        <v>0</v>
      </c>
      <c r="J98" s="2"/>
      <c r="K98" s="2">
        <v>387282</v>
      </c>
      <c r="L98" s="2">
        <v>356755</v>
      </c>
      <c r="M98" s="2">
        <v>198557</v>
      </c>
      <c r="N98" s="2">
        <v>0</v>
      </c>
      <c r="O98" s="2">
        <v>0</v>
      </c>
      <c r="P98" s="2"/>
      <c r="Q98" s="2">
        <v>25105</v>
      </c>
      <c r="R98" s="2">
        <v>351138</v>
      </c>
      <c r="S98" s="2">
        <v>363280</v>
      </c>
      <c r="T98" s="2">
        <v>310859</v>
      </c>
      <c r="U98" s="2">
        <v>0</v>
      </c>
      <c r="V98" s="2"/>
      <c r="W98" s="2">
        <v>306586</v>
      </c>
      <c r="X98" s="2">
        <v>248895</v>
      </c>
      <c r="Y98" s="2">
        <v>0</v>
      </c>
      <c r="Z98" s="2">
        <v>0</v>
      </c>
      <c r="AA98" s="2">
        <v>0</v>
      </c>
      <c r="AB98" s="2"/>
      <c r="AC98" s="2">
        <v>25949</v>
      </c>
      <c r="AD98" s="2">
        <v>21485</v>
      </c>
      <c r="AE98" s="2">
        <v>21485</v>
      </c>
      <c r="AF98" s="2">
        <v>0</v>
      </c>
      <c r="AG98" s="2">
        <v>0</v>
      </c>
      <c r="AH98" s="2"/>
      <c r="AI98" s="2">
        <v>-72898</v>
      </c>
      <c r="AJ98" s="2">
        <v>-72900</v>
      </c>
      <c r="AK98" s="2">
        <v>-71581</v>
      </c>
      <c r="AL98" s="2">
        <v>0</v>
      </c>
      <c r="AM98" s="2">
        <v>-72900</v>
      </c>
    </row>
    <row r="99" spans="1:39">
      <c r="A99" s="349">
        <v>90911</v>
      </c>
      <c r="B99" s="342" t="s">
        <v>789</v>
      </c>
      <c r="C99" s="358">
        <v>3.7490000000000001E-4</v>
      </c>
      <c r="E99" s="2">
        <v>110846</v>
      </c>
      <c r="F99" s="2">
        <v>151829</v>
      </c>
      <c r="G99" s="2">
        <v>84992</v>
      </c>
      <c r="H99" s="2">
        <v>55793</v>
      </c>
      <c r="I99" s="2">
        <v>0</v>
      </c>
      <c r="J99" s="2"/>
      <c r="K99" s="2">
        <v>69510</v>
      </c>
      <c r="L99" s="2">
        <v>64031</v>
      </c>
      <c r="M99" s="2">
        <v>35637</v>
      </c>
      <c r="N99" s="2">
        <v>0</v>
      </c>
      <c r="O99" s="2">
        <v>0</v>
      </c>
      <c r="P99" s="2"/>
      <c r="Q99" s="2">
        <v>4506</v>
      </c>
      <c r="R99" s="2">
        <v>63023</v>
      </c>
      <c r="S99" s="2">
        <v>65202</v>
      </c>
      <c r="T99" s="2">
        <v>55793</v>
      </c>
      <c r="U99" s="2">
        <v>0</v>
      </c>
      <c r="V99" s="2"/>
      <c r="W99" s="2">
        <v>55026</v>
      </c>
      <c r="X99" s="2">
        <v>44672</v>
      </c>
      <c r="Y99" s="2">
        <v>0</v>
      </c>
      <c r="Z99" s="2">
        <v>0</v>
      </c>
      <c r="AA99" s="2">
        <v>0</v>
      </c>
      <c r="AB99" s="2"/>
      <c r="AC99" s="2">
        <v>1700</v>
      </c>
      <c r="AD99" s="2">
        <v>0</v>
      </c>
      <c r="AE99" s="2">
        <v>0</v>
      </c>
      <c r="AF99" s="2">
        <v>0</v>
      </c>
      <c r="AG99" s="2">
        <v>0</v>
      </c>
      <c r="AH99" s="2"/>
      <c r="AI99" s="2">
        <v>-19896</v>
      </c>
      <c r="AJ99" s="2">
        <v>-19897</v>
      </c>
      <c r="AK99" s="2">
        <v>-15847</v>
      </c>
      <c r="AL99" s="2">
        <v>0</v>
      </c>
      <c r="AM99" s="2">
        <v>-19897</v>
      </c>
    </row>
    <row r="100" spans="1:39">
      <c r="A100" s="349">
        <v>90917</v>
      </c>
      <c r="B100" s="342" t="s">
        <v>790</v>
      </c>
      <c r="C100" s="358">
        <v>9.7999999999999993E-6</v>
      </c>
      <c r="E100" s="2">
        <v>3585</v>
      </c>
      <c r="F100" s="2">
        <v>4831</v>
      </c>
      <c r="G100" s="2">
        <v>3320</v>
      </c>
      <c r="H100" s="2">
        <v>1458</v>
      </c>
      <c r="I100" s="2">
        <v>0</v>
      </c>
      <c r="J100" s="2"/>
      <c r="K100" s="2">
        <v>1817</v>
      </c>
      <c r="L100" s="2">
        <v>1674</v>
      </c>
      <c r="M100" s="2">
        <v>932</v>
      </c>
      <c r="N100" s="2">
        <v>0</v>
      </c>
      <c r="O100" s="2">
        <v>0</v>
      </c>
      <c r="P100" s="2"/>
      <c r="Q100" s="2">
        <v>118</v>
      </c>
      <c r="R100" s="2">
        <v>1647</v>
      </c>
      <c r="S100" s="2">
        <v>1704</v>
      </c>
      <c r="T100" s="2">
        <v>1458</v>
      </c>
      <c r="U100" s="2">
        <v>0</v>
      </c>
      <c r="V100" s="2"/>
      <c r="W100" s="2">
        <v>1438</v>
      </c>
      <c r="X100" s="2">
        <v>1168</v>
      </c>
      <c r="Y100" s="2">
        <v>0</v>
      </c>
      <c r="Z100" s="2">
        <v>0</v>
      </c>
      <c r="AA100" s="2">
        <v>0</v>
      </c>
      <c r="AB100" s="2"/>
      <c r="AC100" s="2">
        <v>1205</v>
      </c>
      <c r="AD100" s="2">
        <v>1205</v>
      </c>
      <c r="AE100" s="2">
        <v>1203</v>
      </c>
      <c r="AF100" s="2">
        <v>0</v>
      </c>
      <c r="AG100" s="2">
        <v>0</v>
      </c>
      <c r="AH100" s="2"/>
      <c r="AI100" s="2">
        <v>-993</v>
      </c>
      <c r="AJ100" s="2">
        <v>-863</v>
      </c>
      <c r="AK100" s="2">
        <v>-519</v>
      </c>
      <c r="AL100" s="2">
        <v>0</v>
      </c>
      <c r="AM100" s="2">
        <v>-863</v>
      </c>
    </row>
    <row r="101" spans="1:39">
      <c r="A101" s="349">
        <v>90918</v>
      </c>
      <c r="B101" s="342" t="s">
        <v>3639</v>
      </c>
      <c r="C101" s="358">
        <v>9.9000000000000001E-6</v>
      </c>
      <c r="E101" s="2">
        <v>2504</v>
      </c>
      <c r="F101" s="2">
        <v>3852</v>
      </c>
      <c r="G101" s="2">
        <v>2188</v>
      </c>
      <c r="H101" s="2">
        <v>1473</v>
      </c>
      <c r="I101" s="2">
        <v>0</v>
      </c>
      <c r="J101" s="2"/>
      <c r="K101" s="2">
        <v>1836</v>
      </c>
      <c r="L101" s="2">
        <v>1691</v>
      </c>
      <c r="M101" s="2">
        <v>941</v>
      </c>
      <c r="N101" s="2">
        <v>0</v>
      </c>
      <c r="O101" s="2">
        <v>0</v>
      </c>
      <c r="P101" s="2"/>
      <c r="Q101" s="2">
        <v>119</v>
      </c>
      <c r="R101" s="2">
        <v>1664</v>
      </c>
      <c r="S101" s="2">
        <v>1722</v>
      </c>
      <c r="T101" s="2">
        <v>1473</v>
      </c>
      <c r="U101" s="2">
        <v>0</v>
      </c>
      <c r="V101" s="2"/>
      <c r="W101" s="2">
        <v>1453</v>
      </c>
      <c r="X101" s="2">
        <v>1180</v>
      </c>
      <c r="Y101" s="2">
        <v>0</v>
      </c>
      <c r="Z101" s="2">
        <v>0</v>
      </c>
      <c r="AA101" s="2">
        <v>0</v>
      </c>
      <c r="AB101" s="2"/>
      <c r="AC101" s="2">
        <v>0</v>
      </c>
      <c r="AD101" s="2">
        <v>0</v>
      </c>
      <c r="AE101" s="2">
        <v>0</v>
      </c>
      <c r="AF101" s="2">
        <v>0</v>
      </c>
      <c r="AG101" s="2">
        <v>0</v>
      </c>
      <c r="AH101" s="2"/>
      <c r="AI101" s="2">
        <v>-904</v>
      </c>
      <c r="AJ101" s="2">
        <v>-683</v>
      </c>
      <c r="AK101" s="2">
        <v>-475</v>
      </c>
      <c r="AL101" s="2">
        <v>0</v>
      </c>
      <c r="AM101" s="2">
        <v>-683</v>
      </c>
    </row>
    <row r="102" spans="1:39">
      <c r="A102" s="349">
        <v>90921</v>
      </c>
      <c r="B102" s="342" t="s">
        <v>792</v>
      </c>
      <c r="C102" s="358">
        <v>1.027E-4</v>
      </c>
      <c r="E102" s="2">
        <v>37790</v>
      </c>
      <c r="F102" s="2">
        <v>42405</v>
      </c>
      <c r="G102" s="2">
        <v>23243</v>
      </c>
      <c r="H102" s="2">
        <v>15284</v>
      </c>
      <c r="I102" s="2">
        <v>0</v>
      </c>
      <c r="J102" s="2"/>
      <c r="K102" s="2">
        <v>19042</v>
      </c>
      <c r="L102" s="2">
        <v>17541</v>
      </c>
      <c r="M102" s="2">
        <v>9762</v>
      </c>
      <c r="N102" s="2">
        <v>0</v>
      </c>
      <c r="O102" s="2">
        <v>0</v>
      </c>
      <c r="P102" s="2"/>
      <c r="Q102" s="2">
        <v>1234</v>
      </c>
      <c r="R102" s="2">
        <v>17264</v>
      </c>
      <c r="S102" s="2">
        <v>17861</v>
      </c>
      <c r="T102" s="2">
        <v>15284</v>
      </c>
      <c r="U102" s="2">
        <v>0</v>
      </c>
      <c r="V102" s="2"/>
      <c r="W102" s="2">
        <v>15074</v>
      </c>
      <c r="X102" s="2">
        <v>12237</v>
      </c>
      <c r="Y102" s="2">
        <v>0</v>
      </c>
      <c r="Z102" s="2">
        <v>0</v>
      </c>
      <c r="AA102" s="2">
        <v>0</v>
      </c>
      <c r="AB102" s="2"/>
      <c r="AC102" s="2">
        <v>7078</v>
      </c>
      <c r="AD102" s="2">
        <v>0</v>
      </c>
      <c r="AE102" s="2">
        <v>0</v>
      </c>
      <c r="AF102" s="2">
        <v>0</v>
      </c>
      <c r="AG102" s="2">
        <v>0</v>
      </c>
      <c r="AH102" s="2"/>
      <c r="AI102" s="2">
        <v>-4638</v>
      </c>
      <c r="AJ102" s="2">
        <v>-4637</v>
      </c>
      <c r="AK102" s="2">
        <v>-4380</v>
      </c>
      <c r="AL102" s="2">
        <v>0</v>
      </c>
      <c r="AM102" s="2">
        <v>-4637</v>
      </c>
    </row>
    <row r="103" spans="1:39">
      <c r="A103" s="349">
        <v>90931</v>
      </c>
      <c r="B103" s="342" t="s">
        <v>793</v>
      </c>
      <c r="C103" s="358">
        <v>3.18E-5</v>
      </c>
      <c r="E103" s="2">
        <v>4678</v>
      </c>
      <c r="F103" s="2">
        <v>10678</v>
      </c>
      <c r="G103" s="2">
        <v>5590</v>
      </c>
      <c r="H103" s="2">
        <v>4733</v>
      </c>
      <c r="I103" s="2">
        <v>0</v>
      </c>
      <c r="J103" s="2"/>
      <c r="K103" s="2">
        <v>5896</v>
      </c>
      <c r="L103" s="2">
        <v>5431</v>
      </c>
      <c r="M103" s="2">
        <v>3023</v>
      </c>
      <c r="N103" s="2">
        <v>0</v>
      </c>
      <c r="O103" s="2">
        <v>0</v>
      </c>
      <c r="P103" s="2"/>
      <c r="Q103" s="2">
        <v>382</v>
      </c>
      <c r="R103" s="2">
        <v>5346</v>
      </c>
      <c r="S103" s="2">
        <v>5531</v>
      </c>
      <c r="T103" s="2">
        <v>4733</v>
      </c>
      <c r="U103" s="2">
        <v>0</v>
      </c>
      <c r="V103" s="2"/>
      <c r="W103" s="2">
        <v>4667</v>
      </c>
      <c r="X103" s="2">
        <v>3789</v>
      </c>
      <c r="Y103" s="2">
        <v>0</v>
      </c>
      <c r="Z103" s="2">
        <v>0</v>
      </c>
      <c r="AA103" s="2">
        <v>0</v>
      </c>
      <c r="AB103" s="2"/>
      <c r="AC103" s="2">
        <v>0</v>
      </c>
      <c r="AD103" s="2">
        <v>0</v>
      </c>
      <c r="AE103" s="2">
        <v>0</v>
      </c>
      <c r="AF103" s="2">
        <v>0</v>
      </c>
      <c r="AG103" s="2">
        <v>0</v>
      </c>
      <c r="AH103" s="2"/>
      <c r="AI103" s="2">
        <v>-6267</v>
      </c>
      <c r="AJ103" s="2">
        <v>-3888</v>
      </c>
      <c r="AK103" s="2">
        <v>-2964</v>
      </c>
      <c r="AL103" s="2">
        <v>0</v>
      </c>
      <c r="AM103" s="2">
        <v>-3888</v>
      </c>
    </row>
    <row r="104" spans="1:39">
      <c r="A104" s="349">
        <v>90941</v>
      </c>
      <c r="B104" s="342" t="s">
        <v>794</v>
      </c>
      <c r="C104" s="358">
        <v>6.9999999999999994E-5</v>
      </c>
      <c r="E104" s="2">
        <v>17938</v>
      </c>
      <c r="F104" s="2">
        <v>28709</v>
      </c>
      <c r="G104" s="2">
        <v>13595</v>
      </c>
      <c r="H104" s="2">
        <v>10418</v>
      </c>
      <c r="I104" s="2">
        <v>0</v>
      </c>
      <c r="J104" s="2"/>
      <c r="K104" s="2">
        <v>12979</v>
      </c>
      <c r="L104" s="2">
        <v>11956</v>
      </c>
      <c r="M104" s="2">
        <v>6654</v>
      </c>
      <c r="N104" s="2">
        <v>0</v>
      </c>
      <c r="O104" s="2">
        <v>0</v>
      </c>
      <c r="P104" s="2"/>
      <c r="Q104" s="2">
        <v>841</v>
      </c>
      <c r="R104" s="2">
        <v>11767</v>
      </c>
      <c r="S104" s="2">
        <v>12174</v>
      </c>
      <c r="T104" s="2">
        <v>10418</v>
      </c>
      <c r="U104" s="2">
        <v>0</v>
      </c>
      <c r="V104" s="2"/>
      <c r="W104" s="2">
        <v>10274</v>
      </c>
      <c r="X104" s="2">
        <v>8341</v>
      </c>
      <c r="Y104" s="2">
        <v>0</v>
      </c>
      <c r="Z104" s="2">
        <v>0</v>
      </c>
      <c r="AA104" s="2">
        <v>0</v>
      </c>
      <c r="AB104" s="2"/>
      <c r="AC104" s="2">
        <v>1877</v>
      </c>
      <c r="AD104" s="2">
        <v>1878</v>
      </c>
      <c r="AE104" s="2">
        <v>0</v>
      </c>
      <c r="AF104" s="2">
        <v>0</v>
      </c>
      <c r="AG104" s="2">
        <v>0</v>
      </c>
      <c r="AH104" s="2"/>
      <c r="AI104" s="2">
        <v>-8033</v>
      </c>
      <c r="AJ104" s="2">
        <v>-5233</v>
      </c>
      <c r="AK104" s="2">
        <v>-5233</v>
      </c>
      <c r="AL104" s="2">
        <v>0</v>
      </c>
      <c r="AM104" s="2">
        <v>-5233</v>
      </c>
    </row>
    <row r="105" spans="1:39">
      <c r="A105" s="349">
        <v>91001</v>
      </c>
      <c r="B105" s="342" t="s">
        <v>795</v>
      </c>
      <c r="C105" s="358">
        <v>7.1149000000000004E-3</v>
      </c>
      <c r="E105" s="2">
        <v>2341434</v>
      </c>
      <c r="F105" s="2">
        <v>3181882</v>
      </c>
      <c r="G105" s="2">
        <v>1874109</v>
      </c>
      <c r="H105" s="2">
        <v>1058854</v>
      </c>
      <c r="I105" s="2">
        <v>0</v>
      </c>
      <c r="J105" s="2"/>
      <c r="K105" s="2">
        <v>1319166</v>
      </c>
      <c r="L105" s="2">
        <v>1215182</v>
      </c>
      <c r="M105" s="2">
        <v>676328</v>
      </c>
      <c r="N105" s="2">
        <v>0</v>
      </c>
      <c r="O105" s="2">
        <v>0</v>
      </c>
      <c r="P105" s="2"/>
      <c r="Q105" s="2">
        <v>85514</v>
      </c>
      <c r="R105" s="2">
        <v>1196050</v>
      </c>
      <c r="S105" s="2">
        <v>1237409</v>
      </c>
      <c r="T105" s="2">
        <v>1058854</v>
      </c>
      <c r="U105" s="2">
        <v>0</v>
      </c>
      <c r="V105" s="2"/>
      <c r="W105" s="2">
        <v>1044297</v>
      </c>
      <c r="X105" s="2">
        <v>847790</v>
      </c>
      <c r="Y105" s="2">
        <v>0</v>
      </c>
      <c r="Z105" s="2">
        <v>0</v>
      </c>
      <c r="AA105" s="2">
        <v>0</v>
      </c>
      <c r="AB105" s="2"/>
      <c r="AC105" s="2">
        <v>87212</v>
      </c>
      <c r="AD105" s="2">
        <v>87212</v>
      </c>
      <c r="AE105" s="2">
        <v>87213</v>
      </c>
      <c r="AF105" s="2">
        <v>0</v>
      </c>
      <c r="AG105" s="2">
        <v>0</v>
      </c>
      <c r="AH105" s="2"/>
      <c r="AI105" s="2">
        <v>-194755</v>
      </c>
      <c r="AJ105" s="2">
        <v>-164352</v>
      </c>
      <c r="AK105" s="2">
        <v>-126841</v>
      </c>
      <c r="AL105" s="2">
        <v>0</v>
      </c>
      <c r="AM105" s="2">
        <v>-164352</v>
      </c>
    </row>
    <row r="106" spans="1:39">
      <c r="A106" s="349">
        <v>91002</v>
      </c>
      <c r="B106" s="342" t="s">
        <v>796</v>
      </c>
      <c r="C106" s="358">
        <v>1.1846999999999999E-3</v>
      </c>
      <c r="E106" s="2">
        <v>419112</v>
      </c>
      <c r="F106" s="2">
        <v>544800</v>
      </c>
      <c r="G106" s="2">
        <v>286093</v>
      </c>
      <c r="H106" s="2">
        <v>176309</v>
      </c>
      <c r="I106" s="2">
        <v>0</v>
      </c>
      <c r="J106" s="2"/>
      <c r="K106" s="2">
        <v>219654</v>
      </c>
      <c r="L106" s="2">
        <v>202340</v>
      </c>
      <c r="M106" s="2">
        <v>112615</v>
      </c>
      <c r="N106" s="2">
        <v>0</v>
      </c>
      <c r="O106" s="2">
        <v>0</v>
      </c>
      <c r="P106" s="2"/>
      <c r="Q106" s="2">
        <v>14239</v>
      </c>
      <c r="R106" s="2">
        <v>199154</v>
      </c>
      <c r="S106" s="2">
        <v>206041</v>
      </c>
      <c r="T106" s="2">
        <v>176309</v>
      </c>
      <c r="U106" s="2">
        <v>0</v>
      </c>
      <c r="V106" s="2"/>
      <c r="W106" s="2">
        <v>173886</v>
      </c>
      <c r="X106" s="2">
        <v>141165</v>
      </c>
      <c r="Y106" s="2">
        <v>0</v>
      </c>
      <c r="Z106" s="2">
        <v>0</v>
      </c>
      <c r="AA106" s="2">
        <v>0</v>
      </c>
      <c r="AB106" s="2"/>
      <c r="AC106" s="2">
        <v>89732</v>
      </c>
      <c r="AD106" s="2">
        <v>80540</v>
      </c>
      <c r="AE106" s="2">
        <v>45836</v>
      </c>
      <c r="AF106" s="2">
        <v>0</v>
      </c>
      <c r="AG106" s="2">
        <v>0</v>
      </c>
      <c r="AH106" s="2"/>
      <c r="AI106" s="2">
        <v>-78399</v>
      </c>
      <c r="AJ106" s="2">
        <v>-78399</v>
      </c>
      <c r="AK106" s="2">
        <v>-78399</v>
      </c>
      <c r="AL106" s="2">
        <v>0</v>
      </c>
      <c r="AM106" s="2">
        <v>-78399</v>
      </c>
    </row>
    <row r="107" spans="1:39">
      <c r="A107" s="349">
        <v>91003</v>
      </c>
      <c r="B107" s="342" t="s">
        <v>3640</v>
      </c>
      <c r="C107" s="358">
        <v>5.7609999999999996E-4</v>
      </c>
      <c r="E107" s="2">
        <v>200400</v>
      </c>
      <c r="F107" s="2">
        <v>263619</v>
      </c>
      <c r="G107" s="2">
        <v>159621</v>
      </c>
      <c r="H107" s="2">
        <v>85736</v>
      </c>
      <c r="I107" s="2">
        <v>0</v>
      </c>
      <c r="J107" s="2"/>
      <c r="K107" s="2">
        <v>106814</v>
      </c>
      <c r="L107" s="2">
        <v>98394</v>
      </c>
      <c r="M107" s="2">
        <v>54763</v>
      </c>
      <c r="N107" s="2">
        <v>0</v>
      </c>
      <c r="O107" s="2">
        <v>0</v>
      </c>
      <c r="P107" s="2"/>
      <c r="Q107" s="2">
        <v>6924</v>
      </c>
      <c r="R107" s="2">
        <v>96845</v>
      </c>
      <c r="S107" s="2">
        <v>100194</v>
      </c>
      <c r="T107" s="2">
        <v>85736</v>
      </c>
      <c r="U107" s="2">
        <v>0</v>
      </c>
      <c r="V107" s="2"/>
      <c r="W107" s="2">
        <v>84558</v>
      </c>
      <c r="X107" s="2">
        <v>68646</v>
      </c>
      <c r="Y107" s="2">
        <v>0</v>
      </c>
      <c r="Z107" s="2">
        <v>0</v>
      </c>
      <c r="AA107" s="2">
        <v>0</v>
      </c>
      <c r="AB107" s="2"/>
      <c r="AC107" s="2">
        <v>14607</v>
      </c>
      <c r="AD107" s="2">
        <v>12235</v>
      </c>
      <c r="AE107" s="2">
        <v>12237</v>
      </c>
      <c r="AF107" s="2">
        <v>0</v>
      </c>
      <c r="AG107" s="2">
        <v>0</v>
      </c>
      <c r="AH107" s="2"/>
      <c r="AI107" s="2">
        <v>-12503</v>
      </c>
      <c r="AJ107" s="2">
        <v>-12501</v>
      </c>
      <c r="AK107" s="2">
        <v>-7573</v>
      </c>
      <c r="AL107" s="2">
        <v>0</v>
      </c>
      <c r="AM107" s="2">
        <v>-12501</v>
      </c>
    </row>
    <row r="108" spans="1:39">
      <c r="A108" s="349">
        <v>91004</v>
      </c>
      <c r="B108" s="342" t="s">
        <v>798</v>
      </c>
      <c r="C108" s="358">
        <v>3.6600000000000002E-5</v>
      </c>
      <c r="E108" s="2">
        <v>16093</v>
      </c>
      <c r="F108" s="2">
        <v>18524</v>
      </c>
      <c r="G108" s="2">
        <v>9778</v>
      </c>
      <c r="H108" s="2">
        <v>5447</v>
      </c>
      <c r="I108" s="2">
        <v>0</v>
      </c>
      <c r="J108" s="2"/>
      <c r="K108" s="2">
        <v>6786</v>
      </c>
      <c r="L108" s="2">
        <v>6251</v>
      </c>
      <c r="M108" s="2">
        <v>3479</v>
      </c>
      <c r="N108" s="2">
        <v>0</v>
      </c>
      <c r="O108" s="2">
        <v>0</v>
      </c>
      <c r="P108" s="2"/>
      <c r="Q108" s="2">
        <v>440</v>
      </c>
      <c r="R108" s="2">
        <v>6153</v>
      </c>
      <c r="S108" s="2">
        <v>6365</v>
      </c>
      <c r="T108" s="2">
        <v>5447</v>
      </c>
      <c r="U108" s="2">
        <v>0</v>
      </c>
      <c r="V108" s="2"/>
      <c r="W108" s="2">
        <v>5372</v>
      </c>
      <c r="X108" s="2">
        <v>4361</v>
      </c>
      <c r="Y108" s="2">
        <v>0</v>
      </c>
      <c r="Z108" s="2">
        <v>0</v>
      </c>
      <c r="AA108" s="2">
        <v>0</v>
      </c>
      <c r="AB108" s="2"/>
      <c r="AC108" s="2">
        <v>4337</v>
      </c>
      <c r="AD108" s="2">
        <v>2601</v>
      </c>
      <c r="AE108" s="2">
        <v>776</v>
      </c>
      <c r="AF108" s="2">
        <v>0</v>
      </c>
      <c r="AG108" s="2">
        <v>0</v>
      </c>
      <c r="AH108" s="2"/>
      <c r="AI108" s="2">
        <v>-842</v>
      </c>
      <c r="AJ108" s="2">
        <v>-842</v>
      </c>
      <c r="AK108" s="2">
        <v>-842</v>
      </c>
      <c r="AL108" s="2">
        <v>0</v>
      </c>
      <c r="AM108" s="2">
        <v>-842</v>
      </c>
    </row>
    <row r="109" spans="1:39">
      <c r="A109" s="349">
        <v>91006</v>
      </c>
      <c r="B109" s="342" t="s">
        <v>3641</v>
      </c>
      <c r="C109" s="358">
        <v>1.0206E-3</v>
      </c>
      <c r="E109" s="2">
        <v>315893</v>
      </c>
      <c r="F109" s="2">
        <v>433787</v>
      </c>
      <c r="G109" s="2">
        <v>244239</v>
      </c>
      <c r="H109" s="2">
        <v>151888</v>
      </c>
      <c r="I109" s="2">
        <v>0</v>
      </c>
      <c r="J109" s="2"/>
      <c r="K109" s="2">
        <v>189228</v>
      </c>
      <c r="L109" s="2">
        <v>174312</v>
      </c>
      <c r="M109" s="2">
        <v>97016</v>
      </c>
      <c r="N109" s="2">
        <v>0</v>
      </c>
      <c r="O109" s="2">
        <v>0</v>
      </c>
      <c r="P109" s="2"/>
      <c r="Q109" s="2">
        <v>12267</v>
      </c>
      <c r="R109" s="2">
        <v>171568</v>
      </c>
      <c r="S109" s="2">
        <v>177501</v>
      </c>
      <c r="T109" s="2">
        <v>151888</v>
      </c>
      <c r="U109" s="2">
        <v>0</v>
      </c>
      <c r="V109" s="2"/>
      <c r="W109" s="2">
        <v>149800</v>
      </c>
      <c r="X109" s="2">
        <v>121612</v>
      </c>
      <c r="Y109" s="2">
        <v>0</v>
      </c>
      <c r="Z109" s="2">
        <v>0</v>
      </c>
      <c r="AA109" s="2">
        <v>0</v>
      </c>
      <c r="AB109" s="2"/>
      <c r="AC109" s="2">
        <v>0</v>
      </c>
      <c r="AD109" s="2">
        <v>0</v>
      </c>
      <c r="AE109" s="2">
        <v>0</v>
      </c>
      <c r="AF109" s="2">
        <v>0</v>
      </c>
      <c r="AG109" s="2">
        <v>0</v>
      </c>
      <c r="AH109" s="2"/>
      <c r="AI109" s="2">
        <v>-35402</v>
      </c>
      <c r="AJ109" s="2">
        <v>-33705</v>
      </c>
      <c r="AK109" s="2">
        <v>-30278</v>
      </c>
      <c r="AL109" s="2">
        <v>0</v>
      </c>
      <c r="AM109" s="2">
        <v>-33705</v>
      </c>
    </row>
    <row r="110" spans="1:39">
      <c r="A110" s="349">
        <v>91007</v>
      </c>
      <c r="B110" s="342" t="s">
        <v>800</v>
      </c>
      <c r="C110" s="358">
        <v>9.5000000000000005E-6</v>
      </c>
      <c r="E110" s="2">
        <v>3992</v>
      </c>
      <c r="F110" s="2">
        <v>4549</v>
      </c>
      <c r="G110" s="2">
        <v>2734</v>
      </c>
      <c r="H110" s="2">
        <v>1414</v>
      </c>
      <c r="I110" s="2">
        <v>0</v>
      </c>
      <c r="J110" s="2"/>
      <c r="K110" s="2">
        <v>1761</v>
      </c>
      <c r="L110" s="2">
        <v>1623</v>
      </c>
      <c r="M110" s="2">
        <v>903</v>
      </c>
      <c r="N110" s="2">
        <v>0</v>
      </c>
      <c r="O110" s="2">
        <v>0</v>
      </c>
      <c r="P110" s="2"/>
      <c r="Q110" s="2">
        <v>114</v>
      </c>
      <c r="R110" s="2">
        <v>1597</v>
      </c>
      <c r="S110" s="2">
        <v>1652</v>
      </c>
      <c r="T110" s="2">
        <v>1414</v>
      </c>
      <c r="U110" s="2">
        <v>0</v>
      </c>
      <c r="V110" s="2"/>
      <c r="W110" s="2">
        <v>1394</v>
      </c>
      <c r="X110" s="2">
        <v>1132</v>
      </c>
      <c r="Y110" s="2">
        <v>0</v>
      </c>
      <c r="Z110" s="2">
        <v>0</v>
      </c>
      <c r="AA110" s="2">
        <v>0</v>
      </c>
      <c r="AB110" s="2"/>
      <c r="AC110" s="2">
        <v>1090</v>
      </c>
      <c r="AD110" s="2">
        <v>564</v>
      </c>
      <c r="AE110" s="2">
        <v>545</v>
      </c>
      <c r="AF110" s="2">
        <v>0</v>
      </c>
      <c r="AG110" s="2">
        <v>0</v>
      </c>
      <c r="AH110" s="2"/>
      <c r="AI110" s="2">
        <v>-367</v>
      </c>
      <c r="AJ110" s="2">
        <v>-367</v>
      </c>
      <c r="AK110" s="2">
        <v>-366</v>
      </c>
      <c r="AL110" s="2">
        <v>0</v>
      </c>
      <c r="AM110" s="2">
        <v>-367</v>
      </c>
    </row>
    <row r="111" spans="1:39">
      <c r="A111" s="349">
        <v>91008</v>
      </c>
      <c r="B111" s="342" t="s">
        <v>801</v>
      </c>
      <c r="C111" s="358">
        <v>1.5430000000000001E-4</v>
      </c>
      <c r="E111" s="2">
        <v>64143</v>
      </c>
      <c r="F111" s="2">
        <v>79883</v>
      </c>
      <c r="G111" s="2">
        <v>46531</v>
      </c>
      <c r="H111" s="2">
        <v>22963</v>
      </c>
      <c r="I111" s="2">
        <v>0</v>
      </c>
      <c r="J111" s="2"/>
      <c r="K111" s="2">
        <v>28609</v>
      </c>
      <c r="L111" s="2">
        <v>26354</v>
      </c>
      <c r="M111" s="2">
        <v>14667</v>
      </c>
      <c r="N111" s="2">
        <v>0</v>
      </c>
      <c r="O111" s="2">
        <v>0</v>
      </c>
      <c r="P111" s="2"/>
      <c r="Q111" s="2">
        <v>1855</v>
      </c>
      <c r="R111" s="2">
        <v>25939</v>
      </c>
      <c r="S111" s="2">
        <v>26836</v>
      </c>
      <c r="T111" s="2">
        <v>22963</v>
      </c>
      <c r="U111" s="2">
        <v>0</v>
      </c>
      <c r="V111" s="2"/>
      <c r="W111" s="2">
        <v>22648</v>
      </c>
      <c r="X111" s="2">
        <v>18386</v>
      </c>
      <c r="Y111" s="2">
        <v>0</v>
      </c>
      <c r="Z111" s="2">
        <v>0</v>
      </c>
      <c r="AA111" s="2">
        <v>0</v>
      </c>
      <c r="AB111" s="2"/>
      <c r="AC111" s="2">
        <v>11031</v>
      </c>
      <c r="AD111" s="2">
        <v>9204</v>
      </c>
      <c r="AE111" s="2">
        <v>5028</v>
      </c>
      <c r="AF111" s="2">
        <v>0</v>
      </c>
      <c r="AG111" s="2">
        <v>0</v>
      </c>
      <c r="AH111" s="2"/>
      <c r="AI111" s="2">
        <v>0</v>
      </c>
      <c r="AJ111" s="2">
        <v>0</v>
      </c>
      <c r="AK111" s="2">
        <v>0</v>
      </c>
      <c r="AL111" s="2">
        <v>0</v>
      </c>
      <c r="AM111" s="2">
        <v>0</v>
      </c>
    </row>
    <row r="112" spans="1:39">
      <c r="A112" s="349">
        <v>91009</v>
      </c>
      <c r="B112" s="342" t="s">
        <v>802</v>
      </c>
      <c r="C112" s="358">
        <v>1.22E-5</v>
      </c>
      <c r="E112" s="2">
        <v>8073</v>
      </c>
      <c r="F112" s="2">
        <v>8990</v>
      </c>
      <c r="G112" s="2">
        <v>6205</v>
      </c>
      <c r="H112" s="2">
        <v>1816</v>
      </c>
      <c r="I112" s="2">
        <v>0</v>
      </c>
      <c r="J112" s="2"/>
      <c r="K112" s="2">
        <v>2262</v>
      </c>
      <c r="L112" s="2">
        <v>2084</v>
      </c>
      <c r="M112" s="2">
        <v>1160</v>
      </c>
      <c r="N112" s="2">
        <v>0</v>
      </c>
      <c r="O112" s="2">
        <v>0</v>
      </c>
      <c r="P112" s="2"/>
      <c r="Q112" s="2">
        <v>147</v>
      </c>
      <c r="R112" s="2">
        <v>2051</v>
      </c>
      <c r="S112" s="2">
        <v>2122</v>
      </c>
      <c r="T112" s="2">
        <v>1816</v>
      </c>
      <c r="U112" s="2">
        <v>0</v>
      </c>
      <c r="V112" s="2"/>
      <c r="W112" s="2">
        <v>1791</v>
      </c>
      <c r="X112" s="2">
        <v>1454</v>
      </c>
      <c r="Y112" s="2">
        <v>0</v>
      </c>
      <c r="Z112" s="2">
        <v>0</v>
      </c>
      <c r="AA112" s="2">
        <v>0</v>
      </c>
      <c r="AB112" s="2"/>
      <c r="AC112" s="2">
        <v>4033</v>
      </c>
      <c r="AD112" s="2">
        <v>3561</v>
      </c>
      <c r="AE112" s="2">
        <v>3085</v>
      </c>
      <c r="AF112" s="2">
        <v>0</v>
      </c>
      <c r="AG112" s="2">
        <v>0</v>
      </c>
      <c r="AH112" s="2"/>
      <c r="AI112" s="2">
        <v>-160</v>
      </c>
      <c r="AJ112" s="2">
        <v>-160</v>
      </c>
      <c r="AK112" s="2">
        <v>-162</v>
      </c>
      <c r="AL112" s="2">
        <v>0</v>
      </c>
      <c r="AM112" s="2">
        <v>-160</v>
      </c>
    </row>
    <row r="113" spans="1:39">
      <c r="A113" s="349">
        <v>91010</v>
      </c>
      <c r="B113" s="342" t="s">
        <v>803</v>
      </c>
      <c r="C113" s="358">
        <v>4.9400000000000001E-5</v>
      </c>
      <c r="E113" s="2">
        <v>16107</v>
      </c>
      <c r="F113" s="2">
        <v>21377</v>
      </c>
      <c r="G113" s="2">
        <v>13717</v>
      </c>
      <c r="H113" s="2">
        <v>7352</v>
      </c>
      <c r="I113" s="2">
        <v>0</v>
      </c>
      <c r="J113" s="2"/>
      <c r="K113" s="2">
        <v>9159</v>
      </c>
      <c r="L113" s="2">
        <v>8437</v>
      </c>
      <c r="M113" s="2">
        <v>4696</v>
      </c>
      <c r="N113" s="2">
        <v>0</v>
      </c>
      <c r="O113" s="2">
        <v>0</v>
      </c>
      <c r="P113" s="2"/>
      <c r="Q113" s="2">
        <v>594</v>
      </c>
      <c r="R113" s="2">
        <v>8304</v>
      </c>
      <c r="S113" s="2">
        <v>8592</v>
      </c>
      <c r="T113" s="2">
        <v>7352</v>
      </c>
      <c r="U113" s="2">
        <v>0</v>
      </c>
      <c r="V113" s="2"/>
      <c r="W113" s="2">
        <v>7251</v>
      </c>
      <c r="X113" s="2">
        <v>5886</v>
      </c>
      <c r="Y113" s="2">
        <v>0</v>
      </c>
      <c r="Z113" s="2">
        <v>0</v>
      </c>
      <c r="AA113" s="2">
        <v>0</v>
      </c>
      <c r="AB113" s="2"/>
      <c r="AC113" s="2">
        <v>1420</v>
      </c>
      <c r="AD113" s="2">
        <v>1068</v>
      </c>
      <c r="AE113" s="2">
        <v>1068</v>
      </c>
      <c r="AF113" s="2">
        <v>0</v>
      </c>
      <c r="AG113" s="2">
        <v>0</v>
      </c>
      <c r="AH113" s="2"/>
      <c r="AI113" s="2">
        <v>-2317</v>
      </c>
      <c r="AJ113" s="2">
        <v>-2318</v>
      </c>
      <c r="AK113" s="2">
        <v>-639</v>
      </c>
      <c r="AL113" s="2">
        <v>0</v>
      </c>
      <c r="AM113" s="2">
        <v>-2318</v>
      </c>
    </row>
    <row r="114" spans="1:39">
      <c r="A114" s="349">
        <v>91011</v>
      </c>
      <c r="B114" s="342" t="s">
        <v>804</v>
      </c>
      <c r="C114" s="358">
        <v>3.701E-4</v>
      </c>
      <c r="E114" s="2">
        <v>154120</v>
      </c>
      <c r="F114" s="2">
        <v>190465</v>
      </c>
      <c r="G114" s="2">
        <v>120863</v>
      </c>
      <c r="H114" s="2">
        <v>55079</v>
      </c>
      <c r="I114" s="2">
        <v>0</v>
      </c>
      <c r="J114" s="2"/>
      <c r="K114" s="2">
        <v>68620</v>
      </c>
      <c r="L114" s="2">
        <v>63211</v>
      </c>
      <c r="M114" s="2">
        <v>35181</v>
      </c>
      <c r="N114" s="2">
        <v>0</v>
      </c>
      <c r="O114" s="2">
        <v>0</v>
      </c>
      <c r="P114" s="2"/>
      <c r="Q114" s="2">
        <v>4448</v>
      </c>
      <c r="R114" s="2">
        <v>62216</v>
      </c>
      <c r="S114" s="2">
        <v>64367</v>
      </c>
      <c r="T114" s="2">
        <v>55079</v>
      </c>
      <c r="U114" s="2">
        <v>0</v>
      </c>
      <c r="V114" s="2"/>
      <c r="W114" s="2">
        <v>54322</v>
      </c>
      <c r="X114" s="2">
        <v>44100</v>
      </c>
      <c r="Y114" s="2">
        <v>0</v>
      </c>
      <c r="Z114" s="2">
        <v>0</v>
      </c>
      <c r="AA114" s="2">
        <v>0</v>
      </c>
      <c r="AB114" s="2"/>
      <c r="AC114" s="2">
        <v>33429</v>
      </c>
      <c r="AD114" s="2">
        <v>27638</v>
      </c>
      <c r="AE114" s="2">
        <v>27639</v>
      </c>
      <c r="AF114" s="2">
        <v>0</v>
      </c>
      <c r="AG114" s="2">
        <v>0</v>
      </c>
      <c r="AH114" s="2"/>
      <c r="AI114" s="2">
        <v>-6699</v>
      </c>
      <c r="AJ114" s="2">
        <v>-6700</v>
      </c>
      <c r="AK114" s="2">
        <v>-6324</v>
      </c>
      <c r="AL114" s="2">
        <v>0</v>
      </c>
      <c r="AM114" s="2">
        <v>-6700</v>
      </c>
    </row>
    <row r="115" spans="1:39">
      <c r="A115" s="349">
        <v>91012</v>
      </c>
      <c r="B115" s="342" t="s">
        <v>805</v>
      </c>
      <c r="C115" s="358">
        <v>1.1600000000000001E-5</v>
      </c>
      <c r="E115" s="2">
        <v>3372</v>
      </c>
      <c r="F115" s="2">
        <v>4003</v>
      </c>
      <c r="G115" s="2">
        <v>2583</v>
      </c>
      <c r="H115" s="2">
        <v>1726</v>
      </c>
      <c r="I115" s="2">
        <v>0</v>
      </c>
      <c r="J115" s="2"/>
      <c r="K115" s="2">
        <v>2151</v>
      </c>
      <c r="L115" s="2">
        <v>1981</v>
      </c>
      <c r="M115" s="2">
        <v>1103</v>
      </c>
      <c r="N115" s="2">
        <v>0</v>
      </c>
      <c r="O115" s="2">
        <v>0</v>
      </c>
      <c r="P115" s="2"/>
      <c r="Q115" s="2">
        <v>139</v>
      </c>
      <c r="R115" s="2">
        <v>1950</v>
      </c>
      <c r="S115" s="2">
        <v>2017</v>
      </c>
      <c r="T115" s="2">
        <v>1726</v>
      </c>
      <c r="U115" s="2">
        <v>0</v>
      </c>
      <c r="V115" s="2"/>
      <c r="W115" s="2">
        <v>1703</v>
      </c>
      <c r="X115" s="2">
        <v>1382</v>
      </c>
      <c r="Y115" s="2">
        <v>0</v>
      </c>
      <c r="Z115" s="2">
        <v>0</v>
      </c>
      <c r="AA115" s="2">
        <v>0</v>
      </c>
      <c r="AB115" s="2"/>
      <c r="AC115" s="2">
        <v>1194</v>
      </c>
      <c r="AD115" s="2">
        <v>504</v>
      </c>
      <c r="AE115" s="2">
        <v>502</v>
      </c>
      <c r="AF115" s="2">
        <v>0</v>
      </c>
      <c r="AG115" s="2">
        <v>0</v>
      </c>
      <c r="AH115" s="2"/>
      <c r="AI115" s="2">
        <v>-1815</v>
      </c>
      <c r="AJ115" s="2">
        <v>-1814</v>
      </c>
      <c r="AK115" s="2">
        <v>-1039</v>
      </c>
      <c r="AL115" s="2">
        <v>0</v>
      </c>
      <c r="AM115" s="2">
        <v>-1814</v>
      </c>
    </row>
    <row r="116" spans="1:39">
      <c r="A116" s="349">
        <v>91013</v>
      </c>
      <c r="B116" s="342" t="s">
        <v>806</v>
      </c>
      <c r="C116" s="358">
        <v>3.7200000000000003E-5</v>
      </c>
      <c r="E116" s="2">
        <v>28070</v>
      </c>
      <c r="F116" s="2">
        <v>28325</v>
      </c>
      <c r="G116" s="2">
        <v>17066</v>
      </c>
      <c r="H116" s="2">
        <v>5536</v>
      </c>
      <c r="I116" s="2">
        <v>0</v>
      </c>
      <c r="J116" s="2"/>
      <c r="K116" s="2">
        <v>6897</v>
      </c>
      <c r="L116" s="2">
        <v>6354</v>
      </c>
      <c r="M116" s="2">
        <v>3536</v>
      </c>
      <c r="N116" s="2">
        <v>0</v>
      </c>
      <c r="O116" s="2">
        <v>0</v>
      </c>
      <c r="P116" s="2"/>
      <c r="Q116" s="2">
        <v>447</v>
      </c>
      <c r="R116" s="2">
        <v>6254</v>
      </c>
      <c r="S116" s="2">
        <v>6470</v>
      </c>
      <c r="T116" s="2">
        <v>5536</v>
      </c>
      <c r="U116" s="2">
        <v>0</v>
      </c>
      <c r="V116" s="2"/>
      <c r="W116" s="2">
        <v>5460</v>
      </c>
      <c r="X116" s="2">
        <v>4433</v>
      </c>
      <c r="Y116" s="2">
        <v>0</v>
      </c>
      <c r="Z116" s="2">
        <v>0</v>
      </c>
      <c r="AA116" s="2">
        <v>0</v>
      </c>
      <c r="AB116" s="2"/>
      <c r="AC116" s="2">
        <v>15266</v>
      </c>
      <c r="AD116" s="2">
        <v>11284</v>
      </c>
      <c r="AE116" s="2">
        <v>7060</v>
      </c>
      <c r="AF116" s="2">
        <v>0</v>
      </c>
      <c r="AG116" s="2">
        <v>0</v>
      </c>
      <c r="AH116" s="2"/>
      <c r="AI116" s="2">
        <v>0</v>
      </c>
      <c r="AJ116" s="2">
        <v>0</v>
      </c>
      <c r="AK116" s="2">
        <v>0</v>
      </c>
      <c r="AL116" s="2">
        <v>0</v>
      </c>
      <c r="AM116" s="2">
        <v>0</v>
      </c>
    </row>
    <row r="117" spans="1:39">
      <c r="A117" s="349">
        <v>91014</v>
      </c>
      <c r="B117" s="342" t="s">
        <v>807</v>
      </c>
      <c r="C117" s="358">
        <v>1.762E-4</v>
      </c>
      <c r="E117" s="2">
        <v>55312</v>
      </c>
      <c r="F117" s="2">
        <v>75042</v>
      </c>
      <c r="G117" s="2">
        <v>45366</v>
      </c>
      <c r="H117" s="2">
        <v>26222</v>
      </c>
      <c r="I117" s="2">
        <v>0</v>
      </c>
      <c r="J117" s="2"/>
      <c r="K117" s="2">
        <v>32669</v>
      </c>
      <c r="L117" s="2">
        <v>30094</v>
      </c>
      <c r="M117" s="2">
        <v>16749</v>
      </c>
      <c r="N117" s="2">
        <v>0</v>
      </c>
      <c r="O117" s="2">
        <v>0</v>
      </c>
      <c r="P117" s="2"/>
      <c r="Q117" s="2">
        <v>2118</v>
      </c>
      <c r="R117" s="2">
        <v>29620</v>
      </c>
      <c r="S117" s="2">
        <v>30644</v>
      </c>
      <c r="T117" s="2">
        <v>26222</v>
      </c>
      <c r="U117" s="2">
        <v>0</v>
      </c>
      <c r="V117" s="2"/>
      <c r="W117" s="2">
        <v>25862</v>
      </c>
      <c r="X117" s="2">
        <v>20995</v>
      </c>
      <c r="Y117" s="2">
        <v>0</v>
      </c>
      <c r="Z117" s="2">
        <v>0</v>
      </c>
      <c r="AA117" s="2">
        <v>0</v>
      </c>
      <c r="AB117" s="2"/>
      <c r="AC117" s="2">
        <v>1764</v>
      </c>
      <c r="AD117" s="2">
        <v>1434</v>
      </c>
      <c r="AE117" s="2">
        <v>1433</v>
      </c>
      <c r="AF117" s="2">
        <v>0</v>
      </c>
      <c r="AG117" s="2">
        <v>0</v>
      </c>
      <c r="AH117" s="2"/>
      <c r="AI117" s="2">
        <v>-7101</v>
      </c>
      <c r="AJ117" s="2">
        <v>-7101</v>
      </c>
      <c r="AK117" s="2">
        <v>-3460</v>
      </c>
      <c r="AL117" s="2">
        <v>0</v>
      </c>
      <c r="AM117" s="2">
        <v>-7101</v>
      </c>
    </row>
    <row r="118" spans="1:39">
      <c r="A118" s="349">
        <v>91015</v>
      </c>
      <c r="B118" s="342" t="s">
        <v>1636</v>
      </c>
      <c r="C118" s="358">
        <v>1.6699999999999999E-5</v>
      </c>
      <c r="E118" s="2">
        <v>15076</v>
      </c>
      <c r="F118" s="2">
        <v>16979</v>
      </c>
      <c r="G118" s="2">
        <v>8751</v>
      </c>
      <c r="H118" s="2">
        <v>2485</v>
      </c>
      <c r="I118" s="2">
        <v>0</v>
      </c>
      <c r="J118" s="2"/>
      <c r="K118" s="2">
        <v>3096</v>
      </c>
      <c r="L118" s="2">
        <v>2852</v>
      </c>
      <c r="M118" s="2">
        <v>1587</v>
      </c>
      <c r="N118" s="2">
        <v>0</v>
      </c>
      <c r="O118" s="2">
        <v>0</v>
      </c>
      <c r="P118" s="2"/>
      <c r="Q118" s="2">
        <v>201</v>
      </c>
      <c r="R118" s="2">
        <v>2807</v>
      </c>
      <c r="S118" s="2">
        <v>2904</v>
      </c>
      <c r="T118" s="2">
        <v>2485</v>
      </c>
      <c r="U118" s="2">
        <v>0</v>
      </c>
      <c r="V118" s="2"/>
      <c r="W118" s="2">
        <v>2451</v>
      </c>
      <c r="X118" s="2">
        <v>1990</v>
      </c>
      <c r="Y118" s="2">
        <v>0</v>
      </c>
      <c r="Z118" s="2">
        <v>0</v>
      </c>
      <c r="AA118" s="2">
        <v>0</v>
      </c>
      <c r="AB118" s="2"/>
      <c r="AC118" s="2">
        <v>9328</v>
      </c>
      <c r="AD118" s="2">
        <v>9330</v>
      </c>
      <c r="AE118" s="2">
        <v>4260</v>
      </c>
      <c r="AF118" s="2">
        <v>0</v>
      </c>
      <c r="AG118" s="2">
        <v>0</v>
      </c>
      <c r="AH118" s="2"/>
      <c r="AI118" s="2">
        <v>0</v>
      </c>
      <c r="AJ118" s="2">
        <v>0</v>
      </c>
      <c r="AK118" s="2">
        <v>0</v>
      </c>
      <c r="AL118" s="2">
        <v>0</v>
      </c>
      <c r="AM118" s="2">
        <v>0</v>
      </c>
    </row>
    <row r="119" spans="1:39">
      <c r="A119" s="349">
        <v>91017</v>
      </c>
      <c r="B119" s="342" t="s">
        <v>808</v>
      </c>
      <c r="C119" s="358">
        <v>2.8500000000000002E-5</v>
      </c>
      <c r="E119" s="2">
        <v>12708</v>
      </c>
      <c r="F119" s="2">
        <v>15471</v>
      </c>
      <c r="G119" s="2">
        <v>9902</v>
      </c>
      <c r="H119" s="2">
        <v>4241</v>
      </c>
      <c r="I119" s="2">
        <v>0</v>
      </c>
      <c r="J119" s="2"/>
      <c r="K119" s="2">
        <v>5284</v>
      </c>
      <c r="L119" s="2">
        <v>4868</v>
      </c>
      <c r="M119" s="2">
        <v>2709</v>
      </c>
      <c r="N119" s="2">
        <v>0</v>
      </c>
      <c r="O119" s="2">
        <v>0</v>
      </c>
      <c r="P119" s="2"/>
      <c r="Q119" s="2">
        <v>343</v>
      </c>
      <c r="R119" s="2">
        <v>4791</v>
      </c>
      <c r="S119" s="2">
        <v>4957</v>
      </c>
      <c r="T119" s="2">
        <v>4241</v>
      </c>
      <c r="U119" s="2">
        <v>0</v>
      </c>
      <c r="V119" s="2"/>
      <c r="W119" s="2">
        <v>4183</v>
      </c>
      <c r="X119" s="2">
        <v>3396</v>
      </c>
      <c r="Y119" s="2">
        <v>0</v>
      </c>
      <c r="Z119" s="2">
        <v>0</v>
      </c>
      <c r="AA119" s="2">
        <v>0</v>
      </c>
      <c r="AB119" s="2"/>
      <c r="AC119" s="2">
        <v>2898</v>
      </c>
      <c r="AD119" s="2">
        <v>2416</v>
      </c>
      <c r="AE119" s="2">
        <v>2236</v>
      </c>
      <c r="AF119" s="2">
        <v>0</v>
      </c>
      <c r="AG119" s="2">
        <v>0</v>
      </c>
      <c r="AH119" s="2"/>
      <c r="AI119" s="2">
        <v>0</v>
      </c>
      <c r="AJ119" s="2">
        <v>0</v>
      </c>
      <c r="AK119" s="2">
        <v>0</v>
      </c>
      <c r="AL119" s="2">
        <v>0</v>
      </c>
      <c r="AM119" s="2">
        <v>0</v>
      </c>
    </row>
    <row r="120" spans="1:39">
      <c r="A120" s="349">
        <v>91020</v>
      </c>
      <c r="B120" s="342" t="s">
        <v>809</v>
      </c>
      <c r="C120" s="358">
        <v>2.1399999999999998E-5</v>
      </c>
      <c r="E120" s="2">
        <v>6943</v>
      </c>
      <c r="F120" s="2">
        <v>8804</v>
      </c>
      <c r="G120" s="2">
        <v>3711</v>
      </c>
      <c r="H120" s="2">
        <v>3185</v>
      </c>
      <c r="I120" s="2">
        <v>0</v>
      </c>
      <c r="J120" s="2"/>
      <c r="K120" s="2">
        <v>3968</v>
      </c>
      <c r="L120" s="2">
        <v>3655</v>
      </c>
      <c r="M120" s="2">
        <v>2034</v>
      </c>
      <c r="N120" s="2">
        <v>0</v>
      </c>
      <c r="O120" s="2">
        <v>0</v>
      </c>
      <c r="P120" s="2"/>
      <c r="Q120" s="2">
        <v>257</v>
      </c>
      <c r="R120" s="2">
        <v>3597</v>
      </c>
      <c r="S120" s="2">
        <v>3722</v>
      </c>
      <c r="T120" s="2">
        <v>3185</v>
      </c>
      <c r="U120" s="2">
        <v>0</v>
      </c>
      <c r="V120" s="2"/>
      <c r="W120" s="2">
        <v>3141</v>
      </c>
      <c r="X120" s="2">
        <v>2550</v>
      </c>
      <c r="Y120" s="2">
        <v>0</v>
      </c>
      <c r="Z120" s="2">
        <v>0</v>
      </c>
      <c r="AA120" s="2">
        <v>0</v>
      </c>
      <c r="AB120" s="2"/>
      <c r="AC120" s="2">
        <v>1622</v>
      </c>
      <c r="AD120" s="2">
        <v>1047</v>
      </c>
      <c r="AE120" s="2">
        <v>0</v>
      </c>
      <c r="AF120" s="2">
        <v>0</v>
      </c>
      <c r="AG120" s="2">
        <v>0</v>
      </c>
      <c r="AH120" s="2"/>
      <c r="AI120" s="2">
        <v>-2045</v>
      </c>
      <c r="AJ120" s="2">
        <v>-2045</v>
      </c>
      <c r="AK120" s="2">
        <v>-2045</v>
      </c>
      <c r="AL120" s="2">
        <v>0</v>
      </c>
      <c r="AM120" s="2">
        <v>-2045</v>
      </c>
    </row>
    <row r="121" spans="1:39">
      <c r="A121" s="349">
        <v>91021</v>
      </c>
      <c r="B121" s="342" t="s">
        <v>810</v>
      </c>
      <c r="C121" s="358">
        <v>9.5620000000000004E-4</v>
      </c>
      <c r="E121" s="2">
        <v>358298</v>
      </c>
      <c r="F121" s="2">
        <v>469888</v>
      </c>
      <c r="G121" s="2">
        <v>284982</v>
      </c>
      <c r="H121" s="2">
        <v>142304</v>
      </c>
      <c r="I121" s="2">
        <v>0</v>
      </c>
      <c r="J121" s="2"/>
      <c r="K121" s="2">
        <v>177288</v>
      </c>
      <c r="L121" s="2">
        <v>163313</v>
      </c>
      <c r="M121" s="2">
        <v>90894</v>
      </c>
      <c r="N121" s="2">
        <v>0</v>
      </c>
      <c r="O121" s="2">
        <v>0</v>
      </c>
      <c r="P121" s="2"/>
      <c r="Q121" s="2">
        <v>11493</v>
      </c>
      <c r="R121" s="2">
        <v>160742</v>
      </c>
      <c r="S121" s="2">
        <v>166300</v>
      </c>
      <c r="T121" s="2">
        <v>142304</v>
      </c>
      <c r="U121" s="2">
        <v>0</v>
      </c>
      <c r="V121" s="2"/>
      <c r="W121" s="2">
        <v>140347</v>
      </c>
      <c r="X121" s="2">
        <v>113938</v>
      </c>
      <c r="Y121" s="2">
        <v>0</v>
      </c>
      <c r="Z121" s="2">
        <v>0</v>
      </c>
      <c r="AA121" s="2">
        <v>0</v>
      </c>
      <c r="AB121" s="2"/>
      <c r="AC121" s="2">
        <v>31896</v>
      </c>
      <c r="AD121" s="2">
        <v>31895</v>
      </c>
      <c r="AE121" s="2">
        <v>27788</v>
      </c>
      <c r="AF121" s="2">
        <v>0</v>
      </c>
      <c r="AG121" s="2">
        <v>0</v>
      </c>
      <c r="AH121" s="2"/>
      <c r="AI121" s="2">
        <v>-2726</v>
      </c>
      <c r="AJ121" s="2">
        <v>0</v>
      </c>
      <c r="AK121" s="2">
        <v>0</v>
      </c>
      <c r="AL121" s="2">
        <v>0</v>
      </c>
      <c r="AM121" s="2">
        <v>0</v>
      </c>
    </row>
    <row r="122" spans="1:39">
      <c r="A122" s="349">
        <v>91024</v>
      </c>
      <c r="B122" s="342" t="s">
        <v>811</v>
      </c>
      <c r="C122" s="358">
        <v>1.0170000000000001E-4</v>
      </c>
      <c r="E122" s="2">
        <v>45775</v>
      </c>
      <c r="F122" s="2">
        <v>56040</v>
      </c>
      <c r="G122" s="2">
        <v>32833</v>
      </c>
      <c r="H122" s="2">
        <v>15135</v>
      </c>
      <c r="I122" s="2">
        <v>0</v>
      </c>
      <c r="J122" s="2"/>
      <c r="K122" s="2">
        <v>18856</v>
      </c>
      <c r="L122" s="2">
        <v>17370</v>
      </c>
      <c r="M122" s="2">
        <v>9667</v>
      </c>
      <c r="N122" s="2">
        <v>0</v>
      </c>
      <c r="O122" s="2">
        <v>0</v>
      </c>
      <c r="P122" s="2"/>
      <c r="Q122" s="2">
        <v>1222</v>
      </c>
      <c r="R122" s="2">
        <v>17096</v>
      </c>
      <c r="S122" s="2">
        <v>17687</v>
      </c>
      <c r="T122" s="2">
        <v>15135</v>
      </c>
      <c r="U122" s="2">
        <v>0</v>
      </c>
      <c r="V122" s="2"/>
      <c r="W122" s="2">
        <v>14927</v>
      </c>
      <c r="X122" s="2">
        <v>12118</v>
      </c>
      <c r="Y122" s="2">
        <v>0</v>
      </c>
      <c r="Z122" s="2">
        <v>0</v>
      </c>
      <c r="AA122" s="2">
        <v>0</v>
      </c>
      <c r="AB122" s="2"/>
      <c r="AC122" s="2">
        <v>10770</v>
      </c>
      <c r="AD122" s="2">
        <v>9456</v>
      </c>
      <c r="AE122" s="2">
        <v>5479</v>
      </c>
      <c r="AF122" s="2">
        <v>0</v>
      </c>
      <c r="AG122" s="2">
        <v>0</v>
      </c>
      <c r="AH122" s="2"/>
      <c r="AI122" s="2">
        <v>0</v>
      </c>
      <c r="AJ122" s="2">
        <v>0</v>
      </c>
      <c r="AK122" s="2">
        <v>0</v>
      </c>
      <c r="AL122" s="2">
        <v>0</v>
      </c>
      <c r="AM122" s="2">
        <v>0</v>
      </c>
    </row>
    <row r="123" spans="1:39">
      <c r="A123" s="349">
        <v>91026</v>
      </c>
      <c r="B123" s="342" t="s">
        <v>43</v>
      </c>
      <c r="C123" s="358">
        <v>3.5800000000000003E-5</v>
      </c>
      <c r="E123" s="2">
        <v>24336</v>
      </c>
      <c r="F123" s="2">
        <v>27293</v>
      </c>
      <c r="G123" s="2">
        <v>14862</v>
      </c>
      <c r="H123" s="2">
        <v>5328</v>
      </c>
      <c r="I123" s="2">
        <v>0</v>
      </c>
      <c r="J123" s="2"/>
      <c r="K123" s="2">
        <v>6638</v>
      </c>
      <c r="L123" s="2">
        <v>6114</v>
      </c>
      <c r="M123" s="2">
        <v>3403</v>
      </c>
      <c r="N123" s="2">
        <v>0</v>
      </c>
      <c r="O123" s="2">
        <v>0</v>
      </c>
      <c r="P123" s="2"/>
      <c r="Q123" s="2">
        <v>430</v>
      </c>
      <c r="R123" s="2">
        <v>6018</v>
      </c>
      <c r="S123" s="2">
        <v>6226</v>
      </c>
      <c r="T123" s="2">
        <v>5328</v>
      </c>
      <c r="U123" s="2">
        <v>0</v>
      </c>
      <c r="V123" s="2"/>
      <c r="W123" s="2">
        <v>5255</v>
      </c>
      <c r="X123" s="2">
        <v>4266</v>
      </c>
      <c r="Y123" s="2">
        <v>0</v>
      </c>
      <c r="Z123" s="2">
        <v>0</v>
      </c>
      <c r="AA123" s="2">
        <v>0</v>
      </c>
      <c r="AB123" s="2"/>
      <c r="AC123" s="2">
        <v>12013</v>
      </c>
      <c r="AD123" s="2">
        <v>10895</v>
      </c>
      <c r="AE123" s="2">
        <v>5233</v>
      </c>
      <c r="AF123" s="2">
        <v>0</v>
      </c>
      <c r="AG123" s="2">
        <v>0</v>
      </c>
      <c r="AH123" s="2"/>
      <c r="AI123" s="2">
        <v>0</v>
      </c>
      <c r="AJ123" s="2">
        <v>0</v>
      </c>
      <c r="AK123" s="2">
        <v>0</v>
      </c>
      <c r="AL123" s="2">
        <v>0</v>
      </c>
      <c r="AM123" s="2">
        <v>0</v>
      </c>
    </row>
    <row r="124" spans="1:39">
      <c r="A124" s="349">
        <v>91027</v>
      </c>
      <c r="B124" s="342" t="s">
        <v>2792</v>
      </c>
      <c r="C124" s="358">
        <v>1.7099999999999999E-5</v>
      </c>
      <c r="E124" s="2">
        <v>12821</v>
      </c>
      <c r="F124" s="2">
        <v>13214</v>
      </c>
      <c r="G124" s="2">
        <v>8230</v>
      </c>
      <c r="H124" s="2">
        <v>2545</v>
      </c>
      <c r="I124" s="2">
        <v>0</v>
      </c>
      <c r="J124" s="2"/>
      <c r="K124" s="2">
        <v>3170</v>
      </c>
      <c r="L124" s="2">
        <v>2921</v>
      </c>
      <c r="M124" s="2">
        <v>1625</v>
      </c>
      <c r="N124" s="2">
        <v>0</v>
      </c>
      <c r="O124" s="2">
        <v>0</v>
      </c>
      <c r="P124" s="2"/>
      <c r="Q124" s="2">
        <v>206</v>
      </c>
      <c r="R124" s="2">
        <v>2875</v>
      </c>
      <c r="S124" s="2">
        <v>2974</v>
      </c>
      <c r="T124" s="2">
        <v>2545</v>
      </c>
      <c r="U124" s="2">
        <v>0</v>
      </c>
      <c r="V124" s="2"/>
      <c r="W124" s="2">
        <v>2510</v>
      </c>
      <c r="X124" s="2">
        <v>2038</v>
      </c>
      <c r="Y124" s="2">
        <v>0</v>
      </c>
      <c r="Z124" s="2">
        <v>0</v>
      </c>
      <c r="AA124" s="2">
        <v>0</v>
      </c>
      <c r="AB124" s="2"/>
      <c r="AC124" s="2">
        <v>6935</v>
      </c>
      <c r="AD124" s="2">
        <v>5380</v>
      </c>
      <c r="AE124" s="2">
        <v>3631</v>
      </c>
      <c r="AF124" s="2">
        <v>0</v>
      </c>
      <c r="AG124" s="2">
        <v>0</v>
      </c>
      <c r="AH124" s="2"/>
      <c r="AI124" s="2">
        <v>0</v>
      </c>
      <c r="AJ124" s="2">
        <v>0</v>
      </c>
      <c r="AK124" s="2">
        <v>0</v>
      </c>
      <c r="AL124" s="2">
        <v>0</v>
      </c>
      <c r="AM124" s="2">
        <v>0</v>
      </c>
    </row>
    <row r="125" spans="1:39">
      <c r="A125" s="349">
        <v>91032</v>
      </c>
      <c r="B125" s="342" t="s">
        <v>813</v>
      </c>
      <c r="C125" s="358">
        <v>2.02E-5</v>
      </c>
      <c r="E125" s="2">
        <v>18538</v>
      </c>
      <c r="F125" s="2">
        <v>19356</v>
      </c>
      <c r="G125" s="2">
        <v>13553</v>
      </c>
      <c r="H125" s="2">
        <v>3006</v>
      </c>
      <c r="I125" s="2">
        <v>0</v>
      </c>
      <c r="J125" s="2"/>
      <c r="K125" s="2">
        <v>3745</v>
      </c>
      <c r="L125" s="2">
        <v>3450</v>
      </c>
      <c r="M125" s="2">
        <v>1920</v>
      </c>
      <c r="N125" s="2">
        <v>0</v>
      </c>
      <c r="O125" s="2">
        <v>0</v>
      </c>
      <c r="P125" s="2"/>
      <c r="Q125" s="2">
        <v>243</v>
      </c>
      <c r="R125" s="2">
        <v>3396</v>
      </c>
      <c r="S125" s="2">
        <v>3513</v>
      </c>
      <c r="T125" s="2">
        <v>3006</v>
      </c>
      <c r="U125" s="2">
        <v>0</v>
      </c>
      <c r="V125" s="2"/>
      <c r="W125" s="2">
        <v>2965</v>
      </c>
      <c r="X125" s="2">
        <v>2407</v>
      </c>
      <c r="Y125" s="2">
        <v>0</v>
      </c>
      <c r="Z125" s="2">
        <v>0</v>
      </c>
      <c r="AA125" s="2">
        <v>0</v>
      </c>
      <c r="AB125" s="2"/>
      <c r="AC125" s="2">
        <v>11585</v>
      </c>
      <c r="AD125" s="2">
        <v>10103</v>
      </c>
      <c r="AE125" s="2">
        <v>8120</v>
      </c>
      <c r="AF125" s="2">
        <v>0</v>
      </c>
      <c r="AG125" s="2">
        <v>0</v>
      </c>
      <c r="AH125" s="2"/>
      <c r="AI125" s="2">
        <v>0</v>
      </c>
      <c r="AJ125" s="2">
        <v>0</v>
      </c>
      <c r="AK125" s="2">
        <v>0</v>
      </c>
      <c r="AL125" s="2">
        <v>0</v>
      </c>
      <c r="AM125" s="2">
        <v>0</v>
      </c>
    </row>
    <row r="126" spans="1:39">
      <c r="A126" s="349">
        <v>91041</v>
      </c>
      <c r="B126" s="342" t="s">
        <v>814</v>
      </c>
      <c r="C126" s="358">
        <v>4.773E-4</v>
      </c>
      <c r="E126" s="2">
        <v>153531</v>
      </c>
      <c r="F126" s="2">
        <v>218845</v>
      </c>
      <c r="G126" s="2">
        <v>129717</v>
      </c>
      <c r="H126" s="2">
        <v>71033</v>
      </c>
      <c r="I126" s="2">
        <v>0</v>
      </c>
      <c r="J126" s="2"/>
      <c r="K126" s="2">
        <v>88496</v>
      </c>
      <c r="L126" s="2">
        <v>81520</v>
      </c>
      <c r="M126" s="2">
        <v>45371</v>
      </c>
      <c r="N126" s="2">
        <v>0</v>
      </c>
      <c r="O126" s="2">
        <v>0</v>
      </c>
      <c r="P126" s="2"/>
      <c r="Q126" s="2">
        <v>5737</v>
      </c>
      <c r="R126" s="2">
        <v>80237</v>
      </c>
      <c r="S126" s="2">
        <v>83011</v>
      </c>
      <c r="T126" s="2">
        <v>71033</v>
      </c>
      <c r="U126" s="2">
        <v>0</v>
      </c>
      <c r="V126" s="2"/>
      <c r="W126" s="2">
        <v>70056</v>
      </c>
      <c r="X126" s="2">
        <v>56874</v>
      </c>
      <c r="Y126" s="2">
        <v>0</v>
      </c>
      <c r="Z126" s="2">
        <v>0</v>
      </c>
      <c r="AA126" s="2">
        <v>0</v>
      </c>
      <c r="AB126" s="2"/>
      <c r="AC126" s="2">
        <v>7394</v>
      </c>
      <c r="AD126" s="2">
        <v>7394</v>
      </c>
      <c r="AE126" s="2">
        <v>7393</v>
      </c>
      <c r="AF126" s="2">
        <v>0</v>
      </c>
      <c r="AG126" s="2">
        <v>0</v>
      </c>
      <c r="AH126" s="2"/>
      <c r="AI126" s="2">
        <v>-18152</v>
      </c>
      <c r="AJ126" s="2">
        <v>-7180</v>
      </c>
      <c r="AK126" s="2">
        <v>-6058</v>
      </c>
      <c r="AL126" s="2">
        <v>0</v>
      </c>
      <c r="AM126" s="2">
        <v>-7180</v>
      </c>
    </row>
    <row r="127" spans="1:39">
      <c r="A127" s="349">
        <v>91042</v>
      </c>
      <c r="B127" s="342" t="s">
        <v>815</v>
      </c>
      <c r="C127" s="358">
        <v>2.7510000000000002E-4</v>
      </c>
      <c r="E127" s="2">
        <v>99971</v>
      </c>
      <c r="F127" s="2">
        <v>128237</v>
      </c>
      <c r="G127" s="2">
        <v>73369</v>
      </c>
      <c r="H127" s="2">
        <v>40941</v>
      </c>
      <c r="I127" s="2">
        <v>0</v>
      </c>
      <c r="J127" s="2"/>
      <c r="K127" s="2">
        <v>51006</v>
      </c>
      <c r="L127" s="2">
        <v>46985</v>
      </c>
      <c r="M127" s="2">
        <v>26150</v>
      </c>
      <c r="N127" s="2">
        <v>0</v>
      </c>
      <c r="O127" s="2">
        <v>0</v>
      </c>
      <c r="P127" s="2"/>
      <c r="Q127" s="2">
        <v>3306</v>
      </c>
      <c r="R127" s="2">
        <v>46246</v>
      </c>
      <c r="S127" s="2">
        <v>47845</v>
      </c>
      <c r="T127" s="2">
        <v>40941</v>
      </c>
      <c r="U127" s="2">
        <v>0</v>
      </c>
      <c r="V127" s="2"/>
      <c r="W127" s="2">
        <v>40378</v>
      </c>
      <c r="X127" s="2">
        <v>32780</v>
      </c>
      <c r="Y127" s="2">
        <v>0</v>
      </c>
      <c r="Z127" s="2">
        <v>0</v>
      </c>
      <c r="AA127" s="2">
        <v>0</v>
      </c>
      <c r="AB127" s="2"/>
      <c r="AC127" s="2">
        <v>8502</v>
      </c>
      <c r="AD127" s="2">
        <v>5447</v>
      </c>
      <c r="AE127" s="2">
        <v>2595</v>
      </c>
      <c r="AF127" s="2">
        <v>0</v>
      </c>
      <c r="AG127" s="2">
        <v>0</v>
      </c>
      <c r="AH127" s="2"/>
      <c r="AI127" s="2">
        <v>-3221</v>
      </c>
      <c r="AJ127" s="2">
        <v>-3221</v>
      </c>
      <c r="AK127" s="2">
        <v>-3221</v>
      </c>
      <c r="AL127" s="2">
        <v>0</v>
      </c>
      <c r="AM127" s="2">
        <v>-3221</v>
      </c>
    </row>
    <row r="128" spans="1:39">
      <c r="A128" s="349">
        <v>91047</v>
      </c>
      <c r="B128" s="342" t="s">
        <v>816</v>
      </c>
      <c r="C128" s="358">
        <v>1.03E-5</v>
      </c>
      <c r="E128" s="2">
        <v>10242</v>
      </c>
      <c r="F128" s="2">
        <v>9354</v>
      </c>
      <c r="G128" s="2">
        <v>5139</v>
      </c>
      <c r="H128" s="2">
        <v>1533</v>
      </c>
      <c r="I128" s="2">
        <v>0</v>
      </c>
      <c r="J128" s="2"/>
      <c r="K128" s="2">
        <v>1910</v>
      </c>
      <c r="L128" s="2">
        <v>1759</v>
      </c>
      <c r="M128" s="2">
        <v>979</v>
      </c>
      <c r="N128" s="2">
        <v>0</v>
      </c>
      <c r="O128" s="2">
        <v>0</v>
      </c>
      <c r="P128" s="2"/>
      <c r="Q128" s="2">
        <v>124</v>
      </c>
      <c r="R128" s="2">
        <v>1731</v>
      </c>
      <c r="S128" s="2">
        <v>1791</v>
      </c>
      <c r="T128" s="2">
        <v>1533</v>
      </c>
      <c r="U128" s="2">
        <v>0</v>
      </c>
      <c r="V128" s="2"/>
      <c r="W128" s="2">
        <v>1512</v>
      </c>
      <c r="X128" s="2">
        <v>1227</v>
      </c>
      <c r="Y128" s="2">
        <v>0</v>
      </c>
      <c r="Z128" s="2">
        <v>0</v>
      </c>
      <c r="AA128" s="2">
        <v>0</v>
      </c>
      <c r="AB128" s="2"/>
      <c r="AC128" s="2">
        <v>6702</v>
      </c>
      <c r="AD128" s="2">
        <v>4643</v>
      </c>
      <c r="AE128" s="2">
        <v>2376</v>
      </c>
      <c r="AF128" s="2">
        <v>0</v>
      </c>
      <c r="AG128" s="2">
        <v>0</v>
      </c>
      <c r="AH128" s="2"/>
      <c r="AI128" s="2">
        <v>-6</v>
      </c>
      <c r="AJ128" s="2">
        <v>-6</v>
      </c>
      <c r="AK128" s="2">
        <v>-7</v>
      </c>
      <c r="AL128" s="2">
        <v>0</v>
      </c>
      <c r="AM128" s="2">
        <v>-6</v>
      </c>
    </row>
    <row r="129" spans="1:39">
      <c r="A129" s="349">
        <v>91051</v>
      </c>
      <c r="B129" s="342" t="s">
        <v>817</v>
      </c>
      <c r="C129" s="358">
        <v>6.2199999999999994E-5</v>
      </c>
      <c r="E129" s="2">
        <v>20510</v>
      </c>
      <c r="F129" s="2">
        <v>29205</v>
      </c>
      <c r="G129" s="2">
        <v>17156</v>
      </c>
      <c r="H129" s="2">
        <v>9257</v>
      </c>
      <c r="I129" s="2">
        <v>0</v>
      </c>
      <c r="J129" s="2"/>
      <c r="K129" s="2">
        <v>11532</v>
      </c>
      <c r="L129" s="2">
        <v>10623</v>
      </c>
      <c r="M129" s="2">
        <v>5913</v>
      </c>
      <c r="N129" s="2">
        <v>0</v>
      </c>
      <c r="O129" s="2">
        <v>0</v>
      </c>
      <c r="P129" s="2"/>
      <c r="Q129" s="2">
        <v>748</v>
      </c>
      <c r="R129" s="2">
        <v>10456</v>
      </c>
      <c r="S129" s="2">
        <v>10818</v>
      </c>
      <c r="T129" s="2">
        <v>9257</v>
      </c>
      <c r="U129" s="2">
        <v>0</v>
      </c>
      <c r="V129" s="2"/>
      <c r="W129" s="2">
        <v>9129</v>
      </c>
      <c r="X129" s="2">
        <v>7412</v>
      </c>
      <c r="Y129" s="2">
        <v>0</v>
      </c>
      <c r="Z129" s="2">
        <v>0</v>
      </c>
      <c r="AA129" s="2">
        <v>0</v>
      </c>
      <c r="AB129" s="2"/>
      <c r="AC129" s="2">
        <v>991</v>
      </c>
      <c r="AD129" s="2">
        <v>989</v>
      </c>
      <c r="AE129" s="2">
        <v>698</v>
      </c>
      <c r="AF129" s="2">
        <v>0</v>
      </c>
      <c r="AG129" s="2">
        <v>0</v>
      </c>
      <c r="AH129" s="2"/>
      <c r="AI129" s="2">
        <v>-1890</v>
      </c>
      <c r="AJ129" s="2">
        <v>-275</v>
      </c>
      <c r="AK129" s="2">
        <v>-273</v>
      </c>
      <c r="AL129" s="2">
        <v>0</v>
      </c>
      <c r="AM129" s="2">
        <v>-275</v>
      </c>
    </row>
    <row r="130" spans="1:39">
      <c r="A130" s="349">
        <v>91057</v>
      </c>
      <c r="B130" s="342" t="s">
        <v>818</v>
      </c>
      <c r="C130" s="358">
        <v>1.1E-5</v>
      </c>
      <c r="E130" s="2">
        <v>5402</v>
      </c>
      <c r="F130" s="2">
        <v>6154</v>
      </c>
      <c r="G130" s="2">
        <v>3403</v>
      </c>
      <c r="H130" s="2">
        <v>1637</v>
      </c>
      <c r="I130" s="2">
        <v>0</v>
      </c>
      <c r="J130" s="2"/>
      <c r="K130" s="2">
        <v>2039</v>
      </c>
      <c r="L130" s="2">
        <v>1879</v>
      </c>
      <c r="M130" s="2">
        <v>1046</v>
      </c>
      <c r="N130" s="2">
        <v>0</v>
      </c>
      <c r="O130" s="2">
        <v>0</v>
      </c>
      <c r="P130" s="2"/>
      <c r="Q130" s="2">
        <v>132</v>
      </c>
      <c r="R130" s="2">
        <v>1849</v>
      </c>
      <c r="S130" s="2">
        <v>1913</v>
      </c>
      <c r="T130" s="2">
        <v>1637</v>
      </c>
      <c r="U130" s="2">
        <v>0</v>
      </c>
      <c r="V130" s="2"/>
      <c r="W130" s="2">
        <v>1615</v>
      </c>
      <c r="X130" s="2">
        <v>1311</v>
      </c>
      <c r="Y130" s="2">
        <v>0</v>
      </c>
      <c r="Z130" s="2">
        <v>0</v>
      </c>
      <c r="AA130" s="2">
        <v>0</v>
      </c>
      <c r="AB130" s="2"/>
      <c r="AC130" s="2">
        <v>2452</v>
      </c>
      <c r="AD130" s="2">
        <v>1951</v>
      </c>
      <c r="AE130" s="2">
        <v>1278</v>
      </c>
      <c r="AF130" s="2">
        <v>0</v>
      </c>
      <c r="AG130" s="2">
        <v>0</v>
      </c>
      <c r="AH130" s="2"/>
      <c r="AI130" s="2">
        <v>-836</v>
      </c>
      <c r="AJ130" s="2">
        <v>-836</v>
      </c>
      <c r="AK130" s="2">
        <v>-834</v>
      </c>
      <c r="AL130" s="2">
        <v>0</v>
      </c>
      <c r="AM130" s="2">
        <v>-836</v>
      </c>
    </row>
    <row r="131" spans="1:39">
      <c r="A131" s="349">
        <v>91061</v>
      </c>
      <c r="B131" s="342" t="s">
        <v>819</v>
      </c>
      <c r="C131" s="358">
        <v>3.7950000000000001E-4</v>
      </c>
      <c r="E131" s="2">
        <v>123371</v>
      </c>
      <c r="F131" s="2">
        <v>164209</v>
      </c>
      <c r="G131" s="2">
        <v>99078</v>
      </c>
      <c r="H131" s="2">
        <v>56478</v>
      </c>
      <c r="I131" s="2">
        <v>0</v>
      </c>
      <c r="J131" s="2"/>
      <c r="K131" s="2">
        <v>70363</v>
      </c>
      <c r="L131" s="2">
        <v>64816</v>
      </c>
      <c r="M131" s="2">
        <v>36075</v>
      </c>
      <c r="N131" s="2">
        <v>0</v>
      </c>
      <c r="O131" s="2">
        <v>0</v>
      </c>
      <c r="P131" s="2"/>
      <c r="Q131" s="2">
        <v>4561</v>
      </c>
      <c r="R131" s="2">
        <v>63796</v>
      </c>
      <c r="S131" s="2">
        <v>66002</v>
      </c>
      <c r="T131" s="2">
        <v>56478</v>
      </c>
      <c r="U131" s="2">
        <v>0</v>
      </c>
      <c r="V131" s="2"/>
      <c r="W131" s="2">
        <v>55701</v>
      </c>
      <c r="X131" s="2">
        <v>45220</v>
      </c>
      <c r="Y131" s="2">
        <v>0</v>
      </c>
      <c r="Z131" s="2">
        <v>0</v>
      </c>
      <c r="AA131" s="2">
        <v>0</v>
      </c>
      <c r="AB131" s="2"/>
      <c r="AC131" s="2">
        <v>3371</v>
      </c>
      <c r="AD131" s="2">
        <v>1002</v>
      </c>
      <c r="AE131" s="2">
        <v>1004</v>
      </c>
      <c r="AF131" s="2">
        <v>0</v>
      </c>
      <c r="AG131" s="2">
        <v>0</v>
      </c>
      <c r="AH131" s="2"/>
      <c r="AI131" s="2">
        <v>-10625</v>
      </c>
      <c r="AJ131" s="2">
        <v>-10625</v>
      </c>
      <c r="AK131" s="2">
        <v>-4003</v>
      </c>
      <c r="AL131" s="2">
        <v>0</v>
      </c>
      <c r="AM131" s="2">
        <v>-10625</v>
      </c>
    </row>
    <row r="132" spans="1:39">
      <c r="A132" s="349">
        <v>91067</v>
      </c>
      <c r="B132" s="342" t="s">
        <v>820</v>
      </c>
      <c r="C132" s="358">
        <v>1.5400000000000002E-5</v>
      </c>
      <c r="E132" s="2">
        <v>5915</v>
      </c>
      <c r="F132" s="2">
        <v>7769</v>
      </c>
      <c r="G132" s="2">
        <v>4468</v>
      </c>
      <c r="H132" s="2">
        <v>2292</v>
      </c>
      <c r="I132" s="2">
        <v>0</v>
      </c>
      <c r="J132" s="2"/>
      <c r="K132" s="2">
        <v>2855</v>
      </c>
      <c r="L132" s="2">
        <v>2630</v>
      </c>
      <c r="M132" s="2">
        <v>1464</v>
      </c>
      <c r="N132" s="2">
        <v>0</v>
      </c>
      <c r="O132" s="2">
        <v>0</v>
      </c>
      <c r="P132" s="2"/>
      <c r="Q132" s="2">
        <v>185</v>
      </c>
      <c r="R132" s="2">
        <v>2589</v>
      </c>
      <c r="S132" s="2">
        <v>2678</v>
      </c>
      <c r="T132" s="2">
        <v>2292</v>
      </c>
      <c r="U132" s="2">
        <v>0</v>
      </c>
      <c r="V132" s="2"/>
      <c r="W132" s="2">
        <v>2260</v>
      </c>
      <c r="X132" s="2">
        <v>1835</v>
      </c>
      <c r="Y132" s="2">
        <v>0</v>
      </c>
      <c r="Z132" s="2">
        <v>0</v>
      </c>
      <c r="AA132" s="2">
        <v>0</v>
      </c>
      <c r="AB132" s="2"/>
      <c r="AC132" s="2">
        <v>716</v>
      </c>
      <c r="AD132" s="2">
        <v>715</v>
      </c>
      <c r="AE132" s="2">
        <v>326</v>
      </c>
      <c r="AF132" s="2">
        <v>0</v>
      </c>
      <c r="AG132" s="2">
        <v>0</v>
      </c>
      <c r="AH132" s="2"/>
      <c r="AI132" s="2">
        <v>-101</v>
      </c>
      <c r="AJ132" s="2">
        <v>0</v>
      </c>
      <c r="AK132" s="2">
        <v>0</v>
      </c>
      <c r="AL132" s="2">
        <v>0</v>
      </c>
      <c r="AM132" s="2">
        <v>0</v>
      </c>
    </row>
    <row r="133" spans="1:39">
      <c r="A133" s="349">
        <v>91071</v>
      </c>
      <c r="B133" s="342" t="s">
        <v>3642</v>
      </c>
      <c r="C133" s="358">
        <v>2.186E-4</v>
      </c>
      <c r="E133" s="2">
        <v>60432</v>
      </c>
      <c r="F133" s="2">
        <v>90279</v>
      </c>
      <c r="G133" s="2">
        <v>49129</v>
      </c>
      <c r="H133" s="2">
        <v>32532</v>
      </c>
      <c r="I133" s="2">
        <v>0</v>
      </c>
      <c r="J133" s="2"/>
      <c r="K133" s="2">
        <v>40530</v>
      </c>
      <c r="L133" s="2">
        <v>37336</v>
      </c>
      <c r="M133" s="2">
        <v>20780</v>
      </c>
      <c r="N133" s="2">
        <v>0</v>
      </c>
      <c r="O133" s="2">
        <v>0</v>
      </c>
      <c r="P133" s="2"/>
      <c r="Q133" s="2">
        <v>2627</v>
      </c>
      <c r="R133" s="2">
        <v>36748</v>
      </c>
      <c r="S133" s="2">
        <v>38018</v>
      </c>
      <c r="T133" s="2">
        <v>32532</v>
      </c>
      <c r="U133" s="2">
        <v>0</v>
      </c>
      <c r="V133" s="2"/>
      <c r="W133" s="2">
        <v>32085</v>
      </c>
      <c r="X133" s="2">
        <v>26048</v>
      </c>
      <c r="Y133" s="2">
        <v>0</v>
      </c>
      <c r="Z133" s="2">
        <v>0</v>
      </c>
      <c r="AA133" s="2">
        <v>0</v>
      </c>
      <c r="AB133" s="2"/>
      <c r="AC133" s="2">
        <v>0</v>
      </c>
      <c r="AD133" s="2">
        <v>0</v>
      </c>
      <c r="AE133" s="2">
        <v>0</v>
      </c>
      <c r="AF133" s="2">
        <v>0</v>
      </c>
      <c r="AG133" s="2">
        <v>0</v>
      </c>
      <c r="AH133" s="2"/>
      <c r="AI133" s="2">
        <v>-14810</v>
      </c>
      <c r="AJ133" s="2">
        <v>-9853</v>
      </c>
      <c r="AK133" s="2">
        <v>-9669</v>
      </c>
      <c r="AL133" s="2">
        <v>0</v>
      </c>
      <c r="AM133" s="2">
        <v>-9853</v>
      </c>
    </row>
    <row r="134" spans="1:39">
      <c r="A134" s="349">
        <v>91077</v>
      </c>
      <c r="B134" s="342" t="s">
        <v>822</v>
      </c>
      <c r="C134" s="358">
        <v>1.1600000000000001E-5</v>
      </c>
      <c r="E134" s="2">
        <v>7927</v>
      </c>
      <c r="F134" s="2">
        <v>8991</v>
      </c>
      <c r="G134" s="2">
        <v>6621</v>
      </c>
      <c r="H134" s="2">
        <v>1726</v>
      </c>
      <c r="I134" s="2">
        <v>0</v>
      </c>
      <c r="J134" s="2"/>
      <c r="K134" s="2">
        <v>2151</v>
      </c>
      <c r="L134" s="2">
        <v>1981</v>
      </c>
      <c r="M134" s="2">
        <v>1103</v>
      </c>
      <c r="N134" s="2">
        <v>0</v>
      </c>
      <c r="O134" s="2">
        <v>0</v>
      </c>
      <c r="P134" s="2"/>
      <c r="Q134" s="2">
        <v>139</v>
      </c>
      <c r="R134" s="2">
        <v>1950</v>
      </c>
      <c r="S134" s="2">
        <v>2017</v>
      </c>
      <c r="T134" s="2">
        <v>1726</v>
      </c>
      <c r="U134" s="2">
        <v>0</v>
      </c>
      <c r="V134" s="2"/>
      <c r="W134" s="2">
        <v>1703</v>
      </c>
      <c r="X134" s="2">
        <v>1382</v>
      </c>
      <c r="Y134" s="2">
        <v>0</v>
      </c>
      <c r="Z134" s="2">
        <v>0</v>
      </c>
      <c r="AA134" s="2">
        <v>0</v>
      </c>
      <c r="AB134" s="2"/>
      <c r="AC134" s="2">
        <v>3934</v>
      </c>
      <c r="AD134" s="2">
        <v>3678</v>
      </c>
      <c r="AE134" s="2">
        <v>3501</v>
      </c>
      <c r="AF134" s="2">
        <v>0</v>
      </c>
      <c r="AG134" s="2">
        <v>0</v>
      </c>
      <c r="AH134" s="2"/>
      <c r="AI134" s="2">
        <v>0</v>
      </c>
      <c r="AJ134" s="2">
        <v>0</v>
      </c>
      <c r="AK134" s="2">
        <v>0</v>
      </c>
      <c r="AL134" s="2">
        <v>0</v>
      </c>
      <c r="AM134" s="2">
        <v>0</v>
      </c>
    </row>
    <row r="135" spans="1:39">
      <c r="A135" s="349">
        <v>91081</v>
      </c>
      <c r="B135" s="342" t="s">
        <v>823</v>
      </c>
      <c r="C135" s="358">
        <v>4.2880000000000001E-4</v>
      </c>
      <c r="E135" s="2">
        <v>154644</v>
      </c>
      <c r="F135" s="2">
        <v>203348</v>
      </c>
      <c r="G135" s="2">
        <v>117490</v>
      </c>
      <c r="H135" s="2">
        <v>63815</v>
      </c>
      <c r="I135" s="2">
        <v>0</v>
      </c>
      <c r="J135" s="2"/>
      <c r="K135" s="2">
        <v>79503</v>
      </c>
      <c r="L135" s="2">
        <v>73236</v>
      </c>
      <c r="M135" s="2">
        <v>40761</v>
      </c>
      <c r="N135" s="2">
        <v>0</v>
      </c>
      <c r="O135" s="2">
        <v>0</v>
      </c>
      <c r="P135" s="2"/>
      <c r="Q135" s="2">
        <v>5154</v>
      </c>
      <c r="R135" s="2">
        <v>72083</v>
      </c>
      <c r="S135" s="2">
        <v>74576</v>
      </c>
      <c r="T135" s="2">
        <v>63815</v>
      </c>
      <c r="U135" s="2">
        <v>0</v>
      </c>
      <c r="V135" s="2"/>
      <c r="W135" s="2">
        <v>62938</v>
      </c>
      <c r="X135" s="2">
        <v>51095</v>
      </c>
      <c r="Y135" s="2">
        <v>0</v>
      </c>
      <c r="Z135" s="2">
        <v>0</v>
      </c>
      <c r="AA135" s="2">
        <v>0</v>
      </c>
      <c r="AB135" s="2"/>
      <c r="AC135" s="2">
        <v>8760</v>
      </c>
      <c r="AD135" s="2">
        <v>8645</v>
      </c>
      <c r="AE135" s="2">
        <v>3865</v>
      </c>
      <c r="AF135" s="2">
        <v>0</v>
      </c>
      <c r="AG135" s="2">
        <v>0</v>
      </c>
      <c r="AH135" s="2"/>
      <c r="AI135" s="2">
        <v>-1711</v>
      </c>
      <c r="AJ135" s="2">
        <v>-1711</v>
      </c>
      <c r="AK135" s="2">
        <v>-1712</v>
      </c>
      <c r="AL135" s="2">
        <v>0</v>
      </c>
      <c r="AM135" s="2">
        <v>-1711</v>
      </c>
    </row>
    <row r="136" spans="1:39">
      <c r="A136" s="349">
        <v>91091</v>
      </c>
      <c r="B136" s="342" t="s">
        <v>824</v>
      </c>
      <c r="C136" s="358">
        <v>5.6079999999999997E-4</v>
      </c>
      <c r="E136" s="2">
        <v>190500</v>
      </c>
      <c r="F136" s="2">
        <v>262926</v>
      </c>
      <c r="G136" s="2">
        <v>163916</v>
      </c>
      <c r="H136" s="2">
        <v>83459</v>
      </c>
      <c r="I136" s="2">
        <v>0</v>
      </c>
      <c r="J136" s="2"/>
      <c r="K136" s="2">
        <v>103977</v>
      </c>
      <c r="L136" s="2">
        <v>95781</v>
      </c>
      <c r="M136" s="2">
        <v>53309</v>
      </c>
      <c r="N136" s="2">
        <v>0</v>
      </c>
      <c r="O136" s="2">
        <v>0</v>
      </c>
      <c r="P136" s="2"/>
      <c r="Q136" s="2">
        <v>6740</v>
      </c>
      <c r="R136" s="2">
        <v>94273</v>
      </c>
      <c r="S136" s="2">
        <v>97533</v>
      </c>
      <c r="T136" s="2">
        <v>83459</v>
      </c>
      <c r="U136" s="2">
        <v>0</v>
      </c>
      <c r="V136" s="2"/>
      <c r="W136" s="2">
        <v>82312</v>
      </c>
      <c r="X136" s="2">
        <v>66823</v>
      </c>
      <c r="Y136" s="2">
        <v>0</v>
      </c>
      <c r="Z136" s="2">
        <v>0</v>
      </c>
      <c r="AA136" s="2">
        <v>0</v>
      </c>
      <c r="AB136" s="2"/>
      <c r="AC136" s="2">
        <v>13073</v>
      </c>
      <c r="AD136" s="2">
        <v>13073</v>
      </c>
      <c r="AE136" s="2">
        <v>13074</v>
      </c>
      <c r="AF136" s="2">
        <v>0</v>
      </c>
      <c r="AG136" s="2">
        <v>0</v>
      </c>
      <c r="AH136" s="2"/>
      <c r="AI136" s="2">
        <v>-15602</v>
      </c>
      <c r="AJ136" s="2">
        <v>-7024</v>
      </c>
      <c r="AK136" s="2">
        <v>0</v>
      </c>
      <c r="AL136" s="2">
        <v>0</v>
      </c>
      <c r="AM136" s="2">
        <v>-7024</v>
      </c>
    </row>
    <row r="137" spans="1:39">
      <c r="A137" s="349">
        <v>91101</v>
      </c>
      <c r="B137" s="342" t="s">
        <v>825</v>
      </c>
      <c r="C137" s="358">
        <v>1.2932900000000001E-2</v>
      </c>
      <c r="E137" s="2">
        <v>3972364</v>
      </c>
      <c r="F137" s="2">
        <v>5529258</v>
      </c>
      <c r="G137" s="2">
        <v>3132894</v>
      </c>
      <c r="H137" s="2">
        <v>1924700</v>
      </c>
      <c r="I137" s="2">
        <v>0</v>
      </c>
      <c r="J137" s="2"/>
      <c r="K137" s="2">
        <v>2397876</v>
      </c>
      <c r="L137" s="2">
        <v>2208862</v>
      </c>
      <c r="M137" s="2">
        <v>1229376</v>
      </c>
      <c r="N137" s="2">
        <v>0</v>
      </c>
      <c r="O137" s="2">
        <v>0</v>
      </c>
      <c r="P137" s="2"/>
      <c r="Q137" s="2">
        <v>155441</v>
      </c>
      <c r="R137" s="2">
        <v>2174085</v>
      </c>
      <c r="S137" s="2">
        <v>2249264</v>
      </c>
      <c r="T137" s="2">
        <v>1924700</v>
      </c>
      <c r="U137" s="2">
        <v>0</v>
      </c>
      <c r="V137" s="2"/>
      <c r="W137" s="2">
        <v>1898239</v>
      </c>
      <c r="X137" s="2">
        <v>1541046</v>
      </c>
      <c r="Y137" s="2">
        <v>0</v>
      </c>
      <c r="Z137" s="2">
        <v>0</v>
      </c>
      <c r="AA137" s="2">
        <v>0</v>
      </c>
      <c r="AB137" s="2"/>
      <c r="AC137" s="2">
        <v>0</v>
      </c>
      <c r="AD137" s="2">
        <v>0</v>
      </c>
      <c r="AE137" s="2">
        <v>0</v>
      </c>
      <c r="AF137" s="2">
        <v>0</v>
      </c>
      <c r="AG137" s="2">
        <v>0</v>
      </c>
      <c r="AH137" s="2"/>
      <c r="AI137" s="2">
        <v>-479192</v>
      </c>
      <c r="AJ137" s="2">
        <v>-394735</v>
      </c>
      <c r="AK137" s="2">
        <v>-345746</v>
      </c>
      <c r="AL137" s="2">
        <v>0</v>
      </c>
      <c r="AM137" s="2">
        <v>-394735</v>
      </c>
    </row>
    <row r="138" spans="1:39">
      <c r="A138" s="349">
        <v>91102</v>
      </c>
      <c r="B138" s="342" t="s">
        <v>826</v>
      </c>
      <c r="C138" s="358">
        <v>2.8190000000000002E-4</v>
      </c>
      <c r="E138" s="2">
        <v>84818</v>
      </c>
      <c r="F138" s="2">
        <v>111503</v>
      </c>
      <c r="G138" s="2">
        <v>58510</v>
      </c>
      <c r="H138" s="2">
        <v>41953</v>
      </c>
      <c r="I138" s="2">
        <v>0</v>
      </c>
      <c r="J138" s="2"/>
      <c r="K138" s="2">
        <v>52267</v>
      </c>
      <c r="L138" s="2">
        <v>48147</v>
      </c>
      <c r="M138" s="2">
        <v>26797</v>
      </c>
      <c r="N138" s="2">
        <v>0</v>
      </c>
      <c r="O138" s="2">
        <v>0</v>
      </c>
      <c r="P138" s="2"/>
      <c r="Q138" s="2">
        <v>3388</v>
      </c>
      <c r="R138" s="2">
        <v>47389</v>
      </c>
      <c r="S138" s="2">
        <v>49027</v>
      </c>
      <c r="T138" s="2">
        <v>41953</v>
      </c>
      <c r="U138" s="2">
        <v>0</v>
      </c>
      <c r="V138" s="2"/>
      <c r="W138" s="2">
        <v>41376</v>
      </c>
      <c r="X138" s="2">
        <v>33590</v>
      </c>
      <c r="Y138" s="2">
        <v>0</v>
      </c>
      <c r="Z138" s="2">
        <v>0</v>
      </c>
      <c r="AA138" s="2">
        <v>0</v>
      </c>
      <c r="AB138" s="2"/>
      <c r="AC138" s="2">
        <v>5454</v>
      </c>
      <c r="AD138" s="2">
        <v>45</v>
      </c>
      <c r="AE138" s="2">
        <v>45</v>
      </c>
      <c r="AF138" s="2">
        <v>0</v>
      </c>
      <c r="AG138" s="2">
        <v>0</v>
      </c>
      <c r="AH138" s="2"/>
      <c r="AI138" s="2">
        <v>-17667</v>
      </c>
      <c r="AJ138" s="2">
        <v>-17668</v>
      </c>
      <c r="AK138" s="2">
        <v>-17359</v>
      </c>
      <c r="AL138" s="2">
        <v>0</v>
      </c>
      <c r="AM138" s="2">
        <v>-17668</v>
      </c>
    </row>
    <row r="139" spans="1:39">
      <c r="A139" s="349">
        <v>91104</v>
      </c>
      <c r="B139" s="342" t="s">
        <v>827</v>
      </c>
      <c r="C139" s="358">
        <v>1.7499999999999998E-5</v>
      </c>
      <c r="E139" s="2">
        <v>10590</v>
      </c>
      <c r="F139" s="2">
        <v>12234</v>
      </c>
      <c r="G139" s="2">
        <v>8200</v>
      </c>
      <c r="H139" s="2">
        <v>2604</v>
      </c>
      <c r="I139" s="2">
        <v>0</v>
      </c>
      <c r="J139" s="2"/>
      <c r="K139" s="2">
        <v>3245</v>
      </c>
      <c r="L139" s="2">
        <v>2989</v>
      </c>
      <c r="M139" s="2">
        <v>1664</v>
      </c>
      <c r="N139" s="2">
        <v>0</v>
      </c>
      <c r="O139" s="2">
        <v>0</v>
      </c>
      <c r="P139" s="2"/>
      <c r="Q139" s="2">
        <v>210</v>
      </c>
      <c r="R139" s="2">
        <v>2942</v>
      </c>
      <c r="S139" s="2">
        <v>3044</v>
      </c>
      <c r="T139" s="2">
        <v>2604</v>
      </c>
      <c r="U139" s="2">
        <v>0</v>
      </c>
      <c r="V139" s="2"/>
      <c r="W139" s="2">
        <v>2569</v>
      </c>
      <c r="X139" s="2">
        <v>2085</v>
      </c>
      <c r="Y139" s="2">
        <v>0</v>
      </c>
      <c r="Z139" s="2">
        <v>0</v>
      </c>
      <c r="AA139" s="2">
        <v>0</v>
      </c>
      <c r="AB139" s="2"/>
      <c r="AC139" s="2">
        <v>4566</v>
      </c>
      <c r="AD139" s="2">
        <v>4218</v>
      </c>
      <c r="AE139" s="2">
        <v>3492</v>
      </c>
      <c r="AF139" s="2">
        <v>0</v>
      </c>
      <c r="AG139" s="2">
        <v>0</v>
      </c>
      <c r="AH139" s="2"/>
      <c r="AI139" s="2">
        <v>0</v>
      </c>
      <c r="AJ139" s="2">
        <v>0</v>
      </c>
      <c r="AK139" s="2">
        <v>0</v>
      </c>
      <c r="AL139" s="2">
        <v>0</v>
      </c>
      <c r="AM139" s="2">
        <v>0</v>
      </c>
    </row>
    <row r="140" spans="1:39">
      <c r="A140" s="349">
        <v>91107</v>
      </c>
      <c r="B140" s="342" t="s">
        <v>3643</v>
      </c>
      <c r="C140" s="358">
        <v>3.8999999999999999E-5</v>
      </c>
      <c r="E140" s="2">
        <v>13234</v>
      </c>
      <c r="F140" s="2">
        <v>16369</v>
      </c>
      <c r="G140" s="2">
        <v>9744</v>
      </c>
      <c r="H140" s="2">
        <v>5804</v>
      </c>
      <c r="I140" s="2">
        <v>0</v>
      </c>
      <c r="J140" s="2"/>
      <c r="K140" s="2">
        <v>7231</v>
      </c>
      <c r="L140" s="2">
        <v>6661</v>
      </c>
      <c r="M140" s="2">
        <v>3707</v>
      </c>
      <c r="N140" s="2">
        <v>0</v>
      </c>
      <c r="O140" s="2">
        <v>0</v>
      </c>
      <c r="P140" s="2"/>
      <c r="Q140" s="2">
        <v>469</v>
      </c>
      <c r="R140" s="2">
        <v>6556</v>
      </c>
      <c r="S140" s="2">
        <v>6783</v>
      </c>
      <c r="T140" s="2">
        <v>5804</v>
      </c>
      <c r="U140" s="2">
        <v>0</v>
      </c>
      <c r="V140" s="2"/>
      <c r="W140" s="2">
        <v>5724</v>
      </c>
      <c r="X140" s="2">
        <v>4647</v>
      </c>
      <c r="Y140" s="2">
        <v>0</v>
      </c>
      <c r="Z140" s="2">
        <v>0</v>
      </c>
      <c r="AA140" s="2">
        <v>0</v>
      </c>
      <c r="AB140" s="2"/>
      <c r="AC140" s="2">
        <v>3399</v>
      </c>
      <c r="AD140" s="2">
        <v>2092</v>
      </c>
      <c r="AE140" s="2">
        <v>2091</v>
      </c>
      <c r="AF140" s="2">
        <v>0</v>
      </c>
      <c r="AG140" s="2">
        <v>0</v>
      </c>
      <c r="AH140" s="2"/>
      <c r="AI140" s="2">
        <v>-3589</v>
      </c>
      <c r="AJ140" s="2">
        <v>-3587</v>
      </c>
      <c r="AK140" s="2">
        <v>-2837</v>
      </c>
      <c r="AL140" s="2">
        <v>0</v>
      </c>
      <c r="AM140" s="2">
        <v>-3587</v>
      </c>
    </row>
    <row r="141" spans="1:39">
      <c r="A141" s="349">
        <v>91108</v>
      </c>
      <c r="B141" s="342" t="s">
        <v>3644</v>
      </c>
      <c r="C141" s="358">
        <v>1.1678999999999999E-3</v>
      </c>
      <c r="E141" s="2">
        <v>419230</v>
      </c>
      <c r="F141" s="2">
        <v>546973</v>
      </c>
      <c r="G141" s="2">
        <v>320124</v>
      </c>
      <c r="H141" s="2">
        <v>173809</v>
      </c>
      <c r="I141" s="2">
        <v>0</v>
      </c>
      <c r="J141" s="2"/>
      <c r="K141" s="2">
        <v>216539</v>
      </c>
      <c r="L141" s="2">
        <v>199470</v>
      </c>
      <c r="M141" s="2">
        <v>111018</v>
      </c>
      <c r="N141" s="2">
        <v>0</v>
      </c>
      <c r="O141" s="2">
        <v>0</v>
      </c>
      <c r="P141" s="2"/>
      <c r="Q141" s="2">
        <v>14037</v>
      </c>
      <c r="R141" s="2">
        <v>196330</v>
      </c>
      <c r="S141" s="2">
        <v>203119</v>
      </c>
      <c r="T141" s="2">
        <v>173809</v>
      </c>
      <c r="U141" s="2">
        <v>0</v>
      </c>
      <c r="V141" s="2"/>
      <c r="W141" s="2">
        <v>171420</v>
      </c>
      <c r="X141" s="2">
        <v>139163</v>
      </c>
      <c r="Y141" s="2">
        <v>0</v>
      </c>
      <c r="Z141" s="2">
        <v>0</v>
      </c>
      <c r="AA141" s="2">
        <v>0</v>
      </c>
      <c r="AB141" s="2"/>
      <c r="AC141" s="2">
        <v>22835</v>
      </c>
      <c r="AD141" s="2">
        <v>17611</v>
      </c>
      <c r="AE141" s="2">
        <v>11586</v>
      </c>
      <c r="AF141" s="2">
        <v>0</v>
      </c>
      <c r="AG141" s="2">
        <v>0</v>
      </c>
      <c r="AH141" s="2"/>
      <c r="AI141" s="2">
        <v>-5601</v>
      </c>
      <c r="AJ141" s="2">
        <v>-5601</v>
      </c>
      <c r="AK141" s="2">
        <v>-5599</v>
      </c>
      <c r="AL141" s="2">
        <v>0</v>
      </c>
      <c r="AM141" s="2">
        <v>-5601</v>
      </c>
    </row>
    <row r="142" spans="1:39">
      <c r="A142" s="349">
        <v>91109</v>
      </c>
      <c r="B142" s="342" t="s">
        <v>2779</v>
      </c>
      <c r="C142" s="358">
        <v>9.8599999999999998E-5</v>
      </c>
      <c r="E142" s="2">
        <v>36223</v>
      </c>
      <c r="F142" s="2">
        <v>46324</v>
      </c>
      <c r="G142" s="2">
        <v>26829</v>
      </c>
      <c r="H142" s="2">
        <v>14674</v>
      </c>
      <c r="I142" s="2">
        <v>0</v>
      </c>
      <c r="J142" s="2"/>
      <c r="K142" s="2">
        <v>18281</v>
      </c>
      <c r="L142" s="2">
        <v>16840</v>
      </c>
      <c r="M142" s="2">
        <v>9373</v>
      </c>
      <c r="N142" s="2">
        <v>0</v>
      </c>
      <c r="O142" s="2">
        <v>0</v>
      </c>
      <c r="P142" s="2"/>
      <c r="Q142" s="2">
        <v>1185</v>
      </c>
      <c r="R142" s="2">
        <v>16575</v>
      </c>
      <c r="S142" s="2">
        <v>17148</v>
      </c>
      <c r="T142" s="2">
        <v>14674</v>
      </c>
      <c r="U142" s="2">
        <v>0</v>
      </c>
      <c r="V142" s="2"/>
      <c r="W142" s="2">
        <v>14472</v>
      </c>
      <c r="X142" s="2">
        <v>11749</v>
      </c>
      <c r="Y142" s="2">
        <v>0</v>
      </c>
      <c r="Z142" s="2">
        <v>0</v>
      </c>
      <c r="AA142" s="2">
        <v>0</v>
      </c>
      <c r="AB142" s="2"/>
      <c r="AC142" s="2">
        <v>2285</v>
      </c>
      <c r="AD142" s="2">
        <v>1160</v>
      </c>
      <c r="AE142" s="2">
        <v>308</v>
      </c>
      <c r="AF142" s="2">
        <v>0</v>
      </c>
      <c r="AG142" s="2">
        <v>0</v>
      </c>
      <c r="AH142" s="2"/>
      <c r="AI142" s="2">
        <v>0</v>
      </c>
      <c r="AJ142" s="2">
        <v>0</v>
      </c>
      <c r="AK142" s="2">
        <v>0</v>
      </c>
      <c r="AL142" s="2">
        <v>0</v>
      </c>
      <c r="AM142" s="2">
        <v>0</v>
      </c>
    </row>
    <row r="143" spans="1:39">
      <c r="A143" s="349">
        <v>91111</v>
      </c>
      <c r="B143" s="342" t="s">
        <v>831</v>
      </c>
      <c r="C143" s="358">
        <v>2.0149999999999999E-4</v>
      </c>
      <c r="E143" s="2">
        <v>73875</v>
      </c>
      <c r="F143" s="2">
        <v>94891</v>
      </c>
      <c r="G143" s="2">
        <v>55635</v>
      </c>
      <c r="H143" s="2">
        <v>29988</v>
      </c>
      <c r="I143" s="2">
        <v>0</v>
      </c>
      <c r="J143" s="2"/>
      <c r="K143" s="2">
        <v>37360</v>
      </c>
      <c r="L143" s="2">
        <v>34415</v>
      </c>
      <c r="M143" s="2">
        <v>19154</v>
      </c>
      <c r="N143" s="2">
        <v>0</v>
      </c>
      <c r="O143" s="2">
        <v>0</v>
      </c>
      <c r="P143" s="2"/>
      <c r="Q143" s="2">
        <v>2422</v>
      </c>
      <c r="R143" s="2">
        <v>33873</v>
      </c>
      <c r="S143" s="2">
        <v>35044</v>
      </c>
      <c r="T143" s="2">
        <v>29988</v>
      </c>
      <c r="U143" s="2">
        <v>0</v>
      </c>
      <c r="V143" s="2"/>
      <c r="W143" s="2">
        <v>29575</v>
      </c>
      <c r="X143" s="2">
        <v>24010</v>
      </c>
      <c r="Y143" s="2">
        <v>0</v>
      </c>
      <c r="Z143" s="2">
        <v>0</v>
      </c>
      <c r="AA143" s="2">
        <v>0</v>
      </c>
      <c r="AB143" s="2"/>
      <c r="AC143" s="2">
        <v>9342</v>
      </c>
      <c r="AD143" s="2">
        <v>7417</v>
      </c>
      <c r="AE143" s="2">
        <v>6259</v>
      </c>
      <c r="AF143" s="2">
        <v>0</v>
      </c>
      <c r="AG143" s="2">
        <v>0</v>
      </c>
      <c r="AH143" s="2"/>
      <c r="AI143" s="2">
        <v>-4824</v>
      </c>
      <c r="AJ143" s="2">
        <v>-4824</v>
      </c>
      <c r="AK143" s="2">
        <v>-4822</v>
      </c>
      <c r="AL143" s="2">
        <v>0</v>
      </c>
      <c r="AM143" s="2">
        <v>-4824</v>
      </c>
    </row>
    <row r="144" spans="1:39">
      <c r="A144" s="349">
        <v>91120</v>
      </c>
      <c r="B144" s="342" t="s">
        <v>3645</v>
      </c>
      <c r="C144" s="358">
        <v>2.6830000000000002E-4</v>
      </c>
      <c r="E144" s="2">
        <v>119570</v>
      </c>
      <c r="F144" s="2">
        <v>151005</v>
      </c>
      <c r="G144" s="2">
        <v>102998</v>
      </c>
      <c r="H144" s="2">
        <v>39929</v>
      </c>
      <c r="I144" s="2">
        <v>0</v>
      </c>
      <c r="J144" s="2"/>
      <c r="K144" s="2">
        <v>49745</v>
      </c>
      <c r="L144" s="2">
        <v>45824</v>
      </c>
      <c r="M144" s="2">
        <v>25504</v>
      </c>
      <c r="N144" s="2">
        <v>0</v>
      </c>
      <c r="O144" s="2">
        <v>0</v>
      </c>
      <c r="P144" s="2"/>
      <c r="Q144" s="2">
        <v>3225</v>
      </c>
      <c r="R144" s="2">
        <v>45103</v>
      </c>
      <c r="S144" s="2">
        <v>46662</v>
      </c>
      <c r="T144" s="2">
        <v>39929</v>
      </c>
      <c r="U144" s="2">
        <v>0</v>
      </c>
      <c r="V144" s="2"/>
      <c r="W144" s="2">
        <v>39380</v>
      </c>
      <c r="X144" s="2">
        <v>31970</v>
      </c>
      <c r="Y144" s="2">
        <v>0</v>
      </c>
      <c r="Z144" s="2">
        <v>0</v>
      </c>
      <c r="AA144" s="2">
        <v>0</v>
      </c>
      <c r="AB144" s="2"/>
      <c r="AC144" s="2">
        <v>30832</v>
      </c>
      <c r="AD144" s="2">
        <v>30832</v>
      </c>
      <c r="AE144" s="2">
        <v>30832</v>
      </c>
      <c r="AF144" s="2">
        <v>0</v>
      </c>
      <c r="AG144" s="2">
        <v>0</v>
      </c>
      <c r="AH144" s="2"/>
      <c r="AI144" s="2">
        <v>-3612</v>
      </c>
      <c r="AJ144" s="2">
        <v>-2724</v>
      </c>
      <c r="AK144" s="2">
        <v>0</v>
      </c>
      <c r="AL144" s="2">
        <v>0</v>
      </c>
      <c r="AM144" s="2">
        <v>-2724</v>
      </c>
    </row>
    <row r="145" spans="1:39">
      <c r="A145" s="349">
        <v>91121</v>
      </c>
      <c r="B145" s="342" t="s">
        <v>833</v>
      </c>
      <c r="C145" s="358">
        <v>1.04712E-2</v>
      </c>
      <c r="E145" s="2">
        <v>3414756</v>
      </c>
      <c r="F145" s="2">
        <v>4635071</v>
      </c>
      <c r="G145" s="2">
        <v>2675326</v>
      </c>
      <c r="H145" s="2">
        <v>1558345</v>
      </c>
      <c r="I145" s="2">
        <v>0</v>
      </c>
      <c r="J145" s="2"/>
      <c r="K145" s="2">
        <v>1941455</v>
      </c>
      <c r="L145" s="2">
        <v>1788418</v>
      </c>
      <c r="M145" s="2">
        <v>995371</v>
      </c>
      <c r="N145" s="2">
        <v>0</v>
      </c>
      <c r="O145" s="2">
        <v>0</v>
      </c>
      <c r="P145" s="2"/>
      <c r="Q145" s="2">
        <v>125853</v>
      </c>
      <c r="R145" s="2">
        <v>1760261</v>
      </c>
      <c r="S145" s="2">
        <v>1821130</v>
      </c>
      <c r="T145" s="2">
        <v>1558345</v>
      </c>
      <c r="U145" s="2">
        <v>0</v>
      </c>
      <c r="V145" s="2"/>
      <c r="W145" s="2">
        <v>1536921</v>
      </c>
      <c r="X145" s="2">
        <v>1247717</v>
      </c>
      <c r="Y145" s="2">
        <v>0</v>
      </c>
      <c r="Z145" s="2">
        <v>0</v>
      </c>
      <c r="AA145" s="2">
        <v>0</v>
      </c>
      <c r="AB145" s="2"/>
      <c r="AC145" s="2">
        <v>0</v>
      </c>
      <c r="AD145" s="2">
        <v>0</v>
      </c>
      <c r="AE145" s="2">
        <v>0</v>
      </c>
      <c r="AF145" s="2">
        <v>0</v>
      </c>
      <c r="AG145" s="2">
        <v>0</v>
      </c>
      <c r="AH145" s="2"/>
      <c r="AI145" s="2">
        <v>-189473</v>
      </c>
      <c r="AJ145" s="2">
        <v>-161325</v>
      </c>
      <c r="AK145" s="2">
        <v>-141175</v>
      </c>
      <c r="AL145" s="2">
        <v>0</v>
      </c>
      <c r="AM145" s="2">
        <v>-161325</v>
      </c>
    </row>
    <row r="146" spans="1:39">
      <c r="A146" s="349">
        <v>91127</v>
      </c>
      <c r="B146" s="342" t="s">
        <v>834</v>
      </c>
      <c r="C146" s="358">
        <v>2.8170000000000002E-4</v>
      </c>
      <c r="E146" s="2">
        <v>118496</v>
      </c>
      <c r="F146" s="2">
        <v>148126</v>
      </c>
      <c r="G146" s="2">
        <v>87960</v>
      </c>
      <c r="H146" s="2">
        <v>41923</v>
      </c>
      <c r="I146" s="2">
        <v>0</v>
      </c>
      <c r="J146" s="2"/>
      <c r="K146" s="2">
        <v>52230</v>
      </c>
      <c r="L146" s="2">
        <v>48113</v>
      </c>
      <c r="M146" s="2">
        <v>26778</v>
      </c>
      <c r="N146" s="2">
        <v>0</v>
      </c>
      <c r="O146" s="2">
        <v>0</v>
      </c>
      <c r="P146" s="2"/>
      <c r="Q146" s="2">
        <v>3386</v>
      </c>
      <c r="R146" s="2">
        <v>47355</v>
      </c>
      <c r="S146" s="2">
        <v>48993</v>
      </c>
      <c r="T146" s="2">
        <v>41923</v>
      </c>
      <c r="U146" s="2">
        <v>0</v>
      </c>
      <c r="V146" s="2"/>
      <c r="W146" s="2">
        <v>41347</v>
      </c>
      <c r="X146" s="2">
        <v>33567</v>
      </c>
      <c r="Y146" s="2">
        <v>0</v>
      </c>
      <c r="Z146" s="2">
        <v>0</v>
      </c>
      <c r="AA146" s="2">
        <v>0</v>
      </c>
      <c r="AB146" s="2"/>
      <c r="AC146" s="2">
        <v>21533</v>
      </c>
      <c r="AD146" s="2">
        <v>19091</v>
      </c>
      <c r="AE146" s="2">
        <v>12189</v>
      </c>
      <c r="AF146" s="2">
        <v>0</v>
      </c>
      <c r="AG146" s="2">
        <v>0</v>
      </c>
      <c r="AH146" s="2"/>
      <c r="AI146" s="2">
        <v>0</v>
      </c>
      <c r="AJ146" s="2">
        <v>0</v>
      </c>
      <c r="AK146" s="2">
        <v>0</v>
      </c>
      <c r="AL146" s="2">
        <v>0</v>
      </c>
      <c r="AM146" s="2">
        <v>0</v>
      </c>
    </row>
    <row r="147" spans="1:39">
      <c r="A147" s="349">
        <v>91128</v>
      </c>
      <c r="B147" s="342" t="s">
        <v>835</v>
      </c>
      <c r="C147" s="358">
        <v>5.1889999999999998E-4</v>
      </c>
      <c r="E147" s="2">
        <v>197299</v>
      </c>
      <c r="F147" s="2">
        <v>254381</v>
      </c>
      <c r="G147" s="2">
        <v>159075</v>
      </c>
      <c r="H147" s="2">
        <v>77224</v>
      </c>
      <c r="I147" s="2">
        <v>0</v>
      </c>
      <c r="J147" s="2"/>
      <c r="K147" s="2">
        <v>96209</v>
      </c>
      <c r="L147" s="2">
        <v>88625</v>
      </c>
      <c r="M147" s="2">
        <v>49326</v>
      </c>
      <c r="N147" s="2">
        <v>0</v>
      </c>
      <c r="O147" s="2">
        <v>0</v>
      </c>
      <c r="P147" s="2"/>
      <c r="Q147" s="2">
        <v>6237</v>
      </c>
      <c r="R147" s="2">
        <v>87230</v>
      </c>
      <c r="S147" s="2">
        <v>90246</v>
      </c>
      <c r="T147" s="2">
        <v>77224</v>
      </c>
      <c r="U147" s="2">
        <v>0</v>
      </c>
      <c r="V147" s="2"/>
      <c r="W147" s="2">
        <v>76162</v>
      </c>
      <c r="X147" s="2">
        <v>61831</v>
      </c>
      <c r="Y147" s="2">
        <v>0</v>
      </c>
      <c r="Z147" s="2">
        <v>0</v>
      </c>
      <c r="AA147" s="2">
        <v>0</v>
      </c>
      <c r="AB147" s="2"/>
      <c r="AC147" s="2">
        <v>27310</v>
      </c>
      <c r="AD147" s="2">
        <v>25313</v>
      </c>
      <c r="AE147" s="2">
        <v>25314</v>
      </c>
      <c r="AF147" s="2">
        <v>0</v>
      </c>
      <c r="AG147" s="2">
        <v>0</v>
      </c>
      <c r="AH147" s="2"/>
      <c r="AI147" s="2">
        <v>-8619</v>
      </c>
      <c r="AJ147" s="2">
        <v>-8618</v>
      </c>
      <c r="AK147" s="2">
        <v>-5811</v>
      </c>
      <c r="AL147" s="2">
        <v>0</v>
      </c>
      <c r="AM147" s="2">
        <v>-8618</v>
      </c>
    </row>
    <row r="148" spans="1:39">
      <c r="A148" s="349">
        <v>91138</v>
      </c>
      <c r="B148" s="342" t="s">
        <v>3646</v>
      </c>
      <c r="C148" s="358">
        <v>4.5300000000000001E-4</v>
      </c>
      <c r="E148" s="2">
        <v>81417</v>
      </c>
      <c r="F148" s="2">
        <v>145897</v>
      </c>
      <c r="G148" s="2">
        <v>93551</v>
      </c>
      <c r="H148" s="2">
        <v>67416</v>
      </c>
      <c r="I148" s="2">
        <v>0</v>
      </c>
      <c r="J148" s="2"/>
      <c r="K148" s="2">
        <v>83990</v>
      </c>
      <c r="L148" s="2">
        <v>77370</v>
      </c>
      <c r="M148" s="2">
        <v>43061</v>
      </c>
      <c r="N148" s="2">
        <v>0</v>
      </c>
      <c r="O148" s="2">
        <v>0</v>
      </c>
      <c r="P148" s="2"/>
      <c r="Q148" s="2">
        <v>5445</v>
      </c>
      <c r="R148" s="2">
        <v>76152</v>
      </c>
      <c r="S148" s="2">
        <v>78785</v>
      </c>
      <c r="T148" s="2">
        <v>67416</v>
      </c>
      <c r="U148" s="2">
        <v>0</v>
      </c>
      <c r="V148" s="2"/>
      <c r="W148" s="2">
        <v>66490</v>
      </c>
      <c r="X148" s="2">
        <v>53978</v>
      </c>
      <c r="Y148" s="2">
        <v>0</v>
      </c>
      <c r="Z148" s="2">
        <v>0</v>
      </c>
      <c r="AA148" s="2">
        <v>0</v>
      </c>
      <c r="AB148" s="2"/>
      <c r="AC148" s="2">
        <v>0</v>
      </c>
      <c r="AD148" s="2">
        <v>0</v>
      </c>
      <c r="AE148" s="2">
        <v>0</v>
      </c>
      <c r="AF148" s="2">
        <v>0</v>
      </c>
      <c r="AG148" s="2">
        <v>0</v>
      </c>
      <c r="AH148" s="2"/>
      <c r="AI148" s="2">
        <v>-74508</v>
      </c>
      <c r="AJ148" s="2">
        <v>-61603</v>
      </c>
      <c r="AK148" s="2">
        <v>-28295</v>
      </c>
      <c r="AL148" s="2">
        <v>0</v>
      </c>
      <c r="AM148" s="2">
        <v>-61603</v>
      </c>
    </row>
    <row r="149" spans="1:39">
      <c r="A149" s="349">
        <v>91141</v>
      </c>
      <c r="B149" s="342" t="s">
        <v>837</v>
      </c>
      <c r="C149" s="358">
        <v>6.3380000000000001E-4</v>
      </c>
      <c r="E149" s="2">
        <v>200644</v>
      </c>
      <c r="F149" s="2">
        <v>275232</v>
      </c>
      <c r="G149" s="2">
        <v>161236</v>
      </c>
      <c r="H149" s="2">
        <v>94323</v>
      </c>
      <c r="I149" s="2">
        <v>0</v>
      </c>
      <c r="J149" s="2"/>
      <c r="K149" s="2">
        <v>117512</v>
      </c>
      <c r="L149" s="2">
        <v>108249</v>
      </c>
      <c r="M149" s="2">
        <v>60248</v>
      </c>
      <c r="N149" s="2">
        <v>0</v>
      </c>
      <c r="O149" s="2">
        <v>0</v>
      </c>
      <c r="P149" s="2"/>
      <c r="Q149" s="2">
        <v>7618</v>
      </c>
      <c r="R149" s="2">
        <v>106545</v>
      </c>
      <c r="S149" s="2">
        <v>110229</v>
      </c>
      <c r="T149" s="2">
        <v>94323</v>
      </c>
      <c r="U149" s="2">
        <v>0</v>
      </c>
      <c r="V149" s="2"/>
      <c r="W149" s="2">
        <v>93027</v>
      </c>
      <c r="X149" s="2">
        <v>75522</v>
      </c>
      <c r="Y149" s="2">
        <v>0</v>
      </c>
      <c r="Z149" s="2">
        <v>0</v>
      </c>
      <c r="AA149" s="2">
        <v>0</v>
      </c>
      <c r="AB149" s="2"/>
      <c r="AC149" s="2">
        <v>7734</v>
      </c>
      <c r="AD149" s="2">
        <v>7734</v>
      </c>
      <c r="AE149" s="2">
        <v>7735</v>
      </c>
      <c r="AF149" s="2">
        <v>0</v>
      </c>
      <c r="AG149" s="2">
        <v>0</v>
      </c>
      <c r="AH149" s="2"/>
      <c r="AI149" s="2">
        <v>-25247</v>
      </c>
      <c r="AJ149" s="2">
        <v>-22818</v>
      </c>
      <c r="AK149" s="2">
        <v>-16976</v>
      </c>
      <c r="AL149" s="2">
        <v>0</v>
      </c>
      <c r="AM149" s="2">
        <v>-22818</v>
      </c>
    </row>
    <row r="150" spans="1:39">
      <c r="A150" s="349">
        <v>91147</v>
      </c>
      <c r="B150" s="342" t="s">
        <v>838</v>
      </c>
      <c r="C150" s="358">
        <v>2.8399999999999999E-5</v>
      </c>
      <c r="E150" s="2">
        <v>12289</v>
      </c>
      <c r="F150" s="2">
        <v>15131</v>
      </c>
      <c r="G150" s="2">
        <v>9324</v>
      </c>
      <c r="H150" s="2">
        <v>4227</v>
      </c>
      <c r="I150" s="2">
        <v>0</v>
      </c>
      <c r="J150" s="2"/>
      <c r="K150" s="2">
        <v>5266</v>
      </c>
      <c r="L150" s="2">
        <v>4851</v>
      </c>
      <c r="M150" s="2">
        <v>2700</v>
      </c>
      <c r="N150" s="2">
        <v>0</v>
      </c>
      <c r="O150" s="2">
        <v>0</v>
      </c>
      <c r="P150" s="2"/>
      <c r="Q150" s="2">
        <v>341</v>
      </c>
      <c r="R150" s="2">
        <v>4774</v>
      </c>
      <c r="S150" s="2">
        <v>4939</v>
      </c>
      <c r="T150" s="2">
        <v>4227</v>
      </c>
      <c r="U150" s="2">
        <v>0</v>
      </c>
      <c r="V150" s="2"/>
      <c r="W150" s="2">
        <v>4168</v>
      </c>
      <c r="X150" s="2">
        <v>3384</v>
      </c>
      <c r="Y150" s="2">
        <v>0</v>
      </c>
      <c r="Z150" s="2">
        <v>0</v>
      </c>
      <c r="AA150" s="2">
        <v>0</v>
      </c>
      <c r="AB150" s="2"/>
      <c r="AC150" s="2">
        <v>2649</v>
      </c>
      <c r="AD150" s="2">
        <v>2257</v>
      </c>
      <c r="AE150" s="2">
        <v>1821</v>
      </c>
      <c r="AF150" s="2">
        <v>0</v>
      </c>
      <c r="AG150" s="2">
        <v>0</v>
      </c>
      <c r="AH150" s="2"/>
      <c r="AI150" s="2">
        <v>-135</v>
      </c>
      <c r="AJ150" s="2">
        <v>-135</v>
      </c>
      <c r="AK150" s="2">
        <v>-136</v>
      </c>
      <c r="AL150" s="2">
        <v>0</v>
      </c>
      <c r="AM150" s="2">
        <v>-135</v>
      </c>
    </row>
    <row r="151" spans="1:39">
      <c r="A151" s="349">
        <v>91151</v>
      </c>
      <c r="B151" s="342" t="s">
        <v>839</v>
      </c>
      <c r="C151" s="358">
        <v>6.0360000000000003E-4</v>
      </c>
      <c r="E151" s="2">
        <v>179761</v>
      </c>
      <c r="F151" s="2">
        <v>252015</v>
      </c>
      <c r="G151" s="2">
        <v>147497</v>
      </c>
      <c r="H151" s="2">
        <v>89829</v>
      </c>
      <c r="I151" s="2">
        <v>0</v>
      </c>
      <c r="J151" s="2"/>
      <c r="K151" s="2">
        <v>111913</v>
      </c>
      <c r="L151" s="2">
        <v>103091</v>
      </c>
      <c r="M151" s="2">
        <v>57377</v>
      </c>
      <c r="N151" s="2">
        <v>0</v>
      </c>
      <c r="O151" s="2">
        <v>0</v>
      </c>
      <c r="P151" s="2"/>
      <c r="Q151" s="2">
        <v>7255</v>
      </c>
      <c r="R151" s="2">
        <v>101468</v>
      </c>
      <c r="S151" s="2">
        <v>104977</v>
      </c>
      <c r="T151" s="2">
        <v>89829</v>
      </c>
      <c r="U151" s="2">
        <v>0</v>
      </c>
      <c r="V151" s="2"/>
      <c r="W151" s="2">
        <v>88594</v>
      </c>
      <c r="X151" s="2">
        <v>71923</v>
      </c>
      <c r="Y151" s="2">
        <v>0</v>
      </c>
      <c r="Z151" s="2">
        <v>0</v>
      </c>
      <c r="AA151" s="2">
        <v>0</v>
      </c>
      <c r="AB151" s="2"/>
      <c r="AC151" s="2">
        <v>0</v>
      </c>
      <c r="AD151" s="2">
        <v>0</v>
      </c>
      <c r="AE151" s="2">
        <v>0</v>
      </c>
      <c r="AF151" s="2">
        <v>0</v>
      </c>
      <c r="AG151" s="2">
        <v>0</v>
      </c>
      <c r="AH151" s="2"/>
      <c r="AI151" s="2">
        <v>-28001</v>
      </c>
      <c r="AJ151" s="2">
        <v>-24467</v>
      </c>
      <c r="AK151" s="2">
        <v>-14857</v>
      </c>
      <c r="AL151" s="2">
        <v>0</v>
      </c>
      <c r="AM151" s="2">
        <v>-24467</v>
      </c>
    </row>
    <row r="152" spans="1:39">
      <c r="A152" s="349">
        <v>91154</v>
      </c>
      <c r="B152" s="342" t="s">
        <v>3647</v>
      </c>
      <c r="C152" s="358">
        <v>2.1999999999999999E-5</v>
      </c>
      <c r="E152" s="2">
        <v>7472</v>
      </c>
      <c r="F152" s="2">
        <v>9091</v>
      </c>
      <c r="G152" s="2">
        <v>5475</v>
      </c>
      <c r="H152" s="2">
        <v>3274</v>
      </c>
      <c r="I152" s="2">
        <v>0</v>
      </c>
      <c r="J152" s="2"/>
      <c r="K152" s="2">
        <v>4079</v>
      </c>
      <c r="L152" s="2">
        <v>3757</v>
      </c>
      <c r="M152" s="2">
        <v>2091</v>
      </c>
      <c r="N152" s="2">
        <v>0</v>
      </c>
      <c r="O152" s="2">
        <v>0</v>
      </c>
      <c r="P152" s="2"/>
      <c r="Q152" s="2">
        <v>264</v>
      </c>
      <c r="R152" s="2">
        <v>3698</v>
      </c>
      <c r="S152" s="2">
        <v>3826</v>
      </c>
      <c r="T152" s="2">
        <v>3274</v>
      </c>
      <c r="U152" s="2">
        <v>0</v>
      </c>
      <c r="V152" s="2"/>
      <c r="W152" s="2">
        <v>3229</v>
      </c>
      <c r="X152" s="2">
        <v>2621</v>
      </c>
      <c r="Y152" s="2">
        <v>0</v>
      </c>
      <c r="Z152" s="2">
        <v>0</v>
      </c>
      <c r="AA152" s="2">
        <v>0</v>
      </c>
      <c r="AB152" s="2"/>
      <c r="AC152" s="2">
        <v>1376</v>
      </c>
      <c r="AD152" s="2">
        <v>489</v>
      </c>
      <c r="AE152" s="2">
        <v>490</v>
      </c>
      <c r="AF152" s="2">
        <v>0</v>
      </c>
      <c r="AG152" s="2">
        <v>0</v>
      </c>
      <c r="AH152" s="2"/>
      <c r="AI152" s="2">
        <v>-1476</v>
      </c>
      <c r="AJ152" s="2">
        <v>-1474</v>
      </c>
      <c r="AK152" s="2">
        <v>-932</v>
      </c>
      <c r="AL152" s="2">
        <v>0</v>
      </c>
      <c r="AM152" s="2">
        <v>-1474</v>
      </c>
    </row>
    <row r="153" spans="1:39">
      <c r="A153" s="349">
        <v>91161</v>
      </c>
      <c r="B153" s="342" t="s">
        <v>841</v>
      </c>
      <c r="C153" s="358">
        <v>9.2499999999999999E-5</v>
      </c>
      <c r="E153" s="2">
        <v>27659</v>
      </c>
      <c r="F153" s="2">
        <v>38135</v>
      </c>
      <c r="G153" s="2">
        <v>22833</v>
      </c>
      <c r="H153" s="2">
        <v>13766</v>
      </c>
      <c r="I153" s="2">
        <v>0</v>
      </c>
      <c r="J153" s="2"/>
      <c r="K153" s="2">
        <v>17150</v>
      </c>
      <c r="L153" s="2">
        <v>15798</v>
      </c>
      <c r="M153" s="2">
        <v>8793</v>
      </c>
      <c r="N153" s="2">
        <v>0</v>
      </c>
      <c r="O153" s="2">
        <v>0</v>
      </c>
      <c r="P153" s="2"/>
      <c r="Q153" s="2">
        <v>1112</v>
      </c>
      <c r="R153" s="2">
        <v>15550</v>
      </c>
      <c r="S153" s="2">
        <v>16087</v>
      </c>
      <c r="T153" s="2">
        <v>13766</v>
      </c>
      <c r="U153" s="2">
        <v>0</v>
      </c>
      <c r="V153" s="2"/>
      <c r="W153" s="2">
        <v>13577</v>
      </c>
      <c r="X153" s="2">
        <v>11022</v>
      </c>
      <c r="Y153" s="2">
        <v>0</v>
      </c>
      <c r="Z153" s="2">
        <v>0</v>
      </c>
      <c r="AA153" s="2">
        <v>0</v>
      </c>
      <c r="AB153" s="2"/>
      <c r="AC153" s="2">
        <v>2905</v>
      </c>
      <c r="AD153" s="2">
        <v>2851</v>
      </c>
      <c r="AE153" s="2">
        <v>2853</v>
      </c>
      <c r="AF153" s="2">
        <v>0</v>
      </c>
      <c r="AG153" s="2">
        <v>0</v>
      </c>
      <c r="AH153" s="2"/>
      <c r="AI153" s="2">
        <v>-7085</v>
      </c>
      <c r="AJ153" s="2">
        <v>-7086</v>
      </c>
      <c r="AK153" s="2">
        <v>-4900</v>
      </c>
      <c r="AL153" s="2">
        <v>0</v>
      </c>
      <c r="AM153" s="2">
        <v>-7086</v>
      </c>
    </row>
    <row r="154" spans="1:39">
      <c r="A154" s="349">
        <v>91171</v>
      </c>
      <c r="B154" s="342" t="s">
        <v>842</v>
      </c>
      <c r="C154" s="358">
        <v>2.6679999999999998E-4</v>
      </c>
      <c r="E154" s="2">
        <v>85660</v>
      </c>
      <c r="F154" s="2">
        <v>125418</v>
      </c>
      <c r="G154" s="2">
        <v>68891</v>
      </c>
      <c r="H154" s="2">
        <v>39706</v>
      </c>
      <c r="I154" s="2">
        <v>0</v>
      </c>
      <c r="J154" s="2"/>
      <c r="K154" s="2">
        <v>49467</v>
      </c>
      <c r="L154" s="2">
        <v>45568</v>
      </c>
      <c r="M154" s="2">
        <v>25361</v>
      </c>
      <c r="N154" s="2">
        <v>0</v>
      </c>
      <c r="O154" s="2">
        <v>0</v>
      </c>
      <c r="P154" s="2"/>
      <c r="Q154" s="2">
        <v>3207</v>
      </c>
      <c r="R154" s="2">
        <v>44850</v>
      </c>
      <c r="S154" s="2">
        <v>46401</v>
      </c>
      <c r="T154" s="2">
        <v>39706</v>
      </c>
      <c r="U154" s="2">
        <v>0</v>
      </c>
      <c r="V154" s="2"/>
      <c r="W154" s="2">
        <v>39160</v>
      </c>
      <c r="X154" s="2">
        <v>31791</v>
      </c>
      <c r="Y154" s="2">
        <v>0</v>
      </c>
      <c r="Z154" s="2">
        <v>0</v>
      </c>
      <c r="AA154" s="2">
        <v>0</v>
      </c>
      <c r="AB154" s="2"/>
      <c r="AC154" s="2">
        <v>8275</v>
      </c>
      <c r="AD154" s="2">
        <v>8277</v>
      </c>
      <c r="AE154" s="2">
        <v>2198</v>
      </c>
      <c r="AF154" s="2">
        <v>0</v>
      </c>
      <c r="AG154" s="2">
        <v>0</v>
      </c>
      <c r="AH154" s="2"/>
      <c r="AI154" s="2">
        <v>-14449</v>
      </c>
      <c r="AJ154" s="2">
        <v>-5068</v>
      </c>
      <c r="AK154" s="2">
        <v>-5069</v>
      </c>
      <c r="AL154" s="2">
        <v>0</v>
      </c>
      <c r="AM154" s="2">
        <v>-5068</v>
      </c>
    </row>
    <row r="155" spans="1:39">
      <c r="A155" s="349">
        <v>91201</v>
      </c>
      <c r="B155" s="342" t="s">
        <v>843</v>
      </c>
      <c r="C155" s="358">
        <v>2.5533000000000001E-3</v>
      </c>
      <c r="E155" s="2">
        <v>929387</v>
      </c>
      <c r="F155" s="2">
        <v>1240273</v>
      </c>
      <c r="G155" s="2">
        <v>772638</v>
      </c>
      <c r="H155" s="2">
        <v>379987</v>
      </c>
      <c r="I155" s="2">
        <v>0</v>
      </c>
      <c r="J155" s="2"/>
      <c r="K155" s="2">
        <v>473405</v>
      </c>
      <c r="L155" s="2">
        <v>436088</v>
      </c>
      <c r="M155" s="2">
        <v>242712</v>
      </c>
      <c r="N155" s="2">
        <v>0</v>
      </c>
      <c r="O155" s="2">
        <v>0</v>
      </c>
      <c r="P155" s="2"/>
      <c r="Q155" s="2">
        <v>30688</v>
      </c>
      <c r="R155" s="2">
        <v>429222</v>
      </c>
      <c r="S155" s="2">
        <v>444065</v>
      </c>
      <c r="T155" s="2">
        <v>379987</v>
      </c>
      <c r="U155" s="2">
        <v>0</v>
      </c>
      <c r="V155" s="2"/>
      <c r="W155" s="2">
        <v>374763</v>
      </c>
      <c r="X155" s="2">
        <v>304244</v>
      </c>
      <c r="Y155" s="2">
        <v>0</v>
      </c>
      <c r="Z155" s="2">
        <v>0</v>
      </c>
      <c r="AA155" s="2">
        <v>0</v>
      </c>
      <c r="AB155" s="2"/>
      <c r="AC155" s="2">
        <v>93163</v>
      </c>
      <c r="AD155" s="2">
        <v>93163</v>
      </c>
      <c r="AE155" s="2">
        <v>93161</v>
      </c>
      <c r="AF155" s="2">
        <v>0</v>
      </c>
      <c r="AG155" s="2">
        <v>0</v>
      </c>
      <c r="AH155" s="2"/>
      <c r="AI155" s="2">
        <v>-42632</v>
      </c>
      <c r="AJ155" s="2">
        <v>-22444</v>
      </c>
      <c r="AK155" s="2">
        <v>-7300</v>
      </c>
      <c r="AL155" s="2">
        <v>0</v>
      </c>
      <c r="AM155" s="2">
        <v>-22444</v>
      </c>
    </row>
    <row r="156" spans="1:39">
      <c r="A156" s="349">
        <v>91202</v>
      </c>
      <c r="B156" s="342" t="s">
        <v>3648</v>
      </c>
      <c r="C156" s="358">
        <v>7.0699999999999997E-5</v>
      </c>
      <c r="E156" s="2">
        <v>-17849</v>
      </c>
      <c r="F156" s="2">
        <v>-11950</v>
      </c>
      <c r="G156" s="2">
        <v>-26300</v>
      </c>
      <c r="H156" s="2">
        <v>10522</v>
      </c>
      <c r="I156" s="2">
        <v>0</v>
      </c>
      <c r="J156" s="2"/>
      <c r="K156" s="2">
        <v>13108</v>
      </c>
      <c r="L156" s="2">
        <v>12075</v>
      </c>
      <c r="M156" s="2">
        <v>6721</v>
      </c>
      <c r="N156" s="2">
        <v>0</v>
      </c>
      <c r="O156" s="2">
        <v>0</v>
      </c>
      <c r="P156" s="2"/>
      <c r="Q156" s="2">
        <v>850</v>
      </c>
      <c r="R156" s="2">
        <v>11885</v>
      </c>
      <c r="S156" s="2">
        <v>12296</v>
      </c>
      <c r="T156" s="2">
        <v>10522</v>
      </c>
      <c r="U156" s="2">
        <v>0</v>
      </c>
      <c r="V156" s="2"/>
      <c r="W156" s="2">
        <v>10377</v>
      </c>
      <c r="X156" s="2">
        <v>8424</v>
      </c>
      <c r="Y156" s="2">
        <v>0</v>
      </c>
      <c r="Z156" s="2">
        <v>0</v>
      </c>
      <c r="AA156" s="2">
        <v>0</v>
      </c>
      <c r="AB156" s="2"/>
      <c r="AC156" s="2">
        <v>3130</v>
      </c>
      <c r="AD156" s="2">
        <v>980</v>
      </c>
      <c r="AE156" s="2">
        <v>0</v>
      </c>
      <c r="AF156" s="2">
        <v>0</v>
      </c>
      <c r="AG156" s="2">
        <v>0</v>
      </c>
      <c r="AH156" s="2"/>
      <c r="AI156" s="2">
        <v>-45314</v>
      </c>
      <c r="AJ156" s="2">
        <v>-45314</v>
      </c>
      <c r="AK156" s="2">
        <v>-45317</v>
      </c>
      <c r="AL156" s="2">
        <v>0</v>
      </c>
      <c r="AM156" s="2">
        <v>-45314</v>
      </c>
    </row>
    <row r="157" spans="1:39">
      <c r="A157" s="349">
        <v>91203</v>
      </c>
      <c r="B157" s="342" t="s">
        <v>3649</v>
      </c>
      <c r="C157" s="358">
        <v>2.3599999999999999E-4</v>
      </c>
      <c r="E157" s="2">
        <v>102115</v>
      </c>
      <c r="F157" s="2">
        <v>127936</v>
      </c>
      <c r="G157" s="2">
        <v>76513</v>
      </c>
      <c r="H157" s="2">
        <v>35122</v>
      </c>
      <c r="I157" s="2">
        <v>0</v>
      </c>
      <c r="J157" s="2"/>
      <c r="K157" s="2">
        <v>43757</v>
      </c>
      <c r="L157" s="2">
        <v>40307</v>
      </c>
      <c r="M157" s="2">
        <v>22434</v>
      </c>
      <c r="N157" s="2">
        <v>0</v>
      </c>
      <c r="O157" s="2">
        <v>0</v>
      </c>
      <c r="P157" s="2"/>
      <c r="Q157" s="2">
        <v>2836</v>
      </c>
      <c r="R157" s="2">
        <v>39673</v>
      </c>
      <c r="S157" s="2">
        <v>41045</v>
      </c>
      <c r="T157" s="2">
        <v>35122</v>
      </c>
      <c r="U157" s="2">
        <v>0</v>
      </c>
      <c r="V157" s="2"/>
      <c r="W157" s="2">
        <v>34639</v>
      </c>
      <c r="X157" s="2">
        <v>28121</v>
      </c>
      <c r="Y157" s="2">
        <v>0</v>
      </c>
      <c r="Z157" s="2">
        <v>0</v>
      </c>
      <c r="AA157" s="2">
        <v>0</v>
      </c>
      <c r="AB157" s="2"/>
      <c r="AC157" s="2">
        <v>20883</v>
      </c>
      <c r="AD157" s="2">
        <v>19835</v>
      </c>
      <c r="AE157" s="2">
        <v>13034</v>
      </c>
      <c r="AF157" s="2">
        <v>0</v>
      </c>
      <c r="AG157" s="2">
        <v>0</v>
      </c>
      <c r="AH157" s="2"/>
      <c r="AI157" s="2">
        <v>0</v>
      </c>
      <c r="AJ157" s="2">
        <v>0</v>
      </c>
      <c r="AK157" s="2">
        <v>0</v>
      </c>
      <c r="AL157" s="2">
        <v>0</v>
      </c>
      <c r="AM157" s="2">
        <v>0</v>
      </c>
    </row>
    <row r="158" spans="1:39">
      <c r="A158" s="349">
        <v>91206</v>
      </c>
      <c r="B158" s="342" t="s">
        <v>3650</v>
      </c>
      <c r="C158" s="358">
        <v>9.0109999999999995E-4</v>
      </c>
      <c r="E158" s="2">
        <v>309730</v>
      </c>
      <c r="F158" s="2">
        <v>406812</v>
      </c>
      <c r="G158" s="2">
        <v>229308</v>
      </c>
      <c r="H158" s="2">
        <v>134104</v>
      </c>
      <c r="I158" s="2">
        <v>0</v>
      </c>
      <c r="J158" s="2"/>
      <c r="K158" s="2">
        <v>167072</v>
      </c>
      <c r="L158" s="2">
        <v>153902</v>
      </c>
      <c r="M158" s="2">
        <v>85657</v>
      </c>
      <c r="N158" s="2">
        <v>0</v>
      </c>
      <c r="O158" s="2">
        <v>0</v>
      </c>
      <c r="P158" s="2"/>
      <c r="Q158" s="2">
        <v>10830</v>
      </c>
      <c r="R158" s="2">
        <v>151479</v>
      </c>
      <c r="S158" s="2">
        <v>156718</v>
      </c>
      <c r="T158" s="2">
        <v>134104</v>
      </c>
      <c r="U158" s="2">
        <v>0</v>
      </c>
      <c r="V158" s="2"/>
      <c r="W158" s="2">
        <v>132260</v>
      </c>
      <c r="X158" s="2">
        <v>107372</v>
      </c>
      <c r="Y158" s="2">
        <v>0</v>
      </c>
      <c r="Z158" s="2">
        <v>0</v>
      </c>
      <c r="AA158" s="2">
        <v>0</v>
      </c>
      <c r="AB158" s="2"/>
      <c r="AC158" s="2">
        <v>18979</v>
      </c>
      <c r="AD158" s="2">
        <v>13470</v>
      </c>
      <c r="AE158" s="2">
        <v>6345</v>
      </c>
      <c r="AF158" s="2">
        <v>0</v>
      </c>
      <c r="AG158" s="2">
        <v>0</v>
      </c>
      <c r="AH158" s="2"/>
      <c r="AI158" s="2">
        <v>-19411</v>
      </c>
      <c r="AJ158" s="2">
        <v>-19411</v>
      </c>
      <c r="AK158" s="2">
        <v>-19412</v>
      </c>
      <c r="AL158" s="2">
        <v>0</v>
      </c>
      <c r="AM158" s="2">
        <v>-19411</v>
      </c>
    </row>
    <row r="159" spans="1:39">
      <c r="A159" s="349">
        <v>91208</v>
      </c>
      <c r="B159" s="342" t="s">
        <v>3651</v>
      </c>
      <c r="C159" s="358">
        <v>1.6200000000000001E-5</v>
      </c>
      <c r="E159" s="2">
        <v>5777</v>
      </c>
      <c r="F159" s="2">
        <v>7564</v>
      </c>
      <c r="G159" s="2">
        <v>4631</v>
      </c>
      <c r="H159" s="2">
        <v>2411</v>
      </c>
      <c r="I159" s="2">
        <v>0</v>
      </c>
      <c r="J159" s="2"/>
      <c r="K159" s="2">
        <v>3004</v>
      </c>
      <c r="L159" s="2">
        <v>2767</v>
      </c>
      <c r="M159" s="2">
        <v>1540</v>
      </c>
      <c r="N159" s="2">
        <v>0</v>
      </c>
      <c r="O159" s="2">
        <v>0</v>
      </c>
      <c r="P159" s="2"/>
      <c r="Q159" s="2">
        <v>195</v>
      </c>
      <c r="R159" s="2">
        <v>2723</v>
      </c>
      <c r="S159" s="2">
        <v>2817</v>
      </c>
      <c r="T159" s="2">
        <v>2411</v>
      </c>
      <c r="U159" s="2">
        <v>0</v>
      </c>
      <c r="V159" s="2"/>
      <c r="W159" s="2">
        <v>2378</v>
      </c>
      <c r="X159" s="2">
        <v>1930</v>
      </c>
      <c r="Y159" s="2">
        <v>0</v>
      </c>
      <c r="Z159" s="2">
        <v>0</v>
      </c>
      <c r="AA159" s="2">
        <v>0</v>
      </c>
      <c r="AB159" s="2"/>
      <c r="AC159" s="2">
        <v>1297</v>
      </c>
      <c r="AD159" s="2">
        <v>1239</v>
      </c>
      <c r="AE159" s="2">
        <v>1241</v>
      </c>
      <c r="AF159" s="2">
        <v>0</v>
      </c>
      <c r="AG159" s="2">
        <v>0</v>
      </c>
      <c r="AH159" s="2"/>
      <c r="AI159" s="2">
        <v>-1097</v>
      </c>
      <c r="AJ159" s="2">
        <v>-1095</v>
      </c>
      <c r="AK159" s="2">
        <v>-967</v>
      </c>
      <c r="AL159" s="2">
        <v>0</v>
      </c>
      <c r="AM159" s="2">
        <v>-1095</v>
      </c>
    </row>
    <row r="160" spans="1:39">
      <c r="A160" s="349">
        <v>91211</v>
      </c>
      <c r="B160" s="342" t="s">
        <v>848</v>
      </c>
      <c r="C160" s="358">
        <v>4.817E-4</v>
      </c>
      <c r="E160" s="2">
        <v>168972</v>
      </c>
      <c r="F160" s="2">
        <v>223026</v>
      </c>
      <c r="G160" s="2">
        <v>135672</v>
      </c>
      <c r="H160" s="2">
        <v>71688</v>
      </c>
      <c r="I160" s="2">
        <v>0</v>
      </c>
      <c r="J160" s="2"/>
      <c r="K160" s="2">
        <v>89312</v>
      </c>
      <c r="L160" s="2">
        <v>82271</v>
      </c>
      <c r="M160" s="2">
        <v>45789</v>
      </c>
      <c r="N160" s="2">
        <v>0</v>
      </c>
      <c r="O160" s="2">
        <v>0</v>
      </c>
      <c r="P160" s="2"/>
      <c r="Q160" s="2">
        <v>5790</v>
      </c>
      <c r="R160" s="2">
        <v>80976</v>
      </c>
      <c r="S160" s="2">
        <v>83776</v>
      </c>
      <c r="T160" s="2">
        <v>71688</v>
      </c>
      <c r="U160" s="2">
        <v>0</v>
      </c>
      <c r="V160" s="2"/>
      <c r="W160" s="2">
        <v>70702</v>
      </c>
      <c r="X160" s="2">
        <v>57398</v>
      </c>
      <c r="Y160" s="2">
        <v>0</v>
      </c>
      <c r="Z160" s="2">
        <v>0</v>
      </c>
      <c r="AA160" s="2">
        <v>0</v>
      </c>
      <c r="AB160" s="2"/>
      <c r="AC160" s="2">
        <v>11781</v>
      </c>
      <c r="AD160" s="2">
        <v>10993</v>
      </c>
      <c r="AE160" s="2">
        <v>10993</v>
      </c>
      <c r="AF160" s="2">
        <v>0</v>
      </c>
      <c r="AG160" s="2">
        <v>0</v>
      </c>
      <c r="AH160" s="2"/>
      <c r="AI160" s="2">
        <v>-8613</v>
      </c>
      <c r="AJ160" s="2">
        <v>-8612</v>
      </c>
      <c r="AK160" s="2">
        <v>-4886</v>
      </c>
      <c r="AL160" s="2">
        <v>0</v>
      </c>
      <c r="AM160" s="2">
        <v>-8612</v>
      </c>
    </row>
    <row r="161" spans="1:39">
      <c r="A161" s="349">
        <v>91213</v>
      </c>
      <c r="B161" s="342" t="s">
        <v>849</v>
      </c>
      <c r="C161" s="358">
        <v>2.9E-5</v>
      </c>
      <c r="E161" s="2">
        <v>7916</v>
      </c>
      <c r="F161" s="2">
        <v>12323</v>
      </c>
      <c r="G161" s="2">
        <v>8307</v>
      </c>
      <c r="H161" s="2">
        <v>4316</v>
      </c>
      <c r="I161" s="2">
        <v>0</v>
      </c>
      <c r="J161" s="2"/>
      <c r="K161" s="2">
        <v>5377</v>
      </c>
      <c r="L161" s="2">
        <v>4953</v>
      </c>
      <c r="M161" s="2">
        <v>2757</v>
      </c>
      <c r="N161" s="2">
        <v>0</v>
      </c>
      <c r="O161" s="2">
        <v>0</v>
      </c>
      <c r="P161" s="2"/>
      <c r="Q161" s="2">
        <v>349</v>
      </c>
      <c r="R161" s="2">
        <v>4875</v>
      </c>
      <c r="S161" s="2">
        <v>5044</v>
      </c>
      <c r="T161" s="2">
        <v>4316</v>
      </c>
      <c r="U161" s="2">
        <v>0</v>
      </c>
      <c r="V161" s="2"/>
      <c r="W161" s="2">
        <v>4257</v>
      </c>
      <c r="X161" s="2">
        <v>3456</v>
      </c>
      <c r="Y161" s="2">
        <v>0</v>
      </c>
      <c r="Z161" s="2">
        <v>0</v>
      </c>
      <c r="AA161" s="2">
        <v>0</v>
      </c>
      <c r="AB161" s="2"/>
      <c r="AC161" s="2">
        <v>645</v>
      </c>
      <c r="AD161" s="2">
        <v>645</v>
      </c>
      <c r="AE161" s="2">
        <v>647</v>
      </c>
      <c r="AF161" s="2">
        <v>0</v>
      </c>
      <c r="AG161" s="2">
        <v>0</v>
      </c>
      <c r="AH161" s="2"/>
      <c r="AI161" s="2">
        <v>-2712</v>
      </c>
      <c r="AJ161" s="2">
        <v>-1606</v>
      </c>
      <c r="AK161" s="2">
        <v>-141</v>
      </c>
      <c r="AL161" s="2">
        <v>0</v>
      </c>
      <c r="AM161" s="2">
        <v>-1606</v>
      </c>
    </row>
    <row r="162" spans="1:39">
      <c r="A162" s="349">
        <v>91214</v>
      </c>
      <c r="B162" s="342" t="s">
        <v>850</v>
      </c>
      <c r="C162" s="358">
        <v>3.5899999999999998E-5</v>
      </c>
      <c r="E162" s="2">
        <v>10061</v>
      </c>
      <c r="F162" s="2">
        <v>14721</v>
      </c>
      <c r="G162" s="2">
        <v>8342</v>
      </c>
      <c r="H162" s="2">
        <v>5343</v>
      </c>
      <c r="I162" s="2">
        <v>0</v>
      </c>
      <c r="J162" s="2"/>
      <c r="K162" s="2">
        <v>6656</v>
      </c>
      <c r="L162" s="2">
        <v>6132</v>
      </c>
      <c r="M162" s="2">
        <v>3413</v>
      </c>
      <c r="N162" s="2">
        <v>0</v>
      </c>
      <c r="O162" s="2">
        <v>0</v>
      </c>
      <c r="P162" s="2"/>
      <c r="Q162" s="2">
        <v>431</v>
      </c>
      <c r="R162" s="2">
        <v>6035</v>
      </c>
      <c r="S162" s="2">
        <v>6244</v>
      </c>
      <c r="T162" s="2">
        <v>5343</v>
      </c>
      <c r="U162" s="2">
        <v>0</v>
      </c>
      <c r="V162" s="2"/>
      <c r="W162" s="2">
        <v>5269</v>
      </c>
      <c r="X162" s="2">
        <v>4278</v>
      </c>
      <c r="Y162" s="2">
        <v>0</v>
      </c>
      <c r="Z162" s="2">
        <v>0</v>
      </c>
      <c r="AA162" s="2">
        <v>0</v>
      </c>
      <c r="AB162" s="2"/>
      <c r="AC162" s="2">
        <v>154</v>
      </c>
      <c r="AD162" s="2">
        <v>154</v>
      </c>
      <c r="AE162" s="2">
        <v>154</v>
      </c>
      <c r="AF162" s="2">
        <v>0</v>
      </c>
      <c r="AG162" s="2">
        <v>0</v>
      </c>
      <c r="AH162" s="2"/>
      <c r="AI162" s="2">
        <v>-2449</v>
      </c>
      <c r="AJ162" s="2">
        <v>-1878</v>
      </c>
      <c r="AK162" s="2">
        <v>-1469</v>
      </c>
      <c r="AL162" s="2">
        <v>0</v>
      </c>
      <c r="AM162" s="2">
        <v>-1878</v>
      </c>
    </row>
    <row r="163" spans="1:39">
      <c r="A163" s="349">
        <v>91217</v>
      </c>
      <c r="B163" s="342" t="s">
        <v>851</v>
      </c>
      <c r="C163" s="358">
        <v>2.12E-5</v>
      </c>
      <c r="E163" s="2">
        <v>11565</v>
      </c>
      <c r="F163" s="2">
        <v>13280</v>
      </c>
      <c r="G163" s="2">
        <v>10080</v>
      </c>
      <c r="H163" s="2">
        <v>3155</v>
      </c>
      <c r="I163" s="2">
        <v>0</v>
      </c>
      <c r="J163" s="2"/>
      <c r="K163" s="2">
        <v>3931</v>
      </c>
      <c r="L163" s="2">
        <v>3621</v>
      </c>
      <c r="M163" s="2">
        <v>2015</v>
      </c>
      <c r="N163" s="2">
        <v>0</v>
      </c>
      <c r="O163" s="2">
        <v>0</v>
      </c>
      <c r="P163" s="2"/>
      <c r="Q163" s="2">
        <v>255</v>
      </c>
      <c r="R163" s="2">
        <v>3564</v>
      </c>
      <c r="S163" s="2">
        <v>3687</v>
      </c>
      <c r="T163" s="2">
        <v>3155</v>
      </c>
      <c r="U163" s="2">
        <v>0</v>
      </c>
      <c r="V163" s="2"/>
      <c r="W163" s="2">
        <v>3112</v>
      </c>
      <c r="X163" s="2">
        <v>2526</v>
      </c>
      <c r="Y163" s="2">
        <v>0</v>
      </c>
      <c r="Z163" s="2">
        <v>0</v>
      </c>
      <c r="AA163" s="2">
        <v>0</v>
      </c>
      <c r="AB163" s="2"/>
      <c r="AC163" s="2">
        <v>5077</v>
      </c>
      <c r="AD163" s="2">
        <v>4381</v>
      </c>
      <c r="AE163" s="2">
        <v>4378</v>
      </c>
      <c r="AF163" s="2">
        <v>0</v>
      </c>
      <c r="AG163" s="2">
        <v>0</v>
      </c>
      <c r="AH163" s="2"/>
      <c r="AI163" s="2">
        <v>-810</v>
      </c>
      <c r="AJ163" s="2">
        <v>-812</v>
      </c>
      <c r="AK163" s="2">
        <v>0</v>
      </c>
      <c r="AL163" s="2">
        <v>0</v>
      </c>
      <c r="AM163" s="2">
        <v>-812</v>
      </c>
    </row>
    <row r="164" spans="1:39">
      <c r="A164" s="349">
        <v>91221</v>
      </c>
      <c r="B164" s="342" t="s">
        <v>852</v>
      </c>
      <c r="C164" s="358">
        <v>1.037E-4</v>
      </c>
      <c r="E164" s="2">
        <v>29307</v>
      </c>
      <c r="F164" s="2">
        <v>40784</v>
      </c>
      <c r="G164" s="2">
        <v>23559</v>
      </c>
      <c r="H164" s="2">
        <v>15433</v>
      </c>
      <c r="I164" s="2">
        <v>0</v>
      </c>
      <c r="J164" s="2"/>
      <c r="K164" s="2">
        <v>19227</v>
      </c>
      <c r="L164" s="2">
        <v>17711</v>
      </c>
      <c r="M164" s="2">
        <v>9858</v>
      </c>
      <c r="N164" s="2">
        <v>0</v>
      </c>
      <c r="O164" s="2">
        <v>0</v>
      </c>
      <c r="P164" s="2"/>
      <c r="Q164" s="2">
        <v>1246</v>
      </c>
      <c r="R164" s="2">
        <v>17432</v>
      </c>
      <c r="S164" s="2">
        <v>18035</v>
      </c>
      <c r="T164" s="2">
        <v>15433</v>
      </c>
      <c r="U164" s="2">
        <v>0</v>
      </c>
      <c r="V164" s="2"/>
      <c r="W164" s="2">
        <v>15221</v>
      </c>
      <c r="X164" s="2">
        <v>12357</v>
      </c>
      <c r="Y164" s="2">
        <v>0</v>
      </c>
      <c r="Z164" s="2">
        <v>0</v>
      </c>
      <c r="AA164" s="2">
        <v>0</v>
      </c>
      <c r="AB164" s="2"/>
      <c r="AC164" s="2">
        <v>327</v>
      </c>
      <c r="AD164" s="2">
        <v>0</v>
      </c>
      <c r="AE164" s="2">
        <v>0</v>
      </c>
      <c r="AF164" s="2">
        <v>0</v>
      </c>
      <c r="AG164" s="2">
        <v>0</v>
      </c>
      <c r="AH164" s="2"/>
      <c r="AI164" s="2">
        <v>-6714</v>
      </c>
      <c r="AJ164" s="2">
        <v>-6716</v>
      </c>
      <c r="AK164" s="2">
        <v>-4334</v>
      </c>
      <c r="AL164" s="2">
        <v>0</v>
      </c>
      <c r="AM164" s="2">
        <v>-6716</v>
      </c>
    </row>
    <row r="165" spans="1:39">
      <c r="A165" s="349">
        <v>91231</v>
      </c>
      <c r="B165" s="342" t="s">
        <v>853</v>
      </c>
      <c r="C165" s="358">
        <v>1.9138E-3</v>
      </c>
      <c r="E165" s="2">
        <v>658299</v>
      </c>
      <c r="F165" s="2">
        <v>894182</v>
      </c>
      <c r="G165" s="2">
        <v>537940</v>
      </c>
      <c r="H165" s="2">
        <v>284816</v>
      </c>
      <c r="I165" s="2">
        <v>0</v>
      </c>
      <c r="J165" s="2"/>
      <c r="K165" s="2">
        <v>354836</v>
      </c>
      <c r="L165" s="2">
        <v>326866</v>
      </c>
      <c r="M165" s="2">
        <v>181922</v>
      </c>
      <c r="N165" s="2">
        <v>0</v>
      </c>
      <c r="O165" s="2">
        <v>0</v>
      </c>
      <c r="P165" s="2"/>
      <c r="Q165" s="2">
        <v>23002</v>
      </c>
      <c r="R165" s="2">
        <v>321719</v>
      </c>
      <c r="S165" s="2">
        <v>332844</v>
      </c>
      <c r="T165" s="2">
        <v>284816</v>
      </c>
      <c r="U165" s="2">
        <v>0</v>
      </c>
      <c r="V165" s="2"/>
      <c r="W165" s="2">
        <v>280900</v>
      </c>
      <c r="X165" s="2">
        <v>228043</v>
      </c>
      <c r="Y165" s="2">
        <v>0</v>
      </c>
      <c r="Z165" s="2">
        <v>0</v>
      </c>
      <c r="AA165" s="2">
        <v>0</v>
      </c>
      <c r="AB165" s="2"/>
      <c r="AC165" s="2">
        <v>23177</v>
      </c>
      <c r="AD165" s="2">
        <v>23177</v>
      </c>
      <c r="AE165" s="2">
        <v>23174</v>
      </c>
      <c r="AF165" s="2">
        <v>0</v>
      </c>
      <c r="AG165" s="2">
        <v>0</v>
      </c>
      <c r="AH165" s="2"/>
      <c r="AI165" s="2">
        <v>-23616</v>
      </c>
      <c r="AJ165" s="2">
        <v>-5623</v>
      </c>
      <c r="AK165" s="2">
        <v>0</v>
      </c>
      <c r="AL165" s="2">
        <v>0</v>
      </c>
      <c r="AM165" s="2">
        <v>-5623</v>
      </c>
    </row>
    <row r="166" spans="1:39">
      <c r="A166" s="349">
        <v>91233</v>
      </c>
      <c r="B166" s="342" t="s">
        <v>854</v>
      </c>
      <c r="C166" s="358">
        <v>6.7899999999999997E-5</v>
      </c>
      <c r="E166" s="2">
        <v>25256</v>
      </c>
      <c r="F166" s="2">
        <v>31859</v>
      </c>
      <c r="G166" s="2">
        <v>20602</v>
      </c>
      <c r="H166" s="2">
        <v>10105</v>
      </c>
      <c r="I166" s="2">
        <v>0</v>
      </c>
      <c r="J166" s="2"/>
      <c r="K166" s="2">
        <v>12589</v>
      </c>
      <c r="L166" s="2">
        <v>11597</v>
      </c>
      <c r="M166" s="2">
        <v>6454</v>
      </c>
      <c r="N166" s="2">
        <v>0</v>
      </c>
      <c r="O166" s="2">
        <v>0</v>
      </c>
      <c r="P166" s="2"/>
      <c r="Q166" s="2">
        <v>816</v>
      </c>
      <c r="R166" s="2">
        <v>11414</v>
      </c>
      <c r="S166" s="2">
        <v>11809</v>
      </c>
      <c r="T166" s="2">
        <v>10105</v>
      </c>
      <c r="U166" s="2">
        <v>0</v>
      </c>
      <c r="V166" s="2"/>
      <c r="W166" s="2">
        <v>9966</v>
      </c>
      <c r="X166" s="2">
        <v>8091</v>
      </c>
      <c r="Y166" s="2">
        <v>0</v>
      </c>
      <c r="Z166" s="2">
        <v>0</v>
      </c>
      <c r="AA166" s="2">
        <v>0</v>
      </c>
      <c r="AB166" s="2"/>
      <c r="AC166" s="2">
        <v>3467</v>
      </c>
      <c r="AD166" s="2">
        <v>2340</v>
      </c>
      <c r="AE166" s="2">
        <v>2339</v>
      </c>
      <c r="AF166" s="2">
        <v>0</v>
      </c>
      <c r="AG166" s="2">
        <v>0</v>
      </c>
      <c r="AH166" s="2"/>
      <c r="AI166" s="2">
        <v>-1582</v>
      </c>
      <c r="AJ166" s="2">
        <v>-1583</v>
      </c>
      <c r="AK166" s="2">
        <v>0</v>
      </c>
      <c r="AL166" s="2">
        <v>0</v>
      </c>
      <c r="AM166" s="2">
        <v>-1583</v>
      </c>
    </row>
    <row r="167" spans="1:39">
      <c r="A167" s="349">
        <v>91241</v>
      </c>
      <c r="B167" s="342" t="s">
        <v>855</v>
      </c>
      <c r="C167" s="358">
        <v>3.18E-5</v>
      </c>
      <c r="E167" s="2">
        <v>5504</v>
      </c>
      <c r="F167" s="2">
        <v>9161</v>
      </c>
      <c r="G167" s="2">
        <v>206</v>
      </c>
      <c r="H167" s="2">
        <v>4733</v>
      </c>
      <c r="I167" s="2">
        <v>0</v>
      </c>
      <c r="J167" s="2"/>
      <c r="K167" s="2">
        <v>5896</v>
      </c>
      <c r="L167" s="2">
        <v>5431</v>
      </c>
      <c r="M167" s="2">
        <v>3023</v>
      </c>
      <c r="N167" s="2">
        <v>0</v>
      </c>
      <c r="O167" s="2">
        <v>0</v>
      </c>
      <c r="P167" s="2"/>
      <c r="Q167" s="2">
        <v>382</v>
      </c>
      <c r="R167" s="2">
        <v>5346</v>
      </c>
      <c r="S167" s="2">
        <v>5531</v>
      </c>
      <c r="T167" s="2">
        <v>4733</v>
      </c>
      <c r="U167" s="2">
        <v>0</v>
      </c>
      <c r="V167" s="2"/>
      <c r="W167" s="2">
        <v>4667</v>
      </c>
      <c r="X167" s="2">
        <v>3789</v>
      </c>
      <c r="Y167" s="2">
        <v>0</v>
      </c>
      <c r="Z167" s="2">
        <v>0</v>
      </c>
      <c r="AA167" s="2">
        <v>0</v>
      </c>
      <c r="AB167" s="2"/>
      <c r="AC167" s="2">
        <v>3420</v>
      </c>
      <c r="AD167" s="2">
        <v>3421</v>
      </c>
      <c r="AE167" s="2">
        <v>478</v>
      </c>
      <c r="AF167" s="2">
        <v>0</v>
      </c>
      <c r="AG167" s="2">
        <v>0</v>
      </c>
      <c r="AH167" s="2"/>
      <c r="AI167" s="2">
        <v>-8861</v>
      </c>
      <c r="AJ167" s="2">
        <v>-8826</v>
      </c>
      <c r="AK167" s="2">
        <v>-8826</v>
      </c>
      <c r="AL167" s="2">
        <v>0</v>
      </c>
      <c r="AM167" s="2">
        <v>-8826</v>
      </c>
    </row>
    <row r="168" spans="1:39">
      <c r="A168" s="349">
        <v>91251</v>
      </c>
      <c r="B168" s="342" t="s">
        <v>856</v>
      </c>
      <c r="C168" s="358">
        <v>2.6599999999999999E-5</v>
      </c>
      <c r="E168" s="2">
        <v>11073</v>
      </c>
      <c r="F168" s="2">
        <v>14764</v>
      </c>
      <c r="G168" s="2">
        <v>7468</v>
      </c>
      <c r="H168" s="2">
        <v>3959</v>
      </c>
      <c r="I168" s="2">
        <v>0</v>
      </c>
      <c r="J168" s="2"/>
      <c r="K168" s="2">
        <v>4932</v>
      </c>
      <c r="L168" s="2">
        <v>4543</v>
      </c>
      <c r="M168" s="2">
        <v>2529</v>
      </c>
      <c r="N168" s="2">
        <v>0</v>
      </c>
      <c r="O168" s="2">
        <v>0</v>
      </c>
      <c r="P168" s="2"/>
      <c r="Q168" s="2">
        <v>320</v>
      </c>
      <c r="R168" s="2">
        <v>4472</v>
      </c>
      <c r="S168" s="2">
        <v>4626</v>
      </c>
      <c r="T168" s="2">
        <v>3959</v>
      </c>
      <c r="U168" s="2">
        <v>0</v>
      </c>
      <c r="V168" s="2"/>
      <c r="W168" s="2">
        <v>3904</v>
      </c>
      <c r="X168" s="2">
        <v>3170</v>
      </c>
      <c r="Y168" s="2">
        <v>0</v>
      </c>
      <c r="Z168" s="2">
        <v>0</v>
      </c>
      <c r="AA168" s="2">
        <v>0</v>
      </c>
      <c r="AB168" s="2"/>
      <c r="AC168" s="2">
        <v>4390</v>
      </c>
      <c r="AD168" s="2">
        <v>4388</v>
      </c>
      <c r="AE168" s="2">
        <v>2120</v>
      </c>
      <c r="AF168" s="2">
        <v>0</v>
      </c>
      <c r="AG168" s="2">
        <v>0</v>
      </c>
      <c r="AH168" s="2"/>
      <c r="AI168" s="2">
        <v>-2473</v>
      </c>
      <c r="AJ168" s="2">
        <v>-1809</v>
      </c>
      <c r="AK168" s="2">
        <v>-1807</v>
      </c>
      <c r="AL168" s="2">
        <v>0</v>
      </c>
      <c r="AM168" s="2">
        <v>-1809</v>
      </c>
    </row>
    <row r="169" spans="1:39">
      <c r="A169" s="349">
        <v>91261</v>
      </c>
      <c r="B169" s="342" t="s">
        <v>857</v>
      </c>
      <c r="C169" s="358">
        <v>9.7999999999999993E-6</v>
      </c>
      <c r="E169" s="2">
        <v>2760</v>
      </c>
      <c r="F169" s="2">
        <v>3753</v>
      </c>
      <c r="G169" s="2">
        <v>1898</v>
      </c>
      <c r="H169" s="2">
        <v>1458</v>
      </c>
      <c r="I169" s="2">
        <v>0</v>
      </c>
      <c r="J169" s="2"/>
      <c r="K169" s="2">
        <v>1817</v>
      </c>
      <c r="L169" s="2">
        <v>1674</v>
      </c>
      <c r="M169" s="2">
        <v>932</v>
      </c>
      <c r="N169" s="2">
        <v>0</v>
      </c>
      <c r="O169" s="2">
        <v>0</v>
      </c>
      <c r="P169" s="2"/>
      <c r="Q169" s="2">
        <v>118</v>
      </c>
      <c r="R169" s="2">
        <v>1647</v>
      </c>
      <c r="S169" s="2">
        <v>1704</v>
      </c>
      <c r="T169" s="2">
        <v>1458</v>
      </c>
      <c r="U169" s="2">
        <v>0</v>
      </c>
      <c r="V169" s="2"/>
      <c r="W169" s="2">
        <v>1438</v>
      </c>
      <c r="X169" s="2">
        <v>1168</v>
      </c>
      <c r="Y169" s="2">
        <v>0</v>
      </c>
      <c r="Z169" s="2">
        <v>0</v>
      </c>
      <c r="AA169" s="2">
        <v>0</v>
      </c>
      <c r="AB169" s="2"/>
      <c r="AC169" s="2">
        <v>123</v>
      </c>
      <c r="AD169" s="2">
        <v>0</v>
      </c>
      <c r="AE169" s="2">
        <v>0</v>
      </c>
      <c r="AF169" s="2">
        <v>0</v>
      </c>
      <c r="AG169" s="2">
        <v>0</v>
      </c>
      <c r="AH169" s="2"/>
      <c r="AI169" s="2">
        <v>-736</v>
      </c>
      <c r="AJ169" s="2">
        <v>-736</v>
      </c>
      <c r="AK169" s="2">
        <v>-738</v>
      </c>
      <c r="AL169" s="2">
        <v>0</v>
      </c>
      <c r="AM169" s="2">
        <v>-736</v>
      </c>
    </row>
    <row r="170" spans="1:39">
      <c r="A170" s="349">
        <v>91301</v>
      </c>
      <c r="B170" s="342" t="s">
        <v>858</v>
      </c>
      <c r="C170" s="358">
        <v>8.2746E-3</v>
      </c>
      <c r="E170" s="2">
        <v>2911797</v>
      </c>
      <c r="F170" s="2">
        <v>3888077</v>
      </c>
      <c r="G170" s="2">
        <v>2343469</v>
      </c>
      <c r="H170" s="2">
        <v>1231443</v>
      </c>
      <c r="I170" s="2">
        <v>0</v>
      </c>
      <c r="J170" s="2"/>
      <c r="K170" s="2">
        <v>1534185</v>
      </c>
      <c r="L170" s="2">
        <v>1413252</v>
      </c>
      <c r="M170" s="2">
        <v>786567</v>
      </c>
      <c r="N170" s="2">
        <v>0</v>
      </c>
      <c r="O170" s="2">
        <v>0</v>
      </c>
      <c r="P170" s="2"/>
      <c r="Q170" s="2">
        <v>99452</v>
      </c>
      <c r="R170" s="2">
        <v>1391002</v>
      </c>
      <c r="S170" s="2">
        <v>1439102</v>
      </c>
      <c r="T170" s="2">
        <v>1231443</v>
      </c>
      <c r="U170" s="2">
        <v>0</v>
      </c>
      <c r="V170" s="2"/>
      <c r="W170" s="2">
        <v>1214513</v>
      </c>
      <c r="X170" s="2">
        <v>985977</v>
      </c>
      <c r="Y170" s="2">
        <v>0</v>
      </c>
      <c r="Z170" s="2">
        <v>0</v>
      </c>
      <c r="AA170" s="2">
        <v>0</v>
      </c>
      <c r="AB170" s="2"/>
      <c r="AC170" s="2">
        <v>117799</v>
      </c>
      <c r="AD170" s="2">
        <v>117799</v>
      </c>
      <c r="AE170" s="2">
        <v>117800</v>
      </c>
      <c r="AF170" s="2">
        <v>0</v>
      </c>
      <c r="AG170" s="2">
        <v>0</v>
      </c>
      <c r="AH170" s="2"/>
      <c r="AI170" s="2">
        <v>-54152</v>
      </c>
      <c r="AJ170" s="2">
        <v>-19953</v>
      </c>
      <c r="AK170" s="2">
        <v>0</v>
      </c>
      <c r="AL170" s="2">
        <v>0</v>
      </c>
      <c r="AM170" s="2">
        <v>-19953</v>
      </c>
    </row>
    <row r="171" spans="1:39">
      <c r="A171" s="349">
        <v>91302</v>
      </c>
      <c r="B171" s="342" t="s">
        <v>3652</v>
      </c>
      <c r="C171" s="358">
        <v>5.0199999999999995E-4</v>
      </c>
      <c r="E171" s="2">
        <v>143897</v>
      </c>
      <c r="F171" s="2">
        <v>202718</v>
      </c>
      <c r="G171" s="2">
        <v>120351</v>
      </c>
      <c r="H171" s="2">
        <v>74709</v>
      </c>
      <c r="I171" s="2">
        <v>0</v>
      </c>
      <c r="J171" s="2"/>
      <c r="K171" s="2">
        <v>93075</v>
      </c>
      <c r="L171" s="2">
        <v>85739</v>
      </c>
      <c r="M171" s="2">
        <v>47719</v>
      </c>
      <c r="N171" s="2">
        <v>0</v>
      </c>
      <c r="O171" s="2">
        <v>0</v>
      </c>
      <c r="P171" s="2"/>
      <c r="Q171" s="2">
        <v>6034</v>
      </c>
      <c r="R171" s="2">
        <v>84389</v>
      </c>
      <c r="S171" s="2">
        <v>87307</v>
      </c>
      <c r="T171" s="2">
        <v>74709</v>
      </c>
      <c r="U171" s="2">
        <v>0</v>
      </c>
      <c r="V171" s="2"/>
      <c r="W171" s="2">
        <v>73682</v>
      </c>
      <c r="X171" s="2">
        <v>59817</v>
      </c>
      <c r="Y171" s="2">
        <v>0</v>
      </c>
      <c r="Z171" s="2">
        <v>0</v>
      </c>
      <c r="AA171" s="2">
        <v>0</v>
      </c>
      <c r="AB171" s="2"/>
      <c r="AC171" s="2">
        <v>0</v>
      </c>
      <c r="AD171" s="2">
        <v>0</v>
      </c>
      <c r="AE171" s="2">
        <v>0</v>
      </c>
      <c r="AF171" s="2">
        <v>0</v>
      </c>
      <c r="AG171" s="2">
        <v>0</v>
      </c>
      <c r="AH171" s="2"/>
      <c r="AI171" s="2">
        <v>-28894</v>
      </c>
      <c r="AJ171" s="2">
        <v>-27227</v>
      </c>
      <c r="AK171" s="2">
        <v>-14675</v>
      </c>
      <c r="AL171" s="2">
        <v>0</v>
      </c>
      <c r="AM171" s="2">
        <v>-27227</v>
      </c>
    </row>
    <row r="172" spans="1:39">
      <c r="A172" s="349">
        <v>91306</v>
      </c>
      <c r="B172" s="342" t="s">
        <v>2775</v>
      </c>
      <c r="C172" s="358">
        <v>1.82E-3</v>
      </c>
      <c r="E172" s="2">
        <v>655717</v>
      </c>
      <c r="F172" s="2">
        <v>864704</v>
      </c>
      <c r="G172" s="2">
        <v>482767</v>
      </c>
      <c r="H172" s="2">
        <v>270856</v>
      </c>
      <c r="I172" s="2">
        <v>0</v>
      </c>
      <c r="J172" s="2"/>
      <c r="K172" s="2">
        <v>337444</v>
      </c>
      <c r="L172" s="2">
        <v>310845</v>
      </c>
      <c r="M172" s="2">
        <v>173006</v>
      </c>
      <c r="N172" s="2">
        <v>0</v>
      </c>
      <c r="O172" s="2">
        <v>0</v>
      </c>
      <c r="P172" s="2"/>
      <c r="Q172" s="2">
        <v>21875</v>
      </c>
      <c r="R172" s="2">
        <v>305951</v>
      </c>
      <c r="S172" s="2">
        <v>316531</v>
      </c>
      <c r="T172" s="2">
        <v>270856</v>
      </c>
      <c r="U172" s="2">
        <v>0</v>
      </c>
      <c r="V172" s="2"/>
      <c r="W172" s="2">
        <v>267132</v>
      </c>
      <c r="X172" s="2">
        <v>216866</v>
      </c>
      <c r="Y172" s="2">
        <v>0</v>
      </c>
      <c r="Z172" s="2">
        <v>0</v>
      </c>
      <c r="AA172" s="2">
        <v>0</v>
      </c>
      <c r="AB172" s="2"/>
      <c r="AC172" s="2">
        <v>37811</v>
      </c>
      <c r="AD172" s="2">
        <v>37812</v>
      </c>
      <c r="AE172" s="2">
        <v>0</v>
      </c>
      <c r="AF172" s="2">
        <v>0</v>
      </c>
      <c r="AG172" s="2">
        <v>0</v>
      </c>
      <c r="AH172" s="2"/>
      <c r="AI172" s="2">
        <v>-8545</v>
      </c>
      <c r="AJ172" s="2">
        <v>-6770</v>
      </c>
      <c r="AK172" s="2">
        <v>-6770</v>
      </c>
      <c r="AL172" s="2">
        <v>0</v>
      </c>
      <c r="AM172" s="2">
        <v>-6770</v>
      </c>
    </row>
    <row r="173" spans="1:39">
      <c r="A173" s="349">
        <v>91308</v>
      </c>
      <c r="B173" s="342" t="s">
        <v>861</v>
      </c>
      <c r="C173" s="358">
        <v>1.6229999999999999E-4</v>
      </c>
      <c r="E173" s="2">
        <v>43216</v>
      </c>
      <c r="F173" s="2">
        <v>66360</v>
      </c>
      <c r="G173" s="2">
        <v>37623</v>
      </c>
      <c r="H173" s="2">
        <v>24154</v>
      </c>
      <c r="I173" s="2">
        <v>0</v>
      </c>
      <c r="J173" s="2"/>
      <c r="K173" s="2">
        <v>30092</v>
      </c>
      <c r="L173" s="2">
        <v>27720</v>
      </c>
      <c r="M173" s="2">
        <v>15428</v>
      </c>
      <c r="N173" s="2">
        <v>0</v>
      </c>
      <c r="O173" s="2">
        <v>0</v>
      </c>
      <c r="P173" s="2"/>
      <c r="Q173" s="2">
        <v>1951</v>
      </c>
      <c r="R173" s="2">
        <v>27283</v>
      </c>
      <c r="S173" s="2">
        <v>28227</v>
      </c>
      <c r="T173" s="2">
        <v>24154</v>
      </c>
      <c r="U173" s="2">
        <v>0</v>
      </c>
      <c r="V173" s="2"/>
      <c r="W173" s="2">
        <v>23822</v>
      </c>
      <c r="X173" s="2">
        <v>19339</v>
      </c>
      <c r="Y173" s="2">
        <v>0</v>
      </c>
      <c r="Z173" s="2">
        <v>0</v>
      </c>
      <c r="AA173" s="2">
        <v>0</v>
      </c>
      <c r="AB173" s="2"/>
      <c r="AC173" s="2">
        <v>0</v>
      </c>
      <c r="AD173" s="2">
        <v>0</v>
      </c>
      <c r="AE173" s="2">
        <v>0</v>
      </c>
      <c r="AF173" s="2">
        <v>0</v>
      </c>
      <c r="AG173" s="2">
        <v>0</v>
      </c>
      <c r="AH173" s="2"/>
      <c r="AI173" s="2">
        <v>-12649</v>
      </c>
      <c r="AJ173" s="2">
        <v>-7982</v>
      </c>
      <c r="AK173" s="2">
        <v>-6032</v>
      </c>
      <c r="AL173" s="2">
        <v>0</v>
      </c>
      <c r="AM173" s="2">
        <v>-7982</v>
      </c>
    </row>
    <row r="174" spans="1:39">
      <c r="A174" s="349">
        <v>91311</v>
      </c>
      <c r="B174" s="342" t="s">
        <v>862</v>
      </c>
      <c r="C174" s="358">
        <v>8.4355999999999997E-3</v>
      </c>
      <c r="E174" s="2">
        <v>3050560</v>
      </c>
      <c r="F174" s="2">
        <v>4053330</v>
      </c>
      <c r="G174" s="2">
        <v>2477627</v>
      </c>
      <c r="H174" s="2">
        <v>1255403</v>
      </c>
      <c r="I174" s="2">
        <v>0</v>
      </c>
      <c r="J174" s="2"/>
      <c r="K174" s="2">
        <v>1564036</v>
      </c>
      <c r="L174" s="2">
        <v>1440750</v>
      </c>
      <c r="M174" s="2">
        <v>801871</v>
      </c>
      <c r="N174" s="2">
        <v>0</v>
      </c>
      <c r="O174" s="2">
        <v>0</v>
      </c>
      <c r="P174" s="2"/>
      <c r="Q174" s="2">
        <v>101387</v>
      </c>
      <c r="R174" s="2">
        <v>1418067</v>
      </c>
      <c r="S174" s="2">
        <v>1467103</v>
      </c>
      <c r="T174" s="2">
        <v>1255403</v>
      </c>
      <c r="U174" s="2">
        <v>0</v>
      </c>
      <c r="V174" s="2"/>
      <c r="W174" s="2">
        <v>1238144</v>
      </c>
      <c r="X174" s="2">
        <v>1005161</v>
      </c>
      <c r="Y174" s="2">
        <v>0</v>
      </c>
      <c r="Z174" s="2">
        <v>0</v>
      </c>
      <c r="AA174" s="2">
        <v>0</v>
      </c>
      <c r="AB174" s="2"/>
      <c r="AC174" s="2">
        <v>208655</v>
      </c>
      <c r="AD174" s="2">
        <v>208655</v>
      </c>
      <c r="AE174" s="2">
        <v>208653</v>
      </c>
      <c r="AF174" s="2">
        <v>0</v>
      </c>
      <c r="AG174" s="2">
        <v>0</v>
      </c>
      <c r="AH174" s="2"/>
      <c r="AI174" s="2">
        <v>-61662</v>
      </c>
      <c r="AJ174" s="2">
        <v>-19303</v>
      </c>
      <c r="AK174" s="2">
        <v>0</v>
      </c>
      <c r="AL174" s="2">
        <v>0</v>
      </c>
      <c r="AM174" s="2">
        <v>-19303</v>
      </c>
    </row>
    <row r="175" spans="1:39">
      <c r="A175" s="349">
        <v>91317</v>
      </c>
      <c r="B175" s="342" t="s">
        <v>863</v>
      </c>
      <c r="C175" s="358">
        <v>1.27E-4</v>
      </c>
      <c r="E175" s="2">
        <v>64426</v>
      </c>
      <c r="F175" s="2">
        <v>76182</v>
      </c>
      <c r="G175" s="2">
        <v>51157</v>
      </c>
      <c r="H175" s="2">
        <v>18900</v>
      </c>
      <c r="I175" s="2">
        <v>0</v>
      </c>
      <c r="J175" s="2"/>
      <c r="K175" s="2">
        <v>23547</v>
      </c>
      <c r="L175" s="2">
        <v>21691</v>
      </c>
      <c r="M175" s="2">
        <v>12072</v>
      </c>
      <c r="N175" s="2">
        <v>0</v>
      </c>
      <c r="O175" s="2">
        <v>0</v>
      </c>
      <c r="P175" s="2"/>
      <c r="Q175" s="2">
        <v>1526</v>
      </c>
      <c r="R175" s="2">
        <v>21349</v>
      </c>
      <c r="S175" s="2">
        <v>22088</v>
      </c>
      <c r="T175" s="2">
        <v>18900</v>
      </c>
      <c r="U175" s="2">
        <v>0</v>
      </c>
      <c r="V175" s="2"/>
      <c r="W175" s="2">
        <v>18641</v>
      </c>
      <c r="X175" s="2">
        <v>15133</v>
      </c>
      <c r="Y175" s="2">
        <v>0</v>
      </c>
      <c r="Z175" s="2">
        <v>0</v>
      </c>
      <c r="AA175" s="2">
        <v>0</v>
      </c>
      <c r="AB175" s="2"/>
      <c r="AC175" s="2">
        <v>20712</v>
      </c>
      <c r="AD175" s="2">
        <v>18009</v>
      </c>
      <c r="AE175" s="2">
        <v>16997</v>
      </c>
      <c r="AF175" s="2">
        <v>0</v>
      </c>
      <c r="AG175" s="2">
        <v>0</v>
      </c>
      <c r="AH175" s="2"/>
      <c r="AI175" s="2">
        <v>0</v>
      </c>
      <c r="AJ175" s="2">
        <v>0</v>
      </c>
      <c r="AK175" s="2">
        <v>0</v>
      </c>
      <c r="AL175" s="2">
        <v>0</v>
      </c>
      <c r="AM175" s="2">
        <v>0</v>
      </c>
    </row>
    <row r="176" spans="1:39">
      <c r="A176" s="349">
        <v>91321</v>
      </c>
      <c r="B176" s="342" t="s">
        <v>864</v>
      </c>
      <c r="C176" s="358">
        <v>6.9300000000000004E-5</v>
      </c>
      <c r="E176" s="2">
        <v>44411</v>
      </c>
      <c r="F176" s="2">
        <v>48655</v>
      </c>
      <c r="G176" s="2">
        <v>30200</v>
      </c>
      <c r="H176" s="2">
        <v>10313</v>
      </c>
      <c r="I176" s="2">
        <v>0</v>
      </c>
      <c r="J176" s="2"/>
      <c r="K176" s="2">
        <v>12849</v>
      </c>
      <c r="L176" s="2">
        <v>11836</v>
      </c>
      <c r="M176" s="2">
        <v>6588</v>
      </c>
      <c r="N176" s="2">
        <v>0</v>
      </c>
      <c r="O176" s="2">
        <v>0</v>
      </c>
      <c r="P176" s="2"/>
      <c r="Q176" s="2">
        <v>833</v>
      </c>
      <c r="R176" s="2">
        <v>11650</v>
      </c>
      <c r="S176" s="2">
        <v>12053</v>
      </c>
      <c r="T176" s="2">
        <v>10313</v>
      </c>
      <c r="U176" s="2">
        <v>0</v>
      </c>
      <c r="V176" s="2"/>
      <c r="W176" s="2">
        <v>10172</v>
      </c>
      <c r="X176" s="2">
        <v>8258</v>
      </c>
      <c r="Y176" s="2">
        <v>0</v>
      </c>
      <c r="Z176" s="2">
        <v>0</v>
      </c>
      <c r="AA176" s="2">
        <v>0</v>
      </c>
      <c r="AB176" s="2"/>
      <c r="AC176" s="2">
        <v>20557</v>
      </c>
      <c r="AD176" s="2">
        <v>16911</v>
      </c>
      <c r="AE176" s="2">
        <v>11559</v>
      </c>
      <c r="AF176" s="2">
        <v>0</v>
      </c>
      <c r="AG176" s="2">
        <v>0</v>
      </c>
      <c r="AH176" s="2"/>
      <c r="AI176" s="2">
        <v>0</v>
      </c>
      <c r="AJ176" s="2">
        <v>0</v>
      </c>
      <c r="AK176" s="2">
        <v>0</v>
      </c>
      <c r="AL176" s="2">
        <v>0</v>
      </c>
      <c r="AM176" s="2">
        <v>0</v>
      </c>
    </row>
    <row r="177" spans="1:39">
      <c r="A177" s="349">
        <v>91327</v>
      </c>
      <c r="B177" s="342" t="s">
        <v>3499</v>
      </c>
      <c r="C177" s="358"/>
      <c r="E177" s="2">
        <v>-3648</v>
      </c>
      <c r="F177" s="2">
        <v>-3445</v>
      </c>
      <c r="G177" s="2">
        <v>-3573</v>
      </c>
      <c r="H177" s="2">
        <v>0</v>
      </c>
      <c r="I177" s="2">
        <v>0</v>
      </c>
      <c r="J177" s="2"/>
      <c r="K177" s="2">
        <v>0</v>
      </c>
      <c r="L177" s="2">
        <v>0</v>
      </c>
      <c r="M177" s="2">
        <v>0</v>
      </c>
      <c r="N177" s="2">
        <v>0</v>
      </c>
      <c r="O177" s="2">
        <v>0</v>
      </c>
      <c r="P177" s="2"/>
      <c r="Q177" s="2">
        <v>0</v>
      </c>
      <c r="R177" s="2">
        <v>0</v>
      </c>
      <c r="S177" s="2">
        <v>0</v>
      </c>
      <c r="T177" s="2">
        <v>0</v>
      </c>
      <c r="U177" s="2">
        <v>0</v>
      </c>
      <c r="V177" s="2"/>
      <c r="W177" s="2">
        <v>0</v>
      </c>
      <c r="X177" s="2">
        <v>0</v>
      </c>
      <c r="Y177" s="2">
        <v>0</v>
      </c>
      <c r="Z177" s="2">
        <v>0</v>
      </c>
      <c r="AA177" s="2">
        <v>0</v>
      </c>
      <c r="AB177" s="2"/>
      <c r="AC177" s="2">
        <v>823</v>
      </c>
      <c r="AD177" s="2">
        <v>821</v>
      </c>
      <c r="AE177" s="2">
        <v>693</v>
      </c>
      <c r="AF177" s="2">
        <v>0</v>
      </c>
      <c r="AG177" s="2">
        <v>0</v>
      </c>
      <c r="AH177" s="2"/>
      <c r="AI177" s="2">
        <v>-4471</v>
      </c>
      <c r="AJ177" s="2">
        <v>-4266</v>
      </c>
      <c r="AK177" s="2">
        <v>-4266</v>
      </c>
      <c r="AL177" s="2">
        <v>0</v>
      </c>
      <c r="AM177" s="2">
        <v>-4266</v>
      </c>
    </row>
    <row r="178" spans="1:39">
      <c r="A178" s="349">
        <v>91331</v>
      </c>
      <c r="B178" s="342" t="s">
        <v>866</v>
      </c>
      <c r="C178" s="358">
        <v>3.0620999999999999E-3</v>
      </c>
      <c r="E178" s="2">
        <v>986889</v>
      </c>
      <c r="F178" s="2">
        <v>1347563</v>
      </c>
      <c r="G178" s="2">
        <v>804052</v>
      </c>
      <c r="H178" s="2">
        <v>455708</v>
      </c>
      <c r="I178" s="2">
        <v>0</v>
      </c>
      <c r="J178" s="2"/>
      <c r="K178" s="2">
        <v>567741</v>
      </c>
      <c r="L178" s="2">
        <v>522988</v>
      </c>
      <c r="M178" s="2">
        <v>291077</v>
      </c>
      <c r="N178" s="2">
        <v>0</v>
      </c>
      <c r="O178" s="2">
        <v>0</v>
      </c>
      <c r="P178" s="2"/>
      <c r="Q178" s="2">
        <v>36803</v>
      </c>
      <c r="R178" s="2">
        <v>514754</v>
      </c>
      <c r="S178" s="2">
        <v>532554</v>
      </c>
      <c r="T178" s="2">
        <v>455708</v>
      </c>
      <c r="U178" s="2">
        <v>0</v>
      </c>
      <c r="V178" s="2"/>
      <c r="W178" s="2">
        <v>449443</v>
      </c>
      <c r="X178" s="2">
        <v>364871</v>
      </c>
      <c r="Y178" s="2">
        <v>0</v>
      </c>
      <c r="Z178" s="2">
        <v>0</v>
      </c>
      <c r="AA178" s="2">
        <v>0</v>
      </c>
      <c r="AB178" s="2"/>
      <c r="AC178" s="2">
        <v>20880</v>
      </c>
      <c r="AD178" s="2">
        <v>20880</v>
      </c>
      <c r="AE178" s="2">
        <v>20881</v>
      </c>
      <c r="AF178" s="2">
        <v>0</v>
      </c>
      <c r="AG178" s="2">
        <v>0</v>
      </c>
      <c r="AH178" s="2"/>
      <c r="AI178" s="2">
        <v>-87978</v>
      </c>
      <c r="AJ178" s="2">
        <v>-75930</v>
      </c>
      <c r="AK178" s="2">
        <v>-40460</v>
      </c>
      <c r="AL178" s="2">
        <v>0</v>
      </c>
      <c r="AM178" s="2">
        <v>-75930</v>
      </c>
    </row>
    <row r="179" spans="1:39">
      <c r="A179" s="349">
        <v>91341</v>
      </c>
      <c r="B179" s="342" t="s">
        <v>867</v>
      </c>
      <c r="C179" s="358">
        <v>3.6900000000000002E-5</v>
      </c>
      <c r="E179" s="2">
        <v>15348</v>
      </c>
      <c r="F179" s="2">
        <v>18228</v>
      </c>
      <c r="G179" s="2">
        <v>10881</v>
      </c>
      <c r="H179" s="2">
        <v>5492</v>
      </c>
      <c r="I179" s="2">
        <v>0</v>
      </c>
      <c r="J179" s="2"/>
      <c r="K179" s="2">
        <v>6842</v>
      </c>
      <c r="L179" s="2">
        <v>6302</v>
      </c>
      <c r="M179" s="2">
        <v>3508</v>
      </c>
      <c r="N179" s="2">
        <v>0</v>
      </c>
      <c r="O179" s="2">
        <v>0</v>
      </c>
      <c r="P179" s="2"/>
      <c r="Q179" s="2">
        <v>444</v>
      </c>
      <c r="R179" s="2">
        <v>6203</v>
      </c>
      <c r="S179" s="2">
        <v>6418</v>
      </c>
      <c r="T179" s="2">
        <v>5492</v>
      </c>
      <c r="U179" s="2">
        <v>0</v>
      </c>
      <c r="V179" s="2"/>
      <c r="W179" s="2">
        <v>5416</v>
      </c>
      <c r="X179" s="2">
        <v>4397</v>
      </c>
      <c r="Y179" s="2">
        <v>0</v>
      </c>
      <c r="Z179" s="2">
        <v>0</v>
      </c>
      <c r="AA179" s="2">
        <v>0</v>
      </c>
      <c r="AB179" s="2"/>
      <c r="AC179" s="2">
        <v>3971</v>
      </c>
      <c r="AD179" s="2">
        <v>2651</v>
      </c>
      <c r="AE179" s="2">
        <v>2278</v>
      </c>
      <c r="AF179" s="2">
        <v>0</v>
      </c>
      <c r="AG179" s="2">
        <v>0</v>
      </c>
      <c r="AH179" s="2"/>
      <c r="AI179" s="2">
        <v>-1325</v>
      </c>
      <c r="AJ179" s="2">
        <v>-1325</v>
      </c>
      <c r="AK179" s="2">
        <v>-1323</v>
      </c>
      <c r="AL179" s="2">
        <v>0</v>
      </c>
      <c r="AM179" s="2">
        <v>-1325</v>
      </c>
    </row>
    <row r="180" spans="1:39">
      <c r="A180" s="349">
        <v>91401</v>
      </c>
      <c r="B180" s="342" t="s">
        <v>868</v>
      </c>
      <c r="C180" s="358">
        <v>3.7696000000000001E-3</v>
      </c>
      <c r="E180" s="2">
        <v>1372332</v>
      </c>
      <c r="F180" s="2">
        <v>1835127</v>
      </c>
      <c r="G180" s="2">
        <v>1143599</v>
      </c>
      <c r="H180" s="2">
        <v>560999</v>
      </c>
      <c r="I180" s="2">
        <v>0</v>
      </c>
      <c r="J180" s="2"/>
      <c r="K180" s="2">
        <v>698918</v>
      </c>
      <c r="L180" s="2">
        <v>643825</v>
      </c>
      <c r="M180" s="2">
        <v>358331</v>
      </c>
      <c r="N180" s="2">
        <v>0</v>
      </c>
      <c r="O180" s="2">
        <v>0</v>
      </c>
      <c r="P180" s="2"/>
      <c r="Q180" s="2">
        <v>45307</v>
      </c>
      <c r="R180" s="2">
        <v>633689</v>
      </c>
      <c r="S180" s="2">
        <v>655601</v>
      </c>
      <c r="T180" s="2">
        <v>560999</v>
      </c>
      <c r="U180" s="2">
        <v>0</v>
      </c>
      <c r="V180" s="2"/>
      <c r="W180" s="2">
        <v>553287</v>
      </c>
      <c r="X180" s="2">
        <v>449174</v>
      </c>
      <c r="Y180" s="2">
        <v>0</v>
      </c>
      <c r="Z180" s="2">
        <v>0</v>
      </c>
      <c r="AA180" s="2">
        <v>0</v>
      </c>
      <c r="AB180" s="2"/>
      <c r="AC180" s="2">
        <v>152478</v>
      </c>
      <c r="AD180" s="2">
        <v>152478</v>
      </c>
      <c r="AE180" s="2">
        <v>152476</v>
      </c>
      <c r="AF180" s="2">
        <v>0</v>
      </c>
      <c r="AG180" s="2">
        <v>0</v>
      </c>
      <c r="AH180" s="2"/>
      <c r="AI180" s="2">
        <v>-77658</v>
      </c>
      <c r="AJ180" s="2">
        <v>-44039</v>
      </c>
      <c r="AK180" s="2">
        <v>-22809</v>
      </c>
      <c r="AL180" s="2">
        <v>0</v>
      </c>
      <c r="AM180" s="2">
        <v>-44039</v>
      </c>
    </row>
    <row r="181" spans="1:39">
      <c r="A181" s="349">
        <v>91411</v>
      </c>
      <c r="B181" s="342" t="s">
        <v>869</v>
      </c>
      <c r="C181" s="358">
        <v>4.0089999999999999E-4</v>
      </c>
      <c r="E181" s="2">
        <v>142990</v>
      </c>
      <c r="F181" s="2">
        <v>185587</v>
      </c>
      <c r="G181" s="2">
        <v>109438</v>
      </c>
      <c r="H181" s="2">
        <v>59663</v>
      </c>
      <c r="I181" s="2">
        <v>0</v>
      </c>
      <c r="J181" s="2"/>
      <c r="K181" s="2">
        <v>74330</v>
      </c>
      <c r="L181" s="2">
        <v>68471</v>
      </c>
      <c r="M181" s="2">
        <v>38109</v>
      </c>
      <c r="N181" s="2">
        <v>0</v>
      </c>
      <c r="O181" s="2">
        <v>0</v>
      </c>
      <c r="P181" s="2"/>
      <c r="Q181" s="2">
        <v>4818</v>
      </c>
      <c r="R181" s="2">
        <v>67393</v>
      </c>
      <c r="S181" s="2">
        <v>69724</v>
      </c>
      <c r="T181" s="2">
        <v>59663</v>
      </c>
      <c r="U181" s="2">
        <v>0</v>
      </c>
      <c r="V181" s="2"/>
      <c r="W181" s="2">
        <v>58842</v>
      </c>
      <c r="X181" s="2">
        <v>47770</v>
      </c>
      <c r="Y181" s="2">
        <v>0</v>
      </c>
      <c r="Z181" s="2">
        <v>0</v>
      </c>
      <c r="AA181" s="2">
        <v>0</v>
      </c>
      <c r="AB181" s="2"/>
      <c r="AC181" s="2">
        <v>5000</v>
      </c>
      <c r="AD181" s="2">
        <v>1953</v>
      </c>
      <c r="AE181" s="2">
        <v>1605</v>
      </c>
      <c r="AF181" s="2">
        <v>0</v>
      </c>
      <c r="AG181" s="2">
        <v>0</v>
      </c>
      <c r="AH181" s="2"/>
      <c r="AI181" s="2">
        <v>0</v>
      </c>
      <c r="AJ181" s="2">
        <v>0</v>
      </c>
      <c r="AK181" s="2">
        <v>0</v>
      </c>
      <c r="AL181" s="2">
        <v>0</v>
      </c>
      <c r="AM181" s="2">
        <v>0</v>
      </c>
    </row>
    <row r="182" spans="1:39">
      <c r="A182" s="349">
        <v>91417</v>
      </c>
      <c r="B182" s="342" t="s">
        <v>870</v>
      </c>
      <c r="C182" s="358">
        <v>6.1E-6</v>
      </c>
      <c r="E182" s="2">
        <v>2843</v>
      </c>
      <c r="F182" s="2">
        <v>3432</v>
      </c>
      <c r="G182" s="2">
        <v>2160</v>
      </c>
      <c r="H182" s="2">
        <v>908</v>
      </c>
      <c r="I182" s="2">
        <v>0</v>
      </c>
      <c r="J182" s="2"/>
      <c r="K182" s="2">
        <v>1131</v>
      </c>
      <c r="L182" s="2">
        <v>1042</v>
      </c>
      <c r="M182" s="2">
        <v>580</v>
      </c>
      <c r="N182" s="2">
        <v>0</v>
      </c>
      <c r="O182" s="2">
        <v>0</v>
      </c>
      <c r="P182" s="2"/>
      <c r="Q182" s="2">
        <v>73</v>
      </c>
      <c r="R182" s="2">
        <v>1025</v>
      </c>
      <c r="S182" s="2">
        <v>1061</v>
      </c>
      <c r="T182" s="2">
        <v>908</v>
      </c>
      <c r="U182" s="2">
        <v>0</v>
      </c>
      <c r="V182" s="2"/>
      <c r="W182" s="2">
        <v>895</v>
      </c>
      <c r="X182" s="2">
        <v>727</v>
      </c>
      <c r="Y182" s="2">
        <v>0</v>
      </c>
      <c r="Z182" s="2">
        <v>0</v>
      </c>
      <c r="AA182" s="2">
        <v>0</v>
      </c>
      <c r="AB182" s="2"/>
      <c r="AC182" s="2">
        <v>744</v>
      </c>
      <c r="AD182" s="2">
        <v>638</v>
      </c>
      <c r="AE182" s="2">
        <v>519</v>
      </c>
      <c r="AF182" s="2">
        <v>0</v>
      </c>
      <c r="AG182" s="2">
        <v>0</v>
      </c>
      <c r="AH182" s="2"/>
      <c r="AI182" s="2">
        <v>0</v>
      </c>
      <c r="AJ182" s="2">
        <v>0</v>
      </c>
      <c r="AK182" s="2">
        <v>0</v>
      </c>
      <c r="AL182" s="2">
        <v>0</v>
      </c>
      <c r="AM182" s="2">
        <v>0</v>
      </c>
    </row>
    <row r="183" spans="1:39">
      <c r="A183" s="349">
        <v>91421</v>
      </c>
      <c r="B183" s="342" t="s">
        <v>871</v>
      </c>
      <c r="C183" s="358">
        <v>6.8300000000000007E-5</v>
      </c>
      <c r="E183" s="2">
        <v>27084</v>
      </c>
      <c r="F183" s="2">
        <v>34094</v>
      </c>
      <c r="G183" s="2">
        <v>19987</v>
      </c>
      <c r="H183" s="2">
        <v>10165</v>
      </c>
      <c r="I183" s="2">
        <v>0</v>
      </c>
      <c r="J183" s="2"/>
      <c r="K183" s="2">
        <v>12663</v>
      </c>
      <c r="L183" s="2">
        <v>11665</v>
      </c>
      <c r="M183" s="2">
        <v>6492</v>
      </c>
      <c r="N183" s="2">
        <v>0</v>
      </c>
      <c r="O183" s="2">
        <v>0</v>
      </c>
      <c r="P183" s="2"/>
      <c r="Q183" s="2">
        <v>821</v>
      </c>
      <c r="R183" s="2">
        <v>11482</v>
      </c>
      <c r="S183" s="2">
        <v>11879</v>
      </c>
      <c r="T183" s="2">
        <v>10165</v>
      </c>
      <c r="U183" s="2">
        <v>0</v>
      </c>
      <c r="V183" s="2"/>
      <c r="W183" s="2">
        <v>10025</v>
      </c>
      <c r="X183" s="2">
        <v>8138</v>
      </c>
      <c r="Y183" s="2">
        <v>0</v>
      </c>
      <c r="Z183" s="2">
        <v>0</v>
      </c>
      <c r="AA183" s="2">
        <v>0</v>
      </c>
      <c r="AB183" s="2"/>
      <c r="AC183" s="2">
        <v>3722</v>
      </c>
      <c r="AD183" s="2">
        <v>2956</v>
      </c>
      <c r="AE183" s="2">
        <v>1764</v>
      </c>
      <c r="AF183" s="2">
        <v>0</v>
      </c>
      <c r="AG183" s="2">
        <v>0</v>
      </c>
      <c r="AH183" s="2"/>
      <c r="AI183" s="2">
        <v>-147</v>
      </c>
      <c r="AJ183" s="2">
        <v>-147</v>
      </c>
      <c r="AK183" s="2">
        <v>-148</v>
      </c>
      <c r="AL183" s="2">
        <v>0</v>
      </c>
      <c r="AM183" s="2">
        <v>-147</v>
      </c>
    </row>
    <row r="184" spans="1:39">
      <c r="A184" s="349">
        <v>91423</v>
      </c>
      <c r="B184" s="342" t="s">
        <v>872</v>
      </c>
      <c r="C184" s="358">
        <v>5.6199999999999997E-5</v>
      </c>
      <c r="E184" s="2">
        <v>20268</v>
      </c>
      <c r="F184" s="2">
        <v>24953</v>
      </c>
      <c r="G184" s="2">
        <v>16038</v>
      </c>
      <c r="H184" s="2">
        <v>8364</v>
      </c>
      <c r="I184" s="2">
        <v>0</v>
      </c>
      <c r="J184" s="2"/>
      <c r="K184" s="2">
        <v>10420</v>
      </c>
      <c r="L184" s="2">
        <v>9599</v>
      </c>
      <c r="M184" s="2">
        <v>5342</v>
      </c>
      <c r="N184" s="2">
        <v>0</v>
      </c>
      <c r="O184" s="2">
        <v>0</v>
      </c>
      <c r="P184" s="2"/>
      <c r="Q184" s="2">
        <v>675</v>
      </c>
      <c r="R184" s="2">
        <v>9448</v>
      </c>
      <c r="S184" s="2">
        <v>9774</v>
      </c>
      <c r="T184" s="2">
        <v>8364</v>
      </c>
      <c r="U184" s="2">
        <v>0</v>
      </c>
      <c r="V184" s="2"/>
      <c r="W184" s="2">
        <v>8249</v>
      </c>
      <c r="X184" s="2">
        <v>6697</v>
      </c>
      <c r="Y184" s="2">
        <v>0</v>
      </c>
      <c r="Z184" s="2">
        <v>0</v>
      </c>
      <c r="AA184" s="2">
        <v>0</v>
      </c>
      <c r="AB184" s="2"/>
      <c r="AC184" s="2">
        <v>2637</v>
      </c>
      <c r="AD184" s="2">
        <v>921</v>
      </c>
      <c r="AE184" s="2">
        <v>922</v>
      </c>
      <c r="AF184" s="2">
        <v>0</v>
      </c>
      <c r="AG184" s="2">
        <v>0</v>
      </c>
      <c r="AH184" s="2"/>
      <c r="AI184" s="2">
        <v>-1713</v>
      </c>
      <c r="AJ184" s="2">
        <v>-1712</v>
      </c>
      <c r="AK184" s="2">
        <v>0</v>
      </c>
      <c r="AL184" s="2">
        <v>0</v>
      </c>
      <c r="AM184" s="2">
        <v>-1712</v>
      </c>
    </row>
    <row r="185" spans="1:39">
      <c r="A185" s="349">
        <v>91431</v>
      </c>
      <c r="B185" s="342" t="s">
        <v>873</v>
      </c>
      <c r="C185" s="358">
        <v>1.7760000000000001E-4</v>
      </c>
      <c r="E185" s="2">
        <v>71979</v>
      </c>
      <c r="F185" s="2">
        <v>88055</v>
      </c>
      <c r="G185" s="2">
        <v>51528</v>
      </c>
      <c r="H185" s="2">
        <v>26431</v>
      </c>
      <c r="I185" s="2">
        <v>0</v>
      </c>
      <c r="J185" s="2"/>
      <c r="K185" s="2">
        <v>32929</v>
      </c>
      <c r="L185" s="2">
        <v>30333</v>
      </c>
      <c r="M185" s="2">
        <v>16882</v>
      </c>
      <c r="N185" s="2">
        <v>0</v>
      </c>
      <c r="O185" s="2">
        <v>0</v>
      </c>
      <c r="P185" s="2"/>
      <c r="Q185" s="2">
        <v>2135</v>
      </c>
      <c r="R185" s="2">
        <v>29855</v>
      </c>
      <c r="S185" s="2">
        <v>30888</v>
      </c>
      <c r="T185" s="2">
        <v>26431</v>
      </c>
      <c r="U185" s="2">
        <v>0</v>
      </c>
      <c r="V185" s="2"/>
      <c r="W185" s="2">
        <v>26067</v>
      </c>
      <c r="X185" s="2">
        <v>21162</v>
      </c>
      <c r="Y185" s="2">
        <v>0</v>
      </c>
      <c r="Z185" s="2">
        <v>0</v>
      </c>
      <c r="AA185" s="2">
        <v>0</v>
      </c>
      <c r="AB185" s="2"/>
      <c r="AC185" s="2">
        <v>11590</v>
      </c>
      <c r="AD185" s="2">
        <v>7447</v>
      </c>
      <c r="AE185" s="2">
        <v>4499</v>
      </c>
      <c r="AF185" s="2">
        <v>0</v>
      </c>
      <c r="AG185" s="2">
        <v>0</v>
      </c>
      <c r="AH185" s="2"/>
      <c r="AI185" s="2">
        <v>-742</v>
      </c>
      <c r="AJ185" s="2">
        <v>-742</v>
      </c>
      <c r="AK185" s="2">
        <v>-741</v>
      </c>
      <c r="AL185" s="2">
        <v>0</v>
      </c>
      <c r="AM185" s="2">
        <v>-742</v>
      </c>
    </row>
    <row r="186" spans="1:39">
      <c r="A186" s="349">
        <v>91441</v>
      </c>
      <c r="B186" s="342" t="s">
        <v>874</v>
      </c>
      <c r="C186" s="358">
        <v>9.5500000000000001E-4</v>
      </c>
      <c r="E186" s="2">
        <v>261593</v>
      </c>
      <c r="F186" s="2">
        <v>358585</v>
      </c>
      <c r="G186" s="2">
        <v>201405</v>
      </c>
      <c r="H186" s="2">
        <v>142125</v>
      </c>
      <c r="I186" s="2">
        <v>0</v>
      </c>
      <c r="J186" s="2"/>
      <c r="K186" s="2">
        <v>177066</v>
      </c>
      <c r="L186" s="2">
        <v>163108</v>
      </c>
      <c r="M186" s="2">
        <v>90780</v>
      </c>
      <c r="N186" s="2">
        <v>0</v>
      </c>
      <c r="O186" s="2">
        <v>0</v>
      </c>
      <c r="P186" s="2"/>
      <c r="Q186" s="2">
        <v>11478</v>
      </c>
      <c r="R186" s="2">
        <v>160540</v>
      </c>
      <c r="S186" s="2">
        <v>166092</v>
      </c>
      <c r="T186" s="2">
        <v>142125</v>
      </c>
      <c r="U186" s="2">
        <v>0</v>
      </c>
      <c r="V186" s="2"/>
      <c r="W186" s="2">
        <v>140171</v>
      </c>
      <c r="X186" s="2">
        <v>113795</v>
      </c>
      <c r="Y186" s="2">
        <v>0</v>
      </c>
      <c r="Z186" s="2">
        <v>0</v>
      </c>
      <c r="AA186" s="2">
        <v>0</v>
      </c>
      <c r="AB186" s="2"/>
      <c r="AC186" s="2">
        <v>11737</v>
      </c>
      <c r="AD186" s="2">
        <v>0</v>
      </c>
      <c r="AE186" s="2">
        <v>0</v>
      </c>
      <c r="AF186" s="2">
        <v>0</v>
      </c>
      <c r="AG186" s="2">
        <v>0</v>
      </c>
      <c r="AH186" s="2"/>
      <c r="AI186" s="2">
        <v>-78859</v>
      </c>
      <c r="AJ186" s="2">
        <v>-78858</v>
      </c>
      <c r="AK186" s="2">
        <v>-55467</v>
      </c>
      <c r="AL186" s="2">
        <v>0</v>
      </c>
      <c r="AM186" s="2">
        <v>-78858</v>
      </c>
    </row>
    <row r="187" spans="1:39">
      <c r="A187" s="349">
        <v>91451</v>
      </c>
      <c r="B187" s="342" t="s">
        <v>875</v>
      </c>
      <c r="C187" s="358">
        <v>1.5448E-3</v>
      </c>
      <c r="E187" s="2">
        <v>518271</v>
      </c>
      <c r="F187" s="2">
        <v>710191</v>
      </c>
      <c r="G187" s="2">
        <v>418147</v>
      </c>
      <c r="H187" s="2">
        <v>229900</v>
      </c>
      <c r="I187" s="2">
        <v>0</v>
      </c>
      <c r="J187" s="2"/>
      <c r="K187" s="2">
        <v>286420</v>
      </c>
      <c r="L187" s="2">
        <v>263843</v>
      </c>
      <c r="M187" s="2">
        <v>146846</v>
      </c>
      <c r="N187" s="2">
        <v>0</v>
      </c>
      <c r="O187" s="2">
        <v>0</v>
      </c>
      <c r="P187" s="2"/>
      <c r="Q187" s="2">
        <v>18567</v>
      </c>
      <c r="R187" s="2">
        <v>259689</v>
      </c>
      <c r="S187" s="2">
        <v>268669</v>
      </c>
      <c r="T187" s="2">
        <v>229900</v>
      </c>
      <c r="U187" s="2">
        <v>0</v>
      </c>
      <c r="V187" s="2"/>
      <c r="W187" s="2">
        <v>226740</v>
      </c>
      <c r="X187" s="2">
        <v>184074</v>
      </c>
      <c r="Y187" s="2">
        <v>0</v>
      </c>
      <c r="Z187" s="2">
        <v>0</v>
      </c>
      <c r="AA187" s="2">
        <v>0</v>
      </c>
      <c r="AB187" s="2"/>
      <c r="AC187" s="2">
        <v>8268</v>
      </c>
      <c r="AD187" s="2">
        <v>8268</v>
      </c>
      <c r="AE187" s="2">
        <v>8270</v>
      </c>
      <c r="AF187" s="2">
        <v>0</v>
      </c>
      <c r="AG187" s="2">
        <v>0</v>
      </c>
      <c r="AH187" s="2"/>
      <c r="AI187" s="2">
        <v>-21724</v>
      </c>
      <c r="AJ187" s="2">
        <v>-5683</v>
      </c>
      <c r="AK187" s="2">
        <v>-5638</v>
      </c>
      <c r="AL187" s="2">
        <v>0</v>
      </c>
      <c r="AM187" s="2">
        <v>-5683</v>
      </c>
    </row>
    <row r="188" spans="1:39">
      <c r="A188" s="349">
        <v>91457</v>
      </c>
      <c r="B188" s="342" t="s">
        <v>3653</v>
      </c>
      <c r="C188" s="358">
        <v>1.4100000000000001E-5</v>
      </c>
      <c r="E188" s="2">
        <v>16813</v>
      </c>
      <c r="F188" s="2">
        <v>14920</v>
      </c>
      <c r="G188" s="2">
        <v>8485</v>
      </c>
      <c r="H188" s="2">
        <v>2098</v>
      </c>
      <c r="I188" s="2">
        <v>0</v>
      </c>
      <c r="J188" s="2"/>
      <c r="K188" s="2">
        <v>2614</v>
      </c>
      <c r="L188" s="2">
        <v>2408</v>
      </c>
      <c r="M188" s="2">
        <v>1340</v>
      </c>
      <c r="N188" s="2">
        <v>0</v>
      </c>
      <c r="O188" s="2">
        <v>0</v>
      </c>
      <c r="P188" s="2"/>
      <c r="Q188" s="2">
        <v>169</v>
      </c>
      <c r="R188" s="2">
        <v>2370</v>
      </c>
      <c r="S188" s="2">
        <v>2452</v>
      </c>
      <c r="T188" s="2">
        <v>2098</v>
      </c>
      <c r="U188" s="2">
        <v>0</v>
      </c>
      <c r="V188" s="2"/>
      <c r="W188" s="2">
        <v>2070</v>
      </c>
      <c r="X188" s="2">
        <v>1680</v>
      </c>
      <c r="Y188" s="2">
        <v>0</v>
      </c>
      <c r="Z188" s="2">
        <v>0</v>
      </c>
      <c r="AA188" s="2">
        <v>0</v>
      </c>
      <c r="AB188" s="2"/>
      <c r="AC188" s="2">
        <v>11960</v>
      </c>
      <c r="AD188" s="2">
        <v>8462</v>
      </c>
      <c r="AE188" s="2">
        <v>4693</v>
      </c>
      <c r="AF188" s="2">
        <v>0</v>
      </c>
      <c r="AG188" s="2">
        <v>0</v>
      </c>
      <c r="AH188" s="2"/>
      <c r="AI188" s="2">
        <v>0</v>
      </c>
      <c r="AJ188" s="2">
        <v>0</v>
      </c>
      <c r="AK188" s="2">
        <v>0</v>
      </c>
      <c r="AL188" s="2">
        <v>0</v>
      </c>
      <c r="AM188" s="2">
        <v>0</v>
      </c>
    </row>
    <row r="189" spans="1:39">
      <c r="A189" s="349">
        <v>91461</v>
      </c>
      <c r="B189" s="342" t="s">
        <v>877</v>
      </c>
      <c r="C189" s="358"/>
      <c r="E189" s="2">
        <v>-4915</v>
      </c>
      <c r="F189" s="2">
        <v>-4755</v>
      </c>
      <c r="G189" s="2">
        <v>-4476</v>
      </c>
      <c r="H189" s="2">
        <v>0</v>
      </c>
      <c r="I189" s="2">
        <v>0</v>
      </c>
      <c r="J189" s="2"/>
      <c r="K189" s="2">
        <v>0</v>
      </c>
      <c r="L189" s="2">
        <v>0</v>
      </c>
      <c r="M189" s="2">
        <v>0</v>
      </c>
      <c r="N189" s="2">
        <v>0</v>
      </c>
      <c r="O189" s="2">
        <v>0</v>
      </c>
      <c r="P189" s="2"/>
      <c r="Q189" s="2">
        <v>0</v>
      </c>
      <c r="R189" s="2">
        <v>0</v>
      </c>
      <c r="S189" s="2">
        <v>0</v>
      </c>
      <c r="T189" s="2">
        <v>0</v>
      </c>
      <c r="U189" s="2">
        <v>0</v>
      </c>
      <c r="V189" s="2"/>
      <c r="W189" s="2">
        <v>0</v>
      </c>
      <c r="X189" s="2">
        <v>0</v>
      </c>
      <c r="Y189" s="2">
        <v>0</v>
      </c>
      <c r="Z189" s="2">
        <v>0</v>
      </c>
      <c r="AA189" s="2">
        <v>0</v>
      </c>
      <c r="AB189" s="2"/>
      <c r="AC189" s="2">
        <v>0</v>
      </c>
      <c r="AD189" s="2">
        <v>0</v>
      </c>
      <c r="AE189" s="2">
        <v>0</v>
      </c>
      <c r="AF189" s="2">
        <v>0</v>
      </c>
      <c r="AG189" s="2">
        <v>0</v>
      </c>
      <c r="AH189" s="2"/>
      <c r="AI189" s="2">
        <v>-4915</v>
      </c>
      <c r="AJ189" s="2">
        <v>-4755</v>
      </c>
      <c r="AK189" s="2">
        <v>-4476</v>
      </c>
      <c r="AL189" s="2">
        <v>0</v>
      </c>
      <c r="AM189" s="2">
        <v>-4755</v>
      </c>
    </row>
    <row r="190" spans="1:39">
      <c r="A190" s="349">
        <v>91501</v>
      </c>
      <c r="B190" s="342" t="s">
        <v>878</v>
      </c>
      <c r="C190" s="358">
        <v>4.9739999999999995E-4</v>
      </c>
      <c r="E190" s="2">
        <v>167271</v>
      </c>
      <c r="F190" s="2">
        <v>225634</v>
      </c>
      <c r="G190" s="2">
        <v>135463</v>
      </c>
      <c r="H190" s="2">
        <v>74024</v>
      </c>
      <c r="I190" s="2">
        <v>0</v>
      </c>
      <c r="J190" s="2"/>
      <c r="K190" s="2">
        <v>92222</v>
      </c>
      <c r="L190" s="2">
        <v>84953</v>
      </c>
      <c r="M190" s="2">
        <v>47282</v>
      </c>
      <c r="N190" s="2">
        <v>0</v>
      </c>
      <c r="O190" s="2">
        <v>0</v>
      </c>
      <c r="P190" s="2"/>
      <c r="Q190" s="2">
        <v>5978</v>
      </c>
      <c r="R190" s="2">
        <v>83615</v>
      </c>
      <c r="S190" s="2">
        <v>86507</v>
      </c>
      <c r="T190" s="2">
        <v>74024</v>
      </c>
      <c r="U190" s="2">
        <v>0</v>
      </c>
      <c r="V190" s="2"/>
      <c r="W190" s="2">
        <v>73006</v>
      </c>
      <c r="X190" s="2">
        <v>59269</v>
      </c>
      <c r="Y190" s="2">
        <v>0</v>
      </c>
      <c r="Z190" s="2">
        <v>0</v>
      </c>
      <c r="AA190" s="2">
        <v>0</v>
      </c>
      <c r="AB190" s="2"/>
      <c r="AC190" s="2">
        <v>7423</v>
      </c>
      <c r="AD190" s="2">
        <v>7423</v>
      </c>
      <c r="AE190" s="2">
        <v>7424</v>
      </c>
      <c r="AF190" s="2">
        <v>0</v>
      </c>
      <c r="AG190" s="2">
        <v>0</v>
      </c>
      <c r="AH190" s="2"/>
      <c r="AI190" s="2">
        <v>-11358</v>
      </c>
      <c r="AJ190" s="2">
        <v>-9626</v>
      </c>
      <c r="AK190" s="2">
        <v>-5750</v>
      </c>
      <c r="AL190" s="2">
        <v>0</v>
      </c>
      <c r="AM190" s="2">
        <v>-9626</v>
      </c>
    </row>
    <row r="191" spans="1:39">
      <c r="A191" s="349">
        <v>91504</v>
      </c>
      <c r="B191" s="342" t="s">
        <v>879</v>
      </c>
      <c r="C191" s="358">
        <v>8.1000000000000004E-6</v>
      </c>
      <c r="E191" s="2">
        <v>4586</v>
      </c>
      <c r="F191" s="2">
        <v>5179</v>
      </c>
      <c r="G191" s="2">
        <v>3199</v>
      </c>
      <c r="H191" s="2">
        <v>1205</v>
      </c>
      <c r="I191" s="2">
        <v>0</v>
      </c>
      <c r="J191" s="2"/>
      <c r="K191" s="2">
        <v>1502</v>
      </c>
      <c r="L191" s="2">
        <v>1383</v>
      </c>
      <c r="M191" s="2">
        <v>770</v>
      </c>
      <c r="N191" s="2">
        <v>0</v>
      </c>
      <c r="O191" s="2">
        <v>0</v>
      </c>
      <c r="P191" s="2"/>
      <c r="Q191" s="2">
        <v>97</v>
      </c>
      <c r="R191" s="2">
        <v>1362</v>
      </c>
      <c r="S191" s="2">
        <v>1409</v>
      </c>
      <c r="T191" s="2">
        <v>1205</v>
      </c>
      <c r="U191" s="2">
        <v>0</v>
      </c>
      <c r="V191" s="2"/>
      <c r="W191" s="2">
        <v>1189</v>
      </c>
      <c r="X191" s="2">
        <v>965</v>
      </c>
      <c r="Y191" s="2">
        <v>0</v>
      </c>
      <c r="Z191" s="2">
        <v>0</v>
      </c>
      <c r="AA191" s="2">
        <v>0</v>
      </c>
      <c r="AB191" s="2"/>
      <c r="AC191" s="2">
        <v>1798</v>
      </c>
      <c r="AD191" s="2">
        <v>1469</v>
      </c>
      <c r="AE191" s="2">
        <v>1020</v>
      </c>
      <c r="AF191" s="2">
        <v>0</v>
      </c>
      <c r="AG191" s="2">
        <v>0</v>
      </c>
      <c r="AH191" s="2"/>
      <c r="AI191" s="2">
        <v>0</v>
      </c>
      <c r="AJ191" s="2">
        <v>0</v>
      </c>
      <c r="AK191" s="2">
        <v>0</v>
      </c>
      <c r="AL191" s="2">
        <v>0</v>
      </c>
      <c r="AM191" s="2">
        <v>0</v>
      </c>
    </row>
    <row r="192" spans="1:39">
      <c r="A192" s="349">
        <v>91601</v>
      </c>
      <c r="B192" s="342" t="s">
        <v>880</v>
      </c>
      <c r="C192" s="358">
        <v>2.8121999999999999E-3</v>
      </c>
      <c r="E192" s="2">
        <v>961708</v>
      </c>
      <c r="F192" s="2">
        <v>1291973</v>
      </c>
      <c r="G192" s="2">
        <v>759787</v>
      </c>
      <c r="H192" s="2">
        <v>418517</v>
      </c>
      <c r="I192" s="2">
        <v>0</v>
      </c>
      <c r="J192" s="2"/>
      <c r="K192" s="2">
        <v>521407</v>
      </c>
      <c r="L192" s="2">
        <v>480307</v>
      </c>
      <c r="M192" s="2">
        <v>267322</v>
      </c>
      <c r="N192" s="2">
        <v>0</v>
      </c>
      <c r="O192" s="2">
        <v>0</v>
      </c>
      <c r="P192" s="2"/>
      <c r="Q192" s="2">
        <v>33800</v>
      </c>
      <c r="R192" s="2">
        <v>472745</v>
      </c>
      <c r="S192" s="2">
        <v>489092</v>
      </c>
      <c r="T192" s="2">
        <v>418517</v>
      </c>
      <c r="U192" s="2">
        <v>0</v>
      </c>
      <c r="V192" s="2"/>
      <c r="W192" s="2">
        <v>412763</v>
      </c>
      <c r="X192" s="2">
        <v>335093</v>
      </c>
      <c r="Y192" s="2">
        <v>0</v>
      </c>
      <c r="Z192" s="2">
        <v>0</v>
      </c>
      <c r="AA192" s="2">
        <v>0</v>
      </c>
      <c r="AB192" s="2"/>
      <c r="AC192" s="2">
        <v>57191</v>
      </c>
      <c r="AD192" s="2">
        <v>57190</v>
      </c>
      <c r="AE192" s="2">
        <v>56734</v>
      </c>
      <c r="AF192" s="2">
        <v>0</v>
      </c>
      <c r="AG192" s="2">
        <v>0</v>
      </c>
      <c r="AH192" s="2"/>
      <c r="AI192" s="2">
        <v>-63453</v>
      </c>
      <c r="AJ192" s="2">
        <v>-53362</v>
      </c>
      <c r="AK192" s="2">
        <v>-53361</v>
      </c>
      <c r="AL192" s="2">
        <v>0</v>
      </c>
      <c r="AM192" s="2">
        <v>-53362</v>
      </c>
    </row>
    <row r="193" spans="1:39">
      <c r="A193" s="349">
        <v>91604</v>
      </c>
      <c r="B193" s="342" t="s">
        <v>881</v>
      </c>
      <c r="C193" s="358">
        <v>8.1600000000000005E-5</v>
      </c>
      <c r="E193" s="2">
        <v>39313</v>
      </c>
      <c r="F193" s="2">
        <v>46344</v>
      </c>
      <c r="G193" s="2">
        <v>28696</v>
      </c>
      <c r="H193" s="2">
        <v>12144</v>
      </c>
      <c r="I193" s="2">
        <v>0</v>
      </c>
      <c r="J193" s="2"/>
      <c r="K193" s="2">
        <v>15129</v>
      </c>
      <c r="L193" s="2">
        <v>13937</v>
      </c>
      <c r="M193" s="2">
        <v>7757</v>
      </c>
      <c r="N193" s="2">
        <v>0</v>
      </c>
      <c r="O193" s="2">
        <v>0</v>
      </c>
      <c r="P193" s="2"/>
      <c r="Q193" s="2">
        <v>981</v>
      </c>
      <c r="R193" s="2">
        <v>13717</v>
      </c>
      <c r="S193" s="2">
        <v>14192</v>
      </c>
      <c r="T193" s="2">
        <v>12144</v>
      </c>
      <c r="U193" s="2">
        <v>0</v>
      </c>
      <c r="V193" s="2"/>
      <c r="W193" s="2">
        <v>11977</v>
      </c>
      <c r="X193" s="2">
        <v>9723</v>
      </c>
      <c r="Y193" s="2">
        <v>0</v>
      </c>
      <c r="Z193" s="2">
        <v>0</v>
      </c>
      <c r="AA193" s="2">
        <v>0</v>
      </c>
      <c r="AB193" s="2"/>
      <c r="AC193" s="2">
        <v>11226</v>
      </c>
      <c r="AD193" s="2">
        <v>8967</v>
      </c>
      <c r="AE193" s="2">
        <v>6747</v>
      </c>
      <c r="AF193" s="2">
        <v>0</v>
      </c>
      <c r="AG193" s="2">
        <v>0</v>
      </c>
      <c r="AH193" s="2"/>
      <c r="AI193" s="2">
        <v>0</v>
      </c>
      <c r="AJ193" s="2">
        <v>0</v>
      </c>
      <c r="AK193" s="2">
        <v>0</v>
      </c>
      <c r="AL193" s="2">
        <v>0</v>
      </c>
      <c r="AM193" s="2">
        <v>0</v>
      </c>
    </row>
    <row r="194" spans="1:39">
      <c r="A194" s="349">
        <v>91608</v>
      </c>
      <c r="B194" s="342" t="s">
        <v>882</v>
      </c>
      <c r="C194" s="358">
        <v>1.7579999999999999E-4</v>
      </c>
      <c r="E194" s="2">
        <v>52328</v>
      </c>
      <c r="F194" s="2">
        <v>71956</v>
      </c>
      <c r="G194" s="2">
        <v>42808</v>
      </c>
      <c r="H194" s="2">
        <v>26163</v>
      </c>
      <c r="I194" s="2">
        <v>0</v>
      </c>
      <c r="J194" s="2"/>
      <c r="K194" s="2">
        <v>32595</v>
      </c>
      <c r="L194" s="2">
        <v>30026</v>
      </c>
      <c r="M194" s="2">
        <v>16711</v>
      </c>
      <c r="N194" s="2">
        <v>0</v>
      </c>
      <c r="O194" s="2">
        <v>0</v>
      </c>
      <c r="P194" s="2"/>
      <c r="Q194" s="2">
        <v>2113</v>
      </c>
      <c r="R194" s="2">
        <v>29553</v>
      </c>
      <c r="S194" s="2">
        <v>30575</v>
      </c>
      <c r="T194" s="2">
        <v>26163</v>
      </c>
      <c r="U194" s="2">
        <v>0</v>
      </c>
      <c r="V194" s="2"/>
      <c r="W194" s="2">
        <v>25803</v>
      </c>
      <c r="X194" s="2">
        <v>20948</v>
      </c>
      <c r="Y194" s="2">
        <v>0</v>
      </c>
      <c r="Z194" s="2">
        <v>0</v>
      </c>
      <c r="AA194" s="2">
        <v>0</v>
      </c>
      <c r="AB194" s="2"/>
      <c r="AC194" s="2">
        <v>1583</v>
      </c>
      <c r="AD194" s="2">
        <v>1194</v>
      </c>
      <c r="AE194" s="2">
        <v>1194</v>
      </c>
      <c r="AF194" s="2">
        <v>0</v>
      </c>
      <c r="AG194" s="2">
        <v>0</v>
      </c>
      <c r="AH194" s="2"/>
      <c r="AI194" s="2">
        <v>-9766</v>
      </c>
      <c r="AJ194" s="2">
        <v>-9765</v>
      </c>
      <c r="AK194" s="2">
        <v>-5672</v>
      </c>
      <c r="AL194" s="2">
        <v>0</v>
      </c>
      <c r="AM194" s="2">
        <v>-9765</v>
      </c>
    </row>
    <row r="195" spans="1:39">
      <c r="A195" s="349">
        <v>91611</v>
      </c>
      <c r="B195" s="342" t="s">
        <v>883</v>
      </c>
      <c r="C195" s="358">
        <v>1.4962E-3</v>
      </c>
      <c r="E195" s="2">
        <v>456850</v>
      </c>
      <c r="F195" s="2">
        <v>636467</v>
      </c>
      <c r="G195" s="2">
        <v>374295</v>
      </c>
      <c r="H195" s="2">
        <v>222667</v>
      </c>
      <c r="I195" s="2">
        <v>0</v>
      </c>
      <c r="J195" s="2"/>
      <c r="K195" s="2">
        <v>277409</v>
      </c>
      <c r="L195" s="2">
        <v>255542</v>
      </c>
      <c r="M195" s="2">
        <v>142226</v>
      </c>
      <c r="N195" s="2">
        <v>0</v>
      </c>
      <c r="O195" s="2">
        <v>0</v>
      </c>
      <c r="P195" s="2"/>
      <c r="Q195" s="2">
        <v>17983</v>
      </c>
      <c r="R195" s="2">
        <v>251519</v>
      </c>
      <c r="S195" s="2">
        <v>260216</v>
      </c>
      <c r="T195" s="2">
        <v>222667</v>
      </c>
      <c r="U195" s="2">
        <v>0</v>
      </c>
      <c r="V195" s="2"/>
      <c r="W195" s="2">
        <v>219606</v>
      </c>
      <c r="X195" s="2">
        <v>178283</v>
      </c>
      <c r="Y195" s="2">
        <v>0</v>
      </c>
      <c r="Z195" s="2">
        <v>0</v>
      </c>
      <c r="AA195" s="2">
        <v>0</v>
      </c>
      <c r="AB195" s="2"/>
      <c r="AC195" s="2">
        <v>0</v>
      </c>
      <c r="AD195" s="2">
        <v>0</v>
      </c>
      <c r="AE195" s="2">
        <v>0</v>
      </c>
      <c r="AF195" s="2">
        <v>0</v>
      </c>
      <c r="AG195" s="2">
        <v>0</v>
      </c>
      <c r="AH195" s="2"/>
      <c r="AI195" s="2">
        <v>-58148</v>
      </c>
      <c r="AJ195" s="2">
        <v>-48877</v>
      </c>
      <c r="AK195" s="2">
        <v>-28147</v>
      </c>
      <c r="AL195" s="2">
        <v>0</v>
      </c>
      <c r="AM195" s="2">
        <v>-48877</v>
      </c>
    </row>
    <row r="196" spans="1:39">
      <c r="A196" s="349">
        <v>91621</v>
      </c>
      <c r="B196" s="342" t="s">
        <v>884</v>
      </c>
      <c r="C196" s="358">
        <v>2.7169999999999999E-4</v>
      </c>
      <c r="E196" s="2">
        <v>99053</v>
      </c>
      <c r="F196" s="2">
        <v>130087</v>
      </c>
      <c r="G196" s="2">
        <v>80534</v>
      </c>
      <c r="H196" s="2">
        <v>40435</v>
      </c>
      <c r="I196" s="2">
        <v>0</v>
      </c>
      <c r="J196" s="2"/>
      <c r="K196" s="2">
        <v>50376</v>
      </c>
      <c r="L196" s="2">
        <v>46405</v>
      </c>
      <c r="M196" s="2">
        <v>25827</v>
      </c>
      <c r="N196" s="2">
        <v>0</v>
      </c>
      <c r="O196" s="2">
        <v>0</v>
      </c>
      <c r="P196" s="2"/>
      <c r="Q196" s="2">
        <v>3266</v>
      </c>
      <c r="R196" s="2">
        <v>45674</v>
      </c>
      <c r="S196" s="2">
        <v>47254</v>
      </c>
      <c r="T196" s="2">
        <v>40435</v>
      </c>
      <c r="U196" s="2">
        <v>0</v>
      </c>
      <c r="V196" s="2"/>
      <c r="W196" s="2">
        <v>39879</v>
      </c>
      <c r="X196" s="2">
        <v>32375</v>
      </c>
      <c r="Y196" s="2">
        <v>0</v>
      </c>
      <c r="Z196" s="2">
        <v>0</v>
      </c>
      <c r="AA196" s="2">
        <v>0</v>
      </c>
      <c r="AB196" s="2"/>
      <c r="AC196" s="2">
        <v>11709</v>
      </c>
      <c r="AD196" s="2">
        <v>11709</v>
      </c>
      <c r="AE196" s="2">
        <v>11709</v>
      </c>
      <c r="AF196" s="2">
        <v>0</v>
      </c>
      <c r="AG196" s="2">
        <v>0</v>
      </c>
      <c r="AH196" s="2"/>
      <c r="AI196" s="2">
        <v>-6177</v>
      </c>
      <c r="AJ196" s="2">
        <v>-6076</v>
      </c>
      <c r="AK196" s="2">
        <v>-4256</v>
      </c>
      <c r="AL196" s="2">
        <v>0</v>
      </c>
      <c r="AM196" s="2">
        <v>-6076</v>
      </c>
    </row>
    <row r="197" spans="1:39">
      <c r="A197" s="349">
        <v>91631</v>
      </c>
      <c r="B197" s="342" t="s">
        <v>885</v>
      </c>
      <c r="C197" s="358">
        <v>6.4579999999999998E-4</v>
      </c>
      <c r="E197" s="2">
        <v>235225</v>
      </c>
      <c r="F197" s="2">
        <v>315496</v>
      </c>
      <c r="G197" s="2">
        <v>194341</v>
      </c>
      <c r="H197" s="2">
        <v>96109</v>
      </c>
      <c r="I197" s="2">
        <v>0</v>
      </c>
      <c r="J197" s="2"/>
      <c r="K197" s="2">
        <v>119737</v>
      </c>
      <c r="L197" s="2">
        <v>110299</v>
      </c>
      <c r="M197" s="2">
        <v>61388</v>
      </c>
      <c r="N197" s="2">
        <v>0</v>
      </c>
      <c r="O197" s="2">
        <v>0</v>
      </c>
      <c r="P197" s="2"/>
      <c r="Q197" s="2">
        <v>7762</v>
      </c>
      <c r="R197" s="2">
        <v>108562</v>
      </c>
      <c r="S197" s="2">
        <v>112316</v>
      </c>
      <c r="T197" s="2">
        <v>96109</v>
      </c>
      <c r="U197" s="2">
        <v>0</v>
      </c>
      <c r="V197" s="2"/>
      <c r="W197" s="2">
        <v>94788</v>
      </c>
      <c r="X197" s="2">
        <v>76952</v>
      </c>
      <c r="Y197" s="2">
        <v>0</v>
      </c>
      <c r="Z197" s="2">
        <v>0</v>
      </c>
      <c r="AA197" s="2">
        <v>0</v>
      </c>
      <c r="AB197" s="2"/>
      <c r="AC197" s="2">
        <v>20639</v>
      </c>
      <c r="AD197" s="2">
        <v>20639</v>
      </c>
      <c r="AE197" s="2">
        <v>20637</v>
      </c>
      <c r="AF197" s="2">
        <v>0</v>
      </c>
      <c r="AG197" s="2">
        <v>0</v>
      </c>
      <c r="AH197" s="2"/>
      <c r="AI197" s="2">
        <v>-7701</v>
      </c>
      <c r="AJ197" s="2">
        <v>-956</v>
      </c>
      <c r="AK197" s="2">
        <v>0</v>
      </c>
      <c r="AL197" s="2">
        <v>0</v>
      </c>
      <c r="AM197" s="2">
        <v>-956</v>
      </c>
    </row>
    <row r="198" spans="1:39">
      <c r="A198" s="349">
        <v>91633</v>
      </c>
      <c r="B198" s="342" t="s">
        <v>2750</v>
      </c>
      <c r="C198" s="358">
        <v>3.0499999999999999E-5</v>
      </c>
      <c r="E198" s="2">
        <v>10916</v>
      </c>
      <c r="F198" s="2">
        <v>14272</v>
      </c>
      <c r="G198" s="2">
        <v>9445</v>
      </c>
      <c r="H198" s="2">
        <v>4539</v>
      </c>
      <c r="I198" s="2">
        <v>0</v>
      </c>
      <c r="J198" s="2"/>
      <c r="K198" s="2">
        <v>5655</v>
      </c>
      <c r="L198" s="2">
        <v>5209</v>
      </c>
      <c r="M198" s="2">
        <v>2899</v>
      </c>
      <c r="N198" s="2">
        <v>0</v>
      </c>
      <c r="O198" s="2">
        <v>0</v>
      </c>
      <c r="P198" s="2"/>
      <c r="Q198" s="2">
        <v>367</v>
      </c>
      <c r="R198" s="2">
        <v>5127</v>
      </c>
      <c r="S198" s="2">
        <v>5304</v>
      </c>
      <c r="T198" s="2">
        <v>4539</v>
      </c>
      <c r="U198" s="2">
        <v>0</v>
      </c>
      <c r="V198" s="2"/>
      <c r="W198" s="2">
        <v>4477</v>
      </c>
      <c r="X198" s="2">
        <v>3634</v>
      </c>
      <c r="Y198" s="2">
        <v>0</v>
      </c>
      <c r="Z198" s="2">
        <v>0</v>
      </c>
      <c r="AA198" s="2">
        <v>0</v>
      </c>
      <c r="AB198" s="2"/>
      <c r="AC198" s="2">
        <v>2268</v>
      </c>
      <c r="AD198" s="2">
        <v>2151</v>
      </c>
      <c r="AE198" s="2">
        <v>2153</v>
      </c>
      <c r="AF198" s="2">
        <v>0</v>
      </c>
      <c r="AG198" s="2">
        <v>0</v>
      </c>
      <c r="AH198" s="2"/>
      <c r="AI198" s="2">
        <v>-1851</v>
      </c>
      <c r="AJ198" s="2">
        <v>-1849</v>
      </c>
      <c r="AK198" s="2">
        <v>-911</v>
      </c>
      <c r="AL198" s="2">
        <v>0</v>
      </c>
      <c r="AM198" s="2">
        <v>-1849</v>
      </c>
    </row>
    <row r="199" spans="1:39">
      <c r="A199" s="349">
        <v>91641</v>
      </c>
      <c r="B199" s="342" t="s">
        <v>887</v>
      </c>
      <c r="C199" s="358">
        <v>3.0420000000000002E-4</v>
      </c>
      <c r="E199" s="2">
        <v>93849</v>
      </c>
      <c r="F199" s="2">
        <v>129963</v>
      </c>
      <c r="G199" s="2">
        <v>83647</v>
      </c>
      <c r="H199" s="2">
        <v>45272</v>
      </c>
      <c r="I199" s="2">
        <v>0</v>
      </c>
      <c r="J199" s="2"/>
      <c r="K199" s="2">
        <v>56401</v>
      </c>
      <c r="L199" s="2">
        <v>51956</v>
      </c>
      <c r="M199" s="2">
        <v>28917</v>
      </c>
      <c r="N199" s="2">
        <v>0</v>
      </c>
      <c r="O199" s="2">
        <v>0</v>
      </c>
      <c r="P199" s="2"/>
      <c r="Q199" s="2">
        <v>3656</v>
      </c>
      <c r="R199" s="2">
        <v>51138</v>
      </c>
      <c r="S199" s="2">
        <v>52906</v>
      </c>
      <c r="T199" s="2">
        <v>45272</v>
      </c>
      <c r="U199" s="2">
        <v>0</v>
      </c>
      <c r="V199" s="2"/>
      <c r="W199" s="2">
        <v>44649</v>
      </c>
      <c r="X199" s="2">
        <v>36248</v>
      </c>
      <c r="Y199" s="2">
        <v>0</v>
      </c>
      <c r="Z199" s="2">
        <v>0</v>
      </c>
      <c r="AA199" s="2">
        <v>0</v>
      </c>
      <c r="AB199" s="2"/>
      <c r="AC199" s="2">
        <v>1825</v>
      </c>
      <c r="AD199" s="2">
        <v>1825</v>
      </c>
      <c r="AE199" s="2">
        <v>1824</v>
      </c>
      <c r="AF199" s="2">
        <v>0</v>
      </c>
      <c r="AG199" s="2">
        <v>0</v>
      </c>
      <c r="AH199" s="2"/>
      <c r="AI199" s="2">
        <v>-12682</v>
      </c>
      <c r="AJ199" s="2">
        <v>-11204</v>
      </c>
      <c r="AK199" s="2">
        <v>0</v>
      </c>
      <c r="AL199" s="2">
        <v>0</v>
      </c>
      <c r="AM199" s="2">
        <v>-11204</v>
      </c>
    </row>
    <row r="200" spans="1:39">
      <c r="A200" s="349">
        <v>91651</v>
      </c>
      <c r="B200" s="342" t="s">
        <v>888</v>
      </c>
      <c r="C200" s="358">
        <v>5.3629999999999997E-4</v>
      </c>
      <c r="E200" s="2">
        <v>199293</v>
      </c>
      <c r="F200" s="2">
        <v>262918</v>
      </c>
      <c r="G200" s="2">
        <v>155047</v>
      </c>
      <c r="H200" s="2">
        <v>79813</v>
      </c>
      <c r="I200" s="2">
        <v>0</v>
      </c>
      <c r="J200" s="2"/>
      <c r="K200" s="2">
        <v>99435</v>
      </c>
      <c r="L200" s="2">
        <v>91597</v>
      </c>
      <c r="M200" s="2">
        <v>50980</v>
      </c>
      <c r="N200" s="2">
        <v>0</v>
      </c>
      <c r="O200" s="2">
        <v>0</v>
      </c>
      <c r="P200" s="2"/>
      <c r="Q200" s="2">
        <v>6446</v>
      </c>
      <c r="R200" s="2">
        <v>90155</v>
      </c>
      <c r="S200" s="2">
        <v>93272</v>
      </c>
      <c r="T200" s="2">
        <v>79813</v>
      </c>
      <c r="U200" s="2">
        <v>0</v>
      </c>
      <c r="V200" s="2"/>
      <c r="W200" s="2">
        <v>78716</v>
      </c>
      <c r="X200" s="2">
        <v>63904</v>
      </c>
      <c r="Y200" s="2">
        <v>0</v>
      </c>
      <c r="Z200" s="2">
        <v>0</v>
      </c>
      <c r="AA200" s="2">
        <v>0</v>
      </c>
      <c r="AB200" s="2"/>
      <c r="AC200" s="2">
        <v>19626</v>
      </c>
      <c r="AD200" s="2">
        <v>19625</v>
      </c>
      <c r="AE200" s="2">
        <v>13156</v>
      </c>
      <c r="AF200" s="2">
        <v>0</v>
      </c>
      <c r="AG200" s="2">
        <v>0</v>
      </c>
      <c r="AH200" s="2"/>
      <c r="AI200" s="2">
        <v>-4930</v>
      </c>
      <c r="AJ200" s="2">
        <v>-2363</v>
      </c>
      <c r="AK200" s="2">
        <v>-2361</v>
      </c>
      <c r="AL200" s="2">
        <v>0</v>
      </c>
      <c r="AM200" s="2">
        <v>-2363</v>
      </c>
    </row>
    <row r="201" spans="1:39">
      <c r="A201" s="349">
        <v>91661</v>
      </c>
      <c r="B201" s="342" t="s">
        <v>889</v>
      </c>
      <c r="C201" s="358">
        <v>1.985E-4</v>
      </c>
      <c r="E201" s="2">
        <v>56169</v>
      </c>
      <c r="F201" s="2">
        <v>82918</v>
      </c>
      <c r="G201" s="2">
        <v>47138</v>
      </c>
      <c r="H201" s="2">
        <v>29541</v>
      </c>
      <c r="I201" s="2">
        <v>0</v>
      </c>
      <c r="J201" s="2"/>
      <c r="K201" s="2">
        <v>36804</v>
      </c>
      <c r="L201" s="2">
        <v>33903</v>
      </c>
      <c r="M201" s="2">
        <v>18869</v>
      </c>
      <c r="N201" s="2">
        <v>0</v>
      </c>
      <c r="O201" s="2">
        <v>0</v>
      </c>
      <c r="P201" s="2"/>
      <c r="Q201" s="2">
        <v>2386</v>
      </c>
      <c r="R201" s="2">
        <v>33369</v>
      </c>
      <c r="S201" s="2">
        <v>34523</v>
      </c>
      <c r="T201" s="2">
        <v>29541</v>
      </c>
      <c r="U201" s="2">
        <v>0</v>
      </c>
      <c r="V201" s="2"/>
      <c r="W201" s="2">
        <v>29135</v>
      </c>
      <c r="X201" s="2">
        <v>23653</v>
      </c>
      <c r="Y201" s="2">
        <v>0</v>
      </c>
      <c r="Z201" s="2">
        <v>0</v>
      </c>
      <c r="AA201" s="2">
        <v>0</v>
      </c>
      <c r="AB201" s="2"/>
      <c r="AC201" s="2">
        <v>0</v>
      </c>
      <c r="AD201" s="2">
        <v>0</v>
      </c>
      <c r="AE201" s="2">
        <v>0</v>
      </c>
      <c r="AF201" s="2">
        <v>0</v>
      </c>
      <c r="AG201" s="2">
        <v>0</v>
      </c>
      <c r="AH201" s="2"/>
      <c r="AI201" s="2">
        <v>-12156</v>
      </c>
      <c r="AJ201" s="2">
        <v>-8007</v>
      </c>
      <c r="AK201" s="2">
        <v>-6254</v>
      </c>
      <c r="AL201" s="2">
        <v>0</v>
      </c>
      <c r="AM201" s="2">
        <v>-8007</v>
      </c>
    </row>
    <row r="202" spans="1:39">
      <c r="A202" s="349">
        <v>91671</v>
      </c>
      <c r="B202" s="342" t="s">
        <v>890</v>
      </c>
      <c r="C202" s="358">
        <v>9.3700000000000001E-5</v>
      </c>
      <c r="E202" s="2">
        <v>22701</v>
      </c>
      <c r="F202" s="2">
        <v>33669</v>
      </c>
      <c r="G202" s="2">
        <v>14632</v>
      </c>
      <c r="H202" s="2">
        <v>13945</v>
      </c>
      <c r="I202" s="2">
        <v>0</v>
      </c>
      <c r="J202" s="2"/>
      <c r="K202" s="2">
        <v>17373</v>
      </c>
      <c r="L202" s="2">
        <v>16003</v>
      </c>
      <c r="M202" s="2">
        <v>8907</v>
      </c>
      <c r="N202" s="2">
        <v>0</v>
      </c>
      <c r="O202" s="2">
        <v>0</v>
      </c>
      <c r="P202" s="2"/>
      <c r="Q202" s="2">
        <v>1126</v>
      </c>
      <c r="R202" s="2">
        <v>15751</v>
      </c>
      <c r="S202" s="2">
        <v>16296</v>
      </c>
      <c r="T202" s="2">
        <v>13945</v>
      </c>
      <c r="U202" s="2">
        <v>0</v>
      </c>
      <c r="V202" s="2"/>
      <c r="W202" s="2">
        <v>13753</v>
      </c>
      <c r="X202" s="2">
        <v>11165</v>
      </c>
      <c r="Y202" s="2">
        <v>0</v>
      </c>
      <c r="Z202" s="2">
        <v>0</v>
      </c>
      <c r="AA202" s="2">
        <v>0</v>
      </c>
      <c r="AB202" s="2"/>
      <c r="AC202" s="2">
        <v>1319</v>
      </c>
      <c r="AD202" s="2">
        <v>1320</v>
      </c>
      <c r="AE202" s="2">
        <v>0</v>
      </c>
      <c r="AF202" s="2">
        <v>0</v>
      </c>
      <c r="AG202" s="2">
        <v>0</v>
      </c>
      <c r="AH202" s="2"/>
      <c r="AI202" s="2">
        <v>-10870</v>
      </c>
      <c r="AJ202" s="2">
        <v>-10570</v>
      </c>
      <c r="AK202" s="2">
        <v>-10571</v>
      </c>
      <c r="AL202" s="2">
        <v>0</v>
      </c>
      <c r="AM202" s="2">
        <v>-10570</v>
      </c>
    </row>
    <row r="203" spans="1:39">
      <c r="A203" s="349">
        <v>91681</v>
      </c>
      <c r="B203" s="342" t="s">
        <v>891</v>
      </c>
      <c r="C203" s="358">
        <v>4.6890000000000001E-4</v>
      </c>
      <c r="E203" s="2">
        <v>261942</v>
      </c>
      <c r="F203" s="2">
        <v>280922</v>
      </c>
      <c r="G203" s="2">
        <v>159179</v>
      </c>
      <c r="H203" s="2">
        <v>69783</v>
      </c>
      <c r="I203" s="2">
        <v>0</v>
      </c>
      <c r="J203" s="2"/>
      <c r="K203" s="2">
        <v>86938</v>
      </c>
      <c r="L203" s="2">
        <v>80085</v>
      </c>
      <c r="M203" s="2">
        <v>44573</v>
      </c>
      <c r="N203" s="2">
        <v>0</v>
      </c>
      <c r="O203" s="2">
        <v>0</v>
      </c>
      <c r="P203" s="2"/>
      <c r="Q203" s="2">
        <v>5636</v>
      </c>
      <c r="R203" s="2">
        <v>78824</v>
      </c>
      <c r="S203" s="2">
        <v>81550</v>
      </c>
      <c r="T203" s="2">
        <v>69783</v>
      </c>
      <c r="U203" s="2">
        <v>0</v>
      </c>
      <c r="V203" s="2"/>
      <c r="W203" s="2">
        <v>68823</v>
      </c>
      <c r="X203" s="2">
        <v>55873</v>
      </c>
      <c r="Y203" s="2">
        <v>0</v>
      </c>
      <c r="Z203" s="2">
        <v>0</v>
      </c>
      <c r="AA203" s="2">
        <v>0</v>
      </c>
      <c r="AB203" s="2"/>
      <c r="AC203" s="2">
        <v>101931</v>
      </c>
      <c r="AD203" s="2">
        <v>67526</v>
      </c>
      <c r="AE203" s="2">
        <v>34441</v>
      </c>
      <c r="AF203" s="2">
        <v>0</v>
      </c>
      <c r="AG203" s="2">
        <v>0</v>
      </c>
      <c r="AH203" s="2"/>
      <c r="AI203" s="2">
        <v>-1386</v>
      </c>
      <c r="AJ203" s="2">
        <v>-1386</v>
      </c>
      <c r="AK203" s="2">
        <v>-1385</v>
      </c>
      <c r="AL203" s="2">
        <v>0</v>
      </c>
      <c r="AM203" s="2">
        <v>-1386</v>
      </c>
    </row>
    <row r="204" spans="1:39">
      <c r="A204" s="349">
        <v>91691</v>
      </c>
      <c r="B204" s="342" t="s">
        <v>892</v>
      </c>
      <c r="C204" s="358">
        <v>1.42E-5</v>
      </c>
      <c r="E204" s="2">
        <v>3507</v>
      </c>
      <c r="F204" s="2">
        <v>5377</v>
      </c>
      <c r="G204" s="2">
        <v>2795</v>
      </c>
      <c r="H204" s="2">
        <v>2113</v>
      </c>
      <c r="I204" s="2">
        <v>0</v>
      </c>
      <c r="J204" s="2"/>
      <c r="K204" s="2">
        <v>2633</v>
      </c>
      <c r="L204" s="2">
        <v>2425</v>
      </c>
      <c r="M204" s="2">
        <v>1350</v>
      </c>
      <c r="N204" s="2">
        <v>0</v>
      </c>
      <c r="O204" s="2">
        <v>0</v>
      </c>
      <c r="P204" s="2"/>
      <c r="Q204" s="2">
        <v>171</v>
      </c>
      <c r="R204" s="2">
        <v>2387</v>
      </c>
      <c r="S204" s="2">
        <v>2470</v>
      </c>
      <c r="T204" s="2">
        <v>2113</v>
      </c>
      <c r="U204" s="2">
        <v>0</v>
      </c>
      <c r="V204" s="2"/>
      <c r="W204" s="2">
        <v>2084</v>
      </c>
      <c r="X204" s="2">
        <v>1692</v>
      </c>
      <c r="Y204" s="2">
        <v>0</v>
      </c>
      <c r="Z204" s="2">
        <v>0</v>
      </c>
      <c r="AA204" s="2">
        <v>0</v>
      </c>
      <c r="AB204" s="2"/>
      <c r="AC204" s="2">
        <v>510</v>
      </c>
      <c r="AD204" s="2">
        <v>510</v>
      </c>
      <c r="AE204" s="2">
        <v>512</v>
      </c>
      <c r="AF204" s="2">
        <v>0</v>
      </c>
      <c r="AG204" s="2">
        <v>0</v>
      </c>
      <c r="AH204" s="2"/>
      <c r="AI204" s="2">
        <v>-1891</v>
      </c>
      <c r="AJ204" s="2">
        <v>-1637</v>
      </c>
      <c r="AK204" s="2">
        <v>-1537</v>
      </c>
      <c r="AL204" s="2">
        <v>0</v>
      </c>
      <c r="AM204" s="2">
        <v>-1637</v>
      </c>
    </row>
    <row r="205" spans="1:39">
      <c r="A205" s="349">
        <v>91701</v>
      </c>
      <c r="B205" s="342" t="s">
        <v>893</v>
      </c>
      <c r="C205" s="358">
        <v>1.1245999999999999E-3</v>
      </c>
      <c r="E205" s="2">
        <v>371350</v>
      </c>
      <c r="F205" s="2">
        <v>479073</v>
      </c>
      <c r="G205" s="2">
        <v>276250</v>
      </c>
      <c r="H205" s="2">
        <v>167365</v>
      </c>
      <c r="I205" s="2">
        <v>0</v>
      </c>
      <c r="J205" s="2"/>
      <c r="K205" s="2">
        <v>208511</v>
      </c>
      <c r="L205" s="2">
        <v>192075</v>
      </c>
      <c r="M205" s="2">
        <v>106902</v>
      </c>
      <c r="N205" s="2">
        <v>0</v>
      </c>
      <c r="O205" s="2">
        <v>0</v>
      </c>
      <c r="P205" s="2"/>
      <c r="Q205" s="2">
        <v>13517</v>
      </c>
      <c r="R205" s="2">
        <v>189051</v>
      </c>
      <c r="S205" s="2">
        <v>195588</v>
      </c>
      <c r="T205" s="2">
        <v>167365</v>
      </c>
      <c r="U205" s="2">
        <v>0</v>
      </c>
      <c r="V205" s="2"/>
      <c r="W205" s="2">
        <v>165064</v>
      </c>
      <c r="X205" s="2">
        <v>134004</v>
      </c>
      <c r="Y205" s="2">
        <v>0</v>
      </c>
      <c r="Z205" s="2">
        <v>0</v>
      </c>
      <c r="AA205" s="2">
        <v>0</v>
      </c>
      <c r="AB205" s="2"/>
      <c r="AC205" s="2">
        <v>20317</v>
      </c>
      <c r="AD205" s="2">
        <v>0</v>
      </c>
      <c r="AE205" s="2">
        <v>0</v>
      </c>
      <c r="AF205" s="2">
        <v>0</v>
      </c>
      <c r="AG205" s="2">
        <v>0</v>
      </c>
      <c r="AH205" s="2"/>
      <c r="AI205" s="2">
        <v>-36059</v>
      </c>
      <c r="AJ205" s="2">
        <v>-36057</v>
      </c>
      <c r="AK205" s="2">
        <v>-26240</v>
      </c>
      <c r="AL205" s="2">
        <v>0</v>
      </c>
      <c r="AM205" s="2">
        <v>-36057</v>
      </c>
    </row>
    <row r="206" spans="1:39">
      <c r="A206" s="349">
        <v>91704</v>
      </c>
      <c r="B206" s="342" t="s">
        <v>894</v>
      </c>
      <c r="C206" s="358">
        <v>1.66E-5</v>
      </c>
      <c r="E206" s="2">
        <v>5894</v>
      </c>
      <c r="F206" s="2">
        <v>7771</v>
      </c>
      <c r="G206" s="2">
        <v>4602</v>
      </c>
      <c r="H206" s="2">
        <v>2470</v>
      </c>
      <c r="I206" s="2">
        <v>0</v>
      </c>
      <c r="J206" s="2"/>
      <c r="K206" s="2">
        <v>3078</v>
      </c>
      <c r="L206" s="2">
        <v>2835</v>
      </c>
      <c r="M206" s="2">
        <v>1578</v>
      </c>
      <c r="N206" s="2">
        <v>0</v>
      </c>
      <c r="O206" s="2">
        <v>0</v>
      </c>
      <c r="P206" s="2"/>
      <c r="Q206" s="2">
        <v>200</v>
      </c>
      <c r="R206" s="2">
        <v>2791</v>
      </c>
      <c r="S206" s="2">
        <v>2887</v>
      </c>
      <c r="T206" s="2">
        <v>2470</v>
      </c>
      <c r="U206" s="2">
        <v>0</v>
      </c>
      <c r="V206" s="2"/>
      <c r="W206" s="2">
        <v>2436</v>
      </c>
      <c r="X206" s="2">
        <v>1978</v>
      </c>
      <c r="Y206" s="2">
        <v>0</v>
      </c>
      <c r="Z206" s="2">
        <v>0</v>
      </c>
      <c r="AA206" s="2">
        <v>0</v>
      </c>
      <c r="AB206" s="2"/>
      <c r="AC206" s="2">
        <v>188</v>
      </c>
      <c r="AD206" s="2">
        <v>175</v>
      </c>
      <c r="AE206" s="2">
        <v>143</v>
      </c>
      <c r="AF206" s="2">
        <v>0</v>
      </c>
      <c r="AG206" s="2">
        <v>0</v>
      </c>
      <c r="AH206" s="2"/>
      <c r="AI206" s="2">
        <v>-8</v>
      </c>
      <c r="AJ206" s="2">
        <v>-8</v>
      </c>
      <c r="AK206" s="2">
        <v>-6</v>
      </c>
      <c r="AL206" s="2">
        <v>0</v>
      </c>
      <c r="AM206" s="2">
        <v>-8</v>
      </c>
    </row>
    <row r="207" spans="1:39">
      <c r="A207" s="349">
        <v>91706</v>
      </c>
      <c r="B207" s="342" t="s">
        <v>3654</v>
      </c>
      <c r="C207" s="358">
        <v>2.231E-4</v>
      </c>
      <c r="E207" s="2">
        <v>85606</v>
      </c>
      <c r="F207" s="2">
        <v>108861</v>
      </c>
      <c r="G207" s="2">
        <v>59081</v>
      </c>
      <c r="H207" s="2">
        <v>33202</v>
      </c>
      <c r="I207" s="2">
        <v>0</v>
      </c>
      <c r="J207" s="2"/>
      <c r="K207" s="2">
        <v>41365</v>
      </c>
      <c r="L207" s="2">
        <v>38104</v>
      </c>
      <c r="M207" s="2">
        <v>21207</v>
      </c>
      <c r="N207" s="2">
        <v>0</v>
      </c>
      <c r="O207" s="2">
        <v>0</v>
      </c>
      <c r="P207" s="2"/>
      <c r="Q207" s="2">
        <v>2681</v>
      </c>
      <c r="R207" s="2">
        <v>37504</v>
      </c>
      <c r="S207" s="2">
        <v>38801</v>
      </c>
      <c r="T207" s="2">
        <v>33202</v>
      </c>
      <c r="U207" s="2">
        <v>0</v>
      </c>
      <c r="V207" s="2"/>
      <c r="W207" s="2">
        <v>32746</v>
      </c>
      <c r="X207" s="2">
        <v>26584</v>
      </c>
      <c r="Y207" s="2">
        <v>0</v>
      </c>
      <c r="Z207" s="2">
        <v>0</v>
      </c>
      <c r="AA207" s="2">
        <v>0</v>
      </c>
      <c r="AB207" s="2"/>
      <c r="AC207" s="2">
        <v>17399</v>
      </c>
      <c r="AD207" s="2">
        <v>15254</v>
      </c>
      <c r="AE207" s="2">
        <v>7657</v>
      </c>
      <c r="AF207" s="2">
        <v>0</v>
      </c>
      <c r="AG207" s="2">
        <v>0</v>
      </c>
      <c r="AH207" s="2"/>
      <c r="AI207" s="2">
        <v>-8585</v>
      </c>
      <c r="AJ207" s="2">
        <v>-8585</v>
      </c>
      <c r="AK207" s="2">
        <v>-8584</v>
      </c>
      <c r="AL207" s="2">
        <v>0</v>
      </c>
      <c r="AM207" s="2">
        <v>-8585</v>
      </c>
    </row>
    <row r="208" spans="1:39">
      <c r="A208" s="349">
        <v>91719</v>
      </c>
      <c r="B208" s="342" t="s">
        <v>896</v>
      </c>
      <c r="C208" s="358">
        <v>5.5999999999999999E-5</v>
      </c>
      <c r="E208" s="2">
        <v>15675</v>
      </c>
      <c r="F208" s="2">
        <v>22617</v>
      </c>
      <c r="G208" s="2">
        <v>11895</v>
      </c>
      <c r="H208" s="2">
        <v>8334</v>
      </c>
      <c r="I208" s="2">
        <v>0</v>
      </c>
      <c r="J208" s="2"/>
      <c r="K208" s="2">
        <v>10383</v>
      </c>
      <c r="L208" s="2">
        <v>9564</v>
      </c>
      <c r="M208" s="2">
        <v>5323</v>
      </c>
      <c r="N208" s="2">
        <v>0</v>
      </c>
      <c r="O208" s="2">
        <v>0</v>
      </c>
      <c r="P208" s="2"/>
      <c r="Q208" s="2">
        <v>673</v>
      </c>
      <c r="R208" s="2">
        <v>9414</v>
      </c>
      <c r="S208" s="2">
        <v>9739</v>
      </c>
      <c r="T208" s="2">
        <v>8334</v>
      </c>
      <c r="U208" s="2">
        <v>0</v>
      </c>
      <c r="V208" s="2"/>
      <c r="W208" s="2">
        <v>8219</v>
      </c>
      <c r="X208" s="2">
        <v>6673</v>
      </c>
      <c r="Y208" s="2">
        <v>0</v>
      </c>
      <c r="Z208" s="2">
        <v>0</v>
      </c>
      <c r="AA208" s="2">
        <v>0</v>
      </c>
      <c r="AB208" s="2"/>
      <c r="AC208" s="2">
        <v>133</v>
      </c>
      <c r="AD208" s="2">
        <v>134</v>
      </c>
      <c r="AE208" s="2">
        <v>0</v>
      </c>
      <c r="AF208" s="2">
        <v>0</v>
      </c>
      <c r="AG208" s="2">
        <v>0</v>
      </c>
      <c r="AH208" s="2"/>
      <c r="AI208" s="2">
        <v>-3733</v>
      </c>
      <c r="AJ208" s="2">
        <v>-3168</v>
      </c>
      <c r="AK208" s="2">
        <v>-3167</v>
      </c>
      <c r="AL208" s="2">
        <v>0</v>
      </c>
      <c r="AM208" s="2">
        <v>-3168</v>
      </c>
    </row>
    <row r="209" spans="1:39">
      <c r="A209" s="349">
        <v>91801</v>
      </c>
      <c r="B209" s="342" t="s">
        <v>897</v>
      </c>
      <c r="C209" s="358">
        <v>7.6594000000000002E-3</v>
      </c>
      <c r="E209" s="2">
        <v>2536076</v>
      </c>
      <c r="F209" s="2">
        <v>3449411</v>
      </c>
      <c r="G209" s="2">
        <v>2035277</v>
      </c>
      <c r="H209" s="2">
        <v>1139887</v>
      </c>
      <c r="I209" s="2">
        <v>0</v>
      </c>
      <c r="J209" s="2"/>
      <c r="K209" s="2">
        <v>1420122</v>
      </c>
      <c r="L209" s="2">
        <v>1308180</v>
      </c>
      <c r="M209" s="2">
        <v>728087</v>
      </c>
      <c r="N209" s="2">
        <v>0</v>
      </c>
      <c r="O209" s="2">
        <v>0</v>
      </c>
      <c r="P209" s="2"/>
      <c r="Q209" s="2">
        <v>92058</v>
      </c>
      <c r="R209" s="2">
        <v>1287583</v>
      </c>
      <c r="S209" s="2">
        <v>1332108</v>
      </c>
      <c r="T209" s="2">
        <v>1139887</v>
      </c>
      <c r="U209" s="2">
        <v>0</v>
      </c>
      <c r="V209" s="2"/>
      <c r="W209" s="2">
        <v>1124216</v>
      </c>
      <c r="X209" s="2">
        <v>912671</v>
      </c>
      <c r="Y209" s="2">
        <v>0</v>
      </c>
      <c r="Z209" s="2">
        <v>0</v>
      </c>
      <c r="AA209" s="2">
        <v>0</v>
      </c>
      <c r="AB209" s="2"/>
      <c r="AC209" s="2">
        <v>42542</v>
      </c>
      <c r="AD209" s="2">
        <v>42542</v>
      </c>
      <c r="AE209" s="2">
        <v>42541</v>
      </c>
      <c r="AF209" s="2">
        <v>0</v>
      </c>
      <c r="AG209" s="2">
        <v>0</v>
      </c>
      <c r="AH209" s="2"/>
      <c r="AI209" s="2">
        <v>-142862</v>
      </c>
      <c r="AJ209" s="2">
        <v>-101565</v>
      </c>
      <c r="AK209" s="2">
        <v>-67459</v>
      </c>
      <c r="AL209" s="2">
        <v>0</v>
      </c>
      <c r="AM209" s="2">
        <v>-101565</v>
      </c>
    </row>
    <row r="210" spans="1:39">
      <c r="A210" s="349">
        <v>91804</v>
      </c>
      <c r="B210" s="342" t="s">
        <v>898</v>
      </c>
      <c r="C210" s="358">
        <v>1.382E-4</v>
      </c>
      <c r="E210" s="2">
        <v>82858</v>
      </c>
      <c r="F210" s="2">
        <v>93730</v>
      </c>
      <c r="G210" s="2">
        <v>58587</v>
      </c>
      <c r="H210" s="2">
        <v>20567</v>
      </c>
      <c r="I210" s="2">
        <v>0</v>
      </c>
      <c r="J210" s="2"/>
      <c r="K210" s="2">
        <v>25624</v>
      </c>
      <c r="L210" s="2">
        <v>23604</v>
      </c>
      <c r="M210" s="2">
        <v>13137</v>
      </c>
      <c r="N210" s="2">
        <v>0</v>
      </c>
      <c r="O210" s="2">
        <v>0</v>
      </c>
      <c r="P210" s="2"/>
      <c r="Q210" s="2">
        <v>1661</v>
      </c>
      <c r="R210" s="2">
        <v>23232</v>
      </c>
      <c r="S210" s="2">
        <v>24035</v>
      </c>
      <c r="T210" s="2">
        <v>20567</v>
      </c>
      <c r="U210" s="2">
        <v>0</v>
      </c>
      <c r="V210" s="2"/>
      <c r="W210" s="2">
        <v>20284</v>
      </c>
      <c r="X210" s="2">
        <v>16467</v>
      </c>
      <c r="Y210" s="2">
        <v>0</v>
      </c>
      <c r="Z210" s="2">
        <v>0</v>
      </c>
      <c r="AA210" s="2">
        <v>0</v>
      </c>
      <c r="AB210" s="2"/>
      <c r="AC210" s="2">
        <v>35289</v>
      </c>
      <c r="AD210" s="2">
        <v>30427</v>
      </c>
      <c r="AE210" s="2">
        <v>21415</v>
      </c>
      <c r="AF210" s="2">
        <v>0</v>
      </c>
      <c r="AG210" s="2">
        <v>0</v>
      </c>
      <c r="AH210" s="2"/>
      <c r="AI210" s="2">
        <v>0</v>
      </c>
      <c r="AJ210" s="2">
        <v>0</v>
      </c>
      <c r="AK210" s="2">
        <v>0</v>
      </c>
      <c r="AL210" s="2">
        <v>0</v>
      </c>
      <c r="AM210" s="2">
        <v>0</v>
      </c>
    </row>
    <row r="211" spans="1:39">
      <c r="A211" s="349">
        <v>91811</v>
      </c>
      <c r="B211" s="342" t="s">
        <v>899</v>
      </c>
      <c r="C211" s="358">
        <v>4.3679000000000001E-3</v>
      </c>
      <c r="E211" s="2">
        <v>1408456</v>
      </c>
      <c r="F211" s="2">
        <v>1946249</v>
      </c>
      <c r="G211" s="2">
        <v>1164124</v>
      </c>
      <c r="H211" s="2">
        <v>650040</v>
      </c>
      <c r="I211" s="2">
        <v>0</v>
      </c>
      <c r="J211" s="2"/>
      <c r="K211" s="2">
        <v>809848</v>
      </c>
      <c r="L211" s="2">
        <v>746011</v>
      </c>
      <c r="M211" s="2">
        <v>415204</v>
      </c>
      <c r="N211" s="2">
        <v>0</v>
      </c>
      <c r="O211" s="2">
        <v>0</v>
      </c>
      <c r="P211" s="2"/>
      <c r="Q211" s="2">
        <v>52498</v>
      </c>
      <c r="R211" s="2">
        <v>734266</v>
      </c>
      <c r="S211" s="2">
        <v>759656</v>
      </c>
      <c r="T211" s="2">
        <v>650040</v>
      </c>
      <c r="U211" s="2">
        <v>0</v>
      </c>
      <c r="V211" s="2"/>
      <c r="W211" s="2">
        <v>641103</v>
      </c>
      <c r="X211" s="2">
        <v>520466</v>
      </c>
      <c r="Y211" s="2">
        <v>0</v>
      </c>
      <c r="Z211" s="2">
        <v>0</v>
      </c>
      <c r="AA211" s="2">
        <v>0</v>
      </c>
      <c r="AB211" s="2"/>
      <c r="AC211" s="2">
        <v>37355</v>
      </c>
      <c r="AD211" s="2">
        <v>37355</v>
      </c>
      <c r="AE211" s="2">
        <v>37355</v>
      </c>
      <c r="AF211" s="2">
        <v>0</v>
      </c>
      <c r="AG211" s="2">
        <v>0</v>
      </c>
      <c r="AH211" s="2"/>
      <c r="AI211" s="2">
        <v>-132348</v>
      </c>
      <c r="AJ211" s="2">
        <v>-91849</v>
      </c>
      <c r="AK211" s="2">
        <v>-48091</v>
      </c>
      <c r="AL211" s="2">
        <v>0</v>
      </c>
      <c r="AM211" s="2">
        <v>-91849</v>
      </c>
    </row>
    <row r="212" spans="1:39">
      <c r="A212" s="349">
        <v>91812</v>
      </c>
      <c r="B212" s="342" t="s">
        <v>3655</v>
      </c>
      <c r="C212" s="358">
        <v>5.7299999999999997E-5</v>
      </c>
      <c r="E212" s="2">
        <v>25933</v>
      </c>
      <c r="F212" s="2">
        <v>33133</v>
      </c>
      <c r="G212" s="2">
        <v>21369</v>
      </c>
      <c r="H212" s="2">
        <v>8528</v>
      </c>
      <c r="I212" s="2">
        <v>0</v>
      </c>
      <c r="J212" s="2"/>
      <c r="K212" s="2">
        <v>10624</v>
      </c>
      <c r="L212" s="2">
        <v>9786</v>
      </c>
      <c r="M212" s="2">
        <v>5447</v>
      </c>
      <c r="N212" s="2">
        <v>0</v>
      </c>
      <c r="O212" s="2">
        <v>0</v>
      </c>
      <c r="P212" s="2"/>
      <c r="Q212" s="2">
        <v>689</v>
      </c>
      <c r="R212" s="2">
        <v>9632</v>
      </c>
      <c r="S212" s="2">
        <v>9966</v>
      </c>
      <c r="T212" s="2">
        <v>8528</v>
      </c>
      <c r="U212" s="2">
        <v>0</v>
      </c>
      <c r="V212" s="2"/>
      <c r="W212" s="2">
        <v>8410</v>
      </c>
      <c r="X212" s="2">
        <v>6828</v>
      </c>
      <c r="Y212" s="2">
        <v>0</v>
      </c>
      <c r="Z212" s="2">
        <v>0</v>
      </c>
      <c r="AA212" s="2">
        <v>0</v>
      </c>
      <c r="AB212" s="2"/>
      <c r="AC212" s="2">
        <v>7511</v>
      </c>
      <c r="AD212" s="2">
        <v>7509</v>
      </c>
      <c r="AE212" s="2">
        <v>6580</v>
      </c>
      <c r="AF212" s="2">
        <v>0</v>
      </c>
      <c r="AG212" s="2">
        <v>0</v>
      </c>
      <c r="AH212" s="2"/>
      <c r="AI212" s="2">
        <v>-1301</v>
      </c>
      <c r="AJ212" s="2">
        <v>-622</v>
      </c>
      <c r="AK212" s="2">
        <v>-624</v>
      </c>
      <c r="AL212" s="2">
        <v>0</v>
      </c>
      <c r="AM212" s="2">
        <v>-622</v>
      </c>
    </row>
    <row r="213" spans="1:39">
      <c r="A213" s="349">
        <v>91813</v>
      </c>
      <c r="B213" s="342" t="s">
        <v>901</v>
      </c>
      <c r="C213" s="358">
        <v>7.7299999999999995E-5</v>
      </c>
      <c r="E213" s="2">
        <v>26067</v>
      </c>
      <c r="F213" s="2">
        <v>37606</v>
      </c>
      <c r="G213" s="2">
        <v>23465</v>
      </c>
      <c r="H213" s="2">
        <v>11504</v>
      </c>
      <c r="I213" s="2">
        <v>0</v>
      </c>
      <c r="J213" s="2"/>
      <c r="K213" s="2">
        <v>14332</v>
      </c>
      <c r="L213" s="2">
        <v>13202</v>
      </c>
      <c r="M213" s="2">
        <v>7348</v>
      </c>
      <c r="N213" s="2">
        <v>0</v>
      </c>
      <c r="O213" s="2">
        <v>0</v>
      </c>
      <c r="P213" s="2"/>
      <c r="Q213" s="2">
        <v>929</v>
      </c>
      <c r="R213" s="2">
        <v>12995</v>
      </c>
      <c r="S213" s="2">
        <v>13444</v>
      </c>
      <c r="T213" s="2">
        <v>11504</v>
      </c>
      <c r="U213" s="2">
        <v>0</v>
      </c>
      <c r="V213" s="2"/>
      <c r="W213" s="2">
        <v>11346</v>
      </c>
      <c r="X213" s="2">
        <v>9211</v>
      </c>
      <c r="Y213" s="2">
        <v>0</v>
      </c>
      <c r="Z213" s="2">
        <v>0</v>
      </c>
      <c r="AA213" s="2">
        <v>0</v>
      </c>
      <c r="AB213" s="2"/>
      <c r="AC213" s="2">
        <v>4272</v>
      </c>
      <c r="AD213" s="2">
        <v>4272</v>
      </c>
      <c r="AE213" s="2">
        <v>4270</v>
      </c>
      <c r="AF213" s="2">
        <v>0</v>
      </c>
      <c r="AG213" s="2">
        <v>0</v>
      </c>
      <c r="AH213" s="2"/>
      <c r="AI213" s="2">
        <v>-4812</v>
      </c>
      <c r="AJ213" s="2">
        <v>-2074</v>
      </c>
      <c r="AK213" s="2">
        <v>-1597</v>
      </c>
      <c r="AL213" s="2">
        <v>0</v>
      </c>
      <c r="AM213" s="2">
        <v>-2074</v>
      </c>
    </row>
    <row r="214" spans="1:39">
      <c r="A214" s="349">
        <v>91818</v>
      </c>
      <c r="B214" s="342" t="s">
        <v>2780</v>
      </c>
      <c r="C214" s="358">
        <v>4.2240000000000002E-4</v>
      </c>
      <c r="E214" s="2">
        <v>272921</v>
      </c>
      <c r="F214" s="2">
        <v>264579</v>
      </c>
      <c r="G214" s="2">
        <v>130802</v>
      </c>
      <c r="H214" s="2">
        <v>62862</v>
      </c>
      <c r="I214" s="2">
        <v>0</v>
      </c>
      <c r="J214" s="2"/>
      <c r="K214" s="2">
        <v>78317</v>
      </c>
      <c r="L214" s="2">
        <v>72143</v>
      </c>
      <c r="M214" s="2">
        <v>40152</v>
      </c>
      <c r="N214" s="2">
        <v>0</v>
      </c>
      <c r="O214" s="2">
        <v>0</v>
      </c>
      <c r="P214" s="2"/>
      <c r="Q214" s="2">
        <v>5077</v>
      </c>
      <c r="R214" s="2">
        <v>71008</v>
      </c>
      <c r="S214" s="2">
        <v>73463</v>
      </c>
      <c r="T214" s="2">
        <v>62862</v>
      </c>
      <c r="U214" s="2">
        <v>0</v>
      </c>
      <c r="V214" s="2"/>
      <c r="W214" s="2">
        <v>61998</v>
      </c>
      <c r="X214" s="2">
        <v>50332</v>
      </c>
      <c r="Y214" s="2">
        <v>0</v>
      </c>
      <c r="Z214" s="2">
        <v>0</v>
      </c>
      <c r="AA214" s="2">
        <v>0</v>
      </c>
      <c r="AB214" s="2"/>
      <c r="AC214" s="2">
        <v>127529</v>
      </c>
      <c r="AD214" s="2">
        <v>71096</v>
      </c>
      <c r="AE214" s="2">
        <v>17187</v>
      </c>
      <c r="AF214" s="2">
        <v>0</v>
      </c>
      <c r="AG214" s="2">
        <v>0</v>
      </c>
      <c r="AH214" s="2"/>
      <c r="AI214" s="2">
        <v>0</v>
      </c>
      <c r="AJ214" s="2">
        <v>0</v>
      </c>
      <c r="AK214" s="2">
        <v>0</v>
      </c>
      <c r="AL214" s="2">
        <v>0</v>
      </c>
      <c r="AM214" s="2">
        <v>0</v>
      </c>
    </row>
    <row r="215" spans="1:39">
      <c r="A215" s="349">
        <v>91819</v>
      </c>
      <c r="B215" s="342" t="s">
        <v>903</v>
      </c>
      <c r="C215" s="358">
        <v>2.8850000000000002E-4</v>
      </c>
      <c r="E215" s="2">
        <v>102738</v>
      </c>
      <c r="F215" s="2">
        <v>133528</v>
      </c>
      <c r="G215" s="2">
        <v>73861</v>
      </c>
      <c r="H215" s="2">
        <v>42935</v>
      </c>
      <c r="I215" s="2">
        <v>0</v>
      </c>
      <c r="J215" s="2"/>
      <c r="K215" s="2">
        <v>53490</v>
      </c>
      <c r="L215" s="2">
        <v>49274</v>
      </c>
      <c r="M215" s="2">
        <v>27424</v>
      </c>
      <c r="N215" s="2">
        <v>0</v>
      </c>
      <c r="O215" s="2">
        <v>0</v>
      </c>
      <c r="P215" s="2"/>
      <c r="Q215" s="2">
        <v>3467</v>
      </c>
      <c r="R215" s="2">
        <v>48498</v>
      </c>
      <c r="S215" s="2">
        <v>50175</v>
      </c>
      <c r="T215" s="2">
        <v>42935</v>
      </c>
      <c r="U215" s="2">
        <v>0</v>
      </c>
      <c r="V215" s="2"/>
      <c r="W215" s="2">
        <v>42345</v>
      </c>
      <c r="X215" s="2">
        <v>34377</v>
      </c>
      <c r="Y215" s="2">
        <v>0</v>
      </c>
      <c r="Z215" s="2">
        <v>0</v>
      </c>
      <c r="AA215" s="2">
        <v>0</v>
      </c>
      <c r="AB215" s="2"/>
      <c r="AC215" s="2">
        <v>12077</v>
      </c>
      <c r="AD215" s="2">
        <v>10020</v>
      </c>
      <c r="AE215" s="2">
        <v>4901</v>
      </c>
      <c r="AF215" s="2">
        <v>0</v>
      </c>
      <c r="AG215" s="2">
        <v>0</v>
      </c>
      <c r="AH215" s="2"/>
      <c r="AI215" s="2">
        <v>-8641</v>
      </c>
      <c r="AJ215" s="2">
        <v>-8641</v>
      </c>
      <c r="AK215" s="2">
        <v>-8639</v>
      </c>
      <c r="AL215" s="2">
        <v>0</v>
      </c>
      <c r="AM215" s="2">
        <v>-8641</v>
      </c>
    </row>
    <row r="216" spans="1:39">
      <c r="A216" s="349">
        <v>91821</v>
      </c>
      <c r="B216" s="342" t="s">
        <v>904</v>
      </c>
      <c r="C216" s="358">
        <v>1.4750000000000001E-4</v>
      </c>
      <c r="E216" s="2">
        <v>40184</v>
      </c>
      <c r="F216" s="2">
        <v>56939</v>
      </c>
      <c r="G216" s="2">
        <v>31350</v>
      </c>
      <c r="H216" s="2">
        <v>21951</v>
      </c>
      <c r="I216" s="2">
        <v>0</v>
      </c>
      <c r="J216" s="2"/>
      <c r="K216" s="2">
        <v>27348</v>
      </c>
      <c r="L216" s="2">
        <v>25192</v>
      </c>
      <c r="M216" s="2">
        <v>14021</v>
      </c>
      <c r="N216" s="2">
        <v>0</v>
      </c>
      <c r="O216" s="2">
        <v>0</v>
      </c>
      <c r="P216" s="2"/>
      <c r="Q216" s="2">
        <v>1773</v>
      </c>
      <c r="R216" s="2">
        <v>24795</v>
      </c>
      <c r="S216" s="2">
        <v>25653</v>
      </c>
      <c r="T216" s="2">
        <v>21951</v>
      </c>
      <c r="U216" s="2">
        <v>0</v>
      </c>
      <c r="V216" s="2"/>
      <c r="W216" s="2">
        <v>21649</v>
      </c>
      <c r="X216" s="2">
        <v>17576</v>
      </c>
      <c r="Y216" s="2">
        <v>0</v>
      </c>
      <c r="Z216" s="2">
        <v>0</v>
      </c>
      <c r="AA216" s="2">
        <v>0</v>
      </c>
      <c r="AB216" s="2"/>
      <c r="AC216" s="2">
        <v>39</v>
      </c>
      <c r="AD216" s="2">
        <v>0</v>
      </c>
      <c r="AE216" s="2">
        <v>0</v>
      </c>
      <c r="AF216" s="2">
        <v>0</v>
      </c>
      <c r="AG216" s="2">
        <v>0</v>
      </c>
      <c r="AH216" s="2"/>
      <c r="AI216" s="2">
        <v>-10625</v>
      </c>
      <c r="AJ216" s="2">
        <v>-10624</v>
      </c>
      <c r="AK216" s="2">
        <v>-8324</v>
      </c>
      <c r="AL216" s="2">
        <v>0</v>
      </c>
      <c r="AM216" s="2">
        <v>-10624</v>
      </c>
    </row>
    <row r="217" spans="1:39">
      <c r="A217" s="349">
        <v>91831</v>
      </c>
      <c r="B217" s="342" t="s">
        <v>905</v>
      </c>
      <c r="C217" s="358">
        <v>4.3399999999999998E-4</v>
      </c>
      <c r="E217" s="2">
        <v>169578</v>
      </c>
      <c r="F217" s="2">
        <v>220663</v>
      </c>
      <c r="G217" s="2">
        <v>135144</v>
      </c>
      <c r="H217" s="2">
        <v>64589</v>
      </c>
      <c r="I217" s="2">
        <v>0</v>
      </c>
      <c r="J217" s="2"/>
      <c r="K217" s="2">
        <v>80468</v>
      </c>
      <c r="L217" s="2">
        <v>74125</v>
      </c>
      <c r="M217" s="2">
        <v>41255</v>
      </c>
      <c r="N217" s="2">
        <v>0</v>
      </c>
      <c r="O217" s="2">
        <v>0</v>
      </c>
      <c r="P217" s="2"/>
      <c r="Q217" s="2">
        <v>5216</v>
      </c>
      <c r="R217" s="2">
        <v>72958</v>
      </c>
      <c r="S217" s="2">
        <v>75480</v>
      </c>
      <c r="T217" s="2">
        <v>64589</v>
      </c>
      <c r="U217" s="2">
        <v>0</v>
      </c>
      <c r="V217" s="2"/>
      <c r="W217" s="2">
        <v>63701</v>
      </c>
      <c r="X217" s="2">
        <v>51714</v>
      </c>
      <c r="Y217" s="2">
        <v>0</v>
      </c>
      <c r="Z217" s="2">
        <v>0</v>
      </c>
      <c r="AA217" s="2">
        <v>0</v>
      </c>
      <c r="AB217" s="2"/>
      <c r="AC217" s="2">
        <v>22362</v>
      </c>
      <c r="AD217" s="2">
        <v>22362</v>
      </c>
      <c r="AE217" s="2">
        <v>18906</v>
      </c>
      <c r="AF217" s="2">
        <v>0</v>
      </c>
      <c r="AG217" s="2">
        <v>0</v>
      </c>
      <c r="AH217" s="2"/>
      <c r="AI217" s="2">
        <v>-2169</v>
      </c>
      <c r="AJ217" s="2">
        <v>-496</v>
      </c>
      <c r="AK217" s="2">
        <v>-497</v>
      </c>
      <c r="AL217" s="2">
        <v>0</v>
      </c>
      <c r="AM217" s="2">
        <v>-496</v>
      </c>
    </row>
    <row r="218" spans="1:39">
      <c r="A218" s="349">
        <v>91841</v>
      </c>
      <c r="B218" s="342" t="s">
        <v>906</v>
      </c>
      <c r="C218" s="358">
        <v>2.7809999999999998E-4</v>
      </c>
      <c r="E218" s="2">
        <v>106313</v>
      </c>
      <c r="F218" s="2">
        <v>137554</v>
      </c>
      <c r="G218" s="2">
        <v>83797</v>
      </c>
      <c r="H218" s="2">
        <v>41387</v>
      </c>
      <c r="I218" s="2">
        <v>0</v>
      </c>
      <c r="J218" s="2"/>
      <c r="K218" s="2">
        <v>51562</v>
      </c>
      <c r="L218" s="2">
        <v>47498</v>
      </c>
      <c r="M218" s="2">
        <v>26436</v>
      </c>
      <c r="N218" s="2">
        <v>0</v>
      </c>
      <c r="O218" s="2">
        <v>0</v>
      </c>
      <c r="P218" s="2"/>
      <c r="Q218" s="2">
        <v>3342</v>
      </c>
      <c r="R218" s="2">
        <v>46750</v>
      </c>
      <c r="S218" s="2">
        <v>48367</v>
      </c>
      <c r="T218" s="2">
        <v>41387</v>
      </c>
      <c r="U218" s="2">
        <v>0</v>
      </c>
      <c r="V218" s="2"/>
      <c r="W218" s="2">
        <v>40818</v>
      </c>
      <c r="X218" s="2">
        <v>33138</v>
      </c>
      <c r="Y218" s="2">
        <v>0</v>
      </c>
      <c r="Z218" s="2">
        <v>0</v>
      </c>
      <c r="AA218" s="2">
        <v>0</v>
      </c>
      <c r="AB218" s="2"/>
      <c r="AC218" s="2">
        <v>12450</v>
      </c>
      <c r="AD218" s="2">
        <v>12027</v>
      </c>
      <c r="AE218" s="2">
        <v>10854</v>
      </c>
      <c r="AF218" s="2">
        <v>0</v>
      </c>
      <c r="AG218" s="2">
        <v>0</v>
      </c>
      <c r="AH218" s="2"/>
      <c r="AI218" s="2">
        <v>-1859</v>
      </c>
      <c r="AJ218" s="2">
        <v>-1859</v>
      </c>
      <c r="AK218" s="2">
        <v>-1860</v>
      </c>
      <c r="AL218" s="2">
        <v>0</v>
      </c>
      <c r="AM218" s="2">
        <v>-1859</v>
      </c>
    </row>
    <row r="219" spans="1:39">
      <c r="A219" s="349">
        <v>91851</v>
      </c>
      <c r="B219" s="342" t="s">
        <v>907</v>
      </c>
      <c r="C219" s="358">
        <v>6.7429999999999996E-4</v>
      </c>
      <c r="E219" s="2">
        <v>224039</v>
      </c>
      <c r="F219" s="2">
        <v>299445</v>
      </c>
      <c r="G219" s="2">
        <v>174337</v>
      </c>
      <c r="H219" s="2">
        <v>100351</v>
      </c>
      <c r="I219" s="2">
        <v>0</v>
      </c>
      <c r="J219" s="2"/>
      <c r="K219" s="2">
        <v>125021</v>
      </c>
      <c r="L219" s="2">
        <v>115166</v>
      </c>
      <c r="M219" s="2">
        <v>64098</v>
      </c>
      <c r="N219" s="2">
        <v>0</v>
      </c>
      <c r="O219" s="2">
        <v>0</v>
      </c>
      <c r="P219" s="2"/>
      <c r="Q219" s="2">
        <v>8104</v>
      </c>
      <c r="R219" s="2">
        <v>113353</v>
      </c>
      <c r="S219" s="2">
        <v>117273</v>
      </c>
      <c r="T219" s="2">
        <v>100351</v>
      </c>
      <c r="U219" s="2">
        <v>0</v>
      </c>
      <c r="V219" s="2"/>
      <c r="W219" s="2">
        <v>98971</v>
      </c>
      <c r="X219" s="2">
        <v>80348</v>
      </c>
      <c r="Y219" s="2">
        <v>0</v>
      </c>
      <c r="Z219" s="2">
        <v>0</v>
      </c>
      <c r="AA219" s="2">
        <v>0</v>
      </c>
      <c r="AB219" s="2"/>
      <c r="AC219" s="2">
        <v>1365</v>
      </c>
      <c r="AD219" s="2">
        <v>0</v>
      </c>
      <c r="AE219" s="2">
        <v>0</v>
      </c>
      <c r="AF219" s="2">
        <v>0</v>
      </c>
      <c r="AG219" s="2">
        <v>0</v>
      </c>
      <c r="AH219" s="2"/>
      <c r="AI219" s="2">
        <v>-9422</v>
      </c>
      <c r="AJ219" s="2">
        <v>-9422</v>
      </c>
      <c r="AK219" s="2">
        <v>-7034</v>
      </c>
      <c r="AL219" s="2">
        <v>0</v>
      </c>
      <c r="AM219" s="2">
        <v>-9422</v>
      </c>
    </row>
    <row r="220" spans="1:39">
      <c r="A220" s="349">
        <v>91861</v>
      </c>
      <c r="B220" s="342" t="s">
        <v>908</v>
      </c>
      <c r="C220" s="358">
        <v>6.9999999999999999E-6</v>
      </c>
      <c r="E220" s="2">
        <v>-181</v>
      </c>
      <c r="F220" s="2">
        <v>856</v>
      </c>
      <c r="G220" s="2">
        <v>632</v>
      </c>
      <c r="H220" s="2">
        <v>1042</v>
      </c>
      <c r="I220" s="2">
        <v>0</v>
      </c>
      <c r="J220" s="2"/>
      <c r="K220" s="2">
        <v>1298</v>
      </c>
      <c r="L220" s="2">
        <v>1196</v>
      </c>
      <c r="M220" s="2">
        <v>665</v>
      </c>
      <c r="N220" s="2">
        <v>0</v>
      </c>
      <c r="O220" s="2">
        <v>0</v>
      </c>
      <c r="P220" s="2"/>
      <c r="Q220" s="2">
        <v>84</v>
      </c>
      <c r="R220" s="2">
        <v>1177</v>
      </c>
      <c r="S220" s="2">
        <v>1217</v>
      </c>
      <c r="T220" s="2">
        <v>1042</v>
      </c>
      <c r="U220" s="2">
        <v>0</v>
      </c>
      <c r="V220" s="2"/>
      <c r="W220" s="2">
        <v>1027</v>
      </c>
      <c r="X220" s="2">
        <v>834</v>
      </c>
      <c r="Y220" s="2">
        <v>0</v>
      </c>
      <c r="Z220" s="2">
        <v>0</v>
      </c>
      <c r="AA220" s="2">
        <v>0</v>
      </c>
      <c r="AB220" s="2"/>
      <c r="AC220" s="2">
        <v>0</v>
      </c>
      <c r="AD220" s="2">
        <v>0</v>
      </c>
      <c r="AE220" s="2">
        <v>0</v>
      </c>
      <c r="AF220" s="2">
        <v>0</v>
      </c>
      <c r="AG220" s="2">
        <v>0</v>
      </c>
      <c r="AH220" s="2"/>
      <c r="AI220" s="2">
        <v>-2590</v>
      </c>
      <c r="AJ220" s="2">
        <v>-2351</v>
      </c>
      <c r="AK220" s="2">
        <v>-1250</v>
      </c>
      <c r="AL220" s="2">
        <v>0</v>
      </c>
      <c r="AM220" s="2">
        <v>-2351</v>
      </c>
    </row>
    <row r="221" spans="1:39">
      <c r="A221" s="349">
        <v>91871</v>
      </c>
      <c r="B221" s="342" t="s">
        <v>909</v>
      </c>
      <c r="C221" s="358">
        <v>1.3648E-3</v>
      </c>
      <c r="E221" s="2">
        <v>478319</v>
      </c>
      <c r="F221" s="2">
        <v>628071</v>
      </c>
      <c r="G221" s="2">
        <v>378151</v>
      </c>
      <c r="H221" s="2">
        <v>203112</v>
      </c>
      <c r="I221" s="2">
        <v>0</v>
      </c>
      <c r="J221" s="2"/>
      <c r="K221" s="2">
        <v>253046</v>
      </c>
      <c r="L221" s="2">
        <v>233100</v>
      </c>
      <c r="M221" s="2">
        <v>129735</v>
      </c>
      <c r="N221" s="2">
        <v>0</v>
      </c>
      <c r="O221" s="2">
        <v>0</v>
      </c>
      <c r="P221" s="2"/>
      <c r="Q221" s="2">
        <v>16404</v>
      </c>
      <c r="R221" s="2">
        <v>229430</v>
      </c>
      <c r="S221" s="2">
        <v>237363</v>
      </c>
      <c r="T221" s="2">
        <v>203112</v>
      </c>
      <c r="U221" s="2">
        <v>0</v>
      </c>
      <c r="V221" s="2"/>
      <c r="W221" s="2">
        <v>200320</v>
      </c>
      <c r="X221" s="2">
        <v>162625</v>
      </c>
      <c r="Y221" s="2">
        <v>0</v>
      </c>
      <c r="Z221" s="2">
        <v>0</v>
      </c>
      <c r="AA221" s="2">
        <v>0</v>
      </c>
      <c r="AB221" s="2"/>
      <c r="AC221" s="2">
        <v>20771</v>
      </c>
      <c r="AD221" s="2">
        <v>15138</v>
      </c>
      <c r="AE221" s="2">
        <v>15139</v>
      </c>
      <c r="AF221" s="2">
        <v>0</v>
      </c>
      <c r="AG221" s="2">
        <v>0</v>
      </c>
      <c r="AH221" s="2"/>
      <c r="AI221" s="2">
        <v>-12222</v>
      </c>
      <c r="AJ221" s="2">
        <v>-12222</v>
      </c>
      <c r="AK221" s="2">
        <v>-4086</v>
      </c>
      <c r="AL221" s="2">
        <v>0</v>
      </c>
      <c r="AM221" s="2">
        <v>-12222</v>
      </c>
    </row>
    <row r="222" spans="1:39">
      <c r="A222" s="349">
        <v>91881</v>
      </c>
      <c r="B222" s="342" t="s">
        <v>910</v>
      </c>
      <c r="C222" s="358">
        <v>1.5E-5</v>
      </c>
      <c r="E222" s="2">
        <v>5368</v>
      </c>
      <c r="F222" s="2">
        <v>6789</v>
      </c>
      <c r="G222" s="2">
        <v>3943</v>
      </c>
      <c r="H222" s="2">
        <v>2232</v>
      </c>
      <c r="I222" s="2">
        <v>0</v>
      </c>
      <c r="J222" s="2"/>
      <c r="K222" s="2">
        <v>2781</v>
      </c>
      <c r="L222" s="2">
        <v>2562</v>
      </c>
      <c r="M222" s="2">
        <v>1426</v>
      </c>
      <c r="N222" s="2">
        <v>0</v>
      </c>
      <c r="O222" s="2">
        <v>0</v>
      </c>
      <c r="P222" s="2"/>
      <c r="Q222" s="2">
        <v>180</v>
      </c>
      <c r="R222" s="2">
        <v>2522</v>
      </c>
      <c r="S222" s="2">
        <v>2609</v>
      </c>
      <c r="T222" s="2">
        <v>2232</v>
      </c>
      <c r="U222" s="2">
        <v>0</v>
      </c>
      <c r="V222" s="2"/>
      <c r="W222" s="2">
        <v>2202</v>
      </c>
      <c r="X222" s="2">
        <v>1787</v>
      </c>
      <c r="Y222" s="2">
        <v>0</v>
      </c>
      <c r="Z222" s="2">
        <v>0</v>
      </c>
      <c r="AA222" s="2">
        <v>0</v>
      </c>
      <c r="AB222" s="2"/>
      <c r="AC222" s="2">
        <v>2578</v>
      </c>
      <c r="AD222" s="2">
        <v>2291</v>
      </c>
      <c r="AE222" s="2">
        <v>2279</v>
      </c>
      <c r="AF222" s="2">
        <v>0</v>
      </c>
      <c r="AG222" s="2">
        <v>0</v>
      </c>
      <c r="AH222" s="2"/>
      <c r="AI222" s="2">
        <v>-2373</v>
      </c>
      <c r="AJ222" s="2">
        <v>-2373</v>
      </c>
      <c r="AK222" s="2">
        <v>-2371</v>
      </c>
      <c r="AL222" s="2">
        <v>0</v>
      </c>
      <c r="AM222" s="2">
        <v>-2373</v>
      </c>
    </row>
    <row r="223" spans="1:39">
      <c r="A223" s="349">
        <v>91901</v>
      </c>
      <c r="B223" s="342" t="s">
        <v>911</v>
      </c>
      <c r="C223" s="358">
        <v>3.7631000000000001E-3</v>
      </c>
      <c r="E223" s="2">
        <v>1280311</v>
      </c>
      <c r="F223" s="2">
        <v>1712884</v>
      </c>
      <c r="G223" s="2">
        <v>1010106</v>
      </c>
      <c r="H223" s="2">
        <v>560032</v>
      </c>
      <c r="I223" s="2">
        <v>0</v>
      </c>
      <c r="J223" s="2"/>
      <c r="K223" s="2">
        <v>697713</v>
      </c>
      <c r="L223" s="2">
        <v>642715</v>
      </c>
      <c r="M223" s="2">
        <v>357713</v>
      </c>
      <c r="N223" s="2">
        <v>0</v>
      </c>
      <c r="O223" s="2">
        <v>0</v>
      </c>
      <c r="P223" s="2"/>
      <c r="Q223" s="2">
        <v>45229</v>
      </c>
      <c r="R223" s="2">
        <v>632596</v>
      </c>
      <c r="S223" s="2">
        <v>654471</v>
      </c>
      <c r="T223" s="2">
        <v>560032</v>
      </c>
      <c r="U223" s="2">
        <v>0</v>
      </c>
      <c r="V223" s="2"/>
      <c r="W223" s="2">
        <v>552333</v>
      </c>
      <c r="X223" s="2">
        <v>448400</v>
      </c>
      <c r="Y223" s="2">
        <v>0</v>
      </c>
      <c r="Z223" s="2">
        <v>0</v>
      </c>
      <c r="AA223" s="2">
        <v>0</v>
      </c>
      <c r="AB223" s="2"/>
      <c r="AC223" s="2">
        <v>9307</v>
      </c>
      <c r="AD223" s="2">
        <v>9307</v>
      </c>
      <c r="AE223" s="2">
        <v>9307</v>
      </c>
      <c r="AF223" s="2">
        <v>0</v>
      </c>
      <c r="AG223" s="2">
        <v>0</v>
      </c>
      <c r="AH223" s="2"/>
      <c r="AI223" s="2">
        <v>-24271</v>
      </c>
      <c r="AJ223" s="2">
        <v>-20134</v>
      </c>
      <c r="AK223" s="2">
        <v>-11385</v>
      </c>
      <c r="AL223" s="2">
        <v>0</v>
      </c>
      <c r="AM223" s="2">
        <v>-20134</v>
      </c>
    </row>
    <row r="224" spans="1:39">
      <c r="A224" s="349">
        <v>91903</v>
      </c>
      <c r="B224" s="342" t="s">
        <v>2777</v>
      </c>
      <c r="C224" s="358">
        <v>6.1999999999999999E-6</v>
      </c>
      <c r="E224" s="2">
        <v>3790</v>
      </c>
      <c r="F224" s="2">
        <v>4095</v>
      </c>
      <c r="G224" s="2">
        <v>2456</v>
      </c>
      <c r="H224" s="2">
        <v>923</v>
      </c>
      <c r="I224" s="2">
        <v>0</v>
      </c>
      <c r="J224" s="2"/>
      <c r="K224" s="2">
        <v>1150</v>
      </c>
      <c r="L224" s="2">
        <v>1059</v>
      </c>
      <c r="M224" s="2">
        <v>589</v>
      </c>
      <c r="N224" s="2">
        <v>0</v>
      </c>
      <c r="O224" s="2">
        <v>0</v>
      </c>
      <c r="P224" s="2"/>
      <c r="Q224" s="2">
        <v>75</v>
      </c>
      <c r="R224" s="2">
        <v>1042</v>
      </c>
      <c r="S224" s="2">
        <v>1078</v>
      </c>
      <c r="T224" s="2">
        <v>923</v>
      </c>
      <c r="U224" s="2">
        <v>0</v>
      </c>
      <c r="V224" s="2"/>
      <c r="W224" s="2">
        <v>910</v>
      </c>
      <c r="X224" s="2">
        <v>739</v>
      </c>
      <c r="Y224" s="2">
        <v>0</v>
      </c>
      <c r="Z224" s="2">
        <v>0</v>
      </c>
      <c r="AA224" s="2">
        <v>0</v>
      </c>
      <c r="AB224" s="2"/>
      <c r="AC224" s="2">
        <v>1655</v>
      </c>
      <c r="AD224" s="2">
        <v>1255</v>
      </c>
      <c r="AE224" s="2">
        <v>789</v>
      </c>
      <c r="AF224" s="2">
        <v>0</v>
      </c>
      <c r="AG224" s="2">
        <v>0</v>
      </c>
      <c r="AH224" s="2"/>
      <c r="AI224" s="2">
        <v>0</v>
      </c>
      <c r="AJ224" s="2">
        <v>0</v>
      </c>
      <c r="AK224" s="2">
        <v>0</v>
      </c>
      <c r="AL224" s="2">
        <v>0</v>
      </c>
      <c r="AM224" s="2">
        <v>0</v>
      </c>
    </row>
    <row r="225" spans="1:39">
      <c r="A225" s="349">
        <v>91904</v>
      </c>
      <c r="B225" s="342" t="s">
        <v>913</v>
      </c>
      <c r="C225" s="358">
        <v>4.1699999999999997E-5</v>
      </c>
      <c r="E225" s="2">
        <v>20591</v>
      </c>
      <c r="F225" s="2">
        <v>24065</v>
      </c>
      <c r="G225" s="2">
        <v>16286</v>
      </c>
      <c r="H225" s="2">
        <v>6206</v>
      </c>
      <c r="I225" s="2">
        <v>0</v>
      </c>
      <c r="J225" s="2"/>
      <c r="K225" s="2">
        <v>7732</v>
      </c>
      <c r="L225" s="2">
        <v>7122</v>
      </c>
      <c r="M225" s="2">
        <v>3964</v>
      </c>
      <c r="N225" s="2">
        <v>0</v>
      </c>
      <c r="O225" s="2">
        <v>0</v>
      </c>
      <c r="P225" s="2"/>
      <c r="Q225" s="2">
        <v>501</v>
      </c>
      <c r="R225" s="2">
        <v>7010</v>
      </c>
      <c r="S225" s="2">
        <v>7252</v>
      </c>
      <c r="T225" s="2">
        <v>6206</v>
      </c>
      <c r="U225" s="2">
        <v>0</v>
      </c>
      <c r="V225" s="2"/>
      <c r="W225" s="2">
        <v>6121</v>
      </c>
      <c r="X225" s="2">
        <v>4969</v>
      </c>
      <c r="Y225" s="2">
        <v>0</v>
      </c>
      <c r="Z225" s="2">
        <v>0</v>
      </c>
      <c r="AA225" s="2">
        <v>0</v>
      </c>
      <c r="AB225" s="2"/>
      <c r="AC225" s="2">
        <v>6345</v>
      </c>
      <c r="AD225" s="2">
        <v>5074</v>
      </c>
      <c r="AE225" s="2">
        <v>5070</v>
      </c>
      <c r="AF225" s="2">
        <v>0</v>
      </c>
      <c r="AG225" s="2">
        <v>0</v>
      </c>
      <c r="AH225" s="2"/>
      <c r="AI225" s="2">
        <v>-108</v>
      </c>
      <c r="AJ225" s="2">
        <v>-110</v>
      </c>
      <c r="AK225" s="2">
        <v>0</v>
      </c>
      <c r="AL225" s="2">
        <v>0</v>
      </c>
      <c r="AM225" s="2">
        <v>-110</v>
      </c>
    </row>
    <row r="226" spans="1:39">
      <c r="A226" s="349">
        <v>91908</v>
      </c>
      <c r="B226" s="342" t="s">
        <v>914</v>
      </c>
      <c r="C226" s="358">
        <v>1.56E-5</v>
      </c>
      <c r="E226" s="2">
        <v>3194</v>
      </c>
      <c r="F226" s="2">
        <v>4944</v>
      </c>
      <c r="G226" s="2">
        <v>2745</v>
      </c>
      <c r="H226" s="2">
        <v>2322</v>
      </c>
      <c r="I226" s="2">
        <v>0</v>
      </c>
      <c r="J226" s="2"/>
      <c r="K226" s="2">
        <v>2892</v>
      </c>
      <c r="L226" s="2">
        <v>2664</v>
      </c>
      <c r="M226" s="2">
        <v>1483</v>
      </c>
      <c r="N226" s="2">
        <v>0</v>
      </c>
      <c r="O226" s="2">
        <v>0</v>
      </c>
      <c r="P226" s="2"/>
      <c r="Q226" s="2">
        <v>187</v>
      </c>
      <c r="R226" s="2">
        <v>2622</v>
      </c>
      <c r="S226" s="2">
        <v>2713</v>
      </c>
      <c r="T226" s="2">
        <v>2322</v>
      </c>
      <c r="U226" s="2">
        <v>0</v>
      </c>
      <c r="V226" s="2"/>
      <c r="W226" s="2">
        <v>2290</v>
      </c>
      <c r="X226" s="2">
        <v>1859</v>
      </c>
      <c r="Y226" s="2">
        <v>0</v>
      </c>
      <c r="Z226" s="2">
        <v>0</v>
      </c>
      <c r="AA226" s="2">
        <v>0</v>
      </c>
      <c r="AB226" s="2"/>
      <c r="AC226" s="2">
        <v>26</v>
      </c>
      <c r="AD226" s="2">
        <v>0</v>
      </c>
      <c r="AE226" s="2">
        <v>0</v>
      </c>
      <c r="AF226" s="2">
        <v>0</v>
      </c>
      <c r="AG226" s="2">
        <v>0</v>
      </c>
      <c r="AH226" s="2"/>
      <c r="AI226" s="2">
        <v>-2201</v>
      </c>
      <c r="AJ226" s="2">
        <v>-2201</v>
      </c>
      <c r="AK226" s="2">
        <v>-1451</v>
      </c>
      <c r="AL226" s="2">
        <v>0</v>
      </c>
      <c r="AM226" s="2">
        <v>-2201</v>
      </c>
    </row>
    <row r="227" spans="1:39">
      <c r="A227" s="349">
        <v>91911</v>
      </c>
      <c r="B227" s="342" t="s">
        <v>915</v>
      </c>
      <c r="C227" s="358">
        <v>5.4620000000000005E-4</v>
      </c>
      <c r="E227" s="2">
        <v>227013</v>
      </c>
      <c r="F227" s="2">
        <v>287558</v>
      </c>
      <c r="G227" s="2">
        <v>180188</v>
      </c>
      <c r="H227" s="2">
        <v>81287</v>
      </c>
      <c r="I227" s="2">
        <v>0</v>
      </c>
      <c r="J227" s="2"/>
      <c r="K227" s="2">
        <v>101270</v>
      </c>
      <c r="L227" s="2">
        <v>93288</v>
      </c>
      <c r="M227" s="2">
        <v>51921</v>
      </c>
      <c r="N227" s="2">
        <v>0</v>
      </c>
      <c r="O227" s="2">
        <v>0</v>
      </c>
      <c r="P227" s="2"/>
      <c r="Q227" s="2">
        <v>6565</v>
      </c>
      <c r="R227" s="2">
        <v>91819</v>
      </c>
      <c r="S227" s="2">
        <v>94994</v>
      </c>
      <c r="T227" s="2">
        <v>81287</v>
      </c>
      <c r="U227" s="2">
        <v>0</v>
      </c>
      <c r="V227" s="2"/>
      <c r="W227" s="2">
        <v>80169</v>
      </c>
      <c r="X227" s="2">
        <v>65084</v>
      </c>
      <c r="Y227" s="2">
        <v>0</v>
      </c>
      <c r="Z227" s="2">
        <v>0</v>
      </c>
      <c r="AA227" s="2">
        <v>0</v>
      </c>
      <c r="AB227" s="2"/>
      <c r="AC227" s="2">
        <v>46752</v>
      </c>
      <c r="AD227" s="2">
        <v>45110</v>
      </c>
      <c r="AE227" s="2">
        <v>41015</v>
      </c>
      <c r="AF227" s="2">
        <v>0</v>
      </c>
      <c r="AG227" s="2">
        <v>0</v>
      </c>
      <c r="AH227" s="2"/>
      <c r="AI227" s="2">
        <v>-7743</v>
      </c>
      <c r="AJ227" s="2">
        <v>-7743</v>
      </c>
      <c r="AK227" s="2">
        <v>-7742</v>
      </c>
      <c r="AL227" s="2">
        <v>0</v>
      </c>
      <c r="AM227" s="2">
        <v>-7743</v>
      </c>
    </row>
    <row r="228" spans="1:39">
      <c r="A228" s="349">
        <v>91917</v>
      </c>
      <c r="B228" s="342" t="s">
        <v>916</v>
      </c>
      <c r="C228" s="358">
        <v>1.22E-5</v>
      </c>
      <c r="E228" s="2">
        <v>5155</v>
      </c>
      <c r="F228" s="2">
        <v>6625</v>
      </c>
      <c r="G228" s="2">
        <v>4264</v>
      </c>
      <c r="H228" s="2">
        <v>1816</v>
      </c>
      <c r="I228" s="2">
        <v>0</v>
      </c>
      <c r="J228" s="2"/>
      <c r="K228" s="2">
        <v>2262</v>
      </c>
      <c r="L228" s="2">
        <v>2084</v>
      </c>
      <c r="M228" s="2">
        <v>1160</v>
      </c>
      <c r="N228" s="2">
        <v>0</v>
      </c>
      <c r="O228" s="2">
        <v>0</v>
      </c>
      <c r="P228" s="2"/>
      <c r="Q228" s="2">
        <v>147</v>
      </c>
      <c r="R228" s="2">
        <v>2051</v>
      </c>
      <c r="S228" s="2">
        <v>2122</v>
      </c>
      <c r="T228" s="2">
        <v>1816</v>
      </c>
      <c r="U228" s="2">
        <v>0</v>
      </c>
      <c r="V228" s="2"/>
      <c r="W228" s="2">
        <v>1791</v>
      </c>
      <c r="X228" s="2">
        <v>1454</v>
      </c>
      <c r="Y228" s="2">
        <v>0</v>
      </c>
      <c r="Z228" s="2">
        <v>0</v>
      </c>
      <c r="AA228" s="2">
        <v>0</v>
      </c>
      <c r="AB228" s="2"/>
      <c r="AC228" s="2">
        <v>1034</v>
      </c>
      <c r="AD228" s="2">
        <v>1036</v>
      </c>
      <c r="AE228" s="2">
        <v>982</v>
      </c>
      <c r="AF228" s="2">
        <v>0</v>
      </c>
      <c r="AG228" s="2">
        <v>0</v>
      </c>
      <c r="AH228" s="2"/>
      <c r="AI228" s="2">
        <v>-79</v>
      </c>
      <c r="AJ228" s="2">
        <v>0</v>
      </c>
      <c r="AK228" s="2">
        <v>0</v>
      </c>
      <c r="AL228" s="2">
        <v>0</v>
      </c>
      <c r="AM228" s="2">
        <v>0</v>
      </c>
    </row>
    <row r="229" spans="1:39">
      <c r="A229" s="349">
        <v>91921</v>
      </c>
      <c r="B229" s="342" t="s">
        <v>917</v>
      </c>
      <c r="C229" s="358">
        <v>3.9310000000000001E-4</v>
      </c>
      <c r="E229" s="2">
        <v>133074</v>
      </c>
      <c r="F229" s="2">
        <v>178508</v>
      </c>
      <c r="G229" s="2">
        <v>109536</v>
      </c>
      <c r="H229" s="2">
        <v>58502</v>
      </c>
      <c r="I229" s="2">
        <v>0</v>
      </c>
      <c r="J229" s="2"/>
      <c r="K229" s="2">
        <v>72884</v>
      </c>
      <c r="L229" s="2">
        <v>67139</v>
      </c>
      <c r="M229" s="2">
        <v>37367</v>
      </c>
      <c r="N229" s="2">
        <v>0</v>
      </c>
      <c r="O229" s="2">
        <v>0</v>
      </c>
      <c r="P229" s="2"/>
      <c r="Q229" s="2">
        <v>4725</v>
      </c>
      <c r="R229" s="2">
        <v>66082</v>
      </c>
      <c r="S229" s="2">
        <v>68367</v>
      </c>
      <c r="T229" s="2">
        <v>58502</v>
      </c>
      <c r="U229" s="2">
        <v>0</v>
      </c>
      <c r="V229" s="2"/>
      <c r="W229" s="2">
        <v>57698</v>
      </c>
      <c r="X229" s="2">
        <v>46841</v>
      </c>
      <c r="Y229" s="2">
        <v>0</v>
      </c>
      <c r="Z229" s="2">
        <v>0</v>
      </c>
      <c r="AA229" s="2">
        <v>0</v>
      </c>
      <c r="AB229" s="2"/>
      <c r="AC229" s="2">
        <v>3802</v>
      </c>
      <c r="AD229" s="2">
        <v>3802</v>
      </c>
      <c r="AE229" s="2">
        <v>3802</v>
      </c>
      <c r="AF229" s="2">
        <v>0</v>
      </c>
      <c r="AG229" s="2">
        <v>0</v>
      </c>
      <c r="AH229" s="2"/>
      <c r="AI229" s="2">
        <v>-6035</v>
      </c>
      <c r="AJ229" s="2">
        <v>-5356</v>
      </c>
      <c r="AK229" s="2">
        <v>0</v>
      </c>
      <c r="AL229" s="2">
        <v>0</v>
      </c>
      <c r="AM229" s="2">
        <v>-5356</v>
      </c>
    </row>
    <row r="230" spans="1:39">
      <c r="A230" s="349">
        <v>92001</v>
      </c>
      <c r="B230" s="342" t="s">
        <v>918</v>
      </c>
      <c r="C230" s="358">
        <v>1.8089E-3</v>
      </c>
      <c r="E230" s="2">
        <v>580715</v>
      </c>
      <c r="F230" s="2">
        <v>819616</v>
      </c>
      <c r="G230" s="2">
        <v>481010</v>
      </c>
      <c r="H230" s="2">
        <v>269204</v>
      </c>
      <c r="I230" s="2">
        <v>0</v>
      </c>
      <c r="J230" s="2"/>
      <c r="K230" s="2">
        <v>335386</v>
      </c>
      <c r="L230" s="2">
        <v>308949</v>
      </c>
      <c r="M230" s="2">
        <v>171950</v>
      </c>
      <c r="N230" s="2">
        <v>0</v>
      </c>
      <c r="O230" s="2">
        <v>0</v>
      </c>
      <c r="P230" s="2"/>
      <c r="Q230" s="2">
        <v>21741</v>
      </c>
      <c r="R230" s="2">
        <v>304085</v>
      </c>
      <c r="S230" s="2">
        <v>314600</v>
      </c>
      <c r="T230" s="2">
        <v>269204</v>
      </c>
      <c r="U230" s="2">
        <v>0</v>
      </c>
      <c r="V230" s="2"/>
      <c r="W230" s="2">
        <v>265503</v>
      </c>
      <c r="X230" s="2">
        <v>215543</v>
      </c>
      <c r="Y230" s="2">
        <v>0</v>
      </c>
      <c r="Z230" s="2">
        <v>0</v>
      </c>
      <c r="AA230" s="2">
        <v>0</v>
      </c>
      <c r="AB230" s="2"/>
      <c r="AC230" s="2">
        <v>8123</v>
      </c>
      <c r="AD230" s="2">
        <v>8123</v>
      </c>
      <c r="AE230" s="2">
        <v>8122</v>
      </c>
      <c r="AF230" s="2">
        <v>0</v>
      </c>
      <c r="AG230" s="2">
        <v>0</v>
      </c>
      <c r="AH230" s="2"/>
      <c r="AI230" s="2">
        <v>-50038</v>
      </c>
      <c r="AJ230" s="2">
        <v>-17084</v>
      </c>
      <c r="AK230" s="2">
        <v>-13662</v>
      </c>
      <c r="AL230" s="2">
        <v>0</v>
      </c>
      <c r="AM230" s="2">
        <v>-17084</v>
      </c>
    </row>
    <row r="231" spans="1:39">
      <c r="A231" s="349">
        <v>92005</v>
      </c>
      <c r="B231" s="342" t="s">
        <v>919</v>
      </c>
      <c r="C231" s="358">
        <v>3.43E-5</v>
      </c>
      <c r="E231" s="2">
        <v>12119</v>
      </c>
      <c r="F231" s="2">
        <v>16488</v>
      </c>
      <c r="G231" s="2">
        <v>9191</v>
      </c>
      <c r="H231" s="2">
        <v>5105</v>
      </c>
      <c r="I231" s="2">
        <v>0</v>
      </c>
      <c r="J231" s="2"/>
      <c r="K231" s="2">
        <v>6360</v>
      </c>
      <c r="L231" s="2">
        <v>5858</v>
      </c>
      <c r="M231" s="2">
        <v>3260</v>
      </c>
      <c r="N231" s="2">
        <v>0</v>
      </c>
      <c r="O231" s="2">
        <v>0</v>
      </c>
      <c r="P231" s="2"/>
      <c r="Q231" s="2">
        <v>412</v>
      </c>
      <c r="R231" s="2">
        <v>5766</v>
      </c>
      <c r="S231" s="2">
        <v>5965</v>
      </c>
      <c r="T231" s="2">
        <v>5105</v>
      </c>
      <c r="U231" s="2">
        <v>0</v>
      </c>
      <c r="V231" s="2"/>
      <c r="W231" s="2">
        <v>5034</v>
      </c>
      <c r="X231" s="2">
        <v>4087</v>
      </c>
      <c r="Y231" s="2">
        <v>0</v>
      </c>
      <c r="Z231" s="2">
        <v>0</v>
      </c>
      <c r="AA231" s="2">
        <v>0</v>
      </c>
      <c r="AB231" s="2"/>
      <c r="AC231" s="2">
        <v>1444</v>
      </c>
      <c r="AD231" s="2">
        <v>1443</v>
      </c>
      <c r="AE231" s="2">
        <v>630</v>
      </c>
      <c r="AF231" s="2">
        <v>0</v>
      </c>
      <c r="AG231" s="2">
        <v>0</v>
      </c>
      <c r="AH231" s="2"/>
      <c r="AI231" s="2">
        <v>-1131</v>
      </c>
      <c r="AJ231" s="2">
        <v>-666</v>
      </c>
      <c r="AK231" s="2">
        <v>-664</v>
      </c>
      <c r="AL231" s="2">
        <v>0</v>
      </c>
      <c r="AM231" s="2">
        <v>-666</v>
      </c>
    </row>
    <row r="232" spans="1:39">
      <c r="A232" s="349">
        <v>92011</v>
      </c>
      <c r="B232" s="342" t="s">
        <v>920</v>
      </c>
      <c r="C232" s="358">
        <v>2.0900000000000001E-4</v>
      </c>
      <c r="E232" s="2">
        <v>76163</v>
      </c>
      <c r="F232" s="2">
        <v>97960</v>
      </c>
      <c r="G232" s="2">
        <v>59887</v>
      </c>
      <c r="H232" s="2">
        <v>31104</v>
      </c>
      <c r="I232" s="2">
        <v>0</v>
      </c>
      <c r="J232" s="2"/>
      <c r="K232" s="2">
        <v>38750</v>
      </c>
      <c r="L232" s="2">
        <v>35696</v>
      </c>
      <c r="M232" s="2">
        <v>19867</v>
      </c>
      <c r="N232" s="2">
        <v>0</v>
      </c>
      <c r="O232" s="2">
        <v>0</v>
      </c>
      <c r="P232" s="2"/>
      <c r="Q232" s="2">
        <v>2512</v>
      </c>
      <c r="R232" s="2">
        <v>35134</v>
      </c>
      <c r="S232" s="2">
        <v>36349</v>
      </c>
      <c r="T232" s="2">
        <v>31104</v>
      </c>
      <c r="U232" s="2">
        <v>0</v>
      </c>
      <c r="V232" s="2"/>
      <c r="W232" s="2">
        <v>30676</v>
      </c>
      <c r="X232" s="2">
        <v>24904</v>
      </c>
      <c r="Y232" s="2">
        <v>0</v>
      </c>
      <c r="Z232" s="2">
        <v>0</v>
      </c>
      <c r="AA232" s="2">
        <v>0</v>
      </c>
      <c r="AB232" s="2"/>
      <c r="AC232" s="2">
        <v>6969</v>
      </c>
      <c r="AD232" s="2">
        <v>4971</v>
      </c>
      <c r="AE232" s="2">
        <v>4971</v>
      </c>
      <c r="AF232" s="2">
        <v>0</v>
      </c>
      <c r="AG232" s="2">
        <v>0</v>
      </c>
      <c r="AH232" s="2"/>
      <c r="AI232" s="2">
        <v>-2744</v>
      </c>
      <c r="AJ232" s="2">
        <v>-2745</v>
      </c>
      <c r="AK232" s="2">
        <v>-1300</v>
      </c>
      <c r="AL232" s="2">
        <v>0</v>
      </c>
      <c r="AM232" s="2">
        <v>-2745</v>
      </c>
    </row>
    <row r="233" spans="1:39">
      <c r="A233" s="349">
        <v>92017</v>
      </c>
      <c r="B233" s="342" t="s">
        <v>921</v>
      </c>
      <c r="C233" s="358">
        <v>3.0000000000000001E-5</v>
      </c>
      <c r="E233" s="2">
        <v>11533</v>
      </c>
      <c r="F233" s="2">
        <v>14853</v>
      </c>
      <c r="G233" s="2">
        <v>8932</v>
      </c>
      <c r="H233" s="2">
        <v>4465</v>
      </c>
      <c r="I233" s="2">
        <v>0</v>
      </c>
      <c r="J233" s="2"/>
      <c r="K233" s="2">
        <v>5562</v>
      </c>
      <c r="L233" s="2">
        <v>5124</v>
      </c>
      <c r="M233" s="2">
        <v>2852</v>
      </c>
      <c r="N233" s="2">
        <v>0</v>
      </c>
      <c r="O233" s="2">
        <v>0</v>
      </c>
      <c r="P233" s="2"/>
      <c r="Q233" s="2">
        <v>361</v>
      </c>
      <c r="R233" s="2">
        <v>5043</v>
      </c>
      <c r="S233" s="2">
        <v>5218</v>
      </c>
      <c r="T233" s="2">
        <v>4465</v>
      </c>
      <c r="U233" s="2">
        <v>0</v>
      </c>
      <c r="V233" s="2"/>
      <c r="W233" s="2">
        <v>4403</v>
      </c>
      <c r="X233" s="2">
        <v>3575</v>
      </c>
      <c r="Y233" s="2">
        <v>0</v>
      </c>
      <c r="Z233" s="2">
        <v>0</v>
      </c>
      <c r="AA233" s="2">
        <v>0</v>
      </c>
      <c r="AB233" s="2"/>
      <c r="AC233" s="2">
        <v>1207</v>
      </c>
      <c r="AD233" s="2">
        <v>1111</v>
      </c>
      <c r="AE233" s="2">
        <v>862</v>
      </c>
      <c r="AF233" s="2">
        <v>0</v>
      </c>
      <c r="AG233" s="2">
        <v>0</v>
      </c>
      <c r="AH233" s="2"/>
      <c r="AI233" s="2">
        <v>0</v>
      </c>
      <c r="AJ233" s="2">
        <v>0</v>
      </c>
      <c r="AK233" s="2">
        <v>0</v>
      </c>
      <c r="AL233" s="2">
        <v>0</v>
      </c>
      <c r="AM233" s="2">
        <v>0</v>
      </c>
    </row>
    <row r="234" spans="1:39">
      <c r="A234" s="349">
        <v>92021</v>
      </c>
      <c r="B234" s="342" t="s">
        <v>922</v>
      </c>
      <c r="C234" s="358">
        <v>1.1519999999999999E-4</v>
      </c>
      <c r="E234" s="2">
        <v>30831</v>
      </c>
      <c r="F234" s="2">
        <v>41341</v>
      </c>
      <c r="G234" s="2">
        <v>24671</v>
      </c>
      <c r="H234" s="2">
        <v>17144</v>
      </c>
      <c r="I234" s="2">
        <v>0</v>
      </c>
      <c r="J234" s="2"/>
      <c r="K234" s="2">
        <v>21359</v>
      </c>
      <c r="L234" s="2">
        <v>19675</v>
      </c>
      <c r="M234" s="2">
        <v>10951</v>
      </c>
      <c r="N234" s="2">
        <v>0</v>
      </c>
      <c r="O234" s="2">
        <v>0</v>
      </c>
      <c r="P234" s="2"/>
      <c r="Q234" s="2">
        <v>1385</v>
      </c>
      <c r="R234" s="2">
        <v>19366</v>
      </c>
      <c r="S234" s="2">
        <v>20035</v>
      </c>
      <c r="T234" s="2">
        <v>17144</v>
      </c>
      <c r="U234" s="2">
        <v>0</v>
      </c>
      <c r="V234" s="2"/>
      <c r="W234" s="2">
        <v>16909</v>
      </c>
      <c r="X234" s="2">
        <v>13727</v>
      </c>
      <c r="Y234" s="2">
        <v>0</v>
      </c>
      <c r="Z234" s="2">
        <v>0</v>
      </c>
      <c r="AA234" s="2">
        <v>0</v>
      </c>
      <c r="AB234" s="2"/>
      <c r="AC234" s="2">
        <v>5212</v>
      </c>
      <c r="AD234" s="2">
        <v>2609</v>
      </c>
      <c r="AE234" s="2">
        <v>2609</v>
      </c>
      <c r="AF234" s="2">
        <v>0</v>
      </c>
      <c r="AG234" s="2">
        <v>0</v>
      </c>
      <c r="AH234" s="2"/>
      <c r="AI234" s="2">
        <v>-14034</v>
      </c>
      <c r="AJ234" s="2">
        <v>-14036</v>
      </c>
      <c r="AK234" s="2">
        <v>-8924</v>
      </c>
      <c r="AL234" s="2">
        <v>0</v>
      </c>
      <c r="AM234" s="2">
        <v>-14036</v>
      </c>
    </row>
    <row r="235" spans="1:39">
      <c r="A235" s="349">
        <v>92101</v>
      </c>
      <c r="B235" s="342" t="s">
        <v>923</v>
      </c>
      <c r="C235" s="358">
        <v>7.6869999999999998E-4</v>
      </c>
      <c r="E235" s="2">
        <v>233553</v>
      </c>
      <c r="F235" s="2">
        <v>328384</v>
      </c>
      <c r="G235" s="2">
        <v>192091</v>
      </c>
      <c r="H235" s="2">
        <v>114399</v>
      </c>
      <c r="I235" s="2">
        <v>0</v>
      </c>
      <c r="J235" s="2"/>
      <c r="K235" s="2">
        <v>142524</v>
      </c>
      <c r="L235" s="2">
        <v>131289</v>
      </c>
      <c r="M235" s="2">
        <v>73071</v>
      </c>
      <c r="N235" s="2">
        <v>0</v>
      </c>
      <c r="O235" s="2">
        <v>0</v>
      </c>
      <c r="P235" s="2"/>
      <c r="Q235" s="2">
        <v>9239</v>
      </c>
      <c r="R235" s="2">
        <v>129222</v>
      </c>
      <c r="S235" s="2">
        <v>133691</v>
      </c>
      <c r="T235" s="2">
        <v>114399</v>
      </c>
      <c r="U235" s="2">
        <v>0</v>
      </c>
      <c r="V235" s="2"/>
      <c r="W235" s="2">
        <v>112827</v>
      </c>
      <c r="X235" s="2">
        <v>91596</v>
      </c>
      <c r="Y235" s="2">
        <v>0</v>
      </c>
      <c r="Z235" s="2">
        <v>0</v>
      </c>
      <c r="AA235" s="2">
        <v>0</v>
      </c>
      <c r="AB235" s="2"/>
      <c r="AC235" s="2">
        <v>0</v>
      </c>
      <c r="AD235" s="2">
        <v>0</v>
      </c>
      <c r="AE235" s="2">
        <v>0</v>
      </c>
      <c r="AF235" s="2">
        <v>0</v>
      </c>
      <c r="AG235" s="2">
        <v>0</v>
      </c>
      <c r="AH235" s="2"/>
      <c r="AI235" s="2">
        <v>-31037</v>
      </c>
      <c r="AJ235" s="2">
        <v>-23723</v>
      </c>
      <c r="AK235" s="2">
        <v>-14671</v>
      </c>
      <c r="AL235" s="2">
        <v>0</v>
      </c>
      <c r="AM235" s="2">
        <v>-23723</v>
      </c>
    </row>
    <row r="236" spans="1:39">
      <c r="A236" s="349">
        <v>92104</v>
      </c>
      <c r="B236" s="342" t="s">
        <v>924</v>
      </c>
      <c r="C236" s="358">
        <v>7.1999999999999997E-6</v>
      </c>
      <c r="E236" s="2">
        <v>3664</v>
      </c>
      <c r="F236" s="2">
        <v>4269</v>
      </c>
      <c r="G236" s="2">
        <v>2690</v>
      </c>
      <c r="H236" s="2">
        <v>1072</v>
      </c>
      <c r="I236" s="2">
        <v>0</v>
      </c>
      <c r="J236" s="2"/>
      <c r="K236" s="2">
        <v>1335</v>
      </c>
      <c r="L236" s="2">
        <v>1230</v>
      </c>
      <c r="M236" s="2">
        <v>684</v>
      </c>
      <c r="N236" s="2">
        <v>0</v>
      </c>
      <c r="O236" s="2">
        <v>0</v>
      </c>
      <c r="P236" s="2"/>
      <c r="Q236" s="2">
        <v>87</v>
      </c>
      <c r="R236" s="2">
        <v>1210</v>
      </c>
      <c r="S236" s="2">
        <v>1252</v>
      </c>
      <c r="T236" s="2">
        <v>1072</v>
      </c>
      <c r="U236" s="2">
        <v>0</v>
      </c>
      <c r="V236" s="2"/>
      <c r="W236" s="2">
        <v>1057</v>
      </c>
      <c r="X236" s="2">
        <v>858</v>
      </c>
      <c r="Y236" s="2">
        <v>0</v>
      </c>
      <c r="Z236" s="2">
        <v>0</v>
      </c>
      <c r="AA236" s="2">
        <v>0</v>
      </c>
      <c r="AB236" s="2"/>
      <c r="AC236" s="2">
        <v>1185</v>
      </c>
      <c r="AD236" s="2">
        <v>971</v>
      </c>
      <c r="AE236" s="2">
        <v>754</v>
      </c>
      <c r="AF236" s="2">
        <v>0</v>
      </c>
      <c r="AG236" s="2">
        <v>0</v>
      </c>
      <c r="AH236" s="2"/>
      <c r="AI236" s="2">
        <v>0</v>
      </c>
      <c r="AJ236" s="2">
        <v>0</v>
      </c>
      <c r="AK236" s="2">
        <v>0</v>
      </c>
      <c r="AL236" s="2">
        <v>0</v>
      </c>
      <c r="AM236" s="2">
        <v>0</v>
      </c>
    </row>
    <row r="237" spans="1:39">
      <c r="A237" s="349">
        <v>92109</v>
      </c>
      <c r="B237" s="342" t="s">
        <v>3656</v>
      </c>
      <c r="C237" s="358">
        <v>1.8359999999999999E-4</v>
      </c>
      <c r="E237" s="2">
        <v>64891</v>
      </c>
      <c r="F237" s="2">
        <v>85709</v>
      </c>
      <c r="G237" s="2">
        <v>54339</v>
      </c>
      <c r="H237" s="2">
        <v>27324</v>
      </c>
      <c r="I237" s="2">
        <v>0</v>
      </c>
      <c r="J237" s="2"/>
      <c r="K237" s="2">
        <v>34041</v>
      </c>
      <c r="L237" s="2">
        <v>31358</v>
      </c>
      <c r="M237" s="2">
        <v>17453</v>
      </c>
      <c r="N237" s="2">
        <v>0</v>
      </c>
      <c r="O237" s="2">
        <v>0</v>
      </c>
      <c r="P237" s="2"/>
      <c r="Q237" s="2">
        <v>2207</v>
      </c>
      <c r="R237" s="2">
        <v>30864</v>
      </c>
      <c r="S237" s="2">
        <v>31931</v>
      </c>
      <c r="T237" s="2">
        <v>27324</v>
      </c>
      <c r="U237" s="2">
        <v>0</v>
      </c>
      <c r="V237" s="2"/>
      <c r="W237" s="2">
        <v>26948</v>
      </c>
      <c r="X237" s="2">
        <v>21877</v>
      </c>
      <c r="Y237" s="2">
        <v>0</v>
      </c>
      <c r="Z237" s="2">
        <v>0</v>
      </c>
      <c r="AA237" s="2">
        <v>0</v>
      </c>
      <c r="AB237" s="2"/>
      <c r="AC237" s="2">
        <v>6276</v>
      </c>
      <c r="AD237" s="2">
        <v>6192</v>
      </c>
      <c r="AE237" s="2">
        <v>6191</v>
      </c>
      <c r="AF237" s="2">
        <v>0</v>
      </c>
      <c r="AG237" s="2">
        <v>0</v>
      </c>
      <c r="AH237" s="2"/>
      <c r="AI237" s="2">
        <v>-4581</v>
      </c>
      <c r="AJ237" s="2">
        <v>-4582</v>
      </c>
      <c r="AK237" s="2">
        <v>-1236</v>
      </c>
      <c r="AL237" s="2">
        <v>0</v>
      </c>
      <c r="AM237" s="2">
        <v>-4582</v>
      </c>
    </row>
    <row r="238" spans="1:39">
      <c r="A238" s="349">
        <v>92111</v>
      </c>
      <c r="B238" s="342" t="s">
        <v>926</v>
      </c>
      <c r="C238" s="358">
        <v>5.4140000000000004E-4</v>
      </c>
      <c r="E238" s="2">
        <v>196893</v>
      </c>
      <c r="F238" s="2">
        <v>257900</v>
      </c>
      <c r="G238" s="2">
        <v>155197</v>
      </c>
      <c r="H238" s="2">
        <v>80572</v>
      </c>
      <c r="I238" s="2">
        <v>0</v>
      </c>
      <c r="J238" s="2"/>
      <c r="K238" s="2">
        <v>100380</v>
      </c>
      <c r="L238" s="2">
        <v>92468</v>
      </c>
      <c r="M238" s="2">
        <v>51464</v>
      </c>
      <c r="N238" s="2">
        <v>0</v>
      </c>
      <c r="O238" s="2">
        <v>0</v>
      </c>
      <c r="P238" s="2"/>
      <c r="Q238" s="2">
        <v>6507</v>
      </c>
      <c r="R238" s="2">
        <v>91012</v>
      </c>
      <c r="S238" s="2">
        <v>94159</v>
      </c>
      <c r="T238" s="2">
        <v>80572</v>
      </c>
      <c r="U238" s="2">
        <v>0</v>
      </c>
      <c r="V238" s="2"/>
      <c r="W238" s="2">
        <v>79465</v>
      </c>
      <c r="X238" s="2">
        <v>64512</v>
      </c>
      <c r="Y238" s="2">
        <v>0</v>
      </c>
      <c r="Z238" s="2">
        <v>0</v>
      </c>
      <c r="AA238" s="2">
        <v>0</v>
      </c>
      <c r="AB238" s="2"/>
      <c r="AC238" s="2">
        <v>17648</v>
      </c>
      <c r="AD238" s="2">
        <v>17015</v>
      </c>
      <c r="AE238" s="2">
        <v>16680</v>
      </c>
      <c r="AF238" s="2">
        <v>0</v>
      </c>
      <c r="AG238" s="2">
        <v>0</v>
      </c>
      <c r="AH238" s="2"/>
      <c r="AI238" s="2">
        <v>-7107</v>
      </c>
      <c r="AJ238" s="2">
        <v>-7107</v>
      </c>
      <c r="AK238" s="2">
        <v>-7106</v>
      </c>
      <c r="AL238" s="2">
        <v>0</v>
      </c>
      <c r="AM238" s="2">
        <v>-7107</v>
      </c>
    </row>
    <row r="239" spans="1:39">
      <c r="A239" s="349">
        <v>92113</v>
      </c>
      <c r="B239" s="342" t="s">
        <v>2753</v>
      </c>
      <c r="C239" s="358">
        <v>1.73E-5</v>
      </c>
      <c r="E239" s="2">
        <v>9402</v>
      </c>
      <c r="F239" s="2">
        <v>11915</v>
      </c>
      <c r="G239" s="2">
        <v>7461</v>
      </c>
      <c r="H239" s="2">
        <v>2575</v>
      </c>
      <c r="I239" s="2">
        <v>0</v>
      </c>
      <c r="J239" s="2"/>
      <c r="K239" s="2">
        <v>3208</v>
      </c>
      <c r="L239" s="2">
        <v>2955</v>
      </c>
      <c r="M239" s="2">
        <v>1645</v>
      </c>
      <c r="N239" s="2">
        <v>0</v>
      </c>
      <c r="O239" s="2">
        <v>0</v>
      </c>
      <c r="P239" s="2"/>
      <c r="Q239" s="2">
        <v>208</v>
      </c>
      <c r="R239" s="2">
        <v>2908</v>
      </c>
      <c r="S239" s="2">
        <v>3009</v>
      </c>
      <c r="T239" s="2">
        <v>2575</v>
      </c>
      <c r="U239" s="2">
        <v>0</v>
      </c>
      <c r="V239" s="2"/>
      <c r="W239" s="2">
        <v>2539</v>
      </c>
      <c r="X239" s="2">
        <v>2061</v>
      </c>
      <c r="Y239" s="2">
        <v>0</v>
      </c>
      <c r="Z239" s="2">
        <v>0</v>
      </c>
      <c r="AA239" s="2">
        <v>0</v>
      </c>
      <c r="AB239" s="2"/>
      <c r="AC239" s="2">
        <v>3990</v>
      </c>
      <c r="AD239" s="2">
        <v>3991</v>
      </c>
      <c r="AE239" s="2">
        <v>2807</v>
      </c>
      <c r="AF239" s="2">
        <v>0</v>
      </c>
      <c r="AG239" s="2">
        <v>0</v>
      </c>
      <c r="AH239" s="2"/>
      <c r="AI239" s="2">
        <v>-543</v>
      </c>
      <c r="AJ239" s="2">
        <v>0</v>
      </c>
      <c r="AK239" s="2">
        <v>0</v>
      </c>
      <c r="AL239" s="2">
        <v>0</v>
      </c>
      <c r="AM239" s="2">
        <v>0</v>
      </c>
    </row>
    <row r="240" spans="1:39">
      <c r="A240" s="349">
        <v>92201</v>
      </c>
      <c r="B240" s="342" t="s">
        <v>928</v>
      </c>
      <c r="C240" s="358">
        <v>9.3099999999999997E-4</v>
      </c>
      <c r="E240" s="2">
        <v>345618</v>
      </c>
      <c r="F240" s="2">
        <v>462453</v>
      </c>
      <c r="G240" s="2">
        <v>286363</v>
      </c>
      <c r="H240" s="2">
        <v>138553</v>
      </c>
      <c r="I240" s="2">
        <v>0</v>
      </c>
      <c r="J240" s="2"/>
      <c r="K240" s="2">
        <v>172616</v>
      </c>
      <c r="L240" s="2">
        <v>159009</v>
      </c>
      <c r="M240" s="2">
        <v>88499</v>
      </c>
      <c r="N240" s="2">
        <v>0</v>
      </c>
      <c r="O240" s="2">
        <v>0</v>
      </c>
      <c r="P240" s="2"/>
      <c r="Q240" s="2">
        <v>11190</v>
      </c>
      <c r="R240" s="2">
        <v>156506</v>
      </c>
      <c r="S240" s="2">
        <v>161918</v>
      </c>
      <c r="T240" s="2">
        <v>138553</v>
      </c>
      <c r="U240" s="2">
        <v>0</v>
      </c>
      <c r="V240" s="2"/>
      <c r="W240" s="2">
        <v>136648</v>
      </c>
      <c r="X240" s="2">
        <v>110935</v>
      </c>
      <c r="Y240" s="2">
        <v>0</v>
      </c>
      <c r="Z240" s="2">
        <v>0</v>
      </c>
      <c r="AA240" s="2">
        <v>0</v>
      </c>
      <c r="AB240" s="2"/>
      <c r="AC240" s="2">
        <v>45841</v>
      </c>
      <c r="AD240" s="2">
        <v>45842</v>
      </c>
      <c r="AE240" s="2">
        <v>45785</v>
      </c>
      <c r="AF240" s="2">
        <v>0</v>
      </c>
      <c r="AG240" s="2">
        <v>0</v>
      </c>
      <c r="AH240" s="2"/>
      <c r="AI240" s="2">
        <v>-20677</v>
      </c>
      <c r="AJ240" s="2">
        <v>-9839</v>
      </c>
      <c r="AK240" s="2">
        <v>-9839</v>
      </c>
      <c r="AL240" s="2">
        <v>0</v>
      </c>
      <c r="AM240" s="2">
        <v>-9839</v>
      </c>
    </row>
    <row r="241" spans="1:39">
      <c r="A241" s="349">
        <v>92214</v>
      </c>
      <c r="B241" s="342" t="s">
        <v>1925</v>
      </c>
      <c r="C241" s="358">
        <v>1.9000000000000001E-5</v>
      </c>
      <c r="E241" s="2">
        <v>9717</v>
      </c>
      <c r="F241" s="2">
        <v>11879</v>
      </c>
      <c r="G241" s="2">
        <v>4782</v>
      </c>
      <c r="H241" s="2">
        <v>2828</v>
      </c>
      <c r="I241" s="2">
        <v>0</v>
      </c>
      <c r="J241" s="2"/>
      <c r="K241" s="2">
        <v>3523</v>
      </c>
      <c r="L241" s="2">
        <v>3245</v>
      </c>
      <c r="M241" s="2">
        <v>1806</v>
      </c>
      <c r="N241" s="2">
        <v>0</v>
      </c>
      <c r="O241" s="2">
        <v>0</v>
      </c>
      <c r="P241" s="2"/>
      <c r="Q241" s="2">
        <v>228</v>
      </c>
      <c r="R241" s="2">
        <v>3194</v>
      </c>
      <c r="S241" s="2">
        <v>3304</v>
      </c>
      <c r="T241" s="2">
        <v>2828</v>
      </c>
      <c r="U241" s="2">
        <v>0</v>
      </c>
      <c r="V241" s="2"/>
      <c r="W241" s="2">
        <v>2789</v>
      </c>
      <c r="X241" s="2">
        <v>2264</v>
      </c>
      <c r="Y241" s="2">
        <v>0</v>
      </c>
      <c r="Z241" s="2">
        <v>0</v>
      </c>
      <c r="AA241" s="2">
        <v>0</v>
      </c>
      <c r="AB241" s="2"/>
      <c r="AC241" s="2">
        <v>3681</v>
      </c>
      <c r="AD241" s="2">
        <v>3680</v>
      </c>
      <c r="AE241" s="2">
        <v>177</v>
      </c>
      <c r="AF241" s="2">
        <v>0</v>
      </c>
      <c r="AG241" s="2">
        <v>0</v>
      </c>
      <c r="AH241" s="2"/>
      <c r="AI241" s="2">
        <v>-504</v>
      </c>
      <c r="AJ241" s="2">
        <v>-504</v>
      </c>
      <c r="AK241" s="2">
        <v>-505</v>
      </c>
      <c r="AL241" s="2">
        <v>0</v>
      </c>
      <c r="AM241" s="2">
        <v>-504</v>
      </c>
    </row>
    <row r="242" spans="1:39">
      <c r="A242" s="349">
        <v>92301</v>
      </c>
      <c r="B242" s="342" t="s">
        <v>929</v>
      </c>
      <c r="C242" s="358">
        <v>5.2855000000000003E-3</v>
      </c>
      <c r="E242" s="2">
        <v>1704251</v>
      </c>
      <c r="F242" s="2">
        <v>2314031</v>
      </c>
      <c r="G242" s="2">
        <v>1305736</v>
      </c>
      <c r="H242" s="2">
        <v>786599</v>
      </c>
      <c r="I242" s="2">
        <v>0</v>
      </c>
      <c r="J242" s="2"/>
      <c r="K242" s="2">
        <v>979979</v>
      </c>
      <c r="L242" s="2">
        <v>902732</v>
      </c>
      <c r="M242" s="2">
        <v>502429</v>
      </c>
      <c r="N242" s="2">
        <v>0</v>
      </c>
      <c r="O242" s="2">
        <v>0</v>
      </c>
      <c r="P242" s="2"/>
      <c r="Q242" s="2">
        <v>63526</v>
      </c>
      <c r="R242" s="2">
        <v>888519</v>
      </c>
      <c r="S242" s="2">
        <v>919244</v>
      </c>
      <c r="T242" s="2">
        <v>786599</v>
      </c>
      <c r="U242" s="2">
        <v>0</v>
      </c>
      <c r="V242" s="2"/>
      <c r="W242" s="2">
        <v>775785</v>
      </c>
      <c r="X242" s="2">
        <v>629804</v>
      </c>
      <c r="Y242" s="2">
        <v>0</v>
      </c>
      <c r="Z242" s="2">
        <v>0</v>
      </c>
      <c r="AA242" s="2">
        <v>0</v>
      </c>
      <c r="AB242" s="2"/>
      <c r="AC242" s="2">
        <v>37045</v>
      </c>
      <c r="AD242" s="2">
        <v>37043</v>
      </c>
      <c r="AE242" s="2">
        <v>28131</v>
      </c>
      <c r="AF242" s="2">
        <v>0</v>
      </c>
      <c r="AG242" s="2">
        <v>0</v>
      </c>
      <c r="AH242" s="2"/>
      <c r="AI242" s="2">
        <v>-152084</v>
      </c>
      <c r="AJ242" s="2">
        <v>-144067</v>
      </c>
      <c r="AK242" s="2">
        <v>-144068</v>
      </c>
      <c r="AL242" s="2">
        <v>0</v>
      </c>
      <c r="AM242" s="2">
        <v>-144067</v>
      </c>
    </row>
    <row r="243" spans="1:39">
      <c r="A243" s="349">
        <v>92302</v>
      </c>
      <c r="B243" s="342" t="s">
        <v>930</v>
      </c>
      <c r="C243" s="358">
        <v>2.9990000000000003E-4</v>
      </c>
      <c r="E243" s="2">
        <v>91728</v>
      </c>
      <c r="F243" s="2">
        <v>131617</v>
      </c>
      <c r="G243" s="2">
        <v>73296</v>
      </c>
      <c r="H243" s="2">
        <v>44632</v>
      </c>
      <c r="I243" s="2">
        <v>0</v>
      </c>
      <c r="J243" s="2"/>
      <c r="K243" s="2">
        <v>55604</v>
      </c>
      <c r="L243" s="2">
        <v>51221</v>
      </c>
      <c r="M243" s="2">
        <v>28508</v>
      </c>
      <c r="N243" s="2">
        <v>0</v>
      </c>
      <c r="O243" s="2">
        <v>0</v>
      </c>
      <c r="P243" s="2"/>
      <c r="Q243" s="2">
        <v>3604</v>
      </c>
      <c r="R243" s="2">
        <v>50415</v>
      </c>
      <c r="S243" s="2">
        <v>52158</v>
      </c>
      <c r="T243" s="2">
        <v>44632</v>
      </c>
      <c r="U243" s="2">
        <v>0</v>
      </c>
      <c r="V243" s="2"/>
      <c r="W243" s="2">
        <v>44018</v>
      </c>
      <c r="X243" s="2">
        <v>35735</v>
      </c>
      <c r="Y243" s="2">
        <v>0</v>
      </c>
      <c r="Z243" s="2">
        <v>0</v>
      </c>
      <c r="AA243" s="2">
        <v>0</v>
      </c>
      <c r="AB243" s="2"/>
      <c r="AC243" s="2">
        <v>1615</v>
      </c>
      <c r="AD243" s="2">
        <v>1616</v>
      </c>
      <c r="AE243" s="2">
        <v>0</v>
      </c>
      <c r="AF243" s="2">
        <v>0</v>
      </c>
      <c r="AG243" s="2">
        <v>0</v>
      </c>
      <c r="AH243" s="2"/>
      <c r="AI243" s="2">
        <v>-13113</v>
      </c>
      <c r="AJ243" s="2">
        <v>-7370</v>
      </c>
      <c r="AK243" s="2">
        <v>-7370</v>
      </c>
      <c r="AL243" s="2">
        <v>0</v>
      </c>
      <c r="AM243" s="2">
        <v>-7370</v>
      </c>
    </row>
    <row r="244" spans="1:39">
      <c r="A244" s="349">
        <v>92311</v>
      </c>
      <c r="B244" s="342" t="s">
        <v>931</v>
      </c>
      <c r="C244" s="358">
        <v>2.3205999999999999E-3</v>
      </c>
      <c r="E244" s="2">
        <v>799481</v>
      </c>
      <c r="F244" s="2">
        <v>1061601</v>
      </c>
      <c r="G244" s="2">
        <v>638254</v>
      </c>
      <c r="H244" s="2">
        <v>345356</v>
      </c>
      <c r="I244" s="2">
        <v>0</v>
      </c>
      <c r="J244" s="2"/>
      <c r="K244" s="2">
        <v>430260</v>
      </c>
      <c r="L244" s="2">
        <v>396345</v>
      </c>
      <c r="M244" s="2">
        <v>220592</v>
      </c>
      <c r="N244" s="2">
        <v>0</v>
      </c>
      <c r="O244" s="2">
        <v>0</v>
      </c>
      <c r="P244" s="2"/>
      <c r="Q244" s="2">
        <v>27891</v>
      </c>
      <c r="R244" s="2">
        <v>390104</v>
      </c>
      <c r="S244" s="2">
        <v>403594</v>
      </c>
      <c r="T244" s="2">
        <v>345356</v>
      </c>
      <c r="U244" s="2">
        <v>0</v>
      </c>
      <c r="V244" s="2"/>
      <c r="W244" s="2">
        <v>340608</v>
      </c>
      <c r="X244" s="2">
        <v>276516</v>
      </c>
      <c r="Y244" s="2">
        <v>0</v>
      </c>
      <c r="Z244" s="2">
        <v>0</v>
      </c>
      <c r="AA244" s="2">
        <v>0</v>
      </c>
      <c r="AB244" s="2"/>
      <c r="AC244" s="2">
        <v>16155</v>
      </c>
      <c r="AD244" s="2">
        <v>14067</v>
      </c>
      <c r="AE244" s="2">
        <v>14068</v>
      </c>
      <c r="AF244" s="2">
        <v>0</v>
      </c>
      <c r="AG244" s="2">
        <v>0</v>
      </c>
      <c r="AH244" s="2"/>
      <c r="AI244" s="2">
        <v>-15433</v>
      </c>
      <c r="AJ244" s="2">
        <v>-15431</v>
      </c>
      <c r="AK244" s="2">
        <v>0</v>
      </c>
      <c r="AL244" s="2">
        <v>0</v>
      </c>
      <c r="AM244" s="2">
        <v>-15431</v>
      </c>
    </row>
    <row r="245" spans="1:39">
      <c r="A245" s="349">
        <v>92317</v>
      </c>
      <c r="B245" s="342" t="s">
        <v>932</v>
      </c>
      <c r="C245" s="358">
        <v>3.3800000000000002E-5</v>
      </c>
      <c r="E245" s="2">
        <v>22077</v>
      </c>
      <c r="F245" s="2">
        <v>24108</v>
      </c>
      <c r="G245" s="2">
        <v>16620</v>
      </c>
      <c r="H245" s="2">
        <v>5030</v>
      </c>
      <c r="I245" s="2">
        <v>0</v>
      </c>
      <c r="J245" s="2"/>
      <c r="K245" s="2">
        <v>6267</v>
      </c>
      <c r="L245" s="2">
        <v>5773</v>
      </c>
      <c r="M245" s="2">
        <v>3213</v>
      </c>
      <c r="N245" s="2">
        <v>0</v>
      </c>
      <c r="O245" s="2">
        <v>0</v>
      </c>
      <c r="P245" s="2"/>
      <c r="Q245" s="2">
        <v>406</v>
      </c>
      <c r="R245" s="2">
        <v>5682</v>
      </c>
      <c r="S245" s="2">
        <v>5878</v>
      </c>
      <c r="T245" s="2">
        <v>5030</v>
      </c>
      <c r="U245" s="2">
        <v>0</v>
      </c>
      <c r="V245" s="2"/>
      <c r="W245" s="2">
        <v>4961</v>
      </c>
      <c r="X245" s="2">
        <v>4028</v>
      </c>
      <c r="Y245" s="2">
        <v>0</v>
      </c>
      <c r="Z245" s="2">
        <v>0</v>
      </c>
      <c r="AA245" s="2">
        <v>0</v>
      </c>
      <c r="AB245" s="2"/>
      <c r="AC245" s="2">
        <v>10443</v>
      </c>
      <c r="AD245" s="2">
        <v>8625</v>
      </c>
      <c r="AE245" s="2">
        <v>7529</v>
      </c>
      <c r="AF245" s="2">
        <v>0</v>
      </c>
      <c r="AG245" s="2">
        <v>0</v>
      </c>
      <c r="AH245" s="2"/>
      <c r="AI245" s="2">
        <v>0</v>
      </c>
      <c r="AJ245" s="2">
        <v>0</v>
      </c>
      <c r="AK245" s="2">
        <v>0</v>
      </c>
      <c r="AL245" s="2">
        <v>0</v>
      </c>
      <c r="AM245" s="2">
        <v>0</v>
      </c>
    </row>
    <row r="246" spans="1:39">
      <c r="A246" s="349">
        <v>92321</v>
      </c>
      <c r="B246" s="342" t="s">
        <v>933</v>
      </c>
      <c r="C246" s="358">
        <v>1.3334E-3</v>
      </c>
      <c r="E246" s="2">
        <v>514896</v>
      </c>
      <c r="F246" s="2">
        <v>671629</v>
      </c>
      <c r="G246" s="2">
        <v>409228</v>
      </c>
      <c r="H246" s="2">
        <v>198439</v>
      </c>
      <c r="I246" s="2">
        <v>0</v>
      </c>
      <c r="J246" s="2"/>
      <c r="K246" s="2">
        <v>247224</v>
      </c>
      <c r="L246" s="2">
        <v>227737</v>
      </c>
      <c r="M246" s="2">
        <v>126750</v>
      </c>
      <c r="N246" s="2">
        <v>0</v>
      </c>
      <c r="O246" s="2">
        <v>0</v>
      </c>
      <c r="P246" s="2"/>
      <c r="Q246" s="2">
        <v>16026</v>
      </c>
      <c r="R246" s="2">
        <v>224151</v>
      </c>
      <c r="S246" s="2">
        <v>231902</v>
      </c>
      <c r="T246" s="2">
        <v>198439</v>
      </c>
      <c r="U246" s="2">
        <v>0</v>
      </c>
      <c r="V246" s="2"/>
      <c r="W246" s="2">
        <v>195711</v>
      </c>
      <c r="X246" s="2">
        <v>158884</v>
      </c>
      <c r="Y246" s="2">
        <v>0</v>
      </c>
      <c r="Z246" s="2">
        <v>0</v>
      </c>
      <c r="AA246" s="2">
        <v>0</v>
      </c>
      <c r="AB246" s="2"/>
      <c r="AC246" s="2">
        <v>63266</v>
      </c>
      <c r="AD246" s="2">
        <v>63268</v>
      </c>
      <c r="AE246" s="2">
        <v>52988</v>
      </c>
      <c r="AF246" s="2">
        <v>0</v>
      </c>
      <c r="AG246" s="2">
        <v>0</v>
      </c>
      <c r="AH246" s="2"/>
      <c r="AI246" s="2">
        <v>-7331</v>
      </c>
      <c r="AJ246" s="2">
        <v>-2411</v>
      </c>
      <c r="AK246" s="2">
        <v>-2412</v>
      </c>
      <c r="AL246" s="2">
        <v>0</v>
      </c>
      <c r="AM246" s="2">
        <v>-2411</v>
      </c>
    </row>
    <row r="247" spans="1:39">
      <c r="A247" s="349">
        <v>92327</v>
      </c>
      <c r="B247" s="342" t="s">
        <v>934</v>
      </c>
      <c r="C247" s="358">
        <v>6.2999999999999998E-6</v>
      </c>
      <c r="E247" s="2">
        <v>5395</v>
      </c>
      <c r="F247" s="2">
        <v>5826</v>
      </c>
      <c r="G247" s="2">
        <v>3692</v>
      </c>
      <c r="H247" s="2">
        <v>938</v>
      </c>
      <c r="I247" s="2">
        <v>0</v>
      </c>
      <c r="J247" s="2"/>
      <c r="K247" s="2">
        <v>1168</v>
      </c>
      <c r="L247" s="2">
        <v>1076</v>
      </c>
      <c r="M247" s="2">
        <v>599</v>
      </c>
      <c r="N247" s="2">
        <v>0</v>
      </c>
      <c r="O247" s="2">
        <v>0</v>
      </c>
      <c r="P247" s="2"/>
      <c r="Q247" s="2">
        <v>76</v>
      </c>
      <c r="R247" s="2">
        <v>1059</v>
      </c>
      <c r="S247" s="2">
        <v>1096</v>
      </c>
      <c r="T247" s="2">
        <v>938</v>
      </c>
      <c r="U247" s="2">
        <v>0</v>
      </c>
      <c r="V247" s="2"/>
      <c r="W247" s="2">
        <v>925</v>
      </c>
      <c r="X247" s="2">
        <v>751</v>
      </c>
      <c r="Y247" s="2">
        <v>0</v>
      </c>
      <c r="Z247" s="2">
        <v>0</v>
      </c>
      <c r="AA247" s="2">
        <v>0</v>
      </c>
      <c r="AB247" s="2"/>
      <c r="AC247" s="2">
        <v>3226</v>
      </c>
      <c r="AD247" s="2">
        <v>2940</v>
      </c>
      <c r="AE247" s="2">
        <v>1997</v>
      </c>
      <c r="AF247" s="2">
        <v>0</v>
      </c>
      <c r="AG247" s="2">
        <v>0</v>
      </c>
      <c r="AH247" s="2"/>
      <c r="AI247" s="2">
        <v>0</v>
      </c>
      <c r="AJ247" s="2">
        <v>0</v>
      </c>
      <c r="AK247" s="2">
        <v>0</v>
      </c>
      <c r="AL247" s="2">
        <v>0</v>
      </c>
      <c r="AM247" s="2">
        <v>0</v>
      </c>
    </row>
    <row r="248" spans="1:39">
      <c r="A248" s="349">
        <v>92331</v>
      </c>
      <c r="B248" s="342" t="s">
        <v>935</v>
      </c>
      <c r="C248" s="358">
        <v>1.381E-4</v>
      </c>
      <c r="E248" s="2">
        <v>53978</v>
      </c>
      <c r="F248" s="2">
        <v>70285</v>
      </c>
      <c r="G248" s="2">
        <v>45261</v>
      </c>
      <c r="H248" s="2">
        <v>20552</v>
      </c>
      <c r="I248" s="2">
        <v>0</v>
      </c>
      <c r="J248" s="2"/>
      <c r="K248" s="2">
        <v>25605</v>
      </c>
      <c r="L248" s="2">
        <v>23587</v>
      </c>
      <c r="M248" s="2">
        <v>13128</v>
      </c>
      <c r="N248" s="2">
        <v>0</v>
      </c>
      <c r="O248" s="2">
        <v>0</v>
      </c>
      <c r="P248" s="2"/>
      <c r="Q248" s="2">
        <v>1660</v>
      </c>
      <c r="R248" s="2">
        <v>23215</v>
      </c>
      <c r="S248" s="2">
        <v>24018</v>
      </c>
      <c r="T248" s="2">
        <v>20552</v>
      </c>
      <c r="U248" s="2">
        <v>0</v>
      </c>
      <c r="V248" s="2"/>
      <c r="W248" s="2">
        <v>20270</v>
      </c>
      <c r="X248" s="2">
        <v>16456</v>
      </c>
      <c r="Y248" s="2">
        <v>0</v>
      </c>
      <c r="Z248" s="2">
        <v>0</v>
      </c>
      <c r="AA248" s="2">
        <v>0</v>
      </c>
      <c r="AB248" s="2"/>
      <c r="AC248" s="2">
        <v>8118</v>
      </c>
      <c r="AD248" s="2">
        <v>8118</v>
      </c>
      <c r="AE248" s="2">
        <v>8115</v>
      </c>
      <c r="AF248" s="2">
        <v>0</v>
      </c>
      <c r="AG248" s="2">
        <v>0</v>
      </c>
      <c r="AH248" s="2"/>
      <c r="AI248" s="2">
        <v>-1675</v>
      </c>
      <c r="AJ248" s="2">
        <v>-1091</v>
      </c>
      <c r="AK248" s="2">
        <v>0</v>
      </c>
      <c r="AL248" s="2">
        <v>0</v>
      </c>
      <c r="AM248" s="2">
        <v>-1091</v>
      </c>
    </row>
    <row r="249" spans="1:39">
      <c r="A249" s="349">
        <v>92341</v>
      </c>
      <c r="B249" s="342" t="s">
        <v>936</v>
      </c>
      <c r="C249" s="358">
        <v>7.7999999999999999E-6</v>
      </c>
      <c r="E249" s="2">
        <v>1484</v>
      </c>
      <c r="F249" s="2">
        <v>2315</v>
      </c>
      <c r="G249" s="2">
        <v>1196</v>
      </c>
      <c r="H249" s="2">
        <v>1161</v>
      </c>
      <c r="I249" s="2">
        <v>0</v>
      </c>
      <c r="J249" s="2"/>
      <c r="K249" s="2">
        <v>1446</v>
      </c>
      <c r="L249" s="2">
        <v>1332</v>
      </c>
      <c r="M249" s="2">
        <v>741</v>
      </c>
      <c r="N249" s="2">
        <v>0</v>
      </c>
      <c r="O249" s="2">
        <v>0</v>
      </c>
      <c r="P249" s="2"/>
      <c r="Q249" s="2">
        <v>94</v>
      </c>
      <c r="R249" s="2">
        <v>1311</v>
      </c>
      <c r="S249" s="2">
        <v>1357</v>
      </c>
      <c r="T249" s="2">
        <v>1161</v>
      </c>
      <c r="U249" s="2">
        <v>0</v>
      </c>
      <c r="V249" s="2"/>
      <c r="W249" s="2">
        <v>1145</v>
      </c>
      <c r="X249" s="2">
        <v>929</v>
      </c>
      <c r="Y249" s="2">
        <v>0</v>
      </c>
      <c r="Z249" s="2">
        <v>0</v>
      </c>
      <c r="AA249" s="2">
        <v>0</v>
      </c>
      <c r="AB249" s="2"/>
      <c r="AC249" s="2">
        <v>56</v>
      </c>
      <c r="AD249" s="2">
        <v>0</v>
      </c>
      <c r="AE249" s="2">
        <v>0</v>
      </c>
      <c r="AF249" s="2">
        <v>0</v>
      </c>
      <c r="AG249" s="2">
        <v>0</v>
      </c>
      <c r="AH249" s="2"/>
      <c r="AI249" s="2">
        <v>-1257</v>
      </c>
      <c r="AJ249" s="2">
        <v>-1257</v>
      </c>
      <c r="AK249" s="2">
        <v>-902</v>
      </c>
      <c r="AL249" s="2">
        <v>0</v>
      </c>
      <c r="AM249" s="2">
        <v>-1257</v>
      </c>
    </row>
    <row r="250" spans="1:39">
      <c r="A250" s="349">
        <v>92351</v>
      </c>
      <c r="B250" s="342" t="s">
        <v>937</v>
      </c>
      <c r="C250" s="358">
        <v>2.48E-5</v>
      </c>
      <c r="E250" s="2">
        <v>12630</v>
      </c>
      <c r="F250" s="2">
        <v>15412</v>
      </c>
      <c r="G250" s="2">
        <v>9918</v>
      </c>
      <c r="H250" s="2">
        <v>3691</v>
      </c>
      <c r="I250" s="2">
        <v>0</v>
      </c>
      <c r="J250" s="2"/>
      <c r="K250" s="2">
        <v>4598</v>
      </c>
      <c r="L250" s="2">
        <v>4236</v>
      </c>
      <c r="M250" s="2">
        <v>2357</v>
      </c>
      <c r="N250" s="2">
        <v>0</v>
      </c>
      <c r="O250" s="2">
        <v>0</v>
      </c>
      <c r="P250" s="2"/>
      <c r="Q250" s="2">
        <v>298</v>
      </c>
      <c r="R250" s="2">
        <v>4169</v>
      </c>
      <c r="S250" s="2">
        <v>4313</v>
      </c>
      <c r="T250" s="2">
        <v>3691</v>
      </c>
      <c r="U250" s="2">
        <v>0</v>
      </c>
      <c r="V250" s="2"/>
      <c r="W250" s="2">
        <v>3640</v>
      </c>
      <c r="X250" s="2">
        <v>2955</v>
      </c>
      <c r="Y250" s="2">
        <v>0</v>
      </c>
      <c r="Z250" s="2">
        <v>0</v>
      </c>
      <c r="AA250" s="2">
        <v>0</v>
      </c>
      <c r="AB250" s="2"/>
      <c r="AC250" s="2">
        <v>4275</v>
      </c>
      <c r="AD250" s="2">
        <v>4233</v>
      </c>
      <c r="AE250" s="2">
        <v>3429</v>
      </c>
      <c r="AF250" s="2">
        <v>0</v>
      </c>
      <c r="AG250" s="2">
        <v>0</v>
      </c>
      <c r="AH250" s="2"/>
      <c r="AI250" s="2">
        <v>-181</v>
      </c>
      <c r="AJ250" s="2">
        <v>-181</v>
      </c>
      <c r="AK250" s="2">
        <v>-181</v>
      </c>
      <c r="AL250" s="2">
        <v>0</v>
      </c>
      <c r="AM250" s="2">
        <v>-181</v>
      </c>
    </row>
    <row r="251" spans="1:39">
      <c r="A251" s="349">
        <v>92401</v>
      </c>
      <c r="B251" s="342" t="s">
        <v>938</v>
      </c>
      <c r="C251" s="358">
        <v>2.5820999999999999E-3</v>
      </c>
      <c r="E251" s="2">
        <v>911639</v>
      </c>
      <c r="F251" s="2">
        <v>1201095</v>
      </c>
      <c r="G251" s="2">
        <v>726437</v>
      </c>
      <c r="H251" s="2">
        <v>384273</v>
      </c>
      <c r="I251" s="2">
        <v>0</v>
      </c>
      <c r="J251" s="2"/>
      <c r="K251" s="2">
        <v>478745</v>
      </c>
      <c r="L251" s="2">
        <v>441007</v>
      </c>
      <c r="M251" s="2">
        <v>245449</v>
      </c>
      <c r="N251" s="2">
        <v>0</v>
      </c>
      <c r="O251" s="2">
        <v>0</v>
      </c>
      <c r="P251" s="2"/>
      <c r="Q251" s="2">
        <v>31034</v>
      </c>
      <c r="R251" s="2">
        <v>434064</v>
      </c>
      <c r="S251" s="2">
        <v>449074</v>
      </c>
      <c r="T251" s="2">
        <v>384273</v>
      </c>
      <c r="U251" s="2">
        <v>0</v>
      </c>
      <c r="V251" s="2"/>
      <c r="W251" s="2">
        <v>378990</v>
      </c>
      <c r="X251" s="2">
        <v>307675</v>
      </c>
      <c r="Y251" s="2">
        <v>0</v>
      </c>
      <c r="Z251" s="2">
        <v>0</v>
      </c>
      <c r="AA251" s="2">
        <v>0</v>
      </c>
      <c r="AB251" s="2"/>
      <c r="AC251" s="2">
        <v>58908</v>
      </c>
      <c r="AD251" s="2">
        <v>54385</v>
      </c>
      <c r="AE251" s="2">
        <v>54384</v>
      </c>
      <c r="AF251" s="2">
        <v>0</v>
      </c>
      <c r="AG251" s="2">
        <v>0</v>
      </c>
      <c r="AH251" s="2"/>
      <c r="AI251" s="2">
        <v>-36038</v>
      </c>
      <c r="AJ251" s="2">
        <v>-36036</v>
      </c>
      <c r="AK251" s="2">
        <v>-22470</v>
      </c>
      <c r="AL251" s="2">
        <v>0</v>
      </c>
      <c r="AM251" s="2">
        <v>-36036</v>
      </c>
    </row>
    <row r="252" spans="1:39">
      <c r="A252" s="349">
        <v>92403</v>
      </c>
      <c r="B252" s="342" t="s">
        <v>939</v>
      </c>
      <c r="C252" s="358">
        <v>8.3000000000000002E-6</v>
      </c>
      <c r="E252" s="2">
        <v>4217</v>
      </c>
      <c r="F252" s="2">
        <v>4782</v>
      </c>
      <c r="G252" s="2">
        <v>3128</v>
      </c>
      <c r="H252" s="2">
        <v>1235</v>
      </c>
      <c r="I252" s="2">
        <v>0</v>
      </c>
      <c r="J252" s="2"/>
      <c r="K252" s="2">
        <v>1539</v>
      </c>
      <c r="L252" s="2">
        <v>1418</v>
      </c>
      <c r="M252" s="2">
        <v>789</v>
      </c>
      <c r="N252" s="2">
        <v>0</v>
      </c>
      <c r="O252" s="2">
        <v>0</v>
      </c>
      <c r="P252" s="2"/>
      <c r="Q252" s="2">
        <v>100</v>
      </c>
      <c r="R252" s="2">
        <v>1395</v>
      </c>
      <c r="S252" s="2">
        <v>1444</v>
      </c>
      <c r="T252" s="2">
        <v>1235</v>
      </c>
      <c r="U252" s="2">
        <v>0</v>
      </c>
      <c r="V252" s="2"/>
      <c r="W252" s="2">
        <v>1218</v>
      </c>
      <c r="X252" s="2">
        <v>989</v>
      </c>
      <c r="Y252" s="2">
        <v>0</v>
      </c>
      <c r="Z252" s="2">
        <v>0</v>
      </c>
      <c r="AA252" s="2">
        <v>0</v>
      </c>
      <c r="AB252" s="2"/>
      <c r="AC252" s="2">
        <v>1360</v>
      </c>
      <c r="AD252" s="2">
        <v>980</v>
      </c>
      <c r="AE252" s="2">
        <v>895</v>
      </c>
      <c r="AF252" s="2">
        <v>0</v>
      </c>
      <c r="AG252" s="2">
        <v>0</v>
      </c>
      <c r="AH252" s="2"/>
      <c r="AI252" s="2">
        <v>0</v>
      </c>
      <c r="AJ252" s="2">
        <v>0</v>
      </c>
      <c r="AK252" s="2">
        <v>0</v>
      </c>
      <c r="AL252" s="2">
        <v>0</v>
      </c>
      <c r="AM252" s="2">
        <v>0</v>
      </c>
    </row>
    <row r="253" spans="1:39">
      <c r="A253" s="349">
        <v>92411</v>
      </c>
      <c r="B253" s="342" t="s">
        <v>940</v>
      </c>
      <c r="C253" s="358">
        <v>4.8109999999999998E-4</v>
      </c>
      <c r="E253" s="2">
        <v>161224</v>
      </c>
      <c r="F253" s="2">
        <v>217502</v>
      </c>
      <c r="G253" s="2">
        <v>138150</v>
      </c>
      <c r="H253" s="2">
        <v>71598</v>
      </c>
      <c r="I253" s="2">
        <v>0</v>
      </c>
      <c r="J253" s="2"/>
      <c r="K253" s="2">
        <v>89200</v>
      </c>
      <c r="L253" s="2">
        <v>82169</v>
      </c>
      <c r="M253" s="2">
        <v>45732</v>
      </c>
      <c r="N253" s="2">
        <v>0</v>
      </c>
      <c r="O253" s="2">
        <v>0</v>
      </c>
      <c r="P253" s="2"/>
      <c r="Q253" s="2">
        <v>5782</v>
      </c>
      <c r="R253" s="2">
        <v>80875</v>
      </c>
      <c r="S253" s="2">
        <v>83672</v>
      </c>
      <c r="T253" s="2">
        <v>71598</v>
      </c>
      <c r="U253" s="2">
        <v>0</v>
      </c>
      <c r="V253" s="2"/>
      <c r="W253" s="2">
        <v>70614</v>
      </c>
      <c r="X253" s="2">
        <v>57326</v>
      </c>
      <c r="Y253" s="2">
        <v>0</v>
      </c>
      <c r="Z253" s="2">
        <v>0</v>
      </c>
      <c r="AA253" s="2">
        <v>0</v>
      </c>
      <c r="AB253" s="2"/>
      <c r="AC253" s="2">
        <v>8748</v>
      </c>
      <c r="AD253" s="2">
        <v>8748</v>
      </c>
      <c r="AE253" s="2">
        <v>8746</v>
      </c>
      <c r="AF253" s="2">
        <v>0</v>
      </c>
      <c r="AG253" s="2">
        <v>0</v>
      </c>
      <c r="AH253" s="2"/>
      <c r="AI253" s="2">
        <v>-13120</v>
      </c>
      <c r="AJ253" s="2">
        <v>-11616</v>
      </c>
      <c r="AK253" s="2">
        <v>0</v>
      </c>
      <c r="AL253" s="2">
        <v>0</v>
      </c>
      <c r="AM253" s="2">
        <v>-11616</v>
      </c>
    </row>
    <row r="254" spans="1:39">
      <c r="A254" s="349">
        <v>92417</v>
      </c>
      <c r="B254" s="342" t="s">
        <v>941</v>
      </c>
      <c r="C254" s="358">
        <v>1.15E-5</v>
      </c>
      <c r="E254" s="2">
        <v>-510</v>
      </c>
      <c r="F254" s="2">
        <v>1183</v>
      </c>
      <c r="G254" s="2">
        <v>-526</v>
      </c>
      <c r="H254" s="2">
        <v>1711</v>
      </c>
      <c r="I254" s="2">
        <v>0</v>
      </c>
      <c r="J254" s="2"/>
      <c r="K254" s="2">
        <v>2132</v>
      </c>
      <c r="L254" s="2">
        <v>1964</v>
      </c>
      <c r="M254" s="2">
        <v>1093</v>
      </c>
      <c r="N254" s="2">
        <v>0</v>
      </c>
      <c r="O254" s="2">
        <v>0</v>
      </c>
      <c r="P254" s="2"/>
      <c r="Q254" s="2">
        <v>138</v>
      </c>
      <c r="R254" s="2">
        <v>1933</v>
      </c>
      <c r="S254" s="2">
        <v>2000</v>
      </c>
      <c r="T254" s="2">
        <v>1711</v>
      </c>
      <c r="U254" s="2">
        <v>0</v>
      </c>
      <c r="V254" s="2"/>
      <c r="W254" s="2">
        <v>1688</v>
      </c>
      <c r="X254" s="2">
        <v>1370</v>
      </c>
      <c r="Y254" s="2">
        <v>0</v>
      </c>
      <c r="Z254" s="2">
        <v>0</v>
      </c>
      <c r="AA254" s="2">
        <v>0</v>
      </c>
      <c r="AB254" s="2"/>
      <c r="AC254" s="2">
        <v>0</v>
      </c>
      <c r="AD254" s="2">
        <v>0</v>
      </c>
      <c r="AE254" s="2">
        <v>0</v>
      </c>
      <c r="AF254" s="2">
        <v>0</v>
      </c>
      <c r="AG254" s="2">
        <v>0</v>
      </c>
      <c r="AH254" s="2"/>
      <c r="AI254" s="2">
        <v>-4468</v>
      </c>
      <c r="AJ254" s="2">
        <v>-4084</v>
      </c>
      <c r="AK254" s="2">
        <v>-3619</v>
      </c>
      <c r="AL254" s="2">
        <v>0</v>
      </c>
      <c r="AM254" s="2">
        <v>-4084</v>
      </c>
    </row>
    <row r="255" spans="1:39">
      <c r="A255" s="349">
        <v>92421</v>
      </c>
      <c r="B255" s="342" t="s">
        <v>942</v>
      </c>
      <c r="C255" s="358">
        <v>1.7900000000000001E-5</v>
      </c>
      <c r="E255" s="2">
        <v>9839</v>
      </c>
      <c r="F255" s="2">
        <v>11199</v>
      </c>
      <c r="G255" s="2">
        <v>6822</v>
      </c>
      <c r="H255" s="2">
        <v>2664</v>
      </c>
      <c r="I255" s="2">
        <v>0</v>
      </c>
      <c r="J255" s="2"/>
      <c r="K255" s="2">
        <v>3319</v>
      </c>
      <c r="L255" s="2">
        <v>3057</v>
      </c>
      <c r="M255" s="2">
        <v>1702</v>
      </c>
      <c r="N255" s="2">
        <v>0</v>
      </c>
      <c r="O255" s="2">
        <v>0</v>
      </c>
      <c r="P255" s="2"/>
      <c r="Q255" s="2">
        <v>215</v>
      </c>
      <c r="R255" s="2">
        <v>3009</v>
      </c>
      <c r="S255" s="2">
        <v>3113</v>
      </c>
      <c r="T255" s="2">
        <v>2664</v>
      </c>
      <c r="U255" s="2">
        <v>0</v>
      </c>
      <c r="V255" s="2"/>
      <c r="W255" s="2">
        <v>2627</v>
      </c>
      <c r="X255" s="2">
        <v>2133</v>
      </c>
      <c r="Y255" s="2">
        <v>0</v>
      </c>
      <c r="Z255" s="2">
        <v>0</v>
      </c>
      <c r="AA255" s="2">
        <v>0</v>
      </c>
      <c r="AB255" s="2"/>
      <c r="AC255" s="2">
        <v>3678</v>
      </c>
      <c r="AD255" s="2">
        <v>3000</v>
      </c>
      <c r="AE255" s="2">
        <v>2007</v>
      </c>
      <c r="AF255" s="2">
        <v>0</v>
      </c>
      <c r="AG255" s="2">
        <v>0</v>
      </c>
      <c r="AH255" s="2"/>
      <c r="AI255" s="2">
        <v>0</v>
      </c>
      <c r="AJ255" s="2">
        <v>0</v>
      </c>
      <c r="AK255" s="2">
        <v>0</v>
      </c>
      <c r="AL255" s="2">
        <v>0</v>
      </c>
      <c r="AM255" s="2">
        <v>0</v>
      </c>
    </row>
    <row r="256" spans="1:39">
      <c r="A256" s="349">
        <v>92427</v>
      </c>
      <c r="B256" s="342" t="s">
        <v>943</v>
      </c>
      <c r="C256" s="358">
        <v>1.7E-6</v>
      </c>
      <c r="E256" s="2">
        <v>1520</v>
      </c>
      <c r="F256" s="2">
        <v>1509</v>
      </c>
      <c r="G256" s="2">
        <v>759</v>
      </c>
      <c r="H256" s="2">
        <v>253</v>
      </c>
      <c r="I256" s="2">
        <v>0</v>
      </c>
      <c r="J256" s="2"/>
      <c r="K256" s="2">
        <v>315</v>
      </c>
      <c r="L256" s="2">
        <v>290</v>
      </c>
      <c r="M256" s="2">
        <v>162</v>
      </c>
      <c r="N256" s="2">
        <v>0</v>
      </c>
      <c r="O256" s="2">
        <v>0</v>
      </c>
      <c r="P256" s="2"/>
      <c r="Q256" s="2">
        <v>20</v>
      </c>
      <c r="R256" s="2">
        <v>286</v>
      </c>
      <c r="S256" s="2">
        <v>296</v>
      </c>
      <c r="T256" s="2">
        <v>253</v>
      </c>
      <c r="U256" s="2">
        <v>0</v>
      </c>
      <c r="V256" s="2"/>
      <c r="W256" s="2">
        <v>250</v>
      </c>
      <c r="X256" s="2">
        <v>203</v>
      </c>
      <c r="Y256" s="2">
        <v>0</v>
      </c>
      <c r="Z256" s="2">
        <v>0</v>
      </c>
      <c r="AA256" s="2">
        <v>0</v>
      </c>
      <c r="AB256" s="2"/>
      <c r="AC256" s="2">
        <v>935</v>
      </c>
      <c r="AD256" s="2">
        <v>730</v>
      </c>
      <c r="AE256" s="2">
        <v>301</v>
      </c>
      <c r="AF256" s="2">
        <v>0</v>
      </c>
      <c r="AG256" s="2">
        <v>0</v>
      </c>
      <c r="AH256" s="2"/>
      <c r="AI256" s="2">
        <v>0</v>
      </c>
      <c r="AJ256" s="2">
        <v>0</v>
      </c>
      <c r="AK256" s="2">
        <v>0</v>
      </c>
      <c r="AL256" s="2">
        <v>0</v>
      </c>
      <c r="AM256" s="2">
        <v>0</v>
      </c>
    </row>
    <row r="257" spans="1:39">
      <c r="A257" s="349">
        <v>92431</v>
      </c>
      <c r="B257" s="342" t="s">
        <v>944</v>
      </c>
      <c r="C257" s="358">
        <v>2.34E-5</v>
      </c>
      <c r="E257" s="2">
        <v>13395</v>
      </c>
      <c r="F257" s="2">
        <v>12336</v>
      </c>
      <c r="G257" s="2">
        <v>8329</v>
      </c>
      <c r="H257" s="2">
        <v>3482</v>
      </c>
      <c r="I257" s="2">
        <v>0</v>
      </c>
      <c r="J257" s="2"/>
      <c r="K257" s="2">
        <v>4339</v>
      </c>
      <c r="L257" s="2">
        <v>3997</v>
      </c>
      <c r="M257" s="2">
        <v>2224</v>
      </c>
      <c r="N257" s="2">
        <v>0</v>
      </c>
      <c r="O257" s="2">
        <v>0</v>
      </c>
      <c r="P257" s="2"/>
      <c r="Q257" s="2">
        <v>281</v>
      </c>
      <c r="R257" s="2">
        <v>3934</v>
      </c>
      <c r="S257" s="2">
        <v>4070</v>
      </c>
      <c r="T257" s="2">
        <v>3482</v>
      </c>
      <c r="U257" s="2">
        <v>0</v>
      </c>
      <c r="V257" s="2"/>
      <c r="W257" s="2">
        <v>3435</v>
      </c>
      <c r="X257" s="2">
        <v>2788</v>
      </c>
      <c r="Y257" s="2">
        <v>0</v>
      </c>
      <c r="Z257" s="2">
        <v>0</v>
      </c>
      <c r="AA257" s="2">
        <v>0</v>
      </c>
      <c r="AB257" s="2"/>
      <c r="AC257" s="2">
        <v>5760</v>
      </c>
      <c r="AD257" s="2">
        <v>2036</v>
      </c>
      <c r="AE257" s="2">
        <v>2035</v>
      </c>
      <c r="AF257" s="2">
        <v>0</v>
      </c>
      <c r="AG257" s="2">
        <v>0</v>
      </c>
      <c r="AH257" s="2"/>
      <c r="AI257" s="2">
        <v>-420</v>
      </c>
      <c r="AJ257" s="2">
        <v>-419</v>
      </c>
      <c r="AK257" s="2">
        <v>0</v>
      </c>
      <c r="AL257" s="2">
        <v>0</v>
      </c>
      <c r="AM257" s="2">
        <v>-419</v>
      </c>
    </row>
    <row r="258" spans="1:39">
      <c r="A258" s="349">
        <v>92441</v>
      </c>
      <c r="B258" s="342" t="s">
        <v>945</v>
      </c>
      <c r="C258" s="358">
        <v>1.054E-4</v>
      </c>
      <c r="E258" s="2">
        <v>41875</v>
      </c>
      <c r="F258" s="2">
        <v>55799</v>
      </c>
      <c r="G258" s="2">
        <v>32035</v>
      </c>
      <c r="H258" s="2">
        <v>15686</v>
      </c>
      <c r="I258" s="2">
        <v>0</v>
      </c>
      <c r="J258" s="2"/>
      <c r="K258" s="2">
        <v>19542</v>
      </c>
      <c r="L258" s="2">
        <v>18002</v>
      </c>
      <c r="M258" s="2">
        <v>10019</v>
      </c>
      <c r="N258" s="2">
        <v>0</v>
      </c>
      <c r="O258" s="2">
        <v>0</v>
      </c>
      <c r="P258" s="2"/>
      <c r="Q258" s="2">
        <v>1267</v>
      </c>
      <c r="R258" s="2">
        <v>17718</v>
      </c>
      <c r="S258" s="2">
        <v>18331</v>
      </c>
      <c r="T258" s="2">
        <v>15686</v>
      </c>
      <c r="U258" s="2">
        <v>0</v>
      </c>
      <c r="V258" s="2"/>
      <c r="W258" s="2">
        <v>15470</v>
      </c>
      <c r="X258" s="2">
        <v>12559</v>
      </c>
      <c r="Y258" s="2">
        <v>0</v>
      </c>
      <c r="Z258" s="2">
        <v>0</v>
      </c>
      <c r="AA258" s="2">
        <v>0</v>
      </c>
      <c r="AB258" s="2"/>
      <c r="AC258" s="2">
        <v>10722</v>
      </c>
      <c r="AD258" s="2">
        <v>10724</v>
      </c>
      <c r="AE258" s="2">
        <v>6889</v>
      </c>
      <c r="AF258" s="2">
        <v>0</v>
      </c>
      <c r="AG258" s="2">
        <v>0</v>
      </c>
      <c r="AH258" s="2"/>
      <c r="AI258" s="2">
        <v>-5126</v>
      </c>
      <c r="AJ258" s="2">
        <v>-3204</v>
      </c>
      <c r="AK258" s="2">
        <v>-3204</v>
      </c>
      <c r="AL258" s="2">
        <v>0</v>
      </c>
      <c r="AM258" s="2">
        <v>-3204</v>
      </c>
    </row>
    <row r="259" spans="1:39">
      <c r="A259" s="349">
        <v>92444</v>
      </c>
      <c r="B259" s="342" t="s">
        <v>946</v>
      </c>
      <c r="C259" s="358">
        <v>5.2000000000000002E-6</v>
      </c>
      <c r="E259" s="2">
        <v>4062</v>
      </c>
      <c r="F259" s="2">
        <v>4434</v>
      </c>
      <c r="G259" s="2">
        <v>2998</v>
      </c>
      <c r="H259" s="2">
        <v>774</v>
      </c>
      <c r="I259" s="2">
        <v>0</v>
      </c>
      <c r="J259" s="2"/>
      <c r="K259" s="2">
        <v>964</v>
      </c>
      <c r="L259" s="2">
        <v>888</v>
      </c>
      <c r="M259" s="2">
        <v>494</v>
      </c>
      <c r="N259" s="2">
        <v>0</v>
      </c>
      <c r="O259" s="2">
        <v>0</v>
      </c>
      <c r="P259" s="2"/>
      <c r="Q259" s="2">
        <v>62</v>
      </c>
      <c r="R259" s="2">
        <v>874</v>
      </c>
      <c r="S259" s="2">
        <v>904</v>
      </c>
      <c r="T259" s="2">
        <v>774</v>
      </c>
      <c r="U259" s="2">
        <v>0</v>
      </c>
      <c r="V259" s="2"/>
      <c r="W259" s="2">
        <v>763</v>
      </c>
      <c r="X259" s="2">
        <v>620</v>
      </c>
      <c r="Y259" s="2">
        <v>0</v>
      </c>
      <c r="Z259" s="2">
        <v>0</v>
      </c>
      <c r="AA259" s="2">
        <v>0</v>
      </c>
      <c r="AB259" s="2"/>
      <c r="AC259" s="2">
        <v>2273</v>
      </c>
      <c r="AD259" s="2">
        <v>2052</v>
      </c>
      <c r="AE259" s="2">
        <v>1600</v>
      </c>
      <c r="AF259" s="2">
        <v>0</v>
      </c>
      <c r="AG259" s="2">
        <v>0</v>
      </c>
      <c r="AH259" s="2"/>
      <c r="AI259" s="2">
        <v>0</v>
      </c>
      <c r="AJ259" s="2">
        <v>0</v>
      </c>
      <c r="AK259" s="2">
        <v>0</v>
      </c>
      <c r="AL259" s="2">
        <v>0</v>
      </c>
      <c r="AM259" s="2">
        <v>0</v>
      </c>
    </row>
    <row r="260" spans="1:39">
      <c r="A260" s="349">
        <v>92451</v>
      </c>
      <c r="B260" s="342" t="s">
        <v>947</v>
      </c>
      <c r="C260" s="358">
        <v>1.049E-4</v>
      </c>
      <c r="E260" s="2">
        <v>45521</v>
      </c>
      <c r="F260" s="2">
        <v>56376</v>
      </c>
      <c r="G260" s="2">
        <v>33701</v>
      </c>
      <c r="H260" s="2">
        <v>15611</v>
      </c>
      <c r="I260" s="2">
        <v>0</v>
      </c>
      <c r="J260" s="2"/>
      <c r="K260" s="2">
        <v>19449</v>
      </c>
      <c r="L260" s="2">
        <v>17916</v>
      </c>
      <c r="M260" s="2">
        <v>9972</v>
      </c>
      <c r="N260" s="2">
        <v>0</v>
      </c>
      <c r="O260" s="2">
        <v>0</v>
      </c>
      <c r="P260" s="2"/>
      <c r="Q260" s="2">
        <v>1261</v>
      </c>
      <c r="R260" s="2">
        <v>17634</v>
      </c>
      <c r="S260" s="2">
        <v>18244</v>
      </c>
      <c r="T260" s="2">
        <v>15611</v>
      </c>
      <c r="U260" s="2">
        <v>0</v>
      </c>
      <c r="V260" s="2"/>
      <c r="W260" s="2">
        <v>15397</v>
      </c>
      <c r="X260" s="2">
        <v>12500</v>
      </c>
      <c r="Y260" s="2">
        <v>0</v>
      </c>
      <c r="Z260" s="2">
        <v>0</v>
      </c>
      <c r="AA260" s="2">
        <v>0</v>
      </c>
      <c r="AB260" s="2"/>
      <c r="AC260" s="2">
        <v>9414</v>
      </c>
      <c r="AD260" s="2">
        <v>8326</v>
      </c>
      <c r="AE260" s="2">
        <v>5485</v>
      </c>
      <c r="AF260" s="2">
        <v>0</v>
      </c>
      <c r="AG260" s="2">
        <v>0</v>
      </c>
      <c r="AH260" s="2"/>
      <c r="AI260" s="2">
        <v>0</v>
      </c>
      <c r="AJ260" s="2">
        <v>0</v>
      </c>
      <c r="AK260" s="2">
        <v>0</v>
      </c>
      <c r="AL260" s="2">
        <v>0</v>
      </c>
      <c r="AM260" s="2">
        <v>0</v>
      </c>
    </row>
    <row r="261" spans="1:39">
      <c r="A261" s="349">
        <v>92461</v>
      </c>
      <c r="B261" s="342" t="s">
        <v>948</v>
      </c>
      <c r="C261" s="358">
        <v>5.3300000000000001E-5</v>
      </c>
      <c r="E261" s="2">
        <v>23170</v>
      </c>
      <c r="F261" s="2">
        <v>27912</v>
      </c>
      <c r="G261" s="2">
        <v>16468</v>
      </c>
      <c r="H261" s="2">
        <v>7932</v>
      </c>
      <c r="I261" s="2">
        <v>0</v>
      </c>
      <c r="J261" s="2"/>
      <c r="K261" s="2">
        <v>9882</v>
      </c>
      <c r="L261" s="2">
        <v>9103</v>
      </c>
      <c r="M261" s="2">
        <v>5067</v>
      </c>
      <c r="N261" s="2">
        <v>0</v>
      </c>
      <c r="O261" s="2">
        <v>0</v>
      </c>
      <c r="P261" s="2"/>
      <c r="Q261" s="2">
        <v>641</v>
      </c>
      <c r="R261" s="2">
        <v>8960</v>
      </c>
      <c r="S261" s="2">
        <v>9270</v>
      </c>
      <c r="T261" s="2">
        <v>7932</v>
      </c>
      <c r="U261" s="2">
        <v>0</v>
      </c>
      <c r="V261" s="2"/>
      <c r="W261" s="2">
        <v>7823</v>
      </c>
      <c r="X261" s="2">
        <v>6351</v>
      </c>
      <c r="Y261" s="2">
        <v>0</v>
      </c>
      <c r="Z261" s="2">
        <v>0</v>
      </c>
      <c r="AA261" s="2">
        <v>0</v>
      </c>
      <c r="AB261" s="2"/>
      <c r="AC261" s="2">
        <v>4824</v>
      </c>
      <c r="AD261" s="2">
        <v>3498</v>
      </c>
      <c r="AE261" s="2">
        <v>2131</v>
      </c>
      <c r="AF261" s="2">
        <v>0</v>
      </c>
      <c r="AG261" s="2">
        <v>0</v>
      </c>
      <c r="AH261" s="2"/>
      <c r="AI261" s="2">
        <v>0</v>
      </c>
      <c r="AJ261" s="2">
        <v>0</v>
      </c>
      <c r="AK261" s="2">
        <v>0</v>
      </c>
      <c r="AL261" s="2">
        <v>0</v>
      </c>
      <c r="AM261" s="2">
        <v>0</v>
      </c>
    </row>
    <row r="262" spans="1:39">
      <c r="A262" s="349">
        <v>92501</v>
      </c>
      <c r="B262" s="342" t="s">
        <v>949</v>
      </c>
      <c r="C262" s="358">
        <v>4.0159999999999996E-3</v>
      </c>
      <c r="E262" s="2">
        <v>1633027</v>
      </c>
      <c r="F262" s="2">
        <v>2065700</v>
      </c>
      <c r="G262" s="2">
        <v>1283985</v>
      </c>
      <c r="H262" s="2">
        <v>597669</v>
      </c>
      <c r="I262" s="2">
        <v>0</v>
      </c>
      <c r="J262" s="2"/>
      <c r="K262" s="2">
        <v>744603</v>
      </c>
      <c r="L262" s="2">
        <v>685909</v>
      </c>
      <c r="M262" s="2">
        <v>381753</v>
      </c>
      <c r="N262" s="2">
        <v>0</v>
      </c>
      <c r="O262" s="2">
        <v>0</v>
      </c>
      <c r="P262" s="2"/>
      <c r="Q262" s="2">
        <v>48268</v>
      </c>
      <c r="R262" s="2">
        <v>675110</v>
      </c>
      <c r="S262" s="2">
        <v>698455</v>
      </c>
      <c r="T262" s="2">
        <v>597669</v>
      </c>
      <c r="U262" s="2">
        <v>0</v>
      </c>
      <c r="V262" s="2"/>
      <c r="W262" s="2">
        <v>589452</v>
      </c>
      <c r="X262" s="2">
        <v>478535</v>
      </c>
      <c r="Y262" s="2">
        <v>0</v>
      </c>
      <c r="Z262" s="2">
        <v>0</v>
      </c>
      <c r="AA262" s="2">
        <v>0</v>
      </c>
      <c r="AB262" s="2"/>
      <c r="AC262" s="2">
        <v>250704</v>
      </c>
      <c r="AD262" s="2">
        <v>226146</v>
      </c>
      <c r="AE262" s="2">
        <v>203777</v>
      </c>
      <c r="AF262" s="2">
        <v>0</v>
      </c>
      <c r="AG262" s="2">
        <v>0</v>
      </c>
      <c r="AH262" s="2"/>
      <c r="AI262" s="2">
        <v>0</v>
      </c>
      <c r="AJ262" s="2">
        <v>0</v>
      </c>
      <c r="AK262" s="2">
        <v>0</v>
      </c>
      <c r="AL262" s="2">
        <v>0</v>
      </c>
      <c r="AM262" s="2">
        <v>0</v>
      </c>
    </row>
    <row r="263" spans="1:39">
      <c r="A263" s="349">
        <v>92502</v>
      </c>
      <c r="B263" s="342" t="s">
        <v>3657</v>
      </c>
      <c r="C263" s="358">
        <v>2.1299999999999999E-5</v>
      </c>
      <c r="E263" s="2">
        <v>8117</v>
      </c>
      <c r="F263" s="2">
        <v>10452</v>
      </c>
      <c r="G263" s="2">
        <v>6216</v>
      </c>
      <c r="H263" s="2">
        <v>3170</v>
      </c>
      <c r="I263" s="2">
        <v>0</v>
      </c>
      <c r="J263" s="2"/>
      <c r="K263" s="2">
        <v>3949</v>
      </c>
      <c r="L263" s="2">
        <v>3638</v>
      </c>
      <c r="M263" s="2">
        <v>2025</v>
      </c>
      <c r="N263" s="2">
        <v>0</v>
      </c>
      <c r="O263" s="2">
        <v>0</v>
      </c>
      <c r="P263" s="2"/>
      <c r="Q263" s="2">
        <v>256</v>
      </c>
      <c r="R263" s="2">
        <v>3581</v>
      </c>
      <c r="S263" s="2">
        <v>3704</v>
      </c>
      <c r="T263" s="2">
        <v>3170</v>
      </c>
      <c r="U263" s="2">
        <v>0</v>
      </c>
      <c r="V263" s="2"/>
      <c r="W263" s="2">
        <v>3126</v>
      </c>
      <c r="X263" s="2">
        <v>2538</v>
      </c>
      <c r="Y263" s="2">
        <v>0</v>
      </c>
      <c r="Z263" s="2">
        <v>0</v>
      </c>
      <c r="AA263" s="2">
        <v>0</v>
      </c>
      <c r="AB263" s="2"/>
      <c r="AC263" s="2">
        <v>786</v>
      </c>
      <c r="AD263" s="2">
        <v>695</v>
      </c>
      <c r="AE263" s="2">
        <v>487</v>
      </c>
      <c r="AF263" s="2">
        <v>0</v>
      </c>
      <c r="AG263" s="2">
        <v>0</v>
      </c>
      <c r="AH263" s="2"/>
      <c r="AI263" s="2">
        <v>0</v>
      </c>
      <c r="AJ263" s="2">
        <v>0</v>
      </c>
      <c r="AK263" s="2">
        <v>0</v>
      </c>
      <c r="AL263" s="2">
        <v>0</v>
      </c>
      <c r="AM263" s="2">
        <v>0</v>
      </c>
    </row>
    <row r="264" spans="1:39">
      <c r="A264" s="349">
        <v>92504</v>
      </c>
      <c r="B264" s="342" t="s">
        <v>3658</v>
      </c>
      <c r="C264" s="358">
        <v>9.0799999999999998E-5</v>
      </c>
      <c r="E264" s="2">
        <v>48219</v>
      </c>
      <c r="F264" s="2">
        <v>54437</v>
      </c>
      <c r="G264" s="2">
        <v>35849</v>
      </c>
      <c r="H264" s="2">
        <v>13513</v>
      </c>
      <c r="I264" s="2">
        <v>0</v>
      </c>
      <c r="J264" s="2"/>
      <c r="K264" s="2">
        <v>16835</v>
      </c>
      <c r="L264" s="2">
        <v>15508</v>
      </c>
      <c r="M264" s="2">
        <v>8631</v>
      </c>
      <c r="N264" s="2">
        <v>0</v>
      </c>
      <c r="O264" s="2">
        <v>0</v>
      </c>
      <c r="P264" s="2"/>
      <c r="Q264" s="2">
        <v>1091</v>
      </c>
      <c r="R264" s="2">
        <v>15264</v>
      </c>
      <c r="S264" s="2">
        <v>15792</v>
      </c>
      <c r="T264" s="2">
        <v>13513</v>
      </c>
      <c r="U264" s="2">
        <v>0</v>
      </c>
      <c r="V264" s="2"/>
      <c r="W264" s="2">
        <v>13327</v>
      </c>
      <c r="X264" s="2">
        <v>10819</v>
      </c>
      <c r="Y264" s="2">
        <v>0</v>
      </c>
      <c r="Z264" s="2">
        <v>0</v>
      </c>
      <c r="AA264" s="2">
        <v>0</v>
      </c>
      <c r="AB264" s="2"/>
      <c r="AC264" s="2">
        <v>16966</v>
      </c>
      <c r="AD264" s="2">
        <v>12846</v>
      </c>
      <c r="AE264" s="2">
        <v>11426</v>
      </c>
      <c r="AF264" s="2">
        <v>0</v>
      </c>
      <c r="AG264" s="2">
        <v>0</v>
      </c>
      <c r="AH264" s="2"/>
      <c r="AI264" s="2">
        <v>0</v>
      </c>
      <c r="AJ264" s="2">
        <v>0</v>
      </c>
      <c r="AK264" s="2">
        <v>0</v>
      </c>
      <c r="AL264" s="2">
        <v>0</v>
      </c>
      <c r="AM264" s="2">
        <v>0</v>
      </c>
    </row>
    <row r="265" spans="1:39">
      <c r="A265" s="349">
        <v>92505</v>
      </c>
      <c r="B265" s="342" t="s">
        <v>952</v>
      </c>
      <c r="C265" s="358">
        <v>1.674E-4</v>
      </c>
      <c r="E265" s="2">
        <v>89789</v>
      </c>
      <c r="F265" s="2">
        <v>101800</v>
      </c>
      <c r="G265" s="2">
        <v>64145</v>
      </c>
      <c r="H265" s="2">
        <v>24913</v>
      </c>
      <c r="I265" s="2">
        <v>0</v>
      </c>
      <c r="J265" s="2"/>
      <c r="K265" s="2">
        <v>31037</v>
      </c>
      <c r="L265" s="2">
        <v>28591</v>
      </c>
      <c r="M265" s="2">
        <v>15913</v>
      </c>
      <c r="N265" s="2">
        <v>0</v>
      </c>
      <c r="O265" s="2">
        <v>0</v>
      </c>
      <c r="P265" s="2"/>
      <c r="Q265" s="2">
        <v>2012</v>
      </c>
      <c r="R265" s="2">
        <v>28141</v>
      </c>
      <c r="S265" s="2">
        <v>29114</v>
      </c>
      <c r="T265" s="2">
        <v>24913</v>
      </c>
      <c r="U265" s="2">
        <v>0</v>
      </c>
      <c r="V265" s="2"/>
      <c r="W265" s="2">
        <v>24570</v>
      </c>
      <c r="X265" s="2">
        <v>19947</v>
      </c>
      <c r="Y265" s="2">
        <v>0</v>
      </c>
      <c r="Z265" s="2">
        <v>0</v>
      </c>
      <c r="AA265" s="2">
        <v>0</v>
      </c>
      <c r="AB265" s="2"/>
      <c r="AC265" s="2">
        <v>32170</v>
      </c>
      <c r="AD265" s="2">
        <v>25121</v>
      </c>
      <c r="AE265" s="2">
        <v>19118</v>
      </c>
      <c r="AF265" s="2">
        <v>0</v>
      </c>
      <c r="AG265" s="2">
        <v>0</v>
      </c>
      <c r="AH265" s="2"/>
      <c r="AI265" s="2">
        <v>0</v>
      </c>
      <c r="AJ265" s="2">
        <v>0</v>
      </c>
      <c r="AK265" s="2">
        <v>0</v>
      </c>
      <c r="AL265" s="2">
        <v>0</v>
      </c>
      <c r="AM265" s="2">
        <v>0</v>
      </c>
    </row>
    <row r="266" spans="1:39">
      <c r="A266" s="349">
        <v>92506</v>
      </c>
      <c r="B266" s="342" t="s">
        <v>953</v>
      </c>
      <c r="C266" s="358">
        <v>6.0600000000000003E-5</v>
      </c>
      <c r="E266" s="2">
        <v>30956</v>
      </c>
      <c r="F266" s="2">
        <v>36264</v>
      </c>
      <c r="G266" s="2">
        <v>21480</v>
      </c>
      <c r="H266" s="2">
        <v>9019</v>
      </c>
      <c r="I266" s="2">
        <v>0</v>
      </c>
      <c r="J266" s="2"/>
      <c r="K266" s="2">
        <v>11236</v>
      </c>
      <c r="L266" s="2">
        <v>10350</v>
      </c>
      <c r="M266" s="2">
        <v>5761</v>
      </c>
      <c r="N266" s="2">
        <v>0</v>
      </c>
      <c r="O266" s="2">
        <v>0</v>
      </c>
      <c r="P266" s="2"/>
      <c r="Q266" s="2">
        <v>728</v>
      </c>
      <c r="R266" s="2">
        <v>10187</v>
      </c>
      <c r="S266" s="2">
        <v>10539</v>
      </c>
      <c r="T266" s="2">
        <v>9019</v>
      </c>
      <c r="U266" s="2">
        <v>0</v>
      </c>
      <c r="V266" s="2"/>
      <c r="W266" s="2">
        <v>8895</v>
      </c>
      <c r="X266" s="2">
        <v>7221</v>
      </c>
      <c r="Y266" s="2">
        <v>0</v>
      </c>
      <c r="Z266" s="2">
        <v>0</v>
      </c>
      <c r="AA266" s="2">
        <v>0</v>
      </c>
      <c r="AB266" s="2"/>
      <c r="AC266" s="2">
        <v>10430</v>
      </c>
      <c r="AD266" s="2">
        <v>8839</v>
      </c>
      <c r="AE266" s="2">
        <v>5514</v>
      </c>
      <c r="AF266" s="2">
        <v>0</v>
      </c>
      <c r="AG266" s="2">
        <v>0</v>
      </c>
      <c r="AH266" s="2"/>
      <c r="AI266" s="2">
        <v>-333</v>
      </c>
      <c r="AJ266" s="2">
        <v>-333</v>
      </c>
      <c r="AK266" s="2">
        <v>-334</v>
      </c>
      <c r="AL266" s="2">
        <v>0</v>
      </c>
      <c r="AM266" s="2">
        <v>-333</v>
      </c>
    </row>
    <row r="267" spans="1:39">
      <c r="A267" s="349">
        <v>92507</v>
      </c>
      <c r="B267" s="342" t="s">
        <v>954</v>
      </c>
      <c r="C267" s="358">
        <v>9.0799999999999998E-5</v>
      </c>
      <c r="E267" s="2">
        <v>28831</v>
      </c>
      <c r="F267" s="2">
        <v>36637</v>
      </c>
      <c r="G267" s="2">
        <v>21337</v>
      </c>
      <c r="H267" s="2">
        <v>13513</v>
      </c>
      <c r="I267" s="2">
        <v>0</v>
      </c>
      <c r="J267" s="2"/>
      <c r="K267" s="2">
        <v>16835</v>
      </c>
      <c r="L267" s="2">
        <v>15508</v>
      </c>
      <c r="M267" s="2">
        <v>8631</v>
      </c>
      <c r="N267" s="2">
        <v>0</v>
      </c>
      <c r="O267" s="2">
        <v>0</v>
      </c>
      <c r="P267" s="2"/>
      <c r="Q267" s="2">
        <v>1091</v>
      </c>
      <c r="R267" s="2">
        <v>15264</v>
      </c>
      <c r="S267" s="2">
        <v>15792</v>
      </c>
      <c r="T267" s="2">
        <v>13513</v>
      </c>
      <c r="U267" s="2">
        <v>0</v>
      </c>
      <c r="V267" s="2"/>
      <c r="W267" s="2">
        <v>13327</v>
      </c>
      <c r="X267" s="2">
        <v>10819</v>
      </c>
      <c r="Y267" s="2">
        <v>0</v>
      </c>
      <c r="Z267" s="2">
        <v>0</v>
      </c>
      <c r="AA267" s="2">
        <v>0</v>
      </c>
      <c r="AB267" s="2"/>
      <c r="AC267" s="2">
        <v>2988</v>
      </c>
      <c r="AD267" s="2">
        <v>456</v>
      </c>
      <c r="AE267" s="2">
        <v>456</v>
      </c>
      <c r="AF267" s="2">
        <v>0</v>
      </c>
      <c r="AG267" s="2">
        <v>0</v>
      </c>
      <c r="AH267" s="2"/>
      <c r="AI267" s="2">
        <v>-5410</v>
      </c>
      <c r="AJ267" s="2">
        <v>-5410</v>
      </c>
      <c r="AK267" s="2">
        <v>-3542</v>
      </c>
      <c r="AL267" s="2">
        <v>0</v>
      </c>
      <c r="AM267" s="2">
        <v>-5410</v>
      </c>
    </row>
    <row r="268" spans="1:39">
      <c r="A268" s="349">
        <v>92508</v>
      </c>
      <c r="B268" s="342" t="s">
        <v>3659</v>
      </c>
      <c r="C268" s="358">
        <v>3.057E-4</v>
      </c>
      <c r="E268" s="2">
        <v>120313</v>
      </c>
      <c r="F268" s="2">
        <v>154736</v>
      </c>
      <c r="G268" s="2">
        <v>95506</v>
      </c>
      <c r="H268" s="2">
        <v>45495</v>
      </c>
      <c r="I268" s="2">
        <v>0</v>
      </c>
      <c r="J268" s="2"/>
      <c r="K268" s="2">
        <v>56680</v>
      </c>
      <c r="L268" s="2">
        <v>52212</v>
      </c>
      <c r="M268" s="2">
        <v>29059</v>
      </c>
      <c r="N268" s="2">
        <v>0</v>
      </c>
      <c r="O268" s="2">
        <v>0</v>
      </c>
      <c r="P268" s="2"/>
      <c r="Q268" s="2">
        <v>3674</v>
      </c>
      <c r="R268" s="2">
        <v>51390</v>
      </c>
      <c r="S268" s="2">
        <v>53167</v>
      </c>
      <c r="T268" s="2">
        <v>45495</v>
      </c>
      <c r="U268" s="2">
        <v>0</v>
      </c>
      <c r="V268" s="2"/>
      <c r="W268" s="2">
        <v>44869</v>
      </c>
      <c r="X268" s="2">
        <v>36426</v>
      </c>
      <c r="Y268" s="2">
        <v>0</v>
      </c>
      <c r="Z268" s="2">
        <v>0</v>
      </c>
      <c r="AA268" s="2">
        <v>0</v>
      </c>
      <c r="AB268" s="2"/>
      <c r="AC268" s="2">
        <v>15090</v>
      </c>
      <c r="AD268" s="2">
        <v>14708</v>
      </c>
      <c r="AE268" s="2">
        <v>13280</v>
      </c>
      <c r="AF268" s="2">
        <v>0</v>
      </c>
      <c r="AG268" s="2">
        <v>0</v>
      </c>
      <c r="AH268" s="2"/>
      <c r="AI268" s="2">
        <v>0</v>
      </c>
      <c r="AJ268" s="2">
        <v>0</v>
      </c>
      <c r="AK268" s="2">
        <v>0</v>
      </c>
      <c r="AL268" s="2">
        <v>0</v>
      </c>
      <c r="AM268" s="2">
        <v>0</v>
      </c>
    </row>
    <row r="269" spans="1:39">
      <c r="A269" s="349">
        <v>92511</v>
      </c>
      <c r="B269" s="342" t="s">
        <v>956</v>
      </c>
      <c r="C269" s="358">
        <v>3.3302000000000002E-3</v>
      </c>
      <c r="E269" s="2">
        <v>1074616</v>
      </c>
      <c r="F269" s="2">
        <v>1469552</v>
      </c>
      <c r="G269" s="2">
        <v>836932</v>
      </c>
      <c r="H269" s="2">
        <v>495607</v>
      </c>
      <c r="I269" s="2">
        <v>0</v>
      </c>
      <c r="J269" s="2"/>
      <c r="K269" s="2">
        <v>617449</v>
      </c>
      <c r="L269" s="2">
        <v>568778</v>
      </c>
      <c r="M269" s="2">
        <v>316562</v>
      </c>
      <c r="N269" s="2">
        <v>0</v>
      </c>
      <c r="O269" s="2">
        <v>0</v>
      </c>
      <c r="P269" s="2"/>
      <c r="Q269" s="2">
        <v>40026</v>
      </c>
      <c r="R269" s="2">
        <v>559823</v>
      </c>
      <c r="S269" s="2">
        <v>579182</v>
      </c>
      <c r="T269" s="2">
        <v>495607</v>
      </c>
      <c r="U269" s="2">
        <v>0</v>
      </c>
      <c r="V269" s="2"/>
      <c r="W269" s="2">
        <v>488793</v>
      </c>
      <c r="X269" s="2">
        <v>396817</v>
      </c>
      <c r="Y269" s="2">
        <v>0</v>
      </c>
      <c r="Z269" s="2">
        <v>0</v>
      </c>
      <c r="AA269" s="2">
        <v>0</v>
      </c>
      <c r="AB269" s="2"/>
      <c r="AC269" s="2">
        <v>46377</v>
      </c>
      <c r="AD269" s="2">
        <v>46377</v>
      </c>
      <c r="AE269" s="2">
        <v>43432</v>
      </c>
      <c r="AF269" s="2">
        <v>0</v>
      </c>
      <c r="AG269" s="2">
        <v>0</v>
      </c>
      <c r="AH269" s="2"/>
      <c r="AI269" s="2">
        <v>-118029</v>
      </c>
      <c r="AJ269" s="2">
        <v>-102243</v>
      </c>
      <c r="AK269" s="2">
        <v>-102244</v>
      </c>
      <c r="AL269" s="2">
        <v>0</v>
      </c>
      <c r="AM269" s="2">
        <v>-102243</v>
      </c>
    </row>
    <row r="270" spans="1:39">
      <c r="A270" s="349">
        <v>92513</v>
      </c>
      <c r="B270" s="342" t="s">
        <v>957</v>
      </c>
      <c r="C270" s="358">
        <v>3.8999999999999998E-3</v>
      </c>
      <c r="E270" s="2">
        <v>1191563</v>
      </c>
      <c r="F270" s="2">
        <v>1662229</v>
      </c>
      <c r="G270" s="2">
        <v>976917</v>
      </c>
      <c r="H270" s="2">
        <v>580406</v>
      </c>
      <c r="I270" s="2">
        <v>0</v>
      </c>
      <c r="J270" s="2"/>
      <c r="K270" s="2">
        <v>723095</v>
      </c>
      <c r="L270" s="2">
        <v>666097</v>
      </c>
      <c r="M270" s="2">
        <v>370726</v>
      </c>
      <c r="N270" s="2">
        <v>0</v>
      </c>
      <c r="O270" s="2">
        <v>0</v>
      </c>
      <c r="P270" s="2"/>
      <c r="Q270" s="2">
        <v>46874</v>
      </c>
      <c r="R270" s="2">
        <v>655610</v>
      </c>
      <c r="S270" s="2">
        <v>678280</v>
      </c>
      <c r="T270" s="2">
        <v>580406</v>
      </c>
      <c r="U270" s="2">
        <v>0</v>
      </c>
      <c r="V270" s="2"/>
      <c r="W270" s="2">
        <v>572426</v>
      </c>
      <c r="X270" s="2">
        <v>464712</v>
      </c>
      <c r="Y270" s="2">
        <v>0</v>
      </c>
      <c r="Z270" s="2">
        <v>0</v>
      </c>
      <c r="AA270" s="2">
        <v>0</v>
      </c>
      <c r="AB270" s="2"/>
      <c r="AC270" s="2">
        <v>0</v>
      </c>
      <c r="AD270" s="2">
        <v>0</v>
      </c>
      <c r="AE270" s="2">
        <v>0</v>
      </c>
      <c r="AF270" s="2">
        <v>0</v>
      </c>
      <c r="AG270" s="2">
        <v>0</v>
      </c>
      <c r="AH270" s="2"/>
      <c r="AI270" s="2">
        <v>-150832</v>
      </c>
      <c r="AJ270" s="2">
        <v>-124190</v>
      </c>
      <c r="AK270" s="2">
        <v>-72089</v>
      </c>
      <c r="AL270" s="2">
        <v>0</v>
      </c>
      <c r="AM270" s="2">
        <v>-124190</v>
      </c>
    </row>
    <row r="271" spans="1:39">
      <c r="A271" s="349">
        <v>92521</v>
      </c>
      <c r="B271" s="342" t="s">
        <v>958</v>
      </c>
      <c r="C271" s="358">
        <v>6.7100000000000005E-5</v>
      </c>
      <c r="E271" s="2">
        <v>17202</v>
      </c>
      <c r="F271" s="2">
        <v>25831</v>
      </c>
      <c r="G271" s="2">
        <v>13581</v>
      </c>
      <c r="H271" s="2">
        <v>9986</v>
      </c>
      <c r="I271" s="2">
        <v>0</v>
      </c>
      <c r="J271" s="2"/>
      <c r="K271" s="2">
        <v>12441</v>
      </c>
      <c r="L271" s="2">
        <v>11460</v>
      </c>
      <c r="M271" s="2">
        <v>6378</v>
      </c>
      <c r="N271" s="2">
        <v>0</v>
      </c>
      <c r="O271" s="2">
        <v>0</v>
      </c>
      <c r="P271" s="2"/>
      <c r="Q271" s="2">
        <v>806</v>
      </c>
      <c r="R271" s="2">
        <v>11280</v>
      </c>
      <c r="S271" s="2">
        <v>11670</v>
      </c>
      <c r="T271" s="2">
        <v>9986</v>
      </c>
      <c r="U271" s="2">
        <v>0</v>
      </c>
      <c r="V271" s="2"/>
      <c r="W271" s="2">
        <v>9849</v>
      </c>
      <c r="X271" s="2">
        <v>7995</v>
      </c>
      <c r="Y271" s="2">
        <v>0</v>
      </c>
      <c r="Z271" s="2">
        <v>0</v>
      </c>
      <c r="AA271" s="2">
        <v>0</v>
      </c>
      <c r="AB271" s="2"/>
      <c r="AC271" s="2">
        <v>0</v>
      </c>
      <c r="AD271" s="2">
        <v>0</v>
      </c>
      <c r="AE271" s="2">
        <v>0</v>
      </c>
      <c r="AF271" s="2">
        <v>0</v>
      </c>
      <c r="AG271" s="2">
        <v>0</v>
      </c>
      <c r="AH271" s="2"/>
      <c r="AI271" s="2">
        <v>-5894</v>
      </c>
      <c r="AJ271" s="2">
        <v>-4904</v>
      </c>
      <c r="AK271" s="2">
        <v>-4467</v>
      </c>
      <c r="AL271" s="2">
        <v>0</v>
      </c>
      <c r="AM271" s="2">
        <v>-4904</v>
      </c>
    </row>
    <row r="272" spans="1:39">
      <c r="A272" s="349">
        <v>92531</v>
      </c>
      <c r="B272" s="342" t="s">
        <v>959</v>
      </c>
      <c r="C272" s="358">
        <v>8.4690000000000004E-4</v>
      </c>
      <c r="E272" s="2">
        <v>265805</v>
      </c>
      <c r="F272" s="2">
        <v>365403</v>
      </c>
      <c r="G272" s="2">
        <v>217462</v>
      </c>
      <c r="H272" s="2">
        <v>126037</v>
      </c>
      <c r="I272" s="2">
        <v>0</v>
      </c>
      <c r="J272" s="2"/>
      <c r="K272" s="2">
        <v>157023</v>
      </c>
      <c r="L272" s="2">
        <v>144645</v>
      </c>
      <c r="M272" s="2">
        <v>80505</v>
      </c>
      <c r="N272" s="2">
        <v>0</v>
      </c>
      <c r="O272" s="2">
        <v>0</v>
      </c>
      <c r="P272" s="2"/>
      <c r="Q272" s="2">
        <v>10179</v>
      </c>
      <c r="R272" s="2">
        <v>142368</v>
      </c>
      <c r="S272" s="2">
        <v>147291</v>
      </c>
      <c r="T272" s="2">
        <v>126037</v>
      </c>
      <c r="U272" s="2">
        <v>0</v>
      </c>
      <c r="V272" s="2"/>
      <c r="W272" s="2">
        <v>124305</v>
      </c>
      <c r="X272" s="2">
        <v>100914</v>
      </c>
      <c r="Y272" s="2">
        <v>0</v>
      </c>
      <c r="Z272" s="2">
        <v>0</v>
      </c>
      <c r="AA272" s="2">
        <v>0</v>
      </c>
      <c r="AB272" s="2"/>
      <c r="AC272" s="2">
        <v>0</v>
      </c>
      <c r="AD272" s="2">
        <v>0</v>
      </c>
      <c r="AE272" s="2">
        <v>0</v>
      </c>
      <c r="AF272" s="2">
        <v>0</v>
      </c>
      <c r="AG272" s="2">
        <v>0</v>
      </c>
      <c r="AH272" s="2"/>
      <c r="AI272" s="2">
        <v>-25702</v>
      </c>
      <c r="AJ272" s="2">
        <v>-22524</v>
      </c>
      <c r="AK272" s="2">
        <v>-10334</v>
      </c>
      <c r="AL272" s="2">
        <v>0</v>
      </c>
      <c r="AM272" s="2">
        <v>-22524</v>
      </c>
    </row>
    <row r="273" spans="1:39">
      <c r="A273" s="349">
        <v>92541</v>
      </c>
      <c r="B273" s="342" t="s">
        <v>960</v>
      </c>
      <c r="C273" s="358">
        <v>1.462E-4</v>
      </c>
      <c r="E273" s="2">
        <v>51175</v>
      </c>
      <c r="F273" s="2">
        <v>69030</v>
      </c>
      <c r="G273" s="2">
        <v>45142</v>
      </c>
      <c r="H273" s="2">
        <v>21758</v>
      </c>
      <c r="I273" s="2">
        <v>0</v>
      </c>
      <c r="J273" s="2"/>
      <c r="K273" s="2">
        <v>27107</v>
      </c>
      <c r="L273" s="2">
        <v>24970</v>
      </c>
      <c r="M273" s="2">
        <v>13897</v>
      </c>
      <c r="N273" s="2">
        <v>0</v>
      </c>
      <c r="O273" s="2">
        <v>0</v>
      </c>
      <c r="P273" s="2"/>
      <c r="Q273" s="2">
        <v>1757</v>
      </c>
      <c r="R273" s="2">
        <v>24577</v>
      </c>
      <c r="S273" s="2">
        <v>25427</v>
      </c>
      <c r="T273" s="2">
        <v>21758</v>
      </c>
      <c r="U273" s="2">
        <v>0</v>
      </c>
      <c r="V273" s="2"/>
      <c r="W273" s="2">
        <v>21459</v>
      </c>
      <c r="X273" s="2">
        <v>17421</v>
      </c>
      <c r="Y273" s="2">
        <v>0</v>
      </c>
      <c r="Z273" s="2">
        <v>0</v>
      </c>
      <c r="AA273" s="2">
        <v>0</v>
      </c>
      <c r="AB273" s="2"/>
      <c r="AC273" s="2">
        <v>5820</v>
      </c>
      <c r="AD273" s="2">
        <v>5820</v>
      </c>
      <c r="AE273" s="2">
        <v>5818</v>
      </c>
      <c r="AF273" s="2">
        <v>0</v>
      </c>
      <c r="AG273" s="2">
        <v>0</v>
      </c>
      <c r="AH273" s="2"/>
      <c r="AI273" s="2">
        <v>-4968</v>
      </c>
      <c r="AJ273" s="2">
        <v>-3758</v>
      </c>
      <c r="AK273" s="2">
        <v>0</v>
      </c>
      <c r="AL273" s="2">
        <v>0</v>
      </c>
      <c r="AM273" s="2">
        <v>-3758</v>
      </c>
    </row>
    <row r="274" spans="1:39">
      <c r="A274" s="349">
        <v>92551</v>
      </c>
      <c r="B274" s="342" t="s">
        <v>961</v>
      </c>
      <c r="C274" s="358">
        <v>5.49E-5</v>
      </c>
      <c r="E274" s="2">
        <v>17753</v>
      </c>
      <c r="F274" s="2">
        <v>22972</v>
      </c>
      <c r="G274" s="2">
        <v>14360</v>
      </c>
      <c r="H274" s="2">
        <v>8170</v>
      </c>
      <c r="I274" s="2">
        <v>0</v>
      </c>
      <c r="J274" s="2"/>
      <c r="K274" s="2">
        <v>10179</v>
      </c>
      <c r="L274" s="2">
        <v>9377</v>
      </c>
      <c r="M274" s="2">
        <v>5219</v>
      </c>
      <c r="N274" s="2">
        <v>0</v>
      </c>
      <c r="O274" s="2">
        <v>0</v>
      </c>
      <c r="P274" s="2"/>
      <c r="Q274" s="2">
        <v>660</v>
      </c>
      <c r="R274" s="2">
        <v>9229</v>
      </c>
      <c r="S274" s="2">
        <v>9548</v>
      </c>
      <c r="T274" s="2">
        <v>8170</v>
      </c>
      <c r="U274" s="2">
        <v>0</v>
      </c>
      <c r="V274" s="2"/>
      <c r="W274" s="2">
        <v>8058</v>
      </c>
      <c r="X274" s="2">
        <v>6542</v>
      </c>
      <c r="Y274" s="2">
        <v>0</v>
      </c>
      <c r="Z274" s="2">
        <v>0</v>
      </c>
      <c r="AA274" s="2">
        <v>0</v>
      </c>
      <c r="AB274" s="2"/>
      <c r="AC274" s="2">
        <v>2835</v>
      </c>
      <c r="AD274" s="2">
        <v>1802</v>
      </c>
      <c r="AE274" s="2">
        <v>1803</v>
      </c>
      <c r="AF274" s="2">
        <v>0</v>
      </c>
      <c r="AG274" s="2">
        <v>0</v>
      </c>
      <c r="AH274" s="2"/>
      <c r="AI274" s="2">
        <v>-3979</v>
      </c>
      <c r="AJ274" s="2">
        <v>-3978</v>
      </c>
      <c r="AK274" s="2">
        <v>-2210</v>
      </c>
      <c r="AL274" s="2">
        <v>0</v>
      </c>
      <c r="AM274" s="2">
        <v>-3978</v>
      </c>
    </row>
    <row r="275" spans="1:39">
      <c r="A275" s="349">
        <v>92561</v>
      </c>
      <c r="B275" s="342" t="s">
        <v>962</v>
      </c>
      <c r="C275" s="358">
        <v>1.2999999999999999E-5</v>
      </c>
      <c r="E275" s="2">
        <v>2415</v>
      </c>
      <c r="F275" s="2">
        <v>3707</v>
      </c>
      <c r="G275" s="2">
        <v>1284</v>
      </c>
      <c r="H275" s="2">
        <v>1935</v>
      </c>
      <c r="I275" s="2">
        <v>0</v>
      </c>
      <c r="J275" s="2"/>
      <c r="K275" s="2">
        <v>2410</v>
      </c>
      <c r="L275" s="2">
        <v>2220</v>
      </c>
      <c r="M275" s="2">
        <v>1236</v>
      </c>
      <c r="N275" s="2">
        <v>0</v>
      </c>
      <c r="O275" s="2">
        <v>0</v>
      </c>
      <c r="P275" s="2"/>
      <c r="Q275" s="2">
        <v>156</v>
      </c>
      <c r="R275" s="2">
        <v>2185</v>
      </c>
      <c r="S275" s="2">
        <v>2261</v>
      </c>
      <c r="T275" s="2">
        <v>1935</v>
      </c>
      <c r="U275" s="2">
        <v>0</v>
      </c>
      <c r="V275" s="2"/>
      <c r="W275" s="2">
        <v>1908</v>
      </c>
      <c r="X275" s="2">
        <v>1549</v>
      </c>
      <c r="Y275" s="2">
        <v>0</v>
      </c>
      <c r="Z275" s="2">
        <v>0</v>
      </c>
      <c r="AA275" s="2">
        <v>0</v>
      </c>
      <c r="AB275" s="2"/>
      <c r="AC275" s="2">
        <v>189</v>
      </c>
      <c r="AD275" s="2">
        <v>0</v>
      </c>
      <c r="AE275" s="2">
        <v>0</v>
      </c>
      <c r="AF275" s="2">
        <v>0</v>
      </c>
      <c r="AG275" s="2">
        <v>0</v>
      </c>
      <c r="AH275" s="2"/>
      <c r="AI275" s="2">
        <v>-2248</v>
      </c>
      <c r="AJ275" s="2">
        <v>-2247</v>
      </c>
      <c r="AK275" s="2">
        <v>-2213</v>
      </c>
      <c r="AL275" s="2">
        <v>0</v>
      </c>
      <c r="AM275" s="2">
        <v>-2247</v>
      </c>
    </row>
    <row r="276" spans="1:39">
      <c r="A276" s="349">
        <v>92571</v>
      </c>
      <c r="B276" s="342" t="s">
        <v>963</v>
      </c>
      <c r="C276" s="358">
        <v>4.4000000000000002E-6</v>
      </c>
      <c r="E276" s="2">
        <v>2284</v>
      </c>
      <c r="F276" s="2">
        <v>1240</v>
      </c>
      <c r="G276" s="2">
        <v>139</v>
      </c>
      <c r="H276" s="2">
        <v>655</v>
      </c>
      <c r="I276" s="2">
        <v>0</v>
      </c>
      <c r="J276" s="2"/>
      <c r="K276" s="2">
        <v>816</v>
      </c>
      <c r="L276" s="2">
        <v>751</v>
      </c>
      <c r="M276" s="2">
        <v>418</v>
      </c>
      <c r="N276" s="2">
        <v>0</v>
      </c>
      <c r="O276" s="2">
        <v>0</v>
      </c>
      <c r="P276" s="2"/>
      <c r="Q276" s="2">
        <v>53</v>
      </c>
      <c r="R276" s="2">
        <v>740</v>
      </c>
      <c r="S276" s="2">
        <v>765</v>
      </c>
      <c r="T276" s="2">
        <v>655</v>
      </c>
      <c r="U276" s="2">
        <v>0</v>
      </c>
      <c r="V276" s="2"/>
      <c r="W276" s="2">
        <v>646</v>
      </c>
      <c r="X276" s="2">
        <v>524</v>
      </c>
      <c r="Y276" s="2">
        <v>0</v>
      </c>
      <c r="Z276" s="2">
        <v>0</v>
      </c>
      <c r="AA276" s="2">
        <v>0</v>
      </c>
      <c r="AB276" s="2"/>
      <c r="AC276" s="2">
        <v>1863</v>
      </c>
      <c r="AD276" s="2">
        <v>319</v>
      </c>
      <c r="AE276" s="2">
        <v>51</v>
      </c>
      <c r="AF276" s="2">
        <v>0</v>
      </c>
      <c r="AG276" s="2">
        <v>0</v>
      </c>
      <c r="AH276" s="2"/>
      <c r="AI276" s="2">
        <v>-1094</v>
      </c>
      <c r="AJ276" s="2">
        <v>-1094</v>
      </c>
      <c r="AK276" s="2">
        <v>-1095</v>
      </c>
      <c r="AL276" s="2">
        <v>0</v>
      </c>
      <c r="AM276" s="2">
        <v>-1094</v>
      </c>
    </row>
    <row r="277" spans="1:39">
      <c r="A277" s="349">
        <v>92601</v>
      </c>
      <c r="B277" s="342" t="s">
        <v>964</v>
      </c>
      <c r="C277" s="358">
        <v>1.27283E-2</v>
      </c>
      <c r="E277" s="2">
        <v>3938681</v>
      </c>
      <c r="F277" s="2">
        <v>5399336</v>
      </c>
      <c r="G277" s="2">
        <v>3281701</v>
      </c>
      <c r="H277" s="2">
        <v>1894251</v>
      </c>
      <c r="I277" s="2">
        <v>0</v>
      </c>
      <c r="J277" s="2"/>
      <c r="K277" s="2">
        <v>2359941</v>
      </c>
      <c r="L277" s="2">
        <v>2173917</v>
      </c>
      <c r="M277" s="2">
        <v>1209927</v>
      </c>
      <c r="N277" s="2">
        <v>0</v>
      </c>
      <c r="O277" s="2">
        <v>0</v>
      </c>
      <c r="P277" s="2"/>
      <c r="Q277" s="2">
        <v>152981</v>
      </c>
      <c r="R277" s="2">
        <v>2139691</v>
      </c>
      <c r="S277" s="2">
        <v>2213680</v>
      </c>
      <c r="T277" s="2">
        <v>1894251</v>
      </c>
      <c r="U277" s="2">
        <v>0</v>
      </c>
      <c r="V277" s="2"/>
      <c r="W277" s="2">
        <v>1868209</v>
      </c>
      <c r="X277" s="2">
        <v>1516666</v>
      </c>
      <c r="Y277" s="2">
        <v>0</v>
      </c>
      <c r="Z277" s="2">
        <v>0</v>
      </c>
      <c r="AA277" s="2">
        <v>0</v>
      </c>
      <c r="AB277" s="2"/>
      <c r="AC277" s="2">
        <v>0</v>
      </c>
      <c r="AD277" s="2">
        <v>0</v>
      </c>
      <c r="AE277" s="2">
        <v>0</v>
      </c>
      <c r="AF277" s="2">
        <v>0</v>
      </c>
      <c r="AG277" s="2">
        <v>0</v>
      </c>
      <c r="AH277" s="2"/>
      <c r="AI277" s="2">
        <v>-442450</v>
      </c>
      <c r="AJ277" s="2">
        <v>-430938</v>
      </c>
      <c r="AK277" s="2">
        <v>-141906</v>
      </c>
      <c r="AL277" s="2">
        <v>0</v>
      </c>
      <c r="AM277" s="2">
        <v>-430938</v>
      </c>
    </row>
    <row r="278" spans="1:39">
      <c r="A278" s="349">
        <v>92602</v>
      </c>
      <c r="B278" s="342" t="s">
        <v>3660</v>
      </c>
      <c r="C278" s="358">
        <v>4.5000000000000001E-6</v>
      </c>
      <c r="E278" s="2">
        <v>427</v>
      </c>
      <c r="F278" s="2">
        <v>966</v>
      </c>
      <c r="G278" s="2">
        <v>591</v>
      </c>
      <c r="H278" s="2">
        <v>670</v>
      </c>
      <c r="I278" s="2">
        <v>0</v>
      </c>
      <c r="J278" s="2"/>
      <c r="K278" s="2">
        <v>834</v>
      </c>
      <c r="L278" s="2">
        <v>769</v>
      </c>
      <c r="M278" s="2">
        <v>428</v>
      </c>
      <c r="N278" s="2">
        <v>0</v>
      </c>
      <c r="O278" s="2">
        <v>0</v>
      </c>
      <c r="P278" s="2"/>
      <c r="Q278" s="2">
        <v>54</v>
      </c>
      <c r="R278" s="2">
        <v>756</v>
      </c>
      <c r="S278" s="2">
        <v>783</v>
      </c>
      <c r="T278" s="2">
        <v>670</v>
      </c>
      <c r="U278" s="2">
        <v>0</v>
      </c>
      <c r="V278" s="2"/>
      <c r="W278" s="2">
        <v>660</v>
      </c>
      <c r="X278" s="2">
        <v>536</v>
      </c>
      <c r="Y278" s="2">
        <v>0</v>
      </c>
      <c r="Z278" s="2">
        <v>0</v>
      </c>
      <c r="AA278" s="2">
        <v>0</v>
      </c>
      <c r="AB278" s="2"/>
      <c r="AC278" s="2">
        <v>0</v>
      </c>
      <c r="AD278" s="2">
        <v>0</v>
      </c>
      <c r="AE278" s="2">
        <v>0</v>
      </c>
      <c r="AF278" s="2">
        <v>0</v>
      </c>
      <c r="AG278" s="2">
        <v>0</v>
      </c>
      <c r="AH278" s="2"/>
      <c r="AI278" s="2">
        <v>-1121</v>
      </c>
      <c r="AJ278" s="2">
        <v>-1095</v>
      </c>
      <c r="AK278" s="2">
        <v>-620</v>
      </c>
      <c r="AL278" s="2">
        <v>0</v>
      </c>
      <c r="AM278" s="2">
        <v>-1095</v>
      </c>
    </row>
    <row r="279" spans="1:39">
      <c r="A279" s="349">
        <v>92604</v>
      </c>
      <c r="B279" s="342" t="s">
        <v>3661</v>
      </c>
      <c r="C279" s="358">
        <v>3.6390000000000001E-4</v>
      </c>
      <c r="E279" s="2">
        <v>152805</v>
      </c>
      <c r="F279" s="2">
        <v>190274</v>
      </c>
      <c r="G279" s="2">
        <v>116486</v>
      </c>
      <c r="H279" s="2">
        <v>54156</v>
      </c>
      <c r="I279" s="2">
        <v>0</v>
      </c>
      <c r="J279" s="2"/>
      <c r="K279" s="2">
        <v>67470</v>
      </c>
      <c r="L279" s="2">
        <v>62152</v>
      </c>
      <c r="M279" s="2">
        <v>34592</v>
      </c>
      <c r="N279" s="2">
        <v>0</v>
      </c>
      <c r="O279" s="2">
        <v>0</v>
      </c>
      <c r="P279" s="2"/>
      <c r="Q279" s="2">
        <v>4374</v>
      </c>
      <c r="R279" s="2">
        <v>61173</v>
      </c>
      <c r="S279" s="2">
        <v>63289</v>
      </c>
      <c r="T279" s="2">
        <v>54156</v>
      </c>
      <c r="U279" s="2">
        <v>0</v>
      </c>
      <c r="V279" s="2"/>
      <c r="W279" s="2">
        <v>53412</v>
      </c>
      <c r="X279" s="2">
        <v>43361</v>
      </c>
      <c r="Y279" s="2">
        <v>0</v>
      </c>
      <c r="Z279" s="2">
        <v>0</v>
      </c>
      <c r="AA279" s="2">
        <v>0</v>
      </c>
      <c r="AB279" s="2"/>
      <c r="AC279" s="2">
        <v>27549</v>
      </c>
      <c r="AD279" s="2">
        <v>23588</v>
      </c>
      <c r="AE279" s="2">
        <v>18605</v>
      </c>
      <c r="AF279" s="2">
        <v>0</v>
      </c>
      <c r="AG279" s="2">
        <v>0</v>
      </c>
      <c r="AH279" s="2"/>
      <c r="AI279" s="2">
        <v>0</v>
      </c>
      <c r="AJ279" s="2">
        <v>0</v>
      </c>
      <c r="AK279" s="2">
        <v>0</v>
      </c>
      <c r="AL279" s="2">
        <v>0</v>
      </c>
      <c r="AM279" s="2">
        <v>0</v>
      </c>
    </row>
    <row r="280" spans="1:39">
      <c r="A280" s="349">
        <v>92607</v>
      </c>
      <c r="B280" s="342" t="s">
        <v>967</v>
      </c>
      <c r="C280" s="358">
        <v>7.08E-5</v>
      </c>
      <c r="E280" s="2">
        <v>33448</v>
      </c>
      <c r="F280" s="2">
        <v>40587</v>
      </c>
      <c r="G280" s="2">
        <v>25936</v>
      </c>
      <c r="H280" s="2">
        <v>10537</v>
      </c>
      <c r="I280" s="2">
        <v>0</v>
      </c>
      <c r="J280" s="2"/>
      <c r="K280" s="2">
        <v>13127</v>
      </c>
      <c r="L280" s="2">
        <v>12092</v>
      </c>
      <c r="M280" s="2">
        <v>6730</v>
      </c>
      <c r="N280" s="2">
        <v>0</v>
      </c>
      <c r="O280" s="2">
        <v>0</v>
      </c>
      <c r="P280" s="2"/>
      <c r="Q280" s="2">
        <v>851</v>
      </c>
      <c r="R280" s="2">
        <v>11902</v>
      </c>
      <c r="S280" s="2">
        <v>12313</v>
      </c>
      <c r="T280" s="2">
        <v>10537</v>
      </c>
      <c r="U280" s="2">
        <v>0</v>
      </c>
      <c r="V280" s="2"/>
      <c r="W280" s="2">
        <v>10392</v>
      </c>
      <c r="X280" s="2">
        <v>8436</v>
      </c>
      <c r="Y280" s="2">
        <v>0</v>
      </c>
      <c r="Z280" s="2">
        <v>0</v>
      </c>
      <c r="AA280" s="2">
        <v>0</v>
      </c>
      <c r="AB280" s="2"/>
      <c r="AC280" s="2">
        <v>9267</v>
      </c>
      <c r="AD280" s="2">
        <v>8346</v>
      </c>
      <c r="AE280" s="2">
        <v>7084</v>
      </c>
      <c r="AF280" s="2">
        <v>0</v>
      </c>
      <c r="AG280" s="2">
        <v>0</v>
      </c>
      <c r="AH280" s="2"/>
      <c r="AI280" s="2">
        <v>-189</v>
      </c>
      <c r="AJ280" s="2">
        <v>-189</v>
      </c>
      <c r="AK280" s="2">
        <v>-191</v>
      </c>
      <c r="AL280" s="2">
        <v>0</v>
      </c>
      <c r="AM280" s="2">
        <v>-189</v>
      </c>
    </row>
    <row r="281" spans="1:39">
      <c r="A281" s="349">
        <v>92611</v>
      </c>
      <c r="B281" s="342" t="s">
        <v>969</v>
      </c>
      <c r="C281" s="358">
        <v>1.13896E-2</v>
      </c>
      <c r="E281" s="2">
        <v>3131403</v>
      </c>
      <c r="F281" s="2">
        <v>4546623</v>
      </c>
      <c r="G281" s="2">
        <v>2531808</v>
      </c>
      <c r="H281" s="2">
        <v>1695023</v>
      </c>
      <c r="I281" s="2">
        <v>0</v>
      </c>
      <c r="J281" s="2"/>
      <c r="K281" s="2">
        <v>2111734</v>
      </c>
      <c r="L281" s="2">
        <v>1945275</v>
      </c>
      <c r="M281" s="2">
        <v>1082673</v>
      </c>
      <c r="N281" s="2">
        <v>0</v>
      </c>
      <c r="O281" s="2">
        <v>0</v>
      </c>
      <c r="P281" s="2"/>
      <c r="Q281" s="2">
        <v>136892</v>
      </c>
      <c r="R281" s="2">
        <v>1914649</v>
      </c>
      <c r="S281" s="2">
        <v>1980856</v>
      </c>
      <c r="T281" s="2">
        <v>1695023</v>
      </c>
      <c r="U281" s="2">
        <v>0</v>
      </c>
      <c r="V281" s="2"/>
      <c r="W281" s="2">
        <v>1671720</v>
      </c>
      <c r="X281" s="2">
        <v>1357151</v>
      </c>
      <c r="Y281" s="2">
        <v>0</v>
      </c>
      <c r="Z281" s="2">
        <v>0</v>
      </c>
      <c r="AA281" s="2">
        <v>0</v>
      </c>
      <c r="AB281" s="2"/>
      <c r="AC281" s="2">
        <v>0</v>
      </c>
      <c r="AD281" s="2">
        <v>0</v>
      </c>
      <c r="AE281" s="2">
        <v>0</v>
      </c>
      <c r="AF281" s="2">
        <v>0</v>
      </c>
      <c r="AG281" s="2">
        <v>0</v>
      </c>
      <c r="AH281" s="2"/>
      <c r="AI281" s="2">
        <v>-788943</v>
      </c>
      <c r="AJ281" s="2">
        <v>-670452</v>
      </c>
      <c r="AK281" s="2">
        <v>-531721</v>
      </c>
      <c r="AL281" s="2">
        <v>0</v>
      </c>
      <c r="AM281" s="2">
        <v>-670452</v>
      </c>
    </row>
    <row r="282" spans="1:39">
      <c r="A282" s="349">
        <v>92613</v>
      </c>
      <c r="B282" s="342" t="s">
        <v>2755</v>
      </c>
      <c r="C282" s="358">
        <v>2.2249999999999999E-4</v>
      </c>
      <c r="E282" s="2">
        <v>88853</v>
      </c>
      <c r="F282" s="2">
        <v>112615</v>
      </c>
      <c r="G282" s="2">
        <v>70819</v>
      </c>
      <c r="H282" s="2">
        <v>33113</v>
      </c>
      <c r="I282" s="2">
        <v>0</v>
      </c>
      <c r="J282" s="2"/>
      <c r="K282" s="2">
        <v>41254</v>
      </c>
      <c r="L282" s="2">
        <v>38002</v>
      </c>
      <c r="M282" s="2">
        <v>21150</v>
      </c>
      <c r="N282" s="2">
        <v>0</v>
      </c>
      <c r="O282" s="2">
        <v>0</v>
      </c>
      <c r="P282" s="2"/>
      <c r="Q282" s="2">
        <v>2674</v>
      </c>
      <c r="R282" s="2">
        <v>37403</v>
      </c>
      <c r="S282" s="2">
        <v>38697</v>
      </c>
      <c r="T282" s="2">
        <v>33113</v>
      </c>
      <c r="U282" s="2">
        <v>0</v>
      </c>
      <c r="V282" s="2"/>
      <c r="W282" s="2">
        <v>32658</v>
      </c>
      <c r="X282" s="2">
        <v>26512</v>
      </c>
      <c r="Y282" s="2">
        <v>0</v>
      </c>
      <c r="Z282" s="2">
        <v>0</v>
      </c>
      <c r="AA282" s="2">
        <v>0</v>
      </c>
      <c r="AB282" s="2"/>
      <c r="AC282" s="2">
        <v>12538</v>
      </c>
      <c r="AD282" s="2">
        <v>10971</v>
      </c>
      <c r="AE282" s="2">
        <v>10972</v>
      </c>
      <c r="AF282" s="2">
        <v>0</v>
      </c>
      <c r="AG282" s="2">
        <v>0</v>
      </c>
      <c r="AH282" s="2"/>
      <c r="AI282" s="2">
        <v>-271</v>
      </c>
      <c r="AJ282" s="2">
        <v>-273</v>
      </c>
      <c r="AK282" s="2">
        <v>0</v>
      </c>
      <c r="AL282" s="2">
        <v>0</v>
      </c>
      <c r="AM282" s="2">
        <v>-273</v>
      </c>
    </row>
    <row r="283" spans="1:39">
      <c r="A283" s="349">
        <v>92614</v>
      </c>
      <c r="B283" s="342" t="s">
        <v>3662</v>
      </c>
      <c r="C283" s="358">
        <v>5.7264000000000004E-3</v>
      </c>
      <c r="E283" s="2">
        <v>3443910</v>
      </c>
      <c r="F283" s="2">
        <v>3650639</v>
      </c>
      <c r="G283" s="2">
        <v>2153103</v>
      </c>
      <c r="H283" s="2">
        <v>852214</v>
      </c>
      <c r="I283" s="2">
        <v>0</v>
      </c>
      <c r="J283" s="2"/>
      <c r="K283" s="2">
        <v>1061726</v>
      </c>
      <c r="L283" s="2">
        <v>978035</v>
      </c>
      <c r="M283" s="2">
        <v>544340</v>
      </c>
      <c r="N283" s="2">
        <v>0</v>
      </c>
      <c r="O283" s="2">
        <v>0</v>
      </c>
      <c r="P283" s="2"/>
      <c r="Q283" s="2">
        <v>68826</v>
      </c>
      <c r="R283" s="2">
        <v>962636</v>
      </c>
      <c r="S283" s="2">
        <v>995924</v>
      </c>
      <c r="T283" s="2">
        <v>852214</v>
      </c>
      <c r="U283" s="2">
        <v>0</v>
      </c>
      <c r="V283" s="2"/>
      <c r="W283" s="2">
        <v>840498</v>
      </c>
      <c r="X283" s="2">
        <v>682341</v>
      </c>
      <c r="Y283" s="2">
        <v>0</v>
      </c>
      <c r="Z283" s="2">
        <v>0</v>
      </c>
      <c r="AA283" s="2">
        <v>0</v>
      </c>
      <c r="AB283" s="2"/>
      <c r="AC283" s="2">
        <v>1472860</v>
      </c>
      <c r="AD283" s="2">
        <v>1027627</v>
      </c>
      <c r="AE283" s="2">
        <v>612839</v>
      </c>
      <c r="AF283" s="2">
        <v>0</v>
      </c>
      <c r="AG283" s="2">
        <v>0</v>
      </c>
      <c r="AH283" s="2"/>
      <c r="AI283" s="2">
        <v>0</v>
      </c>
      <c r="AJ283" s="2">
        <v>0</v>
      </c>
      <c r="AK283" s="2">
        <v>0</v>
      </c>
      <c r="AL283" s="2">
        <v>0</v>
      </c>
      <c r="AM283" s="2">
        <v>0</v>
      </c>
    </row>
    <row r="284" spans="1:39">
      <c r="A284" s="349">
        <v>92621</v>
      </c>
      <c r="B284" s="342" t="s">
        <v>972</v>
      </c>
      <c r="C284" s="358">
        <v>2.6999999999999999E-5</v>
      </c>
      <c r="E284" s="2">
        <v>8486</v>
      </c>
      <c r="F284" s="2">
        <v>12748</v>
      </c>
      <c r="G284" s="2">
        <v>7810</v>
      </c>
      <c r="H284" s="2">
        <v>4018</v>
      </c>
      <c r="I284" s="2">
        <v>0</v>
      </c>
      <c r="J284" s="2"/>
      <c r="K284" s="2">
        <v>5006</v>
      </c>
      <c r="L284" s="2">
        <v>4611</v>
      </c>
      <c r="M284" s="2">
        <v>2567</v>
      </c>
      <c r="N284" s="2">
        <v>0</v>
      </c>
      <c r="O284" s="2">
        <v>0</v>
      </c>
      <c r="P284" s="2"/>
      <c r="Q284" s="2">
        <v>325</v>
      </c>
      <c r="R284" s="2">
        <v>4539</v>
      </c>
      <c r="S284" s="2">
        <v>4696</v>
      </c>
      <c r="T284" s="2">
        <v>4018</v>
      </c>
      <c r="U284" s="2">
        <v>0</v>
      </c>
      <c r="V284" s="2"/>
      <c r="W284" s="2">
        <v>3963</v>
      </c>
      <c r="X284" s="2">
        <v>3217</v>
      </c>
      <c r="Y284" s="2">
        <v>0</v>
      </c>
      <c r="Z284" s="2">
        <v>0</v>
      </c>
      <c r="AA284" s="2">
        <v>0</v>
      </c>
      <c r="AB284" s="2"/>
      <c r="AC284" s="2">
        <v>841</v>
      </c>
      <c r="AD284" s="2">
        <v>841</v>
      </c>
      <c r="AE284" s="2">
        <v>843</v>
      </c>
      <c r="AF284" s="2">
        <v>0</v>
      </c>
      <c r="AG284" s="2">
        <v>0</v>
      </c>
      <c r="AH284" s="2"/>
      <c r="AI284" s="2">
        <v>-1649</v>
      </c>
      <c r="AJ284" s="2">
        <v>-460</v>
      </c>
      <c r="AK284" s="2">
        <v>-296</v>
      </c>
      <c r="AL284" s="2">
        <v>0</v>
      </c>
      <c r="AM284" s="2">
        <v>-460</v>
      </c>
    </row>
    <row r="285" spans="1:39">
      <c r="A285" s="349">
        <v>92631</v>
      </c>
      <c r="B285" s="342" t="s">
        <v>973</v>
      </c>
      <c r="C285" s="358">
        <v>9.0229999999999998E-4</v>
      </c>
      <c r="E285" s="2">
        <v>259227</v>
      </c>
      <c r="F285" s="2">
        <v>381007</v>
      </c>
      <c r="G285" s="2">
        <v>220083</v>
      </c>
      <c r="H285" s="2">
        <v>134282</v>
      </c>
      <c r="I285" s="2">
        <v>0</v>
      </c>
      <c r="J285" s="2"/>
      <c r="K285" s="2">
        <v>167295</v>
      </c>
      <c r="L285" s="2">
        <v>154107</v>
      </c>
      <c r="M285" s="2">
        <v>85771</v>
      </c>
      <c r="N285" s="2">
        <v>0</v>
      </c>
      <c r="O285" s="2">
        <v>0</v>
      </c>
      <c r="P285" s="2"/>
      <c r="Q285" s="2">
        <v>10845</v>
      </c>
      <c r="R285" s="2">
        <v>151681</v>
      </c>
      <c r="S285" s="2">
        <v>156926</v>
      </c>
      <c r="T285" s="2">
        <v>134282</v>
      </c>
      <c r="U285" s="2">
        <v>0</v>
      </c>
      <c r="V285" s="2"/>
      <c r="W285" s="2">
        <v>132436</v>
      </c>
      <c r="X285" s="2">
        <v>107515</v>
      </c>
      <c r="Y285" s="2">
        <v>0</v>
      </c>
      <c r="Z285" s="2">
        <v>0</v>
      </c>
      <c r="AA285" s="2">
        <v>0</v>
      </c>
      <c r="AB285" s="2"/>
      <c r="AC285" s="2">
        <v>0</v>
      </c>
      <c r="AD285" s="2">
        <v>0</v>
      </c>
      <c r="AE285" s="2">
        <v>0</v>
      </c>
      <c r="AF285" s="2">
        <v>0</v>
      </c>
      <c r="AG285" s="2">
        <v>0</v>
      </c>
      <c r="AH285" s="2"/>
      <c r="AI285" s="2">
        <v>-51349</v>
      </c>
      <c r="AJ285" s="2">
        <v>-32296</v>
      </c>
      <c r="AK285" s="2">
        <v>-22614</v>
      </c>
      <c r="AL285" s="2">
        <v>0</v>
      </c>
      <c r="AM285" s="2">
        <v>-32296</v>
      </c>
    </row>
    <row r="286" spans="1:39">
      <c r="A286" s="349">
        <v>92641</v>
      </c>
      <c r="B286" s="342" t="s">
        <v>974</v>
      </c>
      <c r="C286" s="358">
        <v>9.9000000000000001E-6</v>
      </c>
      <c r="E286" s="2">
        <v>5053</v>
      </c>
      <c r="F286" s="2">
        <v>5989</v>
      </c>
      <c r="G286" s="2">
        <v>3762</v>
      </c>
      <c r="H286" s="2">
        <v>1473</v>
      </c>
      <c r="I286" s="2">
        <v>0</v>
      </c>
      <c r="J286" s="2"/>
      <c r="K286" s="2">
        <v>1836</v>
      </c>
      <c r="L286" s="2">
        <v>1691</v>
      </c>
      <c r="M286" s="2">
        <v>941</v>
      </c>
      <c r="N286" s="2">
        <v>0</v>
      </c>
      <c r="O286" s="2">
        <v>0</v>
      </c>
      <c r="P286" s="2"/>
      <c r="Q286" s="2">
        <v>119</v>
      </c>
      <c r="R286" s="2">
        <v>1664</v>
      </c>
      <c r="S286" s="2">
        <v>1722</v>
      </c>
      <c r="T286" s="2">
        <v>1473</v>
      </c>
      <c r="U286" s="2">
        <v>0</v>
      </c>
      <c r="V286" s="2"/>
      <c r="W286" s="2">
        <v>1453</v>
      </c>
      <c r="X286" s="2">
        <v>1180</v>
      </c>
      <c r="Y286" s="2">
        <v>0</v>
      </c>
      <c r="Z286" s="2">
        <v>0</v>
      </c>
      <c r="AA286" s="2">
        <v>0</v>
      </c>
      <c r="AB286" s="2"/>
      <c r="AC286" s="2">
        <v>1645</v>
      </c>
      <c r="AD286" s="2">
        <v>1454</v>
      </c>
      <c r="AE286" s="2">
        <v>1099</v>
      </c>
      <c r="AF286" s="2">
        <v>0</v>
      </c>
      <c r="AG286" s="2">
        <v>0</v>
      </c>
      <c r="AH286" s="2"/>
      <c r="AI286" s="2">
        <v>0</v>
      </c>
      <c r="AJ286" s="2">
        <v>0</v>
      </c>
      <c r="AK286" s="2">
        <v>0</v>
      </c>
      <c r="AL286" s="2">
        <v>0</v>
      </c>
      <c r="AM286" s="2">
        <v>0</v>
      </c>
    </row>
    <row r="287" spans="1:39">
      <c r="A287" s="349">
        <v>92651</v>
      </c>
      <c r="B287" s="342" t="s">
        <v>975</v>
      </c>
      <c r="C287" s="358">
        <v>4.3000000000000003E-6</v>
      </c>
      <c r="E287" s="2">
        <v>2446</v>
      </c>
      <c r="F287" s="2">
        <v>2544</v>
      </c>
      <c r="G287" s="2">
        <v>1328</v>
      </c>
      <c r="H287" s="2">
        <v>640</v>
      </c>
      <c r="I287" s="2">
        <v>0</v>
      </c>
      <c r="J287" s="2"/>
      <c r="K287" s="2">
        <v>797</v>
      </c>
      <c r="L287" s="2">
        <v>734</v>
      </c>
      <c r="M287" s="2">
        <v>409</v>
      </c>
      <c r="N287" s="2">
        <v>0</v>
      </c>
      <c r="O287" s="2">
        <v>0</v>
      </c>
      <c r="P287" s="2"/>
      <c r="Q287" s="2">
        <v>52</v>
      </c>
      <c r="R287" s="2">
        <v>723</v>
      </c>
      <c r="S287" s="2">
        <v>748</v>
      </c>
      <c r="T287" s="2">
        <v>640</v>
      </c>
      <c r="U287" s="2">
        <v>0</v>
      </c>
      <c r="V287" s="2"/>
      <c r="W287" s="2">
        <v>631</v>
      </c>
      <c r="X287" s="2">
        <v>512</v>
      </c>
      <c r="Y287" s="2">
        <v>0</v>
      </c>
      <c r="Z287" s="2">
        <v>0</v>
      </c>
      <c r="AA287" s="2">
        <v>0</v>
      </c>
      <c r="AB287" s="2"/>
      <c r="AC287" s="2">
        <v>966</v>
      </c>
      <c r="AD287" s="2">
        <v>575</v>
      </c>
      <c r="AE287" s="2">
        <v>171</v>
      </c>
      <c r="AF287" s="2">
        <v>0</v>
      </c>
      <c r="AG287" s="2">
        <v>0</v>
      </c>
      <c r="AH287" s="2"/>
      <c r="AI287" s="2">
        <v>0</v>
      </c>
      <c r="AJ287" s="2">
        <v>0</v>
      </c>
      <c r="AK287" s="2">
        <v>0</v>
      </c>
      <c r="AL287" s="2">
        <v>0</v>
      </c>
      <c r="AM287" s="2">
        <v>0</v>
      </c>
    </row>
    <row r="288" spans="1:39">
      <c r="A288" s="349">
        <v>92661</v>
      </c>
      <c r="B288" s="342" t="s">
        <v>976</v>
      </c>
      <c r="C288" s="358">
        <v>6.4720000000000001E-4</v>
      </c>
      <c r="E288" s="2">
        <v>371562</v>
      </c>
      <c r="F288" s="2">
        <v>385085</v>
      </c>
      <c r="G288" s="2">
        <v>227307</v>
      </c>
      <c r="H288" s="2">
        <v>96318</v>
      </c>
      <c r="I288" s="2">
        <v>0</v>
      </c>
      <c r="J288" s="2"/>
      <c r="K288" s="2">
        <v>119997</v>
      </c>
      <c r="L288" s="2">
        <v>110538</v>
      </c>
      <c r="M288" s="2">
        <v>61522</v>
      </c>
      <c r="N288" s="2">
        <v>0</v>
      </c>
      <c r="O288" s="2">
        <v>0</v>
      </c>
      <c r="P288" s="2"/>
      <c r="Q288" s="2">
        <v>7779</v>
      </c>
      <c r="R288" s="2">
        <v>108798</v>
      </c>
      <c r="S288" s="2">
        <v>112560</v>
      </c>
      <c r="T288" s="2">
        <v>96318</v>
      </c>
      <c r="U288" s="2">
        <v>0</v>
      </c>
      <c r="V288" s="2"/>
      <c r="W288" s="2">
        <v>94993</v>
      </c>
      <c r="X288" s="2">
        <v>77118</v>
      </c>
      <c r="Y288" s="2">
        <v>0</v>
      </c>
      <c r="Z288" s="2">
        <v>0</v>
      </c>
      <c r="AA288" s="2">
        <v>0</v>
      </c>
      <c r="AB288" s="2"/>
      <c r="AC288" s="2">
        <v>148793</v>
      </c>
      <c r="AD288" s="2">
        <v>88631</v>
      </c>
      <c r="AE288" s="2">
        <v>53225</v>
      </c>
      <c r="AF288" s="2">
        <v>0</v>
      </c>
      <c r="AG288" s="2">
        <v>0</v>
      </c>
      <c r="AH288" s="2"/>
      <c r="AI288" s="2">
        <v>0</v>
      </c>
      <c r="AJ288" s="2">
        <v>0</v>
      </c>
      <c r="AK288" s="2">
        <v>0</v>
      </c>
      <c r="AL288" s="2">
        <v>0</v>
      </c>
      <c r="AM288" s="2">
        <v>0</v>
      </c>
    </row>
    <row r="289" spans="1:39">
      <c r="A289" s="349">
        <v>92671</v>
      </c>
      <c r="B289" s="342" t="s">
        <v>977</v>
      </c>
      <c r="C289" s="358">
        <v>1.9E-6</v>
      </c>
      <c r="E289" s="2">
        <v>3607</v>
      </c>
      <c r="F289" s="2">
        <v>3056</v>
      </c>
      <c r="G289" s="2">
        <v>1883</v>
      </c>
      <c r="H289" s="2">
        <v>283</v>
      </c>
      <c r="I289" s="2">
        <v>0</v>
      </c>
      <c r="J289" s="2"/>
      <c r="K289" s="2">
        <v>352</v>
      </c>
      <c r="L289" s="2">
        <v>325</v>
      </c>
      <c r="M289" s="2">
        <v>181</v>
      </c>
      <c r="N289" s="2">
        <v>0</v>
      </c>
      <c r="O289" s="2">
        <v>0</v>
      </c>
      <c r="P289" s="2"/>
      <c r="Q289" s="2">
        <v>23</v>
      </c>
      <c r="R289" s="2">
        <v>319</v>
      </c>
      <c r="S289" s="2">
        <v>330</v>
      </c>
      <c r="T289" s="2">
        <v>283</v>
      </c>
      <c r="U289" s="2">
        <v>0</v>
      </c>
      <c r="V289" s="2"/>
      <c r="W289" s="2">
        <v>279</v>
      </c>
      <c r="X289" s="2">
        <v>226</v>
      </c>
      <c r="Y289" s="2">
        <v>0</v>
      </c>
      <c r="Z289" s="2">
        <v>0</v>
      </c>
      <c r="AA289" s="2">
        <v>0</v>
      </c>
      <c r="AB289" s="2"/>
      <c r="AC289" s="2">
        <v>2953</v>
      </c>
      <c r="AD289" s="2">
        <v>2186</v>
      </c>
      <c r="AE289" s="2">
        <v>1372</v>
      </c>
      <c r="AF289" s="2">
        <v>0</v>
      </c>
      <c r="AG289" s="2">
        <v>0</v>
      </c>
      <c r="AH289" s="2"/>
      <c r="AI289" s="2">
        <v>0</v>
      </c>
      <c r="AJ289" s="2">
        <v>0</v>
      </c>
      <c r="AK289" s="2">
        <v>0</v>
      </c>
      <c r="AL289" s="2">
        <v>0</v>
      </c>
      <c r="AM289" s="2">
        <v>0</v>
      </c>
    </row>
    <row r="290" spans="1:39">
      <c r="A290" s="349">
        <v>92681</v>
      </c>
      <c r="B290" s="342" t="s">
        <v>978</v>
      </c>
      <c r="C290" s="358">
        <v>8.8000000000000004E-6</v>
      </c>
      <c r="E290" s="2">
        <v>5126</v>
      </c>
      <c r="F290" s="2">
        <v>4615</v>
      </c>
      <c r="G290" s="2">
        <v>1657</v>
      </c>
      <c r="H290" s="2">
        <v>1310</v>
      </c>
      <c r="I290" s="2">
        <v>0</v>
      </c>
      <c r="J290" s="2"/>
      <c r="K290" s="2">
        <v>1632</v>
      </c>
      <c r="L290" s="2">
        <v>1503</v>
      </c>
      <c r="M290" s="2">
        <v>837</v>
      </c>
      <c r="N290" s="2">
        <v>0</v>
      </c>
      <c r="O290" s="2">
        <v>0</v>
      </c>
      <c r="P290" s="2"/>
      <c r="Q290" s="2">
        <v>106</v>
      </c>
      <c r="R290" s="2">
        <v>1479</v>
      </c>
      <c r="S290" s="2">
        <v>1530</v>
      </c>
      <c r="T290" s="2">
        <v>1310</v>
      </c>
      <c r="U290" s="2">
        <v>0</v>
      </c>
      <c r="V290" s="2"/>
      <c r="W290" s="2">
        <v>1292</v>
      </c>
      <c r="X290" s="2">
        <v>1049</v>
      </c>
      <c r="Y290" s="2">
        <v>0</v>
      </c>
      <c r="Z290" s="2">
        <v>0</v>
      </c>
      <c r="AA290" s="2">
        <v>0</v>
      </c>
      <c r="AB290" s="2"/>
      <c r="AC290" s="2">
        <v>3368</v>
      </c>
      <c r="AD290" s="2">
        <v>1856</v>
      </c>
      <c r="AE290" s="2">
        <v>563</v>
      </c>
      <c r="AF290" s="2">
        <v>0</v>
      </c>
      <c r="AG290" s="2">
        <v>0</v>
      </c>
      <c r="AH290" s="2"/>
      <c r="AI290" s="2">
        <v>-1272</v>
      </c>
      <c r="AJ290" s="2">
        <v>-1272</v>
      </c>
      <c r="AK290" s="2">
        <v>-1273</v>
      </c>
      <c r="AL290" s="2">
        <v>0</v>
      </c>
      <c r="AM290" s="2">
        <v>-1272</v>
      </c>
    </row>
    <row r="291" spans="1:39">
      <c r="A291" s="349">
        <v>92701</v>
      </c>
      <c r="B291" s="342" t="s">
        <v>979</v>
      </c>
      <c r="C291" s="358">
        <v>3.0401E-3</v>
      </c>
      <c r="E291" s="2">
        <v>997172</v>
      </c>
      <c r="F291" s="2">
        <v>1334230</v>
      </c>
      <c r="G291" s="2">
        <v>797075</v>
      </c>
      <c r="H291" s="2">
        <v>452434</v>
      </c>
      <c r="I291" s="2">
        <v>0</v>
      </c>
      <c r="J291" s="2"/>
      <c r="K291" s="2">
        <v>563662</v>
      </c>
      <c r="L291" s="2">
        <v>519231</v>
      </c>
      <c r="M291" s="2">
        <v>288986</v>
      </c>
      <c r="N291" s="2">
        <v>0</v>
      </c>
      <c r="O291" s="2">
        <v>0</v>
      </c>
      <c r="P291" s="2"/>
      <c r="Q291" s="2">
        <v>36539</v>
      </c>
      <c r="R291" s="2">
        <v>511056</v>
      </c>
      <c r="S291" s="2">
        <v>528728</v>
      </c>
      <c r="T291" s="2">
        <v>452434</v>
      </c>
      <c r="U291" s="2">
        <v>0</v>
      </c>
      <c r="V291" s="2"/>
      <c r="W291" s="2">
        <v>446214</v>
      </c>
      <c r="X291" s="2">
        <v>362249</v>
      </c>
      <c r="Y291" s="2">
        <v>0</v>
      </c>
      <c r="Z291" s="2">
        <v>0</v>
      </c>
      <c r="AA291" s="2">
        <v>0</v>
      </c>
      <c r="AB291" s="2"/>
      <c r="AC291" s="2">
        <v>34334</v>
      </c>
      <c r="AD291" s="2">
        <v>25269</v>
      </c>
      <c r="AE291" s="2">
        <v>25271</v>
      </c>
      <c r="AF291" s="2">
        <v>0</v>
      </c>
      <c r="AG291" s="2">
        <v>0</v>
      </c>
      <c r="AH291" s="2"/>
      <c r="AI291" s="2">
        <v>-83577</v>
      </c>
      <c r="AJ291" s="2">
        <v>-83575</v>
      </c>
      <c r="AK291" s="2">
        <v>-45910</v>
      </c>
      <c r="AL291" s="2">
        <v>0</v>
      </c>
      <c r="AM291" s="2">
        <v>-83575</v>
      </c>
    </row>
    <row r="292" spans="1:39">
      <c r="A292" s="349">
        <v>92704</v>
      </c>
      <c r="B292" s="342" t="s">
        <v>3663</v>
      </c>
      <c r="C292" s="358">
        <v>3.6199999999999999E-5</v>
      </c>
      <c r="E292" s="2">
        <v>10842</v>
      </c>
      <c r="F292" s="2">
        <v>16027</v>
      </c>
      <c r="G292" s="2">
        <v>9511</v>
      </c>
      <c r="H292" s="2">
        <v>5387</v>
      </c>
      <c r="I292" s="2">
        <v>0</v>
      </c>
      <c r="J292" s="2"/>
      <c r="K292" s="2">
        <v>6712</v>
      </c>
      <c r="L292" s="2">
        <v>6183</v>
      </c>
      <c r="M292" s="2">
        <v>3441</v>
      </c>
      <c r="N292" s="2">
        <v>0</v>
      </c>
      <c r="O292" s="2">
        <v>0</v>
      </c>
      <c r="P292" s="2"/>
      <c r="Q292" s="2">
        <v>435</v>
      </c>
      <c r="R292" s="2">
        <v>6085</v>
      </c>
      <c r="S292" s="2">
        <v>6296</v>
      </c>
      <c r="T292" s="2">
        <v>5387</v>
      </c>
      <c r="U292" s="2">
        <v>0</v>
      </c>
      <c r="V292" s="2"/>
      <c r="W292" s="2">
        <v>5313</v>
      </c>
      <c r="X292" s="2">
        <v>4313</v>
      </c>
      <c r="Y292" s="2">
        <v>0</v>
      </c>
      <c r="Z292" s="2">
        <v>0</v>
      </c>
      <c r="AA292" s="2">
        <v>0</v>
      </c>
      <c r="AB292" s="2"/>
      <c r="AC292" s="2">
        <v>159</v>
      </c>
      <c r="AD292" s="2">
        <v>159</v>
      </c>
      <c r="AE292" s="2">
        <v>158</v>
      </c>
      <c r="AF292" s="2">
        <v>0</v>
      </c>
      <c r="AG292" s="2">
        <v>0</v>
      </c>
      <c r="AH292" s="2"/>
      <c r="AI292" s="2">
        <v>-1777</v>
      </c>
      <c r="AJ292" s="2">
        <v>-713</v>
      </c>
      <c r="AK292" s="2">
        <v>-384</v>
      </c>
      <c r="AL292" s="2">
        <v>0</v>
      </c>
      <c r="AM292" s="2">
        <v>-713</v>
      </c>
    </row>
    <row r="293" spans="1:39">
      <c r="A293" s="349">
        <v>92801</v>
      </c>
      <c r="B293" s="342" t="s">
        <v>981</v>
      </c>
      <c r="C293" s="358">
        <v>5.4752000000000004E-3</v>
      </c>
      <c r="E293" s="2">
        <v>2020094</v>
      </c>
      <c r="F293" s="2">
        <v>2640438</v>
      </c>
      <c r="G293" s="2">
        <v>1563616</v>
      </c>
      <c r="H293" s="2">
        <v>814830</v>
      </c>
      <c r="I293" s="2">
        <v>0</v>
      </c>
      <c r="J293" s="2"/>
      <c r="K293" s="2">
        <v>1015151</v>
      </c>
      <c r="L293" s="2">
        <v>935131</v>
      </c>
      <c r="M293" s="2">
        <v>520462</v>
      </c>
      <c r="N293" s="2">
        <v>0</v>
      </c>
      <c r="O293" s="2">
        <v>0</v>
      </c>
      <c r="P293" s="2"/>
      <c r="Q293" s="2">
        <v>65806</v>
      </c>
      <c r="R293" s="2">
        <v>920408</v>
      </c>
      <c r="S293" s="2">
        <v>952236</v>
      </c>
      <c r="T293" s="2">
        <v>814830</v>
      </c>
      <c r="U293" s="2">
        <v>0</v>
      </c>
      <c r="V293" s="2"/>
      <c r="W293" s="2">
        <v>803628</v>
      </c>
      <c r="X293" s="2">
        <v>652408</v>
      </c>
      <c r="Y293" s="2">
        <v>0</v>
      </c>
      <c r="Z293" s="2">
        <v>0</v>
      </c>
      <c r="AA293" s="2">
        <v>0</v>
      </c>
      <c r="AB293" s="2"/>
      <c r="AC293" s="2">
        <v>135509</v>
      </c>
      <c r="AD293" s="2">
        <v>132491</v>
      </c>
      <c r="AE293" s="2">
        <v>90918</v>
      </c>
      <c r="AF293" s="2">
        <v>0</v>
      </c>
      <c r="AG293" s="2">
        <v>0</v>
      </c>
      <c r="AH293" s="2"/>
      <c r="AI293" s="2">
        <v>0</v>
      </c>
      <c r="AJ293" s="2">
        <v>0</v>
      </c>
      <c r="AK293" s="2">
        <v>0</v>
      </c>
      <c r="AL293" s="2">
        <v>0</v>
      </c>
      <c r="AM293" s="2">
        <v>0</v>
      </c>
    </row>
    <row r="294" spans="1:39">
      <c r="A294" s="349">
        <v>92802</v>
      </c>
      <c r="B294" s="342" t="s">
        <v>982</v>
      </c>
      <c r="C294" s="358">
        <v>1.133E-4</v>
      </c>
      <c r="E294" s="2">
        <v>30908</v>
      </c>
      <c r="F294" s="2">
        <v>45287</v>
      </c>
      <c r="G294" s="2">
        <v>25156</v>
      </c>
      <c r="H294" s="2">
        <v>16862</v>
      </c>
      <c r="I294" s="2">
        <v>0</v>
      </c>
      <c r="J294" s="2"/>
      <c r="K294" s="2">
        <v>21007</v>
      </c>
      <c r="L294" s="2">
        <v>19351</v>
      </c>
      <c r="M294" s="2">
        <v>10770</v>
      </c>
      <c r="N294" s="2">
        <v>0</v>
      </c>
      <c r="O294" s="2">
        <v>0</v>
      </c>
      <c r="P294" s="2"/>
      <c r="Q294" s="2">
        <v>1362</v>
      </c>
      <c r="R294" s="2">
        <v>19046</v>
      </c>
      <c r="S294" s="2">
        <v>19705</v>
      </c>
      <c r="T294" s="2">
        <v>16862</v>
      </c>
      <c r="U294" s="2">
        <v>0</v>
      </c>
      <c r="V294" s="2"/>
      <c r="W294" s="2">
        <v>16630</v>
      </c>
      <c r="X294" s="2">
        <v>13500</v>
      </c>
      <c r="Y294" s="2">
        <v>0</v>
      </c>
      <c r="Z294" s="2">
        <v>0</v>
      </c>
      <c r="AA294" s="2">
        <v>0</v>
      </c>
      <c r="AB294" s="2"/>
      <c r="AC294" s="2">
        <v>0</v>
      </c>
      <c r="AD294" s="2">
        <v>0</v>
      </c>
      <c r="AE294" s="2">
        <v>0</v>
      </c>
      <c r="AF294" s="2">
        <v>0</v>
      </c>
      <c r="AG294" s="2">
        <v>0</v>
      </c>
      <c r="AH294" s="2"/>
      <c r="AI294" s="2">
        <v>-8091</v>
      </c>
      <c r="AJ294" s="2">
        <v>-6610</v>
      </c>
      <c r="AK294" s="2">
        <v>-5319</v>
      </c>
      <c r="AL294" s="2">
        <v>0</v>
      </c>
      <c r="AM294" s="2">
        <v>-6610</v>
      </c>
    </row>
    <row r="295" spans="1:39">
      <c r="A295" s="349">
        <v>92804</v>
      </c>
      <c r="B295" s="342" t="s">
        <v>983</v>
      </c>
      <c r="C295" s="358">
        <v>1.493E-4</v>
      </c>
      <c r="E295" s="2">
        <v>48789</v>
      </c>
      <c r="F295" s="2">
        <v>68565</v>
      </c>
      <c r="G295" s="2">
        <v>39209</v>
      </c>
      <c r="H295" s="2">
        <v>22219</v>
      </c>
      <c r="I295" s="2">
        <v>0</v>
      </c>
      <c r="J295" s="2"/>
      <c r="K295" s="2">
        <v>27682</v>
      </c>
      <c r="L295" s="2">
        <v>25500</v>
      </c>
      <c r="M295" s="2">
        <v>14192</v>
      </c>
      <c r="N295" s="2">
        <v>0</v>
      </c>
      <c r="O295" s="2">
        <v>0</v>
      </c>
      <c r="P295" s="2"/>
      <c r="Q295" s="2">
        <v>1794</v>
      </c>
      <c r="R295" s="2">
        <v>25098</v>
      </c>
      <c r="S295" s="2">
        <v>25966</v>
      </c>
      <c r="T295" s="2">
        <v>22219</v>
      </c>
      <c r="U295" s="2">
        <v>0</v>
      </c>
      <c r="V295" s="2"/>
      <c r="W295" s="2">
        <v>21914</v>
      </c>
      <c r="X295" s="2">
        <v>17790</v>
      </c>
      <c r="Y295" s="2">
        <v>0</v>
      </c>
      <c r="Z295" s="2">
        <v>0</v>
      </c>
      <c r="AA295" s="2">
        <v>0</v>
      </c>
      <c r="AB295" s="2"/>
      <c r="AC295" s="2">
        <v>2598</v>
      </c>
      <c r="AD295" s="2">
        <v>2599</v>
      </c>
      <c r="AE295" s="2">
        <v>1472</v>
      </c>
      <c r="AF295" s="2">
        <v>0</v>
      </c>
      <c r="AG295" s="2">
        <v>0</v>
      </c>
      <c r="AH295" s="2"/>
      <c r="AI295" s="2">
        <v>-5199</v>
      </c>
      <c r="AJ295" s="2">
        <v>-2422</v>
      </c>
      <c r="AK295" s="2">
        <v>-2421</v>
      </c>
      <c r="AL295" s="2">
        <v>0</v>
      </c>
      <c r="AM295" s="2">
        <v>-2422</v>
      </c>
    </row>
    <row r="296" spans="1:39">
      <c r="A296" s="349">
        <v>92811</v>
      </c>
      <c r="B296" s="342" t="s">
        <v>984</v>
      </c>
      <c r="C296" s="358">
        <v>9.6020000000000003E-4</v>
      </c>
      <c r="E296" s="2">
        <v>338837</v>
      </c>
      <c r="F296" s="2">
        <v>448774</v>
      </c>
      <c r="G296" s="2">
        <v>272323</v>
      </c>
      <c r="H296" s="2">
        <v>142899</v>
      </c>
      <c r="I296" s="2">
        <v>0</v>
      </c>
      <c r="J296" s="2"/>
      <c r="K296" s="2">
        <v>178030</v>
      </c>
      <c r="L296" s="2">
        <v>163996</v>
      </c>
      <c r="M296" s="2">
        <v>91275</v>
      </c>
      <c r="N296" s="2">
        <v>0</v>
      </c>
      <c r="O296" s="2">
        <v>0</v>
      </c>
      <c r="P296" s="2"/>
      <c r="Q296" s="2">
        <v>11541</v>
      </c>
      <c r="R296" s="2">
        <v>161414</v>
      </c>
      <c r="S296" s="2">
        <v>166996</v>
      </c>
      <c r="T296" s="2">
        <v>142899</v>
      </c>
      <c r="U296" s="2">
        <v>0</v>
      </c>
      <c r="V296" s="2"/>
      <c r="W296" s="2">
        <v>140934</v>
      </c>
      <c r="X296" s="2">
        <v>114415</v>
      </c>
      <c r="Y296" s="2">
        <v>0</v>
      </c>
      <c r="Z296" s="2">
        <v>0</v>
      </c>
      <c r="AA296" s="2">
        <v>0</v>
      </c>
      <c r="AB296" s="2"/>
      <c r="AC296" s="2">
        <v>22192</v>
      </c>
      <c r="AD296" s="2">
        <v>22192</v>
      </c>
      <c r="AE296" s="2">
        <v>22192</v>
      </c>
      <c r="AF296" s="2">
        <v>0</v>
      </c>
      <c r="AG296" s="2">
        <v>0</v>
      </c>
      <c r="AH296" s="2"/>
      <c r="AI296" s="2">
        <v>-13860</v>
      </c>
      <c r="AJ296" s="2">
        <v>-13243</v>
      </c>
      <c r="AK296" s="2">
        <v>-8140</v>
      </c>
      <c r="AL296" s="2">
        <v>0</v>
      </c>
      <c r="AM296" s="2">
        <v>-13243</v>
      </c>
    </row>
    <row r="297" spans="1:39">
      <c r="A297" s="349">
        <v>92821</v>
      </c>
      <c r="B297" s="342" t="s">
        <v>985</v>
      </c>
      <c r="C297" s="358">
        <v>9.9109999999999997E-4</v>
      </c>
      <c r="E297" s="2">
        <v>361036</v>
      </c>
      <c r="F297" s="2">
        <v>472283</v>
      </c>
      <c r="G297" s="2">
        <v>281312</v>
      </c>
      <c r="H297" s="2">
        <v>147497</v>
      </c>
      <c r="I297" s="2">
        <v>0</v>
      </c>
      <c r="J297" s="2"/>
      <c r="K297" s="2">
        <v>183759</v>
      </c>
      <c r="L297" s="2">
        <v>169274</v>
      </c>
      <c r="M297" s="2">
        <v>94212</v>
      </c>
      <c r="N297" s="2">
        <v>0</v>
      </c>
      <c r="O297" s="2">
        <v>0</v>
      </c>
      <c r="P297" s="2"/>
      <c r="Q297" s="2">
        <v>11912</v>
      </c>
      <c r="R297" s="2">
        <v>166609</v>
      </c>
      <c r="S297" s="2">
        <v>172370</v>
      </c>
      <c r="T297" s="2">
        <v>147497</v>
      </c>
      <c r="U297" s="2">
        <v>0</v>
      </c>
      <c r="V297" s="2"/>
      <c r="W297" s="2">
        <v>145470</v>
      </c>
      <c r="X297" s="2">
        <v>118097</v>
      </c>
      <c r="Y297" s="2">
        <v>0</v>
      </c>
      <c r="Z297" s="2">
        <v>0</v>
      </c>
      <c r="AA297" s="2">
        <v>0</v>
      </c>
      <c r="AB297" s="2"/>
      <c r="AC297" s="2">
        <v>19895</v>
      </c>
      <c r="AD297" s="2">
        <v>18303</v>
      </c>
      <c r="AE297" s="2">
        <v>14730</v>
      </c>
      <c r="AF297" s="2">
        <v>0</v>
      </c>
      <c r="AG297" s="2">
        <v>0</v>
      </c>
      <c r="AH297" s="2"/>
      <c r="AI297" s="2">
        <v>0</v>
      </c>
      <c r="AJ297" s="2">
        <v>0</v>
      </c>
      <c r="AK297" s="2">
        <v>0</v>
      </c>
      <c r="AL297" s="2">
        <v>0</v>
      </c>
      <c r="AM297" s="2">
        <v>0</v>
      </c>
    </row>
    <row r="298" spans="1:39">
      <c r="A298" s="349">
        <v>92831</v>
      </c>
      <c r="B298" s="342" t="s">
        <v>986</v>
      </c>
      <c r="C298" s="358">
        <v>2.6449999999999998E-4</v>
      </c>
      <c r="E298" s="2">
        <v>114482</v>
      </c>
      <c r="F298" s="2">
        <v>145136</v>
      </c>
      <c r="G298" s="2">
        <v>88253</v>
      </c>
      <c r="H298" s="2">
        <v>39363</v>
      </c>
      <c r="I298" s="2">
        <v>0</v>
      </c>
      <c r="J298" s="2"/>
      <c r="K298" s="2">
        <v>49041</v>
      </c>
      <c r="L298" s="2">
        <v>45175</v>
      </c>
      <c r="M298" s="2">
        <v>25143</v>
      </c>
      <c r="N298" s="2">
        <v>0</v>
      </c>
      <c r="O298" s="2">
        <v>0</v>
      </c>
      <c r="P298" s="2"/>
      <c r="Q298" s="2">
        <v>3179</v>
      </c>
      <c r="R298" s="2">
        <v>44464</v>
      </c>
      <c r="S298" s="2">
        <v>46001</v>
      </c>
      <c r="T298" s="2">
        <v>39363</v>
      </c>
      <c r="U298" s="2">
        <v>0</v>
      </c>
      <c r="V298" s="2"/>
      <c r="W298" s="2">
        <v>38822</v>
      </c>
      <c r="X298" s="2">
        <v>31517</v>
      </c>
      <c r="Y298" s="2">
        <v>0</v>
      </c>
      <c r="Z298" s="2">
        <v>0</v>
      </c>
      <c r="AA298" s="2">
        <v>0</v>
      </c>
      <c r="AB298" s="2"/>
      <c r="AC298" s="2">
        <v>23978</v>
      </c>
      <c r="AD298" s="2">
        <v>23980</v>
      </c>
      <c r="AE298" s="2">
        <v>17109</v>
      </c>
      <c r="AF298" s="2">
        <v>0</v>
      </c>
      <c r="AG298" s="2">
        <v>0</v>
      </c>
      <c r="AH298" s="2"/>
      <c r="AI298" s="2">
        <v>-538</v>
      </c>
      <c r="AJ298" s="2">
        <v>0</v>
      </c>
      <c r="AK298" s="2">
        <v>0</v>
      </c>
      <c r="AL298" s="2">
        <v>0</v>
      </c>
      <c r="AM298" s="2">
        <v>0</v>
      </c>
    </row>
    <row r="299" spans="1:39">
      <c r="A299" s="349">
        <v>92841</v>
      </c>
      <c r="B299" s="342" t="s">
        <v>987</v>
      </c>
      <c r="C299" s="358">
        <v>2.2110000000000001E-4</v>
      </c>
      <c r="E299" s="2">
        <v>59097</v>
      </c>
      <c r="F299" s="2">
        <v>86998</v>
      </c>
      <c r="G299" s="2">
        <v>49045</v>
      </c>
      <c r="H299" s="2">
        <v>32905</v>
      </c>
      <c r="I299" s="2">
        <v>0</v>
      </c>
      <c r="J299" s="2"/>
      <c r="K299" s="2">
        <v>40994</v>
      </c>
      <c r="L299" s="2">
        <v>37763</v>
      </c>
      <c r="M299" s="2">
        <v>21017</v>
      </c>
      <c r="N299" s="2">
        <v>0</v>
      </c>
      <c r="O299" s="2">
        <v>0</v>
      </c>
      <c r="P299" s="2"/>
      <c r="Q299" s="2">
        <v>2657</v>
      </c>
      <c r="R299" s="2">
        <v>37168</v>
      </c>
      <c r="S299" s="2">
        <v>38453</v>
      </c>
      <c r="T299" s="2">
        <v>32905</v>
      </c>
      <c r="U299" s="2">
        <v>0</v>
      </c>
      <c r="V299" s="2"/>
      <c r="W299" s="2">
        <v>32452</v>
      </c>
      <c r="X299" s="2">
        <v>26346</v>
      </c>
      <c r="Y299" s="2">
        <v>0</v>
      </c>
      <c r="Z299" s="2">
        <v>0</v>
      </c>
      <c r="AA299" s="2">
        <v>0</v>
      </c>
      <c r="AB299" s="2"/>
      <c r="AC299" s="2">
        <v>0</v>
      </c>
      <c r="AD299" s="2">
        <v>0</v>
      </c>
      <c r="AE299" s="2">
        <v>0</v>
      </c>
      <c r="AF299" s="2">
        <v>0</v>
      </c>
      <c r="AG299" s="2">
        <v>0</v>
      </c>
      <c r="AH299" s="2"/>
      <c r="AI299" s="2">
        <v>-17006</v>
      </c>
      <c r="AJ299" s="2">
        <v>-14279</v>
      </c>
      <c r="AK299" s="2">
        <v>-10425</v>
      </c>
      <c r="AL299" s="2">
        <v>0</v>
      </c>
      <c r="AM299" s="2">
        <v>-14279</v>
      </c>
    </row>
    <row r="300" spans="1:39">
      <c r="A300" s="349">
        <v>92851</v>
      </c>
      <c r="B300" s="342" t="s">
        <v>988</v>
      </c>
      <c r="C300" s="358">
        <v>3.9360000000000003E-4</v>
      </c>
      <c r="E300" s="2">
        <v>100057</v>
      </c>
      <c r="F300" s="2">
        <v>146111</v>
      </c>
      <c r="G300" s="2">
        <v>80125</v>
      </c>
      <c r="H300" s="2">
        <v>58576</v>
      </c>
      <c r="I300" s="2">
        <v>0</v>
      </c>
      <c r="J300" s="2"/>
      <c r="K300" s="2">
        <v>72977</v>
      </c>
      <c r="L300" s="2">
        <v>67225</v>
      </c>
      <c r="M300" s="2">
        <v>37415</v>
      </c>
      <c r="N300" s="2">
        <v>0</v>
      </c>
      <c r="O300" s="2">
        <v>0</v>
      </c>
      <c r="P300" s="2"/>
      <c r="Q300" s="2">
        <v>4731</v>
      </c>
      <c r="R300" s="2">
        <v>66166</v>
      </c>
      <c r="S300" s="2">
        <v>68454</v>
      </c>
      <c r="T300" s="2">
        <v>58576</v>
      </c>
      <c r="U300" s="2">
        <v>0</v>
      </c>
      <c r="V300" s="2"/>
      <c r="W300" s="2">
        <v>57771</v>
      </c>
      <c r="X300" s="2">
        <v>46900</v>
      </c>
      <c r="Y300" s="2">
        <v>0</v>
      </c>
      <c r="Z300" s="2">
        <v>0</v>
      </c>
      <c r="AA300" s="2">
        <v>0</v>
      </c>
      <c r="AB300" s="2"/>
      <c r="AC300" s="2">
        <v>0</v>
      </c>
      <c r="AD300" s="2">
        <v>0</v>
      </c>
      <c r="AE300" s="2">
        <v>0</v>
      </c>
      <c r="AF300" s="2">
        <v>0</v>
      </c>
      <c r="AG300" s="2">
        <v>0</v>
      </c>
      <c r="AH300" s="2"/>
      <c r="AI300" s="2">
        <v>-35422</v>
      </c>
      <c r="AJ300" s="2">
        <v>-34180</v>
      </c>
      <c r="AK300" s="2">
        <v>-25744</v>
      </c>
      <c r="AL300" s="2">
        <v>0</v>
      </c>
      <c r="AM300" s="2">
        <v>-34180</v>
      </c>
    </row>
    <row r="301" spans="1:39">
      <c r="A301" s="349">
        <v>92861</v>
      </c>
      <c r="B301" s="342" t="s">
        <v>989</v>
      </c>
      <c r="C301" s="358">
        <v>3.7579999999999997E-4</v>
      </c>
      <c r="E301" s="2">
        <v>106712</v>
      </c>
      <c r="F301" s="2">
        <v>154180</v>
      </c>
      <c r="G301" s="2">
        <v>89907</v>
      </c>
      <c r="H301" s="2">
        <v>55927</v>
      </c>
      <c r="I301" s="2">
        <v>0</v>
      </c>
      <c r="J301" s="2"/>
      <c r="K301" s="2">
        <v>69677</v>
      </c>
      <c r="L301" s="2">
        <v>64184</v>
      </c>
      <c r="M301" s="2">
        <v>35723</v>
      </c>
      <c r="N301" s="2">
        <v>0</v>
      </c>
      <c r="O301" s="2">
        <v>0</v>
      </c>
      <c r="P301" s="2"/>
      <c r="Q301" s="2">
        <v>4517</v>
      </c>
      <c r="R301" s="2">
        <v>63174</v>
      </c>
      <c r="S301" s="2">
        <v>65358</v>
      </c>
      <c r="T301" s="2">
        <v>55927</v>
      </c>
      <c r="U301" s="2">
        <v>0</v>
      </c>
      <c r="V301" s="2"/>
      <c r="W301" s="2">
        <v>55158</v>
      </c>
      <c r="X301" s="2">
        <v>44779</v>
      </c>
      <c r="Y301" s="2">
        <v>0</v>
      </c>
      <c r="Z301" s="2">
        <v>0</v>
      </c>
      <c r="AA301" s="2">
        <v>0</v>
      </c>
      <c r="AB301" s="2"/>
      <c r="AC301" s="2">
        <v>0</v>
      </c>
      <c r="AD301" s="2">
        <v>0</v>
      </c>
      <c r="AE301" s="2">
        <v>0</v>
      </c>
      <c r="AF301" s="2">
        <v>0</v>
      </c>
      <c r="AG301" s="2">
        <v>0</v>
      </c>
      <c r="AH301" s="2"/>
      <c r="AI301" s="2">
        <v>-22640</v>
      </c>
      <c r="AJ301" s="2">
        <v>-17957</v>
      </c>
      <c r="AK301" s="2">
        <v>-11174</v>
      </c>
      <c r="AL301" s="2">
        <v>0</v>
      </c>
      <c r="AM301" s="2">
        <v>-17957</v>
      </c>
    </row>
    <row r="302" spans="1:39">
      <c r="A302" s="349">
        <v>92901</v>
      </c>
      <c r="B302" s="342" t="s">
        <v>990</v>
      </c>
      <c r="C302" s="358">
        <v>5.4431999999999996E-3</v>
      </c>
      <c r="E302" s="2">
        <v>1895713</v>
      </c>
      <c r="F302" s="2">
        <v>2533865</v>
      </c>
      <c r="G302" s="2">
        <v>1505411</v>
      </c>
      <c r="H302" s="2">
        <v>810068</v>
      </c>
      <c r="I302" s="2">
        <v>0</v>
      </c>
      <c r="J302" s="2"/>
      <c r="K302" s="2">
        <v>1009218</v>
      </c>
      <c r="L302" s="2">
        <v>929666</v>
      </c>
      <c r="M302" s="2">
        <v>517420</v>
      </c>
      <c r="N302" s="2">
        <v>0</v>
      </c>
      <c r="O302" s="2">
        <v>0</v>
      </c>
      <c r="P302" s="2"/>
      <c r="Q302" s="2">
        <v>65422</v>
      </c>
      <c r="R302" s="2">
        <v>915029</v>
      </c>
      <c r="S302" s="2">
        <v>946670</v>
      </c>
      <c r="T302" s="2">
        <v>810068</v>
      </c>
      <c r="U302" s="2">
        <v>0</v>
      </c>
      <c r="V302" s="2"/>
      <c r="W302" s="2">
        <v>798931</v>
      </c>
      <c r="X302" s="2">
        <v>648595</v>
      </c>
      <c r="Y302" s="2">
        <v>0</v>
      </c>
      <c r="Z302" s="2">
        <v>0</v>
      </c>
      <c r="AA302" s="2">
        <v>0</v>
      </c>
      <c r="AB302" s="2"/>
      <c r="AC302" s="2">
        <v>41322</v>
      </c>
      <c r="AD302" s="2">
        <v>41322</v>
      </c>
      <c r="AE302" s="2">
        <v>41321</v>
      </c>
      <c r="AF302" s="2">
        <v>0</v>
      </c>
      <c r="AG302" s="2">
        <v>0</v>
      </c>
      <c r="AH302" s="2"/>
      <c r="AI302" s="2">
        <v>-19180</v>
      </c>
      <c r="AJ302" s="2">
        <v>-747</v>
      </c>
      <c r="AK302" s="2">
        <v>0</v>
      </c>
      <c r="AL302" s="2">
        <v>0</v>
      </c>
      <c r="AM302" s="2">
        <v>-747</v>
      </c>
    </row>
    <row r="303" spans="1:39">
      <c r="A303" s="349">
        <v>92911</v>
      </c>
      <c r="B303" s="342" t="s">
        <v>991</v>
      </c>
      <c r="C303" s="358">
        <v>1.8653000000000001E-3</v>
      </c>
      <c r="E303" s="2">
        <v>664263</v>
      </c>
      <c r="F303" s="2">
        <v>869522</v>
      </c>
      <c r="G303" s="2">
        <v>512388</v>
      </c>
      <c r="H303" s="2">
        <v>277598</v>
      </c>
      <c r="I303" s="2">
        <v>0</v>
      </c>
      <c r="J303" s="2"/>
      <c r="K303" s="2">
        <v>345843</v>
      </c>
      <c r="L303" s="2">
        <v>318582</v>
      </c>
      <c r="M303" s="2">
        <v>177312</v>
      </c>
      <c r="N303" s="2">
        <v>0</v>
      </c>
      <c r="O303" s="2">
        <v>0</v>
      </c>
      <c r="P303" s="2"/>
      <c r="Q303" s="2">
        <v>22419</v>
      </c>
      <c r="R303" s="2">
        <v>313566</v>
      </c>
      <c r="S303" s="2">
        <v>324409</v>
      </c>
      <c r="T303" s="2">
        <v>277598</v>
      </c>
      <c r="U303" s="2">
        <v>0</v>
      </c>
      <c r="V303" s="2"/>
      <c r="W303" s="2">
        <v>273781</v>
      </c>
      <c r="X303" s="2">
        <v>222264</v>
      </c>
      <c r="Y303" s="2">
        <v>0</v>
      </c>
      <c r="Z303" s="2">
        <v>0</v>
      </c>
      <c r="AA303" s="2">
        <v>0</v>
      </c>
      <c r="AB303" s="2"/>
      <c r="AC303" s="2">
        <v>22220</v>
      </c>
      <c r="AD303" s="2">
        <v>15110</v>
      </c>
      <c r="AE303" s="2">
        <v>10667</v>
      </c>
      <c r="AF303" s="2">
        <v>0</v>
      </c>
      <c r="AG303" s="2">
        <v>0</v>
      </c>
      <c r="AH303" s="2"/>
      <c r="AI303" s="2">
        <v>0</v>
      </c>
      <c r="AJ303" s="2">
        <v>0</v>
      </c>
      <c r="AK303" s="2">
        <v>0</v>
      </c>
      <c r="AL303" s="2">
        <v>0</v>
      </c>
      <c r="AM303" s="2">
        <v>0</v>
      </c>
    </row>
    <row r="304" spans="1:39">
      <c r="A304" s="349">
        <v>92913</v>
      </c>
      <c r="B304" s="342" t="s">
        <v>992</v>
      </c>
      <c r="C304" s="358">
        <v>1.88E-5</v>
      </c>
      <c r="E304" s="2">
        <v>37323</v>
      </c>
      <c r="F304" s="2">
        <v>30218</v>
      </c>
      <c r="G304" s="2">
        <v>17460</v>
      </c>
      <c r="H304" s="2">
        <v>2798</v>
      </c>
      <c r="I304" s="2">
        <v>0</v>
      </c>
      <c r="J304" s="2"/>
      <c r="K304" s="2">
        <v>3486</v>
      </c>
      <c r="L304" s="2">
        <v>3211</v>
      </c>
      <c r="M304" s="2">
        <v>1787</v>
      </c>
      <c r="N304" s="2">
        <v>0</v>
      </c>
      <c r="O304" s="2">
        <v>0</v>
      </c>
      <c r="P304" s="2"/>
      <c r="Q304" s="2">
        <v>226</v>
      </c>
      <c r="R304" s="2">
        <v>3160</v>
      </c>
      <c r="S304" s="2">
        <v>3270</v>
      </c>
      <c r="T304" s="2">
        <v>2798</v>
      </c>
      <c r="U304" s="2">
        <v>0</v>
      </c>
      <c r="V304" s="2"/>
      <c r="W304" s="2">
        <v>2759</v>
      </c>
      <c r="X304" s="2">
        <v>2240</v>
      </c>
      <c r="Y304" s="2">
        <v>0</v>
      </c>
      <c r="Z304" s="2">
        <v>0</v>
      </c>
      <c r="AA304" s="2">
        <v>0</v>
      </c>
      <c r="AB304" s="2"/>
      <c r="AC304" s="2">
        <v>30852</v>
      </c>
      <c r="AD304" s="2">
        <v>21607</v>
      </c>
      <c r="AE304" s="2">
        <v>12403</v>
      </c>
      <c r="AF304" s="2">
        <v>0</v>
      </c>
      <c r="AG304" s="2">
        <v>0</v>
      </c>
      <c r="AH304" s="2"/>
      <c r="AI304" s="2">
        <v>0</v>
      </c>
      <c r="AJ304" s="2">
        <v>0</v>
      </c>
      <c r="AK304" s="2">
        <v>0</v>
      </c>
      <c r="AL304" s="2">
        <v>0</v>
      </c>
      <c r="AM304" s="2">
        <v>0</v>
      </c>
    </row>
    <row r="305" spans="1:39">
      <c r="A305" s="349">
        <v>92914</v>
      </c>
      <c r="B305" s="342" t="s">
        <v>993</v>
      </c>
      <c r="C305" s="358">
        <v>2.6999999999999999E-5</v>
      </c>
      <c r="E305" s="2">
        <v>15644</v>
      </c>
      <c r="F305" s="2">
        <v>14425</v>
      </c>
      <c r="G305" s="2">
        <v>9632</v>
      </c>
      <c r="H305" s="2">
        <v>4018</v>
      </c>
      <c r="I305" s="2">
        <v>0</v>
      </c>
      <c r="J305" s="2"/>
      <c r="K305" s="2">
        <v>5006</v>
      </c>
      <c r="L305" s="2">
        <v>4611</v>
      </c>
      <c r="M305" s="2">
        <v>2567</v>
      </c>
      <c r="N305" s="2">
        <v>0</v>
      </c>
      <c r="O305" s="2">
        <v>0</v>
      </c>
      <c r="P305" s="2"/>
      <c r="Q305" s="2">
        <v>325</v>
      </c>
      <c r="R305" s="2">
        <v>4539</v>
      </c>
      <c r="S305" s="2">
        <v>4696</v>
      </c>
      <c r="T305" s="2">
        <v>4018</v>
      </c>
      <c r="U305" s="2">
        <v>0</v>
      </c>
      <c r="V305" s="2"/>
      <c r="W305" s="2">
        <v>3963</v>
      </c>
      <c r="X305" s="2">
        <v>3217</v>
      </c>
      <c r="Y305" s="2">
        <v>0</v>
      </c>
      <c r="Z305" s="2">
        <v>0</v>
      </c>
      <c r="AA305" s="2">
        <v>0</v>
      </c>
      <c r="AB305" s="2"/>
      <c r="AC305" s="2">
        <v>6662</v>
      </c>
      <c r="AD305" s="2">
        <v>2368</v>
      </c>
      <c r="AE305" s="2">
        <v>2369</v>
      </c>
      <c r="AF305" s="2">
        <v>0</v>
      </c>
      <c r="AG305" s="2">
        <v>0</v>
      </c>
      <c r="AH305" s="2"/>
      <c r="AI305" s="2">
        <v>-312</v>
      </c>
      <c r="AJ305" s="2">
        <v>-310</v>
      </c>
      <c r="AK305" s="2">
        <v>0</v>
      </c>
      <c r="AL305" s="2">
        <v>0</v>
      </c>
      <c r="AM305" s="2">
        <v>-310</v>
      </c>
    </row>
    <row r="306" spans="1:39">
      <c r="A306" s="349">
        <v>92917</v>
      </c>
      <c r="B306" s="342" t="s">
        <v>994</v>
      </c>
      <c r="C306" s="358">
        <v>1.2999999999999999E-5</v>
      </c>
      <c r="E306" s="2">
        <v>9230</v>
      </c>
      <c r="F306" s="2">
        <v>9726</v>
      </c>
      <c r="G306" s="2">
        <v>5391</v>
      </c>
      <c r="H306" s="2">
        <v>1935</v>
      </c>
      <c r="I306" s="2">
        <v>0</v>
      </c>
      <c r="J306" s="2"/>
      <c r="K306" s="2">
        <v>2410</v>
      </c>
      <c r="L306" s="2">
        <v>2220</v>
      </c>
      <c r="M306" s="2">
        <v>1236</v>
      </c>
      <c r="N306" s="2">
        <v>0</v>
      </c>
      <c r="O306" s="2">
        <v>0</v>
      </c>
      <c r="P306" s="2"/>
      <c r="Q306" s="2">
        <v>156</v>
      </c>
      <c r="R306" s="2">
        <v>2185</v>
      </c>
      <c r="S306" s="2">
        <v>2261</v>
      </c>
      <c r="T306" s="2">
        <v>1935</v>
      </c>
      <c r="U306" s="2">
        <v>0</v>
      </c>
      <c r="V306" s="2"/>
      <c r="W306" s="2">
        <v>1908</v>
      </c>
      <c r="X306" s="2">
        <v>1549</v>
      </c>
      <c r="Y306" s="2">
        <v>0</v>
      </c>
      <c r="Z306" s="2">
        <v>0</v>
      </c>
      <c r="AA306" s="2">
        <v>0</v>
      </c>
      <c r="AB306" s="2"/>
      <c r="AC306" s="2">
        <v>4756</v>
      </c>
      <c r="AD306" s="2">
        <v>3772</v>
      </c>
      <c r="AE306" s="2">
        <v>1894</v>
      </c>
      <c r="AF306" s="2">
        <v>0</v>
      </c>
      <c r="AG306" s="2">
        <v>0</v>
      </c>
      <c r="AH306" s="2"/>
      <c r="AI306" s="2">
        <v>0</v>
      </c>
      <c r="AJ306" s="2">
        <v>0</v>
      </c>
      <c r="AK306" s="2">
        <v>0</v>
      </c>
      <c r="AL306" s="2">
        <v>0</v>
      </c>
      <c r="AM306" s="2">
        <v>0</v>
      </c>
    </row>
    <row r="307" spans="1:39">
      <c r="A307" s="349">
        <v>92921</v>
      </c>
      <c r="B307" s="342" t="s">
        <v>995</v>
      </c>
      <c r="C307" s="358">
        <v>9.31E-5</v>
      </c>
      <c r="E307" s="2">
        <v>42223</v>
      </c>
      <c r="F307" s="2">
        <v>49510</v>
      </c>
      <c r="G307" s="2">
        <v>28230</v>
      </c>
      <c r="H307" s="2">
        <v>13855</v>
      </c>
      <c r="I307" s="2">
        <v>0</v>
      </c>
      <c r="J307" s="2"/>
      <c r="K307" s="2">
        <v>17262</v>
      </c>
      <c r="L307" s="2">
        <v>15901</v>
      </c>
      <c r="M307" s="2">
        <v>8850</v>
      </c>
      <c r="N307" s="2">
        <v>0</v>
      </c>
      <c r="O307" s="2">
        <v>0</v>
      </c>
      <c r="P307" s="2"/>
      <c r="Q307" s="2">
        <v>1119</v>
      </c>
      <c r="R307" s="2">
        <v>15651</v>
      </c>
      <c r="S307" s="2">
        <v>16192</v>
      </c>
      <c r="T307" s="2">
        <v>13855</v>
      </c>
      <c r="U307" s="2">
        <v>0</v>
      </c>
      <c r="V307" s="2"/>
      <c r="W307" s="2">
        <v>13665</v>
      </c>
      <c r="X307" s="2">
        <v>11094</v>
      </c>
      <c r="Y307" s="2">
        <v>0</v>
      </c>
      <c r="Z307" s="2">
        <v>0</v>
      </c>
      <c r="AA307" s="2">
        <v>0</v>
      </c>
      <c r="AB307" s="2"/>
      <c r="AC307" s="2">
        <v>10177</v>
      </c>
      <c r="AD307" s="2">
        <v>6864</v>
      </c>
      <c r="AE307" s="2">
        <v>3188</v>
      </c>
      <c r="AF307" s="2">
        <v>0</v>
      </c>
      <c r="AG307" s="2">
        <v>0</v>
      </c>
      <c r="AH307" s="2"/>
      <c r="AI307" s="2">
        <v>0</v>
      </c>
      <c r="AJ307" s="2">
        <v>0</v>
      </c>
      <c r="AK307" s="2">
        <v>0</v>
      </c>
      <c r="AL307" s="2">
        <v>0</v>
      </c>
      <c r="AM307" s="2">
        <v>0</v>
      </c>
    </row>
    <row r="308" spans="1:39">
      <c r="A308" s="349">
        <v>92931</v>
      </c>
      <c r="B308" s="342" t="s">
        <v>996</v>
      </c>
      <c r="C308" s="358">
        <v>2.33E-3</v>
      </c>
      <c r="E308" s="2">
        <v>770425</v>
      </c>
      <c r="F308" s="2">
        <v>1051791</v>
      </c>
      <c r="G308" s="2">
        <v>604183</v>
      </c>
      <c r="H308" s="2">
        <v>346755</v>
      </c>
      <c r="I308" s="2">
        <v>0</v>
      </c>
      <c r="J308" s="2"/>
      <c r="K308" s="2">
        <v>432003</v>
      </c>
      <c r="L308" s="2">
        <v>397950</v>
      </c>
      <c r="M308" s="2">
        <v>221485</v>
      </c>
      <c r="N308" s="2">
        <v>0</v>
      </c>
      <c r="O308" s="2">
        <v>0</v>
      </c>
      <c r="P308" s="2"/>
      <c r="Q308" s="2">
        <v>28004</v>
      </c>
      <c r="R308" s="2">
        <v>391685</v>
      </c>
      <c r="S308" s="2">
        <v>405229</v>
      </c>
      <c r="T308" s="2">
        <v>346755</v>
      </c>
      <c r="U308" s="2">
        <v>0</v>
      </c>
      <c r="V308" s="2"/>
      <c r="W308" s="2">
        <v>341988</v>
      </c>
      <c r="X308" s="2">
        <v>277636</v>
      </c>
      <c r="Y308" s="2">
        <v>0</v>
      </c>
      <c r="Z308" s="2">
        <v>0</v>
      </c>
      <c r="AA308" s="2">
        <v>0</v>
      </c>
      <c r="AB308" s="2"/>
      <c r="AC308" s="2">
        <v>32298</v>
      </c>
      <c r="AD308" s="2">
        <v>32296</v>
      </c>
      <c r="AE308" s="2">
        <v>25246</v>
      </c>
      <c r="AF308" s="2">
        <v>0</v>
      </c>
      <c r="AG308" s="2">
        <v>0</v>
      </c>
      <c r="AH308" s="2"/>
      <c r="AI308" s="2">
        <v>-63868</v>
      </c>
      <c r="AJ308" s="2">
        <v>-47776</v>
      </c>
      <c r="AK308" s="2">
        <v>-47777</v>
      </c>
      <c r="AL308" s="2">
        <v>0</v>
      </c>
      <c r="AM308" s="2">
        <v>-47776</v>
      </c>
    </row>
    <row r="309" spans="1:39">
      <c r="A309" s="349">
        <v>92941</v>
      </c>
      <c r="B309" s="342" t="s">
        <v>81</v>
      </c>
      <c r="C309" s="358">
        <v>4.3000000000000003E-6</v>
      </c>
      <c r="E309" s="2">
        <v>829</v>
      </c>
      <c r="F309" s="2">
        <v>1762</v>
      </c>
      <c r="G309" s="2">
        <v>1639</v>
      </c>
      <c r="H309" s="2">
        <v>640</v>
      </c>
      <c r="I309" s="2">
        <v>0</v>
      </c>
      <c r="J309" s="2"/>
      <c r="K309" s="2">
        <v>797</v>
      </c>
      <c r="L309" s="2">
        <v>734</v>
      </c>
      <c r="M309" s="2">
        <v>409</v>
      </c>
      <c r="N309" s="2">
        <v>0</v>
      </c>
      <c r="O309" s="2">
        <v>0</v>
      </c>
      <c r="P309" s="2"/>
      <c r="Q309" s="2">
        <v>52</v>
      </c>
      <c r="R309" s="2">
        <v>723</v>
      </c>
      <c r="S309" s="2">
        <v>748</v>
      </c>
      <c r="T309" s="2">
        <v>640</v>
      </c>
      <c r="U309" s="2">
        <v>0</v>
      </c>
      <c r="V309" s="2"/>
      <c r="W309" s="2">
        <v>631</v>
      </c>
      <c r="X309" s="2">
        <v>512</v>
      </c>
      <c r="Y309" s="2">
        <v>0</v>
      </c>
      <c r="Z309" s="2">
        <v>0</v>
      </c>
      <c r="AA309" s="2">
        <v>0</v>
      </c>
      <c r="AB309" s="2"/>
      <c r="AC309" s="2">
        <v>484</v>
      </c>
      <c r="AD309" s="2">
        <v>484</v>
      </c>
      <c r="AE309" s="2">
        <v>482</v>
      </c>
      <c r="AF309" s="2">
        <v>0</v>
      </c>
      <c r="AG309" s="2">
        <v>0</v>
      </c>
      <c r="AH309" s="2"/>
      <c r="AI309" s="2">
        <v>-1135</v>
      </c>
      <c r="AJ309" s="2">
        <v>-691</v>
      </c>
      <c r="AK309" s="2">
        <v>0</v>
      </c>
      <c r="AL309" s="2">
        <v>0</v>
      </c>
      <c r="AM309" s="2">
        <v>-691</v>
      </c>
    </row>
    <row r="310" spans="1:39">
      <c r="A310" s="349">
        <v>93001</v>
      </c>
      <c r="B310" s="342" t="s">
        <v>997</v>
      </c>
      <c r="C310" s="358">
        <v>2.1771E-3</v>
      </c>
      <c r="E310" s="2">
        <v>702062</v>
      </c>
      <c r="F310" s="2">
        <v>966379</v>
      </c>
      <c r="G310" s="2">
        <v>552044</v>
      </c>
      <c r="H310" s="2">
        <v>324000</v>
      </c>
      <c r="I310" s="2">
        <v>0</v>
      </c>
      <c r="J310" s="2"/>
      <c r="K310" s="2">
        <v>403654</v>
      </c>
      <c r="L310" s="2">
        <v>371836</v>
      </c>
      <c r="M310" s="2">
        <v>206951</v>
      </c>
      <c r="N310" s="2">
        <v>0</v>
      </c>
      <c r="O310" s="2">
        <v>0</v>
      </c>
      <c r="P310" s="2"/>
      <c r="Q310" s="2">
        <v>26167</v>
      </c>
      <c r="R310" s="2">
        <v>365981</v>
      </c>
      <c r="S310" s="2">
        <v>378637</v>
      </c>
      <c r="T310" s="2">
        <v>324000</v>
      </c>
      <c r="U310" s="2">
        <v>0</v>
      </c>
      <c r="V310" s="2"/>
      <c r="W310" s="2">
        <v>319546</v>
      </c>
      <c r="X310" s="2">
        <v>259417</v>
      </c>
      <c r="Y310" s="2">
        <v>0</v>
      </c>
      <c r="Z310" s="2">
        <v>0</v>
      </c>
      <c r="AA310" s="2">
        <v>0</v>
      </c>
      <c r="AB310" s="2"/>
      <c r="AC310" s="2">
        <v>2689</v>
      </c>
      <c r="AD310" s="2">
        <v>2690</v>
      </c>
      <c r="AE310" s="2">
        <v>0</v>
      </c>
      <c r="AF310" s="2">
        <v>0</v>
      </c>
      <c r="AG310" s="2">
        <v>0</v>
      </c>
      <c r="AH310" s="2"/>
      <c r="AI310" s="2">
        <v>-49994</v>
      </c>
      <c r="AJ310" s="2">
        <v>-33545</v>
      </c>
      <c r="AK310" s="2">
        <v>-33544</v>
      </c>
      <c r="AL310" s="2">
        <v>0</v>
      </c>
      <c r="AM310" s="2">
        <v>-33545</v>
      </c>
    </row>
    <row r="311" spans="1:39">
      <c r="A311" s="349">
        <v>93009</v>
      </c>
      <c r="B311" s="342" t="s">
        <v>3664</v>
      </c>
      <c r="C311" s="358">
        <v>1.19E-5</v>
      </c>
      <c r="E311" s="2">
        <v>2279</v>
      </c>
      <c r="F311" s="2">
        <v>4027</v>
      </c>
      <c r="G311" s="2">
        <v>2138</v>
      </c>
      <c r="H311" s="2">
        <v>1771</v>
      </c>
      <c r="I311" s="2">
        <v>0</v>
      </c>
      <c r="J311" s="2"/>
      <c r="K311" s="2">
        <v>2206</v>
      </c>
      <c r="L311" s="2">
        <v>2032</v>
      </c>
      <c r="M311" s="2">
        <v>1131</v>
      </c>
      <c r="N311" s="2">
        <v>0</v>
      </c>
      <c r="O311" s="2">
        <v>0</v>
      </c>
      <c r="P311" s="2"/>
      <c r="Q311" s="2">
        <v>143</v>
      </c>
      <c r="R311" s="2">
        <v>2000</v>
      </c>
      <c r="S311" s="2">
        <v>2070</v>
      </c>
      <c r="T311" s="2">
        <v>1771</v>
      </c>
      <c r="U311" s="2">
        <v>0</v>
      </c>
      <c r="V311" s="2"/>
      <c r="W311" s="2">
        <v>1747</v>
      </c>
      <c r="X311" s="2">
        <v>1418</v>
      </c>
      <c r="Y311" s="2">
        <v>0</v>
      </c>
      <c r="Z311" s="2">
        <v>0</v>
      </c>
      <c r="AA311" s="2">
        <v>0</v>
      </c>
      <c r="AB311" s="2"/>
      <c r="AC311" s="2">
        <v>0</v>
      </c>
      <c r="AD311" s="2">
        <v>0</v>
      </c>
      <c r="AE311" s="2">
        <v>0</v>
      </c>
      <c r="AF311" s="2">
        <v>0</v>
      </c>
      <c r="AG311" s="2">
        <v>0</v>
      </c>
      <c r="AH311" s="2"/>
      <c r="AI311" s="2">
        <v>-1817</v>
      </c>
      <c r="AJ311" s="2">
        <v>-1423</v>
      </c>
      <c r="AK311" s="2">
        <v>-1063</v>
      </c>
      <c r="AL311" s="2">
        <v>0</v>
      </c>
      <c r="AM311" s="2">
        <v>-1423</v>
      </c>
    </row>
    <row r="312" spans="1:39">
      <c r="A312" s="349">
        <v>93011</v>
      </c>
      <c r="B312" s="342" t="s">
        <v>999</v>
      </c>
      <c r="C312" s="358">
        <v>3.121E-4</v>
      </c>
      <c r="E312" s="2">
        <v>122445</v>
      </c>
      <c r="F312" s="2">
        <v>160918</v>
      </c>
      <c r="G312" s="2">
        <v>89165</v>
      </c>
      <c r="H312" s="2">
        <v>46447</v>
      </c>
      <c r="I312" s="2">
        <v>0</v>
      </c>
      <c r="J312" s="2"/>
      <c r="K312" s="2">
        <v>57866</v>
      </c>
      <c r="L312" s="2">
        <v>53305</v>
      </c>
      <c r="M312" s="2">
        <v>29668</v>
      </c>
      <c r="N312" s="2">
        <v>0</v>
      </c>
      <c r="O312" s="2">
        <v>0</v>
      </c>
      <c r="P312" s="2"/>
      <c r="Q312" s="2">
        <v>3751</v>
      </c>
      <c r="R312" s="2">
        <v>52466</v>
      </c>
      <c r="S312" s="2">
        <v>54280</v>
      </c>
      <c r="T312" s="2">
        <v>46447</v>
      </c>
      <c r="U312" s="2">
        <v>0</v>
      </c>
      <c r="V312" s="2"/>
      <c r="W312" s="2">
        <v>45809</v>
      </c>
      <c r="X312" s="2">
        <v>37189</v>
      </c>
      <c r="Y312" s="2">
        <v>0</v>
      </c>
      <c r="Z312" s="2">
        <v>0</v>
      </c>
      <c r="AA312" s="2">
        <v>0</v>
      </c>
      <c r="AB312" s="2"/>
      <c r="AC312" s="2">
        <v>19395</v>
      </c>
      <c r="AD312" s="2">
        <v>19395</v>
      </c>
      <c r="AE312" s="2">
        <v>6655</v>
      </c>
      <c r="AF312" s="2">
        <v>0</v>
      </c>
      <c r="AG312" s="2">
        <v>0</v>
      </c>
      <c r="AH312" s="2"/>
      <c r="AI312" s="2">
        <v>-4376</v>
      </c>
      <c r="AJ312" s="2">
        <v>-1437</v>
      </c>
      <c r="AK312" s="2">
        <v>-1438</v>
      </c>
      <c r="AL312" s="2">
        <v>0</v>
      </c>
      <c r="AM312" s="2">
        <v>-1437</v>
      </c>
    </row>
    <row r="313" spans="1:39">
      <c r="A313" s="349">
        <v>93021</v>
      </c>
      <c r="B313" s="342" t="s">
        <v>1000</v>
      </c>
      <c r="C313" s="358">
        <v>3.0300000000000001E-5</v>
      </c>
      <c r="E313" s="2">
        <v>8964</v>
      </c>
      <c r="F313" s="2">
        <v>12065</v>
      </c>
      <c r="G313" s="2">
        <v>6956</v>
      </c>
      <c r="H313" s="2">
        <v>4509</v>
      </c>
      <c r="I313" s="2">
        <v>0</v>
      </c>
      <c r="J313" s="2"/>
      <c r="K313" s="2">
        <v>5618</v>
      </c>
      <c r="L313" s="2">
        <v>5175</v>
      </c>
      <c r="M313" s="2">
        <v>2880</v>
      </c>
      <c r="N313" s="2">
        <v>0</v>
      </c>
      <c r="O313" s="2">
        <v>0</v>
      </c>
      <c r="P313" s="2"/>
      <c r="Q313" s="2">
        <v>364</v>
      </c>
      <c r="R313" s="2">
        <v>5094</v>
      </c>
      <c r="S313" s="2">
        <v>5270</v>
      </c>
      <c r="T313" s="2">
        <v>4509</v>
      </c>
      <c r="U313" s="2">
        <v>0</v>
      </c>
      <c r="V313" s="2"/>
      <c r="W313" s="2">
        <v>4447</v>
      </c>
      <c r="X313" s="2">
        <v>3610</v>
      </c>
      <c r="Y313" s="2">
        <v>0</v>
      </c>
      <c r="Z313" s="2">
        <v>0</v>
      </c>
      <c r="AA313" s="2">
        <v>0</v>
      </c>
      <c r="AB313" s="2"/>
      <c r="AC313" s="2">
        <v>347</v>
      </c>
      <c r="AD313" s="2">
        <v>0</v>
      </c>
      <c r="AE313" s="2">
        <v>0</v>
      </c>
      <c r="AF313" s="2">
        <v>0</v>
      </c>
      <c r="AG313" s="2">
        <v>0</v>
      </c>
      <c r="AH313" s="2"/>
      <c r="AI313" s="2">
        <v>-1812</v>
      </c>
      <c r="AJ313" s="2">
        <v>-1814</v>
      </c>
      <c r="AK313" s="2">
        <v>-1194</v>
      </c>
      <c r="AL313" s="2">
        <v>0</v>
      </c>
      <c r="AM313" s="2">
        <v>-1814</v>
      </c>
    </row>
    <row r="314" spans="1:39">
      <c r="A314" s="349">
        <v>93031</v>
      </c>
      <c r="B314" s="342" t="s">
        <v>1002</v>
      </c>
      <c r="C314" s="358">
        <v>4.6E-6</v>
      </c>
      <c r="E314" s="2">
        <v>4561</v>
      </c>
      <c r="F314" s="2">
        <v>3116</v>
      </c>
      <c r="G314" s="2">
        <v>365</v>
      </c>
      <c r="H314" s="2">
        <v>685</v>
      </c>
      <c r="I314" s="2">
        <v>0</v>
      </c>
      <c r="J314" s="2"/>
      <c r="K314" s="2">
        <v>853</v>
      </c>
      <c r="L314" s="2">
        <v>786</v>
      </c>
      <c r="M314" s="2">
        <v>437</v>
      </c>
      <c r="N314" s="2">
        <v>0</v>
      </c>
      <c r="O314" s="2">
        <v>0</v>
      </c>
      <c r="P314" s="2"/>
      <c r="Q314" s="2">
        <v>55</v>
      </c>
      <c r="R314" s="2">
        <v>773</v>
      </c>
      <c r="S314" s="2">
        <v>800</v>
      </c>
      <c r="T314" s="2">
        <v>685</v>
      </c>
      <c r="U314" s="2">
        <v>0</v>
      </c>
      <c r="V314" s="2"/>
      <c r="W314" s="2">
        <v>675</v>
      </c>
      <c r="X314" s="2">
        <v>548</v>
      </c>
      <c r="Y314" s="2">
        <v>0</v>
      </c>
      <c r="Z314" s="2">
        <v>0</v>
      </c>
      <c r="AA314" s="2">
        <v>0</v>
      </c>
      <c r="AB314" s="2"/>
      <c r="AC314" s="2">
        <v>4191</v>
      </c>
      <c r="AD314" s="2">
        <v>2222</v>
      </c>
      <c r="AE314" s="2">
        <v>339</v>
      </c>
      <c r="AF314" s="2">
        <v>0</v>
      </c>
      <c r="AG314" s="2">
        <v>0</v>
      </c>
      <c r="AH314" s="2"/>
      <c r="AI314" s="2">
        <v>-1213</v>
      </c>
      <c r="AJ314" s="2">
        <v>-1213</v>
      </c>
      <c r="AK314" s="2">
        <v>-1211</v>
      </c>
      <c r="AL314" s="2">
        <v>0</v>
      </c>
      <c r="AM314" s="2">
        <v>-1213</v>
      </c>
    </row>
    <row r="315" spans="1:39">
      <c r="A315" s="349">
        <v>93101</v>
      </c>
      <c r="B315" s="342" t="s">
        <v>1003</v>
      </c>
      <c r="C315" s="358">
        <v>2.9229999999999998E-3</v>
      </c>
      <c r="E315" s="2">
        <v>783076</v>
      </c>
      <c r="F315" s="2">
        <v>1144699</v>
      </c>
      <c r="G315" s="2">
        <v>646931</v>
      </c>
      <c r="H315" s="2">
        <v>435007</v>
      </c>
      <c r="I315" s="2">
        <v>0</v>
      </c>
      <c r="J315" s="2"/>
      <c r="K315" s="2">
        <v>541951</v>
      </c>
      <c r="L315" s="2">
        <v>499231</v>
      </c>
      <c r="M315" s="2">
        <v>277855</v>
      </c>
      <c r="N315" s="2">
        <v>0</v>
      </c>
      <c r="O315" s="2">
        <v>0</v>
      </c>
      <c r="P315" s="2"/>
      <c r="Q315" s="2">
        <v>35132</v>
      </c>
      <c r="R315" s="2">
        <v>491371</v>
      </c>
      <c r="S315" s="2">
        <v>508362</v>
      </c>
      <c r="T315" s="2">
        <v>435007</v>
      </c>
      <c r="U315" s="2">
        <v>0</v>
      </c>
      <c r="V315" s="2"/>
      <c r="W315" s="2">
        <v>429026</v>
      </c>
      <c r="X315" s="2">
        <v>348296</v>
      </c>
      <c r="Y315" s="2">
        <v>0</v>
      </c>
      <c r="Z315" s="2">
        <v>0</v>
      </c>
      <c r="AA315" s="2">
        <v>0</v>
      </c>
      <c r="AB315" s="2"/>
      <c r="AC315" s="2">
        <v>0</v>
      </c>
      <c r="AD315" s="2">
        <v>0</v>
      </c>
      <c r="AE315" s="2">
        <v>0</v>
      </c>
      <c r="AF315" s="2">
        <v>0</v>
      </c>
      <c r="AG315" s="2">
        <v>0</v>
      </c>
      <c r="AH315" s="2"/>
      <c r="AI315" s="2">
        <v>-223033</v>
      </c>
      <c r="AJ315" s="2">
        <v>-194199</v>
      </c>
      <c r="AK315" s="2">
        <v>-139286</v>
      </c>
      <c r="AL315" s="2">
        <v>0</v>
      </c>
      <c r="AM315" s="2">
        <v>-194199</v>
      </c>
    </row>
    <row r="316" spans="1:39">
      <c r="A316" s="349">
        <v>93103</v>
      </c>
      <c r="B316" s="342" t="s">
        <v>260</v>
      </c>
      <c r="C316" s="358">
        <v>1.6200000000000001E-5</v>
      </c>
      <c r="E316" s="2">
        <v>2825</v>
      </c>
      <c r="F316" s="2">
        <v>5118</v>
      </c>
      <c r="G316" s="2">
        <v>2558</v>
      </c>
      <c r="H316" s="2">
        <v>2411</v>
      </c>
      <c r="I316" s="2">
        <v>0</v>
      </c>
      <c r="J316" s="2"/>
      <c r="K316" s="2">
        <v>3004</v>
      </c>
      <c r="L316" s="2">
        <v>2767</v>
      </c>
      <c r="M316" s="2">
        <v>1540</v>
      </c>
      <c r="N316" s="2">
        <v>0</v>
      </c>
      <c r="O316" s="2">
        <v>0</v>
      </c>
      <c r="P316" s="2"/>
      <c r="Q316" s="2">
        <v>195</v>
      </c>
      <c r="R316" s="2">
        <v>2723</v>
      </c>
      <c r="S316" s="2">
        <v>2817</v>
      </c>
      <c r="T316" s="2">
        <v>2411</v>
      </c>
      <c r="U316" s="2">
        <v>0</v>
      </c>
      <c r="V316" s="2"/>
      <c r="W316" s="2">
        <v>2378</v>
      </c>
      <c r="X316" s="2">
        <v>1930</v>
      </c>
      <c r="Y316" s="2">
        <v>0</v>
      </c>
      <c r="Z316" s="2">
        <v>0</v>
      </c>
      <c r="AA316" s="2">
        <v>0</v>
      </c>
      <c r="AB316" s="2"/>
      <c r="AC316" s="2">
        <v>0</v>
      </c>
      <c r="AD316" s="2">
        <v>0</v>
      </c>
      <c r="AE316" s="2">
        <v>0</v>
      </c>
      <c r="AF316" s="2">
        <v>0</v>
      </c>
      <c r="AG316" s="2">
        <v>0</v>
      </c>
      <c r="AH316" s="2"/>
      <c r="AI316" s="2">
        <v>-2752</v>
      </c>
      <c r="AJ316" s="2">
        <v>-2302</v>
      </c>
      <c r="AK316" s="2">
        <v>-1799</v>
      </c>
      <c r="AL316" s="2">
        <v>0</v>
      </c>
      <c r="AM316" s="2">
        <v>-2302</v>
      </c>
    </row>
    <row r="317" spans="1:39">
      <c r="A317" s="349">
        <v>93108</v>
      </c>
      <c r="B317" s="342" t="s">
        <v>1004</v>
      </c>
      <c r="C317" s="358">
        <v>2.1960999999999999E-3</v>
      </c>
      <c r="E317" s="2">
        <v>681071</v>
      </c>
      <c r="F317" s="2">
        <v>921584</v>
      </c>
      <c r="G317" s="2">
        <v>551754</v>
      </c>
      <c r="H317" s="2">
        <v>326828</v>
      </c>
      <c r="I317" s="2">
        <v>0</v>
      </c>
      <c r="J317" s="2"/>
      <c r="K317" s="2">
        <v>407177</v>
      </c>
      <c r="L317" s="2">
        <v>375081</v>
      </c>
      <c r="M317" s="2">
        <v>208757</v>
      </c>
      <c r="N317" s="2">
        <v>0</v>
      </c>
      <c r="O317" s="2">
        <v>0</v>
      </c>
      <c r="P317" s="2"/>
      <c r="Q317" s="2">
        <v>26395</v>
      </c>
      <c r="R317" s="2">
        <v>369175</v>
      </c>
      <c r="S317" s="2">
        <v>381941</v>
      </c>
      <c r="T317" s="2">
        <v>326828</v>
      </c>
      <c r="U317" s="2">
        <v>0</v>
      </c>
      <c r="V317" s="2"/>
      <c r="W317" s="2">
        <v>322335</v>
      </c>
      <c r="X317" s="2">
        <v>261681</v>
      </c>
      <c r="Y317" s="2">
        <v>0</v>
      </c>
      <c r="Z317" s="2">
        <v>0</v>
      </c>
      <c r="AA317" s="2">
        <v>0</v>
      </c>
      <c r="AB317" s="2"/>
      <c r="AC317" s="2">
        <v>9518</v>
      </c>
      <c r="AD317" s="2">
        <v>0</v>
      </c>
      <c r="AE317" s="2">
        <v>0</v>
      </c>
      <c r="AF317" s="2">
        <v>0</v>
      </c>
      <c r="AG317" s="2">
        <v>0</v>
      </c>
      <c r="AH317" s="2"/>
      <c r="AI317" s="2">
        <v>-84354</v>
      </c>
      <c r="AJ317" s="2">
        <v>-84353</v>
      </c>
      <c r="AK317" s="2">
        <v>-38944</v>
      </c>
      <c r="AL317" s="2">
        <v>0</v>
      </c>
      <c r="AM317" s="2">
        <v>-84353</v>
      </c>
    </row>
    <row r="318" spans="1:39">
      <c r="A318" s="349">
        <v>93111</v>
      </c>
      <c r="B318" s="342" t="s">
        <v>1005</v>
      </c>
      <c r="C318" s="358">
        <v>5.4400000000000001E-5</v>
      </c>
      <c r="E318" s="2">
        <v>14521</v>
      </c>
      <c r="F318" s="2">
        <v>22720</v>
      </c>
      <c r="G318" s="2">
        <v>12284</v>
      </c>
      <c r="H318" s="2">
        <v>8096</v>
      </c>
      <c r="I318" s="2">
        <v>0</v>
      </c>
      <c r="J318" s="2"/>
      <c r="K318" s="2">
        <v>10086</v>
      </c>
      <c r="L318" s="2">
        <v>9291</v>
      </c>
      <c r="M318" s="2">
        <v>5171</v>
      </c>
      <c r="N318" s="2">
        <v>0</v>
      </c>
      <c r="O318" s="2">
        <v>0</v>
      </c>
      <c r="P318" s="2"/>
      <c r="Q318" s="2">
        <v>654</v>
      </c>
      <c r="R318" s="2">
        <v>9145</v>
      </c>
      <c r="S318" s="2">
        <v>9461</v>
      </c>
      <c r="T318" s="2">
        <v>8096</v>
      </c>
      <c r="U318" s="2">
        <v>0</v>
      </c>
      <c r="V318" s="2"/>
      <c r="W318" s="2">
        <v>7985</v>
      </c>
      <c r="X318" s="2">
        <v>6482</v>
      </c>
      <c r="Y318" s="2">
        <v>0</v>
      </c>
      <c r="Z318" s="2">
        <v>0</v>
      </c>
      <c r="AA318" s="2">
        <v>0</v>
      </c>
      <c r="AB318" s="2"/>
      <c r="AC318" s="2">
        <v>152</v>
      </c>
      <c r="AD318" s="2">
        <v>153</v>
      </c>
      <c r="AE318" s="2">
        <v>0</v>
      </c>
      <c r="AF318" s="2">
        <v>0</v>
      </c>
      <c r="AG318" s="2">
        <v>0</v>
      </c>
      <c r="AH318" s="2"/>
      <c r="AI318" s="2">
        <v>-4356</v>
      </c>
      <c r="AJ318" s="2">
        <v>-2351</v>
      </c>
      <c r="AK318" s="2">
        <v>-2348</v>
      </c>
      <c r="AL318" s="2">
        <v>0</v>
      </c>
      <c r="AM318" s="2">
        <v>-2351</v>
      </c>
    </row>
    <row r="319" spans="1:39">
      <c r="A319" s="349">
        <v>93121</v>
      </c>
      <c r="B319" s="342" t="s">
        <v>1006</v>
      </c>
      <c r="C319" s="358">
        <v>5.38E-5</v>
      </c>
      <c r="E319" s="2">
        <v>18487</v>
      </c>
      <c r="F319" s="2">
        <v>24102</v>
      </c>
      <c r="G319" s="2">
        <v>14549</v>
      </c>
      <c r="H319" s="2">
        <v>8007</v>
      </c>
      <c r="I319" s="2">
        <v>0</v>
      </c>
      <c r="J319" s="2"/>
      <c r="K319" s="2">
        <v>9975</v>
      </c>
      <c r="L319" s="2">
        <v>9189</v>
      </c>
      <c r="M319" s="2">
        <v>5114</v>
      </c>
      <c r="N319" s="2">
        <v>0</v>
      </c>
      <c r="O319" s="2">
        <v>0</v>
      </c>
      <c r="P319" s="2"/>
      <c r="Q319" s="2">
        <v>647</v>
      </c>
      <c r="R319" s="2">
        <v>9044</v>
      </c>
      <c r="S319" s="2">
        <v>9357</v>
      </c>
      <c r="T319" s="2">
        <v>8007</v>
      </c>
      <c r="U319" s="2">
        <v>0</v>
      </c>
      <c r="V319" s="2"/>
      <c r="W319" s="2">
        <v>7897</v>
      </c>
      <c r="X319" s="2">
        <v>6411</v>
      </c>
      <c r="Y319" s="2">
        <v>0</v>
      </c>
      <c r="Z319" s="2">
        <v>0</v>
      </c>
      <c r="AA319" s="2">
        <v>0</v>
      </c>
      <c r="AB319" s="2"/>
      <c r="AC319" s="2">
        <v>2706</v>
      </c>
      <c r="AD319" s="2">
        <v>2196</v>
      </c>
      <c r="AE319" s="2">
        <v>2195</v>
      </c>
      <c r="AF319" s="2">
        <v>0</v>
      </c>
      <c r="AG319" s="2">
        <v>0</v>
      </c>
      <c r="AH319" s="2"/>
      <c r="AI319" s="2">
        <v>-2738</v>
      </c>
      <c r="AJ319" s="2">
        <v>-2738</v>
      </c>
      <c r="AK319" s="2">
        <v>-2117</v>
      </c>
      <c r="AL319" s="2">
        <v>0</v>
      </c>
      <c r="AM319" s="2">
        <v>-2738</v>
      </c>
    </row>
    <row r="320" spans="1:39">
      <c r="A320" s="349">
        <v>93127</v>
      </c>
      <c r="B320" s="342" t="s">
        <v>1007</v>
      </c>
      <c r="C320" s="358">
        <v>5.8000000000000004E-6</v>
      </c>
      <c r="E320" s="2">
        <v>1877</v>
      </c>
      <c r="F320" s="2">
        <v>2505</v>
      </c>
      <c r="G320" s="2">
        <v>1445</v>
      </c>
      <c r="H320" s="2">
        <v>863</v>
      </c>
      <c r="I320" s="2">
        <v>0</v>
      </c>
      <c r="J320" s="2"/>
      <c r="K320" s="2">
        <v>1075</v>
      </c>
      <c r="L320" s="2">
        <v>991</v>
      </c>
      <c r="M320" s="2">
        <v>551</v>
      </c>
      <c r="N320" s="2">
        <v>0</v>
      </c>
      <c r="O320" s="2">
        <v>0</v>
      </c>
      <c r="P320" s="2"/>
      <c r="Q320" s="2">
        <v>70</v>
      </c>
      <c r="R320" s="2">
        <v>975</v>
      </c>
      <c r="S320" s="2">
        <v>1009</v>
      </c>
      <c r="T320" s="2">
        <v>863</v>
      </c>
      <c r="U320" s="2">
        <v>0</v>
      </c>
      <c r="V320" s="2"/>
      <c r="W320" s="2">
        <v>851</v>
      </c>
      <c r="X320" s="2">
        <v>691</v>
      </c>
      <c r="Y320" s="2">
        <v>0</v>
      </c>
      <c r="Z320" s="2">
        <v>0</v>
      </c>
      <c r="AA320" s="2">
        <v>0</v>
      </c>
      <c r="AB320" s="2"/>
      <c r="AC320" s="2">
        <v>120</v>
      </c>
      <c r="AD320" s="2">
        <v>89</v>
      </c>
      <c r="AE320" s="2">
        <v>87</v>
      </c>
      <c r="AF320" s="2">
        <v>0</v>
      </c>
      <c r="AG320" s="2">
        <v>0</v>
      </c>
      <c r="AH320" s="2"/>
      <c r="AI320" s="2">
        <v>-239</v>
      </c>
      <c r="AJ320" s="2">
        <v>-241</v>
      </c>
      <c r="AK320" s="2">
        <v>-202</v>
      </c>
      <c r="AL320" s="2">
        <v>0</v>
      </c>
      <c r="AM320" s="2">
        <v>-241</v>
      </c>
    </row>
    <row r="321" spans="1:39">
      <c r="A321" s="349">
        <v>93131</v>
      </c>
      <c r="B321" s="342" t="s">
        <v>1008</v>
      </c>
      <c r="C321" s="358">
        <v>1.727E-4</v>
      </c>
      <c r="E321" s="2">
        <v>46983</v>
      </c>
      <c r="F321" s="2">
        <v>70939</v>
      </c>
      <c r="G321" s="2">
        <v>42890</v>
      </c>
      <c r="H321" s="2">
        <v>25702</v>
      </c>
      <c r="I321" s="2">
        <v>0</v>
      </c>
      <c r="J321" s="2"/>
      <c r="K321" s="2">
        <v>32020</v>
      </c>
      <c r="L321" s="2">
        <v>29496</v>
      </c>
      <c r="M321" s="2">
        <v>16417</v>
      </c>
      <c r="N321" s="2">
        <v>0</v>
      </c>
      <c r="O321" s="2">
        <v>0</v>
      </c>
      <c r="P321" s="2"/>
      <c r="Q321" s="2">
        <v>2076</v>
      </c>
      <c r="R321" s="2">
        <v>29032</v>
      </c>
      <c r="S321" s="2">
        <v>30036</v>
      </c>
      <c r="T321" s="2">
        <v>25702</v>
      </c>
      <c r="U321" s="2">
        <v>0</v>
      </c>
      <c r="V321" s="2"/>
      <c r="W321" s="2">
        <v>25348</v>
      </c>
      <c r="X321" s="2">
        <v>20578</v>
      </c>
      <c r="Y321" s="2">
        <v>0</v>
      </c>
      <c r="Z321" s="2">
        <v>0</v>
      </c>
      <c r="AA321" s="2">
        <v>0</v>
      </c>
      <c r="AB321" s="2"/>
      <c r="AC321" s="2">
        <v>331</v>
      </c>
      <c r="AD321" s="2">
        <v>331</v>
      </c>
      <c r="AE321" s="2">
        <v>331</v>
      </c>
      <c r="AF321" s="2">
        <v>0</v>
      </c>
      <c r="AG321" s="2">
        <v>0</v>
      </c>
      <c r="AH321" s="2"/>
      <c r="AI321" s="2">
        <v>-12792</v>
      </c>
      <c r="AJ321" s="2">
        <v>-8498</v>
      </c>
      <c r="AK321" s="2">
        <v>-3894</v>
      </c>
      <c r="AL321" s="2">
        <v>0</v>
      </c>
      <c r="AM321" s="2">
        <v>-8498</v>
      </c>
    </row>
    <row r="322" spans="1:39">
      <c r="A322" s="349">
        <v>93137</v>
      </c>
      <c r="B322" s="342" t="s">
        <v>1009</v>
      </c>
      <c r="C322" s="358">
        <v>5.0000000000000004E-6</v>
      </c>
      <c r="E322" s="2">
        <v>2922</v>
      </c>
      <c r="F322" s="2">
        <v>3056</v>
      </c>
      <c r="G322" s="2">
        <v>1718</v>
      </c>
      <c r="H322" s="2">
        <v>744</v>
      </c>
      <c r="I322" s="2">
        <v>0</v>
      </c>
      <c r="J322" s="2"/>
      <c r="K322" s="2">
        <v>927</v>
      </c>
      <c r="L322" s="2">
        <v>854</v>
      </c>
      <c r="M322" s="2">
        <v>475</v>
      </c>
      <c r="N322" s="2">
        <v>0</v>
      </c>
      <c r="O322" s="2">
        <v>0</v>
      </c>
      <c r="P322" s="2"/>
      <c r="Q322" s="2">
        <v>60</v>
      </c>
      <c r="R322" s="2">
        <v>841</v>
      </c>
      <c r="S322" s="2">
        <v>870</v>
      </c>
      <c r="T322" s="2">
        <v>744</v>
      </c>
      <c r="U322" s="2">
        <v>0</v>
      </c>
      <c r="V322" s="2"/>
      <c r="W322" s="2">
        <v>734</v>
      </c>
      <c r="X322" s="2">
        <v>596</v>
      </c>
      <c r="Y322" s="2">
        <v>0</v>
      </c>
      <c r="Z322" s="2">
        <v>0</v>
      </c>
      <c r="AA322" s="2">
        <v>0</v>
      </c>
      <c r="AB322" s="2"/>
      <c r="AC322" s="2">
        <v>1201</v>
      </c>
      <c r="AD322" s="2">
        <v>765</v>
      </c>
      <c r="AE322" s="2">
        <v>373</v>
      </c>
      <c r="AF322" s="2">
        <v>0</v>
      </c>
      <c r="AG322" s="2">
        <v>0</v>
      </c>
      <c r="AH322" s="2"/>
      <c r="AI322" s="2">
        <v>0</v>
      </c>
      <c r="AJ322" s="2">
        <v>0</v>
      </c>
      <c r="AK322" s="2">
        <v>0</v>
      </c>
      <c r="AL322" s="2">
        <v>0</v>
      </c>
      <c r="AM322" s="2">
        <v>0</v>
      </c>
    </row>
    <row r="323" spans="1:39">
      <c r="A323" s="349">
        <v>93141</v>
      </c>
      <c r="B323" s="342" t="s">
        <v>1010</v>
      </c>
      <c r="C323" s="358">
        <v>3.6900000000000002E-5</v>
      </c>
      <c r="E323" s="2">
        <v>11848</v>
      </c>
      <c r="F323" s="2">
        <v>17321</v>
      </c>
      <c r="G323" s="2">
        <v>11858</v>
      </c>
      <c r="H323" s="2">
        <v>5492</v>
      </c>
      <c r="I323" s="2">
        <v>0</v>
      </c>
      <c r="J323" s="2"/>
      <c r="K323" s="2">
        <v>6842</v>
      </c>
      <c r="L323" s="2">
        <v>6302</v>
      </c>
      <c r="M323" s="2">
        <v>3508</v>
      </c>
      <c r="N323" s="2">
        <v>0</v>
      </c>
      <c r="O323" s="2">
        <v>0</v>
      </c>
      <c r="P323" s="2"/>
      <c r="Q323" s="2">
        <v>444</v>
      </c>
      <c r="R323" s="2">
        <v>6203</v>
      </c>
      <c r="S323" s="2">
        <v>6418</v>
      </c>
      <c r="T323" s="2">
        <v>5492</v>
      </c>
      <c r="U323" s="2">
        <v>0</v>
      </c>
      <c r="V323" s="2"/>
      <c r="W323" s="2">
        <v>5416</v>
      </c>
      <c r="X323" s="2">
        <v>4397</v>
      </c>
      <c r="Y323" s="2">
        <v>0</v>
      </c>
      <c r="Z323" s="2">
        <v>0</v>
      </c>
      <c r="AA323" s="2">
        <v>0</v>
      </c>
      <c r="AB323" s="2"/>
      <c r="AC323" s="2">
        <v>1936</v>
      </c>
      <c r="AD323" s="2">
        <v>1936</v>
      </c>
      <c r="AE323" s="2">
        <v>1932</v>
      </c>
      <c r="AF323" s="2">
        <v>0</v>
      </c>
      <c r="AG323" s="2">
        <v>0</v>
      </c>
      <c r="AH323" s="2"/>
      <c r="AI323" s="2">
        <v>-2790</v>
      </c>
      <c r="AJ323" s="2">
        <v>-1517</v>
      </c>
      <c r="AK323" s="2">
        <v>0</v>
      </c>
      <c r="AL323" s="2">
        <v>0</v>
      </c>
      <c r="AM323" s="2">
        <v>-1517</v>
      </c>
    </row>
    <row r="324" spans="1:39">
      <c r="A324" s="349">
        <v>93151</v>
      </c>
      <c r="B324" s="342" t="s">
        <v>1011</v>
      </c>
      <c r="C324" s="358">
        <v>3.5359999999999998E-4</v>
      </c>
      <c r="E324" s="2">
        <v>106254</v>
      </c>
      <c r="F324" s="2">
        <v>150538</v>
      </c>
      <c r="G324" s="2">
        <v>86590</v>
      </c>
      <c r="H324" s="2">
        <v>52623</v>
      </c>
      <c r="I324" s="2">
        <v>0</v>
      </c>
      <c r="J324" s="2"/>
      <c r="K324" s="2">
        <v>65561</v>
      </c>
      <c r="L324" s="2">
        <v>60393</v>
      </c>
      <c r="M324" s="2">
        <v>33613</v>
      </c>
      <c r="N324" s="2">
        <v>0</v>
      </c>
      <c r="O324" s="2">
        <v>0</v>
      </c>
      <c r="P324" s="2"/>
      <c r="Q324" s="2">
        <v>4250</v>
      </c>
      <c r="R324" s="2">
        <v>59442</v>
      </c>
      <c r="S324" s="2">
        <v>61497</v>
      </c>
      <c r="T324" s="2">
        <v>52623</v>
      </c>
      <c r="U324" s="2">
        <v>0</v>
      </c>
      <c r="V324" s="2"/>
      <c r="W324" s="2">
        <v>51900</v>
      </c>
      <c r="X324" s="2">
        <v>42134</v>
      </c>
      <c r="Y324" s="2">
        <v>0</v>
      </c>
      <c r="Z324" s="2">
        <v>0</v>
      </c>
      <c r="AA324" s="2">
        <v>0</v>
      </c>
      <c r="AB324" s="2"/>
      <c r="AC324" s="2">
        <v>4505</v>
      </c>
      <c r="AD324" s="2">
        <v>4505</v>
      </c>
      <c r="AE324" s="2">
        <v>4507</v>
      </c>
      <c r="AF324" s="2">
        <v>0</v>
      </c>
      <c r="AG324" s="2">
        <v>0</v>
      </c>
      <c r="AH324" s="2"/>
      <c r="AI324" s="2">
        <v>-19962</v>
      </c>
      <c r="AJ324" s="2">
        <v>-15936</v>
      </c>
      <c r="AK324" s="2">
        <v>-13027</v>
      </c>
      <c r="AL324" s="2">
        <v>0</v>
      </c>
      <c r="AM324" s="2">
        <v>-15936</v>
      </c>
    </row>
    <row r="325" spans="1:39">
      <c r="A325" s="349">
        <v>93157</v>
      </c>
      <c r="B325" s="342" t="s">
        <v>3665</v>
      </c>
      <c r="C325" s="358">
        <v>1.2799999999999999E-5</v>
      </c>
      <c r="E325" s="2">
        <v>9660</v>
      </c>
      <c r="F325" s="2">
        <v>10274</v>
      </c>
      <c r="G325" s="2">
        <v>6851</v>
      </c>
      <c r="H325" s="2">
        <v>1905</v>
      </c>
      <c r="I325" s="2">
        <v>0</v>
      </c>
      <c r="J325" s="2"/>
      <c r="K325" s="2">
        <v>2373</v>
      </c>
      <c r="L325" s="2">
        <v>2186</v>
      </c>
      <c r="M325" s="2">
        <v>1217</v>
      </c>
      <c r="N325" s="2">
        <v>0</v>
      </c>
      <c r="O325" s="2">
        <v>0</v>
      </c>
      <c r="P325" s="2"/>
      <c r="Q325" s="2">
        <v>154</v>
      </c>
      <c r="R325" s="2">
        <v>2152</v>
      </c>
      <c r="S325" s="2">
        <v>2226</v>
      </c>
      <c r="T325" s="2">
        <v>1905</v>
      </c>
      <c r="U325" s="2">
        <v>0</v>
      </c>
      <c r="V325" s="2"/>
      <c r="W325" s="2">
        <v>1879</v>
      </c>
      <c r="X325" s="2">
        <v>1525</v>
      </c>
      <c r="Y325" s="2">
        <v>0</v>
      </c>
      <c r="Z325" s="2">
        <v>0</v>
      </c>
      <c r="AA325" s="2">
        <v>0</v>
      </c>
      <c r="AB325" s="2"/>
      <c r="AC325" s="2">
        <v>5254</v>
      </c>
      <c r="AD325" s="2">
        <v>4411</v>
      </c>
      <c r="AE325" s="2">
        <v>3408</v>
      </c>
      <c r="AF325" s="2">
        <v>0</v>
      </c>
      <c r="AG325" s="2">
        <v>0</v>
      </c>
      <c r="AH325" s="2"/>
      <c r="AI325" s="2">
        <v>0</v>
      </c>
      <c r="AJ325" s="2">
        <v>0</v>
      </c>
      <c r="AK325" s="2">
        <v>0</v>
      </c>
      <c r="AL325" s="2">
        <v>0</v>
      </c>
      <c r="AM325" s="2">
        <v>0</v>
      </c>
    </row>
    <row r="326" spans="1:39">
      <c r="A326" s="349">
        <v>93161</v>
      </c>
      <c r="B326" s="342" t="s">
        <v>1013</v>
      </c>
      <c r="C326" s="358">
        <v>1.037E-4</v>
      </c>
      <c r="E326" s="2">
        <v>36243</v>
      </c>
      <c r="F326" s="2">
        <v>41067</v>
      </c>
      <c r="G326" s="2">
        <v>20722</v>
      </c>
      <c r="H326" s="2">
        <v>15433</v>
      </c>
      <c r="I326" s="2">
        <v>0</v>
      </c>
      <c r="J326" s="2"/>
      <c r="K326" s="2">
        <v>19227</v>
      </c>
      <c r="L326" s="2">
        <v>17711</v>
      </c>
      <c r="M326" s="2">
        <v>9858</v>
      </c>
      <c r="N326" s="2">
        <v>0</v>
      </c>
      <c r="O326" s="2">
        <v>0</v>
      </c>
      <c r="P326" s="2"/>
      <c r="Q326" s="2">
        <v>1246</v>
      </c>
      <c r="R326" s="2">
        <v>17432</v>
      </c>
      <c r="S326" s="2">
        <v>18035</v>
      </c>
      <c r="T326" s="2">
        <v>15433</v>
      </c>
      <c r="U326" s="2">
        <v>0</v>
      </c>
      <c r="V326" s="2"/>
      <c r="W326" s="2">
        <v>15221</v>
      </c>
      <c r="X326" s="2">
        <v>12357</v>
      </c>
      <c r="Y326" s="2">
        <v>0</v>
      </c>
      <c r="Z326" s="2">
        <v>0</v>
      </c>
      <c r="AA326" s="2">
        <v>0</v>
      </c>
      <c r="AB326" s="2"/>
      <c r="AC326" s="2">
        <v>8729</v>
      </c>
      <c r="AD326" s="2">
        <v>1747</v>
      </c>
      <c r="AE326" s="2">
        <v>1010</v>
      </c>
      <c r="AF326" s="2">
        <v>0</v>
      </c>
      <c r="AG326" s="2">
        <v>0</v>
      </c>
      <c r="AH326" s="2"/>
      <c r="AI326" s="2">
        <v>-8180</v>
      </c>
      <c r="AJ326" s="2">
        <v>-8180</v>
      </c>
      <c r="AK326" s="2">
        <v>-8181</v>
      </c>
      <c r="AL326" s="2">
        <v>0</v>
      </c>
      <c r="AM326" s="2">
        <v>-8180</v>
      </c>
    </row>
    <row r="327" spans="1:39">
      <c r="A327" s="349">
        <v>93171</v>
      </c>
      <c r="B327" s="342" t="s">
        <v>1014</v>
      </c>
      <c r="C327" s="358">
        <v>9.0999999999999993E-6</v>
      </c>
      <c r="E327" s="2">
        <v>6080</v>
      </c>
      <c r="F327" s="2">
        <v>6918</v>
      </c>
      <c r="G327" s="2">
        <v>5445</v>
      </c>
      <c r="H327" s="2">
        <v>1354</v>
      </c>
      <c r="I327" s="2">
        <v>0</v>
      </c>
      <c r="J327" s="2"/>
      <c r="K327" s="2">
        <v>1687</v>
      </c>
      <c r="L327" s="2">
        <v>1554</v>
      </c>
      <c r="M327" s="2">
        <v>865</v>
      </c>
      <c r="N327" s="2">
        <v>0</v>
      </c>
      <c r="O327" s="2">
        <v>0</v>
      </c>
      <c r="P327" s="2"/>
      <c r="Q327" s="2">
        <v>109</v>
      </c>
      <c r="R327" s="2">
        <v>1530</v>
      </c>
      <c r="S327" s="2">
        <v>1583</v>
      </c>
      <c r="T327" s="2">
        <v>1354</v>
      </c>
      <c r="U327" s="2">
        <v>0</v>
      </c>
      <c r="V327" s="2"/>
      <c r="W327" s="2">
        <v>1336</v>
      </c>
      <c r="X327" s="2">
        <v>1084</v>
      </c>
      <c r="Y327" s="2">
        <v>0</v>
      </c>
      <c r="Z327" s="2">
        <v>0</v>
      </c>
      <c r="AA327" s="2">
        <v>0</v>
      </c>
      <c r="AB327" s="2"/>
      <c r="AC327" s="2">
        <v>3195</v>
      </c>
      <c r="AD327" s="2">
        <v>2996</v>
      </c>
      <c r="AE327" s="2">
        <v>2997</v>
      </c>
      <c r="AF327" s="2">
        <v>0</v>
      </c>
      <c r="AG327" s="2">
        <v>0</v>
      </c>
      <c r="AH327" s="2"/>
      <c r="AI327" s="2">
        <v>-247</v>
      </c>
      <c r="AJ327" s="2">
        <v>-246</v>
      </c>
      <c r="AK327" s="2">
        <v>0</v>
      </c>
      <c r="AL327" s="2">
        <v>0</v>
      </c>
      <c r="AM327" s="2">
        <v>-246</v>
      </c>
    </row>
    <row r="328" spans="1:39">
      <c r="A328" s="349">
        <v>93181</v>
      </c>
      <c r="B328" s="342" t="s">
        <v>1015</v>
      </c>
      <c r="C328" s="358">
        <v>1.0000000000000001E-5</v>
      </c>
      <c r="E328" s="2">
        <v>3750</v>
      </c>
      <c r="F328" s="2">
        <v>4798</v>
      </c>
      <c r="G328" s="2">
        <v>2881</v>
      </c>
      <c r="H328" s="2">
        <v>1488</v>
      </c>
      <c r="I328" s="2">
        <v>0</v>
      </c>
      <c r="J328" s="2"/>
      <c r="K328" s="2">
        <v>1854</v>
      </c>
      <c r="L328" s="2">
        <v>1708</v>
      </c>
      <c r="M328" s="2">
        <v>951</v>
      </c>
      <c r="N328" s="2">
        <v>0</v>
      </c>
      <c r="O328" s="2">
        <v>0</v>
      </c>
      <c r="P328" s="2"/>
      <c r="Q328" s="2">
        <v>120</v>
      </c>
      <c r="R328" s="2">
        <v>1681</v>
      </c>
      <c r="S328" s="2">
        <v>1739</v>
      </c>
      <c r="T328" s="2">
        <v>1488</v>
      </c>
      <c r="U328" s="2">
        <v>0</v>
      </c>
      <c r="V328" s="2"/>
      <c r="W328" s="2">
        <v>1468</v>
      </c>
      <c r="X328" s="2">
        <v>1192</v>
      </c>
      <c r="Y328" s="2">
        <v>0</v>
      </c>
      <c r="Z328" s="2">
        <v>0</v>
      </c>
      <c r="AA328" s="2">
        <v>0</v>
      </c>
      <c r="AB328" s="2"/>
      <c r="AC328" s="2">
        <v>308</v>
      </c>
      <c r="AD328" s="2">
        <v>217</v>
      </c>
      <c r="AE328" s="2">
        <v>191</v>
      </c>
      <c r="AF328" s="2">
        <v>0</v>
      </c>
      <c r="AG328" s="2">
        <v>0</v>
      </c>
      <c r="AH328" s="2"/>
      <c r="AI328" s="2">
        <v>0</v>
      </c>
      <c r="AJ328" s="2">
        <v>0</v>
      </c>
      <c r="AK328" s="2">
        <v>0</v>
      </c>
      <c r="AL328" s="2">
        <v>0</v>
      </c>
      <c r="AM328" s="2">
        <v>0</v>
      </c>
    </row>
    <row r="329" spans="1:39">
      <c r="A329" s="349">
        <v>93191</v>
      </c>
      <c r="B329" s="342" t="s">
        <v>1016</v>
      </c>
      <c r="C329" s="358">
        <v>2.8900000000000001E-5</v>
      </c>
      <c r="E329" s="2">
        <v>15223</v>
      </c>
      <c r="F329" s="2">
        <v>18964</v>
      </c>
      <c r="G329" s="2">
        <v>12760</v>
      </c>
      <c r="H329" s="2">
        <v>4301</v>
      </c>
      <c r="I329" s="2">
        <v>0</v>
      </c>
      <c r="J329" s="2"/>
      <c r="K329" s="2">
        <v>5358</v>
      </c>
      <c r="L329" s="2">
        <v>4936</v>
      </c>
      <c r="M329" s="2">
        <v>2747</v>
      </c>
      <c r="N329" s="2">
        <v>0</v>
      </c>
      <c r="O329" s="2">
        <v>0</v>
      </c>
      <c r="P329" s="2"/>
      <c r="Q329" s="2">
        <v>347</v>
      </c>
      <c r="R329" s="2">
        <v>4858</v>
      </c>
      <c r="S329" s="2">
        <v>5026</v>
      </c>
      <c r="T329" s="2">
        <v>4301</v>
      </c>
      <c r="U329" s="2">
        <v>0</v>
      </c>
      <c r="V329" s="2"/>
      <c r="W329" s="2">
        <v>4242</v>
      </c>
      <c r="X329" s="2">
        <v>3444</v>
      </c>
      <c r="Y329" s="2">
        <v>0</v>
      </c>
      <c r="Z329" s="2">
        <v>0</v>
      </c>
      <c r="AA329" s="2">
        <v>0</v>
      </c>
      <c r="AB329" s="2"/>
      <c r="AC329" s="2">
        <v>5724</v>
      </c>
      <c r="AD329" s="2">
        <v>5726</v>
      </c>
      <c r="AE329" s="2">
        <v>4987</v>
      </c>
      <c r="AF329" s="2">
        <v>0</v>
      </c>
      <c r="AG329" s="2">
        <v>0</v>
      </c>
      <c r="AH329" s="2"/>
      <c r="AI329" s="2">
        <v>-448</v>
      </c>
      <c r="AJ329" s="2">
        <v>0</v>
      </c>
      <c r="AK329" s="2">
        <v>0</v>
      </c>
      <c r="AL329" s="2">
        <v>0</v>
      </c>
      <c r="AM329" s="2">
        <v>0</v>
      </c>
    </row>
    <row r="330" spans="1:39">
      <c r="A330" s="349">
        <v>93201</v>
      </c>
      <c r="B330" s="342" t="s">
        <v>1017</v>
      </c>
      <c r="C330" s="358">
        <v>1.5223E-2</v>
      </c>
      <c r="E330" s="2">
        <v>5076375</v>
      </c>
      <c r="F330" s="2">
        <v>6861148</v>
      </c>
      <c r="G330" s="2">
        <v>3923852</v>
      </c>
      <c r="H330" s="2">
        <v>2265517</v>
      </c>
      <c r="I330" s="2">
        <v>0</v>
      </c>
      <c r="J330" s="2"/>
      <c r="K330" s="2">
        <v>2822481</v>
      </c>
      <c r="L330" s="2">
        <v>2599997</v>
      </c>
      <c r="M330" s="2">
        <v>1447068</v>
      </c>
      <c r="N330" s="2">
        <v>0</v>
      </c>
      <c r="O330" s="2">
        <v>0</v>
      </c>
      <c r="P330" s="2"/>
      <c r="Q330" s="2">
        <v>182965</v>
      </c>
      <c r="R330" s="2">
        <v>2559062</v>
      </c>
      <c r="S330" s="2">
        <v>2647554</v>
      </c>
      <c r="T330" s="2">
        <v>2265517</v>
      </c>
      <c r="U330" s="2">
        <v>0</v>
      </c>
      <c r="V330" s="2"/>
      <c r="W330" s="2">
        <v>2234371</v>
      </c>
      <c r="X330" s="2">
        <v>1813927</v>
      </c>
      <c r="Y330" s="2">
        <v>0</v>
      </c>
      <c r="Z330" s="2">
        <v>0</v>
      </c>
      <c r="AA330" s="2">
        <v>0</v>
      </c>
      <c r="AB330" s="2"/>
      <c r="AC330" s="2">
        <v>58933</v>
      </c>
      <c r="AD330" s="2">
        <v>58934</v>
      </c>
      <c r="AE330" s="2">
        <v>0</v>
      </c>
      <c r="AF330" s="2">
        <v>0</v>
      </c>
      <c r="AG330" s="2">
        <v>0</v>
      </c>
      <c r="AH330" s="2"/>
      <c r="AI330" s="2">
        <v>-222375</v>
      </c>
      <c r="AJ330" s="2">
        <v>-170772</v>
      </c>
      <c r="AK330" s="2">
        <v>-170770</v>
      </c>
      <c r="AL330" s="2">
        <v>0</v>
      </c>
      <c r="AM330" s="2">
        <v>-170772</v>
      </c>
    </row>
    <row r="331" spans="1:39">
      <c r="A331" s="349">
        <v>93204</v>
      </c>
      <c r="B331" s="342" t="s">
        <v>1019</v>
      </c>
      <c r="C331" s="358">
        <v>2.6400000000000002E-4</v>
      </c>
      <c r="E331" s="2">
        <v>92353</v>
      </c>
      <c r="F331" s="2">
        <v>117363</v>
      </c>
      <c r="G331" s="2">
        <v>61080</v>
      </c>
      <c r="H331" s="2">
        <v>39289</v>
      </c>
      <c r="I331" s="2">
        <v>0</v>
      </c>
      <c r="J331" s="2"/>
      <c r="K331" s="2">
        <v>48948</v>
      </c>
      <c r="L331" s="2">
        <v>45090</v>
      </c>
      <c r="M331" s="2">
        <v>25095</v>
      </c>
      <c r="N331" s="2">
        <v>0</v>
      </c>
      <c r="O331" s="2">
        <v>0</v>
      </c>
      <c r="P331" s="2"/>
      <c r="Q331" s="2">
        <v>3173</v>
      </c>
      <c r="R331" s="2">
        <v>44380</v>
      </c>
      <c r="S331" s="2">
        <v>45914</v>
      </c>
      <c r="T331" s="2">
        <v>39289</v>
      </c>
      <c r="U331" s="2">
        <v>0</v>
      </c>
      <c r="V331" s="2"/>
      <c r="W331" s="2">
        <v>38749</v>
      </c>
      <c r="X331" s="2">
        <v>31457</v>
      </c>
      <c r="Y331" s="2">
        <v>0</v>
      </c>
      <c r="Z331" s="2">
        <v>0</v>
      </c>
      <c r="AA331" s="2">
        <v>0</v>
      </c>
      <c r="AB331" s="2"/>
      <c r="AC331" s="2">
        <v>11411</v>
      </c>
      <c r="AD331" s="2">
        <v>6364</v>
      </c>
      <c r="AE331" s="2">
        <v>0</v>
      </c>
      <c r="AF331" s="2">
        <v>0</v>
      </c>
      <c r="AG331" s="2">
        <v>0</v>
      </c>
      <c r="AH331" s="2"/>
      <c r="AI331" s="2">
        <v>-9928</v>
      </c>
      <c r="AJ331" s="2">
        <v>-9928</v>
      </c>
      <c r="AK331" s="2">
        <v>-9929</v>
      </c>
      <c r="AL331" s="2">
        <v>0</v>
      </c>
      <c r="AM331" s="2">
        <v>-9928</v>
      </c>
    </row>
    <row r="332" spans="1:39">
      <c r="A332" s="349">
        <v>93209</v>
      </c>
      <c r="B332" s="342" t="s">
        <v>1020</v>
      </c>
      <c r="C332" s="358">
        <v>5.2969000000000002E-3</v>
      </c>
      <c r="E332" s="2">
        <v>1738744</v>
      </c>
      <c r="F332" s="2">
        <v>2325146</v>
      </c>
      <c r="G332" s="2">
        <v>1275339</v>
      </c>
      <c r="H332" s="2">
        <v>788295</v>
      </c>
      <c r="I332" s="2">
        <v>0</v>
      </c>
      <c r="J332" s="2"/>
      <c r="K332" s="2">
        <v>982093</v>
      </c>
      <c r="L332" s="2">
        <v>904679</v>
      </c>
      <c r="M332" s="2">
        <v>503513</v>
      </c>
      <c r="N332" s="2">
        <v>0</v>
      </c>
      <c r="O332" s="2">
        <v>0</v>
      </c>
      <c r="P332" s="2"/>
      <c r="Q332" s="2">
        <v>63663</v>
      </c>
      <c r="R332" s="2">
        <v>890435</v>
      </c>
      <c r="S332" s="2">
        <v>921226</v>
      </c>
      <c r="T332" s="2">
        <v>788295</v>
      </c>
      <c r="U332" s="2">
        <v>0</v>
      </c>
      <c r="V332" s="2"/>
      <c r="W332" s="2">
        <v>777458</v>
      </c>
      <c r="X332" s="2">
        <v>631163</v>
      </c>
      <c r="Y332" s="2">
        <v>0</v>
      </c>
      <c r="Z332" s="2">
        <v>0</v>
      </c>
      <c r="AA332" s="2">
        <v>0</v>
      </c>
      <c r="AB332" s="2"/>
      <c r="AC332" s="2">
        <v>89020</v>
      </c>
      <c r="AD332" s="2">
        <v>72359</v>
      </c>
      <c r="AE332" s="2">
        <v>24090</v>
      </c>
      <c r="AF332" s="2">
        <v>0</v>
      </c>
      <c r="AG332" s="2">
        <v>0</v>
      </c>
      <c r="AH332" s="2"/>
      <c r="AI332" s="2">
        <v>-173490</v>
      </c>
      <c r="AJ332" s="2">
        <v>-173490</v>
      </c>
      <c r="AK332" s="2">
        <v>-173490</v>
      </c>
      <c r="AL332" s="2">
        <v>0</v>
      </c>
      <c r="AM332" s="2">
        <v>-173490</v>
      </c>
    </row>
    <row r="333" spans="1:39">
      <c r="A333" s="349">
        <v>93211</v>
      </c>
      <c r="B333" s="342" t="s">
        <v>1021</v>
      </c>
      <c r="C333" s="358">
        <v>2.2128599999999998E-2</v>
      </c>
      <c r="E333" s="2">
        <v>8093643</v>
      </c>
      <c r="F333" s="2">
        <v>10631559</v>
      </c>
      <c r="G333" s="2">
        <v>6342757</v>
      </c>
      <c r="H333" s="2">
        <v>3293223</v>
      </c>
      <c r="I333" s="2">
        <v>0</v>
      </c>
      <c r="J333" s="2"/>
      <c r="K333" s="2">
        <v>4102842</v>
      </c>
      <c r="L333" s="2">
        <v>3779432</v>
      </c>
      <c r="M333" s="2">
        <v>2103500</v>
      </c>
      <c r="N333" s="2">
        <v>0</v>
      </c>
      <c r="O333" s="2">
        <v>0</v>
      </c>
      <c r="P333" s="2"/>
      <c r="Q333" s="2">
        <v>265964</v>
      </c>
      <c r="R333" s="2">
        <v>3719928</v>
      </c>
      <c r="S333" s="2">
        <v>3848562</v>
      </c>
      <c r="T333" s="2">
        <v>3293223</v>
      </c>
      <c r="U333" s="2">
        <v>0</v>
      </c>
      <c r="V333" s="2"/>
      <c r="W333" s="2">
        <v>3247947</v>
      </c>
      <c r="X333" s="2">
        <v>2636778</v>
      </c>
      <c r="Y333" s="2">
        <v>0</v>
      </c>
      <c r="Z333" s="2">
        <v>0</v>
      </c>
      <c r="AA333" s="2">
        <v>0</v>
      </c>
      <c r="AB333" s="2"/>
      <c r="AC333" s="2">
        <v>495420</v>
      </c>
      <c r="AD333" s="2">
        <v>495421</v>
      </c>
      <c r="AE333" s="2">
        <v>390695</v>
      </c>
      <c r="AF333" s="2">
        <v>0</v>
      </c>
      <c r="AG333" s="2">
        <v>0</v>
      </c>
      <c r="AH333" s="2"/>
      <c r="AI333" s="2">
        <v>-18530</v>
      </c>
      <c r="AJ333" s="2">
        <v>0</v>
      </c>
      <c r="AK333" s="2">
        <v>0</v>
      </c>
      <c r="AL333" s="2">
        <v>0</v>
      </c>
      <c r="AM333" s="2">
        <v>0</v>
      </c>
    </row>
    <row r="334" spans="1:39">
      <c r="A334" s="349">
        <v>93212</v>
      </c>
      <c r="B334" s="342" t="s">
        <v>3666</v>
      </c>
      <c r="C334" s="358">
        <v>2.8699999999999998E-4</v>
      </c>
      <c r="E334" s="2">
        <v>184386</v>
      </c>
      <c r="F334" s="2">
        <v>195966</v>
      </c>
      <c r="G334" s="2">
        <v>110007</v>
      </c>
      <c r="H334" s="2">
        <v>42712</v>
      </c>
      <c r="I334" s="2">
        <v>0</v>
      </c>
      <c r="J334" s="2"/>
      <c r="K334" s="2">
        <v>53212</v>
      </c>
      <c r="L334" s="2">
        <v>49018</v>
      </c>
      <c r="M334" s="2">
        <v>27282</v>
      </c>
      <c r="N334" s="2">
        <v>0</v>
      </c>
      <c r="O334" s="2">
        <v>0</v>
      </c>
      <c r="P334" s="2"/>
      <c r="Q334" s="2">
        <v>3449</v>
      </c>
      <c r="R334" s="2">
        <v>48246</v>
      </c>
      <c r="S334" s="2">
        <v>49914</v>
      </c>
      <c r="T334" s="2">
        <v>42712</v>
      </c>
      <c r="U334" s="2">
        <v>0</v>
      </c>
      <c r="V334" s="2"/>
      <c r="W334" s="2">
        <v>42125</v>
      </c>
      <c r="X334" s="2">
        <v>34198</v>
      </c>
      <c r="Y334" s="2">
        <v>0</v>
      </c>
      <c r="Z334" s="2">
        <v>0</v>
      </c>
      <c r="AA334" s="2">
        <v>0</v>
      </c>
      <c r="AB334" s="2"/>
      <c r="AC334" s="2">
        <v>85600</v>
      </c>
      <c r="AD334" s="2">
        <v>64504</v>
      </c>
      <c r="AE334" s="2">
        <v>32811</v>
      </c>
      <c r="AF334" s="2">
        <v>0</v>
      </c>
      <c r="AG334" s="2">
        <v>0</v>
      </c>
      <c r="AH334" s="2"/>
      <c r="AI334" s="2">
        <v>0</v>
      </c>
      <c r="AJ334" s="2">
        <v>0</v>
      </c>
      <c r="AK334" s="2">
        <v>0</v>
      </c>
      <c r="AL334" s="2">
        <v>0</v>
      </c>
      <c r="AM334" s="2">
        <v>0</v>
      </c>
    </row>
    <row r="335" spans="1:39">
      <c r="A335" s="349">
        <v>93219</v>
      </c>
      <c r="B335" s="342" t="s">
        <v>1023</v>
      </c>
      <c r="C335" s="358">
        <v>2.5789999999999998E-4</v>
      </c>
      <c r="E335" s="2">
        <v>99619</v>
      </c>
      <c r="F335" s="2">
        <v>123331</v>
      </c>
      <c r="G335" s="2">
        <v>75178</v>
      </c>
      <c r="H335" s="2">
        <v>38381</v>
      </c>
      <c r="I335" s="2">
        <v>0</v>
      </c>
      <c r="J335" s="2"/>
      <c r="K335" s="2">
        <v>47817</v>
      </c>
      <c r="L335" s="2">
        <v>44048</v>
      </c>
      <c r="M335" s="2">
        <v>24515</v>
      </c>
      <c r="N335" s="2">
        <v>0</v>
      </c>
      <c r="O335" s="2">
        <v>0</v>
      </c>
      <c r="P335" s="2"/>
      <c r="Q335" s="2">
        <v>3100</v>
      </c>
      <c r="R335" s="2">
        <v>43354</v>
      </c>
      <c r="S335" s="2">
        <v>44853</v>
      </c>
      <c r="T335" s="2">
        <v>38381</v>
      </c>
      <c r="U335" s="2">
        <v>0</v>
      </c>
      <c r="V335" s="2"/>
      <c r="W335" s="2">
        <v>37854</v>
      </c>
      <c r="X335" s="2">
        <v>30731</v>
      </c>
      <c r="Y335" s="2">
        <v>0</v>
      </c>
      <c r="Z335" s="2">
        <v>0</v>
      </c>
      <c r="AA335" s="2">
        <v>0</v>
      </c>
      <c r="AB335" s="2"/>
      <c r="AC335" s="2">
        <v>11461</v>
      </c>
      <c r="AD335" s="2">
        <v>5813</v>
      </c>
      <c r="AE335" s="2">
        <v>5810</v>
      </c>
      <c r="AF335" s="2">
        <v>0</v>
      </c>
      <c r="AG335" s="2">
        <v>0</v>
      </c>
      <c r="AH335" s="2"/>
      <c r="AI335" s="2">
        <v>-613</v>
      </c>
      <c r="AJ335" s="2">
        <v>-615</v>
      </c>
      <c r="AK335" s="2">
        <v>0</v>
      </c>
      <c r="AL335" s="2">
        <v>0</v>
      </c>
      <c r="AM335" s="2">
        <v>-615</v>
      </c>
    </row>
    <row r="336" spans="1:39">
      <c r="A336" s="349">
        <v>93301</v>
      </c>
      <c r="B336" s="342" t="s">
        <v>1024</v>
      </c>
      <c r="C336" s="358">
        <v>2.1819999999999999E-3</v>
      </c>
      <c r="E336" s="2">
        <v>693527</v>
      </c>
      <c r="F336" s="2">
        <v>944454</v>
      </c>
      <c r="G336" s="2">
        <v>575154</v>
      </c>
      <c r="H336" s="2">
        <v>324730</v>
      </c>
      <c r="I336" s="2">
        <v>0</v>
      </c>
      <c r="J336" s="2"/>
      <c r="K336" s="2">
        <v>404562</v>
      </c>
      <c r="L336" s="2">
        <v>372673</v>
      </c>
      <c r="M336" s="2">
        <v>207417</v>
      </c>
      <c r="N336" s="2">
        <v>0</v>
      </c>
      <c r="O336" s="2">
        <v>0</v>
      </c>
      <c r="P336" s="2"/>
      <c r="Q336" s="2">
        <v>26225</v>
      </c>
      <c r="R336" s="2">
        <v>366805</v>
      </c>
      <c r="S336" s="2">
        <v>379489</v>
      </c>
      <c r="T336" s="2">
        <v>324730</v>
      </c>
      <c r="U336" s="2">
        <v>0</v>
      </c>
      <c r="V336" s="2"/>
      <c r="W336" s="2">
        <v>320265</v>
      </c>
      <c r="X336" s="2">
        <v>260001</v>
      </c>
      <c r="Y336" s="2">
        <v>0</v>
      </c>
      <c r="Z336" s="2">
        <v>0</v>
      </c>
      <c r="AA336" s="2">
        <v>0</v>
      </c>
      <c r="AB336" s="2"/>
      <c r="AC336" s="2">
        <v>4156</v>
      </c>
      <c r="AD336" s="2">
        <v>4156</v>
      </c>
      <c r="AE336" s="2">
        <v>4154</v>
      </c>
      <c r="AF336" s="2">
        <v>0</v>
      </c>
      <c r="AG336" s="2">
        <v>0</v>
      </c>
      <c r="AH336" s="2"/>
      <c r="AI336" s="2">
        <v>-61681</v>
      </c>
      <c r="AJ336" s="2">
        <v>-59181</v>
      </c>
      <c r="AK336" s="2">
        <v>-15906</v>
      </c>
      <c r="AL336" s="2">
        <v>0</v>
      </c>
      <c r="AM336" s="2">
        <v>-59181</v>
      </c>
    </row>
    <row r="337" spans="1:39">
      <c r="A337" s="349">
        <v>93304</v>
      </c>
      <c r="B337" s="342" t="s">
        <v>1025</v>
      </c>
      <c r="C337" s="358">
        <v>3.8099999999999998E-5</v>
      </c>
      <c r="E337" s="2">
        <v>18478</v>
      </c>
      <c r="F337" s="2">
        <v>22631</v>
      </c>
      <c r="G337" s="2">
        <v>13964</v>
      </c>
      <c r="H337" s="2">
        <v>5670</v>
      </c>
      <c r="I337" s="2">
        <v>0</v>
      </c>
      <c r="J337" s="2"/>
      <c r="K337" s="2">
        <v>7064</v>
      </c>
      <c r="L337" s="2">
        <v>6507</v>
      </c>
      <c r="M337" s="2">
        <v>3622</v>
      </c>
      <c r="N337" s="2">
        <v>0</v>
      </c>
      <c r="O337" s="2">
        <v>0</v>
      </c>
      <c r="P337" s="2"/>
      <c r="Q337" s="2">
        <v>458</v>
      </c>
      <c r="R337" s="2">
        <v>6405</v>
      </c>
      <c r="S337" s="2">
        <v>6626</v>
      </c>
      <c r="T337" s="2">
        <v>5670</v>
      </c>
      <c r="U337" s="2">
        <v>0</v>
      </c>
      <c r="V337" s="2"/>
      <c r="W337" s="2">
        <v>5592</v>
      </c>
      <c r="X337" s="2">
        <v>4540</v>
      </c>
      <c r="Y337" s="2">
        <v>0</v>
      </c>
      <c r="Z337" s="2">
        <v>0</v>
      </c>
      <c r="AA337" s="2">
        <v>0</v>
      </c>
      <c r="AB337" s="2"/>
      <c r="AC337" s="2">
        <v>5364</v>
      </c>
      <c r="AD337" s="2">
        <v>5179</v>
      </c>
      <c r="AE337" s="2">
        <v>3716</v>
      </c>
      <c r="AF337" s="2">
        <v>0</v>
      </c>
      <c r="AG337" s="2">
        <v>0</v>
      </c>
      <c r="AH337" s="2"/>
      <c r="AI337" s="2">
        <v>0</v>
      </c>
      <c r="AJ337" s="2">
        <v>0</v>
      </c>
      <c r="AK337" s="2">
        <v>0</v>
      </c>
      <c r="AL337" s="2">
        <v>0</v>
      </c>
      <c r="AM337" s="2">
        <v>0</v>
      </c>
    </row>
    <row r="338" spans="1:39">
      <c r="A338" s="349">
        <v>93305</v>
      </c>
      <c r="B338" s="342" t="s">
        <v>1026</v>
      </c>
      <c r="C338" s="358">
        <v>3.43E-5</v>
      </c>
      <c r="E338" s="2">
        <v>7225</v>
      </c>
      <c r="F338" s="2">
        <v>11931</v>
      </c>
      <c r="G338" s="2">
        <v>6036</v>
      </c>
      <c r="H338" s="2">
        <v>5105</v>
      </c>
      <c r="I338" s="2">
        <v>0</v>
      </c>
      <c r="J338" s="2"/>
      <c r="K338" s="2">
        <v>6360</v>
      </c>
      <c r="L338" s="2">
        <v>5858</v>
      </c>
      <c r="M338" s="2">
        <v>3260</v>
      </c>
      <c r="N338" s="2">
        <v>0</v>
      </c>
      <c r="O338" s="2">
        <v>0</v>
      </c>
      <c r="P338" s="2"/>
      <c r="Q338" s="2">
        <v>412</v>
      </c>
      <c r="R338" s="2">
        <v>5766</v>
      </c>
      <c r="S338" s="2">
        <v>5965</v>
      </c>
      <c r="T338" s="2">
        <v>5105</v>
      </c>
      <c r="U338" s="2">
        <v>0</v>
      </c>
      <c r="V338" s="2"/>
      <c r="W338" s="2">
        <v>5034</v>
      </c>
      <c r="X338" s="2">
        <v>4087</v>
      </c>
      <c r="Y338" s="2">
        <v>0</v>
      </c>
      <c r="Z338" s="2">
        <v>0</v>
      </c>
      <c r="AA338" s="2">
        <v>0</v>
      </c>
      <c r="AB338" s="2"/>
      <c r="AC338" s="2">
        <v>0</v>
      </c>
      <c r="AD338" s="2">
        <v>0</v>
      </c>
      <c r="AE338" s="2">
        <v>0</v>
      </c>
      <c r="AF338" s="2">
        <v>0</v>
      </c>
      <c r="AG338" s="2">
        <v>0</v>
      </c>
      <c r="AH338" s="2"/>
      <c r="AI338" s="2">
        <v>-4581</v>
      </c>
      <c r="AJ338" s="2">
        <v>-3780</v>
      </c>
      <c r="AK338" s="2">
        <v>-3189</v>
      </c>
      <c r="AL338" s="2">
        <v>0</v>
      </c>
      <c r="AM338" s="2">
        <v>-3780</v>
      </c>
    </row>
    <row r="339" spans="1:39">
      <c r="A339" s="349">
        <v>93309</v>
      </c>
      <c r="B339" s="342" t="s">
        <v>1027</v>
      </c>
      <c r="C339" s="358">
        <v>1.6670000000000001E-4</v>
      </c>
      <c r="E339" s="2">
        <v>70629</v>
      </c>
      <c r="F339" s="2">
        <v>88204</v>
      </c>
      <c r="G339" s="2">
        <v>52623</v>
      </c>
      <c r="H339" s="2">
        <v>24809</v>
      </c>
      <c r="I339" s="2">
        <v>0</v>
      </c>
      <c r="J339" s="2"/>
      <c r="K339" s="2">
        <v>30908</v>
      </c>
      <c r="L339" s="2">
        <v>28471</v>
      </c>
      <c r="M339" s="2">
        <v>15846</v>
      </c>
      <c r="N339" s="2">
        <v>0</v>
      </c>
      <c r="O339" s="2">
        <v>0</v>
      </c>
      <c r="P339" s="2"/>
      <c r="Q339" s="2">
        <v>2004</v>
      </c>
      <c r="R339" s="2">
        <v>28023</v>
      </c>
      <c r="S339" s="2">
        <v>28992</v>
      </c>
      <c r="T339" s="2">
        <v>24809</v>
      </c>
      <c r="U339" s="2">
        <v>0</v>
      </c>
      <c r="V339" s="2"/>
      <c r="W339" s="2">
        <v>24468</v>
      </c>
      <c r="X339" s="2">
        <v>19863</v>
      </c>
      <c r="Y339" s="2">
        <v>0</v>
      </c>
      <c r="Z339" s="2">
        <v>0</v>
      </c>
      <c r="AA339" s="2">
        <v>0</v>
      </c>
      <c r="AB339" s="2"/>
      <c r="AC339" s="2">
        <v>13249</v>
      </c>
      <c r="AD339" s="2">
        <v>11847</v>
      </c>
      <c r="AE339" s="2">
        <v>7785</v>
      </c>
      <c r="AF339" s="2">
        <v>0</v>
      </c>
      <c r="AG339" s="2">
        <v>0</v>
      </c>
      <c r="AH339" s="2"/>
      <c r="AI339" s="2">
        <v>0</v>
      </c>
      <c r="AJ339" s="2">
        <v>0</v>
      </c>
      <c r="AK339" s="2">
        <v>0</v>
      </c>
      <c r="AL339" s="2">
        <v>0</v>
      </c>
      <c r="AM339" s="2">
        <v>0</v>
      </c>
    </row>
    <row r="340" spans="1:39">
      <c r="A340" s="349">
        <v>93311</v>
      </c>
      <c r="B340" s="342" t="s">
        <v>1028</v>
      </c>
      <c r="C340" s="358">
        <v>1.3213000000000001E-3</v>
      </c>
      <c r="E340" s="2">
        <v>463452</v>
      </c>
      <c r="F340" s="2">
        <v>613459</v>
      </c>
      <c r="G340" s="2">
        <v>358255</v>
      </c>
      <c r="H340" s="2">
        <v>196639</v>
      </c>
      <c r="I340" s="2">
        <v>0</v>
      </c>
      <c r="J340" s="2"/>
      <c r="K340" s="2">
        <v>244981</v>
      </c>
      <c r="L340" s="2">
        <v>225670</v>
      </c>
      <c r="M340" s="2">
        <v>125600</v>
      </c>
      <c r="N340" s="2">
        <v>0</v>
      </c>
      <c r="O340" s="2">
        <v>0</v>
      </c>
      <c r="P340" s="2"/>
      <c r="Q340" s="2">
        <v>15881</v>
      </c>
      <c r="R340" s="2">
        <v>222117</v>
      </c>
      <c r="S340" s="2">
        <v>229798</v>
      </c>
      <c r="T340" s="2">
        <v>196639</v>
      </c>
      <c r="U340" s="2">
        <v>0</v>
      </c>
      <c r="V340" s="2"/>
      <c r="W340" s="2">
        <v>193935</v>
      </c>
      <c r="X340" s="2">
        <v>157442</v>
      </c>
      <c r="Y340" s="2">
        <v>0</v>
      </c>
      <c r="Z340" s="2">
        <v>0</v>
      </c>
      <c r="AA340" s="2">
        <v>0</v>
      </c>
      <c r="AB340" s="2"/>
      <c r="AC340" s="2">
        <v>22960</v>
      </c>
      <c r="AD340" s="2">
        <v>22535</v>
      </c>
      <c r="AE340" s="2">
        <v>17162</v>
      </c>
      <c r="AF340" s="2">
        <v>0</v>
      </c>
      <c r="AG340" s="2">
        <v>0</v>
      </c>
      <c r="AH340" s="2"/>
      <c r="AI340" s="2">
        <v>-14305</v>
      </c>
      <c r="AJ340" s="2">
        <v>-14305</v>
      </c>
      <c r="AK340" s="2">
        <v>-14305</v>
      </c>
      <c r="AL340" s="2">
        <v>0</v>
      </c>
      <c r="AM340" s="2">
        <v>-14305</v>
      </c>
    </row>
    <row r="341" spans="1:39">
      <c r="A341" s="349">
        <v>93317</v>
      </c>
      <c r="B341" s="342" t="s">
        <v>1029</v>
      </c>
      <c r="C341" s="358">
        <v>4.5300000000000003E-5</v>
      </c>
      <c r="E341" s="2">
        <v>16354</v>
      </c>
      <c r="F341" s="2">
        <v>21423</v>
      </c>
      <c r="G341" s="2">
        <v>13546</v>
      </c>
      <c r="H341" s="2">
        <v>6742</v>
      </c>
      <c r="I341" s="2">
        <v>0</v>
      </c>
      <c r="J341" s="2"/>
      <c r="K341" s="2">
        <v>8399</v>
      </c>
      <c r="L341" s="2">
        <v>7737</v>
      </c>
      <c r="M341" s="2">
        <v>4306</v>
      </c>
      <c r="N341" s="2">
        <v>0</v>
      </c>
      <c r="O341" s="2">
        <v>0</v>
      </c>
      <c r="P341" s="2"/>
      <c r="Q341" s="2">
        <v>544</v>
      </c>
      <c r="R341" s="2">
        <v>7615</v>
      </c>
      <c r="S341" s="2">
        <v>7878</v>
      </c>
      <c r="T341" s="2">
        <v>6742</v>
      </c>
      <c r="U341" s="2">
        <v>0</v>
      </c>
      <c r="V341" s="2"/>
      <c r="W341" s="2">
        <v>6649</v>
      </c>
      <c r="X341" s="2">
        <v>5398</v>
      </c>
      <c r="Y341" s="2">
        <v>0</v>
      </c>
      <c r="Z341" s="2">
        <v>0</v>
      </c>
      <c r="AA341" s="2">
        <v>0</v>
      </c>
      <c r="AB341" s="2"/>
      <c r="AC341" s="2">
        <v>2485</v>
      </c>
      <c r="AD341" s="2">
        <v>2394</v>
      </c>
      <c r="AE341" s="2">
        <v>2395</v>
      </c>
      <c r="AF341" s="2">
        <v>0</v>
      </c>
      <c r="AG341" s="2">
        <v>0</v>
      </c>
      <c r="AH341" s="2"/>
      <c r="AI341" s="2">
        <v>-1723</v>
      </c>
      <c r="AJ341" s="2">
        <v>-1721</v>
      </c>
      <c r="AK341" s="2">
        <v>-1033</v>
      </c>
      <c r="AL341" s="2">
        <v>0</v>
      </c>
      <c r="AM341" s="2">
        <v>-1721</v>
      </c>
    </row>
    <row r="342" spans="1:39">
      <c r="A342" s="349">
        <v>93321</v>
      </c>
      <c r="B342" s="342" t="s">
        <v>1030</v>
      </c>
      <c r="C342" s="358">
        <v>6.6553999999999997E-3</v>
      </c>
      <c r="E342" s="2">
        <v>2045612</v>
      </c>
      <c r="F342" s="2">
        <v>2856473</v>
      </c>
      <c r="G342" s="2">
        <v>1665747</v>
      </c>
      <c r="H342" s="2">
        <v>990470</v>
      </c>
      <c r="I342" s="2">
        <v>0</v>
      </c>
      <c r="J342" s="2"/>
      <c r="K342" s="2">
        <v>1233971</v>
      </c>
      <c r="L342" s="2">
        <v>1136702</v>
      </c>
      <c r="M342" s="2">
        <v>632649</v>
      </c>
      <c r="N342" s="2">
        <v>0</v>
      </c>
      <c r="O342" s="2">
        <v>0</v>
      </c>
      <c r="P342" s="2"/>
      <c r="Q342" s="2">
        <v>79991</v>
      </c>
      <c r="R342" s="2">
        <v>1118806</v>
      </c>
      <c r="S342" s="2">
        <v>1157494</v>
      </c>
      <c r="T342" s="2">
        <v>990470</v>
      </c>
      <c r="U342" s="2">
        <v>0</v>
      </c>
      <c r="V342" s="2"/>
      <c r="W342" s="2">
        <v>976853</v>
      </c>
      <c r="X342" s="2">
        <v>793037</v>
      </c>
      <c r="Y342" s="2">
        <v>0</v>
      </c>
      <c r="Z342" s="2">
        <v>0</v>
      </c>
      <c r="AA342" s="2">
        <v>0</v>
      </c>
      <c r="AB342" s="2"/>
      <c r="AC342" s="2">
        <v>0</v>
      </c>
      <c r="AD342" s="2">
        <v>0</v>
      </c>
      <c r="AE342" s="2">
        <v>0</v>
      </c>
      <c r="AF342" s="2">
        <v>0</v>
      </c>
      <c r="AG342" s="2">
        <v>0</v>
      </c>
      <c r="AH342" s="2"/>
      <c r="AI342" s="2">
        <v>-245203</v>
      </c>
      <c r="AJ342" s="2">
        <v>-192072</v>
      </c>
      <c r="AK342" s="2">
        <v>-124396</v>
      </c>
      <c r="AL342" s="2">
        <v>0</v>
      </c>
      <c r="AM342" s="2">
        <v>-192072</v>
      </c>
    </row>
    <row r="343" spans="1:39">
      <c r="A343" s="349">
        <v>93323</v>
      </c>
      <c r="B343" s="342" t="s">
        <v>1031</v>
      </c>
      <c r="C343" s="358">
        <v>3.2199999999999997E-5</v>
      </c>
      <c r="E343" s="2">
        <v>17802</v>
      </c>
      <c r="F343" s="2">
        <v>19735</v>
      </c>
      <c r="G343" s="2">
        <v>14113</v>
      </c>
      <c r="H343" s="2">
        <v>4792</v>
      </c>
      <c r="I343" s="2">
        <v>0</v>
      </c>
      <c r="J343" s="2"/>
      <c r="K343" s="2">
        <v>5970</v>
      </c>
      <c r="L343" s="2">
        <v>5500</v>
      </c>
      <c r="M343" s="2">
        <v>3061</v>
      </c>
      <c r="N343" s="2">
        <v>0</v>
      </c>
      <c r="O343" s="2">
        <v>0</v>
      </c>
      <c r="P343" s="2"/>
      <c r="Q343" s="2">
        <v>387</v>
      </c>
      <c r="R343" s="2">
        <v>5413</v>
      </c>
      <c r="S343" s="2">
        <v>5600</v>
      </c>
      <c r="T343" s="2">
        <v>4792</v>
      </c>
      <c r="U343" s="2">
        <v>0</v>
      </c>
      <c r="V343" s="2"/>
      <c r="W343" s="2">
        <v>4726</v>
      </c>
      <c r="X343" s="2">
        <v>3837</v>
      </c>
      <c r="Y343" s="2">
        <v>0</v>
      </c>
      <c r="Z343" s="2">
        <v>0</v>
      </c>
      <c r="AA343" s="2">
        <v>0</v>
      </c>
      <c r="AB343" s="2"/>
      <c r="AC343" s="2">
        <v>7352</v>
      </c>
      <c r="AD343" s="2">
        <v>5617</v>
      </c>
      <c r="AE343" s="2">
        <v>5617</v>
      </c>
      <c r="AF343" s="2">
        <v>0</v>
      </c>
      <c r="AG343" s="2">
        <v>0</v>
      </c>
      <c r="AH343" s="2"/>
      <c r="AI343" s="2">
        <v>-633</v>
      </c>
      <c r="AJ343" s="2">
        <v>-632</v>
      </c>
      <c r="AK343" s="2">
        <v>-165</v>
      </c>
      <c r="AL343" s="2">
        <v>0</v>
      </c>
      <c r="AM343" s="2">
        <v>-632</v>
      </c>
    </row>
    <row r="344" spans="1:39">
      <c r="A344" s="349">
        <v>93331</v>
      </c>
      <c r="B344" s="342" t="s">
        <v>1032</v>
      </c>
      <c r="C344" s="358">
        <v>1.3310000000000001E-4</v>
      </c>
      <c r="E344" s="2">
        <v>52038</v>
      </c>
      <c r="F344" s="2">
        <v>68591</v>
      </c>
      <c r="G344" s="2">
        <v>42097</v>
      </c>
      <c r="H344" s="2">
        <v>19808</v>
      </c>
      <c r="I344" s="2">
        <v>0</v>
      </c>
      <c r="J344" s="2"/>
      <c r="K344" s="2">
        <v>24678</v>
      </c>
      <c r="L344" s="2">
        <v>22733</v>
      </c>
      <c r="M344" s="2">
        <v>12652</v>
      </c>
      <c r="N344" s="2">
        <v>0</v>
      </c>
      <c r="O344" s="2">
        <v>0</v>
      </c>
      <c r="P344" s="2"/>
      <c r="Q344" s="2">
        <v>1600</v>
      </c>
      <c r="R344" s="2">
        <v>22375</v>
      </c>
      <c r="S344" s="2">
        <v>23148</v>
      </c>
      <c r="T344" s="2">
        <v>19808</v>
      </c>
      <c r="U344" s="2">
        <v>0</v>
      </c>
      <c r="V344" s="2"/>
      <c r="W344" s="2">
        <v>19536</v>
      </c>
      <c r="X344" s="2">
        <v>15860</v>
      </c>
      <c r="Y344" s="2">
        <v>0</v>
      </c>
      <c r="Z344" s="2">
        <v>0</v>
      </c>
      <c r="AA344" s="2">
        <v>0</v>
      </c>
      <c r="AB344" s="2"/>
      <c r="AC344" s="2">
        <v>9246</v>
      </c>
      <c r="AD344" s="2">
        <v>9247</v>
      </c>
      <c r="AE344" s="2">
        <v>7923</v>
      </c>
      <c r="AF344" s="2">
        <v>0</v>
      </c>
      <c r="AG344" s="2">
        <v>0</v>
      </c>
      <c r="AH344" s="2"/>
      <c r="AI344" s="2">
        <v>-3022</v>
      </c>
      <c r="AJ344" s="2">
        <v>-1624</v>
      </c>
      <c r="AK344" s="2">
        <v>-1626</v>
      </c>
      <c r="AL344" s="2">
        <v>0</v>
      </c>
      <c r="AM344" s="2">
        <v>-1624</v>
      </c>
    </row>
    <row r="345" spans="1:39">
      <c r="A345" s="349">
        <v>93333</v>
      </c>
      <c r="B345" s="342" t="s">
        <v>3667</v>
      </c>
      <c r="C345" s="358">
        <v>1.7919999999999999E-4</v>
      </c>
      <c r="E345" s="2">
        <v>105653</v>
      </c>
      <c r="F345" s="2">
        <v>107841</v>
      </c>
      <c r="G345" s="2">
        <v>71863</v>
      </c>
      <c r="H345" s="2">
        <v>26669</v>
      </c>
      <c r="I345" s="2">
        <v>0</v>
      </c>
      <c r="J345" s="2"/>
      <c r="K345" s="2">
        <v>33225</v>
      </c>
      <c r="L345" s="2">
        <v>30606</v>
      </c>
      <c r="M345" s="2">
        <v>17034</v>
      </c>
      <c r="N345" s="2">
        <v>0</v>
      </c>
      <c r="O345" s="2">
        <v>0</v>
      </c>
      <c r="P345" s="2"/>
      <c r="Q345" s="2">
        <v>2154</v>
      </c>
      <c r="R345" s="2">
        <v>30124</v>
      </c>
      <c r="S345" s="2">
        <v>31166</v>
      </c>
      <c r="T345" s="2">
        <v>26669</v>
      </c>
      <c r="U345" s="2">
        <v>0</v>
      </c>
      <c r="V345" s="2"/>
      <c r="W345" s="2">
        <v>26302</v>
      </c>
      <c r="X345" s="2">
        <v>21353</v>
      </c>
      <c r="Y345" s="2">
        <v>0</v>
      </c>
      <c r="Z345" s="2">
        <v>0</v>
      </c>
      <c r="AA345" s="2">
        <v>0</v>
      </c>
      <c r="AB345" s="2"/>
      <c r="AC345" s="2">
        <v>43972</v>
      </c>
      <c r="AD345" s="2">
        <v>25758</v>
      </c>
      <c r="AE345" s="2">
        <v>23663</v>
      </c>
      <c r="AF345" s="2">
        <v>0</v>
      </c>
      <c r="AG345" s="2">
        <v>0</v>
      </c>
      <c r="AH345" s="2"/>
      <c r="AI345" s="2">
        <v>0</v>
      </c>
      <c r="AJ345" s="2">
        <v>0</v>
      </c>
      <c r="AK345" s="2">
        <v>0</v>
      </c>
      <c r="AL345" s="2">
        <v>0</v>
      </c>
      <c r="AM345" s="2">
        <v>0</v>
      </c>
    </row>
    <row r="346" spans="1:39">
      <c r="A346" s="349">
        <v>93341</v>
      </c>
      <c r="B346" s="342" t="s">
        <v>1034</v>
      </c>
      <c r="C346" s="358">
        <v>2.6100000000000001E-5</v>
      </c>
      <c r="E346" s="2">
        <v>9126</v>
      </c>
      <c r="F346" s="2">
        <v>12311</v>
      </c>
      <c r="G346" s="2">
        <v>6486</v>
      </c>
      <c r="H346" s="2">
        <v>3884</v>
      </c>
      <c r="I346" s="2">
        <v>0</v>
      </c>
      <c r="J346" s="2"/>
      <c r="K346" s="2">
        <v>4839</v>
      </c>
      <c r="L346" s="2">
        <v>4458</v>
      </c>
      <c r="M346" s="2">
        <v>2481</v>
      </c>
      <c r="N346" s="2">
        <v>0</v>
      </c>
      <c r="O346" s="2">
        <v>0</v>
      </c>
      <c r="P346" s="2"/>
      <c r="Q346" s="2">
        <v>314</v>
      </c>
      <c r="R346" s="2">
        <v>4388</v>
      </c>
      <c r="S346" s="2">
        <v>4539</v>
      </c>
      <c r="T346" s="2">
        <v>3884</v>
      </c>
      <c r="U346" s="2">
        <v>0</v>
      </c>
      <c r="V346" s="2"/>
      <c r="W346" s="2">
        <v>3831</v>
      </c>
      <c r="X346" s="2">
        <v>3110</v>
      </c>
      <c r="Y346" s="2">
        <v>0</v>
      </c>
      <c r="Z346" s="2">
        <v>0</v>
      </c>
      <c r="AA346" s="2">
        <v>0</v>
      </c>
      <c r="AB346" s="2"/>
      <c r="AC346" s="2">
        <v>1393</v>
      </c>
      <c r="AD346" s="2">
        <v>1391</v>
      </c>
      <c r="AE346" s="2">
        <v>502</v>
      </c>
      <c r="AF346" s="2">
        <v>0</v>
      </c>
      <c r="AG346" s="2">
        <v>0</v>
      </c>
      <c r="AH346" s="2"/>
      <c r="AI346" s="2">
        <v>-1251</v>
      </c>
      <c r="AJ346" s="2">
        <v>-1036</v>
      </c>
      <c r="AK346" s="2">
        <v>-1036</v>
      </c>
      <c r="AL346" s="2">
        <v>0</v>
      </c>
      <c r="AM346" s="2">
        <v>-1036</v>
      </c>
    </row>
    <row r="347" spans="1:39">
      <c r="A347" s="349">
        <v>93351</v>
      </c>
      <c r="B347" s="342" t="s">
        <v>1035</v>
      </c>
      <c r="C347" s="358">
        <v>3.1000000000000001E-5</v>
      </c>
      <c r="E347" s="2">
        <v>12220</v>
      </c>
      <c r="F347" s="2">
        <v>12589</v>
      </c>
      <c r="G347" s="2">
        <v>9409</v>
      </c>
      <c r="H347" s="2">
        <v>4613</v>
      </c>
      <c r="I347" s="2">
        <v>0</v>
      </c>
      <c r="J347" s="2"/>
      <c r="K347" s="2">
        <v>5748</v>
      </c>
      <c r="L347" s="2">
        <v>5295</v>
      </c>
      <c r="M347" s="2">
        <v>2947</v>
      </c>
      <c r="N347" s="2">
        <v>0</v>
      </c>
      <c r="O347" s="2">
        <v>0</v>
      </c>
      <c r="P347" s="2"/>
      <c r="Q347" s="2">
        <v>373</v>
      </c>
      <c r="R347" s="2">
        <v>5211</v>
      </c>
      <c r="S347" s="2">
        <v>5391</v>
      </c>
      <c r="T347" s="2">
        <v>4613</v>
      </c>
      <c r="U347" s="2">
        <v>0</v>
      </c>
      <c r="V347" s="2"/>
      <c r="W347" s="2">
        <v>4550</v>
      </c>
      <c r="X347" s="2">
        <v>3694</v>
      </c>
      <c r="Y347" s="2">
        <v>0</v>
      </c>
      <c r="Z347" s="2">
        <v>0</v>
      </c>
      <c r="AA347" s="2">
        <v>0</v>
      </c>
      <c r="AB347" s="2"/>
      <c r="AC347" s="2">
        <v>4769</v>
      </c>
      <c r="AD347" s="2">
        <v>1609</v>
      </c>
      <c r="AE347" s="2">
        <v>1609</v>
      </c>
      <c r="AF347" s="2">
        <v>0</v>
      </c>
      <c r="AG347" s="2">
        <v>0</v>
      </c>
      <c r="AH347" s="2"/>
      <c r="AI347" s="2">
        <v>-3220</v>
      </c>
      <c r="AJ347" s="2">
        <v>-3220</v>
      </c>
      <c r="AK347" s="2">
        <v>-538</v>
      </c>
      <c r="AL347" s="2">
        <v>0</v>
      </c>
      <c r="AM347" s="2">
        <v>-3220</v>
      </c>
    </row>
    <row r="348" spans="1:39">
      <c r="A348" s="349">
        <v>93401</v>
      </c>
      <c r="B348" s="342" t="s">
        <v>1036</v>
      </c>
      <c r="C348" s="358">
        <v>1.37587E-2</v>
      </c>
      <c r="E348" s="2">
        <v>4771207</v>
      </c>
      <c r="F348" s="2">
        <v>6330665</v>
      </c>
      <c r="G348" s="2">
        <v>3697682</v>
      </c>
      <c r="H348" s="2">
        <v>2047597</v>
      </c>
      <c r="I348" s="2">
        <v>0</v>
      </c>
      <c r="J348" s="2"/>
      <c r="K348" s="2">
        <v>2550987</v>
      </c>
      <c r="L348" s="2">
        <v>2349903</v>
      </c>
      <c r="M348" s="2">
        <v>1307875</v>
      </c>
      <c r="N348" s="2">
        <v>0</v>
      </c>
      <c r="O348" s="2">
        <v>0</v>
      </c>
      <c r="P348" s="2"/>
      <c r="Q348" s="2">
        <v>165366</v>
      </c>
      <c r="R348" s="2">
        <v>2312906</v>
      </c>
      <c r="S348" s="2">
        <v>2392886</v>
      </c>
      <c r="T348" s="2">
        <v>2047597</v>
      </c>
      <c r="U348" s="2">
        <v>0</v>
      </c>
      <c r="V348" s="2"/>
      <c r="W348" s="2">
        <v>2019447</v>
      </c>
      <c r="X348" s="2">
        <v>1639445</v>
      </c>
      <c r="Y348" s="2">
        <v>0</v>
      </c>
      <c r="Z348" s="2">
        <v>0</v>
      </c>
      <c r="AA348" s="2">
        <v>0</v>
      </c>
      <c r="AB348" s="2"/>
      <c r="AC348" s="2">
        <v>103204</v>
      </c>
      <c r="AD348" s="2">
        <v>96208</v>
      </c>
      <c r="AE348" s="2">
        <v>64717</v>
      </c>
      <c r="AF348" s="2">
        <v>0</v>
      </c>
      <c r="AG348" s="2">
        <v>0</v>
      </c>
      <c r="AH348" s="2"/>
      <c r="AI348" s="2">
        <v>-67797</v>
      </c>
      <c r="AJ348" s="2">
        <v>-67797</v>
      </c>
      <c r="AK348" s="2">
        <v>-67796</v>
      </c>
      <c r="AL348" s="2">
        <v>0</v>
      </c>
      <c r="AM348" s="2">
        <v>-67797</v>
      </c>
    </row>
    <row r="349" spans="1:39">
      <c r="A349" s="349">
        <v>93406</v>
      </c>
      <c r="B349" s="342" t="s">
        <v>1038</v>
      </c>
      <c r="C349" s="358">
        <v>4.996E-4</v>
      </c>
      <c r="E349" s="2">
        <v>149768</v>
      </c>
      <c r="F349" s="2">
        <v>218686</v>
      </c>
      <c r="G349" s="2">
        <v>147656</v>
      </c>
      <c r="H349" s="2">
        <v>74351</v>
      </c>
      <c r="I349" s="2">
        <v>0</v>
      </c>
      <c r="J349" s="2"/>
      <c r="K349" s="2">
        <v>92630</v>
      </c>
      <c r="L349" s="2">
        <v>85329</v>
      </c>
      <c r="M349" s="2">
        <v>47491</v>
      </c>
      <c r="N349" s="2">
        <v>0</v>
      </c>
      <c r="O349" s="2">
        <v>0</v>
      </c>
      <c r="P349" s="2"/>
      <c r="Q349" s="2">
        <v>6005</v>
      </c>
      <c r="R349" s="2">
        <v>83985</v>
      </c>
      <c r="S349" s="2">
        <v>86889</v>
      </c>
      <c r="T349" s="2">
        <v>74351</v>
      </c>
      <c r="U349" s="2">
        <v>0</v>
      </c>
      <c r="V349" s="2"/>
      <c r="W349" s="2">
        <v>73329</v>
      </c>
      <c r="X349" s="2">
        <v>59531</v>
      </c>
      <c r="Y349" s="2">
        <v>0</v>
      </c>
      <c r="Z349" s="2">
        <v>0</v>
      </c>
      <c r="AA349" s="2">
        <v>0</v>
      </c>
      <c r="AB349" s="2"/>
      <c r="AC349" s="2">
        <v>13273</v>
      </c>
      <c r="AD349" s="2">
        <v>13273</v>
      </c>
      <c r="AE349" s="2">
        <v>13276</v>
      </c>
      <c r="AF349" s="2">
        <v>0</v>
      </c>
      <c r="AG349" s="2">
        <v>0</v>
      </c>
      <c r="AH349" s="2"/>
      <c r="AI349" s="2">
        <v>-35469</v>
      </c>
      <c r="AJ349" s="2">
        <v>-23432</v>
      </c>
      <c r="AK349" s="2">
        <v>0</v>
      </c>
      <c r="AL349" s="2">
        <v>0</v>
      </c>
      <c r="AM349" s="2">
        <v>-23432</v>
      </c>
    </row>
    <row r="350" spans="1:39">
      <c r="A350" s="349">
        <v>93411</v>
      </c>
      <c r="B350" s="342" t="s">
        <v>1040</v>
      </c>
      <c r="C350" s="358">
        <v>1.78316E-2</v>
      </c>
      <c r="E350" s="2">
        <v>6370729</v>
      </c>
      <c r="F350" s="2">
        <v>8338215</v>
      </c>
      <c r="G350" s="2">
        <v>4828712</v>
      </c>
      <c r="H350" s="2">
        <v>2653734</v>
      </c>
      <c r="I350" s="2">
        <v>0</v>
      </c>
      <c r="J350" s="2"/>
      <c r="K350" s="2">
        <v>3306139</v>
      </c>
      <c r="L350" s="2">
        <v>3045530</v>
      </c>
      <c r="M350" s="2">
        <v>1695036</v>
      </c>
      <c r="N350" s="2">
        <v>0</v>
      </c>
      <c r="O350" s="2">
        <v>0</v>
      </c>
      <c r="P350" s="2"/>
      <c r="Q350" s="2">
        <v>214318</v>
      </c>
      <c r="R350" s="2">
        <v>2997581</v>
      </c>
      <c r="S350" s="2">
        <v>3101236</v>
      </c>
      <c r="T350" s="2">
        <v>2653734</v>
      </c>
      <c r="U350" s="2">
        <v>0</v>
      </c>
      <c r="V350" s="2"/>
      <c r="W350" s="2">
        <v>2617251</v>
      </c>
      <c r="X350" s="2">
        <v>2124760</v>
      </c>
      <c r="Y350" s="2">
        <v>0</v>
      </c>
      <c r="Z350" s="2">
        <v>0</v>
      </c>
      <c r="AA350" s="2">
        <v>0</v>
      </c>
      <c r="AB350" s="2"/>
      <c r="AC350" s="2">
        <v>298641</v>
      </c>
      <c r="AD350" s="2">
        <v>235964</v>
      </c>
      <c r="AE350" s="2">
        <v>98058</v>
      </c>
      <c r="AF350" s="2">
        <v>0</v>
      </c>
      <c r="AG350" s="2">
        <v>0</v>
      </c>
      <c r="AH350" s="2"/>
      <c r="AI350" s="2">
        <v>-65620</v>
      </c>
      <c r="AJ350" s="2">
        <v>-65620</v>
      </c>
      <c r="AK350" s="2">
        <v>-65618</v>
      </c>
      <c r="AL350" s="2">
        <v>0</v>
      </c>
      <c r="AM350" s="2">
        <v>-65620</v>
      </c>
    </row>
    <row r="351" spans="1:39">
      <c r="A351" s="349">
        <v>93413</v>
      </c>
      <c r="B351" s="342" t="s">
        <v>1041</v>
      </c>
      <c r="C351" s="358">
        <v>6.7969999999999999E-4</v>
      </c>
      <c r="E351" s="2">
        <v>227519</v>
      </c>
      <c r="F351" s="2">
        <v>305040</v>
      </c>
      <c r="G351" s="2">
        <v>180116</v>
      </c>
      <c r="H351" s="2">
        <v>101154</v>
      </c>
      <c r="I351" s="2">
        <v>0</v>
      </c>
      <c r="J351" s="2"/>
      <c r="K351" s="2">
        <v>126022</v>
      </c>
      <c r="L351" s="2">
        <v>116089</v>
      </c>
      <c r="M351" s="2">
        <v>64611</v>
      </c>
      <c r="N351" s="2">
        <v>0</v>
      </c>
      <c r="O351" s="2">
        <v>0</v>
      </c>
      <c r="P351" s="2"/>
      <c r="Q351" s="2">
        <v>8169</v>
      </c>
      <c r="R351" s="2">
        <v>114261</v>
      </c>
      <c r="S351" s="2">
        <v>118212</v>
      </c>
      <c r="T351" s="2">
        <v>101154</v>
      </c>
      <c r="U351" s="2">
        <v>0</v>
      </c>
      <c r="V351" s="2"/>
      <c r="W351" s="2">
        <v>99764</v>
      </c>
      <c r="X351" s="2">
        <v>80991</v>
      </c>
      <c r="Y351" s="2">
        <v>0</v>
      </c>
      <c r="Z351" s="2">
        <v>0</v>
      </c>
      <c r="AA351" s="2">
        <v>0</v>
      </c>
      <c r="AB351" s="2"/>
      <c r="AC351" s="2">
        <v>396</v>
      </c>
      <c r="AD351" s="2">
        <v>396</v>
      </c>
      <c r="AE351" s="2">
        <v>394</v>
      </c>
      <c r="AF351" s="2">
        <v>0</v>
      </c>
      <c r="AG351" s="2">
        <v>0</v>
      </c>
      <c r="AH351" s="2"/>
      <c r="AI351" s="2">
        <v>-6832</v>
      </c>
      <c r="AJ351" s="2">
        <v>-6697</v>
      </c>
      <c r="AK351" s="2">
        <v>-3101</v>
      </c>
      <c r="AL351" s="2">
        <v>0</v>
      </c>
      <c r="AM351" s="2">
        <v>-6697</v>
      </c>
    </row>
    <row r="352" spans="1:39">
      <c r="A352" s="349">
        <v>93417</v>
      </c>
      <c r="B352" s="342" t="s">
        <v>1042</v>
      </c>
      <c r="C352" s="358">
        <v>2.876E-4</v>
      </c>
      <c r="E352" s="2">
        <v>105481</v>
      </c>
      <c r="F352" s="2">
        <v>146491</v>
      </c>
      <c r="G352" s="2">
        <v>89743</v>
      </c>
      <c r="H352" s="2">
        <v>42801</v>
      </c>
      <c r="I352" s="2">
        <v>0</v>
      </c>
      <c r="J352" s="2"/>
      <c r="K352" s="2">
        <v>53324</v>
      </c>
      <c r="L352" s="2">
        <v>49120</v>
      </c>
      <c r="M352" s="2">
        <v>27339</v>
      </c>
      <c r="N352" s="2">
        <v>0</v>
      </c>
      <c r="O352" s="2">
        <v>0</v>
      </c>
      <c r="P352" s="2"/>
      <c r="Q352" s="2">
        <v>3457</v>
      </c>
      <c r="R352" s="2">
        <v>48347</v>
      </c>
      <c r="S352" s="2">
        <v>50019</v>
      </c>
      <c r="T352" s="2">
        <v>42801</v>
      </c>
      <c r="U352" s="2">
        <v>0</v>
      </c>
      <c r="V352" s="2"/>
      <c r="W352" s="2">
        <v>42213</v>
      </c>
      <c r="X352" s="2">
        <v>34270</v>
      </c>
      <c r="Y352" s="2">
        <v>0</v>
      </c>
      <c r="Z352" s="2">
        <v>0</v>
      </c>
      <c r="AA352" s="2">
        <v>0</v>
      </c>
      <c r="AB352" s="2"/>
      <c r="AC352" s="2">
        <v>15521</v>
      </c>
      <c r="AD352" s="2">
        <v>15519</v>
      </c>
      <c r="AE352" s="2">
        <v>13150</v>
      </c>
      <c r="AF352" s="2">
        <v>0</v>
      </c>
      <c r="AG352" s="2">
        <v>0</v>
      </c>
      <c r="AH352" s="2"/>
      <c r="AI352" s="2">
        <v>-9034</v>
      </c>
      <c r="AJ352" s="2">
        <v>-765</v>
      </c>
      <c r="AK352" s="2">
        <v>-765</v>
      </c>
      <c r="AL352" s="2">
        <v>0</v>
      </c>
      <c r="AM352" s="2">
        <v>-765</v>
      </c>
    </row>
    <row r="353" spans="1:39">
      <c r="A353" s="349">
        <v>93421</v>
      </c>
      <c r="B353" s="342" t="s">
        <v>1043</v>
      </c>
      <c r="C353" s="358">
        <v>2.0282999999999998E-3</v>
      </c>
      <c r="E353" s="2">
        <v>596888</v>
      </c>
      <c r="F353" s="2">
        <v>850546</v>
      </c>
      <c r="G353" s="2">
        <v>484149</v>
      </c>
      <c r="H353" s="2">
        <v>301856</v>
      </c>
      <c r="I353" s="2">
        <v>0</v>
      </c>
      <c r="J353" s="2"/>
      <c r="K353" s="2">
        <v>376065</v>
      </c>
      <c r="L353" s="2">
        <v>346421</v>
      </c>
      <c r="M353" s="2">
        <v>192806</v>
      </c>
      <c r="N353" s="2">
        <v>0</v>
      </c>
      <c r="O353" s="2">
        <v>0</v>
      </c>
      <c r="P353" s="2"/>
      <c r="Q353" s="2">
        <v>24378</v>
      </c>
      <c r="R353" s="2">
        <v>340967</v>
      </c>
      <c r="S353" s="2">
        <v>352758</v>
      </c>
      <c r="T353" s="2">
        <v>301856</v>
      </c>
      <c r="U353" s="2">
        <v>0</v>
      </c>
      <c r="V353" s="2"/>
      <c r="W353" s="2">
        <v>297706</v>
      </c>
      <c r="X353" s="2">
        <v>241686</v>
      </c>
      <c r="Y353" s="2">
        <v>0</v>
      </c>
      <c r="Z353" s="2">
        <v>0</v>
      </c>
      <c r="AA353" s="2">
        <v>0</v>
      </c>
      <c r="AB353" s="2"/>
      <c r="AC353" s="2">
        <v>0</v>
      </c>
      <c r="AD353" s="2">
        <v>0</v>
      </c>
      <c r="AE353" s="2">
        <v>0</v>
      </c>
      <c r="AF353" s="2">
        <v>0</v>
      </c>
      <c r="AG353" s="2">
        <v>0</v>
      </c>
      <c r="AH353" s="2"/>
      <c r="AI353" s="2">
        <v>-101261</v>
      </c>
      <c r="AJ353" s="2">
        <v>-78528</v>
      </c>
      <c r="AK353" s="2">
        <v>-61415</v>
      </c>
      <c r="AL353" s="2">
        <v>0</v>
      </c>
      <c r="AM353" s="2">
        <v>-78528</v>
      </c>
    </row>
    <row r="354" spans="1:39">
      <c r="A354" s="349">
        <v>93431</v>
      </c>
      <c r="B354" s="342" t="s">
        <v>1044</v>
      </c>
      <c r="C354" s="358">
        <v>1.349E-4</v>
      </c>
      <c r="E354" s="2">
        <v>50211</v>
      </c>
      <c r="F354" s="2">
        <v>62628</v>
      </c>
      <c r="G354" s="2">
        <v>34913</v>
      </c>
      <c r="H354" s="2">
        <v>20076</v>
      </c>
      <c r="I354" s="2">
        <v>0</v>
      </c>
      <c r="J354" s="2"/>
      <c r="K354" s="2">
        <v>25012</v>
      </c>
      <c r="L354" s="2">
        <v>23040</v>
      </c>
      <c r="M354" s="2">
        <v>12823</v>
      </c>
      <c r="N354" s="2">
        <v>0</v>
      </c>
      <c r="O354" s="2">
        <v>0</v>
      </c>
      <c r="P354" s="2"/>
      <c r="Q354" s="2">
        <v>1621</v>
      </c>
      <c r="R354" s="2">
        <v>22677</v>
      </c>
      <c r="S354" s="2">
        <v>23462</v>
      </c>
      <c r="T354" s="2">
        <v>20076</v>
      </c>
      <c r="U354" s="2">
        <v>0</v>
      </c>
      <c r="V354" s="2"/>
      <c r="W354" s="2">
        <v>19800</v>
      </c>
      <c r="X354" s="2">
        <v>16074</v>
      </c>
      <c r="Y354" s="2">
        <v>0</v>
      </c>
      <c r="Z354" s="2">
        <v>0</v>
      </c>
      <c r="AA354" s="2">
        <v>0</v>
      </c>
      <c r="AB354" s="2"/>
      <c r="AC354" s="2">
        <v>5147</v>
      </c>
      <c r="AD354" s="2">
        <v>2206</v>
      </c>
      <c r="AE354" s="2">
        <v>0</v>
      </c>
      <c r="AF354" s="2">
        <v>0</v>
      </c>
      <c r="AG354" s="2">
        <v>0</v>
      </c>
      <c r="AH354" s="2"/>
      <c r="AI354" s="2">
        <v>-1369</v>
      </c>
      <c r="AJ354" s="2">
        <v>-1369</v>
      </c>
      <c r="AK354" s="2">
        <v>-1372</v>
      </c>
      <c r="AL354" s="2">
        <v>0</v>
      </c>
      <c r="AM354" s="2">
        <v>-1369</v>
      </c>
    </row>
    <row r="355" spans="1:39">
      <c r="A355" s="349">
        <v>93441</v>
      </c>
      <c r="B355" s="342" t="s">
        <v>1045</v>
      </c>
      <c r="C355" s="358">
        <v>1.6789999999999999E-4</v>
      </c>
      <c r="E355" s="2">
        <v>60592</v>
      </c>
      <c r="F355" s="2">
        <v>77539</v>
      </c>
      <c r="G355" s="2">
        <v>44312</v>
      </c>
      <c r="H355" s="2">
        <v>24987</v>
      </c>
      <c r="I355" s="2">
        <v>0</v>
      </c>
      <c r="J355" s="2"/>
      <c r="K355" s="2">
        <v>31130</v>
      </c>
      <c r="L355" s="2">
        <v>28676</v>
      </c>
      <c r="M355" s="2">
        <v>15960</v>
      </c>
      <c r="N355" s="2">
        <v>0</v>
      </c>
      <c r="O355" s="2">
        <v>0</v>
      </c>
      <c r="P355" s="2"/>
      <c r="Q355" s="2">
        <v>2018</v>
      </c>
      <c r="R355" s="2">
        <v>28225</v>
      </c>
      <c r="S355" s="2">
        <v>29201</v>
      </c>
      <c r="T355" s="2">
        <v>24987</v>
      </c>
      <c r="U355" s="2">
        <v>0</v>
      </c>
      <c r="V355" s="2"/>
      <c r="W355" s="2">
        <v>24644</v>
      </c>
      <c r="X355" s="2">
        <v>20006</v>
      </c>
      <c r="Y355" s="2">
        <v>0</v>
      </c>
      <c r="Z355" s="2">
        <v>0</v>
      </c>
      <c r="AA355" s="2">
        <v>0</v>
      </c>
      <c r="AB355" s="2"/>
      <c r="AC355" s="2">
        <v>3821</v>
      </c>
      <c r="AD355" s="2">
        <v>1653</v>
      </c>
      <c r="AE355" s="2">
        <v>173</v>
      </c>
      <c r="AF355" s="2">
        <v>0</v>
      </c>
      <c r="AG355" s="2">
        <v>0</v>
      </c>
      <c r="AH355" s="2"/>
      <c r="AI355" s="2">
        <v>-1021</v>
      </c>
      <c r="AJ355" s="2">
        <v>-1021</v>
      </c>
      <c r="AK355" s="2">
        <v>-1022</v>
      </c>
      <c r="AL355" s="2">
        <v>0</v>
      </c>
      <c r="AM355" s="2">
        <v>-1021</v>
      </c>
    </row>
    <row r="356" spans="1:39">
      <c r="A356" s="349">
        <v>93442</v>
      </c>
      <c r="B356" s="342" t="s">
        <v>1046</v>
      </c>
      <c r="C356" s="358">
        <v>1.507E-4</v>
      </c>
      <c r="E356" s="2">
        <v>43116</v>
      </c>
      <c r="F356" s="2">
        <v>60062</v>
      </c>
      <c r="G356" s="2">
        <v>33089</v>
      </c>
      <c r="H356" s="2">
        <v>22427</v>
      </c>
      <c r="I356" s="2">
        <v>0</v>
      </c>
      <c r="J356" s="2"/>
      <c r="K356" s="2">
        <v>27941</v>
      </c>
      <c r="L356" s="2">
        <v>25739</v>
      </c>
      <c r="M356" s="2">
        <v>14325</v>
      </c>
      <c r="N356" s="2">
        <v>0</v>
      </c>
      <c r="O356" s="2">
        <v>0</v>
      </c>
      <c r="P356" s="2"/>
      <c r="Q356" s="2">
        <v>1811</v>
      </c>
      <c r="R356" s="2">
        <v>25333</v>
      </c>
      <c r="S356" s="2">
        <v>26209</v>
      </c>
      <c r="T356" s="2">
        <v>22427</v>
      </c>
      <c r="U356" s="2">
        <v>0</v>
      </c>
      <c r="V356" s="2"/>
      <c r="W356" s="2">
        <v>22119</v>
      </c>
      <c r="X356" s="2">
        <v>17957</v>
      </c>
      <c r="Y356" s="2">
        <v>0</v>
      </c>
      <c r="Z356" s="2">
        <v>0</v>
      </c>
      <c r="AA356" s="2">
        <v>0</v>
      </c>
      <c r="AB356" s="2"/>
      <c r="AC356" s="2">
        <v>214</v>
      </c>
      <c r="AD356" s="2">
        <v>0</v>
      </c>
      <c r="AE356" s="2">
        <v>0</v>
      </c>
      <c r="AF356" s="2">
        <v>0</v>
      </c>
      <c r="AG356" s="2">
        <v>0</v>
      </c>
      <c r="AH356" s="2"/>
      <c r="AI356" s="2">
        <v>-8969</v>
      </c>
      <c r="AJ356" s="2">
        <v>-8967</v>
      </c>
      <c r="AK356" s="2">
        <v>-7445</v>
      </c>
      <c r="AL356" s="2">
        <v>0</v>
      </c>
      <c r="AM356" s="2">
        <v>-8967</v>
      </c>
    </row>
    <row r="357" spans="1:39">
      <c r="A357" s="349">
        <v>93451</v>
      </c>
      <c r="B357" s="342" t="s">
        <v>1047</v>
      </c>
      <c r="C357" s="358">
        <v>6.6299999999999999E-5</v>
      </c>
      <c r="E357" s="2">
        <v>29757</v>
      </c>
      <c r="F357" s="2">
        <v>36462</v>
      </c>
      <c r="G357" s="2">
        <v>21019</v>
      </c>
      <c r="H357" s="2">
        <v>9867</v>
      </c>
      <c r="I357" s="2">
        <v>0</v>
      </c>
      <c r="J357" s="2"/>
      <c r="K357" s="2">
        <v>12293</v>
      </c>
      <c r="L357" s="2">
        <v>11324</v>
      </c>
      <c r="M357" s="2">
        <v>6302</v>
      </c>
      <c r="N357" s="2">
        <v>0</v>
      </c>
      <c r="O357" s="2">
        <v>0</v>
      </c>
      <c r="P357" s="2"/>
      <c r="Q357" s="2">
        <v>797</v>
      </c>
      <c r="R357" s="2">
        <v>11145</v>
      </c>
      <c r="S357" s="2">
        <v>11531</v>
      </c>
      <c r="T357" s="2">
        <v>9867</v>
      </c>
      <c r="U357" s="2">
        <v>0</v>
      </c>
      <c r="V357" s="2"/>
      <c r="W357" s="2">
        <v>9731</v>
      </c>
      <c r="X357" s="2">
        <v>7900</v>
      </c>
      <c r="Y357" s="2">
        <v>0</v>
      </c>
      <c r="Z357" s="2">
        <v>0</v>
      </c>
      <c r="AA357" s="2">
        <v>0</v>
      </c>
      <c r="AB357" s="2"/>
      <c r="AC357" s="2">
        <v>7184</v>
      </c>
      <c r="AD357" s="2">
        <v>6341</v>
      </c>
      <c r="AE357" s="2">
        <v>3434</v>
      </c>
      <c r="AF357" s="2">
        <v>0</v>
      </c>
      <c r="AG357" s="2">
        <v>0</v>
      </c>
      <c r="AH357" s="2"/>
      <c r="AI357" s="2">
        <v>-248</v>
      </c>
      <c r="AJ357" s="2">
        <v>-248</v>
      </c>
      <c r="AK357" s="2">
        <v>-248</v>
      </c>
      <c r="AL357" s="2">
        <v>0</v>
      </c>
      <c r="AM357" s="2">
        <v>-248</v>
      </c>
    </row>
    <row r="358" spans="1:39">
      <c r="A358" s="349">
        <v>93461</v>
      </c>
      <c r="B358" s="342" t="s">
        <v>1048</v>
      </c>
      <c r="C358" s="358">
        <v>1.49E-5</v>
      </c>
      <c r="E358" s="2">
        <v>4993</v>
      </c>
      <c r="F358" s="2">
        <v>6659</v>
      </c>
      <c r="G358" s="2">
        <v>3745</v>
      </c>
      <c r="H358" s="2">
        <v>2217</v>
      </c>
      <c r="I358" s="2">
        <v>0</v>
      </c>
      <c r="J358" s="2"/>
      <c r="K358" s="2">
        <v>2763</v>
      </c>
      <c r="L358" s="2">
        <v>2545</v>
      </c>
      <c r="M358" s="2">
        <v>1416</v>
      </c>
      <c r="N358" s="2">
        <v>0</v>
      </c>
      <c r="O358" s="2">
        <v>0</v>
      </c>
      <c r="P358" s="2"/>
      <c r="Q358" s="2">
        <v>179</v>
      </c>
      <c r="R358" s="2">
        <v>2505</v>
      </c>
      <c r="S358" s="2">
        <v>2591</v>
      </c>
      <c r="T358" s="2">
        <v>2217</v>
      </c>
      <c r="U358" s="2">
        <v>0</v>
      </c>
      <c r="V358" s="2"/>
      <c r="W358" s="2">
        <v>2187</v>
      </c>
      <c r="X358" s="2">
        <v>1775</v>
      </c>
      <c r="Y358" s="2">
        <v>0</v>
      </c>
      <c r="Z358" s="2">
        <v>0</v>
      </c>
      <c r="AA358" s="2">
        <v>0</v>
      </c>
      <c r="AB358" s="2"/>
      <c r="AC358" s="2">
        <v>124</v>
      </c>
      <c r="AD358" s="2">
        <v>94</v>
      </c>
      <c r="AE358" s="2">
        <v>0</v>
      </c>
      <c r="AF358" s="2">
        <v>0</v>
      </c>
      <c r="AG358" s="2">
        <v>0</v>
      </c>
      <c r="AH358" s="2"/>
      <c r="AI358" s="2">
        <v>-260</v>
      </c>
      <c r="AJ358" s="2">
        <v>-260</v>
      </c>
      <c r="AK358" s="2">
        <v>-262</v>
      </c>
      <c r="AL358" s="2">
        <v>0</v>
      </c>
      <c r="AM358" s="2">
        <v>-260</v>
      </c>
    </row>
    <row r="359" spans="1:39">
      <c r="A359" s="349">
        <v>93471</v>
      </c>
      <c r="B359" s="342" t="s">
        <v>1049</v>
      </c>
      <c r="C359" s="358">
        <v>1.24E-5</v>
      </c>
      <c r="E359" s="2">
        <v>7627</v>
      </c>
      <c r="F359" s="2">
        <v>8359</v>
      </c>
      <c r="G359" s="2">
        <v>5645</v>
      </c>
      <c r="H359" s="2">
        <v>1845</v>
      </c>
      <c r="I359" s="2">
        <v>0</v>
      </c>
      <c r="J359" s="2"/>
      <c r="K359" s="2">
        <v>2299</v>
      </c>
      <c r="L359" s="2">
        <v>2118</v>
      </c>
      <c r="M359" s="2">
        <v>1179</v>
      </c>
      <c r="N359" s="2">
        <v>0</v>
      </c>
      <c r="O359" s="2">
        <v>0</v>
      </c>
      <c r="P359" s="2"/>
      <c r="Q359" s="2">
        <v>149</v>
      </c>
      <c r="R359" s="2">
        <v>2085</v>
      </c>
      <c r="S359" s="2">
        <v>2157</v>
      </c>
      <c r="T359" s="2">
        <v>1845</v>
      </c>
      <c r="U359" s="2">
        <v>0</v>
      </c>
      <c r="V359" s="2"/>
      <c r="W359" s="2">
        <v>1820</v>
      </c>
      <c r="X359" s="2">
        <v>1478</v>
      </c>
      <c r="Y359" s="2">
        <v>0</v>
      </c>
      <c r="Z359" s="2">
        <v>0</v>
      </c>
      <c r="AA359" s="2">
        <v>0</v>
      </c>
      <c r="AB359" s="2"/>
      <c r="AC359" s="2">
        <v>3359</v>
      </c>
      <c r="AD359" s="2">
        <v>2678</v>
      </c>
      <c r="AE359" s="2">
        <v>2309</v>
      </c>
      <c r="AF359" s="2">
        <v>0</v>
      </c>
      <c r="AG359" s="2">
        <v>0</v>
      </c>
      <c r="AH359" s="2"/>
      <c r="AI359" s="2">
        <v>0</v>
      </c>
      <c r="AJ359" s="2">
        <v>0</v>
      </c>
      <c r="AK359" s="2">
        <v>0</v>
      </c>
      <c r="AL359" s="2">
        <v>0</v>
      </c>
      <c r="AM359" s="2">
        <v>0</v>
      </c>
    </row>
    <row r="360" spans="1:39">
      <c r="A360" s="349">
        <v>93501</v>
      </c>
      <c r="B360" s="342" t="s">
        <v>1050</v>
      </c>
      <c r="C360" s="358">
        <v>3.7423999999999999E-3</v>
      </c>
      <c r="E360" s="2">
        <v>1305443</v>
      </c>
      <c r="F360" s="2">
        <v>1696121</v>
      </c>
      <c r="G360" s="2">
        <v>975575</v>
      </c>
      <c r="H360" s="2">
        <v>556951</v>
      </c>
      <c r="I360" s="2">
        <v>0</v>
      </c>
      <c r="J360" s="2"/>
      <c r="K360" s="2">
        <v>693875</v>
      </c>
      <c r="L360" s="2">
        <v>639179</v>
      </c>
      <c r="M360" s="2">
        <v>355745</v>
      </c>
      <c r="N360" s="2">
        <v>0</v>
      </c>
      <c r="O360" s="2">
        <v>0</v>
      </c>
      <c r="P360" s="2"/>
      <c r="Q360" s="2">
        <v>44980</v>
      </c>
      <c r="R360" s="2">
        <v>629116</v>
      </c>
      <c r="S360" s="2">
        <v>650871</v>
      </c>
      <c r="T360" s="2">
        <v>556951</v>
      </c>
      <c r="U360" s="2">
        <v>0</v>
      </c>
      <c r="V360" s="2"/>
      <c r="W360" s="2">
        <v>549295</v>
      </c>
      <c r="X360" s="2">
        <v>445933</v>
      </c>
      <c r="Y360" s="2">
        <v>0</v>
      </c>
      <c r="Z360" s="2">
        <v>0</v>
      </c>
      <c r="AA360" s="2">
        <v>0</v>
      </c>
      <c r="AB360" s="2"/>
      <c r="AC360" s="2">
        <v>69604</v>
      </c>
      <c r="AD360" s="2">
        <v>34204</v>
      </c>
      <c r="AE360" s="2">
        <v>21268</v>
      </c>
      <c r="AF360" s="2">
        <v>0</v>
      </c>
      <c r="AG360" s="2">
        <v>0</v>
      </c>
      <c r="AH360" s="2"/>
      <c r="AI360" s="2">
        <v>-52311</v>
      </c>
      <c r="AJ360" s="2">
        <v>-52311</v>
      </c>
      <c r="AK360" s="2">
        <v>-52309</v>
      </c>
      <c r="AL360" s="2">
        <v>0</v>
      </c>
      <c r="AM360" s="2">
        <v>-52311</v>
      </c>
    </row>
    <row r="361" spans="1:39">
      <c r="A361" s="349">
        <v>93511</v>
      </c>
      <c r="B361" s="342" t="s">
        <v>1051</v>
      </c>
      <c r="C361" s="358">
        <v>8.6100000000000006E-5</v>
      </c>
      <c r="E361" s="2">
        <v>31005</v>
      </c>
      <c r="F361" s="2">
        <v>41698</v>
      </c>
      <c r="G361" s="2">
        <v>24016</v>
      </c>
      <c r="H361" s="2">
        <v>12814</v>
      </c>
      <c r="I361" s="2">
        <v>0</v>
      </c>
      <c r="J361" s="2"/>
      <c r="K361" s="2">
        <v>15964</v>
      </c>
      <c r="L361" s="2">
        <v>14705</v>
      </c>
      <c r="M361" s="2">
        <v>8184</v>
      </c>
      <c r="N361" s="2">
        <v>0</v>
      </c>
      <c r="O361" s="2">
        <v>0</v>
      </c>
      <c r="P361" s="2"/>
      <c r="Q361" s="2">
        <v>1035</v>
      </c>
      <c r="R361" s="2">
        <v>14474</v>
      </c>
      <c r="S361" s="2">
        <v>14974</v>
      </c>
      <c r="T361" s="2">
        <v>12814</v>
      </c>
      <c r="U361" s="2">
        <v>0</v>
      </c>
      <c r="V361" s="2"/>
      <c r="W361" s="2">
        <v>12637</v>
      </c>
      <c r="X361" s="2">
        <v>10259</v>
      </c>
      <c r="Y361" s="2">
        <v>0</v>
      </c>
      <c r="Z361" s="2">
        <v>0</v>
      </c>
      <c r="AA361" s="2">
        <v>0</v>
      </c>
      <c r="AB361" s="2"/>
      <c r="AC361" s="2">
        <v>2867</v>
      </c>
      <c r="AD361" s="2">
        <v>2868</v>
      </c>
      <c r="AE361" s="2">
        <v>1465</v>
      </c>
      <c r="AF361" s="2">
        <v>0</v>
      </c>
      <c r="AG361" s="2">
        <v>0</v>
      </c>
      <c r="AH361" s="2"/>
      <c r="AI361" s="2">
        <v>-1498</v>
      </c>
      <c r="AJ361" s="2">
        <v>-608</v>
      </c>
      <c r="AK361" s="2">
        <v>-607</v>
      </c>
      <c r="AL361" s="2">
        <v>0</v>
      </c>
      <c r="AM361" s="2">
        <v>-608</v>
      </c>
    </row>
    <row r="362" spans="1:39">
      <c r="A362" s="349">
        <v>93517</v>
      </c>
      <c r="B362" s="342" t="s">
        <v>1052</v>
      </c>
      <c r="C362" s="358">
        <v>3.7000000000000002E-6</v>
      </c>
      <c r="E362" s="2">
        <v>2715</v>
      </c>
      <c r="F362" s="2">
        <v>2894</v>
      </c>
      <c r="G362" s="2">
        <v>1956</v>
      </c>
      <c r="H362" s="2">
        <v>551</v>
      </c>
      <c r="I362" s="2">
        <v>0</v>
      </c>
      <c r="J362" s="2"/>
      <c r="K362" s="2">
        <v>686</v>
      </c>
      <c r="L362" s="2">
        <v>632</v>
      </c>
      <c r="M362" s="2">
        <v>352</v>
      </c>
      <c r="N362" s="2">
        <v>0</v>
      </c>
      <c r="O362" s="2">
        <v>0</v>
      </c>
      <c r="P362" s="2"/>
      <c r="Q362" s="2">
        <v>44</v>
      </c>
      <c r="R362" s="2">
        <v>622</v>
      </c>
      <c r="S362" s="2">
        <v>643</v>
      </c>
      <c r="T362" s="2">
        <v>551</v>
      </c>
      <c r="U362" s="2">
        <v>0</v>
      </c>
      <c r="V362" s="2"/>
      <c r="W362" s="2">
        <v>543</v>
      </c>
      <c r="X362" s="2">
        <v>441</v>
      </c>
      <c r="Y362" s="2">
        <v>0</v>
      </c>
      <c r="Z362" s="2">
        <v>0</v>
      </c>
      <c r="AA362" s="2">
        <v>0</v>
      </c>
      <c r="AB362" s="2"/>
      <c r="AC362" s="2">
        <v>1442</v>
      </c>
      <c r="AD362" s="2">
        <v>1199</v>
      </c>
      <c r="AE362" s="2">
        <v>961</v>
      </c>
      <c r="AF362" s="2">
        <v>0</v>
      </c>
      <c r="AG362" s="2">
        <v>0</v>
      </c>
      <c r="AH362" s="2"/>
      <c r="AI362" s="2">
        <v>0</v>
      </c>
      <c r="AJ362" s="2">
        <v>0</v>
      </c>
      <c r="AK362" s="2">
        <v>0</v>
      </c>
      <c r="AL362" s="2">
        <v>0</v>
      </c>
      <c r="AM362" s="2">
        <v>0</v>
      </c>
    </row>
    <row r="363" spans="1:39">
      <c r="A363" s="349">
        <v>93521</v>
      </c>
      <c r="B363" s="342" t="s">
        <v>1053</v>
      </c>
      <c r="C363" s="358">
        <v>4.7459999999999999E-4</v>
      </c>
      <c r="E363" s="2">
        <v>145453</v>
      </c>
      <c r="F363" s="2">
        <v>216747</v>
      </c>
      <c r="G363" s="2">
        <v>126441</v>
      </c>
      <c r="H363" s="2">
        <v>70631</v>
      </c>
      <c r="I363" s="2">
        <v>0</v>
      </c>
      <c r="J363" s="2"/>
      <c r="K363" s="2">
        <v>87995</v>
      </c>
      <c r="L363" s="2">
        <v>81059</v>
      </c>
      <c r="M363" s="2">
        <v>45115</v>
      </c>
      <c r="N363" s="2">
        <v>0</v>
      </c>
      <c r="O363" s="2">
        <v>0</v>
      </c>
      <c r="P363" s="2"/>
      <c r="Q363" s="2">
        <v>5704</v>
      </c>
      <c r="R363" s="2">
        <v>79783</v>
      </c>
      <c r="S363" s="2">
        <v>82541</v>
      </c>
      <c r="T363" s="2">
        <v>70631</v>
      </c>
      <c r="U363" s="2">
        <v>0</v>
      </c>
      <c r="V363" s="2"/>
      <c r="W363" s="2">
        <v>69660</v>
      </c>
      <c r="X363" s="2">
        <v>56552</v>
      </c>
      <c r="Y363" s="2">
        <v>0</v>
      </c>
      <c r="Z363" s="2">
        <v>0</v>
      </c>
      <c r="AA363" s="2">
        <v>0</v>
      </c>
      <c r="AB363" s="2"/>
      <c r="AC363" s="2">
        <v>3544</v>
      </c>
      <c r="AD363" s="2">
        <v>3546</v>
      </c>
      <c r="AE363" s="2">
        <v>2976</v>
      </c>
      <c r="AF363" s="2">
        <v>0</v>
      </c>
      <c r="AG363" s="2">
        <v>0</v>
      </c>
      <c r="AH363" s="2"/>
      <c r="AI363" s="2">
        <v>-21450</v>
      </c>
      <c r="AJ363" s="2">
        <v>-4193</v>
      </c>
      <c r="AK363" s="2">
        <v>-4191</v>
      </c>
      <c r="AL363" s="2">
        <v>0</v>
      </c>
      <c r="AM363" s="2">
        <v>-4193</v>
      </c>
    </row>
    <row r="364" spans="1:39">
      <c r="A364" s="349">
        <v>93527</v>
      </c>
      <c r="B364" s="342" t="s">
        <v>1054</v>
      </c>
      <c r="C364" s="358">
        <v>8.8999999999999995E-6</v>
      </c>
      <c r="E364" s="2">
        <v>7619</v>
      </c>
      <c r="F364" s="2">
        <v>6699</v>
      </c>
      <c r="G364" s="2">
        <v>3939</v>
      </c>
      <c r="H364" s="2">
        <v>1325</v>
      </c>
      <c r="I364" s="2">
        <v>0</v>
      </c>
      <c r="J364" s="2"/>
      <c r="K364" s="2">
        <v>1650</v>
      </c>
      <c r="L364" s="2">
        <v>1520</v>
      </c>
      <c r="M364" s="2">
        <v>846</v>
      </c>
      <c r="N364" s="2">
        <v>0</v>
      </c>
      <c r="O364" s="2">
        <v>0</v>
      </c>
      <c r="P364" s="2"/>
      <c r="Q364" s="2">
        <v>107</v>
      </c>
      <c r="R364" s="2">
        <v>1496</v>
      </c>
      <c r="S364" s="2">
        <v>1548</v>
      </c>
      <c r="T364" s="2">
        <v>1325</v>
      </c>
      <c r="U364" s="2">
        <v>0</v>
      </c>
      <c r="V364" s="2"/>
      <c r="W364" s="2">
        <v>1306</v>
      </c>
      <c r="X364" s="2">
        <v>1060</v>
      </c>
      <c r="Y364" s="2">
        <v>0</v>
      </c>
      <c r="Z364" s="2">
        <v>0</v>
      </c>
      <c r="AA364" s="2">
        <v>0</v>
      </c>
      <c r="AB364" s="2"/>
      <c r="AC364" s="2">
        <v>4556</v>
      </c>
      <c r="AD364" s="2">
        <v>2623</v>
      </c>
      <c r="AE364" s="2">
        <v>1545</v>
      </c>
      <c r="AF364" s="2">
        <v>0</v>
      </c>
      <c r="AG364" s="2">
        <v>0</v>
      </c>
      <c r="AH364" s="2"/>
      <c r="AI364" s="2">
        <v>0</v>
      </c>
      <c r="AJ364" s="2">
        <v>0</v>
      </c>
      <c r="AK364" s="2">
        <v>0</v>
      </c>
      <c r="AL364" s="2">
        <v>0</v>
      </c>
      <c r="AM364" s="2">
        <v>0</v>
      </c>
    </row>
    <row r="365" spans="1:39">
      <c r="A365" s="349">
        <v>93531</v>
      </c>
      <c r="B365" s="342" t="s">
        <v>1055</v>
      </c>
      <c r="C365" s="358">
        <v>2.4899999999999999E-5</v>
      </c>
      <c r="E365" s="2">
        <v>10163</v>
      </c>
      <c r="F365" s="2">
        <v>13406</v>
      </c>
      <c r="G365" s="2">
        <v>6893</v>
      </c>
      <c r="H365" s="2">
        <v>3706</v>
      </c>
      <c r="I365" s="2">
        <v>0</v>
      </c>
      <c r="J365" s="2"/>
      <c r="K365" s="2">
        <v>4617</v>
      </c>
      <c r="L365" s="2">
        <v>4253</v>
      </c>
      <c r="M365" s="2">
        <v>2367</v>
      </c>
      <c r="N365" s="2">
        <v>0</v>
      </c>
      <c r="O365" s="2">
        <v>0</v>
      </c>
      <c r="P365" s="2"/>
      <c r="Q365" s="2">
        <v>299</v>
      </c>
      <c r="R365" s="2">
        <v>4186</v>
      </c>
      <c r="S365" s="2">
        <v>4331</v>
      </c>
      <c r="T365" s="2">
        <v>3706</v>
      </c>
      <c r="U365" s="2">
        <v>0</v>
      </c>
      <c r="V365" s="2"/>
      <c r="W365" s="2">
        <v>3655</v>
      </c>
      <c r="X365" s="2">
        <v>2967</v>
      </c>
      <c r="Y365" s="2">
        <v>0</v>
      </c>
      <c r="Z365" s="2">
        <v>0</v>
      </c>
      <c r="AA365" s="2">
        <v>0</v>
      </c>
      <c r="AB365" s="2"/>
      <c r="AC365" s="2">
        <v>3529</v>
      </c>
      <c r="AD365" s="2">
        <v>3529</v>
      </c>
      <c r="AE365" s="2">
        <v>1726</v>
      </c>
      <c r="AF365" s="2">
        <v>0</v>
      </c>
      <c r="AG365" s="2">
        <v>0</v>
      </c>
      <c r="AH365" s="2"/>
      <c r="AI365" s="2">
        <v>-1937</v>
      </c>
      <c r="AJ365" s="2">
        <v>-1529</v>
      </c>
      <c r="AK365" s="2">
        <v>-1531</v>
      </c>
      <c r="AL365" s="2">
        <v>0</v>
      </c>
      <c r="AM365" s="2">
        <v>-1529</v>
      </c>
    </row>
    <row r="366" spans="1:39">
      <c r="A366" s="349">
        <v>93537</v>
      </c>
      <c r="B366" s="342" t="s">
        <v>1056</v>
      </c>
      <c r="C366" s="358">
        <v>1.04E-5</v>
      </c>
      <c r="E366" s="2">
        <v>2173</v>
      </c>
      <c r="F366" s="2">
        <v>3658</v>
      </c>
      <c r="G366" s="2">
        <v>1957</v>
      </c>
      <c r="H366" s="2">
        <v>1548</v>
      </c>
      <c r="I366" s="2">
        <v>0</v>
      </c>
      <c r="J366" s="2"/>
      <c r="K366" s="2">
        <v>1928</v>
      </c>
      <c r="L366" s="2">
        <v>1776</v>
      </c>
      <c r="M366" s="2">
        <v>989</v>
      </c>
      <c r="N366" s="2">
        <v>0</v>
      </c>
      <c r="O366" s="2">
        <v>0</v>
      </c>
      <c r="P366" s="2"/>
      <c r="Q366" s="2">
        <v>125</v>
      </c>
      <c r="R366" s="2">
        <v>1748</v>
      </c>
      <c r="S366" s="2">
        <v>1809</v>
      </c>
      <c r="T366" s="2">
        <v>1548</v>
      </c>
      <c r="U366" s="2">
        <v>0</v>
      </c>
      <c r="V366" s="2"/>
      <c r="W366" s="2">
        <v>1526</v>
      </c>
      <c r="X366" s="2">
        <v>1239</v>
      </c>
      <c r="Y366" s="2">
        <v>0</v>
      </c>
      <c r="Z366" s="2">
        <v>0</v>
      </c>
      <c r="AA366" s="2">
        <v>0</v>
      </c>
      <c r="AB366" s="2"/>
      <c r="AC366" s="2">
        <v>0</v>
      </c>
      <c r="AD366" s="2">
        <v>0</v>
      </c>
      <c r="AE366" s="2">
        <v>0</v>
      </c>
      <c r="AF366" s="2">
        <v>0</v>
      </c>
      <c r="AG366" s="2">
        <v>0</v>
      </c>
      <c r="AH366" s="2"/>
      <c r="AI366" s="2">
        <v>-1406</v>
      </c>
      <c r="AJ366" s="2">
        <v>-1105</v>
      </c>
      <c r="AK366" s="2">
        <v>-841</v>
      </c>
      <c r="AL366" s="2">
        <v>0</v>
      </c>
      <c r="AM366" s="2">
        <v>-1105</v>
      </c>
    </row>
    <row r="367" spans="1:39">
      <c r="A367" s="349">
        <v>93541</v>
      </c>
      <c r="B367" s="342" t="s">
        <v>1057</v>
      </c>
      <c r="C367" s="358">
        <v>1.6339999999999999E-4</v>
      </c>
      <c r="E367" s="2">
        <v>81791</v>
      </c>
      <c r="F367" s="2">
        <v>100318</v>
      </c>
      <c r="G367" s="2">
        <v>70607</v>
      </c>
      <c r="H367" s="2">
        <v>24318</v>
      </c>
      <c r="I367" s="2">
        <v>0</v>
      </c>
      <c r="J367" s="2"/>
      <c r="K367" s="2">
        <v>30296</v>
      </c>
      <c r="L367" s="2">
        <v>27908</v>
      </c>
      <c r="M367" s="2">
        <v>15532</v>
      </c>
      <c r="N367" s="2">
        <v>0</v>
      </c>
      <c r="O367" s="2">
        <v>0</v>
      </c>
      <c r="P367" s="2"/>
      <c r="Q367" s="2">
        <v>1964</v>
      </c>
      <c r="R367" s="2">
        <v>27468</v>
      </c>
      <c r="S367" s="2">
        <v>28418</v>
      </c>
      <c r="T367" s="2">
        <v>24318</v>
      </c>
      <c r="U367" s="2">
        <v>0</v>
      </c>
      <c r="V367" s="2"/>
      <c r="W367" s="2">
        <v>23983</v>
      </c>
      <c r="X367" s="2">
        <v>19470</v>
      </c>
      <c r="Y367" s="2">
        <v>0</v>
      </c>
      <c r="Z367" s="2">
        <v>0</v>
      </c>
      <c r="AA367" s="2">
        <v>0</v>
      </c>
      <c r="AB367" s="2"/>
      <c r="AC367" s="2">
        <v>26732</v>
      </c>
      <c r="AD367" s="2">
        <v>26658</v>
      </c>
      <c r="AE367" s="2">
        <v>26657</v>
      </c>
      <c r="AF367" s="2">
        <v>0</v>
      </c>
      <c r="AG367" s="2">
        <v>0</v>
      </c>
      <c r="AH367" s="2"/>
      <c r="AI367" s="2">
        <v>-1184</v>
      </c>
      <c r="AJ367" s="2">
        <v>-1186</v>
      </c>
      <c r="AK367" s="2">
        <v>0</v>
      </c>
      <c r="AL367" s="2">
        <v>0</v>
      </c>
      <c r="AM367" s="2">
        <v>-1186</v>
      </c>
    </row>
    <row r="368" spans="1:39">
      <c r="A368" s="349">
        <v>93601</v>
      </c>
      <c r="B368" s="342" t="s">
        <v>1058</v>
      </c>
      <c r="C368" s="358">
        <v>1.0955299999999999E-2</v>
      </c>
      <c r="E368" s="2">
        <v>3791944</v>
      </c>
      <c r="F368" s="2">
        <v>5086129</v>
      </c>
      <c r="G368" s="2">
        <v>2917734</v>
      </c>
      <c r="H368" s="2">
        <v>1630390</v>
      </c>
      <c r="I368" s="2">
        <v>0</v>
      </c>
      <c r="J368" s="2"/>
      <c r="K368" s="2">
        <v>2031211</v>
      </c>
      <c r="L368" s="2">
        <v>1871100</v>
      </c>
      <c r="M368" s="2">
        <v>1041389</v>
      </c>
      <c r="N368" s="2">
        <v>0</v>
      </c>
      <c r="O368" s="2">
        <v>0</v>
      </c>
      <c r="P368" s="2"/>
      <c r="Q368" s="2">
        <v>131672</v>
      </c>
      <c r="R368" s="2">
        <v>1841641</v>
      </c>
      <c r="S368" s="2">
        <v>1905324</v>
      </c>
      <c r="T368" s="2">
        <v>1630390</v>
      </c>
      <c r="U368" s="2">
        <v>0</v>
      </c>
      <c r="V368" s="2"/>
      <c r="W368" s="2">
        <v>1607975</v>
      </c>
      <c r="X368" s="2">
        <v>1305401</v>
      </c>
      <c r="Y368" s="2">
        <v>0</v>
      </c>
      <c r="Z368" s="2">
        <v>0</v>
      </c>
      <c r="AA368" s="2">
        <v>0</v>
      </c>
      <c r="AB368" s="2"/>
      <c r="AC368" s="2">
        <v>124951</v>
      </c>
      <c r="AD368" s="2">
        <v>124950</v>
      </c>
      <c r="AE368" s="2">
        <v>27983</v>
      </c>
      <c r="AF368" s="2">
        <v>0</v>
      </c>
      <c r="AG368" s="2">
        <v>0</v>
      </c>
      <c r="AH368" s="2"/>
      <c r="AI368" s="2">
        <v>-103865</v>
      </c>
      <c r="AJ368" s="2">
        <v>-56963</v>
      </c>
      <c r="AK368" s="2">
        <v>-56962</v>
      </c>
      <c r="AL368" s="2">
        <v>0</v>
      </c>
      <c r="AM368" s="2">
        <v>-56963</v>
      </c>
    </row>
    <row r="369" spans="1:39">
      <c r="A369" s="349">
        <v>93602</v>
      </c>
      <c r="B369" s="342" t="s">
        <v>1059</v>
      </c>
      <c r="C369" s="358">
        <v>1.5779999999999999E-4</v>
      </c>
      <c r="E369" s="2">
        <v>51895</v>
      </c>
      <c r="F369" s="2">
        <v>68958</v>
      </c>
      <c r="G369" s="2">
        <v>37349</v>
      </c>
      <c r="H369" s="2">
        <v>23484</v>
      </c>
      <c r="I369" s="2">
        <v>0</v>
      </c>
      <c r="J369" s="2"/>
      <c r="K369" s="2">
        <v>29258</v>
      </c>
      <c r="L369" s="2">
        <v>26951</v>
      </c>
      <c r="M369" s="2">
        <v>15000</v>
      </c>
      <c r="N369" s="2">
        <v>0</v>
      </c>
      <c r="O369" s="2">
        <v>0</v>
      </c>
      <c r="P369" s="2"/>
      <c r="Q369" s="2">
        <v>1897</v>
      </c>
      <c r="R369" s="2">
        <v>26527</v>
      </c>
      <c r="S369" s="2">
        <v>27444</v>
      </c>
      <c r="T369" s="2">
        <v>23484</v>
      </c>
      <c r="U369" s="2">
        <v>0</v>
      </c>
      <c r="V369" s="2"/>
      <c r="W369" s="2">
        <v>23161</v>
      </c>
      <c r="X369" s="2">
        <v>18803</v>
      </c>
      <c r="Y369" s="2">
        <v>0</v>
      </c>
      <c r="Z369" s="2">
        <v>0</v>
      </c>
      <c r="AA369" s="2">
        <v>0</v>
      </c>
      <c r="AB369" s="2"/>
      <c r="AC369" s="2">
        <v>5954</v>
      </c>
      <c r="AD369" s="2">
        <v>5052</v>
      </c>
      <c r="AE369" s="2">
        <v>3279</v>
      </c>
      <c r="AF369" s="2">
        <v>0</v>
      </c>
      <c r="AG369" s="2">
        <v>0</v>
      </c>
      <c r="AH369" s="2"/>
      <c r="AI369" s="2">
        <v>-8375</v>
      </c>
      <c r="AJ369" s="2">
        <v>-8375</v>
      </c>
      <c r="AK369" s="2">
        <v>-8374</v>
      </c>
      <c r="AL369" s="2">
        <v>0</v>
      </c>
      <c r="AM369" s="2">
        <v>-8375</v>
      </c>
    </row>
    <row r="370" spans="1:39">
      <c r="A370" s="349">
        <v>93604</v>
      </c>
      <c r="B370" s="342" t="s">
        <v>1926</v>
      </c>
      <c r="C370" s="358">
        <v>1.31E-5</v>
      </c>
      <c r="E370" s="2">
        <v>6677</v>
      </c>
      <c r="F370" s="2">
        <v>8170</v>
      </c>
      <c r="G370" s="2">
        <v>793</v>
      </c>
      <c r="H370" s="2">
        <v>1950</v>
      </c>
      <c r="I370" s="2">
        <v>0</v>
      </c>
      <c r="J370" s="2"/>
      <c r="K370" s="2">
        <v>2429</v>
      </c>
      <c r="L370" s="2">
        <v>2237</v>
      </c>
      <c r="M370" s="2">
        <v>1245</v>
      </c>
      <c r="N370" s="2">
        <v>0</v>
      </c>
      <c r="O370" s="2">
        <v>0</v>
      </c>
      <c r="P370" s="2"/>
      <c r="Q370" s="2">
        <v>157</v>
      </c>
      <c r="R370" s="2">
        <v>2202</v>
      </c>
      <c r="S370" s="2">
        <v>2278</v>
      </c>
      <c r="T370" s="2">
        <v>1950</v>
      </c>
      <c r="U370" s="2">
        <v>0</v>
      </c>
      <c r="V370" s="2"/>
      <c r="W370" s="2">
        <v>1923</v>
      </c>
      <c r="X370" s="2">
        <v>1561</v>
      </c>
      <c r="Y370" s="2">
        <v>0</v>
      </c>
      <c r="Z370" s="2">
        <v>0</v>
      </c>
      <c r="AA370" s="2">
        <v>0</v>
      </c>
      <c r="AB370" s="2"/>
      <c r="AC370" s="2">
        <v>6718</v>
      </c>
      <c r="AD370" s="2">
        <v>6720</v>
      </c>
      <c r="AE370" s="2">
        <v>1819</v>
      </c>
      <c r="AF370" s="2">
        <v>0</v>
      </c>
      <c r="AG370" s="2">
        <v>0</v>
      </c>
      <c r="AH370" s="2"/>
      <c r="AI370" s="2">
        <v>-4550</v>
      </c>
      <c r="AJ370" s="2">
        <v>-4550</v>
      </c>
      <c r="AK370" s="2">
        <v>-4549</v>
      </c>
      <c r="AL370" s="2">
        <v>0</v>
      </c>
      <c r="AM370" s="2">
        <v>-4550</v>
      </c>
    </row>
    <row r="371" spans="1:39">
      <c r="A371" s="349">
        <v>93609</v>
      </c>
      <c r="B371" s="342" t="s">
        <v>1060</v>
      </c>
      <c r="C371" s="358">
        <v>3.6703E-3</v>
      </c>
      <c r="E371" s="2">
        <v>1310896</v>
      </c>
      <c r="F371" s="2">
        <v>1607134</v>
      </c>
      <c r="G371" s="2">
        <v>903850</v>
      </c>
      <c r="H371" s="2">
        <v>546221</v>
      </c>
      <c r="I371" s="2">
        <v>0</v>
      </c>
      <c r="J371" s="2"/>
      <c r="K371" s="2">
        <v>680507</v>
      </c>
      <c r="L371" s="2">
        <v>626865</v>
      </c>
      <c r="M371" s="2">
        <v>348891</v>
      </c>
      <c r="N371" s="2">
        <v>0</v>
      </c>
      <c r="O371" s="2">
        <v>0</v>
      </c>
      <c r="P371" s="2"/>
      <c r="Q371" s="2">
        <v>44113</v>
      </c>
      <c r="R371" s="2">
        <v>616996</v>
      </c>
      <c r="S371" s="2">
        <v>638331</v>
      </c>
      <c r="T371" s="2">
        <v>546221</v>
      </c>
      <c r="U371" s="2">
        <v>0</v>
      </c>
      <c r="V371" s="2"/>
      <c r="W371" s="2">
        <v>538712</v>
      </c>
      <c r="X371" s="2">
        <v>437342</v>
      </c>
      <c r="Y371" s="2">
        <v>0</v>
      </c>
      <c r="Z371" s="2">
        <v>0</v>
      </c>
      <c r="AA371" s="2">
        <v>0</v>
      </c>
      <c r="AB371" s="2"/>
      <c r="AC371" s="2">
        <v>130936</v>
      </c>
      <c r="AD371" s="2">
        <v>9303</v>
      </c>
      <c r="AE371" s="2">
        <v>0</v>
      </c>
      <c r="AF371" s="2">
        <v>0</v>
      </c>
      <c r="AG371" s="2">
        <v>0</v>
      </c>
      <c r="AH371" s="2"/>
      <c r="AI371" s="2">
        <v>-83372</v>
      </c>
      <c r="AJ371" s="2">
        <v>-83372</v>
      </c>
      <c r="AK371" s="2">
        <v>-83372</v>
      </c>
      <c r="AL371" s="2">
        <v>0</v>
      </c>
      <c r="AM371" s="2">
        <v>-83372</v>
      </c>
    </row>
    <row r="372" spans="1:39">
      <c r="A372" s="349">
        <v>93610</v>
      </c>
      <c r="B372" s="342" t="s">
        <v>1061</v>
      </c>
      <c r="C372" s="358">
        <v>1.63E-5</v>
      </c>
      <c r="E372" s="2">
        <v>6373</v>
      </c>
      <c r="F372" s="2">
        <v>7142</v>
      </c>
      <c r="G372" s="2">
        <v>3892</v>
      </c>
      <c r="H372" s="2">
        <v>2426</v>
      </c>
      <c r="I372" s="2">
        <v>0</v>
      </c>
      <c r="J372" s="2"/>
      <c r="K372" s="2">
        <v>3022</v>
      </c>
      <c r="L372" s="2">
        <v>2784</v>
      </c>
      <c r="M372" s="2">
        <v>1549</v>
      </c>
      <c r="N372" s="2">
        <v>0</v>
      </c>
      <c r="O372" s="2">
        <v>0</v>
      </c>
      <c r="P372" s="2"/>
      <c r="Q372" s="2">
        <v>196</v>
      </c>
      <c r="R372" s="2">
        <v>2740</v>
      </c>
      <c r="S372" s="2">
        <v>2835</v>
      </c>
      <c r="T372" s="2">
        <v>2426</v>
      </c>
      <c r="U372" s="2">
        <v>0</v>
      </c>
      <c r="V372" s="2"/>
      <c r="W372" s="2">
        <v>2392</v>
      </c>
      <c r="X372" s="2">
        <v>1942</v>
      </c>
      <c r="Y372" s="2">
        <v>0</v>
      </c>
      <c r="Z372" s="2">
        <v>0</v>
      </c>
      <c r="AA372" s="2">
        <v>0</v>
      </c>
      <c r="AB372" s="2"/>
      <c r="AC372" s="2">
        <v>1255</v>
      </c>
      <c r="AD372" s="2">
        <v>168</v>
      </c>
      <c r="AE372" s="2">
        <v>0</v>
      </c>
      <c r="AF372" s="2">
        <v>0</v>
      </c>
      <c r="AG372" s="2">
        <v>0</v>
      </c>
      <c r="AH372" s="2"/>
      <c r="AI372" s="2">
        <v>-492</v>
      </c>
      <c r="AJ372" s="2">
        <v>-492</v>
      </c>
      <c r="AK372" s="2">
        <v>-492</v>
      </c>
      <c r="AL372" s="2">
        <v>0</v>
      </c>
      <c r="AM372" s="2">
        <v>-492</v>
      </c>
    </row>
    <row r="373" spans="1:39">
      <c r="A373" s="349">
        <v>93611</v>
      </c>
      <c r="B373" s="342" t="s">
        <v>1062</v>
      </c>
      <c r="C373" s="358">
        <v>6.7793000000000003E-3</v>
      </c>
      <c r="E373" s="2">
        <v>2295018</v>
      </c>
      <c r="F373" s="2">
        <v>3051566</v>
      </c>
      <c r="G373" s="2">
        <v>1778317</v>
      </c>
      <c r="H373" s="2">
        <v>1008909</v>
      </c>
      <c r="I373" s="2">
        <v>0</v>
      </c>
      <c r="J373" s="2"/>
      <c r="K373" s="2">
        <v>1256943</v>
      </c>
      <c r="L373" s="2">
        <v>1157864</v>
      </c>
      <c r="M373" s="2">
        <v>644427</v>
      </c>
      <c r="N373" s="2">
        <v>0</v>
      </c>
      <c r="O373" s="2">
        <v>0</v>
      </c>
      <c r="P373" s="2"/>
      <c r="Q373" s="2">
        <v>81480</v>
      </c>
      <c r="R373" s="2">
        <v>1139634</v>
      </c>
      <c r="S373" s="2">
        <v>1179042</v>
      </c>
      <c r="T373" s="2">
        <v>1008909</v>
      </c>
      <c r="U373" s="2">
        <v>0</v>
      </c>
      <c r="V373" s="2"/>
      <c r="W373" s="2">
        <v>995039</v>
      </c>
      <c r="X373" s="2">
        <v>807801</v>
      </c>
      <c r="Y373" s="2">
        <v>0</v>
      </c>
      <c r="Z373" s="2">
        <v>0</v>
      </c>
      <c r="AA373" s="2">
        <v>0</v>
      </c>
      <c r="AB373" s="2"/>
      <c r="AC373" s="2">
        <v>15287</v>
      </c>
      <c r="AD373" s="2">
        <v>0</v>
      </c>
      <c r="AE373" s="2">
        <v>0</v>
      </c>
      <c r="AF373" s="2">
        <v>0</v>
      </c>
      <c r="AG373" s="2">
        <v>0</v>
      </c>
      <c r="AH373" s="2"/>
      <c r="AI373" s="2">
        <v>-53731</v>
      </c>
      <c r="AJ373" s="2">
        <v>-53733</v>
      </c>
      <c r="AK373" s="2">
        <v>-45152</v>
      </c>
      <c r="AL373" s="2">
        <v>0</v>
      </c>
      <c r="AM373" s="2">
        <v>-53733</v>
      </c>
    </row>
    <row r="374" spans="1:39">
      <c r="A374" s="349">
        <v>93617</v>
      </c>
      <c r="B374" s="342" t="s">
        <v>1063</v>
      </c>
      <c r="C374" s="358">
        <v>7.64E-5</v>
      </c>
      <c r="E374" s="2">
        <v>35297</v>
      </c>
      <c r="F374" s="2">
        <v>43824</v>
      </c>
      <c r="G374" s="2">
        <v>26316</v>
      </c>
      <c r="H374" s="2">
        <v>11370</v>
      </c>
      <c r="I374" s="2">
        <v>0</v>
      </c>
      <c r="J374" s="2"/>
      <c r="K374" s="2">
        <v>14165</v>
      </c>
      <c r="L374" s="2">
        <v>13049</v>
      </c>
      <c r="M374" s="2">
        <v>7262</v>
      </c>
      <c r="N374" s="2">
        <v>0</v>
      </c>
      <c r="O374" s="2">
        <v>0</v>
      </c>
      <c r="P374" s="2"/>
      <c r="Q374" s="2">
        <v>918</v>
      </c>
      <c r="R374" s="2">
        <v>12843</v>
      </c>
      <c r="S374" s="2">
        <v>13287</v>
      </c>
      <c r="T374" s="2">
        <v>11370</v>
      </c>
      <c r="U374" s="2">
        <v>0</v>
      </c>
      <c r="V374" s="2"/>
      <c r="W374" s="2">
        <v>11214</v>
      </c>
      <c r="X374" s="2">
        <v>9104</v>
      </c>
      <c r="Y374" s="2">
        <v>0</v>
      </c>
      <c r="Z374" s="2">
        <v>0</v>
      </c>
      <c r="AA374" s="2">
        <v>0</v>
      </c>
      <c r="AB374" s="2"/>
      <c r="AC374" s="2">
        <v>9000</v>
      </c>
      <c r="AD374" s="2">
        <v>8828</v>
      </c>
      <c r="AE374" s="2">
        <v>5767</v>
      </c>
      <c r="AF374" s="2">
        <v>0</v>
      </c>
      <c r="AG374" s="2">
        <v>0</v>
      </c>
      <c r="AH374" s="2"/>
      <c r="AI374" s="2">
        <v>0</v>
      </c>
      <c r="AJ374" s="2">
        <v>0</v>
      </c>
      <c r="AK374" s="2">
        <v>0</v>
      </c>
      <c r="AL374" s="2">
        <v>0</v>
      </c>
      <c r="AM374" s="2">
        <v>0</v>
      </c>
    </row>
    <row r="375" spans="1:39">
      <c r="A375" s="349">
        <v>93618</v>
      </c>
      <c r="B375" s="342" t="s">
        <v>3668</v>
      </c>
      <c r="C375" s="358">
        <v>8.3000000000000002E-6</v>
      </c>
      <c r="E375" s="2">
        <v>16048</v>
      </c>
      <c r="F375" s="2">
        <v>13318</v>
      </c>
      <c r="G375" s="2">
        <v>7890</v>
      </c>
      <c r="H375" s="2">
        <v>1235</v>
      </c>
      <c r="I375" s="2">
        <v>0</v>
      </c>
      <c r="J375" s="2"/>
      <c r="K375" s="2">
        <v>1539</v>
      </c>
      <c r="L375" s="2">
        <v>1418</v>
      </c>
      <c r="M375" s="2">
        <v>789</v>
      </c>
      <c r="N375" s="2">
        <v>0</v>
      </c>
      <c r="O375" s="2">
        <v>0</v>
      </c>
      <c r="P375" s="2"/>
      <c r="Q375" s="2">
        <v>100</v>
      </c>
      <c r="R375" s="2">
        <v>1395</v>
      </c>
      <c r="S375" s="2">
        <v>1444</v>
      </c>
      <c r="T375" s="2">
        <v>1235</v>
      </c>
      <c r="U375" s="2">
        <v>0</v>
      </c>
      <c r="V375" s="2"/>
      <c r="W375" s="2">
        <v>1218</v>
      </c>
      <c r="X375" s="2">
        <v>989</v>
      </c>
      <c r="Y375" s="2">
        <v>0</v>
      </c>
      <c r="Z375" s="2">
        <v>0</v>
      </c>
      <c r="AA375" s="2">
        <v>0</v>
      </c>
      <c r="AB375" s="2"/>
      <c r="AC375" s="2">
        <v>13191</v>
      </c>
      <c r="AD375" s="2">
        <v>9516</v>
      </c>
      <c r="AE375" s="2">
        <v>5657</v>
      </c>
      <c r="AF375" s="2">
        <v>0</v>
      </c>
      <c r="AG375" s="2">
        <v>0</v>
      </c>
      <c r="AH375" s="2"/>
      <c r="AI375" s="2">
        <v>0</v>
      </c>
      <c r="AJ375" s="2">
        <v>0</v>
      </c>
      <c r="AK375" s="2">
        <v>0</v>
      </c>
      <c r="AL375" s="2">
        <v>0</v>
      </c>
      <c r="AM375" s="2">
        <v>0</v>
      </c>
    </row>
    <row r="376" spans="1:39">
      <c r="A376" s="349">
        <v>93621</v>
      </c>
      <c r="B376" s="342" t="s">
        <v>1065</v>
      </c>
      <c r="C376" s="358">
        <v>1.1447E-3</v>
      </c>
      <c r="E376" s="2">
        <v>433772</v>
      </c>
      <c r="F376" s="2">
        <v>552025</v>
      </c>
      <c r="G376" s="2">
        <v>331869</v>
      </c>
      <c r="H376" s="2">
        <v>170357</v>
      </c>
      <c r="I376" s="2">
        <v>0</v>
      </c>
      <c r="J376" s="2"/>
      <c r="K376" s="2">
        <v>212238</v>
      </c>
      <c r="L376" s="2">
        <v>195508</v>
      </c>
      <c r="M376" s="2">
        <v>108813</v>
      </c>
      <c r="N376" s="2">
        <v>0</v>
      </c>
      <c r="O376" s="2">
        <v>0</v>
      </c>
      <c r="P376" s="2"/>
      <c r="Q376" s="2">
        <v>13758</v>
      </c>
      <c r="R376" s="2">
        <v>192430</v>
      </c>
      <c r="S376" s="2">
        <v>199084</v>
      </c>
      <c r="T376" s="2">
        <v>170357</v>
      </c>
      <c r="U376" s="2">
        <v>0</v>
      </c>
      <c r="V376" s="2"/>
      <c r="W376" s="2">
        <v>168014</v>
      </c>
      <c r="X376" s="2">
        <v>136399</v>
      </c>
      <c r="Y376" s="2">
        <v>0</v>
      </c>
      <c r="Z376" s="2">
        <v>0</v>
      </c>
      <c r="AA376" s="2">
        <v>0</v>
      </c>
      <c r="AB376" s="2"/>
      <c r="AC376" s="2">
        <v>41436</v>
      </c>
      <c r="AD376" s="2">
        <v>29362</v>
      </c>
      <c r="AE376" s="2">
        <v>25648</v>
      </c>
      <c r="AF376" s="2">
        <v>0</v>
      </c>
      <c r="AG376" s="2">
        <v>0</v>
      </c>
      <c r="AH376" s="2"/>
      <c r="AI376" s="2">
        <v>-1674</v>
      </c>
      <c r="AJ376" s="2">
        <v>-1674</v>
      </c>
      <c r="AK376" s="2">
        <v>-1676</v>
      </c>
      <c r="AL376" s="2">
        <v>0</v>
      </c>
      <c r="AM376" s="2">
        <v>-1674</v>
      </c>
    </row>
    <row r="377" spans="1:39">
      <c r="A377" s="349">
        <v>93623</v>
      </c>
      <c r="B377" s="342" t="s">
        <v>1066</v>
      </c>
      <c r="C377" s="358">
        <v>1.17E-5</v>
      </c>
      <c r="E377" s="2">
        <v>5585</v>
      </c>
      <c r="F377" s="2">
        <v>6297</v>
      </c>
      <c r="G377" s="2">
        <v>3728</v>
      </c>
      <c r="H377" s="2">
        <v>1741</v>
      </c>
      <c r="I377" s="2">
        <v>0</v>
      </c>
      <c r="J377" s="2"/>
      <c r="K377" s="2">
        <v>2169</v>
      </c>
      <c r="L377" s="2">
        <v>1998</v>
      </c>
      <c r="M377" s="2">
        <v>1112</v>
      </c>
      <c r="N377" s="2">
        <v>0</v>
      </c>
      <c r="O377" s="2">
        <v>0</v>
      </c>
      <c r="P377" s="2"/>
      <c r="Q377" s="2">
        <v>141</v>
      </c>
      <c r="R377" s="2">
        <v>1967</v>
      </c>
      <c r="S377" s="2">
        <v>2035</v>
      </c>
      <c r="T377" s="2">
        <v>1741</v>
      </c>
      <c r="U377" s="2">
        <v>0</v>
      </c>
      <c r="V377" s="2"/>
      <c r="W377" s="2">
        <v>1717</v>
      </c>
      <c r="X377" s="2">
        <v>1394</v>
      </c>
      <c r="Y377" s="2">
        <v>0</v>
      </c>
      <c r="Z377" s="2">
        <v>0</v>
      </c>
      <c r="AA377" s="2">
        <v>0</v>
      </c>
      <c r="AB377" s="2"/>
      <c r="AC377" s="2">
        <v>1558</v>
      </c>
      <c r="AD377" s="2">
        <v>938</v>
      </c>
      <c r="AE377" s="2">
        <v>581</v>
      </c>
      <c r="AF377" s="2">
        <v>0</v>
      </c>
      <c r="AG377" s="2">
        <v>0</v>
      </c>
      <c r="AH377" s="2"/>
      <c r="AI377" s="2">
        <v>0</v>
      </c>
      <c r="AJ377" s="2">
        <v>0</v>
      </c>
      <c r="AK377" s="2">
        <v>0</v>
      </c>
      <c r="AL377" s="2">
        <v>0</v>
      </c>
      <c r="AM377" s="2">
        <v>0</v>
      </c>
    </row>
    <row r="378" spans="1:39">
      <c r="A378" s="349">
        <v>93631</v>
      </c>
      <c r="B378" s="342" t="s">
        <v>1067</v>
      </c>
      <c r="C378" s="358">
        <v>2.8699999999999998E-4</v>
      </c>
      <c r="E378" s="2">
        <v>109342</v>
      </c>
      <c r="F378" s="2">
        <v>144139</v>
      </c>
      <c r="G378" s="2">
        <v>90921</v>
      </c>
      <c r="H378" s="2">
        <v>42712</v>
      </c>
      <c r="I378" s="2">
        <v>0</v>
      </c>
      <c r="J378" s="2"/>
      <c r="K378" s="2">
        <v>53212</v>
      </c>
      <c r="L378" s="2">
        <v>49018</v>
      </c>
      <c r="M378" s="2">
        <v>27282</v>
      </c>
      <c r="N378" s="2">
        <v>0</v>
      </c>
      <c r="O378" s="2">
        <v>0</v>
      </c>
      <c r="P378" s="2"/>
      <c r="Q378" s="2">
        <v>3449</v>
      </c>
      <c r="R378" s="2">
        <v>48246</v>
      </c>
      <c r="S378" s="2">
        <v>49914</v>
      </c>
      <c r="T378" s="2">
        <v>42712</v>
      </c>
      <c r="U378" s="2">
        <v>0</v>
      </c>
      <c r="V378" s="2"/>
      <c r="W378" s="2">
        <v>42125</v>
      </c>
      <c r="X378" s="2">
        <v>34198</v>
      </c>
      <c r="Y378" s="2">
        <v>0</v>
      </c>
      <c r="Z378" s="2">
        <v>0</v>
      </c>
      <c r="AA378" s="2">
        <v>0</v>
      </c>
      <c r="AB378" s="2"/>
      <c r="AC378" s="2">
        <v>13727</v>
      </c>
      <c r="AD378" s="2">
        <v>13727</v>
      </c>
      <c r="AE378" s="2">
        <v>13725</v>
      </c>
      <c r="AF378" s="2">
        <v>0</v>
      </c>
      <c r="AG378" s="2">
        <v>0</v>
      </c>
      <c r="AH378" s="2"/>
      <c r="AI378" s="2">
        <v>-3171</v>
      </c>
      <c r="AJ378" s="2">
        <v>-1050</v>
      </c>
      <c r="AK378" s="2">
        <v>0</v>
      </c>
      <c r="AL378" s="2">
        <v>0</v>
      </c>
      <c r="AM378" s="2">
        <v>-1050</v>
      </c>
    </row>
    <row r="379" spans="1:39">
      <c r="A379" s="349">
        <v>93641</v>
      </c>
      <c r="B379" s="342" t="s">
        <v>1068</v>
      </c>
      <c r="C379" s="358">
        <v>3.724E-4</v>
      </c>
      <c r="E379" s="2">
        <v>139887</v>
      </c>
      <c r="F379" s="2">
        <v>185048</v>
      </c>
      <c r="G379" s="2">
        <v>115183</v>
      </c>
      <c r="H379" s="2">
        <v>55421</v>
      </c>
      <c r="I379" s="2">
        <v>0</v>
      </c>
      <c r="J379" s="2"/>
      <c r="K379" s="2">
        <v>69046</v>
      </c>
      <c r="L379" s="2">
        <v>63604</v>
      </c>
      <c r="M379" s="2">
        <v>35400</v>
      </c>
      <c r="N379" s="2">
        <v>0</v>
      </c>
      <c r="O379" s="2">
        <v>0</v>
      </c>
      <c r="P379" s="2"/>
      <c r="Q379" s="2">
        <v>4476</v>
      </c>
      <c r="R379" s="2">
        <v>62602</v>
      </c>
      <c r="S379" s="2">
        <v>64767</v>
      </c>
      <c r="T379" s="2">
        <v>55421</v>
      </c>
      <c r="U379" s="2">
        <v>0</v>
      </c>
      <c r="V379" s="2"/>
      <c r="W379" s="2">
        <v>54659</v>
      </c>
      <c r="X379" s="2">
        <v>44374</v>
      </c>
      <c r="Y379" s="2">
        <v>0</v>
      </c>
      <c r="Z379" s="2">
        <v>0</v>
      </c>
      <c r="AA379" s="2">
        <v>0</v>
      </c>
      <c r="AB379" s="2"/>
      <c r="AC379" s="2">
        <v>15013</v>
      </c>
      <c r="AD379" s="2">
        <v>15013</v>
      </c>
      <c r="AE379" s="2">
        <v>15016</v>
      </c>
      <c r="AF379" s="2">
        <v>0</v>
      </c>
      <c r="AG379" s="2">
        <v>0</v>
      </c>
      <c r="AH379" s="2"/>
      <c r="AI379" s="2">
        <v>-3307</v>
      </c>
      <c r="AJ379" s="2">
        <v>-545</v>
      </c>
      <c r="AK379" s="2">
        <v>0</v>
      </c>
      <c r="AL379" s="2">
        <v>0</v>
      </c>
      <c r="AM379" s="2">
        <v>-545</v>
      </c>
    </row>
    <row r="380" spans="1:39">
      <c r="A380" s="349">
        <v>93647</v>
      </c>
      <c r="B380" s="342" t="s">
        <v>1069</v>
      </c>
      <c r="C380" s="358">
        <v>4.6E-6</v>
      </c>
      <c r="E380" s="2">
        <v>5716</v>
      </c>
      <c r="F380" s="2">
        <v>4998</v>
      </c>
      <c r="G380" s="2">
        <v>2740</v>
      </c>
      <c r="H380" s="2">
        <v>685</v>
      </c>
      <c r="I380" s="2">
        <v>0</v>
      </c>
      <c r="J380" s="2"/>
      <c r="K380" s="2">
        <v>853</v>
      </c>
      <c r="L380" s="2">
        <v>786</v>
      </c>
      <c r="M380" s="2">
        <v>437</v>
      </c>
      <c r="N380" s="2">
        <v>0</v>
      </c>
      <c r="O380" s="2">
        <v>0</v>
      </c>
      <c r="P380" s="2"/>
      <c r="Q380" s="2">
        <v>55</v>
      </c>
      <c r="R380" s="2">
        <v>773</v>
      </c>
      <c r="S380" s="2">
        <v>800</v>
      </c>
      <c r="T380" s="2">
        <v>685</v>
      </c>
      <c r="U380" s="2">
        <v>0</v>
      </c>
      <c r="V380" s="2"/>
      <c r="W380" s="2">
        <v>675</v>
      </c>
      <c r="X380" s="2">
        <v>548</v>
      </c>
      <c r="Y380" s="2">
        <v>0</v>
      </c>
      <c r="Z380" s="2">
        <v>0</v>
      </c>
      <c r="AA380" s="2">
        <v>0</v>
      </c>
      <c r="AB380" s="2"/>
      <c r="AC380" s="2">
        <v>4133</v>
      </c>
      <c r="AD380" s="2">
        <v>2891</v>
      </c>
      <c r="AE380" s="2">
        <v>1503</v>
      </c>
      <c r="AF380" s="2">
        <v>0</v>
      </c>
      <c r="AG380" s="2">
        <v>0</v>
      </c>
      <c r="AH380" s="2"/>
      <c r="AI380" s="2">
        <v>0</v>
      </c>
      <c r="AJ380" s="2">
        <v>0</v>
      </c>
      <c r="AK380" s="2">
        <v>0</v>
      </c>
      <c r="AL380" s="2">
        <v>0</v>
      </c>
      <c r="AM380" s="2">
        <v>0</v>
      </c>
    </row>
    <row r="381" spans="1:39">
      <c r="A381" s="349">
        <v>93651</v>
      </c>
      <c r="B381" s="342" t="s">
        <v>1070</v>
      </c>
      <c r="C381" s="358">
        <v>4.4680000000000002E-4</v>
      </c>
      <c r="E381" s="2">
        <v>146616</v>
      </c>
      <c r="F381" s="2">
        <v>198865</v>
      </c>
      <c r="G381" s="2">
        <v>115431</v>
      </c>
      <c r="H381" s="2">
        <v>66494</v>
      </c>
      <c r="I381" s="2">
        <v>0</v>
      </c>
      <c r="J381" s="2"/>
      <c r="K381" s="2">
        <v>82841</v>
      </c>
      <c r="L381" s="2">
        <v>76311</v>
      </c>
      <c r="M381" s="2">
        <v>42472</v>
      </c>
      <c r="N381" s="2">
        <v>0</v>
      </c>
      <c r="O381" s="2">
        <v>0</v>
      </c>
      <c r="P381" s="2"/>
      <c r="Q381" s="2">
        <v>5370</v>
      </c>
      <c r="R381" s="2">
        <v>75109</v>
      </c>
      <c r="S381" s="2">
        <v>77707</v>
      </c>
      <c r="T381" s="2">
        <v>66494</v>
      </c>
      <c r="U381" s="2">
        <v>0</v>
      </c>
      <c r="V381" s="2"/>
      <c r="W381" s="2">
        <v>65580</v>
      </c>
      <c r="X381" s="2">
        <v>53239</v>
      </c>
      <c r="Y381" s="2">
        <v>0</v>
      </c>
      <c r="Z381" s="2">
        <v>0</v>
      </c>
      <c r="AA381" s="2">
        <v>0</v>
      </c>
      <c r="AB381" s="2"/>
      <c r="AC381" s="2">
        <v>861</v>
      </c>
      <c r="AD381" s="2">
        <v>861</v>
      </c>
      <c r="AE381" s="2">
        <v>862</v>
      </c>
      <c r="AF381" s="2">
        <v>0</v>
      </c>
      <c r="AG381" s="2">
        <v>0</v>
      </c>
      <c r="AH381" s="2"/>
      <c r="AI381" s="2">
        <v>-8036</v>
      </c>
      <c r="AJ381" s="2">
        <v>-6655</v>
      </c>
      <c r="AK381" s="2">
        <v>-5610</v>
      </c>
      <c r="AL381" s="2">
        <v>0</v>
      </c>
      <c r="AM381" s="2">
        <v>-6655</v>
      </c>
    </row>
    <row r="382" spans="1:39">
      <c r="A382" s="349">
        <v>93661</v>
      </c>
      <c r="B382" s="342" t="s">
        <v>1071</v>
      </c>
      <c r="C382" s="358">
        <v>1.4679999999999999E-4</v>
      </c>
      <c r="E382" s="2">
        <v>59092</v>
      </c>
      <c r="F382" s="2">
        <v>74917</v>
      </c>
      <c r="G382" s="2">
        <v>46055</v>
      </c>
      <c r="H382" s="2">
        <v>21847</v>
      </c>
      <c r="I382" s="2">
        <v>0</v>
      </c>
      <c r="J382" s="2"/>
      <c r="K382" s="2">
        <v>27218</v>
      </c>
      <c r="L382" s="2">
        <v>25073</v>
      </c>
      <c r="M382" s="2">
        <v>13955</v>
      </c>
      <c r="N382" s="2">
        <v>0</v>
      </c>
      <c r="O382" s="2">
        <v>0</v>
      </c>
      <c r="P382" s="2"/>
      <c r="Q382" s="2">
        <v>1764</v>
      </c>
      <c r="R382" s="2">
        <v>24678</v>
      </c>
      <c r="S382" s="2">
        <v>25531</v>
      </c>
      <c r="T382" s="2">
        <v>21847</v>
      </c>
      <c r="U382" s="2">
        <v>0</v>
      </c>
      <c r="V382" s="2"/>
      <c r="W382" s="2">
        <v>21547</v>
      </c>
      <c r="X382" s="2">
        <v>17492</v>
      </c>
      <c r="Y382" s="2">
        <v>0</v>
      </c>
      <c r="Z382" s="2">
        <v>0</v>
      </c>
      <c r="AA382" s="2">
        <v>0</v>
      </c>
      <c r="AB382" s="2"/>
      <c r="AC382" s="2">
        <v>10931</v>
      </c>
      <c r="AD382" s="2">
        <v>10042</v>
      </c>
      <c r="AE382" s="2">
        <v>8937</v>
      </c>
      <c r="AF382" s="2">
        <v>0</v>
      </c>
      <c r="AG382" s="2">
        <v>0</v>
      </c>
      <c r="AH382" s="2"/>
      <c r="AI382" s="2">
        <v>-2368</v>
      </c>
      <c r="AJ382" s="2">
        <v>-2368</v>
      </c>
      <c r="AK382" s="2">
        <v>-2368</v>
      </c>
      <c r="AL382" s="2">
        <v>0</v>
      </c>
      <c r="AM382" s="2">
        <v>-2368</v>
      </c>
    </row>
    <row r="383" spans="1:39">
      <c r="A383" s="349">
        <v>93671</v>
      </c>
      <c r="B383" s="342" t="s">
        <v>1072</v>
      </c>
      <c r="C383" s="358">
        <v>3.5520000000000001E-4</v>
      </c>
      <c r="E383" s="2">
        <v>139019</v>
      </c>
      <c r="F383" s="2">
        <v>179842</v>
      </c>
      <c r="G383" s="2">
        <v>111167</v>
      </c>
      <c r="H383" s="2">
        <v>52862</v>
      </c>
      <c r="I383" s="2">
        <v>0</v>
      </c>
      <c r="J383" s="2"/>
      <c r="K383" s="2">
        <v>65857</v>
      </c>
      <c r="L383" s="2">
        <v>60666</v>
      </c>
      <c r="M383" s="2">
        <v>33765</v>
      </c>
      <c r="N383" s="2">
        <v>0</v>
      </c>
      <c r="O383" s="2">
        <v>0</v>
      </c>
      <c r="P383" s="2"/>
      <c r="Q383" s="2">
        <v>4269</v>
      </c>
      <c r="R383" s="2">
        <v>59711</v>
      </c>
      <c r="S383" s="2">
        <v>61776</v>
      </c>
      <c r="T383" s="2">
        <v>52862</v>
      </c>
      <c r="U383" s="2">
        <v>0</v>
      </c>
      <c r="V383" s="2"/>
      <c r="W383" s="2">
        <v>52135</v>
      </c>
      <c r="X383" s="2">
        <v>42325</v>
      </c>
      <c r="Y383" s="2">
        <v>0</v>
      </c>
      <c r="Z383" s="2">
        <v>0</v>
      </c>
      <c r="AA383" s="2">
        <v>0</v>
      </c>
      <c r="AB383" s="2"/>
      <c r="AC383" s="2">
        <v>17141</v>
      </c>
      <c r="AD383" s="2">
        <v>17140</v>
      </c>
      <c r="AE383" s="2">
        <v>15626</v>
      </c>
      <c r="AF383" s="2">
        <v>0</v>
      </c>
      <c r="AG383" s="2">
        <v>0</v>
      </c>
      <c r="AH383" s="2"/>
      <c r="AI383" s="2">
        <v>-383</v>
      </c>
      <c r="AJ383" s="2">
        <v>0</v>
      </c>
      <c r="AK383" s="2">
        <v>0</v>
      </c>
      <c r="AL383" s="2">
        <v>0</v>
      </c>
      <c r="AM383" s="2">
        <v>0</v>
      </c>
    </row>
    <row r="384" spans="1:39">
      <c r="A384" s="349">
        <v>93681</v>
      </c>
      <c r="B384" s="342" t="s">
        <v>1073</v>
      </c>
      <c r="C384" s="358">
        <v>1.5789999999999999E-4</v>
      </c>
      <c r="E384" s="2">
        <v>68169</v>
      </c>
      <c r="F384" s="2">
        <v>86505</v>
      </c>
      <c r="G384" s="2">
        <v>55031</v>
      </c>
      <c r="H384" s="2">
        <v>23499</v>
      </c>
      <c r="I384" s="2">
        <v>0</v>
      </c>
      <c r="J384" s="2"/>
      <c r="K384" s="2">
        <v>29276</v>
      </c>
      <c r="L384" s="2">
        <v>26968</v>
      </c>
      <c r="M384" s="2">
        <v>15010</v>
      </c>
      <c r="N384" s="2">
        <v>0</v>
      </c>
      <c r="O384" s="2">
        <v>0</v>
      </c>
      <c r="P384" s="2"/>
      <c r="Q384" s="2">
        <v>1898</v>
      </c>
      <c r="R384" s="2">
        <v>26544</v>
      </c>
      <c r="S384" s="2">
        <v>27462</v>
      </c>
      <c r="T384" s="2">
        <v>23499</v>
      </c>
      <c r="U384" s="2">
        <v>0</v>
      </c>
      <c r="V384" s="2"/>
      <c r="W384" s="2">
        <v>23176</v>
      </c>
      <c r="X384" s="2">
        <v>18815</v>
      </c>
      <c r="Y384" s="2">
        <v>0</v>
      </c>
      <c r="Z384" s="2">
        <v>0</v>
      </c>
      <c r="AA384" s="2">
        <v>0</v>
      </c>
      <c r="AB384" s="2"/>
      <c r="AC384" s="2">
        <v>14177</v>
      </c>
      <c r="AD384" s="2">
        <v>14178</v>
      </c>
      <c r="AE384" s="2">
        <v>12559</v>
      </c>
      <c r="AF384" s="2">
        <v>0</v>
      </c>
      <c r="AG384" s="2">
        <v>0</v>
      </c>
      <c r="AH384" s="2"/>
      <c r="AI384" s="2">
        <v>-358</v>
      </c>
      <c r="AJ384" s="2">
        <v>0</v>
      </c>
      <c r="AK384" s="2">
        <v>0</v>
      </c>
      <c r="AL384" s="2">
        <v>0</v>
      </c>
      <c r="AM384" s="2">
        <v>0</v>
      </c>
    </row>
    <row r="385" spans="1:39">
      <c r="A385" s="349">
        <v>93691</v>
      </c>
      <c r="B385" s="342" t="s">
        <v>1074</v>
      </c>
      <c r="C385" s="358">
        <v>1.0933E-3</v>
      </c>
      <c r="E385" s="2">
        <v>349529</v>
      </c>
      <c r="F385" s="2">
        <v>487446</v>
      </c>
      <c r="G385" s="2">
        <v>291266</v>
      </c>
      <c r="H385" s="2">
        <v>162707</v>
      </c>
      <c r="I385" s="2">
        <v>0</v>
      </c>
      <c r="J385" s="2"/>
      <c r="K385" s="2">
        <v>202708</v>
      </c>
      <c r="L385" s="2">
        <v>186729</v>
      </c>
      <c r="M385" s="2">
        <v>103927</v>
      </c>
      <c r="N385" s="2">
        <v>0</v>
      </c>
      <c r="O385" s="2">
        <v>0</v>
      </c>
      <c r="P385" s="2"/>
      <c r="Q385" s="2">
        <v>13140</v>
      </c>
      <c r="R385" s="2">
        <v>183789</v>
      </c>
      <c r="S385" s="2">
        <v>190145</v>
      </c>
      <c r="T385" s="2">
        <v>162707</v>
      </c>
      <c r="U385" s="2">
        <v>0</v>
      </c>
      <c r="V385" s="2"/>
      <c r="W385" s="2">
        <v>160470</v>
      </c>
      <c r="X385" s="2">
        <v>130274</v>
      </c>
      <c r="Y385" s="2">
        <v>0</v>
      </c>
      <c r="Z385" s="2">
        <v>0</v>
      </c>
      <c r="AA385" s="2">
        <v>0</v>
      </c>
      <c r="AB385" s="2"/>
      <c r="AC385" s="2">
        <v>5653</v>
      </c>
      <c r="AD385" s="2">
        <v>5653</v>
      </c>
      <c r="AE385" s="2">
        <v>5651</v>
      </c>
      <c r="AF385" s="2">
        <v>0</v>
      </c>
      <c r="AG385" s="2">
        <v>0</v>
      </c>
      <c r="AH385" s="2"/>
      <c r="AI385" s="2">
        <v>-32442</v>
      </c>
      <c r="AJ385" s="2">
        <v>-18999</v>
      </c>
      <c r="AK385" s="2">
        <v>-8457</v>
      </c>
      <c r="AL385" s="2">
        <v>0</v>
      </c>
      <c r="AM385" s="2">
        <v>-18999</v>
      </c>
    </row>
    <row r="386" spans="1:39">
      <c r="A386" s="349">
        <v>93701</v>
      </c>
      <c r="B386" s="342" t="s">
        <v>1075</v>
      </c>
      <c r="C386" s="358">
        <v>4.2969999999999998E-4</v>
      </c>
      <c r="E386" s="2">
        <v>136770</v>
      </c>
      <c r="F386" s="2">
        <v>188051</v>
      </c>
      <c r="G386" s="2">
        <v>107036</v>
      </c>
      <c r="H386" s="2">
        <v>63949</v>
      </c>
      <c r="I386" s="2">
        <v>0</v>
      </c>
      <c r="J386" s="2"/>
      <c r="K386" s="2">
        <v>79670</v>
      </c>
      <c r="L386" s="2">
        <v>73390</v>
      </c>
      <c r="M386" s="2">
        <v>40846</v>
      </c>
      <c r="N386" s="2">
        <v>0</v>
      </c>
      <c r="O386" s="2">
        <v>0</v>
      </c>
      <c r="P386" s="2"/>
      <c r="Q386" s="2">
        <v>5165</v>
      </c>
      <c r="R386" s="2">
        <v>72235</v>
      </c>
      <c r="S386" s="2">
        <v>74733</v>
      </c>
      <c r="T386" s="2">
        <v>63949</v>
      </c>
      <c r="U386" s="2">
        <v>0</v>
      </c>
      <c r="V386" s="2"/>
      <c r="W386" s="2">
        <v>63070</v>
      </c>
      <c r="X386" s="2">
        <v>51202</v>
      </c>
      <c r="Y386" s="2">
        <v>0</v>
      </c>
      <c r="Z386" s="2">
        <v>0</v>
      </c>
      <c r="AA386" s="2">
        <v>0</v>
      </c>
      <c r="AB386" s="2"/>
      <c r="AC386" s="2">
        <v>0</v>
      </c>
      <c r="AD386" s="2">
        <v>0</v>
      </c>
      <c r="AE386" s="2">
        <v>0</v>
      </c>
      <c r="AF386" s="2">
        <v>0</v>
      </c>
      <c r="AG386" s="2">
        <v>0</v>
      </c>
      <c r="AH386" s="2"/>
      <c r="AI386" s="2">
        <v>-11135</v>
      </c>
      <c r="AJ386" s="2">
        <v>-8776</v>
      </c>
      <c r="AK386" s="2">
        <v>-8543</v>
      </c>
      <c r="AL386" s="2">
        <v>0</v>
      </c>
      <c r="AM386" s="2">
        <v>-8776</v>
      </c>
    </row>
    <row r="387" spans="1:39">
      <c r="A387" s="349">
        <v>93704</v>
      </c>
      <c r="B387" s="342" t="s">
        <v>1076</v>
      </c>
      <c r="C387" s="358">
        <v>1.9999999999999999E-6</v>
      </c>
      <c r="E387" s="2">
        <v>1196</v>
      </c>
      <c r="F387" s="2">
        <v>1358</v>
      </c>
      <c r="G387" s="2">
        <v>889</v>
      </c>
      <c r="H387" s="2">
        <v>298</v>
      </c>
      <c r="I387" s="2">
        <v>0</v>
      </c>
      <c r="J387" s="2"/>
      <c r="K387" s="2">
        <v>371</v>
      </c>
      <c r="L387" s="2">
        <v>342</v>
      </c>
      <c r="M387" s="2">
        <v>190</v>
      </c>
      <c r="N387" s="2">
        <v>0</v>
      </c>
      <c r="O387" s="2">
        <v>0</v>
      </c>
      <c r="P387" s="2"/>
      <c r="Q387" s="2">
        <v>24</v>
      </c>
      <c r="R387" s="2">
        <v>336</v>
      </c>
      <c r="S387" s="2">
        <v>348</v>
      </c>
      <c r="T387" s="2">
        <v>298</v>
      </c>
      <c r="U387" s="2">
        <v>0</v>
      </c>
      <c r="V387" s="2"/>
      <c r="W387" s="2">
        <v>294</v>
      </c>
      <c r="X387" s="2">
        <v>238</v>
      </c>
      <c r="Y387" s="2">
        <v>0</v>
      </c>
      <c r="Z387" s="2">
        <v>0</v>
      </c>
      <c r="AA387" s="2">
        <v>0</v>
      </c>
      <c r="AB387" s="2"/>
      <c r="AC387" s="2">
        <v>507</v>
      </c>
      <c r="AD387" s="2">
        <v>442</v>
      </c>
      <c r="AE387" s="2">
        <v>351</v>
      </c>
      <c r="AF387" s="2">
        <v>0</v>
      </c>
      <c r="AG387" s="2">
        <v>0</v>
      </c>
      <c r="AH387" s="2"/>
      <c r="AI387" s="2">
        <v>0</v>
      </c>
      <c r="AJ387" s="2">
        <v>0</v>
      </c>
      <c r="AK387" s="2">
        <v>0</v>
      </c>
      <c r="AL387" s="2">
        <v>0</v>
      </c>
      <c r="AM387" s="2">
        <v>0</v>
      </c>
    </row>
    <row r="388" spans="1:39">
      <c r="A388" s="349">
        <v>93801</v>
      </c>
      <c r="B388" s="342" t="s">
        <v>1077</v>
      </c>
      <c r="C388" s="358">
        <v>4.3399999999999998E-4</v>
      </c>
      <c r="E388" s="2">
        <v>130957</v>
      </c>
      <c r="F388" s="2">
        <v>193686</v>
      </c>
      <c r="G388" s="2">
        <v>120852</v>
      </c>
      <c r="H388" s="2">
        <v>64589</v>
      </c>
      <c r="I388" s="2">
        <v>0</v>
      </c>
      <c r="J388" s="2"/>
      <c r="K388" s="2">
        <v>80468</v>
      </c>
      <c r="L388" s="2">
        <v>74125</v>
      </c>
      <c r="M388" s="2">
        <v>41255</v>
      </c>
      <c r="N388" s="2">
        <v>0</v>
      </c>
      <c r="O388" s="2">
        <v>0</v>
      </c>
      <c r="P388" s="2"/>
      <c r="Q388" s="2">
        <v>5216</v>
      </c>
      <c r="R388" s="2">
        <v>72958</v>
      </c>
      <c r="S388" s="2">
        <v>75480</v>
      </c>
      <c r="T388" s="2">
        <v>64589</v>
      </c>
      <c r="U388" s="2">
        <v>0</v>
      </c>
      <c r="V388" s="2"/>
      <c r="W388" s="2">
        <v>63701</v>
      </c>
      <c r="X388" s="2">
        <v>51714</v>
      </c>
      <c r="Y388" s="2">
        <v>0</v>
      </c>
      <c r="Z388" s="2">
        <v>0</v>
      </c>
      <c r="AA388" s="2">
        <v>0</v>
      </c>
      <c r="AB388" s="2"/>
      <c r="AC388" s="2">
        <v>5792</v>
      </c>
      <c r="AD388" s="2">
        <v>5792</v>
      </c>
      <c r="AE388" s="2">
        <v>5791</v>
      </c>
      <c r="AF388" s="2">
        <v>0</v>
      </c>
      <c r="AG388" s="2">
        <v>0</v>
      </c>
      <c r="AH388" s="2"/>
      <c r="AI388" s="2">
        <v>-24220</v>
      </c>
      <c r="AJ388" s="2">
        <v>-10903</v>
      </c>
      <c r="AK388" s="2">
        <v>-1674</v>
      </c>
      <c r="AL388" s="2">
        <v>0</v>
      </c>
      <c r="AM388" s="2">
        <v>-10903</v>
      </c>
    </row>
    <row r="389" spans="1:39">
      <c r="A389" s="349">
        <v>93803</v>
      </c>
      <c r="B389" s="342" t="s">
        <v>3669</v>
      </c>
      <c r="C389" s="358">
        <v>1.039E-4</v>
      </c>
      <c r="E389" s="2">
        <v>28977</v>
      </c>
      <c r="F389" s="2">
        <v>45928</v>
      </c>
      <c r="G389" s="2">
        <v>28787</v>
      </c>
      <c r="H389" s="2">
        <v>15463</v>
      </c>
      <c r="I389" s="2">
        <v>0</v>
      </c>
      <c r="J389" s="2"/>
      <c r="K389" s="2">
        <v>19264</v>
      </c>
      <c r="L389" s="2">
        <v>17745</v>
      </c>
      <c r="M389" s="2">
        <v>9877</v>
      </c>
      <c r="N389" s="2">
        <v>0</v>
      </c>
      <c r="O389" s="2">
        <v>0</v>
      </c>
      <c r="P389" s="2"/>
      <c r="Q389" s="2">
        <v>1249</v>
      </c>
      <c r="R389" s="2">
        <v>17466</v>
      </c>
      <c r="S389" s="2">
        <v>18070</v>
      </c>
      <c r="T389" s="2">
        <v>15463</v>
      </c>
      <c r="U389" s="2">
        <v>0</v>
      </c>
      <c r="V389" s="2"/>
      <c r="W389" s="2">
        <v>15250</v>
      </c>
      <c r="X389" s="2">
        <v>12380</v>
      </c>
      <c r="Y389" s="2">
        <v>0</v>
      </c>
      <c r="Z389" s="2">
        <v>0</v>
      </c>
      <c r="AA389" s="2">
        <v>0</v>
      </c>
      <c r="AB389" s="2"/>
      <c r="AC389" s="2">
        <v>5315</v>
      </c>
      <c r="AD389" s="2">
        <v>5315</v>
      </c>
      <c r="AE389" s="2">
        <v>5315</v>
      </c>
      <c r="AF389" s="2">
        <v>0</v>
      </c>
      <c r="AG389" s="2">
        <v>0</v>
      </c>
      <c r="AH389" s="2"/>
      <c r="AI389" s="2">
        <v>-12101</v>
      </c>
      <c r="AJ389" s="2">
        <v>-6978</v>
      </c>
      <c r="AK389" s="2">
        <v>-4475</v>
      </c>
      <c r="AL389" s="2">
        <v>0</v>
      </c>
      <c r="AM389" s="2">
        <v>-6978</v>
      </c>
    </row>
    <row r="390" spans="1:39">
      <c r="A390" s="349">
        <v>93806</v>
      </c>
      <c r="B390" s="342" t="s">
        <v>3670</v>
      </c>
      <c r="C390" s="358">
        <v>7.0599999999999995E-5</v>
      </c>
      <c r="E390" s="2">
        <v>20463</v>
      </c>
      <c r="F390" s="2">
        <v>25468</v>
      </c>
      <c r="G390" s="2">
        <v>14241</v>
      </c>
      <c r="H390" s="2">
        <v>10507</v>
      </c>
      <c r="I390" s="2">
        <v>0</v>
      </c>
      <c r="J390" s="2"/>
      <c r="K390" s="2">
        <v>13090</v>
      </c>
      <c r="L390" s="2">
        <v>12058</v>
      </c>
      <c r="M390" s="2">
        <v>6711</v>
      </c>
      <c r="N390" s="2">
        <v>0</v>
      </c>
      <c r="O390" s="2">
        <v>0</v>
      </c>
      <c r="P390" s="2"/>
      <c r="Q390" s="2">
        <v>849</v>
      </c>
      <c r="R390" s="2">
        <v>11868</v>
      </c>
      <c r="S390" s="2">
        <v>12279</v>
      </c>
      <c r="T390" s="2">
        <v>10507</v>
      </c>
      <c r="U390" s="2">
        <v>0</v>
      </c>
      <c r="V390" s="2"/>
      <c r="W390" s="2">
        <v>10362</v>
      </c>
      <c r="X390" s="2">
        <v>8412</v>
      </c>
      <c r="Y390" s="2">
        <v>0</v>
      </c>
      <c r="Z390" s="2">
        <v>0</v>
      </c>
      <c r="AA390" s="2">
        <v>0</v>
      </c>
      <c r="AB390" s="2"/>
      <c r="AC390" s="2">
        <v>3449</v>
      </c>
      <c r="AD390" s="2">
        <v>416</v>
      </c>
      <c r="AE390" s="2">
        <v>417</v>
      </c>
      <c r="AF390" s="2">
        <v>0</v>
      </c>
      <c r="AG390" s="2">
        <v>0</v>
      </c>
      <c r="AH390" s="2"/>
      <c r="AI390" s="2">
        <v>-7287</v>
      </c>
      <c r="AJ390" s="2">
        <v>-7286</v>
      </c>
      <c r="AK390" s="2">
        <v>-5166</v>
      </c>
      <c r="AL390" s="2">
        <v>0</v>
      </c>
      <c r="AM390" s="2">
        <v>-7286</v>
      </c>
    </row>
    <row r="391" spans="1:39">
      <c r="A391" s="349">
        <v>93821</v>
      </c>
      <c r="B391" s="342" t="s">
        <v>1080</v>
      </c>
      <c r="C391" s="358">
        <v>6.2199999999999994E-5</v>
      </c>
      <c r="E391" s="2">
        <v>30483</v>
      </c>
      <c r="F391" s="2">
        <v>37649</v>
      </c>
      <c r="G391" s="2">
        <v>15707</v>
      </c>
      <c r="H391" s="2">
        <v>9257</v>
      </c>
      <c r="I391" s="2">
        <v>0</v>
      </c>
      <c r="J391" s="2"/>
      <c r="K391" s="2">
        <v>11532</v>
      </c>
      <c r="L391" s="2">
        <v>10623</v>
      </c>
      <c r="M391" s="2">
        <v>5913</v>
      </c>
      <c r="N391" s="2">
        <v>0</v>
      </c>
      <c r="O391" s="2">
        <v>0</v>
      </c>
      <c r="P391" s="2"/>
      <c r="Q391" s="2">
        <v>748</v>
      </c>
      <c r="R391" s="2">
        <v>10456</v>
      </c>
      <c r="S391" s="2">
        <v>10818</v>
      </c>
      <c r="T391" s="2">
        <v>9257</v>
      </c>
      <c r="U391" s="2">
        <v>0</v>
      </c>
      <c r="V391" s="2"/>
      <c r="W391" s="2">
        <v>9129</v>
      </c>
      <c r="X391" s="2">
        <v>7412</v>
      </c>
      <c r="Y391" s="2">
        <v>0</v>
      </c>
      <c r="Z391" s="2">
        <v>0</v>
      </c>
      <c r="AA391" s="2">
        <v>0</v>
      </c>
      <c r="AB391" s="2"/>
      <c r="AC391" s="2">
        <v>12365</v>
      </c>
      <c r="AD391" s="2">
        <v>12363</v>
      </c>
      <c r="AE391" s="2">
        <v>2180</v>
      </c>
      <c r="AF391" s="2">
        <v>0</v>
      </c>
      <c r="AG391" s="2">
        <v>0</v>
      </c>
      <c r="AH391" s="2"/>
      <c r="AI391" s="2">
        <v>-3291</v>
      </c>
      <c r="AJ391" s="2">
        <v>-3205</v>
      </c>
      <c r="AK391" s="2">
        <v>-3204</v>
      </c>
      <c r="AL391" s="2">
        <v>0</v>
      </c>
      <c r="AM391" s="2">
        <v>-3205</v>
      </c>
    </row>
    <row r="392" spans="1:39">
      <c r="A392" s="349">
        <v>93901</v>
      </c>
      <c r="B392" s="342" t="s">
        <v>1081</v>
      </c>
      <c r="C392" s="358">
        <v>1.8209999999999999E-3</v>
      </c>
      <c r="E392" s="2">
        <v>719822</v>
      </c>
      <c r="F392" s="2">
        <v>916169</v>
      </c>
      <c r="G392" s="2">
        <v>557966</v>
      </c>
      <c r="H392" s="2">
        <v>271005</v>
      </c>
      <c r="I392" s="2">
        <v>0</v>
      </c>
      <c r="J392" s="2"/>
      <c r="K392" s="2">
        <v>337630</v>
      </c>
      <c r="L392" s="2">
        <v>311016</v>
      </c>
      <c r="M392" s="2">
        <v>173101</v>
      </c>
      <c r="N392" s="2">
        <v>0</v>
      </c>
      <c r="O392" s="2">
        <v>0</v>
      </c>
      <c r="P392" s="2"/>
      <c r="Q392" s="2">
        <v>21887</v>
      </c>
      <c r="R392" s="2">
        <v>306119</v>
      </c>
      <c r="S392" s="2">
        <v>316705</v>
      </c>
      <c r="T392" s="2">
        <v>271005</v>
      </c>
      <c r="U392" s="2">
        <v>0</v>
      </c>
      <c r="V392" s="2"/>
      <c r="W392" s="2">
        <v>267279</v>
      </c>
      <c r="X392" s="2">
        <v>216985</v>
      </c>
      <c r="Y392" s="2">
        <v>0</v>
      </c>
      <c r="Z392" s="2">
        <v>0</v>
      </c>
      <c r="AA392" s="2">
        <v>0</v>
      </c>
      <c r="AB392" s="2"/>
      <c r="AC392" s="2">
        <v>93026</v>
      </c>
      <c r="AD392" s="2">
        <v>82049</v>
      </c>
      <c r="AE392" s="2">
        <v>68160</v>
      </c>
      <c r="AF392" s="2">
        <v>0</v>
      </c>
      <c r="AG392" s="2">
        <v>0</v>
      </c>
      <c r="AH392" s="2"/>
      <c r="AI392" s="2">
        <v>0</v>
      </c>
      <c r="AJ392" s="2">
        <v>0</v>
      </c>
      <c r="AK392" s="2">
        <v>0</v>
      </c>
      <c r="AL392" s="2">
        <v>0</v>
      </c>
      <c r="AM392" s="2">
        <v>0</v>
      </c>
    </row>
    <row r="393" spans="1:39">
      <c r="A393" s="349">
        <v>93904</v>
      </c>
      <c r="B393" s="342" t="s">
        <v>3671</v>
      </c>
      <c r="C393" s="358">
        <v>3.1900000000000003E-5</v>
      </c>
      <c r="E393" s="2">
        <v>17549</v>
      </c>
      <c r="F393" s="2">
        <v>19588</v>
      </c>
      <c r="G393" s="2">
        <v>12109</v>
      </c>
      <c r="H393" s="2">
        <v>4747</v>
      </c>
      <c r="I393" s="2">
        <v>0</v>
      </c>
      <c r="J393" s="2"/>
      <c r="K393" s="2">
        <v>5915</v>
      </c>
      <c r="L393" s="2">
        <v>5448</v>
      </c>
      <c r="M393" s="2">
        <v>3032</v>
      </c>
      <c r="N393" s="2">
        <v>0</v>
      </c>
      <c r="O393" s="2">
        <v>0</v>
      </c>
      <c r="P393" s="2"/>
      <c r="Q393" s="2">
        <v>383</v>
      </c>
      <c r="R393" s="2">
        <v>5363</v>
      </c>
      <c r="S393" s="2">
        <v>5548</v>
      </c>
      <c r="T393" s="2">
        <v>4747</v>
      </c>
      <c r="U393" s="2">
        <v>0</v>
      </c>
      <c r="V393" s="2"/>
      <c r="W393" s="2">
        <v>4682</v>
      </c>
      <c r="X393" s="2">
        <v>3801</v>
      </c>
      <c r="Y393" s="2">
        <v>0</v>
      </c>
      <c r="Z393" s="2">
        <v>0</v>
      </c>
      <c r="AA393" s="2">
        <v>0</v>
      </c>
      <c r="AB393" s="2"/>
      <c r="AC393" s="2">
        <v>6569</v>
      </c>
      <c r="AD393" s="2">
        <v>4976</v>
      </c>
      <c r="AE393" s="2">
        <v>3529</v>
      </c>
      <c r="AF393" s="2">
        <v>0</v>
      </c>
      <c r="AG393" s="2">
        <v>0</v>
      </c>
      <c r="AH393" s="2"/>
      <c r="AI393" s="2">
        <v>0</v>
      </c>
      <c r="AJ393" s="2">
        <v>0</v>
      </c>
      <c r="AK393" s="2">
        <v>0</v>
      </c>
      <c r="AL393" s="2">
        <v>0</v>
      </c>
      <c r="AM393" s="2">
        <v>0</v>
      </c>
    </row>
    <row r="394" spans="1:39">
      <c r="A394" s="349">
        <v>93906</v>
      </c>
      <c r="B394" s="342" t="s">
        <v>1083</v>
      </c>
      <c r="C394" s="358">
        <v>3.0739999999999999E-3</v>
      </c>
      <c r="E394" s="2">
        <v>951786</v>
      </c>
      <c r="F394" s="2">
        <v>1326226</v>
      </c>
      <c r="G394" s="2">
        <v>788126</v>
      </c>
      <c r="H394" s="2">
        <v>457479</v>
      </c>
      <c r="I394" s="2">
        <v>0</v>
      </c>
      <c r="J394" s="2"/>
      <c r="K394" s="2">
        <v>569947</v>
      </c>
      <c r="L394" s="2">
        <v>525021</v>
      </c>
      <c r="M394" s="2">
        <v>292208</v>
      </c>
      <c r="N394" s="2">
        <v>0</v>
      </c>
      <c r="O394" s="2">
        <v>0</v>
      </c>
      <c r="P394" s="2"/>
      <c r="Q394" s="2">
        <v>36946</v>
      </c>
      <c r="R394" s="2">
        <v>516755</v>
      </c>
      <c r="S394" s="2">
        <v>534624</v>
      </c>
      <c r="T394" s="2">
        <v>457479</v>
      </c>
      <c r="U394" s="2">
        <v>0</v>
      </c>
      <c r="V394" s="2"/>
      <c r="W394" s="2">
        <v>451189</v>
      </c>
      <c r="X394" s="2">
        <v>366289</v>
      </c>
      <c r="Y394" s="2">
        <v>0</v>
      </c>
      <c r="Z394" s="2">
        <v>0</v>
      </c>
      <c r="AA394" s="2">
        <v>0</v>
      </c>
      <c r="AB394" s="2"/>
      <c r="AC394" s="2">
        <v>0</v>
      </c>
      <c r="AD394" s="2">
        <v>0</v>
      </c>
      <c r="AE394" s="2">
        <v>0</v>
      </c>
      <c r="AF394" s="2">
        <v>0</v>
      </c>
      <c r="AG394" s="2">
        <v>0</v>
      </c>
      <c r="AH394" s="2"/>
      <c r="AI394" s="2">
        <v>-106296</v>
      </c>
      <c r="AJ394" s="2">
        <v>-81839</v>
      </c>
      <c r="AK394" s="2">
        <v>-38706</v>
      </c>
      <c r="AL394" s="2">
        <v>0</v>
      </c>
      <c r="AM394" s="2">
        <v>-81839</v>
      </c>
    </row>
    <row r="395" spans="1:39">
      <c r="A395" s="349">
        <v>93908</v>
      </c>
      <c r="B395" s="342" t="s">
        <v>1084</v>
      </c>
      <c r="C395" s="358">
        <v>5.1579999999999996E-4</v>
      </c>
      <c r="E395" s="2">
        <v>187581</v>
      </c>
      <c r="F395" s="2">
        <v>244272</v>
      </c>
      <c r="G395" s="2">
        <v>151617</v>
      </c>
      <c r="H395" s="2">
        <v>76762</v>
      </c>
      <c r="I395" s="2">
        <v>0</v>
      </c>
      <c r="J395" s="2"/>
      <c r="K395" s="2">
        <v>95634</v>
      </c>
      <c r="L395" s="2">
        <v>88096</v>
      </c>
      <c r="M395" s="2">
        <v>49031</v>
      </c>
      <c r="N395" s="2">
        <v>0</v>
      </c>
      <c r="O395" s="2">
        <v>0</v>
      </c>
      <c r="P395" s="2"/>
      <c r="Q395" s="2">
        <v>6199</v>
      </c>
      <c r="R395" s="2">
        <v>86709</v>
      </c>
      <c r="S395" s="2">
        <v>89707</v>
      </c>
      <c r="T395" s="2">
        <v>76762</v>
      </c>
      <c r="U395" s="2">
        <v>0</v>
      </c>
      <c r="V395" s="2"/>
      <c r="W395" s="2">
        <v>75707</v>
      </c>
      <c r="X395" s="2">
        <v>61461</v>
      </c>
      <c r="Y395" s="2">
        <v>0</v>
      </c>
      <c r="Z395" s="2">
        <v>0</v>
      </c>
      <c r="AA395" s="2">
        <v>0</v>
      </c>
      <c r="AB395" s="2"/>
      <c r="AC395" s="2">
        <v>14914</v>
      </c>
      <c r="AD395" s="2">
        <v>12878</v>
      </c>
      <c r="AE395" s="2">
        <v>12879</v>
      </c>
      <c r="AF395" s="2">
        <v>0</v>
      </c>
      <c r="AG395" s="2">
        <v>0</v>
      </c>
      <c r="AH395" s="2"/>
      <c r="AI395" s="2">
        <v>-4873</v>
      </c>
      <c r="AJ395" s="2">
        <v>-4872</v>
      </c>
      <c r="AK395" s="2">
        <v>0</v>
      </c>
      <c r="AL395" s="2">
        <v>0</v>
      </c>
      <c r="AM395" s="2">
        <v>-4872</v>
      </c>
    </row>
    <row r="396" spans="1:39">
      <c r="A396" s="349">
        <v>93910</v>
      </c>
      <c r="B396" s="342" t="s">
        <v>1085</v>
      </c>
      <c r="C396" s="358">
        <v>2.6459999999999998E-4</v>
      </c>
      <c r="E396" s="2">
        <v>97265</v>
      </c>
      <c r="F396" s="2">
        <v>131588</v>
      </c>
      <c r="G396" s="2">
        <v>85528</v>
      </c>
      <c r="H396" s="2">
        <v>39378</v>
      </c>
      <c r="I396" s="2">
        <v>0</v>
      </c>
      <c r="J396" s="2"/>
      <c r="K396" s="2">
        <v>49059</v>
      </c>
      <c r="L396" s="2">
        <v>45192</v>
      </c>
      <c r="M396" s="2">
        <v>25152</v>
      </c>
      <c r="N396" s="2">
        <v>0</v>
      </c>
      <c r="O396" s="2">
        <v>0</v>
      </c>
      <c r="P396" s="2"/>
      <c r="Q396" s="2">
        <v>3180</v>
      </c>
      <c r="R396" s="2">
        <v>44481</v>
      </c>
      <c r="S396" s="2">
        <v>46019</v>
      </c>
      <c r="T396" s="2">
        <v>39378</v>
      </c>
      <c r="U396" s="2">
        <v>0</v>
      </c>
      <c r="V396" s="2"/>
      <c r="W396" s="2">
        <v>38837</v>
      </c>
      <c r="X396" s="2">
        <v>31529</v>
      </c>
      <c r="Y396" s="2">
        <v>0</v>
      </c>
      <c r="Z396" s="2">
        <v>0</v>
      </c>
      <c r="AA396" s="2">
        <v>0</v>
      </c>
      <c r="AB396" s="2"/>
      <c r="AC396" s="2">
        <v>18959</v>
      </c>
      <c r="AD396" s="2">
        <v>18959</v>
      </c>
      <c r="AE396" s="2">
        <v>18960</v>
      </c>
      <c r="AF396" s="2">
        <v>0</v>
      </c>
      <c r="AG396" s="2">
        <v>0</v>
      </c>
      <c r="AH396" s="2"/>
      <c r="AI396" s="2">
        <v>-12770</v>
      </c>
      <c r="AJ396" s="2">
        <v>-8573</v>
      </c>
      <c r="AK396" s="2">
        <v>-4603</v>
      </c>
      <c r="AL396" s="2">
        <v>0</v>
      </c>
      <c r="AM396" s="2">
        <v>-8573</v>
      </c>
    </row>
    <row r="397" spans="1:39">
      <c r="A397" s="349">
        <v>93911</v>
      </c>
      <c r="B397" s="342" t="s">
        <v>1086</v>
      </c>
      <c r="C397" s="358">
        <v>6.1660000000000003E-4</v>
      </c>
      <c r="E397" s="2">
        <v>197463</v>
      </c>
      <c r="F397" s="2">
        <v>276335</v>
      </c>
      <c r="G397" s="2">
        <v>156181</v>
      </c>
      <c r="H397" s="2">
        <v>91764</v>
      </c>
      <c r="I397" s="2">
        <v>0</v>
      </c>
      <c r="J397" s="2"/>
      <c r="K397" s="2">
        <v>114323</v>
      </c>
      <c r="L397" s="2">
        <v>105312</v>
      </c>
      <c r="M397" s="2">
        <v>58613</v>
      </c>
      <c r="N397" s="2">
        <v>0</v>
      </c>
      <c r="O397" s="2">
        <v>0</v>
      </c>
      <c r="P397" s="2"/>
      <c r="Q397" s="2">
        <v>7411</v>
      </c>
      <c r="R397" s="2">
        <v>103654</v>
      </c>
      <c r="S397" s="2">
        <v>107238</v>
      </c>
      <c r="T397" s="2">
        <v>91764</v>
      </c>
      <c r="U397" s="2">
        <v>0</v>
      </c>
      <c r="V397" s="2"/>
      <c r="W397" s="2">
        <v>90502</v>
      </c>
      <c r="X397" s="2">
        <v>73472</v>
      </c>
      <c r="Y397" s="2">
        <v>0</v>
      </c>
      <c r="Z397" s="2">
        <v>0</v>
      </c>
      <c r="AA397" s="2">
        <v>0</v>
      </c>
      <c r="AB397" s="2"/>
      <c r="AC397" s="2">
        <v>3567</v>
      </c>
      <c r="AD397" s="2">
        <v>3569</v>
      </c>
      <c r="AE397" s="2">
        <v>0</v>
      </c>
      <c r="AF397" s="2">
        <v>0</v>
      </c>
      <c r="AG397" s="2">
        <v>0</v>
      </c>
      <c r="AH397" s="2"/>
      <c r="AI397" s="2">
        <v>-18340</v>
      </c>
      <c r="AJ397" s="2">
        <v>-9672</v>
      </c>
      <c r="AK397" s="2">
        <v>-9670</v>
      </c>
      <c r="AL397" s="2">
        <v>0</v>
      </c>
      <c r="AM397" s="2">
        <v>-9672</v>
      </c>
    </row>
    <row r="398" spans="1:39">
      <c r="A398" s="349">
        <v>93913</v>
      </c>
      <c r="B398" s="342" t="s">
        <v>1087</v>
      </c>
      <c r="C398" s="358">
        <v>4.6699999999999997E-5</v>
      </c>
      <c r="E398" s="2">
        <v>17364</v>
      </c>
      <c r="F398" s="2">
        <v>22733</v>
      </c>
      <c r="G398" s="2">
        <v>13172</v>
      </c>
      <c r="H398" s="2">
        <v>6950</v>
      </c>
      <c r="I398" s="2">
        <v>0</v>
      </c>
      <c r="J398" s="2"/>
      <c r="K398" s="2">
        <v>8659</v>
      </c>
      <c r="L398" s="2">
        <v>7976</v>
      </c>
      <c r="M398" s="2">
        <v>4439</v>
      </c>
      <c r="N398" s="2">
        <v>0</v>
      </c>
      <c r="O398" s="2">
        <v>0</v>
      </c>
      <c r="P398" s="2"/>
      <c r="Q398" s="2">
        <v>561</v>
      </c>
      <c r="R398" s="2">
        <v>7851</v>
      </c>
      <c r="S398" s="2">
        <v>8122</v>
      </c>
      <c r="T398" s="2">
        <v>6950</v>
      </c>
      <c r="U398" s="2">
        <v>0</v>
      </c>
      <c r="V398" s="2"/>
      <c r="W398" s="2">
        <v>6854</v>
      </c>
      <c r="X398" s="2">
        <v>5565</v>
      </c>
      <c r="Y398" s="2">
        <v>0</v>
      </c>
      <c r="Z398" s="2">
        <v>0</v>
      </c>
      <c r="AA398" s="2">
        <v>0</v>
      </c>
      <c r="AB398" s="2"/>
      <c r="AC398" s="2">
        <v>1877</v>
      </c>
      <c r="AD398" s="2">
        <v>1875</v>
      </c>
      <c r="AE398" s="2">
        <v>1146</v>
      </c>
      <c r="AF398" s="2">
        <v>0</v>
      </c>
      <c r="AG398" s="2">
        <v>0</v>
      </c>
      <c r="AH398" s="2"/>
      <c r="AI398" s="2">
        <v>-587</v>
      </c>
      <c r="AJ398" s="2">
        <v>-534</v>
      </c>
      <c r="AK398" s="2">
        <v>-535</v>
      </c>
      <c r="AL398" s="2">
        <v>0</v>
      </c>
      <c r="AM398" s="2">
        <v>-534</v>
      </c>
    </row>
    <row r="399" spans="1:39">
      <c r="A399" s="349">
        <v>93914</v>
      </c>
      <c r="B399" s="342" t="s">
        <v>1088</v>
      </c>
      <c r="C399" s="358">
        <v>5.2000000000000002E-6</v>
      </c>
      <c r="E399" s="2">
        <v>3657</v>
      </c>
      <c r="F399" s="2">
        <v>3855</v>
      </c>
      <c r="G399" s="2">
        <v>2383</v>
      </c>
      <c r="H399" s="2">
        <v>774</v>
      </c>
      <c r="I399" s="2">
        <v>0</v>
      </c>
      <c r="J399" s="2"/>
      <c r="K399" s="2">
        <v>964</v>
      </c>
      <c r="L399" s="2">
        <v>888</v>
      </c>
      <c r="M399" s="2">
        <v>494</v>
      </c>
      <c r="N399" s="2">
        <v>0</v>
      </c>
      <c r="O399" s="2">
        <v>0</v>
      </c>
      <c r="P399" s="2"/>
      <c r="Q399" s="2">
        <v>62</v>
      </c>
      <c r="R399" s="2">
        <v>874</v>
      </c>
      <c r="S399" s="2">
        <v>904</v>
      </c>
      <c r="T399" s="2">
        <v>774</v>
      </c>
      <c r="U399" s="2">
        <v>0</v>
      </c>
      <c r="V399" s="2"/>
      <c r="W399" s="2">
        <v>763</v>
      </c>
      <c r="X399" s="2">
        <v>620</v>
      </c>
      <c r="Y399" s="2">
        <v>0</v>
      </c>
      <c r="Z399" s="2">
        <v>0</v>
      </c>
      <c r="AA399" s="2">
        <v>0</v>
      </c>
      <c r="AB399" s="2"/>
      <c r="AC399" s="2">
        <v>1868</v>
      </c>
      <c r="AD399" s="2">
        <v>1473</v>
      </c>
      <c r="AE399" s="2">
        <v>985</v>
      </c>
      <c r="AF399" s="2">
        <v>0</v>
      </c>
      <c r="AG399" s="2">
        <v>0</v>
      </c>
      <c r="AH399" s="2"/>
      <c r="AI399" s="2">
        <v>0</v>
      </c>
      <c r="AJ399" s="2">
        <v>0</v>
      </c>
      <c r="AK399" s="2">
        <v>0</v>
      </c>
      <c r="AL399" s="2">
        <v>0</v>
      </c>
      <c r="AM399" s="2">
        <v>0</v>
      </c>
    </row>
    <row r="400" spans="1:39">
      <c r="A400" s="349">
        <v>93921</v>
      </c>
      <c r="B400" s="342" t="s">
        <v>1089</v>
      </c>
      <c r="C400" s="358">
        <v>2.7060000000000002E-4</v>
      </c>
      <c r="E400" s="2">
        <v>101631</v>
      </c>
      <c r="F400" s="2">
        <v>130556</v>
      </c>
      <c r="G400" s="2">
        <v>80899</v>
      </c>
      <c r="H400" s="2">
        <v>40271</v>
      </c>
      <c r="I400" s="2">
        <v>0</v>
      </c>
      <c r="J400" s="2"/>
      <c r="K400" s="2">
        <v>50172</v>
      </c>
      <c r="L400" s="2">
        <v>46217</v>
      </c>
      <c r="M400" s="2">
        <v>25723</v>
      </c>
      <c r="N400" s="2">
        <v>0</v>
      </c>
      <c r="O400" s="2">
        <v>0</v>
      </c>
      <c r="P400" s="2"/>
      <c r="Q400" s="2">
        <v>3252</v>
      </c>
      <c r="R400" s="2">
        <v>45489</v>
      </c>
      <c r="S400" s="2">
        <v>47062</v>
      </c>
      <c r="T400" s="2">
        <v>40271</v>
      </c>
      <c r="U400" s="2">
        <v>0</v>
      </c>
      <c r="V400" s="2"/>
      <c r="W400" s="2">
        <v>39718</v>
      </c>
      <c r="X400" s="2">
        <v>32244</v>
      </c>
      <c r="Y400" s="2">
        <v>0</v>
      </c>
      <c r="Z400" s="2">
        <v>0</v>
      </c>
      <c r="AA400" s="2">
        <v>0</v>
      </c>
      <c r="AB400" s="2"/>
      <c r="AC400" s="2">
        <v>19211</v>
      </c>
      <c r="AD400" s="2">
        <v>17329</v>
      </c>
      <c r="AE400" s="2">
        <v>17329</v>
      </c>
      <c r="AF400" s="2">
        <v>0</v>
      </c>
      <c r="AG400" s="2">
        <v>0</v>
      </c>
      <c r="AH400" s="2"/>
      <c r="AI400" s="2">
        <v>-10722</v>
      </c>
      <c r="AJ400" s="2">
        <v>-10723</v>
      </c>
      <c r="AK400" s="2">
        <v>-9215</v>
      </c>
      <c r="AL400" s="2">
        <v>0</v>
      </c>
      <c r="AM400" s="2">
        <v>-10723</v>
      </c>
    </row>
    <row r="401" spans="1:39">
      <c r="A401" s="349">
        <v>93931</v>
      </c>
      <c r="B401" s="342" t="s">
        <v>1090</v>
      </c>
      <c r="C401" s="358">
        <v>5.3470000000000004E-4</v>
      </c>
      <c r="E401" s="2">
        <v>169427</v>
      </c>
      <c r="F401" s="2">
        <v>237452</v>
      </c>
      <c r="G401" s="2">
        <v>134035</v>
      </c>
      <c r="H401" s="2">
        <v>79575</v>
      </c>
      <c r="I401" s="2">
        <v>0</v>
      </c>
      <c r="J401" s="2"/>
      <c r="K401" s="2">
        <v>99138</v>
      </c>
      <c r="L401" s="2">
        <v>91324</v>
      </c>
      <c r="M401" s="2">
        <v>50828</v>
      </c>
      <c r="N401" s="2">
        <v>0</v>
      </c>
      <c r="O401" s="2">
        <v>0</v>
      </c>
      <c r="P401" s="2"/>
      <c r="Q401" s="2">
        <v>6427</v>
      </c>
      <c r="R401" s="2">
        <v>89886</v>
      </c>
      <c r="S401" s="2">
        <v>92994</v>
      </c>
      <c r="T401" s="2">
        <v>79575</v>
      </c>
      <c r="U401" s="2">
        <v>0</v>
      </c>
      <c r="V401" s="2"/>
      <c r="W401" s="2">
        <v>78481</v>
      </c>
      <c r="X401" s="2">
        <v>63713</v>
      </c>
      <c r="Y401" s="2">
        <v>0</v>
      </c>
      <c r="Z401" s="2">
        <v>0</v>
      </c>
      <c r="AA401" s="2">
        <v>0</v>
      </c>
      <c r="AB401" s="2"/>
      <c r="AC401" s="2">
        <v>2780</v>
      </c>
      <c r="AD401" s="2">
        <v>2778</v>
      </c>
      <c r="AE401" s="2">
        <v>461</v>
      </c>
      <c r="AF401" s="2">
        <v>0</v>
      </c>
      <c r="AG401" s="2">
        <v>0</v>
      </c>
      <c r="AH401" s="2"/>
      <c r="AI401" s="2">
        <v>-17399</v>
      </c>
      <c r="AJ401" s="2">
        <v>-10249</v>
      </c>
      <c r="AK401" s="2">
        <v>-10248</v>
      </c>
      <c r="AL401" s="2">
        <v>0</v>
      </c>
      <c r="AM401" s="2">
        <v>-10249</v>
      </c>
    </row>
    <row r="402" spans="1:39">
      <c r="A402" s="349">
        <v>94001</v>
      </c>
      <c r="B402" s="342" t="s">
        <v>1091</v>
      </c>
      <c r="C402" s="358">
        <v>1.0497E-3</v>
      </c>
      <c r="E402" s="2">
        <v>420561</v>
      </c>
      <c r="F402" s="2">
        <v>535424</v>
      </c>
      <c r="G402" s="2">
        <v>333548</v>
      </c>
      <c r="H402" s="2">
        <v>156218</v>
      </c>
      <c r="I402" s="2">
        <v>0</v>
      </c>
      <c r="J402" s="2"/>
      <c r="K402" s="2">
        <v>194624</v>
      </c>
      <c r="L402" s="2">
        <v>179282</v>
      </c>
      <c r="M402" s="2">
        <v>99782</v>
      </c>
      <c r="N402" s="2">
        <v>0</v>
      </c>
      <c r="O402" s="2">
        <v>0</v>
      </c>
      <c r="P402" s="2"/>
      <c r="Q402" s="2">
        <v>12616</v>
      </c>
      <c r="R402" s="2">
        <v>176460</v>
      </c>
      <c r="S402" s="2">
        <v>182562</v>
      </c>
      <c r="T402" s="2">
        <v>156218</v>
      </c>
      <c r="U402" s="2">
        <v>0</v>
      </c>
      <c r="V402" s="2"/>
      <c r="W402" s="2">
        <v>154071</v>
      </c>
      <c r="X402" s="2">
        <v>125079</v>
      </c>
      <c r="Y402" s="2">
        <v>0</v>
      </c>
      <c r="Z402" s="2">
        <v>0</v>
      </c>
      <c r="AA402" s="2">
        <v>0</v>
      </c>
      <c r="AB402" s="2"/>
      <c r="AC402" s="2">
        <v>59250</v>
      </c>
      <c r="AD402" s="2">
        <v>54603</v>
      </c>
      <c r="AE402" s="2">
        <v>51204</v>
      </c>
      <c r="AF402" s="2">
        <v>0</v>
      </c>
      <c r="AG402" s="2">
        <v>0</v>
      </c>
      <c r="AH402" s="2"/>
      <c r="AI402" s="2">
        <v>0</v>
      </c>
      <c r="AJ402" s="2">
        <v>0</v>
      </c>
      <c r="AK402" s="2">
        <v>0</v>
      </c>
      <c r="AL402" s="2">
        <v>0</v>
      </c>
      <c r="AM402" s="2">
        <v>0</v>
      </c>
    </row>
    <row r="403" spans="1:39">
      <c r="A403" s="349">
        <v>94002</v>
      </c>
      <c r="B403" s="342" t="s">
        <v>1092</v>
      </c>
      <c r="C403" s="358">
        <v>4.5000000000000001E-6</v>
      </c>
      <c r="E403" s="2">
        <v>2533</v>
      </c>
      <c r="F403" s="2">
        <v>2844</v>
      </c>
      <c r="G403" s="2">
        <v>1829</v>
      </c>
      <c r="H403" s="2">
        <v>670</v>
      </c>
      <c r="I403" s="2">
        <v>0</v>
      </c>
      <c r="J403" s="2"/>
      <c r="K403" s="2">
        <v>834</v>
      </c>
      <c r="L403" s="2">
        <v>769</v>
      </c>
      <c r="M403" s="2">
        <v>428</v>
      </c>
      <c r="N403" s="2">
        <v>0</v>
      </c>
      <c r="O403" s="2">
        <v>0</v>
      </c>
      <c r="P403" s="2"/>
      <c r="Q403" s="2">
        <v>54</v>
      </c>
      <c r="R403" s="2">
        <v>756</v>
      </c>
      <c r="S403" s="2">
        <v>783</v>
      </c>
      <c r="T403" s="2">
        <v>670</v>
      </c>
      <c r="U403" s="2">
        <v>0</v>
      </c>
      <c r="V403" s="2"/>
      <c r="W403" s="2">
        <v>660</v>
      </c>
      <c r="X403" s="2">
        <v>536</v>
      </c>
      <c r="Y403" s="2">
        <v>0</v>
      </c>
      <c r="Z403" s="2">
        <v>0</v>
      </c>
      <c r="AA403" s="2">
        <v>0</v>
      </c>
      <c r="AB403" s="2"/>
      <c r="AC403" s="2">
        <v>985</v>
      </c>
      <c r="AD403" s="2">
        <v>783</v>
      </c>
      <c r="AE403" s="2">
        <v>618</v>
      </c>
      <c r="AF403" s="2">
        <v>0</v>
      </c>
      <c r="AG403" s="2">
        <v>0</v>
      </c>
      <c r="AH403" s="2"/>
      <c r="AI403" s="2">
        <v>0</v>
      </c>
      <c r="AJ403" s="2">
        <v>0</v>
      </c>
      <c r="AK403" s="2">
        <v>0</v>
      </c>
      <c r="AL403" s="2">
        <v>0</v>
      </c>
      <c r="AM403" s="2">
        <v>0</v>
      </c>
    </row>
    <row r="404" spans="1:39">
      <c r="A404" s="349">
        <v>94004</v>
      </c>
      <c r="B404" s="342" t="s">
        <v>1093</v>
      </c>
      <c r="C404" s="358">
        <v>6.8000000000000001E-6</v>
      </c>
      <c r="E404" s="2">
        <v>4023</v>
      </c>
      <c r="F404" s="2">
        <v>3882</v>
      </c>
      <c r="G404" s="2">
        <v>2389</v>
      </c>
      <c r="H404" s="2">
        <v>1012</v>
      </c>
      <c r="I404" s="2">
        <v>0</v>
      </c>
      <c r="J404" s="2"/>
      <c r="K404" s="2">
        <v>1261</v>
      </c>
      <c r="L404" s="2">
        <v>1161</v>
      </c>
      <c r="M404" s="2">
        <v>646</v>
      </c>
      <c r="N404" s="2">
        <v>0</v>
      </c>
      <c r="O404" s="2">
        <v>0</v>
      </c>
      <c r="P404" s="2"/>
      <c r="Q404" s="2">
        <v>82</v>
      </c>
      <c r="R404" s="2">
        <v>1143</v>
      </c>
      <c r="S404" s="2">
        <v>1183</v>
      </c>
      <c r="T404" s="2">
        <v>1012</v>
      </c>
      <c r="U404" s="2">
        <v>0</v>
      </c>
      <c r="V404" s="2"/>
      <c r="W404" s="2">
        <v>998</v>
      </c>
      <c r="X404" s="2">
        <v>810</v>
      </c>
      <c r="Y404" s="2">
        <v>0</v>
      </c>
      <c r="Z404" s="2">
        <v>0</v>
      </c>
      <c r="AA404" s="2">
        <v>0</v>
      </c>
      <c r="AB404" s="2"/>
      <c r="AC404" s="2">
        <v>1682</v>
      </c>
      <c r="AD404" s="2">
        <v>768</v>
      </c>
      <c r="AE404" s="2">
        <v>560</v>
      </c>
      <c r="AF404" s="2">
        <v>0</v>
      </c>
      <c r="AG404" s="2">
        <v>0</v>
      </c>
      <c r="AH404" s="2"/>
      <c r="AI404" s="2">
        <v>0</v>
      </c>
      <c r="AJ404" s="2">
        <v>0</v>
      </c>
      <c r="AK404" s="2">
        <v>0</v>
      </c>
      <c r="AL404" s="2">
        <v>0</v>
      </c>
      <c r="AM404" s="2">
        <v>0</v>
      </c>
    </row>
    <row r="405" spans="1:39">
      <c r="A405" s="349">
        <v>94005</v>
      </c>
      <c r="B405" s="342" t="s">
        <v>1094</v>
      </c>
      <c r="C405" s="358">
        <v>1.9E-6</v>
      </c>
      <c r="E405" s="2">
        <v>804</v>
      </c>
      <c r="F405" s="2">
        <v>1828</v>
      </c>
      <c r="G405" s="2">
        <v>599</v>
      </c>
      <c r="H405" s="2">
        <v>283</v>
      </c>
      <c r="I405" s="2">
        <v>0</v>
      </c>
      <c r="J405" s="2"/>
      <c r="K405" s="2">
        <v>352</v>
      </c>
      <c r="L405" s="2">
        <v>325</v>
      </c>
      <c r="M405" s="2">
        <v>181</v>
      </c>
      <c r="N405" s="2">
        <v>0</v>
      </c>
      <c r="O405" s="2">
        <v>0</v>
      </c>
      <c r="P405" s="2"/>
      <c r="Q405" s="2">
        <v>23</v>
      </c>
      <c r="R405" s="2">
        <v>319</v>
      </c>
      <c r="S405" s="2">
        <v>330</v>
      </c>
      <c r="T405" s="2">
        <v>283</v>
      </c>
      <c r="U405" s="2">
        <v>0</v>
      </c>
      <c r="V405" s="2"/>
      <c r="W405" s="2">
        <v>279</v>
      </c>
      <c r="X405" s="2">
        <v>226</v>
      </c>
      <c r="Y405" s="2">
        <v>0</v>
      </c>
      <c r="Z405" s="2">
        <v>0</v>
      </c>
      <c r="AA405" s="2">
        <v>0</v>
      </c>
      <c r="AB405" s="2"/>
      <c r="AC405" s="2">
        <v>1301</v>
      </c>
      <c r="AD405" s="2">
        <v>1300</v>
      </c>
      <c r="AE405" s="2">
        <v>429</v>
      </c>
      <c r="AF405" s="2">
        <v>0</v>
      </c>
      <c r="AG405" s="2">
        <v>0</v>
      </c>
      <c r="AH405" s="2"/>
      <c r="AI405" s="2">
        <v>-1151</v>
      </c>
      <c r="AJ405" s="2">
        <v>-342</v>
      </c>
      <c r="AK405" s="2">
        <v>-341</v>
      </c>
      <c r="AL405" s="2">
        <v>0</v>
      </c>
      <c r="AM405" s="2">
        <v>-342</v>
      </c>
    </row>
    <row r="406" spans="1:39">
      <c r="A406" s="349">
        <v>94011</v>
      </c>
      <c r="B406" s="342" t="s">
        <v>1095</v>
      </c>
      <c r="C406" s="358">
        <v>2.7900000000000001E-5</v>
      </c>
      <c r="E406" s="2">
        <v>8451</v>
      </c>
      <c r="F406" s="2">
        <v>12284</v>
      </c>
      <c r="G406" s="2">
        <v>6563</v>
      </c>
      <c r="H406" s="2">
        <v>4152</v>
      </c>
      <c r="I406" s="2">
        <v>0</v>
      </c>
      <c r="J406" s="2"/>
      <c r="K406" s="2">
        <v>5173</v>
      </c>
      <c r="L406" s="2">
        <v>4765</v>
      </c>
      <c r="M406" s="2">
        <v>2652</v>
      </c>
      <c r="N406" s="2">
        <v>0</v>
      </c>
      <c r="O406" s="2">
        <v>0</v>
      </c>
      <c r="P406" s="2"/>
      <c r="Q406" s="2">
        <v>335</v>
      </c>
      <c r="R406" s="2">
        <v>4690</v>
      </c>
      <c r="S406" s="2">
        <v>4852</v>
      </c>
      <c r="T406" s="2">
        <v>4152</v>
      </c>
      <c r="U406" s="2">
        <v>0</v>
      </c>
      <c r="V406" s="2"/>
      <c r="W406" s="2">
        <v>4095</v>
      </c>
      <c r="X406" s="2">
        <v>3324</v>
      </c>
      <c r="Y406" s="2">
        <v>0</v>
      </c>
      <c r="Z406" s="2">
        <v>0</v>
      </c>
      <c r="AA406" s="2">
        <v>0</v>
      </c>
      <c r="AB406" s="2"/>
      <c r="AC406" s="2">
        <v>450</v>
      </c>
      <c r="AD406" s="2">
        <v>450</v>
      </c>
      <c r="AE406" s="2">
        <v>0</v>
      </c>
      <c r="AF406" s="2">
        <v>0</v>
      </c>
      <c r="AG406" s="2">
        <v>0</v>
      </c>
      <c r="AH406" s="2"/>
      <c r="AI406" s="2">
        <v>-1602</v>
      </c>
      <c r="AJ406" s="2">
        <v>-945</v>
      </c>
      <c r="AK406" s="2">
        <v>-941</v>
      </c>
      <c r="AL406" s="2">
        <v>0</v>
      </c>
      <c r="AM406" s="2">
        <v>-945</v>
      </c>
    </row>
    <row r="407" spans="1:39">
      <c r="A407" s="349">
        <v>94021</v>
      </c>
      <c r="B407" s="342" t="s">
        <v>1096</v>
      </c>
      <c r="C407" s="358">
        <v>1.031E-4</v>
      </c>
      <c r="E407" s="2">
        <v>47732</v>
      </c>
      <c r="F407" s="2">
        <v>56618</v>
      </c>
      <c r="G407" s="2">
        <v>37017</v>
      </c>
      <c r="H407" s="2">
        <v>15344</v>
      </c>
      <c r="I407" s="2">
        <v>0</v>
      </c>
      <c r="J407" s="2"/>
      <c r="K407" s="2">
        <v>19116</v>
      </c>
      <c r="L407" s="2">
        <v>17609</v>
      </c>
      <c r="M407" s="2">
        <v>9800</v>
      </c>
      <c r="N407" s="2">
        <v>0</v>
      </c>
      <c r="O407" s="2">
        <v>0</v>
      </c>
      <c r="P407" s="2"/>
      <c r="Q407" s="2">
        <v>1239</v>
      </c>
      <c r="R407" s="2">
        <v>17332</v>
      </c>
      <c r="S407" s="2">
        <v>17931</v>
      </c>
      <c r="T407" s="2">
        <v>15344</v>
      </c>
      <c r="U407" s="2">
        <v>0</v>
      </c>
      <c r="V407" s="2"/>
      <c r="W407" s="2">
        <v>15133</v>
      </c>
      <c r="X407" s="2">
        <v>12285</v>
      </c>
      <c r="Y407" s="2">
        <v>0</v>
      </c>
      <c r="Z407" s="2">
        <v>0</v>
      </c>
      <c r="AA407" s="2">
        <v>0</v>
      </c>
      <c r="AB407" s="2"/>
      <c r="AC407" s="2">
        <v>12244</v>
      </c>
      <c r="AD407" s="2">
        <v>9392</v>
      </c>
      <c r="AE407" s="2">
        <v>9286</v>
      </c>
      <c r="AF407" s="2">
        <v>0</v>
      </c>
      <c r="AG407" s="2">
        <v>0</v>
      </c>
      <c r="AH407" s="2"/>
      <c r="AI407" s="2">
        <v>0</v>
      </c>
      <c r="AJ407" s="2">
        <v>0</v>
      </c>
      <c r="AK407" s="2">
        <v>0</v>
      </c>
      <c r="AL407" s="2">
        <v>0</v>
      </c>
      <c r="AM407" s="2">
        <v>0</v>
      </c>
    </row>
    <row r="408" spans="1:39">
      <c r="A408" s="349">
        <v>94031</v>
      </c>
      <c r="B408" s="342" t="s">
        <v>1097</v>
      </c>
      <c r="C408" s="358">
        <v>4.4000000000000002E-6</v>
      </c>
      <c r="E408" s="2">
        <v>4193</v>
      </c>
      <c r="F408" s="2">
        <v>4285</v>
      </c>
      <c r="G408" s="2">
        <v>2602</v>
      </c>
      <c r="H408" s="2">
        <v>655</v>
      </c>
      <c r="I408" s="2">
        <v>0</v>
      </c>
      <c r="J408" s="2"/>
      <c r="K408" s="2">
        <v>816</v>
      </c>
      <c r="L408" s="2">
        <v>751</v>
      </c>
      <c r="M408" s="2">
        <v>418</v>
      </c>
      <c r="N408" s="2">
        <v>0</v>
      </c>
      <c r="O408" s="2">
        <v>0</v>
      </c>
      <c r="P408" s="2"/>
      <c r="Q408" s="2">
        <v>53</v>
      </c>
      <c r="R408" s="2">
        <v>740</v>
      </c>
      <c r="S408" s="2">
        <v>765</v>
      </c>
      <c r="T408" s="2">
        <v>655</v>
      </c>
      <c r="U408" s="2">
        <v>0</v>
      </c>
      <c r="V408" s="2"/>
      <c r="W408" s="2">
        <v>646</v>
      </c>
      <c r="X408" s="2">
        <v>524</v>
      </c>
      <c r="Y408" s="2">
        <v>0</v>
      </c>
      <c r="Z408" s="2">
        <v>0</v>
      </c>
      <c r="AA408" s="2">
        <v>0</v>
      </c>
      <c r="AB408" s="2"/>
      <c r="AC408" s="2">
        <v>2678</v>
      </c>
      <c r="AD408" s="2">
        <v>2270</v>
      </c>
      <c r="AE408" s="2">
        <v>1419</v>
      </c>
      <c r="AF408" s="2">
        <v>0</v>
      </c>
      <c r="AG408" s="2">
        <v>0</v>
      </c>
      <c r="AH408" s="2"/>
      <c r="AI408" s="2">
        <v>0</v>
      </c>
      <c r="AJ408" s="2">
        <v>0</v>
      </c>
      <c r="AK408" s="2">
        <v>0</v>
      </c>
      <c r="AL408" s="2">
        <v>0</v>
      </c>
      <c r="AM408" s="2">
        <v>0</v>
      </c>
    </row>
    <row r="409" spans="1:39">
      <c r="A409" s="349">
        <v>94101</v>
      </c>
      <c r="B409" s="342" t="s">
        <v>1098</v>
      </c>
      <c r="C409" s="358">
        <v>1.7262900000000001E-2</v>
      </c>
      <c r="E409" s="2">
        <v>5839285</v>
      </c>
      <c r="F409" s="2">
        <v>7814114</v>
      </c>
      <c r="G409" s="2">
        <v>4541634</v>
      </c>
      <c r="H409" s="2">
        <v>2569099</v>
      </c>
      <c r="I409" s="2">
        <v>0</v>
      </c>
      <c r="J409" s="2"/>
      <c r="K409" s="2">
        <v>3200697</v>
      </c>
      <c r="L409" s="2">
        <v>2948400</v>
      </c>
      <c r="M409" s="2">
        <v>1640977</v>
      </c>
      <c r="N409" s="2">
        <v>0</v>
      </c>
      <c r="O409" s="2">
        <v>0</v>
      </c>
      <c r="P409" s="2"/>
      <c r="Q409" s="2">
        <v>207483</v>
      </c>
      <c r="R409" s="2">
        <v>2901980</v>
      </c>
      <c r="S409" s="2">
        <v>3002329</v>
      </c>
      <c r="T409" s="2">
        <v>2569099</v>
      </c>
      <c r="U409" s="2">
        <v>0</v>
      </c>
      <c r="V409" s="2"/>
      <c r="W409" s="2">
        <v>2533779</v>
      </c>
      <c r="X409" s="2">
        <v>2056995</v>
      </c>
      <c r="Y409" s="2">
        <v>0</v>
      </c>
      <c r="Z409" s="2">
        <v>0</v>
      </c>
      <c r="AA409" s="2">
        <v>0</v>
      </c>
      <c r="AB409" s="2"/>
      <c r="AC409" s="2">
        <v>8414</v>
      </c>
      <c r="AD409" s="2">
        <v>8414</v>
      </c>
      <c r="AE409" s="2">
        <v>0</v>
      </c>
      <c r="AF409" s="2">
        <v>0</v>
      </c>
      <c r="AG409" s="2">
        <v>0</v>
      </c>
      <c r="AH409" s="2"/>
      <c r="AI409" s="2">
        <v>-111088</v>
      </c>
      <c r="AJ409" s="2">
        <v>-101675</v>
      </c>
      <c r="AK409" s="2">
        <v>-101672</v>
      </c>
      <c r="AL409" s="2">
        <v>0</v>
      </c>
      <c r="AM409" s="2">
        <v>-101675</v>
      </c>
    </row>
    <row r="410" spans="1:39">
      <c r="A410" s="349">
        <v>94102</v>
      </c>
      <c r="B410" s="342" t="s">
        <v>1099</v>
      </c>
      <c r="C410" s="358">
        <v>3.8249999999999997E-4</v>
      </c>
      <c r="E410" s="2">
        <v>127464</v>
      </c>
      <c r="F410" s="2">
        <v>173838</v>
      </c>
      <c r="G410" s="2">
        <v>109168</v>
      </c>
      <c r="H410" s="2">
        <v>56924</v>
      </c>
      <c r="I410" s="2">
        <v>0</v>
      </c>
      <c r="J410" s="2"/>
      <c r="K410" s="2">
        <v>70919</v>
      </c>
      <c r="L410" s="2">
        <v>65329</v>
      </c>
      <c r="M410" s="2">
        <v>36360</v>
      </c>
      <c r="N410" s="2">
        <v>0</v>
      </c>
      <c r="O410" s="2">
        <v>0</v>
      </c>
      <c r="P410" s="2"/>
      <c r="Q410" s="2">
        <v>4597</v>
      </c>
      <c r="R410" s="2">
        <v>64300</v>
      </c>
      <c r="S410" s="2">
        <v>66524</v>
      </c>
      <c r="T410" s="2">
        <v>56924</v>
      </c>
      <c r="U410" s="2">
        <v>0</v>
      </c>
      <c r="V410" s="2"/>
      <c r="W410" s="2">
        <v>56142</v>
      </c>
      <c r="X410" s="2">
        <v>45578</v>
      </c>
      <c r="Y410" s="2">
        <v>0</v>
      </c>
      <c r="Z410" s="2">
        <v>0</v>
      </c>
      <c r="AA410" s="2">
        <v>0</v>
      </c>
      <c r="AB410" s="2"/>
      <c r="AC410" s="2">
        <v>6283</v>
      </c>
      <c r="AD410" s="2">
        <v>6283</v>
      </c>
      <c r="AE410" s="2">
        <v>6284</v>
      </c>
      <c r="AF410" s="2">
        <v>0</v>
      </c>
      <c r="AG410" s="2">
        <v>0</v>
      </c>
      <c r="AH410" s="2"/>
      <c r="AI410" s="2">
        <v>-10477</v>
      </c>
      <c r="AJ410" s="2">
        <v>-7652</v>
      </c>
      <c r="AK410" s="2">
        <v>0</v>
      </c>
      <c r="AL410" s="2">
        <v>0</v>
      </c>
      <c r="AM410" s="2">
        <v>-7652</v>
      </c>
    </row>
    <row r="411" spans="1:39">
      <c r="A411" s="349">
        <v>94108</v>
      </c>
      <c r="B411" s="342" t="s">
        <v>3672</v>
      </c>
      <c r="C411" s="358">
        <v>4.2030000000000002E-4</v>
      </c>
      <c r="E411" s="2">
        <v>128853</v>
      </c>
      <c r="F411" s="2">
        <v>183646</v>
      </c>
      <c r="G411" s="2">
        <v>100778</v>
      </c>
      <c r="H411" s="2">
        <v>62550</v>
      </c>
      <c r="I411" s="2">
        <v>0</v>
      </c>
      <c r="J411" s="2"/>
      <c r="K411" s="2">
        <v>77927</v>
      </c>
      <c r="L411" s="2">
        <v>71785</v>
      </c>
      <c r="M411" s="2">
        <v>39953</v>
      </c>
      <c r="N411" s="2">
        <v>0</v>
      </c>
      <c r="O411" s="2">
        <v>0</v>
      </c>
      <c r="P411" s="2"/>
      <c r="Q411" s="2">
        <v>5052</v>
      </c>
      <c r="R411" s="2">
        <v>70655</v>
      </c>
      <c r="S411" s="2">
        <v>73098</v>
      </c>
      <c r="T411" s="2">
        <v>62550</v>
      </c>
      <c r="U411" s="2">
        <v>0</v>
      </c>
      <c r="V411" s="2"/>
      <c r="W411" s="2">
        <v>61690</v>
      </c>
      <c r="X411" s="2">
        <v>50082</v>
      </c>
      <c r="Y411" s="2">
        <v>0</v>
      </c>
      <c r="Z411" s="2">
        <v>0</v>
      </c>
      <c r="AA411" s="2">
        <v>0</v>
      </c>
      <c r="AB411" s="2"/>
      <c r="AC411" s="2">
        <v>3396</v>
      </c>
      <c r="AD411" s="2">
        <v>3398</v>
      </c>
      <c r="AE411" s="2">
        <v>0</v>
      </c>
      <c r="AF411" s="2">
        <v>0</v>
      </c>
      <c r="AG411" s="2">
        <v>0</v>
      </c>
      <c r="AH411" s="2"/>
      <c r="AI411" s="2">
        <v>-19212</v>
      </c>
      <c r="AJ411" s="2">
        <v>-12274</v>
      </c>
      <c r="AK411" s="2">
        <v>-12273</v>
      </c>
      <c r="AL411" s="2">
        <v>0</v>
      </c>
      <c r="AM411" s="2">
        <v>-12274</v>
      </c>
    </row>
    <row r="412" spans="1:39">
      <c r="A412" s="349">
        <v>94109</v>
      </c>
      <c r="B412" s="342" t="s">
        <v>3673</v>
      </c>
      <c r="C412" s="358">
        <v>1.059E-4</v>
      </c>
      <c r="E412" s="2">
        <v>25793</v>
      </c>
      <c r="F412" s="2">
        <v>42047</v>
      </c>
      <c r="G412" s="2">
        <v>23470</v>
      </c>
      <c r="H412" s="2">
        <v>15760</v>
      </c>
      <c r="I412" s="2">
        <v>0</v>
      </c>
      <c r="J412" s="2"/>
      <c r="K412" s="2">
        <v>19635</v>
      </c>
      <c r="L412" s="2">
        <v>18087</v>
      </c>
      <c r="M412" s="2">
        <v>10067</v>
      </c>
      <c r="N412" s="2">
        <v>0</v>
      </c>
      <c r="O412" s="2">
        <v>0</v>
      </c>
      <c r="P412" s="2"/>
      <c r="Q412" s="2">
        <v>1273</v>
      </c>
      <c r="R412" s="2">
        <v>17802</v>
      </c>
      <c r="S412" s="2">
        <v>18418</v>
      </c>
      <c r="T412" s="2">
        <v>15760</v>
      </c>
      <c r="U412" s="2">
        <v>0</v>
      </c>
      <c r="V412" s="2"/>
      <c r="W412" s="2">
        <v>15544</v>
      </c>
      <c r="X412" s="2">
        <v>12619</v>
      </c>
      <c r="Y412" s="2">
        <v>0</v>
      </c>
      <c r="Z412" s="2">
        <v>0</v>
      </c>
      <c r="AA412" s="2">
        <v>0</v>
      </c>
      <c r="AB412" s="2"/>
      <c r="AC412" s="2">
        <v>0</v>
      </c>
      <c r="AD412" s="2">
        <v>0</v>
      </c>
      <c r="AE412" s="2">
        <v>0</v>
      </c>
      <c r="AF412" s="2">
        <v>0</v>
      </c>
      <c r="AG412" s="2">
        <v>0</v>
      </c>
      <c r="AH412" s="2"/>
      <c r="AI412" s="2">
        <v>-10659</v>
      </c>
      <c r="AJ412" s="2">
        <v>-6461</v>
      </c>
      <c r="AK412" s="2">
        <v>-5015</v>
      </c>
      <c r="AL412" s="2">
        <v>0</v>
      </c>
      <c r="AM412" s="2">
        <v>-6461</v>
      </c>
    </row>
    <row r="413" spans="1:39">
      <c r="A413" s="349">
        <v>94111</v>
      </c>
      <c r="B413" s="342" t="s">
        <v>1102</v>
      </c>
      <c r="C413" s="358">
        <v>2.4351600000000001E-2</v>
      </c>
      <c r="E413" s="2">
        <v>7807524</v>
      </c>
      <c r="F413" s="2">
        <v>10674169</v>
      </c>
      <c r="G413" s="2">
        <v>6237020</v>
      </c>
      <c r="H413" s="2">
        <v>3624054</v>
      </c>
      <c r="I413" s="2">
        <v>0</v>
      </c>
      <c r="J413" s="2"/>
      <c r="K413" s="2">
        <v>4515006</v>
      </c>
      <c r="L413" s="2">
        <v>4159107</v>
      </c>
      <c r="M413" s="2">
        <v>2314814</v>
      </c>
      <c r="N413" s="2">
        <v>0</v>
      </c>
      <c r="O413" s="2">
        <v>0</v>
      </c>
      <c r="P413" s="2"/>
      <c r="Q413" s="2">
        <v>292682</v>
      </c>
      <c r="R413" s="2">
        <v>4093626</v>
      </c>
      <c r="S413" s="2">
        <v>4235182</v>
      </c>
      <c r="T413" s="2">
        <v>3624054</v>
      </c>
      <c r="U413" s="2">
        <v>0</v>
      </c>
      <c r="V413" s="2"/>
      <c r="W413" s="2">
        <v>3574230</v>
      </c>
      <c r="X413" s="2">
        <v>2901664</v>
      </c>
      <c r="Y413" s="2">
        <v>0</v>
      </c>
      <c r="Z413" s="2">
        <v>0</v>
      </c>
      <c r="AA413" s="2">
        <v>0</v>
      </c>
      <c r="AB413" s="2"/>
      <c r="AC413" s="2">
        <v>0</v>
      </c>
      <c r="AD413" s="2">
        <v>0</v>
      </c>
      <c r="AE413" s="2">
        <v>0</v>
      </c>
      <c r="AF413" s="2">
        <v>0</v>
      </c>
      <c r="AG413" s="2">
        <v>0</v>
      </c>
      <c r="AH413" s="2"/>
      <c r="AI413" s="2">
        <v>-574394</v>
      </c>
      <c r="AJ413" s="2">
        <v>-480228</v>
      </c>
      <c r="AK413" s="2">
        <v>-312976</v>
      </c>
      <c r="AL413" s="2">
        <v>0</v>
      </c>
      <c r="AM413" s="2">
        <v>-480228</v>
      </c>
    </row>
    <row r="414" spans="1:39">
      <c r="A414" s="349">
        <v>94112</v>
      </c>
      <c r="B414" s="342" t="s">
        <v>3674</v>
      </c>
      <c r="C414" s="358">
        <v>1.4980000000000001E-4</v>
      </c>
      <c r="E414" s="2">
        <v>40228</v>
      </c>
      <c r="F414" s="2">
        <v>58604</v>
      </c>
      <c r="G414" s="2">
        <v>31168</v>
      </c>
      <c r="H414" s="2">
        <v>22294</v>
      </c>
      <c r="I414" s="2">
        <v>0</v>
      </c>
      <c r="J414" s="2"/>
      <c r="K414" s="2">
        <v>27774</v>
      </c>
      <c r="L414" s="2">
        <v>25585</v>
      </c>
      <c r="M414" s="2">
        <v>14240</v>
      </c>
      <c r="N414" s="2">
        <v>0</v>
      </c>
      <c r="O414" s="2">
        <v>0</v>
      </c>
      <c r="P414" s="2"/>
      <c r="Q414" s="2">
        <v>1800</v>
      </c>
      <c r="R414" s="2">
        <v>25182</v>
      </c>
      <c r="S414" s="2">
        <v>26053</v>
      </c>
      <c r="T414" s="2">
        <v>22294</v>
      </c>
      <c r="U414" s="2">
        <v>0</v>
      </c>
      <c r="V414" s="2"/>
      <c r="W414" s="2">
        <v>21987</v>
      </c>
      <c r="X414" s="2">
        <v>17850</v>
      </c>
      <c r="Y414" s="2">
        <v>0</v>
      </c>
      <c r="Z414" s="2">
        <v>0</v>
      </c>
      <c r="AA414" s="2">
        <v>0</v>
      </c>
      <c r="AB414" s="2"/>
      <c r="AC414" s="2">
        <v>0</v>
      </c>
      <c r="AD414" s="2">
        <v>0</v>
      </c>
      <c r="AE414" s="2">
        <v>0</v>
      </c>
      <c r="AF414" s="2">
        <v>0</v>
      </c>
      <c r="AG414" s="2">
        <v>0</v>
      </c>
      <c r="AH414" s="2"/>
      <c r="AI414" s="2">
        <v>-11333</v>
      </c>
      <c r="AJ414" s="2">
        <v>-10013</v>
      </c>
      <c r="AK414" s="2">
        <v>-9125</v>
      </c>
      <c r="AL414" s="2">
        <v>0</v>
      </c>
      <c r="AM414" s="2">
        <v>-10013</v>
      </c>
    </row>
    <row r="415" spans="1:39">
      <c r="A415" s="349">
        <v>94117</v>
      </c>
      <c r="B415" s="342" t="s">
        <v>2808</v>
      </c>
      <c r="C415" s="358">
        <v>3.1700000000000001E-4</v>
      </c>
      <c r="E415" s="2">
        <v>108965</v>
      </c>
      <c r="F415" s="2">
        <v>147166</v>
      </c>
      <c r="G415" s="2">
        <v>93181</v>
      </c>
      <c r="H415" s="2">
        <v>47177</v>
      </c>
      <c r="I415" s="2">
        <v>0</v>
      </c>
      <c r="J415" s="2"/>
      <c r="K415" s="2">
        <v>58775</v>
      </c>
      <c r="L415" s="2">
        <v>54142</v>
      </c>
      <c r="M415" s="2">
        <v>30133</v>
      </c>
      <c r="N415" s="2">
        <v>0</v>
      </c>
      <c r="O415" s="2">
        <v>0</v>
      </c>
      <c r="P415" s="2"/>
      <c r="Q415" s="2">
        <v>3810</v>
      </c>
      <c r="R415" s="2">
        <v>53289</v>
      </c>
      <c r="S415" s="2">
        <v>55132</v>
      </c>
      <c r="T415" s="2">
        <v>47177</v>
      </c>
      <c r="U415" s="2">
        <v>0</v>
      </c>
      <c r="V415" s="2"/>
      <c r="W415" s="2">
        <v>46528</v>
      </c>
      <c r="X415" s="2">
        <v>37773</v>
      </c>
      <c r="Y415" s="2">
        <v>0</v>
      </c>
      <c r="Z415" s="2">
        <v>0</v>
      </c>
      <c r="AA415" s="2">
        <v>0</v>
      </c>
      <c r="AB415" s="2"/>
      <c r="AC415" s="2">
        <v>9807</v>
      </c>
      <c r="AD415" s="2">
        <v>9807</v>
      </c>
      <c r="AE415" s="2">
        <v>9807</v>
      </c>
      <c r="AF415" s="2">
        <v>0</v>
      </c>
      <c r="AG415" s="2">
        <v>0</v>
      </c>
      <c r="AH415" s="2"/>
      <c r="AI415" s="2">
        <v>-9955</v>
      </c>
      <c r="AJ415" s="2">
        <v>-7845</v>
      </c>
      <c r="AK415" s="2">
        <v>-1891</v>
      </c>
      <c r="AL415" s="2">
        <v>0</v>
      </c>
      <c r="AM415" s="2">
        <v>-7845</v>
      </c>
    </row>
    <row r="416" spans="1:39">
      <c r="A416" s="349">
        <v>94118</v>
      </c>
      <c r="B416" s="342" t="s">
        <v>1105</v>
      </c>
      <c r="C416" s="358">
        <v>1.5530000000000001E-4</v>
      </c>
      <c r="E416" s="2">
        <v>39038</v>
      </c>
      <c r="F416" s="2">
        <v>61270</v>
      </c>
      <c r="G416" s="2">
        <v>32755</v>
      </c>
      <c r="H416" s="2">
        <v>23112</v>
      </c>
      <c r="I416" s="2">
        <v>0</v>
      </c>
      <c r="J416" s="2"/>
      <c r="K416" s="2">
        <v>28794</v>
      </c>
      <c r="L416" s="2">
        <v>26524</v>
      </c>
      <c r="M416" s="2">
        <v>14763</v>
      </c>
      <c r="N416" s="2">
        <v>0</v>
      </c>
      <c r="O416" s="2">
        <v>0</v>
      </c>
      <c r="P416" s="2"/>
      <c r="Q416" s="2">
        <v>1867</v>
      </c>
      <c r="R416" s="2">
        <v>26107</v>
      </c>
      <c r="S416" s="2">
        <v>27009</v>
      </c>
      <c r="T416" s="2">
        <v>23112</v>
      </c>
      <c r="U416" s="2">
        <v>0</v>
      </c>
      <c r="V416" s="2"/>
      <c r="W416" s="2">
        <v>22794</v>
      </c>
      <c r="X416" s="2">
        <v>18505</v>
      </c>
      <c r="Y416" s="2">
        <v>0</v>
      </c>
      <c r="Z416" s="2">
        <v>0</v>
      </c>
      <c r="AA416" s="2">
        <v>0</v>
      </c>
      <c r="AB416" s="2"/>
      <c r="AC416" s="2">
        <v>0</v>
      </c>
      <c r="AD416" s="2">
        <v>0</v>
      </c>
      <c r="AE416" s="2">
        <v>0</v>
      </c>
      <c r="AF416" s="2">
        <v>0</v>
      </c>
      <c r="AG416" s="2">
        <v>0</v>
      </c>
      <c r="AH416" s="2"/>
      <c r="AI416" s="2">
        <v>-14417</v>
      </c>
      <c r="AJ416" s="2">
        <v>-9866</v>
      </c>
      <c r="AK416" s="2">
        <v>-9017</v>
      </c>
      <c r="AL416" s="2">
        <v>0</v>
      </c>
      <c r="AM416" s="2">
        <v>-9866</v>
      </c>
    </row>
    <row r="417" spans="1:39">
      <c r="A417" s="349">
        <v>94121</v>
      </c>
      <c r="B417" s="342" t="s">
        <v>1106</v>
      </c>
      <c r="C417" s="358">
        <v>1.1174099999999999E-2</v>
      </c>
      <c r="E417" s="2">
        <v>3988596</v>
      </c>
      <c r="F417" s="2">
        <v>5251313</v>
      </c>
      <c r="G417" s="2">
        <v>3104039</v>
      </c>
      <c r="H417" s="2">
        <v>1662952</v>
      </c>
      <c r="I417" s="2">
        <v>0</v>
      </c>
      <c r="J417" s="2"/>
      <c r="K417" s="2">
        <v>2071779</v>
      </c>
      <c r="L417" s="2">
        <v>1908469</v>
      </c>
      <c r="M417" s="2">
        <v>1062188</v>
      </c>
      <c r="N417" s="2">
        <v>0</v>
      </c>
      <c r="O417" s="2">
        <v>0</v>
      </c>
      <c r="P417" s="2"/>
      <c r="Q417" s="2">
        <v>134302</v>
      </c>
      <c r="R417" s="2">
        <v>1878422</v>
      </c>
      <c r="S417" s="2">
        <v>1943377</v>
      </c>
      <c r="T417" s="2">
        <v>1662952</v>
      </c>
      <c r="U417" s="2">
        <v>0</v>
      </c>
      <c r="V417" s="2"/>
      <c r="W417" s="2">
        <v>1640090</v>
      </c>
      <c r="X417" s="2">
        <v>1331472</v>
      </c>
      <c r="Y417" s="2">
        <v>0</v>
      </c>
      <c r="Z417" s="2">
        <v>0</v>
      </c>
      <c r="AA417" s="2">
        <v>0</v>
      </c>
      <c r="AB417" s="2"/>
      <c r="AC417" s="2">
        <v>142425</v>
      </c>
      <c r="AD417" s="2">
        <v>132950</v>
      </c>
      <c r="AE417" s="2">
        <v>98474</v>
      </c>
      <c r="AF417" s="2">
        <v>0</v>
      </c>
      <c r="AG417" s="2">
        <v>0</v>
      </c>
      <c r="AH417" s="2"/>
      <c r="AI417" s="2">
        <v>0</v>
      </c>
      <c r="AJ417" s="2">
        <v>0</v>
      </c>
      <c r="AK417" s="2">
        <v>0</v>
      </c>
      <c r="AL417" s="2">
        <v>0</v>
      </c>
      <c r="AM417" s="2">
        <v>0</v>
      </c>
    </row>
    <row r="418" spans="1:39">
      <c r="A418" s="349">
        <v>94127</v>
      </c>
      <c r="B418" s="342" t="s">
        <v>2806</v>
      </c>
      <c r="C418" s="358">
        <v>1.46E-4</v>
      </c>
      <c r="E418" s="2">
        <v>51500</v>
      </c>
      <c r="F418" s="2">
        <v>66593</v>
      </c>
      <c r="G418" s="2">
        <v>42109</v>
      </c>
      <c r="H418" s="2">
        <v>21728</v>
      </c>
      <c r="I418" s="2">
        <v>0</v>
      </c>
      <c r="J418" s="2"/>
      <c r="K418" s="2">
        <v>27070</v>
      </c>
      <c r="L418" s="2">
        <v>24936</v>
      </c>
      <c r="M418" s="2">
        <v>13878</v>
      </c>
      <c r="N418" s="2">
        <v>0</v>
      </c>
      <c r="O418" s="2">
        <v>0</v>
      </c>
      <c r="P418" s="2"/>
      <c r="Q418" s="2">
        <v>1755</v>
      </c>
      <c r="R418" s="2">
        <v>24543</v>
      </c>
      <c r="S418" s="2">
        <v>25392</v>
      </c>
      <c r="T418" s="2">
        <v>21728</v>
      </c>
      <c r="U418" s="2">
        <v>0</v>
      </c>
      <c r="V418" s="2"/>
      <c r="W418" s="2">
        <v>21429</v>
      </c>
      <c r="X418" s="2">
        <v>17397</v>
      </c>
      <c r="Y418" s="2">
        <v>0</v>
      </c>
      <c r="Z418" s="2">
        <v>0</v>
      </c>
      <c r="AA418" s="2">
        <v>0</v>
      </c>
      <c r="AB418" s="2"/>
      <c r="AC418" s="2">
        <v>5846</v>
      </c>
      <c r="AD418" s="2">
        <v>4319</v>
      </c>
      <c r="AE418" s="2">
        <v>4320</v>
      </c>
      <c r="AF418" s="2">
        <v>0</v>
      </c>
      <c r="AG418" s="2">
        <v>0</v>
      </c>
      <c r="AH418" s="2"/>
      <c r="AI418" s="2">
        <v>-4600</v>
      </c>
      <c r="AJ418" s="2">
        <v>-4602</v>
      </c>
      <c r="AK418" s="2">
        <v>-1481</v>
      </c>
      <c r="AL418" s="2">
        <v>0</v>
      </c>
      <c r="AM418" s="2">
        <v>-4602</v>
      </c>
    </row>
    <row r="419" spans="1:39">
      <c r="A419" s="349">
        <v>94131</v>
      </c>
      <c r="B419" s="342" t="s">
        <v>1108</v>
      </c>
      <c r="C419" s="358">
        <v>2.1269999999999999E-4</v>
      </c>
      <c r="E419" s="2">
        <v>79995</v>
      </c>
      <c r="F419" s="2">
        <v>106338</v>
      </c>
      <c r="G419" s="2">
        <v>59953</v>
      </c>
      <c r="H419" s="2">
        <v>31654</v>
      </c>
      <c r="I419" s="2">
        <v>0</v>
      </c>
      <c r="J419" s="2"/>
      <c r="K419" s="2">
        <v>39436</v>
      </c>
      <c r="L419" s="2">
        <v>36328</v>
      </c>
      <c r="M419" s="2">
        <v>20219</v>
      </c>
      <c r="N419" s="2">
        <v>0</v>
      </c>
      <c r="O419" s="2">
        <v>0</v>
      </c>
      <c r="P419" s="2"/>
      <c r="Q419" s="2">
        <v>2556</v>
      </c>
      <c r="R419" s="2">
        <v>35756</v>
      </c>
      <c r="S419" s="2">
        <v>36992</v>
      </c>
      <c r="T419" s="2">
        <v>31654</v>
      </c>
      <c r="U419" s="2">
        <v>0</v>
      </c>
      <c r="V419" s="2"/>
      <c r="W419" s="2">
        <v>31219</v>
      </c>
      <c r="X419" s="2">
        <v>25345</v>
      </c>
      <c r="Y419" s="2">
        <v>0</v>
      </c>
      <c r="Z419" s="2">
        <v>0</v>
      </c>
      <c r="AA419" s="2">
        <v>0</v>
      </c>
      <c r="AB419" s="2"/>
      <c r="AC419" s="2">
        <v>8911</v>
      </c>
      <c r="AD419" s="2">
        <v>8909</v>
      </c>
      <c r="AE419" s="2">
        <v>2742</v>
      </c>
      <c r="AF419" s="2">
        <v>0</v>
      </c>
      <c r="AG419" s="2">
        <v>0</v>
      </c>
      <c r="AH419" s="2"/>
      <c r="AI419" s="2">
        <v>-2127</v>
      </c>
      <c r="AJ419" s="2">
        <v>0</v>
      </c>
      <c r="AK419" s="2">
        <v>0</v>
      </c>
      <c r="AL419" s="2">
        <v>0</v>
      </c>
      <c r="AM419" s="2">
        <v>0</v>
      </c>
    </row>
    <row r="420" spans="1:39">
      <c r="A420" s="349">
        <v>94151</v>
      </c>
      <c r="B420" s="342" t="s">
        <v>1109</v>
      </c>
      <c r="C420" s="358">
        <v>4.3360000000000002E-4</v>
      </c>
      <c r="E420" s="2">
        <v>124811</v>
      </c>
      <c r="F420" s="2">
        <v>180263</v>
      </c>
      <c r="G420" s="2">
        <v>95243</v>
      </c>
      <c r="H420" s="2">
        <v>64529</v>
      </c>
      <c r="I420" s="2">
        <v>0</v>
      </c>
      <c r="J420" s="2"/>
      <c r="K420" s="2">
        <v>80393</v>
      </c>
      <c r="L420" s="2">
        <v>74056</v>
      </c>
      <c r="M420" s="2">
        <v>41217</v>
      </c>
      <c r="N420" s="2">
        <v>0</v>
      </c>
      <c r="O420" s="2">
        <v>0</v>
      </c>
      <c r="P420" s="2"/>
      <c r="Q420" s="2">
        <v>5211</v>
      </c>
      <c r="R420" s="2">
        <v>72890</v>
      </c>
      <c r="S420" s="2">
        <v>75411</v>
      </c>
      <c r="T420" s="2">
        <v>64529</v>
      </c>
      <c r="U420" s="2">
        <v>0</v>
      </c>
      <c r="V420" s="2"/>
      <c r="W420" s="2">
        <v>63642</v>
      </c>
      <c r="X420" s="2">
        <v>51666</v>
      </c>
      <c r="Y420" s="2">
        <v>0</v>
      </c>
      <c r="Z420" s="2">
        <v>0</v>
      </c>
      <c r="AA420" s="2">
        <v>0</v>
      </c>
      <c r="AB420" s="2"/>
      <c r="AC420" s="2">
        <v>3034</v>
      </c>
      <c r="AD420" s="2">
        <v>3036</v>
      </c>
      <c r="AE420" s="2">
        <v>0</v>
      </c>
      <c r="AF420" s="2">
        <v>0</v>
      </c>
      <c r="AG420" s="2">
        <v>0</v>
      </c>
      <c r="AH420" s="2"/>
      <c r="AI420" s="2">
        <v>-27469</v>
      </c>
      <c r="AJ420" s="2">
        <v>-21385</v>
      </c>
      <c r="AK420" s="2">
        <v>-21385</v>
      </c>
      <c r="AL420" s="2">
        <v>0</v>
      </c>
      <c r="AM420" s="2">
        <v>-21385</v>
      </c>
    </row>
    <row r="421" spans="1:39">
      <c r="A421" s="349">
        <v>94157</v>
      </c>
      <c r="B421" s="342" t="s">
        <v>1110</v>
      </c>
      <c r="C421" s="358">
        <v>9.7000000000000003E-6</v>
      </c>
      <c r="E421" s="2">
        <v>4657</v>
      </c>
      <c r="F421" s="2">
        <v>5626</v>
      </c>
      <c r="G421" s="2">
        <v>3660</v>
      </c>
      <c r="H421" s="2">
        <v>1444</v>
      </c>
      <c r="I421" s="2">
        <v>0</v>
      </c>
      <c r="J421" s="2"/>
      <c r="K421" s="2">
        <v>1798</v>
      </c>
      <c r="L421" s="2">
        <v>1657</v>
      </c>
      <c r="M421" s="2">
        <v>922</v>
      </c>
      <c r="N421" s="2">
        <v>0</v>
      </c>
      <c r="O421" s="2">
        <v>0</v>
      </c>
      <c r="P421" s="2"/>
      <c r="Q421" s="2">
        <v>117</v>
      </c>
      <c r="R421" s="2">
        <v>1631</v>
      </c>
      <c r="S421" s="2">
        <v>1687</v>
      </c>
      <c r="T421" s="2">
        <v>1444</v>
      </c>
      <c r="U421" s="2">
        <v>0</v>
      </c>
      <c r="V421" s="2"/>
      <c r="W421" s="2">
        <v>1424</v>
      </c>
      <c r="X421" s="2">
        <v>1156</v>
      </c>
      <c r="Y421" s="2">
        <v>0</v>
      </c>
      <c r="Z421" s="2">
        <v>0</v>
      </c>
      <c r="AA421" s="2">
        <v>0</v>
      </c>
      <c r="AB421" s="2"/>
      <c r="AC421" s="2">
        <v>1318</v>
      </c>
      <c r="AD421" s="2">
        <v>1182</v>
      </c>
      <c r="AE421" s="2">
        <v>1051</v>
      </c>
      <c r="AF421" s="2">
        <v>0</v>
      </c>
      <c r="AG421" s="2">
        <v>0</v>
      </c>
      <c r="AH421" s="2"/>
      <c r="AI421" s="2">
        <v>0</v>
      </c>
      <c r="AJ421" s="2">
        <v>0</v>
      </c>
      <c r="AK421" s="2">
        <v>0</v>
      </c>
      <c r="AL421" s="2">
        <v>0</v>
      </c>
      <c r="AM421" s="2">
        <v>0</v>
      </c>
    </row>
    <row r="422" spans="1:39">
      <c r="A422" s="349">
        <v>94161</v>
      </c>
      <c r="B422" s="342" t="s">
        <v>1111</v>
      </c>
      <c r="C422" s="358">
        <v>4.9200000000000003E-5</v>
      </c>
      <c r="E422" s="2">
        <v>18660</v>
      </c>
      <c r="F422" s="2">
        <v>25048</v>
      </c>
      <c r="G422" s="2">
        <v>17610</v>
      </c>
      <c r="H422" s="2">
        <v>7322</v>
      </c>
      <c r="I422" s="2">
        <v>0</v>
      </c>
      <c r="J422" s="2"/>
      <c r="K422" s="2">
        <v>9122</v>
      </c>
      <c r="L422" s="2">
        <v>8403</v>
      </c>
      <c r="M422" s="2">
        <v>4677</v>
      </c>
      <c r="N422" s="2">
        <v>0</v>
      </c>
      <c r="O422" s="2">
        <v>0</v>
      </c>
      <c r="P422" s="2"/>
      <c r="Q422" s="2">
        <v>591</v>
      </c>
      <c r="R422" s="2">
        <v>8271</v>
      </c>
      <c r="S422" s="2">
        <v>8557</v>
      </c>
      <c r="T422" s="2">
        <v>7322</v>
      </c>
      <c r="U422" s="2">
        <v>0</v>
      </c>
      <c r="V422" s="2"/>
      <c r="W422" s="2">
        <v>7221</v>
      </c>
      <c r="X422" s="2">
        <v>5863</v>
      </c>
      <c r="Y422" s="2">
        <v>0</v>
      </c>
      <c r="Z422" s="2">
        <v>0</v>
      </c>
      <c r="AA422" s="2">
        <v>0</v>
      </c>
      <c r="AB422" s="2"/>
      <c r="AC422" s="2">
        <v>4376</v>
      </c>
      <c r="AD422" s="2">
        <v>4376</v>
      </c>
      <c r="AE422" s="2">
        <v>4376</v>
      </c>
      <c r="AF422" s="2">
        <v>0</v>
      </c>
      <c r="AG422" s="2">
        <v>0</v>
      </c>
      <c r="AH422" s="2"/>
      <c r="AI422" s="2">
        <v>-2650</v>
      </c>
      <c r="AJ422" s="2">
        <v>-1865</v>
      </c>
      <c r="AK422" s="2">
        <v>0</v>
      </c>
      <c r="AL422" s="2">
        <v>0</v>
      </c>
      <c r="AM422" s="2">
        <v>-1865</v>
      </c>
    </row>
    <row r="423" spans="1:39">
      <c r="A423" s="349">
        <v>94168</v>
      </c>
      <c r="B423" s="342" t="s">
        <v>1112</v>
      </c>
      <c r="C423" s="358">
        <v>6.6600000000000006E-5</v>
      </c>
      <c r="E423" s="2">
        <v>30466</v>
      </c>
      <c r="F423" s="2">
        <v>38852</v>
      </c>
      <c r="G423" s="2">
        <v>22269</v>
      </c>
      <c r="H423" s="2">
        <v>9912</v>
      </c>
      <c r="I423" s="2">
        <v>0</v>
      </c>
      <c r="J423" s="2"/>
      <c r="K423" s="2">
        <v>12348</v>
      </c>
      <c r="L423" s="2">
        <v>11375</v>
      </c>
      <c r="M423" s="2">
        <v>6331</v>
      </c>
      <c r="N423" s="2">
        <v>0</v>
      </c>
      <c r="O423" s="2">
        <v>0</v>
      </c>
      <c r="P423" s="2"/>
      <c r="Q423" s="2">
        <v>800</v>
      </c>
      <c r="R423" s="2">
        <v>11196</v>
      </c>
      <c r="S423" s="2">
        <v>11583</v>
      </c>
      <c r="T423" s="2">
        <v>9912</v>
      </c>
      <c r="U423" s="2">
        <v>0</v>
      </c>
      <c r="V423" s="2"/>
      <c r="W423" s="2">
        <v>9775</v>
      </c>
      <c r="X423" s="2">
        <v>7936</v>
      </c>
      <c r="Y423" s="2">
        <v>0</v>
      </c>
      <c r="Z423" s="2">
        <v>0</v>
      </c>
      <c r="AA423" s="2">
        <v>0</v>
      </c>
      <c r="AB423" s="2"/>
      <c r="AC423" s="2">
        <v>8343</v>
      </c>
      <c r="AD423" s="2">
        <v>8345</v>
      </c>
      <c r="AE423" s="2">
        <v>4355</v>
      </c>
      <c r="AF423" s="2">
        <v>0</v>
      </c>
      <c r="AG423" s="2">
        <v>0</v>
      </c>
      <c r="AH423" s="2"/>
      <c r="AI423" s="2">
        <v>-800</v>
      </c>
      <c r="AJ423" s="2">
        <v>0</v>
      </c>
      <c r="AK423" s="2">
        <v>0</v>
      </c>
      <c r="AL423" s="2">
        <v>0</v>
      </c>
      <c r="AM423" s="2">
        <v>0</v>
      </c>
    </row>
    <row r="424" spans="1:39">
      <c r="A424" s="349">
        <v>94171</v>
      </c>
      <c r="B424" s="342" t="s">
        <v>1113</v>
      </c>
      <c r="C424" s="358">
        <v>6.9999999999999994E-5</v>
      </c>
      <c r="E424" s="2">
        <v>23891</v>
      </c>
      <c r="F424" s="2">
        <v>30427</v>
      </c>
      <c r="G424" s="2">
        <v>16736</v>
      </c>
      <c r="H424" s="2">
        <v>10418</v>
      </c>
      <c r="I424" s="2">
        <v>0</v>
      </c>
      <c r="J424" s="2"/>
      <c r="K424" s="2">
        <v>12979</v>
      </c>
      <c r="L424" s="2">
        <v>11956</v>
      </c>
      <c r="M424" s="2">
        <v>6654</v>
      </c>
      <c r="N424" s="2">
        <v>0</v>
      </c>
      <c r="O424" s="2">
        <v>0</v>
      </c>
      <c r="P424" s="2"/>
      <c r="Q424" s="2">
        <v>841</v>
      </c>
      <c r="R424" s="2">
        <v>11767</v>
      </c>
      <c r="S424" s="2">
        <v>12174</v>
      </c>
      <c r="T424" s="2">
        <v>10418</v>
      </c>
      <c r="U424" s="2">
        <v>0</v>
      </c>
      <c r="V424" s="2"/>
      <c r="W424" s="2">
        <v>10274</v>
      </c>
      <c r="X424" s="2">
        <v>8341</v>
      </c>
      <c r="Y424" s="2">
        <v>0</v>
      </c>
      <c r="Z424" s="2">
        <v>0</v>
      </c>
      <c r="AA424" s="2">
        <v>0</v>
      </c>
      <c r="AB424" s="2"/>
      <c r="AC424" s="2">
        <v>3944</v>
      </c>
      <c r="AD424" s="2">
        <v>2510</v>
      </c>
      <c r="AE424" s="2">
        <v>2054</v>
      </c>
      <c r="AF424" s="2">
        <v>0</v>
      </c>
      <c r="AG424" s="2">
        <v>0</v>
      </c>
      <c r="AH424" s="2"/>
      <c r="AI424" s="2">
        <v>-4147</v>
      </c>
      <c r="AJ424" s="2">
        <v>-4147</v>
      </c>
      <c r="AK424" s="2">
        <v>-4146</v>
      </c>
      <c r="AL424" s="2">
        <v>0</v>
      </c>
      <c r="AM424" s="2">
        <v>-4147</v>
      </c>
    </row>
    <row r="425" spans="1:39">
      <c r="A425" s="349">
        <v>94172</v>
      </c>
      <c r="B425" s="342" t="s">
        <v>1114</v>
      </c>
      <c r="C425" s="358">
        <v>2.7050000000000002E-4</v>
      </c>
      <c r="E425" s="2">
        <v>62816</v>
      </c>
      <c r="F425" s="2">
        <v>100129</v>
      </c>
      <c r="G425" s="2">
        <v>52214</v>
      </c>
      <c r="H425" s="2">
        <v>40256</v>
      </c>
      <c r="I425" s="2">
        <v>0</v>
      </c>
      <c r="J425" s="2"/>
      <c r="K425" s="2">
        <v>50153</v>
      </c>
      <c r="L425" s="2">
        <v>46200</v>
      </c>
      <c r="M425" s="2">
        <v>25713</v>
      </c>
      <c r="N425" s="2">
        <v>0</v>
      </c>
      <c r="O425" s="2">
        <v>0</v>
      </c>
      <c r="P425" s="2"/>
      <c r="Q425" s="2">
        <v>3251</v>
      </c>
      <c r="R425" s="2">
        <v>45472</v>
      </c>
      <c r="S425" s="2">
        <v>47045</v>
      </c>
      <c r="T425" s="2">
        <v>40256</v>
      </c>
      <c r="U425" s="2">
        <v>0</v>
      </c>
      <c r="V425" s="2"/>
      <c r="W425" s="2">
        <v>39703</v>
      </c>
      <c r="X425" s="2">
        <v>32232</v>
      </c>
      <c r="Y425" s="2">
        <v>0</v>
      </c>
      <c r="Z425" s="2">
        <v>0</v>
      </c>
      <c r="AA425" s="2">
        <v>0</v>
      </c>
      <c r="AB425" s="2"/>
      <c r="AC425" s="2">
        <v>0</v>
      </c>
      <c r="AD425" s="2">
        <v>0</v>
      </c>
      <c r="AE425" s="2">
        <v>0</v>
      </c>
      <c r="AF425" s="2">
        <v>0</v>
      </c>
      <c r="AG425" s="2">
        <v>0</v>
      </c>
      <c r="AH425" s="2"/>
      <c r="AI425" s="2">
        <v>-30291</v>
      </c>
      <c r="AJ425" s="2">
        <v>-23775</v>
      </c>
      <c r="AK425" s="2">
        <v>-20544</v>
      </c>
      <c r="AL425" s="2">
        <v>0</v>
      </c>
      <c r="AM425" s="2">
        <v>-23775</v>
      </c>
    </row>
    <row r="426" spans="1:39">
      <c r="A426" s="349">
        <v>94201</v>
      </c>
      <c r="B426" s="342" t="s">
        <v>1115</v>
      </c>
      <c r="C426" s="358">
        <v>3.0286000000000002E-3</v>
      </c>
      <c r="E426" s="2">
        <v>944289</v>
      </c>
      <c r="F426" s="2">
        <v>1306268</v>
      </c>
      <c r="G426" s="2">
        <v>741976</v>
      </c>
      <c r="H426" s="2">
        <v>450722</v>
      </c>
      <c r="I426" s="2">
        <v>0</v>
      </c>
      <c r="J426" s="2"/>
      <c r="K426" s="2">
        <v>561530</v>
      </c>
      <c r="L426" s="2">
        <v>517267</v>
      </c>
      <c r="M426" s="2">
        <v>287893</v>
      </c>
      <c r="N426" s="2">
        <v>0</v>
      </c>
      <c r="O426" s="2">
        <v>0</v>
      </c>
      <c r="P426" s="2"/>
      <c r="Q426" s="2">
        <v>36401</v>
      </c>
      <c r="R426" s="2">
        <v>509123</v>
      </c>
      <c r="S426" s="2">
        <v>526728</v>
      </c>
      <c r="T426" s="2">
        <v>450722</v>
      </c>
      <c r="U426" s="2">
        <v>0</v>
      </c>
      <c r="V426" s="2"/>
      <c r="W426" s="2">
        <v>444526</v>
      </c>
      <c r="X426" s="2">
        <v>360879</v>
      </c>
      <c r="Y426" s="2">
        <v>0</v>
      </c>
      <c r="Z426" s="2">
        <v>0</v>
      </c>
      <c r="AA426" s="2">
        <v>0</v>
      </c>
      <c r="AB426" s="2"/>
      <c r="AC426" s="2">
        <v>2616</v>
      </c>
      <c r="AD426" s="2">
        <v>2616</v>
      </c>
      <c r="AE426" s="2">
        <v>2614</v>
      </c>
      <c r="AF426" s="2">
        <v>0</v>
      </c>
      <c r="AG426" s="2">
        <v>0</v>
      </c>
      <c r="AH426" s="2"/>
      <c r="AI426" s="2">
        <v>-100784</v>
      </c>
      <c r="AJ426" s="2">
        <v>-83617</v>
      </c>
      <c r="AK426" s="2">
        <v>-75259</v>
      </c>
      <c r="AL426" s="2">
        <v>0</v>
      </c>
      <c r="AM426" s="2">
        <v>-83617</v>
      </c>
    </row>
    <row r="427" spans="1:39">
      <c r="A427" s="349">
        <v>94204</v>
      </c>
      <c r="B427" s="342" t="s">
        <v>1116</v>
      </c>
      <c r="C427" s="358">
        <v>3.3500000000000001E-5</v>
      </c>
      <c r="E427" s="2">
        <v>18137</v>
      </c>
      <c r="F427" s="2">
        <v>20678</v>
      </c>
      <c r="G427" s="2">
        <v>13067</v>
      </c>
      <c r="H427" s="2">
        <v>4986</v>
      </c>
      <c r="I427" s="2">
        <v>0</v>
      </c>
      <c r="J427" s="2"/>
      <c r="K427" s="2">
        <v>6211</v>
      </c>
      <c r="L427" s="2">
        <v>5722</v>
      </c>
      <c r="M427" s="2">
        <v>3184</v>
      </c>
      <c r="N427" s="2">
        <v>0</v>
      </c>
      <c r="O427" s="2">
        <v>0</v>
      </c>
      <c r="P427" s="2"/>
      <c r="Q427" s="2">
        <v>403</v>
      </c>
      <c r="R427" s="2">
        <v>5632</v>
      </c>
      <c r="S427" s="2">
        <v>5826</v>
      </c>
      <c r="T427" s="2">
        <v>4986</v>
      </c>
      <c r="U427" s="2">
        <v>0</v>
      </c>
      <c r="V427" s="2"/>
      <c r="W427" s="2">
        <v>4917</v>
      </c>
      <c r="X427" s="2">
        <v>3992</v>
      </c>
      <c r="Y427" s="2">
        <v>0</v>
      </c>
      <c r="Z427" s="2">
        <v>0</v>
      </c>
      <c r="AA427" s="2">
        <v>0</v>
      </c>
      <c r="AB427" s="2"/>
      <c r="AC427" s="2">
        <v>6606</v>
      </c>
      <c r="AD427" s="2">
        <v>5332</v>
      </c>
      <c r="AE427" s="2">
        <v>4057</v>
      </c>
      <c r="AF427" s="2">
        <v>0</v>
      </c>
      <c r="AG427" s="2">
        <v>0</v>
      </c>
      <c r="AH427" s="2"/>
      <c r="AI427" s="2">
        <v>0</v>
      </c>
      <c r="AJ427" s="2">
        <v>0</v>
      </c>
      <c r="AK427" s="2">
        <v>0</v>
      </c>
      <c r="AL427" s="2">
        <v>0</v>
      </c>
      <c r="AM427" s="2">
        <v>0</v>
      </c>
    </row>
    <row r="428" spans="1:39">
      <c r="A428" s="349">
        <v>94205</v>
      </c>
      <c r="B428" s="342" t="s">
        <v>1117</v>
      </c>
      <c r="C428" s="358">
        <v>1.49E-5</v>
      </c>
      <c r="E428" s="2">
        <v>5755</v>
      </c>
      <c r="F428" s="2">
        <v>7878</v>
      </c>
      <c r="G428" s="2">
        <v>4927</v>
      </c>
      <c r="H428" s="2">
        <v>2217</v>
      </c>
      <c r="I428" s="2">
        <v>0</v>
      </c>
      <c r="J428" s="2"/>
      <c r="K428" s="2">
        <v>2763</v>
      </c>
      <c r="L428" s="2">
        <v>2545</v>
      </c>
      <c r="M428" s="2">
        <v>1416</v>
      </c>
      <c r="N428" s="2">
        <v>0</v>
      </c>
      <c r="O428" s="2">
        <v>0</v>
      </c>
      <c r="P428" s="2"/>
      <c r="Q428" s="2">
        <v>179</v>
      </c>
      <c r="R428" s="2">
        <v>2505</v>
      </c>
      <c r="S428" s="2">
        <v>2591</v>
      </c>
      <c r="T428" s="2">
        <v>2217</v>
      </c>
      <c r="U428" s="2">
        <v>0</v>
      </c>
      <c r="V428" s="2"/>
      <c r="W428" s="2">
        <v>2187</v>
      </c>
      <c r="X428" s="2">
        <v>1775</v>
      </c>
      <c r="Y428" s="2">
        <v>0</v>
      </c>
      <c r="Z428" s="2">
        <v>0</v>
      </c>
      <c r="AA428" s="2">
        <v>0</v>
      </c>
      <c r="AB428" s="2"/>
      <c r="AC428" s="2">
        <v>1053</v>
      </c>
      <c r="AD428" s="2">
        <v>1053</v>
      </c>
      <c r="AE428" s="2">
        <v>920</v>
      </c>
      <c r="AF428" s="2">
        <v>0</v>
      </c>
      <c r="AG428" s="2">
        <v>0</v>
      </c>
      <c r="AH428" s="2"/>
      <c r="AI428" s="2">
        <v>-427</v>
      </c>
      <c r="AJ428" s="2">
        <v>0</v>
      </c>
      <c r="AK428" s="2">
        <v>0</v>
      </c>
      <c r="AL428" s="2">
        <v>0</v>
      </c>
      <c r="AM428" s="2">
        <v>0</v>
      </c>
    </row>
    <row r="429" spans="1:39">
      <c r="A429" s="349">
        <v>94209</v>
      </c>
      <c r="B429" s="342" t="s">
        <v>1118</v>
      </c>
      <c r="C429" s="358">
        <v>3.1399999999999999E-4</v>
      </c>
      <c r="E429" s="2">
        <v>104484</v>
      </c>
      <c r="F429" s="2">
        <v>138079</v>
      </c>
      <c r="G429" s="2">
        <v>82976</v>
      </c>
      <c r="H429" s="2">
        <v>46730</v>
      </c>
      <c r="I429" s="2">
        <v>0</v>
      </c>
      <c r="J429" s="2"/>
      <c r="K429" s="2">
        <v>58218</v>
      </c>
      <c r="L429" s="2">
        <v>53629</v>
      </c>
      <c r="M429" s="2">
        <v>29848</v>
      </c>
      <c r="N429" s="2">
        <v>0</v>
      </c>
      <c r="O429" s="2">
        <v>0</v>
      </c>
      <c r="P429" s="2"/>
      <c r="Q429" s="2">
        <v>3774</v>
      </c>
      <c r="R429" s="2">
        <v>52785</v>
      </c>
      <c r="S429" s="2">
        <v>54610</v>
      </c>
      <c r="T429" s="2">
        <v>46730</v>
      </c>
      <c r="U429" s="2">
        <v>0</v>
      </c>
      <c r="V429" s="2"/>
      <c r="W429" s="2">
        <v>46088</v>
      </c>
      <c r="X429" s="2">
        <v>37415</v>
      </c>
      <c r="Y429" s="2">
        <v>0</v>
      </c>
      <c r="Z429" s="2">
        <v>0</v>
      </c>
      <c r="AA429" s="2">
        <v>0</v>
      </c>
      <c r="AB429" s="2"/>
      <c r="AC429" s="2">
        <v>3933</v>
      </c>
      <c r="AD429" s="2">
        <v>1780</v>
      </c>
      <c r="AE429" s="2">
        <v>1781</v>
      </c>
      <c r="AF429" s="2">
        <v>0</v>
      </c>
      <c r="AG429" s="2">
        <v>0</v>
      </c>
      <c r="AH429" s="2"/>
      <c r="AI429" s="2">
        <v>-7529</v>
      </c>
      <c r="AJ429" s="2">
        <v>-7530</v>
      </c>
      <c r="AK429" s="2">
        <v>-3263</v>
      </c>
      <c r="AL429" s="2">
        <v>0</v>
      </c>
      <c r="AM429" s="2">
        <v>-7530</v>
      </c>
    </row>
    <row r="430" spans="1:39">
      <c r="A430" s="349">
        <v>94211</v>
      </c>
      <c r="B430" s="342" t="s">
        <v>1119</v>
      </c>
      <c r="C430" s="358">
        <v>1.4660000000000001E-4</v>
      </c>
      <c r="E430" s="2">
        <v>49944</v>
      </c>
      <c r="F430" s="2">
        <v>64728</v>
      </c>
      <c r="G430" s="2">
        <v>35579</v>
      </c>
      <c r="H430" s="2">
        <v>21817</v>
      </c>
      <c r="I430" s="2">
        <v>0</v>
      </c>
      <c r="J430" s="2"/>
      <c r="K430" s="2">
        <v>27181</v>
      </c>
      <c r="L430" s="2">
        <v>25038</v>
      </c>
      <c r="M430" s="2">
        <v>13936</v>
      </c>
      <c r="N430" s="2">
        <v>0</v>
      </c>
      <c r="O430" s="2">
        <v>0</v>
      </c>
      <c r="P430" s="2"/>
      <c r="Q430" s="2">
        <v>1762</v>
      </c>
      <c r="R430" s="2">
        <v>24644</v>
      </c>
      <c r="S430" s="2">
        <v>25496</v>
      </c>
      <c r="T430" s="2">
        <v>21817</v>
      </c>
      <c r="U430" s="2">
        <v>0</v>
      </c>
      <c r="V430" s="2"/>
      <c r="W430" s="2">
        <v>21517</v>
      </c>
      <c r="X430" s="2">
        <v>17468</v>
      </c>
      <c r="Y430" s="2">
        <v>0</v>
      </c>
      <c r="Z430" s="2">
        <v>0</v>
      </c>
      <c r="AA430" s="2">
        <v>0</v>
      </c>
      <c r="AB430" s="2"/>
      <c r="AC430" s="2">
        <v>3338</v>
      </c>
      <c r="AD430" s="2">
        <v>1432</v>
      </c>
      <c r="AE430" s="2">
        <v>0</v>
      </c>
      <c r="AF430" s="2">
        <v>0</v>
      </c>
      <c r="AG430" s="2">
        <v>0</v>
      </c>
      <c r="AH430" s="2"/>
      <c r="AI430" s="2">
        <v>-3854</v>
      </c>
      <c r="AJ430" s="2">
        <v>-3854</v>
      </c>
      <c r="AK430" s="2">
        <v>-3853</v>
      </c>
      <c r="AL430" s="2">
        <v>0</v>
      </c>
      <c r="AM430" s="2">
        <v>-3854</v>
      </c>
    </row>
    <row r="431" spans="1:39">
      <c r="A431" s="349">
        <v>94221</v>
      </c>
      <c r="B431" s="342" t="s">
        <v>1120</v>
      </c>
      <c r="C431" s="358">
        <v>9.7799999999999992E-4</v>
      </c>
      <c r="E431" s="2">
        <v>297366</v>
      </c>
      <c r="F431" s="2">
        <v>417194</v>
      </c>
      <c r="G431" s="2">
        <v>238178</v>
      </c>
      <c r="H431" s="2">
        <v>145548</v>
      </c>
      <c r="I431" s="2">
        <v>0</v>
      </c>
      <c r="J431" s="2"/>
      <c r="K431" s="2">
        <v>181330</v>
      </c>
      <c r="L431" s="2">
        <v>167037</v>
      </c>
      <c r="M431" s="2">
        <v>92967</v>
      </c>
      <c r="N431" s="2">
        <v>0</v>
      </c>
      <c r="O431" s="2">
        <v>0</v>
      </c>
      <c r="P431" s="2"/>
      <c r="Q431" s="2">
        <v>11755</v>
      </c>
      <c r="R431" s="2">
        <v>164407</v>
      </c>
      <c r="S431" s="2">
        <v>170092</v>
      </c>
      <c r="T431" s="2">
        <v>145548</v>
      </c>
      <c r="U431" s="2">
        <v>0</v>
      </c>
      <c r="V431" s="2"/>
      <c r="W431" s="2">
        <v>143547</v>
      </c>
      <c r="X431" s="2">
        <v>116536</v>
      </c>
      <c r="Y431" s="2">
        <v>0</v>
      </c>
      <c r="Z431" s="2">
        <v>0</v>
      </c>
      <c r="AA431" s="2">
        <v>0</v>
      </c>
      <c r="AB431" s="2"/>
      <c r="AC431" s="2">
        <v>0</v>
      </c>
      <c r="AD431" s="2">
        <v>0</v>
      </c>
      <c r="AE431" s="2">
        <v>0</v>
      </c>
      <c r="AF431" s="2">
        <v>0</v>
      </c>
      <c r="AG431" s="2">
        <v>0</v>
      </c>
      <c r="AH431" s="2"/>
      <c r="AI431" s="2">
        <v>-39266</v>
      </c>
      <c r="AJ431" s="2">
        <v>-30786</v>
      </c>
      <c r="AK431" s="2">
        <v>-24881</v>
      </c>
      <c r="AL431" s="2">
        <v>0</v>
      </c>
      <c r="AM431" s="2">
        <v>-30786</v>
      </c>
    </row>
    <row r="432" spans="1:39">
      <c r="A432" s="349">
        <v>94231</v>
      </c>
      <c r="B432" s="342" t="s">
        <v>1121</v>
      </c>
      <c r="C432" s="358">
        <v>1.2640000000000001E-4</v>
      </c>
      <c r="E432" s="2">
        <v>23363</v>
      </c>
      <c r="F432" s="2">
        <v>36029</v>
      </c>
      <c r="G432" s="2">
        <v>18321</v>
      </c>
      <c r="H432" s="2">
        <v>18811</v>
      </c>
      <c r="I432" s="2">
        <v>0</v>
      </c>
      <c r="J432" s="2"/>
      <c r="K432" s="2">
        <v>23436</v>
      </c>
      <c r="L432" s="2">
        <v>21588</v>
      </c>
      <c r="M432" s="2">
        <v>12015</v>
      </c>
      <c r="N432" s="2">
        <v>0</v>
      </c>
      <c r="O432" s="2">
        <v>0</v>
      </c>
      <c r="P432" s="2"/>
      <c r="Q432" s="2">
        <v>1519</v>
      </c>
      <c r="R432" s="2">
        <v>21248</v>
      </c>
      <c r="S432" s="2">
        <v>21983</v>
      </c>
      <c r="T432" s="2">
        <v>18811</v>
      </c>
      <c r="U432" s="2">
        <v>0</v>
      </c>
      <c r="V432" s="2"/>
      <c r="W432" s="2">
        <v>18552</v>
      </c>
      <c r="X432" s="2">
        <v>15061</v>
      </c>
      <c r="Y432" s="2">
        <v>0</v>
      </c>
      <c r="Z432" s="2">
        <v>0</v>
      </c>
      <c r="AA432" s="2">
        <v>0</v>
      </c>
      <c r="AB432" s="2"/>
      <c r="AC432" s="2">
        <v>1722</v>
      </c>
      <c r="AD432" s="2">
        <v>0</v>
      </c>
      <c r="AE432" s="2">
        <v>0</v>
      </c>
      <c r="AF432" s="2">
        <v>0</v>
      </c>
      <c r="AG432" s="2">
        <v>0</v>
      </c>
      <c r="AH432" s="2"/>
      <c r="AI432" s="2">
        <v>-21866</v>
      </c>
      <c r="AJ432" s="2">
        <v>-21868</v>
      </c>
      <c r="AK432" s="2">
        <v>-15677</v>
      </c>
      <c r="AL432" s="2">
        <v>0</v>
      </c>
      <c r="AM432" s="2">
        <v>-21868</v>
      </c>
    </row>
    <row r="433" spans="1:39">
      <c r="A433" s="349">
        <v>94241</v>
      </c>
      <c r="B433" s="342" t="s">
        <v>1122</v>
      </c>
      <c r="C433" s="358">
        <v>1.3630000000000001E-4</v>
      </c>
      <c r="E433" s="2">
        <v>63957</v>
      </c>
      <c r="F433" s="2">
        <v>73303</v>
      </c>
      <c r="G433" s="2">
        <v>49230</v>
      </c>
      <c r="H433" s="2">
        <v>20284</v>
      </c>
      <c r="I433" s="2">
        <v>0</v>
      </c>
      <c r="J433" s="2"/>
      <c r="K433" s="2">
        <v>25271</v>
      </c>
      <c r="L433" s="2">
        <v>23279</v>
      </c>
      <c r="M433" s="2">
        <v>12956</v>
      </c>
      <c r="N433" s="2">
        <v>0</v>
      </c>
      <c r="O433" s="2">
        <v>0</v>
      </c>
      <c r="P433" s="2"/>
      <c r="Q433" s="2">
        <v>1638</v>
      </c>
      <c r="R433" s="2">
        <v>22913</v>
      </c>
      <c r="S433" s="2">
        <v>23705</v>
      </c>
      <c r="T433" s="2">
        <v>20284</v>
      </c>
      <c r="U433" s="2">
        <v>0</v>
      </c>
      <c r="V433" s="2"/>
      <c r="W433" s="2">
        <v>20006</v>
      </c>
      <c r="X433" s="2">
        <v>16241</v>
      </c>
      <c r="Y433" s="2">
        <v>0</v>
      </c>
      <c r="Z433" s="2">
        <v>0</v>
      </c>
      <c r="AA433" s="2">
        <v>0</v>
      </c>
      <c r="AB433" s="2"/>
      <c r="AC433" s="2">
        <v>21010</v>
      </c>
      <c r="AD433" s="2">
        <v>14838</v>
      </c>
      <c r="AE433" s="2">
        <v>14837</v>
      </c>
      <c r="AF433" s="2">
        <v>0</v>
      </c>
      <c r="AG433" s="2">
        <v>0</v>
      </c>
      <c r="AH433" s="2"/>
      <c r="AI433" s="2">
        <v>-3968</v>
      </c>
      <c r="AJ433" s="2">
        <v>-3968</v>
      </c>
      <c r="AK433" s="2">
        <v>-2268</v>
      </c>
      <c r="AL433" s="2">
        <v>0</v>
      </c>
      <c r="AM433" s="2">
        <v>-3968</v>
      </c>
    </row>
    <row r="434" spans="1:39">
      <c r="A434" s="349">
        <v>94251</v>
      </c>
      <c r="B434" s="342" t="s">
        <v>1123</v>
      </c>
      <c r="C434" s="358">
        <v>1.7799999999999999E-5</v>
      </c>
      <c r="E434" s="2">
        <v>7244</v>
      </c>
      <c r="F434" s="2">
        <v>8445</v>
      </c>
      <c r="G434" s="2">
        <v>5345</v>
      </c>
      <c r="H434" s="2">
        <v>2649</v>
      </c>
      <c r="I434" s="2">
        <v>0</v>
      </c>
      <c r="J434" s="2"/>
      <c r="K434" s="2">
        <v>3300</v>
      </c>
      <c r="L434" s="2">
        <v>3040</v>
      </c>
      <c r="M434" s="2">
        <v>1692</v>
      </c>
      <c r="N434" s="2">
        <v>0</v>
      </c>
      <c r="O434" s="2">
        <v>0</v>
      </c>
      <c r="P434" s="2"/>
      <c r="Q434" s="2">
        <v>214</v>
      </c>
      <c r="R434" s="2">
        <v>2992</v>
      </c>
      <c r="S434" s="2">
        <v>3096</v>
      </c>
      <c r="T434" s="2">
        <v>2649</v>
      </c>
      <c r="U434" s="2">
        <v>0</v>
      </c>
      <c r="V434" s="2"/>
      <c r="W434" s="2">
        <v>2613</v>
      </c>
      <c r="X434" s="2">
        <v>2121</v>
      </c>
      <c r="Y434" s="2">
        <v>0</v>
      </c>
      <c r="Z434" s="2">
        <v>0</v>
      </c>
      <c r="AA434" s="2">
        <v>0</v>
      </c>
      <c r="AB434" s="2"/>
      <c r="AC434" s="2">
        <v>1381</v>
      </c>
      <c r="AD434" s="2">
        <v>557</v>
      </c>
      <c r="AE434" s="2">
        <v>557</v>
      </c>
      <c r="AF434" s="2">
        <v>0</v>
      </c>
      <c r="AG434" s="2">
        <v>0</v>
      </c>
      <c r="AH434" s="2"/>
      <c r="AI434" s="2">
        <v>-264</v>
      </c>
      <c r="AJ434" s="2">
        <v>-265</v>
      </c>
      <c r="AK434" s="2">
        <v>0</v>
      </c>
      <c r="AL434" s="2">
        <v>0</v>
      </c>
      <c r="AM434" s="2">
        <v>-265</v>
      </c>
    </row>
    <row r="435" spans="1:39">
      <c r="A435" s="349">
        <v>94261</v>
      </c>
      <c r="B435" s="342" t="s">
        <v>1124</v>
      </c>
      <c r="C435" s="358">
        <v>3.7100000000000001E-5</v>
      </c>
      <c r="E435" s="2">
        <v>12171</v>
      </c>
      <c r="F435" s="2">
        <v>14626</v>
      </c>
      <c r="G435" s="2">
        <v>7808</v>
      </c>
      <c r="H435" s="2">
        <v>5521</v>
      </c>
      <c r="I435" s="2">
        <v>0</v>
      </c>
      <c r="J435" s="2"/>
      <c r="K435" s="2">
        <v>6879</v>
      </c>
      <c r="L435" s="2">
        <v>6336</v>
      </c>
      <c r="M435" s="2">
        <v>3527</v>
      </c>
      <c r="N435" s="2">
        <v>0</v>
      </c>
      <c r="O435" s="2">
        <v>0</v>
      </c>
      <c r="P435" s="2"/>
      <c r="Q435" s="2">
        <v>446</v>
      </c>
      <c r="R435" s="2">
        <v>6237</v>
      </c>
      <c r="S435" s="2">
        <v>6452</v>
      </c>
      <c r="T435" s="2">
        <v>5521</v>
      </c>
      <c r="U435" s="2">
        <v>0</v>
      </c>
      <c r="V435" s="2"/>
      <c r="W435" s="2">
        <v>5445</v>
      </c>
      <c r="X435" s="2">
        <v>4421</v>
      </c>
      <c r="Y435" s="2">
        <v>0</v>
      </c>
      <c r="Z435" s="2">
        <v>0</v>
      </c>
      <c r="AA435" s="2">
        <v>0</v>
      </c>
      <c r="AB435" s="2"/>
      <c r="AC435" s="2">
        <v>3466</v>
      </c>
      <c r="AD435" s="2">
        <v>1695</v>
      </c>
      <c r="AE435" s="2">
        <v>1695</v>
      </c>
      <c r="AF435" s="2">
        <v>0</v>
      </c>
      <c r="AG435" s="2">
        <v>0</v>
      </c>
      <c r="AH435" s="2"/>
      <c r="AI435" s="2">
        <v>-4065</v>
      </c>
      <c r="AJ435" s="2">
        <v>-4063</v>
      </c>
      <c r="AK435" s="2">
        <v>-3866</v>
      </c>
      <c r="AL435" s="2">
        <v>0</v>
      </c>
      <c r="AM435" s="2">
        <v>-4063</v>
      </c>
    </row>
    <row r="436" spans="1:39">
      <c r="A436" s="349">
        <v>94301</v>
      </c>
      <c r="B436" s="342" t="s">
        <v>1125</v>
      </c>
      <c r="C436" s="358">
        <v>6.1066999999999996E-3</v>
      </c>
      <c r="E436" s="2">
        <v>2000888</v>
      </c>
      <c r="F436" s="2">
        <v>2677001</v>
      </c>
      <c r="G436" s="2">
        <v>1521155</v>
      </c>
      <c r="H436" s="2">
        <v>908811</v>
      </c>
      <c r="I436" s="2">
        <v>0</v>
      </c>
      <c r="J436" s="2"/>
      <c r="K436" s="2">
        <v>1132237</v>
      </c>
      <c r="L436" s="2">
        <v>1042988</v>
      </c>
      <c r="M436" s="2">
        <v>580491</v>
      </c>
      <c r="N436" s="2">
        <v>0</v>
      </c>
      <c r="O436" s="2">
        <v>0</v>
      </c>
      <c r="P436" s="2"/>
      <c r="Q436" s="2">
        <v>73396</v>
      </c>
      <c r="R436" s="2">
        <v>1026567</v>
      </c>
      <c r="S436" s="2">
        <v>1062065</v>
      </c>
      <c r="T436" s="2">
        <v>908811</v>
      </c>
      <c r="U436" s="2">
        <v>0</v>
      </c>
      <c r="V436" s="2"/>
      <c r="W436" s="2">
        <v>896317</v>
      </c>
      <c r="X436" s="2">
        <v>727656</v>
      </c>
      <c r="Y436" s="2">
        <v>0</v>
      </c>
      <c r="Z436" s="2">
        <v>0</v>
      </c>
      <c r="AA436" s="2">
        <v>0</v>
      </c>
      <c r="AB436" s="2"/>
      <c r="AC436" s="2">
        <v>20338</v>
      </c>
      <c r="AD436" s="2">
        <v>1190</v>
      </c>
      <c r="AE436" s="2">
        <v>0</v>
      </c>
      <c r="AF436" s="2">
        <v>0</v>
      </c>
      <c r="AG436" s="2">
        <v>0</v>
      </c>
      <c r="AH436" s="2"/>
      <c r="AI436" s="2">
        <v>-121400</v>
      </c>
      <c r="AJ436" s="2">
        <v>-121400</v>
      </c>
      <c r="AK436" s="2">
        <v>-121401</v>
      </c>
      <c r="AL436" s="2">
        <v>0</v>
      </c>
      <c r="AM436" s="2">
        <v>-121400</v>
      </c>
    </row>
    <row r="437" spans="1:39">
      <c r="A437" s="349">
        <v>94311</v>
      </c>
      <c r="B437" s="342" t="s">
        <v>1126</v>
      </c>
      <c r="C437" s="358">
        <v>7.85E-4</v>
      </c>
      <c r="E437" s="2">
        <v>285205</v>
      </c>
      <c r="F437" s="2">
        <v>368734</v>
      </c>
      <c r="G437" s="2">
        <v>226246</v>
      </c>
      <c r="H437" s="2">
        <v>116825</v>
      </c>
      <c r="I437" s="2">
        <v>0</v>
      </c>
      <c r="J437" s="2"/>
      <c r="K437" s="2">
        <v>145546</v>
      </c>
      <c r="L437" s="2">
        <v>134073</v>
      </c>
      <c r="M437" s="2">
        <v>74621</v>
      </c>
      <c r="N437" s="2">
        <v>0</v>
      </c>
      <c r="O437" s="2">
        <v>0</v>
      </c>
      <c r="P437" s="2"/>
      <c r="Q437" s="2">
        <v>9435</v>
      </c>
      <c r="R437" s="2">
        <v>131962</v>
      </c>
      <c r="S437" s="2">
        <v>136526</v>
      </c>
      <c r="T437" s="2">
        <v>116825</v>
      </c>
      <c r="U437" s="2">
        <v>0</v>
      </c>
      <c r="V437" s="2"/>
      <c r="W437" s="2">
        <v>115219</v>
      </c>
      <c r="X437" s="2">
        <v>93538</v>
      </c>
      <c r="Y437" s="2">
        <v>0</v>
      </c>
      <c r="Z437" s="2">
        <v>0</v>
      </c>
      <c r="AA437" s="2">
        <v>0</v>
      </c>
      <c r="AB437" s="2"/>
      <c r="AC437" s="2">
        <v>20944</v>
      </c>
      <c r="AD437" s="2">
        <v>15100</v>
      </c>
      <c r="AE437" s="2">
        <v>15099</v>
      </c>
      <c r="AF437" s="2">
        <v>0</v>
      </c>
      <c r="AG437" s="2">
        <v>0</v>
      </c>
      <c r="AH437" s="2"/>
      <c r="AI437" s="2">
        <v>-5939</v>
      </c>
      <c r="AJ437" s="2">
        <v>-5939</v>
      </c>
      <c r="AK437" s="2">
        <v>0</v>
      </c>
      <c r="AL437" s="2">
        <v>0</v>
      </c>
      <c r="AM437" s="2">
        <v>-5939</v>
      </c>
    </row>
    <row r="438" spans="1:39">
      <c r="A438" s="349">
        <v>94313</v>
      </c>
      <c r="B438" s="342" t="s">
        <v>1127</v>
      </c>
      <c r="C438" s="358">
        <v>1.7099999999999999E-5</v>
      </c>
      <c r="E438" s="2">
        <v>9982</v>
      </c>
      <c r="F438" s="2">
        <v>11379</v>
      </c>
      <c r="G438" s="2">
        <v>6894</v>
      </c>
      <c r="H438" s="2">
        <v>2545</v>
      </c>
      <c r="I438" s="2">
        <v>0</v>
      </c>
      <c r="J438" s="2"/>
      <c r="K438" s="2">
        <v>3170</v>
      </c>
      <c r="L438" s="2">
        <v>2921</v>
      </c>
      <c r="M438" s="2">
        <v>1625</v>
      </c>
      <c r="N438" s="2">
        <v>0</v>
      </c>
      <c r="O438" s="2">
        <v>0</v>
      </c>
      <c r="P438" s="2"/>
      <c r="Q438" s="2">
        <v>206</v>
      </c>
      <c r="R438" s="2">
        <v>2875</v>
      </c>
      <c r="S438" s="2">
        <v>2974</v>
      </c>
      <c r="T438" s="2">
        <v>2545</v>
      </c>
      <c r="U438" s="2">
        <v>0</v>
      </c>
      <c r="V438" s="2"/>
      <c r="W438" s="2">
        <v>2510</v>
      </c>
      <c r="X438" s="2">
        <v>2038</v>
      </c>
      <c r="Y438" s="2">
        <v>0</v>
      </c>
      <c r="Z438" s="2">
        <v>0</v>
      </c>
      <c r="AA438" s="2">
        <v>0</v>
      </c>
      <c r="AB438" s="2"/>
      <c r="AC438" s="2">
        <v>4198</v>
      </c>
      <c r="AD438" s="2">
        <v>3647</v>
      </c>
      <c r="AE438" s="2">
        <v>2396</v>
      </c>
      <c r="AF438" s="2">
        <v>0</v>
      </c>
      <c r="AG438" s="2">
        <v>0</v>
      </c>
      <c r="AH438" s="2"/>
      <c r="AI438" s="2">
        <v>-102</v>
      </c>
      <c r="AJ438" s="2">
        <v>-102</v>
      </c>
      <c r="AK438" s="2">
        <v>-101</v>
      </c>
      <c r="AL438" s="2">
        <v>0</v>
      </c>
      <c r="AM438" s="2">
        <v>-102</v>
      </c>
    </row>
    <row r="439" spans="1:39">
      <c r="A439" s="349">
        <v>94317</v>
      </c>
      <c r="B439" s="342" t="s">
        <v>1128</v>
      </c>
      <c r="C439" s="358">
        <v>4.7999999999999998E-6</v>
      </c>
      <c r="E439" s="2">
        <v>3830</v>
      </c>
      <c r="F439" s="2">
        <v>3570</v>
      </c>
      <c r="G439" s="2">
        <v>1736</v>
      </c>
      <c r="H439" s="2">
        <v>714</v>
      </c>
      <c r="I439" s="2">
        <v>0</v>
      </c>
      <c r="J439" s="2"/>
      <c r="K439" s="2">
        <v>890</v>
      </c>
      <c r="L439" s="2">
        <v>820</v>
      </c>
      <c r="M439" s="2">
        <v>456</v>
      </c>
      <c r="N439" s="2">
        <v>0</v>
      </c>
      <c r="O439" s="2">
        <v>0</v>
      </c>
      <c r="P439" s="2"/>
      <c r="Q439" s="2">
        <v>58</v>
      </c>
      <c r="R439" s="2">
        <v>807</v>
      </c>
      <c r="S439" s="2">
        <v>835</v>
      </c>
      <c r="T439" s="2">
        <v>714</v>
      </c>
      <c r="U439" s="2">
        <v>0</v>
      </c>
      <c r="V439" s="2"/>
      <c r="W439" s="2">
        <v>705</v>
      </c>
      <c r="X439" s="2">
        <v>572</v>
      </c>
      <c r="Y439" s="2">
        <v>0</v>
      </c>
      <c r="Z439" s="2">
        <v>0</v>
      </c>
      <c r="AA439" s="2">
        <v>0</v>
      </c>
      <c r="AB439" s="2"/>
      <c r="AC439" s="2">
        <v>2661</v>
      </c>
      <c r="AD439" s="2">
        <v>1855</v>
      </c>
      <c r="AE439" s="2">
        <v>929</v>
      </c>
      <c r="AF439" s="2">
        <v>0</v>
      </c>
      <c r="AG439" s="2">
        <v>0</v>
      </c>
      <c r="AH439" s="2"/>
      <c r="AI439" s="2">
        <v>-484</v>
      </c>
      <c r="AJ439" s="2">
        <v>-484</v>
      </c>
      <c r="AK439" s="2">
        <v>-484</v>
      </c>
      <c r="AL439" s="2">
        <v>0</v>
      </c>
      <c r="AM439" s="2">
        <v>-484</v>
      </c>
    </row>
    <row r="440" spans="1:39">
      <c r="A440" s="349">
        <v>94321</v>
      </c>
      <c r="B440" s="342" t="s">
        <v>1129</v>
      </c>
      <c r="C440" s="358">
        <v>3.1559999999999997E-4</v>
      </c>
      <c r="E440" s="2">
        <v>116543</v>
      </c>
      <c r="F440" s="2">
        <v>153726</v>
      </c>
      <c r="G440" s="2">
        <v>96762</v>
      </c>
      <c r="H440" s="2">
        <v>46968</v>
      </c>
      <c r="I440" s="2">
        <v>0</v>
      </c>
      <c r="J440" s="2"/>
      <c r="K440" s="2">
        <v>58515</v>
      </c>
      <c r="L440" s="2">
        <v>53903</v>
      </c>
      <c r="M440" s="2">
        <v>30000</v>
      </c>
      <c r="N440" s="2">
        <v>0</v>
      </c>
      <c r="O440" s="2">
        <v>0</v>
      </c>
      <c r="P440" s="2"/>
      <c r="Q440" s="2">
        <v>3793</v>
      </c>
      <c r="R440" s="2">
        <v>53054</v>
      </c>
      <c r="S440" s="2">
        <v>54889</v>
      </c>
      <c r="T440" s="2">
        <v>46968</v>
      </c>
      <c r="U440" s="2">
        <v>0</v>
      </c>
      <c r="V440" s="2"/>
      <c r="W440" s="2">
        <v>46323</v>
      </c>
      <c r="X440" s="2">
        <v>37606</v>
      </c>
      <c r="Y440" s="2">
        <v>0</v>
      </c>
      <c r="Z440" s="2">
        <v>0</v>
      </c>
      <c r="AA440" s="2">
        <v>0</v>
      </c>
      <c r="AB440" s="2"/>
      <c r="AC440" s="2">
        <v>12644</v>
      </c>
      <c r="AD440" s="2">
        <v>12644</v>
      </c>
      <c r="AE440" s="2">
        <v>12642</v>
      </c>
      <c r="AF440" s="2">
        <v>0</v>
      </c>
      <c r="AG440" s="2">
        <v>0</v>
      </c>
      <c r="AH440" s="2"/>
      <c r="AI440" s="2">
        <v>-4732</v>
      </c>
      <c r="AJ440" s="2">
        <v>-3481</v>
      </c>
      <c r="AK440" s="2">
        <v>-769</v>
      </c>
      <c r="AL440" s="2">
        <v>0</v>
      </c>
      <c r="AM440" s="2">
        <v>-3481</v>
      </c>
    </row>
    <row r="441" spans="1:39">
      <c r="A441" s="349">
        <v>94331</v>
      </c>
      <c r="B441" s="342" t="s">
        <v>1130</v>
      </c>
      <c r="C441" s="358">
        <v>1.5080000000000001E-4</v>
      </c>
      <c r="E441" s="2">
        <v>53820</v>
      </c>
      <c r="F441" s="2">
        <v>72474</v>
      </c>
      <c r="G441" s="2">
        <v>39365</v>
      </c>
      <c r="H441" s="2">
        <v>22442</v>
      </c>
      <c r="I441" s="2">
        <v>0</v>
      </c>
      <c r="J441" s="2"/>
      <c r="K441" s="2">
        <v>27960</v>
      </c>
      <c r="L441" s="2">
        <v>25756</v>
      </c>
      <c r="M441" s="2">
        <v>14335</v>
      </c>
      <c r="N441" s="2">
        <v>0</v>
      </c>
      <c r="O441" s="2">
        <v>0</v>
      </c>
      <c r="P441" s="2"/>
      <c r="Q441" s="2">
        <v>1812</v>
      </c>
      <c r="R441" s="2">
        <v>25350</v>
      </c>
      <c r="S441" s="2">
        <v>26227</v>
      </c>
      <c r="T441" s="2">
        <v>22442</v>
      </c>
      <c r="U441" s="2">
        <v>0</v>
      </c>
      <c r="V441" s="2"/>
      <c r="W441" s="2">
        <v>22134</v>
      </c>
      <c r="X441" s="2">
        <v>17969</v>
      </c>
      <c r="Y441" s="2">
        <v>0</v>
      </c>
      <c r="Z441" s="2">
        <v>0</v>
      </c>
      <c r="AA441" s="2">
        <v>0</v>
      </c>
      <c r="AB441" s="2"/>
      <c r="AC441" s="2">
        <v>5226</v>
      </c>
      <c r="AD441" s="2">
        <v>5228</v>
      </c>
      <c r="AE441" s="2">
        <v>634</v>
      </c>
      <c r="AF441" s="2">
        <v>0</v>
      </c>
      <c r="AG441" s="2">
        <v>0</v>
      </c>
      <c r="AH441" s="2"/>
      <c r="AI441" s="2">
        <v>-3312</v>
      </c>
      <c r="AJ441" s="2">
        <v>-1829</v>
      </c>
      <c r="AK441" s="2">
        <v>-1831</v>
      </c>
      <c r="AL441" s="2">
        <v>0</v>
      </c>
      <c r="AM441" s="2">
        <v>-1829</v>
      </c>
    </row>
    <row r="442" spans="1:39">
      <c r="A442" s="349">
        <v>94341</v>
      </c>
      <c r="B442" s="342" t="s">
        <v>1131</v>
      </c>
      <c r="C442" s="358">
        <v>9.2700000000000004E-5</v>
      </c>
      <c r="E442" s="2">
        <v>28942</v>
      </c>
      <c r="F442" s="2">
        <v>38187</v>
      </c>
      <c r="G442" s="2">
        <v>23130</v>
      </c>
      <c r="H442" s="2">
        <v>13796</v>
      </c>
      <c r="I442" s="2">
        <v>0</v>
      </c>
      <c r="J442" s="2"/>
      <c r="K442" s="2">
        <v>17187</v>
      </c>
      <c r="L442" s="2">
        <v>15833</v>
      </c>
      <c r="M442" s="2">
        <v>8812</v>
      </c>
      <c r="N442" s="2">
        <v>0</v>
      </c>
      <c r="O442" s="2">
        <v>0</v>
      </c>
      <c r="P442" s="2"/>
      <c r="Q442" s="2">
        <v>1114</v>
      </c>
      <c r="R442" s="2">
        <v>15583</v>
      </c>
      <c r="S442" s="2">
        <v>16122</v>
      </c>
      <c r="T442" s="2">
        <v>13796</v>
      </c>
      <c r="U442" s="2">
        <v>0</v>
      </c>
      <c r="V442" s="2"/>
      <c r="W442" s="2">
        <v>13606</v>
      </c>
      <c r="X442" s="2">
        <v>11046</v>
      </c>
      <c r="Y442" s="2">
        <v>0</v>
      </c>
      <c r="Z442" s="2">
        <v>0</v>
      </c>
      <c r="AA442" s="2">
        <v>0</v>
      </c>
      <c r="AB442" s="2"/>
      <c r="AC442" s="2">
        <v>2958</v>
      </c>
      <c r="AD442" s="2">
        <v>1649</v>
      </c>
      <c r="AE442" s="2">
        <v>1651</v>
      </c>
      <c r="AF442" s="2">
        <v>0</v>
      </c>
      <c r="AG442" s="2">
        <v>0</v>
      </c>
      <c r="AH442" s="2"/>
      <c r="AI442" s="2">
        <v>-5923</v>
      </c>
      <c r="AJ442" s="2">
        <v>-5924</v>
      </c>
      <c r="AK442" s="2">
        <v>-3455</v>
      </c>
      <c r="AL442" s="2">
        <v>0</v>
      </c>
      <c r="AM442" s="2">
        <v>-5924</v>
      </c>
    </row>
    <row r="443" spans="1:39">
      <c r="A443" s="349">
        <v>94347</v>
      </c>
      <c r="B443" s="342" t="s">
        <v>1132</v>
      </c>
      <c r="C443" s="358">
        <v>1.5E-5</v>
      </c>
      <c r="E443" s="2">
        <v>9932</v>
      </c>
      <c r="F443" s="2">
        <v>11038</v>
      </c>
      <c r="G443" s="2">
        <v>8437</v>
      </c>
      <c r="H443" s="2">
        <v>2232</v>
      </c>
      <c r="I443" s="2">
        <v>0</v>
      </c>
      <c r="J443" s="2"/>
      <c r="K443" s="2">
        <v>2781</v>
      </c>
      <c r="L443" s="2">
        <v>2562</v>
      </c>
      <c r="M443" s="2">
        <v>1426</v>
      </c>
      <c r="N443" s="2">
        <v>0</v>
      </c>
      <c r="O443" s="2">
        <v>0</v>
      </c>
      <c r="P443" s="2"/>
      <c r="Q443" s="2">
        <v>180</v>
      </c>
      <c r="R443" s="2">
        <v>2522</v>
      </c>
      <c r="S443" s="2">
        <v>2609</v>
      </c>
      <c r="T443" s="2">
        <v>2232</v>
      </c>
      <c r="U443" s="2">
        <v>0</v>
      </c>
      <c r="V443" s="2"/>
      <c r="W443" s="2">
        <v>2202</v>
      </c>
      <c r="X443" s="2">
        <v>1787</v>
      </c>
      <c r="Y443" s="2">
        <v>0</v>
      </c>
      <c r="Z443" s="2">
        <v>0</v>
      </c>
      <c r="AA443" s="2">
        <v>0</v>
      </c>
      <c r="AB443" s="2"/>
      <c r="AC443" s="2">
        <v>5006</v>
      </c>
      <c r="AD443" s="2">
        <v>4404</v>
      </c>
      <c r="AE443" s="2">
        <v>4402</v>
      </c>
      <c r="AF443" s="2">
        <v>0</v>
      </c>
      <c r="AG443" s="2">
        <v>0</v>
      </c>
      <c r="AH443" s="2"/>
      <c r="AI443" s="2">
        <v>-237</v>
      </c>
      <c r="AJ443" s="2">
        <v>-237</v>
      </c>
      <c r="AK443" s="2">
        <v>0</v>
      </c>
      <c r="AL443" s="2">
        <v>0</v>
      </c>
      <c r="AM443" s="2">
        <v>-237</v>
      </c>
    </row>
    <row r="444" spans="1:39">
      <c r="A444" s="349">
        <v>94351</v>
      </c>
      <c r="B444" s="342" t="s">
        <v>1133</v>
      </c>
      <c r="C444" s="358">
        <v>2.9090000000000002E-4</v>
      </c>
      <c r="E444" s="2">
        <v>120759</v>
      </c>
      <c r="F444" s="2">
        <v>154352</v>
      </c>
      <c r="G444" s="2">
        <v>100447</v>
      </c>
      <c r="H444" s="2">
        <v>43292</v>
      </c>
      <c r="I444" s="2">
        <v>0</v>
      </c>
      <c r="J444" s="2"/>
      <c r="K444" s="2">
        <v>53935</v>
      </c>
      <c r="L444" s="2">
        <v>49684</v>
      </c>
      <c r="M444" s="2">
        <v>27652</v>
      </c>
      <c r="N444" s="2">
        <v>0</v>
      </c>
      <c r="O444" s="2">
        <v>0</v>
      </c>
      <c r="P444" s="2"/>
      <c r="Q444" s="2">
        <v>3496</v>
      </c>
      <c r="R444" s="2">
        <v>48902</v>
      </c>
      <c r="S444" s="2">
        <v>50593</v>
      </c>
      <c r="T444" s="2">
        <v>43292</v>
      </c>
      <c r="U444" s="2">
        <v>0</v>
      </c>
      <c r="V444" s="2"/>
      <c r="W444" s="2">
        <v>42697</v>
      </c>
      <c r="X444" s="2">
        <v>34663</v>
      </c>
      <c r="Y444" s="2">
        <v>0</v>
      </c>
      <c r="Z444" s="2">
        <v>0</v>
      </c>
      <c r="AA444" s="2">
        <v>0</v>
      </c>
      <c r="AB444" s="2"/>
      <c r="AC444" s="2">
        <v>26367</v>
      </c>
      <c r="AD444" s="2">
        <v>26367</v>
      </c>
      <c r="AE444" s="2">
        <v>26367</v>
      </c>
      <c r="AF444" s="2">
        <v>0</v>
      </c>
      <c r="AG444" s="2">
        <v>0</v>
      </c>
      <c r="AH444" s="2"/>
      <c r="AI444" s="2">
        <v>-5736</v>
      </c>
      <c r="AJ444" s="2">
        <v>-5264</v>
      </c>
      <c r="AK444" s="2">
        <v>-4165</v>
      </c>
      <c r="AL444" s="2">
        <v>0</v>
      </c>
      <c r="AM444" s="2">
        <v>-5264</v>
      </c>
    </row>
    <row r="445" spans="1:39">
      <c r="A445" s="349">
        <v>94401</v>
      </c>
      <c r="B445" s="342" t="s">
        <v>1134</v>
      </c>
      <c r="C445" s="358">
        <v>3.5389000000000002E-3</v>
      </c>
      <c r="E445" s="2">
        <v>1234541</v>
      </c>
      <c r="F445" s="2">
        <v>1658315</v>
      </c>
      <c r="G445" s="2">
        <v>986912</v>
      </c>
      <c r="H445" s="2">
        <v>526666</v>
      </c>
      <c r="I445" s="2">
        <v>0</v>
      </c>
      <c r="J445" s="2"/>
      <c r="K445" s="2">
        <v>656144</v>
      </c>
      <c r="L445" s="2">
        <v>604423</v>
      </c>
      <c r="M445" s="2">
        <v>336401</v>
      </c>
      <c r="N445" s="2">
        <v>0</v>
      </c>
      <c r="O445" s="2">
        <v>0</v>
      </c>
      <c r="P445" s="2"/>
      <c r="Q445" s="2">
        <v>42534</v>
      </c>
      <c r="R445" s="2">
        <v>594907</v>
      </c>
      <c r="S445" s="2">
        <v>615478</v>
      </c>
      <c r="T445" s="2">
        <v>526666</v>
      </c>
      <c r="U445" s="2">
        <v>0</v>
      </c>
      <c r="V445" s="2"/>
      <c r="W445" s="2">
        <v>519426</v>
      </c>
      <c r="X445" s="2">
        <v>421685</v>
      </c>
      <c r="Y445" s="2">
        <v>0</v>
      </c>
      <c r="Z445" s="2">
        <v>0</v>
      </c>
      <c r="AA445" s="2">
        <v>0</v>
      </c>
      <c r="AB445" s="2"/>
      <c r="AC445" s="2">
        <v>37301</v>
      </c>
      <c r="AD445" s="2">
        <v>37300</v>
      </c>
      <c r="AE445" s="2">
        <v>35033</v>
      </c>
      <c r="AF445" s="2">
        <v>0</v>
      </c>
      <c r="AG445" s="2">
        <v>0</v>
      </c>
      <c r="AH445" s="2"/>
      <c r="AI445" s="2">
        <v>-20864</v>
      </c>
      <c r="AJ445" s="2">
        <v>0</v>
      </c>
      <c r="AK445" s="2">
        <v>0</v>
      </c>
      <c r="AL445" s="2">
        <v>0</v>
      </c>
      <c r="AM445" s="2">
        <v>0</v>
      </c>
    </row>
    <row r="446" spans="1:39">
      <c r="A446" s="349">
        <v>94403</v>
      </c>
      <c r="B446" s="342" t="s">
        <v>1136</v>
      </c>
      <c r="C446" s="358">
        <v>3.9199999999999997E-5</v>
      </c>
      <c r="E446" s="2">
        <v>22544</v>
      </c>
      <c r="F446" s="2">
        <v>23349</v>
      </c>
      <c r="G446" s="2">
        <v>13975</v>
      </c>
      <c r="H446" s="2">
        <v>5834</v>
      </c>
      <c r="I446" s="2">
        <v>0</v>
      </c>
      <c r="J446" s="2"/>
      <c r="K446" s="2">
        <v>7268</v>
      </c>
      <c r="L446" s="2">
        <v>6695</v>
      </c>
      <c r="M446" s="2">
        <v>3726</v>
      </c>
      <c r="N446" s="2">
        <v>0</v>
      </c>
      <c r="O446" s="2">
        <v>0</v>
      </c>
      <c r="P446" s="2"/>
      <c r="Q446" s="2">
        <v>471</v>
      </c>
      <c r="R446" s="2">
        <v>6590</v>
      </c>
      <c r="S446" s="2">
        <v>6818</v>
      </c>
      <c r="T446" s="2">
        <v>5834</v>
      </c>
      <c r="U446" s="2">
        <v>0</v>
      </c>
      <c r="V446" s="2"/>
      <c r="W446" s="2">
        <v>5754</v>
      </c>
      <c r="X446" s="2">
        <v>4671</v>
      </c>
      <c r="Y446" s="2">
        <v>0</v>
      </c>
      <c r="Z446" s="2">
        <v>0</v>
      </c>
      <c r="AA446" s="2">
        <v>0</v>
      </c>
      <c r="AB446" s="2"/>
      <c r="AC446" s="2">
        <v>9051</v>
      </c>
      <c r="AD446" s="2">
        <v>5393</v>
      </c>
      <c r="AE446" s="2">
        <v>3431</v>
      </c>
      <c r="AF446" s="2">
        <v>0</v>
      </c>
      <c r="AG446" s="2">
        <v>0</v>
      </c>
      <c r="AH446" s="2"/>
      <c r="AI446" s="2">
        <v>0</v>
      </c>
      <c r="AJ446" s="2">
        <v>0</v>
      </c>
      <c r="AK446" s="2">
        <v>0</v>
      </c>
      <c r="AL446" s="2">
        <v>0</v>
      </c>
      <c r="AM446" s="2">
        <v>0</v>
      </c>
    </row>
    <row r="447" spans="1:39">
      <c r="A447" s="349">
        <v>94408</v>
      </c>
      <c r="B447" s="342" t="s">
        <v>1137</v>
      </c>
      <c r="C447" s="358">
        <v>5.4400000000000001E-5</v>
      </c>
      <c r="E447" s="2">
        <v>15887</v>
      </c>
      <c r="F447" s="2">
        <v>22641</v>
      </c>
      <c r="G447" s="2">
        <v>12624</v>
      </c>
      <c r="H447" s="2">
        <v>8096</v>
      </c>
      <c r="I447" s="2">
        <v>0</v>
      </c>
      <c r="J447" s="2"/>
      <c r="K447" s="2">
        <v>10086</v>
      </c>
      <c r="L447" s="2">
        <v>9291</v>
      </c>
      <c r="M447" s="2">
        <v>5171</v>
      </c>
      <c r="N447" s="2">
        <v>0</v>
      </c>
      <c r="O447" s="2">
        <v>0</v>
      </c>
      <c r="P447" s="2"/>
      <c r="Q447" s="2">
        <v>654</v>
      </c>
      <c r="R447" s="2">
        <v>9145</v>
      </c>
      <c r="S447" s="2">
        <v>9461</v>
      </c>
      <c r="T447" s="2">
        <v>8096</v>
      </c>
      <c r="U447" s="2">
        <v>0</v>
      </c>
      <c r="V447" s="2"/>
      <c r="W447" s="2">
        <v>7985</v>
      </c>
      <c r="X447" s="2">
        <v>6482</v>
      </c>
      <c r="Y447" s="2">
        <v>0</v>
      </c>
      <c r="Z447" s="2">
        <v>0</v>
      </c>
      <c r="AA447" s="2">
        <v>0</v>
      </c>
      <c r="AB447" s="2"/>
      <c r="AC447" s="2">
        <v>2246</v>
      </c>
      <c r="AD447" s="2">
        <v>2246</v>
      </c>
      <c r="AE447" s="2">
        <v>2246</v>
      </c>
      <c r="AF447" s="2">
        <v>0</v>
      </c>
      <c r="AG447" s="2">
        <v>0</v>
      </c>
      <c r="AH447" s="2"/>
      <c r="AI447" s="2">
        <v>-5084</v>
      </c>
      <c r="AJ447" s="2">
        <v>-4523</v>
      </c>
      <c r="AK447" s="2">
        <v>-4254</v>
      </c>
      <c r="AL447" s="2">
        <v>0</v>
      </c>
      <c r="AM447" s="2">
        <v>-4523</v>
      </c>
    </row>
    <row r="448" spans="1:39">
      <c r="A448" s="349">
        <v>94411</v>
      </c>
      <c r="B448" s="342" t="s">
        <v>1138</v>
      </c>
      <c r="C448" s="358">
        <v>1.1728999999999999E-3</v>
      </c>
      <c r="E448" s="2">
        <v>360582</v>
      </c>
      <c r="F448" s="2">
        <v>481344</v>
      </c>
      <c r="G448" s="2">
        <v>266823</v>
      </c>
      <c r="H448" s="2">
        <v>174553</v>
      </c>
      <c r="I448" s="2">
        <v>0</v>
      </c>
      <c r="J448" s="2"/>
      <c r="K448" s="2">
        <v>217466</v>
      </c>
      <c r="L448" s="2">
        <v>200324</v>
      </c>
      <c r="M448" s="2">
        <v>111494</v>
      </c>
      <c r="N448" s="2">
        <v>0</v>
      </c>
      <c r="O448" s="2">
        <v>0</v>
      </c>
      <c r="P448" s="2"/>
      <c r="Q448" s="2">
        <v>14097</v>
      </c>
      <c r="R448" s="2">
        <v>197170</v>
      </c>
      <c r="S448" s="2">
        <v>203988</v>
      </c>
      <c r="T448" s="2">
        <v>174553</v>
      </c>
      <c r="U448" s="2">
        <v>0</v>
      </c>
      <c r="V448" s="2"/>
      <c r="W448" s="2">
        <v>172154</v>
      </c>
      <c r="X448" s="2">
        <v>139759</v>
      </c>
      <c r="Y448" s="2">
        <v>0</v>
      </c>
      <c r="Z448" s="2">
        <v>0</v>
      </c>
      <c r="AA448" s="2">
        <v>0</v>
      </c>
      <c r="AB448" s="2"/>
      <c r="AC448" s="2">
        <v>12772</v>
      </c>
      <c r="AD448" s="2">
        <v>0</v>
      </c>
      <c r="AE448" s="2">
        <v>0</v>
      </c>
      <c r="AF448" s="2">
        <v>0</v>
      </c>
      <c r="AG448" s="2">
        <v>0</v>
      </c>
      <c r="AH448" s="2"/>
      <c r="AI448" s="2">
        <v>-55907</v>
      </c>
      <c r="AJ448" s="2">
        <v>-55909</v>
      </c>
      <c r="AK448" s="2">
        <v>-48659</v>
      </c>
      <c r="AL448" s="2">
        <v>0</v>
      </c>
      <c r="AM448" s="2">
        <v>-55909</v>
      </c>
    </row>
    <row r="449" spans="1:39">
      <c r="A449" s="349">
        <v>94412</v>
      </c>
      <c r="B449" s="342" t="s">
        <v>1139</v>
      </c>
      <c r="C449" s="358">
        <v>1.6399999999999999E-5</v>
      </c>
      <c r="E449" s="2">
        <v>11393</v>
      </c>
      <c r="F449" s="2">
        <v>12236</v>
      </c>
      <c r="G449" s="2">
        <v>7752</v>
      </c>
      <c r="H449" s="2">
        <v>2441</v>
      </c>
      <c r="I449" s="2">
        <v>0</v>
      </c>
      <c r="J449" s="2"/>
      <c r="K449" s="2">
        <v>3041</v>
      </c>
      <c r="L449" s="2">
        <v>2801</v>
      </c>
      <c r="M449" s="2">
        <v>1559</v>
      </c>
      <c r="N449" s="2">
        <v>0</v>
      </c>
      <c r="O449" s="2">
        <v>0</v>
      </c>
      <c r="P449" s="2"/>
      <c r="Q449" s="2">
        <v>197</v>
      </c>
      <c r="R449" s="2">
        <v>2757</v>
      </c>
      <c r="S449" s="2">
        <v>2852</v>
      </c>
      <c r="T449" s="2">
        <v>2441</v>
      </c>
      <c r="U449" s="2">
        <v>0</v>
      </c>
      <c r="V449" s="2"/>
      <c r="W449" s="2">
        <v>2407</v>
      </c>
      <c r="X449" s="2">
        <v>1954</v>
      </c>
      <c r="Y449" s="2">
        <v>0</v>
      </c>
      <c r="Z449" s="2">
        <v>0</v>
      </c>
      <c r="AA449" s="2">
        <v>0</v>
      </c>
      <c r="AB449" s="2"/>
      <c r="AC449" s="2">
        <v>5748</v>
      </c>
      <c r="AD449" s="2">
        <v>4724</v>
      </c>
      <c r="AE449" s="2">
        <v>3341</v>
      </c>
      <c r="AF449" s="2">
        <v>0</v>
      </c>
      <c r="AG449" s="2">
        <v>0</v>
      </c>
      <c r="AH449" s="2"/>
      <c r="AI449" s="2">
        <v>0</v>
      </c>
      <c r="AJ449" s="2">
        <v>0</v>
      </c>
      <c r="AK449" s="2">
        <v>0</v>
      </c>
      <c r="AL449" s="2">
        <v>0</v>
      </c>
      <c r="AM449" s="2">
        <v>0</v>
      </c>
    </row>
    <row r="450" spans="1:39">
      <c r="A450" s="349">
        <v>94421</v>
      </c>
      <c r="B450" s="342" t="s">
        <v>1140</v>
      </c>
      <c r="C450" s="358">
        <v>1.172E-4</v>
      </c>
      <c r="E450" s="2">
        <v>32253</v>
      </c>
      <c r="F450" s="2">
        <v>45129</v>
      </c>
      <c r="G450" s="2">
        <v>24235</v>
      </c>
      <c r="H450" s="2">
        <v>17442</v>
      </c>
      <c r="I450" s="2">
        <v>0</v>
      </c>
      <c r="J450" s="2"/>
      <c r="K450" s="2">
        <v>21730</v>
      </c>
      <c r="L450" s="2">
        <v>20017</v>
      </c>
      <c r="M450" s="2">
        <v>11141</v>
      </c>
      <c r="N450" s="2">
        <v>0</v>
      </c>
      <c r="O450" s="2">
        <v>0</v>
      </c>
      <c r="P450" s="2"/>
      <c r="Q450" s="2">
        <v>1409</v>
      </c>
      <c r="R450" s="2">
        <v>19702</v>
      </c>
      <c r="S450" s="2">
        <v>20383</v>
      </c>
      <c r="T450" s="2">
        <v>17442</v>
      </c>
      <c r="U450" s="2">
        <v>0</v>
      </c>
      <c r="V450" s="2"/>
      <c r="W450" s="2">
        <v>17202</v>
      </c>
      <c r="X450" s="2">
        <v>13965</v>
      </c>
      <c r="Y450" s="2">
        <v>0</v>
      </c>
      <c r="Z450" s="2">
        <v>0</v>
      </c>
      <c r="AA450" s="2">
        <v>0</v>
      </c>
      <c r="AB450" s="2"/>
      <c r="AC450" s="2">
        <v>469</v>
      </c>
      <c r="AD450" s="2">
        <v>0</v>
      </c>
      <c r="AE450" s="2">
        <v>0</v>
      </c>
      <c r="AF450" s="2">
        <v>0</v>
      </c>
      <c r="AG450" s="2">
        <v>0</v>
      </c>
      <c r="AH450" s="2"/>
      <c r="AI450" s="2">
        <v>-8557</v>
      </c>
      <c r="AJ450" s="2">
        <v>-8555</v>
      </c>
      <c r="AK450" s="2">
        <v>-7289</v>
      </c>
      <c r="AL450" s="2">
        <v>0</v>
      </c>
      <c r="AM450" s="2">
        <v>-8555</v>
      </c>
    </row>
    <row r="451" spans="1:39">
      <c r="A451" s="349">
        <v>94427</v>
      </c>
      <c r="B451" s="342" t="s">
        <v>1141</v>
      </c>
      <c r="C451" s="358">
        <v>2.5999999999999998E-5</v>
      </c>
      <c r="E451" s="2">
        <v>13816</v>
      </c>
      <c r="F451" s="2">
        <v>15884</v>
      </c>
      <c r="G451" s="2">
        <v>10302</v>
      </c>
      <c r="H451" s="2">
        <v>3869</v>
      </c>
      <c r="I451" s="2">
        <v>0</v>
      </c>
      <c r="J451" s="2"/>
      <c r="K451" s="2">
        <v>4821</v>
      </c>
      <c r="L451" s="2">
        <v>4441</v>
      </c>
      <c r="M451" s="2">
        <v>2472</v>
      </c>
      <c r="N451" s="2">
        <v>0</v>
      </c>
      <c r="O451" s="2">
        <v>0</v>
      </c>
      <c r="P451" s="2"/>
      <c r="Q451" s="2">
        <v>312</v>
      </c>
      <c r="R451" s="2">
        <v>4371</v>
      </c>
      <c r="S451" s="2">
        <v>4522</v>
      </c>
      <c r="T451" s="2">
        <v>3869</v>
      </c>
      <c r="U451" s="2">
        <v>0</v>
      </c>
      <c r="V451" s="2"/>
      <c r="W451" s="2">
        <v>3816</v>
      </c>
      <c r="X451" s="2">
        <v>3098</v>
      </c>
      <c r="Y451" s="2">
        <v>0</v>
      </c>
      <c r="Z451" s="2">
        <v>0</v>
      </c>
      <c r="AA451" s="2">
        <v>0</v>
      </c>
      <c r="AB451" s="2"/>
      <c r="AC451" s="2">
        <v>4867</v>
      </c>
      <c r="AD451" s="2">
        <v>3974</v>
      </c>
      <c r="AE451" s="2">
        <v>3308</v>
      </c>
      <c r="AF451" s="2">
        <v>0</v>
      </c>
      <c r="AG451" s="2">
        <v>0</v>
      </c>
      <c r="AH451" s="2"/>
      <c r="AI451" s="2">
        <v>0</v>
      </c>
      <c r="AJ451" s="2">
        <v>0</v>
      </c>
      <c r="AK451" s="2">
        <v>0</v>
      </c>
      <c r="AL451" s="2">
        <v>0</v>
      </c>
      <c r="AM451" s="2">
        <v>0</v>
      </c>
    </row>
    <row r="452" spans="1:39">
      <c r="A452" s="349">
        <v>94428</v>
      </c>
      <c r="B452" s="342" t="s">
        <v>2797</v>
      </c>
      <c r="C452" s="358">
        <v>7.2299999999999996E-5</v>
      </c>
      <c r="E452" s="2">
        <v>27375</v>
      </c>
      <c r="F452" s="2">
        <v>36444</v>
      </c>
      <c r="G452" s="2">
        <v>21236</v>
      </c>
      <c r="H452" s="2">
        <v>10760</v>
      </c>
      <c r="I452" s="2">
        <v>0</v>
      </c>
      <c r="J452" s="2"/>
      <c r="K452" s="2">
        <v>13405</v>
      </c>
      <c r="L452" s="2">
        <v>12348</v>
      </c>
      <c r="M452" s="2">
        <v>6873</v>
      </c>
      <c r="N452" s="2">
        <v>0</v>
      </c>
      <c r="O452" s="2">
        <v>0</v>
      </c>
      <c r="P452" s="2"/>
      <c r="Q452" s="2">
        <v>869</v>
      </c>
      <c r="R452" s="2">
        <v>12154</v>
      </c>
      <c r="S452" s="2">
        <v>12574</v>
      </c>
      <c r="T452" s="2">
        <v>10760</v>
      </c>
      <c r="U452" s="2">
        <v>0</v>
      </c>
      <c r="V452" s="2"/>
      <c r="W452" s="2">
        <v>10612</v>
      </c>
      <c r="X452" s="2">
        <v>8615</v>
      </c>
      <c r="Y452" s="2">
        <v>0</v>
      </c>
      <c r="Z452" s="2">
        <v>0</v>
      </c>
      <c r="AA452" s="2">
        <v>0</v>
      </c>
      <c r="AB452" s="2"/>
      <c r="AC452" s="2">
        <v>3327</v>
      </c>
      <c r="AD452" s="2">
        <v>3327</v>
      </c>
      <c r="AE452" s="2">
        <v>1789</v>
      </c>
      <c r="AF452" s="2">
        <v>0</v>
      </c>
      <c r="AG452" s="2">
        <v>0</v>
      </c>
      <c r="AH452" s="2"/>
      <c r="AI452" s="2">
        <v>-838</v>
      </c>
      <c r="AJ452" s="2">
        <v>0</v>
      </c>
      <c r="AK452" s="2">
        <v>0</v>
      </c>
      <c r="AL452" s="2">
        <v>0</v>
      </c>
      <c r="AM452" s="2">
        <v>0</v>
      </c>
    </row>
    <row r="453" spans="1:39">
      <c r="A453" s="349">
        <v>94431</v>
      </c>
      <c r="B453" s="342" t="s">
        <v>1143</v>
      </c>
      <c r="C453" s="358">
        <v>3.8200000000000002E-4</v>
      </c>
      <c r="E453" s="2">
        <v>185905</v>
      </c>
      <c r="F453" s="2">
        <v>201579</v>
      </c>
      <c r="G453" s="2">
        <v>113011</v>
      </c>
      <c r="H453" s="2">
        <v>56850</v>
      </c>
      <c r="I453" s="2">
        <v>0</v>
      </c>
      <c r="J453" s="2"/>
      <c r="K453" s="2">
        <v>70826</v>
      </c>
      <c r="L453" s="2">
        <v>65243</v>
      </c>
      <c r="M453" s="2">
        <v>36312</v>
      </c>
      <c r="N453" s="2">
        <v>0</v>
      </c>
      <c r="O453" s="2">
        <v>0</v>
      </c>
      <c r="P453" s="2"/>
      <c r="Q453" s="2">
        <v>4591</v>
      </c>
      <c r="R453" s="2">
        <v>64216</v>
      </c>
      <c r="S453" s="2">
        <v>66437</v>
      </c>
      <c r="T453" s="2">
        <v>56850</v>
      </c>
      <c r="U453" s="2">
        <v>0</v>
      </c>
      <c r="V453" s="2"/>
      <c r="W453" s="2">
        <v>56068</v>
      </c>
      <c r="X453" s="2">
        <v>45518</v>
      </c>
      <c r="Y453" s="2">
        <v>0</v>
      </c>
      <c r="Z453" s="2">
        <v>0</v>
      </c>
      <c r="AA453" s="2">
        <v>0</v>
      </c>
      <c r="AB453" s="2"/>
      <c r="AC453" s="2">
        <v>71544</v>
      </c>
      <c r="AD453" s="2">
        <v>43726</v>
      </c>
      <c r="AE453" s="2">
        <v>27384</v>
      </c>
      <c r="AF453" s="2">
        <v>0</v>
      </c>
      <c r="AG453" s="2">
        <v>0</v>
      </c>
      <c r="AH453" s="2"/>
      <c r="AI453" s="2">
        <v>-17124</v>
      </c>
      <c r="AJ453" s="2">
        <v>-17124</v>
      </c>
      <c r="AK453" s="2">
        <v>-17122</v>
      </c>
      <c r="AL453" s="2">
        <v>0</v>
      </c>
      <c r="AM453" s="2">
        <v>-17124</v>
      </c>
    </row>
    <row r="454" spans="1:39">
      <c r="A454" s="349">
        <v>94437</v>
      </c>
      <c r="B454" s="342" t="s">
        <v>1144</v>
      </c>
      <c r="C454" s="358">
        <v>1.4E-5</v>
      </c>
      <c r="E454" s="2">
        <v>8483</v>
      </c>
      <c r="F454" s="2">
        <v>8592</v>
      </c>
      <c r="G454" s="2">
        <v>4678</v>
      </c>
      <c r="H454" s="2">
        <v>2084</v>
      </c>
      <c r="I454" s="2">
        <v>0</v>
      </c>
      <c r="J454" s="2"/>
      <c r="K454" s="2">
        <v>2596</v>
      </c>
      <c r="L454" s="2">
        <v>2391</v>
      </c>
      <c r="M454" s="2">
        <v>1331</v>
      </c>
      <c r="N454" s="2">
        <v>0</v>
      </c>
      <c r="O454" s="2">
        <v>0</v>
      </c>
      <c r="P454" s="2"/>
      <c r="Q454" s="2">
        <v>168</v>
      </c>
      <c r="R454" s="2">
        <v>2353</v>
      </c>
      <c r="S454" s="2">
        <v>2435</v>
      </c>
      <c r="T454" s="2">
        <v>2084</v>
      </c>
      <c r="U454" s="2">
        <v>0</v>
      </c>
      <c r="V454" s="2"/>
      <c r="W454" s="2">
        <v>2055</v>
      </c>
      <c r="X454" s="2">
        <v>1668</v>
      </c>
      <c r="Y454" s="2">
        <v>0</v>
      </c>
      <c r="Z454" s="2">
        <v>0</v>
      </c>
      <c r="AA454" s="2">
        <v>0</v>
      </c>
      <c r="AB454" s="2"/>
      <c r="AC454" s="2">
        <v>3664</v>
      </c>
      <c r="AD454" s="2">
        <v>2180</v>
      </c>
      <c r="AE454" s="2">
        <v>912</v>
      </c>
      <c r="AF454" s="2">
        <v>0</v>
      </c>
      <c r="AG454" s="2">
        <v>0</v>
      </c>
      <c r="AH454" s="2"/>
      <c r="AI454" s="2">
        <v>0</v>
      </c>
      <c r="AJ454" s="2">
        <v>0</v>
      </c>
      <c r="AK454" s="2">
        <v>0</v>
      </c>
      <c r="AL454" s="2">
        <v>0</v>
      </c>
      <c r="AM454" s="2">
        <v>0</v>
      </c>
    </row>
    <row r="455" spans="1:39">
      <c r="A455" s="349">
        <v>94501</v>
      </c>
      <c r="B455" s="342" t="s">
        <v>1145</v>
      </c>
      <c r="C455" s="358">
        <v>5.9300000000000004E-3</v>
      </c>
      <c r="E455" s="2">
        <v>2079673</v>
      </c>
      <c r="F455" s="2">
        <v>2757708</v>
      </c>
      <c r="G455" s="2">
        <v>1610151</v>
      </c>
      <c r="H455" s="2">
        <v>882514</v>
      </c>
      <c r="I455" s="2">
        <v>0</v>
      </c>
      <c r="J455" s="2"/>
      <c r="K455" s="2">
        <v>1099475</v>
      </c>
      <c r="L455" s="2">
        <v>1012808</v>
      </c>
      <c r="M455" s="2">
        <v>563694</v>
      </c>
      <c r="N455" s="2">
        <v>0</v>
      </c>
      <c r="O455" s="2">
        <v>0</v>
      </c>
      <c r="P455" s="2"/>
      <c r="Q455" s="2">
        <v>71273</v>
      </c>
      <c r="R455" s="2">
        <v>996863</v>
      </c>
      <c r="S455" s="2">
        <v>1031334</v>
      </c>
      <c r="T455" s="2">
        <v>882514</v>
      </c>
      <c r="U455" s="2">
        <v>0</v>
      </c>
      <c r="V455" s="2"/>
      <c r="W455" s="2">
        <v>870382</v>
      </c>
      <c r="X455" s="2">
        <v>706601</v>
      </c>
      <c r="Y455" s="2">
        <v>0</v>
      </c>
      <c r="Z455" s="2">
        <v>0</v>
      </c>
      <c r="AA455" s="2">
        <v>0</v>
      </c>
      <c r="AB455" s="2"/>
      <c r="AC455" s="2">
        <v>44031</v>
      </c>
      <c r="AD455" s="2">
        <v>44032</v>
      </c>
      <c r="AE455" s="2">
        <v>17719</v>
      </c>
      <c r="AF455" s="2">
        <v>0</v>
      </c>
      <c r="AG455" s="2">
        <v>0</v>
      </c>
      <c r="AH455" s="2"/>
      <c r="AI455" s="2">
        <v>-5488</v>
      </c>
      <c r="AJ455" s="2">
        <v>-2596</v>
      </c>
      <c r="AK455" s="2">
        <v>-2596</v>
      </c>
      <c r="AL455" s="2">
        <v>0</v>
      </c>
      <c r="AM455" s="2">
        <v>-2596</v>
      </c>
    </row>
    <row r="456" spans="1:39">
      <c r="A456" s="349">
        <v>94511</v>
      </c>
      <c r="B456" s="342" t="s">
        <v>1146</v>
      </c>
      <c r="C456" s="358">
        <v>2.0052E-3</v>
      </c>
      <c r="E456" s="2">
        <v>621247</v>
      </c>
      <c r="F456" s="2">
        <v>846604</v>
      </c>
      <c r="G456" s="2">
        <v>462673</v>
      </c>
      <c r="H456" s="2">
        <v>298418</v>
      </c>
      <c r="I456" s="2">
        <v>0</v>
      </c>
      <c r="J456" s="2"/>
      <c r="K456" s="2">
        <v>371782</v>
      </c>
      <c r="L456" s="2">
        <v>342476</v>
      </c>
      <c r="M456" s="2">
        <v>190610</v>
      </c>
      <c r="N456" s="2">
        <v>0</v>
      </c>
      <c r="O456" s="2">
        <v>0</v>
      </c>
      <c r="P456" s="2"/>
      <c r="Q456" s="2">
        <v>24100</v>
      </c>
      <c r="R456" s="2">
        <v>337084</v>
      </c>
      <c r="S456" s="2">
        <v>348740</v>
      </c>
      <c r="T456" s="2">
        <v>298418</v>
      </c>
      <c r="U456" s="2">
        <v>0</v>
      </c>
      <c r="V456" s="2"/>
      <c r="W456" s="2">
        <v>294315</v>
      </c>
      <c r="X456" s="2">
        <v>238934</v>
      </c>
      <c r="Y456" s="2">
        <v>0</v>
      </c>
      <c r="Z456" s="2">
        <v>0</v>
      </c>
      <c r="AA456" s="2">
        <v>0</v>
      </c>
      <c r="AB456" s="2"/>
      <c r="AC456" s="2">
        <v>7728</v>
      </c>
      <c r="AD456" s="2">
        <v>4788</v>
      </c>
      <c r="AE456" s="2">
        <v>0</v>
      </c>
      <c r="AF456" s="2">
        <v>0</v>
      </c>
      <c r="AG456" s="2">
        <v>0</v>
      </c>
      <c r="AH456" s="2"/>
      <c r="AI456" s="2">
        <v>-76678</v>
      </c>
      <c r="AJ456" s="2">
        <v>-76678</v>
      </c>
      <c r="AK456" s="2">
        <v>-76677</v>
      </c>
      <c r="AL456" s="2">
        <v>0</v>
      </c>
      <c r="AM456" s="2">
        <v>-76678</v>
      </c>
    </row>
    <row r="457" spans="1:39">
      <c r="A457" s="349">
        <v>94517</v>
      </c>
      <c r="B457" s="342" t="s">
        <v>2807</v>
      </c>
      <c r="C457" s="358">
        <v>5.8100000000000003E-5</v>
      </c>
      <c r="E457" s="2">
        <v>32537</v>
      </c>
      <c r="F457" s="2">
        <v>37508</v>
      </c>
      <c r="G457" s="2">
        <v>25744</v>
      </c>
      <c r="H457" s="2">
        <v>8647</v>
      </c>
      <c r="I457" s="2">
        <v>0</v>
      </c>
      <c r="J457" s="2"/>
      <c r="K457" s="2">
        <v>10772</v>
      </c>
      <c r="L457" s="2">
        <v>9923</v>
      </c>
      <c r="M457" s="2">
        <v>5523</v>
      </c>
      <c r="N457" s="2">
        <v>0</v>
      </c>
      <c r="O457" s="2">
        <v>0</v>
      </c>
      <c r="P457" s="2"/>
      <c r="Q457" s="2">
        <v>698</v>
      </c>
      <c r="R457" s="2">
        <v>9767</v>
      </c>
      <c r="S457" s="2">
        <v>10105</v>
      </c>
      <c r="T457" s="2">
        <v>8647</v>
      </c>
      <c r="U457" s="2">
        <v>0</v>
      </c>
      <c r="V457" s="2"/>
      <c r="W457" s="2">
        <v>8528</v>
      </c>
      <c r="X457" s="2">
        <v>6923</v>
      </c>
      <c r="Y457" s="2">
        <v>0</v>
      </c>
      <c r="Z457" s="2">
        <v>0</v>
      </c>
      <c r="AA457" s="2">
        <v>0</v>
      </c>
      <c r="AB457" s="2"/>
      <c r="AC457" s="2">
        <v>12539</v>
      </c>
      <c r="AD457" s="2">
        <v>10895</v>
      </c>
      <c r="AE457" s="2">
        <v>10116</v>
      </c>
      <c r="AF457" s="2">
        <v>0</v>
      </c>
      <c r="AG457" s="2">
        <v>0</v>
      </c>
      <c r="AH457" s="2"/>
      <c r="AI457" s="2">
        <v>0</v>
      </c>
      <c r="AJ457" s="2">
        <v>0</v>
      </c>
      <c r="AK457" s="2">
        <v>0</v>
      </c>
      <c r="AL457" s="2">
        <v>0</v>
      </c>
      <c r="AM457" s="2">
        <v>0</v>
      </c>
    </row>
    <row r="458" spans="1:39">
      <c r="A458" s="349">
        <v>94521</v>
      </c>
      <c r="B458" s="342" t="s">
        <v>1149</v>
      </c>
      <c r="C458" s="358">
        <v>1.484E-4</v>
      </c>
      <c r="E458" s="2">
        <v>44418</v>
      </c>
      <c r="F458" s="2">
        <v>58354</v>
      </c>
      <c r="G458" s="2">
        <v>31625</v>
      </c>
      <c r="H458" s="2">
        <v>22085</v>
      </c>
      <c r="I458" s="2">
        <v>0</v>
      </c>
      <c r="J458" s="2"/>
      <c r="K458" s="2">
        <v>27515</v>
      </c>
      <c r="L458" s="2">
        <v>25346</v>
      </c>
      <c r="M458" s="2">
        <v>14107</v>
      </c>
      <c r="N458" s="2">
        <v>0</v>
      </c>
      <c r="O458" s="2">
        <v>0</v>
      </c>
      <c r="P458" s="2"/>
      <c r="Q458" s="2">
        <v>1784</v>
      </c>
      <c r="R458" s="2">
        <v>24947</v>
      </c>
      <c r="S458" s="2">
        <v>25809</v>
      </c>
      <c r="T458" s="2">
        <v>22085</v>
      </c>
      <c r="U458" s="2">
        <v>0</v>
      </c>
      <c r="V458" s="2"/>
      <c r="W458" s="2">
        <v>21782</v>
      </c>
      <c r="X458" s="2">
        <v>17683</v>
      </c>
      <c r="Y458" s="2">
        <v>0</v>
      </c>
      <c r="Z458" s="2">
        <v>0</v>
      </c>
      <c r="AA458" s="2">
        <v>0</v>
      </c>
      <c r="AB458" s="2"/>
      <c r="AC458" s="2">
        <v>2957</v>
      </c>
      <c r="AD458" s="2">
        <v>0</v>
      </c>
      <c r="AE458" s="2">
        <v>0</v>
      </c>
      <c r="AF458" s="2">
        <v>0</v>
      </c>
      <c r="AG458" s="2">
        <v>0</v>
      </c>
      <c r="AH458" s="2"/>
      <c r="AI458" s="2">
        <v>-9620</v>
      </c>
      <c r="AJ458" s="2">
        <v>-9622</v>
      </c>
      <c r="AK458" s="2">
        <v>-8291</v>
      </c>
      <c r="AL458" s="2">
        <v>0</v>
      </c>
      <c r="AM458" s="2">
        <v>-9622</v>
      </c>
    </row>
    <row r="459" spans="1:39">
      <c r="A459" s="349">
        <v>94527</v>
      </c>
      <c r="B459" s="342" t="s">
        <v>1150</v>
      </c>
      <c r="C459" s="358">
        <v>6.9E-6</v>
      </c>
      <c r="E459" s="2">
        <v>2434</v>
      </c>
      <c r="F459" s="2">
        <v>3406</v>
      </c>
      <c r="G459" s="2">
        <v>1936</v>
      </c>
      <c r="H459" s="2">
        <v>1027</v>
      </c>
      <c r="I459" s="2">
        <v>0</v>
      </c>
      <c r="J459" s="2"/>
      <c r="K459" s="2">
        <v>1279</v>
      </c>
      <c r="L459" s="2">
        <v>1178</v>
      </c>
      <c r="M459" s="2">
        <v>656</v>
      </c>
      <c r="N459" s="2">
        <v>0</v>
      </c>
      <c r="O459" s="2">
        <v>0</v>
      </c>
      <c r="P459" s="2"/>
      <c r="Q459" s="2">
        <v>83</v>
      </c>
      <c r="R459" s="2">
        <v>1160</v>
      </c>
      <c r="S459" s="2">
        <v>1200</v>
      </c>
      <c r="T459" s="2">
        <v>1027</v>
      </c>
      <c r="U459" s="2">
        <v>0</v>
      </c>
      <c r="V459" s="2"/>
      <c r="W459" s="2">
        <v>1013</v>
      </c>
      <c r="X459" s="2">
        <v>822</v>
      </c>
      <c r="Y459" s="2">
        <v>0</v>
      </c>
      <c r="Z459" s="2">
        <v>0</v>
      </c>
      <c r="AA459" s="2">
        <v>0</v>
      </c>
      <c r="AB459" s="2"/>
      <c r="AC459" s="2">
        <v>246</v>
      </c>
      <c r="AD459" s="2">
        <v>246</v>
      </c>
      <c r="AE459" s="2">
        <v>80</v>
      </c>
      <c r="AF459" s="2">
        <v>0</v>
      </c>
      <c r="AG459" s="2">
        <v>0</v>
      </c>
      <c r="AH459" s="2"/>
      <c r="AI459" s="2">
        <v>-187</v>
      </c>
      <c r="AJ459" s="2">
        <v>0</v>
      </c>
      <c r="AK459" s="2">
        <v>0</v>
      </c>
      <c r="AL459" s="2">
        <v>0</v>
      </c>
      <c r="AM459" s="2">
        <v>0</v>
      </c>
    </row>
    <row r="460" spans="1:39">
      <c r="A460" s="349">
        <v>94531</v>
      </c>
      <c r="B460" s="342" t="s">
        <v>1151</v>
      </c>
      <c r="C460" s="358">
        <v>2.0999999999999999E-5</v>
      </c>
      <c r="E460" s="2">
        <v>12251</v>
      </c>
      <c r="F460" s="2">
        <v>13822</v>
      </c>
      <c r="G460" s="2">
        <v>8862</v>
      </c>
      <c r="H460" s="2">
        <v>3125</v>
      </c>
      <c r="I460" s="2">
        <v>0</v>
      </c>
      <c r="J460" s="2"/>
      <c r="K460" s="2">
        <v>3894</v>
      </c>
      <c r="L460" s="2">
        <v>3587</v>
      </c>
      <c r="M460" s="2">
        <v>1996</v>
      </c>
      <c r="N460" s="2">
        <v>0</v>
      </c>
      <c r="O460" s="2">
        <v>0</v>
      </c>
      <c r="P460" s="2"/>
      <c r="Q460" s="2">
        <v>252</v>
      </c>
      <c r="R460" s="2">
        <v>3530</v>
      </c>
      <c r="S460" s="2">
        <v>3652</v>
      </c>
      <c r="T460" s="2">
        <v>3125</v>
      </c>
      <c r="U460" s="2">
        <v>0</v>
      </c>
      <c r="V460" s="2"/>
      <c r="W460" s="2">
        <v>3082</v>
      </c>
      <c r="X460" s="2">
        <v>2502</v>
      </c>
      <c r="Y460" s="2">
        <v>0</v>
      </c>
      <c r="Z460" s="2">
        <v>0</v>
      </c>
      <c r="AA460" s="2">
        <v>0</v>
      </c>
      <c r="AB460" s="2"/>
      <c r="AC460" s="2">
        <v>5023</v>
      </c>
      <c r="AD460" s="2">
        <v>4203</v>
      </c>
      <c r="AE460" s="2">
        <v>3214</v>
      </c>
      <c r="AF460" s="2">
        <v>0</v>
      </c>
      <c r="AG460" s="2">
        <v>0</v>
      </c>
      <c r="AH460" s="2"/>
      <c r="AI460" s="2">
        <v>0</v>
      </c>
      <c r="AJ460" s="2">
        <v>0</v>
      </c>
      <c r="AK460" s="2">
        <v>0</v>
      </c>
      <c r="AL460" s="2">
        <v>0</v>
      </c>
      <c r="AM460" s="2">
        <v>0</v>
      </c>
    </row>
    <row r="461" spans="1:39">
      <c r="A461" s="349">
        <v>94532</v>
      </c>
      <c r="B461" s="342" t="s">
        <v>1152</v>
      </c>
      <c r="C461" s="358">
        <v>1.339E-4</v>
      </c>
      <c r="E461" s="2">
        <v>60915</v>
      </c>
      <c r="F461" s="2">
        <v>76274</v>
      </c>
      <c r="G461" s="2">
        <v>48565</v>
      </c>
      <c r="H461" s="2">
        <v>19927</v>
      </c>
      <c r="I461" s="2">
        <v>0</v>
      </c>
      <c r="J461" s="2"/>
      <c r="K461" s="2">
        <v>24826</v>
      </c>
      <c r="L461" s="2">
        <v>22869</v>
      </c>
      <c r="M461" s="2">
        <v>12728</v>
      </c>
      <c r="N461" s="2">
        <v>0</v>
      </c>
      <c r="O461" s="2">
        <v>0</v>
      </c>
      <c r="P461" s="2"/>
      <c r="Q461" s="2">
        <v>1609</v>
      </c>
      <c r="R461" s="2">
        <v>22509</v>
      </c>
      <c r="S461" s="2">
        <v>23288</v>
      </c>
      <c r="T461" s="2">
        <v>19927</v>
      </c>
      <c r="U461" s="2">
        <v>0</v>
      </c>
      <c r="V461" s="2"/>
      <c r="W461" s="2">
        <v>19653</v>
      </c>
      <c r="X461" s="2">
        <v>15955</v>
      </c>
      <c r="Y461" s="2">
        <v>0</v>
      </c>
      <c r="Z461" s="2">
        <v>0</v>
      </c>
      <c r="AA461" s="2">
        <v>0</v>
      </c>
      <c r="AB461" s="2"/>
      <c r="AC461" s="2">
        <v>14941</v>
      </c>
      <c r="AD461" s="2">
        <v>14941</v>
      </c>
      <c r="AE461" s="2">
        <v>12549</v>
      </c>
      <c r="AF461" s="2">
        <v>0</v>
      </c>
      <c r="AG461" s="2">
        <v>0</v>
      </c>
      <c r="AH461" s="2"/>
      <c r="AI461" s="2">
        <v>-114</v>
      </c>
      <c r="AJ461" s="2">
        <v>0</v>
      </c>
      <c r="AK461" s="2">
        <v>0</v>
      </c>
      <c r="AL461" s="2">
        <v>0</v>
      </c>
      <c r="AM461" s="2">
        <v>0</v>
      </c>
    </row>
    <row r="462" spans="1:39">
      <c r="A462" s="349">
        <v>94541</v>
      </c>
      <c r="B462" s="342" t="s">
        <v>1153</v>
      </c>
      <c r="C462" s="358">
        <v>2.7849999999999999E-4</v>
      </c>
      <c r="E462" s="2">
        <v>87511</v>
      </c>
      <c r="F462" s="2">
        <v>122151</v>
      </c>
      <c r="G462" s="2">
        <v>73164</v>
      </c>
      <c r="H462" s="2">
        <v>41447</v>
      </c>
      <c r="I462" s="2">
        <v>0</v>
      </c>
      <c r="J462" s="2"/>
      <c r="K462" s="2">
        <v>51636</v>
      </c>
      <c r="L462" s="2">
        <v>47566</v>
      </c>
      <c r="M462" s="2">
        <v>26474</v>
      </c>
      <c r="N462" s="2">
        <v>0</v>
      </c>
      <c r="O462" s="2">
        <v>0</v>
      </c>
      <c r="P462" s="2"/>
      <c r="Q462" s="2">
        <v>3347</v>
      </c>
      <c r="R462" s="2">
        <v>46817</v>
      </c>
      <c r="S462" s="2">
        <v>48436</v>
      </c>
      <c r="T462" s="2">
        <v>41447</v>
      </c>
      <c r="U462" s="2">
        <v>0</v>
      </c>
      <c r="V462" s="2"/>
      <c r="W462" s="2">
        <v>40877</v>
      </c>
      <c r="X462" s="2">
        <v>33185</v>
      </c>
      <c r="Y462" s="2">
        <v>0</v>
      </c>
      <c r="Z462" s="2">
        <v>0</v>
      </c>
      <c r="AA462" s="2">
        <v>0</v>
      </c>
      <c r="AB462" s="2"/>
      <c r="AC462" s="2">
        <v>640</v>
      </c>
      <c r="AD462" s="2">
        <v>640</v>
      </c>
      <c r="AE462" s="2">
        <v>640</v>
      </c>
      <c r="AF462" s="2">
        <v>0</v>
      </c>
      <c r="AG462" s="2">
        <v>0</v>
      </c>
      <c r="AH462" s="2"/>
      <c r="AI462" s="2">
        <v>-8989</v>
      </c>
      <c r="AJ462" s="2">
        <v>-6057</v>
      </c>
      <c r="AK462" s="2">
        <v>-2386</v>
      </c>
      <c r="AL462" s="2">
        <v>0</v>
      </c>
      <c r="AM462" s="2">
        <v>-6057</v>
      </c>
    </row>
    <row r="463" spans="1:39">
      <c r="A463" s="349">
        <v>94547</v>
      </c>
      <c r="B463" s="342" t="s">
        <v>1154</v>
      </c>
      <c r="C463" s="358">
        <v>1.2500000000000001E-5</v>
      </c>
      <c r="E463" s="2">
        <v>8824</v>
      </c>
      <c r="F463" s="2">
        <v>9903</v>
      </c>
      <c r="G463" s="2">
        <v>6831</v>
      </c>
      <c r="H463" s="2">
        <v>1860</v>
      </c>
      <c r="I463" s="2">
        <v>0</v>
      </c>
      <c r="J463" s="2"/>
      <c r="K463" s="2">
        <v>2318</v>
      </c>
      <c r="L463" s="2">
        <v>2135</v>
      </c>
      <c r="M463" s="2">
        <v>1188</v>
      </c>
      <c r="N463" s="2">
        <v>0</v>
      </c>
      <c r="O463" s="2">
        <v>0</v>
      </c>
      <c r="P463" s="2"/>
      <c r="Q463" s="2">
        <v>150</v>
      </c>
      <c r="R463" s="2">
        <v>2101</v>
      </c>
      <c r="S463" s="2">
        <v>2174</v>
      </c>
      <c r="T463" s="2">
        <v>1860</v>
      </c>
      <c r="U463" s="2">
        <v>0</v>
      </c>
      <c r="V463" s="2"/>
      <c r="W463" s="2">
        <v>1835</v>
      </c>
      <c r="X463" s="2">
        <v>1489</v>
      </c>
      <c r="Y463" s="2">
        <v>0</v>
      </c>
      <c r="Z463" s="2">
        <v>0</v>
      </c>
      <c r="AA463" s="2">
        <v>0</v>
      </c>
      <c r="AB463" s="2"/>
      <c r="AC463" s="2">
        <v>4521</v>
      </c>
      <c r="AD463" s="2">
        <v>4178</v>
      </c>
      <c r="AE463" s="2">
        <v>3469</v>
      </c>
      <c r="AF463" s="2">
        <v>0</v>
      </c>
      <c r="AG463" s="2">
        <v>0</v>
      </c>
      <c r="AH463" s="2"/>
      <c r="AI463" s="2">
        <v>0</v>
      </c>
      <c r="AJ463" s="2">
        <v>0</v>
      </c>
      <c r="AK463" s="2">
        <v>0</v>
      </c>
      <c r="AL463" s="2">
        <v>0</v>
      </c>
      <c r="AM463" s="2">
        <v>0</v>
      </c>
    </row>
    <row r="464" spans="1:39">
      <c r="A464" s="349">
        <v>94551</v>
      </c>
      <c r="B464" s="342" t="s">
        <v>1155</v>
      </c>
      <c r="C464" s="358">
        <v>5.8199999999999998E-5</v>
      </c>
      <c r="E464" s="2">
        <v>25112</v>
      </c>
      <c r="F464" s="2">
        <v>31270</v>
      </c>
      <c r="G464" s="2">
        <v>18628</v>
      </c>
      <c r="H464" s="2">
        <v>8661</v>
      </c>
      <c r="I464" s="2">
        <v>0</v>
      </c>
      <c r="J464" s="2"/>
      <c r="K464" s="2">
        <v>10791</v>
      </c>
      <c r="L464" s="2">
        <v>9940</v>
      </c>
      <c r="M464" s="2">
        <v>5532</v>
      </c>
      <c r="N464" s="2">
        <v>0</v>
      </c>
      <c r="O464" s="2">
        <v>0</v>
      </c>
      <c r="P464" s="2"/>
      <c r="Q464" s="2">
        <v>700</v>
      </c>
      <c r="R464" s="2">
        <v>9784</v>
      </c>
      <c r="S464" s="2">
        <v>10122</v>
      </c>
      <c r="T464" s="2">
        <v>8661</v>
      </c>
      <c r="U464" s="2">
        <v>0</v>
      </c>
      <c r="V464" s="2"/>
      <c r="W464" s="2">
        <v>8542</v>
      </c>
      <c r="X464" s="2">
        <v>6935</v>
      </c>
      <c r="Y464" s="2">
        <v>0</v>
      </c>
      <c r="Z464" s="2">
        <v>0</v>
      </c>
      <c r="AA464" s="2">
        <v>0</v>
      </c>
      <c r="AB464" s="2"/>
      <c r="AC464" s="2">
        <v>5079</v>
      </c>
      <c r="AD464" s="2">
        <v>4611</v>
      </c>
      <c r="AE464" s="2">
        <v>2974</v>
      </c>
      <c r="AF464" s="2">
        <v>0</v>
      </c>
      <c r="AG464" s="2">
        <v>0</v>
      </c>
      <c r="AH464" s="2"/>
      <c r="AI464" s="2">
        <v>0</v>
      </c>
      <c r="AJ464" s="2">
        <v>0</v>
      </c>
      <c r="AK464" s="2">
        <v>0</v>
      </c>
      <c r="AL464" s="2">
        <v>0</v>
      </c>
      <c r="AM464" s="2">
        <v>0</v>
      </c>
    </row>
    <row r="465" spans="1:39">
      <c r="A465" s="349">
        <v>94601</v>
      </c>
      <c r="B465" s="342" t="s">
        <v>1156</v>
      </c>
      <c r="C465" s="358">
        <v>9.234E-4</v>
      </c>
      <c r="E465" s="2">
        <v>320431</v>
      </c>
      <c r="F465" s="2">
        <v>412709</v>
      </c>
      <c r="G465" s="2">
        <v>233606</v>
      </c>
      <c r="H465" s="2">
        <v>137422</v>
      </c>
      <c r="I465" s="2">
        <v>0</v>
      </c>
      <c r="J465" s="2"/>
      <c r="K465" s="2">
        <v>171207</v>
      </c>
      <c r="L465" s="2">
        <v>157711</v>
      </c>
      <c r="M465" s="2">
        <v>87777</v>
      </c>
      <c r="N465" s="2">
        <v>0</v>
      </c>
      <c r="O465" s="2">
        <v>0</v>
      </c>
      <c r="P465" s="2"/>
      <c r="Q465" s="2">
        <v>11098</v>
      </c>
      <c r="R465" s="2">
        <v>155228</v>
      </c>
      <c r="S465" s="2">
        <v>160596</v>
      </c>
      <c r="T465" s="2">
        <v>137422</v>
      </c>
      <c r="U465" s="2">
        <v>0</v>
      </c>
      <c r="V465" s="2"/>
      <c r="W465" s="2">
        <v>135533</v>
      </c>
      <c r="X465" s="2">
        <v>110030</v>
      </c>
      <c r="Y465" s="2">
        <v>0</v>
      </c>
      <c r="Z465" s="2">
        <v>0</v>
      </c>
      <c r="AA465" s="2">
        <v>0</v>
      </c>
      <c r="AB465" s="2"/>
      <c r="AC465" s="2">
        <v>28587</v>
      </c>
      <c r="AD465" s="2">
        <v>15734</v>
      </c>
      <c r="AE465" s="2">
        <v>11225</v>
      </c>
      <c r="AF465" s="2">
        <v>0</v>
      </c>
      <c r="AG465" s="2">
        <v>0</v>
      </c>
      <c r="AH465" s="2"/>
      <c r="AI465" s="2">
        <v>-25994</v>
      </c>
      <c r="AJ465" s="2">
        <v>-25994</v>
      </c>
      <c r="AK465" s="2">
        <v>-25992</v>
      </c>
      <c r="AL465" s="2">
        <v>0</v>
      </c>
      <c r="AM465" s="2">
        <v>-25994</v>
      </c>
    </row>
    <row r="466" spans="1:39">
      <c r="A466" s="349">
        <v>94604</v>
      </c>
      <c r="B466" s="342" t="s">
        <v>1157</v>
      </c>
      <c r="C466" s="358">
        <v>2.0299999999999999E-5</v>
      </c>
      <c r="E466" s="2">
        <v>6953</v>
      </c>
      <c r="F466" s="2">
        <v>8841</v>
      </c>
      <c r="G466" s="2">
        <v>4547</v>
      </c>
      <c r="H466" s="2">
        <v>3021</v>
      </c>
      <c r="I466" s="2">
        <v>0</v>
      </c>
      <c r="J466" s="2"/>
      <c r="K466" s="2">
        <v>3764</v>
      </c>
      <c r="L466" s="2">
        <v>3467</v>
      </c>
      <c r="M466" s="2">
        <v>1930</v>
      </c>
      <c r="N466" s="2">
        <v>0</v>
      </c>
      <c r="O466" s="2">
        <v>0</v>
      </c>
      <c r="P466" s="2"/>
      <c r="Q466" s="2">
        <v>244</v>
      </c>
      <c r="R466" s="2">
        <v>3413</v>
      </c>
      <c r="S466" s="2">
        <v>3531</v>
      </c>
      <c r="T466" s="2">
        <v>3021</v>
      </c>
      <c r="U466" s="2">
        <v>0</v>
      </c>
      <c r="V466" s="2"/>
      <c r="W466" s="2">
        <v>2980</v>
      </c>
      <c r="X466" s="2">
        <v>2419</v>
      </c>
      <c r="Y466" s="2">
        <v>0</v>
      </c>
      <c r="Z466" s="2">
        <v>0</v>
      </c>
      <c r="AA466" s="2">
        <v>0</v>
      </c>
      <c r="AB466" s="2"/>
      <c r="AC466" s="2">
        <v>885</v>
      </c>
      <c r="AD466" s="2">
        <v>462</v>
      </c>
      <c r="AE466" s="2">
        <v>4</v>
      </c>
      <c r="AF466" s="2">
        <v>0</v>
      </c>
      <c r="AG466" s="2">
        <v>0</v>
      </c>
      <c r="AH466" s="2"/>
      <c r="AI466" s="2">
        <v>-920</v>
      </c>
      <c r="AJ466" s="2">
        <v>-920</v>
      </c>
      <c r="AK466" s="2">
        <v>-918</v>
      </c>
      <c r="AL466" s="2">
        <v>0</v>
      </c>
      <c r="AM466" s="2">
        <v>-920</v>
      </c>
    </row>
    <row r="467" spans="1:39">
      <c r="A467" s="349">
        <v>94611</v>
      </c>
      <c r="B467" s="342" t="s">
        <v>1159</v>
      </c>
      <c r="C467" s="358">
        <v>3.0679999999999998E-4</v>
      </c>
      <c r="E467" s="2">
        <v>85329</v>
      </c>
      <c r="F467" s="2">
        <v>128507</v>
      </c>
      <c r="G467" s="2">
        <v>70510</v>
      </c>
      <c r="H467" s="2">
        <v>45659</v>
      </c>
      <c r="I467" s="2">
        <v>0</v>
      </c>
      <c r="J467" s="2"/>
      <c r="K467" s="2">
        <v>56883</v>
      </c>
      <c r="L467" s="2">
        <v>52400</v>
      </c>
      <c r="M467" s="2">
        <v>29164</v>
      </c>
      <c r="N467" s="2">
        <v>0</v>
      </c>
      <c r="O467" s="2">
        <v>0</v>
      </c>
      <c r="P467" s="2"/>
      <c r="Q467" s="2">
        <v>3687</v>
      </c>
      <c r="R467" s="2">
        <v>51575</v>
      </c>
      <c r="S467" s="2">
        <v>53358</v>
      </c>
      <c r="T467" s="2">
        <v>45659</v>
      </c>
      <c r="U467" s="2">
        <v>0</v>
      </c>
      <c r="V467" s="2"/>
      <c r="W467" s="2">
        <v>45031</v>
      </c>
      <c r="X467" s="2">
        <v>36557</v>
      </c>
      <c r="Y467" s="2">
        <v>0</v>
      </c>
      <c r="Z467" s="2">
        <v>0</v>
      </c>
      <c r="AA467" s="2">
        <v>0</v>
      </c>
      <c r="AB467" s="2"/>
      <c r="AC467" s="2">
        <v>0</v>
      </c>
      <c r="AD467" s="2">
        <v>0</v>
      </c>
      <c r="AE467" s="2">
        <v>0</v>
      </c>
      <c r="AF467" s="2">
        <v>0</v>
      </c>
      <c r="AG467" s="2">
        <v>0</v>
      </c>
      <c r="AH467" s="2"/>
      <c r="AI467" s="2">
        <v>-20272</v>
      </c>
      <c r="AJ467" s="2">
        <v>-12025</v>
      </c>
      <c r="AK467" s="2">
        <v>-12012</v>
      </c>
      <c r="AL467" s="2">
        <v>0</v>
      </c>
      <c r="AM467" s="2">
        <v>-12025</v>
      </c>
    </row>
    <row r="468" spans="1:39">
      <c r="A468" s="349">
        <v>94621</v>
      </c>
      <c r="B468" s="342" t="s">
        <v>1160</v>
      </c>
      <c r="C468" s="358">
        <v>1.104E-4</v>
      </c>
      <c r="E468" s="2">
        <v>39696</v>
      </c>
      <c r="F468" s="2">
        <v>53552</v>
      </c>
      <c r="G468" s="2">
        <v>27747</v>
      </c>
      <c r="H468" s="2">
        <v>16430</v>
      </c>
      <c r="I468" s="2">
        <v>0</v>
      </c>
      <c r="J468" s="2"/>
      <c r="K468" s="2">
        <v>20469</v>
      </c>
      <c r="L468" s="2">
        <v>18856</v>
      </c>
      <c r="M468" s="2">
        <v>10494</v>
      </c>
      <c r="N468" s="2">
        <v>0</v>
      </c>
      <c r="O468" s="2">
        <v>0</v>
      </c>
      <c r="P468" s="2"/>
      <c r="Q468" s="2">
        <v>1327</v>
      </c>
      <c r="R468" s="2">
        <v>18559</v>
      </c>
      <c r="S468" s="2">
        <v>19201</v>
      </c>
      <c r="T468" s="2">
        <v>16430</v>
      </c>
      <c r="U468" s="2">
        <v>0</v>
      </c>
      <c r="V468" s="2"/>
      <c r="W468" s="2">
        <v>16204</v>
      </c>
      <c r="X468" s="2">
        <v>13155</v>
      </c>
      <c r="Y468" s="2">
        <v>0</v>
      </c>
      <c r="Z468" s="2">
        <v>0</v>
      </c>
      <c r="AA468" s="2">
        <v>0</v>
      </c>
      <c r="AB468" s="2"/>
      <c r="AC468" s="2">
        <v>11451</v>
      </c>
      <c r="AD468" s="2">
        <v>11451</v>
      </c>
      <c r="AE468" s="2">
        <v>6521</v>
      </c>
      <c r="AF468" s="2">
        <v>0</v>
      </c>
      <c r="AG468" s="2">
        <v>0</v>
      </c>
      <c r="AH468" s="2"/>
      <c r="AI468" s="2">
        <v>-9755</v>
      </c>
      <c r="AJ468" s="2">
        <v>-8469</v>
      </c>
      <c r="AK468" s="2">
        <v>-8469</v>
      </c>
      <c r="AL468" s="2">
        <v>0</v>
      </c>
      <c r="AM468" s="2">
        <v>-8469</v>
      </c>
    </row>
    <row r="469" spans="1:39">
      <c r="A469" s="349">
        <v>94631</v>
      </c>
      <c r="B469" s="342" t="s">
        <v>1161</v>
      </c>
      <c r="C469" s="358">
        <v>4.2899999999999999E-5</v>
      </c>
      <c r="E469" s="2">
        <v>15770</v>
      </c>
      <c r="F469" s="2">
        <v>19871</v>
      </c>
      <c r="G469" s="2">
        <v>11014</v>
      </c>
      <c r="H469" s="2">
        <v>6384</v>
      </c>
      <c r="I469" s="2">
        <v>0</v>
      </c>
      <c r="J469" s="2"/>
      <c r="K469" s="2">
        <v>7954</v>
      </c>
      <c r="L469" s="2">
        <v>7327</v>
      </c>
      <c r="M469" s="2">
        <v>4078</v>
      </c>
      <c r="N469" s="2">
        <v>0</v>
      </c>
      <c r="O469" s="2">
        <v>0</v>
      </c>
      <c r="P469" s="2"/>
      <c r="Q469" s="2">
        <v>516</v>
      </c>
      <c r="R469" s="2">
        <v>7212</v>
      </c>
      <c r="S469" s="2">
        <v>7461</v>
      </c>
      <c r="T469" s="2">
        <v>6384</v>
      </c>
      <c r="U469" s="2">
        <v>0</v>
      </c>
      <c r="V469" s="2"/>
      <c r="W469" s="2">
        <v>6297</v>
      </c>
      <c r="X469" s="2">
        <v>5112</v>
      </c>
      <c r="Y469" s="2">
        <v>0</v>
      </c>
      <c r="Z469" s="2">
        <v>0</v>
      </c>
      <c r="AA469" s="2">
        <v>0</v>
      </c>
      <c r="AB469" s="2"/>
      <c r="AC469" s="2">
        <v>1528</v>
      </c>
      <c r="AD469" s="2">
        <v>745</v>
      </c>
      <c r="AE469" s="2">
        <v>0</v>
      </c>
      <c r="AF469" s="2">
        <v>0</v>
      </c>
      <c r="AG469" s="2">
        <v>0</v>
      </c>
      <c r="AH469" s="2"/>
      <c r="AI469" s="2">
        <v>-525</v>
      </c>
      <c r="AJ469" s="2">
        <v>-525</v>
      </c>
      <c r="AK469" s="2">
        <v>-525</v>
      </c>
      <c r="AL469" s="2">
        <v>0</v>
      </c>
      <c r="AM469" s="2">
        <v>-525</v>
      </c>
    </row>
    <row r="470" spans="1:39">
      <c r="A470" s="349">
        <v>94641</v>
      </c>
      <c r="B470" s="342" t="s">
        <v>1162</v>
      </c>
      <c r="C470" s="358">
        <v>1.4399999999999999E-5</v>
      </c>
      <c r="E470" s="2">
        <v>10062</v>
      </c>
      <c r="F470" s="2">
        <v>11191</v>
      </c>
      <c r="G470" s="2">
        <v>7923</v>
      </c>
      <c r="H470" s="2">
        <v>2143</v>
      </c>
      <c r="I470" s="2">
        <v>0</v>
      </c>
      <c r="J470" s="2"/>
      <c r="K470" s="2">
        <v>2670</v>
      </c>
      <c r="L470" s="2">
        <v>2459</v>
      </c>
      <c r="M470" s="2">
        <v>1369</v>
      </c>
      <c r="N470" s="2">
        <v>0</v>
      </c>
      <c r="O470" s="2">
        <v>0</v>
      </c>
      <c r="P470" s="2"/>
      <c r="Q470" s="2">
        <v>173</v>
      </c>
      <c r="R470" s="2">
        <v>2421</v>
      </c>
      <c r="S470" s="2">
        <v>2504</v>
      </c>
      <c r="T470" s="2">
        <v>2143</v>
      </c>
      <c r="U470" s="2">
        <v>0</v>
      </c>
      <c r="V470" s="2"/>
      <c r="W470" s="2">
        <v>2114</v>
      </c>
      <c r="X470" s="2">
        <v>1716</v>
      </c>
      <c r="Y470" s="2">
        <v>0</v>
      </c>
      <c r="Z470" s="2">
        <v>0</v>
      </c>
      <c r="AA470" s="2">
        <v>0</v>
      </c>
      <c r="AB470" s="2"/>
      <c r="AC470" s="2">
        <v>5105</v>
      </c>
      <c r="AD470" s="2">
        <v>4595</v>
      </c>
      <c r="AE470" s="2">
        <v>4050</v>
      </c>
      <c r="AF470" s="2">
        <v>0</v>
      </c>
      <c r="AG470" s="2">
        <v>0</v>
      </c>
      <c r="AH470" s="2"/>
      <c r="AI470" s="2">
        <v>0</v>
      </c>
      <c r="AJ470" s="2">
        <v>0</v>
      </c>
      <c r="AK470" s="2">
        <v>0</v>
      </c>
      <c r="AL470" s="2">
        <v>0</v>
      </c>
      <c r="AM470" s="2">
        <v>0</v>
      </c>
    </row>
    <row r="471" spans="1:39">
      <c r="A471" s="349">
        <v>94701</v>
      </c>
      <c r="B471" s="342" t="s">
        <v>1163</v>
      </c>
      <c r="C471" s="358">
        <v>2.4697999999999999E-3</v>
      </c>
      <c r="E471" s="2">
        <v>858802</v>
      </c>
      <c r="F471" s="2">
        <v>1147096</v>
      </c>
      <c r="G471" s="2">
        <v>709720</v>
      </c>
      <c r="H471" s="2">
        <v>367561</v>
      </c>
      <c r="I471" s="2">
        <v>0</v>
      </c>
      <c r="J471" s="2"/>
      <c r="K471" s="2">
        <v>457923</v>
      </c>
      <c r="L471" s="2">
        <v>421827</v>
      </c>
      <c r="M471" s="2">
        <v>234774</v>
      </c>
      <c r="N471" s="2">
        <v>0</v>
      </c>
      <c r="O471" s="2">
        <v>0</v>
      </c>
      <c r="P471" s="2"/>
      <c r="Q471" s="2">
        <v>29685</v>
      </c>
      <c r="R471" s="2">
        <v>415186</v>
      </c>
      <c r="S471" s="2">
        <v>429543</v>
      </c>
      <c r="T471" s="2">
        <v>367561</v>
      </c>
      <c r="U471" s="2">
        <v>0</v>
      </c>
      <c r="V471" s="2"/>
      <c r="W471" s="2">
        <v>362507</v>
      </c>
      <c r="X471" s="2">
        <v>294294</v>
      </c>
      <c r="Y471" s="2">
        <v>0</v>
      </c>
      <c r="Z471" s="2">
        <v>0</v>
      </c>
      <c r="AA471" s="2">
        <v>0</v>
      </c>
      <c r="AB471" s="2"/>
      <c r="AC471" s="2">
        <v>45405</v>
      </c>
      <c r="AD471" s="2">
        <v>45405</v>
      </c>
      <c r="AE471" s="2">
        <v>45403</v>
      </c>
      <c r="AF471" s="2">
        <v>0</v>
      </c>
      <c r="AG471" s="2">
        <v>0</v>
      </c>
      <c r="AH471" s="2"/>
      <c r="AI471" s="2">
        <v>-36718</v>
      </c>
      <c r="AJ471" s="2">
        <v>-29616</v>
      </c>
      <c r="AK471" s="2">
        <v>0</v>
      </c>
      <c r="AL471" s="2">
        <v>0</v>
      </c>
      <c r="AM471" s="2">
        <v>-29616</v>
      </c>
    </row>
    <row r="472" spans="1:39">
      <c r="A472" s="349">
        <v>94704</v>
      </c>
      <c r="B472" s="342" t="s">
        <v>1164</v>
      </c>
      <c r="C472" s="358">
        <v>1.5500000000000001E-5</v>
      </c>
      <c r="E472" s="2">
        <v>7231</v>
      </c>
      <c r="F472" s="2">
        <v>9004</v>
      </c>
      <c r="G472" s="2">
        <v>4842</v>
      </c>
      <c r="H472" s="2">
        <v>2307</v>
      </c>
      <c r="I472" s="2">
        <v>0</v>
      </c>
      <c r="J472" s="2"/>
      <c r="K472" s="2">
        <v>2874</v>
      </c>
      <c r="L472" s="2">
        <v>2647</v>
      </c>
      <c r="M472" s="2">
        <v>1473</v>
      </c>
      <c r="N472" s="2">
        <v>0</v>
      </c>
      <c r="O472" s="2">
        <v>0</v>
      </c>
      <c r="P472" s="2"/>
      <c r="Q472" s="2">
        <v>186</v>
      </c>
      <c r="R472" s="2">
        <v>2606</v>
      </c>
      <c r="S472" s="2">
        <v>2696</v>
      </c>
      <c r="T472" s="2">
        <v>2307</v>
      </c>
      <c r="U472" s="2">
        <v>0</v>
      </c>
      <c r="V472" s="2"/>
      <c r="W472" s="2">
        <v>2275</v>
      </c>
      <c r="X472" s="2">
        <v>1847</v>
      </c>
      <c r="Y472" s="2">
        <v>0</v>
      </c>
      <c r="Z472" s="2">
        <v>0</v>
      </c>
      <c r="AA472" s="2">
        <v>0</v>
      </c>
      <c r="AB472" s="2"/>
      <c r="AC472" s="2">
        <v>1915</v>
      </c>
      <c r="AD472" s="2">
        <v>1914</v>
      </c>
      <c r="AE472" s="2">
        <v>684</v>
      </c>
      <c r="AF472" s="2">
        <v>0</v>
      </c>
      <c r="AG472" s="2">
        <v>0</v>
      </c>
      <c r="AH472" s="2"/>
      <c r="AI472" s="2">
        <v>-19</v>
      </c>
      <c r="AJ472" s="2">
        <v>-10</v>
      </c>
      <c r="AK472" s="2">
        <v>-11</v>
      </c>
      <c r="AL472" s="2">
        <v>0</v>
      </c>
      <c r="AM472" s="2">
        <v>-10</v>
      </c>
    </row>
    <row r="473" spans="1:39">
      <c r="A473" s="349">
        <v>94711</v>
      </c>
      <c r="B473" s="342" t="s">
        <v>1165</v>
      </c>
      <c r="C473" s="358">
        <v>3.1080000000000002E-4</v>
      </c>
      <c r="E473" s="2">
        <v>103329</v>
      </c>
      <c r="F473" s="2">
        <v>139032</v>
      </c>
      <c r="G473" s="2">
        <v>79548</v>
      </c>
      <c r="H473" s="2">
        <v>46254</v>
      </c>
      <c r="I473" s="2">
        <v>0</v>
      </c>
      <c r="J473" s="2"/>
      <c r="K473" s="2">
        <v>57625</v>
      </c>
      <c r="L473" s="2">
        <v>53083</v>
      </c>
      <c r="M473" s="2">
        <v>29544</v>
      </c>
      <c r="N473" s="2">
        <v>0</v>
      </c>
      <c r="O473" s="2">
        <v>0</v>
      </c>
      <c r="P473" s="2"/>
      <c r="Q473" s="2">
        <v>3736</v>
      </c>
      <c r="R473" s="2">
        <v>52247</v>
      </c>
      <c r="S473" s="2">
        <v>54054</v>
      </c>
      <c r="T473" s="2">
        <v>46254</v>
      </c>
      <c r="U473" s="2">
        <v>0</v>
      </c>
      <c r="V473" s="2"/>
      <c r="W473" s="2">
        <v>45618</v>
      </c>
      <c r="X473" s="2">
        <v>37034</v>
      </c>
      <c r="Y473" s="2">
        <v>0</v>
      </c>
      <c r="Z473" s="2">
        <v>0</v>
      </c>
      <c r="AA473" s="2">
        <v>0</v>
      </c>
      <c r="AB473" s="2"/>
      <c r="AC473" s="2">
        <v>2920</v>
      </c>
      <c r="AD473" s="2">
        <v>2922</v>
      </c>
      <c r="AE473" s="2">
        <v>2202</v>
      </c>
      <c r="AF473" s="2">
        <v>0</v>
      </c>
      <c r="AG473" s="2">
        <v>0</v>
      </c>
      <c r="AH473" s="2"/>
      <c r="AI473" s="2">
        <v>-6570</v>
      </c>
      <c r="AJ473" s="2">
        <v>-6254</v>
      </c>
      <c r="AK473" s="2">
        <v>-6252</v>
      </c>
      <c r="AL473" s="2">
        <v>0</v>
      </c>
      <c r="AM473" s="2">
        <v>-6254</v>
      </c>
    </row>
    <row r="474" spans="1:39">
      <c r="A474" s="349">
        <v>94801</v>
      </c>
      <c r="B474" s="342" t="s">
        <v>1166</v>
      </c>
      <c r="C474" s="358">
        <v>6.8409999999999999E-4</v>
      </c>
      <c r="E474" s="2">
        <v>232693</v>
      </c>
      <c r="F474" s="2">
        <v>315482</v>
      </c>
      <c r="G474" s="2">
        <v>191699</v>
      </c>
      <c r="H474" s="2">
        <v>101809</v>
      </c>
      <c r="I474" s="2">
        <v>0</v>
      </c>
      <c r="J474" s="2"/>
      <c r="K474" s="2">
        <v>126838</v>
      </c>
      <c r="L474" s="2">
        <v>116840</v>
      </c>
      <c r="M474" s="2">
        <v>65029</v>
      </c>
      <c r="N474" s="2">
        <v>0</v>
      </c>
      <c r="O474" s="2">
        <v>0</v>
      </c>
      <c r="P474" s="2"/>
      <c r="Q474" s="2">
        <v>8222</v>
      </c>
      <c r="R474" s="2">
        <v>115001</v>
      </c>
      <c r="S474" s="2">
        <v>118977</v>
      </c>
      <c r="T474" s="2">
        <v>101809</v>
      </c>
      <c r="U474" s="2">
        <v>0</v>
      </c>
      <c r="V474" s="2"/>
      <c r="W474" s="2">
        <v>100409</v>
      </c>
      <c r="X474" s="2">
        <v>81515</v>
      </c>
      <c r="Y474" s="2">
        <v>0</v>
      </c>
      <c r="Z474" s="2">
        <v>0</v>
      </c>
      <c r="AA474" s="2">
        <v>0</v>
      </c>
      <c r="AB474" s="2"/>
      <c r="AC474" s="2">
        <v>7691</v>
      </c>
      <c r="AD474" s="2">
        <v>7691</v>
      </c>
      <c r="AE474" s="2">
        <v>7693</v>
      </c>
      <c r="AF474" s="2">
        <v>0</v>
      </c>
      <c r="AG474" s="2">
        <v>0</v>
      </c>
      <c r="AH474" s="2"/>
      <c r="AI474" s="2">
        <v>-10467</v>
      </c>
      <c r="AJ474" s="2">
        <v>-5565</v>
      </c>
      <c r="AK474" s="2">
        <v>0</v>
      </c>
      <c r="AL474" s="2">
        <v>0</v>
      </c>
      <c r="AM474" s="2">
        <v>-5565</v>
      </c>
    </row>
    <row r="475" spans="1:39">
      <c r="A475" s="349">
        <v>94804</v>
      </c>
      <c r="B475" s="342" t="s">
        <v>1167</v>
      </c>
      <c r="C475" s="358">
        <v>3.4000000000000001E-6</v>
      </c>
      <c r="E475" s="2">
        <v>2380</v>
      </c>
      <c r="F475" s="2">
        <v>2571</v>
      </c>
      <c r="G475" s="2">
        <v>1787</v>
      </c>
      <c r="H475" s="2">
        <v>506</v>
      </c>
      <c r="I475" s="2">
        <v>0</v>
      </c>
      <c r="J475" s="2"/>
      <c r="K475" s="2">
        <v>630</v>
      </c>
      <c r="L475" s="2">
        <v>581</v>
      </c>
      <c r="M475" s="2">
        <v>323</v>
      </c>
      <c r="N475" s="2">
        <v>0</v>
      </c>
      <c r="O475" s="2">
        <v>0</v>
      </c>
      <c r="P475" s="2"/>
      <c r="Q475" s="2">
        <v>41</v>
      </c>
      <c r="R475" s="2">
        <v>572</v>
      </c>
      <c r="S475" s="2">
        <v>591</v>
      </c>
      <c r="T475" s="2">
        <v>506</v>
      </c>
      <c r="U475" s="2">
        <v>0</v>
      </c>
      <c r="V475" s="2"/>
      <c r="W475" s="2">
        <v>499</v>
      </c>
      <c r="X475" s="2">
        <v>405</v>
      </c>
      <c r="Y475" s="2">
        <v>0</v>
      </c>
      <c r="Z475" s="2">
        <v>0</v>
      </c>
      <c r="AA475" s="2">
        <v>0</v>
      </c>
      <c r="AB475" s="2"/>
      <c r="AC475" s="2">
        <v>1210</v>
      </c>
      <c r="AD475" s="2">
        <v>1013</v>
      </c>
      <c r="AE475" s="2">
        <v>873</v>
      </c>
      <c r="AF475" s="2">
        <v>0</v>
      </c>
      <c r="AG475" s="2">
        <v>0</v>
      </c>
      <c r="AH475" s="2"/>
      <c r="AI475" s="2">
        <v>0</v>
      </c>
      <c r="AJ475" s="2">
        <v>0</v>
      </c>
      <c r="AK475" s="2">
        <v>0</v>
      </c>
      <c r="AL475" s="2">
        <v>0</v>
      </c>
      <c r="AM475" s="2">
        <v>0</v>
      </c>
    </row>
    <row r="476" spans="1:39">
      <c r="A476" s="349">
        <v>94812</v>
      </c>
      <c r="B476" s="342" t="s">
        <v>2791</v>
      </c>
      <c r="C476" s="358">
        <v>2.8399999999999999E-5</v>
      </c>
      <c r="E476" s="2">
        <v>13519</v>
      </c>
      <c r="F476" s="2">
        <v>15934</v>
      </c>
      <c r="G476" s="2">
        <v>9718</v>
      </c>
      <c r="H476" s="2">
        <v>4227</v>
      </c>
      <c r="I476" s="2">
        <v>0</v>
      </c>
      <c r="J476" s="2"/>
      <c r="K476" s="2">
        <v>5266</v>
      </c>
      <c r="L476" s="2">
        <v>4851</v>
      </c>
      <c r="M476" s="2">
        <v>2700</v>
      </c>
      <c r="N476" s="2">
        <v>0</v>
      </c>
      <c r="O476" s="2">
        <v>0</v>
      </c>
      <c r="P476" s="2"/>
      <c r="Q476" s="2">
        <v>341</v>
      </c>
      <c r="R476" s="2">
        <v>4774</v>
      </c>
      <c r="S476" s="2">
        <v>4939</v>
      </c>
      <c r="T476" s="2">
        <v>4227</v>
      </c>
      <c r="U476" s="2">
        <v>0</v>
      </c>
      <c r="V476" s="2"/>
      <c r="W476" s="2">
        <v>4168</v>
      </c>
      <c r="X476" s="2">
        <v>3384</v>
      </c>
      <c r="Y476" s="2">
        <v>0</v>
      </c>
      <c r="Z476" s="2">
        <v>0</v>
      </c>
      <c r="AA476" s="2">
        <v>0</v>
      </c>
      <c r="AB476" s="2"/>
      <c r="AC476" s="2">
        <v>3744</v>
      </c>
      <c r="AD476" s="2">
        <v>2925</v>
      </c>
      <c r="AE476" s="2">
        <v>2079</v>
      </c>
      <c r="AF476" s="2">
        <v>0</v>
      </c>
      <c r="AG476" s="2">
        <v>0</v>
      </c>
      <c r="AH476" s="2"/>
      <c r="AI476" s="2">
        <v>0</v>
      </c>
      <c r="AJ476" s="2">
        <v>0</v>
      </c>
      <c r="AK476" s="2">
        <v>0</v>
      </c>
      <c r="AL476" s="2">
        <v>0</v>
      </c>
      <c r="AM476" s="2">
        <v>0</v>
      </c>
    </row>
    <row r="477" spans="1:39">
      <c r="A477" s="349">
        <v>94901</v>
      </c>
      <c r="B477" s="342" t="s">
        <v>1169</v>
      </c>
      <c r="C477" s="358">
        <v>7.2741999999999998E-3</v>
      </c>
      <c r="E477" s="2">
        <v>2590693</v>
      </c>
      <c r="F477" s="2">
        <v>3437979</v>
      </c>
      <c r="G477" s="2">
        <v>2007521</v>
      </c>
      <c r="H477" s="2">
        <v>1082561</v>
      </c>
      <c r="I477" s="2">
        <v>0</v>
      </c>
      <c r="J477" s="2"/>
      <c r="K477" s="2">
        <v>1348702</v>
      </c>
      <c r="L477" s="2">
        <v>1242390</v>
      </c>
      <c r="M477" s="2">
        <v>691471</v>
      </c>
      <c r="N477" s="2">
        <v>0</v>
      </c>
      <c r="O477" s="2">
        <v>0</v>
      </c>
      <c r="P477" s="2"/>
      <c r="Q477" s="2">
        <v>87429</v>
      </c>
      <c r="R477" s="2">
        <v>1222829</v>
      </c>
      <c r="S477" s="2">
        <v>1265114</v>
      </c>
      <c r="T477" s="2">
        <v>1082561</v>
      </c>
      <c r="U477" s="2">
        <v>0</v>
      </c>
      <c r="V477" s="2"/>
      <c r="W477" s="2">
        <v>1067678</v>
      </c>
      <c r="X477" s="2">
        <v>866772</v>
      </c>
      <c r="Y477" s="2">
        <v>0</v>
      </c>
      <c r="Z477" s="2">
        <v>0</v>
      </c>
      <c r="AA477" s="2">
        <v>0</v>
      </c>
      <c r="AB477" s="2"/>
      <c r="AC477" s="2">
        <v>105990</v>
      </c>
      <c r="AD477" s="2">
        <v>105988</v>
      </c>
      <c r="AE477" s="2">
        <v>50936</v>
      </c>
      <c r="AF477" s="2">
        <v>0</v>
      </c>
      <c r="AG477" s="2">
        <v>0</v>
      </c>
      <c r="AH477" s="2"/>
      <c r="AI477" s="2">
        <v>-19106</v>
      </c>
      <c r="AJ477" s="2">
        <v>0</v>
      </c>
      <c r="AK477" s="2">
        <v>0</v>
      </c>
      <c r="AL477" s="2">
        <v>0</v>
      </c>
      <c r="AM477" s="2">
        <v>0</v>
      </c>
    </row>
    <row r="478" spans="1:39">
      <c r="A478" s="349">
        <v>94908</v>
      </c>
      <c r="B478" s="342" t="s">
        <v>3675</v>
      </c>
      <c r="C478" s="358">
        <v>6.5400000000000004E-5</v>
      </c>
      <c r="E478" s="2">
        <v>45529</v>
      </c>
      <c r="F478" s="2">
        <v>57490</v>
      </c>
      <c r="G478" s="2">
        <v>45221</v>
      </c>
      <c r="H478" s="2">
        <v>9733</v>
      </c>
      <c r="I478" s="2">
        <v>0</v>
      </c>
      <c r="J478" s="2"/>
      <c r="K478" s="2">
        <v>12126</v>
      </c>
      <c r="L478" s="2">
        <v>11170</v>
      </c>
      <c r="M478" s="2">
        <v>6217</v>
      </c>
      <c r="N478" s="2">
        <v>0</v>
      </c>
      <c r="O478" s="2">
        <v>0</v>
      </c>
      <c r="P478" s="2"/>
      <c r="Q478" s="2">
        <v>786</v>
      </c>
      <c r="R478" s="2">
        <v>10994</v>
      </c>
      <c r="S478" s="2">
        <v>11374</v>
      </c>
      <c r="T478" s="2">
        <v>9733</v>
      </c>
      <c r="U478" s="2">
        <v>0</v>
      </c>
      <c r="V478" s="2"/>
      <c r="W478" s="2">
        <v>9599</v>
      </c>
      <c r="X478" s="2">
        <v>7793</v>
      </c>
      <c r="Y478" s="2">
        <v>0</v>
      </c>
      <c r="Z478" s="2">
        <v>0</v>
      </c>
      <c r="AA478" s="2">
        <v>0</v>
      </c>
      <c r="AB478" s="2"/>
      <c r="AC478" s="2">
        <v>27634</v>
      </c>
      <c r="AD478" s="2">
        <v>27634</v>
      </c>
      <c r="AE478" s="2">
        <v>27630</v>
      </c>
      <c r="AF478" s="2">
        <v>0</v>
      </c>
      <c r="AG478" s="2">
        <v>0</v>
      </c>
      <c r="AH478" s="2"/>
      <c r="AI478" s="2">
        <v>-4616</v>
      </c>
      <c r="AJ478" s="2">
        <v>-101</v>
      </c>
      <c r="AK478" s="2">
        <v>0</v>
      </c>
      <c r="AL478" s="2">
        <v>0</v>
      </c>
      <c r="AM478" s="2">
        <v>-101</v>
      </c>
    </row>
    <row r="479" spans="1:39">
      <c r="A479" s="349">
        <v>94911</v>
      </c>
      <c r="B479" s="342" t="s">
        <v>1171</v>
      </c>
      <c r="C479" s="358">
        <v>2.9137999999999998E-3</v>
      </c>
      <c r="E479" s="2">
        <v>1033622</v>
      </c>
      <c r="F479" s="2">
        <v>1356638</v>
      </c>
      <c r="G479" s="2">
        <v>782912</v>
      </c>
      <c r="H479" s="2">
        <v>433638</v>
      </c>
      <c r="I479" s="2">
        <v>0</v>
      </c>
      <c r="J479" s="2"/>
      <c r="K479" s="2">
        <v>540245</v>
      </c>
      <c r="L479" s="2">
        <v>497660</v>
      </c>
      <c r="M479" s="2">
        <v>276980</v>
      </c>
      <c r="N479" s="2">
        <v>0</v>
      </c>
      <c r="O479" s="2">
        <v>0</v>
      </c>
      <c r="P479" s="2"/>
      <c r="Q479" s="2">
        <v>35021</v>
      </c>
      <c r="R479" s="2">
        <v>489824</v>
      </c>
      <c r="S479" s="2">
        <v>506762</v>
      </c>
      <c r="T479" s="2">
        <v>433638</v>
      </c>
      <c r="U479" s="2">
        <v>0</v>
      </c>
      <c r="V479" s="2"/>
      <c r="W479" s="2">
        <v>427676</v>
      </c>
      <c r="X479" s="2">
        <v>347200</v>
      </c>
      <c r="Y479" s="2">
        <v>0</v>
      </c>
      <c r="Z479" s="2">
        <v>0</v>
      </c>
      <c r="AA479" s="2">
        <v>0</v>
      </c>
      <c r="AB479" s="2"/>
      <c r="AC479" s="2">
        <v>52280</v>
      </c>
      <c r="AD479" s="2">
        <v>43554</v>
      </c>
      <c r="AE479" s="2">
        <v>20768</v>
      </c>
      <c r="AF479" s="2">
        <v>0</v>
      </c>
      <c r="AG479" s="2">
        <v>0</v>
      </c>
      <c r="AH479" s="2"/>
      <c r="AI479" s="2">
        <v>-21600</v>
      </c>
      <c r="AJ479" s="2">
        <v>-21600</v>
      </c>
      <c r="AK479" s="2">
        <v>-21598</v>
      </c>
      <c r="AL479" s="2">
        <v>0</v>
      </c>
      <c r="AM479" s="2">
        <v>-21600</v>
      </c>
    </row>
    <row r="480" spans="1:39">
      <c r="A480" s="349">
        <v>94917</v>
      </c>
      <c r="B480" s="342" t="s">
        <v>1172</v>
      </c>
      <c r="C480" s="358">
        <v>3.1099999999999997E-5</v>
      </c>
      <c r="E480" s="2">
        <v>21129</v>
      </c>
      <c r="F480" s="2">
        <v>22853</v>
      </c>
      <c r="G480" s="2">
        <v>15181</v>
      </c>
      <c r="H480" s="2">
        <v>4628</v>
      </c>
      <c r="I480" s="2">
        <v>0</v>
      </c>
      <c r="J480" s="2"/>
      <c r="K480" s="2">
        <v>5766</v>
      </c>
      <c r="L480" s="2">
        <v>5312</v>
      </c>
      <c r="M480" s="2">
        <v>2956</v>
      </c>
      <c r="N480" s="2">
        <v>0</v>
      </c>
      <c r="O480" s="2">
        <v>0</v>
      </c>
      <c r="P480" s="2"/>
      <c r="Q480" s="2">
        <v>374</v>
      </c>
      <c r="R480" s="2">
        <v>5228</v>
      </c>
      <c r="S480" s="2">
        <v>5409</v>
      </c>
      <c r="T480" s="2">
        <v>4628</v>
      </c>
      <c r="U480" s="2">
        <v>0</v>
      </c>
      <c r="V480" s="2"/>
      <c r="W480" s="2">
        <v>4565</v>
      </c>
      <c r="X480" s="2">
        <v>3706</v>
      </c>
      <c r="Y480" s="2">
        <v>0</v>
      </c>
      <c r="Z480" s="2">
        <v>0</v>
      </c>
      <c r="AA480" s="2">
        <v>0</v>
      </c>
      <c r="AB480" s="2"/>
      <c r="AC480" s="2">
        <v>10424</v>
      </c>
      <c r="AD480" s="2">
        <v>8607</v>
      </c>
      <c r="AE480" s="2">
        <v>6816</v>
      </c>
      <c r="AF480" s="2">
        <v>0</v>
      </c>
      <c r="AG480" s="2">
        <v>0</v>
      </c>
      <c r="AH480" s="2"/>
      <c r="AI480" s="2">
        <v>0</v>
      </c>
      <c r="AJ480" s="2">
        <v>0</v>
      </c>
      <c r="AK480" s="2">
        <v>0</v>
      </c>
      <c r="AL480" s="2">
        <v>0</v>
      </c>
      <c r="AM480" s="2">
        <v>0</v>
      </c>
    </row>
    <row r="481" spans="1:39">
      <c r="A481" s="349">
        <v>94921</v>
      </c>
      <c r="B481" s="342" t="s">
        <v>1173</v>
      </c>
      <c r="C481" s="358">
        <v>3.7566000000000001E-3</v>
      </c>
      <c r="E481" s="2">
        <v>1170013</v>
      </c>
      <c r="F481" s="2">
        <v>1592908</v>
      </c>
      <c r="G481" s="2">
        <v>918605</v>
      </c>
      <c r="H481" s="2">
        <v>559065</v>
      </c>
      <c r="I481" s="2">
        <v>0</v>
      </c>
      <c r="J481" s="2"/>
      <c r="K481" s="2">
        <v>696507</v>
      </c>
      <c r="L481" s="2">
        <v>641605</v>
      </c>
      <c r="M481" s="2">
        <v>357095</v>
      </c>
      <c r="N481" s="2">
        <v>0</v>
      </c>
      <c r="O481" s="2">
        <v>0</v>
      </c>
      <c r="P481" s="2"/>
      <c r="Q481" s="2">
        <v>45151</v>
      </c>
      <c r="R481" s="2">
        <v>631503</v>
      </c>
      <c r="S481" s="2">
        <v>653340</v>
      </c>
      <c r="T481" s="2">
        <v>559065</v>
      </c>
      <c r="U481" s="2">
        <v>0</v>
      </c>
      <c r="V481" s="2"/>
      <c r="W481" s="2">
        <v>551379</v>
      </c>
      <c r="X481" s="2">
        <v>447625</v>
      </c>
      <c r="Y481" s="2">
        <v>0</v>
      </c>
      <c r="Z481" s="2">
        <v>0</v>
      </c>
      <c r="AA481" s="2">
        <v>0</v>
      </c>
      <c r="AB481" s="2"/>
      <c r="AC481" s="2">
        <v>4801</v>
      </c>
      <c r="AD481" s="2">
        <v>0</v>
      </c>
      <c r="AE481" s="2">
        <v>0</v>
      </c>
      <c r="AF481" s="2">
        <v>0</v>
      </c>
      <c r="AG481" s="2">
        <v>0</v>
      </c>
      <c r="AH481" s="2"/>
      <c r="AI481" s="2">
        <v>-127825</v>
      </c>
      <c r="AJ481" s="2">
        <v>-127825</v>
      </c>
      <c r="AK481" s="2">
        <v>-91830</v>
      </c>
      <c r="AL481" s="2">
        <v>0</v>
      </c>
      <c r="AM481" s="2">
        <v>-127825</v>
      </c>
    </row>
    <row r="482" spans="1:39">
      <c r="A482" s="349">
        <v>94923</v>
      </c>
      <c r="B482" s="342" t="s">
        <v>1174</v>
      </c>
      <c r="C482" s="358">
        <v>2.6299999999999999E-5</v>
      </c>
      <c r="E482" s="2">
        <v>10971</v>
      </c>
      <c r="F482" s="2">
        <v>12782</v>
      </c>
      <c r="G482" s="2">
        <v>7749</v>
      </c>
      <c r="H482" s="2">
        <v>3914</v>
      </c>
      <c r="I482" s="2">
        <v>0</v>
      </c>
      <c r="J482" s="2"/>
      <c r="K482" s="2">
        <v>4876</v>
      </c>
      <c r="L482" s="2">
        <v>4492</v>
      </c>
      <c r="M482" s="2">
        <v>2500</v>
      </c>
      <c r="N482" s="2">
        <v>0</v>
      </c>
      <c r="O482" s="2">
        <v>0</v>
      </c>
      <c r="P482" s="2"/>
      <c r="Q482" s="2">
        <v>316</v>
      </c>
      <c r="R482" s="2">
        <v>4421</v>
      </c>
      <c r="S482" s="2">
        <v>4574</v>
      </c>
      <c r="T482" s="2">
        <v>3914</v>
      </c>
      <c r="U482" s="2">
        <v>0</v>
      </c>
      <c r="V482" s="2"/>
      <c r="W482" s="2">
        <v>3860</v>
      </c>
      <c r="X482" s="2">
        <v>3134</v>
      </c>
      <c r="Y482" s="2">
        <v>0</v>
      </c>
      <c r="Z482" s="2">
        <v>0</v>
      </c>
      <c r="AA482" s="2">
        <v>0</v>
      </c>
      <c r="AB482" s="2"/>
      <c r="AC482" s="2">
        <v>1919</v>
      </c>
      <c r="AD482" s="2">
        <v>735</v>
      </c>
      <c r="AE482" s="2">
        <v>675</v>
      </c>
      <c r="AF482" s="2">
        <v>0</v>
      </c>
      <c r="AG482" s="2">
        <v>0</v>
      </c>
      <c r="AH482" s="2"/>
      <c r="AI482" s="2">
        <v>0</v>
      </c>
      <c r="AJ482" s="2">
        <v>0</v>
      </c>
      <c r="AK482" s="2">
        <v>0</v>
      </c>
      <c r="AL482" s="2">
        <v>0</v>
      </c>
      <c r="AM482" s="2">
        <v>0</v>
      </c>
    </row>
    <row r="483" spans="1:39">
      <c r="A483" s="349">
        <v>94927</v>
      </c>
      <c r="B483" s="342" t="s">
        <v>1175</v>
      </c>
      <c r="C483" s="358">
        <v>2.26E-5</v>
      </c>
      <c r="E483" s="2">
        <v>11924</v>
      </c>
      <c r="F483" s="2">
        <v>14392</v>
      </c>
      <c r="G483" s="2">
        <v>9344</v>
      </c>
      <c r="H483" s="2">
        <v>3363</v>
      </c>
      <c r="I483" s="2">
        <v>0</v>
      </c>
      <c r="J483" s="2"/>
      <c r="K483" s="2">
        <v>4190</v>
      </c>
      <c r="L483" s="2">
        <v>3860</v>
      </c>
      <c r="M483" s="2">
        <v>2148</v>
      </c>
      <c r="N483" s="2">
        <v>0</v>
      </c>
      <c r="O483" s="2">
        <v>0</v>
      </c>
      <c r="P483" s="2"/>
      <c r="Q483" s="2">
        <v>272</v>
      </c>
      <c r="R483" s="2">
        <v>3799</v>
      </c>
      <c r="S483" s="2">
        <v>3931</v>
      </c>
      <c r="T483" s="2">
        <v>3363</v>
      </c>
      <c r="U483" s="2">
        <v>0</v>
      </c>
      <c r="V483" s="2"/>
      <c r="W483" s="2">
        <v>3317</v>
      </c>
      <c r="X483" s="2">
        <v>2693</v>
      </c>
      <c r="Y483" s="2">
        <v>0</v>
      </c>
      <c r="Z483" s="2">
        <v>0</v>
      </c>
      <c r="AA483" s="2">
        <v>0</v>
      </c>
      <c r="AB483" s="2"/>
      <c r="AC483" s="2">
        <v>4145</v>
      </c>
      <c r="AD483" s="2">
        <v>4040</v>
      </c>
      <c r="AE483" s="2">
        <v>3265</v>
      </c>
      <c r="AF483" s="2">
        <v>0</v>
      </c>
      <c r="AG483" s="2">
        <v>0</v>
      </c>
      <c r="AH483" s="2"/>
      <c r="AI483" s="2">
        <v>0</v>
      </c>
      <c r="AJ483" s="2">
        <v>0</v>
      </c>
      <c r="AK483" s="2">
        <v>0</v>
      </c>
      <c r="AL483" s="2">
        <v>0</v>
      </c>
      <c r="AM483" s="2">
        <v>0</v>
      </c>
    </row>
    <row r="484" spans="1:39">
      <c r="A484" s="349">
        <v>94931</v>
      </c>
      <c r="B484" s="342" t="s">
        <v>1176</v>
      </c>
      <c r="C484" s="358">
        <v>1.9909999999999999E-4</v>
      </c>
      <c r="E484" s="2">
        <v>64107</v>
      </c>
      <c r="F484" s="2">
        <v>86535</v>
      </c>
      <c r="G484" s="2">
        <v>50885</v>
      </c>
      <c r="H484" s="2">
        <v>29630</v>
      </c>
      <c r="I484" s="2">
        <v>0</v>
      </c>
      <c r="J484" s="2"/>
      <c r="K484" s="2">
        <v>36915</v>
      </c>
      <c r="L484" s="2">
        <v>34005</v>
      </c>
      <c r="M484" s="2">
        <v>18926</v>
      </c>
      <c r="N484" s="2">
        <v>0</v>
      </c>
      <c r="O484" s="2">
        <v>0</v>
      </c>
      <c r="P484" s="2"/>
      <c r="Q484" s="2">
        <v>2393</v>
      </c>
      <c r="R484" s="2">
        <v>33470</v>
      </c>
      <c r="S484" s="2">
        <v>34627</v>
      </c>
      <c r="T484" s="2">
        <v>29630</v>
      </c>
      <c r="U484" s="2">
        <v>0</v>
      </c>
      <c r="V484" s="2"/>
      <c r="W484" s="2">
        <v>29223</v>
      </c>
      <c r="X484" s="2">
        <v>23724</v>
      </c>
      <c r="Y484" s="2">
        <v>0</v>
      </c>
      <c r="Z484" s="2">
        <v>0</v>
      </c>
      <c r="AA484" s="2">
        <v>0</v>
      </c>
      <c r="AB484" s="2"/>
      <c r="AC484" s="2">
        <v>2698</v>
      </c>
      <c r="AD484" s="2">
        <v>2458</v>
      </c>
      <c r="AE484" s="2">
        <v>2456</v>
      </c>
      <c r="AF484" s="2">
        <v>0</v>
      </c>
      <c r="AG484" s="2">
        <v>0</v>
      </c>
      <c r="AH484" s="2"/>
      <c r="AI484" s="2">
        <v>-7122</v>
      </c>
      <c r="AJ484" s="2">
        <v>-7122</v>
      </c>
      <c r="AK484" s="2">
        <v>-5124</v>
      </c>
      <c r="AL484" s="2">
        <v>0</v>
      </c>
      <c r="AM484" s="2">
        <v>-7122</v>
      </c>
    </row>
    <row r="485" spans="1:39">
      <c r="A485" s="349">
        <v>94937</v>
      </c>
      <c r="B485" s="342" t="s">
        <v>1927</v>
      </c>
      <c r="C485" s="358">
        <v>7.5000000000000002E-6</v>
      </c>
      <c r="E485" s="2">
        <v>4333</v>
      </c>
      <c r="F485" s="2">
        <v>5187</v>
      </c>
      <c r="G485" s="2">
        <v>3768</v>
      </c>
      <c r="H485" s="2">
        <v>1116</v>
      </c>
      <c r="I485" s="2">
        <v>0</v>
      </c>
      <c r="J485" s="2"/>
      <c r="K485" s="2">
        <v>1391</v>
      </c>
      <c r="L485" s="2">
        <v>1281</v>
      </c>
      <c r="M485" s="2">
        <v>713</v>
      </c>
      <c r="N485" s="2">
        <v>0</v>
      </c>
      <c r="O485" s="2">
        <v>0</v>
      </c>
      <c r="P485" s="2"/>
      <c r="Q485" s="2">
        <v>90</v>
      </c>
      <c r="R485" s="2">
        <v>1261</v>
      </c>
      <c r="S485" s="2">
        <v>1304</v>
      </c>
      <c r="T485" s="2">
        <v>1116</v>
      </c>
      <c r="U485" s="2">
        <v>0</v>
      </c>
      <c r="V485" s="2"/>
      <c r="W485" s="2">
        <v>1101</v>
      </c>
      <c r="X485" s="2">
        <v>894</v>
      </c>
      <c r="Y485" s="2">
        <v>0</v>
      </c>
      <c r="Z485" s="2">
        <v>0</v>
      </c>
      <c r="AA485" s="2">
        <v>0</v>
      </c>
      <c r="AB485" s="2"/>
      <c r="AC485" s="2">
        <v>1751</v>
      </c>
      <c r="AD485" s="2">
        <v>1751</v>
      </c>
      <c r="AE485" s="2">
        <v>1751</v>
      </c>
      <c r="AF485" s="2">
        <v>0</v>
      </c>
      <c r="AG485" s="2">
        <v>0</v>
      </c>
      <c r="AH485" s="2"/>
      <c r="AI485" s="2">
        <v>0</v>
      </c>
      <c r="AJ485" s="2">
        <v>0</v>
      </c>
      <c r="AK485" s="2">
        <v>0</v>
      </c>
      <c r="AL485" s="2">
        <v>0</v>
      </c>
      <c r="AM485" s="2">
        <v>0</v>
      </c>
    </row>
    <row r="486" spans="1:39">
      <c r="A486" s="349">
        <v>94941</v>
      </c>
      <c r="B486" s="342" t="s">
        <v>1177</v>
      </c>
      <c r="C486" s="358">
        <v>5.5029999999999999E-4</v>
      </c>
      <c r="E486" s="2">
        <v>132754</v>
      </c>
      <c r="F486" s="2">
        <v>191713</v>
      </c>
      <c r="G486" s="2">
        <v>97494</v>
      </c>
      <c r="H486" s="2">
        <v>81897</v>
      </c>
      <c r="I486" s="2">
        <v>0</v>
      </c>
      <c r="J486" s="2"/>
      <c r="K486" s="2">
        <v>102031</v>
      </c>
      <c r="L486" s="2">
        <v>93988</v>
      </c>
      <c r="M486" s="2">
        <v>52310</v>
      </c>
      <c r="N486" s="2">
        <v>0</v>
      </c>
      <c r="O486" s="2">
        <v>0</v>
      </c>
      <c r="P486" s="2"/>
      <c r="Q486" s="2">
        <v>6614</v>
      </c>
      <c r="R486" s="2">
        <v>92508</v>
      </c>
      <c r="S486" s="2">
        <v>95707</v>
      </c>
      <c r="T486" s="2">
        <v>81897</v>
      </c>
      <c r="U486" s="2">
        <v>0</v>
      </c>
      <c r="V486" s="2"/>
      <c r="W486" s="2">
        <v>80771</v>
      </c>
      <c r="X486" s="2">
        <v>65572</v>
      </c>
      <c r="Y486" s="2">
        <v>0</v>
      </c>
      <c r="Z486" s="2">
        <v>0</v>
      </c>
      <c r="AA486" s="2">
        <v>0</v>
      </c>
      <c r="AB486" s="2"/>
      <c r="AC486" s="2">
        <v>7394</v>
      </c>
      <c r="AD486" s="2">
        <v>3700</v>
      </c>
      <c r="AE486" s="2">
        <v>3699</v>
      </c>
      <c r="AF486" s="2">
        <v>0</v>
      </c>
      <c r="AG486" s="2">
        <v>0</v>
      </c>
      <c r="AH486" s="2"/>
      <c r="AI486" s="2">
        <v>-64056</v>
      </c>
      <c r="AJ486" s="2">
        <v>-64055</v>
      </c>
      <c r="AK486" s="2">
        <v>-54222</v>
      </c>
      <c r="AL486" s="2">
        <v>0</v>
      </c>
      <c r="AM486" s="2">
        <v>-64055</v>
      </c>
    </row>
    <row r="487" spans="1:39">
      <c r="A487" s="349">
        <v>94947</v>
      </c>
      <c r="B487" s="342" t="s">
        <v>1928</v>
      </c>
      <c r="C487" s="358">
        <v>5.4E-6</v>
      </c>
      <c r="E487" s="2">
        <v>3775</v>
      </c>
      <c r="F487" s="2">
        <v>4389</v>
      </c>
      <c r="G487" s="2">
        <v>3368</v>
      </c>
      <c r="H487" s="2">
        <v>804</v>
      </c>
      <c r="I487" s="2">
        <v>0</v>
      </c>
      <c r="J487" s="2"/>
      <c r="K487" s="2">
        <v>1001</v>
      </c>
      <c r="L487" s="2">
        <v>922</v>
      </c>
      <c r="M487" s="2">
        <v>513</v>
      </c>
      <c r="N487" s="2">
        <v>0</v>
      </c>
      <c r="O487" s="2">
        <v>0</v>
      </c>
      <c r="P487" s="2"/>
      <c r="Q487" s="2">
        <v>65</v>
      </c>
      <c r="R487" s="2">
        <v>908</v>
      </c>
      <c r="S487" s="2">
        <v>939</v>
      </c>
      <c r="T487" s="2">
        <v>804</v>
      </c>
      <c r="U487" s="2">
        <v>0</v>
      </c>
      <c r="V487" s="2"/>
      <c r="W487" s="2">
        <v>793</v>
      </c>
      <c r="X487" s="2">
        <v>643</v>
      </c>
      <c r="Y487" s="2">
        <v>0</v>
      </c>
      <c r="Z487" s="2">
        <v>0</v>
      </c>
      <c r="AA487" s="2">
        <v>0</v>
      </c>
      <c r="AB487" s="2"/>
      <c r="AC487" s="2">
        <v>1916</v>
      </c>
      <c r="AD487" s="2">
        <v>1916</v>
      </c>
      <c r="AE487" s="2">
        <v>1916</v>
      </c>
      <c r="AF487" s="2">
        <v>0</v>
      </c>
      <c r="AG487" s="2">
        <v>0</v>
      </c>
      <c r="AH487" s="2"/>
      <c r="AI487" s="2">
        <v>0</v>
      </c>
      <c r="AJ487" s="2">
        <v>0</v>
      </c>
      <c r="AK487" s="2">
        <v>0</v>
      </c>
      <c r="AL487" s="2">
        <v>0</v>
      </c>
      <c r="AM487" s="2">
        <v>0</v>
      </c>
    </row>
    <row r="488" spans="1:39">
      <c r="A488" s="349">
        <v>95001</v>
      </c>
      <c r="B488" s="342" t="s">
        <v>1178</v>
      </c>
      <c r="C488" s="358">
        <v>2.2097000000000002E-3</v>
      </c>
      <c r="E488" s="2">
        <v>809925</v>
      </c>
      <c r="F488" s="2">
        <v>1032361</v>
      </c>
      <c r="G488" s="2">
        <v>626916</v>
      </c>
      <c r="H488" s="2">
        <v>328852</v>
      </c>
      <c r="I488" s="2">
        <v>0</v>
      </c>
      <c r="J488" s="2"/>
      <c r="K488" s="2">
        <v>409698</v>
      </c>
      <c r="L488" s="2">
        <v>377404</v>
      </c>
      <c r="M488" s="2">
        <v>210050</v>
      </c>
      <c r="N488" s="2">
        <v>0</v>
      </c>
      <c r="O488" s="2">
        <v>0</v>
      </c>
      <c r="P488" s="2"/>
      <c r="Q488" s="2">
        <v>26558</v>
      </c>
      <c r="R488" s="2">
        <v>371462</v>
      </c>
      <c r="S488" s="2">
        <v>384307</v>
      </c>
      <c r="T488" s="2">
        <v>328852</v>
      </c>
      <c r="U488" s="2">
        <v>0</v>
      </c>
      <c r="V488" s="2"/>
      <c r="W488" s="2">
        <v>324331</v>
      </c>
      <c r="X488" s="2">
        <v>263301</v>
      </c>
      <c r="Y488" s="2">
        <v>0</v>
      </c>
      <c r="Z488" s="2">
        <v>0</v>
      </c>
      <c r="AA488" s="2">
        <v>0</v>
      </c>
      <c r="AB488" s="2"/>
      <c r="AC488" s="2">
        <v>61704</v>
      </c>
      <c r="AD488" s="2">
        <v>32560</v>
      </c>
      <c r="AE488" s="2">
        <v>32559</v>
      </c>
      <c r="AF488" s="2">
        <v>0</v>
      </c>
      <c r="AG488" s="2">
        <v>0</v>
      </c>
      <c r="AH488" s="2"/>
      <c r="AI488" s="2">
        <v>-12366</v>
      </c>
      <c r="AJ488" s="2">
        <v>-12366</v>
      </c>
      <c r="AK488" s="2">
        <v>0</v>
      </c>
      <c r="AL488" s="2">
        <v>0</v>
      </c>
      <c r="AM488" s="2">
        <v>-12366</v>
      </c>
    </row>
    <row r="489" spans="1:39">
      <c r="A489" s="349">
        <v>95002</v>
      </c>
      <c r="B489" s="342" t="s">
        <v>1179</v>
      </c>
      <c r="C489" s="358">
        <v>1.6760000000000001E-4</v>
      </c>
      <c r="E489" s="2">
        <v>66882</v>
      </c>
      <c r="F489" s="2">
        <v>85060</v>
      </c>
      <c r="G489" s="2">
        <v>51033</v>
      </c>
      <c r="H489" s="2">
        <v>24943</v>
      </c>
      <c r="I489" s="2">
        <v>0</v>
      </c>
      <c r="J489" s="2"/>
      <c r="K489" s="2">
        <v>31075</v>
      </c>
      <c r="L489" s="2">
        <v>28625</v>
      </c>
      <c r="M489" s="2">
        <v>15932</v>
      </c>
      <c r="N489" s="2">
        <v>0</v>
      </c>
      <c r="O489" s="2">
        <v>0</v>
      </c>
      <c r="P489" s="2"/>
      <c r="Q489" s="2">
        <v>2014</v>
      </c>
      <c r="R489" s="2">
        <v>28174</v>
      </c>
      <c r="S489" s="2">
        <v>29149</v>
      </c>
      <c r="T489" s="2">
        <v>24943</v>
      </c>
      <c r="U489" s="2">
        <v>0</v>
      </c>
      <c r="V489" s="2"/>
      <c r="W489" s="2">
        <v>24600</v>
      </c>
      <c r="X489" s="2">
        <v>19971</v>
      </c>
      <c r="Y489" s="2">
        <v>0</v>
      </c>
      <c r="Z489" s="2">
        <v>0</v>
      </c>
      <c r="AA489" s="2">
        <v>0</v>
      </c>
      <c r="AB489" s="2"/>
      <c r="AC489" s="2">
        <v>9193</v>
      </c>
      <c r="AD489" s="2">
        <v>8290</v>
      </c>
      <c r="AE489" s="2">
        <v>5952</v>
      </c>
      <c r="AF489" s="2">
        <v>0</v>
      </c>
      <c r="AG489" s="2">
        <v>0</v>
      </c>
      <c r="AH489" s="2"/>
      <c r="AI489" s="2">
        <v>0</v>
      </c>
      <c r="AJ489" s="2">
        <v>0</v>
      </c>
      <c r="AK489" s="2">
        <v>0</v>
      </c>
      <c r="AL489" s="2">
        <v>0</v>
      </c>
      <c r="AM489" s="2">
        <v>0</v>
      </c>
    </row>
    <row r="490" spans="1:39">
      <c r="A490" s="349">
        <v>95005</v>
      </c>
      <c r="B490" s="342" t="s">
        <v>1180</v>
      </c>
      <c r="C490" s="358">
        <v>1.6770000000000001E-4</v>
      </c>
      <c r="E490" s="2">
        <v>50992</v>
      </c>
      <c r="F490" s="2">
        <v>70419</v>
      </c>
      <c r="G490" s="2">
        <v>39416</v>
      </c>
      <c r="H490" s="2">
        <v>24957</v>
      </c>
      <c r="I490" s="2">
        <v>0</v>
      </c>
      <c r="J490" s="2"/>
      <c r="K490" s="2">
        <v>31093</v>
      </c>
      <c r="L490" s="2">
        <v>28642</v>
      </c>
      <c r="M490" s="2">
        <v>15941</v>
      </c>
      <c r="N490" s="2">
        <v>0</v>
      </c>
      <c r="O490" s="2">
        <v>0</v>
      </c>
      <c r="P490" s="2"/>
      <c r="Q490" s="2">
        <v>2016</v>
      </c>
      <c r="R490" s="2">
        <v>28191</v>
      </c>
      <c r="S490" s="2">
        <v>29166</v>
      </c>
      <c r="T490" s="2">
        <v>24957</v>
      </c>
      <c r="U490" s="2">
        <v>0</v>
      </c>
      <c r="V490" s="2"/>
      <c r="W490" s="2">
        <v>24614</v>
      </c>
      <c r="X490" s="2">
        <v>19983</v>
      </c>
      <c r="Y490" s="2">
        <v>0</v>
      </c>
      <c r="Z490" s="2">
        <v>0</v>
      </c>
      <c r="AA490" s="2">
        <v>0</v>
      </c>
      <c r="AB490" s="2"/>
      <c r="AC490" s="2">
        <v>0</v>
      </c>
      <c r="AD490" s="2">
        <v>0</v>
      </c>
      <c r="AE490" s="2">
        <v>0</v>
      </c>
      <c r="AF490" s="2">
        <v>0</v>
      </c>
      <c r="AG490" s="2">
        <v>0</v>
      </c>
      <c r="AH490" s="2"/>
      <c r="AI490" s="2">
        <v>-6731</v>
      </c>
      <c r="AJ490" s="2">
        <v>-6397</v>
      </c>
      <c r="AK490" s="2">
        <v>-5691</v>
      </c>
      <c r="AL490" s="2">
        <v>0</v>
      </c>
      <c r="AM490" s="2">
        <v>-6397</v>
      </c>
    </row>
    <row r="491" spans="1:39">
      <c r="A491" s="349">
        <v>95008</v>
      </c>
      <c r="B491" s="342" t="s">
        <v>3676</v>
      </c>
      <c r="C491" s="358">
        <v>1.225E-4</v>
      </c>
      <c r="E491" s="2">
        <v>52858</v>
      </c>
      <c r="F491" s="2">
        <v>65104</v>
      </c>
      <c r="G491" s="2">
        <v>39304</v>
      </c>
      <c r="H491" s="2">
        <v>18231</v>
      </c>
      <c r="I491" s="2">
        <v>0</v>
      </c>
      <c r="J491" s="2"/>
      <c r="K491" s="2">
        <v>22713</v>
      </c>
      <c r="L491" s="2">
        <v>20922</v>
      </c>
      <c r="M491" s="2">
        <v>11645</v>
      </c>
      <c r="N491" s="2">
        <v>0</v>
      </c>
      <c r="O491" s="2">
        <v>0</v>
      </c>
      <c r="P491" s="2"/>
      <c r="Q491" s="2">
        <v>1472</v>
      </c>
      <c r="R491" s="2">
        <v>20593</v>
      </c>
      <c r="S491" s="2">
        <v>21305</v>
      </c>
      <c r="T491" s="2">
        <v>18231</v>
      </c>
      <c r="U491" s="2">
        <v>0</v>
      </c>
      <c r="V491" s="2"/>
      <c r="W491" s="2">
        <v>17980</v>
      </c>
      <c r="X491" s="2">
        <v>14597</v>
      </c>
      <c r="Y491" s="2">
        <v>0</v>
      </c>
      <c r="Z491" s="2">
        <v>0</v>
      </c>
      <c r="AA491" s="2">
        <v>0</v>
      </c>
      <c r="AB491" s="2"/>
      <c r="AC491" s="2">
        <v>10693</v>
      </c>
      <c r="AD491" s="2">
        <v>8992</v>
      </c>
      <c r="AE491" s="2">
        <v>6354</v>
      </c>
      <c r="AF491" s="2">
        <v>0</v>
      </c>
      <c r="AG491" s="2">
        <v>0</v>
      </c>
      <c r="AH491" s="2"/>
      <c r="AI491" s="2">
        <v>0</v>
      </c>
      <c r="AJ491" s="2">
        <v>0</v>
      </c>
      <c r="AK491" s="2">
        <v>0</v>
      </c>
      <c r="AL491" s="2">
        <v>0</v>
      </c>
      <c r="AM491" s="2">
        <v>0</v>
      </c>
    </row>
    <row r="492" spans="1:39">
      <c r="A492" s="349">
        <v>95009</v>
      </c>
      <c r="B492" s="342" t="s">
        <v>1182</v>
      </c>
      <c r="C492" s="358">
        <v>3.8095E-3</v>
      </c>
      <c r="E492" s="2">
        <v>1138973</v>
      </c>
      <c r="F492" s="2">
        <v>1538001</v>
      </c>
      <c r="G492" s="2">
        <v>845981</v>
      </c>
      <c r="H492" s="2">
        <v>566937</v>
      </c>
      <c r="I492" s="2">
        <v>0</v>
      </c>
      <c r="J492" s="2"/>
      <c r="K492" s="2">
        <v>706316</v>
      </c>
      <c r="L492" s="2">
        <v>650640</v>
      </c>
      <c r="M492" s="2">
        <v>362123</v>
      </c>
      <c r="N492" s="2">
        <v>0</v>
      </c>
      <c r="O492" s="2">
        <v>0</v>
      </c>
      <c r="P492" s="2"/>
      <c r="Q492" s="2">
        <v>45786</v>
      </c>
      <c r="R492" s="2">
        <v>640396</v>
      </c>
      <c r="S492" s="2">
        <v>662541</v>
      </c>
      <c r="T492" s="2">
        <v>566937</v>
      </c>
      <c r="U492" s="2">
        <v>0</v>
      </c>
      <c r="V492" s="2"/>
      <c r="W492" s="2">
        <v>559143</v>
      </c>
      <c r="X492" s="2">
        <v>453929</v>
      </c>
      <c r="Y492" s="2">
        <v>0</v>
      </c>
      <c r="Z492" s="2">
        <v>0</v>
      </c>
      <c r="AA492" s="2">
        <v>0</v>
      </c>
      <c r="AB492" s="2"/>
      <c r="AC492" s="2">
        <v>34692</v>
      </c>
      <c r="AD492" s="2">
        <v>0</v>
      </c>
      <c r="AE492" s="2">
        <v>0</v>
      </c>
      <c r="AF492" s="2">
        <v>0</v>
      </c>
      <c r="AG492" s="2">
        <v>0</v>
      </c>
      <c r="AH492" s="2"/>
      <c r="AI492" s="2">
        <v>-206964</v>
      </c>
      <c r="AJ492" s="2">
        <v>-206964</v>
      </c>
      <c r="AK492" s="2">
        <v>-178683</v>
      </c>
      <c r="AL492" s="2">
        <v>0</v>
      </c>
      <c r="AM492" s="2">
        <v>-206964</v>
      </c>
    </row>
    <row r="493" spans="1:39">
      <c r="A493" s="349">
        <v>95011</v>
      </c>
      <c r="B493" s="342" t="s">
        <v>1183</v>
      </c>
      <c r="C493" s="358">
        <v>1.7430000000000001E-4</v>
      </c>
      <c r="E493" s="2">
        <v>53847</v>
      </c>
      <c r="F493" s="2">
        <v>72874</v>
      </c>
      <c r="G493" s="2">
        <v>39103</v>
      </c>
      <c r="H493" s="2">
        <v>25940</v>
      </c>
      <c r="I493" s="2">
        <v>0</v>
      </c>
      <c r="J493" s="2"/>
      <c r="K493" s="2">
        <v>32317</v>
      </c>
      <c r="L493" s="2">
        <v>29769</v>
      </c>
      <c r="M493" s="2">
        <v>16569</v>
      </c>
      <c r="N493" s="2">
        <v>0</v>
      </c>
      <c r="O493" s="2">
        <v>0</v>
      </c>
      <c r="P493" s="2"/>
      <c r="Q493" s="2">
        <v>2095</v>
      </c>
      <c r="R493" s="2">
        <v>29301</v>
      </c>
      <c r="S493" s="2">
        <v>30314</v>
      </c>
      <c r="T493" s="2">
        <v>25940</v>
      </c>
      <c r="U493" s="2">
        <v>0</v>
      </c>
      <c r="V493" s="2"/>
      <c r="W493" s="2">
        <v>25583</v>
      </c>
      <c r="X493" s="2">
        <v>20769</v>
      </c>
      <c r="Y493" s="2">
        <v>0</v>
      </c>
      <c r="Z493" s="2">
        <v>0</v>
      </c>
      <c r="AA493" s="2">
        <v>0</v>
      </c>
      <c r="AB493" s="2"/>
      <c r="AC493" s="2">
        <v>1895</v>
      </c>
      <c r="AD493" s="2">
        <v>1078</v>
      </c>
      <c r="AE493" s="2">
        <v>264</v>
      </c>
      <c r="AF493" s="2">
        <v>0</v>
      </c>
      <c r="AG493" s="2">
        <v>0</v>
      </c>
      <c r="AH493" s="2"/>
      <c r="AI493" s="2">
        <v>-8043</v>
      </c>
      <c r="AJ493" s="2">
        <v>-8043</v>
      </c>
      <c r="AK493" s="2">
        <v>-8044</v>
      </c>
      <c r="AL493" s="2">
        <v>0</v>
      </c>
      <c r="AM493" s="2">
        <v>-8043</v>
      </c>
    </row>
    <row r="494" spans="1:39">
      <c r="A494" s="349">
        <v>95017</v>
      </c>
      <c r="B494" s="342" t="s">
        <v>1184</v>
      </c>
      <c r="C494" s="358">
        <v>4.2599999999999999E-5</v>
      </c>
      <c r="E494" s="2">
        <v>10548</v>
      </c>
      <c r="F494" s="2">
        <v>15391</v>
      </c>
      <c r="G494" s="2">
        <v>7062</v>
      </c>
      <c r="H494" s="2">
        <v>6340</v>
      </c>
      <c r="I494" s="2">
        <v>0</v>
      </c>
      <c r="J494" s="2"/>
      <c r="K494" s="2">
        <v>7898</v>
      </c>
      <c r="L494" s="2">
        <v>7276</v>
      </c>
      <c r="M494" s="2">
        <v>4049</v>
      </c>
      <c r="N494" s="2">
        <v>0</v>
      </c>
      <c r="O494" s="2">
        <v>0</v>
      </c>
      <c r="P494" s="2"/>
      <c r="Q494" s="2">
        <v>512</v>
      </c>
      <c r="R494" s="2">
        <v>7161</v>
      </c>
      <c r="S494" s="2">
        <v>7409</v>
      </c>
      <c r="T494" s="2">
        <v>6340</v>
      </c>
      <c r="U494" s="2">
        <v>0</v>
      </c>
      <c r="V494" s="2"/>
      <c r="W494" s="2">
        <v>6253</v>
      </c>
      <c r="X494" s="2">
        <v>5076</v>
      </c>
      <c r="Y494" s="2">
        <v>0</v>
      </c>
      <c r="Z494" s="2">
        <v>0</v>
      </c>
      <c r="AA494" s="2">
        <v>0</v>
      </c>
      <c r="AB494" s="2"/>
      <c r="AC494" s="2">
        <v>285</v>
      </c>
      <c r="AD494" s="2">
        <v>278</v>
      </c>
      <c r="AE494" s="2">
        <v>5</v>
      </c>
      <c r="AF494" s="2">
        <v>0</v>
      </c>
      <c r="AG494" s="2">
        <v>0</v>
      </c>
      <c r="AH494" s="2"/>
      <c r="AI494" s="2">
        <v>-4400</v>
      </c>
      <c r="AJ494" s="2">
        <v>-4400</v>
      </c>
      <c r="AK494" s="2">
        <v>-4401</v>
      </c>
      <c r="AL494" s="2">
        <v>0</v>
      </c>
      <c r="AM494" s="2">
        <v>-4400</v>
      </c>
    </row>
    <row r="495" spans="1:39">
      <c r="A495" s="349">
        <v>95101</v>
      </c>
      <c r="B495" s="342" t="s">
        <v>1185</v>
      </c>
      <c r="C495" s="358">
        <v>8.9332000000000005E-3</v>
      </c>
      <c r="E495" s="2">
        <v>3048867</v>
      </c>
      <c r="F495" s="2">
        <v>4077037</v>
      </c>
      <c r="G495" s="2">
        <v>2406504</v>
      </c>
      <c r="H495" s="2">
        <v>1329457</v>
      </c>
      <c r="I495" s="2">
        <v>0</v>
      </c>
      <c r="J495" s="2"/>
      <c r="K495" s="2">
        <v>1656296</v>
      </c>
      <c r="L495" s="2">
        <v>1525737</v>
      </c>
      <c r="M495" s="2">
        <v>849172</v>
      </c>
      <c r="N495" s="2">
        <v>0</v>
      </c>
      <c r="O495" s="2">
        <v>0</v>
      </c>
      <c r="P495" s="2"/>
      <c r="Q495" s="2">
        <v>107368</v>
      </c>
      <c r="R495" s="2">
        <v>1501716</v>
      </c>
      <c r="S495" s="2">
        <v>1553644</v>
      </c>
      <c r="T495" s="2">
        <v>1329457</v>
      </c>
      <c r="U495" s="2">
        <v>0</v>
      </c>
      <c r="V495" s="2"/>
      <c r="W495" s="2">
        <v>1311179</v>
      </c>
      <c r="X495" s="2">
        <v>1064453</v>
      </c>
      <c r="Y495" s="2">
        <v>0</v>
      </c>
      <c r="Z495" s="2">
        <v>0</v>
      </c>
      <c r="AA495" s="2">
        <v>0</v>
      </c>
      <c r="AB495" s="2"/>
      <c r="AC495" s="2">
        <v>10681</v>
      </c>
      <c r="AD495" s="2">
        <v>10681</v>
      </c>
      <c r="AE495" s="2">
        <v>10679</v>
      </c>
      <c r="AF495" s="2">
        <v>0</v>
      </c>
      <c r="AG495" s="2">
        <v>0</v>
      </c>
      <c r="AH495" s="2"/>
      <c r="AI495" s="2">
        <v>-36657</v>
      </c>
      <c r="AJ495" s="2">
        <v>-25550</v>
      </c>
      <c r="AK495" s="2">
        <v>-6991</v>
      </c>
      <c r="AL495" s="2">
        <v>0</v>
      </c>
      <c r="AM495" s="2">
        <v>-25550</v>
      </c>
    </row>
    <row r="496" spans="1:39">
      <c r="A496" s="349">
        <v>95103</v>
      </c>
      <c r="B496" s="342" t="s">
        <v>1186</v>
      </c>
      <c r="C496" s="358">
        <v>5.0000000000000002E-5</v>
      </c>
      <c r="E496" s="2">
        <v>20225</v>
      </c>
      <c r="F496" s="2">
        <v>25680</v>
      </c>
      <c r="G496" s="2">
        <v>15371</v>
      </c>
      <c r="H496" s="2">
        <v>7441</v>
      </c>
      <c r="I496" s="2">
        <v>0</v>
      </c>
      <c r="J496" s="2"/>
      <c r="K496" s="2">
        <v>9270</v>
      </c>
      <c r="L496" s="2">
        <v>8540</v>
      </c>
      <c r="M496" s="2">
        <v>4753</v>
      </c>
      <c r="N496" s="2">
        <v>0</v>
      </c>
      <c r="O496" s="2">
        <v>0</v>
      </c>
      <c r="P496" s="2"/>
      <c r="Q496" s="2">
        <v>601</v>
      </c>
      <c r="R496" s="2">
        <v>8405</v>
      </c>
      <c r="S496" s="2">
        <v>8696</v>
      </c>
      <c r="T496" s="2">
        <v>7441</v>
      </c>
      <c r="U496" s="2">
        <v>0</v>
      </c>
      <c r="V496" s="2"/>
      <c r="W496" s="2">
        <v>7339</v>
      </c>
      <c r="X496" s="2">
        <v>5958</v>
      </c>
      <c r="Y496" s="2">
        <v>0</v>
      </c>
      <c r="Z496" s="2">
        <v>0</v>
      </c>
      <c r="AA496" s="2">
        <v>0</v>
      </c>
      <c r="AB496" s="2"/>
      <c r="AC496" s="2">
        <v>4188</v>
      </c>
      <c r="AD496" s="2">
        <v>3950</v>
      </c>
      <c r="AE496" s="2">
        <v>3094</v>
      </c>
      <c r="AF496" s="2">
        <v>0</v>
      </c>
      <c r="AG496" s="2">
        <v>0</v>
      </c>
      <c r="AH496" s="2"/>
      <c r="AI496" s="2">
        <v>-1173</v>
      </c>
      <c r="AJ496" s="2">
        <v>-1173</v>
      </c>
      <c r="AK496" s="2">
        <v>-1172</v>
      </c>
      <c r="AL496" s="2">
        <v>0</v>
      </c>
      <c r="AM496" s="2">
        <v>-1173</v>
      </c>
    </row>
    <row r="497" spans="1:39">
      <c r="A497" s="349">
        <v>95104</v>
      </c>
      <c r="B497" s="342" t="s">
        <v>1187</v>
      </c>
      <c r="C497" s="358">
        <v>1.1400000000000001E-4</v>
      </c>
      <c r="E497" s="2">
        <v>57366</v>
      </c>
      <c r="F497" s="2">
        <v>68393</v>
      </c>
      <c r="G497" s="2">
        <v>44865</v>
      </c>
      <c r="H497" s="2">
        <v>16966</v>
      </c>
      <c r="I497" s="2">
        <v>0</v>
      </c>
      <c r="J497" s="2"/>
      <c r="K497" s="2">
        <v>21137</v>
      </c>
      <c r="L497" s="2">
        <v>19471</v>
      </c>
      <c r="M497" s="2">
        <v>10837</v>
      </c>
      <c r="N497" s="2">
        <v>0</v>
      </c>
      <c r="O497" s="2">
        <v>0</v>
      </c>
      <c r="P497" s="2"/>
      <c r="Q497" s="2">
        <v>1370</v>
      </c>
      <c r="R497" s="2">
        <v>19164</v>
      </c>
      <c r="S497" s="2">
        <v>19827</v>
      </c>
      <c r="T497" s="2">
        <v>16966</v>
      </c>
      <c r="U497" s="2">
        <v>0</v>
      </c>
      <c r="V497" s="2"/>
      <c r="W497" s="2">
        <v>16732</v>
      </c>
      <c r="X497" s="2">
        <v>13584</v>
      </c>
      <c r="Y497" s="2">
        <v>0</v>
      </c>
      <c r="Z497" s="2">
        <v>0</v>
      </c>
      <c r="AA497" s="2">
        <v>0</v>
      </c>
      <c r="AB497" s="2"/>
      <c r="AC497" s="2">
        <v>18127</v>
      </c>
      <c r="AD497" s="2">
        <v>16174</v>
      </c>
      <c r="AE497" s="2">
        <v>14201</v>
      </c>
      <c r="AF497" s="2">
        <v>0</v>
      </c>
      <c r="AG497" s="2">
        <v>0</v>
      </c>
      <c r="AH497" s="2"/>
      <c r="AI497" s="2">
        <v>0</v>
      </c>
      <c r="AJ497" s="2">
        <v>0</v>
      </c>
      <c r="AK497" s="2">
        <v>0</v>
      </c>
      <c r="AL497" s="2">
        <v>0</v>
      </c>
      <c r="AM497" s="2">
        <v>0</v>
      </c>
    </row>
    <row r="498" spans="1:39">
      <c r="A498" s="349">
        <v>95105</v>
      </c>
      <c r="B498" s="342" t="s">
        <v>3677</v>
      </c>
      <c r="C498" s="358">
        <v>8.0900000000000001E-5</v>
      </c>
      <c r="E498" s="2">
        <v>34690</v>
      </c>
      <c r="F498" s="2">
        <v>43276</v>
      </c>
      <c r="G498" s="2">
        <v>26426</v>
      </c>
      <c r="H498" s="2">
        <v>12040</v>
      </c>
      <c r="I498" s="2">
        <v>0</v>
      </c>
      <c r="J498" s="2"/>
      <c r="K498" s="2">
        <v>15000</v>
      </c>
      <c r="L498" s="2">
        <v>13817</v>
      </c>
      <c r="M498" s="2">
        <v>7690</v>
      </c>
      <c r="N498" s="2">
        <v>0</v>
      </c>
      <c r="O498" s="2">
        <v>0</v>
      </c>
      <c r="P498" s="2"/>
      <c r="Q498" s="2">
        <v>972</v>
      </c>
      <c r="R498" s="2">
        <v>13600</v>
      </c>
      <c r="S498" s="2">
        <v>14070</v>
      </c>
      <c r="T498" s="2">
        <v>12040</v>
      </c>
      <c r="U498" s="2">
        <v>0</v>
      </c>
      <c r="V498" s="2"/>
      <c r="W498" s="2">
        <v>11874</v>
      </c>
      <c r="X498" s="2">
        <v>9640</v>
      </c>
      <c r="Y498" s="2">
        <v>0</v>
      </c>
      <c r="Z498" s="2">
        <v>0</v>
      </c>
      <c r="AA498" s="2">
        <v>0</v>
      </c>
      <c r="AB498" s="2"/>
      <c r="AC498" s="2">
        <v>6844</v>
      </c>
      <c r="AD498" s="2">
        <v>6219</v>
      </c>
      <c r="AE498" s="2">
        <v>4666</v>
      </c>
      <c r="AF498" s="2">
        <v>0</v>
      </c>
      <c r="AG498" s="2">
        <v>0</v>
      </c>
      <c r="AH498" s="2"/>
      <c r="AI498" s="2">
        <v>0</v>
      </c>
      <c r="AJ498" s="2">
        <v>0</v>
      </c>
      <c r="AK498" s="2">
        <v>0</v>
      </c>
      <c r="AL498" s="2">
        <v>0</v>
      </c>
      <c r="AM498" s="2">
        <v>0</v>
      </c>
    </row>
    <row r="499" spans="1:39">
      <c r="A499" s="349">
        <v>95106</v>
      </c>
      <c r="B499" s="342" t="s">
        <v>1189</v>
      </c>
      <c r="C499" s="358">
        <v>1.1800000000000001E-5</v>
      </c>
      <c r="E499" s="2">
        <v>4790</v>
      </c>
      <c r="F499" s="2">
        <v>6493</v>
      </c>
      <c r="G499" s="2">
        <v>3686</v>
      </c>
      <c r="H499" s="2">
        <v>1756</v>
      </c>
      <c r="I499" s="2">
        <v>0</v>
      </c>
      <c r="J499" s="2"/>
      <c r="K499" s="2">
        <v>2188</v>
      </c>
      <c r="L499" s="2">
        <v>2015</v>
      </c>
      <c r="M499" s="2">
        <v>1122</v>
      </c>
      <c r="N499" s="2">
        <v>0</v>
      </c>
      <c r="O499" s="2">
        <v>0</v>
      </c>
      <c r="P499" s="2"/>
      <c r="Q499" s="2">
        <v>142</v>
      </c>
      <c r="R499" s="2">
        <v>1984</v>
      </c>
      <c r="S499" s="2">
        <v>2052</v>
      </c>
      <c r="T499" s="2">
        <v>1756</v>
      </c>
      <c r="U499" s="2">
        <v>0</v>
      </c>
      <c r="V499" s="2"/>
      <c r="W499" s="2">
        <v>1732</v>
      </c>
      <c r="X499" s="2">
        <v>1406</v>
      </c>
      <c r="Y499" s="2">
        <v>0</v>
      </c>
      <c r="Z499" s="2">
        <v>0</v>
      </c>
      <c r="AA499" s="2">
        <v>0</v>
      </c>
      <c r="AB499" s="2"/>
      <c r="AC499" s="2">
        <v>1088</v>
      </c>
      <c r="AD499" s="2">
        <v>1088</v>
      </c>
      <c r="AE499" s="2">
        <v>512</v>
      </c>
      <c r="AF499" s="2">
        <v>0</v>
      </c>
      <c r="AG499" s="2">
        <v>0</v>
      </c>
      <c r="AH499" s="2"/>
      <c r="AI499" s="2">
        <v>-360</v>
      </c>
      <c r="AJ499" s="2">
        <v>0</v>
      </c>
      <c r="AK499" s="2">
        <v>0</v>
      </c>
      <c r="AL499" s="2">
        <v>0</v>
      </c>
      <c r="AM499" s="2">
        <v>0</v>
      </c>
    </row>
    <row r="500" spans="1:39">
      <c r="A500" s="349">
        <v>95110</v>
      </c>
      <c r="B500" s="342" t="s">
        <v>1190</v>
      </c>
      <c r="C500" s="358">
        <v>2.7829999999999999E-3</v>
      </c>
      <c r="E500" s="2">
        <v>698867</v>
      </c>
      <c r="F500" s="2">
        <v>1045140</v>
      </c>
      <c r="G500" s="2">
        <v>606229</v>
      </c>
      <c r="H500" s="2">
        <v>414172</v>
      </c>
      <c r="I500" s="2">
        <v>0</v>
      </c>
      <c r="J500" s="2"/>
      <c r="K500" s="2">
        <v>515993</v>
      </c>
      <c r="L500" s="2">
        <v>475320</v>
      </c>
      <c r="M500" s="2">
        <v>264546</v>
      </c>
      <c r="N500" s="2">
        <v>0</v>
      </c>
      <c r="O500" s="2">
        <v>0</v>
      </c>
      <c r="P500" s="2"/>
      <c r="Q500" s="2">
        <v>33449</v>
      </c>
      <c r="R500" s="2">
        <v>467836</v>
      </c>
      <c r="S500" s="2">
        <v>484014</v>
      </c>
      <c r="T500" s="2">
        <v>414172</v>
      </c>
      <c r="U500" s="2">
        <v>0</v>
      </c>
      <c r="V500" s="2"/>
      <c r="W500" s="2">
        <v>408478</v>
      </c>
      <c r="X500" s="2">
        <v>331614</v>
      </c>
      <c r="Y500" s="2">
        <v>0</v>
      </c>
      <c r="Z500" s="2">
        <v>0</v>
      </c>
      <c r="AA500" s="2">
        <v>0</v>
      </c>
      <c r="AB500" s="2"/>
      <c r="AC500" s="2">
        <v>0</v>
      </c>
      <c r="AD500" s="2">
        <v>0</v>
      </c>
      <c r="AE500" s="2">
        <v>0</v>
      </c>
      <c r="AF500" s="2">
        <v>0</v>
      </c>
      <c r="AG500" s="2">
        <v>0</v>
      </c>
      <c r="AH500" s="2"/>
      <c r="AI500" s="2">
        <v>-259053</v>
      </c>
      <c r="AJ500" s="2">
        <v>-229630</v>
      </c>
      <c r="AK500" s="2">
        <v>-142331</v>
      </c>
      <c r="AL500" s="2">
        <v>0</v>
      </c>
      <c r="AM500" s="2">
        <v>-229630</v>
      </c>
    </row>
    <row r="501" spans="1:39">
      <c r="A501" s="349">
        <v>95111</v>
      </c>
      <c r="B501" s="342" t="s">
        <v>1191</v>
      </c>
      <c r="C501" s="358">
        <v>9.9339999999999997E-4</v>
      </c>
      <c r="E501" s="2">
        <v>293542</v>
      </c>
      <c r="F501" s="2">
        <v>410441</v>
      </c>
      <c r="G501" s="2">
        <v>225505</v>
      </c>
      <c r="H501" s="2">
        <v>147840</v>
      </c>
      <c r="I501" s="2">
        <v>0</v>
      </c>
      <c r="J501" s="2"/>
      <c r="K501" s="2">
        <v>184185</v>
      </c>
      <c r="L501" s="2">
        <v>169667</v>
      </c>
      <c r="M501" s="2">
        <v>94431</v>
      </c>
      <c r="N501" s="2">
        <v>0</v>
      </c>
      <c r="O501" s="2">
        <v>0</v>
      </c>
      <c r="P501" s="2"/>
      <c r="Q501" s="2">
        <v>11940</v>
      </c>
      <c r="R501" s="2">
        <v>166996</v>
      </c>
      <c r="S501" s="2">
        <v>172770</v>
      </c>
      <c r="T501" s="2">
        <v>147840</v>
      </c>
      <c r="U501" s="2">
        <v>0</v>
      </c>
      <c r="V501" s="2"/>
      <c r="W501" s="2">
        <v>145807</v>
      </c>
      <c r="X501" s="2">
        <v>118371</v>
      </c>
      <c r="Y501" s="2">
        <v>0</v>
      </c>
      <c r="Z501" s="2">
        <v>0</v>
      </c>
      <c r="AA501" s="2">
        <v>0</v>
      </c>
      <c r="AB501" s="2"/>
      <c r="AC501" s="2">
        <v>0</v>
      </c>
      <c r="AD501" s="2">
        <v>0</v>
      </c>
      <c r="AE501" s="2">
        <v>0</v>
      </c>
      <c r="AF501" s="2">
        <v>0</v>
      </c>
      <c r="AG501" s="2">
        <v>0</v>
      </c>
      <c r="AH501" s="2"/>
      <c r="AI501" s="2">
        <v>-48390</v>
      </c>
      <c r="AJ501" s="2">
        <v>-44593</v>
      </c>
      <c r="AK501" s="2">
        <v>-41696</v>
      </c>
      <c r="AL501" s="2">
        <v>0</v>
      </c>
      <c r="AM501" s="2">
        <v>-44593</v>
      </c>
    </row>
    <row r="502" spans="1:39">
      <c r="A502" s="349">
        <v>95113</v>
      </c>
      <c r="B502" s="342" t="s">
        <v>1192</v>
      </c>
      <c r="C502" s="358">
        <v>4.4799999999999998E-5</v>
      </c>
      <c r="E502" s="2">
        <v>47700</v>
      </c>
      <c r="F502" s="2">
        <v>43987</v>
      </c>
      <c r="G502" s="2">
        <v>25343</v>
      </c>
      <c r="H502" s="2">
        <v>6667</v>
      </c>
      <c r="I502" s="2">
        <v>0</v>
      </c>
      <c r="J502" s="2"/>
      <c r="K502" s="2">
        <v>8306</v>
      </c>
      <c r="L502" s="2">
        <v>7652</v>
      </c>
      <c r="M502" s="2">
        <v>4259</v>
      </c>
      <c r="N502" s="2">
        <v>0</v>
      </c>
      <c r="O502" s="2">
        <v>0</v>
      </c>
      <c r="P502" s="2"/>
      <c r="Q502" s="2">
        <v>538</v>
      </c>
      <c r="R502" s="2">
        <v>7531</v>
      </c>
      <c r="S502" s="2">
        <v>7792</v>
      </c>
      <c r="T502" s="2">
        <v>6667</v>
      </c>
      <c r="U502" s="2">
        <v>0</v>
      </c>
      <c r="V502" s="2"/>
      <c r="W502" s="2">
        <v>6576</v>
      </c>
      <c r="X502" s="2">
        <v>5338</v>
      </c>
      <c r="Y502" s="2">
        <v>0</v>
      </c>
      <c r="Z502" s="2">
        <v>0</v>
      </c>
      <c r="AA502" s="2">
        <v>0</v>
      </c>
      <c r="AB502" s="2"/>
      <c r="AC502" s="2">
        <v>32280</v>
      </c>
      <c r="AD502" s="2">
        <v>23466</v>
      </c>
      <c r="AE502" s="2">
        <v>13292</v>
      </c>
      <c r="AF502" s="2">
        <v>0</v>
      </c>
      <c r="AG502" s="2">
        <v>0</v>
      </c>
      <c r="AH502" s="2"/>
      <c r="AI502" s="2">
        <v>0</v>
      </c>
      <c r="AJ502" s="2">
        <v>0</v>
      </c>
      <c r="AK502" s="2">
        <v>0</v>
      </c>
      <c r="AL502" s="2">
        <v>0</v>
      </c>
      <c r="AM502" s="2">
        <v>0</v>
      </c>
    </row>
    <row r="503" spans="1:39">
      <c r="A503" s="349">
        <v>95121</v>
      </c>
      <c r="B503" s="342" t="s">
        <v>1193</v>
      </c>
      <c r="C503" s="358">
        <v>5.107E-4</v>
      </c>
      <c r="E503" s="2">
        <v>181171</v>
      </c>
      <c r="F503" s="2">
        <v>239741</v>
      </c>
      <c r="G503" s="2">
        <v>141580</v>
      </c>
      <c r="H503" s="2">
        <v>76003</v>
      </c>
      <c r="I503" s="2">
        <v>0</v>
      </c>
      <c r="J503" s="2"/>
      <c r="K503" s="2">
        <v>94688</v>
      </c>
      <c r="L503" s="2">
        <v>87224</v>
      </c>
      <c r="M503" s="2">
        <v>48546</v>
      </c>
      <c r="N503" s="2">
        <v>0</v>
      </c>
      <c r="O503" s="2">
        <v>0</v>
      </c>
      <c r="P503" s="2"/>
      <c r="Q503" s="2">
        <v>6138</v>
      </c>
      <c r="R503" s="2">
        <v>85851</v>
      </c>
      <c r="S503" s="2">
        <v>88820</v>
      </c>
      <c r="T503" s="2">
        <v>76003</v>
      </c>
      <c r="U503" s="2">
        <v>0</v>
      </c>
      <c r="V503" s="2"/>
      <c r="W503" s="2">
        <v>74959</v>
      </c>
      <c r="X503" s="2">
        <v>60853</v>
      </c>
      <c r="Y503" s="2">
        <v>0</v>
      </c>
      <c r="Z503" s="2">
        <v>0</v>
      </c>
      <c r="AA503" s="2">
        <v>0</v>
      </c>
      <c r="AB503" s="2"/>
      <c r="AC503" s="2">
        <v>16119</v>
      </c>
      <c r="AD503" s="2">
        <v>16117</v>
      </c>
      <c r="AE503" s="2">
        <v>14516</v>
      </c>
      <c r="AF503" s="2">
        <v>0</v>
      </c>
      <c r="AG503" s="2">
        <v>0</v>
      </c>
      <c r="AH503" s="2"/>
      <c r="AI503" s="2">
        <v>-10733</v>
      </c>
      <c r="AJ503" s="2">
        <v>-10304</v>
      </c>
      <c r="AK503" s="2">
        <v>-10302</v>
      </c>
      <c r="AL503" s="2">
        <v>0</v>
      </c>
      <c r="AM503" s="2">
        <v>-10304</v>
      </c>
    </row>
    <row r="504" spans="1:39">
      <c r="A504" s="349">
        <v>95122</v>
      </c>
      <c r="B504" s="342" t="s">
        <v>1194</v>
      </c>
      <c r="C504" s="358">
        <v>1.73E-5</v>
      </c>
      <c r="E504" s="2">
        <v>10946</v>
      </c>
      <c r="F504" s="2">
        <v>12272</v>
      </c>
      <c r="G504" s="2">
        <v>8709</v>
      </c>
      <c r="H504" s="2">
        <v>2575</v>
      </c>
      <c r="I504" s="2">
        <v>0</v>
      </c>
      <c r="J504" s="2"/>
      <c r="K504" s="2">
        <v>3208</v>
      </c>
      <c r="L504" s="2">
        <v>2955</v>
      </c>
      <c r="M504" s="2">
        <v>1645</v>
      </c>
      <c r="N504" s="2">
        <v>0</v>
      </c>
      <c r="O504" s="2">
        <v>0</v>
      </c>
      <c r="P504" s="2"/>
      <c r="Q504" s="2">
        <v>208</v>
      </c>
      <c r="R504" s="2">
        <v>2908</v>
      </c>
      <c r="S504" s="2">
        <v>3009</v>
      </c>
      <c r="T504" s="2">
        <v>2575</v>
      </c>
      <c r="U504" s="2">
        <v>0</v>
      </c>
      <c r="V504" s="2"/>
      <c r="W504" s="2">
        <v>2539</v>
      </c>
      <c r="X504" s="2">
        <v>2061</v>
      </c>
      <c r="Y504" s="2">
        <v>0</v>
      </c>
      <c r="Z504" s="2">
        <v>0</v>
      </c>
      <c r="AA504" s="2">
        <v>0</v>
      </c>
      <c r="AB504" s="2"/>
      <c r="AC504" s="2">
        <v>4991</v>
      </c>
      <c r="AD504" s="2">
        <v>4348</v>
      </c>
      <c r="AE504" s="2">
        <v>4055</v>
      </c>
      <c r="AF504" s="2">
        <v>0</v>
      </c>
      <c r="AG504" s="2">
        <v>0</v>
      </c>
      <c r="AH504" s="2"/>
      <c r="AI504" s="2">
        <v>0</v>
      </c>
      <c r="AJ504" s="2">
        <v>0</v>
      </c>
      <c r="AK504" s="2">
        <v>0</v>
      </c>
      <c r="AL504" s="2">
        <v>0</v>
      </c>
      <c r="AM504" s="2">
        <v>0</v>
      </c>
    </row>
    <row r="505" spans="1:39">
      <c r="A505" s="349">
        <v>95123</v>
      </c>
      <c r="B505" s="342" t="s">
        <v>1195</v>
      </c>
      <c r="C505" s="358">
        <v>5.3399999999999997E-5</v>
      </c>
      <c r="E505" s="2">
        <v>19808</v>
      </c>
      <c r="F505" s="2">
        <v>25201</v>
      </c>
      <c r="G505" s="2">
        <v>15066</v>
      </c>
      <c r="H505" s="2">
        <v>7947</v>
      </c>
      <c r="I505" s="2">
        <v>0</v>
      </c>
      <c r="J505" s="2"/>
      <c r="K505" s="2">
        <v>9901</v>
      </c>
      <c r="L505" s="2">
        <v>9120</v>
      </c>
      <c r="M505" s="2">
        <v>5076</v>
      </c>
      <c r="N505" s="2">
        <v>0</v>
      </c>
      <c r="O505" s="2">
        <v>0</v>
      </c>
      <c r="P505" s="2"/>
      <c r="Q505" s="2">
        <v>642</v>
      </c>
      <c r="R505" s="2">
        <v>8977</v>
      </c>
      <c r="S505" s="2">
        <v>9287</v>
      </c>
      <c r="T505" s="2">
        <v>7947</v>
      </c>
      <c r="U505" s="2">
        <v>0</v>
      </c>
      <c r="V505" s="2"/>
      <c r="W505" s="2">
        <v>7838</v>
      </c>
      <c r="X505" s="2">
        <v>6363</v>
      </c>
      <c r="Y505" s="2">
        <v>0</v>
      </c>
      <c r="Z505" s="2">
        <v>0</v>
      </c>
      <c r="AA505" s="2">
        <v>0</v>
      </c>
      <c r="AB505" s="2"/>
      <c r="AC505" s="2">
        <v>1840</v>
      </c>
      <c r="AD505" s="2">
        <v>1154</v>
      </c>
      <c r="AE505" s="2">
        <v>1115</v>
      </c>
      <c r="AF505" s="2">
        <v>0</v>
      </c>
      <c r="AG505" s="2">
        <v>0</v>
      </c>
      <c r="AH505" s="2"/>
      <c r="AI505" s="2">
        <v>-413</v>
      </c>
      <c r="AJ505" s="2">
        <v>-413</v>
      </c>
      <c r="AK505" s="2">
        <v>-412</v>
      </c>
      <c r="AL505" s="2">
        <v>0</v>
      </c>
      <c r="AM505" s="2">
        <v>-413</v>
      </c>
    </row>
    <row r="506" spans="1:39">
      <c r="A506" s="349">
        <v>95131</v>
      </c>
      <c r="B506" s="342" t="s">
        <v>1196</v>
      </c>
      <c r="C506" s="358">
        <v>1.8569999999999999E-3</v>
      </c>
      <c r="E506" s="2">
        <v>693914</v>
      </c>
      <c r="F506" s="2">
        <v>887923</v>
      </c>
      <c r="G506" s="2">
        <v>530614</v>
      </c>
      <c r="H506" s="2">
        <v>276362</v>
      </c>
      <c r="I506" s="2">
        <v>0</v>
      </c>
      <c r="J506" s="2"/>
      <c r="K506" s="2">
        <v>344305</v>
      </c>
      <c r="L506" s="2">
        <v>317164</v>
      </c>
      <c r="M506" s="2">
        <v>176523</v>
      </c>
      <c r="N506" s="2">
        <v>0</v>
      </c>
      <c r="O506" s="2">
        <v>0</v>
      </c>
      <c r="P506" s="2"/>
      <c r="Q506" s="2">
        <v>22319</v>
      </c>
      <c r="R506" s="2">
        <v>312171</v>
      </c>
      <c r="S506" s="2">
        <v>322966</v>
      </c>
      <c r="T506" s="2">
        <v>276362</v>
      </c>
      <c r="U506" s="2">
        <v>0</v>
      </c>
      <c r="V506" s="2"/>
      <c r="W506" s="2">
        <v>272563</v>
      </c>
      <c r="X506" s="2">
        <v>221275</v>
      </c>
      <c r="Y506" s="2">
        <v>0</v>
      </c>
      <c r="Z506" s="2">
        <v>0</v>
      </c>
      <c r="AA506" s="2">
        <v>0</v>
      </c>
      <c r="AB506" s="2"/>
      <c r="AC506" s="2">
        <v>54727</v>
      </c>
      <c r="AD506" s="2">
        <v>37313</v>
      </c>
      <c r="AE506" s="2">
        <v>31125</v>
      </c>
      <c r="AF506" s="2">
        <v>0</v>
      </c>
      <c r="AG506" s="2">
        <v>0</v>
      </c>
      <c r="AH506" s="2"/>
      <c r="AI506" s="2">
        <v>0</v>
      </c>
      <c r="AJ506" s="2">
        <v>0</v>
      </c>
      <c r="AK506" s="2">
        <v>0</v>
      </c>
      <c r="AL506" s="2">
        <v>0</v>
      </c>
      <c r="AM506" s="2">
        <v>0</v>
      </c>
    </row>
    <row r="507" spans="1:39">
      <c r="A507" s="349">
        <v>95141</v>
      </c>
      <c r="B507" s="342" t="s">
        <v>1197</v>
      </c>
      <c r="C507" s="358">
        <v>3.8630000000000001E-4</v>
      </c>
      <c r="E507" s="2">
        <v>139413</v>
      </c>
      <c r="F507" s="2">
        <v>186096</v>
      </c>
      <c r="G507" s="2">
        <v>114772</v>
      </c>
      <c r="H507" s="2">
        <v>57490</v>
      </c>
      <c r="I507" s="2">
        <v>0</v>
      </c>
      <c r="J507" s="2"/>
      <c r="K507" s="2">
        <v>71623</v>
      </c>
      <c r="L507" s="2">
        <v>65978</v>
      </c>
      <c r="M507" s="2">
        <v>36721</v>
      </c>
      <c r="N507" s="2">
        <v>0</v>
      </c>
      <c r="O507" s="2">
        <v>0</v>
      </c>
      <c r="P507" s="2"/>
      <c r="Q507" s="2">
        <v>4643</v>
      </c>
      <c r="R507" s="2">
        <v>64939</v>
      </c>
      <c r="S507" s="2">
        <v>67185</v>
      </c>
      <c r="T507" s="2">
        <v>57490</v>
      </c>
      <c r="U507" s="2">
        <v>0</v>
      </c>
      <c r="V507" s="2"/>
      <c r="W507" s="2">
        <v>56700</v>
      </c>
      <c r="X507" s="2">
        <v>46030</v>
      </c>
      <c r="Y507" s="2">
        <v>0</v>
      </c>
      <c r="Z507" s="2">
        <v>0</v>
      </c>
      <c r="AA507" s="2">
        <v>0</v>
      </c>
      <c r="AB507" s="2"/>
      <c r="AC507" s="2">
        <v>10868</v>
      </c>
      <c r="AD507" s="2">
        <v>10868</v>
      </c>
      <c r="AE507" s="2">
        <v>10866</v>
      </c>
      <c r="AF507" s="2">
        <v>0</v>
      </c>
      <c r="AG507" s="2">
        <v>0</v>
      </c>
      <c r="AH507" s="2"/>
      <c r="AI507" s="2">
        <v>-4421</v>
      </c>
      <c r="AJ507" s="2">
        <v>-1719</v>
      </c>
      <c r="AK507" s="2">
        <v>0</v>
      </c>
      <c r="AL507" s="2">
        <v>0</v>
      </c>
      <c r="AM507" s="2">
        <v>-1719</v>
      </c>
    </row>
    <row r="508" spans="1:39">
      <c r="A508" s="349">
        <v>95151</v>
      </c>
      <c r="B508" s="342" t="s">
        <v>1198</v>
      </c>
      <c r="C508" s="358">
        <v>1.197E-4</v>
      </c>
      <c r="E508" s="2">
        <v>40296</v>
      </c>
      <c r="F508" s="2">
        <v>55725</v>
      </c>
      <c r="G508" s="2">
        <v>33031</v>
      </c>
      <c r="H508" s="2">
        <v>17814</v>
      </c>
      <c r="I508" s="2">
        <v>0</v>
      </c>
      <c r="J508" s="2"/>
      <c r="K508" s="2">
        <v>22193</v>
      </c>
      <c r="L508" s="2">
        <v>20444</v>
      </c>
      <c r="M508" s="2">
        <v>11378</v>
      </c>
      <c r="N508" s="2">
        <v>0</v>
      </c>
      <c r="O508" s="2">
        <v>0</v>
      </c>
      <c r="P508" s="2"/>
      <c r="Q508" s="2">
        <v>1439</v>
      </c>
      <c r="R508" s="2">
        <v>20122</v>
      </c>
      <c r="S508" s="2">
        <v>20818</v>
      </c>
      <c r="T508" s="2">
        <v>17814</v>
      </c>
      <c r="U508" s="2">
        <v>0</v>
      </c>
      <c r="V508" s="2"/>
      <c r="W508" s="2">
        <v>17569</v>
      </c>
      <c r="X508" s="2">
        <v>14263</v>
      </c>
      <c r="Y508" s="2">
        <v>0</v>
      </c>
      <c r="Z508" s="2">
        <v>0</v>
      </c>
      <c r="AA508" s="2">
        <v>0</v>
      </c>
      <c r="AB508" s="2"/>
      <c r="AC508" s="2">
        <v>2523</v>
      </c>
      <c r="AD508" s="2">
        <v>2524</v>
      </c>
      <c r="AE508" s="2">
        <v>2462</v>
      </c>
      <c r="AF508" s="2">
        <v>0</v>
      </c>
      <c r="AG508" s="2">
        <v>0</v>
      </c>
      <c r="AH508" s="2"/>
      <c r="AI508" s="2">
        <v>-3428</v>
      </c>
      <c r="AJ508" s="2">
        <v>-1628</v>
      </c>
      <c r="AK508" s="2">
        <v>-1627</v>
      </c>
      <c r="AL508" s="2">
        <v>0</v>
      </c>
      <c r="AM508" s="2">
        <v>-1628</v>
      </c>
    </row>
    <row r="509" spans="1:39">
      <c r="A509" s="349">
        <v>95161</v>
      </c>
      <c r="B509" s="342" t="s">
        <v>1199</v>
      </c>
      <c r="C509" s="358">
        <v>7.36E-5</v>
      </c>
      <c r="E509" s="2">
        <v>30188</v>
      </c>
      <c r="F509" s="2">
        <v>38328</v>
      </c>
      <c r="G509" s="2">
        <v>22751</v>
      </c>
      <c r="H509" s="2">
        <v>10953</v>
      </c>
      <c r="I509" s="2">
        <v>0</v>
      </c>
      <c r="J509" s="2"/>
      <c r="K509" s="2">
        <v>13646</v>
      </c>
      <c r="L509" s="2">
        <v>12570</v>
      </c>
      <c r="M509" s="2">
        <v>6996</v>
      </c>
      <c r="N509" s="2">
        <v>0</v>
      </c>
      <c r="O509" s="2">
        <v>0</v>
      </c>
      <c r="P509" s="2"/>
      <c r="Q509" s="2">
        <v>885</v>
      </c>
      <c r="R509" s="2">
        <v>12373</v>
      </c>
      <c r="S509" s="2">
        <v>12800</v>
      </c>
      <c r="T509" s="2">
        <v>10953</v>
      </c>
      <c r="U509" s="2">
        <v>0</v>
      </c>
      <c r="V509" s="2"/>
      <c r="W509" s="2">
        <v>10803</v>
      </c>
      <c r="X509" s="2">
        <v>8770</v>
      </c>
      <c r="Y509" s="2">
        <v>0</v>
      </c>
      <c r="Z509" s="2">
        <v>0</v>
      </c>
      <c r="AA509" s="2">
        <v>0</v>
      </c>
      <c r="AB509" s="2"/>
      <c r="AC509" s="2">
        <v>4854</v>
      </c>
      <c r="AD509" s="2">
        <v>4615</v>
      </c>
      <c r="AE509" s="2">
        <v>2955</v>
      </c>
      <c r="AF509" s="2">
        <v>0</v>
      </c>
      <c r="AG509" s="2">
        <v>0</v>
      </c>
      <c r="AH509" s="2"/>
      <c r="AI509" s="2">
        <v>0</v>
      </c>
      <c r="AJ509" s="2">
        <v>0</v>
      </c>
      <c r="AK509" s="2">
        <v>0</v>
      </c>
      <c r="AL509" s="2">
        <v>0</v>
      </c>
      <c r="AM509" s="2">
        <v>0</v>
      </c>
    </row>
    <row r="510" spans="1:39">
      <c r="A510" s="349">
        <v>95171</v>
      </c>
      <c r="B510" s="342" t="s">
        <v>1200</v>
      </c>
      <c r="C510" s="358">
        <v>1.2229999999999999E-4</v>
      </c>
      <c r="E510" s="2">
        <v>48843</v>
      </c>
      <c r="F510" s="2">
        <v>64668</v>
      </c>
      <c r="G510" s="2">
        <v>43607</v>
      </c>
      <c r="H510" s="2">
        <v>18201</v>
      </c>
      <c r="I510" s="2">
        <v>0</v>
      </c>
      <c r="J510" s="2"/>
      <c r="K510" s="2">
        <v>22676</v>
      </c>
      <c r="L510" s="2">
        <v>20888</v>
      </c>
      <c r="M510" s="2">
        <v>11626</v>
      </c>
      <c r="N510" s="2">
        <v>0</v>
      </c>
      <c r="O510" s="2">
        <v>0</v>
      </c>
      <c r="P510" s="2"/>
      <c r="Q510" s="2">
        <v>1470</v>
      </c>
      <c r="R510" s="2">
        <v>20559</v>
      </c>
      <c r="S510" s="2">
        <v>21270</v>
      </c>
      <c r="T510" s="2">
        <v>18201</v>
      </c>
      <c r="U510" s="2">
        <v>0</v>
      </c>
      <c r="V510" s="2"/>
      <c r="W510" s="2">
        <v>17951</v>
      </c>
      <c r="X510" s="2">
        <v>14573</v>
      </c>
      <c r="Y510" s="2">
        <v>0</v>
      </c>
      <c r="Z510" s="2">
        <v>0</v>
      </c>
      <c r="AA510" s="2">
        <v>0</v>
      </c>
      <c r="AB510" s="2"/>
      <c r="AC510" s="2">
        <v>10711</v>
      </c>
      <c r="AD510" s="2">
        <v>10711</v>
      </c>
      <c r="AE510" s="2">
        <v>10711</v>
      </c>
      <c r="AF510" s="2">
        <v>0</v>
      </c>
      <c r="AG510" s="2">
        <v>0</v>
      </c>
      <c r="AH510" s="2"/>
      <c r="AI510" s="2">
        <v>-3965</v>
      </c>
      <c r="AJ510" s="2">
        <v>-2063</v>
      </c>
      <c r="AK510" s="2">
        <v>0</v>
      </c>
      <c r="AL510" s="2">
        <v>0</v>
      </c>
      <c r="AM510" s="2">
        <v>-2063</v>
      </c>
    </row>
    <row r="511" spans="1:39">
      <c r="A511" s="349">
        <v>95181</v>
      </c>
      <c r="B511" s="342" t="s">
        <v>1201</v>
      </c>
      <c r="C511" s="358">
        <v>7.2100000000000004E-5</v>
      </c>
      <c r="E511" s="2">
        <v>24748</v>
      </c>
      <c r="F511" s="2">
        <v>34149</v>
      </c>
      <c r="G511" s="2">
        <v>21451</v>
      </c>
      <c r="H511" s="2">
        <v>10730</v>
      </c>
      <c r="I511" s="2">
        <v>0</v>
      </c>
      <c r="J511" s="2"/>
      <c r="K511" s="2">
        <v>13368</v>
      </c>
      <c r="L511" s="2">
        <v>12314</v>
      </c>
      <c r="M511" s="2">
        <v>6854</v>
      </c>
      <c r="N511" s="2">
        <v>0</v>
      </c>
      <c r="O511" s="2">
        <v>0</v>
      </c>
      <c r="P511" s="2"/>
      <c r="Q511" s="2">
        <v>867</v>
      </c>
      <c r="R511" s="2">
        <v>12120</v>
      </c>
      <c r="S511" s="2">
        <v>12539</v>
      </c>
      <c r="T511" s="2">
        <v>10730</v>
      </c>
      <c r="U511" s="2">
        <v>0</v>
      </c>
      <c r="V511" s="2"/>
      <c r="W511" s="2">
        <v>10583</v>
      </c>
      <c r="X511" s="2">
        <v>8591</v>
      </c>
      <c r="Y511" s="2">
        <v>0</v>
      </c>
      <c r="Z511" s="2">
        <v>0</v>
      </c>
      <c r="AA511" s="2">
        <v>0</v>
      </c>
      <c r="AB511" s="2"/>
      <c r="AC511" s="2">
        <v>5146</v>
      </c>
      <c r="AD511" s="2">
        <v>5146</v>
      </c>
      <c r="AE511" s="2">
        <v>5147</v>
      </c>
      <c r="AF511" s="2">
        <v>0</v>
      </c>
      <c r="AG511" s="2">
        <v>0</v>
      </c>
      <c r="AH511" s="2"/>
      <c r="AI511" s="2">
        <v>-5216</v>
      </c>
      <c r="AJ511" s="2">
        <v>-4022</v>
      </c>
      <c r="AK511" s="2">
        <v>-3089</v>
      </c>
      <c r="AL511" s="2">
        <v>0</v>
      </c>
      <c r="AM511" s="2">
        <v>-4022</v>
      </c>
    </row>
    <row r="512" spans="1:39">
      <c r="A512" s="349">
        <v>95191</v>
      </c>
      <c r="B512" s="342" t="s">
        <v>1202</v>
      </c>
      <c r="C512" s="358">
        <v>7.36E-5</v>
      </c>
      <c r="E512" s="2">
        <v>35968</v>
      </c>
      <c r="F512" s="2">
        <v>43041</v>
      </c>
      <c r="G512" s="2">
        <v>28309</v>
      </c>
      <c r="H512" s="2">
        <v>10953</v>
      </c>
      <c r="I512" s="2">
        <v>0</v>
      </c>
      <c r="J512" s="2"/>
      <c r="K512" s="2">
        <v>13646</v>
      </c>
      <c r="L512" s="2">
        <v>12570</v>
      </c>
      <c r="M512" s="2">
        <v>6996</v>
      </c>
      <c r="N512" s="2">
        <v>0</v>
      </c>
      <c r="O512" s="2">
        <v>0</v>
      </c>
      <c r="P512" s="2"/>
      <c r="Q512" s="2">
        <v>885</v>
      </c>
      <c r="R512" s="2">
        <v>12373</v>
      </c>
      <c r="S512" s="2">
        <v>12800</v>
      </c>
      <c r="T512" s="2">
        <v>10953</v>
      </c>
      <c r="U512" s="2">
        <v>0</v>
      </c>
      <c r="V512" s="2"/>
      <c r="W512" s="2">
        <v>10803</v>
      </c>
      <c r="X512" s="2">
        <v>8770</v>
      </c>
      <c r="Y512" s="2">
        <v>0</v>
      </c>
      <c r="Z512" s="2">
        <v>0</v>
      </c>
      <c r="AA512" s="2">
        <v>0</v>
      </c>
      <c r="AB512" s="2"/>
      <c r="AC512" s="2">
        <v>10634</v>
      </c>
      <c r="AD512" s="2">
        <v>9328</v>
      </c>
      <c r="AE512" s="2">
        <v>8513</v>
      </c>
      <c r="AF512" s="2">
        <v>0</v>
      </c>
      <c r="AG512" s="2">
        <v>0</v>
      </c>
      <c r="AH512" s="2"/>
      <c r="AI512" s="2">
        <v>0</v>
      </c>
      <c r="AJ512" s="2">
        <v>0</v>
      </c>
      <c r="AK512" s="2">
        <v>0</v>
      </c>
      <c r="AL512" s="2">
        <v>0</v>
      </c>
      <c r="AM512" s="2">
        <v>0</v>
      </c>
    </row>
    <row r="513" spans="1:39">
      <c r="A513" s="349">
        <v>95201</v>
      </c>
      <c r="B513" s="342" t="s">
        <v>1203</v>
      </c>
      <c r="C513" s="358">
        <v>7.048E-4</v>
      </c>
      <c r="E513" s="2">
        <v>241499</v>
      </c>
      <c r="F513" s="2">
        <v>321688</v>
      </c>
      <c r="G513" s="2">
        <v>193584</v>
      </c>
      <c r="H513" s="2">
        <v>104890</v>
      </c>
      <c r="I513" s="2">
        <v>0</v>
      </c>
      <c r="J513" s="2"/>
      <c r="K513" s="2">
        <v>130676</v>
      </c>
      <c r="L513" s="2">
        <v>120376</v>
      </c>
      <c r="M513" s="2">
        <v>66997</v>
      </c>
      <c r="N513" s="2">
        <v>0</v>
      </c>
      <c r="O513" s="2">
        <v>0</v>
      </c>
      <c r="P513" s="2"/>
      <c r="Q513" s="2">
        <v>8471</v>
      </c>
      <c r="R513" s="2">
        <v>118480</v>
      </c>
      <c r="S513" s="2">
        <v>122577</v>
      </c>
      <c r="T513" s="2">
        <v>104890</v>
      </c>
      <c r="U513" s="2">
        <v>0</v>
      </c>
      <c r="V513" s="2"/>
      <c r="W513" s="2">
        <v>103448</v>
      </c>
      <c r="X513" s="2">
        <v>83982</v>
      </c>
      <c r="Y513" s="2">
        <v>0</v>
      </c>
      <c r="Z513" s="2">
        <v>0</v>
      </c>
      <c r="AA513" s="2">
        <v>0</v>
      </c>
      <c r="AB513" s="2"/>
      <c r="AC513" s="2">
        <v>14471</v>
      </c>
      <c r="AD513" s="2">
        <v>14417</v>
      </c>
      <c r="AE513" s="2">
        <v>14417</v>
      </c>
      <c r="AF513" s="2">
        <v>0</v>
      </c>
      <c r="AG513" s="2">
        <v>0</v>
      </c>
      <c r="AH513" s="2"/>
      <c r="AI513" s="2">
        <v>-15567</v>
      </c>
      <c r="AJ513" s="2">
        <v>-15567</v>
      </c>
      <c r="AK513" s="2">
        <v>-10407</v>
      </c>
      <c r="AL513" s="2">
        <v>0</v>
      </c>
      <c r="AM513" s="2">
        <v>-15567</v>
      </c>
    </row>
    <row r="514" spans="1:39">
      <c r="A514" s="349">
        <v>95204</v>
      </c>
      <c r="B514" s="342" t="s">
        <v>1204</v>
      </c>
      <c r="C514" s="358">
        <v>8.6000000000000007E-6</v>
      </c>
      <c r="E514" s="2">
        <v>4520</v>
      </c>
      <c r="F514" s="2">
        <v>5046</v>
      </c>
      <c r="G514" s="2">
        <v>3490</v>
      </c>
      <c r="H514" s="2">
        <v>1280</v>
      </c>
      <c r="I514" s="2">
        <v>0</v>
      </c>
      <c r="J514" s="2"/>
      <c r="K514" s="2">
        <v>1595</v>
      </c>
      <c r="L514" s="2">
        <v>1469</v>
      </c>
      <c r="M514" s="2">
        <v>817</v>
      </c>
      <c r="N514" s="2">
        <v>0</v>
      </c>
      <c r="O514" s="2">
        <v>0</v>
      </c>
      <c r="P514" s="2"/>
      <c r="Q514" s="2">
        <v>103</v>
      </c>
      <c r="R514" s="2">
        <v>1446</v>
      </c>
      <c r="S514" s="2">
        <v>1496</v>
      </c>
      <c r="T514" s="2">
        <v>1280</v>
      </c>
      <c r="U514" s="2">
        <v>0</v>
      </c>
      <c r="V514" s="2"/>
      <c r="W514" s="2">
        <v>1262</v>
      </c>
      <c r="X514" s="2">
        <v>1025</v>
      </c>
      <c r="Y514" s="2">
        <v>0</v>
      </c>
      <c r="Z514" s="2">
        <v>0</v>
      </c>
      <c r="AA514" s="2">
        <v>0</v>
      </c>
      <c r="AB514" s="2"/>
      <c r="AC514" s="2">
        <v>2098</v>
      </c>
      <c r="AD514" s="2">
        <v>1642</v>
      </c>
      <c r="AE514" s="2">
        <v>1643</v>
      </c>
      <c r="AF514" s="2">
        <v>0</v>
      </c>
      <c r="AG514" s="2">
        <v>0</v>
      </c>
      <c r="AH514" s="2"/>
      <c r="AI514" s="2">
        <v>-538</v>
      </c>
      <c r="AJ514" s="2">
        <v>-536</v>
      </c>
      <c r="AK514" s="2">
        <v>-466</v>
      </c>
      <c r="AL514" s="2">
        <v>0</v>
      </c>
      <c r="AM514" s="2">
        <v>-536</v>
      </c>
    </row>
    <row r="515" spans="1:39">
      <c r="A515" s="349">
        <v>95205</v>
      </c>
      <c r="B515" s="342" t="s">
        <v>1205</v>
      </c>
      <c r="C515" s="358">
        <v>2.6000000000000001E-6</v>
      </c>
      <c r="E515" s="2">
        <v>1559</v>
      </c>
      <c r="F515" s="2">
        <v>1828</v>
      </c>
      <c r="G515" s="2">
        <v>1575</v>
      </c>
      <c r="H515" s="2">
        <v>387</v>
      </c>
      <c r="I515" s="2">
        <v>0</v>
      </c>
      <c r="J515" s="2"/>
      <c r="K515" s="2">
        <v>482</v>
      </c>
      <c r="L515" s="2">
        <v>444</v>
      </c>
      <c r="M515" s="2">
        <v>247</v>
      </c>
      <c r="N515" s="2">
        <v>0</v>
      </c>
      <c r="O515" s="2">
        <v>0</v>
      </c>
      <c r="P515" s="2"/>
      <c r="Q515" s="2">
        <v>31</v>
      </c>
      <c r="R515" s="2">
        <v>437</v>
      </c>
      <c r="S515" s="2">
        <v>452</v>
      </c>
      <c r="T515" s="2">
        <v>387</v>
      </c>
      <c r="U515" s="2">
        <v>0</v>
      </c>
      <c r="V515" s="2"/>
      <c r="W515" s="2">
        <v>382</v>
      </c>
      <c r="X515" s="2">
        <v>310</v>
      </c>
      <c r="Y515" s="2">
        <v>0</v>
      </c>
      <c r="Z515" s="2">
        <v>0</v>
      </c>
      <c r="AA515" s="2">
        <v>0</v>
      </c>
      <c r="AB515" s="2"/>
      <c r="AC515" s="2">
        <v>901</v>
      </c>
      <c r="AD515" s="2">
        <v>875</v>
      </c>
      <c r="AE515" s="2">
        <v>876</v>
      </c>
      <c r="AF515" s="2">
        <v>0</v>
      </c>
      <c r="AG515" s="2">
        <v>0</v>
      </c>
      <c r="AH515" s="2"/>
      <c r="AI515" s="2">
        <v>-237</v>
      </c>
      <c r="AJ515" s="2">
        <v>-238</v>
      </c>
      <c r="AK515" s="2">
        <v>0</v>
      </c>
      <c r="AL515" s="2">
        <v>0</v>
      </c>
      <c r="AM515" s="2">
        <v>-238</v>
      </c>
    </row>
    <row r="516" spans="1:39">
      <c r="A516" s="349">
        <v>95211</v>
      </c>
      <c r="B516" s="342" t="s">
        <v>1206</v>
      </c>
      <c r="C516" s="358">
        <v>1.7E-6</v>
      </c>
      <c r="E516" s="2">
        <v>-999</v>
      </c>
      <c r="F516" s="2">
        <v>-744</v>
      </c>
      <c r="G516" s="2">
        <v>-677</v>
      </c>
      <c r="H516" s="2">
        <v>253</v>
      </c>
      <c r="I516" s="2">
        <v>0</v>
      </c>
      <c r="J516" s="2"/>
      <c r="K516" s="2">
        <v>315</v>
      </c>
      <c r="L516" s="2">
        <v>290</v>
      </c>
      <c r="M516" s="2">
        <v>162</v>
      </c>
      <c r="N516" s="2">
        <v>0</v>
      </c>
      <c r="O516" s="2">
        <v>0</v>
      </c>
      <c r="P516" s="2"/>
      <c r="Q516" s="2">
        <v>20</v>
      </c>
      <c r="R516" s="2">
        <v>286</v>
      </c>
      <c r="S516" s="2">
        <v>296</v>
      </c>
      <c r="T516" s="2">
        <v>253</v>
      </c>
      <c r="U516" s="2">
        <v>0</v>
      </c>
      <c r="V516" s="2"/>
      <c r="W516" s="2">
        <v>250</v>
      </c>
      <c r="X516" s="2">
        <v>203</v>
      </c>
      <c r="Y516" s="2">
        <v>0</v>
      </c>
      <c r="Z516" s="2">
        <v>0</v>
      </c>
      <c r="AA516" s="2">
        <v>0</v>
      </c>
      <c r="AB516" s="2"/>
      <c r="AC516" s="2">
        <v>17</v>
      </c>
      <c r="AD516" s="2">
        <v>17</v>
      </c>
      <c r="AE516" s="2">
        <v>18</v>
      </c>
      <c r="AF516" s="2">
        <v>0</v>
      </c>
      <c r="AG516" s="2">
        <v>0</v>
      </c>
      <c r="AH516" s="2"/>
      <c r="AI516" s="2">
        <v>-1601</v>
      </c>
      <c r="AJ516" s="2">
        <v>-1540</v>
      </c>
      <c r="AK516" s="2">
        <v>-1153</v>
      </c>
      <c r="AL516" s="2">
        <v>0</v>
      </c>
      <c r="AM516" s="2">
        <v>-1540</v>
      </c>
    </row>
    <row r="517" spans="1:39">
      <c r="A517" s="349">
        <v>95221</v>
      </c>
      <c r="B517" s="342" t="s">
        <v>1207</v>
      </c>
      <c r="C517" s="358">
        <v>4.2599999999999999E-5</v>
      </c>
      <c r="E517" s="2">
        <v>13677</v>
      </c>
      <c r="F517" s="2">
        <v>13945</v>
      </c>
      <c r="G517" s="2">
        <v>4275</v>
      </c>
      <c r="H517" s="2">
        <v>6340</v>
      </c>
      <c r="I517" s="2">
        <v>0</v>
      </c>
      <c r="J517" s="2"/>
      <c r="K517" s="2">
        <v>7898</v>
      </c>
      <c r="L517" s="2">
        <v>7276</v>
      </c>
      <c r="M517" s="2">
        <v>4049</v>
      </c>
      <c r="N517" s="2">
        <v>0</v>
      </c>
      <c r="O517" s="2">
        <v>0</v>
      </c>
      <c r="P517" s="2"/>
      <c r="Q517" s="2">
        <v>512</v>
      </c>
      <c r="R517" s="2">
        <v>7161</v>
      </c>
      <c r="S517" s="2">
        <v>7409</v>
      </c>
      <c r="T517" s="2">
        <v>6340</v>
      </c>
      <c r="U517" s="2">
        <v>0</v>
      </c>
      <c r="V517" s="2"/>
      <c r="W517" s="2">
        <v>6253</v>
      </c>
      <c r="X517" s="2">
        <v>5076</v>
      </c>
      <c r="Y517" s="2">
        <v>0</v>
      </c>
      <c r="Z517" s="2">
        <v>0</v>
      </c>
      <c r="AA517" s="2">
        <v>0</v>
      </c>
      <c r="AB517" s="2"/>
      <c r="AC517" s="2">
        <v>6197</v>
      </c>
      <c r="AD517" s="2">
        <v>1615</v>
      </c>
      <c r="AE517" s="2">
        <v>0</v>
      </c>
      <c r="AF517" s="2">
        <v>0</v>
      </c>
      <c r="AG517" s="2">
        <v>0</v>
      </c>
      <c r="AH517" s="2"/>
      <c r="AI517" s="2">
        <v>-7183</v>
      </c>
      <c r="AJ517" s="2">
        <v>-7183</v>
      </c>
      <c r="AK517" s="2">
        <v>-7183</v>
      </c>
      <c r="AL517" s="2">
        <v>0</v>
      </c>
      <c r="AM517" s="2">
        <v>-7183</v>
      </c>
    </row>
    <row r="518" spans="1:39">
      <c r="A518" s="349">
        <v>95301</v>
      </c>
      <c r="B518" s="342" t="s">
        <v>1208</v>
      </c>
      <c r="C518" s="358">
        <v>2.2263999999999999E-3</v>
      </c>
      <c r="E518" s="2">
        <v>794867</v>
      </c>
      <c r="F518" s="2">
        <v>1042070</v>
      </c>
      <c r="G518" s="2">
        <v>627419</v>
      </c>
      <c r="H518" s="2">
        <v>331337</v>
      </c>
      <c r="I518" s="2">
        <v>0</v>
      </c>
      <c r="J518" s="2"/>
      <c r="K518" s="2">
        <v>412795</v>
      </c>
      <c r="L518" s="2">
        <v>380256</v>
      </c>
      <c r="M518" s="2">
        <v>211637</v>
      </c>
      <c r="N518" s="2">
        <v>0</v>
      </c>
      <c r="O518" s="2">
        <v>0</v>
      </c>
      <c r="P518" s="2"/>
      <c r="Q518" s="2">
        <v>26759</v>
      </c>
      <c r="R518" s="2">
        <v>374269</v>
      </c>
      <c r="S518" s="2">
        <v>387211</v>
      </c>
      <c r="T518" s="2">
        <v>331337</v>
      </c>
      <c r="U518" s="2">
        <v>0</v>
      </c>
      <c r="V518" s="2"/>
      <c r="W518" s="2">
        <v>326782</v>
      </c>
      <c r="X518" s="2">
        <v>265291</v>
      </c>
      <c r="Y518" s="2">
        <v>0</v>
      </c>
      <c r="Z518" s="2">
        <v>0</v>
      </c>
      <c r="AA518" s="2">
        <v>0</v>
      </c>
      <c r="AB518" s="2"/>
      <c r="AC518" s="2">
        <v>56188</v>
      </c>
      <c r="AD518" s="2">
        <v>49911</v>
      </c>
      <c r="AE518" s="2">
        <v>49911</v>
      </c>
      <c r="AF518" s="2">
        <v>0</v>
      </c>
      <c r="AG518" s="2">
        <v>0</v>
      </c>
      <c r="AH518" s="2"/>
      <c r="AI518" s="2">
        <v>-27657</v>
      </c>
      <c r="AJ518" s="2">
        <v>-27657</v>
      </c>
      <c r="AK518" s="2">
        <v>-21340</v>
      </c>
      <c r="AL518" s="2">
        <v>0</v>
      </c>
      <c r="AM518" s="2">
        <v>-27657</v>
      </c>
    </row>
    <row r="519" spans="1:39">
      <c r="A519" s="349">
        <v>95311</v>
      </c>
      <c r="B519" s="342" t="s">
        <v>1209</v>
      </c>
      <c r="C519" s="358">
        <v>2.4442000000000001E-3</v>
      </c>
      <c r="E519" s="2">
        <v>823157</v>
      </c>
      <c r="F519" s="2">
        <v>1092517</v>
      </c>
      <c r="G519" s="2">
        <v>627289</v>
      </c>
      <c r="H519" s="2">
        <v>363751</v>
      </c>
      <c r="I519" s="2">
        <v>0</v>
      </c>
      <c r="J519" s="2"/>
      <c r="K519" s="2">
        <v>453177</v>
      </c>
      <c r="L519" s="2">
        <v>417455</v>
      </c>
      <c r="M519" s="2">
        <v>232341</v>
      </c>
      <c r="N519" s="2">
        <v>0</v>
      </c>
      <c r="O519" s="2">
        <v>0</v>
      </c>
      <c r="P519" s="2"/>
      <c r="Q519" s="2">
        <v>29377</v>
      </c>
      <c r="R519" s="2">
        <v>410882</v>
      </c>
      <c r="S519" s="2">
        <v>425090</v>
      </c>
      <c r="T519" s="2">
        <v>363751</v>
      </c>
      <c r="U519" s="2">
        <v>0</v>
      </c>
      <c r="V519" s="2"/>
      <c r="W519" s="2">
        <v>358750</v>
      </c>
      <c r="X519" s="2">
        <v>291244</v>
      </c>
      <c r="Y519" s="2">
        <v>0</v>
      </c>
      <c r="Z519" s="2">
        <v>0</v>
      </c>
      <c r="AA519" s="2">
        <v>0</v>
      </c>
      <c r="AB519" s="2"/>
      <c r="AC519" s="2">
        <v>12012</v>
      </c>
      <c r="AD519" s="2">
        <v>3095</v>
      </c>
      <c r="AE519" s="2">
        <v>18</v>
      </c>
      <c r="AF519" s="2">
        <v>0</v>
      </c>
      <c r="AG519" s="2">
        <v>0</v>
      </c>
      <c r="AH519" s="2"/>
      <c r="AI519" s="2">
        <v>-30159</v>
      </c>
      <c r="AJ519" s="2">
        <v>-30159</v>
      </c>
      <c r="AK519" s="2">
        <v>-30160</v>
      </c>
      <c r="AL519" s="2">
        <v>0</v>
      </c>
      <c r="AM519" s="2">
        <v>-30159</v>
      </c>
    </row>
    <row r="520" spans="1:39">
      <c r="A520" s="349">
        <v>95317</v>
      </c>
      <c r="B520" s="342" t="s">
        <v>1210</v>
      </c>
      <c r="C520" s="358">
        <v>4.1699999999999997E-5</v>
      </c>
      <c r="E520" s="2">
        <v>19213</v>
      </c>
      <c r="F520" s="2">
        <v>23365</v>
      </c>
      <c r="G520" s="2">
        <v>15228</v>
      </c>
      <c r="H520" s="2">
        <v>6206</v>
      </c>
      <c r="I520" s="2">
        <v>0</v>
      </c>
      <c r="J520" s="2"/>
      <c r="K520" s="2">
        <v>7732</v>
      </c>
      <c r="L520" s="2">
        <v>7122</v>
      </c>
      <c r="M520" s="2">
        <v>3964</v>
      </c>
      <c r="N520" s="2">
        <v>0</v>
      </c>
      <c r="O520" s="2">
        <v>0</v>
      </c>
      <c r="P520" s="2"/>
      <c r="Q520" s="2">
        <v>501</v>
      </c>
      <c r="R520" s="2">
        <v>7010</v>
      </c>
      <c r="S520" s="2">
        <v>7252</v>
      </c>
      <c r="T520" s="2">
        <v>6206</v>
      </c>
      <c r="U520" s="2">
        <v>0</v>
      </c>
      <c r="V520" s="2"/>
      <c r="W520" s="2">
        <v>6121</v>
      </c>
      <c r="X520" s="2">
        <v>4969</v>
      </c>
      <c r="Y520" s="2">
        <v>0</v>
      </c>
      <c r="Z520" s="2">
        <v>0</v>
      </c>
      <c r="AA520" s="2">
        <v>0</v>
      </c>
      <c r="AB520" s="2"/>
      <c r="AC520" s="2">
        <v>4859</v>
      </c>
      <c r="AD520" s="2">
        <v>4264</v>
      </c>
      <c r="AE520" s="2">
        <v>4012</v>
      </c>
      <c r="AF520" s="2">
        <v>0</v>
      </c>
      <c r="AG520" s="2">
        <v>0</v>
      </c>
      <c r="AH520" s="2"/>
      <c r="AI520" s="2">
        <v>0</v>
      </c>
      <c r="AJ520" s="2">
        <v>0</v>
      </c>
      <c r="AK520" s="2">
        <v>0</v>
      </c>
      <c r="AL520" s="2">
        <v>0</v>
      </c>
      <c r="AM520" s="2">
        <v>0</v>
      </c>
    </row>
    <row r="521" spans="1:39">
      <c r="A521" s="349">
        <v>95321</v>
      </c>
      <c r="B521" s="342" t="s">
        <v>1211</v>
      </c>
      <c r="C521" s="358">
        <v>4.4199999999999997E-5</v>
      </c>
      <c r="E521" s="2">
        <v>16266</v>
      </c>
      <c r="F521" s="2">
        <v>21836</v>
      </c>
      <c r="G521" s="2">
        <v>12199</v>
      </c>
      <c r="H521" s="2">
        <v>6578</v>
      </c>
      <c r="I521" s="2">
        <v>0</v>
      </c>
      <c r="J521" s="2"/>
      <c r="K521" s="2">
        <v>8195</v>
      </c>
      <c r="L521" s="2">
        <v>7549</v>
      </c>
      <c r="M521" s="2">
        <v>4202</v>
      </c>
      <c r="N521" s="2">
        <v>0</v>
      </c>
      <c r="O521" s="2">
        <v>0</v>
      </c>
      <c r="P521" s="2"/>
      <c r="Q521" s="2">
        <v>531</v>
      </c>
      <c r="R521" s="2">
        <v>7430</v>
      </c>
      <c r="S521" s="2">
        <v>7687</v>
      </c>
      <c r="T521" s="2">
        <v>6578</v>
      </c>
      <c r="U521" s="2">
        <v>0</v>
      </c>
      <c r="V521" s="2"/>
      <c r="W521" s="2">
        <v>6487</v>
      </c>
      <c r="X521" s="2">
        <v>5267</v>
      </c>
      <c r="Y521" s="2">
        <v>0</v>
      </c>
      <c r="Z521" s="2">
        <v>0</v>
      </c>
      <c r="AA521" s="2">
        <v>0</v>
      </c>
      <c r="AB521" s="2"/>
      <c r="AC521" s="2">
        <v>1591</v>
      </c>
      <c r="AD521" s="2">
        <v>1590</v>
      </c>
      <c r="AE521" s="2">
        <v>310</v>
      </c>
      <c r="AF521" s="2">
        <v>0</v>
      </c>
      <c r="AG521" s="2">
        <v>0</v>
      </c>
      <c r="AH521" s="2"/>
      <c r="AI521" s="2">
        <v>-538</v>
      </c>
      <c r="AJ521" s="2">
        <v>0</v>
      </c>
      <c r="AK521" s="2">
        <v>0</v>
      </c>
      <c r="AL521" s="2">
        <v>0</v>
      </c>
      <c r="AM521" s="2">
        <v>0</v>
      </c>
    </row>
    <row r="522" spans="1:39">
      <c r="A522" s="349">
        <v>95401</v>
      </c>
      <c r="B522" s="342" t="s">
        <v>1212</v>
      </c>
      <c r="C522" s="358">
        <v>2.6316999999999998E-3</v>
      </c>
      <c r="E522" s="2">
        <v>754937</v>
      </c>
      <c r="F522" s="2">
        <v>1059539</v>
      </c>
      <c r="G522" s="2">
        <v>591385</v>
      </c>
      <c r="H522" s="2">
        <v>391655</v>
      </c>
      <c r="I522" s="2">
        <v>0</v>
      </c>
      <c r="J522" s="2"/>
      <c r="K522" s="2">
        <v>487941</v>
      </c>
      <c r="L522" s="2">
        <v>449479</v>
      </c>
      <c r="M522" s="2">
        <v>250164</v>
      </c>
      <c r="N522" s="2">
        <v>0</v>
      </c>
      <c r="O522" s="2">
        <v>0</v>
      </c>
      <c r="P522" s="2"/>
      <c r="Q522" s="2">
        <v>31630</v>
      </c>
      <c r="R522" s="2">
        <v>442402</v>
      </c>
      <c r="S522" s="2">
        <v>457700</v>
      </c>
      <c r="T522" s="2">
        <v>391655</v>
      </c>
      <c r="U522" s="2">
        <v>0</v>
      </c>
      <c r="V522" s="2"/>
      <c r="W522" s="2">
        <v>386270</v>
      </c>
      <c r="X522" s="2">
        <v>313585</v>
      </c>
      <c r="Y522" s="2">
        <v>0</v>
      </c>
      <c r="Z522" s="2">
        <v>0</v>
      </c>
      <c r="AA522" s="2">
        <v>0</v>
      </c>
      <c r="AB522" s="2"/>
      <c r="AC522" s="2">
        <v>0</v>
      </c>
      <c r="AD522" s="2">
        <v>0</v>
      </c>
      <c r="AE522" s="2">
        <v>0</v>
      </c>
      <c r="AF522" s="2">
        <v>0</v>
      </c>
      <c r="AG522" s="2">
        <v>0</v>
      </c>
      <c r="AH522" s="2"/>
      <c r="AI522" s="2">
        <v>-150904</v>
      </c>
      <c r="AJ522" s="2">
        <v>-145927</v>
      </c>
      <c r="AK522" s="2">
        <v>-116479</v>
      </c>
      <c r="AL522" s="2">
        <v>0</v>
      </c>
      <c r="AM522" s="2">
        <v>-145927</v>
      </c>
    </row>
    <row r="523" spans="1:39">
      <c r="A523" s="349">
        <v>95404</v>
      </c>
      <c r="B523" s="342" t="s">
        <v>1213</v>
      </c>
      <c r="C523" s="358">
        <v>4.8699999999999998E-5</v>
      </c>
      <c r="E523" s="2">
        <v>16740</v>
      </c>
      <c r="F523" s="2">
        <v>22182</v>
      </c>
      <c r="G523" s="2">
        <v>13806</v>
      </c>
      <c r="H523" s="2">
        <v>7248</v>
      </c>
      <c r="I523" s="2">
        <v>0</v>
      </c>
      <c r="J523" s="2"/>
      <c r="K523" s="2">
        <v>9029</v>
      </c>
      <c r="L523" s="2">
        <v>8318</v>
      </c>
      <c r="M523" s="2">
        <v>4629</v>
      </c>
      <c r="N523" s="2">
        <v>0</v>
      </c>
      <c r="O523" s="2">
        <v>0</v>
      </c>
      <c r="P523" s="2"/>
      <c r="Q523" s="2">
        <v>585</v>
      </c>
      <c r="R523" s="2">
        <v>8187</v>
      </c>
      <c r="S523" s="2">
        <v>8470</v>
      </c>
      <c r="T523" s="2">
        <v>7248</v>
      </c>
      <c r="U523" s="2">
        <v>0</v>
      </c>
      <c r="V523" s="2"/>
      <c r="W523" s="2">
        <v>7148</v>
      </c>
      <c r="X523" s="2">
        <v>5803</v>
      </c>
      <c r="Y523" s="2">
        <v>0</v>
      </c>
      <c r="Z523" s="2">
        <v>0</v>
      </c>
      <c r="AA523" s="2">
        <v>0</v>
      </c>
      <c r="AB523" s="2"/>
      <c r="AC523" s="2">
        <v>1813</v>
      </c>
      <c r="AD523" s="2">
        <v>1709</v>
      </c>
      <c r="AE523" s="2">
        <v>1710</v>
      </c>
      <c r="AF523" s="2">
        <v>0</v>
      </c>
      <c r="AG523" s="2">
        <v>0</v>
      </c>
      <c r="AH523" s="2"/>
      <c r="AI523" s="2">
        <v>-1835</v>
      </c>
      <c r="AJ523" s="2">
        <v>-1835</v>
      </c>
      <c r="AK523" s="2">
        <v>-1003</v>
      </c>
      <c r="AL523" s="2">
        <v>0</v>
      </c>
      <c r="AM523" s="2">
        <v>-1835</v>
      </c>
    </row>
    <row r="524" spans="1:39">
      <c r="A524" s="349">
        <v>95405</v>
      </c>
      <c r="B524" s="342" t="s">
        <v>1214</v>
      </c>
      <c r="C524" s="358">
        <v>4.5500000000000001E-5</v>
      </c>
      <c r="E524" s="2">
        <v>26691</v>
      </c>
      <c r="F524" s="2">
        <v>30149</v>
      </c>
      <c r="G524" s="2">
        <v>19504</v>
      </c>
      <c r="H524" s="2">
        <v>6771</v>
      </c>
      <c r="I524" s="2">
        <v>0</v>
      </c>
      <c r="J524" s="2"/>
      <c r="K524" s="2">
        <v>8436</v>
      </c>
      <c r="L524" s="2">
        <v>7771</v>
      </c>
      <c r="M524" s="2">
        <v>4325</v>
      </c>
      <c r="N524" s="2">
        <v>0</v>
      </c>
      <c r="O524" s="2">
        <v>0</v>
      </c>
      <c r="P524" s="2"/>
      <c r="Q524" s="2">
        <v>547</v>
      </c>
      <c r="R524" s="2">
        <v>7649</v>
      </c>
      <c r="S524" s="2">
        <v>7913</v>
      </c>
      <c r="T524" s="2">
        <v>6771</v>
      </c>
      <c r="U524" s="2">
        <v>0</v>
      </c>
      <c r="V524" s="2"/>
      <c r="W524" s="2">
        <v>6678</v>
      </c>
      <c r="X524" s="2">
        <v>5422</v>
      </c>
      <c r="Y524" s="2">
        <v>0</v>
      </c>
      <c r="Z524" s="2">
        <v>0</v>
      </c>
      <c r="AA524" s="2">
        <v>0</v>
      </c>
      <c r="AB524" s="2"/>
      <c r="AC524" s="2">
        <v>11030</v>
      </c>
      <c r="AD524" s="2">
        <v>9307</v>
      </c>
      <c r="AE524" s="2">
        <v>7266</v>
      </c>
      <c r="AF524" s="2">
        <v>0</v>
      </c>
      <c r="AG524" s="2">
        <v>0</v>
      </c>
      <c r="AH524" s="2"/>
      <c r="AI524" s="2">
        <v>0</v>
      </c>
      <c r="AJ524" s="2">
        <v>0</v>
      </c>
      <c r="AK524" s="2">
        <v>0</v>
      </c>
      <c r="AL524" s="2">
        <v>0</v>
      </c>
      <c r="AM524" s="2">
        <v>0</v>
      </c>
    </row>
    <row r="525" spans="1:39">
      <c r="A525" s="349">
        <v>95411</v>
      </c>
      <c r="B525" s="342" t="s">
        <v>1215</v>
      </c>
      <c r="C525" s="358">
        <v>2.0525999999999999E-3</v>
      </c>
      <c r="E525" s="2">
        <v>679712</v>
      </c>
      <c r="F525" s="2">
        <v>923809</v>
      </c>
      <c r="G525" s="2">
        <v>537333</v>
      </c>
      <c r="H525" s="2">
        <v>305472</v>
      </c>
      <c r="I525" s="2">
        <v>0</v>
      </c>
      <c r="J525" s="2"/>
      <c r="K525" s="2">
        <v>380571</v>
      </c>
      <c r="L525" s="2">
        <v>350572</v>
      </c>
      <c r="M525" s="2">
        <v>195116</v>
      </c>
      <c r="N525" s="2">
        <v>0</v>
      </c>
      <c r="O525" s="2">
        <v>0</v>
      </c>
      <c r="P525" s="2"/>
      <c r="Q525" s="2">
        <v>24670</v>
      </c>
      <c r="R525" s="2">
        <v>345052</v>
      </c>
      <c r="S525" s="2">
        <v>356984</v>
      </c>
      <c r="T525" s="2">
        <v>305472</v>
      </c>
      <c r="U525" s="2">
        <v>0</v>
      </c>
      <c r="V525" s="2"/>
      <c r="W525" s="2">
        <v>301272</v>
      </c>
      <c r="X525" s="2">
        <v>244582</v>
      </c>
      <c r="Y525" s="2">
        <v>0</v>
      </c>
      <c r="Z525" s="2">
        <v>0</v>
      </c>
      <c r="AA525" s="2">
        <v>0</v>
      </c>
      <c r="AB525" s="2"/>
      <c r="AC525" s="2">
        <v>0</v>
      </c>
      <c r="AD525" s="2">
        <v>0</v>
      </c>
      <c r="AE525" s="2">
        <v>0</v>
      </c>
      <c r="AF525" s="2">
        <v>0</v>
      </c>
      <c r="AG525" s="2">
        <v>0</v>
      </c>
      <c r="AH525" s="2"/>
      <c r="AI525" s="2">
        <v>-26801</v>
      </c>
      <c r="AJ525" s="2">
        <v>-16397</v>
      </c>
      <c r="AK525" s="2">
        <v>-14767</v>
      </c>
      <c r="AL525" s="2">
        <v>0</v>
      </c>
      <c r="AM525" s="2">
        <v>-16397</v>
      </c>
    </row>
    <row r="526" spans="1:39">
      <c r="A526" s="349">
        <v>95413</v>
      </c>
      <c r="B526" s="342" t="s">
        <v>3678</v>
      </c>
      <c r="C526" s="358">
        <v>2.5369999999999999E-4</v>
      </c>
      <c r="E526" s="2">
        <v>117749</v>
      </c>
      <c r="F526" s="2">
        <v>119354</v>
      </c>
      <c r="G526" s="2">
        <v>69626</v>
      </c>
      <c r="H526" s="2">
        <v>37756</v>
      </c>
      <c r="I526" s="2">
        <v>0</v>
      </c>
      <c r="J526" s="2"/>
      <c r="K526" s="2">
        <v>47038</v>
      </c>
      <c r="L526" s="2">
        <v>43330</v>
      </c>
      <c r="M526" s="2">
        <v>24116</v>
      </c>
      <c r="N526" s="2">
        <v>0</v>
      </c>
      <c r="O526" s="2">
        <v>0</v>
      </c>
      <c r="P526" s="2"/>
      <c r="Q526" s="2">
        <v>3049</v>
      </c>
      <c r="R526" s="2">
        <v>42648</v>
      </c>
      <c r="S526" s="2">
        <v>44123</v>
      </c>
      <c r="T526" s="2">
        <v>37756</v>
      </c>
      <c r="U526" s="2">
        <v>0</v>
      </c>
      <c r="V526" s="2"/>
      <c r="W526" s="2">
        <v>37237</v>
      </c>
      <c r="X526" s="2">
        <v>30230</v>
      </c>
      <c r="Y526" s="2">
        <v>0</v>
      </c>
      <c r="Z526" s="2">
        <v>0</v>
      </c>
      <c r="AA526" s="2">
        <v>0</v>
      </c>
      <c r="AB526" s="2"/>
      <c r="AC526" s="2">
        <v>33854</v>
      </c>
      <c r="AD526" s="2">
        <v>6575</v>
      </c>
      <c r="AE526" s="2">
        <v>4814</v>
      </c>
      <c r="AF526" s="2">
        <v>0</v>
      </c>
      <c r="AG526" s="2">
        <v>0</v>
      </c>
      <c r="AH526" s="2"/>
      <c r="AI526" s="2">
        <v>-3429</v>
      </c>
      <c r="AJ526" s="2">
        <v>-3429</v>
      </c>
      <c r="AK526" s="2">
        <v>-3427</v>
      </c>
      <c r="AL526" s="2">
        <v>0</v>
      </c>
      <c r="AM526" s="2">
        <v>-3429</v>
      </c>
    </row>
    <row r="527" spans="1:39">
      <c r="A527" s="349">
        <v>95415</v>
      </c>
      <c r="B527" s="342" t="s">
        <v>3679</v>
      </c>
      <c r="C527" s="358">
        <v>6.2700000000000006E-5</v>
      </c>
      <c r="E527" s="2">
        <v>19163</v>
      </c>
      <c r="F527" s="2">
        <v>29229</v>
      </c>
      <c r="G527" s="2">
        <v>16589</v>
      </c>
      <c r="H527" s="2">
        <v>9331</v>
      </c>
      <c r="I527" s="2">
        <v>0</v>
      </c>
      <c r="J527" s="2"/>
      <c r="K527" s="2">
        <v>11625</v>
      </c>
      <c r="L527" s="2">
        <v>10709</v>
      </c>
      <c r="M527" s="2">
        <v>5960</v>
      </c>
      <c r="N527" s="2">
        <v>0</v>
      </c>
      <c r="O527" s="2">
        <v>0</v>
      </c>
      <c r="P527" s="2"/>
      <c r="Q527" s="2">
        <v>754</v>
      </c>
      <c r="R527" s="2">
        <v>10540</v>
      </c>
      <c r="S527" s="2">
        <v>10905</v>
      </c>
      <c r="T527" s="2">
        <v>9331</v>
      </c>
      <c r="U527" s="2">
        <v>0</v>
      </c>
      <c r="V527" s="2"/>
      <c r="W527" s="2">
        <v>9203</v>
      </c>
      <c r="X527" s="2">
        <v>7471</v>
      </c>
      <c r="Y527" s="2">
        <v>0</v>
      </c>
      <c r="Z527" s="2">
        <v>0</v>
      </c>
      <c r="AA527" s="2">
        <v>0</v>
      </c>
      <c r="AB527" s="2"/>
      <c r="AC527" s="2">
        <v>3002</v>
      </c>
      <c r="AD527" s="2">
        <v>3004</v>
      </c>
      <c r="AE527" s="2">
        <v>2218</v>
      </c>
      <c r="AF527" s="2">
        <v>0</v>
      </c>
      <c r="AG527" s="2">
        <v>0</v>
      </c>
      <c r="AH527" s="2"/>
      <c r="AI527" s="2">
        <v>-5421</v>
      </c>
      <c r="AJ527" s="2">
        <v>-2495</v>
      </c>
      <c r="AK527" s="2">
        <v>-2494</v>
      </c>
      <c r="AL527" s="2">
        <v>0</v>
      </c>
      <c r="AM527" s="2">
        <v>-2495</v>
      </c>
    </row>
    <row r="528" spans="1:39">
      <c r="A528" s="349">
        <v>95421</v>
      </c>
      <c r="B528" s="342" t="s">
        <v>1219</v>
      </c>
      <c r="C528" s="358">
        <v>2.5199999999999999E-5</v>
      </c>
      <c r="E528" s="2">
        <v>4362</v>
      </c>
      <c r="F528" s="2">
        <v>7175</v>
      </c>
      <c r="G528" s="2">
        <v>2311</v>
      </c>
      <c r="H528" s="2">
        <v>3750</v>
      </c>
      <c r="I528" s="2">
        <v>0</v>
      </c>
      <c r="J528" s="2"/>
      <c r="K528" s="2">
        <v>4672</v>
      </c>
      <c r="L528" s="2">
        <v>4304</v>
      </c>
      <c r="M528" s="2">
        <v>2395</v>
      </c>
      <c r="N528" s="2">
        <v>0</v>
      </c>
      <c r="O528" s="2">
        <v>0</v>
      </c>
      <c r="P528" s="2"/>
      <c r="Q528" s="2">
        <v>303</v>
      </c>
      <c r="R528" s="2">
        <v>4236</v>
      </c>
      <c r="S528" s="2">
        <v>4383</v>
      </c>
      <c r="T528" s="2">
        <v>3750</v>
      </c>
      <c r="U528" s="2">
        <v>0</v>
      </c>
      <c r="V528" s="2"/>
      <c r="W528" s="2">
        <v>3699</v>
      </c>
      <c r="X528" s="2">
        <v>3003</v>
      </c>
      <c r="Y528" s="2">
        <v>0</v>
      </c>
      <c r="Z528" s="2">
        <v>0</v>
      </c>
      <c r="AA528" s="2">
        <v>0</v>
      </c>
      <c r="AB528" s="2"/>
      <c r="AC528" s="2">
        <v>249</v>
      </c>
      <c r="AD528" s="2">
        <v>193</v>
      </c>
      <c r="AE528" s="2">
        <v>95</v>
      </c>
      <c r="AF528" s="2">
        <v>0</v>
      </c>
      <c r="AG528" s="2">
        <v>0</v>
      </c>
      <c r="AH528" s="2"/>
      <c r="AI528" s="2">
        <v>-4561</v>
      </c>
      <c r="AJ528" s="2">
        <v>-4561</v>
      </c>
      <c r="AK528" s="2">
        <v>-4562</v>
      </c>
      <c r="AL528" s="2">
        <v>0</v>
      </c>
      <c r="AM528" s="2">
        <v>-4561</v>
      </c>
    </row>
    <row r="529" spans="1:39">
      <c r="A529" s="349">
        <v>95431</v>
      </c>
      <c r="B529" s="342" t="s">
        <v>1220</v>
      </c>
      <c r="C529" s="358">
        <v>1.2349999999999999E-4</v>
      </c>
      <c r="E529" s="2">
        <v>26283</v>
      </c>
      <c r="F529" s="2">
        <v>46559</v>
      </c>
      <c r="G529" s="2">
        <v>25503</v>
      </c>
      <c r="H529" s="2">
        <v>18380</v>
      </c>
      <c r="I529" s="2">
        <v>0</v>
      </c>
      <c r="J529" s="2"/>
      <c r="K529" s="2">
        <v>22898</v>
      </c>
      <c r="L529" s="2">
        <v>21093</v>
      </c>
      <c r="M529" s="2">
        <v>11740</v>
      </c>
      <c r="N529" s="2">
        <v>0</v>
      </c>
      <c r="O529" s="2">
        <v>0</v>
      </c>
      <c r="P529" s="2"/>
      <c r="Q529" s="2">
        <v>1484</v>
      </c>
      <c r="R529" s="2">
        <v>20761</v>
      </c>
      <c r="S529" s="2">
        <v>21479</v>
      </c>
      <c r="T529" s="2">
        <v>18380</v>
      </c>
      <c r="U529" s="2">
        <v>0</v>
      </c>
      <c r="V529" s="2"/>
      <c r="W529" s="2">
        <v>18127</v>
      </c>
      <c r="X529" s="2">
        <v>14716</v>
      </c>
      <c r="Y529" s="2">
        <v>0</v>
      </c>
      <c r="Z529" s="2">
        <v>0</v>
      </c>
      <c r="AA529" s="2">
        <v>0</v>
      </c>
      <c r="AB529" s="2"/>
      <c r="AC529" s="2">
        <v>0</v>
      </c>
      <c r="AD529" s="2">
        <v>0</v>
      </c>
      <c r="AE529" s="2">
        <v>0</v>
      </c>
      <c r="AF529" s="2">
        <v>0</v>
      </c>
      <c r="AG529" s="2">
        <v>0</v>
      </c>
      <c r="AH529" s="2"/>
      <c r="AI529" s="2">
        <v>-16226</v>
      </c>
      <c r="AJ529" s="2">
        <v>-10011</v>
      </c>
      <c r="AK529" s="2">
        <v>-7716</v>
      </c>
      <c r="AL529" s="2">
        <v>0</v>
      </c>
      <c r="AM529" s="2">
        <v>-10011</v>
      </c>
    </row>
    <row r="530" spans="1:39">
      <c r="A530" s="349">
        <v>95501</v>
      </c>
      <c r="B530" s="342" t="s">
        <v>1221</v>
      </c>
      <c r="C530" s="358">
        <v>5.3182000000000004E-3</v>
      </c>
      <c r="E530" s="2">
        <v>1942902</v>
      </c>
      <c r="F530" s="2">
        <v>2560976</v>
      </c>
      <c r="G530" s="2">
        <v>1569743</v>
      </c>
      <c r="H530" s="2">
        <v>791465</v>
      </c>
      <c r="I530" s="2">
        <v>0</v>
      </c>
      <c r="J530" s="2"/>
      <c r="K530" s="2">
        <v>986042</v>
      </c>
      <c r="L530" s="2">
        <v>908317</v>
      </c>
      <c r="M530" s="2">
        <v>505537</v>
      </c>
      <c r="N530" s="2">
        <v>0</v>
      </c>
      <c r="O530" s="2">
        <v>0</v>
      </c>
      <c r="P530" s="2"/>
      <c r="Q530" s="2">
        <v>63919</v>
      </c>
      <c r="R530" s="2">
        <v>894016</v>
      </c>
      <c r="S530" s="2">
        <v>924931</v>
      </c>
      <c r="T530" s="2">
        <v>791465</v>
      </c>
      <c r="U530" s="2">
        <v>0</v>
      </c>
      <c r="V530" s="2"/>
      <c r="W530" s="2">
        <v>780584</v>
      </c>
      <c r="X530" s="2">
        <v>633701</v>
      </c>
      <c r="Y530" s="2">
        <v>0</v>
      </c>
      <c r="Z530" s="2">
        <v>0</v>
      </c>
      <c r="AA530" s="2">
        <v>0</v>
      </c>
      <c r="AB530" s="2"/>
      <c r="AC530" s="2">
        <v>139273</v>
      </c>
      <c r="AD530" s="2">
        <v>139273</v>
      </c>
      <c r="AE530" s="2">
        <v>139275</v>
      </c>
      <c r="AF530" s="2">
        <v>0</v>
      </c>
      <c r="AG530" s="2">
        <v>0</v>
      </c>
      <c r="AH530" s="2"/>
      <c r="AI530" s="2">
        <v>-26916</v>
      </c>
      <c r="AJ530" s="2">
        <v>-14331</v>
      </c>
      <c r="AK530" s="2">
        <v>0</v>
      </c>
      <c r="AL530" s="2">
        <v>0</v>
      </c>
      <c r="AM530" s="2">
        <v>-14331</v>
      </c>
    </row>
    <row r="531" spans="1:39">
      <c r="A531" s="349">
        <v>95504</v>
      </c>
      <c r="B531" s="342" t="s">
        <v>1222</v>
      </c>
      <c r="C531" s="358">
        <v>1.7399999999999999E-5</v>
      </c>
      <c r="E531" s="2">
        <v>14095</v>
      </c>
      <c r="F531" s="2">
        <v>14995</v>
      </c>
      <c r="G531" s="2">
        <v>10614</v>
      </c>
      <c r="H531" s="2">
        <v>2590</v>
      </c>
      <c r="I531" s="2">
        <v>0</v>
      </c>
      <c r="J531" s="2"/>
      <c r="K531" s="2">
        <v>3226</v>
      </c>
      <c r="L531" s="2">
        <v>2972</v>
      </c>
      <c r="M531" s="2">
        <v>1654</v>
      </c>
      <c r="N531" s="2">
        <v>0</v>
      </c>
      <c r="O531" s="2">
        <v>0</v>
      </c>
      <c r="P531" s="2"/>
      <c r="Q531" s="2">
        <v>209</v>
      </c>
      <c r="R531" s="2">
        <v>2925</v>
      </c>
      <c r="S531" s="2">
        <v>3026</v>
      </c>
      <c r="T531" s="2">
        <v>2590</v>
      </c>
      <c r="U531" s="2">
        <v>0</v>
      </c>
      <c r="V531" s="2"/>
      <c r="W531" s="2">
        <v>2554</v>
      </c>
      <c r="X531" s="2">
        <v>2073</v>
      </c>
      <c r="Y531" s="2">
        <v>0</v>
      </c>
      <c r="Z531" s="2">
        <v>0</v>
      </c>
      <c r="AA531" s="2">
        <v>0</v>
      </c>
      <c r="AB531" s="2"/>
      <c r="AC531" s="2">
        <v>8106</v>
      </c>
      <c r="AD531" s="2">
        <v>7025</v>
      </c>
      <c r="AE531" s="2">
        <v>5934</v>
      </c>
      <c r="AF531" s="2">
        <v>0</v>
      </c>
      <c r="AG531" s="2">
        <v>0</v>
      </c>
      <c r="AH531" s="2"/>
      <c r="AI531" s="2">
        <v>0</v>
      </c>
      <c r="AJ531" s="2">
        <v>0</v>
      </c>
      <c r="AK531" s="2">
        <v>0</v>
      </c>
      <c r="AL531" s="2">
        <v>0</v>
      </c>
      <c r="AM531" s="2">
        <v>0</v>
      </c>
    </row>
    <row r="532" spans="1:39">
      <c r="A532" s="349">
        <v>95511</v>
      </c>
      <c r="B532" s="342" t="s">
        <v>1223</v>
      </c>
      <c r="C532" s="358">
        <v>1.0361000000000001E-3</v>
      </c>
      <c r="E532" s="2">
        <v>426214</v>
      </c>
      <c r="F532" s="2">
        <v>534460</v>
      </c>
      <c r="G532" s="2">
        <v>333788</v>
      </c>
      <c r="H532" s="2">
        <v>154194</v>
      </c>
      <c r="I532" s="2">
        <v>0</v>
      </c>
      <c r="J532" s="2"/>
      <c r="K532" s="2">
        <v>192102</v>
      </c>
      <c r="L532" s="2">
        <v>176960</v>
      </c>
      <c r="M532" s="2">
        <v>98490</v>
      </c>
      <c r="N532" s="2">
        <v>0</v>
      </c>
      <c r="O532" s="2">
        <v>0</v>
      </c>
      <c r="P532" s="2"/>
      <c r="Q532" s="2">
        <v>12453</v>
      </c>
      <c r="R532" s="2">
        <v>174174</v>
      </c>
      <c r="S532" s="2">
        <v>180196</v>
      </c>
      <c r="T532" s="2">
        <v>154194</v>
      </c>
      <c r="U532" s="2">
        <v>0</v>
      </c>
      <c r="V532" s="2"/>
      <c r="W532" s="2">
        <v>152075</v>
      </c>
      <c r="X532" s="2">
        <v>123459</v>
      </c>
      <c r="Y532" s="2">
        <v>0</v>
      </c>
      <c r="Z532" s="2">
        <v>0</v>
      </c>
      <c r="AA532" s="2">
        <v>0</v>
      </c>
      <c r="AB532" s="2"/>
      <c r="AC532" s="2">
        <v>69584</v>
      </c>
      <c r="AD532" s="2">
        <v>59867</v>
      </c>
      <c r="AE532" s="2">
        <v>55102</v>
      </c>
      <c r="AF532" s="2">
        <v>0</v>
      </c>
      <c r="AG532" s="2">
        <v>0</v>
      </c>
      <c r="AH532" s="2"/>
      <c r="AI532" s="2">
        <v>0</v>
      </c>
      <c r="AJ532" s="2">
        <v>0</v>
      </c>
      <c r="AK532" s="2">
        <v>0</v>
      </c>
      <c r="AL532" s="2">
        <v>0</v>
      </c>
      <c r="AM532" s="2">
        <v>0</v>
      </c>
    </row>
    <row r="533" spans="1:39">
      <c r="A533" s="349">
        <v>95513</v>
      </c>
      <c r="B533" s="342" t="s">
        <v>1224</v>
      </c>
      <c r="C533" s="358">
        <v>4.6900000000000002E-5</v>
      </c>
      <c r="E533" s="2">
        <v>29375</v>
      </c>
      <c r="F533" s="2">
        <v>32442</v>
      </c>
      <c r="G533" s="2">
        <v>21374</v>
      </c>
      <c r="H533" s="2">
        <v>6980</v>
      </c>
      <c r="I533" s="2">
        <v>0</v>
      </c>
      <c r="J533" s="2"/>
      <c r="K533" s="2">
        <v>8696</v>
      </c>
      <c r="L533" s="2">
        <v>8010</v>
      </c>
      <c r="M533" s="2">
        <v>4458</v>
      </c>
      <c r="N533" s="2">
        <v>0</v>
      </c>
      <c r="O533" s="2">
        <v>0</v>
      </c>
      <c r="P533" s="2"/>
      <c r="Q533" s="2">
        <v>564</v>
      </c>
      <c r="R533" s="2">
        <v>7884</v>
      </c>
      <c r="S533" s="2">
        <v>8157</v>
      </c>
      <c r="T533" s="2">
        <v>6980</v>
      </c>
      <c r="U533" s="2">
        <v>0</v>
      </c>
      <c r="V533" s="2"/>
      <c r="W533" s="2">
        <v>6884</v>
      </c>
      <c r="X533" s="2">
        <v>5588</v>
      </c>
      <c r="Y533" s="2">
        <v>0</v>
      </c>
      <c r="Z533" s="2">
        <v>0</v>
      </c>
      <c r="AA533" s="2">
        <v>0</v>
      </c>
      <c r="AB533" s="2"/>
      <c r="AC533" s="2">
        <v>13231</v>
      </c>
      <c r="AD533" s="2">
        <v>10960</v>
      </c>
      <c r="AE533" s="2">
        <v>8759</v>
      </c>
      <c r="AF533" s="2">
        <v>0</v>
      </c>
      <c r="AG533" s="2">
        <v>0</v>
      </c>
      <c r="AH533" s="2"/>
      <c r="AI533" s="2">
        <v>0</v>
      </c>
      <c r="AJ533" s="2">
        <v>0</v>
      </c>
      <c r="AK533" s="2">
        <v>0</v>
      </c>
      <c r="AL533" s="2">
        <v>0</v>
      </c>
      <c r="AM533" s="2">
        <v>0</v>
      </c>
    </row>
    <row r="534" spans="1:39">
      <c r="A534" s="349">
        <v>95517</v>
      </c>
      <c r="B534" s="342" t="s">
        <v>1225</v>
      </c>
      <c r="C534" s="358">
        <v>1.84E-5</v>
      </c>
      <c r="E534" s="2">
        <v>8228</v>
      </c>
      <c r="F534" s="2">
        <v>8110</v>
      </c>
      <c r="G534" s="2">
        <v>5268</v>
      </c>
      <c r="H534" s="2">
        <v>2738</v>
      </c>
      <c r="I534" s="2">
        <v>0</v>
      </c>
      <c r="J534" s="2"/>
      <c r="K534" s="2">
        <v>3412</v>
      </c>
      <c r="L534" s="2">
        <v>3143</v>
      </c>
      <c r="M534" s="2">
        <v>1749</v>
      </c>
      <c r="N534" s="2">
        <v>0</v>
      </c>
      <c r="O534" s="2">
        <v>0</v>
      </c>
      <c r="P534" s="2"/>
      <c r="Q534" s="2">
        <v>221</v>
      </c>
      <c r="R534" s="2">
        <v>3093</v>
      </c>
      <c r="S534" s="2">
        <v>3200</v>
      </c>
      <c r="T534" s="2">
        <v>2738</v>
      </c>
      <c r="U534" s="2">
        <v>0</v>
      </c>
      <c r="V534" s="2"/>
      <c r="W534" s="2">
        <v>2701</v>
      </c>
      <c r="X534" s="2">
        <v>2192</v>
      </c>
      <c r="Y534" s="2">
        <v>0</v>
      </c>
      <c r="Z534" s="2">
        <v>0</v>
      </c>
      <c r="AA534" s="2">
        <v>0</v>
      </c>
      <c r="AB534" s="2"/>
      <c r="AC534" s="2">
        <v>2536</v>
      </c>
      <c r="AD534" s="2">
        <v>324</v>
      </c>
      <c r="AE534" s="2">
        <v>324</v>
      </c>
      <c r="AF534" s="2">
        <v>0</v>
      </c>
      <c r="AG534" s="2">
        <v>0</v>
      </c>
      <c r="AH534" s="2"/>
      <c r="AI534" s="2">
        <v>-642</v>
      </c>
      <c r="AJ534" s="2">
        <v>-642</v>
      </c>
      <c r="AK534" s="2">
        <v>-5</v>
      </c>
      <c r="AL534" s="2">
        <v>0</v>
      </c>
      <c r="AM534" s="2">
        <v>-642</v>
      </c>
    </row>
    <row r="535" spans="1:39">
      <c r="A535" s="349">
        <v>95601</v>
      </c>
      <c r="B535" s="342" t="s">
        <v>1226</v>
      </c>
      <c r="C535" s="358">
        <v>2.3888999999999998E-3</v>
      </c>
      <c r="E535" s="2">
        <v>759356</v>
      </c>
      <c r="F535" s="2">
        <v>1036109</v>
      </c>
      <c r="G535" s="2">
        <v>589249</v>
      </c>
      <c r="H535" s="2">
        <v>355521</v>
      </c>
      <c r="I535" s="2">
        <v>0</v>
      </c>
      <c r="J535" s="2"/>
      <c r="K535" s="2">
        <v>442924</v>
      </c>
      <c r="L535" s="2">
        <v>408010</v>
      </c>
      <c r="M535" s="2">
        <v>227084</v>
      </c>
      <c r="N535" s="2">
        <v>0</v>
      </c>
      <c r="O535" s="2">
        <v>0</v>
      </c>
      <c r="P535" s="2"/>
      <c r="Q535" s="2">
        <v>28712</v>
      </c>
      <c r="R535" s="2">
        <v>401586</v>
      </c>
      <c r="S535" s="2">
        <v>415473</v>
      </c>
      <c r="T535" s="2">
        <v>355521</v>
      </c>
      <c r="U535" s="2">
        <v>0</v>
      </c>
      <c r="V535" s="2"/>
      <c r="W535" s="2">
        <v>350633</v>
      </c>
      <c r="X535" s="2">
        <v>284654</v>
      </c>
      <c r="Y535" s="2">
        <v>0</v>
      </c>
      <c r="Z535" s="2">
        <v>0</v>
      </c>
      <c r="AA535" s="2">
        <v>0</v>
      </c>
      <c r="AB535" s="2"/>
      <c r="AC535" s="2">
        <v>0</v>
      </c>
      <c r="AD535" s="2">
        <v>0</v>
      </c>
      <c r="AE535" s="2">
        <v>0</v>
      </c>
      <c r="AF535" s="2">
        <v>0</v>
      </c>
      <c r="AG535" s="2">
        <v>0</v>
      </c>
      <c r="AH535" s="2"/>
      <c r="AI535" s="2">
        <v>-62913</v>
      </c>
      <c r="AJ535" s="2">
        <v>-58141</v>
      </c>
      <c r="AK535" s="2">
        <v>-53308</v>
      </c>
      <c r="AL535" s="2">
        <v>0</v>
      </c>
      <c r="AM535" s="2">
        <v>-58141</v>
      </c>
    </row>
    <row r="536" spans="1:39">
      <c r="A536" s="349">
        <v>95611</v>
      </c>
      <c r="B536" s="342" t="s">
        <v>1227</v>
      </c>
      <c r="C536" s="358">
        <v>3.3310000000000002E-4</v>
      </c>
      <c r="E536" s="2">
        <v>102377</v>
      </c>
      <c r="F536" s="2">
        <v>138479</v>
      </c>
      <c r="G536" s="2">
        <v>76160</v>
      </c>
      <c r="H536" s="2">
        <v>49573</v>
      </c>
      <c r="I536" s="2">
        <v>0</v>
      </c>
      <c r="J536" s="2"/>
      <c r="K536" s="2">
        <v>61760</v>
      </c>
      <c r="L536" s="2">
        <v>56891</v>
      </c>
      <c r="M536" s="2">
        <v>31664</v>
      </c>
      <c r="N536" s="2">
        <v>0</v>
      </c>
      <c r="O536" s="2">
        <v>0</v>
      </c>
      <c r="P536" s="2"/>
      <c r="Q536" s="2">
        <v>4004</v>
      </c>
      <c r="R536" s="2">
        <v>55996</v>
      </c>
      <c r="S536" s="2">
        <v>57932</v>
      </c>
      <c r="T536" s="2">
        <v>49573</v>
      </c>
      <c r="U536" s="2">
        <v>0</v>
      </c>
      <c r="V536" s="2"/>
      <c r="W536" s="2">
        <v>48891</v>
      </c>
      <c r="X536" s="2">
        <v>39691</v>
      </c>
      <c r="Y536" s="2">
        <v>0</v>
      </c>
      <c r="Z536" s="2">
        <v>0</v>
      </c>
      <c r="AA536" s="2">
        <v>0</v>
      </c>
      <c r="AB536" s="2"/>
      <c r="AC536" s="2">
        <v>2658</v>
      </c>
      <c r="AD536" s="2">
        <v>835</v>
      </c>
      <c r="AE536" s="2">
        <v>833</v>
      </c>
      <c r="AF536" s="2">
        <v>0</v>
      </c>
      <c r="AG536" s="2">
        <v>0</v>
      </c>
      <c r="AH536" s="2"/>
      <c r="AI536" s="2">
        <v>-14936</v>
      </c>
      <c r="AJ536" s="2">
        <v>-14934</v>
      </c>
      <c r="AK536" s="2">
        <v>-14269</v>
      </c>
      <c r="AL536" s="2">
        <v>0</v>
      </c>
      <c r="AM536" s="2">
        <v>-14934</v>
      </c>
    </row>
    <row r="537" spans="1:39">
      <c r="A537" s="349">
        <v>95617</v>
      </c>
      <c r="B537" s="342" t="s">
        <v>1228</v>
      </c>
      <c r="C537" s="358">
        <v>1.3900000000000001E-5</v>
      </c>
      <c r="E537" s="2">
        <v>5316</v>
      </c>
      <c r="F537" s="2">
        <v>6785</v>
      </c>
      <c r="G537" s="2">
        <v>4052</v>
      </c>
      <c r="H537" s="2">
        <v>2069</v>
      </c>
      <c r="I537" s="2">
        <v>0</v>
      </c>
      <c r="J537" s="2"/>
      <c r="K537" s="2">
        <v>2577</v>
      </c>
      <c r="L537" s="2">
        <v>2374</v>
      </c>
      <c r="M537" s="2">
        <v>1321</v>
      </c>
      <c r="N537" s="2">
        <v>0</v>
      </c>
      <c r="O537" s="2">
        <v>0</v>
      </c>
      <c r="P537" s="2"/>
      <c r="Q537" s="2">
        <v>167</v>
      </c>
      <c r="R537" s="2">
        <v>2337</v>
      </c>
      <c r="S537" s="2">
        <v>2417</v>
      </c>
      <c r="T537" s="2">
        <v>2069</v>
      </c>
      <c r="U537" s="2">
        <v>0</v>
      </c>
      <c r="V537" s="2"/>
      <c r="W537" s="2">
        <v>2040</v>
      </c>
      <c r="X537" s="2">
        <v>1656</v>
      </c>
      <c r="Y537" s="2">
        <v>0</v>
      </c>
      <c r="Z537" s="2">
        <v>0</v>
      </c>
      <c r="AA537" s="2">
        <v>0</v>
      </c>
      <c r="AB537" s="2"/>
      <c r="AC537" s="2">
        <v>532</v>
      </c>
      <c r="AD537" s="2">
        <v>418</v>
      </c>
      <c r="AE537" s="2">
        <v>314</v>
      </c>
      <c r="AF537" s="2">
        <v>0</v>
      </c>
      <c r="AG537" s="2">
        <v>0</v>
      </c>
      <c r="AH537" s="2"/>
      <c r="AI537" s="2">
        <v>0</v>
      </c>
      <c r="AJ537" s="2">
        <v>0</v>
      </c>
      <c r="AK537" s="2">
        <v>0</v>
      </c>
      <c r="AL537" s="2">
        <v>0</v>
      </c>
      <c r="AM537" s="2">
        <v>0</v>
      </c>
    </row>
    <row r="538" spans="1:39">
      <c r="A538" s="349">
        <v>95621</v>
      </c>
      <c r="B538" s="342" t="s">
        <v>1229</v>
      </c>
      <c r="C538" s="358">
        <v>4.6490000000000002E-4</v>
      </c>
      <c r="E538" s="2">
        <v>175576</v>
      </c>
      <c r="F538" s="2">
        <v>229045</v>
      </c>
      <c r="G538" s="2">
        <v>130549</v>
      </c>
      <c r="H538" s="2">
        <v>69187</v>
      </c>
      <c r="I538" s="2">
        <v>0</v>
      </c>
      <c r="J538" s="2"/>
      <c r="K538" s="2">
        <v>86197</v>
      </c>
      <c r="L538" s="2">
        <v>79402</v>
      </c>
      <c r="M538" s="2">
        <v>44192</v>
      </c>
      <c r="N538" s="2">
        <v>0</v>
      </c>
      <c r="O538" s="2">
        <v>0</v>
      </c>
      <c r="P538" s="2"/>
      <c r="Q538" s="2">
        <v>5588</v>
      </c>
      <c r="R538" s="2">
        <v>78152</v>
      </c>
      <c r="S538" s="2">
        <v>80854</v>
      </c>
      <c r="T538" s="2">
        <v>69187</v>
      </c>
      <c r="U538" s="2">
        <v>0</v>
      </c>
      <c r="V538" s="2"/>
      <c r="W538" s="2">
        <v>68236</v>
      </c>
      <c r="X538" s="2">
        <v>55396</v>
      </c>
      <c r="Y538" s="2">
        <v>0</v>
      </c>
      <c r="Z538" s="2">
        <v>0</v>
      </c>
      <c r="AA538" s="2">
        <v>0</v>
      </c>
      <c r="AB538" s="2"/>
      <c r="AC538" s="2">
        <v>21558</v>
      </c>
      <c r="AD538" s="2">
        <v>21557</v>
      </c>
      <c r="AE538" s="2">
        <v>10966</v>
      </c>
      <c r="AF538" s="2">
        <v>0</v>
      </c>
      <c r="AG538" s="2">
        <v>0</v>
      </c>
      <c r="AH538" s="2"/>
      <c r="AI538" s="2">
        <v>-6003</v>
      </c>
      <c r="AJ538" s="2">
        <v>-5462</v>
      </c>
      <c r="AK538" s="2">
        <v>-5463</v>
      </c>
      <c r="AL538" s="2">
        <v>0</v>
      </c>
      <c r="AM538" s="2">
        <v>-5462</v>
      </c>
    </row>
    <row r="539" spans="1:39">
      <c r="A539" s="349">
        <v>95701</v>
      </c>
      <c r="B539" s="342" t="s">
        <v>1230</v>
      </c>
      <c r="C539" s="358">
        <v>1.2185E-3</v>
      </c>
      <c r="E539" s="2">
        <v>372692</v>
      </c>
      <c r="F539" s="2">
        <v>503490</v>
      </c>
      <c r="G539" s="2">
        <v>292407</v>
      </c>
      <c r="H539" s="2">
        <v>181340</v>
      </c>
      <c r="I539" s="2">
        <v>0</v>
      </c>
      <c r="J539" s="2"/>
      <c r="K539" s="2">
        <v>225921</v>
      </c>
      <c r="L539" s="2">
        <v>208112</v>
      </c>
      <c r="M539" s="2">
        <v>115828</v>
      </c>
      <c r="N539" s="2">
        <v>0</v>
      </c>
      <c r="O539" s="2">
        <v>0</v>
      </c>
      <c r="P539" s="2"/>
      <c r="Q539" s="2">
        <v>14645</v>
      </c>
      <c r="R539" s="2">
        <v>204836</v>
      </c>
      <c r="S539" s="2">
        <v>211919</v>
      </c>
      <c r="T539" s="2">
        <v>181340</v>
      </c>
      <c r="U539" s="2">
        <v>0</v>
      </c>
      <c r="V539" s="2"/>
      <c r="W539" s="2">
        <v>178847</v>
      </c>
      <c r="X539" s="2">
        <v>145193</v>
      </c>
      <c r="Y539" s="2">
        <v>0</v>
      </c>
      <c r="Z539" s="2">
        <v>0</v>
      </c>
      <c r="AA539" s="2">
        <v>0</v>
      </c>
      <c r="AB539" s="2"/>
      <c r="AC539" s="2">
        <v>7932</v>
      </c>
      <c r="AD539" s="2">
        <v>0</v>
      </c>
      <c r="AE539" s="2">
        <v>0</v>
      </c>
      <c r="AF539" s="2">
        <v>0</v>
      </c>
      <c r="AG539" s="2">
        <v>0</v>
      </c>
      <c r="AH539" s="2"/>
      <c r="AI539" s="2">
        <v>-54653</v>
      </c>
      <c r="AJ539" s="2">
        <v>-54651</v>
      </c>
      <c r="AK539" s="2">
        <v>-35340</v>
      </c>
      <c r="AL539" s="2">
        <v>0</v>
      </c>
      <c r="AM539" s="2">
        <v>-54651</v>
      </c>
    </row>
    <row r="540" spans="1:39">
      <c r="A540" s="349">
        <v>95711</v>
      </c>
      <c r="B540" s="342" t="s">
        <v>1231</v>
      </c>
      <c r="C540" s="358">
        <v>1.4889999999999999E-4</v>
      </c>
      <c r="E540" s="2">
        <v>46637</v>
      </c>
      <c r="F540" s="2">
        <v>65031</v>
      </c>
      <c r="G540" s="2">
        <v>38074</v>
      </c>
      <c r="H540" s="2">
        <v>22160</v>
      </c>
      <c r="I540" s="2">
        <v>0</v>
      </c>
      <c r="J540" s="2"/>
      <c r="K540" s="2">
        <v>27607</v>
      </c>
      <c r="L540" s="2">
        <v>25431</v>
      </c>
      <c r="M540" s="2">
        <v>14154</v>
      </c>
      <c r="N540" s="2">
        <v>0</v>
      </c>
      <c r="O540" s="2">
        <v>0</v>
      </c>
      <c r="P540" s="2"/>
      <c r="Q540" s="2">
        <v>1790</v>
      </c>
      <c r="R540" s="2">
        <v>25031</v>
      </c>
      <c r="S540" s="2">
        <v>25896</v>
      </c>
      <c r="T540" s="2">
        <v>22160</v>
      </c>
      <c r="U540" s="2">
        <v>0</v>
      </c>
      <c r="V540" s="2"/>
      <c r="W540" s="2">
        <v>21855</v>
      </c>
      <c r="X540" s="2">
        <v>17742</v>
      </c>
      <c r="Y540" s="2">
        <v>0</v>
      </c>
      <c r="Z540" s="2">
        <v>0</v>
      </c>
      <c r="AA540" s="2">
        <v>0</v>
      </c>
      <c r="AB540" s="2"/>
      <c r="AC540" s="2">
        <v>0</v>
      </c>
      <c r="AD540" s="2">
        <v>0</v>
      </c>
      <c r="AE540" s="2">
        <v>0</v>
      </c>
      <c r="AF540" s="2">
        <v>0</v>
      </c>
      <c r="AG540" s="2">
        <v>0</v>
      </c>
      <c r="AH540" s="2"/>
      <c r="AI540" s="2">
        <v>-4615</v>
      </c>
      <c r="AJ540" s="2">
        <v>-3173</v>
      </c>
      <c r="AK540" s="2">
        <v>-1976</v>
      </c>
      <c r="AL540" s="2">
        <v>0</v>
      </c>
      <c r="AM540" s="2">
        <v>-3173</v>
      </c>
    </row>
    <row r="541" spans="1:39">
      <c r="A541" s="349">
        <v>95721</v>
      </c>
      <c r="B541" s="342" t="s">
        <v>1232</v>
      </c>
      <c r="C541" s="358">
        <v>5.1400000000000003E-5</v>
      </c>
      <c r="E541" s="2">
        <v>10720</v>
      </c>
      <c r="F541" s="2">
        <v>17523</v>
      </c>
      <c r="G541" s="2">
        <v>8196</v>
      </c>
      <c r="H541" s="2">
        <v>7649</v>
      </c>
      <c r="I541" s="2">
        <v>0</v>
      </c>
      <c r="J541" s="2"/>
      <c r="K541" s="2">
        <v>9530</v>
      </c>
      <c r="L541" s="2">
        <v>8779</v>
      </c>
      <c r="M541" s="2">
        <v>4886</v>
      </c>
      <c r="N541" s="2">
        <v>0</v>
      </c>
      <c r="O541" s="2">
        <v>0</v>
      </c>
      <c r="P541" s="2"/>
      <c r="Q541" s="2">
        <v>618</v>
      </c>
      <c r="R541" s="2">
        <v>8641</v>
      </c>
      <c r="S541" s="2">
        <v>8939</v>
      </c>
      <c r="T541" s="2">
        <v>7649</v>
      </c>
      <c r="U541" s="2">
        <v>0</v>
      </c>
      <c r="V541" s="2"/>
      <c r="W541" s="2">
        <v>7544</v>
      </c>
      <c r="X541" s="2">
        <v>6125</v>
      </c>
      <c r="Y541" s="2">
        <v>0</v>
      </c>
      <c r="Z541" s="2">
        <v>0</v>
      </c>
      <c r="AA541" s="2">
        <v>0</v>
      </c>
      <c r="AB541" s="2"/>
      <c r="AC541" s="2">
        <v>0</v>
      </c>
      <c r="AD541" s="2">
        <v>0</v>
      </c>
      <c r="AE541" s="2">
        <v>0</v>
      </c>
      <c r="AF541" s="2">
        <v>0</v>
      </c>
      <c r="AG541" s="2">
        <v>0</v>
      </c>
      <c r="AH541" s="2"/>
      <c r="AI541" s="2">
        <v>-6972</v>
      </c>
      <c r="AJ541" s="2">
        <v>-6022</v>
      </c>
      <c r="AK541" s="2">
        <v>-5629</v>
      </c>
      <c r="AL541" s="2">
        <v>0</v>
      </c>
      <c r="AM541" s="2">
        <v>-6022</v>
      </c>
    </row>
    <row r="542" spans="1:39">
      <c r="A542" s="349">
        <v>95733</v>
      </c>
      <c r="B542" s="342" t="s">
        <v>1233</v>
      </c>
      <c r="C542" s="358">
        <v>1.33E-5</v>
      </c>
      <c r="E542" s="2">
        <v>4179</v>
      </c>
      <c r="F542" s="2">
        <v>5761</v>
      </c>
      <c r="G542" s="2">
        <v>3234</v>
      </c>
      <c r="H542" s="2">
        <v>1979</v>
      </c>
      <c r="I542" s="2">
        <v>0</v>
      </c>
      <c r="J542" s="2"/>
      <c r="K542" s="2">
        <v>2466</v>
      </c>
      <c r="L542" s="2">
        <v>2272</v>
      </c>
      <c r="M542" s="2">
        <v>1264</v>
      </c>
      <c r="N542" s="2">
        <v>0</v>
      </c>
      <c r="O542" s="2">
        <v>0</v>
      </c>
      <c r="P542" s="2"/>
      <c r="Q542" s="2">
        <v>160</v>
      </c>
      <c r="R542" s="2">
        <v>2236</v>
      </c>
      <c r="S542" s="2">
        <v>2313</v>
      </c>
      <c r="T542" s="2">
        <v>1979</v>
      </c>
      <c r="U542" s="2">
        <v>0</v>
      </c>
      <c r="V542" s="2"/>
      <c r="W542" s="2">
        <v>1952</v>
      </c>
      <c r="X542" s="2">
        <v>1585</v>
      </c>
      <c r="Y542" s="2">
        <v>0</v>
      </c>
      <c r="Z542" s="2">
        <v>0</v>
      </c>
      <c r="AA542" s="2">
        <v>0</v>
      </c>
      <c r="AB542" s="2"/>
      <c r="AC542" s="2">
        <v>14</v>
      </c>
      <c r="AD542" s="2">
        <v>13</v>
      </c>
      <c r="AE542" s="2">
        <v>0</v>
      </c>
      <c r="AF542" s="2">
        <v>0</v>
      </c>
      <c r="AG542" s="2">
        <v>0</v>
      </c>
      <c r="AH542" s="2"/>
      <c r="AI542" s="2">
        <v>-413</v>
      </c>
      <c r="AJ542" s="2">
        <v>-345</v>
      </c>
      <c r="AK542" s="2">
        <v>-343</v>
      </c>
      <c r="AL542" s="2">
        <v>0</v>
      </c>
      <c r="AM542" s="2">
        <v>-345</v>
      </c>
    </row>
    <row r="543" spans="1:39">
      <c r="A543" s="349">
        <v>95801</v>
      </c>
      <c r="B543" s="342" t="s">
        <v>1234</v>
      </c>
      <c r="C543" s="358">
        <v>9.2270000000000004E-4</v>
      </c>
      <c r="E543" s="2">
        <v>335337</v>
      </c>
      <c r="F543" s="2">
        <v>427195</v>
      </c>
      <c r="G543" s="2">
        <v>247100</v>
      </c>
      <c r="H543" s="2">
        <v>137318</v>
      </c>
      <c r="I543" s="2">
        <v>0</v>
      </c>
      <c r="J543" s="2"/>
      <c r="K543" s="2">
        <v>171077</v>
      </c>
      <c r="L543" s="2">
        <v>157592</v>
      </c>
      <c r="M543" s="2">
        <v>87710</v>
      </c>
      <c r="N543" s="2">
        <v>0</v>
      </c>
      <c r="O543" s="2">
        <v>0</v>
      </c>
      <c r="P543" s="2"/>
      <c r="Q543" s="2">
        <v>11090</v>
      </c>
      <c r="R543" s="2">
        <v>155110</v>
      </c>
      <c r="S543" s="2">
        <v>160474</v>
      </c>
      <c r="T543" s="2">
        <v>137318</v>
      </c>
      <c r="U543" s="2">
        <v>0</v>
      </c>
      <c r="V543" s="2"/>
      <c r="W543" s="2">
        <v>135430</v>
      </c>
      <c r="X543" s="2">
        <v>109946</v>
      </c>
      <c r="Y543" s="2">
        <v>0</v>
      </c>
      <c r="Z543" s="2">
        <v>0</v>
      </c>
      <c r="AA543" s="2">
        <v>0</v>
      </c>
      <c r="AB543" s="2"/>
      <c r="AC543" s="2">
        <v>18827</v>
      </c>
      <c r="AD543" s="2">
        <v>5634</v>
      </c>
      <c r="AE543" s="2">
        <v>0</v>
      </c>
      <c r="AF543" s="2">
        <v>0</v>
      </c>
      <c r="AG543" s="2">
        <v>0</v>
      </c>
      <c r="AH543" s="2"/>
      <c r="AI543" s="2">
        <v>-1087</v>
      </c>
      <c r="AJ543" s="2">
        <v>-1087</v>
      </c>
      <c r="AK543" s="2">
        <v>-1084</v>
      </c>
      <c r="AL543" s="2">
        <v>0</v>
      </c>
      <c r="AM543" s="2">
        <v>-1087</v>
      </c>
    </row>
    <row r="544" spans="1:39">
      <c r="A544" s="349">
        <v>95802</v>
      </c>
      <c r="B544" s="342" t="s">
        <v>3680</v>
      </c>
      <c r="C544" s="358">
        <v>4.6999999999999999E-6</v>
      </c>
      <c r="E544" s="2">
        <v>4166</v>
      </c>
      <c r="F544" s="2">
        <v>4351</v>
      </c>
      <c r="G544" s="2">
        <v>2961</v>
      </c>
      <c r="H544" s="2">
        <v>699</v>
      </c>
      <c r="I544" s="2">
        <v>0</v>
      </c>
      <c r="J544" s="2"/>
      <c r="K544" s="2">
        <v>871</v>
      </c>
      <c r="L544" s="2">
        <v>803</v>
      </c>
      <c r="M544" s="2">
        <v>447</v>
      </c>
      <c r="N544" s="2">
        <v>0</v>
      </c>
      <c r="O544" s="2">
        <v>0</v>
      </c>
      <c r="P544" s="2"/>
      <c r="Q544" s="2">
        <v>56</v>
      </c>
      <c r="R544" s="2">
        <v>790</v>
      </c>
      <c r="S544" s="2">
        <v>817</v>
      </c>
      <c r="T544" s="2">
        <v>699</v>
      </c>
      <c r="U544" s="2">
        <v>0</v>
      </c>
      <c r="V544" s="2"/>
      <c r="W544" s="2">
        <v>690</v>
      </c>
      <c r="X544" s="2">
        <v>560</v>
      </c>
      <c r="Y544" s="2">
        <v>0</v>
      </c>
      <c r="Z544" s="2">
        <v>0</v>
      </c>
      <c r="AA544" s="2">
        <v>0</v>
      </c>
      <c r="AB544" s="2"/>
      <c r="AC544" s="2">
        <v>2549</v>
      </c>
      <c r="AD544" s="2">
        <v>2198</v>
      </c>
      <c r="AE544" s="2">
        <v>1697</v>
      </c>
      <c r="AF544" s="2">
        <v>0</v>
      </c>
      <c r="AG544" s="2">
        <v>0</v>
      </c>
      <c r="AH544" s="2"/>
      <c r="AI544" s="2">
        <v>0</v>
      </c>
      <c r="AJ544" s="2">
        <v>0</v>
      </c>
      <c r="AK544" s="2">
        <v>0</v>
      </c>
      <c r="AL544" s="2">
        <v>0</v>
      </c>
      <c r="AM544" s="2">
        <v>0</v>
      </c>
    </row>
    <row r="545" spans="1:39">
      <c r="A545" s="349">
        <v>95804</v>
      </c>
      <c r="B545" s="342" t="s">
        <v>1236</v>
      </c>
      <c r="C545" s="358">
        <v>2.6100000000000001E-5</v>
      </c>
      <c r="E545" s="2">
        <v>8314</v>
      </c>
      <c r="F545" s="2">
        <v>10844</v>
      </c>
      <c r="G545" s="2">
        <v>6500</v>
      </c>
      <c r="H545" s="2">
        <v>3884</v>
      </c>
      <c r="I545" s="2">
        <v>0</v>
      </c>
      <c r="J545" s="2"/>
      <c r="K545" s="2">
        <v>4839</v>
      </c>
      <c r="L545" s="2">
        <v>4458</v>
      </c>
      <c r="M545" s="2">
        <v>2481</v>
      </c>
      <c r="N545" s="2">
        <v>0</v>
      </c>
      <c r="O545" s="2">
        <v>0</v>
      </c>
      <c r="P545" s="2"/>
      <c r="Q545" s="2">
        <v>314</v>
      </c>
      <c r="R545" s="2">
        <v>4388</v>
      </c>
      <c r="S545" s="2">
        <v>4539</v>
      </c>
      <c r="T545" s="2">
        <v>3884</v>
      </c>
      <c r="U545" s="2">
        <v>0</v>
      </c>
      <c r="V545" s="2"/>
      <c r="W545" s="2">
        <v>3831</v>
      </c>
      <c r="X545" s="2">
        <v>3110</v>
      </c>
      <c r="Y545" s="2">
        <v>0</v>
      </c>
      <c r="Z545" s="2">
        <v>0</v>
      </c>
      <c r="AA545" s="2">
        <v>0</v>
      </c>
      <c r="AB545" s="2"/>
      <c r="AC545" s="2">
        <v>653</v>
      </c>
      <c r="AD545" s="2">
        <v>212</v>
      </c>
      <c r="AE545" s="2">
        <v>214</v>
      </c>
      <c r="AF545" s="2">
        <v>0</v>
      </c>
      <c r="AG545" s="2">
        <v>0</v>
      </c>
      <c r="AH545" s="2"/>
      <c r="AI545" s="2">
        <v>-1323</v>
      </c>
      <c r="AJ545" s="2">
        <v>-1324</v>
      </c>
      <c r="AK545" s="2">
        <v>-734</v>
      </c>
      <c r="AL545" s="2">
        <v>0</v>
      </c>
      <c r="AM545" s="2">
        <v>-1324</v>
      </c>
    </row>
    <row r="546" spans="1:39">
      <c r="A546" s="349">
        <v>95811</v>
      </c>
      <c r="B546" s="342" t="s">
        <v>1237</v>
      </c>
      <c r="C546" s="358">
        <v>5.5400000000000002E-4</v>
      </c>
      <c r="E546" s="2">
        <v>197441</v>
      </c>
      <c r="F546" s="2">
        <v>260985</v>
      </c>
      <c r="G546" s="2">
        <v>156034</v>
      </c>
      <c r="H546" s="2">
        <v>82447</v>
      </c>
      <c r="I546" s="2">
        <v>0</v>
      </c>
      <c r="J546" s="2"/>
      <c r="K546" s="2">
        <v>102717</v>
      </c>
      <c r="L546" s="2">
        <v>94620</v>
      </c>
      <c r="M546" s="2">
        <v>52662</v>
      </c>
      <c r="N546" s="2">
        <v>0</v>
      </c>
      <c r="O546" s="2">
        <v>0</v>
      </c>
      <c r="P546" s="2"/>
      <c r="Q546" s="2">
        <v>6659</v>
      </c>
      <c r="R546" s="2">
        <v>93130</v>
      </c>
      <c r="S546" s="2">
        <v>96351</v>
      </c>
      <c r="T546" s="2">
        <v>82447</v>
      </c>
      <c r="U546" s="2">
        <v>0</v>
      </c>
      <c r="V546" s="2"/>
      <c r="W546" s="2">
        <v>81314</v>
      </c>
      <c r="X546" s="2">
        <v>66013</v>
      </c>
      <c r="Y546" s="2">
        <v>0</v>
      </c>
      <c r="Z546" s="2">
        <v>0</v>
      </c>
      <c r="AA546" s="2">
        <v>0</v>
      </c>
      <c r="AB546" s="2"/>
      <c r="AC546" s="2">
        <v>7220</v>
      </c>
      <c r="AD546" s="2">
        <v>7222</v>
      </c>
      <c r="AE546" s="2">
        <v>7021</v>
      </c>
      <c r="AF546" s="2">
        <v>0</v>
      </c>
      <c r="AG546" s="2">
        <v>0</v>
      </c>
      <c r="AH546" s="2"/>
      <c r="AI546" s="2">
        <v>-469</v>
      </c>
      <c r="AJ546" s="2">
        <v>0</v>
      </c>
      <c r="AK546" s="2">
        <v>0</v>
      </c>
      <c r="AL546" s="2">
        <v>0</v>
      </c>
      <c r="AM546" s="2">
        <v>0</v>
      </c>
    </row>
    <row r="547" spans="1:39">
      <c r="A547" s="349">
        <v>95813</v>
      </c>
      <c r="B547" s="342" t="s">
        <v>1238</v>
      </c>
      <c r="C547" s="358">
        <v>4.21E-5</v>
      </c>
      <c r="E547" s="2">
        <v>40851</v>
      </c>
      <c r="F547" s="2">
        <v>36729</v>
      </c>
      <c r="G547" s="2">
        <v>19107</v>
      </c>
      <c r="H547" s="2">
        <v>6265</v>
      </c>
      <c r="I547" s="2">
        <v>0</v>
      </c>
      <c r="J547" s="2"/>
      <c r="K547" s="2">
        <v>7806</v>
      </c>
      <c r="L547" s="2">
        <v>7190</v>
      </c>
      <c r="M547" s="2">
        <v>4002</v>
      </c>
      <c r="N547" s="2">
        <v>0</v>
      </c>
      <c r="O547" s="2">
        <v>0</v>
      </c>
      <c r="P547" s="2"/>
      <c r="Q547" s="2">
        <v>506</v>
      </c>
      <c r="R547" s="2">
        <v>7077</v>
      </c>
      <c r="S547" s="2">
        <v>7322</v>
      </c>
      <c r="T547" s="2">
        <v>6265</v>
      </c>
      <c r="U547" s="2">
        <v>0</v>
      </c>
      <c r="V547" s="2"/>
      <c r="W547" s="2">
        <v>6179</v>
      </c>
      <c r="X547" s="2">
        <v>5017</v>
      </c>
      <c r="Y547" s="2">
        <v>0</v>
      </c>
      <c r="Z547" s="2">
        <v>0</v>
      </c>
      <c r="AA547" s="2">
        <v>0</v>
      </c>
      <c r="AB547" s="2"/>
      <c r="AC547" s="2">
        <v>26360</v>
      </c>
      <c r="AD547" s="2">
        <v>17445</v>
      </c>
      <c r="AE547" s="2">
        <v>7783</v>
      </c>
      <c r="AF547" s="2">
        <v>0</v>
      </c>
      <c r="AG547" s="2">
        <v>0</v>
      </c>
      <c r="AH547" s="2"/>
      <c r="AI547" s="2">
        <v>0</v>
      </c>
      <c r="AJ547" s="2">
        <v>0</v>
      </c>
      <c r="AK547" s="2">
        <v>0</v>
      </c>
      <c r="AL547" s="2">
        <v>0</v>
      </c>
      <c r="AM547" s="2">
        <v>0</v>
      </c>
    </row>
    <row r="548" spans="1:39">
      <c r="A548" s="349">
        <v>95821</v>
      </c>
      <c r="B548" s="342" t="s">
        <v>1239</v>
      </c>
      <c r="C548" s="358">
        <v>5.9000000000000003E-6</v>
      </c>
      <c r="E548" s="2">
        <v>3258</v>
      </c>
      <c r="F548" s="2">
        <v>4095</v>
      </c>
      <c r="G548" s="2">
        <v>2573</v>
      </c>
      <c r="H548" s="2">
        <v>878</v>
      </c>
      <c r="I548" s="2">
        <v>0</v>
      </c>
      <c r="J548" s="2"/>
      <c r="K548" s="2">
        <v>1094</v>
      </c>
      <c r="L548" s="2">
        <v>1008</v>
      </c>
      <c r="M548" s="2">
        <v>561</v>
      </c>
      <c r="N548" s="2">
        <v>0</v>
      </c>
      <c r="O548" s="2">
        <v>0</v>
      </c>
      <c r="P548" s="2"/>
      <c r="Q548" s="2">
        <v>71</v>
      </c>
      <c r="R548" s="2">
        <v>992</v>
      </c>
      <c r="S548" s="2">
        <v>1026</v>
      </c>
      <c r="T548" s="2">
        <v>878</v>
      </c>
      <c r="U548" s="2">
        <v>0</v>
      </c>
      <c r="V548" s="2"/>
      <c r="W548" s="2">
        <v>866</v>
      </c>
      <c r="X548" s="2">
        <v>703</v>
      </c>
      <c r="Y548" s="2">
        <v>0</v>
      </c>
      <c r="Z548" s="2">
        <v>0</v>
      </c>
      <c r="AA548" s="2">
        <v>0</v>
      </c>
      <c r="AB548" s="2"/>
      <c r="AC548" s="2">
        <v>1620</v>
      </c>
      <c r="AD548" s="2">
        <v>1622</v>
      </c>
      <c r="AE548" s="2">
        <v>1217</v>
      </c>
      <c r="AF548" s="2">
        <v>0</v>
      </c>
      <c r="AG548" s="2">
        <v>0</v>
      </c>
      <c r="AH548" s="2"/>
      <c r="AI548" s="2">
        <v>-393</v>
      </c>
      <c r="AJ548" s="2">
        <v>-230</v>
      </c>
      <c r="AK548" s="2">
        <v>-231</v>
      </c>
      <c r="AL548" s="2">
        <v>0</v>
      </c>
      <c r="AM548" s="2">
        <v>-230</v>
      </c>
    </row>
    <row r="549" spans="1:39">
      <c r="A549" s="349">
        <v>95831</v>
      </c>
      <c r="B549" s="342" t="s">
        <v>1240</v>
      </c>
      <c r="C549" s="358">
        <v>1.3699999999999999E-5</v>
      </c>
      <c r="E549" s="2">
        <v>12556</v>
      </c>
      <c r="F549" s="2">
        <v>10715</v>
      </c>
      <c r="G549" s="2">
        <v>5543</v>
      </c>
      <c r="H549" s="2">
        <v>2039</v>
      </c>
      <c r="I549" s="2">
        <v>0</v>
      </c>
      <c r="J549" s="2"/>
      <c r="K549" s="2">
        <v>2540</v>
      </c>
      <c r="L549" s="2">
        <v>2340</v>
      </c>
      <c r="M549" s="2">
        <v>1302</v>
      </c>
      <c r="N549" s="2">
        <v>0</v>
      </c>
      <c r="O549" s="2">
        <v>0</v>
      </c>
      <c r="P549" s="2"/>
      <c r="Q549" s="2">
        <v>165</v>
      </c>
      <c r="R549" s="2">
        <v>2303</v>
      </c>
      <c r="S549" s="2">
        <v>2383</v>
      </c>
      <c r="T549" s="2">
        <v>2039</v>
      </c>
      <c r="U549" s="2">
        <v>0</v>
      </c>
      <c r="V549" s="2"/>
      <c r="W549" s="2">
        <v>2011</v>
      </c>
      <c r="X549" s="2">
        <v>1632</v>
      </c>
      <c r="Y549" s="2">
        <v>0</v>
      </c>
      <c r="Z549" s="2">
        <v>0</v>
      </c>
      <c r="AA549" s="2">
        <v>0</v>
      </c>
      <c r="AB549" s="2"/>
      <c r="AC549" s="2">
        <v>7840</v>
      </c>
      <c r="AD549" s="2">
        <v>4440</v>
      </c>
      <c r="AE549" s="2">
        <v>1858</v>
      </c>
      <c r="AF549" s="2">
        <v>0</v>
      </c>
      <c r="AG549" s="2">
        <v>0</v>
      </c>
      <c r="AH549" s="2"/>
      <c r="AI549" s="2">
        <v>0</v>
      </c>
      <c r="AJ549" s="2">
        <v>0</v>
      </c>
      <c r="AK549" s="2">
        <v>0</v>
      </c>
      <c r="AL549" s="2">
        <v>0</v>
      </c>
      <c r="AM549" s="2">
        <v>0</v>
      </c>
    </row>
    <row r="550" spans="1:39">
      <c r="A550" s="349">
        <v>95841</v>
      </c>
      <c r="B550" s="342" t="s">
        <v>1241</v>
      </c>
      <c r="C550" s="358">
        <v>2.6400000000000001E-5</v>
      </c>
      <c r="E550" s="2">
        <v>10445</v>
      </c>
      <c r="F550" s="2">
        <v>13233</v>
      </c>
      <c r="G550" s="2">
        <v>7811</v>
      </c>
      <c r="H550" s="2">
        <v>3929</v>
      </c>
      <c r="I550" s="2">
        <v>0</v>
      </c>
      <c r="J550" s="2"/>
      <c r="K550" s="2">
        <v>4895</v>
      </c>
      <c r="L550" s="2">
        <v>4509</v>
      </c>
      <c r="M550" s="2">
        <v>2510</v>
      </c>
      <c r="N550" s="2">
        <v>0</v>
      </c>
      <c r="O550" s="2">
        <v>0</v>
      </c>
      <c r="P550" s="2"/>
      <c r="Q550" s="2">
        <v>317</v>
      </c>
      <c r="R550" s="2">
        <v>4438</v>
      </c>
      <c r="S550" s="2">
        <v>4591</v>
      </c>
      <c r="T550" s="2">
        <v>3929</v>
      </c>
      <c r="U550" s="2">
        <v>0</v>
      </c>
      <c r="V550" s="2"/>
      <c r="W550" s="2">
        <v>3875</v>
      </c>
      <c r="X550" s="2">
        <v>3146</v>
      </c>
      <c r="Y550" s="2">
        <v>0</v>
      </c>
      <c r="Z550" s="2">
        <v>0</v>
      </c>
      <c r="AA550" s="2">
        <v>0</v>
      </c>
      <c r="AB550" s="2"/>
      <c r="AC550" s="2">
        <v>1648</v>
      </c>
      <c r="AD550" s="2">
        <v>1430</v>
      </c>
      <c r="AE550" s="2">
        <v>1000</v>
      </c>
      <c r="AF550" s="2">
        <v>0</v>
      </c>
      <c r="AG550" s="2">
        <v>0</v>
      </c>
      <c r="AH550" s="2"/>
      <c r="AI550" s="2">
        <v>-290</v>
      </c>
      <c r="AJ550" s="2">
        <v>-290</v>
      </c>
      <c r="AK550" s="2">
        <v>-290</v>
      </c>
      <c r="AL550" s="2">
        <v>0</v>
      </c>
      <c r="AM550" s="2">
        <v>-290</v>
      </c>
    </row>
    <row r="551" spans="1:39">
      <c r="A551" s="349">
        <v>95851</v>
      </c>
      <c r="B551" s="342" t="s">
        <v>1242</v>
      </c>
      <c r="C551" s="358">
        <v>1.261E-4</v>
      </c>
      <c r="E551" s="2">
        <v>87739</v>
      </c>
      <c r="F551" s="2">
        <v>85355</v>
      </c>
      <c r="G551" s="2">
        <v>45286</v>
      </c>
      <c r="H551" s="2">
        <v>18766</v>
      </c>
      <c r="I551" s="2">
        <v>0</v>
      </c>
      <c r="J551" s="2"/>
      <c r="K551" s="2">
        <v>23380</v>
      </c>
      <c r="L551" s="2">
        <v>21537</v>
      </c>
      <c r="M551" s="2">
        <v>11987</v>
      </c>
      <c r="N551" s="2">
        <v>0</v>
      </c>
      <c r="O551" s="2">
        <v>0</v>
      </c>
      <c r="P551" s="2"/>
      <c r="Q551" s="2">
        <v>1516</v>
      </c>
      <c r="R551" s="2">
        <v>21198</v>
      </c>
      <c r="S551" s="2">
        <v>21931</v>
      </c>
      <c r="T551" s="2">
        <v>18766</v>
      </c>
      <c r="U551" s="2">
        <v>0</v>
      </c>
      <c r="V551" s="2"/>
      <c r="W551" s="2">
        <v>18508</v>
      </c>
      <c r="X551" s="2">
        <v>15026</v>
      </c>
      <c r="Y551" s="2">
        <v>0</v>
      </c>
      <c r="Z551" s="2">
        <v>0</v>
      </c>
      <c r="AA551" s="2">
        <v>0</v>
      </c>
      <c r="AB551" s="2"/>
      <c r="AC551" s="2">
        <v>44808</v>
      </c>
      <c r="AD551" s="2">
        <v>28067</v>
      </c>
      <c r="AE551" s="2">
        <v>11842</v>
      </c>
      <c r="AF551" s="2">
        <v>0</v>
      </c>
      <c r="AG551" s="2">
        <v>0</v>
      </c>
      <c r="AH551" s="2"/>
      <c r="AI551" s="2">
        <v>-473</v>
      </c>
      <c r="AJ551" s="2">
        <v>-473</v>
      </c>
      <c r="AK551" s="2">
        <v>-474</v>
      </c>
      <c r="AL551" s="2">
        <v>0</v>
      </c>
      <c r="AM551" s="2">
        <v>-473</v>
      </c>
    </row>
    <row r="552" spans="1:39">
      <c r="A552" s="349">
        <v>95853</v>
      </c>
      <c r="B552" s="342" t="s">
        <v>1243</v>
      </c>
      <c r="C552" s="358">
        <v>2.97E-5</v>
      </c>
      <c r="E552" s="2">
        <v>11824</v>
      </c>
      <c r="F552" s="2">
        <v>14319</v>
      </c>
      <c r="G552" s="2">
        <v>7790</v>
      </c>
      <c r="H552" s="2">
        <v>4420</v>
      </c>
      <c r="I552" s="2">
        <v>0</v>
      </c>
      <c r="J552" s="2"/>
      <c r="K552" s="2">
        <v>5507</v>
      </c>
      <c r="L552" s="2">
        <v>5073</v>
      </c>
      <c r="M552" s="2">
        <v>2823</v>
      </c>
      <c r="N552" s="2">
        <v>0</v>
      </c>
      <c r="O552" s="2">
        <v>0</v>
      </c>
      <c r="P552" s="2"/>
      <c r="Q552" s="2">
        <v>357</v>
      </c>
      <c r="R552" s="2">
        <v>4993</v>
      </c>
      <c r="S552" s="2">
        <v>5165</v>
      </c>
      <c r="T552" s="2">
        <v>4420</v>
      </c>
      <c r="U552" s="2">
        <v>0</v>
      </c>
      <c r="V552" s="2"/>
      <c r="W552" s="2">
        <v>4359</v>
      </c>
      <c r="X552" s="2">
        <v>3539</v>
      </c>
      <c r="Y552" s="2">
        <v>0</v>
      </c>
      <c r="Z552" s="2">
        <v>0</v>
      </c>
      <c r="AA552" s="2">
        <v>0</v>
      </c>
      <c r="AB552" s="2"/>
      <c r="AC552" s="2">
        <v>1800</v>
      </c>
      <c r="AD552" s="2">
        <v>913</v>
      </c>
      <c r="AE552" s="2">
        <v>0</v>
      </c>
      <c r="AF552" s="2">
        <v>0</v>
      </c>
      <c r="AG552" s="2">
        <v>0</v>
      </c>
      <c r="AH552" s="2"/>
      <c r="AI552" s="2">
        <v>-199</v>
      </c>
      <c r="AJ552" s="2">
        <v>-199</v>
      </c>
      <c r="AK552" s="2">
        <v>-198</v>
      </c>
      <c r="AL552" s="2">
        <v>0</v>
      </c>
      <c r="AM552" s="2">
        <v>-199</v>
      </c>
    </row>
    <row r="553" spans="1:39">
      <c r="A553" s="349">
        <v>95901</v>
      </c>
      <c r="B553" s="342" t="s">
        <v>1244</v>
      </c>
      <c r="C553" s="358">
        <v>1.9843999999999999E-3</v>
      </c>
      <c r="E553" s="2">
        <v>670704</v>
      </c>
      <c r="F553" s="2">
        <v>897821</v>
      </c>
      <c r="G553" s="2">
        <v>523241</v>
      </c>
      <c r="H553" s="2">
        <v>295322</v>
      </c>
      <c r="I553" s="2">
        <v>0</v>
      </c>
      <c r="J553" s="2"/>
      <c r="K553" s="2">
        <v>367926</v>
      </c>
      <c r="L553" s="2">
        <v>338924</v>
      </c>
      <c r="M553" s="2">
        <v>188633</v>
      </c>
      <c r="N553" s="2">
        <v>0</v>
      </c>
      <c r="O553" s="2">
        <v>0</v>
      </c>
      <c r="P553" s="2"/>
      <c r="Q553" s="2">
        <v>23851</v>
      </c>
      <c r="R553" s="2">
        <v>333588</v>
      </c>
      <c r="S553" s="2">
        <v>345123</v>
      </c>
      <c r="T553" s="2">
        <v>295322</v>
      </c>
      <c r="U553" s="2">
        <v>0</v>
      </c>
      <c r="V553" s="2"/>
      <c r="W553" s="2">
        <v>291262</v>
      </c>
      <c r="X553" s="2">
        <v>236455</v>
      </c>
      <c r="Y553" s="2">
        <v>0</v>
      </c>
      <c r="Z553" s="2">
        <v>0</v>
      </c>
      <c r="AA553" s="2">
        <v>0</v>
      </c>
      <c r="AB553" s="2"/>
      <c r="AC553" s="2">
        <v>0</v>
      </c>
      <c r="AD553" s="2">
        <v>0</v>
      </c>
      <c r="AE553" s="2">
        <v>0</v>
      </c>
      <c r="AF553" s="2">
        <v>0</v>
      </c>
      <c r="AG553" s="2">
        <v>0</v>
      </c>
      <c r="AH553" s="2"/>
      <c r="AI553" s="2">
        <v>-12335</v>
      </c>
      <c r="AJ553" s="2">
        <v>-11146</v>
      </c>
      <c r="AK553" s="2">
        <v>-10515</v>
      </c>
      <c r="AL553" s="2">
        <v>0</v>
      </c>
      <c r="AM553" s="2">
        <v>-11146</v>
      </c>
    </row>
    <row r="554" spans="1:39">
      <c r="A554" s="349">
        <v>95908</v>
      </c>
      <c r="B554" s="342" t="s">
        <v>3681</v>
      </c>
      <c r="C554" s="358">
        <v>5.7399999999999999E-5</v>
      </c>
      <c r="E554" s="2">
        <v>9260</v>
      </c>
      <c r="F554" s="2">
        <v>17474</v>
      </c>
      <c r="G554" s="2">
        <v>9244</v>
      </c>
      <c r="H554" s="2">
        <v>8542</v>
      </c>
      <c r="I554" s="2">
        <v>0</v>
      </c>
      <c r="J554" s="2"/>
      <c r="K554" s="2">
        <v>10642</v>
      </c>
      <c r="L554" s="2">
        <v>9804</v>
      </c>
      <c r="M554" s="2">
        <v>5456</v>
      </c>
      <c r="N554" s="2">
        <v>0</v>
      </c>
      <c r="O554" s="2">
        <v>0</v>
      </c>
      <c r="P554" s="2"/>
      <c r="Q554" s="2">
        <v>690</v>
      </c>
      <c r="R554" s="2">
        <v>9649</v>
      </c>
      <c r="S554" s="2">
        <v>9983</v>
      </c>
      <c r="T554" s="2">
        <v>8542</v>
      </c>
      <c r="U554" s="2">
        <v>0</v>
      </c>
      <c r="V554" s="2"/>
      <c r="W554" s="2">
        <v>8425</v>
      </c>
      <c r="X554" s="2">
        <v>6840</v>
      </c>
      <c r="Y554" s="2">
        <v>0</v>
      </c>
      <c r="Z554" s="2">
        <v>0</v>
      </c>
      <c r="AA554" s="2">
        <v>0</v>
      </c>
      <c r="AB554" s="2"/>
      <c r="AC554" s="2">
        <v>532</v>
      </c>
      <c r="AD554" s="2">
        <v>532</v>
      </c>
      <c r="AE554" s="2">
        <v>534</v>
      </c>
      <c r="AF554" s="2">
        <v>0</v>
      </c>
      <c r="AG554" s="2">
        <v>0</v>
      </c>
      <c r="AH554" s="2"/>
      <c r="AI554" s="2">
        <v>-11029</v>
      </c>
      <c r="AJ554" s="2">
        <v>-9351</v>
      </c>
      <c r="AK554" s="2">
        <v>-6729</v>
      </c>
      <c r="AL554" s="2">
        <v>0</v>
      </c>
      <c r="AM554" s="2">
        <v>-9351</v>
      </c>
    </row>
    <row r="555" spans="1:39">
      <c r="A555" s="349">
        <v>95911</v>
      </c>
      <c r="B555" s="342" t="s">
        <v>1246</v>
      </c>
      <c r="C555" s="358">
        <v>5.5429999999999998E-4</v>
      </c>
      <c r="E555" s="2">
        <v>170771</v>
      </c>
      <c r="F555" s="2">
        <v>236871</v>
      </c>
      <c r="G555" s="2">
        <v>138321</v>
      </c>
      <c r="H555" s="2">
        <v>82492</v>
      </c>
      <c r="I555" s="2">
        <v>0</v>
      </c>
      <c r="J555" s="2"/>
      <c r="K555" s="2">
        <v>102772</v>
      </c>
      <c r="L555" s="2">
        <v>94671</v>
      </c>
      <c r="M555" s="2">
        <v>52691</v>
      </c>
      <c r="N555" s="2">
        <v>0</v>
      </c>
      <c r="O555" s="2">
        <v>0</v>
      </c>
      <c r="P555" s="2"/>
      <c r="Q555" s="2">
        <v>6662</v>
      </c>
      <c r="R555" s="2">
        <v>93181</v>
      </c>
      <c r="S555" s="2">
        <v>96403</v>
      </c>
      <c r="T555" s="2">
        <v>82492</v>
      </c>
      <c r="U555" s="2">
        <v>0</v>
      </c>
      <c r="V555" s="2"/>
      <c r="W555" s="2">
        <v>81358</v>
      </c>
      <c r="X555" s="2">
        <v>66049</v>
      </c>
      <c r="Y555" s="2">
        <v>0</v>
      </c>
      <c r="Z555" s="2">
        <v>0</v>
      </c>
      <c r="AA555" s="2">
        <v>0</v>
      </c>
      <c r="AB555" s="2"/>
      <c r="AC555" s="2">
        <v>0</v>
      </c>
      <c r="AD555" s="2">
        <v>0</v>
      </c>
      <c r="AE555" s="2">
        <v>0</v>
      </c>
      <c r="AF555" s="2">
        <v>0</v>
      </c>
      <c r="AG555" s="2">
        <v>0</v>
      </c>
      <c r="AH555" s="2"/>
      <c r="AI555" s="2">
        <v>-20021</v>
      </c>
      <c r="AJ555" s="2">
        <v>-17030</v>
      </c>
      <c r="AK555" s="2">
        <v>-10773</v>
      </c>
      <c r="AL555" s="2">
        <v>0</v>
      </c>
      <c r="AM555" s="2">
        <v>-17030</v>
      </c>
    </row>
    <row r="556" spans="1:39">
      <c r="A556" s="349">
        <v>95917</v>
      </c>
      <c r="B556" s="342" t="s">
        <v>1247</v>
      </c>
      <c r="C556" s="358">
        <v>2.2099999999999998E-5</v>
      </c>
      <c r="E556" s="2">
        <v>9579</v>
      </c>
      <c r="F556" s="2">
        <v>11625</v>
      </c>
      <c r="G556" s="2">
        <v>8243</v>
      </c>
      <c r="H556" s="2">
        <v>3289</v>
      </c>
      <c r="I556" s="2">
        <v>0</v>
      </c>
      <c r="J556" s="2"/>
      <c r="K556" s="2">
        <v>4098</v>
      </c>
      <c r="L556" s="2">
        <v>3775</v>
      </c>
      <c r="M556" s="2">
        <v>2101</v>
      </c>
      <c r="N556" s="2">
        <v>0</v>
      </c>
      <c r="O556" s="2">
        <v>0</v>
      </c>
      <c r="P556" s="2"/>
      <c r="Q556" s="2">
        <v>266</v>
      </c>
      <c r="R556" s="2">
        <v>3715</v>
      </c>
      <c r="S556" s="2">
        <v>3844</v>
      </c>
      <c r="T556" s="2">
        <v>3289</v>
      </c>
      <c r="U556" s="2">
        <v>0</v>
      </c>
      <c r="V556" s="2"/>
      <c r="W556" s="2">
        <v>3244</v>
      </c>
      <c r="X556" s="2">
        <v>2633</v>
      </c>
      <c r="Y556" s="2">
        <v>0</v>
      </c>
      <c r="Z556" s="2">
        <v>0</v>
      </c>
      <c r="AA556" s="2">
        <v>0</v>
      </c>
      <c r="AB556" s="2"/>
      <c r="AC556" s="2">
        <v>2768</v>
      </c>
      <c r="AD556" s="2">
        <v>2297</v>
      </c>
      <c r="AE556" s="2">
        <v>2298</v>
      </c>
      <c r="AF556" s="2">
        <v>0</v>
      </c>
      <c r="AG556" s="2">
        <v>0</v>
      </c>
      <c r="AH556" s="2"/>
      <c r="AI556" s="2">
        <v>-797</v>
      </c>
      <c r="AJ556" s="2">
        <v>-795</v>
      </c>
      <c r="AK556" s="2">
        <v>0</v>
      </c>
      <c r="AL556" s="2">
        <v>0</v>
      </c>
      <c r="AM556" s="2">
        <v>-795</v>
      </c>
    </row>
    <row r="557" spans="1:39">
      <c r="A557" s="349">
        <v>95921</v>
      </c>
      <c r="B557" s="342" t="s">
        <v>1248</v>
      </c>
      <c r="C557" s="358">
        <v>5.0099999999999998E-5</v>
      </c>
      <c r="E557" s="2">
        <v>18424</v>
      </c>
      <c r="F557" s="2">
        <v>24066</v>
      </c>
      <c r="G557" s="2">
        <v>14057</v>
      </c>
      <c r="H557" s="2">
        <v>7456</v>
      </c>
      <c r="I557" s="2">
        <v>0</v>
      </c>
      <c r="J557" s="2"/>
      <c r="K557" s="2">
        <v>9289</v>
      </c>
      <c r="L557" s="2">
        <v>8557</v>
      </c>
      <c r="M557" s="2">
        <v>4762</v>
      </c>
      <c r="N557" s="2">
        <v>0</v>
      </c>
      <c r="O557" s="2">
        <v>0</v>
      </c>
      <c r="P557" s="2"/>
      <c r="Q557" s="2">
        <v>602</v>
      </c>
      <c r="R557" s="2">
        <v>8422</v>
      </c>
      <c r="S557" s="2">
        <v>8713</v>
      </c>
      <c r="T557" s="2">
        <v>7456</v>
      </c>
      <c r="U557" s="2">
        <v>0</v>
      </c>
      <c r="V557" s="2"/>
      <c r="W557" s="2">
        <v>7353</v>
      </c>
      <c r="X557" s="2">
        <v>5970</v>
      </c>
      <c r="Y557" s="2">
        <v>0</v>
      </c>
      <c r="Z557" s="2">
        <v>0</v>
      </c>
      <c r="AA557" s="2">
        <v>0</v>
      </c>
      <c r="AB557" s="2"/>
      <c r="AC557" s="2">
        <v>1781</v>
      </c>
      <c r="AD557" s="2">
        <v>1718</v>
      </c>
      <c r="AE557" s="2">
        <v>1182</v>
      </c>
      <c r="AF557" s="2">
        <v>0</v>
      </c>
      <c r="AG557" s="2">
        <v>0</v>
      </c>
      <c r="AH557" s="2"/>
      <c r="AI557" s="2">
        <v>-601</v>
      </c>
      <c r="AJ557" s="2">
        <v>-601</v>
      </c>
      <c r="AK557" s="2">
        <v>-600</v>
      </c>
      <c r="AL557" s="2">
        <v>0</v>
      </c>
      <c r="AM557" s="2">
        <v>-601</v>
      </c>
    </row>
    <row r="558" spans="1:39">
      <c r="A558" s="349">
        <v>96001</v>
      </c>
      <c r="B558" s="342" t="s">
        <v>1249</v>
      </c>
      <c r="C558" s="358">
        <v>4.6503500000000003E-2</v>
      </c>
      <c r="E558" s="2">
        <v>16496416</v>
      </c>
      <c r="F558" s="2">
        <v>21858042</v>
      </c>
      <c r="G558" s="2">
        <v>13154812</v>
      </c>
      <c r="H558" s="2">
        <v>6920744</v>
      </c>
      <c r="I558" s="2">
        <v>0</v>
      </c>
      <c r="J558" s="2"/>
      <c r="K558" s="2">
        <v>8622167</v>
      </c>
      <c r="L558" s="2">
        <v>7942519</v>
      </c>
      <c r="M558" s="2">
        <v>4420530</v>
      </c>
      <c r="N558" s="2">
        <v>0</v>
      </c>
      <c r="O558" s="2">
        <v>0</v>
      </c>
      <c r="P558" s="2"/>
      <c r="Q558" s="2">
        <v>558926</v>
      </c>
      <c r="R558" s="2">
        <v>7817471</v>
      </c>
      <c r="S558" s="2">
        <v>8087796</v>
      </c>
      <c r="T558" s="2">
        <v>6920744</v>
      </c>
      <c r="U558" s="2">
        <v>0</v>
      </c>
      <c r="V558" s="2"/>
      <c r="W558" s="2">
        <v>6825598</v>
      </c>
      <c r="X558" s="2">
        <v>5541218</v>
      </c>
      <c r="Y558" s="2">
        <v>0</v>
      </c>
      <c r="Z558" s="2">
        <v>0</v>
      </c>
      <c r="AA558" s="2">
        <v>0</v>
      </c>
      <c r="AB558" s="2"/>
      <c r="AC558" s="2">
        <v>698127</v>
      </c>
      <c r="AD558" s="2">
        <v>698127</v>
      </c>
      <c r="AE558" s="2">
        <v>698128</v>
      </c>
      <c r="AF558" s="2">
        <v>0</v>
      </c>
      <c r="AG558" s="2">
        <v>0</v>
      </c>
      <c r="AH558" s="2"/>
      <c r="AI558" s="2">
        <v>-208402</v>
      </c>
      <c r="AJ558" s="2">
        <v>-141293</v>
      </c>
      <c r="AK558" s="2">
        <v>-51642</v>
      </c>
      <c r="AL558" s="2">
        <v>0</v>
      </c>
      <c r="AM558" s="2">
        <v>-141293</v>
      </c>
    </row>
    <row r="559" spans="1:39">
      <c r="A559" s="349">
        <v>96003</v>
      </c>
      <c r="B559" s="342" t="s">
        <v>1250</v>
      </c>
      <c r="C559" s="358">
        <v>1.781E-3</v>
      </c>
      <c r="E559" s="2">
        <v>644121</v>
      </c>
      <c r="F559" s="2">
        <v>863100</v>
      </c>
      <c r="G559" s="2">
        <v>547231</v>
      </c>
      <c r="H559" s="2">
        <v>265052</v>
      </c>
      <c r="I559" s="2">
        <v>0</v>
      </c>
      <c r="J559" s="2"/>
      <c r="K559" s="2">
        <v>330213</v>
      </c>
      <c r="L559" s="2">
        <v>304184</v>
      </c>
      <c r="M559" s="2">
        <v>169298</v>
      </c>
      <c r="N559" s="2">
        <v>0</v>
      </c>
      <c r="O559" s="2">
        <v>0</v>
      </c>
      <c r="P559" s="2"/>
      <c r="Q559" s="2">
        <v>21406</v>
      </c>
      <c r="R559" s="2">
        <v>299395</v>
      </c>
      <c r="S559" s="2">
        <v>309748</v>
      </c>
      <c r="T559" s="2">
        <v>265052</v>
      </c>
      <c r="U559" s="2">
        <v>0</v>
      </c>
      <c r="V559" s="2"/>
      <c r="W559" s="2">
        <v>261408</v>
      </c>
      <c r="X559" s="2">
        <v>212219</v>
      </c>
      <c r="Y559" s="2">
        <v>0</v>
      </c>
      <c r="Z559" s="2">
        <v>0</v>
      </c>
      <c r="AA559" s="2">
        <v>0</v>
      </c>
      <c r="AB559" s="2"/>
      <c r="AC559" s="2">
        <v>68185</v>
      </c>
      <c r="AD559" s="2">
        <v>68185</v>
      </c>
      <c r="AE559" s="2">
        <v>68185</v>
      </c>
      <c r="AF559" s="2">
        <v>0</v>
      </c>
      <c r="AG559" s="2">
        <v>0</v>
      </c>
      <c r="AH559" s="2"/>
      <c r="AI559" s="2">
        <v>-37091</v>
      </c>
      <c r="AJ559" s="2">
        <v>-20883</v>
      </c>
      <c r="AK559" s="2">
        <v>0</v>
      </c>
      <c r="AL559" s="2">
        <v>0</v>
      </c>
      <c r="AM559" s="2">
        <v>-20883</v>
      </c>
    </row>
    <row r="560" spans="1:39">
      <c r="A560" s="349">
        <v>96004</v>
      </c>
      <c r="B560" s="342" t="s">
        <v>1251</v>
      </c>
      <c r="C560" s="358">
        <v>9.8489999999999992E-4</v>
      </c>
      <c r="E560" s="2">
        <v>425616</v>
      </c>
      <c r="F560" s="2">
        <v>524480</v>
      </c>
      <c r="G560" s="2">
        <v>324932</v>
      </c>
      <c r="H560" s="2">
        <v>146575</v>
      </c>
      <c r="I560" s="2">
        <v>0</v>
      </c>
      <c r="J560" s="2"/>
      <c r="K560" s="2">
        <v>182609</v>
      </c>
      <c r="L560" s="2">
        <v>168215</v>
      </c>
      <c r="M560" s="2">
        <v>93623</v>
      </c>
      <c r="N560" s="2">
        <v>0</v>
      </c>
      <c r="O560" s="2">
        <v>0</v>
      </c>
      <c r="P560" s="2"/>
      <c r="Q560" s="2">
        <v>11838</v>
      </c>
      <c r="R560" s="2">
        <v>165567</v>
      </c>
      <c r="S560" s="2">
        <v>171292</v>
      </c>
      <c r="T560" s="2">
        <v>146575</v>
      </c>
      <c r="U560" s="2">
        <v>0</v>
      </c>
      <c r="V560" s="2"/>
      <c r="W560" s="2">
        <v>144560</v>
      </c>
      <c r="X560" s="2">
        <v>117358</v>
      </c>
      <c r="Y560" s="2">
        <v>0</v>
      </c>
      <c r="Z560" s="2">
        <v>0</v>
      </c>
      <c r="AA560" s="2">
        <v>0</v>
      </c>
      <c r="AB560" s="2"/>
      <c r="AC560" s="2">
        <v>86609</v>
      </c>
      <c r="AD560" s="2">
        <v>73340</v>
      </c>
      <c r="AE560" s="2">
        <v>60017</v>
      </c>
      <c r="AF560" s="2">
        <v>0</v>
      </c>
      <c r="AG560" s="2">
        <v>0</v>
      </c>
      <c r="AH560" s="2"/>
      <c r="AI560" s="2">
        <v>0</v>
      </c>
      <c r="AJ560" s="2">
        <v>0</v>
      </c>
      <c r="AK560" s="2">
        <v>0</v>
      </c>
      <c r="AL560" s="2">
        <v>0</v>
      </c>
      <c r="AM560" s="2">
        <v>0</v>
      </c>
    </row>
    <row r="561" spans="1:39">
      <c r="A561" s="349">
        <v>96005</v>
      </c>
      <c r="B561" s="342" t="s">
        <v>1252</v>
      </c>
      <c r="C561" s="358">
        <v>2.4903999999999998E-3</v>
      </c>
      <c r="E561" s="2">
        <v>877470</v>
      </c>
      <c r="F561" s="2">
        <v>1153770</v>
      </c>
      <c r="G561" s="2">
        <v>685100</v>
      </c>
      <c r="H561" s="2">
        <v>370626</v>
      </c>
      <c r="I561" s="2">
        <v>0</v>
      </c>
      <c r="J561" s="2"/>
      <c r="K561" s="2">
        <v>461743</v>
      </c>
      <c r="L561" s="2">
        <v>425345</v>
      </c>
      <c r="M561" s="2">
        <v>236732</v>
      </c>
      <c r="N561" s="2">
        <v>0</v>
      </c>
      <c r="O561" s="2">
        <v>0</v>
      </c>
      <c r="P561" s="2"/>
      <c r="Q561" s="2">
        <v>29932</v>
      </c>
      <c r="R561" s="2">
        <v>418649</v>
      </c>
      <c r="S561" s="2">
        <v>433125</v>
      </c>
      <c r="T561" s="2">
        <v>370626</v>
      </c>
      <c r="U561" s="2">
        <v>0</v>
      </c>
      <c r="V561" s="2"/>
      <c r="W561" s="2">
        <v>365531</v>
      </c>
      <c r="X561" s="2">
        <v>296749</v>
      </c>
      <c r="Y561" s="2">
        <v>0</v>
      </c>
      <c r="Z561" s="2">
        <v>0</v>
      </c>
      <c r="AA561" s="2">
        <v>0</v>
      </c>
      <c r="AB561" s="2"/>
      <c r="AC561" s="2">
        <v>46529</v>
      </c>
      <c r="AD561" s="2">
        <v>39290</v>
      </c>
      <c r="AE561" s="2">
        <v>39290</v>
      </c>
      <c r="AF561" s="2">
        <v>0</v>
      </c>
      <c r="AG561" s="2">
        <v>0</v>
      </c>
      <c r="AH561" s="2"/>
      <c r="AI561" s="2">
        <v>-26265</v>
      </c>
      <c r="AJ561" s="2">
        <v>-26263</v>
      </c>
      <c r="AK561" s="2">
        <v>-24047</v>
      </c>
      <c r="AL561" s="2">
        <v>0</v>
      </c>
      <c r="AM561" s="2">
        <v>-26263</v>
      </c>
    </row>
    <row r="562" spans="1:39">
      <c r="A562" s="349">
        <v>96008</v>
      </c>
      <c r="B562" s="342" t="s">
        <v>3682</v>
      </c>
      <c r="C562" s="358">
        <v>6.1444999999999998E-3</v>
      </c>
      <c r="E562" s="2">
        <v>1497484</v>
      </c>
      <c r="F562" s="2">
        <v>2323017</v>
      </c>
      <c r="G562" s="2">
        <v>1268458</v>
      </c>
      <c r="H562" s="2">
        <v>914437</v>
      </c>
      <c r="I562" s="2">
        <v>0</v>
      </c>
      <c r="J562" s="2"/>
      <c r="K562" s="2">
        <v>1139246</v>
      </c>
      <c r="L562" s="2">
        <v>1049444</v>
      </c>
      <c r="M562" s="2">
        <v>584084</v>
      </c>
      <c r="N562" s="2">
        <v>0</v>
      </c>
      <c r="O562" s="2">
        <v>0</v>
      </c>
      <c r="P562" s="2"/>
      <c r="Q562" s="2">
        <v>73851</v>
      </c>
      <c r="R562" s="2">
        <v>1032921</v>
      </c>
      <c r="S562" s="2">
        <v>1068639</v>
      </c>
      <c r="T562" s="2">
        <v>914437</v>
      </c>
      <c r="U562" s="2">
        <v>0</v>
      </c>
      <c r="V562" s="2"/>
      <c r="W562" s="2">
        <v>901865</v>
      </c>
      <c r="X562" s="2">
        <v>732160</v>
      </c>
      <c r="Y562" s="2">
        <v>0</v>
      </c>
      <c r="Z562" s="2">
        <v>0</v>
      </c>
      <c r="AA562" s="2">
        <v>0</v>
      </c>
      <c r="AB562" s="2"/>
      <c r="AC562" s="2">
        <v>0</v>
      </c>
      <c r="AD562" s="2">
        <v>0</v>
      </c>
      <c r="AE562" s="2">
        <v>0</v>
      </c>
      <c r="AF562" s="2">
        <v>0</v>
      </c>
      <c r="AG562" s="2">
        <v>0</v>
      </c>
      <c r="AH562" s="2"/>
      <c r="AI562" s="2">
        <v>-617478</v>
      </c>
      <c r="AJ562" s="2">
        <v>-491508</v>
      </c>
      <c r="AK562" s="2">
        <v>-384265</v>
      </c>
      <c r="AL562" s="2">
        <v>0</v>
      </c>
      <c r="AM562" s="2">
        <v>-491508</v>
      </c>
    </row>
    <row r="563" spans="1:39">
      <c r="A563" s="349">
        <v>96009</v>
      </c>
      <c r="B563" s="342" t="s">
        <v>1254</v>
      </c>
      <c r="C563" s="358">
        <v>3.814E-4</v>
      </c>
      <c r="E563" s="2">
        <v>158034</v>
      </c>
      <c r="F563" s="2">
        <v>194848</v>
      </c>
      <c r="G563" s="2">
        <v>116213</v>
      </c>
      <c r="H563" s="2">
        <v>56761</v>
      </c>
      <c r="I563" s="2">
        <v>0</v>
      </c>
      <c r="J563" s="2"/>
      <c r="K563" s="2">
        <v>70715</v>
      </c>
      <c r="L563" s="2">
        <v>65141</v>
      </c>
      <c r="M563" s="2">
        <v>36255</v>
      </c>
      <c r="N563" s="2">
        <v>0</v>
      </c>
      <c r="O563" s="2">
        <v>0</v>
      </c>
      <c r="P563" s="2"/>
      <c r="Q563" s="2">
        <v>4584</v>
      </c>
      <c r="R563" s="2">
        <v>64115</v>
      </c>
      <c r="S563" s="2">
        <v>66332</v>
      </c>
      <c r="T563" s="2">
        <v>56761</v>
      </c>
      <c r="U563" s="2">
        <v>0</v>
      </c>
      <c r="V563" s="2"/>
      <c r="W563" s="2">
        <v>55980</v>
      </c>
      <c r="X563" s="2">
        <v>45446</v>
      </c>
      <c r="Y563" s="2">
        <v>0</v>
      </c>
      <c r="Z563" s="2">
        <v>0</v>
      </c>
      <c r="AA563" s="2">
        <v>0</v>
      </c>
      <c r="AB563" s="2"/>
      <c r="AC563" s="2">
        <v>28110</v>
      </c>
      <c r="AD563" s="2">
        <v>21501</v>
      </c>
      <c r="AE563" s="2">
        <v>14979</v>
      </c>
      <c r="AF563" s="2">
        <v>0</v>
      </c>
      <c r="AG563" s="2">
        <v>0</v>
      </c>
      <c r="AH563" s="2"/>
      <c r="AI563" s="2">
        <v>-1355</v>
      </c>
      <c r="AJ563" s="2">
        <v>-1355</v>
      </c>
      <c r="AK563" s="2">
        <v>-1353</v>
      </c>
      <c r="AL563" s="2">
        <v>0</v>
      </c>
      <c r="AM563" s="2">
        <v>-1355</v>
      </c>
    </row>
    <row r="564" spans="1:39">
      <c r="A564" s="349">
        <v>96011</v>
      </c>
      <c r="B564" s="342" t="s">
        <v>1255</v>
      </c>
      <c r="C564" s="358">
        <v>6.4782000000000006E-2</v>
      </c>
      <c r="E564" s="2">
        <v>23848408</v>
      </c>
      <c r="F564" s="2">
        <v>31051893</v>
      </c>
      <c r="G564" s="2">
        <v>18578490</v>
      </c>
      <c r="H564" s="2">
        <v>9640987</v>
      </c>
      <c r="I564" s="2">
        <v>0</v>
      </c>
      <c r="J564" s="2"/>
      <c r="K564" s="2">
        <v>12011166</v>
      </c>
      <c r="L564" s="2">
        <v>11064377</v>
      </c>
      <c r="M564" s="2">
        <v>6158047</v>
      </c>
      <c r="N564" s="2">
        <v>0</v>
      </c>
      <c r="O564" s="2">
        <v>0</v>
      </c>
      <c r="P564" s="2"/>
      <c r="Q564" s="2">
        <v>778615</v>
      </c>
      <c r="R564" s="2">
        <v>10890178</v>
      </c>
      <c r="S564" s="2">
        <v>11266756</v>
      </c>
      <c r="T564" s="2">
        <v>9640987</v>
      </c>
      <c r="U564" s="2">
        <v>0</v>
      </c>
      <c r="V564" s="2"/>
      <c r="W564" s="2">
        <v>9508443</v>
      </c>
      <c r="X564" s="2">
        <v>7719229</v>
      </c>
      <c r="Y564" s="2">
        <v>0</v>
      </c>
      <c r="Z564" s="2">
        <v>0</v>
      </c>
      <c r="AA564" s="2">
        <v>0</v>
      </c>
      <c r="AB564" s="2"/>
      <c r="AC564" s="2">
        <v>1550184</v>
      </c>
      <c r="AD564" s="2">
        <v>1378109</v>
      </c>
      <c r="AE564" s="2">
        <v>1153687</v>
      </c>
      <c r="AF564" s="2">
        <v>0</v>
      </c>
      <c r="AG564" s="2">
        <v>0</v>
      </c>
      <c r="AH564" s="2"/>
      <c r="AI564" s="2">
        <v>0</v>
      </c>
      <c r="AJ564" s="2">
        <v>0</v>
      </c>
      <c r="AK564" s="2">
        <v>0</v>
      </c>
      <c r="AL564" s="2">
        <v>0</v>
      </c>
      <c r="AM564" s="2">
        <v>0</v>
      </c>
    </row>
    <row r="565" spans="1:39">
      <c r="A565" s="349">
        <v>96012</v>
      </c>
      <c r="B565" s="342" t="s">
        <v>1256</v>
      </c>
      <c r="C565" s="358">
        <v>2.4705999999999999E-3</v>
      </c>
      <c r="E565" s="2">
        <v>826655</v>
      </c>
      <c r="F565" s="2">
        <v>1108171</v>
      </c>
      <c r="G565" s="2">
        <v>627386</v>
      </c>
      <c r="H565" s="2">
        <v>367680</v>
      </c>
      <c r="I565" s="2">
        <v>0</v>
      </c>
      <c r="J565" s="2"/>
      <c r="K565" s="2">
        <v>458071</v>
      </c>
      <c r="L565" s="2">
        <v>421964</v>
      </c>
      <c r="M565" s="2">
        <v>234850</v>
      </c>
      <c r="N565" s="2">
        <v>0</v>
      </c>
      <c r="O565" s="2">
        <v>0</v>
      </c>
      <c r="P565" s="2"/>
      <c r="Q565" s="2">
        <v>29694</v>
      </c>
      <c r="R565" s="2">
        <v>415320</v>
      </c>
      <c r="S565" s="2">
        <v>429682</v>
      </c>
      <c r="T565" s="2">
        <v>367680</v>
      </c>
      <c r="U565" s="2">
        <v>0</v>
      </c>
      <c r="V565" s="2"/>
      <c r="W565" s="2">
        <v>362625</v>
      </c>
      <c r="X565" s="2">
        <v>294389</v>
      </c>
      <c r="Y565" s="2">
        <v>0</v>
      </c>
      <c r="Z565" s="2">
        <v>0</v>
      </c>
      <c r="AA565" s="2">
        <v>0</v>
      </c>
      <c r="AB565" s="2"/>
      <c r="AC565" s="2">
        <v>13646</v>
      </c>
      <c r="AD565" s="2">
        <v>13644</v>
      </c>
      <c r="AE565" s="2">
        <v>0</v>
      </c>
      <c r="AF565" s="2">
        <v>0</v>
      </c>
      <c r="AG565" s="2">
        <v>0</v>
      </c>
      <c r="AH565" s="2"/>
      <c r="AI565" s="2">
        <v>-37381</v>
      </c>
      <c r="AJ565" s="2">
        <v>-37146</v>
      </c>
      <c r="AK565" s="2">
        <v>-37146</v>
      </c>
      <c r="AL565" s="2">
        <v>0</v>
      </c>
      <c r="AM565" s="2">
        <v>-37146</v>
      </c>
    </row>
    <row r="566" spans="1:39">
      <c r="A566" s="349">
        <v>96018</v>
      </c>
      <c r="B566" s="342" t="s">
        <v>3683</v>
      </c>
      <c r="C566" s="358">
        <v>3.57E-5</v>
      </c>
      <c r="E566" s="2">
        <v>12528</v>
      </c>
      <c r="F566" s="2">
        <v>15748</v>
      </c>
      <c r="G566" s="2">
        <v>8989</v>
      </c>
      <c r="H566" s="2">
        <v>5313</v>
      </c>
      <c r="I566" s="2">
        <v>0</v>
      </c>
      <c r="J566" s="2"/>
      <c r="K566" s="2">
        <v>6619</v>
      </c>
      <c r="L566" s="2">
        <v>6097</v>
      </c>
      <c r="M566" s="2">
        <v>3394</v>
      </c>
      <c r="N566" s="2">
        <v>0</v>
      </c>
      <c r="O566" s="2">
        <v>0</v>
      </c>
      <c r="P566" s="2"/>
      <c r="Q566" s="2">
        <v>429</v>
      </c>
      <c r="R566" s="2">
        <v>6001</v>
      </c>
      <c r="S566" s="2">
        <v>6209</v>
      </c>
      <c r="T566" s="2">
        <v>5313</v>
      </c>
      <c r="U566" s="2">
        <v>0</v>
      </c>
      <c r="V566" s="2"/>
      <c r="W566" s="2">
        <v>5240</v>
      </c>
      <c r="X566" s="2">
        <v>4254</v>
      </c>
      <c r="Y566" s="2">
        <v>0</v>
      </c>
      <c r="Z566" s="2">
        <v>0</v>
      </c>
      <c r="AA566" s="2">
        <v>0</v>
      </c>
      <c r="AB566" s="2"/>
      <c r="AC566" s="2">
        <v>2445</v>
      </c>
      <c r="AD566" s="2">
        <v>1601</v>
      </c>
      <c r="AE566" s="2">
        <v>1592</v>
      </c>
      <c r="AF566" s="2">
        <v>0</v>
      </c>
      <c r="AG566" s="2">
        <v>0</v>
      </c>
      <c r="AH566" s="2"/>
      <c r="AI566" s="2">
        <v>-2205</v>
      </c>
      <c r="AJ566" s="2">
        <v>-2205</v>
      </c>
      <c r="AK566" s="2">
        <v>-2206</v>
      </c>
      <c r="AL566" s="2">
        <v>0</v>
      </c>
      <c r="AM566" s="2">
        <v>-2205</v>
      </c>
    </row>
    <row r="567" spans="1:39">
      <c r="A567" s="349">
        <v>96021</v>
      </c>
      <c r="B567" s="342" t="s">
        <v>1258</v>
      </c>
      <c r="C567" s="358">
        <v>7.0450000000000005E-4</v>
      </c>
      <c r="E567" s="2">
        <v>193555</v>
      </c>
      <c r="F567" s="2">
        <v>297447</v>
      </c>
      <c r="G567" s="2">
        <v>163835</v>
      </c>
      <c r="H567" s="2">
        <v>104845</v>
      </c>
      <c r="I567" s="2">
        <v>0</v>
      </c>
      <c r="J567" s="2"/>
      <c r="K567" s="2">
        <v>130621</v>
      </c>
      <c r="L567" s="2">
        <v>120324</v>
      </c>
      <c r="M567" s="2">
        <v>66968</v>
      </c>
      <c r="N567" s="2">
        <v>0</v>
      </c>
      <c r="O567" s="2">
        <v>0</v>
      </c>
      <c r="P567" s="2"/>
      <c r="Q567" s="2">
        <v>8467</v>
      </c>
      <c r="R567" s="2">
        <v>118430</v>
      </c>
      <c r="S567" s="2">
        <v>122525</v>
      </c>
      <c r="T567" s="2">
        <v>104845</v>
      </c>
      <c r="U567" s="2">
        <v>0</v>
      </c>
      <c r="V567" s="2"/>
      <c r="W567" s="2">
        <v>103404</v>
      </c>
      <c r="X567" s="2">
        <v>83946</v>
      </c>
      <c r="Y567" s="2">
        <v>0</v>
      </c>
      <c r="Z567" s="2">
        <v>0</v>
      </c>
      <c r="AA567" s="2">
        <v>0</v>
      </c>
      <c r="AB567" s="2"/>
      <c r="AC567" s="2">
        <v>2426</v>
      </c>
      <c r="AD567" s="2">
        <v>2426</v>
      </c>
      <c r="AE567" s="2">
        <v>2020</v>
      </c>
      <c r="AF567" s="2">
        <v>0</v>
      </c>
      <c r="AG567" s="2">
        <v>0</v>
      </c>
      <c r="AH567" s="2"/>
      <c r="AI567" s="2">
        <v>-51363</v>
      </c>
      <c r="AJ567" s="2">
        <v>-27679</v>
      </c>
      <c r="AK567" s="2">
        <v>-27678</v>
      </c>
      <c r="AL567" s="2">
        <v>0</v>
      </c>
      <c r="AM567" s="2">
        <v>-27679</v>
      </c>
    </row>
    <row r="568" spans="1:39">
      <c r="A568" s="349">
        <v>96031</v>
      </c>
      <c r="B568" s="342" t="s">
        <v>1259</v>
      </c>
      <c r="C568" s="358">
        <v>8.2890000000000004E-4</v>
      </c>
      <c r="E568" s="2">
        <v>212285</v>
      </c>
      <c r="F568" s="2">
        <v>330135</v>
      </c>
      <c r="G568" s="2">
        <v>183525</v>
      </c>
      <c r="H568" s="2">
        <v>123359</v>
      </c>
      <c r="I568" s="2">
        <v>0</v>
      </c>
      <c r="J568" s="2"/>
      <c r="K568" s="2">
        <v>153686</v>
      </c>
      <c r="L568" s="2">
        <v>141571</v>
      </c>
      <c r="M568" s="2">
        <v>78794</v>
      </c>
      <c r="N568" s="2">
        <v>0</v>
      </c>
      <c r="O568" s="2">
        <v>0</v>
      </c>
      <c r="P568" s="2"/>
      <c r="Q568" s="2">
        <v>9963</v>
      </c>
      <c r="R568" s="2">
        <v>139342</v>
      </c>
      <c r="S568" s="2">
        <v>144161</v>
      </c>
      <c r="T568" s="2">
        <v>123359</v>
      </c>
      <c r="U568" s="2">
        <v>0</v>
      </c>
      <c r="V568" s="2"/>
      <c r="W568" s="2">
        <v>121663</v>
      </c>
      <c r="X568" s="2">
        <v>98769</v>
      </c>
      <c r="Y568" s="2">
        <v>0</v>
      </c>
      <c r="Z568" s="2">
        <v>0</v>
      </c>
      <c r="AA568" s="2">
        <v>0</v>
      </c>
      <c r="AB568" s="2"/>
      <c r="AC568" s="2">
        <v>0</v>
      </c>
      <c r="AD568" s="2">
        <v>0</v>
      </c>
      <c r="AE568" s="2">
        <v>0</v>
      </c>
      <c r="AF568" s="2">
        <v>0</v>
      </c>
      <c r="AG568" s="2">
        <v>0</v>
      </c>
      <c r="AH568" s="2"/>
      <c r="AI568" s="2">
        <v>-73027</v>
      </c>
      <c r="AJ568" s="2">
        <v>-49547</v>
      </c>
      <c r="AK568" s="2">
        <v>-39430</v>
      </c>
      <c r="AL568" s="2">
        <v>0</v>
      </c>
      <c r="AM568" s="2">
        <v>-49547</v>
      </c>
    </row>
    <row r="569" spans="1:39">
      <c r="A569" s="349">
        <v>96041</v>
      </c>
      <c r="B569" s="342" t="s">
        <v>1260</v>
      </c>
      <c r="C569" s="358">
        <v>1.7784000000000001E-3</v>
      </c>
      <c r="E569" s="2">
        <v>583812</v>
      </c>
      <c r="F569" s="2">
        <v>800746</v>
      </c>
      <c r="G569" s="2">
        <v>485228</v>
      </c>
      <c r="H569" s="2">
        <v>264665</v>
      </c>
      <c r="I569" s="2">
        <v>0</v>
      </c>
      <c r="J569" s="2"/>
      <c r="K569" s="2">
        <v>329731</v>
      </c>
      <c r="L569" s="2">
        <v>303740</v>
      </c>
      <c r="M569" s="2">
        <v>169051</v>
      </c>
      <c r="N569" s="2">
        <v>0</v>
      </c>
      <c r="O569" s="2">
        <v>0</v>
      </c>
      <c r="P569" s="2"/>
      <c r="Q569" s="2">
        <v>21375</v>
      </c>
      <c r="R569" s="2">
        <v>298958</v>
      </c>
      <c r="S569" s="2">
        <v>309296</v>
      </c>
      <c r="T569" s="2">
        <v>264665</v>
      </c>
      <c r="U569" s="2">
        <v>0</v>
      </c>
      <c r="V569" s="2"/>
      <c r="W569" s="2">
        <v>261026</v>
      </c>
      <c r="X569" s="2">
        <v>211909</v>
      </c>
      <c r="Y569" s="2">
        <v>0</v>
      </c>
      <c r="Z569" s="2">
        <v>0</v>
      </c>
      <c r="AA569" s="2">
        <v>0</v>
      </c>
      <c r="AB569" s="2"/>
      <c r="AC569" s="2">
        <v>6879</v>
      </c>
      <c r="AD569" s="2">
        <v>6879</v>
      </c>
      <c r="AE569" s="2">
        <v>6881</v>
      </c>
      <c r="AF569" s="2">
        <v>0</v>
      </c>
      <c r="AG569" s="2">
        <v>0</v>
      </c>
      <c r="AH569" s="2"/>
      <c r="AI569" s="2">
        <v>-35199</v>
      </c>
      <c r="AJ569" s="2">
        <v>-20740</v>
      </c>
      <c r="AK569" s="2">
        <v>0</v>
      </c>
      <c r="AL569" s="2">
        <v>0</v>
      </c>
      <c r="AM569" s="2">
        <v>-20740</v>
      </c>
    </row>
    <row r="570" spans="1:39">
      <c r="A570" s="349">
        <v>96051</v>
      </c>
      <c r="B570" s="342" t="s">
        <v>1261</v>
      </c>
      <c r="C570" s="358">
        <v>1.0357000000000001E-3</v>
      </c>
      <c r="E570" s="2">
        <v>332183</v>
      </c>
      <c r="F570" s="2">
        <v>462099</v>
      </c>
      <c r="G570" s="2">
        <v>272355</v>
      </c>
      <c r="H570" s="2">
        <v>154135</v>
      </c>
      <c r="I570" s="2">
        <v>0</v>
      </c>
      <c r="J570" s="2"/>
      <c r="K570" s="2">
        <v>192028</v>
      </c>
      <c r="L570" s="2">
        <v>176891</v>
      </c>
      <c r="M570" s="2">
        <v>98452</v>
      </c>
      <c r="N570" s="2">
        <v>0</v>
      </c>
      <c r="O570" s="2">
        <v>0</v>
      </c>
      <c r="P570" s="2"/>
      <c r="Q570" s="2">
        <v>12448</v>
      </c>
      <c r="R570" s="2">
        <v>174106</v>
      </c>
      <c r="S570" s="2">
        <v>180127</v>
      </c>
      <c r="T570" s="2">
        <v>154135</v>
      </c>
      <c r="U570" s="2">
        <v>0</v>
      </c>
      <c r="V570" s="2"/>
      <c r="W570" s="2">
        <v>152016</v>
      </c>
      <c r="X570" s="2">
        <v>123411</v>
      </c>
      <c r="Y570" s="2">
        <v>0</v>
      </c>
      <c r="Z570" s="2">
        <v>0</v>
      </c>
      <c r="AA570" s="2">
        <v>0</v>
      </c>
      <c r="AB570" s="2"/>
      <c r="AC570" s="2">
        <v>17178</v>
      </c>
      <c r="AD570" s="2">
        <v>17178</v>
      </c>
      <c r="AE570" s="2">
        <v>17176</v>
      </c>
      <c r="AF570" s="2">
        <v>0</v>
      </c>
      <c r="AG570" s="2">
        <v>0</v>
      </c>
      <c r="AH570" s="2"/>
      <c r="AI570" s="2">
        <v>-41487</v>
      </c>
      <c r="AJ570" s="2">
        <v>-29487</v>
      </c>
      <c r="AK570" s="2">
        <v>-23400</v>
      </c>
      <c r="AL570" s="2">
        <v>0</v>
      </c>
      <c r="AM570" s="2">
        <v>-29487</v>
      </c>
    </row>
    <row r="571" spans="1:39">
      <c r="A571" s="349">
        <v>96061</v>
      </c>
      <c r="B571" s="342" t="s">
        <v>1262</v>
      </c>
      <c r="C571" s="358">
        <v>3.2640000000000002E-4</v>
      </c>
      <c r="E571" s="2">
        <v>112449</v>
      </c>
      <c r="F571" s="2">
        <v>144507</v>
      </c>
      <c r="G571" s="2">
        <v>85295</v>
      </c>
      <c r="H571" s="2">
        <v>48576</v>
      </c>
      <c r="I571" s="2">
        <v>0</v>
      </c>
      <c r="J571" s="2"/>
      <c r="K571" s="2">
        <v>60517</v>
      </c>
      <c r="L571" s="2">
        <v>55747</v>
      </c>
      <c r="M571" s="2">
        <v>31027</v>
      </c>
      <c r="N571" s="2">
        <v>0</v>
      </c>
      <c r="O571" s="2">
        <v>0</v>
      </c>
      <c r="P571" s="2"/>
      <c r="Q571" s="2">
        <v>3923</v>
      </c>
      <c r="R571" s="2">
        <v>54869</v>
      </c>
      <c r="S571" s="2">
        <v>56767</v>
      </c>
      <c r="T571" s="2">
        <v>48576</v>
      </c>
      <c r="U571" s="2">
        <v>0</v>
      </c>
      <c r="V571" s="2"/>
      <c r="W571" s="2">
        <v>47908</v>
      </c>
      <c r="X571" s="2">
        <v>38893</v>
      </c>
      <c r="Y571" s="2">
        <v>0</v>
      </c>
      <c r="Z571" s="2">
        <v>0</v>
      </c>
      <c r="AA571" s="2">
        <v>0</v>
      </c>
      <c r="AB571" s="2"/>
      <c r="AC571" s="2">
        <v>10075</v>
      </c>
      <c r="AD571" s="2">
        <v>4970</v>
      </c>
      <c r="AE571" s="2">
        <v>4971</v>
      </c>
      <c r="AF571" s="2">
        <v>0</v>
      </c>
      <c r="AG571" s="2">
        <v>0</v>
      </c>
      <c r="AH571" s="2"/>
      <c r="AI571" s="2">
        <v>-9974</v>
      </c>
      <c r="AJ571" s="2">
        <v>-9972</v>
      </c>
      <c r="AK571" s="2">
        <v>-7470</v>
      </c>
      <c r="AL571" s="2">
        <v>0</v>
      </c>
      <c r="AM571" s="2">
        <v>-9972</v>
      </c>
    </row>
    <row r="572" spans="1:39">
      <c r="A572" s="349">
        <v>96071</v>
      </c>
      <c r="B572" s="342" t="s">
        <v>1263</v>
      </c>
      <c r="C572" s="358">
        <v>1.3179000000000001E-3</v>
      </c>
      <c r="E572" s="2">
        <v>522465</v>
      </c>
      <c r="F572" s="2">
        <v>664631</v>
      </c>
      <c r="G572" s="2">
        <v>403353</v>
      </c>
      <c r="H572" s="2">
        <v>196133</v>
      </c>
      <c r="I572" s="2">
        <v>0</v>
      </c>
      <c r="J572" s="2"/>
      <c r="K572" s="2">
        <v>244351</v>
      </c>
      <c r="L572" s="2">
        <v>225089</v>
      </c>
      <c r="M572" s="2">
        <v>125277</v>
      </c>
      <c r="N572" s="2">
        <v>0</v>
      </c>
      <c r="O572" s="2">
        <v>0</v>
      </c>
      <c r="P572" s="2"/>
      <c r="Q572" s="2">
        <v>15840</v>
      </c>
      <c r="R572" s="2">
        <v>221546</v>
      </c>
      <c r="S572" s="2">
        <v>229207</v>
      </c>
      <c r="T572" s="2">
        <v>196133</v>
      </c>
      <c r="U572" s="2">
        <v>0</v>
      </c>
      <c r="V572" s="2"/>
      <c r="W572" s="2">
        <v>193436</v>
      </c>
      <c r="X572" s="2">
        <v>157037</v>
      </c>
      <c r="Y572" s="2">
        <v>0</v>
      </c>
      <c r="Z572" s="2">
        <v>0</v>
      </c>
      <c r="AA572" s="2">
        <v>0</v>
      </c>
      <c r="AB572" s="2"/>
      <c r="AC572" s="2">
        <v>68838</v>
      </c>
      <c r="AD572" s="2">
        <v>60959</v>
      </c>
      <c r="AE572" s="2">
        <v>48869</v>
      </c>
      <c r="AF572" s="2">
        <v>0</v>
      </c>
      <c r="AG572" s="2">
        <v>0</v>
      </c>
      <c r="AH572" s="2"/>
      <c r="AI572" s="2">
        <v>0</v>
      </c>
      <c r="AJ572" s="2">
        <v>0</v>
      </c>
      <c r="AK572" s="2">
        <v>0</v>
      </c>
      <c r="AL572" s="2">
        <v>0</v>
      </c>
      <c r="AM572" s="2">
        <v>0</v>
      </c>
    </row>
    <row r="573" spans="1:39">
      <c r="A573" s="349">
        <v>96081</v>
      </c>
      <c r="B573" s="342" t="s">
        <v>1264</v>
      </c>
      <c r="C573" s="358">
        <v>5.5960000000000005E-4</v>
      </c>
      <c r="E573" s="2">
        <v>194618</v>
      </c>
      <c r="F573" s="2">
        <v>257596</v>
      </c>
      <c r="G573" s="2">
        <v>150094</v>
      </c>
      <c r="H573" s="2">
        <v>83281</v>
      </c>
      <c r="I573" s="2">
        <v>0</v>
      </c>
      <c r="J573" s="2"/>
      <c r="K573" s="2">
        <v>103755</v>
      </c>
      <c r="L573" s="2">
        <v>95576</v>
      </c>
      <c r="M573" s="2">
        <v>53194</v>
      </c>
      <c r="N573" s="2">
        <v>0</v>
      </c>
      <c r="O573" s="2">
        <v>0</v>
      </c>
      <c r="P573" s="2"/>
      <c r="Q573" s="2">
        <v>6726</v>
      </c>
      <c r="R573" s="2">
        <v>94072</v>
      </c>
      <c r="S573" s="2">
        <v>97325</v>
      </c>
      <c r="T573" s="2">
        <v>83281</v>
      </c>
      <c r="U573" s="2">
        <v>0</v>
      </c>
      <c r="V573" s="2"/>
      <c r="W573" s="2">
        <v>82136</v>
      </c>
      <c r="X573" s="2">
        <v>66680</v>
      </c>
      <c r="Y573" s="2">
        <v>0</v>
      </c>
      <c r="Z573" s="2">
        <v>0</v>
      </c>
      <c r="AA573" s="2">
        <v>0</v>
      </c>
      <c r="AB573" s="2"/>
      <c r="AC573" s="2">
        <v>6788</v>
      </c>
      <c r="AD573" s="2">
        <v>6055</v>
      </c>
      <c r="AE573" s="2">
        <v>4363</v>
      </c>
      <c r="AF573" s="2">
        <v>0</v>
      </c>
      <c r="AG573" s="2">
        <v>0</v>
      </c>
      <c r="AH573" s="2"/>
      <c r="AI573" s="2">
        <v>-4787</v>
      </c>
      <c r="AJ573" s="2">
        <v>-4787</v>
      </c>
      <c r="AK573" s="2">
        <v>-4788</v>
      </c>
      <c r="AL573" s="2">
        <v>0</v>
      </c>
      <c r="AM573" s="2">
        <v>-4787</v>
      </c>
    </row>
    <row r="574" spans="1:39">
      <c r="A574" s="349">
        <v>96101</v>
      </c>
      <c r="B574" s="342" t="s">
        <v>1265</v>
      </c>
      <c r="C574" s="358">
        <v>6.2960000000000002E-4</v>
      </c>
      <c r="E574" s="2">
        <v>205110</v>
      </c>
      <c r="F574" s="2">
        <v>271461</v>
      </c>
      <c r="G574" s="2">
        <v>143906</v>
      </c>
      <c r="H574" s="2">
        <v>93698</v>
      </c>
      <c r="I574" s="2">
        <v>0</v>
      </c>
      <c r="J574" s="2"/>
      <c r="K574" s="2">
        <v>116734</v>
      </c>
      <c r="L574" s="2">
        <v>107532</v>
      </c>
      <c r="M574" s="2">
        <v>59849</v>
      </c>
      <c r="N574" s="2">
        <v>0</v>
      </c>
      <c r="O574" s="2">
        <v>0</v>
      </c>
      <c r="P574" s="2"/>
      <c r="Q574" s="2">
        <v>7567</v>
      </c>
      <c r="R574" s="2">
        <v>105839</v>
      </c>
      <c r="S574" s="2">
        <v>109499</v>
      </c>
      <c r="T574" s="2">
        <v>93698</v>
      </c>
      <c r="U574" s="2">
        <v>0</v>
      </c>
      <c r="V574" s="2"/>
      <c r="W574" s="2">
        <v>92410</v>
      </c>
      <c r="X574" s="2">
        <v>75021</v>
      </c>
      <c r="Y574" s="2">
        <v>0</v>
      </c>
      <c r="Z574" s="2">
        <v>0</v>
      </c>
      <c r="AA574" s="2">
        <v>0</v>
      </c>
      <c r="AB574" s="2"/>
      <c r="AC574" s="2">
        <v>13842</v>
      </c>
      <c r="AD574" s="2">
        <v>8512</v>
      </c>
      <c r="AE574" s="2">
        <v>0</v>
      </c>
      <c r="AF574" s="2">
        <v>0</v>
      </c>
      <c r="AG574" s="2">
        <v>0</v>
      </c>
      <c r="AH574" s="2"/>
      <c r="AI574" s="2">
        <v>-25443</v>
      </c>
      <c r="AJ574" s="2">
        <v>-25443</v>
      </c>
      <c r="AK574" s="2">
        <v>-25442</v>
      </c>
      <c r="AL574" s="2">
        <v>0</v>
      </c>
      <c r="AM574" s="2">
        <v>-25443</v>
      </c>
    </row>
    <row r="575" spans="1:39">
      <c r="A575" s="349">
        <v>96102</v>
      </c>
      <c r="B575" s="342" t="s">
        <v>2794</v>
      </c>
      <c r="C575" s="358">
        <v>1.1399999999999999E-5</v>
      </c>
      <c r="E575" s="2">
        <v>2317</v>
      </c>
      <c r="F575" s="2">
        <v>3947</v>
      </c>
      <c r="G575" s="2">
        <v>2331</v>
      </c>
      <c r="H575" s="2">
        <v>1697</v>
      </c>
      <c r="I575" s="2">
        <v>0</v>
      </c>
      <c r="J575" s="2"/>
      <c r="K575" s="2">
        <v>2114</v>
      </c>
      <c r="L575" s="2">
        <v>1947</v>
      </c>
      <c r="M575" s="2">
        <v>1084</v>
      </c>
      <c r="N575" s="2">
        <v>0</v>
      </c>
      <c r="O575" s="2">
        <v>0</v>
      </c>
      <c r="P575" s="2"/>
      <c r="Q575" s="2">
        <v>137</v>
      </c>
      <c r="R575" s="2">
        <v>1916</v>
      </c>
      <c r="S575" s="2">
        <v>1983</v>
      </c>
      <c r="T575" s="2">
        <v>1697</v>
      </c>
      <c r="U575" s="2">
        <v>0</v>
      </c>
      <c r="V575" s="2"/>
      <c r="W575" s="2">
        <v>1673</v>
      </c>
      <c r="X575" s="2">
        <v>1358</v>
      </c>
      <c r="Y575" s="2">
        <v>0</v>
      </c>
      <c r="Z575" s="2">
        <v>0</v>
      </c>
      <c r="AA575" s="2">
        <v>0</v>
      </c>
      <c r="AB575" s="2"/>
      <c r="AC575" s="2">
        <v>0</v>
      </c>
      <c r="AD575" s="2">
        <v>0</v>
      </c>
      <c r="AE575" s="2">
        <v>0</v>
      </c>
      <c r="AF575" s="2">
        <v>0</v>
      </c>
      <c r="AG575" s="2">
        <v>0</v>
      </c>
      <c r="AH575" s="2"/>
      <c r="AI575" s="2">
        <v>-1607</v>
      </c>
      <c r="AJ575" s="2">
        <v>-1274</v>
      </c>
      <c r="AK575" s="2">
        <v>-736</v>
      </c>
      <c r="AL575" s="2">
        <v>0</v>
      </c>
      <c r="AM575" s="2">
        <v>-1274</v>
      </c>
    </row>
    <row r="576" spans="1:39">
      <c r="A576" s="349">
        <v>96111</v>
      </c>
      <c r="B576" s="342" t="s">
        <v>1267</v>
      </c>
      <c r="C576" s="358">
        <v>1.6689999999999999E-4</v>
      </c>
      <c r="E576" s="2">
        <v>70317</v>
      </c>
      <c r="F576" s="2">
        <v>89736</v>
      </c>
      <c r="G576" s="2">
        <v>55990</v>
      </c>
      <c r="H576" s="2">
        <v>24838</v>
      </c>
      <c r="I576" s="2">
        <v>0</v>
      </c>
      <c r="J576" s="2"/>
      <c r="K576" s="2">
        <v>30945</v>
      </c>
      <c r="L576" s="2">
        <v>28506</v>
      </c>
      <c r="M576" s="2">
        <v>15865</v>
      </c>
      <c r="N576" s="2">
        <v>0</v>
      </c>
      <c r="O576" s="2">
        <v>0</v>
      </c>
      <c r="P576" s="2"/>
      <c r="Q576" s="2">
        <v>2006</v>
      </c>
      <c r="R576" s="2">
        <v>28057</v>
      </c>
      <c r="S576" s="2">
        <v>29027</v>
      </c>
      <c r="T576" s="2">
        <v>24838</v>
      </c>
      <c r="U576" s="2">
        <v>0</v>
      </c>
      <c r="V576" s="2"/>
      <c r="W576" s="2">
        <v>24497</v>
      </c>
      <c r="X576" s="2">
        <v>19887</v>
      </c>
      <c r="Y576" s="2">
        <v>0</v>
      </c>
      <c r="Z576" s="2">
        <v>0</v>
      </c>
      <c r="AA576" s="2">
        <v>0</v>
      </c>
      <c r="AB576" s="2"/>
      <c r="AC576" s="2">
        <v>13288</v>
      </c>
      <c r="AD576" s="2">
        <v>13286</v>
      </c>
      <c r="AE576" s="2">
        <v>11098</v>
      </c>
      <c r="AF576" s="2">
        <v>0</v>
      </c>
      <c r="AG576" s="2">
        <v>0</v>
      </c>
      <c r="AH576" s="2"/>
      <c r="AI576" s="2">
        <v>-419</v>
      </c>
      <c r="AJ576" s="2">
        <v>0</v>
      </c>
      <c r="AK576" s="2">
        <v>0</v>
      </c>
      <c r="AL576" s="2">
        <v>0</v>
      </c>
      <c r="AM576" s="2">
        <v>0</v>
      </c>
    </row>
    <row r="577" spans="1:39">
      <c r="A577" s="349">
        <v>96121</v>
      </c>
      <c r="B577" s="342" t="s">
        <v>1268</v>
      </c>
      <c r="C577" s="358">
        <v>1.6699999999999999E-5</v>
      </c>
      <c r="E577" s="2">
        <v>2011</v>
      </c>
      <c r="F577" s="2">
        <v>4104</v>
      </c>
      <c r="G577" s="2">
        <v>1302</v>
      </c>
      <c r="H577" s="2">
        <v>2485</v>
      </c>
      <c r="I577" s="2">
        <v>0</v>
      </c>
      <c r="J577" s="2"/>
      <c r="K577" s="2">
        <v>3096</v>
      </c>
      <c r="L577" s="2">
        <v>2852</v>
      </c>
      <c r="M577" s="2">
        <v>1587</v>
      </c>
      <c r="N577" s="2">
        <v>0</v>
      </c>
      <c r="O577" s="2">
        <v>0</v>
      </c>
      <c r="P577" s="2"/>
      <c r="Q577" s="2">
        <v>201</v>
      </c>
      <c r="R577" s="2">
        <v>2807</v>
      </c>
      <c r="S577" s="2">
        <v>2904</v>
      </c>
      <c r="T577" s="2">
        <v>2485</v>
      </c>
      <c r="U577" s="2">
        <v>0</v>
      </c>
      <c r="V577" s="2"/>
      <c r="W577" s="2">
        <v>2451</v>
      </c>
      <c r="X577" s="2">
        <v>1990</v>
      </c>
      <c r="Y577" s="2">
        <v>0</v>
      </c>
      <c r="Z577" s="2">
        <v>0</v>
      </c>
      <c r="AA577" s="2">
        <v>0</v>
      </c>
      <c r="AB577" s="2"/>
      <c r="AC577" s="2">
        <v>92</v>
      </c>
      <c r="AD577" s="2">
        <v>92</v>
      </c>
      <c r="AE577" s="2">
        <v>93</v>
      </c>
      <c r="AF577" s="2">
        <v>0</v>
      </c>
      <c r="AG577" s="2">
        <v>0</v>
      </c>
      <c r="AH577" s="2"/>
      <c r="AI577" s="2">
        <v>-3829</v>
      </c>
      <c r="AJ577" s="2">
        <v>-3637</v>
      </c>
      <c r="AK577" s="2">
        <v>-3282</v>
      </c>
      <c r="AL577" s="2">
        <v>0</v>
      </c>
      <c r="AM577" s="2">
        <v>-3637</v>
      </c>
    </row>
    <row r="578" spans="1:39">
      <c r="A578" s="349">
        <v>96201</v>
      </c>
      <c r="B578" s="342" t="s">
        <v>1269</v>
      </c>
      <c r="C578" s="358">
        <v>9.7280000000000001E-4</v>
      </c>
      <c r="E578" s="2">
        <v>280883</v>
      </c>
      <c r="F578" s="2">
        <v>402974</v>
      </c>
      <c r="G578" s="2">
        <v>231697</v>
      </c>
      <c r="H578" s="2">
        <v>144774</v>
      </c>
      <c r="I578" s="2">
        <v>0</v>
      </c>
      <c r="J578" s="2"/>
      <c r="K578" s="2">
        <v>180366</v>
      </c>
      <c r="L578" s="2">
        <v>166148</v>
      </c>
      <c r="M578" s="2">
        <v>92472</v>
      </c>
      <c r="N578" s="2">
        <v>0</v>
      </c>
      <c r="O578" s="2">
        <v>0</v>
      </c>
      <c r="P578" s="2"/>
      <c r="Q578" s="2">
        <v>11692</v>
      </c>
      <c r="R578" s="2">
        <v>163533</v>
      </c>
      <c r="S578" s="2">
        <v>169187</v>
      </c>
      <c r="T578" s="2">
        <v>144774</v>
      </c>
      <c r="U578" s="2">
        <v>0</v>
      </c>
      <c r="V578" s="2"/>
      <c r="W578" s="2">
        <v>142784</v>
      </c>
      <c r="X578" s="2">
        <v>115916</v>
      </c>
      <c r="Y578" s="2">
        <v>0</v>
      </c>
      <c r="Z578" s="2">
        <v>0</v>
      </c>
      <c r="AA578" s="2">
        <v>0</v>
      </c>
      <c r="AB578" s="2"/>
      <c r="AC578" s="2">
        <v>0</v>
      </c>
      <c r="AD578" s="2">
        <v>0</v>
      </c>
      <c r="AE578" s="2">
        <v>0</v>
      </c>
      <c r="AF578" s="2">
        <v>0</v>
      </c>
      <c r="AG578" s="2">
        <v>0</v>
      </c>
      <c r="AH578" s="2"/>
      <c r="AI578" s="2">
        <v>-53959</v>
      </c>
      <c r="AJ578" s="2">
        <v>-42623</v>
      </c>
      <c r="AK578" s="2">
        <v>-29962</v>
      </c>
      <c r="AL578" s="2">
        <v>0</v>
      </c>
      <c r="AM578" s="2">
        <v>-42623</v>
      </c>
    </row>
    <row r="579" spans="1:39">
      <c r="A579" s="349">
        <v>96204</v>
      </c>
      <c r="B579" s="342" t="s">
        <v>1270</v>
      </c>
      <c r="C579" s="358">
        <v>1.3699999999999999E-5</v>
      </c>
      <c r="E579" s="2">
        <v>6778</v>
      </c>
      <c r="F579" s="2">
        <v>8075</v>
      </c>
      <c r="G579" s="2">
        <v>5179</v>
      </c>
      <c r="H579" s="2">
        <v>2039</v>
      </c>
      <c r="I579" s="2">
        <v>0</v>
      </c>
      <c r="J579" s="2"/>
      <c r="K579" s="2">
        <v>2540</v>
      </c>
      <c r="L579" s="2">
        <v>2340</v>
      </c>
      <c r="M579" s="2">
        <v>1302</v>
      </c>
      <c r="N579" s="2">
        <v>0</v>
      </c>
      <c r="O579" s="2">
        <v>0</v>
      </c>
      <c r="P579" s="2"/>
      <c r="Q579" s="2">
        <v>165</v>
      </c>
      <c r="R579" s="2">
        <v>2303</v>
      </c>
      <c r="S579" s="2">
        <v>2383</v>
      </c>
      <c r="T579" s="2">
        <v>2039</v>
      </c>
      <c r="U579" s="2">
        <v>0</v>
      </c>
      <c r="V579" s="2"/>
      <c r="W579" s="2">
        <v>2011</v>
      </c>
      <c r="X579" s="2">
        <v>1632</v>
      </c>
      <c r="Y579" s="2">
        <v>0</v>
      </c>
      <c r="Z579" s="2">
        <v>0</v>
      </c>
      <c r="AA579" s="2">
        <v>0</v>
      </c>
      <c r="AB579" s="2"/>
      <c r="AC579" s="2">
        <v>2062</v>
      </c>
      <c r="AD579" s="2">
        <v>1800</v>
      </c>
      <c r="AE579" s="2">
        <v>1494</v>
      </c>
      <c r="AF579" s="2">
        <v>0</v>
      </c>
      <c r="AG579" s="2">
        <v>0</v>
      </c>
      <c r="AH579" s="2"/>
      <c r="AI579" s="2">
        <v>0</v>
      </c>
      <c r="AJ579" s="2">
        <v>0</v>
      </c>
      <c r="AK579" s="2">
        <v>0</v>
      </c>
      <c r="AL579" s="2">
        <v>0</v>
      </c>
      <c r="AM579" s="2">
        <v>0</v>
      </c>
    </row>
    <row r="580" spans="1:39">
      <c r="A580" s="349">
        <v>96211</v>
      </c>
      <c r="B580" s="342" t="s">
        <v>1271</v>
      </c>
      <c r="C580" s="358">
        <v>2.1999999999999999E-5</v>
      </c>
      <c r="E580" s="2">
        <v>10169</v>
      </c>
      <c r="F580" s="2">
        <v>12496</v>
      </c>
      <c r="G580" s="2">
        <v>7235</v>
      </c>
      <c r="H580" s="2">
        <v>3274</v>
      </c>
      <c r="I580" s="2">
        <v>0</v>
      </c>
      <c r="J580" s="2"/>
      <c r="K580" s="2">
        <v>4079</v>
      </c>
      <c r="L580" s="2">
        <v>3757</v>
      </c>
      <c r="M580" s="2">
        <v>2091</v>
      </c>
      <c r="N580" s="2">
        <v>0</v>
      </c>
      <c r="O580" s="2">
        <v>0</v>
      </c>
      <c r="P580" s="2"/>
      <c r="Q580" s="2">
        <v>264</v>
      </c>
      <c r="R580" s="2">
        <v>3698</v>
      </c>
      <c r="S580" s="2">
        <v>3826</v>
      </c>
      <c r="T580" s="2">
        <v>3274</v>
      </c>
      <c r="U580" s="2">
        <v>0</v>
      </c>
      <c r="V580" s="2"/>
      <c r="W580" s="2">
        <v>3229</v>
      </c>
      <c r="X580" s="2">
        <v>2621</v>
      </c>
      <c r="Y580" s="2">
        <v>0</v>
      </c>
      <c r="Z580" s="2">
        <v>0</v>
      </c>
      <c r="AA580" s="2">
        <v>0</v>
      </c>
      <c r="AB580" s="2"/>
      <c r="AC580" s="2">
        <v>2597</v>
      </c>
      <c r="AD580" s="2">
        <v>2420</v>
      </c>
      <c r="AE580" s="2">
        <v>1318</v>
      </c>
      <c r="AF580" s="2">
        <v>0</v>
      </c>
      <c r="AG580" s="2">
        <v>0</v>
      </c>
      <c r="AH580" s="2"/>
      <c r="AI580" s="2">
        <v>0</v>
      </c>
      <c r="AJ580" s="2">
        <v>0</v>
      </c>
      <c r="AK580" s="2">
        <v>0</v>
      </c>
      <c r="AL580" s="2">
        <v>0</v>
      </c>
      <c r="AM580" s="2">
        <v>0</v>
      </c>
    </row>
    <row r="581" spans="1:39">
      <c r="A581" s="349">
        <v>96221</v>
      </c>
      <c r="B581" s="342" t="s">
        <v>1272</v>
      </c>
      <c r="C581" s="358">
        <v>1.964E-4</v>
      </c>
      <c r="E581" s="2">
        <v>54193</v>
      </c>
      <c r="F581" s="2">
        <v>77504</v>
      </c>
      <c r="G581" s="2">
        <v>42458</v>
      </c>
      <c r="H581" s="2">
        <v>29229</v>
      </c>
      <c r="I581" s="2">
        <v>0</v>
      </c>
      <c r="J581" s="2"/>
      <c r="K581" s="2">
        <v>36414</v>
      </c>
      <c r="L581" s="2">
        <v>33544</v>
      </c>
      <c r="M581" s="2">
        <v>18669</v>
      </c>
      <c r="N581" s="2">
        <v>0</v>
      </c>
      <c r="O581" s="2">
        <v>0</v>
      </c>
      <c r="P581" s="2"/>
      <c r="Q581" s="2">
        <v>2361</v>
      </c>
      <c r="R581" s="2">
        <v>33016</v>
      </c>
      <c r="S581" s="2">
        <v>34157</v>
      </c>
      <c r="T581" s="2">
        <v>29229</v>
      </c>
      <c r="U581" s="2">
        <v>0</v>
      </c>
      <c r="V581" s="2"/>
      <c r="W581" s="2">
        <v>28827</v>
      </c>
      <c r="X581" s="2">
        <v>23402</v>
      </c>
      <c r="Y581" s="2">
        <v>0</v>
      </c>
      <c r="Z581" s="2">
        <v>0</v>
      </c>
      <c r="AA581" s="2">
        <v>0</v>
      </c>
      <c r="AB581" s="2"/>
      <c r="AC581" s="2">
        <v>0</v>
      </c>
      <c r="AD581" s="2">
        <v>0</v>
      </c>
      <c r="AE581" s="2">
        <v>0</v>
      </c>
      <c r="AF581" s="2">
        <v>0</v>
      </c>
      <c r="AG581" s="2">
        <v>0</v>
      </c>
      <c r="AH581" s="2"/>
      <c r="AI581" s="2">
        <v>-13409</v>
      </c>
      <c r="AJ581" s="2">
        <v>-12458</v>
      </c>
      <c r="AK581" s="2">
        <v>-10368</v>
      </c>
      <c r="AL581" s="2">
        <v>0</v>
      </c>
      <c r="AM581" s="2">
        <v>-12458</v>
      </c>
    </row>
    <row r="582" spans="1:39">
      <c r="A582" s="349">
        <v>96231</v>
      </c>
      <c r="B582" s="342" t="s">
        <v>1273</v>
      </c>
      <c r="C582" s="358">
        <v>1.058E-4</v>
      </c>
      <c r="E582" s="2">
        <v>20854</v>
      </c>
      <c r="F582" s="2">
        <v>32262</v>
      </c>
      <c r="G582" s="2">
        <v>16026</v>
      </c>
      <c r="H582" s="2">
        <v>15745</v>
      </c>
      <c r="I582" s="2">
        <v>0</v>
      </c>
      <c r="J582" s="2"/>
      <c r="K582" s="2">
        <v>19616</v>
      </c>
      <c r="L582" s="2">
        <v>18070</v>
      </c>
      <c r="M582" s="2">
        <v>10057</v>
      </c>
      <c r="N582" s="2">
        <v>0</v>
      </c>
      <c r="O582" s="2">
        <v>0</v>
      </c>
      <c r="P582" s="2"/>
      <c r="Q582" s="2">
        <v>1272</v>
      </c>
      <c r="R582" s="2">
        <v>17786</v>
      </c>
      <c r="S582" s="2">
        <v>18401</v>
      </c>
      <c r="T582" s="2">
        <v>15745</v>
      </c>
      <c r="U582" s="2">
        <v>0</v>
      </c>
      <c r="V582" s="2"/>
      <c r="W582" s="2">
        <v>15529</v>
      </c>
      <c r="X582" s="2">
        <v>12607</v>
      </c>
      <c r="Y582" s="2">
        <v>0</v>
      </c>
      <c r="Z582" s="2">
        <v>0</v>
      </c>
      <c r="AA582" s="2">
        <v>0</v>
      </c>
      <c r="AB582" s="2"/>
      <c r="AC582" s="2">
        <v>637</v>
      </c>
      <c r="AD582" s="2">
        <v>0</v>
      </c>
      <c r="AE582" s="2">
        <v>0</v>
      </c>
      <c r="AF582" s="2">
        <v>0</v>
      </c>
      <c r="AG582" s="2">
        <v>0</v>
      </c>
      <c r="AH582" s="2"/>
      <c r="AI582" s="2">
        <v>-16200</v>
      </c>
      <c r="AJ582" s="2">
        <v>-16201</v>
      </c>
      <c r="AK582" s="2">
        <v>-12432</v>
      </c>
      <c r="AL582" s="2">
        <v>0</v>
      </c>
      <c r="AM582" s="2">
        <v>-16201</v>
      </c>
    </row>
    <row r="583" spans="1:39">
      <c r="A583" s="349">
        <v>96241</v>
      </c>
      <c r="B583" s="342" t="s">
        <v>1274</v>
      </c>
      <c r="C583" s="358">
        <v>5.9599999999999999E-5</v>
      </c>
      <c r="E583" s="2">
        <v>18686</v>
      </c>
      <c r="F583" s="2">
        <v>25252</v>
      </c>
      <c r="G583" s="2">
        <v>12918</v>
      </c>
      <c r="H583" s="2">
        <v>8870</v>
      </c>
      <c r="I583" s="2">
        <v>0</v>
      </c>
      <c r="J583" s="2"/>
      <c r="K583" s="2">
        <v>11050</v>
      </c>
      <c r="L583" s="2">
        <v>10179</v>
      </c>
      <c r="M583" s="2">
        <v>5665</v>
      </c>
      <c r="N583" s="2">
        <v>0</v>
      </c>
      <c r="O583" s="2">
        <v>0</v>
      </c>
      <c r="P583" s="2"/>
      <c r="Q583" s="2">
        <v>716</v>
      </c>
      <c r="R583" s="2">
        <v>10019</v>
      </c>
      <c r="S583" s="2">
        <v>10366</v>
      </c>
      <c r="T583" s="2">
        <v>8870</v>
      </c>
      <c r="U583" s="2">
        <v>0</v>
      </c>
      <c r="V583" s="2"/>
      <c r="W583" s="2">
        <v>8748</v>
      </c>
      <c r="X583" s="2">
        <v>7102</v>
      </c>
      <c r="Y583" s="2">
        <v>0</v>
      </c>
      <c r="Z583" s="2">
        <v>0</v>
      </c>
      <c r="AA583" s="2">
        <v>0</v>
      </c>
      <c r="AB583" s="2"/>
      <c r="AC583" s="2">
        <v>2106</v>
      </c>
      <c r="AD583" s="2">
        <v>1886</v>
      </c>
      <c r="AE583" s="2">
        <v>819</v>
      </c>
      <c r="AF583" s="2">
        <v>0</v>
      </c>
      <c r="AG583" s="2">
        <v>0</v>
      </c>
      <c r="AH583" s="2"/>
      <c r="AI583" s="2">
        <v>-3934</v>
      </c>
      <c r="AJ583" s="2">
        <v>-3934</v>
      </c>
      <c r="AK583" s="2">
        <v>-3932</v>
      </c>
      <c r="AL583" s="2">
        <v>0</v>
      </c>
      <c r="AM583" s="2">
        <v>-3934</v>
      </c>
    </row>
    <row r="584" spans="1:39">
      <c r="A584" s="349">
        <v>96251</v>
      </c>
      <c r="B584" s="342" t="s">
        <v>1275</v>
      </c>
      <c r="C584" s="358">
        <v>8.8399999999999994E-5</v>
      </c>
      <c r="E584" s="2">
        <v>21776</v>
      </c>
      <c r="F584" s="2">
        <v>30291</v>
      </c>
      <c r="G584" s="2">
        <v>14118</v>
      </c>
      <c r="H584" s="2">
        <v>13156</v>
      </c>
      <c r="I584" s="2">
        <v>0</v>
      </c>
      <c r="J584" s="2"/>
      <c r="K584" s="2">
        <v>16390</v>
      </c>
      <c r="L584" s="2">
        <v>15098</v>
      </c>
      <c r="M584" s="2">
        <v>8403</v>
      </c>
      <c r="N584" s="2">
        <v>0</v>
      </c>
      <c r="O584" s="2">
        <v>0</v>
      </c>
      <c r="P584" s="2"/>
      <c r="Q584" s="2">
        <v>1062</v>
      </c>
      <c r="R584" s="2">
        <v>14860</v>
      </c>
      <c r="S584" s="2">
        <v>15374</v>
      </c>
      <c r="T584" s="2">
        <v>13156</v>
      </c>
      <c r="U584" s="2">
        <v>0</v>
      </c>
      <c r="V584" s="2"/>
      <c r="W584" s="2">
        <v>12975</v>
      </c>
      <c r="X584" s="2">
        <v>10533</v>
      </c>
      <c r="Y584" s="2">
        <v>0</v>
      </c>
      <c r="Z584" s="2">
        <v>0</v>
      </c>
      <c r="AA584" s="2">
        <v>0</v>
      </c>
      <c r="AB584" s="2"/>
      <c r="AC584" s="2">
        <v>1551</v>
      </c>
      <c r="AD584" s="2">
        <v>0</v>
      </c>
      <c r="AE584" s="2">
        <v>0</v>
      </c>
      <c r="AF584" s="2">
        <v>0</v>
      </c>
      <c r="AG584" s="2">
        <v>0</v>
      </c>
      <c r="AH584" s="2"/>
      <c r="AI584" s="2">
        <v>-10202</v>
      </c>
      <c r="AJ584" s="2">
        <v>-10200</v>
      </c>
      <c r="AK584" s="2">
        <v>-9659</v>
      </c>
      <c r="AL584" s="2">
        <v>0</v>
      </c>
      <c r="AM584" s="2">
        <v>-10200</v>
      </c>
    </row>
    <row r="585" spans="1:39">
      <c r="A585" s="349">
        <v>96301</v>
      </c>
      <c r="B585" s="342" t="s">
        <v>1276</v>
      </c>
      <c r="C585" s="358">
        <v>4.7971999999999997E-3</v>
      </c>
      <c r="E585" s="2">
        <v>1703375</v>
      </c>
      <c r="F585" s="2">
        <v>2264458</v>
      </c>
      <c r="G585" s="2">
        <v>1364363</v>
      </c>
      <c r="H585" s="2">
        <v>713929</v>
      </c>
      <c r="I585" s="2">
        <v>0</v>
      </c>
      <c r="J585" s="2"/>
      <c r="K585" s="2">
        <v>889444</v>
      </c>
      <c r="L585" s="2">
        <v>819333</v>
      </c>
      <c r="M585" s="2">
        <v>456012</v>
      </c>
      <c r="N585" s="2">
        <v>0</v>
      </c>
      <c r="O585" s="2">
        <v>0</v>
      </c>
      <c r="P585" s="2"/>
      <c r="Q585" s="2">
        <v>57658</v>
      </c>
      <c r="R585" s="2">
        <v>806433</v>
      </c>
      <c r="S585" s="2">
        <v>834319</v>
      </c>
      <c r="T585" s="2">
        <v>713929</v>
      </c>
      <c r="U585" s="2">
        <v>0</v>
      </c>
      <c r="V585" s="2"/>
      <c r="W585" s="2">
        <v>704114</v>
      </c>
      <c r="X585" s="2">
        <v>571620</v>
      </c>
      <c r="Y585" s="2">
        <v>0</v>
      </c>
      <c r="Z585" s="2">
        <v>0</v>
      </c>
      <c r="AA585" s="2">
        <v>0</v>
      </c>
      <c r="AB585" s="2"/>
      <c r="AC585" s="2">
        <v>74034</v>
      </c>
      <c r="AD585" s="2">
        <v>74034</v>
      </c>
      <c r="AE585" s="2">
        <v>74032</v>
      </c>
      <c r="AF585" s="2">
        <v>0</v>
      </c>
      <c r="AG585" s="2">
        <v>0</v>
      </c>
      <c r="AH585" s="2"/>
      <c r="AI585" s="2">
        <v>-21875</v>
      </c>
      <c r="AJ585" s="2">
        <v>-6962</v>
      </c>
      <c r="AK585" s="2">
        <v>0</v>
      </c>
      <c r="AL585" s="2">
        <v>0</v>
      </c>
      <c r="AM585" s="2">
        <v>-6962</v>
      </c>
    </row>
    <row r="586" spans="1:39">
      <c r="A586" s="349">
        <v>96302</v>
      </c>
      <c r="B586" s="342" t="s">
        <v>1277</v>
      </c>
      <c r="C586" s="358">
        <v>5.2200000000000002E-5</v>
      </c>
      <c r="E586" s="2">
        <v>28413</v>
      </c>
      <c r="F586" s="2">
        <v>33237</v>
      </c>
      <c r="G586" s="2">
        <v>23559</v>
      </c>
      <c r="H586" s="2">
        <v>7769</v>
      </c>
      <c r="I586" s="2">
        <v>0</v>
      </c>
      <c r="J586" s="2"/>
      <c r="K586" s="2">
        <v>9678</v>
      </c>
      <c r="L586" s="2">
        <v>8915</v>
      </c>
      <c r="M586" s="2">
        <v>4962</v>
      </c>
      <c r="N586" s="2">
        <v>0</v>
      </c>
      <c r="O586" s="2">
        <v>0</v>
      </c>
      <c r="P586" s="2"/>
      <c r="Q586" s="2">
        <v>627</v>
      </c>
      <c r="R586" s="2">
        <v>8775</v>
      </c>
      <c r="S586" s="2">
        <v>9079</v>
      </c>
      <c r="T586" s="2">
        <v>7769</v>
      </c>
      <c r="U586" s="2">
        <v>0</v>
      </c>
      <c r="V586" s="2"/>
      <c r="W586" s="2">
        <v>7662</v>
      </c>
      <c r="X586" s="2">
        <v>6220</v>
      </c>
      <c r="Y586" s="2">
        <v>0</v>
      </c>
      <c r="Z586" s="2">
        <v>0</v>
      </c>
      <c r="AA586" s="2">
        <v>0</v>
      </c>
      <c r="AB586" s="2"/>
      <c r="AC586" s="2">
        <v>10632</v>
      </c>
      <c r="AD586" s="2">
        <v>9515</v>
      </c>
      <c r="AE586" s="2">
        <v>9518</v>
      </c>
      <c r="AF586" s="2">
        <v>0</v>
      </c>
      <c r="AG586" s="2">
        <v>0</v>
      </c>
      <c r="AH586" s="2"/>
      <c r="AI586" s="2">
        <v>-186</v>
      </c>
      <c r="AJ586" s="2">
        <v>-188</v>
      </c>
      <c r="AK586" s="2">
        <v>0</v>
      </c>
      <c r="AL586" s="2">
        <v>0</v>
      </c>
      <c r="AM586" s="2">
        <v>-188</v>
      </c>
    </row>
    <row r="587" spans="1:39">
      <c r="A587" s="349">
        <v>96304</v>
      </c>
      <c r="B587" s="342" t="s">
        <v>1278</v>
      </c>
      <c r="C587" s="358">
        <v>4.6400000000000003E-5</v>
      </c>
      <c r="E587" s="2">
        <v>20283</v>
      </c>
      <c r="F587" s="2">
        <v>25810</v>
      </c>
      <c r="G587" s="2">
        <v>15536</v>
      </c>
      <c r="H587" s="2">
        <v>6905</v>
      </c>
      <c r="I587" s="2">
        <v>0</v>
      </c>
      <c r="J587" s="2"/>
      <c r="K587" s="2">
        <v>8603</v>
      </c>
      <c r="L587" s="2">
        <v>7925</v>
      </c>
      <c r="M587" s="2">
        <v>4411</v>
      </c>
      <c r="N587" s="2">
        <v>0</v>
      </c>
      <c r="O587" s="2">
        <v>0</v>
      </c>
      <c r="P587" s="2"/>
      <c r="Q587" s="2">
        <v>558</v>
      </c>
      <c r="R587" s="2">
        <v>7800</v>
      </c>
      <c r="S587" s="2">
        <v>8070</v>
      </c>
      <c r="T587" s="2">
        <v>6905</v>
      </c>
      <c r="U587" s="2">
        <v>0</v>
      </c>
      <c r="V587" s="2"/>
      <c r="W587" s="2">
        <v>6810</v>
      </c>
      <c r="X587" s="2">
        <v>5529</v>
      </c>
      <c r="Y587" s="2">
        <v>0</v>
      </c>
      <c r="Z587" s="2">
        <v>0</v>
      </c>
      <c r="AA587" s="2">
        <v>0</v>
      </c>
      <c r="AB587" s="2"/>
      <c r="AC587" s="2">
        <v>4557</v>
      </c>
      <c r="AD587" s="2">
        <v>4556</v>
      </c>
      <c r="AE587" s="2">
        <v>3055</v>
      </c>
      <c r="AF587" s="2">
        <v>0</v>
      </c>
      <c r="AG587" s="2">
        <v>0</v>
      </c>
      <c r="AH587" s="2"/>
      <c r="AI587" s="2">
        <v>-245</v>
      </c>
      <c r="AJ587" s="2">
        <v>0</v>
      </c>
      <c r="AK587" s="2">
        <v>0</v>
      </c>
      <c r="AL587" s="2">
        <v>0</v>
      </c>
      <c r="AM587" s="2">
        <v>0</v>
      </c>
    </row>
    <row r="588" spans="1:39">
      <c r="A588" s="349">
        <v>96305</v>
      </c>
      <c r="B588" s="342" t="s">
        <v>1279</v>
      </c>
      <c r="C588" s="358">
        <v>4.2799999999999997E-5</v>
      </c>
      <c r="E588" s="2">
        <v>23331</v>
      </c>
      <c r="F588" s="2">
        <v>26729</v>
      </c>
      <c r="G588" s="2">
        <v>16709</v>
      </c>
      <c r="H588" s="2">
        <v>6370</v>
      </c>
      <c r="I588" s="2">
        <v>0</v>
      </c>
      <c r="J588" s="2"/>
      <c r="K588" s="2">
        <v>7936</v>
      </c>
      <c r="L588" s="2">
        <v>7310</v>
      </c>
      <c r="M588" s="2">
        <v>4068</v>
      </c>
      <c r="N588" s="2">
        <v>0</v>
      </c>
      <c r="O588" s="2">
        <v>0</v>
      </c>
      <c r="P588" s="2"/>
      <c r="Q588" s="2">
        <v>514</v>
      </c>
      <c r="R588" s="2">
        <v>7195</v>
      </c>
      <c r="S588" s="2">
        <v>7444</v>
      </c>
      <c r="T588" s="2">
        <v>6370</v>
      </c>
      <c r="U588" s="2">
        <v>0</v>
      </c>
      <c r="V588" s="2"/>
      <c r="W588" s="2">
        <v>6282</v>
      </c>
      <c r="X588" s="2">
        <v>5100</v>
      </c>
      <c r="Y588" s="2">
        <v>0</v>
      </c>
      <c r="Z588" s="2">
        <v>0</v>
      </c>
      <c r="AA588" s="2">
        <v>0</v>
      </c>
      <c r="AB588" s="2"/>
      <c r="AC588" s="2">
        <v>8599</v>
      </c>
      <c r="AD588" s="2">
        <v>7124</v>
      </c>
      <c r="AE588" s="2">
        <v>5197</v>
      </c>
      <c r="AF588" s="2">
        <v>0</v>
      </c>
      <c r="AG588" s="2">
        <v>0</v>
      </c>
      <c r="AH588" s="2"/>
      <c r="AI588" s="2">
        <v>0</v>
      </c>
      <c r="AJ588" s="2">
        <v>0</v>
      </c>
      <c r="AK588" s="2">
        <v>0</v>
      </c>
      <c r="AL588" s="2">
        <v>0</v>
      </c>
      <c r="AM588" s="2">
        <v>0</v>
      </c>
    </row>
    <row r="589" spans="1:39">
      <c r="A589" s="349">
        <v>96310</v>
      </c>
      <c r="B589" s="342" t="s">
        <v>1280</v>
      </c>
      <c r="C589" s="358">
        <v>4.5300000000000003E-5</v>
      </c>
      <c r="E589" s="2">
        <v>18680</v>
      </c>
      <c r="F589" s="2">
        <v>22031</v>
      </c>
      <c r="G589" s="2">
        <v>14454</v>
      </c>
      <c r="H589" s="2">
        <v>6742</v>
      </c>
      <c r="I589" s="2">
        <v>0</v>
      </c>
      <c r="J589" s="2"/>
      <c r="K589" s="2">
        <v>8399</v>
      </c>
      <c r="L589" s="2">
        <v>7737</v>
      </c>
      <c r="M589" s="2">
        <v>4306</v>
      </c>
      <c r="N589" s="2">
        <v>0</v>
      </c>
      <c r="O589" s="2">
        <v>0</v>
      </c>
      <c r="P589" s="2"/>
      <c r="Q589" s="2">
        <v>544</v>
      </c>
      <c r="R589" s="2">
        <v>7615</v>
      </c>
      <c r="S589" s="2">
        <v>7878</v>
      </c>
      <c r="T589" s="2">
        <v>6742</v>
      </c>
      <c r="U589" s="2">
        <v>0</v>
      </c>
      <c r="V589" s="2"/>
      <c r="W589" s="2">
        <v>6649</v>
      </c>
      <c r="X589" s="2">
        <v>5398</v>
      </c>
      <c r="Y589" s="2">
        <v>0</v>
      </c>
      <c r="Z589" s="2">
        <v>0</v>
      </c>
      <c r="AA589" s="2">
        <v>0</v>
      </c>
      <c r="AB589" s="2"/>
      <c r="AC589" s="2">
        <v>4236</v>
      </c>
      <c r="AD589" s="2">
        <v>2431</v>
      </c>
      <c r="AE589" s="2">
        <v>2429</v>
      </c>
      <c r="AF589" s="2">
        <v>0</v>
      </c>
      <c r="AG589" s="2">
        <v>0</v>
      </c>
      <c r="AH589" s="2"/>
      <c r="AI589" s="2">
        <v>-1148</v>
      </c>
      <c r="AJ589" s="2">
        <v>-1150</v>
      </c>
      <c r="AK589" s="2">
        <v>-159</v>
      </c>
      <c r="AL589" s="2">
        <v>0</v>
      </c>
      <c r="AM589" s="2">
        <v>-1150</v>
      </c>
    </row>
    <row r="590" spans="1:39">
      <c r="A590" s="349">
        <v>96311</v>
      </c>
      <c r="B590" s="342" t="s">
        <v>1281</v>
      </c>
      <c r="C590" s="358">
        <v>1.3810000000000001E-3</v>
      </c>
      <c r="E590" s="2">
        <v>465322</v>
      </c>
      <c r="F590" s="2">
        <v>640184</v>
      </c>
      <c r="G590" s="2">
        <v>383721</v>
      </c>
      <c r="H590" s="2">
        <v>205523</v>
      </c>
      <c r="I590" s="2">
        <v>0</v>
      </c>
      <c r="J590" s="2"/>
      <c r="K590" s="2">
        <v>256050</v>
      </c>
      <c r="L590" s="2">
        <v>235867</v>
      </c>
      <c r="M590" s="2">
        <v>131275</v>
      </c>
      <c r="N590" s="2">
        <v>0</v>
      </c>
      <c r="O590" s="2">
        <v>0</v>
      </c>
      <c r="P590" s="2"/>
      <c r="Q590" s="2">
        <v>16598</v>
      </c>
      <c r="R590" s="2">
        <v>232153</v>
      </c>
      <c r="S590" s="2">
        <v>240181</v>
      </c>
      <c r="T590" s="2">
        <v>205523</v>
      </c>
      <c r="U590" s="2">
        <v>0</v>
      </c>
      <c r="V590" s="2"/>
      <c r="W590" s="2">
        <v>202698</v>
      </c>
      <c r="X590" s="2">
        <v>164556</v>
      </c>
      <c r="Y590" s="2">
        <v>0</v>
      </c>
      <c r="Z590" s="2">
        <v>0</v>
      </c>
      <c r="AA590" s="2">
        <v>0</v>
      </c>
      <c r="AB590" s="2"/>
      <c r="AC590" s="2">
        <v>22644</v>
      </c>
      <c r="AD590" s="2">
        <v>22644</v>
      </c>
      <c r="AE590" s="2">
        <v>22643</v>
      </c>
      <c r="AF590" s="2">
        <v>0</v>
      </c>
      <c r="AG590" s="2">
        <v>0</v>
      </c>
      <c r="AH590" s="2"/>
      <c r="AI590" s="2">
        <v>-32668</v>
      </c>
      <c r="AJ590" s="2">
        <v>-15036</v>
      </c>
      <c r="AK590" s="2">
        <v>-10378</v>
      </c>
      <c r="AL590" s="2">
        <v>0</v>
      </c>
      <c r="AM590" s="2">
        <v>-15036</v>
      </c>
    </row>
    <row r="591" spans="1:39">
      <c r="A591" s="349">
        <v>96312</v>
      </c>
      <c r="B591" s="342" t="s">
        <v>1282</v>
      </c>
      <c r="C591" s="358">
        <v>1.7799999999999999E-5</v>
      </c>
      <c r="E591" s="2">
        <v>10293</v>
      </c>
      <c r="F591" s="2">
        <v>10412</v>
      </c>
      <c r="G591" s="2">
        <v>8717</v>
      </c>
      <c r="H591" s="2">
        <v>2649</v>
      </c>
      <c r="I591" s="2">
        <v>0</v>
      </c>
      <c r="J591" s="2"/>
      <c r="K591" s="2">
        <v>3300</v>
      </c>
      <c r="L591" s="2">
        <v>3040</v>
      </c>
      <c r="M591" s="2">
        <v>1692</v>
      </c>
      <c r="N591" s="2">
        <v>0</v>
      </c>
      <c r="O591" s="2">
        <v>0</v>
      </c>
      <c r="P591" s="2"/>
      <c r="Q591" s="2">
        <v>214</v>
      </c>
      <c r="R591" s="2">
        <v>2992</v>
      </c>
      <c r="S591" s="2">
        <v>3096</v>
      </c>
      <c r="T591" s="2">
        <v>2649</v>
      </c>
      <c r="U591" s="2">
        <v>0</v>
      </c>
      <c r="V591" s="2"/>
      <c r="W591" s="2">
        <v>2613</v>
      </c>
      <c r="X591" s="2">
        <v>2121</v>
      </c>
      <c r="Y591" s="2">
        <v>0</v>
      </c>
      <c r="Z591" s="2">
        <v>0</v>
      </c>
      <c r="AA591" s="2">
        <v>0</v>
      </c>
      <c r="AB591" s="2"/>
      <c r="AC591" s="2">
        <v>5840</v>
      </c>
      <c r="AD591" s="2">
        <v>3933</v>
      </c>
      <c r="AE591" s="2">
        <v>3931</v>
      </c>
      <c r="AF591" s="2">
        <v>0</v>
      </c>
      <c r="AG591" s="2">
        <v>0</v>
      </c>
      <c r="AH591" s="2"/>
      <c r="AI591" s="2">
        <v>-1674</v>
      </c>
      <c r="AJ591" s="2">
        <v>-1674</v>
      </c>
      <c r="AK591" s="2">
        <v>-2</v>
      </c>
      <c r="AL591" s="2">
        <v>0</v>
      </c>
      <c r="AM591" s="2">
        <v>-1674</v>
      </c>
    </row>
    <row r="592" spans="1:39">
      <c r="A592" s="349">
        <v>96318</v>
      </c>
      <c r="B592" s="342" t="s">
        <v>1283</v>
      </c>
      <c r="C592" s="358">
        <v>2.3511999999999999E-3</v>
      </c>
      <c r="E592" s="2">
        <v>1029312</v>
      </c>
      <c r="F592" s="2">
        <v>1218438</v>
      </c>
      <c r="G592" s="2">
        <v>747892</v>
      </c>
      <c r="H592" s="2">
        <v>349910</v>
      </c>
      <c r="I592" s="2">
        <v>0</v>
      </c>
      <c r="J592" s="2"/>
      <c r="K592" s="2">
        <v>435934</v>
      </c>
      <c r="L592" s="2">
        <v>401571</v>
      </c>
      <c r="M592" s="2">
        <v>223500</v>
      </c>
      <c r="N592" s="2">
        <v>0</v>
      </c>
      <c r="O592" s="2">
        <v>0</v>
      </c>
      <c r="P592" s="2"/>
      <c r="Q592" s="2">
        <v>28259</v>
      </c>
      <c r="R592" s="2">
        <v>395248</v>
      </c>
      <c r="S592" s="2">
        <v>408916</v>
      </c>
      <c r="T592" s="2">
        <v>349910</v>
      </c>
      <c r="U592" s="2">
        <v>0</v>
      </c>
      <c r="V592" s="2"/>
      <c r="W592" s="2">
        <v>345100</v>
      </c>
      <c r="X592" s="2">
        <v>280162</v>
      </c>
      <c r="Y592" s="2">
        <v>0</v>
      </c>
      <c r="Z592" s="2">
        <v>0</v>
      </c>
      <c r="AA592" s="2">
        <v>0</v>
      </c>
      <c r="AB592" s="2"/>
      <c r="AC592" s="2">
        <v>220019</v>
      </c>
      <c r="AD592" s="2">
        <v>141457</v>
      </c>
      <c r="AE592" s="2">
        <v>115476</v>
      </c>
      <c r="AF592" s="2">
        <v>0</v>
      </c>
      <c r="AG592" s="2">
        <v>0</v>
      </c>
      <c r="AH592" s="2"/>
      <c r="AI592" s="2">
        <v>0</v>
      </c>
      <c r="AJ592" s="2">
        <v>0</v>
      </c>
      <c r="AK592" s="2">
        <v>0</v>
      </c>
      <c r="AL592" s="2">
        <v>0</v>
      </c>
      <c r="AM592" s="2">
        <v>0</v>
      </c>
    </row>
    <row r="593" spans="1:39">
      <c r="A593" s="349">
        <v>96321</v>
      </c>
      <c r="B593" s="342" t="s">
        <v>1284</v>
      </c>
      <c r="C593" s="358">
        <v>5.0000000000000002E-5</v>
      </c>
      <c r="E593" s="2">
        <v>21999</v>
      </c>
      <c r="F593" s="2">
        <v>27418</v>
      </c>
      <c r="G593" s="2">
        <v>17722</v>
      </c>
      <c r="H593" s="2">
        <v>7441</v>
      </c>
      <c r="I593" s="2">
        <v>0</v>
      </c>
      <c r="J593" s="2"/>
      <c r="K593" s="2">
        <v>9270</v>
      </c>
      <c r="L593" s="2">
        <v>8540</v>
      </c>
      <c r="M593" s="2">
        <v>4753</v>
      </c>
      <c r="N593" s="2">
        <v>0</v>
      </c>
      <c r="O593" s="2">
        <v>0</v>
      </c>
      <c r="P593" s="2"/>
      <c r="Q593" s="2">
        <v>601</v>
      </c>
      <c r="R593" s="2">
        <v>8405</v>
      </c>
      <c r="S593" s="2">
        <v>8696</v>
      </c>
      <c r="T593" s="2">
        <v>7441</v>
      </c>
      <c r="U593" s="2">
        <v>0</v>
      </c>
      <c r="V593" s="2"/>
      <c r="W593" s="2">
        <v>7339</v>
      </c>
      <c r="X593" s="2">
        <v>5958</v>
      </c>
      <c r="Y593" s="2">
        <v>0</v>
      </c>
      <c r="Z593" s="2">
        <v>0</v>
      </c>
      <c r="AA593" s="2">
        <v>0</v>
      </c>
      <c r="AB593" s="2"/>
      <c r="AC593" s="2">
        <v>4789</v>
      </c>
      <c r="AD593" s="2">
        <v>4515</v>
      </c>
      <c r="AE593" s="2">
        <v>4273</v>
      </c>
      <c r="AF593" s="2">
        <v>0</v>
      </c>
      <c r="AG593" s="2">
        <v>0</v>
      </c>
      <c r="AH593" s="2"/>
      <c r="AI593" s="2">
        <v>0</v>
      </c>
      <c r="AJ593" s="2">
        <v>0</v>
      </c>
      <c r="AK593" s="2">
        <v>0</v>
      </c>
      <c r="AL593" s="2">
        <v>0</v>
      </c>
      <c r="AM593" s="2">
        <v>0</v>
      </c>
    </row>
    <row r="594" spans="1:39">
      <c r="A594" s="349">
        <v>96331</v>
      </c>
      <c r="B594" s="342" t="s">
        <v>1285</v>
      </c>
      <c r="C594" s="358">
        <v>6.9510000000000004E-4</v>
      </c>
      <c r="E594" s="2">
        <v>197436</v>
      </c>
      <c r="F594" s="2">
        <v>278816</v>
      </c>
      <c r="G594" s="2">
        <v>156833</v>
      </c>
      <c r="H594" s="2">
        <v>103446</v>
      </c>
      <c r="I594" s="2">
        <v>0</v>
      </c>
      <c r="J594" s="2"/>
      <c r="K594" s="2">
        <v>128878</v>
      </c>
      <c r="L594" s="2">
        <v>118719</v>
      </c>
      <c r="M594" s="2">
        <v>66075</v>
      </c>
      <c r="N594" s="2">
        <v>0</v>
      </c>
      <c r="O594" s="2">
        <v>0</v>
      </c>
      <c r="P594" s="2"/>
      <c r="Q594" s="2">
        <v>8354</v>
      </c>
      <c r="R594" s="2">
        <v>116850</v>
      </c>
      <c r="S594" s="2">
        <v>120890</v>
      </c>
      <c r="T594" s="2">
        <v>103446</v>
      </c>
      <c r="U594" s="2">
        <v>0</v>
      </c>
      <c r="V594" s="2"/>
      <c r="W594" s="2">
        <v>102024</v>
      </c>
      <c r="X594" s="2">
        <v>82826</v>
      </c>
      <c r="Y594" s="2">
        <v>0</v>
      </c>
      <c r="Z594" s="2">
        <v>0</v>
      </c>
      <c r="AA594" s="2">
        <v>0</v>
      </c>
      <c r="AB594" s="2"/>
      <c r="AC594" s="2">
        <v>0</v>
      </c>
      <c r="AD594" s="2">
        <v>0</v>
      </c>
      <c r="AE594" s="2">
        <v>0</v>
      </c>
      <c r="AF594" s="2">
        <v>0</v>
      </c>
      <c r="AG594" s="2">
        <v>0</v>
      </c>
      <c r="AH594" s="2"/>
      <c r="AI594" s="2">
        <v>-41820</v>
      </c>
      <c r="AJ594" s="2">
        <v>-39579</v>
      </c>
      <c r="AK594" s="2">
        <v>-30132</v>
      </c>
      <c r="AL594" s="2">
        <v>0</v>
      </c>
      <c r="AM594" s="2">
        <v>-39579</v>
      </c>
    </row>
    <row r="595" spans="1:39">
      <c r="A595" s="349">
        <v>96341</v>
      </c>
      <c r="B595" s="342" t="s">
        <v>1286</v>
      </c>
      <c r="C595" s="358">
        <v>5.9599999999999999E-5</v>
      </c>
      <c r="E595" s="2">
        <v>9585</v>
      </c>
      <c r="F595" s="2">
        <v>18367</v>
      </c>
      <c r="G595" s="2">
        <v>6301</v>
      </c>
      <c r="H595" s="2">
        <v>8870</v>
      </c>
      <c r="I595" s="2">
        <v>0</v>
      </c>
      <c r="J595" s="2"/>
      <c r="K595" s="2">
        <v>11050</v>
      </c>
      <c r="L595" s="2">
        <v>10179</v>
      </c>
      <c r="M595" s="2">
        <v>5665</v>
      </c>
      <c r="N595" s="2">
        <v>0</v>
      </c>
      <c r="O595" s="2">
        <v>0</v>
      </c>
      <c r="P595" s="2"/>
      <c r="Q595" s="2">
        <v>716</v>
      </c>
      <c r="R595" s="2">
        <v>10019</v>
      </c>
      <c r="S595" s="2">
        <v>10366</v>
      </c>
      <c r="T595" s="2">
        <v>8870</v>
      </c>
      <c r="U595" s="2">
        <v>0</v>
      </c>
      <c r="V595" s="2"/>
      <c r="W595" s="2">
        <v>8748</v>
      </c>
      <c r="X595" s="2">
        <v>7102</v>
      </c>
      <c r="Y595" s="2">
        <v>0</v>
      </c>
      <c r="Z595" s="2">
        <v>0</v>
      </c>
      <c r="AA595" s="2">
        <v>0</v>
      </c>
      <c r="AB595" s="2"/>
      <c r="AC595" s="2">
        <v>794</v>
      </c>
      <c r="AD595" s="2">
        <v>794</v>
      </c>
      <c r="AE595" s="2">
        <v>0</v>
      </c>
      <c r="AF595" s="2">
        <v>0</v>
      </c>
      <c r="AG595" s="2">
        <v>0</v>
      </c>
      <c r="AH595" s="2"/>
      <c r="AI595" s="2">
        <v>-11723</v>
      </c>
      <c r="AJ595" s="2">
        <v>-9727</v>
      </c>
      <c r="AK595" s="2">
        <v>-9730</v>
      </c>
      <c r="AL595" s="2">
        <v>0</v>
      </c>
      <c r="AM595" s="2">
        <v>-9727</v>
      </c>
    </row>
    <row r="596" spans="1:39">
      <c r="A596" s="349">
        <v>96351</v>
      </c>
      <c r="B596" s="342" t="s">
        <v>1287</v>
      </c>
      <c r="C596" s="358">
        <v>1.0456E-3</v>
      </c>
      <c r="E596" s="2">
        <v>364557</v>
      </c>
      <c r="F596" s="2">
        <v>485394</v>
      </c>
      <c r="G596" s="2">
        <v>291642</v>
      </c>
      <c r="H596" s="2">
        <v>155608</v>
      </c>
      <c r="I596" s="2">
        <v>0</v>
      </c>
      <c r="J596" s="2"/>
      <c r="K596" s="2">
        <v>193864</v>
      </c>
      <c r="L596" s="2">
        <v>178582</v>
      </c>
      <c r="M596" s="2">
        <v>99393</v>
      </c>
      <c r="N596" s="2">
        <v>0</v>
      </c>
      <c r="O596" s="2">
        <v>0</v>
      </c>
      <c r="P596" s="2"/>
      <c r="Q596" s="2">
        <v>12567</v>
      </c>
      <c r="R596" s="2">
        <v>175771</v>
      </c>
      <c r="S596" s="2">
        <v>181849</v>
      </c>
      <c r="T596" s="2">
        <v>155608</v>
      </c>
      <c r="U596" s="2">
        <v>0</v>
      </c>
      <c r="V596" s="2"/>
      <c r="W596" s="2">
        <v>153469</v>
      </c>
      <c r="X596" s="2">
        <v>124591</v>
      </c>
      <c r="Y596" s="2">
        <v>0</v>
      </c>
      <c r="Z596" s="2">
        <v>0</v>
      </c>
      <c r="AA596" s="2">
        <v>0</v>
      </c>
      <c r="AB596" s="2"/>
      <c r="AC596" s="2">
        <v>16299</v>
      </c>
      <c r="AD596" s="2">
        <v>16299</v>
      </c>
      <c r="AE596" s="2">
        <v>16298</v>
      </c>
      <c r="AF596" s="2">
        <v>0</v>
      </c>
      <c r="AG596" s="2">
        <v>0</v>
      </c>
      <c r="AH596" s="2"/>
      <c r="AI596" s="2">
        <v>-11642</v>
      </c>
      <c r="AJ596" s="2">
        <v>-9849</v>
      </c>
      <c r="AK596" s="2">
        <v>-5898</v>
      </c>
      <c r="AL596" s="2">
        <v>0</v>
      </c>
      <c r="AM596" s="2">
        <v>-9849</v>
      </c>
    </row>
    <row r="597" spans="1:39">
      <c r="A597" s="349">
        <v>96361</v>
      </c>
      <c r="B597" s="342" t="s">
        <v>1288</v>
      </c>
      <c r="C597" s="358">
        <v>4.7299999999999998E-5</v>
      </c>
      <c r="E597" s="2">
        <v>16542</v>
      </c>
      <c r="F597" s="2">
        <v>22717</v>
      </c>
      <c r="G597" s="2">
        <v>14511</v>
      </c>
      <c r="H597" s="2">
        <v>7039</v>
      </c>
      <c r="I597" s="2">
        <v>0</v>
      </c>
      <c r="J597" s="2"/>
      <c r="K597" s="2">
        <v>8770</v>
      </c>
      <c r="L597" s="2">
        <v>8079</v>
      </c>
      <c r="M597" s="2">
        <v>4496</v>
      </c>
      <c r="N597" s="2">
        <v>0</v>
      </c>
      <c r="O597" s="2">
        <v>0</v>
      </c>
      <c r="P597" s="2"/>
      <c r="Q597" s="2">
        <v>568</v>
      </c>
      <c r="R597" s="2">
        <v>7951</v>
      </c>
      <c r="S597" s="2">
        <v>8226</v>
      </c>
      <c r="T597" s="2">
        <v>7039</v>
      </c>
      <c r="U597" s="2">
        <v>0</v>
      </c>
      <c r="V597" s="2"/>
      <c r="W597" s="2">
        <v>6943</v>
      </c>
      <c r="X597" s="2">
        <v>5636</v>
      </c>
      <c r="Y597" s="2">
        <v>0</v>
      </c>
      <c r="Z597" s="2">
        <v>0</v>
      </c>
      <c r="AA597" s="2">
        <v>0</v>
      </c>
      <c r="AB597" s="2"/>
      <c r="AC597" s="2">
        <v>2902</v>
      </c>
      <c r="AD597" s="2">
        <v>2902</v>
      </c>
      <c r="AE597" s="2">
        <v>2901</v>
      </c>
      <c r="AF597" s="2">
        <v>0</v>
      </c>
      <c r="AG597" s="2">
        <v>0</v>
      </c>
      <c r="AH597" s="2"/>
      <c r="AI597" s="2">
        <v>-2641</v>
      </c>
      <c r="AJ597" s="2">
        <v>-1851</v>
      </c>
      <c r="AK597" s="2">
        <v>-1112</v>
      </c>
      <c r="AL597" s="2">
        <v>0</v>
      </c>
      <c r="AM597" s="2">
        <v>-1851</v>
      </c>
    </row>
    <row r="598" spans="1:39">
      <c r="A598" s="349">
        <v>96371</v>
      </c>
      <c r="B598" s="342" t="s">
        <v>1289</v>
      </c>
      <c r="C598" s="358">
        <v>1.5330000000000001E-4</v>
      </c>
      <c r="E598" s="2">
        <v>52806</v>
      </c>
      <c r="F598" s="2">
        <v>72669</v>
      </c>
      <c r="G598" s="2">
        <v>45083</v>
      </c>
      <c r="H598" s="2">
        <v>22814</v>
      </c>
      <c r="I598" s="2">
        <v>0</v>
      </c>
      <c r="J598" s="2"/>
      <c r="K598" s="2">
        <v>28423</v>
      </c>
      <c r="L598" s="2">
        <v>26183</v>
      </c>
      <c r="M598" s="2">
        <v>14572</v>
      </c>
      <c r="N598" s="2">
        <v>0</v>
      </c>
      <c r="O598" s="2">
        <v>0</v>
      </c>
      <c r="P598" s="2"/>
      <c r="Q598" s="2">
        <v>1843</v>
      </c>
      <c r="R598" s="2">
        <v>25770</v>
      </c>
      <c r="S598" s="2">
        <v>26662</v>
      </c>
      <c r="T598" s="2">
        <v>22814</v>
      </c>
      <c r="U598" s="2">
        <v>0</v>
      </c>
      <c r="V598" s="2"/>
      <c r="W598" s="2">
        <v>22501</v>
      </c>
      <c r="X598" s="2">
        <v>18267</v>
      </c>
      <c r="Y598" s="2">
        <v>0</v>
      </c>
      <c r="Z598" s="2">
        <v>0</v>
      </c>
      <c r="AA598" s="2">
        <v>0</v>
      </c>
      <c r="AB598" s="2"/>
      <c r="AC598" s="2">
        <v>3851</v>
      </c>
      <c r="AD598" s="2">
        <v>3851</v>
      </c>
      <c r="AE598" s="2">
        <v>3849</v>
      </c>
      <c r="AF598" s="2">
        <v>0</v>
      </c>
      <c r="AG598" s="2">
        <v>0</v>
      </c>
      <c r="AH598" s="2"/>
      <c r="AI598" s="2">
        <v>-3812</v>
      </c>
      <c r="AJ598" s="2">
        <v>-1402</v>
      </c>
      <c r="AK598" s="2">
        <v>0</v>
      </c>
      <c r="AL598" s="2">
        <v>0</v>
      </c>
      <c r="AM598" s="2">
        <v>-1402</v>
      </c>
    </row>
    <row r="599" spans="1:39">
      <c r="A599" s="349">
        <v>96381</v>
      </c>
      <c r="B599" s="342" t="s">
        <v>1290</v>
      </c>
      <c r="C599" s="358">
        <v>3.0700000000000001E-5</v>
      </c>
      <c r="E599" s="2">
        <v>9970</v>
      </c>
      <c r="F599" s="2">
        <v>13425</v>
      </c>
      <c r="G599" s="2">
        <v>7235</v>
      </c>
      <c r="H599" s="2">
        <v>4569</v>
      </c>
      <c r="I599" s="2">
        <v>0</v>
      </c>
      <c r="J599" s="2"/>
      <c r="K599" s="2">
        <v>5692</v>
      </c>
      <c r="L599" s="2">
        <v>5243</v>
      </c>
      <c r="M599" s="2">
        <v>2918</v>
      </c>
      <c r="N599" s="2">
        <v>0</v>
      </c>
      <c r="O599" s="2">
        <v>0</v>
      </c>
      <c r="P599" s="2"/>
      <c r="Q599" s="2">
        <v>369</v>
      </c>
      <c r="R599" s="2">
        <v>5161</v>
      </c>
      <c r="S599" s="2">
        <v>5339</v>
      </c>
      <c r="T599" s="2">
        <v>4569</v>
      </c>
      <c r="U599" s="2">
        <v>0</v>
      </c>
      <c r="V599" s="2"/>
      <c r="W599" s="2">
        <v>4506</v>
      </c>
      <c r="X599" s="2">
        <v>3658</v>
      </c>
      <c r="Y599" s="2">
        <v>0</v>
      </c>
      <c r="Z599" s="2">
        <v>0</v>
      </c>
      <c r="AA599" s="2">
        <v>0</v>
      </c>
      <c r="AB599" s="2"/>
      <c r="AC599" s="2">
        <v>426</v>
      </c>
      <c r="AD599" s="2">
        <v>386</v>
      </c>
      <c r="AE599" s="2">
        <v>0</v>
      </c>
      <c r="AF599" s="2">
        <v>0</v>
      </c>
      <c r="AG599" s="2">
        <v>0</v>
      </c>
      <c r="AH599" s="2"/>
      <c r="AI599" s="2">
        <v>-1023</v>
      </c>
      <c r="AJ599" s="2">
        <v>-1023</v>
      </c>
      <c r="AK599" s="2">
        <v>-1022</v>
      </c>
      <c r="AL599" s="2">
        <v>0</v>
      </c>
      <c r="AM599" s="2">
        <v>-1023</v>
      </c>
    </row>
    <row r="600" spans="1:39">
      <c r="A600" s="349">
        <v>96391</v>
      </c>
      <c r="B600" s="342" t="s">
        <v>1291</v>
      </c>
      <c r="C600" s="358">
        <v>2.14E-4</v>
      </c>
      <c r="E600" s="2">
        <v>61417</v>
      </c>
      <c r="F600" s="2">
        <v>85786</v>
      </c>
      <c r="G600" s="2">
        <v>47894</v>
      </c>
      <c r="H600" s="2">
        <v>31848</v>
      </c>
      <c r="I600" s="2">
        <v>0</v>
      </c>
      <c r="J600" s="2"/>
      <c r="K600" s="2">
        <v>39678</v>
      </c>
      <c r="L600" s="2">
        <v>36550</v>
      </c>
      <c r="M600" s="2">
        <v>20342</v>
      </c>
      <c r="N600" s="2">
        <v>0</v>
      </c>
      <c r="O600" s="2">
        <v>0</v>
      </c>
      <c r="P600" s="2"/>
      <c r="Q600" s="2">
        <v>2572</v>
      </c>
      <c r="R600" s="2">
        <v>35974</v>
      </c>
      <c r="S600" s="2">
        <v>37218</v>
      </c>
      <c r="T600" s="2">
        <v>31848</v>
      </c>
      <c r="U600" s="2">
        <v>0</v>
      </c>
      <c r="V600" s="2"/>
      <c r="W600" s="2">
        <v>31410</v>
      </c>
      <c r="X600" s="2">
        <v>25500</v>
      </c>
      <c r="Y600" s="2">
        <v>0</v>
      </c>
      <c r="Z600" s="2">
        <v>0</v>
      </c>
      <c r="AA600" s="2">
        <v>0</v>
      </c>
      <c r="AB600" s="2"/>
      <c r="AC600" s="2">
        <v>0</v>
      </c>
      <c r="AD600" s="2">
        <v>0</v>
      </c>
      <c r="AE600" s="2">
        <v>0</v>
      </c>
      <c r="AF600" s="2">
        <v>0</v>
      </c>
      <c r="AG600" s="2">
        <v>0</v>
      </c>
      <c r="AH600" s="2"/>
      <c r="AI600" s="2">
        <v>-12243</v>
      </c>
      <c r="AJ600" s="2">
        <v>-12238</v>
      </c>
      <c r="AK600" s="2">
        <v>-9666</v>
      </c>
      <c r="AL600" s="2">
        <v>0</v>
      </c>
      <c r="AM600" s="2">
        <v>-12238</v>
      </c>
    </row>
    <row r="601" spans="1:39">
      <c r="A601" s="349">
        <v>96401</v>
      </c>
      <c r="B601" s="342" t="s">
        <v>1292</v>
      </c>
      <c r="C601" s="358">
        <v>4.3227999999999999E-3</v>
      </c>
      <c r="E601" s="2">
        <v>1421168</v>
      </c>
      <c r="F601" s="2">
        <v>1928474</v>
      </c>
      <c r="G601" s="2">
        <v>1137240</v>
      </c>
      <c r="H601" s="2">
        <v>643328</v>
      </c>
      <c r="I601" s="2">
        <v>0</v>
      </c>
      <c r="J601" s="2"/>
      <c r="K601" s="2">
        <v>801486</v>
      </c>
      <c r="L601" s="2">
        <v>738308</v>
      </c>
      <c r="M601" s="2">
        <v>410917</v>
      </c>
      <c r="N601" s="2">
        <v>0</v>
      </c>
      <c r="O601" s="2">
        <v>0</v>
      </c>
      <c r="P601" s="2"/>
      <c r="Q601" s="2">
        <v>51956</v>
      </c>
      <c r="R601" s="2">
        <v>726684</v>
      </c>
      <c r="S601" s="2">
        <v>751813</v>
      </c>
      <c r="T601" s="2">
        <v>643328</v>
      </c>
      <c r="U601" s="2">
        <v>0</v>
      </c>
      <c r="V601" s="2"/>
      <c r="W601" s="2">
        <v>634483</v>
      </c>
      <c r="X601" s="2">
        <v>515092</v>
      </c>
      <c r="Y601" s="2">
        <v>0</v>
      </c>
      <c r="Z601" s="2">
        <v>0</v>
      </c>
      <c r="AA601" s="2">
        <v>0</v>
      </c>
      <c r="AB601" s="2"/>
      <c r="AC601" s="2">
        <v>0</v>
      </c>
      <c r="AD601" s="2">
        <v>0</v>
      </c>
      <c r="AE601" s="2">
        <v>0</v>
      </c>
      <c r="AF601" s="2">
        <v>0</v>
      </c>
      <c r="AG601" s="2">
        <v>0</v>
      </c>
      <c r="AH601" s="2"/>
      <c r="AI601" s="2">
        <v>-66757</v>
      </c>
      <c r="AJ601" s="2">
        <v>-51610</v>
      </c>
      <c r="AK601" s="2">
        <v>-25490</v>
      </c>
      <c r="AL601" s="2">
        <v>0</v>
      </c>
      <c r="AM601" s="2">
        <v>-51610</v>
      </c>
    </row>
    <row r="602" spans="1:39">
      <c r="A602" s="349">
        <v>96404</v>
      </c>
      <c r="B602" s="342" t="s">
        <v>1293</v>
      </c>
      <c r="C602" s="358">
        <v>9.4300000000000002E-5</v>
      </c>
      <c r="E602" s="2">
        <v>43552</v>
      </c>
      <c r="F602" s="2">
        <v>51502</v>
      </c>
      <c r="G602" s="2">
        <v>31368</v>
      </c>
      <c r="H602" s="2">
        <v>14034</v>
      </c>
      <c r="I602" s="2">
        <v>0</v>
      </c>
      <c r="J602" s="2"/>
      <c r="K602" s="2">
        <v>17484</v>
      </c>
      <c r="L602" s="2">
        <v>16106</v>
      </c>
      <c r="M602" s="2">
        <v>8964</v>
      </c>
      <c r="N602" s="2">
        <v>0</v>
      </c>
      <c r="O602" s="2">
        <v>0</v>
      </c>
      <c r="P602" s="2"/>
      <c r="Q602" s="2">
        <v>1133</v>
      </c>
      <c r="R602" s="2">
        <v>15852</v>
      </c>
      <c r="S602" s="2">
        <v>16400</v>
      </c>
      <c r="T602" s="2">
        <v>14034</v>
      </c>
      <c r="U602" s="2">
        <v>0</v>
      </c>
      <c r="V602" s="2"/>
      <c r="W602" s="2">
        <v>13841</v>
      </c>
      <c r="X602" s="2">
        <v>11237</v>
      </c>
      <c r="Y602" s="2">
        <v>0</v>
      </c>
      <c r="Z602" s="2">
        <v>0</v>
      </c>
      <c r="AA602" s="2">
        <v>0</v>
      </c>
      <c r="AB602" s="2"/>
      <c r="AC602" s="2">
        <v>11094</v>
      </c>
      <c r="AD602" s="2">
        <v>8307</v>
      </c>
      <c r="AE602" s="2">
        <v>6004</v>
      </c>
      <c r="AF602" s="2">
        <v>0</v>
      </c>
      <c r="AG602" s="2">
        <v>0</v>
      </c>
      <c r="AH602" s="2"/>
      <c r="AI602" s="2">
        <v>0</v>
      </c>
      <c r="AJ602" s="2">
        <v>0</v>
      </c>
      <c r="AK602" s="2">
        <v>0</v>
      </c>
      <c r="AL602" s="2">
        <v>0</v>
      </c>
      <c r="AM602" s="2">
        <v>0</v>
      </c>
    </row>
    <row r="603" spans="1:39">
      <c r="A603" s="349">
        <v>96405</v>
      </c>
      <c r="B603" s="342" t="s">
        <v>1294</v>
      </c>
      <c r="C603" s="358">
        <v>1.2889999999999999E-4</v>
      </c>
      <c r="E603" s="2">
        <v>45473</v>
      </c>
      <c r="F603" s="2">
        <v>60361</v>
      </c>
      <c r="G603" s="2">
        <v>36148</v>
      </c>
      <c r="H603" s="2">
        <v>19183</v>
      </c>
      <c r="I603" s="2">
        <v>0</v>
      </c>
      <c r="J603" s="2"/>
      <c r="K603" s="2">
        <v>23899</v>
      </c>
      <c r="L603" s="2">
        <v>22015</v>
      </c>
      <c r="M603" s="2">
        <v>12253</v>
      </c>
      <c r="N603" s="2">
        <v>0</v>
      </c>
      <c r="O603" s="2">
        <v>0</v>
      </c>
      <c r="P603" s="2"/>
      <c r="Q603" s="2">
        <v>1549</v>
      </c>
      <c r="R603" s="2">
        <v>21669</v>
      </c>
      <c r="S603" s="2">
        <v>22418</v>
      </c>
      <c r="T603" s="2">
        <v>19183</v>
      </c>
      <c r="U603" s="2">
        <v>0</v>
      </c>
      <c r="V603" s="2"/>
      <c r="W603" s="2">
        <v>18919</v>
      </c>
      <c r="X603" s="2">
        <v>15359</v>
      </c>
      <c r="Y603" s="2">
        <v>0</v>
      </c>
      <c r="Z603" s="2">
        <v>0</v>
      </c>
      <c r="AA603" s="2">
        <v>0</v>
      </c>
      <c r="AB603" s="2"/>
      <c r="AC603" s="2">
        <v>6325</v>
      </c>
      <c r="AD603" s="2">
        <v>6325</v>
      </c>
      <c r="AE603" s="2">
        <v>6326</v>
      </c>
      <c r="AF603" s="2">
        <v>0</v>
      </c>
      <c r="AG603" s="2">
        <v>0</v>
      </c>
      <c r="AH603" s="2"/>
      <c r="AI603" s="2">
        <v>-5219</v>
      </c>
      <c r="AJ603" s="2">
        <v>-5007</v>
      </c>
      <c r="AK603" s="2">
        <v>-4849</v>
      </c>
      <c r="AL603" s="2">
        <v>0</v>
      </c>
      <c r="AM603" s="2">
        <v>-5007</v>
      </c>
    </row>
    <row r="604" spans="1:39">
      <c r="A604" s="349">
        <v>96411</v>
      </c>
      <c r="B604" s="342" t="s">
        <v>1295</v>
      </c>
      <c r="C604" s="358">
        <v>6.8200000000000004E-5</v>
      </c>
      <c r="E604" s="2">
        <v>21137</v>
      </c>
      <c r="F604" s="2">
        <v>27150</v>
      </c>
      <c r="G604" s="2">
        <v>15213</v>
      </c>
      <c r="H604" s="2">
        <v>10150</v>
      </c>
      <c r="I604" s="2">
        <v>0</v>
      </c>
      <c r="J604" s="2"/>
      <c r="K604" s="2">
        <v>12645</v>
      </c>
      <c r="L604" s="2">
        <v>11648</v>
      </c>
      <c r="M604" s="2">
        <v>6483</v>
      </c>
      <c r="N604" s="2">
        <v>0</v>
      </c>
      <c r="O604" s="2">
        <v>0</v>
      </c>
      <c r="P604" s="2"/>
      <c r="Q604" s="2">
        <v>820</v>
      </c>
      <c r="R604" s="2">
        <v>11465</v>
      </c>
      <c r="S604" s="2">
        <v>11861</v>
      </c>
      <c r="T604" s="2">
        <v>10150</v>
      </c>
      <c r="U604" s="2">
        <v>0</v>
      </c>
      <c r="V604" s="2"/>
      <c r="W604" s="2">
        <v>10010</v>
      </c>
      <c r="X604" s="2">
        <v>8127</v>
      </c>
      <c r="Y604" s="2">
        <v>0</v>
      </c>
      <c r="Z604" s="2">
        <v>0</v>
      </c>
      <c r="AA604" s="2">
        <v>0</v>
      </c>
      <c r="AB604" s="2"/>
      <c r="AC604" s="2">
        <v>1750</v>
      </c>
      <c r="AD604" s="2">
        <v>0</v>
      </c>
      <c r="AE604" s="2">
        <v>0</v>
      </c>
      <c r="AF604" s="2">
        <v>0</v>
      </c>
      <c r="AG604" s="2">
        <v>0</v>
      </c>
      <c r="AH604" s="2"/>
      <c r="AI604" s="2">
        <v>-4088</v>
      </c>
      <c r="AJ604" s="2">
        <v>-4090</v>
      </c>
      <c r="AK604" s="2">
        <v>-3131</v>
      </c>
      <c r="AL604" s="2">
        <v>0</v>
      </c>
      <c r="AM604" s="2">
        <v>-4090</v>
      </c>
    </row>
    <row r="605" spans="1:39">
      <c r="A605" s="349">
        <v>96421</v>
      </c>
      <c r="B605" s="342" t="s">
        <v>1296</v>
      </c>
      <c r="C605" s="358">
        <v>4.2299999999999998E-4</v>
      </c>
      <c r="E605" s="2">
        <v>127562</v>
      </c>
      <c r="F605" s="2">
        <v>181241</v>
      </c>
      <c r="G605" s="2">
        <v>105506</v>
      </c>
      <c r="H605" s="2">
        <v>62952</v>
      </c>
      <c r="I605" s="2">
        <v>0</v>
      </c>
      <c r="J605" s="2"/>
      <c r="K605" s="2">
        <v>78428</v>
      </c>
      <c r="L605" s="2">
        <v>72246</v>
      </c>
      <c r="M605" s="2">
        <v>40210</v>
      </c>
      <c r="N605" s="2">
        <v>0</v>
      </c>
      <c r="O605" s="2">
        <v>0</v>
      </c>
      <c r="P605" s="2"/>
      <c r="Q605" s="2">
        <v>5084</v>
      </c>
      <c r="R605" s="2">
        <v>71108</v>
      </c>
      <c r="S605" s="2">
        <v>73567</v>
      </c>
      <c r="T605" s="2">
        <v>62952</v>
      </c>
      <c r="U605" s="2">
        <v>0</v>
      </c>
      <c r="V605" s="2"/>
      <c r="W605" s="2">
        <v>62086</v>
      </c>
      <c r="X605" s="2">
        <v>50403</v>
      </c>
      <c r="Y605" s="2">
        <v>0</v>
      </c>
      <c r="Z605" s="2">
        <v>0</v>
      </c>
      <c r="AA605" s="2">
        <v>0</v>
      </c>
      <c r="AB605" s="2"/>
      <c r="AC605" s="2">
        <v>6086</v>
      </c>
      <c r="AD605" s="2">
        <v>6086</v>
      </c>
      <c r="AE605" s="2">
        <v>6084</v>
      </c>
      <c r="AF605" s="2">
        <v>0</v>
      </c>
      <c r="AG605" s="2">
        <v>0</v>
      </c>
      <c r="AH605" s="2"/>
      <c r="AI605" s="2">
        <v>-24122</v>
      </c>
      <c r="AJ605" s="2">
        <v>-18602</v>
      </c>
      <c r="AK605" s="2">
        <v>-14355</v>
      </c>
      <c r="AL605" s="2">
        <v>0</v>
      </c>
      <c r="AM605" s="2">
        <v>-18602</v>
      </c>
    </row>
    <row r="606" spans="1:39">
      <c r="A606" s="349">
        <v>96431</v>
      </c>
      <c r="B606" s="342" t="s">
        <v>1297</v>
      </c>
      <c r="C606" s="358">
        <v>4.85E-5</v>
      </c>
      <c r="E606" s="2">
        <v>23406</v>
      </c>
      <c r="F606" s="2">
        <v>30830</v>
      </c>
      <c r="G606" s="2">
        <v>22467</v>
      </c>
      <c r="H606" s="2">
        <v>7218</v>
      </c>
      <c r="I606" s="2">
        <v>0</v>
      </c>
      <c r="J606" s="2"/>
      <c r="K606" s="2">
        <v>8992</v>
      </c>
      <c r="L606" s="2">
        <v>8284</v>
      </c>
      <c r="M606" s="2">
        <v>4610</v>
      </c>
      <c r="N606" s="2">
        <v>0</v>
      </c>
      <c r="O606" s="2">
        <v>0</v>
      </c>
      <c r="P606" s="2"/>
      <c r="Q606" s="2">
        <v>583</v>
      </c>
      <c r="R606" s="2">
        <v>8153</v>
      </c>
      <c r="S606" s="2">
        <v>8435</v>
      </c>
      <c r="T606" s="2">
        <v>7218</v>
      </c>
      <c r="U606" s="2">
        <v>0</v>
      </c>
      <c r="V606" s="2"/>
      <c r="W606" s="2">
        <v>7119</v>
      </c>
      <c r="X606" s="2">
        <v>5779</v>
      </c>
      <c r="Y606" s="2">
        <v>0</v>
      </c>
      <c r="Z606" s="2">
        <v>0</v>
      </c>
      <c r="AA606" s="2">
        <v>0</v>
      </c>
      <c r="AB606" s="2"/>
      <c r="AC606" s="2">
        <v>9421</v>
      </c>
      <c r="AD606" s="2">
        <v>9421</v>
      </c>
      <c r="AE606" s="2">
        <v>9422</v>
      </c>
      <c r="AF606" s="2">
        <v>0</v>
      </c>
      <c r="AG606" s="2">
        <v>0</v>
      </c>
      <c r="AH606" s="2"/>
      <c r="AI606" s="2">
        <v>-2709</v>
      </c>
      <c r="AJ606" s="2">
        <v>-807</v>
      </c>
      <c r="AK606" s="2">
        <v>0</v>
      </c>
      <c r="AL606" s="2">
        <v>0</v>
      </c>
      <c r="AM606" s="2">
        <v>-807</v>
      </c>
    </row>
    <row r="607" spans="1:39">
      <c r="A607" s="349">
        <v>96441</v>
      </c>
      <c r="B607" s="342" t="s">
        <v>1298</v>
      </c>
      <c r="C607" s="358">
        <v>2.9300000000000001E-5</v>
      </c>
      <c r="E607" s="2">
        <v>14229</v>
      </c>
      <c r="F607" s="2">
        <v>16801</v>
      </c>
      <c r="G607" s="2">
        <v>11235</v>
      </c>
      <c r="H607" s="2">
        <v>4360</v>
      </c>
      <c r="I607" s="2">
        <v>0</v>
      </c>
      <c r="J607" s="2"/>
      <c r="K607" s="2">
        <v>5432</v>
      </c>
      <c r="L607" s="2">
        <v>5004</v>
      </c>
      <c r="M607" s="2">
        <v>2785</v>
      </c>
      <c r="N607" s="2">
        <v>0</v>
      </c>
      <c r="O607" s="2">
        <v>0</v>
      </c>
      <c r="P607" s="2"/>
      <c r="Q607" s="2">
        <v>352</v>
      </c>
      <c r="R607" s="2">
        <v>4925</v>
      </c>
      <c r="S607" s="2">
        <v>5096</v>
      </c>
      <c r="T607" s="2">
        <v>4360</v>
      </c>
      <c r="U607" s="2">
        <v>0</v>
      </c>
      <c r="V607" s="2"/>
      <c r="W607" s="2">
        <v>4301</v>
      </c>
      <c r="X607" s="2">
        <v>3491</v>
      </c>
      <c r="Y607" s="2">
        <v>0</v>
      </c>
      <c r="Z607" s="2">
        <v>0</v>
      </c>
      <c r="AA607" s="2">
        <v>0</v>
      </c>
      <c r="AB607" s="2"/>
      <c r="AC607" s="2">
        <v>5144</v>
      </c>
      <c r="AD607" s="2">
        <v>4381</v>
      </c>
      <c r="AE607" s="2">
        <v>4353</v>
      </c>
      <c r="AF607" s="2">
        <v>0</v>
      </c>
      <c r="AG607" s="2">
        <v>0</v>
      </c>
      <c r="AH607" s="2"/>
      <c r="AI607" s="2">
        <v>-1000</v>
      </c>
      <c r="AJ607" s="2">
        <v>-1000</v>
      </c>
      <c r="AK607" s="2">
        <v>-999</v>
      </c>
      <c r="AL607" s="2">
        <v>0</v>
      </c>
      <c r="AM607" s="2">
        <v>-1000</v>
      </c>
    </row>
    <row r="608" spans="1:39">
      <c r="A608" s="349">
        <v>96451</v>
      </c>
      <c r="B608" s="342" t="s">
        <v>1299</v>
      </c>
      <c r="C608" s="358">
        <v>1.31E-5</v>
      </c>
      <c r="E608" s="2">
        <v>6845</v>
      </c>
      <c r="F608" s="2">
        <v>7397</v>
      </c>
      <c r="G608" s="2">
        <v>5328</v>
      </c>
      <c r="H608" s="2">
        <v>1950</v>
      </c>
      <c r="I608" s="2">
        <v>0</v>
      </c>
      <c r="J608" s="2"/>
      <c r="K608" s="2">
        <v>2429</v>
      </c>
      <c r="L608" s="2">
        <v>2237</v>
      </c>
      <c r="M608" s="2">
        <v>1245</v>
      </c>
      <c r="N608" s="2">
        <v>0</v>
      </c>
      <c r="O608" s="2">
        <v>0</v>
      </c>
      <c r="P608" s="2"/>
      <c r="Q608" s="2">
        <v>157</v>
      </c>
      <c r="R608" s="2">
        <v>2202</v>
      </c>
      <c r="S608" s="2">
        <v>2278</v>
      </c>
      <c r="T608" s="2">
        <v>1950</v>
      </c>
      <c r="U608" s="2">
        <v>0</v>
      </c>
      <c r="V608" s="2"/>
      <c r="W608" s="2">
        <v>1923</v>
      </c>
      <c r="X608" s="2">
        <v>1561</v>
      </c>
      <c r="Y608" s="2">
        <v>0</v>
      </c>
      <c r="Z608" s="2">
        <v>0</v>
      </c>
      <c r="AA608" s="2">
        <v>0</v>
      </c>
      <c r="AB608" s="2"/>
      <c r="AC608" s="2">
        <v>4312</v>
      </c>
      <c r="AD608" s="2">
        <v>3373</v>
      </c>
      <c r="AE608" s="2">
        <v>3374</v>
      </c>
      <c r="AF608" s="2">
        <v>0</v>
      </c>
      <c r="AG608" s="2">
        <v>0</v>
      </c>
      <c r="AH608" s="2"/>
      <c r="AI608" s="2">
        <v>-1976</v>
      </c>
      <c r="AJ608" s="2">
        <v>-1976</v>
      </c>
      <c r="AK608" s="2">
        <v>-1569</v>
      </c>
      <c r="AL608" s="2">
        <v>0</v>
      </c>
      <c r="AM608" s="2">
        <v>-1976</v>
      </c>
    </row>
    <row r="609" spans="1:39">
      <c r="A609" s="349">
        <v>96461</v>
      </c>
      <c r="B609" s="342" t="s">
        <v>1300</v>
      </c>
      <c r="C609" s="358">
        <v>1.294E-4</v>
      </c>
      <c r="E609" s="2">
        <v>38801</v>
      </c>
      <c r="F609" s="2">
        <v>52909</v>
      </c>
      <c r="G609" s="2">
        <v>25921</v>
      </c>
      <c r="H609" s="2">
        <v>19258</v>
      </c>
      <c r="I609" s="2">
        <v>0</v>
      </c>
      <c r="J609" s="2"/>
      <c r="K609" s="2">
        <v>23992</v>
      </c>
      <c r="L609" s="2">
        <v>22101</v>
      </c>
      <c r="M609" s="2">
        <v>12301</v>
      </c>
      <c r="N609" s="2">
        <v>0</v>
      </c>
      <c r="O609" s="2">
        <v>0</v>
      </c>
      <c r="P609" s="2"/>
      <c r="Q609" s="2">
        <v>1555</v>
      </c>
      <c r="R609" s="2">
        <v>21753</v>
      </c>
      <c r="S609" s="2">
        <v>22505</v>
      </c>
      <c r="T609" s="2">
        <v>19258</v>
      </c>
      <c r="U609" s="2">
        <v>0</v>
      </c>
      <c r="V609" s="2"/>
      <c r="W609" s="2">
        <v>18993</v>
      </c>
      <c r="X609" s="2">
        <v>15419</v>
      </c>
      <c r="Y609" s="2">
        <v>0</v>
      </c>
      <c r="Z609" s="2">
        <v>0</v>
      </c>
      <c r="AA609" s="2">
        <v>0</v>
      </c>
      <c r="AB609" s="2"/>
      <c r="AC609" s="2">
        <v>3144</v>
      </c>
      <c r="AD609" s="2">
        <v>2519</v>
      </c>
      <c r="AE609" s="2">
        <v>0</v>
      </c>
      <c r="AF609" s="2">
        <v>0</v>
      </c>
      <c r="AG609" s="2">
        <v>0</v>
      </c>
      <c r="AH609" s="2"/>
      <c r="AI609" s="2">
        <v>-8883</v>
      </c>
      <c r="AJ609" s="2">
        <v>-8883</v>
      </c>
      <c r="AK609" s="2">
        <v>-8885</v>
      </c>
      <c r="AL609" s="2">
        <v>0</v>
      </c>
      <c r="AM609" s="2">
        <v>-8883</v>
      </c>
    </row>
    <row r="610" spans="1:39">
      <c r="A610" s="349">
        <v>96501</v>
      </c>
      <c r="B610" s="342" t="s">
        <v>1301</v>
      </c>
      <c r="C610" s="358">
        <v>1.4739800000000001E-2</v>
      </c>
      <c r="E610" s="2">
        <v>5113707</v>
      </c>
      <c r="F610" s="2">
        <v>6787778</v>
      </c>
      <c r="G610" s="2">
        <v>4023365</v>
      </c>
      <c r="H610" s="2">
        <v>2193607</v>
      </c>
      <c r="I610" s="2">
        <v>0</v>
      </c>
      <c r="J610" s="2"/>
      <c r="K610" s="2">
        <v>2732892</v>
      </c>
      <c r="L610" s="2">
        <v>2517469</v>
      </c>
      <c r="M610" s="2">
        <v>1401136</v>
      </c>
      <c r="N610" s="2">
        <v>0</v>
      </c>
      <c r="O610" s="2">
        <v>0</v>
      </c>
      <c r="P610" s="2"/>
      <c r="Q610" s="2">
        <v>177158</v>
      </c>
      <c r="R610" s="2">
        <v>2477834</v>
      </c>
      <c r="S610" s="2">
        <v>2563517</v>
      </c>
      <c r="T610" s="2">
        <v>2193607</v>
      </c>
      <c r="U610" s="2">
        <v>0</v>
      </c>
      <c r="V610" s="2"/>
      <c r="W610" s="2">
        <v>2163449</v>
      </c>
      <c r="X610" s="2">
        <v>1756350</v>
      </c>
      <c r="Y610" s="2">
        <v>0</v>
      </c>
      <c r="Z610" s="2">
        <v>0</v>
      </c>
      <c r="AA610" s="2">
        <v>0</v>
      </c>
      <c r="AB610" s="2"/>
      <c r="AC610" s="2">
        <v>62796</v>
      </c>
      <c r="AD610" s="2">
        <v>58714</v>
      </c>
      <c r="AE610" s="2">
        <v>58712</v>
      </c>
      <c r="AF610" s="2">
        <v>0</v>
      </c>
      <c r="AG610" s="2">
        <v>0</v>
      </c>
      <c r="AH610" s="2"/>
      <c r="AI610" s="2">
        <v>-22588</v>
      </c>
      <c r="AJ610" s="2">
        <v>-22589</v>
      </c>
      <c r="AK610" s="2">
        <v>0</v>
      </c>
      <c r="AL610" s="2">
        <v>0</v>
      </c>
      <c r="AM610" s="2">
        <v>-22589</v>
      </c>
    </row>
    <row r="611" spans="1:39">
      <c r="A611" s="349">
        <v>96502</v>
      </c>
      <c r="B611" s="342" t="s">
        <v>2759</v>
      </c>
      <c r="C611" s="358">
        <v>3.3369999999999998E-4</v>
      </c>
      <c r="E611" s="2">
        <v>94913</v>
      </c>
      <c r="F611" s="2">
        <v>132034</v>
      </c>
      <c r="G611" s="2">
        <v>68877</v>
      </c>
      <c r="H611" s="2">
        <v>49662</v>
      </c>
      <c r="I611" s="2">
        <v>0</v>
      </c>
      <c r="J611" s="2"/>
      <c r="K611" s="2">
        <v>61871</v>
      </c>
      <c r="L611" s="2">
        <v>56994</v>
      </c>
      <c r="M611" s="2">
        <v>31721</v>
      </c>
      <c r="N611" s="2">
        <v>0</v>
      </c>
      <c r="O611" s="2">
        <v>0</v>
      </c>
      <c r="P611" s="2"/>
      <c r="Q611" s="2">
        <v>4011</v>
      </c>
      <c r="R611" s="2">
        <v>56097</v>
      </c>
      <c r="S611" s="2">
        <v>58036</v>
      </c>
      <c r="T611" s="2">
        <v>49662</v>
      </c>
      <c r="U611" s="2">
        <v>0</v>
      </c>
      <c r="V611" s="2"/>
      <c r="W611" s="2">
        <v>48979</v>
      </c>
      <c r="X611" s="2">
        <v>39763</v>
      </c>
      <c r="Y611" s="2">
        <v>0</v>
      </c>
      <c r="Z611" s="2">
        <v>0</v>
      </c>
      <c r="AA611" s="2">
        <v>0</v>
      </c>
      <c r="AB611" s="2"/>
      <c r="AC611" s="2">
        <v>4328</v>
      </c>
      <c r="AD611" s="2">
        <v>3456</v>
      </c>
      <c r="AE611" s="2">
        <v>3395</v>
      </c>
      <c r="AF611" s="2">
        <v>0</v>
      </c>
      <c r="AG611" s="2">
        <v>0</v>
      </c>
      <c r="AH611" s="2"/>
      <c r="AI611" s="2">
        <v>-24276</v>
      </c>
      <c r="AJ611" s="2">
        <v>-24276</v>
      </c>
      <c r="AK611" s="2">
        <v>-24275</v>
      </c>
      <c r="AL611" s="2">
        <v>0</v>
      </c>
      <c r="AM611" s="2">
        <v>-24276</v>
      </c>
    </row>
    <row r="612" spans="1:39">
      <c r="A612" s="349">
        <v>96503</v>
      </c>
      <c r="B612" s="342" t="s">
        <v>1303</v>
      </c>
      <c r="C612" s="358">
        <v>2.81E-4</v>
      </c>
      <c r="E612" s="2">
        <v>200615</v>
      </c>
      <c r="F612" s="2">
        <v>207552</v>
      </c>
      <c r="G612" s="2">
        <v>120942</v>
      </c>
      <c r="H612" s="2">
        <v>41819</v>
      </c>
      <c r="I612" s="2">
        <v>0</v>
      </c>
      <c r="J612" s="2"/>
      <c r="K612" s="2">
        <v>52100</v>
      </c>
      <c r="L612" s="2">
        <v>47993</v>
      </c>
      <c r="M612" s="2">
        <v>26711</v>
      </c>
      <c r="N612" s="2">
        <v>0</v>
      </c>
      <c r="O612" s="2">
        <v>0</v>
      </c>
      <c r="P612" s="2"/>
      <c r="Q612" s="2">
        <v>3377</v>
      </c>
      <c r="R612" s="2">
        <v>47238</v>
      </c>
      <c r="S612" s="2">
        <v>48871</v>
      </c>
      <c r="T612" s="2">
        <v>41819</v>
      </c>
      <c r="U612" s="2">
        <v>0</v>
      </c>
      <c r="V612" s="2"/>
      <c r="W612" s="2">
        <v>41244</v>
      </c>
      <c r="X612" s="2">
        <v>33483</v>
      </c>
      <c r="Y612" s="2">
        <v>0</v>
      </c>
      <c r="Z612" s="2">
        <v>0</v>
      </c>
      <c r="AA612" s="2">
        <v>0</v>
      </c>
      <c r="AB612" s="2"/>
      <c r="AC612" s="2">
        <v>107067</v>
      </c>
      <c r="AD612" s="2">
        <v>82011</v>
      </c>
      <c r="AE612" s="2">
        <v>48531</v>
      </c>
      <c r="AF612" s="2">
        <v>0</v>
      </c>
      <c r="AG612" s="2">
        <v>0</v>
      </c>
      <c r="AH612" s="2"/>
      <c r="AI612" s="2">
        <v>-3173</v>
      </c>
      <c r="AJ612" s="2">
        <v>-3173</v>
      </c>
      <c r="AK612" s="2">
        <v>-3171</v>
      </c>
      <c r="AL612" s="2">
        <v>0</v>
      </c>
      <c r="AM612" s="2">
        <v>-3173</v>
      </c>
    </row>
    <row r="613" spans="1:39">
      <c r="A613" s="349">
        <v>96504</v>
      </c>
      <c r="B613" s="342" t="s">
        <v>1304</v>
      </c>
      <c r="C613" s="358">
        <v>3.8099999999999999E-4</v>
      </c>
      <c r="E613" s="2">
        <v>127726</v>
      </c>
      <c r="F613" s="2">
        <v>161879</v>
      </c>
      <c r="G613" s="2">
        <v>90018</v>
      </c>
      <c r="H613" s="2">
        <v>56701</v>
      </c>
      <c r="I613" s="2">
        <v>0</v>
      </c>
      <c r="J613" s="2"/>
      <c r="K613" s="2">
        <v>70641</v>
      </c>
      <c r="L613" s="2">
        <v>65073</v>
      </c>
      <c r="M613" s="2">
        <v>36217</v>
      </c>
      <c r="N613" s="2">
        <v>0</v>
      </c>
      <c r="O613" s="2">
        <v>0</v>
      </c>
      <c r="P613" s="2"/>
      <c r="Q613" s="2">
        <v>4579</v>
      </c>
      <c r="R613" s="2">
        <v>64048</v>
      </c>
      <c r="S613" s="2">
        <v>66263</v>
      </c>
      <c r="T613" s="2">
        <v>56701</v>
      </c>
      <c r="U613" s="2">
        <v>0</v>
      </c>
      <c r="V613" s="2"/>
      <c r="W613" s="2">
        <v>55922</v>
      </c>
      <c r="X613" s="2">
        <v>45399</v>
      </c>
      <c r="Y613" s="2">
        <v>0</v>
      </c>
      <c r="Z613" s="2">
        <v>0</v>
      </c>
      <c r="AA613" s="2">
        <v>0</v>
      </c>
      <c r="AB613" s="2"/>
      <c r="AC613" s="2">
        <v>14340</v>
      </c>
      <c r="AD613" s="2">
        <v>5115</v>
      </c>
      <c r="AE613" s="2">
        <v>5117</v>
      </c>
      <c r="AF613" s="2">
        <v>0</v>
      </c>
      <c r="AG613" s="2">
        <v>0</v>
      </c>
      <c r="AH613" s="2"/>
      <c r="AI613" s="2">
        <v>-17756</v>
      </c>
      <c r="AJ613" s="2">
        <v>-17756</v>
      </c>
      <c r="AK613" s="2">
        <v>-17579</v>
      </c>
      <c r="AL613" s="2">
        <v>0</v>
      </c>
      <c r="AM613" s="2">
        <v>-17756</v>
      </c>
    </row>
    <row r="614" spans="1:39">
      <c r="A614" s="349">
        <v>96507</v>
      </c>
      <c r="B614" s="342" t="s">
        <v>1305</v>
      </c>
      <c r="C614" s="358">
        <v>2.2848999999999999E-3</v>
      </c>
      <c r="E614" s="2">
        <v>825186</v>
      </c>
      <c r="F614" s="2">
        <v>1091024</v>
      </c>
      <c r="G614" s="2">
        <v>650488</v>
      </c>
      <c r="H614" s="2">
        <v>340043</v>
      </c>
      <c r="I614" s="2">
        <v>0</v>
      </c>
      <c r="J614" s="2"/>
      <c r="K614" s="2">
        <v>423641</v>
      </c>
      <c r="L614" s="2">
        <v>390247</v>
      </c>
      <c r="M614" s="2">
        <v>217198</v>
      </c>
      <c r="N614" s="2">
        <v>0</v>
      </c>
      <c r="O614" s="2">
        <v>0</v>
      </c>
      <c r="P614" s="2"/>
      <c r="Q614" s="2">
        <v>27462</v>
      </c>
      <c r="R614" s="2">
        <v>384103</v>
      </c>
      <c r="S614" s="2">
        <v>397385</v>
      </c>
      <c r="T614" s="2">
        <v>340043</v>
      </c>
      <c r="U614" s="2">
        <v>0</v>
      </c>
      <c r="V614" s="2"/>
      <c r="W614" s="2">
        <v>335368</v>
      </c>
      <c r="X614" s="2">
        <v>272262</v>
      </c>
      <c r="Y614" s="2">
        <v>0</v>
      </c>
      <c r="Z614" s="2">
        <v>0</v>
      </c>
      <c r="AA614" s="2">
        <v>0</v>
      </c>
      <c r="AB614" s="2"/>
      <c r="AC614" s="2">
        <v>44412</v>
      </c>
      <c r="AD614" s="2">
        <v>44412</v>
      </c>
      <c r="AE614" s="2">
        <v>35905</v>
      </c>
      <c r="AF614" s="2">
        <v>0</v>
      </c>
      <c r="AG614" s="2">
        <v>0</v>
      </c>
      <c r="AH614" s="2"/>
      <c r="AI614" s="2">
        <v>-5697</v>
      </c>
      <c r="AJ614" s="2">
        <v>0</v>
      </c>
      <c r="AK614" s="2">
        <v>0</v>
      </c>
      <c r="AL614" s="2">
        <v>0</v>
      </c>
      <c r="AM614" s="2">
        <v>0</v>
      </c>
    </row>
    <row r="615" spans="1:39">
      <c r="A615" s="349">
        <v>96508</v>
      </c>
      <c r="B615" s="342" t="s">
        <v>3684</v>
      </c>
      <c r="C615" s="358">
        <v>2.3999999999999999E-6</v>
      </c>
      <c r="E615" s="2">
        <v>6086</v>
      </c>
      <c r="F615" s="2">
        <v>5131</v>
      </c>
      <c r="G615" s="2">
        <v>3272</v>
      </c>
      <c r="H615" s="2">
        <v>357</v>
      </c>
      <c r="I615" s="2">
        <v>0</v>
      </c>
      <c r="J615" s="2"/>
      <c r="K615" s="2">
        <v>445</v>
      </c>
      <c r="L615" s="2">
        <v>410</v>
      </c>
      <c r="M615" s="2">
        <v>228</v>
      </c>
      <c r="N615" s="2">
        <v>0</v>
      </c>
      <c r="O615" s="2">
        <v>0</v>
      </c>
      <c r="P615" s="2"/>
      <c r="Q615" s="2">
        <v>29</v>
      </c>
      <c r="R615" s="2">
        <v>403</v>
      </c>
      <c r="S615" s="2">
        <v>417</v>
      </c>
      <c r="T615" s="2">
        <v>357</v>
      </c>
      <c r="U615" s="2">
        <v>0</v>
      </c>
      <c r="V615" s="2"/>
      <c r="W615" s="2">
        <v>352</v>
      </c>
      <c r="X615" s="2">
        <v>286</v>
      </c>
      <c r="Y615" s="2">
        <v>0</v>
      </c>
      <c r="Z615" s="2">
        <v>0</v>
      </c>
      <c r="AA615" s="2">
        <v>0</v>
      </c>
      <c r="AB615" s="2"/>
      <c r="AC615" s="2">
        <v>5260</v>
      </c>
      <c r="AD615" s="2">
        <v>4032</v>
      </c>
      <c r="AE615" s="2">
        <v>2627</v>
      </c>
      <c r="AF615" s="2">
        <v>0</v>
      </c>
      <c r="AG615" s="2">
        <v>0</v>
      </c>
      <c r="AH615" s="2"/>
      <c r="AI615" s="2">
        <v>0</v>
      </c>
      <c r="AJ615" s="2">
        <v>0</v>
      </c>
      <c r="AK615" s="2">
        <v>0</v>
      </c>
      <c r="AL615" s="2">
        <v>0</v>
      </c>
      <c r="AM615" s="2">
        <v>0</v>
      </c>
    </row>
    <row r="616" spans="1:39">
      <c r="A616" s="349">
        <v>96511</v>
      </c>
      <c r="B616" s="342" t="s">
        <v>1307</v>
      </c>
      <c r="C616" s="358">
        <v>5.5500000000000005E-4</v>
      </c>
      <c r="E616" s="2">
        <v>163570</v>
      </c>
      <c r="F616" s="2">
        <v>228770</v>
      </c>
      <c r="G616" s="2">
        <v>126117</v>
      </c>
      <c r="H616" s="2">
        <v>82596</v>
      </c>
      <c r="I616" s="2">
        <v>0</v>
      </c>
      <c r="J616" s="2"/>
      <c r="K616" s="2">
        <v>102902</v>
      </c>
      <c r="L616" s="2">
        <v>94791</v>
      </c>
      <c r="M616" s="2">
        <v>52757</v>
      </c>
      <c r="N616" s="2">
        <v>0</v>
      </c>
      <c r="O616" s="2">
        <v>0</v>
      </c>
      <c r="P616" s="2"/>
      <c r="Q616" s="2">
        <v>6671</v>
      </c>
      <c r="R616" s="2">
        <v>93298</v>
      </c>
      <c r="S616" s="2">
        <v>96524</v>
      </c>
      <c r="T616" s="2">
        <v>82596</v>
      </c>
      <c r="U616" s="2">
        <v>0</v>
      </c>
      <c r="V616" s="2"/>
      <c r="W616" s="2">
        <v>81461</v>
      </c>
      <c r="X616" s="2">
        <v>66132</v>
      </c>
      <c r="Y616" s="2">
        <v>0</v>
      </c>
      <c r="Z616" s="2">
        <v>0</v>
      </c>
      <c r="AA616" s="2">
        <v>0</v>
      </c>
      <c r="AB616" s="2"/>
      <c r="AC616" s="2">
        <v>0</v>
      </c>
      <c r="AD616" s="2">
        <v>0</v>
      </c>
      <c r="AE616" s="2">
        <v>0</v>
      </c>
      <c r="AF616" s="2">
        <v>0</v>
      </c>
      <c r="AG616" s="2">
        <v>0</v>
      </c>
      <c r="AH616" s="2"/>
      <c r="AI616" s="2">
        <v>-27464</v>
      </c>
      <c r="AJ616" s="2">
        <v>-25451</v>
      </c>
      <c r="AK616" s="2">
        <v>-23164</v>
      </c>
      <c r="AL616" s="2">
        <v>0</v>
      </c>
      <c r="AM616" s="2">
        <v>-25451</v>
      </c>
    </row>
    <row r="617" spans="1:39">
      <c r="A617" s="349">
        <v>96512</v>
      </c>
      <c r="B617" s="342" t="s">
        <v>1308</v>
      </c>
      <c r="C617" s="358">
        <v>1.3689999999999999E-4</v>
      </c>
      <c r="E617" s="2">
        <v>42150</v>
      </c>
      <c r="F617" s="2">
        <v>60230</v>
      </c>
      <c r="G617" s="2">
        <v>32563</v>
      </c>
      <c r="H617" s="2">
        <v>20374</v>
      </c>
      <c r="I617" s="2">
        <v>0</v>
      </c>
      <c r="J617" s="2"/>
      <c r="K617" s="2">
        <v>25382</v>
      </c>
      <c r="L617" s="2">
        <v>23382</v>
      </c>
      <c r="M617" s="2">
        <v>13013</v>
      </c>
      <c r="N617" s="2">
        <v>0</v>
      </c>
      <c r="O617" s="2">
        <v>0</v>
      </c>
      <c r="P617" s="2"/>
      <c r="Q617" s="2">
        <v>1645</v>
      </c>
      <c r="R617" s="2">
        <v>23014</v>
      </c>
      <c r="S617" s="2">
        <v>23809</v>
      </c>
      <c r="T617" s="2">
        <v>20374</v>
      </c>
      <c r="U617" s="2">
        <v>0</v>
      </c>
      <c r="V617" s="2"/>
      <c r="W617" s="2">
        <v>20094</v>
      </c>
      <c r="X617" s="2">
        <v>16313</v>
      </c>
      <c r="Y617" s="2">
        <v>0</v>
      </c>
      <c r="Z617" s="2">
        <v>0</v>
      </c>
      <c r="AA617" s="2">
        <v>0</v>
      </c>
      <c r="AB617" s="2"/>
      <c r="AC617" s="2">
        <v>1777</v>
      </c>
      <c r="AD617" s="2">
        <v>1779</v>
      </c>
      <c r="AE617" s="2">
        <v>0</v>
      </c>
      <c r="AF617" s="2">
        <v>0</v>
      </c>
      <c r="AG617" s="2">
        <v>0</v>
      </c>
      <c r="AH617" s="2"/>
      <c r="AI617" s="2">
        <v>-6748</v>
      </c>
      <c r="AJ617" s="2">
        <v>-4258</v>
      </c>
      <c r="AK617" s="2">
        <v>-4259</v>
      </c>
      <c r="AL617" s="2">
        <v>0</v>
      </c>
      <c r="AM617" s="2">
        <v>-4258</v>
      </c>
    </row>
    <row r="618" spans="1:39">
      <c r="A618" s="349">
        <v>96521</v>
      </c>
      <c r="B618" s="342" t="s">
        <v>1309</v>
      </c>
      <c r="C618" s="358">
        <v>8.9309999999999997E-4</v>
      </c>
      <c r="E618" s="2">
        <v>254195</v>
      </c>
      <c r="F618" s="2">
        <v>357303</v>
      </c>
      <c r="G618" s="2">
        <v>201257</v>
      </c>
      <c r="H618" s="2">
        <v>132913</v>
      </c>
      <c r="I618" s="2">
        <v>0</v>
      </c>
      <c r="J618" s="2"/>
      <c r="K618" s="2">
        <v>165589</v>
      </c>
      <c r="L618" s="2">
        <v>152536</v>
      </c>
      <c r="M618" s="2">
        <v>84896</v>
      </c>
      <c r="N618" s="2">
        <v>0</v>
      </c>
      <c r="O618" s="2">
        <v>0</v>
      </c>
      <c r="P618" s="2"/>
      <c r="Q618" s="2">
        <v>10734</v>
      </c>
      <c r="R618" s="2">
        <v>150135</v>
      </c>
      <c r="S618" s="2">
        <v>155326</v>
      </c>
      <c r="T618" s="2">
        <v>132913</v>
      </c>
      <c r="U618" s="2">
        <v>0</v>
      </c>
      <c r="V618" s="2"/>
      <c r="W618" s="2">
        <v>131086</v>
      </c>
      <c r="X618" s="2">
        <v>106419</v>
      </c>
      <c r="Y618" s="2">
        <v>0</v>
      </c>
      <c r="Z618" s="2">
        <v>0</v>
      </c>
      <c r="AA618" s="2">
        <v>0</v>
      </c>
      <c r="AB618" s="2"/>
      <c r="AC618" s="2">
        <v>0</v>
      </c>
      <c r="AD618" s="2">
        <v>0</v>
      </c>
      <c r="AE618" s="2">
        <v>0</v>
      </c>
      <c r="AF618" s="2">
        <v>0</v>
      </c>
      <c r="AG618" s="2">
        <v>0</v>
      </c>
      <c r="AH618" s="2"/>
      <c r="AI618" s="2">
        <v>-53214</v>
      </c>
      <c r="AJ618" s="2">
        <v>-51787</v>
      </c>
      <c r="AK618" s="2">
        <v>-38965</v>
      </c>
      <c r="AL618" s="2">
        <v>0</v>
      </c>
      <c r="AM618" s="2">
        <v>-51787</v>
      </c>
    </row>
    <row r="619" spans="1:39">
      <c r="A619" s="349">
        <v>96531</v>
      </c>
      <c r="B619" s="342" t="s">
        <v>1310</v>
      </c>
      <c r="C619" s="358">
        <v>8.2658999999999996E-3</v>
      </c>
      <c r="E619" s="2">
        <v>2578982</v>
      </c>
      <c r="F619" s="2">
        <v>3556386</v>
      </c>
      <c r="G619" s="2">
        <v>2015739</v>
      </c>
      <c r="H619" s="2">
        <v>1230148</v>
      </c>
      <c r="I619" s="2">
        <v>0</v>
      </c>
      <c r="J619" s="2"/>
      <c r="K619" s="2">
        <v>1532572</v>
      </c>
      <c r="L619" s="2">
        <v>1411766</v>
      </c>
      <c r="M619" s="2">
        <v>785740</v>
      </c>
      <c r="N619" s="2">
        <v>0</v>
      </c>
      <c r="O619" s="2">
        <v>0</v>
      </c>
      <c r="P619" s="2"/>
      <c r="Q619" s="2">
        <v>99348</v>
      </c>
      <c r="R619" s="2">
        <v>1389539</v>
      </c>
      <c r="S619" s="2">
        <v>1437589</v>
      </c>
      <c r="T619" s="2">
        <v>1230148</v>
      </c>
      <c r="U619" s="2">
        <v>0</v>
      </c>
      <c r="V619" s="2"/>
      <c r="W619" s="2">
        <v>1213236</v>
      </c>
      <c r="X619" s="2">
        <v>984940</v>
      </c>
      <c r="Y619" s="2">
        <v>0</v>
      </c>
      <c r="Z619" s="2">
        <v>0</v>
      </c>
      <c r="AA619" s="2">
        <v>0</v>
      </c>
      <c r="AB619" s="2"/>
      <c r="AC619" s="2">
        <v>0</v>
      </c>
      <c r="AD619" s="2">
        <v>0</v>
      </c>
      <c r="AE619" s="2">
        <v>0</v>
      </c>
      <c r="AF619" s="2">
        <v>0</v>
      </c>
      <c r="AG619" s="2">
        <v>0</v>
      </c>
      <c r="AH619" s="2"/>
      <c r="AI619" s="2">
        <v>-266174</v>
      </c>
      <c r="AJ619" s="2">
        <v>-229859</v>
      </c>
      <c r="AK619" s="2">
        <v>-207590</v>
      </c>
      <c r="AL619" s="2">
        <v>0</v>
      </c>
      <c r="AM619" s="2">
        <v>-229859</v>
      </c>
    </row>
    <row r="620" spans="1:39">
      <c r="A620" s="349">
        <v>96541</v>
      </c>
      <c r="B620" s="342" t="s">
        <v>1311</v>
      </c>
      <c r="C620" s="358">
        <v>4.06E-4</v>
      </c>
      <c r="E620" s="2">
        <v>146993</v>
      </c>
      <c r="F620" s="2">
        <v>190205</v>
      </c>
      <c r="G620" s="2">
        <v>114725</v>
      </c>
      <c r="H620" s="2">
        <v>60422</v>
      </c>
      <c r="I620" s="2">
        <v>0</v>
      </c>
      <c r="J620" s="2"/>
      <c r="K620" s="2">
        <v>75276</v>
      </c>
      <c r="L620" s="2">
        <v>69342</v>
      </c>
      <c r="M620" s="2">
        <v>38594</v>
      </c>
      <c r="N620" s="2">
        <v>0</v>
      </c>
      <c r="O620" s="2">
        <v>0</v>
      </c>
      <c r="P620" s="2"/>
      <c r="Q620" s="2">
        <v>4880</v>
      </c>
      <c r="R620" s="2">
        <v>68251</v>
      </c>
      <c r="S620" s="2">
        <v>70611</v>
      </c>
      <c r="T620" s="2">
        <v>60422</v>
      </c>
      <c r="U620" s="2">
        <v>0</v>
      </c>
      <c r="V620" s="2"/>
      <c r="W620" s="2">
        <v>59591</v>
      </c>
      <c r="X620" s="2">
        <v>48378</v>
      </c>
      <c r="Y620" s="2">
        <v>0</v>
      </c>
      <c r="Z620" s="2">
        <v>0</v>
      </c>
      <c r="AA620" s="2">
        <v>0</v>
      </c>
      <c r="AB620" s="2"/>
      <c r="AC620" s="2">
        <v>8533</v>
      </c>
      <c r="AD620" s="2">
        <v>5523</v>
      </c>
      <c r="AE620" s="2">
        <v>5520</v>
      </c>
      <c r="AF620" s="2">
        <v>0</v>
      </c>
      <c r="AG620" s="2">
        <v>0</v>
      </c>
      <c r="AH620" s="2"/>
      <c r="AI620" s="2">
        <v>-1287</v>
      </c>
      <c r="AJ620" s="2">
        <v>-1289</v>
      </c>
      <c r="AK620" s="2">
        <v>0</v>
      </c>
      <c r="AL620" s="2">
        <v>0</v>
      </c>
      <c r="AM620" s="2">
        <v>-1289</v>
      </c>
    </row>
    <row r="621" spans="1:39">
      <c r="A621" s="349">
        <v>96601</v>
      </c>
      <c r="B621" s="342" t="s">
        <v>1312</v>
      </c>
      <c r="C621" s="358">
        <v>1.5973000000000001E-3</v>
      </c>
      <c r="E621" s="2">
        <v>491805</v>
      </c>
      <c r="F621" s="2">
        <v>668845</v>
      </c>
      <c r="G621" s="2">
        <v>385894</v>
      </c>
      <c r="H621" s="2">
        <v>237713</v>
      </c>
      <c r="I621" s="2">
        <v>0</v>
      </c>
      <c r="J621" s="2"/>
      <c r="K621" s="2">
        <v>296154</v>
      </c>
      <c r="L621" s="2">
        <v>272809</v>
      </c>
      <c r="M621" s="2">
        <v>151836</v>
      </c>
      <c r="N621" s="2">
        <v>0</v>
      </c>
      <c r="O621" s="2">
        <v>0</v>
      </c>
      <c r="P621" s="2"/>
      <c r="Q621" s="2">
        <v>19198</v>
      </c>
      <c r="R621" s="2">
        <v>268514</v>
      </c>
      <c r="S621" s="2">
        <v>277799</v>
      </c>
      <c r="T621" s="2">
        <v>237713</v>
      </c>
      <c r="U621" s="2">
        <v>0</v>
      </c>
      <c r="V621" s="2"/>
      <c r="W621" s="2">
        <v>234445</v>
      </c>
      <c r="X621" s="2">
        <v>190329</v>
      </c>
      <c r="Y621" s="2">
        <v>0</v>
      </c>
      <c r="Z621" s="2">
        <v>0</v>
      </c>
      <c r="AA621" s="2">
        <v>0</v>
      </c>
      <c r="AB621" s="2"/>
      <c r="AC621" s="2">
        <v>8497</v>
      </c>
      <c r="AD621" s="2">
        <v>3683</v>
      </c>
      <c r="AE621" s="2">
        <v>3685</v>
      </c>
      <c r="AF621" s="2">
        <v>0</v>
      </c>
      <c r="AG621" s="2">
        <v>0</v>
      </c>
      <c r="AH621" s="2"/>
      <c r="AI621" s="2">
        <v>-66489</v>
      </c>
      <c r="AJ621" s="2">
        <v>-66490</v>
      </c>
      <c r="AK621" s="2">
        <v>-47426</v>
      </c>
      <c r="AL621" s="2">
        <v>0</v>
      </c>
      <c r="AM621" s="2">
        <v>-66490</v>
      </c>
    </row>
    <row r="622" spans="1:39">
      <c r="A622" s="349">
        <v>96604</v>
      </c>
      <c r="B622" s="342" t="s">
        <v>1313</v>
      </c>
      <c r="C622" s="358">
        <v>4.6E-6</v>
      </c>
      <c r="E622" s="2">
        <v>2556</v>
      </c>
      <c r="F622" s="2">
        <v>2823</v>
      </c>
      <c r="G622" s="2">
        <v>1882</v>
      </c>
      <c r="H622" s="2">
        <v>685</v>
      </c>
      <c r="I622" s="2">
        <v>0</v>
      </c>
      <c r="J622" s="2"/>
      <c r="K622" s="2">
        <v>853</v>
      </c>
      <c r="L622" s="2">
        <v>786</v>
      </c>
      <c r="M622" s="2">
        <v>437</v>
      </c>
      <c r="N622" s="2">
        <v>0</v>
      </c>
      <c r="O622" s="2">
        <v>0</v>
      </c>
      <c r="P622" s="2"/>
      <c r="Q622" s="2">
        <v>55</v>
      </c>
      <c r="R622" s="2">
        <v>773</v>
      </c>
      <c r="S622" s="2">
        <v>800</v>
      </c>
      <c r="T622" s="2">
        <v>685</v>
      </c>
      <c r="U622" s="2">
        <v>0</v>
      </c>
      <c r="V622" s="2"/>
      <c r="W622" s="2">
        <v>675</v>
      </c>
      <c r="X622" s="2">
        <v>548</v>
      </c>
      <c r="Y622" s="2">
        <v>0</v>
      </c>
      <c r="Z622" s="2">
        <v>0</v>
      </c>
      <c r="AA622" s="2">
        <v>0</v>
      </c>
      <c r="AB622" s="2"/>
      <c r="AC622" s="2">
        <v>973</v>
      </c>
      <c r="AD622" s="2">
        <v>716</v>
      </c>
      <c r="AE622" s="2">
        <v>645</v>
      </c>
      <c r="AF622" s="2">
        <v>0</v>
      </c>
      <c r="AG622" s="2">
        <v>0</v>
      </c>
      <c r="AH622" s="2"/>
      <c r="AI622" s="2">
        <v>0</v>
      </c>
      <c r="AJ622" s="2">
        <v>0</v>
      </c>
      <c r="AK622" s="2">
        <v>0</v>
      </c>
      <c r="AL622" s="2">
        <v>0</v>
      </c>
      <c r="AM622" s="2">
        <v>0</v>
      </c>
    </row>
    <row r="623" spans="1:39">
      <c r="A623" s="349">
        <v>96611</v>
      </c>
      <c r="B623" s="342" t="s">
        <v>1314</v>
      </c>
      <c r="C623" s="358">
        <v>1.95E-5</v>
      </c>
      <c r="E623" s="2">
        <v>6894</v>
      </c>
      <c r="F623" s="2">
        <v>10080</v>
      </c>
      <c r="G623" s="2">
        <v>6924</v>
      </c>
      <c r="H623" s="2">
        <v>2902</v>
      </c>
      <c r="I623" s="2">
        <v>0</v>
      </c>
      <c r="J623" s="2"/>
      <c r="K623" s="2">
        <v>3615</v>
      </c>
      <c r="L623" s="2">
        <v>3330</v>
      </c>
      <c r="M623" s="2">
        <v>1854</v>
      </c>
      <c r="N623" s="2">
        <v>0</v>
      </c>
      <c r="O623" s="2">
        <v>0</v>
      </c>
      <c r="P623" s="2"/>
      <c r="Q623" s="2">
        <v>234</v>
      </c>
      <c r="R623" s="2">
        <v>3278</v>
      </c>
      <c r="S623" s="2">
        <v>3391</v>
      </c>
      <c r="T623" s="2">
        <v>2902</v>
      </c>
      <c r="U623" s="2">
        <v>0</v>
      </c>
      <c r="V623" s="2"/>
      <c r="W623" s="2">
        <v>2862</v>
      </c>
      <c r="X623" s="2">
        <v>2324</v>
      </c>
      <c r="Y623" s="2">
        <v>0</v>
      </c>
      <c r="Z623" s="2">
        <v>0</v>
      </c>
      <c r="AA623" s="2">
        <v>0</v>
      </c>
      <c r="AB623" s="2"/>
      <c r="AC623" s="2">
        <v>2729</v>
      </c>
      <c r="AD623" s="2">
        <v>2729</v>
      </c>
      <c r="AE623" s="2">
        <v>2729</v>
      </c>
      <c r="AF623" s="2">
        <v>0</v>
      </c>
      <c r="AG623" s="2">
        <v>0</v>
      </c>
      <c r="AH623" s="2"/>
      <c r="AI623" s="2">
        <v>-2546</v>
      </c>
      <c r="AJ623" s="2">
        <v>-1581</v>
      </c>
      <c r="AK623" s="2">
        <v>-1050</v>
      </c>
      <c r="AL623" s="2">
        <v>0</v>
      </c>
      <c r="AM623" s="2">
        <v>-1581</v>
      </c>
    </row>
    <row r="624" spans="1:39">
      <c r="A624" s="349">
        <v>96612</v>
      </c>
      <c r="B624" s="342" t="s">
        <v>2761</v>
      </c>
      <c r="C624" s="358">
        <v>4.4199999999999997E-5</v>
      </c>
      <c r="E624" s="2">
        <v>16423</v>
      </c>
      <c r="F624" s="2">
        <v>20801</v>
      </c>
      <c r="G624" s="2">
        <v>13009</v>
      </c>
      <c r="H624" s="2">
        <v>6578</v>
      </c>
      <c r="I624" s="2">
        <v>0</v>
      </c>
      <c r="J624" s="2"/>
      <c r="K624" s="2">
        <v>8195</v>
      </c>
      <c r="L624" s="2">
        <v>7549</v>
      </c>
      <c r="M624" s="2">
        <v>4202</v>
      </c>
      <c r="N624" s="2">
        <v>0</v>
      </c>
      <c r="O624" s="2">
        <v>0</v>
      </c>
      <c r="P624" s="2"/>
      <c r="Q624" s="2">
        <v>531</v>
      </c>
      <c r="R624" s="2">
        <v>7430</v>
      </c>
      <c r="S624" s="2">
        <v>7687</v>
      </c>
      <c r="T624" s="2">
        <v>6578</v>
      </c>
      <c r="U624" s="2">
        <v>0</v>
      </c>
      <c r="V624" s="2"/>
      <c r="W624" s="2">
        <v>6487</v>
      </c>
      <c r="X624" s="2">
        <v>5267</v>
      </c>
      <c r="Y624" s="2">
        <v>0</v>
      </c>
      <c r="Z624" s="2">
        <v>0</v>
      </c>
      <c r="AA624" s="2">
        <v>0</v>
      </c>
      <c r="AB624" s="2"/>
      <c r="AC624" s="2">
        <v>2520</v>
      </c>
      <c r="AD624" s="2">
        <v>1865</v>
      </c>
      <c r="AE624" s="2">
        <v>1865</v>
      </c>
      <c r="AF624" s="2">
        <v>0</v>
      </c>
      <c r="AG624" s="2">
        <v>0</v>
      </c>
      <c r="AH624" s="2"/>
      <c r="AI624" s="2">
        <v>-1310</v>
      </c>
      <c r="AJ624" s="2">
        <v>-1310</v>
      </c>
      <c r="AK624" s="2">
        <v>-745</v>
      </c>
      <c r="AL624" s="2">
        <v>0</v>
      </c>
      <c r="AM624" s="2">
        <v>-1310</v>
      </c>
    </row>
    <row r="625" spans="1:39">
      <c r="A625" s="349">
        <v>96621</v>
      </c>
      <c r="B625" s="342" t="s">
        <v>1316</v>
      </c>
      <c r="C625" s="358">
        <v>1.8600000000000001E-5</v>
      </c>
      <c r="E625" s="2">
        <v>6617</v>
      </c>
      <c r="F625" s="2">
        <v>8559</v>
      </c>
      <c r="G625" s="2">
        <v>5615</v>
      </c>
      <c r="H625" s="2">
        <v>2768</v>
      </c>
      <c r="I625" s="2">
        <v>0</v>
      </c>
      <c r="J625" s="2"/>
      <c r="K625" s="2">
        <v>3449</v>
      </c>
      <c r="L625" s="2">
        <v>3177</v>
      </c>
      <c r="M625" s="2">
        <v>1768</v>
      </c>
      <c r="N625" s="2">
        <v>0</v>
      </c>
      <c r="O625" s="2">
        <v>0</v>
      </c>
      <c r="P625" s="2"/>
      <c r="Q625" s="2">
        <v>224</v>
      </c>
      <c r="R625" s="2">
        <v>3127</v>
      </c>
      <c r="S625" s="2">
        <v>3235</v>
      </c>
      <c r="T625" s="2">
        <v>2768</v>
      </c>
      <c r="U625" s="2">
        <v>0</v>
      </c>
      <c r="V625" s="2"/>
      <c r="W625" s="2">
        <v>2730</v>
      </c>
      <c r="X625" s="2">
        <v>2216</v>
      </c>
      <c r="Y625" s="2">
        <v>0</v>
      </c>
      <c r="Z625" s="2">
        <v>0</v>
      </c>
      <c r="AA625" s="2">
        <v>0</v>
      </c>
      <c r="AB625" s="2"/>
      <c r="AC625" s="2">
        <v>788</v>
      </c>
      <c r="AD625" s="2">
        <v>612</v>
      </c>
      <c r="AE625" s="2">
        <v>612</v>
      </c>
      <c r="AF625" s="2">
        <v>0</v>
      </c>
      <c r="AG625" s="2">
        <v>0</v>
      </c>
      <c r="AH625" s="2"/>
      <c r="AI625" s="2">
        <v>-574</v>
      </c>
      <c r="AJ625" s="2">
        <v>-573</v>
      </c>
      <c r="AK625" s="2">
        <v>0</v>
      </c>
      <c r="AL625" s="2">
        <v>0</v>
      </c>
      <c r="AM625" s="2">
        <v>-573</v>
      </c>
    </row>
    <row r="626" spans="1:39">
      <c r="A626" s="349">
        <v>96631</v>
      </c>
      <c r="B626" s="342" t="s">
        <v>1317</v>
      </c>
      <c r="C626" s="358">
        <v>2.3099999999999999E-5</v>
      </c>
      <c r="E626" s="2">
        <v>8366</v>
      </c>
      <c r="F626" s="2">
        <v>11049</v>
      </c>
      <c r="G626" s="2">
        <v>6755</v>
      </c>
      <c r="H626" s="2">
        <v>3438</v>
      </c>
      <c r="I626" s="2">
        <v>0</v>
      </c>
      <c r="J626" s="2"/>
      <c r="K626" s="2">
        <v>4283</v>
      </c>
      <c r="L626" s="2">
        <v>3945</v>
      </c>
      <c r="M626" s="2">
        <v>2196</v>
      </c>
      <c r="N626" s="2">
        <v>0</v>
      </c>
      <c r="O626" s="2">
        <v>0</v>
      </c>
      <c r="P626" s="2"/>
      <c r="Q626" s="2">
        <v>278</v>
      </c>
      <c r="R626" s="2">
        <v>3883</v>
      </c>
      <c r="S626" s="2">
        <v>4018</v>
      </c>
      <c r="T626" s="2">
        <v>3438</v>
      </c>
      <c r="U626" s="2">
        <v>0</v>
      </c>
      <c r="V626" s="2"/>
      <c r="W626" s="2">
        <v>3391</v>
      </c>
      <c r="X626" s="2">
        <v>2753</v>
      </c>
      <c r="Y626" s="2">
        <v>0</v>
      </c>
      <c r="Z626" s="2">
        <v>0</v>
      </c>
      <c r="AA626" s="2">
        <v>0</v>
      </c>
      <c r="AB626" s="2"/>
      <c r="AC626" s="2">
        <v>673</v>
      </c>
      <c r="AD626" s="2">
        <v>673</v>
      </c>
      <c r="AE626" s="2">
        <v>674</v>
      </c>
      <c r="AF626" s="2">
        <v>0</v>
      </c>
      <c r="AG626" s="2">
        <v>0</v>
      </c>
      <c r="AH626" s="2"/>
      <c r="AI626" s="2">
        <v>-259</v>
      </c>
      <c r="AJ626" s="2">
        <v>-205</v>
      </c>
      <c r="AK626" s="2">
        <v>-133</v>
      </c>
      <c r="AL626" s="2">
        <v>0</v>
      </c>
      <c r="AM626" s="2">
        <v>-205</v>
      </c>
    </row>
    <row r="627" spans="1:39">
      <c r="A627" s="349">
        <v>96641</v>
      </c>
      <c r="B627" s="342" t="s">
        <v>1318</v>
      </c>
      <c r="C627" s="358">
        <v>2.9499999999999999E-5</v>
      </c>
      <c r="E627" s="2">
        <v>15611</v>
      </c>
      <c r="F627" s="2">
        <v>16881</v>
      </c>
      <c r="G627" s="2">
        <v>10060</v>
      </c>
      <c r="H627" s="2">
        <v>4390</v>
      </c>
      <c r="I627" s="2">
        <v>0</v>
      </c>
      <c r="J627" s="2"/>
      <c r="K627" s="2">
        <v>5470</v>
      </c>
      <c r="L627" s="2">
        <v>5038</v>
      </c>
      <c r="M627" s="2">
        <v>2804</v>
      </c>
      <c r="N627" s="2">
        <v>0</v>
      </c>
      <c r="O627" s="2">
        <v>0</v>
      </c>
      <c r="P627" s="2"/>
      <c r="Q627" s="2">
        <v>355</v>
      </c>
      <c r="R627" s="2">
        <v>4959</v>
      </c>
      <c r="S627" s="2">
        <v>5131</v>
      </c>
      <c r="T627" s="2">
        <v>4390</v>
      </c>
      <c r="U627" s="2">
        <v>0</v>
      </c>
      <c r="V627" s="2"/>
      <c r="W627" s="2">
        <v>4330</v>
      </c>
      <c r="X627" s="2">
        <v>3515</v>
      </c>
      <c r="Y627" s="2">
        <v>0</v>
      </c>
      <c r="Z627" s="2">
        <v>0</v>
      </c>
      <c r="AA627" s="2">
        <v>0</v>
      </c>
      <c r="AB627" s="2"/>
      <c r="AC627" s="2">
        <v>5456</v>
      </c>
      <c r="AD627" s="2">
        <v>3369</v>
      </c>
      <c r="AE627" s="2">
        <v>2125</v>
      </c>
      <c r="AF627" s="2">
        <v>0</v>
      </c>
      <c r="AG627" s="2">
        <v>0</v>
      </c>
      <c r="AH627" s="2"/>
      <c r="AI627" s="2">
        <v>0</v>
      </c>
      <c r="AJ627" s="2">
        <v>0</v>
      </c>
      <c r="AK627" s="2">
        <v>0</v>
      </c>
      <c r="AL627" s="2">
        <v>0</v>
      </c>
      <c r="AM627" s="2">
        <v>0</v>
      </c>
    </row>
    <row r="628" spans="1:39">
      <c r="A628" s="349">
        <v>96651</v>
      </c>
      <c r="B628" s="342" t="s">
        <v>1319</v>
      </c>
      <c r="C628" s="358">
        <v>1.5999999999999999E-5</v>
      </c>
      <c r="E628" s="2">
        <v>4758</v>
      </c>
      <c r="F628" s="2">
        <v>6230</v>
      </c>
      <c r="G628" s="2">
        <v>2834</v>
      </c>
      <c r="H628" s="2">
        <v>2381</v>
      </c>
      <c r="I628" s="2">
        <v>0</v>
      </c>
      <c r="J628" s="2"/>
      <c r="K628" s="2">
        <v>2967</v>
      </c>
      <c r="L628" s="2">
        <v>2733</v>
      </c>
      <c r="M628" s="2">
        <v>1521</v>
      </c>
      <c r="N628" s="2">
        <v>0</v>
      </c>
      <c r="O628" s="2">
        <v>0</v>
      </c>
      <c r="P628" s="2"/>
      <c r="Q628" s="2">
        <v>192</v>
      </c>
      <c r="R628" s="2">
        <v>2690</v>
      </c>
      <c r="S628" s="2">
        <v>2783</v>
      </c>
      <c r="T628" s="2">
        <v>2381</v>
      </c>
      <c r="U628" s="2">
        <v>0</v>
      </c>
      <c r="V628" s="2"/>
      <c r="W628" s="2">
        <v>2348</v>
      </c>
      <c r="X628" s="2">
        <v>1907</v>
      </c>
      <c r="Y628" s="2">
        <v>0</v>
      </c>
      <c r="Z628" s="2">
        <v>0</v>
      </c>
      <c r="AA628" s="2">
        <v>0</v>
      </c>
      <c r="AB628" s="2"/>
      <c r="AC628" s="2">
        <v>723</v>
      </c>
      <c r="AD628" s="2">
        <v>372</v>
      </c>
      <c r="AE628" s="2">
        <v>0</v>
      </c>
      <c r="AF628" s="2">
        <v>0</v>
      </c>
      <c r="AG628" s="2">
        <v>0</v>
      </c>
      <c r="AH628" s="2"/>
      <c r="AI628" s="2">
        <v>-1472</v>
      </c>
      <c r="AJ628" s="2">
        <v>-1472</v>
      </c>
      <c r="AK628" s="2">
        <v>-1470</v>
      </c>
      <c r="AL628" s="2">
        <v>0</v>
      </c>
      <c r="AM628" s="2">
        <v>-1472</v>
      </c>
    </row>
    <row r="629" spans="1:39">
      <c r="A629" s="349">
        <v>96661</v>
      </c>
      <c r="B629" s="342" t="s">
        <v>1320</v>
      </c>
      <c r="C629" s="358">
        <v>2.4899999999999999E-5</v>
      </c>
      <c r="E629" s="2">
        <v>11902</v>
      </c>
      <c r="F629" s="2">
        <v>14347</v>
      </c>
      <c r="G629" s="2">
        <v>9448</v>
      </c>
      <c r="H629" s="2">
        <v>3706</v>
      </c>
      <c r="I629" s="2">
        <v>0</v>
      </c>
      <c r="J629" s="2"/>
      <c r="K629" s="2">
        <v>4617</v>
      </c>
      <c r="L629" s="2">
        <v>4253</v>
      </c>
      <c r="M629" s="2">
        <v>2367</v>
      </c>
      <c r="N629" s="2">
        <v>0</v>
      </c>
      <c r="O629" s="2">
        <v>0</v>
      </c>
      <c r="P629" s="2"/>
      <c r="Q629" s="2">
        <v>299</v>
      </c>
      <c r="R629" s="2">
        <v>4186</v>
      </c>
      <c r="S629" s="2">
        <v>4331</v>
      </c>
      <c r="T629" s="2">
        <v>3706</v>
      </c>
      <c r="U629" s="2">
        <v>0</v>
      </c>
      <c r="V629" s="2"/>
      <c r="W629" s="2">
        <v>3655</v>
      </c>
      <c r="X629" s="2">
        <v>2967</v>
      </c>
      <c r="Y629" s="2">
        <v>0</v>
      </c>
      <c r="Z629" s="2">
        <v>0</v>
      </c>
      <c r="AA629" s="2">
        <v>0</v>
      </c>
      <c r="AB629" s="2"/>
      <c r="AC629" s="2">
        <v>3372</v>
      </c>
      <c r="AD629" s="2">
        <v>2982</v>
      </c>
      <c r="AE629" s="2">
        <v>2792</v>
      </c>
      <c r="AF629" s="2">
        <v>0</v>
      </c>
      <c r="AG629" s="2">
        <v>0</v>
      </c>
      <c r="AH629" s="2"/>
      <c r="AI629" s="2">
        <v>-41</v>
      </c>
      <c r="AJ629" s="2">
        <v>-41</v>
      </c>
      <c r="AK629" s="2">
        <v>-42</v>
      </c>
      <c r="AL629" s="2">
        <v>0</v>
      </c>
      <c r="AM629" s="2">
        <v>-41</v>
      </c>
    </row>
    <row r="630" spans="1:39">
      <c r="A630" s="349">
        <v>96671</v>
      </c>
      <c r="B630" s="342" t="s">
        <v>1321</v>
      </c>
      <c r="C630" s="358">
        <v>1.4E-5</v>
      </c>
      <c r="E630" s="2">
        <v>7086</v>
      </c>
      <c r="F630" s="2">
        <v>8467</v>
      </c>
      <c r="G630" s="2">
        <v>5585</v>
      </c>
      <c r="H630" s="2">
        <v>2084</v>
      </c>
      <c r="I630" s="2">
        <v>0</v>
      </c>
      <c r="J630" s="2"/>
      <c r="K630" s="2">
        <v>2596</v>
      </c>
      <c r="L630" s="2">
        <v>2391</v>
      </c>
      <c r="M630" s="2">
        <v>1331</v>
      </c>
      <c r="N630" s="2">
        <v>0</v>
      </c>
      <c r="O630" s="2">
        <v>0</v>
      </c>
      <c r="P630" s="2"/>
      <c r="Q630" s="2">
        <v>168</v>
      </c>
      <c r="R630" s="2">
        <v>2353</v>
      </c>
      <c r="S630" s="2">
        <v>2435</v>
      </c>
      <c r="T630" s="2">
        <v>2084</v>
      </c>
      <c r="U630" s="2">
        <v>0</v>
      </c>
      <c r="V630" s="2"/>
      <c r="W630" s="2">
        <v>2055</v>
      </c>
      <c r="X630" s="2">
        <v>1668</v>
      </c>
      <c r="Y630" s="2">
        <v>0</v>
      </c>
      <c r="Z630" s="2">
        <v>0</v>
      </c>
      <c r="AA630" s="2">
        <v>0</v>
      </c>
      <c r="AB630" s="2"/>
      <c r="AC630" s="2">
        <v>2267</v>
      </c>
      <c r="AD630" s="2">
        <v>2055</v>
      </c>
      <c r="AE630" s="2">
        <v>1819</v>
      </c>
      <c r="AF630" s="2">
        <v>0</v>
      </c>
      <c r="AG630" s="2">
        <v>0</v>
      </c>
      <c r="AH630" s="2"/>
      <c r="AI630" s="2">
        <v>0</v>
      </c>
      <c r="AJ630" s="2">
        <v>0</v>
      </c>
      <c r="AK630" s="2">
        <v>0</v>
      </c>
      <c r="AL630" s="2">
        <v>0</v>
      </c>
      <c r="AM630" s="2">
        <v>0</v>
      </c>
    </row>
    <row r="631" spans="1:39">
      <c r="A631" s="349">
        <v>96681</v>
      </c>
      <c r="B631" s="342" t="s">
        <v>1322</v>
      </c>
      <c r="C631" s="358">
        <v>1.7600000000000001E-5</v>
      </c>
      <c r="E631" s="2">
        <v>5187</v>
      </c>
      <c r="F631" s="2">
        <v>9263</v>
      </c>
      <c r="G631" s="2">
        <v>4300</v>
      </c>
      <c r="H631" s="2">
        <v>2619</v>
      </c>
      <c r="I631" s="2">
        <v>0</v>
      </c>
      <c r="J631" s="2"/>
      <c r="K631" s="2">
        <v>3263</v>
      </c>
      <c r="L631" s="2">
        <v>3006</v>
      </c>
      <c r="M631" s="2">
        <v>1673</v>
      </c>
      <c r="N631" s="2">
        <v>0</v>
      </c>
      <c r="O631" s="2">
        <v>0</v>
      </c>
      <c r="P631" s="2"/>
      <c r="Q631" s="2">
        <v>212</v>
      </c>
      <c r="R631" s="2">
        <v>2959</v>
      </c>
      <c r="S631" s="2">
        <v>3061</v>
      </c>
      <c r="T631" s="2">
        <v>2619</v>
      </c>
      <c r="U631" s="2">
        <v>0</v>
      </c>
      <c r="V631" s="2"/>
      <c r="W631" s="2">
        <v>2583</v>
      </c>
      <c r="X631" s="2">
        <v>2097</v>
      </c>
      <c r="Y631" s="2">
        <v>0</v>
      </c>
      <c r="Z631" s="2">
        <v>0</v>
      </c>
      <c r="AA631" s="2">
        <v>0</v>
      </c>
      <c r="AB631" s="2"/>
      <c r="AC631" s="2">
        <v>3064</v>
      </c>
      <c r="AD631" s="2">
        <v>3066</v>
      </c>
      <c r="AE631" s="2">
        <v>1429</v>
      </c>
      <c r="AF631" s="2">
        <v>0</v>
      </c>
      <c r="AG631" s="2">
        <v>0</v>
      </c>
      <c r="AH631" s="2"/>
      <c r="AI631" s="2">
        <v>-3935</v>
      </c>
      <c r="AJ631" s="2">
        <v>-1865</v>
      </c>
      <c r="AK631" s="2">
        <v>-1863</v>
      </c>
      <c r="AL631" s="2">
        <v>0</v>
      </c>
      <c r="AM631" s="2">
        <v>-1865</v>
      </c>
    </row>
    <row r="632" spans="1:39">
      <c r="A632" s="349">
        <v>96701</v>
      </c>
      <c r="B632" s="342" t="s">
        <v>1323</v>
      </c>
      <c r="C632" s="358">
        <v>7.9334000000000002E-3</v>
      </c>
      <c r="E632" s="2">
        <v>2402858</v>
      </c>
      <c r="F632" s="2">
        <v>3241266</v>
      </c>
      <c r="G632" s="2">
        <v>1764950</v>
      </c>
      <c r="H632" s="2">
        <v>1180664</v>
      </c>
      <c r="I632" s="2">
        <v>0</v>
      </c>
      <c r="J632" s="2"/>
      <c r="K632" s="2">
        <v>1470924</v>
      </c>
      <c r="L632" s="2">
        <v>1354977</v>
      </c>
      <c r="M632" s="2">
        <v>754133</v>
      </c>
      <c r="N632" s="2">
        <v>0</v>
      </c>
      <c r="O632" s="2">
        <v>0</v>
      </c>
      <c r="P632" s="2"/>
      <c r="Q632" s="2">
        <v>95352</v>
      </c>
      <c r="R632" s="2">
        <v>1333644</v>
      </c>
      <c r="S632" s="2">
        <v>1379761</v>
      </c>
      <c r="T632" s="2">
        <v>1180664</v>
      </c>
      <c r="U632" s="2">
        <v>0</v>
      </c>
      <c r="V632" s="2"/>
      <c r="W632" s="2">
        <v>1164433</v>
      </c>
      <c r="X632" s="2">
        <v>945320</v>
      </c>
      <c r="Y632" s="2">
        <v>0</v>
      </c>
      <c r="Z632" s="2">
        <v>0</v>
      </c>
      <c r="AA632" s="2">
        <v>0</v>
      </c>
      <c r="AB632" s="2"/>
      <c r="AC632" s="2">
        <v>64826</v>
      </c>
      <c r="AD632" s="2">
        <v>0</v>
      </c>
      <c r="AE632" s="2">
        <v>0</v>
      </c>
      <c r="AF632" s="2">
        <v>0</v>
      </c>
      <c r="AG632" s="2">
        <v>0</v>
      </c>
      <c r="AH632" s="2"/>
      <c r="AI632" s="2">
        <v>-392677</v>
      </c>
      <c r="AJ632" s="2">
        <v>-392675</v>
      </c>
      <c r="AK632" s="2">
        <v>-368944</v>
      </c>
      <c r="AL632" s="2">
        <v>0</v>
      </c>
      <c r="AM632" s="2">
        <v>-392675</v>
      </c>
    </row>
    <row r="633" spans="1:39">
      <c r="A633" s="349">
        <v>96704</v>
      </c>
      <c r="B633" s="342" t="s">
        <v>1324</v>
      </c>
      <c r="C633" s="358">
        <v>1.9349999999999999E-4</v>
      </c>
      <c r="E633" s="2">
        <v>97121</v>
      </c>
      <c r="F633" s="2">
        <v>113297</v>
      </c>
      <c r="G633" s="2">
        <v>71976</v>
      </c>
      <c r="H633" s="2">
        <v>28797</v>
      </c>
      <c r="I633" s="2">
        <v>0</v>
      </c>
      <c r="J633" s="2"/>
      <c r="K633" s="2">
        <v>35877</v>
      </c>
      <c r="L633" s="2">
        <v>33049</v>
      </c>
      <c r="M633" s="2">
        <v>18394</v>
      </c>
      <c r="N633" s="2">
        <v>0</v>
      </c>
      <c r="O633" s="2">
        <v>0</v>
      </c>
      <c r="P633" s="2"/>
      <c r="Q633" s="2">
        <v>2326</v>
      </c>
      <c r="R633" s="2">
        <v>32528</v>
      </c>
      <c r="S633" s="2">
        <v>33653</v>
      </c>
      <c r="T633" s="2">
        <v>28797</v>
      </c>
      <c r="U633" s="2">
        <v>0</v>
      </c>
      <c r="V633" s="2"/>
      <c r="W633" s="2">
        <v>28401</v>
      </c>
      <c r="X633" s="2">
        <v>23057</v>
      </c>
      <c r="Y633" s="2">
        <v>0</v>
      </c>
      <c r="Z633" s="2">
        <v>0</v>
      </c>
      <c r="AA633" s="2">
        <v>0</v>
      </c>
      <c r="AB633" s="2"/>
      <c r="AC633" s="2">
        <v>30517</v>
      </c>
      <c r="AD633" s="2">
        <v>24663</v>
      </c>
      <c r="AE633" s="2">
        <v>19929</v>
      </c>
      <c r="AF633" s="2">
        <v>0</v>
      </c>
      <c r="AG633" s="2">
        <v>0</v>
      </c>
      <c r="AH633" s="2"/>
      <c r="AI633" s="2">
        <v>0</v>
      </c>
      <c r="AJ633" s="2">
        <v>0</v>
      </c>
      <c r="AK633" s="2">
        <v>0</v>
      </c>
      <c r="AL633" s="2">
        <v>0</v>
      </c>
      <c r="AM633" s="2">
        <v>0</v>
      </c>
    </row>
    <row r="634" spans="1:39">
      <c r="A634" s="349">
        <v>96708</v>
      </c>
      <c r="B634" s="342" t="s">
        <v>1325</v>
      </c>
      <c r="C634" s="358">
        <v>8.5760000000000003E-4</v>
      </c>
      <c r="E634" s="2">
        <v>313174</v>
      </c>
      <c r="F634" s="2">
        <v>395799</v>
      </c>
      <c r="G634" s="2">
        <v>227322</v>
      </c>
      <c r="H634" s="2">
        <v>127630</v>
      </c>
      <c r="I634" s="2">
        <v>0</v>
      </c>
      <c r="J634" s="2"/>
      <c r="K634" s="2">
        <v>159007</v>
      </c>
      <c r="L634" s="2">
        <v>146473</v>
      </c>
      <c r="M634" s="2">
        <v>81522</v>
      </c>
      <c r="N634" s="2">
        <v>0</v>
      </c>
      <c r="O634" s="2">
        <v>0</v>
      </c>
      <c r="P634" s="2"/>
      <c r="Q634" s="2">
        <v>10307</v>
      </c>
      <c r="R634" s="2">
        <v>144167</v>
      </c>
      <c r="S634" s="2">
        <v>149152</v>
      </c>
      <c r="T634" s="2">
        <v>127630</v>
      </c>
      <c r="U634" s="2">
        <v>0</v>
      </c>
      <c r="V634" s="2"/>
      <c r="W634" s="2">
        <v>125875</v>
      </c>
      <c r="X634" s="2">
        <v>102189</v>
      </c>
      <c r="Y634" s="2">
        <v>0</v>
      </c>
      <c r="Z634" s="2">
        <v>0</v>
      </c>
      <c r="AA634" s="2">
        <v>0</v>
      </c>
      <c r="AB634" s="2"/>
      <c r="AC634" s="2">
        <v>29909</v>
      </c>
      <c r="AD634" s="2">
        <v>14894</v>
      </c>
      <c r="AE634" s="2">
        <v>8572</v>
      </c>
      <c r="AF634" s="2">
        <v>0</v>
      </c>
      <c r="AG634" s="2">
        <v>0</v>
      </c>
      <c r="AH634" s="2"/>
      <c r="AI634" s="2">
        <v>-11924</v>
      </c>
      <c r="AJ634" s="2">
        <v>-11924</v>
      </c>
      <c r="AK634" s="2">
        <v>-11924</v>
      </c>
      <c r="AL634" s="2">
        <v>0</v>
      </c>
      <c r="AM634" s="2">
        <v>-11924</v>
      </c>
    </row>
    <row r="635" spans="1:39">
      <c r="A635" s="349">
        <v>96711</v>
      </c>
      <c r="B635" s="342" t="s">
        <v>1326</v>
      </c>
      <c r="C635" s="358">
        <v>3.8658999999999998E-3</v>
      </c>
      <c r="E635" s="2">
        <v>1234170</v>
      </c>
      <c r="F635" s="2">
        <v>1733468</v>
      </c>
      <c r="G635" s="2">
        <v>1031498</v>
      </c>
      <c r="H635" s="2">
        <v>575331</v>
      </c>
      <c r="I635" s="2">
        <v>0</v>
      </c>
      <c r="J635" s="2"/>
      <c r="K635" s="2">
        <v>716773</v>
      </c>
      <c r="L635" s="2">
        <v>660273</v>
      </c>
      <c r="M635" s="2">
        <v>367485</v>
      </c>
      <c r="N635" s="2">
        <v>0</v>
      </c>
      <c r="O635" s="2">
        <v>0</v>
      </c>
      <c r="P635" s="2"/>
      <c r="Q635" s="2">
        <v>46464</v>
      </c>
      <c r="R635" s="2">
        <v>649877</v>
      </c>
      <c r="S635" s="2">
        <v>672350</v>
      </c>
      <c r="T635" s="2">
        <v>575331</v>
      </c>
      <c r="U635" s="2">
        <v>0</v>
      </c>
      <c r="V635" s="2"/>
      <c r="W635" s="2">
        <v>567421</v>
      </c>
      <c r="X635" s="2">
        <v>460649</v>
      </c>
      <c r="Y635" s="2">
        <v>0</v>
      </c>
      <c r="Z635" s="2">
        <v>0</v>
      </c>
      <c r="AA635" s="2">
        <v>0</v>
      </c>
      <c r="AB635" s="2"/>
      <c r="AC635" s="2">
        <v>11631</v>
      </c>
      <c r="AD635" s="2">
        <v>11631</v>
      </c>
      <c r="AE635" s="2">
        <v>11630</v>
      </c>
      <c r="AF635" s="2">
        <v>0</v>
      </c>
      <c r="AG635" s="2">
        <v>0</v>
      </c>
      <c r="AH635" s="2"/>
      <c r="AI635" s="2">
        <v>-108119</v>
      </c>
      <c r="AJ635" s="2">
        <v>-48962</v>
      </c>
      <c r="AK635" s="2">
        <v>-19967</v>
      </c>
      <c r="AL635" s="2">
        <v>0</v>
      </c>
      <c r="AM635" s="2">
        <v>-48962</v>
      </c>
    </row>
    <row r="636" spans="1:39">
      <c r="A636" s="349">
        <v>96721</v>
      </c>
      <c r="B636" s="342" t="s">
        <v>1327</v>
      </c>
      <c r="C636" s="358">
        <v>2.3929999999999999E-4</v>
      </c>
      <c r="E636" s="2">
        <v>93524</v>
      </c>
      <c r="F636" s="2">
        <v>118488</v>
      </c>
      <c r="G636" s="2">
        <v>72910</v>
      </c>
      <c r="H636" s="2">
        <v>35613</v>
      </c>
      <c r="I636" s="2">
        <v>0</v>
      </c>
      <c r="J636" s="2"/>
      <c r="K636" s="2">
        <v>44368</v>
      </c>
      <c r="L636" s="2">
        <v>40871</v>
      </c>
      <c r="M636" s="2">
        <v>22747</v>
      </c>
      <c r="N636" s="2">
        <v>0</v>
      </c>
      <c r="O636" s="2">
        <v>0</v>
      </c>
      <c r="P636" s="2"/>
      <c r="Q636" s="2">
        <v>2876</v>
      </c>
      <c r="R636" s="2">
        <v>40228</v>
      </c>
      <c r="S636" s="2">
        <v>41619</v>
      </c>
      <c r="T636" s="2">
        <v>35613</v>
      </c>
      <c r="U636" s="2">
        <v>0</v>
      </c>
      <c r="V636" s="2"/>
      <c r="W636" s="2">
        <v>35123</v>
      </c>
      <c r="X636" s="2">
        <v>28514</v>
      </c>
      <c r="Y636" s="2">
        <v>0</v>
      </c>
      <c r="Z636" s="2">
        <v>0</v>
      </c>
      <c r="AA636" s="2">
        <v>0</v>
      </c>
      <c r="AB636" s="2"/>
      <c r="AC636" s="2">
        <v>12046</v>
      </c>
      <c r="AD636" s="2">
        <v>9764</v>
      </c>
      <c r="AE636" s="2">
        <v>9432</v>
      </c>
      <c r="AF636" s="2">
        <v>0</v>
      </c>
      <c r="AG636" s="2">
        <v>0</v>
      </c>
      <c r="AH636" s="2"/>
      <c r="AI636" s="2">
        <v>-889</v>
      </c>
      <c r="AJ636" s="2">
        <v>-889</v>
      </c>
      <c r="AK636" s="2">
        <v>-888</v>
      </c>
      <c r="AL636" s="2">
        <v>0</v>
      </c>
      <c r="AM636" s="2">
        <v>-889</v>
      </c>
    </row>
    <row r="637" spans="1:39">
      <c r="A637" s="349">
        <v>96731</v>
      </c>
      <c r="B637" s="342" t="s">
        <v>1328</v>
      </c>
      <c r="C637" s="358">
        <v>1.741E-4</v>
      </c>
      <c r="E637" s="2">
        <v>59891</v>
      </c>
      <c r="F637" s="2">
        <v>77667</v>
      </c>
      <c r="G637" s="2">
        <v>45194</v>
      </c>
      <c r="H637" s="2">
        <v>25910</v>
      </c>
      <c r="I637" s="2">
        <v>0</v>
      </c>
      <c r="J637" s="2"/>
      <c r="K637" s="2">
        <v>32280</v>
      </c>
      <c r="L637" s="2">
        <v>29735</v>
      </c>
      <c r="M637" s="2">
        <v>16550</v>
      </c>
      <c r="N637" s="2">
        <v>0</v>
      </c>
      <c r="O637" s="2">
        <v>0</v>
      </c>
      <c r="P637" s="2"/>
      <c r="Q637" s="2">
        <v>2093</v>
      </c>
      <c r="R637" s="2">
        <v>29267</v>
      </c>
      <c r="S637" s="2">
        <v>30279</v>
      </c>
      <c r="T637" s="2">
        <v>25910</v>
      </c>
      <c r="U637" s="2">
        <v>0</v>
      </c>
      <c r="V637" s="2"/>
      <c r="W637" s="2">
        <v>25554</v>
      </c>
      <c r="X637" s="2">
        <v>20745</v>
      </c>
      <c r="Y637" s="2">
        <v>0</v>
      </c>
      <c r="Z637" s="2">
        <v>0</v>
      </c>
      <c r="AA637" s="2">
        <v>0</v>
      </c>
      <c r="AB637" s="2"/>
      <c r="AC637" s="2">
        <v>2204</v>
      </c>
      <c r="AD637" s="2">
        <v>162</v>
      </c>
      <c r="AE637" s="2">
        <v>164</v>
      </c>
      <c r="AF637" s="2">
        <v>0</v>
      </c>
      <c r="AG637" s="2">
        <v>0</v>
      </c>
      <c r="AH637" s="2"/>
      <c r="AI637" s="2">
        <v>-2240</v>
      </c>
      <c r="AJ637" s="2">
        <v>-2242</v>
      </c>
      <c r="AK637" s="2">
        <v>-1799</v>
      </c>
      <c r="AL637" s="2">
        <v>0</v>
      </c>
      <c r="AM637" s="2">
        <v>-2242</v>
      </c>
    </row>
    <row r="638" spans="1:39">
      <c r="A638" s="349">
        <v>96733</v>
      </c>
      <c r="B638" s="342" t="s">
        <v>1329</v>
      </c>
      <c r="C638" s="358"/>
      <c r="E638" s="2">
        <v>-3844</v>
      </c>
      <c r="F638" s="2">
        <v>-3710</v>
      </c>
      <c r="G638" s="2">
        <v>-4259</v>
      </c>
      <c r="H638" s="2">
        <v>0</v>
      </c>
      <c r="I638" s="2">
        <v>0</v>
      </c>
      <c r="J638" s="2"/>
      <c r="K638" s="2">
        <v>0</v>
      </c>
      <c r="L638" s="2">
        <v>0</v>
      </c>
      <c r="M638" s="2">
        <v>0</v>
      </c>
      <c r="N638" s="2">
        <v>0</v>
      </c>
      <c r="O638" s="2">
        <v>0</v>
      </c>
      <c r="P638" s="2"/>
      <c r="Q638" s="2">
        <v>0</v>
      </c>
      <c r="R638" s="2">
        <v>0</v>
      </c>
      <c r="S638" s="2">
        <v>0</v>
      </c>
      <c r="T638" s="2">
        <v>0</v>
      </c>
      <c r="U638" s="2">
        <v>0</v>
      </c>
      <c r="V638" s="2"/>
      <c r="W638" s="2">
        <v>0</v>
      </c>
      <c r="X638" s="2">
        <v>0</v>
      </c>
      <c r="Y638" s="2">
        <v>0</v>
      </c>
      <c r="Z638" s="2">
        <v>0</v>
      </c>
      <c r="AA638" s="2">
        <v>0</v>
      </c>
      <c r="AB638" s="2"/>
      <c r="AC638" s="2">
        <v>549</v>
      </c>
      <c r="AD638" s="2">
        <v>550</v>
      </c>
      <c r="AE638" s="2">
        <v>0</v>
      </c>
      <c r="AF638" s="2">
        <v>0</v>
      </c>
      <c r="AG638" s="2">
        <v>0</v>
      </c>
      <c r="AH638" s="2"/>
      <c r="AI638" s="2">
        <v>-4393</v>
      </c>
      <c r="AJ638" s="2">
        <v>-4260</v>
      </c>
      <c r="AK638" s="2">
        <v>-4259</v>
      </c>
      <c r="AL638" s="2">
        <v>0</v>
      </c>
      <c r="AM638" s="2">
        <v>-4260</v>
      </c>
    </row>
    <row r="639" spans="1:39">
      <c r="A639" s="349">
        <v>96741</v>
      </c>
      <c r="B639" s="342" t="s">
        <v>1330</v>
      </c>
      <c r="C639" s="358">
        <v>8.6799999999999996E-5</v>
      </c>
      <c r="E639" s="2">
        <v>24591</v>
      </c>
      <c r="F639" s="2">
        <v>34787</v>
      </c>
      <c r="G639" s="2">
        <v>17676</v>
      </c>
      <c r="H639" s="2">
        <v>12918</v>
      </c>
      <c r="I639" s="2">
        <v>0</v>
      </c>
      <c r="J639" s="2"/>
      <c r="K639" s="2">
        <v>16094</v>
      </c>
      <c r="L639" s="2">
        <v>14825</v>
      </c>
      <c r="M639" s="2">
        <v>8251</v>
      </c>
      <c r="N639" s="2">
        <v>0</v>
      </c>
      <c r="O639" s="2">
        <v>0</v>
      </c>
      <c r="P639" s="2"/>
      <c r="Q639" s="2">
        <v>1043</v>
      </c>
      <c r="R639" s="2">
        <v>14592</v>
      </c>
      <c r="S639" s="2">
        <v>15096</v>
      </c>
      <c r="T639" s="2">
        <v>12918</v>
      </c>
      <c r="U639" s="2">
        <v>0</v>
      </c>
      <c r="V639" s="2"/>
      <c r="W639" s="2">
        <v>12740</v>
      </c>
      <c r="X639" s="2">
        <v>10343</v>
      </c>
      <c r="Y639" s="2">
        <v>0</v>
      </c>
      <c r="Z639" s="2">
        <v>0</v>
      </c>
      <c r="AA639" s="2">
        <v>0</v>
      </c>
      <c r="AB639" s="2"/>
      <c r="AC639" s="2">
        <v>702</v>
      </c>
      <c r="AD639" s="2">
        <v>701</v>
      </c>
      <c r="AE639" s="2">
        <v>0</v>
      </c>
      <c r="AF639" s="2">
        <v>0</v>
      </c>
      <c r="AG639" s="2">
        <v>0</v>
      </c>
      <c r="AH639" s="2"/>
      <c r="AI639" s="2">
        <v>-5988</v>
      </c>
      <c r="AJ639" s="2">
        <v>-5674</v>
      </c>
      <c r="AK639" s="2">
        <v>-5671</v>
      </c>
      <c r="AL639" s="2">
        <v>0</v>
      </c>
      <c r="AM639" s="2">
        <v>-5674</v>
      </c>
    </row>
    <row r="640" spans="1:39">
      <c r="A640" s="349">
        <v>96751</v>
      </c>
      <c r="B640" s="342" t="s">
        <v>3685</v>
      </c>
      <c r="C640" s="358">
        <v>2.7139999999999998E-4</v>
      </c>
      <c r="E640" s="2">
        <v>86500</v>
      </c>
      <c r="F640" s="2">
        <v>118488</v>
      </c>
      <c r="G640" s="2">
        <v>66744</v>
      </c>
      <c r="H640" s="2">
        <v>40390</v>
      </c>
      <c r="I640" s="2">
        <v>0</v>
      </c>
      <c r="J640" s="2"/>
      <c r="K640" s="2">
        <v>50320</v>
      </c>
      <c r="L640" s="2">
        <v>46353</v>
      </c>
      <c r="M640" s="2">
        <v>25799</v>
      </c>
      <c r="N640" s="2">
        <v>0</v>
      </c>
      <c r="O640" s="2">
        <v>0</v>
      </c>
      <c r="P640" s="2"/>
      <c r="Q640" s="2">
        <v>3262</v>
      </c>
      <c r="R640" s="2">
        <v>45624</v>
      </c>
      <c r="S640" s="2">
        <v>47201</v>
      </c>
      <c r="T640" s="2">
        <v>40390</v>
      </c>
      <c r="U640" s="2">
        <v>0</v>
      </c>
      <c r="V640" s="2"/>
      <c r="W640" s="2">
        <v>39835</v>
      </c>
      <c r="X640" s="2">
        <v>32339</v>
      </c>
      <c r="Y640" s="2">
        <v>0</v>
      </c>
      <c r="Z640" s="2">
        <v>0</v>
      </c>
      <c r="AA640" s="2">
        <v>0</v>
      </c>
      <c r="AB640" s="2"/>
      <c r="AC640" s="2">
        <v>6016</v>
      </c>
      <c r="AD640" s="2">
        <v>6018</v>
      </c>
      <c r="AE640" s="2">
        <v>5590</v>
      </c>
      <c r="AF640" s="2">
        <v>0</v>
      </c>
      <c r="AG640" s="2">
        <v>0</v>
      </c>
      <c r="AH640" s="2"/>
      <c r="AI640" s="2">
        <v>-12933</v>
      </c>
      <c r="AJ640" s="2">
        <v>-11846</v>
      </c>
      <c r="AK640" s="2">
        <v>-11846</v>
      </c>
      <c r="AL640" s="2">
        <v>0</v>
      </c>
      <c r="AM640" s="2">
        <v>-11846</v>
      </c>
    </row>
    <row r="641" spans="1:39">
      <c r="A641" s="349">
        <v>96801</v>
      </c>
      <c r="B641" s="342" t="s">
        <v>1332</v>
      </c>
      <c r="C641" s="358">
        <v>7.3815E-3</v>
      </c>
      <c r="E641" s="2">
        <v>2476926</v>
      </c>
      <c r="F641" s="2">
        <v>3335619</v>
      </c>
      <c r="G641" s="2">
        <v>1921907</v>
      </c>
      <c r="H641" s="2">
        <v>1098530</v>
      </c>
      <c r="I641" s="2">
        <v>0</v>
      </c>
      <c r="J641" s="2"/>
      <c r="K641" s="2">
        <v>1368597</v>
      </c>
      <c r="L641" s="2">
        <v>1260716</v>
      </c>
      <c r="M641" s="2">
        <v>701671</v>
      </c>
      <c r="N641" s="2">
        <v>0</v>
      </c>
      <c r="O641" s="2">
        <v>0</v>
      </c>
      <c r="P641" s="2"/>
      <c r="Q641" s="2">
        <v>88718</v>
      </c>
      <c r="R641" s="2">
        <v>1240867</v>
      </c>
      <c r="S641" s="2">
        <v>1283776</v>
      </c>
      <c r="T641" s="2">
        <v>1098530</v>
      </c>
      <c r="U641" s="2">
        <v>0</v>
      </c>
      <c r="V641" s="2"/>
      <c r="W641" s="2">
        <v>1083427</v>
      </c>
      <c r="X641" s="2">
        <v>879557</v>
      </c>
      <c r="Y641" s="2">
        <v>0</v>
      </c>
      <c r="Z641" s="2">
        <v>0</v>
      </c>
      <c r="AA641" s="2">
        <v>0</v>
      </c>
      <c r="AB641" s="2"/>
      <c r="AC641" s="2">
        <v>18014</v>
      </c>
      <c r="AD641" s="2">
        <v>18016</v>
      </c>
      <c r="AE641" s="2">
        <v>0</v>
      </c>
      <c r="AF641" s="2">
        <v>0</v>
      </c>
      <c r="AG641" s="2">
        <v>0</v>
      </c>
      <c r="AH641" s="2"/>
      <c r="AI641" s="2">
        <v>-81830</v>
      </c>
      <c r="AJ641" s="2">
        <v>-63537</v>
      </c>
      <c r="AK641" s="2">
        <v>-63540</v>
      </c>
      <c r="AL641" s="2">
        <v>0</v>
      </c>
      <c r="AM641" s="2">
        <v>-63537</v>
      </c>
    </row>
    <row r="642" spans="1:39">
      <c r="A642" s="349">
        <v>96804</v>
      </c>
      <c r="B642" s="342" t="s">
        <v>1333</v>
      </c>
      <c r="C642" s="358">
        <v>2.3499999999999999E-4</v>
      </c>
      <c r="E642" s="2">
        <v>67610</v>
      </c>
      <c r="F642" s="2">
        <v>93029</v>
      </c>
      <c r="G642" s="2">
        <v>53453</v>
      </c>
      <c r="H642" s="2">
        <v>34973</v>
      </c>
      <c r="I642" s="2">
        <v>0</v>
      </c>
      <c r="J642" s="2"/>
      <c r="K642" s="2">
        <v>43571</v>
      </c>
      <c r="L642" s="2">
        <v>40137</v>
      </c>
      <c r="M642" s="2">
        <v>22339</v>
      </c>
      <c r="N642" s="2">
        <v>0</v>
      </c>
      <c r="O642" s="2">
        <v>0</v>
      </c>
      <c r="P642" s="2"/>
      <c r="Q642" s="2">
        <v>2824</v>
      </c>
      <c r="R642" s="2">
        <v>39505</v>
      </c>
      <c r="S642" s="2">
        <v>40871</v>
      </c>
      <c r="T642" s="2">
        <v>34973</v>
      </c>
      <c r="U642" s="2">
        <v>0</v>
      </c>
      <c r="V642" s="2"/>
      <c r="W642" s="2">
        <v>34492</v>
      </c>
      <c r="X642" s="2">
        <v>28002</v>
      </c>
      <c r="Y642" s="2">
        <v>0</v>
      </c>
      <c r="Z642" s="2">
        <v>0</v>
      </c>
      <c r="AA642" s="2">
        <v>0</v>
      </c>
      <c r="AB642" s="2"/>
      <c r="AC642" s="2">
        <v>1338</v>
      </c>
      <c r="AD642" s="2">
        <v>0</v>
      </c>
      <c r="AE642" s="2">
        <v>0</v>
      </c>
      <c r="AF642" s="2">
        <v>0</v>
      </c>
      <c r="AG642" s="2">
        <v>0</v>
      </c>
      <c r="AH642" s="2"/>
      <c r="AI642" s="2">
        <v>-14615</v>
      </c>
      <c r="AJ642" s="2">
        <v>-14615</v>
      </c>
      <c r="AK642" s="2">
        <v>-9757</v>
      </c>
      <c r="AL642" s="2">
        <v>0</v>
      </c>
      <c r="AM642" s="2">
        <v>-14615</v>
      </c>
    </row>
    <row r="643" spans="1:39">
      <c r="A643" s="349">
        <v>96808</v>
      </c>
      <c r="B643" s="342" t="s">
        <v>1334</v>
      </c>
      <c r="C643" s="358">
        <v>1.2712999999999999E-3</v>
      </c>
      <c r="E643" s="2">
        <v>446892</v>
      </c>
      <c r="F643" s="2">
        <v>592554</v>
      </c>
      <c r="G643" s="2">
        <v>355246</v>
      </c>
      <c r="H643" s="2">
        <v>189197</v>
      </c>
      <c r="I643" s="2">
        <v>0</v>
      </c>
      <c r="J643" s="2"/>
      <c r="K643" s="2">
        <v>235710</v>
      </c>
      <c r="L643" s="2">
        <v>217130</v>
      </c>
      <c r="M643" s="2">
        <v>120847</v>
      </c>
      <c r="N643" s="2">
        <v>0</v>
      </c>
      <c r="O643" s="2">
        <v>0</v>
      </c>
      <c r="P643" s="2"/>
      <c r="Q643" s="2">
        <v>15280</v>
      </c>
      <c r="R643" s="2">
        <v>213712</v>
      </c>
      <c r="S643" s="2">
        <v>221102</v>
      </c>
      <c r="T643" s="2">
        <v>189197</v>
      </c>
      <c r="U643" s="2">
        <v>0</v>
      </c>
      <c r="V643" s="2"/>
      <c r="W643" s="2">
        <v>186596</v>
      </c>
      <c r="X643" s="2">
        <v>151484</v>
      </c>
      <c r="Y643" s="2">
        <v>0</v>
      </c>
      <c r="Z643" s="2">
        <v>0</v>
      </c>
      <c r="AA643" s="2">
        <v>0</v>
      </c>
      <c r="AB643" s="2"/>
      <c r="AC643" s="2">
        <v>20485</v>
      </c>
      <c r="AD643" s="2">
        <v>20485</v>
      </c>
      <c r="AE643" s="2">
        <v>20486</v>
      </c>
      <c r="AF643" s="2">
        <v>0</v>
      </c>
      <c r="AG643" s="2">
        <v>0</v>
      </c>
      <c r="AH643" s="2"/>
      <c r="AI643" s="2">
        <v>-11179</v>
      </c>
      <c r="AJ643" s="2">
        <v>-10257</v>
      </c>
      <c r="AK643" s="2">
        <v>-7189</v>
      </c>
      <c r="AL643" s="2">
        <v>0</v>
      </c>
      <c r="AM643" s="2">
        <v>-10257</v>
      </c>
    </row>
    <row r="644" spans="1:39">
      <c r="A644" s="349">
        <v>96811</v>
      </c>
      <c r="B644" s="342" t="s">
        <v>1335</v>
      </c>
      <c r="C644" s="358">
        <v>5.7375999999999998E-3</v>
      </c>
      <c r="E644" s="2">
        <v>1912413</v>
      </c>
      <c r="F644" s="2">
        <v>2556296</v>
      </c>
      <c r="G644" s="2">
        <v>1484684</v>
      </c>
      <c r="H644" s="2">
        <v>853881</v>
      </c>
      <c r="I644" s="2">
        <v>0</v>
      </c>
      <c r="J644" s="2"/>
      <c r="K644" s="2">
        <v>1063803</v>
      </c>
      <c r="L644" s="2">
        <v>979948</v>
      </c>
      <c r="M644" s="2">
        <v>545405</v>
      </c>
      <c r="N644" s="2">
        <v>0</v>
      </c>
      <c r="O644" s="2">
        <v>0</v>
      </c>
      <c r="P644" s="2"/>
      <c r="Q644" s="2">
        <v>68960</v>
      </c>
      <c r="R644" s="2">
        <v>964519</v>
      </c>
      <c r="S644" s="2">
        <v>997872</v>
      </c>
      <c r="T644" s="2">
        <v>853881</v>
      </c>
      <c r="U644" s="2">
        <v>0</v>
      </c>
      <c r="V644" s="2"/>
      <c r="W644" s="2">
        <v>842142</v>
      </c>
      <c r="X644" s="2">
        <v>683675</v>
      </c>
      <c r="Y644" s="2">
        <v>0</v>
      </c>
      <c r="Z644" s="2">
        <v>0</v>
      </c>
      <c r="AA644" s="2">
        <v>0</v>
      </c>
      <c r="AB644" s="2"/>
      <c r="AC644" s="2">
        <v>9353</v>
      </c>
      <c r="AD644" s="2">
        <v>0</v>
      </c>
      <c r="AE644" s="2">
        <v>0</v>
      </c>
      <c r="AF644" s="2">
        <v>0</v>
      </c>
      <c r="AG644" s="2">
        <v>0</v>
      </c>
      <c r="AH644" s="2"/>
      <c r="AI644" s="2">
        <v>-71845</v>
      </c>
      <c r="AJ644" s="2">
        <v>-71846</v>
      </c>
      <c r="AK644" s="2">
        <v>-58593</v>
      </c>
      <c r="AL644" s="2">
        <v>0</v>
      </c>
      <c r="AM644" s="2">
        <v>-71846</v>
      </c>
    </row>
    <row r="645" spans="1:39">
      <c r="A645" s="349">
        <v>96821</v>
      </c>
      <c r="B645" s="342" t="s">
        <v>1336</v>
      </c>
      <c r="C645" s="358">
        <v>1.2259E-3</v>
      </c>
      <c r="E645" s="2">
        <v>421497</v>
      </c>
      <c r="F645" s="2">
        <v>568341</v>
      </c>
      <c r="G645" s="2">
        <v>358877</v>
      </c>
      <c r="H645" s="2">
        <v>182441</v>
      </c>
      <c r="I645" s="2">
        <v>0</v>
      </c>
      <c r="J645" s="2"/>
      <c r="K645" s="2">
        <v>227293</v>
      </c>
      <c r="L645" s="2">
        <v>209376</v>
      </c>
      <c r="M645" s="2">
        <v>116532</v>
      </c>
      <c r="N645" s="2">
        <v>0</v>
      </c>
      <c r="O645" s="2">
        <v>0</v>
      </c>
      <c r="P645" s="2"/>
      <c r="Q645" s="2">
        <v>14734</v>
      </c>
      <c r="R645" s="2">
        <v>206080</v>
      </c>
      <c r="S645" s="2">
        <v>213206</v>
      </c>
      <c r="T645" s="2">
        <v>182441</v>
      </c>
      <c r="U645" s="2">
        <v>0</v>
      </c>
      <c r="V645" s="2"/>
      <c r="W645" s="2">
        <v>179933</v>
      </c>
      <c r="X645" s="2">
        <v>146075</v>
      </c>
      <c r="Y645" s="2">
        <v>0</v>
      </c>
      <c r="Z645" s="2">
        <v>0</v>
      </c>
      <c r="AA645" s="2">
        <v>0</v>
      </c>
      <c r="AB645" s="2"/>
      <c r="AC645" s="2">
        <v>29139</v>
      </c>
      <c r="AD645" s="2">
        <v>29139</v>
      </c>
      <c r="AE645" s="2">
        <v>29139</v>
      </c>
      <c r="AF645" s="2">
        <v>0</v>
      </c>
      <c r="AG645" s="2">
        <v>0</v>
      </c>
      <c r="AH645" s="2"/>
      <c r="AI645" s="2">
        <v>-29602</v>
      </c>
      <c r="AJ645" s="2">
        <v>-22329</v>
      </c>
      <c r="AK645" s="2">
        <v>0</v>
      </c>
      <c r="AL645" s="2">
        <v>0</v>
      </c>
      <c r="AM645" s="2">
        <v>-22329</v>
      </c>
    </row>
    <row r="646" spans="1:39">
      <c r="A646" s="349">
        <v>96831</v>
      </c>
      <c r="B646" s="342" t="s">
        <v>1337</v>
      </c>
      <c r="C646" s="358">
        <v>9.2150000000000001E-4</v>
      </c>
      <c r="E646" s="2">
        <v>317591</v>
      </c>
      <c r="F646" s="2">
        <v>422382</v>
      </c>
      <c r="G646" s="2">
        <v>249595</v>
      </c>
      <c r="H646" s="2">
        <v>137139</v>
      </c>
      <c r="I646" s="2">
        <v>0</v>
      </c>
      <c r="J646" s="2"/>
      <c r="K646" s="2">
        <v>170854</v>
      </c>
      <c r="L646" s="2">
        <v>157387</v>
      </c>
      <c r="M646" s="2">
        <v>87596</v>
      </c>
      <c r="N646" s="2">
        <v>0</v>
      </c>
      <c r="O646" s="2">
        <v>0</v>
      </c>
      <c r="P646" s="2"/>
      <c r="Q646" s="2">
        <v>11076</v>
      </c>
      <c r="R646" s="2">
        <v>154909</v>
      </c>
      <c r="S646" s="2">
        <v>160265</v>
      </c>
      <c r="T646" s="2">
        <v>137139</v>
      </c>
      <c r="U646" s="2">
        <v>0</v>
      </c>
      <c r="V646" s="2"/>
      <c r="W646" s="2">
        <v>135254</v>
      </c>
      <c r="X646" s="2">
        <v>109803</v>
      </c>
      <c r="Y646" s="2">
        <v>0</v>
      </c>
      <c r="Z646" s="2">
        <v>0</v>
      </c>
      <c r="AA646" s="2">
        <v>0</v>
      </c>
      <c r="AB646" s="2"/>
      <c r="AC646" s="2">
        <v>8882</v>
      </c>
      <c r="AD646" s="2">
        <v>8760</v>
      </c>
      <c r="AE646" s="2">
        <v>8758</v>
      </c>
      <c r="AF646" s="2">
        <v>0</v>
      </c>
      <c r="AG646" s="2">
        <v>0</v>
      </c>
      <c r="AH646" s="2"/>
      <c r="AI646" s="2">
        <v>-8475</v>
      </c>
      <c r="AJ646" s="2">
        <v>-8477</v>
      </c>
      <c r="AK646" s="2">
        <v>-7024</v>
      </c>
      <c r="AL646" s="2">
        <v>0</v>
      </c>
      <c r="AM646" s="2">
        <v>-8477</v>
      </c>
    </row>
    <row r="647" spans="1:39">
      <c r="A647" s="349">
        <v>96901</v>
      </c>
      <c r="B647" s="342" t="s">
        <v>1338</v>
      </c>
      <c r="C647" s="358">
        <v>8.6399999999999997E-4</v>
      </c>
      <c r="E647" s="2">
        <v>272300</v>
      </c>
      <c r="F647" s="2">
        <v>357028</v>
      </c>
      <c r="G647" s="2">
        <v>190662</v>
      </c>
      <c r="H647" s="2">
        <v>128582</v>
      </c>
      <c r="I647" s="2">
        <v>0</v>
      </c>
      <c r="J647" s="2"/>
      <c r="K647" s="2">
        <v>160193</v>
      </c>
      <c r="L647" s="2">
        <v>147566</v>
      </c>
      <c r="M647" s="2">
        <v>82130</v>
      </c>
      <c r="N647" s="2">
        <v>0</v>
      </c>
      <c r="O647" s="2">
        <v>0</v>
      </c>
      <c r="P647" s="2"/>
      <c r="Q647" s="2">
        <v>10384</v>
      </c>
      <c r="R647" s="2">
        <v>145243</v>
      </c>
      <c r="S647" s="2">
        <v>150265</v>
      </c>
      <c r="T647" s="2">
        <v>128582</v>
      </c>
      <c r="U647" s="2">
        <v>0</v>
      </c>
      <c r="V647" s="2"/>
      <c r="W647" s="2">
        <v>126814</v>
      </c>
      <c r="X647" s="2">
        <v>102952</v>
      </c>
      <c r="Y647" s="2">
        <v>0</v>
      </c>
      <c r="Z647" s="2">
        <v>0</v>
      </c>
      <c r="AA647" s="2">
        <v>0</v>
      </c>
      <c r="AB647" s="2"/>
      <c r="AC647" s="2">
        <v>23947</v>
      </c>
      <c r="AD647" s="2">
        <v>10305</v>
      </c>
      <c r="AE647" s="2">
        <v>7306</v>
      </c>
      <c r="AF647" s="2">
        <v>0</v>
      </c>
      <c r="AG647" s="2">
        <v>0</v>
      </c>
      <c r="AH647" s="2"/>
      <c r="AI647" s="2">
        <v>-49038</v>
      </c>
      <c r="AJ647" s="2">
        <v>-49038</v>
      </c>
      <c r="AK647" s="2">
        <v>-49039</v>
      </c>
      <c r="AL647" s="2">
        <v>0</v>
      </c>
      <c r="AM647" s="2">
        <v>-49038</v>
      </c>
    </row>
    <row r="648" spans="1:39">
      <c r="A648" s="349">
        <v>96911</v>
      </c>
      <c r="B648" s="342" t="s">
        <v>1339</v>
      </c>
      <c r="C648" s="358">
        <v>2.3E-6</v>
      </c>
      <c r="E648" s="2">
        <v>1842</v>
      </c>
      <c r="F648" s="2">
        <v>2156</v>
      </c>
      <c r="G648" s="2">
        <v>1469</v>
      </c>
      <c r="H648" s="2">
        <v>342</v>
      </c>
      <c r="I648" s="2">
        <v>0</v>
      </c>
      <c r="J648" s="2"/>
      <c r="K648" s="2">
        <v>426</v>
      </c>
      <c r="L648" s="2">
        <v>393</v>
      </c>
      <c r="M648" s="2">
        <v>219</v>
      </c>
      <c r="N648" s="2">
        <v>0</v>
      </c>
      <c r="O648" s="2">
        <v>0</v>
      </c>
      <c r="P648" s="2"/>
      <c r="Q648" s="2">
        <v>28</v>
      </c>
      <c r="R648" s="2">
        <v>387</v>
      </c>
      <c r="S648" s="2">
        <v>400</v>
      </c>
      <c r="T648" s="2">
        <v>342</v>
      </c>
      <c r="U648" s="2">
        <v>0</v>
      </c>
      <c r="V648" s="2"/>
      <c r="W648" s="2">
        <v>338</v>
      </c>
      <c r="X648" s="2">
        <v>274</v>
      </c>
      <c r="Y648" s="2">
        <v>0</v>
      </c>
      <c r="Z648" s="2">
        <v>0</v>
      </c>
      <c r="AA648" s="2">
        <v>0</v>
      </c>
      <c r="AB648" s="2"/>
      <c r="AC648" s="2">
        <v>1100</v>
      </c>
      <c r="AD648" s="2">
        <v>1102</v>
      </c>
      <c r="AE648" s="2">
        <v>850</v>
      </c>
      <c r="AF648" s="2">
        <v>0</v>
      </c>
      <c r="AG648" s="2">
        <v>0</v>
      </c>
      <c r="AH648" s="2"/>
      <c r="AI648" s="2">
        <v>-50</v>
      </c>
      <c r="AJ648" s="2">
        <v>0</v>
      </c>
      <c r="AK648" s="2">
        <v>0</v>
      </c>
      <c r="AL648" s="2">
        <v>0</v>
      </c>
      <c r="AM648" s="2">
        <v>0</v>
      </c>
    </row>
    <row r="649" spans="1:39">
      <c r="A649" s="349">
        <v>96912</v>
      </c>
      <c r="B649" s="342" t="s">
        <v>1340</v>
      </c>
      <c r="C649" s="358">
        <v>7.5400000000000003E-5</v>
      </c>
      <c r="E649" s="2">
        <v>25723</v>
      </c>
      <c r="F649" s="2">
        <v>35053</v>
      </c>
      <c r="G649" s="2">
        <v>20686</v>
      </c>
      <c r="H649" s="2">
        <v>11221</v>
      </c>
      <c r="I649" s="2">
        <v>0</v>
      </c>
      <c r="J649" s="2"/>
      <c r="K649" s="2">
        <v>13980</v>
      </c>
      <c r="L649" s="2">
        <v>12878</v>
      </c>
      <c r="M649" s="2">
        <v>7167</v>
      </c>
      <c r="N649" s="2">
        <v>0</v>
      </c>
      <c r="O649" s="2">
        <v>0</v>
      </c>
      <c r="P649" s="2"/>
      <c r="Q649" s="2">
        <v>906</v>
      </c>
      <c r="R649" s="2">
        <v>12675</v>
      </c>
      <c r="S649" s="2">
        <v>13113</v>
      </c>
      <c r="T649" s="2">
        <v>11221</v>
      </c>
      <c r="U649" s="2">
        <v>0</v>
      </c>
      <c r="V649" s="2"/>
      <c r="W649" s="2">
        <v>11067</v>
      </c>
      <c r="X649" s="2">
        <v>8984</v>
      </c>
      <c r="Y649" s="2">
        <v>0</v>
      </c>
      <c r="Z649" s="2">
        <v>0</v>
      </c>
      <c r="AA649" s="2">
        <v>0</v>
      </c>
      <c r="AB649" s="2"/>
      <c r="AC649" s="2">
        <v>766</v>
      </c>
      <c r="AD649" s="2">
        <v>765</v>
      </c>
      <c r="AE649" s="2">
        <v>656</v>
      </c>
      <c r="AF649" s="2">
        <v>0</v>
      </c>
      <c r="AG649" s="2">
        <v>0</v>
      </c>
      <c r="AH649" s="2"/>
      <c r="AI649" s="2">
        <v>-996</v>
      </c>
      <c r="AJ649" s="2">
        <v>-249</v>
      </c>
      <c r="AK649" s="2">
        <v>-250</v>
      </c>
      <c r="AL649" s="2">
        <v>0</v>
      </c>
      <c r="AM649" s="2">
        <v>-249</v>
      </c>
    </row>
    <row r="650" spans="1:39">
      <c r="A650" s="349">
        <v>96918</v>
      </c>
      <c r="B650" s="342" t="s">
        <v>1341</v>
      </c>
      <c r="C650" s="358">
        <v>3.1300000000000002E-5</v>
      </c>
      <c r="E650" s="2">
        <v>12601</v>
      </c>
      <c r="F650" s="2">
        <v>16015</v>
      </c>
      <c r="G650" s="2">
        <v>10926</v>
      </c>
      <c r="H650" s="2">
        <v>4658</v>
      </c>
      <c r="I650" s="2">
        <v>0</v>
      </c>
      <c r="J650" s="2"/>
      <c r="K650" s="2">
        <v>5803</v>
      </c>
      <c r="L650" s="2">
        <v>5346</v>
      </c>
      <c r="M650" s="2">
        <v>2975</v>
      </c>
      <c r="N650" s="2">
        <v>0</v>
      </c>
      <c r="O650" s="2">
        <v>0</v>
      </c>
      <c r="P650" s="2"/>
      <c r="Q650" s="2">
        <v>376</v>
      </c>
      <c r="R650" s="2">
        <v>5262</v>
      </c>
      <c r="S650" s="2">
        <v>5444</v>
      </c>
      <c r="T650" s="2">
        <v>4658</v>
      </c>
      <c r="U650" s="2">
        <v>0</v>
      </c>
      <c r="V650" s="2"/>
      <c r="W650" s="2">
        <v>4594</v>
      </c>
      <c r="X650" s="2">
        <v>3730</v>
      </c>
      <c r="Y650" s="2">
        <v>0</v>
      </c>
      <c r="Z650" s="2">
        <v>0</v>
      </c>
      <c r="AA650" s="2">
        <v>0</v>
      </c>
      <c r="AB650" s="2"/>
      <c r="AC650" s="2">
        <v>2756</v>
      </c>
      <c r="AD650" s="2">
        <v>2607</v>
      </c>
      <c r="AE650" s="2">
        <v>2606</v>
      </c>
      <c r="AF650" s="2">
        <v>0</v>
      </c>
      <c r="AG650" s="2">
        <v>0</v>
      </c>
      <c r="AH650" s="2"/>
      <c r="AI650" s="2">
        <v>-928</v>
      </c>
      <c r="AJ650" s="2">
        <v>-930</v>
      </c>
      <c r="AK650" s="2">
        <v>-99</v>
      </c>
      <c r="AL650" s="2">
        <v>0</v>
      </c>
      <c r="AM650" s="2">
        <v>-930</v>
      </c>
    </row>
    <row r="651" spans="1:39">
      <c r="A651" s="349">
        <v>97001</v>
      </c>
      <c r="B651" s="342" t="s">
        <v>1342</v>
      </c>
      <c r="C651" s="358">
        <v>1.4051999999999999E-3</v>
      </c>
      <c r="E651" s="2">
        <v>557048</v>
      </c>
      <c r="F651" s="2">
        <v>699103</v>
      </c>
      <c r="G651" s="2">
        <v>423042</v>
      </c>
      <c r="H651" s="2">
        <v>209125</v>
      </c>
      <c r="I651" s="2">
        <v>0</v>
      </c>
      <c r="J651" s="2"/>
      <c r="K651" s="2">
        <v>260537</v>
      </c>
      <c r="L651" s="2">
        <v>240000</v>
      </c>
      <c r="M651" s="2">
        <v>133576</v>
      </c>
      <c r="N651" s="2">
        <v>0</v>
      </c>
      <c r="O651" s="2">
        <v>0</v>
      </c>
      <c r="P651" s="2"/>
      <c r="Q651" s="2">
        <v>16889</v>
      </c>
      <c r="R651" s="2">
        <v>236221</v>
      </c>
      <c r="S651" s="2">
        <v>244390</v>
      </c>
      <c r="T651" s="2">
        <v>209125</v>
      </c>
      <c r="U651" s="2">
        <v>0</v>
      </c>
      <c r="V651" s="2"/>
      <c r="W651" s="2">
        <v>206250</v>
      </c>
      <c r="X651" s="2">
        <v>167439</v>
      </c>
      <c r="Y651" s="2">
        <v>0</v>
      </c>
      <c r="Z651" s="2">
        <v>0</v>
      </c>
      <c r="AA651" s="2">
        <v>0</v>
      </c>
      <c r="AB651" s="2"/>
      <c r="AC651" s="2">
        <v>73372</v>
      </c>
      <c r="AD651" s="2">
        <v>55443</v>
      </c>
      <c r="AE651" s="2">
        <v>45076</v>
      </c>
      <c r="AF651" s="2">
        <v>0</v>
      </c>
      <c r="AG651" s="2">
        <v>0</v>
      </c>
      <c r="AH651" s="2"/>
      <c r="AI651" s="2">
        <v>0</v>
      </c>
      <c r="AJ651" s="2">
        <v>0</v>
      </c>
      <c r="AK651" s="2">
        <v>0</v>
      </c>
      <c r="AL651" s="2">
        <v>0</v>
      </c>
      <c r="AM651" s="2">
        <v>0</v>
      </c>
    </row>
    <row r="652" spans="1:39">
      <c r="A652" s="349">
        <v>97002</v>
      </c>
      <c r="B652" s="342" t="s">
        <v>1343</v>
      </c>
      <c r="C652" s="358">
        <v>4.7550000000000001E-4</v>
      </c>
      <c r="E652" s="2">
        <v>107596</v>
      </c>
      <c r="F652" s="2">
        <v>163485</v>
      </c>
      <c r="G652" s="2">
        <v>91151</v>
      </c>
      <c r="H652" s="2">
        <v>70765</v>
      </c>
      <c r="I652" s="2">
        <v>0</v>
      </c>
      <c r="J652" s="2"/>
      <c r="K652" s="2">
        <v>88162</v>
      </c>
      <c r="L652" s="2">
        <v>81213</v>
      </c>
      <c r="M652" s="2">
        <v>45200</v>
      </c>
      <c r="N652" s="2">
        <v>0</v>
      </c>
      <c r="O652" s="2">
        <v>0</v>
      </c>
      <c r="P652" s="2"/>
      <c r="Q652" s="2">
        <v>5715</v>
      </c>
      <c r="R652" s="2">
        <v>79934</v>
      </c>
      <c r="S652" s="2">
        <v>82698</v>
      </c>
      <c r="T652" s="2">
        <v>70765</v>
      </c>
      <c r="U652" s="2">
        <v>0</v>
      </c>
      <c r="V652" s="2"/>
      <c r="W652" s="2">
        <v>69792</v>
      </c>
      <c r="X652" s="2">
        <v>56659</v>
      </c>
      <c r="Y652" s="2">
        <v>0</v>
      </c>
      <c r="Z652" s="2">
        <v>0</v>
      </c>
      <c r="AA652" s="2">
        <v>0</v>
      </c>
      <c r="AB652" s="2"/>
      <c r="AC652" s="2">
        <v>0</v>
      </c>
      <c r="AD652" s="2">
        <v>0</v>
      </c>
      <c r="AE652" s="2">
        <v>0</v>
      </c>
      <c r="AF652" s="2">
        <v>0</v>
      </c>
      <c r="AG652" s="2">
        <v>0</v>
      </c>
      <c r="AH652" s="2"/>
      <c r="AI652" s="2">
        <v>-56073</v>
      </c>
      <c r="AJ652" s="2">
        <v>-54321</v>
      </c>
      <c r="AK652" s="2">
        <v>-36747</v>
      </c>
      <c r="AL652" s="2">
        <v>0</v>
      </c>
      <c r="AM652" s="2">
        <v>-54321</v>
      </c>
    </row>
    <row r="653" spans="1:39">
      <c r="A653" s="349">
        <v>97004</v>
      </c>
      <c r="B653" s="342" t="s">
        <v>3686</v>
      </c>
      <c r="C653" s="358">
        <v>1.27E-5</v>
      </c>
      <c r="E653" s="2">
        <v>7251</v>
      </c>
      <c r="F653" s="2">
        <v>8127</v>
      </c>
      <c r="G653" s="2">
        <v>5029</v>
      </c>
      <c r="H653" s="2">
        <v>1890</v>
      </c>
      <c r="I653" s="2">
        <v>0</v>
      </c>
      <c r="J653" s="2"/>
      <c r="K653" s="2">
        <v>2355</v>
      </c>
      <c r="L653" s="2">
        <v>2169</v>
      </c>
      <c r="M653" s="2">
        <v>1207</v>
      </c>
      <c r="N653" s="2">
        <v>0</v>
      </c>
      <c r="O653" s="2">
        <v>0</v>
      </c>
      <c r="P653" s="2"/>
      <c r="Q653" s="2">
        <v>153</v>
      </c>
      <c r="R653" s="2">
        <v>2135</v>
      </c>
      <c r="S653" s="2">
        <v>2209</v>
      </c>
      <c r="T653" s="2">
        <v>1890</v>
      </c>
      <c r="U653" s="2">
        <v>0</v>
      </c>
      <c r="V653" s="2"/>
      <c r="W653" s="2">
        <v>1864</v>
      </c>
      <c r="X653" s="2">
        <v>1513</v>
      </c>
      <c r="Y653" s="2">
        <v>0</v>
      </c>
      <c r="Z653" s="2">
        <v>0</v>
      </c>
      <c r="AA653" s="2">
        <v>0</v>
      </c>
      <c r="AB653" s="2"/>
      <c r="AC653" s="2">
        <v>3184</v>
      </c>
      <c r="AD653" s="2">
        <v>2615</v>
      </c>
      <c r="AE653" s="2">
        <v>1917</v>
      </c>
      <c r="AF653" s="2">
        <v>0</v>
      </c>
      <c r="AG653" s="2">
        <v>0</v>
      </c>
      <c r="AH653" s="2"/>
      <c r="AI653" s="2">
        <v>-305</v>
      </c>
      <c r="AJ653" s="2">
        <v>-305</v>
      </c>
      <c r="AK653" s="2">
        <v>-304</v>
      </c>
      <c r="AL653" s="2">
        <v>0</v>
      </c>
      <c r="AM653" s="2">
        <v>-305</v>
      </c>
    </row>
    <row r="654" spans="1:39">
      <c r="A654" s="349">
        <v>97005</v>
      </c>
      <c r="B654" s="342" t="s">
        <v>1345</v>
      </c>
      <c r="C654" s="358">
        <v>2.2500000000000001E-5</v>
      </c>
      <c r="E654" s="2">
        <v>12364</v>
      </c>
      <c r="F654" s="2">
        <v>12141</v>
      </c>
      <c r="G654" s="2">
        <v>7728</v>
      </c>
      <c r="H654" s="2">
        <v>3348</v>
      </c>
      <c r="I654" s="2">
        <v>0</v>
      </c>
      <c r="J654" s="2"/>
      <c r="K654" s="2">
        <v>4172</v>
      </c>
      <c r="L654" s="2">
        <v>3843</v>
      </c>
      <c r="M654" s="2">
        <v>2139</v>
      </c>
      <c r="N654" s="2">
        <v>0</v>
      </c>
      <c r="O654" s="2">
        <v>0</v>
      </c>
      <c r="P654" s="2"/>
      <c r="Q654" s="2">
        <v>270</v>
      </c>
      <c r="R654" s="2">
        <v>3782</v>
      </c>
      <c r="S654" s="2">
        <v>3913</v>
      </c>
      <c r="T654" s="2">
        <v>3348</v>
      </c>
      <c r="U654" s="2">
        <v>0</v>
      </c>
      <c r="V654" s="2"/>
      <c r="W654" s="2">
        <v>3302</v>
      </c>
      <c r="X654" s="2">
        <v>2681</v>
      </c>
      <c r="Y654" s="2">
        <v>0</v>
      </c>
      <c r="Z654" s="2">
        <v>0</v>
      </c>
      <c r="AA654" s="2">
        <v>0</v>
      </c>
      <c r="AB654" s="2"/>
      <c r="AC654" s="2">
        <v>5070</v>
      </c>
      <c r="AD654" s="2">
        <v>2285</v>
      </c>
      <c r="AE654" s="2">
        <v>2127</v>
      </c>
      <c r="AF654" s="2">
        <v>0</v>
      </c>
      <c r="AG654" s="2">
        <v>0</v>
      </c>
      <c r="AH654" s="2"/>
      <c r="AI654" s="2">
        <v>-450</v>
      </c>
      <c r="AJ654" s="2">
        <v>-450</v>
      </c>
      <c r="AK654" s="2">
        <v>-451</v>
      </c>
      <c r="AL654" s="2">
        <v>0</v>
      </c>
      <c r="AM654" s="2">
        <v>-450</v>
      </c>
    </row>
    <row r="655" spans="1:39">
      <c r="A655" s="349">
        <v>97008</v>
      </c>
      <c r="B655" s="342" t="s">
        <v>1346</v>
      </c>
      <c r="C655" s="358">
        <v>2.7549999999999997E-4</v>
      </c>
      <c r="E655" s="2">
        <v>95714</v>
      </c>
      <c r="F655" s="2">
        <v>125809</v>
      </c>
      <c r="G655" s="2">
        <v>74629</v>
      </c>
      <c r="H655" s="2">
        <v>41000</v>
      </c>
      <c r="I655" s="2">
        <v>0</v>
      </c>
      <c r="J655" s="2"/>
      <c r="K655" s="2">
        <v>51080</v>
      </c>
      <c r="L655" s="2">
        <v>47054</v>
      </c>
      <c r="M655" s="2">
        <v>26188</v>
      </c>
      <c r="N655" s="2">
        <v>0</v>
      </c>
      <c r="O655" s="2">
        <v>0</v>
      </c>
      <c r="P655" s="2"/>
      <c r="Q655" s="2">
        <v>3311</v>
      </c>
      <c r="R655" s="2">
        <v>46313</v>
      </c>
      <c r="S655" s="2">
        <v>47914</v>
      </c>
      <c r="T655" s="2">
        <v>41000</v>
      </c>
      <c r="U655" s="2">
        <v>0</v>
      </c>
      <c r="V655" s="2"/>
      <c r="W655" s="2">
        <v>40437</v>
      </c>
      <c r="X655" s="2">
        <v>32828</v>
      </c>
      <c r="Y655" s="2">
        <v>0</v>
      </c>
      <c r="Z655" s="2">
        <v>0</v>
      </c>
      <c r="AA655" s="2">
        <v>0</v>
      </c>
      <c r="AB655" s="2"/>
      <c r="AC655" s="2">
        <v>4184</v>
      </c>
      <c r="AD655" s="2">
        <v>2914</v>
      </c>
      <c r="AE655" s="2">
        <v>2913</v>
      </c>
      <c r="AF655" s="2">
        <v>0</v>
      </c>
      <c r="AG655" s="2">
        <v>0</v>
      </c>
      <c r="AH655" s="2"/>
      <c r="AI655" s="2">
        <v>-3298</v>
      </c>
      <c r="AJ655" s="2">
        <v>-3300</v>
      </c>
      <c r="AK655" s="2">
        <v>-2386</v>
      </c>
      <c r="AL655" s="2">
        <v>0</v>
      </c>
      <c r="AM655" s="2">
        <v>-3300</v>
      </c>
    </row>
    <row r="656" spans="1:39">
      <c r="A656" s="349">
        <v>97011</v>
      </c>
      <c r="B656" s="342" t="s">
        <v>1348</v>
      </c>
      <c r="C656" s="358">
        <v>1.8404000000000001E-3</v>
      </c>
      <c r="E656" s="2">
        <v>612648</v>
      </c>
      <c r="F656" s="2">
        <v>822639</v>
      </c>
      <c r="G656" s="2">
        <v>476436</v>
      </c>
      <c r="H656" s="2">
        <v>273892</v>
      </c>
      <c r="I656" s="2">
        <v>0</v>
      </c>
      <c r="J656" s="2"/>
      <c r="K656" s="2">
        <v>341227</v>
      </c>
      <c r="L656" s="2">
        <v>314329</v>
      </c>
      <c r="M656" s="2">
        <v>174945</v>
      </c>
      <c r="N656" s="2">
        <v>0</v>
      </c>
      <c r="O656" s="2">
        <v>0</v>
      </c>
      <c r="P656" s="2"/>
      <c r="Q656" s="2">
        <v>22120</v>
      </c>
      <c r="R656" s="2">
        <v>309380</v>
      </c>
      <c r="S656" s="2">
        <v>320079</v>
      </c>
      <c r="T656" s="2">
        <v>273892</v>
      </c>
      <c r="U656" s="2">
        <v>0</v>
      </c>
      <c r="V656" s="2"/>
      <c r="W656" s="2">
        <v>270127</v>
      </c>
      <c r="X656" s="2">
        <v>219297</v>
      </c>
      <c r="Y656" s="2">
        <v>0</v>
      </c>
      <c r="Z656" s="2">
        <v>0</v>
      </c>
      <c r="AA656" s="2">
        <v>0</v>
      </c>
      <c r="AB656" s="2"/>
      <c r="AC656" s="2">
        <v>5687</v>
      </c>
      <c r="AD656" s="2">
        <v>5687</v>
      </c>
      <c r="AE656" s="2">
        <v>5686</v>
      </c>
      <c r="AF656" s="2">
        <v>0</v>
      </c>
      <c r="AG656" s="2">
        <v>0</v>
      </c>
      <c r="AH656" s="2"/>
      <c r="AI656" s="2">
        <v>-26513</v>
      </c>
      <c r="AJ656" s="2">
        <v>-26054</v>
      </c>
      <c r="AK656" s="2">
        <v>-24274</v>
      </c>
      <c r="AL656" s="2">
        <v>0</v>
      </c>
      <c r="AM656" s="2">
        <v>-26054</v>
      </c>
    </row>
    <row r="657" spans="1:39">
      <c r="A657" s="349">
        <v>97012</v>
      </c>
      <c r="B657" s="342" t="s">
        <v>3687</v>
      </c>
      <c r="C657" s="358">
        <v>2.8399999999999999E-5</v>
      </c>
      <c r="E657" s="2">
        <v>10599</v>
      </c>
      <c r="F657" s="2">
        <v>13226</v>
      </c>
      <c r="G657" s="2">
        <v>7043</v>
      </c>
      <c r="H657" s="2">
        <v>4227</v>
      </c>
      <c r="I657" s="2">
        <v>0</v>
      </c>
      <c r="J657" s="2"/>
      <c r="K657" s="2">
        <v>5266</v>
      </c>
      <c r="L657" s="2">
        <v>4851</v>
      </c>
      <c r="M657" s="2">
        <v>2700</v>
      </c>
      <c r="N657" s="2">
        <v>0</v>
      </c>
      <c r="O657" s="2">
        <v>0</v>
      </c>
      <c r="P657" s="2"/>
      <c r="Q657" s="2">
        <v>341</v>
      </c>
      <c r="R657" s="2">
        <v>4774</v>
      </c>
      <c r="S657" s="2">
        <v>4939</v>
      </c>
      <c r="T657" s="2">
        <v>4227</v>
      </c>
      <c r="U657" s="2">
        <v>0</v>
      </c>
      <c r="V657" s="2"/>
      <c r="W657" s="2">
        <v>4168</v>
      </c>
      <c r="X657" s="2">
        <v>3384</v>
      </c>
      <c r="Y657" s="2">
        <v>0</v>
      </c>
      <c r="Z657" s="2">
        <v>0</v>
      </c>
      <c r="AA657" s="2">
        <v>0</v>
      </c>
      <c r="AB657" s="2"/>
      <c r="AC657" s="2">
        <v>1826</v>
      </c>
      <c r="AD657" s="2">
        <v>1219</v>
      </c>
      <c r="AE657" s="2">
        <v>404</v>
      </c>
      <c r="AF657" s="2">
        <v>0</v>
      </c>
      <c r="AG657" s="2">
        <v>0</v>
      </c>
      <c r="AH657" s="2"/>
      <c r="AI657" s="2">
        <v>-1002</v>
      </c>
      <c r="AJ657" s="2">
        <v>-1002</v>
      </c>
      <c r="AK657" s="2">
        <v>-1000</v>
      </c>
      <c r="AL657" s="2">
        <v>0</v>
      </c>
      <c r="AM657" s="2">
        <v>-1002</v>
      </c>
    </row>
    <row r="658" spans="1:39">
      <c r="A658" s="349">
        <v>97013</v>
      </c>
      <c r="B658" s="342" t="s">
        <v>1350</v>
      </c>
      <c r="C658" s="358">
        <v>1.8899999999999999E-5</v>
      </c>
      <c r="E658" s="2">
        <v>9737</v>
      </c>
      <c r="F658" s="2">
        <v>11690</v>
      </c>
      <c r="G658" s="2">
        <v>7213</v>
      </c>
      <c r="H658" s="2">
        <v>2813</v>
      </c>
      <c r="I658" s="2">
        <v>0</v>
      </c>
      <c r="J658" s="2"/>
      <c r="K658" s="2">
        <v>3504</v>
      </c>
      <c r="L658" s="2">
        <v>3228</v>
      </c>
      <c r="M658" s="2">
        <v>1797</v>
      </c>
      <c r="N658" s="2">
        <v>0</v>
      </c>
      <c r="O658" s="2">
        <v>0</v>
      </c>
      <c r="P658" s="2"/>
      <c r="Q658" s="2">
        <v>227</v>
      </c>
      <c r="R658" s="2">
        <v>3177</v>
      </c>
      <c r="S658" s="2">
        <v>3287</v>
      </c>
      <c r="T658" s="2">
        <v>2813</v>
      </c>
      <c r="U658" s="2">
        <v>0</v>
      </c>
      <c r="V658" s="2"/>
      <c r="W658" s="2">
        <v>2774</v>
      </c>
      <c r="X658" s="2">
        <v>2252</v>
      </c>
      <c r="Y658" s="2">
        <v>0</v>
      </c>
      <c r="Z658" s="2">
        <v>0</v>
      </c>
      <c r="AA658" s="2">
        <v>0</v>
      </c>
      <c r="AB658" s="2"/>
      <c r="AC658" s="2">
        <v>5345</v>
      </c>
      <c r="AD658" s="2">
        <v>5146</v>
      </c>
      <c r="AE658" s="2">
        <v>4240</v>
      </c>
      <c r="AF658" s="2">
        <v>0</v>
      </c>
      <c r="AG658" s="2">
        <v>0</v>
      </c>
      <c r="AH658" s="2"/>
      <c r="AI658" s="2">
        <v>-2113</v>
      </c>
      <c r="AJ658" s="2">
        <v>-2113</v>
      </c>
      <c r="AK658" s="2">
        <v>-2111</v>
      </c>
      <c r="AL658" s="2">
        <v>0</v>
      </c>
      <c r="AM658" s="2">
        <v>-2113</v>
      </c>
    </row>
    <row r="659" spans="1:39">
      <c r="A659" s="349">
        <v>97015</v>
      </c>
      <c r="B659" s="342" t="s">
        <v>1351</v>
      </c>
      <c r="C659" s="358">
        <v>4.71E-5</v>
      </c>
      <c r="E659" s="2">
        <v>18079</v>
      </c>
      <c r="F659" s="2">
        <v>24690</v>
      </c>
      <c r="G659" s="2">
        <v>13957</v>
      </c>
      <c r="H659" s="2">
        <v>7010</v>
      </c>
      <c r="I659" s="2">
        <v>0</v>
      </c>
      <c r="J659" s="2"/>
      <c r="K659" s="2">
        <v>8733</v>
      </c>
      <c r="L659" s="2">
        <v>8044</v>
      </c>
      <c r="M659" s="2">
        <v>4477</v>
      </c>
      <c r="N659" s="2">
        <v>0</v>
      </c>
      <c r="O659" s="2">
        <v>0</v>
      </c>
      <c r="P659" s="2"/>
      <c r="Q659" s="2">
        <v>566</v>
      </c>
      <c r="R659" s="2">
        <v>7918</v>
      </c>
      <c r="S659" s="2">
        <v>8192</v>
      </c>
      <c r="T659" s="2">
        <v>7010</v>
      </c>
      <c r="U659" s="2">
        <v>0</v>
      </c>
      <c r="V659" s="2"/>
      <c r="W659" s="2">
        <v>6913</v>
      </c>
      <c r="X659" s="2">
        <v>5612</v>
      </c>
      <c r="Y659" s="2">
        <v>0</v>
      </c>
      <c r="Z659" s="2">
        <v>0</v>
      </c>
      <c r="AA659" s="2">
        <v>0</v>
      </c>
      <c r="AB659" s="2"/>
      <c r="AC659" s="2">
        <v>4266</v>
      </c>
      <c r="AD659" s="2">
        <v>4266</v>
      </c>
      <c r="AE659" s="2">
        <v>2438</v>
      </c>
      <c r="AF659" s="2">
        <v>0</v>
      </c>
      <c r="AG659" s="2">
        <v>0</v>
      </c>
      <c r="AH659" s="2"/>
      <c r="AI659" s="2">
        <v>-2399</v>
      </c>
      <c r="AJ659" s="2">
        <v>-1150</v>
      </c>
      <c r="AK659" s="2">
        <v>-1150</v>
      </c>
      <c r="AL659" s="2">
        <v>0</v>
      </c>
      <c r="AM659" s="2">
        <v>-1150</v>
      </c>
    </row>
    <row r="660" spans="1:39">
      <c r="A660" s="349">
        <v>97018</v>
      </c>
      <c r="B660" s="342" t="s">
        <v>3688</v>
      </c>
      <c r="C660" s="358">
        <v>1.63E-5</v>
      </c>
      <c r="E660" s="2">
        <v>8892</v>
      </c>
      <c r="F660" s="2">
        <v>10043</v>
      </c>
      <c r="G660" s="2">
        <v>6182</v>
      </c>
      <c r="H660" s="2">
        <v>2426</v>
      </c>
      <c r="I660" s="2">
        <v>0</v>
      </c>
      <c r="J660" s="2"/>
      <c r="K660" s="2">
        <v>3022</v>
      </c>
      <c r="L660" s="2">
        <v>2784</v>
      </c>
      <c r="M660" s="2">
        <v>1549</v>
      </c>
      <c r="N660" s="2">
        <v>0</v>
      </c>
      <c r="O660" s="2">
        <v>0</v>
      </c>
      <c r="P660" s="2"/>
      <c r="Q660" s="2">
        <v>196</v>
      </c>
      <c r="R660" s="2">
        <v>2740</v>
      </c>
      <c r="S660" s="2">
        <v>2835</v>
      </c>
      <c r="T660" s="2">
        <v>2426</v>
      </c>
      <c r="U660" s="2">
        <v>0</v>
      </c>
      <c r="V660" s="2"/>
      <c r="W660" s="2">
        <v>2392</v>
      </c>
      <c r="X660" s="2">
        <v>1942</v>
      </c>
      <c r="Y660" s="2">
        <v>0</v>
      </c>
      <c r="Z660" s="2">
        <v>0</v>
      </c>
      <c r="AA660" s="2">
        <v>0</v>
      </c>
      <c r="AB660" s="2"/>
      <c r="AC660" s="2">
        <v>3282</v>
      </c>
      <c r="AD660" s="2">
        <v>2577</v>
      </c>
      <c r="AE660" s="2">
        <v>1798</v>
      </c>
      <c r="AF660" s="2">
        <v>0</v>
      </c>
      <c r="AG660" s="2">
        <v>0</v>
      </c>
      <c r="AH660" s="2"/>
      <c r="AI660" s="2">
        <v>0</v>
      </c>
      <c r="AJ660" s="2">
        <v>0</v>
      </c>
      <c r="AK660" s="2">
        <v>0</v>
      </c>
      <c r="AL660" s="2">
        <v>0</v>
      </c>
      <c r="AM660" s="2">
        <v>0</v>
      </c>
    </row>
    <row r="661" spans="1:39">
      <c r="A661" s="349">
        <v>97101</v>
      </c>
      <c r="B661" s="342" t="s">
        <v>1353</v>
      </c>
      <c r="C661" s="358">
        <v>2.7287000000000001E-3</v>
      </c>
      <c r="E661" s="2">
        <v>1031432</v>
      </c>
      <c r="F661" s="2">
        <v>1341201</v>
      </c>
      <c r="G661" s="2">
        <v>819474</v>
      </c>
      <c r="H661" s="2">
        <v>406091</v>
      </c>
      <c r="I661" s="2">
        <v>0</v>
      </c>
      <c r="J661" s="2"/>
      <c r="K661" s="2">
        <v>505926</v>
      </c>
      <c r="L661" s="2">
        <v>466046</v>
      </c>
      <c r="M661" s="2">
        <v>259385</v>
      </c>
      <c r="N661" s="2">
        <v>0</v>
      </c>
      <c r="O661" s="2">
        <v>0</v>
      </c>
      <c r="P661" s="2"/>
      <c r="Q661" s="2">
        <v>32796</v>
      </c>
      <c r="R661" s="2">
        <v>458708</v>
      </c>
      <c r="S661" s="2">
        <v>474570</v>
      </c>
      <c r="T661" s="2">
        <v>406091</v>
      </c>
      <c r="U661" s="2">
        <v>0</v>
      </c>
      <c r="V661" s="2"/>
      <c r="W661" s="2">
        <v>400508</v>
      </c>
      <c r="X661" s="2">
        <v>325144</v>
      </c>
      <c r="Y661" s="2">
        <v>0</v>
      </c>
      <c r="Z661" s="2">
        <v>0</v>
      </c>
      <c r="AA661" s="2">
        <v>0</v>
      </c>
      <c r="AB661" s="2"/>
      <c r="AC661" s="2">
        <v>92202</v>
      </c>
      <c r="AD661" s="2">
        <v>91303</v>
      </c>
      <c r="AE661" s="2">
        <v>85519</v>
      </c>
      <c r="AF661" s="2">
        <v>0</v>
      </c>
      <c r="AG661" s="2">
        <v>0</v>
      </c>
      <c r="AH661" s="2"/>
      <c r="AI661" s="2">
        <v>0</v>
      </c>
      <c r="AJ661" s="2">
        <v>0</v>
      </c>
      <c r="AK661" s="2">
        <v>0</v>
      </c>
      <c r="AL661" s="2">
        <v>0</v>
      </c>
      <c r="AM661" s="2">
        <v>0</v>
      </c>
    </row>
    <row r="662" spans="1:39">
      <c r="A662" s="349">
        <v>97104</v>
      </c>
      <c r="B662" s="342" t="s">
        <v>1354</v>
      </c>
      <c r="C662" s="358">
        <v>5.3199999999999999E-5</v>
      </c>
      <c r="E662" s="2">
        <v>21614</v>
      </c>
      <c r="F662" s="2">
        <v>27249</v>
      </c>
      <c r="G662" s="2">
        <v>15782</v>
      </c>
      <c r="H662" s="2">
        <v>7917</v>
      </c>
      <c r="I662" s="2">
        <v>0</v>
      </c>
      <c r="J662" s="2"/>
      <c r="K662" s="2">
        <v>9864</v>
      </c>
      <c r="L662" s="2">
        <v>9086</v>
      </c>
      <c r="M662" s="2">
        <v>5057</v>
      </c>
      <c r="N662" s="2">
        <v>0</v>
      </c>
      <c r="O662" s="2">
        <v>0</v>
      </c>
      <c r="P662" s="2"/>
      <c r="Q662" s="2">
        <v>639</v>
      </c>
      <c r="R662" s="2">
        <v>8943</v>
      </c>
      <c r="S662" s="2">
        <v>9252</v>
      </c>
      <c r="T662" s="2">
        <v>7917</v>
      </c>
      <c r="U662" s="2">
        <v>0</v>
      </c>
      <c r="V662" s="2"/>
      <c r="W662" s="2">
        <v>7808</v>
      </c>
      <c r="X662" s="2">
        <v>6339</v>
      </c>
      <c r="Y662" s="2">
        <v>0</v>
      </c>
      <c r="Z662" s="2">
        <v>0</v>
      </c>
      <c r="AA662" s="2">
        <v>0</v>
      </c>
      <c r="AB662" s="2"/>
      <c r="AC662" s="2">
        <v>3303</v>
      </c>
      <c r="AD662" s="2">
        <v>2881</v>
      </c>
      <c r="AE662" s="2">
        <v>1473</v>
      </c>
      <c r="AF662" s="2">
        <v>0</v>
      </c>
      <c r="AG662" s="2">
        <v>0</v>
      </c>
      <c r="AH662" s="2"/>
      <c r="AI662" s="2">
        <v>0</v>
      </c>
      <c r="AJ662" s="2">
        <v>0</v>
      </c>
      <c r="AK662" s="2">
        <v>0</v>
      </c>
      <c r="AL662" s="2">
        <v>0</v>
      </c>
      <c r="AM662" s="2">
        <v>0</v>
      </c>
    </row>
    <row r="663" spans="1:39">
      <c r="A663" s="349">
        <v>97111</v>
      </c>
      <c r="B663" s="342" t="s">
        <v>1355</v>
      </c>
      <c r="C663" s="358">
        <v>3.1780000000000003E-4</v>
      </c>
      <c r="E663" s="2">
        <v>111264</v>
      </c>
      <c r="F663" s="2">
        <v>149719</v>
      </c>
      <c r="G663" s="2">
        <v>91574</v>
      </c>
      <c r="H663" s="2">
        <v>47296</v>
      </c>
      <c r="I663" s="2">
        <v>0</v>
      </c>
      <c r="J663" s="2"/>
      <c r="K663" s="2">
        <v>58923</v>
      </c>
      <c r="L663" s="2">
        <v>54278</v>
      </c>
      <c r="M663" s="2">
        <v>30209</v>
      </c>
      <c r="N663" s="2">
        <v>0</v>
      </c>
      <c r="O663" s="2">
        <v>0</v>
      </c>
      <c r="P663" s="2"/>
      <c r="Q663" s="2">
        <v>3820</v>
      </c>
      <c r="R663" s="2">
        <v>53424</v>
      </c>
      <c r="S663" s="2">
        <v>55271</v>
      </c>
      <c r="T663" s="2">
        <v>47296</v>
      </c>
      <c r="U663" s="2">
        <v>0</v>
      </c>
      <c r="V663" s="2"/>
      <c r="W663" s="2">
        <v>46645</v>
      </c>
      <c r="X663" s="2">
        <v>37868</v>
      </c>
      <c r="Y663" s="2">
        <v>0</v>
      </c>
      <c r="Z663" s="2">
        <v>0</v>
      </c>
      <c r="AA663" s="2">
        <v>0</v>
      </c>
      <c r="AB663" s="2"/>
      <c r="AC663" s="2">
        <v>10029</v>
      </c>
      <c r="AD663" s="2">
        <v>10029</v>
      </c>
      <c r="AE663" s="2">
        <v>10029</v>
      </c>
      <c r="AF663" s="2">
        <v>0</v>
      </c>
      <c r="AG663" s="2">
        <v>0</v>
      </c>
      <c r="AH663" s="2"/>
      <c r="AI663" s="2">
        <v>-8153</v>
      </c>
      <c r="AJ663" s="2">
        <v>-5880</v>
      </c>
      <c r="AK663" s="2">
        <v>-3935</v>
      </c>
      <c r="AL663" s="2">
        <v>0</v>
      </c>
      <c r="AM663" s="2">
        <v>-5880</v>
      </c>
    </row>
    <row r="664" spans="1:39">
      <c r="A664" s="349">
        <v>97121</v>
      </c>
      <c r="B664" s="342" t="s">
        <v>1356</v>
      </c>
      <c r="C664" s="358">
        <v>1.4660000000000001E-4</v>
      </c>
      <c r="E664" s="2">
        <v>66652</v>
      </c>
      <c r="F664" s="2">
        <v>79931</v>
      </c>
      <c r="G664" s="2">
        <v>50859</v>
      </c>
      <c r="H664" s="2">
        <v>21817</v>
      </c>
      <c r="I664" s="2">
        <v>0</v>
      </c>
      <c r="J664" s="2"/>
      <c r="K664" s="2">
        <v>27181</v>
      </c>
      <c r="L664" s="2">
        <v>25038</v>
      </c>
      <c r="M664" s="2">
        <v>13936</v>
      </c>
      <c r="N664" s="2">
        <v>0</v>
      </c>
      <c r="O664" s="2">
        <v>0</v>
      </c>
      <c r="P664" s="2"/>
      <c r="Q664" s="2">
        <v>1762</v>
      </c>
      <c r="R664" s="2">
        <v>24644</v>
      </c>
      <c r="S664" s="2">
        <v>25496</v>
      </c>
      <c r="T664" s="2">
        <v>21817</v>
      </c>
      <c r="U664" s="2">
        <v>0</v>
      </c>
      <c r="V664" s="2"/>
      <c r="W664" s="2">
        <v>21517</v>
      </c>
      <c r="X664" s="2">
        <v>17468</v>
      </c>
      <c r="Y664" s="2">
        <v>0</v>
      </c>
      <c r="Z664" s="2">
        <v>0</v>
      </c>
      <c r="AA664" s="2">
        <v>0</v>
      </c>
      <c r="AB664" s="2"/>
      <c r="AC664" s="2">
        <v>16192</v>
      </c>
      <c r="AD664" s="2">
        <v>12781</v>
      </c>
      <c r="AE664" s="2">
        <v>11427</v>
      </c>
      <c r="AF664" s="2">
        <v>0</v>
      </c>
      <c r="AG664" s="2">
        <v>0</v>
      </c>
      <c r="AH664" s="2"/>
      <c r="AI664" s="2">
        <v>0</v>
      </c>
      <c r="AJ664" s="2">
        <v>0</v>
      </c>
      <c r="AK664" s="2">
        <v>0</v>
      </c>
      <c r="AL664" s="2">
        <v>0</v>
      </c>
      <c r="AM664" s="2">
        <v>0</v>
      </c>
    </row>
    <row r="665" spans="1:39">
      <c r="A665" s="349">
        <v>97131</v>
      </c>
      <c r="B665" s="342" t="s">
        <v>1357</v>
      </c>
      <c r="C665" s="358">
        <v>7.1219999999999996E-4</v>
      </c>
      <c r="E665" s="2">
        <v>232280</v>
      </c>
      <c r="F665" s="2">
        <v>307042</v>
      </c>
      <c r="G665" s="2">
        <v>201691</v>
      </c>
      <c r="H665" s="2">
        <v>105991</v>
      </c>
      <c r="I665" s="2">
        <v>0</v>
      </c>
      <c r="J665" s="2"/>
      <c r="K665" s="2">
        <v>132048</v>
      </c>
      <c r="L665" s="2">
        <v>121639</v>
      </c>
      <c r="M665" s="2">
        <v>67700</v>
      </c>
      <c r="N665" s="2">
        <v>0</v>
      </c>
      <c r="O665" s="2">
        <v>0</v>
      </c>
      <c r="P665" s="2"/>
      <c r="Q665" s="2">
        <v>8560</v>
      </c>
      <c r="R665" s="2">
        <v>119724</v>
      </c>
      <c r="S665" s="2">
        <v>123864</v>
      </c>
      <c r="T665" s="2">
        <v>105991</v>
      </c>
      <c r="U665" s="2">
        <v>0</v>
      </c>
      <c r="V665" s="2"/>
      <c r="W665" s="2">
        <v>104534</v>
      </c>
      <c r="X665" s="2">
        <v>84864</v>
      </c>
      <c r="Y665" s="2">
        <v>0</v>
      </c>
      <c r="Z665" s="2">
        <v>0</v>
      </c>
      <c r="AA665" s="2">
        <v>0</v>
      </c>
      <c r="AB665" s="2"/>
      <c r="AC665" s="2">
        <v>16450</v>
      </c>
      <c r="AD665" s="2">
        <v>10128</v>
      </c>
      <c r="AE665" s="2">
        <v>10127</v>
      </c>
      <c r="AF665" s="2">
        <v>0</v>
      </c>
      <c r="AG665" s="2">
        <v>0</v>
      </c>
      <c r="AH665" s="2"/>
      <c r="AI665" s="2">
        <v>-29312</v>
      </c>
      <c r="AJ665" s="2">
        <v>-29313</v>
      </c>
      <c r="AK665" s="2">
        <v>0</v>
      </c>
      <c r="AL665" s="2">
        <v>0</v>
      </c>
      <c r="AM665" s="2">
        <v>-29313</v>
      </c>
    </row>
    <row r="666" spans="1:39">
      <c r="A666" s="349">
        <v>97201</v>
      </c>
      <c r="B666" s="342" t="s">
        <v>1358</v>
      </c>
      <c r="C666" s="358">
        <v>5.5250000000000004E-4</v>
      </c>
      <c r="E666" s="2">
        <v>198593</v>
      </c>
      <c r="F666" s="2">
        <v>254784</v>
      </c>
      <c r="G666" s="2">
        <v>150627</v>
      </c>
      <c r="H666" s="2">
        <v>82224</v>
      </c>
      <c r="I666" s="2">
        <v>0</v>
      </c>
      <c r="J666" s="2"/>
      <c r="K666" s="2">
        <v>102438</v>
      </c>
      <c r="L666" s="2">
        <v>94364</v>
      </c>
      <c r="M666" s="2">
        <v>52520</v>
      </c>
      <c r="N666" s="2">
        <v>0</v>
      </c>
      <c r="O666" s="2">
        <v>0</v>
      </c>
      <c r="P666" s="2"/>
      <c r="Q666" s="2">
        <v>6640</v>
      </c>
      <c r="R666" s="2">
        <v>92878</v>
      </c>
      <c r="S666" s="2">
        <v>96090</v>
      </c>
      <c r="T666" s="2">
        <v>82224</v>
      </c>
      <c r="U666" s="2">
        <v>0</v>
      </c>
      <c r="V666" s="2"/>
      <c r="W666" s="2">
        <v>81094</v>
      </c>
      <c r="X666" s="2">
        <v>65834</v>
      </c>
      <c r="Y666" s="2">
        <v>0</v>
      </c>
      <c r="Z666" s="2">
        <v>0</v>
      </c>
      <c r="AA666" s="2">
        <v>0</v>
      </c>
      <c r="AB666" s="2"/>
      <c r="AC666" s="2">
        <v>21291</v>
      </c>
      <c r="AD666" s="2">
        <v>14576</v>
      </c>
      <c r="AE666" s="2">
        <v>14575</v>
      </c>
      <c r="AF666" s="2">
        <v>0</v>
      </c>
      <c r="AG666" s="2">
        <v>0</v>
      </c>
      <c r="AH666" s="2"/>
      <c r="AI666" s="2">
        <v>-12870</v>
      </c>
      <c r="AJ666" s="2">
        <v>-12868</v>
      </c>
      <c r="AK666" s="2">
        <v>-12558</v>
      </c>
      <c r="AL666" s="2">
        <v>0</v>
      </c>
      <c r="AM666" s="2">
        <v>-12868</v>
      </c>
    </row>
    <row r="667" spans="1:39">
      <c r="A667" s="349">
        <v>97211</v>
      </c>
      <c r="B667" s="342" t="s">
        <v>1359</v>
      </c>
      <c r="C667" s="358">
        <v>1.403E-4</v>
      </c>
      <c r="E667" s="2">
        <v>70463</v>
      </c>
      <c r="F667" s="2">
        <v>83014</v>
      </c>
      <c r="G667" s="2">
        <v>57694</v>
      </c>
      <c r="H667" s="2">
        <v>20880</v>
      </c>
      <c r="I667" s="2">
        <v>0</v>
      </c>
      <c r="J667" s="2"/>
      <c r="K667" s="2">
        <v>26013</v>
      </c>
      <c r="L667" s="2">
        <v>23962</v>
      </c>
      <c r="M667" s="2">
        <v>13337</v>
      </c>
      <c r="N667" s="2">
        <v>0</v>
      </c>
      <c r="O667" s="2">
        <v>0</v>
      </c>
      <c r="P667" s="2"/>
      <c r="Q667" s="2">
        <v>1686</v>
      </c>
      <c r="R667" s="2">
        <v>23585</v>
      </c>
      <c r="S667" s="2">
        <v>24401</v>
      </c>
      <c r="T667" s="2">
        <v>20880</v>
      </c>
      <c r="U667" s="2">
        <v>0</v>
      </c>
      <c r="V667" s="2"/>
      <c r="W667" s="2">
        <v>20593</v>
      </c>
      <c r="X667" s="2">
        <v>16718</v>
      </c>
      <c r="Y667" s="2">
        <v>0</v>
      </c>
      <c r="Z667" s="2">
        <v>0</v>
      </c>
      <c r="AA667" s="2">
        <v>0</v>
      </c>
      <c r="AB667" s="2"/>
      <c r="AC667" s="2">
        <v>31605</v>
      </c>
      <c r="AD667" s="2">
        <v>28181</v>
      </c>
      <c r="AE667" s="2">
        <v>28180</v>
      </c>
      <c r="AF667" s="2">
        <v>0</v>
      </c>
      <c r="AG667" s="2">
        <v>0</v>
      </c>
      <c r="AH667" s="2"/>
      <c r="AI667" s="2">
        <v>-9434</v>
      </c>
      <c r="AJ667" s="2">
        <v>-9432</v>
      </c>
      <c r="AK667" s="2">
        <v>-8224</v>
      </c>
      <c r="AL667" s="2">
        <v>0</v>
      </c>
      <c r="AM667" s="2">
        <v>-9432</v>
      </c>
    </row>
    <row r="668" spans="1:39">
      <c r="A668" s="349">
        <v>97213</v>
      </c>
      <c r="B668" s="342" t="s">
        <v>2763</v>
      </c>
      <c r="C668" s="358">
        <v>3.5299999999999997E-5</v>
      </c>
      <c r="E668" s="2">
        <v>14607</v>
      </c>
      <c r="F668" s="2">
        <v>17148</v>
      </c>
      <c r="G668" s="2">
        <v>9442</v>
      </c>
      <c r="H668" s="2">
        <v>5253</v>
      </c>
      <c r="I668" s="2">
        <v>0</v>
      </c>
      <c r="J668" s="2"/>
      <c r="K668" s="2">
        <v>6545</v>
      </c>
      <c r="L668" s="2">
        <v>6029</v>
      </c>
      <c r="M668" s="2">
        <v>3356</v>
      </c>
      <c r="N668" s="2">
        <v>0</v>
      </c>
      <c r="O668" s="2">
        <v>0</v>
      </c>
      <c r="P668" s="2"/>
      <c r="Q668" s="2">
        <v>424</v>
      </c>
      <c r="R668" s="2">
        <v>5934</v>
      </c>
      <c r="S668" s="2">
        <v>6139</v>
      </c>
      <c r="T668" s="2">
        <v>5253</v>
      </c>
      <c r="U668" s="2">
        <v>0</v>
      </c>
      <c r="V668" s="2"/>
      <c r="W668" s="2">
        <v>5181</v>
      </c>
      <c r="X668" s="2">
        <v>4206</v>
      </c>
      <c r="Y668" s="2">
        <v>0</v>
      </c>
      <c r="Z668" s="2">
        <v>0</v>
      </c>
      <c r="AA668" s="2">
        <v>0</v>
      </c>
      <c r="AB668" s="2"/>
      <c r="AC668" s="2">
        <v>3696</v>
      </c>
      <c r="AD668" s="2">
        <v>2218</v>
      </c>
      <c r="AE668" s="2">
        <v>1184</v>
      </c>
      <c r="AF668" s="2">
        <v>0</v>
      </c>
      <c r="AG668" s="2">
        <v>0</v>
      </c>
      <c r="AH668" s="2"/>
      <c r="AI668" s="2">
        <v>-1239</v>
      </c>
      <c r="AJ668" s="2">
        <v>-1239</v>
      </c>
      <c r="AK668" s="2">
        <v>-1237</v>
      </c>
      <c r="AL668" s="2">
        <v>0</v>
      </c>
      <c r="AM668" s="2">
        <v>-1239</v>
      </c>
    </row>
    <row r="669" spans="1:39">
      <c r="A669" s="349">
        <v>97217</v>
      </c>
      <c r="B669" s="342" t="s">
        <v>1361</v>
      </c>
      <c r="C669" s="358">
        <v>5.3000000000000001E-6</v>
      </c>
      <c r="E669" s="2">
        <v>5451</v>
      </c>
      <c r="F669" s="2">
        <v>5147</v>
      </c>
      <c r="G669" s="2">
        <v>3280</v>
      </c>
      <c r="H669" s="2">
        <v>789</v>
      </c>
      <c r="I669" s="2">
        <v>0</v>
      </c>
      <c r="J669" s="2"/>
      <c r="K669" s="2">
        <v>983</v>
      </c>
      <c r="L669" s="2">
        <v>905</v>
      </c>
      <c r="M669" s="2">
        <v>504</v>
      </c>
      <c r="N669" s="2">
        <v>0</v>
      </c>
      <c r="O669" s="2">
        <v>0</v>
      </c>
      <c r="P669" s="2"/>
      <c r="Q669" s="2">
        <v>64</v>
      </c>
      <c r="R669" s="2">
        <v>891</v>
      </c>
      <c r="S669" s="2">
        <v>922</v>
      </c>
      <c r="T669" s="2">
        <v>789</v>
      </c>
      <c r="U669" s="2">
        <v>0</v>
      </c>
      <c r="V669" s="2"/>
      <c r="W669" s="2">
        <v>778</v>
      </c>
      <c r="X669" s="2">
        <v>632</v>
      </c>
      <c r="Y669" s="2">
        <v>0</v>
      </c>
      <c r="Z669" s="2">
        <v>0</v>
      </c>
      <c r="AA669" s="2">
        <v>0</v>
      </c>
      <c r="AB669" s="2"/>
      <c r="AC669" s="2">
        <v>3626</v>
      </c>
      <c r="AD669" s="2">
        <v>2719</v>
      </c>
      <c r="AE669" s="2">
        <v>1854</v>
      </c>
      <c r="AF669" s="2">
        <v>0</v>
      </c>
      <c r="AG669" s="2">
        <v>0</v>
      </c>
      <c r="AH669" s="2"/>
      <c r="AI669" s="2">
        <v>0</v>
      </c>
      <c r="AJ669" s="2">
        <v>0</v>
      </c>
      <c r="AK669" s="2">
        <v>0</v>
      </c>
      <c r="AL669" s="2">
        <v>0</v>
      </c>
      <c r="AM669" s="2">
        <v>0</v>
      </c>
    </row>
    <row r="670" spans="1:39">
      <c r="A670" s="349">
        <v>97221</v>
      </c>
      <c r="B670" s="342" t="s">
        <v>1362</v>
      </c>
      <c r="C670" s="358">
        <v>2.2000000000000001E-6</v>
      </c>
      <c r="E670" s="2">
        <v>1215</v>
      </c>
      <c r="F670" s="2">
        <v>403</v>
      </c>
      <c r="G670" s="2">
        <v>-290</v>
      </c>
      <c r="H670" s="2">
        <v>327</v>
      </c>
      <c r="I670" s="2">
        <v>0</v>
      </c>
      <c r="J670" s="2"/>
      <c r="K670" s="2">
        <v>408</v>
      </c>
      <c r="L670" s="2">
        <v>376</v>
      </c>
      <c r="M670" s="2">
        <v>209</v>
      </c>
      <c r="N670" s="2">
        <v>0</v>
      </c>
      <c r="O670" s="2">
        <v>0</v>
      </c>
      <c r="P670" s="2"/>
      <c r="Q670" s="2">
        <v>26</v>
      </c>
      <c r="R670" s="2">
        <v>370</v>
      </c>
      <c r="S670" s="2">
        <v>383</v>
      </c>
      <c r="T670" s="2">
        <v>327</v>
      </c>
      <c r="U670" s="2">
        <v>0</v>
      </c>
      <c r="V670" s="2"/>
      <c r="W670" s="2">
        <v>323</v>
      </c>
      <c r="X670" s="2">
        <v>262</v>
      </c>
      <c r="Y670" s="2">
        <v>0</v>
      </c>
      <c r="Z670" s="2">
        <v>0</v>
      </c>
      <c r="AA670" s="2">
        <v>0</v>
      </c>
      <c r="AB670" s="2"/>
      <c r="AC670" s="2">
        <v>3120</v>
      </c>
      <c r="AD670" s="2">
        <v>2057</v>
      </c>
      <c r="AE670" s="2">
        <v>1781</v>
      </c>
      <c r="AF670" s="2">
        <v>0</v>
      </c>
      <c r="AG670" s="2">
        <v>0</v>
      </c>
      <c r="AH670" s="2"/>
      <c r="AI670" s="2">
        <v>-2662</v>
      </c>
      <c r="AJ670" s="2">
        <v>-2662</v>
      </c>
      <c r="AK670" s="2">
        <v>-2663</v>
      </c>
      <c r="AL670" s="2">
        <v>0</v>
      </c>
      <c r="AM670" s="2">
        <v>-2662</v>
      </c>
    </row>
    <row r="671" spans="1:39">
      <c r="A671" s="349">
        <v>97301</v>
      </c>
      <c r="B671" s="342" t="s">
        <v>1363</v>
      </c>
      <c r="C671" s="358">
        <v>2.4283999999999998E-3</v>
      </c>
      <c r="E671" s="2">
        <v>781521</v>
      </c>
      <c r="F671" s="2">
        <v>1061560</v>
      </c>
      <c r="G671" s="2">
        <v>606414</v>
      </c>
      <c r="H671" s="2">
        <v>361399</v>
      </c>
      <c r="I671" s="2">
        <v>0</v>
      </c>
      <c r="J671" s="2"/>
      <c r="K671" s="2">
        <v>450247</v>
      </c>
      <c r="L671" s="2">
        <v>414756</v>
      </c>
      <c r="M671" s="2">
        <v>230839</v>
      </c>
      <c r="N671" s="2">
        <v>0</v>
      </c>
      <c r="O671" s="2">
        <v>0</v>
      </c>
      <c r="P671" s="2"/>
      <c r="Q671" s="2">
        <v>29187</v>
      </c>
      <c r="R671" s="2">
        <v>408226</v>
      </c>
      <c r="S671" s="2">
        <v>422342</v>
      </c>
      <c r="T671" s="2">
        <v>361399</v>
      </c>
      <c r="U671" s="2">
        <v>0</v>
      </c>
      <c r="V671" s="2"/>
      <c r="W671" s="2">
        <v>356431</v>
      </c>
      <c r="X671" s="2">
        <v>289361</v>
      </c>
      <c r="Y671" s="2">
        <v>0</v>
      </c>
      <c r="Z671" s="2">
        <v>0</v>
      </c>
      <c r="AA671" s="2">
        <v>0</v>
      </c>
      <c r="AB671" s="2"/>
      <c r="AC671" s="2">
        <v>0</v>
      </c>
      <c r="AD671" s="2">
        <v>0</v>
      </c>
      <c r="AE671" s="2">
        <v>0</v>
      </c>
      <c r="AF671" s="2">
        <v>0</v>
      </c>
      <c r="AG671" s="2">
        <v>0</v>
      </c>
      <c r="AH671" s="2"/>
      <c r="AI671" s="2">
        <v>-54344</v>
      </c>
      <c r="AJ671" s="2">
        <v>-50783</v>
      </c>
      <c r="AK671" s="2">
        <v>-46767</v>
      </c>
      <c r="AL671" s="2">
        <v>0</v>
      </c>
      <c r="AM671" s="2">
        <v>-50783</v>
      </c>
    </row>
    <row r="672" spans="1:39">
      <c r="A672" s="349">
        <v>97304</v>
      </c>
      <c r="B672" s="342" t="s">
        <v>3689</v>
      </c>
      <c r="C672" s="358">
        <v>1.4100000000000001E-5</v>
      </c>
      <c r="E672" s="2">
        <v>10618</v>
      </c>
      <c r="F672" s="2">
        <v>11223</v>
      </c>
      <c r="G672" s="2">
        <v>7574</v>
      </c>
      <c r="H672" s="2">
        <v>2098</v>
      </c>
      <c r="I672" s="2">
        <v>0</v>
      </c>
      <c r="J672" s="2"/>
      <c r="K672" s="2">
        <v>2614</v>
      </c>
      <c r="L672" s="2">
        <v>2408</v>
      </c>
      <c r="M672" s="2">
        <v>1340</v>
      </c>
      <c r="N672" s="2">
        <v>0</v>
      </c>
      <c r="O672" s="2">
        <v>0</v>
      </c>
      <c r="P672" s="2"/>
      <c r="Q672" s="2">
        <v>169</v>
      </c>
      <c r="R672" s="2">
        <v>2370</v>
      </c>
      <c r="S672" s="2">
        <v>2452</v>
      </c>
      <c r="T672" s="2">
        <v>2098</v>
      </c>
      <c r="U672" s="2">
        <v>0</v>
      </c>
      <c r="V672" s="2"/>
      <c r="W672" s="2">
        <v>2070</v>
      </c>
      <c r="X672" s="2">
        <v>1680</v>
      </c>
      <c r="Y672" s="2">
        <v>0</v>
      </c>
      <c r="Z672" s="2">
        <v>0</v>
      </c>
      <c r="AA672" s="2">
        <v>0</v>
      </c>
      <c r="AB672" s="2"/>
      <c r="AC672" s="2">
        <v>5765</v>
      </c>
      <c r="AD672" s="2">
        <v>4765</v>
      </c>
      <c r="AE672" s="2">
        <v>3782</v>
      </c>
      <c r="AF672" s="2">
        <v>0</v>
      </c>
      <c r="AG672" s="2">
        <v>0</v>
      </c>
      <c r="AH672" s="2"/>
      <c r="AI672" s="2">
        <v>0</v>
      </c>
      <c r="AJ672" s="2">
        <v>0</v>
      </c>
      <c r="AK672" s="2">
        <v>0</v>
      </c>
      <c r="AL672" s="2">
        <v>0</v>
      </c>
      <c r="AM672" s="2">
        <v>0</v>
      </c>
    </row>
    <row r="673" spans="1:39">
      <c r="A673" s="349">
        <v>97311</v>
      </c>
      <c r="B673" s="342" t="s">
        <v>1365</v>
      </c>
      <c r="C673" s="358">
        <v>8.4060000000000005E-4</v>
      </c>
      <c r="E673" s="2">
        <v>251483</v>
      </c>
      <c r="F673" s="2">
        <v>355411</v>
      </c>
      <c r="G673" s="2">
        <v>203457</v>
      </c>
      <c r="H673" s="2">
        <v>125100</v>
      </c>
      <c r="I673" s="2">
        <v>0</v>
      </c>
      <c r="J673" s="2"/>
      <c r="K673" s="2">
        <v>155855</v>
      </c>
      <c r="L673" s="2">
        <v>143569</v>
      </c>
      <c r="M673" s="2">
        <v>79906</v>
      </c>
      <c r="N673" s="2">
        <v>0</v>
      </c>
      <c r="O673" s="2">
        <v>0</v>
      </c>
      <c r="P673" s="2"/>
      <c r="Q673" s="2">
        <v>10103</v>
      </c>
      <c r="R673" s="2">
        <v>141309</v>
      </c>
      <c r="S673" s="2">
        <v>146195</v>
      </c>
      <c r="T673" s="2">
        <v>125100</v>
      </c>
      <c r="U673" s="2">
        <v>0</v>
      </c>
      <c r="V673" s="2"/>
      <c r="W673" s="2">
        <v>123380</v>
      </c>
      <c r="X673" s="2">
        <v>100163</v>
      </c>
      <c r="Y673" s="2">
        <v>0</v>
      </c>
      <c r="Z673" s="2">
        <v>0</v>
      </c>
      <c r="AA673" s="2">
        <v>0</v>
      </c>
      <c r="AB673" s="2"/>
      <c r="AC673" s="2">
        <v>0</v>
      </c>
      <c r="AD673" s="2">
        <v>0</v>
      </c>
      <c r="AE673" s="2">
        <v>0</v>
      </c>
      <c r="AF673" s="2">
        <v>0</v>
      </c>
      <c r="AG673" s="2">
        <v>0</v>
      </c>
      <c r="AH673" s="2"/>
      <c r="AI673" s="2">
        <v>-37855</v>
      </c>
      <c r="AJ673" s="2">
        <v>-29630</v>
      </c>
      <c r="AK673" s="2">
        <v>-22644</v>
      </c>
      <c r="AL673" s="2">
        <v>0</v>
      </c>
      <c r="AM673" s="2">
        <v>-29630</v>
      </c>
    </row>
    <row r="674" spans="1:39">
      <c r="A674" s="349">
        <v>97401</v>
      </c>
      <c r="B674" s="342" t="s">
        <v>1366</v>
      </c>
      <c r="C674" s="358">
        <v>6.9747999999999998E-3</v>
      </c>
      <c r="E674" s="2">
        <v>2381652</v>
      </c>
      <c r="F674" s="2">
        <v>3137903</v>
      </c>
      <c r="G674" s="2">
        <v>1798818</v>
      </c>
      <c r="H674" s="2">
        <v>1038004</v>
      </c>
      <c r="I674" s="2">
        <v>0</v>
      </c>
      <c r="J674" s="2"/>
      <c r="K674" s="2">
        <v>1293191</v>
      </c>
      <c r="L674" s="2">
        <v>1191254</v>
      </c>
      <c r="M674" s="2">
        <v>663011</v>
      </c>
      <c r="N674" s="2">
        <v>0</v>
      </c>
      <c r="O674" s="2">
        <v>0</v>
      </c>
      <c r="P674" s="2"/>
      <c r="Q674" s="2">
        <v>83830</v>
      </c>
      <c r="R674" s="2">
        <v>1172499</v>
      </c>
      <c r="S674" s="2">
        <v>1213043</v>
      </c>
      <c r="T674" s="2">
        <v>1038004</v>
      </c>
      <c r="U674" s="2">
        <v>0</v>
      </c>
      <c r="V674" s="2"/>
      <c r="W674" s="2">
        <v>1023733</v>
      </c>
      <c r="X674" s="2">
        <v>831096</v>
      </c>
      <c r="Y674" s="2">
        <v>0</v>
      </c>
      <c r="Z674" s="2">
        <v>0</v>
      </c>
      <c r="AA674" s="2">
        <v>0</v>
      </c>
      <c r="AB674" s="2"/>
      <c r="AC674" s="2">
        <v>58132</v>
      </c>
      <c r="AD674" s="2">
        <v>20288</v>
      </c>
      <c r="AE674" s="2">
        <v>0</v>
      </c>
      <c r="AF674" s="2">
        <v>0</v>
      </c>
      <c r="AG674" s="2">
        <v>0</v>
      </c>
      <c r="AH674" s="2"/>
      <c r="AI674" s="2">
        <v>-77234</v>
      </c>
      <c r="AJ674" s="2">
        <v>-77234</v>
      </c>
      <c r="AK674" s="2">
        <v>-77236</v>
      </c>
      <c r="AL674" s="2">
        <v>0</v>
      </c>
      <c r="AM674" s="2">
        <v>-77234</v>
      </c>
    </row>
    <row r="675" spans="1:39">
      <c r="A675" s="349">
        <v>97402</v>
      </c>
      <c r="B675" s="342" t="s">
        <v>3690</v>
      </c>
      <c r="C675" s="358">
        <v>5.1999999999999997E-5</v>
      </c>
      <c r="E675" s="2">
        <v>25251</v>
      </c>
      <c r="F675" s="2">
        <v>29981</v>
      </c>
      <c r="G675" s="2">
        <v>19528</v>
      </c>
      <c r="H675" s="2">
        <v>7739</v>
      </c>
      <c r="I675" s="2">
        <v>0</v>
      </c>
      <c r="J675" s="2"/>
      <c r="K675" s="2">
        <v>9641</v>
      </c>
      <c r="L675" s="2">
        <v>8881</v>
      </c>
      <c r="M675" s="2">
        <v>4943</v>
      </c>
      <c r="N675" s="2">
        <v>0</v>
      </c>
      <c r="O675" s="2">
        <v>0</v>
      </c>
      <c r="P675" s="2"/>
      <c r="Q675" s="2">
        <v>625</v>
      </c>
      <c r="R675" s="2">
        <v>8741</v>
      </c>
      <c r="S675" s="2">
        <v>9044</v>
      </c>
      <c r="T675" s="2">
        <v>7739</v>
      </c>
      <c r="U675" s="2">
        <v>0</v>
      </c>
      <c r="V675" s="2"/>
      <c r="W675" s="2">
        <v>7632</v>
      </c>
      <c r="X675" s="2">
        <v>6196</v>
      </c>
      <c r="Y675" s="2">
        <v>0</v>
      </c>
      <c r="Z675" s="2">
        <v>0</v>
      </c>
      <c r="AA675" s="2">
        <v>0</v>
      </c>
      <c r="AB675" s="2"/>
      <c r="AC675" s="2">
        <v>7362</v>
      </c>
      <c r="AD675" s="2">
        <v>6172</v>
      </c>
      <c r="AE675" s="2">
        <v>5551</v>
      </c>
      <c r="AF675" s="2">
        <v>0</v>
      </c>
      <c r="AG675" s="2">
        <v>0</v>
      </c>
      <c r="AH675" s="2"/>
      <c r="AI675" s="2">
        <v>-9</v>
      </c>
      <c r="AJ675" s="2">
        <v>-9</v>
      </c>
      <c r="AK675" s="2">
        <v>-10</v>
      </c>
      <c r="AL675" s="2">
        <v>0</v>
      </c>
      <c r="AM675" s="2">
        <v>-9</v>
      </c>
    </row>
    <row r="676" spans="1:39">
      <c r="A676" s="349">
        <v>97404</v>
      </c>
      <c r="B676" s="342" t="s">
        <v>1368</v>
      </c>
      <c r="C676" s="358">
        <v>2.128E-4</v>
      </c>
      <c r="E676" s="2">
        <v>66080</v>
      </c>
      <c r="F676" s="2">
        <v>92735</v>
      </c>
      <c r="G676" s="2">
        <v>55487</v>
      </c>
      <c r="H676" s="2">
        <v>31669</v>
      </c>
      <c r="I676" s="2">
        <v>0</v>
      </c>
      <c r="J676" s="2"/>
      <c r="K676" s="2">
        <v>39455</v>
      </c>
      <c r="L676" s="2">
        <v>36345</v>
      </c>
      <c r="M676" s="2">
        <v>20228</v>
      </c>
      <c r="N676" s="2">
        <v>0</v>
      </c>
      <c r="O676" s="2">
        <v>0</v>
      </c>
      <c r="P676" s="2"/>
      <c r="Q676" s="2">
        <v>2558</v>
      </c>
      <c r="R676" s="2">
        <v>35773</v>
      </c>
      <c r="S676" s="2">
        <v>37010</v>
      </c>
      <c r="T676" s="2">
        <v>31669</v>
      </c>
      <c r="U676" s="2">
        <v>0</v>
      </c>
      <c r="V676" s="2"/>
      <c r="W676" s="2">
        <v>31234</v>
      </c>
      <c r="X676" s="2">
        <v>25357</v>
      </c>
      <c r="Y676" s="2">
        <v>0</v>
      </c>
      <c r="Z676" s="2">
        <v>0</v>
      </c>
      <c r="AA676" s="2">
        <v>0</v>
      </c>
      <c r="AB676" s="2"/>
      <c r="AC676" s="2">
        <v>201</v>
      </c>
      <c r="AD676" s="2">
        <v>201</v>
      </c>
      <c r="AE676" s="2">
        <v>201</v>
      </c>
      <c r="AF676" s="2">
        <v>0</v>
      </c>
      <c r="AG676" s="2">
        <v>0</v>
      </c>
      <c r="AH676" s="2"/>
      <c r="AI676" s="2">
        <v>-7368</v>
      </c>
      <c r="AJ676" s="2">
        <v>-4941</v>
      </c>
      <c r="AK676" s="2">
        <v>-1952</v>
      </c>
      <c r="AL676" s="2">
        <v>0</v>
      </c>
      <c r="AM676" s="2">
        <v>-4941</v>
      </c>
    </row>
    <row r="677" spans="1:39">
      <c r="A677" s="349">
        <v>97405</v>
      </c>
      <c r="B677" s="342" t="s">
        <v>1369</v>
      </c>
      <c r="C677" s="358">
        <v>1.014E-4</v>
      </c>
      <c r="E677" s="2">
        <v>45067</v>
      </c>
      <c r="F677" s="2">
        <v>53421</v>
      </c>
      <c r="G677" s="2">
        <v>30174</v>
      </c>
      <c r="H677" s="2">
        <v>15091</v>
      </c>
      <c r="I677" s="2">
        <v>0</v>
      </c>
      <c r="J677" s="2"/>
      <c r="K677" s="2">
        <v>18800</v>
      </c>
      <c r="L677" s="2">
        <v>17319</v>
      </c>
      <c r="M677" s="2">
        <v>9639</v>
      </c>
      <c r="N677" s="2">
        <v>0</v>
      </c>
      <c r="O677" s="2">
        <v>0</v>
      </c>
      <c r="P677" s="2"/>
      <c r="Q677" s="2">
        <v>1219</v>
      </c>
      <c r="R677" s="2">
        <v>17046</v>
      </c>
      <c r="S677" s="2">
        <v>17635</v>
      </c>
      <c r="T677" s="2">
        <v>15091</v>
      </c>
      <c r="U677" s="2">
        <v>0</v>
      </c>
      <c r="V677" s="2"/>
      <c r="W677" s="2">
        <v>14883</v>
      </c>
      <c r="X677" s="2">
        <v>12083</v>
      </c>
      <c r="Y677" s="2">
        <v>0</v>
      </c>
      <c r="Z677" s="2">
        <v>0</v>
      </c>
      <c r="AA677" s="2">
        <v>0</v>
      </c>
      <c r="AB677" s="2"/>
      <c r="AC677" s="2">
        <v>10165</v>
      </c>
      <c r="AD677" s="2">
        <v>6973</v>
      </c>
      <c r="AE677" s="2">
        <v>2900</v>
      </c>
      <c r="AF677" s="2">
        <v>0</v>
      </c>
      <c r="AG677" s="2">
        <v>0</v>
      </c>
      <c r="AH677" s="2"/>
      <c r="AI677" s="2">
        <v>0</v>
      </c>
      <c r="AJ677" s="2">
        <v>0</v>
      </c>
      <c r="AK677" s="2">
        <v>0</v>
      </c>
      <c r="AL677" s="2">
        <v>0</v>
      </c>
      <c r="AM677" s="2">
        <v>0</v>
      </c>
    </row>
    <row r="678" spans="1:39">
      <c r="A678" s="349">
        <v>97408</v>
      </c>
      <c r="B678" s="342" t="s">
        <v>3691</v>
      </c>
      <c r="C678" s="358">
        <v>4.18E-5</v>
      </c>
      <c r="E678" s="2">
        <v>19024</v>
      </c>
      <c r="F678" s="2">
        <v>23174</v>
      </c>
      <c r="G678" s="2">
        <v>14719</v>
      </c>
      <c r="H678" s="2">
        <v>6221</v>
      </c>
      <c r="I678" s="2">
        <v>0</v>
      </c>
      <c r="J678" s="2"/>
      <c r="K678" s="2">
        <v>7750</v>
      </c>
      <c r="L678" s="2">
        <v>7139</v>
      </c>
      <c r="M678" s="2">
        <v>3973</v>
      </c>
      <c r="N678" s="2">
        <v>0</v>
      </c>
      <c r="O678" s="2">
        <v>0</v>
      </c>
      <c r="P678" s="2"/>
      <c r="Q678" s="2">
        <v>502</v>
      </c>
      <c r="R678" s="2">
        <v>7027</v>
      </c>
      <c r="S678" s="2">
        <v>7270</v>
      </c>
      <c r="T678" s="2">
        <v>6221</v>
      </c>
      <c r="U678" s="2">
        <v>0</v>
      </c>
      <c r="V678" s="2"/>
      <c r="W678" s="2">
        <v>6135</v>
      </c>
      <c r="X678" s="2">
        <v>4981</v>
      </c>
      <c r="Y678" s="2">
        <v>0</v>
      </c>
      <c r="Z678" s="2">
        <v>0</v>
      </c>
      <c r="AA678" s="2">
        <v>0</v>
      </c>
      <c r="AB678" s="2"/>
      <c r="AC678" s="2">
        <v>4637</v>
      </c>
      <c r="AD678" s="2">
        <v>4027</v>
      </c>
      <c r="AE678" s="2">
        <v>3476</v>
      </c>
      <c r="AF678" s="2">
        <v>0</v>
      </c>
      <c r="AG678" s="2">
        <v>0</v>
      </c>
      <c r="AH678" s="2"/>
      <c r="AI678" s="2">
        <v>0</v>
      </c>
      <c r="AJ678" s="2">
        <v>0</v>
      </c>
      <c r="AK678" s="2">
        <v>0</v>
      </c>
      <c r="AL678" s="2">
        <v>0</v>
      </c>
      <c r="AM678" s="2">
        <v>0</v>
      </c>
    </row>
    <row r="679" spans="1:39">
      <c r="A679" s="349">
        <v>97411</v>
      </c>
      <c r="B679" s="342" t="s">
        <v>1371</v>
      </c>
      <c r="C679" s="358">
        <v>6.3677999999999998E-3</v>
      </c>
      <c r="E679" s="2">
        <v>2033516</v>
      </c>
      <c r="F679" s="2">
        <v>2787053</v>
      </c>
      <c r="G679" s="2">
        <v>1659313</v>
      </c>
      <c r="H679" s="2">
        <v>947669</v>
      </c>
      <c r="I679" s="2">
        <v>0</v>
      </c>
      <c r="J679" s="2"/>
      <c r="K679" s="2">
        <v>1180647</v>
      </c>
      <c r="L679" s="2">
        <v>1087582</v>
      </c>
      <c r="M679" s="2">
        <v>605310</v>
      </c>
      <c r="N679" s="2">
        <v>0</v>
      </c>
      <c r="O679" s="2">
        <v>0</v>
      </c>
      <c r="P679" s="2"/>
      <c r="Q679" s="2">
        <v>76535</v>
      </c>
      <c r="R679" s="2">
        <v>1070459</v>
      </c>
      <c r="S679" s="2">
        <v>1107475</v>
      </c>
      <c r="T679" s="2">
        <v>947669</v>
      </c>
      <c r="U679" s="2">
        <v>0</v>
      </c>
      <c r="V679" s="2"/>
      <c r="W679" s="2">
        <v>934640</v>
      </c>
      <c r="X679" s="2">
        <v>758768</v>
      </c>
      <c r="Y679" s="2">
        <v>0</v>
      </c>
      <c r="Z679" s="2">
        <v>0</v>
      </c>
      <c r="AA679" s="2">
        <v>0</v>
      </c>
      <c r="AB679" s="2"/>
      <c r="AC679" s="2">
        <v>8440</v>
      </c>
      <c r="AD679" s="2">
        <v>8440</v>
      </c>
      <c r="AE679" s="2">
        <v>8440</v>
      </c>
      <c r="AF679" s="2">
        <v>0</v>
      </c>
      <c r="AG679" s="2">
        <v>0</v>
      </c>
      <c r="AH679" s="2"/>
      <c r="AI679" s="2">
        <v>-166746</v>
      </c>
      <c r="AJ679" s="2">
        <v>-138196</v>
      </c>
      <c r="AK679" s="2">
        <v>-61912</v>
      </c>
      <c r="AL679" s="2">
        <v>0</v>
      </c>
      <c r="AM679" s="2">
        <v>-138196</v>
      </c>
    </row>
    <row r="680" spans="1:39">
      <c r="A680" s="349">
        <v>97412</v>
      </c>
      <c r="B680" s="342" t="s">
        <v>1372</v>
      </c>
      <c r="C680" s="358">
        <v>4.3990000000000001E-3</v>
      </c>
      <c r="E680" s="2">
        <v>1526181</v>
      </c>
      <c r="F680" s="2">
        <v>1995702</v>
      </c>
      <c r="G680" s="2">
        <v>1141682</v>
      </c>
      <c r="H680" s="2">
        <v>654668</v>
      </c>
      <c r="I680" s="2">
        <v>0</v>
      </c>
      <c r="J680" s="2"/>
      <c r="K680" s="2">
        <v>815614</v>
      </c>
      <c r="L680" s="2">
        <v>751323</v>
      </c>
      <c r="M680" s="2">
        <v>418160</v>
      </c>
      <c r="N680" s="2">
        <v>0</v>
      </c>
      <c r="O680" s="2">
        <v>0</v>
      </c>
      <c r="P680" s="2"/>
      <c r="Q680" s="2">
        <v>52872</v>
      </c>
      <c r="R680" s="2">
        <v>739494</v>
      </c>
      <c r="S680" s="2">
        <v>765065</v>
      </c>
      <c r="T680" s="2">
        <v>654668</v>
      </c>
      <c r="U680" s="2">
        <v>0</v>
      </c>
      <c r="V680" s="2"/>
      <c r="W680" s="2">
        <v>645668</v>
      </c>
      <c r="X680" s="2">
        <v>524172</v>
      </c>
      <c r="Y680" s="2">
        <v>0</v>
      </c>
      <c r="Z680" s="2">
        <v>0</v>
      </c>
      <c r="AA680" s="2">
        <v>0</v>
      </c>
      <c r="AB680" s="2"/>
      <c r="AC680" s="2">
        <v>53568</v>
      </c>
      <c r="AD680" s="2">
        <v>22254</v>
      </c>
      <c r="AE680" s="2">
        <v>0</v>
      </c>
      <c r="AF680" s="2">
        <v>0</v>
      </c>
      <c r="AG680" s="2">
        <v>0</v>
      </c>
      <c r="AH680" s="2"/>
      <c r="AI680" s="2">
        <v>-41541</v>
      </c>
      <c r="AJ680" s="2">
        <v>-41541</v>
      </c>
      <c r="AK680" s="2">
        <v>-41543</v>
      </c>
      <c r="AL680" s="2">
        <v>0</v>
      </c>
      <c r="AM680" s="2">
        <v>-41541</v>
      </c>
    </row>
    <row r="681" spans="1:39">
      <c r="A681" s="349">
        <v>97413</v>
      </c>
      <c r="B681" s="342" t="s">
        <v>1373</v>
      </c>
      <c r="C681" s="358">
        <v>2.6689999999999998E-4</v>
      </c>
      <c r="E681" s="2">
        <v>107322</v>
      </c>
      <c r="F681" s="2">
        <v>136187</v>
      </c>
      <c r="G681" s="2">
        <v>81735</v>
      </c>
      <c r="H681" s="2">
        <v>39721</v>
      </c>
      <c r="I681" s="2">
        <v>0</v>
      </c>
      <c r="J681" s="2"/>
      <c r="K681" s="2">
        <v>49486</v>
      </c>
      <c r="L681" s="2">
        <v>45585</v>
      </c>
      <c r="M681" s="2">
        <v>25371</v>
      </c>
      <c r="N681" s="2">
        <v>0</v>
      </c>
      <c r="O681" s="2">
        <v>0</v>
      </c>
      <c r="P681" s="2"/>
      <c r="Q681" s="2">
        <v>3208</v>
      </c>
      <c r="R681" s="2">
        <v>44867</v>
      </c>
      <c r="S681" s="2">
        <v>46419</v>
      </c>
      <c r="T681" s="2">
        <v>39721</v>
      </c>
      <c r="U681" s="2">
        <v>0</v>
      </c>
      <c r="V681" s="2"/>
      <c r="W681" s="2">
        <v>39175</v>
      </c>
      <c r="X681" s="2">
        <v>31803</v>
      </c>
      <c r="Y681" s="2">
        <v>0</v>
      </c>
      <c r="Z681" s="2">
        <v>0</v>
      </c>
      <c r="AA681" s="2">
        <v>0</v>
      </c>
      <c r="AB681" s="2"/>
      <c r="AC681" s="2">
        <v>15453</v>
      </c>
      <c r="AD681" s="2">
        <v>13932</v>
      </c>
      <c r="AE681" s="2">
        <v>9945</v>
      </c>
      <c r="AF681" s="2">
        <v>0</v>
      </c>
      <c r="AG681" s="2">
        <v>0</v>
      </c>
      <c r="AH681" s="2"/>
      <c r="AI681" s="2">
        <v>0</v>
      </c>
      <c r="AJ681" s="2">
        <v>0</v>
      </c>
      <c r="AK681" s="2">
        <v>0</v>
      </c>
      <c r="AL681" s="2">
        <v>0</v>
      </c>
      <c r="AM681" s="2">
        <v>0</v>
      </c>
    </row>
    <row r="682" spans="1:39">
      <c r="A682" s="349">
        <v>97421</v>
      </c>
      <c r="B682" s="342" t="s">
        <v>1374</v>
      </c>
      <c r="C682" s="358">
        <v>4.239E-4</v>
      </c>
      <c r="E682" s="2">
        <v>136856</v>
      </c>
      <c r="F682" s="2">
        <v>183079</v>
      </c>
      <c r="G682" s="2">
        <v>101288</v>
      </c>
      <c r="H682" s="2">
        <v>63086</v>
      </c>
      <c r="I682" s="2">
        <v>0</v>
      </c>
      <c r="J682" s="2"/>
      <c r="K682" s="2">
        <v>78595</v>
      </c>
      <c r="L682" s="2">
        <v>72400</v>
      </c>
      <c r="M682" s="2">
        <v>40295</v>
      </c>
      <c r="N682" s="2">
        <v>0</v>
      </c>
      <c r="O682" s="2">
        <v>0</v>
      </c>
      <c r="P682" s="2"/>
      <c r="Q682" s="2">
        <v>5095</v>
      </c>
      <c r="R682" s="2">
        <v>71260</v>
      </c>
      <c r="S682" s="2">
        <v>73724</v>
      </c>
      <c r="T682" s="2">
        <v>63086</v>
      </c>
      <c r="U682" s="2">
        <v>0</v>
      </c>
      <c r="V682" s="2"/>
      <c r="W682" s="2">
        <v>62218</v>
      </c>
      <c r="X682" s="2">
        <v>50511</v>
      </c>
      <c r="Y682" s="2">
        <v>0</v>
      </c>
      <c r="Z682" s="2">
        <v>0</v>
      </c>
      <c r="AA682" s="2">
        <v>0</v>
      </c>
      <c r="AB682" s="2"/>
      <c r="AC682" s="2">
        <v>3679</v>
      </c>
      <c r="AD682" s="2">
        <v>1639</v>
      </c>
      <c r="AE682" s="2">
        <v>0</v>
      </c>
      <c r="AF682" s="2">
        <v>0</v>
      </c>
      <c r="AG682" s="2">
        <v>0</v>
      </c>
      <c r="AH682" s="2"/>
      <c r="AI682" s="2">
        <v>-12731</v>
      </c>
      <c r="AJ682" s="2">
        <v>-12731</v>
      </c>
      <c r="AK682" s="2">
        <v>-12731</v>
      </c>
      <c r="AL682" s="2">
        <v>0</v>
      </c>
      <c r="AM682" s="2">
        <v>-12731</v>
      </c>
    </row>
    <row r="683" spans="1:39">
      <c r="A683" s="349">
        <v>97423</v>
      </c>
      <c r="B683" s="342" t="s">
        <v>1375</v>
      </c>
      <c r="C683" s="358">
        <v>4.0000000000000003E-5</v>
      </c>
      <c r="E683" s="2">
        <v>25590</v>
      </c>
      <c r="F683" s="2">
        <v>25919</v>
      </c>
      <c r="G683" s="2">
        <v>14868</v>
      </c>
      <c r="H683" s="2">
        <v>5953</v>
      </c>
      <c r="I683" s="2">
        <v>0</v>
      </c>
      <c r="J683" s="2"/>
      <c r="K683" s="2">
        <v>7416</v>
      </c>
      <c r="L683" s="2">
        <v>6832</v>
      </c>
      <c r="M683" s="2">
        <v>3802</v>
      </c>
      <c r="N683" s="2">
        <v>0</v>
      </c>
      <c r="O683" s="2">
        <v>0</v>
      </c>
      <c r="P683" s="2"/>
      <c r="Q683" s="2">
        <v>481</v>
      </c>
      <c r="R683" s="2">
        <v>6724</v>
      </c>
      <c r="S683" s="2">
        <v>6957</v>
      </c>
      <c r="T683" s="2">
        <v>5953</v>
      </c>
      <c r="U683" s="2">
        <v>0</v>
      </c>
      <c r="V683" s="2"/>
      <c r="W683" s="2">
        <v>5871</v>
      </c>
      <c r="X683" s="2">
        <v>4766</v>
      </c>
      <c r="Y683" s="2">
        <v>0</v>
      </c>
      <c r="Z683" s="2">
        <v>0</v>
      </c>
      <c r="AA683" s="2">
        <v>0</v>
      </c>
      <c r="AB683" s="2"/>
      <c r="AC683" s="2">
        <v>13289</v>
      </c>
      <c r="AD683" s="2">
        <v>9064</v>
      </c>
      <c r="AE683" s="2">
        <v>5576</v>
      </c>
      <c r="AF683" s="2">
        <v>0</v>
      </c>
      <c r="AG683" s="2">
        <v>0</v>
      </c>
      <c r="AH683" s="2"/>
      <c r="AI683" s="2">
        <v>-1467</v>
      </c>
      <c r="AJ683" s="2">
        <v>-1467</v>
      </c>
      <c r="AK683" s="2">
        <v>-1467</v>
      </c>
      <c r="AL683" s="2">
        <v>0</v>
      </c>
      <c r="AM683" s="2">
        <v>-1467</v>
      </c>
    </row>
    <row r="684" spans="1:39">
      <c r="A684" s="349">
        <v>97431</v>
      </c>
      <c r="B684" s="342" t="s">
        <v>1376</v>
      </c>
      <c r="C684" s="358">
        <v>9.2999999999999997E-5</v>
      </c>
      <c r="E684" s="2">
        <v>36533</v>
      </c>
      <c r="F684" s="2">
        <v>46007</v>
      </c>
      <c r="G684" s="2">
        <v>25207</v>
      </c>
      <c r="H684" s="2">
        <v>13840</v>
      </c>
      <c r="I684" s="2">
        <v>0</v>
      </c>
      <c r="J684" s="2"/>
      <c r="K684" s="2">
        <v>17243</v>
      </c>
      <c r="L684" s="2">
        <v>15884</v>
      </c>
      <c r="M684" s="2">
        <v>8840</v>
      </c>
      <c r="N684" s="2">
        <v>0</v>
      </c>
      <c r="O684" s="2">
        <v>0</v>
      </c>
      <c r="P684" s="2"/>
      <c r="Q684" s="2">
        <v>1118</v>
      </c>
      <c r="R684" s="2">
        <v>15634</v>
      </c>
      <c r="S684" s="2">
        <v>16174</v>
      </c>
      <c r="T684" s="2">
        <v>13840</v>
      </c>
      <c r="U684" s="2">
        <v>0</v>
      </c>
      <c r="V684" s="2"/>
      <c r="W684" s="2">
        <v>13650</v>
      </c>
      <c r="X684" s="2">
        <v>11082</v>
      </c>
      <c r="Y684" s="2">
        <v>0</v>
      </c>
      <c r="Z684" s="2">
        <v>0</v>
      </c>
      <c r="AA684" s="2">
        <v>0</v>
      </c>
      <c r="AB684" s="2"/>
      <c r="AC684" s="2">
        <v>6298</v>
      </c>
      <c r="AD684" s="2">
        <v>5183</v>
      </c>
      <c r="AE684" s="2">
        <v>1971</v>
      </c>
      <c r="AF684" s="2">
        <v>0</v>
      </c>
      <c r="AG684" s="2">
        <v>0</v>
      </c>
      <c r="AH684" s="2"/>
      <c r="AI684" s="2">
        <v>-1776</v>
      </c>
      <c r="AJ684" s="2">
        <v>-1776</v>
      </c>
      <c r="AK684" s="2">
        <v>-1778</v>
      </c>
      <c r="AL684" s="2">
        <v>0</v>
      </c>
      <c r="AM684" s="2">
        <v>-1776</v>
      </c>
    </row>
    <row r="685" spans="1:39">
      <c r="A685" s="349">
        <v>97441</v>
      </c>
      <c r="B685" s="342" t="s">
        <v>1377</v>
      </c>
      <c r="C685" s="358">
        <v>6.2199999999999994E-5</v>
      </c>
      <c r="E685" s="2">
        <v>13745</v>
      </c>
      <c r="F685" s="2">
        <v>21848</v>
      </c>
      <c r="G685" s="2">
        <v>15047</v>
      </c>
      <c r="H685" s="2">
        <v>9257</v>
      </c>
      <c r="I685" s="2">
        <v>0</v>
      </c>
      <c r="J685" s="2"/>
      <c r="K685" s="2">
        <v>11532</v>
      </c>
      <c r="L685" s="2">
        <v>10623</v>
      </c>
      <c r="M685" s="2">
        <v>5913</v>
      </c>
      <c r="N685" s="2">
        <v>0</v>
      </c>
      <c r="O685" s="2">
        <v>0</v>
      </c>
      <c r="P685" s="2"/>
      <c r="Q685" s="2">
        <v>748</v>
      </c>
      <c r="R685" s="2">
        <v>10456</v>
      </c>
      <c r="S685" s="2">
        <v>10818</v>
      </c>
      <c r="T685" s="2">
        <v>9257</v>
      </c>
      <c r="U685" s="2">
        <v>0</v>
      </c>
      <c r="V685" s="2"/>
      <c r="W685" s="2">
        <v>9129</v>
      </c>
      <c r="X685" s="2">
        <v>7412</v>
      </c>
      <c r="Y685" s="2">
        <v>0</v>
      </c>
      <c r="Z685" s="2">
        <v>0</v>
      </c>
      <c r="AA685" s="2">
        <v>0</v>
      </c>
      <c r="AB685" s="2"/>
      <c r="AC685" s="2">
        <v>0</v>
      </c>
      <c r="AD685" s="2">
        <v>0</v>
      </c>
      <c r="AE685" s="2">
        <v>0</v>
      </c>
      <c r="AF685" s="2">
        <v>0</v>
      </c>
      <c r="AG685" s="2">
        <v>0</v>
      </c>
      <c r="AH685" s="2"/>
      <c r="AI685" s="2">
        <v>-7664</v>
      </c>
      <c r="AJ685" s="2">
        <v>-6643</v>
      </c>
      <c r="AK685" s="2">
        <v>-1684</v>
      </c>
      <c r="AL685" s="2">
        <v>0</v>
      </c>
      <c r="AM685" s="2">
        <v>-6643</v>
      </c>
    </row>
    <row r="686" spans="1:39">
      <c r="A686" s="349">
        <v>97451</v>
      </c>
      <c r="B686" s="342" t="s">
        <v>1378</v>
      </c>
      <c r="C686" s="358">
        <v>7.5849999999999995E-4</v>
      </c>
      <c r="E686" s="2">
        <v>278821</v>
      </c>
      <c r="F686" s="2">
        <v>376137</v>
      </c>
      <c r="G686" s="2">
        <v>229815</v>
      </c>
      <c r="H686" s="2">
        <v>112881</v>
      </c>
      <c r="I686" s="2">
        <v>0</v>
      </c>
      <c r="J686" s="2"/>
      <c r="K686" s="2">
        <v>140633</v>
      </c>
      <c r="L686" s="2">
        <v>129547</v>
      </c>
      <c r="M686" s="2">
        <v>72101</v>
      </c>
      <c r="N686" s="2">
        <v>0</v>
      </c>
      <c r="O686" s="2">
        <v>0</v>
      </c>
      <c r="P686" s="2"/>
      <c r="Q686" s="2">
        <v>9116</v>
      </c>
      <c r="R686" s="2">
        <v>127508</v>
      </c>
      <c r="S686" s="2">
        <v>131917</v>
      </c>
      <c r="T686" s="2">
        <v>112881</v>
      </c>
      <c r="U686" s="2">
        <v>0</v>
      </c>
      <c r="V686" s="2"/>
      <c r="W686" s="2">
        <v>111330</v>
      </c>
      <c r="X686" s="2">
        <v>90381</v>
      </c>
      <c r="Y686" s="2">
        <v>0</v>
      </c>
      <c r="Z686" s="2">
        <v>0</v>
      </c>
      <c r="AA686" s="2">
        <v>0</v>
      </c>
      <c r="AB686" s="2"/>
      <c r="AC686" s="2">
        <v>29170</v>
      </c>
      <c r="AD686" s="2">
        <v>29170</v>
      </c>
      <c r="AE686" s="2">
        <v>26266</v>
      </c>
      <c r="AF686" s="2">
        <v>0</v>
      </c>
      <c r="AG686" s="2">
        <v>0</v>
      </c>
      <c r="AH686" s="2"/>
      <c r="AI686" s="2">
        <v>-11428</v>
      </c>
      <c r="AJ686" s="2">
        <v>-469</v>
      </c>
      <c r="AK686" s="2">
        <v>-469</v>
      </c>
      <c r="AL686" s="2">
        <v>0</v>
      </c>
      <c r="AM686" s="2">
        <v>-469</v>
      </c>
    </row>
    <row r="687" spans="1:39">
      <c r="A687" s="349">
        <v>97471</v>
      </c>
      <c r="B687" s="342" t="s">
        <v>1381</v>
      </c>
      <c r="C687" s="358">
        <v>1.63E-5</v>
      </c>
      <c r="E687" s="2">
        <v>10551</v>
      </c>
      <c r="F687" s="2">
        <v>11561</v>
      </c>
      <c r="G687" s="2">
        <v>6853</v>
      </c>
      <c r="H687" s="2">
        <v>2426</v>
      </c>
      <c r="I687" s="2">
        <v>0</v>
      </c>
      <c r="J687" s="2"/>
      <c r="K687" s="2">
        <v>3022</v>
      </c>
      <c r="L687" s="2">
        <v>2784</v>
      </c>
      <c r="M687" s="2">
        <v>1549</v>
      </c>
      <c r="N687" s="2">
        <v>0</v>
      </c>
      <c r="O687" s="2">
        <v>0</v>
      </c>
      <c r="P687" s="2"/>
      <c r="Q687" s="2">
        <v>196</v>
      </c>
      <c r="R687" s="2">
        <v>2740</v>
      </c>
      <c r="S687" s="2">
        <v>2835</v>
      </c>
      <c r="T687" s="2">
        <v>2426</v>
      </c>
      <c r="U687" s="2">
        <v>0</v>
      </c>
      <c r="V687" s="2"/>
      <c r="W687" s="2">
        <v>2392</v>
      </c>
      <c r="X687" s="2">
        <v>1942</v>
      </c>
      <c r="Y687" s="2">
        <v>0</v>
      </c>
      <c r="Z687" s="2">
        <v>0</v>
      </c>
      <c r="AA687" s="2">
        <v>0</v>
      </c>
      <c r="AB687" s="2"/>
      <c r="AC687" s="2">
        <v>4941</v>
      </c>
      <c r="AD687" s="2">
        <v>4095</v>
      </c>
      <c r="AE687" s="2">
        <v>2469</v>
      </c>
      <c r="AF687" s="2">
        <v>0</v>
      </c>
      <c r="AG687" s="2">
        <v>0</v>
      </c>
      <c r="AH687" s="2"/>
      <c r="AI687" s="2">
        <v>0</v>
      </c>
      <c r="AJ687" s="2">
        <v>0</v>
      </c>
      <c r="AK687" s="2">
        <v>0</v>
      </c>
      <c r="AL687" s="2">
        <v>0</v>
      </c>
      <c r="AM687" s="2">
        <v>0</v>
      </c>
    </row>
    <row r="688" spans="1:39">
      <c r="A688" s="349">
        <v>97481</v>
      </c>
      <c r="B688" s="342" t="s">
        <v>1382</v>
      </c>
      <c r="C688" s="358">
        <v>1.7E-6</v>
      </c>
      <c r="E688" s="2">
        <v>-1388</v>
      </c>
      <c r="F688" s="2">
        <v>-416</v>
      </c>
      <c r="G688" s="2">
        <v>-867</v>
      </c>
      <c r="H688" s="2">
        <v>253</v>
      </c>
      <c r="I688" s="2">
        <v>0</v>
      </c>
      <c r="J688" s="2"/>
      <c r="K688" s="2">
        <v>315</v>
      </c>
      <c r="L688" s="2">
        <v>290</v>
      </c>
      <c r="M688" s="2">
        <v>162</v>
      </c>
      <c r="N688" s="2">
        <v>0</v>
      </c>
      <c r="O688" s="2">
        <v>0</v>
      </c>
      <c r="P688" s="2"/>
      <c r="Q688" s="2">
        <v>20</v>
      </c>
      <c r="R688" s="2">
        <v>286</v>
      </c>
      <c r="S688" s="2">
        <v>296</v>
      </c>
      <c r="T688" s="2">
        <v>253</v>
      </c>
      <c r="U688" s="2">
        <v>0</v>
      </c>
      <c r="V688" s="2"/>
      <c r="W688" s="2">
        <v>250</v>
      </c>
      <c r="X688" s="2">
        <v>203</v>
      </c>
      <c r="Y688" s="2">
        <v>0</v>
      </c>
      <c r="Z688" s="2">
        <v>0</v>
      </c>
      <c r="AA688" s="2">
        <v>0</v>
      </c>
      <c r="AB688" s="2"/>
      <c r="AC688" s="2">
        <v>930</v>
      </c>
      <c r="AD688" s="2">
        <v>930</v>
      </c>
      <c r="AE688" s="2">
        <v>799</v>
      </c>
      <c r="AF688" s="2">
        <v>0</v>
      </c>
      <c r="AG688" s="2">
        <v>0</v>
      </c>
      <c r="AH688" s="2"/>
      <c r="AI688" s="2">
        <v>-2903</v>
      </c>
      <c r="AJ688" s="2">
        <v>-2125</v>
      </c>
      <c r="AK688" s="2">
        <v>-2124</v>
      </c>
      <c r="AL688" s="2">
        <v>0</v>
      </c>
      <c r="AM688" s="2">
        <v>-2125</v>
      </c>
    </row>
    <row r="689" spans="1:39">
      <c r="A689" s="349">
        <v>97501</v>
      </c>
      <c r="B689" s="342" t="s">
        <v>1384</v>
      </c>
      <c r="C689" s="358">
        <v>1.2210999999999999E-3</v>
      </c>
      <c r="E689" s="2">
        <v>484332</v>
      </c>
      <c r="F689" s="2">
        <v>598602</v>
      </c>
      <c r="G689" s="2">
        <v>368535</v>
      </c>
      <c r="H689" s="2">
        <v>181727</v>
      </c>
      <c r="I689" s="2">
        <v>0</v>
      </c>
      <c r="J689" s="2"/>
      <c r="K689" s="2">
        <v>226403</v>
      </c>
      <c r="L689" s="2">
        <v>208557</v>
      </c>
      <c r="M689" s="2">
        <v>116075</v>
      </c>
      <c r="N689" s="2">
        <v>0</v>
      </c>
      <c r="O689" s="2">
        <v>0</v>
      </c>
      <c r="P689" s="2"/>
      <c r="Q689" s="2">
        <v>14676</v>
      </c>
      <c r="R689" s="2">
        <v>205273</v>
      </c>
      <c r="S689" s="2">
        <v>212371</v>
      </c>
      <c r="T689" s="2">
        <v>181727</v>
      </c>
      <c r="U689" s="2">
        <v>0</v>
      </c>
      <c r="V689" s="2"/>
      <c r="W689" s="2">
        <v>179228</v>
      </c>
      <c r="X689" s="2">
        <v>145503</v>
      </c>
      <c r="Y689" s="2">
        <v>0</v>
      </c>
      <c r="Z689" s="2">
        <v>0</v>
      </c>
      <c r="AA689" s="2">
        <v>0</v>
      </c>
      <c r="AB689" s="2"/>
      <c r="AC689" s="2">
        <v>64846</v>
      </c>
      <c r="AD689" s="2">
        <v>40088</v>
      </c>
      <c r="AE689" s="2">
        <v>40089</v>
      </c>
      <c r="AF689" s="2">
        <v>0</v>
      </c>
      <c r="AG689" s="2">
        <v>0</v>
      </c>
      <c r="AH689" s="2"/>
      <c r="AI689" s="2">
        <v>-821</v>
      </c>
      <c r="AJ689" s="2">
        <v>-819</v>
      </c>
      <c r="AK689" s="2">
        <v>0</v>
      </c>
      <c r="AL689" s="2">
        <v>0</v>
      </c>
      <c r="AM689" s="2">
        <v>-819</v>
      </c>
    </row>
    <row r="690" spans="1:39">
      <c r="A690" s="349">
        <v>97511</v>
      </c>
      <c r="B690" s="342" t="s">
        <v>1385</v>
      </c>
      <c r="C690" s="358">
        <v>2.2149999999999999E-4</v>
      </c>
      <c r="E690" s="2">
        <v>89645</v>
      </c>
      <c r="F690" s="2">
        <v>113600</v>
      </c>
      <c r="G690" s="2">
        <v>78591</v>
      </c>
      <c r="H690" s="2">
        <v>32964</v>
      </c>
      <c r="I690" s="2">
        <v>0</v>
      </c>
      <c r="J690" s="2"/>
      <c r="K690" s="2">
        <v>41068</v>
      </c>
      <c r="L690" s="2">
        <v>37831</v>
      </c>
      <c r="M690" s="2">
        <v>21055</v>
      </c>
      <c r="N690" s="2">
        <v>0</v>
      </c>
      <c r="O690" s="2">
        <v>0</v>
      </c>
      <c r="P690" s="2"/>
      <c r="Q690" s="2">
        <v>2662</v>
      </c>
      <c r="R690" s="2">
        <v>37235</v>
      </c>
      <c r="S690" s="2">
        <v>38523</v>
      </c>
      <c r="T690" s="2">
        <v>32964</v>
      </c>
      <c r="U690" s="2">
        <v>0</v>
      </c>
      <c r="V690" s="2"/>
      <c r="W690" s="2">
        <v>32511</v>
      </c>
      <c r="X690" s="2">
        <v>26393</v>
      </c>
      <c r="Y690" s="2">
        <v>0</v>
      </c>
      <c r="Z690" s="2">
        <v>0</v>
      </c>
      <c r="AA690" s="2">
        <v>0</v>
      </c>
      <c r="AB690" s="2"/>
      <c r="AC690" s="2">
        <v>20280</v>
      </c>
      <c r="AD690" s="2">
        <v>19015</v>
      </c>
      <c r="AE690" s="2">
        <v>19013</v>
      </c>
      <c r="AF690" s="2">
        <v>0</v>
      </c>
      <c r="AG690" s="2">
        <v>0</v>
      </c>
      <c r="AH690" s="2"/>
      <c r="AI690" s="2">
        <v>-6876</v>
      </c>
      <c r="AJ690" s="2">
        <v>-6874</v>
      </c>
      <c r="AK690" s="2">
        <v>0</v>
      </c>
      <c r="AL690" s="2">
        <v>0</v>
      </c>
      <c r="AM690" s="2">
        <v>-6874</v>
      </c>
    </row>
    <row r="691" spans="1:39">
      <c r="A691" s="349">
        <v>97521</v>
      </c>
      <c r="B691" s="342" t="s">
        <v>1386</v>
      </c>
      <c r="C691" s="358">
        <v>1.295E-4</v>
      </c>
      <c r="E691" s="2">
        <v>46057</v>
      </c>
      <c r="F691" s="2">
        <v>61382</v>
      </c>
      <c r="G691" s="2">
        <v>38010</v>
      </c>
      <c r="H691" s="2">
        <v>19272</v>
      </c>
      <c r="I691" s="2">
        <v>0</v>
      </c>
      <c r="J691" s="2"/>
      <c r="K691" s="2">
        <v>24010</v>
      </c>
      <c r="L691" s="2">
        <v>22118</v>
      </c>
      <c r="M691" s="2">
        <v>12310</v>
      </c>
      <c r="N691" s="2">
        <v>0</v>
      </c>
      <c r="O691" s="2">
        <v>0</v>
      </c>
      <c r="P691" s="2"/>
      <c r="Q691" s="2">
        <v>1556</v>
      </c>
      <c r="R691" s="2">
        <v>21770</v>
      </c>
      <c r="S691" s="2">
        <v>22522</v>
      </c>
      <c r="T691" s="2">
        <v>19272</v>
      </c>
      <c r="U691" s="2">
        <v>0</v>
      </c>
      <c r="V691" s="2"/>
      <c r="W691" s="2">
        <v>19007</v>
      </c>
      <c r="X691" s="2">
        <v>15431</v>
      </c>
      <c r="Y691" s="2">
        <v>0</v>
      </c>
      <c r="Z691" s="2">
        <v>0</v>
      </c>
      <c r="AA691" s="2">
        <v>0</v>
      </c>
      <c r="AB691" s="2"/>
      <c r="AC691" s="2">
        <v>6139</v>
      </c>
      <c r="AD691" s="2">
        <v>6139</v>
      </c>
      <c r="AE691" s="2">
        <v>6139</v>
      </c>
      <c r="AF691" s="2">
        <v>0</v>
      </c>
      <c r="AG691" s="2">
        <v>0</v>
      </c>
      <c r="AH691" s="2"/>
      <c r="AI691" s="2">
        <v>-4655</v>
      </c>
      <c r="AJ691" s="2">
        <v>-4076</v>
      </c>
      <c r="AK691" s="2">
        <v>-2961</v>
      </c>
      <c r="AL691" s="2">
        <v>0</v>
      </c>
      <c r="AM691" s="2">
        <v>-4076</v>
      </c>
    </row>
    <row r="692" spans="1:39">
      <c r="A692" s="349">
        <v>97527</v>
      </c>
      <c r="B692" s="342" t="s">
        <v>1637</v>
      </c>
      <c r="C692" s="358">
        <v>5.0000000000000004E-6</v>
      </c>
      <c r="E692" s="2">
        <v>517</v>
      </c>
      <c r="F692" s="2">
        <v>1085</v>
      </c>
      <c r="G692" s="2">
        <v>-725</v>
      </c>
      <c r="H692" s="2">
        <v>744</v>
      </c>
      <c r="I692" s="2">
        <v>0</v>
      </c>
      <c r="J692" s="2"/>
      <c r="K692" s="2">
        <v>927</v>
      </c>
      <c r="L692" s="2">
        <v>854</v>
      </c>
      <c r="M692" s="2">
        <v>475</v>
      </c>
      <c r="N692" s="2">
        <v>0</v>
      </c>
      <c r="O692" s="2">
        <v>0</v>
      </c>
      <c r="P692" s="2"/>
      <c r="Q692" s="2">
        <v>60</v>
      </c>
      <c r="R692" s="2">
        <v>841</v>
      </c>
      <c r="S692" s="2">
        <v>870</v>
      </c>
      <c r="T692" s="2">
        <v>744</v>
      </c>
      <c r="U692" s="2">
        <v>0</v>
      </c>
      <c r="V692" s="2"/>
      <c r="W692" s="2">
        <v>734</v>
      </c>
      <c r="X692" s="2">
        <v>596</v>
      </c>
      <c r="Y692" s="2">
        <v>0</v>
      </c>
      <c r="Z692" s="2">
        <v>0</v>
      </c>
      <c r="AA692" s="2">
        <v>0</v>
      </c>
      <c r="AB692" s="2"/>
      <c r="AC692" s="2">
        <v>3432</v>
      </c>
      <c r="AD692" s="2">
        <v>3430</v>
      </c>
      <c r="AE692" s="2">
        <v>2565</v>
      </c>
      <c r="AF692" s="2">
        <v>0</v>
      </c>
      <c r="AG692" s="2">
        <v>0</v>
      </c>
      <c r="AH692" s="2"/>
      <c r="AI692" s="2">
        <v>-4636</v>
      </c>
      <c r="AJ692" s="2">
        <v>-4636</v>
      </c>
      <c r="AK692" s="2">
        <v>-4635</v>
      </c>
      <c r="AL692" s="2">
        <v>0</v>
      </c>
      <c r="AM692" s="2">
        <v>-4636</v>
      </c>
    </row>
    <row r="693" spans="1:39">
      <c r="A693" s="349">
        <v>97531</v>
      </c>
      <c r="B693" s="342" t="s">
        <v>1387</v>
      </c>
      <c r="C693" s="358">
        <v>6.5699999999999998E-5</v>
      </c>
      <c r="E693" s="2">
        <v>25395</v>
      </c>
      <c r="F693" s="2">
        <v>30678</v>
      </c>
      <c r="G693" s="2">
        <v>15717</v>
      </c>
      <c r="H693" s="2">
        <v>9778</v>
      </c>
      <c r="I693" s="2">
        <v>0</v>
      </c>
      <c r="J693" s="2"/>
      <c r="K693" s="2">
        <v>12181</v>
      </c>
      <c r="L693" s="2">
        <v>11221</v>
      </c>
      <c r="M693" s="2">
        <v>6245</v>
      </c>
      <c r="N693" s="2">
        <v>0</v>
      </c>
      <c r="O693" s="2">
        <v>0</v>
      </c>
      <c r="P693" s="2"/>
      <c r="Q693" s="2">
        <v>790</v>
      </c>
      <c r="R693" s="2">
        <v>11044</v>
      </c>
      <c r="S693" s="2">
        <v>11426</v>
      </c>
      <c r="T693" s="2">
        <v>9778</v>
      </c>
      <c r="U693" s="2">
        <v>0</v>
      </c>
      <c r="V693" s="2"/>
      <c r="W693" s="2">
        <v>9643</v>
      </c>
      <c r="X693" s="2">
        <v>7829</v>
      </c>
      <c r="Y693" s="2">
        <v>0</v>
      </c>
      <c r="Z693" s="2">
        <v>0</v>
      </c>
      <c r="AA693" s="2">
        <v>0</v>
      </c>
      <c r="AB693" s="2"/>
      <c r="AC693" s="2">
        <v>9597</v>
      </c>
      <c r="AD693" s="2">
        <v>7400</v>
      </c>
      <c r="AE693" s="2">
        <v>4861</v>
      </c>
      <c r="AF693" s="2">
        <v>0</v>
      </c>
      <c r="AG693" s="2">
        <v>0</v>
      </c>
      <c r="AH693" s="2"/>
      <c r="AI693" s="2">
        <v>-6816</v>
      </c>
      <c r="AJ693" s="2">
        <v>-6816</v>
      </c>
      <c r="AK693" s="2">
        <v>-6815</v>
      </c>
      <c r="AL693" s="2">
        <v>0</v>
      </c>
      <c r="AM693" s="2">
        <v>-6816</v>
      </c>
    </row>
    <row r="694" spans="1:39">
      <c r="A694" s="349">
        <v>97601</v>
      </c>
      <c r="B694" s="342" t="s">
        <v>1388</v>
      </c>
      <c r="C694" s="358">
        <v>5.2855999999999997E-3</v>
      </c>
      <c r="E694" s="2">
        <v>1827945</v>
      </c>
      <c r="F694" s="2">
        <v>2381988</v>
      </c>
      <c r="G694" s="2">
        <v>1385276</v>
      </c>
      <c r="H694" s="2">
        <v>786614</v>
      </c>
      <c r="I694" s="2">
        <v>0</v>
      </c>
      <c r="J694" s="2"/>
      <c r="K694" s="2">
        <v>979998</v>
      </c>
      <c r="L694" s="2">
        <v>902749</v>
      </c>
      <c r="M694" s="2">
        <v>502439</v>
      </c>
      <c r="N694" s="2">
        <v>0</v>
      </c>
      <c r="O694" s="2">
        <v>0</v>
      </c>
      <c r="P694" s="2"/>
      <c r="Q694" s="2">
        <v>63528</v>
      </c>
      <c r="R694" s="2">
        <v>888536</v>
      </c>
      <c r="S694" s="2">
        <v>919261</v>
      </c>
      <c r="T694" s="2">
        <v>786614</v>
      </c>
      <c r="U694" s="2">
        <v>0</v>
      </c>
      <c r="V694" s="2"/>
      <c r="W694" s="2">
        <v>775799</v>
      </c>
      <c r="X694" s="2">
        <v>629816</v>
      </c>
      <c r="Y694" s="2">
        <v>0</v>
      </c>
      <c r="Z694" s="2">
        <v>0</v>
      </c>
      <c r="AA694" s="2">
        <v>0</v>
      </c>
      <c r="AB694" s="2"/>
      <c r="AC694" s="2">
        <v>47731</v>
      </c>
      <c r="AD694" s="2">
        <v>0</v>
      </c>
      <c r="AE694" s="2">
        <v>0</v>
      </c>
      <c r="AF694" s="2">
        <v>0</v>
      </c>
      <c r="AG694" s="2">
        <v>0</v>
      </c>
      <c r="AH694" s="2"/>
      <c r="AI694" s="2">
        <v>-39111</v>
      </c>
      <c r="AJ694" s="2">
        <v>-39113</v>
      </c>
      <c r="AK694" s="2">
        <v>-36424</v>
      </c>
      <c r="AL694" s="2">
        <v>0</v>
      </c>
      <c r="AM694" s="2">
        <v>-39113</v>
      </c>
    </row>
    <row r="695" spans="1:39">
      <c r="A695" s="349">
        <v>97607</v>
      </c>
      <c r="B695" s="342" t="s">
        <v>1389</v>
      </c>
      <c r="C695" s="358">
        <v>1.6699999999999999E-5</v>
      </c>
      <c r="E695" s="2">
        <v>12135</v>
      </c>
      <c r="F695" s="2">
        <v>12044</v>
      </c>
      <c r="G695" s="2">
        <v>7454</v>
      </c>
      <c r="H695" s="2">
        <v>2485</v>
      </c>
      <c r="I695" s="2">
        <v>0</v>
      </c>
      <c r="J695" s="2"/>
      <c r="K695" s="2">
        <v>3096</v>
      </c>
      <c r="L695" s="2">
        <v>2852</v>
      </c>
      <c r="M695" s="2">
        <v>1587</v>
      </c>
      <c r="N695" s="2">
        <v>0</v>
      </c>
      <c r="O695" s="2">
        <v>0</v>
      </c>
      <c r="P695" s="2"/>
      <c r="Q695" s="2">
        <v>201</v>
      </c>
      <c r="R695" s="2">
        <v>2807</v>
      </c>
      <c r="S695" s="2">
        <v>2904</v>
      </c>
      <c r="T695" s="2">
        <v>2485</v>
      </c>
      <c r="U695" s="2">
        <v>0</v>
      </c>
      <c r="V695" s="2"/>
      <c r="W695" s="2">
        <v>2451</v>
      </c>
      <c r="X695" s="2">
        <v>1990</v>
      </c>
      <c r="Y695" s="2">
        <v>0</v>
      </c>
      <c r="Z695" s="2">
        <v>0</v>
      </c>
      <c r="AA695" s="2">
        <v>0</v>
      </c>
      <c r="AB695" s="2"/>
      <c r="AC695" s="2">
        <v>6387</v>
      </c>
      <c r="AD695" s="2">
        <v>4395</v>
      </c>
      <c r="AE695" s="2">
        <v>2963</v>
      </c>
      <c r="AF695" s="2">
        <v>0</v>
      </c>
      <c r="AG695" s="2">
        <v>0</v>
      </c>
      <c r="AH695" s="2"/>
      <c r="AI695" s="2">
        <v>0</v>
      </c>
      <c r="AJ695" s="2">
        <v>0</v>
      </c>
      <c r="AK695" s="2">
        <v>0</v>
      </c>
      <c r="AL695" s="2">
        <v>0</v>
      </c>
      <c r="AM695" s="2">
        <v>0</v>
      </c>
    </row>
    <row r="696" spans="1:39">
      <c r="A696" s="349">
        <v>97611</v>
      </c>
      <c r="B696" s="342" t="s">
        <v>1390</v>
      </c>
      <c r="C696" s="358">
        <v>2.4239999999999999E-3</v>
      </c>
      <c r="E696" s="2">
        <v>834127</v>
      </c>
      <c r="F696" s="2">
        <v>1132296</v>
      </c>
      <c r="G696" s="2">
        <v>699493</v>
      </c>
      <c r="H696" s="2">
        <v>360745</v>
      </c>
      <c r="I696" s="2">
        <v>0</v>
      </c>
      <c r="J696" s="2"/>
      <c r="K696" s="2">
        <v>449431</v>
      </c>
      <c r="L696" s="2">
        <v>414005</v>
      </c>
      <c r="M696" s="2">
        <v>230421</v>
      </c>
      <c r="N696" s="2">
        <v>0</v>
      </c>
      <c r="O696" s="2">
        <v>0</v>
      </c>
      <c r="P696" s="2"/>
      <c r="Q696" s="2">
        <v>29134</v>
      </c>
      <c r="R696" s="2">
        <v>407487</v>
      </c>
      <c r="S696" s="2">
        <v>421577</v>
      </c>
      <c r="T696" s="2">
        <v>360745</v>
      </c>
      <c r="U696" s="2">
        <v>0</v>
      </c>
      <c r="V696" s="2"/>
      <c r="W696" s="2">
        <v>355785</v>
      </c>
      <c r="X696" s="2">
        <v>288837</v>
      </c>
      <c r="Y696" s="2">
        <v>0</v>
      </c>
      <c r="Z696" s="2">
        <v>0</v>
      </c>
      <c r="AA696" s="2">
        <v>0</v>
      </c>
      <c r="AB696" s="2"/>
      <c r="AC696" s="2">
        <v>49774</v>
      </c>
      <c r="AD696" s="2">
        <v>49774</v>
      </c>
      <c r="AE696" s="2">
        <v>49773</v>
      </c>
      <c r="AF696" s="2">
        <v>0</v>
      </c>
      <c r="AG696" s="2">
        <v>0</v>
      </c>
      <c r="AH696" s="2"/>
      <c r="AI696" s="2">
        <v>-49997</v>
      </c>
      <c r="AJ696" s="2">
        <v>-27807</v>
      </c>
      <c r="AK696" s="2">
        <v>-2278</v>
      </c>
      <c r="AL696" s="2">
        <v>0</v>
      </c>
      <c r="AM696" s="2">
        <v>-27807</v>
      </c>
    </row>
    <row r="697" spans="1:39">
      <c r="A697" s="349">
        <v>97613</v>
      </c>
      <c r="B697" s="342" t="s">
        <v>2747</v>
      </c>
      <c r="C697" s="358">
        <v>8.7100000000000003E-5</v>
      </c>
      <c r="E697" s="2">
        <v>33259</v>
      </c>
      <c r="F697" s="2">
        <v>43213</v>
      </c>
      <c r="G697" s="2">
        <v>25570</v>
      </c>
      <c r="H697" s="2">
        <v>12962</v>
      </c>
      <c r="I697" s="2">
        <v>0</v>
      </c>
      <c r="J697" s="2"/>
      <c r="K697" s="2">
        <v>16149</v>
      </c>
      <c r="L697" s="2">
        <v>14876</v>
      </c>
      <c r="M697" s="2">
        <v>8280</v>
      </c>
      <c r="N697" s="2">
        <v>0</v>
      </c>
      <c r="O697" s="2">
        <v>0</v>
      </c>
      <c r="P697" s="2"/>
      <c r="Q697" s="2">
        <v>1047</v>
      </c>
      <c r="R697" s="2">
        <v>14642</v>
      </c>
      <c r="S697" s="2">
        <v>15148</v>
      </c>
      <c r="T697" s="2">
        <v>12962</v>
      </c>
      <c r="U697" s="2">
        <v>0</v>
      </c>
      <c r="V697" s="2"/>
      <c r="W697" s="2">
        <v>12784</v>
      </c>
      <c r="X697" s="2">
        <v>10379</v>
      </c>
      <c r="Y697" s="2">
        <v>0</v>
      </c>
      <c r="Z697" s="2">
        <v>0</v>
      </c>
      <c r="AA697" s="2">
        <v>0</v>
      </c>
      <c r="AB697" s="2"/>
      <c r="AC697" s="2">
        <v>5778</v>
      </c>
      <c r="AD697" s="2">
        <v>5777</v>
      </c>
      <c r="AE697" s="2">
        <v>4602</v>
      </c>
      <c r="AF697" s="2">
        <v>0</v>
      </c>
      <c r="AG697" s="2">
        <v>0</v>
      </c>
      <c r="AH697" s="2"/>
      <c r="AI697" s="2">
        <v>-2499</v>
      </c>
      <c r="AJ697" s="2">
        <v>-2461</v>
      </c>
      <c r="AK697" s="2">
        <v>-2460</v>
      </c>
      <c r="AL697" s="2">
        <v>0</v>
      </c>
      <c r="AM697" s="2">
        <v>-2461</v>
      </c>
    </row>
    <row r="698" spans="1:39">
      <c r="A698" s="349">
        <v>97621</v>
      </c>
      <c r="B698" s="342" t="s">
        <v>1392</v>
      </c>
      <c r="C698" s="358">
        <v>4.2010000000000002E-4</v>
      </c>
      <c r="E698" s="2">
        <v>102940</v>
      </c>
      <c r="F698" s="2">
        <v>160214</v>
      </c>
      <c r="G698" s="2">
        <v>87875</v>
      </c>
      <c r="H698" s="2">
        <v>62520</v>
      </c>
      <c r="I698" s="2">
        <v>0</v>
      </c>
      <c r="J698" s="2"/>
      <c r="K698" s="2">
        <v>77890</v>
      </c>
      <c r="L698" s="2">
        <v>71751</v>
      </c>
      <c r="M698" s="2">
        <v>39934</v>
      </c>
      <c r="N698" s="2">
        <v>0</v>
      </c>
      <c r="O698" s="2">
        <v>0</v>
      </c>
      <c r="P698" s="2"/>
      <c r="Q698" s="2">
        <v>5049</v>
      </c>
      <c r="R698" s="2">
        <v>70621</v>
      </c>
      <c r="S698" s="2">
        <v>73063</v>
      </c>
      <c r="T698" s="2">
        <v>62520</v>
      </c>
      <c r="U698" s="2">
        <v>0</v>
      </c>
      <c r="V698" s="2"/>
      <c r="W698" s="2">
        <v>61661</v>
      </c>
      <c r="X698" s="2">
        <v>50058</v>
      </c>
      <c r="Y698" s="2">
        <v>0</v>
      </c>
      <c r="Z698" s="2">
        <v>0</v>
      </c>
      <c r="AA698" s="2">
        <v>0</v>
      </c>
      <c r="AB698" s="2"/>
      <c r="AC698" s="2">
        <v>0</v>
      </c>
      <c r="AD698" s="2">
        <v>0</v>
      </c>
      <c r="AE698" s="2">
        <v>0</v>
      </c>
      <c r="AF698" s="2">
        <v>0</v>
      </c>
      <c r="AG698" s="2">
        <v>0</v>
      </c>
      <c r="AH698" s="2"/>
      <c r="AI698" s="2">
        <v>-41660</v>
      </c>
      <c r="AJ698" s="2">
        <v>-32216</v>
      </c>
      <c r="AK698" s="2">
        <v>-25122</v>
      </c>
      <c r="AL698" s="2">
        <v>0</v>
      </c>
      <c r="AM698" s="2">
        <v>-32216</v>
      </c>
    </row>
    <row r="699" spans="1:39">
      <c r="A699" s="349">
        <v>97623</v>
      </c>
      <c r="B699" s="342" t="s">
        <v>1393</v>
      </c>
      <c r="C699" s="358">
        <v>2.4499999999999999E-5</v>
      </c>
      <c r="E699" s="2">
        <v>7145</v>
      </c>
      <c r="F699" s="2">
        <v>10367</v>
      </c>
      <c r="G699" s="2">
        <v>6786</v>
      </c>
      <c r="H699" s="2">
        <v>3646</v>
      </c>
      <c r="I699" s="2">
        <v>0</v>
      </c>
      <c r="J699" s="2"/>
      <c r="K699" s="2">
        <v>4543</v>
      </c>
      <c r="L699" s="2">
        <v>4184</v>
      </c>
      <c r="M699" s="2">
        <v>2329</v>
      </c>
      <c r="N699" s="2">
        <v>0</v>
      </c>
      <c r="O699" s="2">
        <v>0</v>
      </c>
      <c r="P699" s="2"/>
      <c r="Q699" s="2">
        <v>294</v>
      </c>
      <c r="R699" s="2">
        <v>4119</v>
      </c>
      <c r="S699" s="2">
        <v>4261</v>
      </c>
      <c r="T699" s="2">
        <v>3646</v>
      </c>
      <c r="U699" s="2">
        <v>0</v>
      </c>
      <c r="V699" s="2"/>
      <c r="W699" s="2">
        <v>3596</v>
      </c>
      <c r="X699" s="2">
        <v>2919</v>
      </c>
      <c r="Y699" s="2">
        <v>0</v>
      </c>
      <c r="Z699" s="2">
        <v>0</v>
      </c>
      <c r="AA699" s="2">
        <v>0</v>
      </c>
      <c r="AB699" s="2"/>
      <c r="AC699" s="2">
        <v>197</v>
      </c>
      <c r="AD699" s="2">
        <v>197</v>
      </c>
      <c r="AE699" s="2">
        <v>196</v>
      </c>
      <c r="AF699" s="2">
        <v>0</v>
      </c>
      <c r="AG699" s="2">
        <v>0</v>
      </c>
      <c r="AH699" s="2"/>
      <c r="AI699" s="2">
        <v>-1485</v>
      </c>
      <c r="AJ699" s="2">
        <v>-1052</v>
      </c>
      <c r="AK699" s="2">
        <v>0</v>
      </c>
      <c r="AL699" s="2">
        <v>0</v>
      </c>
      <c r="AM699" s="2">
        <v>-1052</v>
      </c>
    </row>
    <row r="700" spans="1:39">
      <c r="A700" s="349">
        <v>97627</v>
      </c>
      <c r="B700" s="342" t="s">
        <v>1394</v>
      </c>
      <c r="C700" s="358">
        <v>5.4999999999999999E-6</v>
      </c>
      <c r="E700" s="2">
        <v>1140</v>
      </c>
      <c r="F700" s="2">
        <v>1738</v>
      </c>
      <c r="G700" s="2">
        <v>572</v>
      </c>
      <c r="H700" s="2">
        <v>819</v>
      </c>
      <c r="I700" s="2">
        <v>0</v>
      </c>
      <c r="J700" s="2"/>
      <c r="K700" s="2">
        <v>1020</v>
      </c>
      <c r="L700" s="2">
        <v>939</v>
      </c>
      <c r="M700" s="2">
        <v>523</v>
      </c>
      <c r="N700" s="2">
        <v>0</v>
      </c>
      <c r="O700" s="2">
        <v>0</v>
      </c>
      <c r="P700" s="2"/>
      <c r="Q700" s="2">
        <v>66</v>
      </c>
      <c r="R700" s="2">
        <v>925</v>
      </c>
      <c r="S700" s="2">
        <v>957</v>
      </c>
      <c r="T700" s="2">
        <v>819</v>
      </c>
      <c r="U700" s="2">
        <v>0</v>
      </c>
      <c r="V700" s="2"/>
      <c r="W700" s="2">
        <v>807</v>
      </c>
      <c r="X700" s="2">
        <v>655</v>
      </c>
      <c r="Y700" s="2">
        <v>0</v>
      </c>
      <c r="Z700" s="2">
        <v>0</v>
      </c>
      <c r="AA700" s="2">
        <v>0</v>
      </c>
      <c r="AB700" s="2"/>
      <c r="AC700" s="2">
        <v>302</v>
      </c>
      <c r="AD700" s="2">
        <v>274</v>
      </c>
      <c r="AE700" s="2">
        <v>147</v>
      </c>
      <c r="AF700" s="2">
        <v>0</v>
      </c>
      <c r="AG700" s="2">
        <v>0</v>
      </c>
      <c r="AH700" s="2"/>
      <c r="AI700" s="2">
        <v>-1055</v>
      </c>
      <c r="AJ700" s="2">
        <v>-1055</v>
      </c>
      <c r="AK700" s="2">
        <v>-1055</v>
      </c>
      <c r="AL700" s="2">
        <v>0</v>
      </c>
      <c r="AM700" s="2">
        <v>-1055</v>
      </c>
    </row>
    <row r="701" spans="1:39">
      <c r="A701" s="349">
        <v>97631</v>
      </c>
      <c r="B701" s="342" t="s">
        <v>1395</v>
      </c>
      <c r="C701" s="358">
        <v>2.118E-4</v>
      </c>
      <c r="E701" s="2">
        <v>70779</v>
      </c>
      <c r="F701" s="2">
        <v>95820</v>
      </c>
      <c r="G701" s="2">
        <v>57048</v>
      </c>
      <c r="H701" s="2">
        <v>31520</v>
      </c>
      <c r="I701" s="2">
        <v>0</v>
      </c>
      <c r="J701" s="2"/>
      <c r="K701" s="2">
        <v>39270</v>
      </c>
      <c r="L701" s="2">
        <v>36174</v>
      </c>
      <c r="M701" s="2">
        <v>20133</v>
      </c>
      <c r="N701" s="2">
        <v>0</v>
      </c>
      <c r="O701" s="2">
        <v>0</v>
      </c>
      <c r="P701" s="2"/>
      <c r="Q701" s="2">
        <v>2546</v>
      </c>
      <c r="R701" s="2">
        <v>35605</v>
      </c>
      <c r="S701" s="2">
        <v>36836</v>
      </c>
      <c r="T701" s="2">
        <v>31520</v>
      </c>
      <c r="U701" s="2">
        <v>0</v>
      </c>
      <c r="V701" s="2"/>
      <c r="W701" s="2">
        <v>31087</v>
      </c>
      <c r="X701" s="2">
        <v>25237</v>
      </c>
      <c r="Y701" s="2">
        <v>0</v>
      </c>
      <c r="Z701" s="2">
        <v>0</v>
      </c>
      <c r="AA701" s="2">
        <v>0</v>
      </c>
      <c r="AB701" s="2"/>
      <c r="AC701" s="2">
        <v>3522</v>
      </c>
      <c r="AD701" s="2">
        <v>3522</v>
      </c>
      <c r="AE701" s="2">
        <v>3523</v>
      </c>
      <c r="AF701" s="2">
        <v>0</v>
      </c>
      <c r="AG701" s="2">
        <v>0</v>
      </c>
      <c r="AH701" s="2"/>
      <c r="AI701" s="2">
        <v>-5646</v>
      </c>
      <c r="AJ701" s="2">
        <v>-4718</v>
      </c>
      <c r="AK701" s="2">
        <v>-3444</v>
      </c>
      <c r="AL701" s="2">
        <v>0</v>
      </c>
      <c r="AM701" s="2">
        <v>-4718</v>
      </c>
    </row>
    <row r="702" spans="1:39">
      <c r="A702" s="349">
        <v>97637</v>
      </c>
      <c r="B702" s="342" t="s">
        <v>1396</v>
      </c>
      <c r="C702" s="358"/>
      <c r="E702" s="2">
        <v>-416</v>
      </c>
      <c r="F702" s="2">
        <v>-550</v>
      </c>
      <c r="G702" s="2">
        <v>-743</v>
      </c>
      <c r="H702" s="2">
        <v>0</v>
      </c>
      <c r="I702" s="2">
        <v>0</v>
      </c>
      <c r="J702" s="2"/>
      <c r="K702" s="2">
        <v>0</v>
      </c>
      <c r="L702" s="2">
        <v>0</v>
      </c>
      <c r="M702" s="2">
        <v>0</v>
      </c>
      <c r="N702" s="2">
        <v>0</v>
      </c>
      <c r="O702" s="2">
        <v>0</v>
      </c>
      <c r="P702" s="2"/>
      <c r="Q702" s="2">
        <v>0</v>
      </c>
      <c r="R702" s="2">
        <v>0</v>
      </c>
      <c r="S702" s="2">
        <v>0</v>
      </c>
      <c r="T702" s="2">
        <v>0</v>
      </c>
      <c r="U702" s="2">
        <v>0</v>
      </c>
      <c r="V702" s="2"/>
      <c r="W702" s="2">
        <v>0</v>
      </c>
      <c r="X702" s="2">
        <v>0</v>
      </c>
      <c r="Y702" s="2">
        <v>0</v>
      </c>
      <c r="Z702" s="2">
        <v>0</v>
      </c>
      <c r="AA702" s="2">
        <v>0</v>
      </c>
      <c r="AB702" s="2"/>
      <c r="AC702" s="2">
        <v>566</v>
      </c>
      <c r="AD702" s="2">
        <v>432</v>
      </c>
      <c r="AE702" s="2">
        <v>239</v>
      </c>
      <c r="AF702" s="2">
        <v>0</v>
      </c>
      <c r="AG702" s="2">
        <v>0</v>
      </c>
      <c r="AH702" s="2"/>
      <c r="AI702" s="2">
        <v>-982</v>
      </c>
      <c r="AJ702" s="2">
        <v>-982</v>
      </c>
      <c r="AK702" s="2">
        <v>-982</v>
      </c>
      <c r="AL702" s="2">
        <v>0</v>
      </c>
      <c r="AM702" s="2">
        <v>-982</v>
      </c>
    </row>
    <row r="703" spans="1:39">
      <c r="A703" s="349">
        <v>97641</v>
      </c>
      <c r="B703" s="342" t="s">
        <v>1397</v>
      </c>
      <c r="C703" s="358">
        <v>5.1199999999999998E-5</v>
      </c>
      <c r="E703" s="2">
        <v>20166</v>
      </c>
      <c r="F703" s="2">
        <v>25501</v>
      </c>
      <c r="G703" s="2">
        <v>17890</v>
      </c>
      <c r="H703" s="2">
        <v>7620</v>
      </c>
      <c r="I703" s="2">
        <v>0</v>
      </c>
      <c r="J703" s="2"/>
      <c r="K703" s="2">
        <v>9493</v>
      </c>
      <c r="L703" s="2">
        <v>8745</v>
      </c>
      <c r="M703" s="2">
        <v>4867</v>
      </c>
      <c r="N703" s="2">
        <v>0</v>
      </c>
      <c r="O703" s="2">
        <v>0</v>
      </c>
      <c r="P703" s="2"/>
      <c r="Q703" s="2">
        <v>615</v>
      </c>
      <c r="R703" s="2">
        <v>8607</v>
      </c>
      <c r="S703" s="2">
        <v>8905</v>
      </c>
      <c r="T703" s="2">
        <v>7620</v>
      </c>
      <c r="U703" s="2">
        <v>0</v>
      </c>
      <c r="V703" s="2"/>
      <c r="W703" s="2">
        <v>7515</v>
      </c>
      <c r="X703" s="2">
        <v>6101</v>
      </c>
      <c r="Y703" s="2">
        <v>0</v>
      </c>
      <c r="Z703" s="2">
        <v>0</v>
      </c>
      <c r="AA703" s="2">
        <v>0</v>
      </c>
      <c r="AB703" s="2"/>
      <c r="AC703" s="2">
        <v>4614</v>
      </c>
      <c r="AD703" s="2">
        <v>4121</v>
      </c>
      <c r="AE703" s="2">
        <v>4118</v>
      </c>
      <c r="AF703" s="2">
        <v>0</v>
      </c>
      <c r="AG703" s="2">
        <v>0</v>
      </c>
      <c r="AH703" s="2"/>
      <c r="AI703" s="2">
        <v>-2071</v>
      </c>
      <c r="AJ703" s="2">
        <v>-2073</v>
      </c>
      <c r="AK703" s="2">
        <v>0</v>
      </c>
      <c r="AL703" s="2">
        <v>0</v>
      </c>
      <c r="AM703" s="2">
        <v>-2073</v>
      </c>
    </row>
    <row r="704" spans="1:39">
      <c r="A704" s="349">
        <v>97651</v>
      </c>
      <c r="B704" s="342" t="s">
        <v>1398</v>
      </c>
      <c r="C704" s="358">
        <v>5.2769999999999998E-4</v>
      </c>
      <c r="E704" s="2">
        <v>164584</v>
      </c>
      <c r="F704" s="2">
        <v>227228</v>
      </c>
      <c r="G704" s="2">
        <v>131828</v>
      </c>
      <c r="H704" s="2">
        <v>78533</v>
      </c>
      <c r="I704" s="2">
        <v>0</v>
      </c>
      <c r="J704" s="2"/>
      <c r="K704" s="2">
        <v>97840</v>
      </c>
      <c r="L704" s="2">
        <v>90128</v>
      </c>
      <c r="M704" s="2">
        <v>50162</v>
      </c>
      <c r="N704" s="2">
        <v>0</v>
      </c>
      <c r="O704" s="2">
        <v>0</v>
      </c>
      <c r="P704" s="2"/>
      <c r="Q704" s="2">
        <v>6342</v>
      </c>
      <c r="R704" s="2">
        <v>88709</v>
      </c>
      <c r="S704" s="2">
        <v>91777</v>
      </c>
      <c r="T704" s="2">
        <v>78533</v>
      </c>
      <c r="U704" s="2">
        <v>0</v>
      </c>
      <c r="V704" s="2"/>
      <c r="W704" s="2">
        <v>77454</v>
      </c>
      <c r="X704" s="2">
        <v>62879</v>
      </c>
      <c r="Y704" s="2">
        <v>0</v>
      </c>
      <c r="Z704" s="2">
        <v>0</v>
      </c>
      <c r="AA704" s="2">
        <v>0</v>
      </c>
      <c r="AB704" s="2"/>
      <c r="AC704" s="2">
        <v>0</v>
      </c>
      <c r="AD704" s="2">
        <v>0</v>
      </c>
      <c r="AE704" s="2">
        <v>0</v>
      </c>
      <c r="AF704" s="2">
        <v>0</v>
      </c>
      <c r="AG704" s="2">
        <v>0</v>
      </c>
      <c r="AH704" s="2"/>
      <c r="AI704" s="2">
        <v>-17052</v>
      </c>
      <c r="AJ704" s="2">
        <v>-14488</v>
      </c>
      <c r="AK704" s="2">
        <v>-10111</v>
      </c>
      <c r="AL704" s="2">
        <v>0</v>
      </c>
      <c r="AM704" s="2">
        <v>-14488</v>
      </c>
    </row>
    <row r="705" spans="1:39">
      <c r="A705" s="349">
        <v>97661</v>
      </c>
      <c r="B705" s="342" t="s">
        <v>1399</v>
      </c>
      <c r="C705" s="358">
        <v>4.2400000000000001E-5</v>
      </c>
      <c r="E705" s="2">
        <v>13994</v>
      </c>
      <c r="F705" s="2">
        <v>17396</v>
      </c>
      <c r="G705" s="2">
        <v>9864</v>
      </c>
      <c r="H705" s="2">
        <v>6310</v>
      </c>
      <c r="I705" s="2">
        <v>0</v>
      </c>
      <c r="J705" s="2"/>
      <c r="K705" s="2">
        <v>7861</v>
      </c>
      <c r="L705" s="2">
        <v>7242</v>
      </c>
      <c r="M705" s="2">
        <v>4030</v>
      </c>
      <c r="N705" s="2">
        <v>0</v>
      </c>
      <c r="O705" s="2">
        <v>0</v>
      </c>
      <c r="P705" s="2"/>
      <c r="Q705" s="2">
        <v>510</v>
      </c>
      <c r="R705" s="2">
        <v>7128</v>
      </c>
      <c r="S705" s="2">
        <v>7374</v>
      </c>
      <c r="T705" s="2">
        <v>6310</v>
      </c>
      <c r="U705" s="2">
        <v>0</v>
      </c>
      <c r="V705" s="2"/>
      <c r="W705" s="2">
        <v>6223</v>
      </c>
      <c r="X705" s="2">
        <v>5052</v>
      </c>
      <c r="Y705" s="2">
        <v>0</v>
      </c>
      <c r="Z705" s="2">
        <v>0</v>
      </c>
      <c r="AA705" s="2">
        <v>0</v>
      </c>
      <c r="AB705" s="2"/>
      <c r="AC705" s="2">
        <v>3260</v>
      </c>
      <c r="AD705" s="2">
        <v>1834</v>
      </c>
      <c r="AE705" s="2">
        <v>1833</v>
      </c>
      <c r="AF705" s="2">
        <v>0</v>
      </c>
      <c r="AG705" s="2">
        <v>0</v>
      </c>
      <c r="AH705" s="2"/>
      <c r="AI705" s="2">
        <v>-3860</v>
      </c>
      <c r="AJ705" s="2">
        <v>-3860</v>
      </c>
      <c r="AK705" s="2">
        <v>-3373</v>
      </c>
      <c r="AL705" s="2">
        <v>0</v>
      </c>
      <c r="AM705" s="2">
        <v>-3860</v>
      </c>
    </row>
    <row r="706" spans="1:39">
      <c r="A706" s="349">
        <v>97701</v>
      </c>
      <c r="B706" s="342" t="s">
        <v>1400</v>
      </c>
      <c r="C706" s="358">
        <v>2.392E-3</v>
      </c>
      <c r="E706" s="2">
        <v>791255</v>
      </c>
      <c r="F706" s="2">
        <v>1063446</v>
      </c>
      <c r="G706" s="2">
        <v>601675</v>
      </c>
      <c r="H706" s="2">
        <v>355982</v>
      </c>
      <c r="I706" s="2">
        <v>0</v>
      </c>
      <c r="J706" s="2"/>
      <c r="K706" s="2">
        <v>443498</v>
      </c>
      <c r="L706" s="2">
        <v>408539</v>
      </c>
      <c r="M706" s="2">
        <v>227379</v>
      </c>
      <c r="N706" s="2">
        <v>0</v>
      </c>
      <c r="O706" s="2">
        <v>0</v>
      </c>
      <c r="P706" s="2"/>
      <c r="Q706" s="2">
        <v>28749</v>
      </c>
      <c r="R706" s="2">
        <v>402107</v>
      </c>
      <c r="S706" s="2">
        <v>416012</v>
      </c>
      <c r="T706" s="2">
        <v>355982</v>
      </c>
      <c r="U706" s="2">
        <v>0</v>
      </c>
      <c r="V706" s="2"/>
      <c r="W706" s="2">
        <v>351088</v>
      </c>
      <c r="X706" s="2">
        <v>285024</v>
      </c>
      <c r="Y706" s="2">
        <v>0</v>
      </c>
      <c r="Z706" s="2">
        <v>0</v>
      </c>
      <c r="AA706" s="2">
        <v>0</v>
      </c>
      <c r="AB706" s="2"/>
      <c r="AC706" s="2">
        <v>9634</v>
      </c>
      <c r="AD706" s="2">
        <v>9490</v>
      </c>
      <c r="AE706" s="2">
        <v>0</v>
      </c>
      <c r="AF706" s="2">
        <v>0</v>
      </c>
      <c r="AG706" s="2">
        <v>0</v>
      </c>
      <c r="AH706" s="2"/>
      <c r="AI706" s="2">
        <v>-41714</v>
      </c>
      <c r="AJ706" s="2">
        <v>-41714</v>
      </c>
      <c r="AK706" s="2">
        <v>-41716</v>
      </c>
      <c r="AL706" s="2">
        <v>0</v>
      </c>
      <c r="AM706" s="2">
        <v>-41714</v>
      </c>
    </row>
    <row r="707" spans="1:39">
      <c r="A707" s="349">
        <v>97705</v>
      </c>
      <c r="B707" s="342" t="s">
        <v>1401</v>
      </c>
      <c r="C707" s="358">
        <v>3.1099999999999997E-5</v>
      </c>
      <c r="E707" s="2">
        <v>8324</v>
      </c>
      <c r="F707" s="2">
        <v>14553</v>
      </c>
      <c r="G707" s="2">
        <v>8798</v>
      </c>
      <c r="H707" s="2">
        <v>4628</v>
      </c>
      <c r="I707" s="2">
        <v>0</v>
      </c>
      <c r="J707" s="2"/>
      <c r="K707" s="2">
        <v>5766</v>
      </c>
      <c r="L707" s="2">
        <v>5312</v>
      </c>
      <c r="M707" s="2">
        <v>2956</v>
      </c>
      <c r="N707" s="2">
        <v>0</v>
      </c>
      <c r="O707" s="2">
        <v>0</v>
      </c>
      <c r="P707" s="2"/>
      <c r="Q707" s="2">
        <v>374</v>
      </c>
      <c r="R707" s="2">
        <v>5228</v>
      </c>
      <c r="S707" s="2">
        <v>5409</v>
      </c>
      <c r="T707" s="2">
        <v>4628</v>
      </c>
      <c r="U707" s="2">
        <v>0</v>
      </c>
      <c r="V707" s="2"/>
      <c r="W707" s="2">
        <v>4565</v>
      </c>
      <c r="X707" s="2">
        <v>3706</v>
      </c>
      <c r="Y707" s="2">
        <v>0</v>
      </c>
      <c r="Z707" s="2">
        <v>0</v>
      </c>
      <c r="AA707" s="2">
        <v>0</v>
      </c>
      <c r="AB707" s="2"/>
      <c r="AC707" s="2">
        <v>2037</v>
      </c>
      <c r="AD707" s="2">
        <v>2037</v>
      </c>
      <c r="AE707" s="2">
        <v>2036</v>
      </c>
      <c r="AF707" s="2">
        <v>0</v>
      </c>
      <c r="AG707" s="2">
        <v>0</v>
      </c>
      <c r="AH707" s="2"/>
      <c r="AI707" s="2">
        <v>-4418</v>
      </c>
      <c r="AJ707" s="2">
        <v>-1730</v>
      </c>
      <c r="AK707" s="2">
        <v>-1603</v>
      </c>
      <c r="AL707" s="2">
        <v>0</v>
      </c>
      <c r="AM707" s="2">
        <v>-1730</v>
      </c>
    </row>
    <row r="708" spans="1:39">
      <c r="A708" s="349">
        <v>97711</v>
      </c>
      <c r="B708" s="342" t="s">
        <v>1402</v>
      </c>
      <c r="C708" s="358">
        <v>8.3679999999999996E-4</v>
      </c>
      <c r="E708" s="2">
        <v>276380</v>
      </c>
      <c r="F708" s="2">
        <v>375109</v>
      </c>
      <c r="G708" s="2">
        <v>214144</v>
      </c>
      <c r="H708" s="2">
        <v>124534</v>
      </c>
      <c r="I708" s="2">
        <v>0</v>
      </c>
      <c r="J708" s="2"/>
      <c r="K708" s="2">
        <v>155150</v>
      </c>
      <c r="L708" s="2">
        <v>142920</v>
      </c>
      <c r="M708" s="2">
        <v>79545</v>
      </c>
      <c r="N708" s="2">
        <v>0</v>
      </c>
      <c r="O708" s="2">
        <v>0</v>
      </c>
      <c r="P708" s="2"/>
      <c r="Q708" s="2">
        <v>10057</v>
      </c>
      <c r="R708" s="2">
        <v>140670</v>
      </c>
      <c r="S708" s="2">
        <v>145535</v>
      </c>
      <c r="T708" s="2">
        <v>124534</v>
      </c>
      <c r="U708" s="2">
        <v>0</v>
      </c>
      <c r="V708" s="2"/>
      <c r="W708" s="2">
        <v>122822</v>
      </c>
      <c r="X708" s="2">
        <v>99711</v>
      </c>
      <c r="Y708" s="2">
        <v>0</v>
      </c>
      <c r="Z708" s="2">
        <v>0</v>
      </c>
      <c r="AA708" s="2">
        <v>0</v>
      </c>
      <c r="AB708" s="2"/>
      <c r="AC708" s="2">
        <v>2745</v>
      </c>
      <c r="AD708" s="2">
        <v>2747</v>
      </c>
      <c r="AE708" s="2">
        <v>0</v>
      </c>
      <c r="AF708" s="2">
        <v>0</v>
      </c>
      <c r="AG708" s="2">
        <v>0</v>
      </c>
      <c r="AH708" s="2"/>
      <c r="AI708" s="2">
        <v>-14394</v>
      </c>
      <c r="AJ708" s="2">
        <v>-10939</v>
      </c>
      <c r="AK708" s="2">
        <v>-10936</v>
      </c>
      <c r="AL708" s="2">
        <v>0</v>
      </c>
      <c r="AM708" s="2">
        <v>-10939</v>
      </c>
    </row>
    <row r="709" spans="1:39">
      <c r="A709" s="349">
        <v>97713</v>
      </c>
      <c r="B709" s="342" t="s">
        <v>1403</v>
      </c>
      <c r="C709" s="358">
        <v>5.7899999999999998E-5</v>
      </c>
      <c r="E709" s="2">
        <v>20696</v>
      </c>
      <c r="F709" s="2">
        <v>29700</v>
      </c>
      <c r="G709" s="2">
        <v>17647</v>
      </c>
      <c r="H709" s="2">
        <v>8617</v>
      </c>
      <c r="I709" s="2">
        <v>0</v>
      </c>
      <c r="J709" s="2"/>
      <c r="K709" s="2">
        <v>10735</v>
      </c>
      <c r="L709" s="2">
        <v>9889</v>
      </c>
      <c r="M709" s="2">
        <v>5504</v>
      </c>
      <c r="N709" s="2">
        <v>0</v>
      </c>
      <c r="O709" s="2">
        <v>0</v>
      </c>
      <c r="P709" s="2"/>
      <c r="Q709" s="2">
        <v>696</v>
      </c>
      <c r="R709" s="2">
        <v>9733</v>
      </c>
      <c r="S709" s="2">
        <v>10070</v>
      </c>
      <c r="T709" s="2">
        <v>8617</v>
      </c>
      <c r="U709" s="2">
        <v>0</v>
      </c>
      <c r="V709" s="2"/>
      <c r="W709" s="2">
        <v>8498</v>
      </c>
      <c r="X709" s="2">
        <v>6899</v>
      </c>
      <c r="Y709" s="2">
        <v>0</v>
      </c>
      <c r="Z709" s="2">
        <v>0</v>
      </c>
      <c r="AA709" s="2">
        <v>0</v>
      </c>
      <c r="AB709" s="2"/>
      <c r="AC709" s="2">
        <v>3353</v>
      </c>
      <c r="AD709" s="2">
        <v>3351</v>
      </c>
      <c r="AE709" s="2">
        <v>2245</v>
      </c>
      <c r="AF709" s="2">
        <v>0</v>
      </c>
      <c r="AG709" s="2">
        <v>0</v>
      </c>
      <c r="AH709" s="2"/>
      <c r="AI709" s="2">
        <v>-2586</v>
      </c>
      <c r="AJ709" s="2">
        <v>-172</v>
      </c>
      <c r="AK709" s="2">
        <v>-172</v>
      </c>
      <c r="AL709" s="2">
        <v>0</v>
      </c>
      <c r="AM709" s="2">
        <v>-172</v>
      </c>
    </row>
    <row r="710" spans="1:39">
      <c r="A710" s="349">
        <v>97717</v>
      </c>
      <c r="B710" s="342" t="s">
        <v>1404</v>
      </c>
      <c r="C710" s="358">
        <v>5.5999999999999997E-6</v>
      </c>
      <c r="E710" s="2">
        <v>2020</v>
      </c>
      <c r="F710" s="2">
        <v>3064</v>
      </c>
      <c r="G710" s="2">
        <v>1920</v>
      </c>
      <c r="H710" s="2">
        <v>833</v>
      </c>
      <c r="I710" s="2">
        <v>0</v>
      </c>
      <c r="J710" s="2"/>
      <c r="K710" s="2">
        <v>1038</v>
      </c>
      <c r="L710" s="2">
        <v>956</v>
      </c>
      <c r="M710" s="2">
        <v>532</v>
      </c>
      <c r="N710" s="2">
        <v>0</v>
      </c>
      <c r="O710" s="2">
        <v>0</v>
      </c>
      <c r="P710" s="2"/>
      <c r="Q710" s="2">
        <v>67</v>
      </c>
      <c r="R710" s="2">
        <v>941</v>
      </c>
      <c r="S710" s="2">
        <v>974</v>
      </c>
      <c r="T710" s="2">
        <v>833</v>
      </c>
      <c r="U710" s="2">
        <v>0</v>
      </c>
      <c r="V710" s="2"/>
      <c r="W710" s="2">
        <v>822</v>
      </c>
      <c r="X710" s="2">
        <v>667</v>
      </c>
      <c r="Y710" s="2">
        <v>0</v>
      </c>
      <c r="Z710" s="2">
        <v>0</v>
      </c>
      <c r="AA710" s="2">
        <v>0</v>
      </c>
      <c r="AB710" s="2"/>
      <c r="AC710" s="2">
        <v>518</v>
      </c>
      <c r="AD710" s="2">
        <v>518</v>
      </c>
      <c r="AE710" s="2">
        <v>434</v>
      </c>
      <c r="AF710" s="2">
        <v>0</v>
      </c>
      <c r="AG710" s="2">
        <v>0</v>
      </c>
      <c r="AH710" s="2"/>
      <c r="AI710" s="2">
        <v>-425</v>
      </c>
      <c r="AJ710" s="2">
        <v>-18</v>
      </c>
      <c r="AK710" s="2">
        <v>-20</v>
      </c>
      <c r="AL710" s="2">
        <v>0</v>
      </c>
      <c r="AM710" s="2">
        <v>-18</v>
      </c>
    </row>
    <row r="711" spans="1:39">
      <c r="A711" s="349">
        <v>97721</v>
      </c>
      <c r="B711" s="342" t="s">
        <v>1405</v>
      </c>
      <c r="C711" s="358">
        <v>5.2959999999999997E-4</v>
      </c>
      <c r="E711" s="2">
        <v>155113</v>
      </c>
      <c r="F711" s="2">
        <v>217311</v>
      </c>
      <c r="G711" s="2">
        <v>116309</v>
      </c>
      <c r="H711" s="2">
        <v>78816</v>
      </c>
      <c r="I711" s="2">
        <v>0</v>
      </c>
      <c r="J711" s="2"/>
      <c r="K711" s="2">
        <v>98193</v>
      </c>
      <c r="L711" s="2">
        <v>90453</v>
      </c>
      <c r="M711" s="2">
        <v>50343</v>
      </c>
      <c r="N711" s="2">
        <v>0</v>
      </c>
      <c r="O711" s="2">
        <v>0</v>
      </c>
      <c r="P711" s="2"/>
      <c r="Q711" s="2">
        <v>6365</v>
      </c>
      <c r="R711" s="2">
        <v>89028</v>
      </c>
      <c r="S711" s="2">
        <v>92107</v>
      </c>
      <c r="T711" s="2">
        <v>78816</v>
      </c>
      <c r="U711" s="2">
        <v>0</v>
      </c>
      <c r="V711" s="2"/>
      <c r="W711" s="2">
        <v>77733</v>
      </c>
      <c r="X711" s="2">
        <v>63106</v>
      </c>
      <c r="Y711" s="2">
        <v>0</v>
      </c>
      <c r="Z711" s="2">
        <v>0</v>
      </c>
      <c r="AA711" s="2">
        <v>0</v>
      </c>
      <c r="AB711" s="2"/>
      <c r="AC711" s="2">
        <v>866</v>
      </c>
      <c r="AD711" s="2">
        <v>868</v>
      </c>
      <c r="AE711" s="2">
        <v>0</v>
      </c>
      <c r="AF711" s="2">
        <v>0</v>
      </c>
      <c r="AG711" s="2">
        <v>0</v>
      </c>
      <c r="AH711" s="2"/>
      <c r="AI711" s="2">
        <v>-28044</v>
      </c>
      <c r="AJ711" s="2">
        <v>-26144</v>
      </c>
      <c r="AK711" s="2">
        <v>-26141</v>
      </c>
      <c r="AL711" s="2">
        <v>0</v>
      </c>
      <c r="AM711" s="2">
        <v>-26144</v>
      </c>
    </row>
    <row r="712" spans="1:39">
      <c r="A712" s="349">
        <v>97727</v>
      </c>
      <c r="B712" s="342" t="s">
        <v>1406</v>
      </c>
      <c r="C712" s="358">
        <v>1.6900000000000001E-5</v>
      </c>
      <c r="E712" s="2">
        <v>5751</v>
      </c>
      <c r="F712" s="2">
        <v>7731</v>
      </c>
      <c r="G712" s="2">
        <v>4693</v>
      </c>
      <c r="H712" s="2">
        <v>2515</v>
      </c>
      <c r="I712" s="2">
        <v>0</v>
      </c>
      <c r="J712" s="2"/>
      <c r="K712" s="2">
        <v>3133</v>
      </c>
      <c r="L712" s="2">
        <v>2886</v>
      </c>
      <c r="M712" s="2">
        <v>1606</v>
      </c>
      <c r="N712" s="2">
        <v>0</v>
      </c>
      <c r="O712" s="2">
        <v>0</v>
      </c>
      <c r="P712" s="2"/>
      <c r="Q712" s="2">
        <v>203</v>
      </c>
      <c r="R712" s="2">
        <v>2841</v>
      </c>
      <c r="S712" s="2">
        <v>2939</v>
      </c>
      <c r="T712" s="2">
        <v>2515</v>
      </c>
      <c r="U712" s="2">
        <v>0</v>
      </c>
      <c r="V712" s="2"/>
      <c r="W712" s="2">
        <v>2481</v>
      </c>
      <c r="X712" s="2">
        <v>2014</v>
      </c>
      <c r="Y712" s="2">
        <v>0</v>
      </c>
      <c r="Z712" s="2">
        <v>0</v>
      </c>
      <c r="AA712" s="2">
        <v>0</v>
      </c>
      <c r="AB712" s="2"/>
      <c r="AC712" s="2">
        <v>157</v>
      </c>
      <c r="AD712" s="2">
        <v>157</v>
      </c>
      <c r="AE712" s="2">
        <v>158</v>
      </c>
      <c r="AF712" s="2">
        <v>0</v>
      </c>
      <c r="AG712" s="2">
        <v>0</v>
      </c>
      <c r="AH712" s="2"/>
      <c r="AI712" s="2">
        <v>-223</v>
      </c>
      <c r="AJ712" s="2">
        <v>-167</v>
      </c>
      <c r="AK712" s="2">
        <v>-10</v>
      </c>
      <c r="AL712" s="2">
        <v>0</v>
      </c>
      <c r="AM712" s="2">
        <v>-167</v>
      </c>
    </row>
    <row r="713" spans="1:39">
      <c r="A713" s="349">
        <v>97731</v>
      </c>
      <c r="B713" s="342" t="s">
        <v>1407</v>
      </c>
      <c r="C713" s="358">
        <v>3.8300000000000003E-5</v>
      </c>
      <c r="E713" s="2">
        <v>15413</v>
      </c>
      <c r="F713" s="2">
        <v>19605</v>
      </c>
      <c r="G713" s="2">
        <v>12041</v>
      </c>
      <c r="H713" s="2">
        <v>5700</v>
      </c>
      <c r="I713" s="2">
        <v>0</v>
      </c>
      <c r="J713" s="2"/>
      <c r="K713" s="2">
        <v>7101</v>
      </c>
      <c r="L713" s="2">
        <v>6541</v>
      </c>
      <c r="M713" s="2">
        <v>3641</v>
      </c>
      <c r="N713" s="2">
        <v>0</v>
      </c>
      <c r="O713" s="2">
        <v>0</v>
      </c>
      <c r="P713" s="2"/>
      <c r="Q713" s="2">
        <v>460</v>
      </c>
      <c r="R713" s="2">
        <v>6438</v>
      </c>
      <c r="S713" s="2">
        <v>6661</v>
      </c>
      <c r="T713" s="2">
        <v>5700</v>
      </c>
      <c r="U713" s="2">
        <v>0</v>
      </c>
      <c r="V713" s="2"/>
      <c r="W713" s="2">
        <v>5622</v>
      </c>
      <c r="X713" s="2">
        <v>4564</v>
      </c>
      <c r="Y713" s="2">
        <v>0</v>
      </c>
      <c r="Z713" s="2">
        <v>0</v>
      </c>
      <c r="AA713" s="2">
        <v>0</v>
      </c>
      <c r="AB713" s="2"/>
      <c r="AC713" s="2">
        <v>2230</v>
      </c>
      <c r="AD713" s="2">
        <v>2062</v>
      </c>
      <c r="AE713" s="2">
        <v>1739</v>
      </c>
      <c r="AF713" s="2">
        <v>0</v>
      </c>
      <c r="AG713" s="2">
        <v>0</v>
      </c>
      <c r="AH713" s="2"/>
      <c r="AI713" s="2">
        <v>0</v>
      </c>
      <c r="AJ713" s="2">
        <v>0</v>
      </c>
      <c r="AK713" s="2">
        <v>0</v>
      </c>
      <c r="AL713" s="2">
        <v>0</v>
      </c>
      <c r="AM713" s="2">
        <v>0</v>
      </c>
    </row>
    <row r="714" spans="1:39">
      <c r="A714" s="349">
        <v>97801</v>
      </c>
      <c r="B714" s="342" t="s">
        <v>1408</v>
      </c>
      <c r="C714" s="358">
        <v>6.2462999999999998E-3</v>
      </c>
      <c r="E714" s="2">
        <v>2129147</v>
      </c>
      <c r="F714" s="2">
        <v>2908413</v>
      </c>
      <c r="G714" s="2">
        <v>1784306</v>
      </c>
      <c r="H714" s="2">
        <v>929587</v>
      </c>
      <c r="I714" s="2">
        <v>0</v>
      </c>
      <c r="J714" s="2"/>
      <c r="K714" s="2">
        <v>1158120</v>
      </c>
      <c r="L714" s="2">
        <v>1066831</v>
      </c>
      <c r="M714" s="2">
        <v>593761</v>
      </c>
      <c r="N714" s="2">
        <v>0</v>
      </c>
      <c r="O714" s="2">
        <v>0</v>
      </c>
      <c r="P714" s="2"/>
      <c r="Q714" s="2">
        <v>75074</v>
      </c>
      <c r="R714" s="2">
        <v>1050034</v>
      </c>
      <c r="S714" s="2">
        <v>1086344</v>
      </c>
      <c r="T714" s="2">
        <v>929587</v>
      </c>
      <c r="U714" s="2">
        <v>0</v>
      </c>
      <c r="V714" s="2"/>
      <c r="W714" s="2">
        <v>916807</v>
      </c>
      <c r="X714" s="2">
        <v>744290</v>
      </c>
      <c r="Y714" s="2">
        <v>0</v>
      </c>
      <c r="Z714" s="2">
        <v>0</v>
      </c>
      <c r="AA714" s="2">
        <v>0</v>
      </c>
      <c r="AB714" s="2"/>
      <c r="AC714" s="2">
        <v>181868</v>
      </c>
      <c r="AD714" s="2">
        <v>181868</v>
      </c>
      <c r="AE714" s="2">
        <v>181866</v>
      </c>
      <c r="AF714" s="2">
        <v>0</v>
      </c>
      <c r="AG714" s="2">
        <v>0</v>
      </c>
      <c r="AH714" s="2"/>
      <c r="AI714" s="2">
        <v>-202722</v>
      </c>
      <c r="AJ714" s="2">
        <v>-134610</v>
      </c>
      <c r="AK714" s="2">
        <v>-77665</v>
      </c>
      <c r="AL714" s="2">
        <v>0</v>
      </c>
      <c r="AM714" s="2">
        <v>-134610</v>
      </c>
    </row>
    <row r="715" spans="1:39">
      <c r="A715" s="349">
        <v>97802</v>
      </c>
      <c r="B715" s="342" t="s">
        <v>1409</v>
      </c>
      <c r="C715" s="358">
        <v>1.5880000000000001E-4</v>
      </c>
      <c r="E715" s="2">
        <v>44297</v>
      </c>
      <c r="F715" s="2">
        <v>65805</v>
      </c>
      <c r="G715" s="2">
        <v>32595</v>
      </c>
      <c r="H715" s="2">
        <v>23633</v>
      </c>
      <c r="I715" s="2">
        <v>0</v>
      </c>
      <c r="J715" s="2"/>
      <c r="K715" s="2">
        <v>29443</v>
      </c>
      <c r="L715" s="2">
        <v>27122</v>
      </c>
      <c r="M715" s="2">
        <v>15095</v>
      </c>
      <c r="N715" s="2">
        <v>0</v>
      </c>
      <c r="O715" s="2">
        <v>0</v>
      </c>
      <c r="P715" s="2"/>
      <c r="Q715" s="2">
        <v>1909</v>
      </c>
      <c r="R715" s="2">
        <v>26695</v>
      </c>
      <c r="S715" s="2">
        <v>27618</v>
      </c>
      <c r="T715" s="2">
        <v>23633</v>
      </c>
      <c r="U715" s="2">
        <v>0</v>
      </c>
      <c r="V715" s="2"/>
      <c r="W715" s="2">
        <v>23308</v>
      </c>
      <c r="X715" s="2">
        <v>18922</v>
      </c>
      <c r="Y715" s="2">
        <v>0</v>
      </c>
      <c r="Z715" s="2">
        <v>0</v>
      </c>
      <c r="AA715" s="2">
        <v>0</v>
      </c>
      <c r="AB715" s="2"/>
      <c r="AC715" s="2">
        <v>6412</v>
      </c>
      <c r="AD715" s="2">
        <v>6410</v>
      </c>
      <c r="AE715" s="2">
        <v>3225</v>
      </c>
      <c r="AF715" s="2">
        <v>0</v>
      </c>
      <c r="AG715" s="2">
        <v>0</v>
      </c>
      <c r="AH715" s="2"/>
      <c r="AI715" s="2">
        <v>-16775</v>
      </c>
      <c r="AJ715" s="2">
        <v>-13344</v>
      </c>
      <c r="AK715" s="2">
        <v>-13343</v>
      </c>
      <c r="AL715" s="2">
        <v>0</v>
      </c>
      <c r="AM715" s="2">
        <v>-13344</v>
      </c>
    </row>
    <row r="716" spans="1:39">
      <c r="A716" s="349">
        <v>97803</v>
      </c>
      <c r="B716" s="342" t="s">
        <v>1410</v>
      </c>
      <c r="C716" s="358">
        <v>7.2999999999999999E-5</v>
      </c>
      <c r="E716" s="2">
        <v>23998</v>
      </c>
      <c r="F716" s="2">
        <v>32210</v>
      </c>
      <c r="G716" s="2">
        <v>17405</v>
      </c>
      <c r="H716" s="2">
        <v>10864</v>
      </c>
      <c r="I716" s="2">
        <v>0</v>
      </c>
      <c r="J716" s="2"/>
      <c r="K716" s="2">
        <v>13535</v>
      </c>
      <c r="L716" s="2">
        <v>12468</v>
      </c>
      <c r="M716" s="2">
        <v>6939</v>
      </c>
      <c r="N716" s="2">
        <v>0</v>
      </c>
      <c r="O716" s="2">
        <v>0</v>
      </c>
      <c r="P716" s="2"/>
      <c r="Q716" s="2">
        <v>877</v>
      </c>
      <c r="R716" s="2">
        <v>12272</v>
      </c>
      <c r="S716" s="2">
        <v>12696</v>
      </c>
      <c r="T716" s="2">
        <v>10864</v>
      </c>
      <c r="U716" s="2">
        <v>0</v>
      </c>
      <c r="V716" s="2"/>
      <c r="W716" s="2">
        <v>10715</v>
      </c>
      <c r="X716" s="2">
        <v>8698</v>
      </c>
      <c r="Y716" s="2">
        <v>0</v>
      </c>
      <c r="Z716" s="2">
        <v>0</v>
      </c>
      <c r="AA716" s="2">
        <v>0</v>
      </c>
      <c r="AB716" s="2"/>
      <c r="AC716" s="2">
        <v>1100</v>
      </c>
      <c r="AD716" s="2">
        <v>1001</v>
      </c>
      <c r="AE716" s="2">
        <v>0</v>
      </c>
      <c r="AF716" s="2">
        <v>0</v>
      </c>
      <c r="AG716" s="2">
        <v>0</v>
      </c>
      <c r="AH716" s="2"/>
      <c r="AI716" s="2">
        <v>-2229</v>
      </c>
      <c r="AJ716" s="2">
        <v>-2229</v>
      </c>
      <c r="AK716" s="2">
        <v>-2230</v>
      </c>
      <c r="AL716" s="2">
        <v>0</v>
      </c>
      <c r="AM716" s="2">
        <v>-2229</v>
      </c>
    </row>
    <row r="717" spans="1:39">
      <c r="A717" s="349">
        <v>97805</v>
      </c>
      <c r="B717" s="342" t="s">
        <v>1411</v>
      </c>
      <c r="C717" s="358">
        <v>8.6299999999999997E-5</v>
      </c>
      <c r="E717" s="2">
        <v>31052</v>
      </c>
      <c r="F717" s="2">
        <v>40810</v>
      </c>
      <c r="G717" s="2">
        <v>23566</v>
      </c>
      <c r="H717" s="2">
        <v>12843</v>
      </c>
      <c r="I717" s="2">
        <v>0</v>
      </c>
      <c r="J717" s="2"/>
      <c r="K717" s="2">
        <v>16001</v>
      </c>
      <c r="L717" s="2">
        <v>14740</v>
      </c>
      <c r="M717" s="2">
        <v>8204</v>
      </c>
      <c r="N717" s="2">
        <v>0</v>
      </c>
      <c r="O717" s="2">
        <v>0</v>
      </c>
      <c r="P717" s="2"/>
      <c r="Q717" s="2">
        <v>1037</v>
      </c>
      <c r="R717" s="2">
        <v>14507</v>
      </c>
      <c r="S717" s="2">
        <v>15009</v>
      </c>
      <c r="T717" s="2">
        <v>12843</v>
      </c>
      <c r="U717" s="2">
        <v>0</v>
      </c>
      <c r="V717" s="2"/>
      <c r="W717" s="2">
        <v>12667</v>
      </c>
      <c r="X717" s="2">
        <v>10283</v>
      </c>
      <c r="Y717" s="2">
        <v>0</v>
      </c>
      <c r="Z717" s="2">
        <v>0</v>
      </c>
      <c r="AA717" s="2">
        <v>0</v>
      </c>
      <c r="AB717" s="2"/>
      <c r="AC717" s="2">
        <v>1814</v>
      </c>
      <c r="AD717" s="2">
        <v>1747</v>
      </c>
      <c r="AE717" s="2">
        <v>819</v>
      </c>
      <c r="AF717" s="2">
        <v>0</v>
      </c>
      <c r="AG717" s="2">
        <v>0</v>
      </c>
      <c r="AH717" s="2"/>
      <c r="AI717" s="2">
        <v>-467</v>
      </c>
      <c r="AJ717" s="2">
        <v>-467</v>
      </c>
      <c r="AK717" s="2">
        <v>-466</v>
      </c>
      <c r="AL717" s="2">
        <v>0</v>
      </c>
      <c r="AM717" s="2">
        <v>-467</v>
      </c>
    </row>
    <row r="718" spans="1:39">
      <c r="A718" s="349">
        <v>97811</v>
      </c>
      <c r="B718" s="342" t="s">
        <v>1412</v>
      </c>
      <c r="C718" s="358">
        <v>2.2964000000000001E-3</v>
      </c>
      <c r="E718" s="2">
        <v>744141</v>
      </c>
      <c r="F718" s="2">
        <v>1005871</v>
      </c>
      <c r="G718" s="2">
        <v>572804</v>
      </c>
      <c r="H718" s="2">
        <v>341755</v>
      </c>
      <c r="I718" s="2">
        <v>0</v>
      </c>
      <c r="J718" s="2"/>
      <c r="K718" s="2">
        <v>425773</v>
      </c>
      <c r="L718" s="2">
        <v>392211</v>
      </c>
      <c r="M718" s="2">
        <v>218291</v>
      </c>
      <c r="N718" s="2">
        <v>0</v>
      </c>
      <c r="O718" s="2">
        <v>0</v>
      </c>
      <c r="P718" s="2"/>
      <c r="Q718" s="2">
        <v>27600</v>
      </c>
      <c r="R718" s="2">
        <v>386036</v>
      </c>
      <c r="S718" s="2">
        <v>399385</v>
      </c>
      <c r="T718" s="2">
        <v>341755</v>
      </c>
      <c r="U718" s="2">
        <v>0</v>
      </c>
      <c r="V718" s="2"/>
      <c r="W718" s="2">
        <v>337056</v>
      </c>
      <c r="X718" s="2">
        <v>273632</v>
      </c>
      <c r="Y718" s="2">
        <v>0</v>
      </c>
      <c r="Z718" s="2">
        <v>0</v>
      </c>
      <c r="AA718" s="2">
        <v>0</v>
      </c>
      <c r="AB718" s="2"/>
      <c r="AC718" s="2">
        <v>0</v>
      </c>
      <c r="AD718" s="2">
        <v>0</v>
      </c>
      <c r="AE718" s="2">
        <v>0</v>
      </c>
      <c r="AF718" s="2">
        <v>0</v>
      </c>
      <c r="AG718" s="2">
        <v>0</v>
      </c>
      <c r="AH718" s="2"/>
      <c r="AI718" s="2">
        <v>-46288</v>
      </c>
      <c r="AJ718" s="2">
        <v>-46008</v>
      </c>
      <c r="AK718" s="2">
        <v>-44872</v>
      </c>
      <c r="AL718" s="2">
        <v>0</v>
      </c>
      <c r="AM718" s="2">
        <v>-46008</v>
      </c>
    </row>
    <row r="719" spans="1:39">
      <c r="A719" s="349">
        <v>97817</v>
      </c>
      <c r="B719" s="342" t="s">
        <v>1413</v>
      </c>
      <c r="C719" s="358">
        <v>1.9300000000000002E-5</v>
      </c>
      <c r="E719" s="2">
        <v>13721</v>
      </c>
      <c r="F719" s="2">
        <v>12080</v>
      </c>
      <c r="G719" s="2">
        <v>8169</v>
      </c>
      <c r="H719" s="2">
        <v>2872</v>
      </c>
      <c r="I719" s="2">
        <v>0</v>
      </c>
      <c r="J719" s="2"/>
      <c r="K719" s="2">
        <v>3578</v>
      </c>
      <c r="L719" s="2">
        <v>3296</v>
      </c>
      <c r="M719" s="2">
        <v>1835</v>
      </c>
      <c r="N719" s="2">
        <v>0</v>
      </c>
      <c r="O719" s="2">
        <v>0</v>
      </c>
      <c r="P719" s="2"/>
      <c r="Q719" s="2">
        <v>232</v>
      </c>
      <c r="R719" s="2">
        <v>3244</v>
      </c>
      <c r="S719" s="2">
        <v>3357</v>
      </c>
      <c r="T719" s="2">
        <v>2872</v>
      </c>
      <c r="U719" s="2">
        <v>0</v>
      </c>
      <c r="V719" s="2"/>
      <c r="W719" s="2">
        <v>2833</v>
      </c>
      <c r="X719" s="2">
        <v>2300</v>
      </c>
      <c r="Y719" s="2">
        <v>0</v>
      </c>
      <c r="Z719" s="2">
        <v>0</v>
      </c>
      <c r="AA719" s="2">
        <v>0</v>
      </c>
      <c r="AB719" s="2"/>
      <c r="AC719" s="2">
        <v>7078</v>
      </c>
      <c r="AD719" s="2">
        <v>3240</v>
      </c>
      <c r="AE719" s="2">
        <v>2977</v>
      </c>
      <c r="AF719" s="2">
        <v>0</v>
      </c>
      <c r="AG719" s="2">
        <v>0</v>
      </c>
      <c r="AH719" s="2"/>
      <c r="AI719" s="2">
        <v>0</v>
      </c>
      <c r="AJ719" s="2">
        <v>0</v>
      </c>
      <c r="AK719" s="2">
        <v>0</v>
      </c>
      <c r="AL719" s="2">
        <v>0</v>
      </c>
      <c r="AM719" s="2">
        <v>0</v>
      </c>
    </row>
    <row r="720" spans="1:39">
      <c r="A720" s="349">
        <v>97818</v>
      </c>
      <c r="B720" s="342" t="s">
        <v>2798</v>
      </c>
      <c r="C720" s="358">
        <v>1.6500000000000001E-5</v>
      </c>
      <c r="E720" s="2">
        <v>4227</v>
      </c>
      <c r="F720" s="2">
        <v>6032</v>
      </c>
      <c r="G720" s="2">
        <v>3160</v>
      </c>
      <c r="H720" s="2">
        <v>2456</v>
      </c>
      <c r="I720" s="2">
        <v>0</v>
      </c>
      <c r="J720" s="2"/>
      <c r="K720" s="2">
        <v>3059</v>
      </c>
      <c r="L720" s="2">
        <v>2818</v>
      </c>
      <c r="M720" s="2">
        <v>1568</v>
      </c>
      <c r="N720" s="2">
        <v>0</v>
      </c>
      <c r="O720" s="2">
        <v>0</v>
      </c>
      <c r="P720" s="2"/>
      <c r="Q720" s="2">
        <v>198</v>
      </c>
      <c r="R720" s="2">
        <v>2774</v>
      </c>
      <c r="S720" s="2">
        <v>2870</v>
      </c>
      <c r="T720" s="2">
        <v>2456</v>
      </c>
      <c r="U720" s="2">
        <v>0</v>
      </c>
      <c r="V720" s="2"/>
      <c r="W720" s="2">
        <v>2422</v>
      </c>
      <c r="X720" s="2">
        <v>1966</v>
      </c>
      <c r="Y720" s="2">
        <v>0</v>
      </c>
      <c r="Z720" s="2">
        <v>0</v>
      </c>
      <c r="AA720" s="2">
        <v>0</v>
      </c>
      <c r="AB720" s="2"/>
      <c r="AC720" s="2">
        <v>1019</v>
      </c>
      <c r="AD720" s="2">
        <v>944</v>
      </c>
      <c r="AE720" s="2">
        <v>946</v>
      </c>
      <c r="AF720" s="2">
        <v>0</v>
      </c>
      <c r="AG720" s="2">
        <v>0</v>
      </c>
      <c r="AH720" s="2"/>
      <c r="AI720" s="2">
        <v>-2471</v>
      </c>
      <c r="AJ720" s="2">
        <v>-2470</v>
      </c>
      <c r="AK720" s="2">
        <v>-2224</v>
      </c>
      <c r="AL720" s="2">
        <v>0</v>
      </c>
      <c r="AM720" s="2">
        <v>-2470</v>
      </c>
    </row>
    <row r="721" spans="1:39">
      <c r="A721" s="349">
        <v>97821</v>
      </c>
      <c r="B721" s="342" t="s">
        <v>1415</v>
      </c>
      <c r="C721" s="358">
        <v>1.038E-4</v>
      </c>
      <c r="E721" s="2">
        <v>35968</v>
      </c>
      <c r="F721" s="2">
        <v>46449</v>
      </c>
      <c r="G721" s="2">
        <v>24679</v>
      </c>
      <c r="H721" s="2">
        <v>15448</v>
      </c>
      <c r="I721" s="2">
        <v>0</v>
      </c>
      <c r="J721" s="2"/>
      <c r="K721" s="2">
        <v>19245</v>
      </c>
      <c r="L721" s="2">
        <v>17728</v>
      </c>
      <c r="M721" s="2">
        <v>9867</v>
      </c>
      <c r="N721" s="2">
        <v>0</v>
      </c>
      <c r="O721" s="2">
        <v>0</v>
      </c>
      <c r="P721" s="2"/>
      <c r="Q721" s="2">
        <v>1248</v>
      </c>
      <c r="R721" s="2">
        <v>17449</v>
      </c>
      <c r="S721" s="2">
        <v>18053</v>
      </c>
      <c r="T721" s="2">
        <v>15448</v>
      </c>
      <c r="U721" s="2">
        <v>0</v>
      </c>
      <c r="V721" s="2"/>
      <c r="W721" s="2">
        <v>15235</v>
      </c>
      <c r="X721" s="2">
        <v>12368</v>
      </c>
      <c r="Y721" s="2">
        <v>0</v>
      </c>
      <c r="Z721" s="2">
        <v>0</v>
      </c>
      <c r="AA721" s="2">
        <v>0</v>
      </c>
      <c r="AB721" s="2"/>
      <c r="AC721" s="2">
        <v>9353</v>
      </c>
      <c r="AD721" s="2">
        <v>8017</v>
      </c>
      <c r="AE721" s="2">
        <v>5870</v>
      </c>
      <c r="AF721" s="2">
        <v>0</v>
      </c>
      <c r="AG721" s="2">
        <v>0</v>
      </c>
      <c r="AH721" s="2"/>
      <c r="AI721" s="2">
        <v>-9113</v>
      </c>
      <c r="AJ721" s="2">
        <v>-9113</v>
      </c>
      <c r="AK721" s="2">
        <v>-9111</v>
      </c>
      <c r="AL721" s="2">
        <v>0</v>
      </c>
      <c r="AM721" s="2">
        <v>-9113</v>
      </c>
    </row>
    <row r="722" spans="1:39">
      <c r="A722" s="349">
        <v>97823</v>
      </c>
      <c r="B722" s="342" t="s">
        <v>1416</v>
      </c>
      <c r="C722" s="358">
        <v>1.91E-5</v>
      </c>
      <c r="E722" s="2">
        <v>9465</v>
      </c>
      <c r="F722" s="2">
        <v>11381</v>
      </c>
      <c r="G722" s="2">
        <v>8294</v>
      </c>
      <c r="H722" s="2">
        <v>2843</v>
      </c>
      <c r="I722" s="2">
        <v>0</v>
      </c>
      <c r="J722" s="2"/>
      <c r="K722" s="2">
        <v>3541</v>
      </c>
      <c r="L722" s="2">
        <v>3262</v>
      </c>
      <c r="M722" s="2">
        <v>1816</v>
      </c>
      <c r="N722" s="2">
        <v>0</v>
      </c>
      <c r="O722" s="2">
        <v>0</v>
      </c>
      <c r="P722" s="2"/>
      <c r="Q722" s="2">
        <v>230</v>
      </c>
      <c r="R722" s="2">
        <v>3211</v>
      </c>
      <c r="S722" s="2">
        <v>3322</v>
      </c>
      <c r="T722" s="2">
        <v>2843</v>
      </c>
      <c r="U722" s="2">
        <v>0</v>
      </c>
      <c r="V722" s="2"/>
      <c r="W722" s="2">
        <v>2803</v>
      </c>
      <c r="X722" s="2">
        <v>2276</v>
      </c>
      <c r="Y722" s="2">
        <v>0</v>
      </c>
      <c r="Z722" s="2">
        <v>0</v>
      </c>
      <c r="AA722" s="2">
        <v>0</v>
      </c>
      <c r="AB722" s="2"/>
      <c r="AC722" s="2">
        <v>3418</v>
      </c>
      <c r="AD722" s="2">
        <v>3157</v>
      </c>
      <c r="AE722" s="2">
        <v>3156</v>
      </c>
      <c r="AF722" s="2">
        <v>0</v>
      </c>
      <c r="AG722" s="2">
        <v>0</v>
      </c>
      <c r="AH722" s="2"/>
      <c r="AI722" s="2">
        <v>-527</v>
      </c>
      <c r="AJ722" s="2">
        <v>-525</v>
      </c>
      <c r="AK722" s="2">
        <v>0</v>
      </c>
      <c r="AL722" s="2">
        <v>0</v>
      </c>
      <c r="AM722" s="2">
        <v>-525</v>
      </c>
    </row>
    <row r="723" spans="1:39">
      <c r="A723" s="349">
        <v>97831</v>
      </c>
      <c r="B723" s="342" t="s">
        <v>1417</v>
      </c>
      <c r="C723" s="358">
        <v>1.8760000000000001E-4</v>
      </c>
      <c r="E723" s="2">
        <v>83797</v>
      </c>
      <c r="F723" s="2">
        <v>101338</v>
      </c>
      <c r="G723" s="2">
        <v>66692</v>
      </c>
      <c r="H723" s="2">
        <v>27919</v>
      </c>
      <c r="I723" s="2">
        <v>0</v>
      </c>
      <c r="J723" s="2"/>
      <c r="K723" s="2">
        <v>34783</v>
      </c>
      <c r="L723" s="2">
        <v>32041</v>
      </c>
      <c r="M723" s="2">
        <v>17833</v>
      </c>
      <c r="N723" s="2">
        <v>0</v>
      </c>
      <c r="O723" s="2">
        <v>0</v>
      </c>
      <c r="P723" s="2"/>
      <c r="Q723" s="2">
        <v>2255</v>
      </c>
      <c r="R723" s="2">
        <v>31536</v>
      </c>
      <c r="S723" s="2">
        <v>32627</v>
      </c>
      <c r="T723" s="2">
        <v>27919</v>
      </c>
      <c r="U723" s="2">
        <v>0</v>
      </c>
      <c r="V723" s="2"/>
      <c r="W723" s="2">
        <v>27535</v>
      </c>
      <c r="X723" s="2">
        <v>22354</v>
      </c>
      <c r="Y723" s="2">
        <v>0</v>
      </c>
      <c r="Z723" s="2">
        <v>0</v>
      </c>
      <c r="AA723" s="2">
        <v>0</v>
      </c>
      <c r="AB723" s="2"/>
      <c r="AC723" s="2">
        <v>20050</v>
      </c>
      <c r="AD723" s="2">
        <v>16233</v>
      </c>
      <c r="AE723" s="2">
        <v>16232</v>
      </c>
      <c r="AF723" s="2">
        <v>0</v>
      </c>
      <c r="AG723" s="2">
        <v>0</v>
      </c>
      <c r="AH723" s="2"/>
      <c r="AI723" s="2">
        <v>-826</v>
      </c>
      <c r="AJ723" s="2">
        <v>-826</v>
      </c>
      <c r="AK723" s="2">
        <v>0</v>
      </c>
      <c r="AL723" s="2">
        <v>0</v>
      </c>
      <c r="AM723" s="2">
        <v>-826</v>
      </c>
    </row>
    <row r="724" spans="1:39">
      <c r="A724" s="349">
        <v>97837</v>
      </c>
      <c r="B724" s="342" t="s">
        <v>3692</v>
      </c>
      <c r="C724" s="358">
        <v>8.4999999999999999E-6</v>
      </c>
      <c r="E724" s="2">
        <v>3133</v>
      </c>
      <c r="F724" s="2">
        <v>3592</v>
      </c>
      <c r="G724" s="2">
        <v>1633</v>
      </c>
      <c r="H724" s="2">
        <v>1265</v>
      </c>
      <c r="I724" s="2">
        <v>0</v>
      </c>
      <c r="J724" s="2"/>
      <c r="K724" s="2">
        <v>1576</v>
      </c>
      <c r="L724" s="2">
        <v>1452</v>
      </c>
      <c r="M724" s="2">
        <v>808</v>
      </c>
      <c r="N724" s="2">
        <v>0</v>
      </c>
      <c r="O724" s="2">
        <v>0</v>
      </c>
      <c r="P724" s="2"/>
      <c r="Q724" s="2">
        <v>102</v>
      </c>
      <c r="R724" s="2">
        <v>1429</v>
      </c>
      <c r="S724" s="2">
        <v>1478</v>
      </c>
      <c r="T724" s="2">
        <v>1265</v>
      </c>
      <c r="U724" s="2">
        <v>0</v>
      </c>
      <c r="V724" s="2"/>
      <c r="W724" s="2">
        <v>1248</v>
      </c>
      <c r="X724" s="2">
        <v>1013</v>
      </c>
      <c r="Y724" s="2">
        <v>0</v>
      </c>
      <c r="Z724" s="2">
        <v>0</v>
      </c>
      <c r="AA724" s="2">
        <v>0</v>
      </c>
      <c r="AB724" s="2"/>
      <c r="AC724" s="2">
        <v>1008</v>
      </c>
      <c r="AD724" s="2">
        <v>499</v>
      </c>
      <c r="AE724" s="2">
        <v>148</v>
      </c>
      <c r="AF724" s="2">
        <v>0</v>
      </c>
      <c r="AG724" s="2">
        <v>0</v>
      </c>
      <c r="AH724" s="2"/>
      <c r="AI724" s="2">
        <v>-801</v>
      </c>
      <c r="AJ724" s="2">
        <v>-801</v>
      </c>
      <c r="AK724" s="2">
        <v>-801</v>
      </c>
      <c r="AL724" s="2">
        <v>0</v>
      </c>
      <c r="AM724" s="2">
        <v>-801</v>
      </c>
    </row>
    <row r="725" spans="1:39">
      <c r="A725" s="349">
        <v>97840</v>
      </c>
      <c r="B725" s="342" t="s">
        <v>1419</v>
      </c>
      <c r="C725" s="358">
        <v>1.3219999999999999E-4</v>
      </c>
      <c r="E725" s="2">
        <v>81457</v>
      </c>
      <c r="F725" s="2">
        <v>88467</v>
      </c>
      <c r="G725" s="2">
        <v>52884</v>
      </c>
      <c r="H725" s="2">
        <v>19674</v>
      </c>
      <c r="I725" s="2">
        <v>0</v>
      </c>
      <c r="J725" s="2"/>
      <c r="K725" s="2">
        <v>24511</v>
      </c>
      <c r="L725" s="2">
        <v>22579</v>
      </c>
      <c r="M725" s="2">
        <v>12567</v>
      </c>
      <c r="N725" s="2">
        <v>0</v>
      </c>
      <c r="O725" s="2">
        <v>0</v>
      </c>
      <c r="P725" s="2"/>
      <c r="Q725" s="2">
        <v>1589</v>
      </c>
      <c r="R725" s="2">
        <v>22223</v>
      </c>
      <c r="S725" s="2">
        <v>22992</v>
      </c>
      <c r="T725" s="2">
        <v>19674</v>
      </c>
      <c r="U725" s="2">
        <v>0</v>
      </c>
      <c r="V725" s="2"/>
      <c r="W725" s="2">
        <v>19404</v>
      </c>
      <c r="X725" s="2">
        <v>15753</v>
      </c>
      <c r="Y725" s="2">
        <v>0</v>
      </c>
      <c r="Z725" s="2">
        <v>0</v>
      </c>
      <c r="AA725" s="2">
        <v>0</v>
      </c>
      <c r="AB725" s="2"/>
      <c r="AC725" s="2">
        <v>35953</v>
      </c>
      <c r="AD725" s="2">
        <v>27912</v>
      </c>
      <c r="AE725" s="2">
        <v>17325</v>
      </c>
      <c r="AF725" s="2">
        <v>0</v>
      </c>
      <c r="AG725" s="2">
        <v>0</v>
      </c>
      <c r="AH725" s="2"/>
      <c r="AI725" s="2">
        <v>0</v>
      </c>
      <c r="AJ725" s="2">
        <v>0</v>
      </c>
      <c r="AK725" s="2">
        <v>0</v>
      </c>
      <c r="AL725" s="2">
        <v>0</v>
      </c>
      <c r="AM725" s="2">
        <v>0</v>
      </c>
    </row>
    <row r="726" spans="1:39">
      <c r="A726" s="349">
        <v>97841</v>
      </c>
      <c r="B726" s="342" t="s">
        <v>1420</v>
      </c>
      <c r="C726" s="358">
        <v>1.4100000000000001E-5</v>
      </c>
      <c r="E726" s="2">
        <v>5194</v>
      </c>
      <c r="F726" s="2">
        <v>6952</v>
      </c>
      <c r="G726" s="2">
        <v>4303</v>
      </c>
      <c r="H726" s="2">
        <v>2098</v>
      </c>
      <c r="I726" s="2">
        <v>0</v>
      </c>
      <c r="J726" s="2"/>
      <c r="K726" s="2">
        <v>2614</v>
      </c>
      <c r="L726" s="2">
        <v>2408</v>
      </c>
      <c r="M726" s="2">
        <v>1340</v>
      </c>
      <c r="N726" s="2">
        <v>0</v>
      </c>
      <c r="O726" s="2">
        <v>0</v>
      </c>
      <c r="P726" s="2"/>
      <c r="Q726" s="2">
        <v>169</v>
      </c>
      <c r="R726" s="2">
        <v>2370</v>
      </c>
      <c r="S726" s="2">
        <v>2452</v>
      </c>
      <c r="T726" s="2">
        <v>2098</v>
      </c>
      <c r="U726" s="2">
        <v>0</v>
      </c>
      <c r="V726" s="2"/>
      <c r="W726" s="2">
        <v>2070</v>
      </c>
      <c r="X726" s="2">
        <v>1680</v>
      </c>
      <c r="Y726" s="2">
        <v>0</v>
      </c>
      <c r="Z726" s="2">
        <v>0</v>
      </c>
      <c r="AA726" s="2">
        <v>0</v>
      </c>
      <c r="AB726" s="2"/>
      <c r="AC726" s="2">
        <v>510</v>
      </c>
      <c r="AD726" s="2">
        <v>510</v>
      </c>
      <c r="AE726" s="2">
        <v>511</v>
      </c>
      <c r="AF726" s="2">
        <v>0</v>
      </c>
      <c r="AG726" s="2">
        <v>0</v>
      </c>
      <c r="AH726" s="2"/>
      <c r="AI726" s="2">
        <v>-169</v>
      </c>
      <c r="AJ726" s="2">
        <v>-16</v>
      </c>
      <c r="AK726" s="2">
        <v>0</v>
      </c>
      <c r="AL726" s="2">
        <v>0</v>
      </c>
      <c r="AM726" s="2">
        <v>-16</v>
      </c>
    </row>
    <row r="727" spans="1:39">
      <c r="A727" s="349">
        <v>97847</v>
      </c>
      <c r="B727" s="342" t="s">
        <v>1421</v>
      </c>
      <c r="C727" s="358">
        <v>1.7999999999999999E-6</v>
      </c>
      <c r="E727" s="2">
        <v>1975</v>
      </c>
      <c r="F727" s="2">
        <v>1935</v>
      </c>
      <c r="G727" s="2">
        <v>1341</v>
      </c>
      <c r="H727" s="2">
        <v>268</v>
      </c>
      <c r="I727" s="2">
        <v>0</v>
      </c>
      <c r="J727" s="2"/>
      <c r="K727" s="2">
        <v>334</v>
      </c>
      <c r="L727" s="2">
        <v>307</v>
      </c>
      <c r="M727" s="2">
        <v>171</v>
      </c>
      <c r="N727" s="2">
        <v>0</v>
      </c>
      <c r="O727" s="2">
        <v>0</v>
      </c>
      <c r="P727" s="2"/>
      <c r="Q727" s="2">
        <v>22</v>
      </c>
      <c r="R727" s="2">
        <v>303</v>
      </c>
      <c r="S727" s="2">
        <v>313</v>
      </c>
      <c r="T727" s="2">
        <v>268</v>
      </c>
      <c r="U727" s="2">
        <v>0</v>
      </c>
      <c r="V727" s="2"/>
      <c r="W727" s="2">
        <v>264</v>
      </c>
      <c r="X727" s="2">
        <v>214</v>
      </c>
      <c r="Y727" s="2">
        <v>0</v>
      </c>
      <c r="Z727" s="2">
        <v>0</v>
      </c>
      <c r="AA727" s="2">
        <v>0</v>
      </c>
      <c r="AB727" s="2"/>
      <c r="AC727" s="2">
        <v>1355</v>
      </c>
      <c r="AD727" s="2">
        <v>1111</v>
      </c>
      <c r="AE727" s="2">
        <v>857</v>
      </c>
      <c r="AF727" s="2">
        <v>0</v>
      </c>
      <c r="AG727" s="2">
        <v>0</v>
      </c>
      <c r="AH727" s="2"/>
      <c r="AI727" s="2">
        <v>0</v>
      </c>
      <c r="AJ727" s="2">
        <v>0</v>
      </c>
      <c r="AK727" s="2">
        <v>0</v>
      </c>
      <c r="AL727" s="2">
        <v>0</v>
      </c>
      <c r="AM727" s="2">
        <v>0</v>
      </c>
    </row>
    <row r="728" spans="1:39">
      <c r="A728" s="349">
        <v>97851</v>
      </c>
      <c r="B728" s="342" t="s">
        <v>1422</v>
      </c>
      <c r="C728" s="358">
        <v>2.5589999999999999E-4</v>
      </c>
      <c r="E728" s="2">
        <v>66007</v>
      </c>
      <c r="F728" s="2">
        <v>96813</v>
      </c>
      <c r="G728" s="2">
        <v>52576</v>
      </c>
      <c r="H728" s="2">
        <v>38084</v>
      </c>
      <c r="I728" s="2">
        <v>0</v>
      </c>
      <c r="J728" s="2"/>
      <c r="K728" s="2">
        <v>47446</v>
      </c>
      <c r="L728" s="2">
        <v>43706</v>
      </c>
      <c r="M728" s="2">
        <v>24325</v>
      </c>
      <c r="N728" s="2">
        <v>0</v>
      </c>
      <c r="O728" s="2">
        <v>0</v>
      </c>
      <c r="P728" s="2"/>
      <c r="Q728" s="2">
        <v>3076</v>
      </c>
      <c r="R728" s="2">
        <v>43018</v>
      </c>
      <c r="S728" s="2">
        <v>44506</v>
      </c>
      <c r="T728" s="2">
        <v>38084</v>
      </c>
      <c r="U728" s="2">
        <v>0</v>
      </c>
      <c r="V728" s="2"/>
      <c r="W728" s="2">
        <v>37560</v>
      </c>
      <c r="X728" s="2">
        <v>30492</v>
      </c>
      <c r="Y728" s="2">
        <v>0</v>
      </c>
      <c r="Z728" s="2">
        <v>0</v>
      </c>
      <c r="AA728" s="2">
        <v>0</v>
      </c>
      <c r="AB728" s="2"/>
      <c r="AC728" s="2">
        <v>0</v>
      </c>
      <c r="AD728" s="2">
        <v>0</v>
      </c>
      <c r="AE728" s="2">
        <v>0</v>
      </c>
      <c r="AF728" s="2">
        <v>0</v>
      </c>
      <c r="AG728" s="2">
        <v>0</v>
      </c>
      <c r="AH728" s="2"/>
      <c r="AI728" s="2">
        <v>-22075</v>
      </c>
      <c r="AJ728" s="2">
        <v>-20403</v>
      </c>
      <c r="AK728" s="2">
        <v>-16255</v>
      </c>
      <c r="AL728" s="2">
        <v>0</v>
      </c>
      <c r="AM728" s="2">
        <v>-20403</v>
      </c>
    </row>
    <row r="729" spans="1:39">
      <c r="A729" s="349">
        <v>97853</v>
      </c>
      <c r="B729" s="342" t="s">
        <v>1423</v>
      </c>
      <c r="C729" s="358">
        <v>7.6600000000000005E-5</v>
      </c>
      <c r="E729" s="2">
        <v>19301</v>
      </c>
      <c r="F729" s="2">
        <v>26768</v>
      </c>
      <c r="G729" s="2">
        <v>15203</v>
      </c>
      <c r="H729" s="2">
        <v>11400</v>
      </c>
      <c r="I729" s="2">
        <v>0</v>
      </c>
      <c r="J729" s="2"/>
      <c r="K729" s="2">
        <v>14202</v>
      </c>
      <c r="L729" s="2">
        <v>13083</v>
      </c>
      <c r="M729" s="2">
        <v>7281</v>
      </c>
      <c r="N729" s="2">
        <v>0</v>
      </c>
      <c r="O729" s="2">
        <v>0</v>
      </c>
      <c r="P729" s="2"/>
      <c r="Q729" s="2">
        <v>921</v>
      </c>
      <c r="R729" s="2">
        <v>12877</v>
      </c>
      <c r="S729" s="2">
        <v>13322</v>
      </c>
      <c r="T729" s="2">
        <v>11400</v>
      </c>
      <c r="U729" s="2">
        <v>0</v>
      </c>
      <c r="V729" s="2"/>
      <c r="W729" s="2">
        <v>11243</v>
      </c>
      <c r="X729" s="2">
        <v>9127</v>
      </c>
      <c r="Y729" s="2">
        <v>0</v>
      </c>
      <c r="Z729" s="2">
        <v>0</v>
      </c>
      <c r="AA729" s="2">
        <v>0</v>
      </c>
      <c r="AB729" s="2"/>
      <c r="AC729" s="2">
        <v>1253</v>
      </c>
      <c r="AD729" s="2">
        <v>0</v>
      </c>
      <c r="AE729" s="2">
        <v>0</v>
      </c>
      <c r="AF729" s="2">
        <v>0</v>
      </c>
      <c r="AG729" s="2">
        <v>0</v>
      </c>
      <c r="AH729" s="2"/>
      <c r="AI729" s="2">
        <v>-8318</v>
      </c>
      <c r="AJ729" s="2">
        <v>-8319</v>
      </c>
      <c r="AK729" s="2">
        <v>-5400</v>
      </c>
      <c r="AL729" s="2">
        <v>0</v>
      </c>
      <c r="AM729" s="2">
        <v>-8319</v>
      </c>
    </row>
    <row r="730" spans="1:39">
      <c r="A730" s="349">
        <v>97861</v>
      </c>
      <c r="B730" s="342" t="s">
        <v>1424</v>
      </c>
      <c r="C730" s="358">
        <v>4.4700000000000002E-5</v>
      </c>
      <c r="E730" s="2">
        <v>15518</v>
      </c>
      <c r="F730" s="2">
        <v>21503</v>
      </c>
      <c r="G730" s="2">
        <v>16183</v>
      </c>
      <c r="H730" s="2">
        <v>6652</v>
      </c>
      <c r="I730" s="2">
        <v>0</v>
      </c>
      <c r="J730" s="2"/>
      <c r="K730" s="2">
        <v>8288</v>
      </c>
      <c r="L730" s="2">
        <v>7634</v>
      </c>
      <c r="M730" s="2">
        <v>4249</v>
      </c>
      <c r="N730" s="2">
        <v>0</v>
      </c>
      <c r="O730" s="2">
        <v>0</v>
      </c>
      <c r="P730" s="2"/>
      <c r="Q730" s="2">
        <v>537</v>
      </c>
      <c r="R730" s="2">
        <v>7514</v>
      </c>
      <c r="S730" s="2">
        <v>7774</v>
      </c>
      <c r="T730" s="2">
        <v>6652</v>
      </c>
      <c r="U730" s="2">
        <v>0</v>
      </c>
      <c r="V730" s="2"/>
      <c r="W730" s="2">
        <v>6561</v>
      </c>
      <c r="X730" s="2">
        <v>5326</v>
      </c>
      <c r="Y730" s="2">
        <v>0</v>
      </c>
      <c r="Z730" s="2">
        <v>0</v>
      </c>
      <c r="AA730" s="2">
        <v>0</v>
      </c>
      <c r="AB730" s="2"/>
      <c r="AC730" s="2">
        <v>4162</v>
      </c>
      <c r="AD730" s="2">
        <v>4162</v>
      </c>
      <c r="AE730" s="2">
        <v>4160</v>
      </c>
      <c r="AF730" s="2">
        <v>0</v>
      </c>
      <c r="AG730" s="2">
        <v>0</v>
      </c>
      <c r="AH730" s="2"/>
      <c r="AI730" s="2">
        <v>-4030</v>
      </c>
      <c r="AJ730" s="2">
        <v>-3133</v>
      </c>
      <c r="AK730" s="2">
        <v>0</v>
      </c>
      <c r="AL730" s="2">
        <v>0</v>
      </c>
      <c r="AM730" s="2">
        <v>-3133</v>
      </c>
    </row>
    <row r="731" spans="1:39">
      <c r="A731" s="349">
        <v>97871</v>
      </c>
      <c r="B731" s="342" t="s">
        <v>1425</v>
      </c>
      <c r="C731" s="358">
        <v>2.6209999999999997E-4</v>
      </c>
      <c r="E731" s="2">
        <v>161635</v>
      </c>
      <c r="F731" s="2">
        <v>166854</v>
      </c>
      <c r="G731" s="2">
        <v>86638</v>
      </c>
      <c r="H731" s="2">
        <v>39006</v>
      </c>
      <c r="I731" s="2">
        <v>0</v>
      </c>
      <c r="J731" s="2"/>
      <c r="K731" s="2">
        <v>48596</v>
      </c>
      <c r="L731" s="2">
        <v>44765</v>
      </c>
      <c r="M731" s="2">
        <v>24915</v>
      </c>
      <c r="N731" s="2">
        <v>0</v>
      </c>
      <c r="O731" s="2">
        <v>0</v>
      </c>
      <c r="P731" s="2"/>
      <c r="Q731" s="2">
        <v>3150</v>
      </c>
      <c r="R731" s="2">
        <v>44060</v>
      </c>
      <c r="S731" s="2">
        <v>45584</v>
      </c>
      <c r="T731" s="2">
        <v>39006</v>
      </c>
      <c r="U731" s="2">
        <v>0</v>
      </c>
      <c r="V731" s="2"/>
      <c r="W731" s="2">
        <v>38470</v>
      </c>
      <c r="X731" s="2">
        <v>31231</v>
      </c>
      <c r="Y731" s="2">
        <v>0</v>
      </c>
      <c r="Z731" s="2">
        <v>0</v>
      </c>
      <c r="AA731" s="2">
        <v>0</v>
      </c>
      <c r="AB731" s="2"/>
      <c r="AC731" s="2">
        <v>82279</v>
      </c>
      <c r="AD731" s="2">
        <v>57658</v>
      </c>
      <c r="AE731" s="2">
        <v>26999</v>
      </c>
      <c r="AF731" s="2">
        <v>0</v>
      </c>
      <c r="AG731" s="2">
        <v>0</v>
      </c>
      <c r="AH731" s="2"/>
      <c r="AI731" s="2">
        <v>-10860</v>
      </c>
      <c r="AJ731" s="2">
        <v>-10860</v>
      </c>
      <c r="AK731" s="2">
        <v>-10860</v>
      </c>
      <c r="AL731" s="2">
        <v>0</v>
      </c>
      <c r="AM731" s="2">
        <v>-10860</v>
      </c>
    </row>
    <row r="732" spans="1:39">
      <c r="A732" s="349">
        <v>97877</v>
      </c>
      <c r="B732" s="342" t="s">
        <v>1426</v>
      </c>
      <c r="C732" s="358">
        <v>8.8999999999999995E-6</v>
      </c>
      <c r="E732" s="2">
        <v>5758</v>
      </c>
      <c r="F732" s="2">
        <v>6574</v>
      </c>
      <c r="G732" s="2">
        <v>4531</v>
      </c>
      <c r="H732" s="2">
        <v>1325</v>
      </c>
      <c r="I732" s="2">
        <v>0</v>
      </c>
      <c r="J732" s="2"/>
      <c r="K732" s="2">
        <v>1650</v>
      </c>
      <c r="L732" s="2">
        <v>1520</v>
      </c>
      <c r="M732" s="2">
        <v>846</v>
      </c>
      <c r="N732" s="2">
        <v>0</v>
      </c>
      <c r="O732" s="2">
        <v>0</v>
      </c>
      <c r="P732" s="2"/>
      <c r="Q732" s="2">
        <v>107</v>
      </c>
      <c r="R732" s="2">
        <v>1496</v>
      </c>
      <c r="S732" s="2">
        <v>1548</v>
      </c>
      <c r="T732" s="2">
        <v>1325</v>
      </c>
      <c r="U732" s="2">
        <v>0</v>
      </c>
      <c r="V732" s="2"/>
      <c r="W732" s="2">
        <v>1306</v>
      </c>
      <c r="X732" s="2">
        <v>1060</v>
      </c>
      <c r="Y732" s="2">
        <v>0</v>
      </c>
      <c r="Z732" s="2">
        <v>0</v>
      </c>
      <c r="AA732" s="2">
        <v>0</v>
      </c>
      <c r="AB732" s="2"/>
      <c r="AC732" s="2">
        <v>2695</v>
      </c>
      <c r="AD732" s="2">
        <v>2498</v>
      </c>
      <c r="AE732" s="2">
        <v>2137</v>
      </c>
      <c r="AF732" s="2">
        <v>0</v>
      </c>
      <c r="AG732" s="2">
        <v>0</v>
      </c>
      <c r="AH732" s="2"/>
      <c r="AI732" s="2">
        <v>0</v>
      </c>
      <c r="AJ732" s="2">
        <v>0</v>
      </c>
      <c r="AK732" s="2">
        <v>0</v>
      </c>
      <c r="AL732" s="2">
        <v>0</v>
      </c>
      <c r="AM732" s="2">
        <v>0</v>
      </c>
    </row>
    <row r="733" spans="1:39">
      <c r="A733" s="349">
        <v>97901</v>
      </c>
      <c r="B733" s="342" t="s">
        <v>1427</v>
      </c>
      <c r="C733" s="358">
        <v>3.8295999999999998E-3</v>
      </c>
      <c r="E733" s="2">
        <v>1202426</v>
      </c>
      <c r="F733" s="2">
        <v>1627975</v>
      </c>
      <c r="G733" s="2">
        <v>908533</v>
      </c>
      <c r="H733" s="2">
        <v>569929</v>
      </c>
      <c r="I733" s="2">
        <v>0</v>
      </c>
      <c r="J733" s="2"/>
      <c r="K733" s="2">
        <v>710042</v>
      </c>
      <c r="L733" s="2">
        <v>654073</v>
      </c>
      <c r="M733" s="2">
        <v>364034</v>
      </c>
      <c r="N733" s="2">
        <v>0</v>
      </c>
      <c r="O733" s="2">
        <v>0</v>
      </c>
      <c r="P733" s="2"/>
      <c r="Q733" s="2">
        <v>46028</v>
      </c>
      <c r="R733" s="2">
        <v>643775</v>
      </c>
      <c r="S733" s="2">
        <v>666036</v>
      </c>
      <c r="T733" s="2">
        <v>569929</v>
      </c>
      <c r="U733" s="2">
        <v>0</v>
      </c>
      <c r="V733" s="2"/>
      <c r="W733" s="2">
        <v>562093</v>
      </c>
      <c r="X733" s="2">
        <v>456324</v>
      </c>
      <c r="Y733" s="2">
        <v>0</v>
      </c>
      <c r="Z733" s="2">
        <v>0</v>
      </c>
      <c r="AA733" s="2">
        <v>0</v>
      </c>
      <c r="AB733" s="2"/>
      <c r="AC733" s="2">
        <v>10460</v>
      </c>
      <c r="AD733" s="2">
        <v>0</v>
      </c>
      <c r="AE733" s="2">
        <v>0</v>
      </c>
      <c r="AF733" s="2">
        <v>0</v>
      </c>
      <c r="AG733" s="2">
        <v>0</v>
      </c>
      <c r="AH733" s="2"/>
      <c r="AI733" s="2">
        <v>-126197</v>
      </c>
      <c r="AJ733" s="2">
        <v>-126197</v>
      </c>
      <c r="AK733" s="2">
        <v>-121537</v>
      </c>
      <c r="AL733" s="2">
        <v>0</v>
      </c>
      <c r="AM733" s="2">
        <v>-126197</v>
      </c>
    </row>
    <row r="734" spans="1:39">
      <c r="A734" s="349">
        <v>97911</v>
      </c>
      <c r="B734" s="342" t="s">
        <v>1428</v>
      </c>
      <c r="C734" s="358">
        <v>1.2029E-3</v>
      </c>
      <c r="E734" s="2">
        <v>422369</v>
      </c>
      <c r="F734" s="2">
        <v>559177</v>
      </c>
      <c r="G734" s="2">
        <v>331592</v>
      </c>
      <c r="H734" s="2">
        <v>179018</v>
      </c>
      <c r="I734" s="2">
        <v>0</v>
      </c>
      <c r="J734" s="2"/>
      <c r="K734" s="2">
        <v>223028</v>
      </c>
      <c r="L734" s="2">
        <v>205448</v>
      </c>
      <c r="M734" s="2">
        <v>114345</v>
      </c>
      <c r="N734" s="2">
        <v>0</v>
      </c>
      <c r="O734" s="2">
        <v>0</v>
      </c>
      <c r="P734" s="2"/>
      <c r="Q734" s="2">
        <v>14458</v>
      </c>
      <c r="R734" s="2">
        <v>202214</v>
      </c>
      <c r="S734" s="2">
        <v>209206</v>
      </c>
      <c r="T734" s="2">
        <v>179018</v>
      </c>
      <c r="U734" s="2">
        <v>0</v>
      </c>
      <c r="V734" s="2"/>
      <c r="W734" s="2">
        <v>176557</v>
      </c>
      <c r="X734" s="2">
        <v>143334</v>
      </c>
      <c r="Y734" s="2">
        <v>0</v>
      </c>
      <c r="Z734" s="2">
        <v>0</v>
      </c>
      <c r="AA734" s="2">
        <v>0</v>
      </c>
      <c r="AB734" s="2"/>
      <c r="AC734" s="2">
        <v>14280</v>
      </c>
      <c r="AD734" s="2">
        <v>14135</v>
      </c>
      <c r="AE734" s="2">
        <v>13994</v>
      </c>
      <c r="AF734" s="2">
        <v>0</v>
      </c>
      <c r="AG734" s="2">
        <v>0</v>
      </c>
      <c r="AH734" s="2"/>
      <c r="AI734" s="2">
        <v>-5954</v>
      </c>
      <c r="AJ734" s="2">
        <v>-5954</v>
      </c>
      <c r="AK734" s="2">
        <v>-5953</v>
      </c>
      <c r="AL734" s="2">
        <v>0</v>
      </c>
      <c r="AM734" s="2">
        <v>-5954</v>
      </c>
    </row>
    <row r="735" spans="1:39">
      <c r="A735" s="349">
        <v>97913</v>
      </c>
      <c r="B735" s="342" t="s">
        <v>2764</v>
      </c>
      <c r="C735" s="358">
        <v>2.2900000000000001E-5</v>
      </c>
      <c r="E735" s="2">
        <v>13539</v>
      </c>
      <c r="F735" s="2">
        <v>14183</v>
      </c>
      <c r="G735" s="2">
        <v>8085</v>
      </c>
      <c r="H735" s="2">
        <v>3408</v>
      </c>
      <c r="I735" s="2">
        <v>0</v>
      </c>
      <c r="J735" s="2"/>
      <c r="K735" s="2">
        <v>4246</v>
      </c>
      <c r="L735" s="2">
        <v>3911</v>
      </c>
      <c r="M735" s="2">
        <v>2177</v>
      </c>
      <c r="N735" s="2">
        <v>0</v>
      </c>
      <c r="O735" s="2">
        <v>0</v>
      </c>
      <c r="P735" s="2"/>
      <c r="Q735" s="2">
        <v>275</v>
      </c>
      <c r="R735" s="2">
        <v>3850</v>
      </c>
      <c r="S735" s="2">
        <v>3983</v>
      </c>
      <c r="T735" s="2">
        <v>3408</v>
      </c>
      <c r="U735" s="2">
        <v>0</v>
      </c>
      <c r="V735" s="2"/>
      <c r="W735" s="2">
        <v>3361</v>
      </c>
      <c r="X735" s="2">
        <v>2729</v>
      </c>
      <c r="Y735" s="2">
        <v>0</v>
      </c>
      <c r="Z735" s="2">
        <v>0</v>
      </c>
      <c r="AA735" s="2">
        <v>0</v>
      </c>
      <c r="AB735" s="2"/>
      <c r="AC735" s="2">
        <v>5657</v>
      </c>
      <c r="AD735" s="2">
        <v>3693</v>
      </c>
      <c r="AE735" s="2">
        <v>1925</v>
      </c>
      <c r="AF735" s="2">
        <v>0</v>
      </c>
      <c r="AG735" s="2">
        <v>0</v>
      </c>
      <c r="AH735" s="2"/>
      <c r="AI735" s="2">
        <v>0</v>
      </c>
      <c r="AJ735" s="2">
        <v>0</v>
      </c>
      <c r="AK735" s="2">
        <v>0</v>
      </c>
      <c r="AL735" s="2">
        <v>0</v>
      </c>
      <c r="AM735" s="2">
        <v>0</v>
      </c>
    </row>
    <row r="736" spans="1:39">
      <c r="A736" s="349">
        <v>97917</v>
      </c>
      <c r="B736" s="342" t="s">
        <v>1430</v>
      </c>
      <c r="C736" s="358">
        <v>1.7799999999999999E-5</v>
      </c>
      <c r="E736" s="2">
        <v>9909</v>
      </c>
      <c r="F736" s="2">
        <v>10980</v>
      </c>
      <c r="G736" s="2">
        <v>7019</v>
      </c>
      <c r="H736" s="2">
        <v>2649</v>
      </c>
      <c r="I736" s="2">
        <v>0</v>
      </c>
      <c r="J736" s="2"/>
      <c r="K736" s="2">
        <v>3300</v>
      </c>
      <c r="L736" s="2">
        <v>3040</v>
      </c>
      <c r="M736" s="2">
        <v>1692</v>
      </c>
      <c r="N736" s="2">
        <v>0</v>
      </c>
      <c r="O736" s="2">
        <v>0</v>
      </c>
      <c r="P736" s="2"/>
      <c r="Q736" s="2">
        <v>214</v>
      </c>
      <c r="R736" s="2">
        <v>2992</v>
      </c>
      <c r="S736" s="2">
        <v>3096</v>
      </c>
      <c r="T736" s="2">
        <v>2649</v>
      </c>
      <c r="U736" s="2">
        <v>0</v>
      </c>
      <c r="V736" s="2"/>
      <c r="W736" s="2">
        <v>2613</v>
      </c>
      <c r="X736" s="2">
        <v>2121</v>
      </c>
      <c r="Y736" s="2">
        <v>0</v>
      </c>
      <c r="Z736" s="2">
        <v>0</v>
      </c>
      <c r="AA736" s="2">
        <v>0</v>
      </c>
      <c r="AB736" s="2"/>
      <c r="AC736" s="2">
        <v>3782</v>
      </c>
      <c r="AD736" s="2">
        <v>2827</v>
      </c>
      <c r="AE736" s="2">
        <v>2231</v>
      </c>
      <c r="AF736" s="2">
        <v>0</v>
      </c>
      <c r="AG736" s="2">
        <v>0</v>
      </c>
      <c r="AH736" s="2"/>
      <c r="AI736" s="2">
        <v>0</v>
      </c>
      <c r="AJ736" s="2">
        <v>0</v>
      </c>
      <c r="AK736" s="2">
        <v>0</v>
      </c>
      <c r="AL736" s="2">
        <v>0</v>
      </c>
      <c r="AM736" s="2">
        <v>0</v>
      </c>
    </row>
    <row r="737" spans="1:39">
      <c r="A737" s="349">
        <v>97921</v>
      </c>
      <c r="B737" s="342" t="s">
        <v>1431</v>
      </c>
      <c r="C737" s="358">
        <v>2.14E-4</v>
      </c>
      <c r="E737" s="2">
        <v>75312</v>
      </c>
      <c r="F737" s="2">
        <v>99755</v>
      </c>
      <c r="G737" s="2">
        <v>57390</v>
      </c>
      <c r="H737" s="2">
        <v>31848</v>
      </c>
      <c r="I737" s="2">
        <v>0</v>
      </c>
      <c r="J737" s="2"/>
      <c r="K737" s="2">
        <v>39678</v>
      </c>
      <c r="L737" s="2">
        <v>36550</v>
      </c>
      <c r="M737" s="2">
        <v>20342</v>
      </c>
      <c r="N737" s="2">
        <v>0</v>
      </c>
      <c r="O737" s="2">
        <v>0</v>
      </c>
      <c r="P737" s="2"/>
      <c r="Q737" s="2">
        <v>2572</v>
      </c>
      <c r="R737" s="2">
        <v>35974</v>
      </c>
      <c r="S737" s="2">
        <v>37218</v>
      </c>
      <c r="T737" s="2">
        <v>31848</v>
      </c>
      <c r="U737" s="2">
        <v>0</v>
      </c>
      <c r="V737" s="2"/>
      <c r="W737" s="2">
        <v>31410</v>
      </c>
      <c r="X737" s="2">
        <v>25500</v>
      </c>
      <c r="Y737" s="2">
        <v>0</v>
      </c>
      <c r="Z737" s="2">
        <v>0</v>
      </c>
      <c r="AA737" s="2">
        <v>0</v>
      </c>
      <c r="AB737" s="2"/>
      <c r="AC737" s="2">
        <v>5017</v>
      </c>
      <c r="AD737" s="2">
        <v>5015</v>
      </c>
      <c r="AE737" s="2">
        <v>3116</v>
      </c>
      <c r="AF737" s="2">
        <v>0</v>
      </c>
      <c r="AG737" s="2">
        <v>0</v>
      </c>
      <c r="AH737" s="2"/>
      <c r="AI737" s="2">
        <v>-3365</v>
      </c>
      <c r="AJ737" s="2">
        <v>-3284</v>
      </c>
      <c r="AK737" s="2">
        <v>-3286</v>
      </c>
      <c r="AL737" s="2">
        <v>0</v>
      </c>
      <c r="AM737" s="2">
        <v>-3284</v>
      </c>
    </row>
    <row r="738" spans="1:39">
      <c r="A738" s="349">
        <v>97931</v>
      </c>
      <c r="B738" s="342" t="s">
        <v>1432</v>
      </c>
      <c r="C738" s="358">
        <v>7.7700000000000005E-5</v>
      </c>
      <c r="E738" s="2">
        <v>31872</v>
      </c>
      <c r="F738" s="2">
        <v>39337</v>
      </c>
      <c r="G738" s="2">
        <v>25085</v>
      </c>
      <c r="H738" s="2">
        <v>11563</v>
      </c>
      <c r="I738" s="2">
        <v>0</v>
      </c>
      <c r="J738" s="2"/>
      <c r="K738" s="2">
        <v>14406</v>
      </c>
      <c r="L738" s="2">
        <v>13271</v>
      </c>
      <c r="M738" s="2">
        <v>7386</v>
      </c>
      <c r="N738" s="2">
        <v>0</v>
      </c>
      <c r="O738" s="2">
        <v>0</v>
      </c>
      <c r="P738" s="2"/>
      <c r="Q738" s="2">
        <v>934</v>
      </c>
      <c r="R738" s="2">
        <v>13062</v>
      </c>
      <c r="S738" s="2">
        <v>13513</v>
      </c>
      <c r="T738" s="2">
        <v>11563</v>
      </c>
      <c r="U738" s="2">
        <v>0</v>
      </c>
      <c r="V738" s="2"/>
      <c r="W738" s="2">
        <v>11404</v>
      </c>
      <c r="X738" s="2">
        <v>9258</v>
      </c>
      <c r="Y738" s="2">
        <v>0</v>
      </c>
      <c r="Z738" s="2">
        <v>0</v>
      </c>
      <c r="AA738" s="2">
        <v>0</v>
      </c>
      <c r="AB738" s="2"/>
      <c r="AC738" s="2">
        <v>5570</v>
      </c>
      <c r="AD738" s="2">
        <v>4187</v>
      </c>
      <c r="AE738" s="2">
        <v>4186</v>
      </c>
      <c r="AF738" s="2">
        <v>0</v>
      </c>
      <c r="AG738" s="2">
        <v>0</v>
      </c>
      <c r="AH738" s="2"/>
      <c r="AI738" s="2">
        <v>-442</v>
      </c>
      <c r="AJ738" s="2">
        <v>-441</v>
      </c>
      <c r="AK738" s="2">
        <v>0</v>
      </c>
      <c r="AL738" s="2">
        <v>0</v>
      </c>
      <c r="AM738" s="2">
        <v>-441</v>
      </c>
    </row>
    <row r="739" spans="1:39">
      <c r="A739" s="349">
        <v>97941</v>
      </c>
      <c r="B739" s="342" t="s">
        <v>1433</v>
      </c>
      <c r="C739" s="358">
        <v>2.195E-4</v>
      </c>
      <c r="E739" s="2">
        <v>84693</v>
      </c>
      <c r="F739" s="2">
        <v>111873</v>
      </c>
      <c r="G739" s="2">
        <v>67656</v>
      </c>
      <c r="H739" s="2">
        <v>32666</v>
      </c>
      <c r="I739" s="2">
        <v>0</v>
      </c>
      <c r="J739" s="2"/>
      <c r="K739" s="2">
        <v>40697</v>
      </c>
      <c r="L739" s="2">
        <v>37489</v>
      </c>
      <c r="M739" s="2">
        <v>20865</v>
      </c>
      <c r="N739" s="2">
        <v>0</v>
      </c>
      <c r="O739" s="2">
        <v>0</v>
      </c>
      <c r="P739" s="2"/>
      <c r="Q739" s="2">
        <v>2638</v>
      </c>
      <c r="R739" s="2">
        <v>36899</v>
      </c>
      <c r="S739" s="2">
        <v>38175</v>
      </c>
      <c r="T739" s="2">
        <v>32666</v>
      </c>
      <c r="U739" s="2">
        <v>0</v>
      </c>
      <c r="V739" s="2"/>
      <c r="W739" s="2">
        <v>32217</v>
      </c>
      <c r="X739" s="2">
        <v>26155</v>
      </c>
      <c r="Y739" s="2">
        <v>0</v>
      </c>
      <c r="Z739" s="2">
        <v>0</v>
      </c>
      <c r="AA739" s="2">
        <v>0</v>
      </c>
      <c r="AB739" s="2"/>
      <c r="AC739" s="2">
        <v>11328</v>
      </c>
      <c r="AD739" s="2">
        <v>11330</v>
      </c>
      <c r="AE739" s="2">
        <v>8616</v>
      </c>
      <c r="AF739" s="2">
        <v>0</v>
      </c>
      <c r="AG739" s="2">
        <v>0</v>
      </c>
      <c r="AH739" s="2"/>
      <c r="AI739" s="2">
        <v>-2187</v>
      </c>
      <c r="AJ739" s="2">
        <v>0</v>
      </c>
      <c r="AK739" s="2">
        <v>0</v>
      </c>
      <c r="AL739" s="2">
        <v>0</v>
      </c>
      <c r="AM739" s="2">
        <v>0</v>
      </c>
    </row>
    <row r="740" spans="1:39">
      <c r="A740" s="349">
        <v>97947</v>
      </c>
      <c r="B740" s="342" t="s">
        <v>1434</v>
      </c>
      <c r="C740" s="358">
        <v>1.5E-5</v>
      </c>
      <c r="E740" s="2">
        <v>9022</v>
      </c>
      <c r="F740" s="2">
        <v>9981</v>
      </c>
      <c r="G740" s="2">
        <v>5811</v>
      </c>
      <c r="H740" s="2">
        <v>2232</v>
      </c>
      <c r="I740" s="2">
        <v>0</v>
      </c>
      <c r="J740" s="2"/>
      <c r="K740" s="2">
        <v>2781</v>
      </c>
      <c r="L740" s="2">
        <v>2562</v>
      </c>
      <c r="M740" s="2">
        <v>1426</v>
      </c>
      <c r="N740" s="2">
        <v>0</v>
      </c>
      <c r="O740" s="2">
        <v>0</v>
      </c>
      <c r="P740" s="2"/>
      <c r="Q740" s="2">
        <v>180</v>
      </c>
      <c r="R740" s="2">
        <v>2522</v>
      </c>
      <c r="S740" s="2">
        <v>2609</v>
      </c>
      <c r="T740" s="2">
        <v>2232</v>
      </c>
      <c r="U740" s="2">
        <v>0</v>
      </c>
      <c r="V740" s="2"/>
      <c r="W740" s="2">
        <v>2202</v>
      </c>
      <c r="X740" s="2">
        <v>1787</v>
      </c>
      <c r="Y740" s="2">
        <v>0</v>
      </c>
      <c r="Z740" s="2">
        <v>0</v>
      </c>
      <c r="AA740" s="2">
        <v>0</v>
      </c>
      <c r="AB740" s="2"/>
      <c r="AC740" s="2">
        <v>3859</v>
      </c>
      <c r="AD740" s="2">
        <v>3110</v>
      </c>
      <c r="AE740" s="2">
        <v>1776</v>
      </c>
      <c r="AF740" s="2">
        <v>0</v>
      </c>
      <c r="AG740" s="2">
        <v>0</v>
      </c>
      <c r="AH740" s="2"/>
      <c r="AI740" s="2">
        <v>0</v>
      </c>
      <c r="AJ740" s="2">
        <v>0</v>
      </c>
      <c r="AK740" s="2">
        <v>0</v>
      </c>
      <c r="AL740" s="2">
        <v>0</v>
      </c>
      <c r="AM740" s="2">
        <v>0</v>
      </c>
    </row>
    <row r="741" spans="1:39">
      <c r="A741" s="349">
        <v>97948</v>
      </c>
      <c r="B741" s="342" t="s">
        <v>3693</v>
      </c>
      <c r="C741" s="358">
        <v>2.65E-5</v>
      </c>
      <c r="E741" s="2">
        <v>8145</v>
      </c>
      <c r="F741" s="2">
        <v>13217</v>
      </c>
      <c r="G741" s="2">
        <v>8111</v>
      </c>
      <c r="H741" s="2">
        <v>3944</v>
      </c>
      <c r="I741" s="2">
        <v>0</v>
      </c>
      <c r="J741" s="2"/>
      <c r="K741" s="2">
        <v>4913</v>
      </c>
      <c r="L741" s="2">
        <v>4526</v>
      </c>
      <c r="M741" s="2">
        <v>2519</v>
      </c>
      <c r="N741" s="2">
        <v>0</v>
      </c>
      <c r="O741" s="2">
        <v>0</v>
      </c>
      <c r="P741" s="2"/>
      <c r="Q741" s="2">
        <v>319</v>
      </c>
      <c r="R741" s="2">
        <v>4455</v>
      </c>
      <c r="S741" s="2">
        <v>4609</v>
      </c>
      <c r="T741" s="2">
        <v>3944</v>
      </c>
      <c r="U741" s="2">
        <v>0</v>
      </c>
      <c r="V741" s="2"/>
      <c r="W741" s="2">
        <v>3890</v>
      </c>
      <c r="X741" s="2">
        <v>3158</v>
      </c>
      <c r="Y741" s="2">
        <v>0</v>
      </c>
      <c r="Z741" s="2">
        <v>0</v>
      </c>
      <c r="AA741" s="2">
        <v>0</v>
      </c>
      <c r="AB741" s="2"/>
      <c r="AC741" s="2">
        <v>1080</v>
      </c>
      <c r="AD741" s="2">
        <v>1078</v>
      </c>
      <c r="AE741" s="2">
        <v>983</v>
      </c>
      <c r="AF741" s="2">
        <v>0</v>
      </c>
      <c r="AG741" s="2">
        <v>0</v>
      </c>
      <c r="AH741" s="2"/>
      <c r="AI741" s="2">
        <v>-2057</v>
      </c>
      <c r="AJ741" s="2">
        <v>0</v>
      </c>
      <c r="AK741" s="2">
        <v>0</v>
      </c>
      <c r="AL741" s="2">
        <v>0</v>
      </c>
      <c r="AM741" s="2">
        <v>0</v>
      </c>
    </row>
    <row r="742" spans="1:39">
      <c r="A742" s="349">
        <v>97951</v>
      </c>
      <c r="B742" s="342" t="s">
        <v>1436</v>
      </c>
      <c r="C742" s="358">
        <v>1.1284000000000001E-3</v>
      </c>
      <c r="E742" s="2">
        <v>402617</v>
      </c>
      <c r="F742" s="2">
        <v>526691</v>
      </c>
      <c r="G742" s="2">
        <v>313359</v>
      </c>
      <c r="H742" s="2">
        <v>167931</v>
      </c>
      <c r="I742" s="2">
        <v>0</v>
      </c>
      <c r="J742" s="2"/>
      <c r="K742" s="2">
        <v>209216</v>
      </c>
      <c r="L742" s="2">
        <v>192724</v>
      </c>
      <c r="M742" s="2">
        <v>107263</v>
      </c>
      <c r="N742" s="2">
        <v>0</v>
      </c>
      <c r="O742" s="2">
        <v>0</v>
      </c>
      <c r="P742" s="2"/>
      <c r="Q742" s="2">
        <v>13562</v>
      </c>
      <c r="R742" s="2">
        <v>189690</v>
      </c>
      <c r="S742" s="2">
        <v>196249</v>
      </c>
      <c r="T742" s="2">
        <v>167931</v>
      </c>
      <c r="U742" s="2">
        <v>0</v>
      </c>
      <c r="V742" s="2"/>
      <c r="W742" s="2">
        <v>165622</v>
      </c>
      <c r="X742" s="2">
        <v>134457</v>
      </c>
      <c r="Y742" s="2">
        <v>0</v>
      </c>
      <c r="Z742" s="2">
        <v>0</v>
      </c>
      <c r="AA742" s="2">
        <v>0</v>
      </c>
      <c r="AB742" s="2"/>
      <c r="AC742" s="2">
        <v>14242</v>
      </c>
      <c r="AD742" s="2">
        <v>9845</v>
      </c>
      <c r="AE742" s="2">
        <v>9847</v>
      </c>
      <c r="AF742" s="2">
        <v>0</v>
      </c>
      <c r="AG742" s="2">
        <v>0</v>
      </c>
      <c r="AH742" s="2"/>
      <c r="AI742" s="2">
        <v>-25</v>
      </c>
      <c r="AJ742" s="2">
        <v>-25</v>
      </c>
      <c r="AK742" s="2">
        <v>0</v>
      </c>
      <c r="AL742" s="2">
        <v>0</v>
      </c>
      <c r="AM742" s="2">
        <v>-25</v>
      </c>
    </row>
    <row r="743" spans="1:39">
      <c r="A743" s="349">
        <v>97957</v>
      </c>
      <c r="B743" s="342" t="s">
        <v>1437</v>
      </c>
      <c r="C743" s="358">
        <v>1.3900000000000001E-5</v>
      </c>
      <c r="E743" s="2">
        <v>8285</v>
      </c>
      <c r="F743" s="2">
        <v>9166</v>
      </c>
      <c r="G743" s="2">
        <v>5876</v>
      </c>
      <c r="H743" s="2">
        <v>2069</v>
      </c>
      <c r="I743" s="2">
        <v>0</v>
      </c>
      <c r="J743" s="2"/>
      <c r="K743" s="2">
        <v>2577</v>
      </c>
      <c r="L743" s="2">
        <v>2374</v>
      </c>
      <c r="M743" s="2">
        <v>1321</v>
      </c>
      <c r="N743" s="2">
        <v>0</v>
      </c>
      <c r="O743" s="2">
        <v>0</v>
      </c>
      <c r="P743" s="2"/>
      <c r="Q743" s="2">
        <v>167</v>
      </c>
      <c r="R743" s="2">
        <v>2337</v>
      </c>
      <c r="S743" s="2">
        <v>2417</v>
      </c>
      <c r="T743" s="2">
        <v>2069</v>
      </c>
      <c r="U743" s="2">
        <v>0</v>
      </c>
      <c r="V743" s="2"/>
      <c r="W743" s="2">
        <v>2040</v>
      </c>
      <c r="X743" s="2">
        <v>1656</v>
      </c>
      <c r="Y743" s="2">
        <v>0</v>
      </c>
      <c r="Z743" s="2">
        <v>0</v>
      </c>
      <c r="AA743" s="2">
        <v>0</v>
      </c>
      <c r="AB743" s="2"/>
      <c r="AC743" s="2">
        <v>3501</v>
      </c>
      <c r="AD743" s="2">
        <v>2799</v>
      </c>
      <c r="AE743" s="2">
        <v>2138</v>
      </c>
      <c r="AF743" s="2">
        <v>0</v>
      </c>
      <c r="AG743" s="2">
        <v>0</v>
      </c>
      <c r="AH743" s="2"/>
      <c r="AI743" s="2">
        <v>0</v>
      </c>
      <c r="AJ743" s="2">
        <v>0</v>
      </c>
      <c r="AK743" s="2">
        <v>0</v>
      </c>
      <c r="AL743" s="2">
        <v>0</v>
      </c>
      <c r="AM743" s="2">
        <v>0</v>
      </c>
    </row>
    <row r="744" spans="1:39">
      <c r="A744" s="349">
        <v>98001</v>
      </c>
      <c r="B744" s="342" t="s">
        <v>1438</v>
      </c>
      <c r="C744" s="358">
        <v>5.3790000000000001E-3</v>
      </c>
      <c r="E744" s="2">
        <v>1956866</v>
      </c>
      <c r="F744" s="2">
        <v>2540554</v>
      </c>
      <c r="G744" s="2">
        <v>1479852</v>
      </c>
      <c r="H744" s="2">
        <v>800514</v>
      </c>
      <c r="I744" s="2">
        <v>0</v>
      </c>
      <c r="J744" s="2"/>
      <c r="K744" s="2">
        <v>997315</v>
      </c>
      <c r="L744" s="2">
        <v>918701</v>
      </c>
      <c r="M744" s="2">
        <v>511317</v>
      </c>
      <c r="N744" s="2">
        <v>0</v>
      </c>
      <c r="O744" s="2">
        <v>0</v>
      </c>
      <c r="P744" s="2"/>
      <c r="Q744" s="2">
        <v>64650</v>
      </c>
      <c r="R744" s="2">
        <v>904237</v>
      </c>
      <c r="S744" s="2">
        <v>935505</v>
      </c>
      <c r="T744" s="2">
        <v>800514</v>
      </c>
      <c r="U744" s="2">
        <v>0</v>
      </c>
      <c r="V744" s="2"/>
      <c r="W744" s="2">
        <v>789508</v>
      </c>
      <c r="X744" s="2">
        <v>640946</v>
      </c>
      <c r="Y744" s="2">
        <v>0</v>
      </c>
      <c r="Z744" s="2">
        <v>0</v>
      </c>
      <c r="AA744" s="2">
        <v>0</v>
      </c>
      <c r="AB744" s="2"/>
      <c r="AC744" s="2">
        <v>119089</v>
      </c>
      <c r="AD744" s="2">
        <v>90366</v>
      </c>
      <c r="AE744" s="2">
        <v>46728</v>
      </c>
      <c r="AF744" s="2">
        <v>0</v>
      </c>
      <c r="AG744" s="2">
        <v>0</v>
      </c>
      <c r="AH744" s="2"/>
      <c r="AI744" s="2">
        <v>-13696</v>
      </c>
      <c r="AJ744" s="2">
        <v>-13696</v>
      </c>
      <c r="AK744" s="2">
        <v>-13698</v>
      </c>
      <c r="AL744" s="2">
        <v>0</v>
      </c>
      <c r="AM744" s="2">
        <v>-13696</v>
      </c>
    </row>
    <row r="745" spans="1:39">
      <c r="A745" s="349">
        <v>98002</v>
      </c>
      <c r="B745" s="342" t="s">
        <v>1439</v>
      </c>
      <c r="C745" s="358">
        <v>5.5999999999999997E-6</v>
      </c>
      <c r="E745" s="2">
        <v>2836</v>
      </c>
      <c r="F745" s="2">
        <v>3364</v>
      </c>
      <c r="G745" s="2">
        <v>2028</v>
      </c>
      <c r="H745" s="2">
        <v>833</v>
      </c>
      <c r="I745" s="2">
        <v>0</v>
      </c>
      <c r="J745" s="2"/>
      <c r="K745" s="2">
        <v>1038</v>
      </c>
      <c r="L745" s="2">
        <v>956</v>
      </c>
      <c r="M745" s="2">
        <v>532</v>
      </c>
      <c r="N745" s="2">
        <v>0</v>
      </c>
      <c r="O745" s="2">
        <v>0</v>
      </c>
      <c r="P745" s="2"/>
      <c r="Q745" s="2">
        <v>67</v>
      </c>
      <c r="R745" s="2">
        <v>941</v>
      </c>
      <c r="S745" s="2">
        <v>974</v>
      </c>
      <c r="T745" s="2">
        <v>833</v>
      </c>
      <c r="U745" s="2">
        <v>0</v>
      </c>
      <c r="V745" s="2"/>
      <c r="W745" s="2">
        <v>822</v>
      </c>
      <c r="X745" s="2">
        <v>667</v>
      </c>
      <c r="Y745" s="2">
        <v>0</v>
      </c>
      <c r="Z745" s="2">
        <v>0</v>
      </c>
      <c r="AA745" s="2">
        <v>0</v>
      </c>
      <c r="AB745" s="2"/>
      <c r="AC745" s="2">
        <v>909</v>
      </c>
      <c r="AD745" s="2">
        <v>800</v>
      </c>
      <c r="AE745" s="2">
        <v>522</v>
      </c>
      <c r="AF745" s="2">
        <v>0</v>
      </c>
      <c r="AG745" s="2">
        <v>0</v>
      </c>
      <c r="AH745" s="2"/>
      <c r="AI745" s="2">
        <v>0</v>
      </c>
      <c r="AJ745" s="2">
        <v>0</v>
      </c>
      <c r="AK745" s="2">
        <v>0</v>
      </c>
      <c r="AL745" s="2">
        <v>0</v>
      </c>
      <c r="AM745" s="2">
        <v>0</v>
      </c>
    </row>
    <row r="746" spans="1:39">
      <c r="A746" s="349">
        <v>98003</v>
      </c>
      <c r="B746" s="342" t="s">
        <v>3694</v>
      </c>
      <c r="C746" s="358">
        <v>6.9999999999999994E-5</v>
      </c>
      <c r="E746" s="2">
        <v>46078</v>
      </c>
      <c r="F746" s="2">
        <v>47639</v>
      </c>
      <c r="G746" s="2">
        <v>27829</v>
      </c>
      <c r="H746" s="2">
        <v>10418</v>
      </c>
      <c r="I746" s="2">
        <v>0</v>
      </c>
      <c r="J746" s="2"/>
      <c r="K746" s="2">
        <v>12979</v>
      </c>
      <c r="L746" s="2">
        <v>11956</v>
      </c>
      <c r="M746" s="2">
        <v>6654</v>
      </c>
      <c r="N746" s="2">
        <v>0</v>
      </c>
      <c r="O746" s="2">
        <v>0</v>
      </c>
      <c r="P746" s="2"/>
      <c r="Q746" s="2">
        <v>841</v>
      </c>
      <c r="R746" s="2">
        <v>11767</v>
      </c>
      <c r="S746" s="2">
        <v>12174</v>
      </c>
      <c r="T746" s="2">
        <v>10418</v>
      </c>
      <c r="U746" s="2">
        <v>0</v>
      </c>
      <c r="V746" s="2"/>
      <c r="W746" s="2">
        <v>10274</v>
      </c>
      <c r="X746" s="2">
        <v>8341</v>
      </c>
      <c r="Y746" s="2">
        <v>0</v>
      </c>
      <c r="Z746" s="2">
        <v>0</v>
      </c>
      <c r="AA746" s="2">
        <v>0</v>
      </c>
      <c r="AB746" s="2"/>
      <c r="AC746" s="2">
        <v>21984</v>
      </c>
      <c r="AD746" s="2">
        <v>15575</v>
      </c>
      <c r="AE746" s="2">
        <v>9001</v>
      </c>
      <c r="AF746" s="2">
        <v>0</v>
      </c>
      <c r="AG746" s="2">
        <v>0</v>
      </c>
      <c r="AH746" s="2"/>
      <c r="AI746" s="2">
        <v>0</v>
      </c>
      <c r="AJ746" s="2">
        <v>0</v>
      </c>
      <c r="AK746" s="2">
        <v>0</v>
      </c>
      <c r="AL746" s="2">
        <v>0</v>
      </c>
      <c r="AM746" s="2">
        <v>0</v>
      </c>
    </row>
    <row r="747" spans="1:39">
      <c r="A747" s="349">
        <v>98004</v>
      </c>
      <c r="B747" s="342" t="s">
        <v>1441</v>
      </c>
      <c r="C747" s="358">
        <v>1.3569999999999999E-4</v>
      </c>
      <c r="E747" s="2">
        <v>78943</v>
      </c>
      <c r="F747" s="2">
        <v>90090</v>
      </c>
      <c r="G747" s="2">
        <v>59567</v>
      </c>
      <c r="H747" s="2">
        <v>20195</v>
      </c>
      <c r="I747" s="2">
        <v>0</v>
      </c>
      <c r="J747" s="2"/>
      <c r="K747" s="2">
        <v>25160</v>
      </c>
      <c r="L747" s="2">
        <v>23177</v>
      </c>
      <c r="M747" s="2">
        <v>12899</v>
      </c>
      <c r="N747" s="2">
        <v>0</v>
      </c>
      <c r="O747" s="2">
        <v>0</v>
      </c>
      <c r="P747" s="2"/>
      <c r="Q747" s="2">
        <v>1631</v>
      </c>
      <c r="R747" s="2">
        <v>22812</v>
      </c>
      <c r="S747" s="2">
        <v>23601</v>
      </c>
      <c r="T747" s="2">
        <v>20195</v>
      </c>
      <c r="U747" s="2">
        <v>0</v>
      </c>
      <c r="V747" s="2"/>
      <c r="W747" s="2">
        <v>19918</v>
      </c>
      <c r="X747" s="2">
        <v>16170</v>
      </c>
      <c r="Y747" s="2">
        <v>0</v>
      </c>
      <c r="Z747" s="2">
        <v>0</v>
      </c>
      <c r="AA747" s="2">
        <v>0</v>
      </c>
      <c r="AB747" s="2"/>
      <c r="AC747" s="2">
        <v>32234</v>
      </c>
      <c r="AD747" s="2">
        <v>27931</v>
      </c>
      <c r="AE747" s="2">
        <v>23067</v>
      </c>
      <c r="AF747" s="2">
        <v>0</v>
      </c>
      <c r="AG747" s="2">
        <v>0</v>
      </c>
      <c r="AH747" s="2"/>
      <c r="AI747" s="2">
        <v>0</v>
      </c>
      <c r="AJ747" s="2">
        <v>0</v>
      </c>
      <c r="AK747" s="2">
        <v>0</v>
      </c>
      <c r="AL747" s="2">
        <v>0</v>
      </c>
      <c r="AM747" s="2">
        <v>0</v>
      </c>
    </row>
    <row r="748" spans="1:39">
      <c r="A748" s="349">
        <v>98008</v>
      </c>
      <c r="B748" s="342" t="s">
        <v>3695</v>
      </c>
      <c r="C748" s="358">
        <v>6.8000000000000001E-6</v>
      </c>
      <c r="E748" s="2">
        <v>2011</v>
      </c>
      <c r="F748" s="2">
        <v>2776</v>
      </c>
      <c r="G748" s="2">
        <v>1553</v>
      </c>
      <c r="H748" s="2">
        <v>1012</v>
      </c>
      <c r="I748" s="2">
        <v>0</v>
      </c>
      <c r="J748" s="2"/>
      <c r="K748" s="2">
        <v>1261</v>
      </c>
      <c r="L748" s="2">
        <v>1161</v>
      </c>
      <c r="M748" s="2">
        <v>646</v>
      </c>
      <c r="N748" s="2">
        <v>0</v>
      </c>
      <c r="O748" s="2">
        <v>0</v>
      </c>
      <c r="P748" s="2"/>
      <c r="Q748" s="2">
        <v>82</v>
      </c>
      <c r="R748" s="2">
        <v>1143</v>
      </c>
      <c r="S748" s="2">
        <v>1183</v>
      </c>
      <c r="T748" s="2">
        <v>1012</v>
      </c>
      <c r="U748" s="2">
        <v>0</v>
      </c>
      <c r="V748" s="2"/>
      <c r="W748" s="2">
        <v>998</v>
      </c>
      <c r="X748" s="2">
        <v>810</v>
      </c>
      <c r="Y748" s="2">
        <v>0</v>
      </c>
      <c r="Z748" s="2">
        <v>0</v>
      </c>
      <c r="AA748" s="2">
        <v>0</v>
      </c>
      <c r="AB748" s="2"/>
      <c r="AC748" s="2">
        <v>8</v>
      </c>
      <c r="AD748" s="2">
        <v>0</v>
      </c>
      <c r="AE748" s="2">
        <v>0</v>
      </c>
      <c r="AF748" s="2">
        <v>0</v>
      </c>
      <c r="AG748" s="2">
        <v>0</v>
      </c>
      <c r="AH748" s="2"/>
      <c r="AI748" s="2">
        <v>-338</v>
      </c>
      <c r="AJ748" s="2">
        <v>-338</v>
      </c>
      <c r="AK748" s="2">
        <v>-276</v>
      </c>
      <c r="AL748" s="2">
        <v>0</v>
      </c>
      <c r="AM748" s="2">
        <v>-338</v>
      </c>
    </row>
    <row r="749" spans="1:39">
      <c r="A749" s="349">
        <v>98011</v>
      </c>
      <c r="B749" s="342" t="s">
        <v>1443</v>
      </c>
      <c r="C749" s="358">
        <v>3.4218999999999999E-3</v>
      </c>
      <c r="E749" s="2">
        <v>1151719</v>
      </c>
      <c r="F749" s="2">
        <v>1548863</v>
      </c>
      <c r="G749" s="2">
        <v>881530</v>
      </c>
      <c r="H749" s="2">
        <v>509254</v>
      </c>
      <c r="I749" s="2">
        <v>0</v>
      </c>
      <c r="J749" s="2"/>
      <c r="K749" s="2">
        <v>634451</v>
      </c>
      <c r="L749" s="2">
        <v>584440</v>
      </c>
      <c r="M749" s="2">
        <v>325279</v>
      </c>
      <c r="N749" s="2">
        <v>0</v>
      </c>
      <c r="O749" s="2">
        <v>0</v>
      </c>
      <c r="P749" s="2"/>
      <c r="Q749" s="2">
        <v>41128</v>
      </c>
      <c r="R749" s="2">
        <v>575238</v>
      </c>
      <c r="S749" s="2">
        <v>595130</v>
      </c>
      <c r="T749" s="2">
        <v>509254</v>
      </c>
      <c r="U749" s="2">
        <v>0</v>
      </c>
      <c r="V749" s="2"/>
      <c r="W749" s="2">
        <v>502253</v>
      </c>
      <c r="X749" s="2">
        <v>407743</v>
      </c>
      <c r="Y749" s="2">
        <v>0</v>
      </c>
      <c r="Z749" s="2">
        <v>0</v>
      </c>
      <c r="AA749" s="2">
        <v>0</v>
      </c>
      <c r="AB749" s="2"/>
      <c r="AC749" s="2">
        <v>28962</v>
      </c>
      <c r="AD749" s="2">
        <v>28964</v>
      </c>
      <c r="AE749" s="2">
        <v>8642</v>
      </c>
      <c r="AF749" s="2">
        <v>0</v>
      </c>
      <c r="AG749" s="2">
        <v>0</v>
      </c>
      <c r="AH749" s="2"/>
      <c r="AI749" s="2">
        <v>-55075</v>
      </c>
      <c r="AJ749" s="2">
        <v>-47522</v>
      </c>
      <c r="AK749" s="2">
        <v>-47521</v>
      </c>
      <c r="AL749" s="2">
        <v>0</v>
      </c>
      <c r="AM749" s="2">
        <v>-47522</v>
      </c>
    </row>
    <row r="750" spans="1:39">
      <c r="A750" s="349">
        <v>98013</v>
      </c>
      <c r="B750" s="342" t="s">
        <v>3696</v>
      </c>
      <c r="C750" s="358">
        <v>1.4520000000000001E-4</v>
      </c>
      <c r="E750" s="2">
        <v>97348</v>
      </c>
      <c r="F750" s="2">
        <v>99353</v>
      </c>
      <c r="G750" s="2">
        <v>57970</v>
      </c>
      <c r="H750" s="2">
        <v>21609</v>
      </c>
      <c r="I750" s="2">
        <v>0</v>
      </c>
      <c r="J750" s="2"/>
      <c r="K750" s="2">
        <v>26921</v>
      </c>
      <c r="L750" s="2">
        <v>24799</v>
      </c>
      <c r="M750" s="2">
        <v>13802</v>
      </c>
      <c r="N750" s="2">
        <v>0</v>
      </c>
      <c r="O750" s="2">
        <v>0</v>
      </c>
      <c r="P750" s="2"/>
      <c r="Q750" s="2">
        <v>1745</v>
      </c>
      <c r="R750" s="2">
        <v>24409</v>
      </c>
      <c r="S750" s="2">
        <v>25253</v>
      </c>
      <c r="T750" s="2">
        <v>21609</v>
      </c>
      <c r="U750" s="2">
        <v>0</v>
      </c>
      <c r="V750" s="2"/>
      <c r="W750" s="2">
        <v>21312</v>
      </c>
      <c r="X750" s="2">
        <v>17302</v>
      </c>
      <c r="Y750" s="2">
        <v>0</v>
      </c>
      <c r="Z750" s="2">
        <v>0</v>
      </c>
      <c r="AA750" s="2">
        <v>0</v>
      </c>
      <c r="AB750" s="2"/>
      <c r="AC750" s="2">
        <v>47370</v>
      </c>
      <c r="AD750" s="2">
        <v>32843</v>
      </c>
      <c r="AE750" s="2">
        <v>18915</v>
      </c>
      <c r="AF750" s="2">
        <v>0</v>
      </c>
      <c r="AG750" s="2">
        <v>0</v>
      </c>
      <c r="AH750" s="2"/>
      <c r="AI750" s="2">
        <v>0</v>
      </c>
      <c r="AJ750" s="2">
        <v>0</v>
      </c>
      <c r="AK750" s="2">
        <v>0</v>
      </c>
      <c r="AL750" s="2">
        <v>0</v>
      </c>
      <c r="AM750" s="2">
        <v>0</v>
      </c>
    </row>
    <row r="751" spans="1:39">
      <c r="A751" s="349">
        <v>98021</v>
      </c>
      <c r="B751" s="342" t="s">
        <v>1445</v>
      </c>
      <c r="C751" s="358">
        <v>4.0899999999999998E-5</v>
      </c>
      <c r="E751" s="2">
        <v>11032</v>
      </c>
      <c r="F751" s="2">
        <v>16036</v>
      </c>
      <c r="G751" s="2">
        <v>15341</v>
      </c>
      <c r="H751" s="2">
        <v>6087</v>
      </c>
      <c r="I751" s="2">
        <v>0</v>
      </c>
      <c r="J751" s="2"/>
      <c r="K751" s="2">
        <v>7583</v>
      </c>
      <c r="L751" s="2">
        <v>6985</v>
      </c>
      <c r="M751" s="2">
        <v>3888</v>
      </c>
      <c r="N751" s="2">
        <v>0</v>
      </c>
      <c r="O751" s="2">
        <v>0</v>
      </c>
      <c r="P751" s="2"/>
      <c r="Q751" s="2">
        <v>492</v>
      </c>
      <c r="R751" s="2">
        <v>6875</v>
      </c>
      <c r="S751" s="2">
        <v>7113</v>
      </c>
      <c r="T751" s="2">
        <v>6087</v>
      </c>
      <c r="U751" s="2">
        <v>0</v>
      </c>
      <c r="V751" s="2"/>
      <c r="W751" s="2">
        <v>6003</v>
      </c>
      <c r="X751" s="2">
        <v>4874</v>
      </c>
      <c r="Y751" s="2">
        <v>0</v>
      </c>
      <c r="Z751" s="2">
        <v>0</v>
      </c>
      <c r="AA751" s="2">
        <v>0</v>
      </c>
      <c r="AB751" s="2"/>
      <c r="AC751" s="2">
        <v>4341</v>
      </c>
      <c r="AD751" s="2">
        <v>4341</v>
      </c>
      <c r="AE751" s="2">
        <v>4340</v>
      </c>
      <c r="AF751" s="2">
        <v>0</v>
      </c>
      <c r="AG751" s="2">
        <v>0</v>
      </c>
      <c r="AH751" s="2"/>
      <c r="AI751" s="2">
        <v>-7387</v>
      </c>
      <c r="AJ751" s="2">
        <v>-7039</v>
      </c>
      <c r="AK751" s="2">
        <v>0</v>
      </c>
      <c r="AL751" s="2">
        <v>0</v>
      </c>
      <c r="AM751" s="2">
        <v>-7039</v>
      </c>
    </row>
    <row r="752" spans="1:39">
      <c r="A752" s="349">
        <v>98023</v>
      </c>
      <c r="B752" s="342" t="s">
        <v>1446</v>
      </c>
      <c r="C752" s="358">
        <v>1.1800000000000001E-5</v>
      </c>
      <c r="E752" s="2">
        <v>3176</v>
      </c>
      <c r="F752" s="2">
        <v>4493</v>
      </c>
      <c r="G752" s="2">
        <v>1853</v>
      </c>
      <c r="H752" s="2">
        <v>1756</v>
      </c>
      <c r="I752" s="2">
        <v>0</v>
      </c>
      <c r="J752" s="2"/>
      <c r="K752" s="2">
        <v>2188</v>
      </c>
      <c r="L752" s="2">
        <v>2015</v>
      </c>
      <c r="M752" s="2">
        <v>1122</v>
      </c>
      <c r="N752" s="2">
        <v>0</v>
      </c>
      <c r="O752" s="2">
        <v>0</v>
      </c>
      <c r="P752" s="2"/>
      <c r="Q752" s="2">
        <v>142</v>
      </c>
      <c r="R752" s="2">
        <v>1984</v>
      </c>
      <c r="S752" s="2">
        <v>2052</v>
      </c>
      <c r="T752" s="2">
        <v>1756</v>
      </c>
      <c r="U752" s="2">
        <v>0</v>
      </c>
      <c r="V752" s="2"/>
      <c r="W752" s="2">
        <v>1732</v>
      </c>
      <c r="X752" s="2">
        <v>1406</v>
      </c>
      <c r="Y752" s="2">
        <v>0</v>
      </c>
      <c r="Z752" s="2">
        <v>0</v>
      </c>
      <c r="AA752" s="2">
        <v>0</v>
      </c>
      <c r="AB752" s="2"/>
      <c r="AC752" s="2">
        <v>1258</v>
      </c>
      <c r="AD752" s="2">
        <v>1232</v>
      </c>
      <c r="AE752" s="2">
        <v>825</v>
      </c>
      <c r="AF752" s="2">
        <v>0</v>
      </c>
      <c r="AG752" s="2">
        <v>0</v>
      </c>
      <c r="AH752" s="2"/>
      <c r="AI752" s="2">
        <v>-2144</v>
      </c>
      <c r="AJ752" s="2">
        <v>-2144</v>
      </c>
      <c r="AK752" s="2">
        <v>-2146</v>
      </c>
      <c r="AL752" s="2">
        <v>0</v>
      </c>
      <c r="AM752" s="2">
        <v>-2144</v>
      </c>
    </row>
    <row r="753" spans="1:39">
      <c r="A753" s="349">
        <v>98031</v>
      </c>
      <c r="B753" s="342" t="s">
        <v>1447</v>
      </c>
      <c r="C753" s="358">
        <v>1.3129999999999999E-4</v>
      </c>
      <c r="E753" s="2">
        <v>31224</v>
      </c>
      <c r="F753" s="2">
        <v>47005</v>
      </c>
      <c r="G753" s="2">
        <v>20887</v>
      </c>
      <c r="H753" s="2">
        <v>19540</v>
      </c>
      <c r="I753" s="2">
        <v>0</v>
      </c>
      <c r="J753" s="2"/>
      <c r="K753" s="2">
        <v>24344</v>
      </c>
      <c r="L753" s="2">
        <v>22425</v>
      </c>
      <c r="M753" s="2">
        <v>12481</v>
      </c>
      <c r="N753" s="2">
        <v>0</v>
      </c>
      <c r="O753" s="2">
        <v>0</v>
      </c>
      <c r="P753" s="2"/>
      <c r="Q753" s="2">
        <v>1578</v>
      </c>
      <c r="R753" s="2">
        <v>22072</v>
      </c>
      <c r="S753" s="2">
        <v>22835</v>
      </c>
      <c r="T753" s="2">
        <v>19540</v>
      </c>
      <c r="U753" s="2">
        <v>0</v>
      </c>
      <c r="V753" s="2"/>
      <c r="W753" s="2">
        <v>19272</v>
      </c>
      <c r="X753" s="2">
        <v>15645</v>
      </c>
      <c r="Y753" s="2">
        <v>0</v>
      </c>
      <c r="Z753" s="2">
        <v>0</v>
      </c>
      <c r="AA753" s="2">
        <v>0</v>
      </c>
      <c r="AB753" s="2"/>
      <c r="AC753" s="2">
        <v>1293</v>
      </c>
      <c r="AD753" s="2">
        <v>1292</v>
      </c>
      <c r="AE753" s="2">
        <v>0</v>
      </c>
      <c r="AF753" s="2">
        <v>0</v>
      </c>
      <c r="AG753" s="2">
        <v>0</v>
      </c>
      <c r="AH753" s="2"/>
      <c r="AI753" s="2">
        <v>-15263</v>
      </c>
      <c r="AJ753" s="2">
        <v>-14429</v>
      </c>
      <c r="AK753" s="2">
        <v>-14429</v>
      </c>
      <c r="AL753" s="2">
        <v>0</v>
      </c>
      <c r="AM753" s="2">
        <v>-14429</v>
      </c>
    </row>
    <row r="754" spans="1:39">
      <c r="A754" s="349">
        <v>98041</v>
      </c>
      <c r="B754" s="342" t="s">
        <v>1448</v>
      </c>
      <c r="C754" s="358">
        <v>2.1320000000000001E-4</v>
      </c>
      <c r="E754" s="2">
        <v>68692</v>
      </c>
      <c r="F754" s="2">
        <v>90052</v>
      </c>
      <c r="G754" s="2">
        <v>46859</v>
      </c>
      <c r="H754" s="2">
        <v>31729</v>
      </c>
      <c r="I754" s="2">
        <v>0</v>
      </c>
      <c r="J754" s="2"/>
      <c r="K754" s="2">
        <v>39529</v>
      </c>
      <c r="L754" s="2">
        <v>36413</v>
      </c>
      <c r="M754" s="2">
        <v>20266</v>
      </c>
      <c r="N754" s="2">
        <v>0</v>
      </c>
      <c r="O754" s="2">
        <v>0</v>
      </c>
      <c r="P754" s="2"/>
      <c r="Q754" s="2">
        <v>2562</v>
      </c>
      <c r="R754" s="2">
        <v>35840</v>
      </c>
      <c r="S754" s="2">
        <v>37079</v>
      </c>
      <c r="T754" s="2">
        <v>31729</v>
      </c>
      <c r="U754" s="2">
        <v>0</v>
      </c>
      <c r="V754" s="2"/>
      <c r="W754" s="2">
        <v>31293</v>
      </c>
      <c r="X754" s="2">
        <v>25404</v>
      </c>
      <c r="Y754" s="2">
        <v>0</v>
      </c>
      <c r="Z754" s="2">
        <v>0</v>
      </c>
      <c r="AA754" s="2">
        <v>0</v>
      </c>
      <c r="AB754" s="2"/>
      <c r="AC754" s="2">
        <v>5793</v>
      </c>
      <c r="AD754" s="2">
        <v>2880</v>
      </c>
      <c r="AE754" s="2">
        <v>0</v>
      </c>
      <c r="AF754" s="2">
        <v>0</v>
      </c>
      <c r="AG754" s="2">
        <v>0</v>
      </c>
      <c r="AH754" s="2"/>
      <c r="AI754" s="2">
        <v>-10485</v>
      </c>
      <c r="AJ754" s="2">
        <v>-10485</v>
      </c>
      <c r="AK754" s="2">
        <v>-10486</v>
      </c>
      <c r="AL754" s="2">
        <v>0</v>
      </c>
      <c r="AM754" s="2">
        <v>-10485</v>
      </c>
    </row>
    <row r="755" spans="1:39">
      <c r="A755" s="349">
        <v>98051</v>
      </c>
      <c r="B755" s="342" t="s">
        <v>1449</v>
      </c>
      <c r="C755" s="358">
        <v>2.4059999999999999E-4</v>
      </c>
      <c r="E755" s="2">
        <v>61160</v>
      </c>
      <c r="F755" s="2">
        <v>90404</v>
      </c>
      <c r="G755" s="2">
        <v>44850</v>
      </c>
      <c r="H755" s="2">
        <v>35807</v>
      </c>
      <c r="I755" s="2">
        <v>0</v>
      </c>
      <c r="J755" s="2"/>
      <c r="K755" s="2">
        <v>44609</v>
      </c>
      <c r="L755" s="2">
        <v>41093</v>
      </c>
      <c r="M755" s="2">
        <v>22871</v>
      </c>
      <c r="N755" s="2">
        <v>0</v>
      </c>
      <c r="O755" s="2">
        <v>0</v>
      </c>
      <c r="P755" s="2"/>
      <c r="Q755" s="2">
        <v>2892</v>
      </c>
      <c r="R755" s="2">
        <v>40446</v>
      </c>
      <c r="S755" s="2">
        <v>41845</v>
      </c>
      <c r="T755" s="2">
        <v>35807</v>
      </c>
      <c r="U755" s="2">
        <v>0</v>
      </c>
      <c r="V755" s="2"/>
      <c r="W755" s="2">
        <v>35314</v>
      </c>
      <c r="X755" s="2">
        <v>28669</v>
      </c>
      <c r="Y755" s="2">
        <v>0</v>
      </c>
      <c r="Z755" s="2">
        <v>0</v>
      </c>
      <c r="AA755" s="2">
        <v>0</v>
      </c>
      <c r="AB755" s="2"/>
      <c r="AC755" s="2">
        <v>4456</v>
      </c>
      <c r="AD755" s="2">
        <v>4455</v>
      </c>
      <c r="AE755" s="2">
        <v>4392</v>
      </c>
      <c r="AF755" s="2">
        <v>0</v>
      </c>
      <c r="AG755" s="2">
        <v>0</v>
      </c>
      <c r="AH755" s="2"/>
      <c r="AI755" s="2">
        <v>-26111</v>
      </c>
      <c r="AJ755" s="2">
        <v>-24259</v>
      </c>
      <c r="AK755" s="2">
        <v>-24258</v>
      </c>
      <c r="AL755" s="2">
        <v>0</v>
      </c>
      <c r="AM755" s="2">
        <v>-24259</v>
      </c>
    </row>
    <row r="756" spans="1:39">
      <c r="A756" s="349">
        <v>98061</v>
      </c>
      <c r="B756" s="342" t="s">
        <v>1450</v>
      </c>
      <c r="C756" s="358">
        <v>1.2799999999999999E-4</v>
      </c>
      <c r="E756" s="2">
        <v>43857</v>
      </c>
      <c r="F756" s="2">
        <v>57477</v>
      </c>
      <c r="G756" s="2">
        <v>30432</v>
      </c>
      <c r="H756" s="2">
        <v>19049</v>
      </c>
      <c r="I756" s="2">
        <v>0</v>
      </c>
      <c r="J756" s="2"/>
      <c r="K756" s="2">
        <v>23732</v>
      </c>
      <c r="L756" s="2">
        <v>21862</v>
      </c>
      <c r="M756" s="2">
        <v>12167</v>
      </c>
      <c r="N756" s="2">
        <v>0</v>
      </c>
      <c r="O756" s="2">
        <v>0</v>
      </c>
      <c r="P756" s="2"/>
      <c r="Q756" s="2">
        <v>1538</v>
      </c>
      <c r="R756" s="2">
        <v>21517</v>
      </c>
      <c r="S756" s="2">
        <v>22262</v>
      </c>
      <c r="T756" s="2">
        <v>19049</v>
      </c>
      <c r="U756" s="2">
        <v>0</v>
      </c>
      <c r="V756" s="2"/>
      <c r="W756" s="2">
        <v>18787</v>
      </c>
      <c r="X756" s="2">
        <v>15252</v>
      </c>
      <c r="Y756" s="2">
        <v>0</v>
      </c>
      <c r="Z756" s="2">
        <v>0</v>
      </c>
      <c r="AA756" s="2">
        <v>0</v>
      </c>
      <c r="AB756" s="2"/>
      <c r="AC756" s="2">
        <v>3819</v>
      </c>
      <c r="AD756" s="2">
        <v>2865</v>
      </c>
      <c r="AE756" s="2">
        <v>20</v>
      </c>
      <c r="AF756" s="2">
        <v>0</v>
      </c>
      <c r="AG756" s="2">
        <v>0</v>
      </c>
      <c r="AH756" s="2"/>
      <c r="AI756" s="2">
        <v>-4019</v>
      </c>
      <c r="AJ756" s="2">
        <v>-4019</v>
      </c>
      <c r="AK756" s="2">
        <v>-4017</v>
      </c>
      <c r="AL756" s="2">
        <v>0</v>
      </c>
      <c r="AM756" s="2">
        <v>-4019</v>
      </c>
    </row>
    <row r="757" spans="1:39">
      <c r="A757" s="349">
        <v>98071</v>
      </c>
      <c r="B757" s="342" t="s">
        <v>1451</v>
      </c>
      <c r="C757" s="358">
        <v>5.2899999999999998E-5</v>
      </c>
      <c r="E757" s="2">
        <v>32790</v>
      </c>
      <c r="F757" s="2">
        <v>35893</v>
      </c>
      <c r="G757" s="2">
        <v>24068</v>
      </c>
      <c r="H757" s="2">
        <v>7873</v>
      </c>
      <c r="I757" s="2">
        <v>0</v>
      </c>
      <c r="J757" s="2"/>
      <c r="K757" s="2">
        <v>9808</v>
      </c>
      <c r="L757" s="2">
        <v>9035</v>
      </c>
      <c r="M757" s="2">
        <v>5029</v>
      </c>
      <c r="N757" s="2">
        <v>0</v>
      </c>
      <c r="O757" s="2">
        <v>0</v>
      </c>
      <c r="P757" s="2"/>
      <c r="Q757" s="2">
        <v>636</v>
      </c>
      <c r="R757" s="2">
        <v>8893</v>
      </c>
      <c r="S757" s="2">
        <v>9200</v>
      </c>
      <c r="T757" s="2">
        <v>7873</v>
      </c>
      <c r="U757" s="2">
        <v>0</v>
      </c>
      <c r="V757" s="2"/>
      <c r="W757" s="2">
        <v>7764</v>
      </c>
      <c r="X757" s="2">
        <v>6303</v>
      </c>
      <c r="Y757" s="2">
        <v>0</v>
      </c>
      <c r="Z757" s="2">
        <v>0</v>
      </c>
      <c r="AA757" s="2">
        <v>0</v>
      </c>
      <c r="AB757" s="2"/>
      <c r="AC757" s="2">
        <v>14582</v>
      </c>
      <c r="AD757" s="2">
        <v>11662</v>
      </c>
      <c r="AE757" s="2">
        <v>9839</v>
      </c>
      <c r="AF757" s="2">
        <v>0</v>
      </c>
      <c r="AG757" s="2">
        <v>0</v>
      </c>
      <c r="AH757" s="2"/>
      <c r="AI757" s="2">
        <v>0</v>
      </c>
      <c r="AJ757" s="2">
        <v>0</v>
      </c>
      <c r="AK757" s="2">
        <v>0</v>
      </c>
      <c r="AL757" s="2">
        <v>0</v>
      </c>
      <c r="AM757" s="2">
        <v>0</v>
      </c>
    </row>
    <row r="758" spans="1:39">
      <c r="A758" s="349">
        <v>98081</v>
      </c>
      <c r="B758" s="342" t="s">
        <v>1452</v>
      </c>
      <c r="C758" s="358">
        <v>1.45E-5</v>
      </c>
      <c r="E758" s="2">
        <v>3715</v>
      </c>
      <c r="F758" s="2">
        <v>5722</v>
      </c>
      <c r="G758" s="2">
        <v>3260</v>
      </c>
      <c r="H758" s="2">
        <v>2158</v>
      </c>
      <c r="I758" s="2">
        <v>0</v>
      </c>
      <c r="J758" s="2"/>
      <c r="K758" s="2">
        <v>2688</v>
      </c>
      <c r="L758" s="2">
        <v>2477</v>
      </c>
      <c r="M758" s="2">
        <v>1378</v>
      </c>
      <c r="N758" s="2">
        <v>0</v>
      </c>
      <c r="O758" s="2">
        <v>0</v>
      </c>
      <c r="P758" s="2"/>
      <c r="Q758" s="2">
        <v>174</v>
      </c>
      <c r="R758" s="2">
        <v>2438</v>
      </c>
      <c r="S758" s="2">
        <v>2522</v>
      </c>
      <c r="T758" s="2">
        <v>2158</v>
      </c>
      <c r="U758" s="2">
        <v>0</v>
      </c>
      <c r="V758" s="2"/>
      <c r="W758" s="2">
        <v>2128</v>
      </c>
      <c r="X758" s="2">
        <v>1728</v>
      </c>
      <c r="Y758" s="2">
        <v>0</v>
      </c>
      <c r="Z758" s="2">
        <v>0</v>
      </c>
      <c r="AA758" s="2">
        <v>0</v>
      </c>
      <c r="AB758" s="2"/>
      <c r="AC758" s="2">
        <v>0</v>
      </c>
      <c r="AD758" s="2">
        <v>0</v>
      </c>
      <c r="AE758" s="2">
        <v>0</v>
      </c>
      <c r="AF758" s="2">
        <v>0</v>
      </c>
      <c r="AG758" s="2">
        <v>0</v>
      </c>
      <c r="AH758" s="2"/>
      <c r="AI758" s="2">
        <v>-1275</v>
      </c>
      <c r="AJ758" s="2">
        <v>-921</v>
      </c>
      <c r="AK758" s="2">
        <v>-640</v>
      </c>
      <c r="AL758" s="2">
        <v>0</v>
      </c>
      <c r="AM758" s="2">
        <v>-921</v>
      </c>
    </row>
    <row r="759" spans="1:39">
      <c r="A759" s="349">
        <v>98091</v>
      </c>
      <c r="B759" s="342" t="s">
        <v>1453</v>
      </c>
      <c r="C759" s="358">
        <v>4.8099999999999997E-5</v>
      </c>
      <c r="E759" s="2">
        <v>12471</v>
      </c>
      <c r="F759" s="2">
        <v>17831</v>
      </c>
      <c r="G759" s="2">
        <v>7473</v>
      </c>
      <c r="H759" s="2">
        <v>7158</v>
      </c>
      <c r="I759" s="2">
        <v>0</v>
      </c>
      <c r="J759" s="2"/>
      <c r="K759" s="2">
        <v>8918</v>
      </c>
      <c r="L759" s="2">
        <v>8215</v>
      </c>
      <c r="M759" s="2">
        <v>4572</v>
      </c>
      <c r="N759" s="2">
        <v>0</v>
      </c>
      <c r="O759" s="2">
        <v>0</v>
      </c>
      <c r="P759" s="2"/>
      <c r="Q759" s="2">
        <v>578</v>
      </c>
      <c r="R759" s="2">
        <v>8086</v>
      </c>
      <c r="S759" s="2">
        <v>8365</v>
      </c>
      <c r="T759" s="2">
        <v>7158</v>
      </c>
      <c r="U759" s="2">
        <v>0</v>
      </c>
      <c r="V759" s="2"/>
      <c r="W759" s="2">
        <v>7060</v>
      </c>
      <c r="X759" s="2">
        <v>5731</v>
      </c>
      <c r="Y759" s="2">
        <v>0</v>
      </c>
      <c r="Z759" s="2">
        <v>0</v>
      </c>
      <c r="AA759" s="2">
        <v>0</v>
      </c>
      <c r="AB759" s="2"/>
      <c r="AC759" s="2">
        <v>3198</v>
      </c>
      <c r="AD759" s="2">
        <v>3082</v>
      </c>
      <c r="AE759" s="2">
        <v>1818</v>
      </c>
      <c r="AF759" s="2">
        <v>0</v>
      </c>
      <c r="AG759" s="2">
        <v>0</v>
      </c>
      <c r="AH759" s="2"/>
      <c r="AI759" s="2">
        <v>-7283</v>
      </c>
      <c r="AJ759" s="2">
        <v>-7283</v>
      </c>
      <c r="AK759" s="2">
        <v>-7282</v>
      </c>
      <c r="AL759" s="2">
        <v>0</v>
      </c>
      <c r="AM759" s="2">
        <v>-7283</v>
      </c>
    </row>
    <row r="760" spans="1:39">
      <c r="A760" s="349">
        <v>98101</v>
      </c>
      <c r="B760" s="342" t="s">
        <v>1454</v>
      </c>
      <c r="C760" s="358">
        <v>2.7560000000000002E-3</v>
      </c>
      <c r="E760" s="2">
        <v>942888</v>
      </c>
      <c r="F760" s="2">
        <v>1260360</v>
      </c>
      <c r="G760" s="2">
        <v>785193</v>
      </c>
      <c r="H760" s="2">
        <v>410153</v>
      </c>
      <c r="I760" s="2">
        <v>0</v>
      </c>
      <c r="J760" s="2"/>
      <c r="K760" s="2">
        <v>510987</v>
      </c>
      <c r="L760" s="2">
        <v>470708</v>
      </c>
      <c r="M760" s="2">
        <v>261980</v>
      </c>
      <c r="N760" s="2">
        <v>0</v>
      </c>
      <c r="O760" s="2">
        <v>0</v>
      </c>
      <c r="P760" s="2"/>
      <c r="Q760" s="2">
        <v>33124</v>
      </c>
      <c r="R760" s="2">
        <v>463297</v>
      </c>
      <c r="S760" s="2">
        <v>479318</v>
      </c>
      <c r="T760" s="2">
        <v>410153</v>
      </c>
      <c r="U760" s="2">
        <v>0</v>
      </c>
      <c r="V760" s="2"/>
      <c r="W760" s="2">
        <v>404515</v>
      </c>
      <c r="X760" s="2">
        <v>328397</v>
      </c>
      <c r="Y760" s="2">
        <v>0</v>
      </c>
      <c r="Z760" s="2">
        <v>0</v>
      </c>
      <c r="AA760" s="2">
        <v>0</v>
      </c>
      <c r="AB760" s="2"/>
      <c r="AC760" s="2">
        <v>43895</v>
      </c>
      <c r="AD760" s="2">
        <v>43895</v>
      </c>
      <c r="AE760" s="2">
        <v>43895</v>
      </c>
      <c r="AF760" s="2">
        <v>0</v>
      </c>
      <c r="AG760" s="2">
        <v>0</v>
      </c>
      <c r="AH760" s="2"/>
      <c r="AI760" s="2">
        <v>-49633</v>
      </c>
      <c r="AJ760" s="2">
        <v>-45937</v>
      </c>
      <c r="AK760" s="2">
        <v>0</v>
      </c>
      <c r="AL760" s="2">
        <v>0</v>
      </c>
      <c r="AM760" s="2">
        <v>-45937</v>
      </c>
    </row>
    <row r="761" spans="1:39">
      <c r="A761" s="349">
        <v>98102</v>
      </c>
      <c r="B761" s="342" t="s">
        <v>1455</v>
      </c>
      <c r="C761" s="358">
        <v>1.56E-4</v>
      </c>
      <c r="E761" s="2">
        <v>51756</v>
      </c>
      <c r="F761" s="2">
        <v>71414</v>
      </c>
      <c r="G761" s="2">
        <v>43021</v>
      </c>
      <c r="H761" s="2">
        <v>23216</v>
      </c>
      <c r="I761" s="2">
        <v>0</v>
      </c>
      <c r="J761" s="2"/>
      <c r="K761" s="2">
        <v>28924</v>
      </c>
      <c r="L761" s="2">
        <v>26644</v>
      </c>
      <c r="M761" s="2">
        <v>14829</v>
      </c>
      <c r="N761" s="2">
        <v>0</v>
      </c>
      <c r="O761" s="2">
        <v>0</v>
      </c>
      <c r="P761" s="2"/>
      <c r="Q761" s="2">
        <v>1875</v>
      </c>
      <c r="R761" s="2">
        <v>26224</v>
      </c>
      <c r="S761" s="2">
        <v>27131</v>
      </c>
      <c r="T761" s="2">
        <v>23216</v>
      </c>
      <c r="U761" s="2">
        <v>0</v>
      </c>
      <c r="V761" s="2"/>
      <c r="W761" s="2">
        <v>22897</v>
      </c>
      <c r="X761" s="2">
        <v>18588</v>
      </c>
      <c r="Y761" s="2">
        <v>0</v>
      </c>
      <c r="Z761" s="2">
        <v>0</v>
      </c>
      <c r="AA761" s="2">
        <v>0</v>
      </c>
      <c r="AB761" s="2"/>
      <c r="AC761" s="2">
        <v>2199</v>
      </c>
      <c r="AD761" s="2">
        <v>2199</v>
      </c>
      <c r="AE761" s="2">
        <v>2200</v>
      </c>
      <c r="AF761" s="2">
        <v>0</v>
      </c>
      <c r="AG761" s="2">
        <v>0</v>
      </c>
      <c r="AH761" s="2"/>
      <c r="AI761" s="2">
        <v>-4139</v>
      </c>
      <c r="AJ761" s="2">
        <v>-2241</v>
      </c>
      <c r="AK761" s="2">
        <v>-1139</v>
      </c>
      <c r="AL761" s="2">
        <v>0</v>
      </c>
      <c r="AM761" s="2">
        <v>-2241</v>
      </c>
    </row>
    <row r="762" spans="1:39">
      <c r="A762" s="349">
        <v>98103</v>
      </c>
      <c r="B762" s="342" t="s">
        <v>2786</v>
      </c>
      <c r="C762" s="358">
        <v>5.0699999999999996E-4</v>
      </c>
      <c r="E762" s="2">
        <v>171410</v>
      </c>
      <c r="F762" s="2">
        <v>226699</v>
      </c>
      <c r="G762" s="2">
        <v>138827</v>
      </c>
      <c r="H762" s="2">
        <v>75453</v>
      </c>
      <c r="I762" s="2">
        <v>0</v>
      </c>
      <c r="J762" s="2"/>
      <c r="K762" s="2">
        <v>94002</v>
      </c>
      <c r="L762" s="2">
        <v>86593</v>
      </c>
      <c r="M762" s="2">
        <v>48194</v>
      </c>
      <c r="N762" s="2">
        <v>0</v>
      </c>
      <c r="O762" s="2">
        <v>0</v>
      </c>
      <c r="P762" s="2"/>
      <c r="Q762" s="2">
        <v>6094</v>
      </c>
      <c r="R762" s="2">
        <v>85229</v>
      </c>
      <c r="S762" s="2">
        <v>88176</v>
      </c>
      <c r="T762" s="2">
        <v>75453</v>
      </c>
      <c r="U762" s="2">
        <v>0</v>
      </c>
      <c r="V762" s="2"/>
      <c r="W762" s="2">
        <v>74415</v>
      </c>
      <c r="X762" s="2">
        <v>60413</v>
      </c>
      <c r="Y762" s="2">
        <v>0</v>
      </c>
      <c r="Z762" s="2">
        <v>0</v>
      </c>
      <c r="AA762" s="2">
        <v>0</v>
      </c>
      <c r="AB762" s="2"/>
      <c r="AC762" s="2">
        <v>8950</v>
      </c>
      <c r="AD762" s="2">
        <v>6516</v>
      </c>
      <c r="AE762" s="2">
        <v>6516</v>
      </c>
      <c r="AF762" s="2">
        <v>0</v>
      </c>
      <c r="AG762" s="2">
        <v>0</v>
      </c>
      <c r="AH762" s="2"/>
      <c r="AI762" s="2">
        <v>-12051</v>
      </c>
      <c r="AJ762" s="2">
        <v>-12052</v>
      </c>
      <c r="AK762" s="2">
        <v>-4059</v>
      </c>
      <c r="AL762" s="2">
        <v>0</v>
      </c>
      <c r="AM762" s="2">
        <v>-12052</v>
      </c>
    </row>
    <row r="763" spans="1:39">
      <c r="A763" s="349">
        <v>98107</v>
      </c>
      <c r="B763" s="342" t="s">
        <v>1457</v>
      </c>
      <c r="C763" s="358">
        <v>7.9000000000000006E-6</v>
      </c>
      <c r="E763" s="2">
        <v>6918</v>
      </c>
      <c r="F763" s="2">
        <v>6959</v>
      </c>
      <c r="G763" s="2">
        <v>4695</v>
      </c>
      <c r="H763" s="2">
        <v>1176</v>
      </c>
      <c r="I763" s="2">
        <v>0</v>
      </c>
      <c r="J763" s="2"/>
      <c r="K763" s="2">
        <v>1465</v>
      </c>
      <c r="L763" s="2">
        <v>1349</v>
      </c>
      <c r="M763" s="2">
        <v>751</v>
      </c>
      <c r="N763" s="2">
        <v>0</v>
      </c>
      <c r="O763" s="2">
        <v>0</v>
      </c>
      <c r="P763" s="2"/>
      <c r="Q763" s="2">
        <v>95</v>
      </c>
      <c r="R763" s="2">
        <v>1328</v>
      </c>
      <c r="S763" s="2">
        <v>1374</v>
      </c>
      <c r="T763" s="2">
        <v>1176</v>
      </c>
      <c r="U763" s="2">
        <v>0</v>
      </c>
      <c r="V763" s="2"/>
      <c r="W763" s="2">
        <v>1160</v>
      </c>
      <c r="X763" s="2">
        <v>941</v>
      </c>
      <c r="Y763" s="2">
        <v>0</v>
      </c>
      <c r="Z763" s="2">
        <v>0</v>
      </c>
      <c r="AA763" s="2">
        <v>0</v>
      </c>
      <c r="AB763" s="2"/>
      <c r="AC763" s="2">
        <v>4198</v>
      </c>
      <c r="AD763" s="2">
        <v>3341</v>
      </c>
      <c r="AE763" s="2">
        <v>2570</v>
      </c>
      <c r="AF763" s="2">
        <v>0</v>
      </c>
      <c r="AG763" s="2">
        <v>0</v>
      </c>
      <c r="AH763" s="2"/>
      <c r="AI763" s="2">
        <v>0</v>
      </c>
      <c r="AJ763" s="2">
        <v>0</v>
      </c>
      <c r="AK763" s="2">
        <v>0</v>
      </c>
      <c r="AL763" s="2">
        <v>0</v>
      </c>
      <c r="AM763" s="2">
        <v>0</v>
      </c>
    </row>
    <row r="764" spans="1:39">
      <c r="A764" s="349">
        <v>98109</v>
      </c>
      <c r="B764" s="342" t="s">
        <v>3697</v>
      </c>
      <c r="C764" s="358">
        <v>1.4339999999999999E-4</v>
      </c>
      <c r="E764" s="2">
        <v>57200</v>
      </c>
      <c r="F764" s="2">
        <v>70970</v>
      </c>
      <c r="G764" s="2">
        <v>43750</v>
      </c>
      <c r="H764" s="2">
        <v>21341</v>
      </c>
      <c r="I764" s="2">
        <v>0</v>
      </c>
      <c r="J764" s="2"/>
      <c r="K764" s="2">
        <v>26588</v>
      </c>
      <c r="L764" s="2">
        <v>24492</v>
      </c>
      <c r="M764" s="2">
        <v>13631</v>
      </c>
      <c r="N764" s="2">
        <v>0</v>
      </c>
      <c r="O764" s="2">
        <v>0</v>
      </c>
      <c r="P764" s="2"/>
      <c r="Q764" s="2">
        <v>1724</v>
      </c>
      <c r="R764" s="2">
        <v>24106</v>
      </c>
      <c r="S764" s="2">
        <v>24940</v>
      </c>
      <c r="T764" s="2">
        <v>21341</v>
      </c>
      <c r="U764" s="2">
        <v>0</v>
      </c>
      <c r="V764" s="2"/>
      <c r="W764" s="2">
        <v>21048</v>
      </c>
      <c r="X764" s="2">
        <v>17087</v>
      </c>
      <c r="Y764" s="2">
        <v>0</v>
      </c>
      <c r="Z764" s="2">
        <v>0</v>
      </c>
      <c r="AA764" s="2">
        <v>0</v>
      </c>
      <c r="AB764" s="2"/>
      <c r="AC764" s="2">
        <v>8567</v>
      </c>
      <c r="AD764" s="2">
        <v>6012</v>
      </c>
      <c r="AE764" s="2">
        <v>5904</v>
      </c>
      <c r="AF764" s="2">
        <v>0</v>
      </c>
      <c r="AG764" s="2">
        <v>0</v>
      </c>
      <c r="AH764" s="2"/>
      <c r="AI764" s="2">
        <v>-727</v>
      </c>
      <c r="AJ764" s="2">
        <v>-727</v>
      </c>
      <c r="AK764" s="2">
        <v>-725</v>
      </c>
      <c r="AL764" s="2">
        <v>0</v>
      </c>
      <c r="AM764" s="2">
        <v>-727</v>
      </c>
    </row>
    <row r="765" spans="1:39">
      <c r="A765" s="349">
        <v>98111</v>
      </c>
      <c r="B765" s="342" t="s">
        <v>1459</v>
      </c>
      <c r="C765" s="358">
        <v>9.8539999999999999E-4</v>
      </c>
      <c r="E765" s="2">
        <v>291443</v>
      </c>
      <c r="F765" s="2">
        <v>411062</v>
      </c>
      <c r="G765" s="2">
        <v>232516</v>
      </c>
      <c r="H765" s="2">
        <v>146649</v>
      </c>
      <c r="I765" s="2">
        <v>0</v>
      </c>
      <c r="J765" s="2"/>
      <c r="K765" s="2">
        <v>182702</v>
      </c>
      <c r="L765" s="2">
        <v>168300</v>
      </c>
      <c r="M765" s="2">
        <v>93670</v>
      </c>
      <c r="N765" s="2">
        <v>0</v>
      </c>
      <c r="O765" s="2">
        <v>0</v>
      </c>
      <c r="P765" s="2"/>
      <c r="Q765" s="2">
        <v>11844</v>
      </c>
      <c r="R765" s="2">
        <v>165651</v>
      </c>
      <c r="S765" s="2">
        <v>171379</v>
      </c>
      <c r="T765" s="2">
        <v>146649</v>
      </c>
      <c r="U765" s="2">
        <v>0</v>
      </c>
      <c r="V765" s="2"/>
      <c r="W765" s="2">
        <v>144633</v>
      </c>
      <c r="X765" s="2">
        <v>117417</v>
      </c>
      <c r="Y765" s="2">
        <v>0</v>
      </c>
      <c r="Z765" s="2">
        <v>0</v>
      </c>
      <c r="AA765" s="2">
        <v>0</v>
      </c>
      <c r="AB765" s="2"/>
      <c r="AC765" s="2">
        <v>0</v>
      </c>
      <c r="AD765" s="2">
        <v>0</v>
      </c>
      <c r="AE765" s="2">
        <v>0</v>
      </c>
      <c r="AF765" s="2">
        <v>0</v>
      </c>
      <c r="AG765" s="2">
        <v>0</v>
      </c>
      <c r="AH765" s="2"/>
      <c r="AI765" s="2">
        <v>-47736</v>
      </c>
      <c r="AJ765" s="2">
        <v>-40306</v>
      </c>
      <c r="AK765" s="2">
        <v>-32533</v>
      </c>
      <c r="AL765" s="2">
        <v>0</v>
      </c>
      <c r="AM765" s="2">
        <v>-40306</v>
      </c>
    </row>
    <row r="766" spans="1:39">
      <c r="A766" s="349">
        <v>98113</v>
      </c>
      <c r="B766" s="342" t="s">
        <v>1460</v>
      </c>
      <c r="C766" s="358">
        <v>2.9099999999999999E-5</v>
      </c>
      <c r="E766" s="2">
        <v>13140</v>
      </c>
      <c r="F766" s="2">
        <v>14789</v>
      </c>
      <c r="G766" s="2">
        <v>9393</v>
      </c>
      <c r="H766" s="2">
        <v>4331</v>
      </c>
      <c r="I766" s="2">
        <v>0</v>
      </c>
      <c r="J766" s="2"/>
      <c r="K766" s="2">
        <v>5395</v>
      </c>
      <c r="L766" s="2">
        <v>4970</v>
      </c>
      <c r="M766" s="2">
        <v>2766</v>
      </c>
      <c r="N766" s="2">
        <v>0</v>
      </c>
      <c r="O766" s="2">
        <v>0</v>
      </c>
      <c r="P766" s="2"/>
      <c r="Q766" s="2">
        <v>350</v>
      </c>
      <c r="R766" s="2">
        <v>4892</v>
      </c>
      <c r="S766" s="2">
        <v>5061</v>
      </c>
      <c r="T766" s="2">
        <v>4331</v>
      </c>
      <c r="U766" s="2">
        <v>0</v>
      </c>
      <c r="V766" s="2"/>
      <c r="W766" s="2">
        <v>4271</v>
      </c>
      <c r="X766" s="2">
        <v>3467</v>
      </c>
      <c r="Y766" s="2">
        <v>0</v>
      </c>
      <c r="Z766" s="2">
        <v>0</v>
      </c>
      <c r="AA766" s="2">
        <v>0</v>
      </c>
      <c r="AB766" s="2"/>
      <c r="AC766" s="2">
        <v>3228</v>
      </c>
      <c r="AD766" s="2">
        <v>1564</v>
      </c>
      <c r="AE766" s="2">
        <v>1566</v>
      </c>
      <c r="AF766" s="2">
        <v>0</v>
      </c>
      <c r="AG766" s="2">
        <v>0</v>
      </c>
      <c r="AH766" s="2"/>
      <c r="AI766" s="2">
        <v>-104</v>
      </c>
      <c r="AJ766" s="2">
        <v>-104</v>
      </c>
      <c r="AK766" s="2">
        <v>0</v>
      </c>
      <c r="AL766" s="2">
        <v>0</v>
      </c>
      <c r="AM766" s="2">
        <v>-104</v>
      </c>
    </row>
    <row r="767" spans="1:39">
      <c r="A767" s="349">
        <v>98121</v>
      </c>
      <c r="B767" s="342" t="s">
        <v>1461</v>
      </c>
      <c r="C767" s="358">
        <v>2.0430000000000001E-4</v>
      </c>
      <c r="E767" s="2">
        <v>61445</v>
      </c>
      <c r="F767" s="2">
        <v>89996</v>
      </c>
      <c r="G767" s="2">
        <v>50063</v>
      </c>
      <c r="H767" s="2">
        <v>30404</v>
      </c>
      <c r="I767" s="2">
        <v>0</v>
      </c>
      <c r="J767" s="2"/>
      <c r="K767" s="2">
        <v>37879</v>
      </c>
      <c r="L767" s="2">
        <v>34893</v>
      </c>
      <c r="M767" s="2">
        <v>19420</v>
      </c>
      <c r="N767" s="2">
        <v>0</v>
      </c>
      <c r="O767" s="2">
        <v>0</v>
      </c>
      <c r="P767" s="2"/>
      <c r="Q767" s="2">
        <v>2455</v>
      </c>
      <c r="R767" s="2">
        <v>34344</v>
      </c>
      <c r="S767" s="2">
        <v>35531</v>
      </c>
      <c r="T767" s="2">
        <v>30404</v>
      </c>
      <c r="U767" s="2">
        <v>0</v>
      </c>
      <c r="V767" s="2"/>
      <c r="W767" s="2">
        <v>29986</v>
      </c>
      <c r="X767" s="2">
        <v>24344</v>
      </c>
      <c r="Y767" s="2">
        <v>0</v>
      </c>
      <c r="Z767" s="2">
        <v>0</v>
      </c>
      <c r="AA767" s="2">
        <v>0</v>
      </c>
      <c r="AB767" s="2"/>
      <c r="AC767" s="2">
        <v>1306</v>
      </c>
      <c r="AD767" s="2">
        <v>1304</v>
      </c>
      <c r="AE767" s="2">
        <v>0</v>
      </c>
      <c r="AF767" s="2">
        <v>0</v>
      </c>
      <c r="AG767" s="2">
        <v>0</v>
      </c>
      <c r="AH767" s="2"/>
      <c r="AI767" s="2">
        <v>-10181</v>
      </c>
      <c r="AJ767" s="2">
        <v>-4889</v>
      </c>
      <c r="AK767" s="2">
        <v>-4888</v>
      </c>
      <c r="AL767" s="2">
        <v>0</v>
      </c>
      <c r="AM767" s="2">
        <v>-4889</v>
      </c>
    </row>
    <row r="768" spans="1:39">
      <c r="A768" s="349">
        <v>98131</v>
      </c>
      <c r="B768" s="342" t="s">
        <v>1462</v>
      </c>
      <c r="C768" s="358">
        <v>2.5710000000000002E-4</v>
      </c>
      <c r="E768" s="2">
        <v>89031</v>
      </c>
      <c r="F768" s="2">
        <v>124801</v>
      </c>
      <c r="G768" s="2">
        <v>78897</v>
      </c>
      <c r="H768" s="2">
        <v>38262</v>
      </c>
      <c r="I768" s="2">
        <v>0</v>
      </c>
      <c r="J768" s="2"/>
      <c r="K768" s="2">
        <v>47669</v>
      </c>
      <c r="L768" s="2">
        <v>43911</v>
      </c>
      <c r="M768" s="2">
        <v>24439</v>
      </c>
      <c r="N768" s="2">
        <v>0</v>
      </c>
      <c r="O768" s="2">
        <v>0</v>
      </c>
      <c r="P768" s="2"/>
      <c r="Q768" s="2">
        <v>3090</v>
      </c>
      <c r="R768" s="2">
        <v>43220</v>
      </c>
      <c r="S768" s="2">
        <v>44714</v>
      </c>
      <c r="T768" s="2">
        <v>38262</v>
      </c>
      <c r="U768" s="2">
        <v>0</v>
      </c>
      <c r="V768" s="2"/>
      <c r="W768" s="2">
        <v>37736</v>
      </c>
      <c r="X768" s="2">
        <v>30635</v>
      </c>
      <c r="Y768" s="2">
        <v>0</v>
      </c>
      <c r="Z768" s="2">
        <v>0</v>
      </c>
      <c r="AA768" s="2">
        <v>0</v>
      </c>
      <c r="AB768" s="2"/>
      <c r="AC768" s="2">
        <v>9742</v>
      </c>
      <c r="AD768" s="2">
        <v>9742</v>
      </c>
      <c r="AE768" s="2">
        <v>9744</v>
      </c>
      <c r="AF768" s="2">
        <v>0</v>
      </c>
      <c r="AG768" s="2">
        <v>0</v>
      </c>
      <c r="AH768" s="2"/>
      <c r="AI768" s="2">
        <v>-9206</v>
      </c>
      <c r="AJ768" s="2">
        <v>-2707</v>
      </c>
      <c r="AK768" s="2">
        <v>0</v>
      </c>
      <c r="AL768" s="2">
        <v>0</v>
      </c>
      <c r="AM768" s="2">
        <v>-2707</v>
      </c>
    </row>
    <row r="769" spans="1:39">
      <c r="A769" s="349">
        <v>98141</v>
      </c>
      <c r="B769" s="342" t="s">
        <v>1463</v>
      </c>
      <c r="C769" s="358">
        <v>2.8600000000000001E-4</v>
      </c>
      <c r="E769" s="2">
        <v>91255</v>
      </c>
      <c r="F769" s="2">
        <v>122750</v>
      </c>
      <c r="G769" s="2">
        <v>71490</v>
      </c>
      <c r="H769" s="2">
        <v>42563</v>
      </c>
      <c r="I769" s="2">
        <v>0</v>
      </c>
      <c r="J769" s="2"/>
      <c r="K769" s="2">
        <v>53027</v>
      </c>
      <c r="L769" s="2">
        <v>48847</v>
      </c>
      <c r="M769" s="2">
        <v>27187</v>
      </c>
      <c r="N769" s="2">
        <v>0</v>
      </c>
      <c r="O769" s="2">
        <v>0</v>
      </c>
      <c r="P769" s="2"/>
      <c r="Q769" s="2">
        <v>3437</v>
      </c>
      <c r="R769" s="2">
        <v>48078</v>
      </c>
      <c r="S769" s="2">
        <v>49741</v>
      </c>
      <c r="T769" s="2">
        <v>42563</v>
      </c>
      <c r="U769" s="2">
        <v>0</v>
      </c>
      <c r="V769" s="2"/>
      <c r="W769" s="2">
        <v>41978</v>
      </c>
      <c r="X769" s="2">
        <v>34079</v>
      </c>
      <c r="Y769" s="2">
        <v>0</v>
      </c>
      <c r="Z769" s="2">
        <v>0</v>
      </c>
      <c r="AA769" s="2">
        <v>0</v>
      </c>
      <c r="AB769" s="2"/>
      <c r="AC769" s="2">
        <v>1067</v>
      </c>
      <c r="AD769" s="2">
        <v>0</v>
      </c>
      <c r="AE769" s="2">
        <v>0</v>
      </c>
      <c r="AF769" s="2">
        <v>0</v>
      </c>
      <c r="AG769" s="2">
        <v>0</v>
      </c>
      <c r="AH769" s="2"/>
      <c r="AI769" s="2">
        <v>-8254</v>
      </c>
      <c r="AJ769" s="2">
        <v>-8254</v>
      </c>
      <c r="AK769" s="2">
        <v>-5438</v>
      </c>
      <c r="AL769" s="2">
        <v>0</v>
      </c>
      <c r="AM769" s="2">
        <v>-8254</v>
      </c>
    </row>
    <row r="770" spans="1:39">
      <c r="A770" s="349">
        <v>98147</v>
      </c>
      <c r="B770" s="342" t="s">
        <v>1464</v>
      </c>
      <c r="C770" s="358">
        <v>1.03E-5</v>
      </c>
      <c r="E770" s="2">
        <v>7465</v>
      </c>
      <c r="F770" s="2">
        <v>7839</v>
      </c>
      <c r="G770" s="2">
        <v>5130</v>
      </c>
      <c r="H770" s="2">
        <v>1533</v>
      </c>
      <c r="I770" s="2">
        <v>0</v>
      </c>
      <c r="J770" s="2"/>
      <c r="K770" s="2">
        <v>1910</v>
      </c>
      <c r="L770" s="2">
        <v>1759</v>
      </c>
      <c r="M770" s="2">
        <v>979</v>
      </c>
      <c r="N770" s="2">
        <v>0</v>
      </c>
      <c r="O770" s="2">
        <v>0</v>
      </c>
      <c r="P770" s="2"/>
      <c r="Q770" s="2">
        <v>124</v>
      </c>
      <c r="R770" s="2">
        <v>1731</v>
      </c>
      <c r="S770" s="2">
        <v>1791</v>
      </c>
      <c r="T770" s="2">
        <v>1533</v>
      </c>
      <c r="U770" s="2">
        <v>0</v>
      </c>
      <c r="V770" s="2"/>
      <c r="W770" s="2">
        <v>1512</v>
      </c>
      <c r="X770" s="2">
        <v>1227</v>
      </c>
      <c r="Y770" s="2">
        <v>0</v>
      </c>
      <c r="Z770" s="2">
        <v>0</v>
      </c>
      <c r="AA770" s="2">
        <v>0</v>
      </c>
      <c r="AB770" s="2"/>
      <c r="AC770" s="2">
        <v>3919</v>
      </c>
      <c r="AD770" s="2">
        <v>3122</v>
      </c>
      <c r="AE770" s="2">
        <v>2360</v>
      </c>
      <c r="AF770" s="2">
        <v>0</v>
      </c>
      <c r="AG770" s="2">
        <v>0</v>
      </c>
      <c r="AH770" s="2"/>
      <c r="AI770" s="2">
        <v>0</v>
      </c>
      <c r="AJ770" s="2">
        <v>0</v>
      </c>
      <c r="AK770" s="2">
        <v>0</v>
      </c>
      <c r="AL770" s="2">
        <v>0</v>
      </c>
      <c r="AM770" s="2">
        <v>0</v>
      </c>
    </row>
    <row r="771" spans="1:39">
      <c r="A771" s="349">
        <v>98161</v>
      </c>
      <c r="B771" s="342" t="s">
        <v>1465</v>
      </c>
      <c r="C771" s="358">
        <v>5.6999999999999996E-6</v>
      </c>
      <c r="E771" s="2">
        <v>3556</v>
      </c>
      <c r="F771" s="2">
        <v>3879</v>
      </c>
      <c r="G771" s="2">
        <v>2493</v>
      </c>
      <c r="H771" s="2">
        <v>848</v>
      </c>
      <c r="I771" s="2">
        <v>0</v>
      </c>
      <c r="J771" s="2"/>
      <c r="K771" s="2">
        <v>1057</v>
      </c>
      <c r="L771" s="2">
        <v>974</v>
      </c>
      <c r="M771" s="2">
        <v>542</v>
      </c>
      <c r="N771" s="2">
        <v>0</v>
      </c>
      <c r="O771" s="2">
        <v>0</v>
      </c>
      <c r="P771" s="2"/>
      <c r="Q771" s="2">
        <v>69</v>
      </c>
      <c r="R771" s="2">
        <v>958</v>
      </c>
      <c r="S771" s="2">
        <v>991</v>
      </c>
      <c r="T771" s="2">
        <v>848</v>
      </c>
      <c r="U771" s="2">
        <v>0</v>
      </c>
      <c r="V771" s="2"/>
      <c r="W771" s="2">
        <v>837</v>
      </c>
      <c r="X771" s="2">
        <v>679</v>
      </c>
      <c r="Y771" s="2">
        <v>0</v>
      </c>
      <c r="Z771" s="2">
        <v>0</v>
      </c>
      <c r="AA771" s="2">
        <v>0</v>
      </c>
      <c r="AB771" s="2"/>
      <c r="AC771" s="2">
        <v>1593</v>
      </c>
      <c r="AD771" s="2">
        <v>1268</v>
      </c>
      <c r="AE771" s="2">
        <v>960</v>
      </c>
      <c r="AF771" s="2">
        <v>0</v>
      </c>
      <c r="AG771" s="2">
        <v>0</v>
      </c>
      <c r="AH771" s="2"/>
      <c r="AI771" s="2">
        <v>0</v>
      </c>
      <c r="AJ771" s="2">
        <v>0</v>
      </c>
      <c r="AK771" s="2">
        <v>0</v>
      </c>
      <c r="AL771" s="2">
        <v>0</v>
      </c>
      <c r="AM771" s="2">
        <v>0</v>
      </c>
    </row>
    <row r="772" spans="1:39">
      <c r="A772" s="349">
        <v>98201</v>
      </c>
      <c r="B772" s="342" t="s">
        <v>1466</v>
      </c>
      <c r="C772" s="358">
        <v>3.1876000000000001E-3</v>
      </c>
      <c r="E772" s="2">
        <v>1049816</v>
      </c>
      <c r="F772" s="2">
        <v>1396835</v>
      </c>
      <c r="G772" s="2">
        <v>802135</v>
      </c>
      <c r="H772" s="2">
        <v>474385</v>
      </c>
      <c r="I772" s="2">
        <v>0</v>
      </c>
      <c r="J772" s="2"/>
      <c r="K772" s="2">
        <v>591010</v>
      </c>
      <c r="L772" s="2">
        <v>544423</v>
      </c>
      <c r="M772" s="2">
        <v>303007</v>
      </c>
      <c r="N772" s="2">
        <v>0</v>
      </c>
      <c r="O772" s="2">
        <v>0</v>
      </c>
      <c r="P772" s="2"/>
      <c r="Q772" s="2">
        <v>38312</v>
      </c>
      <c r="R772" s="2">
        <v>535851</v>
      </c>
      <c r="S772" s="2">
        <v>554381</v>
      </c>
      <c r="T772" s="2">
        <v>474385</v>
      </c>
      <c r="U772" s="2">
        <v>0</v>
      </c>
      <c r="V772" s="2"/>
      <c r="W772" s="2">
        <v>467863</v>
      </c>
      <c r="X772" s="2">
        <v>379825</v>
      </c>
      <c r="Y772" s="2">
        <v>0</v>
      </c>
      <c r="Z772" s="2">
        <v>0</v>
      </c>
      <c r="AA772" s="2">
        <v>0</v>
      </c>
      <c r="AB772" s="2"/>
      <c r="AC772" s="2">
        <v>40454</v>
      </c>
      <c r="AD772" s="2">
        <v>24557</v>
      </c>
      <c r="AE772" s="2">
        <v>24557</v>
      </c>
      <c r="AF772" s="2">
        <v>0</v>
      </c>
      <c r="AG772" s="2">
        <v>0</v>
      </c>
      <c r="AH772" s="2"/>
      <c r="AI772" s="2">
        <v>-87823</v>
      </c>
      <c r="AJ772" s="2">
        <v>-87821</v>
      </c>
      <c r="AK772" s="2">
        <v>-79810</v>
      </c>
      <c r="AL772" s="2">
        <v>0</v>
      </c>
      <c r="AM772" s="2">
        <v>-87821</v>
      </c>
    </row>
    <row r="773" spans="1:39">
      <c r="A773" s="349">
        <v>98205</v>
      </c>
      <c r="B773" s="342" t="s">
        <v>2802</v>
      </c>
      <c r="C773" s="358">
        <v>2.62E-5</v>
      </c>
      <c r="E773" s="2">
        <v>3273</v>
      </c>
      <c r="F773" s="2">
        <v>6607</v>
      </c>
      <c r="G773" s="2">
        <v>2771</v>
      </c>
      <c r="H773" s="2">
        <v>3899</v>
      </c>
      <c r="I773" s="2">
        <v>0</v>
      </c>
      <c r="J773" s="2"/>
      <c r="K773" s="2">
        <v>4858</v>
      </c>
      <c r="L773" s="2">
        <v>4475</v>
      </c>
      <c r="M773" s="2">
        <v>2491</v>
      </c>
      <c r="N773" s="2">
        <v>0</v>
      </c>
      <c r="O773" s="2">
        <v>0</v>
      </c>
      <c r="P773" s="2"/>
      <c r="Q773" s="2">
        <v>315</v>
      </c>
      <c r="R773" s="2">
        <v>4404</v>
      </c>
      <c r="S773" s="2">
        <v>4557</v>
      </c>
      <c r="T773" s="2">
        <v>3899</v>
      </c>
      <c r="U773" s="2">
        <v>0</v>
      </c>
      <c r="V773" s="2"/>
      <c r="W773" s="2">
        <v>3846</v>
      </c>
      <c r="X773" s="2">
        <v>3122</v>
      </c>
      <c r="Y773" s="2">
        <v>0</v>
      </c>
      <c r="Z773" s="2">
        <v>0</v>
      </c>
      <c r="AA773" s="2">
        <v>0</v>
      </c>
      <c r="AB773" s="2"/>
      <c r="AC773" s="2">
        <v>905</v>
      </c>
      <c r="AD773" s="2">
        <v>905</v>
      </c>
      <c r="AE773" s="2">
        <v>906</v>
      </c>
      <c r="AF773" s="2">
        <v>0</v>
      </c>
      <c r="AG773" s="2">
        <v>0</v>
      </c>
      <c r="AH773" s="2"/>
      <c r="AI773" s="2">
        <v>-6651</v>
      </c>
      <c r="AJ773" s="2">
        <v>-6299</v>
      </c>
      <c r="AK773" s="2">
        <v>-5183</v>
      </c>
      <c r="AL773" s="2">
        <v>0</v>
      </c>
      <c r="AM773" s="2">
        <v>-6299</v>
      </c>
    </row>
    <row r="774" spans="1:39">
      <c r="A774" s="349">
        <v>98211</v>
      </c>
      <c r="B774" s="342" t="s">
        <v>1468</v>
      </c>
      <c r="C774" s="358">
        <v>8.8690000000000004E-4</v>
      </c>
      <c r="E774" s="2">
        <v>271584</v>
      </c>
      <c r="F774" s="2">
        <v>387358</v>
      </c>
      <c r="G774" s="2">
        <v>226059</v>
      </c>
      <c r="H774" s="2">
        <v>131990</v>
      </c>
      <c r="I774" s="2">
        <v>0</v>
      </c>
      <c r="J774" s="2"/>
      <c r="K774" s="2">
        <v>164439</v>
      </c>
      <c r="L774" s="2">
        <v>151477</v>
      </c>
      <c r="M774" s="2">
        <v>84307</v>
      </c>
      <c r="N774" s="2">
        <v>0</v>
      </c>
      <c r="O774" s="2">
        <v>0</v>
      </c>
      <c r="P774" s="2"/>
      <c r="Q774" s="2">
        <v>10660</v>
      </c>
      <c r="R774" s="2">
        <v>149092</v>
      </c>
      <c r="S774" s="2">
        <v>154248</v>
      </c>
      <c r="T774" s="2">
        <v>131990</v>
      </c>
      <c r="U774" s="2">
        <v>0</v>
      </c>
      <c r="V774" s="2"/>
      <c r="W774" s="2">
        <v>130176</v>
      </c>
      <c r="X774" s="2">
        <v>105680</v>
      </c>
      <c r="Y774" s="2">
        <v>0</v>
      </c>
      <c r="Z774" s="2">
        <v>0</v>
      </c>
      <c r="AA774" s="2">
        <v>0</v>
      </c>
      <c r="AB774" s="2"/>
      <c r="AC774" s="2">
        <v>6305</v>
      </c>
      <c r="AD774" s="2">
        <v>6305</v>
      </c>
      <c r="AE774" s="2">
        <v>6305</v>
      </c>
      <c r="AF774" s="2">
        <v>0</v>
      </c>
      <c r="AG774" s="2">
        <v>0</v>
      </c>
      <c r="AH774" s="2"/>
      <c r="AI774" s="2">
        <v>-39996</v>
      </c>
      <c r="AJ774" s="2">
        <v>-25196</v>
      </c>
      <c r="AK774" s="2">
        <v>-18801</v>
      </c>
      <c r="AL774" s="2">
        <v>0</v>
      </c>
      <c r="AM774" s="2">
        <v>-25196</v>
      </c>
    </row>
    <row r="775" spans="1:39">
      <c r="A775" s="349">
        <v>98218</v>
      </c>
      <c r="B775" s="342" t="s">
        <v>1469</v>
      </c>
      <c r="C775" s="358">
        <v>1.77E-5</v>
      </c>
      <c r="E775" s="2">
        <v>7553</v>
      </c>
      <c r="F775" s="2">
        <v>9114</v>
      </c>
      <c r="G775" s="2">
        <v>5168</v>
      </c>
      <c r="H775" s="2">
        <v>2634</v>
      </c>
      <c r="I775" s="2">
        <v>0</v>
      </c>
      <c r="J775" s="2"/>
      <c r="K775" s="2">
        <v>3282</v>
      </c>
      <c r="L775" s="2">
        <v>3023</v>
      </c>
      <c r="M775" s="2">
        <v>1683</v>
      </c>
      <c r="N775" s="2">
        <v>0</v>
      </c>
      <c r="O775" s="2">
        <v>0</v>
      </c>
      <c r="P775" s="2"/>
      <c r="Q775" s="2">
        <v>213</v>
      </c>
      <c r="R775" s="2">
        <v>2975</v>
      </c>
      <c r="S775" s="2">
        <v>3078</v>
      </c>
      <c r="T775" s="2">
        <v>2634</v>
      </c>
      <c r="U775" s="2">
        <v>0</v>
      </c>
      <c r="V775" s="2"/>
      <c r="W775" s="2">
        <v>2598</v>
      </c>
      <c r="X775" s="2">
        <v>2109</v>
      </c>
      <c r="Y775" s="2">
        <v>0</v>
      </c>
      <c r="Z775" s="2">
        <v>0</v>
      </c>
      <c r="AA775" s="2">
        <v>0</v>
      </c>
      <c r="AB775" s="2"/>
      <c r="AC775" s="2">
        <v>1594</v>
      </c>
      <c r="AD775" s="2">
        <v>1141</v>
      </c>
      <c r="AE775" s="2">
        <v>541</v>
      </c>
      <c r="AF775" s="2">
        <v>0</v>
      </c>
      <c r="AG775" s="2">
        <v>0</v>
      </c>
      <c r="AH775" s="2"/>
      <c r="AI775" s="2">
        <v>-134</v>
      </c>
      <c r="AJ775" s="2">
        <v>-134</v>
      </c>
      <c r="AK775" s="2">
        <v>-134</v>
      </c>
      <c r="AL775" s="2">
        <v>0</v>
      </c>
      <c r="AM775" s="2">
        <v>-134</v>
      </c>
    </row>
    <row r="776" spans="1:39">
      <c r="A776" s="349">
        <v>98221</v>
      </c>
      <c r="B776" s="342" t="s">
        <v>1470</v>
      </c>
      <c r="C776" s="358">
        <v>2.51E-5</v>
      </c>
      <c r="E776" s="2">
        <v>9373</v>
      </c>
      <c r="F776" s="2">
        <v>11665</v>
      </c>
      <c r="G776" s="2">
        <v>6579</v>
      </c>
      <c r="H776" s="2">
        <v>3735</v>
      </c>
      <c r="I776" s="2">
        <v>0</v>
      </c>
      <c r="J776" s="2"/>
      <c r="K776" s="2">
        <v>4654</v>
      </c>
      <c r="L776" s="2">
        <v>4287</v>
      </c>
      <c r="M776" s="2">
        <v>2386</v>
      </c>
      <c r="N776" s="2">
        <v>0</v>
      </c>
      <c r="O776" s="2">
        <v>0</v>
      </c>
      <c r="P776" s="2"/>
      <c r="Q776" s="2">
        <v>302</v>
      </c>
      <c r="R776" s="2">
        <v>4219</v>
      </c>
      <c r="S776" s="2">
        <v>4365</v>
      </c>
      <c r="T776" s="2">
        <v>3735</v>
      </c>
      <c r="U776" s="2">
        <v>0</v>
      </c>
      <c r="V776" s="2"/>
      <c r="W776" s="2">
        <v>3684</v>
      </c>
      <c r="X776" s="2">
        <v>2991</v>
      </c>
      <c r="Y776" s="2">
        <v>0</v>
      </c>
      <c r="Z776" s="2">
        <v>0</v>
      </c>
      <c r="AA776" s="2">
        <v>0</v>
      </c>
      <c r="AB776" s="2"/>
      <c r="AC776" s="2">
        <v>2381</v>
      </c>
      <c r="AD776" s="2">
        <v>1816</v>
      </c>
      <c r="AE776" s="2">
        <v>1477</v>
      </c>
      <c r="AF776" s="2">
        <v>0</v>
      </c>
      <c r="AG776" s="2">
        <v>0</v>
      </c>
      <c r="AH776" s="2"/>
      <c r="AI776" s="2">
        <v>-1648</v>
      </c>
      <c r="AJ776" s="2">
        <v>-1648</v>
      </c>
      <c r="AK776" s="2">
        <v>-1649</v>
      </c>
      <c r="AL776" s="2">
        <v>0</v>
      </c>
      <c r="AM776" s="2">
        <v>-1648</v>
      </c>
    </row>
    <row r="777" spans="1:39">
      <c r="A777" s="349">
        <v>98231</v>
      </c>
      <c r="B777" s="342" t="s">
        <v>1471</v>
      </c>
      <c r="C777" s="358">
        <v>2.9200000000000002E-5</v>
      </c>
      <c r="E777" s="2">
        <v>9935</v>
      </c>
      <c r="F777" s="2">
        <v>14597</v>
      </c>
      <c r="G777" s="2">
        <v>7331</v>
      </c>
      <c r="H777" s="2">
        <v>4346</v>
      </c>
      <c r="I777" s="2">
        <v>0</v>
      </c>
      <c r="J777" s="2"/>
      <c r="K777" s="2">
        <v>5414</v>
      </c>
      <c r="L777" s="2">
        <v>4987</v>
      </c>
      <c r="M777" s="2">
        <v>2776</v>
      </c>
      <c r="N777" s="2">
        <v>0</v>
      </c>
      <c r="O777" s="2">
        <v>0</v>
      </c>
      <c r="P777" s="2"/>
      <c r="Q777" s="2">
        <v>351</v>
      </c>
      <c r="R777" s="2">
        <v>4909</v>
      </c>
      <c r="S777" s="2">
        <v>5078</v>
      </c>
      <c r="T777" s="2">
        <v>4346</v>
      </c>
      <c r="U777" s="2">
        <v>0</v>
      </c>
      <c r="V777" s="2"/>
      <c r="W777" s="2">
        <v>4286</v>
      </c>
      <c r="X777" s="2">
        <v>3479</v>
      </c>
      <c r="Y777" s="2">
        <v>0</v>
      </c>
      <c r="Z777" s="2">
        <v>0</v>
      </c>
      <c r="AA777" s="2">
        <v>0</v>
      </c>
      <c r="AB777" s="2"/>
      <c r="AC777" s="2">
        <v>1953</v>
      </c>
      <c r="AD777" s="2">
        <v>1953</v>
      </c>
      <c r="AE777" s="2">
        <v>207</v>
      </c>
      <c r="AF777" s="2">
        <v>0</v>
      </c>
      <c r="AG777" s="2">
        <v>0</v>
      </c>
      <c r="AH777" s="2"/>
      <c r="AI777" s="2">
        <v>-2069</v>
      </c>
      <c r="AJ777" s="2">
        <v>-731</v>
      </c>
      <c r="AK777" s="2">
        <v>-730</v>
      </c>
      <c r="AL777" s="2">
        <v>0</v>
      </c>
      <c r="AM777" s="2">
        <v>-731</v>
      </c>
    </row>
    <row r="778" spans="1:39">
      <c r="A778" s="349">
        <v>98237</v>
      </c>
      <c r="B778" s="342" t="s">
        <v>1472</v>
      </c>
      <c r="C778" s="358">
        <v>6.2999999999999998E-6</v>
      </c>
      <c r="E778" s="2">
        <v>3465</v>
      </c>
      <c r="F778" s="2">
        <v>3312</v>
      </c>
      <c r="G778" s="2">
        <v>1960</v>
      </c>
      <c r="H778" s="2">
        <v>938</v>
      </c>
      <c r="I778" s="2">
        <v>0</v>
      </c>
      <c r="J778" s="2"/>
      <c r="K778" s="2">
        <v>1168</v>
      </c>
      <c r="L778" s="2">
        <v>1076</v>
      </c>
      <c r="M778" s="2">
        <v>599</v>
      </c>
      <c r="N778" s="2">
        <v>0</v>
      </c>
      <c r="O778" s="2">
        <v>0</v>
      </c>
      <c r="P778" s="2"/>
      <c r="Q778" s="2">
        <v>76</v>
      </c>
      <c r="R778" s="2">
        <v>1059</v>
      </c>
      <c r="S778" s="2">
        <v>1096</v>
      </c>
      <c r="T778" s="2">
        <v>938</v>
      </c>
      <c r="U778" s="2">
        <v>0</v>
      </c>
      <c r="V778" s="2"/>
      <c r="W778" s="2">
        <v>925</v>
      </c>
      <c r="X778" s="2">
        <v>751</v>
      </c>
      <c r="Y778" s="2">
        <v>0</v>
      </c>
      <c r="Z778" s="2">
        <v>0</v>
      </c>
      <c r="AA778" s="2">
        <v>0</v>
      </c>
      <c r="AB778" s="2"/>
      <c r="AC778" s="2">
        <v>1336</v>
      </c>
      <c r="AD778" s="2">
        <v>466</v>
      </c>
      <c r="AE778" s="2">
        <v>304</v>
      </c>
      <c r="AF778" s="2">
        <v>0</v>
      </c>
      <c r="AG778" s="2">
        <v>0</v>
      </c>
      <c r="AH778" s="2"/>
      <c r="AI778" s="2">
        <v>-40</v>
      </c>
      <c r="AJ778" s="2">
        <v>-40</v>
      </c>
      <c r="AK778" s="2">
        <v>-39</v>
      </c>
      <c r="AL778" s="2">
        <v>0</v>
      </c>
      <c r="AM778" s="2">
        <v>-40</v>
      </c>
    </row>
    <row r="779" spans="1:39">
      <c r="A779" s="349">
        <v>98241</v>
      </c>
      <c r="B779" s="342" t="s">
        <v>1473</v>
      </c>
      <c r="C779" s="358">
        <v>9.0999999999999993E-6</v>
      </c>
      <c r="E779" s="2">
        <v>539</v>
      </c>
      <c r="F779" s="2">
        <v>2071</v>
      </c>
      <c r="G779" s="2">
        <v>568</v>
      </c>
      <c r="H779" s="2">
        <v>1354</v>
      </c>
      <c r="I779" s="2">
        <v>0</v>
      </c>
      <c r="J779" s="2"/>
      <c r="K779" s="2">
        <v>1687</v>
      </c>
      <c r="L779" s="2">
        <v>1554</v>
      </c>
      <c r="M779" s="2">
        <v>865</v>
      </c>
      <c r="N779" s="2">
        <v>0</v>
      </c>
      <c r="O779" s="2">
        <v>0</v>
      </c>
      <c r="P779" s="2"/>
      <c r="Q779" s="2">
        <v>109</v>
      </c>
      <c r="R779" s="2">
        <v>1530</v>
      </c>
      <c r="S779" s="2">
        <v>1583</v>
      </c>
      <c r="T779" s="2">
        <v>1354</v>
      </c>
      <c r="U779" s="2">
        <v>0</v>
      </c>
      <c r="V779" s="2"/>
      <c r="W779" s="2">
        <v>1336</v>
      </c>
      <c r="X779" s="2">
        <v>1084</v>
      </c>
      <c r="Y779" s="2">
        <v>0</v>
      </c>
      <c r="Z779" s="2">
        <v>0</v>
      </c>
      <c r="AA779" s="2">
        <v>0</v>
      </c>
      <c r="AB779" s="2"/>
      <c r="AC779" s="2">
        <v>1576</v>
      </c>
      <c r="AD779" s="2">
        <v>1576</v>
      </c>
      <c r="AE779" s="2">
        <v>1575</v>
      </c>
      <c r="AF779" s="2">
        <v>0</v>
      </c>
      <c r="AG779" s="2">
        <v>0</v>
      </c>
      <c r="AH779" s="2"/>
      <c r="AI779" s="2">
        <v>-4169</v>
      </c>
      <c r="AJ779" s="2">
        <v>-3673</v>
      </c>
      <c r="AK779" s="2">
        <v>-3455</v>
      </c>
      <c r="AL779" s="2">
        <v>0</v>
      </c>
      <c r="AM779" s="2">
        <v>-3673</v>
      </c>
    </row>
    <row r="780" spans="1:39">
      <c r="A780" s="349">
        <v>98251</v>
      </c>
      <c r="B780" s="342" t="s">
        <v>1474</v>
      </c>
      <c r="C780" s="358">
        <v>2.3E-6</v>
      </c>
      <c r="E780" s="2">
        <v>1713</v>
      </c>
      <c r="F780" s="2">
        <v>1827</v>
      </c>
      <c r="G780" s="2">
        <v>1232</v>
      </c>
      <c r="H780" s="2">
        <v>342</v>
      </c>
      <c r="I780" s="2">
        <v>0</v>
      </c>
      <c r="J780" s="2"/>
      <c r="K780" s="2">
        <v>426</v>
      </c>
      <c r="L780" s="2">
        <v>393</v>
      </c>
      <c r="M780" s="2">
        <v>219</v>
      </c>
      <c r="N780" s="2">
        <v>0</v>
      </c>
      <c r="O780" s="2">
        <v>0</v>
      </c>
      <c r="P780" s="2"/>
      <c r="Q780" s="2">
        <v>28</v>
      </c>
      <c r="R780" s="2">
        <v>387</v>
      </c>
      <c r="S780" s="2">
        <v>400</v>
      </c>
      <c r="T780" s="2">
        <v>342</v>
      </c>
      <c r="U780" s="2">
        <v>0</v>
      </c>
      <c r="V780" s="2"/>
      <c r="W780" s="2">
        <v>338</v>
      </c>
      <c r="X780" s="2">
        <v>274</v>
      </c>
      <c r="Y780" s="2">
        <v>0</v>
      </c>
      <c r="Z780" s="2">
        <v>0</v>
      </c>
      <c r="AA780" s="2">
        <v>0</v>
      </c>
      <c r="AB780" s="2"/>
      <c r="AC780" s="2">
        <v>921</v>
      </c>
      <c r="AD780" s="2">
        <v>773</v>
      </c>
      <c r="AE780" s="2">
        <v>613</v>
      </c>
      <c r="AF780" s="2">
        <v>0</v>
      </c>
      <c r="AG780" s="2">
        <v>0</v>
      </c>
      <c r="AH780" s="2"/>
      <c r="AI780" s="2">
        <v>0</v>
      </c>
      <c r="AJ780" s="2">
        <v>0</v>
      </c>
      <c r="AK780" s="2">
        <v>0</v>
      </c>
      <c r="AL780" s="2">
        <v>0</v>
      </c>
      <c r="AM780" s="2">
        <v>0</v>
      </c>
    </row>
    <row r="781" spans="1:39">
      <c r="A781" s="349">
        <v>98261</v>
      </c>
      <c r="B781" s="342" t="s">
        <v>1475</v>
      </c>
      <c r="C781" s="358">
        <v>3.54E-5</v>
      </c>
      <c r="E781" s="2">
        <v>14984</v>
      </c>
      <c r="F781" s="2">
        <v>18104</v>
      </c>
      <c r="G781" s="2">
        <v>10787</v>
      </c>
      <c r="H781" s="2">
        <v>5268</v>
      </c>
      <c r="I781" s="2">
        <v>0</v>
      </c>
      <c r="J781" s="2"/>
      <c r="K781" s="2">
        <v>6563</v>
      </c>
      <c r="L781" s="2">
        <v>6046</v>
      </c>
      <c r="M781" s="2">
        <v>3365</v>
      </c>
      <c r="N781" s="2">
        <v>0</v>
      </c>
      <c r="O781" s="2">
        <v>0</v>
      </c>
      <c r="P781" s="2"/>
      <c r="Q781" s="2">
        <v>425</v>
      </c>
      <c r="R781" s="2">
        <v>5951</v>
      </c>
      <c r="S781" s="2">
        <v>6157</v>
      </c>
      <c r="T781" s="2">
        <v>5268</v>
      </c>
      <c r="U781" s="2">
        <v>0</v>
      </c>
      <c r="V781" s="2"/>
      <c r="W781" s="2">
        <v>5196</v>
      </c>
      <c r="X781" s="2">
        <v>4218</v>
      </c>
      <c r="Y781" s="2">
        <v>0</v>
      </c>
      <c r="Z781" s="2">
        <v>0</v>
      </c>
      <c r="AA781" s="2">
        <v>0</v>
      </c>
      <c r="AB781" s="2"/>
      <c r="AC781" s="2">
        <v>2800</v>
      </c>
      <c r="AD781" s="2">
        <v>1889</v>
      </c>
      <c r="AE781" s="2">
        <v>1265</v>
      </c>
      <c r="AF781" s="2">
        <v>0</v>
      </c>
      <c r="AG781" s="2">
        <v>0</v>
      </c>
      <c r="AH781" s="2"/>
      <c r="AI781" s="2">
        <v>0</v>
      </c>
      <c r="AJ781" s="2">
        <v>0</v>
      </c>
      <c r="AK781" s="2">
        <v>0</v>
      </c>
      <c r="AL781" s="2">
        <v>0</v>
      </c>
      <c r="AM781" s="2">
        <v>0</v>
      </c>
    </row>
    <row r="782" spans="1:39">
      <c r="A782" s="349">
        <v>98271</v>
      </c>
      <c r="B782" s="342" t="s">
        <v>1476</v>
      </c>
      <c r="C782" s="358">
        <v>6.9E-6</v>
      </c>
      <c r="E782" s="2">
        <v>3829</v>
      </c>
      <c r="F782" s="2">
        <v>4446</v>
      </c>
      <c r="G782" s="2">
        <v>2839</v>
      </c>
      <c r="H782" s="2">
        <v>1027</v>
      </c>
      <c r="I782" s="2">
        <v>0</v>
      </c>
      <c r="J782" s="2"/>
      <c r="K782" s="2">
        <v>1279</v>
      </c>
      <c r="L782" s="2">
        <v>1178</v>
      </c>
      <c r="M782" s="2">
        <v>656</v>
      </c>
      <c r="N782" s="2">
        <v>0</v>
      </c>
      <c r="O782" s="2">
        <v>0</v>
      </c>
      <c r="P782" s="2"/>
      <c r="Q782" s="2">
        <v>83</v>
      </c>
      <c r="R782" s="2">
        <v>1160</v>
      </c>
      <c r="S782" s="2">
        <v>1200</v>
      </c>
      <c r="T782" s="2">
        <v>1027</v>
      </c>
      <c r="U782" s="2">
        <v>0</v>
      </c>
      <c r="V782" s="2"/>
      <c r="W782" s="2">
        <v>1013</v>
      </c>
      <c r="X782" s="2">
        <v>822</v>
      </c>
      <c r="Y782" s="2">
        <v>0</v>
      </c>
      <c r="Z782" s="2">
        <v>0</v>
      </c>
      <c r="AA782" s="2">
        <v>0</v>
      </c>
      <c r="AB782" s="2"/>
      <c r="AC782" s="2">
        <v>1454</v>
      </c>
      <c r="AD782" s="2">
        <v>1286</v>
      </c>
      <c r="AE782" s="2">
        <v>983</v>
      </c>
      <c r="AF782" s="2">
        <v>0</v>
      </c>
      <c r="AG782" s="2">
        <v>0</v>
      </c>
      <c r="AH782" s="2"/>
      <c r="AI782" s="2">
        <v>0</v>
      </c>
      <c r="AJ782" s="2">
        <v>0</v>
      </c>
      <c r="AK782" s="2">
        <v>0</v>
      </c>
      <c r="AL782" s="2">
        <v>0</v>
      </c>
      <c r="AM782" s="2">
        <v>0</v>
      </c>
    </row>
    <row r="783" spans="1:39">
      <c r="A783" s="349">
        <v>98301</v>
      </c>
      <c r="B783" s="342" t="s">
        <v>1477</v>
      </c>
      <c r="C783" s="358">
        <v>1.8286999999999999E-3</v>
      </c>
      <c r="E783" s="2">
        <v>683366</v>
      </c>
      <c r="F783" s="2">
        <v>891398</v>
      </c>
      <c r="G783" s="2">
        <v>538021</v>
      </c>
      <c r="H783" s="2">
        <v>272151</v>
      </c>
      <c r="I783" s="2">
        <v>0</v>
      </c>
      <c r="J783" s="2"/>
      <c r="K783" s="2">
        <v>339057</v>
      </c>
      <c r="L783" s="2">
        <v>312331</v>
      </c>
      <c r="M783" s="2">
        <v>173833</v>
      </c>
      <c r="N783" s="2">
        <v>0</v>
      </c>
      <c r="O783" s="2">
        <v>0</v>
      </c>
      <c r="P783" s="2"/>
      <c r="Q783" s="2">
        <v>21979</v>
      </c>
      <c r="R783" s="2">
        <v>307414</v>
      </c>
      <c r="S783" s="2">
        <v>318044</v>
      </c>
      <c r="T783" s="2">
        <v>272151</v>
      </c>
      <c r="U783" s="2">
        <v>0</v>
      </c>
      <c r="V783" s="2"/>
      <c r="W783" s="2">
        <v>268409</v>
      </c>
      <c r="X783" s="2">
        <v>217902</v>
      </c>
      <c r="Y783" s="2">
        <v>0</v>
      </c>
      <c r="Z783" s="2">
        <v>0</v>
      </c>
      <c r="AA783" s="2">
        <v>0</v>
      </c>
      <c r="AB783" s="2"/>
      <c r="AC783" s="2">
        <v>53921</v>
      </c>
      <c r="AD783" s="2">
        <v>53751</v>
      </c>
      <c r="AE783" s="2">
        <v>46144</v>
      </c>
      <c r="AF783" s="2">
        <v>0</v>
      </c>
      <c r="AG783" s="2">
        <v>0</v>
      </c>
      <c r="AH783" s="2"/>
      <c r="AI783" s="2">
        <v>0</v>
      </c>
      <c r="AJ783" s="2">
        <v>0</v>
      </c>
      <c r="AK783" s="2">
        <v>0</v>
      </c>
      <c r="AL783" s="2">
        <v>0</v>
      </c>
      <c r="AM783" s="2">
        <v>0</v>
      </c>
    </row>
    <row r="784" spans="1:39">
      <c r="A784" s="349">
        <v>98304</v>
      </c>
      <c r="B784" s="342" t="s">
        <v>1478</v>
      </c>
      <c r="C784" s="358">
        <v>2.02E-5</v>
      </c>
      <c r="E784" s="2">
        <v>10003</v>
      </c>
      <c r="F784" s="2">
        <v>11999</v>
      </c>
      <c r="G784" s="2">
        <v>7580</v>
      </c>
      <c r="H784" s="2">
        <v>3006</v>
      </c>
      <c r="I784" s="2">
        <v>0</v>
      </c>
      <c r="J784" s="2"/>
      <c r="K784" s="2">
        <v>3745</v>
      </c>
      <c r="L784" s="2">
        <v>3450</v>
      </c>
      <c r="M784" s="2">
        <v>1920</v>
      </c>
      <c r="N784" s="2">
        <v>0</v>
      </c>
      <c r="O784" s="2">
        <v>0</v>
      </c>
      <c r="P784" s="2"/>
      <c r="Q784" s="2">
        <v>243</v>
      </c>
      <c r="R784" s="2">
        <v>3396</v>
      </c>
      <c r="S784" s="2">
        <v>3513</v>
      </c>
      <c r="T784" s="2">
        <v>3006</v>
      </c>
      <c r="U784" s="2">
        <v>0</v>
      </c>
      <c r="V784" s="2"/>
      <c r="W784" s="2">
        <v>2965</v>
      </c>
      <c r="X784" s="2">
        <v>2407</v>
      </c>
      <c r="Y784" s="2">
        <v>0</v>
      </c>
      <c r="Z784" s="2">
        <v>0</v>
      </c>
      <c r="AA784" s="2">
        <v>0</v>
      </c>
      <c r="AB784" s="2"/>
      <c r="AC784" s="2">
        <v>3050</v>
      </c>
      <c r="AD784" s="2">
        <v>2746</v>
      </c>
      <c r="AE784" s="2">
        <v>2147</v>
      </c>
      <c r="AF784" s="2">
        <v>0</v>
      </c>
      <c r="AG784" s="2">
        <v>0</v>
      </c>
      <c r="AH784" s="2"/>
      <c r="AI784" s="2">
        <v>0</v>
      </c>
      <c r="AJ784" s="2">
        <v>0</v>
      </c>
      <c r="AK784" s="2">
        <v>0</v>
      </c>
      <c r="AL784" s="2">
        <v>0</v>
      </c>
      <c r="AM784" s="2">
        <v>0</v>
      </c>
    </row>
    <row r="785" spans="1:39">
      <c r="A785" s="349">
        <v>98308</v>
      </c>
      <c r="B785" s="342" t="s">
        <v>1479</v>
      </c>
      <c r="C785" s="358">
        <v>1.56E-5</v>
      </c>
      <c r="E785" s="2">
        <v>9639</v>
      </c>
      <c r="F785" s="2">
        <v>10823</v>
      </c>
      <c r="G785" s="2">
        <v>6989</v>
      </c>
      <c r="H785" s="2">
        <v>2322</v>
      </c>
      <c r="I785" s="2">
        <v>0</v>
      </c>
      <c r="J785" s="2"/>
      <c r="K785" s="2">
        <v>2892</v>
      </c>
      <c r="L785" s="2">
        <v>2664</v>
      </c>
      <c r="M785" s="2">
        <v>1483</v>
      </c>
      <c r="N785" s="2">
        <v>0</v>
      </c>
      <c r="O785" s="2">
        <v>0</v>
      </c>
      <c r="P785" s="2"/>
      <c r="Q785" s="2">
        <v>187</v>
      </c>
      <c r="R785" s="2">
        <v>2622</v>
      </c>
      <c r="S785" s="2">
        <v>2713</v>
      </c>
      <c r="T785" s="2">
        <v>2322</v>
      </c>
      <c r="U785" s="2">
        <v>0</v>
      </c>
      <c r="V785" s="2"/>
      <c r="W785" s="2">
        <v>2290</v>
      </c>
      <c r="X785" s="2">
        <v>1859</v>
      </c>
      <c r="Y785" s="2">
        <v>0</v>
      </c>
      <c r="Z785" s="2">
        <v>0</v>
      </c>
      <c r="AA785" s="2">
        <v>0</v>
      </c>
      <c r="AB785" s="2"/>
      <c r="AC785" s="2">
        <v>4270</v>
      </c>
      <c r="AD785" s="2">
        <v>3678</v>
      </c>
      <c r="AE785" s="2">
        <v>2793</v>
      </c>
      <c r="AF785" s="2">
        <v>0</v>
      </c>
      <c r="AG785" s="2">
        <v>0</v>
      </c>
      <c r="AH785" s="2"/>
      <c r="AI785" s="2">
        <v>0</v>
      </c>
      <c r="AJ785" s="2">
        <v>0</v>
      </c>
      <c r="AK785" s="2">
        <v>0</v>
      </c>
      <c r="AL785" s="2">
        <v>0</v>
      </c>
      <c r="AM785" s="2">
        <v>0</v>
      </c>
    </row>
    <row r="786" spans="1:39">
      <c r="A786" s="349">
        <v>98311</v>
      </c>
      <c r="B786" s="342" t="s">
        <v>1480</v>
      </c>
      <c r="C786" s="358">
        <v>1.036E-3</v>
      </c>
      <c r="E786" s="2">
        <v>288691</v>
      </c>
      <c r="F786" s="2">
        <v>418541</v>
      </c>
      <c r="G786" s="2">
        <v>244010</v>
      </c>
      <c r="H786" s="2">
        <v>154180</v>
      </c>
      <c r="I786" s="2">
        <v>0</v>
      </c>
      <c r="J786" s="2"/>
      <c r="K786" s="2">
        <v>192084</v>
      </c>
      <c r="L786" s="2">
        <v>176943</v>
      </c>
      <c r="M786" s="2">
        <v>98480</v>
      </c>
      <c r="N786" s="2">
        <v>0</v>
      </c>
      <c r="O786" s="2">
        <v>0</v>
      </c>
      <c r="P786" s="2"/>
      <c r="Q786" s="2">
        <v>12452</v>
      </c>
      <c r="R786" s="2">
        <v>174157</v>
      </c>
      <c r="S786" s="2">
        <v>180179</v>
      </c>
      <c r="T786" s="2">
        <v>154180</v>
      </c>
      <c r="U786" s="2">
        <v>0</v>
      </c>
      <c r="V786" s="2"/>
      <c r="W786" s="2">
        <v>152060</v>
      </c>
      <c r="X786" s="2">
        <v>123447</v>
      </c>
      <c r="Y786" s="2">
        <v>0</v>
      </c>
      <c r="Z786" s="2">
        <v>0</v>
      </c>
      <c r="AA786" s="2">
        <v>0</v>
      </c>
      <c r="AB786" s="2"/>
      <c r="AC786" s="2">
        <v>0</v>
      </c>
      <c r="AD786" s="2">
        <v>0</v>
      </c>
      <c r="AE786" s="2">
        <v>0</v>
      </c>
      <c r="AF786" s="2">
        <v>0</v>
      </c>
      <c r="AG786" s="2">
        <v>0</v>
      </c>
      <c r="AH786" s="2"/>
      <c r="AI786" s="2">
        <v>-67905</v>
      </c>
      <c r="AJ786" s="2">
        <v>-56006</v>
      </c>
      <c r="AK786" s="2">
        <v>-34649</v>
      </c>
      <c r="AL786" s="2">
        <v>0</v>
      </c>
      <c r="AM786" s="2">
        <v>-56006</v>
      </c>
    </row>
    <row r="787" spans="1:39">
      <c r="A787" s="349">
        <v>98313</v>
      </c>
      <c r="B787" s="342" t="s">
        <v>1481</v>
      </c>
      <c r="C787" s="358">
        <v>1.951E-4</v>
      </c>
      <c r="E787" s="2">
        <v>156959</v>
      </c>
      <c r="F787" s="2">
        <v>150114</v>
      </c>
      <c r="G787" s="2">
        <v>81203</v>
      </c>
      <c r="H787" s="2">
        <v>29035</v>
      </c>
      <c r="I787" s="2">
        <v>0</v>
      </c>
      <c r="J787" s="2"/>
      <c r="K787" s="2">
        <v>36173</v>
      </c>
      <c r="L787" s="2">
        <v>33322</v>
      </c>
      <c r="M787" s="2">
        <v>18546</v>
      </c>
      <c r="N787" s="2">
        <v>0</v>
      </c>
      <c r="O787" s="2">
        <v>0</v>
      </c>
      <c r="P787" s="2"/>
      <c r="Q787" s="2">
        <v>2345</v>
      </c>
      <c r="R787" s="2">
        <v>32797</v>
      </c>
      <c r="S787" s="2">
        <v>33931</v>
      </c>
      <c r="T787" s="2">
        <v>29035</v>
      </c>
      <c r="U787" s="2">
        <v>0</v>
      </c>
      <c r="V787" s="2"/>
      <c r="W787" s="2">
        <v>28636</v>
      </c>
      <c r="X787" s="2">
        <v>23248</v>
      </c>
      <c r="Y787" s="2">
        <v>0</v>
      </c>
      <c r="Z787" s="2">
        <v>0</v>
      </c>
      <c r="AA787" s="2">
        <v>0</v>
      </c>
      <c r="AB787" s="2"/>
      <c r="AC787" s="2">
        <v>89805</v>
      </c>
      <c r="AD787" s="2">
        <v>60747</v>
      </c>
      <c r="AE787" s="2">
        <v>28726</v>
      </c>
      <c r="AF787" s="2">
        <v>0</v>
      </c>
      <c r="AG787" s="2">
        <v>0</v>
      </c>
      <c r="AH787" s="2"/>
      <c r="AI787" s="2">
        <v>0</v>
      </c>
      <c r="AJ787" s="2">
        <v>0</v>
      </c>
      <c r="AK787" s="2">
        <v>0</v>
      </c>
      <c r="AL787" s="2">
        <v>0</v>
      </c>
      <c r="AM787" s="2">
        <v>0</v>
      </c>
    </row>
    <row r="788" spans="1:39">
      <c r="A788" s="349">
        <v>98321</v>
      </c>
      <c r="B788" s="342" t="s">
        <v>1482</v>
      </c>
      <c r="C788" s="358">
        <v>1.3499999999999999E-5</v>
      </c>
      <c r="E788" s="2">
        <v>3460</v>
      </c>
      <c r="F788" s="2">
        <v>4978</v>
      </c>
      <c r="G788" s="2">
        <v>2426</v>
      </c>
      <c r="H788" s="2">
        <v>2009</v>
      </c>
      <c r="I788" s="2">
        <v>0</v>
      </c>
      <c r="J788" s="2"/>
      <c r="K788" s="2">
        <v>2503</v>
      </c>
      <c r="L788" s="2">
        <v>2306</v>
      </c>
      <c r="M788" s="2">
        <v>1283</v>
      </c>
      <c r="N788" s="2">
        <v>0</v>
      </c>
      <c r="O788" s="2">
        <v>0</v>
      </c>
      <c r="P788" s="2"/>
      <c r="Q788" s="2">
        <v>162</v>
      </c>
      <c r="R788" s="2">
        <v>2269</v>
      </c>
      <c r="S788" s="2">
        <v>2348</v>
      </c>
      <c r="T788" s="2">
        <v>2009</v>
      </c>
      <c r="U788" s="2">
        <v>0</v>
      </c>
      <c r="V788" s="2"/>
      <c r="W788" s="2">
        <v>1981</v>
      </c>
      <c r="X788" s="2">
        <v>1609</v>
      </c>
      <c r="Y788" s="2">
        <v>0</v>
      </c>
      <c r="Z788" s="2">
        <v>0</v>
      </c>
      <c r="AA788" s="2">
        <v>0</v>
      </c>
      <c r="AB788" s="2"/>
      <c r="AC788" s="2">
        <v>21</v>
      </c>
      <c r="AD788" s="2">
        <v>0</v>
      </c>
      <c r="AE788" s="2">
        <v>0</v>
      </c>
      <c r="AF788" s="2">
        <v>0</v>
      </c>
      <c r="AG788" s="2">
        <v>0</v>
      </c>
      <c r="AH788" s="2"/>
      <c r="AI788" s="2">
        <v>-1207</v>
      </c>
      <c r="AJ788" s="2">
        <v>-1206</v>
      </c>
      <c r="AK788" s="2">
        <v>-1205</v>
      </c>
      <c r="AL788" s="2">
        <v>0</v>
      </c>
      <c r="AM788" s="2">
        <v>-1206</v>
      </c>
    </row>
    <row r="789" spans="1:39">
      <c r="A789" s="349">
        <v>98331</v>
      </c>
      <c r="B789" s="342" t="s">
        <v>1483</v>
      </c>
      <c r="C789" s="358">
        <v>1.7E-6</v>
      </c>
      <c r="E789" s="2">
        <v>-711</v>
      </c>
      <c r="F789" s="2">
        <v>-788</v>
      </c>
      <c r="G789" s="2">
        <v>-1445</v>
      </c>
      <c r="H789" s="2">
        <v>253</v>
      </c>
      <c r="I789" s="2">
        <v>0</v>
      </c>
      <c r="J789" s="2"/>
      <c r="K789" s="2">
        <v>315</v>
      </c>
      <c r="L789" s="2">
        <v>290</v>
      </c>
      <c r="M789" s="2">
        <v>162</v>
      </c>
      <c r="N789" s="2">
        <v>0</v>
      </c>
      <c r="O789" s="2">
        <v>0</v>
      </c>
      <c r="P789" s="2"/>
      <c r="Q789" s="2">
        <v>20</v>
      </c>
      <c r="R789" s="2">
        <v>286</v>
      </c>
      <c r="S789" s="2">
        <v>296</v>
      </c>
      <c r="T789" s="2">
        <v>253</v>
      </c>
      <c r="U789" s="2">
        <v>0</v>
      </c>
      <c r="V789" s="2"/>
      <c r="W789" s="2">
        <v>250</v>
      </c>
      <c r="X789" s="2">
        <v>203</v>
      </c>
      <c r="Y789" s="2">
        <v>0</v>
      </c>
      <c r="Z789" s="2">
        <v>0</v>
      </c>
      <c r="AA789" s="2">
        <v>0</v>
      </c>
      <c r="AB789" s="2"/>
      <c r="AC789" s="2">
        <v>909</v>
      </c>
      <c r="AD789" s="2">
        <v>638</v>
      </c>
      <c r="AE789" s="2">
        <v>302</v>
      </c>
      <c r="AF789" s="2">
        <v>0</v>
      </c>
      <c r="AG789" s="2">
        <v>0</v>
      </c>
      <c r="AH789" s="2"/>
      <c r="AI789" s="2">
        <v>-2205</v>
      </c>
      <c r="AJ789" s="2">
        <v>-2205</v>
      </c>
      <c r="AK789" s="2">
        <v>-2205</v>
      </c>
      <c r="AL789" s="2">
        <v>0</v>
      </c>
      <c r="AM789" s="2">
        <v>-2205</v>
      </c>
    </row>
    <row r="790" spans="1:39">
      <c r="A790" s="349">
        <v>98401</v>
      </c>
      <c r="B790" s="342" t="s">
        <v>1484</v>
      </c>
      <c r="C790" s="358">
        <v>2.9325000000000002E-3</v>
      </c>
      <c r="E790" s="2">
        <v>1125666</v>
      </c>
      <c r="F790" s="2">
        <v>1432132</v>
      </c>
      <c r="G790" s="2">
        <v>854852</v>
      </c>
      <c r="H790" s="2">
        <v>436421</v>
      </c>
      <c r="I790" s="2">
        <v>0</v>
      </c>
      <c r="J790" s="2"/>
      <c r="K790" s="2">
        <v>543712</v>
      </c>
      <c r="L790" s="2">
        <v>500853</v>
      </c>
      <c r="M790" s="2">
        <v>278758</v>
      </c>
      <c r="N790" s="2">
        <v>0</v>
      </c>
      <c r="O790" s="2">
        <v>0</v>
      </c>
      <c r="P790" s="2"/>
      <c r="Q790" s="2">
        <v>35246</v>
      </c>
      <c r="R790" s="2">
        <v>492968</v>
      </c>
      <c r="S790" s="2">
        <v>510015</v>
      </c>
      <c r="T790" s="2">
        <v>436421</v>
      </c>
      <c r="U790" s="2">
        <v>0</v>
      </c>
      <c r="V790" s="2"/>
      <c r="W790" s="2">
        <v>430421</v>
      </c>
      <c r="X790" s="2">
        <v>349428</v>
      </c>
      <c r="Y790" s="2">
        <v>0</v>
      </c>
      <c r="Z790" s="2">
        <v>0</v>
      </c>
      <c r="AA790" s="2">
        <v>0</v>
      </c>
      <c r="AB790" s="2"/>
      <c r="AC790" s="2">
        <v>116287</v>
      </c>
      <c r="AD790" s="2">
        <v>88883</v>
      </c>
      <c r="AE790" s="2">
        <v>66079</v>
      </c>
      <c r="AF790" s="2">
        <v>0</v>
      </c>
      <c r="AG790" s="2">
        <v>0</v>
      </c>
      <c r="AH790" s="2"/>
      <c r="AI790" s="2">
        <v>0</v>
      </c>
      <c r="AJ790" s="2">
        <v>0</v>
      </c>
      <c r="AK790" s="2">
        <v>0</v>
      </c>
      <c r="AL790" s="2">
        <v>0</v>
      </c>
      <c r="AM790" s="2">
        <v>0</v>
      </c>
    </row>
    <row r="791" spans="1:39">
      <c r="A791" s="349">
        <v>98404</v>
      </c>
      <c r="B791" s="342" t="s">
        <v>1485</v>
      </c>
      <c r="C791" s="358">
        <v>1.5E-5</v>
      </c>
      <c r="E791" s="2">
        <v>7994</v>
      </c>
      <c r="F791" s="2">
        <v>7380</v>
      </c>
      <c r="G791" s="2">
        <v>4363</v>
      </c>
      <c r="H791" s="2">
        <v>2232</v>
      </c>
      <c r="I791" s="2">
        <v>0</v>
      </c>
      <c r="J791" s="2"/>
      <c r="K791" s="2">
        <v>2781</v>
      </c>
      <c r="L791" s="2">
        <v>2562</v>
      </c>
      <c r="M791" s="2">
        <v>1426</v>
      </c>
      <c r="N791" s="2">
        <v>0</v>
      </c>
      <c r="O791" s="2">
        <v>0</v>
      </c>
      <c r="P791" s="2"/>
      <c r="Q791" s="2">
        <v>180</v>
      </c>
      <c r="R791" s="2">
        <v>2522</v>
      </c>
      <c r="S791" s="2">
        <v>2609</v>
      </c>
      <c r="T791" s="2">
        <v>2232</v>
      </c>
      <c r="U791" s="2">
        <v>0</v>
      </c>
      <c r="V791" s="2"/>
      <c r="W791" s="2">
        <v>2202</v>
      </c>
      <c r="X791" s="2">
        <v>1787</v>
      </c>
      <c r="Y791" s="2">
        <v>0</v>
      </c>
      <c r="Z791" s="2">
        <v>0</v>
      </c>
      <c r="AA791" s="2">
        <v>0</v>
      </c>
      <c r="AB791" s="2"/>
      <c r="AC791" s="2">
        <v>2915</v>
      </c>
      <c r="AD791" s="2">
        <v>593</v>
      </c>
      <c r="AE791" s="2">
        <v>412</v>
      </c>
      <c r="AF791" s="2">
        <v>0</v>
      </c>
      <c r="AG791" s="2">
        <v>0</v>
      </c>
      <c r="AH791" s="2"/>
      <c r="AI791" s="2">
        <v>-84</v>
      </c>
      <c r="AJ791" s="2">
        <v>-84</v>
      </c>
      <c r="AK791" s="2">
        <v>-84</v>
      </c>
      <c r="AL791" s="2">
        <v>0</v>
      </c>
      <c r="AM791" s="2">
        <v>-84</v>
      </c>
    </row>
    <row r="792" spans="1:39">
      <c r="A792" s="349">
        <v>98411</v>
      </c>
      <c r="B792" s="342" t="s">
        <v>1486</v>
      </c>
      <c r="C792" s="358">
        <v>1.7830999999999999E-3</v>
      </c>
      <c r="E792" s="2">
        <v>505682</v>
      </c>
      <c r="F792" s="2">
        <v>721018</v>
      </c>
      <c r="G792" s="2">
        <v>400346</v>
      </c>
      <c r="H792" s="2">
        <v>265365</v>
      </c>
      <c r="I792" s="2">
        <v>0</v>
      </c>
      <c r="J792" s="2"/>
      <c r="K792" s="2">
        <v>330603</v>
      </c>
      <c r="L792" s="2">
        <v>304543</v>
      </c>
      <c r="M792" s="2">
        <v>169498</v>
      </c>
      <c r="N792" s="2">
        <v>0</v>
      </c>
      <c r="O792" s="2">
        <v>0</v>
      </c>
      <c r="P792" s="2"/>
      <c r="Q792" s="2">
        <v>21431</v>
      </c>
      <c r="R792" s="2">
        <v>299748</v>
      </c>
      <c r="S792" s="2">
        <v>310113</v>
      </c>
      <c r="T792" s="2">
        <v>265365</v>
      </c>
      <c r="U792" s="2">
        <v>0</v>
      </c>
      <c r="V792" s="2"/>
      <c r="W792" s="2">
        <v>261716</v>
      </c>
      <c r="X792" s="2">
        <v>212469</v>
      </c>
      <c r="Y792" s="2">
        <v>0</v>
      </c>
      <c r="Z792" s="2">
        <v>0</v>
      </c>
      <c r="AA792" s="2">
        <v>0</v>
      </c>
      <c r="AB792" s="2"/>
      <c r="AC792" s="2">
        <v>0</v>
      </c>
      <c r="AD792" s="2">
        <v>0</v>
      </c>
      <c r="AE792" s="2">
        <v>0</v>
      </c>
      <c r="AF792" s="2">
        <v>0</v>
      </c>
      <c r="AG792" s="2">
        <v>0</v>
      </c>
      <c r="AH792" s="2"/>
      <c r="AI792" s="2">
        <v>-108068</v>
      </c>
      <c r="AJ792" s="2">
        <v>-95742</v>
      </c>
      <c r="AK792" s="2">
        <v>-79265</v>
      </c>
      <c r="AL792" s="2">
        <v>0</v>
      </c>
      <c r="AM792" s="2">
        <v>-95742</v>
      </c>
    </row>
    <row r="793" spans="1:39">
      <c r="A793" s="349">
        <v>98417</v>
      </c>
      <c r="B793" s="342" t="s">
        <v>1488</v>
      </c>
      <c r="C793" s="358">
        <v>2.1699999999999999E-5</v>
      </c>
      <c r="E793" s="2">
        <v>10795</v>
      </c>
      <c r="F793" s="2">
        <v>12879</v>
      </c>
      <c r="G793" s="2">
        <v>8042</v>
      </c>
      <c r="H793" s="2">
        <v>3229</v>
      </c>
      <c r="I793" s="2">
        <v>0</v>
      </c>
      <c r="J793" s="2"/>
      <c r="K793" s="2">
        <v>4023</v>
      </c>
      <c r="L793" s="2">
        <v>3706</v>
      </c>
      <c r="M793" s="2">
        <v>2063</v>
      </c>
      <c r="N793" s="2">
        <v>0</v>
      </c>
      <c r="O793" s="2">
        <v>0</v>
      </c>
      <c r="P793" s="2"/>
      <c r="Q793" s="2">
        <v>261</v>
      </c>
      <c r="R793" s="2">
        <v>3648</v>
      </c>
      <c r="S793" s="2">
        <v>3774</v>
      </c>
      <c r="T793" s="2">
        <v>3229</v>
      </c>
      <c r="U793" s="2">
        <v>0</v>
      </c>
      <c r="V793" s="2"/>
      <c r="W793" s="2">
        <v>3185</v>
      </c>
      <c r="X793" s="2">
        <v>2586</v>
      </c>
      <c r="Y793" s="2">
        <v>0</v>
      </c>
      <c r="Z793" s="2">
        <v>0</v>
      </c>
      <c r="AA793" s="2">
        <v>0</v>
      </c>
      <c r="AB793" s="2"/>
      <c r="AC793" s="2">
        <v>3326</v>
      </c>
      <c r="AD793" s="2">
        <v>2939</v>
      </c>
      <c r="AE793" s="2">
        <v>2205</v>
      </c>
      <c r="AF793" s="2">
        <v>0</v>
      </c>
      <c r="AG793" s="2">
        <v>0</v>
      </c>
      <c r="AH793" s="2"/>
      <c r="AI793" s="2">
        <v>0</v>
      </c>
      <c r="AJ793" s="2">
        <v>0</v>
      </c>
      <c r="AK793" s="2">
        <v>0</v>
      </c>
      <c r="AL793" s="2">
        <v>0</v>
      </c>
      <c r="AM793" s="2">
        <v>0</v>
      </c>
    </row>
    <row r="794" spans="1:39">
      <c r="A794" s="349">
        <v>98421</v>
      </c>
      <c r="B794" s="342" t="s">
        <v>1489</v>
      </c>
      <c r="C794" s="358">
        <v>1.081E-4</v>
      </c>
      <c r="E794" s="2">
        <v>35169</v>
      </c>
      <c r="F794" s="2">
        <v>50500</v>
      </c>
      <c r="G794" s="2">
        <v>26181</v>
      </c>
      <c r="H794" s="2">
        <v>16088</v>
      </c>
      <c r="I794" s="2">
        <v>0</v>
      </c>
      <c r="J794" s="2"/>
      <c r="K794" s="2">
        <v>20043</v>
      </c>
      <c r="L794" s="2">
        <v>18463</v>
      </c>
      <c r="M794" s="2">
        <v>10276</v>
      </c>
      <c r="N794" s="2">
        <v>0</v>
      </c>
      <c r="O794" s="2">
        <v>0</v>
      </c>
      <c r="P794" s="2"/>
      <c r="Q794" s="2">
        <v>1299</v>
      </c>
      <c r="R794" s="2">
        <v>18172</v>
      </c>
      <c r="S794" s="2">
        <v>18801</v>
      </c>
      <c r="T794" s="2">
        <v>16088</v>
      </c>
      <c r="U794" s="2">
        <v>0</v>
      </c>
      <c r="V794" s="2"/>
      <c r="W794" s="2">
        <v>15866</v>
      </c>
      <c r="X794" s="2">
        <v>12881</v>
      </c>
      <c r="Y794" s="2">
        <v>0</v>
      </c>
      <c r="Z794" s="2">
        <v>0</v>
      </c>
      <c r="AA794" s="2">
        <v>0</v>
      </c>
      <c r="AB794" s="2"/>
      <c r="AC794" s="2">
        <v>4300</v>
      </c>
      <c r="AD794" s="2">
        <v>4302</v>
      </c>
      <c r="AE794" s="2">
        <v>420</v>
      </c>
      <c r="AF794" s="2">
        <v>0</v>
      </c>
      <c r="AG794" s="2">
        <v>0</v>
      </c>
      <c r="AH794" s="2"/>
      <c r="AI794" s="2">
        <v>-6339</v>
      </c>
      <c r="AJ794" s="2">
        <v>-3318</v>
      </c>
      <c r="AK794" s="2">
        <v>-3316</v>
      </c>
      <c r="AL794" s="2">
        <v>0</v>
      </c>
      <c r="AM794" s="2">
        <v>-3318</v>
      </c>
    </row>
    <row r="795" spans="1:39">
      <c r="A795" s="349">
        <v>98427</v>
      </c>
      <c r="B795" s="342" t="s">
        <v>2793</v>
      </c>
      <c r="C795" s="358">
        <v>2.9000000000000002E-6</v>
      </c>
      <c r="E795" s="2">
        <v>2264</v>
      </c>
      <c r="F795" s="2">
        <v>2413</v>
      </c>
      <c r="G795" s="2">
        <v>1647</v>
      </c>
      <c r="H795" s="2">
        <v>432</v>
      </c>
      <c r="I795" s="2">
        <v>0</v>
      </c>
      <c r="J795" s="2"/>
      <c r="K795" s="2">
        <v>538</v>
      </c>
      <c r="L795" s="2">
        <v>495</v>
      </c>
      <c r="M795" s="2">
        <v>276</v>
      </c>
      <c r="N795" s="2">
        <v>0</v>
      </c>
      <c r="O795" s="2">
        <v>0</v>
      </c>
      <c r="P795" s="2"/>
      <c r="Q795" s="2">
        <v>35</v>
      </c>
      <c r="R795" s="2">
        <v>488</v>
      </c>
      <c r="S795" s="2">
        <v>504</v>
      </c>
      <c r="T795" s="2">
        <v>432</v>
      </c>
      <c r="U795" s="2">
        <v>0</v>
      </c>
      <c r="V795" s="2"/>
      <c r="W795" s="2">
        <v>426</v>
      </c>
      <c r="X795" s="2">
        <v>346</v>
      </c>
      <c r="Y795" s="2">
        <v>0</v>
      </c>
      <c r="Z795" s="2">
        <v>0</v>
      </c>
      <c r="AA795" s="2">
        <v>0</v>
      </c>
      <c r="AB795" s="2"/>
      <c r="AC795" s="2">
        <v>1265</v>
      </c>
      <c r="AD795" s="2">
        <v>1084</v>
      </c>
      <c r="AE795" s="2">
        <v>867</v>
      </c>
      <c r="AF795" s="2">
        <v>0</v>
      </c>
      <c r="AG795" s="2">
        <v>0</v>
      </c>
      <c r="AH795" s="2"/>
      <c r="AI795" s="2">
        <v>0</v>
      </c>
      <c r="AJ795" s="2">
        <v>0</v>
      </c>
      <c r="AK795" s="2">
        <v>0</v>
      </c>
      <c r="AL795" s="2">
        <v>0</v>
      </c>
      <c r="AM795" s="2">
        <v>0</v>
      </c>
    </row>
    <row r="796" spans="1:39">
      <c r="A796" s="349">
        <v>98431</v>
      </c>
      <c r="B796" s="342" t="s">
        <v>1491</v>
      </c>
      <c r="C796" s="358">
        <v>2.062E-4</v>
      </c>
      <c r="E796" s="2">
        <v>63589</v>
      </c>
      <c r="F796" s="2">
        <v>89303</v>
      </c>
      <c r="G796" s="2">
        <v>54700</v>
      </c>
      <c r="H796" s="2">
        <v>30687</v>
      </c>
      <c r="I796" s="2">
        <v>0</v>
      </c>
      <c r="J796" s="2"/>
      <c r="K796" s="2">
        <v>38231</v>
      </c>
      <c r="L796" s="2">
        <v>35218</v>
      </c>
      <c r="M796" s="2">
        <v>19601</v>
      </c>
      <c r="N796" s="2">
        <v>0</v>
      </c>
      <c r="O796" s="2">
        <v>0</v>
      </c>
      <c r="P796" s="2"/>
      <c r="Q796" s="2">
        <v>2478</v>
      </c>
      <c r="R796" s="2">
        <v>34663</v>
      </c>
      <c r="S796" s="2">
        <v>35862</v>
      </c>
      <c r="T796" s="2">
        <v>30687</v>
      </c>
      <c r="U796" s="2">
        <v>0</v>
      </c>
      <c r="V796" s="2"/>
      <c r="W796" s="2">
        <v>30265</v>
      </c>
      <c r="X796" s="2">
        <v>24570</v>
      </c>
      <c r="Y796" s="2">
        <v>0</v>
      </c>
      <c r="Z796" s="2">
        <v>0</v>
      </c>
      <c r="AA796" s="2">
        <v>0</v>
      </c>
      <c r="AB796" s="2"/>
      <c r="AC796" s="2">
        <v>628</v>
      </c>
      <c r="AD796" s="2">
        <v>628</v>
      </c>
      <c r="AE796" s="2">
        <v>629</v>
      </c>
      <c r="AF796" s="2">
        <v>0</v>
      </c>
      <c r="AG796" s="2">
        <v>0</v>
      </c>
      <c r="AH796" s="2"/>
      <c r="AI796" s="2">
        <v>-8013</v>
      </c>
      <c r="AJ796" s="2">
        <v>-5776</v>
      </c>
      <c r="AK796" s="2">
        <v>-1392</v>
      </c>
      <c r="AL796" s="2">
        <v>0</v>
      </c>
      <c r="AM796" s="2">
        <v>-5776</v>
      </c>
    </row>
    <row r="797" spans="1:39">
      <c r="A797" s="349">
        <v>98441</v>
      </c>
      <c r="B797" s="342" t="s">
        <v>1492</v>
      </c>
      <c r="C797" s="358">
        <v>1.1959999999999999E-4</v>
      </c>
      <c r="E797" s="2">
        <v>45052</v>
      </c>
      <c r="F797" s="2">
        <v>60539</v>
      </c>
      <c r="G797" s="2">
        <v>34908</v>
      </c>
      <c r="H797" s="2">
        <v>17799</v>
      </c>
      <c r="I797" s="2">
        <v>0</v>
      </c>
      <c r="J797" s="2"/>
      <c r="K797" s="2">
        <v>22175</v>
      </c>
      <c r="L797" s="2">
        <v>20427</v>
      </c>
      <c r="M797" s="2">
        <v>11369</v>
      </c>
      <c r="N797" s="2">
        <v>0</v>
      </c>
      <c r="O797" s="2">
        <v>0</v>
      </c>
      <c r="P797" s="2"/>
      <c r="Q797" s="2">
        <v>1437</v>
      </c>
      <c r="R797" s="2">
        <v>20105</v>
      </c>
      <c r="S797" s="2">
        <v>20801</v>
      </c>
      <c r="T797" s="2">
        <v>17799</v>
      </c>
      <c r="U797" s="2">
        <v>0</v>
      </c>
      <c r="V797" s="2"/>
      <c r="W797" s="2">
        <v>17554</v>
      </c>
      <c r="X797" s="2">
        <v>14251</v>
      </c>
      <c r="Y797" s="2">
        <v>0</v>
      </c>
      <c r="Z797" s="2">
        <v>0</v>
      </c>
      <c r="AA797" s="2">
        <v>0</v>
      </c>
      <c r="AB797" s="2"/>
      <c r="AC797" s="2">
        <v>8168</v>
      </c>
      <c r="AD797" s="2">
        <v>8168</v>
      </c>
      <c r="AE797" s="2">
        <v>5149</v>
      </c>
      <c r="AF797" s="2">
        <v>0</v>
      </c>
      <c r="AG797" s="2">
        <v>0</v>
      </c>
      <c r="AH797" s="2"/>
      <c r="AI797" s="2">
        <v>-4282</v>
      </c>
      <c r="AJ797" s="2">
        <v>-2412</v>
      </c>
      <c r="AK797" s="2">
        <v>-2411</v>
      </c>
      <c r="AL797" s="2">
        <v>0</v>
      </c>
      <c r="AM797" s="2">
        <v>-2412</v>
      </c>
    </row>
    <row r="798" spans="1:39">
      <c r="A798" s="349">
        <v>98451</v>
      </c>
      <c r="B798" s="342" t="s">
        <v>1493</v>
      </c>
      <c r="C798" s="358">
        <v>3.2100000000000001E-5</v>
      </c>
      <c r="E798" s="2">
        <v>5399</v>
      </c>
      <c r="F798" s="2">
        <v>8926</v>
      </c>
      <c r="G798" s="2">
        <v>3763</v>
      </c>
      <c r="H798" s="2">
        <v>4777</v>
      </c>
      <c r="I798" s="2">
        <v>0</v>
      </c>
      <c r="J798" s="2"/>
      <c r="K798" s="2">
        <v>5952</v>
      </c>
      <c r="L798" s="2">
        <v>5482</v>
      </c>
      <c r="M798" s="2">
        <v>3051</v>
      </c>
      <c r="N798" s="2">
        <v>0</v>
      </c>
      <c r="O798" s="2">
        <v>0</v>
      </c>
      <c r="P798" s="2"/>
      <c r="Q798" s="2">
        <v>386</v>
      </c>
      <c r="R798" s="2">
        <v>5396</v>
      </c>
      <c r="S798" s="2">
        <v>5583</v>
      </c>
      <c r="T798" s="2">
        <v>4777</v>
      </c>
      <c r="U798" s="2">
        <v>0</v>
      </c>
      <c r="V798" s="2"/>
      <c r="W798" s="2">
        <v>4712</v>
      </c>
      <c r="X798" s="2">
        <v>3825</v>
      </c>
      <c r="Y798" s="2">
        <v>0</v>
      </c>
      <c r="Z798" s="2">
        <v>0</v>
      </c>
      <c r="AA798" s="2">
        <v>0</v>
      </c>
      <c r="AB798" s="2"/>
      <c r="AC798" s="2">
        <v>166</v>
      </c>
      <c r="AD798" s="2">
        <v>40</v>
      </c>
      <c r="AE798" s="2">
        <v>41</v>
      </c>
      <c r="AF798" s="2">
        <v>0</v>
      </c>
      <c r="AG798" s="2">
        <v>0</v>
      </c>
      <c r="AH798" s="2"/>
      <c r="AI798" s="2">
        <v>-5817</v>
      </c>
      <c r="AJ798" s="2">
        <v>-5817</v>
      </c>
      <c r="AK798" s="2">
        <v>-4912</v>
      </c>
      <c r="AL798" s="2">
        <v>0</v>
      </c>
      <c r="AM798" s="2">
        <v>-5817</v>
      </c>
    </row>
    <row r="799" spans="1:39">
      <c r="A799" s="349">
        <v>98471</v>
      </c>
      <c r="B799" s="342" t="s">
        <v>1638</v>
      </c>
      <c r="C799" s="358">
        <v>6.7000000000000002E-6</v>
      </c>
      <c r="E799" s="2">
        <v>4181</v>
      </c>
      <c r="F799" s="2">
        <v>4944</v>
      </c>
      <c r="G799" s="2">
        <v>2393</v>
      </c>
      <c r="H799" s="2">
        <v>997</v>
      </c>
      <c r="I799" s="2">
        <v>0</v>
      </c>
      <c r="J799" s="2"/>
      <c r="K799" s="2">
        <v>1242</v>
      </c>
      <c r="L799" s="2">
        <v>1144</v>
      </c>
      <c r="M799" s="2">
        <v>637</v>
      </c>
      <c r="N799" s="2">
        <v>0</v>
      </c>
      <c r="O799" s="2">
        <v>0</v>
      </c>
      <c r="P799" s="2"/>
      <c r="Q799" s="2">
        <v>81</v>
      </c>
      <c r="R799" s="2">
        <v>1126</v>
      </c>
      <c r="S799" s="2">
        <v>1165</v>
      </c>
      <c r="T799" s="2">
        <v>997</v>
      </c>
      <c r="U799" s="2">
        <v>0</v>
      </c>
      <c r="V799" s="2"/>
      <c r="W799" s="2">
        <v>983</v>
      </c>
      <c r="X799" s="2">
        <v>798</v>
      </c>
      <c r="Y799" s="2">
        <v>0</v>
      </c>
      <c r="Z799" s="2">
        <v>0</v>
      </c>
      <c r="AA799" s="2">
        <v>0</v>
      </c>
      <c r="AB799" s="2"/>
      <c r="AC799" s="2">
        <v>1875</v>
      </c>
      <c r="AD799" s="2">
        <v>1876</v>
      </c>
      <c r="AE799" s="2">
        <v>591</v>
      </c>
      <c r="AF799" s="2">
        <v>0</v>
      </c>
      <c r="AG799" s="2">
        <v>0</v>
      </c>
      <c r="AH799" s="2"/>
      <c r="AI799" s="2">
        <v>0</v>
      </c>
      <c r="AJ799" s="2">
        <v>0</v>
      </c>
      <c r="AK799" s="2">
        <v>0</v>
      </c>
      <c r="AL799" s="2">
        <v>0</v>
      </c>
      <c r="AM799" s="2">
        <v>0</v>
      </c>
    </row>
    <row r="800" spans="1:39">
      <c r="A800" s="349">
        <v>98481</v>
      </c>
      <c r="B800" s="342" t="s">
        <v>1494</v>
      </c>
      <c r="C800" s="358">
        <v>5.9799999999999997E-5</v>
      </c>
      <c r="E800" s="2">
        <v>17833</v>
      </c>
      <c r="F800" s="2">
        <v>25709</v>
      </c>
      <c r="G800" s="2">
        <v>13857</v>
      </c>
      <c r="H800" s="2">
        <v>8900</v>
      </c>
      <c r="I800" s="2">
        <v>0</v>
      </c>
      <c r="J800" s="2"/>
      <c r="K800" s="2">
        <v>11087</v>
      </c>
      <c r="L800" s="2">
        <v>10213</v>
      </c>
      <c r="M800" s="2">
        <v>5684</v>
      </c>
      <c r="N800" s="2">
        <v>0</v>
      </c>
      <c r="O800" s="2">
        <v>0</v>
      </c>
      <c r="P800" s="2"/>
      <c r="Q800" s="2">
        <v>719</v>
      </c>
      <c r="R800" s="2">
        <v>10053</v>
      </c>
      <c r="S800" s="2">
        <v>10400</v>
      </c>
      <c r="T800" s="2">
        <v>8900</v>
      </c>
      <c r="U800" s="2">
        <v>0</v>
      </c>
      <c r="V800" s="2"/>
      <c r="W800" s="2">
        <v>8777</v>
      </c>
      <c r="X800" s="2">
        <v>7126</v>
      </c>
      <c r="Y800" s="2">
        <v>0</v>
      </c>
      <c r="Z800" s="2">
        <v>0</v>
      </c>
      <c r="AA800" s="2">
        <v>0</v>
      </c>
      <c r="AB800" s="2"/>
      <c r="AC800" s="2">
        <v>546</v>
      </c>
      <c r="AD800" s="2">
        <v>547</v>
      </c>
      <c r="AE800" s="2">
        <v>0</v>
      </c>
      <c r="AF800" s="2">
        <v>0</v>
      </c>
      <c r="AG800" s="2">
        <v>0</v>
      </c>
      <c r="AH800" s="2"/>
      <c r="AI800" s="2">
        <v>-3296</v>
      </c>
      <c r="AJ800" s="2">
        <v>-2230</v>
      </c>
      <c r="AK800" s="2">
        <v>-2227</v>
      </c>
      <c r="AL800" s="2">
        <v>0</v>
      </c>
      <c r="AM800" s="2">
        <v>-2230</v>
      </c>
    </row>
    <row r="801" spans="1:39">
      <c r="A801" s="349">
        <v>98501</v>
      </c>
      <c r="B801" s="342" t="s">
        <v>1495</v>
      </c>
      <c r="C801" s="358">
        <v>1.8075999999999999E-3</v>
      </c>
      <c r="E801" s="2">
        <v>750254</v>
      </c>
      <c r="F801" s="2">
        <v>945446</v>
      </c>
      <c r="G801" s="2">
        <v>591135</v>
      </c>
      <c r="H801" s="2">
        <v>269011</v>
      </c>
      <c r="I801" s="2">
        <v>0</v>
      </c>
      <c r="J801" s="2"/>
      <c r="K801" s="2">
        <v>335145</v>
      </c>
      <c r="L801" s="2">
        <v>308727</v>
      </c>
      <c r="M801" s="2">
        <v>171827</v>
      </c>
      <c r="N801" s="2">
        <v>0</v>
      </c>
      <c r="O801" s="2">
        <v>0</v>
      </c>
      <c r="P801" s="2"/>
      <c r="Q801" s="2">
        <v>21726</v>
      </c>
      <c r="R801" s="2">
        <v>303867</v>
      </c>
      <c r="S801" s="2">
        <v>314374</v>
      </c>
      <c r="T801" s="2">
        <v>269011</v>
      </c>
      <c r="U801" s="2">
        <v>0</v>
      </c>
      <c r="V801" s="2"/>
      <c r="W801" s="2">
        <v>265312</v>
      </c>
      <c r="X801" s="2">
        <v>215388</v>
      </c>
      <c r="Y801" s="2">
        <v>0</v>
      </c>
      <c r="Z801" s="2">
        <v>0</v>
      </c>
      <c r="AA801" s="2">
        <v>0</v>
      </c>
      <c r="AB801" s="2"/>
      <c r="AC801" s="2">
        <v>128071</v>
      </c>
      <c r="AD801" s="2">
        <v>117464</v>
      </c>
      <c r="AE801" s="2">
        <v>104934</v>
      </c>
      <c r="AF801" s="2">
        <v>0</v>
      </c>
      <c r="AG801" s="2">
        <v>0</v>
      </c>
      <c r="AH801" s="2"/>
      <c r="AI801" s="2">
        <v>0</v>
      </c>
      <c r="AJ801" s="2">
        <v>0</v>
      </c>
      <c r="AK801" s="2">
        <v>0</v>
      </c>
      <c r="AL801" s="2">
        <v>0</v>
      </c>
      <c r="AM801" s="2">
        <v>0</v>
      </c>
    </row>
    <row r="802" spans="1:39">
      <c r="A802" s="349">
        <v>98511</v>
      </c>
      <c r="B802" s="342" t="s">
        <v>1496</v>
      </c>
      <c r="C802" s="358">
        <v>4.4400000000000002E-5</v>
      </c>
      <c r="E802" s="2">
        <v>15205</v>
      </c>
      <c r="F802" s="2">
        <v>19612</v>
      </c>
      <c r="G802" s="2">
        <v>11898</v>
      </c>
      <c r="H802" s="2">
        <v>6608</v>
      </c>
      <c r="I802" s="2">
        <v>0</v>
      </c>
      <c r="J802" s="2"/>
      <c r="K802" s="2">
        <v>8232</v>
      </c>
      <c r="L802" s="2">
        <v>7583</v>
      </c>
      <c r="M802" s="2">
        <v>4221</v>
      </c>
      <c r="N802" s="2">
        <v>0</v>
      </c>
      <c r="O802" s="2">
        <v>0</v>
      </c>
      <c r="P802" s="2"/>
      <c r="Q802" s="2">
        <v>534</v>
      </c>
      <c r="R802" s="2">
        <v>7464</v>
      </c>
      <c r="S802" s="2">
        <v>7722</v>
      </c>
      <c r="T802" s="2">
        <v>6608</v>
      </c>
      <c r="U802" s="2">
        <v>0</v>
      </c>
      <c r="V802" s="2"/>
      <c r="W802" s="2">
        <v>6517</v>
      </c>
      <c r="X802" s="2">
        <v>5291</v>
      </c>
      <c r="Y802" s="2">
        <v>0</v>
      </c>
      <c r="Z802" s="2">
        <v>0</v>
      </c>
      <c r="AA802" s="2">
        <v>0</v>
      </c>
      <c r="AB802" s="2"/>
      <c r="AC802" s="2">
        <v>2205</v>
      </c>
      <c r="AD802" s="2">
        <v>1558</v>
      </c>
      <c r="AE802" s="2">
        <v>1560</v>
      </c>
      <c r="AF802" s="2">
        <v>0</v>
      </c>
      <c r="AG802" s="2">
        <v>0</v>
      </c>
      <c r="AH802" s="2"/>
      <c r="AI802" s="2">
        <v>-2283</v>
      </c>
      <c r="AJ802" s="2">
        <v>-2284</v>
      </c>
      <c r="AK802" s="2">
        <v>-1605</v>
      </c>
      <c r="AL802" s="2">
        <v>0</v>
      </c>
      <c r="AM802" s="2">
        <v>-2284</v>
      </c>
    </row>
    <row r="803" spans="1:39">
      <c r="A803" s="349">
        <v>98517</v>
      </c>
      <c r="B803" s="342" t="s">
        <v>1497</v>
      </c>
      <c r="C803" s="358">
        <v>0</v>
      </c>
      <c r="E803" s="2">
        <v>803</v>
      </c>
      <c r="F803" s="2">
        <v>564</v>
      </c>
      <c r="G803" s="2">
        <v>136</v>
      </c>
      <c r="H803" s="2">
        <v>0</v>
      </c>
      <c r="I803" s="2">
        <v>0</v>
      </c>
      <c r="J803" s="2"/>
      <c r="K803" s="2">
        <v>0</v>
      </c>
      <c r="L803" s="2">
        <v>0</v>
      </c>
      <c r="M803" s="2">
        <v>0</v>
      </c>
      <c r="N803" s="2">
        <v>0</v>
      </c>
      <c r="O803" s="2">
        <v>0</v>
      </c>
      <c r="P803" s="2"/>
      <c r="Q803" s="2">
        <v>0</v>
      </c>
      <c r="R803" s="2">
        <v>0</v>
      </c>
      <c r="S803" s="2">
        <v>0</v>
      </c>
      <c r="T803" s="2">
        <v>0</v>
      </c>
      <c r="U803" s="2">
        <v>0</v>
      </c>
      <c r="V803" s="2"/>
      <c r="W803" s="2">
        <v>0</v>
      </c>
      <c r="X803" s="2">
        <v>0</v>
      </c>
      <c r="Y803" s="2">
        <v>0</v>
      </c>
      <c r="Z803" s="2">
        <v>0</v>
      </c>
      <c r="AA803" s="2">
        <v>0</v>
      </c>
      <c r="AB803" s="2"/>
      <c r="AC803" s="2">
        <v>1131</v>
      </c>
      <c r="AD803" s="2">
        <v>892</v>
      </c>
      <c r="AE803" s="2">
        <v>462</v>
      </c>
      <c r="AF803" s="2">
        <v>0</v>
      </c>
      <c r="AG803" s="2">
        <v>0</v>
      </c>
      <c r="AH803" s="2"/>
      <c r="AI803" s="2">
        <v>-328</v>
      </c>
      <c r="AJ803" s="2">
        <v>-328</v>
      </c>
      <c r="AK803" s="2">
        <v>-326</v>
      </c>
      <c r="AL803" s="2">
        <v>0</v>
      </c>
      <c r="AM803" s="2">
        <v>-328</v>
      </c>
    </row>
    <row r="804" spans="1:39">
      <c r="A804" s="349">
        <v>98521</v>
      </c>
      <c r="B804" s="342" t="s">
        <v>1498</v>
      </c>
      <c r="C804" s="358">
        <v>6.581E-4</v>
      </c>
      <c r="E804" s="2">
        <v>232901</v>
      </c>
      <c r="F804" s="2">
        <v>299132</v>
      </c>
      <c r="G804" s="2">
        <v>181502</v>
      </c>
      <c r="H804" s="2">
        <v>97940</v>
      </c>
      <c r="I804" s="2">
        <v>0</v>
      </c>
      <c r="J804" s="2"/>
      <c r="K804" s="2">
        <v>122018</v>
      </c>
      <c r="L804" s="2">
        <v>112400</v>
      </c>
      <c r="M804" s="2">
        <v>62558</v>
      </c>
      <c r="N804" s="2">
        <v>0</v>
      </c>
      <c r="O804" s="2">
        <v>0</v>
      </c>
      <c r="P804" s="2"/>
      <c r="Q804" s="2">
        <v>7910</v>
      </c>
      <c r="R804" s="2">
        <v>110630</v>
      </c>
      <c r="S804" s="2">
        <v>114455</v>
      </c>
      <c r="T804" s="2">
        <v>97940</v>
      </c>
      <c r="U804" s="2">
        <v>0</v>
      </c>
      <c r="V804" s="2"/>
      <c r="W804" s="2">
        <v>96593</v>
      </c>
      <c r="X804" s="2">
        <v>78417</v>
      </c>
      <c r="Y804" s="2">
        <v>0</v>
      </c>
      <c r="Z804" s="2">
        <v>0</v>
      </c>
      <c r="AA804" s="2">
        <v>0</v>
      </c>
      <c r="AB804" s="2"/>
      <c r="AC804" s="2">
        <v>17826</v>
      </c>
      <c r="AD804" s="2">
        <v>9129</v>
      </c>
      <c r="AE804" s="2">
        <v>9127</v>
      </c>
      <c r="AF804" s="2">
        <v>0</v>
      </c>
      <c r="AG804" s="2">
        <v>0</v>
      </c>
      <c r="AH804" s="2"/>
      <c r="AI804" s="2">
        <v>-11446</v>
      </c>
      <c r="AJ804" s="2">
        <v>-11444</v>
      </c>
      <c r="AK804" s="2">
        <v>-4638</v>
      </c>
      <c r="AL804" s="2">
        <v>0</v>
      </c>
      <c r="AM804" s="2">
        <v>-11444</v>
      </c>
    </row>
    <row r="805" spans="1:39">
      <c r="A805" s="349">
        <v>98601</v>
      </c>
      <c r="B805" s="342" t="s">
        <v>1499</v>
      </c>
      <c r="C805" s="358">
        <v>3.6321000000000001E-3</v>
      </c>
      <c r="E805" s="2">
        <v>1237506</v>
      </c>
      <c r="F805" s="2">
        <v>1681037</v>
      </c>
      <c r="G805" s="2">
        <v>996528</v>
      </c>
      <c r="H805" s="2">
        <v>540536</v>
      </c>
      <c r="I805" s="2">
        <v>0</v>
      </c>
      <c r="J805" s="2"/>
      <c r="K805" s="2">
        <v>673424</v>
      </c>
      <c r="L805" s="2">
        <v>620341</v>
      </c>
      <c r="M805" s="2">
        <v>345260</v>
      </c>
      <c r="N805" s="2">
        <v>0</v>
      </c>
      <c r="O805" s="2">
        <v>0</v>
      </c>
      <c r="P805" s="2"/>
      <c r="Q805" s="2">
        <v>43654</v>
      </c>
      <c r="R805" s="2">
        <v>610574</v>
      </c>
      <c r="S805" s="2">
        <v>631688</v>
      </c>
      <c r="T805" s="2">
        <v>540536</v>
      </c>
      <c r="U805" s="2">
        <v>0</v>
      </c>
      <c r="V805" s="2"/>
      <c r="W805" s="2">
        <v>533105</v>
      </c>
      <c r="X805" s="2">
        <v>432790</v>
      </c>
      <c r="Y805" s="2">
        <v>0</v>
      </c>
      <c r="Z805" s="2">
        <v>0</v>
      </c>
      <c r="AA805" s="2">
        <v>0</v>
      </c>
      <c r="AB805" s="2"/>
      <c r="AC805" s="2">
        <v>19582</v>
      </c>
      <c r="AD805" s="2">
        <v>19582</v>
      </c>
      <c r="AE805" s="2">
        <v>19580</v>
      </c>
      <c r="AF805" s="2">
        <v>0</v>
      </c>
      <c r="AG805" s="2">
        <v>0</v>
      </c>
      <c r="AH805" s="2"/>
      <c r="AI805" s="2">
        <v>-32259</v>
      </c>
      <c r="AJ805" s="2">
        <v>-2250</v>
      </c>
      <c r="AK805" s="2">
        <v>0</v>
      </c>
      <c r="AL805" s="2">
        <v>0</v>
      </c>
      <c r="AM805" s="2">
        <v>-2250</v>
      </c>
    </row>
    <row r="806" spans="1:39">
      <c r="A806" s="349">
        <v>98607</v>
      </c>
      <c r="B806" s="342" t="s">
        <v>1501</v>
      </c>
      <c r="C806" s="358">
        <v>5.2000000000000002E-6</v>
      </c>
      <c r="E806" s="2">
        <v>2154</v>
      </c>
      <c r="F806" s="2">
        <v>2735</v>
      </c>
      <c r="G806" s="2">
        <v>1405</v>
      </c>
      <c r="H806" s="2">
        <v>774</v>
      </c>
      <c r="I806" s="2">
        <v>0</v>
      </c>
      <c r="J806" s="2"/>
      <c r="K806" s="2">
        <v>964</v>
      </c>
      <c r="L806" s="2">
        <v>888</v>
      </c>
      <c r="M806" s="2">
        <v>494</v>
      </c>
      <c r="N806" s="2">
        <v>0</v>
      </c>
      <c r="O806" s="2">
        <v>0</v>
      </c>
      <c r="P806" s="2"/>
      <c r="Q806" s="2">
        <v>62</v>
      </c>
      <c r="R806" s="2">
        <v>874</v>
      </c>
      <c r="S806" s="2">
        <v>904</v>
      </c>
      <c r="T806" s="2">
        <v>774</v>
      </c>
      <c r="U806" s="2">
        <v>0</v>
      </c>
      <c r="V806" s="2"/>
      <c r="W806" s="2">
        <v>763</v>
      </c>
      <c r="X806" s="2">
        <v>620</v>
      </c>
      <c r="Y806" s="2">
        <v>0</v>
      </c>
      <c r="Z806" s="2">
        <v>0</v>
      </c>
      <c r="AA806" s="2">
        <v>0</v>
      </c>
      <c r="AB806" s="2"/>
      <c r="AC806" s="2">
        <v>556</v>
      </c>
      <c r="AD806" s="2">
        <v>544</v>
      </c>
      <c r="AE806" s="2">
        <v>196</v>
      </c>
      <c r="AF806" s="2">
        <v>0</v>
      </c>
      <c r="AG806" s="2">
        <v>0</v>
      </c>
      <c r="AH806" s="2"/>
      <c r="AI806" s="2">
        <v>-191</v>
      </c>
      <c r="AJ806" s="2">
        <v>-191</v>
      </c>
      <c r="AK806" s="2">
        <v>-189</v>
      </c>
      <c r="AL806" s="2">
        <v>0</v>
      </c>
      <c r="AM806" s="2">
        <v>-191</v>
      </c>
    </row>
    <row r="807" spans="1:39">
      <c r="A807" s="349">
        <v>98608</v>
      </c>
      <c r="B807" s="342" t="s">
        <v>1502</v>
      </c>
      <c r="C807" s="358">
        <v>6.3899999999999995E-5</v>
      </c>
      <c r="E807" s="2">
        <v>31330</v>
      </c>
      <c r="F807" s="2">
        <v>37953</v>
      </c>
      <c r="G807" s="2">
        <v>26124</v>
      </c>
      <c r="H807" s="2">
        <v>9510</v>
      </c>
      <c r="I807" s="2">
        <v>0</v>
      </c>
      <c r="J807" s="2"/>
      <c r="K807" s="2">
        <v>11848</v>
      </c>
      <c r="L807" s="2">
        <v>10914</v>
      </c>
      <c r="M807" s="2">
        <v>6074</v>
      </c>
      <c r="N807" s="2">
        <v>0</v>
      </c>
      <c r="O807" s="2">
        <v>0</v>
      </c>
      <c r="P807" s="2"/>
      <c r="Q807" s="2">
        <v>768</v>
      </c>
      <c r="R807" s="2">
        <v>10742</v>
      </c>
      <c r="S807" s="2">
        <v>11113</v>
      </c>
      <c r="T807" s="2">
        <v>9510</v>
      </c>
      <c r="U807" s="2">
        <v>0</v>
      </c>
      <c r="V807" s="2"/>
      <c r="W807" s="2">
        <v>9379</v>
      </c>
      <c r="X807" s="2">
        <v>7614</v>
      </c>
      <c r="Y807" s="2">
        <v>0</v>
      </c>
      <c r="Z807" s="2">
        <v>0</v>
      </c>
      <c r="AA807" s="2">
        <v>0</v>
      </c>
      <c r="AB807" s="2"/>
      <c r="AC807" s="2">
        <v>9586</v>
      </c>
      <c r="AD807" s="2">
        <v>8935</v>
      </c>
      <c r="AE807" s="2">
        <v>8937</v>
      </c>
      <c r="AF807" s="2">
        <v>0</v>
      </c>
      <c r="AG807" s="2">
        <v>0</v>
      </c>
      <c r="AH807" s="2"/>
      <c r="AI807" s="2">
        <v>-251</v>
      </c>
      <c r="AJ807" s="2">
        <v>-252</v>
      </c>
      <c r="AK807" s="2">
        <v>0</v>
      </c>
      <c r="AL807" s="2">
        <v>0</v>
      </c>
      <c r="AM807" s="2">
        <v>-252</v>
      </c>
    </row>
    <row r="808" spans="1:39">
      <c r="A808" s="349">
        <v>98611</v>
      </c>
      <c r="B808" s="342" t="s">
        <v>1503</v>
      </c>
      <c r="C808" s="358">
        <v>1.0620000000000001E-4</v>
      </c>
      <c r="E808" s="2">
        <v>41100</v>
      </c>
      <c r="F808" s="2">
        <v>51148</v>
      </c>
      <c r="G808" s="2">
        <v>25798</v>
      </c>
      <c r="H808" s="2">
        <v>15805</v>
      </c>
      <c r="I808" s="2">
        <v>0</v>
      </c>
      <c r="J808" s="2"/>
      <c r="K808" s="2">
        <v>19690</v>
      </c>
      <c r="L808" s="2">
        <v>18138</v>
      </c>
      <c r="M808" s="2">
        <v>10095</v>
      </c>
      <c r="N808" s="2">
        <v>0</v>
      </c>
      <c r="O808" s="2">
        <v>0</v>
      </c>
      <c r="P808" s="2"/>
      <c r="Q808" s="2">
        <v>1276</v>
      </c>
      <c r="R808" s="2">
        <v>17853</v>
      </c>
      <c r="S808" s="2">
        <v>18470</v>
      </c>
      <c r="T808" s="2">
        <v>15805</v>
      </c>
      <c r="U808" s="2">
        <v>0</v>
      </c>
      <c r="V808" s="2"/>
      <c r="W808" s="2">
        <v>15588</v>
      </c>
      <c r="X808" s="2">
        <v>12654</v>
      </c>
      <c r="Y808" s="2">
        <v>0</v>
      </c>
      <c r="Z808" s="2">
        <v>0</v>
      </c>
      <c r="AA808" s="2">
        <v>0</v>
      </c>
      <c r="AB808" s="2"/>
      <c r="AC808" s="2">
        <v>8863</v>
      </c>
      <c r="AD808" s="2">
        <v>6820</v>
      </c>
      <c r="AE808" s="2">
        <v>1549</v>
      </c>
      <c r="AF808" s="2">
        <v>0</v>
      </c>
      <c r="AG808" s="2">
        <v>0</v>
      </c>
      <c r="AH808" s="2"/>
      <c r="AI808" s="2">
        <v>-4317</v>
      </c>
      <c r="AJ808" s="2">
        <v>-4317</v>
      </c>
      <c r="AK808" s="2">
        <v>-4316</v>
      </c>
      <c r="AL808" s="2">
        <v>0</v>
      </c>
      <c r="AM808" s="2">
        <v>-4317</v>
      </c>
    </row>
    <row r="809" spans="1:39">
      <c r="A809" s="349">
        <v>98621</v>
      </c>
      <c r="B809" s="342" t="s">
        <v>1504</v>
      </c>
      <c r="C809" s="358">
        <v>1.3870000000000001E-4</v>
      </c>
      <c r="E809" s="2">
        <v>48919</v>
      </c>
      <c r="F809" s="2">
        <v>65766</v>
      </c>
      <c r="G809" s="2">
        <v>39483</v>
      </c>
      <c r="H809" s="2">
        <v>20642</v>
      </c>
      <c r="I809" s="2">
        <v>0</v>
      </c>
      <c r="J809" s="2"/>
      <c r="K809" s="2">
        <v>25716</v>
      </c>
      <c r="L809" s="2">
        <v>23689</v>
      </c>
      <c r="M809" s="2">
        <v>13185</v>
      </c>
      <c r="N809" s="2">
        <v>0</v>
      </c>
      <c r="O809" s="2">
        <v>0</v>
      </c>
      <c r="P809" s="2"/>
      <c r="Q809" s="2">
        <v>1667</v>
      </c>
      <c r="R809" s="2">
        <v>23316</v>
      </c>
      <c r="S809" s="2">
        <v>24122</v>
      </c>
      <c r="T809" s="2">
        <v>20642</v>
      </c>
      <c r="U809" s="2">
        <v>0</v>
      </c>
      <c r="V809" s="2"/>
      <c r="W809" s="2">
        <v>20358</v>
      </c>
      <c r="X809" s="2">
        <v>16527</v>
      </c>
      <c r="Y809" s="2">
        <v>0</v>
      </c>
      <c r="Z809" s="2">
        <v>0</v>
      </c>
      <c r="AA809" s="2">
        <v>0</v>
      </c>
      <c r="AB809" s="2"/>
      <c r="AC809" s="2">
        <v>3791</v>
      </c>
      <c r="AD809" s="2">
        <v>3792</v>
      </c>
      <c r="AE809" s="2">
        <v>3734</v>
      </c>
      <c r="AF809" s="2">
        <v>0</v>
      </c>
      <c r="AG809" s="2">
        <v>0</v>
      </c>
      <c r="AH809" s="2"/>
      <c r="AI809" s="2">
        <v>-2613</v>
      </c>
      <c r="AJ809" s="2">
        <v>-1558</v>
      </c>
      <c r="AK809" s="2">
        <v>-1558</v>
      </c>
      <c r="AL809" s="2">
        <v>0</v>
      </c>
      <c r="AM809" s="2">
        <v>-1558</v>
      </c>
    </row>
    <row r="810" spans="1:39">
      <c r="A810" s="349">
        <v>98627</v>
      </c>
      <c r="B810" s="342" t="s">
        <v>3698</v>
      </c>
      <c r="C810" s="358">
        <v>7.4000000000000003E-6</v>
      </c>
      <c r="E810" s="2">
        <v>1792</v>
      </c>
      <c r="F810" s="2">
        <v>2883</v>
      </c>
      <c r="G810" s="2">
        <v>1650</v>
      </c>
      <c r="H810" s="2">
        <v>1101</v>
      </c>
      <c r="I810" s="2">
        <v>0</v>
      </c>
      <c r="J810" s="2"/>
      <c r="K810" s="2">
        <v>1372</v>
      </c>
      <c r="L810" s="2">
        <v>1264</v>
      </c>
      <c r="M810" s="2">
        <v>703</v>
      </c>
      <c r="N810" s="2">
        <v>0</v>
      </c>
      <c r="O810" s="2">
        <v>0</v>
      </c>
      <c r="P810" s="2"/>
      <c r="Q810" s="2">
        <v>89</v>
      </c>
      <c r="R810" s="2">
        <v>1244</v>
      </c>
      <c r="S810" s="2">
        <v>1287</v>
      </c>
      <c r="T810" s="2">
        <v>1101</v>
      </c>
      <c r="U810" s="2">
        <v>0</v>
      </c>
      <c r="V810" s="2"/>
      <c r="W810" s="2">
        <v>1086</v>
      </c>
      <c r="X810" s="2">
        <v>882</v>
      </c>
      <c r="Y810" s="2">
        <v>0</v>
      </c>
      <c r="Z810" s="2">
        <v>0</v>
      </c>
      <c r="AA810" s="2">
        <v>0</v>
      </c>
      <c r="AB810" s="2"/>
      <c r="AC810" s="2">
        <v>0</v>
      </c>
      <c r="AD810" s="2">
        <v>0</v>
      </c>
      <c r="AE810" s="2">
        <v>0</v>
      </c>
      <c r="AF810" s="2">
        <v>0</v>
      </c>
      <c r="AG810" s="2">
        <v>0</v>
      </c>
      <c r="AH810" s="2"/>
      <c r="AI810" s="2">
        <v>-755</v>
      </c>
      <c r="AJ810" s="2">
        <v>-507</v>
      </c>
      <c r="AK810" s="2">
        <v>-340</v>
      </c>
      <c r="AL810" s="2">
        <v>0</v>
      </c>
      <c r="AM810" s="2">
        <v>-507</v>
      </c>
    </row>
    <row r="811" spans="1:39">
      <c r="A811" s="349">
        <v>98631</v>
      </c>
      <c r="B811" s="342" t="s">
        <v>1506</v>
      </c>
      <c r="C811" s="358">
        <v>9.3860000000000005E-4</v>
      </c>
      <c r="E811" s="2">
        <v>294966</v>
      </c>
      <c r="F811" s="2">
        <v>406881</v>
      </c>
      <c r="G811" s="2">
        <v>224666</v>
      </c>
      <c r="H811" s="2">
        <v>139684</v>
      </c>
      <c r="I811" s="2">
        <v>0</v>
      </c>
      <c r="J811" s="2"/>
      <c r="K811" s="2">
        <v>174025</v>
      </c>
      <c r="L811" s="2">
        <v>160307</v>
      </c>
      <c r="M811" s="2">
        <v>89221</v>
      </c>
      <c r="N811" s="2">
        <v>0</v>
      </c>
      <c r="O811" s="2">
        <v>0</v>
      </c>
      <c r="P811" s="2"/>
      <c r="Q811" s="2">
        <v>11281</v>
      </c>
      <c r="R811" s="2">
        <v>157783</v>
      </c>
      <c r="S811" s="2">
        <v>163239</v>
      </c>
      <c r="T811" s="2">
        <v>139684</v>
      </c>
      <c r="U811" s="2">
        <v>0</v>
      </c>
      <c r="V811" s="2"/>
      <c r="W811" s="2">
        <v>137764</v>
      </c>
      <c r="X811" s="2">
        <v>111841</v>
      </c>
      <c r="Y811" s="2">
        <v>0</v>
      </c>
      <c r="Z811" s="2">
        <v>0</v>
      </c>
      <c r="AA811" s="2">
        <v>0</v>
      </c>
      <c r="AB811" s="2"/>
      <c r="AC811" s="2">
        <v>4748</v>
      </c>
      <c r="AD811" s="2">
        <v>4747</v>
      </c>
      <c r="AE811" s="2">
        <v>0</v>
      </c>
      <c r="AF811" s="2">
        <v>0</v>
      </c>
      <c r="AG811" s="2">
        <v>0</v>
      </c>
      <c r="AH811" s="2"/>
      <c r="AI811" s="2">
        <v>-32852</v>
      </c>
      <c r="AJ811" s="2">
        <v>-27797</v>
      </c>
      <c r="AK811" s="2">
        <v>-27794</v>
      </c>
      <c r="AL811" s="2">
        <v>0</v>
      </c>
      <c r="AM811" s="2">
        <v>-27797</v>
      </c>
    </row>
    <row r="812" spans="1:39">
      <c r="A812" s="349">
        <v>98637</v>
      </c>
      <c r="B812" s="342" t="s">
        <v>1507</v>
      </c>
      <c r="C812" s="358">
        <v>2.3499999999999999E-5</v>
      </c>
      <c r="E812" s="2">
        <v>16284</v>
      </c>
      <c r="F812" s="2">
        <v>17958</v>
      </c>
      <c r="G812" s="2">
        <v>12362</v>
      </c>
      <c r="H812" s="2">
        <v>3497</v>
      </c>
      <c r="I812" s="2">
        <v>0</v>
      </c>
      <c r="J812" s="2"/>
      <c r="K812" s="2">
        <v>4357</v>
      </c>
      <c r="L812" s="2">
        <v>4014</v>
      </c>
      <c r="M812" s="2">
        <v>2234</v>
      </c>
      <c r="N812" s="2">
        <v>0</v>
      </c>
      <c r="O812" s="2">
        <v>0</v>
      </c>
      <c r="P812" s="2"/>
      <c r="Q812" s="2">
        <v>282</v>
      </c>
      <c r="R812" s="2">
        <v>3950</v>
      </c>
      <c r="S812" s="2">
        <v>4087</v>
      </c>
      <c r="T812" s="2">
        <v>3497</v>
      </c>
      <c r="U812" s="2">
        <v>0</v>
      </c>
      <c r="V812" s="2"/>
      <c r="W812" s="2">
        <v>3449</v>
      </c>
      <c r="X812" s="2">
        <v>2800</v>
      </c>
      <c r="Y812" s="2">
        <v>0</v>
      </c>
      <c r="Z812" s="2">
        <v>0</v>
      </c>
      <c r="AA812" s="2">
        <v>0</v>
      </c>
      <c r="AB812" s="2"/>
      <c r="AC812" s="2">
        <v>8196</v>
      </c>
      <c r="AD812" s="2">
        <v>7194</v>
      </c>
      <c r="AE812" s="2">
        <v>6041</v>
      </c>
      <c r="AF812" s="2">
        <v>0</v>
      </c>
      <c r="AG812" s="2">
        <v>0</v>
      </c>
      <c r="AH812" s="2"/>
      <c r="AI812" s="2">
        <v>0</v>
      </c>
      <c r="AJ812" s="2">
        <v>0</v>
      </c>
      <c r="AK812" s="2">
        <v>0</v>
      </c>
      <c r="AL812" s="2">
        <v>0</v>
      </c>
      <c r="AM812" s="2">
        <v>0</v>
      </c>
    </row>
    <row r="813" spans="1:39">
      <c r="A813" s="349">
        <v>98641</v>
      </c>
      <c r="B813" s="342" t="s">
        <v>1508</v>
      </c>
      <c r="C813" s="358">
        <v>2.8739999999999999E-4</v>
      </c>
      <c r="E813" s="2">
        <v>107258</v>
      </c>
      <c r="F813" s="2">
        <v>139687</v>
      </c>
      <c r="G813" s="2">
        <v>85074</v>
      </c>
      <c r="H813" s="2">
        <v>42771</v>
      </c>
      <c r="I813" s="2">
        <v>0</v>
      </c>
      <c r="J813" s="2"/>
      <c r="K813" s="2">
        <v>53287</v>
      </c>
      <c r="L813" s="2">
        <v>49086</v>
      </c>
      <c r="M813" s="2">
        <v>27320</v>
      </c>
      <c r="N813" s="2">
        <v>0</v>
      </c>
      <c r="O813" s="2">
        <v>0</v>
      </c>
      <c r="P813" s="2"/>
      <c r="Q813" s="2">
        <v>3454</v>
      </c>
      <c r="R813" s="2">
        <v>48313</v>
      </c>
      <c r="S813" s="2">
        <v>49984</v>
      </c>
      <c r="T813" s="2">
        <v>42771</v>
      </c>
      <c r="U813" s="2">
        <v>0</v>
      </c>
      <c r="V813" s="2"/>
      <c r="W813" s="2">
        <v>42183</v>
      </c>
      <c r="X813" s="2">
        <v>34246</v>
      </c>
      <c r="Y813" s="2">
        <v>0</v>
      </c>
      <c r="Z813" s="2">
        <v>0</v>
      </c>
      <c r="AA813" s="2">
        <v>0</v>
      </c>
      <c r="AB813" s="2"/>
      <c r="AC813" s="2">
        <v>9994</v>
      </c>
      <c r="AD813" s="2">
        <v>9702</v>
      </c>
      <c r="AE813" s="2">
        <v>9428</v>
      </c>
      <c r="AF813" s="2">
        <v>0</v>
      </c>
      <c r="AG813" s="2">
        <v>0</v>
      </c>
      <c r="AH813" s="2"/>
      <c r="AI813" s="2">
        <v>-1660</v>
      </c>
      <c r="AJ813" s="2">
        <v>-1660</v>
      </c>
      <c r="AK813" s="2">
        <v>-1658</v>
      </c>
      <c r="AL813" s="2">
        <v>0</v>
      </c>
      <c r="AM813" s="2">
        <v>-1660</v>
      </c>
    </row>
    <row r="814" spans="1:39">
      <c r="A814" s="349">
        <v>98701</v>
      </c>
      <c r="B814" s="342" t="s">
        <v>1509</v>
      </c>
      <c r="C814" s="358">
        <v>9.9500000000000001E-4</v>
      </c>
      <c r="E814" s="2">
        <v>321419</v>
      </c>
      <c r="F814" s="2">
        <v>443636</v>
      </c>
      <c r="G814" s="2">
        <v>265401</v>
      </c>
      <c r="H814" s="2">
        <v>148078</v>
      </c>
      <c r="I814" s="2">
        <v>0</v>
      </c>
      <c r="J814" s="2"/>
      <c r="K814" s="2">
        <v>184482</v>
      </c>
      <c r="L814" s="2">
        <v>169940</v>
      </c>
      <c r="M814" s="2">
        <v>94583</v>
      </c>
      <c r="N814" s="2">
        <v>0</v>
      </c>
      <c r="O814" s="2">
        <v>0</v>
      </c>
      <c r="P814" s="2"/>
      <c r="Q814" s="2">
        <v>11959</v>
      </c>
      <c r="R814" s="2">
        <v>167264</v>
      </c>
      <c r="S814" s="2">
        <v>173048</v>
      </c>
      <c r="T814" s="2">
        <v>148078</v>
      </c>
      <c r="U814" s="2">
        <v>0</v>
      </c>
      <c r="V814" s="2"/>
      <c r="W814" s="2">
        <v>146042</v>
      </c>
      <c r="X814" s="2">
        <v>118561</v>
      </c>
      <c r="Y814" s="2">
        <v>0</v>
      </c>
      <c r="Z814" s="2">
        <v>0</v>
      </c>
      <c r="AA814" s="2">
        <v>0</v>
      </c>
      <c r="AB814" s="2"/>
      <c r="AC814" s="2">
        <v>17150</v>
      </c>
      <c r="AD814" s="2">
        <v>17150</v>
      </c>
      <c r="AE814" s="2">
        <v>17149</v>
      </c>
      <c r="AF814" s="2">
        <v>0</v>
      </c>
      <c r="AG814" s="2">
        <v>0</v>
      </c>
      <c r="AH814" s="2"/>
      <c r="AI814" s="2">
        <v>-38214</v>
      </c>
      <c r="AJ814" s="2">
        <v>-29279</v>
      </c>
      <c r="AK814" s="2">
        <v>-19379</v>
      </c>
      <c r="AL814" s="2">
        <v>0</v>
      </c>
      <c r="AM814" s="2">
        <v>-29279</v>
      </c>
    </row>
    <row r="815" spans="1:39">
      <c r="A815" s="349">
        <v>98711</v>
      </c>
      <c r="B815" s="342" t="s">
        <v>1510</v>
      </c>
      <c r="C815" s="358">
        <v>1.4550000000000001E-4</v>
      </c>
      <c r="E815" s="2">
        <v>31065</v>
      </c>
      <c r="F815" s="2">
        <v>49876</v>
      </c>
      <c r="G815" s="2">
        <v>27395</v>
      </c>
      <c r="H815" s="2">
        <v>21654</v>
      </c>
      <c r="I815" s="2">
        <v>0</v>
      </c>
      <c r="J815" s="2"/>
      <c r="K815" s="2">
        <v>26977</v>
      </c>
      <c r="L815" s="2">
        <v>24851</v>
      </c>
      <c r="M815" s="2">
        <v>13831</v>
      </c>
      <c r="N815" s="2">
        <v>0</v>
      </c>
      <c r="O815" s="2">
        <v>0</v>
      </c>
      <c r="P815" s="2"/>
      <c r="Q815" s="2">
        <v>1749</v>
      </c>
      <c r="R815" s="2">
        <v>24459</v>
      </c>
      <c r="S815" s="2">
        <v>25305</v>
      </c>
      <c r="T815" s="2">
        <v>21654</v>
      </c>
      <c r="U815" s="2">
        <v>0</v>
      </c>
      <c r="V815" s="2"/>
      <c r="W815" s="2">
        <v>21356</v>
      </c>
      <c r="X815" s="2">
        <v>17337</v>
      </c>
      <c r="Y815" s="2">
        <v>0</v>
      </c>
      <c r="Z815" s="2">
        <v>0</v>
      </c>
      <c r="AA815" s="2">
        <v>0</v>
      </c>
      <c r="AB815" s="2"/>
      <c r="AC815" s="2">
        <v>0</v>
      </c>
      <c r="AD815" s="2">
        <v>0</v>
      </c>
      <c r="AE815" s="2">
        <v>0</v>
      </c>
      <c r="AF815" s="2">
        <v>0</v>
      </c>
      <c r="AG815" s="2">
        <v>0</v>
      </c>
      <c r="AH815" s="2"/>
      <c r="AI815" s="2">
        <v>-19017</v>
      </c>
      <c r="AJ815" s="2">
        <v>-16771</v>
      </c>
      <c r="AK815" s="2">
        <v>-11741</v>
      </c>
      <c r="AL815" s="2">
        <v>0</v>
      </c>
      <c r="AM815" s="2">
        <v>-16771</v>
      </c>
    </row>
    <row r="816" spans="1:39">
      <c r="A816" s="349">
        <v>98717</v>
      </c>
      <c r="B816" s="342" t="s">
        <v>1511</v>
      </c>
      <c r="C816" s="358">
        <v>1.6500000000000001E-5</v>
      </c>
      <c r="E816" s="2">
        <v>3727</v>
      </c>
      <c r="F816" s="2">
        <v>5370</v>
      </c>
      <c r="G816" s="2">
        <v>2683</v>
      </c>
      <c r="H816" s="2">
        <v>2456</v>
      </c>
      <c r="I816" s="2">
        <v>0</v>
      </c>
      <c r="J816" s="2"/>
      <c r="K816" s="2">
        <v>3059</v>
      </c>
      <c r="L816" s="2">
        <v>2818</v>
      </c>
      <c r="M816" s="2">
        <v>1568</v>
      </c>
      <c r="N816" s="2">
        <v>0</v>
      </c>
      <c r="O816" s="2">
        <v>0</v>
      </c>
      <c r="P816" s="2"/>
      <c r="Q816" s="2">
        <v>198</v>
      </c>
      <c r="R816" s="2">
        <v>2774</v>
      </c>
      <c r="S816" s="2">
        <v>2870</v>
      </c>
      <c r="T816" s="2">
        <v>2456</v>
      </c>
      <c r="U816" s="2">
        <v>0</v>
      </c>
      <c r="V816" s="2"/>
      <c r="W816" s="2">
        <v>2422</v>
      </c>
      <c r="X816" s="2">
        <v>1966</v>
      </c>
      <c r="Y816" s="2">
        <v>0</v>
      </c>
      <c r="Z816" s="2">
        <v>0</v>
      </c>
      <c r="AA816" s="2">
        <v>0</v>
      </c>
      <c r="AB816" s="2"/>
      <c r="AC816" s="2">
        <v>606</v>
      </c>
      <c r="AD816" s="2">
        <v>371</v>
      </c>
      <c r="AE816" s="2">
        <v>372</v>
      </c>
      <c r="AF816" s="2">
        <v>0</v>
      </c>
      <c r="AG816" s="2">
        <v>0</v>
      </c>
      <c r="AH816" s="2"/>
      <c r="AI816" s="2">
        <v>-2558</v>
      </c>
      <c r="AJ816" s="2">
        <v>-2559</v>
      </c>
      <c r="AK816" s="2">
        <v>-2127</v>
      </c>
      <c r="AL816" s="2">
        <v>0</v>
      </c>
      <c r="AM816" s="2">
        <v>-2559</v>
      </c>
    </row>
    <row r="817" spans="1:39">
      <c r="A817" s="349">
        <v>98801</v>
      </c>
      <c r="B817" s="342" t="s">
        <v>1512</v>
      </c>
      <c r="C817" s="358">
        <v>2.3004000000000002E-3</v>
      </c>
      <c r="E817" s="2">
        <v>903109</v>
      </c>
      <c r="F817" s="2">
        <v>1143266</v>
      </c>
      <c r="G817" s="2">
        <v>727328</v>
      </c>
      <c r="H817" s="2">
        <v>342350</v>
      </c>
      <c r="I817" s="2">
        <v>0</v>
      </c>
      <c r="J817" s="2"/>
      <c r="K817" s="2">
        <v>426515</v>
      </c>
      <c r="L817" s="2">
        <v>392895</v>
      </c>
      <c r="M817" s="2">
        <v>218671</v>
      </c>
      <c r="N817" s="2">
        <v>0</v>
      </c>
      <c r="O817" s="2">
        <v>0</v>
      </c>
      <c r="P817" s="2"/>
      <c r="Q817" s="2">
        <v>27649</v>
      </c>
      <c r="R817" s="2">
        <v>386709</v>
      </c>
      <c r="S817" s="2">
        <v>400081</v>
      </c>
      <c r="T817" s="2">
        <v>342350</v>
      </c>
      <c r="U817" s="2">
        <v>0</v>
      </c>
      <c r="V817" s="2"/>
      <c r="W817" s="2">
        <v>337644</v>
      </c>
      <c r="X817" s="2">
        <v>274109</v>
      </c>
      <c r="Y817" s="2">
        <v>0</v>
      </c>
      <c r="Z817" s="2">
        <v>0</v>
      </c>
      <c r="AA817" s="2">
        <v>0</v>
      </c>
      <c r="AB817" s="2"/>
      <c r="AC817" s="2">
        <v>130322</v>
      </c>
      <c r="AD817" s="2">
        <v>108574</v>
      </c>
      <c r="AE817" s="2">
        <v>108576</v>
      </c>
      <c r="AF817" s="2">
        <v>0</v>
      </c>
      <c r="AG817" s="2">
        <v>0</v>
      </c>
      <c r="AH817" s="2"/>
      <c r="AI817" s="2">
        <v>-19021</v>
      </c>
      <c r="AJ817" s="2">
        <v>-19021</v>
      </c>
      <c r="AK817" s="2">
        <v>0</v>
      </c>
      <c r="AL817" s="2">
        <v>0</v>
      </c>
      <c r="AM817" s="2">
        <v>-19021</v>
      </c>
    </row>
    <row r="818" spans="1:39">
      <c r="A818" s="349">
        <v>98811</v>
      </c>
      <c r="B818" s="342" t="s">
        <v>1513</v>
      </c>
      <c r="C818" s="358">
        <v>6.6279999999999996E-4</v>
      </c>
      <c r="E818" s="2">
        <v>239150</v>
      </c>
      <c r="F818" s="2">
        <v>319778</v>
      </c>
      <c r="G818" s="2">
        <v>192621</v>
      </c>
      <c r="H818" s="2">
        <v>98639</v>
      </c>
      <c r="I818" s="2">
        <v>0</v>
      </c>
      <c r="J818" s="2"/>
      <c r="K818" s="2">
        <v>122889</v>
      </c>
      <c r="L818" s="2">
        <v>113202</v>
      </c>
      <c r="M818" s="2">
        <v>63004</v>
      </c>
      <c r="N818" s="2">
        <v>0</v>
      </c>
      <c r="O818" s="2">
        <v>0</v>
      </c>
      <c r="P818" s="2"/>
      <c r="Q818" s="2">
        <v>7966</v>
      </c>
      <c r="R818" s="2">
        <v>111420</v>
      </c>
      <c r="S818" s="2">
        <v>115273</v>
      </c>
      <c r="T818" s="2">
        <v>98639</v>
      </c>
      <c r="U818" s="2">
        <v>0</v>
      </c>
      <c r="V818" s="2"/>
      <c r="W818" s="2">
        <v>97283</v>
      </c>
      <c r="X818" s="2">
        <v>78977</v>
      </c>
      <c r="Y818" s="2">
        <v>0</v>
      </c>
      <c r="Z818" s="2">
        <v>0</v>
      </c>
      <c r="AA818" s="2">
        <v>0</v>
      </c>
      <c r="AB818" s="2"/>
      <c r="AC818" s="2">
        <v>16179</v>
      </c>
      <c r="AD818" s="2">
        <v>16179</v>
      </c>
      <c r="AE818" s="2">
        <v>14344</v>
      </c>
      <c r="AF818" s="2">
        <v>0</v>
      </c>
      <c r="AG818" s="2">
        <v>0</v>
      </c>
      <c r="AH818" s="2"/>
      <c r="AI818" s="2">
        <v>-5167</v>
      </c>
      <c r="AJ818" s="2">
        <v>0</v>
      </c>
      <c r="AK818" s="2">
        <v>0</v>
      </c>
      <c r="AL818" s="2">
        <v>0</v>
      </c>
      <c r="AM818" s="2">
        <v>0</v>
      </c>
    </row>
    <row r="819" spans="1:39">
      <c r="A819" s="349">
        <v>98817</v>
      </c>
      <c r="B819" s="342" t="s">
        <v>1514</v>
      </c>
      <c r="C819" s="358">
        <v>1.3900000000000001E-5</v>
      </c>
      <c r="E819" s="2">
        <v>4626</v>
      </c>
      <c r="F819" s="2">
        <v>5292</v>
      </c>
      <c r="G819" s="2">
        <v>2424</v>
      </c>
      <c r="H819" s="2">
        <v>2069</v>
      </c>
      <c r="I819" s="2">
        <v>0</v>
      </c>
      <c r="J819" s="2"/>
      <c r="K819" s="2">
        <v>2577</v>
      </c>
      <c r="L819" s="2">
        <v>2374</v>
      </c>
      <c r="M819" s="2">
        <v>1321</v>
      </c>
      <c r="N819" s="2">
        <v>0</v>
      </c>
      <c r="O819" s="2">
        <v>0</v>
      </c>
      <c r="P819" s="2"/>
      <c r="Q819" s="2">
        <v>167</v>
      </c>
      <c r="R819" s="2">
        <v>2337</v>
      </c>
      <c r="S819" s="2">
        <v>2417</v>
      </c>
      <c r="T819" s="2">
        <v>2069</v>
      </c>
      <c r="U819" s="2">
        <v>0</v>
      </c>
      <c r="V819" s="2"/>
      <c r="W819" s="2">
        <v>2040</v>
      </c>
      <c r="X819" s="2">
        <v>1656</v>
      </c>
      <c r="Y819" s="2">
        <v>0</v>
      </c>
      <c r="Z819" s="2">
        <v>0</v>
      </c>
      <c r="AA819" s="2">
        <v>0</v>
      </c>
      <c r="AB819" s="2"/>
      <c r="AC819" s="2">
        <v>1157</v>
      </c>
      <c r="AD819" s="2">
        <v>240</v>
      </c>
      <c r="AE819" s="2">
        <v>0</v>
      </c>
      <c r="AF819" s="2">
        <v>0</v>
      </c>
      <c r="AG819" s="2">
        <v>0</v>
      </c>
      <c r="AH819" s="2"/>
      <c r="AI819" s="2">
        <v>-1315</v>
      </c>
      <c r="AJ819" s="2">
        <v>-1315</v>
      </c>
      <c r="AK819" s="2">
        <v>-1314</v>
      </c>
      <c r="AL819" s="2">
        <v>0</v>
      </c>
      <c r="AM819" s="2">
        <v>-1315</v>
      </c>
    </row>
    <row r="820" spans="1:39">
      <c r="A820" s="349">
        <v>98901</v>
      </c>
      <c r="B820" s="342" t="s">
        <v>1515</v>
      </c>
      <c r="C820" s="358">
        <v>2.8689999999999998E-4</v>
      </c>
      <c r="E820" s="2">
        <v>103257</v>
      </c>
      <c r="F820" s="2">
        <v>134380</v>
      </c>
      <c r="G820" s="2">
        <v>85643</v>
      </c>
      <c r="H820" s="2">
        <v>42697</v>
      </c>
      <c r="I820" s="2">
        <v>0</v>
      </c>
      <c r="J820" s="2"/>
      <c r="K820" s="2">
        <v>53194</v>
      </c>
      <c r="L820" s="2">
        <v>49001</v>
      </c>
      <c r="M820" s="2">
        <v>27272</v>
      </c>
      <c r="N820" s="2">
        <v>0</v>
      </c>
      <c r="O820" s="2">
        <v>0</v>
      </c>
      <c r="P820" s="2"/>
      <c r="Q820" s="2">
        <v>3448</v>
      </c>
      <c r="R820" s="2">
        <v>48229</v>
      </c>
      <c r="S820" s="2">
        <v>49897</v>
      </c>
      <c r="T820" s="2">
        <v>42697</v>
      </c>
      <c r="U820" s="2">
        <v>0</v>
      </c>
      <c r="V820" s="2"/>
      <c r="W820" s="2">
        <v>42110</v>
      </c>
      <c r="X820" s="2">
        <v>34186</v>
      </c>
      <c r="Y820" s="2">
        <v>0</v>
      </c>
      <c r="Z820" s="2">
        <v>0</v>
      </c>
      <c r="AA820" s="2">
        <v>0</v>
      </c>
      <c r="AB820" s="2"/>
      <c r="AC820" s="2">
        <v>10017</v>
      </c>
      <c r="AD820" s="2">
        <v>8478</v>
      </c>
      <c r="AE820" s="2">
        <v>8474</v>
      </c>
      <c r="AF820" s="2">
        <v>0</v>
      </c>
      <c r="AG820" s="2">
        <v>0</v>
      </c>
      <c r="AH820" s="2"/>
      <c r="AI820" s="2">
        <v>-5512</v>
      </c>
      <c r="AJ820" s="2">
        <v>-5514</v>
      </c>
      <c r="AK820" s="2">
        <v>0</v>
      </c>
      <c r="AL820" s="2">
        <v>0</v>
      </c>
      <c r="AM820" s="2">
        <v>-5514</v>
      </c>
    </row>
    <row r="821" spans="1:39">
      <c r="A821" s="349">
        <v>98904</v>
      </c>
      <c r="B821" s="342" t="s">
        <v>2783</v>
      </c>
      <c r="C821" s="358">
        <v>4.0999999999999997E-6</v>
      </c>
      <c r="E821" s="2">
        <v>1080</v>
      </c>
      <c r="F821" s="2">
        <v>1882</v>
      </c>
      <c r="G821" s="2">
        <v>958</v>
      </c>
      <c r="H821" s="2">
        <v>610</v>
      </c>
      <c r="I821" s="2">
        <v>0</v>
      </c>
      <c r="J821" s="2"/>
      <c r="K821" s="2">
        <v>760</v>
      </c>
      <c r="L821" s="2">
        <v>700</v>
      </c>
      <c r="M821" s="2">
        <v>390</v>
      </c>
      <c r="N821" s="2">
        <v>0</v>
      </c>
      <c r="O821" s="2">
        <v>0</v>
      </c>
      <c r="P821" s="2"/>
      <c r="Q821" s="2">
        <v>49</v>
      </c>
      <c r="R821" s="2">
        <v>689</v>
      </c>
      <c r="S821" s="2">
        <v>713</v>
      </c>
      <c r="T821" s="2">
        <v>610</v>
      </c>
      <c r="U821" s="2">
        <v>0</v>
      </c>
      <c r="V821" s="2"/>
      <c r="W821" s="2">
        <v>602</v>
      </c>
      <c r="X821" s="2">
        <v>489</v>
      </c>
      <c r="Y821" s="2">
        <v>0</v>
      </c>
      <c r="Z821" s="2">
        <v>0</v>
      </c>
      <c r="AA821" s="2">
        <v>0</v>
      </c>
      <c r="AB821" s="2"/>
      <c r="AC821" s="2">
        <v>152</v>
      </c>
      <c r="AD821" s="2">
        <v>151</v>
      </c>
      <c r="AE821" s="2">
        <v>0</v>
      </c>
      <c r="AF821" s="2">
        <v>0</v>
      </c>
      <c r="AG821" s="2">
        <v>0</v>
      </c>
      <c r="AH821" s="2"/>
      <c r="AI821" s="2">
        <v>-483</v>
      </c>
      <c r="AJ821" s="2">
        <v>-147</v>
      </c>
      <c r="AK821" s="2">
        <v>-145</v>
      </c>
      <c r="AL821" s="2">
        <v>0</v>
      </c>
      <c r="AM821" s="2">
        <v>-147</v>
      </c>
    </row>
    <row r="822" spans="1:39">
      <c r="A822" s="349">
        <v>98911</v>
      </c>
      <c r="B822" s="342" t="s">
        <v>1517</v>
      </c>
      <c r="C822" s="358">
        <v>2.16E-5</v>
      </c>
      <c r="E822" s="2">
        <v>13531</v>
      </c>
      <c r="F822" s="2">
        <v>15081</v>
      </c>
      <c r="G822" s="2">
        <v>9641</v>
      </c>
      <c r="H822" s="2">
        <v>3215</v>
      </c>
      <c r="I822" s="2">
        <v>0</v>
      </c>
      <c r="J822" s="2"/>
      <c r="K822" s="2">
        <v>4005</v>
      </c>
      <c r="L822" s="2">
        <v>3689</v>
      </c>
      <c r="M822" s="2">
        <v>2053</v>
      </c>
      <c r="N822" s="2">
        <v>0</v>
      </c>
      <c r="O822" s="2">
        <v>0</v>
      </c>
      <c r="P822" s="2"/>
      <c r="Q822" s="2">
        <v>260</v>
      </c>
      <c r="R822" s="2">
        <v>3631</v>
      </c>
      <c r="S822" s="2">
        <v>3757</v>
      </c>
      <c r="T822" s="2">
        <v>3215</v>
      </c>
      <c r="U822" s="2">
        <v>0</v>
      </c>
      <c r="V822" s="2"/>
      <c r="W822" s="2">
        <v>3170</v>
      </c>
      <c r="X822" s="2">
        <v>2574</v>
      </c>
      <c r="Y822" s="2">
        <v>0</v>
      </c>
      <c r="Z822" s="2">
        <v>0</v>
      </c>
      <c r="AA822" s="2">
        <v>0</v>
      </c>
      <c r="AB822" s="2"/>
      <c r="AC822" s="2">
        <v>6386</v>
      </c>
      <c r="AD822" s="2">
        <v>5477</v>
      </c>
      <c r="AE822" s="2">
        <v>4120</v>
      </c>
      <c r="AF822" s="2">
        <v>0</v>
      </c>
      <c r="AG822" s="2">
        <v>0</v>
      </c>
      <c r="AH822" s="2"/>
      <c r="AI822" s="2">
        <v>-290</v>
      </c>
      <c r="AJ822" s="2">
        <v>-290</v>
      </c>
      <c r="AK822" s="2">
        <v>-289</v>
      </c>
      <c r="AL822" s="2">
        <v>0</v>
      </c>
      <c r="AM822" s="2">
        <v>-290</v>
      </c>
    </row>
    <row r="823" spans="1:39">
      <c r="A823" s="349">
        <v>99001</v>
      </c>
      <c r="B823" s="342" t="s">
        <v>1518</v>
      </c>
      <c r="C823" s="358">
        <v>9.2741000000000004E-3</v>
      </c>
      <c r="E823" s="2">
        <v>3527784</v>
      </c>
      <c r="F823" s="2">
        <v>4564194</v>
      </c>
      <c r="G823" s="2">
        <v>2800881</v>
      </c>
      <c r="H823" s="2">
        <v>1380190</v>
      </c>
      <c r="I823" s="2">
        <v>0</v>
      </c>
      <c r="J823" s="2"/>
      <c r="K823" s="2">
        <v>1719502</v>
      </c>
      <c r="L823" s="2">
        <v>1583961</v>
      </c>
      <c r="M823" s="2">
        <v>881577</v>
      </c>
      <c r="N823" s="2">
        <v>0</v>
      </c>
      <c r="O823" s="2">
        <v>0</v>
      </c>
      <c r="P823" s="2"/>
      <c r="Q823" s="2">
        <v>111465</v>
      </c>
      <c r="R823" s="2">
        <v>1559023</v>
      </c>
      <c r="S823" s="2">
        <v>1612933</v>
      </c>
      <c r="T823" s="2">
        <v>1380190</v>
      </c>
      <c r="U823" s="2">
        <v>0</v>
      </c>
      <c r="V823" s="2"/>
      <c r="W823" s="2">
        <v>1361215</v>
      </c>
      <c r="X823" s="2">
        <v>1105074</v>
      </c>
      <c r="Y823" s="2">
        <v>0</v>
      </c>
      <c r="Z823" s="2">
        <v>0</v>
      </c>
      <c r="AA823" s="2">
        <v>0</v>
      </c>
      <c r="AB823" s="2"/>
      <c r="AC823" s="2">
        <v>335602</v>
      </c>
      <c r="AD823" s="2">
        <v>316136</v>
      </c>
      <c r="AE823" s="2">
        <v>306371</v>
      </c>
      <c r="AF823" s="2">
        <v>0</v>
      </c>
      <c r="AG823" s="2">
        <v>0</v>
      </c>
      <c r="AH823" s="2"/>
      <c r="AI823" s="2">
        <v>0</v>
      </c>
      <c r="AJ823" s="2">
        <v>0</v>
      </c>
      <c r="AK823" s="2">
        <v>0</v>
      </c>
      <c r="AL823" s="2">
        <v>0</v>
      </c>
      <c r="AM823" s="2">
        <v>0</v>
      </c>
    </row>
    <row r="824" spans="1:39">
      <c r="A824" s="349">
        <v>99011</v>
      </c>
      <c r="B824" s="342" t="s">
        <v>1519</v>
      </c>
      <c r="C824" s="358">
        <v>3.8425E-3</v>
      </c>
      <c r="E824" s="2">
        <v>1338608</v>
      </c>
      <c r="F824" s="2">
        <v>1783259</v>
      </c>
      <c r="G824" s="2">
        <v>1056508</v>
      </c>
      <c r="H824" s="2">
        <v>571849</v>
      </c>
      <c r="I824" s="2">
        <v>0</v>
      </c>
      <c r="J824" s="2"/>
      <c r="K824" s="2">
        <v>712434</v>
      </c>
      <c r="L824" s="2">
        <v>656276</v>
      </c>
      <c r="M824" s="2">
        <v>365260</v>
      </c>
      <c r="N824" s="2">
        <v>0</v>
      </c>
      <c r="O824" s="2">
        <v>0</v>
      </c>
      <c r="P824" s="2"/>
      <c r="Q824" s="2">
        <v>46183</v>
      </c>
      <c r="R824" s="2">
        <v>645943</v>
      </c>
      <c r="S824" s="2">
        <v>668280</v>
      </c>
      <c r="T824" s="2">
        <v>571849</v>
      </c>
      <c r="U824" s="2">
        <v>0</v>
      </c>
      <c r="V824" s="2"/>
      <c r="W824" s="2">
        <v>563987</v>
      </c>
      <c r="X824" s="2">
        <v>457861</v>
      </c>
      <c r="Y824" s="2">
        <v>0</v>
      </c>
      <c r="Z824" s="2">
        <v>0</v>
      </c>
      <c r="AA824" s="2">
        <v>0</v>
      </c>
      <c r="AB824" s="2"/>
      <c r="AC824" s="2">
        <v>23177</v>
      </c>
      <c r="AD824" s="2">
        <v>23179</v>
      </c>
      <c r="AE824" s="2">
        <v>22968</v>
      </c>
      <c r="AF824" s="2">
        <v>0</v>
      </c>
      <c r="AG824" s="2">
        <v>0</v>
      </c>
      <c r="AH824" s="2"/>
      <c r="AI824" s="2">
        <v>-7173</v>
      </c>
      <c r="AJ824" s="2">
        <v>0</v>
      </c>
      <c r="AK824" s="2">
        <v>0</v>
      </c>
      <c r="AL824" s="2">
        <v>0</v>
      </c>
      <c r="AM824" s="2">
        <v>0</v>
      </c>
    </row>
    <row r="825" spans="1:39">
      <c r="A825" s="349">
        <v>99013</v>
      </c>
      <c r="B825" s="342" t="s">
        <v>1520</v>
      </c>
      <c r="C825" s="358">
        <v>4.07E-5</v>
      </c>
      <c r="E825" s="2">
        <v>15104</v>
      </c>
      <c r="F825" s="2">
        <v>20159</v>
      </c>
      <c r="G825" s="2">
        <v>12818</v>
      </c>
      <c r="H825" s="2">
        <v>6057</v>
      </c>
      <c r="I825" s="2">
        <v>0</v>
      </c>
      <c r="J825" s="2"/>
      <c r="K825" s="2">
        <v>7546</v>
      </c>
      <c r="L825" s="2">
        <v>6951</v>
      </c>
      <c r="M825" s="2">
        <v>3869</v>
      </c>
      <c r="N825" s="2">
        <v>0</v>
      </c>
      <c r="O825" s="2">
        <v>0</v>
      </c>
      <c r="P825" s="2"/>
      <c r="Q825" s="2">
        <v>489</v>
      </c>
      <c r="R825" s="2">
        <v>6842</v>
      </c>
      <c r="S825" s="2">
        <v>7078</v>
      </c>
      <c r="T825" s="2">
        <v>6057</v>
      </c>
      <c r="U825" s="2">
        <v>0</v>
      </c>
      <c r="V825" s="2"/>
      <c r="W825" s="2">
        <v>5974</v>
      </c>
      <c r="X825" s="2">
        <v>4850</v>
      </c>
      <c r="Y825" s="2">
        <v>0</v>
      </c>
      <c r="Z825" s="2">
        <v>0</v>
      </c>
      <c r="AA825" s="2">
        <v>0</v>
      </c>
      <c r="AB825" s="2"/>
      <c r="AC825" s="2">
        <v>1875</v>
      </c>
      <c r="AD825" s="2">
        <v>1875</v>
      </c>
      <c r="AE825" s="2">
        <v>1871</v>
      </c>
      <c r="AF825" s="2">
        <v>0</v>
      </c>
      <c r="AG825" s="2">
        <v>0</v>
      </c>
      <c r="AH825" s="2"/>
      <c r="AI825" s="2">
        <v>-780</v>
      </c>
      <c r="AJ825" s="2">
        <v>-359</v>
      </c>
      <c r="AK825" s="2">
        <v>0</v>
      </c>
      <c r="AL825" s="2">
        <v>0</v>
      </c>
      <c r="AM825" s="2">
        <v>-359</v>
      </c>
    </row>
    <row r="826" spans="1:39">
      <c r="A826" s="349">
        <v>99014</v>
      </c>
      <c r="B826" s="342" t="s">
        <v>1521</v>
      </c>
      <c r="C826" s="358">
        <v>2.0400000000000001E-5</v>
      </c>
      <c r="E826" s="2">
        <v>9618</v>
      </c>
      <c r="F826" s="2">
        <v>11673</v>
      </c>
      <c r="G826" s="2">
        <v>7872</v>
      </c>
      <c r="H826" s="2">
        <v>3036</v>
      </c>
      <c r="I826" s="2">
        <v>0</v>
      </c>
      <c r="J826" s="2"/>
      <c r="K826" s="2">
        <v>3782</v>
      </c>
      <c r="L826" s="2">
        <v>3484</v>
      </c>
      <c r="M826" s="2">
        <v>1939</v>
      </c>
      <c r="N826" s="2">
        <v>0</v>
      </c>
      <c r="O826" s="2">
        <v>0</v>
      </c>
      <c r="P826" s="2"/>
      <c r="Q826" s="2">
        <v>245</v>
      </c>
      <c r="R826" s="2">
        <v>3429</v>
      </c>
      <c r="S826" s="2">
        <v>3548</v>
      </c>
      <c r="T826" s="2">
        <v>3036</v>
      </c>
      <c r="U826" s="2">
        <v>0</v>
      </c>
      <c r="V826" s="2"/>
      <c r="W826" s="2">
        <v>2994</v>
      </c>
      <c r="X826" s="2">
        <v>2431</v>
      </c>
      <c r="Y826" s="2">
        <v>0</v>
      </c>
      <c r="Z826" s="2">
        <v>0</v>
      </c>
      <c r="AA826" s="2">
        <v>0</v>
      </c>
      <c r="AB826" s="2"/>
      <c r="AC826" s="2">
        <v>2943</v>
      </c>
      <c r="AD826" s="2">
        <v>2676</v>
      </c>
      <c r="AE826" s="2">
        <v>2675</v>
      </c>
      <c r="AF826" s="2">
        <v>0</v>
      </c>
      <c r="AG826" s="2">
        <v>0</v>
      </c>
      <c r="AH826" s="2"/>
      <c r="AI826" s="2">
        <v>-346</v>
      </c>
      <c r="AJ826" s="2">
        <v>-347</v>
      </c>
      <c r="AK826" s="2">
        <v>-290</v>
      </c>
      <c r="AL826" s="2">
        <v>0</v>
      </c>
      <c r="AM826" s="2">
        <v>-347</v>
      </c>
    </row>
    <row r="827" spans="1:39">
      <c r="A827" s="349">
        <v>99017</v>
      </c>
      <c r="B827" s="342" t="s">
        <v>1522</v>
      </c>
      <c r="C827" s="358">
        <v>3.6199999999999999E-5</v>
      </c>
      <c r="E827" s="2">
        <v>8550</v>
      </c>
      <c r="F827" s="2">
        <v>11650</v>
      </c>
      <c r="G827" s="2">
        <v>5633</v>
      </c>
      <c r="H827" s="2">
        <v>5387</v>
      </c>
      <c r="I827" s="2">
        <v>0</v>
      </c>
      <c r="J827" s="2"/>
      <c r="K827" s="2">
        <v>6712</v>
      </c>
      <c r="L827" s="2">
        <v>6183</v>
      </c>
      <c r="M827" s="2">
        <v>3441</v>
      </c>
      <c r="N827" s="2">
        <v>0</v>
      </c>
      <c r="O827" s="2">
        <v>0</v>
      </c>
      <c r="P827" s="2"/>
      <c r="Q827" s="2">
        <v>435</v>
      </c>
      <c r="R827" s="2">
        <v>6085</v>
      </c>
      <c r="S827" s="2">
        <v>6296</v>
      </c>
      <c r="T827" s="2">
        <v>5387</v>
      </c>
      <c r="U827" s="2">
        <v>0</v>
      </c>
      <c r="V827" s="2"/>
      <c r="W827" s="2">
        <v>5313</v>
      </c>
      <c r="X827" s="2">
        <v>4313</v>
      </c>
      <c r="Y827" s="2">
        <v>0</v>
      </c>
      <c r="Z827" s="2">
        <v>0</v>
      </c>
      <c r="AA827" s="2">
        <v>0</v>
      </c>
      <c r="AB827" s="2"/>
      <c r="AC827" s="2">
        <v>1386</v>
      </c>
      <c r="AD827" s="2">
        <v>366</v>
      </c>
      <c r="AE827" s="2">
        <v>368</v>
      </c>
      <c r="AF827" s="2">
        <v>0</v>
      </c>
      <c r="AG827" s="2">
        <v>0</v>
      </c>
      <c r="AH827" s="2"/>
      <c r="AI827" s="2">
        <v>-5296</v>
      </c>
      <c r="AJ827" s="2">
        <v>-5297</v>
      </c>
      <c r="AK827" s="2">
        <v>-4472</v>
      </c>
      <c r="AL827" s="2">
        <v>0</v>
      </c>
      <c r="AM827" s="2">
        <v>-5297</v>
      </c>
    </row>
    <row r="828" spans="1:39">
      <c r="A828" s="349">
        <v>99021</v>
      </c>
      <c r="B828" s="342" t="s">
        <v>1523</v>
      </c>
      <c r="C828" s="358">
        <v>1.3100000000000001E-4</v>
      </c>
      <c r="E828" s="2">
        <v>41132</v>
      </c>
      <c r="F828" s="2">
        <v>54062</v>
      </c>
      <c r="G828" s="2">
        <v>32598</v>
      </c>
      <c r="H828" s="2">
        <v>19496</v>
      </c>
      <c r="I828" s="2">
        <v>0</v>
      </c>
      <c r="J828" s="2"/>
      <c r="K828" s="2">
        <v>24289</v>
      </c>
      <c r="L828" s="2">
        <v>22374</v>
      </c>
      <c r="M828" s="2">
        <v>12453</v>
      </c>
      <c r="N828" s="2">
        <v>0</v>
      </c>
      <c r="O828" s="2">
        <v>0</v>
      </c>
      <c r="P828" s="2"/>
      <c r="Q828" s="2">
        <v>1574</v>
      </c>
      <c r="R828" s="2">
        <v>22022</v>
      </c>
      <c r="S828" s="2">
        <v>22783</v>
      </c>
      <c r="T828" s="2">
        <v>19496</v>
      </c>
      <c r="U828" s="2">
        <v>0</v>
      </c>
      <c r="V828" s="2"/>
      <c r="W828" s="2">
        <v>19228</v>
      </c>
      <c r="X828" s="2">
        <v>15610</v>
      </c>
      <c r="Y828" s="2">
        <v>0</v>
      </c>
      <c r="Z828" s="2">
        <v>0</v>
      </c>
      <c r="AA828" s="2">
        <v>0</v>
      </c>
      <c r="AB828" s="2"/>
      <c r="AC828" s="2">
        <v>2907</v>
      </c>
      <c r="AD828" s="2">
        <v>923</v>
      </c>
      <c r="AE828" s="2">
        <v>923</v>
      </c>
      <c r="AF828" s="2">
        <v>0</v>
      </c>
      <c r="AG828" s="2">
        <v>0</v>
      </c>
      <c r="AH828" s="2"/>
      <c r="AI828" s="2">
        <v>-6866</v>
      </c>
      <c r="AJ828" s="2">
        <v>-6867</v>
      </c>
      <c r="AK828" s="2">
        <v>-3561</v>
      </c>
      <c r="AL828" s="2">
        <v>0</v>
      </c>
      <c r="AM828" s="2">
        <v>-6867</v>
      </c>
    </row>
    <row r="829" spans="1:39">
      <c r="A829" s="349">
        <v>99022</v>
      </c>
      <c r="B829" s="342" t="s">
        <v>211</v>
      </c>
      <c r="C829" s="358">
        <v>7.7000000000000008E-6</v>
      </c>
      <c r="E829" s="2">
        <v>7027</v>
      </c>
      <c r="F829" s="2">
        <v>6785</v>
      </c>
      <c r="G829" s="2">
        <v>4066</v>
      </c>
      <c r="H829" s="2">
        <v>1146</v>
      </c>
      <c r="I829" s="2">
        <v>0</v>
      </c>
      <c r="J829" s="2"/>
      <c r="K829" s="2">
        <v>1428</v>
      </c>
      <c r="L829" s="2">
        <v>1315</v>
      </c>
      <c r="M829" s="2">
        <v>732</v>
      </c>
      <c r="N829" s="2">
        <v>0</v>
      </c>
      <c r="O829" s="2">
        <v>0</v>
      </c>
      <c r="P829" s="2"/>
      <c r="Q829" s="2">
        <v>93</v>
      </c>
      <c r="R829" s="2">
        <v>1294</v>
      </c>
      <c r="S829" s="2">
        <v>1339</v>
      </c>
      <c r="T829" s="2">
        <v>1146</v>
      </c>
      <c r="U829" s="2">
        <v>0</v>
      </c>
      <c r="V829" s="2"/>
      <c r="W829" s="2">
        <v>1130</v>
      </c>
      <c r="X829" s="2">
        <v>918</v>
      </c>
      <c r="Y829" s="2">
        <v>0</v>
      </c>
      <c r="Z829" s="2">
        <v>0</v>
      </c>
      <c r="AA829" s="2">
        <v>0</v>
      </c>
      <c r="AB829" s="2"/>
      <c r="AC829" s="2">
        <v>4376</v>
      </c>
      <c r="AD829" s="2">
        <v>3258</v>
      </c>
      <c r="AE829" s="2">
        <v>1995</v>
      </c>
      <c r="AF829" s="2">
        <v>0</v>
      </c>
      <c r="AG829" s="2">
        <v>0</v>
      </c>
      <c r="AH829" s="2"/>
      <c r="AI829" s="2">
        <v>0</v>
      </c>
      <c r="AJ829" s="2">
        <v>0</v>
      </c>
      <c r="AK829" s="2">
        <v>0</v>
      </c>
      <c r="AL829" s="2">
        <v>0</v>
      </c>
      <c r="AM829" s="2">
        <v>0</v>
      </c>
    </row>
    <row r="830" spans="1:39">
      <c r="A830" s="349">
        <v>99031</v>
      </c>
      <c r="B830" s="342" t="s">
        <v>1524</v>
      </c>
      <c r="C830" s="358">
        <v>9.7499999999999998E-5</v>
      </c>
      <c r="E830" s="2">
        <v>14264</v>
      </c>
      <c r="F830" s="2">
        <v>28660</v>
      </c>
      <c r="G830" s="2">
        <v>14381</v>
      </c>
      <c r="H830" s="2">
        <v>14510</v>
      </c>
      <c r="I830" s="2">
        <v>0</v>
      </c>
      <c r="J830" s="2"/>
      <c r="K830" s="2">
        <v>18077</v>
      </c>
      <c r="L830" s="2">
        <v>16652</v>
      </c>
      <c r="M830" s="2">
        <v>9268</v>
      </c>
      <c r="N830" s="2">
        <v>0</v>
      </c>
      <c r="O830" s="2">
        <v>0</v>
      </c>
      <c r="P830" s="2"/>
      <c r="Q830" s="2">
        <v>1172</v>
      </c>
      <c r="R830" s="2">
        <v>16390</v>
      </c>
      <c r="S830" s="2">
        <v>16957</v>
      </c>
      <c r="T830" s="2">
        <v>14510</v>
      </c>
      <c r="U830" s="2">
        <v>0</v>
      </c>
      <c r="V830" s="2"/>
      <c r="W830" s="2">
        <v>14311</v>
      </c>
      <c r="X830" s="2">
        <v>11618</v>
      </c>
      <c r="Y830" s="2">
        <v>0</v>
      </c>
      <c r="Z830" s="2">
        <v>0</v>
      </c>
      <c r="AA830" s="2">
        <v>0</v>
      </c>
      <c r="AB830" s="2"/>
      <c r="AC830" s="2">
        <v>0</v>
      </c>
      <c r="AD830" s="2">
        <v>0</v>
      </c>
      <c r="AE830" s="2">
        <v>0</v>
      </c>
      <c r="AF830" s="2">
        <v>0</v>
      </c>
      <c r="AG830" s="2">
        <v>0</v>
      </c>
      <c r="AH830" s="2"/>
      <c r="AI830" s="2">
        <v>-19296</v>
      </c>
      <c r="AJ830" s="2">
        <v>-16000</v>
      </c>
      <c r="AK830" s="2">
        <v>-11844</v>
      </c>
      <c r="AL830" s="2">
        <v>0</v>
      </c>
      <c r="AM830" s="2">
        <v>-16000</v>
      </c>
    </row>
    <row r="831" spans="1:39">
      <c r="A831" s="349">
        <v>99041</v>
      </c>
      <c r="B831" s="342" t="s">
        <v>1525</v>
      </c>
      <c r="C831" s="358">
        <v>6.4840000000000004E-4</v>
      </c>
      <c r="E831" s="2">
        <v>218773</v>
      </c>
      <c r="F831" s="2">
        <v>288016</v>
      </c>
      <c r="G831" s="2">
        <v>168696</v>
      </c>
      <c r="H831" s="2">
        <v>96496</v>
      </c>
      <c r="I831" s="2">
        <v>0</v>
      </c>
      <c r="J831" s="2"/>
      <c r="K831" s="2">
        <v>120219</v>
      </c>
      <c r="L831" s="2">
        <v>110743</v>
      </c>
      <c r="M831" s="2">
        <v>61636</v>
      </c>
      <c r="N831" s="2">
        <v>0</v>
      </c>
      <c r="O831" s="2">
        <v>0</v>
      </c>
      <c r="P831" s="2"/>
      <c r="Q831" s="2">
        <v>7793</v>
      </c>
      <c r="R831" s="2">
        <v>108999</v>
      </c>
      <c r="S831" s="2">
        <v>112768</v>
      </c>
      <c r="T831" s="2">
        <v>96496</v>
      </c>
      <c r="U831" s="2">
        <v>0</v>
      </c>
      <c r="V831" s="2"/>
      <c r="W831" s="2">
        <v>95170</v>
      </c>
      <c r="X831" s="2">
        <v>77261</v>
      </c>
      <c r="Y831" s="2">
        <v>0</v>
      </c>
      <c r="Z831" s="2">
        <v>0</v>
      </c>
      <c r="AA831" s="2">
        <v>0</v>
      </c>
      <c r="AB831" s="2"/>
      <c r="AC831" s="2">
        <v>8124</v>
      </c>
      <c r="AD831" s="2">
        <v>3544</v>
      </c>
      <c r="AE831" s="2">
        <v>3545</v>
      </c>
      <c r="AF831" s="2">
        <v>0</v>
      </c>
      <c r="AG831" s="2">
        <v>0</v>
      </c>
      <c r="AH831" s="2"/>
      <c r="AI831" s="2">
        <v>-12533</v>
      </c>
      <c r="AJ831" s="2">
        <v>-12531</v>
      </c>
      <c r="AK831" s="2">
        <v>-9253</v>
      </c>
      <c r="AL831" s="2">
        <v>0</v>
      </c>
      <c r="AM831" s="2">
        <v>-12531</v>
      </c>
    </row>
    <row r="832" spans="1:39">
      <c r="A832" s="349">
        <v>99047</v>
      </c>
      <c r="B832" s="342" t="s">
        <v>1526</v>
      </c>
      <c r="C832" s="358">
        <v>1.38E-5</v>
      </c>
      <c r="E832" s="2">
        <v>8803</v>
      </c>
      <c r="F832" s="2">
        <v>9286</v>
      </c>
      <c r="G832" s="2">
        <v>5998</v>
      </c>
      <c r="H832" s="2">
        <v>2054</v>
      </c>
      <c r="I832" s="2">
        <v>0</v>
      </c>
      <c r="J832" s="2"/>
      <c r="K832" s="2">
        <v>2559</v>
      </c>
      <c r="L832" s="2">
        <v>2357</v>
      </c>
      <c r="M832" s="2">
        <v>1312</v>
      </c>
      <c r="N832" s="2">
        <v>0</v>
      </c>
      <c r="O832" s="2">
        <v>0</v>
      </c>
      <c r="P832" s="2"/>
      <c r="Q832" s="2">
        <v>166</v>
      </c>
      <c r="R832" s="2">
        <v>2320</v>
      </c>
      <c r="S832" s="2">
        <v>2400</v>
      </c>
      <c r="T832" s="2">
        <v>2054</v>
      </c>
      <c r="U832" s="2">
        <v>0</v>
      </c>
      <c r="V832" s="2"/>
      <c r="W832" s="2">
        <v>2026</v>
      </c>
      <c r="X832" s="2">
        <v>1644</v>
      </c>
      <c r="Y832" s="2">
        <v>0</v>
      </c>
      <c r="Z832" s="2">
        <v>0</v>
      </c>
      <c r="AA832" s="2">
        <v>0</v>
      </c>
      <c r="AB832" s="2"/>
      <c r="AC832" s="2">
        <v>4052</v>
      </c>
      <c r="AD832" s="2">
        <v>2965</v>
      </c>
      <c r="AE832" s="2">
        <v>2286</v>
      </c>
      <c r="AF832" s="2">
        <v>0</v>
      </c>
      <c r="AG832" s="2">
        <v>0</v>
      </c>
      <c r="AH832" s="2"/>
      <c r="AI832" s="2">
        <v>0</v>
      </c>
      <c r="AJ832" s="2">
        <v>0</v>
      </c>
      <c r="AK832" s="2">
        <v>0</v>
      </c>
      <c r="AL832" s="2">
        <v>0</v>
      </c>
      <c r="AM832" s="2">
        <v>0</v>
      </c>
    </row>
    <row r="833" spans="1:39">
      <c r="A833" s="349">
        <v>99051</v>
      </c>
      <c r="B833" s="342" t="s">
        <v>1527</v>
      </c>
      <c r="C833" s="358">
        <v>3.592E-4</v>
      </c>
      <c r="E833" s="2">
        <v>118897</v>
      </c>
      <c r="F833" s="2">
        <v>160428</v>
      </c>
      <c r="G833" s="2">
        <v>95383</v>
      </c>
      <c r="H833" s="2">
        <v>53457</v>
      </c>
      <c r="I833" s="2">
        <v>0</v>
      </c>
      <c r="J833" s="2"/>
      <c r="K833" s="2">
        <v>66599</v>
      </c>
      <c r="L833" s="2">
        <v>61349</v>
      </c>
      <c r="M833" s="2">
        <v>34145</v>
      </c>
      <c r="N833" s="2">
        <v>0</v>
      </c>
      <c r="O833" s="2">
        <v>0</v>
      </c>
      <c r="P833" s="2"/>
      <c r="Q833" s="2">
        <v>4317</v>
      </c>
      <c r="R833" s="2">
        <v>60383</v>
      </c>
      <c r="S833" s="2">
        <v>62471</v>
      </c>
      <c r="T833" s="2">
        <v>53457</v>
      </c>
      <c r="U833" s="2">
        <v>0</v>
      </c>
      <c r="V833" s="2"/>
      <c r="W833" s="2">
        <v>52722</v>
      </c>
      <c r="X833" s="2">
        <v>42801</v>
      </c>
      <c r="Y833" s="2">
        <v>0</v>
      </c>
      <c r="Z833" s="2">
        <v>0</v>
      </c>
      <c r="AA833" s="2">
        <v>0</v>
      </c>
      <c r="AB833" s="2"/>
      <c r="AC833" s="2">
        <v>2951</v>
      </c>
      <c r="AD833" s="2">
        <v>2951</v>
      </c>
      <c r="AE833" s="2">
        <v>2950</v>
      </c>
      <c r="AF833" s="2">
        <v>0</v>
      </c>
      <c r="AG833" s="2">
        <v>0</v>
      </c>
      <c r="AH833" s="2"/>
      <c r="AI833" s="2">
        <v>-7692</v>
      </c>
      <c r="AJ833" s="2">
        <v>-7056</v>
      </c>
      <c r="AK833" s="2">
        <v>-4183</v>
      </c>
      <c r="AL833" s="2">
        <v>0</v>
      </c>
      <c r="AM833" s="2">
        <v>-7056</v>
      </c>
    </row>
    <row r="834" spans="1:39">
      <c r="A834" s="349">
        <v>99061</v>
      </c>
      <c r="B834" s="342" t="s">
        <v>1528</v>
      </c>
      <c r="C834" s="358">
        <v>5.4999999999999999E-6</v>
      </c>
      <c r="E834" s="2">
        <v>3846</v>
      </c>
      <c r="F834" s="2">
        <v>3685</v>
      </c>
      <c r="G834" s="2">
        <v>1804</v>
      </c>
      <c r="H834" s="2">
        <v>819</v>
      </c>
      <c r="I834" s="2">
        <v>0</v>
      </c>
      <c r="J834" s="2"/>
      <c r="K834" s="2">
        <v>1020</v>
      </c>
      <c r="L834" s="2">
        <v>939</v>
      </c>
      <c r="M834" s="2">
        <v>523</v>
      </c>
      <c r="N834" s="2">
        <v>0</v>
      </c>
      <c r="O834" s="2">
        <v>0</v>
      </c>
      <c r="P834" s="2"/>
      <c r="Q834" s="2">
        <v>66</v>
      </c>
      <c r="R834" s="2">
        <v>925</v>
      </c>
      <c r="S834" s="2">
        <v>957</v>
      </c>
      <c r="T834" s="2">
        <v>819</v>
      </c>
      <c r="U834" s="2">
        <v>0</v>
      </c>
      <c r="V834" s="2"/>
      <c r="W834" s="2">
        <v>807</v>
      </c>
      <c r="X834" s="2">
        <v>655</v>
      </c>
      <c r="Y834" s="2">
        <v>0</v>
      </c>
      <c r="Z834" s="2">
        <v>0</v>
      </c>
      <c r="AA834" s="2">
        <v>0</v>
      </c>
      <c r="AB834" s="2"/>
      <c r="AC834" s="2">
        <v>1953</v>
      </c>
      <c r="AD834" s="2">
        <v>1166</v>
      </c>
      <c r="AE834" s="2">
        <v>324</v>
      </c>
      <c r="AF834" s="2">
        <v>0</v>
      </c>
      <c r="AG834" s="2">
        <v>0</v>
      </c>
      <c r="AH834" s="2"/>
      <c r="AI834" s="2">
        <v>0</v>
      </c>
      <c r="AJ834" s="2">
        <v>0</v>
      </c>
      <c r="AK834" s="2">
        <v>0</v>
      </c>
      <c r="AL834" s="2">
        <v>0</v>
      </c>
      <c r="AM834" s="2">
        <v>0</v>
      </c>
    </row>
    <row r="835" spans="1:39">
      <c r="A835" s="349">
        <v>99071</v>
      </c>
      <c r="B835" s="342" t="s">
        <v>1529</v>
      </c>
      <c r="C835" s="358">
        <v>2.3799999999999999E-5</v>
      </c>
      <c r="E835" s="2">
        <v>8299</v>
      </c>
      <c r="F835" s="2">
        <v>10803</v>
      </c>
      <c r="G835" s="2">
        <v>7150</v>
      </c>
      <c r="H835" s="2">
        <v>3542</v>
      </c>
      <c r="I835" s="2">
        <v>0</v>
      </c>
      <c r="J835" s="2"/>
      <c r="K835" s="2">
        <v>4413</v>
      </c>
      <c r="L835" s="2">
        <v>4065</v>
      </c>
      <c r="M835" s="2">
        <v>2262</v>
      </c>
      <c r="N835" s="2">
        <v>0</v>
      </c>
      <c r="O835" s="2">
        <v>0</v>
      </c>
      <c r="P835" s="2"/>
      <c r="Q835" s="2">
        <v>286</v>
      </c>
      <c r="R835" s="2">
        <v>4001</v>
      </c>
      <c r="S835" s="2">
        <v>4139</v>
      </c>
      <c r="T835" s="2">
        <v>3542</v>
      </c>
      <c r="U835" s="2">
        <v>0</v>
      </c>
      <c r="V835" s="2"/>
      <c r="W835" s="2">
        <v>3493</v>
      </c>
      <c r="X835" s="2">
        <v>2836</v>
      </c>
      <c r="Y835" s="2">
        <v>0</v>
      </c>
      <c r="Z835" s="2">
        <v>0</v>
      </c>
      <c r="AA835" s="2">
        <v>0</v>
      </c>
      <c r="AB835" s="2"/>
      <c r="AC835" s="2">
        <v>1341</v>
      </c>
      <c r="AD835" s="2">
        <v>1135</v>
      </c>
      <c r="AE835" s="2">
        <v>1135</v>
      </c>
      <c r="AF835" s="2">
        <v>0</v>
      </c>
      <c r="AG835" s="2">
        <v>0</v>
      </c>
      <c r="AH835" s="2"/>
      <c r="AI835" s="2">
        <v>-1234</v>
      </c>
      <c r="AJ835" s="2">
        <v>-1234</v>
      </c>
      <c r="AK835" s="2">
        <v>-386</v>
      </c>
      <c r="AL835" s="2">
        <v>0</v>
      </c>
      <c r="AM835" s="2">
        <v>-1234</v>
      </c>
    </row>
    <row r="836" spans="1:39">
      <c r="A836" s="349">
        <v>99081</v>
      </c>
      <c r="B836" s="342" t="s">
        <v>1530</v>
      </c>
      <c r="C836" s="358">
        <v>3.8800000000000001E-5</v>
      </c>
      <c r="E836" s="2">
        <v>16291</v>
      </c>
      <c r="F836" s="2">
        <v>22793</v>
      </c>
      <c r="G836" s="2">
        <v>14396</v>
      </c>
      <c r="H836" s="2">
        <v>5774</v>
      </c>
      <c r="I836" s="2">
        <v>0</v>
      </c>
      <c r="J836" s="2"/>
      <c r="K836" s="2">
        <v>7194</v>
      </c>
      <c r="L836" s="2">
        <v>6627</v>
      </c>
      <c r="M836" s="2">
        <v>3688</v>
      </c>
      <c r="N836" s="2">
        <v>0</v>
      </c>
      <c r="O836" s="2">
        <v>0</v>
      </c>
      <c r="P836" s="2"/>
      <c r="Q836" s="2">
        <v>466</v>
      </c>
      <c r="R836" s="2">
        <v>6522</v>
      </c>
      <c r="S836" s="2">
        <v>6748</v>
      </c>
      <c r="T836" s="2">
        <v>5774</v>
      </c>
      <c r="U836" s="2">
        <v>0</v>
      </c>
      <c r="V836" s="2"/>
      <c r="W836" s="2">
        <v>5695</v>
      </c>
      <c r="X836" s="2">
        <v>4623</v>
      </c>
      <c r="Y836" s="2">
        <v>0</v>
      </c>
      <c r="Z836" s="2">
        <v>0</v>
      </c>
      <c r="AA836" s="2">
        <v>0</v>
      </c>
      <c r="AB836" s="2"/>
      <c r="AC836" s="2">
        <v>5023</v>
      </c>
      <c r="AD836" s="2">
        <v>5021</v>
      </c>
      <c r="AE836" s="2">
        <v>3960</v>
      </c>
      <c r="AF836" s="2">
        <v>0</v>
      </c>
      <c r="AG836" s="2">
        <v>0</v>
      </c>
      <c r="AH836" s="2"/>
      <c r="AI836" s="2">
        <v>-2087</v>
      </c>
      <c r="AJ836" s="2">
        <v>0</v>
      </c>
      <c r="AK836" s="2">
        <v>0</v>
      </c>
      <c r="AL836" s="2">
        <v>0</v>
      </c>
      <c r="AM836" s="2">
        <v>0</v>
      </c>
    </row>
    <row r="837" spans="1:39">
      <c r="A837" s="349">
        <v>99091</v>
      </c>
      <c r="B837" s="342" t="s">
        <v>1531</v>
      </c>
      <c r="C837" s="358">
        <v>1.5800000000000001E-5</v>
      </c>
      <c r="E837" s="2">
        <v>13425</v>
      </c>
      <c r="F837" s="2">
        <v>14657</v>
      </c>
      <c r="G837" s="2">
        <v>11104</v>
      </c>
      <c r="H837" s="2">
        <v>2351</v>
      </c>
      <c r="I837" s="2">
        <v>0</v>
      </c>
      <c r="J837" s="2"/>
      <c r="K837" s="2">
        <v>2929</v>
      </c>
      <c r="L837" s="2">
        <v>2699</v>
      </c>
      <c r="M837" s="2">
        <v>1502</v>
      </c>
      <c r="N837" s="2">
        <v>0</v>
      </c>
      <c r="O837" s="2">
        <v>0</v>
      </c>
      <c r="P837" s="2"/>
      <c r="Q837" s="2">
        <v>190</v>
      </c>
      <c r="R837" s="2">
        <v>2656</v>
      </c>
      <c r="S837" s="2">
        <v>2748</v>
      </c>
      <c r="T837" s="2">
        <v>2351</v>
      </c>
      <c r="U837" s="2">
        <v>0</v>
      </c>
      <c r="V837" s="2"/>
      <c r="W837" s="2">
        <v>2319</v>
      </c>
      <c r="X837" s="2">
        <v>1883</v>
      </c>
      <c r="Y837" s="2">
        <v>0</v>
      </c>
      <c r="Z837" s="2">
        <v>0</v>
      </c>
      <c r="AA837" s="2">
        <v>0</v>
      </c>
      <c r="AB837" s="2"/>
      <c r="AC837" s="2">
        <v>7987</v>
      </c>
      <c r="AD837" s="2">
        <v>7419</v>
      </c>
      <c r="AE837" s="2">
        <v>6854</v>
      </c>
      <c r="AF837" s="2">
        <v>0</v>
      </c>
      <c r="AG837" s="2">
        <v>0</v>
      </c>
      <c r="AH837" s="2"/>
      <c r="AI837" s="2">
        <v>0</v>
      </c>
      <c r="AJ837" s="2">
        <v>0</v>
      </c>
      <c r="AK837" s="2">
        <v>0</v>
      </c>
      <c r="AL837" s="2">
        <v>0</v>
      </c>
      <c r="AM837" s="2">
        <v>0</v>
      </c>
    </row>
    <row r="838" spans="1:39">
      <c r="A838" s="349">
        <v>99101</v>
      </c>
      <c r="B838" s="342" t="s">
        <v>1532</v>
      </c>
      <c r="C838" s="358">
        <v>1.9082999999999999E-3</v>
      </c>
      <c r="E838" s="2">
        <v>542204</v>
      </c>
      <c r="F838" s="2">
        <v>748652</v>
      </c>
      <c r="G838" s="2">
        <v>397020</v>
      </c>
      <c r="H838" s="2">
        <v>283997</v>
      </c>
      <c r="I838" s="2">
        <v>0</v>
      </c>
      <c r="J838" s="2"/>
      <c r="K838" s="2">
        <v>353816</v>
      </c>
      <c r="L838" s="2">
        <v>325926</v>
      </c>
      <c r="M838" s="2">
        <v>181399</v>
      </c>
      <c r="N838" s="2">
        <v>0</v>
      </c>
      <c r="O838" s="2">
        <v>0</v>
      </c>
      <c r="P838" s="2"/>
      <c r="Q838" s="2">
        <v>22936</v>
      </c>
      <c r="R838" s="2">
        <v>320795</v>
      </c>
      <c r="S838" s="2">
        <v>331888</v>
      </c>
      <c r="T838" s="2">
        <v>283997</v>
      </c>
      <c r="U838" s="2">
        <v>0</v>
      </c>
      <c r="V838" s="2"/>
      <c r="W838" s="2">
        <v>280093</v>
      </c>
      <c r="X838" s="2">
        <v>227387</v>
      </c>
      <c r="Y838" s="2">
        <v>0</v>
      </c>
      <c r="Z838" s="2">
        <v>0</v>
      </c>
      <c r="AA838" s="2">
        <v>0</v>
      </c>
      <c r="AB838" s="2"/>
      <c r="AC838" s="2">
        <v>10815</v>
      </c>
      <c r="AD838" s="2">
        <v>0</v>
      </c>
      <c r="AE838" s="2">
        <v>0</v>
      </c>
      <c r="AF838" s="2">
        <v>0</v>
      </c>
      <c r="AG838" s="2">
        <v>0</v>
      </c>
      <c r="AH838" s="2"/>
      <c r="AI838" s="2">
        <v>-125456</v>
      </c>
      <c r="AJ838" s="2">
        <v>-125456</v>
      </c>
      <c r="AK838" s="2">
        <v>-116267</v>
      </c>
      <c r="AL838" s="2">
        <v>0</v>
      </c>
      <c r="AM838" s="2">
        <v>-125456</v>
      </c>
    </row>
    <row r="839" spans="1:39">
      <c r="A839" s="349">
        <v>99104</v>
      </c>
      <c r="B839" s="342" t="s">
        <v>2782</v>
      </c>
      <c r="C839" s="358">
        <v>3.1999999999999999E-5</v>
      </c>
      <c r="E839" s="2">
        <v>19600</v>
      </c>
      <c r="F839" s="2">
        <v>21963</v>
      </c>
      <c r="G839" s="2">
        <v>14041</v>
      </c>
      <c r="H839" s="2">
        <v>4762</v>
      </c>
      <c r="I839" s="2">
        <v>0</v>
      </c>
      <c r="J839" s="2"/>
      <c r="K839" s="2">
        <v>5933</v>
      </c>
      <c r="L839" s="2">
        <v>5465</v>
      </c>
      <c r="M839" s="2">
        <v>3042</v>
      </c>
      <c r="N839" s="2">
        <v>0</v>
      </c>
      <c r="O839" s="2">
        <v>0</v>
      </c>
      <c r="P839" s="2"/>
      <c r="Q839" s="2">
        <v>385</v>
      </c>
      <c r="R839" s="2">
        <v>5379</v>
      </c>
      <c r="S839" s="2">
        <v>5565</v>
      </c>
      <c r="T839" s="2">
        <v>4762</v>
      </c>
      <c r="U839" s="2">
        <v>0</v>
      </c>
      <c r="V839" s="2"/>
      <c r="W839" s="2">
        <v>4697</v>
      </c>
      <c r="X839" s="2">
        <v>3813</v>
      </c>
      <c r="Y839" s="2">
        <v>0</v>
      </c>
      <c r="Z839" s="2">
        <v>0</v>
      </c>
      <c r="AA839" s="2">
        <v>0</v>
      </c>
      <c r="AB839" s="2"/>
      <c r="AC839" s="2">
        <v>8585</v>
      </c>
      <c r="AD839" s="2">
        <v>7306</v>
      </c>
      <c r="AE839" s="2">
        <v>5434</v>
      </c>
      <c r="AF839" s="2">
        <v>0</v>
      </c>
      <c r="AG839" s="2">
        <v>0</v>
      </c>
      <c r="AH839" s="2"/>
      <c r="AI839" s="2">
        <v>0</v>
      </c>
      <c r="AJ839" s="2">
        <v>0</v>
      </c>
      <c r="AK839" s="2">
        <v>0</v>
      </c>
      <c r="AL839" s="2">
        <v>0</v>
      </c>
      <c r="AM839" s="2">
        <v>0</v>
      </c>
    </row>
    <row r="840" spans="1:39">
      <c r="A840" s="349">
        <v>99109</v>
      </c>
      <c r="B840" s="342" t="s">
        <v>2801</v>
      </c>
      <c r="C840" s="358">
        <v>1.139E-4</v>
      </c>
      <c r="E840" s="2">
        <v>36263</v>
      </c>
      <c r="F840" s="2">
        <v>48474</v>
      </c>
      <c r="G840" s="2">
        <v>27619</v>
      </c>
      <c r="H840" s="2">
        <v>16951</v>
      </c>
      <c r="I840" s="2">
        <v>0</v>
      </c>
      <c r="J840" s="2"/>
      <c r="K840" s="2">
        <v>21118</v>
      </c>
      <c r="L840" s="2">
        <v>19453</v>
      </c>
      <c r="M840" s="2">
        <v>10827</v>
      </c>
      <c r="N840" s="2">
        <v>0</v>
      </c>
      <c r="O840" s="2">
        <v>0</v>
      </c>
      <c r="P840" s="2"/>
      <c r="Q840" s="2">
        <v>1369</v>
      </c>
      <c r="R840" s="2">
        <v>19147</v>
      </c>
      <c r="S840" s="2">
        <v>19809</v>
      </c>
      <c r="T840" s="2">
        <v>16951</v>
      </c>
      <c r="U840" s="2">
        <v>0</v>
      </c>
      <c r="V840" s="2"/>
      <c r="W840" s="2">
        <v>16718</v>
      </c>
      <c r="X840" s="2">
        <v>13572</v>
      </c>
      <c r="Y840" s="2">
        <v>0</v>
      </c>
      <c r="Z840" s="2">
        <v>0</v>
      </c>
      <c r="AA840" s="2">
        <v>0</v>
      </c>
      <c r="AB840" s="2"/>
      <c r="AC840" s="2">
        <v>758</v>
      </c>
      <c r="AD840" s="2">
        <v>0</v>
      </c>
      <c r="AE840" s="2">
        <v>0</v>
      </c>
      <c r="AF840" s="2">
        <v>0</v>
      </c>
      <c r="AG840" s="2">
        <v>0</v>
      </c>
      <c r="AH840" s="2"/>
      <c r="AI840" s="2">
        <v>-3700</v>
      </c>
      <c r="AJ840" s="2">
        <v>-3698</v>
      </c>
      <c r="AK840" s="2">
        <v>-3017</v>
      </c>
      <c r="AL840" s="2">
        <v>0</v>
      </c>
      <c r="AM840" s="2">
        <v>-3698</v>
      </c>
    </row>
    <row r="841" spans="1:39">
      <c r="A841" s="349">
        <v>99110</v>
      </c>
      <c r="B841" s="342" t="s">
        <v>1535</v>
      </c>
      <c r="C841" s="358">
        <v>1.9249999999999999E-4</v>
      </c>
      <c r="E841" s="2">
        <v>118717</v>
      </c>
      <c r="F841" s="2">
        <v>134036</v>
      </c>
      <c r="G841" s="2">
        <v>90275</v>
      </c>
      <c r="H841" s="2">
        <v>28648</v>
      </c>
      <c r="I841" s="2">
        <v>0</v>
      </c>
      <c r="J841" s="2"/>
      <c r="K841" s="2">
        <v>35691</v>
      </c>
      <c r="L841" s="2">
        <v>32878</v>
      </c>
      <c r="M841" s="2">
        <v>18299</v>
      </c>
      <c r="N841" s="2">
        <v>0</v>
      </c>
      <c r="O841" s="2">
        <v>0</v>
      </c>
      <c r="P841" s="2"/>
      <c r="Q841" s="2">
        <v>2314</v>
      </c>
      <c r="R841" s="2">
        <v>32360</v>
      </c>
      <c r="S841" s="2">
        <v>33479</v>
      </c>
      <c r="T841" s="2">
        <v>28648</v>
      </c>
      <c r="U841" s="2">
        <v>0</v>
      </c>
      <c r="V841" s="2"/>
      <c r="W841" s="2">
        <v>28254</v>
      </c>
      <c r="X841" s="2">
        <v>22938</v>
      </c>
      <c r="Y841" s="2">
        <v>0</v>
      </c>
      <c r="Z841" s="2">
        <v>0</v>
      </c>
      <c r="AA841" s="2">
        <v>0</v>
      </c>
      <c r="AB841" s="2"/>
      <c r="AC841" s="2">
        <v>52458</v>
      </c>
      <c r="AD841" s="2">
        <v>45860</v>
      </c>
      <c r="AE841" s="2">
        <v>38497</v>
      </c>
      <c r="AF841" s="2">
        <v>0</v>
      </c>
      <c r="AG841" s="2">
        <v>0</v>
      </c>
      <c r="AH841" s="2"/>
      <c r="AI841" s="2">
        <v>0</v>
      </c>
      <c r="AJ841" s="2">
        <v>0</v>
      </c>
      <c r="AK841" s="2">
        <v>0</v>
      </c>
      <c r="AL841" s="2">
        <v>0</v>
      </c>
      <c r="AM841" s="2">
        <v>0</v>
      </c>
    </row>
    <row r="842" spans="1:39">
      <c r="A842" s="349">
        <v>99111</v>
      </c>
      <c r="B842" s="342" t="s">
        <v>1536</v>
      </c>
      <c r="C842" s="358">
        <v>1.3797E-3</v>
      </c>
      <c r="E842" s="2">
        <v>477844</v>
      </c>
      <c r="F842" s="2">
        <v>644392</v>
      </c>
      <c r="G842" s="2">
        <v>385970</v>
      </c>
      <c r="H842" s="2">
        <v>205330</v>
      </c>
      <c r="I842" s="2">
        <v>0</v>
      </c>
      <c r="J842" s="2"/>
      <c r="K842" s="2">
        <v>255809</v>
      </c>
      <c r="L842" s="2">
        <v>235644</v>
      </c>
      <c r="M842" s="2">
        <v>131152</v>
      </c>
      <c r="N842" s="2">
        <v>0</v>
      </c>
      <c r="O842" s="2">
        <v>0</v>
      </c>
      <c r="P842" s="2"/>
      <c r="Q842" s="2">
        <v>16583</v>
      </c>
      <c r="R842" s="2">
        <v>231934</v>
      </c>
      <c r="S842" s="2">
        <v>239955</v>
      </c>
      <c r="T842" s="2">
        <v>205330</v>
      </c>
      <c r="U842" s="2">
        <v>0</v>
      </c>
      <c r="V842" s="2"/>
      <c r="W842" s="2">
        <v>202507</v>
      </c>
      <c r="X842" s="2">
        <v>164401</v>
      </c>
      <c r="Y842" s="2">
        <v>0</v>
      </c>
      <c r="Z842" s="2">
        <v>0</v>
      </c>
      <c r="AA842" s="2">
        <v>0</v>
      </c>
      <c r="AB842" s="2"/>
      <c r="AC842" s="2">
        <v>21348</v>
      </c>
      <c r="AD842" s="2">
        <v>21348</v>
      </c>
      <c r="AE842" s="2">
        <v>21347</v>
      </c>
      <c r="AF842" s="2">
        <v>0</v>
      </c>
      <c r="AG842" s="2">
        <v>0</v>
      </c>
      <c r="AH842" s="2"/>
      <c r="AI842" s="2">
        <v>-18403</v>
      </c>
      <c r="AJ842" s="2">
        <v>-8935</v>
      </c>
      <c r="AK842" s="2">
        <v>-6484</v>
      </c>
      <c r="AL842" s="2">
        <v>0</v>
      </c>
      <c r="AM842" s="2">
        <v>-8935</v>
      </c>
    </row>
    <row r="843" spans="1:39">
      <c r="A843" s="349">
        <v>99201</v>
      </c>
      <c r="B843" s="342" t="s">
        <v>1537</v>
      </c>
      <c r="C843" s="358">
        <v>3.5152000000000003E-2</v>
      </c>
      <c r="E843" s="2">
        <v>12657424</v>
      </c>
      <c r="F843" s="2">
        <v>16518414</v>
      </c>
      <c r="G843" s="2">
        <v>9730209</v>
      </c>
      <c r="H843" s="2">
        <v>5231391</v>
      </c>
      <c r="I843" s="2">
        <v>0</v>
      </c>
      <c r="J843" s="2"/>
      <c r="K843" s="2">
        <v>6517497</v>
      </c>
      <c r="L843" s="2">
        <v>6003751</v>
      </c>
      <c r="M843" s="2">
        <v>3341479</v>
      </c>
      <c r="N843" s="2">
        <v>0</v>
      </c>
      <c r="O843" s="2">
        <v>0</v>
      </c>
      <c r="P843" s="2"/>
      <c r="Q843" s="2">
        <v>422492</v>
      </c>
      <c r="R843" s="2">
        <v>5909227</v>
      </c>
      <c r="S843" s="2">
        <v>6113566</v>
      </c>
      <c r="T843" s="2">
        <v>5231391</v>
      </c>
      <c r="U843" s="2">
        <v>0</v>
      </c>
      <c r="V843" s="2"/>
      <c r="W843" s="2">
        <v>5159470</v>
      </c>
      <c r="X843" s="2">
        <v>4188607</v>
      </c>
      <c r="Y843" s="2">
        <v>0</v>
      </c>
      <c r="Z843" s="2">
        <v>0</v>
      </c>
      <c r="AA843" s="2">
        <v>0</v>
      </c>
      <c r="AB843" s="2"/>
      <c r="AC843" s="2">
        <v>557965</v>
      </c>
      <c r="AD843" s="2">
        <v>416829</v>
      </c>
      <c r="AE843" s="2">
        <v>275164</v>
      </c>
      <c r="AF843" s="2">
        <v>0</v>
      </c>
      <c r="AG843" s="2">
        <v>0</v>
      </c>
      <c r="AH843" s="2"/>
      <c r="AI843" s="2">
        <v>0</v>
      </c>
      <c r="AJ843" s="2">
        <v>0</v>
      </c>
      <c r="AK843" s="2">
        <v>0</v>
      </c>
      <c r="AL843" s="2">
        <v>0</v>
      </c>
      <c r="AM843" s="2">
        <v>0</v>
      </c>
    </row>
    <row r="844" spans="1:39">
      <c r="A844" s="349">
        <v>99202</v>
      </c>
      <c r="B844" s="342" t="s">
        <v>1538</v>
      </c>
      <c r="C844" s="358">
        <v>2.8838000000000002E-3</v>
      </c>
      <c r="E844" s="2">
        <v>967390</v>
      </c>
      <c r="F844" s="2">
        <v>1306677</v>
      </c>
      <c r="G844" s="2">
        <v>763619</v>
      </c>
      <c r="H844" s="2">
        <v>429173</v>
      </c>
      <c r="I844" s="2">
        <v>0</v>
      </c>
      <c r="J844" s="2"/>
      <c r="K844" s="2">
        <v>534682</v>
      </c>
      <c r="L844" s="2">
        <v>492536</v>
      </c>
      <c r="M844" s="2">
        <v>274128</v>
      </c>
      <c r="N844" s="2">
        <v>0</v>
      </c>
      <c r="O844" s="2">
        <v>0</v>
      </c>
      <c r="P844" s="2"/>
      <c r="Q844" s="2">
        <v>34660</v>
      </c>
      <c r="R844" s="2">
        <v>484781</v>
      </c>
      <c r="S844" s="2">
        <v>501545</v>
      </c>
      <c r="T844" s="2">
        <v>429173</v>
      </c>
      <c r="U844" s="2">
        <v>0</v>
      </c>
      <c r="V844" s="2"/>
      <c r="W844" s="2">
        <v>423273</v>
      </c>
      <c r="X844" s="2">
        <v>343625</v>
      </c>
      <c r="Y844" s="2">
        <v>0</v>
      </c>
      <c r="Z844" s="2">
        <v>0</v>
      </c>
      <c r="AA844" s="2">
        <v>0</v>
      </c>
      <c r="AB844" s="2"/>
      <c r="AC844" s="2">
        <v>0</v>
      </c>
      <c r="AD844" s="2">
        <v>0</v>
      </c>
      <c r="AE844" s="2">
        <v>0</v>
      </c>
      <c r="AF844" s="2">
        <v>0</v>
      </c>
      <c r="AG844" s="2">
        <v>0</v>
      </c>
      <c r="AH844" s="2"/>
      <c r="AI844" s="2">
        <v>-25225</v>
      </c>
      <c r="AJ844" s="2">
        <v>-14265</v>
      </c>
      <c r="AK844" s="2">
        <v>-12054</v>
      </c>
      <c r="AL844" s="2">
        <v>0</v>
      </c>
      <c r="AM844" s="2">
        <v>-14265</v>
      </c>
    </row>
    <row r="845" spans="1:39">
      <c r="A845" s="349">
        <v>99203</v>
      </c>
      <c r="B845" s="342" t="s">
        <v>1539</v>
      </c>
      <c r="C845" s="358">
        <v>3.8450000000000002E-4</v>
      </c>
      <c r="E845" s="2">
        <v>144232</v>
      </c>
      <c r="F845" s="2">
        <v>193187</v>
      </c>
      <c r="G845" s="2">
        <v>123151</v>
      </c>
      <c r="H845" s="2">
        <v>57222</v>
      </c>
      <c r="I845" s="2">
        <v>0</v>
      </c>
      <c r="J845" s="2"/>
      <c r="K845" s="2">
        <v>71290</v>
      </c>
      <c r="L845" s="2">
        <v>65670</v>
      </c>
      <c r="M845" s="2">
        <v>36550</v>
      </c>
      <c r="N845" s="2">
        <v>0</v>
      </c>
      <c r="O845" s="2">
        <v>0</v>
      </c>
      <c r="P845" s="2"/>
      <c r="Q845" s="2">
        <v>4621</v>
      </c>
      <c r="R845" s="2">
        <v>64636</v>
      </c>
      <c r="S845" s="2">
        <v>66871</v>
      </c>
      <c r="T845" s="2">
        <v>57222</v>
      </c>
      <c r="U845" s="2">
        <v>0</v>
      </c>
      <c r="V845" s="2"/>
      <c r="W845" s="2">
        <v>56435</v>
      </c>
      <c r="X845" s="2">
        <v>45816</v>
      </c>
      <c r="Y845" s="2">
        <v>0</v>
      </c>
      <c r="Z845" s="2">
        <v>0</v>
      </c>
      <c r="AA845" s="2">
        <v>0</v>
      </c>
      <c r="AB845" s="2"/>
      <c r="AC845" s="2">
        <v>19730</v>
      </c>
      <c r="AD845" s="2">
        <v>19730</v>
      </c>
      <c r="AE845" s="2">
        <v>19730</v>
      </c>
      <c r="AF845" s="2">
        <v>0</v>
      </c>
      <c r="AG845" s="2">
        <v>0</v>
      </c>
      <c r="AH845" s="2"/>
      <c r="AI845" s="2">
        <v>-7844</v>
      </c>
      <c r="AJ845" s="2">
        <v>-2665</v>
      </c>
      <c r="AK845" s="2">
        <v>0</v>
      </c>
      <c r="AL845" s="2">
        <v>0</v>
      </c>
      <c r="AM845" s="2">
        <v>-2665</v>
      </c>
    </row>
    <row r="846" spans="1:39">
      <c r="A846" s="349">
        <v>99204</v>
      </c>
      <c r="B846" s="342" t="s">
        <v>1540</v>
      </c>
      <c r="C846" s="358">
        <v>1.0219999999999999E-3</v>
      </c>
      <c r="E846" s="2">
        <v>410757</v>
      </c>
      <c r="F846" s="2">
        <v>514291</v>
      </c>
      <c r="G846" s="2">
        <v>307256</v>
      </c>
      <c r="H846" s="2">
        <v>152096</v>
      </c>
      <c r="I846" s="2">
        <v>0</v>
      </c>
      <c r="J846" s="2"/>
      <c r="K846" s="2">
        <v>189488</v>
      </c>
      <c r="L846" s="2">
        <v>174551</v>
      </c>
      <c r="M846" s="2">
        <v>97149</v>
      </c>
      <c r="N846" s="2">
        <v>0</v>
      </c>
      <c r="O846" s="2">
        <v>0</v>
      </c>
      <c r="P846" s="2"/>
      <c r="Q846" s="2">
        <v>12283</v>
      </c>
      <c r="R846" s="2">
        <v>171803</v>
      </c>
      <c r="S846" s="2">
        <v>177744</v>
      </c>
      <c r="T846" s="2">
        <v>152096</v>
      </c>
      <c r="U846" s="2">
        <v>0</v>
      </c>
      <c r="V846" s="2"/>
      <c r="W846" s="2">
        <v>150005</v>
      </c>
      <c r="X846" s="2">
        <v>121778</v>
      </c>
      <c r="Y846" s="2">
        <v>0</v>
      </c>
      <c r="Z846" s="2">
        <v>0</v>
      </c>
      <c r="AA846" s="2">
        <v>0</v>
      </c>
      <c r="AB846" s="2"/>
      <c r="AC846" s="2">
        <v>58981</v>
      </c>
      <c r="AD846" s="2">
        <v>46159</v>
      </c>
      <c r="AE846" s="2">
        <v>32363</v>
      </c>
      <c r="AF846" s="2">
        <v>0</v>
      </c>
      <c r="AG846" s="2">
        <v>0</v>
      </c>
      <c r="AH846" s="2"/>
      <c r="AI846" s="2">
        <v>0</v>
      </c>
      <c r="AJ846" s="2">
        <v>0</v>
      </c>
      <c r="AK846" s="2">
        <v>0</v>
      </c>
      <c r="AL846" s="2">
        <v>0</v>
      </c>
      <c r="AM846" s="2">
        <v>0</v>
      </c>
    </row>
    <row r="847" spans="1:39">
      <c r="A847" s="349">
        <v>99206</v>
      </c>
      <c r="B847" s="342" t="s">
        <v>1541</v>
      </c>
      <c r="C847" s="358">
        <v>1.7485999999999999E-3</v>
      </c>
      <c r="E847" s="2">
        <v>814738</v>
      </c>
      <c r="F847" s="2">
        <v>922566</v>
      </c>
      <c r="G847" s="2">
        <v>488201</v>
      </c>
      <c r="H847" s="2">
        <v>260230</v>
      </c>
      <c r="I847" s="2">
        <v>0</v>
      </c>
      <c r="J847" s="2"/>
      <c r="K847" s="2">
        <v>324206</v>
      </c>
      <c r="L847" s="2">
        <v>298650</v>
      </c>
      <c r="M847" s="2">
        <v>166218</v>
      </c>
      <c r="N847" s="2">
        <v>0</v>
      </c>
      <c r="O847" s="2">
        <v>0</v>
      </c>
      <c r="P847" s="2"/>
      <c r="Q847" s="2">
        <v>21016</v>
      </c>
      <c r="R847" s="2">
        <v>293948</v>
      </c>
      <c r="S847" s="2">
        <v>304113</v>
      </c>
      <c r="T847" s="2">
        <v>260230</v>
      </c>
      <c r="U847" s="2">
        <v>0</v>
      </c>
      <c r="V847" s="2"/>
      <c r="W847" s="2">
        <v>256653</v>
      </c>
      <c r="X847" s="2">
        <v>208358</v>
      </c>
      <c r="Y847" s="2">
        <v>0</v>
      </c>
      <c r="Z847" s="2">
        <v>0</v>
      </c>
      <c r="AA847" s="2">
        <v>0</v>
      </c>
      <c r="AB847" s="2"/>
      <c r="AC847" s="2">
        <v>238090</v>
      </c>
      <c r="AD847" s="2">
        <v>146837</v>
      </c>
      <c r="AE847" s="2">
        <v>43099</v>
      </c>
      <c r="AF847" s="2">
        <v>0</v>
      </c>
      <c r="AG847" s="2">
        <v>0</v>
      </c>
      <c r="AH847" s="2"/>
      <c r="AI847" s="2">
        <v>-25227</v>
      </c>
      <c r="AJ847" s="2">
        <v>-25227</v>
      </c>
      <c r="AK847" s="2">
        <v>-25229</v>
      </c>
      <c r="AL847" s="2">
        <v>0</v>
      </c>
      <c r="AM847" s="2">
        <v>-25227</v>
      </c>
    </row>
    <row r="848" spans="1:39">
      <c r="A848" s="349">
        <v>99207</v>
      </c>
      <c r="B848" s="342" t="s">
        <v>1542</v>
      </c>
      <c r="C848" s="358">
        <v>1.111E-4</v>
      </c>
      <c r="E848" s="2">
        <v>107061</v>
      </c>
      <c r="F848" s="2">
        <v>97101</v>
      </c>
      <c r="G848" s="2">
        <v>53096</v>
      </c>
      <c r="H848" s="2">
        <v>16534</v>
      </c>
      <c r="I848" s="2">
        <v>0</v>
      </c>
      <c r="J848" s="2"/>
      <c r="K848" s="2">
        <v>20599</v>
      </c>
      <c r="L848" s="2">
        <v>18975</v>
      </c>
      <c r="M848" s="2">
        <v>10561</v>
      </c>
      <c r="N848" s="2">
        <v>0</v>
      </c>
      <c r="O848" s="2">
        <v>0</v>
      </c>
      <c r="P848" s="2"/>
      <c r="Q848" s="2">
        <v>1335</v>
      </c>
      <c r="R848" s="2">
        <v>18676</v>
      </c>
      <c r="S848" s="2">
        <v>19322</v>
      </c>
      <c r="T848" s="2">
        <v>16534</v>
      </c>
      <c r="U848" s="2">
        <v>0</v>
      </c>
      <c r="V848" s="2"/>
      <c r="W848" s="2">
        <v>16307</v>
      </c>
      <c r="X848" s="2">
        <v>13238</v>
      </c>
      <c r="Y848" s="2">
        <v>0</v>
      </c>
      <c r="Z848" s="2">
        <v>0</v>
      </c>
      <c r="AA848" s="2">
        <v>0</v>
      </c>
      <c r="AB848" s="2"/>
      <c r="AC848" s="2">
        <v>69015</v>
      </c>
      <c r="AD848" s="2">
        <v>46407</v>
      </c>
      <c r="AE848" s="2">
        <v>23409</v>
      </c>
      <c r="AF848" s="2">
        <v>0</v>
      </c>
      <c r="AG848" s="2">
        <v>0</v>
      </c>
      <c r="AH848" s="2"/>
      <c r="AI848" s="2">
        <v>-195</v>
      </c>
      <c r="AJ848" s="2">
        <v>-195</v>
      </c>
      <c r="AK848" s="2">
        <v>-196</v>
      </c>
      <c r="AL848" s="2">
        <v>0</v>
      </c>
      <c r="AM848" s="2">
        <v>-195</v>
      </c>
    </row>
    <row r="849" spans="1:39">
      <c r="A849" s="349">
        <v>99208</v>
      </c>
      <c r="B849" s="342" t="s">
        <v>1543</v>
      </c>
      <c r="C849" s="358">
        <v>3.2929999999999998E-4</v>
      </c>
      <c r="E849" s="2">
        <v>131052</v>
      </c>
      <c r="F849" s="2">
        <v>168852</v>
      </c>
      <c r="G849" s="2">
        <v>94074</v>
      </c>
      <c r="H849" s="2">
        <v>49007</v>
      </c>
      <c r="I849" s="2">
        <v>0</v>
      </c>
      <c r="J849" s="2"/>
      <c r="K849" s="2">
        <v>61055</v>
      </c>
      <c r="L849" s="2">
        <v>56242</v>
      </c>
      <c r="M849" s="2">
        <v>31303</v>
      </c>
      <c r="N849" s="2">
        <v>0</v>
      </c>
      <c r="O849" s="2">
        <v>0</v>
      </c>
      <c r="P849" s="2"/>
      <c r="Q849" s="2">
        <v>3958</v>
      </c>
      <c r="R849" s="2">
        <v>55357</v>
      </c>
      <c r="S849" s="2">
        <v>57271</v>
      </c>
      <c r="T849" s="2">
        <v>49007</v>
      </c>
      <c r="U849" s="2">
        <v>0</v>
      </c>
      <c r="V849" s="2"/>
      <c r="W849" s="2">
        <v>48333</v>
      </c>
      <c r="X849" s="2">
        <v>39238</v>
      </c>
      <c r="Y849" s="2">
        <v>0</v>
      </c>
      <c r="Z849" s="2">
        <v>0</v>
      </c>
      <c r="AA849" s="2">
        <v>0</v>
      </c>
      <c r="AB849" s="2"/>
      <c r="AC849" s="2">
        <v>20055</v>
      </c>
      <c r="AD849" s="2">
        <v>20055</v>
      </c>
      <c r="AE849" s="2">
        <v>7541</v>
      </c>
      <c r="AF849" s="2">
        <v>0</v>
      </c>
      <c r="AG849" s="2">
        <v>0</v>
      </c>
      <c r="AH849" s="2"/>
      <c r="AI849" s="2">
        <v>-2349</v>
      </c>
      <c r="AJ849" s="2">
        <v>-2040</v>
      </c>
      <c r="AK849" s="2">
        <v>-2041</v>
      </c>
      <c r="AL849" s="2">
        <v>0</v>
      </c>
      <c r="AM849" s="2">
        <v>-2040</v>
      </c>
    </row>
    <row r="850" spans="1:39">
      <c r="A850" s="349">
        <v>99210</v>
      </c>
      <c r="B850" s="342" t="s">
        <v>3699</v>
      </c>
      <c r="C850" s="358">
        <v>1.8843E-3</v>
      </c>
      <c r="E850" s="2">
        <v>783649</v>
      </c>
      <c r="F850" s="2">
        <v>986685</v>
      </c>
      <c r="G850" s="2">
        <v>607457</v>
      </c>
      <c r="H850" s="2">
        <v>280425</v>
      </c>
      <c r="I850" s="2">
        <v>0</v>
      </c>
      <c r="J850" s="2"/>
      <c r="K850" s="2">
        <v>349366</v>
      </c>
      <c r="L850" s="2">
        <v>321827</v>
      </c>
      <c r="M850" s="2">
        <v>179118</v>
      </c>
      <c r="N850" s="2">
        <v>0</v>
      </c>
      <c r="O850" s="2">
        <v>0</v>
      </c>
      <c r="P850" s="2"/>
      <c r="Q850" s="2">
        <v>22647</v>
      </c>
      <c r="R850" s="2">
        <v>316760</v>
      </c>
      <c r="S850" s="2">
        <v>327714</v>
      </c>
      <c r="T850" s="2">
        <v>280425</v>
      </c>
      <c r="U850" s="2">
        <v>0</v>
      </c>
      <c r="V850" s="2"/>
      <c r="W850" s="2">
        <v>276570</v>
      </c>
      <c r="X850" s="2">
        <v>224528</v>
      </c>
      <c r="Y850" s="2">
        <v>0</v>
      </c>
      <c r="Z850" s="2">
        <v>0</v>
      </c>
      <c r="AA850" s="2">
        <v>0</v>
      </c>
      <c r="AB850" s="2"/>
      <c r="AC850" s="2">
        <v>135066</v>
      </c>
      <c r="AD850" s="2">
        <v>123570</v>
      </c>
      <c r="AE850" s="2">
        <v>100625</v>
      </c>
      <c r="AF850" s="2">
        <v>0</v>
      </c>
      <c r="AG850" s="2">
        <v>0</v>
      </c>
      <c r="AH850" s="2"/>
      <c r="AI850" s="2">
        <v>0</v>
      </c>
      <c r="AJ850" s="2">
        <v>0</v>
      </c>
      <c r="AK850" s="2">
        <v>0</v>
      </c>
      <c r="AL850" s="2">
        <v>0</v>
      </c>
      <c r="AM850" s="2">
        <v>0</v>
      </c>
    </row>
    <row r="851" spans="1:39">
      <c r="A851" s="349">
        <v>99211</v>
      </c>
      <c r="B851" s="342" t="s">
        <v>1545</v>
      </c>
      <c r="C851" s="358">
        <v>3.7671200000000002E-2</v>
      </c>
      <c r="E851" s="2">
        <v>12240506</v>
      </c>
      <c r="F851" s="2">
        <v>16734373</v>
      </c>
      <c r="G851" s="2">
        <v>9448996</v>
      </c>
      <c r="H851" s="2">
        <v>5606303</v>
      </c>
      <c r="I851" s="2">
        <v>0</v>
      </c>
      <c r="J851" s="2"/>
      <c r="K851" s="2">
        <v>6984580</v>
      </c>
      <c r="L851" s="2">
        <v>6434015</v>
      </c>
      <c r="M851" s="2">
        <v>3580949</v>
      </c>
      <c r="N851" s="2">
        <v>0</v>
      </c>
      <c r="O851" s="2">
        <v>0</v>
      </c>
      <c r="P851" s="2"/>
      <c r="Q851" s="2">
        <v>452770</v>
      </c>
      <c r="R851" s="2">
        <v>6332717</v>
      </c>
      <c r="S851" s="2">
        <v>6551700</v>
      </c>
      <c r="T851" s="2">
        <v>5606303</v>
      </c>
      <c r="U851" s="2">
        <v>0</v>
      </c>
      <c r="V851" s="2"/>
      <c r="W851" s="2">
        <v>5529228</v>
      </c>
      <c r="X851" s="2">
        <v>4488787</v>
      </c>
      <c r="Y851" s="2">
        <v>0</v>
      </c>
      <c r="Z851" s="2">
        <v>0</v>
      </c>
      <c r="AA851" s="2">
        <v>0</v>
      </c>
      <c r="AB851" s="2"/>
      <c r="AC851" s="2">
        <v>162507</v>
      </c>
      <c r="AD851" s="2">
        <v>162508</v>
      </c>
      <c r="AE851" s="2">
        <v>0</v>
      </c>
      <c r="AF851" s="2">
        <v>0</v>
      </c>
      <c r="AG851" s="2">
        <v>0</v>
      </c>
      <c r="AH851" s="2"/>
      <c r="AI851" s="2">
        <v>-888579</v>
      </c>
      <c r="AJ851" s="2">
        <v>-683654</v>
      </c>
      <c r="AK851" s="2">
        <v>-683653</v>
      </c>
      <c r="AL851" s="2">
        <v>0</v>
      </c>
      <c r="AM851" s="2">
        <v>-683654</v>
      </c>
    </row>
    <row r="852" spans="1:39">
      <c r="A852" s="349">
        <v>99212</v>
      </c>
      <c r="B852" s="342" t="s">
        <v>3700</v>
      </c>
      <c r="C852" s="358">
        <v>8.7200000000000005E-5</v>
      </c>
      <c r="E852" s="2">
        <v>31300</v>
      </c>
      <c r="F852" s="2">
        <v>41170</v>
      </c>
      <c r="G852" s="2">
        <v>26986</v>
      </c>
      <c r="H852" s="2">
        <v>12977</v>
      </c>
      <c r="I852" s="2">
        <v>0</v>
      </c>
      <c r="J852" s="2"/>
      <c r="K852" s="2">
        <v>16168</v>
      </c>
      <c r="L852" s="2">
        <v>14893</v>
      </c>
      <c r="M852" s="2">
        <v>8289</v>
      </c>
      <c r="N852" s="2">
        <v>0</v>
      </c>
      <c r="O852" s="2">
        <v>0</v>
      </c>
      <c r="P852" s="2"/>
      <c r="Q852" s="2">
        <v>1048</v>
      </c>
      <c r="R852" s="2">
        <v>14659</v>
      </c>
      <c r="S852" s="2">
        <v>15166</v>
      </c>
      <c r="T852" s="2">
        <v>12977</v>
      </c>
      <c r="U852" s="2">
        <v>0</v>
      </c>
      <c r="V852" s="2"/>
      <c r="W852" s="2">
        <v>12799</v>
      </c>
      <c r="X852" s="2">
        <v>10390</v>
      </c>
      <c r="Y852" s="2">
        <v>0</v>
      </c>
      <c r="Z852" s="2">
        <v>0</v>
      </c>
      <c r="AA852" s="2">
        <v>0</v>
      </c>
      <c r="AB852" s="2"/>
      <c r="AC852" s="2">
        <v>4742</v>
      </c>
      <c r="AD852" s="2">
        <v>4683</v>
      </c>
      <c r="AE852" s="2">
        <v>4683</v>
      </c>
      <c r="AF852" s="2">
        <v>0</v>
      </c>
      <c r="AG852" s="2">
        <v>0</v>
      </c>
      <c r="AH852" s="2"/>
      <c r="AI852" s="2">
        <v>-3457</v>
      </c>
      <c r="AJ852" s="2">
        <v>-3455</v>
      </c>
      <c r="AK852" s="2">
        <v>-1152</v>
      </c>
      <c r="AL852" s="2">
        <v>0</v>
      </c>
      <c r="AM852" s="2">
        <v>-3455</v>
      </c>
    </row>
    <row r="853" spans="1:39">
      <c r="A853" s="349">
        <v>99213</v>
      </c>
      <c r="B853" s="342" t="s">
        <v>1547</v>
      </c>
      <c r="C853" s="358">
        <v>6.6209999999999999E-4</v>
      </c>
      <c r="E853" s="2">
        <v>211264</v>
      </c>
      <c r="F853" s="2">
        <v>294231</v>
      </c>
      <c r="G853" s="2">
        <v>165381</v>
      </c>
      <c r="H853" s="2">
        <v>98535</v>
      </c>
      <c r="I853" s="2">
        <v>0</v>
      </c>
      <c r="J853" s="2"/>
      <c r="K853" s="2">
        <v>122759</v>
      </c>
      <c r="L853" s="2">
        <v>113083</v>
      </c>
      <c r="M853" s="2">
        <v>62938</v>
      </c>
      <c r="N853" s="2">
        <v>0</v>
      </c>
      <c r="O853" s="2">
        <v>0</v>
      </c>
      <c r="P853" s="2"/>
      <c r="Q853" s="2">
        <v>7958</v>
      </c>
      <c r="R853" s="2">
        <v>111302</v>
      </c>
      <c r="S853" s="2">
        <v>115151</v>
      </c>
      <c r="T853" s="2">
        <v>98535</v>
      </c>
      <c r="U853" s="2">
        <v>0</v>
      </c>
      <c r="V853" s="2"/>
      <c r="W853" s="2">
        <v>97180</v>
      </c>
      <c r="X853" s="2">
        <v>78894</v>
      </c>
      <c r="Y853" s="2">
        <v>0</v>
      </c>
      <c r="Z853" s="2">
        <v>0</v>
      </c>
      <c r="AA853" s="2">
        <v>0</v>
      </c>
      <c r="AB853" s="2"/>
      <c r="AC853" s="2">
        <v>7333</v>
      </c>
      <c r="AD853" s="2">
        <v>7335</v>
      </c>
      <c r="AE853" s="2">
        <v>3677</v>
      </c>
      <c r="AF853" s="2">
        <v>0</v>
      </c>
      <c r="AG853" s="2">
        <v>0</v>
      </c>
      <c r="AH853" s="2"/>
      <c r="AI853" s="2">
        <v>-23966</v>
      </c>
      <c r="AJ853" s="2">
        <v>-16383</v>
      </c>
      <c r="AK853" s="2">
        <v>-16385</v>
      </c>
      <c r="AL853" s="2">
        <v>0</v>
      </c>
      <c r="AM853" s="2">
        <v>-16383</v>
      </c>
    </row>
    <row r="854" spans="1:39">
      <c r="A854" s="349">
        <v>99218</v>
      </c>
      <c r="B854" s="342" t="s">
        <v>1548</v>
      </c>
      <c r="C854" s="358">
        <v>3.7810000000000001E-3</v>
      </c>
      <c r="E854" s="2">
        <v>1569919</v>
      </c>
      <c r="F854" s="2">
        <v>1989015</v>
      </c>
      <c r="G854" s="2">
        <v>1227056</v>
      </c>
      <c r="H854" s="2">
        <v>562696</v>
      </c>
      <c r="I854" s="2">
        <v>0</v>
      </c>
      <c r="J854" s="2"/>
      <c r="K854" s="2">
        <v>701031</v>
      </c>
      <c r="L854" s="2">
        <v>645772</v>
      </c>
      <c r="M854" s="2">
        <v>359414</v>
      </c>
      <c r="N854" s="2">
        <v>0</v>
      </c>
      <c r="O854" s="2">
        <v>0</v>
      </c>
      <c r="P854" s="2"/>
      <c r="Q854" s="2">
        <v>45444</v>
      </c>
      <c r="R854" s="2">
        <v>635605</v>
      </c>
      <c r="S854" s="2">
        <v>657584</v>
      </c>
      <c r="T854" s="2">
        <v>562696</v>
      </c>
      <c r="U854" s="2">
        <v>0</v>
      </c>
      <c r="V854" s="2"/>
      <c r="W854" s="2">
        <v>554960</v>
      </c>
      <c r="X854" s="2">
        <v>450533</v>
      </c>
      <c r="Y854" s="2">
        <v>0</v>
      </c>
      <c r="Z854" s="2">
        <v>0</v>
      </c>
      <c r="AA854" s="2">
        <v>0</v>
      </c>
      <c r="AB854" s="2"/>
      <c r="AC854" s="2">
        <v>268484</v>
      </c>
      <c r="AD854" s="2">
        <v>257105</v>
      </c>
      <c r="AE854" s="2">
        <v>210058</v>
      </c>
      <c r="AF854" s="2">
        <v>0</v>
      </c>
      <c r="AG854" s="2">
        <v>0</v>
      </c>
      <c r="AH854" s="2"/>
      <c r="AI854" s="2">
        <v>0</v>
      </c>
      <c r="AJ854" s="2">
        <v>0</v>
      </c>
      <c r="AK854" s="2">
        <v>0</v>
      </c>
      <c r="AL854" s="2">
        <v>0</v>
      </c>
      <c r="AM854" s="2">
        <v>0</v>
      </c>
    </row>
    <row r="855" spans="1:39">
      <c r="A855" s="349">
        <v>99221</v>
      </c>
      <c r="B855" s="342" t="s">
        <v>1549</v>
      </c>
      <c r="C855" s="358">
        <v>1.2297799999999999E-2</v>
      </c>
      <c r="E855" s="2">
        <v>4013223</v>
      </c>
      <c r="F855" s="2">
        <v>5464571</v>
      </c>
      <c r="G855" s="2">
        <v>3179836</v>
      </c>
      <c r="H855" s="2">
        <v>1830183</v>
      </c>
      <c r="I855" s="2">
        <v>0</v>
      </c>
      <c r="J855" s="2"/>
      <c r="K855" s="2">
        <v>2280123</v>
      </c>
      <c r="L855" s="2">
        <v>2100390</v>
      </c>
      <c r="M855" s="2">
        <v>1169004</v>
      </c>
      <c r="N855" s="2">
        <v>0</v>
      </c>
      <c r="O855" s="2">
        <v>0</v>
      </c>
      <c r="P855" s="2"/>
      <c r="Q855" s="2">
        <v>147807</v>
      </c>
      <c r="R855" s="2">
        <v>2067322</v>
      </c>
      <c r="S855" s="2">
        <v>2138809</v>
      </c>
      <c r="T855" s="2">
        <v>1830183</v>
      </c>
      <c r="U855" s="2">
        <v>0</v>
      </c>
      <c r="V855" s="2"/>
      <c r="W855" s="2">
        <v>1805022</v>
      </c>
      <c r="X855" s="2">
        <v>1465369</v>
      </c>
      <c r="Y855" s="2">
        <v>0</v>
      </c>
      <c r="Z855" s="2">
        <v>0</v>
      </c>
      <c r="AA855" s="2">
        <v>0</v>
      </c>
      <c r="AB855" s="2"/>
      <c r="AC855" s="2">
        <v>0</v>
      </c>
      <c r="AD855" s="2">
        <v>0</v>
      </c>
      <c r="AE855" s="2">
        <v>0</v>
      </c>
      <c r="AF855" s="2">
        <v>0</v>
      </c>
      <c r="AG855" s="2">
        <v>0</v>
      </c>
      <c r="AH855" s="2"/>
      <c r="AI855" s="2">
        <v>-219729</v>
      </c>
      <c r="AJ855" s="2">
        <v>-168510</v>
      </c>
      <c r="AK855" s="2">
        <v>-127977</v>
      </c>
      <c r="AL855" s="2">
        <v>0</v>
      </c>
      <c r="AM855" s="2">
        <v>-168510</v>
      </c>
    </row>
    <row r="856" spans="1:39">
      <c r="A856" s="349">
        <v>99222</v>
      </c>
      <c r="B856" s="342" t="s">
        <v>1550</v>
      </c>
      <c r="C856" s="358">
        <v>3.3200000000000001E-5</v>
      </c>
      <c r="E856" s="2">
        <v>8458</v>
      </c>
      <c r="F856" s="2">
        <v>12905</v>
      </c>
      <c r="G856" s="2">
        <v>7297</v>
      </c>
      <c r="H856" s="2">
        <v>4941</v>
      </c>
      <c r="I856" s="2">
        <v>0</v>
      </c>
      <c r="J856" s="2"/>
      <c r="K856" s="2">
        <v>6156</v>
      </c>
      <c r="L856" s="2">
        <v>5670</v>
      </c>
      <c r="M856" s="2">
        <v>3156</v>
      </c>
      <c r="N856" s="2">
        <v>0</v>
      </c>
      <c r="O856" s="2">
        <v>0</v>
      </c>
      <c r="P856" s="2"/>
      <c r="Q856" s="2">
        <v>399</v>
      </c>
      <c r="R856" s="2">
        <v>5581</v>
      </c>
      <c r="S856" s="2">
        <v>5774</v>
      </c>
      <c r="T856" s="2">
        <v>4941</v>
      </c>
      <c r="U856" s="2">
        <v>0</v>
      </c>
      <c r="V856" s="2"/>
      <c r="W856" s="2">
        <v>4873</v>
      </c>
      <c r="X856" s="2">
        <v>3956</v>
      </c>
      <c r="Y856" s="2">
        <v>0</v>
      </c>
      <c r="Z856" s="2">
        <v>0</v>
      </c>
      <c r="AA856" s="2">
        <v>0</v>
      </c>
      <c r="AB856" s="2"/>
      <c r="AC856" s="2">
        <v>0</v>
      </c>
      <c r="AD856" s="2">
        <v>0</v>
      </c>
      <c r="AE856" s="2">
        <v>0</v>
      </c>
      <c r="AF856" s="2">
        <v>0</v>
      </c>
      <c r="AG856" s="2">
        <v>0</v>
      </c>
      <c r="AH856" s="2"/>
      <c r="AI856" s="2">
        <v>-2970</v>
      </c>
      <c r="AJ856" s="2">
        <v>-2302</v>
      </c>
      <c r="AK856" s="2">
        <v>-1633</v>
      </c>
      <c r="AL856" s="2">
        <v>0</v>
      </c>
      <c r="AM856" s="2">
        <v>-2302</v>
      </c>
    </row>
    <row r="857" spans="1:39">
      <c r="A857" s="349">
        <v>99231</v>
      </c>
      <c r="B857" s="342" t="s">
        <v>1551</v>
      </c>
      <c r="C857" s="358">
        <v>4.0339999999999999E-4</v>
      </c>
      <c r="E857" s="2">
        <v>151944</v>
      </c>
      <c r="F857" s="2">
        <v>201786</v>
      </c>
      <c r="G857" s="2">
        <v>128450</v>
      </c>
      <c r="H857" s="2">
        <v>60035</v>
      </c>
      <c r="I857" s="2">
        <v>0</v>
      </c>
      <c r="J857" s="2"/>
      <c r="K857" s="2">
        <v>74794</v>
      </c>
      <c r="L857" s="2">
        <v>68898</v>
      </c>
      <c r="M857" s="2">
        <v>38346</v>
      </c>
      <c r="N857" s="2">
        <v>0</v>
      </c>
      <c r="O857" s="2">
        <v>0</v>
      </c>
      <c r="P857" s="2"/>
      <c r="Q857" s="2">
        <v>4848</v>
      </c>
      <c r="R857" s="2">
        <v>67814</v>
      </c>
      <c r="S857" s="2">
        <v>70159</v>
      </c>
      <c r="T857" s="2">
        <v>60035</v>
      </c>
      <c r="U857" s="2">
        <v>0</v>
      </c>
      <c r="V857" s="2"/>
      <c r="W857" s="2">
        <v>59209</v>
      </c>
      <c r="X857" s="2">
        <v>48068</v>
      </c>
      <c r="Y857" s="2">
        <v>0</v>
      </c>
      <c r="Z857" s="2">
        <v>0</v>
      </c>
      <c r="AA857" s="2">
        <v>0</v>
      </c>
      <c r="AB857" s="2"/>
      <c r="AC857" s="2">
        <v>22047</v>
      </c>
      <c r="AD857" s="2">
        <v>22047</v>
      </c>
      <c r="AE857" s="2">
        <v>22045</v>
      </c>
      <c r="AF857" s="2">
        <v>0</v>
      </c>
      <c r="AG857" s="2">
        <v>0</v>
      </c>
      <c r="AH857" s="2"/>
      <c r="AI857" s="2">
        <v>-8954</v>
      </c>
      <c r="AJ857" s="2">
        <v>-5041</v>
      </c>
      <c r="AK857" s="2">
        <v>-2100</v>
      </c>
      <c r="AL857" s="2">
        <v>0</v>
      </c>
      <c r="AM857" s="2">
        <v>-5041</v>
      </c>
    </row>
    <row r="858" spans="1:39">
      <c r="A858" s="349">
        <v>99241</v>
      </c>
      <c r="B858" s="342" t="s">
        <v>1552</v>
      </c>
      <c r="C858" s="358">
        <v>5.8560000000000003E-4</v>
      </c>
      <c r="E858" s="2">
        <v>194291</v>
      </c>
      <c r="F858" s="2">
        <v>267745</v>
      </c>
      <c r="G858" s="2">
        <v>160156</v>
      </c>
      <c r="H858" s="2">
        <v>87150</v>
      </c>
      <c r="I858" s="2">
        <v>0</v>
      </c>
      <c r="J858" s="2"/>
      <c r="K858" s="2">
        <v>108576</v>
      </c>
      <c r="L858" s="2">
        <v>100017</v>
      </c>
      <c r="M858" s="2">
        <v>55666</v>
      </c>
      <c r="N858" s="2">
        <v>0</v>
      </c>
      <c r="O858" s="2">
        <v>0</v>
      </c>
      <c r="P858" s="2"/>
      <c r="Q858" s="2">
        <v>7038</v>
      </c>
      <c r="R858" s="2">
        <v>98442</v>
      </c>
      <c r="S858" s="2">
        <v>101846</v>
      </c>
      <c r="T858" s="2">
        <v>87150</v>
      </c>
      <c r="U858" s="2">
        <v>0</v>
      </c>
      <c r="V858" s="2"/>
      <c r="W858" s="2">
        <v>85952</v>
      </c>
      <c r="X858" s="2">
        <v>69778</v>
      </c>
      <c r="Y858" s="2">
        <v>0</v>
      </c>
      <c r="Z858" s="2">
        <v>0</v>
      </c>
      <c r="AA858" s="2">
        <v>0</v>
      </c>
      <c r="AB858" s="2"/>
      <c r="AC858" s="2">
        <v>3938</v>
      </c>
      <c r="AD858" s="2">
        <v>3938</v>
      </c>
      <c r="AE858" s="2">
        <v>3938</v>
      </c>
      <c r="AF858" s="2">
        <v>0</v>
      </c>
      <c r="AG858" s="2">
        <v>0</v>
      </c>
      <c r="AH858" s="2"/>
      <c r="AI858" s="2">
        <v>-11213</v>
      </c>
      <c r="AJ858" s="2">
        <v>-4430</v>
      </c>
      <c r="AK858" s="2">
        <v>-1294</v>
      </c>
      <c r="AL858" s="2">
        <v>0</v>
      </c>
      <c r="AM858" s="2">
        <v>-4430</v>
      </c>
    </row>
    <row r="859" spans="1:39">
      <c r="A859" s="349">
        <v>99251</v>
      </c>
      <c r="B859" s="342" t="s">
        <v>1553</v>
      </c>
      <c r="C859" s="358">
        <v>1.6408E-3</v>
      </c>
      <c r="E859" s="2">
        <v>559225</v>
      </c>
      <c r="F859" s="2">
        <v>752069</v>
      </c>
      <c r="G859" s="2">
        <v>445745</v>
      </c>
      <c r="H859" s="2">
        <v>244187</v>
      </c>
      <c r="I859" s="2">
        <v>0</v>
      </c>
      <c r="J859" s="2"/>
      <c r="K859" s="2">
        <v>304219</v>
      </c>
      <c r="L859" s="2">
        <v>280239</v>
      </c>
      <c r="M859" s="2">
        <v>155971</v>
      </c>
      <c r="N859" s="2">
        <v>0</v>
      </c>
      <c r="O859" s="2">
        <v>0</v>
      </c>
      <c r="P859" s="2"/>
      <c r="Q859" s="2">
        <v>19721</v>
      </c>
      <c r="R859" s="2">
        <v>275827</v>
      </c>
      <c r="S859" s="2">
        <v>285365</v>
      </c>
      <c r="T859" s="2">
        <v>244187</v>
      </c>
      <c r="U859" s="2">
        <v>0</v>
      </c>
      <c r="V859" s="2"/>
      <c r="W859" s="2">
        <v>240830</v>
      </c>
      <c r="X859" s="2">
        <v>195513</v>
      </c>
      <c r="Y859" s="2">
        <v>0</v>
      </c>
      <c r="Z859" s="2">
        <v>0</v>
      </c>
      <c r="AA859" s="2">
        <v>0</v>
      </c>
      <c r="AB859" s="2"/>
      <c r="AC859" s="2">
        <v>4411</v>
      </c>
      <c r="AD859" s="2">
        <v>4411</v>
      </c>
      <c r="AE859" s="2">
        <v>4409</v>
      </c>
      <c r="AF859" s="2">
        <v>0</v>
      </c>
      <c r="AG859" s="2">
        <v>0</v>
      </c>
      <c r="AH859" s="2"/>
      <c r="AI859" s="2">
        <v>-9956</v>
      </c>
      <c r="AJ859" s="2">
        <v>-3921</v>
      </c>
      <c r="AK859" s="2">
        <v>0</v>
      </c>
      <c r="AL859" s="2">
        <v>0</v>
      </c>
      <c r="AM859" s="2">
        <v>-3921</v>
      </c>
    </row>
    <row r="860" spans="1:39">
      <c r="A860" s="349">
        <v>99252</v>
      </c>
      <c r="B860" s="342" t="s">
        <v>3701</v>
      </c>
      <c r="C860" s="358">
        <v>6.4139999999999998E-4</v>
      </c>
      <c r="E860" s="2">
        <v>152344</v>
      </c>
      <c r="F860" s="2">
        <v>234139</v>
      </c>
      <c r="G860" s="2">
        <v>120478</v>
      </c>
      <c r="H860" s="2">
        <v>95454</v>
      </c>
      <c r="I860" s="2">
        <v>0</v>
      </c>
      <c r="J860" s="2"/>
      <c r="K860" s="2">
        <v>118921</v>
      </c>
      <c r="L860" s="2">
        <v>109547</v>
      </c>
      <c r="M860" s="2">
        <v>60970</v>
      </c>
      <c r="N860" s="2">
        <v>0</v>
      </c>
      <c r="O860" s="2">
        <v>0</v>
      </c>
      <c r="P860" s="2"/>
      <c r="Q860" s="2">
        <v>7709</v>
      </c>
      <c r="R860" s="2">
        <v>107823</v>
      </c>
      <c r="S860" s="2">
        <v>111551</v>
      </c>
      <c r="T860" s="2">
        <v>95454</v>
      </c>
      <c r="U860" s="2">
        <v>0</v>
      </c>
      <c r="V860" s="2"/>
      <c r="W860" s="2">
        <v>94142</v>
      </c>
      <c r="X860" s="2">
        <v>76427</v>
      </c>
      <c r="Y860" s="2">
        <v>0</v>
      </c>
      <c r="Z860" s="2">
        <v>0</v>
      </c>
      <c r="AA860" s="2">
        <v>0</v>
      </c>
      <c r="AB860" s="2"/>
      <c r="AC860" s="2">
        <v>0</v>
      </c>
      <c r="AD860" s="2">
        <v>0</v>
      </c>
      <c r="AE860" s="2">
        <v>0</v>
      </c>
      <c r="AF860" s="2">
        <v>0</v>
      </c>
      <c r="AG860" s="2">
        <v>0</v>
      </c>
      <c r="AH860" s="2"/>
      <c r="AI860" s="2">
        <v>-68428</v>
      </c>
      <c r="AJ860" s="2">
        <v>-59658</v>
      </c>
      <c r="AK860" s="2">
        <v>-52043</v>
      </c>
      <c r="AL860" s="2">
        <v>0</v>
      </c>
      <c r="AM860" s="2">
        <v>-59658</v>
      </c>
    </row>
    <row r="861" spans="1:39">
      <c r="A861" s="349">
        <v>99261</v>
      </c>
      <c r="B861" s="342" t="s">
        <v>1555</v>
      </c>
      <c r="C861" s="358">
        <v>2.3002999999999999E-3</v>
      </c>
      <c r="E861" s="2">
        <v>762018</v>
      </c>
      <c r="F861" s="2">
        <v>1031919</v>
      </c>
      <c r="G861" s="2">
        <v>602654</v>
      </c>
      <c r="H861" s="2">
        <v>342335</v>
      </c>
      <c r="I861" s="2">
        <v>0</v>
      </c>
      <c r="J861" s="2"/>
      <c r="K861" s="2">
        <v>426496</v>
      </c>
      <c r="L861" s="2">
        <v>392877</v>
      </c>
      <c r="M861" s="2">
        <v>218662</v>
      </c>
      <c r="N861" s="2">
        <v>0</v>
      </c>
      <c r="O861" s="2">
        <v>0</v>
      </c>
      <c r="P861" s="2"/>
      <c r="Q861" s="2">
        <v>27647</v>
      </c>
      <c r="R861" s="2">
        <v>386692</v>
      </c>
      <c r="S861" s="2">
        <v>400064</v>
      </c>
      <c r="T861" s="2">
        <v>342335</v>
      </c>
      <c r="U861" s="2">
        <v>0</v>
      </c>
      <c r="V861" s="2"/>
      <c r="W861" s="2">
        <v>337629</v>
      </c>
      <c r="X861" s="2">
        <v>274097</v>
      </c>
      <c r="Y861" s="2">
        <v>0</v>
      </c>
      <c r="Z861" s="2">
        <v>0</v>
      </c>
      <c r="AA861" s="2">
        <v>0</v>
      </c>
      <c r="AB861" s="2"/>
      <c r="AC861" s="2">
        <v>470</v>
      </c>
      <c r="AD861" s="2">
        <v>470</v>
      </c>
      <c r="AE861" s="2">
        <v>472</v>
      </c>
      <c r="AF861" s="2">
        <v>0</v>
      </c>
      <c r="AG861" s="2">
        <v>0</v>
      </c>
      <c r="AH861" s="2"/>
      <c r="AI861" s="2">
        <v>-30224</v>
      </c>
      <c r="AJ861" s="2">
        <v>-22217</v>
      </c>
      <c r="AK861" s="2">
        <v>-16544</v>
      </c>
      <c r="AL861" s="2">
        <v>0</v>
      </c>
      <c r="AM861" s="2">
        <v>-22217</v>
      </c>
    </row>
    <row r="862" spans="1:39">
      <c r="A862" s="349">
        <v>99271</v>
      </c>
      <c r="B862" s="342" t="s">
        <v>1556</v>
      </c>
      <c r="C862" s="358">
        <v>4.6093000000000002E-3</v>
      </c>
      <c r="E862" s="2">
        <v>1691338</v>
      </c>
      <c r="F862" s="2">
        <v>2219403</v>
      </c>
      <c r="G862" s="2">
        <v>1329273</v>
      </c>
      <c r="H862" s="2">
        <v>685965</v>
      </c>
      <c r="I862" s="2">
        <v>0</v>
      </c>
      <c r="J862" s="2"/>
      <c r="K862" s="2">
        <v>854606</v>
      </c>
      <c r="L862" s="2">
        <v>787241</v>
      </c>
      <c r="M862" s="2">
        <v>438151</v>
      </c>
      <c r="N862" s="2">
        <v>0</v>
      </c>
      <c r="O862" s="2">
        <v>0</v>
      </c>
      <c r="P862" s="2"/>
      <c r="Q862" s="2">
        <v>55399</v>
      </c>
      <c r="R862" s="2">
        <v>774846</v>
      </c>
      <c r="S862" s="2">
        <v>801640</v>
      </c>
      <c r="T862" s="2">
        <v>685965</v>
      </c>
      <c r="U862" s="2">
        <v>0</v>
      </c>
      <c r="V862" s="2"/>
      <c r="W862" s="2">
        <v>676535</v>
      </c>
      <c r="X862" s="2">
        <v>549230</v>
      </c>
      <c r="Y862" s="2">
        <v>0</v>
      </c>
      <c r="Z862" s="2">
        <v>0</v>
      </c>
      <c r="AA862" s="2">
        <v>0</v>
      </c>
      <c r="AB862" s="2"/>
      <c r="AC862" s="2">
        <v>129178</v>
      </c>
      <c r="AD862" s="2">
        <v>129179</v>
      </c>
      <c r="AE862" s="2">
        <v>110573</v>
      </c>
      <c r="AF862" s="2">
        <v>0</v>
      </c>
      <c r="AG862" s="2">
        <v>0</v>
      </c>
      <c r="AH862" s="2"/>
      <c r="AI862" s="2">
        <v>-24380</v>
      </c>
      <c r="AJ862" s="2">
        <v>-21093</v>
      </c>
      <c r="AK862" s="2">
        <v>-21091</v>
      </c>
      <c r="AL862" s="2">
        <v>0</v>
      </c>
      <c r="AM862" s="2">
        <v>-21093</v>
      </c>
    </row>
    <row r="863" spans="1:39">
      <c r="A863" s="349">
        <v>99281</v>
      </c>
      <c r="B863" s="342" t="s">
        <v>1557</v>
      </c>
      <c r="C863" s="358">
        <v>2.6021999999999998E-3</v>
      </c>
      <c r="E863" s="2">
        <v>918342</v>
      </c>
      <c r="F863" s="2">
        <v>1226495</v>
      </c>
      <c r="G863" s="2">
        <v>729706</v>
      </c>
      <c r="H863" s="2">
        <v>387265</v>
      </c>
      <c r="I863" s="2">
        <v>0</v>
      </c>
      <c r="J863" s="2"/>
      <c r="K863" s="2">
        <v>482471</v>
      </c>
      <c r="L863" s="2">
        <v>444440</v>
      </c>
      <c r="M863" s="2">
        <v>247360</v>
      </c>
      <c r="N863" s="2">
        <v>0</v>
      </c>
      <c r="O863" s="2">
        <v>0</v>
      </c>
      <c r="P863" s="2"/>
      <c r="Q863" s="2">
        <v>31276</v>
      </c>
      <c r="R863" s="2">
        <v>437443</v>
      </c>
      <c r="S863" s="2">
        <v>452569</v>
      </c>
      <c r="T863" s="2">
        <v>387265</v>
      </c>
      <c r="U863" s="2">
        <v>0</v>
      </c>
      <c r="V863" s="2"/>
      <c r="W863" s="2">
        <v>381941</v>
      </c>
      <c r="X863" s="2">
        <v>310070</v>
      </c>
      <c r="Y863" s="2">
        <v>0</v>
      </c>
      <c r="Z863" s="2">
        <v>0</v>
      </c>
      <c r="AA863" s="2">
        <v>0</v>
      </c>
      <c r="AB863" s="2"/>
      <c r="AC863" s="2">
        <v>34553</v>
      </c>
      <c r="AD863" s="2">
        <v>34553</v>
      </c>
      <c r="AE863" s="2">
        <v>29790</v>
      </c>
      <c r="AF863" s="2">
        <v>0</v>
      </c>
      <c r="AG863" s="2">
        <v>0</v>
      </c>
      <c r="AH863" s="2"/>
      <c r="AI863" s="2">
        <v>-11899</v>
      </c>
      <c r="AJ863" s="2">
        <v>-11</v>
      </c>
      <c r="AK863" s="2">
        <v>-13</v>
      </c>
      <c r="AL863" s="2">
        <v>0</v>
      </c>
      <c r="AM863" s="2">
        <v>-11</v>
      </c>
    </row>
    <row r="864" spans="1:39">
      <c r="A864" s="349">
        <v>99291</v>
      </c>
      <c r="B864" s="342" t="s">
        <v>1558</v>
      </c>
      <c r="C864" s="358">
        <v>8.4670000000000004E-4</v>
      </c>
      <c r="E864" s="2">
        <v>256133</v>
      </c>
      <c r="F864" s="2">
        <v>366405</v>
      </c>
      <c r="G864" s="2">
        <v>203169</v>
      </c>
      <c r="H864" s="2">
        <v>126008</v>
      </c>
      <c r="I864" s="2">
        <v>0</v>
      </c>
      <c r="J864" s="2"/>
      <c r="K864" s="2">
        <v>156986</v>
      </c>
      <c r="L864" s="2">
        <v>144611</v>
      </c>
      <c r="M864" s="2">
        <v>80486</v>
      </c>
      <c r="N864" s="2">
        <v>0</v>
      </c>
      <c r="O864" s="2">
        <v>0</v>
      </c>
      <c r="P864" s="2"/>
      <c r="Q864" s="2">
        <v>10176</v>
      </c>
      <c r="R864" s="2">
        <v>142335</v>
      </c>
      <c r="S864" s="2">
        <v>147256</v>
      </c>
      <c r="T864" s="2">
        <v>126008</v>
      </c>
      <c r="U864" s="2">
        <v>0</v>
      </c>
      <c r="V864" s="2"/>
      <c r="W864" s="2">
        <v>124275</v>
      </c>
      <c r="X864" s="2">
        <v>100890</v>
      </c>
      <c r="Y864" s="2">
        <v>0</v>
      </c>
      <c r="Z864" s="2">
        <v>0</v>
      </c>
      <c r="AA864" s="2">
        <v>0</v>
      </c>
      <c r="AB864" s="2"/>
      <c r="AC864" s="2">
        <v>3140</v>
      </c>
      <c r="AD864" s="2">
        <v>3142</v>
      </c>
      <c r="AE864" s="2">
        <v>0</v>
      </c>
      <c r="AF864" s="2">
        <v>0</v>
      </c>
      <c r="AG864" s="2">
        <v>0</v>
      </c>
      <c r="AH864" s="2"/>
      <c r="AI864" s="2">
        <v>-38444</v>
      </c>
      <c r="AJ864" s="2">
        <v>-24573</v>
      </c>
      <c r="AK864" s="2">
        <v>-24573</v>
      </c>
      <c r="AL864" s="2">
        <v>0</v>
      </c>
      <c r="AM864" s="2">
        <v>-24573</v>
      </c>
    </row>
    <row r="865" spans="1:39">
      <c r="A865" s="349">
        <v>99301</v>
      </c>
      <c r="B865" s="342" t="s">
        <v>1559</v>
      </c>
      <c r="C865" s="358">
        <v>1.5418000000000001E-3</v>
      </c>
      <c r="E865" s="2">
        <v>448601</v>
      </c>
      <c r="F865" s="2">
        <v>640226</v>
      </c>
      <c r="G865" s="2">
        <v>364089</v>
      </c>
      <c r="H865" s="2">
        <v>229454</v>
      </c>
      <c r="I865" s="2">
        <v>0</v>
      </c>
      <c r="J865" s="2"/>
      <c r="K865" s="2">
        <v>285864</v>
      </c>
      <c r="L865" s="2">
        <v>263330</v>
      </c>
      <c r="M865" s="2">
        <v>146560</v>
      </c>
      <c r="N865" s="2">
        <v>0</v>
      </c>
      <c r="O865" s="2">
        <v>0</v>
      </c>
      <c r="P865" s="2"/>
      <c r="Q865" s="2">
        <v>18531</v>
      </c>
      <c r="R865" s="2">
        <v>259184</v>
      </c>
      <c r="S865" s="2">
        <v>268147</v>
      </c>
      <c r="T865" s="2">
        <v>229454</v>
      </c>
      <c r="U865" s="2">
        <v>0</v>
      </c>
      <c r="V865" s="2"/>
      <c r="W865" s="2">
        <v>226299</v>
      </c>
      <c r="X865" s="2">
        <v>183716</v>
      </c>
      <c r="Y865" s="2">
        <v>0</v>
      </c>
      <c r="Z865" s="2">
        <v>0</v>
      </c>
      <c r="AA865" s="2">
        <v>0</v>
      </c>
      <c r="AB865" s="2"/>
      <c r="AC865" s="2">
        <v>0</v>
      </c>
      <c r="AD865" s="2">
        <v>0</v>
      </c>
      <c r="AE865" s="2">
        <v>0</v>
      </c>
      <c r="AF865" s="2">
        <v>0</v>
      </c>
      <c r="AG865" s="2">
        <v>0</v>
      </c>
      <c r="AH865" s="2"/>
      <c r="AI865" s="2">
        <v>-82093</v>
      </c>
      <c r="AJ865" s="2">
        <v>-66004</v>
      </c>
      <c r="AK865" s="2">
        <v>-50618</v>
      </c>
      <c r="AL865" s="2">
        <v>0</v>
      </c>
      <c r="AM865" s="2">
        <v>-66004</v>
      </c>
    </row>
    <row r="866" spans="1:39">
      <c r="A866" s="349">
        <v>99304</v>
      </c>
      <c r="B866" s="342" t="s">
        <v>1560</v>
      </c>
      <c r="C866" s="358">
        <v>6.8000000000000001E-6</v>
      </c>
      <c r="E866" s="2">
        <v>5361</v>
      </c>
      <c r="F866" s="2">
        <v>5587</v>
      </c>
      <c r="G866" s="2">
        <v>3612</v>
      </c>
      <c r="H866" s="2">
        <v>1012</v>
      </c>
      <c r="I866" s="2">
        <v>0</v>
      </c>
      <c r="J866" s="2"/>
      <c r="K866" s="2">
        <v>1261</v>
      </c>
      <c r="L866" s="2">
        <v>1161</v>
      </c>
      <c r="M866" s="2">
        <v>646</v>
      </c>
      <c r="N866" s="2">
        <v>0</v>
      </c>
      <c r="O866" s="2">
        <v>0</v>
      </c>
      <c r="P866" s="2"/>
      <c r="Q866" s="2">
        <v>82</v>
      </c>
      <c r="R866" s="2">
        <v>1143</v>
      </c>
      <c r="S866" s="2">
        <v>1183</v>
      </c>
      <c r="T866" s="2">
        <v>1012</v>
      </c>
      <c r="U866" s="2">
        <v>0</v>
      </c>
      <c r="V866" s="2"/>
      <c r="W866" s="2">
        <v>998</v>
      </c>
      <c r="X866" s="2">
        <v>810</v>
      </c>
      <c r="Y866" s="2">
        <v>0</v>
      </c>
      <c r="Z866" s="2">
        <v>0</v>
      </c>
      <c r="AA866" s="2">
        <v>0</v>
      </c>
      <c r="AB866" s="2"/>
      <c r="AC866" s="2">
        <v>3020</v>
      </c>
      <c r="AD866" s="2">
        <v>2473</v>
      </c>
      <c r="AE866" s="2">
        <v>1783</v>
      </c>
      <c r="AF866" s="2">
        <v>0</v>
      </c>
      <c r="AG866" s="2">
        <v>0</v>
      </c>
      <c r="AH866" s="2"/>
      <c r="AI866" s="2">
        <v>0</v>
      </c>
      <c r="AJ866" s="2">
        <v>0</v>
      </c>
      <c r="AK866" s="2">
        <v>0</v>
      </c>
      <c r="AL866" s="2">
        <v>0</v>
      </c>
      <c r="AM866" s="2">
        <v>0</v>
      </c>
    </row>
    <row r="867" spans="1:39">
      <c r="A867" s="349">
        <v>99311</v>
      </c>
      <c r="B867" s="342" t="s">
        <v>1561</v>
      </c>
      <c r="C867" s="358">
        <v>5.5099999999999998E-5</v>
      </c>
      <c r="E867" s="2">
        <v>16031</v>
      </c>
      <c r="F867" s="2">
        <v>22773</v>
      </c>
      <c r="G867" s="2">
        <v>11333</v>
      </c>
      <c r="H867" s="2">
        <v>8200</v>
      </c>
      <c r="I867" s="2">
        <v>0</v>
      </c>
      <c r="J867" s="2"/>
      <c r="K867" s="2">
        <v>10216</v>
      </c>
      <c r="L867" s="2">
        <v>9411</v>
      </c>
      <c r="M867" s="2">
        <v>5238</v>
      </c>
      <c r="N867" s="2">
        <v>0</v>
      </c>
      <c r="O867" s="2">
        <v>0</v>
      </c>
      <c r="P867" s="2"/>
      <c r="Q867" s="2">
        <v>662</v>
      </c>
      <c r="R867" s="2">
        <v>9263</v>
      </c>
      <c r="S867" s="2">
        <v>9583</v>
      </c>
      <c r="T867" s="2">
        <v>8200</v>
      </c>
      <c r="U867" s="2">
        <v>0</v>
      </c>
      <c r="V867" s="2"/>
      <c r="W867" s="2">
        <v>8087</v>
      </c>
      <c r="X867" s="2">
        <v>6566</v>
      </c>
      <c r="Y867" s="2">
        <v>0</v>
      </c>
      <c r="Z867" s="2">
        <v>0</v>
      </c>
      <c r="AA867" s="2">
        <v>0</v>
      </c>
      <c r="AB867" s="2"/>
      <c r="AC867" s="2">
        <v>1019</v>
      </c>
      <c r="AD867" s="2">
        <v>1021</v>
      </c>
      <c r="AE867" s="2">
        <v>0</v>
      </c>
      <c r="AF867" s="2">
        <v>0</v>
      </c>
      <c r="AG867" s="2">
        <v>0</v>
      </c>
      <c r="AH867" s="2"/>
      <c r="AI867" s="2">
        <v>-3953</v>
      </c>
      <c r="AJ867" s="2">
        <v>-3488</v>
      </c>
      <c r="AK867" s="2">
        <v>-3488</v>
      </c>
      <c r="AL867" s="2">
        <v>0</v>
      </c>
      <c r="AM867" s="2">
        <v>-3488</v>
      </c>
    </row>
    <row r="868" spans="1:39">
      <c r="A868" s="349">
        <v>99321</v>
      </c>
      <c r="B868" s="342" t="s">
        <v>1562</v>
      </c>
      <c r="C868" s="358">
        <v>1.024E-4</v>
      </c>
      <c r="E868" s="2">
        <v>69065</v>
      </c>
      <c r="F868" s="2">
        <v>72648</v>
      </c>
      <c r="G868" s="2">
        <v>46765</v>
      </c>
      <c r="H868" s="2">
        <v>15239</v>
      </c>
      <c r="I868" s="2">
        <v>0</v>
      </c>
      <c r="J868" s="2"/>
      <c r="K868" s="2">
        <v>18986</v>
      </c>
      <c r="L868" s="2">
        <v>17489</v>
      </c>
      <c r="M868" s="2">
        <v>9734</v>
      </c>
      <c r="N868" s="2">
        <v>0</v>
      </c>
      <c r="O868" s="2">
        <v>0</v>
      </c>
      <c r="P868" s="2"/>
      <c r="Q868" s="2">
        <v>1231</v>
      </c>
      <c r="R868" s="2">
        <v>17214</v>
      </c>
      <c r="S868" s="2">
        <v>17809</v>
      </c>
      <c r="T868" s="2">
        <v>15239</v>
      </c>
      <c r="U868" s="2">
        <v>0</v>
      </c>
      <c r="V868" s="2"/>
      <c r="W868" s="2">
        <v>15030</v>
      </c>
      <c r="X868" s="2">
        <v>12202</v>
      </c>
      <c r="Y868" s="2">
        <v>0</v>
      </c>
      <c r="Z868" s="2">
        <v>0</v>
      </c>
      <c r="AA868" s="2">
        <v>0</v>
      </c>
      <c r="AB868" s="2"/>
      <c r="AC868" s="2">
        <v>33818</v>
      </c>
      <c r="AD868" s="2">
        <v>25743</v>
      </c>
      <c r="AE868" s="2">
        <v>19222</v>
      </c>
      <c r="AF868" s="2">
        <v>0</v>
      </c>
      <c r="AG868" s="2">
        <v>0</v>
      </c>
      <c r="AH868" s="2"/>
      <c r="AI868" s="2">
        <v>0</v>
      </c>
      <c r="AJ868" s="2">
        <v>0</v>
      </c>
      <c r="AK868" s="2">
        <v>0</v>
      </c>
      <c r="AL868" s="2">
        <v>0</v>
      </c>
      <c r="AM868" s="2">
        <v>0</v>
      </c>
    </row>
    <row r="869" spans="1:39">
      <c r="A869" s="349">
        <v>99401</v>
      </c>
      <c r="B869" s="342" t="s">
        <v>1563</v>
      </c>
      <c r="C869" s="358">
        <v>7.6619999999999998E-4</v>
      </c>
      <c r="E869" s="2">
        <v>239628</v>
      </c>
      <c r="F869" s="2">
        <v>331261</v>
      </c>
      <c r="G869" s="2">
        <v>200953</v>
      </c>
      <c r="H869" s="2">
        <v>114027</v>
      </c>
      <c r="I869" s="2">
        <v>0</v>
      </c>
      <c r="J869" s="2"/>
      <c r="K869" s="2">
        <v>142060</v>
      </c>
      <c r="L869" s="2">
        <v>130862</v>
      </c>
      <c r="M869" s="2">
        <v>72833</v>
      </c>
      <c r="N869" s="2">
        <v>0</v>
      </c>
      <c r="O869" s="2">
        <v>0</v>
      </c>
      <c r="P869" s="2"/>
      <c r="Q869" s="2">
        <v>9209</v>
      </c>
      <c r="R869" s="2">
        <v>128802</v>
      </c>
      <c r="S869" s="2">
        <v>133256</v>
      </c>
      <c r="T869" s="2">
        <v>114027</v>
      </c>
      <c r="U869" s="2">
        <v>0</v>
      </c>
      <c r="V869" s="2"/>
      <c r="W869" s="2">
        <v>112460</v>
      </c>
      <c r="X869" s="2">
        <v>91298</v>
      </c>
      <c r="Y869" s="2">
        <v>0</v>
      </c>
      <c r="Z869" s="2">
        <v>0</v>
      </c>
      <c r="AA869" s="2">
        <v>0</v>
      </c>
      <c r="AB869" s="2"/>
      <c r="AC869" s="2">
        <v>2028</v>
      </c>
      <c r="AD869" s="2">
        <v>2028</v>
      </c>
      <c r="AE869" s="2">
        <v>2027</v>
      </c>
      <c r="AF869" s="2">
        <v>0</v>
      </c>
      <c r="AG869" s="2">
        <v>0</v>
      </c>
      <c r="AH869" s="2"/>
      <c r="AI869" s="2">
        <v>-26129</v>
      </c>
      <c r="AJ869" s="2">
        <v>-21729</v>
      </c>
      <c r="AK869" s="2">
        <v>-7163</v>
      </c>
      <c r="AL869" s="2">
        <v>0</v>
      </c>
      <c r="AM869" s="2">
        <v>-21729</v>
      </c>
    </row>
    <row r="870" spans="1:39">
      <c r="A870" s="349">
        <v>99404</v>
      </c>
      <c r="B870" s="342" t="s">
        <v>1564</v>
      </c>
      <c r="C870" s="358">
        <v>8.1000000000000004E-6</v>
      </c>
      <c r="E870" s="2">
        <v>3730</v>
      </c>
      <c r="F870" s="2">
        <v>4470</v>
      </c>
      <c r="G870" s="2">
        <v>2750</v>
      </c>
      <c r="H870" s="2">
        <v>1205</v>
      </c>
      <c r="I870" s="2">
        <v>0</v>
      </c>
      <c r="J870" s="2"/>
      <c r="K870" s="2">
        <v>1502</v>
      </c>
      <c r="L870" s="2">
        <v>1383</v>
      </c>
      <c r="M870" s="2">
        <v>770</v>
      </c>
      <c r="N870" s="2">
        <v>0</v>
      </c>
      <c r="O870" s="2">
        <v>0</v>
      </c>
      <c r="P870" s="2"/>
      <c r="Q870" s="2">
        <v>97</v>
      </c>
      <c r="R870" s="2">
        <v>1362</v>
      </c>
      <c r="S870" s="2">
        <v>1409</v>
      </c>
      <c r="T870" s="2">
        <v>1205</v>
      </c>
      <c r="U870" s="2">
        <v>0</v>
      </c>
      <c r="V870" s="2"/>
      <c r="W870" s="2">
        <v>1189</v>
      </c>
      <c r="X870" s="2">
        <v>965</v>
      </c>
      <c r="Y870" s="2">
        <v>0</v>
      </c>
      <c r="Z870" s="2">
        <v>0</v>
      </c>
      <c r="AA870" s="2">
        <v>0</v>
      </c>
      <c r="AB870" s="2"/>
      <c r="AC870" s="2">
        <v>942</v>
      </c>
      <c r="AD870" s="2">
        <v>760</v>
      </c>
      <c r="AE870" s="2">
        <v>571</v>
      </c>
      <c r="AF870" s="2">
        <v>0</v>
      </c>
      <c r="AG870" s="2">
        <v>0</v>
      </c>
      <c r="AH870" s="2"/>
      <c r="AI870" s="2">
        <v>0</v>
      </c>
      <c r="AJ870" s="2">
        <v>0</v>
      </c>
      <c r="AK870" s="2">
        <v>0</v>
      </c>
      <c r="AL870" s="2">
        <v>0</v>
      </c>
      <c r="AM870" s="2">
        <v>0</v>
      </c>
    </row>
    <row r="871" spans="1:39">
      <c r="A871" s="349">
        <v>99405</v>
      </c>
      <c r="B871" s="342" t="s">
        <v>1565</v>
      </c>
      <c r="C871" s="358">
        <v>5.91E-5</v>
      </c>
      <c r="E871" s="2">
        <v>29125</v>
      </c>
      <c r="F871" s="2">
        <v>33282</v>
      </c>
      <c r="G871" s="2">
        <v>21543</v>
      </c>
      <c r="H871" s="2">
        <v>8795</v>
      </c>
      <c r="I871" s="2">
        <v>0</v>
      </c>
      <c r="J871" s="2"/>
      <c r="K871" s="2">
        <v>10958</v>
      </c>
      <c r="L871" s="2">
        <v>10094</v>
      </c>
      <c r="M871" s="2">
        <v>5618</v>
      </c>
      <c r="N871" s="2">
        <v>0</v>
      </c>
      <c r="O871" s="2">
        <v>0</v>
      </c>
      <c r="P871" s="2"/>
      <c r="Q871" s="2">
        <v>710</v>
      </c>
      <c r="R871" s="2">
        <v>9935</v>
      </c>
      <c r="S871" s="2">
        <v>10279</v>
      </c>
      <c r="T871" s="2">
        <v>8795</v>
      </c>
      <c r="U871" s="2">
        <v>0</v>
      </c>
      <c r="V871" s="2"/>
      <c r="W871" s="2">
        <v>8674</v>
      </c>
      <c r="X871" s="2">
        <v>7042</v>
      </c>
      <c r="Y871" s="2">
        <v>0</v>
      </c>
      <c r="Z871" s="2">
        <v>0</v>
      </c>
      <c r="AA871" s="2">
        <v>0</v>
      </c>
      <c r="AB871" s="2"/>
      <c r="AC871" s="2">
        <v>8783</v>
      </c>
      <c r="AD871" s="2">
        <v>6211</v>
      </c>
      <c r="AE871" s="2">
        <v>5646</v>
      </c>
      <c r="AF871" s="2">
        <v>0</v>
      </c>
      <c r="AG871" s="2">
        <v>0</v>
      </c>
      <c r="AH871" s="2"/>
      <c r="AI871" s="2">
        <v>0</v>
      </c>
      <c r="AJ871" s="2">
        <v>0</v>
      </c>
      <c r="AK871" s="2">
        <v>0</v>
      </c>
      <c r="AL871" s="2">
        <v>0</v>
      </c>
      <c r="AM871" s="2">
        <v>0</v>
      </c>
    </row>
    <row r="872" spans="1:39">
      <c r="A872" s="349">
        <v>99411</v>
      </c>
      <c r="B872" s="342" t="s">
        <v>1566</v>
      </c>
      <c r="C872" s="358">
        <v>1.6799999999999999E-4</v>
      </c>
      <c r="E872" s="2">
        <v>70092</v>
      </c>
      <c r="F872" s="2">
        <v>83024</v>
      </c>
      <c r="G872" s="2">
        <v>48140</v>
      </c>
      <c r="H872" s="2">
        <v>25002</v>
      </c>
      <c r="I872" s="2">
        <v>0</v>
      </c>
      <c r="J872" s="2"/>
      <c r="K872" s="2">
        <v>31149</v>
      </c>
      <c r="L872" s="2">
        <v>28693</v>
      </c>
      <c r="M872" s="2">
        <v>15970</v>
      </c>
      <c r="N872" s="2">
        <v>0</v>
      </c>
      <c r="O872" s="2">
        <v>0</v>
      </c>
      <c r="P872" s="2"/>
      <c r="Q872" s="2">
        <v>2019</v>
      </c>
      <c r="R872" s="2">
        <v>28242</v>
      </c>
      <c r="S872" s="2">
        <v>29218</v>
      </c>
      <c r="T872" s="2">
        <v>25002</v>
      </c>
      <c r="U872" s="2">
        <v>0</v>
      </c>
      <c r="V872" s="2"/>
      <c r="W872" s="2">
        <v>24658</v>
      </c>
      <c r="X872" s="2">
        <v>20018</v>
      </c>
      <c r="Y872" s="2">
        <v>0</v>
      </c>
      <c r="Z872" s="2">
        <v>0</v>
      </c>
      <c r="AA872" s="2">
        <v>0</v>
      </c>
      <c r="AB872" s="2"/>
      <c r="AC872" s="2">
        <v>12266</v>
      </c>
      <c r="AD872" s="2">
        <v>6071</v>
      </c>
      <c r="AE872" s="2">
        <v>2952</v>
      </c>
      <c r="AF872" s="2">
        <v>0</v>
      </c>
      <c r="AG872" s="2">
        <v>0</v>
      </c>
      <c r="AH872" s="2"/>
      <c r="AI872" s="2">
        <v>0</v>
      </c>
      <c r="AJ872" s="2">
        <v>0</v>
      </c>
      <c r="AK872" s="2">
        <v>0</v>
      </c>
      <c r="AL872" s="2">
        <v>0</v>
      </c>
      <c r="AM872" s="2">
        <v>0</v>
      </c>
    </row>
    <row r="873" spans="1:39">
      <c r="A873" s="349">
        <v>99413</v>
      </c>
      <c r="B873" s="342" t="s">
        <v>1567</v>
      </c>
      <c r="C873" s="358">
        <v>3.3899999999999997E-5</v>
      </c>
      <c r="E873" s="2">
        <v>21584</v>
      </c>
      <c r="F873" s="2">
        <v>24009</v>
      </c>
      <c r="G873" s="2">
        <v>18454</v>
      </c>
      <c r="H873" s="2">
        <v>5045</v>
      </c>
      <c r="I873" s="2">
        <v>0</v>
      </c>
      <c r="J873" s="2"/>
      <c r="K873" s="2">
        <v>6285</v>
      </c>
      <c r="L873" s="2">
        <v>5790</v>
      </c>
      <c r="M873" s="2">
        <v>3222</v>
      </c>
      <c r="N873" s="2">
        <v>0</v>
      </c>
      <c r="O873" s="2">
        <v>0</v>
      </c>
      <c r="P873" s="2"/>
      <c r="Q873" s="2">
        <v>407</v>
      </c>
      <c r="R873" s="2">
        <v>5699</v>
      </c>
      <c r="S873" s="2">
        <v>5896</v>
      </c>
      <c r="T873" s="2">
        <v>5045</v>
      </c>
      <c r="U873" s="2">
        <v>0</v>
      </c>
      <c r="V873" s="2"/>
      <c r="W873" s="2">
        <v>4976</v>
      </c>
      <c r="X873" s="2">
        <v>4039</v>
      </c>
      <c r="Y873" s="2">
        <v>0</v>
      </c>
      <c r="Z873" s="2">
        <v>0</v>
      </c>
      <c r="AA873" s="2">
        <v>0</v>
      </c>
      <c r="AB873" s="2"/>
      <c r="AC873" s="2">
        <v>10771</v>
      </c>
      <c r="AD873" s="2">
        <v>9334</v>
      </c>
      <c r="AE873" s="2">
        <v>9336</v>
      </c>
      <c r="AF873" s="2">
        <v>0</v>
      </c>
      <c r="AG873" s="2">
        <v>0</v>
      </c>
      <c r="AH873" s="2"/>
      <c r="AI873" s="2">
        <v>-855</v>
      </c>
      <c r="AJ873" s="2">
        <v>-853</v>
      </c>
      <c r="AK873" s="2">
        <v>0</v>
      </c>
      <c r="AL873" s="2">
        <v>0</v>
      </c>
      <c r="AM873" s="2">
        <v>-853</v>
      </c>
    </row>
    <row r="874" spans="1:39">
      <c r="A874" s="349">
        <v>99421</v>
      </c>
      <c r="B874" s="342" t="s">
        <v>1568</v>
      </c>
      <c r="C874" s="358">
        <v>1.0699999999999999E-5</v>
      </c>
      <c r="E874" s="2">
        <v>2270</v>
      </c>
      <c r="F874" s="2">
        <v>3970</v>
      </c>
      <c r="G874" s="2">
        <v>1716</v>
      </c>
      <c r="H874" s="2">
        <v>1592</v>
      </c>
      <c r="I874" s="2">
        <v>0</v>
      </c>
      <c r="J874" s="2"/>
      <c r="K874" s="2">
        <v>1984</v>
      </c>
      <c r="L874" s="2">
        <v>1827</v>
      </c>
      <c r="M874" s="2">
        <v>1017</v>
      </c>
      <c r="N874" s="2">
        <v>0</v>
      </c>
      <c r="O874" s="2">
        <v>0</v>
      </c>
      <c r="P874" s="2"/>
      <c r="Q874" s="2">
        <v>129</v>
      </c>
      <c r="R874" s="2">
        <v>1799</v>
      </c>
      <c r="S874" s="2">
        <v>1861</v>
      </c>
      <c r="T874" s="2">
        <v>1592</v>
      </c>
      <c r="U874" s="2">
        <v>0</v>
      </c>
      <c r="V874" s="2"/>
      <c r="W874" s="2">
        <v>1571</v>
      </c>
      <c r="X874" s="2">
        <v>1275</v>
      </c>
      <c r="Y874" s="2">
        <v>0</v>
      </c>
      <c r="Z874" s="2">
        <v>0</v>
      </c>
      <c r="AA874" s="2">
        <v>0</v>
      </c>
      <c r="AB874" s="2"/>
      <c r="AC874" s="2">
        <v>302</v>
      </c>
      <c r="AD874" s="2">
        <v>303</v>
      </c>
      <c r="AE874" s="2">
        <v>72</v>
      </c>
      <c r="AF874" s="2">
        <v>0</v>
      </c>
      <c r="AG874" s="2">
        <v>0</v>
      </c>
      <c r="AH874" s="2"/>
      <c r="AI874" s="2">
        <v>-1716</v>
      </c>
      <c r="AJ874" s="2">
        <v>-1234</v>
      </c>
      <c r="AK874" s="2">
        <v>-1234</v>
      </c>
      <c r="AL874" s="2">
        <v>0</v>
      </c>
      <c r="AM874" s="2">
        <v>-1234</v>
      </c>
    </row>
    <row r="875" spans="1:39">
      <c r="A875" s="349">
        <v>99431</v>
      </c>
      <c r="B875" s="342" t="s">
        <v>1569</v>
      </c>
      <c r="C875" s="358">
        <v>1.91E-5</v>
      </c>
      <c r="E875" s="2">
        <v>5615</v>
      </c>
      <c r="F875" s="2">
        <v>8210</v>
      </c>
      <c r="G875" s="2">
        <v>5138</v>
      </c>
      <c r="H875" s="2">
        <v>2843</v>
      </c>
      <c r="I875" s="2">
        <v>0</v>
      </c>
      <c r="J875" s="2"/>
      <c r="K875" s="2">
        <v>3541</v>
      </c>
      <c r="L875" s="2">
        <v>3262</v>
      </c>
      <c r="M875" s="2">
        <v>1816</v>
      </c>
      <c r="N875" s="2">
        <v>0</v>
      </c>
      <c r="O875" s="2">
        <v>0</v>
      </c>
      <c r="P875" s="2"/>
      <c r="Q875" s="2">
        <v>230</v>
      </c>
      <c r="R875" s="2">
        <v>3211</v>
      </c>
      <c r="S875" s="2">
        <v>3322</v>
      </c>
      <c r="T875" s="2">
        <v>2843</v>
      </c>
      <c r="U875" s="2">
        <v>0</v>
      </c>
      <c r="V875" s="2"/>
      <c r="W875" s="2">
        <v>2803</v>
      </c>
      <c r="X875" s="2">
        <v>2276</v>
      </c>
      <c r="Y875" s="2">
        <v>0</v>
      </c>
      <c r="Z875" s="2">
        <v>0</v>
      </c>
      <c r="AA875" s="2">
        <v>0</v>
      </c>
      <c r="AB875" s="2"/>
      <c r="AC875" s="2">
        <v>1462</v>
      </c>
      <c r="AD875" s="2">
        <v>1462</v>
      </c>
      <c r="AE875" s="2">
        <v>1461</v>
      </c>
      <c r="AF875" s="2">
        <v>0</v>
      </c>
      <c r="AG875" s="2">
        <v>0</v>
      </c>
      <c r="AH875" s="2"/>
      <c r="AI875" s="2">
        <v>-2421</v>
      </c>
      <c r="AJ875" s="2">
        <v>-2001</v>
      </c>
      <c r="AK875" s="2">
        <v>-1461</v>
      </c>
      <c r="AL875" s="2">
        <v>0</v>
      </c>
      <c r="AM875" s="2">
        <v>-2001</v>
      </c>
    </row>
    <row r="876" spans="1:39">
      <c r="A876" s="349">
        <v>99501</v>
      </c>
      <c r="B876" s="342" t="s">
        <v>1570</v>
      </c>
      <c r="C876" s="358">
        <v>1.6310999999999999E-3</v>
      </c>
      <c r="E876" s="2">
        <v>586128</v>
      </c>
      <c r="F876" s="2">
        <v>777207</v>
      </c>
      <c r="G876" s="2">
        <v>462722</v>
      </c>
      <c r="H876" s="2">
        <v>242744</v>
      </c>
      <c r="I876" s="2">
        <v>0</v>
      </c>
      <c r="J876" s="2"/>
      <c r="K876" s="2">
        <v>302421</v>
      </c>
      <c r="L876" s="2">
        <v>278582</v>
      </c>
      <c r="M876" s="2">
        <v>155049</v>
      </c>
      <c r="N876" s="2">
        <v>0</v>
      </c>
      <c r="O876" s="2">
        <v>0</v>
      </c>
      <c r="P876" s="2"/>
      <c r="Q876" s="2">
        <v>19604</v>
      </c>
      <c r="R876" s="2">
        <v>274196</v>
      </c>
      <c r="S876" s="2">
        <v>283678</v>
      </c>
      <c r="T876" s="2">
        <v>242744</v>
      </c>
      <c r="U876" s="2">
        <v>0</v>
      </c>
      <c r="V876" s="2"/>
      <c r="W876" s="2">
        <v>239406</v>
      </c>
      <c r="X876" s="2">
        <v>194357</v>
      </c>
      <c r="Y876" s="2">
        <v>0</v>
      </c>
      <c r="Z876" s="2">
        <v>0</v>
      </c>
      <c r="AA876" s="2">
        <v>0</v>
      </c>
      <c r="AB876" s="2"/>
      <c r="AC876" s="2">
        <v>30074</v>
      </c>
      <c r="AD876" s="2">
        <v>30072</v>
      </c>
      <c r="AE876" s="2">
        <v>23995</v>
      </c>
      <c r="AF876" s="2">
        <v>0</v>
      </c>
      <c r="AG876" s="2">
        <v>0</v>
      </c>
      <c r="AH876" s="2"/>
      <c r="AI876" s="2">
        <v>-5377</v>
      </c>
      <c r="AJ876" s="2">
        <v>0</v>
      </c>
      <c r="AK876" s="2">
        <v>0</v>
      </c>
      <c r="AL876" s="2">
        <v>0</v>
      </c>
      <c r="AM876" s="2">
        <v>0</v>
      </c>
    </row>
    <row r="877" spans="1:39">
      <c r="A877" s="349">
        <v>99502</v>
      </c>
      <c r="B877" s="342" t="s">
        <v>1571</v>
      </c>
      <c r="C877" s="358">
        <v>1.5109999999999999E-4</v>
      </c>
      <c r="E877" s="2">
        <v>53542</v>
      </c>
      <c r="F877" s="2">
        <v>70270</v>
      </c>
      <c r="G877" s="2">
        <v>39418</v>
      </c>
      <c r="H877" s="2">
        <v>22487</v>
      </c>
      <c r="I877" s="2">
        <v>0</v>
      </c>
      <c r="J877" s="2"/>
      <c r="K877" s="2">
        <v>28015</v>
      </c>
      <c r="L877" s="2">
        <v>25807</v>
      </c>
      <c r="M877" s="2">
        <v>14363</v>
      </c>
      <c r="N877" s="2">
        <v>0</v>
      </c>
      <c r="O877" s="2">
        <v>0</v>
      </c>
      <c r="P877" s="2"/>
      <c r="Q877" s="2">
        <v>1816</v>
      </c>
      <c r="R877" s="2">
        <v>25401</v>
      </c>
      <c r="S877" s="2">
        <v>26279</v>
      </c>
      <c r="T877" s="2">
        <v>22487</v>
      </c>
      <c r="U877" s="2">
        <v>0</v>
      </c>
      <c r="V877" s="2"/>
      <c r="W877" s="2">
        <v>22178</v>
      </c>
      <c r="X877" s="2">
        <v>18005</v>
      </c>
      <c r="Y877" s="2">
        <v>0</v>
      </c>
      <c r="Z877" s="2">
        <v>0</v>
      </c>
      <c r="AA877" s="2">
        <v>0</v>
      </c>
      <c r="AB877" s="2"/>
      <c r="AC877" s="2">
        <v>4777</v>
      </c>
      <c r="AD877" s="2">
        <v>4301</v>
      </c>
      <c r="AE877" s="2">
        <v>2019</v>
      </c>
      <c r="AF877" s="2">
        <v>0</v>
      </c>
      <c r="AG877" s="2">
        <v>0</v>
      </c>
      <c r="AH877" s="2"/>
      <c r="AI877" s="2">
        <v>-3244</v>
      </c>
      <c r="AJ877" s="2">
        <v>-3244</v>
      </c>
      <c r="AK877" s="2">
        <v>-3243</v>
      </c>
      <c r="AL877" s="2">
        <v>0</v>
      </c>
      <c r="AM877" s="2">
        <v>-3244</v>
      </c>
    </row>
    <row r="878" spans="1:39">
      <c r="A878" s="349">
        <v>99508</v>
      </c>
      <c r="B878" s="342" t="s">
        <v>1572</v>
      </c>
      <c r="C878" s="358">
        <v>2.0800000000000001E-5</v>
      </c>
      <c r="E878" s="2">
        <v>6779</v>
      </c>
      <c r="F878" s="2">
        <v>9139</v>
      </c>
      <c r="G878" s="2">
        <v>5268</v>
      </c>
      <c r="H878" s="2">
        <v>3095</v>
      </c>
      <c r="I878" s="2">
        <v>0</v>
      </c>
      <c r="J878" s="2"/>
      <c r="K878" s="2">
        <v>3857</v>
      </c>
      <c r="L878" s="2">
        <v>3553</v>
      </c>
      <c r="M878" s="2">
        <v>1977</v>
      </c>
      <c r="N878" s="2">
        <v>0</v>
      </c>
      <c r="O878" s="2">
        <v>0</v>
      </c>
      <c r="P878" s="2"/>
      <c r="Q878" s="2">
        <v>250</v>
      </c>
      <c r="R878" s="2">
        <v>3497</v>
      </c>
      <c r="S878" s="2">
        <v>3617</v>
      </c>
      <c r="T878" s="2">
        <v>3095</v>
      </c>
      <c r="U878" s="2">
        <v>0</v>
      </c>
      <c r="V878" s="2"/>
      <c r="W878" s="2">
        <v>3053</v>
      </c>
      <c r="X878" s="2">
        <v>2478</v>
      </c>
      <c r="Y878" s="2">
        <v>0</v>
      </c>
      <c r="Z878" s="2">
        <v>0</v>
      </c>
      <c r="AA878" s="2">
        <v>0</v>
      </c>
      <c r="AB878" s="2"/>
      <c r="AC878" s="2">
        <v>10</v>
      </c>
      <c r="AD878" s="2">
        <v>0</v>
      </c>
      <c r="AE878" s="2">
        <v>0</v>
      </c>
      <c r="AF878" s="2">
        <v>0</v>
      </c>
      <c r="AG878" s="2">
        <v>0</v>
      </c>
      <c r="AH878" s="2"/>
      <c r="AI878" s="2">
        <v>-391</v>
      </c>
      <c r="AJ878" s="2">
        <v>-389</v>
      </c>
      <c r="AK878" s="2">
        <v>-326</v>
      </c>
      <c r="AL878" s="2">
        <v>0</v>
      </c>
      <c r="AM878" s="2">
        <v>-389</v>
      </c>
    </row>
    <row r="879" spans="1:39">
      <c r="A879" s="349">
        <v>99509</v>
      </c>
      <c r="B879" s="342" t="s">
        <v>3702</v>
      </c>
      <c r="C879" s="358">
        <v>2.0699999999999998E-5</v>
      </c>
      <c r="E879" s="2">
        <v>4738</v>
      </c>
      <c r="F879" s="2">
        <v>7565</v>
      </c>
      <c r="G879" s="2">
        <v>4026</v>
      </c>
      <c r="H879" s="2">
        <v>3081</v>
      </c>
      <c r="I879" s="2">
        <v>0</v>
      </c>
      <c r="J879" s="2"/>
      <c r="K879" s="2">
        <v>3838</v>
      </c>
      <c r="L879" s="2">
        <v>3535</v>
      </c>
      <c r="M879" s="2">
        <v>1968</v>
      </c>
      <c r="N879" s="2">
        <v>0</v>
      </c>
      <c r="O879" s="2">
        <v>0</v>
      </c>
      <c r="P879" s="2"/>
      <c r="Q879" s="2">
        <v>249</v>
      </c>
      <c r="R879" s="2">
        <v>3480</v>
      </c>
      <c r="S879" s="2">
        <v>3600</v>
      </c>
      <c r="T879" s="2">
        <v>3081</v>
      </c>
      <c r="U879" s="2">
        <v>0</v>
      </c>
      <c r="V879" s="2"/>
      <c r="W879" s="2">
        <v>3038</v>
      </c>
      <c r="X879" s="2">
        <v>2467</v>
      </c>
      <c r="Y879" s="2">
        <v>0</v>
      </c>
      <c r="Z879" s="2">
        <v>0</v>
      </c>
      <c r="AA879" s="2">
        <v>0</v>
      </c>
      <c r="AB879" s="2"/>
      <c r="AC879" s="2">
        <v>0</v>
      </c>
      <c r="AD879" s="2">
        <v>0</v>
      </c>
      <c r="AE879" s="2">
        <v>0</v>
      </c>
      <c r="AF879" s="2">
        <v>0</v>
      </c>
      <c r="AG879" s="2">
        <v>0</v>
      </c>
      <c r="AH879" s="2"/>
      <c r="AI879" s="2">
        <v>-2387</v>
      </c>
      <c r="AJ879" s="2">
        <v>-1917</v>
      </c>
      <c r="AK879" s="2">
        <v>-1542</v>
      </c>
      <c r="AL879" s="2">
        <v>0</v>
      </c>
      <c r="AM879" s="2">
        <v>-1917</v>
      </c>
    </row>
    <row r="880" spans="1:39">
      <c r="A880" s="349">
        <v>99511</v>
      </c>
      <c r="B880" s="342" t="s">
        <v>1574</v>
      </c>
      <c r="C880" s="358">
        <v>1.3119E-3</v>
      </c>
      <c r="E880" s="2">
        <v>391663</v>
      </c>
      <c r="F880" s="2">
        <v>547187</v>
      </c>
      <c r="G880" s="2">
        <v>319652</v>
      </c>
      <c r="H880" s="2">
        <v>195240</v>
      </c>
      <c r="I880" s="2">
        <v>0</v>
      </c>
      <c r="J880" s="2"/>
      <c r="K880" s="2">
        <v>243238</v>
      </c>
      <c r="L880" s="2">
        <v>224065</v>
      </c>
      <c r="M880" s="2">
        <v>124707</v>
      </c>
      <c r="N880" s="2">
        <v>0</v>
      </c>
      <c r="O880" s="2">
        <v>0</v>
      </c>
      <c r="P880" s="2"/>
      <c r="Q880" s="2">
        <v>15768</v>
      </c>
      <c r="R880" s="2">
        <v>220537</v>
      </c>
      <c r="S880" s="2">
        <v>228163</v>
      </c>
      <c r="T880" s="2">
        <v>195240</v>
      </c>
      <c r="U880" s="2">
        <v>0</v>
      </c>
      <c r="V880" s="2"/>
      <c r="W880" s="2">
        <v>192555</v>
      </c>
      <c r="X880" s="2">
        <v>156322</v>
      </c>
      <c r="Y880" s="2">
        <v>0</v>
      </c>
      <c r="Z880" s="2">
        <v>0</v>
      </c>
      <c r="AA880" s="2">
        <v>0</v>
      </c>
      <c r="AB880" s="2"/>
      <c r="AC880" s="2">
        <v>0</v>
      </c>
      <c r="AD880" s="2">
        <v>0</v>
      </c>
      <c r="AE880" s="2">
        <v>0</v>
      </c>
      <c r="AF880" s="2">
        <v>0</v>
      </c>
      <c r="AG880" s="2">
        <v>0</v>
      </c>
      <c r="AH880" s="2"/>
      <c r="AI880" s="2">
        <v>-59898</v>
      </c>
      <c r="AJ880" s="2">
        <v>-53737</v>
      </c>
      <c r="AK880" s="2">
        <v>-33218</v>
      </c>
      <c r="AL880" s="2">
        <v>0</v>
      </c>
      <c r="AM880" s="2">
        <v>-53737</v>
      </c>
    </row>
    <row r="881" spans="1:39">
      <c r="A881" s="349">
        <v>99521</v>
      </c>
      <c r="B881" s="342" t="s">
        <v>1575</v>
      </c>
      <c r="C881" s="358">
        <v>4.8440000000000001E-4</v>
      </c>
      <c r="E881" s="2">
        <v>152871</v>
      </c>
      <c r="F881" s="2">
        <v>207697</v>
      </c>
      <c r="G881" s="2">
        <v>110804</v>
      </c>
      <c r="H881" s="2">
        <v>72089</v>
      </c>
      <c r="I881" s="2">
        <v>0</v>
      </c>
      <c r="J881" s="2"/>
      <c r="K881" s="2">
        <v>89812</v>
      </c>
      <c r="L881" s="2">
        <v>82733</v>
      </c>
      <c r="M881" s="2">
        <v>46046</v>
      </c>
      <c r="N881" s="2">
        <v>0</v>
      </c>
      <c r="O881" s="2">
        <v>0</v>
      </c>
      <c r="P881" s="2"/>
      <c r="Q881" s="2">
        <v>5822</v>
      </c>
      <c r="R881" s="2">
        <v>81430</v>
      </c>
      <c r="S881" s="2">
        <v>84246</v>
      </c>
      <c r="T881" s="2">
        <v>72089</v>
      </c>
      <c r="U881" s="2">
        <v>0</v>
      </c>
      <c r="V881" s="2"/>
      <c r="W881" s="2">
        <v>71098</v>
      </c>
      <c r="X881" s="2">
        <v>57720</v>
      </c>
      <c r="Y881" s="2">
        <v>0</v>
      </c>
      <c r="Z881" s="2">
        <v>0</v>
      </c>
      <c r="AA881" s="2">
        <v>0</v>
      </c>
      <c r="AB881" s="2"/>
      <c r="AC881" s="2">
        <v>5627</v>
      </c>
      <c r="AD881" s="2">
        <v>5302</v>
      </c>
      <c r="AE881" s="2">
        <v>0</v>
      </c>
      <c r="AF881" s="2">
        <v>0</v>
      </c>
      <c r="AG881" s="2">
        <v>0</v>
      </c>
      <c r="AH881" s="2"/>
      <c r="AI881" s="2">
        <v>-19488</v>
      </c>
      <c r="AJ881" s="2">
        <v>-19488</v>
      </c>
      <c r="AK881" s="2">
        <v>-19488</v>
      </c>
      <c r="AL881" s="2">
        <v>0</v>
      </c>
      <c r="AM881" s="2">
        <v>-19488</v>
      </c>
    </row>
    <row r="882" spans="1:39">
      <c r="A882" s="349">
        <v>99527</v>
      </c>
      <c r="B882" s="342" t="s">
        <v>3703</v>
      </c>
      <c r="C882" s="358">
        <v>1.03E-5</v>
      </c>
      <c r="E882" s="2">
        <v>4194</v>
      </c>
      <c r="F882" s="2">
        <v>5305</v>
      </c>
      <c r="G882" s="2">
        <v>3222</v>
      </c>
      <c r="H882" s="2">
        <v>1533</v>
      </c>
      <c r="I882" s="2">
        <v>0</v>
      </c>
      <c r="J882" s="2"/>
      <c r="K882" s="2">
        <v>1910</v>
      </c>
      <c r="L882" s="2">
        <v>1759</v>
      </c>
      <c r="M882" s="2">
        <v>979</v>
      </c>
      <c r="N882" s="2">
        <v>0</v>
      </c>
      <c r="O882" s="2">
        <v>0</v>
      </c>
      <c r="P882" s="2"/>
      <c r="Q882" s="2">
        <v>124</v>
      </c>
      <c r="R882" s="2">
        <v>1731</v>
      </c>
      <c r="S882" s="2">
        <v>1791</v>
      </c>
      <c r="T882" s="2">
        <v>1533</v>
      </c>
      <c r="U882" s="2">
        <v>0</v>
      </c>
      <c r="V882" s="2"/>
      <c r="W882" s="2">
        <v>1512</v>
      </c>
      <c r="X882" s="2">
        <v>1227</v>
      </c>
      <c r="Y882" s="2">
        <v>0</v>
      </c>
      <c r="Z882" s="2">
        <v>0</v>
      </c>
      <c r="AA882" s="2">
        <v>0</v>
      </c>
      <c r="AB882" s="2"/>
      <c r="AC882" s="2">
        <v>648</v>
      </c>
      <c r="AD882" s="2">
        <v>588</v>
      </c>
      <c r="AE882" s="2">
        <v>452</v>
      </c>
      <c r="AF882" s="2">
        <v>0</v>
      </c>
      <c r="AG882" s="2">
        <v>0</v>
      </c>
      <c r="AH882" s="2"/>
      <c r="AI882" s="2">
        <v>0</v>
      </c>
      <c r="AJ882" s="2">
        <v>0</v>
      </c>
      <c r="AK882" s="2">
        <v>0</v>
      </c>
      <c r="AL882" s="2">
        <v>0</v>
      </c>
      <c r="AM882" s="2">
        <v>0</v>
      </c>
    </row>
    <row r="883" spans="1:39">
      <c r="A883" s="349">
        <v>99531</v>
      </c>
      <c r="B883" s="342" t="s">
        <v>1577</v>
      </c>
      <c r="C883" s="358">
        <v>9.0500000000000004E-5</v>
      </c>
      <c r="E883" s="2">
        <v>52590</v>
      </c>
      <c r="F883" s="2">
        <v>56013</v>
      </c>
      <c r="G883" s="2">
        <v>33116</v>
      </c>
      <c r="H883" s="2">
        <v>13468</v>
      </c>
      <c r="I883" s="2">
        <v>0</v>
      </c>
      <c r="J883" s="2"/>
      <c r="K883" s="2">
        <v>16780</v>
      </c>
      <c r="L883" s="2">
        <v>15457</v>
      </c>
      <c r="M883" s="2">
        <v>8603</v>
      </c>
      <c r="N883" s="2">
        <v>0</v>
      </c>
      <c r="O883" s="2">
        <v>0</v>
      </c>
      <c r="P883" s="2"/>
      <c r="Q883" s="2">
        <v>1088</v>
      </c>
      <c r="R883" s="2">
        <v>15214</v>
      </c>
      <c r="S883" s="2">
        <v>15740</v>
      </c>
      <c r="T883" s="2">
        <v>13468</v>
      </c>
      <c r="U883" s="2">
        <v>0</v>
      </c>
      <c r="V883" s="2"/>
      <c r="W883" s="2">
        <v>13283</v>
      </c>
      <c r="X883" s="2">
        <v>10784</v>
      </c>
      <c r="Y883" s="2">
        <v>0</v>
      </c>
      <c r="Z883" s="2">
        <v>0</v>
      </c>
      <c r="AA883" s="2">
        <v>0</v>
      </c>
      <c r="AB883" s="2"/>
      <c r="AC883" s="2">
        <v>21439</v>
      </c>
      <c r="AD883" s="2">
        <v>14558</v>
      </c>
      <c r="AE883" s="2">
        <v>8773</v>
      </c>
      <c r="AF883" s="2">
        <v>0</v>
      </c>
      <c r="AG883" s="2">
        <v>0</v>
      </c>
      <c r="AH883" s="2"/>
      <c r="AI883" s="2">
        <v>0</v>
      </c>
      <c r="AJ883" s="2">
        <v>0</v>
      </c>
      <c r="AK883" s="2">
        <v>0</v>
      </c>
      <c r="AL883" s="2">
        <v>0</v>
      </c>
      <c r="AM883" s="2">
        <v>0</v>
      </c>
    </row>
    <row r="884" spans="1:39">
      <c r="A884" s="349">
        <v>99601</v>
      </c>
      <c r="B884" s="342" t="s">
        <v>1578</v>
      </c>
      <c r="C884" s="358">
        <v>5.3302000000000002E-3</v>
      </c>
      <c r="E884" s="2">
        <v>1589044</v>
      </c>
      <c r="F884" s="2">
        <v>2133329</v>
      </c>
      <c r="G884" s="2">
        <v>1124155</v>
      </c>
      <c r="H884" s="2">
        <v>793251</v>
      </c>
      <c r="I884" s="2">
        <v>0</v>
      </c>
      <c r="J884" s="2"/>
      <c r="K884" s="2">
        <v>988267</v>
      </c>
      <c r="L884" s="2">
        <v>910366</v>
      </c>
      <c r="M884" s="2">
        <v>506678</v>
      </c>
      <c r="N884" s="2">
        <v>0</v>
      </c>
      <c r="O884" s="2">
        <v>0</v>
      </c>
      <c r="P884" s="2"/>
      <c r="Q884" s="2">
        <v>64064</v>
      </c>
      <c r="R884" s="2">
        <v>896033</v>
      </c>
      <c r="S884" s="2">
        <v>927018</v>
      </c>
      <c r="T884" s="2">
        <v>793251</v>
      </c>
      <c r="U884" s="2">
        <v>0</v>
      </c>
      <c r="V884" s="2"/>
      <c r="W884" s="2">
        <v>782345</v>
      </c>
      <c r="X884" s="2">
        <v>635131</v>
      </c>
      <c r="Y884" s="2">
        <v>0</v>
      </c>
      <c r="Z884" s="2">
        <v>0</v>
      </c>
      <c r="AA884" s="2">
        <v>0</v>
      </c>
      <c r="AB884" s="2"/>
      <c r="AC884" s="2">
        <v>63908</v>
      </c>
      <c r="AD884" s="2">
        <v>1339</v>
      </c>
      <c r="AE884" s="2">
        <v>0</v>
      </c>
      <c r="AF884" s="2">
        <v>0</v>
      </c>
      <c r="AG884" s="2">
        <v>0</v>
      </c>
      <c r="AH884" s="2"/>
      <c r="AI884" s="2">
        <v>-309540</v>
      </c>
      <c r="AJ884" s="2">
        <v>-309540</v>
      </c>
      <c r="AK884" s="2">
        <v>-309541</v>
      </c>
      <c r="AL884" s="2">
        <v>0</v>
      </c>
      <c r="AM884" s="2">
        <v>-309540</v>
      </c>
    </row>
    <row r="885" spans="1:39">
      <c r="A885" s="349">
        <v>99602</v>
      </c>
      <c r="B885" s="342" t="s">
        <v>3704</v>
      </c>
      <c r="C885" s="358">
        <v>6.1199999999999997E-5</v>
      </c>
      <c r="E885" s="2">
        <v>20515</v>
      </c>
      <c r="F885" s="2">
        <v>25822</v>
      </c>
      <c r="G885" s="2">
        <v>14356</v>
      </c>
      <c r="H885" s="2">
        <v>9108</v>
      </c>
      <c r="I885" s="2">
        <v>0</v>
      </c>
      <c r="J885" s="2"/>
      <c r="K885" s="2">
        <v>11347</v>
      </c>
      <c r="L885" s="2">
        <v>10453</v>
      </c>
      <c r="M885" s="2">
        <v>5818</v>
      </c>
      <c r="N885" s="2">
        <v>0</v>
      </c>
      <c r="O885" s="2">
        <v>0</v>
      </c>
      <c r="P885" s="2"/>
      <c r="Q885" s="2">
        <v>736</v>
      </c>
      <c r="R885" s="2">
        <v>10288</v>
      </c>
      <c r="S885" s="2">
        <v>10644</v>
      </c>
      <c r="T885" s="2">
        <v>9108</v>
      </c>
      <c r="U885" s="2">
        <v>0</v>
      </c>
      <c r="V885" s="2"/>
      <c r="W885" s="2">
        <v>8983</v>
      </c>
      <c r="X885" s="2">
        <v>7292</v>
      </c>
      <c r="Y885" s="2">
        <v>0</v>
      </c>
      <c r="Z885" s="2">
        <v>0</v>
      </c>
      <c r="AA885" s="2">
        <v>0</v>
      </c>
      <c r="AB885" s="2"/>
      <c r="AC885" s="2">
        <v>1658</v>
      </c>
      <c r="AD885" s="2">
        <v>0</v>
      </c>
      <c r="AE885" s="2">
        <v>0</v>
      </c>
      <c r="AF885" s="2">
        <v>0</v>
      </c>
      <c r="AG885" s="2">
        <v>0</v>
      </c>
      <c r="AH885" s="2"/>
      <c r="AI885" s="2">
        <v>-2209</v>
      </c>
      <c r="AJ885" s="2">
        <v>-2211</v>
      </c>
      <c r="AK885" s="2">
        <v>-2106</v>
      </c>
      <c r="AL885" s="2">
        <v>0</v>
      </c>
      <c r="AM885" s="2">
        <v>-2211</v>
      </c>
    </row>
    <row r="886" spans="1:39">
      <c r="A886" s="349">
        <v>99603</v>
      </c>
      <c r="B886" s="342" t="s">
        <v>3705</v>
      </c>
      <c r="C886" s="358">
        <v>1.426E-4</v>
      </c>
      <c r="E886" s="2">
        <v>56636</v>
      </c>
      <c r="F886" s="2">
        <v>67017</v>
      </c>
      <c r="G886" s="2">
        <v>35607</v>
      </c>
      <c r="H886" s="2">
        <v>21222</v>
      </c>
      <c r="I886" s="2">
        <v>0</v>
      </c>
      <c r="J886" s="2"/>
      <c r="K886" s="2">
        <v>26439</v>
      </c>
      <c r="L886" s="2">
        <v>24355</v>
      </c>
      <c r="M886" s="2">
        <v>13555</v>
      </c>
      <c r="N886" s="2">
        <v>0</v>
      </c>
      <c r="O886" s="2">
        <v>0</v>
      </c>
      <c r="P886" s="2"/>
      <c r="Q886" s="2">
        <v>1714</v>
      </c>
      <c r="R886" s="2">
        <v>23972</v>
      </c>
      <c r="S886" s="2">
        <v>24801</v>
      </c>
      <c r="T886" s="2">
        <v>21222</v>
      </c>
      <c r="U886" s="2">
        <v>0</v>
      </c>
      <c r="V886" s="2"/>
      <c r="W886" s="2">
        <v>20930</v>
      </c>
      <c r="X886" s="2">
        <v>16992</v>
      </c>
      <c r="Y886" s="2">
        <v>0</v>
      </c>
      <c r="Z886" s="2">
        <v>0</v>
      </c>
      <c r="AA886" s="2">
        <v>0</v>
      </c>
      <c r="AB886" s="2"/>
      <c r="AC886" s="2">
        <v>10304</v>
      </c>
      <c r="AD886" s="2">
        <v>4449</v>
      </c>
      <c r="AE886" s="2">
        <v>0</v>
      </c>
      <c r="AF886" s="2">
        <v>0</v>
      </c>
      <c r="AG886" s="2">
        <v>0</v>
      </c>
      <c r="AH886" s="2"/>
      <c r="AI886" s="2">
        <v>-2751</v>
      </c>
      <c r="AJ886" s="2">
        <v>-2751</v>
      </c>
      <c r="AK886" s="2">
        <v>-2749</v>
      </c>
      <c r="AL886" s="2">
        <v>0</v>
      </c>
      <c r="AM886" s="2">
        <v>-2751</v>
      </c>
    </row>
    <row r="887" spans="1:39">
      <c r="A887" s="349">
        <v>99604</v>
      </c>
      <c r="B887" s="342" t="s">
        <v>1581</v>
      </c>
      <c r="C887" s="358">
        <v>1.043E-4</v>
      </c>
      <c r="E887" s="2">
        <v>48292</v>
      </c>
      <c r="F887" s="2">
        <v>58288</v>
      </c>
      <c r="G887" s="2">
        <v>36154</v>
      </c>
      <c r="H887" s="2">
        <v>15522</v>
      </c>
      <c r="I887" s="2">
        <v>0</v>
      </c>
      <c r="J887" s="2"/>
      <c r="K887" s="2">
        <v>19338</v>
      </c>
      <c r="L887" s="2">
        <v>17814</v>
      </c>
      <c r="M887" s="2">
        <v>9915</v>
      </c>
      <c r="N887" s="2">
        <v>0</v>
      </c>
      <c r="O887" s="2">
        <v>0</v>
      </c>
      <c r="P887" s="2"/>
      <c r="Q887" s="2">
        <v>1254</v>
      </c>
      <c r="R887" s="2">
        <v>17533</v>
      </c>
      <c r="S887" s="2">
        <v>18140</v>
      </c>
      <c r="T887" s="2">
        <v>15522</v>
      </c>
      <c r="U887" s="2">
        <v>0</v>
      </c>
      <c r="V887" s="2"/>
      <c r="W887" s="2">
        <v>15309</v>
      </c>
      <c r="X887" s="2">
        <v>12428</v>
      </c>
      <c r="Y887" s="2">
        <v>0</v>
      </c>
      <c r="Z887" s="2">
        <v>0</v>
      </c>
      <c r="AA887" s="2">
        <v>0</v>
      </c>
      <c r="AB887" s="2"/>
      <c r="AC887" s="2">
        <v>12391</v>
      </c>
      <c r="AD887" s="2">
        <v>10513</v>
      </c>
      <c r="AE887" s="2">
        <v>8099</v>
      </c>
      <c r="AF887" s="2">
        <v>0</v>
      </c>
      <c r="AG887" s="2">
        <v>0</v>
      </c>
      <c r="AH887" s="2"/>
      <c r="AI887" s="2">
        <v>0</v>
      </c>
      <c r="AJ887" s="2">
        <v>0</v>
      </c>
      <c r="AK887" s="2">
        <v>0</v>
      </c>
      <c r="AL887" s="2">
        <v>0</v>
      </c>
      <c r="AM887" s="2">
        <v>0</v>
      </c>
    </row>
    <row r="888" spans="1:39">
      <c r="A888" s="349">
        <v>99609</v>
      </c>
      <c r="B888" s="342" t="s">
        <v>1582</v>
      </c>
      <c r="C888" s="358">
        <v>2.9499999999999999E-5</v>
      </c>
      <c r="E888" s="2">
        <v>11938</v>
      </c>
      <c r="F888" s="2">
        <v>15675</v>
      </c>
      <c r="G888" s="2">
        <v>9064</v>
      </c>
      <c r="H888" s="2">
        <v>4390</v>
      </c>
      <c r="I888" s="2">
        <v>0</v>
      </c>
      <c r="J888" s="2"/>
      <c r="K888" s="2">
        <v>5470</v>
      </c>
      <c r="L888" s="2">
        <v>5038</v>
      </c>
      <c r="M888" s="2">
        <v>2804</v>
      </c>
      <c r="N888" s="2">
        <v>0</v>
      </c>
      <c r="O888" s="2">
        <v>0</v>
      </c>
      <c r="P888" s="2"/>
      <c r="Q888" s="2">
        <v>355</v>
      </c>
      <c r="R888" s="2">
        <v>4959</v>
      </c>
      <c r="S888" s="2">
        <v>5131</v>
      </c>
      <c r="T888" s="2">
        <v>4390</v>
      </c>
      <c r="U888" s="2">
        <v>0</v>
      </c>
      <c r="V888" s="2"/>
      <c r="W888" s="2">
        <v>4330</v>
      </c>
      <c r="X888" s="2">
        <v>3515</v>
      </c>
      <c r="Y888" s="2">
        <v>0</v>
      </c>
      <c r="Z888" s="2">
        <v>0</v>
      </c>
      <c r="AA888" s="2">
        <v>0</v>
      </c>
      <c r="AB888" s="2"/>
      <c r="AC888" s="2">
        <v>2286</v>
      </c>
      <c r="AD888" s="2">
        <v>2286</v>
      </c>
      <c r="AE888" s="2">
        <v>1250</v>
      </c>
      <c r="AF888" s="2">
        <v>0</v>
      </c>
      <c r="AG888" s="2">
        <v>0</v>
      </c>
      <c r="AH888" s="2"/>
      <c r="AI888" s="2">
        <v>-503</v>
      </c>
      <c r="AJ888" s="2">
        <v>-123</v>
      </c>
      <c r="AK888" s="2">
        <v>-121</v>
      </c>
      <c r="AL888" s="2">
        <v>0</v>
      </c>
      <c r="AM888" s="2">
        <v>-123</v>
      </c>
    </row>
    <row r="889" spans="1:39">
      <c r="A889" s="349">
        <v>99610</v>
      </c>
      <c r="B889" s="342" t="s">
        <v>3706</v>
      </c>
      <c r="C889" s="358">
        <v>1.6770000000000001E-4</v>
      </c>
      <c r="E889" s="2">
        <v>55887</v>
      </c>
      <c r="F889" s="2">
        <v>75812</v>
      </c>
      <c r="G889" s="2">
        <v>45402</v>
      </c>
      <c r="H889" s="2">
        <v>24957</v>
      </c>
      <c r="I889" s="2">
        <v>0</v>
      </c>
      <c r="J889" s="2"/>
      <c r="K889" s="2">
        <v>31093</v>
      </c>
      <c r="L889" s="2">
        <v>28642</v>
      </c>
      <c r="M889" s="2">
        <v>15941</v>
      </c>
      <c r="N889" s="2">
        <v>0</v>
      </c>
      <c r="O889" s="2">
        <v>0</v>
      </c>
      <c r="P889" s="2"/>
      <c r="Q889" s="2">
        <v>2016</v>
      </c>
      <c r="R889" s="2">
        <v>28191</v>
      </c>
      <c r="S889" s="2">
        <v>29166</v>
      </c>
      <c r="T889" s="2">
        <v>24957</v>
      </c>
      <c r="U889" s="2">
        <v>0</v>
      </c>
      <c r="V889" s="2"/>
      <c r="W889" s="2">
        <v>24614</v>
      </c>
      <c r="X889" s="2">
        <v>19983</v>
      </c>
      <c r="Y889" s="2">
        <v>0</v>
      </c>
      <c r="Z889" s="2">
        <v>0</v>
      </c>
      <c r="AA889" s="2">
        <v>0</v>
      </c>
      <c r="AB889" s="2"/>
      <c r="AC889" s="2">
        <v>2716</v>
      </c>
      <c r="AD889" s="2">
        <v>2716</v>
      </c>
      <c r="AE889" s="2">
        <v>2717</v>
      </c>
      <c r="AF889" s="2">
        <v>0</v>
      </c>
      <c r="AG889" s="2">
        <v>0</v>
      </c>
      <c r="AH889" s="2"/>
      <c r="AI889" s="2">
        <v>-4552</v>
      </c>
      <c r="AJ889" s="2">
        <v>-3720</v>
      </c>
      <c r="AK889" s="2">
        <v>-2422</v>
      </c>
      <c r="AL889" s="2">
        <v>0</v>
      </c>
      <c r="AM889" s="2">
        <v>-3720</v>
      </c>
    </row>
    <row r="890" spans="1:39">
      <c r="A890" s="349">
        <v>99611</v>
      </c>
      <c r="B890" s="342" t="s">
        <v>1584</v>
      </c>
      <c r="C890" s="358">
        <v>3.1828E-3</v>
      </c>
      <c r="E890" s="2">
        <v>1065633</v>
      </c>
      <c r="F890" s="2">
        <v>1418873</v>
      </c>
      <c r="G890" s="2">
        <v>808461</v>
      </c>
      <c r="H890" s="2">
        <v>473671</v>
      </c>
      <c r="I890" s="2">
        <v>0</v>
      </c>
      <c r="J890" s="2"/>
      <c r="K890" s="2">
        <v>590120</v>
      </c>
      <c r="L890" s="2">
        <v>543603</v>
      </c>
      <c r="M890" s="2">
        <v>302551</v>
      </c>
      <c r="N890" s="2">
        <v>0</v>
      </c>
      <c r="O890" s="2">
        <v>0</v>
      </c>
      <c r="P890" s="2"/>
      <c r="Q890" s="2">
        <v>38254</v>
      </c>
      <c r="R890" s="2">
        <v>535045</v>
      </c>
      <c r="S890" s="2">
        <v>553546</v>
      </c>
      <c r="T890" s="2">
        <v>473671</v>
      </c>
      <c r="U890" s="2">
        <v>0</v>
      </c>
      <c r="V890" s="2"/>
      <c r="W890" s="2">
        <v>467159</v>
      </c>
      <c r="X890" s="2">
        <v>379253</v>
      </c>
      <c r="Y890" s="2">
        <v>0</v>
      </c>
      <c r="Z890" s="2">
        <v>0</v>
      </c>
      <c r="AA890" s="2">
        <v>0</v>
      </c>
      <c r="AB890" s="2"/>
      <c r="AC890" s="2">
        <v>17736</v>
      </c>
      <c r="AD890" s="2">
        <v>8608</v>
      </c>
      <c r="AE890" s="2">
        <v>0</v>
      </c>
      <c r="AF890" s="2">
        <v>0</v>
      </c>
      <c r="AG890" s="2">
        <v>0</v>
      </c>
      <c r="AH890" s="2"/>
      <c r="AI890" s="2">
        <v>-47636</v>
      </c>
      <c r="AJ890" s="2">
        <v>-47636</v>
      </c>
      <c r="AK890" s="2">
        <v>-47636</v>
      </c>
      <c r="AL890" s="2">
        <v>0</v>
      </c>
      <c r="AM890" s="2">
        <v>-47636</v>
      </c>
    </row>
    <row r="891" spans="1:39">
      <c r="A891" s="349">
        <v>99613</v>
      </c>
      <c r="B891" s="342" t="s">
        <v>1585</v>
      </c>
      <c r="C891" s="358">
        <v>3.1920000000000001E-4</v>
      </c>
      <c r="E891" s="2">
        <v>169873</v>
      </c>
      <c r="F891" s="2">
        <v>175557</v>
      </c>
      <c r="G891" s="2">
        <v>76374</v>
      </c>
      <c r="H891" s="2">
        <v>47504</v>
      </c>
      <c r="I891" s="2">
        <v>0</v>
      </c>
      <c r="J891" s="2"/>
      <c r="K891" s="2">
        <v>59183</v>
      </c>
      <c r="L891" s="2">
        <v>54517</v>
      </c>
      <c r="M891" s="2">
        <v>30343</v>
      </c>
      <c r="N891" s="2">
        <v>0</v>
      </c>
      <c r="O891" s="2">
        <v>0</v>
      </c>
      <c r="P891" s="2"/>
      <c r="Q891" s="2">
        <v>3836</v>
      </c>
      <c r="R891" s="2">
        <v>53659</v>
      </c>
      <c r="S891" s="2">
        <v>55515</v>
      </c>
      <c r="T891" s="2">
        <v>47504</v>
      </c>
      <c r="U891" s="2">
        <v>0</v>
      </c>
      <c r="V891" s="2"/>
      <c r="W891" s="2">
        <v>46851</v>
      </c>
      <c r="X891" s="2">
        <v>38035</v>
      </c>
      <c r="Y891" s="2">
        <v>0</v>
      </c>
      <c r="Z891" s="2">
        <v>0</v>
      </c>
      <c r="AA891" s="2">
        <v>0</v>
      </c>
      <c r="AB891" s="2"/>
      <c r="AC891" s="2">
        <v>69489</v>
      </c>
      <c r="AD891" s="2">
        <v>38832</v>
      </c>
      <c r="AE891" s="2">
        <v>0</v>
      </c>
      <c r="AF891" s="2">
        <v>0</v>
      </c>
      <c r="AG891" s="2">
        <v>0</v>
      </c>
      <c r="AH891" s="2"/>
      <c r="AI891" s="2">
        <v>-9486</v>
      </c>
      <c r="AJ891" s="2">
        <v>-9486</v>
      </c>
      <c r="AK891" s="2">
        <v>-9484</v>
      </c>
      <c r="AL891" s="2">
        <v>0</v>
      </c>
      <c r="AM891" s="2">
        <v>-9486</v>
      </c>
    </row>
    <row r="892" spans="1:39">
      <c r="A892" s="349">
        <v>99621</v>
      </c>
      <c r="B892" s="342" t="s">
        <v>1586</v>
      </c>
      <c r="C892" s="358">
        <v>3.3040000000000001E-4</v>
      </c>
      <c r="E892" s="2">
        <v>107452</v>
      </c>
      <c r="F892" s="2">
        <v>138747</v>
      </c>
      <c r="G892" s="2">
        <v>76710</v>
      </c>
      <c r="H892" s="2">
        <v>49171</v>
      </c>
      <c r="I892" s="2">
        <v>0</v>
      </c>
      <c r="J892" s="2"/>
      <c r="K892" s="2">
        <v>61259</v>
      </c>
      <c r="L892" s="2">
        <v>56430</v>
      </c>
      <c r="M892" s="2">
        <v>31407</v>
      </c>
      <c r="N892" s="2">
        <v>0</v>
      </c>
      <c r="O892" s="2">
        <v>0</v>
      </c>
      <c r="P892" s="2"/>
      <c r="Q892" s="2">
        <v>3971</v>
      </c>
      <c r="R892" s="2">
        <v>55542</v>
      </c>
      <c r="S892" s="2">
        <v>57463</v>
      </c>
      <c r="T892" s="2">
        <v>49171</v>
      </c>
      <c r="U892" s="2">
        <v>0</v>
      </c>
      <c r="V892" s="2"/>
      <c r="W892" s="2">
        <v>48495</v>
      </c>
      <c r="X892" s="2">
        <v>39369</v>
      </c>
      <c r="Y892" s="2">
        <v>0</v>
      </c>
      <c r="Z892" s="2">
        <v>0</v>
      </c>
      <c r="AA892" s="2">
        <v>0</v>
      </c>
      <c r="AB892" s="2"/>
      <c r="AC892" s="2">
        <v>6319</v>
      </c>
      <c r="AD892" s="2">
        <v>0</v>
      </c>
      <c r="AE892" s="2">
        <v>0</v>
      </c>
      <c r="AF892" s="2">
        <v>0</v>
      </c>
      <c r="AG892" s="2">
        <v>0</v>
      </c>
      <c r="AH892" s="2"/>
      <c r="AI892" s="2">
        <v>-12592</v>
      </c>
      <c r="AJ892" s="2">
        <v>-12594</v>
      </c>
      <c r="AK892" s="2">
        <v>-12160</v>
      </c>
      <c r="AL892" s="2">
        <v>0</v>
      </c>
      <c r="AM892" s="2">
        <v>-12594</v>
      </c>
    </row>
    <row r="893" spans="1:39">
      <c r="A893" s="349">
        <v>99623</v>
      </c>
      <c r="B893" s="342" t="s">
        <v>3498</v>
      </c>
      <c r="C893" s="358">
        <v>1.6699999999999999E-5</v>
      </c>
      <c r="E893" s="2">
        <v>2960</v>
      </c>
      <c r="F893" s="2">
        <v>5533</v>
      </c>
      <c r="G893" s="2">
        <v>2385</v>
      </c>
      <c r="H893" s="2">
        <v>2485</v>
      </c>
      <c r="I893" s="2">
        <v>0</v>
      </c>
      <c r="J893" s="2"/>
      <c r="K893" s="2">
        <v>3096</v>
      </c>
      <c r="L893" s="2">
        <v>2852</v>
      </c>
      <c r="M893" s="2">
        <v>1587</v>
      </c>
      <c r="N893" s="2">
        <v>0</v>
      </c>
      <c r="O893" s="2">
        <v>0</v>
      </c>
      <c r="P893" s="2"/>
      <c r="Q893" s="2">
        <v>201</v>
      </c>
      <c r="R893" s="2">
        <v>2807</v>
      </c>
      <c r="S893" s="2">
        <v>2904</v>
      </c>
      <c r="T893" s="2">
        <v>2485</v>
      </c>
      <c r="U893" s="2">
        <v>0</v>
      </c>
      <c r="V893" s="2"/>
      <c r="W893" s="2">
        <v>2451</v>
      </c>
      <c r="X893" s="2">
        <v>1990</v>
      </c>
      <c r="Y893" s="2">
        <v>0</v>
      </c>
      <c r="Z893" s="2">
        <v>0</v>
      </c>
      <c r="AA893" s="2">
        <v>0</v>
      </c>
      <c r="AB893" s="2"/>
      <c r="AC893" s="2">
        <v>2726</v>
      </c>
      <c r="AD893" s="2">
        <v>2726</v>
      </c>
      <c r="AE893" s="2">
        <v>2727</v>
      </c>
      <c r="AF893" s="2">
        <v>0</v>
      </c>
      <c r="AG893" s="2">
        <v>0</v>
      </c>
      <c r="AH893" s="2"/>
      <c r="AI893" s="2">
        <v>-5514</v>
      </c>
      <c r="AJ893" s="2">
        <v>-4842</v>
      </c>
      <c r="AK893" s="2">
        <v>-4833</v>
      </c>
      <c r="AL893" s="2">
        <v>0</v>
      </c>
      <c r="AM893" s="2">
        <v>-4842</v>
      </c>
    </row>
    <row r="894" spans="1:39">
      <c r="A894" s="349">
        <v>99631</v>
      </c>
      <c r="B894" s="342" t="s">
        <v>1588</v>
      </c>
      <c r="C894" s="358">
        <v>7.6899999999999999E-5</v>
      </c>
      <c r="E894" s="2">
        <v>11590</v>
      </c>
      <c r="F894" s="2">
        <v>20080</v>
      </c>
      <c r="G894" s="2">
        <v>5919</v>
      </c>
      <c r="H894" s="2">
        <v>11444</v>
      </c>
      <c r="I894" s="2">
        <v>0</v>
      </c>
      <c r="J894" s="2"/>
      <c r="K894" s="2">
        <v>14258</v>
      </c>
      <c r="L894" s="2">
        <v>13134</v>
      </c>
      <c r="M894" s="2">
        <v>7310</v>
      </c>
      <c r="N894" s="2">
        <v>0</v>
      </c>
      <c r="O894" s="2">
        <v>0</v>
      </c>
      <c r="P894" s="2"/>
      <c r="Q894" s="2">
        <v>924</v>
      </c>
      <c r="R894" s="2">
        <v>12927</v>
      </c>
      <c r="S894" s="2">
        <v>13374</v>
      </c>
      <c r="T894" s="2">
        <v>11444</v>
      </c>
      <c r="U894" s="2">
        <v>0</v>
      </c>
      <c r="V894" s="2"/>
      <c r="W894" s="2">
        <v>11287</v>
      </c>
      <c r="X894" s="2">
        <v>9163</v>
      </c>
      <c r="Y894" s="2">
        <v>0</v>
      </c>
      <c r="Z894" s="2">
        <v>0</v>
      </c>
      <c r="AA894" s="2">
        <v>0</v>
      </c>
      <c r="AB894" s="2"/>
      <c r="AC894" s="2">
        <v>267</v>
      </c>
      <c r="AD894" s="2">
        <v>0</v>
      </c>
      <c r="AE894" s="2">
        <v>0</v>
      </c>
      <c r="AF894" s="2">
        <v>0</v>
      </c>
      <c r="AG894" s="2">
        <v>0</v>
      </c>
      <c r="AH894" s="2"/>
      <c r="AI894" s="2">
        <v>-15146</v>
      </c>
      <c r="AJ894" s="2">
        <v>-15144</v>
      </c>
      <c r="AK894" s="2">
        <v>-14765</v>
      </c>
      <c r="AL894" s="2">
        <v>0</v>
      </c>
      <c r="AM894" s="2">
        <v>-15144</v>
      </c>
    </row>
    <row r="895" spans="1:39">
      <c r="A895" s="349">
        <v>99651</v>
      </c>
      <c r="B895" s="342" t="s">
        <v>1589</v>
      </c>
      <c r="C895" s="358">
        <v>6.5199999999999999E-5</v>
      </c>
      <c r="E895" s="2">
        <v>21639</v>
      </c>
      <c r="F895" s="2">
        <v>29166</v>
      </c>
      <c r="G895" s="2">
        <v>18393</v>
      </c>
      <c r="H895" s="2">
        <v>9703</v>
      </c>
      <c r="I895" s="2">
        <v>0</v>
      </c>
      <c r="J895" s="2"/>
      <c r="K895" s="2">
        <v>12089</v>
      </c>
      <c r="L895" s="2">
        <v>11136</v>
      </c>
      <c r="M895" s="2">
        <v>6198</v>
      </c>
      <c r="N895" s="2">
        <v>0</v>
      </c>
      <c r="O895" s="2">
        <v>0</v>
      </c>
      <c r="P895" s="2"/>
      <c r="Q895" s="2">
        <v>784</v>
      </c>
      <c r="R895" s="2">
        <v>10960</v>
      </c>
      <c r="S895" s="2">
        <v>11339</v>
      </c>
      <c r="T895" s="2">
        <v>9703</v>
      </c>
      <c r="U895" s="2">
        <v>0</v>
      </c>
      <c r="V895" s="2"/>
      <c r="W895" s="2">
        <v>9570</v>
      </c>
      <c r="X895" s="2">
        <v>7769</v>
      </c>
      <c r="Y895" s="2">
        <v>0</v>
      </c>
      <c r="Z895" s="2">
        <v>0</v>
      </c>
      <c r="AA895" s="2">
        <v>0</v>
      </c>
      <c r="AB895" s="2"/>
      <c r="AC895" s="2">
        <v>1912</v>
      </c>
      <c r="AD895" s="2">
        <v>1912</v>
      </c>
      <c r="AE895" s="2">
        <v>1911</v>
      </c>
      <c r="AF895" s="2">
        <v>0</v>
      </c>
      <c r="AG895" s="2">
        <v>0</v>
      </c>
      <c r="AH895" s="2"/>
      <c r="AI895" s="2">
        <v>-2716</v>
      </c>
      <c r="AJ895" s="2">
        <v>-2611</v>
      </c>
      <c r="AK895" s="2">
        <v>-1055</v>
      </c>
      <c r="AL895" s="2">
        <v>0</v>
      </c>
      <c r="AM895" s="2">
        <v>-2611</v>
      </c>
    </row>
    <row r="896" spans="1:39">
      <c r="A896" s="349">
        <v>99661</v>
      </c>
      <c r="B896" s="342" t="s">
        <v>1590</v>
      </c>
      <c r="C896" s="358">
        <v>3.4400000000000003E-5</v>
      </c>
      <c r="E896" s="2">
        <v>30030</v>
      </c>
      <c r="F896" s="2">
        <v>30523</v>
      </c>
      <c r="G896" s="2">
        <v>19115</v>
      </c>
      <c r="H896" s="2">
        <v>5119</v>
      </c>
      <c r="I896" s="2">
        <v>0</v>
      </c>
      <c r="J896" s="2"/>
      <c r="K896" s="2">
        <v>6378</v>
      </c>
      <c r="L896" s="2">
        <v>5875</v>
      </c>
      <c r="M896" s="2">
        <v>3270</v>
      </c>
      <c r="N896" s="2">
        <v>0</v>
      </c>
      <c r="O896" s="2">
        <v>0</v>
      </c>
      <c r="P896" s="2"/>
      <c r="Q896" s="2">
        <v>413</v>
      </c>
      <c r="R896" s="2">
        <v>5783</v>
      </c>
      <c r="S896" s="2">
        <v>5983</v>
      </c>
      <c r="T896" s="2">
        <v>5119</v>
      </c>
      <c r="U896" s="2">
        <v>0</v>
      </c>
      <c r="V896" s="2"/>
      <c r="W896" s="2">
        <v>5049</v>
      </c>
      <c r="X896" s="2">
        <v>4099</v>
      </c>
      <c r="Y896" s="2">
        <v>0</v>
      </c>
      <c r="Z896" s="2">
        <v>0</v>
      </c>
      <c r="AA896" s="2">
        <v>0</v>
      </c>
      <c r="AB896" s="2"/>
      <c r="AC896" s="2">
        <v>18190</v>
      </c>
      <c r="AD896" s="2">
        <v>14766</v>
      </c>
      <c r="AE896" s="2">
        <v>9862</v>
      </c>
      <c r="AF896" s="2">
        <v>0</v>
      </c>
      <c r="AG896" s="2">
        <v>0</v>
      </c>
      <c r="AH896" s="2"/>
      <c r="AI896" s="2">
        <v>0</v>
      </c>
      <c r="AJ896" s="2">
        <v>0</v>
      </c>
      <c r="AK896" s="2">
        <v>0</v>
      </c>
      <c r="AL896" s="2">
        <v>0</v>
      </c>
      <c r="AM896" s="2">
        <v>0</v>
      </c>
    </row>
    <row r="897" spans="1:39">
      <c r="A897" s="349">
        <v>99701</v>
      </c>
      <c r="B897" s="342" t="s">
        <v>1591</v>
      </c>
      <c r="C897" s="358">
        <v>3.0582000000000001E-3</v>
      </c>
      <c r="E897" s="2">
        <v>1060868</v>
      </c>
      <c r="F897" s="2">
        <v>1411015</v>
      </c>
      <c r="G897" s="2">
        <v>836417</v>
      </c>
      <c r="H897" s="2">
        <v>455127</v>
      </c>
      <c r="I897" s="2">
        <v>0</v>
      </c>
      <c r="J897" s="2"/>
      <c r="K897" s="2">
        <v>567018</v>
      </c>
      <c r="L897" s="2">
        <v>522322</v>
      </c>
      <c r="M897" s="2">
        <v>290706</v>
      </c>
      <c r="N897" s="2">
        <v>0</v>
      </c>
      <c r="O897" s="2">
        <v>0</v>
      </c>
      <c r="P897" s="2"/>
      <c r="Q897" s="2">
        <v>36757</v>
      </c>
      <c r="R897" s="2">
        <v>514099</v>
      </c>
      <c r="S897" s="2">
        <v>531876</v>
      </c>
      <c r="T897" s="2">
        <v>455127</v>
      </c>
      <c r="U897" s="2">
        <v>0</v>
      </c>
      <c r="V897" s="2"/>
      <c r="W897" s="2">
        <v>448870</v>
      </c>
      <c r="X897" s="2">
        <v>364406</v>
      </c>
      <c r="Y897" s="2">
        <v>0</v>
      </c>
      <c r="Z897" s="2">
        <v>0</v>
      </c>
      <c r="AA897" s="2">
        <v>0</v>
      </c>
      <c r="AB897" s="2"/>
      <c r="AC897" s="2">
        <v>17246</v>
      </c>
      <c r="AD897" s="2">
        <v>17246</v>
      </c>
      <c r="AE897" s="2">
        <v>17246</v>
      </c>
      <c r="AF897" s="2">
        <v>0</v>
      </c>
      <c r="AG897" s="2">
        <v>0</v>
      </c>
      <c r="AH897" s="2"/>
      <c r="AI897" s="2">
        <v>-9023</v>
      </c>
      <c r="AJ897" s="2">
        <v>-7058</v>
      </c>
      <c r="AK897" s="2">
        <v>-3411</v>
      </c>
      <c r="AL897" s="2">
        <v>0</v>
      </c>
      <c r="AM897" s="2">
        <v>-7058</v>
      </c>
    </row>
    <row r="898" spans="1:39">
      <c r="A898" s="349">
        <v>99705</v>
      </c>
      <c r="B898" s="342" t="s">
        <v>1592</v>
      </c>
      <c r="C898" s="358">
        <v>1.6310000000000001E-4</v>
      </c>
      <c r="E898" s="2">
        <v>70992</v>
      </c>
      <c r="F898" s="2">
        <v>88344</v>
      </c>
      <c r="G898" s="2">
        <v>56426</v>
      </c>
      <c r="H898" s="2">
        <v>24273</v>
      </c>
      <c r="I898" s="2">
        <v>0</v>
      </c>
      <c r="J898" s="2"/>
      <c r="K898" s="2">
        <v>30240</v>
      </c>
      <c r="L898" s="2">
        <v>27857</v>
      </c>
      <c r="M898" s="2">
        <v>15504</v>
      </c>
      <c r="N898" s="2">
        <v>0</v>
      </c>
      <c r="O898" s="2">
        <v>0</v>
      </c>
      <c r="P898" s="2"/>
      <c r="Q898" s="2">
        <v>1960</v>
      </c>
      <c r="R898" s="2">
        <v>27418</v>
      </c>
      <c r="S898" s="2">
        <v>28366</v>
      </c>
      <c r="T898" s="2">
        <v>24273</v>
      </c>
      <c r="U898" s="2">
        <v>0</v>
      </c>
      <c r="V898" s="2"/>
      <c r="W898" s="2">
        <v>23939</v>
      </c>
      <c r="X898" s="2">
        <v>19435</v>
      </c>
      <c r="Y898" s="2">
        <v>0</v>
      </c>
      <c r="Z898" s="2">
        <v>0</v>
      </c>
      <c r="AA898" s="2">
        <v>0</v>
      </c>
      <c r="AB898" s="2"/>
      <c r="AC898" s="2">
        <v>14853</v>
      </c>
      <c r="AD898" s="2">
        <v>13634</v>
      </c>
      <c r="AE898" s="2">
        <v>12556</v>
      </c>
      <c r="AF898" s="2">
        <v>0</v>
      </c>
      <c r="AG898" s="2">
        <v>0</v>
      </c>
      <c r="AH898" s="2"/>
      <c r="AI898" s="2">
        <v>0</v>
      </c>
      <c r="AJ898" s="2">
        <v>0</v>
      </c>
      <c r="AK898" s="2">
        <v>0</v>
      </c>
      <c r="AL898" s="2">
        <v>0</v>
      </c>
      <c r="AM898" s="2">
        <v>0</v>
      </c>
    </row>
    <row r="899" spans="1:39">
      <c r="A899" s="349">
        <v>99711</v>
      </c>
      <c r="B899" s="342" t="s">
        <v>3707</v>
      </c>
      <c r="C899" s="358">
        <v>4.2759999999999999E-4</v>
      </c>
      <c r="E899" s="2">
        <v>151733</v>
      </c>
      <c r="F899" s="2">
        <v>197042</v>
      </c>
      <c r="G899" s="2">
        <v>116223</v>
      </c>
      <c r="H899" s="2">
        <v>63636</v>
      </c>
      <c r="I899" s="2">
        <v>0</v>
      </c>
      <c r="J899" s="2"/>
      <c r="K899" s="2">
        <v>79281</v>
      </c>
      <c r="L899" s="2">
        <v>73032</v>
      </c>
      <c r="M899" s="2">
        <v>40647</v>
      </c>
      <c r="N899" s="2">
        <v>0</v>
      </c>
      <c r="O899" s="2">
        <v>0</v>
      </c>
      <c r="P899" s="2"/>
      <c r="Q899" s="2">
        <v>5139</v>
      </c>
      <c r="R899" s="2">
        <v>71882</v>
      </c>
      <c r="S899" s="2">
        <v>74367</v>
      </c>
      <c r="T899" s="2">
        <v>63636</v>
      </c>
      <c r="U899" s="2">
        <v>0</v>
      </c>
      <c r="V899" s="2"/>
      <c r="W899" s="2">
        <v>62761</v>
      </c>
      <c r="X899" s="2">
        <v>50952</v>
      </c>
      <c r="Y899" s="2">
        <v>0</v>
      </c>
      <c r="Z899" s="2">
        <v>0</v>
      </c>
      <c r="AA899" s="2">
        <v>0</v>
      </c>
      <c r="AB899" s="2"/>
      <c r="AC899" s="2">
        <v>6697</v>
      </c>
      <c r="AD899" s="2">
        <v>3319</v>
      </c>
      <c r="AE899" s="2">
        <v>3319</v>
      </c>
      <c r="AF899" s="2">
        <v>0</v>
      </c>
      <c r="AG899" s="2">
        <v>0</v>
      </c>
      <c r="AH899" s="2"/>
      <c r="AI899" s="2">
        <v>-2145</v>
      </c>
      <c r="AJ899" s="2">
        <v>-2143</v>
      </c>
      <c r="AK899" s="2">
        <v>-2110</v>
      </c>
      <c r="AL899" s="2">
        <v>0</v>
      </c>
      <c r="AM899" s="2">
        <v>-2143</v>
      </c>
    </row>
    <row r="900" spans="1:39">
      <c r="A900" s="349">
        <v>99717</v>
      </c>
      <c r="B900" s="342" t="s">
        <v>3708</v>
      </c>
      <c r="C900" s="358">
        <v>1.6099999999999998E-5</v>
      </c>
      <c r="E900" s="2">
        <v>428</v>
      </c>
      <c r="F900" s="2">
        <v>2878</v>
      </c>
      <c r="G900" s="2">
        <v>186</v>
      </c>
      <c r="H900" s="2">
        <v>2396</v>
      </c>
      <c r="I900" s="2">
        <v>0</v>
      </c>
      <c r="J900" s="2"/>
      <c r="K900" s="2">
        <v>2985</v>
      </c>
      <c r="L900" s="2">
        <v>2750</v>
      </c>
      <c r="M900" s="2">
        <v>1530</v>
      </c>
      <c r="N900" s="2">
        <v>0</v>
      </c>
      <c r="O900" s="2">
        <v>0</v>
      </c>
      <c r="P900" s="2"/>
      <c r="Q900" s="2">
        <v>194</v>
      </c>
      <c r="R900" s="2">
        <v>2706</v>
      </c>
      <c r="S900" s="2">
        <v>2800</v>
      </c>
      <c r="T900" s="2">
        <v>2396</v>
      </c>
      <c r="U900" s="2">
        <v>0</v>
      </c>
      <c r="V900" s="2"/>
      <c r="W900" s="2">
        <v>2363</v>
      </c>
      <c r="X900" s="2">
        <v>1918</v>
      </c>
      <c r="Y900" s="2">
        <v>0</v>
      </c>
      <c r="Z900" s="2">
        <v>0</v>
      </c>
      <c r="AA900" s="2">
        <v>0</v>
      </c>
      <c r="AB900" s="2"/>
      <c r="AC900" s="2">
        <v>215</v>
      </c>
      <c r="AD900" s="2">
        <v>215</v>
      </c>
      <c r="AE900" s="2">
        <v>213</v>
      </c>
      <c r="AF900" s="2">
        <v>0</v>
      </c>
      <c r="AG900" s="2">
        <v>0</v>
      </c>
      <c r="AH900" s="2"/>
      <c r="AI900" s="2">
        <v>-5329</v>
      </c>
      <c r="AJ900" s="2">
        <v>-4711</v>
      </c>
      <c r="AK900" s="2">
        <v>-4357</v>
      </c>
      <c r="AL900" s="2">
        <v>0</v>
      </c>
      <c r="AM900" s="2">
        <v>-4711</v>
      </c>
    </row>
    <row r="901" spans="1:39">
      <c r="A901" s="349">
        <v>99721</v>
      </c>
      <c r="B901" s="342" t="s">
        <v>1595</v>
      </c>
      <c r="C901" s="358">
        <v>5.8069999999999997E-4</v>
      </c>
      <c r="E901" s="2">
        <v>173948</v>
      </c>
      <c r="F901" s="2">
        <v>250396</v>
      </c>
      <c r="G901" s="2">
        <v>142078</v>
      </c>
      <c r="H901" s="2">
        <v>86421</v>
      </c>
      <c r="I901" s="2">
        <v>0</v>
      </c>
      <c r="J901" s="2"/>
      <c r="K901" s="2">
        <v>107667</v>
      </c>
      <c r="L901" s="2">
        <v>99180</v>
      </c>
      <c r="M901" s="2">
        <v>55200</v>
      </c>
      <c r="N901" s="2">
        <v>0</v>
      </c>
      <c r="O901" s="2">
        <v>0</v>
      </c>
      <c r="P901" s="2"/>
      <c r="Q901" s="2">
        <v>6979</v>
      </c>
      <c r="R901" s="2">
        <v>97619</v>
      </c>
      <c r="S901" s="2">
        <v>100994</v>
      </c>
      <c r="T901" s="2">
        <v>86421</v>
      </c>
      <c r="U901" s="2">
        <v>0</v>
      </c>
      <c r="V901" s="2"/>
      <c r="W901" s="2">
        <v>85233</v>
      </c>
      <c r="X901" s="2">
        <v>69194</v>
      </c>
      <c r="Y901" s="2">
        <v>0</v>
      </c>
      <c r="Z901" s="2">
        <v>0</v>
      </c>
      <c r="AA901" s="2">
        <v>0</v>
      </c>
      <c r="AB901" s="2"/>
      <c r="AC901" s="2">
        <v>579</v>
      </c>
      <c r="AD901" s="2">
        <v>579</v>
      </c>
      <c r="AE901" s="2">
        <v>580</v>
      </c>
      <c r="AF901" s="2">
        <v>0</v>
      </c>
      <c r="AG901" s="2">
        <v>0</v>
      </c>
      <c r="AH901" s="2"/>
      <c r="AI901" s="2">
        <v>-26510</v>
      </c>
      <c r="AJ901" s="2">
        <v>-16176</v>
      </c>
      <c r="AK901" s="2">
        <v>-14696</v>
      </c>
      <c r="AL901" s="2">
        <v>0</v>
      </c>
      <c r="AM901" s="2">
        <v>-16176</v>
      </c>
    </row>
    <row r="902" spans="1:39">
      <c r="A902" s="349">
        <v>99727</v>
      </c>
      <c r="B902" s="342" t="s">
        <v>1596</v>
      </c>
      <c r="C902" s="358">
        <v>1.6200000000000001E-5</v>
      </c>
      <c r="E902" s="2">
        <v>27030</v>
      </c>
      <c r="F902" s="2">
        <v>22038</v>
      </c>
      <c r="G902" s="2">
        <v>11602</v>
      </c>
      <c r="H902" s="2">
        <v>2411</v>
      </c>
      <c r="I902" s="2">
        <v>0</v>
      </c>
      <c r="J902" s="2"/>
      <c r="K902" s="2">
        <v>3004</v>
      </c>
      <c r="L902" s="2">
        <v>2767</v>
      </c>
      <c r="M902" s="2">
        <v>1540</v>
      </c>
      <c r="N902" s="2">
        <v>0</v>
      </c>
      <c r="O902" s="2">
        <v>0</v>
      </c>
      <c r="P902" s="2"/>
      <c r="Q902" s="2">
        <v>195</v>
      </c>
      <c r="R902" s="2">
        <v>2723</v>
      </c>
      <c r="S902" s="2">
        <v>2817</v>
      </c>
      <c r="T902" s="2">
        <v>2411</v>
      </c>
      <c r="U902" s="2">
        <v>0</v>
      </c>
      <c r="V902" s="2"/>
      <c r="W902" s="2">
        <v>2378</v>
      </c>
      <c r="X902" s="2">
        <v>1930</v>
      </c>
      <c r="Y902" s="2">
        <v>0</v>
      </c>
      <c r="Z902" s="2">
        <v>0</v>
      </c>
      <c r="AA902" s="2">
        <v>0</v>
      </c>
      <c r="AB902" s="2"/>
      <c r="AC902" s="2">
        <v>21453</v>
      </c>
      <c r="AD902" s="2">
        <v>14618</v>
      </c>
      <c r="AE902" s="2">
        <v>7245</v>
      </c>
      <c r="AF902" s="2">
        <v>0</v>
      </c>
      <c r="AG902" s="2">
        <v>0</v>
      </c>
      <c r="AH902" s="2"/>
      <c r="AI902" s="2">
        <v>0</v>
      </c>
      <c r="AJ902" s="2">
        <v>0</v>
      </c>
      <c r="AK902" s="2">
        <v>0</v>
      </c>
      <c r="AL902" s="2">
        <v>0</v>
      </c>
      <c r="AM902" s="2">
        <v>0</v>
      </c>
    </row>
    <row r="903" spans="1:39">
      <c r="A903" s="349">
        <v>99801</v>
      </c>
      <c r="B903" s="342" t="s">
        <v>1597</v>
      </c>
      <c r="C903" s="358">
        <v>4.6778000000000002E-3</v>
      </c>
      <c r="E903" s="2">
        <v>1398130</v>
      </c>
      <c r="F903" s="2">
        <v>1956526</v>
      </c>
      <c r="G903" s="2">
        <v>1132092</v>
      </c>
      <c r="H903" s="2">
        <v>696160</v>
      </c>
      <c r="I903" s="2">
        <v>0</v>
      </c>
      <c r="J903" s="2"/>
      <c r="K903" s="2">
        <v>867306</v>
      </c>
      <c r="L903" s="2">
        <v>798940</v>
      </c>
      <c r="M903" s="2">
        <v>444662</v>
      </c>
      <c r="N903" s="2">
        <v>0</v>
      </c>
      <c r="O903" s="2">
        <v>0</v>
      </c>
      <c r="P903" s="2"/>
      <c r="Q903" s="2">
        <v>56222</v>
      </c>
      <c r="R903" s="2">
        <v>786362</v>
      </c>
      <c r="S903" s="2">
        <v>813554</v>
      </c>
      <c r="T903" s="2">
        <v>696160</v>
      </c>
      <c r="U903" s="2">
        <v>0</v>
      </c>
      <c r="V903" s="2"/>
      <c r="W903" s="2">
        <v>686589</v>
      </c>
      <c r="X903" s="2">
        <v>557393</v>
      </c>
      <c r="Y903" s="2">
        <v>0</v>
      </c>
      <c r="Z903" s="2">
        <v>0</v>
      </c>
      <c r="AA903" s="2">
        <v>0</v>
      </c>
      <c r="AB903" s="2"/>
      <c r="AC903" s="2">
        <v>0</v>
      </c>
      <c r="AD903" s="2">
        <v>0</v>
      </c>
      <c r="AE903" s="2">
        <v>0</v>
      </c>
      <c r="AF903" s="2">
        <v>0</v>
      </c>
      <c r="AG903" s="2">
        <v>0</v>
      </c>
      <c r="AH903" s="2"/>
      <c r="AI903" s="2">
        <v>-211987</v>
      </c>
      <c r="AJ903" s="2">
        <v>-186169</v>
      </c>
      <c r="AK903" s="2">
        <v>-126124</v>
      </c>
      <c r="AL903" s="2">
        <v>0</v>
      </c>
      <c r="AM903" s="2">
        <v>-186169</v>
      </c>
    </row>
    <row r="904" spans="1:39">
      <c r="A904" s="349">
        <v>99802</v>
      </c>
      <c r="B904" s="342" t="s">
        <v>2767</v>
      </c>
      <c r="C904" s="358">
        <v>1.13E-5</v>
      </c>
      <c r="E904" s="2">
        <v>6131</v>
      </c>
      <c r="F904" s="2">
        <v>7135</v>
      </c>
      <c r="G904" s="2">
        <v>3758</v>
      </c>
      <c r="H904" s="2">
        <v>1682</v>
      </c>
      <c r="I904" s="2">
        <v>0</v>
      </c>
      <c r="J904" s="2"/>
      <c r="K904" s="2">
        <v>2095</v>
      </c>
      <c r="L904" s="2">
        <v>1930</v>
      </c>
      <c r="M904" s="2">
        <v>1074</v>
      </c>
      <c r="N904" s="2">
        <v>0</v>
      </c>
      <c r="O904" s="2">
        <v>0</v>
      </c>
      <c r="P904" s="2"/>
      <c r="Q904" s="2">
        <v>136</v>
      </c>
      <c r="R904" s="2">
        <v>1900</v>
      </c>
      <c r="S904" s="2">
        <v>1965</v>
      </c>
      <c r="T904" s="2">
        <v>1682</v>
      </c>
      <c r="U904" s="2">
        <v>0</v>
      </c>
      <c r="V904" s="2"/>
      <c r="W904" s="2">
        <v>1659</v>
      </c>
      <c r="X904" s="2">
        <v>1346</v>
      </c>
      <c r="Y904" s="2">
        <v>0</v>
      </c>
      <c r="Z904" s="2">
        <v>0</v>
      </c>
      <c r="AA904" s="2">
        <v>0</v>
      </c>
      <c r="AB904" s="2"/>
      <c r="AC904" s="2">
        <v>2241</v>
      </c>
      <c r="AD904" s="2">
        <v>1959</v>
      </c>
      <c r="AE904" s="2">
        <v>719</v>
      </c>
      <c r="AF904" s="2">
        <v>0</v>
      </c>
      <c r="AG904" s="2">
        <v>0</v>
      </c>
      <c r="AH904" s="2"/>
      <c r="AI904" s="2">
        <v>0</v>
      </c>
      <c r="AJ904" s="2">
        <v>0</v>
      </c>
      <c r="AK904" s="2">
        <v>0</v>
      </c>
      <c r="AL904" s="2">
        <v>0</v>
      </c>
      <c r="AM904" s="2">
        <v>0</v>
      </c>
    </row>
    <row r="905" spans="1:39">
      <c r="A905" s="349">
        <v>99804</v>
      </c>
      <c r="B905" s="342" t="s">
        <v>1599</v>
      </c>
      <c r="C905" s="358">
        <v>7.3200000000000004E-5</v>
      </c>
      <c r="E905" s="2">
        <v>31886</v>
      </c>
      <c r="F905" s="2">
        <v>38524</v>
      </c>
      <c r="G905" s="2">
        <v>24719</v>
      </c>
      <c r="H905" s="2">
        <v>10894</v>
      </c>
      <c r="I905" s="2">
        <v>0</v>
      </c>
      <c r="J905" s="2"/>
      <c r="K905" s="2">
        <v>13572</v>
      </c>
      <c r="L905" s="2">
        <v>12502</v>
      </c>
      <c r="M905" s="2">
        <v>6958</v>
      </c>
      <c r="N905" s="2">
        <v>0</v>
      </c>
      <c r="O905" s="2">
        <v>0</v>
      </c>
      <c r="P905" s="2"/>
      <c r="Q905" s="2">
        <v>880</v>
      </c>
      <c r="R905" s="2">
        <v>12305</v>
      </c>
      <c r="S905" s="2">
        <v>12731</v>
      </c>
      <c r="T905" s="2">
        <v>10894</v>
      </c>
      <c r="U905" s="2">
        <v>0</v>
      </c>
      <c r="V905" s="2"/>
      <c r="W905" s="2">
        <v>10744</v>
      </c>
      <c r="X905" s="2">
        <v>8722</v>
      </c>
      <c r="Y905" s="2">
        <v>0</v>
      </c>
      <c r="Z905" s="2">
        <v>0</v>
      </c>
      <c r="AA905" s="2">
        <v>0</v>
      </c>
      <c r="AB905" s="2"/>
      <c r="AC905" s="2">
        <v>6722</v>
      </c>
      <c r="AD905" s="2">
        <v>5028</v>
      </c>
      <c r="AE905" s="2">
        <v>5030</v>
      </c>
      <c r="AF905" s="2">
        <v>0</v>
      </c>
      <c r="AG905" s="2">
        <v>0</v>
      </c>
      <c r="AH905" s="2"/>
      <c r="AI905" s="2">
        <v>-32</v>
      </c>
      <c r="AJ905" s="2">
        <v>-33</v>
      </c>
      <c r="AK905" s="2">
        <v>0</v>
      </c>
      <c r="AL905" s="2">
        <v>0</v>
      </c>
      <c r="AM905" s="2">
        <v>-33</v>
      </c>
    </row>
    <row r="906" spans="1:39">
      <c r="A906" s="349">
        <v>99811</v>
      </c>
      <c r="B906" s="342" t="s">
        <v>1600</v>
      </c>
      <c r="C906" s="358">
        <v>6.3816000000000003E-3</v>
      </c>
      <c r="E906" s="2">
        <v>1979652</v>
      </c>
      <c r="F906" s="2">
        <v>2768026</v>
      </c>
      <c r="G906" s="2">
        <v>1622214</v>
      </c>
      <c r="H906" s="2">
        <v>949722</v>
      </c>
      <c r="I906" s="2">
        <v>0</v>
      </c>
      <c r="J906" s="2"/>
      <c r="K906" s="2">
        <v>1183206</v>
      </c>
      <c r="L906" s="2">
        <v>1089939</v>
      </c>
      <c r="M906" s="2">
        <v>606622</v>
      </c>
      <c r="N906" s="2">
        <v>0</v>
      </c>
      <c r="O906" s="2">
        <v>0</v>
      </c>
      <c r="P906" s="2"/>
      <c r="Q906" s="2">
        <v>76700</v>
      </c>
      <c r="R906" s="2">
        <v>1072779</v>
      </c>
      <c r="S906" s="2">
        <v>1109875</v>
      </c>
      <c r="T906" s="2">
        <v>949722</v>
      </c>
      <c r="U906" s="2">
        <v>0</v>
      </c>
      <c r="V906" s="2"/>
      <c r="W906" s="2">
        <v>936666</v>
      </c>
      <c r="X906" s="2">
        <v>760412</v>
      </c>
      <c r="Y906" s="2">
        <v>0</v>
      </c>
      <c r="Z906" s="2">
        <v>0</v>
      </c>
      <c r="AA906" s="2">
        <v>0</v>
      </c>
      <c r="AB906" s="2"/>
      <c r="AC906" s="2">
        <v>0</v>
      </c>
      <c r="AD906" s="2">
        <v>0</v>
      </c>
      <c r="AE906" s="2">
        <v>0</v>
      </c>
      <c r="AF906" s="2">
        <v>0</v>
      </c>
      <c r="AG906" s="2">
        <v>0</v>
      </c>
      <c r="AH906" s="2"/>
      <c r="AI906" s="2">
        <v>-216920</v>
      </c>
      <c r="AJ906" s="2">
        <v>-155104</v>
      </c>
      <c r="AK906" s="2">
        <v>-94283</v>
      </c>
      <c r="AL906" s="2">
        <v>0</v>
      </c>
      <c r="AM906" s="2">
        <v>-155104</v>
      </c>
    </row>
    <row r="907" spans="1:39">
      <c r="A907" s="349">
        <v>99812</v>
      </c>
      <c r="B907" s="342" t="s">
        <v>3709</v>
      </c>
      <c r="C907" s="358">
        <v>1.6900000000000001E-5</v>
      </c>
      <c r="E907" s="2">
        <v>14739</v>
      </c>
      <c r="F907" s="2">
        <v>15266</v>
      </c>
      <c r="G907" s="2">
        <v>10141</v>
      </c>
      <c r="H907" s="2">
        <v>2515</v>
      </c>
      <c r="I907" s="2">
        <v>0</v>
      </c>
      <c r="J907" s="2"/>
      <c r="K907" s="2">
        <v>3133</v>
      </c>
      <c r="L907" s="2">
        <v>2886</v>
      </c>
      <c r="M907" s="2">
        <v>1606</v>
      </c>
      <c r="N907" s="2">
        <v>0</v>
      </c>
      <c r="O907" s="2">
        <v>0</v>
      </c>
      <c r="P907" s="2"/>
      <c r="Q907" s="2">
        <v>203</v>
      </c>
      <c r="R907" s="2">
        <v>2841</v>
      </c>
      <c r="S907" s="2">
        <v>2939</v>
      </c>
      <c r="T907" s="2">
        <v>2515</v>
      </c>
      <c r="U907" s="2">
        <v>0</v>
      </c>
      <c r="V907" s="2"/>
      <c r="W907" s="2">
        <v>2481</v>
      </c>
      <c r="X907" s="2">
        <v>2014</v>
      </c>
      <c r="Y907" s="2">
        <v>0</v>
      </c>
      <c r="Z907" s="2">
        <v>0</v>
      </c>
      <c r="AA907" s="2">
        <v>0</v>
      </c>
      <c r="AB907" s="2"/>
      <c r="AC907" s="2">
        <v>8922</v>
      </c>
      <c r="AD907" s="2">
        <v>7525</v>
      </c>
      <c r="AE907" s="2">
        <v>5596</v>
      </c>
      <c r="AF907" s="2">
        <v>0</v>
      </c>
      <c r="AG907" s="2">
        <v>0</v>
      </c>
      <c r="AH907" s="2"/>
      <c r="AI907" s="2">
        <v>0</v>
      </c>
      <c r="AJ907" s="2">
        <v>0</v>
      </c>
      <c r="AK907" s="2">
        <v>0</v>
      </c>
      <c r="AL907" s="2">
        <v>0</v>
      </c>
      <c r="AM907" s="2">
        <v>0</v>
      </c>
    </row>
    <row r="908" spans="1:39">
      <c r="A908" s="349">
        <v>99818</v>
      </c>
      <c r="B908" s="342" t="s">
        <v>1602</v>
      </c>
      <c r="C908" s="358">
        <v>4.7500000000000003E-5</v>
      </c>
      <c r="E908" s="2">
        <v>17700</v>
      </c>
      <c r="F908" s="2">
        <v>24156</v>
      </c>
      <c r="G908" s="2">
        <v>15431</v>
      </c>
      <c r="H908" s="2">
        <v>7069</v>
      </c>
      <c r="I908" s="2">
        <v>0</v>
      </c>
      <c r="J908" s="2"/>
      <c r="K908" s="2">
        <v>8807</v>
      </c>
      <c r="L908" s="2">
        <v>8113</v>
      </c>
      <c r="M908" s="2">
        <v>4515</v>
      </c>
      <c r="N908" s="2">
        <v>0</v>
      </c>
      <c r="O908" s="2">
        <v>0</v>
      </c>
      <c r="P908" s="2"/>
      <c r="Q908" s="2">
        <v>571</v>
      </c>
      <c r="R908" s="2">
        <v>7985</v>
      </c>
      <c r="S908" s="2">
        <v>8261</v>
      </c>
      <c r="T908" s="2">
        <v>7069</v>
      </c>
      <c r="U908" s="2">
        <v>0</v>
      </c>
      <c r="V908" s="2"/>
      <c r="W908" s="2">
        <v>6972</v>
      </c>
      <c r="X908" s="2">
        <v>5660</v>
      </c>
      <c r="Y908" s="2">
        <v>0</v>
      </c>
      <c r="Z908" s="2">
        <v>0</v>
      </c>
      <c r="AA908" s="2">
        <v>0</v>
      </c>
      <c r="AB908" s="2"/>
      <c r="AC908" s="2">
        <v>2917</v>
      </c>
      <c r="AD908" s="2">
        <v>2917</v>
      </c>
      <c r="AE908" s="2">
        <v>2915</v>
      </c>
      <c r="AF908" s="2">
        <v>0</v>
      </c>
      <c r="AG908" s="2">
        <v>0</v>
      </c>
      <c r="AH908" s="2"/>
      <c r="AI908" s="2">
        <v>-1567</v>
      </c>
      <c r="AJ908" s="2">
        <v>-519</v>
      </c>
      <c r="AK908" s="2">
        <v>-260</v>
      </c>
      <c r="AL908" s="2">
        <v>0</v>
      </c>
      <c r="AM908" s="2">
        <v>-519</v>
      </c>
    </row>
    <row r="909" spans="1:39">
      <c r="A909" s="349">
        <v>99821</v>
      </c>
      <c r="B909" s="342" t="s">
        <v>1603</v>
      </c>
      <c r="C909" s="358">
        <v>8.81E-5</v>
      </c>
      <c r="E909" s="2">
        <v>33935</v>
      </c>
      <c r="F909" s="2">
        <v>41193</v>
      </c>
      <c r="G909" s="2">
        <v>23204</v>
      </c>
      <c r="H909" s="2">
        <v>13111</v>
      </c>
      <c r="I909" s="2">
        <v>0</v>
      </c>
      <c r="J909" s="2"/>
      <c r="K909" s="2">
        <v>16335</v>
      </c>
      <c r="L909" s="2">
        <v>15047</v>
      </c>
      <c r="M909" s="2">
        <v>8375</v>
      </c>
      <c r="N909" s="2">
        <v>0</v>
      </c>
      <c r="O909" s="2">
        <v>0</v>
      </c>
      <c r="P909" s="2"/>
      <c r="Q909" s="2">
        <v>1059</v>
      </c>
      <c r="R909" s="2">
        <v>14810</v>
      </c>
      <c r="S909" s="2">
        <v>15322</v>
      </c>
      <c r="T909" s="2">
        <v>13111</v>
      </c>
      <c r="U909" s="2">
        <v>0</v>
      </c>
      <c r="V909" s="2"/>
      <c r="W909" s="2">
        <v>12931</v>
      </c>
      <c r="X909" s="2">
        <v>10498</v>
      </c>
      <c r="Y909" s="2">
        <v>0</v>
      </c>
      <c r="Z909" s="2">
        <v>0</v>
      </c>
      <c r="AA909" s="2">
        <v>0</v>
      </c>
      <c r="AB909" s="2"/>
      <c r="AC909" s="2">
        <v>5730</v>
      </c>
      <c r="AD909" s="2">
        <v>2958</v>
      </c>
      <c r="AE909" s="2">
        <v>1627</v>
      </c>
      <c r="AF909" s="2">
        <v>0</v>
      </c>
      <c r="AG909" s="2">
        <v>0</v>
      </c>
      <c r="AH909" s="2"/>
      <c r="AI909" s="2">
        <v>-2120</v>
      </c>
      <c r="AJ909" s="2">
        <v>-2120</v>
      </c>
      <c r="AK909" s="2">
        <v>-2120</v>
      </c>
      <c r="AL909" s="2">
        <v>0</v>
      </c>
      <c r="AM909" s="2">
        <v>-2120</v>
      </c>
    </row>
    <row r="910" spans="1:39">
      <c r="A910" s="349">
        <v>99831</v>
      </c>
      <c r="B910" s="342" t="s">
        <v>1604</v>
      </c>
      <c r="C910" s="358">
        <v>5.5899999999999997E-5</v>
      </c>
      <c r="E910" s="2">
        <v>21283</v>
      </c>
      <c r="F910" s="2">
        <v>26563</v>
      </c>
      <c r="G910" s="2">
        <v>17790</v>
      </c>
      <c r="H910" s="2">
        <v>8319</v>
      </c>
      <c r="I910" s="2">
        <v>0</v>
      </c>
      <c r="J910" s="2"/>
      <c r="K910" s="2">
        <v>10364</v>
      </c>
      <c r="L910" s="2">
        <v>9547</v>
      </c>
      <c r="M910" s="2">
        <v>5314</v>
      </c>
      <c r="N910" s="2">
        <v>0</v>
      </c>
      <c r="O910" s="2">
        <v>0</v>
      </c>
      <c r="P910" s="2"/>
      <c r="Q910" s="2">
        <v>672</v>
      </c>
      <c r="R910" s="2">
        <v>9397</v>
      </c>
      <c r="S910" s="2">
        <v>9722</v>
      </c>
      <c r="T910" s="2">
        <v>8319</v>
      </c>
      <c r="U910" s="2">
        <v>0</v>
      </c>
      <c r="V910" s="2"/>
      <c r="W910" s="2">
        <v>8205</v>
      </c>
      <c r="X910" s="2">
        <v>6661</v>
      </c>
      <c r="Y910" s="2">
        <v>0</v>
      </c>
      <c r="Z910" s="2">
        <v>0</v>
      </c>
      <c r="AA910" s="2">
        <v>0</v>
      </c>
      <c r="AB910" s="2"/>
      <c r="AC910" s="2">
        <v>3842</v>
      </c>
      <c r="AD910" s="2">
        <v>2758</v>
      </c>
      <c r="AE910" s="2">
        <v>2754</v>
      </c>
      <c r="AF910" s="2">
        <v>0</v>
      </c>
      <c r="AG910" s="2">
        <v>0</v>
      </c>
      <c r="AH910" s="2"/>
      <c r="AI910" s="2">
        <v>-1800</v>
      </c>
      <c r="AJ910" s="2">
        <v>-1800</v>
      </c>
      <c r="AK910" s="2">
        <v>0</v>
      </c>
      <c r="AL910" s="2">
        <v>0</v>
      </c>
      <c r="AM910" s="2">
        <v>-1800</v>
      </c>
    </row>
    <row r="911" spans="1:39">
      <c r="A911" s="349">
        <v>99841</v>
      </c>
      <c r="B911" s="342" t="s">
        <v>1605</v>
      </c>
      <c r="C911" s="358">
        <v>5.0500000000000001E-5</v>
      </c>
      <c r="E911" s="2">
        <v>28079</v>
      </c>
      <c r="F911" s="2">
        <v>34381</v>
      </c>
      <c r="G911" s="2">
        <v>26509</v>
      </c>
      <c r="H911" s="2">
        <v>7516</v>
      </c>
      <c r="I911" s="2">
        <v>0</v>
      </c>
      <c r="J911" s="2"/>
      <c r="K911" s="2">
        <v>9363</v>
      </c>
      <c r="L911" s="2">
        <v>8625</v>
      </c>
      <c r="M911" s="2">
        <v>4800</v>
      </c>
      <c r="N911" s="2">
        <v>0</v>
      </c>
      <c r="O911" s="2">
        <v>0</v>
      </c>
      <c r="P911" s="2"/>
      <c r="Q911" s="2">
        <v>607</v>
      </c>
      <c r="R911" s="2">
        <v>8489</v>
      </c>
      <c r="S911" s="2">
        <v>8783</v>
      </c>
      <c r="T911" s="2">
        <v>7516</v>
      </c>
      <c r="U911" s="2">
        <v>0</v>
      </c>
      <c r="V911" s="2"/>
      <c r="W911" s="2">
        <v>7412</v>
      </c>
      <c r="X911" s="2">
        <v>6017</v>
      </c>
      <c r="Y911" s="2">
        <v>0</v>
      </c>
      <c r="Z911" s="2">
        <v>0</v>
      </c>
      <c r="AA911" s="2">
        <v>0</v>
      </c>
      <c r="AB911" s="2"/>
      <c r="AC911" s="2">
        <v>15091</v>
      </c>
      <c r="AD911" s="2">
        <v>15091</v>
      </c>
      <c r="AE911" s="2">
        <v>15089</v>
      </c>
      <c r="AF911" s="2">
        <v>0</v>
      </c>
      <c r="AG911" s="2">
        <v>0</v>
      </c>
      <c r="AH911" s="2"/>
      <c r="AI911" s="2">
        <v>-4394</v>
      </c>
      <c r="AJ911" s="2">
        <v>-3841</v>
      </c>
      <c r="AK911" s="2">
        <v>-2163</v>
      </c>
      <c r="AL911" s="2">
        <v>0</v>
      </c>
      <c r="AM911" s="2">
        <v>-3841</v>
      </c>
    </row>
    <row r="912" spans="1:39">
      <c r="A912" s="349">
        <v>99851</v>
      </c>
      <c r="B912" s="342" t="s">
        <v>1606</v>
      </c>
      <c r="C912" s="358">
        <v>7.5000000000000002E-6</v>
      </c>
      <c r="E912" s="2">
        <v>-1745</v>
      </c>
      <c r="F912" s="2">
        <v>-352</v>
      </c>
      <c r="G912" s="2">
        <v>-1283</v>
      </c>
      <c r="H912" s="2">
        <v>1116</v>
      </c>
      <c r="I912" s="2">
        <v>0</v>
      </c>
      <c r="J912" s="2"/>
      <c r="K912" s="2">
        <v>1391</v>
      </c>
      <c r="L912" s="2">
        <v>1281</v>
      </c>
      <c r="M912" s="2">
        <v>713</v>
      </c>
      <c r="N912" s="2">
        <v>0</v>
      </c>
      <c r="O912" s="2">
        <v>0</v>
      </c>
      <c r="P912" s="2"/>
      <c r="Q912" s="2">
        <v>90</v>
      </c>
      <c r="R912" s="2">
        <v>1261</v>
      </c>
      <c r="S912" s="2">
        <v>1304</v>
      </c>
      <c r="T912" s="2">
        <v>1116</v>
      </c>
      <c r="U912" s="2">
        <v>0</v>
      </c>
      <c r="V912" s="2"/>
      <c r="W912" s="2">
        <v>1101</v>
      </c>
      <c r="X912" s="2">
        <v>894</v>
      </c>
      <c r="Y912" s="2">
        <v>0</v>
      </c>
      <c r="Z912" s="2">
        <v>0</v>
      </c>
      <c r="AA912" s="2">
        <v>0</v>
      </c>
      <c r="AB912" s="2"/>
      <c r="AC912" s="2">
        <v>0</v>
      </c>
      <c r="AD912" s="2">
        <v>0</v>
      </c>
      <c r="AE912" s="2">
        <v>0</v>
      </c>
      <c r="AF912" s="2">
        <v>0</v>
      </c>
      <c r="AG912" s="2">
        <v>0</v>
      </c>
      <c r="AH912" s="2"/>
      <c r="AI912" s="2">
        <v>-4327</v>
      </c>
      <c r="AJ912" s="2">
        <v>-3788</v>
      </c>
      <c r="AK912" s="2">
        <v>-3300</v>
      </c>
      <c r="AL912" s="2">
        <v>0</v>
      </c>
      <c r="AM912" s="2">
        <v>-3788</v>
      </c>
    </row>
    <row r="913" spans="1:92">
      <c r="A913" s="349">
        <v>99901</v>
      </c>
      <c r="B913" s="342" t="s">
        <v>1607</v>
      </c>
      <c r="C913" s="358">
        <v>1.5862999999999999E-3</v>
      </c>
      <c r="E913" s="2">
        <v>515153</v>
      </c>
      <c r="F913" s="2">
        <v>691459</v>
      </c>
      <c r="G913" s="2">
        <v>411529</v>
      </c>
      <c r="H913" s="2">
        <v>236076</v>
      </c>
      <c r="I913" s="2">
        <v>0</v>
      </c>
      <c r="J913" s="2"/>
      <c r="K913" s="2">
        <v>294114</v>
      </c>
      <c r="L913" s="2">
        <v>270931</v>
      </c>
      <c r="M913" s="2">
        <v>150791</v>
      </c>
      <c r="N913" s="2">
        <v>0</v>
      </c>
      <c r="O913" s="2">
        <v>0</v>
      </c>
      <c r="P913" s="2"/>
      <c r="Q913" s="2">
        <v>19066</v>
      </c>
      <c r="R913" s="2">
        <v>266665</v>
      </c>
      <c r="S913" s="2">
        <v>275886</v>
      </c>
      <c r="T913" s="2">
        <v>236076</v>
      </c>
      <c r="U913" s="2">
        <v>0</v>
      </c>
      <c r="V913" s="2"/>
      <c r="W913" s="2">
        <v>232831</v>
      </c>
      <c r="X913" s="2">
        <v>189019</v>
      </c>
      <c r="Y913" s="2">
        <v>0</v>
      </c>
      <c r="Z913" s="2">
        <v>0</v>
      </c>
      <c r="AA913" s="2">
        <v>0</v>
      </c>
      <c r="AB913" s="2"/>
      <c r="AC913" s="2">
        <v>4297</v>
      </c>
      <c r="AD913" s="2">
        <v>0</v>
      </c>
      <c r="AE913" s="2">
        <v>0</v>
      </c>
      <c r="AF913" s="2">
        <v>0</v>
      </c>
      <c r="AG913" s="2">
        <v>0</v>
      </c>
      <c r="AH913" s="2"/>
      <c r="AI913" s="2">
        <v>-35155</v>
      </c>
      <c r="AJ913" s="2">
        <v>-35156</v>
      </c>
      <c r="AK913" s="2">
        <v>-15148</v>
      </c>
      <c r="AL913" s="2">
        <v>0</v>
      </c>
      <c r="AM913" s="2">
        <v>-35156</v>
      </c>
      <c r="AN913" s="243"/>
      <c r="AO913" s="243"/>
      <c r="AP913" s="243"/>
      <c r="AQ913" s="243"/>
      <c r="AR913" s="243"/>
      <c r="AS913" s="243"/>
      <c r="AT913" s="243"/>
      <c r="AU913" s="243"/>
      <c r="AV913" s="243"/>
      <c r="AW913" s="243"/>
      <c r="AX913" s="243"/>
      <c r="AY913" s="243"/>
      <c r="AZ913" s="243"/>
      <c r="BA913" s="243"/>
      <c r="BB913" s="243"/>
      <c r="BC913" s="243"/>
      <c r="BD913" s="243"/>
      <c r="BE913" s="243"/>
      <c r="BF913" s="243"/>
      <c r="BG913" s="243"/>
      <c r="BH913" s="243"/>
      <c r="BI913" s="243"/>
      <c r="BJ913" s="243"/>
      <c r="BK913" s="243"/>
      <c r="BL913" s="243"/>
      <c r="BM913" s="243"/>
      <c r="BN913" s="243"/>
      <c r="BO913" s="243"/>
      <c r="BP913" s="243"/>
      <c r="BQ913" s="243"/>
      <c r="BR913" s="243"/>
      <c r="BS913" s="243"/>
      <c r="BT913" s="243"/>
      <c r="BU913" s="243"/>
      <c r="BV913" s="243"/>
      <c r="BW913" s="243"/>
      <c r="BX913" s="243"/>
      <c r="BY913" s="243"/>
      <c r="BZ913" s="243"/>
      <c r="CA913" s="243"/>
      <c r="CB913" s="243"/>
      <c r="CC913" s="243"/>
      <c r="CD913" s="243"/>
      <c r="CE913" s="243"/>
      <c r="CF913" s="243"/>
      <c r="CG913" s="243"/>
      <c r="CH913" s="243"/>
      <c r="CI913" s="243"/>
      <c r="CJ913" s="243"/>
      <c r="CK913" s="243"/>
      <c r="CL913" s="243"/>
      <c r="CM913" s="243"/>
      <c r="CN913" s="243"/>
    </row>
    <row r="914" spans="1:92" s="242" customFormat="1">
      <c r="A914" s="349">
        <v>99911</v>
      </c>
      <c r="B914" s="342" t="s">
        <v>1608</v>
      </c>
      <c r="C914" s="358">
        <v>2.4049999999999999E-4</v>
      </c>
      <c r="D914"/>
      <c r="E914" s="2">
        <v>96650</v>
      </c>
      <c r="F914" s="2">
        <v>122698</v>
      </c>
      <c r="G914" s="2">
        <v>78964</v>
      </c>
      <c r="H914" s="2">
        <v>35792</v>
      </c>
      <c r="I914" s="2">
        <v>0</v>
      </c>
      <c r="J914" s="2"/>
      <c r="K914" s="2">
        <v>44591</v>
      </c>
      <c r="L914" s="2">
        <v>41076</v>
      </c>
      <c r="M914" s="2">
        <v>22861</v>
      </c>
      <c r="N914" s="2">
        <v>0</v>
      </c>
      <c r="O914" s="2">
        <v>0</v>
      </c>
      <c r="P914" s="2"/>
      <c r="Q914" s="2">
        <v>2891</v>
      </c>
      <c r="R914" s="2">
        <v>40429</v>
      </c>
      <c r="S914" s="2">
        <v>41827</v>
      </c>
      <c r="T914" s="2">
        <v>35792</v>
      </c>
      <c r="U914" s="2">
        <v>0</v>
      </c>
      <c r="V914" s="2"/>
      <c r="W914" s="2">
        <v>35300</v>
      </c>
      <c r="X914" s="2">
        <v>28657</v>
      </c>
      <c r="Y914" s="2">
        <v>0</v>
      </c>
      <c r="Z914" s="2">
        <v>0</v>
      </c>
      <c r="AA914" s="2">
        <v>0</v>
      </c>
      <c r="AB914" s="2"/>
      <c r="AC914" s="2">
        <v>15606</v>
      </c>
      <c r="AD914" s="2">
        <v>14275</v>
      </c>
      <c r="AE914" s="2">
        <v>14276</v>
      </c>
      <c r="AF914" s="2">
        <v>0</v>
      </c>
      <c r="AG914" s="2">
        <v>0</v>
      </c>
      <c r="AH914" s="2"/>
      <c r="AI914" s="2">
        <v>-1738</v>
      </c>
      <c r="AJ914" s="2">
        <v>-1739</v>
      </c>
      <c r="AK914" s="2">
        <v>0</v>
      </c>
      <c r="AL914" s="2">
        <v>0</v>
      </c>
      <c r="AM914" s="2">
        <v>-1739</v>
      </c>
      <c r="AN914" s="244"/>
      <c r="AO914" s="244"/>
      <c r="AP914" s="244"/>
      <c r="AQ914" s="244"/>
      <c r="AR914" s="244"/>
      <c r="AS914" s="244"/>
      <c r="AT914" s="244"/>
      <c r="AU914" s="244"/>
      <c r="AV914" s="244"/>
      <c r="AW914" s="244"/>
      <c r="AX914" s="244"/>
      <c r="AY914" s="244"/>
      <c r="AZ914" s="244"/>
      <c r="BA914" s="244"/>
      <c r="BB914" s="244"/>
      <c r="BC914" s="244"/>
      <c r="BD914" s="244"/>
      <c r="BE914" s="244"/>
      <c r="BF914" s="244"/>
      <c r="BG914" s="244"/>
      <c r="BH914" s="244"/>
      <c r="BI914" s="244"/>
      <c r="BJ914" s="244"/>
      <c r="BK914" s="244"/>
      <c r="BL914" s="244"/>
      <c r="BM914" s="244"/>
      <c r="BN914" s="244"/>
      <c r="BO914" s="244"/>
      <c r="BP914" s="244"/>
      <c r="BQ914" s="244"/>
      <c r="BR914" s="244"/>
      <c r="BS914" s="244"/>
      <c r="BT914" s="244"/>
      <c r="BU914" s="244"/>
      <c r="BV914" s="244"/>
      <c r="BW914" s="244"/>
      <c r="BX914" s="244"/>
      <c r="BY914" s="244"/>
      <c r="BZ914" s="244"/>
      <c r="CA914" s="244"/>
      <c r="CB914" s="244"/>
      <c r="CC914" s="244"/>
      <c r="CD914" s="244"/>
      <c r="CE914" s="244"/>
      <c r="CF914" s="244"/>
      <c r="CG914" s="244"/>
      <c r="CH914" s="244"/>
      <c r="CI914" s="244"/>
      <c r="CJ914" s="244"/>
      <c r="CK914" s="244"/>
      <c r="CL914" s="244"/>
      <c r="CM914" s="244"/>
      <c r="CN914" s="244"/>
    </row>
    <row r="915" spans="1:92">
      <c r="A915" s="349">
        <v>99921</v>
      </c>
      <c r="B915" s="342" t="s">
        <v>1609</v>
      </c>
      <c r="C915" s="358">
        <v>1.484E-4</v>
      </c>
      <c r="E915" s="2">
        <v>53249</v>
      </c>
      <c r="F915" s="2">
        <v>71058</v>
      </c>
      <c r="G915" s="2">
        <v>47202</v>
      </c>
      <c r="H915" s="2">
        <v>22085</v>
      </c>
      <c r="I915" s="2">
        <v>0</v>
      </c>
      <c r="J915" s="2"/>
      <c r="K915" s="2">
        <v>27515</v>
      </c>
      <c r="L915" s="2">
        <v>25346</v>
      </c>
      <c r="M915" s="2">
        <v>14107</v>
      </c>
      <c r="N915" s="2">
        <v>0</v>
      </c>
      <c r="O915" s="2">
        <v>0</v>
      </c>
      <c r="P915" s="2"/>
      <c r="Q915" s="2">
        <v>1784</v>
      </c>
      <c r="R915" s="2">
        <v>24947</v>
      </c>
      <c r="S915" s="2">
        <v>25809</v>
      </c>
      <c r="T915" s="2">
        <v>22085</v>
      </c>
      <c r="U915" s="2">
        <v>0</v>
      </c>
      <c r="V915" s="2"/>
      <c r="W915" s="2">
        <v>21782</v>
      </c>
      <c r="X915" s="2">
        <v>17683</v>
      </c>
      <c r="Y915" s="2">
        <v>0</v>
      </c>
      <c r="Z915" s="2">
        <v>0</v>
      </c>
      <c r="AA915" s="2">
        <v>0</v>
      </c>
      <c r="AB915" s="2"/>
      <c r="AC915" s="2">
        <v>7286</v>
      </c>
      <c r="AD915" s="2">
        <v>7286</v>
      </c>
      <c r="AE915" s="2">
        <v>7286</v>
      </c>
      <c r="AF915" s="2">
        <v>0</v>
      </c>
      <c r="AG915" s="2">
        <v>0</v>
      </c>
      <c r="AH915" s="2"/>
      <c r="AI915" s="2">
        <v>-5118</v>
      </c>
      <c r="AJ915" s="2">
        <v>-4204</v>
      </c>
      <c r="AK915" s="2">
        <v>0</v>
      </c>
      <c r="AL915" s="2">
        <v>0</v>
      </c>
      <c r="AM915" s="2">
        <v>-4204</v>
      </c>
      <c r="AN915" s="243"/>
      <c r="AO915" s="243"/>
      <c r="AP915" s="243"/>
      <c r="AQ915" s="243"/>
      <c r="AR915" s="243"/>
      <c r="AS915" s="243"/>
      <c r="AT915" s="243"/>
      <c r="AU915" s="243"/>
      <c r="AV915" s="243"/>
      <c r="AW915" s="243"/>
      <c r="AX915" s="243"/>
      <c r="AY915" s="243"/>
      <c r="AZ915" s="243"/>
      <c r="BA915" s="243"/>
      <c r="BB915" s="243"/>
      <c r="BC915" s="243"/>
      <c r="BD915" s="243"/>
      <c r="BE915" s="243"/>
      <c r="BF915" s="243"/>
      <c r="BG915" s="243"/>
      <c r="BH915" s="243"/>
      <c r="BI915" s="243"/>
      <c r="BJ915" s="243"/>
      <c r="BK915" s="243"/>
      <c r="BL915" s="243"/>
      <c r="BM915" s="243"/>
      <c r="BN915" s="243"/>
      <c r="BO915" s="243"/>
      <c r="BP915" s="243"/>
      <c r="BQ915" s="243"/>
      <c r="BR915" s="243"/>
      <c r="BS915" s="243"/>
      <c r="BT915" s="243"/>
      <c r="BU915" s="243"/>
      <c r="BV915" s="243"/>
      <c r="BW915" s="243"/>
      <c r="BX915" s="243"/>
      <c r="BY915" s="243"/>
      <c r="BZ915" s="243"/>
      <c r="CA915" s="243"/>
      <c r="CB915" s="243"/>
      <c r="CC915" s="243"/>
      <c r="CD915" s="243"/>
      <c r="CE915" s="243"/>
      <c r="CF915" s="243"/>
      <c r="CG915" s="243"/>
      <c r="CH915" s="243"/>
      <c r="CI915" s="243"/>
      <c r="CJ915" s="243"/>
      <c r="CK915" s="243"/>
      <c r="CL915" s="243"/>
      <c r="CM915" s="243"/>
      <c r="CN915" s="243"/>
    </row>
    <row r="916" spans="1:92">
      <c r="A916" s="349">
        <v>99931</v>
      </c>
      <c r="B916" s="342" t="s">
        <v>1610</v>
      </c>
      <c r="C916" s="358">
        <v>2.4899999999999999E-5</v>
      </c>
      <c r="E916" s="2">
        <v>10343</v>
      </c>
      <c r="F916" s="2">
        <v>14411</v>
      </c>
      <c r="G916" s="2">
        <v>9302</v>
      </c>
      <c r="H916" s="2">
        <v>3706</v>
      </c>
      <c r="I916" s="2">
        <v>0</v>
      </c>
      <c r="J916" s="2"/>
      <c r="K916" s="2">
        <v>4617</v>
      </c>
      <c r="L916" s="2">
        <v>4253</v>
      </c>
      <c r="M916" s="2">
        <v>2367</v>
      </c>
      <c r="N916" s="2">
        <v>0</v>
      </c>
      <c r="O916" s="2">
        <v>0</v>
      </c>
      <c r="P916" s="2"/>
      <c r="Q916" s="2">
        <v>299</v>
      </c>
      <c r="R916" s="2">
        <v>4186</v>
      </c>
      <c r="S916" s="2">
        <v>4331</v>
      </c>
      <c r="T916" s="2">
        <v>3706</v>
      </c>
      <c r="U916" s="2">
        <v>0</v>
      </c>
      <c r="V916" s="2"/>
      <c r="W916" s="2">
        <v>3655</v>
      </c>
      <c r="X916" s="2">
        <v>2967</v>
      </c>
      <c r="Y916" s="2">
        <v>0</v>
      </c>
      <c r="Z916" s="2">
        <v>0</v>
      </c>
      <c r="AA916" s="2">
        <v>0</v>
      </c>
      <c r="AB916" s="2"/>
      <c r="AC916" s="2">
        <v>3007</v>
      </c>
      <c r="AD916" s="2">
        <v>3005</v>
      </c>
      <c r="AE916" s="2">
        <v>2604</v>
      </c>
      <c r="AF916" s="2">
        <v>0</v>
      </c>
      <c r="AG916" s="2">
        <v>0</v>
      </c>
      <c r="AH916" s="2"/>
      <c r="AI916" s="2">
        <v>-1235</v>
      </c>
      <c r="AJ916" s="2">
        <v>0</v>
      </c>
      <c r="AK916" s="2">
        <v>0</v>
      </c>
      <c r="AL916" s="2">
        <v>0</v>
      </c>
      <c r="AM916" s="2">
        <v>0</v>
      </c>
      <c r="AN916" s="243"/>
      <c r="AO916" s="243"/>
      <c r="AP916" s="243"/>
      <c r="AQ916" s="243"/>
      <c r="AR916" s="243"/>
      <c r="AS916" s="243"/>
      <c r="AT916" s="243"/>
      <c r="AU916" s="243"/>
      <c r="AV916" s="243"/>
      <c r="AW916" s="243"/>
      <c r="AX916" s="243"/>
      <c r="AY916" s="243"/>
      <c r="AZ916" s="243"/>
      <c r="BA916" s="243"/>
      <c r="BB916" s="243"/>
      <c r="BC916" s="243"/>
      <c r="BD916" s="243"/>
      <c r="BE916" s="243"/>
      <c r="BF916" s="243"/>
      <c r="BG916" s="243"/>
      <c r="BH916" s="243"/>
      <c r="BI916" s="243"/>
      <c r="BJ916" s="243"/>
      <c r="BK916" s="243"/>
      <c r="BL916" s="243"/>
      <c r="BM916" s="243"/>
      <c r="BN916" s="243"/>
      <c r="BO916" s="243"/>
      <c r="BP916" s="243"/>
      <c r="BQ916" s="243"/>
      <c r="BR916" s="243"/>
      <c r="BS916" s="243"/>
      <c r="BT916" s="243"/>
      <c r="BU916" s="243"/>
      <c r="BV916" s="243"/>
      <c r="BW916" s="243"/>
      <c r="BX916" s="243"/>
      <c r="BY916" s="243"/>
      <c r="BZ916" s="243"/>
      <c r="CA916" s="243"/>
      <c r="CB916" s="243"/>
      <c r="CC916" s="243"/>
      <c r="CD916" s="243"/>
      <c r="CE916" s="243"/>
      <c r="CF916" s="243"/>
      <c r="CG916" s="243"/>
      <c r="CH916" s="243"/>
      <c r="CI916" s="243"/>
      <c r="CJ916" s="243"/>
      <c r="CK916" s="243"/>
      <c r="CL916" s="243"/>
      <c r="CM916" s="243"/>
      <c r="CN916" s="243"/>
    </row>
    <row r="917" spans="1:92">
      <c r="A917" s="349">
        <v>99941</v>
      </c>
      <c r="B917" s="342" t="s">
        <v>1611</v>
      </c>
      <c r="C917" s="358">
        <v>5.9200000000000002E-5</v>
      </c>
      <c r="E917" s="2">
        <v>9501</v>
      </c>
      <c r="F917" s="2">
        <v>17100</v>
      </c>
      <c r="G917" s="2">
        <v>6409</v>
      </c>
      <c r="H917" s="2">
        <v>8810</v>
      </c>
      <c r="I917" s="2">
        <v>0</v>
      </c>
      <c r="J917" s="2"/>
      <c r="K917" s="2">
        <v>10976</v>
      </c>
      <c r="L917" s="2">
        <v>10111</v>
      </c>
      <c r="M917" s="2">
        <v>5627</v>
      </c>
      <c r="N917" s="2">
        <v>0</v>
      </c>
      <c r="O917" s="2">
        <v>0</v>
      </c>
      <c r="P917" s="2"/>
      <c r="Q917" s="2">
        <v>712</v>
      </c>
      <c r="R917" s="2">
        <v>9952</v>
      </c>
      <c r="S917" s="2">
        <v>10296</v>
      </c>
      <c r="T917" s="2">
        <v>8810</v>
      </c>
      <c r="U917" s="2">
        <v>0</v>
      </c>
      <c r="V917" s="2"/>
      <c r="W917" s="2">
        <v>8689</v>
      </c>
      <c r="X917" s="2">
        <v>7054</v>
      </c>
      <c r="Y917" s="2">
        <v>0</v>
      </c>
      <c r="Z917" s="2">
        <v>0</v>
      </c>
      <c r="AA917" s="2">
        <v>0</v>
      </c>
      <c r="AB917" s="2"/>
      <c r="AC917" s="2">
        <v>0</v>
      </c>
      <c r="AD917" s="2">
        <v>0</v>
      </c>
      <c r="AE917" s="2">
        <v>0</v>
      </c>
      <c r="AF917" s="2">
        <v>0</v>
      </c>
      <c r="AG917" s="2">
        <v>0</v>
      </c>
      <c r="AH917" s="2"/>
      <c r="AI917" s="2">
        <v>-10876</v>
      </c>
      <c r="AJ917" s="2">
        <v>-10017</v>
      </c>
      <c r="AK917" s="2">
        <v>-9514</v>
      </c>
      <c r="AL917" s="2">
        <v>0</v>
      </c>
      <c r="AM917" s="2">
        <v>-10017</v>
      </c>
      <c r="AN917" s="243"/>
      <c r="AO917" s="243"/>
      <c r="AP917" s="243"/>
      <c r="AQ917" s="243"/>
      <c r="AR917" s="243"/>
      <c r="AS917" s="243"/>
      <c r="AT917" s="243"/>
      <c r="AU917" s="243"/>
      <c r="AV917" s="243"/>
      <c r="AW917" s="243"/>
      <c r="AX917" s="243"/>
      <c r="AY917" s="243"/>
      <c r="AZ917" s="243"/>
      <c r="BA917" s="243"/>
      <c r="BB917" s="243"/>
      <c r="BC917" s="243"/>
      <c r="BD917" s="243"/>
      <c r="BE917" s="243"/>
      <c r="BF917" s="243"/>
      <c r="BG917" s="243"/>
      <c r="BH917" s="243"/>
      <c r="BI917" s="243"/>
      <c r="BJ917" s="243"/>
      <c r="BK917" s="243"/>
      <c r="BL917" s="243"/>
      <c r="BM917" s="243"/>
      <c r="BN917" s="243"/>
      <c r="BO917" s="243"/>
      <c r="BP917" s="243"/>
      <c r="BQ917" s="243"/>
      <c r="BR917" s="243"/>
      <c r="BS917" s="243"/>
      <c r="BT917" s="243"/>
      <c r="BU917" s="243"/>
      <c r="BV917" s="243"/>
      <c r="BW917" s="243"/>
      <c r="BX917" s="243"/>
      <c r="BY917" s="243"/>
      <c r="BZ917" s="243"/>
      <c r="CA917" s="243"/>
      <c r="CB917" s="243"/>
      <c r="CC917" s="243"/>
      <c r="CD917" s="243"/>
      <c r="CE917" s="243"/>
      <c r="CF917" s="243"/>
      <c r="CG917" s="243"/>
      <c r="CH917" s="243"/>
      <c r="CI917" s="243"/>
      <c r="CJ917" s="243"/>
      <c r="CK917" s="243"/>
      <c r="CL917" s="243"/>
      <c r="CM917" s="243"/>
      <c r="CN917" s="243"/>
    </row>
    <row r="918" spans="1:92">
      <c r="A918" s="349">
        <v>99991</v>
      </c>
      <c r="B918" s="342" t="s">
        <v>3710</v>
      </c>
      <c r="C918" s="358">
        <v>4.4270000000000003E-4</v>
      </c>
      <c r="E918" s="2">
        <v>117617</v>
      </c>
      <c r="F918" s="2">
        <v>175074</v>
      </c>
      <c r="G918" s="2">
        <v>92983</v>
      </c>
      <c r="H918" s="2">
        <v>65883</v>
      </c>
      <c r="I918" s="2">
        <v>0</v>
      </c>
      <c r="J918" s="2"/>
      <c r="K918" s="2">
        <v>82081</v>
      </c>
      <c r="L918" s="2">
        <v>75611</v>
      </c>
      <c r="M918" s="2">
        <v>42082</v>
      </c>
      <c r="N918" s="2">
        <v>0</v>
      </c>
      <c r="O918" s="2">
        <v>0</v>
      </c>
      <c r="P918" s="2"/>
      <c r="Q918" s="2">
        <v>5321</v>
      </c>
      <c r="R918" s="2">
        <v>74420</v>
      </c>
      <c r="S918" s="2">
        <v>76993</v>
      </c>
      <c r="T918" s="2">
        <v>65883</v>
      </c>
      <c r="U918" s="2">
        <v>0</v>
      </c>
      <c r="V918" s="2"/>
      <c r="W918" s="2">
        <v>64978</v>
      </c>
      <c r="X918" s="2">
        <v>52751</v>
      </c>
      <c r="Y918" s="2">
        <v>0</v>
      </c>
      <c r="Z918" s="2">
        <v>0</v>
      </c>
      <c r="AA918" s="2">
        <v>0</v>
      </c>
      <c r="AB918" s="2"/>
      <c r="AC918" s="2">
        <v>0</v>
      </c>
      <c r="AD918" s="2">
        <v>0</v>
      </c>
      <c r="AE918" s="2">
        <v>0</v>
      </c>
      <c r="AF918" s="2">
        <v>0</v>
      </c>
      <c r="AG918" s="2">
        <v>0</v>
      </c>
      <c r="AH918" s="2"/>
      <c r="AI918" s="2">
        <v>-34763</v>
      </c>
      <c r="AJ918" s="2">
        <v>-27708</v>
      </c>
      <c r="AK918" s="2">
        <v>-26092</v>
      </c>
      <c r="AL918" s="2">
        <v>0</v>
      </c>
      <c r="AM918" s="2">
        <v>-27708</v>
      </c>
      <c r="AN918" s="243"/>
      <c r="AO918" s="243"/>
      <c r="AP918" s="243"/>
      <c r="AQ918" s="243"/>
      <c r="AR918" s="243"/>
      <c r="AS918" s="243"/>
      <c r="AT918" s="243"/>
      <c r="AU918" s="243"/>
      <c r="AV918" s="243"/>
      <c r="AW918" s="243"/>
      <c r="AX918" s="243"/>
      <c r="AY918" s="243"/>
      <c r="AZ918" s="243"/>
      <c r="BA918" s="243"/>
      <c r="BB918" s="243"/>
      <c r="BC918" s="243"/>
      <c r="BD918" s="243"/>
      <c r="BE918" s="243"/>
      <c r="BF918" s="243"/>
      <c r="BG918" s="243"/>
      <c r="BH918" s="243"/>
      <c r="BI918" s="243"/>
      <c r="BJ918" s="243"/>
      <c r="BK918" s="243"/>
      <c r="BL918" s="243"/>
      <c r="BM918" s="243"/>
      <c r="BN918" s="243"/>
      <c r="BO918" s="243"/>
      <c r="BP918" s="243"/>
      <c r="BQ918" s="243"/>
      <c r="BR918" s="243"/>
      <c r="BS918" s="243"/>
      <c r="BT918" s="243"/>
      <c r="BU918" s="243"/>
      <c r="BV918" s="243"/>
      <c r="BW918" s="243"/>
      <c r="BX918" s="243"/>
      <c r="BY918" s="243"/>
      <c r="BZ918" s="243"/>
      <c r="CA918" s="243"/>
      <c r="CB918" s="243"/>
      <c r="CC918" s="243"/>
      <c r="CD918" s="243"/>
      <c r="CE918" s="243"/>
      <c r="CF918" s="243"/>
      <c r="CG918" s="243"/>
      <c r="CH918" s="243"/>
      <c r="CI918" s="243"/>
      <c r="CJ918" s="243"/>
      <c r="CK918" s="243"/>
      <c r="CL918" s="243"/>
      <c r="CM918" s="243"/>
      <c r="CN918" s="243"/>
    </row>
    <row r="919" spans="1:92">
      <c r="A919" s="349">
        <v>99999</v>
      </c>
      <c r="B919" s="342" t="s">
        <v>3711</v>
      </c>
      <c r="C919" s="358">
        <v>1.0007E-3</v>
      </c>
      <c r="E919" s="2">
        <v>417420</v>
      </c>
      <c r="F919" s="2">
        <v>532491</v>
      </c>
      <c r="G919" s="2">
        <v>319463</v>
      </c>
      <c r="H919" s="2">
        <v>148926</v>
      </c>
      <c r="I919" s="2">
        <v>0</v>
      </c>
      <c r="J919" s="2"/>
      <c r="K919" s="2">
        <v>185539</v>
      </c>
      <c r="L919" s="2">
        <v>170914</v>
      </c>
      <c r="M919" s="2">
        <v>95125</v>
      </c>
      <c r="N919" s="2">
        <v>0</v>
      </c>
      <c r="O919" s="2">
        <v>0</v>
      </c>
      <c r="P919" s="2"/>
      <c r="Q919" s="2">
        <v>12027</v>
      </c>
      <c r="R919" s="2">
        <v>168223</v>
      </c>
      <c r="S919" s="2">
        <v>174040</v>
      </c>
      <c r="T919" s="2">
        <v>148926</v>
      </c>
      <c r="U919" s="2">
        <v>0</v>
      </c>
      <c r="V919" s="2"/>
      <c r="W919" s="2">
        <v>146879</v>
      </c>
      <c r="X919" s="2">
        <v>119240</v>
      </c>
      <c r="Y919" s="2">
        <v>0</v>
      </c>
      <c r="Z919" s="2">
        <v>0</v>
      </c>
      <c r="AA919" s="2">
        <v>0</v>
      </c>
      <c r="AB919" s="2"/>
      <c r="AC919" s="2">
        <v>74116</v>
      </c>
      <c r="AD919" s="2">
        <v>74114</v>
      </c>
      <c r="AE919" s="2">
        <v>50298</v>
      </c>
      <c r="AF919" s="2">
        <v>0</v>
      </c>
      <c r="AG919" s="2">
        <v>0</v>
      </c>
      <c r="AH919" s="2"/>
      <c r="AI919" s="2">
        <v>-1141</v>
      </c>
      <c r="AJ919" s="2">
        <v>0</v>
      </c>
      <c r="AK919" s="2">
        <v>0</v>
      </c>
      <c r="AL919" s="2">
        <v>0</v>
      </c>
      <c r="AM919" s="2">
        <v>0</v>
      </c>
      <c r="AN919" s="243"/>
      <c r="AO919" s="243"/>
      <c r="AP919" s="243"/>
      <c r="AQ919" s="243"/>
      <c r="AR919" s="243"/>
      <c r="AS919" s="243"/>
      <c r="AT919" s="243"/>
      <c r="AU919" s="243"/>
      <c r="AV919" s="243"/>
      <c r="AW919" s="243"/>
      <c r="AX919" s="243"/>
      <c r="AY919" s="243"/>
      <c r="AZ919" s="243"/>
      <c r="BA919" s="243"/>
      <c r="BB919" s="243"/>
      <c r="BC919" s="243"/>
      <c r="BD919" s="243"/>
      <c r="BE919" s="243"/>
      <c r="BF919" s="243"/>
      <c r="BG919" s="243"/>
      <c r="BH919" s="243"/>
      <c r="BI919" s="243"/>
      <c r="BJ919" s="243"/>
      <c r="BK919" s="243"/>
      <c r="BL919" s="243"/>
      <c r="BM919" s="243"/>
      <c r="BN919" s="243"/>
      <c r="BO919" s="243"/>
      <c r="BP919" s="243"/>
      <c r="BQ919" s="243"/>
      <c r="BR919" s="243"/>
      <c r="BS919" s="243"/>
      <c r="BT919" s="243"/>
      <c r="BU919" s="243"/>
      <c r="BV919" s="243"/>
      <c r="BW919" s="243"/>
      <c r="BX919" s="243"/>
      <c r="BY919" s="243"/>
      <c r="BZ919" s="243"/>
      <c r="CA919" s="243"/>
      <c r="CB919" s="243"/>
      <c r="CC919" s="243"/>
      <c r="CD919" s="243"/>
      <c r="CE919" s="243"/>
      <c r="CF919" s="243"/>
      <c r="CG919" s="243"/>
      <c r="CH919" s="243"/>
      <c r="CI919" s="243"/>
      <c r="CJ919" s="243"/>
      <c r="CK919" s="243"/>
      <c r="CL919" s="243"/>
      <c r="CM919" s="243"/>
      <c r="CN919" s="243"/>
    </row>
    <row r="920" spans="1:92">
      <c r="A920" s="377">
        <v>91119</v>
      </c>
      <c r="B920" t="s">
        <v>48</v>
      </c>
      <c r="C920" s="378">
        <v>0</v>
      </c>
      <c r="D920" s="378"/>
      <c r="E920" s="2">
        <v>0</v>
      </c>
      <c r="F920" s="2">
        <v>0</v>
      </c>
      <c r="G920" s="2">
        <v>0</v>
      </c>
      <c r="H920" s="2">
        <v>0</v>
      </c>
      <c r="I920" s="2">
        <v>0</v>
      </c>
      <c r="J920" s="2"/>
      <c r="K920" s="2">
        <v>0</v>
      </c>
      <c r="L920" s="2">
        <v>0</v>
      </c>
      <c r="M920" s="2">
        <v>0</v>
      </c>
      <c r="N920" s="2">
        <v>0</v>
      </c>
      <c r="O920" s="2">
        <v>0</v>
      </c>
      <c r="P920" s="2"/>
      <c r="Q920" s="2">
        <v>0</v>
      </c>
      <c r="R920" s="2">
        <v>0</v>
      </c>
      <c r="S920" s="2">
        <v>0</v>
      </c>
      <c r="T920" s="2">
        <v>0</v>
      </c>
      <c r="U920" s="2">
        <v>0</v>
      </c>
      <c r="V920" s="2"/>
      <c r="W920" s="2">
        <v>0</v>
      </c>
      <c r="X920" s="2">
        <v>0</v>
      </c>
      <c r="Y920" s="2">
        <v>0</v>
      </c>
      <c r="Z920" s="2">
        <v>0</v>
      </c>
      <c r="AA920" s="2">
        <v>0</v>
      </c>
      <c r="AB920" s="2"/>
      <c r="AC920" s="2">
        <v>0</v>
      </c>
      <c r="AD920" s="2">
        <v>0</v>
      </c>
      <c r="AE920" s="2">
        <v>0</v>
      </c>
      <c r="AF920" s="2">
        <v>0</v>
      </c>
      <c r="AG920" s="2">
        <v>0</v>
      </c>
      <c r="AH920" s="2"/>
      <c r="AI920" s="2">
        <v>0</v>
      </c>
      <c r="AJ920" s="2">
        <v>0</v>
      </c>
      <c r="AK920" s="2">
        <v>0</v>
      </c>
      <c r="AL920" s="2">
        <v>0</v>
      </c>
      <c r="AM920" s="2">
        <v>0</v>
      </c>
      <c r="AN920" s="243"/>
      <c r="AO920" s="243"/>
      <c r="AP920" s="243"/>
      <c r="AQ920" s="243"/>
      <c r="AR920" s="243"/>
      <c r="AS920" s="243"/>
      <c r="AT920" s="243"/>
      <c r="AU920" s="243"/>
      <c r="AV920" s="243"/>
      <c r="AW920" s="243"/>
      <c r="AX920" s="243"/>
      <c r="AY920" s="243"/>
      <c r="AZ920" s="243"/>
      <c r="BA920" s="243"/>
      <c r="BB920" s="243"/>
      <c r="BC920" s="243"/>
      <c r="BD920" s="243"/>
      <c r="BE920" s="243"/>
      <c r="BF920" s="243"/>
      <c r="BG920" s="243"/>
      <c r="BH920" s="243"/>
      <c r="BI920" s="243"/>
      <c r="BJ920" s="243"/>
      <c r="BK920" s="243"/>
      <c r="BL920" s="243"/>
      <c r="BM920" s="243"/>
      <c r="BN920" s="243"/>
      <c r="BO920" s="243"/>
      <c r="BP920" s="243"/>
      <c r="BQ920" s="243"/>
      <c r="BR920" s="243"/>
      <c r="BS920" s="243"/>
      <c r="BT920" s="243"/>
      <c r="BU920" s="243"/>
      <c r="BV920" s="243"/>
      <c r="BW920" s="243"/>
      <c r="BX920" s="243"/>
      <c r="BY920" s="243"/>
      <c r="BZ920" s="243"/>
      <c r="CA920" s="243"/>
      <c r="CB920" s="243"/>
      <c r="CC920" s="243"/>
      <c r="CD920" s="243"/>
      <c r="CE920" s="243"/>
      <c r="CF920" s="243"/>
      <c r="CG920" s="243"/>
      <c r="CH920" s="243"/>
      <c r="CI920" s="243"/>
      <c r="CJ920" s="243"/>
      <c r="CK920" s="243"/>
      <c r="CL920" s="243"/>
      <c r="CM920" s="243"/>
      <c r="CN920" s="243"/>
    </row>
    <row r="921" spans="1:92">
      <c r="A921" s="377">
        <v>93677</v>
      </c>
      <c r="B921" t="s">
        <v>98</v>
      </c>
      <c r="C921" s="378">
        <v>0</v>
      </c>
      <c r="D921" s="378"/>
      <c r="E921" s="2">
        <v>0</v>
      </c>
      <c r="F921" s="2">
        <v>0</v>
      </c>
      <c r="G921" s="2">
        <v>0</v>
      </c>
      <c r="H921" s="2">
        <v>0</v>
      </c>
      <c r="I921" s="2">
        <v>0</v>
      </c>
      <c r="J921" s="2"/>
      <c r="K921" s="2">
        <v>0</v>
      </c>
      <c r="L921" s="2">
        <v>0</v>
      </c>
      <c r="M921" s="2">
        <v>0</v>
      </c>
      <c r="N921" s="2">
        <v>0</v>
      </c>
      <c r="O921" s="2">
        <v>0</v>
      </c>
      <c r="P921" s="2"/>
      <c r="Q921" s="2">
        <v>0</v>
      </c>
      <c r="R921" s="2">
        <v>0</v>
      </c>
      <c r="S921" s="2">
        <v>0</v>
      </c>
      <c r="T921" s="2">
        <v>0</v>
      </c>
      <c r="U921" s="2">
        <v>0</v>
      </c>
      <c r="V921" s="2"/>
      <c r="W921" s="2">
        <v>0</v>
      </c>
      <c r="X921" s="2">
        <v>0</v>
      </c>
      <c r="Y921" s="2">
        <v>0</v>
      </c>
      <c r="Z921" s="2">
        <v>0</v>
      </c>
      <c r="AA921" s="2">
        <v>0</v>
      </c>
      <c r="AB921" s="2"/>
      <c r="AC921" s="2">
        <v>0</v>
      </c>
      <c r="AD921" s="2">
        <v>0</v>
      </c>
      <c r="AE921" s="2">
        <v>0</v>
      </c>
      <c r="AF921" s="2">
        <v>0</v>
      </c>
      <c r="AG921" s="2">
        <v>0</v>
      </c>
      <c r="AH921" s="2"/>
      <c r="AI921" s="2">
        <v>0</v>
      </c>
      <c r="AJ921" s="2">
        <v>0</v>
      </c>
      <c r="AK921" s="2">
        <v>0</v>
      </c>
      <c r="AL921" s="2">
        <v>0</v>
      </c>
      <c r="AM921" s="2">
        <v>0</v>
      </c>
    </row>
    <row r="922" spans="1:92">
      <c r="A922" s="379">
        <v>95010</v>
      </c>
      <c r="B922" s="304" t="s">
        <v>3719</v>
      </c>
      <c r="C922" s="303">
        <v>2.1299999999999999E-5</v>
      </c>
      <c r="D922" s="378"/>
      <c r="E922" s="2">
        <v>15226</v>
      </c>
      <c r="F922" s="2">
        <v>17652</v>
      </c>
      <c r="G922" s="2">
        <v>13624</v>
      </c>
      <c r="H922" s="2">
        <v>3170</v>
      </c>
      <c r="I922" s="2">
        <v>0</v>
      </c>
      <c r="J922" s="2"/>
      <c r="K922" s="2">
        <v>3949</v>
      </c>
      <c r="L922" s="2">
        <v>3638</v>
      </c>
      <c r="M922" s="2">
        <v>2025</v>
      </c>
      <c r="N922" s="2">
        <v>0</v>
      </c>
      <c r="O922" s="2">
        <v>0</v>
      </c>
      <c r="P922" s="2"/>
      <c r="Q922" s="2">
        <v>256</v>
      </c>
      <c r="R922" s="2">
        <v>3581</v>
      </c>
      <c r="S922" s="2">
        <v>3704</v>
      </c>
      <c r="T922" s="2">
        <v>3170</v>
      </c>
      <c r="U922" s="2">
        <v>0</v>
      </c>
      <c r="V922" s="2"/>
      <c r="W922" s="2">
        <v>3126</v>
      </c>
      <c r="X922" s="2">
        <v>2538</v>
      </c>
      <c r="Y922" s="2">
        <v>0</v>
      </c>
      <c r="Z922" s="2">
        <v>0</v>
      </c>
      <c r="AA922" s="2">
        <v>0</v>
      </c>
      <c r="AB922" s="2"/>
      <c r="AC922" s="2">
        <v>7895</v>
      </c>
      <c r="AD922" s="2">
        <v>7895</v>
      </c>
      <c r="AE922" s="2">
        <v>7895</v>
      </c>
      <c r="AF922" s="2">
        <v>0</v>
      </c>
      <c r="AG922" s="2">
        <v>0</v>
      </c>
      <c r="AH922" s="2"/>
      <c r="AI922" s="2">
        <v>0</v>
      </c>
      <c r="AJ922" s="2">
        <v>0</v>
      </c>
      <c r="AK922" s="2">
        <v>0</v>
      </c>
      <c r="AL922" s="2">
        <v>0</v>
      </c>
      <c r="AM922" s="2">
        <v>0</v>
      </c>
    </row>
    <row r="923" spans="1:92">
      <c r="A923" s="7" t="s">
        <v>691</v>
      </c>
      <c r="B923" s="60" t="s">
        <v>690</v>
      </c>
      <c r="C923" s="358">
        <v>0</v>
      </c>
      <c r="E923" s="2">
        <v>0</v>
      </c>
      <c r="F923" s="2">
        <v>0</v>
      </c>
      <c r="G923" s="2">
        <v>0</v>
      </c>
      <c r="H923" s="2">
        <v>0</v>
      </c>
      <c r="I923" s="2">
        <v>0</v>
      </c>
      <c r="J923" s="2"/>
      <c r="K923" s="2">
        <v>0</v>
      </c>
      <c r="L923" s="2">
        <v>0</v>
      </c>
      <c r="M923" s="2">
        <v>0</v>
      </c>
      <c r="N923" s="2">
        <v>0</v>
      </c>
      <c r="O923" s="2">
        <v>0</v>
      </c>
      <c r="P923" s="2"/>
      <c r="Q923" s="2">
        <v>0</v>
      </c>
      <c r="R923" s="2">
        <v>0</v>
      </c>
      <c r="S923" s="2">
        <v>0</v>
      </c>
      <c r="T923" s="2">
        <v>0</v>
      </c>
      <c r="U923" s="2">
        <v>0</v>
      </c>
      <c r="V923" s="2"/>
      <c r="W923" s="2">
        <v>0</v>
      </c>
      <c r="X923" s="2">
        <v>0</v>
      </c>
      <c r="Y923" s="2">
        <v>0</v>
      </c>
      <c r="Z923" s="2">
        <v>0</v>
      </c>
      <c r="AA923" s="2">
        <v>0</v>
      </c>
      <c r="AB923" s="2"/>
      <c r="AC923" s="2">
        <v>0</v>
      </c>
      <c r="AD923" s="2">
        <v>0</v>
      </c>
      <c r="AE923" s="2">
        <v>0</v>
      </c>
      <c r="AF923" s="2">
        <v>0</v>
      </c>
      <c r="AG923" s="2">
        <v>0</v>
      </c>
      <c r="AH923" s="2"/>
      <c r="AI923" s="2">
        <v>0</v>
      </c>
      <c r="AJ923" s="2">
        <v>0</v>
      </c>
      <c r="AK923" s="2">
        <v>0</v>
      </c>
      <c r="AL923" s="2">
        <v>0</v>
      </c>
      <c r="AM923" s="2">
        <v>0</v>
      </c>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43"/>
      <c r="BN923" s="243"/>
      <c r="BO923" s="243"/>
      <c r="BP923" s="243"/>
      <c r="BQ923" s="243"/>
      <c r="BR923" s="243"/>
      <c r="BS923" s="243"/>
      <c r="BT923" s="243"/>
      <c r="BU923" s="243"/>
      <c r="BV923" s="243"/>
      <c r="BW923" s="243"/>
      <c r="BX923" s="243"/>
      <c r="BY923" s="243"/>
      <c r="BZ923" s="243"/>
      <c r="CA923" s="243"/>
      <c r="CB923" s="243"/>
      <c r="CC923" s="243"/>
      <c r="CD923" s="243"/>
      <c r="CE923" s="243"/>
      <c r="CF923" s="243"/>
      <c r="CG923" s="243"/>
      <c r="CH923" s="243"/>
      <c r="CI923" s="243"/>
      <c r="CJ923" s="243"/>
      <c r="CK923" s="243"/>
      <c r="CL923" s="243"/>
      <c r="CM923" s="243"/>
      <c r="CN923" s="243"/>
    </row>
  </sheetData>
  <sheetProtection algorithmName="SHA-512" hashValue="RALvhcoQsDEJvs4wQoY/jarns3+kWH2FQa/HIhmzyYaA8i12SuHuujfAb+baUWbFm79d5lSHc8XsX8PcivvnWg==" saltValue="godcGW0Az2UrdsNijZKDEQ==" spinCount="100000" sheet="1" objects="1" scenarios="1"/>
  <autoFilter ref="A7:CN923" xr:uid="{00000000-0009-0000-0000-000012000000}"/>
  <conditionalFormatting sqref="A920">
    <cfRule type="duplicateValues" dxfId="2" priority="3"/>
  </conditionalFormatting>
  <conditionalFormatting sqref="A921">
    <cfRule type="duplicateValues" dxfId="1" priority="2"/>
  </conditionalFormatting>
  <conditionalFormatting sqref="A922">
    <cfRule type="duplicateValues" dxfId="0" priority="1"/>
  </conditionalFormatting>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N921"/>
  <sheetViews>
    <sheetView zoomScaleNormal="100" workbookViewId="0">
      <pane ySplit="7" topLeftCell="A8" activePane="bottomLeft" state="frozen"/>
      <selection pane="bottomLeft" activeCell="C31" sqref="C31"/>
    </sheetView>
  </sheetViews>
  <sheetFormatPr defaultColWidth="9.140625" defaultRowHeight="15"/>
  <cols>
    <col min="1" max="1" width="15.28515625" style="235" customWidth="1"/>
    <col min="2" max="2" width="55.5703125" style="4" bestFit="1" customWidth="1"/>
    <col min="3" max="3" width="13.85546875" style="4" customWidth="1"/>
    <col min="4" max="4" width="4.140625" customWidth="1"/>
    <col min="5" max="9" width="19.28515625" style="4" customWidth="1"/>
    <col min="10" max="10" width="4.140625" style="4" customWidth="1"/>
    <col min="11" max="15" width="19.28515625" style="4" customWidth="1"/>
    <col min="16" max="16" width="4.140625" style="4" customWidth="1"/>
    <col min="17" max="21" width="19.28515625" style="4" customWidth="1"/>
    <col min="22" max="22" width="4.140625" style="4" customWidth="1"/>
    <col min="23" max="27" width="19.28515625" style="4" customWidth="1"/>
    <col min="28" max="28" width="4.140625" style="4" customWidth="1"/>
    <col min="29" max="33" width="19.28515625" style="4" customWidth="1"/>
    <col min="34" max="34" width="4.140625" style="4" customWidth="1"/>
    <col min="35" max="39" width="19.28515625" style="4" customWidth="1"/>
    <col min="40" max="16384" width="9.140625" style="4"/>
  </cols>
  <sheetData>
    <row r="1" spans="1:92" s="47" customFormat="1">
      <c r="A1" s="96"/>
      <c r="B1" s="47" t="s">
        <v>711</v>
      </c>
      <c r="C1" s="341" t="e">
        <f>SUM(C9:C920)+SUM(C913-C914-C915-C916-C917-C918-C919)</f>
        <v>#REF!</v>
      </c>
      <c r="D1"/>
      <c r="E1" s="248">
        <f>SUM(E9:E919)</f>
        <v>487994907</v>
      </c>
      <c r="F1" s="248">
        <f>SUM(F9:F919)</f>
        <v>150883426</v>
      </c>
      <c r="G1" s="248">
        <f>SUM(G9:G919)</f>
        <v>264732912</v>
      </c>
      <c r="H1" s="248">
        <f>SUM(H9:H919)</f>
        <v>75659073</v>
      </c>
      <c r="I1" s="53">
        <v>0</v>
      </c>
      <c r="J1" s="245"/>
      <c r="K1" s="246">
        <f>SUM(K9:K919)</f>
        <v>149803673</v>
      </c>
      <c r="L1" s="246">
        <f>SUM(L9:L919)</f>
        <v>140916890</v>
      </c>
      <c r="M1" s="246">
        <f>SUM(M9:M919)</f>
        <v>126302188</v>
      </c>
      <c r="N1" s="246">
        <f>SUM(N9:N919)</f>
        <v>50569866</v>
      </c>
      <c r="O1" s="246">
        <f>SUM(O9:O919)</f>
        <v>0</v>
      </c>
      <c r="Q1" s="246">
        <f>SUM(Q9:Q919)</f>
        <v>159037482</v>
      </c>
      <c r="R1" s="246">
        <f>SUM(R9:R919)</f>
        <v>-136801976</v>
      </c>
      <c r="S1" s="246">
        <f>SUM(S9:S919)</f>
        <v>19280570</v>
      </c>
      <c r="T1" s="246">
        <f>SUM(T9:T919)</f>
        <v>25093435</v>
      </c>
      <c r="U1" s="246">
        <f>SUM(U9:U919)</f>
        <v>0</v>
      </c>
      <c r="W1" s="247">
        <f>SUM(W9:W919)</f>
        <v>179158011</v>
      </c>
      <c r="X1" s="247">
        <f>SUM(X9:X919)</f>
        <v>146772729</v>
      </c>
      <c r="Y1" s="247">
        <f>SUM(Y9:Y919)</f>
        <v>119154367</v>
      </c>
      <c r="Z1" s="247">
        <f>SUM(Z9:Z919)</f>
        <v>0</v>
      </c>
      <c r="AA1" s="247">
        <f>SUM(AA9:AA919)</f>
        <v>0</v>
      </c>
      <c r="AB1" s="248"/>
      <c r="AC1" s="247">
        <f>SUM(AC9:AC919)</f>
        <v>15917138</v>
      </c>
      <c r="AD1" s="247">
        <f>SUM(AD9:AD919)</f>
        <v>10931208</v>
      </c>
      <c r="AE1" s="247">
        <f>SUM(AE9:AE919)</f>
        <v>7554913</v>
      </c>
      <c r="AF1" s="247">
        <f>SUM(AF9:AF919)</f>
        <v>3952785</v>
      </c>
      <c r="AG1" s="247">
        <f>SUM(AG9:AG919)</f>
        <v>0</v>
      </c>
      <c r="AH1" s="247"/>
      <c r="AI1" s="247">
        <f>SUM(AI9:AI919)</f>
        <v>-15921397</v>
      </c>
      <c r="AJ1" s="247">
        <f>SUM(AJ9:AJ919)</f>
        <v>-10935425</v>
      </c>
      <c r="AK1" s="247">
        <f>SUM(AK9:AK919)</f>
        <v>-7559126</v>
      </c>
      <c r="AL1" s="247">
        <f>SUM(AL9:AL919)</f>
        <v>-3957013</v>
      </c>
      <c r="AM1" s="247">
        <f>SUM(AM9:AM919)</f>
        <v>-10935425</v>
      </c>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row>
    <row r="2" spans="1:92">
      <c r="A2" s="74" t="str">
        <f>+'Changes to Update Template '!C47</f>
        <v>Measurement date 6/30/2022</v>
      </c>
    </row>
    <row r="3" spans="1:92">
      <c r="E3" s="363" t="s">
        <v>3715</v>
      </c>
    </row>
    <row r="4" spans="1:92" s="209" customFormat="1">
      <c r="A4" s="340"/>
      <c r="D4"/>
      <c r="E4" s="363"/>
    </row>
    <row r="5" spans="1:92" s="209" customFormat="1">
      <c r="A5" s="340"/>
      <c r="D5"/>
      <c r="E5" s="363"/>
    </row>
    <row r="6" spans="1:92" s="47" customFormat="1">
      <c r="A6" s="96"/>
      <c r="D6"/>
      <c r="E6" s="7">
        <v>2020</v>
      </c>
      <c r="F6" s="7">
        <v>2021</v>
      </c>
      <c r="G6" s="7">
        <v>2022</v>
      </c>
      <c r="H6" s="7">
        <v>2023</v>
      </c>
      <c r="I6" s="7">
        <v>2024</v>
      </c>
      <c r="K6" s="7">
        <v>2020</v>
      </c>
      <c r="L6" s="7">
        <v>2021</v>
      </c>
      <c r="M6" s="7">
        <v>2022</v>
      </c>
      <c r="N6" s="7">
        <v>2023</v>
      </c>
      <c r="O6" s="7">
        <v>2024</v>
      </c>
      <c r="Q6" s="7">
        <v>2020</v>
      </c>
      <c r="R6" s="7">
        <v>2021</v>
      </c>
      <c r="S6" s="7">
        <v>2022</v>
      </c>
      <c r="T6" s="7">
        <v>2023</v>
      </c>
      <c r="U6" s="7">
        <v>2024</v>
      </c>
      <c r="W6" s="7">
        <v>2020</v>
      </c>
      <c r="X6" s="7">
        <v>2021</v>
      </c>
      <c r="Y6" s="7">
        <v>2022</v>
      </c>
      <c r="Z6" s="7">
        <v>2023</v>
      </c>
      <c r="AA6" s="7">
        <v>2024</v>
      </c>
      <c r="AC6" s="7">
        <v>2020</v>
      </c>
      <c r="AD6" s="7">
        <v>2021</v>
      </c>
      <c r="AE6" s="7">
        <v>2022</v>
      </c>
      <c r="AF6" s="7">
        <v>2023</v>
      </c>
      <c r="AG6" s="7">
        <v>2024</v>
      </c>
      <c r="AI6" s="7">
        <v>2020</v>
      </c>
      <c r="AJ6" s="7">
        <v>2021</v>
      </c>
      <c r="AK6" s="7">
        <v>2022</v>
      </c>
      <c r="AL6" s="7">
        <v>2023</v>
      </c>
      <c r="AM6" s="7">
        <v>2024</v>
      </c>
    </row>
    <row r="7" spans="1:92" ht="90">
      <c r="A7" s="7" t="s">
        <v>0</v>
      </c>
      <c r="B7" s="7" t="s">
        <v>1</v>
      </c>
      <c r="C7" s="7" t="s">
        <v>262</v>
      </c>
      <c r="E7" s="7" t="s">
        <v>698</v>
      </c>
      <c r="F7" s="7" t="s">
        <v>698</v>
      </c>
      <c r="G7" s="7" t="s">
        <v>698</v>
      </c>
      <c r="H7" s="7" t="s">
        <v>698</v>
      </c>
      <c r="I7" s="7" t="s">
        <v>698</v>
      </c>
      <c r="K7" s="7" t="s">
        <v>5</v>
      </c>
      <c r="L7" s="7" t="s">
        <v>5</v>
      </c>
      <c r="M7" s="7" t="s">
        <v>5</v>
      </c>
      <c r="N7" s="7" t="s">
        <v>5</v>
      </c>
      <c r="O7" s="7" t="s">
        <v>5</v>
      </c>
      <c r="Q7" s="7" t="s">
        <v>6</v>
      </c>
      <c r="R7" s="7" t="s">
        <v>6</v>
      </c>
      <c r="S7" s="7" t="s">
        <v>6</v>
      </c>
      <c r="T7" s="7" t="s">
        <v>6</v>
      </c>
      <c r="U7" s="7" t="s">
        <v>6</v>
      </c>
      <c r="W7" s="7" t="s">
        <v>7</v>
      </c>
      <c r="X7" s="7" t="s">
        <v>7</v>
      </c>
      <c r="Y7" s="7" t="s">
        <v>7</v>
      </c>
      <c r="Z7" s="7" t="s">
        <v>7</v>
      </c>
      <c r="AA7" s="7" t="s">
        <v>7</v>
      </c>
      <c r="AC7" s="7" t="s">
        <v>699</v>
      </c>
      <c r="AD7" s="7" t="s">
        <v>699</v>
      </c>
      <c r="AE7" s="7" t="s">
        <v>699</v>
      </c>
      <c r="AF7" s="7" t="s">
        <v>699</v>
      </c>
      <c r="AG7" s="7" t="s">
        <v>699</v>
      </c>
      <c r="AI7" s="7" t="s">
        <v>700</v>
      </c>
      <c r="AJ7" s="7" t="s">
        <v>700</v>
      </c>
      <c r="AK7" s="7" t="s">
        <v>700</v>
      </c>
      <c r="AL7" s="7" t="s">
        <v>700</v>
      </c>
      <c r="AM7" s="7" t="s">
        <v>700</v>
      </c>
    </row>
    <row r="8" spans="1:92">
      <c r="A8" s="356">
        <v>91414</v>
      </c>
      <c r="B8" s="357" t="s">
        <v>3608</v>
      </c>
      <c r="C8" s="358" t="e">
        <f>VLOOKUP(A8,#REF!,10,FALSE)</f>
        <v>#REF!</v>
      </c>
      <c r="E8" s="2">
        <v>15089</v>
      </c>
      <c r="F8" s="2">
        <v>7604</v>
      </c>
      <c r="G8" s="2">
        <v>10132</v>
      </c>
      <c r="H8" s="2">
        <v>5937</v>
      </c>
      <c r="I8" s="2">
        <v>0</v>
      </c>
      <c r="J8" s="2"/>
      <c r="K8" s="2">
        <v>3326</v>
      </c>
      <c r="L8" s="2">
        <v>3128</v>
      </c>
      <c r="M8" s="2">
        <v>2804</v>
      </c>
      <c r="N8" s="2">
        <v>1123</v>
      </c>
      <c r="O8" s="2">
        <v>0</v>
      </c>
      <c r="P8" s="2"/>
      <c r="Q8" s="2">
        <v>3531</v>
      </c>
      <c r="R8" s="2">
        <v>-3037</v>
      </c>
      <c r="S8" s="2">
        <v>428</v>
      </c>
      <c r="T8" s="2">
        <v>557</v>
      </c>
      <c r="U8" s="2">
        <v>0</v>
      </c>
      <c r="V8" s="2"/>
      <c r="W8" s="2">
        <v>3977</v>
      </c>
      <c r="X8" s="2">
        <v>3258</v>
      </c>
      <c r="Y8" s="2">
        <v>2645</v>
      </c>
      <c r="Z8" s="2">
        <v>0</v>
      </c>
      <c r="AA8" s="2">
        <v>0</v>
      </c>
      <c r="AB8" s="2"/>
      <c r="AC8" s="2">
        <v>4255</v>
      </c>
      <c r="AD8" s="2">
        <v>4255</v>
      </c>
      <c r="AE8" s="2">
        <v>4255</v>
      </c>
      <c r="AF8" s="2">
        <v>4257</v>
      </c>
      <c r="AG8" s="2">
        <v>0</v>
      </c>
      <c r="AH8" s="2"/>
      <c r="AI8" s="2">
        <v>0</v>
      </c>
      <c r="AJ8" s="2">
        <v>0</v>
      </c>
      <c r="AK8" s="2">
        <v>0</v>
      </c>
      <c r="AL8" s="2">
        <v>0</v>
      </c>
      <c r="AM8" s="2">
        <v>0</v>
      </c>
    </row>
    <row r="9" spans="1:92">
      <c r="A9" s="344">
        <v>92414</v>
      </c>
      <c r="B9" s="345" t="s">
        <v>70</v>
      </c>
      <c r="C9" s="369"/>
      <c r="E9" s="2">
        <v>-1184</v>
      </c>
      <c r="F9" s="2">
        <v>0</v>
      </c>
      <c r="G9" s="2">
        <v>0</v>
      </c>
      <c r="H9" s="2">
        <v>0</v>
      </c>
      <c r="I9" s="2">
        <v>0</v>
      </c>
      <c r="J9" s="2"/>
      <c r="K9" s="2">
        <v>0</v>
      </c>
      <c r="L9" s="2">
        <v>0</v>
      </c>
      <c r="M9" s="2">
        <v>0</v>
      </c>
      <c r="N9" s="2">
        <v>0</v>
      </c>
      <c r="O9" s="2">
        <v>0</v>
      </c>
      <c r="P9" s="2"/>
      <c r="Q9" s="2">
        <v>0</v>
      </c>
      <c r="R9" s="2">
        <v>0</v>
      </c>
      <c r="S9" s="2">
        <v>0</v>
      </c>
      <c r="T9" s="2">
        <v>0</v>
      </c>
      <c r="U9" s="2">
        <v>0</v>
      </c>
      <c r="V9" s="2"/>
      <c r="W9" s="2">
        <v>0</v>
      </c>
      <c r="X9" s="2">
        <v>0</v>
      </c>
      <c r="Y9" s="2">
        <v>0</v>
      </c>
      <c r="Z9" s="2">
        <v>0</v>
      </c>
      <c r="AA9" s="2">
        <v>0</v>
      </c>
      <c r="AB9" s="2"/>
      <c r="AC9" s="2">
        <v>0</v>
      </c>
      <c r="AD9" s="2">
        <v>0</v>
      </c>
      <c r="AE9" s="2">
        <v>0</v>
      </c>
      <c r="AF9" s="2">
        <v>0</v>
      </c>
      <c r="AG9" s="2">
        <v>0</v>
      </c>
      <c r="AH9" s="2"/>
      <c r="AI9" s="2">
        <v>-1184</v>
      </c>
      <c r="AJ9" s="2">
        <v>0</v>
      </c>
      <c r="AK9" s="2">
        <v>0</v>
      </c>
      <c r="AL9" s="2">
        <v>0</v>
      </c>
      <c r="AM9" s="2">
        <v>0</v>
      </c>
    </row>
    <row r="10" spans="1:92">
      <c r="A10" s="344">
        <v>92608</v>
      </c>
      <c r="B10" s="345" t="s">
        <v>3712</v>
      </c>
      <c r="C10" s="369"/>
      <c r="E10" s="2">
        <v>0</v>
      </c>
      <c r="F10" s="2">
        <v>0</v>
      </c>
      <c r="G10" s="2">
        <v>0</v>
      </c>
      <c r="H10" s="2">
        <v>0</v>
      </c>
      <c r="I10" s="2">
        <v>0</v>
      </c>
      <c r="J10" s="2"/>
      <c r="K10" s="2">
        <v>0</v>
      </c>
      <c r="L10" s="2">
        <v>0</v>
      </c>
      <c r="M10" s="2">
        <v>0</v>
      </c>
      <c r="N10" s="2">
        <v>0</v>
      </c>
      <c r="O10" s="2">
        <v>0</v>
      </c>
      <c r="P10" s="2"/>
      <c r="Q10" s="2">
        <v>0</v>
      </c>
      <c r="R10" s="2">
        <v>0</v>
      </c>
      <c r="S10" s="2">
        <v>0</v>
      </c>
      <c r="T10" s="2">
        <v>0</v>
      </c>
      <c r="U10" s="2">
        <v>0</v>
      </c>
      <c r="V10" s="2"/>
      <c r="W10" s="2">
        <v>0</v>
      </c>
      <c r="X10" s="2">
        <v>0</v>
      </c>
      <c r="Y10" s="2">
        <v>0</v>
      </c>
      <c r="Z10" s="2">
        <v>0</v>
      </c>
      <c r="AA10" s="2">
        <v>0</v>
      </c>
      <c r="AB10" s="2"/>
      <c r="AC10" s="2">
        <v>0</v>
      </c>
      <c r="AD10" s="2">
        <v>0</v>
      </c>
      <c r="AE10" s="2">
        <v>0</v>
      </c>
      <c r="AF10" s="2">
        <v>0</v>
      </c>
      <c r="AG10" s="2">
        <v>0</v>
      </c>
      <c r="AH10" s="2"/>
      <c r="AI10" s="2">
        <v>0</v>
      </c>
      <c r="AJ10" s="2">
        <v>0</v>
      </c>
      <c r="AK10" s="2">
        <v>0</v>
      </c>
      <c r="AL10" s="2">
        <v>0</v>
      </c>
      <c r="AM10" s="2">
        <v>0</v>
      </c>
    </row>
    <row r="11" spans="1:92">
      <c r="A11" s="360">
        <v>93027</v>
      </c>
      <c r="B11" s="361" t="s">
        <v>1001</v>
      </c>
      <c r="C11" s="369"/>
      <c r="E11" s="2">
        <v>-3398</v>
      </c>
      <c r="F11" s="2">
        <v>-3601</v>
      </c>
      <c r="G11" s="2">
        <v>-3720</v>
      </c>
      <c r="H11" s="2">
        <v>-3192</v>
      </c>
      <c r="I11" s="2">
        <v>0</v>
      </c>
      <c r="J11" s="2"/>
      <c r="K11" s="2">
        <v>0</v>
      </c>
      <c r="L11" s="2">
        <v>0</v>
      </c>
      <c r="M11" s="2">
        <v>0</v>
      </c>
      <c r="N11" s="2">
        <v>0</v>
      </c>
      <c r="O11" s="2">
        <v>0</v>
      </c>
      <c r="P11" s="2"/>
      <c r="Q11" s="2">
        <v>0</v>
      </c>
      <c r="R11" s="2">
        <v>0</v>
      </c>
      <c r="S11" s="2">
        <v>0</v>
      </c>
      <c r="T11" s="2">
        <v>0</v>
      </c>
      <c r="U11" s="2">
        <v>0</v>
      </c>
      <c r="V11" s="2"/>
      <c r="W11" s="2">
        <v>0</v>
      </c>
      <c r="X11" s="2">
        <v>0</v>
      </c>
      <c r="Y11" s="2">
        <v>0</v>
      </c>
      <c r="Z11" s="2">
        <v>0</v>
      </c>
      <c r="AA11" s="2">
        <v>0</v>
      </c>
      <c r="AB11" s="2"/>
      <c r="AC11" s="2">
        <v>322</v>
      </c>
      <c r="AD11" s="2">
        <v>119</v>
      </c>
      <c r="AE11" s="2">
        <v>0</v>
      </c>
      <c r="AF11" s="2">
        <v>0</v>
      </c>
      <c r="AG11" s="2">
        <v>0</v>
      </c>
      <c r="AH11" s="2"/>
      <c r="AI11" s="2">
        <v>-3720</v>
      </c>
      <c r="AJ11" s="2">
        <v>-3720</v>
      </c>
      <c r="AK11" s="2">
        <v>-3720</v>
      </c>
      <c r="AL11" s="2">
        <v>-3192</v>
      </c>
      <c r="AM11" s="2">
        <v>-3720</v>
      </c>
    </row>
    <row r="12" spans="1:92">
      <c r="A12" s="360">
        <v>93028</v>
      </c>
      <c r="B12" s="361" t="s">
        <v>3609</v>
      </c>
      <c r="C12" s="369"/>
      <c r="E12" s="2">
        <v>924</v>
      </c>
      <c r="F12" s="2">
        <v>924</v>
      </c>
      <c r="G12" s="2">
        <v>924</v>
      </c>
      <c r="H12" s="2">
        <v>924</v>
      </c>
      <c r="I12" s="2">
        <v>0</v>
      </c>
      <c r="J12" s="2"/>
      <c r="K12" s="2">
        <v>0</v>
      </c>
      <c r="L12" s="2">
        <v>0</v>
      </c>
      <c r="M12" s="2">
        <v>0</v>
      </c>
      <c r="N12" s="2">
        <v>0</v>
      </c>
      <c r="O12" s="2">
        <v>0</v>
      </c>
      <c r="P12" s="2"/>
      <c r="Q12" s="2">
        <v>0</v>
      </c>
      <c r="R12" s="2">
        <v>0</v>
      </c>
      <c r="S12" s="2">
        <v>0</v>
      </c>
      <c r="T12" s="2">
        <v>0</v>
      </c>
      <c r="U12" s="2">
        <v>0</v>
      </c>
      <c r="V12" s="2"/>
      <c r="W12" s="2">
        <v>0</v>
      </c>
      <c r="X12" s="2">
        <v>0</v>
      </c>
      <c r="Y12" s="2">
        <v>0</v>
      </c>
      <c r="Z12" s="2">
        <v>0</v>
      </c>
      <c r="AA12" s="2">
        <v>0</v>
      </c>
      <c r="AB12" s="2"/>
      <c r="AC12" s="2">
        <v>924</v>
      </c>
      <c r="AD12" s="2">
        <v>924</v>
      </c>
      <c r="AE12" s="2">
        <v>924</v>
      </c>
      <c r="AF12" s="2">
        <v>924</v>
      </c>
      <c r="AG12" s="2">
        <v>0</v>
      </c>
      <c r="AH12" s="2"/>
      <c r="AI12" s="2">
        <v>0</v>
      </c>
      <c r="AJ12" s="2">
        <v>0</v>
      </c>
      <c r="AK12" s="2">
        <v>0</v>
      </c>
      <c r="AL12" s="2">
        <v>0</v>
      </c>
      <c r="AM12" s="2">
        <v>0</v>
      </c>
    </row>
    <row r="13" spans="1:92">
      <c r="A13" s="344">
        <v>93202</v>
      </c>
      <c r="B13" s="345" t="s">
        <v>1018</v>
      </c>
      <c r="C13" s="369"/>
      <c r="E13" s="2">
        <v>-25055</v>
      </c>
      <c r="F13" s="2">
        <v>0</v>
      </c>
      <c r="G13" s="2">
        <v>0</v>
      </c>
      <c r="H13" s="2">
        <v>0</v>
      </c>
      <c r="I13" s="2">
        <v>0</v>
      </c>
      <c r="J13" s="2"/>
      <c r="K13" s="2">
        <v>0</v>
      </c>
      <c r="L13" s="2">
        <v>0</v>
      </c>
      <c r="M13" s="2">
        <v>0</v>
      </c>
      <c r="N13" s="2">
        <v>0</v>
      </c>
      <c r="O13" s="2">
        <v>0</v>
      </c>
      <c r="P13" s="2"/>
      <c r="Q13" s="2">
        <v>0</v>
      </c>
      <c r="R13" s="2">
        <v>0</v>
      </c>
      <c r="S13" s="2">
        <v>0</v>
      </c>
      <c r="T13" s="2">
        <v>0</v>
      </c>
      <c r="U13" s="2">
        <v>0</v>
      </c>
      <c r="V13" s="2"/>
      <c r="W13" s="2">
        <v>0</v>
      </c>
      <c r="X13" s="2">
        <v>0</v>
      </c>
      <c r="Y13" s="2">
        <v>0</v>
      </c>
      <c r="Z13" s="2">
        <v>0</v>
      </c>
      <c r="AA13" s="2">
        <v>0</v>
      </c>
      <c r="AB13" s="2"/>
      <c r="AC13" s="2">
        <v>0</v>
      </c>
      <c r="AD13" s="2">
        <v>0</v>
      </c>
      <c r="AE13" s="2">
        <v>0</v>
      </c>
      <c r="AF13" s="2">
        <v>0</v>
      </c>
      <c r="AG13" s="2">
        <v>0</v>
      </c>
      <c r="AH13" s="2"/>
      <c r="AI13" s="2">
        <v>-25055</v>
      </c>
      <c r="AJ13" s="2">
        <v>0</v>
      </c>
      <c r="AK13" s="2">
        <v>0</v>
      </c>
      <c r="AL13" s="2">
        <v>0</v>
      </c>
      <c r="AM13" s="2">
        <v>0</v>
      </c>
    </row>
    <row r="14" spans="1:92">
      <c r="A14" s="360">
        <v>93402</v>
      </c>
      <c r="B14" s="361" t="s">
        <v>1037</v>
      </c>
      <c r="C14" s="369"/>
      <c r="E14" s="2">
        <v>-19132</v>
      </c>
      <c r="F14" s="2">
        <v>-18552</v>
      </c>
      <c r="G14" s="2">
        <v>-18172</v>
      </c>
      <c r="H14" s="2">
        <v>-16204</v>
      </c>
      <c r="I14" s="2">
        <v>0</v>
      </c>
      <c r="J14" s="2"/>
      <c r="K14" s="2">
        <v>0</v>
      </c>
      <c r="L14" s="2">
        <v>0</v>
      </c>
      <c r="M14" s="2">
        <v>0</v>
      </c>
      <c r="N14" s="2">
        <v>0</v>
      </c>
      <c r="O14" s="2">
        <v>0</v>
      </c>
      <c r="P14" s="2"/>
      <c r="Q14" s="2">
        <v>0</v>
      </c>
      <c r="R14" s="2">
        <v>0</v>
      </c>
      <c r="S14" s="2">
        <v>0</v>
      </c>
      <c r="T14" s="2">
        <v>0</v>
      </c>
      <c r="U14" s="2">
        <v>0</v>
      </c>
      <c r="V14" s="2"/>
      <c r="W14" s="2">
        <v>0</v>
      </c>
      <c r="X14" s="2">
        <v>0</v>
      </c>
      <c r="Y14" s="2">
        <v>0</v>
      </c>
      <c r="Z14" s="2">
        <v>0</v>
      </c>
      <c r="AA14" s="2">
        <v>0</v>
      </c>
      <c r="AB14" s="2"/>
      <c r="AC14" s="2">
        <v>0</v>
      </c>
      <c r="AD14" s="2">
        <v>0</v>
      </c>
      <c r="AE14" s="2">
        <v>0</v>
      </c>
      <c r="AF14" s="2">
        <v>0</v>
      </c>
      <c r="AG14" s="2">
        <v>0</v>
      </c>
      <c r="AH14" s="2"/>
      <c r="AI14" s="2">
        <v>-19132</v>
      </c>
      <c r="AJ14" s="2">
        <v>-18552</v>
      </c>
      <c r="AK14" s="2">
        <v>-18172</v>
      </c>
      <c r="AL14" s="2">
        <v>-16204</v>
      </c>
      <c r="AM14" s="2">
        <v>-18552</v>
      </c>
    </row>
    <row r="15" spans="1:92">
      <c r="A15" s="344">
        <v>93408</v>
      </c>
      <c r="B15" s="345" t="s">
        <v>1039</v>
      </c>
      <c r="C15" s="369"/>
      <c r="E15" s="2">
        <v>-421153</v>
      </c>
      <c r="F15" s="2">
        <v>-303143</v>
      </c>
      <c r="G15" s="2">
        <v>0</v>
      </c>
      <c r="H15" s="2">
        <v>0</v>
      </c>
      <c r="I15" s="2">
        <v>0</v>
      </c>
      <c r="J15" s="2"/>
      <c r="K15" s="2">
        <v>0</v>
      </c>
      <c r="L15" s="2">
        <v>0</v>
      </c>
      <c r="M15" s="2">
        <v>0</v>
      </c>
      <c r="N15" s="2">
        <v>0</v>
      </c>
      <c r="O15" s="2">
        <v>0</v>
      </c>
      <c r="P15" s="2"/>
      <c r="Q15" s="2">
        <v>0</v>
      </c>
      <c r="R15" s="2">
        <v>0</v>
      </c>
      <c r="S15" s="2">
        <v>0</v>
      </c>
      <c r="T15" s="2">
        <v>0</v>
      </c>
      <c r="U15" s="2">
        <v>0</v>
      </c>
      <c r="V15" s="2"/>
      <c r="W15" s="2">
        <v>0</v>
      </c>
      <c r="X15" s="2">
        <v>0</v>
      </c>
      <c r="Y15" s="2">
        <v>0</v>
      </c>
      <c r="Z15" s="2">
        <v>0</v>
      </c>
      <c r="AA15" s="2">
        <v>0</v>
      </c>
      <c r="AB15" s="2"/>
      <c r="AC15" s="2">
        <v>0</v>
      </c>
      <c r="AD15" s="2">
        <v>0</v>
      </c>
      <c r="AE15" s="2">
        <v>0</v>
      </c>
      <c r="AF15" s="2">
        <v>0</v>
      </c>
      <c r="AG15" s="2">
        <v>0</v>
      </c>
      <c r="AH15" s="2"/>
      <c r="AI15" s="2">
        <v>-421153</v>
      </c>
      <c r="AJ15" s="2">
        <v>-303143</v>
      </c>
      <c r="AK15" s="2">
        <v>0</v>
      </c>
      <c r="AL15" s="2">
        <v>0</v>
      </c>
      <c r="AM15" s="2">
        <v>-303143</v>
      </c>
    </row>
    <row r="16" spans="1:92">
      <c r="A16" s="344">
        <v>94402</v>
      </c>
      <c r="B16" s="345" t="s">
        <v>1135</v>
      </c>
      <c r="C16" s="369"/>
      <c r="E16" s="2">
        <v>0</v>
      </c>
      <c r="F16" s="2">
        <v>0</v>
      </c>
      <c r="G16" s="2">
        <v>0</v>
      </c>
      <c r="H16" s="2">
        <v>0</v>
      </c>
      <c r="I16" s="2">
        <v>0</v>
      </c>
      <c r="J16" s="2"/>
      <c r="K16" s="2">
        <v>0</v>
      </c>
      <c r="L16" s="2">
        <v>0</v>
      </c>
      <c r="M16" s="2">
        <v>0</v>
      </c>
      <c r="N16" s="2">
        <v>0</v>
      </c>
      <c r="O16" s="2">
        <v>0</v>
      </c>
      <c r="P16" s="2"/>
      <c r="Q16" s="2">
        <v>0</v>
      </c>
      <c r="R16" s="2">
        <v>0</v>
      </c>
      <c r="S16" s="2">
        <v>0</v>
      </c>
      <c r="T16" s="2">
        <v>0</v>
      </c>
      <c r="U16" s="2">
        <v>0</v>
      </c>
      <c r="V16" s="2"/>
      <c r="W16" s="2">
        <v>0</v>
      </c>
      <c r="X16" s="2">
        <v>0</v>
      </c>
      <c r="Y16" s="2">
        <v>0</v>
      </c>
      <c r="Z16" s="2">
        <v>0</v>
      </c>
      <c r="AA16" s="2">
        <v>0</v>
      </c>
      <c r="AB16" s="2"/>
      <c r="AC16" s="2">
        <v>0</v>
      </c>
      <c r="AD16" s="2">
        <v>0</v>
      </c>
      <c r="AE16" s="2">
        <v>0</v>
      </c>
      <c r="AF16" s="2">
        <v>0</v>
      </c>
      <c r="AG16" s="2">
        <v>0</v>
      </c>
      <c r="AH16" s="2"/>
      <c r="AI16" s="2">
        <v>0</v>
      </c>
      <c r="AJ16" s="2">
        <v>0</v>
      </c>
      <c r="AK16" s="2">
        <v>0</v>
      </c>
      <c r="AL16" s="2">
        <v>0</v>
      </c>
      <c r="AM16" s="2">
        <v>0</v>
      </c>
    </row>
    <row r="17" spans="1:39">
      <c r="A17" s="344">
        <v>94512</v>
      </c>
      <c r="B17" s="345" t="s">
        <v>1147</v>
      </c>
      <c r="C17" s="369"/>
      <c r="E17" s="2">
        <v>0</v>
      </c>
      <c r="F17" s="2">
        <v>0</v>
      </c>
      <c r="G17" s="2">
        <v>0</v>
      </c>
      <c r="H17" s="2">
        <v>0</v>
      </c>
      <c r="I17" s="2">
        <v>0</v>
      </c>
      <c r="J17" s="2"/>
      <c r="K17" s="2">
        <v>0</v>
      </c>
      <c r="L17" s="2">
        <v>0</v>
      </c>
      <c r="M17" s="2">
        <v>0</v>
      </c>
      <c r="N17" s="2">
        <v>0</v>
      </c>
      <c r="O17" s="2">
        <v>0</v>
      </c>
      <c r="P17" s="2"/>
      <c r="Q17" s="2">
        <v>0</v>
      </c>
      <c r="R17" s="2">
        <v>0</v>
      </c>
      <c r="S17" s="2">
        <v>0</v>
      </c>
      <c r="T17" s="2">
        <v>0</v>
      </c>
      <c r="U17" s="2">
        <v>0</v>
      </c>
      <c r="V17" s="2"/>
      <c r="W17" s="2">
        <v>0</v>
      </c>
      <c r="X17" s="2">
        <v>0</v>
      </c>
      <c r="Y17" s="2">
        <v>0</v>
      </c>
      <c r="Z17" s="2">
        <v>0</v>
      </c>
      <c r="AA17" s="2">
        <v>0</v>
      </c>
      <c r="AB17" s="2"/>
      <c r="AC17" s="2">
        <v>0</v>
      </c>
      <c r="AD17" s="2">
        <v>0</v>
      </c>
      <c r="AE17" s="2">
        <v>0</v>
      </c>
      <c r="AF17" s="2">
        <v>0</v>
      </c>
      <c r="AG17" s="2">
        <v>0</v>
      </c>
      <c r="AH17" s="2"/>
      <c r="AI17" s="2">
        <v>0</v>
      </c>
      <c r="AJ17" s="2">
        <v>0</v>
      </c>
      <c r="AK17" s="2">
        <v>0</v>
      </c>
      <c r="AL17" s="2">
        <v>0</v>
      </c>
      <c r="AM17" s="2">
        <v>0</v>
      </c>
    </row>
    <row r="18" spans="1:39">
      <c r="A18" s="360">
        <v>94606</v>
      </c>
      <c r="B18" s="361" t="s">
        <v>1158</v>
      </c>
      <c r="C18" s="369"/>
      <c r="E18" s="2">
        <v>-55480</v>
      </c>
      <c r="F18" s="2">
        <v>-51492</v>
      </c>
      <c r="G18" s="2">
        <v>-46761</v>
      </c>
      <c r="H18" s="2">
        <v>-40452</v>
      </c>
      <c r="I18" s="2">
        <v>0</v>
      </c>
      <c r="J18" s="2"/>
      <c r="K18" s="2">
        <v>0</v>
      </c>
      <c r="L18" s="2">
        <v>0</v>
      </c>
      <c r="M18" s="2">
        <v>0</v>
      </c>
      <c r="N18" s="2">
        <v>0</v>
      </c>
      <c r="O18" s="2">
        <v>0</v>
      </c>
      <c r="P18" s="2"/>
      <c r="Q18" s="2">
        <v>0</v>
      </c>
      <c r="R18" s="2">
        <v>0</v>
      </c>
      <c r="S18" s="2">
        <v>0</v>
      </c>
      <c r="T18" s="2">
        <v>0</v>
      </c>
      <c r="U18" s="2">
        <v>0</v>
      </c>
      <c r="V18" s="2"/>
      <c r="W18" s="2">
        <v>0</v>
      </c>
      <c r="X18" s="2">
        <v>0</v>
      </c>
      <c r="Y18" s="2">
        <v>0</v>
      </c>
      <c r="Z18" s="2">
        <v>0</v>
      </c>
      <c r="AA18" s="2">
        <v>0</v>
      </c>
      <c r="AB18" s="2"/>
      <c r="AC18" s="2">
        <v>0</v>
      </c>
      <c r="AD18" s="2">
        <v>0</v>
      </c>
      <c r="AE18" s="2">
        <v>0</v>
      </c>
      <c r="AF18" s="2">
        <v>0</v>
      </c>
      <c r="AG18" s="2">
        <v>0</v>
      </c>
      <c r="AH18" s="2"/>
      <c r="AI18" s="2">
        <v>-55480</v>
      </c>
      <c r="AJ18" s="2">
        <v>-51492</v>
      </c>
      <c r="AK18" s="2">
        <v>-46761</v>
      </c>
      <c r="AL18" s="2">
        <v>-40452</v>
      </c>
      <c r="AM18" s="2">
        <v>-51492</v>
      </c>
    </row>
    <row r="19" spans="1:39">
      <c r="A19" s="344">
        <v>95412</v>
      </c>
      <c r="B19" s="345" t="s">
        <v>3713</v>
      </c>
      <c r="C19" s="369"/>
      <c r="E19" s="2">
        <v>0</v>
      </c>
      <c r="F19" s="2">
        <v>0</v>
      </c>
      <c r="G19" s="2">
        <v>0</v>
      </c>
      <c r="H19" s="2">
        <v>0</v>
      </c>
      <c r="I19" s="2">
        <v>0</v>
      </c>
      <c r="J19" s="2"/>
      <c r="K19" s="2">
        <v>0</v>
      </c>
      <c r="L19" s="2">
        <v>0</v>
      </c>
      <c r="M19" s="2">
        <v>0</v>
      </c>
      <c r="N19" s="2">
        <v>0</v>
      </c>
      <c r="O19" s="2">
        <v>0</v>
      </c>
      <c r="P19" s="2"/>
      <c r="Q19" s="2">
        <v>0</v>
      </c>
      <c r="R19" s="2">
        <v>0</v>
      </c>
      <c r="S19" s="2">
        <v>0</v>
      </c>
      <c r="T19" s="2">
        <v>0</v>
      </c>
      <c r="U19" s="2">
        <v>0</v>
      </c>
      <c r="V19" s="2"/>
      <c r="W19" s="2">
        <v>0</v>
      </c>
      <c r="X19" s="2">
        <v>0</v>
      </c>
      <c r="Y19" s="2">
        <v>0</v>
      </c>
      <c r="Z19" s="2">
        <v>0</v>
      </c>
      <c r="AA19" s="2">
        <v>0</v>
      </c>
      <c r="AB19" s="2"/>
      <c r="AC19" s="2">
        <v>0</v>
      </c>
      <c r="AD19" s="2">
        <v>0</v>
      </c>
      <c r="AE19" s="2">
        <v>0</v>
      </c>
      <c r="AF19" s="2">
        <v>0</v>
      </c>
      <c r="AG19" s="2">
        <v>0</v>
      </c>
      <c r="AH19" s="2"/>
      <c r="AI19" s="2">
        <v>0</v>
      </c>
      <c r="AJ19" s="2">
        <v>0</v>
      </c>
      <c r="AK19" s="2">
        <v>0</v>
      </c>
      <c r="AL19" s="2">
        <v>0</v>
      </c>
      <c r="AM19" s="2">
        <v>0</v>
      </c>
    </row>
    <row r="20" spans="1:39">
      <c r="A20" s="344">
        <v>97010</v>
      </c>
      <c r="B20" s="345" t="s">
        <v>1347</v>
      </c>
      <c r="C20" s="369"/>
      <c r="E20" s="2">
        <v>0</v>
      </c>
      <c r="F20" s="2">
        <v>0</v>
      </c>
      <c r="G20" s="2">
        <v>0</v>
      </c>
      <c r="H20" s="2">
        <v>0</v>
      </c>
      <c r="I20" s="2">
        <v>0</v>
      </c>
      <c r="J20" s="2"/>
      <c r="K20" s="2">
        <v>0</v>
      </c>
      <c r="L20" s="2">
        <v>0</v>
      </c>
      <c r="M20" s="2">
        <v>0</v>
      </c>
      <c r="N20" s="2">
        <v>0</v>
      </c>
      <c r="O20" s="2">
        <v>0</v>
      </c>
      <c r="P20" s="2"/>
      <c r="Q20" s="2">
        <v>0</v>
      </c>
      <c r="R20" s="2">
        <v>0</v>
      </c>
      <c r="S20" s="2">
        <v>0</v>
      </c>
      <c r="T20" s="2">
        <v>0</v>
      </c>
      <c r="U20" s="2">
        <v>0</v>
      </c>
      <c r="V20" s="2"/>
      <c r="W20" s="2">
        <v>0</v>
      </c>
      <c r="X20" s="2">
        <v>0</v>
      </c>
      <c r="Y20" s="2">
        <v>0</v>
      </c>
      <c r="Z20" s="2">
        <v>0</v>
      </c>
      <c r="AA20" s="2">
        <v>0</v>
      </c>
      <c r="AB20" s="2"/>
      <c r="AC20" s="2">
        <v>0</v>
      </c>
      <c r="AD20" s="2">
        <v>0</v>
      </c>
      <c r="AE20" s="2">
        <v>0</v>
      </c>
      <c r="AF20" s="2">
        <v>0</v>
      </c>
      <c r="AG20" s="2">
        <v>0</v>
      </c>
      <c r="AH20" s="2"/>
      <c r="AI20" s="2">
        <v>0</v>
      </c>
      <c r="AJ20" s="2">
        <v>0</v>
      </c>
      <c r="AK20" s="2">
        <v>0</v>
      </c>
      <c r="AL20" s="2">
        <v>0</v>
      </c>
      <c r="AM20" s="2">
        <v>0</v>
      </c>
    </row>
    <row r="21" spans="1:39">
      <c r="A21" s="344">
        <v>97302</v>
      </c>
      <c r="B21" s="345" t="s">
        <v>3611</v>
      </c>
      <c r="C21" s="369"/>
      <c r="E21" s="2">
        <v>2721</v>
      </c>
      <c r="F21" s="2">
        <v>2721</v>
      </c>
      <c r="G21" s="2">
        <v>2721</v>
      </c>
      <c r="H21" s="2">
        <v>2722</v>
      </c>
      <c r="I21" s="2">
        <v>0</v>
      </c>
      <c r="J21" s="2"/>
      <c r="K21" s="2">
        <v>0</v>
      </c>
      <c r="L21" s="2">
        <v>0</v>
      </c>
      <c r="M21" s="2">
        <v>0</v>
      </c>
      <c r="N21" s="2">
        <v>0</v>
      </c>
      <c r="O21" s="2">
        <v>0</v>
      </c>
      <c r="P21" s="2"/>
      <c r="Q21" s="2">
        <v>0</v>
      </c>
      <c r="R21" s="2">
        <v>0</v>
      </c>
      <c r="S21" s="2">
        <v>0</v>
      </c>
      <c r="T21" s="2">
        <v>0</v>
      </c>
      <c r="U21" s="2">
        <v>0</v>
      </c>
      <c r="V21" s="2"/>
      <c r="W21" s="2">
        <v>0</v>
      </c>
      <c r="X21" s="2">
        <v>0</v>
      </c>
      <c r="Y21" s="2">
        <v>0</v>
      </c>
      <c r="Z21" s="2">
        <v>0</v>
      </c>
      <c r="AA21" s="2">
        <v>0</v>
      </c>
      <c r="AB21" s="2"/>
      <c r="AC21" s="2">
        <v>2721</v>
      </c>
      <c r="AD21" s="2">
        <v>2721</v>
      </c>
      <c r="AE21" s="2">
        <v>2721</v>
      </c>
      <c r="AF21" s="2">
        <v>2722</v>
      </c>
      <c r="AG21" s="2">
        <v>0</v>
      </c>
      <c r="AH21" s="2"/>
      <c r="AI21" s="2">
        <v>0</v>
      </c>
      <c r="AJ21" s="2">
        <v>0</v>
      </c>
      <c r="AK21" s="2">
        <v>0</v>
      </c>
      <c r="AL21" s="2">
        <v>0</v>
      </c>
      <c r="AM21" s="2">
        <v>0</v>
      </c>
    </row>
    <row r="22" spans="1:39">
      <c r="A22" s="344">
        <v>97491</v>
      </c>
      <c r="B22" s="345" t="s">
        <v>3714</v>
      </c>
      <c r="C22" s="369"/>
      <c r="E22" s="2">
        <v>0</v>
      </c>
      <c r="F22" s="2">
        <v>0</v>
      </c>
      <c r="G22" s="2">
        <v>0</v>
      </c>
      <c r="H22" s="2">
        <v>0</v>
      </c>
      <c r="I22" s="2">
        <v>0</v>
      </c>
      <c r="J22" s="2"/>
      <c r="K22" s="2">
        <v>0</v>
      </c>
      <c r="L22" s="2">
        <v>0</v>
      </c>
      <c r="M22" s="2">
        <v>0</v>
      </c>
      <c r="N22" s="2">
        <v>0</v>
      </c>
      <c r="O22" s="2">
        <v>0</v>
      </c>
      <c r="P22" s="2"/>
      <c r="Q22" s="2">
        <v>0</v>
      </c>
      <c r="R22" s="2">
        <v>0</v>
      </c>
      <c r="S22" s="2">
        <v>0</v>
      </c>
      <c r="T22" s="2">
        <v>0</v>
      </c>
      <c r="U22" s="2">
        <v>0</v>
      </c>
      <c r="V22" s="2"/>
      <c r="W22" s="2">
        <v>0</v>
      </c>
      <c r="X22" s="2">
        <v>0</v>
      </c>
      <c r="Y22" s="2">
        <v>0</v>
      </c>
      <c r="Z22" s="2">
        <v>0</v>
      </c>
      <c r="AA22" s="2">
        <v>0</v>
      </c>
      <c r="AB22" s="2"/>
      <c r="AC22" s="2">
        <v>0</v>
      </c>
      <c r="AD22" s="2">
        <v>0</v>
      </c>
      <c r="AE22" s="2">
        <v>0</v>
      </c>
      <c r="AF22" s="2">
        <v>0</v>
      </c>
      <c r="AG22" s="2">
        <v>0</v>
      </c>
      <c r="AH22" s="2"/>
      <c r="AI22" s="2">
        <v>0</v>
      </c>
      <c r="AJ22" s="2">
        <v>0</v>
      </c>
      <c r="AK22" s="2">
        <v>0</v>
      </c>
      <c r="AL22" s="2">
        <v>0</v>
      </c>
      <c r="AM22" s="2">
        <v>0</v>
      </c>
    </row>
    <row r="23" spans="1:39">
      <c r="A23" s="367">
        <v>71786</v>
      </c>
      <c r="B23" s="345" t="s">
        <v>1487</v>
      </c>
      <c r="C23" s="369"/>
      <c r="E23" s="2">
        <v>-7538</v>
      </c>
      <c r="F23" s="2">
        <v>-6946</v>
      </c>
      <c r="G23" s="2">
        <v>-1825</v>
      </c>
      <c r="H23" s="2">
        <v>0</v>
      </c>
      <c r="I23" s="2">
        <v>0</v>
      </c>
      <c r="J23" s="2"/>
      <c r="K23" s="2">
        <v>0</v>
      </c>
      <c r="L23" s="2">
        <v>0</v>
      </c>
      <c r="M23" s="2">
        <v>0</v>
      </c>
      <c r="N23" s="2">
        <v>0</v>
      </c>
      <c r="O23" s="2">
        <v>0</v>
      </c>
      <c r="P23" s="2"/>
      <c r="Q23" s="2">
        <v>0</v>
      </c>
      <c r="R23" s="2">
        <v>0</v>
      </c>
      <c r="S23" s="2">
        <v>0</v>
      </c>
      <c r="T23" s="2">
        <v>0</v>
      </c>
      <c r="U23" s="2">
        <v>0</v>
      </c>
      <c r="V23" s="2"/>
      <c r="W23" s="2">
        <v>0</v>
      </c>
      <c r="X23" s="2">
        <v>0</v>
      </c>
      <c r="Y23" s="2">
        <v>0</v>
      </c>
      <c r="Z23" s="2">
        <v>0</v>
      </c>
      <c r="AA23" s="2">
        <v>0</v>
      </c>
      <c r="AB23" s="2"/>
      <c r="AC23" s="2">
        <v>0</v>
      </c>
      <c r="AD23" s="2">
        <v>0</v>
      </c>
      <c r="AE23" s="2">
        <v>0</v>
      </c>
      <c r="AF23" s="2">
        <v>0</v>
      </c>
      <c r="AG23" s="2">
        <v>0</v>
      </c>
      <c r="AH23" s="2"/>
      <c r="AI23" s="2">
        <v>-7538</v>
      </c>
      <c r="AJ23" s="2">
        <v>-6946</v>
      </c>
      <c r="AK23" s="2">
        <v>-1825</v>
      </c>
      <c r="AL23" s="2">
        <v>0</v>
      </c>
      <c r="AM23" s="2">
        <v>-6946</v>
      </c>
    </row>
    <row r="24" spans="1:39">
      <c r="A24" s="368">
        <v>98414</v>
      </c>
      <c r="B24" s="342" t="s">
        <v>1487</v>
      </c>
      <c r="C24" s="234" t="e">
        <f>VLOOKUP(A24,#REF!,10,FALSE)</f>
        <v>#REF!</v>
      </c>
      <c r="E24" s="2">
        <v>18201</v>
      </c>
      <c r="F24" s="2">
        <v>8052</v>
      </c>
      <c r="G24" s="2">
        <v>7864</v>
      </c>
      <c r="H24" s="2">
        <v>253</v>
      </c>
      <c r="I24" s="2">
        <v>0</v>
      </c>
      <c r="J24" s="2"/>
      <c r="K24" s="2">
        <v>4509</v>
      </c>
      <c r="L24" s="2">
        <v>4242</v>
      </c>
      <c r="M24" s="2">
        <v>3802</v>
      </c>
      <c r="N24" s="2">
        <v>1522</v>
      </c>
      <c r="O24" s="2">
        <v>0</v>
      </c>
      <c r="P24" s="2"/>
      <c r="Q24" s="2">
        <v>4787</v>
      </c>
      <c r="R24" s="2">
        <v>-4118</v>
      </c>
      <c r="S24" s="2">
        <v>580</v>
      </c>
      <c r="T24" s="2">
        <v>755</v>
      </c>
      <c r="U24" s="2">
        <v>0</v>
      </c>
      <c r="V24" s="2"/>
      <c r="W24" s="2">
        <v>5393</v>
      </c>
      <c r="X24" s="2">
        <v>4418</v>
      </c>
      <c r="Y24" s="2">
        <v>3587</v>
      </c>
      <c r="Z24" s="2">
        <v>0</v>
      </c>
      <c r="AA24" s="2">
        <v>0</v>
      </c>
      <c r="AB24" s="2"/>
      <c r="AC24" s="2">
        <v>5537</v>
      </c>
      <c r="AD24" s="2">
        <v>5535</v>
      </c>
      <c r="AE24" s="2">
        <v>1920</v>
      </c>
      <c r="AF24" s="2">
        <v>0</v>
      </c>
      <c r="AG24" s="2">
        <v>0</v>
      </c>
      <c r="AH24" s="2"/>
      <c r="AI24" s="2">
        <v>-2025</v>
      </c>
      <c r="AJ24" s="2">
        <v>-2025</v>
      </c>
      <c r="AK24" s="2">
        <v>-2025</v>
      </c>
      <c r="AL24" s="2">
        <v>-2024</v>
      </c>
      <c r="AM24" s="2">
        <v>-2025</v>
      </c>
    </row>
    <row r="25" spans="1:39">
      <c r="A25" s="367">
        <v>92509</v>
      </c>
      <c r="B25" s="345" t="s">
        <v>1614</v>
      </c>
      <c r="C25" s="369"/>
      <c r="E25" s="2">
        <v>-260868</v>
      </c>
      <c r="F25" s="2">
        <v>0</v>
      </c>
      <c r="G25" s="2">
        <v>0</v>
      </c>
      <c r="H25" s="2">
        <v>0</v>
      </c>
      <c r="I25" s="2">
        <v>0</v>
      </c>
      <c r="J25" s="2"/>
      <c r="K25" s="2">
        <v>0</v>
      </c>
      <c r="L25" s="2">
        <v>0</v>
      </c>
      <c r="M25" s="2">
        <v>0</v>
      </c>
      <c r="N25" s="2">
        <v>0</v>
      </c>
      <c r="O25" s="2">
        <v>0</v>
      </c>
      <c r="P25" s="2"/>
      <c r="Q25" s="2">
        <v>0</v>
      </c>
      <c r="R25" s="2">
        <v>0</v>
      </c>
      <c r="S25" s="2">
        <v>0</v>
      </c>
      <c r="T25" s="2">
        <v>0</v>
      </c>
      <c r="U25" s="2">
        <v>0</v>
      </c>
      <c r="V25" s="2"/>
      <c r="W25" s="2">
        <v>0</v>
      </c>
      <c r="X25" s="2">
        <v>0</v>
      </c>
      <c r="Y25" s="2">
        <v>0</v>
      </c>
      <c r="Z25" s="2">
        <v>0</v>
      </c>
      <c r="AA25" s="2">
        <v>0</v>
      </c>
      <c r="AB25" s="2"/>
      <c r="AC25" s="2">
        <v>0</v>
      </c>
      <c r="AD25" s="2">
        <v>0</v>
      </c>
      <c r="AE25" s="2">
        <v>0</v>
      </c>
      <c r="AF25" s="2">
        <v>0</v>
      </c>
      <c r="AG25" s="2">
        <v>0</v>
      </c>
      <c r="AH25" s="2"/>
      <c r="AI25" s="2">
        <v>-260868</v>
      </c>
      <c r="AJ25" s="2">
        <v>0</v>
      </c>
      <c r="AK25" s="2">
        <v>0</v>
      </c>
      <c r="AL25" s="2">
        <v>0</v>
      </c>
      <c r="AM25" s="2">
        <v>0</v>
      </c>
    </row>
    <row r="26" spans="1:39">
      <c r="A26" s="367">
        <v>96519</v>
      </c>
      <c r="B26" s="345" t="s">
        <v>1615</v>
      </c>
      <c r="C26" s="369"/>
      <c r="E26" s="2">
        <v>-207555</v>
      </c>
      <c r="F26" s="2">
        <v>0</v>
      </c>
      <c r="G26" s="2">
        <v>0</v>
      </c>
      <c r="H26" s="2">
        <v>0</v>
      </c>
      <c r="I26" s="2">
        <v>0</v>
      </c>
      <c r="J26" s="2"/>
      <c r="K26" s="2">
        <v>0</v>
      </c>
      <c r="L26" s="2">
        <v>0</v>
      </c>
      <c r="M26" s="2">
        <v>0</v>
      </c>
      <c r="N26" s="2">
        <v>0</v>
      </c>
      <c r="O26" s="2">
        <v>0</v>
      </c>
      <c r="P26" s="2"/>
      <c r="Q26" s="2">
        <v>0</v>
      </c>
      <c r="R26" s="2">
        <v>0</v>
      </c>
      <c r="S26" s="2">
        <v>0</v>
      </c>
      <c r="T26" s="2">
        <v>0</v>
      </c>
      <c r="U26" s="2">
        <v>0</v>
      </c>
      <c r="V26" s="2"/>
      <c r="W26" s="2">
        <v>0</v>
      </c>
      <c r="X26" s="2">
        <v>0</v>
      </c>
      <c r="Y26" s="2">
        <v>0</v>
      </c>
      <c r="Z26" s="2">
        <v>0</v>
      </c>
      <c r="AA26" s="2">
        <v>0</v>
      </c>
      <c r="AB26" s="2"/>
      <c r="AC26" s="2">
        <v>0</v>
      </c>
      <c r="AD26" s="2">
        <v>0</v>
      </c>
      <c r="AE26" s="2">
        <v>0</v>
      </c>
      <c r="AF26" s="2">
        <v>0</v>
      </c>
      <c r="AG26" s="2">
        <v>0</v>
      </c>
      <c r="AH26" s="2"/>
      <c r="AI26" s="2">
        <v>-207555</v>
      </c>
      <c r="AJ26" s="2">
        <v>0</v>
      </c>
      <c r="AK26" s="2">
        <v>0</v>
      </c>
      <c r="AL26" s="2">
        <v>0</v>
      </c>
      <c r="AM26" s="2">
        <v>0</v>
      </c>
    </row>
    <row r="27" spans="1:39">
      <c r="A27" s="368">
        <v>97461</v>
      </c>
      <c r="B27" s="354" t="s">
        <v>1379</v>
      </c>
      <c r="C27" s="234" t="e">
        <f>VLOOKUP(A27,#REF!,10,FALSE)</f>
        <v>#REF!</v>
      </c>
      <c r="E27" s="2">
        <v>271138</v>
      </c>
      <c r="F27" s="2">
        <v>81320</v>
      </c>
      <c r="G27" s="2">
        <v>145991</v>
      </c>
      <c r="H27" s="2">
        <v>46771</v>
      </c>
      <c r="I27" s="2">
        <v>0</v>
      </c>
      <c r="J27" s="2"/>
      <c r="K27" s="2">
        <v>86289</v>
      </c>
      <c r="L27" s="2">
        <v>81170</v>
      </c>
      <c r="M27" s="2">
        <v>72752</v>
      </c>
      <c r="N27" s="2">
        <v>29129</v>
      </c>
      <c r="O27" s="2">
        <v>0</v>
      </c>
      <c r="P27" s="2"/>
      <c r="Q27" s="2">
        <v>91608</v>
      </c>
      <c r="R27" s="2">
        <v>-78800</v>
      </c>
      <c r="S27" s="2">
        <v>11106</v>
      </c>
      <c r="T27" s="2">
        <v>14454</v>
      </c>
      <c r="U27" s="2">
        <v>0</v>
      </c>
      <c r="V27" s="2"/>
      <c r="W27" s="2">
        <v>103197</v>
      </c>
      <c r="X27" s="2">
        <v>84543</v>
      </c>
      <c r="Y27" s="2">
        <v>68634</v>
      </c>
      <c r="Z27" s="2">
        <v>0</v>
      </c>
      <c r="AA27" s="2">
        <v>0</v>
      </c>
      <c r="AB27" s="2"/>
      <c r="AC27" s="2">
        <v>4098</v>
      </c>
      <c r="AD27" s="2">
        <v>4098</v>
      </c>
      <c r="AE27" s="2">
        <v>3188</v>
      </c>
      <c r="AF27" s="2">
        <v>3188</v>
      </c>
      <c r="AG27" s="2">
        <v>0</v>
      </c>
      <c r="AH27" s="2"/>
      <c r="AI27" s="2">
        <v>-14054</v>
      </c>
      <c r="AJ27" s="2">
        <v>-9691</v>
      </c>
      <c r="AK27" s="2">
        <v>-9689</v>
      </c>
      <c r="AL27" s="2">
        <v>0</v>
      </c>
      <c r="AM27" s="2">
        <v>-9691</v>
      </c>
    </row>
    <row r="28" spans="1:39">
      <c r="A28" s="367">
        <v>97463</v>
      </c>
      <c r="B28" s="345" t="s">
        <v>1380</v>
      </c>
      <c r="C28" s="369"/>
      <c r="E28" s="2">
        <v>-8957</v>
      </c>
      <c r="F28" s="2">
        <v>-7626</v>
      </c>
      <c r="G28" s="2">
        <v>-5607</v>
      </c>
      <c r="H28" s="2">
        <v>0</v>
      </c>
      <c r="I28" s="2">
        <v>0</v>
      </c>
      <c r="J28" s="2"/>
      <c r="K28" s="2">
        <v>0</v>
      </c>
      <c r="L28" s="2">
        <v>0</v>
      </c>
      <c r="M28" s="2">
        <v>0</v>
      </c>
      <c r="N28" s="2">
        <v>0</v>
      </c>
      <c r="O28" s="2">
        <v>0</v>
      </c>
      <c r="P28" s="2"/>
      <c r="Q28" s="2">
        <v>0</v>
      </c>
      <c r="R28" s="2">
        <v>0</v>
      </c>
      <c r="S28" s="2">
        <v>0</v>
      </c>
      <c r="T28" s="2">
        <v>0</v>
      </c>
      <c r="U28" s="2">
        <v>0</v>
      </c>
      <c r="V28" s="2"/>
      <c r="W28" s="2">
        <v>0</v>
      </c>
      <c r="X28" s="2">
        <v>0</v>
      </c>
      <c r="Y28" s="2">
        <v>0</v>
      </c>
      <c r="Z28" s="2">
        <v>0</v>
      </c>
      <c r="AA28" s="2">
        <v>0</v>
      </c>
      <c r="AB28" s="2"/>
      <c r="AC28" s="2">
        <v>0</v>
      </c>
      <c r="AD28" s="2">
        <v>0</v>
      </c>
      <c r="AE28" s="2">
        <v>0</v>
      </c>
      <c r="AF28" s="2">
        <v>0</v>
      </c>
      <c r="AG28" s="2">
        <v>0</v>
      </c>
      <c r="AH28" s="2"/>
      <c r="AI28" s="2">
        <v>-8957</v>
      </c>
      <c r="AJ28" s="2">
        <v>-7626</v>
      </c>
      <c r="AK28" s="2">
        <v>-5607</v>
      </c>
      <c r="AL28" s="2">
        <v>0</v>
      </c>
      <c r="AM28" s="2">
        <v>-7626</v>
      </c>
    </row>
    <row r="29" spans="1:39">
      <c r="A29" s="368">
        <v>98604</v>
      </c>
      <c r="B29" s="354" t="s">
        <v>1500</v>
      </c>
      <c r="C29" s="234" t="e">
        <f>VLOOKUP(A29,#REF!,10,FALSE)</f>
        <v>#REF!</v>
      </c>
      <c r="E29" s="2">
        <v>8122</v>
      </c>
      <c r="F29" s="2">
        <v>2247</v>
      </c>
      <c r="G29" s="2">
        <v>3754</v>
      </c>
      <c r="H29" s="2">
        <v>1247</v>
      </c>
      <c r="I29" s="2">
        <v>0</v>
      </c>
      <c r="J29" s="2"/>
      <c r="K29" s="2">
        <v>1813</v>
      </c>
      <c r="L29" s="2">
        <v>1705</v>
      </c>
      <c r="M29" s="2">
        <v>1528</v>
      </c>
      <c r="N29" s="2">
        <v>612</v>
      </c>
      <c r="O29" s="2">
        <v>0</v>
      </c>
      <c r="P29" s="2"/>
      <c r="Q29" s="2">
        <v>1924</v>
      </c>
      <c r="R29" s="2">
        <v>-1655</v>
      </c>
      <c r="S29" s="2">
        <v>233</v>
      </c>
      <c r="T29" s="2">
        <v>304</v>
      </c>
      <c r="U29" s="2">
        <v>0</v>
      </c>
      <c r="V29" s="2"/>
      <c r="W29" s="2">
        <v>2168</v>
      </c>
      <c r="X29" s="2">
        <v>1776</v>
      </c>
      <c r="Y29" s="2">
        <v>1442</v>
      </c>
      <c r="Z29" s="2">
        <v>0</v>
      </c>
      <c r="AA29" s="2">
        <v>0</v>
      </c>
      <c r="AB29" s="2"/>
      <c r="AC29" s="2">
        <v>2349</v>
      </c>
      <c r="AD29" s="2">
        <v>552</v>
      </c>
      <c r="AE29" s="2">
        <v>551</v>
      </c>
      <c r="AF29" s="2">
        <v>331</v>
      </c>
      <c r="AG29" s="2">
        <v>0</v>
      </c>
      <c r="AH29" s="2"/>
      <c r="AI29" s="2">
        <v>-132</v>
      </c>
      <c r="AJ29" s="2">
        <v>-131</v>
      </c>
      <c r="AK29" s="2">
        <v>0</v>
      </c>
      <c r="AL29" s="2">
        <v>0</v>
      </c>
      <c r="AM29" s="2">
        <v>-131</v>
      </c>
    </row>
    <row r="30" spans="1:39">
      <c r="A30" s="367">
        <v>98647</v>
      </c>
      <c r="B30" s="345" t="s">
        <v>1616</v>
      </c>
      <c r="C30" s="369"/>
      <c r="E30" s="2">
        <v>-1498</v>
      </c>
      <c r="F30" s="2">
        <v>0</v>
      </c>
      <c r="G30" s="2">
        <v>0</v>
      </c>
      <c r="H30" s="2">
        <v>0</v>
      </c>
      <c r="I30" s="2">
        <v>0</v>
      </c>
      <c r="J30" s="2"/>
      <c r="K30" s="2">
        <v>0</v>
      </c>
      <c r="L30" s="2">
        <v>0</v>
      </c>
      <c r="M30" s="2">
        <v>0</v>
      </c>
      <c r="N30" s="2">
        <v>0</v>
      </c>
      <c r="O30" s="2">
        <v>0</v>
      </c>
      <c r="P30" s="2"/>
      <c r="Q30" s="2">
        <v>0</v>
      </c>
      <c r="R30" s="2">
        <v>0</v>
      </c>
      <c r="S30" s="2">
        <v>0</v>
      </c>
      <c r="T30" s="2">
        <v>0</v>
      </c>
      <c r="U30" s="2">
        <v>0</v>
      </c>
      <c r="V30" s="2"/>
      <c r="W30" s="2">
        <v>0</v>
      </c>
      <c r="X30" s="2">
        <v>0</v>
      </c>
      <c r="Y30" s="2">
        <v>0</v>
      </c>
      <c r="Z30" s="2">
        <v>0</v>
      </c>
      <c r="AA30" s="2">
        <v>0</v>
      </c>
      <c r="AB30" s="2"/>
      <c r="AC30" s="2">
        <v>0</v>
      </c>
      <c r="AD30" s="2">
        <v>0</v>
      </c>
      <c r="AE30" s="2">
        <v>0</v>
      </c>
      <c r="AF30" s="2">
        <v>0</v>
      </c>
      <c r="AG30" s="2">
        <v>0</v>
      </c>
      <c r="AH30" s="2"/>
      <c r="AI30" s="2">
        <v>-1498</v>
      </c>
      <c r="AJ30" s="2">
        <v>0</v>
      </c>
      <c r="AK30" s="2">
        <v>0</v>
      </c>
      <c r="AL30" s="2">
        <v>0</v>
      </c>
      <c r="AM30" s="2">
        <v>0</v>
      </c>
    </row>
    <row r="31" spans="1:39">
      <c r="A31" s="349">
        <v>70505</v>
      </c>
      <c r="B31" s="342" t="s">
        <v>723</v>
      </c>
      <c r="C31" s="234" t="e">
        <f>VLOOKUP(A31,#REF!,10,FALSE)</f>
        <v>#REF!</v>
      </c>
      <c r="E31" s="2">
        <v>136815</v>
      </c>
      <c r="F31" s="2">
        <v>31143</v>
      </c>
      <c r="G31" s="2">
        <v>76581</v>
      </c>
      <c r="H31" s="2">
        <v>19001</v>
      </c>
      <c r="I31" s="2">
        <v>0</v>
      </c>
      <c r="J31" s="2"/>
      <c r="K31" s="2">
        <v>49272</v>
      </c>
      <c r="L31" s="2">
        <v>46349</v>
      </c>
      <c r="M31" s="2">
        <v>41542</v>
      </c>
      <c r="N31" s="2">
        <v>16633</v>
      </c>
      <c r="O31" s="2">
        <v>0</v>
      </c>
      <c r="P31" s="2"/>
      <c r="Q31" s="2">
        <v>52309</v>
      </c>
      <c r="R31" s="2">
        <v>-44995</v>
      </c>
      <c r="S31" s="2">
        <v>6342</v>
      </c>
      <c r="T31" s="2">
        <v>8253</v>
      </c>
      <c r="U31" s="2">
        <v>0</v>
      </c>
      <c r="V31" s="2"/>
      <c r="W31" s="2">
        <v>58926</v>
      </c>
      <c r="X31" s="2">
        <v>48275</v>
      </c>
      <c r="Y31" s="2">
        <v>39191</v>
      </c>
      <c r="Z31" s="2">
        <v>0</v>
      </c>
      <c r="AA31" s="2">
        <v>0</v>
      </c>
      <c r="AB31" s="2"/>
      <c r="AC31" s="2">
        <v>0</v>
      </c>
      <c r="AD31" s="2">
        <v>0</v>
      </c>
      <c r="AE31" s="2">
        <v>0</v>
      </c>
      <c r="AF31" s="2">
        <v>0</v>
      </c>
      <c r="AG31" s="2">
        <v>0</v>
      </c>
      <c r="AH31" s="2"/>
      <c r="AI31" s="2">
        <v>-23692</v>
      </c>
      <c r="AJ31" s="2">
        <v>-18486</v>
      </c>
      <c r="AK31" s="2">
        <v>-10494</v>
      </c>
      <c r="AL31" s="2">
        <v>-5885</v>
      </c>
      <c r="AM31" s="2">
        <v>-18486</v>
      </c>
    </row>
    <row r="32" spans="1:39">
      <c r="A32" s="349">
        <v>72265</v>
      </c>
      <c r="B32" s="342" t="s">
        <v>724</v>
      </c>
      <c r="C32" s="234" t="e">
        <f>VLOOKUP(A32,#REF!,10,FALSE)</f>
        <v>#REF!</v>
      </c>
      <c r="E32" s="2">
        <v>70515</v>
      </c>
      <c r="F32" s="2">
        <v>23047</v>
      </c>
      <c r="G32" s="2">
        <v>38699</v>
      </c>
      <c r="H32" s="2">
        <v>9456</v>
      </c>
      <c r="I32" s="2">
        <v>0</v>
      </c>
      <c r="J32" s="2"/>
      <c r="K32" s="2">
        <v>21572</v>
      </c>
      <c r="L32" s="2">
        <v>20292</v>
      </c>
      <c r="M32" s="2">
        <v>18188</v>
      </c>
      <c r="N32" s="2">
        <v>7282</v>
      </c>
      <c r="O32" s="2">
        <v>0</v>
      </c>
      <c r="P32" s="2"/>
      <c r="Q32" s="2">
        <v>22902</v>
      </c>
      <c r="R32" s="2">
        <v>-19700</v>
      </c>
      <c r="S32" s="2">
        <v>2776</v>
      </c>
      <c r="T32" s="2">
        <v>3614</v>
      </c>
      <c r="U32" s="2">
        <v>0</v>
      </c>
      <c r="V32" s="2"/>
      <c r="W32" s="2">
        <v>25799</v>
      </c>
      <c r="X32" s="2">
        <v>21136</v>
      </c>
      <c r="Y32" s="2">
        <v>17159</v>
      </c>
      <c r="Z32" s="2">
        <v>0</v>
      </c>
      <c r="AA32" s="2">
        <v>0</v>
      </c>
      <c r="AB32" s="2"/>
      <c r="AC32" s="2">
        <v>2759</v>
      </c>
      <c r="AD32" s="2">
        <v>2760</v>
      </c>
      <c r="AE32" s="2">
        <v>2017</v>
      </c>
      <c r="AF32" s="2">
        <v>0</v>
      </c>
      <c r="AG32" s="2">
        <v>0</v>
      </c>
      <c r="AH32" s="2"/>
      <c r="AI32" s="2">
        <v>-2517</v>
      </c>
      <c r="AJ32" s="2">
        <v>-1441</v>
      </c>
      <c r="AK32" s="2">
        <v>-1441</v>
      </c>
      <c r="AL32" s="2">
        <v>-1440</v>
      </c>
      <c r="AM32" s="2">
        <v>-1441</v>
      </c>
    </row>
    <row r="33" spans="1:39">
      <c r="A33" s="349">
        <v>72593</v>
      </c>
      <c r="B33" s="342" t="s">
        <v>725</v>
      </c>
      <c r="C33" s="234" t="e">
        <f>VLOOKUP(A33,#REF!,10,FALSE)</f>
        <v>#REF!</v>
      </c>
      <c r="E33" s="2">
        <v>3482</v>
      </c>
      <c r="F33" s="2">
        <v>1427</v>
      </c>
      <c r="G33" s="2">
        <v>1369</v>
      </c>
      <c r="H33" s="2">
        <v>359</v>
      </c>
      <c r="I33" s="2">
        <v>0</v>
      </c>
      <c r="J33" s="2"/>
      <c r="K33" s="2">
        <v>914</v>
      </c>
      <c r="L33" s="2">
        <v>860</v>
      </c>
      <c r="M33" s="2">
        <v>770</v>
      </c>
      <c r="N33" s="2">
        <v>308</v>
      </c>
      <c r="O33" s="2">
        <v>0</v>
      </c>
      <c r="P33" s="2"/>
      <c r="Q33" s="2">
        <v>970</v>
      </c>
      <c r="R33" s="2">
        <v>-835</v>
      </c>
      <c r="S33" s="2">
        <v>118</v>
      </c>
      <c r="T33" s="2">
        <v>153</v>
      </c>
      <c r="U33" s="2">
        <v>0</v>
      </c>
      <c r="V33" s="2"/>
      <c r="W33" s="2">
        <v>1093</v>
      </c>
      <c r="X33" s="2">
        <v>895</v>
      </c>
      <c r="Y33" s="2">
        <v>727</v>
      </c>
      <c r="Z33" s="2">
        <v>0</v>
      </c>
      <c r="AA33" s="2">
        <v>0</v>
      </c>
      <c r="AB33" s="2"/>
      <c r="AC33" s="2">
        <v>753</v>
      </c>
      <c r="AD33" s="2">
        <v>755</v>
      </c>
      <c r="AE33" s="2">
        <v>0</v>
      </c>
      <c r="AF33" s="2">
        <v>0</v>
      </c>
      <c r="AG33" s="2">
        <v>0</v>
      </c>
      <c r="AH33" s="2"/>
      <c r="AI33" s="2">
        <v>-248</v>
      </c>
      <c r="AJ33" s="2">
        <v>-248</v>
      </c>
      <c r="AK33" s="2">
        <v>-246</v>
      </c>
      <c r="AL33" s="2">
        <v>-102</v>
      </c>
      <c r="AM33" s="2">
        <v>-248</v>
      </c>
    </row>
    <row r="34" spans="1:39">
      <c r="A34" s="349">
        <v>72657</v>
      </c>
      <c r="B34" s="342" t="s">
        <v>726</v>
      </c>
      <c r="C34" s="234" t="e">
        <f>VLOOKUP(A34,#REF!,10,FALSE)</f>
        <v>#REF!</v>
      </c>
      <c r="E34" s="2">
        <v>15812</v>
      </c>
      <c r="F34" s="2">
        <v>3426</v>
      </c>
      <c r="G34" s="2">
        <v>8489</v>
      </c>
      <c r="H34" s="2">
        <v>1964</v>
      </c>
      <c r="I34" s="2">
        <v>0</v>
      </c>
      <c r="J34" s="2"/>
      <c r="K34" s="2">
        <v>5573</v>
      </c>
      <c r="L34" s="2">
        <v>5242</v>
      </c>
      <c r="M34" s="2">
        <v>4699</v>
      </c>
      <c r="N34" s="2">
        <v>1881</v>
      </c>
      <c r="O34" s="2">
        <v>0</v>
      </c>
      <c r="P34" s="2"/>
      <c r="Q34" s="2">
        <v>5916</v>
      </c>
      <c r="R34" s="2">
        <v>-5089</v>
      </c>
      <c r="S34" s="2">
        <v>717</v>
      </c>
      <c r="T34" s="2">
        <v>933</v>
      </c>
      <c r="U34" s="2">
        <v>0</v>
      </c>
      <c r="V34" s="2"/>
      <c r="W34" s="2">
        <v>6665</v>
      </c>
      <c r="X34" s="2">
        <v>5460</v>
      </c>
      <c r="Y34" s="2">
        <v>4433</v>
      </c>
      <c r="Z34" s="2">
        <v>0</v>
      </c>
      <c r="AA34" s="2">
        <v>0</v>
      </c>
      <c r="AB34" s="2"/>
      <c r="AC34" s="2">
        <v>0</v>
      </c>
      <c r="AD34" s="2">
        <v>0</v>
      </c>
      <c r="AE34" s="2">
        <v>0</v>
      </c>
      <c r="AF34" s="2">
        <v>0</v>
      </c>
      <c r="AG34" s="2">
        <v>0</v>
      </c>
      <c r="AH34" s="2"/>
      <c r="AI34" s="2">
        <v>-2342</v>
      </c>
      <c r="AJ34" s="2">
        <v>-2187</v>
      </c>
      <c r="AK34" s="2">
        <v>-1360</v>
      </c>
      <c r="AL34" s="2">
        <v>-850</v>
      </c>
      <c r="AM34" s="2">
        <v>-2187</v>
      </c>
    </row>
    <row r="35" spans="1:39">
      <c r="A35" s="349">
        <v>90001</v>
      </c>
      <c r="B35" s="342" t="s">
        <v>727</v>
      </c>
      <c r="C35" s="234" t="e">
        <f>VLOOKUP(A35,#REF!,10,FALSE)</f>
        <v>#REF!</v>
      </c>
      <c r="E35" s="2">
        <v>422170</v>
      </c>
      <c r="F35" s="2">
        <v>129143</v>
      </c>
      <c r="G35" s="2">
        <v>230243</v>
      </c>
      <c r="H35" s="2">
        <v>67217</v>
      </c>
      <c r="I35" s="2">
        <v>0</v>
      </c>
      <c r="J35" s="2"/>
      <c r="K35" s="2">
        <v>128909</v>
      </c>
      <c r="L35" s="2">
        <v>121262</v>
      </c>
      <c r="M35" s="2">
        <v>108685</v>
      </c>
      <c r="N35" s="2">
        <v>43516</v>
      </c>
      <c r="O35" s="2">
        <v>0</v>
      </c>
      <c r="P35" s="2"/>
      <c r="Q35" s="2">
        <v>136855</v>
      </c>
      <c r="R35" s="2">
        <v>-117721</v>
      </c>
      <c r="S35" s="2">
        <v>16591</v>
      </c>
      <c r="T35" s="2">
        <v>21593</v>
      </c>
      <c r="U35" s="2">
        <v>0</v>
      </c>
      <c r="V35" s="2"/>
      <c r="W35" s="2">
        <v>154169</v>
      </c>
      <c r="X35" s="2">
        <v>126301</v>
      </c>
      <c r="Y35" s="2">
        <v>102535</v>
      </c>
      <c r="Z35" s="2">
        <v>0</v>
      </c>
      <c r="AA35" s="2">
        <v>0</v>
      </c>
      <c r="AB35" s="2"/>
      <c r="AC35" s="2">
        <v>5372</v>
      </c>
      <c r="AD35" s="2">
        <v>2434</v>
      </c>
      <c r="AE35" s="2">
        <v>2432</v>
      </c>
      <c r="AF35" s="2">
        <v>2108</v>
      </c>
      <c r="AG35" s="2">
        <v>0</v>
      </c>
      <c r="AH35" s="2"/>
      <c r="AI35" s="2">
        <v>-3135</v>
      </c>
      <c r="AJ35" s="2">
        <v>-3133</v>
      </c>
      <c r="AK35" s="2">
        <v>0</v>
      </c>
      <c r="AL35" s="2">
        <v>0</v>
      </c>
      <c r="AM35" s="2">
        <v>-3133</v>
      </c>
    </row>
    <row r="36" spans="1:39">
      <c r="A36" s="349">
        <v>90002</v>
      </c>
      <c r="B36" s="342" t="s">
        <v>3633</v>
      </c>
      <c r="C36" s="234" t="e">
        <f>VLOOKUP(A36,#REF!,10,FALSE)</f>
        <v>#REF!</v>
      </c>
      <c r="E36" s="2">
        <v>4847</v>
      </c>
      <c r="F36" s="2">
        <v>1798</v>
      </c>
      <c r="G36" s="2">
        <v>2629</v>
      </c>
      <c r="H36" s="2">
        <v>865</v>
      </c>
      <c r="I36" s="2">
        <v>0</v>
      </c>
      <c r="J36" s="2"/>
      <c r="K36" s="2">
        <v>1258</v>
      </c>
      <c r="L36" s="2">
        <v>1184</v>
      </c>
      <c r="M36" s="2">
        <v>1061</v>
      </c>
      <c r="N36" s="2">
        <v>425</v>
      </c>
      <c r="O36" s="2">
        <v>0</v>
      </c>
      <c r="P36" s="2"/>
      <c r="Q36" s="2">
        <v>1336</v>
      </c>
      <c r="R36" s="2">
        <v>-1149</v>
      </c>
      <c r="S36" s="2">
        <v>162</v>
      </c>
      <c r="T36" s="2">
        <v>211</v>
      </c>
      <c r="U36" s="2">
        <v>0</v>
      </c>
      <c r="V36" s="2"/>
      <c r="W36" s="2">
        <v>1505</v>
      </c>
      <c r="X36" s="2">
        <v>1233</v>
      </c>
      <c r="Y36" s="2">
        <v>1001</v>
      </c>
      <c r="Z36" s="2">
        <v>0</v>
      </c>
      <c r="AA36" s="2">
        <v>0</v>
      </c>
      <c r="AB36" s="2"/>
      <c r="AC36" s="2">
        <v>748</v>
      </c>
      <c r="AD36" s="2">
        <v>530</v>
      </c>
      <c r="AE36" s="2">
        <v>405</v>
      </c>
      <c r="AF36" s="2">
        <v>229</v>
      </c>
      <c r="AG36" s="2">
        <v>0</v>
      </c>
      <c r="AH36" s="2"/>
      <c r="AI36" s="2">
        <v>0</v>
      </c>
      <c r="AJ36" s="2">
        <v>0</v>
      </c>
      <c r="AK36" s="2">
        <v>0</v>
      </c>
      <c r="AL36" s="2">
        <v>0</v>
      </c>
      <c r="AM36" s="2">
        <v>0</v>
      </c>
    </row>
    <row r="37" spans="1:39">
      <c r="A37" s="349">
        <v>90011</v>
      </c>
      <c r="B37" s="342" t="s">
        <v>729</v>
      </c>
      <c r="C37" s="234" t="e">
        <f>VLOOKUP(A37,#REF!,10,FALSE)</f>
        <v>#REF!</v>
      </c>
      <c r="E37" s="2">
        <v>76334</v>
      </c>
      <c r="F37" s="2">
        <v>19972</v>
      </c>
      <c r="G37" s="2">
        <v>43570</v>
      </c>
      <c r="H37" s="2">
        <v>11407</v>
      </c>
      <c r="I37" s="2">
        <v>0</v>
      </c>
      <c r="J37" s="2"/>
      <c r="K37" s="2">
        <v>26980</v>
      </c>
      <c r="L37" s="2">
        <v>25380</v>
      </c>
      <c r="M37" s="2">
        <v>22748</v>
      </c>
      <c r="N37" s="2">
        <v>9108</v>
      </c>
      <c r="O37" s="2">
        <v>0</v>
      </c>
      <c r="P37" s="2"/>
      <c r="Q37" s="2">
        <v>28643</v>
      </c>
      <c r="R37" s="2">
        <v>-24639</v>
      </c>
      <c r="S37" s="2">
        <v>3473</v>
      </c>
      <c r="T37" s="2">
        <v>4519</v>
      </c>
      <c r="U37" s="2">
        <v>0</v>
      </c>
      <c r="V37" s="2"/>
      <c r="W37" s="2">
        <v>32267</v>
      </c>
      <c r="X37" s="2">
        <v>26434</v>
      </c>
      <c r="Y37" s="2">
        <v>21460</v>
      </c>
      <c r="Z37" s="2">
        <v>0</v>
      </c>
      <c r="AA37" s="2">
        <v>0</v>
      </c>
      <c r="AB37" s="2"/>
      <c r="AC37" s="2">
        <v>0</v>
      </c>
      <c r="AD37" s="2">
        <v>0</v>
      </c>
      <c r="AE37" s="2">
        <v>0</v>
      </c>
      <c r="AF37" s="2">
        <v>0</v>
      </c>
      <c r="AG37" s="2">
        <v>0</v>
      </c>
      <c r="AH37" s="2"/>
      <c r="AI37" s="2">
        <v>-11556</v>
      </c>
      <c r="AJ37" s="2">
        <v>-7203</v>
      </c>
      <c r="AK37" s="2">
        <v>-4111</v>
      </c>
      <c r="AL37" s="2">
        <v>-2220</v>
      </c>
      <c r="AM37" s="2">
        <v>-7203</v>
      </c>
    </row>
    <row r="38" spans="1:39">
      <c r="A38" s="349">
        <v>90092</v>
      </c>
      <c r="B38" s="342" t="s">
        <v>2796</v>
      </c>
      <c r="C38" s="234" t="e">
        <f>VLOOKUP(A38,#REF!,10,FALSE)</f>
        <v>#REF!</v>
      </c>
      <c r="E38" s="2">
        <v>195072</v>
      </c>
      <c r="F38" s="2">
        <v>71661</v>
      </c>
      <c r="G38" s="2">
        <v>118683</v>
      </c>
      <c r="H38" s="2">
        <v>40268</v>
      </c>
      <c r="I38" s="2">
        <v>0</v>
      </c>
      <c r="J38" s="2"/>
      <c r="K38" s="2">
        <v>59219</v>
      </c>
      <c r="L38" s="2">
        <v>55706</v>
      </c>
      <c r="M38" s="2">
        <v>49928</v>
      </c>
      <c r="N38" s="2">
        <v>19991</v>
      </c>
      <c r="O38" s="2">
        <v>0</v>
      </c>
      <c r="P38" s="2"/>
      <c r="Q38" s="2">
        <v>62869</v>
      </c>
      <c r="R38" s="2">
        <v>-54079</v>
      </c>
      <c r="S38" s="2">
        <v>7622</v>
      </c>
      <c r="T38" s="2">
        <v>9920</v>
      </c>
      <c r="U38" s="2">
        <v>0</v>
      </c>
      <c r="V38" s="2"/>
      <c r="W38" s="2">
        <v>70823</v>
      </c>
      <c r="X38" s="2">
        <v>58021</v>
      </c>
      <c r="Y38" s="2">
        <v>47103</v>
      </c>
      <c r="Z38" s="2">
        <v>0</v>
      </c>
      <c r="AA38" s="2">
        <v>0</v>
      </c>
      <c r="AB38" s="2"/>
      <c r="AC38" s="2">
        <v>14031</v>
      </c>
      <c r="AD38" s="2">
        <v>14031</v>
      </c>
      <c r="AE38" s="2">
        <v>14030</v>
      </c>
      <c r="AF38" s="2">
        <v>10357</v>
      </c>
      <c r="AG38" s="2">
        <v>0</v>
      </c>
      <c r="AH38" s="2"/>
      <c r="AI38" s="2">
        <v>-11870</v>
      </c>
      <c r="AJ38" s="2">
        <v>-2018</v>
      </c>
      <c r="AK38" s="2">
        <v>0</v>
      </c>
      <c r="AL38" s="2">
        <v>0</v>
      </c>
      <c r="AM38" s="2">
        <v>-2018</v>
      </c>
    </row>
    <row r="39" spans="1:39">
      <c r="A39" s="349">
        <v>90096</v>
      </c>
      <c r="B39" s="342" t="s">
        <v>731</v>
      </c>
      <c r="C39" s="234" t="e">
        <f>VLOOKUP(A39,#REF!,10,FALSE)</f>
        <v>#REF!</v>
      </c>
      <c r="E39" s="2">
        <v>453881</v>
      </c>
      <c r="F39" s="2">
        <v>136099</v>
      </c>
      <c r="G39" s="2">
        <v>298144</v>
      </c>
      <c r="H39" s="2">
        <v>105634</v>
      </c>
      <c r="I39" s="2">
        <v>0</v>
      </c>
      <c r="J39" s="2"/>
      <c r="K39" s="2">
        <v>145642</v>
      </c>
      <c r="L39" s="2">
        <v>137002</v>
      </c>
      <c r="M39" s="2">
        <v>122794</v>
      </c>
      <c r="N39" s="2">
        <v>49165</v>
      </c>
      <c r="O39" s="2">
        <v>0</v>
      </c>
      <c r="P39" s="2"/>
      <c r="Q39" s="2">
        <v>154620</v>
      </c>
      <c r="R39" s="2">
        <v>-133002</v>
      </c>
      <c r="S39" s="2">
        <v>18745</v>
      </c>
      <c r="T39" s="2">
        <v>24396</v>
      </c>
      <c r="U39" s="2">
        <v>0</v>
      </c>
      <c r="V39" s="2"/>
      <c r="W39" s="2">
        <v>174181</v>
      </c>
      <c r="X39" s="2">
        <v>142696</v>
      </c>
      <c r="Y39" s="2">
        <v>115844</v>
      </c>
      <c r="Z39" s="2">
        <v>0</v>
      </c>
      <c r="AA39" s="2">
        <v>0</v>
      </c>
      <c r="AB39" s="2"/>
      <c r="AC39" s="2">
        <v>40759</v>
      </c>
      <c r="AD39" s="2">
        <v>40759</v>
      </c>
      <c r="AE39" s="2">
        <v>40761</v>
      </c>
      <c r="AF39" s="2">
        <v>32073</v>
      </c>
      <c r="AG39" s="2">
        <v>0</v>
      </c>
      <c r="AH39" s="2"/>
      <c r="AI39" s="2">
        <v>-61321</v>
      </c>
      <c r="AJ39" s="2">
        <v>-51356</v>
      </c>
      <c r="AK39" s="2">
        <v>0</v>
      </c>
      <c r="AL39" s="2">
        <v>0</v>
      </c>
      <c r="AM39" s="2">
        <v>-51356</v>
      </c>
    </row>
    <row r="40" spans="1:39">
      <c r="A40" s="349">
        <v>90098</v>
      </c>
      <c r="B40" s="342" t="s">
        <v>732</v>
      </c>
      <c r="C40" s="234" t="e">
        <f>VLOOKUP(A40,#REF!,10,FALSE)</f>
        <v>#REF!</v>
      </c>
      <c r="E40" s="2">
        <v>92455</v>
      </c>
      <c r="F40" s="2">
        <v>31947</v>
      </c>
      <c r="G40" s="2">
        <v>59251</v>
      </c>
      <c r="H40" s="2">
        <v>7811</v>
      </c>
      <c r="I40" s="2">
        <v>0</v>
      </c>
      <c r="J40" s="2"/>
      <c r="K40" s="2">
        <v>37766</v>
      </c>
      <c r="L40" s="2">
        <v>35526</v>
      </c>
      <c r="M40" s="2">
        <v>31841</v>
      </c>
      <c r="N40" s="2">
        <v>12749</v>
      </c>
      <c r="O40" s="2">
        <v>0</v>
      </c>
      <c r="P40" s="2"/>
      <c r="Q40" s="2">
        <v>40094</v>
      </c>
      <c r="R40" s="2">
        <v>-34489</v>
      </c>
      <c r="S40" s="2">
        <v>4861</v>
      </c>
      <c r="T40" s="2">
        <v>6326</v>
      </c>
      <c r="U40" s="2">
        <v>0</v>
      </c>
      <c r="V40" s="2"/>
      <c r="W40" s="2">
        <v>45167</v>
      </c>
      <c r="X40" s="2">
        <v>37002</v>
      </c>
      <c r="Y40" s="2">
        <v>30039</v>
      </c>
      <c r="Z40" s="2">
        <v>0</v>
      </c>
      <c r="AA40" s="2">
        <v>0</v>
      </c>
      <c r="AB40" s="2"/>
      <c r="AC40" s="2">
        <v>5172</v>
      </c>
      <c r="AD40" s="2">
        <v>5174</v>
      </c>
      <c r="AE40" s="2">
        <v>3776</v>
      </c>
      <c r="AF40" s="2">
        <v>0</v>
      </c>
      <c r="AG40" s="2">
        <v>0</v>
      </c>
      <c r="AH40" s="2"/>
      <c r="AI40" s="2">
        <v>-35744</v>
      </c>
      <c r="AJ40" s="2">
        <v>-11266</v>
      </c>
      <c r="AK40" s="2">
        <v>-11266</v>
      </c>
      <c r="AL40" s="2">
        <v>-11264</v>
      </c>
      <c r="AM40" s="2">
        <v>-11266</v>
      </c>
    </row>
    <row r="41" spans="1:39">
      <c r="A41" s="349">
        <v>90099</v>
      </c>
      <c r="B41" s="342" t="s">
        <v>3634</v>
      </c>
      <c r="C41" s="234" t="e">
        <f>VLOOKUP(A41,#REF!,10,FALSE)</f>
        <v>#REF!</v>
      </c>
      <c r="E41" s="2">
        <v>325920</v>
      </c>
      <c r="F41" s="2">
        <v>110315</v>
      </c>
      <c r="G41" s="2">
        <v>165204</v>
      </c>
      <c r="H41" s="2">
        <v>38797</v>
      </c>
      <c r="I41" s="2">
        <v>0</v>
      </c>
      <c r="J41" s="2"/>
      <c r="K41" s="2">
        <v>100955</v>
      </c>
      <c r="L41" s="2">
        <v>94966</v>
      </c>
      <c r="M41" s="2">
        <v>85117</v>
      </c>
      <c r="N41" s="2">
        <v>34080</v>
      </c>
      <c r="O41" s="2">
        <v>0</v>
      </c>
      <c r="P41" s="2"/>
      <c r="Q41" s="2">
        <v>107178</v>
      </c>
      <c r="R41" s="2">
        <v>-92193</v>
      </c>
      <c r="S41" s="2">
        <v>12993</v>
      </c>
      <c r="T41" s="2">
        <v>16911</v>
      </c>
      <c r="U41" s="2">
        <v>0</v>
      </c>
      <c r="V41" s="2"/>
      <c r="W41" s="2">
        <v>120737</v>
      </c>
      <c r="X41" s="2">
        <v>98912</v>
      </c>
      <c r="Y41" s="2">
        <v>80300</v>
      </c>
      <c r="Z41" s="2">
        <v>0</v>
      </c>
      <c r="AA41" s="2">
        <v>0</v>
      </c>
      <c r="AB41" s="2"/>
      <c r="AC41" s="2">
        <v>21834</v>
      </c>
      <c r="AD41" s="2">
        <v>21836</v>
      </c>
      <c r="AE41" s="2">
        <v>0</v>
      </c>
      <c r="AF41" s="2">
        <v>0</v>
      </c>
      <c r="AG41" s="2">
        <v>0</v>
      </c>
      <c r="AH41" s="2"/>
      <c r="AI41" s="2">
        <v>-24784</v>
      </c>
      <c r="AJ41" s="2">
        <v>-13206</v>
      </c>
      <c r="AK41" s="2">
        <v>-13206</v>
      </c>
      <c r="AL41" s="2">
        <v>-12194</v>
      </c>
      <c r="AM41" s="2">
        <v>-13206</v>
      </c>
    </row>
    <row r="42" spans="1:39">
      <c r="A42" s="349">
        <v>90101</v>
      </c>
      <c r="B42" s="342" t="s">
        <v>734</v>
      </c>
      <c r="C42" s="234" t="e">
        <f>VLOOKUP(A42,#REF!,10,FALSE)</f>
        <v>#REF!</v>
      </c>
      <c r="E42" s="2">
        <v>2991740</v>
      </c>
      <c r="F42" s="2">
        <v>869111</v>
      </c>
      <c r="G42" s="2">
        <v>1556321</v>
      </c>
      <c r="H42" s="2">
        <v>413511</v>
      </c>
      <c r="I42" s="2">
        <v>0</v>
      </c>
      <c r="J42" s="2"/>
      <c r="K42" s="2">
        <v>933328</v>
      </c>
      <c r="L42" s="2">
        <v>877960</v>
      </c>
      <c r="M42" s="2">
        <v>786905</v>
      </c>
      <c r="N42" s="2">
        <v>315067</v>
      </c>
      <c r="O42" s="2">
        <v>0</v>
      </c>
      <c r="P42" s="2"/>
      <c r="Q42" s="2">
        <v>990857</v>
      </c>
      <c r="R42" s="2">
        <v>-852323</v>
      </c>
      <c r="S42" s="2">
        <v>120124</v>
      </c>
      <c r="T42" s="2">
        <v>156341</v>
      </c>
      <c r="U42" s="2">
        <v>0</v>
      </c>
      <c r="V42" s="2"/>
      <c r="W42" s="2">
        <v>1116215</v>
      </c>
      <c r="X42" s="2">
        <v>914444</v>
      </c>
      <c r="Y42" s="2">
        <v>742372</v>
      </c>
      <c r="Z42" s="2">
        <v>0</v>
      </c>
      <c r="AA42" s="2">
        <v>0</v>
      </c>
      <c r="AB42" s="2"/>
      <c r="AC42" s="2">
        <v>44419</v>
      </c>
      <c r="AD42" s="2">
        <v>22109</v>
      </c>
      <c r="AE42" s="2">
        <v>0</v>
      </c>
      <c r="AF42" s="2">
        <v>0</v>
      </c>
      <c r="AG42" s="2">
        <v>0</v>
      </c>
      <c r="AH42" s="2"/>
      <c r="AI42" s="2">
        <v>-93079</v>
      </c>
      <c r="AJ42" s="2">
        <v>-93079</v>
      </c>
      <c r="AK42" s="2">
        <v>-93080</v>
      </c>
      <c r="AL42" s="2">
        <v>-57897</v>
      </c>
      <c r="AM42" s="2">
        <v>-93079</v>
      </c>
    </row>
    <row r="43" spans="1:39">
      <c r="A43" s="349">
        <v>90111</v>
      </c>
      <c r="B43" s="342" t="s">
        <v>735</v>
      </c>
      <c r="C43" s="234" t="e">
        <f>VLOOKUP(A43,#REF!,10,FALSE)</f>
        <v>#REF!</v>
      </c>
      <c r="E43" s="2">
        <v>2365885</v>
      </c>
      <c r="F43" s="2">
        <v>714948</v>
      </c>
      <c r="G43" s="2">
        <v>1275062</v>
      </c>
      <c r="H43" s="2">
        <v>336849</v>
      </c>
      <c r="I43" s="2">
        <v>0</v>
      </c>
      <c r="J43" s="2"/>
      <c r="K43" s="2">
        <v>741964</v>
      </c>
      <c r="L43" s="2">
        <v>697949</v>
      </c>
      <c r="M43" s="2">
        <v>625563</v>
      </c>
      <c r="N43" s="2">
        <v>250468</v>
      </c>
      <c r="O43" s="2">
        <v>0</v>
      </c>
      <c r="P43" s="2"/>
      <c r="Q43" s="2">
        <v>787698</v>
      </c>
      <c r="R43" s="2">
        <v>-677568</v>
      </c>
      <c r="S43" s="2">
        <v>95495</v>
      </c>
      <c r="T43" s="2">
        <v>124286</v>
      </c>
      <c r="U43" s="2">
        <v>0</v>
      </c>
      <c r="V43" s="2"/>
      <c r="W43" s="2">
        <v>887354</v>
      </c>
      <c r="X43" s="2">
        <v>726952</v>
      </c>
      <c r="Y43" s="2">
        <v>590161</v>
      </c>
      <c r="Z43" s="2">
        <v>0</v>
      </c>
      <c r="AA43" s="2">
        <v>0</v>
      </c>
      <c r="AB43" s="2"/>
      <c r="AC43" s="2">
        <v>5520</v>
      </c>
      <c r="AD43" s="2">
        <v>5522</v>
      </c>
      <c r="AE43" s="2">
        <v>1750</v>
      </c>
      <c r="AF43" s="2">
        <v>0</v>
      </c>
      <c r="AG43" s="2">
        <v>0</v>
      </c>
      <c r="AH43" s="2"/>
      <c r="AI43" s="2">
        <v>-56651</v>
      </c>
      <c r="AJ43" s="2">
        <v>-37907</v>
      </c>
      <c r="AK43" s="2">
        <v>-37907</v>
      </c>
      <c r="AL43" s="2">
        <v>-37905</v>
      </c>
      <c r="AM43" s="2">
        <v>-37907</v>
      </c>
    </row>
    <row r="44" spans="1:39">
      <c r="A44" s="349">
        <v>90114</v>
      </c>
      <c r="B44" s="342" t="s">
        <v>736</v>
      </c>
      <c r="C44" s="234" t="e">
        <f>VLOOKUP(A44,#REF!,10,FALSE)</f>
        <v>#REF!</v>
      </c>
      <c r="E44" s="2">
        <v>1071093</v>
      </c>
      <c r="F44" s="2">
        <v>582896</v>
      </c>
      <c r="G44" s="2">
        <v>584858</v>
      </c>
      <c r="H44" s="2">
        <v>241858</v>
      </c>
      <c r="I44" s="2">
        <v>0</v>
      </c>
      <c r="J44" s="2"/>
      <c r="K44" s="2">
        <v>167619</v>
      </c>
      <c r="L44" s="2">
        <v>157675</v>
      </c>
      <c r="M44" s="2">
        <v>141323</v>
      </c>
      <c r="N44" s="2">
        <v>56584</v>
      </c>
      <c r="O44" s="2">
        <v>0</v>
      </c>
      <c r="P44" s="2"/>
      <c r="Q44" s="2">
        <v>177951</v>
      </c>
      <c r="R44" s="2">
        <v>-153071</v>
      </c>
      <c r="S44" s="2">
        <v>21574</v>
      </c>
      <c r="T44" s="2">
        <v>28078</v>
      </c>
      <c r="U44" s="2">
        <v>0</v>
      </c>
      <c r="V44" s="2"/>
      <c r="W44" s="2">
        <v>200464</v>
      </c>
      <c r="X44" s="2">
        <v>164228</v>
      </c>
      <c r="Y44" s="2">
        <v>133325</v>
      </c>
      <c r="Z44" s="2">
        <v>0</v>
      </c>
      <c r="AA44" s="2">
        <v>0</v>
      </c>
      <c r="AB44" s="2"/>
      <c r="AC44" s="2">
        <v>525059</v>
      </c>
      <c r="AD44" s="2">
        <v>414064</v>
      </c>
      <c r="AE44" s="2">
        <v>288636</v>
      </c>
      <c r="AF44" s="2">
        <v>157196</v>
      </c>
      <c r="AG44" s="2">
        <v>0</v>
      </c>
      <c r="AH44" s="2"/>
      <c r="AI44" s="2">
        <v>0</v>
      </c>
      <c r="AJ44" s="2">
        <v>0</v>
      </c>
      <c r="AK44" s="2">
        <v>0</v>
      </c>
      <c r="AL44" s="2">
        <v>0</v>
      </c>
      <c r="AM44" s="2">
        <v>0</v>
      </c>
    </row>
    <row r="45" spans="1:39">
      <c r="A45" s="349">
        <v>90117</v>
      </c>
      <c r="B45" s="342" t="s">
        <v>737</v>
      </c>
      <c r="C45" s="234" t="e">
        <f>VLOOKUP(A45,#REF!,10,FALSE)</f>
        <v>#REF!</v>
      </c>
      <c r="E45" s="2">
        <v>80637</v>
      </c>
      <c r="F45" s="2">
        <v>31346</v>
      </c>
      <c r="G45" s="2">
        <v>42331</v>
      </c>
      <c r="H45" s="2">
        <v>13828</v>
      </c>
      <c r="I45" s="2">
        <v>0</v>
      </c>
      <c r="J45" s="2"/>
      <c r="K45" s="2">
        <v>19804</v>
      </c>
      <c r="L45" s="2">
        <v>18630</v>
      </c>
      <c r="M45" s="2">
        <v>16698</v>
      </c>
      <c r="N45" s="2">
        <v>6685</v>
      </c>
      <c r="O45" s="2">
        <v>0</v>
      </c>
      <c r="P45" s="2"/>
      <c r="Q45" s="2">
        <v>21025</v>
      </c>
      <c r="R45" s="2">
        <v>-18086</v>
      </c>
      <c r="S45" s="2">
        <v>2549</v>
      </c>
      <c r="T45" s="2">
        <v>3317</v>
      </c>
      <c r="U45" s="2">
        <v>0</v>
      </c>
      <c r="V45" s="2"/>
      <c r="W45" s="2">
        <v>23685</v>
      </c>
      <c r="X45" s="2">
        <v>19404</v>
      </c>
      <c r="Y45" s="2">
        <v>15753</v>
      </c>
      <c r="Z45" s="2">
        <v>0</v>
      </c>
      <c r="AA45" s="2">
        <v>0</v>
      </c>
      <c r="AB45" s="2"/>
      <c r="AC45" s="2">
        <v>16123</v>
      </c>
      <c r="AD45" s="2">
        <v>11398</v>
      </c>
      <c r="AE45" s="2">
        <v>7331</v>
      </c>
      <c r="AF45" s="2">
        <v>3826</v>
      </c>
      <c r="AG45" s="2">
        <v>0</v>
      </c>
      <c r="AH45" s="2"/>
      <c r="AI45" s="2">
        <v>0</v>
      </c>
      <c r="AJ45" s="2">
        <v>0</v>
      </c>
      <c r="AK45" s="2">
        <v>0</v>
      </c>
      <c r="AL45" s="2">
        <v>0</v>
      </c>
      <c r="AM45" s="2">
        <v>0</v>
      </c>
    </row>
    <row r="46" spans="1:39">
      <c r="A46" s="349">
        <v>90121</v>
      </c>
      <c r="B46" s="342" t="s">
        <v>738</v>
      </c>
      <c r="C46" s="234" t="e">
        <f>VLOOKUP(A46,#REF!,10,FALSE)</f>
        <v>#REF!</v>
      </c>
      <c r="E46" s="2">
        <v>502832</v>
      </c>
      <c r="F46" s="2">
        <v>141376</v>
      </c>
      <c r="G46" s="2">
        <v>274602</v>
      </c>
      <c r="H46" s="2">
        <v>83389</v>
      </c>
      <c r="I46" s="2">
        <v>0</v>
      </c>
      <c r="J46" s="2"/>
      <c r="K46" s="2">
        <v>165956</v>
      </c>
      <c r="L46" s="2">
        <v>156111</v>
      </c>
      <c r="M46" s="2">
        <v>139921</v>
      </c>
      <c r="N46" s="2">
        <v>56023</v>
      </c>
      <c r="O46" s="2">
        <v>0</v>
      </c>
      <c r="P46" s="2"/>
      <c r="Q46" s="2">
        <v>176186</v>
      </c>
      <c r="R46" s="2">
        <v>-151553</v>
      </c>
      <c r="S46" s="2">
        <v>21359</v>
      </c>
      <c r="T46" s="2">
        <v>27799</v>
      </c>
      <c r="U46" s="2">
        <v>0</v>
      </c>
      <c r="V46" s="2"/>
      <c r="W46" s="2">
        <v>198476</v>
      </c>
      <c r="X46" s="2">
        <v>162598</v>
      </c>
      <c r="Y46" s="2">
        <v>132002</v>
      </c>
      <c r="Z46" s="2">
        <v>0</v>
      </c>
      <c r="AA46" s="2">
        <v>0</v>
      </c>
      <c r="AB46" s="2"/>
      <c r="AC46" s="2">
        <v>0</v>
      </c>
      <c r="AD46" s="2">
        <v>0</v>
      </c>
      <c r="AE46" s="2">
        <v>0</v>
      </c>
      <c r="AF46" s="2">
        <v>0</v>
      </c>
      <c r="AG46" s="2">
        <v>0</v>
      </c>
      <c r="AH46" s="2"/>
      <c r="AI46" s="2">
        <v>-37786</v>
      </c>
      <c r="AJ46" s="2">
        <v>-25780</v>
      </c>
      <c r="AK46" s="2">
        <v>-18680</v>
      </c>
      <c r="AL46" s="2">
        <v>-433</v>
      </c>
      <c r="AM46" s="2">
        <v>-25780</v>
      </c>
    </row>
    <row r="47" spans="1:39">
      <c r="A47" s="349">
        <v>90131</v>
      </c>
      <c r="B47" s="342" t="s">
        <v>739</v>
      </c>
      <c r="C47" s="234" t="e">
        <f>VLOOKUP(A47,#REF!,10,FALSE)</f>
        <v>#REF!</v>
      </c>
      <c r="E47" s="2">
        <v>228437</v>
      </c>
      <c r="F47" s="2">
        <v>65223</v>
      </c>
      <c r="G47" s="2">
        <v>128053</v>
      </c>
      <c r="H47" s="2">
        <v>37860</v>
      </c>
      <c r="I47" s="2">
        <v>0</v>
      </c>
      <c r="J47" s="2"/>
      <c r="K47" s="2">
        <v>73480</v>
      </c>
      <c r="L47" s="2">
        <v>69121</v>
      </c>
      <c r="M47" s="2">
        <v>61953</v>
      </c>
      <c r="N47" s="2">
        <v>24805</v>
      </c>
      <c r="O47" s="2">
        <v>0</v>
      </c>
      <c r="P47" s="2"/>
      <c r="Q47" s="2">
        <v>78010</v>
      </c>
      <c r="R47" s="2">
        <v>-67103</v>
      </c>
      <c r="S47" s="2">
        <v>9457</v>
      </c>
      <c r="T47" s="2">
        <v>12309</v>
      </c>
      <c r="U47" s="2">
        <v>0</v>
      </c>
      <c r="V47" s="2"/>
      <c r="W47" s="2">
        <v>87879</v>
      </c>
      <c r="X47" s="2">
        <v>71994</v>
      </c>
      <c r="Y47" s="2">
        <v>58447</v>
      </c>
      <c r="Z47" s="2">
        <v>0</v>
      </c>
      <c r="AA47" s="2">
        <v>0</v>
      </c>
      <c r="AB47" s="2"/>
      <c r="AC47" s="2">
        <v>748</v>
      </c>
      <c r="AD47" s="2">
        <v>748</v>
      </c>
      <c r="AE47" s="2">
        <v>748</v>
      </c>
      <c r="AF47" s="2">
        <v>746</v>
      </c>
      <c r="AG47" s="2">
        <v>0</v>
      </c>
      <c r="AH47" s="2"/>
      <c r="AI47" s="2">
        <v>-11680</v>
      </c>
      <c r="AJ47" s="2">
        <v>-9537</v>
      </c>
      <c r="AK47" s="2">
        <v>-2552</v>
      </c>
      <c r="AL47" s="2">
        <v>0</v>
      </c>
      <c r="AM47" s="2">
        <v>-9537</v>
      </c>
    </row>
    <row r="48" spans="1:39">
      <c r="A48" s="349">
        <v>90141</v>
      </c>
      <c r="B48" s="342" t="s">
        <v>740</v>
      </c>
      <c r="C48" s="234" t="e">
        <f>VLOOKUP(A48,#REF!,10,FALSE)</f>
        <v>#REF!</v>
      </c>
      <c r="E48" s="2">
        <v>70545</v>
      </c>
      <c r="F48" s="2">
        <v>23816</v>
      </c>
      <c r="G48" s="2">
        <v>38785</v>
      </c>
      <c r="H48" s="2">
        <v>11559</v>
      </c>
      <c r="I48" s="2">
        <v>0</v>
      </c>
      <c r="J48" s="2"/>
      <c r="K48" s="2">
        <v>22126</v>
      </c>
      <c r="L48" s="2">
        <v>20814</v>
      </c>
      <c r="M48" s="2">
        <v>18655</v>
      </c>
      <c r="N48" s="2">
        <v>7469</v>
      </c>
      <c r="O48" s="2">
        <v>0</v>
      </c>
      <c r="P48" s="2"/>
      <c r="Q48" s="2">
        <v>23490</v>
      </c>
      <c r="R48" s="2">
        <v>-20206</v>
      </c>
      <c r="S48" s="2">
        <v>2848</v>
      </c>
      <c r="T48" s="2">
        <v>3706</v>
      </c>
      <c r="U48" s="2">
        <v>0</v>
      </c>
      <c r="V48" s="2"/>
      <c r="W48" s="2">
        <v>26462</v>
      </c>
      <c r="X48" s="2">
        <v>21679</v>
      </c>
      <c r="Y48" s="2">
        <v>17599</v>
      </c>
      <c r="Z48" s="2">
        <v>0</v>
      </c>
      <c r="AA48" s="2">
        <v>0</v>
      </c>
      <c r="AB48" s="2"/>
      <c r="AC48" s="2">
        <v>2228</v>
      </c>
      <c r="AD48" s="2">
        <v>2230</v>
      </c>
      <c r="AE48" s="2">
        <v>385</v>
      </c>
      <c r="AF48" s="2">
        <v>384</v>
      </c>
      <c r="AG48" s="2">
        <v>0</v>
      </c>
      <c r="AH48" s="2"/>
      <c r="AI48" s="2">
        <v>-3761</v>
      </c>
      <c r="AJ48" s="2">
        <v>-701</v>
      </c>
      <c r="AK48" s="2">
        <v>-702</v>
      </c>
      <c r="AL48" s="2">
        <v>0</v>
      </c>
      <c r="AM48" s="2">
        <v>-701</v>
      </c>
    </row>
    <row r="49" spans="1:39">
      <c r="A49" s="349">
        <v>90151</v>
      </c>
      <c r="B49" s="342" t="s">
        <v>741</v>
      </c>
      <c r="C49" s="234" t="e">
        <f>VLOOKUP(A49,#REF!,10,FALSE)</f>
        <v>#REF!</v>
      </c>
      <c r="E49" s="2">
        <v>3308</v>
      </c>
      <c r="F49" s="2">
        <v>400</v>
      </c>
      <c r="G49" s="2">
        <v>1768</v>
      </c>
      <c r="H49" s="2">
        <v>335</v>
      </c>
      <c r="I49" s="2">
        <v>0</v>
      </c>
      <c r="J49" s="2"/>
      <c r="K49" s="2">
        <v>1393</v>
      </c>
      <c r="L49" s="2">
        <v>1311</v>
      </c>
      <c r="M49" s="2">
        <v>1175</v>
      </c>
      <c r="N49" s="2">
        <v>470</v>
      </c>
      <c r="O49" s="2">
        <v>0</v>
      </c>
      <c r="P49" s="2"/>
      <c r="Q49" s="2">
        <v>1479</v>
      </c>
      <c r="R49" s="2">
        <v>-1272</v>
      </c>
      <c r="S49" s="2">
        <v>179</v>
      </c>
      <c r="T49" s="2">
        <v>233</v>
      </c>
      <c r="U49" s="2">
        <v>0</v>
      </c>
      <c r="V49" s="2"/>
      <c r="W49" s="2">
        <v>1666</v>
      </c>
      <c r="X49" s="2">
        <v>1365</v>
      </c>
      <c r="Y49" s="2">
        <v>1108</v>
      </c>
      <c r="Z49" s="2">
        <v>0</v>
      </c>
      <c r="AA49" s="2">
        <v>0</v>
      </c>
      <c r="AB49" s="2"/>
      <c r="AC49" s="2">
        <v>0</v>
      </c>
      <c r="AD49" s="2">
        <v>0</v>
      </c>
      <c r="AE49" s="2">
        <v>0</v>
      </c>
      <c r="AF49" s="2">
        <v>0</v>
      </c>
      <c r="AG49" s="2">
        <v>0</v>
      </c>
      <c r="AH49" s="2"/>
      <c r="AI49" s="2">
        <v>-1230</v>
      </c>
      <c r="AJ49" s="2">
        <v>-1004</v>
      </c>
      <c r="AK49" s="2">
        <v>-694</v>
      </c>
      <c r="AL49" s="2">
        <v>-368</v>
      </c>
      <c r="AM49" s="2">
        <v>-1004</v>
      </c>
    </row>
    <row r="50" spans="1:39">
      <c r="A50" s="349">
        <v>90161</v>
      </c>
      <c r="B50" s="342" t="s">
        <v>742</v>
      </c>
      <c r="C50" s="234" t="e">
        <f>VLOOKUP(A50,#REF!,10,FALSE)</f>
        <v>#REF!</v>
      </c>
      <c r="E50" s="2">
        <v>17069</v>
      </c>
      <c r="F50" s="2">
        <v>4218</v>
      </c>
      <c r="G50" s="2">
        <v>8401</v>
      </c>
      <c r="H50" s="2">
        <v>984</v>
      </c>
      <c r="I50" s="2">
        <v>0</v>
      </c>
      <c r="J50" s="2"/>
      <c r="K50" s="2">
        <v>5348</v>
      </c>
      <c r="L50" s="2">
        <v>5031</v>
      </c>
      <c r="M50" s="2">
        <v>4509</v>
      </c>
      <c r="N50" s="2">
        <v>1805</v>
      </c>
      <c r="O50" s="2">
        <v>0</v>
      </c>
      <c r="P50" s="2"/>
      <c r="Q50" s="2">
        <v>5678</v>
      </c>
      <c r="R50" s="2">
        <v>-4884</v>
      </c>
      <c r="S50" s="2">
        <v>688</v>
      </c>
      <c r="T50" s="2">
        <v>896</v>
      </c>
      <c r="U50" s="2">
        <v>0</v>
      </c>
      <c r="V50" s="2"/>
      <c r="W50" s="2">
        <v>6396</v>
      </c>
      <c r="X50" s="2">
        <v>5240</v>
      </c>
      <c r="Y50" s="2">
        <v>4254</v>
      </c>
      <c r="Z50" s="2">
        <v>0</v>
      </c>
      <c r="AA50" s="2">
        <v>0</v>
      </c>
      <c r="AB50" s="2"/>
      <c r="AC50" s="2">
        <v>1478</v>
      </c>
      <c r="AD50" s="2">
        <v>664</v>
      </c>
      <c r="AE50" s="2">
        <v>666</v>
      </c>
      <c r="AF50" s="2">
        <v>0</v>
      </c>
      <c r="AG50" s="2">
        <v>0</v>
      </c>
      <c r="AH50" s="2"/>
      <c r="AI50" s="2">
        <v>-1831</v>
      </c>
      <c r="AJ50" s="2">
        <v>-1833</v>
      </c>
      <c r="AK50" s="2">
        <v>-1716</v>
      </c>
      <c r="AL50" s="2">
        <v>-1717</v>
      </c>
      <c r="AM50" s="2">
        <v>-1833</v>
      </c>
    </row>
    <row r="51" spans="1:39">
      <c r="A51" s="349">
        <v>90201</v>
      </c>
      <c r="B51" s="342" t="s">
        <v>743</v>
      </c>
      <c r="C51" s="234" t="e">
        <f>VLOOKUP(A51,#REF!,10,FALSE)</f>
        <v>#REF!</v>
      </c>
      <c r="E51" s="2">
        <v>613501</v>
      </c>
      <c r="F51" s="2">
        <v>189876</v>
      </c>
      <c r="G51" s="2">
        <v>341991</v>
      </c>
      <c r="H51" s="2">
        <v>110773</v>
      </c>
      <c r="I51" s="2">
        <v>0</v>
      </c>
      <c r="J51" s="2"/>
      <c r="K51" s="2">
        <v>188292</v>
      </c>
      <c r="L51" s="2">
        <v>177122</v>
      </c>
      <c r="M51" s="2">
        <v>158753</v>
      </c>
      <c r="N51" s="2">
        <v>63563</v>
      </c>
      <c r="O51" s="2">
        <v>0</v>
      </c>
      <c r="P51" s="2"/>
      <c r="Q51" s="2">
        <v>199899</v>
      </c>
      <c r="R51" s="2">
        <v>-171950</v>
      </c>
      <c r="S51" s="2">
        <v>24234</v>
      </c>
      <c r="T51" s="2">
        <v>31541</v>
      </c>
      <c r="U51" s="2">
        <v>0</v>
      </c>
      <c r="V51" s="2"/>
      <c r="W51" s="2">
        <v>225189</v>
      </c>
      <c r="X51" s="2">
        <v>184483</v>
      </c>
      <c r="Y51" s="2">
        <v>149768</v>
      </c>
      <c r="Z51" s="2">
        <v>0</v>
      </c>
      <c r="AA51" s="2">
        <v>0</v>
      </c>
      <c r="AB51" s="2"/>
      <c r="AC51" s="2">
        <v>15670</v>
      </c>
      <c r="AD51" s="2">
        <v>15670</v>
      </c>
      <c r="AE51" s="2">
        <v>15670</v>
      </c>
      <c r="AF51" s="2">
        <v>15669</v>
      </c>
      <c r="AG51" s="2">
        <v>0</v>
      </c>
      <c r="AH51" s="2"/>
      <c r="AI51" s="2">
        <v>-15549</v>
      </c>
      <c r="AJ51" s="2">
        <v>-15449</v>
      </c>
      <c r="AK51" s="2">
        <v>-6434</v>
      </c>
      <c r="AL51" s="2">
        <v>0</v>
      </c>
      <c r="AM51" s="2">
        <v>-15449</v>
      </c>
    </row>
    <row r="52" spans="1:39">
      <c r="A52" s="349">
        <v>90203</v>
      </c>
      <c r="B52" s="342" t="s">
        <v>3635</v>
      </c>
      <c r="C52" s="234" t="e">
        <f>VLOOKUP(A52,#REF!,10,FALSE)</f>
        <v>#REF!</v>
      </c>
      <c r="E52" s="2">
        <v>87836</v>
      </c>
      <c r="F52" s="2">
        <v>25358</v>
      </c>
      <c r="G52" s="2">
        <v>54516</v>
      </c>
      <c r="H52" s="2">
        <v>15883</v>
      </c>
      <c r="I52" s="2">
        <v>0</v>
      </c>
      <c r="J52" s="2"/>
      <c r="K52" s="2">
        <v>29991</v>
      </c>
      <c r="L52" s="2">
        <v>28212</v>
      </c>
      <c r="M52" s="2">
        <v>25286</v>
      </c>
      <c r="N52" s="2">
        <v>10124</v>
      </c>
      <c r="O52" s="2">
        <v>0</v>
      </c>
      <c r="P52" s="2"/>
      <c r="Q52" s="2">
        <v>31840</v>
      </c>
      <c r="R52" s="2">
        <v>-27388</v>
      </c>
      <c r="S52" s="2">
        <v>3860</v>
      </c>
      <c r="T52" s="2">
        <v>5024</v>
      </c>
      <c r="U52" s="2">
        <v>0</v>
      </c>
      <c r="V52" s="2"/>
      <c r="W52" s="2">
        <v>35868</v>
      </c>
      <c r="X52" s="2">
        <v>29385</v>
      </c>
      <c r="Y52" s="2">
        <v>23855</v>
      </c>
      <c r="Z52" s="2">
        <v>0</v>
      </c>
      <c r="AA52" s="2">
        <v>0</v>
      </c>
      <c r="AB52" s="2"/>
      <c r="AC52" s="2">
        <v>1514</v>
      </c>
      <c r="AD52" s="2">
        <v>1514</v>
      </c>
      <c r="AE52" s="2">
        <v>1515</v>
      </c>
      <c r="AF52" s="2">
        <v>735</v>
      </c>
      <c r="AG52" s="2">
        <v>0</v>
      </c>
      <c r="AH52" s="2"/>
      <c r="AI52" s="2">
        <v>-11377</v>
      </c>
      <c r="AJ52" s="2">
        <v>-6365</v>
      </c>
      <c r="AK52" s="2">
        <v>0</v>
      </c>
      <c r="AL52" s="2">
        <v>0</v>
      </c>
      <c r="AM52" s="2">
        <v>-6365</v>
      </c>
    </row>
    <row r="53" spans="1:39">
      <c r="A53" s="349">
        <v>90205</v>
      </c>
      <c r="B53" s="342" t="s">
        <v>745</v>
      </c>
      <c r="C53" s="234" t="e">
        <f>VLOOKUP(A53,#REF!,10,FALSE)</f>
        <v>#REF!</v>
      </c>
      <c r="E53" s="2">
        <v>14603</v>
      </c>
      <c r="F53" s="2">
        <v>4525</v>
      </c>
      <c r="G53" s="2">
        <v>8497</v>
      </c>
      <c r="H53" s="2">
        <v>2160</v>
      </c>
      <c r="I53" s="2">
        <v>0</v>
      </c>
      <c r="J53" s="2"/>
      <c r="K53" s="2">
        <v>4554</v>
      </c>
      <c r="L53" s="2">
        <v>4284</v>
      </c>
      <c r="M53" s="2">
        <v>3840</v>
      </c>
      <c r="N53" s="2">
        <v>1537</v>
      </c>
      <c r="O53" s="2">
        <v>0</v>
      </c>
      <c r="P53" s="2"/>
      <c r="Q53" s="2">
        <v>4835</v>
      </c>
      <c r="R53" s="2">
        <v>-4159</v>
      </c>
      <c r="S53" s="2">
        <v>586</v>
      </c>
      <c r="T53" s="2">
        <v>763</v>
      </c>
      <c r="U53" s="2">
        <v>0</v>
      </c>
      <c r="V53" s="2"/>
      <c r="W53" s="2">
        <v>5447</v>
      </c>
      <c r="X53" s="2">
        <v>4462</v>
      </c>
      <c r="Y53" s="2">
        <v>3622</v>
      </c>
      <c r="Z53" s="2">
        <v>0</v>
      </c>
      <c r="AA53" s="2">
        <v>0</v>
      </c>
      <c r="AB53" s="2"/>
      <c r="AC53" s="2">
        <v>593</v>
      </c>
      <c r="AD53" s="2">
        <v>593</v>
      </c>
      <c r="AE53" s="2">
        <v>591</v>
      </c>
      <c r="AF53" s="2">
        <v>0</v>
      </c>
      <c r="AG53" s="2">
        <v>0</v>
      </c>
      <c r="AH53" s="2"/>
      <c r="AI53" s="2">
        <v>-826</v>
      </c>
      <c r="AJ53" s="2">
        <v>-655</v>
      </c>
      <c r="AK53" s="2">
        <v>-142</v>
      </c>
      <c r="AL53" s="2">
        <v>-140</v>
      </c>
      <c r="AM53" s="2">
        <v>-655</v>
      </c>
    </row>
    <row r="54" spans="1:39">
      <c r="A54" s="349">
        <v>90206</v>
      </c>
      <c r="B54" s="342" t="s">
        <v>3636</v>
      </c>
      <c r="C54" s="234" t="e">
        <f>VLOOKUP(A54,#REF!,10,FALSE)</f>
        <v>#REF!</v>
      </c>
      <c r="E54" s="2">
        <v>158237</v>
      </c>
      <c r="F54" s="2">
        <v>38219</v>
      </c>
      <c r="G54" s="2">
        <v>83512</v>
      </c>
      <c r="H54" s="2">
        <v>16578</v>
      </c>
      <c r="I54" s="2">
        <v>0</v>
      </c>
      <c r="J54" s="2"/>
      <c r="K54" s="2">
        <v>54170</v>
      </c>
      <c r="L54" s="2">
        <v>50957</v>
      </c>
      <c r="M54" s="2">
        <v>45672</v>
      </c>
      <c r="N54" s="2">
        <v>18286</v>
      </c>
      <c r="O54" s="2">
        <v>0</v>
      </c>
      <c r="P54" s="2"/>
      <c r="Q54" s="2">
        <v>57509</v>
      </c>
      <c r="R54" s="2">
        <v>-49469</v>
      </c>
      <c r="S54" s="2">
        <v>6972</v>
      </c>
      <c r="T54" s="2">
        <v>9074</v>
      </c>
      <c r="U54" s="2">
        <v>0</v>
      </c>
      <c r="V54" s="2"/>
      <c r="W54" s="2">
        <v>64785</v>
      </c>
      <c r="X54" s="2">
        <v>53074</v>
      </c>
      <c r="Y54" s="2">
        <v>43087</v>
      </c>
      <c r="Z54" s="2">
        <v>0</v>
      </c>
      <c r="AA54" s="2">
        <v>0</v>
      </c>
      <c r="AB54" s="2"/>
      <c r="AC54" s="2">
        <v>0</v>
      </c>
      <c r="AD54" s="2">
        <v>0</v>
      </c>
      <c r="AE54" s="2">
        <v>0</v>
      </c>
      <c r="AF54" s="2">
        <v>0</v>
      </c>
      <c r="AG54" s="2">
        <v>0</v>
      </c>
      <c r="AH54" s="2"/>
      <c r="AI54" s="2">
        <v>-18227</v>
      </c>
      <c r="AJ54" s="2">
        <v>-16343</v>
      </c>
      <c r="AK54" s="2">
        <v>-12219</v>
      </c>
      <c r="AL54" s="2">
        <v>-10782</v>
      </c>
      <c r="AM54" s="2">
        <v>-16343</v>
      </c>
    </row>
    <row r="55" spans="1:39">
      <c r="A55" s="349">
        <v>90211</v>
      </c>
      <c r="B55" s="342" t="s">
        <v>747</v>
      </c>
      <c r="C55" s="234" t="e">
        <f>VLOOKUP(A55,#REF!,10,FALSE)</f>
        <v>#REF!</v>
      </c>
      <c r="E55" s="2">
        <v>76580</v>
      </c>
      <c r="F55" s="2">
        <v>25976</v>
      </c>
      <c r="G55" s="2">
        <v>44793</v>
      </c>
      <c r="H55" s="2">
        <v>13132</v>
      </c>
      <c r="I55" s="2">
        <v>0</v>
      </c>
      <c r="J55" s="2"/>
      <c r="K55" s="2">
        <v>23670</v>
      </c>
      <c r="L55" s="2">
        <v>22265</v>
      </c>
      <c r="M55" s="2">
        <v>19956</v>
      </c>
      <c r="N55" s="2">
        <v>7990</v>
      </c>
      <c r="O55" s="2">
        <v>0</v>
      </c>
      <c r="P55" s="2"/>
      <c r="Q55" s="2">
        <v>25128</v>
      </c>
      <c r="R55" s="2">
        <v>-21615</v>
      </c>
      <c r="S55" s="2">
        <v>3046</v>
      </c>
      <c r="T55" s="2">
        <v>3965</v>
      </c>
      <c r="U55" s="2">
        <v>0</v>
      </c>
      <c r="V55" s="2"/>
      <c r="W55" s="2">
        <v>28308</v>
      </c>
      <c r="X55" s="2">
        <v>23191</v>
      </c>
      <c r="Y55" s="2">
        <v>18827</v>
      </c>
      <c r="Z55" s="2">
        <v>0</v>
      </c>
      <c r="AA55" s="2">
        <v>0</v>
      </c>
      <c r="AB55" s="2"/>
      <c r="AC55" s="2">
        <v>2962</v>
      </c>
      <c r="AD55" s="2">
        <v>2962</v>
      </c>
      <c r="AE55" s="2">
        <v>2964</v>
      </c>
      <c r="AF55" s="2">
        <v>1177</v>
      </c>
      <c r="AG55" s="2">
        <v>0</v>
      </c>
      <c r="AH55" s="2"/>
      <c r="AI55" s="2">
        <v>-3488</v>
      </c>
      <c r="AJ55" s="2">
        <v>-827</v>
      </c>
      <c r="AK55" s="2">
        <v>0</v>
      </c>
      <c r="AL55" s="2">
        <v>0</v>
      </c>
      <c r="AM55" s="2">
        <v>-827</v>
      </c>
    </row>
    <row r="56" spans="1:39">
      <c r="A56" s="349">
        <v>90301</v>
      </c>
      <c r="B56" s="342" t="s">
        <v>748</v>
      </c>
      <c r="C56" s="234" t="e">
        <f>VLOOKUP(A56,#REF!,10,FALSE)</f>
        <v>#REF!</v>
      </c>
      <c r="E56" s="2">
        <v>354133</v>
      </c>
      <c r="F56" s="2">
        <v>108767</v>
      </c>
      <c r="G56" s="2">
        <v>192667</v>
      </c>
      <c r="H56" s="2">
        <v>55419</v>
      </c>
      <c r="I56" s="2">
        <v>0</v>
      </c>
      <c r="J56" s="2"/>
      <c r="K56" s="2">
        <v>109943</v>
      </c>
      <c r="L56" s="2">
        <v>103421</v>
      </c>
      <c r="M56" s="2">
        <v>92695</v>
      </c>
      <c r="N56" s="2">
        <v>37114</v>
      </c>
      <c r="O56" s="2">
        <v>0</v>
      </c>
      <c r="P56" s="2"/>
      <c r="Q56" s="2">
        <v>116720</v>
      </c>
      <c r="R56" s="2">
        <v>-100401</v>
      </c>
      <c r="S56" s="2">
        <v>14150</v>
      </c>
      <c r="T56" s="2">
        <v>18416</v>
      </c>
      <c r="U56" s="2">
        <v>0</v>
      </c>
      <c r="V56" s="2"/>
      <c r="W56" s="2">
        <v>131487</v>
      </c>
      <c r="X56" s="2">
        <v>107719</v>
      </c>
      <c r="Y56" s="2">
        <v>87449</v>
      </c>
      <c r="Z56" s="2">
        <v>0</v>
      </c>
      <c r="AA56" s="2">
        <v>0</v>
      </c>
      <c r="AB56" s="2"/>
      <c r="AC56" s="2">
        <v>0</v>
      </c>
      <c r="AD56" s="2">
        <v>0</v>
      </c>
      <c r="AE56" s="2">
        <v>0</v>
      </c>
      <c r="AF56" s="2">
        <v>0</v>
      </c>
      <c r="AG56" s="2">
        <v>0</v>
      </c>
      <c r="AH56" s="2"/>
      <c r="AI56" s="2">
        <v>-4017</v>
      </c>
      <c r="AJ56" s="2">
        <v>-1972</v>
      </c>
      <c r="AK56" s="2">
        <v>-1627</v>
      </c>
      <c r="AL56" s="2">
        <v>-111</v>
      </c>
      <c r="AM56" s="2">
        <v>-1972</v>
      </c>
    </row>
    <row r="57" spans="1:39">
      <c r="A57" s="349">
        <v>90305</v>
      </c>
      <c r="B57" s="342" t="s">
        <v>749</v>
      </c>
      <c r="C57" s="234" t="e">
        <f>VLOOKUP(A57,#REF!,10,FALSE)</f>
        <v>#REF!</v>
      </c>
      <c r="E57" s="2">
        <v>73852</v>
      </c>
      <c r="F57" s="2">
        <v>24742</v>
      </c>
      <c r="G57" s="2">
        <v>39803</v>
      </c>
      <c r="H57" s="2">
        <v>12854</v>
      </c>
      <c r="I57" s="2">
        <v>0</v>
      </c>
      <c r="J57" s="2"/>
      <c r="K57" s="2">
        <v>21033</v>
      </c>
      <c r="L57" s="2">
        <v>19785</v>
      </c>
      <c r="M57" s="2">
        <v>17733</v>
      </c>
      <c r="N57" s="2">
        <v>7100</v>
      </c>
      <c r="O57" s="2">
        <v>0</v>
      </c>
      <c r="P57" s="2"/>
      <c r="Q57" s="2">
        <v>22329</v>
      </c>
      <c r="R57" s="2">
        <v>-19207</v>
      </c>
      <c r="S57" s="2">
        <v>2707</v>
      </c>
      <c r="T57" s="2">
        <v>3523</v>
      </c>
      <c r="U57" s="2">
        <v>0</v>
      </c>
      <c r="V57" s="2"/>
      <c r="W57" s="2">
        <v>25154</v>
      </c>
      <c r="X57" s="2">
        <v>20607</v>
      </c>
      <c r="Y57" s="2">
        <v>16730</v>
      </c>
      <c r="Z57" s="2">
        <v>0</v>
      </c>
      <c r="AA57" s="2">
        <v>0</v>
      </c>
      <c r="AB57" s="2"/>
      <c r="AC57" s="2">
        <v>5336</v>
      </c>
      <c r="AD57" s="2">
        <v>3557</v>
      </c>
      <c r="AE57" s="2">
        <v>2633</v>
      </c>
      <c r="AF57" s="2">
        <v>2231</v>
      </c>
      <c r="AG57" s="2">
        <v>0</v>
      </c>
      <c r="AH57" s="2"/>
      <c r="AI57" s="2">
        <v>0</v>
      </c>
      <c r="AJ57" s="2">
        <v>0</v>
      </c>
      <c r="AK57" s="2">
        <v>0</v>
      </c>
      <c r="AL57" s="2">
        <v>0</v>
      </c>
      <c r="AM57" s="2">
        <v>0</v>
      </c>
    </row>
    <row r="58" spans="1:39">
      <c r="A58" s="349">
        <v>90307</v>
      </c>
      <c r="B58" s="342" t="s">
        <v>750</v>
      </c>
      <c r="C58" s="234" t="e">
        <f>VLOOKUP(A58,#REF!,10,FALSE)</f>
        <v>#REF!</v>
      </c>
      <c r="E58" s="2">
        <v>3077</v>
      </c>
      <c r="F58" s="2">
        <v>1114</v>
      </c>
      <c r="G58" s="2">
        <v>1650</v>
      </c>
      <c r="H58" s="2">
        <v>561</v>
      </c>
      <c r="I58" s="2">
        <v>0</v>
      </c>
      <c r="J58" s="2"/>
      <c r="K58" s="2">
        <v>869</v>
      </c>
      <c r="L58" s="2">
        <v>817</v>
      </c>
      <c r="M58" s="2">
        <v>733</v>
      </c>
      <c r="N58" s="2">
        <v>293</v>
      </c>
      <c r="O58" s="2">
        <v>0</v>
      </c>
      <c r="P58" s="2"/>
      <c r="Q58" s="2">
        <v>922</v>
      </c>
      <c r="R58" s="2">
        <v>-793</v>
      </c>
      <c r="S58" s="2">
        <v>112</v>
      </c>
      <c r="T58" s="2">
        <v>146</v>
      </c>
      <c r="U58" s="2">
        <v>0</v>
      </c>
      <c r="V58" s="2"/>
      <c r="W58" s="2">
        <v>1039</v>
      </c>
      <c r="X58" s="2">
        <v>851</v>
      </c>
      <c r="Y58" s="2">
        <v>691</v>
      </c>
      <c r="Z58" s="2">
        <v>0</v>
      </c>
      <c r="AA58" s="2">
        <v>0</v>
      </c>
      <c r="AB58" s="2"/>
      <c r="AC58" s="2">
        <v>255</v>
      </c>
      <c r="AD58" s="2">
        <v>247</v>
      </c>
      <c r="AE58" s="2">
        <v>122</v>
      </c>
      <c r="AF58" s="2">
        <v>122</v>
      </c>
      <c r="AG58" s="2">
        <v>0</v>
      </c>
      <c r="AH58" s="2"/>
      <c r="AI58" s="2">
        <v>-8</v>
      </c>
      <c r="AJ58" s="2">
        <v>-8</v>
      </c>
      <c r="AK58" s="2">
        <v>-8</v>
      </c>
      <c r="AL58" s="2">
        <v>0</v>
      </c>
      <c r="AM58" s="2">
        <v>-8</v>
      </c>
    </row>
    <row r="59" spans="1:39">
      <c r="A59" s="349">
        <v>90401</v>
      </c>
      <c r="B59" s="342" t="s">
        <v>751</v>
      </c>
      <c r="C59" s="234" t="e">
        <f>VLOOKUP(A59,#REF!,10,FALSE)</f>
        <v>#REF!</v>
      </c>
      <c r="E59" s="2">
        <v>644596</v>
      </c>
      <c r="F59" s="2">
        <v>208414</v>
      </c>
      <c r="G59" s="2">
        <v>357837</v>
      </c>
      <c r="H59" s="2">
        <v>116797</v>
      </c>
      <c r="I59" s="2">
        <v>0</v>
      </c>
      <c r="J59" s="2"/>
      <c r="K59" s="2">
        <v>192891</v>
      </c>
      <c r="L59" s="2">
        <v>181449</v>
      </c>
      <c r="M59" s="2">
        <v>162630</v>
      </c>
      <c r="N59" s="2">
        <v>65115</v>
      </c>
      <c r="O59" s="2">
        <v>0</v>
      </c>
      <c r="P59" s="2"/>
      <c r="Q59" s="2">
        <v>204781</v>
      </c>
      <c r="R59" s="2">
        <v>-176150</v>
      </c>
      <c r="S59" s="2">
        <v>24826</v>
      </c>
      <c r="T59" s="2">
        <v>32311</v>
      </c>
      <c r="U59" s="2">
        <v>0</v>
      </c>
      <c r="V59" s="2"/>
      <c r="W59" s="2">
        <v>230689</v>
      </c>
      <c r="X59" s="2">
        <v>188989</v>
      </c>
      <c r="Y59" s="2">
        <v>153427</v>
      </c>
      <c r="Z59" s="2">
        <v>0</v>
      </c>
      <c r="AA59" s="2">
        <v>0</v>
      </c>
      <c r="AB59" s="2"/>
      <c r="AC59" s="2">
        <v>21478</v>
      </c>
      <c r="AD59" s="2">
        <v>19370</v>
      </c>
      <c r="AE59" s="2">
        <v>19370</v>
      </c>
      <c r="AF59" s="2">
        <v>19371</v>
      </c>
      <c r="AG59" s="2">
        <v>0</v>
      </c>
      <c r="AH59" s="2"/>
      <c r="AI59" s="2">
        <v>-5243</v>
      </c>
      <c r="AJ59" s="2">
        <v>-5244</v>
      </c>
      <c r="AK59" s="2">
        <v>-2416</v>
      </c>
      <c r="AL59" s="2">
        <v>0</v>
      </c>
      <c r="AM59" s="2">
        <v>-5244</v>
      </c>
    </row>
    <row r="60" spans="1:39">
      <c r="A60" s="349">
        <v>90411</v>
      </c>
      <c r="B60" s="342" t="s">
        <v>752</v>
      </c>
      <c r="C60" s="234" t="e">
        <f>VLOOKUP(A60,#REF!,10,FALSE)</f>
        <v>#REF!</v>
      </c>
      <c r="E60" s="2">
        <v>143861</v>
      </c>
      <c r="F60" s="2">
        <v>39557</v>
      </c>
      <c r="G60" s="2">
        <v>79464</v>
      </c>
      <c r="H60" s="2">
        <v>19638</v>
      </c>
      <c r="I60" s="2">
        <v>0</v>
      </c>
      <c r="J60" s="2"/>
      <c r="K60" s="2">
        <v>49331</v>
      </c>
      <c r="L60" s="2">
        <v>46405</v>
      </c>
      <c r="M60" s="2">
        <v>41592</v>
      </c>
      <c r="N60" s="2">
        <v>16653</v>
      </c>
      <c r="O60" s="2">
        <v>0</v>
      </c>
      <c r="P60" s="2"/>
      <c r="Q60" s="2">
        <v>52372</v>
      </c>
      <c r="R60" s="2">
        <v>-45050</v>
      </c>
      <c r="S60" s="2">
        <v>6349</v>
      </c>
      <c r="T60" s="2">
        <v>8263</v>
      </c>
      <c r="U60" s="2">
        <v>0</v>
      </c>
      <c r="V60" s="2"/>
      <c r="W60" s="2">
        <v>58998</v>
      </c>
      <c r="X60" s="2">
        <v>48333</v>
      </c>
      <c r="Y60" s="2">
        <v>39238</v>
      </c>
      <c r="Z60" s="2">
        <v>0</v>
      </c>
      <c r="AA60" s="2">
        <v>0</v>
      </c>
      <c r="AB60" s="2"/>
      <c r="AC60" s="2">
        <v>0</v>
      </c>
      <c r="AD60" s="2">
        <v>0</v>
      </c>
      <c r="AE60" s="2">
        <v>0</v>
      </c>
      <c r="AF60" s="2">
        <v>0</v>
      </c>
      <c r="AG60" s="2">
        <v>0</v>
      </c>
      <c r="AH60" s="2"/>
      <c r="AI60" s="2">
        <v>-16840</v>
      </c>
      <c r="AJ60" s="2">
        <v>-10131</v>
      </c>
      <c r="AK60" s="2">
        <v>-7715</v>
      </c>
      <c r="AL60" s="2">
        <v>-5278</v>
      </c>
      <c r="AM60" s="2">
        <v>-10131</v>
      </c>
    </row>
    <row r="61" spans="1:39">
      <c r="A61" s="349">
        <v>90413</v>
      </c>
      <c r="B61" s="342" t="s">
        <v>753</v>
      </c>
      <c r="C61" s="234" t="e">
        <f>VLOOKUP(A61,#REF!,10,FALSE)</f>
        <v>#REF!</v>
      </c>
      <c r="E61" s="2">
        <v>17965</v>
      </c>
      <c r="F61" s="2">
        <v>5875</v>
      </c>
      <c r="G61" s="2">
        <v>10078</v>
      </c>
      <c r="H61" s="2">
        <v>3042</v>
      </c>
      <c r="I61" s="2">
        <v>0</v>
      </c>
      <c r="J61" s="2"/>
      <c r="K61" s="2">
        <v>5228</v>
      </c>
      <c r="L61" s="2">
        <v>4918</v>
      </c>
      <c r="M61" s="2">
        <v>4408</v>
      </c>
      <c r="N61" s="2">
        <v>1765</v>
      </c>
      <c r="O61" s="2">
        <v>0</v>
      </c>
      <c r="P61" s="2"/>
      <c r="Q61" s="2">
        <v>5551</v>
      </c>
      <c r="R61" s="2">
        <v>-4774</v>
      </c>
      <c r="S61" s="2">
        <v>673</v>
      </c>
      <c r="T61" s="2">
        <v>876</v>
      </c>
      <c r="U61" s="2">
        <v>0</v>
      </c>
      <c r="V61" s="2"/>
      <c r="W61" s="2">
        <v>6253</v>
      </c>
      <c r="X61" s="2">
        <v>5122</v>
      </c>
      <c r="Y61" s="2">
        <v>4159</v>
      </c>
      <c r="Z61" s="2">
        <v>0</v>
      </c>
      <c r="AA61" s="2">
        <v>0</v>
      </c>
      <c r="AB61" s="2"/>
      <c r="AC61" s="2">
        <v>1162</v>
      </c>
      <c r="AD61" s="2">
        <v>838</v>
      </c>
      <c r="AE61" s="2">
        <v>838</v>
      </c>
      <c r="AF61" s="2">
        <v>401</v>
      </c>
      <c r="AG61" s="2">
        <v>0</v>
      </c>
      <c r="AH61" s="2"/>
      <c r="AI61" s="2">
        <v>-229</v>
      </c>
      <c r="AJ61" s="2">
        <v>-229</v>
      </c>
      <c r="AK61" s="2">
        <v>0</v>
      </c>
      <c r="AL61" s="2">
        <v>0</v>
      </c>
      <c r="AM61" s="2">
        <v>-229</v>
      </c>
    </row>
    <row r="62" spans="1:39">
      <c r="A62" s="349">
        <v>90417</v>
      </c>
      <c r="B62" s="342" t="s">
        <v>754</v>
      </c>
      <c r="C62" s="234" t="e">
        <f>VLOOKUP(A62,#REF!,10,FALSE)</f>
        <v>#REF!</v>
      </c>
      <c r="E62" s="2">
        <v>6995</v>
      </c>
      <c r="F62" s="2">
        <v>3183</v>
      </c>
      <c r="G62" s="2">
        <v>3854</v>
      </c>
      <c r="H62" s="2">
        <v>1196</v>
      </c>
      <c r="I62" s="2">
        <v>0</v>
      </c>
      <c r="J62" s="2"/>
      <c r="K62" s="2">
        <v>1588</v>
      </c>
      <c r="L62" s="2">
        <v>1494</v>
      </c>
      <c r="M62" s="2">
        <v>1339</v>
      </c>
      <c r="N62" s="2">
        <v>536</v>
      </c>
      <c r="O62" s="2">
        <v>0</v>
      </c>
      <c r="P62" s="2"/>
      <c r="Q62" s="2">
        <v>1686</v>
      </c>
      <c r="R62" s="2">
        <v>-1450</v>
      </c>
      <c r="S62" s="2">
        <v>204</v>
      </c>
      <c r="T62" s="2">
        <v>266</v>
      </c>
      <c r="U62" s="2">
        <v>0</v>
      </c>
      <c r="V62" s="2"/>
      <c r="W62" s="2">
        <v>1899</v>
      </c>
      <c r="X62" s="2">
        <v>1556</v>
      </c>
      <c r="Y62" s="2">
        <v>1263</v>
      </c>
      <c r="Z62" s="2">
        <v>0</v>
      </c>
      <c r="AA62" s="2">
        <v>0</v>
      </c>
      <c r="AB62" s="2"/>
      <c r="AC62" s="2">
        <v>1822</v>
      </c>
      <c r="AD62" s="2">
        <v>1583</v>
      </c>
      <c r="AE62" s="2">
        <v>1048</v>
      </c>
      <c r="AF62" s="2">
        <v>394</v>
      </c>
      <c r="AG62" s="2">
        <v>0</v>
      </c>
      <c r="AH62" s="2"/>
      <c r="AI62" s="2">
        <v>0</v>
      </c>
      <c r="AJ62" s="2">
        <v>0</v>
      </c>
      <c r="AK62" s="2">
        <v>0</v>
      </c>
      <c r="AL62" s="2">
        <v>0</v>
      </c>
      <c r="AM62" s="2">
        <v>0</v>
      </c>
    </row>
    <row r="63" spans="1:39">
      <c r="A63" s="349">
        <v>90421</v>
      </c>
      <c r="B63" s="342" t="s">
        <v>755</v>
      </c>
      <c r="C63" s="234" t="e">
        <f>VLOOKUP(A63,#REF!,10,FALSE)</f>
        <v>#REF!</v>
      </c>
      <c r="E63" s="2">
        <v>7829</v>
      </c>
      <c r="F63" s="2">
        <v>1633</v>
      </c>
      <c r="G63" s="2">
        <v>4475</v>
      </c>
      <c r="H63" s="2">
        <v>1156</v>
      </c>
      <c r="I63" s="2">
        <v>0</v>
      </c>
      <c r="J63" s="2"/>
      <c r="K63" s="2">
        <v>2966</v>
      </c>
      <c r="L63" s="2">
        <v>2790</v>
      </c>
      <c r="M63" s="2">
        <v>2501</v>
      </c>
      <c r="N63" s="2">
        <v>1001</v>
      </c>
      <c r="O63" s="2">
        <v>0</v>
      </c>
      <c r="P63" s="2"/>
      <c r="Q63" s="2">
        <v>3149</v>
      </c>
      <c r="R63" s="2">
        <v>-2709</v>
      </c>
      <c r="S63" s="2">
        <v>382</v>
      </c>
      <c r="T63" s="2">
        <v>497</v>
      </c>
      <c r="U63" s="2">
        <v>0</v>
      </c>
      <c r="V63" s="2"/>
      <c r="W63" s="2">
        <v>3547</v>
      </c>
      <c r="X63" s="2">
        <v>2906</v>
      </c>
      <c r="Y63" s="2">
        <v>2359</v>
      </c>
      <c r="Z63" s="2">
        <v>0</v>
      </c>
      <c r="AA63" s="2">
        <v>0</v>
      </c>
      <c r="AB63" s="2"/>
      <c r="AC63" s="2">
        <v>0</v>
      </c>
      <c r="AD63" s="2">
        <v>0</v>
      </c>
      <c r="AE63" s="2">
        <v>0</v>
      </c>
      <c r="AF63" s="2">
        <v>0</v>
      </c>
      <c r="AG63" s="2">
        <v>0</v>
      </c>
      <c r="AH63" s="2"/>
      <c r="AI63" s="2">
        <v>-1833</v>
      </c>
      <c r="AJ63" s="2">
        <v>-1354</v>
      </c>
      <c r="AK63" s="2">
        <v>-767</v>
      </c>
      <c r="AL63" s="2">
        <v>-342</v>
      </c>
      <c r="AM63" s="2">
        <v>-1354</v>
      </c>
    </row>
    <row r="64" spans="1:39">
      <c r="A64" s="349">
        <v>90431</v>
      </c>
      <c r="B64" s="342" t="s">
        <v>756</v>
      </c>
      <c r="C64" s="234" t="e">
        <f>VLOOKUP(A64,#REF!,10,FALSE)</f>
        <v>#REF!</v>
      </c>
      <c r="E64" s="2">
        <v>24238</v>
      </c>
      <c r="F64" s="2">
        <v>8404</v>
      </c>
      <c r="G64" s="2">
        <v>13025</v>
      </c>
      <c r="H64" s="2">
        <v>4288</v>
      </c>
      <c r="I64" s="2">
        <v>0</v>
      </c>
      <c r="J64" s="2"/>
      <c r="K64" s="2">
        <v>7206</v>
      </c>
      <c r="L64" s="2">
        <v>6778</v>
      </c>
      <c r="M64" s="2">
        <v>6075</v>
      </c>
      <c r="N64" s="2">
        <v>2432</v>
      </c>
      <c r="O64" s="2">
        <v>0</v>
      </c>
      <c r="P64" s="2"/>
      <c r="Q64" s="2">
        <v>7650</v>
      </c>
      <c r="R64" s="2">
        <v>-6580</v>
      </c>
      <c r="S64" s="2">
        <v>927</v>
      </c>
      <c r="T64" s="2">
        <v>1207</v>
      </c>
      <c r="U64" s="2">
        <v>0</v>
      </c>
      <c r="V64" s="2"/>
      <c r="W64" s="2">
        <v>8618</v>
      </c>
      <c r="X64" s="2">
        <v>7060</v>
      </c>
      <c r="Y64" s="2">
        <v>5731</v>
      </c>
      <c r="Z64" s="2">
        <v>0</v>
      </c>
      <c r="AA64" s="2">
        <v>0</v>
      </c>
      <c r="AB64" s="2"/>
      <c r="AC64" s="2">
        <v>1507</v>
      </c>
      <c r="AD64" s="2">
        <v>1506</v>
      </c>
      <c r="AE64" s="2">
        <v>651</v>
      </c>
      <c r="AF64" s="2">
        <v>649</v>
      </c>
      <c r="AG64" s="2">
        <v>0</v>
      </c>
      <c r="AH64" s="2"/>
      <c r="AI64" s="2">
        <v>-743</v>
      </c>
      <c r="AJ64" s="2">
        <v>-360</v>
      </c>
      <c r="AK64" s="2">
        <v>-359</v>
      </c>
      <c r="AL64" s="2">
        <v>0</v>
      </c>
      <c r="AM64" s="2">
        <v>-360</v>
      </c>
    </row>
    <row r="65" spans="1:39">
      <c r="A65" s="349">
        <v>90441</v>
      </c>
      <c r="B65" s="342" t="s">
        <v>757</v>
      </c>
      <c r="C65" s="234" t="e">
        <f>VLOOKUP(A65,#REF!,10,FALSE)</f>
        <v>#REF!</v>
      </c>
      <c r="E65" s="2">
        <v>3721</v>
      </c>
      <c r="F65" s="2">
        <v>1427</v>
      </c>
      <c r="G65" s="2">
        <v>2144</v>
      </c>
      <c r="H65" s="2">
        <v>724</v>
      </c>
      <c r="I65" s="2">
        <v>0</v>
      </c>
      <c r="J65" s="2"/>
      <c r="K65" s="2">
        <v>1004</v>
      </c>
      <c r="L65" s="2">
        <v>944</v>
      </c>
      <c r="M65" s="2">
        <v>846</v>
      </c>
      <c r="N65" s="2">
        <v>339</v>
      </c>
      <c r="O65" s="2">
        <v>0</v>
      </c>
      <c r="P65" s="2"/>
      <c r="Q65" s="2">
        <v>1066</v>
      </c>
      <c r="R65" s="2">
        <v>-917</v>
      </c>
      <c r="S65" s="2">
        <v>129</v>
      </c>
      <c r="T65" s="2">
        <v>168</v>
      </c>
      <c r="U65" s="2">
        <v>0</v>
      </c>
      <c r="V65" s="2"/>
      <c r="W65" s="2">
        <v>1200</v>
      </c>
      <c r="X65" s="2">
        <v>983</v>
      </c>
      <c r="Y65" s="2">
        <v>798</v>
      </c>
      <c r="Z65" s="2">
        <v>0</v>
      </c>
      <c r="AA65" s="2">
        <v>0</v>
      </c>
      <c r="AB65" s="2"/>
      <c r="AC65" s="2">
        <v>451</v>
      </c>
      <c r="AD65" s="2">
        <v>417</v>
      </c>
      <c r="AE65" s="2">
        <v>371</v>
      </c>
      <c r="AF65" s="2">
        <v>217</v>
      </c>
      <c r="AG65" s="2">
        <v>0</v>
      </c>
      <c r="AH65" s="2"/>
      <c r="AI65" s="2">
        <v>0</v>
      </c>
      <c r="AJ65" s="2">
        <v>0</v>
      </c>
      <c r="AK65" s="2">
        <v>0</v>
      </c>
      <c r="AL65" s="2">
        <v>0</v>
      </c>
      <c r="AM65" s="2">
        <v>0</v>
      </c>
    </row>
    <row r="66" spans="1:39">
      <c r="A66" s="349">
        <v>90451</v>
      </c>
      <c r="B66" s="342" t="s">
        <v>758</v>
      </c>
      <c r="C66" s="234" t="e">
        <f>VLOOKUP(A66,#REF!,10,FALSE)</f>
        <v>#REF!</v>
      </c>
      <c r="E66" s="2">
        <v>12800</v>
      </c>
      <c r="F66" s="2">
        <v>4415</v>
      </c>
      <c r="G66" s="2">
        <v>7227</v>
      </c>
      <c r="H66" s="2">
        <v>2210</v>
      </c>
      <c r="I66" s="2">
        <v>0</v>
      </c>
      <c r="J66" s="2"/>
      <c r="K66" s="2">
        <v>3461</v>
      </c>
      <c r="L66" s="2">
        <v>3255</v>
      </c>
      <c r="M66" s="2">
        <v>2918</v>
      </c>
      <c r="N66" s="2">
        <v>1168</v>
      </c>
      <c r="O66" s="2">
        <v>0</v>
      </c>
      <c r="P66" s="2"/>
      <c r="Q66" s="2">
        <v>3674</v>
      </c>
      <c r="R66" s="2">
        <v>-3160</v>
      </c>
      <c r="S66" s="2">
        <v>445</v>
      </c>
      <c r="T66" s="2">
        <v>580</v>
      </c>
      <c r="U66" s="2">
        <v>0</v>
      </c>
      <c r="V66" s="2"/>
      <c r="W66" s="2">
        <v>4139</v>
      </c>
      <c r="X66" s="2">
        <v>3391</v>
      </c>
      <c r="Y66" s="2">
        <v>2753</v>
      </c>
      <c r="Z66" s="2">
        <v>0</v>
      </c>
      <c r="AA66" s="2">
        <v>0</v>
      </c>
      <c r="AB66" s="2"/>
      <c r="AC66" s="2">
        <v>1705</v>
      </c>
      <c r="AD66" s="2">
        <v>1110</v>
      </c>
      <c r="AE66" s="2">
        <v>1111</v>
      </c>
      <c r="AF66" s="2">
        <v>462</v>
      </c>
      <c r="AG66" s="2">
        <v>0</v>
      </c>
      <c r="AH66" s="2"/>
      <c r="AI66" s="2">
        <v>-179</v>
      </c>
      <c r="AJ66" s="2">
        <v>-181</v>
      </c>
      <c r="AK66" s="2">
        <v>0</v>
      </c>
      <c r="AL66" s="2">
        <v>0</v>
      </c>
      <c r="AM66" s="2">
        <v>-181</v>
      </c>
    </row>
    <row r="67" spans="1:39">
      <c r="A67" s="349">
        <v>90461</v>
      </c>
      <c r="B67" s="342" t="s">
        <v>759</v>
      </c>
      <c r="C67" s="234" t="e">
        <f>VLOOKUP(A67,#REF!,10,FALSE)</f>
        <v>#REF!</v>
      </c>
      <c r="E67" s="2">
        <v>-1298</v>
      </c>
      <c r="F67" s="2">
        <v>-1898</v>
      </c>
      <c r="G67" s="2">
        <v>-79</v>
      </c>
      <c r="H67" s="2">
        <v>-497</v>
      </c>
      <c r="I67" s="2">
        <v>0</v>
      </c>
      <c r="J67" s="2"/>
      <c r="K67" s="2">
        <v>315</v>
      </c>
      <c r="L67" s="2">
        <v>296</v>
      </c>
      <c r="M67" s="2">
        <v>265</v>
      </c>
      <c r="N67" s="2">
        <v>106</v>
      </c>
      <c r="O67" s="2">
        <v>0</v>
      </c>
      <c r="P67" s="2"/>
      <c r="Q67" s="2">
        <v>334</v>
      </c>
      <c r="R67" s="2">
        <v>-287</v>
      </c>
      <c r="S67" s="2">
        <v>40</v>
      </c>
      <c r="T67" s="2">
        <v>53</v>
      </c>
      <c r="U67" s="2">
        <v>0</v>
      </c>
      <c r="V67" s="2"/>
      <c r="W67" s="2">
        <v>376</v>
      </c>
      <c r="X67" s="2">
        <v>308</v>
      </c>
      <c r="Y67" s="2">
        <v>250</v>
      </c>
      <c r="Z67" s="2">
        <v>0</v>
      </c>
      <c r="AA67" s="2">
        <v>0</v>
      </c>
      <c r="AB67" s="2"/>
      <c r="AC67" s="2">
        <v>23</v>
      </c>
      <c r="AD67" s="2">
        <v>23</v>
      </c>
      <c r="AE67" s="2">
        <v>21</v>
      </c>
      <c r="AF67" s="2">
        <v>0</v>
      </c>
      <c r="AG67" s="2">
        <v>0</v>
      </c>
      <c r="AH67" s="2"/>
      <c r="AI67" s="2">
        <v>-2346</v>
      </c>
      <c r="AJ67" s="2">
        <v>-2238</v>
      </c>
      <c r="AK67" s="2">
        <v>-655</v>
      </c>
      <c r="AL67" s="2">
        <v>-656</v>
      </c>
      <c r="AM67" s="2">
        <v>-2238</v>
      </c>
    </row>
    <row r="68" spans="1:39">
      <c r="A68" s="349">
        <v>90501</v>
      </c>
      <c r="B68" s="342" t="s">
        <v>760</v>
      </c>
      <c r="C68" s="234" t="e">
        <f>VLOOKUP(A68,#REF!,10,FALSE)</f>
        <v>#REF!</v>
      </c>
      <c r="E68" s="2">
        <v>740513</v>
      </c>
      <c r="F68" s="2">
        <v>248004</v>
      </c>
      <c r="G68" s="2">
        <v>407264</v>
      </c>
      <c r="H68" s="2">
        <v>132944</v>
      </c>
      <c r="I68" s="2">
        <v>0</v>
      </c>
      <c r="J68" s="2"/>
      <c r="K68" s="2">
        <v>218523</v>
      </c>
      <c r="L68" s="2">
        <v>205560</v>
      </c>
      <c r="M68" s="2">
        <v>184241</v>
      </c>
      <c r="N68" s="2">
        <v>73768</v>
      </c>
      <c r="O68" s="2">
        <v>0</v>
      </c>
      <c r="P68" s="2"/>
      <c r="Q68" s="2">
        <v>231993</v>
      </c>
      <c r="R68" s="2">
        <v>-199557</v>
      </c>
      <c r="S68" s="2">
        <v>28125</v>
      </c>
      <c r="T68" s="2">
        <v>36605</v>
      </c>
      <c r="U68" s="2">
        <v>0</v>
      </c>
      <c r="V68" s="2"/>
      <c r="W68" s="2">
        <v>261344</v>
      </c>
      <c r="X68" s="2">
        <v>214102</v>
      </c>
      <c r="Y68" s="2">
        <v>173814</v>
      </c>
      <c r="Z68" s="2">
        <v>0</v>
      </c>
      <c r="AA68" s="2">
        <v>0</v>
      </c>
      <c r="AB68" s="2"/>
      <c r="AC68" s="2">
        <v>30140</v>
      </c>
      <c r="AD68" s="2">
        <v>29386</v>
      </c>
      <c r="AE68" s="2">
        <v>22571</v>
      </c>
      <c r="AF68" s="2">
        <v>22571</v>
      </c>
      <c r="AG68" s="2">
        <v>0</v>
      </c>
      <c r="AH68" s="2"/>
      <c r="AI68" s="2">
        <v>-1487</v>
      </c>
      <c r="AJ68" s="2">
        <v>-1487</v>
      </c>
      <c r="AK68" s="2">
        <v>-1487</v>
      </c>
      <c r="AL68" s="2">
        <v>0</v>
      </c>
      <c r="AM68" s="2">
        <v>-1487</v>
      </c>
    </row>
    <row r="69" spans="1:39">
      <c r="A69" s="349">
        <v>90507</v>
      </c>
      <c r="B69" s="342" t="s">
        <v>34</v>
      </c>
      <c r="C69" s="234" t="e">
        <f>VLOOKUP(A69,#REF!,10,FALSE)</f>
        <v>#REF!</v>
      </c>
      <c r="E69" s="2">
        <v>6496</v>
      </c>
      <c r="F69" s="2">
        <v>4244</v>
      </c>
      <c r="G69" s="2">
        <v>3270</v>
      </c>
      <c r="H69" s="2">
        <v>1092</v>
      </c>
      <c r="I69" s="2">
        <v>0</v>
      </c>
      <c r="J69" s="2"/>
      <c r="K69" s="2">
        <v>509</v>
      </c>
      <c r="L69" s="2">
        <v>479</v>
      </c>
      <c r="M69" s="2">
        <v>429</v>
      </c>
      <c r="N69" s="2">
        <v>172</v>
      </c>
      <c r="O69" s="2">
        <v>0</v>
      </c>
      <c r="P69" s="2"/>
      <c r="Q69" s="2">
        <v>541</v>
      </c>
      <c r="R69" s="2">
        <v>-465</v>
      </c>
      <c r="S69" s="2">
        <v>66</v>
      </c>
      <c r="T69" s="2">
        <v>85</v>
      </c>
      <c r="U69" s="2">
        <v>0</v>
      </c>
      <c r="V69" s="2"/>
      <c r="W69" s="2">
        <v>609</v>
      </c>
      <c r="X69" s="2">
        <v>499</v>
      </c>
      <c r="Y69" s="2">
        <v>405</v>
      </c>
      <c r="Z69" s="2">
        <v>0</v>
      </c>
      <c r="AA69" s="2">
        <v>0</v>
      </c>
      <c r="AB69" s="2"/>
      <c r="AC69" s="2">
        <v>4837</v>
      </c>
      <c r="AD69" s="2">
        <v>3731</v>
      </c>
      <c r="AE69" s="2">
        <v>2370</v>
      </c>
      <c r="AF69" s="2">
        <v>835</v>
      </c>
      <c r="AG69" s="2">
        <v>0</v>
      </c>
      <c r="AH69" s="2"/>
      <c r="AI69" s="2">
        <v>0</v>
      </c>
      <c r="AJ69" s="2">
        <v>0</v>
      </c>
      <c r="AK69" s="2">
        <v>0</v>
      </c>
      <c r="AL69" s="2">
        <v>0</v>
      </c>
      <c r="AM69" s="2">
        <v>0</v>
      </c>
    </row>
    <row r="70" spans="1:39">
      <c r="A70" s="349">
        <v>90511</v>
      </c>
      <c r="B70" s="342" t="s">
        <v>761</v>
      </c>
      <c r="C70" s="234" t="e">
        <f>VLOOKUP(A70,#REF!,10,FALSE)</f>
        <v>#REF!</v>
      </c>
      <c r="E70" s="2">
        <v>59537</v>
      </c>
      <c r="F70" s="2">
        <v>23748</v>
      </c>
      <c r="G70" s="2">
        <v>34193</v>
      </c>
      <c r="H70" s="2">
        <v>13020</v>
      </c>
      <c r="I70" s="2">
        <v>0</v>
      </c>
      <c r="J70" s="2"/>
      <c r="K70" s="2">
        <v>15145</v>
      </c>
      <c r="L70" s="2">
        <v>14247</v>
      </c>
      <c r="M70" s="2">
        <v>12769</v>
      </c>
      <c r="N70" s="2">
        <v>5113</v>
      </c>
      <c r="O70" s="2">
        <v>0</v>
      </c>
      <c r="P70" s="2"/>
      <c r="Q70" s="2">
        <v>16079</v>
      </c>
      <c r="R70" s="2">
        <v>-13831</v>
      </c>
      <c r="S70" s="2">
        <v>1949</v>
      </c>
      <c r="T70" s="2">
        <v>2537</v>
      </c>
      <c r="U70" s="2">
        <v>0</v>
      </c>
      <c r="V70" s="2"/>
      <c r="W70" s="2">
        <v>18113</v>
      </c>
      <c r="X70" s="2">
        <v>14839</v>
      </c>
      <c r="Y70" s="2">
        <v>12047</v>
      </c>
      <c r="Z70" s="2">
        <v>0</v>
      </c>
      <c r="AA70" s="2">
        <v>0</v>
      </c>
      <c r="AB70" s="2"/>
      <c r="AC70" s="2">
        <v>10200</v>
      </c>
      <c r="AD70" s="2">
        <v>8493</v>
      </c>
      <c r="AE70" s="2">
        <v>7428</v>
      </c>
      <c r="AF70" s="2">
        <v>5370</v>
      </c>
      <c r="AG70" s="2">
        <v>0</v>
      </c>
      <c r="AH70" s="2"/>
      <c r="AI70" s="2">
        <v>0</v>
      </c>
      <c r="AJ70" s="2">
        <v>0</v>
      </c>
      <c r="AK70" s="2">
        <v>0</v>
      </c>
      <c r="AL70" s="2">
        <v>0</v>
      </c>
      <c r="AM70" s="2">
        <v>0</v>
      </c>
    </row>
    <row r="71" spans="1:39">
      <c r="A71" s="349">
        <v>90521</v>
      </c>
      <c r="B71" s="342" t="s">
        <v>762</v>
      </c>
      <c r="C71" s="234" t="e">
        <f>VLOOKUP(A71,#REF!,10,FALSE)</f>
        <v>#REF!</v>
      </c>
      <c r="E71" s="2">
        <v>59177</v>
      </c>
      <c r="F71" s="2">
        <v>15341</v>
      </c>
      <c r="G71" s="2">
        <v>32569</v>
      </c>
      <c r="H71" s="2">
        <v>9867</v>
      </c>
      <c r="I71" s="2">
        <v>0</v>
      </c>
      <c r="J71" s="2"/>
      <c r="K71" s="2">
        <v>20539</v>
      </c>
      <c r="L71" s="2">
        <v>19320</v>
      </c>
      <c r="M71" s="2">
        <v>17316</v>
      </c>
      <c r="N71" s="2">
        <v>6933</v>
      </c>
      <c r="O71" s="2">
        <v>0</v>
      </c>
      <c r="P71" s="2"/>
      <c r="Q71" s="2">
        <v>21805</v>
      </c>
      <c r="R71" s="2">
        <v>-18756</v>
      </c>
      <c r="S71" s="2">
        <v>2643</v>
      </c>
      <c r="T71" s="2">
        <v>3440</v>
      </c>
      <c r="U71" s="2">
        <v>0</v>
      </c>
      <c r="V71" s="2"/>
      <c r="W71" s="2">
        <v>24563</v>
      </c>
      <c r="X71" s="2">
        <v>20123</v>
      </c>
      <c r="Y71" s="2">
        <v>16336</v>
      </c>
      <c r="Z71" s="2">
        <v>0</v>
      </c>
      <c r="AA71" s="2">
        <v>0</v>
      </c>
      <c r="AB71" s="2"/>
      <c r="AC71" s="2">
        <v>0</v>
      </c>
      <c r="AD71" s="2">
        <v>0</v>
      </c>
      <c r="AE71" s="2">
        <v>0</v>
      </c>
      <c r="AF71" s="2">
        <v>0</v>
      </c>
      <c r="AG71" s="2">
        <v>0</v>
      </c>
      <c r="AH71" s="2"/>
      <c r="AI71" s="2">
        <v>-7730</v>
      </c>
      <c r="AJ71" s="2">
        <v>-5346</v>
      </c>
      <c r="AK71" s="2">
        <v>-3726</v>
      </c>
      <c r="AL71" s="2">
        <v>-506</v>
      </c>
      <c r="AM71" s="2">
        <v>-5346</v>
      </c>
    </row>
    <row r="72" spans="1:39">
      <c r="A72" s="349">
        <v>90601</v>
      </c>
      <c r="B72" s="342" t="s">
        <v>763</v>
      </c>
      <c r="C72" s="234" t="e">
        <f>VLOOKUP(A72,#REF!,10,FALSE)</f>
        <v>#REF!</v>
      </c>
      <c r="E72" s="2">
        <v>531793</v>
      </c>
      <c r="F72" s="2">
        <v>163504</v>
      </c>
      <c r="G72" s="2">
        <v>289139</v>
      </c>
      <c r="H72" s="2">
        <v>85748</v>
      </c>
      <c r="I72" s="2">
        <v>0</v>
      </c>
      <c r="J72" s="2"/>
      <c r="K72" s="2">
        <v>166301</v>
      </c>
      <c r="L72" s="2">
        <v>156435</v>
      </c>
      <c r="M72" s="2">
        <v>140211</v>
      </c>
      <c r="N72" s="2">
        <v>56139</v>
      </c>
      <c r="O72" s="2">
        <v>0</v>
      </c>
      <c r="P72" s="2"/>
      <c r="Q72" s="2">
        <v>176551</v>
      </c>
      <c r="R72" s="2">
        <v>-151867</v>
      </c>
      <c r="S72" s="2">
        <v>21404</v>
      </c>
      <c r="T72" s="2">
        <v>27857</v>
      </c>
      <c r="U72" s="2">
        <v>0</v>
      </c>
      <c r="V72" s="2"/>
      <c r="W72" s="2">
        <v>198888</v>
      </c>
      <c r="X72" s="2">
        <v>162936</v>
      </c>
      <c r="Y72" s="2">
        <v>132276</v>
      </c>
      <c r="Z72" s="2">
        <v>0</v>
      </c>
      <c r="AA72" s="2">
        <v>0</v>
      </c>
      <c r="AB72" s="2"/>
      <c r="AC72" s="2">
        <v>2505</v>
      </c>
      <c r="AD72" s="2">
        <v>2504</v>
      </c>
      <c r="AE72" s="2">
        <v>1750</v>
      </c>
      <c r="AF72" s="2">
        <v>1752</v>
      </c>
      <c r="AG72" s="2">
        <v>0</v>
      </c>
      <c r="AH72" s="2"/>
      <c r="AI72" s="2">
        <v>-12452</v>
      </c>
      <c r="AJ72" s="2">
        <v>-6504</v>
      </c>
      <c r="AK72" s="2">
        <v>-6502</v>
      </c>
      <c r="AL72" s="2">
        <v>0</v>
      </c>
      <c r="AM72" s="2">
        <v>-6504</v>
      </c>
    </row>
    <row r="73" spans="1:39">
      <c r="A73" s="349">
        <v>90602</v>
      </c>
      <c r="B73" s="342" t="s">
        <v>259</v>
      </c>
      <c r="C73" s="234" t="e">
        <f>VLOOKUP(A73,#REF!,10,FALSE)</f>
        <v>#REF!</v>
      </c>
      <c r="E73" s="2">
        <v>65265</v>
      </c>
      <c r="F73" s="2">
        <v>25294</v>
      </c>
      <c r="G73" s="2">
        <v>34681</v>
      </c>
      <c r="H73" s="2">
        <v>14617</v>
      </c>
      <c r="I73" s="2">
        <v>0</v>
      </c>
      <c r="J73" s="2"/>
      <c r="K73" s="2">
        <v>13932</v>
      </c>
      <c r="L73" s="2">
        <v>13106</v>
      </c>
      <c r="M73" s="2">
        <v>11746</v>
      </c>
      <c r="N73" s="2">
        <v>4703</v>
      </c>
      <c r="O73" s="2">
        <v>0</v>
      </c>
      <c r="P73" s="2"/>
      <c r="Q73" s="2">
        <v>14791</v>
      </c>
      <c r="R73" s="2">
        <v>-12723</v>
      </c>
      <c r="S73" s="2">
        <v>1793</v>
      </c>
      <c r="T73" s="2">
        <v>2334</v>
      </c>
      <c r="U73" s="2">
        <v>0</v>
      </c>
      <c r="V73" s="2"/>
      <c r="W73" s="2">
        <v>16662</v>
      </c>
      <c r="X73" s="2">
        <v>13650</v>
      </c>
      <c r="Y73" s="2">
        <v>11082</v>
      </c>
      <c r="Z73" s="2">
        <v>0</v>
      </c>
      <c r="AA73" s="2">
        <v>0</v>
      </c>
      <c r="AB73" s="2"/>
      <c r="AC73" s="2">
        <v>19880</v>
      </c>
      <c r="AD73" s="2">
        <v>11261</v>
      </c>
      <c r="AE73" s="2">
        <v>10060</v>
      </c>
      <c r="AF73" s="2">
        <v>7580</v>
      </c>
      <c r="AG73" s="2">
        <v>0</v>
      </c>
      <c r="AH73" s="2"/>
      <c r="AI73" s="2">
        <v>0</v>
      </c>
      <c r="AJ73" s="2">
        <v>0</v>
      </c>
      <c r="AK73" s="2">
        <v>0</v>
      </c>
      <c r="AL73" s="2">
        <v>0</v>
      </c>
      <c r="AM73" s="2">
        <v>0</v>
      </c>
    </row>
    <row r="74" spans="1:39">
      <c r="A74" s="349">
        <v>90605</v>
      </c>
      <c r="B74" s="342" t="s">
        <v>3637</v>
      </c>
      <c r="C74" s="234" t="e">
        <f>VLOOKUP(A74,#REF!,10,FALSE)</f>
        <v>#REF!</v>
      </c>
      <c r="E74" s="2">
        <v>31463</v>
      </c>
      <c r="F74" s="2">
        <v>13276</v>
      </c>
      <c r="G74" s="2">
        <v>17105</v>
      </c>
      <c r="H74" s="2">
        <v>6502</v>
      </c>
      <c r="I74" s="2">
        <v>0</v>
      </c>
      <c r="J74" s="2"/>
      <c r="K74" s="2">
        <v>7460</v>
      </c>
      <c r="L74" s="2">
        <v>7018</v>
      </c>
      <c r="M74" s="2">
        <v>6290</v>
      </c>
      <c r="N74" s="2">
        <v>2518</v>
      </c>
      <c r="O74" s="2">
        <v>0</v>
      </c>
      <c r="P74" s="2"/>
      <c r="Q74" s="2">
        <v>7920</v>
      </c>
      <c r="R74" s="2">
        <v>-6813</v>
      </c>
      <c r="S74" s="2">
        <v>960</v>
      </c>
      <c r="T74" s="2">
        <v>1250</v>
      </c>
      <c r="U74" s="2">
        <v>0</v>
      </c>
      <c r="V74" s="2"/>
      <c r="W74" s="2">
        <v>8922</v>
      </c>
      <c r="X74" s="2">
        <v>7309</v>
      </c>
      <c r="Y74" s="2">
        <v>5934</v>
      </c>
      <c r="Z74" s="2">
        <v>0</v>
      </c>
      <c r="AA74" s="2">
        <v>0</v>
      </c>
      <c r="AB74" s="2"/>
      <c r="AC74" s="2">
        <v>7161</v>
      </c>
      <c r="AD74" s="2">
        <v>5762</v>
      </c>
      <c r="AE74" s="2">
        <v>3921</v>
      </c>
      <c r="AF74" s="2">
        <v>2734</v>
      </c>
      <c r="AG74" s="2">
        <v>0</v>
      </c>
      <c r="AH74" s="2"/>
      <c r="AI74" s="2">
        <v>0</v>
      </c>
      <c r="AJ74" s="2">
        <v>0</v>
      </c>
      <c r="AK74" s="2">
        <v>0</v>
      </c>
      <c r="AL74" s="2">
        <v>0</v>
      </c>
      <c r="AM74" s="2">
        <v>0</v>
      </c>
    </row>
    <row r="75" spans="1:39">
      <c r="A75" s="349">
        <v>90611</v>
      </c>
      <c r="B75" s="342" t="s">
        <v>765</v>
      </c>
      <c r="C75" s="234" t="e">
        <f>VLOOKUP(A75,#REF!,10,FALSE)</f>
        <v>#REF!</v>
      </c>
      <c r="E75" s="2">
        <v>68865</v>
      </c>
      <c r="F75" s="2">
        <v>20026</v>
      </c>
      <c r="G75" s="2">
        <v>39515</v>
      </c>
      <c r="H75" s="2">
        <v>12790</v>
      </c>
      <c r="I75" s="2">
        <v>0</v>
      </c>
      <c r="J75" s="2"/>
      <c r="K75" s="2">
        <v>22861</v>
      </c>
      <c r="L75" s="2">
        <v>21504</v>
      </c>
      <c r="M75" s="2">
        <v>19274</v>
      </c>
      <c r="N75" s="2">
        <v>7717</v>
      </c>
      <c r="O75" s="2">
        <v>0</v>
      </c>
      <c r="P75" s="2"/>
      <c r="Q75" s="2">
        <v>24270</v>
      </c>
      <c r="R75" s="2">
        <v>-20876</v>
      </c>
      <c r="S75" s="2">
        <v>2942</v>
      </c>
      <c r="T75" s="2">
        <v>3829</v>
      </c>
      <c r="U75" s="2">
        <v>0</v>
      </c>
      <c r="V75" s="2"/>
      <c r="W75" s="2">
        <v>27340</v>
      </c>
      <c r="X75" s="2">
        <v>22398</v>
      </c>
      <c r="Y75" s="2">
        <v>18183</v>
      </c>
      <c r="Z75" s="2">
        <v>0</v>
      </c>
      <c r="AA75" s="2">
        <v>0</v>
      </c>
      <c r="AB75" s="2"/>
      <c r="AC75" s="2">
        <v>1242</v>
      </c>
      <c r="AD75" s="2">
        <v>1242</v>
      </c>
      <c r="AE75" s="2">
        <v>1242</v>
      </c>
      <c r="AF75" s="2">
        <v>1244</v>
      </c>
      <c r="AG75" s="2">
        <v>0</v>
      </c>
      <c r="AH75" s="2"/>
      <c r="AI75" s="2">
        <v>-6848</v>
      </c>
      <c r="AJ75" s="2">
        <v>-4242</v>
      </c>
      <c r="AK75" s="2">
        <v>-2126</v>
      </c>
      <c r="AL75" s="2">
        <v>0</v>
      </c>
      <c r="AM75" s="2">
        <v>-4242</v>
      </c>
    </row>
    <row r="76" spans="1:39">
      <c r="A76" s="349">
        <v>90617</v>
      </c>
      <c r="B76" s="342" t="s">
        <v>766</v>
      </c>
      <c r="C76" s="234" t="e">
        <f>VLOOKUP(A76,#REF!,10,FALSE)</f>
        <v>#REF!</v>
      </c>
      <c r="E76" s="2">
        <v>16299</v>
      </c>
      <c r="F76" s="2">
        <v>6087</v>
      </c>
      <c r="G76" s="2">
        <v>8700</v>
      </c>
      <c r="H76" s="2">
        <v>2807</v>
      </c>
      <c r="I76" s="2">
        <v>0</v>
      </c>
      <c r="J76" s="2"/>
      <c r="K76" s="2">
        <v>4284</v>
      </c>
      <c r="L76" s="2">
        <v>4030</v>
      </c>
      <c r="M76" s="2">
        <v>3612</v>
      </c>
      <c r="N76" s="2">
        <v>1446</v>
      </c>
      <c r="O76" s="2">
        <v>0</v>
      </c>
      <c r="P76" s="2"/>
      <c r="Q76" s="2">
        <v>4549</v>
      </c>
      <c r="R76" s="2">
        <v>-3913</v>
      </c>
      <c r="S76" s="2">
        <v>551</v>
      </c>
      <c r="T76" s="2">
        <v>718</v>
      </c>
      <c r="U76" s="2">
        <v>0</v>
      </c>
      <c r="V76" s="2"/>
      <c r="W76" s="2">
        <v>5124</v>
      </c>
      <c r="X76" s="2">
        <v>4198</v>
      </c>
      <c r="Y76" s="2">
        <v>3408</v>
      </c>
      <c r="Z76" s="2">
        <v>0</v>
      </c>
      <c r="AA76" s="2">
        <v>0</v>
      </c>
      <c r="AB76" s="2"/>
      <c r="AC76" s="2">
        <v>2342</v>
      </c>
      <c r="AD76" s="2">
        <v>1772</v>
      </c>
      <c r="AE76" s="2">
        <v>1129</v>
      </c>
      <c r="AF76" s="2">
        <v>643</v>
      </c>
      <c r="AG76" s="2">
        <v>0</v>
      </c>
      <c r="AH76" s="2"/>
      <c r="AI76" s="2">
        <v>0</v>
      </c>
      <c r="AJ76" s="2">
        <v>0</v>
      </c>
      <c r="AK76" s="2">
        <v>0</v>
      </c>
      <c r="AL76" s="2">
        <v>0</v>
      </c>
      <c r="AM76" s="2">
        <v>0</v>
      </c>
    </row>
    <row r="77" spans="1:39">
      <c r="A77" s="349">
        <v>90621</v>
      </c>
      <c r="B77" s="342" t="s">
        <v>767</v>
      </c>
      <c r="C77" s="234" t="e">
        <f>VLOOKUP(A77,#REF!,10,FALSE)</f>
        <v>#REF!</v>
      </c>
      <c r="E77" s="2">
        <v>29825</v>
      </c>
      <c r="F77" s="2">
        <v>6978</v>
      </c>
      <c r="G77" s="2">
        <v>18315</v>
      </c>
      <c r="H77" s="2">
        <v>5826</v>
      </c>
      <c r="I77" s="2">
        <v>0</v>
      </c>
      <c r="J77" s="2"/>
      <c r="K77" s="2">
        <v>10442</v>
      </c>
      <c r="L77" s="2">
        <v>9822</v>
      </c>
      <c r="M77" s="2">
        <v>8803</v>
      </c>
      <c r="N77" s="2">
        <v>3525</v>
      </c>
      <c r="O77" s="2">
        <v>0</v>
      </c>
      <c r="P77" s="2"/>
      <c r="Q77" s="2">
        <v>11085</v>
      </c>
      <c r="R77" s="2">
        <v>-9535</v>
      </c>
      <c r="S77" s="2">
        <v>1344</v>
      </c>
      <c r="T77" s="2">
        <v>1749</v>
      </c>
      <c r="U77" s="2">
        <v>0</v>
      </c>
      <c r="V77" s="2"/>
      <c r="W77" s="2">
        <v>12488</v>
      </c>
      <c r="X77" s="2">
        <v>10230</v>
      </c>
      <c r="Y77" s="2">
        <v>8305</v>
      </c>
      <c r="Z77" s="2">
        <v>0</v>
      </c>
      <c r="AA77" s="2">
        <v>0</v>
      </c>
      <c r="AB77" s="2"/>
      <c r="AC77" s="2">
        <v>552</v>
      </c>
      <c r="AD77" s="2">
        <v>552</v>
      </c>
      <c r="AE77" s="2">
        <v>552</v>
      </c>
      <c r="AF77" s="2">
        <v>552</v>
      </c>
      <c r="AG77" s="2">
        <v>0</v>
      </c>
      <c r="AH77" s="2"/>
      <c r="AI77" s="2">
        <v>-4742</v>
      </c>
      <c r="AJ77" s="2">
        <v>-4091</v>
      </c>
      <c r="AK77" s="2">
        <v>-689</v>
      </c>
      <c r="AL77" s="2">
        <v>0</v>
      </c>
      <c r="AM77" s="2">
        <v>-4091</v>
      </c>
    </row>
    <row r="78" spans="1:39">
      <c r="A78" s="349">
        <v>90631</v>
      </c>
      <c r="B78" s="342" t="s">
        <v>768</v>
      </c>
      <c r="C78" s="234" t="e">
        <f>VLOOKUP(A78,#REF!,10,FALSE)</f>
        <v>#REF!</v>
      </c>
      <c r="E78" s="2">
        <v>178815</v>
      </c>
      <c r="F78" s="2">
        <v>52312</v>
      </c>
      <c r="G78" s="2">
        <v>92417</v>
      </c>
      <c r="H78" s="2">
        <v>27591</v>
      </c>
      <c r="I78" s="2">
        <v>0</v>
      </c>
      <c r="J78" s="2"/>
      <c r="K78" s="2">
        <v>54575</v>
      </c>
      <c r="L78" s="2">
        <v>51337</v>
      </c>
      <c r="M78" s="2">
        <v>46013</v>
      </c>
      <c r="N78" s="2">
        <v>18423</v>
      </c>
      <c r="O78" s="2">
        <v>0</v>
      </c>
      <c r="P78" s="2"/>
      <c r="Q78" s="2">
        <v>57939</v>
      </c>
      <c r="R78" s="2">
        <v>-49838</v>
      </c>
      <c r="S78" s="2">
        <v>7024</v>
      </c>
      <c r="T78" s="2">
        <v>9142</v>
      </c>
      <c r="U78" s="2">
        <v>0</v>
      </c>
      <c r="V78" s="2"/>
      <c r="W78" s="2">
        <v>65269</v>
      </c>
      <c r="X78" s="2">
        <v>53470</v>
      </c>
      <c r="Y78" s="2">
        <v>43409</v>
      </c>
      <c r="Z78" s="2">
        <v>0</v>
      </c>
      <c r="AA78" s="2">
        <v>0</v>
      </c>
      <c r="AB78" s="2"/>
      <c r="AC78" s="2">
        <v>5090</v>
      </c>
      <c r="AD78" s="2">
        <v>1401</v>
      </c>
      <c r="AE78" s="2">
        <v>27</v>
      </c>
      <c r="AF78" s="2">
        <v>26</v>
      </c>
      <c r="AG78" s="2">
        <v>0</v>
      </c>
      <c r="AH78" s="2"/>
      <c r="AI78" s="2">
        <v>-4058</v>
      </c>
      <c r="AJ78" s="2">
        <v>-4058</v>
      </c>
      <c r="AK78" s="2">
        <v>-4056</v>
      </c>
      <c r="AL78" s="2">
        <v>0</v>
      </c>
      <c r="AM78" s="2">
        <v>-4058</v>
      </c>
    </row>
    <row r="79" spans="1:39">
      <c r="A79" s="349">
        <v>90641</v>
      </c>
      <c r="B79" s="342" t="s">
        <v>769</v>
      </c>
      <c r="C79" s="234" t="e">
        <f>VLOOKUP(A79,#REF!,10,FALSE)</f>
        <v>#REF!</v>
      </c>
      <c r="E79" s="2">
        <v>5711</v>
      </c>
      <c r="F79" s="2">
        <v>1851</v>
      </c>
      <c r="G79" s="2">
        <v>3174</v>
      </c>
      <c r="H79" s="2">
        <v>921</v>
      </c>
      <c r="I79" s="2">
        <v>0</v>
      </c>
      <c r="J79" s="2"/>
      <c r="K79" s="2">
        <v>1768</v>
      </c>
      <c r="L79" s="2">
        <v>1663</v>
      </c>
      <c r="M79" s="2">
        <v>1490</v>
      </c>
      <c r="N79" s="2">
        <v>597</v>
      </c>
      <c r="O79" s="2">
        <v>0</v>
      </c>
      <c r="P79" s="2"/>
      <c r="Q79" s="2">
        <v>1877</v>
      </c>
      <c r="R79" s="2">
        <v>-1614</v>
      </c>
      <c r="S79" s="2">
        <v>228</v>
      </c>
      <c r="T79" s="2">
        <v>296</v>
      </c>
      <c r="U79" s="2">
        <v>0</v>
      </c>
      <c r="V79" s="2"/>
      <c r="W79" s="2">
        <v>2114</v>
      </c>
      <c r="X79" s="2">
        <v>1732</v>
      </c>
      <c r="Y79" s="2">
        <v>1406</v>
      </c>
      <c r="Z79" s="2">
        <v>0</v>
      </c>
      <c r="AA79" s="2">
        <v>0</v>
      </c>
      <c r="AB79" s="2"/>
      <c r="AC79" s="2">
        <v>69</v>
      </c>
      <c r="AD79" s="2">
        <v>70</v>
      </c>
      <c r="AE79" s="2">
        <v>50</v>
      </c>
      <c r="AF79" s="2">
        <v>28</v>
      </c>
      <c r="AG79" s="2">
        <v>0</v>
      </c>
      <c r="AH79" s="2"/>
      <c r="AI79" s="2">
        <v>-117</v>
      </c>
      <c r="AJ79" s="2">
        <v>0</v>
      </c>
      <c r="AK79" s="2">
        <v>0</v>
      </c>
      <c r="AL79" s="2">
        <v>0</v>
      </c>
      <c r="AM79" s="2">
        <v>0</v>
      </c>
    </row>
    <row r="80" spans="1:39">
      <c r="A80" s="349">
        <v>90651</v>
      </c>
      <c r="B80" s="342" t="s">
        <v>770</v>
      </c>
      <c r="C80" s="234" t="e">
        <f>VLOOKUP(A80,#REF!,10,FALSE)</f>
        <v>#REF!</v>
      </c>
      <c r="E80" s="2">
        <v>90545</v>
      </c>
      <c r="F80" s="2">
        <v>46023</v>
      </c>
      <c r="G80" s="2">
        <v>49143</v>
      </c>
      <c r="H80" s="2">
        <v>18386</v>
      </c>
      <c r="I80" s="2">
        <v>0</v>
      </c>
      <c r="J80" s="2"/>
      <c r="K80" s="2">
        <v>15445</v>
      </c>
      <c r="L80" s="2">
        <v>14529</v>
      </c>
      <c r="M80" s="2">
        <v>13022</v>
      </c>
      <c r="N80" s="2">
        <v>5214</v>
      </c>
      <c r="O80" s="2">
        <v>0</v>
      </c>
      <c r="P80" s="2"/>
      <c r="Q80" s="2">
        <v>16397</v>
      </c>
      <c r="R80" s="2">
        <v>-14105</v>
      </c>
      <c r="S80" s="2">
        <v>1988</v>
      </c>
      <c r="T80" s="2">
        <v>2587</v>
      </c>
      <c r="U80" s="2">
        <v>0</v>
      </c>
      <c r="V80" s="2"/>
      <c r="W80" s="2">
        <v>18472</v>
      </c>
      <c r="X80" s="2">
        <v>15133</v>
      </c>
      <c r="Y80" s="2">
        <v>12285</v>
      </c>
      <c r="Z80" s="2">
        <v>0</v>
      </c>
      <c r="AA80" s="2">
        <v>0</v>
      </c>
      <c r="AB80" s="2"/>
      <c r="AC80" s="2">
        <v>40231</v>
      </c>
      <c r="AD80" s="2">
        <v>30466</v>
      </c>
      <c r="AE80" s="2">
        <v>21848</v>
      </c>
      <c r="AF80" s="2">
        <v>10585</v>
      </c>
      <c r="AG80" s="2">
        <v>0</v>
      </c>
      <c r="AH80" s="2"/>
      <c r="AI80" s="2">
        <v>0</v>
      </c>
      <c r="AJ80" s="2">
        <v>0</v>
      </c>
      <c r="AK80" s="2">
        <v>0</v>
      </c>
      <c r="AL80" s="2">
        <v>0</v>
      </c>
      <c r="AM80" s="2">
        <v>0</v>
      </c>
    </row>
    <row r="81" spans="1:39">
      <c r="A81" s="349">
        <v>90701</v>
      </c>
      <c r="B81" s="342" t="s">
        <v>771</v>
      </c>
      <c r="C81" s="234" t="e">
        <f>VLOOKUP(A81,#REF!,10,FALSE)</f>
        <v>#REF!</v>
      </c>
      <c r="E81" s="2">
        <v>1256451</v>
      </c>
      <c r="F81" s="2">
        <v>379965</v>
      </c>
      <c r="G81" s="2">
        <v>650327</v>
      </c>
      <c r="H81" s="2">
        <v>177023</v>
      </c>
      <c r="I81" s="2">
        <v>0</v>
      </c>
      <c r="J81" s="2"/>
      <c r="K81" s="2">
        <v>392914</v>
      </c>
      <c r="L81" s="2">
        <v>369605</v>
      </c>
      <c r="M81" s="2">
        <v>331273</v>
      </c>
      <c r="N81" s="2">
        <v>132638</v>
      </c>
      <c r="O81" s="2">
        <v>0</v>
      </c>
      <c r="P81" s="2"/>
      <c r="Q81" s="2">
        <v>417133</v>
      </c>
      <c r="R81" s="2">
        <v>-358812</v>
      </c>
      <c r="S81" s="2">
        <v>50570</v>
      </c>
      <c r="T81" s="2">
        <v>65817</v>
      </c>
      <c r="U81" s="2">
        <v>0</v>
      </c>
      <c r="V81" s="2"/>
      <c r="W81" s="2">
        <v>469906</v>
      </c>
      <c r="X81" s="2">
        <v>384964</v>
      </c>
      <c r="Y81" s="2">
        <v>312525</v>
      </c>
      <c r="Z81" s="2">
        <v>0</v>
      </c>
      <c r="AA81" s="2">
        <v>0</v>
      </c>
      <c r="AB81" s="2"/>
      <c r="AC81" s="2">
        <v>28251</v>
      </c>
      <c r="AD81" s="2">
        <v>28249</v>
      </c>
      <c r="AE81" s="2">
        <v>0</v>
      </c>
      <c r="AF81" s="2">
        <v>0</v>
      </c>
      <c r="AG81" s="2">
        <v>0</v>
      </c>
      <c r="AH81" s="2"/>
      <c r="AI81" s="2">
        <v>-51753</v>
      </c>
      <c r="AJ81" s="2">
        <v>-44041</v>
      </c>
      <c r="AK81" s="2">
        <v>-44041</v>
      </c>
      <c r="AL81" s="2">
        <v>-21432</v>
      </c>
      <c r="AM81" s="2">
        <v>-44041</v>
      </c>
    </row>
    <row r="82" spans="1:39">
      <c r="A82" s="349">
        <v>90704</v>
      </c>
      <c r="B82" s="342" t="s">
        <v>772</v>
      </c>
      <c r="C82" s="234" t="e">
        <f>VLOOKUP(A82,#REF!,10,FALSE)</f>
        <v>#REF!</v>
      </c>
      <c r="E82" s="2">
        <v>30666</v>
      </c>
      <c r="F82" s="2">
        <v>14046</v>
      </c>
      <c r="G82" s="2">
        <v>17640</v>
      </c>
      <c r="H82" s="2">
        <v>7050</v>
      </c>
      <c r="I82" s="2">
        <v>0</v>
      </c>
      <c r="J82" s="2"/>
      <c r="K82" s="2">
        <v>6636</v>
      </c>
      <c r="L82" s="2">
        <v>6243</v>
      </c>
      <c r="M82" s="2">
        <v>5595</v>
      </c>
      <c r="N82" s="2">
        <v>2240</v>
      </c>
      <c r="O82" s="2">
        <v>0</v>
      </c>
      <c r="P82" s="2"/>
      <c r="Q82" s="2">
        <v>7046</v>
      </c>
      <c r="R82" s="2">
        <v>-6060</v>
      </c>
      <c r="S82" s="2">
        <v>854</v>
      </c>
      <c r="T82" s="2">
        <v>1112</v>
      </c>
      <c r="U82" s="2">
        <v>0</v>
      </c>
      <c r="V82" s="2"/>
      <c r="W82" s="2">
        <v>7937</v>
      </c>
      <c r="X82" s="2">
        <v>6502</v>
      </c>
      <c r="Y82" s="2">
        <v>5279</v>
      </c>
      <c r="Z82" s="2">
        <v>0</v>
      </c>
      <c r="AA82" s="2">
        <v>0</v>
      </c>
      <c r="AB82" s="2"/>
      <c r="AC82" s="2">
        <v>9047</v>
      </c>
      <c r="AD82" s="2">
        <v>7361</v>
      </c>
      <c r="AE82" s="2">
        <v>5912</v>
      </c>
      <c r="AF82" s="2">
        <v>3698</v>
      </c>
      <c r="AG82" s="2">
        <v>0</v>
      </c>
      <c r="AH82" s="2"/>
      <c r="AI82" s="2">
        <v>0</v>
      </c>
      <c r="AJ82" s="2">
        <v>0</v>
      </c>
      <c r="AK82" s="2">
        <v>0</v>
      </c>
      <c r="AL82" s="2">
        <v>0</v>
      </c>
      <c r="AM82" s="2">
        <v>0</v>
      </c>
    </row>
    <row r="83" spans="1:39">
      <c r="A83" s="349">
        <v>90705</v>
      </c>
      <c r="B83" s="342" t="s">
        <v>773</v>
      </c>
      <c r="C83" s="234" t="e">
        <f>VLOOKUP(A83,#REF!,10,FALSE)</f>
        <v>#REF!</v>
      </c>
      <c r="E83" s="2">
        <v>24227</v>
      </c>
      <c r="F83" s="2">
        <v>9283</v>
      </c>
      <c r="G83" s="2">
        <v>11017</v>
      </c>
      <c r="H83" s="2">
        <v>5090</v>
      </c>
      <c r="I83" s="2">
        <v>0</v>
      </c>
      <c r="J83" s="2"/>
      <c r="K83" s="2">
        <v>6172</v>
      </c>
      <c r="L83" s="2">
        <v>5806</v>
      </c>
      <c r="M83" s="2">
        <v>5204</v>
      </c>
      <c r="N83" s="2">
        <v>2084</v>
      </c>
      <c r="O83" s="2">
        <v>0</v>
      </c>
      <c r="P83" s="2"/>
      <c r="Q83" s="2">
        <v>6552</v>
      </c>
      <c r="R83" s="2">
        <v>-5636</v>
      </c>
      <c r="S83" s="2">
        <v>794</v>
      </c>
      <c r="T83" s="2">
        <v>1034</v>
      </c>
      <c r="U83" s="2">
        <v>0</v>
      </c>
      <c r="V83" s="2"/>
      <c r="W83" s="2">
        <v>7381</v>
      </c>
      <c r="X83" s="2">
        <v>6047</v>
      </c>
      <c r="Y83" s="2">
        <v>4909</v>
      </c>
      <c r="Z83" s="2">
        <v>0</v>
      </c>
      <c r="AA83" s="2">
        <v>0</v>
      </c>
      <c r="AB83" s="2"/>
      <c r="AC83" s="2">
        <v>5982</v>
      </c>
      <c r="AD83" s="2">
        <v>4926</v>
      </c>
      <c r="AE83" s="2">
        <v>1970</v>
      </c>
      <c r="AF83" s="2">
        <v>1972</v>
      </c>
      <c r="AG83" s="2">
        <v>0</v>
      </c>
      <c r="AH83" s="2"/>
      <c r="AI83" s="2">
        <v>-1860</v>
      </c>
      <c r="AJ83" s="2">
        <v>-1860</v>
      </c>
      <c r="AK83" s="2">
        <v>-1860</v>
      </c>
      <c r="AL83" s="2">
        <v>0</v>
      </c>
      <c r="AM83" s="2">
        <v>-1860</v>
      </c>
    </row>
    <row r="84" spans="1:39">
      <c r="A84" s="349">
        <v>90709</v>
      </c>
      <c r="B84" s="342" t="s">
        <v>774</v>
      </c>
      <c r="C84" s="234" t="e">
        <f>VLOOKUP(A84,#REF!,10,FALSE)</f>
        <v>#REF!</v>
      </c>
      <c r="E84" s="2">
        <v>66719</v>
      </c>
      <c r="F84" s="2">
        <v>25854</v>
      </c>
      <c r="G84" s="2">
        <v>45124</v>
      </c>
      <c r="H84" s="2">
        <v>7485</v>
      </c>
      <c r="I84" s="2">
        <v>0</v>
      </c>
      <c r="J84" s="2"/>
      <c r="K84" s="2">
        <v>22082</v>
      </c>
      <c r="L84" s="2">
        <v>20772</v>
      </c>
      <c r="M84" s="2">
        <v>18617</v>
      </c>
      <c r="N84" s="2">
        <v>7454</v>
      </c>
      <c r="O84" s="2">
        <v>0</v>
      </c>
      <c r="P84" s="2"/>
      <c r="Q84" s="2">
        <v>23443</v>
      </c>
      <c r="R84" s="2">
        <v>-20165</v>
      </c>
      <c r="S84" s="2">
        <v>2842</v>
      </c>
      <c r="T84" s="2">
        <v>3699</v>
      </c>
      <c r="U84" s="2">
        <v>0</v>
      </c>
      <c r="V84" s="2"/>
      <c r="W84" s="2">
        <v>26408</v>
      </c>
      <c r="X84" s="2">
        <v>21635</v>
      </c>
      <c r="Y84" s="2">
        <v>17564</v>
      </c>
      <c r="Z84" s="2">
        <v>0</v>
      </c>
      <c r="AA84" s="2">
        <v>0</v>
      </c>
      <c r="AB84" s="2"/>
      <c r="AC84" s="2">
        <v>9771</v>
      </c>
      <c r="AD84" s="2">
        <v>9771</v>
      </c>
      <c r="AE84" s="2">
        <v>9769</v>
      </c>
      <c r="AF84" s="2">
        <v>0</v>
      </c>
      <c r="AG84" s="2">
        <v>0</v>
      </c>
      <c r="AH84" s="2"/>
      <c r="AI84" s="2">
        <v>-14985</v>
      </c>
      <c r="AJ84" s="2">
        <v>-6159</v>
      </c>
      <c r="AK84" s="2">
        <v>-3668</v>
      </c>
      <c r="AL84" s="2">
        <v>-3668</v>
      </c>
      <c r="AM84" s="2">
        <v>-6159</v>
      </c>
    </row>
    <row r="85" spans="1:39">
      <c r="A85" s="349">
        <v>90711</v>
      </c>
      <c r="B85" s="342" t="s">
        <v>775</v>
      </c>
      <c r="C85" s="234" t="e">
        <f>VLOOKUP(A85,#REF!,10,FALSE)</f>
        <v>#REF!</v>
      </c>
      <c r="E85" s="2">
        <v>693215</v>
      </c>
      <c r="F85" s="2">
        <v>197255</v>
      </c>
      <c r="G85" s="2">
        <v>380743</v>
      </c>
      <c r="H85" s="2">
        <v>103111</v>
      </c>
      <c r="I85" s="2">
        <v>0</v>
      </c>
      <c r="J85" s="2"/>
      <c r="K85" s="2">
        <v>231916</v>
      </c>
      <c r="L85" s="2">
        <v>218158</v>
      </c>
      <c r="M85" s="2">
        <v>195533</v>
      </c>
      <c r="N85" s="2">
        <v>78289</v>
      </c>
      <c r="O85" s="2">
        <v>0</v>
      </c>
      <c r="P85" s="2"/>
      <c r="Q85" s="2">
        <v>246211</v>
      </c>
      <c r="R85" s="2">
        <v>-211788</v>
      </c>
      <c r="S85" s="2">
        <v>29849</v>
      </c>
      <c r="T85" s="2">
        <v>38848</v>
      </c>
      <c r="U85" s="2">
        <v>0</v>
      </c>
      <c r="V85" s="2"/>
      <c r="W85" s="2">
        <v>277361</v>
      </c>
      <c r="X85" s="2">
        <v>227224</v>
      </c>
      <c r="Y85" s="2">
        <v>184467</v>
      </c>
      <c r="Z85" s="2">
        <v>0</v>
      </c>
      <c r="AA85" s="2">
        <v>0</v>
      </c>
      <c r="AB85" s="2"/>
      <c r="AC85" s="2">
        <v>0</v>
      </c>
      <c r="AD85" s="2">
        <v>0</v>
      </c>
      <c r="AE85" s="2">
        <v>0</v>
      </c>
      <c r="AF85" s="2">
        <v>0</v>
      </c>
      <c r="AG85" s="2">
        <v>0</v>
      </c>
      <c r="AH85" s="2"/>
      <c r="AI85" s="2">
        <v>-62273</v>
      </c>
      <c r="AJ85" s="2">
        <v>-36339</v>
      </c>
      <c r="AK85" s="2">
        <v>-29106</v>
      </c>
      <c r="AL85" s="2">
        <v>-14026</v>
      </c>
      <c r="AM85" s="2">
        <v>-36339</v>
      </c>
    </row>
    <row r="86" spans="1:39">
      <c r="A86" s="349">
        <v>90721</v>
      </c>
      <c r="B86" s="342" t="s">
        <v>776</v>
      </c>
      <c r="C86" s="234" t="e">
        <f>VLOOKUP(A86,#REF!,10,FALSE)</f>
        <v>#REF!</v>
      </c>
      <c r="E86" s="2">
        <v>8174</v>
      </c>
      <c r="F86" s="2">
        <v>1209</v>
      </c>
      <c r="G86" s="2">
        <v>4672</v>
      </c>
      <c r="H86" s="2">
        <v>573</v>
      </c>
      <c r="I86" s="2">
        <v>0</v>
      </c>
      <c r="J86" s="2"/>
      <c r="K86" s="2">
        <v>3206</v>
      </c>
      <c r="L86" s="2">
        <v>3016</v>
      </c>
      <c r="M86" s="2">
        <v>2703</v>
      </c>
      <c r="N86" s="2">
        <v>1082</v>
      </c>
      <c r="O86" s="2">
        <v>0</v>
      </c>
      <c r="P86" s="2"/>
      <c r="Q86" s="2">
        <v>3403</v>
      </c>
      <c r="R86" s="2">
        <v>-2928</v>
      </c>
      <c r="S86" s="2">
        <v>413</v>
      </c>
      <c r="T86" s="2">
        <v>537</v>
      </c>
      <c r="U86" s="2">
        <v>0</v>
      </c>
      <c r="V86" s="2"/>
      <c r="W86" s="2">
        <v>3834</v>
      </c>
      <c r="X86" s="2">
        <v>3141</v>
      </c>
      <c r="Y86" s="2">
        <v>2550</v>
      </c>
      <c r="Z86" s="2">
        <v>0</v>
      </c>
      <c r="AA86" s="2">
        <v>0</v>
      </c>
      <c r="AB86" s="2"/>
      <c r="AC86" s="2">
        <v>53</v>
      </c>
      <c r="AD86" s="2">
        <v>53</v>
      </c>
      <c r="AE86" s="2">
        <v>51</v>
      </c>
      <c r="AF86" s="2">
        <v>0</v>
      </c>
      <c r="AG86" s="2">
        <v>0</v>
      </c>
      <c r="AH86" s="2"/>
      <c r="AI86" s="2">
        <v>-2322</v>
      </c>
      <c r="AJ86" s="2">
        <v>-2073</v>
      </c>
      <c r="AK86" s="2">
        <v>-1045</v>
      </c>
      <c r="AL86" s="2">
        <v>-1046</v>
      </c>
      <c r="AM86" s="2">
        <v>-2073</v>
      </c>
    </row>
    <row r="87" spans="1:39">
      <c r="A87" s="349">
        <v>90731</v>
      </c>
      <c r="B87" s="342" t="s">
        <v>777</v>
      </c>
      <c r="C87" s="234" t="e">
        <f>VLOOKUP(A87,#REF!,10,FALSE)</f>
        <v>#REF!</v>
      </c>
      <c r="E87" s="2">
        <v>60432</v>
      </c>
      <c r="F87" s="2">
        <v>14437</v>
      </c>
      <c r="G87" s="2">
        <v>33222</v>
      </c>
      <c r="H87" s="2">
        <v>10291</v>
      </c>
      <c r="I87" s="2">
        <v>0</v>
      </c>
      <c r="J87" s="2"/>
      <c r="K87" s="2">
        <v>20733</v>
      </c>
      <c r="L87" s="2">
        <v>19503</v>
      </c>
      <c r="M87" s="2">
        <v>17481</v>
      </c>
      <c r="N87" s="2">
        <v>6999</v>
      </c>
      <c r="O87" s="2">
        <v>0</v>
      </c>
      <c r="P87" s="2"/>
      <c r="Q87" s="2">
        <v>22011</v>
      </c>
      <c r="R87" s="2">
        <v>-18934</v>
      </c>
      <c r="S87" s="2">
        <v>2668</v>
      </c>
      <c r="T87" s="2">
        <v>3473</v>
      </c>
      <c r="U87" s="2">
        <v>0</v>
      </c>
      <c r="V87" s="2"/>
      <c r="W87" s="2">
        <v>24796</v>
      </c>
      <c r="X87" s="2">
        <v>20314</v>
      </c>
      <c r="Y87" s="2">
        <v>16491</v>
      </c>
      <c r="Z87" s="2">
        <v>0</v>
      </c>
      <c r="AA87" s="2">
        <v>0</v>
      </c>
      <c r="AB87" s="2"/>
      <c r="AC87" s="2">
        <v>0</v>
      </c>
      <c r="AD87" s="2">
        <v>0</v>
      </c>
      <c r="AE87" s="2">
        <v>0</v>
      </c>
      <c r="AF87" s="2">
        <v>0</v>
      </c>
      <c r="AG87" s="2">
        <v>0</v>
      </c>
      <c r="AH87" s="2"/>
      <c r="AI87" s="2">
        <v>-7108</v>
      </c>
      <c r="AJ87" s="2">
        <v>-6446</v>
      </c>
      <c r="AK87" s="2">
        <v>-3418</v>
      </c>
      <c r="AL87" s="2">
        <v>-181</v>
      </c>
      <c r="AM87" s="2">
        <v>-6446</v>
      </c>
    </row>
    <row r="88" spans="1:39">
      <c r="A88" s="349">
        <v>90741</v>
      </c>
      <c r="B88" s="342" t="s">
        <v>778</v>
      </c>
      <c r="C88" s="234" t="e">
        <f>VLOOKUP(A88,#REF!,10,FALSE)</f>
        <v>#REF!</v>
      </c>
      <c r="E88" s="2">
        <v>7667</v>
      </c>
      <c r="F88" s="2">
        <v>2788</v>
      </c>
      <c r="G88" s="2">
        <v>4408</v>
      </c>
      <c r="H88" s="2">
        <v>797</v>
      </c>
      <c r="I88" s="2">
        <v>0</v>
      </c>
      <c r="J88" s="2"/>
      <c r="K88" s="2">
        <v>2067</v>
      </c>
      <c r="L88" s="2">
        <v>1945</v>
      </c>
      <c r="M88" s="2">
        <v>1743</v>
      </c>
      <c r="N88" s="2">
        <v>698</v>
      </c>
      <c r="O88" s="2">
        <v>0</v>
      </c>
      <c r="P88" s="2"/>
      <c r="Q88" s="2">
        <v>2195</v>
      </c>
      <c r="R88" s="2">
        <v>-1888</v>
      </c>
      <c r="S88" s="2">
        <v>266</v>
      </c>
      <c r="T88" s="2">
        <v>346</v>
      </c>
      <c r="U88" s="2">
        <v>0</v>
      </c>
      <c r="V88" s="2"/>
      <c r="W88" s="2">
        <v>2472</v>
      </c>
      <c r="X88" s="2">
        <v>2026</v>
      </c>
      <c r="Y88" s="2">
        <v>1644</v>
      </c>
      <c r="Z88" s="2">
        <v>0</v>
      </c>
      <c r="AA88" s="2">
        <v>0</v>
      </c>
      <c r="AB88" s="2"/>
      <c r="AC88" s="2">
        <v>1232</v>
      </c>
      <c r="AD88" s="2">
        <v>1003</v>
      </c>
      <c r="AE88" s="2">
        <v>1002</v>
      </c>
      <c r="AF88" s="2">
        <v>0</v>
      </c>
      <c r="AG88" s="2">
        <v>0</v>
      </c>
      <c r="AH88" s="2"/>
      <c r="AI88" s="2">
        <v>-299</v>
      </c>
      <c r="AJ88" s="2">
        <v>-298</v>
      </c>
      <c r="AK88" s="2">
        <v>-247</v>
      </c>
      <c r="AL88" s="2">
        <v>-247</v>
      </c>
      <c r="AM88" s="2">
        <v>-298</v>
      </c>
    </row>
    <row r="89" spans="1:39">
      <c r="A89" s="349">
        <v>90751</v>
      </c>
      <c r="B89" s="342" t="s">
        <v>779</v>
      </c>
      <c r="C89" s="234" t="e">
        <f>VLOOKUP(A89,#REF!,10,FALSE)</f>
        <v>#REF!</v>
      </c>
      <c r="E89" s="2">
        <v>27048</v>
      </c>
      <c r="F89" s="2">
        <v>5759</v>
      </c>
      <c r="G89" s="2">
        <v>13203</v>
      </c>
      <c r="H89" s="2">
        <v>673</v>
      </c>
      <c r="I89" s="2">
        <v>0</v>
      </c>
      <c r="J89" s="2"/>
      <c r="K89" s="2">
        <v>9438</v>
      </c>
      <c r="L89" s="2">
        <v>8878</v>
      </c>
      <c r="M89" s="2">
        <v>7957</v>
      </c>
      <c r="N89" s="2">
        <v>3186</v>
      </c>
      <c r="O89" s="2">
        <v>0</v>
      </c>
      <c r="P89" s="2"/>
      <c r="Q89" s="2">
        <v>10020</v>
      </c>
      <c r="R89" s="2">
        <v>-8619</v>
      </c>
      <c r="S89" s="2">
        <v>1215</v>
      </c>
      <c r="T89" s="2">
        <v>1581</v>
      </c>
      <c r="U89" s="2">
        <v>0</v>
      </c>
      <c r="V89" s="2"/>
      <c r="W89" s="2">
        <v>11287</v>
      </c>
      <c r="X89" s="2">
        <v>9247</v>
      </c>
      <c r="Y89" s="2">
        <v>7507</v>
      </c>
      <c r="Z89" s="2">
        <v>0</v>
      </c>
      <c r="AA89" s="2">
        <v>0</v>
      </c>
      <c r="AB89" s="2"/>
      <c r="AC89" s="2">
        <v>667</v>
      </c>
      <c r="AD89" s="2">
        <v>617</v>
      </c>
      <c r="AE89" s="2">
        <v>618</v>
      </c>
      <c r="AF89" s="2">
        <v>0</v>
      </c>
      <c r="AG89" s="2">
        <v>0</v>
      </c>
      <c r="AH89" s="2"/>
      <c r="AI89" s="2">
        <v>-4364</v>
      </c>
      <c r="AJ89" s="2">
        <v>-4364</v>
      </c>
      <c r="AK89" s="2">
        <v>-4094</v>
      </c>
      <c r="AL89" s="2">
        <v>-4094</v>
      </c>
      <c r="AM89" s="2">
        <v>-4364</v>
      </c>
    </row>
    <row r="90" spans="1:39">
      <c r="A90" s="349">
        <v>90801</v>
      </c>
      <c r="B90" s="342" t="s">
        <v>780</v>
      </c>
      <c r="C90" s="234" t="e">
        <f>VLOOKUP(A90,#REF!,10,FALSE)</f>
        <v>#REF!</v>
      </c>
      <c r="E90" s="2">
        <v>595969</v>
      </c>
      <c r="F90" s="2">
        <v>162192</v>
      </c>
      <c r="G90" s="2">
        <v>294335</v>
      </c>
      <c r="H90" s="2">
        <v>67390</v>
      </c>
      <c r="I90" s="2">
        <v>0</v>
      </c>
      <c r="J90" s="2"/>
      <c r="K90" s="2">
        <v>189805</v>
      </c>
      <c r="L90" s="2">
        <v>178546</v>
      </c>
      <c r="M90" s="2">
        <v>160028</v>
      </c>
      <c r="N90" s="2">
        <v>64073</v>
      </c>
      <c r="O90" s="2">
        <v>0</v>
      </c>
      <c r="P90" s="2"/>
      <c r="Q90" s="2">
        <v>201505</v>
      </c>
      <c r="R90" s="2">
        <v>-173332</v>
      </c>
      <c r="S90" s="2">
        <v>24429</v>
      </c>
      <c r="T90" s="2">
        <v>31794</v>
      </c>
      <c r="U90" s="2">
        <v>0</v>
      </c>
      <c r="V90" s="2"/>
      <c r="W90" s="2">
        <v>226998</v>
      </c>
      <c r="X90" s="2">
        <v>185965</v>
      </c>
      <c r="Y90" s="2">
        <v>150972</v>
      </c>
      <c r="Z90" s="2">
        <v>0</v>
      </c>
      <c r="AA90" s="2">
        <v>0</v>
      </c>
      <c r="AB90" s="2"/>
      <c r="AC90" s="2">
        <v>18755</v>
      </c>
      <c r="AD90" s="2">
        <v>12107</v>
      </c>
      <c r="AE90" s="2">
        <v>0</v>
      </c>
      <c r="AF90" s="2">
        <v>0</v>
      </c>
      <c r="AG90" s="2">
        <v>0</v>
      </c>
      <c r="AH90" s="2"/>
      <c r="AI90" s="2">
        <v>-41094</v>
      </c>
      <c r="AJ90" s="2">
        <v>-41094</v>
      </c>
      <c r="AK90" s="2">
        <v>-41094</v>
      </c>
      <c r="AL90" s="2">
        <v>-28477</v>
      </c>
      <c r="AM90" s="2">
        <v>-41094</v>
      </c>
    </row>
    <row r="91" spans="1:39">
      <c r="A91" s="349">
        <v>90804</v>
      </c>
      <c r="B91" s="342" t="s">
        <v>781</v>
      </c>
      <c r="C91" s="234" t="e">
        <f>VLOOKUP(A91,#REF!,10,FALSE)</f>
        <v>#REF!</v>
      </c>
      <c r="E91" s="2">
        <v>2775</v>
      </c>
      <c r="F91" s="2">
        <v>724</v>
      </c>
      <c r="G91" s="2">
        <v>1349</v>
      </c>
      <c r="H91" s="2">
        <v>346</v>
      </c>
      <c r="I91" s="2">
        <v>0</v>
      </c>
      <c r="J91" s="2"/>
      <c r="K91" s="2">
        <v>839</v>
      </c>
      <c r="L91" s="2">
        <v>789</v>
      </c>
      <c r="M91" s="2">
        <v>707</v>
      </c>
      <c r="N91" s="2">
        <v>283</v>
      </c>
      <c r="O91" s="2">
        <v>0</v>
      </c>
      <c r="P91" s="2"/>
      <c r="Q91" s="2">
        <v>891</v>
      </c>
      <c r="R91" s="2">
        <v>-766</v>
      </c>
      <c r="S91" s="2">
        <v>108</v>
      </c>
      <c r="T91" s="2">
        <v>141</v>
      </c>
      <c r="U91" s="2">
        <v>0</v>
      </c>
      <c r="V91" s="2"/>
      <c r="W91" s="2">
        <v>1003</v>
      </c>
      <c r="X91" s="2">
        <v>822</v>
      </c>
      <c r="Y91" s="2">
        <v>667</v>
      </c>
      <c r="Z91" s="2">
        <v>0</v>
      </c>
      <c r="AA91" s="2">
        <v>0</v>
      </c>
      <c r="AB91" s="2"/>
      <c r="AC91" s="2">
        <v>176</v>
      </c>
      <c r="AD91" s="2">
        <v>13</v>
      </c>
      <c r="AE91" s="2">
        <v>0</v>
      </c>
      <c r="AF91" s="2">
        <v>0</v>
      </c>
      <c r="AG91" s="2">
        <v>0</v>
      </c>
      <c r="AH91" s="2"/>
      <c r="AI91" s="2">
        <v>-134</v>
      </c>
      <c r="AJ91" s="2">
        <v>-134</v>
      </c>
      <c r="AK91" s="2">
        <v>-133</v>
      </c>
      <c r="AL91" s="2">
        <v>-78</v>
      </c>
      <c r="AM91" s="2">
        <v>-134</v>
      </c>
    </row>
    <row r="92" spans="1:39">
      <c r="A92" s="349">
        <v>90805</v>
      </c>
      <c r="B92" s="342" t="s">
        <v>782</v>
      </c>
      <c r="C92" s="234" t="e">
        <f>VLOOKUP(A92,#REF!,10,FALSE)</f>
        <v>#REF!</v>
      </c>
      <c r="E92" s="2">
        <v>42449</v>
      </c>
      <c r="F92" s="2">
        <v>17897</v>
      </c>
      <c r="G92" s="2">
        <v>23576</v>
      </c>
      <c r="H92" s="2">
        <v>6830</v>
      </c>
      <c r="I92" s="2">
        <v>0</v>
      </c>
      <c r="J92" s="2"/>
      <c r="K92" s="2">
        <v>9872</v>
      </c>
      <c r="L92" s="2">
        <v>9287</v>
      </c>
      <c r="M92" s="2">
        <v>8323</v>
      </c>
      <c r="N92" s="2">
        <v>3333</v>
      </c>
      <c r="O92" s="2">
        <v>0</v>
      </c>
      <c r="P92" s="2"/>
      <c r="Q92" s="2">
        <v>10481</v>
      </c>
      <c r="R92" s="2">
        <v>-9015</v>
      </c>
      <c r="S92" s="2">
        <v>1271</v>
      </c>
      <c r="T92" s="2">
        <v>1654</v>
      </c>
      <c r="U92" s="2">
        <v>0</v>
      </c>
      <c r="V92" s="2"/>
      <c r="W92" s="2">
        <v>11807</v>
      </c>
      <c r="X92" s="2">
        <v>9673</v>
      </c>
      <c r="Y92" s="2">
        <v>7852</v>
      </c>
      <c r="Z92" s="2">
        <v>0</v>
      </c>
      <c r="AA92" s="2">
        <v>0</v>
      </c>
      <c r="AB92" s="2"/>
      <c r="AC92" s="2">
        <v>10289</v>
      </c>
      <c r="AD92" s="2">
        <v>7952</v>
      </c>
      <c r="AE92" s="2">
        <v>6130</v>
      </c>
      <c r="AF92" s="2">
        <v>1843</v>
      </c>
      <c r="AG92" s="2">
        <v>0</v>
      </c>
      <c r="AH92" s="2"/>
      <c r="AI92" s="2">
        <v>0</v>
      </c>
      <c r="AJ92" s="2">
        <v>0</v>
      </c>
      <c r="AK92" s="2">
        <v>0</v>
      </c>
      <c r="AL92" s="2">
        <v>0</v>
      </c>
      <c r="AM92" s="2">
        <v>0</v>
      </c>
    </row>
    <row r="93" spans="1:39">
      <c r="A93" s="349">
        <v>90808</v>
      </c>
      <c r="B93" s="342" t="s">
        <v>3638</v>
      </c>
      <c r="C93" s="234" t="e">
        <f>VLOOKUP(A93,#REF!,10,FALSE)</f>
        <v>#REF!</v>
      </c>
      <c r="E93" s="2">
        <v>78165</v>
      </c>
      <c r="F93" s="2">
        <v>31623</v>
      </c>
      <c r="G93" s="2">
        <v>46314</v>
      </c>
      <c r="H93" s="2">
        <v>20010</v>
      </c>
      <c r="I93" s="2">
        <v>0</v>
      </c>
      <c r="J93" s="2"/>
      <c r="K93" s="2">
        <v>20898</v>
      </c>
      <c r="L93" s="2">
        <v>19658</v>
      </c>
      <c r="M93" s="2">
        <v>17620</v>
      </c>
      <c r="N93" s="2">
        <v>7055</v>
      </c>
      <c r="O93" s="2">
        <v>0</v>
      </c>
      <c r="P93" s="2"/>
      <c r="Q93" s="2">
        <v>22186</v>
      </c>
      <c r="R93" s="2">
        <v>-19084</v>
      </c>
      <c r="S93" s="2">
        <v>2690</v>
      </c>
      <c r="T93" s="2">
        <v>3501</v>
      </c>
      <c r="U93" s="2">
        <v>0</v>
      </c>
      <c r="V93" s="2"/>
      <c r="W93" s="2">
        <v>24993</v>
      </c>
      <c r="X93" s="2">
        <v>20475</v>
      </c>
      <c r="Y93" s="2">
        <v>16622</v>
      </c>
      <c r="Z93" s="2">
        <v>0</v>
      </c>
      <c r="AA93" s="2">
        <v>0</v>
      </c>
      <c r="AB93" s="2"/>
      <c r="AC93" s="2">
        <v>10645</v>
      </c>
      <c r="AD93" s="2">
        <v>10646</v>
      </c>
      <c r="AE93" s="2">
        <v>9455</v>
      </c>
      <c r="AF93" s="2">
        <v>9454</v>
      </c>
      <c r="AG93" s="2">
        <v>0</v>
      </c>
      <c r="AH93" s="2"/>
      <c r="AI93" s="2">
        <v>-557</v>
      </c>
      <c r="AJ93" s="2">
        <v>-72</v>
      </c>
      <c r="AK93" s="2">
        <v>-73</v>
      </c>
      <c r="AL93" s="2">
        <v>0</v>
      </c>
      <c r="AM93" s="2">
        <v>-72</v>
      </c>
    </row>
    <row r="94" spans="1:39">
      <c r="A94" s="349">
        <v>90811</v>
      </c>
      <c r="B94" s="342" t="s">
        <v>784</v>
      </c>
      <c r="C94" s="234" t="e">
        <f>VLOOKUP(A94,#REF!,10,FALSE)</f>
        <v>#REF!</v>
      </c>
      <c r="E94" s="2">
        <v>13245</v>
      </c>
      <c r="F94" s="2">
        <v>1797</v>
      </c>
      <c r="G94" s="2">
        <v>7596</v>
      </c>
      <c r="H94" s="2">
        <v>1709</v>
      </c>
      <c r="I94" s="2">
        <v>0</v>
      </c>
      <c r="J94" s="2"/>
      <c r="K94" s="2">
        <v>5228</v>
      </c>
      <c r="L94" s="2">
        <v>4918</v>
      </c>
      <c r="M94" s="2">
        <v>4408</v>
      </c>
      <c r="N94" s="2">
        <v>1765</v>
      </c>
      <c r="O94" s="2">
        <v>0</v>
      </c>
      <c r="P94" s="2"/>
      <c r="Q94" s="2">
        <v>5551</v>
      </c>
      <c r="R94" s="2">
        <v>-4774</v>
      </c>
      <c r="S94" s="2">
        <v>673</v>
      </c>
      <c r="T94" s="2">
        <v>876</v>
      </c>
      <c r="U94" s="2">
        <v>0</v>
      </c>
      <c r="V94" s="2"/>
      <c r="W94" s="2">
        <v>6253</v>
      </c>
      <c r="X94" s="2">
        <v>5122</v>
      </c>
      <c r="Y94" s="2">
        <v>4159</v>
      </c>
      <c r="Z94" s="2">
        <v>0</v>
      </c>
      <c r="AA94" s="2">
        <v>0</v>
      </c>
      <c r="AB94" s="2"/>
      <c r="AC94" s="2">
        <v>0</v>
      </c>
      <c r="AD94" s="2">
        <v>0</v>
      </c>
      <c r="AE94" s="2">
        <v>0</v>
      </c>
      <c r="AF94" s="2">
        <v>0</v>
      </c>
      <c r="AG94" s="2">
        <v>0</v>
      </c>
      <c r="AH94" s="2"/>
      <c r="AI94" s="2">
        <v>-3787</v>
      </c>
      <c r="AJ94" s="2">
        <v>-3469</v>
      </c>
      <c r="AK94" s="2">
        <v>-1644</v>
      </c>
      <c r="AL94" s="2">
        <v>-932</v>
      </c>
      <c r="AM94" s="2">
        <v>-3469</v>
      </c>
    </row>
    <row r="95" spans="1:39">
      <c r="A95" s="349">
        <v>90812</v>
      </c>
      <c r="B95" s="342" t="s">
        <v>785</v>
      </c>
      <c r="C95" s="234" t="e">
        <f>VLOOKUP(A95,#REF!,10,FALSE)</f>
        <v>#REF!</v>
      </c>
      <c r="E95" s="2">
        <v>104833</v>
      </c>
      <c r="F95" s="2">
        <v>33501</v>
      </c>
      <c r="G95" s="2">
        <v>56000</v>
      </c>
      <c r="H95" s="2">
        <v>15349</v>
      </c>
      <c r="I95" s="2">
        <v>0</v>
      </c>
      <c r="J95" s="2"/>
      <c r="K95" s="2">
        <v>33107</v>
      </c>
      <c r="L95" s="2">
        <v>31143</v>
      </c>
      <c r="M95" s="2">
        <v>27913</v>
      </c>
      <c r="N95" s="2">
        <v>11176</v>
      </c>
      <c r="O95" s="2">
        <v>0</v>
      </c>
      <c r="P95" s="2"/>
      <c r="Q95" s="2">
        <v>35148</v>
      </c>
      <c r="R95" s="2">
        <v>-30234</v>
      </c>
      <c r="S95" s="2">
        <v>4261</v>
      </c>
      <c r="T95" s="2">
        <v>5546</v>
      </c>
      <c r="U95" s="2">
        <v>0</v>
      </c>
      <c r="V95" s="2"/>
      <c r="W95" s="2">
        <v>39595</v>
      </c>
      <c r="X95" s="2">
        <v>32437</v>
      </c>
      <c r="Y95" s="2">
        <v>26334</v>
      </c>
      <c r="Z95" s="2">
        <v>0</v>
      </c>
      <c r="AA95" s="2">
        <v>0</v>
      </c>
      <c r="AB95" s="2"/>
      <c r="AC95" s="2">
        <v>2664</v>
      </c>
      <c r="AD95" s="2">
        <v>2663</v>
      </c>
      <c r="AE95" s="2">
        <v>0</v>
      </c>
      <c r="AF95" s="2">
        <v>0</v>
      </c>
      <c r="AG95" s="2">
        <v>0</v>
      </c>
      <c r="AH95" s="2"/>
      <c r="AI95" s="2">
        <v>-5681</v>
      </c>
      <c r="AJ95" s="2">
        <v>-2508</v>
      </c>
      <c r="AK95" s="2">
        <v>-2508</v>
      </c>
      <c r="AL95" s="2">
        <v>-1373</v>
      </c>
      <c r="AM95" s="2">
        <v>-2508</v>
      </c>
    </row>
    <row r="96" spans="1:39">
      <c r="A96" s="349">
        <v>90813</v>
      </c>
      <c r="B96" s="342" t="s">
        <v>786</v>
      </c>
      <c r="C96" s="234" t="e">
        <f>VLOOKUP(A96,#REF!,10,FALSE)</f>
        <v>#REF!</v>
      </c>
      <c r="E96" s="2">
        <v>1858</v>
      </c>
      <c r="F96" s="2">
        <v>368</v>
      </c>
      <c r="G96" s="2">
        <v>998</v>
      </c>
      <c r="H96" s="2">
        <v>232</v>
      </c>
      <c r="I96" s="2">
        <v>0</v>
      </c>
      <c r="J96" s="2"/>
      <c r="K96" s="2">
        <v>689</v>
      </c>
      <c r="L96" s="2">
        <v>648</v>
      </c>
      <c r="M96" s="2">
        <v>581</v>
      </c>
      <c r="N96" s="2">
        <v>233</v>
      </c>
      <c r="O96" s="2">
        <v>0</v>
      </c>
      <c r="P96" s="2"/>
      <c r="Q96" s="2">
        <v>732</v>
      </c>
      <c r="R96" s="2">
        <v>-629</v>
      </c>
      <c r="S96" s="2">
        <v>89</v>
      </c>
      <c r="T96" s="2">
        <v>115</v>
      </c>
      <c r="U96" s="2">
        <v>0</v>
      </c>
      <c r="V96" s="2"/>
      <c r="W96" s="2">
        <v>824</v>
      </c>
      <c r="X96" s="2">
        <v>675</v>
      </c>
      <c r="Y96" s="2">
        <v>548</v>
      </c>
      <c r="Z96" s="2">
        <v>0</v>
      </c>
      <c r="AA96" s="2">
        <v>0</v>
      </c>
      <c r="AB96" s="2"/>
      <c r="AC96" s="2">
        <v>0</v>
      </c>
      <c r="AD96" s="2">
        <v>0</v>
      </c>
      <c r="AE96" s="2">
        <v>0</v>
      </c>
      <c r="AF96" s="2">
        <v>0</v>
      </c>
      <c r="AG96" s="2">
        <v>0</v>
      </c>
      <c r="AH96" s="2"/>
      <c r="AI96" s="2">
        <v>-387</v>
      </c>
      <c r="AJ96" s="2">
        <v>-326</v>
      </c>
      <c r="AK96" s="2">
        <v>-220</v>
      </c>
      <c r="AL96" s="2">
        <v>-116</v>
      </c>
      <c r="AM96" s="2">
        <v>-326</v>
      </c>
    </row>
    <row r="97" spans="1:39">
      <c r="A97" s="349">
        <v>90861</v>
      </c>
      <c r="B97" s="342" t="s">
        <v>787</v>
      </c>
      <c r="C97" s="234" t="e">
        <f>VLOOKUP(A97,#REF!,10,FALSE)</f>
        <v>#REF!</v>
      </c>
      <c r="E97" s="2">
        <v>6620</v>
      </c>
      <c r="F97" s="2">
        <v>3546</v>
      </c>
      <c r="G97" s="2">
        <v>4257</v>
      </c>
      <c r="H97" s="2">
        <v>1492</v>
      </c>
      <c r="I97" s="2">
        <v>0</v>
      </c>
      <c r="J97" s="2"/>
      <c r="K97" s="2">
        <v>1273</v>
      </c>
      <c r="L97" s="2">
        <v>1198</v>
      </c>
      <c r="M97" s="2">
        <v>1074</v>
      </c>
      <c r="N97" s="2">
        <v>430</v>
      </c>
      <c r="O97" s="2">
        <v>0</v>
      </c>
      <c r="P97" s="2"/>
      <c r="Q97" s="2">
        <v>1352</v>
      </c>
      <c r="R97" s="2">
        <v>-1163</v>
      </c>
      <c r="S97" s="2">
        <v>164</v>
      </c>
      <c r="T97" s="2">
        <v>213</v>
      </c>
      <c r="U97" s="2">
        <v>0</v>
      </c>
      <c r="V97" s="2"/>
      <c r="W97" s="2">
        <v>1523</v>
      </c>
      <c r="X97" s="2">
        <v>1248</v>
      </c>
      <c r="Y97" s="2">
        <v>1013</v>
      </c>
      <c r="Z97" s="2">
        <v>0</v>
      </c>
      <c r="AA97" s="2">
        <v>0</v>
      </c>
      <c r="AB97" s="2"/>
      <c r="AC97" s="2">
        <v>2472</v>
      </c>
      <c r="AD97" s="2">
        <v>2263</v>
      </c>
      <c r="AE97" s="2">
        <v>2006</v>
      </c>
      <c r="AF97" s="2">
        <v>849</v>
      </c>
      <c r="AG97" s="2">
        <v>0</v>
      </c>
      <c r="AH97" s="2"/>
      <c r="AI97" s="2">
        <v>0</v>
      </c>
      <c r="AJ97" s="2">
        <v>0</v>
      </c>
      <c r="AK97" s="2">
        <v>0</v>
      </c>
      <c r="AL97" s="2">
        <v>0</v>
      </c>
      <c r="AM97" s="2">
        <v>0</v>
      </c>
    </row>
    <row r="98" spans="1:39">
      <c r="A98" s="349">
        <v>90901</v>
      </c>
      <c r="B98" s="342" t="s">
        <v>788</v>
      </c>
      <c r="C98" s="234" t="e">
        <f>VLOOKUP(A98,#REF!,10,FALSE)</f>
        <v>#REF!</v>
      </c>
      <c r="E98" s="2">
        <v>1125533</v>
      </c>
      <c r="F98" s="2">
        <v>367757</v>
      </c>
      <c r="G98" s="2">
        <v>622191</v>
      </c>
      <c r="H98" s="2">
        <v>193547</v>
      </c>
      <c r="I98" s="2">
        <v>0</v>
      </c>
      <c r="J98" s="2"/>
      <c r="K98" s="2">
        <v>340661</v>
      </c>
      <c r="L98" s="2">
        <v>320452</v>
      </c>
      <c r="M98" s="2">
        <v>287218</v>
      </c>
      <c r="N98" s="2">
        <v>114998</v>
      </c>
      <c r="O98" s="2">
        <v>0</v>
      </c>
      <c r="P98" s="2"/>
      <c r="Q98" s="2">
        <v>361659</v>
      </c>
      <c r="R98" s="2">
        <v>-311095</v>
      </c>
      <c r="S98" s="2">
        <v>43845</v>
      </c>
      <c r="T98" s="2">
        <v>57064</v>
      </c>
      <c r="U98" s="2">
        <v>0</v>
      </c>
      <c r="V98" s="2"/>
      <c r="W98" s="2">
        <v>407414</v>
      </c>
      <c r="X98" s="2">
        <v>333769</v>
      </c>
      <c r="Y98" s="2">
        <v>270963</v>
      </c>
      <c r="Z98" s="2">
        <v>0</v>
      </c>
      <c r="AA98" s="2">
        <v>0</v>
      </c>
      <c r="AB98" s="2"/>
      <c r="AC98" s="2">
        <v>25948</v>
      </c>
      <c r="AD98" s="2">
        <v>25949</v>
      </c>
      <c r="AE98" s="2">
        <v>21485</v>
      </c>
      <c r="AF98" s="2">
        <v>21485</v>
      </c>
      <c r="AG98" s="2">
        <v>0</v>
      </c>
      <c r="AH98" s="2"/>
      <c r="AI98" s="2">
        <v>-10149</v>
      </c>
      <c r="AJ98" s="2">
        <v>-1318</v>
      </c>
      <c r="AK98" s="2">
        <v>-1320</v>
      </c>
      <c r="AL98" s="2">
        <v>0</v>
      </c>
      <c r="AM98" s="2">
        <v>-1318</v>
      </c>
    </row>
    <row r="99" spans="1:39">
      <c r="A99" s="349">
        <v>90911</v>
      </c>
      <c r="B99" s="342" t="s">
        <v>789</v>
      </c>
      <c r="C99" s="234" t="e">
        <f>VLOOKUP(A99,#REF!,10,FALSE)</f>
        <v>#REF!</v>
      </c>
      <c r="E99" s="2">
        <v>173780</v>
      </c>
      <c r="F99" s="2">
        <v>47969</v>
      </c>
      <c r="G99" s="2">
        <v>90147</v>
      </c>
      <c r="H99" s="2">
        <v>21326</v>
      </c>
      <c r="I99" s="2">
        <v>0</v>
      </c>
      <c r="J99" s="2"/>
      <c r="K99" s="2">
        <v>57736</v>
      </c>
      <c r="L99" s="2">
        <v>54311</v>
      </c>
      <c r="M99" s="2">
        <v>48678</v>
      </c>
      <c r="N99" s="2">
        <v>19490</v>
      </c>
      <c r="O99" s="2">
        <v>0</v>
      </c>
      <c r="P99" s="2"/>
      <c r="Q99" s="2">
        <v>61294</v>
      </c>
      <c r="R99" s="2">
        <v>-52725</v>
      </c>
      <c r="S99" s="2">
        <v>7431</v>
      </c>
      <c r="T99" s="2">
        <v>9671</v>
      </c>
      <c r="U99" s="2">
        <v>0</v>
      </c>
      <c r="V99" s="2"/>
      <c r="W99" s="2">
        <v>69049</v>
      </c>
      <c r="X99" s="2">
        <v>56567</v>
      </c>
      <c r="Y99" s="2">
        <v>45923</v>
      </c>
      <c r="Z99" s="2">
        <v>0</v>
      </c>
      <c r="AA99" s="2">
        <v>0</v>
      </c>
      <c r="AB99" s="2"/>
      <c r="AC99" s="2">
        <v>1702</v>
      </c>
      <c r="AD99" s="2">
        <v>1700</v>
      </c>
      <c r="AE99" s="2">
        <v>0</v>
      </c>
      <c r="AF99" s="2">
        <v>0</v>
      </c>
      <c r="AG99" s="2">
        <v>0</v>
      </c>
      <c r="AH99" s="2"/>
      <c r="AI99" s="2">
        <v>-16001</v>
      </c>
      <c r="AJ99" s="2">
        <v>-11884</v>
      </c>
      <c r="AK99" s="2">
        <v>-11885</v>
      </c>
      <c r="AL99" s="2">
        <v>-7835</v>
      </c>
      <c r="AM99" s="2">
        <v>-11884</v>
      </c>
    </row>
    <row r="100" spans="1:39">
      <c r="A100" s="349">
        <v>90917</v>
      </c>
      <c r="B100" s="342" t="s">
        <v>790</v>
      </c>
      <c r="C100" s="234" t="e">
        <f>VLOOKUP(A100,#REF!,10,FALSE)</f>
        <v>#REF!</v>
      </c>
      <c r="E100" s="2">
        <v>3335</v>
      </c>
      <c r="F100" s="2">
        <v>229</v>
      </c>
      <c r="G100" s="2">
        <v>1281</v>
      </c>
      <c r="H100" s="2">
        <v>94</v>
      </c>
      <c r="I100" s="2">
        <v>0</v>
      </c>
      <c r="J100" s="2"/>
      <c r="K100" s="2">
        <v>1213</v>
      </c>
      <c r="L100" s="2">
        <v>1141</v>
      </c>
      <c r="M100" s="2">
        <v>1023</v>
      </c>
      <c r="N100" s="2">
        <v>410</v>
      </c>
      <c r="O100" s="2">
        <v>0</v>
      </c>
      <c r="P100" s="2"/>
      <c r="Q100" s="2">
        <v>1288</v>
      </c>
      <c r="R100" s="2">
        <v>-1108</v>
      </c>
      <c r="S100" s="2">
        <v>156</v>
      </c>
      <c r="T100" s="2">
        <v>203</v>
      </c>
      <c r="U100" s="2">
        <v>0</v>
      </c>
      <c r="V100" s="2"/>
      <c r="W100" s="2">
        <v>1451</v>
      </c>
      <c r="X100" s="2">
        <v>1189</v>
      </c>
      <c r="Y100" s="2">
        <v>965</v>
      </c>
      <c r="Z100" s="2">
        <v>0</v>
      </c>
      <c r="AA100" s="2">
        <v>0</v>
      </c>
      <c r="AB100" s="2"/>
      <c r="AC100" s="2">
        <v>377</v>
      </c>
      <c r="AD100" s="2">
        <v>0</v>
      </c>
      <c r="AE100" s="2">
        <v>0</v>
      </c>
      <c r="AF100" s="2">
        <v>0</v>
      </c>
      <c r="AG100" s="2">
        <v>0</v>
      </c>
      <c r="AH100" s="2"/>
      <c r="AI100" s="2">
        <v>-994</v>
      </c>
      <c r="AJ100" s="2">
        <v>-993</v>
      </c>
      <c r="AK100" s="2">
        <v>-863</v>
      </c>
      <c r="AL100" s="2">
        <v>-519</v>
      </c>
      <c r="AM100" s="2">
        <v>-993</v>
      </c>
    </row>
    <row r="101" spans="1:39">
      <c r="A101" s="349">
        <v>90918</v>
      </c>
      <c r="B101" s="342" t="s">
        <v>3639</v>
      </c>
      <c r="C101" s="234" t="e">
        <f>VLOOKUP(A101,#REF!,10,FALSE)</f>
        <v>#REF!</v>
      </c>
      <c r="E101" s="2">
        <v>4271</v>
      </c>
      <c r="F101" s="2">
        <v>976</v>
      </c>
      <c r="G101" s="2">
        <v>2403</v>
      </c>
      <c r="H101" s="2">
        <v>606</v>
      </c>
      <c r="I101" s="2">
        <v>0</v>
      </c>
      <c r="J101" s="2"/>
      <c r="K101" s="2">
        <v>1588</v>
      </c>
      <c r="L101" s="2">
        <v>1494</v>
      </c>
      <c r="M101" s="2">
        <v>1339</v>
      </c>
      <c r="N101" s="2">
        <v>536</v>
      </c>
      <c r="O101" s="2">
        <v>0</v>
      </c>
      <c r="P101" s="2"/>
      <c r="Q101" s="2">
        <v>1686</v>
      </c>
      <c r="R101" s="2">
        <v>-1450</v>
      </c>
      <c r="S101" s="2">
        <v>204</v>
      </c>
      <c r="T101" s="2">
        <v>266</v>
      </c>
      <c r="U101" s="2">
        <v>0</v>
      </c>
      <c r="V101" s="2"/>
      <c r="W101" s="2">
        <v>1899</v>
      </c>
      <c r="X101" s="2">
        <v>1556</v>
      </c>
      <c r="Y101" s="2">
        <v>1263</v>
      </c>
      <c r="Z101" s="2">
        <v>0</v>
      </c>
      <c r="AA101" s="2">
        <v>0</v>
      </c>
      <c r="AB101" s="2"/>
      <c r="AC101" s="2">
        <v>0</v>
      </c>
      <c r="AD101" s="2">
        <v>0</v>
      </c>
      <c r="AE101" s="2">
        <v>0</v>
      </c>
      <c r="AF101" s="2">
        <v>0</v>
      </c>
      <c r="AG101" s="2">
        <v>0</v>
      </c>
      <c r="AH101" s="2"/>
      <c r="AI101" s="2">
        <v>-902</v>
      </c>
      <c r="AJ101" s="2">
        <v>-624</v>
      </c>
      <c r="AK101" s="2">
        <v>-403</v>
      </c>
      <c r="AL101" s="2">
        <v>-196</v>
      </c>
      <c r="AM101" s="2">
        <v>-624</v>
      </c>
    </row>
    <row r="102" spans="1:39">
      <c r="A102" s="349">
        <v>90921</v>
      </c>
      <c r="B102" s="342" t="s">
        <v>792</v>
      </c>
      <c r="C102" s="234" t="e">
        <f>VLOOKUP(A102,#REF!,10,FALSE)</f>
        <v>#REF!</v>
      </c>
      <c r="E102" s="2">
        <v>64041</v>
      </c>
      <c r="F102" s="2">
        <v>24746</v>
      </c>
      <c r="G102" s="2">
        <v>31479</v>
      </c>
      <c r="H102" s="2">
        <v>8800</v>
      </c>
      <c r="I102" s="2">
        <v>0</v>
      </c>
      <c r="J102" s="2"/>
      <c r="K102" s="2">
        <v>18172</v>
      </c>
      <c r="L102" s="2">
        <v>17094</v>
      </c>
      <c r="M102" s="2">
        <v>15321</v>
      </c>
      <c r="N102" s="2">
        <v>6134</v>
      </c>
      <c r="O102" s="2">
        <v>0</v>
      </c>
      <c r="P102" s="2"/>
      <c r="Q102" s="2">
        <v>19292</v>
      </c>
      <c r="R102" s="2">
        <v>-16594</v>
      </c>
      <c r="S102" s="2">
        <v>2339</v>
      </c>
      <c r="T102" s="2">
        <v>3044</v>
      </c>
      <c r="U102" s="2">
        <v>0</v>
      </c>
      <c r="V102" s="2"/>
      <c r="W102" s="2">
        <v>21732</v>
      </c>
      <c r="X102" s="2">
        <v>17804</v>
      </c>
      <c r="Y102" s="2">
        <v>14454</v>
      </c>
      <c r="Z102" s="2">
        <v>0</v>
      </c>
      <c r="AA102" s="2">
        <v>0</v>
      </c>
      <c r="AB102" s="2"/>
      <c r="AC102" s="2">
        <v>7079</v>
      </c>
      <c r="AD102" s="2">
        <v>7078</v>
      </c>
      <c r="AE102" s="2">
        <v>0</v>
      </c>
      <c r="AF102" s="2">
        <v>0</v>
      </c>
      <c r="AG102" s="2">
        <v>0</v>
      </c>
      <c r="AH102" s="2"/>
      <c r="AI102" s="2">
        <v>-2234</v>
      </c>
      <c r="AJ102" s="2">
        <v>-636</v>
      </c>
      <c r="AK102" s="2">
        <v>-635</v>
      </c>
      <c r="AL102" s="2">
        <v>-378</v>
      </c>
      <c r="AM102" s="2">
        <v>-636</v>
      </c>
    </row>
    <row r="103" spans="1:39">
      <c r="A103" s="349">
        <v>90931</v>
      </c>
      <c r="B103" s="342" t="s">
        <v>793</v>
      </c>
      <c r="C103" s="234" t="e">
        <f>VLOOKUP(A103,#REF!,10,FALSE)</f>
        <v>#REF!</v>
      </c>
      <c r="E103" s="2">
        <v>12858</v>
      </c>
      <c r="F103" s="2">
        <v>1672</v>
      </c>
      <c r="G103" s="2">
        <v>8298</v>
      </c>
      <c r="H103" s="2">
        <v>2169</v>
      </c>
      <c r="I103" s="2">
        <v>0</v>
      </c>
      <c r="J103" s="2"/>
      <c r="K103" s="2">
        <v>5588</v>
      </c>
      <c r="L103" s="2">
        <v>5256</v>
      </c>
      <c r="M103" s="2">
        <v>4711</v>
      </c>
      <c r="N103" s="2">
        <v>1886</v>
      </c>
      <c r="O103" s="2">
        <v>0</v>
      </c>
      <c r="P103" s="2"/>
      <c r="Q103" s="2">
        <v>5932</v>
      </c>
      <c r="R103" s="2">
        <v>-5103</v>
      </c>
      <c r="S103" s="2">
        <v>719</v>
      </c>
      <c r="T103" s="2">
        <v>936</v>
      </c>
      <c r="U103" s="2">
        <v>0</v>
      </c>
      <c r="V103" s="2"/>
      <c r="W103" s="2">
        <v>6683</v>
      </c>
      <c r="X103" s="2">
        <v>5475</v>
      </c>
      <c r="Y103" s="2">
        <v>4445</v>
      </c>
      <c r="Z103" s="2">
        <v>0</v>
      </c>
      <c r="AA103" s="2">
        <v>0</v>
      </c>
      <c r="AB103" s="2"/>
      <c r="AC103" s="2">
        <v>0</v>
      </c>
      <c r="AD103" s="2">
        <v>0</v>
      </c>
      <c r="AE103" s="2">
        <v>0</v>
      </c>
      <c r="AF103" s="2">
        <v>0</v>
      </c>
      <c r="AG103" s="2">
        <v>0</v>
      </c>
      <c r="AH103" s="2"/>
      <c r="AI103" s="2">
        <v>-5345</v>
      </c>
      <c r="AJ103" s="2">
        <v>-3956</v>
      </c>
      <c r="AK103" s="2">
        <v>-1577</v>
      </c>
      <c r="AL103" s="2">
        <v>-653</v>
      </c>
      <c r="AM103" s="2">
        <v>-3956</v>
      </c>
    </row>
    <row r="104" spans="1:39">
      <c r="A104" s="349">
        <v>90941</v>
      </c>
      <c r="B104" s="342" t="s">
        <v>794</v>
      </c>
      <c r="C104" s="234" t="e">
        <f>VLOOKUP(A104,#REF!,10,FALSE)</f>
        <v>#REF!</v>
      </c>
      <c r="E104" s="2">
        <v>41214</v>
      </c>
      <c r="F104" s="2">
        <v>11917</v>
      </c>
      <c r="G104" s="2">
        <v>24440</v>
      </c>
      <c r="H104" s="2">
        <v>6414</v>
      </c>
      <c r="I104" s="2">
        <v>0</v>
      </c>
      <c r="J104" s="2"/>
      <c r="K104" s="2">
        <v>12794</v>
      </c>
      <c r="L104" s="2">
        <v>12035</v>
      </c>
      <c r="M104" s="2">
        <v>10786</v>
      </c>
      <c r="N104" s="2">
        <v>4319</v>
      </c>
      <c r="O104" s="2">
        <v>0</v>
      </c>
      <c r="P104" s="2"/>
      <c r="Q104" s="2">
        <v>13582</v>
      </c>
      <c r="R104" s="2">
        <v>-11683</v>
      </c>
      <c r="S104" s="2">
        <v>1647</v>
      </c>
      <c r="T104" s="2">
        <v>2143</v>
      </c>
      <c r="U104" s="2">
        <v>0</v>
      </c>
      <c r="V104" s="2"/>
      <c r="W104" s="2">
        <v>15300</v>
      </c>
      <c r="X104" s="2">
        <v>12535</v>
      </c>
      <c r="Y104" s="2">
        <v>10176</v>
      </c>
      <c r="Z104" s="2">
        <v>0</v>
      </c>
      <c r="AA104" s="2">
        <v>0</v>
      </c>
      <c r="AB104" s="2"/>
      <c r="AC104" s="2">
        <v>2385</v>
      </c>
      <c r="AD104" s="2">
        <v>1877</v>
      </c>
      <c r="AE104" s="2">
        <v>1878</v>
      </c>
      <c r="AF104" s="2">
        <v>0</v>
      </c>
      <c r="AG104" s="2">
        <v>0</v>
      </c>
      <c r="AH104" s="2"/>
      <c r="AI104" s="2">
        <v>-2847</v>
      </c>
      <c r="AJ104" s="2">
        <v>-2847</v>
      </c>
      <c r="AK104" s="2">
        <v>-47</v>
      </c>
      <c r="AL104" s="2">
        <v>-48</v>
      </c>
      <c r="AM104" s="2">
        <v>-2847</v>
      </c>
    </row>
    <row r="105" spans="1:39">
      <c r="A105" s="349">
        <v>91001</v>
      </c>
      <c r="B105" s="342" t="s">
        <v>795</v>
      </c>
      <c r="C105" s="234" t="e">
        <f>VLOOKUP(A105,#REF!,10,FALSE)</f>
        <v>#REF!</v>
      </c>
      <c r="E105" s="2">
        <v>3533203</v>
      </c>
      <c r="F105" s="2">
        <v>1117483</v>
      </c>
      <c r="G105" s="2">
        <v>1976501</v>
      </c>
      <c r="H105" s="2">
        <v>637903</v>
      </c>
      <c r="I105" s="2">
        <v>0</v>
      </c>
      <c r="J105" s="2"/>
      <c r="K105" s="2">
        <v>1090295</v>
      </c>
      <c r="L105" s="2">
        <v>1025616</v>
      </c>
      <c r="M105" s="2">
        <v>919248</v>
      </c>
      <c r="N105" s="2">
        <v>368056</v>
      </c>
      <c r="O105" s="2">
        <v>0</v>
      </c>
      <c r="P105" s="2"/>
      <c r="Q105" s="2">
        <v>1157500</v>
      </c>
      <c r="R105" s="2">
        <v>-995667</v>
      </c>
      <c r="S105" s="2">
        <v>140327</v>
      </c>
      <c r="T105" s="2">
        <v>182634</v>
      </c>
      <c r="U105" s="2">
        <v>0</v>
      </c>
      <c r="V105" s="2"/>
      <c r="W105" s="2">
        <v>1303941</v>
      </c>
      <c r="X105" s="2">
        <v>1068236</v>
      </c>
      <c r="Y105" s="2">
        <v>867225</v>
      </c>
      <c r="Z105" s="2">
        <v>0</v>
      </c>
      <c r="AA105" s="2">
        <v>0</v>
      </c>
      <c r="AB105" s="2"/>
      <c r="AC105" s="2">
        <v>87212</v>
      </c>
      <c r="AD105" s="2">
        <v>87212</v>
      </c>
      <c r="AE105" s="2">
        <v>87212</v>
      </c>
      <c r="AF105" s="2">
        <v>87213</v>
      </c>
      <c r="AG105" s="2">
        <v>0</v>
      </c>
      <c r="AH105" s="2"/>
      <c r="AI105" s="2">
        <v>-105745</v>
      </c>
      <c r="AJ105" s="2">
        <v>-67914</v>
      </c>
      <c r="AK105" s="2">
        <v>-37511</v>
      </c>
      <c r="AL105" s="2">
        <v>0</v>
      </c>
      <c r="AM105" s="2">
        <v>-67914</v>
      </c>
    </row>
    <row r="106" spans="1:39">
      <c r="A106" s="349">
        <v>91002</v>
      </c>
      <c r="B106" s="342" t="s">
        <v>796</v>
      </c>
      <c r="C106" s="234" t="e">
        <f>VLOOKUP(A106,#REF!,10,FALSE)</f>
        <v>#REF!</v>
      </c>
      <c r="E106" s="2">
        <v>712128</v>
      </c>
      <c r="F106" s="2">
        <v>284969</v>
      </c>
      <c r="G106" s="2">
        <v>423091</v>
      </c>
      <c r="H106" s="2">
        <v>143739</v>
      </c>
      <c r="I106" s="2">
        <v>0</v>
      </c>
      <c r="J106" s="2"/>
      <c r="K106" s="2">
        <v>193835</v>
      </c>
      <c r="L106" s="2">
        <v>182336</v>
      </c>
      <c r="M106" s="2">
        <v>163426</v>
      </c>
      <c r="N106" s="2">
        <v>65434</v>
      </c>
      <c r="O106" s="2">
        <v>0</v>
      </c>
      <c r="P106" s="2"/>
      <c r="Q106" s="2">
        <v>205783</v>
      </c>
      <c r="R106" s="2">
        <v>-177012</v>
      </c>
      <c r="S106" s="2">
        <v>24948</v>
      </c>
      <c r="T106" s="2">
        <v>32469</v>
      </c>
      <c r="U106" s="2">
        <v>0</v>
      </c>
      <c r="V106" s="2"/>
      <c r="W106" s="2">
        <v>231818</v>
      </c>
      <c r="X106" s="2">
        <v>189913</v>
      </c>
      <c r="Y106" s="2">
        <v>154177</v>
      </c>
      <c r="Z106" s="2">
        <v>0</v>
      </c>
      <c r="AA106" s="2">
        <v>0</v>
      </c>
      <c r="AB106" s="2"/>
      <c r="AC106" s="2">
        <v>89732</v>
      </c>
      <c r="AD106" s="2">
        <v>89732</v>
      </c>
      <c r="AE106" s="2">
        <v>80540</v>
      </c>
      <c r="AF106" s="2">
        <v>45836</v>
      </c>
      <c r="AG106" s="2">
        <v>0</v>
      </c>
      <c r="AH106" s="2"/>
      <c r="AI106" s="2">
        <v>-9040</v>
      </c>
      <c r="AJ106" s="2">
        <v>0</v>
      </c>
      <c r="AK106" s="2">
        <v>0</v>
      </c>
      <c r="AL106" s="2">
        <v>0</v>
      </c>
      <c r="AM106" s="2">
        <v>0</v>
      </c>
    </row>
    <row r="107" spans="1:39">
      <c r="A107" s="349">
        <v>91003</v>
      </c>
      <c r="B107" s="342" t="s">
        <v>3640</v>
      </c>
      <c r="C107" s="234" t="e">
        <f>VLOOKUP(A107,#REF!,10,FALSE)</f>
        <v>#REF!</v>
      </c>
      <c r="E107" s="2">
        <v>291810</v>
      </c>
      <c r="F107" s="2">
        <v>99563</v>
      </c>
      <c r="G107" s="2">
        <v>165016</v>
      </c>
      <c r="H107" s="2">
        <v>57310</v>
      </c>
      <c r="I107" s="2">
        <v>0</v>
      </c>
      <c r="J107" s="2"/>
      <c r="K107" s="2">
        <v>89240</v>
      </c>
      <c r="L107" s="2">
        <v>83946</v>
      </c>
      <c r="M107" s="2">
        <v>75240</v>
      </c>
      <c r="N107" s="2">
        <v>30125</v>
      </c>
      <c r="O107" s="2">
        <v>0</v>
      </c>
      <c r="P107" s="2"/>
      <c r="Q107" s="2">
        <v>94741</v>
      </c>
      <c r="R107" s="2">
        <v>-81495</v>
      </c>
      <c r="S107" s="2">
        <v>11486</v>
      </c>
      <c r="T107" s="2">
        <v>14948</v>
      </c>
      <c r="U107" s="2">
        <v>0</v>
      </c>
      <c r="V107" s="2"/>
      <c r="W107" s="2">
        <v>106727</v>
      </c>
      <c r="X107" s="2">
        <v>87434</v>
      </c>
      <c r="Y107" s="2">
        <v>70982</v>
      </c>
      <c r="Z107" s="2">
        <v>0</v>
      </c>
      <c r="AA107" s="2">
        <v>0</v>
      </c>
      <c r="AB107" s="2"/>
      <c r="AC107" s="2">
        <v>14609</v>
      </c>
      <c r="AD107" s="2">
        <v>14607</v>
      </c>
      <c r="AE107" s="2">
        <v>12235</v>
      </c>
      <c r="AF107" s="2">
        <v>12237</v>
      </c>
      <c r="AG107" s="2">
        <v>0</v>
      </c>
      <c r="AH107" s="2"/>
      <c r="AI107" s="2">
        <v>-13507</v>
      </c>
      <c r="AJ107" s="2">
        <v>-4929</v>
      </c>
      <c r="AK107" s="2">
        <v>-4927</v>
      </c>
      <c r="AL107" s="2">
        <v>0</v>
      </c>
      <c r="AM107" s="2">
        <v>-4929</v>
      </c>
    </row>
    <row r="108" spans="1:39">
      <c r="A108" s="349">
        <v>91004</v>
      </c>
      <c r="B108" s="342" t="s">
        <v>798</v>
      </c>
      <c r="C108" s="234" t="e">
        <f>VLOOKUP(A108,#REF!,10,FALSE)</f>
        <v>#REF!</v>
      </c>
      <c r="E108" s="2">
        <v>19289</v>
      </c>
      <c r="F108" s="2">
        <v>7745</v>
      </c>
      <c r="G108" s="2">
        <v>9800</v>
      </c>
      <c r="H108" s="2">
        <v>1678</v>
      </c>
      <c r="I108" s="2">
        <v>0</v>
      </c>
      <c r="J108" s="2"/>
      <c r="K108" s="2">
        <v>4989</v>
      </c>
      <c r="L108" s="2">
        <v>4693</v>
      </c>
      <c r="M108" s="2">
        <v>4206</v>
      </c>
      <c r="N108" s="2">
        <v>1684</v>
      </c>
      <c r="O108" s="2">
        <v>0</v>
      </c>
      <c r="P108" s="2"/>
      <c r="Q108" s="2">
        <v>5296</v>
      </c>
      <c r="R108" s="2">
        <v>-4556</v>
      </c>
      <c r="S108" s="2">
        <v>642</v>
      </c>
      <c r="T108" s="2">
        <v>836</v>
      </c>
      <c r="U108" s="2">
        <v>0</v>
      </c>
      <c r="V108" s="2"/>
      <c r="W108" s="2">
        <v>5966</v>
      </c>
      <c r="X108" s="2">
        <v>4888</v>
      </c>
      <c r="Y108" s="2">
        <v>3968</v>
      </c>
      <c r="Z108" s="2">
        <v>0</v>
      </c>
      <c r="AA108" s="2">
        <v>0</v>
      </c>
      <c r="AB108" s="2"/>
      <c r="AC108" s="2">
        <v>3880</v>
      </c>
      <c r="AD108" s="2">
        <v>3562</v>
      </c>
      <c r="AE108" s="2">
        <v>1826</v>
      </c>
      <c r="AF108" s="2">
        <v>0</v>
      </c>
      <c r="AG108" s="2">
        <v>0</v>
      </c>
      <c r="AH108" s="2"/>
      <c r="AI108" s="2">
        <v>-842</v>
      </c>
      <c r="AJ108" s="2">
        <v>-842</v>
      </c>
      <c r="AK108" s="2">
        <v>-842</v>
      </c>
      <c r="AL108" s="2">
        <v>-842</v>
      </c>
      <c r="AM108" s="2">
        <v>-842</v>
      </c>
    </row>
    <row r="109" spans="1:39">
      <c r="A109" s="349">
        <v>91006</v>
      </c>
      <c r="B109" s="342" t="s">
        <v>3641</v>
      </c>
      <c r="C109" s="234" t="e">
        <f>VLOOKUP(A109,#REF!,10,FALSE)</f>
        <v>#REF!</v>
      </c>
      <c r="E109" s="2">
        <v>490711</v>
      </c>
      <c r="F109" s="2">
        <v>141968</v>
      </c>
      <c r="G109" s="2">
        <v>263085</v>
      </c>
      <c r="H109" s="2">
        <v>68187</v>
      </c>
      <c r="I109" s="2">
        <v>0</v>
      </c>
      <c r="J109" s="2"/>
      <c r="K109" s="2">
        <v>157133</v>
      </c>
      <c r="L109" s="2">
        <v>147811</v>
      </c>
      <c r="M109" s="2">
        <v>132481</v>
      </c>
      <c r="N109" s="2">
        <v>53044</v>
      </c>
      <c r="O109" s="2">
        <v>0</v>
      </c>
      <c r="P109" s="2"/>
      <c r="Q109" s="2">
        <v>166818</v>
      </c>
      <c r="R109" s="2">
        <v>-143495</v>
      </c>
      <c r="S109" s="2">
        <v>20224</v>
      </c>
      <c r="T109" s="2">
        <v>26321</v>
      </c>
      <c r="U109" s="2">
        <v>0</v>
      </c>
      <c r="V109" s="2"/>
      <c r="W109" s="2">
        <v>187923</v>
      </c>
      <c r="X109" s="2">
        <v>153953</v>
      </c>
      <c r="Y109" s="2">
        <v>124984</v>
      </c>
      <c r="Z109" s="2">
        <v>0</v>
      </c>
      <c r="AA109" s="2">
        <v>0</v>
      </c>
      <c r="AB109" s="2"/>
      <c r="AC109" s="2">
        <v>0</v>
      </c>
      <c r="AD109" s="2">
        <v>0</v>
      </c>
      <c r="AE109" s="2">
        <v>0</v>
      </c>
      <c r="AF109" s="2">
        <v>0</v>
      </c>
      <c r="AG109" s="2">
        <v>0</v>
      </c>
      <c r="AH109" s="2"/>
      <c r="AI109" s="2">
        <v>-21163</v>
      </c>
      <c r="AJ109" s="2">
        <v>-16301</v>
      </c>
      <c r="AK109" s="2">
        <v>-14604</v>
      </c>
      <c r="AL109" s="2">
        <v>-11178</v>
      </c>
      <c r="AM109" s="2">
        <v>-16301</v>
      </c>
    </row>
    <row r="110" spans="1:39">
      <c r="A110" s="349">
        <v>91007</v>
      </c>
      <c r="B110" s="342" t="s">
        <v>800</v>
      </c>
      <c r="C110" s="234" t="e">
        <f>VLOOKUP(A110,#REF!,10,FALSE)</f>
        <v>#REF!</v>
      </c>
      <c r="E110" s="2">
        <v>7636</v>
      </c>
      <c r="F110" s="2">
        <v>2735</v>
      </c>
      <c r="G110" s="2">
        <v>3450</v>
      </c>
      <c r="H110" s="2">
        <v>1370</v>
      </c>
      <c r="I110" s="2">
        <v>0</v>
      </c>
      <c r="J110" s="2"/>
      <c r="K110" s="2">
        <v>1633</v>
      </c>
      <c r="L110" s="2">
        <v>1536</v>
      </c>
      <c r="M110" s="2">
        <v>1377</v>
      </c>
      <c r="N110" s="2">
        <v>551</v>
      </c>
      <c r="O110" s="2">
        <v>0</v>
      </c>
      <c r="P110" s="2"/>
      <c r="Q110" s="2">
        <v>1734</v>
      </c>
      <c r="R110" s="2">
        <v>-1491</v>
      </c>
      <c r="S110" s="2">
        <v>210</v>
      </c>
      <c r="T110" s="2">
        <v>274</v>
      </c>
      <c r="U110" s="2">
        <v>0</v>
      </c>
      <c r="V110" s="2"/>
      <c r="W110" s="2">
        <v>1953</v>
      </c>
      <c r="X110" s="2">
        <v>1600</v>
      </c>
      <c r="Y110" s="2">
        <v>1299</v>
      </c>
      <c r="Z110" s="2">
        <v>0</v>
      </c>
      <c r="AA110" s="2">
        <v>0</v>
      </c>
      <c r="AB110" s="2"/>
      <c r="AC110" s="2">
        <v>2316</v>
      </c>
      <c r="AD110" s="2">
        <v>1090</v>
      </c>
      <c r="AE110" s="2">
        <v>564</v>
      </c>
      <c r="AF110" s="2">
        <v>545</v>
      </c>
      <c r="AG110" s="2">
        <v>0</v>
      </c>
      <c r="AH110" s="2"/>
      <c r="AI110" s="2">
        <v>0</v>
      </c>
      <c r="AJ110" s="2">
        <v>0</v>
      </c>
      <c r="AK110" s="2">
        <v>0</v>
      </c>
      <c r="AL110" s="2">
        <v>0</v>
      </c>
      <c r="AM110" s="2">
        <v>0</v>
      </c>
    </row>
    <row r="111" spans="1:39">
      <c r="A111" s="349">
        <v>91008</v>
      </c>
      <c r="B111" s="342" t="s">
        <v>801</v>
      </c>
      <c r="C111" s="234" t="e">
        <f>VLOOKUP(A111,#REF!,10,FALSE)</f>
        <v>#REF!</v>
      </c>
      <c r="E111" s="2">
        <v>84153</v>
      </c>
      <c r="F111" s="2">
        <v>31047</v>
      </c>
      <c r="G111" s="2">
        <v>46001</v>
      </c>
      <c r="H111" s="2">
        <v>13957</v>
      </c>
      <c r="I111" s="2">
        <v>0</v>
      </c>
      <c r="J111" s="2"/>
      <c r="K111" s="2">
        <v>22082</v>
      </c>
      <c r="L111" s="2">
        <v>20772</v>
      </c>
      <c r="M111" s="2">
        <v>18617</v>
      </c>
      <c r="N111" s="2">
        <v>7454</v>
      </c>
      <c r="O111" s="2">
        <v>0</v>
      </c>
      <c r="P111" s="2"/>
      <c r="Q111" s="2">
        <v>23443</v>
      </c>
      <c r="R111" s="2">
        <v>-20165</v>
      </c>
      <c r="S111" s="2">
        <v>2842</v>
      </c>
      <c r="T111" s="2">
        <v>3699</v>
      </c>
      <c r="U111" s="2">
        <v>0</v>
      </c>
      <c r="V111" s="2"/>
      <c r="W111" s="2">
        <v>26408</v>
      </c>
      <c r="X111" s="2">
        <v>21635</v>
      </c>
      <c r="Y111" s="2">
        <v>17564</v>
      </c>
      <c r="Z111" s="2">
        <v>0</v>
      </c>
      <c r="AA111" s="2">
        <v>0</v>
      </c>
      <c r="AB111" s="2"/>
      <c r="AC111" s="2">
        <v>12220</v>
      </c>
      <c r="AD111" s="2">
        <v>8805</v>
      </c>
      <c r="AE111" s="2">
        <v>6978</v>
      </c>
      <c r="AF111" s="2">
        <v>2804</v>
      </c>
      <c r="AG111" s="2">
        <v>0</v>
      </c>
      <c r="AH111" s="2"/>
      <c r="AI111" s="2">
        <v>0</v>
      </c>
      <c r="AJ111" s="2">
        <v>0</v>
      </c>
      <c r="AK111" s="2">
        <v>0</v>
      </c>
      <c r="AL111" s="2">
        <v>0</v>
      </c>
      <c r="AM111" s="2">
        <v>0</v>
      </c>
    </row>
    <row r="112" spans="1:39">
      <c r="A112" s="349">
        <v>91009</v>
      </c>
      <c r="B112" s="342" t="s">
        <v>802</v>
      </c>
      <c r="C112" s="234" t="e">
        <f>VLOOKUP(A112,#REF!,10,FALSE)</f>
        <v>#REF!</v>
      </c>
      <c r="E112" s="2">
        <v>5757</v>
      </c>
      <c r="F112" s="2">
        <v>2039</v>
      </c>
      <c r="G112" s="2">
        <v>2511</v>
      </c>
      <c r="H112" s="2">
        <v>466</v>
      </c>
      <c r="I112" s="2">
        <v>0</v>
      </c>
      <c r="J112" s="2"/>
      <c r="K112" s="2">
        <v>1243</v>
      </c>
      <c r="L112" s="2">
        <v>1170</v>
      </c>
      <c r="M112" s="2">
        <v>1048</v>
      </c>
      <c r="N112" s="2">
        <v>420</v>
      </c>
      <c r="O112" s="2">
        <v>0</v>
      </c>
      <c r="P112" s="2"/>
      <c r="Q112" s="2">
        <v>1320</v>
      </c>
      <c r="R112" s="2">
        <v>-1135</v>
      </c>
      <c r="S112" s="2">
        <v>160</v>
      </c>
      <c r="T112" s="2">
        <v>208</v>
      </c>
      <c r="U112" s="2">
        <v>0</v>
      </c>
      <c r="V112" s="2"/>
      <c r="W112" s="2">
        <v>1487</v>
      </c>
      <c r="X112" s="2">
        <v>1218</v>
      </c>
      <c r="Y112" s="2">
        <v>989</v>
      </c>
      <c r="Z112" s="2">
        <v>0</v>
      </c>
      <c r="AA112" s="2">
        <v>0</v>
      </c>
      <c r="AB112" s="2"/>
      <c r="AC112" s="2">
        <v>1867</v>
      </c>
      <c r="AD112" s="2">
        <v>946</v>
      </c>
      <c r="AE112" s="2">
        <v>474</v>
      </c>
      <c r="AF112" s="2">
        <v>0</v>
      </c>
      <c r="AG112" s="2">
        <v>0</v>
      </c>
      <c r="AH112" s="2"/>
      <c r="AI112" s="2">
        <v>-160</v>
      </c>
      <c r="AJ112" s="2">
        <v>-160</v>
      </c>
      <c r="AK112" s="2">
        <v>-160</v>
      </c>
      <c r="AL112" s="2">
        <v>-162</v>
      </c>
      <c r="AM112" s="2">
        <v>-160</v>
      </c>
    </row>
    <row r="113" spans="1:39">
      <c r="A113" s="349">
        <v>91010</v>
      </c>
      <c r="B113" s="342" t="s">
        <v>803</v>
      </c>
      <c r="C113" s="234" t="e">
        <f>VLOOKUP(A113,#REF!,10,FALSE)</f>
        <v>#REF!</v>
      </c>
      <c r="E113" s="2">
        <v>22835</v>
      </c>
      <c r="F113" s="2">
        <v>5731</v>
      </c>
      <c r="G113" s="2">
        <v>11184</v>
      </c>
      <c r="H113" s="2">
        <v>3220</v>
      </c>
      <c r="I113" s="2">
        <v>0</v>
      </c>
      <c r="J113" s="2"/>
      <c r="K113" s="2">
        <v>7640</v>
      </c>
      <c r="L113" s="2">
        <v>7187</v>
      </c>
      <c r="M113" s="2">
        <v>6442</v>
      </c>
      <c r="N113" s="2">
        <v>2579</v>
      </c>
      <c r="O113" s="2">
        <v>0</v>
      </c>
      <c r="P113" s="2"/>
      <c r="Q113" s="2">
        <v>8111</v>
      </c>
      <c r="R113" s="2">
        <v>-6977</v>
      </c>
      <c r="S113" s="2">
        <v>983</v>
      </c>
      <c r="T113" s="2">
        <v>1280</v>
      </c>
      <c r="U113" s="2">
        <v>0</v>
      </c>
      <c r="V113" s="2"/>
      <c r="W113" s="2">
        <v>9137</v>
      </c>
      <c r="X113" s="2">
        <v>7486</v>
      </c>
      <c r="Y113" s="2">
        <v>6077</v>
      </c>
      <c r="Z113" s="2">
        <v>0</v>
      </c>
      <c r="AA113" s="2">
        <v>0</v>
      </c>
      <c r="AB113" s="2"/>
      <c r="AC113" s="2">
        <v>352</v>
      </c>
      <c r="AD113" s="2">
        <v>352</v>
      </c>
      <c r="AE113" s="2">
        <v>0</v>
      </c>
      <c r="AF113" s="2">
        <v>0</v>
      </c>
      <c r="AG113" s="2">
        <v>0</v>
      </c>
      <c r="AH113" s="2"/>
      <c r="AI113" s="2">
        <v>-2405</v>
      </c>
      <c r="AJ113" s="2">
        <v>-2317</v>
      </c>
      <c r="AK113" s="2">
        <v>-2318</v>
      </c>
      <c r="AL113" s="2">
        <v>-639</v>
      </c>
      <c r="AM113" s="2">
        <v>-2317</v>
      </c>
    </row>
    <row r="114" spans="1:39">
      <c r="A114" s="349">
        <v>91011</v>
      </c>
      <c r="B114" s="342" t="s">
        <v>804</v>
      </c>
      <c r="C114" s="234" t="e">
        <f>VLOOKUP(A114,#REF!,10,FALSE)</f>
        <v>#REF!</v>
      </c>
      <c r="E114" s="2">
        <v>157895</v>
      </c>
      <c r="F114" s="2">
        <v>47392</v>
      </c>
      <c r="G114" s="2">
        <v>78044</v>
      </c>
      <c r="H114" s="2">
        <v>17897</v>
      </c>
      <c r="I114" s="2">
        <v>0</v>
      </c>
      <c r="J114" s="2"/>
      <c r="K114" s="2">
        <v>47953</v>
      </c>
      <c r="L114" s="2">
        <v>45108</v>
      </c>
      <c r="M114" s="2">
        <v>40430</v>
      </c>
      <c r="N114" s="2">
        <v>16188</v>
      </c>
      <c r="O114" s="2">
        <v>0</v>
      </c>
      <c r="P114" s="2"/>
      <c r="Q114" s="2">
        <v>50909</v>
      </c>
      <c r="R114" s="2">
        <v>-43791</v>
      </c>
      <c r="S114" s="2">
        <v>6172</v>
      </c>
      <c r="T114" s="2">
        <v>8033</v>
      </c>
      <c r="U114" s="2">
        <v>0</v>
      </c>
      <c r="V114" s="2"/>
      <c r="W114" s="2">
        <v>57350</v>
      </c>
      <c r="X114" s="2">
        <v>46983</v>
      </c>
      <c r="Y114" s="2">
        <v>38142</v>
      </c>
      <c r="Z114" s="2">
        <v>0</v>
      </c>
      <c r="AA114" s="2">
        <v>0</v>
      </c>
      <c r="AB114" s="2"/>
      <c r="AC114" s="2">
        <v>8382</v>
      </c>
      <c r="AD114" s="2">
        <v>5791</v>
      </c>
      <c r="AE114" s="2">
        <v>0</v>
      </c>
      <c r="AF114" s="2">
        <v>0</v>
      </c>
      <c r="AG114" s="2">
        <v>0</v>
      </c>
      <c r="AH114" s="2"/>
      <c r="AI114" s="2">
        <v>-6699</v>
      </c>
      <c r="AJ114" s="2">
        <v>-6699</v>
      </c>
      <c r="AK114" s="2">
        <v>-6700</v>
      </c>
      <c r="AL114" s="2">
        <v>-6324</v>
      </c>
      <c r="AM114" s="2">
        <v>-6699</v>
      </c>
    </row>
    <row r="115" spans="1:39">
      <c r="A115" s="349">
        <v>91012</v>
      </c>
      <c r="B115" s="342" t="s">
        <v>805</v>
      </c>
      <c r="C115" s="234" t="e">
        <f>VLOOKUP(A115,#REF!,10,FALSE)</f>
        <v>#REF!</v>
      </c>
      <c r="E115" s="2">
        <v>8336</v>
      </c>
      <c r="F115" s="2">
        <v>2621</v>
      </c>
      <c r="G115" s="2">
        <v>3595</v>
      </c>
      <c r="H115" s="2">
        <v>1606</v>
      </c>
      <c r="I115" s="2">
        <v>0</v>
      </c>
      <c r="J115" s="2"/>
      <c r="K115" s="2">
        <v>2187</v>
      </c>
      <c r="L115" s="2">
        <v>2057</v>
      </c>
      <c r="M115" s="2">
        <v>1844</v>
      </c>
      <c r="N115" s="2">
        <v>738</v>
      </c>
      <c r="O115" s="2">
        <v>0</v>
      </c>
      <c r="P115" s="2"/>
      <c r="Q115" s="2">
        <v>2322</v>
      </c>
      <c r="R115" s="2">
        <v>-1997</v>
      </c>
      <c r="S115" s="2">
        <v>282</v>
      </c>
      <c r="T115" s="2">
        <v>366</v>
      </c>
      <c r="U115" s="2">
        <v>0</v>
      </c>
      <c r="V115" s="2"/>
      <c r="W115" s="2">
        <v>2616</v>
      </c>
      <c r="X115" s="2">
        <v>2143</v>
      </c>
      <c r="Y115" s="2">
        <v>1740</v>
      </c>
      <c r="Z115" s="2">
        <v>0</v>
      </c>
      <c r="AA115" s="2">
        <v>0</v>
      </c>
      <c r="AB115" s="2"/>
      <c r="AC115" s="2">
        <v>1987</v>
      </c>
      <c r="AD115" s="2">
        <v>1194</v>
      </c>
      <c r="AE115" s="2">
        <v>504</v>
      </c>
      <c r="AF115" s="2">
        <v>502</v>
      </c>
      <c r="AG115" s="2">
        <v>0</v>
      </c>
      <c r="AH115" s="2"/>
      <c r="AI115" s="2">
        <v>-776</v>
      </c>
      <c r="AJ115" s="2">
        <v>-776</v>
      </c>
      <c r="AK115" s="2">
        <v>-775</v>
      </c>
      <c r="AL115" s="2">
        <v>0</v>
      </c>
      <c r="AM115" s="2">
        <v>-776</v>
      </c>
    </row>
    <row r="116" spans="1:39">
      <c r="A116" s="349">
        <v>91013</v>
      </c>
      <c r="B116" s="342" t="s">
        <v>806</v>
      </c>
      <c r="C116" s="234" t="e">
        <f>VLOOKUP(A116,#REF!,10,FALSE)</f>
        <v>#REF!</v>
      </c>
      <c r="E116" s="2">
        <v>35849</v>
      </c>
      <c r="F116" s="2">
        <v>19290</v>
      </c>
      <c r="G116" s="2">
        <v>19293</v>
      </c>
      <c r="H116" s="2">
        <v>8450</v>
      </c>
      <c r="I116" s="2">
        <v>0</v>
      </c>
      <c r="J116" s="2"/>
      <c r="K116" s="2">
        <v>5243</v>
      </c>
      <c r="L116" s="2">
        <v>4932</v>
      </c>
      <c r="M116" s="2">
        <v>4421</v>
      </c>
      <c r="N116" s="2">
        <v>1770</v>
      </c>
      <c r="O116" s="2">
        <v>0</v>
      </c>
      <c r="P116" s="2"/>
      <c r="Q116" s="2">
        <v>5566</v>
      </c>
      <c r="R116" s="2">
        <v>-4788</v>
      </c>
      <c r="S116" s="2">
        <v>675</v>
      </c>
      <c r="T116" s="2">
        <v>878</v>
      </c>
      <c r="U116" s="2">
        <v>0</v>
      </c>
      <c r="V116" s="2"/>
      <c r="W116" s="2">
        <v>6271</v>
      </c>
      <c r="X116" s="2">
        <v>5137</v>
      </c>
      <c r="Y116" s="2">
        <v>4170</v>
      </c>
      <c r="Z116" s="2">
        <v>0</v>
      </c>
      <c r="AA116" s="2">
        <v>0</v>
      </c>
      <c r="AB116" s="2"/>
      <c r="AC116" s="2">
        <v>18769</v>
      </c>
      <c r="AD116" s="2">
        <v>14009</v>
      </c>
      <c r="AE116" s="2">
        <v>10027</v>
      </c>
      <c r="AF116" s="2">
        <v>5802</v>
      </c>
      <c r="AG116" s="2">
        <v>0</v>
      </c>
      <c r="AH116" s="2"/>
      <c r="AI116" s="2">
        <v>0</v>
      </c>
      <c r="AJ116" s="2">
        <v>0</v>
      </c>
      <c r="AK116" s="2">
        <v>0</v>
      </c>
      <c r="AL116" s="2">
        <v>0</v>
      </c>
      <c r="AM116" s="2">
        <v>0</v>
      </c>
    </row>
    <row r="117" spans="1:39">
      <c r="A117" s="349">
        <v>91014</v>
      </c>
      <c r="B117" s="342" t="s">
        <v>807</v>
      </c>
      <c r="C117" s="234" t="e">
        <f>VLOOKUP(A117,#REF!,10,FALSE)</f>
        <v>#REF!</v>
      </c>
      <c r="E117" s="2">
        <v>77502</v>
      </c>
      <c r="F117" s="2">
        <v>19846</v>
      </c>
      <c r="G117" s="2">
        <v>39599</v>
      </c>
      <c r="H117" s="2">
        <v>9888</v>
      </c>
      <c r="I117" s="2">
        <v>0</v>
      </c>
      <c r="J117" s="2"/>
      <c r="K117" s="2">
        <v>26426</v>
      </c>
      <c r="L117" s="2">
        <v>24858</v>
      </c>
      <c r="M117" s="2">
        <v>22280</v>
      </c>
      <c r="N117" s="2">
        <v>8921</v>
      </c>
      <c r="O117" s="2">
        <v>0</v>
      </c>
      <c r="P117" s="2"/>
      <c r="Q117" s="2">
        <v>28055</v>
      </c>
      <c r="R117" s="2">
        <v>-24132</v>
      </c>
      <c r="S117" s="2">
        <v>3401</v>
      </c>
      <c r="T117" s="2">
        <v>4427</v>
      </c>
      <c r="U117" s="2">
        <v>0</v>
      </c>
      <c r="V117" s="2"/>
      <c r="W117" s="2">
        <v>31604</v>
      </c>
      <c r="X117" s="2">
        <v>25891</v>
      </c>
      <c r="Y117" s="2">
        <v>21019</v>
      </c>
      <c r="Z117" s="2">
        <v>0</v>
      </c>
      <c r="AA117" s="2">
        <v>0</v>
      </c>
      <c r="AB117" s="2"/>
      <c r="AC117" s="2">
        <v>328</v>
      </c>
      <c r="AD117" s="2">
        <v>330</v>
      </c>
      <c r="AE117" s="2">
        <v>0</v>
      </c>
      <c r="AF117" s="2">
        <v>0</v>
      </c>
      <c r="AG117" s="2">
        <v>0</v>
      </c>
      <c r="AH117" s="2"/>
      <c r="AI117" s="2">
        <v>-8911</v>
      </c>
      <c r="AJ117" s="2">
        <v>-7101</v>
      </c>
      <c r="AK117" s="2">
        <v>-7101</v>
      </c>
      <c r="AL117" s="2">
        <v>-3460</v>
      </c>
      <c r="AM117" s="2">
        <v>-7101</v>
      </c>
    </row>
    <row r="118" spans="1:39">
      <c r="A118" s="349">
        <v>91015</v>
      </c>
      <c r="B118" s="342" t="s">
        <v>1636</v>
      </c>
      <c r="C118" s="234" t="e">
        <f>VLOOKUP(A118,#REF!,10,FALSE)</f>
        <v>#REF!</v>
      </c>
      <c r="E118" s="2">
        <v>15764</v>
      </c>
      <c r="F118" s="2">
        <v>9528</v>
      </c>
      <c r="G118" s="2">
        <v>11637</v>
      </c>
      <c r="H118" s="2">
        <v>3071</v>
      </c>
      <c r="I118" s="2">
        <v>0</v>
      </c>
      <c r="J118" s="2"/>
      <c r="K118" s="2">
        <v>2771</v>
      </c>
      <c r="L118" s="2">
        <v>2607</v>
      </c>
      <c r="M118" s="2">
        <v>2337</v>
      </c>
      <c r="N118" s="2">
        <v>936</v>
      </c>
      <c r="O118" s="2">
        <v>0</v>
      </c>
      <c r="P118" s="2"/>
      <c r="Q118" s="2">
        <v>2942</v>
      </c>
      <c r="R118" s="2">
        <v>-2531</v>
      </c>
      <c r="S118" s="2">
        <v>357</v>
      </c>
      <c r="T118" s="2">
        <v>464</v>
      </c>
      <c r="U118" s="2">
        <v>0</v>
      </c>
      <c r="V118" s="2"/>
      <c r="W118" s="2">
        <v>3314</v>
      </c>
      <c r="X118" s="2">
        <v>2715</v>
      </c>
      <c r="Y118" s="2">
        <v>2204</v>
      </c>
      <c r="Z118" s="2">
        <v>0</v>
      </c>
      <c r="AA118" s="2">
        <v>0</v>
      </c>
      <c r="AB118" s="2"/>
      <c r="AC118" s="2">
        <v>6737</v>
      </c>
      <c r="AD118" s="2">
        <v>6737</v>
      </c>
      <c r="AE118" s="2">
        <v>6739</v>
      </c>
      <c r="AF118" s="2">
        <v>1671</v>
      </c>
      <c r="AG118" s="2">
        <v>0</v>
      </c>
      <c r="AH118" s="2"/>
      <c r="AI118" s="2">
        <v>0</v>
      </c>
      <c r="AJ118" s="2">
        <v>0</v>
      </c>
      <c r="AK118" s="2">
        <v>0</v>
      </c>
      <c r="AL118" s="2">
        <v>0</v>
      </c>
      <c r="AM118" s="2">
        <v>0</v>
      </c>
    </row>
    <row r="119" spans="1:39">
      <c r="A119" s="349">
        <v>91017</v>
      </c>
      <c r="B119" s="342" t="s">
        <v>808</v>
      </c>
      <c r="C119" s="234" t="e">
        <f>VLOOKUP(A119,#REF!,10,FALSE)</f>
        <v>#REF!</v>
      </c>
      <c r="E119" s="2">
        <v>15062</v>
      </c>
      <c r="F119" s="2">
        <v>4935</v>
      </c>
      <c r="G119" s="2">
        <v>7265</v>
      </c>
      <c r="H119" s="2">
        <v>2415</v>
      </c>
      <c r="I119" s="2">
        <v>0</v>
      </c>
      <c r="J119" s="2"/>
      <c r="K119" s="2">
        <v>3700</v>
      </c>
      <c r="L119" s="2">
        <v>3481</v>
      </c>
      <c r="M119" s="2">
        <v>3120</v>
      </c>
      <c r="N119" s="2">
        <v>1249</v>
      </c>
      <c r="O119" s="2">
        <v>0</v>
      </c>
      <c r="P119" s="2"/>
      <c r="Q119" s="2">
        <v>3928</v>
      </c>
      <c r="R119" s="2">
        <v>-3379</v>
      </c>
      <c r="S119" s="2">
        <v>476</v>
      </c>
      <c r="T119" s="2">
        <v>620</v>
      </c>
      <c r="U119" s="2">
        <v>0</v>
      </c>
      <c r="V119" s="2"/>
      <c r="W119" s="2">
        <v>4425</v>
      </c>
      <c r="X119" s="2">
        <v>3625</v>
      </c>
      <c r="Y119" s="2">
        <v>2943</v>
      </c>
      <c r="Z119" s="2">
        <v>0</v>
      </c>
      <c r="AA119" s="2">
        <v>0</v>
      </c>
      <c r="AB119" s="2"/>
      <c r="AC119" s="2">
        <v>3009</v>
      </c>
      <c r="AD119" s="2">
        <v>1208</v>
      </c>
      <c r="AE119" s="2">
        <v>726</v>
      </c>
      <c r="AF119" s="2">
        <v>546</v>
      </c>
      <c r="AG119" s="2">
        <v>0</v>
      </c>
      <c r="AH119" s="2"/>
      <c r="AI119" s="2">
        <v>0</v>
      </c>
      <c r="AJ119" s="2">
        <v>0</v>
      </c>
      <c r="AK119" s="2">
        <v>0</v>
      </c>
      <c r="AL119" s="2">
        <v>0</v>
      </c>
      <c r="AM119" s="2">
        <v>0</v>
      </c>
    </row>
    <row r="120" spans="1:39">
      <c r="A120" s="349">
        <v>91020</v>
      </c>
      <c r="B120" s="342" t="s">
        <v>809</v>
      </c>
      <c r="C120" s="234" t="e">
        <f>VLOOKUP(A120,#REF!,10,FALSE)</f>
        <v>#REF!</v>
      </c>
      <c r="E120" s="2">
        <v>11796</v>
      </c>
      <c r="F120" s="2">
        <v>3669</v>
      </c>
      <c r="G120" s="2">
        <v>5702</v>
      </c>
      <c r="H120" s="2">
        <v>325</v>
      </c>
      <c r="I120" s="2">
        <v>0</v>
      </c>
      <c r="J120" s="2"/>
      <c r="K120" s="2">
        <v>3431</v>
      </c>
      <c r="L120" s="2">
        <v>3227</v>
      </c>
      <c r="M120" s="2">
        <v>2892</v>
      </c>
      <c r="N120" s="2">
        <v>1158</v>
      </c>
      <c r="O120" s="2">
        <v>0</v>
      </c>
      <c r="P120" s="2"/>
      <c r="Q120" s="2">
        <v>3642</v>
      </c>
      <c r="R120" s="2">
        <v>-3133</v>
      </c>
      <c r="S120" s="2">
        <v>442</v>
      </c>
      <c r="T120" s="2">
        <v>575</v>
      </c>
      <c r="U120" s="2">
        <v>0</v>
      </c>
      <c r="V120" s="2"/>
      <c r="W120" s="2">
        <v>4103</v>
      </c>
      <c r="X120" s="2">
        <v>3361</v>
      </c>
      <c r="Y120" s="2">
        <v>2729</v>
      </c>
      <c r="Z120" s="2">
        <v>0</v>
      </c>
      <c r="AA120" s="2">
        <v>0</v>
      </c>
      <c r="AB120" s="2"/>
      <c r="AC120" s="2">
        <v>2028</v>
      </c>
      <c r="AD120" s="2">
        <v>1622</v>
      </c>
      <c r="AE120" s="2">
        <v>1047</v>
      </c>
      <c r="AF120" s="2">
        <v>0</v>
      </c>
      <c r="AG120" s="2">
        <v>0</v>
      </c>
      <c r="AH120" s="2"/>
      <c r="AI120" s="2">
        <v>-1408</v>
      </c>
      <c r="AJ120" s="2">
        <v>-1408</v>
      </c>
      <c r="AK120" s="2">
        <v>-1408</v>
      </c>
      <c r="AL120" s="2">
        <v>-1408</v>
      </c>
      <c r="AM120" s="2">
        <v>-1408</v>
      </c>
    </row>
    <row r="121" spans="1:39">
      <c r="A121" s="349">
        <v>91021</v>
      </c>
      <c r="B121" s="342" t="s">
        <v>810</v>
      </c>
      <c r="C121" s="234" t="e">
        <f>VLOOKUP(A121,#REF!,10,FALSE)</f>
        <v>#REF!</v>
      </c>
      <c r="E121" s="2">
        <v>455425</v>
      </c>
      <c r="F121" s="2">
        <v>151821</v>
      </c>
      <c r="G121" s="2">
        <v>259814</v>
      </c>
      <c r="H121" s="2">
        <v>80885</v>
      </c>
      <c r="I121" s="2">
        <v>0</v>
      </c>
      <c r="J121" s="2"/>
      <c r="K121" s="2">
        <v>138512</v>
      </c>
      <c r="L121" s="2">
        <v>130295</v>
      </c>
      <c r="M121" s="2">
        <v>116782</v>
      </c>
      <c r="N121" s="2">
        <v>46758</v>
      </c>
      <c r="O121" s="2">
        <v>0</v>
      </c>
      <c r="P121" s="2"/>
      <c r="Q121" s="2">
        <v>147049</v>
      </c>
      <c r="R121" s="2">
        <v>-126490</v>
      </c>
      <c r="S121" s="2">
        <v>17827</v>
      </c>
      <c r="T121" s="2">
        <v>23202</v>
      </c>
      <c r="U121" s="2">
        <v>0</v>
      </c>
      <c r="V121" s="2"/>
      <c r="W121" s="2">
        <v>165653</v>
      </c>
      <c r="X121" s="2">
        <v>135709</v>
      </c>
      <c r="Y121" s="2">
        <v>110173</v>
      </c>
      <c r="Z121" s="2">
        <v>0</v>
      </c>
      <c r="AA121" s="2">
        <v>0</v>
      </c>
      <c r="AB121" s="2"/>
      <c r="AC121" s="2">
        <v>15033</v>
      </c>
      <c r="AD121" s="2">
        <v>15033</v>
      </c>
      <c r="AE121" s="2">
        <v>15032</v>
      </c>
      <c r="AF121" s="2">
        <v>10925</v>
      </c>
      <c r="AG121" s="2">
        <v>0</v>
      </c>
      <c r="AH121" s="2"/>
      <c r="AI121" s="2">
        <v>-10822</v>
      </c>
      <c r="AJ121" s="2">
        <v>-2726</v>
      </c>
      <c r="AK121" s="2">
        <v>0</v>
      </c>
      <c r="AL121" s="2">
        <v>0</v>
      </c>
      <c r="AM121" s="2">
        <v>-2726</v>
      </c>
    </row>
    <row r="122" spans="1:39">
      <c r="A122" s="349">
        <v>91024</v>
      </c>
      <c r="B122" s="342" t="s">
        <v>811</v>
      </c>
      <c r="C122" s="234" t="e">
        <f>VLOOKUP(A122,#REF!,10,FALSE)</f>
        <v>#REF!</v>
      </c>
      <c r="E122" s="2">
        <v>54759</v>
      </c>
      <c r="F122" s="2">
        <v>20660</v>
      </c>
      <c r="G122" s="2">
        <v>30003</v>
      </c>
      <c r="H122" s="2">
        <v>8328</v>
      </c>
      <c r="I122" s="2">
        <v>0</v>
      </c>
      <c r="J122" s="2"/>
      <c r="K122" s="2">
        <v>14022</v>
      </c>
      <c r="L122" s="2">
        <v>13190</v>
      </c>
      <c r="M122" s="2">
        <v>11822</v>
      </c>
      <c r="N122" s="2">
        <v>4733</v>
      </c>
      <c r="O122" s="2">
        <v>0</v>
      </c>
      <c r="P122" s="2"/>
      <c r="Q122" s="2">
        <v>14886</v>
      </c>
      <c r="R122" s="2">
        <v>-12805</v>
      </c>
      <c r="S122" s="2">
        <v>1805</v>
      </c>
      <c r="T122" s="2">
        <v>2349</v>
      </c>
      <c r="U122" s="2">
        <v>0</v>
      </c>
      <c r="V122" s="2"/>
      <c r="W122" s="2">
        <v>16770</v>
      </c>
      <c r="X122" s="2">
        <v>13738</v>
      </c>
      <c r="Y122" s="2">
        <v>11153</v>
      </c>
      <c r="Z122" s="2">
        <v>0</v>
      </c>
      <c r="AA122" s="2">
        <v>0</v>
      </c>
      <c r="AB122" s="2"/>
      <c r="AC122" s="2">
        <v>9081</v>
      </c>
      <c r="AD122" s="2">
        <v>6537</v>
      </c>
      <c r="AE122" s="2">
        <v>5223</v>
      </c>
      <c r="AF122" s="2">
        <v>1246</v>
      </c>
      <c r="AG122" s="2">
        <v>0</v>
      </c>
      <c r="AH122" s="2"/>
      <c r="AI122" s="2">
        <v>0</v>
      </c>
      <c r="AJ122" s="2">
        <v>0</v>
      </c>
      <c r="AK122" s="2">
        <v>0</v>
      </c>
      <c r="AL122" s="2">
        <v>0</v>
      </c>
      <c r="AM122" s="2">
        <v>0</v>
      </c>
    </row>
    <row r="123" spans="1:39">
      <c r="A123" s="349">
        <v>91026</v>
      </c>
      <c r="B123" s="342" t="s">
        <v>43</v>
      </c>
      <c r="C123" s="234" t="e">
        <f>VLOOKUP(A123,#REF!,10,FALSE)</f>
        <v>#REF!</v>
      </c>
      <c r="E123" s="2">
        <v>28455</v>
      </c>
      <c r="F123" s="2">
        <v>13574</v>
      </c>
      <c r="G123" s="2">
        <v>15997</v>
      </c>
      <c r="H123" s="2">
        <v>4453</v>
      </c>
      <c r="I123" s="2">
        <v>0</v>
      </c>
      <c r="J123" s="2"/>
      <c r="K123" s="2">
        <v>4659</v>
      </c>
      <c r="L123" s="2">
        <v>4383</v>
      </c>
      <c r="M123" s="2">
        <v>3928</v>
      </c>
      <c r="N123" s="2">
        <v>1573</v>
      </c>
      <c r="O123" s="2">
        <v>0</v>
      </c>
      <c r="P123" s="2"/>
      <c r="Q123" s="2">
        <v>4946</v>
      </c>
      <c r="R123" s="2">
        <v>-4255</v>
      </c>
      <c r="S123" s="2">
        <v>600</v>
      </c>
      <c r="T123" s="2">
        <v>780</v>
      </c>
      <c r="U123" s="2">
        <v>0</v>
      </c>
      <c r="V123" s="2"/>
      <c r="W123" s="2">
        <v>5572</v>
      </c>
      <c r="X123" s="2">
        <v>4565</v>
      </c>
      <c r="Y123" s="2">
        <v>3706</v>
      </c>
      <c r="Z123" s="2">
        <v>0</v>
      </c>
      <c r="AA123" s="2">
        <v>0</v>
      </c>
      <c r="AB123" s="2"/>
      <c r="AC123" s="2">
        <v>13278</v>
      </c>
      <c r="AD123" s="2">
        <v>8881</v>
      </c>
      <c r="AE123" s="2">
        <v>7763</v>
      </c>
      <c r="AF123" s="2">
        <v>2100</v>
      </c>
      <c r="AG123" s="2">
        <v>0</v>
      </c>
      <c r="AH123" s="2"/>
      <c r="AI123" s="2">
        <v>0</v>
      </c>
      <c r="AJ123" s="2">
        <v>0</v>
      </c>
      <c r="AK123" s="2">
        <v>0</v>
      </c>
      <c r="AL123" s="2">
        <v>0</v>
      </c>
      <c r="AM123" s="2">
        <v>0</v>
      </c>
    </row>
    <row r="124" spans="1:39">
      <c r="A124" s="349">
        <v>91027</v>
      </c>
      <c r="B124" s="342" t="s">
        <v>2792</v>
      </c>
      <c r="C124" s="234" t="e">
        <f>VLOOKUP(A124,#REF!,10,FALSE)</f>
        <v>#REF!</v>
      </c>
      <c r="E124" s="2">
        <v>14497</v>
      </c>
      <c r="F124" s="2">
        <v>7182</v>
      </c>
      <c r="G124" s="2">
        <v>7563</v>
      </c>
      <c r="H124" s="2">
        <v>2601</v>
      </c>
      <c r="I124" s="2">
        <v>0</v>
      </c>
      <c r="J124" s="2"/>
      <c r="K124" s="2">
        <v>2547</v>
      </c>
      <c r="L124" s="2">
        <v>2396</v>
      </c>
      <c r="M124" s="2">
        <v>2147</v>
      </c>
      <c r="N124" s="2">
        <v>860</v>
      </c>
      <c r="O124" s="2">
        <v>0</v>
      </c>
      <c r="P124" s="2"/>
      <c r="Q124" s="2">
        <v>2704</v>
      </c>
      <c r="R124" s="2">
        <v>-2326</v>
      </c>
      <c r="S124" s="2">
        <v>328</v>
      </c>
      <c r="T124" s="2">
        <v>427</v>
      </c>
      <c r="U124" s="2">
        <v>0</v>
      </c>
      <c r="V124" s="2"/>
      <c r="W124" s="2">
        <v>3046</v>
      </c>
      <c r="X124" s="2">
        <v>2495</v>
      </c>
      <c r="Y124" s="2">
        <v>2026</v>
      </c>
      <c r="Z124" s="2">
        <v>0</v>
      </c>
      <c r="AA124" s="2">
        <v>0</v>
      </c>
      <c r="AB124" s="2"/>
      <c r="AC124" s="2">
        <v>6200</v>
      </c>
      <c r="AD124" s="2">
        <v>4617</v>
      </c>
      <c r="AE124" s="2">
        <v>3062</v>
      </c>
      <c r="AF124" s="2">
        <v>1314</v>
      </c>
      <c r="AG124" s="2">
        <v>0</v>
      </c>
      <c r="AH124" s="2"/>
      <c r="AI124" s="2">
        <v>0</v>
      </c>
      <c r="AJ124" s="2">
        <v>0</v>
      </c>
      <c r="AK124" s="2">
        <v>0</v>
      </c>
      <c r="AL124" s="2">
        <v>0</v>
      </c>
      <c r="AM124" s="2">
        <v>0</v>
      </c>
    </row>
    <row r="125" spans="1:39">
      <c r="A125" s="349">
        <v>91032</v>
      </c>
      <c r="B125" s="342" t="s">
        <v>813</v>
      </c>
      <c r="C125" s="234" t="e">
        <f>VLOOKUP(A125,#REF!,10,FALSE)</f>
        <v>#REF!</v>
      </c>
      <c r="E125" s="2">
        <v>14779</v>
      </c>
      <c r="F125" s="2">
        <v>8336</v>
      </c>
      <c r="G125" s="2">
        <v>8745</v>
      </c>
      <c r="H125" s="2">
        <v>3622</v>
      </c>
      <c r="I125" s="2">
        <v>0</v>
      </c>
      <c r="J125" s="2"/>
      <c r="K125" s="2">
        <v>2487</v>
      </c>
      <c r="L125" s="2">
        <v>2339</v>
      </c>
      <c r="M125" s="2">
        <v>2097</v>
      </c>
      <c r="N125" s="2">
        <v>839</v>
      </c>
      <c r="O125" s="2">
        <v>0</v>
      </c>
      <c r="P125" s="2"/>
      <c r="Q125" s="2">
        <v>2640</v>
      </c>
      <c r="R125" s="2">
        <v>-2271</v>
      </c>
      <c r="S125" s="2">
        <v>320</v>
      </c>
      <c r="T125" s="2">
        <v>417</v>
      </c>
      <c r="U125" s="2">
        <v>0</v>
      </c>
      <c r="V125" s="2"/>
      <c r="W125" s="2">
        <v>2974</v>
      </c>
      <c r="X125" s="2">
        <v>2436</v>
      </c>
      <c r="Y125" s="2">
        <v>1978</v>
      </c>
      <c r="Z125" s="2">
        <v>0</v>
      </c>
      <c r="AA125" s="2">
        <v>0</v>
      </c>
      <c r="AB125" s="2"/>
      <c r="AC125" s="2">
        <v>6678</v>
      </c>
      <c r="AD125" s="2">
        <v>5832</v>
      </c>
      <c r="AE125" s="2">
        <v>4350</v>
      </c>
      <c r="AF125" s="2">
        <v>2366</v>
      </c>
      <c r="AG125" s="2">
        <v>0</v>
      </c>
      <c r="AH125" s="2"/>
      <c r="AI125" s="2">
        <v>0</v>
      </c>
      <c r="AJ125" s="2">
        <v>0</v>
      </c>
      <c r="AK125" s="2">
        <v>0</v>
      </c>
      <c r="AL125" s="2">
        <v>0</v>
      </c>
      <c r="AM125" s="2">
        <v>0</v>
      </c>
    </row>
    <row r="126" spans="1:39">
      <c r="A126" s="349">
        <v>91041</v>
      </c>
      <c r="B126" s="342" t="s">
        <v>814</v>
      </c>
      <c r="C126" s="234" t="e">
        <f>VLOOKUP(A126,#REF!,10,FALSE)</f>
        <v>#REF!</v>
      </c>
      <c r="E126" s="2">
        <v>180869</v>
      </c>
      <c r="F126" s="2">
        <v>47304</v>
      </c>
      <c r="G126" s="2">
        <v>107665</v>
      </c>
      <c r="H126" s="2">
        <v>26766</v>
      </c>
      <c r="I126" s="2">
        <v>0</v>
      </c>
      <c r="J126" s="2"/>
      <c r="K126" s="2">
        <v>64986</v>
      </c>
      <c r="L126" s="2">
        <v>61131</v>
      </c>
      <c r="M126" s="2">
        <v>54791</v>
      </c>
      <c r="N126" s="2">
        <v>21938</v>
      </c>
      <c r="O126" s="2">
        <v>0</v>
      </c>
      <c r="P126" s="2"/>
      <c r="Q126" s="2">
        <v>68992</v>
      </c>
      <c r="R126" s="2">
        <v>-59346</v>
      </c>
      <c r="S126" s="2">
        <v>8364</v>
      </c>
      <c r="T126" s="2">
        <v>10886</v>
      </c>
      <c r="U126" s="2">
        <v>0</v>
      </c>
      <c r="V126" s="2"/>
      <c r="W126" s="2">
        <v>77720</v>
      </c>
      <c r="X126" s="2">
        <v>63671</v>
      </c>
      <c r="Y126" s="2">
        <v>51690</v>
      </c>
      <c r="Z126" s="2">
        <v>0</v>
      </c>
      <c r="AA126" s="2">
        <v>0</v>
      </c>
      <c r="AB126" s="2"/>
      <c r="AC126" s="2">
        <v>0</v>
      </c>
      <c r="AD126" s="2">
        <v>0</v>
      </c>
      <c r="AE126" s="2">
        <v>0</v>
      </c>
      <c r="AF126" s="2">
        <v>0</v>
      </c>
      <c r="AG126" s="2">
        <v>0</v>
      </c>
      <c r="AH126" s="2"/>
      <c r="AI126" s="2">
        <v>-30829</v>
      </c>
      <c r="AJ126" s="2">
        <v>-18152</v>
      </c>
      <c r="AK126" s="2">
        <v>-7180</v>
      </c>
      <c r="AL126" s="2">
        <v>-6058</v>
      </c>
      <c r="AM126" s="2">
        <v>-18152</v>
      </c>
    </row>
    <row r="127" spans="1:39">
      <c r="A127" s="349">
        <v>91042</v>
      </c>
      <c r="B127" s="342" t="s">
        <v>815</v>
      </c>
      <c r="C127" s="234" t="e">
        <f>VLOOKUP(A127,#REF!,10,FALSE)</f>
        <v>#REF!</v>
      </c>
      <c r="E127" s="2">
        <v>128733</v>
      </c>
      <c r="F127" s="2">
        <v>42310</v>
      </c>
      <c r="G127" s="2">
        <v>69153</v>
      </c>
      <c r="H127" s="2">
        <v>16649</v>
      </c>
      <c r="I127" s="2">
        <v>0</v>
      </c>
      <c r="J127" s="2"/>
      <c r="K127" s="2">
        <v>39339</v>
      </c>
      <c r="L127" s="2">
        <v>37006</v>
      </c>
      <c r="M127" s="2">
        <v>33168</v>
      </c>
      <c r="N127" s="2">
        <v>13280</v>
      </c>
      <c r="O127" s="2">
        <v>0</v>
      </c>
      <c r="P127" s="2"/>
      <c r="Q127" s="2">
        <v>41764</v>
      </c>
      <c r="R127" s="2">
        <v>-35925</v>
      </c>
      <c r="S127" s="2">
        <v>5063</v>
      </c>
      <c r="T127" s="2">
        <v>6590</v>
      </c>
      <c r="U127" s="2">
        <v>0</v>
      </c>
      <c r="V127" s="2"/>
      <c r="W127" s="2">
        <v>47048</v>
      </c>
      <c r="X127" s="2">
        <v>38543</v>
      </c>
      <c r="Y127" s="2">
        <v>31291</v>
      </c>
      <c r="Z127" s="2">
        <v>0</v>
      </c>
      <c r="AA127" s="2">
        <v>0</v>
      </c>
      <c r="AB127" s="2"/>
      <c r="AC127" s="2">
        <v>5905</v>
      </c>
      <c r="AD127" s="2">
        <v>5907</v>
      </c>
      <c r="AE127" s="2">
        <v>2852</v>
      </c>
      <c r="AF127" s="2">
        <v>0</v>
      </c>
      <c r="AG127" s="2">
        <v>0</v>
      </c>
      <c r="AH127" s="2"/>
      <c r="AI127" s="2">
        <v>-5323</v>
      </c>
      <c r="AJ127" s="2">
        <v>-3221</v>
      </c>
      <c r="AK127" s="2">
        <v>-3221</v>
      </c>
      <c r="AL127" s="2">
        <v>-3221</v>
      </c>
      <c r="AM127" s="2">
        <v>-3221</v>
      </c>
    </row>
    <row r="128" spans="1:39">
      <c r="A128" s="349">
        <v>91047</v>
      </c>
      <c r="B128" s="342" t="s">
        <v>816</v>
      </c>
      <c r="C128" s="234" t="e">
        <f>VLOOKUP(A128,#REF!,10,FALSE)</f>
        <v>#REF!</v>
      </c>
      <c r="E128" s="2">
        <v>14525</v>
      </c>
      <c r="F128" s="2">
        <v>8438</v>
      </c>
      <c r="G128" s="2">
        <v>7688</v>
      </c>
      <c r="H128" s="2">
        <v>3247</v>
      </c>
      <c r="I128" s="2">
        <v>0</v>
      </c>
      <c r="J128" s="2"/>
      <c r="K128" s="2">
        <v>1723</v>
      </c>
      <c r="L128" s="2">
        <v>1621</v>
      </c>
      <c r="M128" s="2">
        <v>1453</v>
      </c>
      <c r="N128" s="2">
        <v>582</v>
      </c>
      <c r="O128" s="2">
        <v>0</v>
      </c>
      <c r="P128" s="2"/>
      <c r="Q128" s="2">
        <v>1829</v>
      </c>
      <c r="R128" s="2">
        <v>-1573</v>
      </c>
      <c r="S128" s="2">
        <v>222</v>
      </c>
      <c r="T128" s="2">
        <v>289</v>
      </c>
      <c r="U128" s="2">
        <v>0</v>
      </c>
      <c r="V128" s="2"/>
      <c r="W128" s="2">
        <v>2060</v>
      </c>
      <c r="X128" s="2">
        <v>1688</v>
      </c>
      <c r="Y128" s="2">
        <v>1370</v>
      </c>
      <c r="Z128" s="2">
        <v>0</v>
      </c>
      <c r="AA128" s="2">
        <v>0</v>
      </c>
      <c r="AB128" s="2"/>
      <c r="AC128" s="2">
        <v>8913</v>
      </c>
      <c r="AD128" s="2">
        <v>6702</v>
      </c>
      <c r="AE128" s="2">
        <v>4643</v>
      </c>
      <c r="AF128" s="2">
        <v>2376</v>
      </c>
      <c r="AG128" s="2">
        <v>0</v>
      </c>
      <c r="AH128" s="2"/>
      <c r="AI128" s="2">
        <v>0</v>
      </c>
      <c r="AJ128" s="2">
        <v>0</v>
      </c>
      <c r="AK128" s="2">
        <v>0</v>
      </c>
      <c r="AL128" s="2">
        <v>0</v>
      </c>
      <c r="AM128" s="2">
        <v>0</v>
      </c>
    </row>
    <row r="129" spans="1:39">
      <c r="A129" s="349">
        <v>91051</v>
      </c>
      <c r="B129" s="342" t="s">
        <v>817</v>
      </c>
      <c r="C129" s="234" t="e">
        <f>VLOOKUP(A129,#REF!,10,FALSE)</f>
        <v>#REF!</v>
      </c>
      <c r="E129" s="2">
        <v>28529</v>
      </c>
      <c r="F129" s="2">
        <v>7878</v>
      </c>
      <c r="G129" s="2">
        <v>16640</v>
      </c>
      <c r="H129" s="2">
        <v>4479</v>
      </c>
      <c r="I129" s="2">
        <v>0</v>
      </c>
      <c r="J129" s="2"/>
      <c r="K129" s="2">
        <v>9408</v>
      </c>
      <c r="L129" s="2">
        <v>8850</v>
      </c>
      <c r="M129" s="2">
        <v>7932</v>
      </c>
      <c r="N129" s="2">
        <v>3176</v>
      </c>
      <c r="O129" s="2">
        <v>0</v>
      </c>
      <c r="P129" s="2"/>
      <c r="Q129" s="2">
        <v>9988</v>
      </c>
      <c r="R129" s="2">
        <v>-8591</v>
      </c>
      <c r="S129" s="2">
        <v>1211</v>
      </c>
      <c r="T129" s="2">
        <v>1576</v>
      </c>
      <c r="U129" s="2">
        <v>0</v>
      </c>
      <c r="V129" s="2"/>
      <c r="W129" s="2">
        <v>11251</v>
      </c>
      <c r="X129" s="2">
        <v>9218</v>
      </c>
      <c r="Y129" s="2">
        <v>7483</v>
      </c>
      <c r="Z129" s="2">
        <v>0</v>
      </c>
      <c r="AA129" s="2">
        <v>0</v>
      </c>
      <c r="AB129" s="2"/>
      <c r="AC129" s="2">
        <v>291</v>
      </c>
      <c r="AD129" s="2">
        <v>291</v>
      </c>
      <c r="AE129" s="2">
        <v>289</v>
      </c>
      <c r="AF129" s="2">
        <v>0</v>
      </c>
      <c r="AG129" s="2">
        <v>0</v>
      </c>
      <c r="AH129" s="2"/>
      <c r="AI129" s="2">
        <v>-2409</v>
      </c>
      <c r="AJ129" s="2">
        <v>-1890</v>
      </c>
      <c r="AK129" s="2">
        <v>-275</v>
      </c>
      <c r="AL129" s="2">
        <v>-273</v>
      </c>
      <c r="AM129" s="2">
        <v>-1890</v>
      </c>
    </row>
    <row r="130" spans="1:39">
      <c r="A130" s="349">
        <v>91057</v>
      </c>
      <c r="B130" s="342" t="s">
        <v>818</v>
      </c>
      <c r="C130" s="234" t="e">
        <f>VLOOKUP(A130,#REF!,10,FALSE)</f>
        <v>#REF!</v>
      </c>
      <c r="E130" s="2">
        <v>10719</v>
      </c>
      <c r="F130" s="2">
        <v>4820</v>
      </c>
      <c r="G130" s="2">
        <v>6108</v>
      </c>
      <c r="H130" s="2">
        <v>2466</v>
      </c>
      <c r="I130" s="2">
        <v>0</v>
      </c>
      <c r="J130" s="2"/>
      <c r="K130" s="2">
        <v>2352</v>
      </c>
      <c r="L130" s="2">
        <v>2212</v>
      </c>
      <c r="M130" s="2">
        <v>1983</v>
      </c>
      <c r="N130" s="2">
        <v>794</v>
      </c>
      <c r="O130" s="2">
        <v>0</v>
      </c>
      <c r="P130" s="2"/>
      <c r="Q130" s="2">
        <v>2497</v>
      </c>
      <c r="R130" s="2">
        <v>-2148</v>
      </c>
      <c r="S130" s="2">
        <v>303</v>
      </c>
      <c r="T130" s="2">
        <v>394</v>
      </c>
      <c r="U130" s="2">
        <v>0</v>
      </c>
      <c r="V130" s="2"/>
      <c r="W130" s="2">
        <v>2813</v>
      </c>
      <c r="X130" s="2">
        <v>2304</v>
      </c>
      <c r="Y130" s="2">
        <v>1871</v>
      </c>
      <c r="Z130" s="2">
        <v>0</v>
      </c>
      <c r="AA130" s="2">
        <v>0</v>
      </c>
      <c r="AB130" s="2"/>
      <c r="AC130" s="2">
        <v>3057</v>
      </c>
      <c r="AD130" s="2">
        <v>2452</v>
      </c>
      <c r="AE130" s="2">
        <v>1951</v>
      </c>
      <c r="AF130" s="2">
        <v>1278</v>
      </c>
      <c r="AG130" s="2">
        <v>0</v>
      </c>
      <c r="AH130" s="2"/>
      <c r="AI130" s="2">
        <v>0</v>
      </c>
      <c r="AJ130" s="2">
        <v>0</v>
      </c>
      <c r="AK130" s="2">
        <v>0</v>
      </c>
      <c r="AL130" s="2">
        <v>0</v>
      </c>
      <c r="AM130" s="2">
        <v>0</v>
      </c>
    </row>
    <row r="131" spans="1:39">
      <c r="A131" s="349">
        <v>91061</v>
      </c>
      <c r="B131" s="342" t="s">
        <v>819</v>
      </c>
      <c r="C131" s="234" t="e">
        <f>VLOOKUP(A131,#REF!,10,FALSE)</f>
        <v>#REF!</v>
      </c>
      <c r="E131" s="2">
        <v>185334</v>
      </c>
      <c r="F131" s="2">
        <v>54150</v>
      </c>
      <c r="G131" s="2">
        <v>95089</v>
      </c>
      <c r="H131" s="2">
        <v>29787</v>
      </c>
      <c r="I131" s="2">
        <v>0</v>
      </c>
      <c r="J131" s="2"/>
      <c r="K131" s="2">
        <v>56987</v>
      </c>
      <c r="L131" s="2">
        <v>53606</v>
      </c>
      <c r="M131" s="2">
        <v>48046</v>
      </c>
      <c r="N131" s="2">
        <v>19237</v>
      </c>
      <c r="O131" s="2">
        <v>0</v>
      </c>
      <c r="P131" s="2"/>
      <c r="Q131" s="2">
        <v>60499</v>
      </c>
      <c r="R131" s="2">
        <v>-52041</v>
      </c>
      <c r="S131" s="2">
        <v>7334</v>
      </c>
      <c r="T131" s="2">
        <v>9546</v>
      </c>
      <c r="U131" s="2">
        <v>0</v>
      </c>
      <c r="V131" s="2"/>
      <c r="W131" s="2">
        <v>68153</v>
      </c>
      <c r="X131" s="2">
        <v>55834</v>
      </c>
      <c r="Y131" s="2">
        <v>45327</v>
      </c>
      <c r="Z131" s="2">
        <v>0</v>
      </c>
      <c r="AA131" s="2">
        <v>0</v>
      </c>
      <c r="AB131" s="2"/>
      <c r="AC131" s="2">
        <v>6315</v>
      </c>
      <c r="AD131" s="2">
        <v>3371</v>
      </c>
      <c r="AE131" s="2">
        <v>1002</v>
      </c>
      <c r="AF131" s="2">
        <v>1004</v>
      </c>
      <c r="AG131" s="2">
        <v>0</v>
      </c>
      <c r="AH131" s="2"/>
      <c r="AI131" s="2">
        <v>-6620</v>
      </c>
      <c r="AJ131" s="2">
        <v>-6620</v>
      </c>
      <c r="AK131" s="2">
        <v>-6620</v>
      </c>
      <c r="AL131" s="2">
        <v>0</v>
      </c>
      <c r="AM131" s="2">
        <v>-6620</v>
      </c>
    </row>
    <row r="132" spans="1:39">
      <c r="A132" s="349">
        <v>91067</v>
      </c>
      <c r="B132" s="342" t="s">
        <v>820</v>
      </c>
      <c r="C132" s="234" t="e">
        <f>VLOOKUP(A132,#REF!,10,FALSE)</f>
        <v>#REF!</v>
      </c>
      <c r="E132" s="2">
        <v>8634</v>
      </c>
      <c r="F132" s="2">
        <v>2853</v>
      </c>
      <c r="G132" s="2">
        <v>4796</v>
      </c>
      <c r="H132" s="2">
        <v>1346</v>
      </c>
      <c r="I132" s="2">
        <v>0</v>
      </c>
      <c r="J132" s="2"/>
      <c r="K132" s="2">
        <v>2427</v>
      </c>
      <c r="L132" s="2">
        <v>2283</v>
      </c>
      <c r="M132" s="2">
        <v>2046</v>
      </c>
      <c r="N132" s="2">
        <v>819</v>
      </c>
      <c r="O132" s="2">
        <v>0</v>
      </c>
      <c r="P132" s="2"/>
      <c r="Q132" s="2">
        <v>2576</v>
      </c>
      <c r="R132" s="2">
        <v>-2216</v>
      </c>
      <c r="S132" s="2">
        <v>312</v>
      </c>
      <c r="T132" s="2">
        <v>407</v>
      </c>
      <c r="U132" s="2">
        <v>0</v>
      </c>
      <c r="V132" s="2"/>
      <c r="W132" s="2">
        <v>2902</v>
      </c>
      <c r="X132" s="2">
        <v>2378</v>
      </c>
      <c r="Y132" s="2">
        <v>1930</v>
      </c>
      <c r="Z132" s="2">
        <v>0</v>
      </c>
      <c r="AA132" s="2">
        <v>0</v>
      </c>
      <c r="AB132" s="2"/>
      <c r="AC132" s="2">
        <v>831</v>
      </c>
      <c r="AD132" s="2">
        <v>509</v>
      </c>
      <c r="AE132" s="2">
        <v>508</v>
      </c>
      <c r="AF132" s="2">
        <v>120</v>
      </c>
      <c r="AG132" s="2">
        <v>0</v>
      </c>
      <c r="AH132" s="2"/>
      <c r="AI132" s="2">
        <v>-102</v>
      </c>
      <c r="AJ132" s="2">
        <v>-101</v>
      </c>
      <c r="AK132" s="2">
        <v>0</v>
      </c>
      <c r="AL132" s="2">
        <v>0</v>
      </c>
      <c r="AM132" s="2">
        <v>-101</v>
      </c>
    </row>
    <row r="133" spans="1:39">
      <c r="A133" s="349">
        <v>91071</v>
      </c>
      <c r="B133" s="342" t="s">
        <v>3642</v>
      </c>
      <c r="C133" s="234" t="e">
        <f>VLOOKUP(A133,#REF!,10,FALSE)</f>
        <v>#REF!</v>
      </c>
      <c r="E133" s="2">
        <v>113453</v>
      </c>
      <c r="F133" s="2">
        <v>31355</v>
      </c>
      <c r="G133" s="2">
        <v>64196</v>
      </c>
      <c r="H133" s="2">
        <v>18074</v>
      </c>
      <c r="I133" s="2">
        <v>0</v>
      </c>
      <c r="J133" s="2"/>
      <c r="K133" s="2">
        <v>36688</v>
      </c>
      <c r="L133" s="2">
        <v>34511</v>
      </c>
      <c r="M133" s="2">
        <v>30932</v>
      </c>
      <c r="N133" s="2">
        <v>12385</v>
      </c>
      <c r="O133" s="2">
        <v>0</v>
      </c>
      <c r="P133" s="2"/>
      <c r="Q133" s="2">
        <v>38949</v>
      </c>
      <c r="R133" s="2">
        <v>-33504</v>
      </c>
      <c r="S133" s="2">
        <v>4722</v>
      </c>
      <c r="T133" s="2">
        <v>6146</v>
      </c>
      <c r="U133" s="2">
        <v>0</v>
      </c>
      <c r="V133" s="2"/>
      <c r="W133" s="2">
        <v>43877</v>
      </c>
      <c r="X133" s="2">
        <v>35945</v>
      </c>
      <c r="Y133" s="2">
        <v>29182</v>
      </c>
      <c r="Z133" s="2">
        <v>0</v>
      </c>
      <c r="AA133" s="2">
        <v>0</v>
      </c>
      <c r="AB133" s="2"/>
      <c r="AC133" s="2">
        <v>0</v>
      </c>
      <c r="AD133" s="2">
        <v>0</v>
      </c>
      <c r="AE133" s="2">
        <v>0</v>
      </c>
      <c r="AF133" s="2">
        <v>0</v>
      </c>
      <c r="AG133" s="2">
        <v>0</v>
      </c>
      <c r="AH133" s="2"/>
      <c r="AI133" s="2">
        <v>-6061</v>
      </c>
      <c r="AJ133" s="2">
        <v>-5597</v>
      </c>
      <c r="AK133" s="2">
        <v>-640</v>
      </c>
      <c r="AL133" s="2">
        <v>-457</v>
      </c>
      <c r="AM133" s="2">
        <v>-5597</v>
      </c>
    </row>
    <row r="134" spans="1:39">
      <c r="A134" s="349">
        <v>91077</v>
      </c>
      <c r="B134" s="342" t="s">
        <v>822</v>
      </c>
      <c r="C134" s="234" t="e">
        <f>VLOOKUP(A134,#REF!,10,FALSE)</f>
        <v>#REF!</v>
      </c>
      <c r="E134" s="2">
        <v>4045</v>
      </c>
      <c r="F134" s="2">
        <v>1918</v>
      </c>
      <c r="G134" s="2">
        <v>2334</v>
      </c>
      <c r="H134" s="2">
        <v>1042</v>
      </c>
      <c r="I134" s="2">
        <v>0</v>
      </c>
      <c r="J134" s="2"/>
      <c r="K134" s="2">
        <v>884</v>
      </c>
      <c r="L134" s="2">
        <v>831</v>
      </c>
      <c r="M134" s="2">
        <v>745</v>
      </c>
      <c r="N134" s="2">
        <v>298</v>
      </c>
      <c r="O134" s="2">
        <v>0</v>
      </c>
      <c r="P134" s="2"/>
      <c r="Q134" s="2">
        <v>938</v>
      </c>
      <c r="R134" s="2">
        <v>-807</v>
      </c>
      <c r="S134" s="2">
        <v>114</v>
      </c>
      <c r="T134" s="2">
        <v>148</v>
      </c>
      <c r="U134" s="2">
        <v>0</v>
      </c>
      <c r="V134" s="2"/>
      <c r="W134" s="2">
        <v>1057</v>
      </c>
      <c r="X134" s="2">
        <v>866</v>
      </c>
      <c r="Y134" s="2">
        <v>703</v>
      </c>
      <c r="Z134" s="2">
        <v>0</v>
      </c>
      <c r="AA134" s="2">
        <v>0</v>
      </c>
      <c r="AB134" s="2"/>
      <c r="AC134" s="2">
        <v>1166</v>
      </c>
      <c r="AD134" s="2">
        <v>1028</v>
      </c>
      <c r="AE134" s="2">
        <v>772</v>
      </c>
      <c r="AF134" s="2">
        <v>596</v>
      </c>
      <c r="AG134" s="2">
        <v>0</v>
      </c>
      <c r="AH134" s="2"/>
      <c r="AI134" s="2">
        <v>0</v>
      </c>
      <c r="AJ134" s="2">
        <v>0</v>
      </c>
      <c r="AK134" s="2">
        <v>0</v>
      </c>
      <c r="AL134" s="2">
        <v>0</v>
      </c>
      <c r="AM134" s="2">
        <v>0</v>
      </c>
    </row>
    <row r="135" spans="1:39">
      <c r="A135" s="349">
        <v>91081</v>
      </c>
      <c r="B135" s="342" t="s">
        <v>823</v>
      </c>
      <c r="C135" s="234" t="e">
        <f>VLOOKUP(A135,#REF!,10,FALSE)</f>
        <v>#REF!</v>
      </c>
      <c r="E135" s="2">
        <v>217591</v>
      </c>
      <c r="F135" s="2">
        <v>73251</v>
      </c>
      <c r="G135" s="2">
        <v>121797</v>
      </c>
      <c r="H135" s="2">
        <v>36204</v>
      </c>
      <c r="I135" s="2">
        <v>0</v>
      </c>
      <c r="J135" s="2"/>
      <c r="K135" s="2">
        <v>64028</v>
      </c>
      <c r="L135" s="2">
        <v>60229</v>
      </c>
      <c r="M135" s="2">
        <v>53983</v>
      </c>
      <c r="N135" s="2">
        <v>21614</v>
      </c>
      <c r="O135" s="2">
        <v>0</v>
      </c>
      <c r="P135" s="2"/>
      <c r="Q135" s="2">
        <v>67974</v>
      </c>
      <c r="R135" s="2">
        <v>-58470</v>
      </c>
      <c r="S135" s="2">
        <v>8241</v>
      </c>
      <c r="T135" s="2">
        <v>10725</v>
      </c>
      <c r="U135" s="2">
        <v>0</v>
      </c>
      <c r="V135" s="2"/>
      <c r="W135" s="2">
        <v>76574</v>
      </c>
      <c r="X135" s="2">
        <v>62732</v>
      </c>
      <c r="Y135" s="2">
        <v>50928</v>
      </c>
      <c r="Z135" s="2">
        <v>0</v>
      </c>
      <c r="AA135" s="2">
        <v>0</v>
      </c>
      <c r="AB135" s="2"/>
      <c r="AC135" s="2">
        <v>9015</v>
      </c>
      <c r="AD135" s="2">
        <v>8760</v>
      </c>
      <c r="AE135" s="2">
        <v>8645</v>
      </c>
      <c r="AF135" s="2">
        <v>3865</v>
      </c>
      <c r="AG135" s="2">
        <v>0</v>
      </c>
      <c r="AH135" s="2"/>
      <c r="AI135" s="2">
        <v>0</v>
      </c>
      <c r="AJ135" s="2">
        <v>0</v>
      </c>
      <c r="AK135" s="2">
        <v>0</v>
      </c>
      <c r="AL135" s="2">
        <v>0</v>
      </c>
      <c r="AM135" s="2">
        <v>0</v>
      </c>
    </row>
    <row r="136" spans="1:39">
      <c r="A136" s="349">
        <v>91091</v>
      </c>
      <c r="B136" s="342" t="s">
        <v>824</v>
      </c>
      <c r="C136" s="234" t="e">
        <f>VLOOKUP(A136,#REF!,10,FALSE)</f>
        <v>#REF!</v>
      </c>
      <c r="E136" s="2">
        <v>255972</v>
      </c>
      <c r="F136" s="2">
        <v>73504</v>
      </c>
      <c r="G136" s="2">
        <v>144176</v>
      </c>
      <c r="H136" s="2">
        <v>48076</v>
      </c>
      <c r="I136" s="2">
        <v>0</v>
      </c>
      <c r="J136" s="2"/>
      <c r="K136" s="2">
        <v>81705</v>
      </c>
      <c r="L136" s="2">
        <v>76858</v>
      </c>
      <c r="M136" s="2">
        <v>68887</v>
      </c>
      <c r="N136" s="2">
        <v>27581</v>
      </c>
      <c r="O136" s="2">
        <v>0</v>
      </c>
      <c r="P136" s="2"/>
      <c r="Q136" s="2">
        <v>86741</v>
      </c>
      <c r="R136" s="2">
        <v>-74613</v>
      </c>
      <c r="S136" s="2">
        <v>10516</v>
      </c>
      <c r="T136" s="2">
        <v>13686</v>
      </c>
      <c r="U136" s="2">
        <v>0</v>
      </c>
      <c r="V136" s="2"/>
      <c r="W136" s="2">
        <v>97715</v>
      </c>
      <c r="X136" s="2">
        <v>80052</v>
      </c>
      <c r="Y136" s="2">
        <v>64988</v>
      </c>
      <c r="Z136" s="2">
        <v>0</v>
      </c>
      <c r="AA136" s="2">
        <v>0</v>
      </c>
      <c r="AB136" s="2"/>
      <c r="AC136" s="2">
        <v>6809</v>
      </c>
      <c r="AD136" s="2">
        <v>6809</v>
      </c>
      <c r="AE136" s="2">
        <v>6809</v>
      </c>
      <c r="AF136" s="2">
        <v>6809</v>
      </c>
      <c r="AG136" s="2">
        <v>0</v>
      </c>
      <c r="AH136" s="2"/>
      <c r="AI136" s="2">
        <v>-16998</v>
      </c>
      <c r="AJ136" s="2">
        <v>-15602</v>
      </c>
      <c r="AK136" s="2">
        <v>-7024</v>
      </c>
      <c r="AL136" s="2">
        <v>0</v>
      </c>
      <c r="AM136" s="2">
        <v>-15602</v>
      </c>
    </row>
    <row r="137" spans="1:39">
      <c r="A137" s="349">
        <v>91101</v>
      </c>
      <c r="B137" s="342" t="s">
        <v>825</v>
      </c>
      <c r="C137" s="234" t="e">
        <f>VLOOKUP(A137,#REF!,10,FALSE)</f>
        <v>#REF!</v>
      </c>
      <c r="E137" s="2">
        <v>6139749</v>
      </c>
      <c r="F137" s="2">
        <v>1735439</v>
      </c>
      <c r="G137" s="2">
        <v>3332694</v>
      </c>
      <c r="H137" s="2">
        <v>869328</v>
      </c>
      <c r="I137" s="2">
        <v>0</v>
      </c>
      <c r="J137" s="2"/>
      <c r="K137" s="2">
        <v>1990546</v>
      </c>
      <c r="L137" s="2">
        <v>1872460</v>
      </c>
      <c r="M137" s="2">
        <v>1678265</v>
      </c>
      <c r="N137" s="2">
        <v>671957</v>
      </c>
      <c r="O137" s="2">
        <v>0</v>
      </c>
      <c r="P137" s="2"/>
      <c r="Q137" s="2">
        <v>2113241</v>
      </c>
      <c r="R137" s="2">
        <v>-1817783</v>
      </c>
      <c r="S137" s="2">
        <v>256194</v>
      </c>
      <c r="T137" s="2">
        <v>333434</v>
      </c>
      <c r="U137" s="2">
        <v>0</v>
      </c>
      <c r="V137" s="2"/>
      <c r="W137" s="2">
        <v>2380597</v>
      </c>
      <c r="X137" s="2">
        <v>1950271</v>
      </c>
      <c r="Y137" s="2">
        <v>1583287</v>
      </c>
      <c r="Z137" s="2">
        <v>0</v>
      </c>
      <c r="AA137" s="2">
        <v>0</v>
      </c>
      <c r="AB137" s="2"/>
      <c r="AC137" s="2">
        <v>0</v>
      </c>
      <c r="AD137" s="2">
        <v>0</v>
      </c>
      <c r="AE137" s="2">
        <v>0</v>
      </c>
      <c r="AF137" s="2">
        <v>0</v>
      </c>
      <c r="AG137" s="2">
        <v>0</v>
      </c>
      <c r="AH137" s="2"/>
      <c r="AI137" s="2">
        <v>-344635</v>
      </c>
      <c r="AJ137" s="2">
        <v>-269509</v>
      </c>
      <c r="AK137" s="2">
        <v>-185052</v>
      </c>
      <c r="AL137" s="2">
        <v>-136063</v>
      </c>
      <c r="AM137" s="2">
        <v>-269509</v>
      </c>
    </row>
    <row r="138" spans="1:39">
      <c r="A138" s="349">
        <v>91102</v>
      </c>
      <c r="B138" s="342" t="s">
        <v>826</v>
      </c>
      <c r="C138" s="234" t="e">
        <f>VLOOKUP(A138,#REF!,10,FALSE)</f>
        <v>#REF!</v>
      </c>
      <c r="E138" s="2">
        <v>169172</v>
      </c>
      <c r="F138" s="2">
        <v>54624</v>
      </c>
      <c r="G138" s="2">
        <v>86545</v>
      </c>
      <c r="H138" s="2">
        <v>24855</v>
      </c>
      <c r="I138" s="2">
        <v>0</v>
      </c>
      <c r="J138" s="2"/>
      <c r="K138" s="2">
        <v>49122</v>
      </c>
      <c r="L138" s="2">
        <v>46208</v>
      </c>
      <c r="M138" s="2">
        <v>41415</v>
      </c>
      <c r="N138" s="2">
        <v>16582</v>
      </c>
      <c r="O138" s="2">
        <v>0</v>
      </c>
      <c r="P138" s="2"/>
      <c r="Q138" s="2">
        <v>52150</v>
      </c>
      <c r="R138" s="2">
        <v>-44858</v>
      </c>
      <c r="S138" s="2">
        <v>6322</v>
      </c>
      <c r="T138" s="2">
        <v>8228</v>
      </c>
      <c r="U138" s="2">
        <v>0</v>
      </c>
      <c r="V138" s="2"/>
      <c r="W138" s="2">
        <v>58747</v>
      </c>
      <c r="X138" s="2">
        <v>48128</v>
      </c>
      <c r="Y138" s="2">
        <v>39072</v>
      </c>
      <c r="Z138" s="2">
        <v>0</v>
      </c>
      <c r="AA138" s="2">
        <v>0</v>
      </c>
      <c r="AB138" s="2"/>
      <c r="AC138" s="2">
        <v>9461</v>
      </c>
      <c r="AD138" s="2">
        <v>5454</v>
      </c>
      <c r="AE138" s="2">
        <v>45</v>
      </c>
      <c r="AF138" s="2">
        <v>45</v>
      </c>
      <c r="AG138" s="2">
        <v>0</v>
      </c>
      <c r="AH138" s="2"/>
      <c r="AI138" s="2">
        <v>-308</v>
      </c>
      <c r="AJ138" s="2">
        <v>-308</v>
      </c>
      <c r="AK138" s="2">
        <v>-309</v>
      </c>
      <c r="AL138" s="2">
        <v>0</v>
      </c>
      <c r="AM138" s="2">
        <v>-308</v>
      </c>
    </row>
    <row r="139" spans="1:39">
      <c r="A139" s="349">
        <v>91104</v>
      </c>
      <c r="B139" s="342" t="s">
        <v>827</v>
      </c>
      <c r="C139" s="234" t="e">
        <f>VLOOKUP(A139,#REF!,10,FALSE)</f>
        <v>#REF!</v>
      </c>
      <c r="E139" s="2">
        <v>12025</v>
      </c>
      <c r="F139" s="2">
        <v>6256</v>
      </c>
      <c r="G139" s="2">
        <v>7799</v>
      </c>
      <c r="H139" s="2">
        <v>3935</v>
      </c>
      <c r="I139" s="2">
        <v>0</v>
      </c>
      <c r="J139" s="2"/>
      <c r="K139" s="2">
        <v>2487</v>
      </c>
      <c r="L139" s="2">
        <v>2339</v>
      </c>
      <c r="M139" s="2">
        <v>2097</v>
      </c>
      <c r="N139" s="2">
        <v>839</v>
      </c>
      <c r="O139" s="2">
        <v>0</v>
      </c>
      <c r="P139" s="2"/>
      <c r="Q139" s="2">
        <v>2640</v>
      </c>
      <c r="R139" s="2">
        <v>-2271</v>
      </c>
      <c r="S139" s="2">
        <v>320</v>
      </c>
      <c r="T139" s="2">
        <v>417</v>
      </c>
      <c r="U139" s="2">
        <v>0</v>
      </c>
      <c r="V139" s="2"/>
      <c r="W139" s="2">
        <v>2974</v>
      </c>
      <c r="X139" s="2">
        <v>2436</v>
      </c>
      <c r="Y139" s="2">
        <v>1978</v>
      </c>
      <c r="Z139" s="2">
        <v>0</v>
      </c>
      <c r="AA139" s="2">
        <v>0</v>
      </c>
      <c r="AB139" s="2"/>
      <c r="AC139" s="2">
        <v>3924</v>
      </c>
      <c r="AD139" s="2">
        <v>3752</v>
      </c>
      <c r="AE139" s="2">
        <v>3404</v>
      </c>
      <c r="AF139" s="2">
        <v>2679</v>
      </c>
      <c r="AG139" s="2">
        <v>0</v>
      </c>
      <c r="AH139" s="2"/>
      <c r="AI139" s="2">
        <v>0</v>
      </c>
      <c r="AJ139" s="2">
        <v>0</v>
      </c>
      <c r="AK139" s="2">
        <v>0</v>
      </c>
      <c r="AL139" s="2">
        <v>0</v>
      </c>
      <c r="AM139" s="2">
        <v>0</v>
      </c>
    </row>
    <row r="140" spans="1:39">
      <c r="A140" s="349">
        <v>91107</v>
      </c>
      <c r="B140" s="342" t="s">
        <v>3643</v>
      </c>
      <c r="C140" s="234" t="e">
        <f>VLOOKUP(A140,#REF!,10,FALSE)</f>
        <v>#REF!</v>
      </c>
      <c r="E140" s="2">
        <v>30946</v>
      </c>
      <c r="F140" s="2">
        <v>10869</v>
      </c>
      <c r="G140" s="2">
        <v>15770</v>
      </c>
      <c r="H140" s="2">
        <v>6215</v>
      </c>
      <c r="I140" s="2">
        <v>0</v>
      </c>
      <c r="J140" s="2"/>
      <c r="K140" s="2">
        <v>8164</v>
      </c>
      <c r="L140" s="2">
        <v>7680</v>
      </c>
      <c r="M140" s="2">
        <v>6884</v>
      </c>
      <c r="N140" s="2">
        <v>2756</v>
      </c>
      <c r="O140" s="2">
        <v>0</v>
      </c>
      <c r="P140" s="2"/>
      <c r="Q140" s="2">
        <v>8668</v>
      </c>
      <c r="R140" s="2">
        <v>-7456</v>
      </c>
      <c r="S140" s="2">
        <v>1051</v>
      </c>
      <c r="T140" s="2">
        <v>1368</v>
      </c>
      <c r="U140" s="2">
        <v>0</v>
      </c>
      <c r="V140" s="2"/>
      <c r="W140" s="2">
        <v>9764</v>
      </c>
      <c r="X140" s="2">
        <v>7999</v>
      </c>
      <c r="Y140" s="2">
        <v>6494</v>
      </c>
      <c r="Z140" s="2">
        <v>0</v>
      </c>
      <c r="AA140" s="2">
        <v>0</v>
      </c>
      <c r="AB140" s="2"/>
      <c r="AC140" s="2">
        <v>5103</v>
      </c>
      <c r="AD140" s="2">
        <v>3399</v>
      </c>
      <c r="AE140" s="2">
        <v>2092</v>
      </c>
      <c r="AF140" s="2">
        <v>2091</v>
      </c>
      <c r="AG140" s="2">
        <v>0</v>
      </c>
      <c r="AH140" s="2"/>
      <c r="AI140" s="2">
        <v>-753</v>
      </c>
      <c r="AJ140" s="2">
        <v>-753</v>
      </c>
      <c r="AK140" s="2">
        <v>-751</v>
      </c>
      <c r="AL140" s="2">
        <v>0</v>
      </c>
      <c r="AM140" s="2">
        <v>-753</v>
      </c>
    </row>
    <row r="141" spans="1:39">
      <c r="A141" s="349">
        <v>91108</v>
      </c>
      <c r="B141" s="342" t="s">
        <v>3644</v>
      </c>
      <c r="C141" s="234" t="e">
        <f>VLOOKUP(A141,#REF!,10,FALSE)</f>
        <v>#REF!</v>
      </c>
      <c r="E141" s="2">
        <v>611560</v>
      </c>
      <c r="F141" s="2">
        <v>202832</v>
      </c>
      <c r="G141" s="2">
        <v>333422</v>
      </c>
      <c r="H141" s="2">
        <v>101847</v>
      </c>
      <c r="I141" s="2">
        <v>0</v>
      </c>
      <c r="J141" s="2"/>
      <c r="K141" s="2">
        <v>178705</v>
      </c>
      <c r="L141" s="2">
        <v>168103</v>
      </c>
      <c r="M141" s="2">
        <v>150669</v>
      </c>
      <c r="N141" s="2">
        <v>60326</v>
      </c>
      <c r="O141" s="2">
        <v>0</v>
      </c>
      <c r="P141" s="2"/>
      <c r="Q141" s="2">
        <v>189720</v>
      </c>
      <c r="R141" s="2">
        <v>-163195</v>
      </c>
      <c r="S141" s="2">
        <v>23000</v>
      </c>
      <c r="T141" s="2">
        <v>29935</v>
      </c>
      <c r="U141" s="2">
        <v>0</v>
      </c>
      <c r="V141" s="2"/>
      <c r="W141" s="2">
        <v>213722</v>
      </c>
      <c r="X141" s="2">
        <v>175089</v>
      </c>
      <c r="Y141" s="2">
        <v>142142</v>
      </c>
      <c r="Z141" s="2">
        <v>0</v>
      </c>
      <c r="AA141" s="2">
        <v>0</v>
      </c>
      <c r="AB141" s="2"/>
      <c r="AC141" s="2">
        <v>29413</v>
      </c>
      <c r="AD141" s="2">
        <v>22835</v>
      </c>
      <c r="AE141" s="2">
        <v>17611</v>
      </c>
      <c r="AF141" s="2">
        <v>11586</v>
      </c>
      <c r="AG141" s="2">
        <v>0</v>
      </c>
      <c r="AH141" s="2"/>
      <c r="AI141" s="2">
        <v>0</v>
      </c>
      <c r="AJ141" s="2">
        <v>0</v>
      </c>
      <c r="AK141" s="2">
        <v>0</v>
      </c>
      <c r="AL141" s="2">
        <v>0</v>
      </c>
      <c r="AM141" s="2">
        <v>0</v>
      </c>
    </row>
    <row r="142" spans="1:39">
      <c r="A142" s="349">
        <v>91109</v>
      </c>
      <c r="B142" s="342" t="s">
        <v>2779</v>
      </c>
      <c r="C142" s="234" t="e">
        <f>VLOOKUP(A142,#REF!,10,FALSE)</f>
        <v>#REF!</v>
      </c>
      <c r="E142" s="2">
        <v>50031</v>
      </c>
      <c r="F142" s="2">
        <v>17001</v>
      </c>
      <c r="G142" s="2">
        <v>27068</v>
      </c>
      <c r="H142" s="2">
        <v>7631</v>
      </c>
      <c r="I142" s="2">
        <v>0</v>
      </c>
      <c r="J142" s="2"/>
      <c r="K142" s="2">
        <v>14726</v>
      </c>
      <c r="L142" s="2">
        <v>13852</v>
      </c>
      <c r="M142" s="2">
        <v>12416</v>
      </c>
      <c r="N142" s="2">
        <v>4971</v>
      </c>
      <c r="O142" s="2">
        <v>0</v>
      </c>
      <c r="P142" s="2"/>
      <c r="Q142" s="2">
        <v>15634</v>
      </c>
      <c r="R142" s="2">
        <v>-13448</v>
      </c>
      <c r="S142" s="2">
        <v>1895</v>
      </c>
      <c r="T142" s="2">
        <v>2467</v>
      </c>
      <c r="U142" s="2">
        <v>0</v>
      </c>
      <c r="V142" s="2"/>
      <c r="W142" s="2">
        <v>17612</v>
      </c>
      <c r="X142" s="2">
        <v>14428</v>
      </c>
      <c r="Y142" s="2">
        <v>11713</v>
      </c>
      <c r="Z142" s="2">
        <v>0</v>
      </c>
      <c r="AA142" s="2">
        <v>0</v>
      </c>
      <c r="AB142" s="2"/>
      <c r="AC142" s="2">
        <v>2167</v>
      </c>
      <c r="AD142" s="2">
        <v>2169</v>
      </c>
      <c r="AE142" s="2">
        <v>1044</v>
      </c>
      <c r="AF142" s="2">
        <v>193</v>
      </c>
      <c r="AG142" s="2">
        <v>0</v>
      </c>
      <c r="AH142" s="2"/>
      <c r="AI142" s="2">
        <v>-108</v>
      </c>
      <c r="AJ142" s="2">
        <v>0</v>
      </c>
      <c r="AK142" s="2">
        <v>0</v>
      </c>
      <c r="AL142" s="2">
        <v>0</v>
      </c>
      <c r="AM142" s="2">
        <v>0</v>
      </c>
    </row>
    <row r="143" spans="1:39">
      <c r="A143" s="349">
        <v>91111</v>
      </c>
      <c r="B143" s="342" t="s">
        <v>831</v>
      </c>
      <c r="C143" s="234" t="e">
        <f>VLOOKUP(A143,#REF!,10,FALSE)</f>
        <v>#REF!</v>
      </c>
      <c r="E143" s="2">
        <v>96106</v>
      </c>
      <c r="F143" s="2">
        <v>28028</v>
      </c>
      <c r="G143" s="2">
        <v>48566</v>
      </c>
      <c r="H143" s="2">
        <v>10107</v>
      </c>
      <c r="I143" s="2">
        <v>0</v>
      </c>
      <c r="J143" s="2"/>
      <c r="K143" s="2">
        <v>29557</v>
      </c>
      <c r="L143" s="2">
        <v>27804</v>
      </c>
      <c r="M143" s="2">
        <v>24920</v>
      </c>
      <c r="N143" s="2">
        <v>9978</v>
      </c>
      <c r="O143" s="2">
        <v>0</v>
      </c>
      <c r="P143" s="2"/>
      <c r="Q143" s="2">
        <v>31379</v>
      </c>
      <c r="R143" s="2">
        <v>-26992</v>
      </c>
      <c r="S143" s="2">
        <v>3804</v>
      </c>
      <c r="T143" s="2">
        <v>4951</v>
      </c>
      <c r="U143" s="2">
        <v>0</v>
      </c>
      <c r="V143" s="2"/>
      <c r="W143" s="2">
        <v>35349</v>
      </c>
      <c r="X143" s="2">
        <v>28959</v>
      </c>
      <c r="Y143" s="2">
        <v>23510</v>
      </c>
      <c r="Z143" s="2">
        <v>0</v>
      </c>
      <c r="AA143" s="2">
        <v>0</v>
      </c>
      <c r="AB143" s="2"/>
      <c r="AC143" s="2">
        <v>4645</v>
      </c>
      <c r="AD143" s="2">
        <v>3081</v>
      </c>
      <c r="AE143" s="2">
        <v>1156</v>
      </c>
      <c r="AF143" s="2">
        <v>0</v>
      </c>
      <c r="AG143" s="2">
        <v>0</v>
      </c>
      <c r="AH143" s="2"/>
      <c r="AI143" s="2">
        <v>-4824</v>
      </c>
      <c r="AJ143" s="2">
        <v>-4824</v>
      </c>
      <c r="AK143" s="2">
        <v>-4824</v>
      </c>
      <c r="AL143" s="2">
        <v>-4822</v>
      </c>
      <c r="AM143" s="2">
        <v>-4824</v>
      </c>
    </row>
    <row r="144" spans="1:39">
      <c r="A144" s="349">
        <v>91120</v>
      </c>
      <c r="B144" s="342" t="s">
        <v>3645</v>
      </c>
      <c r="C144" s="234" t="e">
        <f>VLOOKUP(A144,#REF!,10,FALSE)</f>
        <v>#REF!</v>
      </c>
      <c r="E144" s="2">
        <v>92497</v>
      </c>
      <c r="F144" s="2">
        <v>32380</v>
      </c>
      <c r="G144" s="2">
        <v>53842</v>
      </c>
      <c r="H144" s="2">
        <v>22400</v>
      </c>
      <c r="I144" s="2">
        <v>0</v>
      </c>
      <c r="J144" s="2"/>
      <c r="K144" s="2">
        <v>27070</v>
      </c>
      <c r="L144" s="2">
        <v>25464</v>
      </c>
      <c r="M144" s="2">
        <v>22823</v>
      </c>
      <c r="N144" s="2">
        <v>9138</v>
      </c>
      <c r="O144" s="2">
        <v>0</v>
      </c>
      <c r="P144" s="2"/>
      <c r="Q144" s="2">
        <v>28739</v>
      </c>
      <c r="R144" s="2">
        <v>-24721</v>
      </c>
      <c r="S144" s="2">
        <v>3484</v>
      </c>
      <c r="T144" s="2">
        <v>4534</v>
      </c>
      <c r="U144" s="2">
        <v>0</v>
      </c>
      <c r="V144" s="2"/>
      <c r="W144" s="2">
        <v>32375</v>
      </c>
      <c r="X144" s="2">
        <v>26522</v>
      </c>
      <c r="Y144" s="2">
        <v>21532</v>
      </c>
      <c r="Z144" s="2">
        <v>0</v>
      </c>
      <c r="AA144" s="2">
        <v>0</v>
      </c>
      <c r="AB144" s="2"/>
      <c r="AC144" s="2">
        <v>8727</v>
      </c>
      <c r="AD144" s="2">
        <v>8727</v>
      </c>
      <c r="AE144" s="2">
        <v>8727</v>
      </c>
      <c r="AF144" s="2">
        <v>8728</v>
      </c>
      <c r="AG144" s="2">
        <v>0</v>
      </c>
      <c r="AH144" s="2"/>
      <c r="AI144" s="2">
        <v>-4414</v>
      </c>
      <c r="AJ144" s="2">
        <v>-3612</v>
      </c>
      <c r="AK144" s="2">
        <v>-2724</v>
      </c>
      <c r="AL144" s="2">
        <v>0</v>
      </c>
      <c r="AM144" s="2">
        <v>-3612</v>
      </c>
    </row>
    <row r="145" spans="1:39">
      <c r="A145" s="349">
        <v>91121</v>
      </c>
      <c r="B145" s="342" t="s">
        <v>833</v>
      </c>
      <c r="C145" s="234" t="e">
        <f>VLOOKUP(A145,#REF!,10,FALSE)</f>
        <v>#REF!</v>
      </c>
      <c r="E145" s="2">
        <v>4856004</v>
      </c>
      <c r="F145" s="2">
        <v>1457738</v>
      </c>
      <c r="G145" s="2">
        <v>2668171</v>
      </c>
      <c r="H145" s="2">
        <v>724857</v>
      </c>
      <c r="I145" s="2">
        <v>0</v>
      </c>
      <c r="J145" s="2"/>
      <c r="K145" s="2">
        <v>1555656</v>
      </c>
      <c r="L145" s="2">
        <v>1463370</v>
      </c>
      <c r="M145" s="2">
        <v>1311602</v>
      </c>
      <c r="N145" s="2">
        <v>525149</v>
      </c>
      <c r="O145" s="2">
        <v>0</v>
      </c>
      <c r="P145" s="2"/>
      <c r="Q145" s="2">
        <v>1651545</v>
      </c>
      <c r="R145" s="2">
        <v>-1420638</v>
      </c>
      <c r="S145" s="2">
        <v>200222</v>
      </c>
      <c r="T145" s="2">
        <v>260586</v>
      </c>
      <c r="U145" s="2">
        <v>0</v>
      </c>
      <c r="V145" s="2"/>
      <c r="W145" s="2">
        <v>1860490</v>
      </c>
      <c r="X145" s="2">
        <v>1524181</v>
      </c>
      <c r="Y145" s="2">
        <v>1237374</v>
      </c>
      <c r="Z145" s="2">
        <v>0</v>
      </c>
      <c r="AA145" s="2">
        <v>0</v>
      </c>
      <c r="AB145" s="2"/>
      <c r="AC145" s="2">
        <v>0</v>
      </c>
      <c r="AD145" s="2">
        <v>0</v>
      </c>
      <c r="AE145" s="2">
        <v>0</v>
      </c>
      <c r="AF145" s="2">
        <v>0</v>
      </c>
      <c r="AG145" s="2">
        <v>0</v>
      </c>
      <c r="AH145" s="2"/>
      <c r="AI145" s="2">
        <v>-211687</v>
      </c>
      <c r="AJ145" s="2">
        <v>-109175</v>
      </c>
      <c r="AK145" s="2">
        <v>-81027</v>
      </c>
      <c r="AL145" s="2">
        <v>-60878</v>
      </c>
      <c r="AM145" s="2">
        <v>-109175</v>
      </c>
    </row>
    <row r="146" spans="1:39">
      <c r="A146" s="349">
        <v>91127</v>
      </c>
      <c r="B146" s="342" t="s">
        <v>834</v>
      </c>
      <c r="C146" s="234" t="e">
        <f>VLOOKUP(A146,#REF!,10,FALSE)</f>
        <v>#REF!</v>
      </c>
      <c r="E146" s="2">
        <v>154118</v>
      </c>
      <c r="F146" s="2">
        <v>55488</v>
      </c>
      <c r="G146" s="2">
        <v>84913</v>
      </c>
      <c r="H146" s="2">
        <v>25090</v>
      </c>
      <c r="I146" s="2">
        <v>0</v>
      </c>
      <c r="J146" s="2"/>
      <c r="K146" s="2">
        <v>41931</v>
      </c>
      <c r="L146" s="2">
        <v>39444</v>
      </c>
      <c r="M146" s="2">
        <v>35353</v>
      </c>
      <c r="N146" s="2">
        <v>14155</v>
      </c>
      <c r="O146" s="2">
        <v>0</v>
      </c>
      <c r="P146" s="2"/>
      <c r="Q146" s="2">
        <v>44516</v>
      </c>
      <c r="R146" s="2">
        <v>-38292</v>
      </c>
      <c r="S146" s="2">
        <v>5397</v>
      </c>
      <c r="T146" s="2">
        <v>7024</v>
      </c>
      <c r="U146" s="2">
        <v>0</v>
      </c>
      <c r="V146" s="2"/>
      <c r="W146" s="2">
        <v>50147</v>
      </c>
      <c r="X146" s="2">
        <v>41083</v>
      </c>
      <c r="Y146" s="2">
        <v>33352</v>
      </c>
      <c r="Z146" s="2">
        <v>0</v>
      </c>
      <c r="AA146" s="2">
        <v>0</v>
      </c>
      <c r="AB146" s="2"/>
      <c r="AC146" s="2">
        <v>17524</v>
      </c>
      <c r="AD146" s="2">
        <v>13253</v>
      </c>
      <c r="AE146" s="2">
        <v>10811</v>
      </c>
      <c r="AF146" s="2">
        <v>3911</v>
      </c>
      <c r="AG146" s="2">
        <v>0</v>
      </c>
      <c r="AH146" s="2"/>
      <c r="AI146" s="2">
        <v>0</v>
      </c>
      <c r="AJ146" s="2">
        <v>0</v>
      </c>
      <c r="AK146" s="2">
        <v>0</v>
      </c>
      <c r="AL146" s="2">
        <v>0</v>
      </c>
      <c r="AM146" s="2">
        <v>0</v>
      </c>
    </row>
    <row r="147" spans="1:39">
      <c r="A147" s="349">
        <v>91128</v>
      </c>
      <c r="B147" s="342" t="s">
        <v>835</v>
      </c>
      <c r="C147" s="234" t="e">
        <f>VLOOKUP(A147,#REF!,10,FALSE)</f>
        <v>#REF!</v>
      </c>
      <c r="E147" s="2">
        <v>221771</v>
      </c>
      <c r="F147" s="2">
        <v>63859</v>
      </c>
      <c r="G147" s="2">
        <v>115043</v>
      </c>
      <c r="H147" s="2">
        <v>29532</v>
      </c>
      <c r="I147" s="2">
        <v>0</v>
      </c>
      <c r="J147" s="2"/>
      <c r="K147" s="2">
        <v>69975</v>
      </c>
      <c r="L147" s="2">
        <v>65824</v>
      </c>
      <c r="M147" s="2">
        <v>58997</v>
      </c>
      <c r="N147" s="2">
        <v>23622</v>
      </c>
      <c r="O147" s="2">
        <v>0</v>
      </c>
      <c r="P147" s="2"/>
      <c r="Q147" s="2">
        <v>74288</v>
      </c>
      <c r="R147" s="2">
        <v>-63902</v>
      </c>
      <c r="S147" s="2">
        <v>9006</v>
      </c>
      <c r="T147" s="2">
        <v>11721</v>
      </c>
      <c r="U147" s="2">
        <v>0</v>
      </c>
      <c r="V147" s="2"/>
      <c r="W147" s="2">
        <v>83687</v>
      </c>
      <c r="X147" s="2">
        <v>68559</v>
      </c>
      <c r="Y147" s="2">
        <v>55658</v>
      </c>
      <c r="Z147" s="2">
        <v>0</v>
      </c>
      <c r="AA147" s="2">
        <v>0</v>
      </c>
      <c r="AB147" s="2"/>
      <c r="AC147" s="2">
        <v>2440</v>
      </c>
      <c r="AD147" s="2">
        <v>1997</v>
      </c>
      <c r="AE147" s="2">
        <v>0</v>
      </c>
      <c r="AF147" s="2">
        <v>0</v>
      </c>
      <c r="AG147" s="2">
        <v>0</v>
      </c>
      <c r="AH147" s="2"/>
      <c r="AI147" s="2">
        <v>-8619</v>
      </c>
      <c r="AJ147" s="2">
        <v>-8619</v>
      </c>
      <c r="AK147" s="2">
        <v>-8618</v>
      </c>
      <c r="AL147" s="2">
        <v>-5811</v>
      </c>
      <c r="AM147" s="2">
        <v>-8619</v>
      </c>
    </row>
    <row r="148" spans="1:39">
      <c r="A148" s="349">
        <v>91138</v>
      </c>
      <c r="B148" s="342" t="s">
        <v>3646</v>
      </c>
      <c r="C148" s="234" t="e">
        <f>VLOOKUP(A148,#REF!,10,FALSE)</f>
        <v>#REF!</v>
      </c>
      <c r="E148" s="2">
        <v>163599</v>
      </c>
      <c r="F148" s="2">
        <v>18128</v>
      </c>
      <c r="G148" s="2">
        <v>85693</v>
      </c>
      <c r="H148" s="2">
        <v>28226</v>
      </c>
      <c r="I148" s="2">
        <v>0</v>
      </c>
      <c r="J148" s="2"/>
      <c r="K148" s="2">
        <v>71922</v>
      </c>
      <c r="L148" s="2">
        <v>67656</v>
      </c>
      <c r="M148" s="2">
        <v>60639</v>
      </c>
      <c r="N148" s="2">
        <v>24279</v>
      </c>
      <c r="O148" s="2">
        <v>0</v>
      </c>
      <c r="P148" s="2"/>
      <c r="Q148" s="2">
        <v>76356</v>
      </c>
      <c r="R148" s="2">
        <v>-65680</v>
      </c>
      <c r="S148" s="2">
        <v>9257</v>
      </c>
      <c r="T148" s="2">
        <v>12048</v>
      </c>
      <c r="U148" s="2">
        <v>0</v>
      </c>
      <c r="V148" s="2"/>
      <c r="W148" s="2">
        <v>86016</v>
      </c>
      <c r="X148" s="2">
        <v>70467</v>
      </c>
      <c r="Y148" s="2">
        <v>57207</v>
      </c>
      <c r="Z148" s="2">
        <v>0</v>
      </c>
      <c r="AA148" s="2">
        <v>0</v>
      </c>
      <c r="AB148" s="2"/>
      <c r="AC148" s="2">
        <v>0</v>
      </c>
      <c r="AD148" s="2">
        <v>0</v>
      </c>
      <c r="AE148" s="2">
        <v>0</v>
      </c>
      <c r="AF148" s="2">
        <v>0</v>
      </c>
      <c r="AG148" s="2">
        <v>0</v>
      </c>
      <c r="AH148" s="2"/>
      <c r="AI148" s="2">
        <v>-70695</v>
      </c>
      <c r="AJ148" s="2">
        <v>-54315</v>
      </c>
      <c r="AK148" s="2">
        <v>-41410</v>
      </c>
      <c r="AL148" s="2">
        <v>-8101</v>
      </c>
      <c r="AM148" s="2">
        <v>-54315</v>
      </c>
    </row>
    <row r="149" spans="1:39">
      <c r="A149" s="349">
        <v>91141</v>
      </c>
      <c r="B149" s="342" t="s">
        <v>837</v>
      </c>
      <c r="C149" s="234" t="e">
        <f>VLOOKUP(A149,#REF!,10,FALSE)</f>
        <v>#REF!</v>
      </c>
      <c r="E149" s="2">
        <v>298986</v>
      </c>
      <c r="F149" s="2">
        <v>95444</v>
      </c>
      <c r="G149" s="2">
        <v>170296</v>
      </c>
      <c r="H149" s="2">
        <v>55865</v>
      </c>
      <c r="I149" s="2">
        <v>0</v>
      </c>
      <c r="J149" s="2"/>
      <c r="K149" s="2">
        <v>95292</v>
      </c>
      <c r="L149" s="2">
        <v>89639</v>
      </c>
      <c r="M149" s="2">
        <v>80343</v>
      </c>
      <c r="N149" s="2">
        <v>32168</v>
      </c>
      <c r="O149" s="2">
        <v>0</v>
      </c>
      <c r="P149" s="2"/>
      <c r="Q149" s="2">
        <v>101166</v>
      </c>
      <c r="R149" s="2">
        <v>-87022</v>
      </c>
      <c r="S149" s="2">
        <v>12265</v>
      </c>
      <c r="T149" s="2">
        <v>15962</v>
      </c>
      <c r="U149" s="2">
        <v>0</v>
      </c>
      <c r="V149" s="2"/>
      <c r="W149" s="2">
        <v>113965</v>
      </c>
      <c r="X149" s="2">
        <v>93364</v>
      </c>
      <c r="Y149" s="2">
        <v>75796</v>
      </c>
      <c r="Z149" s="2">
        <v>0</v>
      </c>
      <c r="AA149" s="2">
        <v>0</v>
      </c>
      <c r="AB149" s="2"/>
      <c r="AC149" s="2">
        <v>7734</v>
      </c>
      <c r="AD149" s="2">
        <v>7734</v>
      </c>
      <c r="AE149" s="2">
        <v>7734</v>
      </c>
      <c r="AF149" s="2">
        <v>7735</v>
      </c>
      <c r="AG149" s="2">
        <v>0</v>
      </c>
      <c r="AH149" s="2"/>
      <c r="AI149" s="2">
        <v>-19171</v>
      </c>
      <c r="AJ149" s="2">
        <v>-8271</v>
      </c>
      <c r="AK149" s="2">
        <v>-5842</v>
      </c>
      <c r="AL149" s="2">
        <v>0</v>
      </c>
      <c r="AM149" s="2">
        <v>-8271</v>
      </c>
    </row>
    <row r="150" spans="1:39">
      <c r="A150" s="349">
        <v>91147</v>
      </c>
      <c r="B150" s="342" t="s">
        <v>838</v>
      </c>
      <c r="C150" s="234" t="e">
        <f>VLOOKUP(A150,#REF!,10,FALSE)</f>
        <v>#REF!</v>
      </c>
      <c r="E150" s="2">
        <v>13500</v>
      </c>
      <c r="F150" s="2">
        <v>4525</v>
      </c>
      <c r="G150" s="2">
        <v>7026</v>
      </c>
      <c r="H150" s="2">
        <v>1786</v>
      </c>
      <c r="I150" s="2">
        <v>0</v>
      </c>
      <c r="J150" s="2"/>
      <c r="K150" s="2">
        <v>3805</v>
      </c>
      <c r="L150" s="2">
        <v>3579</v>
      </c>
      <c r="M150" s="2">
        <v>3208</v>
      </c>
      <c r="N150" s="2">
        <v>1285</v>
      </c>
      <c r="O150" s="2">
        <v>0</v>
      </c>
      <c r="P150" s="2"/>
      <c r="Q150" s="2">
        <v>4040</v>
      </c>
      <c r="R150" s="2">
        <v>-3475</v>
      </c>
      <c r="S150" s="2">
        <v>490</v>
      </c>
      <c r="T150" s="2">
        <v>637</v>
      </c>
      <c r="U150" s="2">
        <v>0</v>
      </c>
      <c r="V150" s="2"/>
      <c r="W150" s="2">
        <v>4551</v>
      </c>
      <c r="X150" s="2">
        <v>3728</v>
      </c>
      <c r="Y150" s="2">
        <v>3027</v>
      </c>
      <c r="Z150" s="2">
        <v>0</v>
      </c>
      <c r="AA150" s="2">
        <v>0</v>
      </c>
      <c r="AB150" s="2"/>
      <c r="AC150" s="2">
        <v>1239</v>
      </c>
      <c r="AD150" s="2">
        <v>828</v>
      </c>
      <c r="AE150" s="2">
        <v>436</v>
      </c>
      <c r="AF150" s="2">
        <v>0</v>
      </c>
      <c r="AG150" s="2">
        <v>0</v>
      </c>
      <c r="AH150" s="2"/>
      <c r="AI150" s="2">
        <v>-135</v>
      </c>
      <c r="AJ150" s="2">
        <v>-135</v>
      </c>
      <c r="AK150" s="2">
        <v>-135</v>
      </c>
      <c r="AL150" s="2">
        <v>-136</v>
      </c>
      <c r="AM150" s="2">
        <v>-135</v>
      </c>
    </row>
    <row r="151" spans="1:39">
      <c r="A151" s="349">
        <v>91151</v>
      </c>
      <c r="B151" s="342" t="s">
        <v>839</v>
      </c>
      <c r="C151" s="234" t="e">
        <f>VLOOKUP(A151,#REF!,10,FALSE)</f>
        <v>#REF!</v>
      </c>
      <c r="E151" s="2">
        <v>249042</v>
      </c>
      <c r="F151" s="2">
        <v>61061</v>
      </c>
      <c r="G151" s="2">
        <v>131153</v>
      </c>
      <c r="H151" s="2">
        <v>30229</v>
      </c>
      <c r="I151" s="2">
        <v>0</v>
      </c>
      <c r="J151" s="2"/>
      <c r="K151" s="2">
        <v>87577</v>
      </c>
      <c r="L151" s="2">
        <v>82382</v>
      </c>
      <c r="M151" s="2">
        <v>73838</v>
      </c>
      <c r="N151" s="2">
        <v>29564</v>
      </c>
      <c r="O151" s="2">
        <v>0</v>
      </c>
      <c r="P151" s="2"/>
      <c r="Q151" s="2">
        <v>92975</v>
      </c>
      <c r="R151" s="2">
        <v>-79976</v>
      </c>
      <c r="S151" s="2">
        <v>11272</v>
      </c>
      <c r="T151" s="2">
        <v>14670</v>
      </c>
      <c r="U151" s="2">
        <v>0</v>
      </c>
      <c r="V151" s="2"/>
      <c r="W151" s="2">
        <v>104738</v>
      </c>
      <c r="X151" s="2">
        <v>85805</v>
      </c>
      <c r="Y151" s="2">
        <v>69659</v>
      </c>
      <c r="Z151" s="2">
        <v>0</v>
      </c>
      <c r="AA151" s="2">
        <v>0</v>
      </c>
      <c r="AB151" s="2"/>
      <c r="AC151" s="2">
        <v>0</v>
      </c>
      <c r="AD151" s="2">
        <v>0</v>
      </c>
      <c r="AE151" s="2">
        <v>0</v>
      </c>
      <c r="AF151" s="2">
        <v>0</v>
      </c>
      <c r="AG151" s="2">
        <v>0</v>
      </c>
      <c r="AH151" s="2"/>
      <c r="AI151" s="2">
        <v>-36248</v>
      </c>
      <c r="AJ151" s="2">
        <v>-27150</v>
      </c>
      <c r="AK151" s="2">
        <v>-23616</v>
      </c>
      <c r="AL151" s="2">
        <v>-14005</v>
      </c>
      <c r="AM151" s="2">
        <v>-27150</v>
      </c>
    </row>
    <row r="152" spans="1:39">
      <c r="A152" s="349">
        <v>91154</v>
      </c>
      <c r="B152" s="342" t="s">
        <v>3647</v>
      </c>
      <c r="C152" s="234" t="e">
        <f>VLOOKUP(A152,#REF!,10,FALSE)</f>
        <v>#REF!</v>
      </c>
      <c r="E152" s="2">
        <v>10106</v>
      </c>
      <c r="F152" s="2">
        <v>2579</v>
      </c>
      <c r="G152" s="2">
        <v>4085</v>
      </c>
      <c r="H152" s="2">
        <v>657</v>
      </c>
      <c r="I152" s="2">
        <v>0</v>
      </c>
      <c r="J152" s="2"/>
      <c r="K152" s="2">
        <v>3146</v>
      </c>
      <c r="L152" s="2">
        <v>2959</v>
      </c>
      <c r="M152" s="2">
        <v>2652</v>
      </c>
      <c r="N152" s="2">
        <v>1062</v>
      </c>
      <c r="O152" s="2">
        <v>0</v>
      </c>
      <c r="P152" s="2"/>
      <c r="Q152" s="2">
        <v>3340</v>
      </c>
      <c r="R152" s="2">
        <v>-2873</v>
      </c>
      <c r="S152" s="2">
        <v>405</v>
      </c>
      <c r="T152" s="2">
        <v>527</v>
      </c>
      <c r="U152" s="2">
        <v>0</v>
      </c>
      <c r="V152" s="2"/>
      <c r="W152" s="2">
        <v>3762</v>
      </c>
      <c r="X152" s="2">
        <v>3082</v>
      </c>
      <c r="Y152" s="2">
        <v>2502</v>
      </c>
      <c r="Z152" s="2">
        <v>0</v>
      </c>
      <c r="AA152" s="2">
        <v>0</v>
      </c>
      <c r="AB152" s="2"/>
      <c r="AC152" s="2">
        <v>1334</v>
      </c>
      <c r="AD152" s="2">
        <v>887</v>
      </c>
      <c r="AE152" s="2">
        <v>0</v>
      </c>
      <c r="AF152" s="2">
        <v>0</v>
      </c>
      <c r="AG152" s="2">
        <v>0</v>
      </c>
      <c r="AH152" s="2"/>
      <c r="AI152" s="2">
        <v>-1476</v>
      </c>
      <c r="AJ152" s="2">
        <v>-1476</v>
      </c>
      <c r="AK152" s="2">
        <v>-1474</v>
      </c>
      <c r="AL152" s="2">
        <v>-932</v>
      </c>
      <c r="AM152" s="2">
        <v>-1476</v>
      </c>
    </row>
    <row r="153" spans="1:39">
      <c r="A153" s="349">
        <v>91161</v>
      </c>
      <c r="B153" s="342" t="s">
        <v>841</v>
      </c>
      <c r="C153" s="234" t="e">
        <f>VLOOKUP(A153,#REF!,10,FALSE)</f>
        <v>#REF!</v>
      </c>
      <c r="E153" s="2">
        <v>51472</v>
      </c>
      <c r="F153" s="2">
        <v>16580</v>
      </c>
      <c r="G153" s="2">
        <v>28490</v>
      </c>
      <c r="H153" s="2">
        <v>10805</v>
      </c>
      <c r="I153" s="2">
        <v>0</v>
      </c>
      <c r="J153" s="2"/>
      <c r="K153" s="2">
        <v>15745</v>
      </c>
      <c r="L153" s="2">
        <v>14811</v>
      </c>
      <c r="M153" s="2">
        <v>13275</v>
      </c>
      <c r="N153" s="2">
        <v>5315</v>
      </c>
      <c r="O153" s="2">
        <v>0</v>
      </c>
      <c r="P153" s="2"/>
      <c r="Q153" s="2">
        <v>16715</v>
      </c>
      <c r="R153" s="2">
        <v>-14378</v>
      </c>
      <c r="S153" s="2">
        <v>2026</v>
      </c>
      <c r="T153" s="2">
        <v>2637</v>
      </c>
      <c r="U153" s="2">
        <v>0</v>
      </c>
      <c r="V153" s="2"/>
      <c r="W153" s="2">
        <v>18830</v>
      </c>
      <c r="X153" s="2">
        <v>15426</v>
      </c>
      <c r="Y153" s="2">
        <v>12523</v>
      </c>
      <c r="Z153" s="2">
        <v>0</v>
      </c>
      <c r="AA153" s="2">
        <v>0</v>
      </c>
      <c r="AB153" s="2"/>
      <c r="AC153" s="2">
        <v>2905</v>
      </c>
      <c r="AD153" s="2">
        <v>2905</v>
      </c>
      <c r="AE153" s="2">
        <v>2851</v>
      </c>
      <c r="AF153" s="2">
        <v>2853</v>
      </c>
      <c r="AG153" s="2">
        <v>0</v>
      </c>
      <c r="AH153" s="2"/>
      <c r="AI153" s="2">
        <v>-2723</v>
      </c>
      <c r="AJ153" s="2">
        <v>-2184</v>
      </c>
      <c r="AK153" s="2">
        <v>-2185</v>
      </c>
      <c r="AL153" s="2">
        <v>0</v>
      </c>
      <c r="AM153" s="2">
        <v>-2184</v>
      </c>
    </row>
    <row r="154" spans="1:39">
      <c r="A154" s="349">
        <v>91171</v>
      </c>
      <c r="B154" s="342" t="s">
        <v>842</v>
      </c>
      <c r="C154" s="234" t="e">
        <f>VLOOKUP(A154,#REF!,10,FALSE)</f>
        <v>#REF!</v>
      </c>
      <c r="E154" s="2">
        <v>127521</v>
      </c>
      <c r="F154" s="2">
        <v>39363</v>
      </c>
      <c r="G154" s="2">
        <v>79281</v>
      </c>
      <c r="H154" s="2">
        <v>22491</v>
      </c>
      <c r="I154" s="2">
        <v>0</v>
      </c>
      <c r="J154" s="2"/>
      <c r="K154" s="2">
        <v>40178</v>
      </c>
      <c r="L154" s="2">
        <v>37795</v>
      </c>
      <c r="M154" s="2">
        <v>33875</v>
      </c>
      <c r="N154" s="2">
        <v>13563</v>
      </c>
      <c r="O154" s="2">
        <v>0</v>
      </c>
      <c r="P154" s="2"/>
      <c r="Q154" s="2">
        <v>42655</v>
      </c>
      <c r="R154" s="2">
        <v>-36691</v>
      </c>
      <c r="S154" s="2">
        <v>5171</v>
      </c>
      <c r="T154" s="2">
        <v>6730</v>
      </c>
      <c r="U154" s="2">
        <v>0</v>
      </c>
      <c r="V154" s="2"/>
      <c r="W154" s="2">
        <v>48051</v>
      </c>
      <c r="X154" s="2">
        <v>39365</v>
      </c>
      <c r="Y154" s="2">
        <v>31958</v>
      </c>
      <c r="Z154" s="2">
        <v>0</v>
      </c>
      <c r="AA154" s="2">
        <v>0</v>
      </c>
      <c r="AB154" s="2"/>
      <c r="AC154" s="2">
        <v>8275</v>
      </c>
      <c r="AD154" s="2">
        <v>8275</v>
      </c>
      <c r="AE154" s="2">
        <v>8277</v>
      </c>
      <c r="AF154" s="2">
        <v>2198</v>
      </c>
      <c r="AG154" s="2">
        <v>0</v>
      </c>
      <c r="AH154" s="2"/>
      <c r="AI154" s="2">
        <v>-11638</v>
      </c>
      <c r="AJ154" s="2">
        <v>-9381</v>
      </c>
      <c r="AK154" s="2">
        <v>0</v>
      </c>
      <c r="AL154" s="2">
        <v>0</v>
      </c>
      <c r="AM154" s="2">
        <v>-9381</v>
      </c>
    </row>
    <row r="155" spans="1:39">
      <c r="A155" s="349">
        <v>91201</v>
      </c>
      <c r="B155" s="342" t="s">
        <v>843</v>
      </c>
      <c r="C155" s="234" t="e">
        <f>VLOOKUP(A155,#REF!,10,FALSE)</f>
        <v>#REF!</v>
      </c>
      <c r="E155" s="2">
        <v>1070100</v>
      </c>
      <c r="F155" s="2">
        <v>302879</v>
      </c>
      <c r="G155" s="2">
        <v>583765</v>
      </c>
      <c r="H155" s="2">
        <v>165957</v>
      </c>
      <c r="I155" s="2">
        <v>0</v>
      </c>
      <c r="J155" s="2"/>
      <c r="K155" s="2">
        <v>343028</v>
      </c>
      <c r="L155" s="2">
        <v>322679</v>
      </c>
      <c r="M155" s="2">
        <v>289213</v>
      </c>
      <c r="N155" s="2">
        <v>115797</v>
      </c>
      <c r="O155" s="2">
        <v>0</v>
      </c>
      <c r="P155" s="2"/>
      <c r="Q155" s="2">
        <v>364172</v>
      </c>
      <c r="R155" s="2">
        <v>-313256</v>
      </c>
      <c r="S155" s="2">
        <v>44150</v>
      </c>
      <c r="T155" s="2">
        <v>57460</v>
      </c>
      <c r="U155" s="2">
        <v>0</v>
      </c>
      <c r="V155" s="2"/>
      <c r="W155" s="2">
        <v>410245</v>
      </c>
      <c r="X155" s="2">
        <v>336088</v>
      </c>
      <c r="Y155" s="2">
        <v>272846</v>
      </c>
      <c r="Z155" s="2">
        <v>0</v>
      </c>
      <c r="AA155" s="2">
        <v>0</v>
      </c>
      <c r="AB155" s="2"/>
      <c r="AC155" s="2">
        <v>0</v>
      </c>
      <c r="AD155" s="2">
        <v>0</v>
      </c>
      <c r="AE155" s="2">
        <v>0</v>
      </c>
      <c r="AF155" s="2">
        <v>0</v>
      </c>
      <c r="AG155" s="2">
        <v>0</v>
      </c>
      <c r="AH155" s="2"/>
      <c r="AI155" s="2">
        <v>-47345</v>
      </c>
      <c r="AJ155" s="2">
        <v>-42632</v>
      </c>
      <c r="AK155" s="2">
        <v>-22444</v>
      </c>
      <c r="AL155" s="2">
        <v>-7300</v>
      </c>
      <c r="AM155" s="2">
        <v>-42632</v>
      </c>
    </row>
    <row r="156" spans="1:39">
      <c r="A156" s="349">
        <v>91202</v>
      </c>
      <c r="B156" s="342" t="s">
        <v>3648</v>
      </c>
      <c r="C156" s="234" t="e">
        <f>VLOOKUP(A156,#REF!,10,FALSE)</f>
        <v>#REF!</v>
      </c>
      <c r="E156" s="2">
        <v>87426</v>
      </c>
      <c r="F156" s="2">
        <v>25378</v>
      </c>
      <c r="G156" s="2">
        <v>43175</v>
      </c>
      <c r="H156" s="2">
        <v>9066</v>
      </c>
      <c r="I156" s="2">
        <v>0</v>
      </c>
      <c r="J156" s="2"/>
      <c r="K156" s="2">
        <v>26246</v>
      </c>
      <c r="L156" s="2">
        <v>24689</v>
      </c>
      <c r="M156" s="2">
        <v>22129</v>
      </c>
      <c r="N156" s="2">
        <v>8860</v>
      </c>
      <c r="O156" s="2">
        <v>0</v>
      </c>
      <c r="P156" s="2"/>
      <c r="Q156" s="2">
        <v>27864</v>
      </c>
      <c r="R156" s="2">
        <v>-23968</v>
      </c>
      <c r="S156" s="2">
        <v>3378</v>
      </c>
      <c r="T156" s="2">
        <v>4396</v>
      </c>
      <c r="U156" s="2">
        <v>0</v>
      </c>
      <c r="V156" s="2"/>
      <c r="W156" s="2">
        <v>31389</v>
      </c>
      <c r="X156" s="2">
        <v>25715</v>
      </c>
      <c r="Y156" s="2">
        <v>20876</v>
      </c>
      <c r="Z156" s="2">
        <v>0</v>
      </c>
      <c r="AA156" s="2">
        <v>0</v>
      </c>
      <c r="AB156" s="2"/>
      <c r="AC156" s="2">
        <v>6115</v>
      </c>
      <c r="AD156" s="2">
        <v>3130</v>
      </c>
      <c r="AE156" s="2">
        <v>980</v>
      </c>
      <c r="AF156" s="2">
        <v>0</v>
      </c>
      <c r="AG156" s="2">
        <v>0</v>
      </c>
      <c r="AH156" s="2"/>
      <c r="AI156" s="2">
        <v>-4188</v>
      </c>
      <c r="AJ156" s="2">
        <v>-4188</v>
      </c>
      <c r="AK156" s="2">
        <v>-4188</v>
      </c>
      <c r="AL156" s="2">
        <v>-4190</v>
      </c>
      <c r="AM156" s="2">
        <v>-4188</v>
      </c>
    </row>
    <row r="157" spans="1:39">
      <c r="A157" s="349">
        <v>91203</v>
      </c>
      <c r="B157" s="342" t="s">
        <v>3649</v>
      </c>
      <c r="C157" s="234" t="e">
        <f>VLOOKUP(A157,#REF!,10,FALSE)</f>
        <v>#REF!</v>
      </c>
      <c r="E157" s="2">
        <v>125551</v>
      </c>
      <c r="F157" s="2">
        <v>45550</v>
      </c>
      <c r="G157" s="2">
        <v>70312</v>
      </c>
      <c r="H157" s="2">
        <v>20646</v>
      </c>
      <c r="I157" s="2">
        <v>0</v>
      </c>
      <c r="J157" s="2"/>
      <c r="K157" s="2">
        <v>33961</v>
      </c>
      <c r="L157" s="2">
        <v>31947</v>
      </c>
      <c r="M157" s="2">
        <v>28633</v>
      </c>
      <c r="N157" s="2">
        <v>11464</v>
      </c>
      <c r="O157" s="2">
        <v>0</v>
      </c>
      <c r="P157" s="2"/>
      <c r="Q157" s="2">
        <v>36055</v>
      </c>
      <c r="R157" s="2">
        <v>-31014</v>
      </c>
      <c r="S157" s="2">
        <v>4371</v>
      </c>
      <c r="T157" s="2">
        <v>5689</v>
      </c>
      <c r="U157" s="2">
        <v>0</v>
      </c>
      <c r="V157" s="2"/>
      <c r="W157" s="2">
        <v>40616</v>
      </c>
      <c r="X157" s="2">
        <v>33274</v>
      </c>
      <c r="Y157" s="2">
        <v>27013</v>
      </c>
      <c r="Z157" s="2">
        <v>0</v>
      </c>
      <c r="AA157" s="2">
        <v>0</v>
      </c>
      <c r="AB157" s="2"/>
      <c r="AC157" s="2">
        <v>14919</v>
      </c>
      <c r="AD157" s="2">
        <v>11343</v>
      </c>
      <c r="AE157" s="2">
        <v>10295</v>
      </c>
      <c r="AF157" s="2">
        <v>3493</v>
      </c>
      <c r="AG157" s="2">
        <v>0</v>
      </c>
      <c r="AH157" s="2"/>
      <c r="AI157" s="2">
        <v>0</v>
      </c>
      <c r="AJ157" s="2">
        <v>0</v>
      </c>
      <c r="AK157" s="2">
        <v>0</v>
      </c>
      <c r="AL157" s="2">
        <v>0</v>
      </c>
      <c r="AM157" s="2">
        <v>0</v>
      </c>
    </row>
    <row r="158" spans="1:39">
      <c r="A158" s="349">
        <v>91206</v>
      </c>
      <c r="B158" s="342" t="s">
        <v>3650</v>
      </c>
      <c r="C158" s="234" t="e">
        <f>VLOOKUP(A158,#REF!,10,FALSE)</f>
        <v>#REF!</v>
      </c>
      <c r="E158" s="2">
        <v>483466</v>
      </c>
      <c r="F158" s="2">
        <v>162702</v>
      </c>
      <c r="G158" s="2">
        <v>265638</v>
      </c>
      <c r="H158" s="2">
        <v>78416</v>
      </c>
      <c r="I158" s="2">
        <v>0</v>
      </c>
      <c r="J158" s="2"/>
      <c r="K158" s="2">
        <v>142691</v>
      </c>
      <c r="L158" s="2">
        <v>134226</v>
      </c>
      <c r="M158" s="2">
        <v>120306</v>
      </c>
      <c r="N158" s="2">
        <v>48169</v>
      </c>
      <c r="O158" s="2">
        <v>0</v>
      </c>
      <c r="P158" s="2"/>
      <c r="Q158" s="2">
        <v>151487</v>
      </c>
      <c r="R158" s="2">
        <v>-130307</v>
      </c>
      <c r="S158" s="2">
        <v>18365</v>
      </c>
      <c r="T158" s="2">
        <v>23902</v>
      </c>
      <c r="U158" s="2">
        <v>0</v>
      </c>
      <c r="V158" s="2"/>
      <c r="W158" s="2">
        <v>170652</v>
      </c>
      <c r="X158" s="2">
        <v>139804</v>
      </c>
      <c r="Y158" s="2">
        <v>113497</v>
      </c>
      <c r="Z158" s="2">
        <v>0</v>
      </c>
      <c r="AA158" s="2">
        <v>0</v>
      </c>
      <c r="AB158" s="2"/>
      <c r="AC158" s="2">
        <v>18977</v>
      </c>
      <c r="AD158" s="2">
        <v>18979</v>
      </c>
      <c r="AE158" s="2">
        <v>13470</v>
      </c>
      <c r="AF158" s="2">
        <v>6345</v>
      </c>
      <c r="AG158" s="2">
        <v>0</v>
      </c>
      <c r="AH158" s="2"/>
      <c r="AI158" s="2">
        <v>-341</v>
      </c>
      <c r="AJ158" s="2">
        <v>0</v>
      </c>
      <c r="AK158" s="2">
        <v>0</v>
      </c>
      <c r="AL158" s="2">
        <v>0</v>
      </c>
      <c r="AM158" s="2">
        <v>0</v>
      </c>
    </row>
    <row r="159" spans="1:39">
      <c r="A159" s="349">
        <v>91208</v>
      </c>
      <c r="B159" s="342" t="s">
        <v>3651</v>
      </c>
      <c r="C159" s="234" t="e">
        <f>VLOOKUP(A159,#REF!,10,FALSE)</f>
        <v>#REF!</v>
      </c>
      <c r="E159" s="2">
        <v>10516</v>
      </c>
      <c r="F159" s="2">
        <v>4033</v>
      </c>
      <c r="G159" s="2">
        <v>6140</v>
      </c>
      <c r="H159" s="2">
        <v>2679</v>
      </c>
      <c r="I159" s="2">
        <v>0</v>
      </c>
      <c r="J159" s="2"/>
      <c r="K159" s="2">
        <v>2846</v>
      </c>
      <c r="L159" s="2">
        <v>2677</v>
      </c>
      <c r="M159" s="2">
        <v>2400</v>
      </c>
      <c r="N159" s="2">
        <v>961</v>
      </c>
      <c r="O159" s="2">
        <v>0</v>
      </c>
      <c r="P159" s="2"/>
      <c r="Q159" s="2">
        <v>3022</v>
      </c>
      <c r="R159" s="2">
        <v>-2599</v>
      </c>
      <c r="S159" s="2">
        <v>366</v>
      </c>
      <c r="T159" s="2">
        <v>477</v>
      </c>
      <c r="U159" s="2">
        <v>0</v>
      </c>
      <c r="V159" s="2"/>
      <c r="W159" s="2">
        <v>3404</v>
      </c>
      <c r="X159" s="2">
        <v>2789</v>
      </c>
      <c r="Y159" s="2">
        <v>2264</v>
      </c>
      <c r="Z159" s="2">
        <v>0</v>
      </c>
      <c r="AA159" s="2">
        <v>0</v>
      </c>
      <c r="AB159" s="2"/>
      <c r="AC159" s="2">
        <v>1375</v>
      </c>
      <c r="AD159" s="2">
        <v>1297</v>
      </c>
      <c r="AE159" s="2">
        <v>1239</v>
      </c>
      <c r="AF159" s="2">
        <v>1241</v>
      </c>
      <c r="AG159" s="2">
        <v>0</v>
      </c>
      <c r="AH159" s="2"/>
      <c r="AI159" s="2">
        <v>-131</v>
      </c>
      <c r="AJ159" s="2">
        <v>-131</v>
      </c>
      <c r="AK159" s="2">
        <v>-129</v>
      </c>
      <c r="AL159" s="2">
        <v>0</v>
      </c>
      <c r="AM159" s="2">
        <v>-131</v>
      </c>
    </row>
    <row r="160" spans="1:39">
      <c r="A160" s="349">
        <v>91211</v>
      </c>
      <c r="B160" s="342" t="s">
        <v>848</v>
      </c>
      <c r="C160" s="234" t="e">
        <f>VLOOKUP(A160,#REF!,10,FALSE)</f>
        <v>#REF!</v>
      </c>
      <c r="E160" s="2">
        <v>211709</v>
      </c>
      <c r="F160" s="2">
        <v>59880</v>
      </c>
      <c r="G160" s="2">
        <v>110178</v>
      </c>
      <c r="H160" s="2">
        <v>29065</v>
      </c>
      <c r="I160" s="2">
        <v>0</v>
      </c>
      <c r="J160" s="2"/>
      <c r="K160" s="2">
        <v>67218</v>
      </c>
      <c r="L160" s="2">
        <v>63231</v>
      </c>
      <c r="M160" s="2">
        <v>56673</v>
      </c>
      <c r="N160" s="2">
        <v>22691</v>
      </c>
      <c r="O160" s="2">
        <v>0</v>
      </c>
      <c r="P160" s="2"/>
      <c r="Q160" s="2">
        <v>71362</v>
      </c>
      <c r="R160" s="2">
        <v>-61384</v>
      </c>
      <c r="S160" s="2">
        <v>8651</v>
      </c>
      <c r="T160" s="2">
        <v>11260</v>
      </c>
      <c r="U160" s="2">
        <v>0</v>
      </c>
      <c r="V160" s="2"/>
      <c r="W160" s="2">
        <v>80390</v>
      </c>
      <c r="X160" s="2">
        <v>65858</v>
      </c>
      <c r="Y160" s="2">
        <v>53466</v>
      </c>
      <c r="Z160" s="2">
        <v>0</v>
      </c>
      <c r="AA160" s="2">
        <v>0</v>
      </c>
      <c r="AB160" s="2"/>
      <c r="AC160" s="2">
        <v>1352</v>
      </c>
      <c r="AD160" s="2">
        <v>788</v>
      </c>
      <c r="AE160" s="2">
        <v>0</v>
      </c>
      <c r="AF160" s="2">
        <v>0</v>
      </c>
      <c r="AG160" s="2">
        <v>0</v>
      </c>
      <c r="AH160" s="2"/>
      <c r="AI160" s="2">
        <v>-8613</v>
      </c>
      <c r="AJ160" s="2">
        <v>-8613</v>
      </c>
      <c r="AK160" s="2">
        <v>-8612</v>
      </c>
      <c r="AL160" s="2">
        <v>-4886</v>
      </c>
      <c r="AM160" s="2">
        <v>-8613</v>
      </c>
    </row>
    <row r="161" spans="1:39">
      <c r="A161" s="349">
        <v>91213</v>
      </c>
      <c r="B161" s="342" t="s">
        <v>849</v>
      </c>
      <c r="C161" s="234" t="e">
        <f>VLOOKUP(A161,#REF!,10,FALSE)</f>
        <v>#REF!</v>
      </c>
      <c r="E161" s="2">
        <v>11752</v>
      </c>
      <c r="F161" s="2">
        <v>2479</v>
      </c>
      <c r="G161" s="2">
        <v>6909</v>
      </c>
      <c r="H161" s="2">
        <v>2857</v>
      </c>
      <c r="I161" s="2">
        <v>0</v>
      </c>
      <c r="J161" s="2"/>
      <c r="K161" s="2">
        <v>4374</v>
      </c>
      <c r="L161" s="2">
        <v>4115</v>
      </c>
      <c r="M161" s="2">
        <v>3688</v>
      </c>
      <c r="N161" s="2">
        <v>1477</v>
      </c>
      <c r="O161" s="2">
        <v>0</v>
      </c>
      <c r="P161" s="2"/>
      <c r="Q161" s="2">
        <v>4644</v>
      </c>
      <c r="R161" s="2">
        <v>-3995</v>
      </c>
      <c r="S161" s="2">
        <v>563</v>
      </c>
      <c r="T161" s="2">
        <v>733</v>
      </c>
      <c r="U161" s="2">
        <v>0</v>
      </c>
      <c r="V161" s="2"/>
      <c r="W161" s="2">
        <v>5232</v>
      </c>
      <c r="X161" s="2">
        <v>4286</v>
      </c>
      <c r="Y161" s="2">
        <v>3479</v>
      </c>
      <c r="Z161" s="2">
        <v>0</v>
      </c>
      <c r="AA161" s="2">
        <v>0</v>
      </c>
      <c r="AB161" s="2"/>
      <c r="AC161" s="2">
        <v>645</v>
      </c>
      <c r="AD161" s="2">
        <v>645</v>
      </c>
      <c r="AE161" s="2">
        <v>645</v>
      </c>
      <c r="AF161" s="2">
        <v>647</v>
      </c>
      <c r="AG161" s="2">
        <v>0</v>
      </c>
      <c r="AH161" s="2"/>
      <c r="AI161" s="2">
        <v>-3143</v>
      </c>
      <c r="AJ161" s="2">
        <v>-2572</v>
      </c>
      <c r="AK161" s="2">
        <v>-1466</v>
      </c>
      <c r="AL161" s="2">
        <v>0</v>
      </c>
      <c r="AM161" s="2">
        <v>-2572</v>
      </c>
    </row>
    <row r="162" spans="1:39">
      <c r="A162" s="349">
        <v>91214</v>
      </c>
      <c r="B162" s="342" t="s">
        <v>850</v>
      </c>
      <c r="C162" s="234" t="e">
        <f>VLOOKUP(A162,#REF!,10,FALSE)</f>
        <v>#REF!</v>
      </c>
      <c r="E162" s="2">
        <v>16230</v>
      </c>
      <c r="F162" s="2">
        <v>4575</v>
      </c>
      <c r="G162" s="2">
        <v>9222</v>
      </c>
      <c r="H162" s="2">
        <v>2862</v>
      </c>
      <c r="I162" s="2">
        <v>0</v>
      </c>
      <c r="J162" s="2"/>
      <c r="K162" s="2">
        <v>5363</v>
      </c>
      <c r="L162" s="2">
        <v>5045</v>
      </c>
      <c r="M162" s="2">
        <v>4522</v>
      </c>
      <c r="N162" s="2">
        <v>1810</v>
      </c>
      <c r="O162" s="2">
        <v>0</v>
      </c>
      <c r="P162" s="2"/>
      <c r="Q162" s="2">
        <v>5694</v>
      </c>
      <c r="R162" s="2">
        <v>-4898</v>
      </c>
      <c r="S162" s="2">
        <v>690</v>
      </c>
      <c r="T162" s="2">
        <v>898</v>
      </c>
      <c r="U162" s="2">
        <v>0</v>
      </c>
      <c r="V162" s="2"/>
      <c r="W162" s="2">
        <v>6414</v>
      </c>
      <c r="X162" s="2">
        <v>5255</v>
      </c>
      <c r="Y162" s="2">
        <v>4266</v>
      </c>
      <c r="Z162" s="2">
        <v>0</v>
      </c>
      <c r="AA162" s="2">
        <v>0</v>
      </c>
      <c r="AB162" s="2"/>
      <c r="AC162" s="2">
        <v>154</v>
      </c>
      <c r="AD162" s="2">
        <v>154</v>
      </c>
      <c r="AE162" s="2">
        <v>154</v>
      </c>
      <c r="AF162" s="2">
        <v>154</v>
      </c>
      <c r="AG162" s="2">
        <v>0</v>
      </c>
      <c r="AH162" s="2"/>
      <c r="AI162" s="2">
        <v>-1395</v>
      </c>
      <c r="AJ162" s="2">
        <v>-981</v>
      </c>
      <c r="AK162" s="2">
        <v>-410</v>
      </c>
      <c r="AL162" s="2">
        <v>0</v>
      </c>
      <c r="AM162" s="2">
        <v>-981</v>
      </c>
    </row>
    <row r="163" spans="1:39">
      <c r="A163" s="349">
        <v>91217</v>
      </c>
      <c r="B163" s="342" t="s">
        <v>851</v>
      </c>
      <c r="C163" s="234" t="e">
        <f>VLOOKUP(A163,#REF!,10,FALSE)</f>
        <v>#REF!</v>
      </c>
      <c r="E163" s="2">
        <v>13487</v>
      </c>
      <c r="F163" s="2">
        <v>4926</v>
      </c>
      <c r="G163" s="2">
        <v>6551</v>
      </c>
      <c r="H163" s="2">
        <v>3505</v>
      </c>
      <c r="I163" s="2">
        <v>0</v>
      </c>
      <c r="J163" s="2"/>
      <c r="K163" s="2">
        <v>3056</v>
      </c>
      <c r="L163" s="2">
        <v>2875</v>
      </c>
      <c r="M163" s="2">
        <v>2577</v>
      </c>
      <c r="N163" s="2">
        <v>1032</v>
      </c>
      <c r="O163" s="2">
        <v>0</v>
      </c>
      <c r="P163" s="2"/>
      <c r="Q163" s="2">
        <v>3244</v>
      </c>
      <c r="R163" s="2">
        <v>-2791</v>
      </c>
      <c r="S163" s="2">
        <v>393</v>
      </c>
      <c r="T163" s="2">
        <v>512</v>
      </c>
      <c r="U163" s="2">
        <v>0</v>
      </c>
      <c r="V163" s="2"/>
      <c r="W163" s="2">
        <v>3655</v>
      </c>
      <c r="X163" s="2">
        <v>2994</v>
      </c>
      <c r="Y163" s="2">
        <v>2431</v>
      </c>
      <c r="Z163" s="2">
        <v>0</v>
      </c>
      <c r="AA163" s="2">
        <v>0</v>
      </c>
      <c r="AB163" s="2"/>
      <c r="AC163" s="2">
        <v>4342</v>
      </c>
      <c r="AD163" s="2">
        <v>2658</v>
      </c>
      <c r="AE163" s="2">
        <v>1962</v>
      </c>
      <c r="AF163" s="2">
        <v>1961</v>
      </c>
      <c r="AG163" s="2">
        <v>0</v>
      </c>
      <c r="AH163" s="2"/>
      <c r="AI163" s="2">
        <v>-810</v>
      </c>
      <c r="AJ163" s="2">
        <v>-810</v>
      </c>
      <c r="AK163" s="2">
        <v>-812</v>
      </c>
      <c r="AL163" s="2">
        <v>0</v>
      </c>
      <c r="AM163" s="2">
        <v>-810</v>
      </c>
    </row>
    <row r="164" spans="1:39">
      <c r="A164" s="349">
        <v>91221</v>
      </c>
      <c r="B164" s="342" t="s">
        <v>852</v>
      </c>
      <c r="C164" s="234" t="e">
        <f>VLOOKUP(A164,#REF!,10,FALSE)</f>
        <v>#REF!</v>
      </c>
      <c r="E164" s="2">
        <v>46833</v>
      </c>
      <c r="F164" s="2">
        <v>11605</v>
      </c>
      <c r="G164" s="2">
        <v>23788</v>
      </c>
      <c r="H164" s="2">
        <v>5390</v>
      </c>
      <c r="I164" s="2">
        <v>0</v>
      </c>
      <c r="J164" s="2"/>
      <c r="K164" s="2">
        <v>16464</v>
      </c>
      <c r="L164" s="2">
        <v>15487</v>
      </c>
      <c r="M164" s="2">
        <v>13881</v>
      </c>
      <c r="N164" s="2">
        <v>5558</v>
      </c>
      <c r="O164" s="2">
        <v>0</v>
      </c>
      <c r="P164" s="2"/>
      <c r="Q164" s="2">
        <v>17479</v>
      </c>
      <c r="R164" s="2">
        <v>-15035</v>
      </c>
      <c r="S164" s="2">
        <v>2119</v>
      </c>
      <c r="T164" s="2">
        <v>2758</v>
      </c>
      <c r="U164" s="2">
        <v>0</v>
      </c>
      <c r="V164" s="2"/>
      <c r="W164" s="2">
        <v>19690</v>
      </c>
      <c r="X164" s="2">
        <v>16131</v>
      </c>
      <c r="Y164" s="2">
        <v>13095</v>
      </c>
      <c r="Z164" s="2">
        <v>0</v>
      </c>
      <c r="AA164" s="2">
        <v>0</v>
      </c>
      <c r="AB164" s="2"/>
      <c r="AC164" s="2">
        <v>327</v>
      </c>
      <c r="AD164" s="2">
        <v>327</v>
      </c>
      <c r="AE164" s="2">
        <v>0</v>
      </c>
      <c r="AF164" s="2">
        <v>0</v>
      </c>
      <c r="AG164" s="2">
        <v>0</v>
      </c>
      <c r="AH164" s="2"/>
      <c r="AI164" s="2">
        <v>-7127</v>
      </c>
      <c r="AJ164" s="2">
        <v>-5305</v>
      </c>
      <c r="AK164" s="2">
        <v>-5307</v>
      </c>
      <c r="AL164" s="2">
        <v>-2926</v>
      </c>
      <c r="AM164" s="2">
        <v>-5305</v>
      </c>
    </row>
    <row r="165" spans="1:39">
      <c r="A165" s="349">
        <v>91231</v>
      </c>
      <c r="B165" s="342" t="s">
        <v>853</v>
      </c>
      <c r="C165" s="234" t="e">
        <f>VLOOKUP(A165,#REF!,10,FALSE)</f>
        <v>#REF!</v>
      </c>
      <c r="E165" s="2">
        <v>881411</v>
      </c>
      <c r="F165" s="2">
        <v>263400</v>
      </c>
      <c r="G165" s="2">
        <v>494558</v>
      </c>
      <c r="H165" s="2">
        <v>146167</v>
      </c>
      <c r="I165" s="2">
        <v>0</v>
      </c>
      <c r="J165" s="2"/>
      <c r="K165" s="2">
        <v>280484</v>
      </c>
      <c r="L165" s="2">
        <v>263845</v>
      </c>
      <c r="M165" s="2">
        <v>236481</v>
      </c>
      <c r="N165" s="2">
        <v>94684</v>
      </c>
      <c r="O165" s="2">
        <v>0</v>
      </c>
      <c r="P165" s="2"/>
      <c r="Q165" s="2">
        <v>297772</v>
      </c>
      <c r="R165" s="2">
        <v>-256140</v>
      </c>
      <c r="S165" s="2">
        <v>36100</v>
      </c>
      <c r="T165" s="2">
        <v>46983</v>
      </c>
      <c r="U165" s="2">
        <v>0</v>
      </c>
      <c r="V165" s="2"/>
      <c r="W165" s="2">
        <v>335445</v>
      </c>
      <c r="X165" s="2">
        <v>274809</v>
      </c>
      <c r="Y165" s="2">
        <v>223098</v>
      </c>
      <c r="Z165" s="2">
        <v>0</v>
      </c>
      <c r="AA165" s="2">
        <v>0</v>
      </c>
      <c r="AB165" s="2"/>
      <c r="AC165" s="2">
        <v>4502</v>
      </c>
      <c r="AD165" s="2">
        <v>4502</v>
      </c>
      <c r="AE165" s="2">
        <v>4502</v>
      </c>
      <c r="AF165" s="2">
        <v>4500</v>
      </c>
      <c r="AG165" s="2">
        <v>0</v>
      </c>
      <c r="AH165" s="2"/>
      <c r="AI165" s="2">
        <v>-36792</v>
      </c>
      <c r="AJ165" s="2">
        <v>-23616</v>
      </c>
      <c r="AK165" s="2">
        <v>-5623</v>
      </c>
      <c r="AL165" s="2">
        <v>0</v>
      </c>
      <c r="AM165" s="2">
        <v>-23616</v>
      </c>
    </row>
    <row r="166" spans="1:39">
      <c r="A166" s="349">
        <v>91233</v>
      </c>
      <c r="B166" s="342" t="s">
        <v>854</v>
      </c>
      <c r="C166" s="234" t="e">
        <f>VLOOKUP(A166,#REF!,10,FALSE)</f>
        <v>#REF!</v>
      </c>
      <c r="E166" s="2">
        <v>30873</v>
      </c>
      <c r="F166" s="2">
        <v>10109</v>
      </c>
      <c r="G166" s="2">
        <v>16006</v>
      </c>
      <c r="H166" s="2">
        <v>5920</v>
      </c>
      <c r="I166" s="2">
        <v>0</v>
      </c>
      <c r="J166" s="2"/>
      <c r="K166" s="2">
        <v>9243</v>
      </c>
      <c r="L166" s="2">
        <v>8695</v>
      </c>
      <c r="M166" s="2">
        <v>7793</v>
      </c>
      <c r="N166" s="2">
        <v>3120</v>
      </c>
      <c r="O166" s="2">
        <v>0</v>
      </c>
      <c r="P166" s="2"/>
      <c r="Q166" s="2">
        <v>9813</v>
      </c>
      <c r="R166" s="2">
        <v>-8441</v>
      </c>
      <c r="S166" s="2">
        <v>1190</v>
      </c>
      <c r="T166" s="2">
        <v>1548</v>
      </c>
      <c r="U166" s="2">
        <v>0</v>
      </c>
      <c r="V166" s="2"/>
      <c r="W166" s="2">
        <v>11054</v>
      </c>
      <c r="X166" s="2">
        <v>9056</v>
      </c>
      <c r="Y166" s="2">
        <v>7352</v>
      </c>
      <c r="Z166" s="2">
        <v>0</v>
      </c>
      <c r="AA166" s="2">
        <v>0</v>
      </c>
      <c r="AB166" s="2"/>
      <c r="AC166" s="2">
        <v>2380</v>
      </c>
      <c r="AD166" s="2">
        <v>2381</v>
      </c>
      <c r="AE166" s="2">
        <v>1254</v>
      </c>
      <c r="AF166" s="2">
        <v>1252</v>
      </c>
      <c r="AG166" s="2">
        <v>0</v>
      </c>
      <c r="AH166" s="2"/>
      <c r="AI166" s="2">
        <v>-1617</v>
      </c>
      <c r="AJ166" s="2">
        <v>-1582</v>
      </c>
      <c r="AK166" s="2">
        <v>-1583</v>
      </c>
      <c r="AL166" s="2">
        <v>0</v>
      </c>
      <c r="AM166" s="2">
        <v>-1582</v>
      </c>
    </row>
    <row r="167" spans="1:39">
      <c r="A167" s="349">
        <v>91241</v>
      </c>
      <c r="B167" s="342" t="s">
        <v>855</v>
      </c>
      <c r="C167" s="234" t="e">
        <f>VLOOKUP(A167,#REF!,10,FALSE)</f>
        <v>#REF!</v>
      </c>
      <c r="E167" s="2">
        <v>28807</v>
      </c>
      <c r="F167" s="2">
        <v>11458</v>
      </c>
      <c r="G167" s="2">
        <v>17585</v>
      </c>
      <c r="H167" s="2">
        <v>4527</v>
      </c>
      <c r="I167" s="2">
        <v>0</v>
      </c>
      <c r="J167" s="2"/>
      <c r="K167" s="2">
        <v>8015</v>
      </c>
      <c r="L167" s="2">
        <v>7539</v>
      </c>
      <c r="M167" s="2">
        <v>6757</v>
      </c>
      <c r="N167" s="2">
        <v>2706</v>
      </c>
      <c r="O167" s="2">
        <v>0</v>
      </c>
      <c r="P167" s="2"/>
      <c r="Q167" s="2">
        <v>8509</v>
      </c>
      <c r="R167" s="2">
        <v>-7319</v>
      </c>
      <c r="S167" s="2">
        <v>1032</v>
      </c>
      <c r="T167" s="2">
        <v>1343</v>
      </c>
      <c r="U167" s="2">
        <v>0</v>
      </c>
      <c r="V167" s="2"/>
      <c r="W167" s="2">
        <v>9585</v>
      </c>
      <c r="X167" s="2">
        <v>7853</v>
      </c>
      <c r="Y167" s="2">
        <v>6375</v>
      </c>
      <c r="Z167" s="2">
        <v>0</v>
      </c>
      <c r="AA167" s="2">
        <v>0</v>
      </c>
      <c r="AB167" s="2"/>
      <c r="AC167" s="2">
        <v>3420</v>
      </c>
      <c r="AD167" s="2">
        <v>3420</v>
      </c>
      <c r="AE167" s="2">
        <v>3421</v>
      </c>
      <c r="AF167" s="2">
        <v>478</v>
      </c>
      <c r="AG167" s="2">
        <v>0</v>
      </c>
      <c r="AH167" s="2"/>
      <c r="AI167" s="2">
        <v>-722</v>
      </c>
      <c r="AJ167" s="2">
        <v>-35</v>
      </c>
      <c r="AK167" s="2">
        <v>0</v>
      </c>
      <c r="AL167" s="2">
        <v>0</v>
      </c>
      <c r="AM167" s="2">
        <v>-35</v>
      </c>
    </row>
    <row r="168" spans="1:39">
      <c r="A168" s="349">
        <v>91251</v>
      </c>
      <c r="B168" s="342" t="s">
        <v>856</v>
      </c>
      <c r="C168" s="234" t="e">
        <f>VLOOKUP(A168,#REF!,10,FALSE)</f>
        <v>#REF!</v>
      </c>
      <c r="E168" s="2">
        <v>9371</v>
      </c>
      <c r="F168" s="2">
        <v>2816</v>
      </c>
      <c r="G168" s="2">
        <v>5755</v>
      </c>
      <c r="H168" s="2">
        <v>-294</v>
      </c>
      <c r="I168" s="2">
        <v>0</v>
      </c>
      <c r="J168" s="2"/>
      <c r="K168" s="2">
        <v>2996</v>
      </c>
      <c r="L168" s="2">
        <v>2818</v>
      </c>
      <c r="M168" s="2">
        <v>2526</v>
      </c>
      <c r="N168" s="2">
        <v>1011</v>
      </c>
      <c r="O168" s="2">
        <v>0</v>
      </c>
      <c r="P168" s="2"/>
      <c r="Q168" s="2">
        <v>3181</v>
      </c>
      <c r="R168" s="2">
        <v>-2736</v>
      </c>
      <c r="S168" s="2">
        <v>386</v>
      </c>
      <c r="T168" s="2">
        <v>502</v>
      </c>
      <c r="U168" s="2">
        <v>0</v>
      </c>
      <c r="V168" s="2"/>
      <c r="W168" s="2">
        <v>3583</v>
      </c>
      <c r="X168" s="2">
        <v>2936</v>
      </c>
      <c r="Y168" s="2">
        <v>2383</v>
      </c>
      <c r="Z168" s="2">
        <v>0</v>
      </c>
      <c r="AA168" s="2">
        <v>0</v>
      </c>
      <c r="AB168" s="2"/>
      <c r="AC168" s="2">
        <v>2271</v>
      </c>
      <c r="AD168" s="2">
        <v>2271</v>
      </c>
      <c r="AE168" s="2">
        <v>2269</v>
      </c>
      <c r="AF168" s="2">
        <v>0</v>
      </c>
      <c r="AG168" s="2">
        <v>0</v>
      </c>
      <c r="AH168" s="2"/>
      <c r="AI168" s="2">
        <v>-2660</v>
      </c>
      <c r="AJ168" s="2">
        <v>-2473</v>
      </c>
      <c r="AK168" s="2">
        <v>-1809</v>
      </c>
      <c r="AL168" s="2">
        <v>-1807</v>
      </c>
      <c r="AM168" s="2">
        <v>-2473</v>
      </c>
    </row>
    <row r="169" spans="1:39">
      <c r="A169" s="349">
        <v>91261</v>
      </c>
      <c r="B169" s="342" t="s">
        <v>857</v>
      </c>
      <c r="C169" s="234" t="e">
        <f>VLOOKUP(A169,#REF!,10,FALSE)</f>
        <v>#REF!</v>
      </c>
      <c r="E169" s="2">
        <v>4563</v>
      </c>
      <c r="F169" s="2">
        <v>1171</v>
      </c>
      <c r="G169" s="2">
        <v>2150</v>
      </c>
      <c r="H169" s="2">
        <v>316</v>
      </c>
      <c r="I169" s="2">
        <v>0</v>
      </c>
      <c r="J169" s="2"/>
      <c r="K169" s="2">
        <v>1453</v>
      </c>
      <c r="L169" s="2">
        <v>1367</v>
      </c>
      <c r="M169" s="2">
        <v>1225</v>
      </c>
      <c r="N169" s="2">
        <v>491</v>
      </c>
      <c r="O169" s="2">
        <v>0</v>
      </c>
      <c r="P169" s="2"/>
      <c r="Q169" s="2">
        <v>1543</v>
      </c>
      <c r="R169" s="2">
        <v>-1327</v>
      </c>
      <c r="S169" s="2">
        <v>187</v>
      </c>
      <c r="T169" s="2">
        <v>243</v>
      </c>
      <c r="U169" s="2">
        <v>0</v>
      </c>
      <c r="V169" s="2"/>
      <c r="W169" s="2">
        <v>1738</v>
      </c>
      <c r="X169" s="2">
        <v>1424</v>
      </c>
      <c r="Y169" s="2">
        <v>1156</v>
      </c>
      <c r="Z169" s="2">
        <v>0</v>
      </c>
      <c r="AA169" s="2">
        <v>0</v>
      </c>
      <c r="AB169" s="2"/>
      <c r="AC169" s="2">
        <v>246</v>
      </c>
      <c r="AD169" s="2">
        <v>124</v>
      </c>
      <c r="AE169" s="2">
        <v>0</v>
      </c>
      <c r="AF169" s="2">
        <v>0</v>
      </c>
      <c r="AG169" s="2">
        <v>0</v>
      </c>
      <c r="AH169" s="2"/>
      <c r="AI169" s="2">
        <v>-417</v>
      </c>
      <c r="AJ169" s="2">
        <v>-417</v>
      </c>
      <c r="AK169" s="2">
        <v>-418</v>
      </c>
      <c r="AL169" s="2">
        <v>-418</v>
      </c>
      <c r="AM169" s="2">
        <v>-417</v>
      </c>
    </row>
    <row r="170" spans="1:39">
      <c r="A170" s="349">
        <v>91301</v>
      </c>
      <c r="B170" s="342" t="s">
        <v>858</v>
      </c>
      <c r="C170" s="234" t="e">
        <f>VLOOKUP(A170,#REF!,10,FALSE)</f>
        <v>#REF!</v>
      </c>
      <c r="E170" s="2">
        <v>3838995</v>
      </c>
      <c r="F170" s="2">
        <v>1152979</v>
      </c>
      <c r="G170" s="2">
        <v>2092277</v>
      </c>
      <c r="H170" s="2">
        <v>609098</v>
      </c>
      <c r="I170" s="2">
        <v>0</v>
      </c>
      <c r="J170" s="2"/>
      <c r="K170" s="2">
        <v>1190936</v>
      </c>
      <c r="L170" s="2">
        <v>1120286</v>
      </c>
      <c r="M170" s="2">
        <v>1004099</v>
      </c>
      <c r="N170" s="2">
        <v>402029</v>
      </c>
      <c r="O170" s="2">
        <v>0</v>
      </c>
      <c r="P170" s="2"/>
      <c r="Q170" s="2">
        <v>1264344</v>
      </c>
      <c r="R170" s="2">
        <v>-1087572</v>
      </c>
      <c r="S170" s="2">
        <v>153280</v>
      </c>
      <c r="T170" s="2">
        <v>199492</v>
      </c>
      <c r="U170" s="2">
        <v>0</v>
      </c>
      <c r="V170" s="2"/>
      <c r="W170" s="2">
        <v>1424302</v>
      </c>
      <c r="X170" s="2">
        <v>1166840</v>
      </c>
      <c r="Y170" s="2">
        <v>947274</v>
      </c>
      <c r="Z170" s="2">
        <v>0</v>
      </c>
      <c r="AA170" s="2">
        <v>0</v>
      </c>
      <c r="AB170" s="2"/>
      <c r="AC170" s="2">
        <v>13564</v>
      </c>
      <c r="AD170" s="2">
        <v>7577</v>
      </c>
      <c r="AE170" s="2">
        <v>7577</v>
      </c>
      <c r="AF170" s="2">
        <v>7577</v>
      </c>
      <c r="AG170" s="2">
        <v>0</v>
      </c>
      <c r="AH170" s="2"/>
      <c r="AI170" s="2">
        <v>-54151</v>
      </c>
      <c r="AJ170" s="2">
        <v>-54152</v>
      </c>
      <c r="AK170" s="2">
        <v>-19953</v>
      </c>
      <c r="AL170" s="2">
        <v>0</v>
      </c>
      <c r="AM170" s="2">
        <v>-54152</v>
      </c>
    </row>
    <row r="171" spans="1:39">
      <c r="A171" s="349">
        <v>91302</v>
      </c>
      <c r="B171" s="342" t="s">
        <v>3652</v>
      </c>
      <c r="C171" s="234" t="e">
        <f>VLOOKUP(A171,#REF!,10,FALSE)</f>
        <v>#REF!</v>
      </c>
      <c r="E171" s="2">
        <v>245630</v>
      </c>
      <c r="F171" s="2">
        <v>64145</v>
      </c>
      <c r="G171" s="2">
        <v>126768</v>
      </c>
      <c r="H171" s="2">
        <v>38087</v>
      </c>
      <c r="I171" s="2">
        <v>0</v>
      </c>
      <c r="J171" s="2"/>
      <c r="K171" s="2">
        <v>80207</v>
      </c>
      <c r="L171" s="2">
        <v>75449</v>
      </c>
      <c r="M171" s="2">
        <v>67624</v>
      </c>
      <c r="N171" s="2">
        <v>27076</v>
      </c>
      <c r="O171" s="2">
        <v>0</v>
      </c>
      <c r="P171" s="2"/>
      <c r="Q171" s="2">
        <v>85151</v>
      </c>
      <c r="R171" s="2">
        <v>-73245</v>
      </c>
      <c r="S171" s="2">
        <v>10323</v>
      </c>
      <c r="T171" s="2">
        <v>13435</v>
      </c>
      <c r="U171" s="2">
        <v>0</v>
      </c>
      <c r="V171" s="2"/>
      <c r="W171" s="2">
        <v>95923</v>
      </c>
      <c r="X171" s="2">
        <v>78584</v>
      </c>
      <c r="Y171" s="2">
        <v>63797</v>
      </c>
      <c r="Z171" s="2">
        <v>0</v>
      </c>
      <c r="AA171" s="2">
        <v>0</v>
      </c>
      <c r="AB171" s="2"/>
      <c r="AC171" s="2">
        <v>990</v>
      </c>
      <c r="AD171" s="2">
        <v>0</v>
      </c>
      <c r="AE171" s="2">
        <v>0</v>
      </c>
      <c r="AF171" s="2">
        <v>0</v>
      </c>
      <c r="AG171" s="2">
        <v>0</v>
      </c>
      <c r="AH171" s="2"/>
      <c r="AI171" s="2">
        <v>-16641</v>
      </c>
      <c r="AJ171" s="2">
        <v>-16643</v>
      </c>
      <c r="AK171" s="2">
        <v>-14976</v>
      </c>
      <c r="AL171" s="2">
        <v>-2424</v>
      </c>
      <c r="AM171" s="2">
        <v>-16643</v>
      </c>
    </row>
    <row r="172" spans="1:39">
      <c r="A172" s="349">
        <v>91306</v>
      </c>
      <c r="B172" s="342" t="s">
        <v>2775</v>
      </c>
      <c r="C172" s="234" t="e">
        <f>VLOOKUP(A172,#REF!,10,FALSE)</f>
        <v>#REF!</v>
      </c>
      <c r="E172" s="2">
        <v>940134</v>
      </c>
      <c r="F172" s="2">
        <v>310014</v>
      </c>
      <c r="G172" s="2">
        <v>519512</v>
      </c>
      <c r="H172" s="2">
        <v>136728</v>
      </c>
      <c r="I172" s="2">
        <v>0</v>
      </c>
      <c r="J172" s="2"/>
      <c r="K172" s="2">
        <v>273323</v>
      </c>
      <c r="L172" s="2">
        <v>257109</v>
      </c>
      <c r="M172" s="2">
        <v>230443</v>
      </c>
      <c r="N172" s="2">
        <v>92267</v>
      </c>
      <c r="O172" s="2">
        <v>0</v>
      </c>
      <c r="P172" s="2"/>
      <c r="Q172" s="2">
        <v>290170</v>
      </c>
      <c r="R172" s="2">
        <v>-249601</v>
      </c>
      <c r="S172" s="2">
        <v>35178</v>
      </c>
      <c r="T172" s="2">
        <v>45784</v>
      </c>
      <c r="U172" s="2">
        <v>0</v>
      </c>
      <c r="V172" s="2"/>
      <c r="W172" s="2">
        <v>326881</v>
      </c>
      <c r="X172" s="2">
        <v>267793</v>
      </c>
      <c r="Y172" s="2">
        <v>217402</v>
      </c>
      <c r="Z172" s="2">
        <v>0</v>
      </c>
      <c r="AA172" s="2">
        <v>0</v>
      </c>
      <c r="AB172" s="2"/>
      <c r="AC172" s="2">
        <v>52858</v>
      </c>
      <c r="AD172" s="2">
        <v>37811</v>
      </c>
      <c r="AE172" s="2">
        <v>37812</v>
      </c>
      <c r="AF172" s="2">
        <v>0</v>
      </c>
      <c r="AG172" s="2">
        <v>0</v>
      </c>
      <c r="AH172" s="2"/>
      <c r="AI172" s="2">
        <v>-3098</v>
      </c>
      <c r="AJ172" s="2">
        <v>-3098</v>
      </c>
      <c r="AK172" s="2">
        <v>-1323</v>
      </c>
      <c r="AL172" s="2">
        <v>-1323</v>
      </c>
      <c r="AM172" s="2">
        <v>-3098</v>
      </c>
    </row>
    <row r="173" spans="1:39">
      <c r="A173" s="349">
        <v>91308</v>
      </c>
      <c r="B173" s="342" t="s">
        <v>861</v>
      </c>
      <c r="C173" s="234" t="e">
        <f>VLOOKUP(A173,#REF!,10,FALSE)</f>
        <v>#REF!</v>
      </c>
      <c r="E173" s="2">
        <v>76130</v>
      </c>
      <c r="F173" s="2">
        <v>18730</v>
      </c>
      <c r="G173" s="2">
        <v>42764</v>
      </c>
      <c r="H173" s="2">
        <v>12551</v>
      </c>
      <c r="I173" s="2">
        <v>0</v>
      </c>
      <c r="J173" s="2"/>
      <c r="K173" s="2">
        <v>25482</v>
      </c>
      <c r="L173" s="2">
        <v>23970</v>
      </c>
      <c r="M173" s="2">
        <v>21484</v>
      </c>
      <c r="N173" s="2">
        <v>8602</v>
      </c>
      <c r="O173" s="2">
        <v>0</v>
      </c>
      <c r="P173" s="2"/>
      <c r="Q173" s="2">
        <v>27053</v>
      </c>
      <c r="R173" s="2">
        <v>-23271</v>
      </c>
      <c r="S173" s="2">
        <v>3280</v>
      </c>
      <c r="T173" s="2">
        <v>4268</v>
      </c>
      <c r="U173" s="2">
        <v>0</v>
      </c>
      <c r="V173" s="2"/>
      <c r="W173" s="2">
        <v>30475</v>
      </c>
      <c r="X173" s="2">
        <v>24967</v>
      </c>
      <c r="Y173" s="2">
        <v>20269</v>
      </c>
      <c r="Z173" s="2">
        <v>0</v>
      </c>
      <c r="AA173" s="2">
        <v>0</v>
      </c>
      <c r="AB173" s="2"/>
      <c r="AC173" s="2">
        <v>54</v>
      </c>
      <c r="AD173" s="2">
        <v>0</v>
      </c>
      <c r="AE173" s="2">
        <v>0</v>
      </c>
      <c r="AF173" s="2">
        <v>0</v>
      </c>
      <c r="AG173" s="2">
        <v>0</v>
      </c>
      <c r="AH173" s="2"/>
      <c r="AI173" s="2">
        <v>-6934</v>
      </c>
      <c r="AJ173" s="2">
        <v>-6936</v>
      </c>
      <c r="AK173" s="2">
        <v>-2269</v>
      </c>
      <c r="AL173" s="2">
        <v>-319</v>
      </c>
      <c r="AM173" s="2">
        <v>-6936</v>
      </c>
    </row>
    <row r="174" spans="1:39">
      <c r="A174" s="349">
        <v>91311</v>
      </c>
      <c r="B174" s="342" t="s">
        <v>862</v>
      </c>
      <c r="C174" s="234" t="e">
        <f>VLOOKUP(A174,#REF!,10,FALSE)</f>
        <v>#REF!</v>
      </c>
      <c r="E174" s="2">
        <v>3741589</v>
      </c>
      <c r="F174" s="2">
        <v>1151373</v>
      </c>
      <c r="G174" s="2">
        <v>2093504</v>
      </c>
      <c r="H174" s="2">
        <v>618523</v>
      </c>
      <c r="I174" s="2">
        <v>0</v>
      </c>
      <c r="J174" s="2"/>
      <c r="K174" s="2">
        <v>1183925</v>
      </c>
      <c r="L174" s="2">
        <v>1113691</v>
      </c>
      <c r="M174" s="2">
        <v>998188</v>
      </c>
      <c r="N174" s="2">
        <v>399663</v>
      </c>
      <c r="O174" s="2">
        <v>0</v>
      </c>
      <c r="P174" s="2"/>
      <c r="Q174" s="2">
        <v>1256901</v>
      </c>
      <c r="R174" s="2">
        <v>-1081170</v>
      </c>
      <c r="S174" s="2">
        <v>152378</v>
      </c>
      <c r="T174" s="2">
        <v>198318</v>
      </c>
      <c r="U174" s="2">
        <v>0</v>
      </c>
      <c r="V174" s="2"/>
      <c r="W174" s="2">
        <v>1415917</v>
      </c>
      <c r="X174" s="2">
        <v>1159971</v>
      </c>
      <c r="Y174" s="2">
        <v>941698</v>
      </c>
      <c r="Z174" s="2">
        <v>0</v>
      </c>
      <c r="AA174" s="2">
        <v>0</v>
      </c>
      <c r="AB174" s="2"/>
      <c r="AC174" s="2">
        <v>20543</v>
      </c>
      <c r="AD174" s="2">
        <v>20543</v>
      </c>
      <c r="AE174" s="2">
        <v>20543</v>
      </c>
      <c r="AF174" s="2">
        <v>20542</v>
      </c>
      <c r="AG174" s="2">
        <v>0</v>
      </c>
      <c r="AH174" s="2"/>
      <c r="AI174" s="2">
        <v>-135697</v>
      </c>
      <c r="AJ174" s="2">
        <v>-61662</v>
      </c>
      <c r="AK174" s="2">
        <v>-19303</v>
      </c>
      <c r="AL174" s="2">
        <v>0</v>
      </c>
      <c r="AM174" s="2">
        <v>-61662</v>
      </c>
    </row>
    <row r="175" spans="1:39">
      <c r="A175" s="349">
        <v>91317</v>
      </c>
      <c r="B175" s="342" t="s">
        <v>863</v>
      </c>
      <c r="C175" s="234" t="e">
        <f>VLOOKUP(A175,#REF!,10,FALSE)</f>
        <v>#REF!</v>
      </c>
      <c r="E175" s="2">
        <v>55419</v>
      </c>
      <c r="F175" s="2">
        <v>21480</v>
      </c>
      <c r="G175" s="2">
        <v>30333</v>
      </c>
      <c r="H175" s="2">
        <v>10129</v>
      </c>
      <c r="I175" s="2">
        <v>0</v>
      </c>
      <c r="J175" s="2"/>
      <c r="K175" s="2">
        <v>15205</v>
      </c>
      <c r="L175" s="2">
        <v>14303</v>
      </c>
      <c r="M175" s="2">
        <v>12820</v>
      </c>
      <c r="N175" s="2">
        <v>5133</v>
      </c>
      <c r="O175" s="2">
        <v>0</v>
      </c>
      <c r="P175" s="2"/>
      <c r="Q175" s="2">
        <v>16143</v>
      </c>
      <c r="R175" s="2">
        <v>-13886</v>
      </c>
      <c r="S175" s="2">
        <v>1957</v>
      </c>
      <c r="T175" s="2">
        <v>2547</v>
      </c>
      <c r="U175" s="2">
        <v>0</v>
      </c>
      <c r="V175" s="2"/>
      <c r="W175" s="2">
        <v>18185</v>
      </c>
      <c r="X175" s="2">
        <v>14898</v>
      </c>
      <c r="Y175" s="2">
        <v>12094</v>
      </c>
      <c r="Z175" s="2">
        <v>0</v>
      </c>
      <c r="AA175" s="2">
        <v>0</v>
      </c>
      <c r="AB175" s="2"/>
      <c r="AC175" s="2">
        <v>6165</v>
      </c>
      <c r="AD175" s="2">
        <v>6165</v>
      </c>
      <c r="AE175" s="2">
        <v>3462</v>
      </c>
      <c r="AF175" s="2">
        <v>2449</v>
      </c>
      <c r="AG175" s="2">
        <v>0</v>
      </c>
      <c r="AH175" s="2"/>
      <c r="AI175" s="2">
        <v>-279</v>
      </c>
      <c r="AJ175" s="2">
        <v>0</v>
      </c>
      <c r="AK175" s="2">
        <v>0</v>
      </c>
      <c r="AL175" s="2">
        <v>0</v>
      </c>
      <c r="AM175" s="2">
        <v>0</v>
      </c>
    </row>
    <row r="176" spans="1:39">
      <c r="A176" s="349">
        <v>91321</v>
      </c>
      <c r="B176" s="342" t="s">
        <v>864</v>
      </c>
      <c r="C176" s="234" t="e">
        <f>VLOOKUP(A176,#REF!,10,FALSE)</f>
        <v>#REF!</v>
      </c>
      <c r="E176" s="2">
        <v>42309</v>
      </c>
      <c r="F176" s="2">
        <v>23056</v>
      </c>
      <c r="G176" s="2">
        <v>25513</v>
      </c>
      <c r="H176" s="2">
        <v>10029</v>
      </c>
      <c r="I176" s="2">
        <v>0</v>
      </c>
      <c r="J176" s="2"/>
      <c r="K176" s="2">
        <v>8030</v>
      </c>
      <c r="L176" s="2">
        <v>7553</v>
      </c>
      <c r="M176" s="2">
        <v>6770</v>
      </c>
      <c r="N176" s="2">
        <v>2711</v>
      </c>
      <c r="O176" s="2">
        <v>0</v>
      </c>
      <c r="P176" s="2"/>
      <c r="Q176" s="2">
        <v>8525</v>
      </c>
      <c r="R176" s="2">
        <v>-7333</v>
      </c>
      <c r="S176" s="2">
        <v>1033</v>
      </c>
      <c r="T176" s="2">
        <v>1345</v>
      </c>
      <c r="U176" s="2">
        <v>0</v>
      </c>
      <c r="V176" s="2"/>
      <c r="W176" s="2">
        <v>9603</v>
      </c>
      <c r="X176" s="2">
        <v>7867</v>
      </c>
      <c r="Y176" s="2">
        <v>6387</v>
      </c>
      <c r="Z176" s="2">
        <v>0</v>
      </c>
      <c r="AA176" s="2">
        <v>0</v>
      </c>
      <c r="AB176" s="2"/>
      <c r="AC176" s="2">
        <v>16151</v>
      </c>
      <c r="AD176" s="2">
        <v>14969</v>
      </c>
      <c r="AE176" s="2">
        <v>11323</v>
      </c>
      <c r="AF176" s="2">
        <v>5973</v>
      </c>
      <c r="AG176" s="2">
        <v>0</v>
      </c>
      <c r="AH176" s="2"/>
      <c r="AI176" s="2">
        <v>0</v>
      </c>
      <c r="AJ176" s="2">
        <v>0</v>
      </c>
      <c r="AK176" s="2">
        <v>0</v>
      </c>
      <c r="AL176" s="2">
        <v>0</v>
      </c>
      <c r="AM176" s="2">
        <v>0</v>
      </c>
    </row>
    <row r="177" spans="1:39">
      <c r="A177" s="349">
        <v>91327</v>
      </c>
      <c r="B177" s="342" t="s">
        <v>3499</v>
      </c>
      <c r="C177" s="234" t="e">
        <f>VLOOKUP(A177,#REF!,10,FALSE)</f>
        <v>#REF!</v>
      </c>
      <c r="E177" s="2">
        <v>5795</v>
      </c>
      <c r="F177" s="2">
        <v>2263</v>
      </c>
      <c r="G177" s="2">
        <v>3707</v>
      </c>
      <c r="H177" s="2">
        <v>1518</v>
      </c>
      <c r="I177" s="2">
        <v>0</v>
      </c>
      <c r="J177" s="2"/>
      <c r="K177" s="2">
        <v>1633</v>
      </c>
      <c r="L177" s="2">
        <v>1536</v>
      </c>
      <c r="M177" s="2">
        <v>1377</v>
      </c>
      <c r="N177" s="2">
        <v>551</v>
      </c>
      <c r="O177" s="2">
        <v>0</v>
      </c>
      <c r="P177" s="2"/>
      <c r="Q177" s="2">
        <v>1734</v>
      </c>
      <c r="R177" s="2">
        <v>-1491</v>
      </c>
      <c r="S177" s="2">
        <v>210</v>
      </c>
      <c r="T177" s="2">
        <v>274</v>
      </c>
      <c r="U177" s="2">
        <v>0</v>
      </c>
      <c r="V177" s="2"/>
      <c r="W177" s="2">
        <v>1953</v>
      </c>
      <c r="X177" s="2">
        <v>1600</v>
      </c>
      <c r="Y177" s="2">
        <v>1299</v>
      </c>
      <c r="Z177" s="2">
        <v>0</v>
      </c>
      <c r="AA177" s="2">
        <v>0</v>
      </c>
      <c r="AB177" s="2"/>
      <c r="AC177" s="2">
        <v>823</v>
      </c>
      <c r="AD177" s="2">
        <v>823</v>
      </c>
      <c r="AE177" s="2">
        <v>821</v>
      </c>
      <c r="AF177" s="2">
        <v>693</v>
      </c>
      <c r="AG177" s="2">
        <v>0</v>
      </c>
      <c r="AH177" s="2"/>
      <c r="AI177" s="2">
        <v>-348</v>
      </c>
      <c r="AJ177" s="2">
        <v>-205</v>
      </c>
      <c r="AK177" s="2">
        <v>0</v>
      </c>
      <c r="AL177" s="2">
        <v>0</v>
      </c>
      <c r="AM177" s="2">
        <v>-205</v>
      </c>
    </row>
    <row r="178" spans="1:39">
      <c r="A178" s="349">
        <v>91331</v>
      </c>
      <c r="B178" s="342" t="s">
        <v>866</v>
      </c>
      <c r="C178" s="234" t="e">
        <f>VLOOKUP(A178,#REF!,10,FALSE)</f>
        <v>#REF!</v>
      </c>
      <c r="E178" s="2">
        <v>1296081</v>
      </c>
      <c r="F178" s="2">
        <v>353921</v>
      </c>
      <c r="G178" s="2">
        <v>699396</v>
      </c>
      <c r="H178" s="2">
        <v>181132</v>
      </c>
      <c r="I178" s="2">
        <v>0</v>
      </c>
      <c r="J178" s="2"/>
      <c r="K178" s="2">
        <v>438725</v>
      </c>
      <c r="L178" s="2">
        <v>412698</v>
      </c>
      <c r="M178" s="2">
        <v>369897</v>
      </c>
      <c r="N178" s="2">
        <v>148102</v>
      </c>
      <c r="O178" s="2">
        <v>0</v>
      </c>
      <c r="P178" s="2"/>
      <c r="Q178" s="2">
        <v>465767</v>
      </c>
      <c r="R178" s="2">
        <v>-400647</v>
      </c>
      <c r="S178" s="2">
        <v>56466</v>
      </c>
      <c r="T178" s="2">
        <v>73490</v>
      </c>
      <c r="U178" s="2">
        <v>0</v>
      </c>
      <c r="V178" s="2"/>
      <c r="W178" s="2">
        <v>524694</v>
      </c>
      <c r="X178" s="2">
        <v>429848</v>
      </c>
      <c r="Y178" s="2">
        <v>348963</v>
      </c>
      <c r="Z178" s="2">
        <v>0</v>
      </c>
      <c r="AA178" s="2">
        <v>0</v>
      </c>
      <c r="AB178" s="2"/>
      <c r="AC178" s="2">
        <v>0</v>
      </c>
      <c r="AD178" s="2">
        <v>0</v>
      </c>
      <c r="AE178" s="2">
        <v>0</v>
      </c>
      <c r="AF178" s="2">
        <v>0</v>
      </c>
      <c r="AG178" s="2">
        <v>0</v>
      </c>
      <c r="AH178" s="2"/>
      <c r="AI178" s="2">
        <v>-133105</v>
      </c>
      <c r="AJ178" s="2">
        <v>-87978</v>
      </c>
      <c r="AK178" s="2">
        <v>-75930</v>
      </c>
      <c r="AL178" s="2">
        <v>-40460</v>
      </c>
      <c r="AM178" s="2">
        <v>-87978</v>
      </c>
    </row>
    <row r="179" spans="1:39">
      <c r="A179" s="349">
        <v>91341</v>
      </c>
      <c r="B179" s="342" t="s">
        <v>867</v>
      </c>
      <c r="C179" s="234" t="e">
        <f>VLOOKUP(A179,#REF!,10,FALSE)</f>
        <v>#REF!</v>
      </c>
      <c r="E179" s="2">
        <v>21938</v>
      </c>
      <c r="F179" s="2">
        <v>9690</v>
      </c>
      <c r="G179" s="2">
        <v>12685</v>
      </c>
      <c r="H179" s="2">
        <v>5146</v>
      </c>
      <c r="I179" s="2">
        <v>0</v>
      </c>
      <c r="J179" s="2"/>
      <c r="K179" s="2">
        <v>5678</v>
      </c>
      <c r="L179" s="2">
        <v>5341</v>
      </c>
      <c r="M179" s="2">
        <v>4787</v>
      </c>
      <c r="N179" s="2">
        <v>1917</v>
      </c>
      <c r="O179" s="2">
        <v>0</v>
      </c>
      <c r="P179" s="2"/>
      <c r="Q179" s="2">
        <v>6028</v>
      </c>
      <c r="R179" s="2">
        <v>-5185</v>
      </c>
      <c r="S179" s="2">
        <v>731</v>
      </c>
      <c r="T179" s="2">
        <v>951</v>
      </c>
      <c r="U179" s="2">
        <v>0</v>
      </c>
      <c r="V179" s="2"/>
      <c r="W179" s="2">
        <v>6790</v>
      </c>
      <c r="X179" s="2">
        <v>5563</v>
      </c>
      <c r="Y179" s="2">
        <v>4516</v>
      </c>
      <c r="Z179" s="2">
        <v>0</v>
      </c>
      <c r="AA179" s="2">
        <v>0</v>
      </c>
      <c r="AB179" s="2"/>
      <c r="AC179" s="2">
        <v>3971</v>
      </c>
      <c r="AD179" s="2">
        <v>3971</v>
      </c>
      <c r="AE179" s="2">
        <v>2651</v>
      </c>
      <c r="AF179" s="2">
        <v>2278</v>
      </c>
      <c r="AG179" s="2">
        <v>0</v>
      </c>
      <c r="AH179" s="2"/>
      <c r="AI179" s="2">
        <v>-529</v>
      </c>
      <c r="AJ179" s="2">
        <v>0</v>
      </c>
      <c r="AK179" s="2">
        <v>0</v>
      </c>
      <c r="AL179" s="2">
        <v>0</v>
      </c>
      <c r="AM179" s="2">
        <v>0</v>
      </c>
    </row>
    <row r="180" spans="1:39">
      <c r="A180" s="349">
        <v>91401</v>
      </c>
      <c r="B180" s="342" t="s">
        <v>868</v>
      </c>
      <c r="C180" s="234" t="e">
        <f>VLOOKUP(A180,#REF!,10,FALSE)</f>
        <v>#REF!</v>
      </c>
      <c r="E180" s="2">
        <v>1574937</v>
      </c>
      <c r="F180" s="2">
        <v>434103</v>
      </c>
      <c r="G180" s="2">
        <v>853863</v>
      </c>
      <c r="H180" s="2">
        <v>233817</v>
      </c>
      <c r="I180" s="2">
        <v>0</v>
      </c>
      <c r="J180" s="2"/>
      <c r="K180" s="2">
        <v>508085</v>
      </c>
      <c r="L180" s="2">
        <v>477944</v>
      </c>
      <c r="M180" s="2">
        <v>428376</v>
      </c>
      <c r="N180" s="2">
        <v>171517</v>
      </c>
      <c r="O180" s="2">
        <v>0</v>
      </c>
      <c r="P180" s="2"/>
      <c r="Q180" s="2">
        <v>539403</v>
      </c>
      <c r="R180" s="2">
        <v>-463988</v>
      </c>
      <c r="S180" s="2">
        <v>65393</v>
      </c>
      <c r="T180" s="2">
        <v>85109</v>
      </c>
      <c r="U180" s="2">
        <v>0</v>
      </c>
      <c r="V180" s="2"/>
      <c r="W180" s="2">
        <v>607646</v>
      </c>
      <c r="X180" s="2">
        <v>497805</v>
      </c>
      <c r="Y180" s="2">
        <v>404133</v>
      </c>
      <c r="Z180" s="2">
        <v>0</v>
      </c>
      <c r="AA180" s="2">
        <v>0</v>
      </c>
      <c r="AB180" s="2"/>
      <c r="AC180" s="2">
        <v>0</v>
      </c>
      <c r="AD180" s="2">
        <v>0</v>
      </c>
      <c r="AE180" s="2">
        <v>0</v>
      </c>
      <c r="AF180" s="2">
        <v>0</v>
      </c>
      <c r="AG180" s="2">
        <v>0</v>
      </c>
      <c r="AH180" s="2"/>
      <c r="AI180" s="2">
        <v>-80197</v>
      </c>
      <c r="AJ180" s="2">
        <v>-77658</v>
      </c>
      <c r="AK180" s="2">
        <v>-44039</v>
      </c>
      <c r="AL180" s="2">
        <v>-22809</v>
      </c>
      <c r="AM180" s="2">
        <v>-77658</v>
      </c>
    </row>
    <row r="181" spans="1:39">
      <c r="A181" s="349">
        <v>91411</v>
      </c>
      <c r="B181" s="342" t="s">
        <v>869</v>
      </c>
      <c r="C181" s="234" t="e">
        <f>VLOOKUP(A181,#REF!,10,FALSE)</f>
        <v>#REF!</v>
      </c>
      <c r="E181" s="2">
        <v>201521</v>
      </c>
      <c r="F181" s="2">
        <v>63550</v>
      </c>
      <c r="G181" s="2">
        <v>105634</v>
      </c>
      <c r="H181" s="2">
        <v>30337</v>
      </c>
      <c r="I181" s="2">
        <v>0</v>
      </c>
      <c r="J181" s="2"/>
      <c r="K181" s="2">
        <v>59383</v>
      </c>
      <c r="L181" s="2">
        <v>55861</v>
      </c>
      <c r="M181" s="2">
        <v>50067</v>
      </c>
      <c r="N181" s="2">
        <v>20046</v>
      </c>
      <c r="O181" s="2">
        <v>0</v>
      </c>
      <c r="P181" s="2"/>
      <c r="Q181" s="2">
        <v>63044</v>
      </c>
      <c r="R181" s="2">
        <v>-54230</v>
      </c>
      <c r="S181" s="2">
        <v>7643</v>
      </c>
      <c r="T181" s="2">
        <v>9947</v>
      </c>
      <c r="U181" s="2">
        <v>0</v>
      </c>
      <c r="V181" s="2"/>
      <c r="W181" s="2">
        <v>71020</v>
      </c>
      <c r="X181" s="2">
        <v>58182</v>
      </c>
      <c r="Y181" s="2">
        <v>47234</v>
      </c>
      <c r="Z181" s="2">
        <v>0</v>
      </c>
      <c r="AA181" s="2">
        <v>0</v>
      </c>
      <c r="AB181" s="2"/>
      <c r="AC181" s="2">
        <v>8074</v>
      </c>
      <c r="AD181" s="2">
        <v>3737</v>
      </c>
      <c r="AE181" s="2">
        <v>690</v>
      </c>
      <c r="AF181" s="2">
        <v>344</v>
      </c>
      <c r="AG181" s="2">
        <v>0</v>
      </c>
      <c r="AH181" s="2"/>
      <c r="AI181" s="2">
        <v>0</v>
      </c>
      <c r="AJ181" s="2">
        <v>0</v>
      </c>
      <c r="AK181" s="2">
        <v>0</v>
      </c>
      <c r="AL181" s="2">
        <v>0</v>
      </c>
      <c r="AM181" s="2">
        <v>0</v>
      </c>
    </row>
    <row r="182" spans="1:39">
      <c r="A182" s="349">
        <v>91417</v>
      </c>
      <c r="B182" s="342" t="s">
        <v>870</v>
      </c>
      <c r="C182" s="234" t="e">
        <f>VLOOKUP(A182,#REF!,10,FALSE)</f>
        <v>#REF!</v>
      </c>
      <c r="E182" s="2">
        <v>4064</v>
      </c>
      <c r="F182" s="2">
        <v>1536</v>
      </c>
      <c r="G182" s="2">
        <v>2262</v>
      </c>
      <c r="H182" s="2">
        <v>761</v>
      </c>
      <c r="I182" s="2">
        <v>0</v>
      </c>
      <c r="J182" s="2"/>
      <c r="K182" s="2">
        <v>1094</v>
      </c>
      <c r="L182" s="2">
        <v>1029</v>
      </c>
      <c r="M182" s="2">
        <v>922</v>
      </c>
      <c r="N182" s="2">
        <v>369</v>
      </c>
      <c r="O182" s="2">
        <v>0</v>
      </c>
      <c r="P182" s="2"/>
      <c r="Q182" s="2">
        <v>1161</v>
      </c>
      <c r="R182" s="2">
        <v>-999</v>
      </c>
      <c r="S182" s="2">
        <v>141</v>
      </c>
      <c r="T182" s="2">
        <v>183</v>
      </c>
      <c r="U182" s="2">
        <v>0</v>
      </c>
      <c r="V182" s="2"/>
      <c r="W182" s="2">
        <v>1308</v>
      </c>
      <c r="X182" s="2">
        <v>1071</v>
      </c>
      <c r="Y182" s="2">
        <v>870</v>
      </c>
      <c r="Z182" s="2">
        <v>0</v>
      </c>
      <c r="AA182" s="2">
        <v>0</v>
      </c>
      <c r="AB182" s="2"/>
      <c r="AC182" s="2">
        <v>501</v>
      </c>
      <c r="AD182" s="2">
        <v>435</v>
      </c>
      <c r="AE182" s="2">
        <v>329</v>
      </c>
      <c r="AF182" s="2">
        <v>209</v>
      </c>
      <c r="AG182" s="2">
        <v>0</v>
      </c>
      <c r="AH182" s="2"/>
      <c r="AI182" s="2">
        <v>0</v>
      </c>
      <c r="AJ182" s="2">
        <v>0</v>
      </c>
      <c r="AK182" s="2">
        <v>0</v>
      </c>
      <c r="AL182" s="2">
        <v>0</v>
      </c>
      <c r="AM182" s="2">
        <v>0</v>
      </c>
    </row>
    <row r="183" spans="1:39">
      <c r="A183" s="349">
        <v>91421</v>
      </c>
      <c r="B183" s="342" t="s">
        <v>871</v>
      </c>
      <c r="C183" s="234" t="e">
        <f>VLOOKUP(A183,#REF!,10,FALSE)</f>
        <v>#REF!</v>
      </c>
      <c r="E183" s="2">
        <v>34405</v>
      </c>
      <c r="F183" s="2">
        <v>11905</v>
      </c>
      <c r="G183" s="2">
        <v>18756</v>
      </c>
      <c r="H183" s="2">
        <v>4914</v>
      </c>
      <c r="I183" s="2">
        <v>0</v>
      </c>
      <c r="J183" s="2"/>
      <c r="K183" s="2">
        <v>10022</v>
      </c>
      <c r="L183" s="2">
        <v>9428</v>
      </c>
      <c r="M183" s="2">
        <v>8450</v>
      </c>
      <c r="N183" s="2">
        <v>3383</v>
      </c>
      <c r="O183" s="2">
        <v>0</v>
      </c>
      <c r="P183" s="2"/>
      <c r="Q183" s="2">
        <v>10640</v>
      </c>
      <c r="R183" s="2">
        <v>-9152</v>
      </c>
      <c r="S183" s="2">
        <v>1290</v>
      </c>
      <c r="T183" s="2">
        <v>1679</v>
      </c>
      <c r="U183" s="2">
        <v>0</v>
      </c>
      <c r="V183" s="2"/>
      <c r="W183" s="2">
        <v>11986</v>
      </c>
      <c r="X183" s="2">
        <v>9819</v>
      </c>
      <c r="Y183" s="2">
        <v>7972</v>
      </c>
      <c r="Z183" s="2">
        <v>0</v>
      </c>
      <c r="AA183" s="2">
        <v>0</v>
      </c>
      <c r="AB183" s="2"/>
      <c r="AC183" s="2">
        <v>1959</v>
      </c>
      <c r="AD183" s="2">
        <v>1957</v>
      </c>
      <c r="AE183" s="2">
        <v>1191</v>
      </c>
      <c r="AF183" s="2">
        <v>0</v>
      </c>
      <c r="AG183" s="2">
        <v>0</v>
      </c>
      <c r="AH183" s="2"/>
      <c r="AI183" s="2">
        <v>-202</v>
      </c>
      <c r="AJ183" s="2">
        <v>-147</v>
      </c>
      <c r="AK183" s="2">
        <v>-147</v>
      </c>
      <c r="AL183" s="2">
        <v>-148</v>
      </c>
      <c r="AM183" s="2">
        <v>-147</v>
      </c>
    </row>
    <row r="184" spans="1:39">
      <c r="A184" s="349">
        <v>91423</v>
      </c>
      <c r="B184" s="342" t="s">
        <v>872</v>
      </c>
      <c r="C184" s="234" t="e">
        <f>VLOOKUP(A184,#REF!,10,FALSE)</f>
        <v>#REF!</v>
      </c>
      <c r="E184" s="2">
        <v>26173</v>
      </c>
      <c r="F184" s="2">
        <v>8212</v>
      </c>
      <c r="G184" s="2">
        <v>12520</v>
      </c>
      <c r="H184" s="2">
        <v>4231</v>
      </c>
      <c r="I184" s="2">
        <v>0</v>
      </c>
      <c r="J184" s="2"/>
      <c r="K184" s="2">
        <v>7925</v>
      </c>
      <c r="L184" s="2">
        <v>7455</v>
      </c>
      <c r="M184" s="2">
        <v>6682</v>
      </c>
      <c r="N184" s="2">
        <v>2675</v>
      </c>
      <c r="O184" s="2">
        <v>0</v>
      </c>
      <c r="P184" s="2"/>
      <c r="Q184" s="2">
        <v>8413</v>
      </c>
      <c r="R184" s="2">
        <v>-7237</v>
      </c>
      <c r="S184" s="2">
        <v>1020</v>
      </c>
      <c r="T184" s="2">
        <v>1327</v>
      </c>
      <c r="U184" s="2">
        <v>0</v>
      </c>
      <c r="V184" s="2"/>
      <c r="W184" s="2">
        <v>9478</v>
      </c>
      <c r="X184" s="2">
        <v>7764</v>
      </c>
      <c r="Y184" s="2">
        <v>6303</v>
      </c>
      <c r="Z184" s="2">
        <v>0</v>
      </c>
      <c r="AA184" s="2">
        <v>0</v>
      </c>
      <c r="AB184" s="2"/>
      <c r="AC184" s="2">
        <v>2070</v>
      </c>
      <c r="AD184" s="2">
        <v>1943</v>
      </c>
      <c r="AE184" s="2">
        <v>227</v>
      </c>
      <c r="AF184" s="2">
        <v>229</v>
      </c>
      <c r="AG184" s="2">
        <v>0</v>
      </c>
      <c r="AH184" s="2"/>
      <c r="AI184" s="2">
        <v>-1713</v>
      </c>
      <c r="AJ184" s="2">
        <v>-1713</v>
      </c>
      <c r="AK184" s="2">
        <v>-1712</v>
      </c>
      <c r="AL184" s="2">
        <v>0</v>
      </c>
      <c r="AM184" s="2">
        <v>-1713</v>
      </c>
    </row>
    <row r="185" spans="1:39">
      <c r="A185" s="349">
        <v>91431</v>
      </c>
      <c r="B185" s="342" t="s">
        <v>873</v>
      </c>
      <c r="C185" s="234" t="e">
        <f>VLOOKUP(A185,#REF!,10,FALSE)</f>
        <v>#REF!</v>
      </c>
      <c r="E185" s="2">
        <v>99884</v>
      </c>
      <c r="F185" s="2">
        <v>39037</v>
      </c>
      <c r="G185" s="2">
        <v>55604</v>
      </c>
      <c r="H185" s="2">
        <v>18263</v>
      </c>
      <c r="I185" s="2">
        <v>0</v>
      </c>
      <c r="J185" s="2"/>
      <c r="K185" s="2">
        <v>27250</v>
      </c>
      <c r="L185" s="2">
        <v>25633</v>
      </c>
      <c r="M185" s="2">
        <v>22975</v>
      </c>
      <c r="N185" s="2">
        <v>9199</v>
      </c>
      <c r="O185" s="2">
        <v>0</v>
      </c>
      <c r="P185" s="2"/>
      <c r="Q185" s="2">
        <v>28930</v>
      </c>
      <c r="R185" s="2">
        <v>-24885</v>
      </c>
      <c r="S185" s="2">
        <v>3507</v>
      </c>
      <c r="T185" s="2">
        <v>4565</v>
      </c>
      <c r="U185" s="2">
        <v>0</v>
      </c>
      <c r="V185" s="2"/>
      <c r="W185" s="2">
        <v>32590</v>
      </c>
      <c r="X185" s="2">
        <v>26699</v>
      </c>
      <c r="Y185" s="2">
        <v>21675</v>
      </c>
      <c r="Z185" s="2">
        <v>0</v>
      </c>
      <c r="AA185" s="2">
        <v>0</v>
      </c>
      <c r="AB185" s="2"/>
      <c r="AC185" s="2">
        <v>11592</v>
      </c>
      <c r="AD185" s="2">
        <v>11590</v>
      </c>
      <c r="AE185" s="2">
        <v>7447</v>
      </c>
      <c r="AF185" s="2">
        <v>4499</v>
      </c>
      <c r="AG185" s="2">
        <v>0</v>
      </c>
      <c r="AH185" s="2"/>
      <c r="AI185" s="2">
        <v>-478</v>
      </c>
      <c r="AJ185" s="2">
        <v>0</v>
      </c>
      <c r="AK185" s="2">
        <v>0</v>
      </c>
      <c r="AL185" s="2">
        <v>0</v>
      </c>
      <c r="AM185" s="2">
        <v>0</v>
      </c>
    </row>
    <row r="186" spans="1:39">
      <c r="A186" s="349">
        <v>91441</v>
      </c>
      <c r="B186" s="342" t="s">
        <v>874</v>
      </c>
      <c r="C186" s="234" t="e">
        <f>VLOOKUP(A186,#REF!,10,FALSE)</f>
        <v>#REF!</v>
      </c>
      <c r="E186" s="2">
        <v>429921</v>
      </c>
      <c r="F186" s="2">
        <v>117874</v>
      </c>
      <c r="G186" s="2">
        <v>217735</v>
      </c>
      <c r="H186" s="2">
        <v>55791</v>
      </c>
      <c r="I186" s="2">
        <v>0</v>
      </c>
      <c r="J186" s="2"/>
      <c r="K186" s="2">
        <v>146841</v>
      </c>
      <c r="L186" s="2">
        <v>138130</v>
      </c>
      <c r="M186" s="2">
        <v>123804</v>
      </c>
      <c r="N186" s="2">
        <v>49570</v>
      </c>
      <c r="O186" s="2">
        <v>0</v>
      </c>
      <c r="P186" s="2"/>
      <c r="Q186" s="2">
        <v>155892</v>
      </c>
      <c r="R186" s="2">
        <v>-134096</v>
      </c>
      <c r="S186" s="2">
        <v>18899</v>
      </c>
      <c r="T186" s="2">
        <v>24597</v>
      </c>
      <c r="U186" s="2">
        <v>0</v>
      </c>
      <c r="V186" s="2"/>
      <c r="W186" s="2">
        <v>175615</v>
      </c>
      <c r="X186" s="2">
        <v>143870</v>
      </c>
      <c r="Y186" s="2">
        <v>116798</v>
      </c>
      <c r="Z186" s="2">
        <v>0</v>
      </c>
      <c r="AA186" s="2">
        <v>0</v>
      </c>
      <c r="AB186" s="2"/>
      <c r="AC186" s="2">
        <v>11739</v>
      </c>
      <c r="AD186" s="2">
        <v>11737</v>
      </c>
      <c r="AE186" s="2">
        <v>0</v>
      </c>
      <c r="AF186" s="2">
        <v>0</v>
      </c>
      <c r="AG186" s="2">
        <v>0</v>
      </c>
      <c r="AH186" s="2"/>
      <c r="AI186" s="2">
        <v>-60166</v>
      </c>
      <c r="AJ186" s="2">
        <v>-41767</v>
      </c>
      <c r="AK186" s="2">
        <v>-41766</v>
      </c>
      <c r="AL186" s="2">
        <v>-18376</v>
      </c>
      <c r="AM186" s="2">
        <v>-41767</v>
      </c>
    </row>
    <row r="187" spans="1:39">
      <c r="A187" s="349">
        <v>91451</v>
      </c>
      <c r="B187" s="342" t="s">
        <v>875</v>
      </c>
      <c r="C187" s="234" t="e">
        <f>VLOOKUP(A187,#REF!,10,FALSE)</f>
        <v>#REF!</v>
      </c>
      <c r="E187" s="2">
        <v>725223</v>
      </c>
      <c r="F187" s="2">
        <v>226578</v>
      </c>
      <c r="G187" s="2">
        <v>419476</v>
      </c>
      <c r="H187" s="2">
        <v>125808</v>
      </c>
      <c r="I187" s="2">
        <v>0</v>
      </c>
      <c r="J187" s="2"/>
      <c r="K187" s="2">
        <v>232710</v>
      </c>
      <c r="L187" s="2">
        <v>218905</v>
      </c>
      <c r="M187" s="2">
        <v>196202</v>
      </c>
      <c r="N187" s="2">
        <v>78557</v>
      </c>
      <c r="O187" s="2">
        <v>0</v>
      </c>
      <c r="P187" s="2"/>
      <c r="Q187" s="2">
        <v>247054</v>
      </c>
      <c r="R187" s="2">
        <v>-212513</v>
      </c>
      <c r="S187" s="2">
        <v>29951</v>
      </c>
      <c r="T187" s="2">
        <v>38981</v>
      </c>
      <c r="U187" s="2">
        <v>0</v>
      </c>
      <c r="V187" s="2"/>
      <c r="W187" s="2">
        <v>278310</v>
      </c>
      <c r="X187" s="2">
        <v>228002</v>
      </c>
      <c r="Y187" s="2">
        <v>185098</v>
      </c>
      <c r="Z187" s="2">
        <v>0</v>
      </c>
      <c r="AA187" s="2">
        <v>0</v>
      </c>
      <c r="AB187" s="2"/>
      <c r="AC187" s="2">
        <v>8268</v>
      </c>
      <c r="AD187" s="2">
        <v>8268</v>
      </c>
      <c r="AE187" s="2">
        <v>8268</v>
      </c>
      <c r="AF187" s="2">
        <v>8270</v>
      </c>
      <c r="AG187" s="2">
        <v>0</v>
      </c>
      <c r="AH187" s="2"/>
      <c r="AI187" s="2">
        <v>-41119</v>
      </c>
      <c r="AJ187" s="2">
        <v>-16084</v>
      </c>
      <c r="AK187" s="2">
        <v>-43</v>
      </c>
      <c r="AL187" s="2">
        <v>0</v>
      </c>
      <c r="AM187" s="2">
        <v>-16084</v>
      </c>
    </row>
    <row r="188" spans="1:39">
      <c r="A188" s="349">
        <v>91457</v>
      </c>
      <c r="B188" s="342" t="s">
        <v>3653</v>
      </c>
      <c r="C188" s="234" t="e">
        <f>VLOOKUP(A188,#REF!,10,FALSE)</f>
        <v>#REF!</v>
      </c>
      <c r="E188" s="2">
        <v>20900</v>
      </c>
      <c r="F188" s="2">
        <v>12727</v>
      </c>
      <c r="G188" s="2">
        <v>10994</v>
      </c>
      <c r="H188" s="2">
        <v>4296</v>
      </c>
      <c r="I188" s="2">
        <v>0</v>
      </c>
      <c r="J188" s="2"/>
      <c r="K188" s="2">
        <v>2322</v>
      </c>
      <c r="L188" s="2">
        <v>2184</v>
      </c>
      <c r="M188" s="2">
        <v>1958</v>
      </c>
      <c r="N188" s="2">
        <v>784</v>
      </c>
      <c r="O188" s="2">
        <v>0</v>
      </c>
      <c r="P188" s="2"/>
      <c r="Q188" s="2">
        <v>2465</v>
      </c>
      <c r="R188" s="2">
        <v>-2120</v>
      </c>
      <c r="S188" s="2">
        <v>299</v>
      </c>
      <c r="T188" s="2">
        <v>389</v>
      </c>
      <c r="U188" s="2">
        <v>0</v>
      </c>
      <c r="V188" s="2"/>
      <c r="W188" s="2">
        <v>2777</v>
      </c>
      <c r="X188" s="2">
        <v>2275</v>
      </c>
      <c r="Y188" s="2">
        <v>1847</v>
      </c>
      <c r="Z188" s="2">
        <v>0</v>
      </c>
      <c r="AA188" s="2">
        <v>0</v>
      </c>
      <c r="AB188" s="2"/>
      <c r="AC188" s="2">
        <v>13336</v>
      </c>
      <c r="AD188" s="2">
        <v>10388</v>
      </c>
      <c r="AE188" s="2">
        <v>6890</v>
      </c>
      <c r="AF188" s="2">
        <v>3123</v>
      </c>
      <c r="AG188" s="2">
        <v>0</v>
      </c>
      <c r="AH188" s="2"/>
      <c r="AI188" s="2">
        <v>0</v>
      </c>
      <c r="AJ188" s="2">
        <v>0</v>
      </c>
      <c r="AK188" s="2">
        <v>0</v>
      </c>
      <c r="AL188" s="2">
        <v>0</v>
      </c>
      <c r="AM188" s="2">
        <v>0</v>
      </c>
    </row>
    <row r="189" spans="1:39">
      <c r="A189" s="349">
        <v>91461</v>
      </c>
      <c r="B189" s="342" t="s">
        <v>877</v>
      </c>
      <c r="C189" s="234" t="e">
        <f>VLOOKUP(A189,#REF!,10,FALSE)</f>
        <v>#REF!</v>
      </c>
      <c r="E189" s="2">
        <v>3963</v>
      </c>
      <c r="F189" s="2">
        <v>636</v>
      </c>
      <c r="G189" s="2">
        <v>1878</v>
      </c>
      <c r="H189" s="2">
        <v>360</v>
      </c>
      <c r="I189" s="2">
        <v>0</v>
      </c>
      <c r="J189" s="2"/>
      <c r="K189" s="2">
        <v>1423</v>
      </c>
      <c r="L189" s="2">
        <v>1339</v>
      </c>
      <c r="M189" s="2">
        <v>1200</v>
      </c>
      <c r="N189" s="2">
        <v>480</v>
      </c>
      <c r="O189" s="2">
        <v>0</v>
      </c>
      <c r="P189" s="2"/>
      <c r="Q189" s="2">
        <v>1511</v>
      </c>
      <c r="R189" s="2">
        <v>-1300</v>
      </c>
      <c r="S189" s="2">
        <v>183</v>
      </c>
      <c r="T189" s="2">
        <v>238</v>
      </c>
      <c r="U189" s="2">
        <v>0</v>
      </c>
      <c r="V189" s="2"/>
      <c r="W189" s="2">
        <v>1702</v>
      </c>
      <c r="X189" s="2">
        <v>1394</v>
      </c>
      <c r="Y189" s="2">
        <v>1132</v>
      </c>
      <c r="Z189" s="2">
        <v>0</v>
      </c>
      <c r="AA189" s="2">
        <v>0</v>
      </c>
      <c r="AB189" s="2"/>
      <c r="AC189" s="2">
        <v>123</v>
      </c>
      <c r="AD189" s="2">
        <v>0</v>
      </c>
      <c r="AE189" s="2">
        <v>0</v>
      </c>
      <c r="AF189" s="2">
        <v>0</v>
      </c>
      <c r="AG189" s="2">
        <v>0</v>
      </c>
      <c r="AH189" s="2"/>
      <c r="AI189" s="2">
        <v>-796</v>
      </c>
      <c r="AJ189" s="2">
        <v>-797</v>
      </c>
      <c r="AK189" s="2">
        <v>-637</v>
      </c>
      <c r="AL189" s="2">
        <v>-358</v>
      </c>
      <c r="AM189" s="2">
        <v>-797</v>
      </c>
    </row>
    <row r="190" spans="1:39">
      <c r="A190" s="349">
        <v>91501</v>
      </c>
      <c r="B190" s="342" t="s">
        <v>878</v>
      </c>
      <c r="C190" s="234" t="e">
        <f>VLOOKUP(A190,#REF!,10,FALSE)</f>
        <v>#REF!</v>
      </c>
      <c r="E190" s="2">
        <v>254038</v>
      </c>
      <c r="F190" s="2">
        <v>79041</v>
      </c>
      <c r="G190" s="2">
        <v>139043</v>
      </c>
      <c r="H190" s="2">
        <v>46149</v>
      </c>
      <c r="I190" s="2">
        <v>0</v>
      </c>
      <c r="J190" s="2"/>
      <c r="K190" s="2">
        <v>76671</v>
      </c>
      <c r="L190" s="2">
        <v>72123</v>
      </c>
      <c r="M190" s="2">
        <v>64643</v>
      </c>
      <c r="N190" s="2">
        <v>25882</v>
      </c>
      <c r="O190" s="2">
        <v>0</v>
      </c>
      <c r="P190" s="2"/>
      <c r="Q190" s="2">
        <v>81397</v>
      </c>
      <c r="R190" s="2">
        <v>-70017</v>
      </c>
      <c r="S190" s="2">
        <v>9868</v>
      </c>
      <c r="T190" s="2">
        <v>12843</v>
      </c>
      <c r="U190" s="2">
        <v>0</v>
      </c>
      <c r="V190" s="2"/>
      <c r="W190" s="2">
        <v>91695</v>
      </c>
      <c r="X190" s="2">
        <v>75120</v>
      </c>
      <c r="Y190" s="2">
        <v>60985</v>
      </c>
      <c r="Z190" s="2">
        <v>0</v>
      </c>
      <c r="AA190" s="2">
        <v>0</v>
      </c>
      <c r="AB190" s="2"/>
      <c r="AC190" s="2">
        <v>9881</v>
      </c>
      <c r="AD190" s="2">
        <v>7423</v>
      </c>
      <c r="AE190" s="2">
        <v>7423</v>
      </c>
      <c r="AF190" s="2">
        <v>7424</v>
      </c>
      <c r="AG190" s="2">
        <v>0</v>
      </c>
      <c r="AH190" s="2"/>
      <c r="AI190" s="2">
        <v>-5606</v>
      </c>
      <c r="AJ190" s="2">
        <v>-5608</v>
      </c>
      <c r="AK190" s="2">
        <v>-3876</v>
      </c>
      <c r="AL190" s="2">
        <v>0</v>
      </c>
      <c r="AM190" s="2">
        <v>-5608</v>
      </c>
    </row>
    <row r="191" spans="1:39">
      <c r="A191" s="349">
        <v>91504</v>
      </c>
      <c r="B191" s="342" t="s">
        <v>879</v>
      </c>
      <c r="C191" s="234" t="e">
        <f>VLOOKUP(A191,#REF!,10,FALSE)</f>
        <v>#REF!</v>
      </c>
      <c r="E191" s="2">
        <v>5509</v>
      </c>
      <c r="F191" s="2">
        <v>2319</v>
      </c>
      <c r="G191" s="2">
        <v>2946</v>
      </c>
      <c r="H191" s="2">
        <v>911</v>
      </c>
      <c r="I191" s="2">
        <v>0</v>
      </c>
      <c r="J191" s="2"/>
      <c r="K191" s="2">
        <v>1258</v>
      </c>
      <c r="L191" s="2">
        <v>1184</v>
      </c>
      <c r="M191" s="2">
        <v>1061</v>
      </c>
      <c r="N191" s="2">
        <v>425</v>
      </c>
      <c r="O191" s="2">
        <v>0</v>
      </c>
      <c r="P191" s="2"/>
      <c r="Q191" s="2">
        <v>1336</v>
      </c>
      <c r="R191" s="2">
        <v>-1149</v>
      </c>
      <c r="S191" s="2">
        <v>162</v>
      </c>
      <c r="T191" s="2">
        <v>211</v>
      </c>
      <c r="U191" s="2">
        <v>0</v>
      </c>
      <c r="V191" s="2"/>
      <c r="W191" s="2">
        <v>1505</v>
      </c>
      <c r="X191" s="2">
        <v>1233</v>
      </c>
      <c r="Y191" s="2">
        <v>1001</v>
      </c>
      <c r="Z191" s="2">
        <v>0</v>
      </c>
      <c r="AA191" s="2">
        <v>0</v>
      </c>
      <c r="AB191" s="2"/>
      <c r="AC191" s="2">
        <v>1410</v>
      </c>
      <c r="AD191" s="2">
        <v>1051</v>
      </c>
      <c r="AE191" s="2">
        <v>722</v>
      </c>
      <c r="AF191" s="2">
        <v>275</v>
      </c>
      <c r="AG191" s="2">
        <v>0</v>
      </c>
      <c r="AH191" s="2"/>
      <c r="AI191" s="2">
        <v>0</v>
      </c>
      <c r="AJ191" s="2">
        <v>0</v>
      </c>
      <c r="AK191" s="2">
        <v>0</v>
      </c>
      <c r="AL191" s="2">
        <v>0</v>
      </c>
      <c r="AM191" s="2">
        <v>0</v>
      </c>
    </row>
    <row r="192" spans="1:39">
      <c r="A192" s="349">
        <v>91601</v>
      </c>
      <c r="B192" s="342" t="s">
        <v>880</v>
      </c>
      <c r="C192" s="234" t="e">
        <f>VLOOKUP(A192,#REF!,10,FALSE)</f>
        <v>#REF!</v>
      </c>
      <c r="E192" s="2">
        <v>1545468</v>
      </c>
      <c r="F192" s="2">
        <v>500845</v>
      </c>
      <c r="G192" s="2">
        <v>853299</v>
      </c>
      <c r="H192" s="2">
        <v>284266</v>
      </c>
      <c r="I192" s="2">
        <v>0</v>
      </c>
      <c r="J192" s="2"/>
      <c r="K192" s="2">
        <v>450485</v>
      </c>
      <c r="L192" s="2">
        <v>423761</v>
      </c>
      <c r="M192" s="2">
        <v>379812</v>
      </c>
      <c r="N192" s="2">
        <v>152072</v>
      </c>
      <c r="O192" s="2">
        <v>0</v>
      </c>
      <c r="P192" s="2"/>
      <c r="Q192" s="2">
        <v>478252</v>
      </c>
      <c r="R192" s="2">
        <v>-411386</v>
      </c>
      <c r="S192" s="2">
        <v>57980</v>
      </c>
      <c r="T192" s="2">
        <v>75460</v>
      </c>
      <c r="U192" s="2">
        <v>0</v>
      </c>
      <c r="V192" s="2"/>
      <c r="W192" s="2">
        <v>538758</v>
      </c>
      <c r="X192" s="2">
        <v>441370</v>
      </c>
      <c r="Y192" s="2">
        <v>358317</v>
      </c>
      <c r="Z192" s="2">
        <v>0</v>
      </c>
      <c r="AA192" s="2">
        <v>0</v>
      </c>
      <c r="AB192" s="2"/>
      <c r="AC192" s="2">
        <v>88065</v>
      </c>
      <c r="AD192" s="2">
        <v>57191</v>
      </c>
      <c r="AE192" s="2">
        <v>57190</v>
      </c>
      <c r="AF192" s="2">
        <v>56734</v>
      </c>
      <c r="AG192" s="2">
        <v>0</v>
      </c>
      <c r="AH192" s="2"/>
      <c r="AI192" s="2">
        <v>-10092</v>
      </c>
      <c r="AJ192" s="2">
        <v>-10091</v>
      </c>
      <c r="AK192" s="2">
        <v>0</v>
      </c>
      <c r="AL192" s="2">
        <v>0</v>
      </c>
      <c r="AM192" s="2">
        <v>-10091</v>
      </c>
    </row>
    <row r="193" spans="1:39">
      <c r="A193" s="349">
        <v>91604</v>
      </c>
      <c r="B193" s="342" t="s">
        <v>881</v>
      </c>
      <c r="C193" s="234" t="e">
        <f>VLOOKUP(A193,#REF!,10,FALSE)</f>
        <v>#REF!</v>
      </c>
      <c r="E193" s="2">
        <v>51863</v>
      </c>
      <c r="F193" s="2">
        <v>20757</v>
      </c>
      <c r="G193" s="2">
        <v>28244</v>
      </c>
      <c r="H193" s="2">
        <v>9838</v>
      </c>
      <c r="I193" s="2">
        <v>0</v>
      </c>
      <c r="J193" s="2"/>
      <c r="K193" s="2">
        <v>12823</v>
      </c>
      <c r="L193" s="2">
        <v>12063</v>
      </c>
      <c r="M193" s="2">
        <v>10812</v>
      </c>
      <c r="N193" s="2">
        <v>4329</v>
      </c>
      <c r="O193" s="2">
        <v>0</v>
      </c>
      <c r="P193" s="2"/>
      <c r="Q193" s="2">
        <v>13614</v>
      </c>
      <c r="R193" s="2">
        <v>-11711</v>
      </c>
      <c r="S193" s="2">
        <v>1650</v>
      </c>
      <c r="T193" s="2">
        <v>2148</v>
      </c>
      <c r="U193" s="2">
        <v>0</v>
      </c>
      <c r="V193" s="2"/>
      <c r="W193" s="2">
        <v>15336</v>
      </c>
      <c r="X193" s="2">
        <v>12564</v>
      </c>
      <c r="Y193" s="2">
        <v>10200</v>
      </c>
      <c r="Z193" s="2">
        <v>0</v>
      </c>
      <c r="AA193" s="2">
        <v>0</v>
      </c>
      <c r="AB193" s="2"/>
      <c r="AC193" s="2">
        <v>10090</v>
      </c>
      <c r="AD193" s="2">
        <v>7841</v>
      </c>
      <c r="AE193" s="2">
        <v>5582</v>
      </c>
      <c r="AF193" s="2">
        <v>3361</v>
      </c>
      <c r="AG193" s="2">
        <v>0</v>
      </c>
      <c r="AH193" s="2"/>
      <c r="AI193" s="2">
        <v>0</v>
      </c>
      <c r="AJ193" s="2">
        <v>0</v>
      </c>
      <c r="AK193" s="2">
        <v>0</v>
      </c>
      <c r="AL193" s="2">
        <v>0</v>
      </c>
      <c r="AM193" s="2">
        <v>0</v>
      </c>
    </row>
    <row r="194" spans="1:39">
      <c r="A194" s="349">
        <v>91608</v>
      </c>
      <c r="B194" s="342" t="s">
        <v>882</v>
      </c>
      <c r="C194" s="234" t="e">
        <f>VLOOKUP(A194,#REF!,10,FALSE)</f>
        <v>#REF!</v>
      </c>
      <c r="E194" s="2">
        <v>63397</v>
      </c>
      <c r="F194" s="2">
        <v>13891</v>
      </c>
      <c r="G194" s="2">
        <v>31058</v>
      </c>
      <c r="H194" s="2">
        <v>5995</v>
      </c>
      <c r="I194" s="2">
        <v>0</v>
      </c>
      <c r="J194" s="2"/>
      <c r="K194" s="2">
        <v>23100</v>
      </c>
      <c r="L194" s="2">
        <v>21730</v>
      </c>
      <c r="M194" s="2">
        <v>19476</v>
      </c>
      <c r="N194" s="2">
        <v>7798</v>
      </c>
      <c r="O194" s="2">
        <v>0</v>
      </c>
      <c r="P194" s="2"/>
      <c r="Q194" s="2">
        <v>24524</v>
      </c>
      <c r="R194" s="2">
        <v>-21095</v>
      </c>
      <c r="S194" s="2">
        <v>2973</v>
      </c>
      <c r="T194" s="2">
        <v>3869</v>
      </c>
      <c r="U194" s="2">
        <v>0</v>
      </c>
      <c r="V194" s="2"/>
      <c r="W194" s="2">
        <v>27627</v>
      </c>
      <c r="X194" s="2">
        <v>22633</v>
      </c>
      <c r="Y194" s="2">
        <v>18374</v>
      </c>
      <c r="Z194" s="2">
        <v>0</v>
      </c>
      <c r="AA194" s="2">
        <v>0</v>
      </c>
      <c r="AB194" s="2"/>
      <c r="AC194" s="2">
        <v>390</v>
      </c>
      <c r="AD194" s="2">
        <v>389</v>
      </c>
      <c r="AE194" s="2">
        <v>0</v>
      </c>
      <c r="AF194" s="2">
        <v>0</v>
      </c>
      <c r="AG194" s="2">
        <v>0</v>
      </c>
      <c r="AH194" s="2"/>
      <c r="AI194" s="2">
        <v>-12244</v>
      </c>
      <c r="AJ194" s="2">
        <v>-9766</v>
      </c>
      <c r="AK194" s="2">
        <v>-9765</v>
      </c>
      <c r="AL194" s="2">
        <v>-5672</v>
      </c>
      <c r="AM194" s="2">
        <v>-9766</v>
      </c>
    </row>
    <row r="195" spans="1:39">
      <c r="A195" s="349">
        <v>91611</v>
      </c>
      <c r="B195" s="342" t="s">
        <v>883</v>
      </c>
      <c r="C195" s="234" t="e">
        <f>VLOOKUP(A195,#REF!,10,FALSE)</f>
        <v>#REF!</v>
      </c>
      <c r="E195" s="2">
        <v>659663</v>
      </c>
      <c r="F195" s="2">
        <v>170402</v>
      </c>
      <c r="G195" s="2">
        <v>346557</v>
      </c>
      <c r="H195" s="2">
        <v>90138</v>
      </c>
      <c r="I195" s="2">
        <v>0</v>
      </c>
      <c r="J195" s="2"/>
      <c r="K195" s="2">
        <v>219587</v>
      </c>
      <c r="L195" s="2">
        <v>206561</v>
      </c>
      <c r="M195" s="2">
        <v>185138</v>
      </c>
      <c r="N195" s="2">
        <v>74127</v>
      </c>
      <c r="O195" s="2">
        <v>0</v>
      </c>
      <c r="P195" s="2"/>
      <c r="Q195" s="2">
        <v>233122</v>
      </c>
      <c r="R195" s="2">
        <v>-200529</v>
      </c>
      <c r="S195" s="2">
        <v>28262</v>
      </c>
      <c r="T195" s="2">
        <v>36783</v>
      </c>
      <c r="U195" s="2">
        <v>0</v>
      </c>
      <c r="V195" s="2"/>
      <c r="W195" s="2">
        <v>262616</v>
      </c>
      <c r="X195" s="2">
        <v>215144</v>
      </c>
      <c r="Y195" s="2">
        <v>174660</v>
      </c>
      <c r="Z195" s="2">
        <v>0</v>
      </c>
      <c r="AA195" s="2">
        <v>0</v>
      </c>
      <c r="AB195" s="2"/>
      <c r="AC195" s="2">
        <v>0</v>
      </c>
      <c r="AD195" s="2">
        <v>0</v>
      </c>
      <c r="AE195" s="2">
        <v>0</v>
      </c>
      <c r="AF195" s="2">
        <v>0</v>
      </c>
      <c r="AG195" s="2">
        <v>0</v>
      </c>
      <c r="AH195" s="2"/>
      <c r="AI195" s="2">
        <v>-55662</v>
      </c>
      <c r="AJ195" s="2">
        <v>-50774</v>
      </c>
      <c r="AK195" s="2">
        <v>-41503</v>
      </c>
      <c r="AL195" s="2">
        <v>-20772</v>
      </c>
      <c r="AM195" s="2">
        <v>-50774</v>
      </c>
    </row>
    <row r="196" spans="1:39">
      <c r="A196" s="349">
        <v>91621</v>
      </c>
      <c r="B196" s="342" t="s">
        <v>884</v>
      </c>
      <c r="C196" s="234" t="e">
        <f>VLOOKUP(A196,#REF!,10,FALSE)</f>
        <v>#REF!</v>
      </c>
      <c r="E196" s="2">
        <v>110459</v>
      </c>
      <c r="F196" s="2">
        <v>30308</v>
      </c>
      <c r="G196" s="2">
        <v>57939</v>
      </c>
      <c r="H196" s="2">
        <v>14040</v>
      </c>
      <c r="I196" s="2">
        <v>0</v>
      </c>
      <c r="J196" s="2"/>
      <c r="K196" s="2">
        <v>36223</v>
      </c>
      <c r="L196" s="2">
        <v>34074</v>
      </c>
      <c r="M196" s="2">
        <v>30541</v>
      </c>
      <c r="N196" s="2">
        <v>12228</v>
      </c>
      <c r="O196" s="2">
        <v>0</v>
      </c>
      <c r="P196" s="2"/>
      <c r="Q196" s="2">
        <v>38456</v>
      </c>
      <c r="R196" s="2">
        <v>-33079</v>
      </c>
      <c r="S196" s="2">
        <v>4662</v>
      </c>
      <c r="T196" s="2">
        <v>6068</v>
      </c>
      <c r="U196" s="2">
        <v>0</v>
      </c>
      <c r="V196" s="2"/>
      <c r="W196" s="2">
        <v>43321</v>
      </c>
      <c r="X196" s="2">
        <v>35490</v>
      </c>
      <c r="Y196" s="2">
        <v>28812</v>
      </c>
      <c r="Z196" s="2">
        <v>0</v>
      </c>
      <c r="AA196" s="2">
        <v>0</v>
      </c>
      <c r="AB196" s="2"/>
      <c r="AC196" s="2">
        <v>0</v>
      </c>
      <c r="AD196" s="2">
        <v>0</v>
      </c>
      <c r="AE196" s="2">
        <v>0</v>
      </c>
      <c r="AF196" s="2">
        <v>0</v>
      </c>
      <c r="AG196" s="2">
        <v>0</v>
      </c>
      <c r="AH196" s="2"/>
      <c r="AI196" s="2">
        <v>-7541</v>
      </c>
      <c r="AJ196" s="2">
        <v>-6177</v>
      </c>
      <c r="AK196" s="2">
        <v>-6076</v>
      </c>
      <c r="AL196" s="2">
        <v>-4256</v>
      </c>
      <c r="AM196" s="2">
        <v>-6177</v>
      </c>
    </row>
    <row r="197" spans="1:39">
      <c r="A197" s="349">
        <v>91631</v>
      </c>
      <c r="B197" s="342" t="s">
        <v>885</v>
      </c>
      <c r="C197" s="234" t="e">
        <f>VLOOKUP(A197,#REF!,10,FALSE)</f>
        <v>#REF!</v>
      </c>
      <c r="E197" s="2">
        <v>278130</v>
      </c>
      <c r="F197" s="2">
        <v>84867</v>
      </c>
      <c r="G197" s="2">
        <v>159183</v>
      </c>
      <c r="H197" s="2">
        <v>47920</v>
      </c>
      <c r="I197" s="2">
        <v>0</v>
      </c>
      <c r="J197" s="2"/>
      <c r="K197" s="2">
        <v>88910</v>
      </c>
      <c r="L197" s="2">
        <v>83636</v>
      </c>
      <c r="M197" s="2">
        <v>74962</v>
      </c>
      <c r="N197" s="2">
        <v>30014</v>
      </c>
      <c r="O197" s="2">
        <v>0</v>
      </c>
      <c r="P197" s="2"/>
      <c r="Q197" s="2">
        <v>94391</v>
      </c>
      <c r="R197" s="2">
        <v>-81194</v>
      </c>
      <c r="S197" s="2">
        <v>11443</v>
      </c>
      <c r="T197" s="2">
        <v>14893</v>
      </c>
      <c r="U197" s="2">
        <v>0</v>
      </c>
      <c r="V197" s="2"/>
      <c r="W197" s="2">
        <v>106333</v>
      </c>
      <c r="X197" s="2">
        <v>87112</v>
      </c>
      <c r="Y197" s="2">
        <v>70720</v>
      </c>
      <c r="Z197" s="2">
        <v>0</v>
      </c>
      <c r="AA197" s="2">
        <v>0</v>
      </c>
      <c r="AB197" s="2"/>
      <c r="AC197" s="2">
        <v>3014</v>
      </c>
      <c r="AD197" s="2">
        <v>3014</v>
      </c>
      <c r="AE197" s="2">
        <v>3014</v>
      </c>
      <c r="AF197" s="2">
        <v>3013</v>
      </c>
      <c r="AG197" s="2">
        <v>0</v>
      </c>
      <c r="AH197" s="2"/>
      <c r="AI197" s="2">
        <v>-14518</v>
      </c>
      <c r="AJ197" s="2">
        <v>-7701</v>
      </c>
      <c r="AK197" s="2">
        <v>-956</v>
      </c>
      <c r="AL197" s="2">
        <v>0</v>
      </c>
      <c r="AM197" s="2">
        <v>-7701</v>
      </c>
    </row>
    <row r="198" spans="1:39">
      <c r="A198" s="349">
        <v>91633</v>
      </c>
      <c r="B198" s="342" t="s">
        <v>2750</v>
      </c>
      <c r="C198" s="234" t="e">
        <f>VLOOKUP(A198,#REF!,10,FALSE)</f>
        <v>#REF!</v>
      </c>
      <c r="E198" s="2">
        <v>17017</v>
      </c>
      <c r="F198" s="2">
        <v>6082</v>
      </c>
      <c r="G198" s="2">
        <v>9553</v>
      </c>
      <c r="H198" s="2">
        <v>4536</v>
      </c>
      <c r="I198" s="2">
        <v>0</v>
      </c>
      <c r="J198" s="2"/>
      <c r="K198" s="2">
        <v>4719</v>
      </c>
      <c r="L198" s="2">
        <v>4439</v>
      </c>
      <c r="M198" s="2">
        <v>3979</v>
      </c>
      <c r="N198" s="2">
        <v>1593</v>
      </c>
      <c r="O198" s="2">
        <v>0</v>
      </c>
      <c r="P198" s="2"/>
      <c r="Q198" s="2">
        <v>5010</v>
      </c>
      <c r="R198" s="2">
        <v>-4309</v>
      </c>
      <c r="S198" s="2">
        <v>607</v>
      </c>
      <c r="T198" s="2">
        <v>790</v>
      </c>
      <c r="U198" s="2">
        <v>0</v>
      </c>
      <c r="V198" s="2"/>
      <c r="W198" s="2">
        <v>5644</v>
      </c>
      <c r="X198" s="2">
        <v>4623</v>
      </c>
      <c r="Y198" s="2">
        <v>3753</v>
      </c>
      <c r="Z198" s="2">
        <v>0</v>
      </c>
      <c r="AA198" s="2">
        <v>0</v>
      </c>
      <c r="AB198" s="2"/>
      <c r="AC198" s="2">
        <v>2583</v>
      </c>
      <c r="AD198" s="2">
        <v>2268</v>
      </c>
      <c r="AE198" s="2">
        <v>2151</v>
      </c>
      <c r="AF198" s="2">
        <v>2153</v>
      </c>
      <c r="AG198" s="2">
        <v>0</v>
      </c>
      <c r="AH198" s="2"/>
      <c r="AI198" s="2">
        <v>-939</v>
      </c>
      <c r="AJ198" s="2">
        <v>-939</v>
      </c>
      <c r="AK198" s="2">
        <v>-937</v>
      </c>
      <c r="AL198" s="2">
        <v>0</v>
      </c>
      <c r="AM198" s="2">
        <v>-939</v>
      </c>
    </row>
    <row r="199" spans="1:39">
      <c r="A199" s="349">
        <v>91641</v>
      </c>
      <c r="B199" s="342" t="s">
        <v>887</v>
      </c>
      <c r="C199" s="234" t="e">
        <f>VLOOKUP(A199,#REF!,10,FALSE)</f>
        <v>#REF!</v>
      </c>
      <c r="E199" s="2">
        <v>118507</v>
      </c>
      <c r="F199" s="2">
        <v>30751</v>
      </c>
      <c r="G199" s="2">
        <v>64700</v>
      </c>
      <c r="H199" s="2">
        <v>21979</v>
      </c>
      <c r="I199" s="2">
        <v>0</v>
      </c>
      <c r="J199" s="2"/>
      <c r="K199" s="2">
        <v>42725</v>
      </c>
      <c r="L199" s="2">
        <v>40190</v>
      </c>
      <c r="M199" s="2">
        <v>36022</v>
      </c>
      <c r="N199" s="2">
        <v>14423</v>
      </c>
      <c r="O199" s="2">
        <v>0</v>
      </c>
      <c r="P199" s="2"/>
      <c r="Q199" s="2">
        <v>45358</v>
      </c>
      <c r="R199" s="2">
        <v>-39017</v>
      </c>
      <c r="S199" s="2">
        <v>5499</v>
      </c>
      <c r="T199" s="2">
        <v>7157</v>
      </c>
      <c r="U199" s="2">
        <v>0</v>
      </c>
      <c r="V199" s="2"/>
      <c r="W199" s="2">
        <v>51097</v>
      </c>
      <c r="X199" s="2">
        <v>41861</v>
      </c>
      <c r="Y199" s="2">
        <v>33984</v>
      </c>
      <c r="Z199" s="2">
        <v>0</v>
      </c>
      <c r="AA199" s="2">
        <v>0</v>
      </c>
      <c r="AB199" s="2"/>
      <c r="AC199" s="2">
        <v>399</v>
      </c>
      <c r="AD199" s="2">
        <v>399</v>
      </c>
      <c r="AE199" s="2">
        <v>399</v>
      </c>
      <c r="AF199" s="2">
        <v>399</v>
      </c>
      <c r="AG199" s="2">
        <v>0</v>
      </c>
      <c r="AH199" s="2"/>
      <c r="AI199" s="2">
        <v>-21072</v>
      </c>
      <c r="AJ199" s="2">
        <v>-12682</v>
      </c>
      <c r="AK199" s="2">
        <v>-11204</v>
      </c>
      <c r="AL199" s="2">
        <v>0</v>
      </c>
      <c r="AM199" s="2">
        <v>-12682</v>
      </c>
    </row>
    <row r="200" spans="1:39">
      <c r="A200" s="349">
        <v>91651</v>
      </c>
      <c r="B200" s="342" t="s">
        <v>888</v>
      </c>
      <c r="C200" s="234" t="e">
        <f>VLOOKUP(A200,#REF!,10,FALSE)</f>
        <v>#REF!</v>
      </c>
      <c r="E200" s="2">
        <v>277263</v>
      </c>
      <c r="F200" s="2">
        <v>98615</v>
      </c>
      <c r="G200" s="2">
        <v>162718</v>
      </c>
      <c r="H200" s="2">
        <v>54053</v>
      </c>
      <c r="I200" s="2">
        <v>0</v>
      </c>
      <c r="J200" s="2"/>
      <c r="K200" s="2">
        <v>80971</v>
      </c>
      <c r="L200" s="2">
        <v>76167</v>
      </c>
      <c r="M200" s="2">
        <v>68268</v>
      </c>
      <c r="N200" s="2">
        <v>27334</v>
      </c>
      <c r="O200" s="2">
        <v>0</v>
      </c>
      <c r="P200" s="2"/>
      <c r="Q200" s="2">
        <v>85962</v>
      </c>
      <c r="R200" s="2">
        <v>-73943</v>
      </c>
      <c r="S200" s="2">
        <v>10421</v>
      </c>
      <c r="T200" s="2">
        <v>13563</v>
      </c>
      <c r="U200" s="2">
        <v>0</v>
      </c>
      <c r="V200" s="2"/>
      <c r="W200" s="2">
        <v>96837</v>
      </c>
      <c r="X200" s="2">
        <v>79332</v>
      </c>
      <c r="Y200" s="2">
        <v>64404</v>
      </c>
      <c r="Z200" s="2">
        <v>0</v>
      </c>
      <c r="AA200" s="2">
        <v>0</v>
      </c>
      <c r="AB200" s="2"/>
      <c r="AC200" s="2">
        <v>19626</v>
      </c>
      <c r="AD200" s="2">
        <v>19626</v>
      </c>
      <c r="AE200" s="2">
        <v>19625</v>
      </c>
      <c r="AF200" s="2">
        <v>13156</v>
      </c>
      <c r="AG200" s="2">
        <v>0</v>
      </c>
      <c r="AH200" s="2"/>
      <c r="AI200" s="2">
        <v>-6133</v>
      </c>
      <c r="AJ200" s="2">
        <v>-2567</v>
      </c>
      <c r="AK200" s="2">
        <v>0</v>
      </c>
      <c r="AL200" s="2">
        <v>0</v>
      </c>
      <c r="AM200" s="2">
        <v>-2567</v>
      </c>
    </row>
    <row r="201" spans="1:39">
      <c r="A201" s="349">
        <v>91661</v>
      </c>
      <c r="B201" s="342" t="s">
        <v>889</v>
      </c>
      <c r="C201" s="234" t="e">
        <f>VLOOKUP(A201,#REF!,10,FALSE)</f>
        <v>#REF!</v>
      </c>
      <c r="E201" s="2">
        <v>76020</v>
      </c>
      <c r="F201" s="2">
        <v>18846</v>
      </c>
      <c r="G201" s="2">
        <v>44354</v>
      </c>
      <c r="H201" s="2">
        <v>10635</v>
      </c>
      <c r="I201" s="2">
        <v>0</v>
      </c>
      <c r="J201" s="2"/>
      <c r="K201" s="2">
        <v>28104</v>
      </c>
      <c r="L201" s="2">
        <v>26437</v>
      </c>
      <c r="M201" s="2">
        <v>23695</v>
      </c>
      <c r="N201" s="2">
        <v>9487</v>
      </c>
      <c r="O201" s="2">
        <v>0</v>
      </c>
      <c r="P201" s="2"/>
      <c r="Q201" s="2">
        <v>29836</v>
      </c>
      <c r="R201" s="2">
        <v>-25665</v>
      </c>
      <c r="S201" s="2">
        <v>3617</v>
      </c>
      <c r="T201" s="2">
        <v>4708</v>
      </c>
      <c r="U201" s="2">
        <v>0</v>
      </c>
      <c r="V201" s="2"/>
      <c r="W201" s="2">
        <v>33611</v>
      </c>
      <c r="X201" s="2">
        <v>27535</v>
      </c>
      <c r="Y201" s="2">
        <v>22354</v>
      </c>
      <c r="Z201" s="2">
        <v>0</v>
      </c>
      <c r="AA201" s="2">
        <v>0</v>
      </c>
      <c r="AB201" s="2"/>
      <c r="AC201" s="2">
        <v>0</v>
      </c>
      <c r="AD201" s="2">
        <v>0</v>
      </c>
      <c r="AE201" s="2">
        <v>0</v>
      </c>
      <c r="AF201" s="2">
        <v>0</v>
      </c>
      <c r="AG201" s="2">
        <v>0</v>
      </c>
      <c r="AH201" s="2"/>
      <c r="AI201" s="2">
        <v>-15531</v>
      </c>
      <c r="AJ201" s="2">
        <v>-9461</v>
      </c>
      <c r="AK201" s="2">
        <v>-5312</v>
      </c>
      <c r="AL201" s="2">
        <v>-3560</v>
      </c>
      <c r="AM201" s="2">
        <v>-9461</v>
      </c>
    </row>
    <row r="202" spans="1:39">
      <c r="A202" s="349">
        <v>91671</v>
      </c>
      <c r="B202" s="342" t="s">
        <v>890</v>
      </c>
      <c r="C202" s="234" t="e">
        <f>VLOOKUP(A202,#REF!,10,FALSE)</f>
        <v>#REF!</v>
      </c>
      <c r="E202" s="2">
        <v>51196</v>
      </c>
      <c r="F202" s="2">
        <v>13923</v>
      </c>
      <c r="G202" s="2">
        <v>26474</v>
      </c>
      <c r="H202" s="2">
        <v>4807</v>
      </c>
      <c r="I202" s="2">
        <v>0</v>
      </c>
      <c r="J202" s="2"/>
      <c r="K202" s="2">
        <v>16119</v>
      </c>
      <c r="L202" s="2">
        <v>15163</v>
      </c>
      <c r="M202" s="2">
        <v>13590</v>
      </c>
      <c r="N202" s="2">
        <v>5441</v>
      </c>
      <c r="O202" s="2">
        <v>0</v>
      </c>
      <c r="P202" s="2"/>
      <c r="Q202" s="2">
        <v>17113</v>
      </c>
      <c r="R202" s="2">
        <v>-14720</v>
      </c>
      <c r="S202" s="2">
        <v>2075</v>
      </c>
      <c r="T202" s="2">
        <v>2700</v>
      </c>
      <c r="U202" s="2">
        <v>0</v>
      </c>
      <c r="V202" s="2"/>
      <c r="W202" s="2">
        <v>19278</v>
      </c>
      <c r="X202" s="2">
        <v>15793</v>
      </c>
      <c r="Y202" s="2">
        <v>12821</v>
      </c>
      <c r="Z202" s="2">
        <v>0</v>
      </c>
      <c r="AA202" s="2">
        <v>0</v>
      </c>
      <c r="AB202" s="2"/>
      <c r="AC202" s="2">
        <v>2317</v>
      </c>
      <c r="AD202" s="2">
        <v>1319</v>
      </c>
      <c r="AE202" s="2">
        <v>1320</v>
      </c>
      <c r="AF202" s="2">
        <v>0</v>
      </c>
      <c r="AG202" s="2">
        <v>0</v>
      </c>
      <c r="AH202" s="2"/>
      <c r="AI202" s="2">
        <v>-3631</v>
      </c>
      <c r="AJ202" s="2">
        <v>-3632</v>
      </c>
      <c r="AK202" s="2">
        <v>-3332</v>
      </c>
      <c r="AL202" s="2">
        <v>-3334</v>
      </c>
      <c r="AM202" s="2">
        <v>-3632</v>
      </c>
    </row>
    <row r="203" spans="1:39">
      <c r="A203" s="349">
        <v>91681</v>
      </c>
      <c r="B203" s="342" t="s">
        <v>891</v>
      </c>
      <c r="C203" s="234" t="e">
        <f>VLOOKUP(A203,#REF!,10,FALSE)</f>
        <v>#REF!</v>
      </c>
      <c r="E203" s="2">
        <v>348984</v>
      </c>
      <c r="F203" s="2">
        <v>171205</v>
      </c>
      <c r="G203" s="2">
        <v>189070</v>
      </c>
      <c r="H203" s="2">
        <v>69179</v>
      </c>
      <c r="I203" s="2">
        <v>0</v>
      </c>
      <c r="J203" s="2"/>
      <c r="K203" s="2">
        <v>68776</v>
      </c>
      <c r="L203" s="2">
        <v>64696</v>
      </c>
      <c r="M203" s="2">
        <v>57987</v>
      </c>
      <c r="N203" s="2">
        <v>23217</v>
      </c>
      <c r="O203" s="2">
        <v>0</v>
      </c>
      <c r="P203" s="2"/>
      <c r="Q203" s="2">
        <v>73016</v>
      </c>
      <c r="R203" s="2">
        <v>-62807</v>
      </c>
      <c r="S203" s="2">
        <v>8852</v>
      </c>
      <c r="T203" s="2">
        <v>11521</v>
      </c>
      <c r="U203" s="2">
        <v>0</v>
      </c>
      <c r="V203" s="2"/>
      <c r="W203" s="2">
        <v>82253</v>
      </c>
      <c r="X203" s="2">
        <v>67385</v>
      </c>
      <c r="Y203" s="2">
        <v>54705</v>
      </c>
      <c r="Z203" s="2">
        <v>0</v>
      </c>
      <c r="AA203" s="2">
        <v>0</v>
      </c>
      <c r="AB203" s="2"/>
      <c r="AC203" s="2">
        <v>124939</v>
      </c>
      <c r="AD203" s="2">
        <v>101931</v>
      </c>
      <c r="AE203" s="2">
        <v>67526</v>
      </c>
      <c r="AF203" s="2">
        <v>34441</v>
      </c>
      <c r="AG203" s="2">
        <v>0</v>
      </c>
      <c r="AH203" s="2"/>
      <c r="AI203" s="2">
        <v>0</v>
      </c>
      <c r="AJ203" s="2">
        <v>0</v>
      </c>
      <c r="AK203" s="2">
        <v>0</v>
      </c>
      <c r="AL203" s="2">
        <v>0</v>
      </c>
      <c r="AM203" s="2">
        <v>0</v>
      </c>
    </row>
    <row r="204" spans="1:39">
      <c r="A204" s="349">
        <v>91691</v>
      </c>
      <c r="B204" s="342" t="s">
        <v>892</v>
      </c>
      <c r="C204" s="234" t="e">
        <f>VLOOKUP(A204,#REF!,10,FALSE)</f>
        <v>#REF!</v>
      </c>
      <c r="E204" s="2">
        <v>11850</v>
      </c>
      <c r="F204" s="2">
        <v>3613</v>
      </c>
      <c r="G204" s="2">
        <v>6475</v>
      </c>
      <c r="H204" s="2">
        <v>2245</v>
      </c>
      <c r="I204" s="2">
        <v>0</v>
      </c>
      <c r="J204" s="2"/>
      <c r="K204" s="2">
        <v>3431</v>
      </c>
      <c r="L204" s="2">
        <v>3227</v>
      </c>
      <c r="M204" s="2">
        <v>2892</v>
      </c>
      <c r="N204" s="2">
        <v>1158</v>
      </c>
      <c r="O204" s="2">
        <v>0</v>
      </c>
      <c r="P204" s="2"/>
      <c r="Q204" s="2">
        <v>3642</v>
      </c>
      <c r="R204" s="2">
        <v>-3133</v>
      </c>
      <c r="S204" s="2">
        <v>442</v>
      </c>
      <c r="T204" s="2">
        <v>575</v>
      </c>
      <c r="U204" s="2">
        <v>0</v>
      </c>
      <c r="V204" s="2"/>
      <c r="W204" s="2">
        <v>4103</v>
      </c>
      <c r="X204" s="2">
        <v>3361</v>
      </c>
      <c r="Y204" s="2">
        <v>2729</v>
      </c>
      <c r="Z204" s="2">
        <v>0</v>
      </c>
      <c r="AA204" s="2">
        <v>0</v>
      </c>
      <c r="AB204" s="2"/>
      <c r="AC204" s="2">
        <v>1026</v>
      </c>
      <c r="AD204" s="2">
        <v>510</v>
      </c>
      <c r="AE204" s="2">
        <v>510</v>
      </c>
      <c r="AF204" s="2">
        <v>512</v>
      </c>
      <c r="AG204" s="2">
        <v>0</v>
      </c>
      <c r="AH204" s="2"/>
      <c r="AI204" s="2">
        <v>-352</v>
      </c>
      <c r="AJ204" s="2">
        <v>-352</v>
      </c>
      <c r="AK204" s="2">
        <v>-98</v>
      </c>
      <c r="AL204" s="2">
        <v>0</v>
      </c>
      <c r="AM204" s="2">
        <v>-352</v>
      </c>
    </row>
    <row r="205" spans="1:39">
      <c r="A205" s="349">
        <v>91701</v>
      </c>
      <c r="B205" s="342" t="s">
        <v>893</v>
      </c>
      <c r="C205" s="234" t="e">
        <f>VLOOKUP(A205,#REF!,10,FALSE)</f>
        <v>#REF!</v>
      </c>
      <c r="E205" s="2">
        <v>543279</v>
      </c>
      <c r="F205" s="2">
        <v>156901</v>
      </c>
      <c r="G205" s="2">
        <v>265728</v>
      </c>
      <c r="H205" s="2">
        <v>61073</v>
      </c>
      <c r="I205" s="2">
        <v>0</v>
      </c>
      <c r="J205" s="2"/>
      <c r="K205" s="2">
        <v>169926</v>
      </c>
      <c r="L205" s="2">
        <v>159846</v>
      </c>
      <c r="M205" s="2">
        <v>143268</v>
      </c>
      <c r="N205" s="2">
        <v>57363</v>
      </c>
      <c r="O205" s="2">
        <v>0</v>
      </c>
      <c r="P205" s="2"/>
      <c r="Q205" s="2">
        <v>180400</v>
      </c>
      <c r="R205" s="2">
        <v>-155178</v>
      </c>
      <c r="S205" s="2">
        <v>21870</v>
      </c>
      <c r="T205" s="2">
        <v>28464</v>
      </c>
      <c r="U205" s="2">
        <v>0</v>
      </c>
      <c r="V205" s="2"/>
      <c r="W205" s="2">
        <v>203223</v>
      </c>
      <c r="X205" s="2">
        <v>166488</v>
      </c>
      <c r="Y205" s="2">
        <v>135160</v>
      </c>
      <c r="Z205" s="2">
        <v>0</v>
      </c>
      <c r="AA205" s="2">
        <v>0</v>
      </c>
      <c r="AB205" s="2"/>
      <c r="AC205" s="2">
        <v>24302</v>
      </c>
      <c r="AD205" s="2">
        <v>20317</v>
      </c>
      <c r="AE205" s="2">
        <v>0</v>
      </c>
      <c r="AF205" s="2">
        <v>0</v>
      </c>
      <c r="AG205" s="2">
        <v>0</v>
      </c>
      <c r="AH205" s="2"/>
      <c r="AI205" s="2">
        <v>-34572</v>
      </c>
      <c r="AJ205" s="2">
        <v>-34572</v>
      </c>
      <c r="AK205" s="2">
        <v>-34570</v>
      </c>
      <c r="AL205" s="2">
        <v>-24754</v>
      </c>
      <c r="AM205" s="2">
        <v>-34572</v>
      </c>
    </row>
    <row r="206" spans="1:39">
      <c r="A206" s="349">
        <v>91704</v>
      </c>
      <c r="B206" s="342" t="s">
        <v>894</v>
      </c>
      <c r="C206" s="234" t="e">
        <f>VLOOKUP(A206,#REF!,10,FALSE)</f>
        <v>#REF!</v>
      </c>
      <c r="E206" s="2">
        <v>8798</v>
      </c>
      <c r="F206" s="2">
        <v>2843</v>
      </c>
      <c r="G206" s="2">
        <v>4834</v>
      </c>
      <c r="H206" s="2">
        <v>1475</v>
      </c>
      <c r="I206" s="2">
        <v>0</v>
      </c>
      <c r="J206" s="2"/>
      <c r="K206" s="2">
        <v>2637</v>
      </c>
      <c r="L206" s="2">
        <v>2480</v>
      </c>
      <c r="M206" s="2">
        <v>2223</v>
      </c>
      <c r="N206" s="2">
        <v>890</v>
      </c>
      <c r="O206" s="2">
        <v>0</v>
      </c>
      <c r="P206" s="2"/>
      <c r="Q206" s="2">
        <v>2799</v>
      </c>
      <c r="R206" s="2">
        <v>-2408</v>
      </c>
      <c r="S206" s="2">
        <v>339</v>
      </c>
      <c r="T206" s="2">
        <v>442</v>
      </c>
      <c r="U206" s="2">
        <v>0</v>
      </c>
      <c r="V206" s="2"/>
      <c r="W206" s="2">
        <v>3153</v>
      </c>
      <c r="X206" s="2">
        <v>2583</v>
      </c>
      <c r="Y206" s="2">
        <v>2097</v>
      </c>
      <c r="Z206" s="2">
        <v>0</v>
      </c>
      <c r="AA206" s="2">
        <v>0</v>
      </c>
      <c r="AB206" s="2"/>
      <c r="AC206" s="2">
        <v>209</v>
      </c>
      <c r="AD206" s="2">
        <v>188</v>
      </c>
      <c r="AE206" s="2">
        <v>175</v>
      </c>
      <c r="AF206" s="2">
        <v>143</v>
      </c>
      <c r="AG206" s="2">
        <v>0</v>
      </c>
      <c r="AH206" s="2"/>
      <c r="AI206" s="2">
        <v>0</v>
      </c>
      <c r="AJ206" s="2">
        <v>0</v>
      </c>
      <c r="AK206" s="2">
        <v>0</v>
      </c>
      <c r="AL206" s="2">
        <v>0</v>
      </c>
      <c r="AM206" s="2">
        <v>0</v>
      </c>
    </row>
    <row r="207" spans="1:39">
      <c r="A207" s="349">
        <v>91706</v>
      </c>
      <c r="B207" s="342" t="s">
        <v>3654</v>
      </c>
      <c r="C207" s="234" t="e">
        <f>VLOOKUP(A207,#REF!,10,FALSE)</f>
        <v>#REF!</v>
      </c>
      <c r="E207" s="2">
        <v>140680</v>
      </c>
      <c r="F207" s="2">
        <v>55770</v>
      </c>
      <c r="G207" s="2">
        <v>82578</v>
      </c>
      <c r="H207" s="2">
        <v>26898</v>
      </c>
      <c r="I207" s="2">
        <v>0</v>
      </c>
      <c r="J207" s="2"/>
      <c r="K207" s="2">
        <v>38096</v>
      </c>
      <c r="L207" s="2">
        <v>35836</v>
      </c>
      <c r="M207" s="2">
        <v>32119</v>
      </c>
      <c r="N207" s="2">
        <v>12860</v>
      </c>
      <c r="O207" s="2">
        <v>0</v>
      </c>
      <c r="P207" s="2"/>
      <c r="Q207" s="2">
        <v>40444</v>
      </c>
      <c r="R207" s="2">
        <v>-34790</v>
      </c>
      <c r="S207" s="2">
        <v>4903</v>
      </c>
      <c r="T207" s="2">
        <v>6381</v>
      </c>
      <c r="U207" s="2">
        <v>0</v>
      </c>
      <c r="V207" s="2"/>
      <c r="W207" s="2">
        <v>45561</v>
      </c>
      <c r="X207" s="2">
        <v>37325</v>
      </c>
      <c r="Y207" s="2">
        <v>30302</v>
      </c>
      <c r="Z207" s="2">
        <v>0</v>
      </c>
      <c r="AA207" s="2">
        <v>0</v>
      </c>
      <c r="AB207" s="2"/>
      <c r="AC207" s="2">
        <v>17399</v>
      </c>
      <c r="AD207" s="2">
        <v>17399</v>
      </c>
      <c r="AE207" s="2">
        <v>15254</v>
      </c>
      <c r="AF207" s="2">
        <v>7657</v>
      </c>
      <c r="AG207" s="2">
        <v>0</v>
      </c>
      <c r="AH207" s="2"/>
      <c r="AI207" s="2">
        <v>-820</v>
      </c>
      <c r="AJ207" s="2">
        <v>0</v>
      </c>
      <c r="AK207" s="2">
        <v>0</v>
      </c>
      <c r="AL207" s="2">
        <v>0</v>
      </c>
      <c r="AM207" s="2">
        <v>0</v>
      </c>
    </row>
    <row r="208" spans="1:39">
      <c r="A208" s="349">
        <v>91719</v>
      </c>
      <c r="B208" s="342" t="s">
        <v>896</v>
      </c>
      <c r="C208" s="234" t="e">
        <f>VLOOKUP(A208,#REF!,10,FALSE)</f>
        <v>#REF!</v>
      </c>
      <c r="E208" s="2">
        <v>25709</v>
      </c>
      <c r="F208" s="2">
        <v>6762</v>
      </c>
      <c r="G208" s="2">
        <v>13783</v>
      </c>
      <c r="H208" s="2">
        <v>2929</v>
      </c>
      <c r="I208" s="2">
        <v>0</v>
      </c>
      <c r="J208" s="2"/>
      <c r="K208" s="2">
        <v>8494</v>
      </c>
      <c r="L208" s="2">
        <v>7990</v>
      </c>
      <c r="M208" s="2">
        <v>7161</v>
      </c>
      <c r="N208" s="2">
        <v>2867</v>
      </c>
      <c r="O208" s="2">
        <v>0</v>
      </c>
      <c r="P208" s="2"/>
      <c r="Q208" s="2">
        <v>9018</v>
      </c>
      <c r="R208" s="2">
        <v>-7757</v>
      </c>
      <c r="S208" s="2">
        <v>1093</v>
      </c>
      <c r="T208" s="2">
        <v>1423</v>
      </c>
      <c r="U208" s="2">
        <v>0</v>
      </c>
      <c r="V208" s="2"/>
      <c r="W208" s="2">
        <v>10158</v>
      </c>
      <c r="X208" s="2">
        <v>8322</v>
      </c>
      <c r="Y208" s="2">
        <v>6756</v>
      </c>
      <c r="Z208" s="2">
        <v>0</v>
      </c>
      <c r="AA208" s="2">
        <v>0</v>
      </c>
      <c r="AB208" s="2"/>
      <c r="AC208" s="2">
        <v>133</v>
      </c>
      <c r="AD208" s="2">
        <v>133</v>
      </c>
      <c r="AE208" s="2">
        <v>134</v>
      </c>
      <c r="AF208" s="2">
        <v>0</v>
      </c>
      <c r="AG208" s="2">
        <v>0</v>
      </c>
      <c r="AH208" s="2"/>
      <c r="AI208" s="2">
        <v>-2094</v>
      </c>
      <c r="AJ208" s="2">
        <v>-1926</v>
      </c>
      <c r="AK208" s="2">
        <v>-1361</v>
      </c>
      <c r="AL208" s="2">
        <v>-1361</v>
      </c>
      <c r="AM208" s="2">
        <v>-1926</v>
      </c>
    </row>
    <row r="209" spans="1:39">
      <c r="A209" s="349">
        <v>91801</v>
      </c>
      <c r="B209" s="342" t="s">
        <v>897</v>
      </c>
      <c r="C209" s="234" t="e">
        <f>VLOOKUP(A209,#REF!,10,FALSE)</f>
        <v>#REF!</v>
      </c>
      <c r="E209" s="2">
        <v>3550816</v>
      </c>
      <c r="F209" s="2">
        <v>1003487</v>
      </c>
      <c r="G209" s="2">
        <v>1909741</v>
      </c>
      <c r="H209" s="2">
        <v>507383</v>
      </c>
      <c r="I209" s="2">
        <v>0</v>
      </c>
      <c r="J209" s="2"/>
      <c r="K209" s="2">
        <v>1138114</v>
      </c>
      <c r="L209" s="2">
        <v>1070597</v>
      </c>
      <c r="M209" s="2">
        <v>959564</v>
      </c>
      <c r="N209" s="2">
        <v>384198</v>
      </c>
      <c r="O209" s="2">
        <v>0</v>
      </c>
      <c r="P209" s="2"/>
      <c r="Q209" s="2">
        <v>1208266</v>
      </c>
      <c r="R209" s="2">
        <v>-1039335</v>
      </c>
      <c r="S209" s="2">
        <v>146482</v>
      </c>
      <c r="T209" s="2">
        <v>190644</v>
      </c>
      <c r="U209" s="2">
        <v>0</v>
      </c>
      <c r="V209" s="2"/>
      <c r="W209" s="2">
        <v>1361130</v>
      </c>
      <c r="X209" s="2">
        <v>1115087</v>
      </c>
      <c r="Y209" s="2">
        <v>905260</v>
      </c>
      <c r="Z209" s="2">
        <v>0</v>
      </c>
      <c r="AA209" s="2">
        <v>0</v>
      </c>
      <c r="AB209" s="2"/>
      <c r="AC209" s="2">
        <v>0</v>
      </c>
      <c r="AD209" s="2">
        <v>0</v>
      </c>
      <c r="AE209" s="2">
        <v>0</v>
      </c>
      <c r="AF209" s="2">
        <v>0</v>
      </c>
      <c r="AG209" s="2">
        <v>0</v>
      </c>
      <c r="AH209" s="2"/>
      <c r="AI209" s="2">
        <v>-156694</v>
      </c>
      <c r="AJ209" s="2">
        <v>-142862</v>
      </c>
      <c r="AK209" s="2">
        <v>-101565</v>
      </c>
      <c r="AL209" s="2">
        <v>-67459</v>
      </c>
      <c r="AM209" s="2">
        <v>-142862</v>
      </c>
    </row>
    <row r="210" spans="1:39">
      <c r="A210" s="349">
        <v>91804</v>
      </c>
      <c r="B210" s="342" t="s">
        <v>898</v>
      </c>
      <c r="C210" s="234" t="e">
        <f>VLOOKUP(A210,#REF!,10,FALSE)</f>
        <v>#REF!</v>
      </c>
      <c r="E210" s="2">
        <v>83438</v>
      </c>
      <c r="F210" s="2">
        <v>35746</v>
      </c>
      <c r="G210" s="2">
        <v>45070</v>
      </c>
      <c r="H210" s="2">
        <v>12498</v>
      </c>
      <c r="I210" s="2">
        <v>0</v>
      </c>
      <c r="J210" s="2"/>
      <c r="K210" s="2">
        <v>18666</v>
      </c>
      <c r="L210" s="2">
        <v>17559</v>
      </c>
      <c r="M210" s="2">
        <v>15738</v>
      </c>
      <c r="N210" s="2">
        <v>6301</v>
      </c>
      <c r="O210" s="2">
        <v>0</v>
      </c>
      <c r="P210" s="2"/>
      <c r="Q210" s="2">
        <v>19817</v>
      </c>
      <c r="R210" s="2">
        <v>-17046</v>
      </c>
      <c r="S210" s="2">
        <v>2402</v>
      </c>
      <c r="T210" s="2">
        <v>3127</v>
      </c>
      <c r="U210" s="2">
        <v>0</v>
      </c>
      <c r="V210" s="2"/>
      <c r="W210" s="2">
        <v>22324</v>
      </c>
      <c r="X210" s="2">
        <v>18288</v>
      </c>
      <c r="Y210" s="2">
        <v>14847</v>
      </c>
      <c r="Z210" s="2">
        <v>0</v>
      </c>
      <c r="AA210" s="2">
        <v>0</v>
      </c>
      <c r="AB210" s="2"/>
      <c r="AC210" s="2">
        <v>22631</v>
      </c>
      <c r="AD210" s="2">
        <v>16945</v>
      </c>
      <c r="AE210" s="2">
        <v>12083</v>
      </c>
      <c r="AF210" s="2">
        <v>3070</v>
      </c>
      <c r="AG210" s="2">
        <v>0</v>
      </c>
      <c r="AH210" s="2"/>
      <c r="AI210" s="2">
        <v>0</v>
      </c>
      <c r="AJ210" s="2">
        <v>0</v>
      </c>
      <c r="AK210" s="2">
        <v>0</v>
      </c>
      <c r="AL210" s="2">
        <v>0</v>
      </c>
      <c r="AM210" s="2">
        <v>0</v>
      </c>
    </row>
    <row r="211" spans="1:39">
      <c r="A211" s="349">
        <v>91811</v>
      </c>
      <c r="B211" s="342" t="s">
        <v>899</v>
      </c>
      <c r="C211" s="234" t="e">
        <f>VLOOKUP(A211,#REF!,10,FALSE)</f>
        <v>#REF!</v>
      </c>
      <c r="E211" s="2">
        <v>1866154</v>
      </c>
      <c r="F211" s="2">
        <v>507867</v>
      </c>
      <c r="G211" s="2">
        <v>1031428</v>
      </c>
      <c r="H211" s="2">
        <v>272948</v>
      </c>
      <c r="I211" s="2">
        <v>0</v>
      </c>
      <c r="J211" s="2"/>
      <c r="K211" s="2">
        <v>635616</v>
      </c>
      <c r="L211" s="2">
        <v>597909</v>
      </c>
      <c r="M211" s="2">
        <v>535899</v>
      </c>
      <c r="N211" s="2">
        <v>214568</v>
      </c>
      <c r="O211" s="2">
        <v>0</v>
      </c>
      <c r="P211" s="2"/>
      <c r="Q211" s="2">
        <v>674795</v>
      </c>
      <c r="R211" s="2">
        <v>-580450</v>
      </c>
      <c r="S211" s="2">
        <v>81807</v>
      </c>
      <c r="T211" s="2">
        <v>106471</v>
      </c>
      <c r="U211" s="2">
        <v>0</v>
      </c>
      <c r="V211" s="2"/>
      <c r="W211" s="2">
        <v>760166</v>
      </c>
      <c r="X211" s="2">
        <v>622756</v>
      </c>
      <c r="Y211" s="2">
        <v>505571</v>
      </c>
      <c r="Z211" s="2">
        <v>0</v>
      </c>
      <c r="AA211" s="2">
        <v>0</v>
      </c>
      <c r="AB211" s="2"/>
      <c r="AC211" s="2">
        <v>0</v>
      </c>
      <c r="AD211" s="2">
        <v>0</v>
      </c>
      <c r="AE211" s="2">
        <v>0</v>
      </c>
      <c r="AF211" s="2">
        <v>0</v>
      </c>
      <c r="AG211" s="2">
        <v>0</v>
      </c>
      <c r="AH211" s="2"/>
      <c r="AI211" s="2">
        <v>-204423</v>
      </c>
      <c r="AJ211" s="2">
        <v>-132348</v>
      </c>
      <c r="AK211" s="2">
        <v>-91849</v>
      </c>
      <c r="AL211" s="2">
        <v>-48091</v>
      </c>
      <c r="AM211" s="2">
        <v>-132348</v>
      </c>
    </row>
    <row r="212" spans="1:39">
      <c r="A212" s="349">
        <v>91812</v>
      </c>
      <c r="B212" s="342" t="s">
        <v>3655</v>
      </c>
      <c r="C212" s="234" t="e">
        <f>VLOOKUP(A212,#REF!,10,FALSE)</f>
        <v>#REF!</v>
      </c>
      <c r="E212" s="2">
        <v>24034</v>
      </c>
      <c r="F212" s="2">
        <v>6509</v>
      </c>
      <c r="G212" s="2">
        <v>12378</v>
      </c>
      <c r="H212" s="2">
        <v>2826</v>
      </c>
      <c r="I212" s="2">
        <v>0</v>
      </c>
      <c r="J212" s="2"/>
      <c r="K212" s="2">
        <v>6831</v>
      </c>
      <c r="L212" s="2">
        <v>6426</v>
      </c>
      <c r="M212" s="2">
        <v>5760</v>
      </c>
      <c r="N212" s="2">
        <v>2306</v>
      </c>
      <c r="O212" s="2">
        <v>0</v>
      </c>
      <c r="P212" s="2"/>
      <c r="Q212" s="2">
        <v>7252</v>
      </c>
      <c r="R212" s="2">
        <v>-6238</v>
      </c>
      <c r="S212" s="2">
        <v>879</v>
      </c>
      <c r="T212" s="2">
        <v>1144</v>
      </c>
      <c r="U212" s="2">
        <v>0</v>
      </c>
      <c r="V212" s="2"/>
      <c r="W212" s="2">
        <v>8170</v>
      </c>
      <c r="X212" s="2">
        <v>6693</v>
      </c>
      <c r="Y212" s="2">
        <v>5434</v>
      </c>
      <c r="Z212" s="2">
        <v>0</v>
      </c>
      <c r="AA212" s="2">
        <v>0</v>
      </c>
      <c r="AB212" s="2"/>
      <c r="AC212" s="2">
        <v>3080</v>
      </c>
      <c r="AD212" s="2">
        <v>929</v>
      </c>
      <c r="AE212" s="2">
        <v>927</v>
      </c>
      <c r="AF212" s="2">
        <v>0</v>
      </c>
      <c r="AG212" s="2">
        <v>0</v>
      </c>
      <c r="AH212" s="2"/>
      <c r="AI212" s="2">
        <v>-1299</v>
      </c>
      <c r="AJ212" s="2">
        <v>-1301</v>
      </c>
      <c r="AK212" s="2">
        <v>-622</v>
      </c>
      <c r="AL212" s="2">
        <v>-624</v>
      </c>
      <c r="AM212" s="2">
        <v>-1301</v>
      </c>
    </row>
    <row r="213" spans="1:39">
      <c r="A213" s="349">
        <v>91813</v>
      </c>
      <c r="B213" s="342" t="s">
        <v>901</v>
      </c>
      <c r="C213" s="234" t="e">
        <f>VLOOKUP(A213,#REF!,10,FALSE)</f>
        <v>#REF!</v>
      </c>
      <c r="E213" s="2">
        <v>31296</v>
      </c>
      <c r="F213" s="2">
        <v>5976</v>
      </c>
      <c r="G213" s="2">
        <v>16856</v>
      </c>
      <c r="H213" s="2">
        <v>3813</v>
      </c>
      <c r="I213" s="2">
        <v>0</v>
      </c>
      <c r="J213" s="2"/>
      <c r="K213" s="2">
        <v>10711</v>
      </c>
      <c r="L213" s="2">
        <v>10076</v>
      </c>
      <c r="M213" s="2">
        <v>9031</v>
      </c>
      <c r="N213" s="2">
        <v>3616</v>
      </c>
      <c r="O213" s="2">
        <v>0</v>
      </c>
      <c r="P213" s="2"/>
      <c r="Q213" s="2">
        <v>11371</v>
      </c>
      <c r="R213" s="2">
        <v>-9782</v>
      </c>
      <c r="S213" s="2">
        <v>1379</v>
      </c>
      <c r="T213" s="2">
        <v>1794</v>
      </c>
      <c r="U213" s="2">
        <v>0</v>
      </c>
      <c r="V213" s="2"/>
      <c r="W213" s="2">
        <v>12810</v>
      </c>
      <c r="X213" s="2">
        <v>10494</v>
      </c>
      <c r="Y213" s="2">
        <v>8520</v>
      </c>
      <c r="Z213" s="2">
        <v>0</v>
      </c>
      <c r="AA213" s="2">
        <v>0</v>
      </c>
      <c r="AB213" s="2"/>
      <c r="AC213" s="2">
        <v>1216</v>
      </c>
      <c r="AD213" s="2">
        <v>0</v>
      </c>
      <c r="AE213" s="2">
        <v>0</v>
      </c>
      <c r="AF213" s="2">
        <v>0</v>
      </c>
      <c r="AG213" s="2">
        <v>0</v>
      </c>
      <c r="AH213" s="2"/>
      <c r="AI213" s="2">
        <v>-4812</v>
      </c>
      <c r="AJ213" s="2">
        <v>-4812</v>
      </c>
      <c r="AK213" s="2">
        <v>-2074</v>
      </c>
      <c r="AL213" s="2">
        <v>-1597</v>
      </c>
      <c r="AM213" s="2">
        <v>-4812</v>
      </c>
    </row>
    <row r="214" spans="1:39">
      <c r="A214" s="349">
        <v>91818</v>
      </c>
      <c r="B214" s="342" t="s">
        <v>2780</v>
      </c>
      <c r="C214" s="234" t="e">
        <f>VLOOKUP(A214,#REF!,10,FALSE)</f>
        <v>#REF!</v>
      </c>
      <c r="E214" s="2">
        <v>359360</v>
      </c>
      <c r="F214" s="2">
        <v>177202</v>
      </c>
      <c r="G214" s="2">
        <v>167016</v>
      </c>
      <c r="H214" s="2">
        <v>36303</v>
      </c>
      <c r="I214" s="2">
        <v>0</v>
      </c>
      <c r="J214" s="2"/>
      <c r="K214" s="2">
        <v>60852</v>
      </c>
      <c r="L214" s="2">
        <v>57242</v>
      </c>
      <c r="M214" s="2">
        <v>51305</v>
      </c>
      <c r="N214" s="2">
        <v>20542</v>
      </c>
      <c r="O214" s="2">
        <v>0</v>
      </c>
      <c r="P214" s="2"/>
      <c r="Q214" s="2">
        <v>64602</v>
      </c>
      <c r="R214" s="2">
        <v>-55570</v>
      </c>
      <c r="S214" s="2">
        <v>7832</v>
      </c>
      <c r="T214" s="2">
        <v>10193</v>
      </c>
      <c r="U214" s="2">
        <v>0</v>
      </c>
      <c r="V214" s="2"/>
      <c r="W214" s="2">
        <v>72776</v>
      </c>
      <c r="X214" s="2">
        <v>59620</v>
      </c>
      <c r="Y214" s="2">
        <v>48402</v>
      </c>
      <c r="Z214" s="2">
        <v>0</v>
      </c>
      <c r="AA214" s="2">
        <v>0</v>
      </c>
      <c r="AB214" s="2"/>
      <c r="AC214" s="2">
        <v>161130</v>
      </c>
      <c r="AD214" s="2">
        <v>115910</v>
      </c>
      <c r="AE214" s="2">
        <v>59477</v>
      </c>
      <c r="AF214" s="2">
        <v>5568</v>
      </c>
      <c r="AG214" s="2">
        <v>0</v>
      </c>
      <c r="AH214" s="2"/>
      <c r="AI214" s="2">
        <v>0</v>
      </c>
      <c r="AJ214" s="2">
        <v>0</v>
      </c>
      <c r="AK214" s="2">
        <v>0</v>
      </c>
      <c r="AL214" s="2">
        <v>0</v>
      </c>
      <c r="AM214" s="2">
        <v>0</v>
      </c>
    </row>
    <row r="215" spans="1:39">
      <c r="A215" s="349">
        <v>91819</v>
      </c>
      <c r="B215" s="342" t="s">
        <v>903</v>
      </c>
      <c r="C215" s="234" t="e">
        <f>VLOOKUP(A215,#REF!,10,FALSE)</f>
        <v>#REF!</v>
      </c>
      <c r="E215" s="2">
        <v>163334</v>
      </c>
      <c r="F215" s="2">
        <v>59246</v>
      </c>
      <c r="G215" s="2">
        <v>92778</v>
      </c>
      <c r="H215" s="2">
        <v>28553</v>
      </c>
      <c r="I215" s="2">
        <v>0</v>
      </c>
      <c r="J215" s="2"/>
      <c r="K215" s="2">
        <v>46830</v>
      </c>
      <c r="L215" s="2">
        <v>44052</v>
      </c>
      <c r="M215" s="2">
        <v>39483</v>
      </c>
      <c r="N215" s="2">
        <v>15808</v>
      </c>
      <c r="O215" s="2">
        <v>0</v>
      </c>
      <c r="P215" s="2"/>
      <c r="Q215" s="2">
        <v>49716</v>
      </c>
      <c r="R215" s="2">
        <v>-42765</v>
      </c>
      <c r="S215" s="2">
        <v>6027</v>
      </c>
      <c r="T215" s="2">
        <v>7844</v>
      </c>
      <c r="U215" s="2">
        <v>0</v>
      </c>
      <c r="V215" s="2"/>
      <c r="W215" s="2">
        <v>56006</v>
      </c>
      <c r="X215" s="2">
        <v>45882</v>
      </c>
      <c r="Y215" s="2">
        <v>37248</v>
      </c>
      <c r="Z215" s="2">
        <v>0</v>
      </c>
      <c r="AA215" s="2">
        <v>0</v>
      </c>
      <c r="AB215" s="2"/>
      <c r="AC215" s="2">
        <v>12078</v>
      </c>
      <c r="AD215" s="2">
        <v>12077</v>
      </c>
      <c r="AE215" s="2">
        <v>10020</v>
      </c>
      <c r="AF215" s="2">
        <v>4901</v>
      </c>
      <c r="AG215" s="2">
        <v>0</v>
      </c>
      <c r="AH215" s="2"/>
      <c r="AI215" s="2">
        <v>-1296</v>
      </c>
      <c r="AJ215" s="2">
        <v>0</v>
      </c>
      <c r="AK215" s="2">
        <v>0</v>
      </c>
      <c r="AL215" s="2">
        <v>0</v>
      </c>
      <c r="AM215" s="2">
        <v>0</v>
      </c>
    </row>
    <row r="216" spans="1:39">
      <c r="A216" s="349">
        <v>91821</v>
      </c>
      <c r="B216" s="342" t="s">
        <v>904</v>
      </c>
      <c r="C216" s="234" t="e">
        <f>VLOOKUP(A216,#REF!,10,FALSE)</f>
        <v>#REF!</v>
      </c>
      <c r="E216" s="2">
        <v>78725</v>
      </c>
      <c r="F216" s="2">
        <v>22590</v>
      </c>
      <c r="G216" s="2">
        <v>41623</v>
      </c>
      <c r="H216" s="2">
        <v>12252</v>
      </c>
      <c r="I216" s="2">
        <v>0</v>
      </c>
      <c r="J216" s="2"/>
      <c r="K216" s="2">
        <v>25093</v>
      </c>
      <c r="L216" s="2">
        <v>23604</v>
      </c>
      <c r="M216" s="2">
        <v>21156</v>
      </c>
      <c r="N216" s="2">
        <v>8471</v>
      </c>
      <c r="O216" s="2">
        <v>0</v>
      </c>
      <c r="P216" s="2"/>
      <c r="Q216" s="2">
        <v>26639</v>
      </c>
      <c r="R216" s="2">
        <v>-22915</v>
      </c>
      <c r="S216" s="2">
        <v>3230</v>
      </c>
      <c r="T216" s="2">
        <v>4203</v>
      </c>
      <c r="U216" s="2">
        <v>0</v>
      </c>
      <c r="V216" s="2"/>
      <c r="W216" s="2">
        <v>30010</v>
      </c>
      <c r="X216" s="2">
        <v>24585</v>
      </c>
      <c r="Y216" s="2">
        <v>19959</v>
      </c>
      <c r="Z216" s="2">
        <v>0</v>
      </c>
      <c r="AA216" s="2">
        <v>0</v>
      </c>
      <c r="AB216" s="2"/>
      <c r="AC216" s="2">
        <v>40</v>
      </c>
      <c r="AD216" s="2">
        <v>39</v>
      </c>
      <c r="AE216" s="2">
        <v>0</v>
      </c>
      <c r="AF216" s="2">
        <v>0</v>
      </c>
      <c r="AG216" s="2">
        <v>0</v>
      </c>
      <c r="AH216" s="2"/>
      <c r="AI216" s="2">
        <v>-3057</v>
      </c>
      <c r="AJ216" s="2">
        <v>-2723</v>
      </c>
      <c r="AK216" s="2">
        <v>-2722</v>
      </c>
      <c r="AL216" s="2">
        <v>-422</v>
      </c>
      <c r="AM216" s="2">
        <v>-2723</v>
      </c>
    </row>
    <row r="217" spans="1:39">
      <c r="A217" s="349">
        <v>91831</v>
      </c>
      <c r="B217" s="342" t="s">
        <v>905</v>
      </c>
      <c r="C217" s="234" t="e">
        <f>VLOOKUP(A217,#REF!,10,FALSE)</f>
        <v>#REF!</v>
      </c>
      <c r="E217" s="2">
        <v>184640</v>
      </c>
      <c r="F217" s="2">
        <v>58609</v>
      </c>
      <c r="G217" s="2">
        <v>103534</v>
      </c>
      <c r="H217" s="2">
        <v>28248</v>
      </c>
      <c r="I217" s="2">
        <v>0</v>
      </c>
      <c r="J217" s="2"/>
      <c r="K217" s="2">
        <v>56912</v>
      </c>
      <c r="L217" s="2">
        <v>53536</v>
      </c>
      <c r="M217" s="2">
        <v>47983</v>
      </c>
      <c r="N217" s="2">
        <v>19212</v>
      </c>
      <c r="O217" s="2">
        <v>0</v>
      </c>
      <c r="P217" s="2"/>
      <c r="Q217" s="2">
        <v>60420</v>
      </c>
      <c r="R217" s="2">
        <v>-51972</v>
      </c>
      <c r="S217" s="2">
        <v>7325</v>
      </c>
      <c r="T217" s="2">
        <v>9533</v>
      </c>
      <c r="U217" s="2">
        <v>0</v>
      </c>
      <c r="V217" s="2"/>
      <c r="W217" s="2">
        <v>68064</v>
      </c>
      <c r="X217" s="2">
        <v>55760</v>
      </c>
      <c r="Y217" s="2">
        <v>45268</v>
      </c>
      <c r="Z217" s="2">
        <v>0</v>
      </c>
      <c r="AA217" s="2">
        <v>0</v>
      </c>
      <c r="AB217" s="2"/>
      <c r="AC217" s="2">
        <v>3454</v>
      </c>
      <c r="AD217" s="2">
        <v>3454</v>
      </c>
      <c r="AE217" s="2">
        <v>3454</v>
      </c>
      <c r="AF217" s="2">
        <v>0</v>
      </c>
      <c r="AG217" s="2">
        <v>0</v>
      </c>
      <c r="AH217" s="2"/>
      <c r="AI217" s="2">
        <v>-4210</v>
      </c>
      <c r="AJ217" s="2">
        <v>-2169</v>
      </c>
      <c r="AK217" s="2">
        <v>-496</v>
      </c>
      <c r="AL217" s="2">
        <v>-497</v>
      </c>
      <c r="AM217" s="2">
        <v>-2169</v>
      </c>
    </row>
    <row r="218" spans="1:39">
      <c r="A218" s="349">
        <v>91841</v>
      </c>
      <c r="B218" s="342" t="s">
        <v>906</v>
      </c>
      <c r="C218" s="234" t="e">
        <f>VLOOKUP(A218,#REF!,10,FALSE)</f>
        <v>#REF!</v>
      </c>
      <c r="E218" s="2">
        <v>121695</v>
      </c>
      <c r="F218" s="2">
        <v>37594</v>
      </c>
      <c r="G218" s="2">
        <v>65736</v>
      </c>
      <c r="H218" s="2">
        <v>17124</v>
      </c>
      <c r="I218" s="2">
        <v>0</v>
      </c>
      <c r="J218" s="2"/>
      <c r="K218" s="2">
        <v>37587</v>
      </c>
      <c r="L218" s="2">
        <v>35357</v>
      </c>
      <c r="M218" s="2">
        <v>31690</v>
      </c>
      <c r="N218" s="2">
        <v>12688</v>
      </c>
      <c r="O218" s="2">
        <v>0</v>
      </c>
      <c r="P218" s="2"/>
      <c r="Q218" s="2">
        <v>39903</v>
      </c>
      <c r="R218" s="2">
        <v>-34324</v>
      </c>
      <c r="S218" s="2">
        <v>4838</v>
      </c>
      <c r="T218" s="2">
        <v>6296</v>
      </c>
      <c r="U218" s="2">
        <v>0</v>
      </c>
      <c r="V218" s="2"/>
      <c r="W218" s="2">
        <v>44952</v>
      </c>
      <c r="X218" s="2">
        <v>36826</v>
      </c>
      <c r="Y218" s="2">
        <v>29896</v>
      </c>
      <c r="Z218" s="2">
        <v>0</v>
      </c>
      <c r="AA218" s="2">
        <v>0</v>
      </c>
      <c r="AB218" s="2"/>
      <c r="AC218" s="2">
        <v>1593</v>
      </c>
      <c r="AD218" s="2">
        <v>1594</v>
      </c>
      <c r="AE218" s="2">
        <v>1171</v>
      </c>
      <c r="AF218" s="2">
        <v>0</v>
      </c>
      <c r="AG218" s="2">
        <v>0</v>
      </c>
      <c r="AH218" s="2"/>
      <c r="AI218" s="2">
        <v>-2340</v>
      </c>
      <c r="AJ218" s="2">
        <v>-1859</v>
      </c>
      <c r="AK218" s="2">
        <v>-1859</v>
      </c>
      <c r="AL218" s="2">
        <v>-1860</v>
      </c>
      <c r="AM218" s="2">
        <v>-1859</v>
      </c>
    </row>
    <row r="219" spans="1:39">
      <c r="A219" s="349">
        <v>91851</v>
      </c>
      <c r="B219" s="342" t="s">
        <v>907</v>
      </c>
      <c r="C219" s="234" t="e">
        <f>VLOOKUP(A219,#REF!,10,FALSE)</f>
        <v>#REF!</v>
      </c>
      <c r="E219" s="2">
        <v>327309</v>
      </c>
      <c r="F219" s="2">
        <v>100126</v>
      </c>
      <c r="G219" s="2">
        <v>178503</v>
      </c>
      <c r="H219" s="2">
        <v>48462</v>
      </c>
      <c r="I219" s="2">
        <v>0</v>
      </c>
      <c r="J219" s="2"/>
      <c r="K219" s="2">
        <v>104925</v>
      </c>
      <c r="L219" s="2">
        <v>98700</v>
      </c>
      <c r="M219" s="2">
        <v>88464</v>
      </c>
      <c r="N219" s="2">
        <v>35420</v>
      </c>
      <c r="O219" s="2">
        <v>0</v>
      </c>
      <c r="P219" s="2"/>
      <c r="Q219" s="2">
        <v>111392</v>
      </c>
      <c r="R219" s="2">
        <v>-95818</v>
      </c>
      <c r="S219" s="2">
        <v>13504</v>
      </c>
      <c r="T219" s="2">
        <v>17576</v>
      </c>
      <c r="U219" s="2">
        <v>0</v>
      </c>
      <c r="V219" s="2"/>
      <c r="W219" s="2">
        <v>125485</v>
      </c>
      <c r="X219" s="2">
        <v>102802</v>
      </c>
      <c r="Y219" s="2">
        <v>83458</v>
      </c>
      <c r="Z219" s="2">
        <v>0</v>
      </c>
      <c r="AA219" s="2">
        <v>0</v>
      </c>
      <c r="AB219" s="2"/>
      <c r="AC219" s="2">
        <v>1364</v>
      </c>
      <c r="AD219" s="2">
        <v>1365</v>
      </c>
      <c r="AE219" s="2">
        <v>0</v>
      </c>
      <c r="AF219" s="2">
        <v>0</v>
      </c>
      <c r="AG219" s="2">
        <v>0</v>
      </c>
      <c r="AH219" s="2"/>
      <c r="AI219" s="2">
        <v>-15857</v>
      </c>
      <c r="AJ219" s="2">
        <v>-6923</v>
      </c>
      <c r="AK219" s="2">
        <v>-6923</v>
      </c>
      <c r="AL219" s="2">
        <v>-4534</v>
      </c>
      <c r="AM219" s="2">
        <v>-6923</v>
      </c>
    </row>
    <row r="220" spans="1:39">
      <c r="A220" s="349">
        <v>91861</v>
      </c>
      <c r="B220" s="342" t="s">
        <v>908</v>
      </c>
      <c r="C220" s="234" t="e">
        <f>VLOOKUP(A220,#REF!,10,FALSE)</f>
        <v>#REF!</v>
      </c>
      <c r="E220" s="2">
        <v>1607</v>
      </c>
      <c r="F220" s="2">
        <v>-1118</v>
      </c>
      <c r="G220" s="2">
        <v>-2</v>
      </c>
      <c r="H220" s="2">
        <v>-358</v>
      </c>
      <c r="I220" s="2">
        <v>0</v>
      </c>
      <c r="J220" s="2"/>
      <c r="K220" s="2">
        <v>1154</v>
      </c>
      <c r="L220" s="2">
        <v>1085</v>
      </c>
      <c r="M220" s="2">
        <v>973</v>
      </c>
      <c r="N220" s="2">
        <v>389</v>
      </c>
      <c r="O220" s="2">
        <v>0</v>
      </c>
      <c r="P220" s="2"/>
      <c r="Q220" s="2">
        <v>1225</v>
      </c>
      <c r="R220" s="2">
        <v>-1053</v>
      </c>
      <c r="S220" s="2">
        <v>148</v>
      </c>
      <c r="T220" s="2">
        <v>193</v>
      </c>
      <c r="U220" s="2">
        <v>0</v>
      </c>
      <c r="V220" s="2"/>
      <c r="W220" s="2">
        <v>1380</v>
      </c>
      <c r="X220" s="2">
        <v>1130</v>
      </c>
      <c r="Y220" s="2">
        <v>918</v>
      </c>
      <c r="Z220" s="2">
        <v>0</v>
      </c>
      <c r="AA220" s="2">
        <v>0</v>
      </c>
      <c r="AB220" s="2"/>
      <c r="AC220" s="2">
        <v>129</v>
      </c>
      <c r="AD220" s="2">
        <v>0</v>
      </c>
      <c r="AE220" s="2">
        <v>0</v>
      </c>
      <c r="AF220" s="2">
        <v>0</v>
      </c>
      <c r="AG220" s="2">
        <v>0</v>
      </c>
      <c r="AH220" s="2"/>
      <c r="AI220" s="2">
        <v>-2281</v>
      </c>
      <c r="AJ220" s="2">
        <v>-2280</v>
      </c>
      <c r="AK220" s="2">
        <v>-2041</v>
      </c>
      <c r="AL220" s="2">
        <v>-940</v>
      </c>
      <c r="AM220" s="2">
        <v>-2280</v>
      </c>
    </row>
    <row r="221" spans="1:39">
      <c r="A221" s="349">
        <v>91871</v>
      </c>
      <c r="B221" s="342" t="s">
        <v>909</v>
      </c>
      <c r="C221" s="234" t="e">
        <f>VLOOKUP(A221,#REF!,10,FALSE)</f>
        <v>#REF!</v>
      </c>
      <c r="E221" s="2">
        <v>621461</v>
      </c>
      <c r="F221" s="2">
        <v>191395</v>
      </c>
      <c r="G221" s="2">
        <v>335148</v>
      </c>
      <c r="H221" s="2">
        <v>95194</v>
      </c>
      <c r="I221" s="2">
        <v>0</v>
      </c>
      <c r="J221" s="2"/>
      <c r="K221" s="2">
        <v>196562</v>
      </c>
      <c r="L221" s="2">
        <v>184901</v>
      </c>
      <c r="M221" s="2">
        <v>165725</v>
      </c>
      <c r="N221" s="2">
        <v>66354</v>
      </c>
      <c r="O221" s="2">
        <v>0</v>
      </c>
      <c r="P221" s="2"/>
      <c r="Q221" s="2">
        <v>208678</v>
      </c>
      <c r="R221" s="2">
        <v>-179502</v>
      </c>
      <c r="S221" s="2">
        <v>25299</v>
      </c>
      <c r="T221" s="2">
        <v>32926</v>
      </c>
      <c r="U221" s="2">
        <v>0</v>
      </c>
      <c r="V221" s="2"/>
      <c r="W221" s="2">
        <v>235078</v>
      </c>
      <c r="X221" s="2">
        <v>192585</v>
      </c>
      <c r="Y221" s="2">
        <v>156346</v>
      </c>
      <c r="Z221" s="2">
        <v>0</v>
      </c>
      <c r="AA221" s="2">
        <v>0</v>
      </c>
      <c r="AB221" s="2"/>
      <c r="AC221" s="2">
        <v>5635</v>
      </c>
      <c r="AD221" s="2">
        <v>5633</v>
      </c>
      <c r="AE221" s="2">
        <v>0</v>
      </c>
      <c r="AF221" s="2">
        <v>0</v>
      </c>
      <c r="AG221" s="2">
        <v>0</v>
      </c>
      <c r="AH221" s="2"/>
      <c r="AI221" s="2">
        <v>-24492</v>
      </c>
      <c r="AJ221" s="2">
        <v>-12222</v>
      </c>
      <c r="AK221" s="2">
        <v>-12222</v>
      </c>
      <c r="AL221" s="2">
        <v>-4086</v>
      </c>
      <c r="AM221" s="2">
        <v>-12222</v>
      </c>
    </row>
    <row r="222" spans="1:39">
      <c r="A222" s="349">
        <v>91881</v>
      </c>
      <c r="B222" s="342" t="s">
        <v>910</v>
      </c>
      <c r="C222" s="234" t="e">
        <f>VLOOKUP(A222,#REF!,10,FALSE)</f>
        <v>#REF!</v>
      </c>
      <c r="E222" s="2">
        <v>11962</v>
      </c>
      <c r="F222" s="2">
        <v>5807</v>
      </c>
      <c r="G222" s="2">
        <v>7957</v>
      </c>
      <c r="H222" s="2">
        <v>3898</v>
      </c>
      <c r="I222" s="2">
        <v>0</v>
      </c>
      <c r="J222" s="2"/>
      <c r="K222" s="2">
        <v>3206</v>
      </c>
      <c r="L222" s="2">
        <v>3016</v>
      </c>
      <c r="M222" s="2">
        <v>2703</v>
      </c>
      <c r="N222" s="2">
        <v>1082</v>
      </c>
      <c r="O222" s="2">
        <v>0</v>
      </c>
      <c r="P222" s="2"/>
      <c r="Q222" s="2">
        <v>3403</v>
      </c>
      <c r="R222" s="2">
        <v>-2928</v>
      </c>
      <c r="S222" s="2">
        <v>413</v>
      </c>
      <c r="T222" s="2">
        <v>537</v>
      </c>
      <c r="U222" s="2">
        <v>0</v>
      </c>
      <c r="V222" s="2"/>
      <c r="W222" s="2">
        <v>3834</v>
      </c>
      <c r="X222" s="2">
        <v>3141</v>
      </c>
      <c r="Y222" s="2">
        <v>2550</v>
      </c>
      <c r="Z222" s="2">
        <v>0</v>
      </c>
      <c r="AA222" s="2">
        <v>0</v>
      </c>
      <c r="AB222" s="2"/>
      <c r="AC222" s="2">
        <v>2578</v>
      </c>
      <c r="AD222" s="2">
        <v>2578</v>
      </c>
      <c r="AE222" s="2">
        <v>2291</v>
      </c>
      <c r="AF222" s="2">
        <v>2279</v>
      </c>
      <c r="AG222" s="2">
        <v>0</v>
      </c>
      <c r="AH222" s="2"/>
      <c r="AI222" s="2">
        <v>-1059</v>
      </c>
      <c r="AJ222" s="2">
        <v>0</v>
      </c>
      <c r="AK222" s="2">
        <v>0</v>
      </c>
      <c r="AL222" s="2">
        <v>0</v>
      </c>
      <c r="AM222" s="2">
        <v>0</v>
      </c>
    </row>
    <row r="223" spans="1:39">
      <c r="A223" s="349">
        <v>91901</v>
      </c>
      <c r="B223" s="342" t="s">
        <v>911</v>
      </c>
      <c r="C223" s="234" t="e">
        <f>VLOOKUP(A223,#REF!,10,FALSE)</f>
        <v>#REF!</v>
      </c>
      <c r="E223" s="2">
        <v>1786986</v>
      </c>
      <c r="F223" s="2">
        <v>533241</v>
      </c>
      <c r="G223" s="2">
        <v>958038</v>
      </c>
      <c r="H223" s="2">
        <v>268182</v>
      </c>
      <c r="I223" s="2">
        <v>0</v>
      </c>
      <c r="J223" s="2"/>
      <c r="K223" s="2">
        <v>553507</v>
      </c>
      <c r="L223" s="2">
        <v>520671</v>
      </c>
      <c r="M223" s="2">
        <v>466672</v>
      </c>
      <c r="N223" s="2">
        <v>186850</v>
      </c>
      <c r="O223" s="2">
        <v>0</v>
      </c>
      <c r="P223" s="2"/>
      <c r="Q223" s="2">
        <v>587625</v>
      </c>
      <c r="R223" s="2">
        <v>-505467</v>
      </c>
      <c r="S223" s="2">
        <v>71239</v>
      </c>
      <c r="T223" s="2">
        <v>92717</v>
      </c>
      <c r="U223" s="2">
        <v>0</v>
      </c>
      <c r="V223" s="2"/>
      <c r="W223" s="2">
        <v>661968</v>
      </c>
      <c r="X223" s="2">
        <v>542308</v>
      </c>
      <c r="Y223" s="2">
        <v>440261</v>
      </c>
      <c r="Z223" s="2">
        <v>0</v>
      </c>
      <c r="AA223" s="2">
        <v>0</v>
      </c>
      <c r="AB223" s="2"/>
      <c r="AC223" s="2">
        <v>8156</v>
      </c>
      <c r="AD223" s="2">
        <v>0</v>
      </c>
      <c r="AE223" s="2">
        <v>0</v>
      </c>
      <c r="AF223" s="2">
        <v>0</v>
      </c>
      <c r="AG223" s="2">
        <v>0</v>
      </c>
      <c r="AH223" s="2"/>
      <c r="AI223" s="2">
        <v>-24270</v>
      </c>
      <c r="AJ223" s="2">
        <v>-24271</v>
      </c>
      <c r="AK223" s="2">
        <v>-20134</v>
      </c>
      <c r="AL223" s="2">
        <v>-11385</v>
      </c>
      <c r="AM223" s="2">
        <v>-24271</v>
      </c>
    </row>
    <row r="224" spans="1:39">
      <c r="A224" s="349">
        <v>91903</v>
      </c>
      <c r="B224" s="342" t="s">
        <v>2777</v>
      </c>
      <c r="C224" s="234" t="e">
        <f>VLOOKUP(A224,#REF!,10,FALSE)</f>
        <v>#REF!</v>
      </c>
      <c r="E224" s="2">
        <v>4665</v>
      </c>
      <c r="F224" s="2">
        <v>2201</v>
      </c>
      <c r="G224" s="2">
        <v>2620</v>
      </c>
      <c r="H224" s="2">
        <v>794</v>
      </c>
      <c r="I224" s="2">
        <v>0</v>
      </c>
      <c r="J224" s="2"/>
      <c r="K224" s="2">
        <v>1079</v>
      </c>
      <c r="L224" s="2">
        <v>1015</v>
      </c>
      <c r="M224" s="2">
        <v>909</v>
      </c>
      <c r="N224" s="2">
        <v>364</v>
      </c>
      <c r="O224" s="2">
        <v>0</v>
      </c>
      <c r="P224" s="2"/>
      <c r="Q224" s="2">
        <v>1145</v>
      </c>
      <c r="R224" s="2">
        <v>-985</v>
      </c>
      <c r="S224" s="2">
        <v>139</v>
      </c>
      <c r="T224" s="2">
        <v>181</v>
      </c>
      <c r="U224" s="2">
        <v>0</v>
      </c>
      <c r="V224" s="2"/>
      <c r="W224" s="2">
        <v>1290</v>
      </c>
      <c r="X224" s="2">
        <v>1057</v>
      </c>
      <c r="Y224" s="2">
        <v>858</v>
      </c>
      <c r="Z224" s="2">
        <v>0</v>
      </c>
      <c r="AA224" s="2">
        <v>0</v>
      </c>
      <c r="AB224" s="2"/>
      <c r="AC224" s="2">
        <v>1151</v>
      </c>
      <c r="AD224" s="2">
        <v>1114</v>
      </c>
      <c r="AE224" s="2">
        <v>714</v>
      </c>
      <c r="AF224" s="2">
        <v>249</v>
      </c>
      <c r="AG224" s="2">
        <v>0</v>
      </c>
      <c r="AH224" s="2"/>
      <c r="AI224" s="2">
        <v>0</v>
      </c>
      <c r="AJ224" s="2">
        <v>0</v>
      </c>
      <c r="AK224" s="2">
        <v>0</v>
      </c>
      <c r="AL224" s="2">
        <v>0</v>
      </c>
      <c r="AM224" s="2">
        <v>0</v>
      </c>
    </row>
    <row r="225" spans="1:39">
      <c r="A225" s="349">
        <v>91904</v>
      </c>
      <c r="B225" s="342" t="s">
        <v>913</v>
      </c>
      <c r="C225" s="234" t="e">
        <f>VLOOKUP(A225,#REF!,10,FALSE)</f>
        <v>#REF!</v>
      </c>
      <c r="E225" s="2">
        <v>19239</v>
      </c>
      <c r="F225" s="2">
        <v>6901</v>
      </c>
      <c r="G225" s="2">
        <v>9341</v>
      </c>
      <c r="H225" s="2">
        <v>3284</v>
      </c>
      <c r="I225" s="2">
        <v>0</v>
      </c>
      <c r="J225" s="2"/>
      <c r="K225" s="2">
        <v>4884</v>
      </c>
      <c r="L225" s="2">
        <v>4594</v>
      </c>
      <c r="M225" s="2">
        <v>4118</v>
      </c>
      <c r="N225" s="2">
        <v>1649</v>
      </c>
      <c r="O225" s="2">
        <v>0</v>
      </c>
      <c r="P225" s="2"/>
      <c r="Q225" s="2">
        <v>5185</v>
      </c>
      <c r="R225" s="2">
        <v>-4460</v>
      </c>
      <c r="S225" s="2">
        <v>629</v>
      </c>
      <c r="T225" s="2">
        <v>818</v>
      </c>
      <c r="U225" s="2">
        <v>0</v>
      </c>
      <c r="V225" s="2"/>
      <c r="W225" s="2">
        <v>5841</v>
      </c>
      <c r="X225" s="2">
        <v>4785</v>
      </c>
      <c r="Y225" s="2">
        <v>3885</v>
      </c>
      <c r="Z225" s="2">
        <v>0</v>
      </c>
      <c r="AA225" s="2">
        <v>0</v>
      </c>
      <c r="AB225" s="2"/>
      <c r="AC225" s="2">
        <v>3437</v>
      </c>
      <c r="AD225" s="2">
        <v>2090</v>
      </c>
      <c r="AE225" s="2">
        <v>819</v>
      </c>
      <c r="AF225" s="2">
        <v>817</v>
      </c>
      <c r="AG225" s="2">
        <v>0</v>
      </c>
      <c r="AH225" s="2"/>
      <c r="AI225" s="2">
        <v>-108</v>
      </c>
      <c r="AJ225" s="2">
        <v>-108</v>
      </c>
      <c r="AK225" s="2">
        <v>-110</v>
      </c>
      <c r="AL225" s="2">
        <v>0</v>
      </c>
      <c r="AM225" s="2">
        <v>-108</v>
      </c>
    </row>
    <row r="226" spans="1:39">
      <c r="A226" s="349">
        <v>91908</v>
      </c>
      <c r="B226" s="342" t="s">
        <v>914</v>
      </c>
      <c r="C226" s="234" t="e">
        <f>VLOOKUP(A226,#REF!,10,FALSE)</f>
        <v>#REF!</v>
      </c>
      <c r="E226" s="2">
        <v>5823</v>
      </c>
      <c r="F226" s="2">
        <v>1229</v>
      </c>
      <c r="G226" s="2">
        <v>3013</v>
      </c>
      <c r="H226" s="2">
        <v>754</v>
      </c>
      <c r="I226" s="2">
        <v>0</v>
      </c>
      <c r="J226" s="2"/>
      <c r="K226" s="2">
        <v>2382</v>
      </c>
      <c r="L226" s="2">
        <v>2241</v>
      </c>
      <c r="M226" s="2">
        <v>2008</v>
      </c>
      <c r="N226" s="2">
        <v>804</v>
      </c>
      <c r="O226" s="2">
        <v>0</v>
      </c>
      <c r="P226" s="2"/>
      <c r="Q226" s="2">
        <v>2529</v>
      </c>
      <c r="R226" s="2">
        <v>-2175</v>
      </c>
      <c r="S226" s="2">
        <v>307</v>
      </c>
      <c r="T226" s="2">
        <v>399</v>
      </c>
      <c r="U226" s="2">
        <v>0</v>
      </c>
      <c r="V226" s="2"/>
      <c r="W226" s="2">
        <v>2849</v>
      </c>
      <c r="X226" s="2">
        <v>2334</v>
      </c>
      <c r="Y226" s="2">
        <v>1895</v>
      </c>
      <c r="Z226" s="2">
        <v>0</v>
      </c>
      <c r="AA226" s="2">
        <v>0</v>
      </c>
      <c r="AB226" s="2"/>
      <c r="AC226" s="2">
        <v>27</v>
      </c>
      <c r="AD226" s="2">
        <v>26</v>
      </c>
      <c r="AE226" s="2">
        <v>0</v>
      </c>
      <c r="AF226" s="2">
        <v>0</v>
      </c>
      <c r="AG226" s="2">
        <v>0</v>
      </c>
      <c r="AH226" s="2"/>
      <c r="AI226" s="2">
        <v>-1964</v>
      </c>
      <c r="AJ226" s="2">
        <v>-1197</v>
      </c>
      <c r="AK226" s="2">
        <v>-1197</v>
      </c>
      <c r="AL226" s="2">
        <v>-449</v>
      </c>
      <c r="AM226" s="2">
        <v>-1197</v>
      </c>
    </row>
    <row r="227" spans="1:39">
      <c r="A227" s="349">
        <v>91911</v>
      </c>
      <c r="B227" s="342" t="s">
        <v>915</v>
      </c>
      <c r="C227" s="234" t="e">
        <f>VLOOKUP(A227,#REF!,10,FALSE)</f>
        <v>#REF!</v>
      </c>
      <c r="E227" s="2">
        <v>217735</v>
      </c>
      <c r="F227" s="2">
        <v>65292</v>
      </c>
      <c r="G227" s="2">
        <v>114428</v>
      </c>
      <c r="H227" s="2">
        <v>26005</v>
      </c>
      <c r="I227" s="2">
        <v>0</v>
      </c>
      <c r="J227" s="2"/>
      <c r="K227" s="2">
        <v>66814</v>
      </c>
      <c r="L227" s="2">
        <v>62850</v>
      </c>
      <c r="M227" s="2">
        <v>56332</v>
      </c>
      <c r="N227" s="2">
        <v>22555</v>
      </c>
      <c r="O227" s="2">
        <v>0</v>
      </c>
      <c r="P227" s="2"/>
      <c r="Q227" s="2">
        <v>70932</v>
      </c>
      <c r="R227" s="2">
        <v>-61015</v>
      </c>
      <c r="S227" s="2">
        <v>8599</v>
      </c>
      <c r="T227" s="2">
        <v>11192</v>
      </c>
      <c r="U227" s="2">
        <v>0</v>
      </c>
      <c r="V227" s="2"/>
      <c r="W227" s="2">
        <v>79906</v>
      </c>
      <c r="X227" s="2">
        <v>65462</v>
      </c>
      <c r="Y227" s="2">
        <v>53144</v>
      </c>
      <c r="Z227" s="2">
        <v>0</v>
      </c>
      <c r="AA227" s="2">
        <v>0</v>
      </c>
      <c r="AB227" s="2"/>
      <c r="AC227" s="2">
        <v>7826</v>
      </c>
      <c r="AD227" s="2">
        <v>5738</v>
      </c>
      <c r="AE227" s="2">
        <v>4096</v>
      </c>
      <c r="AF227" s="2">
        <v>0</v>
      </c>
      <c r="AG227" s="2">
        <v>0</v>
      </c>
      <c r="AH227" s="2"/>
      <c r="AI227" s="2">
        <v>-7743</v>
      </c>
      <c r="AJ227" s="2">
        <v>-7743</v>
      </c>
      <c r="AK227" s="2">
        <v>-7743</v>
      </c>
      <c r="AL227" s="2">
        <v>-7742</v>
      </c>
      <c r="AM227" s="2">
        <v>-7743</v>
      </c>
    </row>
    <row r="228" spans="1:39">
      <c r="A228" s="349">
        <v>91917</v>
      </c>
      <c r="B228" s="342" t="s">
        <v>916</v>
      </c>
      <c r="C228" s="234" t="e">
        <f>VLOOKUP(A228,#REF!,10,FALSE)</f>
        <v>#REF!</v>
      </c>
      <c r="E228" s="2">
        <v>7258</v>
      </c>
      <c r="F228" s="2">
        <v>2709</v>
      </c>
      <c r="G228" s="2">
        <v>4282</v>
      </c>
      <c r="H228" s="2">
        <v>1751</v>
      </c>
      <c r="I228" s="2">
        <v>0</v>
      </c>
      <c r="J228" s="2"/>
      <c r="K228" s="2">
        <v>1962</v>
      </c>
      <c r="L228" s="2">
        <v>1846</v>
      </c>
      <c r="M228" s="2">
        <v>1655</v>
      </c>
      <c r="N228" s="2">
        <v>662</v>
      </c>
      <c r="O228" s="2">
        <v>0</v>
      </c>
      <c r="P228" s="2"/>
      <c r="Q228" s="2">
        <v>2083</v>
      </c>
      <c r="R228" s="2">
        <v>-1792</v>
      </c>
      <c r="S228" s="2">
        <v>253</v>
      </c>
      <c r="T228" s="2">
        <v>329</v>
      </c>
      <c r="U228" s="2">
        <v>0</v>
      </c>
      <c r="V228" s="2"/>
      <c r="W228" s="2">
        <v>2347</v>
      </c>
      <c r="X228" s="2">
        <v>1923</v>
      </c>
      <c r="Y228" s="2">
        <v>1561</v>
      </c>
      <c r="Z228" s="2">
        <v>0</v>
      </c>
      <c r="AA228" s="2">
        <v>0</v>
      </c>
      <c r="AB228" s="2"/>
      <c r="AC228" s="2">
        <v>943</v>
      </c>
      <c r="AD228" s="2">
        <v>811</v>
      </c>
      <c r="AE228" s="2">
        <v>813</v>
      </c>
      <c r="AF228" s="2">
        <v>760</v>
      </c>
      <c r="AG228" s="2">
        <v>0</v>
      </c>
      <c r="AH228" s="2"/>
      <c r="AI228" s="2">
        <v>-77</v>
      </c>
      <c r="AJ228" s="2">
        <v>-79</v>
      </c>
      <c r="AK228" s="2">
        <v>0</v>
      </c>
      <c r="AL228" s="2">
        <v>0</v>
      </c>
      <c r="AM228" s="2">
        <v>-79</v>
      </c>
    </row>
    <row r="229" spans="1:39">
      <c r="A229" s="349">
        <v>91921</v>
      </c>
      <c r="B229" s="342" t="s">
        <v>917</v>
      </c>
      <c r="C229" s="234" t="e">
        <f>VLOOKUP(A229,#REF!,10,FALSE)</f>
        <v>#REF!</v>
      </c>
      <c r="E229" s="2">
        <v>185005</v>
      </c>
      <c r="F229" s="2">
        <v>55550</v>
      </c>
      <c r="G229" s="2">
        <v>100040</v>
      </c>
      <c r="H229" s="2">
        <v>32638</v>
      </c>
      <c r="I229" s="2">
        <v>0</v>
      </c>
      <c r="J229" s="2"/>
      <c r="K229" s="2">
        <v>57646</v>
      </c>
      <c r="L229" s="2">
        <v>54226</v>
      </c>
      <c r="M229" s="2">
        <v>48602</v>
      </c>
      <c r="N229" s="2">
        <v>19460</v>
      </c>
      <c r="O229" s="2">
        <v>0</v>
      </c>
      <c r="P229" s="2"/>
      <c r="Q229" s="2">
        <v>61199</v>
      </c>
      <c r="R229" s="2">
        <v>-52643</v>
      </c>
      <c r="S229" s="2">
        <v>7419</v>
      </c>
      <c r="T229" s="2">
        <v>9656</v>
      </c>
      <c r="U229" s="2">
        <v>0</v>
      </c>
      <c r="V229" s="2"/>
      <c r="W229" s="2">
        <v>68942</v>
      </c>
      <c r="X229" s="2">
        <v>56479</v>
      </c>
      <c r="Y229" s="2">
        <v>45852</v>
      </c>
      <c r="Z229" s="2">
        <v>0</v>
      </c>
      <c r="AA229" s="2">
        <v>0</v>
      </c>
      <c r="AB229" s="2"/>
      <c r="AC229" s="2">
        <v>3523</v>
      </c>
      <c r="AD229" s="2">
        <v>3523</v>
      </c>
      <c r="AE229" s="2">
        <v>3523</v>
      </c>
      <c r="AF229" s="2">
        <v>3522</v>
      </c>
      <c r="AG229" s="2">
        <v>0</v>
      </c>
      <c r="AH229" s="2"/>
      <c r="AI229" s="2">
        <v>-6305</v>
      </c>
      <c r="AJ229" s="2">
        <v>-6035</v>
      </c>
      <c r="AK229" s="2">
        <v>-5356</v>
      </c>
      <c r="AL229" s="2">
        <v>0</v>
      </c>
      <c r="AM229" s="2">
        <v>-6035</v>
      </c>
    </row>
    <row r="230" spans="1:39">
      <c r="A230" s="349">
        <v>92001</v>
      </c>
      <c r="B230" s="342" t="s">
        <v>918</v>
      </c>
      <c r="C230" s="234" t="e">
        <f>VLOOKUP(A230,#REF!,10,FALSE)</f>
        <v>#REF!</v>
      </c>
      <c r="E230" s="2">
        <v>830368</v>
      </c>
      <c r="F230" s="2">
        <v>217899</v>
      </c>
      <c r="G230" s="2">
        <v>453020</v>
      </c>
      <c r="H230" s="2">
        <v>120696</v>
      </c>
      <c r="I230" s="2">
        <v>0</v>
      </c>
      <c r="J230" s="2"/>
      <c r="K230" s="2">
        <v>266012</v>
      </c>
      <c r="L230" s="2">
        <v>250232</v>
      </c>
      <c r="M230" s="2">
        <v>224280</v>
      </c>
      <c r="N230" s="2">
        <v>89799</v>
      </c>
      <c r="O230" s="2">
        <v>0</v>
      </c>
      <c r="P230" s="2"/>
      <c r="Q230" s="2">
        <v>282409</v>
      </c>
      <c r="R230" s="2">
        <v>-242925</v>
      </c>
      <c r="S230" s="2">
        <v>34237</v>
      </c>
      <c r="T230" s="2">
        <v>44559</v>
      </c>
      <c r="U230" s="2">
        <v>0</v>
      </c>
      <c r="V230" s="2"/>
      <c r="W230" s="2">
        <v>318138</v>
      </c>
      <c r="X230" s="2">
        <v>260630</v>
      </c>
      <c r="Y230" s="2">
        <v>211587</v>
      </c>
      <c r="Z230" s="2">
        <v>0</v>
      </c>
      <c r="AA230" s="2">
        <v>0</v>
      </c>
      <c r="AB230" s="2"/>
      <c r="AC230" s="2">
        <v>13845</v>
      </c>
      <c r="AD230" s="2">
        <v>0</v>
      </c>
      <c r="AE230" s="2">
        <v>0</v>
      </c>
      <c r="AF230" s="2">
        <v>0</v>
      </c>
      <c r="AG230" s="2">
        <v>0</v>
      </c>
      <c r="AH230" s="2"/>
      <c r="AI230" s="2">
        <v>-50036</v>
      </c>
      <c r="AJ230" s="2">
        <v>-50038</v>
      </c>
      <c r="AK230" s="2">
        <v>-17084</v>
      </c>
      <c r="AL230" s="2">
        <v>-13662</v>
      </c>
      <c r="AM230" s="2">
        <v>-50038</v>
      </c>
    </row>
    <row r="231" spans="1:39">
      <c r="A231" s="349">
        <v>92005</v>
      </c>
      <c r="B231" s="342" t="s">
        <v>919</v>
      </c>
      <c r="C231" s="234" t="e">
        <f>VLOOKUP(A231,#REF!,10,FALSE)</f>
        <v>#REF!</v>
      </c>
      <c r="E231" s="2">
        <v>17305</v>
      </c>
      <c r="F231" s="2">
        <v>5010</v>
      </c>
      <c r="G231" s="2">
        <v>9494</v>
      </c>
      <c r="H231" s="2">
        <v>2007</v>
      </c>
      <c r="I231" s="2">
        <v>0</v>
      </c>
      <c r="J231" s="2"/>
      <c r="K231" s="2">
        <v>5288</v>
      </c>
      <c r="L231" s="2">
        <v>4974</v>
      </c>
      <c r="M231" s="2">
        <v>4459</v>
      </c>
      <c r="N231" s="2">
        <v>1785</v>
      </c>
      <c r="O231" s="2">
        <v>0</v>
      </c>
      <c r="P231" s="2"/>
      <c r="Q231" s="2">
        <v>5614</v>
      </c>
      <c r="R231" s="2">
        <v>-4829</v>
      </c>
      <c r="S231" s="2">
        <v>681</v>
      </c>
      <c r="T231" s="2">
        <v>886</v>
      </c>
      <c r="U231" s="2">
        <v>0</v>
      </c>
      <c r="V231" s="2"/>
      <c r="W231" s="2">
        <v>6324</v>
      </c>
      <c r="X231" s="2">
        <v>5181</v>
      </c>
      <c r="Y231" s="2">
        <v>4206</v>
      </c>
      <c r="Z231" s="2">
        <v>0</v>
      </c>
      <c r="AA231" s="2">
        <v>0</v>
      </c>
      <c r="AB231" s="2"/>
      <c r="AC231" s="2">
        <v>1212</v>
      </c>
      <c r="AD231" s="2">
        <v>815</v>
      </c>
      <c r="AE231" s="2">
        <v>814</v>
      </c>
      <c r="AF231" s="2">
        <v>0</v>
      </c>
      <c r="AG231" s="2">
        <v>0</v>
      </c>
      <c r="AH231" s="2"/>
      <c r="AI231" s="2">
        <v>-1133</v>
      </c>
      <c r="AJ231" s="2">
        <v>-1131</v>
      </c>
      <c r="AK231" s="2">
        <v>-666</v>
      </c>
      <c r="AL231" s="2">
        <v>-664</v>
      </c>
      <c r="AM231" s="2">
        <v>-1131</v>
      </c>
    </row>
    <row r="232" spans="1:39">
      <c r="A232" s="349">
        <v>92011</v>
      </c>
      <c r="B232" s="342" t="s">
        <v>920</v>
      </c>
      <c r="C232" s="234" t="e">
        <f>VLOOKUP(A232,#REF!,10,FALSE)</f>
        <v>#REF!</v>
      </c>
      <c r="E232" s="2">
        <v>93155</v>
      </c>
      <c r="F232" s="2">
        <v>28074</v>
      </c>
      <c r="G232" s="2">
        <v>47821</v>
      </c>
      <c r="H232" s="2">
        <v>13152</v>
      </c>
      <c r="I232" s="2">
        <v>0</v>
      </c>
      <c r="J232" s="2"/>
      <c r="K232" s="2">
        <v>28613</v>
      </c>
      <c r="L232" s="2">
        <v>26916</v>
      </c>
      <c r="M232" s="2">
        <v>24124</v>
      </c>
      <c r="N232" s="2">
        <v>9659</v>
      </c>
      <c r="O232" s="2">
        <v>0</v>
      </c>
      <c r="P232" s="2"/>
      <c r="Q232" s="2">
        <v>30377</v>
      </c>
      <c r="R232" s="2">
        <v>-26130</v>
      </c>
      <c r="S232" s="2">
        <v>3683</v>
      </c>
      <c r="T232" s="2">
        <v>4793</v>
      </c>
      <c r="U232" s="2">
        <v>0</v>
      </c>
      <c r="V232" s="2"/>
      <c r="W232" s="2">
        <v>34220</v>
      </c>
      <c r="X232" s="2">
        <v>28034</v>
      </c>
      <c r="Y232" s="2">
        <v>22759</v>
      </c>
      <c r="Z232" s="2">
        <v>0</v>
      </c>
      <c r="AA232" s="2">
        <v>0</v>
      </c>
      <c r="AB232" s="2"/>
      <c r="AC232" s="2">
        <v>2689</v>
      </c>
      <c r="AD232" s="2">
        <v>1998</v>
      </c>
      <c r="AE232" s="2">
        <v>0</v>
      </c>
      <c r="AF232" s="2">
        <v>0</v>
      </c>
      <c r="AG232" s="2">
        <v>0</v>
      </c>
      <c r="AH232" s="2"/>
      <c r="AI232" s="2">
        <v>-2744</v>
      </c>
      <c r="AJ232" s="2">
        <v>-2744</v>
      </c>
      <c r="AK232" s="2">
        <v>-2745</v>
      </c>
      <c r="AL232" s="2">
        <v>-1300</v>
      </c>
      <c r="AM232" s="2">
        <v>-2744</v>
      </c>
    </row>
    <row r="233" spans="1:39">
      <c r="A233" s="349">
        <v>92017</v>
      </c>
      <c r="B233" s="342" t="s">
        <v>921</v>
      </c>
      <c r="C233" s="234" t="e">
        <f>VLOOKUP(A233,#REF!,10,FALSE)</f>
        <v>#REF!</v>
      </c>
      <c r="E233" s="2">
        <v>16061</v>
      </c>
      <c r="F233" s="2">
        <v>5475</v>
      </c>
      <c r="G233" s="2">
        <v>9011</v>
      </c>
      <c r="H233" s="2">
        <v>2732</v>
      </c>
      <c r="I233" s="2">
        <v>0</v>
      </c>
      <c r="J233" s="2"/>
      <c r="K233" s="2">
        <v>4779</v>
      </c>
      <c r="L233" s="2">
        <v>4495</v>
      </c>
      <c r="M233" s="2">
        <v>4029</v>
      </c>
      <c r="N233" s="2">
        <v>1613</v>
      </c>
      <c r="O233" s="2">
        <v>0</v>
      </c>
      <c r="P233" s="2"/>
      <c r="Q233" s="2">
        <v>5073</v>
      </c>
      <c r="R233" s="2">
        <v>-4364</v>
      </c>
      <c r="S233" s="2">
        <v>615</v>
      </c>
      <c r="T233" s="2">
        <v>800</v>
      </c>
      <c r="U233" s="2">
        <v>0</v>
      </c>
      <c r="V233" s="2"/>
      <c r="W233" s="2">
        <v>5715</v>
      </c>
      <c r="X233" s="2">
        <v>4682</v>
      </c>
      <c r="Y233" s="2">
        <v>3801</v>
      </c>
      <c r="Z233" s="2">
        <v>0</v>
      </c>
      <c r="AA233" s="2">
        <v>0</v>
      </c>
      <c r="AB233" s="2"/>
      <c r="AC233" s="2">
        <v>661</v>
      </c>
      <c r="AD233" s="2">
        <v>662</v>
      </c>
      <c r="AE233" s="2">
        <v>566</v>
      </c>
      <c r="AF233" s="2">
        <v>319</v>
      </c>
      <c r="AG233" s="2">
        <v>0</v>
      </c>
      <c r="AH233" s="2"/>
      <c r="AI233" s="2">
        <v>-167</v>
      </c>
      <c r="AJ233" s="2">
        <v>0</v>
      </c>
      <c r="AK233" s="2">
        <v>0</v>
      </c>
      <c r="AL233" s="2">
        <v>0</v>
      </c>
      <c r="AM233" s="2">
        <v>0</v>
      </c>
    </row>
    <row r="234" spans="1:39">
      <c r="A234" s="349">
        <v>92021</v>
      </c>
      <c r="B234" s="342" t="s">
        <v>922</v>
      </c>
      <c r="C234" s="234" t="e">
        <f>VLOOKUP(A234,#REF!,10,FALSE)</f>
        <v>#REF!</v>
      </c>
      <c r="E234" s="2">
        <v>46047</v>
      </c>
      <c r="F234" s="2">
        <v>4473</v>
      </c>
      <c r="G234" s="2">
        <v>13868</v>
      </c>
      <c r="H234" s="2">
        <v>-949</v>
      </c>
      <c r="I234" s="2">
        <v>0</v>
      </c>
      <c r="J234" s="2"/>
      <c r="K234" s="2">
        <v>15790</v>
      </c>
      <c r="L234" s="2">
        <v>14853</v>
      </c>
      <c r="M234" s="2">
        <v>13313</v>
      </c>
      <c r="N234" s="2">
        <v>5330</v>
      </c>
      <c r="O234" s="2">
        <v>0</v>
      </c>
      <c r="P234" s="2"/>
      <c r="Q234" s="2">
        <v>16763</v>
      </c>
      <c r="R234" s="2">
        <v>-14419</v>
      </c>
      <c r="S234" s="2">
        <v>2032</v>
      </c>
      <c r="T234" s="2">
        <v>2645</v>
      </c>
      <c r="U234" s="2">
        <v>0</v>
      </c>
      <c r="V234" s="2"/>
      <c r="W234" s="2">
        <v>18884</v>
      </c>
      <c r="X234" s="2">
        <v>15470</v>
      </c>
      <c r="Y234" s="2">
        <v>12559</v>
      </c>
      <c r="Z234" s="2">
        <v>0</v>
      </c>
      <c r="AA234" s="2">
        <v>0</v>
      </c>
      <c r="AB234" s="2"/>
      <c r="AC234" s="2">
        <v>8644</v>
      </c>
      <c r="AD234" s="2">
        <v>2603</v>
      </c>
      <c r="AE234" s="2">
        <v>0</v>
      </c>
      <c r="AF234" s="2">
        <v>0</v>
      </c>
      <c r="AG234" s="2">
        <v>0</v>
      </c>
      <c r="AH234" s="2"/>
      <c r="AI234" s="2">
        <v>-14034</v>
      </c>
      <c r="AJ234" s="2">
        <v>-14034</v>
      </c>
      <c r="AK234" s="2">
        <v>-14036</v>
      </c>
      <c r="AL234" s="2">
        <v>-8924</v>
      </c>
      <c r="AM234" s="2">
        <v>-14034</v>
      </c>
    </row>
    <row r="235" spans="1:39">
      <c r="A235" s="349">
        <v>92101</v>
      </c>
      <c r="B235" s="342" t="s">
        <v>923</v>
      </c>
      <c r="C235" s="234" t="e">
        <f>VLOOKUP(A235,#REF!,10,FALSE)</f>
        <v>#REF!</v>
      </c>
      <c r="E235" s="2">
        <v>348552</v>
      </c>
      <c r="F235" s="2">
        <v>93443</v>
      </c>
      <c r="G235" s="2">
        <v>190359</v>
      </c>
      <c r="H235" s="2">
        <v>50604</v>
      </c>
      <c r="I235" s="2">
        <v>0</v>
      </c>
      <c r="J235" s="2"/>
      <c r="K235" s="2">
        <v>117898</v>
      </c>
      <c r="L235" s="2">
        <v>110904</v>
      </c>
      <c r="M235" s="2">
        <v>99402</v>
      </c>
      <c r="N235" s="2">
        <v>39799</v>
      </c>
      <c r="O235" s="2">
        <v>0</v>
      </c>
      <c r="P235" s="2"/>
      <c r="Q235" s="2">
        <v>125165</v>
      </c>
      <c r="R235" s="2">
        <v>-107666</v>
      </c>
      <c r="S235" s="2">
        <v>15174</v>
      </c>
      <c r="T235" s="2">
        <v>19749</v>
      </c>
      <c r="U235" s="2">
        <v>0</v>
      </c>
      <c r="V235" s="2"/>
      <c r="W235" s="2">
        <v>141000</v>
      </c>
      <c r="X235" s="2">
        <v>115513</v>
      </c>
      <c r="Y235" s="2">
        <v>93777</v>
      </c>
      <c r="Z235" s="2">
        <v>0</v>
      </c>
      <c r="AA235" s="2">
        <v>0</v>
      </c>
      <c r="AB235" s="2"/>
      <c r="AC235" s="2">
        <v>0</v>
      </c>
      <c r="AD235" s="2">
        <v>0</v>
      </c>
      <c r="AE235" s="2">
        <v>0</v>
      </c>
      <c r="AF235" s="2">
        <v>0</v>
      </c>
      <c r="AG235" s="2">
        <v>0</v>
      </c>
      <c r="AH235" s="2"/>
      <c r="AI235" s="2">
        <v>-35511</v>
      </c>
      <c r="AJ235" s="2">
        <v>-25308</v>
      </c>
      <c r="AK235" s="2">
        <v>-17994</v>
      </c>
      <c r="AL235" s="2">
        <v>-8944</v>
      </c>
      <c r="AM235" s="2">
        <v>-25308</v>
      </c>
    </row>
    <row r="236" spans="1:39">
      <c r="A236" s="349">
        <v>92104</v>
      </c>
      <c r="B236" s="342" t="s">
        <v>924</v>
      </c>
      <c r="C236" s="234" t="e">
        <f>VLOOKUP(A236,#REF!,10,FALSE)</f>
        <v>#REF!</v>
      </c>
      <c r="E236" s="2">
        <v>4265</v>
      </c>
      <c r="F236" s="2">
        <v>1613</v>
      </c>
      <c r="G236" s="2">
        <v>2207</v>
      </c>
      <c r="H236" s="2">
        <v>649</v>
      </c>
      <c r="I236" s="2">
        <v>0</v>
      </c>
      <c r="J236" s="2"/>
      <c r="K236" s="2">
        <v>1064</v>
      </c>
      <c r="L236" s="2">
        <v>1001</v>
      </c>
      <c r="M236" s="2">
        <v>897</v>
      </c>
      <c r="N236" s="2">
        <v>359</v>
      </c>
      <c r="O236" s="2">
        <v>0</v>
      </c>
      <c r="P236" s="2"/>
      <c r="Q236" s="2">
        <v>1129</v>
      </c>
      <c r="R236" s="2">
        <v>-971</v>
      </c>
      <c r="S236" s="2">
        <v>137</v>
      </c>
      <c r="T236" s="2">
        <v>178</v>
      </c>
      <c r="U236" s="2">
        <v>0</v>
      </c>
      <c r="V236" s="2"/>
      <c r="W236" s="2">
        <v>1272</v>
      </c>
      <c r="X236" s="2">
        <v>1042</v>
      </c>
      <c r="Y236" s="2">
        <v>846</v>
      </c>
      <c r="Z236" s="2">
        <v>0</v>
      </c>
      <c r="AA236" s="2">
        <v>0</v>
      </c>
      <c r="AB236" s="2"/>
      <c r="AC236" s="2">
        <v>800</v>
      </c>
      <c r="AD236" s="2">
        <v>541</v>
      </c>
      <c r="AE236" s="2">
        <v>327</v>
      </c>
      <c r="AF236" s="2">
        <v>112</v>
      </c>
      <c r="AG236" s="2">
        <v>0</v>
      </c>
      <c r="AH236" s="2"/>
      <c r="AI236" s="2">
        <v>0</v>
      </c>
      <c r="AJ236" s="2">
        <v>0</v>
      </c>
      <c r="AK236" s="2">
        <v>0</v>
      </c>
      <c r="AL236" s="2">
        <v>0</v>
      </c>
      <c r="AM236" s="2">
        <v>0</v>
      </c>
    </row>
    <row r="237" spans="1:39">
      <c r="A237" s="349">
        <v>92109</v>
      </c>
      <c r="B237" s="342" t="s">
        <v>3656</v>
      </c>
      <c r="C237" s="234" t="e">
        <f>VLOOKUP(A237,#REF!,10,FALSE)</f>
        <v>#REF!</v>
      </c>
      <c r="E237" s="2">
        <v>77626</v>
      </c>
      <c r="F237" s="2">
        <v>20853</v>
      </c>
      <c r="G237" s="2">
        <v>39894</v>
      </c>
      <c r="H237" s="2">
        <v>11476</v>
      </c>
      <c r="I237" s="2">
        <v>0</v>
      </c>
      <c r="J237" s="2"/>
      <c r="K237" s="2">
        <v>25168</v>
      </c>
      <c r="L237" s="2">
        <v>23675</v>
      </c>
      <c r="M237" s="2">
        <v>21219</v>
      </c>
      <c r="N237" s="2">
        <v>8496</v>
      </c>
      <c r="O237" s="2">
        <v>0</v>
      </c>
      <c r="P237" s="2"/>
      <c r="Q237" s="2">
        <v>26719</v>
      </c>
      <c r="R237" s="2">
        <v>-22983</v>
      </c>
      <c r="S237" s="2">
        <v>3239</v>
      </c>
      <c r="T237" s="2">
        <v>4216</v>
      </c>
      <c r="U237" s="2">
        <v>0</v>
      </c>
      <c r="V237" s="2"/>
      <c r="W237" s="2">
        <v>30099</v>
      </c>
      <c r="X237" s="2">
        <v>24658</v>
      </c>
      <c r="Y237" s="2">
        <v>20018</v>
      </c>
      <c r="Z237" s="2">
        <v>0</v>
      </c>
      <c r="AA237" s="2">
        <v>0</v>
      </c>
      <c r="AB237" s="2"/>
      <c r="AC237" s="2">
        <v>221</v>
      </c>
      <c r="AD237" s="2">
        <v>84</v>
      </c>
      <c r="AE237" s="2">
        <v>0</v>
      </c>
      <c r="AF237" s="2">
        <v>0</v>
      </c>
      <c r="AG237" s="2">
        <v>0</v>
      </c>
      <c r="AH237" s="2"/>
      <c r="AI237" s="2">
        <v>-4581</v>
      </c>
      <c r="AJ237" s="2">
        <v>-4581</v>
      </c>
      <c r="AK237" s="2">
        <v>-4582</v>
      </c>
      <c r="AL237" s="2">
        <v>-1236</v>
      </c>
      <c r="AM237" s="2">
        <v>-4581</v>
      </c>
    </row>
    <row r="238" spans="1:39">
      <c r="A238" s="349">
        <v>92111</v>
      </c>
      <c r="B238" s="342" t="s">
        <v>926</v>
      </c>
      <c r="C238" s="234" t="e">
        <f>VLOOKUP(A238,#REF!,10,FALSE)</f>
        <v>#REF!</v>
      </c>
      <c r="E238" s="2">
        <v>230019</v>
      </c>
      <c r="F238" s="2">
        <v>68113</v>
      </c>
      <c r="G238" s="2">
        <v>123507</v>
      </c>
      <c r="H238" s="2">
        <v>30129</v>
      </c>
      <c r="I238" s="2">
        <v>0</v>
      </c>
      <c r="J238" s="2"/>
      <c r="K238" s="2">
        <v>73720</v>
      </c>
      <c r="L238" s="2">
        <v>69347</v>
      </c>
      <c r="M238" s="2">
        <v>62155</v>
      </c>
      <c r="N238" s="2">
        <v>24886</v>
      </c>
      <c r="O238" s="2">
        <v>0</v>
      </c>
      <c r="P238" s="2"/>
      <c r="Q238" s="2">
        <v>78264</v>
      </c>
      <c r="R238" s="2">
        <v>-67322</v>
      </c>
      <c r="S238" s="2">
        <v>9488</v>
      </c>
      <c r="T238" s="2">
        <v>12349</v>
      </c>
      <c r="U238" s="2">
        <v>0</v>
      </c>
      <c r="V238" s="2"/>
      <c r="W238" s="2">
        <v>88166</v>
      </c>
      <c r="X238" s="2">
        <v>72228</v>
      </c>
      <c r="Y238" s="2">
        <v>58637</v>
      </c>
      <c r="Z238" s="2">
        <v>0</v>
      </c>
      <c r="AA238" s="2">
        <v>0</v>
      </c>
      <c r="AB238" s="2"/>
      <c r="AC238" s="2">
        <v>966</v>
      </c>
      <c r="AD238" s="2">
        <v>967</v>
      </c>
      <c r="AE238" s="2">
        <v>334</v>
      </c>
      <c r="AF238" s="2">
        <v>0</v>
      </c>
      <c r="AG238" s="2">
        <v>0</v>
      </c>
      <c r="AH238" s="2"/>
      <c r="AI238" s="2">
        <v>-11097</v>
      </c>
      <c r="AJ238" s="2">
        <v>-7107</v>
      </c>
      <c r="AK238" s="2">
        <v>-7107</v>
      </c>
      <c r="AL238" s="2">
        <v>-7106</v>
      </c>
      <c r="AM238" s="2">
        <v>-7107</v>
      </c>
    </row>
    <row r="239" spans="1:39">
      <c r="A239" s="349">
        <v>92113</v>
      </c>
      <c r="B239" s="342" t="s">
        <v>2753</v>
      </c>
      <c r="C239" s="234" t="e">
        <f>VLOOKUP(A239,#REF!,10,FALSE)</f>
        <v>#REF!</v>
      </c>
      <c r="E239" s="2">
        <v>13499</v>
      </c>
      <c r="F239" s="2">
        <v>4522</v>
      </c>
      <c r="G239" s="2">
        <v>7013</v>
      </c>
      <c r="H239" s="2">
        <v>2595</v>
      </c>
      <c r="I239" s="2">
        <v>0</v>
      </c>
      <c r="J239" s="2"/>
      <c r="K239" s="2">
        <v>2562</v>
      </c>
      <c r="L239" s="2">
        <v>2410</v>
      </c>
      <c r="M239" s="2">
        <v>2160</v>
      </c>
      <c r="N239" s="2">
        <v>865</v>
      </c>
      <c r="O239" s="2">
        <v>0</v>
      </c>
      <c r="P239" s="2"/>
      <c r="Q239" s="2">
        <v>2720</v>
      </c>
      <c r="R239" s="2">
        <v>-2339</v>
      </c>
      <c r="S239" s="2">
        <v>330</v>
      </c>
      <c r="T239" s="2">
        <v>429</v>
      </c>
      <c r="U239" s="2">
        <v>0</v>
      </c>
      <c r="V239" s="2"/>
      <c r="W239" s="2">
        <v>3064</v>
      </c>
      <c r="X239" s="2">
        <v>2510</v>
      </c>
      <c r="Y239" s="2">
        <v>2038</v>
      </c>
      <c r="Z239" s="2">
        <v>0</v>
      </c>
      <c r="AA239" s="2">
        <v>0</v>
      </c>
      <c r="AB239" s="2"/>
      <c r="AC239" s="2">
        <v>5698</v>
      </c>
      <c r="AD239" s="2">
        <v>2484</v>
      </c>
      <c r="AE239" s="2">
        <v>2485</v>
      </c>
      <c r="AF239" s="2">
        <v>1301</v>
      </c>
      <c r="AG239" s="2">
        <v>0</v>
      </c>
      <c r="AH239" s="2"/>
      <c r="AI239" s="2">
        <v>-545</v>
      </c>
      <c r="AJ239" s="2">
        <v>-543</v>
      </c>
      <c r="AK239" s="2">
        <v>0</v>
      </c>
      <c r="AL239" s="2">
        <v>0</v>
      </c>
      <c r="AM239" s="2">
        <v>-543</v>
      </c>
    </row>
    <row r="240" spans="1:39">
      <c r="A240" s="349">
        <v>92201</v>
      </c>
      <c r="B240" s="342" t="s">
        <v>928</v>
      </c>
      <c r="C240" s="234" t="e">
        <f>VLOOKUP(A240,#REF!,10,FALSE)</f>
        <v>#REF!</v>
      </c>
      <c r="E240" s="2">
        <v>389929</v>
      </c>
      <c r="F240" s="2">
        <v>105507</v>
      </c>
      <c r="G240" s="2">
        <v>211514</v>
      </c>
      <c r="H240" s="2">
        <v>53409</v>
      </c>
      <c r="I240" s="2">
        <v>0</v>
      </c>
      <c r="J240" s="2"/>
      <c r="K240" s="2">
        <v>125224</v>
      </c>
      <c r="L240" s="2">
        <v>117795</v>
      </c>
      <c r="M240" s="2">
        <v>105578</v>
      </c>
      <c r="N240" s="2">
        <v>42272</v>
      </c>
      <c r="O240" s="2">
        <v>0</v>
      </c>
      <c r="P240" s="2"/>
      <c r="Q240" s="2">
        <v>132942</v>
      </c>
      <c r="R240" s="2">
        <v>-114355</v>
      </c>
      <c r="S240" s="2">
        <v>16117</v>
      </c>
      <c r="T240" s="2">
        <v>20976</v>
      </c>
      <c r="U240" s="2">
        <v>0</v>
      </c>
      <c r="V240" s="2"/>
      <c r="W240" s="2">
        <v>149762</v>
      </c>
      <c r="X240" s="2">
        <v>122690</v>
      </c>
      <c r="Y240" s="2">
        <v>99603</v>
      </c>
      <c r="Z240" s="2">
        <v>0</v>
      </c>
      <c r="AA240" s="2">
        <v>0</v>
      </c>
      <c r="AB240" s="2"/>
      <c r="AC240" s="2">
        <v>2679</v>
      </c>
      <c r="AD240" s="2">
        <v>54</v>
      </c>
      <c r="AE240" s="2">
        <v>55</v>
      </c>
      <c r="AF240" s="2">
        <v>0</v>
      </c>
      <c r="AG240" s="2">
        <v>0</v>
      </c>
      <c r="AH240" s="2"/>
      <c r="AI240" s="2">
        <v>-20678</v>
      </c>
      <c r="AJ240" s="2">
        <v>-20677</v>
      </c>
      <c r="AK240" s="2">
        <v>-9839</v>
      </c>
      <c r="AL240" s="2">
        <v>-9839</v>
      </c>
      <c r="AM240" s="2">
        <v>-20677</v>
      </c>
    </row>
    <row r="241" spans="1:39">
      <c r="A241" s="349">
        <v>92214</v>
      </c>
      <c r="B241" s="342" t="s">
        <v>1925</v>
      </c>
      <c r="C241" s="234" t="e">
        <f>VLOOKUP(A241,#REF!,10,FALSE)</f>
        <v>#REF!</v>
      </c>
      <c r="E241" s="2">
        <v>13539</v>
      </c>
      <c r="F241" s="2">
        <v>6730</v>
      </c>
      <c r="G241" s="2">
        <v>9027</v>
      </c>
      <c r="H241" s="2">
        <v>1706</v>
      </c>
      <c r="I241" s="2">
        <v>0</v>
      </c>
      <c r="J241" s="2"/>
      <c r="K241" s="2">
        <v>3026</v>
      </c>
      <c r="L241" s="2">
        <v>2847</v>
      </c>
      <c r="M241" s="2">
        <v>2551</v>
      </c>
      <c r="N241" s="2">
        <v>1022</v>
      </c>
      <c r="O241" s="2">
        <v>0</v>
      </c>
      <c r="P241" s="2"/>
      <c r="Q241" s="2">
        <v>3213</v>
      </c>
      <c r="R241" s="2">
        <v>-2763</v>
      </c>
      <c r="S241" s="2">
        <v>389</v>
      </c>
      <c r="T241" s="2">
        <v>507</v>
      </c>
      <c r="U241" s="2">
        <v>0</v>
      </c>
      <c r="V241" s="2"/>
      <c r="W241" s="2">
        <v>3619</v>
      </c>
      <c r="X241" s="2">
        <v>2965</v>
      </c>
      <c r="Y241" s="2">
        <v>2407</v>
      </c>
      <c r="Z241" s="2">
        <v>0</v>
      </c>
      <c r="AA241" s="2">
        <v>0</v>
      </c>
      <c r="AB241" s="2"/>
      <c r="AC241" s="2">
        <v>3681</v>
      </c>
      <c r="AD241" s="2">
        <v>3681</v>
      </c>
      <c r="AE241" s="2">
        <v>3680</v>
      </c>
      <c r="AF241" s="2">
        <v>177</v>
      </c>
      <c r="AG241" s="2">
        <v>0</v>
      </c>
      <c r="AH241" s="2"/>
      <c r="AI241" s="2">
        <v>0</v>
      </c>
      <c r="AJ241" s="2">
        <v>0</v>
      </c>
      <c r="AK241" s="2">
        <v>0</v>
      </c>
      <c r="AL241" s="2">
        <v>0</v>
      </c>
      <c r="AM241" s="2">
        <v>0</v>
      </c>
    </row>
    <row r="242" spans="1:39">
      <c r="A242" s="349">
        <v>92301</v>
      </c>
      <c r="B242" s="342" t="s">
        <v>929</v>
      </c>
      <c r="C242" s="234" t="e">
        <f>VLOOKUP(A242,#REF!,10,FALSE)</f>
        <v>#REF!</v>
      </c>
      <c r="E242" s="2">
        <v>2777646</v>
      </c>
      <c r="F242" s="2">
        <v>876221</v>
      </c>
      <c r="G242" s="2">
        <v>1523469</v>
      </c>
      <c r="H242" s="2">
        <v>452960</v>
      </c>
      <c r="I242" s="2">
        <v>0</v>
      </c>
      <c r="J242" s="2"/>
      <c r="K242" s="2">
        <v>841106</v>
      </c>
      <c r="L242" s="2">
        <v>791209</v>
      </c>
      <c r="M242" s="2">
        <v>709152</v>
      </c>
      <c r="N242" s="2">
        <v>283936</v>
      </c>
      <c r="O242" s="2">
        <v>0</v>
      </c>
      <c r="P242" s="2"/>
      <c r="Q242" s="2">
        <v>892952</v>
      </c>
      <c r="R242" s="2">
        <v>-768105</v>
      </c>
      <c r="S242" s="2">
        <v>108255</v>
      </c>
      <c r="T242" s="2">
        <v>140893</v>
      </c>
      <c r="U242" s="2">
        <v>0</v>
      </c>
      <c r="V242" s="2"/>
      <c r="W242" s="2">
        <v>1005923</v>
      </c>
      <c r="X242" s="2">
        <v>824089</v>
      </c>
      <c r="Y242" s="2">
        <v>669019</v>
      </c>
      <c r="Z242" s="2">
        <v>0</v>
      </c>
      <c r="AA242" s="2">
        <v>0</v>
      </c>
      <c r="AB242" s="2"/>
      <c r="AC242" s="2">
        <v>45682</v>
      </c>
      <c r="AD242" s="2">
        <v>37045</v>
      </c>
      <c r="AE242" s="2">
        <v>37043</v>
      </c>
      <c r="AF242" s="2">
        <v>28131</v>
      </c>
      <c r="AG242" s="2">
        <v>0</v>
      </c>
      <c r="AH242" s="2"/>
      <c r="AI242" s="2">
        <v>-8017</v>
      </c>
      <c r="AJ242" s="2">
        <v>-8017</v>
      </c>
      <c r="AK242" s="2">
        <v>0</v>
      </c>
      <c r="AL242" s="2">
        <v>0</v>
      </c>
      <c r="AM242" s="2">
        <v>-8017</v>
      </c>
    </row>
    <row r="243" spans="1:39">
      <c r="A243" s="349">
        <v>92302</v>
      </c>
      <c r="B243" s="342" t="s">
        <v>930</v>
      </c>
      <c r="C243" s="234" t="e">
        <f>VLOOKUP(A243,#REF!,10,FALSE)</f>
        <v>#REF!</v>
      </c>
      <c r="E243" s="2">
        <v>137033</v>
      </c>
      <c r="F243" s="2">
        <v>35331</v>
      </c>
      <c r="G243" s="2">
        <v>75516</v>
      </c>
      <c r="H243" s="2">
        <v>16702</v>
      </c>
      <c r="I243" s="2">
        <v>0</v>
      </c>
      <c r="J243" s="2"/>
      <c r="K243" s="2">
        <v>45317</v>
      </c>
      <c r="L243" s="2">
        <v>42628</v>
      </c>
      <c r="M243" s="2">
        <v>38207</v>
      </c>
      <c r="N243" s="2">
        <v>15298</v>
      </c>
      <c r="O243" s="2">
        <v>0</v>
      </c>
      <c r="P243" s="2"/>
      <c r="Q243" s="2">
        <v>48110</v>
      </c>
      <c r="R243" s="2">
        <v>-41384</v>
      </c>
      <c r="S243" s="2">
        <v>5833</v>
      </c>
      <c r="T243" s="2">
        <v>7591</v>
      </c>
      <c r="U243" s="2">
        <v>0</v>
      </c>
      <c r="V243" s="2"/>
      <c r="W243" s="2">
        <v>54197</v>
      </c>
      <c r="X243" s="2">
        <v>44400</v>
      </c>
      <c r="Y243" s="2">
        <v>36045</v>
      </c>
      <c r="Z243" s="2">
        <v>0</v>
      </c>
      <c r="AA243" s="2">
        <v>0</v>
      </c>
      <c r="AB243" s="2"/>
      <c r="AC243" s="2">
        <v>1615</v>
      </c>
      <c r="AD243" s="2">
        <v>1615</v>
      </c>
      <c r="AE243" s="2">
        <v>1616</v>
      </c>
      <c r="AF243" s="2">
        <v>0</v>
      </c>
      <c r="AG243" s="2">
        <v>0</v>
      </c>
      <c r="AH243" s="2"/>
      <c r="AI243" s="2">
        <v>-12206</v>
      </c>
      <c r="AJ243" s="2">
        <v>-11928</v>
      </c>
      <c r="AK243" s="2">
        <v>-6185</v>
      </c>
      <c r="AL243" s="2">
        <v>-6187</v>
      </c>
      <c r="AM243" s="2">
        <v>-11928</v>
      </c>
    </row>
    <row r="244" spans="1:39">
      <c r="A244" s="349">
        <v>92311</v>
      </c>
      <c r="B244" s="342" t="s">
        <v>931</v>
      </c>
      <c r="C244" s="234" t="e">
        <f>VLOOKUP(A244,#REF!,10,FALSE)</f>
        <v>#REF!</v>
      </c>
      <c r="E244" s="2">
        <v>1090134</v>
      </c>
      <c r="F244" s="2">
        <v>330398</v>
      </c>
      <c r="G244" s="2">
        <v>586142</v>
      </c>
      <c r="H244" s="2">
        <v>173389</v>
      </c>
      <c r="I244" s="2">
        <v>0</v>
      </c>
      <c r="J244" s="2"/>
      <c r="K244" s="2">
        <v>339253</v>
      </c>
      <c r="L244" s="2">
        <v>319127</v>
      </c>
      <c r="M244" s="2">
        <v>286030</v>
      </c>
      <c r="N244" s="2">
        <v>114523</v>
      </c>
      <c r="O244" s="2">
        <v>0</v>
      </c>
      <c r="P244" s="2"/>
      <c r="Q244" s="2">
        <v>360164</v>
      </c>
      <c r="R244" s="2">
        <v>-309809</v>
      </c>
      <c r="S244" s="2">
        <v>43664</v>
      </c>
      <c r="T244" s="2">
        <v>56828</v>
      </c>
      <c r="U244" s="2">
        <v>0</v>
      </c>
      <c r="V244" s="2"/>
      <c r="W244" s="2">
        <v>405730</v>
      </c>
      <c r="X244" s="2">
        <v>332389</v>
      </c>
      <c r="Y244" s="2">
        <v>269843</v>
      </c>
      <c r="Z244" s="2">
        <v>0</v>
      </c>
      <c r="AA244" s="2">
        <v>0</v>
      </c>
      <c r="AB244" s="2"/>
      <c r="AC244" s="2">
        <v>4126</v>
      </c>
      <c r="AD244" s="2">
        <v>4124</v>
      </c>
      <c r="AE244" s="2">
        <v>2036</v>
      </c>
      <c r="AF244" s="2">
        <v>2038</v>
      </c>
      <c r="AG244" s="2">
        <v>0</v>
      </c>
      <c r="AH244" s="2"/>
      <c r="AI244" s="2">
        <v>-19139</v>
      </c>
      <c r="AJ244" s="2">
        <v>-15433</v>
      </c>
      <c r="AK244" s="2">
        <v>-15431</v>
      </c>
      <c r="AL244" s="2">
        <v>0</v>
      </c>
      <c r="AM244" s="2">
        <v>-15433</v>
      </c>
    </row>
    <row r="245" spans="1:39">
      <c r="A245" s="349">
        <v>92317</v>
      </c>
      <c r="B245" s="342" t="s">
        <v>932</v>
      </c>
      <c r="C245" s="234" t="e">
        <f>VLOOKUP(A245,#REF!,10,FALSE)</f>
        <v>#REF!</v>
      </c>
      <c r="E245" s="2">
        <v>21860</v>
      </c>
      <c r="F245" s="2">
        <v>10822</v>
      </c>
      <c r="G245" s="2">
        <v>12386</v>
      </c>
      <c r="H245" s="2">
        <v>5675</v>
      </c>
      <c r="I245" s="2">
        <v>0</v>
      </c>
      <c r="J245" s="2"/>
      <c r="K245" s="2">
        <v>4449</v>
      </c>
      <c r="L245" s="2">
        <v>4185</v>
      </c>
      <c r="M245" s="2">
        <v>3751</v>
      </c>
      <c r="N245" s="2">
        <v>1502</v>
      </c>
      <c r="O245" s="2">
        <v>0</v>
      </c>
      <c r="P245" s="2"/>
      <c r="Q245" s="2">
        <v>4724</v>
      </c>
      <c r="R245" s="2">
        <v>-4063</v>
      </c>
      <c r="S245" s="2">
        <v>573</v>
      </c>
      <c r="T245" s="2">
        <v>745</v>
      </c>
      <c r="U245" s="2">
        <v>0</v>
      </c>
      <c r="V245" s="2"/>
      <c r="W245" s="2">
        <v>5321</v>
      </c>
      <c r="X245" s="2">
        <v>4359</v>
      </c>
      <c r="Y245" s="2">
        <v>3539</v>
      </c>
      <c r="Z245" s="2">
        <v>0</v>
      </c>
      <c r="AA245" s="2">
        <v>0</v>
      </c>
      <c r="AB245" s="2"/>
      <c r="AC245" s="2">
        <v>7366</v>
      </c>
      <c r="AD245" s="2">
        <v>6341</v>
      </c>
      <c r="AE245" s="2">
        <v>4523</v>
      </c>
      <c r="AF245" s="2">
        <v>3428</v>
      </c>
      <c r="AG245" s="2">
        <v>0</v>
      </c>
      <c r="AH245" s="2"/>
      <c r="AI245" s="2">
        <v>0</v>
      </c>
      <c r="AJ245" s="2">
        <v>0</v>
      </c>
      <c r="AK245" s="2">
        <v>0</v>
      </c>
      <c r="AL245" s="2">
        <v>0</v>
      </c>
      <c r="AM245" s="2">
        <v>0</v>
      </c>
    </row>
    <row r="246" spans="1:39">
      <c r="A246" s="349">
        <v>92321</v>
      </c>
      <c r="B246" s="342" t="s">
        <v>933</v>
      </c>
      <c r="C246" s="234" t="e">
        <f>VLOOKUP(A246,#REF!,10,FALSE)</f>
        <v>#REF!</v>
      </c>
      <c r="E246" s="2">
        <v>594263</v>
      </c>
      <c r="F246" s="2">
        <v>185871</v>
      </c>
      <c r="G246" s="2">
        <v>328816</v>
      </c>
      <c r="H246" s="2">
        <v>89316</v>
      </c>
      <c r="I246" s="2">
        <v>0</v>
      </c>
      <c r="J246" s="2"/>
      <c r="K246" s="2">
        <v>181611</v>
      </c>
      <c r="L246" s="2">
        <v>170837</v>
      </c>
      <c r="M246" s="2">
        <v>153120</v>
      </c>
      <c r="N246" s="2">
        <v>61307</v>
      </c>
      <c r="O246" s="2">
        <v>0</v>
      </c>
      <c r="P246" s="2"/>
      <c r="Q246" s="2">
        <v>192805</v>
      </c>
      <c r="R246" s="2">
        <v>-165849</v>
      </c>
      <c r="S246" s="2">
        <v>23374</v>
      </c>
      <c r="T246" s="2">
        <v>30421</v>
      </c>
      <c r="U246" s="2">
        <v>0</v>
      </c>
      <c r="V246" s="2"/>
      <c r="W246" s="2">
        <v>217198</v>
      </c>
      <c r="X246" s="2">
        <v>177937</v>
      </c>
      <c r="Y246" s="2">
        <v>144454</v>
      </c>
      <c r="Z246" s="2">
        <v>0</v>
      </c>
      <c r="AA246" s="2">
        <v>0</v>
      </c>
      <c r="AB246" s="2"/>
      <c r="AC246" s="2">
        <v>10277</v>
      </c>
      <c r="AD246" s="2">
        <v>10277</v>
      </c>
      <c r="AE246" s="2">
        <v>10279</v>
      </c>
      <c r="AF246" s="2">
        <v>0</v>
      </c>
      <c r="AG246" s="2">
        <v>0</v>
      </c>
      <c r="AH246" s="2"/>
      <c r="AI246" s="2">
        <v>-7628</v>
      </c>
      <c r="AJ246" s="2">
        <v>-7331</v>
      </c>
      <c r="AK246" s="2">
        <v>-2411</v>
      </c>
      <c r="AL246" s="2">
        <v>-2412</v>
      </c>
      <c r="AM246" s="2">
        <v>-7331</v>
      </c>
    </row>
    <row r="247" spans="1:39">
      <c r="A247" s="349">
        <v>92327</v>
      </c>
      <c r="B247" s="342" t="s">
        <v>934</v>
      </c>
      <c r="C247" s="234" t="e">
        <f>VLOOKUP(A247,#REF!,10,FALSE)</f>
        <v>#REF!</v>
      </c>
      <c r="E247" s="2">
        <v>5441</v>
      </c>
      <c r="F247" s="2">
        <v>2941</v>
      </c>
      <c r="G247" s="2">
        <v>3395</v>
      </c>
      <c r="H247" s="2">
        <v>1225</v>
      </c>
      <c r="I247" s="2">
        <v>0</v>
      </c>
      <c r="J247" s="2"/>
      <c r="K247" s="2">
        <v>974</v>
      </c>
      <c r="L247" s="2">
        <v>916</v>
      </c>
      <c r="M247" s="2">
        <v>821</v>
      </c>
      <c r="N247" s="2">
        <v>329</v>
      </c>
      <c r="O247" s="2">
        <v>0</v>
      </c>
      <c r="P247" s="2"/>
      <c r="Q247" s="2">
        <v>1034</v>
      </c>
      <c r="R247" s="2">
        <v>-889</v>
      </c>
      <c r="S247" s="2">
        <v>125</v>
      </c>
      <c r="T247" s="2">
        <v>163</v>
      </c>
      <c r="U247" s="2">
        <v>0</v>
      </c>
      <c r="V247" s="2"/>
      <c r="W247" s="2">
        <v>1165</v>
      </c>
      <c r="X247" s="2">
        <v>954</v>
      </c>
      <c r="Y247" s="2">
        <v>775</v>
      </c>
      <c r="Z247" s="2">
        <v>0</v>
      </c>
      <c r="AA247" s="2">
        <v>0</v>
      </c>
      <c r="AB247" s="2"/>
      <c r="AC247" s="2">
        <v>2268</v>
      </c>
      <c r="AD247" s="2">
        <v>1960</v>
      </c>
      <c r="AE247" s="2">
        <v>1674</v>
      </c>
      <c r="AF247" s="2">
        <v>733</v>
      </c>
      <c r="AG247" s="2">
        <v>0</v>
      </c>
      <c r="AH247" s="2"/>
      <c r="AI247" s="2">
        <v>0</v>
      </c>
      <c r="AJ247" s="2">
        <v>0</v>
      </c>
      <c r="AK247" s="2">
        <v>0</v>
      </c>
      <c r="AL247" s="2">
        <v>0</v>
      </c>
      <c r="AM247" s="2">
        <v>0</v>
      </c>
    </row>
    <row r="248" spans="1:39">
      <c r="A248" s="349">
        <v>92331</v>
      </c>
      <c r="B248" s="342" t="s">
        <v>935</v>
      </c>
      <c r="C248" s="234" t="e">
        <f>VLOOKUP(A248,#REF!,10,FALSE)</f>
        <v>#REF!</v>
      </c>
      <c r="E248" s="2">
        <v>64389</v>
      </c>
      <c r="F248" s="2">
        <v>20412</v>
      </c>
      <c r="G248" s="2">
        <v>36378</v>
      </c>
      <c r="H248" s="2">
        <v>11922</v>
      </c>
      <c r="I248" s="2">
        <v>0</v>
      </c>
      <c r="J248" s="2"/>
      <c r="K248" s="2">
        <v>20239</v>
      </c>
      <c r="L248" s="2">
        <v>19038</v>
      </c>
      <c r="M248" s="2">
        <v>17064</v>
      </c>
      <c r="N248" s="2">
        <v>6832</v>
      </c>
      <c r="O248" s="2">
        <v>0</v>
      </c>
      <c r="P248" s="2"/>
      <c r="Q248" s="2">
        <v>21486</v>
      </c>
      <c r="R248" s="2">
        <v>-18482</v>
      </c>
      <c r="S248" s="2">
        <v>2605</v>
      </c>
      <c r="T248" s="2">
        <v>3390</v>
      </c>
      <c r="U248" s="2">
        <v>0</v>
      </c>
      <c r="V248" s="2"/>
      <c r="W248" s="2">
        <v>24205</v>
      </c>
      <c r="X248" s="2">
        <v>19829</v>
      </c>
      <c r="Y248" s="2">
        <v>16098</v>
      </c>
      <c r="Z248" s="2">
        <v>0</v>
      </c>
      <c r="AA248" s="2">
        <v>0</v>
      </c>
      <c r="AB248" s="2"/>
      <c r="AC248" s="2">
        <v>1702</v>
      </c>
      <c r="AD248" s="2">
        <v>1702</v>
      </c>
      <c r="AE248" s="2">
        <v>1702</v>
      </c>
      <c r="AF248" s="2">
        <v>1700</v>
      </c>
      <c r="AG248" s="2">
        <v>0</v>
      </c>
      <c r="AH248" s="2"/>
      <c r="AI248" s="2">
        <v>-3243</v>
      </c>
      <c r="AJ248" s="2">
        <v>-1675</v>
      </c>
      <c r="AK248" s="2">
        <v>-1091</v>
      </c>
      <c r="AL248" s="2">
        <v>0</v>
      </c>
      <c r="AM248" s="2">
        <v>-1675</v>
      </c>
    </row>
    <row r="249" spans="1:39">
      <c r="A249" s="349">
        <v>92341</v>
      </c>
      <c r="B249" s="342" t="s">
        <v>936</v>
      </c>
      <c r="C249" s="234" t="e">
        <f>VLOOKUP(A249,#REF!,10,FALSE)</f>
        <v>#REF!</v>
      </c>
      <c r="E249" s="2">
        <v>3542</v>
      </c>
      <c r="F249" s="2">
        <v>617</v>
      </c>
      <c r="G249" s="2">
        <v>1529</v>
      </c>
      <c r="H249" s="2">
        <v>275</v>
      </c>
      <c r="I249" s="2">
        <v>0</v>
      </c>
      <c r="J249" s="2"/>
      <c r="K249" s="2">
        <v>1273</v>
      </c>
      <c r="L249" s="2">
        <v>1198</v>
      </c>
      <c r="M249" s="2">
        <v>1074</v>
      </c>
      <c r="N249" s="2">
        <v>430</v>
      </c>
      <c r="O249" s="2">
        <v>0</v>
      </c>
      <c r="P249" s="2"/>
      <c r="Q249" s="2">
        <v>1352</v>
      </c>
      <c r="R249" s="2">
        <v>-1163</v>
      </c>
      <c r="S249" s="2">
        <v>164</v>
      </c>
      <c r="T249" s="2">
        <v>213</v>
      </c>
      <c r="U249" s="2">
        <v>0</v>
      </c>
      <c r="V249" s="2"/>
      <c r="W249" s="2">
        <v>1523</v>
      </c>
      <c r="X249" s="2">
        <v>1248</v>
      </c>
      <c r="Y249" s="2">
        <v>1013</v>
      </c>
      <c r="Z249" s="2">
        <v>0</v>
      </c>
      <c r="AA249" s="2">
        <v>0</v>
      </c>
      <c r="AB249" s="2"/>
      <c r="AC249" s="2">
        <v>116</v>
      </c>
      <c r="AD249" s="2">
        <v>56</v>
      </c>
      <c r="AE249" s="2">
        <v>0</v>
      </c>
      <c r="AF249" s="2">
        <v>0</v>
      </c>
      <c r="AG249" s="2">
        <v>0</v>
      </c>
      <c r="AH249" s="2"/>
      <c r="AI249" s="2">
        <v>-722</v>
      </c>
      <c r="AJ249" s="2">
        <v>-722</v>
      </c>
      <c r="AK249" s="2">
        <v>-722</v>
      </c>
      <c r="AL249" s="2">
        <v>-368</v>
      </c>
      <c r="AM249" s="2">
        <v>-722</v>
      </c>
    </row>
    <row r="250" spans="1:39">
      <c r="A250" s="349">
        <v>92351</v>
      </c>
      <c r="B250" s="342" t="s">
        <v>937</v>
      </c>
      <c r="C250" s="234" t="e">
        <f>VLOOKUP(A250,#REF!,10,FALSE)</f>
        <v>#REF!</v>
      </c>
      <c r="E250" s="2">
        <v>8216</v>
      </c>
      <c r="F250" s="2">
        <v>3304</v>
      </c>
      <c r="G250" s="2">
        <v>5253</v>
      </c>
      <c r="H250" s="2">
        <v>1143</v>
      </c>
      <c r="I250" s="2">
        <v>0</v>
      </c>
      <c r="J250" s="2"/>
      <c r="K250" s="2">
        <v>2622</v>
      </c>
      <c r="L250" s="2">
        <v>2466</v>
      </c>
      <c r="M250" s="2">
        <v>2210</v>
      </c>
      <c r="N250" s="2">
        <v>885</v>
      </c>
      <c r="O250" s="2">
        <v>0</v>
      </c>
      <c r="P250" s="2"/>
      <c r="Q250" s="2">
        <v>2783</v>
      </c>
      <c r="R250" s="2">
        <v>-2394</v>
      </c>
      <c r="S250" s="2">
        <v>337</v>
      </c>
      <c r="T250" s="2">
        <v>439</v>
      </c>
      <c r="U250" s="2">
        <v>0</v>
      </c>
      <c r="V250" s="2"/>
      <c r="W250" s="2">
        <v>3135</v>
      </c>
      <c r="X250" s="2">
        <v>2569</v>
      </c>
      <c r="Y250" s="2">
        <v>2085</v>
      </c>
      <c r="Z250" s="2">
        <v>0</v>
      </c>
      <c r="AA250" s="2">
        <v>0</v>
      </c>
      <c r="AB250" s="2"/>
      <c r="AC250" s="2">
        <v>845</v>
      </c>
      <c r="AD250" s="2">
        <v>844</v>
      </c>
      <c r="AE250" s="2">
        <v>802</v>
      </c>
      <c r="AF250" s="2">
        <v>0</v>
      </c>
      <c r="AG250" s="2">
        <v>0</v>
      </c>
      <c r="AH250" s="2"/>
      <c r="AI250" s="2">
        <v>-1169</v>
      </c>
      <c r="AJ250" s="2">
        <v>-181</v>
      </c>
      <c r="AK250" s="2">
        <v>-181</v>
      </c>
      <c r="AL250" s="2">
        <v>-181</v>
      </c>
      <c r="AM250" s="2">
        <v>-181</v>
      </c>
    </row>
    <row r="251" spans="1:39">
      <c r="A251" s="349">
        <v>92401</v>
      </c>
      <c r="B251" s="342" t="s">
        <v>938</v>
      </c>
      <c r="C251" s="234" t="e">
        <f>VLOOKUP(A251,#REF!,10,FALSE)</f>
        <v>#REF!</v>
      </c>
      <c r="E251" s="2">
        <v>1331047</v>
      </c>
      <c r="F251" s="2">
        <v>442787</v>
      </c>
      <c r="G251" s="2">
        <v>738152</v>
      </c>
      <c r="H251" s="2">
        <v>253686</v>
      </c>
      <c r="I251" s="2">
        <v>0</v>
      </c>
      <c r="J251" s="2"/>
      <c r="K251" s="2">
        <v>394592</v>
      </c>
      <c r="L251" s="2">
        <v>371183</v>
      </c>
      <c r="M251" s="2">
        <v>332687</v>
      </c>
      <c r="N251" s="2">
        <v>133204</v>
      </c>
      <c r="O251" s="2">
        <v>0</v>
      </c>
      <c r="P251" s="2"/>
      <c r="Q251" s="2">
        <v>418914</v>
      </c>
      <c r="R251" s="2">
        <v>-360344</v>
      </c>
      <c r="S251" s="2">
        <v>50786</v>
      </c>
      <c r="T251" s="2">
        <v>66098</v>
      </c>
      <c r="U251" s="2">
        <v>0</v>
      </c>
      <c r="V251" s="2"/>
      <c r="W251" s="2">
        <v>471913</v>
      </c>
      <c r="X251" s="2">
        <v>386608</v>
      </c>
      <c r="Y251" s="2">
        <v>313860</v>
      </c>
      <c r="Z251" s="2">
        <v>0</v>
      </c>
      <c r="AA251" s="2">
        <v>0</v>
      </c>
      <c r="AB251" s="2"/>
      <c r="AC251" s="2">
        <v>59196</v>
      </c>
      <c r="AD251" s="2">
        <v>58908</v>
      </c>
      <c r="AE251" s="2">
        <v>54385</v>
      </c>
      <c r="AF251" s="2">
        <v>54384</v>
      </c>
      <c r="AG251" s="2">
        <v>0</v>
      </c>
      <c r="AH251" s="2"/>
      <c r="AI251" s="2">
        <v>-13568</v>
      </c>
      <c r="AJ251" s="2">
        <v>-13568</v>
      </c>
      <c r="AK251" s="2">
        <v>-13566</v>
      </c>
      <c r="AL251" s="2">
        <v>0</v>
      </c>
      <c r="AM251" s="2">
        <v>-13568</v>
      </c>
    </row>
    <row r="252" spans="1:39">
      <c r="A252" s="349">
        <v>92403</v>
      </c>
      <c r="B252" s="342" t="s">
        <v>939</v>
      </c>
      <c r="C252" s="234" t="e">
        <f>VLOOKUP(A252,#REF!,10,FALSE)</f>
        <v>#REF!</v>
      </c>
      <c r="E252" s="2">
        <v>4670</v>
      </c>
      <c r="F252" s="2">
        <v>1998</v>
      </c>
      <c r="G252" s="2">
        <v>2653</v>
      </c>
      <c r="H252" s="2">
        <v>847</v>
      </c>
      <c r="I252" s="2">
        <v>0</v>
      </c>
      <c r="J252" s="2"/>
      <c r="K252" s="2">
        <v>1363</v>
      </c>
      <c r="L252" s="2">
        <v>1282</v>
      </c>
      <c r="M252" s="2">
        <v>1149</v>
      </c>
      <c r="N252" s="2">
        <v>460</v>
      </c>
      <c r="O252" s="2">
        <v>0</v>
      </c>
      <c r="P252" s="2"/>
      <c r="Q252" s="2">
        <v>1447</v>
      </c>
      <c r="R252" s="2">
        <v>-1245</v>
      </c>
      <c r="S252" s="2">
        <v>175</v>
      </c>
      <c r="T252" s="2">
        <v>228</v>
      </c>
      <c r="U252" s="2">
        <v>0</v>
      </c>
      <c r="V252" s="2"/>
      <c r="W252" s="2">
        <v>1630</v>
      </c>
      <c r="X252" s="2">
        <v>1336</v>
      </c>
      <c r="Y252" s="2">
        <v>1084</v>
      </c>
      <c r="Z252" s="2">
        <v>0</v>
      </c>
      <c r="AA252" s="2">
        <v>0</v>
      </c>
      <c r="AB252" s="2"/>
      <c r="AC252" s="2">
        <v>624</v>
      </c>
      <c r="AD252" s="2">
        <v>625</v>
      </c>
      <c r="AE252" s="2">
        <v>245</v>
      </c>
      <c r="AF252" s="2">
        <v>159</v>
      </c>
      <c r="AG252" s="2">
        <v>0</v>
      </c>
      <c r="AH252" s="2"/>
      <c r="AI252" s="2">
        <v>-394</v>
      </c>
      <c r="AJ252" s="2">
        <v>0</v>
      </c>
      <c r="AK252" s="2">
        <v>0</v>
      </c>
      <c r="AL252" s="2">
        <v>0</v>
      </c>
      <c r="AM252" s="2">
        <v>0</v>
      </c>
    </row>
    <row r="253" spans="1:39">
      <c r="A253" s="349">
        <v>92411</v>
      </c>
      <c r="B253" s="342" t="s">
        <v>940</v>
      </c>
      <c r="C253" s="234" t="e">
        <f>VLOOKUP(A253,#REF!,10,FALSE)</f>
        <v>#REF!</v>
      </c>
      <c r="E253" s="2">
        <v>198970</v>
      </c>
      <c r="F253" s="2">
        <v>56582</v>
      </c>
      <c r="G253" s="2">
        <v>109547</v>
      </c>
      <c r="H253" s="2">
        <v>35699</v>
      </c>
      <c r="I253" s="2">
        <v>0</v>
      </c>
      <c r="J253" s="2"/>
      <c r="K253" s="2">
        <v>67713</v>
      </c>
      <c r="L253" s="2">
        <v>63696</v>
      </c>
      <c r="M253" s="2">
        <v>57090</v>
      </c>
      <c r="N253" s="2">
        <v>22858</v>
      </c>
      <c r="O253" s="2">
        <v>0</v>
      </c>
      <c r="P253" s="2"/>
      <c r="Q253" s="2">
        <v>71887</v>
      </c>
      <c r="R253" s="2">
        <v>-61836</v>
      </c>
      <c r="S253" s="2">
        <v>8715</v>
      </c>
      <c r="T253" s="2">
        <v>11342</v>
      </c>
      <c r="U253" s="2">
        <v>0</v>
      </c>
      <c r="V253" s="2"/>
      <c r="W253" s="2">
        <v>80981</v>
      </c>
      <c r="X253" s="2">
        <v>66343</v>
      </c>
      <c r="Y253" s="2">
        <v>53859</v>
      </c>
      <c r="Z253" s="2">
        <v>0</v>
      </c>
      <c r="AA253" s="2">
        <v>0</v>
      </c>
      <c r="AB253" s="2"/>
      <c r="AC253" s="2">
        <v>1499</v>
      </c>
      <c r="AD253" s="2">
        <v>1499</v>
      </c>
      <c r="AE253" s="2">
        <v>1499</v>
      </c>
      <c r="AF253" s="2">
        <v>1499</v>
      </c>
      <c r="AG253" s="2">
        <v>0</v>
      </c>
      <c r="AH253" s="2"/>
      <c r="AI253" s="2">
        <v>-23110</v>
      </c>
      <c r="AJ253" s="2">
        <v>-13120</v>
      </c>
      <c r="AK253" s="2">
        <v>-11616</v>
      </c>
      <c r="AL253" s="2">
        <v>0</v>
      </c>
      <c r="AM253" s="2">
        <v>-13120</v>
      </c>
    </row>
    <row r="254" spans="1:39">
      <c r="A254" s="349">
        <v>92417</v>
      </c>
      <c r="B254" s="342" t="s">
        <v>941</v>
      </c>
      <c r="C254" s="234" t="e">
        <f>VLOOKUP(A254,#REF!,10,FALSE)</f>
        <v>#REF!</v>
      </c>
      <c r="E254" s="2">
        <v>6480</v>
      </c>
      <c r="F254" s="2">
        <v>867</v>
      </c>
      <c r="G254" s="2">
        <v>3221</v>
      </c>
      <c r="H254" s="2">
        <v>414</v>
      </c>
      <c r="I254" s="2">
        <v>0</v>
      </c>
      <c r="J254" s="2"/>
      <c r="K254" s="2">
        <v>2592</v>
      </c>
      <c r="L254" s="2">
        <v>2438</v>
      </c>
      <c r="M254" s="2">
        <v>2185</v>
      </c>
      <c r="N254" s="2">
        <v>875</v>
      </c>
      <c r="O254" s="2">
        <v>0</v>
      </c>
      <c r="P254" s="2"/>
      <c r="Q254" s="2">
        <v>2751</v>
      </c>
      <c r="R254" s="2">
        <v>-2367</v>
      </c>
      <c r="S254" s="2">
        <v>334</v>
      </c>
      <c r="T254" s="2">
        <v>434</v>
      </c>
      <c r="U254" s="2">
        <v>0</v>
      </c>
      <c r="V254" s="2"/>
      <c r="W254" s="2">
        <v>3100</v>
      </c>
      <c r="X254" s="2">
        <v>2539</v>
      </c>
      <c r="Y254" s="2">
        <v>2061</v>
      </c>
      <c r="Z254" s="2">
        <v>0</v>
      </c>
      <c r="AA254" s="2">
        <v>0</v>
      </c>
      <c r="AB254" s="2"/>
      <c r="AC254" s="2">
        <v>0</v>
      </c>
      <c r="AD254" s="2">
        <v>0</v>
      </c>
      <c r="AE254" s="2">
        <v>0</v>
      </c>
      <c r="AF254" s="2">
        <v>0</v>
      </c>
      <c r="AG254" s="2">
        <v>0</v>
      </c>
      <c r="AH254" s="2"/>
      <c r="AI254" s="2">
        <v>-1963</v>
      </c>
      <c r="AJ254" s="2">
        <v>-1743</v>
      </c>
      <c r="AK254" s="2">
        <v>-1359</v>
      </c>
      <c r="AL254" s="2">
        <v>-895</v>
      </c>
      <c r="AM254" s="2">
        <v>-1743</v>
      </c>
    </row>
    <row r="255" spans="1:39">
      <c r="A255" s="349">
        <v>92421</v>
      </c>
      <c r="B255" s="342" t="s">
        <v>942</v>
      </c>
      <c r="C255" s="234" t="e">
        <f>VLOOKUP(A255,#REF!,10,FALSE)</f>
        <v>#REF!</v>
      </c>
      <c r="E255" s="2">
        <v>10865</v>
      </c>
      <c r="F255" s="2">
        <v>5682</v>
      </c>
      <c r="G255" s="2">
        <v>6871</v>
      </c>
      <c r="H255" s="2">
        <v>2777</v>
      </c>
      <c r="I255" s="2">
        <v>0</v>
      </c>
      <c r="J255" s="2"/>
      <c r="K255" s="2">
        <v>2457</v>
      </c>
      <c r="L255" s="2">
        <v>2311</v>
      </c>
      <c r="M255" s="2">
        <v>2071</v>
      </c>
      <c r="N255" s="2">
        <v>829</v>
      </c>
      <c r="O255" s="2">
        <v>0</v>
      </c>
      <c r="P255" s="2"/>
      <c r="Q255" s="2">
        <v>2608</v>
      </c>
      <c r="R255" s="2">
        <v>-2244</v>
      </c>
      <c r="S255" s="2">
        <v>316</v>
      </c>
      <c r="T255" s="2">
        <v>412</v>
      </c>
      <c r="U255" s="2">
        <v>0</v>
      </c>
      <c r="V255" s="2"/>
      <c r="W255" s="2">
        <v>2938</v>
      </c>
      <c r="X255" s="2">
        <v>2407</v>
      </c>
      <c r="Y255" s="2">
        <v>1954</v>
      </c>
      <c r="Z255" s="2">
        <v>0</v>
      </c>
      <c r="AA255" s="2">
        <v>0</v>
      </c>
      <c r="AB255" s="2"/>
      <c r="AC255" s="2">
        <v>3206</v>
      </c>
      <c r="AD255" s="2">
        <v>3208</v>
      </c>
      <c r="AE255" s="2">
        <v>2530</v>
      </c>
      <c r="AF255" s="2">
        <v>1536</v>
      </c>
      <c r="AG255" s="2">
        <v>0</v>
      </c>
      <c r="AH255" s="2"/>
      <c r="AI255" s="2">
        <v>-344</v>
      </c>
      <c r="AJ255" s="2">
        <v>0</v>
      </c>
      <c r="AK255" s="2">
        <v>0</v>
      </c>
      <c r="AL255" s="2">
        <v>0</v>
      </c>
      <c r="AM255" s="2">
        <v>0</v>
      </c>
    </row>
    <row r="256" spans="1:39">
      <c r="A256" s="349">
        <v>92427</v>
      </c>
      <c r="B256" s="342" t="s">
        <v>943</v>
      </c>
      <c r="C256" s="234" t="e">
        <f>VLOOKUP(A256,#REF!,10,FALSE)</f>
        <v>#REF!</v>
      </c>
      <c r="E256" s="2">
        <v>1877</v>
      </c>
      <c r="F256" s="2">
        <v>1057</v>
      </c>
      <c r="G256" s="2">
        <v>1068</v>
      </c>
      <c r="H256" s="2">
        <v>282</v>
      </c>
      <c r="I256" s="2">
        <v>0</v>
      </c>
      <c r="J256" s="2"/>
      <c r="K256" s="2">
        <v>285</v>
      </c>
      <c r="L256" s="2">
        <v>268</v>
      </c>
      <c r="M256" s="2">
        <v>240</v>
      </c>
      <c r="N256" s="2">
        <v>96</v>
      </c>
      <c r="O256" s="2">
        <v>0</v>
      </c>
      <c r="P256" s="2"/>
      <c r="Q256" s="2">
        <v>302</v>
      </c>
      <c r="R256" s="2">
        <v>-260</v>
      </c>
      <c r="S256" s="2">
        <v>37</v>
      </c>
      <c r="T256" s="2">
        <v>48</v>
      </c>
      <c r="U256" s="2">
        <v>0</v>
      </c>
      <c r="V256" s="2"/>
      <c r="W256" s="2">
        <v>340</v>
      </c>
      <c r="X256" s="2">
        <v>279</v>
      </c>
      <c r="Y256" s="2">
        <v>226</v>
      </c>
      <c r="Z256" s="2">
        <v>0</v>
      </c>
      <c r="AA256" s="2">
        <v>0</v>
      </c>
      <c r="AB256" s="2"/>
      <c r="AC256" s="2">
        <v>950</v>
      </c>
      <c r="AD256" s="2">
        <v>770</v>
      </c>
      <c r="AE256" s="2">
        <v>565</v>
      </c>
      <c r="AF256" s="2">
        <v>138</v>
      </c>
      <c r="AG256" s="2">
        <v>0</v>
      </c>
      <c r="AH256" s="2"/>
      <c r="AI256" s="2">
        <v>0</v>
      </c>
      <c r="AJ256" s="2">
        <v>0</v>
      </c>
      <c r="AK256" s="2">
        <v>0</v>
      </c>
      <c r="AL256" s="2">
        <v>0</v>
      </c>
      <c r="AM256" s="2">
        <v>0</v>
      </c>
    </row>
    <row r="257" spans="1:39">
      <c r="A257" s="349">
        <v>92431</v>
      </c>
      <c r="B257" s="342" t="s">
        <v>944</v>
      </c>
      <c r="C257" s="234" t="e">
        <f>VLOOKUP(A257,#REF!,10,FALSE)</f>
        <v>#REF!</v>
      </c>
      <c r="E257" s="2">
        <v>17359</v>
      </c>
      <c r="F257" s="2">
        <v>9195</v>
      </c>
      <c r="G257" s="2">
        <v>8546</v>
      </c>
      <c r="H257" s="2">
        <v>3860</v>
      </c>
      <c r="I257" s="2">
        <v>0</v>
      </c>
      <c r="J257" s="2"/>
      <c r="K257" s="2">
        <v>4045</v>
      </c>
      <c r="L257" s="2">
        <v>3805</v>
      </c>
      <c r="M257" s="2">
        <v>3410</v>
      </c>
      <c r="N257" s="2">
        <v>1365</v>
      </c>
      <c r="O257" s="2">
        <v>0</v>
      </c>
      <c r="P257" s="2"/>
      <c r="Q257" s="2">
        <v>4294</v>
      </c>
      <c r="R257" s="2">
        <v>-3694</v>
      </c>
      <c r="S257" s="2">
        <v>521</v>
      </c>
      <c r="T257" s="2">
        <v>678</v>
      </c>
      <c r="U257" s="2">
        <v>0</v>
      </c>
      <c r="V257" s="2"/>
      <c r="W257" s="2">
        <v>4837</v>
      </c>
      <c r="X257" s="2">
        <v>3963</v>
      </c>
      <c r="Y257" s="2">
        <v>3217</v>
      </c>
      <c r="Z257" s="2">
        <v>0</v>
      </c>
      <c r="AA257" s="2">
        <v>0</v>
      </c>
      <c r="AB257" s="2"/>
      <c r="AC257" s="2">
        <v>5542</v>
      </c>
      <c r="AD257" s="2">
        <v>5541</v>
      </c>
      <c r="AE257" s="2">
        <v>1817</v>
      </c>
      <c r="AF257" s="2">
        <v>1817</v>
      </c>
      <c r="AG257" s="2">
        <v>0</v>
      </c>
      <c r="AH257" s="2"/>
      <c r="AI257" s="2">
        <v>-1359</v>
      </c>
      <c r="AJ257" s="2">
        <v>-420</v>
      </c>
      <c r="AK257" s="2">
        <v>-419</v>
      </c>
      <c r="AL257" s="2">
        <v>0</v>
      </c>
      <c r="AM257" s="2">
        <v>-420</v>
      </c>
    </row>
    <row r="258" spans="1:39">
      <c r="A258" s="349">
        <v>92441</v>
      </c>
      <c r="B258" s="342" t="s">
        <v>945</v>
      </c>
      <c r="C258" s="234" t="e">
        <f>VLOOKUP(A258,#REF!,10,FALSE)</f>
        <v>#REF!</v>
      </c>
      <c r="E258" s="2">
        <v>39815</v>
      </c>
      <c r="F258" s="2">
        <v>11760</v>
      </c>
      <c r="G258" s="2">
        <v>23532</v>
      </c>
      <c r="H258" s="2">
        <v>3341</v>
      </c>
      <c r="I258" s="2">
        <v>0</v>
      </c>
      <c r="J258" s="2"/>
      <c r="K258" s="2">
        <v>12958</v>
      </c>
      <c r="L258" s="2">
        <v>12190</v>
      </c>
      <c r="M258" s="2">
        <v>10925</v>
      </c>
      <c r="N258" s="2">
        <v>4374</v>
      </c>
      <c r="O258" s="2">
        <v>0</v>
      </c>
      <c r="P258" s="2"/>
      <c r="Q258" s="2">
        <v>13757</v>
      </c>
      <c r="R258" s="2">
        <v>-11834</v>
      </c>
      <c r="S258" s="2">
        <v>1668</v>
      </c>
      <c r="T258" s="2">
        <v>2171</v>
      </c>
      <c r="U258" s="2">
        <v>0</v>
      </c>
      <c r="V258" s="2"/>
      <c r="W258" s="2">
        <v>15498</v>
      </c>
      <c r="X258" s="2">
        <v>12696</v>
      </c>
      <c r="Y258" s="2">
        <v>10307</v>
      </c>
      <c r="Z258" s="2">
        <v>0</v>
      </c>
      <c r="AA258" s="2">
        <v>0</v>
      </c>
      <c r="AB258" s="2"/>
      <c r="AC258" s="2">
        <v>3834</v>
      </c>
      <c r="AD258" s="2">
        <v>3834</v>
      </c>
      <c r="AE258" s="2">
        <v>3836</v>
      </c>
      <c r="AF258" s="2">
        <v>0</v>
      </c>
      <c r="AG258" s="2">
        <v>0</v>
      </c>
      <c r="AH258" s="2"/>
      <c r="AI258" s="2">
        <v>-6232</v>
      </c>
      <c r="AJ258" s="2">
        <v>-5126</v>
      </c>
      <c r="AK258" s="2">
        <v>-3204</v>
      </c>
      <c r="AL258" s="2">
        <v>-3204</v>
      </c>
      <c r="AM258" s="2">
        <v>-5126</v>
      </c>
    </row>
    <row r="259" spans="1:39">
      <c r="A259" s="349">
        <v>92444</v>
      </c>
      <c r="B259" s="342" t="s">
        <v>946</v>
      </c>
      <c r="C259" s="234" t="e">
        <f>VLOOKUP(A259,#REF!,10,FALSE)</f>
        <v>#REF!</v>
      </c>
      <c r="E259" s="2">
        <v>4421</v>
      </c>
      <c r="F259" s="2">
        <v>2473</v>
      </c>
      <c r="G259" s="2">
        <v>2832</v>
      </c>
      <c r="H259" s="2">
        <v>1415</v>
      </c>
      <c r="I259" s="2">
        <v>0</v>
      </c>
      <c r="J259" s="2"/>
      <c r="K259" s="2">
        <v>764</v>
      </c>
      <c r="L259" s="2">
        <v>719</v>
      </c>
      <c r="M259" s="2">
        <v>644</v>
      </c>
      <c r="N259" s="2">
        <v>258</v>
      </c>
      <c r="O259" s="2">
        <v>0</v>
      </c>
      <c r="P259" s="2"/>
      <c r="Q259" s="2">
        <v>811</v>
      </c>
      <c r="R259" s="2">
        <v>-698</v>
      </c>
      <c r="S259" s="2">
        <v>98</v>
      </c>
      <c r="T259" s="2">
        <v>128</v>
      </c>
      <c r="U259" s="2">
        <v>0</v>
      </c>
      <c r="V259" s="2"/>
      <c r="W259" s="2">
        <v>914</v>
      </c>
      <c r="X259" s="2">
        <v>749</v>
      </c>
      <c r="Y259" s="2">
        <v>608</v>
      </c>
      <c r="Z259" s="2">
        <v>0</v>
      </c>
      <c r="AA259" s="2">
        <v>0</v>
      </c>
      <c r="AB259" s="2"/>
      <c r="AC259" s="2">
        <v>1932</v>
      </c>
      <c r="AD259" s="2">
        <v>1703</v>
      </c>
      <c r="AE259" s="2">
        <v>1482</v>
      </c>
      <c r="AF259" s="2">
        <v>1029</v>
      </c>
      <c r="AG259" s="2">
        <v>0</v>
      </c>
      <c r="AH259" s="2"/>
      <c r="AI259" s="2">
        <v>0</v>
      </c>
      <c r="AJ259" s="2">
        <v>0</v>
      </c>
      <c r="AK259" s="2">
        <v>0</v>
      </c>
      <c r="AL259" s="2">
        <v>0</v>
      </c>
      <c r="AM259" s="2">
        <v>0</v>
      </c>
    </row>
    <row r="260" spans="1:39">
      <c r="A260" s="349">
        <v>92451</v>
      </c>
      <c r="B260" s="342" t="s">
        <v>947</v>
      </c>
      <c r="C260" s="234" t="e">
        <f>VLOOKUP(A260,#REF!,10,FALSE)</f>
        <v>#REF!</v>
      </c>
      <c r="E260" s="2">
        <v>67254</v>
      </c>
      <c r="F260" s="2">
        <v>23500</v>
      </c>
      <c r="G260" s="2">
        <v>35427</v>
      </c>
      <c r="H260" s="2">
        <v>10972</v>
      </c>
      <c r="I260" s="2">
        <v>0</v>
      </c>
      <c r="J260" s="2"/>
      <c r="K260" s="2">
        <v>17123</v>
      </c>
      <c r="L260" s="2">
        <v>16107</v>
      </c>
      <c r="M260" s="2">
        <v>14437</v>
      </c>
      <c r="N260" s="2">
        <v>5780</v>
      </c>
      <c r="O260" s="2">
        <v>0</v>
      </c>
      <c r="P260" s="2"/>
      <c r="Q260" s="2">
        <v>18178</v>
      </c>
      <c r="R260" s="2">
        <v>-15637</v>
      </c>
      <c r="S260" s="2">
        <v>2204</v>
      </c>
      <c r="T260" s="2">
        <v>2868</v>
      </c>
      <c r="U260" s="2">
        <v>0</v>
      </c>
      <c r="V260" s="2"/>
      <c r="W260" s="2">
        <v>20478</v>
      </c>
      <c r="X260" s="2">
        <v>16776</v>
      </c>
      <c r="Y260" s="2">
        <v>13620</v>
      </c>
      <c r="Z260" s="2">
        <v>0</v>
      </c>
      <c r="AA260" s="2">
        <v>0</v>
      </c>
      <c r="AB260" s="2"/>
      <c r="AC260" s="2">
        <v>11475</v>
      </c>
      <c r="AD260" s="2">
        <v>6254</v>
      </c>
      <c r="AE260" s="2">
        <v>5166</v>
      </c>
      <c r="AF260" s="2">
        <v>2324</v>
      </c>
      <c r="AG260" s="2">
        <v>0</v>
      </c>
      <c r="AH260" s="2"/>
      <c r="AI260" s="2">
        <v>0</v>
      </c>
      <c r="AJ260" s="2">
        <v>0</v>
      </c>
      <c r="AK260" s="2">
        <v>0</v>
      </c>
      <c r="AL260" s="2">
        <v>0</v>
      </c>
      <c r="AM260" s="2">
        <v>0</v>
      </c>
    </row>
    <row r="261" spans="1:39">
      <c r="A261" s="349">
        <v>92461</v>
      </c>
      <c r="B261" s="342" t="s">
        <v>948</v>
      </c>
      <c r="C261" s="234" t="e">
        <f>VLOOKUP(A261,#REF!,10,FALSE)</f>
        <v>#REF!</v>
      </c>
      <c r="E261" s="2">
        <v>33881</v>
      </c>
      <c r="F261" s="2">
        <v>11886</v>
      </c>
      <c r="G261" s="2">
        <v>17208</v>
      </c>
      <c r="H261" s="2">
        <v>4800</v>
      </c>
      <c r="I261" s="2">
        <v>0</v>
      </c>
      <c r="J261" s="2"/>
      <c r="K261" s="2">
        <v>8749</v>
      </c>
      <c r="L261" s="2">
        <v>8230</v>
      </c>
      <c r="M261" s="2">
        <v>7376</v>
      </c>
      <c r="N261" s="2">
        <v>2953</v>
      </c>
      <c r="O261" s="2">
        <v>0</v>
      </c>
      <c r="P261" s="2"/>
      <c r="Q261" s="2">
        <v>9288</v>
      </c>
      <c r="R261" s="2">
        <v>-7989</v>
      </c>
      <c r="S261" s="2">
        <v>1126</v>
      </c>
      <c r="T261" s="2">
        <v>1465</v>
      </c>
      <c r="U261" s="2">
        <v>0</v>
      </c>
      <c r="V261" s="2"/>
      <c r="W261" s="2">
        <v>10463</v>
      </c>
      <c r="X261" s="2">
        <v>8572</v>
      </c>
      <c r="Y261" s="2">
        <v>6959</v>
      </c>
      <c r="Z261" s="2">
        <v>0</v>
      </c>
      <c r="AA261" s="2">
        <v>0</v>
      </c>
      <c r="AB261" s="2"/>
      <c r="AC261" s="2">
        <v>5381</v>
      </c>
      <c r="AD261" s="2">
        <v>3073</v>
      </c>
      <c r="AE261" s="2">
        <v>1747</v>
      </c>
      <c r="AF261" s="2">
        <v>382</v>
      </c>
      <c r="AG261" s="2">
        <v>0</v>
      </c>
      <c r="AH261" s="2"/>
      <c r="AI261" s="2">
        <v>0</v>
      </c>
      <c r="AJ261" s="2">
        <v>0</v>
      </c>
      <c r="AK261" s="2">
        <v>0</v>
      </c>
      <c r="AL261" s="2">
        <v>0</v>
      </c>
      <c r="AM261" s="2">
        <v>0</v>
      </c>
    </row>
    <row r="262" spans="1:39">
      <c r="A262" s="349">
        <v>92501</v>
      </c>
      <c r="B262" s="342" t="s">
        <v>949</v>
      </c>
      <c r="C262" s="234" t="e">
        <f>VLOOKUP(A262,#REF!,10,FALSE)</f>
        <v>#REF!</v>
      </c>
      <c r="E262" s="2">
        <v>1883183</v>
      </c>
      <c r="F262" s="2">
        <v>627480</v>
      </c>
      <c r="G262" s="2">
        <v>1024813</v>
      </c>
      <c r="H262" s="2">
        <v>301797</v>
      </c>
      <c r="I262" s="2">
        <v>0</v>
      </c>
      <c r="J262" s="2"/>
      <c r="K262" s="2">
        <v>555125</v>
      </c>
      <c r="L262" s="2">
        <v>522193</v>
      </c>
      <c r="M262" s="2">
        <v>468036</v>
      </c>
      <c r="N262" s="2">
        <v>187396</v>
      </c>
      <c r="O262" s="2">
        <v>0</v>
      </c>
      <c r="P262" s="2"/>
      <c r="Q262" s="2">
        <v>589342</v>
      </c>
      <c r="R262" s="2">
        <v>-506945</v>
      </c>
      <c r="S262" s="2">
        <v>71448</v>
      </c>
      <c r="T262" s="2">
        <v>92988</v>
      </c>
      <c r="U262" s="2">
        <v>0</v>
      </c>
      <c r="V262" s="2"/>
      <c r="W262" s="2">
        <v>663903</v>
      </c>
      <c r="X262" s="2">
        <v>543893</v>
      </c>
      <c r="Y262" s="2">
        <v>441548</v>
      </c>
      <c r="Z262" s="2">
        <v>0</v>
      </c>
      <c r="AA262" s="2">
        <v>0</v>
      </c>
      <c r="AB262" s="2"/>
      <c r="AC262" s="2">
        <v>74813</v>
      </c>
      <c r="AD262" s="2">
        <v>68339</v>
      </c>
      <c r="AE262" s="2">
        <v>43781</v>
      </c>
      <c r="AF262" s="2">
        <v>21413</v>
      </c>
      <c r="AG262" s="2">
        <v>0</v>
      </c>
      <c r="AH262" s="2"/>
      <c r="AI262" s="2">
        <v>0</v>
      </c>
      <c r="AJ262" s="2">
        <v>0</v>
      </c>
      <c r="AK262" s="2">
        <v>0</v>
      </c>
      <c r="AL262" s="2">
        <v>0</v>
      </c>
      <c r="AM262" s="2">
        <v>0</v>
      </c>
    </row>
    <row r="263" spans="1:39">
      <c r="A263" s="349">
        <v>92502</v>
      </c>
      <c r="B263" s="342" t="s">
        <v>3657</v>
      </c>
      <c r="C263" s="234" t="e">
        <f>VLOOKUP(A263,#REF!,10,FALSE)</f>
        <v>#REF!</v>
      </c>
      <c r="E263" s="2">
        <v>13229</v>
      </c>
      <c r="F263" s="2">
        <v>4196</v>
      </c>
      <c r="G263" s="2">
        <v>6792</v>
      </c>
      <c r="H263" s="2">
        <v>2122</v>
      </c>
      <c r="I263" s="2">
        <v>0</v>
      </c>
      <c r="J263" s="2"/>
      <c r="K263" s="2">
        <v>3535</v>
      </c>
      <c r="L263" s="2">
        <v>3326</v>
      </c>
      <c r="M263" s="2">
        <v>2981</v>
      </c>
      <c r="N263" s="2">
        <v>1193</v>
      </c>
      <c r="O263" s="2">
        <v>0</v>
      </c>
      <c r="P263" s="2"/>
      <c r="Q263" s="2">
        <v>3753</v>
      </c>
      <c r="R263" s="2">
        <v>-3229</v>
      </c>
      <c r="S263" s="2">
        <v>455</v>
      </c>
      <c r="T263" s="2">
        <v>592</v>
      </c>
      <c r="U263" s="2">
        <v>0</v>
      </c>
      <c r="V263" s="2"/>
      <c r="W263" s="2">
        <v>4228</v>
      </c>
      <c r="X263" s="2">
        <v>3464</v>
      </c>
      <c r="Y263" s="2">
        <v>2812</v>
      </c>
      <c r="Z263" s="2">
        <v>0</v>
      </c>
      <c r="AA263" s="2">
        <v>0</v>
      </c>
      <c r="AB263" s="2"/>
      <c r="AC263" s="2">
        <v>1713</v>
      </c>
      <c r="AD263" s="2">
        <v>635</v>
      </c>
      <c r="AE263" s="2">
        <v>544</v>
      </c>
      <c r="AF263" s="2">
        <v>337</v>
      </c>
      <c r="AG263" s="2">
        <v>0</v>
      </c>
      <c r="AH263" s="2"/>
      <c r="AI263" s="2">
        <v>0</v>
      </c>
      <c r="AJ263" s="2">
        <v>0</v>
      </c>
      <c r="AK263" s="2">
        <v>0</v>
      </c>
      <c r="AL263" s="2">
        <v>0</v>
      </c>
      <c r="AM263" s="2">
        <v>0</v>
      </c>
    </row>
    <row r="264" spans="1:39">
      <c r="A264" s="349">
        <v>92504</v>
      </c>
      <c r="B264" s="342" t="s">
        <v>3658</v>
      </c>
      <c r="C264" s="234" t="e">
        <f>VLOOKUP(A264,#REF!,10,FALSE)</f>
        <v>#REF!</v>
      </c>
      <c r="E264" s="2">
        <v>46748</v>
      </c>
      <c r="F264" s="2">
        <v>19562</v>
      </c>
      <c r="G264" s="2">
        <v>24129</v>
      </c>
      <c r="H264" s="2">
        <v>8282</v>
      </c>
      <c r="I264" s="2">
        <v>0</v>
      </c>
      <c r="J264" s="2"/>
      <c r="K264" s="2">
        <v>11430</v>
      </c>
      <c r="L264" s="2">
        <v>10752</v>
      </c>
      <c r="M264" s="2">
        <v>9637</v>
      </c>
      <c r="N264" s="2">
        <v>3859</v>
      </c>
      <c r="O264" s="2">
        <v>0</v>
      </c>
      <c r="P264" s="2"/>
      <c r="Q264" s="2">
        <v>12135</v>
      </c>
      <c r="R264" s="2">
        <v>-10438</v>
      </c>
      <c r="S264" s="2">
        <v>1471</v>
      </c>
      <c r="T264" s="2">
        <v>1915</v>
      </c>
      <c r="U264" s="2">
        <v>0</v>
      </c>
      <c r="V264" s="2"/>
      <c r="W264" s="2">
        <v>13670</v>
      </c>
      <c r="X264" s="2">
        <v>11199</v>
      </c>
      <c r="Y264" s="2">
        <v>9092</v>
      </c>
      <c r="Z264" s="2">
        <v>0</v>
      </c>
      <c r="AA264" s="2">
        <v>0</v>
      </c>
      <c r="AB264" s="2"/>
      <c r="AC264" s="2">
        <v>9513</v>
      </c>
      <c r="AD264" s="2">
        <v>8049</v>
      </c>
      <c r="AE264" s="2">
        <v>3929</v>
      </c>
      <c r="AF264" s="2">
        <v>2508</v>
      </c>
      <c r="AG264" s="2">
        <v>0</v>
      </c>
      <c r="AH264" s="2"/>
      <c r="AI264" s="2">
        <v>0</v>
      </c>
      <c r="AJ264" s="2">
        <v>0</v>
      </c>
      <c r="AK264" s="2">
        <v>0</v>
      </c>
      <c r="AL264" s="2">
        <v>0</v>
      </c>
      <c r="AM264" s="2">
        <v>0</v>
      </c>
    </row>
    <row r="265" spans="1:39">
      <c r="A265" s="349">
        <v>92505</v>
      </c>
      <c r="B265" s="342" t="s">
        <v>952</v>
      </c>
      <c r="C265" s="234" t="e">
        <f>VLOOKUP(A265,#REF!,10,FALSE)</f>
        <v>#REF!</v>
      </c>
      <c r="E265" s="2">
        <v>106928</v>
      </c>
      <c r="F265" s="2">
        <v>45235</v>
      </c>
      <c r="G265" s="2">
        <v>57644</v>
      </c>
      <c r="H265" s="2">
        <v>19330</v>
      </c>
      <c r="I265" s="2">
        <v>0</v>
      </c>
      <c r="J265" s="2"/>
      <c r="K265" s="2">
        <v>25602</v>
      </c>
      <c r="L265" s="2">
        <v>24083</v>
      </c>
      <c r="M265" s="2">
        <v>21586</v>
      </c>
      <c r="N265" s="2">
        <v>8643</v>
      </c>
      <c r="O265" s="2">
        <v>0</v>
      </c>
      <c r="P265" s="2"/>
      <c r="Q265" s="2">
        <v>27180</v>
      </c>
      <c r="R265" s="2">
        <v>-23380</v>
      </c>
      <c r="S265" s="2">
        <v>3295</v>
      </c>
      <c r="T265" s="2">
        <v>4289</v>
      </c>
      <c r="U265" s="2">
        <v>0</v>
      </c>
      <c r="V265" s="2"/>
      <c r="W265" s="2">
        <v>30619</v>
      </c>
      <c r="X265" s="2">
        <v>25084</v>
      </c>
      <c r="Y265" s="2">
        <v>20364</v>
      </c>
      <c r="Z265" s="2">
        <v>0</v>
      </c>
      <c r="AA265" s="2">
        <v>0</v>
      </c>
      <c r="AB265" s="2"/>
      <c r="AC265" s="2">
        <v>23527</v>
      </c>
      <c r="AD265" s="2">
        <v>19448</v>
      </c>
      <c r="AE265" s="2">
        <v>12399</v>
      </c>
      <c r="AF265" s="2">
        <v>6398</v>
      </c>
      <c r="AG265" s="2">
        <v>0</v>
      </c>
      <c r="AH265" s="2"/>
      <c r="AI265" s="2">
        <v>0</v>
      </c>
      <c r="AJ265" s="2">
        <v>0</v>
      </c>
      <c r="AK265" s="2">
        <v>0</v>
      </c>
      <c r="AL265" s="2">
        <v>0</v>
      </c>
      <c r="AM265" s="2">
        <v>0</v>
      </c>
    </row>
    <row r="266" spans="1:39">
      <c r="A266" s="349">
        <v>92506</v>
      </c>
      <c r="B266" s="342" t="s">
        <v>953</v>
      </c>
      <c r="C266" s="234" t="e">
        <f>VLOOKUP(A266,#REF!,10,FALSE)</f>
        <v>#REF!</v>
      </c>
      <c r="E266" s="2">
        <v>32405</v>
      </c>
      <c r="F266" s="2">
        <v>12699</v>
      </c>
      <c r="G266" s="2">
        <v>17233</v>
      </c>
      <c r="H266" s="2">
        <v>3737</v>
      </c>
      <c r="I266" s="2">
        <v>0</v>
      </c>
      <c r="J266" s="2"/>
      <c r="K266" s="2">
        <v>8060</v>
      </c>
      <c r="L266" s="2">
        <v>7581</v>
      </c>
      <c r="M266" s="2">
        <v>6795</v>
      </c>
      <c r="N266" s="2">
        <v>2721</v>
      </c>
      <c r="O266" s="2">
        <v>0</v>
      </c>
      <c r="P266" s="2"/>
      <c r="Q266" s="2">
        <v>8556</v>
      </c>
      <c r="R266" s="2">
        <v>-7360</v>
      </c>
      <c r="S266" s="2">
        <v>1037</v>
      </c>
      <c r="T266" s="2">
        <v>1350</v>
      </c>
      <c r="U266" s="2">
        <v>0</v>
      </c>
      <c r="V266" s="2"/>
      <c r="W266" s="2">
        <v>9639</v>
      </c>
      <c r="X266" s="2">
        <v>7897</v>
      </c>
      <c r="Y266" s="2">
        <v>6411</v>
      </c>
      <c r="Z266" s="2">
        <v>0</v>
      </c>
      <c r="AA266" s="2">
        <v>0</v>
      </c>
      <c r="AB266" s="2"/>
      <c r="AC266" s="2">
        <v>6483</v>
      </c>
      <c r="AD266" s="2">
        <v>4914</v>
      </c>
      <c r="AE266" s="2">
        <v>3323</v>
      </c>
      <c r="AF266" s="2">
        <v>0</v>
      </c>
      <c r="AG266" s="2">
        <v>0</v>
      </c>
      <c r="AH266" s="2"/>
      <c r="AI266" s="2">
        <v>-333</v>
      </c>
      <c r="AJ266" s="2">
        <v>-333</v>
      </c>
      <c r="AK266" s="2">
        <v>-333</v>
      </c>
      <c r="AL266" s="2">
        <v>-334</v>
      </c>
      <c r="AM266" s="2">
        <v>-333</v>
      </c>
    </row>
    <row r="267" spans="1:39">
      <c r="A267" s="349">
        <v>92507</v>
      </c>
      <c r="B267" s="342" t="s">
        <v>954</v>
      </c>
      <c r="C267" s="234" t="e">
        <f>VLOOKUP(A267,#REF!,10,FALSE)</f>
        <v>#REF!</v>
      </c>
      <c r="E267" s="2">
        <v>47558</v>
      </c>
      <c r="F267" s="2">
        <v>16359</v>
      </c>
      <c r="G267" s="2">
        <v>25326</v>
      </c>
      <c r="H267" s="2">
        <v>8098</v>
      </c>
      <c r="I267" s="2">
        <v>0</v>
      </c>
      <c r="J267" s="2"/>
      <c r="K267" s="2">
        <v>15131</v>
      </c>
      <c r="L267" s="2">
        <v>14233</v>
      </c>
      <c r="M267" s="2">
        <v>12757</v>
      </c>
      <c r="N267" s="2">
        <v>5108</v>
      </c>
      <c r="O267" s="2">
        <v>0</v>
      </c>
      <c r="P267" s="2"/>
      <c r="Q267" s="2">
        <v>16063</v>
      </c>
      <c r="R267" s="2">
        <v>-13817</v>
      </c>
      <c r="S267" s="2">
        <v>1947</v>
      </c>
      <c r="T267" s="2">
        <v>2534</v>
      </c>
      <c r="U267" s="2">
        <v>0</v>
      </c>
      <c r="V267" s="2"/>
      <c r="W267" s="2">
        <v>18095</v>
      </c>
      <c r="X267" s="2">
        <v>14824</v>
      </c>
      <c r="Y267" s="2">
        <v>12035</v>
      </c>
      <c r="Z267" s="2">
        <v>0</v>
      </c>
      <c r="AA267" s="2">
        <v>0</v>
      </c>
      <c r="AB267" s="2"/>
      <c r="AC267" s="2">
        <v>2987</v>
      </c>
      <c r="AD267" s="2">
        <v>2988</v>
      </c>
      <c r="AE267" s="2">
        <v>456</v>
      </c>
      <c r="AF267" s="2">
        <v>456</v>
      </c>
      <c r="AG267" s="2">
        <v>0</v>
      </c>
      <c r="AH267" s="2"/>
      <c r="AI267" s="2">
        <v>-4718</v>
      </c>
      <c r="AJ267" s="2">
        <v>-1869</v>
      </c>
      <c r="AK267" s="2">
        <v>-1869</v>
      </c>
      <c r="AL267" s="2">
        <v>0</v>
      </c>
      <c r="AM267" s="2">
        <v>-1869</v>
      </c>
    </row>
    <row r="268" spans="1:39">
      <c r="A268" s="349">
        <v>92508</v>
      </c>
      <c r="B268" s="342" t="s">
        <v>3659</v>
      </c>
      <c r="C268" s="234" t="e">
        <f>VLOOKUP(A268,#REF!,10,FALSE)</f>
        <v>#REF!</v>
      </c>
      <c r="E268" s="2">
        <v>160214</v>
      </c>
      <c r="F268" s="2">
        <v>56063</v>
      </c>
      <c r="G268" s="2">
        <v>90999</v>
      </c>
      <c r="H268" s="2">
        <v>30918</v>
      </c>
      <c r="I268" s="2">
        <v>0</v>
      </c>
      <c r="J268" s="2"/>
      <c r="K268" s="2">
        <v>46470</v>
      </c>
      <c r="L268" s="2">
        <v>43713</v>
      </c>
      <c r="M268" s="2">
        <v>39180</v>
      </c>
      <c r="N268" s="2">
        <v>15687</v>
      </c>
      <c r="O268" s="2">
        <v>0</v>
      </c>
      <c r="P268" s="2"/>
      <c r="Q268" s="2">
        <v>49335</v>
      </c>
      <c r="R268" s="2">
        <v>-42437</v>
      </c>
      <c r="S268" s="2">
        <v>5981</v>
      </c>
      <c r="T268" s="2">
        <v>7784</v>
      </c>
      <c r="U268" s="2">
        <v>0</v>
      </c>
      <c r="V268" s="2"/>
      <c r="W268" s="2">
        <v>55576</v>
      </c>
      <c r="X268" s="2">
        <v>45530</v>
      </c>
      <c r="Y268" s="2">
        <v>36963</v>
      </c>
      <c r="Z268" s="2">
        <v>0</v>
      </c>
      <c r="AA268" s="2">
        <v>0</v>
      </c>
      <c r="AB268" s="2"/>
      <c r="AC268" s="2">
        <v>9256</v>
      </c>
      <c r="AD268" s="2">
        <v>9257</v>
      </c>
      <c r="AE268" s="2">
        <v>8875</v>
      </c>
      <c r="AF268" s="2">
        <v>7447</v>
      </c>
      <c r="AG268" s="2">
        <v>0</v>
      </c>
      <c r="AH268" s="2"/>
      <c r="AI268" s="2">
        <v>-423</v>
      </c>
      <c r="AJ268" s="2">
        <v>0</v>
      </c>
      <c r="AK268" s="2">
        <v>0</v>
      </c>
      <c r="AL268" s="2">
        <v>0</v>
      </c>
      <c r="AM268" s="2">
        <v>0</v>
      </c>
    </row>
    <row r="269" spans="1:39">
      <c r="A269" s="349">
        <v>92511</v>
      </c>
      <c r="B269" s="342" t="s">
        <v>956</v>
      </c>
      <c r="C269" s="234" t="e">
        <f>VLOOKUP(A269,#REF!,10,FALSE)</f>
        <v>#REF!</v>
      </c>
      <c r="E269" s="2">
        <v>1732826</v>
      </c>
      <c r="F269" s="2">
        <v>569271</v>
      </c>
      <c r="G269" s="2">
        <v>991509</v>
      </c>
      <c r="H269" s="2">
        <v>313556</v>
      </c>
      <c r="I269" s="2">
        <v>0</v>
      </c>
      <c r="J269" s="2"/>
      <c r="K269" s="2">
        <v>534811</v>
      </c>
      <c r="L269" s="2">
        <v>503084</v>
      </c>
      <c r="M269" s="2">
        <v>450909</v>
      </c>
      <c r="N269" s="2">
        <v>180538</v>
      </c>
      <c r="O269" s="2">
        <v>0</v>
      </c>
      <c r="P269" s="2"/>
      <c r="Q269" s="2">
        <v>567776</v>
      </c>
      <c r="R269" s="2">
        <v>-488394</v>
      </c>
      <c r="S269" s="2">
        <v>68833</v>
      </c>
      <c r="T269" s="2">
        <v>89586</v>
      </c>
      <c r="U269" s="2">
        <v>0</v>
      </c>
      <c r="V269" s="2"/>
      <c r="W269" s="2">
        <v>639608</v>
      </c>
      <c r="X269" s="2">
        <v>523990</v>
      </c>
      <c r="Y269" s="2">
        <v>425390</v>
      </c>
      <c r="Z269" s="2">
        <v>0</v>
      </c>
      <c r="AA269" s="2">
        <v>0</v>
      </c>
      <c r="AB269" s="2"/>
      <c r="AC269" s="2">
        <v>46377</v>
      </c>
      <c r="AD269" s="2">
        <v>46377</v>
      </c>
      <c r="AE269" s="2">
        <v>46377</v>
      </c>
      <c r="AF269" s="2">
        <v>43432</v>
      </c>
      <c r="AG269" s="2">
        <v>0</v>
      </c>
      <c r="AH269" s="2"/>
      <c r="AI269" s="2">
        <v>-55746</v>
      </c>
      <c r="AJ269" s="2">
        <v>-15786</v>
      </c>
      <c r="AK269" s="2">
        <v>0</v>
      </c>
      <c r="AL269" s="2">
        <v>0</v>
      </c>
      <c r="AM269" s="2">
        <v>-15786</v>
      </c>
    </row>
    <row r="270" spans="1:39">
      <c r="A270" s="349">
        <v>92513</v>
      </c>
      <c r="B270" s="342" t="s">
        <v>957</v>
      </c>
      <c r="C270" s="234" t="e">
        <f>VLOOKUP(A270,#REF!,10,FALSE)</f>
        <v>#REF!</v>
      </c>
      <c r="E270" s="2">
        <v>2270024</v>
      </c>
      <c r="F270" s="2">
        <v>493411</v>
      </c>
      <c r="G270" s="2">
        <v>969597</v>
      </c>
      <c r="H270" s="2">
        <v>275126</v>
      </c>
      <c r="I270" s="2">
        <v>0</v>
      </c>
      <c r="J270" s="2"/>
      <c r="K270" s="2">
        <v>591513</v>
      </c>
      <c r="L270" s="2">
        <v>556423</v>
      </c>
      <c r="M270" s="2">
        <v>498715</v>
      </c>
      <c r="N270" s="2">
        <v>199680</v>
      </c>
      <c r="O270" s="2">
        <v>0</v>
      </c>
      <c r="P270" s="2"/>
      <c r="Q270" s="2">
        <v>627973</v>
      </c>
      <c r="R270" s="2">
        <v>-540175</v>
      </c>
      <c r="S270" s="2">
        <v>76131</v>
      </c>
      <c r="T270" s="2">
        <v>99084</v>
      </c>
      <c r="U270" s="2">
        <v>0</v>
      </c>
      <c r="V270" s="2"/>
      <c r="W270" s="2">
        <v>707421</v>
      </c>
      <c r="X270" s="2">
        <v>579545</v>
      </c>
      <c r="Y270" s="2">
        <v>470491</v>
      </c>
      <c r="Z270" s="2">
        <v>0</v>
      </c>
      <c r="AA270" s="2">
        <v>0</v>
      </c>
      <c r="AB270" s="2"/>
      <c r="AC270" s="2">
        <v>445498</v>
      </c>
      <c r="AD270" s="2">
        <v>0</v>
      </c>
      <c r="AE270" s="2">
        <v>0</v>
      </c>
      <c r="AF270" s="2">
        <v>0</v>
      </c>
      <c r="AG270" s="2">
        <v>0</v>
      </c>
      <c r="AH270" s="2"/>
      <c r="AI270" s="2">
        <v>-102381</v>
      </c>
      <c r="AJ270" s="2">
        <v>-102382</v>
      </c>
      <c r="AK270" s="2">
        <v>-75740</v>
      </c>
      <c r="AL270" s="2">
        <v>-23638</v>
      </c>
      <c r="AM270" s="2">
        <v>-102382</v>
      </c>
    </row>
    <row r="271" spans="1:39">
      <c r="A271" s="349">
        <v>92521</v>
      </c>
      <c r="B271" s="342" t="s">
        <v>958</v>
      </c>
      <c r="C271" s="234" t="e">
        <f>VLOOKUP(A271,#REF!,10,FALSE)</f>
        <v>#REF!</v>
      </c>
      <c r="E271" s="2">
        <v>33044</v>
      </c>
      <c r="F271" s="2">
        <v>8507</v>
      </c>
      <c r="G271" s="2">
        <v>18310</v>
      </c>
      <c r="H271" s="2">
        <v>4113</v>
      </c>
      <c r="I271" s="2">
        <v>0</v>
      </c>
      <c r="J271" s="2"/>
      <c r="K271" s="2">
        <v>11595</v>
      </c>
      <c r="L271" s="2">
        <v>10907</v>
      </c>
      <c r="M271" s="2">
        <v>9776</v>
      </c>
      <c r="N271" s="2">
        <v>3914</v>
      </c>
      <c r="O271" s="2">
        <v>0</v>
      </c>
      <c r="P271" s="2"/>
      <c r="Q271" s="2">
        <v>12310</v>
      </c>
      <c r="R271" s="2">
        <v>-10589</v>
      </c>
      <c r="S271" s="2">
        <v>1492</v>
      </c>
      <c r="T271" s="2">
        <v>1942</v>
      </c>
      <c r="U271" s="2">
        <v>0</v>
      </c>
      <c r="V271" s="2"/>
      <c r="W271" s="2">
        <v>13867</v>
      </c>
      <c r="X271" s="2">
        <v>11360</v>
      </c>
      <c r="Y271" s="2">
        <v>9223</v>
      </c>
      <c r="Z271" s="2">
        <v>0</v>
      </c>
      <c r="AA271" s="2">
        <v>0</v>
      </c>
      <c r="AB271" s="2"/>
      <c r="AC271" s="2">
        <v>0</v>
      </c>
      <c r="AD271" s="2">
        <v>0</v>
      </c>
      <c r="AE271" s="2">
        <v>0</v>
      </c>
      <c r="AF271" s="2">
        <v>0</v>
      </c>
      <c r="AG271" s="2">
        <v>0</v>
      </c>
      <c r="AH271" s="2"/>
      <c r="AI271" s="2">
        <v>-4728</v>
      </c>
      <c r="AJ271" s="2">
        <v>-3171</v>
      </c>
      <c r="AK271" s="2">
        <v>-2181</v>
      </c>
      <c r="AL271" s="2">
        <v>-1743</v>
      </c>
      <c r="AM271" s="2">
        <v>-3171</v>
      </c>
    </row>
    <row r="272" spans="1:39">
      <c r="A272" s="349">
        <v>92531</v>
      </c>
      <c r="B272" s="342" t="s">
        <v>959</v>
      </c>
      <c r="C272" s="234" t="e">
        <f>VLOOKUP(A272,#REF!,10,FALSE)</f>
        <v>#REF!</v>
      </c>
      <c r="E272" s="2">
        <v>359951</v>
      </c>
      <c r="F272" s="2">
        <v>99488</v>
      </c>
      <c r="G272" s="2">
        <v>196685</v>
      </c>
      <c r="H272" s="2">
        <v>52735</v>
      </c>
      <c r="I272" s="2">
        <v>0</v>
      </c>
      <c r="J272" s="2"/>
      <c r="K272" s="2">
        <v>123711</v>
      </c>
      <c r="L272" s="2">
        <v>116372</v>
      </c>
      <c r="M272" s="2">
        <v>104303</v>
      </c>
      <c r="N272" s="2">
        <v>41762</v>
      </c>
      <c r="O272" s="2">
        <v>0</v>
      </c>
      <c r="P272" s="2"/>
      <c r="Q272" s="2">
        <v>131336</v>
      </c>
      <c r="R272" s="2">
        <v>-112974</v>
      </c>
      <c r="S272" s="2">
        <v>15922</v>
      </c>
      <c r="T272" s="2">
        <v>20723</v>
      </c>
      <c r="U272" s="2">
        <v>0</v>
      </c>
      <c r="V272" s="2"/>
      <c r="W272" s="2">
        <v>147952</v>
      </c>
      <c r="X272" s="2">
        <v>121208</v>
      </c>
      <c r="Y272" s="2">
        <v>98400</v>
      </c>
      <c r="Z272" s="2">
        <v>0</v>
      </c>
      <c r="AA272" s="2">
        <v>0</v>
      </c>
      <c r="AB272" s="2"/>
      <c r="AC272" s="2">
        <v>0</v>
      </c>
      <c r="AD272" s="2">
        <v>0</v>
      </c>
      <c r="AE272" s="2">
        <v>0</v>
      </c>
      <c r="AF272" s="2">
        <v>0</v>
      </c>
      <c r="AG272" s="2">
        <v>0</v>
      </c>
      <c r="AH272" s="2"/>
      <c r="AI272" s="2">
        <v>-43048</v>
      </c>
      <c r="AJ272" s="2">
        <v>-25118</v>
      </c>
      <c r="AK272" s="2">
        <v>-21940</v>
      </c>
      <c r="AL272" s="2">
        <v>-9750</v>
      </c>
      <c r="AM272" s="2">
        <v>-25118</v>
      </c>
    </row>
    <row r="273" spans="1:39">
      <c r="A273" s="349">
        <v>92541</v>
      </c>
      <c r="B273" s="342" t="s">
        <v>960</v>
      </c>
      <c r="C273" s="234" t="e">
        <f>VLOOKUP(A273,#REF!,10,FALSE)</f>
        <v>#REF!</v>
      </c>
      <c r="E273" s="2">
        <v>65993</v>
      </c>
      <c r="F273" s="2">
        <v>18405</v>
      </c>
      <c r="G273" s="2">
        <v>35258</v>
      </c>
      <c r="H273" s="2">
        <v>13037</v>
      </c>
      <c r="I273" s="2">
        <v>0</v>
      </c>
      <c r="J273" s="2"/>
      <c r="K273" s="2">
        <v>20583</v>
      </c>
      <c r="L273" s="2">
        <v>19362</v>
      </c>
      <c r="M273" s="2">
        <v>17354</v>
      </c>
      <c r="N273" s="2">
        <v>6948</v>
      </c>
      <c r="O273" s="2">
        <v>0</v>
      </c>
      <c r="P273" s="2"/>
      <c r="Q273" s="2">
        <v>21852</v>
      </c>
      <c r="R273" s="2">
        <v>-18797</v>
      </c>
      <c r="S273" s="2">
        <v>2649</v>
      </c>
      <c r="T273" s="2">
        <v>3448</v>
      </c>
      <c r="U273" s="2">
        <v>0</v>
      </c>
      <c r="V273" s="2"/>
      <c r="W273" s="2">
        <v>24617</v>
      </c>
      <c r="X273" s="2">
        <v>20167</v>
      </c>
      <c r="Y273" s="2">
        <v>16372</v>
      </c>
      <c r="Z273" s="2">
        <v>0</v>
      </c>
      <c r="AA273" s="2">
        <v>0</v>
      </c>
      <c r="AB273" s="2"/>
      <c r="AC273" s="2">
        <v>3909</v>
      </c>
      <c r="AD273" s="2">
        <v>2641</v>
      </c>
      <c r="AE273" s="2">
        <v>2641</v>
      </c>
      <c r="AF273" s="2">
        <v>2641</v>
      </c>
      <c r="AG273" s="2">
        <v>0</v>
      </c>
      <c r="AH273" s="2"/>
      <c r="AI273" s="2">
        <v>-4968</v>
      </c>
      <c r="AJ273" s="2">
        <v>-4968</v>
      </c>
      <c r="AK273" s="2">
        <v>-3758</v>
      </c>
      <c r="AL273" s="2">
        <v>0</v>
      </c>
      <c r="AM273" s="2">
        <v>-4968</v>
      </c>
    </row>
    <row r="274" spans="1:39">
      <c r="A274" s="349">
        <v>92551</v>
      </c>
      <c r="B274" s="342" t="s">
        <v>961</v>
      </c>
      <c r="C274" s="234" t="e">
        <f>VLOOKUP(A274,#REF!,10,FALSE)</f>
        <v>#REF!</v>
      </c>
      <c r="E274" s="2">
        <v>27296</v>
      </c>
      <c r="F274" s="2">
        <v>9684</v>
      </c>
      <c r="G274" s="2">
        <v>15153</v>
      </c>
      <c r="H274" s="2">
        <v>6124</v>
      </c>
      <c r="I274" s="2">
        <v>0</v>
      </c>
      <c r="J274" s="2"/>
      <c r="K274" s="2">
        <v>8554</v>
      </c>
      <c r="L274" s="2">
        <v>8047</v>
      </c>
      <c r="M274" s="2">
        <v>7212</v>
      </c>
      <c r="N274" s="2">
        <v>2888</v>
      </c>
      <c r="O274" s="2">
        <v>0</v>
      </c>
      <c r="P274" s="2"/>
      <c r="Q274" s="2">
        <v>9081</v>
      </c>
      <c r="R274" s="2">
        <v>-7812</v>
      </c>
      <c r="S274" s="2">
        <v>1101</v>
      </c>
      <c r="T274" s="2">
        <v>1433</v>
      </c>
      <c r="U274" s="2">
        <v>0</v>
      </c>
      <c r="V274" s="2"/>
      <c r="W274" s="2">
        <v>10230</v>
      </c>
      <c r="X274" s="2">
        <v>8381</v>
      </c>
      <c r="Y274" s="2">
        <v>6804</v>
      </c>
      <c r="Z274" s="2">
        <v>0</v>
      </c>
      <c r="AA274" s="2">
        <v>0</v>
      </c>
      <c r="AB274" s="2"/>
      <c r="AC274" s="2">
        <v>2834</v>
      </c>
      <c r="AD274" s="2">
        <v>2835</v>
      </c>
      <c r="AE274" s="2">
        <v>1802</v>
      </c>
      <c r="AF274" s="2">
        <v>1803</v>
      </c>
      <c r="AG274" s="2">
        <v>0</v>
      </c>
      <c r="AH274" s="2"/>
      <c r="AI274" s="2">
        <v>-3403</v>
      </c>
      <c r="AJ274" s="2">
        <v>-1767</v>
      </c>
      <c r="AK274" s="2">
        <v>-1766</v>
      </c>
      <c r="AL274" s="2">
        <v>0</v>
      </c>
      <c r="AM274" s="2">
        <v>-1767</v>
      </c>
    </row>
    <row r="275" spans="1:39">
      <c r="A275" s="349">
        <v>92561</v>
      </c>
      <c r="B275" s="342" t="s">
        <v>962</v>
      </c>
      <c r="C275" s="234" t="e">
        <f>VLOOKUP(A275,#REF!,10,FALSE)</f>
        <v>#REF!</v>
      </c>
      <c r="E275" s="2">
        <v>9029</v>
      </c>
      <c r="F275" s="2">
        <v>2252</v>
      </c>
      <c r="G275" s="2">
        <v>4103</v>
      </c>
      <c r="H275" s="2">
        <v>750</v>
      </c>
      <c r="I275" s="2">
        <v>0</v>
      </c>
      <c r="J275" s="2"/>
      <c r="K275" s="2">
        <v>2682</v>
      </c>
      <c r="L275" s="2">
        <v>2522</v>
      </c>
      <c r="M275" s="2">
        <v>2261</v>
      </c>
      <c r="N275" s="2">
        <v>905</v>
      </c>
      <c r="O275" s="2">
        <v>0</v>
      </c>
      <c r="P275" s="2"/>
      <c r="Q275" s="2">
        <v>2847</v>
      </c>
      <c r="R275" s="2">
        <v>-2449</v>
      </c>
      <c r="S275" s="2">
        <v>345</v>
      </c>
      <c r="T275" s="2">
        <v>449</v>
      </c>
      <c r="U275" s="2">
        <v>0</v>
      </c>
      <c r="V275" s="2"/>
      <c r="W275" s="2">
        <v>3207</v>
      </c>
      <c r="X275" s="2">
        <v>2627</v>
      </c>
      <c r="Y275" s="2">
        <v>2133</v>
      </c>
      <c r="Z275" s="2">
        <v>0</v>
      </c>
      <c r="AA275" s="2">
        <v>0</v>
      </c>
      <c r="AB275" s="2"/>
      <c r="AC275" s="2">
        <v>930</v>
      </c>
      <c r="AD275" s="2">
        <v>189</v>
      </c>
      <c r="AE275" s="2">
        <v>0</v>
      </c>
      <c r="AF275" s="2">
        <v>0</v>
      </c>
      <c r="AG275" s="2">
        <v>0</v>
      </c>
      <c r="AH275" s="2"/>
      <c r="AI275" s="2">
        <v>-637</v>
      </c>
      <c r="AJ275" s="2">
        <v>-637</v>
      </c>
      <c r="AK275" s="2">
        <v>-636</v>
      </c>
      <c r="AL275" s="2">
        <v>-604</v>
      </c>
      <c r="AM275" s="2">
        <v>-637</v>
      </c>
    </row>
    <row r="276" spans="1:39">
      <c r="A276" s="349">
        <v>92571</v>
      </c>
      <c r="B276" s="342" t="s">
        <v>963</v>
      </c>
      <c r="C276" s="234" t="e">
        <f>VLOOKUP(A276,#REF!,10,FALSE)</f>
        <v>#REF!</v>
      </c>
      <c r="E276" s="2">
        <v>6632</v>
      </c>
      <c r="F276" s="2">
        <v>3101</v>
      </c>
      <c r="G276" s="2">
        <v>2490</v>
      </c>
      <c r="H276" s="2">
        <v>672</v>
      </c>
      <c r="I276" s="2">
        <v>0</v>
      </c>
      <c r="J276" s="2"/>
      <c r="K276" s="2">
        <v>1228</v>
      </c>
      <c r="L276" s="2">
        <v>1156</v>
      </c>
      <c r="M276" s="2">
        <v>1036</v>
      </c>
      <c r="N276" s="2">
        <v>415</v>
      </c>
      <c r="O276" s="2">
        <v>0</v>
      </c>
      <c r="P276" s="2"/>
      <c r="Q276" s="2">
        <v>1304</v>
      </c>
      <c r="R276" s="2">
        <v>-1122</v>
      </c>
      <c r="S276" s="2">
        <v>158</v>
      </c>
      <c r="T276" s="2">
        <v>206</v>
      </c>
      <c r="U276" s="2">
        <v>0</v>
      </c>
      <c r="V276" s="2"/>
      <c r="W276" s="2">
        <v>1469</v>
      </c>
      <c r="X276" s="2">
        <v>1204</v>
      </c>
      <c r="Y276" s="2">
        <v>977</v>
      </c>
      <c r="Z276" s="2">
        <v>0</v>
      </c>
      <c r="AA276" s="2">
        <v>0</v>
      </c>
      <c r="AB276" s="2"/>
      <c r="AC276" s="2">
        <v>2631</v>
      </c>
      <c r="AD276" s="2">
        <v>1863</v>
      </c>
      <c r="AE276" s="2">
        <v>319</v>
      </c>
      <c r="AF276" s="2">
        <v>51</v>
      </c>
      <c r="AG276" s="2">
        <v>0</v>
      </c>
      <c r="AH276" s="2"/>
      <c r="AI276" s="2">
        <v>0</v>
      </c>
      <c r="AJ276" s="2">
        <v>0</v>
      </c>
      <c r="AK276" s="2">
        <v>0</v>
      </c>
      <c r="AL276" s="2">
        <v>0</v>
      </c>
      <c r="AM276" s="2">
        <v>0</v>
      </c>
    </row>
    <row r="277" spans="1:39">
      <c r="A277" s="349">
        <v>92601</v>
      </c>
      <c r="B277" s="342" t="s">
        <v>964</v>
      </c>
      <c r="C277" s="234" t="e">
        <f>VLOOKUP(A277,#REF!,10,FALSE)</f>
        <v>#REF!</v>
      </c>
      <c r="E277" s="2">
        <v>6172772</v>
      </c>
      <c r="F277" s="2">
        <v>1698386</v>
      </c>
      <c r="G277" s="2">
        <v>3219553</v>
      </c>
      <c r="H277" s="2">
        <v>1001449</v>
      </c>
      <c r="I277" s="2">
        <v>0</v>
      </c>
      <c r="J277" s="2"/>
      <c r="K277" s="2">
        <v>1986411</v>
      </c>
      <c r="L277" s="2">
        <v>1868571</v>
      </c>
      <c r="M277" s="2">
        <v>1674779</v>
      </c>
      <c r="N277" s="2">
        <v>670561</v>
      </c>
      <c r="O277" s="2">
        <v>0</v>
      </c>
      <c r="P277" s="2"/>
      <c r="Q277" s="2">
        <v>2108852</v>
      </c>
      <c r="R277" s="2">
        <v>-1814007</v>
      </c>
      <c r="S277" s="2">
        <v>255662</v>
      </c>
      <c r="T277" s="2">
        <v>332741</v>
      </c>
      <c r="U277" s="2">
        <v>0</v>
      </c>
      <c r="V277" s="2"/>
      <c r="W277" s="2">
        <v>2375652</v>
      </c>
      <c r="X277" s="2">
        <v>1946220</v>
      </c>
      <c r="Y277" s="2">
        <v>1579998</v>
      </c>
      <c r="Z277" s="2">
        <v>0</v>
      </c>
      <c r="AA277" s="2">
        <v>0</v>
      </c>
      <c r="AB277" s="2"/>
      <c r="AC277" s="2">
        <v>4255</v>
      </c>
      <c r="AD277" s="2">
        <v>0</v>
      </c>
      <c r="AE277" s="2">
        <v>0</v>
      </c>
      <c r="AF277" s="2">
        <v>0</v>
      </c>
      <c r="AG277" s="2">
        <v>0</v>
      </c>
      <c r="AH277" s="2"/>
      <c r="AI277" s="2">
        <v>-302398</v>
      </c>
      <c r="AJ277" s="2">
        <v>-302398</v>
      </c>
      <c r="AK277" s="2">
        <v>-290886</v>
      </c>
      <c r="AL277" s="2">
        <v>-1853</v>
      </c>
      <c r="AM277" s="2">
        <v>-302398</v>
      </c>
    </row>
    <row r="278" spans="1:39">
      <c r="A278" s="349">
        <v>92602</v>
      </c>
      <c r="B278" s="342" t="s">
        <v>3660</v>
      </c>
      <c r="C278" s="234" t="e">
        <f>VLOOKUP(A278,#REF!,10,FALSE)</f>
        <v>#REF!</v>
      </c>
      <c r="E278" s="2">
        <v>1368</v>
      </c>
      <c r="F278" s="2">
        <v>-247</v>
      </c>
      <c r="G278" s="2">
        <v>336</v>
      </c>
      <c r="H278" s="2">
        <v>-115</v>
      </c>
      <c r="I278" s="2">
        <v>0</v>
      </c>
      <c r="J278" s="2"/>
      <c r="K278" s="2">
        <v>734</v>
      </c>
      <c r="L278" s="2">
        <v>691</v>
      </c>
      <c r="M278" s="2">
        <v>619</v>
      </c>
      <c r="N278" s="2">
        <v>248</v>
      </c>
      <c r="O278" s="2">
        <v>0</v>
      </c>
      <c r="P278" s="2"/>
      <c r="Q278" s="2">
        <v>779</v>
      </c>
      <c r="R278" s="2">
        <v>-670</v>
      </c>
      <c r="S278" s="2">
        <v>94</v>
      </c>
      <c r="T278" s="2">
        <v>123</v>
      </c>
      <c r="U278" s="2">
        <v>0</v>
      </c>
      <c r="V278" s="2"/>
      <c r="W278" s="2">
        <v>878</v>
      </c>
      <c r="X278" s="2">
        <v>719</v>
      </c>
      <c r="Y278" s="2">
        <v>584</v>
      </c>
      <c r="Z278" s="2">
        <v>0</v>
      </c>
      <c r="AA278" s="2">
        <v>0</v>
      </c>
      <c r="AB278" s="2"/>
      <c r="AC278" s="2">
        <v>0</v>
      </c>
      <c r="AD278" s="2">
        <v>0</v>
      </c>
      <c r="AE278" s="2">
        <v>0</v>
      </c>
      <c r="AF278" s="2">
        <v>0</v>
      </c>
      <c r="AG278" s="2">
        <v>0</v>
      </c>
      <c r="AH278" s="2"/>
      <c r="AI278" s="2">
        <v>-1023</v>
      </c>
      <c r="AJ278" s="2">
        <v>-987</v>
      </c>
      <c r="AK278" s="2">
        <v>-961</v>
      </c>
      <c r="AL278" s="2">
        <v>-486</v>
      </c>
      <c r="AM278" s="2">
        <v>-987</v>
      </c>
    </row>
    <row r="279" spans="1:39">
      <c r="A279" s="349">
        <v>92604</v>
      </c>
      <c r="B279" s="342" t="s">
        <v>3661</v>
      </c>
      <c r="C279" s="234" t="e">
        <f>VLOOKUP(A279,#REF!,10,FALSE)</f>
        <v>#REF!</v>
      </c>
      <c r="E279" s="2">
        <v>195578</v>
      </c>
      <c r="F279" s="2">
        <v>70688</v>
      </c>
      <c r="G279" s="2">
        <v>106586</v>
      </c>
      <c r="H279" s="2">
        <v>35406</v>
      </c>
      <c r="I279" s="2">
        <v>0</v>
      </c>
      <c r="J279" s="2"/>
      <c r="K279" s="2">
        <v>52447</v>
      </c>
      <c r="L279" s="2">
        <v>49336</v>
      </c>
      <c r="M279" s="2">
        <v>44219</v>
      </c>
      <c r="N279" s="2">
        <v>17705</v>
      </c>
      <c r="O279" s="2">
        <v>0</v>
      </c>
      <c r="P279" s="2"/>
      <c r="Q279" s="2">
        <v>55680</v>
      </c>
      <c r="R279" s="2">
        <v>-47895</v>
      </c>
      <c r="S279" s="2">
        <v>6750</v>
      </c>
      <c r="T279" s="2">
        <v>8785</v>
      </c>
      <c r="U279" s="2">
        <v>0</v>
      </c>
      <c r="V279" s="2"/>
      <c r="W279" s="2">
        <v>62725</v>
      </c>
      <c r="X279" s="2">
        <v>51386</v>
      </c>
      <c r="Y279" s="2">
        <v>41717</v>
      </c>
      <c r="Z279" s="2">
        <v>0</v>
      </c>
      <c r="AA279" s="2">
        <v>0</v>
      </c>
      <c r="AB279" s="2"/>
      <c r="AC279" s="2">
        <v>24726</v>
      </c>
      <c r="AD279" s="2">
        <v>17861</v>
      </c>
      <c r="AE279" s="2">
        <v>13900</v>
      </c>
      <c r="AF279" s="2">
        <v>8916</v>
      </c>
      <c r="AG279" s="2">
        <v>0</v>
      </c>
      <c r="AH279" s="2"/>
      <c r="AI279" s="2">
        <v>0</v>
      </c>
      <c r="AJ279" s="2">
        <v>0</v>
      </c>
      <c r="AK279" s="2">
        <v>0</v>
      </c>
      <c r="AL279" s="2">
        <v>0</v>
      </c>
      <c r="AM279" s="2">
        <v>0</v>
      </c>
    </row>
    <row r="280" spans="1:39">
      <c r="A280" s="349">
        <v>92607</v>
      </c>
      <c r="B280" s="342" t="s">
        <v>967</v>
      </c>
      <c r="C280" s="234" t="e">
        <f>VLOOKUP(A280,#REF!,10,FALSE)</f>
        <v>#REF!</v>
      </c>
      <c r="E280" s="2">
        <v>30160</v>
      </c>
      <c r="F280" s="2">
        <v>10547</v>
      </c>
      <c r="G280" s="2">
        <v>16081</v>
      </c>
      <c r="H280" s="2">
        <v>4099</v>
      </c>
      <c r="I280" s="2">
        <v>0</v>
      </c>
      <c r="J280" s="2"/>
      <c r="K280" s="2">
        <v>8494</v>
      </c>
      <c r="L280" s="2">
        <v>7990</v>
      </c>
      <c r="M280" s="2">
        <v>7161</v>
      </c>
      <c r="N280" s="2">
        <v>2867</v>
      </c>
      <c r="O280" s="2">
        <v>0</v>
      </c>
      <c r="P280" s="2"/>
      <c r="Q280" s="2">
        <v>9018</v>
      </c>
      <c r="R280" s="2">
        <v>-7757</v>
      </c>
      <c r="S280" s="2">
        <v>1093</v>
      </c>
      <c r="T280" s="2">
        <v>1423</v>
      </c>
      <c r="U280" s="2">
        <v>0</v>
      </c>
      <c r="V280" s="2"/>
      <c r="W280" s="2">
        <v>10158</v>
      </c>
      <c r="X280" s="2">
        <v>8322</v>
      </c>
      <c r="Y280" s="2">
        <v>6756</v>
      </c>
      <c r="Z280" s="2">
        <v>0</v>
      </c>
      <c r="AA280" s="2">
        <v>0</v>
      </c>
      <c r="AB280" s="2"/>
      <c r="AC280" s="2">
        <v>2679</v>
      </c>
      <c r="AD280" s="2">
        <v>2181</v>
      </c>
      <c r="AE280" s="2">
        <v>1260</v>
      </c>
      <c r="AF280" s="2">
        <v>0</v>
      </c>
      <c r="AG280" s="2">
        <v>0</v>
      </c>
      <c r="AH280" s="2"/>
      <c r="AI280" s="2">
        <v>-189</v>
      </c>
      <c r="AJ280" s="2">
        <v>-189</v>
      </c>
      <c r="AK280" s="2">
        <v>-189</v>
      </c>
      <c r="AL280" s="2">
        <v>-191</v>
      </c>
      <c r="AM280" s="2">
        <v>-189</v>
      </c>
    </row>
    <row r="281" spans="1:39">
      <c r="A281" s="349">
        <v>92611</v>
      </c>
      <c r="B281" s="342" t="s">
        <v>969</v>
      </c>
      <c r="C281" s="234" t="e">
        <f>VLOOKUP(A281,#REF!,10,FALSE)</f>
        <v>#REF!</v>
      </c>
      <c r="E281" s="2">
        <v>5439266</v>
      </c>
      <c r="F281" s="2">
        <v>1431113</v>
      </c>
      <c r="G281" s="2">
        <v>2939487</v>
      </c>
      <c r="H281" s="2">
        <v>769993</v>
      </c>
      <c r="I281" s="2">
        <v>0</v>
      </c>
      <c r="J281" s="2"/>
      <c r="K281" s="2">
        <v>1828814</v>
      </c>
      <c r="L281" s="2">
        <v>1720323</v>
      </c>
      <c r="M281" s="2">
        <v>1541906</v>
      </c>
      <c r="N281" s="2">
        <v>617361</v>
      </c>
      <c r="O281" s="2">
        <v>0</v>
      </c>
      <c r="P281" s="2"/>
      <c r="Q281" s="2">
        <v>1941541</v>
      </c>
      <c r="R281" s="2">
        <v>-1670088</v>
      </c>
      <c r="S281" s="2">
        <v>235379</v>
      </c>
      <c r="T281" s="2">
        <v>306343</v>
      </c>
      <c r="U281" s="2">
        <v>0</v>
      </c>
      <c r="V281" s="2"/>
      <c r="W281" s="2">
        <v>2187174</v>
      </c>
      <c r="X281" s="2">
        <v>1791812</v>
      </c>
      <c r="Y281" s="2">
        <v>1454645</v>
      </c>
      <c r="Z281" s="2">
        <v>0</v>
      </c>
      <c r="AA281" s="2">
        <v>0</v>
      </c>
      <c r="AB281" s="2"/>
      <c r="AC281" s="2">
        <v>0</v>
      </c>
      <c r="AD281" s="2">
        <v>0</v>
      </c>
      <c r="AE281" s="2">
        <v>0</v>
      </c>
      <c r="AF281" s="2">
        <v>0</v>
      </c>
      <c r="AG281" s="2">
        <v>0</v>
      </c>
      <c r="AH281" s="2"/>
      <c r="AI281" s="2">
        <v>-518263</v>
      </c>
      <c r="AJ281" s="2">
        <v>-410934</v>
      </c>
      <c r="AK281" s="2">
        <v>-292443</v>
      </c>
      <c r="AL281" s="2">
        <v>-153711</v>
      </c>
      <c r="AM281" s="2">
        <v>-410934</v>
      </c>
    </row>
    <row r="282" spans="1:39">
      <c r="A282" s="349">
        <v>92613</v>
      </c>
      <c r="B282" s="342" t="s">
        <v>2755</v>
      </c>
      <c r="C282" s="234" t="e">
        <f>VLOOKUP(A282,#REF!,10,FALSE)</f>
        <v>#REF!</v>
      </c>
      <c r="E282" s="2">
        <v>114191</v>
      </c>
      <c r="F282" s="2">
        <v>35870</v>
      </c>
      <c r="G282" s="2">
        <v>59691</v>
      </c>
      <c r="H282" s="2">
        <v>17799</v>
      </c>
      <c r="I282" s="2">
        <v>0</v>
      </c>
      <c r="J282" s="2"/>
      <c r="K282" s="2">
        <v>33407</v>
      </c>
      <c r="L282" s="2">
        <v>31425</v>
      </c>
      <c r="M282" s="2">
        <v>28166</v>
      </c>
      <c r="N282" s="2">
        <v>11277</v>
      </c>
      <c r="O282" s="2">
        <v>0</v>
      </c>
      <c r="P282" s="2"/>
      <c r="Q282" s="2">
        <v>35466</v>
      </c>
      <c r="R282" s="2">
        <v>-30508</v>
      </c>
      <c r="S282" s="2">
        <v>4300</v>
      </c>
      <c r="T282" s="2">
        <v>5596</v>
      </c>
      <c r="U282" s="2">
        <v>0</v>
      </c>
      <c r="V282" s="2"/>
      <c r="W282" s="2">
        <v>39953</v>
      </c>
      <c r="X282" s="2">
        <v>32731</v>
      </c>
      <c r="Y282" s="2">
        <v>26572</v>
      </c>
      <c r="Z282" s="2">
        <v>0</v>
      </c>
      <c r="AA282" s="2">
        <v>0</v>
      </c>
      <c r="AB282" s="2"/>
      <c r="AC282" s="2">
        <v>5636</v>
      </c>
      <c r="AD282" s="2">
        <v>2493</v>
      </c>
      <c r="AE282" s="2">
        <v>926</v>
      </c>
      <c r="AF282" s="2">
        <v>926</v>
      </c>
      <c r="AG282" s="2">
        <v>0</v>
      </c>
      <c r="AH282" s="2"/>
      <c r="AI282" s="2">
        <v>-271</v>
      </c>
      <c r="AJ282" s="2">
        <v>-271</v>
      </c>
      <c r="AK282" s="2">
        <v>-273</v>
      </c>
      <c r="AL282" s="2">
        <v>0</v>
      </c>
      <c r="AM282" s="2">
        <v>-271</v>
      </c>
    </row>
    <row r="283" spans="1:39">
      <c r="A283" s="349">
        <v>92614</v>
      </c>
      <c r="B283" s="342" t="s">
        <v>3662</v>
      </c>
      <c r="C283" s="234" t="e">
        <f>VLOOKUP(A283,#REF!,10,FALSE)</f>
        <v>#REF!</v>
      </c>
      <c r="E283" s="2">
        <v>4535359</v>
      </c>
      <c r="F283" s="2">
        <v>2240982</v>
      </c>
      <c r="G283" s="2">
        <v>2447005</v>
      </c>
      <c r="H283" s="2">
        <v>950653</v>
      </c>
      <c r="I283" s="2">
        <v>0</v>
      </c>
      <c r="J283" s="2"/>
      <c r="K283" s="2">
        <v>856926</v>
      </c>
      <c r="L283" s="2">
        <v>806091</v>
      </c>
      <c r="M283" s="2">
        <v>722490</v>
      </c>
      <c r="N283" s="2">
        <v>289276</v>
      </c>
      <c r="O283" s="2">
        <v>0</v>
      </c>
      <c r="P283" s="2"/>
      <c r="Q283" s="2">
        <v>909746</v>
      </c>
      <c r="R283" s="2">
        <v>-782552</v>
      </c>
      <c r="S283" s="2">
        <v>110291</v>
      </c>
      <c r="T283" s="2">
        <v>143543</v>
      </c>
      <c r="U283" s="2">
        <v>0</v>
      </c>
      <c r="V283" s="2"/>
      <c r="W283" s="2">
        <v>1024842</v>
      </c>
      <c r="X283" s="2">
        <v>839588</v>
      </c>
      <c r="Y283" s="2">
        <v>681602</v>
      </c>
      <c r="Z283" s="2">
        <v>0</v>
      </c>
      <c r="AA283" s="2">
        <v>0</v>
      </c>
      <c r="AB283" s="2"/>
      <c r="AC283" s="2">
        <v>1743845</v>
      </c>
      <c r="AD283" s="2">
        <v>1377855</v>
      </c>
      <c r="AE283" s="2">
        <v>932622</v>
      </c>
      <c r="AF283" s="2">
        <v>517834</v>
      </c>
      <c r="AG283" s="2">
        <v>0</v>
      </c>
      <c r="AH283" s="2"/>
      <c r="AI283" s="2">
        <v>0</v>
      </c>
      <c r="AJ283" s="2">
        <v>0</v>
      </c>
      <c r="AK283" s="2">
        <v>0</v>
      </c>
      <c r="AL283" s="2">
        <v>0</v>
      </c>
      <c r="AM283" s="2">
        <v>0</v>
      </c>
    </row>
    <row r="284" spans="1:39">
      <c r="A284" s="349">
        <v>92621</v>
      </c>
      <c r="B284" s="342" t="s">
        <v>972</v>
      </c>
      <c r="C284" s="234" t="e">
        <f>VLOOKUP(A284,#REF!,10,FALSE)</f>
        <v>#REF!</v>
      </c>
      <c r="E284" s="2">
        <v>13364</v>
      </c>
      <c r="F284" s="2">
        <v>3851</v>
      </c>
      <c r="G284" s="2">
        <v>8330</v>
      </c>
      <c r="H284" s="2">
        <v>3030</v>
      </c>
      <c r="I284" s="2">
        <v>0</v>
      </c>
      <c r="J284" s="2"/>
      <c r="K284" s="2">
        <v>4329</v>
      </c>
      <c r="L284" s="2">
        <v>4073</v>
      </c>
      <c r="M284" s="2">
        <v>3650</v>
      </c>
      <c r="N284" s="2">
        <v>1462</v>
      </c>
      <c r="O284" s="2">
        <v>0</v>
      </c>
      <c r="P284" s="2"/>
      <c r="Q284" s="2">
        <v>4596</v>
      </c>
      <c r="R284" s="2">
        <v>-3954</v>
      </c>
      <c r="S284" s="2">
        <v>557</v>
      </c>
      <c r="T284" s="2">
        <v>725</v>
      </c>
      <c r="U284" s="2">
        <v>0</v>
      </c>
      <c r="V284" s="2"/>
      <c r="W284" s="2">
        <v>5178</v>
      </c>
      <c r="X284" s="2">
        <v>4242</v>
      </c>
      <c r="Y284" s="2">
        <v>3444</v>
      </c>
      <c r="Z284" s="2">
        <v>0</v>
      </c>
      <c r="AA284" s="2">
        <v>0</v>
      </c>
      <c r="AB284" s="2"/>
      <c r="AC284" s="2">
        <v>841</v>
      </c>
      <c r="AD284" s="2">
        <v>841</v>
      </c>
      <c r="AE284" s="2">
        <v>841</v>
      </c>
      <c r="AF284" s="2">
        <v>843</v>
      </c>
      <c r="AG284" s="2">
        <v>0</v>
      </c>
      <c r="AH284" s="2"/>
      <c r="AI284" s="2">
        <v>-1580</v>
      </c>
      <c r="AJ284" s="2">
        <v>-1351</v>
      </c>
      <c r="AK284" s="2">
        <v>-162</v>
      </c>
      <c r="AL284" s="2">
        <v>0</v>
      </c>
      <c r="AM284" s="2">
        <v>-1351</v>
      </c>
    </row>
    <row r="285" spans="1:39">
      <c r="A285" s="349">
        <v>92631</v>
      </c>
      <c r="B285" s="342" t="s">
        <v>973</v>
      </c>
      <c r="C285" s="234" t="e">
        <f>VLOOKUP(A285,#REF!,10,FALSE)</f>
        <v>#REF!</v>
      </c>
      <c r="E285" s="2">
        <v>411404</v>
      </c>
      <c r="F285" s="2">
        <v>111372</v>
      </c>
      <c r="G285" s="2">
        <v>236682</v>
      </c>
      <c r="H285" s="2">
        <v>69896</v>
      </c>
      <c r="I285" s="2">
        <v>0</v>
      </c>
      <c r="J285" s="2"/>
      <c r="K285" s="2">
        <v>139815</v>
      </c>
      <c r="L285" s="2">
        <v>131521</v>
      </c>
      <c r="M285" s="2">
        <v>117880</v>
      </c>
      <c r="N285" s="2">
        <v>47198</v>
      </c>
      <c r="O285" s="2">
        <v>0</v>
      </c>
      <c r="P285" s="2"/>
      <c r="Q285" s="2">
        <v>148433</v>
      </c>
      <c r="R285" s="2">
        <v>-127680</v>
      </c>
      <c r="S285" s="2">
        <v>17995</v>
      </c>
      <c r="T285" s="2">
        <v>23420</v>
      </c>
      <c r="U285" s="2">
        <v>0</v>
      </c>
      <c r="V285" s="2"/>
      <c r="W285" s="2">
        <v>167212</v>
      </c>
      <c r="X285" s="2">
        <v>136986</v>
      </c>
      <c r="Y285" s="2">
        <v>111209</v>
      </c>
      <c r="Z285" s="2">
        <v>0</v>
      </c>
      <c r="AA285" s="2">
        <v>0</v>
      </c>
      <c r="AB285" s="2"/>
      <c r="AC285" s="2">
        <v>0</v>
      </c>
      <c r="AD285" s="2">
        <v>0</v>
      </c>
      <c r="AE285" s="2">
        <v>0</v>
      </c>
      <c r="AF285" s="2">
        <v>0</v>
      </c>
      <c r="AG285" s="2">
        <v>0</v>
      </c>
      <c r="AH285" s="2"/>
      <c r="AI285" s="2">
        <v>-44056</v>
      </c>
      <c r="AJ285" s="2">
        <v>-29455</v>
      </c>
      <c r="AK285" s="2">
        <v>-10402</v>
      </c>
      <c r="AL285" s="2">
        <v>-722</v>
      </c>
      <c r="AM285" s="2">
        <v>-29455</v>
      </c>
    </row>
    <row r="286" spans="1:39">
      <c r="A286" s="349">
        <v>92641</v>
      </c>
      <c r="B286" s="342" t="s">
        <v>974</v>
      </c>
      <c r="C286" s="234" t="e">
        <f>VLOOKUP(A286,#REF!,10,FALSE)</f>
        <v>#REF!</v>
      </c>
      <c r="E286" s="2">
        <v>6777</v>
      </c>
      <c r="F286" s="2">
        <v>2959</v>
      </c>
      <c r="G286" s="2">
        <v>4033</v>
      </c>
      <c r="H286" s="2">
        <v>1578</v>
      </c>
      <c r="I286" s="2">
        <v>0</v>
      </c>
      <c r="J286" s="2"/>
      <c r="K286" s="2">
        <v>1663</v>
      </c>
      <c r="L286" s="2">
        <v>1564</v>
      </c>
      <c r="M286" s="2">
        <v>1402</v>
      </c>
      <c r="N286" s="2">
        <v>561</v>
      </c>
      <c r="O286" s="2">
        <v>0</v>
      </c>
      <c r="P286" s="2"/>
      <c r="Q286" s="2">
        <v>1765</v>
      </c>
      <c r="R286" s="2">
        <v>-1519</v>
      </c>
      <c r="S286" s="2">
        <v>214</v>
      </c>
      <c r="T286" s="2">
        <v>279</v>
      </c>
      <c r="U286" s="2">
        <v>0</v>
      </c>
      <c r="V286" s="2"/>
      <c r="W286" s="2">
        <v>1989</v>
      </c>
      <c r="X286" s="2">
        <v>1629</v>
      </c>
      <c r="Y286" s="2">
        <v>1323</v>
      </c>
      <c r="Z286" s="2">
        <v>0</v>
      </c>
      <c r="AA286" s="2">
        <v>0</v>
      </c>
      <c r="AB286" s="2"/>
      <c r="AC286" s="2">
        <v>1360</v>
      </c>
      <c r="AD286" s="2">
        <v>1285</v>
      </c>
      <c r="AE286" s="2">
        <v>1094</v>
      </c>
      <c r="AF286" s="2">
        <v>738</v>
      </c>
      <c r="AG286" s="2">
        <v>0</v>
      </c>
      <c r="AH286" s="2"/>
      <c r="AI286" s="2">
        <v>0</v>
      </c>
      <c r="AJ286" s="2">
        <v>0</v>
      </c>
      <c r="AK286" s="2">
        <v>0</v>
      </c>
      <c r="AL286" s="2">
        <v>0</v>
      </c>
      <c r="AM286" s="2">
        <v>0</v>
      </c>
    </row>
    <row r="287" spans="1:39">
      <c r="A287" s="349">
        <v>92651</v>
      </c>
      <c r="B287" s="342" t="s">
        <v>975</v>
      </c>
      <c r="C287" s="234" t="e">
        <f>VLOOKUP(A287,#REF!,10,FALSE)</f>
        <v>#REF!</v>
      </c>
      <c r="E287" s="2">
        <v>3268</v>
      </c>
      <c r="F287" s="2">
        <v>1507</v>
      </c>
      <c r="G287" s="2">
        <v>1605</v>
      </c>
      <c r="H287" s="2">
        <v>390</v>
      </c>
      <c r="I287" s="2">
        <v>0</v>
      </c>
      <c r="J287" s="2"/>
      <c r="K287" s="2">
        <v>644</v>
      </c>
      <c r="L287" s="2">
        <v>606</v>
      </c>
      <c r="M287" s="2">
        <v>543</v>
      </c>
      <c r="N287" s="2">
        <v>217</v>
      </c>
      <c r="O287" s="2">
        <v>0</v>
      </c>
      <c r="P287" s="2"/>
      <c r="Q287" s="2">
        <v>684</v>
      </c>
      <c r="R287" s="2">
        <v>-588</v>
      </c>
      <c r="S287" s="2">
        <v>83</v>
      </c>
      <c r="T287" s="2">
        <v>108</v>
      </c>
      <c r="U287" s="2">
        <v>0</v>
      </c>
      <c r="V287" s="2"/>
      <c r="W287" s="2">
        <v>770</v>
      </c>
      <c r="X287" s="2">
        <v>631</v>
      </c>
      <c r="Y287" s="2">
        <v>512</v>
      </c>
      <c r="Z287" s="2">
        <v>0</v>
      </c>
      <c r="AA287" s="2">
        <v>0</v>
      </c>
      <c r="AB287" s="2"/>
      <c r="AC287" s="2">
        <v>1170</v>
      </c>
      <c r="AD287" s="2">
        <v>858</v>
      </c>
      <c r="AE287" s="2">
        <v>467</v>
      </c>
      <c r="AF287" s="2">
        <v>65</v>
      </c>
      <c r="AG287" s="2">
        <v>0</v>
      </c>
      <c r="AH287" s="2"/>
      <c r="AI287" s="2">
        <v>0</v>
      </c>
      <c r="AJ287" s="2">
        <v>0</v>
      </c>
      <c r="AK287" s="2">
        <v>0</v>
      </c>
      <c r="AL287" s="2">
        <v>0</v>
      </c>
      <c r="AM287" s="2">
        <v>0</v>
      </c>
    </row>
    <row r="288" spans="1:39">
      <c r="A288" s="349">
        <v>92661</v>
      </c>
      <c r="B288" s="342" t="s">
        <v>976</v>
      </c>
      <c r="C288" s="234" t="e">
        <f>VLOOKUP(A288,#REF!,10,FALSE)</f>
        <v>#REF!</v>
      </c>
      <c r="E288" s="2">
        <v>486220</v>
      </c>
      <c r="F288" s="2">
        <v>236178</v>
      </c>
      <c r="G288" s="2">
        <v>247185</v>
      </c>
      <c r="H288" s="2">
        <v>93587</v>
      </c>
      <c r="I288" s="2">
        <v>0</v>
      </c>
      <c r="J288" s="2"/>
      <c r="K288" s="2">
        <v>93644</v>
      </c>
      <c r="L288" s="2">
        <v>88089</v>
      </c>
      <c r="M288" s="2">
        <v>78953</v>
      </c>
      <c r="N288" s="2">
        <v>31612</v>
      </c>
      <c r="O288" s="2">
        <v>0</v>
      </c>
      <c r="P288" s="2"/>
      <c r="Q288" s="2">
        <v>99417</v>
      </c>
      <c r="R288" s="2">
        <v>-85517</v>
      </c>
      <c r="S288" s="2">
        <v>12053</v>
      </c>
      <c r="T288" s="2">
        <v>15686</v>
      </c>
      <c r="U288" s="2">
        <v>0</v>
      </c>
      <c r="V288" s="2"/>
      <c r="W288" s="2">
        <v>111994</v>
      </c>
      <c r="X288" s="2">
        <v>91750</v>
      </c>
      <c r="Y288" s="2">
        <v>74485</v>
      </c>
      <c r="Z288" s="2">
        <v>0</v>
      </c>
      <c r="AA288" s="2">
        <v>0</v>
      </c>
      <c r="AB288" s="2"/>
      <c r="AC288" s="2">
        <v>181165</v>
      </c>
      <c r="AD288" s="2">
        <v>141856</v>
      </c>
      <c r="AE288" s="2">
        <v>81694</v>
      </c>
      <c r="AF288" s="2">
        <v>46289</v>
      </c>
      <c r="AG288" s="2">
        <v>0</v>
      </c>
      <c r="AH288" s="2"/>
      <c r="AI288" s="2">
        <v>0</v>
      </c>
      <c r="AJ288" s="2">
        <v>0</v>
      </c>
      <c r="AK288" s="2">
        <v>0</v>
      </c>
      <c r="AL288" s="2">
        <v>0</v>
      </c>
      <c r="AM288" s="2">
        <v>0</v>
      </c>
    </row>
    <row r="289" spans="1:39">
      <c r="A289" s="349">
        <v>92671</v>
      </c>
      <c r="B289" s="342" t="s">
        <v>977</v>
      </c>
      <c r="C289" s="234" t="e">
        <f>VLOOKUP(A289,#REF!,10,FALSE)</f>
        <v>#REF!</v>
      </c>
      <c r="E289" s="2">
        <v>3993</v>
      </c>
      <c r="F289" s="2">
        <v>2724</v>
      </c>
      <c r="G289" s="2">
        <v>2195</v>
      </c>
      <c r="H289" s="2">
        <v>985</v>
      </c>
      <c r="I289" s="2">
        <v>0</v>
      </c>
      <c r="J289" s="2"/>
      <c r="K289" s="2">
        <v>315</v>
      </c>
      <c r="L289" s="2">
        <v>296</v>
      </c>
      <c r="M289" s="2">
        <v>265</v>
      </c>
      <c r="N289" s="2">
        <v>106</v>
      </c>
      <c r="O289" s="2">
        <v>0</v>
      </c>
      <c r="P289" s="2"/>
      <c r="Q289" s="2">
        <v>334</v>
      </c>
      <c r="R289" s="2">
        <v>-287</v>
      </c>
      <c r="S289" s="2">
        <v>40</v>
      </c>
      <c r="T289" s="2">
        <v>53</v>
      </c>
      <c r="U289" s="2">
        <v>0</v>
      </c>
      <c r="V289" s="2"/>
      <c r="W289" s="2">
        <v>376</v>
      </c>
      <c r="X289" s="2">
        <v>308</v>
      </c>
      <c r="Y289" s="2">
        <v>250</v>
      </c>
      <c r="Z289" s="2">
        <v>0</v>
      </c>
      <c r="AA289" s="2">
        <v>0</v>
      </c>
      <c r="AB289" s="2"/>
      <c r="AC289" s="2">
        <v>2968</v>
      </c>
      <c r="AD289" s="2">
        <v>2407</v>
      </c>
      <c r="AE289" s="2">
        <v>1640</v>
      </c>
      <c r="AF289" s="2">
        <v>826</v>
      </c>
      <c r="AG289" s="2">
        <v>0</v>
      </c>
      <c r="AH289" s="2"/>
      <c r="AI289" s="2">
        <v>0</v>
      </c>
      <c r="AJ289" s="2">
        <v>0</v>
      </c>
      <c r="AK289" s="2">
        <v>0</v>
      </c>
      <c r="AL289" s="2">
        <v>0</v>
      </c>
      <c r="AM289" s="2">
        <v>0</v>
      </c>
    </row>
    <row r="290" spans="1:39">
      <c r="A290" s="349">
        <v>92681</v>
      </c>
      <c r="B290" s="342" t="s">
        <v>978</v>
      </c>
      <c r="C290" s="234" t="e">
        <f>VLOOKUP(A290,#REF!,10,FALSE)</f>
        <v>#REF!</v>
      </c>
      <c r="E290" s="2">
        <v>10659</v>
      </c>
      <c r="F290" s="2">
        <v>5149</v>
      </c>
      <c r="G290" s="2">
        <v>4980</v>
      </c>
      <c r="H290" s="2">
        <v>1456</v>
      </c>
      <c r="I290" s="2">
        <v>0</v>
      </c>
      <c r="J290" s="2"/>
      <c r="K290" s="2">
        <v>1768</v>
      </c>
      <c r="L290" s="2">
        <v>1663</v>
      </c>
      <c r="M290" s="2">
        <v>1490</v>
      </c>
      <c r="N290" s="2">
        <v>597</v>
      </c>
      <c r="O290" s="2">
        <v>0</v>
      </c>
      <c r="P290" s="2"/>
      <c r="Q290" s="2">
        <v>1877</v>
      </c>
      <c r="R290" s="2">
        <v>-1614</v>
      </c>
      <c r="S290" s="2">
        <v>228</v>
      </c>
      <c r="T290" s="2">
        <v>296</v>
      </c>
      <c r="U290" s="2">
        <v>0</v>
      </c>
      <c r="V290" s="2"/>
      <c r="W290" s="2">
        <v>2114</v>
      </c>
      <c r="X290" s="2">
        <v>1732</v>
      </c>
      <c r="Y290" s="2">
        <v>1406</v>
      </c>
      <c r="Z290" s="2">
        <v>0</v>
      </c>
      <c r="AA290" s="2">
        <v>0</v>
      </c>
      <c r="AB290" s="2"/>
      <c r="AC290" s="2">
        <v>4900</v>
      </c>
      <c r="AD290" s="2">
        <v>3368</v>
      </c>
      <c r="AE290" s="2">
        <v>1856</v>
      </c>
      <c r="AF290" s="2">
        <v>563</v>
      </c>
      <c r="AG290" s="2">
        <v>0</v>
      </c>
      <c r="AH290" s="2"/>
      <c r="AI290" s="2">
        <v>0</v>
      </c>
      <c r="AJ290" s="2">
        <v>0</v>
      </c>
      <c r="AK290" s="2">
        <v>0</v>
      </c>
      <c r="AL290" s="2">
        <v>0</v>
      </c>
      <c r="AM290" s="2">
        <v>0</v>
      </c>
    </row>
    <row r="291" spans="1:39">
      <c r="A291" s="349">
        <v>92701</v>
      </c>
      <c r="B291" s="342" t="s">
        <v>979</v>
      </c>
      <c r="C291" s="234" t="e">
        <f>VLOOKUP(A291,#REF!,10,FALSE)</f>
        <v>#REF!</v>
      </c>
      <c r="E291" s="2">
        <v>1498148</v>
      </c>
      <c r="F291" s="2">
        <v>459736</v>
      </c>
      <c r="G291" s="2">
        <v>800073</v>
      </c>
      <c r="H291" s="2">
        <v>257479</v>
      </c>
      <c r="I291" s="2">
        <v>0</v>
      </c>
      <c r="J291" s="2"/>
      <c r="K291" s="2">
        <v>459743</v>
      </c>
      <c r="L291" s="2">
        <v>432469</v>
      </c>
      <c r="M291" s="2">
        <v>387617</v>
      </c>
      <c r="N291" s="2">
        <v>155197</v>
      </c>
      <c r="O291" s="2">
        <v>0</v>
      </c>
      <c r="P291" s="2"/>
      <c r="Q291" s="2">
        <v>488081</v>
      </c>
      <c r="R291" s="2">
        <v>-419841</v>
      </c>
      <c r="S291" s="2">
        <v>59171</v>
      </c>
      <c r="T291" s="2">
        <v>77011</v>
      </c>
      <c r="U291" s="2">
        <v>0</v>
      </c>
      <c r="V291" s="2"/>
      <c r="W291" s="2">
        <v>549830</v>
      </c>
      <c r="X291" s="2">
        <v>450441</v>
      </c>
      <c r="Y291" s="2">
        <v>365681</v>
      </c>
      <c r="Z291" s="2">
        <v>0</v>
      </c>
      <c r="AA291" s="2">
        <v>0</v>
      </c>
      <c r="AB291" s="2"/>
      <c r="AC291" s="2">
        <v>38161</v>
      </c>
      <c r="AD291" s="2">
        <v>34334</v>
      </c>
      <c r="AE291" s="2">
        <v>25269</v>
      </c>
      <c r="AF291" s="2">
        <v>25271</v>
      </c>
      <c r="AG291" s="2">
        <v>0</v>
      </c>
      <c r="AH291" s="2"/>
      <c r="AI291" s="2">
        <v>-37667</v>
      </c>
      <c r="AJ291" s="2">
        <v>-37667</v>
      </c>
      <c r="AK291" s="2">
        <v>-37665</v>
      </c>
      <c r="AL291" s="2">
        <v>0</v>
      </c>
      <c r="AM291" s="2">
        <v>-37667</v>
      </c>
    </row>
    <row r="292" spans="1:39">
      <c r="A292" s="349">
        <v>92704</v>
      </c>
      <c r="B292" s="342" t="s">
        <v>3663</v>
      </c>
      <c r="C292" s="234" t="e">
        <f>VLOOKUP(A292,#REF!,10,FALSE)</f>
        <v>#REF!</v>
      </c>
      <c r="E292" s="2">
        <v>15807</v>
      </c>
      <c r="F292" s="2">
        <v>3791</v>
      </c>
      <c r="G292" s="2">
        <v>9056</v>
      </c>
      <c r="H292" s="2">
        <v>2408</v>
      </c>
      <c r="I292" s="2">
        <v>0</v>
      </c>
      <c r="J292" s="2"/>
      <c r="K292" s="2">
        <v>5528</v>
      </c>
      <c r="L292" s="2">
        <v>5200</v>
      </c>
      <c r="M292" s="2">
        <v>4661</v>
      </c>
      <c r="N292" s="2">
        <v>1866</v>
      </c>
      <c r="O292" s="2">
        <v>0</v>
      </c>
      <c r="P292" s="2"/>
      <c r="Q292" s="2">
        <v>5869</v>
      </c>
      <c r="R292" s="2">
        <v>-5048</v>
      </c>
      <c r="S292" s="2">
        <v>711</v>
      </c>
      <c r="T292" s="2">
        <v>926</v>
      </c>
      <c r="U292" s="2">
        <v>0</v>
      </c>
      <c r="V292" s="2"/>
      <c r="W292" s="2">
        <v>6611</v>
      </c>
      <c r="X292" s="2">
        <v>5416</v>
      </c>
      <c r="Y292" s="2">
        <v>4397</v>
      </c>
      <c r="Z292" s="2">
        <v>0</v>
      </c>
      <c r="AA292" s="2">
        <v>0</v>
      </c>
      <c r="AB292" s="2"/>
      <c r="AC292" s="2">
        <v>0</v>
      </c>
      <c r="AD292" s="2">
        <v>0</v>
      </c>
      <c r="AE292" s="2">
        <v>0</v>
      </c>
      <c r="AF292" s="2">
        <v>0</v>
      </c>
      <c r="AG292" s="2">
        <v>0</v>
      </c>
      <c r="AH292" s="2"/>
      <c r="AI292" s="2">
        <v>-2201</v>
      </c>
      <c r="AJ292" s="2">
        <v>-1777</v>
      </c>
      <c r="AK292" s="2">
        <v>-713</v>
      </c>
      <c r="AL292" s="2">
        <v>-384</v>
      </c>
      <c r="AM292" s="2">
        <v>-1777</v>
      </c>
    </row>
    <row r="293" spans="1:39">
      <c r="A293" s="349">
        <v>92801</v>
      </c>
      <c r="B293" s="342" t="s">
        <v>981</v>
      </c>
      <c r="C293" s="234" t="e">
        <f>VLOOKUP(A293,#REF!,10,FALSE)</f>
        <v>#REF!</v>
      </c>
      <c r="E293" s="2">
        <v>2764256</v>
      </c>
      <c r="F293" s="2">
        <v>922817</v>
      </c>
      <c r="G293" s="2">
        <v>1538619</v>
      </c>
      <c r="H293" s="2">
        <v>469350</v>
      </c>
      <c r="I293" s="2">
        <v>0</v>
      </c>
      <c r="J293" s="2"/>
      <c r="K293" s="2">
        <v>814246</v>
      </c>
      <c r="L293" s="2">
        <v>765942</v>
      </c>
      <c r="M293" s="2">
        <v>686506</v>
      </c>
      <c r="N293" s="2">
        <v>274869</v>
      </c>
      <c r="O293" s="2">
        <v>0</v>
      </c>
      <c r="P293" s="2"/>
      <c r="Q293" s="2">
        <v>864436</v>
      </c>
      <c r="R293" s="2">
        <v>-743576</v>
      </c>
      <c r="S293" s="2">
        <v>104798</v>
      </c>
      <c r="T293" s="2">
        <v>136393</v>
      </c>
      <c r="U293" s="2">
        <v>0</v>
      </c>
      <c r="V293" s="2"/>
      <c r="W293" s="2">
        <v>973799</v>
      </c>
      <c r="X293" s="2">
        <v>797772</v>
      </c>
      <c r="Y293" s="2">
        <v>647654</v>
      </c>
      <c r="Z293" s="2">
        <v>0</v>
      </c>
      <c r="AA293" s="2">
        <v>0</v>
      </c>
      <c r="AB293" s="2"/>
      <c r="AC293" s="2">
        <v>111775</v>
      </c>
      <c r="AD293" s="2">
        <v>102679</v>
      </c>
      <c r="AE293" s="2">
        <v>99661</v>
      </c>
      <c r="AF293" s="2">
        <v>58088</v>
      </c>
      <c r="AG293" s="2">
        <v>0</v>
      </c>
      <c r="AH293" s="2"/>
      <c r="AI293" s="2">
        <v>0</v>
      </c>
      <c r="AJ293" s="2">
        <v>0</v>
      </c>
      <c r="AK293" s="2">
        <v>0</v>
      </c>
      <c r="AL293" s="2">
        <v>0</v>
      </c>
      <c r="AM293" s="2">
        <v>0</v>
      </c>
    </row>
    <row r="294" spans="1:39">
      <c r="A294" s="349">
        <v>92802</v>
      </c>
      <c r="B294" s="342" t="s">
        <v>982</v>
      </c>
      <c r="C294" s="234" t="e">
        <f>VLOOKUP(A294,#REF!,10,FALSE)</f>
        <v>#REF!</v>
      </c>
      <c r="E294" s="2">
        <v>51047</v>
      </c>
      <c r="F294" s="2">
        <v>12855</v>
      </c>
      <c r="G294" s="2">
        <v>27975</v>
      </c>
      <c r="H294" s="2">
        <v>6612</v>
      </c>
      <c r="I294" s="2">
        <v>0</v>
      </c>
      <c r="J294" s="2"/>
      <c r="K294" s="2">
        <v>17947</v>
      </c>
      <c r="L294" s="2">
        <v>16882</v>
      </c>
      <c r="M294" s="2">
        <v>15131</v>
      </c>
      <c r="N294" s="2">
        <v>6058</v>
      </c>
      <c r="O294" s="2">
        <v>0</v>
      </c>
      <c r="P294" s="2"/>
      <c r="Q294" s="2">
        <v>19053</v>
      </c>
      <c r="R294" s="2">
        <v>-16389</v>
      </c>
      <c r="S294" s="2">
        <v>2310</v>
      </c>
      <c r="T294" s="2">
        <v>3006</v>
      </c>
      <c r="U294" s="2">
        <v>0</v>
      </c>
      <c r="V294" s="2"/>
      <c r="W294" s="2">
        <v>21464</v>
      </c>
      <c r="X294" s="2">
        <v>17584</v>
      </c>
      <c r="Y294" s="2">
        <v>14275</v>
      </c>
      <c r="Z294" s="2">
        <v>0</v>
      </c>
      <c r="AA294" s="2">
        <v>0</v>
      </c>
      <c r="AB294" s="2"/>
      <c r="AC294" s="2">
        <v>0</v>
      </c>
      <c r="AD294" s="2">
        <v>0</v>
      </c>
      <c r="AE294" s="2">
        <v>0</v>
      </c>
      <c r="AF294" s="2">
        <v>0</v>
      </c>
      <c r="AG294" s="2">
        <v>0</v>
      </c>
      <c r="AH294" s="2"/>
      <c r="AI294" s="2">
        <v>-7417</v>
      </c>
      <c r="AJ294" s="2">
        <v>-5222</v>
      </c>
      <c r="AK294" s="2">
        <v>-3741</v>
      </c>
      <c r="AL294" s="2">
        <v>-2452</v>
      </c>
      <c r="AM294" s="2">
        <v>-5222</v>
      </c>
    </row>
    <row r="295" spans="1:39">
      <c r="A295" s="349">
        <v>92804</v>
      </c>
      <c r="B295" s="342" t="s">
        <v>983</v>
      </c>
      <c r="C295" s="234" t="e">
        <f>VLOOKUP(A295,#REF!,10,FALSE)</f>
        <v>#REF!</v>
      </c>
      <c r="E295" s="2">
        <v>66853</v>
      </c>
      <c r="F295" s="2">
        <v>17458</v>
      </c>
      <c r="G295" s="2">
        <v>36483</v>
      </c>
      <c r="H295" s="2">
        <v>8376</v>
      </c>
      <c r="I295" s="2">
        <v>0</v>
      </c>
      <c r="J295" s="2"/>
      <c r="K295" s="2">
        <v>21377</v>
      </c>
      <c r="L295" s="2">
        <v>20109</v>
      </c>
      <c r="M295" s="2">
        <v>18024</v>
      </c>
      <c r="N295" s="2">
        <v>7216</v>
      </c>
      <c r="O295" s="2">
        <v>0</v>
      </c>
      <c r="P295" s="2"/>
      <c r="Q295" s="2">
        <v>22695</v>
      </c>
      <c r="R295" s="2">
        <v>-19522</v>
      </c>
      <c r="S295" s="2">
        <v>2751</v>
      </c>
      <c r="T295" s="2">
        <v>3581</v>
      </c>
      <c r="U295" s="2">
        <v>0</v>
      </c>
      <c r="V295" s="2"/>
      <c r="W295" s="2">
        <v>25566</v>
      </c>
      <c r="X295" s="2">
        <v>20945</v>
      </c>
      <c r="Y295" s="2">
        <v>17004</v>
      </c>
      <c r="Z295" s="2">
        <v>0</v>
      </c>
      <c r="AA295" s="2">
        <v>0</v>
      </c>
      <c r="AB295" s="2"/>
      <c r="AC295" s="2">
        <v>2412</v>
      </c>
      <c r="AD295" s="2">
        <v>1125</v>
      </c>
      <c r="AE295" s="2">
        <v>1126</v>
      </c>
      <c r="AF295" s="2">
        <v>0</v>
      </c>
      <c r="AG295" s="2">
        <v>0</v>
      </c>
      <c r="AH295" s="2"/>
      <c r="AI295" s="2">
        <v>-5197</v>
      </c>
      <c r="AJ295" s="2">
        <v>-5199</v>
      </c>
      <c r="AK295" s="2">
        <v>-2422</v>
      </c>
      <c r="AL295" s="2">
        <v>-2421</v>
      </c>
      <c r="AM295" s="2">
        <v>-5199</v>
      </c>
    </row>
    <row r="296" spans="1:39">
      <c r="A296" s="349">
        <v>92811</v>
      </c>
      <c r="B296" s="342" t="s">
        <v>984</v>
      </c>
      <c r="C296" s="234" t="e">
        <f>VLOOKUP(A296,#REF!,10,FALSE)</f>
        <v>#REF!</v>
      </c>
      <c r="E296" s="2">
        <v>409780</v>
      </c>
      <c r="F296" s="2">
        <v>123693</v>
      </c>
      <c r="G296" s="2">
        <v>228098</v>
      </c>
      <c r="H296" s="2">
        <v>60837</v>
      </c>
      <c r="I296" s="2">
        <v>0</v>
      </c>
      <c r="J296" s="2"/>
      <c r="K296" s="2">
        <v>136564</v>
      </c>
      <c r="L296" s="2">
        <v>128463</v>
      </c>
      <c r="M296" s="2">
        <v>115140</v>
      </c>
      <c r="N296" s="2">
        <v>46101</v>
      </c>
      <c r="O296" s="2">
        <v>0</v>
      </c>
      <c r="P296" s="2"/>
      <c r="Q296" s="2">
        <v>144982</v>
      </c>
      <c r="R296" s="2">
        <v>-124711</v>
      </c>
      <c r="S296" s="2">
        <v>17577</v>
      </c>
      <c r="T296" s="2">
        <v>22876</v>
      </c>
      <c r="U296" s="2">
        <v>0</v>
      </c>
      <c r="V296" s="2"/>
      <c r="W296" s="2">
        <v>163324</v>
      </c>
      <c r="X296" s="2">
        <v>133801</v>
      </c>
      <c r="Y296" s="2">
        <v>108624</v>
      </c>
      <c r="Z296" s="2">
        <v>0</v>
      </c>
      <c r="AA296" s="2">
        <v>0</v>
      </c>
      <c r="AB296" s="2"/>
      <c r="AC296" s="2">
        <v>0</v>
      </c>
      <c r="AD296" s="2">
        <v>0</v>
      </c>
      <c r="AE296" s="2">
        <v>0</v>
      </c>
      <c r="AF296" s="2">
        <v>0</v>
      </c>
      <c r="AG296" s="2">
        <v>0</v>
      </c>
      <c r="AH296" s="2"/>
      <c r="AI296" s="2">
        <v>-35090</v>
      </c>
      <c r="AJ296" s="2">
        <v>-13860</v>
      </c>
      <c r="AK296" s="2">
        <v>-13243</v>
      </c>
      <c r="AL296" s="2">
        <v>-8140</v>
      </c>
      <c r="AM296" s="2">
        <v>-13860</v>
      </c>
    </row>
    <row r="297" spans="1:39">
      <c r="A297" s="349">
        <v>92821</v>
      </c>
      <c r="B297" s="342" t="s">
        <v>985</v>
      </c>
      <c r="C297" s="234" t="e">
        <f>VLOOKUP(A297,#REF!,10,FALSE)</f>
        <v>#REF!</v>
      </c>
      <c r="E297" s="2">
        <v>489676</v>
      </c>
      <c r="F297" s="2">
        <v>154727</v>
      </c>
      <c r="G297" s="2">
        <v>265177</v>
      </c>
      <c r="H297" s="2">
        <v>75534</v>
      </c>
      <c r="I297" s="2">
        <v>0</v>
      </c>
      <c r="J297" s="2"/>
      <c r="K297" s="2">
        <v>147425</v>
      </c>
      <c r="L297" s="2">
        <v>138679</v>
      </c>
      <c r="M297" s="2">
        <v>124297</v>
      </c>
      <c r="N297" s="2">
        <v>49767</v>
      </c>
      <c r="O297" s="2">
        <v>0</v>
      </c>
      <c r="P297" s="2"/>
      <c r="Q297" s="2">
        <v>156512</v>
      </c>
      <c r="R297" s="2">
        <v>-134630</v>
      </c>
      <c r="S297" s="2">
        <v>18974</v>
      </c>
      <c r="T297" s="2">
        <v>24695</v>
      </c>
      <c r="U297" s="2">
        <v>0</v>
      </c>
      <c r="V297" s="2"/>
      <c r="W297" s="2">
        <v>176313</v>
      </c>
      <c r="X297" s="2">
        <v>144442</v>
      </c>
      <c r="Y297" s="2">
        <v>117262</v>
      </c>
      <c r="Z297" s="2">
        <v>0</v>
      </c>
      <c r="AA297" s="2">
        <v>0</v>
      </c>
      <c r="AB297" s="2"/>
      <c r="AC297" s="2">
        <v>9426</v>
      </c>
      <c r="AD297" s="2">
        <v>6236</v>
      </c>
      <c r="AE297" s="2">
        <v>4644</v>
      </c>
      <c r="AF297" s="2">
        <v>1072</v>
      </c>
      <c r="AG297" s="2">
        <v>0</v>
      </c>
      <c r="AH297" s="2"/>
      <c r="AI297" s="2">
        <v>0</v>
      </c>
      <c r="AJ297" s="2">
        <v>0</v>
      </c>
      <c r="AK297" s="2">
        <v>0</v>
      </c>
      <c r="AL297" s="2">
        <v>0</v>
      </c>
      <c r="AM297" s="2">
        <v>0</v>
      </c>
    </row>
    <row r="298" spans="1:39">
      <c r="A298" s="349">
        <v>92831</v>
      </c>
      <c r="B298" s="342" t="s">
        <v>986</v>
      </c>
      <c r="C298" s="234" t="e">
        <f>VLOOKUP(A298,#REF!,10,FALSE)</f>
        <v>#REF!</v>
      </c>
      <c r="E298" s="2">
        <v>139242</v>
      </c>
      <c r="F298" s="2">
        <v>50633</v>
      </c>
      <c r="G298" s="2">
        <v>79898</v>
      </c>
      <c r="H298" s="2">
        <v>25322</v>
      </c>
      <c r="I298" s="2">
        <v>0</v>
      </c>
      <c r="J298" s="2"/>
      <c r="K298" s="2">
        <v>37796</v>
      </c>
      <c r="L298" s="2">
        <v>35554</v>
      </c>
      <c r="M298" s="2">
        <v>31867</v>
      </c>
      <c r="N298" s="2">
        <v>12759</v>
      </c>
      <c r="O298" s="2">
        <v>0</v>
      </c>
      <c r="P298" s="2"/>
      <c r="Q298" s="2">
        <v>40126</v>
      </c>
      <c r="R298" s="2">
        <v>-34516</v>
      </c>
      <c r="S298" s="2">
        <v>4865</v>
      </c>
      <c r="T298" s="2">
        <v>6331</v>
      </c>
      <c r="U298" s="2">
        <v>0</v>
      </c>
      <c r="V298" s="2"/>
      <c r="W298" s="2">
        <v>45203</v>
      </c>
      <c r="X298" s="2">
        <v>37032</v>
      </c>
      <c r="Y298" s="2">
        <v>30063</v>
      </c>
      <c r="Z298" s="2">
        <v>0</v>
      </c>
      <c r="AA298" s="2">
        <v>0</v>
      </c>
      <c r="AB298" s="2"/>
      <c r="AC298" s="2">
        <v>16657</v>
      </c>
      <c r="AD298" s="2">
        <v>13101</v>
      </c>
      <c r="AE298" s="2">
        <v>13103</v>
      </c>
      <c r="AF298" s="2">
        <v>6232</v>
      </c>
      <c r="AG298" s="2">
        <v>0</v>
      </c>
      <c r="AH298" s="2"/>
      <c r="AI298" s="2">
        <v>-540</v>
      </c>
      <c r="AJ298" s="2">
        <v>-538</v>
      </c>
      <c r="AK298" s="2">
        <v>0</v>
      </c>
      <c r="AL298" s="2">
        <v>0</v>
      </c>
      <c r="AM298" s="2">
        <v>-538</v>
      </c>
    </row>
    <row r="299" spans="1:39">
      <c r="A299" s="349">
        <v>92841</v>
      </c>
      <c r="B299" s="342" t="s">
        <v>987</v>
      </c>
      <c r="C299" s="234" t="e">
        <f>VLOOKUP(A299,#REF!,10,FALSE)</f>
        <v>#REF!</v>
      </c>
      <c r="E299" s="2">
        <v>109687</v>
      </c>
      <c r="F299" s="2">
        <v>28188</v>
      </c>
      <c r="G299" s="2">
        <v>58627</v>
      </c>
      <c r="H299" s="2">
        <v>16459</v>
      </c>
      <c r="I299" s="2">
        <v>0</v>
      </c>
      <c r="J299" s="2"/>
      <c r="K299" s="2">
        <v>36463</v>
      </c>
      <c r="L299" s="2">
        <v>34300</v>
      </c>
      <c r="M299" s="2">
        <v>30743</v>
      </c>
      <c r="N299" s="2">
        <v>12309</v>
      </c>
      <c r="O299" s="2">
        <v>0</v>
      </c>
      <c r="P299" s="2"/>
      <c r="Q299" s="2">
        <v>38711</v>
      </c>
      <c r="R299" s="2">
        <v>-33298</v>
      </c>
      <c r="S299" s="2">
        <v>4693</v>
      </c>
      <c r="T299" s="2">
        <v>6108</v>
      </c>
      <c r="U299" s="2">
        <v>0</v>
      </c>
      <c r="V299" s="2"/>
      <c r="W299" s="2">
        <v>43608</v>
      </c>
      <c r="X299" s="2">
        <v>35725</v>
      </c>
      <c r="Y299" s="2">
        <v>29003</v>
      </c>
      <c r="Z299" s="2">
        <v>0</v>
      </c>
      <c r="AA299" s="2">
        <v>0</v>
      </c>
      <c r="AB299" s="2"/>
      <c r="AC299" s="2">
        <v>0</v>
      </c>
      <c r="AD299" s="2">
        <v>0</v>
      </c>
      <c r="AE299" s="2">
        <v>0</v>
      </c>
      <c r="AF299" s="2">
        <v>0</v>
      </c>
      <c r="AG299" s="2">
        <v>0</v>
      </c>
      <c r="AH299" s="2"/>
      <c r="AI299" s="2">
        <v>-9095</v>
      </c>
      <c r="AJ299" s="2">
        <v>-8539</v>
      </c>
      <c r="AK299" s="2">
        <v>-5812</v>
      </c>
      <c r="AL299" s="2">
        <v>-1958</v>
      </c>
      <c r="AM299" s="2">
        <v>-8539</v>
      </c>
    </row>
    <row r="300" spans="1:39">
      <c r="A300" s="349">
        <v>92851</v>
      </c>
      <c r="B300" s="342" t="s">
        <v>988</v>
      </c>
      <c r="C300" s="234" t="e">
        <f>VLOOKUP(A300,#REF!,10,FALSE)</f>
        <v>#REF!</v>
      </c>
      <c r="E300" s="2">
        <v>184767</v>
      </c>
      <c r="F300" s="2">
        <v>47734</v>
      </c>
      <c r="G300" s="2">
        <v>97762</v>
      </c>
      <c r="H300" s="2">
        <v>25177</v>
      </c>
      <c r="I300" s="2">
        <v>0</v>
      </c>
      <c r="J300" s="2"/>
      <c r="K300" s="2">
        <v>64192</v>
      </c>
      <c r="L300" s="2">
        <v>60384</v>
      </c>
      <c r="M300" s="2">
        <v>54122</v>
      </c>
      <c r="N300" s="2">
        <v>21670</v>
      </c>
      <c r="O300" s="2">
        <v>0</v>
      </c>
      <c r="P300" s="2"/>
      <c r="Q300" s="2">
        <v>68149</v>
      </c>
      <c r="R300" s="2">
        <v>-58621</v>
      </c>
      <c r="S300" s="2">
        <v>8262</v>
      </c>
      <c r="T300" s="2">
        <v>10753</v>
      </c>
      <c r="U300" s="2">
        <v>0</v>
      </c>
      <c r="V300" s="2"/>
      <c r="W300" s="2">
        <v>76771</v>
      </c>
      <c r="X300" s="2">
        <v>62894</v>
      </c>
      <c r="Y300" s="2">
        <v>51059</v>
      </c>
      <c r="Z300" s="2">
        <v>0</v>
      </c>
      <c r="AA300" s="2">
        <v>0</v>
      </c>
      <c r="AB300" s="2"/>
      <c r="AC300" s="2">
        <v>0</v>
      </c>
      <c r="AD300" s="2">
        <v>0</v>
      </c>
      <c r="AE300" s="2">
        <v>0</v>
      </c>
      <c r="AF300" s="2">
        <v>0</v>
      </c>
      <c r="AG300" s="2">
        <v>0</v>
      </c>
      <c r="AH300" s="2"/>
      <c r="AI300" s="2">
        <v>-24345</v>
      </c>
      <c r="AJ300" s="2">
        <v>-16923</v>
      </c>
      <c r="AK300" s="2">
        <v>-15681</v>
      </c>
      <c r="AL300" s="2">
        <v>-7246</v>
      </c>
      <c r="AM300" s="2">
        <v>-16923</v>
      </c>
    </row>
    <row r="301" spans="1:39">
      <c r="A301" s="349">
        <v>92861</v>
      </c>
      <c r="B301" s="342" t="s">
        <v>989</v>
      </c>
      <c r="C301" s="234" t="e">
        <f>VLOOKUP(A301,#REF!,10,FALSE)</f>
        <v>#REF!</v>
      </c>
      <c r="E301" s="2">
        <v>145778</v>
      </c>
      <c r="F301" s="2">
        <v>34819</v>
      </c>
      <c r="G301" s="2">
        <v>80842</v>
      </c>
      <c r="H301" s="2">
        <v>18969</v>
      </c>
      <c r="I301" s="2">
        <v>0</v>
      </c>
      <c r="J301" s="2"/>
      <c r="K301" s="2">
        <v>54395</v>
      </c>
      <c r="L301" s="2">
        <v>51168</v>
      </c>
      <c r="M301" s="2">
        <v>45861</v>
      </c>
      <c r="N301" s="2">
        <v>18362</v>
      </c>
      <c r="O301" s="2">
        <v>0</v>
      </c>
      <c r="P301" s="2"/>
      <c r="Q301" s="2">
        <v>57748</v>
      </c>
      <c r="R301" s="2">
        <v>-49674</v>
      </c>
      <c r="S301" s="2">
        <v>7001</v>
      </c>
      <c r="T301" s="2">
        <v>9112</v>
      </c>
      <c r="U301" s="2">
        <v>0</v>
      </c>
      <c r="V301" s="2"/>
      <c r="W301" s="2">
        <v>65054</v>
      </c>
      <c r="X301" s="2">
        <v>53294</v>
      </c>
      <c r="Y301" s="2">
        <v>43266</v>
      </c>
      <c r="Z301" s="2">
        <v>0</v>
      </c>
      <c r="AA301" s="2">
        <v>0</v>
      </c>
      <c r="AB301" s="2"/>
      <c r="AC301" s="2">
        <v>0</v>
      </c>
      <c r="AD301" s="2">
        <v>0</v>
      </c>
      <c r="AE301" s="2">
        <v>0</v>
      </c>
      <c r="AF301" s="2">
        <v>0</v>
      </c>
      <c r="AG301" s="2">
        <v>0</v>
      </c>
      <c r="AH301" s="2"/>
      <c r="AI301" s="2">
        <v>-31419</v>
      </c>
      <c r="AJ301" s="2">
        <v>-19969</v>
      </c>
      <c r="AK301" s="2">
        <v>-15286</v>
      </c>
      <c r="AL301" s="2">
        <v>-8505</v>
      </c>
      <c r="AM301" s="2">
        <v>-19969</v>
      </c>
    </row>
    <row r="302" spans="1:39">
      <c r="A302" s="349">
        <v>92901</v>
      </c>
      <c r="B302" s="342" t="s">
        <v>990</v>
      </c>
      <c r="C302" s="234" t="e">
        <f>VLOOKUP(A302,#REF!,10,FALSE)</f>
        <v>#REF!</v>
      </c>
      <c r="E302" s="2">
        <v>2626324</v>
      </c>
      <c r="F302" s="2">
        <v>810290</v>
      </c>
      <c r="G302" s="2">
        <v>1447236</v>
      </c>
      <c r="H302" s="2">
        <v>420798</v>
      </c>
      <c r="I302" s="2">
        <v>0</v>
      </c>
      <c r="J302" s="2"/>
      <c r="K302" s="2">
        <v>813842</v>
      </c>
      <c r="L302" s="2">
        <v>765562</v>
      </c>
      <c r="M302" s="2">
        <v>686165</v>
      </c>
      <c r="N302" s="2">
        <v>274732</v>
      </c>
      <c r="O302" s="2">
        <v>0</v>
      </c>
      <c r="P302" s="2"/>
      <c r="Q302" s="2">
        <v>864006</v>
      </c>
      <c r="R302" s="2">
        <v>-743207</v>
      </c>
      <c r="S302" s="2">
        <v>104746</v>
      </c>
      <c r="T302" s="2">
        <v>136326</v>
      </c>
      <c r="U302" s="2">
        <v>0</v>
      </c>
      <c r="V302" s="2"/>
      <c r="W302" s="2">
        <v>973315</v>
      </c>
      <c r="X302" s="2">
        <v>797375</v>
      </c>
      <c r="Y302" s="2">
        <v>647332</v>
      </c>
      <c r="Z302" s="2">
        <v>0</v>
      </c>
      <c r="AA302" s="2">
        <v>0</v>
      </c>
      <c r="AB302" s="2"/>
      <c r="AC302" s="2">
        <v>9740</v>
      </c>
      <c r="AD302" s="2">
        <v>9740</v>
      </c>
      <c r="AE302" s="2">
        <v>9740</v>
      </c>
      <c r="AF302" s="2">
        <v>9740</v>
      </c>
      <c r="AG302" s="2">
        <v>0</v>
      </c>
      <c r="AH302" s="2"/>
      <c r="AI302" s="2">
        <v>-34579</v>
      </c>
      <c r="AJ302" s="2">
        <v>-19180</v>
      </c>
      <c r="AK302" s="2">
        <v>-747</v>
      </c>
      <c r="AL302" s="2">
        <v>0</v>
      </c>
      <c r="AM302" s="2">
        <v>-19180</v>
      </c>
    </row>
    <row r="303" spans="1:39">
      <c r="A303" s="349">
        <v>92911</v>
      </c>
      <c r="B303" s="342" t="s">
        <v>991</v>
      </c>
      <c r="C303" s="234" t="e">
        <f>VLOOKUP(A303,#REF!,10,FALSE)</f>
        <v>#REF!</v>
      </c>
      <c r="E303" s="2">
        <v>941970</v>
      </c>
      <c r="F303" s="2">
        <v>308616</v>
      </c>
      <c r="G303" s="2">
        <v>519658</v>
      </c>
      <c r="H303" s="2">
        <v>152923</v>
      </c>
      <c r="I303" s="2">
        <v>0</v>
      </c>
      <c r="J303" s="2"/>
      <c r="K303" s="2">
        <v>287045</v>
      </c>
      <c r="L303" s="2">
        <v>270017</v>
      </c>
      <c r="M303" s="2">
        <v>242013</v>
      </c>
      <c r="N303" s="2">
        <v>96899</v>
      </c>
      <c r="O303" s="2">
        <v>0</v>
      </c>
      <c r="P303" s="2"/>
      <c r="Q303" s="2">
        <v>304738</v>
      </c>
      <c r="R303" s="2">
        <v>-262132</v>
      </c>
      <c r="S303" s="2">
        <v>36944</v>
      </c>
      <c r="T303" s="2">
        <v>48083</v>
      </c>
      <c r="U303" s="2">
        <v>0</v>
      </c>
      <c r="V303" s="2"/>
      <c r="W303" s="2">
        <v>343292</v>
      </c>
      <c r="X303" s="2">
        <v>281237</v>
      </c>
      <c r="Y303" s="2">
        <v>228317</v>
      </c>
      <c r="Z303" s="2">
        <v>0</v>
      </c>
      <c r="AA303" s="2">
        <v>0</v>
      </c>
      <c r="AB303" s="2"/>
      <c r="AC303" s="2">
        <v>19496</v>
      </c>
      <c r="AD303" s="2">
        <v>19494</v>
      </c>
      <c r="AE303" s="2">
        <v>12384</v>
      </c>
      <c r="AF303" s="2">
        <v>7941</v>
      </c>
      <c r="AG303" s="2">
        <v>0</v>
      </c>
      <c r="AH303" s="2"/>
      <c r="AI303" s="2">
        <v>-12601</v>
      </c>
      <c r="AJ303" s="2">
        <v>0</v>
      </c>
      <c r="AK303" s="2">
        <v>0</v>
      </c>
      <c r="AL303" s="2">
        <v>0</v>
      </c>
      <c r="AM303" s="2">
        <v>0</v>
      </c>
    </row>
    <row r="304" spans="1:39">
      <c r="A304" s="349">
        <v>92913</v>
      </c>
      <c r="B304" s="342" t="s">
        <v>992</v>
      </c>
      <c r="C304" s="234" t="e">
        <f>VLOOKUP(A304,#REF!,10,FALSE)</f>
        <v>#REF!</v>
      </c>
      <c r="E304" s="2">
        <v>46393</v>
      </c>
      <c r="F304" s="2">
        <v>32002</v>
      </c>
      <c r="G304" s="2">
        <v>25080</v>
      </c>
      <c r="H304" s="2">
        <v>12018</v>
      </c>
      <c r="I304" s="2">
        <v>0</v>
      </c>
      <c r="J304" s="2"/>
      <c r="K304" s="2">
        <v>3056</v>
      </c>
      <c r="L304" s="2">
        <v>2875</v>
      </c>
      <c r="M304" s="2">
        <v>2577</v>
      </c>
      <c r="N304" s="2">
        <v>1032</v>
      </c>
      <c r="O304" s="2">
        <v>0</v>
      </c>
      <c r="P304" s="2"/>
      <c r="Q304" s="2">
        <v>3244</v>
      </c>
      <c r="R304" s="2">
        <v>-2791</v>
      </c>
      <c r="S304" s="2">
        <v>393</v>
      </c>
      <c r="T304" s="2">
        <v>512</v>
      </c>
      <c r="U304" s="2">
        <v>0</v>
      </c>
      <c r="V304" s="2"/>
      <c r="W304" s="2">
        <v>3655</v>
      </c>
      <c r="X304" s="2">
        <v>2994</v>
      </c>
      <c r="Y304" s="2">
        <v>2431</v>
      </c>
      <c r="Z304" s="2">
        <v>0</v>
      </c>
      <c r="AA304" s="2">
        <v>0</v>
      </c>
      <c r="AB304" s="2"/>
      <c r="AC304" s="2">
        <v>36438</v>
      </c>
      <c r="AD304" s="2">
        <v>28924</v>
      </c>
      <c r="AE304" s="2">
        <v>19679</v>
      </c>
      <c r="AF304" s="2">
        <v>10474</v>
      </c>
      <c r="AG304" s="2">
        <v>0</v>
      </c>
      <c r="AH304" s="2"/>
      <c r="AI304" s="2">
        <v>0</v>
      </c>
      <c r="AJ304" s="2">
        <v>0</v>
      </c>
      <c r="AK304" s="2">
        <v>0</v>
      </c>
      <c r="AL304" s="2">
        <v>0</v>
      </c>
      <c r="AM304" s="2">
        <v>0</v>
      </c>
    </row>
    <row r="305" spans="1:39">
      <c r="A305" s="349">
        <v>92914</v>
      </c>
      <c r="B305" s="342" t="s">
        <v>993</v>
      </c>
      <c r="C305" s="234" t="e">
        <f>VLOOKUP(A305,#REF!,10,FALSE)</f>
        <v>#REF!</v>
      </c>
      <c r="E305" s="2">
        <v>16832</v>
      </c>
      <c r="F305" s="2">
        <v>8235</v>
      </c>
      <c r="G305" s="2">
        <v>6848</v>
      </c>
      <c r="H305" s="2">
        <v>2336</v>
      </c>
      <c r="I305" s="2">
        <v>0</v>
      </c>
      <c r="J305" s="2"/>
      <c r="K305" s="2">
        <v>3820</v>
      </c>
      <c r="L305" s="2">
        <v>3593</v>
      </c>
      <c r="M305" s="2">
        <v>3221</v>
      </c>
      <c r="N305" s="2">
        <v>1290</v>
      </c>
      <c r="O305" s="2">
        <v>0</v>
      </c>
      <c r="P305" s="2"/>
      <c r="Q305" s="2">
        <v>4056</v>
      </c>
      <c r="R305" s="2">
        <v>-3489</v>
      </c>
      <c r="S305" s="2">
        <v>492</v>
      </c>
      <c r="T305" s="2">
        <v>640</v>
      </c>
      <c r="U305" s="2">
        <v>0</v>
      </c>
      <c r="V305" s="2"/>
      <c r="W305" s="2">
        <v>4569</v>
      </c>
      <c r="X305" s="2">
        <v>3743</v>
      </c>
      <c r="Y305" s="2">
        <v>3039</v>
      </c>
      <c r="Z305" s="2">
        <v>0</v>
      </c>
      <c r="AA305" s="2">
        <v>0</v>
      </c>
      <c r="AB305" s="2"/>
      <c r="AC305" s="2">
        <v>4699</v>
      </c>
      <c r="AD305" s="2">
        <v>4700</v>
      </c>
      <c r="AE305" s="2">
        <v>406</v>
      </c>
      <c r="AF305" s="2">
        <v>406</v>
      </c>
      <c r="AG305" s="2">
        <v>0</v>
      </c>
      <c r="AH305" s="2"/>
      <c r="AI305" s="2">
        <v>-312</v>
      </c>
      <c r="AJ305" s="2">
        <v>-312</v>
      </c>
      <c r="AK305" s="2">
        <v>-310</v>
      </c>
      <c r="AL305" s="2">
        <v>0</v>
      </c>
      <c r="AM305" s="2">
        <v>-312</v>
      </c>
    </row>
    <row r="306" spans="1:39">
      <c r="A306" s="349">
        <v>92917</v>
      </c>
      <c r="B306" s="342" t="s">
        <v>994</v>
      </c>
      <c r="C306" s="234" t="e">
        <f>VLOOKUP(A306,#REF!,10,FALSE)</f>
        <v>#REF!</v>
      </c>
      <c r="E306" s="2">
        <v>15431</v>
      </c>
      <c r="F306" s="2">
        <v>7580</v>
      </c>
      <c r="G306" s="2">
        <v>8782</v>
      </c>
      <c r="H306" s="2">
        <v>3276</v>
      </c>
      <c r="I306" s="2">
        <v>0</v>
      </c>
      <c r="J306" s="2"/>
      <c r="K306" s="2">
        <v>2876</v>
      </c>
      <c r="L306" s="2">
        <v>2706</v>
      </c>
      <c r="M306" s="2">
        <v>2425</v>
      </c>
      <c r="N306" s="2">
        <v>971</v>
      </c>
      <c r="O306" s="2">
        <v>0</v>
      </c>
      <c r="P306" s="2"/>
      <c r="Q306" s="2">
        <v>3054</v>
      </c>
      <c r="R306" s="2">
        <v>-2627</v>
      </c>
      <c r="S306" s="2">
        <v>370</v>
      </c>
      <c r="T306" s="2">
        <v>482</v>
      </c>
      <c r="U306" s="2">
        <v>0</v>
      </c>
      <c r="V306" s="2"/>
      <c r="W306" s="2">
        <v>3440</v>
      </c>
      <c r="X306" s="2">
        <v>2818</v>
      </c>
      <c r="Y306" s="2">
        <v>2288</v>
      </c>
      <c r="Z306" s="2">
        <v>0</v>
      </c>
      <c r="AA306" s="2">
        <v>0</v>
      </c>
      <c r="AB306" s="2"/>
      <c r="AC306" s="2">
        <v>6061</v>
      </c>
      <c r="AD306" s="2">
        <v>4683</v>
      </c>
      <c r="AE306" s="2">
        <v>3699</v>
      </c>
      <c r="AF306" s="2">
        <v>1823</v>
      </c>
      <c r="AG306" s="2">
        <v>0</v>
      </c>
      <c r="AH306" s="2"/>
      <c r="AI306" s="2">
        <v>0</v>
      </c>
      <c r="AJ306" s="2">
        <v>0</v>
      </c>
      <c r="AK306" s="2">
        <v>0</v>
      </c>
      <c r="AL306" s="2">
        <v>0</v>
      </c>
      <c r="AM306" s="2">
        <v>0</v>
      </c>
    </row>
    <row r="307" spans="1:39">
      <c r="A307" s="349">
        <v>92921</v>
      </c>
      <c r="B307" s="342" t="s">
        <v>995</v>
      </c>
      <c r="C307" s="234" t="e">
        <f>VLOOKUP(A307,#REF!,10,FALSE)</f>
        <v>#REF!</v>
      </c>
      <c r="E307" s="2">
        <v>55769</v>
      </c>
      <c r="F307" s="2">
        <v>23971</v>
      </c>
      <c r="G307" s="2">
        <v>31656</v>
      </c>
      <c r="H307" s="2">
        <v>9714</v>
      </c>
      <c r="I307" s="2">
        <v>0</v>
      </c>
      <c r="J307" s="2"/>
      <c r="K307" s="2">
        <v>14471</v>
      </c>
      <c r="L307" s="2">
        <v>13613</v>
      </c>
      <c r="M307" s="2">
        <v>12201</v>
      </c>
      <c r="N307" s="2">
        <v>4885</v>
      </c>
      <c r="O307" s="2">
        <v>0</v>
      </c>
      <c r="P307" s="2"/>
      <c r="Q307" s="2">
        <v>15363</v>
      </c>
      <c r="R307" s="2">
        <v>-13215</v>
      </c>
      <c r="S307" s="2">
        <v>1863</v>
      </c>
      <c r="T307" s="2">
        <v>2424</v>
      </c>
      <c r="U307" s="2">
        <v>0</v>
      </c>
      <c r="V307" s="2"/>
      <c r="W307" s="2">
        <v>17307</v>
      </c>
      <c r="X307" s="2">
        <v>14179</v>
      </c>
      <c r="Y307" s="2">
        <v>11511</v>
      </c>
      <c r="Z307" s="2">
        <v>0</v>
      </c>
      <c r="AA307" s="2">
        <v>0</v>
      </c>
      <c r="AB307" s="2"/>
      <c r="AC307" s="2">
        <v>9394</v>
      </c>
      <c r="AD307" s="2">
        <v>9394</v>
      </c>
      <c r="AE307" s="2">
        <v>6081</v>
      </c>
      <c r="AF307" s="2">
        <v>2405</v>
      </c>
      <c r="AG307" s="2">
        <v>0</v>
      </c>
      <c r="AH307" s="2"/>
      <c r="AI307" s="2">
        <v>-766</v>
      </c>
      <c r="AJ307" s="2">
        <v>0</v>
      </c>
      <c r="AK307" s="2">
        <v>0</v>
      </c>
      <c r="AL307" s="2">
        <v>0</v>
      </c>
      <c r="AM307" s="2">
        <v>0</v>
      </c>
    </row>
    <row r="308" spans="1:39">
      <c r="A308" s="349">
        <v>92931</v>
      </c>
      <c r="B308" s="342" t="s">
        <v>996</v>
      </c>
      <c r="C308" s="234" t="e">
        <f>VLOOKUP(A308,#REF!,10,FALSE)</f>
        <v>#REF!</v>
      </c>
      <c r="E308" s="2">
        <v>1022051</v>
      </c>
      <c r="F308" s="2">
        <v>282763</v>
      </c>
      <c r="G308" s="2">
        <v>555078</v>
      </c>
      <c r="H308" s="2">
        <v>122507</v>
      </c>
      <c r="I308" s="2">
        <v>0</v>
      </c>
      <c r="J308" s="2"/>
      <c r="K308" s="2">
        <v>337141</v>
      </c>
      <c r="L308" s="2">
        <v>317140</v>
      </c>
      <c r="M308" s="2">
        <v>284249</v>
      </c>
      <c r="N308" s="2">
        <v>113810</v>
      </c>
      <c r="O308" s="2">
        <v>0</v>
      </c>
      <c r="P308" s="2"/>
      <c r="Q308" s="2">
        <v>357922</v>
      </c>
      <c r="R308" s="2">
        <v>-307880</v>
      </c>
      <c r="S308" s="2">
        <v>43392</v>
      </c>
      <c r="T308" s="2">
        <v>56474</v>
      </c>
      <c r="U308" s="2">
        <v>0</v>
      </c>
      <c r="V308" s="2"/>
      <c r="W308" s="2">
        <v>403204</v>
      </c>
      <c r="X308" s="2">
        <v>330319</v>
      </c>
      <c r="Y308" s="2">
        <v>268163</v>
      </c>
      <c r="Z308" s="2">
        <v>0</v>
      </c>
      <c r="AA308" s="2">
        <v>0</v>
      </c>
      <c r="AB308" s="2"/>
      <c r="AC308" s="2">
        <v>7052</v>
      </c>
      <c r="AD308" s="2">
        <v>7052</v>
      </c>
      <c r="AE308" s="2">
        <v>7050</v>
      </c>
      <c r="AF308" s="2">
        <v>0</v>
      </c>
      <c r="AG308" s="2">
        <v>0</v>
      </c>
      <c r="AH308" s="2"/>
      <c r="AI308" s="2">
        <v>-83268</v>
      </c>
      <c r="AJ308" s="2">
        <v>-63868</v>
      </c>
      <c r="AK308" s="2">
        <v>-47776</v>
      </c>
      <c r="AL308" s="2">
        <v>-47777</v>
      </c>
      <c r="AM308" s="2">
        <v>-63868</v>
      </c>
    </row>
    <row r="309" spans="1:39">
      <c r="A309" s="349">
        <v>92941</v>
      </c>
      <c r="B309" s="342" t="s">
        <v>81</v>
      </c>
      <c r="C309" s="234" t="e">
        <f>VLOOKUP(A309,#REF!,10,FALSE)</f>
        <v>#REF!</v>
      </c>
      <c r="E309" s="2">
        <v>1409</v>
      </c>
      <c r="F309" s="2">
        <v>-233</v>
      </c>
      <c r="G309" s="2">
        <v>689</v>
      </c>
      <c r="H309" s="2">
        <v>585</v>
      </c>
      <c r="I309" s="2">
        <v>0</v>
      </c>
      <c r="J309" s="2"/>
      <c r="K309" s="2">
        <v>629</v>
      </c>
      <c r="L309" s="2">
        <v>592</v>
      </c>
      <c r="M309" s="2">
        <v>530</v>
      </c>
      <c r="N309" s="2">
        <v>212</v>
      </c>
      <c r="O309" s="2">
        <v>0</v>
      </c>
      <c r="P309" s="2"/>
      <c r="Q309" s="2">
        <v>668</v>
      </c>
      <c r="R309" s="2">
        <v>-575</v>
      </c>
      <c r="S309" s="2">
        <v>81</v>
      </c>
      <c r="T309" s="2">
        <v>105</v>
      </c>
      <c r="U309" s="2">
        <v>0</v>
      </c>
      <c r="V309" s="2"/>
      <c r="W309" s="2">
        <v>752</v>
      </c>
      <c r="X309" s="2">
        <v>616</v>
      </c>
      <c r="Y309" s="2">
        <v>500</v>
      </c>
      <c r="Z309" s="2">
        <v>0</v>
      </c>
      <c r="AA309" s="2">
        <v>0</v>
      </c>
      <c r="AB309" s="2"/>
      <c r="AC309" s="2">
        <v>493</v>
      </c>
      <c r="AD309" s="2">
        <v>269</v>
      </c>
      <c r="AE309" s="2">
        <v>269</v>
      </c>
      <c r="AF309" s="2">
        <v>268</v>
      </c>
      <c r="AG309" s="2">
        <v>0</v>
      </c>
      <c r="AH309" s="2"/>
      <c r="AI309" s="2">
        <v>-1133</v>
      </c>
      <c r="AJ309" s="2">
        <v>-1135</v>
      </c>
      <c r="AK309" s="2">
        <v>-691</v>
      </c>
      <c r="AL309" s="2">
        <v>0</v>
      </c>
      <c r="AM309" s="2">
        <v>-1135</v>
      </c>
    </row>
    <row r="310" spans="1:39">
      <c r="A310" s="349">
        <v>93001</v>
      </c>
      <c r="B310" s="342" t="s">
        <v>997</v>
      </c>
      <c r="C310" s="234" t="e">
        <f>VLOOKUP(A310,#REF!,10,FALSE)</f>
        <v>#REF!</v>
      </c>
      <c r="E310" s="2">
        <v>1068457</v>
      </c>
      <c r="F310" s="2">
        <v>314558</v>
      </c>
      <c r="G310" s="2">
        <v>587586</v>
      </c>
      <c r="H310" s="2">
        <v>158789</v>
      </c>
      <c r="I310" s="2">
        <v>0</v>
      </c>
      <c r="J310" s="2"/>
      <c r="K310" s="2">
        <v>337605</v>
      </c>
      <c r="L310" s="2">
        <v>317577</v>
      </c>
      <c r="M310" s="2">
        <v>284641</v>
      </c>
      <c r="N310" s="2">
        <v>113967</v>
      </c>
      <c r="O310" s="2">
        <v>0</v>
      </c>
      <c r="P310" s="2"/>
      <c r="Q310" s="2">
        <v>358415</v>
      </c>
      <c r="R310" s="2">
        <v>-308304</v>
      </c>
      <c r="S310" s="2">
        <v>43452</v>
      </c>
      <c r="T310" s="2">
        <v>56552</v>
      </c>
      <c r="U310" s="2">
        <v>0</v>
      </c>
      <c r="V310" s="2"/>
      <c r="W310" s="2">
        <v>403759</v>
      </c>
      <c r="X310" s="2">
        <v>330774</v>
      </c>
      <c r="Y310" s="2">
        <v>268532</v>
      </c>
      <c r="Z310" s="2">
        <v>0</v>
      </c>
      <c r="AA310" s="2">
        <v>0</v>
      </c>
      <c r="AB310" s="2"/>
      <c r="AC310" s="2">
        <v>2689</v>
      </c>
      <c r="AD310" s="2">
        <v>2689</v>
      </c>
      <c r="AE310" s="2">
        <v>2690</v>
      </c>
      <c r="AF310" s="2">
        <v>0</v>
      </c>
      <c r="AG310" s="2">
        <v>0</v>
      </c>
      <c r="AH310" s="2"/>
      <c r="AI310" s="2">
        <v>-34011</v>
      </c>
      <c r="AJ310" s="2">
        <v>-28178</v>
      </c>
      <c r="AK310" s="2">
        <v>-11729</v>
      </c>
      <c r="AL310" s="2">
        <v>-11730</v>
      </c>
      <c r="AM310" s="2">
        <v>-28178</v>
      </c>
    </row>
    <row r="311" spans="1:39">
      <c r="A311" s="349">
        <v>93009</v>
      </c>
      <c r="B311" s="342" t="s">
        <v>3664</v>
      </c>
      <c r="C311" s="234" t="e">
        <f>VLOOKUP(A311,#REF!,10,FALSE)</f>
        <v>#REF!</v>
      </c>
      <c r="E311" s="2">
        <v>4642</v>
      </c>
      <c r="F311" s="2">
        <v>711</v>
      </c>
      <c r="G311" s="2">
        <v>2562</v>
      </c>
      <c r="H311" s="2">
        <v>500</v>
      </c>
      <c r="I311" s="2">
        <v>0</v>
      </c>
      <c r="J311" s="2"/>
      <c r="K311" s="2">
        <v>1918</v>
      </c>
      <c r="L311" s="2">
        <v>1804</v>
      </c>
      <c r="M311" s="2">
        <v>1617</v>
      </c>
      <c r="N311" s="2">
        <v>647</v>
      </c>
      <c r="O311" s="2">
        <v>0</v>
      </c>
      <c r="P311" s="2"/>
      <c r="Q311" s="2">
        <v>2036</v>
      </c>
      <c r="R311" s="2">
        <v>-1751</v>
      </c>
      <c r="S311" s="2">
        <v>247</v>
      </c>
      <c r="T311" s="2">
        <v>321</v>
      </c>
      <c r="U311" s="2">
        <v>0</v>
      </c>
      <c r="V311" s="2"/>
      <c r="W311" s="2">
        <v>2293</v>
      </c>
      <c r="X311" s="2">
        <v>1879</v>
      </c>
      <c r="Y311" s="2">
        <v>1525</v>
      </c>
      <c r="Z311" s="2">
        <v>0</v>
      </c>
      <c r="AA311" s="2">
        <v>0</v>
      </c>
      <c r="AB311" s="2"/>
      <c r="AC311" s="2">
        <v>0</v>
      </c>
      <c r="AD311" s="2">
        <v>0</v>
      </c>
      <c r="AE311" s="2">
        <v>0</v>
      </c>
      <c r="AF311" s="2">
        <v>0</v>
      </c>
      <c r="AG311" s="2">
        <v>0</v>
      </c>
      <c r="AH311" s="2"/>
      <c r="AI311" s="2">
        <v>-1605</v>
      </c>
      <c r="AJ311" s="2">
        <v>-1221</v>
      </c>
      <c r="AK311" s="2">
        <v>-827</v>
      </c>
      <c r="AL311" s="2">
        <v>-468</v>
      </c>
      <c r="AM311" s="2">
        <v>-1221</v>
      </c>
    </row>
    <row r="312" spans="1:39">
      <c r="A312" s="349">
        <v>93011</v>
      </c>
      <c r="B312" s="342" t="s">
        <v>999</v>
      </c>
      <c r="C312" s="234" t="e">
        <f>VLOOKUP(A312,#REF!,10,FALSE)</f>
        <v>#REF!</v>
      </c>
      <c r="E312" s="2">
        <v>166605</v>
      </c>
      <c r="F312" s="2">
        <v>63096</v>
      </c>
      <c r="G312" s="2">
        <v>101227</v>
      </c>
      <c r="H312" s="2">
        <v>30043</v>
      </c>
      <c r="I312" s="2">
        <v>0</v>
      </c>
      <c r="J312" s="2"/>
      <c r="K312" s="2">
        <v>46305</v>
      </c>
      <c r="L312" s="2">
        <v>43558</v>
      </c>
      <c r="M312" s="2">
        <v>39041</v>
      </c>
      <c r="N312" s="2">
        <v>15631</v>
      </c>
      <c r="O312" s="2">
        <v>0</v>
      </c>
      <c r="P312" s="2"/>
      <c r="Q312" s="2">
        <v>49160</v>
      </c>
      <c r="R312" s="2">
        <v>-42286</v>
      </c>
      <c r="S312" s="2">
        <v>5960</v>
      </c>
      <c r="T312" s="2">
        <v>7757</v>
      </c>
      <c r="U312" s="2">
        <v>0</v>
      </c>
      <c r="V312" s="2"/>
      <c r="W312" s="2">
        <v>55379</v>
      </c>
      <c r="X312" s="2">
        <v>45368</v>
      </c>
      <c r="Y312" s="2">
        <v>36831</v>
      </c>
      <c r="Z312" s="2">
        <v>0</v>
      </c>
      <c r="AA312" s="2">
        <v>0</v>
      </c>
      <c r="AB312" s="2"/>
      <c r="AC312" s="2">
        <v>19395</v>
      </c>
      <c r="AD312" s="2">
        <v>19395</v>
      </c>
      <c r="AE312" s="2">
        <v>19395</v>
      </c>
      <c r="AF312" s="2">
        <v>6655</v>
      </c>
      <c r="AG312" s="2">
        <v>0</v>
      </c>
      <c r="AH312" s="2"/>
      <c r="AI312" s="2">
        <v>-3634</v>
      </c>
      <c r="AJ312" s="2">
        <v>-2939</v>
      </c>
      <c r="AK312" s="2">
        <v>0</v>
      </c>
      <c r="AL312" s="2">
        <v>0</v>
      </c>
      <c r="AM312" s="2">
        <v>-2939</v>
      </c>
    </row>
    <row r="313" spans="1:39">
      <c r="A313" s="349">
        <v>93021</v>
      </c>
      <c r="B313" s="342" t="s">
        <v>1000</v>
      </c>
      <c r="C313" s="234" t="e">
        <f>VLOOKUP(A313,#REF!,10,FALSE)</f>
        <v>#REF!</v>
      </c>
      <c r="E313" s="2">
        <v>12273</v>
      </c>
      <c r="F313" s="2">
        <v>3487</v>
      </c>
      <c r="G313" s="2">
        <v>6610</v>
      </c>
      <c r="H313" s="2">
        <v>1462</v>
      </c>
      <c r="I313" s="2">
        <v>0</v>
      </c>
      <c r="J313" s="2"/>
      <c r="K313" s="2">
        <v>4569</v>
      </c>
      <c r="L313" s="2">
        <v>4298</v>
      </c>
      <c r="M313" s="2">
        <v>3852</v>
      </c>
      <c r="N313" s="2">
        <v>1542</v>
      </c>
      <c r="O313" s="2">
        <v>0</v>
      </c>
      <c r="P313" s="2"/>
      <c r="Q313" s="2">
        <v>4851</v>
      </c>
      <c r="R313" s="2">
        <v>-4173</v>
      </c>
      <c r="S313" s="2">
        <v>588</v>
      </c>
      <c r="T313" s="2">
        <v>765</v>
      </c>
      <c r="U313" s="2">
        <v>0</v>
      </c>
      <c r="V313" s="2"/>
      <c r="W313" s="2">
        <v>5464</v>
      </c>
      <c r="X313" s="2">
        <v>4477</v>
      </c>
      <c r="Y313" s="2">
        <v>3634</v>
      </c>
      <c r="Z313" s="2">
        <v>0</v>
      </c>
      <c r="AA313" s="2">
        <v>0</v>
      </c>
      <c r="AB313" s="2"/>
      <c r="AC313" s="2">
        <v>347</v>
      </c>
      <c r="AD313" s="2">
        <v>347</v>
      </c>
      <c r="AE313" s="2">
        <v>0</v>
      </c>
      <c r="AF313" s="2">
        <v>0</v>
      </c>
      <c r="AG313" s="2">
        <v>0</v>
      </c>
      <c r="AH313" s="2"/>
      <c r="AI313" s="2">
        <v>-2958</v>
      </c>
      <c r="AJ313" s="2">
        <v>-1462</v>
      </c>
      <c r="AK313" s="2">
        <v>-1464</v>
      </c>
      <c r="AL313" s="2">
        <v>-845</v>
      </c>
      <c r="AM313" s="2">
        <v>-1462</v>
      </c>
    </row>
    <row r="314" spans="1:39">
      <c r="A314" s="349">
        <v>93031</v>
      </c>
      <c r="B314" s="342" t="s">
        <v>1002</v>
      </c>
      <c r="C314" s="234" t="e">
        <f>VLOOKUP(A314,#REF!,10,FALSE)</f>
        <v>#REF!</v>
      </c>
      <c r="E314" s="2">
        <v>10853</v>
      </c>
      <c r="F314" s="2">
        <v>5353</v>
      </c>
      <c r="G314" s="2">
        <v>4261</v>
      </c>
      <c r="H314" s="2">
        <v>921</v>
      </c>
      <c r="I314" s="2">
        <v>0</v>
      </c>
      <c r="J314" s="2"/>
      <c r="K314" s="2">
        <v>1154</v>
      </c>
      <c r="L314" s="2">
        <v>1085</v>
      </c>
      <c r="M314" s="2">
        <v>973</v>
      </c>
      <c r="N314" s="2">
        <v>389</v>
      </c>
      <c r="O314" s="2">
        <v>0</v>
      </c>
      <c r="P314" s="2"/>
      <c r="Q314" s="2">
        <v>1225</v>
      </c>
      <c r="R314" s="2">
        <v>-1053</v>
      </c>
      <c r="S314" s="2">
        <v>148</v>
      </c>
      <c r="T314" s="2">
        <v>193</v>
      </c>
      <c r="U314" s="2">
        <v>0</v>
      </c>
      <c r="V314" s="2"/>
      <c r="W314" s="2">
        <v>1380</v>
      </c>
      <c r="X314" s="2">
        <v>1130</v>
      </c>
      <c r="Y314" s="2">
        <v>918</v>
      </c>
      <c r="Z314" s="2">
        <v>0</v>
      </c>
      <c r="AA314" s="2">
        <v>0</v>
      </c>
      <c r="AB314" s="2"/>
      <c r="AC314" s="2">
        <v>7094</v>
      </c>
      <c r="AD314" s="2">
        <v>4191</v>
      </c>
      <c r="AE314" s="2">
        <v>2222</v>
      </c>
      <c r="AF314" s="2">
        <v>339</v>
      </c>
      <c r="AG314" s="2">
        <v>0</v>
      </c>
      <c r="AH314" s="2"/>
      <c r="AI314" s="2">
        <v>0</v>
      </c>
      <c r="AJ314" s="2">
        <v>0</v>
      </c>
      <c r="AK314" s="2">
        <v>0</v>
      </c>
      <c r="AL314" s="2">
        <v>0</v>
      </c>
      <c r="AM314" s="2">
        <v>0</v>
      </c>
    </row>
    <row r="315" spans="1:39">
      <c r="A315" s="349">
        <v>93101</v>
      </c>
      <c r="B315" s="342" t="s">
        <v>1003</v>
      </c>
      <c r="C315" s="234" t="e">
        <f>VLOOKUP(A315,#REF!,10,FALSE)</f>
        <v>#REF!</v>
      </c>
      <c r="E315" s="2">
        <v>1457211</v>
      </c>
      <c r="F315" s="2">
        <v>371997</v>
      </c>
      <c r="G315" s="2">
        <v>764189</v>
      </c>
      <c r="H315" s="2">
        <v>215660</v>
      </c>
      <c r="I315" s="2">
        <v>0</v>
      </c>
      <c r="J315" s="2"/>
      <c r="K315" s="2">
        <v>478109</v>
      </c>
      <c r="L315" s="2">
        <v>449746</v>
      </c>
      <c r="M315" s="2">
        <v>403102</v>
      </c>
      <c r="N315" s="2">
        <v>161397</v>
      </c>
      <c r="O315" s="2">
        <v>0</v>
      </c>
      <c r="P315" s="2"/>
      <c r="Q315" s="2">
        <v>507579</v>
      </c>
      <c r="R315" s="2">
        <v>-436613</v>
      </c>
      <c r="S315" s="2">
        <v>61535</v>
      </c>
      <c r="T315" s="2">
        <v>80088</v>
      </c>
      <c r="U315" s="2">
        <v>0</v>
      </c>
      <c r="V315" s="2"/>
      <c r="W315" s="2">
        <v>571796</v>
      </c>
      <c r="X315" s="2">
        <v>468436</v>
      </c>
      <c r="Y315" s="2">
        <v>380290</v>
      </c>
      <c r="Z315" s="2">
        <v>0</v>
      </c>
      <c r="AA315" s="2">
        <v>0</v>
      </c>
      <c r="AB315" s="2"/>
      <c r="AC315" s="2">
        <v>9298</v>
      </c>
      <c r="AD315" s="2">
        <v>0</v>
      </c>
      <c r="AE315" s="2">
        <v>0</v>
      </c>
      <c r="AF315" s="2">
        <v>0</v>
      </c>
      <c r="AG315" s="2">
        <v>0</v>
      </c>
      <c r="AH315" s="2"/>
      <c r="AI315" s="2">
        <v>-109571</v>
      </c>
      <c r="AJ315" s="2">
        <v>-109572</v>
      </c>
      <c r="AK315" s="2">
        <v>-80738</v>
      </c>
      <c r="AL315" s="2">
        <v>-25825</v>
      </c>
      <c r="AM315" s="2">
        <v>-109572</v>
      </c>
    </row>
    <row r="316" spans="1:39">
      <c r="A316" s="349">
        <v>93103</v>
      </c>
      <c r="B316" s="342" t="s">
        <v>260</v>
      </c>
      <c r="C316" s="234" t="e">
        <f>VLOOKUP(A316,#REF!,10,FALSE)</f>
        <v>#REF!</v>
      </c>
      <c r="E316" s="2">
        <v>7772</v>
      </c>
      <c r="F316" s="2">
        <v>774</v>
      </c>
      <c r="G316" s="2">
        <v>3000</v>
      </c>
      <c r="H316" s="2">
        <v>553</v>
      </c>
      <c r="I316" s="2">
        <v>0</v>
      </c>
      <c r="J316" s="2"/>
      <c r="K316" s="2">
        <v>2337</v>
      </c>
      <c r="L316" s="2">
        <v>2198</v>
      </c>
      <c r="M316" s="2">
        <v>1970</v>
      </c>
      <c r="N316" s="2">
        <v>789</v>
      </c>
      <c r="O316" s="2">
        <v>0</v>
      </c>
      <c r="P316" s="2"/>
      <c r="Q316" s="2">
        <v>2481</v>
      </c>
      <c r="R316" s="2">
        <v>-2134</v>
      </c>
      <c r="S316" s="2">
        <v>301</v>
      </c>
      <c r="T316" s="2">
        <v>391</v>
      </c>
      <c r="U316" s="2">
        <v>0</v>
      </c>
      <c r="V316" s="2"/>
      <c r="W316" s="2">
        <v>2795</v>
      </c>
      <c r="X316" s="2">
        <v>2290</v>
      </c>
      <c r="Y316" s="2">
        <v>1859</v>
      </c>
      <c r="Z316" s="2">
        <v>0</v>
      </c>
      <c r="AA316" s="2">
        <v>0</v>
      </c>
      <c r="AB316" s="2"/>
      <c r="AC316" s="2">
        <v>1741</v>
      </c>
      <c r="AD316" s="2">
        <v>0</v>
      </c>
      <c r="AE316" s="2">
        <v>0</v>
      </c>
      <c r="AF316" s="2">
        <v>0</v>
      </c>
      <c r="AG316" s="2">
        <v>0</v>
      </c>
      <c r="AH316" s="2"/>
      <c r="AI316" s="2">
        <v>-1582</v>
      </c>
      <c r="AJ316" s="2">
        <v>-1580</v>
      </c>
      <c r="AK316" s="2">
        <v>-1130</v>
      </c>
      <c r="AL316" s="2">
        <v>-627</v>
      </c>
      <c r="AM316" s="2">
        <v>-1580</v>
      </c>
    </row>
    <row r="317" spans="1:39">
      <c r="A317" s="349">
        <v>93108</v>
      </c>
      <c r="B317" s="342" t="s">
        <v>1004</v>
      </c>
      <c r="C317" s="234" t="e">
        <f>VLOOKUP(A317,#REF!,10,FALSE)</f>
        <v>#REF!</v>
      </c>
      <c r="E317" s="2">
        <v>1059459</v>
      </c>
      <c r="F317" s="2">
        <v>279939</v>
      </c>
      <c r="G317" s="2">
        <v>528798</v>
      </c>
      <c r="H317" s="2">
        <v>145112</v>
      </c>
      <c r="I317" s="2">
        <v>0</v>
      </c>
      <c r="J317" s="2"/>
      <c r="K317" s="2">
        <v>339972</v>
      </c>
      <c r="L317" s="2">
        <v>319804</v>
      </c>
      <c r="M317" s="2">
        <v>286637</v>
      </c>
      <c r="N317" s="2">
        <v>114766</v>
      </c>
      <c r="O317" s="2">
        <v>0</v>
      </c>
      <c r="P317" s="2"/>
      <c r="Q317" s="2">
        <v>360928</v>
      </c>
      <c r="R317" s="2">
        <v>-310465</v>
      </c>
      <c r="S317" s="2">
        <v>43756</v>
      </c>
      <c r="T317" s="2">
        <v>56948</v>
      </c>
      <c r="U317" s="2">
        <v>0</v>
      </c>
      <c r="V317" s="2"/>
      <c r="W317" s="2">
        <v>406590</v>
      </c>
      <c r="X317" s="2">
        <v>333093</v>
      </c>
      <c r="Y317" s="2">
        <v>270415</v>
      </c>
      <c r="Z317" s="2">
        <v>0</v>
      </c>
      <c r="AA317" s="2">
        <v>0</v>
      </c>
      <c r="AB317" s="2"/>
      <c r="AC317" s="2">
        <v>23980</v>
      </c>
      <c r="AD317" s="2">
        <v>9518</v>
      </c>
      <c r="AE317" s="2">
        <v>0</v>
      </c>
      <c r="AF317" s="2">
        <v>0</v>
      </c>
      <c r="AG317" s="2">
        <v>0</v>
      </c>
      <c r="AH317" s="2"/>
      <c r="AI317" s="2">
        <v>-72011</v>
      </c>
      <c r="AJ317" s="2">
        <v>-72011</v>
      </c>
      <c r="AK317" s="2">
        <v>-72010</v>
      </c>
      <c r="AL317" s="2">
        <v>-26602</v>
      </c>
      <c r="AM317" s="2">
        <v>-72011</v>
      </c>
    </row>
    <row r="318" spans="1:39">
      <c r="A318" s="349">
        <v>93111</v>
      </c>
      <c r="B318" s="342" t="s">
        <v>1005</v>
      </c>
      <c r="C318" s="234" t="e">
        <f>VLOOKUP(A318,#REF!,10,FALSE)</f>
        <v>#REF!</v>
      </c>
      <c r="E318" s="2">
        <v>24461</v>
      </c>
      <c r="F318" s="2">
        <v>5975</v>
      </c>
      <c r="G318" s="2">
        <v>14607</v>
      </c>
      <c r="H318" s="2">
        <v>3450</v>
      </c>
      <c r="I318" s="2">
        <v>0</v>
      </c>
      <c r="J318" s="2"/>
      <c r="K318" s="2">
        <v>8719</v>
      </c>
      <c r="L318" s="2">
        <v>8202</v>
      </c>
      <c r="M318" s="2">
        <v>7351</v>
      </c>
      <c r="N318" s="2">
        <v>2943</v>
      </c>
      <c r="O318" s="2">
        <v>0</v>
      </c>
      <c r="P318" s="2"/>
      <c r="Q318" s="2">
        <v>9256</v>
      </c>
      <c r="R318" s="2">
        <v>-7962</v>
      </c>
      <c r="S318" s="2">
        <v>1122</v>
      </c>
      <c r="T318" s="2">
        <v>1460</v>
      </c>
      <c r="U318" s="2">
        <v>0</v>
      </c>
      <c r="V318" s="2"/>
      <c r="W318" s="2">
        <v>10427</v>
      </c>
      <c r="X318" s="2">
        <v>8542</v>
      </c>
      <c r="Y318" s="2">
        <v>6935</v>
      </c>
      <c r="Z318" s="2">
        <v>0</v>
      </c>
      <c r="AA318" s="2">
        <v>0</v>
      </c>
      <c r="AB318" s="2"/>
      <c r="AC318" s="2">
        <v>152</v>
      </c>
      <c r="AD318" s="2">
        <v>152</v>
      </c>
      <c r="AE318" s="2">
        <v>153</v>
      </c>
      <c r="AF318" s="2">
        <v>0</v>
      </c>
      <c r="AG318" s="2">
        <v>0</v>
      </c>
      <c r="AH318" s="2"/>
      <c r="AI318" s="2">
        <v>-4093</v>
      </c>
      <c r="AJ318" s="2">
        <v>-2959</v>
      </c>
      <c r="AK318" s="2">
        <v>-954</v>
      </c>
      <c r="AL318" s="2">
        <v>-953</v>
      </c>
      <c r="AM318" s="2">
        <v>-2959</v>
      </c>
    </row>
    <row r="319" spans="1:39">
      <c r="A319" s="349">
        <v>93121</v>
      </c>
      <c r="B319" s="342" t="s">
        <v>1006</v>
      </c>
      <c r="C319" s="234" t="e">
        <f>VLOOKUP(A319,#REF!,10,FALSE)</f>
        <v>#REF!</v>
      </c>
      <c r="E319" s="2">
        <v>30138</v>
      </c>
      <c r="F319" s="2">
        <v>11472</v>
      </c>
      <c r="G319" s="2">
        <v>18044</v>
      </c>
      <c r="H319" s="2">
        <v>6902</v>
      </c>
      <c r="I319" s="2">
        <v>0</v>
      </c>
      <c r="J319" s="2"/>
      <c r="K319" s="2">
        <v>9318</v>
      </c>
      <c r="L319" s="2">
        <v>8765</v>
      </c>
      <c r="M319" s="2">
        <v>7856</v>
      </c>
      <c r="N319" s="2">
        <v>3146</v>
      </c>
      <c r="O319" s="2">
        <v>0</v>
      </c>
      <c r="P319" s="2"/>
      <c r="Q319" s="2">
        <v>9892</v>
      </c>
      <c r="R319" s="2">
        <v>-8509</v>
      </c>
      <c r="S319" s="2">
        <v>1199</v>
      </c>
      <c r="T319" s="2">
        <v>1561</v>
      </c>
      <c r="U319" s="2">
        <v>0</v>
      </c>
      <c r="V319" s="2"/>
      <c r="W319" s="2">
        <v>11144</v>
      </c>
      <c r="X319" s="2">
        <v>9129</v>
      </c>
      <c r="Y319" s="2">
        <v>7412</v>
      </c>
      <c r="Z319" s="2">
        <v>0</v>
      </c>
      <c r="AA319" s="2">
        <v>0</v>
      </c>
      <c r="AB319" s="2"/>
      <c r="AC319" s="2">
        <v>2707</v>
      </c>
      <c r="AD319" s="2">
        <v>2706</v>
      </c>
      <c r="AE319" s="2">
        <v>2196</v>
      </c>
      <c r="AF319" s="2">
        <v>2195</v>
      </c>
      <c r="AG319" s="2">
        <v>0</v>
      </c>
      <c r="AH319" s="2"/>
      <c r="AI319" s="2">
        <v>-2923</v>
      </c>
      <c r="AJ319" s="2">
        <v>-619</v>
      </c>
      <c r="AK319" s="2">
        <v>-619</v>
      </c>
      <c r="AL319" s="2">
        <v>0</v>
      </c>
      <c r="AM319" s="2">
        <v>-619</v>
      </c>
    </row>
    <row r="320" spans="1:39">
      <c r="A320" s="349">
        <v>93127</v>
      </c>
      <c r="B320" s="342" t="s">
        <v>1007</v>
      </c>
      <c r="C320" s="234" t="e">
        <f>VLOOKUP(A320,#REF!,10,FALSE)</f>
        <v>#REF!</v>
      </c>
      <c r="E320" s="2">
        <v>2555</v>
      </c>
      <c r="F320" s="2">
        <v>682</v>
      </c>
      <c r="G320" s="2">
        <v>1321</v>
      </c>
      <c r="H320" s="2">
        <v>244</v>
      </c>
      <c r="I320" s="2">
        <v>0</v>
      </c>
      <c r="J320" s="2"/>
      <c r="K320" s="2">
        <v>884</v>
      </c>
      <c r="L320" s="2">
        <v>831</v>
      </c>
      <c r="M320" s="2">
        <v>745</v>
      </c>
      <c r="N320" s="2">
        <v>298</v>
      </c>
      <c r="O320" s="2">
        <v>0</v>
      </c>
      <c r="P320" s="2"/>
      <c r="Q320" s="2">
        <v>938</v>
      </c>
      <c r="R320" s="2">
        <v>-807</v>
      </c>
      <c r="S320" s="2">
        <v>114</v>
      </c>
      <c r="T320" s="2">
        <v>148</v>
      </c>
      <c r="U320" s="2">
        <v>0</v>
      </c>
      <c r="V320" s="2"/>
      <c r="W320" s="2">
        <v>1057</v>
      </c>
      <c r="X320" s="2">
        <v>866</v>
      </c>
      <c r="Y320" s="2">
        <v>703</v>
      </c>
      <c r="Z320" s="2">
        <v>0</v>
      </c>
      <c r="AA320" s="2">
        <v>0</v>
      </c>
      <c r="AB320" s="2"/>
      <c r="AC320" s="2">
        <v>31</v>
      </c>
      <c r="AD320" s="2">
        <v>31</v>
      </c>
      <c r="AE320" s="2">
        <v>0</v>
      </c>
      <c r="AF320" s="2">
        <v>0</v>
      </c>
      <c r="AG320" s="2">
        <v>0</v>
      </c>
      <c r="AH320" s="2"/>
      <c r="AI320" s="2">
        <v>-355</v>
      </c>
      <c r="AJ320" s="2">
        <v>-239</v>
      </c>
      <c r="AK320" s="2">
        <v>-241</v>
      </c>
      <c r="AL320" s="2">
        <v>-202</v>
      </c>
      <c r="AM320" s="2">
        <v>-239</v>
      </c>
    </row>
    <row r="321" spans="1:39">
      <c r="A321" s="349">
        <v>93131</v>
      </c>
      <c r="B321" s="342" t="s">
        <v>1008</v>
      </c>
      <c r="C321" s="234" t="e">
        <f>VLOOKUP(A321,#REF!,10,FALSE)</f>
        <v>#REF!</v>
      </c>
      <c r="E321" s="2">
        <v>72654</v>
      </c>
      <c r="F321" s="2">
        <v>14067</v>
      </c>
      <c r="G321" s="2">
        <v>38626</v>
      </c>
      <c r="H321" s="2">
        <v>9575</v>
      </c>
      <c r="I321" s="2">
        <v>0</v>
      </c>
      <c r="J321" s="2"/>
      <c r="K321" s="2">
        <v>26666</v>
      </c>
      <c r="L321" s="2">
        <v>25084</v>
      </c>
      <c r="M321" s="2">
        <v>22482</v>
      </c>
      <c r="N321" s="2">
        <v>9002</v>
      </c>
      <c r="O321" s="2">
        <v>0</v>
      </c>
      <c r="P321" s="2"/>
      <c r="Q321" s="2">
        <v>28309</v>
      </c>
      <c r="R321" s="2">
        <v>-24351</v>
      </c>
      <c r="S321" s="2">
        <v>3432</v>
      </c>
      <c r="T321" s="2">
        <v>4467</v>
      </c>
      <c r="U321" s="2">
        <v>0</v>
      </c>
      <c r="V321" s="2"/>
      <c r="W321" s="2">
        <v>31891</v>
      </c>
      <c r="X321" s="2">
        <v>26126</v>
      </c>
      <c r="Y321" s="2">
        <v>21210</v>
      </c>
      <c r="Z321" s="2">
        <v>0</v>
      </c>
      <c r="AA321" s="2">
        <v>0</v>
      </c>
      <c r="AB321" s="2"/>
      <c r="AC321" s="2">
        <v>0</v>
      </c>
      <c r="AD321" s="2">
        <v>0</v>
      </c>
      <c r="AE321" s="2">
        <v>0</v>
      </c>
      <c r="AF321" s="2">
        <v>0</v>
      </c>
      <c r="AG321" s="2">
        <v>0</v>
      </c>
      <c r="AH321" s="2"/>
      <c r="AI321" s="2">
        <v>-14212</v>
      </c>
      <c r="AJ321" s="2">
        <v>-12792</v>
      </c>
      <c r="AK321" s="2">
        <v>-8498</v>
      </c>
      <c r="AL321" s="2">
        <v>-3894</v>
      </c>
      <c r="AM321" s="2">
        <v>-12792</v>
      </c>
    </row>
    <row r="322" spans="1:39">
      <c r="A322" s="349">
        <v>93137</v>
      </c>
      <c r="B322" s="342" t="s">
        <v>1009</v>
      </c>
      <c r="C322" s="234" t="e">
        <f>VLOOKUP(A322,#REF!,10,FALSE)</f>
        <v>#REF!</v>
      </c>
      <c r="E322" s="2">
        <v>3495</v>
      </c>
      <c r="F322" s="2">
        <v>1685</v>
      </c>
      <c r="G322" s="2">
        <v>1796</v>
      </c>
      <c r="H322" s="2">
        <v>498</v>
      </c>
      <c r="I322" s="2">
        <v>0</v>
      </c>
      <c r="J322" s="2"/>
      <c r="K322" s="2">
        <v>719</v>
      </c>
      <c r="L322" s="2">
        <v>676</v>
      </c>
      <c r="M322" s="2">
        <v>606</v>
      </c>
      <c r="N322" s="2">
        <v>243</v>
      </c>
      <c r="O322" s="2">
        <v>0</v>
      </c>
      <c r="P322" s="2"/>
      <c r="Q322" s="2">
        <v>763</v>
      </c>
      <c r="R322" s="2">
        <v>-657</v>
      </c>
      <c r="S322" s="2">
        <v>93</v>
      </c>
      <c r="T322" s="2">
        <v>120</v>
      </c>
      <c r="U322" s="2">
        <v>0</v>
      </c>
      <c r="V322" s="2"/>
      <c r="W322" s="2">
        <v>860</v>
      </c>
      <c r="X322" s="2">
        <v>705</v>
      </c>
      <c r="Y322" s="2">
        <v>572</v>
      </c>
      <c r="Z322" s="2">
        <v>0</v>
      </c>
      <c r="AA322" s="2">
        <v>0</v>
      </c>
      <c r="AB322" s="2"/>
      <c r="AC322" s="2">
        <v>1153</v>
      </c>
      <c r="AD322" s="2">
        <v>961</v>
      </c>
      <c r="AE322" s="2">
        <v>525</v>
      </c>
      <c r="AF322" s="2">
        <v>135</v>
      </c>
      <c r="AG322" s="2">
        <v>0</v>
      </c>
      <c r="AH322" s="2"/>
      <c r="AI322" s="2">
        <v>0</v>
      </c>
      <c r="AJ322" s="2">
        <v>0</v>
      </c>
      <c r="AK322" s="2">
        <v>0</v>
      </c>
      <c r="AL322" s="2">
        <v>0</v>
      </c>
      <c r="AM322" s="2">
        <v>0</v>
      </c>
    </row>
    <row r="323" spans="1:39">
      <c r="A323" s="349">
        <v>93141</v>
      </c>
      <c r="B323" s="342" t="s">
        <v>1010</v>
      </c>
      <c r="C323" s="234" t="e">
        <f>VLOOKUP(A323,#REF!,10,FALSE)</f>
        <v>#REF!</v>
      </c>
      <c r="E323" s="2">
        <v>13277</v>
      </c>
      <c r="F323" s="2">
        <v>2456</v>
      </c>
      <c r="G323" s="2">
        <v>7430</v>
      </c>
      <c r="H323" s="2">
        <v>2800</v>
      </c>
      <c r="I323" s="2">
        <v>0</v>
      </c>
      <c r="J323" s="2"/>
      <c r="K323" s="2">
        <v>4869</v>
      </c>
      <c r="L323" s="2">
        <v>4580</v>
      </c>
      <c r="M323" s="2">
        <v>4105</v>
      </c>
      <c r="N323" s="2">
        <v>1644</v>
      </c>
      <c r="O323" s="2">
        <v>0</v>
      </c>
      <c r="P323" s="2"/>
      <c r="Q323" s="2">
        <v>5169</v>
      </c>
      <c r="R323" s="2">
        <v>-4446</v>
      </c>
      <c r="S323" s="2">
        <v>627</v>
      </c>
      <c r="T323" s="2">
        <v>816</v>
      </c>
      <c r="U323" s="2">
        <v>0</v>
      </c>
      <c r="V323" s="2"/>
      <c r="W323" s="2">
        <v>5823</v>
      </c>
      <c r="X323" s="2">
        <v>4770</v>
      </c>
      <c r="Y323" s="2">
        <v>3873</v>
      </c>
      <c r="Z323" s="2">
        <v>0</v>
      </c>
      <c r="AA323" s="2">
        <v>0</v>
      </c>
      <c r="AB323" s="2"/>
      <c r="AC323" s="2">
        <v>342</v>
      </c>
      <c r="AD323" s="2">
        <v>342</v>
      </c>
      <c r="AE323" s="2">
        <v>342</v>
      </c>
      <c r="AF323" s="2">
        <v>340</v>
      </c>
      <c r="AG323" s="2">
        <v>0</v>
      </c>
      <c r="AH323" s="2"/>
      <c r="AI323" s="2">
        <v>-2926</v>
      </c>
      <c r="AJ323" s="2">
        <v>-2790</v>
      </c>
      <c r="AK323" s="2">
        <v>-1517</v>
      </c>
      <c r="AL323" s="2">
        <v>0</v>
      </c>
      <c r="AM323" s="2">
        <v>-2790</v>
      </c>
    </row>
    <row r="324" spans="1:39">
      <c r="A324" s="349">
        <v>93151</v>
      </c>
      <c r="B324" s="342" t="s">
        <v>1011</v>
      </c>
      <c r="C324" s="234" t="e">
        <f>VLOOKUP(A324,#REF!,10,FALSE)</f>
        <v>#REF!</v>
      </c>
      <c r="E324" s="2">
        <v>177934</v>
      </c>
      <c r="F324" s="2">
        <v>53551</v>
      </c>
      <c r="G324" s="2">
        <v>99816</v>
      </c>
      <c r="H324" s="2">
        <v>32579</v>
      </c>
      <c r="I324" s="2">
        <v>0</v>
      </c>
      <c r="J324" s="2"/>
      <c r="K324" s="2">
        <v>55578</v>
      </c>
      <c r="L324" s="2">
        <v>52281</v>
      </c>
      <c r="M324" s="2">
        <v>46859</v>
      </c>
      <c r="N324" s="2">
        <v>18762</v>
      </c>
      <c r="O324" s="2">
        <v>0</v>
      </c>
      <c r="P324" s="2"/>
      <c r="Q324" s="2">
        <v>59004</v>
      </c>
      <c r="R324" s="2">
        <v>-50755</v>
      </c>
      <c r="S324" s="2">
        <v>7153</v>
      </c>
      <c r="T324" s="2">
        <v>9310</v>
      </c>
      <c r="U324" s="2">
        <v>0</v>
      </c>
      <c r="V324" s="2"/>
      <c r="W324" s="2">
        <v>66469</v>
      </c>
      <c r="X324" s="2">
        <v>54454</v>
      </c>
      <c r="Y324" s="2">
        <v>44207</v>
      </c>
      <c r="Z324" s="2">
        <v>0</v>
      </c>
      <c r="AA324" s="2">
        <v>0</v>
      </c>
      <c r="AB324" s="2"/>
      <c r="AC324" s="2">
        <v>4505</v>
      </c>
      <c r="AD324" s="2">
        <v>4505</v>
      </c>
      <c r="AE324" s="2">
        <v>4505</v>
      </c>
      <c r="AF324" s="2">
        <v>4507</v>
      </c>
      <c r="AG324" s="2">
        <v>0</v>
      </c>
      <c r="AH324" s="2"/>
      <c r="AI324" s="2">
        <v>-7622</v>
      </c>
      <c r="AJ324" s="2">
        <v>-6934</v>
      </c>
      <c r="AK324" s="2">
        <v>-2908</v>
      </c>
      <c r="AL324" s="2">
        <v>0</v>
      </c>
      <c r="AM324" s="2">
        <v>-6934</v>
      </c>
    </row>
    <row r="325" spans="1:39">
      <c r="A325" s="349">
        <v>93157</v>
      </c>
      <c r="B325" s="342" t="s">
        <v>3665</v>
      </c>
      <c r="C325" s="234" t="e">
        <f>VLOOKUP(A325,#REF!,10,FALSE)</f>
        <v>#REF!</v>
      </c>
      <c r="E325" s="2">
        <v>7840</v>
      </c>
      <c r="F325" s="2">
        <v>4512</v>
      </c>
      <c r="G325" s="2">
        <v>4568</v>
      </c>
      <c r="H325" s="2">
        <v>2071</v>
      </c>
      <c r="I325" s="2">
        <v>0</v>
      </c>
      <c r="J325" s="2"/>
      <c r="K325" s="2">
        <v>1183</v>
      </c>
      <c r="L325" s="2">
        <v>1113</v>
      </c>
      <c r="M325" s="2">
        <v>998</v>
      </c>
      <c r="N325" s="2">
        <v>400</v>
      </c>
      <c r="O325" s="2">
        <v>0</v>
      </c>
      <c r="P325" s="2"/>
      <c r="Q325" s="2">
        <v>1256</v>
      </c>
      <c r="R325" s="2">
        <v>-1081</v>
      </c>
      <c r="S325" s="2">
        <v>152</v>
      </c>
      <c r="T325" s="2">
        <v>198</v>
      </c>
      <c r="U325" s="2">
        <v>0</v>
      </c>
      <c r="V325" s="2"/>
      <c r="W325" s="2">
        <v>1415</v>
      </c>
      <c r="X325" s="2">
        <v>1160</v>
      </c>
      <c r="Y325" s="2">
        <v>941</v>
      </c>
      <c r="Z325" s="2">
        <v>0</v>
      </c>
      <c r="AA325" s="2">
        <v>0</v>
      </c>
      <c r="AB325" s="2"/>
      <c r="AC325" s="2">
        <v>3986</v>
      </c>
      <c r="AD325" s="2">
        <v>3320</v>
      </c>
      <c r="AE325" s="2">
        <v>2477</v>
      </c>
      <c r="AF325" s="2">
        <v>1473</v>
      </c>
      <c r="AG325" s="2">
        <v>0</v>
      </c>
      <c r="AH325" s="2"/>
      <c r="AI325" s="2">
        <v>0</v>
      </c>
      <c r="AJ325" s="2">
        <v>0</v>
      </c>
      <c r="AK325" s="2">
        <v>0</v>
      </c>
      <c r="AL325" s="2">
        <v>0</v>
      </c>
      <c r="AM325" s="2">
        <v>0</v>
      </c>
    </row>
    <row r="326" spans="1:39">
      <c r="A326" s="349">
        <v>93161</v>
      </c>
      <c r="B326" s="342" t="s">
        <v>1013</v>
      </c>
      <c r="C326" s="234" t="e">
        <f>VLOOKUP(A326,#REF!,10,FALSE)</f>
        <v>#REF!</v>
      </c>
      <c r="E326" s="2">
        <v>68879</v>
      </c>
      <c r="F326" s="2">
        <v>27107</v>
      </c>
      <c r="G326" s="2">
        <v>33992</v>
      </c>
      <c r="H326" s="2">
        <v>10226</v>
      </c>
      <c r="I326" s="2">
        <v>0</v>
      </c>
      <c r="J326" s="2"/>
      <c r="K326" s="2">
        <v>18246</v>
      </c>
      <c r="L326" s="2">
        <v>17164</v>
      </c>
      <c r="M326" s="2">
        <v>15384</v>
      </c>
      <c r="N326" s="2">
        <v>6160</v>
      </c>
      <c r="O326" s="2">
        <v>0</v>
      </c>
      <c r="P326" s="2"/>
      <c r="Q326" s="2">
        <v>19371</v>
      </c>
      <c r="R326" s="2">
        <v>-16663</v>
      </c>
      <c r="S326" s="2">
        <v>2348</v>
      </c>
      <c r="T326" s="2">
        <v>3056</v>
      </c>
      <c r="U326" s="2">
        <v>0</v>
      </c>
      <c r="V326" s="2"/>
      <c r="W326" s="2">
        <v>21822</v>
      </c>
      <c r="X326" s="2">
        <v>17877</v>
      </c>
      <c r="Y326" s="2">
        <v>14513</v>
      </c>
      <c r="Z326" s="2">
        <v>0</v>
      </c>
      <c r="AA326" s="2">
        <v>0</v>
      </c>
      <c r="AB326" s="2"/>
      <c r="AC326" s="2">
        <v>9440</v>
      </c>
      <c r="AD326" s="2">
        <v>8729</v>
      </c>
      <c r="AE326" s="2">
        <v>1747</v>
      </c>
      <c r="AF326" s="2">
        <v>1010</v>
      </c>
      <c r="AG326" s="2">
        <v>0</v>
      </c>
      <c r="AH326" s="2"/>
      <c r="AI326" s="2">
        <v>0</v>
      </c>
      <c r="AJ326" s="2">
        <v>0</v>
      </c>
      <c r="AK326" s="2">
        <v>0</v>
      </c>
      <c r="AL326" s="2">
        <v>0</v>
      </c>
      <c r="AM326" s="2">
        <v>0</v>
      </c>
    </row>
    <row r="327" spans="1:39">
      <c r="A327" s="349">
        <v>93171</v>
      </c>
      <c r="B327" s="342" t="s">
        <v>1014</v>
      </c>
      <c r="C327" s="234" t="e">
        <f>VLOOKUP(A327,#REF!,10,FALSE)</f>
        <v>#REF!</v>
      </c>
      <c r="E327" s="2">
        <v>3749</v>
      </c>
      <c r="F327" s="2">
        <v>1755</v>
      </c>
      <c r="G327" s="2">
        <v>2160</v>
      </c>
      <c r="H327" s="2">
        <v>1404</v>
      </c>
      <c r="I327" s="2">
        <v>0</v>
      </c>
      <c r="J327" s="2"/>
      <c r="K327" s="2">
        <v>794</v>
      </c>
      <c r="L327" s="2">
        <v>747</v>
      </c>
      <c r="M327" s="2">
        <v>669</v>
      </c>
      <c r="N327" s="2">
        <v>268</v>
      </c>
      <c r="O327" s="2">
        <v>0</v>
      </c>
      <c r="P327" s="2"/>
      <c r="Q327" s="2">
        <v>843</v>
      </c>
      <c r="R327" s="2">
        <v>-725</v>
      </c>
      <c r="S327" s="2">
        <v>102</v>
      </c>
      <c r="T327" s="2">
        <v>133</v>
      </c>
      <c r="U327" s="2">
        <v>0</v>
      </c>
      <c r="V327" s="2"/>
      <c r="W327" s="2">
        <v>950</v>
      </c>
      <c r="X327" s="2">
        <v>778</v>
      </c>
      <c r="Y327" s="2">
        <v>632</v>
      </c>
      <c r="Z327" s="2">
        <v>0</v>
      </c>
      <c r="AA327" s="2">
        <v>0</v>
      </c>
      <c r="AB327" s="2"/>
      <c r="AC327" s="2">
        <v>1409</v>
      </c>
      <c r="AD327" s="2">
        <v>1202</v>
      </c>
      <c r="AE327" s="2">
        <v>1003</v>
      </c>
      <c r="AF327" s="2">
        <v>1003</v>
      </c>
      <c r="AG327" s="2">
        <v>0</v>
      </c>
      <c r="AH327" s="2"/>
      <c r="AI327" s="2">
        <v>-247</v>
      </c>
      <c r="AJ327" s="2">
        <v>-247</v>
      </c>
      <c r="AK327" s="2">
        <v>-246</v>
      </c>
      <c r="AL327" s="2">
        <v>0</v>
      </c>
      <c r="AM327" s="2">
        <v>-247</v>
      </c>
    </row>
    <row r="328" spans="1:39">
      <c r="A328" s="349">
        <v>93181</v>
      </c>
      <c r="B328" s="342" t="s">
        <v>1015</v>
      </c>
      <c r="C328" s="234" t="e">
        <f>VLOOKUP(A328,#REF!,10,FALSE)</f>
        <v>#REF!</v>
      </c>
      <c r="E328" s="2">
        <v>5258</v>
      </c>
      <c r="F328" s="2">
        <v>1718</v>
      </c>
      <c r="G328" s="2">
        <v>2812</v>
      </c>
      <c r="H328" s="2">
        <v>819</v>
      </c>
      <c r="I328" s="2">
        <v>0</v>
      </c>
      <c r="J328" s="2"/>
      <c r="K328" s="2">
        <v>1558</v>
      </c>
      <c r="L328" s="2">
        <v>1466</v>
      </c>
      <c r="M328" s="2">
        <v>1314</v>
      </c>
      <c r="N328" s="2">
        <v>526</v>
      </c>
      <c r="O328" s="2">
        <v>0</v>
      </c>
      <c r="P328" s="2"/>
      <c r="Q328" s="2">
        <v>1654</v>
      </c>
      <c r="R328" s="2">
        <v>-1423</v>
      </c>
      <c r="S328" s="2">
        <v>201</v>
      </c>
      <c r="T328" s="2">
        <v>261</v>
      </c>
      <c r="U328" s="2">
        <v>0</v>
      </c>
      <c r="V328" s="2"/>
      <c r="W328" s="2">
        <v>1863</v>
      </c>
      <c r="X328" s="2">
        <v>1526</v>
      </c>
      <c r="Y328" s="2">
        <v>1239</v>
      </c>
      <c r="Z328" s="2">
        <v>0</v>
      </c>
      <c r="AA328" s="2">
        <v>0</v>
      </c>
      <c r="AB328" s="2"/>
      <c r="AC328" s="2">
        <v>183</v>
      </c>
      <c r="AD328" s="2">
        <v>149</v>
      </c>
      <c r="AE328" s="2">
        <v>58</v>
      </c>
      <c r="AF328" s="2">
        <v>32</v>
      </c>
      <c r="AG328" s="2">
        <v>0</v>
      </c>
      <c r="AH328" s="2"/>
      <c r="AI328" s="2">
        <v>0</v>
      </c>
      <c r="AJ328" s="2">
        <v>0</v>
      </c>
      <c r="AK328" s="2">
        <v>0</v>
      </c>
      <c r="AL328" s="2">
        <v>0</v>
      </c>
      <c r="AM328" s="2">
        <v>0</v>
      </c>
    </row>
    <row r="329" spans="1:39">
      <c r="A329" s="349">
        <v>93191</v>
      </c>
      <c r="B329" s="342" t="s">
        <v>1016</v>
      </c>
      <c r="C329" s="234" t="e">
        <f>VLOOKUP(A329,#REF!,10,FALSE)</f>
        <v>#REF!</v>
      </c>
      <c r="E329" s="2">
        <v>13034</v>
      </c>
      <c r="F329" s="2">
        <v>5138</v>
      </c>
      <c r="G329" s="2">
        <v>8251</v>
      </c>
      <c r="H329" s="2">
        <v>3086</v>
      </c>
      <c r="I329" s="2">
        <v>0</v>
      </c>
      <c r="J329" s="2"/>
      <c r="K329" s="2">
        <v>3505</v>
      </c>
      <c r="L329" s="2">
        <v>3298</v>
      </c>
      <c r="M329" s="2">
        <v>2956</v>
      </c>
      <c r="N329" s="2">
        <v>1183</v>
      </c>
      <c r="O329" s="2">
        <v>0</v>
      </c>
      <c r="P329" s="2"/>
      <c r="Q329" s="2">
        <v>3722</v>
      </c>
      <c r="R329" s="2">
        <v>-3201</v>
      </c>
      <c r="S329" s="2">
        <v>451</v>
      </c>
      <c r="T329" s="2">
        <v>587</v>
      </c>
      <c r="U329" s="2">
        <v>0</v>
      </c>
      <c r="V329" s="2"/>
      <c r="W329" s="2">
        <v>4192</v>
      </c>
      <c r="X329" s="2">
        <v>3435</v>
      </c>
      <c r="Y329" s="2">
        <v>2788</v>
      </c>
      <c r="Z329" s="2">
        <v>0</v>
      </c>
      <c r="AA329" s="2">
        <v>0</v>
      </c>
      <c r="AB329" s="2"/>
      <c r="AC329" s="2">
        <v>2064</v>
      </c>
      <c r="AD329" s="2">
        <v>2054</v>
      </c>
      <c r="AE329" s="2">
        <v>2056</v>
      </c>
      <c r="AF329" s="2">
        <v>1316</v>
      </c>
      <c r="AG329" s="2">
        <v>0</v>
      </c>
      <c r="AH329" s="2"/>
      <c r="AI329" s="2">
        <v>-449</v>
      </c>
      <c r="AJ329" s="2">
        <v>-448</v>
      </c>
      <c r="AK329" s="2">
        <v>0</v>
      </c>
      <c r="AL329" s="2">
        <v>0</v>
      </c>
      <c r="AM329" s="2">
        <v>-448</v>
      </c>
    </row>
    <row r="330" spans="1:39">
      <c r="A330" s="349">
        <v>93201</v>
      </c>
      <c r="B330" s="342" t="s">
        <v>1017</v>
      </c>
      <c r="C330" s="234" t="e">
        <f>VLOOKUP(A330,#REF!,10,FALSE)</f>
        <v>#REF!</v>
      </c>
      <c r="E330" s="2">
        <v>7434917</v>
      </c>
      <c r="F330" s="2">
        <v>2213405</v>
      </c>
      <c r="G330" s="2">
        <v>3995309</v>
      </c>
      <c r="H330" s="2">
        <v>1062807</v>
      </c>
      <c r="I330" s="2">
        <v>0</v>
      </c>
      <c r="J330" s="2"/>
      <c r="K330" s="2">
        <v>2276737</v>
      </c>
      <c r="L330" s="2">
        <v>2141674</v>
      </c>
      <c r="M330" s="2">
        <v>1919558</v>
      </c>
      <c r="N330" s="2">
        <v>768568</v>
      </c>
      <c r="O330" s="2">
        <v>0</v>
      </c>
      <c r="P330" s="2"/>
      <c r="Q330" s="2">
        <v>2417073</v>
      </c>
      <c r="R330" s="2">
        <v>-2079135</v>
      </c>
      <c r="S330" s="2">
        <v>293029</v>
      </c>
      <c r="T330" s="2">
        <v>381374</v>
      </c>
      <c r="U330" s="2">
        <v>0</v>
      </c>
      <c r="V330" s="2"/>
      <c r="W330" s="2">
        <v>2722868</v>
      </c>
      <c r="X330" s="2">
        <v>2230672</v>
      </c>
      <c r="Y330" s="2">
        <v>1810924</v>
      </c>
      <c r="Z330" s="2">
        <v>0</v>
      </c>
      <c r="AA330" s="2">
        <v>0</v>
      </c>
      <c r="AB330" s="2"/>
      <c r="AC330" s="2">
        <v>156979</v>
      </c>
      <c r="AD330" s="2">
        <v>58933</v>
      </c>
      <c r="AE330" s="2">
        <v>58934</v>
      </c>
      <c r="AF330" s="2">
        <v>0</v>
      </c>
      <c r="AG330" s="2">
        <v>0</v>
      </c>
      <c r="AH330" s="2"/>
      <c r="AI330" s="2">
        <v>-138740</v>
      </c>
      <c r="AJ330" s="2">
        <v>-138739</v>
      </c>
      <c r="AK330" s="2">
        <v>-87136</v>
      </c>
      <c r="AL330" s="2">
        <v>-87135</v>
      </c>
      <c r="AM330" s="2">
        <v>-138739</v>
      </c>
    </row>
    <row r="331" spans="1:39">
      <c r="A331" s="349">
        <v>93204</v>
      </c>
      <c r="B331" s="342" t="s">
        <v>1019</v>
      </c>
      <c r="C331" s="234" t="e">
        <f>VLOOKUP(A331,#REF!,10,FALSE)</f>
        <v>#REF!</v>
      </c>
      <c r="E331" s="2">
        <v>152816</v>
      </c>
      <c r="F331" s="2">
        <v>54068</v>
      </c>
      <c r="G331" s="2">
        <v>82847</v>
      </c>
      <c r="H331" s="2">
        <v>20307</v>
      </c>
      <c r="I331" s="2">
        <v>0</v>
      </c>
      <c r="J331" s="2"/>
      <c r="K331" s="2">
        <v>44508</v>
      </c>
      <c r="L331" s="2">
        <v>41867</v>
      </c>
      <c r="M331" s="2">
        <v>37525</v>
      </c>
      <c r="N331" s="2">
        <v>15025</v>
      </c>
      <c r="O331" s="2">
        <v>0</v>
      </c>
      <c r="P331" s="2"/>
      <c r="Q331" s="2">
        <v>47251</v>
      </c>
      <c r="R331" s="2">
        <v>-40645</v>
      </c>
      <c r="S331" s="2">
        <v>5728</v>
      </c>
      <c r="T331" s="2">
        <v>7455</v>
      </c>
      <c r="U331" s="2">
        <v>0</v>
      </c>
      <c r="V331" s="2"/>
      <c r="W331" s="2">
        <v>53229</v>
      </c>
      <c r="X331" s="2">
        <v>43607</v>
      </c>
      <c r="Y331" s="2">
        <v>35402</v>
      </c>
      <c r="Z331" s="2">
        <v>0</v>
      </c>
      <c r="AA331" s="2">
        <v>0</v>
      </c>
      <c r="AB331" s="2"/>
      <c r="AC331" s="2">
        <v>11411</v>
      </c>
      <c r="AD331" s="2">
        <v>11411</v>
      </c>
      <c r="AE331" s="2">
        <v>6364</v>
      </c>
      <c r="AF331" s="2">
        <v>0</v>
      </c>
      <c r="AG331" s="2">
        <v>0</v>
      </c>
      <c r="AH331" s="2"/>
      <c r="AI331" s="2">
        <v>-3583</v>
      </c>
      <c r="AJ331" s="2">
        <v>-2172</v>
      </c>
      <c r="AK331" s="2">
        <v>-2172</v>
      </c>
      <c r="AL331" s="2">
        <v>-2173</v>
      </c>
      <c r="AM331" s="2">
        <v>-2172</v>
      </c>
    </row>
    <row r="332" spans="1:39">
      <c r="A332" s="349">
        <v>93209</v>
      </c>
      <c r="B332" s="342" t="s">
        <v>1020</v>
      </c>
      <c r="C332" s="234" t="e">
        <f>VLOOKUP(A332,#REF!,10,FALSE)</f>
        <v>#REF!</v>
      </c>
      <c r="E332" s="2">
        <v>2905290</v>
      </c>
      <c r="F332" s="2">
        <v>933074</v>
      </c>
      <c r="G332" s="2">
        <v>1553278</v>
      </c>
      <c r="H332" s="2">
        <v>447345</v>
      </c>
      <c r="I332" s="2">
        <v>0</v>
      </c>
      <c r="J332" s="2"/>
      <c r="K332" s="2">
        <v>837990</v>
      </c>
      <c r="L332" s="2">
        <v>788278</v>
      </c>
      <c r="M332" s="2">
        <v>706525</v>
      </c>
      <c r="N332" s="2">
        <v>282884</v>
      </c>
      <c r="O332" s="2">
        <v>0</v>
      </c>
      <c r="P332" s="2"/>
      <c r="Q332" s="2">
        <v>889644</v>
      </c>
      <c r="R332" s="2">
        <v>-765260</v>
      </c>
      <c r="S332" s="2">
        <v>107854</v>
      </c>
      <c r="T332" s="2">
        <v>140371</v>
      </c>
      <c r="U332" s="2">
        <v>0</v>
      </c>
      <c r="V332" s="2"/>
      <c r="W332" s="2">
        <v>1002196</v>
      </c>
      <c r="X332" s="2">
        <v>821036</v>
      </c>
      <c r="Y332" s="2">
        <v>666540</v>
      </c>
      <c r="Z332" s="2">
        <v>0</v>
      </c>
      <c r="AA332" s="2">
        <v>0</v>
      </c>
      <c r="AB332" s="2"/>
      <c r="AC332" s="2">
        <v>175460</v>
      </c>
      <c r="AD332" s="2">
        <v>89020</v>
      </c>
      <c r="AE332" s="2">
        <v>72359</v>
      </c>
      <c r="AF332" s="2">
        <v>24090</v>
      </c>
      <c r="AG332" s="2">
        <v>0</v>
      </c>
      <c r="AH332" s="2"/>
      <c r="AI332" s="2">
        <v>0</v>
      </c>
      <c r="AJ332" s="2">
        <v>0</v>
      </c>
      <c r="AK332" s="2">
        <v>0</v>
      </c>
      <c r="AL332" s="2">
        <v>0</v>
      </c>
      <c r="AM332" s="2">
        <v>0</v>
      </c>
    </row>
    <row r="333" spans="1:39">
      <c r="A333" s="349">
        <v>93211</v>
      </c>
      <c r="B333" s="342" t="s">
        <v>1021</v>
      </c>
      <c r="C333" s="234" t="e">
        <f>VLOOKUP(A333,#REF!,10,FALSE)</f>
        <v>#REF!</v>
      </c>
      <c r="E333" s="2">
        <v>10595715</v>
      </c>
      <c r="F333" s="2">
        <v>3464907</v>
      </c>
      <c r="G333" s="2">
        <v>5944520</v>
      </c>
      <c r="H333" s="2">
        <v>1752590</v>
      </c>
      <c r="I333" s="2">
        <v>0</v>
      </c>
      <c r="J333" s="2"/>
      <c r="K333" s="2">
        <v>3238303</v>
      </c>
      <c r="L333" s="2">
        <v>3046197</v>
      </c>
      <c r="M333" s="2">
        <v>2730272</v>
      </c>
      <c r="N333" s="2">
        <v>1093168</v>
      </c>
      <c r="O333" s="2">
        <v>0</v>
      </c>
      <c r="P333" s="2"/>
      <c r="Q333" s="2">
        <v>3437910</v>
      </c>
      <c r="R333" s="2">
        <v>-2957245</v>
      </c>
      <c r="S333" s="2">
        <v>416788</v>
      </c>
      <c r="T333" s="2">
        <v>542444</v>
      </c>
      <c r="U333" s="2">
        <v>0</v>
      </c>
      <c r="V333" s="2"/>
      <c r="W333" s="2">
        <v>3872855</v>
      </c>
      <c r="X333" s="2">
        <v>3172783</v>
      </c>
      <c r="Y333" s="2">
        <v>2575757</v>
      </c>
      <c r="Z333" s="2">
        <v>0</v>
      </c>
      <c r="AA333" s="2">
        <v>0</v>
      </c>
      <c r="AB333" s="2"/>
      <c r="AC333" s="2">
        <v>221702</v>
      </c>
      <c r="AD333" s="2">
        <v>221702</v>
      </c>
      <c r="AE333" s="2">
        <v>221703</v>
      </c>
      <c r="AF333" s="2">
        <v>116978</v>
      </c>
      <c r="AG333" s="2">
        <v>0</v>
      </c>
      <c r="AH333" s="2"/>
      <c r="AI333" s="2">
        <v>-175055</v>
      </c>
      <c r="AJ333" s="2">
        <v>-18530</v>
      </c>
      <c r="AK333" s="2">
        <v>0</v>
      </c>
      <c r="AL333" s="2">
        <v>0</v>
      </c>
      <c r="AM333" s="2">
        <v>-18530</v>
      </c>
    </row>
    <row r="334" spans="1:39">
      <c r="A334" s="349">
        <v>93212</v>
      </c>
      <c r="B334" s="342" t="s">
        <v>3666</v>
      </c>
      <c r="C334" s="234" t="e">
        <f>VLOOKUP(A334,#REF!,10,FALSE)</f>
        <v>#REF!</v>
      </c>
      <c r="E334" s="2">
        <v>198517</v>
      </c>
      <c r="F334" s="2">
        <v>103822</v>
      </c>
      <c r="G334" s="2">
        <v>109948</v>
      </c>
      <c r="H334" s="2">
        <v>33047</v>
      </c>
      <c r="I334" s="2">
        <v>0</v>
      </c>
      <c r="J334" s="2"/>
      <c r="K334" s="2">
        <v>35819</v>
      </c>
      <c r="L334" s="2">
        <v>33694</v>
      </c>
      <c r="M334" s="2">
        <v>30200</v>
      </c>
      <c r="N334" s="2">
        <v>12092</v>
      </c>
      <c r="O334" s="2">
        <v>0</v>
      </c>
      <c r="P334" s="2"/>
      <c r="Q334" s="2">
        <v>38027</v>
      </c>
      <c r="R334" s="2">
        <v>-32710</v>
      </c>
      <c r="S334" s="2">
        <v>4610</v>
      </c>
      <c r="T334" s="2">
        <v>6000</v>
      </c>
      <c r="U334" s="2">
        <v>0</v>
      </c>
      <c r="V334" s="2"/>
      <c r="W334" s="2">
        <v>42838</v>
      </c>
      <c r="X334" s="2">
        <v>35094</v>
      </c>
      <c r="Y334" s="2">
        <v>28490</v>
      </c>
      <c r="Z334" s="2">
        <v>0</v>
      </c>
      <c r="AA334" s="2">
        <v>0</v>
      </c>
      <c r="AB334" s="2"/>
      <c r="AC334" s="2">
        <v>81833</v>
      </c>
      <c r="AD334" s="2">
        <v>67744</v>
      </c>
      <c r="AE334" s="2">
        <v>46648</v>
      </c>
      <c r="AF334" s="2">
        <v>14955</v>
      </c>
      <c r="AG334" s="2">
        <v>0</v>
      </c>
      <c r="AH334" s="2"/>
      <c r="AI334" s="2">
        <v>0</v>
      </c>
      <c r="AJ334" s="2">
        <v>0</v>
      </c>
      <c r="AK334" s="2">
        <v>0</v>
      </c>
      <c r="AL334" s="2">
        <v>0</v>
      </c>
      <c r="AM334" s="2">
        <v>0</v>
      </c>
    </row>
    <row r="335" spans="1:39">
      <c r="A335" s="349">
        <v>93219</v>
      </c>
      <c r="B335" s="342" t="s">
        <v>1023</v>
      </c>
      <c r="C335" s="234" t="e">
        <f>VLOOKUP(A335,#REF!,10,FALSE)</f>
        <v>#REF!</v>
      </c>
      <c r="E335" s="2">
        <v>135835</v>
      </c>
      <c r="F335" s="2">
        <v>48441</v>
      </c>
      <c r="G335" s="2">
        <v>72655</v>
      </c>
      <c r="H335" s="2">
        <v>23673</v>
      </c>
      <c r="I335" s="2">
        <v>0</v>
      </c>
      <c r="J335" s="2"/>
      <c r="K335" s="2">
        <v>39294</v>
      </c>
      <c r="L335" s="2">
        <v>36963</v>
      </c>
      <c r="M335" s="2">
        <v>33130</v>
      </c>
      <c r="N335" s="2">
        <v>13265</v>
      </c>
      <c r="O335" s="2">
        <v>0</v>
      </c>
      <c r="P335" s="2"/>
      <c r="Q335" s="2">
        <v>41716</v>
      </c>
      <c r="R335" s="2">
        <v>-35884</v>
      </c>
      <c r="S335" s="2">
        <v>5057</v>
      </c>
      <c r="T335" s="2">
        <v>6582</v>
      </c>
      <c r="U335" s="2">
        <v>0</v>
      </c>
      <c r="V335" s="2"/>
      <c r="W335" s="2">
        <v>46994</v>
      </c>
      <c r="X335" s="2">
        <v>38499</v>
      </c>
      <c r="Y335" s="2">
        <v>31255</v>
      </c>
      <c r="Z335" s="2">
        <v>0</v>
      </c>
      <c r="AA335" s="2">
        <v>0</v>
      </c>
      <c r="AB335" s="2"/>
      <c r="AC335" s="2">
        <v>9474</v>
      </c>
      <c r="AD335" s="2">
        <v>9476</v>
      </c>
      <c r="AE335" s="2">
        <v>3828</v>
      </c>
      <c r="AF335" s="2">
        <v>3826</v>
      </c>
      <c r="AG335" s="2">
        <v>0</v>
      </c>
      <c r="AH335" s="2"/>
      <c r="AI335" s="2">
        <v>-1643</v>
      </c>
      <c r="AJ335" s="2">
        <v>-613</v>
      </c>
      <c r="AK335" s="2">
        <v>-615</v>
      </c>
      <c r="AL335" s="2">
        <v>0</v>
      </c>
      <c r="AM335" s="2">
        <v>-613</v>
      </c>
    </row>
    <row r="336" spans="1:39">
      <c r="A336" s="349">
        <v>93301</v>
      </c>
      <c r="B336" s="342" t="s">
        <v>1024</v>
      </c>
      <c r="C336" s="234" t="e">
        <f>VLOOKUP(A336,#REF!,10,FALSE)</f>
        <v>#REF!</v>
      </c>
      <c r="E336" s="2">
        <v>1029015</v>
      </c>
      <c r="F336" s="2">
        <v>271155</v>
      </c>
      <c r="G336" s="2">
        <v>524790</v>
      </c>
      <c r="H336" s="2">
        <v>150996</v>
      </c>
      <c r="I336" s="2">
        <v>0</v>
      </c>
      <c r="J336" s="2"/>
      <c r="K336" s="2">
        <v>330444</v>
      </c>
      <c r="L336" s="2">
        <v>310841</v>
      </c>
      <c r="M336" s="2">
        <v>278604</v>
      </c>
      <c r="N336" s="2">
        <v>111550</v>
      </c>
      <c r="O336" s="2">
        <v>0</v>
      </c>
      <c r="P336" s="2"/>
      <c r="Q336" s="2">
        <v>350813</v>
      </c>
      <c r="R336" s="2">
        <v>-301764</v>
      </c>
      <c r="S336" s="2">
        <v>42530</v>
      </c>
      <c r="T336" s="2">
        <v>55352</v>
      </c>
      <c r="U336" s="2">
        <v>0</v>
      </c>
      <c r="V336" s="2"/>
      <c r="W336" s="2">
        <v>395196</v>
      </c>
      <c r="X336" s="2">
        <v>323759</v>
      </c>
      <c r="Y336" s="2">
        <v>262837</v>
      </c>
      <c r="Z336" s="2">
        <v>0</v>
      </c>
      <c r="AA336" s="2">
        <v>0</v>
      </c>
      <c r="AB336" s="2"/>
      <c r="AC336" s="2">
        <v>14244</v>
      </c>
      <c r="AD336" s="2">
        <v>0</v>
      </c>
      <c r="AE336" s="2">
        <v>0</v>
      </c>
      <c r="AF336" s="2">
        <v>0</v>
      </c>
      <c r="AG336" s="2">
        <v>0</v>
      </c>
      <c r="AH336" s="2"/>
      <c r="AI336" s="2">
        <v>-61682</v>
      </c>
      <c r="AJ336" s="2">
        <v>-61681</v>
      </c>
      <c r="AK336" s="2">
        <v>-59181</v>
      </c>
      <c r="AL336" s="2">
        <v>-15906</v>
      </c>
      <c r="AM336" s="2">
        <v>-61681</v>
      </c>
    </row>
    <row r="337" spans="1:39">
      <c r="A337" s="349">
        <v>93304</v>
      </c>
      <c r="B337" s="342" t="s">
        <v>1025</v>
      </c>
      <c r="C337" s="234" t="e">
        <f>VLOOKUP(A337,#REF!,10,FALSE)</f>
        <v>#REF!</v>
      </c>
      <c r="E337" s="2">
        <v>23213</v>
      </c>
      <c r="F337" s="2">
        <v>9419</v>
      </c>
      <c r="G337" s="2">
        <v>13720</v>
      </c>
      <c r="H337" s="2">
        <v>4809</v>
      </c>
      <c r="I337" s="2">
        <v>0</v>
      </c>
      <c r="J337" s="2"/>
      <c r="K337" s="2">
        <v>5902</v>
      </c>
      <c r="L337" s="2">
        <v>5552</v>
      </c>
      <c r="M337" s="2">
        <v>4976</v>
      </c>
      <c r="N337" s="2">
        <v>1992</v>
      </c>
      <c r="O337" s="2">
        <v>0</v>
      </c>
      <c r="P337" s="2"/>
      <c r="Q337" s="2">
        <v>6266</v>
      </c>
      <c r="R337" s="2">
        <v>-5390</v>
      </c>
      <c r="S337" s="2">
        <v>760</v>
      </c>
      <c r="T337" s="2">
        <v>989</v>
      </c>
      <c r="U337" s="2">
        <v>0</v>
      </c>
      <c r="V337" s="2"/>
      <c r="W337" s="2">
        <v>7059</v>
      </c>
      <c r="X337" s="2">
        <v>5783</v>
      </c>
      <c r="Y337" s="2">
        <v>4695</v>
      </c>
      <c r="Z337" s="2">
        <v>0</v>
      </c>
      <c r="AA337" s="2">
        <v>0</v>
      </c>
      <c r="AB337" s="2"/>
      <c r="AC337" s="2">
        <v>3986</v>
      </c>
      <c r="AD337" s="2">
        <v>3474</v>
      </c>
      <c r="AE337" s="2">
        <v>3289</v>
      </c>
      <c r="AF337" s="2">
        <v>1828</v>
      </c>
      <c r="AG337" s="2">
        <v>0</v>
      </c>
      <c r="AH337" s="2"/>
      <c r="AI337" s="2">
        <v>0</v>
      </c>
      <c r="AJ337" s="2">
        <v>0</v>
      </c>
      <c r="AK337" s="2">
        <v>0</v>
      </c>
      <c r="AL337" s="2">
        <v>0</v>
      </c>
      <c r="AM337" s="2">
        <v>0</v>
      </c>
    </row>
    <row r="338" spans="1:39">
      <c r="A338" s="349">
        <v>93305</v>
      </c>
      <c r="B338" s="342" t="s">
        <v>1026</v>
      </c>
      <c r="C338" s="234" t="e">
        <f>VLOOKUP(A338,#REF!,10,FALSE)</f>
        <v>#REF!</v>
      </c>
      <c r="E338" s="2">
        <v>16736</v>
      </c>
      <c r="F338" s="2">
        <v>3706</v>
      </c>
      <c r="G338" s="2">
        <v>9095</v>
      </c>
      <c r="H338" s="2">
        <v>2064</v>
      </c>
      <c r="I338" s="2">
        <v>0</v>
      </c>
      <c r="J338" s="2"/>
      <c r="K338" s="2">
        <v>6037</v>
      </c>
      <c r="L338" s="2">
        <v>5679</v>
      </c>
      <c r="M338" s="2">
        <v>5090</v>
      </c>
      <c r="N338" s="2">
        <v>2038</v>
      </c>
      <c r="O338" s="2">
        <v>0</v>
      </c>
      <c r="P338" s="2"/>
      <c r="Q338" s="2">
        <v>6409</v>
      </c>
      <c r="R338" s="2">
        <v>-5513</v>
      </c>
      <c r="S338" s="2">
        <v>777</v>
      </c>
      <c r="T338" s="2">
        <v>1011</v>
      </c>
      <c r="U338" s="2">
        <v>0</v>
      </c>
      <c r="V338" s="2"/>
      <c r="W338" s="2">
        <v>7220</v>
      </c>
      <c r="X338" s="2">
        <v>5915</v>
      </c>
      <c r="Y338" s="2">
        <v>4802</v>
      </c>
      <c r="Z338" s="2">
        <v>0</v>
      </c>
      <c r="AA338" s="2">
        <v>0</v>
      </c>
      <c r="AB338" s="2"/>
      <c r="AC338" s="2">
        <v>0</v>
      </c>
      <c r="AD338" s="2">
        <v>0</v>
      </c>
      <c r="AE338" s="2">
        <v>0</v>
      </c>
      <c r="AF338" s="2">
        <v>0</v>
      </c>
      <c r="AG338" s="2">
        <v>0</v>
      </c>
      <c r="AH338" s="2"/>
      <c r="AI338" s="2">
        <v>-2930</v>
      </c>
      <c r="AJ338" s="2">
        <v>-2375</v>
      </c>
      <c r="AK338" s="2">
        <v>-1574</v>
      </c>
      <c r="AL338" s="2">
        <v>-985</v>
      </c>
      <c r="AM338" s="2">
        <v>-2375</v>
      </c>
    </row>
    <row r="339" spans="1:39">
      <c r="A339" s="349">
        <v>93309</v>
      </c>
      <c r="B339" s="342" t="s">
        <v>1027</v>
      </c>
      <c r="C339" s="234" t="e">
        <f>VLOOKUP(A339,#REF!,10,FALSE)</f>
        <v>#REF!</v>
      </c>
      <c r="E339" s="2">
        <v>91409</v>
      </c>
      <c r="F339" s="2">
        <v>32867</v>
      </c>
      <c r="G339" s="2">
        <v>49955</v>
      </c>
      <c r="H339" s="2">
        <v>15189</v>
      </c>
      <c r="I339" s="2">
        <v>0</v>
      </c>
      <c r="J339" s="2"/>
      <c r="K339" s="2">
        <v>24329</v>
      </c>
      <c r="L339" s="2">
        <v>22885</v>
      </c>
      <c r="M339" s="2">
        <v>20512</v>
      </c>
      <c r="N339" s="2">
        <v>8213</v>
      </c>
      <c r="O339" s="2">
        <v>0</v>
      </c>
      <c r="P339" s="2"/>
      <c r="Q339" s="2">
        <v>25828</v>
      </c>
      <c r="R339" s="2">
        <v>-22217</v>
      </c>
      <c r="S339" s="2">
        <v>3131</v>
      </c>
      <c r="T339" s="2">
        <v>4075</v>
      </c>
      <c r="U339" s="2">
        <v>0</v>
      </c>
      <c r="V339" s="2"/>
      <c r="W339" s="2">
        <v>29096</v>
      </c>
      <c r="X339" s="2">
        <v>23836</v>
      </c>
      <c r="Y339" s="2">
        <v>19351</v>
      </c>
      <c r="Z339" s="2">
        <v>0</v>
      </c>
      <c r="AA339" s="2">
        <v>0</v>
      </c>
      <c r="AB339" s="2"/>
      <c r="AC339" s="2">
        <v>12156</v>
      </c>
      <c r="AD339" s="2">
        <v>8363</v>
      </c>
      <c r="AE339" s="2">
        <v>6961</v>
      </c>
      <c r="AF339" s="2">
        <v>2901</v>
      </c>
      <c r="AG339" s="2">
        <v>0</v>
      </c>
      <c r="AH339" s="2"/>
      <c r="AI339" s="2">
        <v>0</v>
      </c>
      <c r="AJ339" s="2">
        <v>0</v>
      </c>
      <c r="AK339" s="2">
        <v>0</v>
      </c>
      <c r="AL339" s="2">
        <v>0</v>
      </c>
      <c r="AM339" s="2">
        <v>0</v>
      </c>
    </row>
    <row r="340" spans="1:39">
      <c r="A340" s="349">
        <v>93311</v>
      </c>
      <c r="B340" s="342" t="s">
        <v>1028</v>
      </c>
      <c r="C340" s="234" t="e">
        <f>VLOOKUP(A340,#REF!,10,FALSE)</f>
        <v>#REF!</v>
      </c>
      <c r="E340" s="2">
        <v>579270</v>
      </c>
      <c r="F340" s="2">
        <v>178810</v>
      </c>
      <c r="G340" s="2">
        <v>319720</v>
      </c>
      <c r="H340" s="2">
        <v>79626</v>
      </c>
      <c r="I340" s="2">
        <v>0</v>
      </c>
      <c r="J340" s="2"/>
      <c r="K340" s="2">
        <v>185970</v>
      </c>
      <c r="L340" s="2">
        <v>174938</v>
      </c>
      <c r="M340" s="2">
        <v>156795</v>
      </c>
      <c r="N340" s="2">
        <v>62779</v>
      </c>
      <c r="O340" s="2">
        <v>0</v>
      </c>
      <c r="P340" s="2"/>
      <c r="Q340" s="2">
        <v>197433</v>
      </c>
      <c r="R340" s="2">
        <v>-169830</v>
      </c>
      <c r="S340" s="2">
        <v>23935</v>
      </c>
      <c r="T340" s="2">
        <v>31152</v>
      </c>
      <c r="U340" s="2">
        <v>0</v>
      </c>
      <c r="V340" s="2"/>
      <c r="W340" s="2">
        <v>222412</v>
      </c>
      <c r="X340" s="2">
        <v>182208</v>
      </c>
      <c r="Y340" s="2">
        <v>147921</v>
      </c>
      <c r="Z340" s="2">
        <v>0</v>
      </c>
      <c r="AA340" s="2">
        <v>0</v>
      </c>
      <c r="AB340" s="2"/>
      <c r="AC340" s="2">
        <v>5800</v>
      </c>
      <c r="AD340" s="2">
        <v>5799</v>
      </c>
      <c r="AE340" s="2">
        <v>5374</v>
      </c>
      <c r="AF340" s="2">
        <v>0</v>
      </c>
      <c r="AG340" s="2">
        <v>0</v>
      </c>
      <c r="AH340" s="2"/>
      <c r="AI340" s="2">
        <v>-32345</v>
      </c>
      <c r="AJ340" s="2">
        <v>-14305</v>
      </c>
      <c r="AK340" s="2">
        <v>-14305</v>
      </c>
      <c r="AL340" s="2">
        <v>-14305</v>
      </c>
      <c r="AM340" s="2">
        <v>-14305</v>
      </c>
    </row>
    <row r="341" spans="1:39">
      <c r="A341" s="349">
        <v>93317</v>
      </c>
      <c r="B341" s="342" t="s">
        <v>1029</v>
      </c>
      <c r="C341" s="234" t="e">
        <f>VLOOKUP(A341,#REF!,10,FALSE)</f>
        <v>#REF!</v>
      </c>
      <c r="E341" s="2">
        <v>18589</v>
      </c>
      <c r="F341" s="2">
        <v>4585</v>
      </c>
      <c r="G341" s="2">
        <v>9186</v>
      </c>
      <c r="H341" s="2">
        <v>2085</v>
      </c>
      <c r="I341" s="2">
        <v>0</v>
      </c>
      <c r="J341" s="2"/>
      <c r="K341" s="2">
        <v>6172</v>
      </c>
      <c r="L341" s="2">
        <v>5806</v>
      </c>
      <c r="M341" s="2">
        <v>5204</v>
      </c>
      <c r="N341" s="2">
        <v>2084</v>
      </c>
      <c r="O341" s="2">
        <v>0</v>
      </c>
      <c r="P341" s="2"/>
      <c r="Q341" s="2">
        <v>6552</v>
      </c>
      <c r="R341" s="2">
        <v>-5636</v>
      </c>
      <c r="S341" s="2">
        <v>794</v>
      </c>
      <c r="T341" s="2">
        <v>1034</v>
      </c>
      <c r="U341" s="2">
        <v>0</v>
      </c>
      <c r="V341" s="2"/>
      <c r="W341" s="2">
        <v>7381</v>
      </c>
      <c r="X341" s="2">
        <v>6047</v>
      </c>
      <c r="Y341" s="2">
        <v>4909</v>
      </c>
      <c r="Z341" s="2">
        <v>0</v>
      </c>
      <c r="AA341" s="2">
        <v>0</v>
      </c>
      <c r="AB341" s="2"/>
      <c r="AC341" s="2">
        <v>207</v>
      </c>
      <c r="AD341" s="2">
        <v>91</v>
      </c>
      <c r="AE341" s="2">
        <v>0</v>
      </c>
      <c r="AF341" s="2">
        <v>0</v>
      </c>
      <c r="AG341" s="2">
        <v>0</v>
      </c>
      <c r="AH341" s="2"/>
      <c r="AI341" s="2">
        <v>-1723</v>
      </c>
      <c r="AJ341" s="2">
        <v>-1723</v>
      </c>
      <c r="AK341" s="2">
        <v>-1721</v>
      </c>
      <c r="AL341" s="2">
        <v>-1033</v>
      </c>
      <c r="AM341" s="2">
        <v>-1723</v>
      </c>
    </row>
    <row r="342" spans="1:39">
      <c r="A342" s="349">
        <v>93321</v>
      </c>
      <c r="B342" s="342" t="s">
        <v>1030</v>
      </c>
      <c r="C342" s="234" t="e">
        <f>VLOOKUP(A342,#REF!,10,FALSE)</f>
        <v>#REF!</v>
      </c>
      <c r="E342" s="2">
        <v>3061527</v>
      </c>
      <c r="F342" s="2">
        <v>839671</v>
      </c>
      <c r="G342" s="2">
        <v>1666677</v>
      </c>
      <c r="H342" s="2">
        <v>449150</v>
      </c>
      <c r="I342" s="2">
        <v>0</v>
      </c>
      <c r="J342" s="2"/>
      <c r="K342" s="2">
        <v>1018268</v>
      </c>
      <c r="L342" s="2">
        <v>957861</v>
      </c>
      <c r="M342" s="2">
        <v>858520</v>
      </c>
      <c r="N342" s="2">
        <v>343741</v>
      </c>
      <c r="O342" s="2">
        <v>0</v>
      </c>
      <c r="P342" s="2"/>
      <c r="Q342" s="2">
        <v>1081033</v>
      </c>
      <c r="R342" s="2">
        <v>-929891</v>
      </c>
      <c r="S342" s="2">
        <v>131057</v>
      </c>
      <c r="T342" s="2">
        <v>170569</v>
      </c>
      <c r="U342" s="2">
        <v>0</v>
      </c>
      <c r="V342" s="2"/>
      <c r="W342" s="2">
        <v>1217800</v>
      </c>
      <c r="X342" s="2">
        <v>997666</v>
      </c>
      <c r="Y342" s="2">
        <v>809934</v>
      </c>
      <c r="Z342" s="2">
        <v>0</v>
      </c>
      <c r="AA342" s="2">
        <v>0</v>
      </c>
      <c r="AB342" s="2"/>
      <c r="AC342" s="2">
        <v>0</v>
      </c>
      <c r="AD342" s="2">
        <v>0</v>
      </c>
      <c r="AE342" s="2">
        <v>0</v>
      </c>
      <c r="AF342" s="2">
        <v>0</v>
      </c>
      <c r="AG342" s="2">
        <v>0</v>
      </c>
      <c r="AH342" s="2"/>
      <c r="AI342" s="2">
        <v>-255574</v>
      </c>
      <c r="AJ342" s="2">
        <v>-185965</v>
      </c>
      <c r="AK342" s="2">
        <v>-132834</v>
      </c>
      <c r="AL342" s="2">
        <v>-65160</v>
      </c>
      <c r="AM342" s="2">
        <v>-185965</v>
      </c>
    </row>
    <row r="343" spans="1:39">
      <c r="A343" s="349">
        <v>93323</v>
      </c>
      <c r="B343" s="342" t="s">
        <v>1031</v>
      </c>
      <c r="C343" s="234" t="e">
        <f>VLOOKUP(A343,#REF!,10,FALSE)</f>
        <v>#REF!</v>
      </c>
      <c r="E343" s="2">
        <v>10580</v>
      </c>
      <c r="F343" s="2">
        <v>4134</v>
      </c>
      <c r="G343" s="2">
        <v>4690</v>
      </c>
      <c r="H343" s="2">
        <v>1355</v>
      </c>
      <c r="I343" s="2">
        <v>0</v>
      </c>
      <c r="J343" s="2"/>
      <c r="K343" s="2">
        <v>3011</v>
      </c>
      <c r="L343" s="2">
        <v>2832</v>
      </c>
      <c r="M343" s="2">
        <v>2539</v>
      </c>
      <c r="N343" s="2">
        <v>1016</v>
      </c>
      <c r="O343" s="2">
        <v>0</v>
      </c>
      <c r="P343" s="2"/>
      <c r="Q343" s="2">
        <v>3197</v>
      </c>
      <c r="R343" s="2">
        <v>-2750</v>
      </c>
      <c r="S343" s="2">
        <v>388</v>
      </c>
      <c r="T343" s="2">
        <v>504</v>
      </c>
      <c r="U343" s="2">
        <v>0</v>
      </c>
      <c r="V343" s="2"/>
      <c r="W343" s="2">
        <v>3601</v>
      </c>
      <c r="X343" s="2">
        <v>2950</v>
      </c>
      <c r="Y343" s="2">
        <v>2395</v>
      </c>
      <c r="Z343" s="2">
        <v>0</v>
      </c>
      <c r="AA343" s="2">
        <v>0</v>
      </c>
      <c r="AB343" s="2"/>
      <c r="AC343" s="2">
        <v>1735</v>
      </c>
      <c r="AD343" s="2">
        <v>1735</v>
      </c>
      <c r="AE343" s="2">
        <v>0</v>
      </c>
      <c r="AF343" s="2">
        <v>0</v>
      </c>
      <c r="AG343" s="2">
        <v>0</v>
      </c>
      <c r="AH343" s="2"/>
      <c r="AI343" s="2">
        <v>-964</v>
      </c>
      <c r="AJ343" s="2">
        <v>-633</v>
      </c>
      <c r="AK343" s="2">
        <v>-632</v>
      </c>
      <c r="AL343" s="2">
        <v>-165</v>
      </c>
      <c r="AM343" s="2">
        <v>-633</v>
      </c>
    </row>
    <row r="344" spans="1:39">
      <c r="A344" s="349">
        <v>93331</v>
      </c>
      <c r="B344" s="342" t="s">
        <v>1032</v>
      </c>
      <c r="C344" s="234" t="e">
        <f>VLOOKUP(A344,#REF!,10,FALSE)</f>
        <v>#REF!</v>
      </c>
      <c r="E344" s="2">
        <v>55134</v>
      </c>
      <c r="F344" s="2">
        <v>15821</v>
      </c>
      <c r="G344" s="2">
        <v>30438</v>
      </c>
      <c r="H344" s="2">
        <v>7158</v>
      </c>
      <c r="I344" s="2">
        <v>0</v>
      </c>
      <c r="J344" s="2"/>
      <c r="K344" s="2">
        <v>17393</v>
      </c>
      <c r="L344" s="2">
        <v>16361</v>
      </c>
      <c r="M344" s="2">
        <v>14664</v>
      </c>
      <c r="N344" s="2">
        <v>5871</v>
      </c>
      <c r="O344" s="2">
        <v>0</v>
      </c>
      <c r="P344" s="2"/>
      <c r="Q344" s="2">
        <v>18465</v>
      </c>
      <c r="R344" s="2">
        <v>-15883</v>
      </c>
      <c r="S344" s="2">
        <v>2239</v>
      </c>
      <c r="T344" s="2">
        <v>2913</v>
      </c>
      <c r="U344" s="2">
        <v>0</v>
      </c>
      <c r="V344" s="2"/>
      <c r="W344" s="2">
        <v>20801</v>
      </c>
      <c r="X344" s="2">
        <v>17041</v>
      </c>
      <c r="Y344" s="2">
        <v>13834</v>
      </c>
      <c r="Z344" s="2">
        <v>0</v>
      </c>
      <c r="AA344" s="2">
        <v>0</v>
      </c>
      <c r="AB344" s="2"/>
      <c r="AC344" s="2">
        <v>1496</v>
      </c>
      <c r="AD344" s="2">
        <v>1324</v>
      </c>
      <c r="AE344" s="2">
        <v>1325</v>
      </c>
      <c r="AF344" s="2">
        <v>0</v>
      </c>
      <c r="AG344" s="2">
        <v>0</v>
      </c>
      <c r="AH344" s="2"/>
      <c r="AI344" s="2">
        <v>-3021</v>
      </c>
      <c r="AJ344" s="2">
        <v>-3022</v>
      </c>
      <c r="AK344" s="2">
        <v>-1624</v>
      </c>
      <c r="AL344" s="2">
        <v>-1626</v>
      </c>
      <c r="AM344" s="2">
        <v>-3022</v>
      </c>
    </row>
    <row r="345" spans="1:39">
      <c r="A345" s="349">
        <v>93333</v>
      </c>
      <c r="B345" s="342" t="s">
        <v>3667</v>
      </c>
      <c r="C345" s="234" t="e">
        <f>VLOOKUP(A345,#REF!,10,FALSE)</f>
        <v>#REF!</v>
      </c>
      <c r="E345" s="2">
        <v>128526</v>
      </c>
      <c r="F345" s="2">
        <v>53088</v>
      </c>
      <c r="G345" s="2">
        <v>53842</v>
      </c>
      <c r="H345" s="2">
        <v>20247</v>
      </c>
      <c r="I345" s="2">
        <v>0</v>
      </c>
      <c r="J345" s="2"/>
      <c r="K345" s="2">
        <v>24958</v>
      </c>
      <c r="L345" s="2">
        <v>23477</v>
      </c>
      <c r="M345" s="2">
        <v>21042</v>
      </c>
      <c r="N345" s="2">
        <v>8425</v>
      </c>
      <c r="O345" s="2">
        <v>0</v>
      </c>
      <c r="P345" s="2"/>
      <c r="Q345" s="2">
        <v>26496</v>
      </c>
      <c r="R345" s="2">
        <v>-22792</v>
      </c>
      <c r="S345" s="2">
        <v>3212</v>
      </c>
      <c r="T345" s="2">
        <v>4181</v>
      </c>
      <c r="U345" s="2">
        <v>0</v>
      </c>
      <c r="V345" s="2"/>
      <c r="W345" s="2">
        <v>29848</v>
      </c>
      <c r="X345" s="2">
        <v>24453</v>
      </c>
      <c r="Y345" s="2">
        <v>19852</v>
      </c>
      <c r="Z345" s="2">
        <v>0</v>
      </c>
      <c r="AA345" s="2">
        <v>0</v>
      </c>
      <c r="AB345" s="2"/>
      <c r="AC345" s="2">
        <v>47224</v>
      </c>
      <c r="AD345" s="2">
        <v>27950</v>
      </c>
      <c r="AE345" s="2">
        <v>9736</v>
      </c>
      <c r="AF345" s="2">
        <v>7641</v>
      </c>
      <c r="AG345" s="2">
        <v>0</v>
      </c>
      <c r="AH345" s="2"/>
      <c r="AI345" s="2">
        <v>0</v>
      </c>
      <c r="AJ345" s="2">
        <v>0</v>
      </c>
      <c r="AK345" s="2">
        <v>0</v>
      </c>
      <c r="AL345" s="2">
        <v>0</v>
      </c>
      <c r="AM345" s="2">
        <v>0</v>
      </c>
    </row>
    <row r="346" spans="1:39">
      <c r="A346" s="349">
        <v>93341</v>
      </c>
      <c r="B346" s="342" t="s">
        <v>1034</v>
      </c>
      <c r="C346" s="234" t="e">
        <f>VLOOKUP(A346,#REF!,10,FALSE)</f>
        <v>#REF!</v>
      </c>
      <c r="E346" s="2">
        <v>15839</v>
      </c>
      <c r="F346" s="2">
        <v>5600</v>
      </c>
      <c r="G346" s="2">
        <v>9148</v>
      </c>
      <c r="H346" s="2">
        <v>2719</v>
      </c>
      <c r="I346" s="2">
        <v>0</v>
      </c>
      <c r="J346" s="2"/>
      <c r="K346" s="2">
        <v>4389</v>
      </c>
      <c r="L346" s="2">
        <v>4129</v>
      </c>
      <c r="M346" s="2">
        <v>3701</v>
      </c>
      <c r="N346" s="2">
        <v>1482</v>
      </c>
      <c r="O346" s="2">
        <v>0</v>
      </c>
      <c r="P346" s="2"/>
      <c r="Q346" s="2">
        <v>4660</v>
      </c>
      <c r="R346" s="2">
        <v>-4008</v>
      </c>
      <c r="S346" s="2">
        <v>565</v>
      </c>
      <c r="T346" s="2">
        <v>735</v>
      </c>
      <c r="U346" s="2">
        <v>0</v>
      </c>
      <c r="V346" s="2"/>
      <c r="W346" s="2">
        <v>5249</v>
      </c>
      <c r="X346" s="2">
        <v>4301</v>
      </c>
      <c r="Y346" s="2">
        <v>3491</v>
      </c>
      <c r="Z346" s="2">
        <v>0</v>
      </c>
      <c r="AA346" s="2">
        <v>0</v>
      </c>
      <c r="AB346" s="2"/>
      <c r="AC346" s="2">
        <v>1757</v>
      </c>
      <c r="AD346" s="2">
        <v>1393</v>
      </c>
      <c r="AE346" s="2">
        <v>1391</v>
      </c>
      <c r="AF346" s="2">
        <v>502</v>
      </c>
      <c r="AG346" s="2">
        <v>0</v>
      </c>
      <c r="AH346" s="2"/>
      <c r="AI346" s="2">
        <v>-216</v>
      </c>
      <c r="AJ346" s="2">
        <v>-215</v>
      </c>
      <c r="AK346" s="2">
        <v>0</v>
      </c>
      <c r="AL346" s="2">
        <v>0</v>
      </c>
      <c r="AM346" s="2">
        <v>-215</v>
      </c>
    </row>
    <row r="347" spans="1:39">
      <c r="A347" s="349">
        <v>93351</v>
      </c>
      <c r="B347" s="342" t="s">
        <v>1035</v>
      </c>
      <c r="C347" s="234" t="e">
        <f>VLOOKUP(A347,#REF!,10,FALSE)</f>
        <v>#REF!</v>
      </c>
      <c r="E347" s="2">
        <v>19385</v>
      </c>
      <c r="F347" s="2">
        <v>6857</v>
      </c>
      <c r="G347" s="2">
        <v>7294</v>
      </c>
      <c r="H347" s="2">
        <v>4000</v>
      </c>
      <c r="I347" s="2">
        <v>0</v>
      </c>
      <c r="J347" s="2"/>
      <c r="K347" s="2">
        <v>4734</v>
      </c>
      <c r="L347" s="2">
        <v>4453</v>
      </c>
      <c r="M347" s="2">
        <v>3991</v>
      </c>
      <c r="N347" s="2">
        <v>1598</v>
      </c>
      <c r="O347" s="2">
        <v>0</v>
      </c>
      <c r="P347" s="2"/>
      <c r="Q347" s="2">
        <v>5026</v>
      </c>
      <c r="R347" s="2">
        <v>-4323</v>
      </c>
      <c r="S347" s="2">
        <v>609</v>
      </c>
      <c r="T347" s="2">
        <v>793</v>
      </c>
      <c r="U347" s="2">
        <v>0</v>
      </c>
      <c r="V347" s="2"/>
      <c r="W347" s="2">
        <v>5662</v>
      </c>
      <c r="X347" s="2">
        <v>4638</v>
      </c>
      <c r="Y347" s="2">
        <v>3765</v>
      </c>
      <c r="Z347" s="2">
        <v>0</v>
      </c>
      <c r="AA347" s="2">
        <v>0</v>
      </c>
      <c r="AB347" s="2"/>
      <c r="AC347" s="2">
        <v>6643</v>
      </c>
      <c r="AD347" s="2">
        <v>4769</v>
      </c>
      <c r="AE347" s="2">
        <v>1609</v>
      </c>
      <c r="AF347" s="2">
        <v>1609</v>
      </c>
      <c r="AG347" s="2">
        <v>0</v>
      </c>
      <c r="AH347" s="2"/>
      <c r="AI347" s="2">
        <v>-2680</v>
      </c>
      <c r="AJ347" s="2">
        <v>-2680</v>
      </c>
      <c r="AK347" s="2">
        <v>-2680</v>
      </c>
      <c r="AL347" s="2">
        <v>0</v>
      </c>
      <c r="AM347" s="2">
        <v>-2680</v>
      </c>
    </row>
    <row r="348" spans="1:39">
      <c r="A348" s="349">
        <v>93401</v>
      </c>
      <c r="B348" s="342" t="s">
        <v>1036</v>
      </c>
      <c r="C348" s="234" t="e">
        <f>VLOOKUP(A348,#REF!,10,FALSE)</f>
        <v>#REF!</v>
      </c>
      <c r="E348" s="2">
        <v>6622459</v>
      </c>
      <c r="F348" s="2">
        <v>2036507</v>
      </c>
      <c r="G348" s="2">
        <v>3588235</v>
      </c>
      <c r="H348" s="2">
        <v>968118</v>
      </c>
      <c r="I348" s="2">
        <v>0</v>
      </c>
      <c r="J348" s="2"/>
      <c r="K348" s="2">
        <v>2050978</v>
      </c>
      <c r="L348" s="2">
        <v>1929308</v>
      </c>
      <c r="M348" s="2">
        <v>1729216</v>
      </c>
      <c r="N348" s="2">
        <v>692357</v>
      </c>
      <c r="O348" s="2">
        <v>0</v>
      </c>
      <c r="P348" s="2"/>
      <c r="Q348" s="2">
        <v>2177399</v>
      </c>
      <c r="R348" s="2">
        <v>-1872970</v>
      </c>
      <c r="S348" s="2">
        <v>263972</v>
      </c>
      <c r="T348" s="2">
        <v>343557</v>
      </c>
      <c r="U348" s="2">
        <v>0</v>
      </c>
      <c r="V348" s="2"/>
      <c r="W348" s="2">
        <v>2452871</v>
      </c>
      <c r="X348" s="2">
        <v>2009481</v>
      </c>
      <c r="Y348" s="2">
        <v>1631355</v>
      </c>
      <c r="Z348" s="2">
        <v>0</v>
      </c>
      <c r="AA348" s="2">
        <v>0</v>
      </c>
      <c r="AB348" s="2"/>
      <c r="AC348" s="2">
        <v>38484</v>
      </c>
      <c r="AD348" s="2">
        <v>38485</v>
      </c>
      <c r="AE348" s="2">
        <v>31489</v>
      </c>
      <c r="AF348" s="2">
        <v>0</v>
      </c>
      <c r="AG348" s="2">
        <v>0</v>
      </c>
      <c r="AH348" s="2"/>
      <c r="AI348" s="2">
        <v>-97273</v>
      </c>
      <c r="AJ348" s="2">
        <v>-67797</v>
      </c>
      <c r="AK348" s="2">
        <v>-67797</v>
      </c>
      <c r="AL348" s="2">
        <v>-67796</v>
      </c>
      <c r="AM348" s="2">
        <v>-67797</v>
      </c>
    </row>
    <row r="349" spans="1:39">
      <c r="A349" s="349">
        <v>93406</v>
      </c>
      <c r="B349" s="342" t="s">
        <v>1038</v>
      </c>
      <c r="C349" s="234" t="e">
        <f>VLOOKUP(A349,#REF!,10,FALSE)</f>
        <v>#REF!</v>
      </c>
      <c r="E349" s="2">
        <v>207741</v>
      </c>
      <c r="F349" s="2">
        <v>39879</v>
      </c>
      <c r="G349" s="2">
        <v>108102</v>
      </c>
      <c r="H349" s="2">
        <v>38226</v>
      </c>
      <c r="I349" s="2">
        <v>0</v>
      </c>
      <c r="J349" s="2"/>
      <c r="K349" s="2">
        <v>73930</v>
      </c>
      <c r="L349" s="2">
        <v>69544</v>
      </c>
      <c r="M349" s="2">
        <v>62332</v>
      </c>
      <c r="N349" s="2">
        <v>24957</v>
      </c>
      <c r="O349" s="2">
        <v>0</v>
      </c>
      <c r="P349" s="2"/>
      <c r="Q349" s="2">
        <v>78487</v>
      </c>
      <c r="R349" s="2">
        <v>-67513</v>
      </c>
      <c r="S349" s="2">
        <v>9515</v>
      </c>
      <c r="T349" s="2">
        <v>12384</v>
      </c>
      <c r="U349" s="2">
        <v>0</v>
      </c>
      <c r="V349" s="2"/>
      <c r="W349" s="2">
        <v>88416</v>
      </c>
      <c r="X349" s="2">
        <v>72434</v>
      </c>
      <c r="Y349" s="2">
        <v>58804</v>
      </c>
      <c r="Z349" s="2">
        <v>0</v>
      </c>
      <c r="AA349" s="2">
        <v>0</v>
      </c>
      <c r="AB349" s="2"/>
      <c r="AC349" s="2">
        <v>2375</v>
      </c>
      <c r="AD349" s="2">
        <v>883</v>
      </c>
      <c r="AE349" s="2">
        <v>883</v>
      </c>
      <c r="AF349" s="2">
        <v>885</v>
      </c>
      <c r="AG349" s="2">
        <v>0</v>
      </c>
      <c r="AH349" s="2"/>
      <c r="AI349" s="2">
        <v>-35467</v>
      </c>
      <c r="AJ349" s="2">
        <v>-35469</v>
      </c>
      <c r="AK349" s="2">
        <v>-23432</v>
      </c>
      <c r="AL349" s="2">
        <v>0</v>
      </c>
      <c r="AM349" s="2">
        <v>-35469</v>
      </c>
    </row>
    <row r="350" spans="1:39">
      <c r="A350" s="349">
        <v>93411</v>
      </c>
      <c r="B350" s="342" t="s">
        <v>1040</v>
      </c>
      <c r="C350" s="234" t="e">
        <f>VLOOKUP(A350,#REF!,10,FALSE)</f>
        <v>#REF!</v>
      </c>
      <c r="E350" s="2">
        <v>8697729</v>
      </c>
      <c r="F350" s="2">
        <v>2810941</v>
      </c>
      <c r="G350" s="2">
        <v>4767372</v>
      </c>
      <c r="H350" s="2">
        <v>1276263</v>
      </c>
      <c r="I350" s="2">
        <v>0</v>
      </c>
      <c r="J350" s="2"/>
      <c r="K350" s="2">
        <v>2656752</v>
      </c>
      <c r="L350" s="2">
        <v>2499146</v>
      </c>
      <c r="M350" s="2">
        <v>2239956</v>
      </c>
      <c r="N350" s="2">
        <v>896851</v>
      </c>
      <c r="O350" s="2">
        <v>0</v>
      </c>
      <c r="P350" s="2"/>
      <c r="Q350" s="2">
        <v>2820513</v>
      </c>
      <c r="R350" s="2">
        <v>-2426168</v>
      </c>
      <c r="S350" s="2">
        <v>341939</v>
      </c>
      <c r="T350" s="2">
        <v>445030</v>
      </c>
      <c r="U350" s="2">
        <v>0</v>
      </c>
      <c r="V350" s="2"/>
      <c r="W350" s="2">
        <v>3177348</v>
      </c>
      <c r="X350" s="2">
        <v>2602999</v>
      </c>
      <c r="Y350" s="2">
        <v>2113190</v>
      </c>
      <c r="Z350" s="2">
        <v>0</v>
      </c>
      <c r="AA350" s="2">
        <v>0</v>
      </c>
      <c r="AB350" s="2"/>
      <c r="AC350" s="2">
        <v>200585</v>
      </c>
      <c r="AD350" s="2">
        <v>200584</v>
      </c>
      <c r="AE350" s="2">
        <v>137907</v>
      </c>
      <c r="AF350" s="2">
        <v>0</v>
      </c>
      <c r="AG350" s="2">
        <v>0</v>
      </c>
      <c r="AH350" s="2"/>
      <c r="AI350" s="2">
        <v>-157469</v>
      </c>
      <c r="AJ350" s="2">
        <v>-65620</v>
      </c>
      <c r="AK350" s="2">
        <v>-65620</v>
      </c>
      <c r="AL350" s="2">
        <v>-65618</v>
      </c>
      <c r="AM350" s="2">
        <v>-65620</v>
      </c>
    </row>
    <row r="351" spans="1:39">
      <c r="A351" s="349">
        <v>93413</v>
      </c>
      <c r="B351" s="342" t="s">
        <v>1041</v>
      </c>
      <c r="C351" s="234" t="e">
        <f>VLOOKUP(A351,#REF!,10,FALSE)</f>
        <v>#REF!</v>
      </c>
      <c r="E351" s="2">
        <v>331569</v>
      </c>
      <c r="F351" s="2">
        <v>101623</v>
      </c>
      <c r="G351" s="2">
        <v>180955</v>
      </c>
      <c r="H351" s="2">
        <v>53026</v>
      </c>
      <c r="I351" s="2">
        <v>0</v>
      </c>
      <c r="J351" s="2"/>
      <c r="K351" s="2">
        <v>104206</v>
      </c>
      <c r="L351" s="2">
        <v>98024</v>
      </c>
      <c r="M351" s="2">
        <v>87858</v>
      </c>
      <c r="N351" s="2">
        <v>35177</v>
      </c>
      <c r="O351" s="2">
        <v>0</v>
      </c>
      <c r="P351" s="2"/>
      <c r="Q351" s="2">
        <v>110629</v>
      </c>
      <c r="R351" s="2">
        <v>-95162</v>
      </c>
      <c r="S351" s="2">
        <v>13412</v>
      </c>
      <c r="T351" s="2">
        <v>17455</v>
      </c>
      <c r="U351" s="2">
        <v>0</v>
      </c>
      <c r="V351" s="2"/>
      <c r="W351" s="2">
        <v>124625</v>
      </c>
      <c r="X351" s="2">
        <v>102097</v>
      </c>
      <c r="Y351" s="2">
        <v>82886</v>
      </c>
      <c r="Z351" s="2">
        <v>0</v>
      </c>
      <c r="AA351" s="2">
        <v>0</v>
      </c>
      <c r="AB351" s="2"/>
      <c r="AC351" s="2">
        <v>396</v>
      </c>
      <c r="AD351" s="2">
        <v>396</v>
      </c>
      <c r="AE351" s="2">
        <v>396</v>
      </c>
      <c r="AF351" s="2">
        <v>394</v>
      </c>
      <c r="AG351" s="2">
        <v>0</v>
      </c>
      <c r="AH351" s="2"/>
      <c r="AI351" s="2">
        <v>-8287</v>
      </c>
      <c r="AJ351" s="2">
        <v>-3732</v>
      </c>
      <c r="AK351" s="2">
        <v>-3597</v>
      </c>
      <c r="AL351" s="2">
        <v>0</v>
      </c>
      <c r="AM351" s="2">
        <v>-3732</v>
      </c>
    </row>
    <row r="352" spans="1:39">
      <c r="A352" s="349">
        <v>93417</v>
      </c>
      <c r="B352" s="342" t="s">
        <v>1042</v>
      </c>
      <c r="C352" s="234" t="e">
        <f>VLOOKUP(A352,#REF!,10,FALSE)</f>
        <v>#REF!</v>
      </c>
      <c r="E352" s="2">
        <v>133628</v>
      </c>
      <c r="F352" s="2">
        <v>36581</v>
      </c>
      <c r="G352" s="2">
        <v>77477</v>
      </c>
      <c r="H352" s="2">
        <v>20921</v>
      </c>
      <c r="I352" s="2">
        <v>0</v>
      </c>
      <c r="J352" s="2"/>
      <c r="K352" s="2">
        <v>42935</v>
      </c>
      <c r="L352" s="2">
        <v>40388</v>
      </c>
      <c r="M352" s="2">
        <v>36199</v>
      </c>
      <c r="N352" s="2">
        <v>14494</v>
      </c>
      <c r="O352" s="2">
        <v>0</v>
      </c>
      <c r="P352" s="2"/>
      <c r="Q352" s="2">
        <v>45581</v>
      </c>
      <c r="R352" s="2">
        <v>-39208</v>
      </c>
      <c r="S352" s="2">
        <v>5526</v>
      </c>
      <c r="T352" s="2">
        <v>7192</v>
      </c>
      <c r="U352" s="2">
        <v>0</v>
      </c>
      <c r="V352" s="2"/>
      <c r="W352" s="2">
        <v>51348</v>
      </c>
      <c r="X352" s="2">
        <v>42066</v>
      </c>
      <c r="Y352" s="2">
        <v>34150</v>
      </c>
      <c r="Z352" s="2">
        <v>0</v>
      </c>
      <c r="AA352" s="2">
        <v>0</v>
      </c>
      <c r="AB352" s="2"/>
      <c r="AC352" s="2">
        <v>2796</v>
      </c>
      <c r="AD352" s="2">
        <v>2369</v>
      </c>
      <c r="AE352" s="2">
        <v>2367</v>
      </c>
      <c r="AF352" s="2">
        <v>0</v>
      </c>
      <c r="AG352" s="2">
        <v>0</v>
      </c>
      <c r="AH352" s="2"/>
      <c r="AI352" s="2">
        <v>-9032</v>
      </c>
      <c r="AJ352" s="2">
        <v>-9034</v>
      </c>
      <c r="AK352" s="2">
        <v>-765</v>
      </c>
      <c r="AL352" s="2">
        <v>-765</v>
      </c>
      <c r="AM352" s="2">
        <v>-9034</v>
      </c>
    </row>
    <row r="353" spans="1:39">
      <c r="A353" s="349">
        <v>93421</v>
      </c>
      <c r="B353" s="342" t="s">
        <v>1043</v>
      </c>
      <c r="C353" s="234" t="e">
        <f>VLOOKUP(A353,#REF!,10,FALSE)</f>
        <v>#REF!</v>
      </c>
      <c r="E353" s="2">
        <v>905391</v>
      </c>
      <c r="F353" s="2">
        <v>238630</v>
      </c>
      <c r="G353" s="2">
        <v>495545</v>
      </c>
      <c r="H353" s="2">
        <v>123744</v>
      </c>
      <c r="I353" s="2">
        <v>0</v>
      </c>
      <c r="J353" s="2"/>
      <c r="K353" s="2">
        <v>308138</v>
      </c>
      <c r="L353" s="2">
        <v>289858</v>
      </c>
      <c r="M353" s="2">
        <v>259797</v>
      </c>
      <c r="N353" s="2">
        <v>104019</v>
      </c>
      <c r="O353" s="2">
        <v>0</v>
      </c>
      <c r="P353" s="2"/>
      <c r="Q353" s="2">
        <v>327131</v>
      </c>
      <c r="R353" s="2">
        <v>-281394</v>
      </c>
      <c r="S353" s="2">
        <v>39659</v>
      </c>
      <c r="T353" s="2">
        <v>51616</v>
      </c>
      <c r="U353" s="2">
        <v>0</v>
      </c>
      <c r="V353" s="2"/>
      <c r="W353" s="2">
        <v>368518</v>
      </c>
      <c r="X353" s="2">
        <v>301904</v>
      </c>
      <c r="Y353" s="2">
        <v>245094</v>
      </c>
      <c r="Z353" s="2">
        <v>0</v>
      </c>
      <c r="AA353" s="2">
        <v>0</v>
      </c>
      <c r="AB353" s="2"/>
      <c r="AC353" s="2">
        <v>0</v>
      </c>
      <c r="AD353" s="2">
        <v>0</v>
      </c>
      <c r="AE353" s="2">
        <v>0</v>
      </c>
      <c r="AF353" s="2">
        <v>0</v>
      </c>
      <c r="AG353" s="2">
        <v>0</v>
      </c>
      <c r="AH353" s="2"/>
      <c r="AI353" s="2">
        <v>-98396</v>
      </c>
      <c r="AJ353" s="2">
        <v>-71738</v>
      </c>
      <c r="AK353" s="2">
        <v>-49005</v>
      </c>
      <c r="AL353" s="2">
        <v>-31891</v>
      </c>
      <c r="AM353" s="2">
        <v>-71738</v>
      </c>
    </row>
    <row r="354" spans="1:39">
      <c r="A354" s="349">
        <v>93431</v>
      </c>
      <c r="B354" s="342" t="s">
        <v>1044</v>
      </c>
      <c r="C354" s="234" t="e">
        <f>VLOOKUP(A354,#REF!,10,FALSE)</f>
        <v>#REF!</v>
      </c>
      <c r="E354" s="2">
        <v>71030</v>
      </c>
      <c r="F354" s="2">
        <v>25845</v>
      </c>
      <c r="G354" s="2">
        <v>38628</v>
      </c>
      <c r="H354" s="2">
        <v>10307</v>
      </c>
      <c r="I354" s="2">
        <v>0</v>
      </c>
      <c r="J354" s="2"/>
      <c r="K354" s="2">
        <v>20688</v>
      </c>
      <c r="L354" s="2">
        <v>19461</v>
      </c>
      <c r="M354" s="2">
        <v>17443</v>
      </c>
      <c r="N354" s="2">
        <v>6984</v>
      </c>
      <c r="O354" s="2">
        <v>0</v>
      </c>
      <c r="P354" s="2"/>
      <c r="Q354" s="2">
        <v>21964</v>
      </c>
      <c r="R354" s="2">
        <v>-18893</v>
      </c>
      <c r="S354" s="2">
        <v>2663</v>
      </c>
      <c r="T354" s="2">
        <v>3465</v>
      </c>
      <c r="U354" s="2">
        <v>0</v>
      </c>
      <c r="V354" s="2"/>
      <c r="W354" s="2">
        <v>24742</v>
      </c>
      <c r="X354" s="2">
        <v>20270</v>
      </c>
      <c r="Y354" s="2">
        <v>16456</v>
      </c>
      <c r="Z354" s="2">
        <v>0</v>
      </c>
      <c r="AA354" s="2">
        <v>0</v>
      </c>
      <c r="AB354" s="2"/>
      <c r="AC354" s="2">
        <v>5149</v>
      </c>
      <c r="AD354" s="2">
        <v>5147</v>
      </c>
      <c r="AE354" s="2">
        <v>2206</v>
      </c>
      <c r="AF354" s="2">
        <v>0</v>
      </c>
      <c r="AG354" s="2">
        <v>0</v>
      </c>
      <c r="AH354" s="2"/>
      <c r="AI354" s="2">
        <v>-1513</v>
      </c>
      <c r="AJ354" s="2">
        <v>-140</v>
      </c>
      <c r="AK354" s="2">
        <v>-140</v>
      </c>
      <c r="AL354" s="2">
        <v>-142</v>
      </c>
      <c r="AM354" s="2">
        <v>-140</v>
      </c>
    </row>
    <row r="355" spans="1:39">
      <c r="A355" s="349">
        <v>93441</v>
      </c>
      <c r="B355" s="342" t="s">
        <v>1045</v>
      </c>
      <c r="C355" s="234" t="e">
        <f>VLOOKUP(A355,#REF!,10,FALSE)</f>
        <v>#REF!</v>
      </c>
      <c r="E355" s="2">
        <v>87318</v>
      </c>
      <c r="F355" s="2">
        <v>27615</v>
      </c>
      <c r="G355" s="2">
        <v>44301</v>
      </c>
      <c r="H355" s="2">
        <v>11509</v>
      </c>
      <c r="I355" s="2">
        <v>0</v>
      </c>
      <c r="J355" s="2"/>
      <c r="K355" s="2">
        <v>24808</v>
      </c>
      <c r="L355" s="2">
        <v>23336</v>
      </c>
      <c r="M355" s="2">
        <v>20916</v>
      </c>
      <c r="N355" s="2">
        <v>8375</v>
      </c>
      <c r="O355" s="2">
        <v>0</v>
      </c>
      <c r="P355" s="2"/>
      <c r="Q355" s="2">
        <v>26337</v>
      </c>
      <c r="R355" s="2">
        <v>-22655</v>
      </c>
      <c r="S355" s="2">
        <v>3193</v>
      </c>
      <c r="T355" s="2">
        <v>4156</v>
      </c>
      <c r="U355" s="2">
        <v>0</v>
      </c>
      <c r="V355" s="2"/>
      <c r="W355" s="2">
        <v>29669</v>
      </c>
      <c r="X355" s="2">
        <v>24306</v>
      </c>
      <c r="Y355" s="2">
        <v>19732</v>
      </c>
      <c r="Z355" s="2">
        <v>0</v>
      </c>
      <c r="AA355" s="2">
        <v>0</v>
      </c>
      <c r="AB355" s="2"/>
      <c r="AC355" s="2">
        <v>7525</v>
      </c>
      <c r="AD355" s="2">
        <v>3649</v>
      </c>
      <c r="AE355" s="2">
        <v>1481</v>
      </c>
      <c r="AF355" s="2">
        <v>0</v>
      </c>
      <c r="AG355" s="2">
        <v>0</v>
      </c>
      <c r="AH355" s="2"/>
      <c r="AI355" s="2">
        <v>-1021</v>
      </c>
      <c r="AJ355" s="2">
        <v>-1021</v>
      </c>
      <c r="AK355" s="2">
        <v>-1021</v>
      </c>
      <c r="AL355" s="2">
        <v>-1022</v>
      </c>
      <c r="AM355" s="2">
        <v>-1021</v>
      </c>
    </row>
    <row r="356" spans="1:39">
      <c r="A356" s="349">
        <v>93442</v>
      </c>
      <c r="B356" s="342" t="s">
        <v>1046</v>
      </c>
      <c r="C356" s="234" t="e">
        <f>VLOOKUP(A356,#REF!,10,FALSE)</f>
        <v>#REF!</v>
      </c>
      <c r="E356" s="2">
        <v>67874</v>
      </c>
      <c r="F356" s="2">
        <v>20830</v>
      </c>
      <c r="G356" s="2">
        <v>38389</v>
      </c>
      <c r="H356" s="2">
        <v>10396</v>
      </c>
      <c r="I356" s="2">
        <v>0</v>
      </c>
      <c r="J356" s="2"/>
      <c r="K356" s="2">
        <v>23385</v>
      </c>
      <c r="L356" s="2">
        <v>21998</v>
      </c>
      <c r="M356" s="2">
        <v>19716</v>
      </c>
      <c r="N356" s="2">
        <v>7894</v>
      </c>
      <c r="O356" s="2">
        <v>0</v>
      </c>
      <c r="P356" s="2"/>
      <c r="Q356" s="2">
        <v>24826</v>
      </c>
      <c r="R356" s="2">
        <v>-21355</v>
      </c>
      <c r="S356" s="2">
        <v>3010</v>
      </c>
      <c r="T356" s="2">
        <v>3917</v>
      </c>
      <c r="U356" s="2">
        <v>0</v>
      </c>
      <c r="V356" s="2"/>
      <c r="W356" s="2">
        <v>27967</v>
      </c>
      <c r="X356" s="2">
        <v>22912</v>
      </c>
      <c r="Y356" s="2">
        <v>18600</v>
      </c>
      <c r="Z356" s="2">
        <v>0</v>
      </c>
      <c r="AA356" s="2">
        <v>0</v>
      </c>
      <c r="AB356" s="2"/>
      <c r="AC356" s="2">
        <v>214</v>
      </c>
      <c r="AD356" s="2">
        <v>214</v>
      </c>
      <c r="AE356" s="2">
        <v>0</v>
      </c>
      <c r="AF356" s="2">
        <v>0</v>
      </c>
      <c r="AG356" s="2">
        <v>0</v>
      </c>
      <c r="AH356" s="2"/>
      <c r="AI356" s="2">
        <v>-8518</v>
      </c>
      <c r="AJ356" s="2">
        <v>-2939</v>
      </c>
      <c r="AK356" s="2">
        <v>-2937</v>
      </c>
      <c r="AL356" s="2">
        <v>-1415</v>
      </c>
      <c r="AM356" s="2">
        <v>-2939</v>
      </c>
    </row>
    <row r="357" spans="1:39">
      <c r="A357" s="349">
        <v>93451</v>
      </c>
      <c r="B357" s="342" t="s">
        <v>1047</v>
      </c>
      <c r="C357" s="234" t="e">
        <f>VLOOKUP(A357,#REF!,10,FALSE)</f>
        <v>#REF!</v>
      </c>
      <c r="E357" s="2">
        <v>37851</v>
      </c>
      <c r="F357" s="2">
        <v>13550</v>
      </c>
      <c r="G357" s="2">
        <v>20290</v>
      </c>
      <c r="H357" s="2">
        <v>4791</v>
      </c>
      <c r="I357" s="2">
        <v>0</v>
      </c>
      <c r="J357" s="2"/>
      <c r="K357" s="2">
        <v>9977</v>
      </c>
      <c r="L357" s="2">
        <v>9385</v>
      </c>
      <c r="M357" s="2">
        <v>8412</v>
      </c>
      <c r="N357" s="2">
        <v>3368</v>
      </c>
      <c r="O357" s="2">
        <v>0</v>
      </c>
      <c r="P357" s="2"/>
      <c r="Q357" s="2">
        <v>10592</v>
      </c>
      <c r="R357" s="2">
        <v>-9111</v>
      </c>
      <c r="S357" s="2">
        <v>1284</v>
      </c>
      <c r="T357" s="2">
        <v>1671</v>
      </c>
      <c r="U357" s="2">
        <v>0</v>
      </c>
      <c r="V357" s="2"/>
      <c r="W357" s="2">
        <v>11932</v>
      </c>
      <c r="X357" s="2">
        <v>9775</v>
      </c>
      <c r="Y357" s="2">
        <v>7936</v>
      </c>
      <c r="Z357" s="2">
        <v>0</v>
      </c>
      <c r="AA357" s="2">
        <v>0</v>
      </c>
      <c r="AB357" s="2"/>
      <c r="AC357" s="2">
        <v>5598</v>
      </c>
      <c r="AD357" s="2">
        <v>3749</v>
      </c>
      <c r="AE357" s="2">
        <v>2906</v>
      </c>
      <c r="AF357" s="2">
        <v>0</v>
      </c>
      <c r="AG357" s="2">
        <v>0</v>
      </c>
      <c r="AH357" s="2"/>
      <c r="AI357" s="2">
        <v>-248</v>
      </c>
      <c r="AJ357" s="2">
        <v>-248</v>
      </c>
      <c r="AK357" s="2">
        <v>-248</v>
      </c>
      <c r="AL357" s="2">
        <v>-248</v>
      </c>
      <c r="AM357" s="2">
        <v>-248</v>
      </c>
    </row>
    <row r="358" spans="1:39">
      <c r="A358" s="349">
        <v>93461</v>
      </c>
      <c r="B358" s="342" t="s">
        <v>1048</v>
      </c>
      <c r="C358" s="234" t="e">
        <f>VLOOKUP(A358,#REF!,10,FALSE)</f>
        <v>#REF!</v>
      </c>
      <c r="E358" s="2">
        <v>7684</v>
      </c>
      <c r="F358" s="2">
        <v>2389</v>
      </c>
      <c r="G358" s="2">
        <v>4124</v>
      </c>
      <c r="H358" s="2">
        <v>1097</v>
      </c>
      <c r="I358" s="2">
        <v>0</v>
      </c>
      <c r="J358" s="2"/>
      <c r="K358" s="2">
        <v>2322</v>
      </c>
      <c r="L358" s="2">
        <v>2184</v>
      </c>
      <c r="M358" s="2">
        <v>1958</v>
      </c>
      <c r="N358" s="2">
        <v>784</v>
      </c>
      <c r="O358" s="2">
        <v>0</v>
      </c>
      <c r="P358" s="2"/>
      <c r="Q358" s="2">
        <v>2465</v>
      </c>
      <c r="R358" s="2">
        <v>-2120</v>
      </c>
      <c r="S358" s="2">
        <v>299</v>
      </c>
      <c r="T358" s="2">
        <v>389</v>
      </c>
      <c r="U358" s="2">
        <v>0</v>
      </c>
      <c r="V358" s="2"/>
      <c r="W358" s="2">
        <v>2777</v>
      </c>
      <c r="X358" s="2">
        <v>2275</v>
      </c>
      <c r="Y358" s="2">
        <v>1847</v>
      </c>
      <c r="Z358" s="2">
        <v>0</v>
      </c>
      <c r="AA358" s="2">
        <v>0</v>
      </c>
      <c r="AB358" s="2"/>
      <c r="AC358" s="2">
        <v>194</v>
      </c>
      <c r="AD358" s="2">
        <v>124</v>
      </c>
      <c r="AE358" s="2">
        <v>94</v>
      </c>
      <c r="AF358" s="2">
        <v>0</v>
      </c>
      <c r="AG358" s="2">
        <v>0</v>
      </c>
      <c r="AH358" s="2"/>
      <c r="AI358" s="2">
        <v>-74</v>
      </c>
      <c r="AJ358" s="2">
        <v>-74</v>
      </c>
      <c r="AK358" s="2">
        <v>-74</v>
      </c>
      <c r="AL358" s="2">
        <v>-76</v>
      </c>
      <c r="AM358" s="2">
        <v>-74</v>
      </c>
    </row>
    <row r="359" spans="1:39">
      <c r="A359" s="349">
        <v>93471</v>
      </c>
      <c r="B359" s="342" t="s">
        <v>1049</v>
      </c>
      <c r="C359" s="234" t="e">
        <f>VLOOKUP(A359,#REF!,10,FALSE)</f>
        <v>#REF!</v>
      </c>
      <c r="E359" s="2">
        <v>7559</v>
      </c>
      <c r="F359" s="2">
        <v>3367</v>
      </c>
      <c r="G359" s="2">
        <v>3985</v>
      </c>
      <c r="H359" s="2">
        <v>1462</v>
      </c>
      <c r="I359" s="2">
        <v>0</v>
      </c>
      <c r="J359" s="2"/>
      <c r="K359" s="2">
        <v>1708</v>
      </c>
      <c r="L359" s="2">
        <v>1606</v>
      </c>
      <c r="M359" s="2">
        <v>1440</v>
      </c>
      <c r="N359" s="2">
        <v>577</v>
      </c>
      <c r="O359" s="2">
        <v>0</v>
      </c>
      <c r="P359" s="2"/>
      <c r="Q359" s="2">
        <v>1813</v>
      </c>
      <c r="R359" s="2">
        <v>-1560</v>
      </c>
      <c r="S359" s="2">
        <v>220</v>
      </c>
      <c r="T359" s="2">
        <v>286</v>
      </c>
      <c r="U359" s="2">
        <v>0</v>
      </c>
      <c r="V359" s="2"/>
      <c r="W359" s="2">
        <v>2042</v>
      </c>
      <c r="X359" s="2">
        <v>1673</v>
      </c>
      <c r="Y359" s="2">
        <v>1358</v>
      </c>
      <c r="Z359" s="2">
        <v>0</v>
      </c>
      <c r="AA359" s="2">
        <v>0</v>
      </c>
      <c r="AB359" s="2"/>
      <c r="AC359" s="2">
        <v>1996</v>
      </c>
      <c r="AD359" s="2">
        <v>1648</v>
      </c>
      <c r="AE359" s="2">
        <v>967</v>
      </c>
      <c r="AF359" s="2">
        <v>599</v>
      </c>
      <c r="AG359" s="2">
        <v>0</v>
      </c>
      <c r="AH359" s="2"/>
      <c r="AI359" s="2">
        <v>0</v>
      </c>
      <c r="AJ359" s="2">
        <v>0</v>
      </c>
      <c r="AK359" s="2">
        <v>0</v>
      </c>
      <c r="AL359" s="2">
        <v>0</v>
      </c>
      <c r="AM359" s="2">
        <v>0</v>
      </c>
    </row>
    <row r="360" spans="1:39">
      <c r="A360" s="349">
        <v>93501</v>
      </c>
      <c r="B360" s="342" t="s">
        <v>1050</v>
      </c>
      <c r="C360" s="234" t="e">
        <f>VLOOKUP(A360,#REF!,10,FALSE)</f>
        <v>#REF!</v>
      </c>
      <c r="E360" s="2">
        <v>1929368</v>
      </c>
      <c r="F360" s="2">
        <v>649991</v>
      </c>
      <c r="G360" s="2">
        <v>1052511</v>
      </c>
      <c r="H360" s="2">
        <v>312306</v>
      </c>
      <c r="I360" s="2">
        <v>0</v>
      </c>
      <c r="J360" s="2"/>
      <c r="K360" s="2">
        <v>576218</v>
      </c>
      <c r="L360" s="2">
        <v>542035</v>
      </c>
      <c r="M360" s="2">
        <v>485820</v>
      </c>
      <c r="N360" s="2">
        <v>194516</v>
      </c>
      <c r="O360" s="2">
        <v>0</v>
      </c>
      <c r="P360" s="2"/>
      <c r="Q360" s="2">
        <v>611735</v>
      </c>
      <c r="R360" s="2">
        <v>-526207</v>
      </c>
      <c r="S360" s="2">
        <v>74162</v>
      </c>
      <c r="T360" s="2">
        <v>96522</v>
      </c>
      <c r="U360" s="2">
        <v>0</v>
      </c>
      <c r="V360" s="2"/>
      <c r="W360" s="2">
        <v>689129</v>
      </c>
      <c r="X360" s="2">
        <v>564559</v>
      </c>
      <c r="Y360" s="2">
        <v>458325</v>
      </c>
      <c r="Z360" s="2">
        <v>0</v>
      </c>
      <c r="AA360" s="2">
        <v>0</v>
      </c>
      <c r="AB360" s="2"/>
      <c r="AC360" s="2">
        <v>69604</v>
      </c>
      <c r="AD360" s="2">
        <v>69604</v>
      </c>
      <c r="AE360" s="2">
        <v>34204</v>
      </c>
      <c r="AF360" s="2">
        <v>21268</v>
      </c>
      <c r="AG360" s="2">
        <v>0</v>
      </c>
      <c r="AH360" s="2"/>
      <c r="AI360" s="2">
        <v>-17318</v>
      </c>
      <c r="AJ360" s="2">
        <v>0</v>
      </c>
      <c r="AK360" s="2">
        <v>0</v>
      </c>
      <c r="AL360" s="2">
        <v>0</v>
      </c>
      <c r="AM360" s="2">
        <v>0</v>
      </c>
    </row>
    <row r="361" spans="1:39">
      <c r="A361" s="349">
        <v>93511</v>
      </c>
      <c r="B361" s="342" t="s">
        <v>1051</v>
      </c>
      <c r="C361" s="234" t="e">
        <f>VLOOKUP(A361,#REF!,10,FALSE)</f>
        <v>#REF!</v>
      </c>
      <c r="E361" s="2">
        <v>43040</v>
      </c>
      <c r="F361" s="2">
        <v>15241</v>
      </c>
      <c r="G361" s="2">
        <v>26139</v>
      </c>
      <c r="H361" s="2">
        <v>8116</v>
      </c>
      <c r="I361" s="2">
        <v>0</v>
      </c>
      <c r="J361" s="2"/>
      <c r="K361" s="2">
        <v>13168</v>
      </c>
      <c r="L361" s="2">
        <v>12387</v>
      </c>
      <c r="M361" s="2">
        <v>11102</v>
      </c>
      <c r="N361" s="2">
        <v>4445</v>
      </c>
      <c r="O361" s="2">
        <v>0</v>
      </c>
      <c r="P361" s="2"/>
      <c r="Q361" s="2">
        <v>13980</v>
      </c>
      <c r="R361" s="2">
        <v>-12025</v>
      </c>
      <c r="S361" s="2">
        <v>1695</v>
      </c>
      <c r="T361" s="2">
        <v>2206</v>
      </c>
      <c r="U361" s="2">
        <v>0</v>
      </c>
      <c r="V361" s="2"/>
      <c r="W361" s="2">
        <v>15748</v>
      </c>
      <c r="X361" s="2">
        <v>12902</v>
      </c>
      <c r="Y361" s="2">
        <v>10474</v>
      </c>
      <c r="Z361" s="2">
        <v>0</v>
      </c>
      <c r="AA361" s="2">
        <v>0</v>
      </c>
      <c r="AB361" s="2"/>
      <c r="AC361" s="2">
        <v>2867</v>
      </c>
      <c r="AD361" s="2">
        <v>2867</v>
      </c>
      <c r="AE361" s="2">
        <v>2868</v>
      </c>
      <c r="AF361" s="2">
        <v>1465</v>
      </c>
      <c r="AG361" s="2">
        <v>0</v>
      </c>
      <c r="AH361" s="2"/>
      <c r="AI361" s="2">
        <v>-2723</v>
      </c>
      <c r="AJ361" s="2">
        <v>-890</v>
      </c>
      <c r="AK361" s="2">
        <v>0</v>
      </c>
      <c r="AL361" s="2">
        <v>0</v>
      </c>
      <c r="AM361" s="2">
        <v>-890</v>
      </c>
    </row>
    <row r="362" spans="1:39">
      <c r="A362" s="349">
        <v>93517</v>
      </c>
      <c r="B362" s="342" t="s">
        <v>1052</v>
      </c>
      <c r="C362" s="234" t="e">
        <f>VLOOKUP(A362,#REF!,10,FALSE)</f>
        <v>#REF!</v>
      </c>
      <c r="E362" s="2">
        <v>3191</v>
      </c>
      <c r="F362" s="2">
        <v>1512</v>
      </c>
      <c r="G362" s="2">
        <v>1758</v>
      </c>
      <c r="H362" s="2">
        <v>706</v>
      </c>
      <c r="I362" s="2">
        <v>0</v>
      </c>
      <c r="J362" s="2"/>
      <c r="K362" s="2">
        <v>644</v>
      </c>
      <c r="L362" s="2">
        <v>606</v>
      </c>
      <c r="M362" s="2">
        <v>543</v>
      </c>
      <c r="N362" s="2">
        <v>217</v>
      </c>
      <c r="O362" s="2">
        <v>0</v>
      </c>
      <c r="P362" s="2"/>
      <c r="Q362" s="2">
        <v>684</v>
      </c>
      <c r="R362" s="2">
        <v>-588</v>
      </c>
      <c r="S362" s="2">
        <v>83</v>
      </c>
      <c r="T362" s="2">
        <v>108</v>
      </c>
      <c r="U362" s="2">
        <v>0</v>
      </c>
      <c r="V362" s="2"/>
      <c r="W362" s="2">
        <v>770</v>
      </c>
      <c r="X362" s="2">
        <v>631</v>
      </c>
      <c r="Y362" s="2">
        <v>512</v>
      </c>
      <c r="Z362" s="2">
        <v>0</v>
      </c>
      <c r="AA362" s="2">
        <v>0</v>
      </c>
      <c r="AB362" s="2"/>
      <c r="AC362" s="2">
        <v>1093</v>
      </c>
      <c r="AD362" s="2">
        <v>863</v>
      </c>
      <c r="AE362" s="2">
        <v>620</v>
      </c>
      <c r="AF362" s="2">
        <v>381</v>
      </c>
      <c r="AG362" s="2">
        <v>0</v>
      </c>
      <c r="AH362" s="2"/>
      <c r="AI362" s="2">
        <v>0</v>
      </c>
      <c r="AJ362" s="2">
        <v>0</v>
      </c>
      <c r="AK362" s="2">
        <v>0</v>
      </c>
      <c r="AL362" s="2">
        <v>0</v>
      </c>
      <c r="AM362" s="2">
        <v>0</v>
      </c>
    </row>
    <row r="363" spans="1:39">
      <c r="A363" s="349">
        <v>93521</v>
      </c>
      <c r="B363" s="342" t="s">
        <v>1053</v>
      </c>
      <c r="C363" s="234" t="e">
        <f>VLOOKUP(A363,#REF!,10,FALSE)</f>
        <v>#REF!</v>
      </c>
      <c r="E363" s="2">
        <v>219467</v>
      </c>
      <c r="F363" s="2">
        <v>57720</v>
      </c>
      <c r="G363" s="2">
        <v>128876</v>
      </c>
      <c r="H363" s="2">
        <v>38795</v>
      </c>
      <c r="I363" s="2">
        <v>0</v>
      </c>
      <c r="J363" s="2"/>
      <c r="K363" s="2">
        <v>70919</v>
      </c>
      <c r="L363" s="2">
        <v>66712</v>
      </c>
      <c r="M363" s="2">
        <v>59793</v>
      </c>
      <c r="N363" s="2">
        <v>23940</v>
      </c>
      <c r="O363" s="2">
        <v>0</v>
      </c>
      <c r="P363" s="2"/>
      <c r="Q363" s="2">
        <v>75290</v>
      </c>
      <c r="R363" s="2">
        <v>-64763</v>
      </c>
      <c r="S363" s="2">
        <v>9128</v>
      </c>
      <c r="T363" s="2">
        <v>11879</v>
      </c>
      <c r="U363" s="2">
        <v>0</v>
      </c>
      <c r="V363" s="2"/>
      <c r="W363" s="2">
        <v>84815</v>
      </c>
      <c r="X363" s="2">
        <v>69484</v>
      </c>
      <c r="Y363" s="2">
        <v>56409</v>
      </c>
      <c r="Z363" s="2">
        <v>0</v>
      </c>
      <c r="AA363" s="2">
        <v>0</v>
      </c>
      <c r="AB363" s="2"/>
      <c r="AC363" s="2">
        <v>5698</v>
      </c>
      <c r="AD363" s="2">
        <v>3544</v>
      </c>
      <c r="AE363" s="2">
        <v>3546</v>
      </c>
      <c r="AF363" s="2">
        <v>2976</v>
      </c>
      <c r="AG363" s="2">
        <v>0</v>
      </c>
      <c r="AH363" s="2"/>
      <c r="AI363" s="2">
        <v>-17255</v>
      </c>
      <c r="AJ363" s="2">
        <v>-17257</v>
      </c>
      <c r="AK363" s="2">
        <v>0</v>
      </c>
      <c r="AL363" s="2">
        <v>0</v>
      </c>
      <c r="AM363" s="2">
        <v>-17257</v>
      </c>
    </row>
    <row r="364" spans="1:39">
      <c r="A364" s="349">
        <v>93527</v>
      </c>
      <c r="B364" s="342" t="s">
        <v>1054</v>
      </c>
      <c r="C364" s="234" t="e">
        <f>VLOOKUP(A364,#REF!,10,FALSE)</f>
        <v>#REF!</v>
      </c>
      <c r="E364" s="2">
        <v>9050</v>
      </c>
      <c r="F364" s="2">
        <v>4739</v>
      </c>
      <c r="G364" s="2">
        <v>3899</v>
      </c>
      <c r="H364" s="2">
        <v>1007</v>
      </c>
      <c r="I364" s="2">
        <v>0</v>
      </c>
      <c r="J364" s="2"/>
      <c r="K364" s="2">
        <v>1438</v>
      </c>
      <c r="L364" s="2">
        <v>1353</v>
      </c>
      <c r="M364" s="2">
        <v>1213</v>
      </c>
      <c r="N364" s="2">
        <v>485</v>
      </c>
      <c r="O364" s="2">
        <v>0</v>
      </c>
      <c r="P364" s="2"/>
      <c r="Q364" s="2">
        <v>1527</v>
      </c>
      <c r="R364" s="2">
        <v>-1313</v>
      </c>
      <c r="S364" s="2">
        <v>185</v>
      </c>
      <c r="T364" s="2">
        <v>241</v>
      </c>
      <c r="U364" s="2">
        <v>0</v>
      </c>
      <c r="V364" s="2"/>
      <c r="W364" s="2">
        <v>1720</v>
      </c>
      <c r="X364" s="2">
        <v>1409</v>
      </c>
      <c r="Y364" s="2">
        <v>1144</v>
      </c>
      <c r="Z364" s="2">
        <v>0</v>
      </c>
      <c r="AA364" s="2">
        <v>0</v>
      </c>
      <c r="AB364" s="2"/>
      <c r="AC364" s="2">
        <v>4365</v>
      </c>
      <c r="AD364" s="2">
        <v>3290</v>
      </c>
      <c r="AE364" s="2">
        <v>1357</v>
      </c>
      <c r="AF364" s="2">
        <v>281</v>
      </c>
      <c r="AG364" s="2">
        <v>0</v>
      </c>
      <c r="AH364" s="2"/>
      <c r="AI364" s="2">
        <v>0</v>
      </c>
      <c r="AJ364" s="2">
        <v>0</v>
      </c>
      <c r="AK364" s="2">
        <v>0</v>
      </c>
      <c r="AL364" s="2">
        <v>0</v>
      </c>
      <c r="AM364" s="2">
        <v>0</v>
      </c>
    </row>
    <row r="365" spans="1:39">
      <c r="A365" s="349">
        <v>93531</v>
      </c>
      <c r="B365" s="342" t="s">
        <v>1055</v>
      </c>
      <c r="C365" s="234" t="e">
        <f>VLOOKUP(A365,#REF!,10,FALSE)</f>
        <v>#REF!</v>
      </c>
      <c r="E365" s="2">
        <v>10983</v>
      </c>
      <c r="F365" s="2">
        <v>3230</v>
      </c>
      <c r="G365" s="2">
        <v>6177</v>
      </c>
      <c r="H365" s="2">
        <v>157</v>
      </c>
      <c r="I365" s="2">
        <v>0</v>
      </c>
      <c r="J365" s="2"/>
      <c r="K365" s="2">
        <v>3341</v>
      </c>
      <c r="L365" s="2">
        <v>3143</v>
      </c>
      <c r="M365" s="2">
        <v>2817</v>
      </c>
      <c r="N365" s="2">
        <v>1128</v>
      </c>
      <c r="O365" s="2">
        <v>0</v>
      </c>
      <c r="P365" s="2"/>
      <c r="Q365" s="2">
        <v>3547</v>
      </c>
      <c r="R365" s="2">
        <v>-3051</v>
      </c>
      <c r="S365" s="2">
        <v>430</v>
      </c>
      <c r="T365" s="2">
        <v>560</v>
      </c>
      <c r="U365" s="2">
        <v>0</v>
      </c>
      <c r="V365" s="2"/>
      <c r="W365" s="2">
        <v>3995</v>
      </c>
      <c r="X365" s="2">
        <v>3273</v>
      </c>
      <c r="Y365" s="2">
        <v>2657</v>
      </c>
      <c r="Z365" s="2">
        <v>0</v>
      </c>
      <c r="AA365" s="2">
        <v>0</v>
      </c>
      <c r="AB365" s="2"/>
      <c r="AC365" s="2">
        <v>2039</v>
      </c>
      <c r="AD365" s="2">
        <v>1802</v>
      </c>
      <c r="AE365" s="2">
        <v>1802</v>
      </c>
      <c r="AF365" s="2">
        <v>0</v>
      </c>
      <c r="AG365" s="2">
        <v>0</v>
      </c>
      <c r="AH365" s="2"/>
      <c r="AI365" s="2">
        <v>-1939</v>
      </c>
      <c r="AJ365" s="2">
        <v>-1937</v>
      </c>
      <c r="AK365" s="2">
        <v>-1529</v>
      </c>
      <c r="AL365" s="2">
        <v>-1531</v>
      </c>
      <c r="AM365" s="2">
        <v>-1937</v>
      </c>
    </row>
    <row r="366" spans="1:39">
      <c r="A366" s="349">
        <v>93537</v>
      </c>
      <c r="B366" s="342" t="s">
        <v>1056</v>
      </c>
      <c r="C366" s="234" t="e">
        <f>VLOOKUP(A366,#REF!,10,FALSE)</f>
        <v>#REF!</v>
      </c>
      <c r="E366" s="2">
        <v>4255</v>
      </c>
      <c r="F366" s="2">
        <v>788</v>
      </c>
      <c r="G366" s="2">
        <v>2318</v>
      </c>
      <c r="H366" s="2">
        <v>539</v>
      </c>
      <c r="I366" s="2">
        <v>0</v>
      </c>
      <c r="J366" s="2"/>
      <c r="K366" s="2">
        <v>1618</v>
      </c>
      <c r="L366" s="2">
        <v>1522</v>
      </c>
      <c r="M366" s="2">
        <v>1364</v>
      </c>
      <c r="N366" s="2">
        <v>546</v>
      </c>
      <c r="O366" s="2">
        <v>0</v>
      </c>
      <c r="P366" s="2"/>
      <c r="Q366" s="2">
        <v>1718</v>
      </c>
      <c r="R366" s="2">
        <v>-1477</v>
      </c>
      <c r="S366" s="2">
        <v>208</v>
      </c>
      <c r="T366" s="2">
        <v>271</v>
      </c>
      <c r="U366" s="2">
        <v>0</v>
      </c>
      <c r="V366" s="2"/>
      <c r="W366" s="2">
        <v>1935</v>
      </c>
      <c r="X366" s="2">
        <v>1585</v>
      </c>
      <c r="Y366" s="2">
        <v>1287</v>
      </c>
      <c r="Z366" s="2">
        <v>0</v>
      </c>
      <c r="AA366" s="2">
        <v>0</v>
      </c>
      <c r="AB366" s="2"/>
      <c r="AC366" s="2">
        <v>0</v>
      </c>
      <c r="AD366" s="2">
        <v>0</v>
      </c>
      <c r="AE366" s="2">
        <v>0</v>
      </c>
      <c r="AF366" s="2">
        <v>0</v>
      </c>
      <c r="AG366" s="2">
        <v>0</v>
      </c>
      <c r="AH366" s="2"/>
      <c r="AI366" s="2">
        <v>-1016</v>
      </c>
      <c r="AJ366" s="2">
        <v>-842</v>
      </c>
      <c r="AK366" s="2">
        <v>-541</v>
      </c>
      <c r="AL366" s="2">
        <v>-278</v>
      </c>
      <c r="AM366" s="2">
        <v>-842</v>
      </c>
    </row>
    <row r="367" spans="1:39">
      <c r="A367" s="349">
        <v>93541</v>
      </c>
      <c r="B367" s="342" t="s">
        <v>1057</v>
      </c>
      <c r="C367" s="234" t="e">
        <f>VLOOKUP(A367,#REF!,10,FALSE)</f>
        <v>#REF!</v>
      </c>
      <c r="E367" s="2">
        <v>49825</v>
      </c>
      <c r="F367" s="2">
        <v>16299</v>
      </c>
      <c r="G367" s="2">
        <v>27573</v>
      </c>
      <c r="H367" s="2">
        <v>9908</v>
      </c>
      <c r="I367" s="2">
        <v>0</v>
      </c>
      <c r="J367" s="2"/>
      <c r="K367" s="2">
        <v>14936</v>
      </c>
      <c r="L367" s="2">
        <v>14050</v>
      </c>
      <c r="M367" s="2">
        <v>12593</v>
      </c>
      <c r="N367" s="2">
        <v>5042</v>
      </c>
      <c r="O367" s="2">
        <v>0</v>
      </c>
      <c r="P367" s="2"/>
      <c r="Q367" s="2">
        <v>15856</v>
      </c>
      <c r="R367" s="2">
        <v>-13639</v>
      </c>
      <c r="S367" s="2">
        <v>1922</v>
      </c>
      <c r="T367" s="2">
        <v>2502</v>
      </c>
      <c r="U367" s="2">
        <v>0</v>
      </c>
      <c r="V367" s="2"/>
      <c r="W367" s="2">
        <v>17862</v>
      </c>
      <c r="X367" s="2">
        <v>14634</v>
      </c>
      <c r="Y367" s="2">
        <v>11880</v>
      </c>
      <c r="Z367" s="2">
        <v>0</v>
      </c>
      <c r="AA367" s="2">
        <v>0</v>
      </c>
      <c r="AB367" s="2"/>
      <c r="AC367" s="2">
        <v>2440</v>
      </c>
      <c r="AD367" s="2">
        <v>2438</v>
      </c>
      <c r="AE367" s="2">
        <v>2364</v>
      </c>
      <c r="AF367" s="2">
        <v>2364</v>
      </c>
      <c r="AG367" s="2">
        <v>0</v>
      </c>
      <c r="AH367" s="2"/>
      <c r="AI367" s="2">
        <v>-1269</v>
      </c>
      <c r="AJ367" s="2">
        <v>-1184</v>
      </c>
      <c r="AK367" s="2">
        <v>-1186</v>
      </c>
      <c r="AL367" s="2">
        <v>0</v>
      </c>
      <c r="AM367" s="2">
        <v>-1184</v>
      </c>
    </row>
    <row r="368" spans="1:39">
      <c r="A368" s="349">
        <v>93601</v>
      </c>
      <c r="B368" s="342" t="s">
        <v>1058</v>
      </c>
      <c r="C368" s="234" t="e">
        <f>VLOOKUP(A368,#REF!,10,FALSE)</f>
        <v>#REF!</v>
      </c>
      <c r="E368" s="2">
        <v>5573431</v>
      </c>
      <c r="F368" s="2">
        <v>1771092</v>
      </c>
      <c r="G368" s="2">
        <v>3095446</v>
      </c>
      <c r="H368" s="2">
        <v>876967</v>
      </c>
      <c r="I368" s="2">
        <v>0</v>
      </c>
      <c r="J368" s="2"/>
      <c r="K368" s="2">
        <v>1680879</v>
      </c>
      <c r="L368" s="2">
        <v>1581165</v>
      </c>
      <c r="M368" s="2">
        <v>1417180</v>
      </c>
      <c r="N368" s="2">
        <v>567422</v>
      </c>
      <c r="O368" s="2">
        <v>0</v>
      </c>
      <c r="P368" s="2"/>
      <c r="Q368" s="2">
        <v>1784488</v>
      </c>
      <c r="R368" s="2">
        <v>-1534993</v>
      </c>
      <c r="S368" s="2">
        <v>216339</v>
      </c>
      <c r="T368" s="2">
        <v>281562</v>
      </c>
      <c r="U368" s="2">
        <v>0</v>
      </c>
      <c r="V368" s="2"/>
      <c r="W368" s="2">
        <v>2010251</v>
      </c>
      <c r="X368" s="2">
        <v>1646871</v>
      </c>
      <c r="Y368" s="2">
        <v>1336977</v>
      </c>
      <c r="Z368" s="2">
        <v>0</v>
      </c>
      <c r="AA368" s="2">
        <v>0</v>
      </c>
      <c r="AB368" s="2"/>
      <c r="AC368" s="2">
        <v>144717</v>
      </c>
      <c r="AD368" s="2">
        <v>124951</v>
      </c>
      <c r="AE368" s="2">
        <v>124950</v>
      </c>
      <c r="AF368" s="2">
        <v>27983</v>
      </c>
      <c r="AG368" s="2">
        <v>0</v>
      </c>
      <c r="AH368" s="2"/>
      <c r="AI368" s="2">
        <v>-46904</v>
      </c>
      <c r="AJ368" s="2">
        <v>-46902</v>
      </c>
      <c r="AK368" s="2">
        <v>0</v>
      </c>
      <c r="AL368" s="2">
        <v>0</v>
      </c>
      <c r="AM368" s="2">
        <v>-46902</v>
      </c>
    </row>
    <row r="369" spans="1:39">
      <c r="A369" s="349">
        <v>93602</v>
      </c>
      <c r="B369" s="342" t="s">
        <v>1059</v>
      </c>
      <c r="C369" s="234" t="e">
        <f>VLOOKUP(A369,#REF!,10,FALSE)</f>
        <v>#REF!</v>
      </c>
      <c r="E369" s="2">
        <v>96745</v>
      </c>
      <c r="F369" s="2">
        <v>34895</v>
      </c>
      <c r="G369" s="2">
        <v>55829</v>
      </c>
      <c r="H369" s="2">
        <v>17792</v>
      </c>
      <c r="I369" s="2">
        <v>0</v>
      </c>
      <c r="J369" s="2"/>
      <c r="K369" s="2">
        <v>28733</v>
      </c>
      <c r="L369" s="2">
        <v>27028</v>
      </c>
      <c r="M369" s="2">
        <v>24225</v>
      </c>
      <c r="N369" s="2">
        <v>9700</v>
      </c>
      <c r="O369" s="2">
        <v>0</v>
      </c>
      <c r="P369" s="2"/>
      <c r="Q369" s="2">
        <v>30504</v>
      </c>
      <c r="R369" s="2">
        <v>-26239</v>
      </c>
      <c r="S369" s="2">
        <v>3698</v>
      </c>
      <c r="T369" s="2">
        <v>4813</v>
      </c>
      <c r="U369" s="2">
        <v>0</v>
      </c>
      <c r="V369" s="2"/>
      <c r="W369" s="2">
        <v>34363</v>
      </c>
      <c r="X369" s="2">
        <v>28152</v>
      </c>
      <c r="Y369" s="2">
        <v>22854</v>
      </c>
      <c r="Z369" s="2">
        <v>0</v>
      </c>
      <c r="AA369" s="2">
        <v>0</v>
      </c>
      <c r="AB369" s="2"/>
      <c r="AC369" s="2">
        <v>5955</v>
      </c>
      <c r="AD369" s="2">
        <v>5954</v>
      </c>
      <c r="AE369" s="2">
        <v>5052</v>
      </c>
      <c r="AF369" s="2">
        <v>3279</v>
      </c>
      <c r="AG369" s="2">
        <v>0</v>
      </c>
      <c r="AH369" s="2"/>
      <c r="AI369" s="2">
        <v>-2810</v>
      </c>
      <c r="AJ369" s="2">
        <v>0</v>
      </c>
      <c r="AK369" s="2">
        <v>0</v>
      </c>
      <c r="AL369" s="2">
        <v>0</v>
      </c>
      <c r="AM369" s="2">
        <v>0</v>
      </c>
    </row>
    <row r="370" spans="1:39">
      <c r="A370" s="349">
        <v>93604</v>
      </c>
      <c r="B370" s="342" t="s">
        <v>1926</v>
      </c>
      <c r="C370" s="234" t="e">
        <f>VLOOKUP(A370,#REF!,10,FALSE)</f>
        <v>#REF!</v>
      </c>
      <c r="E370" s="2">
        <v>19602</v>
      </c>
      <c r="F370" s="2">
        <v>10701</v>
      </c>
      <c r="G370" s="2">
        <v>13709</v>
      </c>
      <c r="H370" s="2">
        <v>3816</v>
      </c>
      <c r="I370" s="2">
        <v>0</v>
      </c>
      <c r="J370" s="2"/>
      <c r="K370" s="2">
        <v>3955</v>
      </c>
      <c r="L370" s="2">
        <v>3720</v>
      </c>
      <c r="M370" s="2">
        <v>3334</v>
      </c>
      <c r="N370" s="2">
        <v>1335</v>
      </c>
      <c r="O370" s="2">
        <v>0</v>
      </c>
      <c r="P370" s="2"/>
      <c r="Q370" s="2">
        <v>4199</v>
      </c>
      <c r="R370" s="2">
        <v>-3612</v>
      </c>
      <c r="S370" s="2">
        <v>509</v>
      </c>
      <c r="T370" s="2">
        <v>662</v>
      </c>
      <c r="U370" s="2">
        <v>0</v>
      </c>
      <c r="V370" s="2"/>
      <c r="W370" s="2">
        <v>4730</v>
      </c>
      <c r="X370" s="2">
        <v>3875</v>
      </c>
      <c r="Y370" s="2">
        <v>3146</v>
      </c>
      <c r="Z370" s="2">
        <v>0</v>
      </c>
      <c r="AA370" s="2">
        <v>0</v>
      </c>
      <c r="AB370" s="2"/>
      <c r="AC370" s="2">
        <v>6718</v>
      </c>
      <c r="AD370" s="2">
        <v>6718</v>
      </c>
      <c r="AE370" s="2">
        <v>6720</v>
      </c>
      <c r="AF370" s="2">
        <v>1819</v>
      </c>
      <c r="AG370" s="2">
        <v>0</v>
      </c>
      <c r="AH370" s="2"/>
      <c r="AI370" s="2">
        <v>0</v>
      </c>
      <c r="AJ370" s="2">
        <v>0</v>
      </c>
      <c r="AK370" s="2">
        <v>0</v>
      </c>
      <c r="AL370" s="2">
        <v>0</v>
      </c>
      <c r="AM370" s="2">
        <v>0</v>
      </c>
    </row>
    <row r="371" spans="1:39">
      <c r="A371" s="349">
        <v>93609</v>
      </c>
      <c r="B371" s="342" t="s">
        <v>1060</v>
      </c>
      <c r="C371" s="234" t="e">
        <f>VLOOKUP(A371,#REF!,10,FALSE)</f>
        <v>#REF!</v>
      </c>
      <c r="E371" s="2">
        <v>1981974</v>
      </c>
      <c r="F371" s="2">
        <v>670999</v>
      </c>
      <c r="G371" s="2">
        <v>981081</v>
      </c>
      <c r="H371" s="2">
        <v>254812</v>
      </c>
      <c r="I371" s="2">
        <v>0</v>
      </c>
      <c r="J371" s="2"/>
      <c r="K371" s="2">
        <v>568053</v>
      </c>
      <c r="L371" s="2">
        <v>534355</v>
      </c>
      <c r="M371" s="2">
        <v>478936</v>
      </c>
      <c r="N371" s="2">
        <v>191760</v>
      </c>
      <c r="O371" s="2">
        <v>0</v>
      </c>
      <c r="P371" s="2"/>
      <c r="Q371" s="2">
        <v>603068</v>
      </c>
      <c r="R371" s="2">
        <v>-518751</v>
      </c>
      <c r="S371" s="2">
        <v>73112</v>
      </c>
      <c r="T371" s="2">
        <v>95154</v>
      </c>
      <c r="U371" s="2">
        <v>0</v>
      </c>
      <c r="V371" s="2"/>
      <c r="W371" s="2">
        <v>679364</v>
      </c>
      <c r="X371" s="2">
        <v>556560</v>
      </c>
      <c r="Y371" s="2">
        <v>451831</v>
      </c>
      <c r="Z371" s="2">
        <v>0</v>
      </c>
      <c r="AA371" s="2">
        <v>0</v>
      </c>
      <c r="AB371" s="2"/>
      <c r="AC371" s="2">
        <v>163590</v>
      </c>
      <c r="AD371" s="2">
        <v>130936</v>
      </c>
      <c r="AE371" s="2">
        <v>9303</v>
      </c>
      <c r="AF371" s="2">
        <v>0</v>
      </c>
      <c r="AG371" s="2">
        <v>0</v>
      </c>
      <c r="AH371" s="2"/>
      <c r="AI371" s="2">
        <v>-32101</v>
      </c>
      <c r="AJ371" s="2">
        <v>-32101</v>
      </c>
      <c r="AK371" s="2">
        <v>-32101</v>
      </c>
      <c r="AL371" s="2">
        <v>-32102</v>
      </c>
      <c r="AM371" s="2">
        <v>-32101</v>
      </c>
    </row>
    <row r="372" spans="1:39">
      <c r="A372" s="349">
        <v>93610</v>
      </c>
      <c r="B372" s="342" t="s">
        <v>1061</v>
      </c>
      <c r="C372" s="234" t="e">
        <f>VLOOKUP(A372,#REF!,10,FALSE)</f>
        <v>#REF!</v>
      </c>
      <c r="E372" s="2">
        <v>8075</v>
      </c>
      <c r="F372" s="2">
        <v>3592</v>
      </c>
      <c r="G372" s="2">
        <v>4361</v>
      </c>
      <c r="H372" s="2">
        <v>1112</v>
      </c>
      <c r="I372" s="2">
        <v>0</v>
      </c>
      <c r="J372" s="2"/>
      <c r="K372" s="2">
        <v>2442</v>
      </c>
      <c r="L372" s="2">
        <v>2297</v>
      </c>
      <c r="M372" s="2">
        <v>2059</v>
      </c>
      <c r="N372" s="2">
        <v>824</v>
      </c>
      <c r="O372" s="2">
        <v>0</v>
      </c>
      <c r="P372" s="2"/>
      <c r="Q372" s="2">
        <v>2592</v>
      </c>
      <c r="R372" s="2">
        <v>-2230</v>
      </c>
      <c r="S372" s="2">
        <v>314</v>
      </c>
      <c r="T372" s="2">
        <v>409</v>
      </c>
      <c r="U372" s="2">
        <v>0</v>
      </c>
      <c r="V372" s="2"/>
      <c r="W372" s="2">
        <v>2920</v>
      </c>
      <c r="X372" s="2">
        <v>2392</v>
      </c>
      <c r="Y372" s="2">
        <v>1942</v>
      </c>
      <c r="Z372" s="2">
        <v>0</v>
      </c>
      <c r="AA372" s="2">
        <v>0</v>
      </c>
      <c r="AB372" s="2"/>
      <c r="AC372" s="2">
        <v>1256</v>
      </c>
      <c r="AD372" s="2">
        <v>1255</v>
      </c>
      <c r="AE372" s="2">
        <v>168</v>
      </c>
      <c r="AF372" s="2">
        <v>0</v>
      </c>
      <c r="AG372" s="2">
        <v>0</v>
      </c>
      <c r="AH372" s="2"/>
      <c r="AI372" s="2">
        <v>-1135</v>
      </c>
      <c r="AJ372" s="2">
        <v>-122</v>
      </c>
      <c r="AK372" s="2">
        <v>-122</v>
      </c>
      <c r="AL372" s="2">
        <v>-121</v>
      </c>
      <c r="AM372" s="2">
        <v>-122</v>
      </c>
    </row>
    <row r="373" spans="1:39">
      <c r="A373" s="349">
        <v>93611</v>
      </c>
      <c r="B373" s="342" t="s">
        <v>1062</v>
      </c>
      <c r="C373" s="234" t="e">
        <f>VLOOKUP(A373,#REF!,10,FALSE)</f>
        <v>#REF!</v>
      </c>
      <c r="E373" s="2">
        <v>3374854</v>
      </c>
      <c r="F373" s="2">
        <v>1048737</v>
      </c>
      <c r="G373" s="2">
        <v>1821156</v>
      </c>
      <c r="H373" s="2">
        <v>521563</v>
      </c>
      <c r="I373" s="2">
        <v>0</v>
      </c>
      <c r="J373" s="2"/>
      <c r="K373" s="2">
        <v>1036470</v>
      </c>
      <c r="L373" s="2">
        <v>974983</v>
      </c>
      <c r="M373" s="2">
        <v>873866</v>
      </c>
      <c r="N373" s="2">
        <v>349886</v>
      </c>
      <c r="O373" s="2">
        <v>0</v>
      </c>
      <c r="P373" s="2"/>
      <c r="Q373" s="2">
        <v>1100357</v>
      </c>
      <c r="R373" s="2">
        <v>-946513</v>
      </c>
      <c r="S373" s="2">
        <v>133399</v>
      </c>
      <c r="T373" s="2">
        <v>173618</v>
      </c>
      <c r="U373" s="2">
        <v>0</v>
      </c>
      <c r="V373" s="2"/>
      <c r="W373" s="2">
        <v>1239568</v>
      </c>
      <c r="X373" s="2">
        <v>1015499</v>
      </c>
      <c r="Y373" s="2">
        <v>824412</v>
      </c>
      <c r="Z373" s="2">
        <v>0</v>
      </c>
      <c r="AA373" s="2">
        <v>0</v>
      </c>
      <c r="AB373" s="2"/>
      <c r="AC373" s="2">
        <v>15287</v>
      </c>
      <c r="AD373" s="2">
        <v>15287</v>
      </c>
      <c r="AE373" s="2">
        <v>0</v>
      </c>
      <c r="AF373" s="2">
        <v>0</v>
      </c>
      <c r="AG373" s="2">
        <v>0</v>
      </c>
      <c r="AH373" s="2"/>
      <c r="AI373" s="2">
        <v>-16828</v>
      </c>
      <c r="AJ373" s="2">
        <v>-10519</v>
      </c>
      <c r="AK373" s="2">
        <v>-10521</v>
      </c>
      <c r="AL373" s="2">
        <v>-1941</v>
      </c>
      <c r="AM373" s="2">
        <v>-10519</v>
      </c>
    </row>
    <row r="374" spans="1:39">
      <c r="A374" s="349">
        <v>93617</v>
      </c>
      <c r="B374" s="342" t="s">
        <v>1063</v>
      </c>
      <c r="C374" s="234" t="e">
        <f>VLOOKUP(A374,#REF!,10,FALSE)</f>
        <v>#REF!</v>
      </c>
      <c r="E374" s="2">
        <v>46273</v>
      </c>
      <c r="F374" s="2">
        <v>16528</v>
      </c>
      <c r="G374" s="2">
        <v>25337</v>
      </c>
      <c r="H374" s="2">
        <v>7361</v>
      </c>
      <c r="I374" s="2">
        <v>0</v>
      </c>
      <c r="J374" s="2"/>
      <c r="K374" s="2">
        <v>11820</v>
      </c>
      <c r="L374" s="2">
        <v>11119</v>
      </c>
      <c r="M374" s="2">
        <v>9965</v>
      </c>
      <c r="N374" s="2">
        <v>3990</v>
      </c>
      <c r="O374" s="2">
        <v>0</v>
      </c>
      <c r="P374" s="2"/>
      <c r="Q374" s="2">
        <v>12548</v>
      </c>
      <c r="R374" s="2">
        <v>-10794</v>
      </c>
      <c r="S374" s="2">
        <v>1521</v>
      </c>
      <c r="T374" s="2">
        <v>1980</v>
      </c>
      <c r="U374" s="2">
        <v>0</v>
      </c>
      <c r="V374" s="2"/>
      <c r="W374" s="2">
        <v>14136</v>
      </c>
      <c r="X374" s="2">
        <v>11581</v>
      </c>
      <c r="Y374" s="2">
        <v>9401</v>
      </c>
      <c r="Z374" s="2">
        <v>0</v>
      </c>
      <c r="AA374" s="2">
        <v>0</v>
      </c>
      <c r="AB374" s="2"/>
      <c r="AC374" s="2">
        <v>7769</v>
      </c>
      <c r="AD374" s="2">
        <v>4622</v>
      </c>
      <c r="AE374" s="2">
        <v>4450</v>
      </c>
      <c r="AF374" s="2">
        <v>1391</v>
      </c>
      <c r="AG374" s="2">
        <v>0</v>
      </c>
      <c r="AH374" s="2"/>
      <c r="AI374" s="2">
        <v>0</v>
      </c>
      <c r="AJ374" s="2">
        <v>0</v>
      </c>
      <c r="AK374" s="2">
        <v>0</v>
      </c>
      <c r="AL374" s="2">
        <v>0</v>
      </c>
      <c r="AM374" s="2">
        <v>0</v>
      </c>
    </row>
    <row r="375" spans="1:39">
      <c r="A375" s="349">
        <v>93618</v>
      </c>
      <c r="B375" s="342" t="s">
        <v>3668</v>
      </c>
      <c r="C375" s="234" t="e">
        <f>VLOOKUP(A375,#REF!,10,FALSE)</f>
        <v>#REF!</v>
      </c>
      <c r="E375" s="2">
        <v>19622</v>
      </c>
      <c r="F375" s="2">
        <v>13084</v>
      </c>
      <c r="G375" s="2">
        <v>10491</v>
      </c>
      <c r="H375" s="2">
        <v>4837</v>
      </c>
      <c r="I375" s="2">
        <v>0</v>
      </c>
      <c r="J375" s="2"/>
      <c r="K375" s="2">
        <v>1423</v>
      </c>
      <c r="L375" s="2">
        <v>1339</v>
      </c>
      <c r="M375" s="2">
        <v>1200</v>
      </c>
      <c r="N375" s="2">
        <v>480</v>
      </c>
      <c r="O375" s="2">
        <v>0</v>
      </c>
      <c r="P375" s="2"/>
      <c r="Q375" s="2">
        <v>1511</v>
      </c>
      <c r="R375" s="2">
        <v>-1300</v>
      </c>
      <c r="S375" s="2">
        <v>183</v>
      </c>
      <c r="T375" s="2">
        <v>238</v>
      </c>
      <c r="U375" s="2">
        <v>0</v>
      </c>
      <c r="V375" s="2"/>
      <c r="W375" s="2">
        <v>1702</v>
      </c>
      <c r="X375" s="2">
        <v>1394</v>
      </c>
      <c r="Y375" s="2">
        <v>1132</v>
      </c>
      <c r="Z375" s="2">
        <v>0</v>
      </c>
      <c r="AA375" s="2">
        <v>0</v>
      </c>
      <c r="AB375" s="2"/>
      <c r="AC375" s="2">
        <v>14986</v>
      </c>
      <c r="AD375" s="2">
        <v>11651</v>
      </c>
      <c r="AE375" s="2">
        <v>7976</v>
      </c>
      <c r="AF375" s="2">
        <v>4119</v>
      </c>
      <c r="AG375" s="2">
        <v>0</v>
      </c>
      <c r="AH375" s="2"/>
      <c r="AI375" s="2">
        <v>0</v>
      </c>
      <c r="AJ375" s="2">
        <v>0</v>
      </c>
      <c r="AK375" s="2">
        <v>0</v>
      </c>
      <c r="AL375" s="2">
        <v>0</v>
      </c>
      <c r="AM375" s="2">
        <v>0</v>
      </c>
    </row>
    <row r="376" spans="1:39">
      <c r="A376" s="349">
        <v>93621</v>
      </c>
      <c r="B376" s="342" t="s">
        <v>1065</v>
      </c>
      <c r="C376" s="234" t="e">
        <f>VLOOKUP(A376,#REF!,10,FALSE)</f>
        <v>#REF!</v>
      </c>
      <c r="E376" s="2">
        <v>513114</v>
      </c>
      <c r="F376" s="2">
        <v>173501</v>
      </c>
      <c r="G376" s="2">
        <v>281690</v>
      </c>
      <c r="H376" s="2">
        <v>78249</v>
      </c>
      <c r="I376" s="2">
        <v>0</v>
      </c>
      <c r="J376" s="2"/>
      <c r="K376" s="2">
        <v>158241</v>
      </c>
      <c r="L376" s="2">
        <v>148854</v>
      </c>
      <c r="M376" s="2">
        <v>133416</v>
      </c>
      <c r="N376" s="2">
        <v>53418</v>
      </c>
      <c r="O376" s="2">
        <v>0</v>
      </c>
      <c r="P376" s="2"/>
      <c r="Q376" s="2">
        <v>167995</v>
      </c>
      <c r="R376" s="2">
        <v>-144507</v>
      </c>
      <c r="S376" s="2">
        <v>20367</v>
      </c>
      <c r="T376" s="2">
        <v>26507</v>
      </c>
      <c r="U376" s="2">
        <v>0</v>
      </c>
      <c r="V376" s="2"/>
      <c r="W376" s="2">
        <v>189249</v>
      </c>
      <c r="X376" s="2">
        <v>155039</v>
      </c>
      <c r="Y376" s="2">
        <v>125866</v>
      </c>
      <c r="Z376" s="2">
        <v>0</v>
      </c>
      <c r="AA376" s="2">
        <v>0</v>
      </c>
      <c r="AB376" s="2"/>
      <c r="AC376" s="2">
        <v>15789</v>
      </c>
      <c r="AD376" s="2">
        <v>15789</v>
      </c>
      <c r="AE376" s="2">
        <v>3715</v>
      </c>
      <c r="AF376" s="2">
        <v>0</v>
      </c>
      <c r="AG376" s="2">
        <v>0</v>
      </c>
      <c r="AH376" s="2"/>
      <c r="AI376" s="2">
        <v>-18160</v>
      </c>
      <c r="AJ376" s="2">
        <v>-1674</v>
      </c>
      <c r="AK376" s="2">
        <v>-1674</v>
      </c>
      <c r="AL376" s="2">
        <v>-1676</v>
      </c>
      <c r="AM376" s="2">
        <v>-1674</v>
      </c>
    </row>
    <row r="377" spans="1:39">
      <c r="A377" s="349">
        <v>93623</v>
      </c>
      <c r="B377" s="342" t="s">
        <v>1066</v>
      </c>
      <c r="C377" s="234" t="e">
        <f>VLOOKUP(A377,#REF!,10,FALSE)</f>
        <v>#REF!</v>
      </c>
      <c r="E377" s="2">
        <v>6911</v>
      </c>
      <c r="F377" s="2">
        <v>2643</v>
      </c>
      <c r="G377" s="2">
        <v>3275</v>
      </c>
      <c r="H377" s="2">
        <v>839</v>
      </c>
      <c r="I377" s="2">
        <v>0</v>
      </c>
      <c r="J377" s="2"/>
      <c r="K377" s="2">
        <v>1648</v>
      </c>
      <c r="L377" s="2">
        <v>1550</v>
      </c>
      <c r="M377" s="2">
        <v>1389</v>
      </c>
      <c r="N377" s="2">
        <v>556</v>
      </c>
      <c r="O377" s="2">
        <v>0</v>
      </c>
      <c r="P377" s="2"/>
      <c r="Q377" s="2">
        <v>1749</v>
      </c>
      <c r="R377" s="2">
        <v>-1505</v>
      </c>
      <c r="S377" s="2">
        <v>212</v>
      </c>
      <c r="T377" s="2">
        <v>276</v>
      </c>
      <c r="U377" s="2">
        <v>0</v>
      </c>
      <c r="V377" s="2"/>
      <c r="W377" s="2">
        <v>1971</v>
      </c>
      <c r="X377" s="2">
        <v>1615</v>
      </c>
      <c r="Y377" s="2">
        <v>1311</v>
      </c>
      <c r="Z377" s="2">
        <v>0</v>
      </c>
      <c r="AA377" s="2">
        <v>0</v>
      </c>
      <c r="AB377" s="2"/>
      <c r="AC377" s="2">
        <v>1543</v>
      </c>
      <c r="AD377" s="2">
        <v>983</v>
      </c>
      <c r="AE377" s="2">
        <v>363</v>
      </c>
      <c r="AF377" s="2">
        <v>7</v>
      </c>
      <c r="AG377" s="2">
        <v>0</v>
      </c>
      <c r="AH377" s="2"/>
      <c r="AI377" s="2">
        <v>0</v>
      </c>
      <c r="AJ377" s="2">
        <v>0</v>
      </c>
      <c r="AK377" s="2">
        <v>0</v>
      </c>
      <c r="AL377" s="2">
        <v>0</v>
      </c>
      <c r="AM377" s="2">
        <v>0</v>
      </c>
    </row>
    <row r="378" spans="1:39">
      <c r="A378" s="349">
        <v>93631</v>
      </c>
      <c r="B378" s="342" t="s">
        <v>1067</v>
      </c>
      <c r="C378" s="234" t="e">
        <f>VLOOKUP(A378,#REF!,10,FALSE)</f>
        <v>#REF!</v>
      </c>
      <c r="E378" s="2">
        <v>114284</v>
      </c>
      <c r="F378" s="2">
        <v>34840</v>
      </c>
      <c r="G378" s="2">
        <v>64434</v>
      </c>
      <c r="H378" s="2">
        <v>19859</v>
      </c>
      <c r="I378" s="2">
        <v>0</v>
      </c>
      <c r="J378" s="2"/>
      <c r="K378" s="2">
        <v>36148</v>
      </c>
      <c r="L378" s="2">
        <v>34004</v>
      </c>
      <c r="M378" s="2">
        <v>30477</v>
      </c>
      <c r="N378" s="2">
        <v>12203</v>
      </c>
      <c r="O378" s="2">
        <v>0</v>
      </c>
      <c r="P378" s="2"/>
      <c r="Q378" s="2">
        <v>38377</v>
      </c>
      <c r="R378" s="2">
        <v>-33011</v>
      </c>
      <c r="S378" s="2">
        <v>4653</v>
      </c>
      <c r="T378" s="2">
        <v>6055</v>
      </c>
      <c r="U378" s="2">
        <v>0</v>
      </c>
      <c r="V378" s="2"/>
      <c r="W378" s="2">
        <v>43232</v>
      </c>
      <c r="X378" s="2">
        <v>35417</v>
      </c>
      <c r="Y378" s="2">
        <v>28753</v>
      </c>
      <c r="Z378" s="2">
        <v>0</v>
      </c>
      <c r="AA378" s="2">
        <v>0</v>
      </c>
      <c r="AB378" s="2"/>
      <c r="AC378" s="2">
        <v>1601</v>
      </c>
      <c r="AD378" s="2">
        <v>1601</v>
      </c>
      <c r="AE378" s="2">
        <v>1601</v>
      </c>
      <c r="AF378" s="2">
        <v>1601</v>
      </c>
      <c r="AG378" s="2">
        <v>0</v>
      </c>
      <c r="AH378" s="2"/>
      <c r="AI378" s="2">
        <v>-5074</v>
      </c>
      <c r="AJ378" s="2">
        <v>-3171</v>
      </c>
      <c r="AK378" s="2">
        <v>-1050</v>
      </c>
      <c r="AL378" s="2">
        <v>0</v>
      </c>
      <c r="AM378" s="2">
        <v>-3171</v>
      </c>
    </row>
    <row r="379" spans="1:39">
      <c r="A379" s="349">
        <v>93641</v>
      </c>
      <c r="B379" s="342" t="s">
        <v>1068</v>
      </c>
      <c r="C379" s="234" t="e">
        <f>VLOOKUP(A379,#REF!,10,FALSE)</f>
        <v>#REF!</v>
      </c>
      <c r="E379" s="2">
        <v>186117</v>
      </c>
      <c r="F379" s="2">
        <v>59159</v>
      </c>
      <c r="G379" s="2">
        <v>104389</v>
      </c>
      <c r="H379" s="2">
        <v>34409</v>
      </c>
      <c r="I379" s="2">
        <v>0</v>
      </c>
      <c r="J379" s="2"/>
      <c r="K379" s="2">
        <v>55878</v>
      </c>
      <c r="L379" s="2">
        <v>52563</v>
      </c>
      <c r="M379" s="2">
        <v>47112</v>
      </c>
      <c r="N379" s="2">
        <v>18863</v>
      </c>
      <c r="O379" s="2">
        <v>0</v>
      </c>
      <c r="P379" s="2"/>
      <c r="Q379" s="2">
        <v>59322</v>
      </c>
      <c r="R379" s="2">
        <v>-51028</v>
      </c>
      <c r="S379" s="2">
        <v>7192</v>
      </c>
      <c r="T379" s="2">
        <v>9360</v>
      </c>
      <c r="U379" s="2">
        <v>0</v>
      </c>
      <c r="V379" s="2"/>
      <c r="W379" s="2">
        <v>66827</v>
      </c>
      <c r="X379" s="2">
        <v>54747</v>
      </c>
      <c r="Y379" s="2">
        <v>44446</v>
      </c>
      <c r="Z379" s="2">
        <v>0</v>
      </c>
      <c r="AA379" s="2">
        <v>0</v>
      </c>
      <c r="AB379" s="2"/>
      <c r="AC379" s="2">
        <v>7399</v>
      </c>
      <c r="AD379" s="2">
        <v>6184</v>
      </c>
      <c r="AE379" s="2">
        <v>6184</v>
      </c>
      <c r="AF379" s="2">
        <v>6186</v>
      </c>
      <c r="AG379" s="2">
        <v>0</v>
      </c>
      <c r="AH379" s="2"/>
      <c r="AI379" s="2">
        <v>-3309</v>
      </c>
      <c r="AJ379" s="2">
        <v>-3307</v>
      </c>
      <c r="AK379" s="2">
        <v>-545</v>
      </c>
      <c r="AL379" s="2">
        <v>0</v>
      </c>
      <c r="AM379" s="2">
        <v>-3307</v>
      </c>
    </row>
    <row r="380" spans="1:39">
      <c r="A380" s="349">
        <v>93647</v>
      </c>
      <c r="B380" s="342" t="s">
        <v>1069</v>
      </c>
      <c r="C380" s="234" t="e">
        <f>VLOOKUP(A380,#REF!,10,FALSE)</f>
        <v>#REF!</v>
      </c>
      <c r="E380" s="2">
        <v>7413</v>
      </c>
      <c r="F380" s="2">
        <v>4712</v>
      </c>
      <c r="G380" s="2">
        <v>4062</v>
      </c>
      <c r="H380" s="2">
        <v>1692</v>
      </c>
      <c r="I380" s="2">
        <v>0</v>
      </c>
      <c r="J380" s="2"/>
      <c r="K380" s="2">
        <v>779</v>
      </c>
      <c r="L380" s="2">
        <v>733</v>
      </c>
      <c r="M380" s="2">
        <v>657</v>
      </c>
      <c r="N380" s="2">
        <v>263</v>
      </c>
      <c r="O380" s="2">
        <v>0</v>
      </c>
      <c r="P380" s="2"/>
      <c r="Q380" s="2">
        <v>827</v>
      </c>
      <c r="R380" s="2">
        <v>-711</v>
      </c>
      <c r="S380" s="2">
        <v>100</v>
      </c>
      <c r="T380" s="2">
        <v>130</v>
      </c>
      <c r="U380" s="2">
        <v>0</v>
      </c>
      <c r="V380" s="2"/>
      <c r="W380" s="2">
        <v>932</v>
      </c>
      <c r="X380" s="2">
        <v>763</v>
      </c>
      <c r="Y380" s="2">
        <v>620</v>
      </c>
      <c r="Z380" s="2">
        <v>0</v>
      </c>
      <c r="AA380" s="2">
        <v>0</v>
      </c>
      <c r="AB380" s="2"/>
      <c r="AC380" s="2">
        <v>4875</v>
      </c>
      <c r="AD380" s="2">
        <v>3927</v>
      </c>
      <c r="AE380" s="2">
        <v>2685</v>
      </c>
      <c r="AF380" s="2">
        <v>1299</v>
      </c>
      <c r="AG380" s="2">
        <v>0</v>
      </c>
      <c r="AH380" s="2"/>
      <c r="AI380" s="2">
        <v>0</v>
      </c>
      <c r="AJ380" s="2">
        <v>0</v>
      </c>
      <c r="AK380" s="2">
        <v>0</v>
      </c>
      <c r="AL380" s="2">
        <v>0</v>
      </c>
      <c r="AM380" s="2">
        <v>0</v>
      </c>
    </row>
    <row r="381" spans="1:39">
      <c r="A381" s="349">
        <v>93651</v>
      </c>
      <c r="B381" s="342" t="s">
        <v>1070</v>
      </c>
      <c r="C381" s="234" t="e">
        <f>VLOOKUP(A381,#REF!,10,FALSE)</f>
        <v>#REF!</v>
      </c>
      <c r="E381" s="2">
        <v>203330</v>
      </c>
      <c r="F381" s="2">
        <v>58039</v>
      </c>
      <c r="G381" s="2">
        <v>109276</v>
      </c>
      <c r="H381" s="2">
        <v>27524</v>
      </c>
      <c r="I381" s="2">
        <v>0</v>
      </c>
      <c r="J381" s="2"/>
      <c r="K381" s="2">
        <v>65600</v>
      </c>
      <c r="L381" s="2">
        <v>61709</v>
      </c>
      <c r="M381" s="2">
        <v>55309</v>
      </c>
      <c r="N381" s="2">
        <v>22145</v>
      </c>
      <c r="O381" s="2">
        <v>0</v>
      </c>
      <c r="P381" s="2"/>
      <c r="Q381" s="2">
        <v>69644</v>
      </c>
      <c r="R381" s="2">
        <v>-59907</v>
      </c>
      <c r="S381" s="2">
        <v>8443</v>
      </c>
      <c r="T381" s="2">
        <v>10989</v>
      </c>
      <c r="U381" s="2">
        <v>0</v>
      </c>
      <c r="V381" s="2"/>
      <c r="W381" s="2">
        <v>78455</v>
      </c>
      <c r="X381" s="2">
        <v>64273</v>
      </c>
      <c r="Y381" s="2">
        <v>52179</v>
      </c>
      <c r="Z381" s="2">
        <v>0</v>
      </c>
      <c r="AA381" s="2">
        <v>0</v>
      </c>
      <c r="AB381" s="2"/>
      <c r="AC381" s="2">
        <v>0</v>
      </c>
      <c r="AD381" s="2">
        <v>0</v>
      </c>
      <c r="AE381" s="2">
        <v>0</v>
      </c>
      <c r="AF381" s="2">
        <v>0</v>
      </c>
      <c r="AG381" s="2">
        <v>0</v>
      </c>
      <c r="AH381" s="2"/>
      <c r="AI381" s="2">
        <v>-10369</v>
      </c>
      <c r="AJ381" s="2">
        <v>-8036</v>
      </c>
      <c r="AK381" s="2">
        <v>-6655</v>
      </c>
      <c r="AL381" s="2">
        <v>-5610</v>
      </c>
      <c r="AM381" s="2">
        <v>-8036</v>
      </c>
    </row>
    <row r="382" spans="1:39">
      <c r="A382" s="349">
        <v>93661</v>
      </c>
      <c r="B382" s="342" t="s">
        <v>1071</v>
      </c>
      <c r="C382" s="234" t="e">
        <f>VLOOKUP(A382,#REF!,10,FALSE)</f>
        <v>#REF!</v>
      </c>
      <c r="E382" s="2">
        <v>64044</v>
      </c>
      <c r="F382" s="2">
        <v>19017</v>
      </c>
      <c r="G382" s="2">
        <v>32758</v>
      </c>
      <c r="H382" s="2">
        <v>7355</v>
      </c>
      <c r="I382" s="2">
        <v>0</v>
      </c>
      <c r="J382" s="2"/>
      <c r="K382" s="2">
        <v>19250</v>
      </c>
      <c r="L382" s="2">
        <v>18108</v>
      </c>
      <c r="M382" s="2">
        <v>16230</v>
      </c>
      <c r="N382" s="2">
        <v>6498</v>
      </c>
      <c r="O382" s="2">
        <v>0</v>
      </c>
      <c r="P382" s="2"/>
      <c r="Q382" s="2">
        <v>20437</v>
      </c>
      <c r="R382" s="2">
        <v>-17579</v>
      </c>
      <c r="S382" s="2">
        <v>2478</v>
      </c>
      <c r="T382" s="2">
        <v>3225</v>
      </c>
      <c r="U382" s="2">
        <v>0</v>
      </c>
      <c r="V382" s="2"/>
      <c r="W382" s="2">
        <v>23022</v>
      </c>
      <c r="X382" s="2">
        <v>18861</v>
      </c>
      <c r="Y382" s="2">
        <v>15312</v>
      </c>
      <c r="Z382" s="2">
        <v>0</v>
      </c>
      <c r="AA382" s="2">
        <v>0</v>
      </c>
      <c r="AB382" s="2"/>
      <c r="AC382" s="2">
        <v>3703</v>
      </c>
      <c r="AD382" s="2">
        <v>1995</v>
      </c>
      <c r="AE382" s="2">
        <v>1106</v>
      </c>
      <c r="AF382" s="2">
        <v>0</v>
      </c>
      <c r="AG382" s="2">
        <v>0</v>
      </c>
      <c r="AH382" s="2"/>
      <c r="AI382" s="2">
        <v>-2368</v>
      </c>
      <c r="AJ382" s="2">
        <v>-2368</v>
      </c>
      <c r="AK382" s="2">
        <v>-2368</v>
      </c>
      <c r="AL382" s="2">
        <v>-2368</v>
      </c>
      <c r="AM382" s="2">
        <v>-2368</v>
      </c>
    </row>
    <row r="383" spans="1:39">
      <c r="A383" s="349">
        <v>93671</v>
      </c>
      <c r="B383" s="342" t="s">
        <v>1072</v>
      </c>
      <c r="C383" s="234" t="e">
        <f>VLOOKUP(A383,#REF!,10,FALSE)</f>
        <v>#REF!</v>
      </c>
      <c r="E383" s="2">
        <v>175706</v>
      </c>
      <c r="F383" s="2">
        <v>58665</v>
      </c>
      <c r="G383" s="2">
        <v>98713</v>
      </c>
      <c r="H383" s="2">
        <v>31324</v>
      </c>
      <c r="I383" s="2">
        <v>0</v>
      </c>
      <c r="J383" s="2"/>
      <c r="K383" s="2">
        <v>52193</v>
      </c>
      <c r="L383" s="2">
        <v>49097</v>
      </c>
      <c r="M383" s="2">
        <v>44005</v>
      </c>
      <c r="N383" s="2">
        <v>17619</v>
      </c>
      <c r="O383" s="2">
        <v>0</v>
      </c>
      <c r="P383" s="2"/>
      <c r="Q383" s="2">
        <v>55410</v>
      </c>
      <c r="R383" s="2">
        <v>-47663</v>
      </c>
      <c r="S383" s="2">
        <v>6718</v>
      </c>
      <c r="T383" s="2">
        <v>8743</v>
      </c>
      <c r="U383" s="2">
        <v>0</v>
      </c>
      <c r="V383" s="2"/>
      <c r="W383" s="2">
        <v>62420</v>
      </c>
      <c r="X383" s="2">
        <v>51137</v>
      </c>
      <c r="Y383" s="2">
        <v>41514</v>
      </c>
      <c r="Z383" s="2">
        <v>0</v>
      </c>
      <c r="AA383" s="2">
        <v>0</v>
      </c>
      <c r="AB383" s="2"/>
      <c r="AC383" s="2">
        <v>6477</v>
      </c>
      <c r="AD383" s="2">
        <v>6477</v>
      </c>
      <c r="AE383" s="2">
        <v>6476</v>
      </c>
      <c r="AF383" s="2">
        <v>4962</v>
      </c>
      <c r="AG383" s="2">
        <v>0</v>
      </c>
      <c r="AH383" s="2"/>
      <c r="AI383" s="2">
        <v>-794</v>
      </c>
      <c r="AJ383" s="2">
        <v>-383</v>
      </c>
      <c r="AK383" s="2">
        <v>0</v>
      </c>
      <c r="AL383" s="2">
        <v>0</v>
      </c>
      <c r="AM383" s="2">
        <v>-383</v>
      </c>
    </row>
    <row r="384" spans="1:39">
      <c r="A384" s="349">
        <v>93681</v>
      </c>
      <c r="B384" s="342" t="s">
        <v>1073</v>
      </c>
      <c r="C384" s="234" t="e">
        <f>VLOOKUP(A384,#REF!,10,FALSE)</f>
        <v>#REF!</v>
      </c>
      <c r="E384" s="2">
        <v>62124</v>
      </c>
      <c r="F384" s="2">
        <v>21127</v>
      </c>
      <c r="G384" s="2">
        <v>36106</v>
      </c>
      <c r="H384" s="2">
        <v>10208</v>
      </c>
      <c r="I384" s="2">
        <v>0</v>
      </c>
      <c r="J384" s="2"/>
      <c r="K384" s="2">
        <v>19235</v>
      </c>
      <c r="L384" s="2">
        <v>18094</v>
      </c>
      <c r="M384" s="2">
        <v>16218</v>
      </c>
      <c r="N384" s="2">
        <v>6493</v>
      </c>
      <c r="O384" s="2">
        <v>0</v>
      </c>
      <c r="P384" s="2"/>
      <c r="Q384" s="2">
        <v>20421</v>
      </c>
      <c r="R384" s="2">
        <v>-17566</v>
      </c>
      <c r="S384" s="2">
        <v>2476</v>
      </c>
      <c r="T384" s="2">
        <v>3222</v>
      </c>
      <c r="U384" s="2">
        <v>0</v>
      </c>
      <c r="V384" s="2"/>
      <c r="W384" s="2">
        <v>23004</v>
      </c>
      <c r="X384" s="2">
        <v>18846</v>
      </c>
      <c r="Y384" s="2">
        <v>15300</v>
      </c>
      <c r="Z384" s="2">
        <v>0</v>
      </c>
      <c r="AA384" s="2">
        <v>0</v>
      </c>
      <c r="AB384" s="2"/>
      <c r="AC384" s="2">
        <v>2111</v>
      </c>
      <c r="AD384" s="2">
        <v>2111</v>
      </c>
      <c r="AE384" s="2">
        <v>2112</v>
      </c>
      <c r="AF384" s="2">
        <v>493</v>
      </c>
      <c r="AG384" s="2">
        <v>0</v>
      </c>
      <c r="AH384" s="2"/>
      <c r="AI384" s="2">
        <v>-2647</v>
      </c>
      <c r="AJ384" s="2">
        <v>-358</v>
      </c>
      <c r="AK384" s="2">
        <v>0</v>
      </c>
      <c r="AL384" s="2">
        <v>0</v>
      </c>
      <c r="AM384" s="2">
        <v>-358</v>
      </c>
    </row>
    <row r="385" spans="1:39">
      <c r="A385" s="349">
        <v>93691</v>
      </c>
      <c r="B385" s="342" t="s">
        <v>1074</v>
      </c>
      <c r="C385" s="234" t="e">
        <f>VLOOKUP(A385,#REF!,10,FALSE)</f>
        <v>#REF!</v>
      </c>
      <c r="E385" s="2">
        <v>502501</v>
      </c>
      <c r="F385" s="2">
        <v>145987</v>
      </c>
      <c r="G385" s="2">
        <v>283415</v>
      </c>
      <c r="H385" s="2">
        <v>88050</v>
      </c>
      <c r="I385" s="2">
        <v>0</v>
      </c>
      <c r="J385" s="2"/>
      <c r="K385" s="2">
        <v>163140</v>
      </c>
      <c r="L385" s="2">
        <v>153462</v>
      </c>
      <c r="M385" s="2">
        <v>137546</v>
      </c>
      <c r="N385" s="2">
        <v>55072</v>
      </c>
      <c r="O385" s="2">
        <v>0</v>
      </c>
      <c r="P385" s="2"/>
      <c r="Q385" s="2">
        <v>173196</v>
      </c>
      <c r="R385" s="2">
        <v>-148981</v>
      </c>
      <c r="S385" s="2">
        <v>20997</v>
      </c>
      <c r="T385" s="2">
        <v>27327</v>
      </c>
      <c r="U385" s="2">
        <v>0</v>
      </c>
      <c r="V385" s="2"/>
      <c r="W385" s="2">
        <v>195107</v>
      </c>
      <c r="X385" s="2">
        <v>159839</v>
      </c>
      <c r="Y385" s="2">
        <v>129762</v>
      </c>
      <c r="Z385" s="2">
        <v>0</v>
      </c>
      <c r="AA385" s="2">
        <v>0</v>
      </c>
      <c r="AB385" s="2"/>
      <c r="AC385" s="2">
        <v>5653</v>
      </c>
      <c r="AD385" s="2">
        <v>5653</v>
      </c>
      <c r="AE385" s="2">
        <v>5653</v>
      </c>
      <c r="AF385" s="2">
        <v>5651</v>
      </c>
      <c r="AG385" s="2">
        <v>0</v>
      </c>
      <c r="AH385" s="2"/>
      <c r="AI385" s="2">
        <v>-34595</v>
      </c>
      <c r="AJ385" s="2">
        <v>-23986</v>
      </c>
      <c r="AK385" s="2">
        <v>-10543</v>
      </c>
      <c r="AL385" s="2">
        <v>0</v>
      </c>
      <c r="AM385" s="2">
        <v>-23986</v>
      </c>
    </row>
    <row r="386" spans="1:39">
      <c r="A386" s="349">
        <v>93701</v>
      </c>
      <c r="B386" s="342" t="s">
        <v>1075</v>
      </c>
      <c r="C386" s="234" t="e">
        <f>VLOOKUP(A386,#REF!,10,FALSE)</f>
        <v>#REF!</v>
      </c>
      <c r="E386" s="2">
        <v>200918</v>
      </c>
      <c r="F386" s="2">
        <v>56395</v>
      </c>
      <c r="G386" s="2">
        <v>108394</v>
      </c>
      <c r="H386" s="2">
        <v>26187</v>
      </c>
      <c r="I386" s="2">
        <v>0</v>
      </c>
      <c r="J386" s="2"/>
      <c r="K386" s="2">
        <v>65316</v>
      </c>
      <c r="L386" s="2">
        <v>61441</v>
      </c>
      <c r="M386" s="2">
        <v>55069</v>
      </c>
      <c r="N386" s="2">
        <v>22049</v>
      </c>
      <c r="O386" s="2">
        <v>0</v>
      </c>
      <c r="P386" s="2"/>
      <c r="Q386" s="2">
        <v>69342</v>
      </c>
      <c r="R386" s="2">
        <v>-59647</v>
      </c>
      <c r="S386" s="2">
        <v>8407</v>
      </c>
      <c r="T386" s="2">
        <v>10941</v>
      </c>
      <c r="U386" s="2">
        <v>0</v>
      </c>
      <c r="V386" s="2"/>
      <c r="W386" s="2">
        <v>78115</v>
      </c>
      <c r="X386" s="2">
        <v>63994</v>
      </c>
      <c r="Y386" s="2">
        <v>51952</v>
      </c>
      <c r="Z386" s="2">
        <v>0</v>
      </c>
      <c r="AA386" s="2">
        <v>0</v>
      </c>
      <c r="AB386" s="2"/>
      <c r="AC386" s="2">
        <v>0</v>
      </c>
      <c r="AD386" s="2">
        <v>0</v>
      </c>
      <c r="AE386" s="2">
        <v>0</v>
      </c>
      <c r="AF386" s="2">
        <v>0</v>
      </c>
      <c r="AG386" s="2">
        <v>0</v>
      </c>
      <c r="AH386" s="2"/>
      <c r="AI386" s="2">
        <v>-11855</v>
      </c>
      <c r="AJ386" s="2">
        <v>-9393</v>
      </c>
      <c r="AK386" s="2">
        <v>-7034</v>
      </c>
      <c r="AL386" s="2">
        <v>-6803</v>
      </c>
      <c r="AM386" s="2">
        <v>-9393</v>
      </c>
    </row>
    <row r="387" spans="1:39">
      <c r="A387" s="349">
        <v>93704</v>
      </c>
      <c r="B387" s="342" t="s">
        <v>1076</v>
      </c>
      <c r="C387" s="234" t="e">
        <f>VLOOKUP(A387,#REF!,10,FALSE)</f>
        <v>#REF!</v>
      </c>
      <c r="E387" s="2">
        <v>1390</v>
      </c>
      <c r="F387" s="2">
        <v>567</v>
      </c>
      <c r="G387" s="2">
        <v>752</v>
      </c>
      <c r="H387" s="2">
        <v>246</v>
      </c>
      <c r="I387" s="2">
        <v>0</v>
      </c>
      <c r="J387" s="2"/>
      <c r="K387" s="2">
        <v>330</v>
      </c>
      <c r="L387" s="2">
        <v>310</v>
      </c>
      <c r="M387" s="2">
        <v>278</v>
      </c>
      <c r="N387" s="2">
        <v>111</v>
      </c>
      <c r="O387" s="2">
        <v>0</v>
      </c>
      <c r="P387" s="2"/>
      <c r="Q387" s="2">
        <v>350</v>
      </c>
      <c r="R387" s="2">
        <v>-301</v>
      </c>
      <c r="S387" s="2">
        <v>42</v>
      </c>
      <c r="T387" s="2">
        <v>55</v>
      </c>
      <c r="U387" s="2">
        <v>0</v>
      </c>
      <c r="V387" s="2"/>
      <c r="W387" s="2">
        <v>394</v>
      </c>
      <c r="X387" s="2">
        <v>323</v>
      </c>
      <c r="Y387" s="2">
        <v>262</v>
      </c>
      <c r="Z387" s="2">
        <v>0</v>
      </c>
      <c r="AA387" s="2">
        <v>0</v>
      </c>
      <c r="AB387" s="2"/>
      <c r="AC387" s="2">
        <v>316</v>
      </c>
      <c r="AD387" s="2">
        <v>235</v>
      </c>
      <c r="AE387" s="2">
        <v>170</v>
      </c>
      <c r="AF387" s="2">
        <v>80</v>
      </c>
      <c r="AG387" s="2">
        <v>0</v>
      </c>
      <c r="AH387" s="2"/>
      <c r="AI387" s="2">
        <v>0</v>
      </c>
      <c r="AJ387" s="2">
        <v>0</v>
      </c>
      <c r="AK387" s="2">
        <v>0</v>
      </c>
      <c r="AL387" s="2">
        <v>0</v>
      </c>
      <c r="AM387" s="2">
        <v>0</v>
      </c>
    </row>
    <row r="388" spans="1:39">
      <c r="A388" s="349">
        <v>93801</v>
      </c>
      <c r="B388" s="342" t="s">
        <v>1077</v>
      </c>
      <c r="C388" s="234" t="e">
        <f>VLOOKUP(A388,#REF!,10,FALSE)</f>
        <v>#REF!</v>
      </c>
      <c r="E388" s="2">
        <v>209782</v>
      </c>
      <c r="F388" s="2">
        <v>39019</v>
      </c>
      <c r="G388" s="2">
        <v>100051</v>
      </c>
      <c r="H388" s="2">
        <v>30037</v>
      </c>
      <c r="I388" s="2">
        <v>0</v>
      </c>
      <c r="J388" s="2"/>
      <c r="K388" s="2">
        <v>62784</v>
      </c>
      <c r="L388" s="2">
        <v>59060</v>
      </c>
      <c r="M388" s="2">
        <v>52934</v>
      </c>
      <c r="N388" s="2">
        <v>21194</v>
      </c>
      <c r="O388" s="2">
        <v>0</v>
      </c>
      <c r="P388" s="2"/>
      <c r="Q388" s="2">
        <v>66654</v>
      </c>
      <c r="R388" s="2">
        <v>-57335</v>
      </c>
      <c r="S388" s="2">
        <v>8081</v>
      </c>
      <c r="T388" s="2">
        <v>10517</v>
      </c>
      <c r="U388" s="2">
        <v>0</v>
      </c>
      <c r="V388" s="2"/>
      <c r="W388" s="2">
        <v>75087</v>
      </c>
      <c r="X388" s="2">
        <v>61514</v>
      </c>
      <c r="Y388" s="2">
        <v>49939</v>
      </c>
      <c r="Z388" s="2">
        <v>0</v>
      </c>
      <c r="AA388" s="2">
        <v>0</v>
      </c>
      <c r="AB388" s="2"/>
      <c r="AC388" s="2">
        <v>29475</v>
      </c>
      <c r="AD388" s="2">
        <v>0</v>
      </c>
      <c r="AE388" s="2">
        <v>0</v>
      </c>
      <c r="AF388" s="2">
        <v>0</v>
      </c>
      <c r="AG388" s="2">
        <v>0</v>
      </c>
      <c r="AH388" s="2"/>
      <c r="AI388" s="2">
        <v>-24218</v>
      </c>
      <c r="AJ388" s="2">
        <v>-24220</v>
      </c>
      <c r="AK388" s="2">
        <v>-10903</v>
      </c>
      <c r="AL388" s="2">
        <v>-1674</v>
      </c>
      <c r="AM388" s="2">
        <v>-24220</v>
      </c>
    </row>
    <row r="389" spans="1:39">
      <c r="A389" s="349">
        <v>93803</v>
      </c>
      <c r="B389" s="342" t="s">
        <v>3669</v>
      </c>
      <c r="C389" s="234" t="e">
        <f>VLOOKUP(A389,#REF!,10,FALSE)</f>
        <v>#REF!</v>
      </c>
      <c r="E389" s="2">
        <v>28859</v>
      </c>
      <c r="F389" s="2">
        <v>1600</v>
      </c>
      <c r="G389" s="2">
        <v>17060</v>
      </c>
      <c r="H389" s="2">
        <v>2396</v>
      </c>
      <c r="I389" s="2">
        <v>0</v>
      </c>
      <c r="J389" s="2"/>
      <c r="K389" s="2">
        <v>13602</v>
      </c>
      <c r="L389" s="2">
        <v>12796</v>
      </c>
      <c r="M389" s="2">
        <v>11468</v>
      </c>
      <c r="N389" s="2">
        <v>4592</v>
      </c>
      <c r="O389" s="2">
        <v>0</v>
      </c>
      <c r="P389" s="2"/>
      <c r="Q389" s="2">
        <v>14441</v>
      </c>
      <c r="R389" s="2">
        <v>-12422</v>
      </c>
      <c r="S389" s="2">
        <v>1751</v>
      </c>
      <c r="T389" s="2">
        <v>2279</v>
      </c>
      <c r="U389" s="2">
        <v>0</v>
      </c>
      <c r="V389" s="2"/>
      <c r="W389" s="2">
        <v>16268</v>
      </c>
      <c r="X389" s="2">
        <v>13327</v>
      </c>
      <c r="Y389" s="2">
        <v>10819</v>
      </c>
      <c r="Z389" s="2">
        <v>0</v>
      </c>
      <c r="AA389" s="2">
        <v>0</v>
      </c>
      <c r="AB389" s="2"/>
      <c r="AC389" s="2">
        <v>0</v>
      </c>
      <c r="AD389" s="2">
        <v>0</v>
      </c>
      <c r="AE389" s="2">
        <v>0</v>
      </c>
      <c r="AF389" s="2">
        <v>0</v>
      </c>
      <c r="AG389" s="2">
        <v>0</v>
      </c>
      <c r="AH389" s="2"/>
      <c r="AI389" s="2">
        <v>-15452</v>
      </c>
      <c r="AJ389" s="2">
        <v>-12101</v>
      </c>
      <c r="AK389" s="2">
        <v>-6978</v>
      </c>
      <c r="AL389" s="2">
        <v>-4475</v>
      </c>
      <c r="AM389" s="2">
        <v>-12101</v>
      </c>
    </row>
    <row r="390" spans="1:39">
      <c r="A390" s="349">
        <v>93806</v>
      </c>
      <c r="B390" s="342" t="s">
        <v>3670</v>
      </c>
      <c r="C390" s="234" t="e">
        <f>VLOOKUP(A390,#REF!,10,FALSE)</f>
        <v>#REF!</v>
      </c>
      <c r="E390" s="2">
        <v>40009</v>
      </c>
      <c r="F390" s="2">
        <v>13339</v>
      </c>
      <c r="G390" s="2">
        <v>19371</v>
      </c>
      <c r="H390" s="2">
        <v>6439</v>
      </c>
      <c r="I390" s="2">
        <v>0</v>
      </c>
      <c r="J390" s="2"/>
      <c r="K390" s="2">
        <v>11925</v>
      </c>
      <c r="L390" s="2">
        <v>11217</v>
      </c>
      <c r="M390" s="2">
        <v>10054</v>
      </c>
      <c r="N390" s="2">
        <v>4025</v>
      </c>
      <c r="O390" s="2">
        <v>0</v>
      </c>
      <c r="P390" s="2"/>
      <c r="Q390" s="2">
        <v>12660</v>
      </c>
      <c r="R390" s="2">
        <v>-10890</v>
      </c>
      <c r="S390" s="2">
        <v>1535</v>
      </c>
      <c r="T390" s="2">
        <v>1997</v>
      </c>
      <c r="U390" s="2">
        <v>0</v>
      </c>
      <c r="V390" s="2"/>
      <c r="W390" s="2">
        <v>14261</v>
      </c>
      <c r="X390" s="2">
        <v>11683</v>
      </c>
      <c r="Y390" s="2">
        <v>9485</v>
      </c>
      <c r="Z390" s="2">
        <v>0</v>
      </c>
      <c r="AA390" s="2">
        <v>0</v>
      </c>
      <c r="AB390" s="2"/>
      <c r="AC390" s="2">
        <v>3447</v>
      </c>
      <c r="AD390" s="2">
        <v>3449</v>
      </c>
      <c r="AE390" s="2">
        <v>416</v>
      </c>
      <c r="AF390" s="2">
        <v>417</v>
      </c>
      <c r="AG390" s="2">
        <v>0</v>
      </c>
      <c r="AH390" s="2"/>
      <c r="AI390" s="2">
        <v>-2284</v>
      </c>
      <c r="AJ390" s="2">
        <v>-2120</v>
      </c>
      <c r="AK390" s="2">
        <v>-2119</v>
      </c>
      <c r="AL390" s="2">
        <v>0</v>
      </c>
      <c r="AM390" s="2">
        <v>-2120</v>
      </c>
    </row>
    <row r="391" spans="1:39">
      <c r="A391" s="349">
        <v>93821</v>
      </c>
      <c r="B391" s="342" t="s">
        <v>1080</v>
      </c>
      <c r="C391" s="234" t="e">
        <f>VLOOKUP(A391,#REF!,10,FALSE)</f>
        <v>#REF!</v>
      </c>
      <c r="E391" s="2">
        <v>50432</v>
      </c>
      <c r="F391" s="2">
        <v>22721</v>
      </c>
      <c r="G391" s="2">
        <v>30683</v>
      </c>
      <c r="H391" s="2">
        <v>7417</v>
      </c>
      <c r="I391" s="2">
        <v>0</v>
      </c>
      <c r="J391" s="2"/>
      <c r="K391" s="2">
        <v>10367</v>
      </c>
      <c r="L391" s="2">
        <v>9752</v>
      </c>
      <c r="M391" s="2">
        <v>8740</v>
      </c>
      <c r="N391" s="2">
        <v>3500</v>
      </c>
      <c r="O391" s="2">
        <v>0</v>
      </c>
      <c r="P391" s="2"/>
      <c r="Q391" s="2">
        <v>11006</v>
      </c>
      <c r="R391" s="2">
        <v>-9467</v>
      </c>
      <c r="S391" s="2">
        <v>1334</v>
      </c>
      <c r="T391" s="2">
        <v>1737</v>
      </c>
      <c r="U391" s="2">
        <v>0</v>
      </c>
      <c r="V391" s="2"/>
      <c r="W391" s="2">
        <v>12398</v>
      </c>
      <c r="X391" s="2">
        <v>10157</v>
      </c>
      <c r="Y391" s="2">
        <v>8246</v>
      </c>
      <c r="Z391" s="2">
        <v>0</v>
      </c>
      <c r="AA391" s="2">
        <v>0</v>
      </c>
      <c r="AB391" s="2"/>
      <c r="AC391" s="2">
        <v>16747</v>
      </c>
      <c r="AD391" s="2">
        <v>12365</v>
      </c>
      <c r="AE391" s="2">
        <v>12363</v>
      </c>
      <c r="AF391" s="2">
        <v>2180</v>
      </c>
      <c r="AG391" s="2">
        <v>0</v>
      </c>
      <c r="AH391" s="2"/>
      <c r="AI391" s="2">
        <v>-86</v>
      </c>
      <c r="AJ391" s="2">
        <v>-86</v>
      </c>
      <c r="AK391" s="2">
        <v>0</v>
      </c>
      <c r="AL391" s="2">
        <v>0</v>
      </c>
      <c r="AM391" s="2">
        <v>-86</v>
      </c>
    </row>
    <row r="392" spans="1:39">
      <c r="A392" s="349">
        <v>93901</v>
      </c>
      <c r="B392" s="342" t="s">
        <v>1081</v>
      </c>
      <c r="C392" s="234" t="e">
        <f>VLOOKUP(A392,#REF!,10,FALSE)</f>
        <v>#REF!</v>
      </c>
      <c r="E392" s="2">
        <v>931763</v>
      </c>
      <c r="F392" s="2">
        <v>321180</v>
      </c>
      <c r="G392" s="2">
        <v>513827</v>
      </c>
      <c r="H392" s="2">
        <v>161772</v>
      </c>
      <c r="I392" s="2">
        <v>0</v>
      </c>
      <c r="J392" s="2"/>
      <c r="K392" s="2">
        <v>267930</v>
      </c>
      <c r="L392" s="2">
        <v>252035</v>
      </c>
      <c r="M392" s="2">
        <v>225896</v>
      </c>
      <c r="N392" s="2">
        <v>90446</v>
      </c>
      <c r="O392" s="2">
        <v>0</v>
      </c>
      <c r="P392" s="2"/>
      <c r="Q392" s="2">
        <v>284445</v>
      </c>
      <c r="R392" s="2">
        <v>-244676</v>
      </c>
      <c r="S392" s="2">
        <v>34484</v>
      </c>
      <c r="T392" s="2">
        <v>44881</v>
      </c>
      <c r="U392" s="2">
        <v>0</v>
      </c>
      <c r="V392" s="2"/>
      <c r="W392" s="2">
        <v>320431</v>
      </c>
      <c r="X392" s="2">
        <v>262509</v>
      </c>
      <c r="Y392" s="2">
        <v>213112</v>
      </c>
      <c r="Z392" s="2">
        <v>0</v>
      </c>
      <c r="AA392" s="2">
        <v>0</v>
      </c>
      <c r="AB392" s="2"/>
      <c r="AC392" s="2">
        <v>58957</v>
      </c>
      <c r="AD392" s="2">
        <v>51312</v>
      </c>
      <c r="AE392" s="2">
        <v>40335</v>
      </c>
      <c r="AF392" s="2">
        <v>26445</v>
      </c>
      <c r="AG392" s="2">
        <v>0</v>
      </c>
      <c r="AH392" s="2"/>
      <c r="AI392" s="2">
        <v>0</v>
      </c>
      <c r="AJ392" s="2">
        <v>0</v>
      </c>
      <c r="AK392" s="2">
        <v>0</v>
      </c>
      <c r="AL392" s="2">
        <v>0</v>
      </c>
      <c r="AM392" s="2">
        <v>0</v>
      </c>
    </row>
    <row r="393" spans="1:39">
      <c r="A393" s="349">
        <v>93904</v>
      </c>
      <c r="B393" s="342" t="s">
        <v>3671</v>
      </c>
      <c r="C393" s="234" t="e">
        <f>VLOOKUP(A393,#REF!,10,FALSE)</f>
        <v>#REF!</v>
      </c>
      <c r="E393" s="2">
        <v>20033</v>
      </c>
      <c r="F393" s="2">
        <v>8932</v>
      </c>
      <c r="G393" s="2">
        <v>10959</v>
      </c>
      <c r="H393" s="2">
        <v>3501</v>
      </c>
      <c r="I393" s="2">
        <v>0</v>
      </c>
      <c r="J393" s="2"/>
      <c r="K393" s="2">
        <v>4764</v>
      </c>
      <c r="L393" s="2">
        <v>4481</v>
      </c>
      <c r="M393" s="2">
        <v>4016</v>
      </c>
      <c r="N393" s="2">
        <v>1608</v>
      </c>
      <c r="O393" s="2">
        <v>0</v>
      </c>
      <c r="P393" s="2"/>
      <c r="Q393" s="2">
        <v>5058</v>
      </c>
      <c r="R393" s="2">
        <v>-4350</v>
      </c>
      <c r="S393" s="2">
        <v>613</v>
      </c>
      <c r="T393" s="2">
        <v>798</v>
      </c>
      <c r="U393" s="2">
        <v>0</v>
      </c>
      <c r="V393" s="2"/>
      <c r="W393" s="2">
        <v>5697</v>
      </c>
      <c r="X393" s="2">
        <v>4667</v>
      </c>
      <c r="Y393" s="2">
        <v>3789</v>
      </c>
      <c r="Z393" s="2">
        <v>0</v>
      </c>
      <c r="AA393" s="2">
        <v>0</v>
      </c>
      <c r="AB393" s="2"/>
      <c r="AC393" s="2">
        <v>4514</v>
      </c>
      <c r="AD393" s="2">
        <v>4134</v>
      </c>
      <c r="AE393" s="2">
        <v>2541</v>
      </c>
      <c r="AF393" s="2">
        <v>1095</v>
      </c>
      <c r="AG393" s="2">
        <v>0</v>
      </c>
      <c r="AH393" s="2"/>
      <c r="AI393" s="2">
        <v>0</v>
      </c>
      <c r="AJ393" s="2">
        <v>0</v>
      </c>
      <c r="AK393" s="2">
        <v>0</v>
      </c>
      <c r="AL393" s="2">
        <v>0</v>
      </c>
      <c r="AM393" s="2">
        <v>0</v>
      </c>
    </row>
    <row r="394" spans="1:39">
      <c r="A394" s="349">
        <v>93906</v>
      </c>
      <c r="B394" s="342" t="s">
        <v>1083</v>
      </c>
      <c r="C394" s="234" t="e">
        <f>VLOOKUP(A394,#REF!,10,FALSE)</f>
        <v>#REF!</v>
      </c>
      <c r="E394" s="2">
        <v>1430277</v>
      </c>
      <c r="F394" s="2">
        <v>385658</v>
      </c>
      <c r="G394" s="2">
        <v>766564</v>
      </c>
      <c r="H394" s="2">
        <v>217730</v>
      </c>
      <c r="I394" s="2">
        <v>0</v>
      </c>
      <c r="J394" s="2"/>
      <c r="K394" s="2">
        <v>469016</v>
      </c>
      <c r="L394" s="2">
        <v>441192</v>
      </c>
      <c r="M394" s="2">
        <v>395436</v>
      </c>
      <c r="N394" s="2">
        <v>158328</v>
      </c>
      <c r="O394" s="2">
        <v>0</v>
      </c>
      <c r="P394" s="2"/>
      <c r="Q394" s="2">
        <v>497926</v>
      </c>
      <c r="R394" s="2">
        <v>-428309</v>
      </c>
      <c r="S394" s="2">
        <v>60365</v>
      </c>
      <c r="T394" s="2">
        <v>78564</v>
      </c>
      <c r="U394" s="2">
        <v>0</v>
      </c>
      <c r="V394" s="2"/>
      <c r="W394" s="2">
        <v>560920</v>
      </c>
      <c r="X394" s="2">
        <v>459526</v>
      </c>
      <c r="Y394" s="2">
        <v>373057</v>
      </c>
      <c r="Z394" s="2">
        <v>0</v>
      </c>
      <c r="AA394" s="2">
        <v>0</v>
      </c>
      <c r="AB394" s="2"/>
      <c r="AC394" s="2">
        <v>0</v>
      </c>
      <c r="AD394" s="2">
        <v>0</v>
      </c>
      <c r="AE394" s="2">
        <v>0</v>
      </c>
      <c r="AF394" s="2">
        <v>0</v>
      </c>
      <c r="AG394" s="2">
        <v>0</v>
      </c>
      <c r="AH394" s="2"/>
      <c r="AI394" s="2">
        <v>-97585</v>
      </c>
      <c r="AJ394" s="2">
        <v>-86751</v>
      </c>
      <c r="AK394" s="2">
        <v>-62294</v>
      </c>
      <c r="AL394" s="2">
        <v>-19162</v>
      </c>
      <c r="AM394" s="2">
        <v>-86751</v>
      </c>
    </row>
    <row r="395" spans="1:39">
      <c r="A395" s="349">
        <v>93908</v>
      </c>
      <c r="B395" s="342" t="s">
        <v>1084</v>
      </c>
      <c r="C395" s="234" t="e">
        <f>VLOOKUP(A395,#REF!,10,FALSE)</f>
        <v>#REF!</v>
      </c>
      <c r="E395" s="2">
        <v>242576</v>
      </c>
      <c r="F395" s="2">
        <v>76290</v>
      </c>
      <c r="G395" s="2">
        <v>130656</v>
      </c>
      <c r="H395" s="2">
        <v>41862</v>
      </c>
      <c r="I395" s="2">
        <v>0</v>
      </c>
      <c r="J395" s="2"/>
      <c r="K395" s="2">
        <v>74214</v>
      </c>
      <c r="L395" s="2">
        <v>69812</v>
      </c>
      <c r="M395" s="2">
        <v>62571</v>
      </c>
      <c r="N395" s="2">
        <v>25053</v>
      </c>
      <c r="O395" s="2">
        <v>0</v>
      </c>
      <c r="P395" s="2"/>
      <c r="Q395" s="2">
        <v>78789</v>
      </c>
      <c r="R395" s="2">
        <v>-67773</v>
      </c>
      <c r="S395" s="2">
        <v>9552</v>
      </c>
      <c r="T395" s="2">
        <v>12432</v>
      </c>
      <c r="U395" s="2">
        <v>0</v>
      </c>
      <c r="V395" s="2"/>
      <c r="W395" s="2">
        <v>88757</v>
      </c>
      <c r="X395" s="2">
        <v>72713</v>
      </c>
      <c r="Y395" s="2">
        <v>59030</v>
      </c>
      <c r="Z395" s="2">
        <v>0</v>
      </c>
      <c r="AA395" s="2">
        <v>0</v>
      </c>
      <c r="AB395" s="2"/>
      <c r="AC395" s="2">
        <v>6412</v>
      </c>
      <c r="AD395" s="2">
        <v>6411</v>
      </c>
      <c r="AE395" s="2">
        <v>4375</v>
      </c>
      <c r="AF395" s="2">
        <v>4377</v>
      </c>
      <c r="AG395" s="2">
        <v>0</v>
      </c>
      <c r="AH395" s="2"/>
      <c r="AI395" s="2">
        <v>-5596</v>
      </c>
      <c r="AJ395" s="2">
        <v>-4873</v>
      </c>
      <c r="AK395" s="2">
        <v>-4872</v>
      </c>
      <c r="AL395" s="2">
        <v>0</v>
      </c>
      <c r="AM395" s="2">
        <v>-4873</v>
      </c>
    </row>
    <row r="396" spans="1:39">
      <c r="A396" s="349">
        <v>93910</v>
      </c>
      <c r="B396" s="342" t="s">
        <v>1085</v>
      </c>
      <c r="C396" s="234" t="e">
        <f>VLOOKUP(A396,#REF!,10,FALSE)</f>
        <v>#REF!</v>
      </c>
      <c r="E396" s="2">
        <v>96489</v>
      </c>
      <c r="F396" s="2">
        <v>21708</v>
      </c>
      <c r="G396" s="2">
        <v>51921</v>
      </c>
      <c r="H396" s="2">
        <v>12686</v>
      </c>
      <c r="I396" s="2">
        <v>0</v>
      </c>
      <c r="J396" s="2"/>
      <c r="K396" s="2">
        <v>34231</v>
      </c>
      <c r="L396" s="2">
        <v>32200</v>
      </c>
      <c r="M396" s="2">
        <v>28861</v>
      </c>
      <c r="N396" s="2">
        <v>11555</v>
      </c>
      <c r="O396" s="2">
        <v>0</v>
      </c>
      <c r="P396" s="2"/>
      <c r="Q396" s="2">
        <v>36341</v>
      </c>
      <c r="R396" s="2">
        <v>-31260</v>
      </c>
      <c r="S396" s="2">
        <v>4406</v>
      </c>
      <c r="T396" s="2">
        <v>5734</v>
      </c>
      <c r="U396" s="2">
        <v>0</v>
      </c>
      <c r="V396" s="2"/>
      <c r="W396" s="2">
        <v>40939</v>
      </c>
      <c r="X396" s="2">
        <v>33538</v>
      </c>
      <c r="Y396" s="2">
        <v>27227</v>
      </c>
      <c r="Z396" s="2">
        <v>0</v>
      </c>
      <c r="AA396" s="2">
        <v>0</v>
      </c>
      <c r="AB396" s="2"/>
      <c r="AC396" s="2">
        <v>0</v>
      </c>
      <c r="AD396" s="2">
        <v>0</v>
      </c>
      <c r="AE396" s="2">
        <v>0</v>
      </c>
      <c r="AF396" s="2">
        <v>0</v>
      </c>
      <c r="AG396" s="2">
        <v>0</v>
      </c>
      <c r="AH396" s="2"/>
      <c r="AI396" s="2">
        <v>-15022</v>
      </c>
      <c r="AJ396" s="2">
        <v>-12770</v>
      </c>
      <c r="AK396" s="2">
        <v>-8573</v>
      </c>
      <c r="AL396" s="2">
        <v>-4603</v>
      </c>
      <c r="AM396" s="2">
        <v>-12770</v>
      </c>
    </row>
    <row r="397" spans="1:39">
      <c r="A397" s="349">
        <v>93911</v>
      </c>
      <c r="B397" s="342" t="s">
        <v>1086</v>
      </c>
      <c r="C397" s="234" t="e">
        <f>VLOOKUP(A397,#REF!,10,FALSE)</f>
        <v>#REF!</v>
      </c>
      <c r="E397" s="2">
        <v>302275</v>
      </c>
      <c r="F397" s="2">
        <v>91359</v>
      </c>
      <c r="G397" s="2">
        <v>173259</v>
      </c>
      <c r="H397" s="2">
        <v>48076</v>
      </c>
      <c r="I397" s="2">
        <v>0</v>
      </c>
      <c r="J397" s="2"/>
      <c r="K397" s="2">
        <v>96356</v>
      </c>
      <c r="L397" s="2">
        <v>90640</v>
      </c>
      <c r="M397" s="2">
        <v>81239</v>
      </c>
      <c r="N397" s="2">
        <v>32527</v>
      </c>
      <c r="O397" s="2">
        <v>0</v>
      </c>
      <c r="P397" s="2"/>
      <c r="Q397" s="2">
        <v>102295</v>
      </c>
      <c r="R397" s="2">
        <v>-87993</v>
      </c>
      <c r="S397" s="2">
        <v>12402</v>
      </c>
      <c r="T397" s="2">
        <v>16140</v>
      </c>
      <c r="U397" s="2">
        <v>0</v>
      </c>
      <c r="V397" s="2"/>
      <c r="W397" s="2">
        <v>115237</v>
      </c>
      <c r="X397" s="2">
        <v>94406</v>
      </c>
      <c r="Y397" s="2">
        <v>76642</v>
      </c>
      <c r="Z397" s="2">
        <v>0</v>
      </c>
      <c r="AA397" s="2">
        <v>0</v>
      </c>
      <c r="AB397" s="2"/>
      <c r="AC397" s="2">
        <v>3567</v>
      </c>
      <c r="AD397" s="2">
        <v>3567</v>
      </c>
      <c r="AE397" s="2">
        <v>3569</v>
      </c>
      <c r="AF397" s="2">
        <v>0</v>
      </c>
      <c r="AG397" s="2">
        <v>0</v>
      </c>
      <c r="AH397" s="2"/>
      <c r="AI397" s="2">
        <v>-15180</v>
      </c>
      <c r="AJ397" s="2">
        <v>-9261</v>
      </c>
      <c r="AK397" s="2">
        <v>-593</v>
      </c>
      <c r="AL397" s="2">
        <v>-591</v>
      </c>
      <c r="AM397" s="2">
        <v>-9261</v>
      </c>
    </row>
    <row r="398" spans="1:39">
      <c r="A398" s="349">
        <v>93913</v>
      </c>
      <c r="B398" s="342" t="s">
        <v>1087</v>
      </c>
      <c r="C398" s="234" t="e">
        <f>VLOOKUP(A398,#REF!,10,FALSE)</f>
        <v>#REF!</v>
      </c>
      <c r="E398" s="2">
        <v>25317</v>
      </c>
      <c r="F398" s="2">
        <v>7658</v>
      </c>
      <c r="G398" s="2">
        <v>13379</v>
      </c>
      <c r="H398" s="2">
        <v>3233</v>
      </c>
      <c r="I398" s="2">
        <v>0</v>
      </c>
      <c r="J398" s="2"/>
      <c r="K398" s="2">
        <v>7460</v>
      </c>
      <c r="L398" s="2">
        <v>7018</v>
      </c>
      <c r="M398" s="2">
        <v>6290</v>
      </c>
      <c r="N398" s="2">
        <v>2518</v>
      </c>
      <c r="O398" s="2">
        <v>0</v>
      </c>
      <c r="P398" s="2"/>
      <c r="Q398" s="2">
        <v>7920</v>
      </c>
      <c r="R398" s="2">
        <v>-6813</v>
      </c>
      <c r="S398" s="2">
        <v>960</v>
      </c>
      <c r="T398" s="2">
        <v>1250</v>
      </c>
      <c r="U398" s="2">
        <v>0</v>
      </c>
      <c r="V398" s="2"/>
      <c r="W398" s="2">
        <v>8922</v>
      </c>
      <c r="X398" s="2">
        <v>7309</v>
      </c>
      <c r="Y398" s="2">
        <v>5934</v>
      </c>
      <c r="Z398" s="2">
        <v>0</v>
      </c>
      <c r="AA398" s="2">
        <v>0</v>
      </c>
      <c r="AB398" s="2"/>
      <c r="AC398" s="2">
        <v>1603</v>
      </c>
      <c r="AD398" s="2">
        <v>731</v>
      </c>
      <c r="AE398" s="2">
        <v>729</v>
      </c>
      <c r="AF398" s="2">
        <v>0</v>
      </c>
      <c r="AG398" s="2">
        <v>0</v>
      </c>
      <c r="AH398" s="2"/>
      <c r="AI398" s="2">
        <v>-588</v>
      </c>
      <c r="AJ398" s="2">
        <v>-587</v>
      </c>
      <c r="AK398" s="2">
        <v>-534</v>
      </c>
      <c r="AL398" s="2">
        <v>-535</v>
      </c>
      <c r="AM398" s="2">
        <v>-587</v>
      </c>
    </row>
    <row r="399" spans="1:39">
      <c r="A399" s="349">
        <v>93914</v>
      </c>
      <c r="B399" s="342" t="s">
        <v>1088</v>
      </c>
      <c r="C399" s="234" t="e">
        <f>VLOOKUP(A399,#REF!,10,FALSE)</f>
        <v>#REF!</v>
      </c>
      <c r="E399" s="2">
        <v>4593</v>
      </c>
      <c r="F399" s="2">
        <v>2273</v>
      </c>
      <c r="G399" s="2">
        <v>2573</v>
      </c>
      <c r="H399" s="2">
        <v>931</v>
      </c>
      <c r="I399" s="2">
        <v>0</v>
      </c>
      <c r="J399" s="2"/>
      <c r="K399" s="2">
        <v>914</v>
      </c>
      <c r="L399" s="2">
        <v>860</v>
      </c>
      <c r="M399" s="2">
        <v>770</v>
      </c>
      <c r="N399" s="2">
        <v>308</v>
      </c>
      <c r="O399" s="2">
        <v>0</v>
      </c>
      <c r="P399" s="2"/>
      <c r="Q399" s="2">
        <v>970</v>
      </c>
      <c r="R399" s="2">
        <v>-835</v>
      </c>
      <c r="S399" s="2">
        <v>118</v>
      </c>
      <c r="T399" s="2">
        <v>153</v>
      </c>
      <c r="U399" s="2">
        <v>0</v>
      </c>
      <c r="V399" s="2"/>
      <c r="W399" s="2">
        <v>1093</v>
      </c>
      <c r="X399" s="2">
        <v>895</v>
      </c>
      <c r="Y399" s="2">
        <v>727</v>
      </c>
      <c r="Z399" s="2">
        <v>0</v>
      </c>
      <c r="AA399" s="2">
        <v>0</v>
      </c>
      <c r="AB399" s="2"/>
      <c r="AC399" s="2">
        <v>1616</v>
      </c>
      <c r="AD399" s="2">
        <v>1353</v>
      </c>
      <c r="AE399" s="2">
        <v>958</v>
      </c>
      <c r="AF399" s="2">
        <v>470</v>
      </c>
      <c r="AG399" s="2">
        <v>0</v>
      </c>
      <c r="AH399" s="2"/>
      <c r="AI399" s="2">
        <v>0</v>
      </c>
      <c r="AJ399" s="2">
        <v>0</v>
      </c>
      <c r="AK399" s="2">
        <v>0</v>
      </c>
      <c r="AL399" s="2">
        <v>0</v>
      </c>
      <c r="AM399" s="2">
        <v>0</v>
      </c>
    </row>
    <row r="400" spans="1:39">
      <c r="A400" s="349">
        <v>93921</v>
      </c>
      <c r="B400" s="342" t="s">
        <v>1089</v>
      </c>
      <c r="C400" s="234" t="e">
        <f>VLOOKUP(A400,#REF!,10,FALSE)</f>
        <v>#REF!</v>
      </c>
      <c r="E400" s="2">
        <v>99498</v>
      </c>
      <c r="F400" s="2">
        <v>25125</v>
      </c>
      <c r="G400" s="2">
        <v>48870</v>
      </c>
      <c r="H400" s="2">
        <v>7818</v>
      </c>
      <c r="I400" s="2">
        <v>0</v>
      </c>
      <c r="J400" s="2"/>
      <c r="K400" s="2">
        <v>33722</v>
      </c>
      <c r="L400" s="2">
        <v>31721</v>
      </c>
      <c r="M400" s="2">
        <v>28431</v>
      </c>
      <c r="N400" s="2">
        <v>11384</v>
      </c>
      <c r="O400" s="2">
        <v>0</v>
      </c>
      <c r="P400" s="2"/>
      <c r="Q400" s="2">
        <v>35800</v>
      </c>
      <c r="R400" s="2">
        <v>-30795</v>
      </c>
      <c r="S400" s="2">
        <v>4340</v>
      </c>
      <c r="T400" s="2">
        <v>5649</v>
      </c>
      <c r="U400" s="2">
        <v>0</v>
      </c>
      <c r="V400" s="2"/>
      <c r="W400" s="2">
        <v>40329</v>
      </c>
      <c r="X400" s="2">
        <v>33039</v>
      </c>
      <c r="Y400" s="2">
        <v>26822</v>
      </c>
      <c r="Z400" s="2">
        <v>0</v>
      </c>
      <c r="AA400" s="2">
        <v>0</v>
      </c>
      <c r="AB400" s="2"/>
      <c r="AC400" s="2">
        <v>1883</v>
      </c>
      <c r="AD400" s="2">
        <v>1882</v>
      </c>
      <c r="AE400" s="2">
        <v>0</v>
      </c>
      <c r="AF400" s="2">
        <v>0</v>
      </c>
      <c r="AG400" s="2">
        <v>0</v>
      </c>
      <c r="AH400" s="2"/>
      <c r="AI400" s="2">
        <v>-12236</v>
      </c>
      <c r="AJ400" s="2">
        <v>-10722</v>
      </c>
      <c r="AK400" s="2">
        <v>-10723</v>
      </c>
      <c r="AL400" s="2">
        <v>-9215</v>
      </c>
      <c r="AM400" s="2">
        <v>-10722</v>
      </c>
    </row>
    <row r="401" spans="1:39">
      <c r="A401" s="349">
        <v>93931</v>
      </c>
      <c r="B401" s="342" t="s">
        <v>1090</v>
      </c>
      <c r="C401" s="234" t="e">
        <f>VLOOKUP(A401,#REF!,10,FALSE)</f>
        <v>#REF!</v>
      </c>
      <c r="E401" s="2">
        <v>233550</v>
      </c>
      <c r="F401" s="2">
        <v>62764</v>
      </c>
      <c r="G401" s="2">
        <v>128648</v>
      </c>
      <c r="H401" s="2">
        <v>28788</v>
      </c>
      <c r="I401" s="2">
        <v>0</v>
      </c>
      <c r="J401" s="2"/>
      <c r="K401" s="2">
        <v>77285</v>
      </c>
      <c r="L401" s="2">
        <v>72701</v>
      </c>
      <c r="M401" s="2">
        <v>65161</v>
      </c>
      <c r="N401" s="2">
        <v>26090</v>
      </c>
      <c r="O401" s="2">
        <v>0</v>
      </c>
      <c r="P401" s="2"/>
      <c r="Q401" s="2">
        <v>82049</v>
      </c>
      <c r="R401" s="2">
        <v>-70578</v>
      </c>
      <c r="S401" s="2">
        <v>9947</v>
      </c>
      <c r="T401" s="2">
        <v>12946</v>
      </c>
      <c r="U401" s="2">
        <v>0</v>
      </c>
      <c r="V401" s="2"/>
      <c r="W401" s="2">
        <v>92430</v>
      </c>
      <c r="X401" s="2">
        <v>75722</v>
      </c>
      <c r="Y401" s="2">
        <v>61473</v>
      </c>
      <c r="Z401" s="2">
        <v>0</v>
      </c>
      <c r="AA401" s="2">
        <v>0</v>
      </c>
      <c r="AB401" s="2"/>
      <c r="AC401" s="2">
        <v>2318</v>
      </c>
      <c r="AD401" s="2">
        <v>2318</v>
      </c>
      <c r="AE401" s="2">
        <v>2316</v>
      </c>
      <c r="AF401" s="2">
        <v>0</v>
      </c>
      <c r="AG401" s="2">
        <v>0</v>
      </c>
      <c r="AH401" s="2"/>
      <c r="AI401" s="2">
        <v>-20532</v>
      </c>
      <c r="AJ401" s="2">
        <v>-17399</v>
      </c>
      <c r="AK401" s="2">
        <v>-10249</v>
      </c>
      <c r="AL401" s="2">
        <v>-10248</v>
      </c>
      <c r="AM401" s="2">
        <v>-17399</v>
      </c>
    </row>
    <row r="402" spans="1:39">
      <c r="A402" s="349">
        <v>94001</v>
      </c>
      <c r="B402" s="342" t="s">
        <v>1091</v>
      </c>
      <c r="C402" s="234" t="e">
        <f>VLOOKUP(A402,#REF!,10,FALSE)</f>
        <v>#REF!</v>
      </c>
      <c r="E402" s="2">
        <v>477231</v>
      </c>
      <c r="F402" s="2">
        <v>153178</v>
      </c>
      <c r="G402" s="2">
        <v>255234</v>
      </c>
      <c r="H402" s="2">
        <v>74631</v>
      </c>
      <c r="I402" s="2">
        <v>0</v>
      </c>
      <c r="J402" s="2"/>
      <c r="K402" s="2">
        <v>140399</v>
      </c>
      <c r="L402" s="2">
        <v>132070</v>
      </c>
      <c r="M402" s="2">
        <v>118373</v>
      </c>
      <c r="N402" s="2">
        <v>47395</v>
      </c>
      <c r="O402" s="2">
        <v>0</v>
      </c>
      <c r="P402" s="2"/>
      <c r="Q402" s="2">
        <v>149053</v>
      </c>
      <c r="R402" s="2">
        <v>-128214</v>
      </c>
      <c r="S402" s="2">
        <v>18070</v>
      </c>
      <c r="T402" s="2">
        <v>23518</v>
      </c>
      <c r="U402" s="2">
        <v>0</v>
      </c>
      <c r="V402" s="2"/>
      <c r="W402" s="2">
        <v>167911</v>
      </c>
      <c r="X402" s="2">
        <v>137558</v>
      </c>
      <c r="Y402" s="2">
        <v>111674</v>
      </c>
      <c r="Z402" s="2">
        <v>0</v>
      </c>
      <c r="AA402" s="2">
        <v>0</v>
      </c>
      <c r="AB402" s="2"/>
      <c r="AC402" s="2">
        <v>19868</v>
      </c>
      <c r="AD402" s="2">
        <v>11764</v>
      </c>
      <c r="AE402" s="2">
        <v>7117</v>
      </c>
      <c r="AF402" s="2">
        <v>3718</v>
      </c>
      <c r="AG402" s="2">
        <v>0</v>
      </c>
      <c r="AH402" s="2"/>
      <c r="AI402" s="2">
        <v>0</v>
      </c>
      <c r="AJ402" s="2">
        <v>0</v>
      </c>
      <c r="AK402" s="2">
        <v>0</v>
      </c>
      <c r="AL402" s="2">
        <v>0</v>
      </c>
      <c r="AM402" s="2">
        <v>0</v>
      </c>
    </row>
    <row r="403" spans="1:39">
      <c r="A403" s="349">
        <v>94002</v>
      </c>
      <c r="B403" s="342" t="s">
        <v>1092</v>
      </c>
      <c r="C403" s="234" t="e">
        <f>VLOOKUP(A403,#REF!,10,FALSE)</f>
        <v>#REF!</v>
      </c>
      <c r="E403" s="2">
        <v>3356</v>
      </c>
      <c r="F403" s="2">
        <v>1469</v>
      </c>
      <c r="G403" s="2">
        <v>1859</v>
      </c>
      <c r="H403" s="2">
        <v>709</v>
      </c>
      <c r="I403" s="2">
        <v>0</v>
      </c>
      <c r="J403" s="2"/>
      <c r="K403" s="2">
        <v>779</v>
      </c>
      <c r="L403" s="2">
        <v>733</v>
      </c>
      <c r="M403" s="2">
        <v>657</v>
      </c>
      <c r="N403" s="2">
        <v>263</v>
      </c>
      <c r="O403" s="2">
        <v>0</v>
      </c>
      <c r="P403" s="2"/>
      <c r="Q403" s="2">
        <v>827</v>
      </c>
      <c r="R403" s="2">
        <v>-711</v>
      </c>
      <c r="S403" s="2">
        <v>100</v>
      </c>
      <c r="T403" s="2">
        <v>130</v>
      </c>
      <c r="U403" s="2">
        <v>0</v>
      </c>
      <c r="V403" s="2"/>
      <c r="W403" s="2">
        <v>932</v>
      </c>
      <c r="X403" s="2">
        <v>763</v>
      </c>
      <c r="Y403" s="2">
        <v>620</v>
      </c>
      <c r="Z403" s="2">
        <v>0</v>
      </c>
      <c r="AA403" s="2">
        <v>0</v>
      </c>
      <c r="AB403" s="2"/>
      <c r="AC403" s="2">
        <v>818</v>
      </c>
      <c r="AD403" s="2">
        <v>684</v>
      </c>
      <c r="AE403" s="2">
        <v>482</v>
      </c>
      <c r="AF403" s="2">
        <v>316</v>
      </c>
      <c r="AG403" s="2">
        <v>0</v>
      </c>
      <c r="AH403" s="2"/>
      <c r="AI403" s="2">
        <v>0</v>
      </c>
      <c r="AJ403" s="2">
        <v>0</v>
      </c>
      <c r="AK403" s="2">
        <v>0</v>
      </c>
      <c r="AL403" s="2">
        <v>0</v>
      </c>
      <c r="AM403" s="2">
        <v>0</v>
      </c>
    </row>
    <row r="404" spans="1:39">
      <c r="A404" s="349">
        <v>94004</v>
      </c>
      <c r="B404" s="342" t="s">
        <v>1093</v>
      </c>
      <c r="C404" s="234" t="e">
        <f>VLOOKUP(A404,#REF!,10,FALSE)</f>
        <v>#REF!</v>
      </c>
      <c r="E404" s="2">
        <v>5300</v>
      </c>
      <c r="F404" s="2">
        <v>2468</v>
      </c>
      <c r="G404" s="2">
        <v>2397</v>
      </c>
      <c r="H404" s="2">
        <v>790</v>
      </c>
      <c r="I404" s="2">
        <v>0</v>
      </c>
      <c r="J404" s="2"/>
      <c r="K404" s="2">
        <v>1109</v>
      </c>
      <c r="L404" s="2">
        <v>1043</v>
      </c>
      <c r="M404" s="2">
        <v>935</v>
      </c>
      <c r="N404" s="2">
        <v>374</v>
      </c>
      <c r="O404" s="2">
        <v>0</v>
      </c>
      <c r="P404" s="2"/>
      <c r="Q404" s="2">
        <v>1177</v>
      </c>
      <c r="R404" s="2">
        <v>-1012</v>
      </c>
      <c r="S404" s="2">
        <v>143</v>
      </c>
      <c r="T404" s="2">
        <v>186</v>
      </c>
      <c r="U404" s="2">
        <v>0</v>
      </c>
      <c r="V404" s="2"/>
      <c r="W404" s="2">
        <v>1326</v>
      </c>
      <c r="X404" s="2">
        <v>1086</v>
      </c>
      <c r="Y404" s="2">
        <v>882</v>
      </c>
      <c r="Z404" s="2">
        <v>0</v>
      </c>
      <c r="AA404" s="2">
        <v>0</v>
      </c>
      <c r="AB404" s="2"/>
      <c r="AC404" s="2">
        <v>1688</v>
      </c>
      <c r="AD404" s="2">
        <v>1351</v>
      </c>
      <c r="AE404" s="2">
        <v>437</v>
      </c>
      <c r="AF404" s="2">
        <v>230</v>
      </c>
      <c r="AG404" s="2">
        <v>0</v>
      </c>
      <c r="AH404" s="2"/>
      <c r="AI404" s="2">
        <v>0</v>
      </c>
      <c r="AJ404" s="2">
        <v>0</v>
      </c>
      <c r="AK404" s="2">
        <v>0</v>
      </c>
      <c r="AL404" s="2">
        <v>0</v>
      </c>
      <c r="AM404" s="2">
        <v>0</v>
      </c>
    </row>
    <row r="405" spans="1:39">
      <c r="A405" s="349">
        <v>94005</v>
      </c>
      <c r="B405" s="342" t="s">
        <v>1094</v>
      </c>
      <c r="C405" s="234" t="e">
        <f>VLOOKUP(A405,#REF!,10,FALSE)</f>
        <v>#REF!</v>
      </c>
      <c r="E405" s="2">
        <v>149</v>
      </c>
      <c r="F405" s="2">
        <v>7</v>
      </c>
      <c r="G405" s="2">
        <v>1031</v>
      </c>
      <c r="H405" s="2">
        <v>-197</v>
      </c>
      <c r="I405" s="2">
        <v>0</v>
      </c>
      <c r="J405" s="2"/>
      <c r="K405" s="2">
        <v>285</v>
      </c>
      <c r="L405" s="2">
        <v>268</v>
      </c>
      <c r="M405" s="2">
        <v>240</v>
      </c>
      <c r="N405" s="2">
        <v>96</v>
      </c>
      <c r="O405" s="2">
        <v>0</v>
      </c>
      <c r="P405" s="2"/>
      <c r="Q405" s="2">
        <v>302</v>
      </c>
      <c r="R405" s="2">
        <v>-260</v>
      </c>
      <c r="S405" s="2">
        <v>37</v>
      </c>
      <c r="T405" s="2">
        <v>48</v>
      </c>
      <c r="U405" s="2">
        <v>0</v>
      </c>
      <c r="V405" s="2"/>
      <c r="W405" s="2">
        <v>340</v>
      </c>
      <c r="X405" s="2">
        <v>279</v>
      </c>
      <c r="Y405" s="2">
        <v>226</v>
      </c>
      <c r="Z405" s="2">
        <v>0</v>
      </c>
      <c r="AA405" s="2">
        <v>0</v>
      </c>
      <c r="AB405" s="2"/>
      <c r="AC405" s="2">
        <v>871</v>
      </c>
      <c r="AD405" s="2">
        <v>871</v>
      </c>
      <c r="AE405" s="2">
        <v>870</v>
      </c>
      <c r="AF405" s="2">
        <v>0</v>
      </c>
      <c r="AG405" s="2">
        <v>0</v>
      </c>
      <c r="AH405" s="2"/>
      <c r="AI405" s="2">
        <v>-1649</v>
      </c>
      <c r="AJ405" s="2">
        <v>-1151</v>
      </c>
      <c r="AK405" s="2">
        <v>-342</v>
      </c>
      <c r="AL405" s="2">
        <v>-341</v>
      </c>
      <c r="AM405" s="2">
        <v>-1151</v>
      </c>
    </row>
    <row r="406" spans="1:39">
      <c r="A406" s="349">
        <v>94011</v>
      </c>
      <c r="B406" s="342" t="s">
        <v>1095</v>
      </c>
      <c r="C406" s="234" t="e">
        <f>VLOOKUP(A406,#REF!,10,FALSE)</f>
        <v>#REF!</v>
      </c>
      <c r="E406" s="2">
        <v>13167</v>
      </c>
      <c r="F406" s="2">
        <v>3196</v>
      </c>
      <c r="G406" s="2">
        <v>6892</v>
      </c>
      <c r="H406" s="2">
        <v>1396</v>
      </c>
      <c r="I406" s="2">
        <v>0</v>
      </c>
      <c r="J406" s="2"/>
      <c r="K406" s="2">
        <v>4000</v>
      </c>
      <c r="L406" s="2">
        <v>3763</v>
      </c>
      <c r="M406" s="2">
        <v>3372</v>
      </c>
      <c r="N406" s="2">
        <v>1350</v>
      </c>
      <c r="O406" s="2">
        <v>0</v>
      </c>
      <c r="P406" s="2"/>
      <c r="Q406" s="2">
        <v>4246</v>
      </c>
      <c r="R406" s="2">
        <v>-3653</v>
      </c>
      <c r="S406" s="2">
        <v>515</v>
      </c>
      <c r="T406" s="2">
        <v>670</v>
      </c>
      <c r="U406" s="2">
        <v>0</v>
      </c>
      <c r="V406" s="2"/>
      <c r="W406" s="2">
        <v>4784</v>
      </c>
      <c r="X406" s="2">
        <v>3919</v>
      </c>
      <c r="Y406" s="2">
        <v>3181</v>
      </c>
      <c r="Z406" s="2">
        <v>0</v>
      </c>
      <c r="AA406" s="2">
        <v>0</v>
      </c>
      <c r="AB406" s="2"/>
      <c r="AC406" s="2">
        <v>1418</v>
      </c>
      <c r="AD406" s="2">
        <v>450</v>
      </c>
      <c r="AE406" s="2">
        <v>450</v>
      </c>
      <c r="AF406" s="2">
        <v>0</v>
      </c>
      <c r="AG406" s="2">
        <v>0</v>
      </c>
      <c r="AH406" s="2"/>
      <c r="AI406" s="2">
        <v>-1281</v>
      </c>
      <c r="AJ406" s="2">
        <v>-1283</v>
      </c>
      <c r="AK406" s="2">
        <v>-626</v>
      </c>
      <c r="AL406" s="2">
        <v>-624</v>
      </c>
      <c r="AM406" s="2">
        <v>-1283</v>
      </c>
    </row>
    <row r="407" spans="1:39">
      <c r="A407" s="349">
        <v>94021</v>
      </c>
      <c r="B407" s="342" t="s">
        <v>1096</v>
      </c>
      <c r="C407" s="234" t="e">
        <f>VLOOKUP(A407,#REF!,10,FALSE)</f>
        <v>#REF!</v>
      </c>
      <c r="E407" s="2">
        <v>45471</v>
      </c>
      <c r="F407" s="2">
        <v>16579</v>
      </c>
      <c r="G407" s="2">
        <v>23211</v>
      </c>
      <c r="H407" s="2">
        <v>7355</v>
      </c>
      <c r="I407" s="2">
        <v>0</v>
      </c>
      <c r="J407" s="2"/>
      <c r="K407" s="2">
        <v>12479</v>
      </c>
      <c r="L407" s="2">
        <v>11739</v>
      </c>
      <c r="M407" s="2">
        <v>10521</v>
      </c>
      <c r="N407" s="2">
        <v>4213</v>
      </c>
      <c r="O407" s="2">
        <v>0</v>
      </c>
      <c r="P407" s="2"/>
      <c r="Q407" s="2">
        <v>13248</v>
      </c>
      <c r="R407" s="2">
        <v>-11396</v>
      </c>
      <c r="S407" s="2">
        <v>1606</v>
      </c>
      <c r="T407" s="2">
        <v>2090</v>
      </c>
      <c r="U407" s="2">
        <v>0</v>
      </c>
      <c r="V407" s="2"/>
      <c r="W407" s="2">
        <v>14924</v>
      </c>
      <c r="X407" s="2">
        <v>12226</v>
      </c>
      <c r="Y407" s="2">
        <v>9926</v>
      </c>
      <c r="Z407" s="2">
        <v>0</v>
      </c>
      <c r="AA407" s="2">
        <v>0</v>
      </c>
      <c r="AB407" s="2"/>
      <c r="AC407" s="2">
        <v>4820</v>
      </c>
      <c r="AD407" s="2">
        <v>4010</v>
      </c>
      <c r="AE407" s="2">
        <v>1158</v>
      </c>
      <c r="AF407" s="2">
        <v>1052</v>
      </c>
      <c r="AG407" s="2">
        <v>0</v>
      </c>
      <c r="AH407" s="2"/>
      <c r="AI407" s="2">
        <v>0</v>
      </c>
      <c r="AJ407" s="2">
        <v>0</v>
      </c>
      <c r="AK407" s="2">
        <v>0</v>
      </c>
      <c r="AL407" s="2">
        <v>0</v>
      </c>
      <c r="AM407" s="2">
        <v>0</v>
      </c>
    </row>
    <row r="408" spans="1:39">
      <c r="A408" s="349">
        <v>94031</v>
      </c>
      <c r="B408" s="342" t="s">
        <v>1097</v>
      </c>
      <c r="C408" s="234" t="e">
        <f>VLOOKUP(A408,#REF!,10,FALSE)</f>
        <v>#REF!</v>
      </c>
      <c r="E408" s="2">
        <v>5432</v>
      </c>
      <c r="F408" s="2">
        <v>2961</v>
      </c>
      <c r="G408" s="2">
        <v>3077</v>
      </c>
      <c r="H408" s="2">
        <v>1355</v>
      </c>
      <c r="I408" s="2">
        <v>0</v>
      </c>
      <c r="J408" s="2"/>
      <c r="K408" s="2">
        <v>689</v>
      </c>
      <c r="L408" s="2">
        <v>648</v>
      </c>
      <c r="M408" s="2">
        <v>581</v>
      </c>
      <c r="N408" s="2">
        <v>233</v>
      </c>
      <c r="O408" s="2">
        <v>0</v>
      </c>
      <c r="P408" s="2"/>
      <c r="Q408" s="2">
        <v>732</v>
      </c>
      <c r="R408" s="2">
        <v>-629</v>
      </c>
      <c r="S408" s="2">
        <v>89</v>
      </c>
      <c r="T408" s="2">
        <v>115</v>
      </c>
      <c r="U408" s="2">
        <v>0</v>
      </c>
      <c r="V408" s="2"/>
      <c r="W408" s="2">
        <v>824</v>
      </c>
      <c r="X408" s="2">
        <v>675</v>
      </c>
      <c r="Y408" s="2">
        <v>548</v>
      </c>
      <c r="Z408" s="2">
        <v>0</v>
      </c>
      <c r="AA408" s="2">
        <v>0</v>
      </c>
      <c r="AB408" s="2"/>
      <c r="AC408" s="2">
        <v>3187</v>
      </c>
      <c r="AD408" s="2">
        <v>2267</v>
      </c>
      <c r="AE408" s="2">
        <v>1859</v>
      </c>
      <c r="AF408" s="2">
        <v>1007</v>
      </c>
      <c r="AG408" s="2">
        <v>0</v>
      </c>
      <c r="AH408" s="2"/>
      <c r="AI408" s="2">
        <v>0</v>
      </c>
      <c r="AJ408" s="2">
        <v>0</v>
      </c>
      <c r="AK408" s="2">
        <v>0</v>
      </c>
      <c r="AL408" s="2">
        <v>0</v>
      </c>
      <c r="AM408" s="2">
        <v>0</v>
      </c>
    </row>
    <row r="409" spans="1:39">
      <c r="A409" s="349">
        <v>94101</v>
      </c>
      <c r="B409" s="342" t="s">
        <v>1098</v>
      </c>
      <c r="C409" s="234" t="e">
        <f>VLOOKUP(A409,#REF!,10,FALSE)</f>
        <v>#REF!</v>
      </c>
      <c r="E409" s="2">
        <v>8495628</v>
      </c>
      <c r="F409" s="2">
        <v>2639351</v>
      </c>
      <c r="G409" s="2">
        <v>4669716</v>
      </c>
      <c r="H409" s="2">
        <v>1305037</v>
      </c>
      <c r="I409" s="2">
        <v>0</v>
      </c>
      <c r="J409" s="2"/>
      <c r="K409" s="2">
        <v>2659179</v>
      </c>
      <c r="L409" s="2">
        <v>2501429</v>
      </c>
      <c r="M409" s="2">
        <v>2242002</v>
      </c>
      <c r="N409" s="2">
        <v>897671</v>
      </c>
      <c r="O409" s="2">
        <v>0</v>
      </c>
      <c r="P409" s="2"/>
      <c r="Q409" s="2">
        <v>2823089</v>
      </c>
      <c r="R409" s="2">
        <v>-2428385</v>
      </c>
      <c r="S409" s="2">
        <v>342251</v>
      </c>
      <c r="T409" s="2">
        <v>445436</v>
      </c>
      <c r="U409" s="2">
        <v>0</v>
      </c>
      <c r="V409" s="2"/>
      <c r="W409" s="2">
        <v>3180251</v>
      </c>
      <c r="X409" s="2">
        <v>2605377</v>
      </c>
      <c r="Y409" s="2">
        <v>2115120</v>
      </c>
      <c r="Z409" s="2">
        <v>0</v>
      </c>
      <c r="AA409" s="2">
        <v>0</v>
      </c>
      <c r="AB409" s="2"/>
      <c r="AC409" s="2">
        <v>8414</v>
      </c>
      <c r="AD409" s="2">
        <v>8414</v>
      </c>
      <c r="AE409" s="2">
        <v>8414</v>
      </c>
      <c r="AF409" s="2">
        <v>0</v>
      </c>
      <c r="AG409" s="2">
        <v>0</v>
      </c>
      <c r="AH409" s="2"/>
      <c r="AI409" s="2">
        <v>-175305</v>
      </c>
      <c r="AJ409" s="2">
        <v>-47484</v>
      </c>
      <c r="AK409" s="2">
        <v>-38071</v>
      </c>
      <c r="AL409" s="2">
        <v>-38070</v>
      </c>
      <c r="AM409" s="2">
        <v>-47484</v>
      </c>
    </row>
    <row r="410" spans="1:39">
      <c r="A410" s="349">
        <v>94102</v>
      </c>
      <c r="B410" s="342" t="s">
        <v>1099</v>
      </c>
      <c r="C410" s="234" t="e">
        <f>VLOOKUP(A410,#REF!,10,FALSE)</f>
        <v>#REF!</v>
      </c>
      <c r="E410" s="2">
        <v>152404</v>
      </c>
      <c r="F410" s="2">
        <v>42746</v>
      </c>
      <c r="G410" s="2">
        <v>84110</v>
      </c>
      <c r="H410" s="2">
        <v>27759</v>
      </c>
      <c r="I410" s="2">
        <v>0</v>
      </c>
      <c r="J410" s="2"/>
      <c r="K410" s="2">
        <v>50710</v>
      </c>
      <c r="L410" s="2">
        <v>47701</v>
      </c>
      <c r="M410" s="2">
        <v>42754</v>
      </c>
      <c r="N410" s="2">
        <v>17118</v>
      </c>
      <c r="O410" s="2">
        <v>0</v>
      </c>
      <c r="P410" s="2"/>
      <c r="Q410" s="2">
        <v>53835</v>
      </c>
      <c r="R410" s="2">
        <v>-46308</v>
      </c>
      <c r="S410" s="2">
        <v>6527</v>
      </c>
      <c r="T410" s="2">
        <v>8494</v>
      </c>
      <c r="U410" s="2">
        <v>0</v>
      </c>
      <c r="V410" s="2"/>
      <c r="W410" s="2">
        <v>60646</v>
      </c>
      <c r="X410" s="2">
        <v>49684</v>
      </c>
      <c r="Y410" s="2">
        <v>40335</v>
      </c>
      <c r="Z410" s="2">
        <v>0</v>
      </c>
      <c r="AA410" s="2">
        <v>0</v>
      </c>
      <c r="AB410" s="2"/>
      <c r="AC410" s="2">
        <v>2146</v>
      </c>
      <c r="AD410" s="2">
        <v>2146</v>
      </c>
      <c r="AE410" s="2">
        <v>2146</v>
      </c>
      <c r="AF410" s="2">
        <v>2147</v>
      </c>
      <c r="AG410" s="2">
        <v>0</v>
      </c>
      <c r="AH410" s="2"/>
      <c r="AI410" s="2">
        <v>-14933</v>
      </c>
      <c r="AJ410" s="2">
        <v>-10477</v>
      </c>
      <c r="AK410" s="2">
        <v>-7652</v>
      </c>
      <c r="AL410" s="2">
        <v>0</v>
      </c>
      <c r="AM410" s="2">
        <v>-10477</v>
      </c>
    </row>
    <row r="411" spans="1:39">
      <c r="A411" s="349">
        <v>94108</v>
      </c>
      <c r="B411" s="342" t="s">
        <v>3672</v>
      </c>
      <c r="C411" s="234" t="e">
        <f>VLOOKUP(A411,#REF!,10,FALSE)</f>
        <v>#REF!</v>
      </c>
      <c r="E411" s="2">
        <v>157519</v>
      </c>
      <c r="F411" s="2">
        <v>43499</v>
      </c>
      <c r="G411" s="2">
        <v>94033</v>
      </c>
      <c r="H411" s="2">
        <v>18236</v>
      </c>
      <c r="I411" s="2">
        <v>0</v>
      </c>
      <c r="J411" s="2"/>
      <c r="K411" s="2">
        <v>57361</v>
      </c>
      <c r="L411" s="2">
        <v>53958</v>
      </c>
      <c r="M411" s="2">
        <v>48362</v>
      </c>
      <c r="N411" s="2">
        <v>19364</v>
      </c>
      <c r="O411" s="2">
        <v>0</v>
      </c>
      <c r="P411" s="2"/>
      <c r="Q411" s="2">
        <v>60897</v>
      </c>
      <c r="R411" s="2">
        <v>-52383</v>
      </c>
      <c r="S411" s="2">
        <v>7383</v>
      </c>
      <c r="T411" s="2">
        <v>9608</v>
      </c>
      <c r="U411" s="2">
        <v>0</v>
      </c>
      <c r="V411" s="2"/>
      <c r="W411" s="2">
        <v>68601</v>
      </c>
      <c r="X411" s="2">
        <v>56201</v>
      </c>
      <c r="Y411" s="2">
        <v>45625</v>
      </c>
      <c r="Z411" s="2">
        <v>0</v>
      </c>
      <c r="AA411" s="2">
        <v>0</v>
      </c>
      <c r="AB411" s="2"/>
      <c r="AC411" s="2">
        <v>3396</v>
      </c>
      <c r="AD411" s="2">
        <v>3396</v>
      </c>
      <c r="AE411" s="2">
        <v>3398</v>
      </c>
      <c r="AF411" s="2">
        <v>0</v>
      </c>
      <c r="AG411" s="2">
        <v>0</v>
      </c>
      <c r="AH411" s="2"/>
      <c r="AI411" s="2">
        <v>-32736</v>
      </c>
      <c r="AJ411" s="2">
        <v>-17673</v>
      </c>
      <c r="AK411" s="2">
        <v>-10735</v>
      </c>
      <c r="AL411" s="2">
        <v>-10736</v>
      </c>
      <c r="AM411" s="2">
        <v>-17673</v>
      </c>
    </row>
    <row r="412" spans="1:39">
      <c r="A412" s="349">
        <v>94109</v>
      </c>
      <c r="B412" s="342" t="s">
        <v>3673</v>
      </c>
      <c r="C412" s="234" t="e">
        <f>VLOOKUP(A412,#REF!,10,FALSE)</f>
        <v>#REF!</v>
      </c>
      <c r="E412" s="2">
        <v>37902</v>
      </c>
      <c r="F412" s="2">
        <v>8539</v>
      </c>
      <c r="G412" s="2">
        <v>24670</v>
      </c>
      <c r="H412" s="2">
        <v>6299</v>
      </c>
      <c r="I412" s="2">
        <v>0</v>
      </c>
      <c r="J412" s="2"/>
      <c r="K412" s="2">
        <v>15700</v>
      </c>
      <c r="L412" s="2">
        <v>14768</v>
      </c>
      <c r="M412" s="2">
        <v>13237</v>
      </c>
      <c r="N412" s="2">
        <v>5300</v>
      </c>
      <c r="O412" s="2">
        <v>0</v>
      </c>
      <c r="P412" s="2"/>
      <c r="Q412" s="2">
        <v>16667</v>
      </c>
      <c r="R412" s="2">
        <v>-14337</v>
      </c>
      <c r="S412" s="2">
        <v>2021</v>
      </c>
      <c r="T412" s="2">
        <v>2630</v>
      </c>
      <c r="U412" s="2">
        <v>0</v>
      </c>
      <c r="V412" s="2"/>
      <c r="W412" s="2">
        <v>18776</v>
      </c>
      <c r="X412" s="2">
        <v>15382</v>
      </c>
      <c r="Y412" s="2">
        <v>12488</v>
      </c>
      <c r="Z412" s="2">
        <v>0</v>
      </c>
      <c r="AA412" s="2">
        <v>0</v>
      </c>
      <c r="AB412" s="2"/>
      <c r="AC412" s="2">
        <v>0</v>
      </c>
      <c r="AD412" s="2">
        <v>0</v>
      </c>
      <c r="AE412" s="2">
        <v>0</v>
      </c>
      <c r="AF412" s="2">
        <v>0</v>
      </c>
      <c r="AG412" s="2">
        <v>0</v>
      </c>
      <c r="AH412" s="2"/>
      <c r="AI412" s="2">
        <v>-13241</v>
      </c>
      <c r="AJ412" s="2">
        <v>-7274</v>
      </c>
      <c r="AK412" s="2">
        <v>-3076</v>
      </c>
      <c r="AL412" s="2">
        <v>-1631</v>
      </c>
      <c r="AM412" s="2">
        <v>-7274</v>
      </c>
    </row>
    <row r="413" spans="1:39">
      <c r="A413" s="349">
        <v>94111</v>
      </c>
      <c r="B413" s="342" t="s">
        <v>1102</v>
      </c>
      <c r="C413" s="234" t="e">
        <f>VLOOKUP(A413,#REF!,10,FALSE)</f>
        <v>#REF!</v>
      </c>
      <c r="E413" s="2">
        <v>11660647</v>
      </c>
      <c r="F413" s="2">
        <v>3492228</v>
      </c>
      <c r="G413" s="2">
        <v>6433776</v>
      </c>
      <c r="H413" s="2">
        <v>1872282</v>
      </c>
      <c r="I413" s="2">
        <v>0</v>
      </c>
      <c r="J413" s="2"/>
      <c r="K413" s="2">
        <v>3746598</v>
      </c>
      <c r="L413" s="2">
        <v>3524339</v>
      </c>
      <c r="M413" s="2">
        <v>3158825</v>
      </c>
      <c r="N413" s="2">
        <v>1264755</v>
      </c>
      <c r="O413" s="2">
        <v>0</v>
      </c>
      <c r="P413" s="2"/>
      <c r="Q413" s="2">
        <v>3977536</v>
      </c>
      <c r="R413" s="2">
        <v>-3421425</v>
      </c>
      <c r="S413" s="2">
        <v>482208</v>
      </c>
      <c r="T413" s="2">
        <v>627588</v>
      </c>
      <c r="U413" s="2">
        <v>0</v>
      </c>
      <c r="V413" s="2"/>
      <c r="W413" s="2">
        <v>4480752</v>
      </c>
      <c r="X413" s="2">
        <v>3670794</v>
      </c>
      <c r="Y413" s="2">
        <v>2980057</v>
      </c>
      <c r="Z413" s="2">
        <v>0</v>
      </c>
      <c r="AA413" s="2">
        <v>0</v>
      </c>
      <c r="AB413" s="2"/>
      <c r="AC413" s="2">
        <v>0</v>
      </c>
      <c r="AD413" s="2">
        <v>0</v>
      </c>
      <c r="AE413" s="2">
        <v>0</v>
      </c>
      <c r="AF413" s="2">
        <v>0</v>
      </c>
      <c r="AG413" s="2">
        <v>0</v>
      </c>
      <c r="AH413" s="2"/>
      <c r="AI413" s="2">
        <v>-544239</v>
      </c>
      <c r="AJ413" s="2">
        <v>-281480</v>
      </c>
      <c r="AK413" s="2">
        <v>-187314</v>
      </c>
      <c r="AL413" s="2">
        <v>-20061</v>
      </c>
      <c r="AM413" s="2">
        <v>-281480</v>
      </c>
    </row>
    <row r="414" spans="1:39">
      <c r="A414" s="349">
        <v>94112</v>
      </c>
      <c r="B414" s="342" t="s">
        <v>3674</v>
      </c>
      <c r="C414" s="234" t="e">
        <f>VLOOKUP(A414,#REF!,10,FALSE)</f>
        <v>#REF!</v>
      </c>
      <c r="E414" s="2">
        <v>76805</v>
      </c>
      <c r="F414" s="2">
        <v>22036</v>
      </c>
      <c r="G414" s="2">
        <v>42564</v>
      </c>
      <c r="H414" s="2">
        <v>11554</v>
      </c>
      <c r="I414" s="2">
        <v>0</v>
      </c>
      <c r="J414" s="2"/>
      <c r="K414" s="2">
        <v>25272</v>
      </c>
      <c r="L414" s="2">
        <v>23773</v>
      </c>
      <c r="M414" s="2">
        <v>21308</v>
      </c>
      <c r="N414" s="2">
        <v>8531</v>
      </c>
      <c r="O414" s="2">
        <v>0</v>
      </c>
      <c r="P414" s="2"/>
      <c r="Q414" s="2">
        <v>26830</v>
      </c>
      <c r="R414" s="2">
        <v>-23079</v>
      </c>
      <c r="S414" s="2">
        <v>3253</v>
      </c>
      <c r="T414" s="2">
        <v>4233</v>
      </c>
      <c r="U414" s="2">
        <v>0</v>
      </c>
      <c r="V414" s="2"/>
      <c r="W414" s="2">
        <v>30225</v>
      </c>
      <c r="X414" s="2">
        <v>24761</v>
      </c>
      <c r="Y414" s="2">
        <v>20102</v>
      </c>
      <c r="Z414" s="2">
        <v>0</v>
      </c>
      <c r="AA414" s="2">
        <v>0</v>
      </c>
      <c r="AB414" s="2"/>
      <c r="AC414" s="2">
        <v>0</v>
      </c>
      <c r="AD414" s="2">
        <v>0</v>
      </c>
      <c r="AE414" s="2">
        <v>0</v>
      </c>
      <c r="AF414" s="2">
        <v>0</v>
      </c>
      <c r="AG414" s="2">
        <v>0</v>
      </c>
      <c r="AH414" s="2"/>
      <c r="AI414" s="2">
        <v>-5522</v>
      </c>
      <c r="AJ414" s="2">
        <v>-3419</v>
      </c>
      <c r="AK414" s="2">
        <v>-2099</v>
      </c>
      <c r="AL414" s="2">
        <v>-1210</v>
      </c>
      <c r="AM414" s="2">
        <v>-3419</v>
      </c>
    </row>
    <row r="415" spans="1:39">
      <c r="A415" s="349">
        <v>94117</v>
      </c>
      <c r="B415" s="342" t="s">
        <v>2808</v>
      </c>
      <c r="C415" s="234" t="e">
        <f>VLOOKUP(A415,#REF!,10,FALSE)</f>
        <v>#REF!</v>
      </c>
      <c r="E415" s="2">
        <v>145623</v>
      </c>
      <c r="F415" s="2">
        <v>38813</v>
      </c>
      <c r="G415" s="2">
        <v>77721</v>
      </c>
      <c r="H415" s="2">
        <v>22564</v>
      </c>
      <c r="I415" s="2">
        <v>0</v>
      </c>
      <c r="J415" s="2"/>
      <c r="K415" s="2">
        <v>48418</v>
      </c>
      <c r="L415" s="2">
        <v>45545</v>
      </c>
      <c r="M415" s="2">
        <v>40822</v>
      </c>
      <c r="N415" s="2">
        <v>16345</v>
      </c>
      <c r="O415" s="2">
        <v>0</v>
      </c>
      <c r="P415" s="2"/>
      <c r="Q415" s="2">
        <v>51402</v>
      </c>
      <c r="R415" s="2">
        <v>-44215</v>
      </c>
      <c r="S415" s="2">
        <v>6232</v>
      </c>
      <c r="T415" s="2">
        <v>8110</v>
      </c>
      <c r="U415" s="2">
        <v>0</v>
      </c>
      <c r="V415" s="2"/>
      <c r="W415" s="2">
        <v>57905</v>
      </c>
      <c r="X415" s="2">
        <v>47438</v>
      </c>
      <c r="Y415" s="2">
        <v>38512</v>
      </c>
      <c r="Z415" s="2">
        <v>0</v>
      </c>
      <c r="AA415" s="2">
        <v>0</v>
      </c>
      <c r="AB415" s="2"/>
      <c r="AC415" s="2">
        <v>0</v>
      </c>
      <c r="AD415" s="2">
        <v>0</v>
      </c>
      <c r="AE415" s="2">
        <v>0</v>
      </c>
      <c r="AF415" s="2">
        <v>0</v>
      </c>
      <c r="AG415" s="2">
        <v>0</v>
      </c>
      <c r="AH415" s="2"/>
      <c r="AI415" s="2">
        <v>-12102</v>
      </c>
      <c r="AJ415" s="2">
        <v>-9955</v>
      </c>
      <c r="AK415" s="2">
        <v>-7845</v>
      </c>
      <c r="AL415" s="2">
        <v>-1891</v>
      </c>
      <c r="AM415" s="2">
        <v>-9955</v>
      </c>
    </row>
    <row r="416" spans="1:39">
      <c r="A416" s="349">
        <v>94118</v>
      </c>
      <c r="B416" s="342" t="s">
        <v>1105</v>
      </c>
      <c r="C416" s="234" t="e">
        <f>VLOOKUP(A416,#REF!,10,FALSE)</f>
        <v>#REF!</v>
      </c>
      <c r="E416" s="2">
        <v>63479</v>
      </c>
      <c r="F416" s="2">
        <v>15452</v>
      </c>
      <c r="G416" s="2">
        <v>38230</v>
      </c>
      <c r="H416" s="2">
        <v>8807</v>
      </c>
      <c r="I416" s="2">
        <v>0</v>
      </c>
      <c r="J416" s="2"/>
      <c r="K416" s="2">
        <v>23984</v>
      </c>
      <c r="L416" s="2">
        <v>22561</v>
      </c>
      <c r="M416" s="2">
        <v>20221</v>
      </c>
      <c r="N416" s="2">
        <v>8096</v>
      </c>
      <c r="O416" s="2">
        <v>0</v>
      </c>
      <c r="P416" s="2"/>
      <c r="Q416" s="2">
        <v>25462</v>
      </c>
      <c r="R416" s="2">
        <v>-21902</v>
      </c>
      <c r="S416" s="2">
        <v>3087</v>
      </c>
      <c r="T416" s="2">
        <v>4018</v>
      </c>
      <c r="U416" s="2">
        <v>0</v>
      </c>
      <c r="V416" s="2"/>
      <c r="W416" s="2">
        <v>28684</v>
      </c>
      <c r="X416" s="2">
        <v>23499</v>
      </c>
      <c r="Y416" s="2">
        <v>19077</v>
      </c>
      <c r="Z416" s="2">
        <v>0</v>
      </c>
      <c r="AA416" s="2">
        <v>0</v>
      </c>
      <c r="AB416" s="2"/>
      <c r="AC416" s="2">
        <v>0</v>
      </c>
      <c r="AD416" s="2">
        <v>0</v>
      </c>
      <c r="AE416" s="2">
        <v>0</v>
      </c>
      <c r="AF416" s="2">
        <v>0</v>
      </c>
      <c r="AG416" s="2">
        <v>0</v>
      </c>
      <c r="AH416" s="2"/>
      <c r="AI416" s="2">
        <v>-14651</v>
      </c>
      <c r="AJ416" s="2">
        <v>-8706</v>
      </c>
      <c r="AK416" s="2">
        <v>-4155</v>
      </c>
      <c r="AL416" s="2">
        <v>-3307</v>
      </c>
      <c r="AM416" s="2">
        <v>-8706</v>
      </c>
    </row>
    <row r="417" spans="1:39">
      <c r="A417" s="349">
        <v>94121</v>
      </c>
      <c r="B417" s="342" t="s">
        <v>1106</v>
      </c>
      <c r="C417" s="234" t="e">
        <f>VLOOKUP(A417,#REF!,10,FALSE)</f>
        <v>#REF!</v>
      </c>
      <c r="E417" s="2">
        <v>5411522</v>
      </c>
      <c r="F417" s="2">
        <v>1722881</v>
      </c>
      <c r="G417" s="2">
        <v>2978643</v>
      </c>
      <c r="H417" s="2">
        <v>842943</v>
      </c>
      <c r="I417" s="2">
        <v>0</v>
      </c>
      <c r="J417" s="2"/>
      <c r="K417" s="2">
        <v>1664805</v>
      </c>
      <c r="L417" s="2">
        <v>1566044</v>
      </c>
      <c r="M417" s="2">
        <v>1403627</v>
      </c>
      <c r="N417" s="2">
        <v>561996</v>
      </c>
      <c r="O417" s="2">
        <v>0</v>
      </c>
      <c r="P417" s="2"/>
      <c r="Q417" s="2">
        <v>1767423</v>
      </c>
      <c r="R417" s="2">
        <v>-1520314</v>
      </c>
      <c r="S417" s="2">
        <v>214270</v>
      </c>
      <c r="T417" s="2">
        <v>278870</v>
      </c>
      <c r="U417" s="2">
        <v>0</v>
      </c>
      <c r="V417" s="2"/>
      <c r="W417" s="2">
        <v>1991027</v>
      </c>
      <c r="X417" s="2">
        <v>1631122</v>
      </c>
      <c r="Y417" s="2">
        <v>1324192</v>
      </c>
      <c r="Z417" s="2">
        <v>0</v>
      </c>
      <c r="AA417" s="2">
        <v>0</v>
      </c>
      <c r="AB417" s="2"/>
      <c r="AC417" s="2">
        <v>46027</v>
      </c>
      <c r="AD417" s="2">
        <v>46029</v>
      </c>
      <c r="AE417" s="2">
        <v>36554</v>
      </c>
      <c r="AF417" s="2">
        <v>2077</v>
      </c>
      <c r="AG417" s="2">
        <v>0</v>
      </c>
      <c r="AH417" s="2"/>
      <c r="AI417" s="2">
        <v>-57760</v>
      </c>
      <c r="AJ417" s="2">
        <v>0</v>
      </c>
      <c r="AK417" s="2">
        <v>0</v>
      </c>
      <c r="AL417" s="2">
        <v>0</v>
      </c>
      <c r="AM417" s="2">
        <v>0</v>
      </c>
    </row>
    <row r="418" spans="1:39">
      <c r="A418" s="349">
        <v>94127</v>
      </c>
      <c r="B418" s="342" t="s">
        <v>2806</v>
      </c>
      <c r="C418" s="234" t="e">
        <f>VLOOKUP(A418,#REF!,10,FALSE)</f>
        <v>#REF!</v>
      </c>
      <c r="E418" s="2">
        <v>67360</v>
      </c>
      <c r="F418" s="2">
        <v>18520</v>
      </c>
      <c r="G418" s="2">
        <v>33282</v>
      </c>
      <c r="H418" s="2">
        <v>9347</v>
      </c>
      <c r="I418" s="2">
        <v>0</v>
      </c>
      <c r="J418" s="2"/>
      <c r="K418" s="2">
        <v>21437</v>
      </c>
      <c r="L418" s="2">
        <v>20166</v>
      </c>
      <c r="M418" s="2">
        <v>18074</v>
      </c>
      <c r="N418" s="2">
        <v>7237</v>
      </c>
      <c r="O418" s="2">
        <v>0</v>
      </c>
      <c r="P418" s="2"/>
      <c r="Q418" s="2">
        <v>22759</v>
      </c>
      <c r="R418" s="2">
        <v>-19577</v>
      </c>
      <c r="S418" s="2">
        <v>2759</v>
      </c>
      <c r="T418" s="2">
        <v>3591</v>
      </c>
      <c r="U418" s="2">
        <v>0</v>
      </c>
      <c r="V418" s="2"/>
      <c r="W418" s="2">
        <v>25638</v>
      </c>
      <c r="X418" s="2">
        <v>21004</v>
      </c>
      <c r="Y418" s="2">
        <v>17051</v>
      </c>
      <c r="Z418" s="2">
        <v>0</v>
      </c>
      <c r="AA418" s="2">
        <v>0</v>
      </c>
      <c r="AB418" s="2"/>
      <c r="AC418" s="2">
        <v>2126</v>
      </c>
      <c r="AD418" s="2">
        <v>1527</v>
      </c>
      <c r="AE418" s="2">
        <v>0</v>
      </c>
      <c r="AF418" s="2">
        <v>0</v>
      </c>
      <c r="AG418" s="2">
        <v>0</v>
      </c>
      <c r="AH418" s="2"/>
      <c r="AI418" s="2">
        <v>-4600</v>
      </c>
      <c r="AJ418" s="2">
        <v>-4600</v>
      </c>
      <c r="AK418" s="2">
        <v>-4602</v>
      </c>
      <c r="AL418" s="2">
        <v>-1481</v>
      </c>
      <c r="AM418" s="2">
        <v>-4600</v>
      </c>
    </row>
    <row r="419" spans="1:39">
      <c r="A419" s="349">
        <v>94131</v>
      </c>
      <c r="B419" s="342" t="s">
        <v>1108</v>
      </c>
      <c r="C419" s="234" t="e">
        <f>VLOOKUP(A419,#REF!,10,FALSE)</f>
        <v>#REF!</v>
      </c>
      <c r="E419" s="2">
        <v>108195</v>
      </c>
      <c r="F419" s="2">
        <v>37134</v>
      </c>
      <c r="G419" s="2">
        <v>63203</v>
      </c>
      <c r="H419" s="2">
        <v>17273</v>
      </c>
      <c r="I419" s="2">
        <v>0</v>
      </c>
      <c r="J419" s="2"/>
      <c r="K419" s="2">
        <v>31504</v>
      </c>
      <c r="L419" s="2">
        <v>29635</v>
      </c>
      <c r="M419" s="2">
        <v>26562</v>
      </c>
      <c r="N419" s="2">
        <v>10635</v>
      </c>
      <c r="O419" s="2">
        <v>0</v>
      </c>
      <c r="P419" s="2"/>
      <c r="Q419" s="2">
        <v>33446</v>
      </c>
      <c r="R419" s="2">
        <v>-28770</v>
      </c>
      <c r="S419" s="2">
        <v>4055</v>
      </c>
      <c r="T419" s="2">
        <v>5277</v>
      </c>
      <c r="U419" s="2">
        <v>0</v>
      </c>
      <c r="V419" s="2"/>
      <c r="W419" s="2">
        <v>37678</v>
      </c>
      <c r="X419" s="2">
        <v>30867</v>
      </c>
      <c r="Y419" s="2">
        <v>25059</v>
      </c>
      <c r="Z419" s="2">
        <v>0</v>
      </c>
      <c r="AA419" s="2">
        <v>0</v>
      </c>
      <c r="AB419" s="2"/>
      <c r="AC419" s="2">
        <v>7693</v>
      </c>
      <c r="AD419" s="2">
        <v>7529</v>
      </c>
      <c r="AE419" s="2">
        <v>7527</v>
      </c>
      <c r="AF419" s="2">
        <v>1361</v>
      </c>
      <c r="AG419" s="2">
        <v>0</v>
      </c>
      <c r="AH419" s="2"/>
      <c r="AI419" s="2">
        <v>-2126</v>
      </c>
      <c r="AJ419" s="2">
        <v>-2127</v>
      </c>
      <c r="AK419" s="2">
        <v>0</v>
      </c>
      <c r="AL419" s="2">
        <v>0</v>
      </c>
      <c r="AM419" s="2">
        <v>-2127</v>
      </c>
    </row>
    <row r="420" spans="1:39">
      <c r="A420" s="349">
        <v>94151</v>
      </c>
      <c r="B420" s="342" t="s">
        <v>1109</v>
      </c>
      <c r="C420" s="234" t="e">
        <f>VLOOKUP(A420,#REF!,10,FALSE)</f>
        <v>#REF!</v>
      </c>
      <c r="E420" s="2">
        <v>218216</v>
      </c>
      <c r="F420" s="2">
        <v>62683</v>
      </c>
      <c r="G420" s="2">
        <v>121893</v>
      </c>
      <c r="H420" s="2">
        <v>30631</v>
      </c>
      <c r="I420" s="2">
        <v>0</v>
      </c>
      <c r="J420" s="2"/>
      <c r="K420" s="2">
        <v>69900</v>
      </c>
      <c r="L420" s="2">
        <v>65753</v>
      </c>
      <c r="M420" s="2">
        <v>58934</v>
      </c>
      <c r="N420" s="2">
        <v>23596</v>
      </c>
      <c r="O420" s="2">
        <v>0</v>
      </c>
      <c r="P420" s="2"/>
      <c r="Q420" s="2">
        <v>74209</v>
      </c>
      <c r="R420" s="2">
        <v>-63833</v>
      </c>
      <c r="S420" s="2">
        <v>8997</v>
      </c>
      <c r="T420" s="2">
        <v>11709</v>
      </c>
      <c r="U420" s="2">
        <v>0</v>
      </c>
      <c r="V420" s="2"/>
      <c r="W420" s="2">
        <v>83597</v>
      </c>
      <c r="X420" s="2">
        <v>68486</v>
      </c>
      <c r="Y420" s="2">
        <v>55599</v>
      </c>
      <c r="Z420" s="2">
        <v>0</v>
      </c>
      <c r="AA420" s="2">
        <v>0</v>
      </c>
      <c r="AB420" s="2"/>
      <c r="AC420" s="2">
        <v>3034</v>
      </c>
      <c r="AD420" s="2">
        <v>3034</v>
      </c>
      <c r="AE420" s="2">
        <v>3036</v>
      </c>
      <c r="AF420" s="2">
        <v>0</v>
      </c>
      <c r="AG420" s="2">
        <v>0</v>
      </c>
      <c r="AH420" s="2"/>
      <c r="AI420" s="2">
        <v>-12524</v>
      </c>
      <c r="AJ420" s="2">
        <v>-10757</v>
      </c>
      <c r="AK420" s="2">
        <v>-4673</v>
      </c>
      <c r="AL420" s="2">
        <v>-4674</v>
      </c>
      <c r="AM420" s="2">
        <v>-10757</v>
      </c>
    </row>
    <row r="421" spans="1:39">
      <c r="A421" s="349">
        <v>94157</v>
      </c>
      <c r="B421" s="342" t="s">
        <v>1110</v>
      </c>
      <c r="C421" s="234" t="e">
        <f>VLOOKUP(A421,#REF!,10,FALSE)</f>
        <v>#REF!</v>
      </c>
      <c r="E421" s="2">
        <v>5151</v>
      </c>
      <c r="F421" s="2">
        <v>1911</v>
      </c>
      <c r="G421" s="2">
        <v>2755</v>
      </c>
      <c r="H421" s="2">
        <v>998</v>
      </c>
      <c r="I421" s="2">
        <v>0</v>
      </c>
      <c r="J421" s="2"/>
      <c r="K421" s="2">
        <v>1288</v>
      </c>
      <c r="L421" s="2">
        <v>1212</v>
      </c>
      <c r="M421" s="2">
        <v>1086</v>
      </c>
      <c r="N421" s="2">
        <v>435</v>
      </c>
      <c r="O421" s="2">
        <v>0</v>
      </c>
      <c r="P421" s="2"/>
      <c r="Q421" s="2">
        <v>1368</v>
      </c>
      <c r="R421" s="2">
        <v>-1177</v>
      </c>
      <c r="S421" s="2">
        <v>166</v>
      </c>
      <c r="T421" s="2">
        <v>216</v>
      </c>
      <c r="U421" s="2">
        <v>0</v>
      </c>
      <c r="V421" s="2"/>
      <c r="W421" s="2">
        <v>1541</v>
      </c>
      <c r="X421" s="2">
        <v>1262</v>
      </c>
      <c r="Y421" s="2">
        <v>1025</v>
      </c>
      <c r="Z421" s="2">
        <v>0</v>
      </c>
      <c r="AA421" s="2">
        <v>0</v>
      </c>
      <c r="AB421" s="2"/>
      <c r="AC421" s="2">
        <v>954</v>
      </c>
      <c r="AD421" s="2">
        <v>614</v>
      </c>
      <c r="AE421" s="2">
        <v>478</v>
      </c>
      <c r="AF421" s="2">
        <v>347</v>
      </c>
      <c r="AG421" s="2">
        <v>0</v>
      </c>
      <c r="AH421" s="2"/>
      <c r="AI421" s="2">
        <v>0</v>
      </c>
      <c r="AJ421" s="2">
        <v>0</v>
      </c>
      <c r="AK421" s="2">
        <v>0</v>
      </c>
      <c r="AL421" s="2">
        <v>0</v>
      </c>
      <c r="AM421" s="2">
        <v>0</v>
      </c>
    </row>
    <row r="422" spans="1:39">
      <c r="A422" s="349">
        <v>94161</v>
      </c>
      <c r="B422" s="342" t="s">
        <v>1111</v>
      </c>
      <c r="C422" s="234" t="e">
        <f>VLOOKUP(A422,#REF!,10,FALSE)</f>
        <v>#REF!</v>
      </c>
      <c r="E422" s="2">
        <v>24551</v>
      </c>
      <c r="F422" s="2">
        <v>7915</v>
      </c>
      <c r="G422" s="2">
        <v>14233</v>
      </c>
      <c r="H422" s="2">
        <v>6909</v>
      </c>
      <c r="I422" s="2">
        <v>0</v>
      </c>
      <c r="J422" s="2"/>
      <c r="K422" s="2">
        <v>7281</v>
      </c>
      <c r="L422" s="2">
        <v>6849</v>
      </c>
      <c r="M422" s="2">
        <v>6138</v>
      </c>
      <c r="N422" s="2">
        <v>2458</v>
      </c>
      <c r="O422" s="2">
        <v>0</v>
      </c>
      <c r="P422" s="2"/>
      <c r="Q422" s="2">
        <v>7729</v>
      </c>
      <c r="R422" s="2">
        <v>-6649</v>
      </c>
      <c r="S422" s="2">
        <v>937</v>
      </c>
      <c r="T422" s="2">
        <v>1220</v>
      </c>
      <c r="U422" s="2">
        <v>0</v>
      </c>
      <c r="V422" s="2"/>
      <c r="W422" s="2">
        <v>8707</v>
      </c>
      <c r="X422" s="2">
        <v>7133</v>
      </c>
      <c r="Y422" s="2">
        <v>5791</v>
      </c>
      <c r="Z422" s="2">
        <v>0</v>
      </c>
      <c r="AA422" s="2">
        <v>0</v>
      </c>
      <c r="AB422" s="2"/>
      <c r="AC422" s="2">
        <v>3484</v>
      </c>
      <c r="AD422" s="2">
        <v>3232</v>
      </c>
      <c r="AE422" s="2">
        <v>3232</v>
      </c>
      <c r="AF422" s="2">
        <v>3231</v>
      </c>
      <c r="AG422" s="2">
        <v>0</v>
      </c>
      <c r="AH422" s="2"/>
      <c r="AI422" s="2">
        <v>-2650</v>
      </c>
      <c r="AJ422" s="2">
        <v>-2650</v>
      </c>
      <c r="AK422" s="2">
        <v>-1865</v>
      </c>
      <c r="AL422" s="2">
        <v>0</v>
      </c>
      <c r="AM422" s="2">
        <v>-2650</v>
      </c>
    </row>
    <row r="423" spans="1:39">
      <c r="A423" s="349">
        <v>94168</v>
      </c>
      <c r="B423" s="342" t="s">
        <v>1112</v>
      </c>
      <c r="C423" s="234" t="e">
        <f>VLOOKUP(A423,#REF!,10,FALSE)</f>
        <v>#REF!</v>
      </c>
      <c r="E423" s="2">
        <v>29194</v>
      </c>
      <c r="F423" s="2">
        <v>11887</v>
      </c>
      <c r="G423" s="2">
        <v>18962</v>
      </c>
      <c r="H423" s="2">
        <v>4554</v>
      </c>
      <c r="I423" s="2">
        <v>0</v>
      </c>
      <c r="J423" s="2"/>
      <c r="K423" s="2">
        <v>8254</v>
      </c>
      <c r="L423" s="2">
        <v>7765</v>
      </c>
      <c r="M423" s="2">
        <v>6959</v>
      </c>
      <c r="N423" s="2">
        <v>2786</v>
      </c>
      <c r="O423" s="2">
        <v>0</v>
      </c>
      <c r="P423" s="2"/>
      <c r="Q423" s="2">
        <v>8763</v>
      </c>
      <c r="R423" s="2">
        <v>-7538</v>
      </c>
      <c r="S423" s="2">
        <v>1062</v>
      </c>
      <c r="T423" s="2">
        <v>1383</v>
      </c>
      <c r="U423" s="2">
        <v>0</v>
      </c>
      <c r="V423" s="2"/>
      <c r="W423" s="2">
        <v>9872</v>
      </c>
      <c r="X423" s="2">
        <v>8087</v>
      </c>
      <c r="Y423" s="2">
        <v>6566</v>
      </c>
      <c r="Z423" s="2">
        <v>0</v>
      </c>
      <c r="AA423" s="2">
        <v>0</v>
      </c>
      <c r="AB423" s="2"/>
      <c r="AC423" s="2">
        <v>4373</v>
      </c>
      <c r="AD423" s="2">
        <v>4373</v>
      </c>
      <c r="AE423" s="2">
        <v>4375</v>
      </c>
      <c r="AF423" s="2">
        <v>385</v>
      </c>
      <c r="AG423" s="2">
        <v>0</v>
      </c>
      <c r="AH423" s="2"/>
      <c r="AI423" s="2">
        <v>-2068</v>
      </c>
      <c r="AJ423" s="2">
        <v>-800</v>
      </c>
      <c r="AK423" s="2">
        <v>0</v>
      </c>
      <c r="AL423" s="2">
        <v>0</v>
      </c>
      <c r="AM423" s="2">
        <v>-800</v>
      </c>
    </row>
    <row r="424" spans="1:39">
      <c r="A424" s="349">
        <v>94171</v>
      </c>
      <c r="B424" s="342" t="s">
        <v>1113</v>
      </c>
      <c r="C424" s="234" t="e">
        <f>VLOOKUP(A424,#REF!,10,FALSE)</f>
        <v>#REF!</v>
      </c>
      <c r="E424" s="2">
        <v>28108</v>
      </c>
      <c r="F424" s="2">
        <v>7068</v>
      </c>
      <c r="G424" s="2">
        <v>12671</v>
      </c>
      <c r="H424" s="2">
        <v>530</v>
      </c>
      <c r="I424" s="2">
        <v>0</v>
      </c>
      <c r="J424" s="2"/>
      <c r="K424" s="2">
        <v>9258</v>
      </c>
      <c r="L424" s="2">
        <v>8709</v>
      </c>
      <c r="M424" s="2">
        <v>7806</v>
      </c>
      <c r="N424" s="2">
        <v>3125</v>
      </c>
      <c r="O424" s="2">
        <v>0</v>
      </c>
      <c r="P424" s="2"/>
      <c r="Q424" s="2">
        <v>9829</v>
      </c>
      <c r="R424" s="2">
        <v>-8455</v>
      </c>
      <c r="S424" s="2">
        <v>1192</v>
      </c>
      <c r="T424" s="2">
        <v>1551</v>
      </c>
      <c r="U424" s="2">
        <v>0</v>
      </c>
      <c r="V424" s="2"/>
      <c r="W424" s="2">
        <v>11072</v>
      </c>
      <c r="X424" s="2">
        <v>9071</v>
      </c>
      <c r="Y424" s="2">
        <v>7364</v>
      </c>
      <c r="Z424" s="2">
        <v>0</v>
      </c>
      <c r="AA424" s="2">
        <v>0</v>
      </c>
      <c r="AB424" s="2"/>
      <c r="AC424" s="2">
        <v>2096</v>
      </c>
      <c r="AD424" s="2">
        <v>1890</v>
      </c>
      <c r="AE424" s="2">
        <v>456</v>
      </c>
      <c r="AF424" s="2">
        <v>0</v>
      </c>
      <c r="AG424" s="2">
        <v>0</v>
      </c>
      <c r="AH424" s="2"/>
      <c r="AI424" s="2">
        <v>-4147</v>
      </c>
      <c r="AJ424" s="2">
        <v>-4147</v>
      </c>
      <c r="AK424" s="2">
        <v>-4147</v>
      </c>
      <c r="AL424" s="2">
        <v>-4146</v>
      </c>
      <c r="AM424" s="2">
        <v>-4147</v>
      </c>
    </row>
    <row r="425" spans="1:39">
      <c r="A425" s="349">
        <v>94172</v>
      </c>
      <c r="B425" s="342" t="s">
        <v>1114</v>
      </c>
      <c r="C425" s="234" t="e">
        <f>VLOOKUP(A425,#REF!,10,FALSE)</f>
        <v>#REF!</v>
      </c>
      <c r="E425" s="2">
        <v>110304</v>
      </c>
      <c r="F425" s="2">
        <v>25952</v>
      </c>
      <c r="G425" s="2">
        <v>64585</v>
      </c>
      <c r="H425" s="2">
        <v>14475</v>
      </c>
      <c r="I425" s="2">
        <v>0</v>
      </c>
      <c r="J425" s="2"/>
      <c r="K425" s="2">
        <v>42261</v>
      </c>
      <c r="L425" s="2">
        <v>39754</v>
      </c>
      <c r="M425" s="2">
        <v>35631</v>
      </c>
      <c r="N425" s="2">
        <v>14266</v>
      </c>
      <c r="O425" s="2">
        <v>0</v>
      </c>
      <c r="P425" s="2"/>
      <c r="Q425" s="2">
        <v>44865</v>
      </c>
      <c r="R425" s="2">
        <v>-38593</v>
      </c>
      <c r="S425" s="2">
        <v>5439</v>
      </c>
      <c r="T425" s="2">
        <v>7079</v>
      </c>
      <c r="U425" s="2">
        <v>0</v>
      </c>
      <c r="V425" s="2"/>
      <c r="W425" s="2">
        <v>50542</v>
      </c>
      <c r="X425" s="2">
        <v>41406</v>
      </c>
      <c r="Y425" s="2">
        <v>33614</v>
      </c>
      <c r="Z425" s="2">
        <v>0</v>
      </c>
      <c r="AA425" s="2">
        <v>0</v>
      </c>
      <c r="AB425" s="2"/>
      <c r="AC425" s="2">
        <v>0</v>
      </c>
      <c r="AD425" s="2">
        <v>0</v>
      </c>
      <c r="AE425" s="2">
        <v>0</v>
      </c>
      <c r="AF425" s="2">
        <v>0</v>
      </c>
      <c r="AG425" s="2">
        <v>0</v>
      </c>
      <c r="AH425" s="2"/>
      <c r="AI425" s="2">
        <v>-27364</v>
      </c>
      <c r="AJ425" s="2">
        <v>-16615</v>
      </c>
      <c r="AK425" s="2">
        <v>-10099</v>
      </c>
      <c r="AL425" s="2">
        <v>-6870</v>
      </c>
      <c r="AM425" s="2">
        <v>-16615</v>
      </c>
    </row>
    <row r="426" spans="1:39">
      <c r="A426" s="349">
        <v>94201</v>
      </c>
      <c r="B426" s="342" t="s">
        <v>1115</v>
      </c>
      <c r="C426" s="234" t="e">
        <f>VLOOKUP(A426,#REF!,10,FALSE)</f>
        <v>#REF!</v>
      </c>
      <c r="E426" s="2">
        <v>1567527</v>
      </c>
      <c r="F426" s="2">
        <v>467560</v>
      </c>
      <c r="G426" s="2">
        <v>854804</v>
      </c>
      <c r="H426" s="2">
        <v>248563</v>
      </c>
      <c r="I426" s="2">
        <v>0</v>
      </c>
      <c r="J426" s="2"/>
      <c r="K426" s="2">
        <v>486948</v>
      </c>
      <c r="L426" s="2">
        <v>458060</v>
      </c>
      <c r="M426" s="2">
        <v>410554</v>
      </c>
      <c r="N426" s="2">
        <v>164381</v>
      </c>
      <c r="O426" s="2">
        <v>0</v>
      </c>
      <c r="P426" s="2"/>
      <c r="Q426" s="2">
        <v>516963</v>
      </c>
      <c r="R426" s="2">
        <v>-444685</v>
      </c>
      <c r="S426" s="2">
        <v>62673</v>
      </c>
      <c r="T426" s="2">
        <v>81568</v>
      </c>
      <c r="U426" s="2">
        <v>0</v>
      </c>
      <c r="V426" s="2"/>
      <c r="W426" s="2">
        <v>582366</v>
      </c>
      <c r="X426" s="2">
        <v>477095</v>
      </c>
      <c r="Y426" s="2">
        <v>387320</v>
      </c>
      <c r="Z426" s="2">
        <v>0</v>
      </c>
      <c r="AA426" s="2">
        <v>0</v>
      </c>
      <c r="AB426" s="2"/>
      <c r="AC426" s="2">
        <v>6776</v>
      </c>
      <c r="AD426" s="2">
        <v>2616</v>
      </c>
      <c r="AE426" s="2">
        <v>2616</v>
      </c>
      <c r="AF426" s="2">
        <v>2614</v>
      </c>
      <c r="AG426" s="2">
        <v>0</v>
      </c>
      <c r="AH426" s="2"/>
      <c r="AI426" s="2">
        <v>-25526</v>
      </c>
      <c r="AJ426" s="2">
        <v>-25526</v>
      </c>
      <c r="AK426" s="2">
        <v>-8359</v>
      </c>
      <c r="AL426" s="2">
        <v>0</v>
      </c>
      <c r="AM426" s="2">
        <v>-25526</v>
      </c>
    </row>
    <row r="427" spans="1:39">
      <c r="A427" s="349">
        <v>94204</v>
      </c>
      <c r="B427" s="342" t="s">
        <v>1116</v>
      </c>
      <c r="C427" s="234" t="e">
        <f>VLOOKUP(A427,#REF!,10,FALSE)</f>
        <v>#REF!</v>
      </c>
      <c r="E427" s="2">
        <v>19118</v>
      </c>
      <c r="F427" s="2">
        <v>8089</v>
      </c>
      <c r="G427" s="2">
        <v>10197</v>
      </c>
      <c r="H427" s="2">
        <v>3308</v>
      </c>
      <c r="I427" s="2">
        <v>0</v>
      </c>
      <c r="J427" s="2"/>
      <c r="K427" s="2">
        <v>4449</v>
      </c>
      <c r="L427" s="2">
        <v>4185</v>
      </c>
      <c r="M427" s="2">
        <v>3751</v>
      </c>
      <c r="N427" s="2">
        <v>1502</v>
      </c>
      <c r="O427" s="2">
        <v>0</v>
      </c>
      <c r="P427" s="2"/>
      <c r="Q427" s="2">
        <v>4724</v>
      </c>
      <c r="R427" s="2">
        <v>-4063</v>
      </c>
      <c r="S427" s="2">
        <v>573</v>
      </c>
      <c r="T427" s="2">
        <v>745</v>
      </c>
      <c r="U427" s="2">
        <v>0</v>
      </c>
      <c r="V427" s="2"/>
      <c r="W427" s="2">
        <v>5321</v>
      </c>
      <c r="X427" s="2">
        <v>4359</v>
      </c>
      <c r="Y427" s="2">
        <v>3539</v>
      </c>
      <c r="Z427" s="2">
        <v>0</v>
      </c>
      <c r="AA427" s="2">
        <v>0</v>
      </c>
      <c r="AB427" s="2"/>
      <c r="AC427" s="2">
        <v>4624</v>
      </c>
      <c r="AD427" s="2">
        <v>3608</v>
      </c>
      <c r="AE427" s="2">
        <v>2334</v>
      </c>
      <c r="AF427" s="2">
        <v>1061</v>
      </c>
      <c r="AG427" s="2">
        <v>0</v>
      </c>
      <c r="AH427" s="2"/>
      <c r="AI427" s="2">
        <v>0</v>
      </c>
      <c r="AJ427" s="2">
        <v>0</v>
      </c>
      <c r="AK427" s="2">
        <v>0</v>
      </c>
      <c r="AL427" s="2">
        <v>0</v>
      </c>
      <c r="AM427" s="2">
        <v>0</v>
      </c>
    </row>
    <row r="428" spans="1:39">
      <c r="A428" s="349">
        <v>94205</v>
      </c>
      <c r="B428" s="342" t="s">
        <v>1117</v>
      </c>
      <c r="C428" s="234" t="e">
        <f>VLOOKUP(A428,#REF!,10,FALSE)</f>
        <v>#REF!</v>
      </c>
      <c r="E428" s="2">
        <v>8091</v>
      </c>
      <c r="F428" s="2">
        <v>2436</v>
      </c>
      <c r="G428" s="2">
        <v>4706</v>
      </c>
      <c r="H428" s="2">
        <v>1511</v>
      </c>
      <c r="I428" s="2">
        <v>0</v>
      </c>
      <c r="J428" s="2"/>
      <c r="K428" s="2">
        <v>2427</v>
      </c>
      <c r="L428" s="2">
        <v>2283</v>
      </c>
      <c r="M428" s="2">
        <v>2046</v>
      </c>
      <c r="N428" s="2">
        <v>819</v>
      </c>
      <c r="O428" s="2">
        <v>0</v>
      </c>
      <c r="P428" s="2"/>
      <c r="Q428" s="2">
        <v>2576</v>
      </c>
      <c r="R428" s="2">
        <v>-2216</v>
      </c>
      <c r="S428" s="2">
        <v>312</v>
      </c>
      <c r="T428" s="2">
        <v>407</v>
      </c>
      <c r="U428" s="2">
        <v>0</v>
      </c>
      <c r="V428" s="2"/>
      <c r="W428" s="2">
        <v>2902</v>
      </c>
      <c r="X428" s="2">
        <v>2378</v>
      </c>
      <c r="Y428" s="2">
        <v>1930</v>
      </c>
      <c r="Z428" s="2">
        <v>0</v>
      </c>
      <c r="AA428" s="2">
        <v>0</v>
      </c>
      <c r="AB428" s="2"/>
      <c r="AC428" s="2">
        <v>611</v>
      </c>
      <c r="AD428" s="2">
        <v>418</v>
      </c>
      <c r="AE428" s="2">
        <v>418</v>
      </c>
      <c r="AF428" s="2">
        <v>285</v>
      </c>
      <c r="AG428" s="2">
        <v>0</v>
      </c>
      <c r="AH428" s="2"/>
      <c r="AI428" s="2">
        <v>-425</v>
      </c>
      <c r="AJ428" s="2">
        <v>-427</v>
      </c>
      <c r="AK428" s="2">
        <v>0</v>
      </c>
      <c r="AL428" s="2">
        <v>0</v>
      </c>
      <c r="AM428" s="2">
        <v>-427</v>
      </c>
    </row>
    <row r="429" spans="1:39">
      <c r="A429" s="349">
        <v>94209</v>
      </c>
      <c r="B429" s="342" t="s">
        <v>1118</v>
      </c>
      <c r="C429" s="234" t="e">
        <f>VLOOKUP(A429,#REF!,10,FALSE)</f>
        <v>#REF!</v>
      </c>
      <c r="E429" s="2">
        <v>156203</v>
      </c>
      <c r="F429" s="2">
        <v>48736</v>
      </c>
      <c r="G429" s="2">
        <v>83606</v>
      </c>
      <c r="H429" s="2">
        <v>26388</v>
      </c>
      <c r="I429" s="2">
        <v>0</v>
      </c>
      <c r="J429" s="2"/>
      <c r="K429" s="2">
        <v>48717</v>
      </c>
      <c r="L429" s="2">
        <v>45827</v>
      </c>
      <c r="M429" s="2">
        <v>41074</v>
      </c>
      <c r="N429" s="2">
        <v>16446</v>
      </c>
      <c r="O429" s="2">
        <v>0</v>
      </c>
      <c r="P429" s="2"/>
      <c r="Q429" s="2">
        <v>51720</v>
      </c>
      <c r="R429" s="2">
        <v>-44489</v>
      </c>
      <c r="S429" s="2">
        <v>6270</v>
      </c>
      <c r="T429" s="2">
        <v>8161</v>
      </c>
      <c r="U429" s="2">
        <v>0</v>
      </c>
      <c r="V429" s="2"/>
      <c r="W429" s="2">
        <v>58263</v>
      </c>
      <c r="X429" s="2">
        <v>47732</v>
      </c>
      <c r="Y429" s="2">
        <v>38750</v>
      </c>
      <c r="Z429" s="2">
        <v>0</v>
      </c>
      <c r="AA429" s="2">
        <v>0</v>
      </c>
      <c r="AB429" s="2"/>
      <c r="AC429" s="2">
        <v>3934</v>
      </c>
      <c r="AD429" s="2">
        <v>3933</v>
      </c>
      <c r="AE429" s="2">
        <v>1780</v>
      </c>
      <c r="AF429" s="2">
        <v>1781</v>
      </c>
      <c r="AG429" s="2">
        <v>0</v>
      </c>
      <c r="AH429" s="2"/>
      <c r="AI429" s="2">
        <v>-6431</v>
      </c>
      <c r="AJ429" s="2">
        <v>-4267</v>
      </c>
      <c r="AK429" s="2">
        <v>-4268</v>
      </c>
      <c r="AL429" s="2">
        <v>0</v>
      </c>
      <c r="AM429" s="2">
        <v>-4267</v>
      </c>
    </row>
    <row r="430" spans="1:39">
      <c r="A430" s="349">
        <v>94211</v>
      </c>
      <c r="B430" s="342" t="s">
        <v>1119</v>
      </c>
      <c r="C430" s="234" t="e">
        <f>VLOOKUP(A430,#REF!,10,FALSE)</f>
        <v>#REF!</v>
      </c>
      <c r="E430" s="2">
        <v>76576</v>
      </c>
      <c r="F430" s="2">
        <v>24722</v>
      </c>
      <c r="G430" s="2">
        <v>40304</v>
      </c>
      <c r="H430" s="2">
        <v>9828</v>
      </c>
      <c r="I430" s="2">
        <v>0</v>
      </c>
      <c r="J430" s="2"/>
      <c r="K430" s="2">
        <v>23010</v>
      </c>
      <c r="L430" s="2">
        <v>21645</v>
      </c>
      <c r="M430" s="2">
        <v>19400</v>
      </c>
      <c r="N430" s="2">
        <v>7768</v>
      </c>
      <c r="O430" s="2">
        <v>0</v>
      </c>
      <c r="P430" s="2"/>
      <c r="Q430" s="2">
        <v>24429</v>
      </c>
      <c r="R430" s="2">
        <v>-21013</v>
      </c>
      <c r="S430" s="2">
        <v>2962</v>
      </c>
      <c r="T430" s="2">
        <v>3854</v>
      </c>
      <c r="U430" s="2">
        <v>0</v>
      </c>
      <c r="V430" s="2"/>
      <c r="W430" s="2">
        <v>27519</v>
      </c>
      <c r="X430" s="2">
        <v>22545</v>
      </c>
      <c r="Y430" s="2">
        <v>18303</v>
      </c>
      <c r="Z430" s="2">
        <v>0</v>
      </c>
      <c r="AA430" s="2">
        <v>0</v>
      </c>
      <c r="AB430" s="2"/>
      <c r="AC430" s="2">
        <v>3411</v>
      </c>
      <c r="AD430" s="2">
        <v>3338</v>
      </c>
      <c r="AE430" s="2">
        <v>1432</v>
      </c>
      <c r="AF430" s="2">
        <v>0</v>
      </c>
      <c r="AG430" s="2">
        <v>0</v>
      </c>
      <c r="AH430" s="2"/>
      <c r="AI430" s="2">
        <v>-1793</v>
      </c>
      <c r="AJ430" s="2">
        <v>-1793</v>
      </c>
      <c r="AK430" s="2">
        <v>-1793</v>
      </c>
      <c r="AL430" s="2">
        <v>-1794</v>
      </c>
      <c r="AM430" s="2">
        <v>-1793</v>
      </c>
    </row>
    <row r="431" spans="1:39">
      <c r="A431" s="349">
        <v>94221</v>
      </c>
      <c r="B431" s="342" t="s">
        <v>1120</v>
      </c>
      <c r="C431" s="234" t="e">
        <f>VLOOKUP(A431,#REF!,10,FALSE)</f>
        <v>#REF!</v>
      </c>
      <c r="E431" s="2">
        <v>433955</v>
      </c>
      <c r="F431" s="2">
        <v>119602</v>
      </c>
      <c r="G431" s="2">
        <v>239874</v>
      </c>
      <c r="H431" s="2">
        <v>60122</v>
      </c>
      <c r="I431" s="2">
        <v>0</v>
      </c>
      <c r="J431" s="2"/>
      <c r="K431" s="2">
        <v>147095</v>
      </c>
      <c r="L431" s="2">
        <v>138369</v>
      </c>
      <c r="M431" s="2">
        <v>124019</v>
      </c>
      <c r="N431" s="2">
        <v>49656</v>
      </c>
      <c r="O431" s="2">
        <v>0</v>
      </c>
      <c r="P431" s="2"/>
      <c r="Q431" s="2">
        <v>156162</v>
      </c>
      <c r="R431" s="2">
        <v>-134329</v>
      </c>
      <c r="S431" s="2">
        <v>18932</v>
      </c>
      <c r="T431" s="2">
        <v>24640</v>
      </c>
      <c r="U431" s="2">
        <v>0</v>
      </c>
      <c r="V431" s="2"/>
      <c r="W431" s="2">
        <v>175919</v>
      </c>
      <c r="X431" s="2">
        <v>144119</v>
      </c>
      <c r="Y431" s="2">
        <v>117000</v>
      </c>
      <c r="Z431" s="2">
        <v>0</v>
      </c>
      <c r="AA431" s="2">
        <v>0</v>
      </c>
      <c r="AB431" s="2"/>
      <c r="AC431" s="2">
        <v>0</v>
      </c>
      <c r="AD431" s="2">
        <v>0</v>
      </c>
      <c r="AE431" s="2">
        <v>0</v>
      </c>
      <c r="AF431" s="2">
        <v>0</v>
      </c>
      <c r="AG431" s="2">
        <v>0</v>
      </c>
      <c r="AH431" s="2"/>
      <c r="AI431" s="2">
        <v>-45221</v>
      </c>
      <c r="AJ431" s="2">
        <v>-28557</v>
      </c>
      <c r="AK431" s="2">
        <v>-20077</v>
      </c>
      <c r="AL431" s="2">
        <v>-14174</v>
      </c>
      <c r="AM431" s="2">
        <v>-28557</v>
      </c>
    </row>
    <row r="432" spans="1:39">
      <c r="A432" s="349">
        <v>94231</v>
      </c>
      <c r="B432" s="342" t="s">
        <v>1121</v>
      </c>
      <c r="C432" s="234" t="e">
        <f>VLOOKUP(A432,#REF!,10,FALSE)</f>
        <v>#REF!</v>
      </c>
      <c r="E432" s="2">
        <v>58439</v>
      </c>
      <c r="F432" s="2">
        <v>7936</v>
      </c>
      <c r="G432" s="2">
        <v>23119</v>
      </c>
      <c r="H432" s="2">
        <v>1231</v>
      </c>
      <c r="I432" s="2">
        <v>0</v>
      </c>
      <c r="J432" s="2"/>
      <c r="K432" s="2">
        <v>22246</v>
      </c>
      <c r="L432" s="2">
        <v>20927</v>
      </c>
      <c r="M432" s="2">
        <v>18756</v>
      </c>
      <c r="N432" s="2">
        <v>7510</v>
      </c>
      <c r="O432" s="2">
        <v>0</v>
      </c>
      <c r="P432" s="2"/>
      <c r="Q432" s="2">
        <v>23618</v>
      </c>
      <c r="R432" s="2">
        <v>-20316</v>
      </c>
      <c r="S432" s="2">
        <v>2863</v>
      </c>
      <c r="T432" s="2">
        <v>3726</v>
      </c>
      <c r="U432" s="2">
        <v>0</v>
      </c>
      <c r="V432" s="2"/>
      <c r="W432" s="2">
        <v>26606</v>
      </c>
      <c r="X432" s="2">
        <v>21796</v>
      </c>
      <c r="Y432" s="2">
        <v>17695</v>
      </c>
      <c r="Z432" s="2">
        <v>0</v>
      </c>
      <c r="AA432" s="2">
        <v>0</v>
      </c>
      <c r="AB432" s="2"/>
      <c r="AC432" s="2">
        <v>2162</v>
      </c>
      <c r="AD432" s="2">
        <v>1722</v>
      </c>
      <c r="AE432" s="2">
        <v>0</v>
      </c>
      <c r="AF432" s="2">
        <v>0</v>
      </c>
      <c r="AG432" s="2">
        <v>0</v>
      </c>
      <c r="AH432" s="2"/>
      <c r="AI432" s="2">
        <v>-16193</v>
      </c>
      <c r="AJ432" s="2">
        <v>-16193</v>
      </c>
      <c r="AK432" s="2">
        <v>-16195</v>
      </c>
      <c r="AL432" s="2">
        <v>-10005</v>
      </c>
      <c r="AM432" s="2">
        <v>-16193</v>
      </c>
    </row>
    <row r="433" spans="1:39">
      <c r="A433" s="349">
        <v>94241</v>
      </c>
      <c r="B433" s="342" t="s">
        <v>1122</v>
      </c>
      <c r="C433" s="234" t="e">
        <f>VLOOKUP(A433,#REF!,10,FALSE)</f>
        <v>#REF!</v>
      </c>
      <c r="E433" s="2">
        <v>56592</v>
      </c>
      <c r="F433" s="2">
        <v>18892</v>
      </c>
      <c r="G433" s="2">
        <v>25312</v>
      </c>
      <c r="H433" s="2">
        <v>6100</v>
      </c>
      <c r="I433" s="2">
        <v>0</v>
      </c>
      <c r="J433" s="2"/>
      <c r="K433" s="2">
        <v>16569</v>
      </c>
      <c r="L433" s="2">
        <v>15586</v>
      </c>
      <c r="M433" s="2">
        <v>13969</v>
      </c>
      <c r="N433" s="2">
        <v>5593</v>
      </c>
      <c r="O433" s="2">
        <v>0</v>
      </c>
      <c r="P433" s="2"/>
      <c r="Q433" s="2">
        <v>17590</v>
      </c>
      <c r="R433" s="2">
        <v>-15131</v>
      </c>
      <c r="S433" s="2">
        <v>2132</v>
      </c>
      <c r="T433" s="2">
        <v>2775</v>
      </c>
      <c r="U433" s="2">
        <v>0</v>
      </c>
      <c r="V433" s="2"/>
      <c r="W433" s="2">
        <v>19815</v>
      </c>
      <c r="X433" s="2">
        <v>16233</v>
      </c>
      <c r="Y433" s="2">
        <v>13179</v>
      </c>
      <c r="Z433" s="2">
        <v>0</v>
      </c>
      <c r="AA433" s="2">
        <v>0</v>
      </c>
      <c r="AB433" s="2"/>
      <c r="AC433" s="2">
        <v>6586</v>
      </c>
      <c r="AD433" s="2">
        <v>6172</v>
      </c>
      <c r="AE433" s="2">
        <v>0</v>
      </c>
      <c r="AF433" s="2">
        <v>0</v>
      </c>
      <c r="AG433" s="2">
        <v>0</v>
      </c>
      <c r="AH433" s="2"/>
      <c r="AI433" s="2">
        <v>-3968</v>
      </c>
      <c r="AJ433" s="2">
        <v>-3968</v>
      </c>
      <c r="AK433" s="2">
        <v>-3968</v>
      </c>
      <c r="AL433" s="2">
        <v>-2268</v>
      </c>
      <c r="AM433" s="2">
        <v>-3968</v>
      </c>
    </row>
    <row r="434" spans="1:39">
      <c r="A434" s="349">
        <v>94251</v>
      </c>
      <c r="B434" s="342" t="s">
        <v>1123</v>
      </c>
      <c r="C434" s="234" t="e">
        <f>VLOOKUP(A434,#REF!,10,FALSE)</f>
        <v>#REF!</v>
      </c>
      <c r="E434" s="2">
        <v>8729</v>
      </c>
      <c r="F434" s="2">
        <v>3662</v>
      </c>
      <c r="G434" s="2">
        <v>4863</v>
      </c>
      <c r="H434" s="2">
        <v>1763</v>
      </c>
      <c r="I434" s="2">
        <v>0</v>
      </c>
      <c r="J434" s="2"/>
      <c r="K434" s="2">
        <v>2667</v>
      </c>
      <c r="L434" s="2">
        <v>2508</v>
      </c>
      <c r="M434" s="2">
        <v>2248</v>
      </c>
      <c r="N434" s="2">
        <v>900</v>
      </c>
      <c r="O434" s="2">
        <v>0</v>
      </c>
      <c r="P434" s="2"/>
      <c r="Q434" s="2">
        <v>2831</v>
      </c>
      <c r="R434" s="2">
        <v>-2435</v>
      </c>
      <c r="S434" s="2">
        <v>343</v>
      </c>
      <c r="T434" s="2">
        <v>447</v>
      </c>
      <c r="U434" s="2">
        <v>0</v>
      </c>
      <c r="V434" s="2"/>
      <c r="W434" s="2">
        <v>3189</v>
      </c>
      <c r="X434" s="2">
        <v>2613</v>
      </c>
      <c r="Y434" s="2">
        <v>2121</v>
      </c>
      <c r="Z434" s="2">
        <v>0</v>
      </c>
      <c r="AA434" s="2">
        <v>0</v>
      </c>
      <c r="AB434" s="2"/>
      <c r="AC434" s="2">
        <v>1238</v>
      </c>
      <c r="AD434" s="2">
        <v>1240</v>
      </c>
      <c r="AE434" s="2">
        <v>416</v>
      </c>
      <c r="AF434" s="2">
        <v>416</v>
      </c>
      <c r="AG434" s="2">
        <v>0</v>
      </c>
      <c r="AH434" s="2"/>
      <c r="AI434" s="2">
        <v>-1196</v>
      </c>
      <c r="AJ434" s="2">
        <v>-264</v>
      </c>
      <c r="AK434" s="2">
        <v>-265</v>
      </c>
      <c r="AL434" s="2">
        <v>0</v>
      </c>
      <c r="AM434" s="2">
        <v>-264</v>
      </c>
    </row>
    <row r="435" spans="1:39">
      <c r="A435" s="349">
        <v>94261</v>
      </c>
      <c r="B435" s="342" t="s">
        <v>1124</v>
      </c>
      <c r="C435" s="234" t="e">
        <f>VLOOKUP(A435,#REF!,10,FALSE)</f>
        <v>#REF!</v>
      </c>
      <c r="E435" s="2">
        <v>27813</v>
      </c>
      <c r="F435" s="2">
        <v>10300</v>
      </c>
      <c r="G435" s="2">
        <v>13836</v>
      </c>
      <c r="H435" s="2">
        <v>5221</v>
      </c>
      <c r="I435" s="2">
        <v>0</v>
      </c>
      <c r="J435" s="2"/>
      <c r="K435" s="2">
        <v>6981</v>
      </c>
      <c r="L435" s="2">
        <v>6567</v>
      </c>
      <c r="M435" s="2">
        <v>5886</v>
      </c>
      <c r="N435" s="2">
        <v>2357</v>
      </c>
      <c r="O435" s="2">
        <v>0</v>
      </c>
      <c r="P435" s="2"/>
      <c r="Q435" s="2">
        <v>7411</v>
      </c>
      <c r="R435" s="2">
        <v>-6375</v>
      </c>
      <c r="S435" s="2">
        <v>898</v>
      </c>
      <c r="T435" s="2">
        <v>1169</v>
      </c>
      <c r="U435" s="2">
        <v>0</v>
      </c>
      <c r="V435" s="2"/>
      <c r="W435" s="2">
        <v>8349</v>
      </c>
      <c r="X435" s="2">
        <v>6840</v>
      </c>
      <c r="Y435" s="2">
        <v>5553</v>
      </c>
      <c r="Z435" s="2">
        <v>0</v>
      </c>
      <c r="AA435" s="2">
        <v>0</v>
      </c>
      <c r="AB435" s="2"/>
      <c r="AC435" s="2">
        <v>5270</v>
      </c>
      <c r="AD435" s="2">
        <v>3466</v>
      </c>
      <c r="AE435" s="2">
        <v>1695</v>
      </c>
      <c r="AF435" s="2">
        <v>1695</v>
      </c>
      <c r="AG435" s="2">
        <v>0</v>
      </c>
      <c r="AH435" s="2"/>
      <c r="AI435" s="2">
        <v>-198</v>
      </c>
      <c r="AJ435" s="2">
        <v>-198</v>
      </c>
      <c r="AK435" s="2">
        <v>-196</v>
      </c>
      <c r="AL435" s="2">
        <v>0</v>
      </c>
      <c r="AM435" s="2">
        <v>-198</v>
      </c>
    </row>
    <row r="436" spans="1:39">
      <c r="A436" s="349">
        <v>94301</v>
      </c>
      <c r="B436" s="342" t="s">
        <v>1125</v>
      </c>
      <c r="C436" s="234" t="e">
        <f>VLOOKUP(A436,#REF!,10,FALSE)</f>
        <v>#REF!</v>
      </c>
      <c r="E436" s="2">
        <v>3050936</v>
      </c>
      <c r="F436" s="2">
        <v>944035</v>
      </c>
      <c r="G436" s="2">
        <v>1643282</v>
      </c>
      <c r="H436" s="2">
        <v>449028</v>
      </c>
      <c r="I436" s="2">
        <v>0</v>
      </c>
      <c r="J436" s="2"/>
      <c r="K436" s="2">
        <v>945267</v>
      </c>
      <c r="L436" s="2">
        <v>889191</v>
      </c>
      <c r="M436" s="2">
        <v>796972</v>
      </c>
      <c r="N436" s="2">
        <v>319098</v>
      </c>
      <c r="O436" s="2">
        <v>0</v>
      </c>
      <c r="P436" s="2"/>
      <c r="Q436" s="2">
        <v>1003533</v>
      </c>
      <c r="R436" s="2">
        <v>-863226</v>
      </c>
      <c r="S436" s="2">
        <v>121661</v>
      </c>
      <c r="T436" s="2">
        <v>158341</v>
      </c>
      <c r="U436" s="2">
        <v>0</v>
      </c>
      <c r="V436" s="2"/>
      <c r="W436" s="2">
        <v>1130494</v>
      </c>
      <c r="X436" s="2">
        <v>926142</v>
      </c>
      <c r="Y436" s="2">
        <v>751869</v>
      </c>
      <c r="Z436" s="2">
        <v>0</v>
      </c>
      <c r="AA436" s="2">
        <v>0</v>
      </c>
      <c r="AB436" s="2"/>
      <c r="AC436" s="2">
        <v>20337</v>
      </c>
      <c r="AD436" s="2">
        <v>20338</v>
      </c>
      <c r="AE436" s="2">
        <v>1190</v>
      </c>
      <c r="AF436" s="2">
        <v>0</v>
      </c>
      <c r="AG436" s="2">
        <v>0</v>
      </c>
      <c r="AH436" s="2"/>
      <c r="AI436" s="2">
        <v>-48695</v>
      </c>
      <c r="AJ436" s="2">
        <v>-28410</v>
      </c>
      <c r="AK436" s="2">
        <v>-28410</v>
      </c>
      <c r="AL436" s="2">
        <v>-28411</v>
      </c>
      <c r="AM436" s="2">
        <v>-28410</v>
      </c>
    </row>
    <row r="437" spans="1:39">
      <c r="A437" s="349">
        <v>94311</v>
      </c>
      <c r="B437" s="342" t="s">
        <v>1126</v>
      </c>
      <c r="C437" s="234" t="e">
        <f>VLOOKUP(A437,#REF!,10,FALSE)</f>
        <v>#REF!</v>
      </c>
      <c r="E437" s="2">
        <v>378009</v>
      </c>
      <c r="F437" s="2">
        <v>126032</v>
      </c>
      <c r="G437" s="2">
        <v>208650</v>
      </c>
      <c r="H437" s="2">
        <v>67676</v>
      </c>
      <c r="I437" s="2">
        <v>0</v>
      </c>
      <c r="J437" s="2"/>
      <c r="K437" s="2">
        <v>116400</v>
      </c>
      <c r="L437" s="2">
        <v>109495</v>
      </c>
      <c r="M437" s="2">
        <v>98139</v>
      </c>
      <c r="N437" s="2">
        <v>39294</v>
      </c>
      <c r="O437" s="2">
        <v>0</v>
      </c>
      <c r="P437" s="2"/>
      <c r="Q437" s="2">
        <v>123575</v>
      </c>
      <c r="R437" s="2">
        <v>-106297</v>
      </c>
      <c r="S437" s="2">
        <v>14981</v>
      </c>
      <c r="T437" s="2">
        <v>19498</v>
      </c>
      <c r="U437" s="2">
        <v>0</v>
      </c>
      <c r="V437" s="2"/>
      <c r="W437" s="2">
        <v>139209</v>
      </c>
      <c r="X437" s="2">
        <v>114045</v>
      </c>
      <c r="Y437" s="2">
        <v>92585</v>
      </c>
      <c r="Z437" s="2">
        <v>0</v>
      </c>
      <c r="AA437" s="2">
        <v>0</v>
      </c>
      <c r="AB437" s="2"/>
      <c r="AC437" s="2">
        <v>14726</v>
      </c>
      <c r="AD437" s="2">
        <v>14728</v>
      </c>
      <c r="AE437" s="2">
        <v>8884</v>
      </c>
      <c r="AF437" s="2">
        <v>8884</v>
      </c>
      <c r="AG437" s="2">
        <v>0</v>
      </c>
      <c r="AH437" s="2"/>
      <c r="AI437" s="2">
        <v>-15901</v>
      </c>
      <c r="AJ437" s="2">
        <v>-5939</v>
      </c>
      <c r="AK437" s="2">
        <v>-5939</v>
      </c>
      <c r="AL437" s="2">
        <v>0</v>
      </c>
      <c r="AM437" s="2">
        <v>-5939</v>
      </c>
    </row>
    <row r="438" spans="1:39">
      <c r="A438" s="349">
        <v>94313</v>
      </c>
      <c r="B438" s="342" t="s">
        <v>1127</v>
      </c>
      <c r="C438" s="234" t="e">
        <f>VLOOKUP(A438,#REF!,10,FALSE)</f>
        <v>#REF!</v>
      </c>
      <c r="E438" s="2">
        <v>9684</v>
      </c>
      <c r="F438" s="2">
        <v>3872</v>
      </c>
      <c r="G438" s="2">
        <v>4961</v>
      </c>
      <c r="H438" s="2">
        <v>988</v>
      </c>
      <c r="I438" s="2">
        <v>0</v>
      </c>
      <c r="J438" s="2"/>
      <c r="K438" s="2">
        <v>2157</v>
      </c>
      <c r="L438" s="2">
        <v>2029</v>
      </c>
      <c r="M438" s="2">
        <v>1819</v>
      </c>
      <c r="N438" s="2">
        <v>728</v>
      </c>
      <c r="O438" s="2">
        <v>0</v>
      </c>
      <c r="P438" s="2"/>
      <c r="Q438" s="2">
        <v>2290</v>
      </c>
      <c r="R438" s="2">
        <v>-1970</v>
      </c>
      <c r="S438" s="2">
        <v>278</v>
      </c>
      <c r="T438" s="2">
        <v>361</v>
      </c>
      <c r="U438" s="2">
        <v>0</v>
      </c>
      <c r="V438" s="2"/>
      <c r="W438" s="2">
        <v>2580</v>
      </c>
      <c r="X438" s="2">
        <v>2114</v>
      </c>
      <c r="Y438" s="2">
        <v>1716</v>
      </c>
      <c r="Z438" s="2">
        <v>0</v>
      </c>
      <c r="AA438" s="2">
        <v>0</v>
      </c>
      <c r="AB438" s="2"/>
      <c r="AC438" s="2">
        <v>2759</v>
      </c>
      <c r="AD438" s="2">
        <v>1801</v>
      </c>
      <c r="AE438" s="2">
        <v>1250</v>
      </c>
      <c r="AF438" s="2">
        <v>0</v>
      </c>
      <c r="AG438" s="2">
        <v>0</v>
      </c>
      <c r="AH438" s="2"/>
      <c r="AI438" s="2">
        <v>-102</v>
      </c>
      <c r="AJ438" s="2">
        <v>-102</v>
      </c>
      <c r="AK438" s="2">
        <v>-102</v>
      </c>
      <c r="AL438" s="2">
        <v>-101</v>
      </c>
      <c r="AM438" s="2">
        <v>-102</v>
      </c>
    </row>
    <row r="439" spans="1:39">
      <c r="A439" s="349">
        <v>94317</v>
      </c>
      <c r="B439" s="342" t="s">
        <v>1128</v>
      </c>
      <c r="C439" s="234" t="e">
        <f>VLOOKUP(A439,#REF!,10,FALSE)</f>
        <v>#REF!</v>
      </c>
      <c r="E439" s="2">
        <v>8557</v>
      </c>
      <c r="F439" s="2">
        <v>4276</v>
      </c>
      <c r="G439" s="2">
        <v>4687</v>
      </c>
      <c r="H439" s="2">
        <v>1739</v>
      </c>
      <c r="I439" s="2">
        <v>0</v>
      </c>
      <c r="J439" s="2"/>
      <c r="K439" s="2">
        <v>1603</v>
      </c>
      <c r="L439" s="2">
        <v>1508</v>
      </c>
      <c r="M439" s="2">
        <v>1351</v>
      </c>
      <c r="N439" s="2">
        <v>541</v>
      </c>
      <c r="O439" s="2">
        <v>0</v>
      </c>
      <c r="P439" s="2"/>
      <c r="Q439" s="2">
        <v>1702</v>
      </c>
      <c r="R439" s="2">
        <v>-1464</v>
      </c>
      <c r="S439" s="2">
        <v>206</v>
      </c>
      <c r="T439" s="2">
        <v>269</v>
      </c>
      <c r="U439" s="2">
        <v>0</v>
      </c>
      <c r="V439" s="2"/>
      <c r="W439" s="2">
        <v>1917</v>
      </c>
      <c r="X439" s="2">
        <v>1571</v>
      </c>
      <c r="Y439" s="2">
        <v>1275</v>
      </c>
      <c r="Z439" s="2">
        <v>0</v>
      </c>
      <c r="AA439" s="2">
        <v>0</v>
      </c>
      <c r="AB439" s="2"/>
      <c r="AC439" s="2">
        <v>3335</v>
      </c>
      <c r="AD439" s="2">
        <v>2661</v>
      </c>
      <c r="AE439" s="2">
        <v>1855</v>
      </c>
      <c r="AF439" s="2">
        <v>929</v>
      </c>
      <c r="AG439" s="2">
        <v>0</v>
      </c>
      <c r="AH439" s="2"/>
      <c r="AI439" s="2">
        <v>0</v>
      </c>
      <c r="AJ439" s="2">
        <v>0</v>
      </c>
      <c r="AK439" s="2">
        <v>0</v>
      </c>
      <c r="AL439" s="2">
        <v>0</v>
      </c>
      <c r="AM439" s="2">
        <v>0</v>
      </c>
    </row>
    <row r="440" spans="1:39">
      <c r="A440" s="349">
        <v>94321</v>
      </c>
      <c r="B440" s="342" t="s">
        <v>1129</v>
      </c>
      <c r="C440" s="234" t="e">
        <f>VLOOKUP(A440,#REF!,10,FALSE)</f>
        <v>#REF!</v>
      </c>
      <c r="E440" s="2">
        <v>129151</v>
      </c>
      <c r="F440" s="2">
        <v>37638</v>
      </c>
      <c r="G440" s="2">
        <v>70858</v>
      </c>
      <c r="H440" s="2">
        <v>20477</v>
      </c>
      <c r="I440" s="2">
        <v>0</v>
      </c>
      <c r="J440" s="2"/>
      <c r="K440" s="2">
        <v>42066</v>
      </c>
      <c r="L440" s="2">
        <v>39570</v>
      </c>
      <c r="M440" s="2">
        <v>35466</v>
      </c>
      <c r="N440" s="2">
        <v>14200</v>
      </c>
      <c r="O440" s="2">
        <v>0</v>
      </c>
      <c r="P440" s="2"/>
      <c r="Q440" s="2">
        <v>44659</v>
      </c>
      <c r="R440" s="2">
        <v>-38415</v>
      </c>
      <c r="S440" s="2">
        <v>5414</v>
      </c>
      <c r="T440" s="2">
        <v>7046</v>
      </c>
      <c r="U440" s="2">
        <v>0</v>
      </c>
      <c r="V440" s="2"/>
      <c r="W440" s="2">
        <v>50309</v>
      </c>
      <c r="X440" s="2">
        <v>41215</v>
      </c>
      <c r="Y440" s="2">
        <v>33459</v>
      </c>
      <c r="Z440" s="2">
        <v>0</v>
      </c>
      <c r="AA440" s="2">
        <v>0</v>
      </c>
      <c r="AB440" s="2"/>
      <c r="AC440" s="2">
        <v>0</v>
      </c>
      <c r="AD440" s="2">
        <v>0</v>
      </c>
      <c r="AE440" s="2">
        <v>0</v>
      </c>
      <c r="AF440" s="2">
        <v>0</v>
      </c>
      <c r="AG440" s="2">
        <v>0</v>
      </c>
      <c r="AH440" s="2"/>
      <c r="AI440" s="2">
        <v>-7883</v>
      </c>
      <c r="AJ440" s="2">
        <v>-4732</v>
      </c>
      <c r="AK440" s="2">
        <v>-3481</v>
      </c>
      <c r="AL440" s="2">
        <v>-769</v>
      </c>
      <c r="AM440" s="2">
        <v>-4732</v>
      </c>
    </row>
    <row r="441" spans="1:39">
      <c r="A441" s="349">
        <v>94331</v>
      </c>
      <c r="B441" s="342" t="s">
        <v>1130</v>
      </c>
      <c r="C441" s="234" t="e">
        <f>VLOOKUP(A441,#REF!,10,FALSE)</f>
        <v>#REF!</v>
      </c>
      <c r="E441" s="2">
        <v>74019</v>
      </c>
      <c r="F441" s="2">
        <v>24201</v>
      </c>
      <c r="G441" s="2">
        <v>42981</v>
      </c>
      <c r="H441" s="2">
        <v>9663</v>
      </c>
      <c r="I441" s="2">
        <v>0</v>
      </c>
      <c r="J441" s="2"/>
      <c r="K441" s="2">
        <v>22756</v>
      </c>
      <c r="L441" s="2">
        <v>21406</v>
      </c>
      <c r="M441" s="2">
        <v>19186</v>
      </c>
      <c r="N441" s="2">
        <v>7682</v>
      </c>
      <c r="O441" s="2">
        <v>0</v>
      </c>
      <c r="P441" s="2"/>
      <c r="Q441" s="2">
        <v>24158</v>
      </c>
      <c r="R441" s="2">
        <v>-20781</v>
      </c>
      <c r="S441" s="2">
        <v>2929</v>
      </c>
      <c r="T441" s="2">
        <v>3812</v>
      </c>
      <c r="U441" s="2">
        <v>0</v>
      </c>
      <c r="V441" s="2"/>
      <c r="W441" s="2">
        <v>27215</v>
      </c>
      <c r="X441" s="2">
        <v>22295</v>
      </c>
      <c r="Y441" s="2">
        <v>18100</v>
      </c>
      <c r="Z441" s="2">
        <v>0</v>
      </c>
      <c r="AA441" s="2">
        <v>0</v>
      </c>
      <c r="AB441" s="2"/>
      <c r="AC441" s="2">
        <v>4593</v>
      </c>
      <c r="AD441" s="2">
        <v>4593</v>
      </c>
      <c r="AE441" s="2">
        <v>4595</v>
      </c>
      <c r="AF441" s="2">
        <v>0</v>
      </c>
      <c r="AG441" s="2">
        <v>0</v>
      </c>
      <c r="AH441" s="2"/>
      <c r="AI441" s="2">
        <v>-4703</v>
      </c>
      <c r="AJ441" s="2">
        <v>-3312</v>
      </c>
      <c r="AK441" s="2">
        <v>-1829</v>
      </c>
      <c r="AL441" s="2">
        <v>-1831</v>
      </c>
      <c r="AM441" s="2">
        <v>-3312</v>
      </c>
    </row>
    <row r="442" spans="1:39">
      <c r="A442" s="349">
        <v>94341</v>
      </c>
      <c r="B442" s="342" t="s">
        <v>1131</v>
      </c>
      <c r="C442" s="234" t="e">
        <f>VLOOKUP(A442,#REF!,10,FALSE)</f>
        <v>#REF!</v>
      </c>
      <c r="E442" s="2">
        <v>47569</v>
      </c>
      <c r="F442" s="2">
        <v>15400</v>
      </c>
      <c r="G442" s="2">
        <v>25339</v>
      </c>
      <c r="H442" s="2">
        <v>9126</v>
      </c>
      <c r="I442" s="2">
        <v>0</v>
      </c>
      <c r="J442" s="2"/>
      <c r="K442" s="2">
        <v>14801</v>
      </c>
      <c r="L442" s="2">
        <v>13923</v>
      </c>
      <c r="M442" s="2">
        <v>12479</v>
      </c>
      <c r="N442" s="2">
        <v>4996</v>
      </c>
      <c r="O442" s="2">
        <v>0</v>
      </c>
      <c r="P442" s="2"/>
      <c r="Q442" s="2">
        <v>15713</v>
      </c>
      <c r="R442" s="2">
        <v>-13516</v>
      </c>
      <c r="S442" s="2">
        <v>1905</v>
      </c>
      <c r="T442" s="2">
        <v>2479</v>
      </c>
      <c r="U442" s="2">
        <v>0</v>
      </c>
      <c r="V442" s="2"/>
      <c r="W442" s="2">
        <v>17701</v>
      </c>
      <c r="X442" s="2">
        <v>14501</v>
      </c>
      <c r="Y442" s="2">
        <v>11773</v>
      </c>
      <c r="Z442" s="2">
        <v>0</v>
      </c>
      <c r="AA442" s="2">
        <v>0</v>
      </c>
      <c r="AB442" s="2"/>
      <c r="AC442" s="2">
        <v>2957</v>
      </c>
      <c r="AD442" s="2">
        <v>2958</v>
      </c>
      <c r="AE442" s="2">
        <v>1649</v>
      </c>
      <c r="AF442" s="2">
        <v>1651</v>
      </c>
      <c r="AG442" s="2">
        <v>0</v>
      </c>
      <c r="AH442" s="2"/>
      <c r="AI442" s="2">
        <v>-3603</v>
      </c>
      <c r="AJ442" s="2">
        <v>-2466</v>
      </c>
      <c r="AK442" s="2">
        <v>-2467</v>
      </c>
      <c r="AL442" s="2">
        <v>0</v>
      </c>
      <c r="AM442" s="2">
        <v>-2466</v>
      </c>
    </row>
    <row r="443" spans="1:39">
      <c r="A443" s="349">
        <v>94347</v>
      </c>
      <c r="B443" s="342" t="s">
        <v>1132</v>
      </c>
      <c r="C443" s="234" t="e">
        <f>VLOOKUP(A443,#REF!,10,FALSE)</f>
        <v>#REF!</v>
      </c>
      <c r="E443" s="2">
        <v>7795</v>
      </c>
      <c r="F443" s="2">
        <v>3608</v>
      </c>
      <c r="G443" s="2">
        <v>4339</v>
      </c>
      <c r="H443" s="2">
        <v>2362</v>
      </c>
      <c r="I443" s="2">
        <v>0</v>
      </c>
      <c r="J443" s="2"/>
      <c r="K443" s="2">
        <v>1753</v>
      </c>
      <c r="L443" s="2">
        <v>1649</v>
      </c>
      <c r="M443" s="2">
        <v>1478</v>
      </c>
      <c r="N443" s="2">
        <v>592</v>
      </c>
      <c r="O443" s="2">
        <v>0</v>
      </c>
      <c r="P443" s="2"/>
      <c r="Q443" s="2">
        <v>1861</v>
      </c>
      <c r="R443" s="2">
        <v>-1601</v>
      </c>
      <c r="S443" s="2">
        <v>226</v>
      </c>
      <c r="T443" s="2">
        <v>294</v>
      </c>
      <c r="U443" s="2">
        <v>0</v>
      </c>
      <c r="V443" s="2"/>
      <c r="W443" s="2">
        <v>2096</v>
      </c>
      <c r="X443" s="2">
        <v>1717</v>
      </c>
      <c r="Y443" s="2">
        <v>1394</v>
      </c>
      <c r="Z443" s="2">
        <v>0</v>
      </c>
      <c r="AA443" s="2">
        <v>0</v>
      </c>
      <c r="AB443" s="2"/>
      <c r="AC443" s="2">
        <v>2322</v>
      </c>
      <c r="AD443" s="2">
        <v>2080</v>
      </c>
      <c r="AE443" s="2">
        <v>1478</v>
      </c>
      <c r="AF443" s="2">
        <v>1476</v>
      </c>
      <c r="AG443" s="2">
        <v>0</v>
      </c>
      <c r="AH443" s="2"/>
      <c r="AI443" s="2">
        <v>-237</v>
      </c>
      <c r="AJ443" s="2">
        <v>-237</v>
      </c>
      <c r="AK443" s="2">
        <v>-237</v>
      </c>
      <c r="AL443" s="2">
        <v>0</v>
      </c>
      <c r="AM443" s="2">
        <v>-237</v>
      </c>
    </row>
    <row r="444" spans="1:39">
      <c r="A444" s="349">
        <v>94351</v>
      </c>
      <c r="B444" s="342" t="s">
        <v>1133</v>
      </c>
      <c r="C444" s="234" t="e">
        <f>VLOOKUP(A444,#REF!,10,FALSE)</f>
        <v>#REF!</v>
      </c>
      <c r="E444" s="2">
        <v>104589</v>
      </c>
      <c r="F444" s="2">
        <v>28487</v>
      </c>
      <c r="G444" s="2">
        <v>54780</v>
      </c>
      <c r="H444" s="2">
        <v>12996</v>
      </c>
      <c r="I444" s="2">
        <v>0</v>
      </c>
      <c r="J444" s="2"/>
      <c r="K444" s="2">
        <v>33976</v>
      </c>
      <c r="L444" s="2">
        <v>31961</v>
      </c>
      <c r="M444" s="2">
        <v>28646</v>
      </c>
      <c r="N444" s="2">
        <v>11470</v>
      </c>
      <c r="O444" s="2">
        <v>0</v>
      </c>
      <c r="P444" s="2"/>
      <c r="Q444" s="2">
        <v>36070</v>
      </c>
      <c r="R444" s="2">
        <v>-31027</v>
      </c>
      <c r="S444" s="2">
        <v>4373</v>
      </c>
      <c r="T444" s="2">
        <v>5691</v>
      </c>
      <c r="U444" s="2">
        <v>0</v>
      </c>
      <c r="V444" s="2"/>
      <c r="W444" s="2">
        <v>40634</v>
      </c>
      <c r="X444" s="2">
        <v>33289</v>
      </c>
      <c r="Y444" s="2">
        <v>27025</v>
      </c>
      <c r="Z444" s="2">
        <v>0</v>
      </c>
      <c r="AA444" s="2">
        <v>0</v>
      </c>
      <c r="AB444" s="2"/>
      <c r="AC444" s="2">
        <v>0</v>
      </c>
      <c r="AD444" s="2">
        <v>0</v>
      </c>
      <c r="AE444" s="2">
        <v>0</v>
      </c>
      <c r="AF444" s="2">
        <v>0</v>
      </c>
      <c r="AG444" s="2">
        <v>0</v>
      </c>
      <c r="AH444" s="2"/>
      <c r="AI444" s="2">
        <v>-6091</v>
      </c>
      <c r="AJ444" s="2">
        <v>-5736</v>
      </c>
      <c r="AK444" s="2">
        <v>-5264</v>
      </c>
      <c r="AL444" s="2">
        <v>-4165</v>
      </c>
      <c r="AM444" s="2">
        <v>-5736</v>
      </c>
    </row>
    <row r="445" spans="1:39">
      <c r="A445" s="349">
        <v>94401</v>
      </c>
      <c r="B445" s="342" t="s">
        <v>1134</v>
      </c>
      <c r="C445" s="234" t="e">
        <f>VLOOKUP(A445,#REF!,10,FALSE)</f>
        <v>#REF!</v>
      </c>
      <c r="E445" s="2">
        <v>1687858</v>
      </c>
      <c r="F445" s="2">
        <v>524494</v>
      </c>
      <c r="G445" s="2">
        <v>937475</v>
      </c>
      <c r="H445" s="2">
        <v>284005</v>
      </c>
      <c r="I445" s="2">
        <v>0</v>
      </c>
      <c r="J445" s="2"/>
      <c r="K445" s="2">
        <v>515950</v>
      </c>
      <c r="L445" s="2">
        <v>485343</v>
      </c>
      <c r="M445" s="2">
        <v>435007</v>
      </c>
      <c r="N445" s="2">
        <v>174172</v>
      </c>
      <c r="O445" s="2">
        <v>0</v>
      </c>
      <c r="P445" s="2"/>
      <c r="Q445" s="2">
        <v>547753</v>
      </c>
      <c r="R445" s="2">
        <v>-471170</v>
      </c>
      <c r="S445" s="2">
        <v>66406</v>
      </c>
      <c r="T445" s="2">
        <v>86426</v>
      </c>
      <c r="U445" s="2">
        <v>0</v>
      </c>
      <c r="V445" s="2"/>
      <c r="W445" s="2">
        <v>617052</v>
      </c>
      <c r="X445" s="2">
        <v>505511</v>
      </c>
      <c r="Y445" s="2">
        <v>410389</v>
      </c>
      <c r="Z445" s="2">
        <v>0</v>
      </c>
      <c r="AA445" s="2">
        <v>0</v>
      </c>
      <c r="AB445" s="2"/>
      <c r="AC445" s="2">
        <v>27968</v>
      </c>
      <c r="AD445" s="2">
        <v>25674</v>
      </c>
      <c r="AE445" s="2">
        <v>25673</v>
      </c>
      <c r="AF445" s="2">
        <v>23407</v>
      </c>
      <c r="AG445" s="2">
        <v>0</v>
      </c>
      <c r="AH445" s="2"/>
      <c r="AI445" s="2">
        <v>-20865</v>
      </c>
      <c r="AJ445" s="2">
        <v>-20864</v>
      </c>
      <c r="AK445" s="2">
        <v>0</v>
      </c>
      <c r="AL445" s="2">
        <v>0</v>
      </c>
      <c r="AM445" s="2">
        <v>-20864</v>
      </c>
    </row>
    <row r="446" spans="1:39">
      <c r="A446" s="349">
        <v>94403</v>
      </c>
      <c r="B446" s="342" t="s">
        <v>1136</v>
      </c>
      <c r="C446" s="234" t="e">
        <f>VLOOKUP(A446,#REF!,10,FALSE)</f>
        <v>#REF!</v>
      </c>
      <c r="E446" s="2">
        <v>24908</v>
      </c>
      <c r="F446" s="2">
        <v>12298</v>
      </c>
      <c r="G446" s="2">
        <v>12899</v>
      </c>
      <c r="H446" s="2">
        <v>3866</v>
      </c>
      <c r="I446" s="2">
        <v>0</v>
      </c>
      <c r="J446" s="2"/>
      <c r="K446" s="2">
        <v>5603</v>
      </c>
      <c r="L446" s="2">
        <v>5270</v>
      </c>
      <c r="M446" s="2">
        <v>4724</v>
      </c>
      <c r="N446" s="2">
        <v>1891</v>
      </c>
      <c r="O446" s="2">
        <v>0</v>
      </c>
      <c r="P446" s="2"/>
      <c r="Q446" s="2">
        <v>5948</v>
      </c>
      <c r="R446" s="2">
        <v>-5117</v>
      </c>
      <c r="S446" s="2">
        <v>721</v>
      </c>
      <c r="T446" s="2">
        <v>939</v>
      </c>
      <c r="U446" s="2">
        <v>0</v>
      </c>
      <c r="V446" s="2"/>
      <c r="W446" s="2">
        <v>6701</v>
      </c>
      <c r="X446" s="2">
        <v>5489</v>
      </c>
      <c r="Y446" s="2">
        <v>4456</v>
      </c>
      <c r="Z446" s="2">
        <v>0</v>
      </c>
      <c r="AA446" s="2">
        <v>0</v>
      </c>
      <c r="AB446" s="2"/>
      <c r="AC446" s="2">
        <v>6656</v>
      </c>
      <c r="AD446" s="2">
        <v>6656</v>
      </c>
      <c r="AE446" s="2">
        <v>2998</v>
      </c>
      <c r="AF446" s="2">
        <v>1036</v>
      </c>
      <c r="AG446" s="2">
        <v>0</v>
      </c>
      <c r="AH446" s="2"/>
      <c r="AI446" s="2">
        <v>0</v>
      </c>
      <c r="AJ446" s="2">
        <v>0</v>
      </c>
      <c r="AK446" s="2">
        <v>0</v>
      </c>
      <c r="AL446" s="2">
        <v>0</v>
      </c>
      <c r="AM446" s="2">
        <v>0</v>
      </c>
    </row>
    <row r="447" spans="1:39">
      <c r="A447" s="349">
        <v>94408</v>
      </c>
      <c r="B447" s="342" t="s">
        <v>1137</v>
      </c>
      <c r="C447" s="234" t="e">
        <f>VLOOKUP(A447,#REF!,10,FALSE)</f>
        <v>#REF!</v>
      </c>
      <c r="E447" s="2">
        <v>33738</v>
      </c>
      <c r="F447" s="2">
        <v>10770</v>
      </c>
      <c r="G447" s="2">
        <v>18390</v>
      </c>
      <c r="H447" s="2">
        <v>6937</v>
      </c>
      <c r="I447" s="2">
        <v>0</v>
      </c>
      <c r="J447" s="2"/>
      <c r="K447" s="2">
        <v>9288</v>
      </c>
      <c r="L447" s="2">
        <v>8737</v>
      </c>
      <c r="M447" s="2">
        <v>7831</v>
      </c>
      <c r="N447" s="2">
        <v>3135</v>
      </c>
      <c r="O447" s="2">
        <v>0</v>
      </c>
      <c r="P447" s="2"/>
      <c r="Q447" s="2">
        <v>9861</v>
      </c>
      <c r="R447" s="2">
        <v>-8482</v>
      </c>
      <c r="S447" s="2">
        <v>1195</v>
      </c>
      <c r="T447" s="2">
        <v>1556</v>
      </c>
      <c r="U447" s="2">
        <v>0</v>
      </c>
      <c r="V447" s="2"/>
      <c r="W447" s="2">
        <v>11108</v>
      </c>
      <c r="X447" s="2">
        <v>9100</v>
      </c>
      <c r="Y447" s="2">
        <v>7388</v>
      </c>
      <c r="Z447" s="2">
        <v>0</v>
      </c>
      <c r="AA447" s="2">
        <v>0</v>
      </c>
      <c r="AB447" s="2"/>
      <c r="AC447" s="2">
        <v>4310</v>
      </c>
      <c r="AD447" s="2">
        <v>2246</v>
      </c>
      <c r="AE447" s="2">
        <v>2246</v>
      </c>
      <c r="AF447" s="2">
        <v>2246</v>
      </c>
      <c r="AG447" s="2">
        <v>0</v>
      </c>
      <c r="AH447" s="2"/>
      <c r="AI447" s="2">
        <v>-829</v>
      </c>
      <c r="AJ447" s="2">
        <v>-831</v>
      </c>
      <c r="AK447" s="2">
        <v>-270</v>
      </c>
      <c r="AL447" s="2">
        <v>0</v>
      </c>
      <c r="AM447" s="2">
        <v>-831</v>
      </c>
    </row>
    <row r="448" spans="1:39">
      <c r="A448" s="349">
        <v>94411</v>
      </c>
      <c r="B448" s="342" t="s">
        <v>1138</v>
      </c>
      <c r="C448" s="234" t="e">
        <f>VLOOKUP(A448,#REF!,10,FALSE)</f>
        <v>#REF!</v>
      </c>
      <c r="E448" s="2">
        <v>604518</v>
      </c>
      <c r="F448" s="2">
        <v>185284</v>
      </c>
      <c r="G448" s="2">
        <v>314507</v>
      </c>
      <c r="H448" s="2">
        <v>85937</v>
      </c>
      <c r="I448" s="2">
        <v>0</v>
      </c>
      <c r="J448" s="2"/>
      <c r="K448" s="2">
        <v>186839</v>
      </c>
      <c r="L448" s="2">
        <v>175755</v>
      </c>
      <c r="M448" s="2">
        <v>157528</v>
      </c>
      <c r="N448" s="2">
        <v>63072</v>
      </c>
      <c r="O448" s="2">
        <v>0</v>
      </c>
      <c r="P448" s="2"/>
      <c r="Q448" s="2">
        <v>198356</v>
      </c>
      <c r="R448" s="2">
        <v>-170623</v>
      </c>
      <c r="S448" s="2">
        <v>24047</v>
      </c>
      <c r="T448" s="2">
        <v>31297</v>
      </c>
      <c r="U448" s="2">
        <v>0</v>
      </c>
      <c r="V448" s="2"/>
      <c r="W448" s="2">
        <v>223451</v>
      </c>
      <c r="X448" s="2">
        <v>183059</v>
      </c>
      <c r="Y448" s="2">
        <v>148613</v>
      </c>
      <c r="Z448" s="2">
        <v>0</v>
      </c>
      <c r="AA448" s="2">
        <v>0</v>
      </c>
      <c r="AB448" s="2"/>
      <c r="AC448" s="2">
        <v>12774</v>
      </c>
      <c r="AD448" s="2">
        <v>12772</v>
      </c>
      <c r="AE448" s="2">
        <v>0</v>
      </c>
      <c r="AF448" s="2">
        <v>0</v>
      </c>
      <c r="AG448" s="2">
        <v>0</v>
      </c>
      <c r="AH448" s="2"/>
      <c r="AI448" s="2">
        <v>-16902</v>
      </c>
      <c r="AJ448" s="2">
        <v>-15679</v>
      </c>
      <c r="AK448" s="2">
        <v>-15681</v>
      </c>
      <c r="AL448" s="2">
        <v>-8432</v>
      </c>
      <c r="AM448" s="2">
        <v>-15679</v>
      </c>
    </row>
    <row r="449" spans="1:39">
      <c r="A449" s="349">
        <v>94412</v>
      </c>
      <c r="B449" s="342" t="s">
        <v>1139</v>
      </c>
      <c r="C449" s="234" t="e">
        <f>VLOOKUP(A449,#REF!,10,FALSE)</f>
        <v>#REF!</v>
      </c>
      <c r="E449" s="2">
        <v>13310</v>
      </c>
      <c r="F449" s="2">
        <v>6447</v>
      </c>
      <c r="G449" s="2">
        <v>7359</v>
      </c>
      <c r="H449" s="2">
        <v>2761</v>
      </c>
      <c r="I449" s="2">
        <v>0</v>
      </c>
      <c r="J449" s="2"/>
      <c r="K449" s="2">
        <v>2547</v>
      </c>
      <c r="L449" s="2">
        <v>2396</v>
      </c>
      <c r="M449" s="2">
        <v>2147</v>
      </c>
      <c r="N449" s="2">
        <v>860</v>
      </c>
      <c r="O449" s="2">
        <v>0</v>
      </c>
      <c r="P449" s="2"/>
      <c r="Q449" s="2">
        <v>2704</v>
      </c>
      <c r="R449" s="2">
        <v>-2326</v>
      </c>
      <c r="S449" s="2">
        <v>328</v>
      </c>
      <c r="T449" s="2">
        <v>427</v>
      </c>
      <c r="U449" s="2">
        <v>0</v>
      </c>
      <c r="V449" s="2"/>
      <c r="W449" s="2">
        <v>3046</v>
      </c>
      <c r="X449" s="2">
        <v>2495</v>
      </c>
      <c r="Y449" s="2">
        <v>2026</v>
      </c>
      <c r="Z449" s="2">
        <v>0</v>
      </c>
      <c r="AA449" s="2">
        <v>0</v>
      </c>
      <c r="AB449" s="2"/>
      <c r="AC449" s="2">
        <v>5013</v>
      </c>
      <c r="AD449" s="2">
        <v>3882</v>
      </c>
      <c r="AE449" s="2">
        <v>2858</v>
      </c>
      <c r="AF449" s="2">
        <v>1474</v>
      </c>
      <c r="AG449" s="2">
        <v>0</v>
      </c>
      <c r="AH449" s="2"/>
      <c r="AI449" s="2">
        <v>0</v>
      </c>
      <c r="AJ449" s="2">
        <v>0</v>
      </c>
      <c r="AK449" s="2">
        <v>0</v>
      </c>
      <c r="AL449" s="2">
        <v>0</v>
      </c>
      <c r="AM449" s="2">
        <v>0</v>
      </c>
    </row>
    <row r="450" spans="1:39">
      <c r="A450" s="349">
        <v>94421</v>
      </c>
      <c r="B450" s="342" t="s">
        <v>1140</v>
      </c>
      <c r="C450" s="234" t="e">
        <f>VLOOKUP(A450,#REF!,10,FALSE)</f>
        <v>#REF!</v>
      </c>
      <c r="E450" s="2">
        <v>69922</v>
      </c>
      <c r="F450" s="2">
        <v>20322</v>
      </c>
      <c r="G450" s="2">
        <v>36797</v>
      </c>
      <c r="H450" s="2">
        <v>9928</v>
      </c>
      <c r="I450" s="2">
        <v>0</v>
      </c>
      <c r="J450" s="2"/>
      <c r="K450" s="2">
        <v>22291</v>
      </c>
      <c r="L450" s="2">
        <v>20969</v>
      </c>
      <c r="M450" s="2">
        <v>18794</v>
      </c>
      <c r="N450" s="2">
        <v>7525</v>
      </c>
      <c r="O450" s="2">
        <v>0</v>
      </c>
      <c r="P450" s="2"/>
      <c r="Q450" s="2">
        <v>23665</v>
      </c>
      <c r="R450" s="2">
        <v>-20357</v>
      </c>
      <c r="S450" s="2">
        <v>2869</v>
      </c>
      <c r="T450" s="2">
        <v>3734</v>
      </c>
      <c r="U450" s="2">
        <v>0</v>
      </c>
      <c r="V450" s="2"/>
      <c r="W450" s="2">
        <v>26659</v>
      </c>
      <c r="X450" s="2">
        <v>21840</v>
      </c>
      <c r="Y450" s="2">
        <v>17731</v>
      </c>
      <c r="Z450" s="2">
        <v>0</v>
      </c>
      <c r="AA450" s="2">
        <v>0</v>
      </c>
      <c r="AB450" s="2"/>
      <c r="AC450" s="2">
        <v>470</v>
      </c>
      <c r="AD450" s="2">
        <v>469</v>
      </c>
      <c r="AE450" s="2">
        <v>0</v>
      </c>
      <c r="AF450" s="2">
        <v>0</v>
      </c>
      <c r="AG450" s="2">
        <v>0</v>
      </c>
      <c r="AH450" s="2"/>
      <c r="AI450" s="2">
        <v>-3163</v>
      </c>
      <c r="AJ450" s="2">
        <v>-2599</v>
      </c>
      <c r="AK450" s="2">
        <v>-2597</v>
      </c>
      <c r="AL450" s="2">
        <v>-1331</v>
      </c>
      <c r="AM450" s="2">
        <v>-2599</v>
      </c>
    </row>
    <row r="451" spans="1:39">
      <c r="A451" s="349">
        <v>94427</v>
      </c>
      <c r="B451" s="342" t="s">
        <v>1141</v>
      </c>
      <c r="C451" s="234" t="e">
        <f>VLOOKUP(A451,#REF!,10,FALSE)</f>
        <v>#REF!</v>
      </c>
      <c r="E451" s="2">
        <v>17690</v>
      </c>
      <c r="F451" s="2">
        <v>8530</v>
      </c>
      <c r="G451" s="2">
        <v>10768</v>
      </c>
      <c r="H451" s="2">
        <v>4905</v>
      </c>
      <c r="I451" s="2">
        <v>0</v>
      </c>
      <c r="J451" s="2"/>
      <c r="K451" s="2">
        <v>4120</v>
      </c>
      <c r="L451" s="2">
        <v>3875</v>
      </c>
      <c r="M451" s="2">
        <v>3473</v>
      </c>
      <c r="N451" s="2">
        <v>1391</v>
      </c>
      <c r="O451" s="2">
        <v>0</v>
      </c>
      <c r="P451" s="2"/>
      <c r="Q451" s="2">
        <v>4374</v>
      </c>
      <c r="R451" s="2">
        <v>-3762</v>
      </c>
      <c r="S451" s="2">
        <v>530</v>
      </c>
      <c r="T451" s="2">
        <v>690</v>
      </c>
      <c r="U451" s="2">
        <v>0</v>
      </c>
      <c r="V451" s="2"/>
      <c r="W451" s="2">
        <v>4927</v>
      </c>
      <c r="X451" s="2">
        <v>4036</v>
      </c>
      <c r="Y451" s="2">
        <v>3277</v>
      </c>
      <c r="Z451" s="2">
        <v>0</v>
      </c>
      <c r="AA451" s="2">
        <v>0</v>
      </c>
      <c r="AB451" s="2"/>
      <c r="AC451" s="2">
        <v>4382</v>
      </c>
      <c r="AD451" s="2">
        <v>4381</v>
      </c>
      <c r="AE451" s="2">
        <v>3488</v>
      </c>
      <c r="AF451" s="2">
        <v>2824</v>
      </c>
      <c r="AG451" s="2">
        <v>0</v>
      </c>
      <c r="AH451" s="2"/>
      <c r="AI451" s="2">
        <v>-113</v>
      </c>
      <c r="AJ451" s="2">
        <v>0</v>
      </c>
      <c r="AK451" s="2">
        <v>0</v>
      </c>
      <c r="AL451" s="2">
        <v>0</v>
      </c>
      <c r="AM451" s="2">
        <v>0</v>
      </c>
    </row>
    <row r="452" spans="1:39">
      <c r="A452" s="349">
        <v>94428</v>
      </c>
      <c r="B452" s="342" t="s">
        <v>2797</v>
      </c>
      <c r="C452" s="234" t="e">
        <f>VLOOKUP(A452,#REF!,10,FALSE)</f>
        <v>#REF!</v>
      </c>
      <c r="E452" s="2">
        <v>36016</v>
      </c>
      <c r="F452" s="2">
        <v>11766</v>
      </c>
      <c r="G452" s="2">
        <v>20733</v>
      </c>
      <c r="H452" s="2">
        <v>5694</v>
      </c>
      <c r="I452" s="2">
        <v>0</v>
      </c>
      <c r="J452" s="2"/>
      <c r="K452" s="2">
        <v>10696</v>
      </c>
      <c r="L452" s="2">
        <v>10062</v>
      </c>
      <c r="M452" s="2">
        <v>9018</v>
      </c>
      <c r="N452" s="2">
        <v>3611</v>
      </c>
      <c r="O452" s="2">
        <v>0</v>
      </c>
      <c r="P452" s="2"/>
      <c r="Q452" s="2">
        <v>11356</v>
      </c>
      <c r="R452" s="2">
        <v>-9768</v>
      </c>
      <c r="S452" s="2">
        <v>1377</v>
      </c>
      <c r="T452" s="2">
        <v>1792</v>
      </c>
      <c r="U452" s="2">
        <v>0</v>
      </c>
      <c r="V452" s="2"/>
      <c r="W452" s="2">
        <v>12792</v>
      </c>
      <c r="X452" s="2">
        <v>10480</v>
      </c>
      <c r="Y452" s="2">
        <v>8508</v>
      </c>
      <c r="Z452" s="2">
        <v>0</v>
      </c>
      <c r="AA452" s="2">
        <v>0</v>
      </c>
      <c r="AB452" s="2"/>
      <c r="AC452" s="2">
        <v>2008</v>
      </c>
      <c r="AD452" s="2">
        <v>1830</v>
      </c>
      <c r="AE452" s="2">
        <v>1830</v>
      </c>
      <c r="AF452" s="2">
        <v>291</v>
      </c>
      <c r="AG452" s="2">
        <v>0</v>
      </c>
      <c r="AH452" s="2"/>
      <c r="AI452" s="2">
        <v>-836</v>
      </c>
      <c r="AJ452" s="2">
        <v>-838</v>
      </c>
      <c r="AK452" s="2">
        <v>0</v>
      </c>
      <c r="AL452" s="2">
        <v>0</v>
      </c>
      <c r="AM452" s="2">
        <v>-838</v>
      </c>
    </row>
    <row r="453" spans="1:39">
      <c r="A453" s="349">
        <v>94431</v>
      </c>
      <c r="B453" s="342" t="s">
        <v>1143</v>
      </c>
      <c r="C453" s="234" t="e">
        <f>VLOOKUP(A453,#REF!,10,FALSE)</f>
        <v>#REF!</v>
      </c>
      <c r="E453" s="2">
        <v>296090</v>
      </c>
      <c r="F453" s="2">
        <v>134661</v>
      </c>
      <c r="G453" s="2">
        <v>154467</v>
      </c>
      <c r="H453" s="2">
        <v>59035</v>
      </c>
      <c r="I453" s="2">
        <v>0</v>
      </c>
      <c r="J453" s="2"/>
      <c r="K453" s="2">
        <v>62664</v>
      </c>
      <c r="L453" s="2">
        <v>58947</v>
      </c>
      <c r="M453" s="2">
        <v>52833</v>
      </c>
      <c r="N453" s="2">
        <v>21154</v>
      </c>
      <c r="O453" s="2">
        <v>0</v>
      </c>
      <c r="P453" s="2"/>
      <c r="Q453" s="2">
        <v>66527</v>
      </c>
      <c r="R453" s="2">
        <v>-57226</v>
      </c>
      <c r="S453" s="2">
        <v>8065</v>
      </c>
      <c r="T453" s="2">
        <v>10497</v>
      </c>
      <c r="U453" s="2">
        <v>0</v>
      </c>
      <c r="V453" s="2"/>
      <c r="W453" s="2">
        <v>74943</v>
      </c>
      <c r="X453" s="2">
        <v>61396</v>
      </c>
      <c r="Y453" s="2">
        <v>49843</v>
      </c>
      <c r="Z453" s="2">
        <v>0</v>
      </c>
      <c r="AA453" s="2">
        <v>0</v>
      </c>
      <c r="AB453" s="2"/>
      <c r="AC453" s="2">
        <v>91956</v>
      </c>
      <c r="AD453" s="2">
        <v>71544</v>
      </c>
      <c r="AE453" s="2">
        <v>43726</v>
      </c>
      <c r="AF453" s="2">
        <v>27384</v>
      </c>
      <c r="AG453" s="2">
        <v>0</v>
      </c>
      <c r="AH453" s="2"/>
      <c r="AI453" s="2">
        <v>0</v>
      </c>
      <c r="AJ453" s="2">
        <v>0</v>
      </c>
      <c r="AK453" s="2">
        <v>0</v>
      </c>
      <c r="AL453" s="2">
        <v>0</v>
      </c>
      <c r="AM453" s="2">
        <v>0</v>
      </c>
    </row>
    <row r="454" spans="1:39">
      <c r="A454" s="349">
        <v>94437</v>
      </c>
      <c r="B454" s="342" t="s">
        <v>1144</v>
      </c>
      <c r="C454" s="234" t="e">
        <f>VLOOKUP(A454,#REF!,10,FALSE)</f>
        <v>#REF!</v>
      </c>
      <c r="E454" s="2">
        <v>12107</v>
      </c>
      <c r="F454" s="2">
        <v>5850</v>
      </c>
      <c r="G454" s="2">
        <v>6061</v>
      </c>
      <c r="H454" s="2">
        <v>1977</v>
      </c>
      <c r="I454" s="2">
        <v>0</v>
      </c>
      <c r="J454" s="2"/>
      <c r="K454" s="2">
        <v>2232</v>
      </c>
      <c r="L454" s="2">
        <v>2100</v>
      </c>
      <c r="M454" s="2">
        <v>1882</v>
      </c>
      <c r="N454" s="2">
        <v>754</v>
      </c>
      <c r="O454" s="2">
        <v>0</v>
      </c>
      <c r="P454" s="2"/>
      <c r="Q454" s="2">
        <v>2370</v>
      </c>
      <c r="R454" s="2">
        <v>-2038</v>
      </c>
      <c r="S454" s="2">
        <v>287</v>
      </c>
      <c r="T454" s="2">
        <v>374</v>
      </c>
      <c r="U454" s="2">
        <v>0</v>
      </c>
      <c r="V454" s="2"/>
      <c r="W454" s="2">
        <v>2670</v>
      </c>
      <c r="X454" s="2">
        <v>2187</v>
      </c>
      <c r="Y454" s="2">
        <v>1775</v>
      </c>
      <c r="Z454" s="2">
        <v>0</v>
      </c>
      <c r="AA454" s="2">
        <v>0</v>
      </c>
      <c r="AB454" s="2"/>
      <c r="AC454" s="2">
        <v>4835</v>
      </c>
      <c r="AD454" s="2">
        <v>3601</v>
      </c>
      <c r="AE454" s="2">
        <v>2117</v>
      </c>
      <c r="AF454" s="2">
        <v>849</v>
      </c>
      <c r="AG454" s="2">
        <v>0</v>
      </c>
      <c r="AH454" s="2"/>
      <c r="AI454" s="2">
        <v>0</v>
      </c>
      <c r="AJ454" s="2">
        <v>0</v>
      </c>
      <c r="AK454" s="2">
        <v>0</v>
      </c>
      <c r="AL454" s="2">
        <v>0</v>
      </c>
      <c r="AM454" s="2">
        <v>0</v>
      </c>
    </row>
    <row r="455" spans="1:39">
      <c r="A455" s="349">
        <v>94501</v>
      </c>
      <c r="B455" s="342" t="s">
        <v>1145</v>
      </c>
      <c r="C455" s="234" t="e">
        <f>VLOOKUP(A455,#REF!,10,FALSE)</f>
        <v>#REF!</v>
      </c>
      <c r="E455" s="2">
        <v>2963503</v>
      </c>
      <c r="F455" s="2">
        <v>943059</v>
      </c>
      <c r="G455" s="2">
        <v>1626480</v>
      </c>
      <c r="H455" s="2">
        <v>469991</v>
      </c>
      <c r="I455" s="2">
        <v>0</v>
      </c>
      <c r="J455" s="2"/>
      <c r="K455" s="2">
        <v>895441</v>
      </c>
      <c r="L455" s="2">
        <v>842321</v>
      </c>
      <c r="M455" s="2">
        <v>754963</v>
      </c>
      <c r="N455" s="2">
        <v>302278</v>
      </c>
      <c r="O455" s="2">
        <v>0</v>
      </c>
      <c r="P455" s="2"/>
      <c r="Q455" s="2">
        <v>950636</v>
      </c>
      <c r="R455" s="2">
        <v>-817725</v>
      </c>
      <c r="S455" s="2">
        <v>115248</v>
      </c>
      <c r="T455" s="2">
        <v>149994</v>
      </c>
      <c r="U455" s="2">
        <v>0</v>
      </c>
      <c r="V455" s="2"/>
      <c r="W455" s="2">
        <v>1070905</v>
      </c>
      <c r="X455" s="2">
        <v>877324</v>
      </c>
      <c r="Y455" s="2">
        <v>712237</v>
      </c>
      <c r="Z455" s="2">
        <v>0</v>
      </c>
      <c r="AA455" s="2">
        <v>0</v>
      </c>
      <c r="AB455" s="2"/>
      <c r="AC455" s="2">
        <v>49413</v>
      </c>
      <c r="AD455" s="2">
        <v>44031</v>
      </c>
      <c r="AE455" s="2">
        <v>44032</v>
      </c>
      <c r="AF455" s="2">
        <v>17719</v>
      </c>
      <c r="AG455" s="2">
        <v>0</v>
      </c>
      <c r="AH455" s="2"/>
      <c r="AI455" s="2">
        <v>-2892</v>
      </c>
      <c r="AJ455" s="2">
        <v>-2892</v>
      </c>
      <c r="AK455" s="2">
        <v>0</v>
      </c>
      <c r="AL455" s="2">
        <v>0</v>
      </c>
      <c r="AM455" s="2">
        <v>-2892</v>
      </c>
    </row>
    <row r="456" spans="1:39">
      <c r="A456" s="349">
        <v>94511</v>
      </c>
      <c r="B456" s="342" t="s">
        <v>1146</v>
      </c>
      <c r="C456" s="234" t="e">
        <f>VLOOKUP(A456,#REF!,10,FALSE)</f>
        <v>#REF!</v>
      </c>
      <c r="E456" s="2">
        <v>978768</v>
      </c>
      <c r="F456" s="2">
        <v>307871</v>
      </c>
      <c r="G456" s="2">
        <v>534719</v>
      </c>
      <c r="H456" s="2">
        <v>148315</v>
      </c>
      <c r="I456" s="2">
        <v>0</v>
      </c>
      <c r="J456" s="2"/>
      <c r="K456" s="2">
        <v>302355</v>
      </c>
      <c r="L456" s="2">
        <v>284419</v>
      </c>
      <c r="M456" s="2">
        <v>254921</v>
      </c>
      <c r="N456" s="2">
        <v>102067</v>
      </c>
      <c r="O456" s="2">
        <v>0</v>
      </c>
      <c r="P456" s="2"/>
      <c r="Q456" s="2">
        <v>320992</v>
      </c>
      <c r="R456" s="2">
        <v>-276114</v>
      </c>
      <c r="S456" s="2">
        <v>38915</v>
      </c>
      <c r="T456" s="2">
        <v>50647</v>
      </c>
      <c r="U456" s="2">
        <v>0</v>
      </c>
      <c r="V456" s="2"/>
      <c r="W456" s="2">
        <v>361603</v>
      </c>
      <c r="X456" s="2">
        <v>296238</v>
      </c>
      <c r="Y456" s="2">
        <v>240495</v>
      </c>
      <c r="Z456" s="2">
        <v>0</v>
      </c>
      <c r="AA456" s="2">
        <v>0</v>
      </c>
      <c r="AB456" s="2"/>
      <c r="AC456" s="2">
        <v>7729</v>
      </c>
      <c r="AD456" s="2">
        <v>7728</v>
      </c>
      <c r="AE456" s="2">
        <v>4788</v>
      </c>
      <c r="AF456" s="2">
        <v>0</v>
      </c>
      <c r="AG456" s="2">
        <v>0</v>
      </c>
      <c r="AH456" s="2"/>
      <c r="AI456" s="2">
        <v>-13911</v>
      </c>
      <c r="AJ456" s="2">
        <v>-4400</v>
      </c>
      <c r="AK456" s="2">
        <v>-4400</v>
      </c>
      <c r="AL456" s="2">
        <v>-4399</v>
      </c>
      <c r="AM456" s="2">
        <v>-4400</v>
      </c>
    </row>
    <row r="457" spans="1:39">
      <c r="A457" s="349">
        <v>94517</v>
      </c>
      <c r="B457" s="342" t="s">
        <v>2807</v>
      </c>
      <c r="C457" s="234" t="e">
        <f>VLOOKUP(A457,#REF!,10,FALSE)</f>
        <v>#REF!</v>
      </c>
      <c r="E457" s="2">
        <v>36644</v>
      </c>
      <c r="F457" s="2">
        <v>16719</v>
      </c>
      <c r="G457" s="2">
        <v>21316</v>
      </c>
      <c r="H457" s="2">
        <v>10176</v>
      </c>
      <c r="I457" s="2">
        <v>0</v>
      </c>
      <c r="J457" s="2"/>
      <c r="K457" s="2">
        <v>8209</v>
      </c>
      <c r="L457" s="2">
        <v>7722</v>
      </c>
      <c r="M457" s="2">
        <v>6922</v>
      </c>
      <c r="N457" s="2">
        <v>2771</v>
      </c>
      <c r="O457" s="2">
        <v>0</v>
      </c>
      <c r="P457" s="2"/>
      <c r="Q457" s="2">
        <v>8715</v>
      </c>
      <c r="R457" s="2">
        <v>-7497</v>
      </c>
      <c r="S457" s="2">
        <v>1057</v>
      </c>
      <c r="T457" s="2">
        <v>1375</v>
      </c>
      <c r="U457" s="2">
        <v>0</v>
      </c>
      <c r="V457" s="2"/>
      <c r="W457" s="2">
        <v>9818</v>
      </c>
      <c r="X457" s="2">
        <v>8043</v>
      </c>
      <c r="Y457" s="2">
        <v>6530</v>
      </c>
      <c r="Z457" s="2">
        <v>0</v>
      </c>
      <c r="AA457" s="2">
        <v>0</v>
      </c>
      <c r="AB457" s="2"/>
      <c r="AC457" s="2">
        <v>9902</v>
      </c>
      <c r="AD457" s="2">
        <v>8451</v>
      </c>
      <c r="AE457" s="2">
        <v>6807</v>
      </c>
      <c r="AF457" s="2">
        <v>6030</v>
      </c>
      <c r="AG457" s="2">
        <v>0</v>
      </c>
      <c r="AH457" s="2"/>
      <c r="AI457" s="2">
        <v>0</v>
      </c>
      <c r="AJ457" s="2">
        <v>0</v>
      </c>
      <c r="AK457" s="2">
        <v>0</v>
      </c>
      <c r="AL457" s="2">
        <v>0</v>
      </c>
      <c r="AM457" s="2">
        <v>0</v>
      </c>
    </row>
    <row r="458" spans="1:39">
      <c r="A458" s="349">
        <v>94521</v>
      </c>
      <c r="B458" s="342" t="s">
        <v>1149</v>
      </c>
      <c r="C458" s="234" t="e">
        <f>VLOOKUP(A458,#REF!,10,FALSE)</f>
        <v>#REF!</v>
      </c>
      <c r="E458" s="2">
        <v>65934</v>
      </c>
      <c r="F458" s="2">
        <v>19569</v>
      </c>
      <c r="G458" s="2">
        <v>33676</v>
      </c>
      <c r="H458" s="2">
        <v>6663</v>
      </c>
      <c r="I458" s="2">
        <v>0</v>
      </c>
      <c r="J458" s="2"/>
      <c r="K458" s="2">
        <v>22456</v>
      </c>
      <c r="L458" s="2">
        <v>21124</v>
      </c>
      <c r="M458" s="2">
        <v>18933</v>
      </c>
      <c r="N458" s="2">
        <v>7581</v>
      </c>
      <c r="O458" s="2">
        <v>0</v>
      </c>
      <c r="P458" s="2"/>
      <c r="Q458" s="2">
        <v>23840</v>
      </c>
      <c r="R458" s="2">
        <v>-20507</v>
      </c>
      <c r="S458" s="2">
        <v>2890</v>
      </c>
      <c r="T458" s="2">
        <v>3762</v>
      </c>
      <c r="U458" s="2">
        <v>0</v>
      </c>
      <c r="V458" s="2"/>
      <c r="W458" s="2">
        <v>26856</v>
      </c>
      <c r="X458" s="2">
        <v>22002</v>
      </c>
      <c r="Y458" s="2">
        <v>17862</v>
      </c>
      <c r="Z458" s="2">
        <v>0</v>
      </c>
      <c r="AA458" s="2">
        <v>0</v>
      </c>
      <c r="AB458" s="2"/>
      <c r="AC458" s="2">
        <v>2955</v>
      </c>
      <c r="AD458" s="2">
        <v>2957</v>
      </c>
      <c r="AE458" s="2">
        <v>0</v>
      </c>
      <c r="AF458" s="2">
        <v>0</v>
      </c>
      <c r="AG458" s="2">
        <v>0</v>
      </c>
      <c r="AH458" s="2"/>
      <c r="AI458" s="2">
        <v>-10173</v>
      </c>
      <c r="AJ458" s="2">
        <v>-6007</v>
      </c>
      <c r="AK458" s="2">
        <v>-6009</v>
      </c>
      <c r="AL458" s="2">
        <v>-4680</v>
      </c>
      <c r="AM458" s="2">
        <v>-6007</v>
      </c>
    </row>
    <row r="459" spans="1:39">
      <c r="A459" s="349">
        <v>94527</v>
      </c>
      <c r="B459" s="342" t="s">
        <v>1150</v>
      </c>
      <c r="C459" s="234" t="e">
        <f>VLOOKUP(A459,#REF!,10,FALSE)</f>
        <v>#REF!</v>
      </c>
      <c r="E459" s="2">
        <v>2524</v>
      </c>
      <c r="F459" s="2">
        <v>1012</v>
      </c>
      <c r="G459" s="2">
        <v>1973</v>
      </c>
      <c r="H459" s="2">
        <v>522</v>
      </c>
      <c r="I459" s="2">
        <v>0</v>
      </c>
      <c r="J459" s="2"/>
      <c r="K459" s="2">
        <v>1019</v>
      </c>
      <c r="L459" s="2">
        <v>958</v>
      </c>
      <c r="M459" s="2">
        <v>859</v>
      </c>
      <c r="N459" s="2">
        <v>344</v>
      </c>
      <c r="O459" s="2">
        <v>0</v>
      </c>
      <c r="P459" s="2"/>
      <c r="Q459" s="2">
        <v>1081</v>
      </c>
      <c r="R459" s="2">
        <v>-930</v>
      </c>
      <c r="S459" s="2">
        <v>131</v>
      </c>
      <c r="T459" s="2">
        <v>171</v>
      </c>
      <c r="U459" s="2">
        <v>0</v>
      </c>
      <c r="V459" s="2"/>
      <c r="W459" s="2">
        <v>1218</v>
      </c>
      <c r="X459" s="2">
        <v>998</v>
      </c>
      <c r="Y459" s="2">
        <v>810</v>
      </c>
      <c r="Z459" s="2">
        <v>0</v>
      </c>
      <c r="AA459" s="2">
        <v>0</v>
      </c>
      <c r="AB459" s="2"/>
      <c r="AC459" s="2">
        <v>173</v>
      </c>
      <c r="AD459" s="2">
        <v>173</v>
      </c>
      <c r="AE459" s="2">
        <v>173</v>
      </c>
      <c r="AF459" s="2">
        <v>7</v>
      </c>
      <c r="AG459" s="2">
        <v>0</v>
      </c>
      <c r="AH459" s="2"/>
      <c r="AI459" s="2">
        <v>-967</v>
      </c>
      <c r="AJ459" s="2">
        <v>-187</v>
      </c>
      <c r="AK459" s="2">
        <v>0</v>
      </c>
      <c r="AL459" s="2">
        <v>0</v>
      </c>
      <c r="AM459" s="2">
        <v>-187</v>
      </c>
    </row>
    <row r="460" spans="1:39">
      <c r="A460" s="349">
        <v>94531</v>
      </c>
      <c r="B460" s="342" t="s">
        <v>1151</v>
      </c>
      <c r="C460" s="234" t="e">
        <f>VLOOKUP(A460,#REF!,10,FALSE)</f>
        <v>#REF!</v>
      </c>
      <c r="E460" s="2">
        <v>16275</v>
      </c>
      <c r="F460" s="2">
        <v>7980</v>
      </c>
      <c r="G460" s="2">
        <v>9790</v>
      </c>
      <c r="H460" s="2">
        <v>4432</v>
      </c>
      <c r="I460" s="2">
        <v>0</v>
      </c>
      <c r="J460" s="2"/>
      <c r="K460" s="2">
        <v>3461</v>
      </c>
      <c r="L460" s="2">
        <v>3255</v>
      </c>
      <c r="M460" s="2">
        <v>2918</v>
      </c>
      <c r="N460" s="2">
        <v>1168</v>
      </c>
      <c r="O460" s="2">
        <v>0</v>
      </c>
      <c r="P460" s="2"/>
      <c r="Q460" s="2">
        <v>3674</v>
      </c>
      <c r="R460" s="2">
        <v>-3160</v>
      </c>
      <c r="S460" s="2">
        <v>445</v>
      </c>
      <c r="T460" s="2">
        <v>580</v>
      </c>
      <c r="U460" s="2">
        <v>0</v>
      </c>
      <c r="V460" s="2"/>
      <c r="W460" s="2">
        <v>4139</v>
      </c>
      <c r="X460" s="2">
        <v>3391</v>
      </c>
      <c r="Y460" s="2">
        <v>2753</v>
      </c>
      <c r="Z460" s="2">
        <v>0</v>
      </c>
      <c r="AA460" s="2">
        <v>0</v>
      </c>
      <c r="AB460" s="2"/>
      <c r="AC460" s="2">
        <v>5001</v>
      </c>
      <c r="AD460" s="2">
        <v>4494</v>
      </c>
      <c r="AE460" s="2">
        <v>3674</v>
      </c>
      <c r="AF460" s="2">
        <v>2684</v>
      </c>
      <c r="AG460" s="2">
        <v>0</v>
      </c>
      <c r="AH460" s="2"/>
      <c r="AI460" s="2">
        <v>0</v>
      </c>
      <c r="AJ460" s="2">
        <v>0</v>
      </c>
      <c r="AK460" s="2">
        <v>0</v>
      </c>
      <c r="AL460" s="2">
        <v>0</v>
      </c>
      <c r="AM460" s="2">
        <v>0</v>
      </c>
    </row>
    <row r="461" spans="1:39">
      <c r="A461" s="349">
        <v>94532</v>
      </c>
      <c r="B461" s="342" t="s">
        <v>1152</v>
      </c>
      <c r="C461" s="234" t="e">
        <f>VLOOKUP(A461,#REF!,10,FALSE)</f>
        <v>#REF!</v>
      </c>
      <c r="E461" s="2">
        <v>49474</v>
      </c>
      <c r="F461" s="2">
        <v>17596</v>
      </c>
      <c r="G461" s="2">
        <v>29163</v>
      </c>
      <c r="H461" s="2">
        <v>7751</v>
      </c>
      <c r="I461" s="2">
        <v>0</v>
      </c>
      <c r="J461" s="2"/>
      <c r="K461" s="2">
        <v>15071</v>
      </c>
      <c r="L461" s="2">
        <v>14177</v>
      </c>
      <c r="M461" s="2">
        <v>12706</v>
      </c>
      <c r="N461" s="2">
        <v>5087</v>
      </c>
      <c r="O461" s="2">
        <v>0</v>
      </c>
      <c r="P461" s="2"/>
      <c r="Q461" s="2">
        <v>16000</v>
      </c>
      <c r="R461" s="2">
        <v>-13763</v>
      </c>
      <c r="S461" s="2">
        <v>1940</v>
      </c>
      <c r="T461" s="2">
        <v>2524</v>
      </c>
      <c r="U461" s="2">
        <v>0</v>
      </c>
      <c r="V461" s="2"/>
      <c r="W461" s="2">
        <v>18024</v>
      </c>
      <c r="X461" s="2">
        <v>14766</v>
      </c>
      <c r="Y461" s="2">
        <v>11987</v>
      </c>
      <c r="Z461" s="2">
        <v>0</v>
      </c>
      <c r="AA461" s="2">
        <v>0</v>
      </c>
      <c r="AB461" s="2"/>
      <c r="AC461" s="2">
        <v>2530</v>
      </c>
      <c r="AD461" s="2">
        <v>2530</v>
      </c>
      <c r="AE461" s="2">
        <v>2530</v>
      </c>
      <c r="AF461" s="2">
        <v>140</v>
      </c>
      <c r="AG461" s="2">
        <v>0</v>
      </c>
      <c r="AH461" s="2"/>
      <c r="AI461" s="2">
        <v>-2151</v>
      </c>
      <c r="AJ461" s="2">
        <v>-114</v>
      </c>
      <c r="AK461" s="2">
        <v>0</v>
      </c>
      <c r="AL461" s="2">
        <v>0</v>
      </c>
      <c r="AM461" s="2">
        <v>-114</v>
      </c>
    </row>
    <row r="462" spans="1:39">
      <c r="A462" s="349">
        <v>94541</v>
      </c>
      <c r="B462" s="342" t="s">
        <v>1153</v>
      </c>
      <c r="C462" s="234" t="e">
        <f>VLOOKUP(A462,#REF!,10,FALSE)</f>
        <v>#REF!</v>
      </c>
      <c r="E462" s="2">
        <v>124624</v>
      </c>
      <c r="F462" s="2">
        <v>32883</v>
      </c>
      <c r="G462" s="2">
        <v>67409</v>
      </c>
      <c r="H462" s="2">
        <v>18611</v>
      </c>
      <c r="I462" s="2">
        <v>0</v>
      </c>
      <c r="J462" s="2"/>
      <c r="K462" s="2">
        <v>41571</v>
      </c>
      <c r="L462" s="2">
        <v>39105</v>
      </c>
      <c r="M462" s="2">
        <v>35050</v>
      </c>
      <c r="N462" s="2">
        <v>14033</v>
      </c>
      <c r="O462" s="2">
        <v>0</v>
      </c>
      <c r="P462" s="2"/>
      <c r="Q462" s="2">
        <v>44134</v>
      </c>
      <c r="R462" s="2">
        <v>-37963</v>
      </c>
      <c r="S462" s="2">
        <v>5350</v>
      </c>
      <c r="T462" s="2">
        <v>6964</v>
      </c>
      <c r="U462" s="2">
        <v>0</v>
      </c>
      <c r="V462" s="2"/>
      <c r="W462" s="2">
        <v>49717</v>
      </c>
      <c r="X462" s="2">
        <v>40730</v>
      </c>
      <c r="Y462" s="2">
        <v>33066</v>
      </c>
      <c r="Z462" s="2">
        <v>0</v>
      </c>
      <c r="AA462" s="2">
        <v>0</v>
      </c>
      <c r="AB462" s="2"/>
      <c r="AC462" s="2">
        <v>0</v>
      </c>
      <c r="AD462" s="2">
        <v>0</v>
      </c>
      <c r="AE462" s="2">
        <v>0</v>
      </c>
      <c r="AF462" s="2">
        <v>0</v>
      </c>
      <c r="AG462" s="2">
        <v>0</v>
      </c>
      <c r="AH462" s="2"/>
      <c r="AI462" s="2">
        <v>-10798</v>
      </c>
      <c r="AJ462" s="2">
        <v>-8989</v>
      </c>
      <c r="AK462" s="2">
        <v>-6057</v>
      </c>
      <c r="AL462" s="2">
        <v>-2386</v>
      </c>
      <c r="AM462" s="2">
        <v>-8989</v>
      </c>
    </row>
    <row r="463" spans="1:39">
      <c r="A463" s="349">
        <v>94547</v>
      </c>
      <c r="B463" s="342" t="s">
        <v>1154</v>
      </c>
      <c r="C463" s="234" t="e">
        <f>VLOOKUP(A463,#REF!,10,FALSE)</f>
        <v>#REF!</v>
      </c>
      <c r="E463" s="2">
        <v>7931</v>
      </c>
      <c r="F463" s="2">
        <v>3955</v>
      </c>
      <c r="G463" s="2">
        <v>4864</v>
      </c>
      <c r="H463" s="2">
        <v>2077</v>
      </c>
      <c r="I463" s="2">
        <v>0</v>
      </c>
      <c r="J463" s="2"/>
      <c r="K463" s="2">
        <v>1648</v>
      </c>
      <c r="L463" s="2">
        <v>1550</v>
      </c>
      <c r="M463" s="2">
        <v>1389</v>
      </c>
      <c r="N463" s="2">
        <v>556</v>
      </c>
      <c r="O463" s="2">
        <v>0</v>
      </c>
      <c r="P463" s="2"/>
      <c r="Q463" s="2">
        <v>1749</v>
      </c>
      <c r="R463" s="2">
        <v>-1505</v>
      </c>
      <c r="S463" s="2">
        <v>212</v>
      </c>
      <c r="T463" s="2">
        <v>276</v>
      </c>
      <c r="U463" s="2">
        <v>0</v>
      </c>
      <c r="V463" s="2"/>
      <c r="W463" s="2">
        <v>1971</v>
      </c>
      <c r="X463" s="2">
        <v>1615</v>
      </c>
      <c r="Y463" s="2">
        <v>1311</v>
      </c>
      <c r="Z463" s="2">
        <v>0</v>
      </c>
      <c r="AA463" s="2">
        <v>0</v>
      </c>
      <c r="AB463" s="2"/>
      <c r="AC463" s="2">
        <v>2563</v>
      </c>
      <c r="AD463" s="2">
        <v>2295</v>
      </c>
      <c r="AE463" s="2">
        <v>1952</v>
      </c>
      <c r="AF463" s="2">
        <v>1245</v>
      </c>
      <c r="AG463" s="2">
        <v>0</v>
      </c>
      <c r="AH463" s="2"/>
      <c r="AI463" s="2">
        <v>0</v>
      </c>
      <c r="AJ463" s="2">
        <v>0</v>
      </c>
      <c r="AK463" s="2">
        <v>0</v>
      </c>
      <c r="AL463" s="2">
        <v>0</v>
      </c>
      <c r="AM463" s="2">
        <v>0</v>
      </c>
    </row>
    <row r="464" spans="1:39">
      <c r="A464" s="349">
        <v>94551</v>
      </c>
      <c r="B464" s="342" t="s">
        <v>1155</v>
      </c>
      <c r="C464" s="234" t="e">
        <f>VLOOKUP(A464,#REF!,10,FALSE)</f>
        <v>#REF!</v>
      </c>
      <c r="E464" s="2">
        <v>31183</v>
      </c>
      <c r="F464" s="2">
        <v>10898</v>
      </c>
      <c r="G464" s="2">
        <v>16464</v>
      </c>
      <c r="H464" s="2">
        <v>4807</v>
      </c>
      <c r="I464" s="2">
        <v>0</v>
      </c>
      <c r="J464" s="2"/>
      <c r="K464" s="2">
        <v>7940</v>
      </c>
      <c r="L464" s="2">
        <v>7469</v>
      </c>
      <c r="M464" s="2">
        <v>6694</v>
      </c>
      <c r="N464" s="2">
        <v>2680</v>
      </c>
      <c r="O464" s="2">
        <v>0</v>
      </c>
      <c r="P464" s="2"/>
      <c r="Q464" s="2">
        <v>8429</v>
      </c>
      <c r="R464" s="2">
        <v>-7251</v>
      </c>
      <c r="S464" s="2">
        <v>1022</v>
      </c>
      <c r="T464" s="2">
        <v>1330</v>
      </c>
      <c r="U464" s="2">
        <v>0</v>
      </c>
      <c r="V464" s="2"/>
      <c r="W464" s="2">
        <v>9496</v>
      </c>
      <c r="X464" s="2">
        <v>7779</v>
      </c>
      <c r="Y464" s="2">
        <v>6315</v>
      </c>
      <c r="Z464" s="2">
        <v>0</v>
      </c>
      <c r="AA464" s="2">
        <v>0</v>
      </c>
      <c r="AB464" s="2"/>
      <c r="AC464" s="2">
        <v>5318</v>
      </c>
      <c r="AD464" s="2">
        <v>2901</v>
      </c>
      <c r="AE464" s="2">
        <v>2433</v>
      </c>
      <c r="AF464" s="2">
        <v>797</v>
      </c>
      <c r="AG464" s="2">
        <v>0</v>
      </c>
      <c r="AH464" s="2"/>
      <c r="AI464" s="2">
        <v>0</v>
      </c>
      <c r="AJ464" s="2">
        <v>0</v>
      </c>
      <c r="AK464" s="2">
        <v>0</v>
      </c>
      <c r="AL464" s="2">
        <v>0</v>
      </c>
      <c r="AM464" s="2">
        <v>0</v>
      </c>
    </row>
    <row r="465" spans="1:39">
      <c r="A465" s="349">
        <v>94601</v>
      </c>
      <c r="B465" s="342" t="s">
        <v>1156</v>
      </c>
      <c r="C465" s="234" t="e">
        <f>VLOOKUP(A465,#REF!,10,FALSE)</f>
        <v>#REF!</v>
      </c>
      <c r="E465" s="2">
        <v>447091</v>
      </c>
      <c r="F465" s="2">
        <v>129974</v>
      </c>
      <c r="G465" s="2">
        <v>221707</v>
      </c>
      <c r="H465" s="2">
        <v>43514</v>
      </c>
      <c r="I465" s="2">
        <v>0</v>
      </c>
      <c r="J465" s="2"/>
      <c r="K465" s="2">
        <v>137613</v>
      </c>
      <c r="L465" s="2">
        <v>129449</v>
      </c>
      <c r="M465" s="2">
        <v>116024</v>
      </c>
      <c r="N465" s="2">
        <v>46455</v>
      </c>
      <c r="O465" s="2">
        <v>0</v>
      </c>
      <c r="P465" s="2"/>
      <c r="Q465" s="2">
        <v>146095</v>
      </c>
      <c r="R465" s="2">
        <v>-125669</v>
      </c>
      <c r="S465" s="2">
        <v>17712</v>
      </c>
      <c r="T465" s="2">
        <v>23051</v>
      </c>
      <c r="U465" s="2">
        <v>0</v>
      </c>
      <c r="V465" s="2"/>
      <c r="W465" s="2">
        <v>164578</v>
      </c>
      <c r="X465" s="2">
        <v>134828</v>
      </c>
      <c r="Y465" s="2">
        <v>109458</v>
      </c>
      <c r="Z465" s="2">
        <v>0</v>
      </c>
      <c r="AA465" s="2">
        <v>0</v>
      </c>
      <c r="AB465" s="2"/>
      <c r="AC465" s="2">
        <v>24799</v>
      </c>
      <c r="AD465" s="2">
        <v>17360</v>
      </c>
      <c r="AE465" s="2">
        <v>4507</v>
      </c>
      <c r="AF465" s="2">
        <v>0</v>
      </c>
      <c r="AG465" s="2">
        <v>0</v>
      </c>
      <c r="AH465" s="2"/>
      <c r="AI465" s="2">
        <v>-25994</v>
      </c>
      <c r="AJ465" s="2">
        <v>-25994</v>
      </c>
      <c r="AK465" s="2">
        <v>-25994</v>
      </c>
      <c r="AL465" s="2">
        <v>-25992</v>
      </c>
      <c r="AM465" s="2">
        <v>-25994</v>
      </c>
    </row>
    <row r="466" spans="1:39">
      <c r="A466" s="349">
        <v>94604</v>
      </c>
      <c r="B466" s="342" t="s">
        <v>1157</v>
      </c>
      <c r="C466" s="234" t="e">
        <f>VLOOKUP(A466,#REF!,10,FALSE)</f>
        <v>#REF!</v>
      </c>
      <c r="E466" s="2">
        <v>13811</v>
      </c>
      <c r="F466" s="2">
        <v>4823</v>
      </c>
      <c r="G466" s="2">
        <v>7372</v>
      </c>
      <c r="H466" s="2">
        <v>1979</v>
      </c>
      <c r="I466" s="2">
        <v>0</v>
      </c>
      <c r="J466" s="2"/>
      <c r="K466" s="2">
        <v>3910</v>
      </c>
      <c r="L466" s="2">
        <v>3678</v>
      </c>
      <c r="M466" s="2">
        <v>3297</v>
      </c>
      <c r="N466" s="2">
        <v>1320</v>
      </c>
      <c r="O466" s="2">
        <v>0</v>
      </c>
      <c r="P466" s="2"/>
      <c r="Q466" s="2">
        <v>4151</v>
      </c>
      <c r="R466" s="2">
        <v>-3571</v>
      </c>
      <c r="S466" s="2">
        <v>503</v>
      </c>
      <c r="T466" s="2">
        <v>655</v>
      </c>
      <c r="U466" s="2">
        <v>0</v>
      </c>
      <c r="V466" s="2"/>
      <c r="W466" s="2">
        <v>4676</v>
      </c>
      <c r="X466" s="2">
        <v>3831</v>
      </c>
      <c r="Y466" s="2">
        <v>3110</v>
      </c>
      <c r="Z466" s="2">
        <v>0</v>
      </c>
      <c r="AA466" s="2">
        <v>0</v>
      </c>
      <c r="AB466" s="2"/>
      <c r="AC466" s="2">
        <v>1074</v>
      </c>
      <c r="AD466" s="2">
        <v>885</v>
      </c>
      <c r="AE466" s="2">
        <v>462</v>
      </c>
      <c r="AF466" s="2">
        <v>4</v>
      </c>
      <c r="AG466" s="2">
        <v>0</v>
      </c>
      <c r="AH466" s="2"/>
      <c r="AI466" s="2">
        <v>0</v>
      </c>
      <c r="AJ466" s="2">
        <v>0</v>
      </c>
      <c r="AK466" s="2">
        <v>0</v>
      </c>
      <c r="AL466" s="2">
        <v>0</v>
      </c>
      <c r="AM466" s="2">
        <v>0</v>
      </c>
    </row>
    <row r="467" spans="1:39">
      <c r="A467" s="349">
        <v>94611</v>
      </c>
      <c r="B467" s="342" t="s">
        <v>1159</v>
      </c>
      <c r="C467" s="234" t="e">
        <f>VLOOKUP(A467,#REF!,10,FALSE)</f>
        <v>#REF!</v>
      </c>
      <c r="E467" s="2">
        <v>158455</v>
      </c>
      <c r="F467" s="2">
        <v>42258</v>
      </c>
      <c r="G467" s="2">
        <v>89739</v>
      </c>
      <c r="H467" s="2">
        <v>24593</v>
      </c>
      <c r="I467" s="2">
        <v>0</v>
      </c>
      <c r="J467" s="2"/>
      <c r="K467" s="2">
        <v>51623</v>
      </c>
      <c r="L467" s="2">
        <v>48561</v>
      </c>
      <c r="M467" s="2">
        <v>43525</v>
      </c>
      <c r="N467" s="2">
        <v>17427</v>
      </c>
      <c r="O467" s="2">
        <v>0</v>
      </c>
      <c r="P467" s="2"/>
      <c r="Q467" s="2">
        <v>54806</v>
      </c>
      <c r="R467" s="2">
        <v>-47143</v>
      </c>
      <c r="S467" s="2">
        <v>6644</v>
      </c>
      <c r="T467" s="2">
        <v>8647</v>
      </c>
      <c r="U467" s="2">
        <v>0</v>
      </c>
      <c r="V467" s="2"/>
      <c r="W467" s="2">
        <v>61739</v>
      </c>
      <c r="X467" s="2">
        <v>50579</v>
      </c>
      <c r="Y467" s="2">
        <v>41062</v>
      </c>
      <c r="Z467" s="2">
        <v>0</v>
      </c>
      <c r="AA467" s="2">
        <v>0</v>
      </c>
      <c r="AB467" s="2"/>
      <c r="AC467" s="2">
        <v>26</v>
      </c>
      <c r="AD467" s="2">
        <v>0</v>
      </c>
      <c r="AE467" s="2">
        <v>0</v>
      </c>
      <c r="AF467" s="2">
        <v>0</v>
      </c>
      <c r="AG467" s="2">
        <v>0</v>
      </c>
      <c r="AH467" s="2"/>
      <c r="AI467" s="2">
        <v>-9739</v>
      </c>
      <c r="AJ467" s="2">
        <v>-9739</v>
      </c>
      <c r="AK467" s="2">
        <v>-1492</v>
      </c>
      <c r="AL467" s="2">
        <v>-1481</v>
      </c>
      <c r="AM467" s="2">
        <v>-9739</v>
      </c>
    </row>
    <row r="468" spans="1:39">
      <c r="A468" s="349">
        <v>94621</v>
      </c>
      <c r="B468" s="342" t="s">
        <v>1160</v>
      </c>
      <c r="C468" s="234" t="e">
        <f>VLOOKUP(A468,#REF!,10,FALSE)</f>
        <v>#REF!</v>
      </c>
      <c r="E468" s="2">
        <v>74506</v>
      </c>
      <c r="F468" s="2">
        <v>30265</v>
      </c>
      <c r="G468" s="2">
        <v>46715</v>
      </c>
      <c r="H468" s="2">
        <v>16600</v>
      </c>
      <c r="I468" s="2">
        <v>0</v>
      </c>
      <c r="J468" s="2"/>
      <c r="K468" s="2">
        <v>19954</v>
      </c>
      <c r="L468" s="2">
        <v>18771</v>
      </c>
      <c r="M468" s="2">
        <v>16824</v>
      </c>
      <c r="N468" s="2">
        <v>6736</v>
      </c>
      <c r="O468" s="2">
        <v>0</v>
      </c>
      <c r="P468" s="2"/>
      <c r="Q468" s="2">
        <v>21184</v>
      </c>
      <c r="R468" s="2">
        <v>-18222</v>
      </c>
      <c r="S468" s="2">
        <v>2568</v>
      </c>
      <c r="T468" s="2">
        <v>3343</v>
      </c>
      <c r="U468" s="2">
        <v>0</v>
      </c>
      <c r="V468" s="2"/>
      <c r="W468" s="2">
        <v>23864</v>
      </c>
      <c r="X468" s="2">
        <v>19551</v>
      </c>
      <c r="Y468" s="2">
        <v>15872</v>
      </c>
      <c r="Z468" s="2">
        <v>0</v>
      </c>
      <c r="AA468" s="2">
        <v>0</v>
      </c>
      <c r="AB468" s="2"/>
      <c r="AC468" s="2">
        <v>11451</v>
      </c>
      <c r="AD468" s="2">
        <v>11451</v>
      </c>
      <c r="AE468" s="2">
        <v>11451</v>
      </c>
      <c r="AF468" s="2">
        <v>6521</v>
      </c>
      <c r="AG468" s="2">
        <v>0</v>
      </c>
      <c r="AH468" s="2"/>
      <c r="AI468" s="2">
        <v>-1947</v>
      </c>
      <c r="AJ468" s="2">
        <v>-1286</v>
      </c>
      <c r="AK468" s="2">
        <v>0</v>
      </c>
      <c r="AL468" s="2">
        <v>0</v>
      </c>
      <c r="AM468" s="2">
        <v>-1286</v>
      </c>
    </row>
    <row r="469" spans="1:39">
      <c r="A469" s="349">
        <v>94631</v>
      </c>
      <c r="B469" s="342" t="s">
        <v>1161</v>
      </c>
      <c r="C469" s="234" t="e">
        <f>VLOOKUP(A469,#REF!,10,FALSE)</f>
        <v>#REF!</v>
      </c>
      <c r="E469" s="2">
        <v>22359</v>
      </c>
      <c r="F469" s="2">
        <v>7437</v>
      </c>
      <c r="G469" s="2">
        <v>11504</v>
      </c>
      <c r="H469" s="2">
        <v>2705</v>
      </c>
      <c r="I469" s="2">
        <v>0</v>
      </c>
      <c r="J469" s="2"/>
      <c r="K469" s="2">
        <v>6382</v>
      </c>
      <c r="L469" s="2">
        <v>6003</v>
      </c>
      <c r="M469" s="2">
        <v>5381</v>
      </c>
      <c r="N469" s="2">
        <v>2154</v>
      </c>
      <c r="O469" s="2">
        <v>0</v>
      </c>
      <c r="P469" s="2"/>
      <c r="Q469" s="2">
        <v>6775</v>
      </c>
      <c r="R469" s="2">
        <v>-5828</v>
      </c>
      <c r="S469" s="2">
        <v>821</v>
      </c>
      <c r="T469" s="2">
        <v>1069</v>
      </c>
      <c r="U469" s="2">
        <v>0</v>
      </c>
      <c r="V469" s="2"/>
      <c r="W469" s="2">
        <v>7632</v>
      </c>
      <c r="X469" s="2">
        <v>6253</v>
      </c>
      <c r="Y469" s="2">
        <v>5076</v>
      </c>
      <c r="Z469" s="2">
        <v>0</v>
      </c>
      <c r="AA469" s="2">
        <v>0</v>
      </c>
      <c r="AB469" s="2"/>
      <c r="AC469" s="2">
        <v>2089</v>
      </c>
      <c r="AD469" s="2">
        <v>1528</v>
      </c>
      <c r="AE469" s="2">
        <v>745</v>
      </c>
      <c r="AF469" s="2">
        <v>0</v>
      </c>
      <c r="AG469" s="2">
        <v>0</v>
      </c>
      <c r="AH469" s="2"/>
      <c r="AI469" s="2">
        <v>-519</v>
      </c>
      <c r="AJ469" s="2">
        <v>-519</v>
      </c>
      <c r="AK469" s="2">
        <v>-519</v>
      </c>
      <c r="AL469" s="2">
        <v>-518</v>
      </c>
      <c r="AM469" s="2">
        <v>-519</v>
      </c>
    </row>
    <row r="470" spans="1:39">
      <c r="A470" s="349">
        <v>94641</v>
      </c>
      <c r="B470" s="342" t="s">
        <v>1162</v>
      </c>
      <c r="C470" s="234" t="e">
        <f>VLOOKUP(A470,#REF!,10,FALSE)</f>
        <v>#REF!</v>
      </c>
      <c r="E470" s="2">
        <v>8541</v>
      </c>
      <c r="F470" s="2">
        <v>4575</v>
      </c>
      <c r="G470" s="2">
        <v>5250</v>
      </c>
      <c r="H470" s="2">
        <v>2740</v>
      </c>
      <c r="I470" s="2">
        <v>0</v>
      </c>
      <c r="J470" s="2"/>
      <c r="K470" s="2">
        <v>1558</v>
      </c>
      <c r="L470" s="2">
        <v>1466</v>
      </c>
      <c r="M470" s="2">
        <v>1314</v>
      </c>
      <c r="N470" s="2">
        <v>526</v>
      </c>
      <c r="O470" s="2">
        <v>0</v>
      </c>
      <c r="P470" s="2"/>
      <c r="Q470" s="2">
        <v>1654</v>
      </c>
      <c r="R470" s="2">
        <v>-1423</v>
      </c>
      <c r="S470" s="2">
        <v>201</v>
      </c>
      <c r="T470" s="2">
        <v>261</v>
      </c>
      <c r="U470" s="2">
        <v>0</v>
      </c>
      <c r="V470" s="2"/>
      <c r="W470" s="2">
        <v>1863</v>
      </c>
      <c r="X470" s="2">
        <v>1526</v>
      </c>
      <c r="Y470" s="2">
        <v>1239</v>
      </c>
      <c r="Z470" s="2">
        <v>0</v>
      </c>
      <c r="AA470" s="2">
        <v>0</v>
      </c>
      <c r="AB470" s="2"/>
      <c r="AC470" s="2">
        <v>3466</v>
      </c>
      <c r="AD470" s="2">
        <v>3006</v>
      </c>
      <c r="AE470" s="2">
        <v>2496</v>
      </c>
      <c r="AF470" s="2">
        <v>1953</v>
      </c>
      <c r="AG470" s="2">
        <v>0</v>
      </c>
      <c r="AH470" s="2"/>
      <c r="AI470" s="2">
        <v>0</v>
      </c>
      <c r="AJ470" s="2">
        <v>0</v>
      </c>
      <c r="AK470" s="2">
        <v>0</v>
      </c>
      <c r="AL470" s="2">
        <v>0</v>
      </c>
      <c r="AM470" s="2">
        <v>0</v>
      </c>
    </row>
    <row r="471" spans="1:39">
      <c r="A471" s="349">
        <v>94701</v>
      </c>
      <c r="B471" s="342" t="s">
        <v>1163</v>
      </c>
      <c r="C471" s="234" t="e">
        <f>VLOOKUP(A471,#REF!,10,FALSE)</f>
        <v>#REF!</v>
      </c>
      <c r="E471" s="2">
        <v>1132383</v>
      </c>
      <c r="F471" s="2">
        <v>338941</v>
      </c>
      <c r="G471" s="2">
        <v>621599</v>
      </c>
      <c r="H471" s="2">
        <v>193588</v>
      </c>
      <c r="I471" s="2">
        <v>0</v>
      </c>
      <c r="J471" s="2"/>
      <c r="K471" s="2">
        <v>362578</v>
      </c>
      <c r="L471" s="2">
        <v>341069</v>
      </c>
      <c r="M471" s="2">
        <v>305696</v>
      </c>
      <c r="N471" s="2">
        <v>122397</v>
      </c>
      <c r="O471" s="2">
        <v>0</v>
      </c>
      <c r="P471" s="2"/>
      <c r="Q471" s="2">
        <v>384927</v>
      </c>
      <c r="R471" s="2">
        <v>-331109</v>
      </c>
      <c r="S471" s="2">
        <v>46666</v>
      </c>
      <c r="T471" s="2">
        <v>60735</v>
      </c>
      <c r="U471" s="2">
        <v>0</v>
      </c>
      <c r="V471" s="2"/>
      <c r="W471" s="2">
        <v>433626</v>
      </c>
      <c r="X471" s="2">
        <v>355242</v>
      </c>
      <c r="Y471" s="2">
        <v>288396</v>
      </c>
      <c r="Z471" s="2">
        <v>0</v>
      </c>
      <c r="AA471" s="2">
        <v>0</v>
      </c>
      <c r="AB471" s="2"/>
      <c r="AC471" s="2">
        <v>10457</v>
      </c>
      <c r="AD471" s="2">
        <v>10457</v>
      </c>
      <c r="AE471" s="2">
        <v>10457</v>
      </c>
      <c r="AF471" s="2">
        <v>10456</v>
      </c>
      <c r="AG471" s="2">
        <v>0</v>
      </c>
      <c r="AH471" s="2"/>
      <c r="AI471" s="2">
        <v>-59205</v>
      </c>
      <c r="AJ471" s="2">
        <v>-36718</v>
      </c>
      <c r="AK471" s="2">
        <v>-29616</v>
      </c>
      <c r="AL471" s="2">
        <v>0</v>
      </c>
      <c r="AM471" s="2">
        <v>-36718</v>
      </c>
    </row>
    <row r="472" spans="1:39">
      <c r="A472" s="349">
        <v>94704</v>
      </c>
      <c r="B472" s="342" t="s">
        <v>1164</v>
      </c>
      <c r="C472" s="234" t="e">
        <f>VLOOKUP(A472,#REF!,10,FALSE)</f>
        <v>#REF!</v>
      </c>
      <c r="E472" s="2">
        <v>8659</v>
      </c>
      <c r="F472" s="2">
        <v>3522</v>
      </c>
      <c r="G472" s="2">
        <v>5271</v>
      </c>
      <c r="H472" s="2">
        <v>1147</v>
      </c>
      <c r="I472" s="2">
        <v>0</v>
      </c>
      <c r="J472" s="2"/>
      <c r="K472" s="2">
        <v>2292</v>
      </c>
      <c r="L472" s="2">
        <v>2156</v>
      </c>
      <c r="M472" s="2">
        <v>1932</v>
      </c>
      <c r="N472" s="2">
        <v>774</v>
      </c>
      <c r="O472" s="2">
        <v>0</v>
      </c>
      <c r="P472" s="2"/>
      <c r="Q472" s="2">
        <v>2433</v>
      </c>
      <c r="R472" s="2">
        <v>-2093</v>
      </c>
      <c r="S472" s="2">
        <v>295</v>
      </c>
      <c r="T472" s="2">
        <v>384</v>
      </c>
      <c r="U472" s="2">
        <v>0</v>
      </c>
      <c r="V472" s="2"/>
      <c r="W472" s="2">
        <v>2741</v>
      </c>
      <c r="X472" s="2">
        <v>2246</v>
      </c>
      <c r="Y472" s="2">
        <v>1823</v>
      </c>
      <c r="Z472" s="2">
        <v>0</v>
      </c>
      <c r="AA472" s="2">
        <v>0</v>
      </c>
      <c r="AB472" s="2"/>
      <c r="AC472" s="2">
        <v>1232</v>
      </c>
      <c r="AD472" s="2">
        <v>1232</v>
      </c>
      <c r="AE472" s="2">
        <v>1231</v>
      </c>
      <c r="AF472" s="2">
        <v>0</v>
      </c>
      <c r="AG472" s="2">
        <v>0</v>
      </c>
      <c r="AH472" s="2"/>
      <c r="AI472" s="2">
        <v>-39</v>
      </c>
      <c r="AJ472" s="2">
        <v>-19</v>
      </c>
      <c r="AK472" s="2">
        <v>-10</v>
      </c>
      <c r="AL472" s="2">
        <v>-11</v>
      </c>
      <c r="AM472" s="2">
        <v>-19</v>
      </c>
    </row>
    <row r="473" spans="1:39">
      <c r="A473" s="349">
        <v>94711</v>
      </c>
      <c r="B473" s="342" t="s">
        <v>1165</v>
      </c>
      <c r="C473" s="234" t="e">
        <f>VLOOKUP(A473,#REF!,10,FALSE)</f>
        <v>#REF!</v>
      </c>
      <c r="E473" s="2">
        <v>166758</v>
      </c>
      <c r="F473" s="2">
        <v>53636</v>
      </c>
      <c r="G473" s="2">
        <v>92458</v>
      </c>
      <c r="H473" s="2">
        <v>27792</v>
      </c>
      <c r="I473" s="2">
        <v>0</v>
      </c>
      <c r="J473" s="2"/>
      <c r="K473" s="2">
        <v>50665</v>
      </c>
      <c r="L473" s="2">
        <v>47659</v>
      </c>
      <c r="M473" s="2">
        <v>42716</v>
      </c>
      <c r="N473" s="2">
        <v>17103</v>
      </c>
      <c r="O473" s="2">
        <v>0</v>
      </c>
      <c r="P473" s="2"/>
      <c r="Q473" s="2">
        <v>53788</v>
      </c>
      <c r="R473" s="2">
        <v>-46267</v>
      </c>
      <c r="S473" s="2">
        <v>6521</v>
      </c>
      <c r="T473" s="2">
        <v>8487</v>
      </c>
      <c r="U473" s="2">
        <v>0</v>
      </c>
      <c r="V473" s="2"/>
      <c r="W473" s="2">
        <v>60593</v>
      </c>
      <c r="X473" s="2">
        <v>49640</v>
      </c>
      <c r="Y473" s="2">
        <v>40299</v>
      </c>
      <c r="Z473" s="2">
        <v>0</v>
      </c>
      <c r="AA473" s="2">
        <v>0</v>
      </c>
      <c r="AB473" s="2"/>
      <c r="AC473" s="2">
        <v>2920</v>
      </c>
      <c r="AD473" s="2">
        <v>2920</v>
      </c>
      <c r="AE473" s="2">
        <v>2922</v>
      </c>
      <c r="AF473" s="2">
        <v>2202</v>
      </c>
      <c r="AG473" s="2">
        <v>0</v>
      </c>
      <c r="AH473" s="2"/>
      <c r="AI473" s="2">
        <v>-1208</v>
      </c>
      <c r="AJ473" s="2">
        <v>-316</v>
      </c>
      <c r="AK473" s="2">
        <v>0</v>
      </c>
      <c r="AL473" s="2">
        <v>0</v>
      </c>
      <c r="AM473" s="2">
        <v>-316</v>
      </c>
    </row>
    <row r="474" spans="1:39">
      <c r="A474" s="349">
        <v>94801</v>
      </c>
      <c r="B474" s="342" t="s">
        <v>1166</v>
      </c>
      <c r="C474" s="234" t="e">
        <f>VLOOKUP(A474,#REF!,10,FALSE)</f>
        <v>#REF!</v>
      </c>
      <c r="E474" s="2">
        <v>328930</v>
      </c>
      <c r="F474" s="2">
        <v>95298</v>
      </c>
      <c r="G474" s="2">
        <v>178109</v>
      </c>
      <c r="H474" s="2">
        <v>54289</v>
      </c>
      <c r="I474" s="2">
        <v>0</v>
      </c>
      <c r="J474" s="2"/>
      <c r="K474" s="2">
        <v>102513</v>
      </c>
      <c r="L474" s="2">
        <v>96432</v>
      </c>
      <c r="M474" s="2">
        <v>86431</v>
      </c>
      <c r="N474" s="2">
        <v>34606</v>
      </c>
      <c r="O474" s="2">
        <v>0</v>
      </c>
      <c r="P474" s="2"/>
      <c r="Q474" s="2">
        <v>108832</v>
      </c>
      <c r="R474" s="2">
        <v>-93616</v>
      </c>
      <c r="S474" s="2">
        <v>13194</v>
      </c>
      <c r="T474" s="2">
        <v>17172</v>
      </c>
      <c r="U474" s="2">
        <v>0</v>
      </c>
      <c r="V474" s="2"/>
      <c r="W474" s="2">
        <v>122601</v>
      </c>
      <c r="X474" s="2">
        <v>100439</v>
      </c>
      <c r="Y474" s="2">
        <v>81539</v>
      </c>
      <c r="Z474" s="2">
        <v>0</v>
      </c>
      <c r="AA474" s="2">
        <v>0</v>
      </c>
      <c r="AB474" s="2"/>
      <c r="AC474" s="2">
        <v>5451</v>
      </c>
      <c r="AD474" s="2">
        <v>2510</v>
      </c>
      <c r="AE474" s="2">
        <v>2510</v>
      </c>
      <c r="AF474" s="2">
        <v>2511</v>
      </c>
      <c r="AG474" s="2">
        <v>0</v>
      </c>
      <c r="AH474" s="2"/>
      <c r="AI474" s="2">
        <v>-10467</v>
      </c>
      <c r="AJ474" s="2">
        <v>-10467</v>
      </c>
      <c r="AK474" s="2">
        <v>-5565</v>
      </c>
      <c r="AL474" s="2">
        <v>0</v>
      </c>
      <c r="AM474" s="2">
        <v>-10467</v>
      </c>
    </row>
    <row r="475" spans="1:39">
      <c r="A475" s="349">
        <v>94804</v>
      </c>
      <c r="B475" s="342" t="s">
        <v>1167</v>
      </c>
      <c r="C475" s="234" t="e">
        <f>VLOOKUP(A475,#REF!,10,FALSE)</f>
        <v>#REF!</v>
      </c>
      <c r="E475" s="2">
        <v>1867</v>
      </c>
      <c r="F475" s="2">
        <v>990</v>
      </c>
      <c r="G475" s="2">
        <v>1112</v>
      </c>
      <c r="H475" s="2">
        <v>444</v>
      </c>
      <c r="I475" s="2">
        <v>0</v>
      </c>
      <c r="J475" s="2"/>
      <c r="K475" s="2">
        <v>419</v>
      </c>
      <c r="L475" s="2">
        <v>395</v>
      </c>
      <c r="M475" s="2">
        <v>354</v>
      </c>
      <c r="N475" s="2">
        <v>142</v>
      </c>
      <c r="O475" s="2">
        <v>0</v>
      </c>
      <c r="P475" s="2"/>
      <c r="Q475" s="2">
        <v>445</v>
      </c>
      <c r="R475" s="2">
        <v>-383</v>
      </c>
      <c r="S475" s="2">
        <v>54</v>
      </c>
      <c r="T475" s="2">
        <v>70</v>
      </c>
      <c r="U475" s="2">
        <v>0</v>
      </c>
      <c r="V475" s="2"/>
      <c r="W475" s="2">
        <v>502</v>
      </c>
      <c r="X475" s="2">
        <v>411</v>
      </c>
      <c r="Y475" s="2">
        <v>334</v>
      </c>
      <c r="Z475" s="2">
        <v>0</v>
      </c>
      <c r="AA475" s="2">
        <v>0</v>
      </c>
      <c r="AB475" s="2"/>
      <c r="AC475" s="2">
        <v>567</v>
      </c>
      <c r="AD475" s="2">
        <v>567</v>
      </c>
      <c r="AE475" s="2">
        <v>370</v>
      </c>
      <c r="AF475" s="2">
        <v>232</v>
      </c>
      <c r="AG475" s="2">
        <v>0</v>
      </c>
      <c r="AH475" s="2"/>
      <c r="AI475" s="2">
        <v>-66</v>
      </c>
      <c r="AJ475" s="2">
        <v>0</v>
      </c>
      <c r="AK475" s="2">
        <v>0</v>
      </c>
      <c r="AL475" s="2">
        <v>0</v>
      </c>
      <c r="AM475" s="2">
        <v>0</v>
      </c>
    </row>
    <row r="476" spans="1:39">
      <c r="A476" s="349">
        <v>94812</v>
      </c>
      <c r="B476" s="342" t="s">
        <v>2791</v>
      </c>
      <c r="C476" s="234" t="e">
        <f>VLOOKUP(A476,#REF!,10,FALSE)</f>
        <v>#REF!</v>
      </c>
      <c r="E476" s="2">
        <v>18391</v>
      </c>
      <c r="F476" s="2">
        <v>6954</v>
      </c>
      <c r="G476" s="2">
        <v>9550</v>
      </c>
      <c r="H476" s="2">
        <v>3031</v>
      </c>
      <c r="I476" s="2">
        <v>0</v>
      </c>
      <c r="J476" s="2"/>
      <c r="K476" s="2">
        <v>4494</v>
      </c>
      <c r="L476" s="2">
        <v>4228</v>
      </c>
      <c r="M476" s="2">
        <v>3789</v>
      </c>
      <c r="N476" s="2">
        <v>1517</v>
      </c>
      <c r="O476" s="2">
        <v>0</v>
      </c>
      <c r="P476" s="2"/>
      <c r="Q476" s="2">
        <v>4771</v>
      </c>
      <c r="R476" s="2">
        <v>-4104</v>
      </c>
      <c r="S476" s="2">
        <v>578</v>
      </c>
      <c r="T476" s="2">
        <v>753</v>
      </c>
      <c r="U476" s="2">
        <v>0</v>
      </c>
      <c r="V476" s="2"/>
      <c r="W476" s="2">
        <v>5375</v>
      </c>
      <c r="X476" s="2">
        <v>4403</v>
      </c>
      <c r="Y476" s="2">
        <v>3575</v>
      </c>
      <c r="Z476" s="2">
        <v>0</v>
      </c>
      <c r="AA476" s="2">
        <v>0</v>
      </c>
      <c r="AB476" s="2"/>
      <c r="AC476" s="2">
        <v>3751</v>
      </c>
      <c r="AD476" s="2">
        <v>2427</v>
      </c>
      <c r="AE476" s="2">
        <v>1608</v>
      </c>
      <c r="AF476" s="2">
        <v>761</v>
      </c>
      <c r="AG476" s="2">
        <v>0</v>
      </c>
      <c r="AH476" s="2"/>
      <c r="AI476" s="2">
        <v>0</v>
      </c>
      <c r="AJ476" s="2">
        <v>0</v>
      </c>
      <c r="AK476" s="2">
        <v>0</v>
      </c>
      <c r="AL476" s="2">
        <v>0</v>
      </c>
      <c r="AM476" s="2">
        <v>0</v>
      </c>
    </row>
    <row r="477" spans="1:39">
      <c r="A477" s="349">
        <v>94901</v>
      </c>
      <c r="B477" s="342" t="s">
        <v>1169</v>
      </c>
      <c r="C477" s="234" t="e">
        <f>VLOOKUP(A477,#REF!,10,FALSE)</f>
        <v>#REF!</v>
      </c>
      <c r="E477" s="2">
        <v>3585298</v>
      </c>
      <c r="F477" s="2">
        <v>1143226</v>
      </c>
      <c r="G477" s="2">
        <v>1986300</v>
      </c>
      <c r="H477" s="2">
        <v>562852</v>
      </c>
      <c r="I477" s="2">
        <v>0</v>
      </c>
      <c r="J477" s="2"/>
      <c r="K477" s="2">
        <v>1084183</v>
      </c>
      <c r="L477" s="2">
        <v>1019866</v>
      </c>
      <c r="M477" s="2">
        <v>914095</v>
      </c>
      <c r="N477" s="2">
        <v>365992</v>
      </c>
      <c r="O477" s="2">
        <v>0</v>
      </c>
      <c r="P477" s="2"/>
      <c r="Q477" s="2">
        <v>1151012</v>
      </c>
      <c r="R477" s="2">
        <v>-990085</v>
      </c>
      <c r="S477" s="2">
        <v>139540</v>
      </c>
      <c r="T477" s="2">
        <v>181610</v>
      </c>
      <c r="U477" s="2">
        <v>0</v>
      </c>
      <c r="V477" s="2"/>
      <c r="W477" s="2">
        <v>1296631</v>
      </c>
      <c r="X477" s="2">
        <v>1062247</v>
      </c>
      <c r="Y477" s="2">
        <v>862363</v>
      </c>
      <c r="Z477" s="2">
        <v>0</v>
      </c>
      <c r="AA477" s="2">
        <v>0</v>
      </c>
      <c r="AB477" s="2"/>
      <c r="AC477" s="2">
        <v>72580</v>
      </c>
      <c r="AD477" s="2">
        <v>70304</v>
      </c>
      <c r="AE477" s="2">
        <v>70302</v>
      </c>
      <c r="AF477" s="2">
        <v>15250</v>
      </c>
      <c r="AG477" s="2">
        <v>0</v>
      </c>
      <c r="AH477" s="2"/>
      <c r="AI477" s="2">
        <v>-19108</v>
      </c>
      <c r="AJ477" s="2">
        <v>-19106</v>
      </c>
      <c r="AK477" s="2">
        <v>0</v>
      </c>
      <c r="AL477" s="2">
        <v>0</v>
      </c>
      <c r="AM477" s="2">
        <v>-19106</v>
      </c>
    </row>
    <row r="478" spans="1:39">
      <c r="A478" s="349">
        <v>94908</v>
      </c>
      <c r="B478" s="342" t="s">
        <v>3675</v>
      </c>
      <c r="C478" s="234" t="e">
        <f>VLOOKUP(A478,#REF!,10,FALSE)</f>
        <v>#REF!</v>
      </c>
      <c r="E478" s="2">
        <v>316</v>
      </c>
      <c r="F478" s="2">
        <v>-1312</v>
      </c>
      <c r="G478" s="2">
        <v>3875</v>
      </c>
      <c r="H478" s="2">
        <v>2858</v>
      </c>
      <c r="I478" s="2">
        <v>0</v>
      </c>
      <c r="J478" s="2"/>
      <c r="K478" s="2">
        <v>884</v>
      </c>
      <c r="L478" s="2">
        <v>831</v>
      </c>
      <c r="M478" s="2">
        <v>745</v>
      </c>
      <c r="N478" s="2">
        <v>298</v>
      </c>
      <c r="O478" s="2">
        <v>0</v>
      </c>
      <c r="P478" s="2"/>
      <c r="Q478" s="2">
        <v>938</v>
      </c>
      <c r="R478" s="2">
        <v>-807</v>
      </c>
      <c r="S478" s="2">
        <v>114</v>
      </c>
      <c r="T478" s="2">
        <v>148</v>
      </c>
      <c r="U478" s="2">
        <v>0</v>
      </c>
      <c r="V478" s="2"/>
      <c r="W478" s="2">
        <v>1057</v>
      </c>
      <c r="X478" s="2">
        <v>866</v>
      </c>
      <c r="Y478" s="2">
        <v>703</v>
      </c>
      <c r="Z478" s="2">
        <v>0</v>
      </c>
      <c r="AA478" s="2">
        <v>0</v>
      </c>
      <c r="AB478" s="2"/>
      <c r="AC478" s="2">
        <v>2414</v>
      </c>
      <c r="AD478" s="2">
        <v>2414</v>
      </c>
      <c r="AE478" s="2">
        <v>2414</v>
      </c>
      <c r="AF478" s="2">
        <v>2412</v>
      </c>
      <c r="AG478" s="2">
        <v>0</v>
      </c>
      <c r="AH478" s="2"/>
      <c r="AI478" s="2">
        <v>-4977</v>
      </c>
      <c r="AJ478" s="2">
        <v>-4616</v>
      </c>
      <c r="AK478" s="2">
        <v>-101</v>
      </c>
      <c r="AL478" s="2">
        <v>0</v>
      </c>
      <c r="AM478" s="2">
        <v>-4616</v>
      </c>
    </row>
    <row r="479" spans="1:39">
      <c r="A479" s="349">
        <v>94911</v>
      </c>
      <c r="B479" s="342" t="s">
        <v>1171</v>
      </c>
      <c r="C479" s="234" t="e">
        <f>VLOOKUP(A479,#REF!,10,FALSE)</f>
        <v>#REF!</v>
      </c>
      <c r="E479" s="2">
        <v>1404620</v>
      </c>
      <c r="F479" s="2">
        <v>444205</v>
      </c>
      <c r="G479" s="2">
        <v>763168</v>
      </c>
      <c r="H479" s="2">
        <v>196181</v>
      </c>
      <c r="I479" s="2">
        <v>0</v>
      </c>
      <c r="J479" s="2"/>
      <c r="K479" s="2">
        <v>431175</v>
      </c>
      <c r="L479" s="2">
        <v>405596</v>
      </c>
      <c r="M479" s="2">
        <v>363531</v>
      </c>
      <c r="N479" s="2">
        <v>145553</v>
      </c>
      <c r="O479" s="2">
        <v>0</v>
      </c>
      <c r="P479" s="2"/>
      <c r="Q479" s="2">
        <v>457752</v>
      </c>
      <c r="R479" s="2">
        <v>-393752</v>
      </c>
      <c r="S479" s="2">
        <v>55495</v>
      </c>
      <c r="T479" s="2">
        <v>72226</v>
      </c>
      <c r="U479" s="2">
        <v>0</v>
      </c>
      <c r="V479" s="2"/>
      <c r="W479" s="2">
        <v>515664</v>
      </c>
      <c r="X479" s="2">
        <v>422451</v>
      </c>
      <c r="Y479" s="2">
        <v>342958</v>
      </c>
      <c r="Z479" s="2">
        <v>0</v>
      </c>
      <c r="AA479" s="2">
        <v>0</v>
      </c>
      <c r="AB479" s="2"/>
      <c r="AC479" s="2">
        <v>31512</v>
      </c>
      <c r="AD479" s="2">
        <v>31510</v>
      </c>
      <c r="AE479" s="2">
        <v>22784</v>
      </c>
      <c r="AF479" s="2">
        <v>0</v>
      </c>
      <c r="AG479" s="2">
        <v>0</v>
      </c>
      <c r="AH479" s="2"/>
      <c r="AI479" s="2">
        <v>-31483</v>
      </c>
      <c r="AJ479" s="2">
        <v>-21600</v>
      </c>
      <c r="AK479" s="2">
        <v>-21600</v>
      </c>
      <c r="AL479" s="2">
        <v>-21598</v>
      </c>
      <c r="AM479" s="2">
        <v>-21600</v>
      </c>
    </row>
    <row r="480" spans="1:39">
      <c r="A480" s="349">
        <v>94917</v>
      </c>
      <c r="B480" s="342" t="s">
        <v>1172</v>
      </c>
      <c r="C480" s="234" t="e">
        <f>VLOOKUP(A480,#REF!,10,FALSE)</f>
        <v>#REF!</v>
      </c>
      <c r="E480" s="2">
        <v>22586</v>
      </c>
      <c r="F480" s="2">
        <v>11053</v>
      </c>
      <c r="G480" s="2">
        <v>12732</v>
      </c>
      <c r="H480" s="2">
        <v>5137</v>
      </c>
      <c r="I480" s="2">
        <v>0</v>
      </c>
      <c r="J480" s="2"/>
      <c r="K480" s="2">
        <v>4599</v>
      </c>
      <c r="L480" s="2">
        <v>4326</v>
      </c>
      <c r="M480" s="2">
        <v>3878</v>
      </c>
      <c r="N480" s="2">
        <v>1553</v>
      </c>
      <c r="O480" s="2">
        <v>0</v>
      </c>
      <c r="P480" s="2"/>
      <c r="Q480" s="2">
        <v>4883</v>
      </c>
      <c r="R480" s="2">
        <v>-4200</v>
      </c>
      <c r="S480" s="2">
        <v>592</v>
      </c>
      <c r="T480" s="2">
        <v>770</v>
      </c>
      <c r="U480" s="2">
        <v>0</v>
      </c>
      <c r="V480" s="2"/>
      <c r="W480" s="2">
        <v>5500</v>
      </c>
      <c r="X480" s="2">
        <v>4506</v>
      </c>
      <c r="Y480" s="2">
        <v>3658</v>
      </c>
      <c r="Z480" s="2">
        <v>0</v>
      </c>
      <c r="AA480" s="2">
        <v>0</v>
      </c>
      <c r="AB480" s="2"/>
      <c r="AC480" s="2">
        <v>7604</v>
      </c>
      <c r="AD480" s="2">
        <v>6421</v>
      </c>
      <c r="AE480" s="2">
        <v>4604</v>
      </c>
      <c r="AF480" s="2">
        <v>2814</v>
      </c>
      <c r="AG480" s="2">
        <v>0</v>
      </c>
      <c r="AH480" s="2"/>
      <c r="AI480" s="2">
        <v>0</v>
      </c>
      <c r="AJ480" s="2">
        <v>0</v>
      </c>
      <c r="AK480" s="2">
        <v>0</v>
      </c>
      <c r="AL480" s="2">
        <v>0</v>
      </c>
      <c r="AM480" s="2">
        <v>0</v>
      </c>
    </row>
    <row r="481" spans="1:39">
      <c r="A481" s="349">
        <v>94921</v>
      </c>
      <c r="B481" s="342" t="s">
        <v>1173</v>
      </c>
      <c r="C481" s="234" t="e">
        <f>VLOOKUP(A481,#REF!,10,FALSE)</f>
        <v>#REF!</v>
      </c>
      <c r="E481" s="2">
        <v>1736853</v>
      </c>
      <c r="F481" s="2">
        <v>509981</v>
      </c>
      <c r="G481" s="2">
        <v>943385</v>
      </c>
      <c r="H481" s="2">
        <v>251636</v>
      </c>
      <c r="I481" s="2">
        <v>0</v>
      </c>
      <c r="J481" s="2"/>
      <c r="K481" s="2">
        <v>576592</v>
      </c>
      <c r="L481" s="2">
        <v>542387</v>
      </c>
      <c r="M481" s="2">
        <v>486135</v>
      </c>
      <c r="N481" s="2">
        <v>194643</v>
      </c>
      <c r="O481" s="2">
        <v>0</v>
      </c>
      <c r="P481" s="2"/>
      <c r="Q481" s="2">
        <v>612133</v>
      </c>
      <c r="R481" s="2">
        <v>-526549</v>
      </c>
      <c r="S481" s="2">
        <v>74211</v>
      </c>
      <c r="T481" s="2">
        <v>96584</v>
      </c>
      <c r="U481" s="2">
        <v>0</v>
      </c>
      <c r="V481" s="2"/>
      <c r="W481" s="2">
        <v>689577</v>
      </c>
      <c r="X481" s="2">
        <v>564926</v>
      </c>
      <c r="Y481" s="2">
        <v>458623</v>
      </c>
      <c r="Z481" s="2">
        <v>0</v>
      </c>
      <c r="AA481" s="2">
        <v>0</v>
      </c>
      <c r="AB481" s="2"/>
      <c r="AC481" s="2">
        <v>4800</v>
      </c>
      <c r="AD481" s="2">
        <v>4801</v>
      </c>
      <c r="AE481" s="2">
        <v>0</v>
      </c>
      <c r="AF481" s="2">
        <v>0</v>
      </c>
      <c r="AG481" s="2">
        <v>0</v>
      </c>
      <c r="AH481" s="2"/>
      <c r="AI481" s="2">
        <v>-146249</v>
      </c>
      <c r="AJ481" s="2">
        <v>-75584</v>
      </c>
      <c r="AK481" s="2">
        <v>-75584</v>
      </c>
      <c r="AL481" s="2">
        <v>-39591</v>
      </c>
      <c r="AM481" s="2">
        <v>-75584</v>
      </c>
    </row>
    <row r="482" spans="1:39">
      <c r="A482" s="349">
        <v>94923</v>
      </c>
      <c r="B482" s="342" t="s">
        <v>1174</v>
      </c>
      <c r="C482" s="234" t="e">
        <f>VLOOKUP(A482,#REF!,10,FALSE)</f>
        <v>#REF!</v>
      </c>
      <c r="E482" s="2">
        <v>15195</v>
      </c>
      <c r="F482" s="2">
        <v>5692</v>
      </c>
      <c r="G482" s="2">
        <v>7673</v>
      </c>
      <c r="H482" s="2">
        <v>2358</v>
      </c>
      <c r="I482" s="2">
        <v>0</v>
      </c>
      <c r="J482" s="2"/>
      <c r="K482" s="2">
        <v>4165</v>
      </c>
      <c r="L482" s="2">
        <v>3918</v>
      </c>
      <c r="M482" s="2">
        <v>3511</v>
      </c>
      <c r="N482" s="2">
        <v>1406</v>
      </c>
      <c r="O482" s="2">
        <v>0</v>
      </c>
      <c r="P482" s="2"/>
      <c r="Q482" s="2">
        <v>4421</v>
      </c>
      <c r="R482" s="2">
        <v>-3803</v>
      </c>
      <c r="S482" s="2">
        <v>536</v>
      </c>
      <c r="T482" s="2">
        <v>698</v>
      </c>
      <c r="U482" s="2">
        <v>0</v>
      </c>
      <c r="V482" s="2"/>
      <c r="W482" s="2">
        <v>4981</v>
      </c>
      <c r="X482" s="2">
        <v>4080</v>
      </c>
      <c r="Y482" s="2">
        <v>3313</v>
      </c>
      <c r="Z482" s="2">
        <v>0</v>
      </c>
      <c r="AA482" s="2">
        <v>0</v>
      </c>
      <c r="AB482" s="2"/>
      <c r="AC482" s="2">
        <v>1628</v>
      </c>
      <c r="AD482" s="2">
        <v>1497</v>
      </c>
      <c r="AE482" s="2">
        <v>313</v>
      </c>
      <c r="AF482" s="2">
        <v>254</v>
      </c>
      <c r="AG482" s="2">
        <v>0</v>
      </c>
      <c r="AH482" s="2"/>
      <c r="AI482" s="2">
        <v>0</v>
      </c>
      <c r="AJ482" s="2">
        <v>0</v>
      </c>
      <c r="AK482" s="2">
        <v>0</v>
      </c>
      <c r="AL482" s="2">
        <v>0</v>
      </c>
      <c r="AM482" s="2">
        <v>0</v>
      </c>
    </row>
    <row r="483" spans="1:39">
      <c r="A483" s="349">
        <v>94927</v>
      </c>
      <c r="B483" s="342" t="s">
        <v>1175</v>
      </c>
      <c r="C483" s="234" t="e">
        <f>VLOOKUP(A483,#REF!,10,FALSE)</f>
        <v>#REF!</v>
      </c>
      <c r="E483" s="2">
        <v>15101</v>
      </c>
      <c r="F483" s="2">
        <v>5956</v>
      </c>
      <c r="G483" s="2">
        <v>8733</v>
      </c>
      <c r="H483" s="2">
        <v>3172</v>
      </c>
      <c r="I483" s="2">
        <v>0</v>
      </c>
      <c r="J483" s="2"/>
      <c r="K483" s="2">
        <v>3790</v>
      </c>
      <c r="L483" s="2">
        <v>3565</v>
      </c>
      <c r="M483" s="2">
        <v>3196</v>
      </c>
      <c r="N483" s="2">
        <v>1279</v>
      </c>
      <c r="O483" s="2">
        <v>0</v>
      </c>
      <c r="P483" s="2"/>
      <c r="Q483" s="2">
        <v>4024</v>
      </c>
      <c r="R483" s="2">
        <v>-3461</v>
      </c>
      <c r="S483" s="2">
        <v>488</v>
      </c>
      <c r="T483" s="2">
        <v>635</v>
      </c>
      <c r="U483" s="2">
        <v>0</v>
      </c>
      <c r="V483" s="2"/>
      <c r="W483" s="2">
        <v>4533</v>
      </c>
      <c r="X483" s="2">
        <v>3713</v>
      </c>
      <c r="Y483" s="2">
        <v>3015</v>
      </c>
      <c r="Z483" s="2">
        <v>0</v>
      </c>
      <c r="AA483" s="2">
        <v>0</v>
      </c>
      <c r="AB483" s="2"/>
      <c r="AC483" s="2">
        <v>2754</v>
      </c>
      <c r="AD483" s="2">
        <v>2139</v>
      </c>
      <c r="AE483" s="2">
        <v>2034</v>
      </c>
      <c r="AF483" s="2">
        <v>1258</v>
      </c>
      <c r="AG483" s="2">
        <v>0</v>
      </c>
      <c r="AH483" s="2"/>
      <c r="AI483" s="2">
        <v>0</v>
      </c>
      <c r="AJ483" s="2">
        <v>0</v>
      </c>
      <c r="AK483" s="2">
        <v>0</v>
      </c>
      <c r="AL483" s="2">
        <v>0</v>
      </c>
      <c r="AM483" s="2">
        <v>0</v>
      </c>
    </row>
    <row r="484" spans="1:39">
      <c r="A484" s="349">
        <v>94931</v>
      </c>
      <c r="B484" s="342" t="s">
        <v>1176</v>
      </c>
      <c r="C484" s="234" t="e">
        <f>VLOOKUP(A484,#REF!,10,FALSE)</f>
        <v>#REF!</v>
      </c>
      <c r="E484" s="2">
        <v>101971</v>
      </c>
      <c r="F484" s="2">
        <v>33019</v>
      </c>
      <c r="G484" s="2">
        <v>57167</v>
      </c>
      <c r="H484" s="2">
        <v>18663</v>
      </c>
      <c r="I484" s="2">
        <v>0</v>
      </c>
      <c r="J484" s="2"/>
      <c r="K484" s="2">
        <v>32089</v>
      </c>
      <c r="L484" s="2">
        <v>30185</v>
      </c>
      <c r="M484" s="2">
        <v>27055</v>
      </c>
      <c r="N484" s="2">
        <v>10832</v>
      </c>
      <c r="O484" s="2">
        <v>0</v>
      </c>
      <c r="P484" s="2"/>
      <c r="Q484" s="2">
        <v>34067</v>
      </c>
      <c r="R484" s="2">
        <v>-29304</v>
      </c>
      <c r="S484" s="2">
        <v>4130</v>
      </c>
      <c r="T484" s="2">
        <v>5375</v>
      </c>
      <c r="U484" s="2">
        <v>0</v>
      </c>
      <c r="V484" s="2"/>
      <c r="W484" s="2">
        <v>38377</v>
      </c>
      <c r="X484" s="2">
        <v>31439</v>
      </c>
      <c r="Y484" s="2">
        <v>25523</v>
      </c>
      <c r="Z484" s="2">
        <v>0</v>
      </c>
      <c r="AA484" s="2">
        <v>0</v>
      </c>
      <c r="AB484" s="2"/>
      <c r="AC484" s="2">
        <v>2696</v>
      </c>
      <c r="AD484" s="2">
        <v>2698</v>
      </c>
      <c r="AE484" s="2">
        <v>2458</v>
      </c>
      <c r="AF484" s="2">
        <v>2456</v>
      </c>
      <c r="AG484" s="2">
        <v>0</v>
      </c>
      <c r="AH484" s="2"/>
      <c r="AI484" s="2">
        <v>-5258</v>
      </c>
      <c r="AJ484" s="2">
        <v>-1999</v>
      </c>
      <c r="AK484" s="2">
        <v>-1999</v>
      </c>
      <c r="AL484" s="2">
        <v>0</v>
      </c>
      <c r="AM484" s="2">
        <v>-1999</v>
      </c>
    </row>
    <row r="485" spans="1:39">
      <c r="A485" s="349">
        <v>94937</v>
      </c>
      <c r="B485" s="342" t="s">
        <v>1927</v>
      </c>
      <c r="C485" s="234" t="e">
        <f>VLOOKUP(A485,#REF!,10,FALSE)</f>
        <v>#REF!</v>
      </c>
      <c r="E485" s="2">
        <v>4851</v>
      </c>
      <c r="F485" s="2">
        <v>2525</v>
      </c>
      <c r="G485" s="2">
        <v>3311</v>
      </c>
      <c r="H485" s="2">
        <v>2006</v>
      </c>
      <c r="I485" s="2">
        <v>0</v>
      </c>
      <c r="J485" s="2"/>
      <c r="K485" s="2">
        <v>1034</v>
      </c>
      <c r="L485" s="2">
        <v>972</v>
      </c>
      <c r="M485" s="2">
        <v>872</v>
      </c>
      <c r="N485" s="2">
        <v>349</v>
      </c>
      <c r="O485" s="2">
        <v>0</v>
      </c>
      <c r="P485" s="2"/>
      <c r="Q485" s="2">
        <v>1097</v>
      </c>
      <c r="R485" s="2">
        <v>-944</v>
      </c>
      <c r="S485" s="2">
        <v>133</v>
      </c>
      <c r="T485" s="2">
        <v>173</v>
      </c>
      <c r="U485" s="2">
        <v>0</v>
      </c>
      <c r="V485" s="2"/>
      <c r="W485" s="2">
        <v>1236</v>
      </c>
      <c r="X485" s="2">
        <v>1013</v>
      </c>
      <c r="Y485" s="2">
        <v>822</v>
      </c>
      <c r="Z485" s="2">
        <v>0</v>
      </c>
      <c r="AA485" s="2">
        <v>0</v>
      </c>
      <c r="AB485" s="2"/>
      <c r="AC485" s="2">
        <v>1484</v>
      </c>
      <c r="AD485" s="2">
        <v>1484</v>
      </c>
      <c r="AE485" s="2">
        <v>1484</v>
      </c>
      <c r="AF485" s="2">
        <v>1484</v>
      </c>
      <c r="AG485" s="2">
        <v>0</v>
      </c>
      <c r="AH485" s="2"/>
      <c r="AI485" s="2">
        <v>0</v>
      </c>
      <c r="AJ485" s="2">
        <v>0</v>
      </c>
      <c r="AK485" s="2">
        <v>0</v>
      </c>
      <c r="AL485" s="2">
        <v>0</v>
      </c>
      <c r="AM485" s="2">
        <v>0</v>
      </c>
    </row>
    <row r="486" spans="1:39">
      <c r="A486" s="349">
        <v>94941</v>
      </c>
      <c r="B486" s="342" t="s">
        <v>1177</v>
      </c>
      <c r="C486" s="234" t="e">
        <f>VLOOKUP(A486,#REF!,10,FALSE)</f>
        <v>#REF!</v>
      </c>
      <c r="E486" s="2">
        <v>283895</v>
      </c>
      <c r="F486" s="2">
        <v>86060</v>
      </c>
      <c r="G486" s="2">
        <v>149141</v>
      </c>
      <c r="H486" s="2">
        <v>48077</v>
      </c>
      <c r="I486" s="2">
        <v>0</v>
      </c>
      <c r="J486" s="2"/>
      <c r="K486" s="2">
        <v>87862</v>
      </c>
      <c r="L486" s="2">
        <v>82650</v>
      </c>
      <c r="M486" s="2">
        <v>74078</v>
      </c>
      <c r="N486" s="2">
        <v>29660</v>
      </c>
      <c r="O486" s="2">
        <v>0</v>
      </c>
      <c r="P486" s="2"/>
      <c r="Q486" s="2">
        <v>93278</v>
      </c>
      <c r="R486" s="2">
        <v>-80236</v>
      </c>
      <c r="S486" s="2">
        <v>11308</v>
      </c>
      <c r="T486" s="2">
        <v>14718</v>
      </c>
      <c r="U486" s="2">
        <v>0</v>
      </c>
      <c r="V486" s="2"/>
      <c r="W486" s="2">
        <v>105079</v>
      </c>
      <c r="X486" s="2">
        <v>86084</v>
      </c>
      <c r="Y486" s="2">
        <v>69886</v>
      </c>
      <c r="Z486" s="2">
        <v>0</v>
      </c>
      <c r="AA486" s="2">
        <v>0</v>
      </c>
      <c r="AB486" s="2"/>
      <c r="AC486" s="2">
        <v>7508</v>
      </c>
      <c r="AD486" s="2">
        <v>7394</v>
      </c>
      <c r="AE486" s="2">
        <v>3700</v>
      </c>
      <c r="AF486" s="2">
        <v>3699</v>
      </c>
      <c r="AG486" s="2">
        <v>0</v>
      </c>
      <c r="AH486" s="2"/>
      <c r="AI486" s="2">
        <v>-9832</v>
      </c>
      <c r="AJ486" s="2">
        <v>-9832</v>
      </c>
      <c r="AK486" s="2">
        <v>-9831</v>
      </c>
      <c r="AL486" s="2">
        <v>0</v>
      </c>
      <c r="AM486" s="2">
        <v>-9832</v>
      </c>
    </row>
    <row r="487" spans="1:39">
      <c r="A487" s="349">
        <v>94947</v>
      </c>
      <c r="B487" s="342" t="s">
        <v>1928</v>
      </c>
      <c r="C487" s="234" t="e">
        <f>VLOOKUP(A487,#REF!,10,FALSE)</f>
        <v>#REF!</v>
      </c>
      <c r="E487" s="2">
        <v>4455</v>
      </c>
      <c r="F487" s="2">
        <v>2466</v>
      </c>
      <c r="G487" s="2">
        <v>3138</v>
      </c>
      <c r="H487" s="2">
        <v>2023</v>
      </c>
      <c r="I487" s="2">
        <v>0</v>
      </c>
      <c r="J487" s="2"/>
      <c r="K487" s="2">
        <v>884</v>
      </c>
      <c r="L487" s="2">
        <v>831</v>
      </c>
      <c r="M487" s="2">
        <v>745</v>
      </c>
      <c r="N487" s="2">
        <v>298</v>
      </c>
      <c r="O487" s="2">
        <v>0</v>
      </c>
      <c r="P487" s="2"/>
      <c r="Q487" s="2">
        <v>938</v>
      </c>
      <c r="R487" s="2">
        <v>-807</v>
      </c>
      <c r="S487" s="2">
        <v>114</v>
      </c>
      <c r="T487" s="2">
        <v>148</v>
      </c>
      <c r="U487" s="2">
        <v>0</v>
      </c>
      <c r="V487" s="2"/>
      <c r="W487" s="2">
        <v>1057</v>
      </c>
      <c r="X487" s="2">
        <v>866</v>
      </c>
      <c r="Y487" s="2">
        <v>703</v>
      </c>
      <c r="Z487" s="2">
        <v>0</v>
      </c>
      <c r="AA487" s="2">
        <v>0</v>
      </c>
      <c r="AB487" s="2"/>
      <c r="AC487" s="2">
        <v>1576</v>
      </c>
      <c r="AD487" s="2">
        <v>1576</v>
      </c>
      <c r="AE487" s="2">
        <v>1576</v>
      </c>
      <c r="AF487" s="2">
        <v>1577</v>
      </c>
      <c r="AG487" s="2">
        <v>0</v>
      </c>
      <c r="AH487" s="2"/>
      <c r="AI487" s="2">
        <v>0</v>
      </c>
      <c r="AJ487" s="2">
        <v>0</v>
      </c>
      <c r="AK487" s="2">
        <v>0</v>
      </c>
      <c r="AL487" s="2">
        <v>0</v>
      </c>
      <c r="AM487" s="2">
        <v>0</v>
      </c>
    </row>
    <row r="488" spans="1:39">
      <c r="A488" s="349">
        <v>95001</v>
      </c>
      <c r="B488" s="342" t="s">
        <v>1178</v>
      </c>
      <c r="C488" s="234" t="e">
        <f>VLOOKUP(A488,#REF!,10,FALSE)</f>
        <v>#REF!</v>
      </c>
      <c r="E488" s="2">
        <v>1162075</v>
      </c>
      <c r="F488" s="2">
        <v>382868</v>
      </c>
      <c r="G488" s="2">
        <v>613522</v>
      </c>
      <c r="H488" s="2">
        <v>194431</v>
      </c>
      <c r="I488" s="2">
        <v>0</v>
      </c>
      <c r="J488" s="2"/>
      <c r="K488" s="2">
        <v>341845</v>
      </c>
      <c r="L488" s="2">
        <v>321565</v>
      </c>
      <c r="M488" s="2">
        <v>288215</v>
      </c>
      <c r="N488" s="2">
        <v>115398</v>
      </c>
      <c r="O488" s="2">
        <v>0</v>
      </c>
      <c r="P488" s="2"/>
      <c r="Q488" s="2">
        <v>362916</v>
      </c>
      <c r="R488" s="2">
        <v>-312175</v>
      </c>
      <c r="S488" s="2">
        <v>43997</v>
      </c>
      <c r="T488" s="2">
        <v>57262</v>
      </c>
      <c r="U488" s="2">
        <v>0</v>
      </c>
      <c r="V488" s="2"/>
      <c r="W488" s="2">
        <v>408830</v>
      </c>
      <c r="X488" s="2">
        <v>334928</v>
      </c>
      <c r="Y488" s="2">
        <v>271904</v>
      </c>
      <c r="Z488" s="2">
        <v>0</v>
      </c>
      <c r="AA488" s="2">
        <v>0</v>
      </c>
      <c r="AB488" s="2"/>
      <c r="AC488" s="2">
        <v>60850</v>
      </c>
      <c r="AD488" s="2">
        <v>50916</v>
      </c>
      <c r="AE488" s="2">
        <v>21772</v>
      </c>
      <c r="AF488" s="2">
        <v>21771</v>
      </c>
      <c r="AG488" s="2">
        <v>0</v>
      </c>
      <c r="AH488" s="2"/>
      <c r="AI488" s="2">
        <v>-12366</v>
      </c>
      <c r="AJ488" s="2">
        <v>-12366</v>
      </c>
      <c r="AK488" s="2">
        <v>-12366</v>
      </c>
      <c r="AL488" s="2">
        <v>0</v>
      </c>
      <c r="AM488" s="2">
        <v>-12366</v>
      </c>
    </row>
    <row r="489" spans="1:39">
      <c r="A489" s="349">
        <v>95002</v>
      </c>
      <c r="B489" s="342" t="s">
        <v>1179</v>
      </c>
      <c r="C489" s="234" t="e">
        <f>VLOOKUP(A489,#REF!,10,FALSE)</f>
        <v>#REF!</v>
      </c>
      <c r="E489" s="2">
        <v>97745</v>
      </c>
      <c r="F489" s="2">
        <v>34180</v>
      </c>
      <c r="G489" s="2">
        <v>53827</v>
      </c>
      <c r="H489" s="2">
        <v>17361</v>
      </c>
      <c r="I489" s="2">
        <v>0</v>
      </c>
      <c r="J489" s="2"/>
      <c r="K489" s="2">
        <v>27040</v>
      </c>
      <c r="L489" s="2">
        <v>25436</v>
      </c>
      <c r="M489" s="2">
        <v>22798</v>
      </c>
      <c r="N489" s="2">
        <v>9128</v>
      </c>
      <c r="O489" s="2">
        <v>0</v>
      </c>
      <c r="P489" s="2"/>
      <c r="Q489" s="2">
        <v>28707</v>
      </c>
      <c r="R489" s="2">
        <v>-24693</v>
      </c>
      <c r="S489" s="2">
        <v>3480</v>
      </c>
      <c r="T489" s="2">
        <v>4529</v>
      </c>
      <c r="U489" s="2">
        <v>0</v>
      </c>
      <c r="V489" s="2"/>
      <c r="W489" s="2">
        <v>32339</v>
      </c>
      <c r="X489" s="2">
        <v>26493</v>
      </c>
      <c r="Y489" s="2">
        <v>21508</v>
      </c>
      <c r="Z489" s="2">
        <v>0</v>
      </c>
      <c r="AA489" s="2">
        <v>0</v>
      </c>
      <c r="AB489" s="2"/>
      <c r="AC489" s="2">
        <v>9659</v>
      </c>
      <c r="AD489" s="2">
        <v>6944</v>
      </c>
      <c r="AE489" s="2">
        <v>6041</v>
      </c>
      <c r="AF489" s="2">
        <v>3704</v>
      </c>
      <c r="AG489" s="2">
        <v>0</v>
      </c>
      <c r="AH489" s="2"/>
      <c r="AI489" s="2">
        <v>0</v>
      </c>
      <c r="AJ489" s="2">
        <v>0</v>
      </c>
      <c r="AK489" s="2">
        <v>0</v>
      </c>
      <c r="AL489" s="2">
        <v>0</v>
      </c>
      <c r="AM489" s="2">
        <v>0</v>
      </c>
    </row>
    <row r="490" spans="1:39">
      <c r="A490" s="349">
        <v>95005</v>
      </c>
      <c r="B490" s="342" t="s">
        <v>1180</v>
      </c>
      <c r="C490" s="234" t="e">
        <f>VLOOKUP(A490,#REF!,10,FALSE)</f>
        <v>#REF!</v>
      </c>
      <c r="E490" s="2">
        <v>88812</v>
      </c>
      <c r="F490" s="2">
        <v>25456</v>
      </c>
      <c r="G490" s="2">
        <v>47218</v>
      </c>
      <c r="H490" s="2">
        <v>12339</v>
      </c>
      <c r="I490" s="2">
        <v>0</v>
      </c>
      <c r="J490" s="2"/>
      <c r="K490" s="2">
        <v>28194</v>
      </c>
      <c r="L490" s="2">
        <v>26521</v>
      </c>
      <c r="M490" s="2">
        <v>23771</v>
      </c>
      <c r="N490" s="2">
        <v>9517</v>
      </c>
      <c r="O490" s="2">
        <v>0</v>
      </c>
      <c r="P490" s="2"/>
      <c r="Q490" s="2">
        <v>29932</v>
      </c>
      <c r="R490" s="2">
        <v>-25747</v>
      </c>
      <c r="S490" s="2">
        <v>3629</v>
      </c>
      <c r="T490" s="2">
        <v>4723</v>
      </c>
      <c r="U490" s="2">
        <v>0</v>
      </c>
      <c r="V490" s="2"/>
      <c r="W490" s="2">
        <v>33718</v>
      </c>
      <c r="X490" s="2">
        <v>27623</v>
      </c>
      <c r="Y490" s="2">
        <v>22425</v>
      </c>
      <c r="Z490" s="2">
        <v>0</v>
      </c>
      <c r="AA490" s="2">
        <v>0</v>
      </c>
      <c r="AB490" s="2"/>
      <c r="AC490" s="2">
        <v>0</v>
      </c>
      <c r="AD490" s="2">
        <v>0</v>
      </c>
      <c r="AE490" s="2">
        <v>0</v>
      </c>
      <c r="AF490" s="2">
        <v>0</v>
      </c>
      <c r="AG490" s="2">
        <v>0</v>
      </c>
      <c r="AH490" s="2"/>
      <c r="AI490" s="2">
        <v>-3032</v>
      </c>
      <c r="AJ490" s="2">
        <v>-2941</v>
      </c>
      <c r="AK490" s="2">
        <v>-2607</v>
      </c>
      <c r="AL490" s="2">
        <v>-1901</v>
      </c>
      <c r="AM490" s="2">
        <v>-2941</v>
      </c>
    </row>
    <row r="491" spans="1:39">
      <c r="A491" s="349">
        <v>95008</v>
      </c>
      <c r="B491" s="342" t="s">
        <v>3676</v>
      </c>
      <c r="C491" s="234" t="e">
        <f>VLOOKUP(A491,#REF!,10,FALSE)</f>
        <v>#REF!</v>
      </c>
      <c r="E491" s="2">
        <v>62682</v>
      </c>
      <c r="F491" s="2">
        <v>24338</v>
      </c>
      <c r="G491" s="2">
        <v>36219</v>
      </c>
      <c r="H491" s="2">
        <v>11025</v>
      </c>
      <c r="I491" s="2">
        <v>0</v>
      </c>
      <c r="J491" s="2"/>
      <c r="K491" s="2">
        <v>17872</v>
      </c>
      <c r="L491" s="2">
        <v>16812</v>
      </c>
      <c r="M491" s="2">
        <v>15068</v>
      </c>
      <c r="N491" s="2">
        <v>6033</v>
      </c>
      <c r="O491" s="2">
        <v>0</v>
      </c>
      <c r="P491" s="2"/>
      <c r="Q491" s="2">
        <v>18974</v>
      </c>
      <c r="R491" s="2">
        <v>-16321</v>
      </c>
      <c r="S491" s="2">
        <v>2300</v>
      </c>
      <c r="T491" s="2">
        <v>2994</v>
      </c>
      <c r="U491" s="2">
        <v>0</v>
      </c>
      <c r="V491" s="2"/>
      <c r="W491" s="2">
        <v>21374</v>
      </c>
      <c r="X491" s="2">
        <v>17510</v>
      </c>
      <c r="Y491" s="2">
        <v>14215</v>
      </c>
      <c r="Z491" s="2">
        <v>0</v>
      </c>
      <c r="AA491" s="2">
        <v>0</v>
      </c>
      <c r="AB491" s="2"/>
      <c r="AC491" s="2">
        <v>6339</v>
      </c>
      <c r="AD491" s="2">
        <v>6337</v>
      </c>
      <c r="AE491" s="2">
        <v>4636</v>
      </c>
      <c r="AF491" s="2">
        <v>1998</v>
      </c>
      <c r="AG491" s="2">
        <v>0</v>
      </c>
      <c r="AH491" s="2"/>
      <c r="AI491" s="2">
        <v>-1877</v>
      </c>
      <c r="AJ491" s="2">
        <v>0</v>
      </c>
      <c r="AK491" s="2">
        <v>0</v>
      </c>
      <c r="AL491" s="2">
        <v>0</v>
      </c>
      <c r="AM491" s="2">
        <v>0</v>
      </c>
    </row>
    <row r="492" spans="1:39">
      <c r="A492" s="349">
        <v>95009</v>
      </c>
      <c r="B492" s="342" t="s">
        <v>1182</v>
      </c>
      <c r="C492" s="234" t="e">
        <f>VLOOKUP(A492,#REF!,10,FALSE)</f>
        <v>#REF!</v>
      </c>
      <c r="E492" s="2">
        <v>2026157</v>
      </c>
      <c r="F492" s="2">
        <v>606000</v>
      </c>
      <c r="G492" s="2">
        <v>1034947</v>
      </c>
      <c r="H492" s="2">
        <v>293245</v>
      </c>
      <c r="I492" s="2">
        <v>0</v>
      </c>
      <c r="J492" s="2"/>
      <c r="K492" s="2">
        <v>610059</v>
      </c>
      <c r="L492" s="2">
        <v>573869</v>
      </c>
      <c r="M492" s="2">
        <v>514352</v>
      </c>
      <c r="N492" s="2">
        <v>205940</v>
      </c>
      <c r="O492" s="2">
        <v>0</v>
      </c>
      <c r="P492" s="2"/>
      <c r="Q492" s="2">
        <v>647663</v>
      </c>
      <c r="R492" s="2">
        <v>-557111</v>
      </c>
      <c r="S492" s="2">
        <v>78518</v>
      </c>
      <c r="T492" s="2">
        <v>102190</v>
      </c>
      <c r="U492" s="2">
        <v>0</v>
      </c>
      <c r="V492" s="2"/>
      <c r="W492" s="2">
        <v>729601</v>
      </c>
      <c r="X492" s="2">
        <v>597716</v>
      </c>
      <c r="Y492" s="2">
        <v>485243</v>
      </c>
      <c r="Z492" s="2">
        <v>0</v>
      </c>
      <c r="AA492" s="2">
        <v>0</v>
      </c>
      <c r="AB492" s="2"/>
      <c r="AC492" s="2">
        <v>82000</v>
      </c>
      <c r="AD492" s="2">
        <v>34692</v>
      </c>
      <c r="AE492" s="2">
        <v>0</v>
      </c>
      <c r="AF492" s="2">
        <v>0</v>
      </c>
      <c r="AG492" s="2">
        <v>0</v>
      </c>
      <c r="AH492" s="2"/>
      <c r="AI492" s="2">
        <v>-43166</v>
      </c>
      <c r="AJ492" s="2">
        <v>-43166</v>
      </c>
      <c r="AK492" s="2">
        <v>-43166</v>
      </c>
      <c r="AL492" s="2">
        <v>-14885</v>
      </c>
      <c r="AM492" s="2">
        <v>-43166</v>
      </c>
    </row>
    <row r="493" spans="1:39">
      <c r="A493" s="349">
        <v>95011</v>
      </c>
      <c r="B493" s="342" t="s">
        <v>1183</v>
      </c>
      <c r="C493" s="234" t="e">
        <f>VLOOKUP(A493,#REF!,10,FALSE)</f>
        <v>#REF!</v>
      </c>
      <c r="E493" s="2">
        <v>94012</v>
      </c>
      <c r="F493" s="2">
        <v>30911</v>
      </c>
      <c r="G493" s="2">
        <v>51988</v>
      </c>
      <c r="H493" s="2">
        <v>14815</v>
      </c>
      <c r="I493" s="2">
        <v>0</v>
      </c>
      <c r="J493" s="2"/>
      <c r="K493" s="2">
        <v>28808</v>
      </c>
      <c r="L493" s="2">
        <v>27099</v>
      </c>
      <c r="M493" s="2">
        <v>24288</v>
      </c>
      <c r="N493" s="2">
        <v>9725</v>
      </c>
      <c r="O493" s="2">
        <v>0</v>
      </c>
      <c r="P493" s="2"/>
      <c r="Q493" s="2">
        <v>30584</v>
      </c>
      <c r="R493" s="2">
        <v>-26308</v>
      </c>
      <c r="S493" s="2">
        <v>3708</v>
      </c>
      <c r="T493" s="2">
        <v>4826</v>
      </c>
      <c r="U493" s="2">
        <v>0</v>
      </c>
      <c r="V493" s="2"/>
      <c r="W493" s="2">
        <v>34453</v>
      </c>
      <c r="X493" s="2">
        <v>28225</v>
      </c>
      <c r="Y493" s="2">
        <v>22914</v>
      </c>
      <c r="Z493" s="2">
        <v>0</v>
      </c>
      <c r="AA493" s="2">
        <v>0</v>
      </c>
      <c r="AB493" s="2"/>
      <c r="AC493" s="2">
        <v>1897</v>
      </c>
      <c r="AD493" s="2">
        <v>1895</v>
      </c>
      <c r="AE493" s="2">
        <v>1078</v>
      </c>
      <c r="AF493" s="2">
        <v>264</v>
      </c>
      <c r="AG493" s="2">
        <v>0</v>
      </c>
      <c r="AH493" s="2"/>
      <c r="AI493" s="2">
        <v>-1730</v>
      </c>
      <c r="AJ493" s="2">
        <v>0</v>
      </c>
      <c r="AK493" s="2">
        <v>0</v>
      </c>
      <c r="AL493" s="2">
        <v>0</v>
      </c>
      <c r="AM493" s="2">
        <v>0</v>
      </c>
    </row>
    <row r="494" spans="1:39">
      <c r="A494" s="349">
        <v>95017</v>
      </c>
      <c r="B494" s="342" t="s">
        <v>1184</v>
      </c>
      <c r="C494" s="234" t="e">
        <f>VLOOKUP(A494,#REF!,10,FALSE)</f>
        <v>#REF!</v>
      </c>
      <c r="E494" s="2">
        <v>25919</v>
      </c>
      <c r="F494" s="2">
        <v>7981</v>
      </c>
      <c r="G494" s="2">
        <v>13780</v>
      </c>
      <c r="H494" s="2">
        <v>3864</v>
      </c>
      <c r="I494" s="2">
        <v>0</v>
      </c>
      <c r="J494" s="2"/>
      <c r="K494" s="2">
        <v>7640</v>
      </c>
      <c r="L494" s="2">
        <v>7187</v>
      </c>
      <c r="M494" s="2">
        <v>6442</v>
      </c>
      <c r="N494" s="2">
        <v>2579</v>
      </c>
      <c r="O494" s="2">
        <v>0</v>
      </c>
      <c r="P494" s="2"/>
      <c r="Q494" s="2">
        <v>8111</v>
      </c>
      <c r="R494" s="2">
        <v>-6977</v>
      </c>
      <c r="S494" s="2">
        <v>983</v>
      </c>
      <c r="T494" s="2">
        <v>1280</v>
      </c>
      <c r="U494" s="2">
        <v>0</v>
      </c>
      <c r="V494" s="2"/>
      <c r="W494" s="2">
        <v>9137</v>
      </c>
      <c r="X494" s="2">
        <v>7486</v>
      </c>
      <c r="Y494" s="2">
        <v>6077</v>
      </c>
      <c r="Z494" s="2">
        <v>0</v>
      </c>
      <c r="AA494" s="2">
        <v>0</v>
      </c>
      <c r="AB494" s="2"/>
      <c r="AC494" s="2">
        <v>1031</v>
      </c>
      <c r="AD494" s="2">
        <v>285</v>
      </c>
      <c r="AE494" s="2">
        <v>278</v>
      </c>
      <c r="AF494" s="2">
        <v>5</v>
      </c>
      <c r="AG494" s="2">
        <v>0</v>
      </c>
      <c r="AH494" s="2"/>
      <c r="AI494" s="2">
        <v>0</v>
      </c>
      <c r="AJ494" s="2">
        <v>0</v>
      </c>
      <c r="AK494" s="2">
        <v>0</v>
      </c>
      <c r="AL494" s="2">
        <v>0</v>
      </c>
      <c r="AM494" s="2">
        <v>0</v>
      </c>
    </row>
    <row r="495" spans="1:39">
      <c r="A495" s="349">
        <v>95101</v>
      </c>
      <c r="B495" s="342" t="s">
        <v>1185</v>
      </c>
      <c r="C495" s="234" t="e">
        <f>VLOOKUP(A495,#REF!,10,FALSE)</f>
        <v>#REF!</v>
      </c>
      <c r="E495" s="2">
        <v>4279680</v>
      </c>
      <c r="F495" s="2">
        <v>1316628</v>
      </c>
      <c r="G495" s="2">
        <v>2335496</v>
      </c>
      <c r="H495" s="2">
        <v>680428</v>
      </c>
      <c r="I495" s="2">
        <v>0</v>
      </c>
      <c r="J495" s="2"/>
      <c r="K495" s="2">
        <v>1326017</v>
      </c>
      <c r="L495" s="2">
        <v>1247353</v>
      </c>
      <c r="M495" s="2">
        <v>1117989</v>
      </c>
      <c r="N495" s="2">
        <v>447629</v>
      </c>
      <c r="O495" s="2">
        <v>0</v>
      </c>
      <c r="P495" s="2"/>
      <c r="Q495" s="2">
        <v>1407751</v>
      </c>
      <c r="R495" s="2">
        <v>-1210929</v>
      </c>
      <c r="S495" s="2">
        <v>170666</v>
      </c>
      <c r="T495" s="2">
        <v>222120</v>
      </c>
      <c r="U495" s="2">
        <v>0</v>
      </c>
      <c r="V495" s="2"/>
      <c r="W495" s="2">
        <v>1585852</v>
      </c>
      <c r="X495" s="2">
        <v>1299188</v>
      </c>
      <c r="Y495" s="2">
        <v>1054718</v>
      </c>
      <c r="Z495" s="2">
        <v>0</v>
      </c>
      <c r="AA495" s="2">
        <v>0</v>
      </c>
      <c r="AB495" s="2"/>
      <c r="AC495" s="2">
        <v>10681</v>
      </c>
      <c r="AD495" s="2">
        <v>10681</v>
      </c>
      <c r="AE495" s="2">
        <v>10681</v>
      </c>
      <c r="AF495" s="2">
        <v>10679</v>
      </c>
      <c r="AG495" s="2">
        <v>0</v>
      </c>
      <c r="AH495" s="2"/>
      <c r="AI495" s="2">
        <v>-50621</v>
      </c>
      <c r="AJ495" s="2">
        <v>-29665</v>
      </c>
      <c r="AK495" s="2">
        <v>-18558</v>
      </c>
      <c r="AL495" s="2">
        <v>0</v>
      </c>
      <c r="AM495" s="2">
        <v>-29665</v>
      </c>
    </row>
    <row r="496" spans="1:39">
      <c r="A496" s="349">
        <v>95103</v>
      </c>
      <c r="B496" s="342" t="s">
        <v>1186</v>
      </c>
      <c r="C496" s="234" t="e">
        <f>VLOOKUP(A496,#REF!,10,FALSE)</f>
        <v>#REF!</v>
      </c>
      <c r="E496" s="2">
        <v>30661</v>
      </c>
      <c r="F496" s="2">
        <v>11824</v>
      </c>
      <c r="G496" s="2">
        <v>17346</v>
      </c>
      <c r="H496" s="2">
        <v>6923</v>
      </c>
      <c r="I496" s="2">
        <v>0</v>
      </c>
      <c r="J496" s="2"/>
      <c r="K496" s="2">
        <v>7580</v>
      </c>
      <c r="L496" s="2">
        <v>7131</v>
      </c>
      <c r="M496" s="2">
        <v>6391</v>
      </c>
      <c r="N496" s="2">
        <v>2559</v>
      </c>
      <c r="O496" s="2">
        <v>0</v>
      </c>
      <c r="P496" s="2"/>
      <c r="Q496" s="2">
        <v>8047</v>
      </c>
      <c r="R496" s="2">
        <v>-6922</v>
      </c>
      <c r="S496" s="2">
        <v>976</v>
      </c>
      <c r="T496" s="2">
        <v>1270</v>
      </c>
      <c r="U496" s="2">
        <v>0</v>
      </c>
      <c r="V496" s="2"/>
      <c r="W496" s="2">
        <v>9066</v>
      </c>
      <c r="X496" s="2">
        <v>7427</v>
      </c>
      <c r="Y496" s="2">
        <v>6029</v>
      </c>
      <c r="Z496" s="2">
        <v>0</v>
      </c>
      <c r="AA496" s="2">
        <v>0</v>
      </c>
      <c r="AB496" s="2"/>
      <c r="AC496" s="2">
        <v>5968</v>
      </c>
      <c r="AD496" s="2">
        <v>4188</v>
      </c>
      <c r="AE496" s="2">
        <v>3950</v>
      </c>
      <c r="AF496" s="2">
        <v>3094</v>
      </c>
      <c r="AG496" s="2">
        <v>0</v>
      </c>
      <c r="AH496" s="2"/>
      <c r="AI496" s="2">
        <v>0</v>
      </c>
      <c r="AJ496" s="2">
        <v>0</v>
      </c>
      <c r="AK496" s="2">
        <v>0</v>
      </c>
      <c r="AL496" s="2">
        <v>0</v>
      </c>
      <c r="AM496" s="2">
        <v>0</v>
      </c>
    </row>
    <row r="497" spans="1:39">
      <c r="A497" s="349">
        <v>95104</v>
      </c>
      <c r="B497" s="342" t="s">
        <v>1187</v>
      </c>
      <c r="C497" s="234" t="e">
        <f>VLOOKUP(A497,#REF!,10,FALSE)</f>
        <v>#REF!</v>
      </c>
      <c r="E497" s="2">
        <v>68112</v>
      </c>
      <c r="F497" s="2">
        <v>28283</v>
      </c>
      <c r="G497" s="2">
        <v>39410</v>
      </c>
      <c r="H497" s="2">
        <v>15715</v>
      </c>
      <c r="I497" s="2">
        <v>0</v>
      </c>
      <c r="J497" s="2"/>
      <c r="K497" s="2">
        <v>17213</v>
      </c>
      <c r="L497" s="2">
        <v>16192</v>
      </c>
      <c r="M497" s="2">
        <v>14512</v>
      </c>
      <c r="N497" s="2">
        <v>5811</v>
      </c>
      <c r="O497" s="2">
        <v>0</v>
      </c>
      <c r="P497" s="2"/>
      <c r="Q497" s="2">
        <v>18274</v>
      </c>
      <c r="R497" s="2">
        <v>-15719</v>
      </c>
      <c r="S497" s="2">
        <v>2215</v>
      </c>
      <c r="T497" s="2">
        <v>2883</v>
      </c>
      <c r="U497" s="2">
        <v>0</v>
      </c>
      <c r="V497" s="2"/>
      <c r="W497" s="2">
        <v>20586</v>
      </c>
      <c r="X497" s="2">
        <v>16865</v>
      </c>
      <c r="Y497" s="2">
        <v>13691</v>
      </c>
      <c r="Z497" s="2">
        <v>0</v>
      </c>
      <c r="AA497" s="2">
        <v>0</v>
      </c>
      <c r="AB497" s="2"/>
      <c r="AC497" s="2">
        <v>12039</v>
      </c>
      <c r="AD497" s="2">
        <v>10945</v>
      </c>
      <c r="AE497" s="2">
        <v>8992</v>
      </c>
      <c r="AF497" s="2">
        <v>7021</v>
      </c>
      <c r="AG497" s="2">
        <v>0</v>
      </c>
      <c r="AH497" s="2"/>
      <c r="AI497" s="2">
        <v>0</v>
      </c>
      <c r="AJ497" s="2">
        <v>0</v>
      </c>
      <c r="AK497" s="2">
        <v>0</v>
      </c>
      <c r="AL497" s="2">
        <v>0</v>
      </c>
      <c r="AM497" s="2">
        <v>0</v>
      </c>
    </row>
    <row r="498" spans="1:39">
      <c r="A498" s="349">
        <v>95105</v>
      </c>
      <c r="B498" s="342" t="s">
        <v>3677</v>
      </c>
      <c r="C498" s="234" t="e">
        <f>VLOOKUP(A498,#REF!,10,FALSE)</f>
        <v>#REF!</v>
      </c>
      <c r="E498" s="2">
        <v>39276</v>
      </c>
      <c r="F498" s="2">
        <v>14541</v>
      </c>
      <c r="G498" s="2">
        <v>22058</v>
      </c>
      <c r="H498" s="2">
        <v>6985</v>
      </c>
      <c r="I498" s="2">
        <v>0</v>
      </c>
      <c r="J498" s="2"/>
      <c r="K498" s="2">
        <v>10711</v>
      </c>
      <c r="L498" s="2">
        <v>10076</v>
      </c>
      <c r="M498" s="2">
        <v>9031</v>
      </c>
      <c r="N498" s="2">
        <v>3616</v>
      </c>
      <c r="O498" s="2">
        <v>0</v>
      </c>
      <c r="P498" s="2"/>
      <c r="Q498" s="2">
        <v>11371</v>
      </c>
      <c r="R498" s="2">
        <v>-9782</v>
      </c>
      <c r="S498" s="2">
        <v>1379</v>
      </c>
      <c r="T498" s="2">
        <v>1794</v>
      </c>
      <c r="U498" s="2">
        <v>0</v>
      </c>
      <c r="V498" s="2"/>
      <c r="W498" s="2">
        <v>12810</v>
      </c>
      <c r="X498" s="2">
        <v>10494</v>
      </c>
      <c r="Y498" s="2">
        <v>8520</v>
      </c>
      <c r="Z498" s="2">
        <v>0</v>
      </c>
      <c r="AA498" s="2">
        <v>0</v>
      </c>
      <c r="AB498" s="2"/>
      <c r="AC498" s="2">
        <v>4384</v>
      </c>
      <c r="AD498" s="2">
        <v>3753</v>
      </c>
      <c r="AE498" s="2">
        <v>3128</v>
      </c>
      <c r="AF498" s="2">
        <v>1575</v>
      </c>
      <c r="AG498" s="2">
        <v>0</v>
      </c>
      <c r="AH498" s="2"/>
      <c r="AI498" s="2">
        <v>0</v>
      </c>
      <c r="AJ498" s="2">
        <v>0</v>
      </c>
      <c r="AK498" s="2">
        <v>0</v>
      </c>
      <c r="AL498" s="2">
        <v>0</v>
      </c>
      <c r="AM498" s="2">
        <v>0</v>
      </c>
    </row>
    <row r="499" spans="1:39">
      <c r="A499" s="349">
        <v>95106</v>
      </c>
      <c r="B499" s="342" t="s">
        <v>1189</v>
      </c>
      <c r="C499" s="234" t="e">
        <f>VLOOKUP(A499,#REF!,10,FALSE)</f>
        <v>#REF!</v>
      </c>
      <c r="E499" s="2">
        <v>7434</v>
      </c>
      <c r="F499" s="2">
        <v>2384</v>
      </c>
      <c r="G499" s="2">
        <v>4213</v>
      </c>
      <c r="H499" s="2">
        <v>1199</v>
      </c>
      <c r="I499" s="2">
        <v>0</v>
      </c>
      <c r="J499" s="2"/>
      <c r="K499" s="2">
        <v>1933</v>
      </c>
      <c r="L499" s="2">
        <v>1818</v>
      </c>
      <c r="M499" s="2">
        <v>1629</v>
      </c>
      <c r="N499" s="2">
        <v>652</v>
      </c>
      <c r="O499" s="2">
        <v>0</v>
      </c>
      <c r="P499" s="2"/>
      <c r="Q499" s="2">
        <v>2052</v>
      </c>
      <c r="R499" s="2">
        <v>-1765</v>
      </c>
      <c r="S499" s="2">
        <v>249</v>
      </c>
      <c r="T499" s="2">
        <v>324</v>
      </c>
      <c r="U499" s="2">
        <v>0</v>
      </c>
      <c r="V499" s="2"/>
      <c r="W499" s="2">
        <v>2311</v>
      </c>
      <c r="X499" s="2">
        <v>1893</v>
      </c>
      <c r="Y499" s="2">
        <v>1537</v>
      </c>
      <c r="Z499" s="2">
        <v>0</v>
      </c>
      <c r="AA499" s="2">
        <v>0</v>
      </c>
      <c r="AB499" s="2"/>
      <c r="AC499" s="2">
        <v>1496</v>
      </c>
      <c r="AD499" s="2">
        <v>798</v>
      </c>
      <c r="AE499" s="2">
        <v>798</v>
      </c>
      <c r="AF499" s="2">
        <v>223</v>
      </c>
      <c r="AG499" s="2">
        <v>0</v>
      </c>
      <c r="AH499" s="2"/>
      <c r="AI499" s="2">
        <v>-358</v>
      </c>
      <c r="AJ499" s="2">
        <v>-360</v>
      </c>
      <c r="AK499" s="2">
        <v>0</v>
      </c>
      <c r="AL499" s="2">
        <v>0</v>
      </c>
      <c r="AM499" s="2">
        <v>-360</v>
      </c>
    </row>
    <row r="500" spans="1:39">
      <c r="A500" s="349">
        <v>95110</v>
      </c>
      <c r="B500" s="342" t="s">
        <v>1190</v>
      </c>
      <c r="C500" s="234" t="e">
        <f>VLOOKUP(A500,#REF!,10,FALSE)</f>
        <v>#REF!</v>
      </c>
      <c r="E500" s="2">
        <v>1247003</v>
      </c>
      <c r="F500" s="2">
        <v>305225</v>
      </c>
      <c r="G500" s="2">
        <v>693715</v>
      </c>
      <c r="H500" s="2">
        <v>184700</v>
      </c>
      <c r="I500" s="2">
        <v>0</v>
      </c>
      <c r="J500" s="2"/>
      <c r="K500" s="2">
        <v>472461</v>
      </c>
      <c r="L500" s="2">
        <v>444433</v>
      </c>
      <c r="M500" s="2">
        <v>398341</v>
      </c>
      <c r="N500" s="2">
        <v>159491</v>
      </c>
      <c r="O500" s="2">
        <v>0</v>
      </c>
      <c r="P500" s="2"/>
      <c r="Q500" s="2">
        <v>501584</v>
      </c>
      <c r="R500" s="2">
        <v>-431456</v>
      </c>
      <c r="S500" s="2">
        <v>60808</v>
      </c>
      <c r="T500" s="2">
        <v>79141</v>
      </c>
      <c r="U500" s="2">
        <v>0</v>
      </c>
      <c r="V500" s="2"/>
      <c r="W500" s="2">
        <v>565041</v>
      </c>
      <c r="X500" s="2">
        <v>462902</v>
      </c>
      <c r="Y500" s="2">
        <v>375797</v>
      </c>
      <c r="Z500" s="2">
        <v>0</v>
      </c>
      <c r="AA500" s="2">
        <v>0</v>
      </c>
      <c r="AB500" s="2"/>
      <c r="AC500" s="2">
        <v>0</v>
      </c>
      <c r="AD500" s="2">
        <v>0</v>
      </c>
      <c r="AE500" s="2">
        <v>0</v>
      </c>
      <c r="AF500" s="2">
        <v>0</v>
      </c>
      <c r="AG500" s="2">
        <v>0</v>
      </c>
      <c r="AH500" s="2"/>
      <c r="AI500" s="2">
        <v>-292083</v>
      </c>
      <c r="AJ500" s="2">
        <v>-170654</v>
      </c>
      <c r="AK500" s="2">
        <v>-141231</v>
      </c>
      <c r="AL500" s="2">
        <v>-53932</v>
      </c>
      <c r="AM500" s="2">
        <v>-170654</v>
      </c>
    </row>
    <row r="501" spans="1:39">
      <c r="A501" s="349">
        <v>95111</v>
      </c>
      <c r="B501" s="342" t="s">
        <v>1191</v>
      </c>
      <c r="C501" s="234" t="e">
        <f>VLOOKUP(A501,#REF!,10,FALSE)</f>
        <v>#REF!</v>
      </c>
      <c r="E501" s="2">
        <v>470623</v>
      </c>
      <c r="F501" s="2">
        <v>132741</v>
      </c>
      <c r="G501" s="2">
        <v>256413</v>
      </c>
      <c r="H501" s="2">
        <v>60227</v>
      </c>
      <c r="I501" s="2">
        <v>0</v>
      </c>
      <c r="J501" s="2"/>
      <c r="K501" s="2">
        <v>157732</v>
      </c>
      <c r="L501" s="2">
        <v>148375</v>
      </c>
      <c r="M501" s="2">
        <v>132987</v>
      </c>
      <c r="N501" s="2">
        <v>53246</v>
      </c>
      <c r="O501" s="2">
        <v>0</v>
      </c>
      <c r="P501" s="2"/>
      <c r="Q501" s="2">
        <v>167454</v>
      </c>
      <c r="R501" s="2">
        <v>-144042</v>
      </c>
      <c r="S501" s="2">
        <v>20301</v>
      </c>
      <c r="T501" s="2">
        <v>26421</v>
      </c>
      <c r="U501" s="2">
        <v>0</v>
      </c>
      <c r="V501" s="2"/>
      <c r="W501" s="2">
        <v>188640</v>
      </c>
      <c r="X501" s="2">
        <v>154540</v>
      </c>
      <c r="Y501" s="2">
        <v>125460</v>
      </c>
      <c r="Z501" s="2">
        <v>0</v>
      </c>
      <c r="AA501" s="2">
        <v>0</v>
      </c>
      <c r="AB501" s="2"/>
      <c r="AC501" s="2">
        <v>0</v>
      </c>
      <c r="AD501" s="2">
        <v>0</v>
      </c>
      <c r="AE501" s="2">
        <v>0</v>
      </c>
      <c r="AF501" s="2">
        <v>0</v>
      </c>
      <c r="AG501" s="2">
        <v>0</v>
      </c>
      <c r="AH501" s="2"/>
      <c r="AI501" s="2">
        <v>-43203</v>
      </c>
      <c r="AJ501" s="2">
        <v>-26132</v>
      </c>
      <c r="AK501" s="2">
        <v>-22335</v>
      </c>
      <c r="AL501" s="2">
        <v>-19440</v>
      </c>
      <c r="AM501" s="2">
        <v>-26132</v>
      </c>
    </row>
    <row r="502" spans="1:39">
      <c r="A502" s="349">
        <v>95113</v>
      </c>
      <c r="B502" s="342" t="s">
        <v>1192</v>
      </c>
      <c r="C502" s="234" t="e">
        <f>VLOOKUP(A502,#REF!,10,FALSE)</f>
        <v>#REF!</v>
      </c>
      <c r="E502" s="2">
        <v>60465</v>
      </c>
      <c r="F502" s="2">
        <v>37231</v>
      </c>
      <c r="G502" s="2">
        <v>33574</v>
      </c>
      <c r="H502" s="2">
        <v>14834</v>
      </c>
      <c r="I502" s="2">
        <v>0</v>
      </c>
      <c r="J502" s="2"/>
      <c r="K502" s="2">
        <v>6786</v>
      </c>
      <c r="L502" s="2">
        <v>6384</v>
      </c>
      <c r="M502" s="2">
        <v>5722</v>
      </c>
      <c r="N502" s="2">
        <v>2291</v>
      </c>
      <c r="O502" s="2">
        <v>0</v>
      </c>
      <c r="P502" s="2"/>
      <c r="Q502" s="2">
        <v>7205</v>
      </c>
      <c r="R502" s="2">
        <v>-6197</v>
      </c>
      <c r="S502" s="2">
        <v>873</v>
      </c>
      <c r="T502" s="2">
        <v>1137</v>
      </c>
      <c r="U502" s="2">
        <v>0</v>
      </c>
      <c r="V502" s="2"/>
      <c r="W502" s="2">
        <v>8116</v>
      </c>
      <c r="X502" s="2">
        <v>6649</v>
      </c>
      <c r="Y502" s="2">
        <v>5398</v>
      </c>
      <c r="Z502" s="2">
        <v>0</v>
      </c>
      <c r="AA502" s="2">
        <v>0</v>
      </c>
      <c r="AB502" s="2"/>
      <c r="AC502" s="2">
        <v>38358</v>
      </c>
      <c r="AD502" s="2">
        <v>30395</v>
      </c>
      <c r="AE502" s="2">
        <v>21581</v>
      </c>
      <c r="AF502" s="2">
        <v>11406</v>
      </c>
      <c r="AG502" s="2">
        <v>0</v>
      </c>
      <c r="AH502" s="2"/>
      <c r="AI502" s="2">
        <v>0</v>
      </c>
      <c r="AJ502" s="2">
        <v>0</v>
      </c>
      <c r="AK502" s="2">
        <v>0</v>
      </c>
      <c r="AL502" s="2">
        <v>0</v>
      </c>
      <c r="AM502" s="2">
        <v>0</v>
      </c>
    </row>
    <row r="503" spans="1:39">
      <c r="A503" s="349">
        <v>95121</v>
      </c>
      <c r="B503" s="342" t="s">
        <v>1193</v>
      </c>
      <c r="C503" s="234" t="e">
        <f>VLOOKUP(A503,#REF!,10,FALSE)</f>
        <v>#REF!</v>
      </c>
      <c r="E503" s="2">
        <v>221157</v>
      </c>
      <c r="F503" s="2">
        <v>61441</v>
      </c>
      <c r="G503" s="2">
        <v>115118</v>
      </c>
      <c r="H503" s="2">
        <v>25086</v>
      </c>
      <c r="I503" s="2">
        <v>0</v>
      </c>
      <c r="J503" s="2"/>
      <c r="K503" s="2">
        <v>70065</v>
      </c>
      <c r="L503" s="2">
        <v>65908</v>
      </c>
      <c r="M503" s="2">
        <v>59073</v>
      </c>
      <c r="N503" s="2">
        <v>23652</v>
      </c>
      <c r="O503" s="2">
        <v>0</v>
      </c>
      <c r="P503" s="2"/>
      <c r="Q503" s="2">
        <v>74383</v>
      </c>
      <c r="R503" s="2">
        <v>-63984</v>
      </c>
      <c r="S503" s="2">
        <v>9018</v>
      </c>
      <c r="T503" s="2">
        <v>11736</v>
      </c>
      <c r="U503" s="2">
        <v>0</v>
      </c>
      <c r="V503" s="2"/>
      <c r="W503" s="2">
        <v>83794</v>
      </c>
      <c r="X503" s="2">
        <v>68647</v>
      </c>
      <c r="Y503" s="2">
        <v>55730</v>
      </c>
      <c r="Z503" s="2">
        <v>0</v>
      </c>
      <c r="AA503" s="2">
        <v>0</v>
      </c>
      <c r="AB503" s="2"/>
      <c r="AC503" s="2">
        <v>3647</v>
      </c>
      <c r="AD503" s="2">
        <v>1603</v>
      </c>
      <c r="AE503" s="2">
        <v>1601</v>
      </c>
      <c r="AF503" s="2">
        <v>0</v>
      </c>
      <c r="AG503" s="2">
        <v>0</v>
      </c>
      <c r="AH503" s="2"/>
      <c r="AI503" s="2">
        <v>-10732</v>
      </c>
      <c r="AJ503" s="2">
        <v>-10733</v>
      </c>
      <c r="AK503" s="2">
        <v>-10304</v>
      </c>
      <c r="AL503" s="2">
        <v>-10302</v>
      </c>
      <c r="AM503" s="2">
        <v>-10733</v>
      </c>
    </row>
    <row r="504" spans="1:39">
      <c r="A504" s="349">
        <v>95122</v>
      </c>
      <c r="B504" s="342" t="s">
        <v>1194</v>
      </c>
      <c r="C504" s="234" t="e">
        <f>VLOOKUP(A504,#REF!,10,FALSE)</f>
        <v>#REF!</v>
      </c>
      <c r="E504" s="2">
        <v>10887</v>
      </c>
      <c r="F504" s="2">
        <v>5475</v>
      </c>
      <c r="G504" s="2">
        <v>6586</v>
      </c>
      <c r="H504" s="2">
        <v>3380</v>
      </c>
      <c r="I504" s="2">
        <v>0</v>
      </c>
      <c r="J504" s="2"/>
      <c r="K504" s="2">
        <v>2307</v>
      </c>
      <c r="L504" s="2">
        <v>2170</v>
      </c>
      <c r="M504" s="2">
        <v>1945</v>
      </c>
      <c r="N504" s="2">
        <v>779</v>
      </c>
      <c r="O504" s="2">
        <v>0</v>
      </c>
      <c r="P504" s="2"/>
      <c r="Q504" s="2">
        <v>2449</v>
      </c>
      <c r="R504" s="2">
        <v>-2107</v>
      </c>
      <c r="S504" s="2">
        <v>297</v>
      </c>
      <c r="T504" s="2">
        <v>386</v>
      </c>
      <c r="U504" s="2">
        <v>0</v>
      </c>
      <c r="V504" s="2"/>
      <c r="W504" s="2">
        <v>2759</v>
      </c>
      <c r="X504" s="2">
        <v>2260</v>
      </c>
      <c r="Y504" s="2">
        <v>1835</v>
      </c>
      <c r="Z504" s="2">
        <v>0</v>
      </c>
      <c r="AA504" s="2">
        <v>0</v>
      </c>
      <c r="AB504" s="2"/>
      <c r="AC504" s="2">
        <v>3372</v>
      </c>
      <c r="AD504" s="2">
        <v>3152</v>
      </c>
      <c r="AE504" s="2">
        <v>2509</v>
      </c>
      <c r="AF504" s="2">
        <v>2215</v>
      </c>
      <c r="AG504" s="2">
        <v>0</v>
      </c>
      <c r="AH504" s="2"/>
      <c r="AI504" s="2">
        <v>0</v>
      </c>
      <c r="AJ504" s="2">
        <v>0</v>
      </c>
      <c r="AK504" s="2">
        <v>0</v>
      </c>
      <c r="AL504" s="2">
        <v>0</v>
      </c>
      <c r="AM504" s="2">
        <v>0</v>
      </c>
    </row>
    <row r="505" spans="1:39">
      <c r="A505" s="349">
        <v>95123</v>
      </c>
      <c r="B505" s="342" t="s">
        <v>1195</v>
      </c>
      <c r="C505" s="234" t="e">
        <f>VLOOKUP(A505,#REF!,10,FALSE)</f>
        <v>#REF!</v>
      </c>
      <c r="E505" s="2">
        <v>25302</v>
      </c>
      <c r="F505" s="2">
        <v>7705</v>
      </c>
      <c r="G505" s="2">
        <v>12598</v>
      </c>
      <c r="H505" s="2">
        <v>3296</v>
      </c>
      <c r="I505" s="2">
        <v>0</v>
      </c>
      <c r="J505" s="2"/>
      <c r="K505" s="2">
        <v>7341</v>
      </c>
      <c r="L505" s="2">
        <v>6905</v>
      </c>
      <c r="M505" s="2">
        <v>6189</v>
      </c>
      <c r="N505" s="2">
        <v>2478</v>
      </c>
      <c r="O505" s="2">
        <v>0</v>
      </c>
      <c r="P505" s="2"/>
      <c r="Q505" s="2">
        <v>7793</v>
      </c>
      <c r="R505" s="2">
        <v>-6703</v>
      </c>
      <c r="S505" s="2">
        <v>945</v>
      </c>
      <c r="T505" s="2">
        <v>1230</v>
      </c>
      <c r="U505" s="2">
        <v>0</v>
      </c>
      <c r="V505" s="2"/>
      <c r="W505" s="2">
        <v>8779</v>
      </c>
      <c r="X505" s="2">
        <v>7192</v>
      </c>
      <c r="Y505" s="2">
        <v>5839</v>
      </c>
      <c r="Z505" s="2">
        <v>0</v>
      </c>
      <c r="AA505" s="2">
        <v>0</v>
      </c>
      <c r="AB505" s="2"/>
      <c r="AC505" s="2">
        <v>1802</v>
      </c>
      <c r="AD505" s="2">
        <v>724</v>
      </c>
      <c r="AE505" s="2">
        <v>38</v>
      </c>
      <c r="AF505" s="2">
        <v>0</v>
      </c>
      <c r="AG505" s="2">
        <v>0</v>
      </c>
      <c r="AH505" s="2"/>
      <c r="AI505" s="2">
        <v>-413</v>
      </c>
      <c r="AJ505" s="2">
        <v>-413</v>
      </c>
      <c r="AK505" s="2">
        <v>-413</v>
      </c>
      <c r="AL505" s="2">
        <v>-412</v>
      </c>
      <c r="AM505" s="2">
        <v>-413</v>
      </c>
    </row>
    <row r="506" spans="1:39">
      <c r="A506" s="349">
        <v>95131</v>
      </c>
      <c r="B506" s="342" t="s">
        <v>1196</v>
      </c>
      <c r="C506" s="234" t="e">
        <f>VLOOKUP(A506,#REF!,10,FALSE)</f>
        <v>#REF!</v>
      </c>
      <c r="E506" s="2">
        <v>903918</v>
      </c>
      <c r="F506" s="2">
        <v>296309</v>
      </c>
      <c r="G506" s="2">
        <v>482748</v>
      </c>
      <c r="H506" s="2">
        <v>138017</v>
      </c>
      <c r="I506" s="2">
        <v>0</v>
      </c>
      <c r="J506" s="2"/>
      <c r="K506" s="2">
        <v>268229</v>
      </c>
      <c r="L506" s="2">
        <v>252317</v>
      </c>
      <c r="M506" s="2">
        <v>226149</v>
      </c>
      <c r="N506" s="2">
        <v>90547</v>
      </c>
      <c r="O506" s="2">
        <v>0</v>
      </c>
      <c r="P506" s="2"/>
      <c r="Q506" s="2">
        <v>284763</v>
      </c>
      <c r="R506" s="2">
        <v>-244949</v>
      </c>
      <c r="S506" s="2">
        <v>34523</v>
      </c>
      <c r="T506" s="2">
        <v>44931</v>
      </c>
      <c r="U506" s="2">
        <v>0</v>
      </c>
      <c r="V506" s="2"/>
      <c r="W506" s="2">
        <v>320790</v>
      </c>
      <c r="X506" s="2">
        <v>262802</v>
      </c>
      <c r="Y506" s="2">
        <v>213351</v>
      </c>
      <c r="Z506" s="2">
        <v>0</v>
      </c>
      <c r="AA506" s="2">
        <v>0</v>
      </c>
      <c r="AB506" s="2"/>
      <c r="AC506" s="2">
        <v>30136</v>
      </c>
      <c r="AD506" s="2">
        <v>26139</v>
      </c>
      <c r="AE506" s="2">
        <v>8725</v>
      </c>
      <c r="AF506" s="2">
        <v>2539</v>
      </c>
      <c r="AG506" s="2">
        <v>0</v>
      </c>
      <c r="AH506" s="2"/>
      <c r="AI506" s="2">
        <v>0</v>
      </c>
      <c r="AJ506" s="2">
        <v>0</v>
      </c>
      <c r="AK506" s="2">
        <v>0</v>
      </c>
      <c r="AL506" s="2">
        <v>0</v>
      </c>
      <c r="AM506" s="2">
        <v>0</v>
      </c>
    </row>
    <row r="507" spans="1:39">
      <c r="A507" s="349">
        <v>95141</v>
      </c>
      <c r="B507" s="342" t="s">
        <v>1197</v>
      </c>
      <c r="C507" s="234" t="e">
        <f>VLOOKUP(A507,#REF!,10,FALSE)</f>
        <v>#REF!</v>
      </c>
      <c r="E507" s="2">
        <v>176433</v>
      </c>
      <c r="F507" s="2">
        <v>55139</v>
      </c>
      <c r="G507" s="2">
        <v>98942</v>
      </c>
      <c r="H507" s="2">
        <v>32404</v>
      </c>
      <c r="I507" s="2">
        <v>0</v>
      </c>
      <c r="J507" s="2"/>
      <c r="K507" s="2">
        <v>54080</v>
      </c>
      <c r="L507" s="2">
        <v>50872</v>
      </c>
      <c r="M507" s="2">
        <v>45596</v>
      </c>
      <c r="N507" s="2">
        <v>18256</v>
      </c>
      <c r="O507" s="2">
        <v>0</v>
      </c>
      <c r="P507" s="2"/>
      <c r="Q507" s="2">
        <v>57414</v>
      </c>
      <c r="R507" s="2">
        <v>-49387</v>
      </c>
      <c r="S507" s="2">
        <v>6960</v>
      </c>
      <c r="T507" s="2">
        <v>9059</v>
      </c>
      <c r="U507" s="2">
        <v>0</v>
      </c>
      <c r="V507" s="2"/>
      <c r="W507" s="2">
        <v>64677</v>
      </c>
      <c r="X507" s="2">
        <v>52986</v>
      </c>
      <c r="Y507" s="2">
        <v>43016</v>
      </c>
      <c r="Z507" s="2">
        <v>0</v>
      </c>
      <c r="AA507" s="2">
        <v>0</v>
      </c>
      <c r="AB507" s="2"/>
      <c r="AC507" s="2">
        <v>5089</v>
      </c>
      <c r="AD507" s="2">
        <v>5089</v>
      </c>
      <c r="AE507" s="2">
        <v>5089</v>
      </c>
      <c r="AF507" s="2">
        <v>5089</v>
      </c>
      <c r="AG507" s="2">
        <v>0</v>
      </c>
      <c r="AH507" s="2"/>
      <c r="AI507" s="2">
        <v>-4827</v>
      </c>
      <c r="AJ507" s="2">
        <v>-4421</v>
      </c>
      <c r="AK507" s="2">
        <v>-1719</v>
      </c>
      <c r="AL507" s="2">
        <v>0</v>
      </c>
      <c r="AM507" s="2">
        <v>-4421</v>
      </c>
    </row>
    <row r="508" spans="1:39">
      <c r="A508" s="349">
        <v>95151</v>
      </c>
      <c r="B508" s="342" t="s">
        <v>1198</v>
      </c>
      <c r="C508" s="234" t="e">
        <f>VLOOKUP(A508,#REF!,10,FALSE)</f>
        <v>#REF!</v>
      </c>
      <c r="E508" s="2">
        <v>50246</v>
      </c>
      <c r="F508" s="2">
        <v>13247</v>
      </c>
      <c r="G508" s="2">
        <v>27583</v>
      </c>
      <c r="H508" s="2">
        <v>6704</v>
      </c>
      <c r="I508" s="2">
        <v>0</v>
      </c>
      <c r="J508" s="2"/>
      <c r="K508" s="2">
        <v>16494</v>
      </c>
      <c r="L508" s="2">
        <v>15515</v>
      </c>
      <c r="M508" s="2">
        <v>13906</v>
      </c>
      <c r="N508" s="2">
        <v>5568</v>
      </c>
      <c r="O508" s="2">
        <v>0</v>
      </c>
      <c r="P508" s="2"/>
      <c r="Q508" s="2">
        <v>17510</v>
      </c>
      <c r="R508" s="2">
        <v>-15062</v>
      </c>
      <c r="S508" s="2">
        <v>2123</v>
      </c>
      <c r="T508" s="2">
        <v>2763</v>
      </c>
      <c r="U508" s="2">
        <v>0</v>
      </c>
      <c r="V508" s="2"/>
      <c r="W508" s="2">
        <v>19726</v>
      </c>
      <c r="X508" s="2">
        <v>16160</v>
      </c>
      <c r="Y508" s="2">
        <v>13119</v>
      </c>
      <c r="Z508" s="2">
        <v>0</v>
      </c>
      <c r="AA508" s="2">
        <v>0</v>
      </c>
      <c r="AB508" s="2"/>
      <c r="AC508" s="2">
        <v>62</v>
      </c>
      <c r="AD508" s="2">
        <v>62</v>
      </c>
      <c r="AE508" s="2">
        <v>63</v>
      </c>
      <c r="AF508" s="2">
        <v>0</v>
      </c>
      <c r="AG508" s="2">
        <v>0</v>
      </c>
      <c r="AH508" s="2"/>
      <c r="AI508" s="2">
        <v>-3546</v>
      </c>
      <c r="AJ508" s="2">
        <v>-3428</v>
      </c>
      <c r="AK508" s="2">
        <v>-1628</v>
      </c>
      <c r="AL508" s="2">
        <v>-1627</v>
      </c>
      <c r="AM508" s="2">
        <v>-3428</v>
      </c>
    </row>
    <row r="509" spans="1:39">
      <c r="A509" s="349">
        <v>95161</v>
      </c>
      <c r="B509" s="342" t="s">
        <v>1199</v>
      </c>
      <c r="C509" s="234" t="e">
        <f>VLOOKUP(A509,#REF!,10,FALSE)</f>
        <v>#REF!</v>
      </c>
      <c r="E509" s="2">
        <v>39193</v>
      </c>
      <c r="F509" s="2">
        <v>13933</v>
      </c>
      <c r="G509" s="2">
        <v>21801</v>
      </c>
      <c r="H509" s="2">
        <v>6681</v>
      </c>
      <c r="I509" s="2">
        <v>0</v>
      </c>
      <c r="J509" s="2"/>
      <c r="K509" s="2">
        <v>10666</v>
      </c>
      <c r="L509" s="2">
        <v>10034</v>
      </c>
      <c r="M509" s="2">
        <v>8993</v>
      </c>
      <c r="N509" s="2">
        <v>3601</v>
      </c>
      <c r="O509" s="2">
        <v>0</v>
      </c>
      <c r="P509" s="2"/>
      <c r="Q509" s="2">
        <v>11324</v>
      </c>
      <c r="R509" s="2">
        <v>-9741</v>
      </c>
      <c r="S509" s="2">
        <v>1373</v>
      </c>
      <c r="T509" s="2">
        <v>1787</v>
      </c>
      <c r="U509" s="2">
        <v>0</v>
      </c>
      <c r="V509" s="2"/>
      <c r="W509" s="2">
        <v>12756</v>
      </c>
      <c r="X509" s="2">
        <v>10450</v>
      </c>
      <c r="Y509" s="2">
        <v>8484</v>
      </c>
      <c r="Z509" s="2">
        <v>0</v>
      </c>
      <c r="AA509" s="2">
        <v>0</v>
      </c>
      <c r="AB509" s="2"/>
      <c r="AC509" s="2">
        <v>4447</v>
      </c>
      <c r="AD509" s="2">
        <v>3190</v>
      </c>
      <c r="AE509" s="2">
        <v>2951</v>
      </c>
      <c r="AF509" s="2">
        <v>1293</v>
      </c>
      <c r="AG509" s="2">
        <v>0</v>
      </c>
      <c r="AH509" s="2"/>
      <c r="AI509" s="2">
        <v>0</v>
      </c>
      <c r="AJ509" s="2">
        <v>0</v>
      </c>
      <c r="AK509" s="2">
        <v>0</v>
      </c>
      <c r="AL509" s="2">
        <v>0</v>
      </c>
      <c r="AM509" s="2">
        <v>0</v>
      </c>
    </row>
    <row r="510" spans="1:39">
      <c r="A510" s="349">
        <v>95171</v>
      </c>
      <c r="B510" s="342" t="s">
        <v>1200</v>
      </c>
      <c r="C510" s="234" t="e">
        <f>VLOOKUP(A510,#REF!,10,FALSE)</f>
        <v>#REF!</v>
      </c>
      <c r="E510" s="2">
        <v>53230</v>
      </c>
      <c r="F510" s="2">
        <v>17437</v>
      </c>
      <c r="G510" s="2">
        <v>31738</v>
      </c>
      <c r="H510" s="2">
        <v>13209</v>
      </c>
      <c r="I510" s="2">
        <v>0</v>
      </c>
      <c r="J510" s="2"/>
      <c r="K510" s="2">
        <v>16314</v>
      </c>
      <c r="L510" s="2">
        <v>15346</v>
      </c>
      <c r="M510" s="2">
        <v>13755</v>
      </c>
      <c r="N510" s="2">
        <v>5507</v>
      </c>
      <c r="O510" s="2">
        <v>0</v>
      </c>
      <c r="P510" s="2"/>
      <c r="Q510" s="2">
        <v>17320</v>
      </c>
      <c r="R510" s="2">
        <v>-14898</v>
      </c>
      <c r="S510" s="2">
        <v>2100</v>
      </c>
      <c r="T510" s="2">
        <v>2733</v>
      </c>
      <c r="U510" s="2">
        <v>0</v>
      </c>
      <c r="V510" s="2"/>
      <c r="W510" s="2">
        <v>19511</v>
      </c>
      <c r="X510" s="2">
        <v>15984</v>
      </c>
      <c r="Y510" s="2">
        <v>12976</v>
      </c>
      <c r="Z510" s="2">
        <v>0</v>
      </c>
      <c r="AA510" s="2">
        <v>0</v>
      </c>
      <c r="AB510" s="2"/>
      <c r="AC510" s="2">
        <v>4970</v>
      </c>
      <c r="AD510" s="2">
        <v>4970</v>
      </c>
      <c r="AE510" s="2">
        <v>4970</v>
      </c>
      <c r="AF510" s="2">
        <v>4969</v>
      </c>
      <c r="AG510" s="2">
        <v>0</v>
      </c>
      <c r="AH510" s="2"/>
      <c r="AI510" s="2">
        <v>-4885</v>
      </c>
      <c r="AJ510" s="2">
        <v>-3965</v>
      </c>
      <c r="AK510" s="2">
        <v>-2063</v>
      </c>
      <c r="AL510" s="2">
        <v>0</v>
      </c>
      <c r="AM510" s="2">
        <v>-3965</v>
      </c>
    </row>
    <row r="511" spans="1:39">
      <c r="A511" s="349">
        <v>95181</v>
      </c>
      <c r="B511" s="342" t="s">
        <v>1201</v>
      </c>
      <c r="C511" s="234" t="e">
        <f>VLOOKUP(A511,#REF!,10,FALSE)</f>
        <v>#REF!</v>
      </c>
      <c r="E511" s="2">
        <v>22594</v>
      </c>
      <c r="F511" s="2">
        <v>3793</v>
      </c>
      <c r="G511" s="2">
        <v>11783</v>
      </c>
      <c r="H511" s="2">
        <v>1428</v>
      </c>
      <c r="I511" s="2">
        <v>0</v>
      </c>
      <c r="J511" s="2"/>
      <c r="K511" s="2">
        <v>8943</v>
      </c>
      <c r="L511" s="2">
        <v>8413</v>
      </c>
      <c r="M511" s="2">
        <v>7540</v>
      </c>
      <c r="N511" s="2">
        <v>3019</v>
      </c>
      <c r="O511" s="2">
        <v>0</v>
      </c>
      <c r="P511" s="2"/>
      <c r="Q511" s="2">
        <v>9495</v>
      </c>
      <c r="R511" s="2">
        <v>-8167</v>
      </c>
      <c r="S511" s="2">
        <v>1151</v>
      </c>
      <c r="T511" s="2">
        <v>1498</v>
      </c>
      <c r="U511" s="2">
        <v>0</v>
      </c>
      <c r="V511" s="2"/>
      <c r="W511" s="2">
        <v>10696</v>
      </c>
      <c r="X511" s="2">
        <v>8763</v>
      </c>
      <c r="Y511" s="2">
        <v>7114</v>
      </c>
      <c r="Z511" s="2">
        <v>0</v>
      </c>
      <c r="AA511" s="2">
        <v>0</v>
      </c>
      <c r="AB511" s="2"/>
      <c r="AC511" s="2">
        <v>0</v>
      </c>
      <c r="AD511" s="2">
        <v>0</v>
      </c>
      <c r="AE511" s="2">
        <v>0</v>
      </c>
      <c r="AF511" s="2">
        <v>0</v>
      </c>
      <c r="AG511" s="2">
        <v>0</v>
      </c>
      <c r="AH511" s="2"/>
      <c r="AI511" s="2">
        <v>-6540</v>
      </c>
      <c r="AJ511" s="2">
        <v>-5216</v>
      </c>
      <c r="AK511" s="2">
        <v>-4022</v>
      </c>
      <c r="AL511" s="2">
        <v>-3089</v>
      </c>
      <c r="AM511" s="2">
        <v>-5216</v>
      </c>
    </row>
    <row r="512" spans="1:39">
      <c r="A512" s="349">
        <v>95191</v>
      </c>
      <c r="B512" s="342" t="s">
        <v>1202</v>
      </c>
      <c r="C512" s="234" t="e">
        <f>VLOOKUP(A512,#REF!,10,FALSE)</f>
        <v>#REF!</v>
      </c>
      <c r="E512" s="2">
        <v>44641</v>
      </c>
      <c r="F512" s="2">
        <v>21353</v>
      </c>
      <c r="G512" s="2">
        <v>28449</v>
      </c>
      <c r="H512" s="2">
        <v>13680</v>
      </c>
      <c r="I512" s="2">
        <v>0</v>
      </c>
      <c r="J512" s="2"/>
      <c r="K512" s="2">
        <v>11056</v>
      </c>
      <c r="L512" s="2">
        <v>10400</v>
      </c>
      <c r="M512" s="2">
        <v>9321</v>
      </c>
      <c r="N512" s="2">
        <v>3732</v>
      </c>
      <c r="O512" s="2">
        <v>0</v>
      </c>
      <c r="P512" s="2"/>
      <c r="Q512" s="2">
        <v>11737</v>
      </c>
      <c r="R512" s="2">
        <v>-10096</v>
      </c>
      <c r="S512" s="2">
        <v>1423</v>
      </c>
      <c r="T512" s="2">
        <v>1852</v>
      </c>
      <c r="U512" s="2">
        <v>0</v>
      </c>
      <c r="V512" s="2"/>
      <c r="W512" s="2">
        <v>13222</v>
      </c>
      <c r="X512" s="2">
        <v>10832</v>
      </c>
      <c r="Y512" s="2">
        <v>8794</v>
      </c>
      <c r="Z512" s="2">
        <v>0</v>
      </c>
      <c r="AA512" s="2">
        <v>0</v>
      </c>
      <c r="AB512" s="2"/>
      <c r="AC512" s="2">
        <v>10217</v>
      </c>
      <c r="AD512" s="2">
        <v>10217</v>
      </c>
      <c r="AE512" s="2">
        <v>8911</v>
      </c>
      <c r="AF512" s="2">
        <v>8096</v>
      </c>
      <c r="AG512" s="2">
        <v>0</v>
      </c>
      <c r="AH512" s="2"/>
      <c r="AI512" s="2">
        <v>-1591</v>
      </c>
      <c r="AJ512" s="2">
        <v>0</v>
      </c>
      <c r="AK512" s="2">
        <v>0</v>
      </c>
      <c r="AL512" s="2">
        <v>0</v>
      </c>
      <c r="AM512" s="2">
        <v>0</v>
      </c>
    </row>
    <row r="513" spans="1:39">
      <c r="A513" s="349">
        <v>95201</v>
      </c>
      <c r="B513" s="342" t="s">
        <v>1203</v>
      </c>
      <c r="C513" s="234" t="e">
        <f>VLOOKUP(A513,#REF!,10,FALSE)</f>
        <v>#REF!</v>
      </c>
      <c r="E513" s="2">
        <v>303918</v>
      </c>
      <c r="F513" s="2">
        <v>82672</v>
      </c>
      <c r="G513" s="2">
        <v>156701</v>
      </c>
      <c r="H513" s="2">
        <v>38829</v>
      </c>
      <c r="I513" s="2">
        <v>0</v>
      </c>
      <c r="J513" s="2"/>
      <c r="K513" s="2">
        <v>97479</v>
      </c>
      <c r="L513" s="2">
        <v>91697</v>
      </c>
      <c r="M513" s="2">
        <v>82187</v>
      </c>
      <c r="N513" s="2">
        <v>32907</v>
      </c>
      <c r="O513" s="2">
        <v>0</v>
      </c>
      <c r="P513" s="2"/>
      <c r="Q513" s="2">
        <v>103488</v>
      </c>
      <c r="R513" s="2">
        <v>-89019</v>
      </c>
      <c r="S513" s="2">
        <v>12546</v>
      </c>
      <c r="T513" s="2">
        <v>16329</v>
      </c>
      <c r="U513" s="2">
        <v>0</v>
      </c>
      <c r="V513" s="2"/>
      <c r="W513" s="2">
        <v>116581</v>
      </c>
      <c r="X513" s="2">
        <v>95507</v>
      </c>
      <c r="Y513" s="2">
        <v>77535</v>
      </c>
      <c r="Z513" s="2">
        <v>0</v>
      </c>
      <c r="AA513" s="2">
        <v>0</v>
      </c>
      <c r="AB513" s="2"/>
      <c r="AC513" s="2">
        <v>1937</v>
      </c>
      <c r="AD513" s="2">
        <v>54</v>
      </c>
      <c r="AE513" s="2">
        <v>0</v>
      </c>
      <c r="AF513" s="2">
        <v>0</v>
      </c>
      <c r="AG513" s="2">
        <v>0</v>
      </c>
      <c r="AH513" s="2"/>
      <c r="AI513" s="2">
        <v>-15567</v>
      </c>
      <c r="AJ513" s="2">
        <v>-15567</v>
      </c>
      <c r="AK513" s="2">
        <v>-15567</v>
      </c>
      <c r="AL513" s="2">
        <v>-10407</v>
      </c>
      <c r="AM513" s="2">
        <v>-15567</v>
      </c>
    </row>
    <row r="514" spans="1:39">
      <c r="A514" s="349">
        <v>95204</v>
      </c>
      <c r="B514" s="342" t="s">
        <v>1204</v>
      </c>
      <c r="C514" s="234" t="e">
        <f>VLOOKUP(A514,#REF!,10,FALSE)</f>
        <v>#REF!</v>
      </c>
      <c r="E514" s="2">
        <v>2523</v>
      </c>
      <c r="F514" s="2">
        <v>778</v>
      </c>
      <c r="G514" s="2">
        <v>973</v>
      </c>
      <c r="H514" s="2">
        <v>-35</v>
      </c>
      <c r="I514" s="2">
        <v>0</v>
      </c>
      <c r="J514" s="2"/>
      <c r="K514" s="2">
        <v>854</v>
      </c>
      <c r="L514" s="2">
        <v>803</v>
      </c>
      <c r="M514" s="2">
        <v>720</v>
      </c>
      <c r="N514" s="2">
        <v>288</v>
      </c>
      <c r="O514" s="2">
        <v>0</v>
      </c>
      <c r="P514" s="2"/>
      <c r="Q514" s="2">
        <v>907</v>
      </c>
      <c r="R514" s="2">
        <v>-780</v>
      </c>
      <c r="S514" s="2">
        <v>110</v>
      </c>
      <c r="T514" s="2">
        <v>143</v>
      </c>
      <c r="U514" s="2">
        <v>0</v>
      </c>
      <c r="V514" s="2"/>
      <c r="W514" s="2">
        <v>1021</v>
      </c>
      <c r="X514" s="2">
        <v>837</v>
      </c>
      <c r="Y514" s="2">
        <v>679</v>
      </c>
      <c r="Z514" s="2">
        <v>0</v>
      </c>
      <c r="AA514" s="2">
        <v>0</v>
      </c>
      <c r="AB514" s="2"/>
      <c r="AC514" s="2">
        <v>456</v>
      </c>
      <c r="AD514" s="2">
        <v>456</v>
      </c>
      <c r="AE514" s="2">
        <v>0</v>
      </c>
      <c r="AF514" s="2">
        <v>0</v>
      </c>
      <c r="AG514" s="2">
        <v>0</v>
      </c>
      <c r="AH514" s="2"/>
      <c r="AI514" s="2">
        <v>-715</v>
      </c>
      <c r="AJ514" s="2">
        <v>-538</v>
      </c>
      <c r="AK514" s="2">
        <v>-536</v>
      </c>
      <c r="AL514" s="2">
        <v>-466</v>
      </c>
      <c r="AM514" s="2">
        <v>-538</v>
      </c>
    </row>
    <row r="515" spans="1:39">
      <c r="A515" s="349">
        <v>95205</v>
      </c>
      <c r="B515" s="342" t="s">
        <v>1205</v>
      </c>
      <c r="C515" s="234" t="e">
        <f>VLOOKUP(A515,#REF!,10,FALSE)</f>
        <v>#REF!</v>
      </c>
      <c r="E515" s="2">
        <v>1619</v>
      </c>
      <c r="F515" s="2">
        <v>648</v>
      </c>
      <c r="G515" s="2">
        <v>929</v>
      </c>
      <c r="H515" s="2">
        <v>658</v>
      </c>
      <c r="I515" s="2">
        <v>0</v>
      </c>
      <c r="J515" s="2"/>
      <c r="K515" s="2">
        <v>404</v>
      </c>
      <c r="L515" s="2">
        <v>380</v>
      </c>
      <c r="M515" s="2">
        <v>341</v>
      </c>
      <c r="N515" s="2">
        <v>137</v>
      </c>
      <c r="O515" s="2">
        <v>0</v>
      </c>
      <c r="P515" s="2"/>
      <c r="Q515" s="2">
        <v>429</v>
      </c>
      <c r="R515" s="2">
        <v>-369</v>
      </c>
      <c r="S515" s="2">
        <v>52</v>
      </c>
      <c r="T515" s="2">
        <v>68</v>
      </c>
      <c r="U515" s="2">
        <v>0</v>
      </c>
      <c r="V515" s="2"/>
      <c r="W515" s="2">
        <v>484</v>
      </c>
      <c r="X515" s="2">
        <v>396</v>
      </c>
      <c r="Y515" s="2">
        <v>322</v>
      </c>
      <c r="Z515" s="2">
        <v>0</v>
      </c>
      <c r="AA515" s="2">
        <v>0</v>
      </c>
      <c r="AB515" s="2"/>
      <c r="AC515" s="2">
        <v>539</v>
      </c>
      <c r="AD515" s="2">
        <v>478</v>
      </c>
      <c r="AE515" s="2">
        <v>452</v>
      </c>
      <c r="AF515" s="2">
        <v>453</v>
      </c>
      <c r="AG515" s="2">
        <v>0</v>
      </c>
      <c r="AH515" s="2"/>
      <c r="AI515" s="2">
        <v>-237</v>
      </c>
      <c r="AJ515" s="2">
        <v>-237</v>
      </c>
      <c r="AK515" s="2">
        <v>-238</v>
      </c>
      <c r="AL515" s="2">
        <v>0</v>
      </c>
      <c r="AM515" s="2">
        <v>-237</v>
      </c>
    </row>
    <row r="516" spans="1:39">
      <c r="A516" s="349">
        <v>95211</v>
      </c>
      <c r="B516" s="342" t="s">
        <v>1206</v>
      </c>
      <c r="C516" s="234" t="e">
        <f>VLOOKUP(A516,#REF!,10,FALSE)</f>
        <v>#REF!</v>
      </c>
      <c r="E516" s="2">
        <v>2494</v>
      </c>
      <c r="F516" s="2">
        <v>339</v>
      </c>
      <c r="G516" s="2">
        <v>980</v>
      </c>
      <c r="H516" s="2">
        <v>404</v>
      </c>
      <c r="I516" s="2">
        <v>0</v>
      </c>
      <c r="J516" s="2"/>
      <c r="K516" s="2">
        <v>764</v>
      </c>
      <c r="L516" s="2">
        <v>719</v>
      </c>
      <c r="M516" s="2">
        <v>644</v>
      </c>
      <c r="N516" s="2">
        <v>258</v>
      </c>
      <c r="O516" s="2">
        <v>0</v>
      </c>
      <c r="P516" s="2"/>
      <c r="Q516" s="2">
        <v>811</v>
      </c>
      <c r="R516" s="2">
        <v>-698</v>
      </c>
      <c r="S516" s="2">
        <v>98</v>
      </c>
      <c r="T516" s="2">
        <v>128</v>
      </c>
      <c r="U516" s="2">
        <v>0</v>
      </c>
      <c r="V516" s="2"/>
      <c r="W516" s="2">
        <v>914</v>
      </c>
      <c r="X516" s="2">
        <v>749</v>
      </c>
      <c r="Y516" s="2">
        <v>608</v>
      </c>
      <c r="Z516" s="2">
        <v>0</v>
      </c>
      <c r="AA516" s="2">
        <v>0</v>
      </c>
      <c r="AB516" s="2"/>
      <c r="AC516" s="2">
        <v>454</v>
      </c>
      <c r="AD516" s="2">
        <v>17</v>
      </c>
      <c r="AE516" s="2">
        <v>17</v>
      </c>
      <c r="AF516" s="2">
        <v>18</v>
      </c>
      <c r="AG516" s="2">
        <v>0</v>
      </c>
      <c r="AH516" s="2"/>
      <c r="AI516" s="2">
        <v>-449</v>
      </c>
      <c r="AJ516" s="2">
        <v>-448</v>
      </c>
      <c r="AK516" s="2">
        <v>-387</v>
      </c>
      <c r="AL516" s="2">
        <v>0</v>
      </c>
      <c r="AM516" s="2">
        <v>-448</v>
      </c>
    </row>
    <row r="517" spans="1:39">
      <c r="A517" s="349">
        <v>95221</v>
      </c>
      <c r="B517" s="342" t="s">
        <v>1207</v>
      </c>
      <c r="C517" s="234" t="e">
        <f>VLOOKUP(A517,#REF!,10,FALSE)</f>
        <v>#REF!</v>
      </c>
      <c r="E517" s="2">
        <v>28976</v>
      </c>
      <c r="F517" s="2">
        <v>12784</v>
      </c>
      <c r="G517" s="2">
        <v>14395</v>
      </c>
      <c r="H517" s="2">
        <v>2494</v>
      </c>
      <c r="I517" s="2">
        <v>0</v>
      </c>
      <c r="J517" s="2"/>
      <c r="K517" s="2">
        <v>8150</v>
      </c>
      <c r="L517" s="2">
        <v>7666</v>
      </c>
      <c r="M517" s="2">
        <v>6871</v>
      </c>
      <c r="N517" s="2">
        <v>2751</v>
      </c>
      <c r="O517" s="2">
        <v>0</v>
      </c>
      <c r="P517" s="2"/>
      <c r="Q517" s="2">
        <v>8652</v>
      </c>
      <c r="R517" s="2">
        <v>-7442</v>
      </c>
      <c r="S517" s="2">
        <v>1049</v>
      </c>
      <c r="T517" s="2">
        <v>1365</v>
      </c>
      <c r="U517" s="2">
        <v>0</v>
      </c>
      <c r="V517" s="2"/>
      <c r="W517" s="2">
        <v>9746</v>
      </c>
      <c r="X517" s="2">
        <v>7985</v>
      </c>
      <c r="Y517" s="2">
        <v>6482</v>
      </c>
      <c r="Z517" s="2">
        <v>0</v>
      </c>
      <c r="AA517" s="2">
        <v>0</v>
      </c>
      <c r="AB517" s="2"/>
      <c r="AC517" s="2">
        <v>6196</v>
      </c>
      <c r="AD517" s="2">
        <v>6197</v>
      </c>
      <c r="AE517" s="2">
        <v>1615</v>
      </c>
      <c r="AF517" s="2">
        <v>0</v>
      </c>
      <c r="AG517" s="2">
        <v>0</v>
      </c>
      <c r="AH517" s="2"/>
      <c r="AI517" s="2">
        <v>-3768</v>
      </c>
      <c r="AJ517" s="2">
        <v>-1622</v>
      </c>
      <c r="AK517" s="2">
        <v>-1622</v>
      </c>
      <c r="AL517" s="2">
        <v>-1622</v>
      </c>
      <c r="AM517" s="2">
        <v>-1622</v>
      </c>
    </row>
    <row r="518" spans="1:39">
      <c r="A518" s="349">
        <v>95301</v>
      </c>
      <c r="B518" s="342" t="s">
        <v>1208</v>
      </c>
      <c r="C518" s="234" t="e">
        <f>VLOOKUP(A518,#REF!,10,FALSE)</f>
        <v>#REF!</v>
      </c>
      <c r="E518" s="2">
        <v>1034055</v>
      </c>
      <c r="F518" s="2">
        <v>303957</v>
      </c>
      <c r="G518" s="2">
        <v>543155</v>
      </c>
      <c r="H518" s="2">
        <v>141801</v>
      </c>
      <c r="I518" s="2">
        <v>0</v>
      </c>
      <c r="J518" s="2"/>
      <c r="K518" s="2">
        <v>322999</v>
      </c>
      <c r="L518" s="2">
        <v>303838</v>
      </c>
      <c r="M518" s="2">
        <v>272326</v>
      </c>
      <c r="N518" s="2">
        <v>109036</v>
      </c>
      <c r="O518" s="2">
        <v>0</v>
      </c>
      <c r="P518" s="2"/>
      <c r="Q518" s="2">
        <v>342908</v>
      </c>
      <c r="R518" s="2">
        <v>-294965</v>
      </c>
      <c r="S518" s="2">
        <v>41572</v>
      </c>
      <c r="T518" s="2">
        <v>54105</v>
      </c>
      <c r="U518" s="2">
        <v>0</v>
      </c>
      <c r="V518" s="2"/>
      <c r="W518" s="2">
        <v>386291</v>
      </c>
      <c r="X518" s="2">
        <v>316464</v>
      </c>
      <c r="Y518" s="2">
        <v>256914</v>
      </c>
      <c r="Z518" s="2">
        <v>0</v>
      </c>
      <c r="AA518" s="2">
        <v>0</v>
      </c>
      <c r="AB518" s="2"/>
      <c r="AC518" s="2">
        <v>9514</v>
      </c>
      <c r="AD518" s="2">
        <v>6277</v>
      </c>
      <c r="AE518" s="2">
        <v>0</v>
      </c>
      <c r="AF518" s="2">
        <v>0</v>
      </c>
      <c r="AG518" s="2">
        <v>0</v>
      </c>
      <c r="AH518" s="2"/>
      <c r="AI518" s="2">
        <v>-27657</v>
      </c>
      <c r="AJ518" s="2">
        <v>-27657</v>
      </c>
      <c r="AK518" s="2">
        <v>-27657</v>
      </c>
      <c r="AL518" s="2">
        <v>-21340</v>
      </c>
      <c r="AM518" s="2">
        <v>-27657</v>
      </c>
    </row>
    <row r="519" spans="1:39">
      <c r="A519" s="349">
        <v>95311</v>
      </c>
      <c r="B519" s="342" t="s">
        <v>1209</v>
      </c>
      <c r="C519" s="234" t="e">
        <f>VLOOKUP(A519,#REF!,10,FALSE)</f>
        <v>#REF!</v>
      </c>
      <c r="E519" s="2">
        <v>1242896</v>
      </c>
      <c r="F519" s="2">
        <v>401010</v>
      </c>
      <c r="G519" s="2">
        <v>685602</v>
      </c>
      <c r="H519" s="2">
        <v>195082</v>
      </c>
      <c r="I519" s="2">
        <v>0</v>
      </c>
      <c r="J519" s="2"/>
      <c r="K519" s="2">
        <v>386202</v>
      </c>
      <c r="L519" s="2">
        <v>363292</v>
      </c>
      <c r="M519" s="2">
        <v>325614</v>
      </c>
      <c r="N519" s="2">
        <v>130372</v>
      </c>
      <c r="O519" s="2">
        <v>0</v>
      </c>
      <c r="P519" s="2"/>
      <c r="Q519" s="2">
        <v>410008</v>
      </c>
      <c r="R519" s="2">
        <v>-352683</v>
      </c>
      <c r="S519" s="2">
        <v>49706</v>
      </c>
      <c r="T519" s="2">
        <v>64692</v>
      </c>
      <c r="U519" s="2">
        <v>0</v>
      </c>
      <c r="V519" s="2"/>
      <c r="W519" s="2">
        <v>461880</v>
      </c>
      <c r="X519" s="2">
        <v>378389</v>
      </c>
      <c r="Y519" s="2">
        <v>307187</v>
      </c>
      <c r="Z519" s="2">
        <v>0</v>
      </c>
      <c r="AA519" s="2">
        <v>0</v>
      </c>
      <c r="AB519" s="2"/>
      <c r="AC519" s="2">
        <v>12012</v>
      </c>
      <c r="AD519" s="2">
        <v>12012</v>
      </c>
      <c r="AE519" s="2">
        <v>3095</v>
      </c>
      <c r="AF519" s="2">
        <v>18</v>
      </c>
      <c r="AG519" s="2">
        <v>0</v>
      </c>
      <c r="AH519" s="2"/>
      <c r="AI519" s="2">
        <v>-27206</v>
      </c>
      <c r="AJ519" s="2">
        <v>0</v>
      </c>
      <c r="AK519" s="2">
        <v>0</v>
      </c>
      <c r="AL519" s="2">
        <v>0</v>
      </c>
      <c r="AM519" s="2">
        <v>0</v>
      </c>
    </row>
    <row r="520" spans="1:39">
      <c r="A520" s="349">
        <v>95317</v>
      </c>
      <c r="B520" s="342" t="s">
        <v>1210</v>
      </c>
      <c r="C520" s="234" t="e">
        <f>VLOOKUP(A520,#REF!,10,FALSE)</f>
        <v>#REF!</v>
      </c>
      <c r="E520" s="2">
        <v>23063</v>
      </c>
      <c r="F520" s="2">
        <v>8524</v>
      </c>
      <c r="G520" s="2">
        <v>12711</v>
      </c>
      <c r="H520" s="2">
        <v>4518</v>
      </c>
      <c r="I520" s="2">
        <v>0</v>
      </c>
      <c r="J520" s="2"/>
      <c r="K520" s="2">
        <v>6292</v>
      </c>
      <c r="L520" s="2">
        <v>5919</v>
      </c>
      <c r="M520" s="2">
        <v>5305</v>
      </c>
      <c r="N520" s="2">
        <v>2124</v>
      </c>
      <c r="O520" s="2">
        <v>0</v>
      </c>
      <c r="P520" s="2"/>
      <c r="Q520" s="2">
        <v>6680</v>
      </c>
      <c r="R520" s="2">
        <v>-5746</v>
      </c>
      <c r="S520" s="2">
        <v>810</v>
      </c>
      <c r="T520" s="2">
        <v>1054</v>
      </c>
      <c r="U520" s="2">
        <v>0</v>
      </c>
      <c r="V520" s="2"/>
      <c r="W520" s="2">
        <v>7525</v>
      </c>
      <c r="X520" s="2">
        <v>6165</v>
      </c>
      <c r="Y520" s="2">
        <v>5005</v>
      </c>
      <c r="Z520" s="2">
        <v>0</v>
      </c>
      <c r="AA520" s="2">
        <v>0</v>
      </c>
      <c r="AB520" s="2"/>
      <c r="AC520" s="2">
        <v>2566</v>
      </c>
      <c r="AD520" s="2">
        <v>2186</v>
      </c>
      <c r="AE520" s="2">
        <v>1591</v>
      </c>
      <c r="AF520" s="2">
        <v>1340</v>
      </c>
      <c r="AG520" s="2">
        <v>0</v>
      </c>
      <c r="AH520" s="2"/>
      <c r="AI520" s="2">
        <v>0</v>
      </c>
      <c r="AJ520" s="2">
        <v>0</v>
      </c>
      <c r="AK520" s="2">
        <v>0</v>
      </c>
      <c r="AL520" s="2">
        <v>0</v>
      </c>
      <c r="AM520" s="2">
        <v>0</v>
      </c>
    </row>
    <row r="521" spans="1:39">
      <c r="A521" s="349">
        <v>95321</v>
      </c>
      <c r="B521" s="342" t="s">
        <v>1211</v>
      </c>
      <c r="C521" s="234" t="e">
        <f>VLOOKUP(A521,#REF!,10,FALSE)</f>
        <v>#REF!</v>
      </c>
      <c r="E521" s="2">
        <v>24833</v>
      </c>
      <c r="F521" s="2">
        <v>8275</v>
      </c>
      <c r="G521" s="2">
        <v>14333</v>
      </c>
      <c r="H521" s="2">
        <v>3884</v>
      </c>
      <c r="I521" s="2">
        <v>0</v>
      </c>
      <c r="J521" s="2"/>
      <c r="K521" s="2">
        <v>7266</v>
      </c>
      <c r="L521" s="2">
        <v>6835</v>
      </c>
      <c r="M521" s="2">
        <v>6126</v>
      </c>
      <c r="N521" s="2">
        <v>2453</v>
      </c>
      <c r="O521" s="2">
        <v>0</v>
      </c>
      <c r="P521" s="2"/>
      <c r="Q521" s="2">
        <v>7713</v>
      </c>
      <c r="R521" s="2">
        <v>-6635</v>
      </c>
      <c r="S521" s="2">
        <v>935</v>
      </c>
      <c r="T521" s="2">
        <v>1217</v>
      </c>
      <c r="U521" s="2">
        <v>0</v>
      </c>
      <c r="V521" s="2"/>
      <c r="W521" s="2">
        <v>8689</v>
      </c>
      <c r="X521" s="2">
        <v>7119</v>
      </c>
      <c r="Y521" s="2">
        <v>5779</v>
      </c>
      <c r="Z521" s="2">
        <v>0</v>
      </c>
      <c r="AA521" s="2">
        <v>0</v>
      </c>
      <c r="AB521" s="2"/>
      <c r="AC521" s="2">
        <v>1705</v>
      </c>
      <c r="AD521" s="2">
        <v>1494</v>
      </c>
      <c r="AE521" s="2">
        <v>1493</v>
      </c>
      <c r="AF521" s="2">
        <v>214</v>
      </c>
      <c r="AG521" s="2">
        <v>0</v>
      </c>
      <c r="AH521" s="2"/>
      <c r="AI521" s="2">
        <v>-540</v>
      </c>
      <c r="AJ521" s="2">
        <v>-538</v>
      </c>
      <c r="AK521" s="2">
        <v>0</v>
      </c>
      <c r="AL521" s="2">
        <v>0</v>
      </c>
      <c r="AM521" s="2">
        <v>-538</v>
      </c>
    </row>
    <row r="522" spans="1:39">
      <c r="A522" s="349">
        <v>95401</v>
      </c>
      <c r="B522" s="342" t="s">
        <v>1212</v>
      </c>
      <c r="C522" s="234" t="e">
        <f>VLOOKUP(A522,#REF!,10,FALSE)</f>
        <v>#REF!</v>
      </c>
      <c r="E522" s="2">
        <v>1385510</v>
      </c>
      <c r="F522" s="2">
        <v>402303</v>
      </c>
      <c r="G522" s="2">
        <v>737712</v>
      </c>
      <c r="H522" s="2">
        <v>218397</v>
      </c>
      <c r="I522" s="2">
        <v>0</v>
      </c>
      <c r="J522" s="2"/>
      <c r="K522" s="2">
        <v>434785</v>
      </c>
      <c r="L522" s="2">
        <v>408992</v>
      </c>
      <c r="M522" s="2">
        <v>366575</v>
      </c>
      <c r="N522" s="2">
        <v>146772</v>
      </c>
      <c r="O522" s="2">
        <v>0</v>
      </c>
      <c r="P522" s="2"/>
      <c r="Q522" s="2">
        <v>461585</v>
      </c>
      <c r="R522" s="2">
        <v>-397049</v>
      </c>
      <c r="S522" s="2">
        <v>55959</v>
      </c>
      <c r="T522" s="2">
        <v>72830</v>
      </c>
      <c r="U522" s="2">
        <v>0</v>
      </c>
      <c r="V522" s="2"/>
      <c r="W522" s="2">
        <v>519982</v>
      </c>
      <c r="X522" s="2">
        <v>425988</v>
      </c>
      <c r="Y522" s="2">
        <v>345829</v>
      </c>
      <c r="Z522" s="2">
        <v>0</v>
      </c>
      <c r="AA522" s="2">
        <v>0</v>
      </c>
      <c r="AB522" s="2"/>
      <c r="AC522" s="2">
        <v>4785</v>
      </c>
      <c r="AD522" s="2">
        <v>0</v>
      </c>
      <c r="AE522" s="2">
        <v>0</v>
      </c>
      <c r="AF522" s="2">
        <v>0</v>
      </c>
      <c r="AG522" s="2">
        <v>0</v>
      </c>
      <c r="AH522" s="2"/>
      <c r="AI522" s="2">
        <v>-35627</v>
      </c>
      <c r="AJ522" s="2">
        <v>-35628</v>
      </c>
      <c r="AK522" s="2">
        <v>-30651</v>
      </c>
      <c r="AL522" s="2">
        <v>-1205</v>
      </c>
      <c r="AM522" s="2">
        <v>-35628</v>
      </c>
    </row>
    <row r="523" spans="1:39">
      <c r="A523" s="349">
        <v>95404</v>
      </c>
      <c r="B523" s="342" t="s">
        <v>1213</v>
      </c>
      <c r="C523" s="234" t="e">
        <f>VLOOKUP(A523,#REF!,10,FALSE)</f>
        <v>#REF!</v>
      </c>
      <c r="E523" s="2">
        <v>21401</v>
      </c>
      <c r="F523" s="2">
        <v>5029</v>
      </c>
      <c r="G523" s="2">
        <v>10025</v>
      </c>
      <c r="H523" s="2">
        <v>2387</v>
      </c>
      <c r="I523" s="2">
        <v>0</v>
      </c>
      <c r="J523" s="2"/>
      <c r="K523" s="2">
        <v>6711</v>
      </c>
      <c r="L523" s="2">
        <v>6313</v>
      </c>
      <c r="M523" s="2">
        <v>5658</v>
      </c>
      <c r="N523" s="2">
        <v>2266</v>
      </c>
      <c r="O523" s="2">
        <v>0</v>
      </c>
      <c r="P523" s="2"/>
      <c r="Q523" s="2">
        <v>7125</v>
      </c>
      <c r="R523" s="2">
        <v>-6129</v>
      </c>
      <c r="S523" s="2">
        <v>864</v>
      </c>
      <c r="T523" s="2">
        <v>1124</v>
      </c>
      <c r="U523" s="2">
        <v>0</v>
      </c>
      <c r="V523" s="2"/>
      <c r="W523" s="2">
        <v>8026</v>
      </c>
      <c r="X523" s="2">
        <v>6576</v>
      </c>
      <c r="Y523" s="2">
        <v>5338</v>
      </c>
      <c r="Z523" s="2">
        <v>0</v>
      </c>
      <c r="AA523" s="2">
        <v>0</v>
      </c>
      <c r="AB523" s="2"/>
      <c r="AC523" s="2">
        <v>1374</v>
      </c>
      <c r="AD523" s="2">
        <v>104</v>
      </c>
      <c r="AE523" s="2">
        <v>0</v>
      </c>
      <c r="AF523" s="2">
        <v>0</v>
      </c>
      <c r="AG523" s="2">
        <v>0</v>
      </c>
      <c r="AH523" s="2"/>
      <c r="AI523" s="2">
        <v>-1835</v>
      </c>
      <c r="AJ523" s="2">
        <v>-1835</v>
      </c>
      <c r="AK523" s="2">
        <v>-1835</v>
      </c>
      <c r="AL523" s="2">
        <v>-1003</v>
      </c>
      <c r="AM523" s="2">
        <v>-1835</v>
      </c>
    </row>
    <row r="524" spans="1:39">
      <c r="A524" s="349">
        <v>95405</v>
      </c>
      <c r="B524" s="342" t="s">
        <v>1214</v>
      </c>
      <c r="C524" s="234" t="e">
        <f>VLOOKUP(A524,#REF!,10,FALSE)</f>
        <v>#REF!</v>
      </c>
      <c r="E524" s="2">
        <v>25261</v>
      </c>
      <c r="F524" s="2">
        <v>12471</v>
      </c>
      <c r="G524" s="2">
        <v>14551</v>
      </c>
      <c r="H524" s="2">
        <v>6193</v>
      </c>
      <c r="I524" s="2">
        <v>0</v>
      </c>
      <c r="J524" s="2"/>
      <c r="K524" s="2">
        <v>5004</v>
      </c>
      <c r="L524" s="2">
        <v>4707</v>
      </c>
      <c r="M524" s="2">
        <v>4219</v>
      </c>
      <c r="N524" s="2">
        <v>1689</v>
      </c>
      <c r="O524" s="2">
        <v>0</v>
      </c>
      <c r="P524" s="2"/>
      <c r="Q524" s="2">
        <v>5312</v>
      </c>
      <c r="R524" s="2">
        <v>-4569</v>
      </c>
      <c r="S524" s="2">
        <v>644</v>
      </c>
      <c r="T524" s="2">
        <v>838</v>
      </c>
      <c r="U524" s="2">
        <v>0</v>
      </c>
      <c r="V524" s="2"/>
      <c r="W524" s="2">
        <v>5984</v>
      </c>
      <c r="X524" s="2">
        <v>4902</v>
      </c>
      <c r="Y524" s="2">
        <v>3980</v>
      </c>
      <c r="Z524" s="2">
        <v>0</v>
      </c>
      <c r="AA524" s="2">
        <v>0</v>
      </c>
      <c r="AB524" s="2"/>
      <c r="AC524" s="2">
        <v>8961</v>
      </c>
      <c r="AD524" s="2">
        <v>7431</v>
      </c>
      <c r="AE524" s="2">
        <v>5708</v>
      </c>
      <c r="AF524" s="2">
        <v>3666</v>
      </c>
      <c r="AG524" s="2">
        <v>0</v>
      </c>
      <c r="AH524" s="2"/>
      <c r="AI524" s="2">
        <v>0</v>
      </c>
      <c r="AJ524" s="2">
        <v>0</v>
      </c>
      <c r="AK524" s="2">
        <v>0</v>
      </c>
      <c r="AL524" s="2">
        <v>0</v>
      </c>
      <c r="AM524" s="2">
        <v>0</v>
      </c>
    </row>
    <row r="525" spans="1:39">
      <c r="A525" s="349">
        <v>95411</v>
      </c>
      <c r="B525" s="342" t="s">
        <v>1215</v>
      </c>
      <c r="C525" s="234" t="e">
        <f>VLOOKUP(A525,#REF!,10,FALSE)</f>
        <v>#REF!</v>
      </c>
      <c r="E525" s="2">
        <v>971621</v>
      </c>
      <c r="F525" s="2">
        <v>281480</v>
      </c>
      <c r="G525" s="2">
        <v>523743</v>
      </c>
      <c r="H525" s="2">
        <v>140317</v>
      </c>
      <c r="I525" s="2">
        <v>0</v>
      </c>
      <c r="J525" s="2"/>
      <c r="K525" s="2">
        <v>305082</v>
      </c>
      <c r="L525" s="2">
        <v>286984</v>
      </c>
      <c r="M525" s="2">
        <v>257220</v>
      </c>
      <c r="N525" s="2">
        <v>102988</v>
      </c>
      <c r="O525" s="2">
        <v>0</v>
      </c>
      <c r="P525" s="2"/>
      <c r="Q525" s="2">
        <v>323887</v>
      </c>
      <c r="R525" s="2">
        <v>-278603</v>
      </c>
      <c r="S525" s="2">
        <v>39266</v>
      </c>
      <c r="T525" s="2">
        <v>51104</v>
      </c>
      <c r="U525" s="2">
        <v>0</v>
      </c>
      <c r="V525" s="2"/>
      <c r="W525" s="2">
        <v>364863</v>
      </c>
      <c r="X525" s="2">
        <v>298909</v>
      </c>
      <c r="Y525" s="2">
        <v>242663</v>
      </c>
      <c r="Z525" s="2">
        <v>0</v>
      </c>
      <c r="AA525" s="2">
        <v>0</v>
      </c>
      <c r="AB525" s="2"/>
      <c r="AC525" s="2">
        <v>3600</v>
      </c>
      <c r="AD525" s="2">
        <v>0</v>
      </c>
      <c r="AE525" s="2">
        <v>0</v>
      </c>
      <c r="AF525" s="2">
        <v>0</v>
      </c>
      <c r="AG525" s="2">
        <v>0</v>
      </c>
      <c r="AH525" s="2"/>
      <c r="AI525" s="2">
        <v>-25811</v>
      </c>
      <c r="AJ525" s="2">
        <v>-25810</v>
      </c>
      <c r="AK525" s="2">
        <v>-15406</v>
      </c>
      <c r="AL525" s="2">
        <v>-13775</v>
      </c>
      <c r="AM525" s="2">
        <v>-25810</v>
      </c>
    </row>
    <row r="526" spans="1:39">
      <c r="A526" s="349">
        <v>95413</v>
      </c>
      <c r="B526" s="342" t="s">
        <v>3678</v>
      </c>
      <c r="C526" s="234" t="e">
        <f>VLOOKUP(A526,#REF!,10,FALSE)</f>
        <v>#REF!</v>
      </c>
      <c r="E526" s="2">
        <v>170653</v>
      </c>
      <c r="F526" s="2">
        <v>62743</v>
      </c>
      <c r="G526" s="2">
        <v>63484</v>
      </c>
      <c r="H526" s="2">
        <v>15195</v>
      </c>
      <c r="I526" s="2">
        <v>0</v>
      </c>
      <c r="J526" s="2"/>
      <c r="K526" s="2">
        <v>36868</v>
      </c>
      <c r="L526" s="2">
        <v>34680</v>
      </c>
      <c r="M526" s="2">
        <v>31084</v>
      </c>
      <c r="N526" s="2">
        <v>12446</v>
      </c>
      <c r="O526" s="2">
        <v>0</v>
      </c>
      <c r="P526" s="2"/>
      <c r="Q526" s="2">
        <v>39140</v>
      </c>
      <c r="R526" s="2">
        <v>-33668</v>
      </c>
      <c r="S526" s="2">
        <v>4745</v>
      </c>
      <c r="T526" s="2">
        <v>6176</v>
      </c>
      <c r="U526" s="2">
        <v>0</v>
      </c>
      <c r="V526" s="2"/>
      <c r="W526" s="2">
        <v>44092</v>
      </c>
      <c r="X526" s="2">
        <v>36122</v>
      </c>
      <c r="Y526" s="2">
        <v>29325</v>
      </c>
      <c r="Z526" s="2">
        <v>0</v>
      </c>
      <c r="AA526" s="2">
        <v>0</v>
      </c>
      <c r="AB526" s="2"/>
      <c r="AC526" s="2">
        <v>53982</v>
      </c>
      <c r="AD526" s="2">
        <v>29038</v>
      </c>
      <c r="AE526" s="2">
        <v>1759</v>
      </c>
      <c r="AF526" s="2">
        <v>0</v>
      </c>
      <c r="AG526" s="2">
        <v>0</v>
      </c>
      <c r="AH526" s="2"/>
      <c r="AI526" s="2">
        <v>-3429</v>
      </c>
      <c r="AJ526" s="2">
        <v>-3429</v>
      </c>
      <c r="AK526" s="2">
        <v>-3429</v>
      </c>
      <c r="AL526" s="2">
        <v>-3427</v>
      </c>
      <c r="AM526" s="2">
        <v>-3429</v>
      </c>
    </row>
    <row r="527" spans="1:39">
      <c r="A527" s="349">
        <v>95415</v>
      </c>
      <c r="B527" s="342" t="s">
        <v>3679</v>
      </c>
      <c r="C527" s="234" t="e">
        <f>VLOOKUP(A527,#REF!,10,FALSE)</f>
        <v>#REF!</v>
      </c>
      <c r="E527" s="2">
        <v>23103</v>
      </c>
      <c r="F527" s="2">
        <v>4055</v>
      </c>
      <c r="G527" s="2">
        <v>13541</v>
      </c>
      <c r="H527" s="2">
        <v>1864</v>
      </c>
      <c r="I527" s="2">
        <v>0</v>
      </c>
      <c r="J527" s="2"/>
      <c r="K527" s="2">
        <v>8629</v>
      </c>
      <c r="L527" s="2">
        <v>8117</v>
      </c>
      <c r="M527" s="2">
        <v>7275</v>
      </c>
      <c r="N527" s="2">
        <v>2913</v>
      </c>
      <c r="O527" s="2">
        <v>0</v>
      </c>
      <c r="P527" s="2"/>
      <c r="Q527" s="2">
        <v>9161</v>
      </c>
      <c r="R527" s="2">
        <v>-7880</v>
      </c>
      <c r="S527" s="2">
        <v>1111</v>
      </c>
      <c r="T527" s="2">
        <v>1445</v>
      </c>
      <c r="U527" s="2">
        <v>0</v>
      </c>
      <c r="V527" s="2"/>
      <c r="W527" s="2">
        <v>10320</v>
      </c>
      <c r="X527" s="2">
        <v>8454</v>
      </c>
      <c r="Y527" s="2">
        <v>6863</v>
      </c>
      <c r="Z527" s="2">
        <v>0</v>
      </c>
      <c r="AA527" s="2">
        <v>0</v>
      </c>
      <c r="AB527" s="2"/>
      <c r="AC527" s="2">
        <v>785</v>
      </c>
      <c r="AD527" s="2">
        <v>785</v>
      </c>
      <c r="AE527" s="2">
        <v>787</v>
      </c>
      <c r="AF527" s="2">
        <v>0</v>
      </c>
      <c r="AG527" s="2">
        <v>0</v>
      </c>
      <c r="AH527" s="2"/>
      <c r="AI527" s="2">
        <v>-5792</v>
      </c>
      <c r="AJ527" s="2">
        <v>-5421</v>
      </c>
      <c r="AK527" s="2">
        <v>-2495</v>
      </c>
      <c r="AL527" s="2">
        <v>-2494</v>
      </c>
      <c r="AM527" s="2">
        <v>-5421</v>
      </c>
    </row>
    <row r="528" spans="1:39">
      <c r="A528" s="349">
        <v>95421</v>
      </c>
      <c r="B528" s="342" t="s">
        <v>1219</v>
      </c>
      <c r="C528" s="234" t="e">
        <f>VLOOKUP(A528,#REF!,10,FALSE)</f>
        <v>#REF!</v>
      </c>
      <c r="E528" s="2">
        <v>16649</v>
      </c>
      <c r="F528" s="2">
        <v>5787</v>
      </c>
      <c r="G528" s="2">
        <v>9909</v>
      </c>
      <c r="H528" s="2">
        <v>2872</v>
      </c>
      <c r="I528" s="2">
        <v>0</v>
      </c>
      <c r="J528" s="2"/>
      <c r="K528" s="2">
        <v>5498</v>
      </c>
      <c r="L528" s="2">
        <v>5172</v>
      </c>
      <c r="M528" s="2">
        <v>4635</v>
      </c>
      <c r="N528" s="2">
        <v>1856</v>
      </c>
      <c r="O528" s="2">
        <v>0</v>
      </c>
      <c r="P528" s="2"/>
      <c r="Q528" s="2">
        <v>5837</v>
      </c>
      <c r="R528" s="2">
        <v>-5021</v>
      </c>
      <c r="S528" s="2">
        <v>708</v>
      </c>
      <c r="T528" s="2">
        <v>921</v>
      </c>
      <c r="U528" s="2">
        <v>0</v>
      </c>
      <c r="V528" s="2"/>
      <c r="W528" s="2">
        <v>6575</v>
      </c>
      <c r="X528" s="2">
        <v>5387</v>
      </c>
      <c r="Y528" s="2">
        <v>4373</v>
      </c>
      <c r="Z528" s="2">
        <v>0</v>
      </c>
      <c r="AA528" s="2">
        <v>0</v>
      </c>
      <c r="AB528" s="2"/>
      <c r="AC528" s="2">
        <v>251</v>
      </c>
      <c r="AD528" s="2">
        <v>249</v>
      </c>
      <c r="AE528" s="2">
        <v>193</v>
      </c>
      <c r="AF528" s="2">
        <v>95</v>
      </c>
      <c r="AG528" s="2">
        <v>0</v>
      </c>
      <c r="AH528" s="2"/>
      <c r="AI528" s="2">
        <v>-1512</v>
      </c>
      <c r="AJ528" s="2">
        <v>0</v>
      </c>
      <c r="AK528" s="2">
        <v>0</v>
      </c>
      <c r="AL528" s="2">
        <v>0</v>
      </c>
      <c r="AM528" s="2">
        <v>0</v>
      </c>
    </row>
    <row r="529" spans="1:39">
      <c r="A529" s="349">
        <v>95431</v>
      </c>
      <c r="B529" s="342" t="s">
        <v>1220</v>
      </c>
      <c r="C529" s="234" t="e">
        <f>VLOOKUP(A529,#REF!,10,FALSE)</f>
        <v>#REF!</v>
      </c>
      <c r="E529" s="2">
        <v>53999</v>
      </c>
      <c r="F529" s="2">
        <v>9493</v>
      </c>
      <c r="G529" s="2">
        <v>31295</v>
      </c>
      <c r="H529" s="2">
        <v>7703</v>
      </c>
      <c r="I529" s="2">
        <v>0</v>
      </c>
      <c r="J529" s="2"/>
      <c r="K529" s="2">
        <v>20509</v>
      </c>
      <c r="L529" s="2">
        <v>19292</v>
      </c>
      <c r="M529" s="2">
        <v>17291</v>
      </c>
      <c r="N529" s="2">
        <v>6923</v>
      </c>
      <c r="O529" s="2">
        <v>0</v>
      </c>
      <c r="P529" s="2"/>
      <c r="Q529" s="2">
        <v>21773</v>
      </c>
      <c r="R529" s="2">
        <v>-18729</v>
      </c>
      <c r="S529" s="2">
        <v>2640</v>
      </c>
      <c r="T529" s="2">
        <v>3435</v>
      </c>
      <c r="U529" s="2">
        <v>0</v>
      </c>
      <c r="V529" s="2"/>
      <c r="W529" s="2">
        <v>24527</v>
      </c>
      <c r="X529" s="2">
        <v>20094</v>
      </c>
      <c r="Y529" s="2">
        <v>16313</v>
      </c>
      <c r="Z529" s="2">
        <v>0</v>
      </c>
      <c r="AA529" s="2">
        <v>0</v>
      </c>
      <c r="AB529" s="2"/>
      <c r="AC529" s="2">
        <v>0</v>
      </c>
      <c r="AD529" s="2">
        <v>0</v>
      </c>
      <c r="AE529" s="2">
        <v>0</v>
      </c>
      <c r="AF529" s="2">
        <v>0</v>
      </c>
      <c r="AG529" s="2">
        <v>0</v>
      </c>
      <c r="AH529" s="2"/>
      <c r="AI529" s="2">
        <v>-12810</v>
      </c>
      <c r="AJ529" s="2">
        <v>-11164</v>
      </c>
      <c r="AK529" s="2">
        <v>-4949</v>
      </c>
      <c r="AL529" s="2">
        <v>-2655</v>
      </c>
      <c r="AM529" s="2">
        <v>-11164</v>
      </c>
    </row>
    <row r="530" spans="1:39">
      <c r="A530" s="349">
        <v>95501</v>
      </c>
      <c r="B530" s="342" t="s">
        <v>1221</v>
      </c>
      <c r="C530" s="234" t="e">
        <f>VLOOKUP(A530,#REF!,10,FALSE)</f>
        <v>#REF!</v>
      </c>
      <c r="E530" s="2">
        <v>2436870</v>
      </c>
      <c r="F530" s="2">
        <v>760863</v>
      </c>
      <c r="G530" s="2">
        <v>1345942</v>
      </c>
      <c r="H530" s="2">
        <v>409515</v>
      </c>
      <c r="I530" s="2">
        <v>0</v>
      </c>
      <c r="J530" s="2"/>
      <c r="K530" s="2">
        <v>753290</v>
      </c>
      <c r="L530" s="2">
        <v>708602</v>
      </c>
      <c r="M530" s="2">
        <v>635112</v>
      </c>
      <c r="N530" s="2">
        <v>254291</v>
      </c>
      <c r="O530" s="2">
        <v>0</v>
      </c>
      <c r="P530" s="2"/>
      <c r="Q530" s="2">
        <v>799722</v>
      </c>
      <c r="R530" s="2">
        <v>-687910</v>
      </c>
      <c r="S530" s="2">
        <v>96953</v>
      </c>
      <c r="T530" s="2">
        <v>126183</v>
      </c>
      <c r="U530" s="2">
        <v>0</v>
      </c>
      <c r="V530" s="2"/>
      <c r="W530" s="2">
        <v>900898</v>
      </c>
      <c r="X530" s="2">
        <v>738048</v>
      </c>
      <c r="Y530" s="2">
        <v>599169</v>
      </c>
      <c r="Z530" s="2">
        <v>0</v>
      </c>
      <c r="AA530" s="2">
        <v>0</v>
      </c>
      <c r="AB530" s="2"/>
      <c r="AC530" s="2">
        <v>29039</v>
      </c>
      <c r="AD530" s="2">
        <v>29039</v>
      </c>
      <c r="AE530" s="2">
        <v>29039</v>
      </c>
      <c r="AF530" s="2">
        <v>29041</v>
      </c>
      <c r="AG530" s="2">
        <v>0</v>
      </c>
      <c r="AH530" s="2"/>
      <c r="AI530" s="2">
        <v>-46079</v>
      </c>
      <c r="AJ530" s="2">
        <v>-26916</v>
      </c>
      <c r="AK530" s="2">
        <v>-14331</v>
      </c>
      <c r="AL530" s="2">
        <v>0</v>
      </c>
      <c r="AM530" s="2">
        <v>-26916</v>
      </c>
    </row>
    <row r="531" spans="1:39">
      <c r="A531" s="349">
        <v>95504</v>
      </c>
      <c r="B531" s="342" t="s">
        <v>1222</v>
      </c>
      <c r="C531" s="234" t="e">
        <f>VLOOKUP(A531,#REF!,10,FALSE)</f>
        <v>#REF!</v>
      </c>
      <c r="E531" s="2">
        <v>12454</v>
      </c>
      <c r="F531" s="2">
        <v>7196</v>
      </c>
      <c r="G531" s="2">
        <v>7810</v>
      </c>
      <c r="H531" s="2">
        <v>3904</v>
      </c>
      <c r="I531" s="2">
        <v>0</v>
      </c>
      <c r="J531" s="2"/>
      <c r="K531" s="2">
        <v>2232</v>
      </c>
      <c r="L531" s="2">
        <v>2100</v>
      </c>
      <c r="M531" s="2">
        <v>1882</v>
      </c>
      <c r="N531" s="2">
        <v>754</v>
      </c>
      <c r="O531" s="2">
        <v>0</v>
      </c>
      <c r="P531" s="2"/>
      <c r="Q531" s="2">
        <v>2370</v>
      </c>
      <c r="R531" s="2">
        <v>-2038</v>
      </c>
      <c r="S531" s="2">
        <v>287</v>
      </c>
      <c r="T531" s="2">
        <v>374</v>
      </c>
      <c r="U531" s="2">
        <v>0</v>
      </c>
      <c r="V531" s="2"/>
      <c r="W531" s="2">
        <v>2670</v>
      </c>
      <c r="X531" s="2">
        <v>2187</v>
      </c>
      <c r="Y531" s="2">
        <v>1775</v>
      </c>
      <c r="Z531" s="2">
        <v>0</v>
      </c>
      <c r="AA531" s="2">
        <v>0</v>
      </c>
      <c r="AB531" s="2"/>
      <c r="AC531" s="2">
        <v>5182</v>
      </c>
      <c r="AD531" s="2">
        <v>4947</v>
      </c>
      <c r="AE531" s="2">
        <v>3866</v>
      </c>
      <c r="AF531" s="2">
        <v>2776</v>
      </c>
      <c r="AG531" s="2">
        <v>0</v>
      </c>
      <c r="AH531" s="2"/>
      <c r="AI531" s="2">
        <v>0</v>
      </c>
      <c r="AJ531" s="2">
        <v>0</v>
      </c>
      <c r="AK531" s="2">
        <v>0</v>
      </c>
      <c r="AL531" s="2">
        <v>0</v>
      </c>
      <c r="AM531" s="2">
        <v>0</v>
      </c>
    </row>
    <row r="532" spans="1:39">
      <c r="A532" s="349">
        <v>95511</v>
      </c>
      <c r="B532" s="342" t="s">
        <v>1223</v>
      </c>
      <c r="C532" s="234" t="e">
        <f>VLOOKUP(A532,#REF!,10,FALSE)</f>
        <v>#REF!</v>
      </c>
      <c r="E532" s="2">
        <v>473130</v>
      </c>
      <c r="F532" s="2">
        <v>166568</v>
      </c>
      <c r="G532" s="2">
        <v>264909</v>
      </c>
      <c r="H532" s="2">
        <v>80689</v>
      </c>
      <c r="I532" s="2">
        <v>0</v>
      </c>
      <c r="J532" s="2"/>
      <c r="K532" s="2">
        <v>142182</v>
      </c>
      <c r="L532" s="2">
        <v>133747</v>
      </c>
      <c r="M532" s="2">
        <v>119876</v>
      </c>
      <c r="N532" s="2">
        <v>47997</v>
      </c>
      <c r="O532" s="2">
        <v>0</v>
      </c>
      <c r="P532" s="2"/>
      <c r="Q532" s="2">
        <v>150946</v>
      </c>
      <c r="R532" s="2">
        <v>-129842</v>
      </c>
      <c r="S532" s="2">
        <v>18300</v>
      </c>
      <c r="T532" s="2">
        <v>23817</v>
      </c>
      <c r="U532" s="2">
        <v>0</v>
      </c>
      <c r="V532" s="2"/>
      <c r="W532" s="2">
        <v>170043</v>
      </c>
      <c r="X532" s="2">
        <v>139305</v>
      </c>
      <c r="Y532" s="2">
        <v>113092</v>
      </c>
      <c r="Z532" s="2">
        <v>0</v>
      </c>
      <c r="AA532" s="2">
        <v>0</v>
      </c>
      <c r="AB532" s="2"/>
      <c r="AC532" s="2">
        <v>23356</v>
      </c>
      <c r="AD532" s="2">
        <v>23358</v>
      </c>
      <c r="AE532" s="2">
        <v>13641</v>
      </c>
      <c r="AF532" s="2">
        <v>8875</v>
      </c>
      <c r="AG532" s="2">
        <v>0</v>
      </c>
      <c r="AH532" s="2"/>
      <c r="AI532" s="2">
        <v>-13397</v>
      </c>
      <c r="AJ532" s="2">
        <v>0</v>
      </c>
      <c r="AK532" s="2">
        <v>0</v>
      </c>
      <c r="AL532" s="2">
        <v>0</v>
      </c>
      <c r="AM532" s="2">
        <v>0</v>
      </c>
    </row>
    <row r="533" spans="1:39">
      <c r="A533" s="349">
        <v>95513</v>
      </c>
      <c r="B533" s="342" t="s">
        <v>1224</v>
      </c>
      <c r="C533" s="234" t="e">
        <f>VLOOKUP(A533,#REF!,10,FALSE)</f>
        <v>#REF!</v>
      </c>
      <c r="E533" s="2">
        <v>27252</v>
      </c>
      <c r="F533" s="2">
        <v>12057</v>
      </c>
      <c r="G533" s="2">
        <v>14305</v>
      </c>
      <c r="H533" s="2">
        <v>4600</v>
      </c>
      <c r="I533" s="2">
        <v>0</v>
      </c>
      <c r="J533" s="2"/>
      <c r="K533" s="2">
        <v>5947</v>
      </c>
      <c r="L533" s="2">
        <v>5595</v>
      </c>
      <c r="M533" s="2">
        <v>5014</v>
      </c>
      <c r="N533" s="2">
        <v>2008</v>
      </c>
      <c r="O533" s="2">
        <v>0</v>
      </c>
      <c r="P533" s="2"/>
      <c r="Q533" s="2">
        <v>6314</v>
      </c>
      <c r="R533" s="2">
        <v>-5431</v>
      </c>
      <c r="S533" s="2">
        <v>765</v>
      </c>
      <c r="T533" s="2">
        <v>996</v>
      </c>
      <c r="U533" s="2">
        <v>0</v>
      </c>
      <c r="V533" s="2"/>
      <c r="W533" s="2">
        <v>7113</v>
      </c>
      <c r="X533" s="2">
        <v>5827</v>
      </c>
      <c r="Y533" s="2">
        <v>4731</v>
      </c>
      <c r="Z533" s="2">
        <v>0</v>
      </c>
      <c r="AA533" s="2">
        <v>0</v>
      </c>
      <c r="AB533" s="2"/>
      <c r="AC533" s="2">
        <v>7878</v>
      </c>
      <c r="AD533" s="2">
        <v>6066</v>
      </c>
      <c r="AE533" s="2">
        <v>3795</v>
      </c>
      <c r="AF533" s="2">
        <v>1596</v>
      </c>
      <c r="AG533" s="2">
        <v>0</v>
      </c>
      <c r="AH533" s="2"/>
      <c r="AI533" s="2">
        <v>0</v>
      </c>
      <c r="AJ533" s="2">
        <v>0</v>
      </c>
      <c r="AK533" s="2">
        <v>0</v>
      </c>
      <c r="AL533" s="2">
        <v>0</v>
      </c>
      <c r="AM533" s="2">
        <v>0</v>
      </c>
    </row>
    <row r="534" spans="1:39">
      <c r="A534" s="349">
        <v>95517</v>
      </c>
      <c r="B534" s="342" t="s">
        <v>1225</v>
      </c>
      <c r="C534" s="234" t="e">
        <f>VLOOKUP(A534,#REF!,10,FALSE)</f>
        <v>#REF!</v>
      </c>
      <c r="E534" s="2">
        <v>12302</v>
      </c>
      <c r="F534" s="2">
        <v>4347</v>
      </c>
      <c r="G534" s="2">
        <v>4229</v>
      </c>
      <c r="H534" s="2">
        <v>1388</v>
      </c>
      <c r="I534" s="2">
        <v>0</v>
      </c>
      <c r="J534" s="2"/>
      <c r="K534" s="2">
        <v>2756</v>
      </c>
      <c r="L534" s="2">
        <v>2593</v>
      </c>
      <c r="M534" s="2">
        <v>2324</v>
      </c>
      <c r="N534" s="2">
        <v>931</v>
      </c>
      <c r="O534" s="2">
        <v>0</v>
      </c>
      <c r="P534" s="2"/>
      <c r="Q534" s="2">
        <v>2926</v>
      </c>
      <c r="R534" s="2">
        <v>-2517</v>
      </c>
      <c r="S534" s="2">
        <v>355</v>
      </c>
      <c r="T534" s="2">
        <v>462</v>
      </c>
      <c r="U534" s="2">
        <v>0</v>
      </c>
      <c r="V534" s="2"/>
      <c r="W534" s="2">
        <v>3297</v>
      </c>
      <c r="X534" s="2">
        <v>2701</v>
      </c>
      <c r="Y534" s="2">
        <v>2192</v>
      </c>
      <c r="Z534" s="2">
        <v>0</v>
      </c>
      <c r="AA534" s="2">
        <v>0</v>
      </c>
      <c r="AB534" s="2"/>
      <c r="AC534" s="2">
        <v>3965</v>
      </c>
      <c r="AD534" s="2">
        <v>2212</v>
      </c>
      <c r="AE534" s="2">
        <v>0</v>
      </c>
      <c r="AF534" s="2">
        <v>0</v>
      </c>
      <c r="AG534" s="2">
        <v>0</v>
      </c>
      <c r="AH534" s="2"/>
      <c r="AI534" s="2">
        <v>-642</v>
      </c>
      <c r="AJ534" s="2">
        <v>-642</v>
      </c>
      <c r="AK534" s="2">
        <v>-642</v>
      </c>
      <c r="AL534" s="2">
        <v>-5</v>
      </c>
      <c r="AM534" s="2">
        <v>-642</v>
      </c>
    </row>
    <row r="535" spans="1:39">
      <c r="A535" s="349">
        <v>95601</v>
      </c>
      <c r="B535" s="342" t="s">
        <v>1226</v>
      </c>
      <c r="C535" s="234" t="e">
        <f>VLOOKUP(A535,#REF!,10,FALSE)</f>
        <v>#REF!</v>
      </c>
      <c r="E535" s="2">
        <v>1157017</v>
      </c>
      <c r="F535" s="2">
        <v>322260</v>
      </c>
      <c r="G535" s="2">
        <v>605514</v>
      </c>
      <c r="H535" s="2">
        <v>147864</v>
      </c>
      <c r="I535" s="2">
        <v>0</v>
      </c>
      <c r="J535" s="2"/>
      <c r="K535" s="2">
        <v>366428</v>
      </c>
      <c r="L535" s="2">
        <v>344690</v>
      </c>
      <c r="M535" s="2">
        <v>308942</v>
      </c>
      <c r="N535" s="2">
        <v>123697</v>
      </c>
      <c r="O535" s="2">
        <v>0</v>
      </c>
      <c r="P535" s="2"/>
      <c r="Q535" s="2">
        <v>389014</v>
      </c>
      <c r="R535" s="2">
        <v>-334625</v>
      </c>
      <c r="S535" s="2">
        <v>47161</v>
      </c>
      <c r="T535" s="2">
        <v>61380</v>
      </c>
      <c r="U535" s="2">
        <v>0</v>
      </c>
      <c r="V535" s="2"/>
      <c r="W535" s="2">
        <v>438230</v>
      </c>
      <c r="X535" s="2">
        <v>359014</v>
      </c>
      <c r="Y535" s="2">
        <v>291458</v>
      </c>
      <c r="Z535" s="2">
        <v>0</v>
      </c>
      <c r="AA535" s="2">
        <v>0</v>
      </c>
      <c r="AB535" s="2"/>
      <c r="AC535" s="2">
        <v>10163</v>
      </c>
      <c r="AD535" s="2">
        <v>0</v>
      </c>
      <c r="AE535" s="2">
        <v>0</v>
      </c>
      <c r="AF535" s="2">
        <v>0</v>
      </c>
      <c r="AG535" s="2">
        <v>0</v>
      </c>
      <c r="AH535" s="2"/>
      <c r="AI535" s="2">
        <v>-46818</v>
      </c>
      <c r="AJ535" s="2">
        <v>-46819</v>
      </c>
      <c r="AK535" s="2">
        <v>-42047</v>
      </c>
      <c r="AL535" s="2">
        <v>-37213</v>
      </c>
      <c r="AM535" s="2">
        <v>-46819</v>
      </c>
    </row>
    <row r="536" spans="1:39">
      <c r="A536" s="349">
        <v>95611</v>
      </c>
      <c r="B536" s="342" t="s">
        <v>1227</v>
      </c>
      <c r="C536" s="234" t="e">
        <f>VLOOKUP(A536,#REF!,10,FALSE)</f>
        <v>#REF!</v>
      </c>
      <c r="E536" s="2">
        <v>186875</v>
      </c>
      <c r="F536" s="2">
        <v>59163</v>
      </c>
      <c r="G536" s="2">
        <v>100481</v>
      </c>
      <c r="H536" s="2">
        <v>29502</v>
      </c>
      <c r="I536" s="2">
        <v>0</v>
      </c>
      <c r="J536" s="2"/>
      <c r="K536" s="2">
        <v>56762</v>
      </c>
      <c r="L536" s="2">
        <v>53395</v>
      </c>
      <c r="M536" s="2">
        <v>47857</v>
      </c>
      <c r="N536" s="2">
        <v>19161</v>
      </c>
      <c r="O536" s="2">
        <v>0</v>
      </c>
      <c r="P536" s="2"/>
      <c r="Q536" s="2">
        <v>60261</v>
      </c>
      <c r="R536" s="2">
        <v>-51835</v>
      </c>
      <c r="S536" s="2">
        <v>7306</v>
      </c>
      <c r="T536" s="2">
        <v>9508</v>
      </c>
      <c r="U536" s="2">
        <v>0</v>
      </c>
      <c r="V536" s="2"/>
      <c r="W536" s="2">
        <v>67884</v>
      </c>
      <c r="X536" s="2">
        <v>55613</v>
      </c>
      <c r="Y536" s="2">
        <v>45149</v>
      </c>
      <c r="Z536" s="2">
        <v>0</v>
      </c>
      <c r="AA536" s="2">
        <v>0</v>
      </c>
      <c r="AB536" s="2"/>
      <c r="AC536" s="2">
        <v>2656</v>
      </c>
      <c r="AD536" s="2">
        <v>2658</v>
      </c>
      <c r="AE536" s="2">
        <v>835</v>
      </c>
      <c r="AF536" s="2">
        <v>833</v>
      </c>
      <c r="AG536" s="2">
        <v>0</v>
      </c>
      <c r="AH536" s="2"/>
      <c r="AI536" s="2">
        <v>-688</v>
      </c>
      <c r="AJ536" s="2">
        <v>-668</v>
      </c>
      <c r="AK536" s="2">
        <v>-666</v>
      </c>
      <c r="AL536" s="2">
        <v>0</v>
      </c>
      <c r="AM536" s="2">
        <v>-668</v>
      </c>
    </row>
    <row r="537" spans="1:39">
      <c r="A537" s="349">
        <v>95617</v>
      </c>
      <c r="B537" s="342" t="s">
        <v>1228</v>
      </c>
      <c r="C537" s="234" t="e">
        <f>VLOOKUP(A537,#REF!,10,FALSE)</f>
        <v>#REF!</v>
      </c>
      <c r="E537" s="2">
        <v>7658</v>
      </c>
      <c r="F537" s="2">
        <v>2559</v>
      </c>
      <c r="G537" s="2">
        <v>4140</v>
      </c>
      <c r="H537" s="2">
        <v>1222</v>
      </c>
      <c r="I537" s="2">
        <v>0</v>
      </c>
      <c r="J537" s="2"/>
      <c r="K537" s="2">
        <v>2232</v>
      </c>
      <c r="L537" s="2">
        <v>2100</v>
      </c>
      <c r="M537" s="2">
        <v>1882</v>
      </c>
      <c r="N537" s="2">
        <v>754</v>
      </c>
      <c r="O537" s="2">
        <v>0</v>
      </c>
      <c r="P537" s="2"/>
      <c r="Q537" s="2">
        <v>2370</v>
      </c>
      <c r="R537" s="2">
        <v>-2038</v>
      </c>
      <c r="S537" s="2">
        <v>287</v>
      </c>
      <c r="T537" s="2">
        <v>374</v>
      </c>
      <c r="U537" s="2">
        <v>0</v>
      </c>
      <c r="V537" s="2"/>
      <c r="W537" s="2">
        <v>2670</v>
      </c>
      <c r="X537" s="2">
        <v>2187</v>
      </c>
      <c r="Y537" s="2">
        <v>1775</v>
      </c>
      <c r="Z537" s="2">
        <v>0</v>
      </c>
      <c r="AA537" s="2">
        <v>0</v>
      </c>
      <c r="AB537" s="2"/>
      <c r="AC537" s="2">
        <v>386</v>
      </c>
      <c r="AD537" s="2">
        <v>310</v>
      </c>
      <c r="AE537" s="2">
        <v>196</v>
      </c>
      <c r="AF537" s="2">
        <v>94</v>
      </c>
      <c r="AG537" s="2">
        <v>0</v>
      </c>
      <c r="AH537" s="2"/>
      <c r="AI537" s="2">
        <v>0</v>
      </c>
      <c r="AJ537" s="2">
        <v>0</v>
      </c>
      <c r="AK537" s="2">
        <v>0</v>
      </c>
      <c r="AL537" s="2">
        <v>0</v>
      </c>
      <c r="AM537" s="2">
        <v>0</v>
      </c>
    </row>
    <row r="538" spans="1:39">
      <c r="A538" s="349">
        <v>95621</v>
      </c>
      <c r="B538" s="342" t="s">
        <v>1229</v>
      </c>
      <c r="C538" s="234" t="e">
        <f>VLOOKUP(A538,#REF!,10,FALSE)</f>
        <v>#REF!</v>
      </c>
      <c r="E538" s="2">
        <v>227756</v>
      </c>
      <c r="F538" s="2">
        <v>73623</v>
      </c>
      <c r="G538" s="2">
        <v>126250</v>
      </c>
      <c r="H538" s="2">
        <v>29154</v>
      </c>
      <c r="I538" s="2">
        <v>0</v>
      </c>
      <c r="J538" s="2"/>
      <c r="K538" s="2">
        <v>68537</v>
      </c>
      <c r="L538" s="2">
        <v>64471</v>
      </c>
      <c r="M538" s="2">
        <v>57785</v>
      </c>
      <c r="N538" s="2">
        <v>23136</v>
      </c>
      <c r="O538" s="2">
        <v>0</v>
      </c>
      <c r="P538" s="2"/>
      <c r="Q538" s="2">
        <v>72761</v>
      </c>
      <c r="R538" s="2">
        <v>-62588</v>
      </c>
      <c r="S538" s="2">
        <v>8821</v>
      </c>
      <c r="T538" s="2">
        <v>11481</v>
      </c>
      <c r="U538" s="2">
        <v>0</v>
      </c>
      <c r="V538" s="2"/>
      <c r="W538" s="2">
        <v>81967</v>
      </c>
      <c r="X538" s="2">
        <v>67150</v>
      </c>
      <c r="Y538" s="2">
        <v>54514</v>
      </c>
      <c r="Z538" s="2">
        <v>0</v>
      </c>
      <c r="AA538" s="2">
        <v>0</v>
      </c>
      <c r="AB538" s="2"/>
      <c r="AC538" s="2">
        <v>10593</v>
      </c>
      <c r="AD538" s="2">
        <v>10593</v>
      </c>
      <c r="AE538" s="2">
        <v>10592</v>
      </c>
      <c r="AF538" s="2">
        <v>0</v>
      </c>
      <c r="AG538" s="2">
        <v>0</v>
      </c>
      <c r="AH538" s="2"/>
      <c r="AI538" s="2">
        <v>-6102</v>
      </c>
      <c r="AJ538" s="2">
        <v>-6003</v>
      </c>
      <c r="AK538" s="2">
        <v>-5462</v>
      </c>
      <c r="AL538" s="2">
        <v>-5463</v>
      </c>
      <c r="AM538" s="2">
        <v>-6003</v>
      </c>
    </row>
    <row r="539" spans="1:39">
      <c r="A539" s="349">
        <v>95701</v>
      </c>
      <c r="B539" s="342" t="s">
        <v>1230</v>
      </c>
      <c r="C539" s="234" t="e">
        <f>VLOOKUP(A539,#REF!,10,FALSE)</f>
        <v>#REF!</v>
      </c>
      <c r="E539" s="2">
        <v>562220</v>
      </c>
      <c r="F539" s="2">
        <v>149084</v>
      </c>
      <c r="G539" s="2">
        <v>279552</v>
      </c>
      <c r="H539" s="2">
        <v>69021</v>
      </c>
      <c r="I539" s="2">
        <v>0</v>
      </c>
      <c r="J539" s="2"/>
      <c r="K539" s="2">
        <v>182105</v>
      </c>
      <c r="L539" s="2">
        <v>171302</v>
      </c>
      <c r="M539" s="2">
        <v>153536</v>
      </c>
      <c r="N539" s="2">
        <v>61474</v>
      </c>
      <c r="O539" s="2">
        <v>0</v>
      </c>
      <c r="P539" s="2"/>
      <c r="Q539" s="2">
        <v>193330</v>
      </c>
      <c r="R539" s="2">
        <v>-166300</v>
      </c>
      <c r="S539" s="2">
        <v>23438</v>
      </c>
      <c r="T539" s="2">
        <v>30504</v>
      </c>
      <c r="U539" s="2">
        <v>0</v>
      </c>
      <c r="V539" s="2"/>
      <c r="W539" s="2">
        <v>217789</v>
      </c>
      <c r="X539" s="2">
        <v>178421</v>
      </c>
      <c r="Y539" s="2">
        <v>144847</v>
      </c>
      <c r="Z539" s="2">
        <v>0</v>
      </c>
      <c r="AA539" s="2">
        <v>0</v>
      </c>
      <c r="AB539" s="2"/>
      <c r="AC539" s="2">
        <v>11267</v>
      </c>
      <c r="AD539" s="2">
        <v>7932</v>
      </c>
      <c r="AE539" s="2">
        <v>0</v>
      </c>
      <c r="AF539" s="2">
        <v>0</v>
      </c>
      <c r="AG539" s="2">
        <v>0</v>
      </c>
      <c r="AH539" s="2"/>
      <c r="AI539" s="2">
        <v>-42271</v>
      </c>
      <c r="AJ539" s="2">
        <v>-42271</v>
      </c>
      <c r="AK539" s="2">
        <v>-42269</v>
      </c>
      <c r="AL539" s="2">
        <v>-22957</v>
      </c>
      <c r="AM539" s="2">
        <v>-42271</v>
      </c>
    </row>
    <row r="540" spans="1:39">
      <c r="A540" s="349">
        <v>95711</v>
      </c>
      <c r="B540" s="342" t="s">
        <v>1231</v>
      </c>
      <c r="C540" s="234" t="e">
        <f>VLOOKUP(A540,#REF!,10,FALSE)</f>
        <v>#REF!</v>
      </c>
      <c r="E540" s="2">
        <v>65721</v>
      </c>
      <c r="F540" s="2">
        <v>17219</v>
      </c>
      <c r="G540" s="2">
        <v>34964</v>
      </c>
      <c r="H540" s="2">
        <v>9083</v>
      </c>
      <c r="I540" s="2">
        <v>0</v>
      </c>
      <c r="J540" s="2"/>
      <c r="K540" s="2">
        <v>21452</v>
      </c>
      <c r="L540" s="2">
        <v>20180</v>
      </c>
      <c r="M540" s="2">
        <v>18087</v>
      </c>
      <c r="N540" s="2">
        <v>7242</v>
      </c>
      <c r="O540" s="2">
        <v>0</v>
      </c>
      <c r="P540" s="2"/>
      <c r="Q540" s="2">
        <v>22775</v>
      </c>
      <c r="R540" s="2">
        <v>-19590</v>
      </c>
      <c r="S540" s="2">
        <v>2761</v>
      </c>
      <c r="T540" s="2">
        <v>3593</v>
      </c>
      <c r="U540" s="2">
        <v>0</v>
      </c>
      <c r="V540" s="2"/>
      <c r="W540" s="2">
        <v>25656</v>
      </c>
      <c r="X540" s="2">
        <v>21018</v>
      </c>
      <c r="Y540" s="2">
        <v>17063</v>
      </c>
      <c r="Z540" s="2">
        <v>0</v>
      </c>
      <c r="AA540" s="2">
        <v>0</v>
      </c>
      <c r="AB540" s="2"/>
      <c r="AC540" s="2">
        <v>227</v>
      </c>
      <c r="AD540" s="2">
        <v>0</v>
      </c>
      <c r="AE540" s="2">
        <v>0</v>
      </c>
      <c r="AF540" s="2">
        <v>0</v>
      </c>
      <c r="AG540" s="2">
        <v>0</v>
      </c>
      <c r="AH540" s="2"/>
      <c r="AI540" s="2">
        <v>-4389</v>
      </c>
      <c r="AJ540" s="2">
        <v>-4389</v>
      </c>
      <c r="AK540" s="2">
        <v>-2947</v>
      </c>
      <c r="AL540" s="2">
        <v>-1752</v>
      </c>
      <c r="AM540" s="2">
        <v>-4389</v>
      </c>
    </row>
    <row r="541" spans="1:39">
      <c r="A541" s="349">
        <v>95721</v>
      </c>
      <c r="B541" s="342" t="s">
        <v>1232</v>
      </c>
      <c r="C541" s="234" t="e">
        <f>VLOOKUP(A541,#REF!,10,FALSE)</f>
        <v>#REF!</v>
      </c>
      <c r="E541" s="2">
        <v>29023</v>
      </c>
      <c r="F541" s="2">
        <v>7800</v>
      </c>
      <c r="G541" s="2">
        <v>16242</v>
      </c>
      <c r="H541" s="2">
        <v>4193</v>
      </c>
      <c r="I541" s="2">
        <v>0</v>
      </c>
      <c r="J541" s="2"/>
      <c r="K541" s="2">
        <v>9857</v>
      </c>
      <c r="L541" s="2">
        <v>9273</v>
      </c>
      <c r="M541" s="2">
        <v>8311</v>
      </c>
      <c r="N541" s="2">
        <v>3328</v>
      </c>
      <c r="O541" s="2">
        <v>0</v>
      </c>
      <c r="P541" s="2"/>
      <c r="Q541" s="2">
        <v>10465</v>
      </c>
      <c r="R541" s="2">
        <v>-9002</v>
      </c>
      <c r="S541" s="2">
        <v>1269</v>
      </c>
      <c r="T541" s="2">
        <v>1651</v>
      </c>
      <c r="U541" s="2">
        <v>0</v>
      </c>
      <c r="V541" s="2"/>
      <c r="W541" s="2">
        <v>11789</v>
      </c>
      <c r="X541" s="2">
        <v>9658</v>
      </c>
      <c r="Y541" s="2">
        <v>7841</v>
      </c>
      <c r="Z541" s="2">
        <v>0</v>
      </c>
      <c r="AA541" s="2">
        <v>0</v>
      </c>
      <c r="AB541" s="2"/>
      <c r="AC541" s="2">
        <v>0</v>
      </c>
      <c r="AD541" s="2">
        <v>0</v>
      </c>
      <c r="AE541" s="2">
        <v>0</v>
      </c>
      <c r="AF541" s="2">
        <v>0</v>
      </c>
      <c r="AG541" s="2">
        <v>0</v>
      </c>
      <c r="AH541" s="2"/>
      <c r="AI541" s="2">
        <v>-3088</v>
      </c>
      <c r="AJ541" s="2">
        <v>-2129</v>
      </c>
      <c r="AK541" s="2">
        <v>-1179</v>
      </c>
      <c r="AL541" s="2">
        <v>-786</v>
      </c>
      <c r="AM541" s="2">
        <v>-2129</v>
      </c>
    </row>
    <row r="542" spans="1:39">
      <c r="A542" s="349">
        <v>95733</v>
      </c>
      <c r="B542" s="342" t="s">
        <v>1233</v>
      </c>
      <c r="C542" s="234" t="e">
        <f>VLOOKUP(A542,#REF!,10,FALSE)</f>
        <v>#REF!</v>
      </c>
      <c r="E542" s="2">
        <v>6655</v>
      </c>
      <c r="F542" s="2">
        <v>1893</v>
      </c>
      <c r="G542" s="2">
        <v>3588</v>
      </c>
      <c r="H542" s="2">
        <v>872</v>
      </c>
      <c r="I542" s="2">
        <v>0</v>
      </c>
      <c r="J542" s="2"/>
      <c r="K542" s="2">
        <v>2142</v>
      </c>
      <c r="L542" s="2">
        <v>2015</v>
      </c>
      <c r="M542" s="2">
        <v>1806</v>
      </c>
      <c r="N542" s="2">
        <v>723</v>
      </c>
      <c r="O542" s="2">
        <v>0</v>
      </c>
      <c r="P542" s="2"/>
      <c r="Q542" s="2">
        <v>2274</v>
      </c>
      <c r="R542" s="2">
        <v>-1956</v>
      </c>
      <c r="S542" s="2">
        <v>276</v>
      </c>
      <c r="T542" s="2">
        <v>359</v>
      </c>
      <c r="U542" s="2">
        <v>0</v>
      </c>
      <c r="V542" s="2"/>
      <c r="W542" s="2">
        <v>2562</v>
      </c>
      <c r="X542" s="2">
        <v>2099</v>
      </c>
      <c r="Y542" s="2">
        <v>1704</v>
      </c>
      <c r="Z542" s="2">
        <v>0</v>
      </c>
      <c r="AA542" s="2">
        <v>0</v>
      </c>
      <c r="AB542" s="2"/>
      <c r="AC542" s="2">
        <v>14</v>
      </c>
      <c r="AD542" s="2">
        <v>14</v>
      </c>
      <c r="AE542" s="2">
        <v>13</v>
      </c>
      <c r="AF542" s="2">
        <v>0</v>
      </c>
      <c r="AG542" s="2">
        <v>0</v>
      </c>
      <c r="AH542" s="2"/>
      <c r="AI542" s="2">
        <v>-337</v>
      </c>
      <c r="AJ542" s="2">
        <v>-279</v>
      </c>
      <c r="AK542" s="2">
        <v>-211</v>
      </c>
      <c r="AL542" s="2">
        <v>-210</v>
      </c>
      <c r="AM542" s="2">
        <v>-279</v>
      </c>
    </row>
    <row r="543" spans="1:39">
      <c r="A543" s="349">
        <v>95801</v>
      </c>
      <c r="B543" s="342" t="s">
        <v>1234</v>
      </c>
      <c r="C543" s="234" t="e">
        <f>VLOOKUP(A543,#REF!,10,FALSE)</f>
        <v>#REF!</v>
      </c>
      <c r="E543" s="2">
        <v>485009</v>
      </c>
      <c r="F543" s="2">
        <v>162329</v>
      </c>
      <c r="G543" s="2">
        <v>258138</v>
      </c>
      <c r="H543" s="2">
        <v>71482</v>
      </c>
      <c r="I543" s="2">
        <v>0</v>
      </c>
      <c r="J543" s="2"/>
      <c r="K543" s="2">
        <v>143425</v>
      </c>
      <c r="L543" s="2">
        <v>134917</v>
      </c>
      <c r="M543" s="2">
        <v>120924</v>
      </c>
      <c r="N543" s="2">
        <v>48417</v>
      </c>
      <c r="O543" s="2">
        <v>0</v>
      </c>
      <c r="P543" s="2"/>
      <c r="Q543" s="2">
        <v>152266</v>
      </c>
      <c r="R543" s="2">
        <v>-130977</v>
      </c>
      <c r="S543" s="2">
        <v>18460</v>
      </c>
      <c r="T543" s="2">
        <v>24025</v>
      </c>
      <c r="U543" s="2">
        <v>0</v>
      </c>
      <c r="V543" s="2"/>
      <c r="W543" s="2">
        <v>171530</v>
      </c>
      <c r="X543" s="2">
        <v>140523</v>
      </c>
      <c r="Y543" s="2">
        <v>114081</v>
      </c>
      <c r="Z543" s="2">
        <v>0</v>
      </c>
      <c r="AA543" s="2">
        <v>0</v>
      </c>
      <c r="AB543" s="2"/>
      <c r="AC543" s="2">
        <v>18825</v>
      </c>
      <c r="AD543" s="2">
        <v>18827</v>
      </c>
      <c r="AE543" s="2">
        <v>5634</v>
      </c>
      <c r="AF543" s="2">
        <v>0</v>
      </c>
      <c r="AG543" s="2">
        <v>0</v>
      </c>
      <c r="AH543" s="2"/>
      <c r="AI543" s="2">
        <v>-1037</v>
      </c>
      <c r="AJ543" s="2">
        <v>-961</v>
      </c>
      <c r="AK543" s="2">
        <v>-961</v>
      </c>
      <c r="AL543" s="2">
        <v>-960</v>
      </c>
      <c r="AM543" s="2">
        <v>-961</v>
      </c>
    </row>
    <row r="544" spans="1:39">
      <c r="A544" s="349">
        <v>95802</v>
      </c>
      <c r="B544" s="342" t="s">
        <v>3680</v>
      </c>
      <c r="C544" s="234" t="e">
        <f>VLOOKUP(A544,#REF!,10,FALSE)</f>
        <v>#REF!</v>
      </c>
      <c r="E544" s="2">
        <v>3905</v>
      </c>
      <c r="F544" s="2">
        <v>2066</v>
      </c>
      <c r="G544" s="2">
        <v>2228</v>
      </c>
      <c r="H544" s="2">
        <v>876</v>
      </c>
      <c r="I544" s="2">
        <v>0</v>
      </c>
      <c r="J544" s="2"/>
      <c r="K544" s="2">
        <v>674</v>
      </c>
      <c r="L544" s="2">
        <v>634</v>
      </c>
      <c r="M544" s="2">
        <v>568</v>
      </c>
      <c r="N544" s="2">
        <v>228</v>
      </c>
      <c r="O544" s="2">
        <v>0</v>
      </c>
      <c r="P544" s="2"/>
      <c r="Q544" s="2">
        <v>716</v>
      </c>
      <c r="R544" s="2">
        <v>-616</v>
      </c>
      <c r="S544" s="2">
        <v>87</v>
      </c>
      <c r="T544" s="2">
        <v>113</v>
      </c>
      <c r="U544" s="2">
        <v>0</v>
      </c>
      <c r="V544" s="2"/>
      <c r="W544" s="2">
        <v>806</v>
      </c>
      <c r="X544" s="2">
        <v>660</v>
      </c>
      <c r="Y544" s="2">
        <v>536</v>
      </c>
      <c r="Z544" s="2">
        <v>0</v>
      </c>
      <c r="AA544" s="2">
        <v>0</v>
      </c>
      <c r="AB544" s="2"/>
      <c r="AC544" s="2">
        <v>1709</v>
      </c>
      <c r="AD544" s="2">
        <v>1388</v>
      </c>
      <c r="AE544" s="2">
        <v>1037</v>
      </c>
      <c r="AF544" s="2">
        <v>535</v>
      </c>
      <c r="AG544" s="2">
        <v>0</v>
      </c>
      <c r="AH544" s="2"/>
      <c r="AI544" s="2">
        <v>0</v>
      </c>
      <c r="AJ544" s="2">
        <v>0</v>
      </c>
      <c r="AK544" s="2">
        <v>0</v>
      </c>
      <c r="AL544" s="2">
        <v>0</v>
      </c>
      <c r="AM544" s="2">
        <v>0</v>
      </c>
    </row>
    <row r="545" spans="1:39">
      <c r="A545" s="349">
        <v>95804</v>
      </c>
      <c r="B545" s="342" t="s">
        <v>1236</v>
      </c>
      <c r="C545" s="234" t="e">
        <f>VLOOKUP(A545,#REF!,10,FALSE)</f>
        <v>#REF!</v>
      </c>
      <c r="E545" s="2">
        <v>12862</v>
      </c>
      <c r="F545" s="2">
        <v>3988</v>
      </c>
      <c r="G545" s="2">
        <v>6506</v>
      </c>
      <c r="H545" s="2">
        <v>2181</v>
      </c>
      <c r="I545" s="2">
        <v>0</v>
      </c>
      <c r="J545" s="2"/>
      <c r="K545" s="2">
        <v>3895</v>
      </c>
      <c r="L545" s="2">
        <v>3664</v>
      </c>
      <c r="M545" s="2">
        <v>3284</v>
      </c>
      <c r="N545" s="2">
        <v>1315</v>
      </c>
      <c r="O545" s="2">
        <v>0</v>
      </c>
      <c r="P545" s="2"/>
      <c r="Q545" s="2">
        <v>4135</v>
      </c>
      <c r="R545" s="2">
        <v>-3557</v>
      </c>
      <c r="S545" s="2">
        <v>501</v>
      </c>
      <c r="T545" s="2">
        <v>652</v>
      </c>
      <c r="U545" s="2">
        <v>0</v>
      </c>
      <c r="V545" s="2"/>
      <c r="W545" s="2">
        <v>4658</v>
      </c>
      <c r="X545" s="2">
        <v>3816</v>
      </c>
      <c r="Y545" s="2">
        <v>3098</v>
      </c>
      <c r="Z545" s="2">
        <v>0</v>
      </c>
      <c r="AA545" s="2">
        <v>0</v>
      </c>
      <c r="AB545" s="2"/>
      <c r="AC545" s="2">
        <v>762</v>
      </c>
      <c r="AD545" s="2">
        <v>653</v>
      </c>
      <c r="AE545" s="2">
        <v>212</v>
      </c>
      <c r="AF545" s="2">
        <v>214</v>
      </c>
      <c r="AG545" s="2">
        <v>0</v>
      </c>
      <c r="AH545" s="2"/>
      <c r="AI545" s="2">
        <v>-588</v>
      </c>
      <c r="AJ545" s="2">
        <v>-588</v>
      </c>
      <c r="AK545" s="2">
        <v>-589</v>
      </c>
      <c r="AL545" s="2">
        <v>0</v>
      </c>
      <c r="AM545" s="2">
        <v>-588</v>
      </c>
    </row>
    <row r="546" spans="1:39">
      <c r="A546" s="349">
        <v>95811</v>
      </c>
      <c r="B546" s="342" t="s">
        <v>1237</v>
      </c>
      <c r="C546" s="234" t="e">
        <f>VLOOKUP(A546,#REF!,10,FALSE)</f>
        <v>#REF!</v>
      </c>
      <c r="E546" s="2">
        <v>258580</v>
      </c>
      <c r="F546" s="2">
        <v>79967</v>
      </c>
      <c r="G546" s="2">
        <v>140632</v>
      </c>
      <c r="H546" s="2">
        <v>40467</v>
      </c>
      <c r="I546" s="2">
        <v>0</v>
      </c>
      <c r="J546" s="2"/>
      <c r="K546" s="2">
        <v>79203</v>
      </c>
      <c r="L546" s="2">
        <v>74504</v>
      </c>
      <c r="M546" s="2">
        <v>66777</v>
      </c>
      <c r="N546" s="2">
        <v>26737</v>
      </c>
      <c r="O546" s="2">
        <v>0</v>
      </c>
      <c r="P546" s="2"/>
      <c r="Q546" s="2">
        <v>84085</v>
      </c>
      <c r="R546" s="2">
        <v>-72329</v>
      </c>
      <c r="S546" s="2">
        <v>10194</v>
      </c>
      <c r="T546" s="2">
        <v>13267</v>
      </c>
      <c r="U546" s="2">
        <v>0</v>
      </c>
      <c r="V546" s="2"/>
      <c r="W546" s="2">
        <v>94723</v>
      </c>
      <c r="X546" s="2">
        <v>77600</v>
      </c>
      <c r="Y546" s="2">
        <v>62998</v>
      </c>
      <c r="Z546" s="2">
        <v>0</v>
      </c>
      <c r="AA546" s="2">
        <v>0</v>
      </c>
      <c r="AB546" s="2"/>
      <c r="AC546" s="2">
        <v>1039</v>
      </c>
      <c r="AD546" s="2">
        <v>661</v>
      </c>
      <c r="AE546" s="2">
        <v>663</v>
      </c>
      <c r="AF546" s="2">
        <v>463</v>
      </c>
      <c r="AG546" s="2">
        <v>0</v>
      </c>
      <c r="AH546" s="2"/>
      <c r="AI546" s="2">
        <v>-470</v>
      </c>
      <c r="AJ546" s="2">
        <v>-469</v>
      </c>
      <c r="AK546" s="2">
        <v>0</v>
      </c>
      <c r="AL546" s="2">
        <v>0</v>
      </c>
      <c r="AM546" s="2">
        <v>-469</v>
      </c>
    </row>
    <row r="547" spans="1:39">
      <c r="A547" s="349">
        <v>95813</v>
      </c>
      <c r="B547" s="342" t="s">
        <v>1238</v>
      </c>
      <c r="C547" s="234" t="e">
        <f>VLOOKUP(A547,#REF!,10,FALSE)</f>
        <v>#REF!</v>
      </c>
      <c r="E547" s="2">
        <v>53483</v>
      </c>
      <c r="F547" s="2">
        <v>31717</v>
      </c>
      <c r="G547" s="2">
        <v>27822</v>
      </c>
      <c r="H547" s="2">
        <v>9822</v>
      </c>
      <c r="I547" s="2">
        <v>0</v>
      </c>
      <c r="J547" s="2"/>
      <c r="K547" s="2">
        <v>6606</v>
      </c>
      <c r="L547" s="2">
        <v>6215</v>
      </c>
      <c r="M547" s="2">
        <v>5570</v>
      </c>
      <c r="N547" s="2">
        <v>2230</v>
      </c>
      <c r="O547" s="2">
        <v>0</v>
      </c>
      <c r="P547" s="2"/>
      <c r="Q547" s="2">
        <v>7014</v>
      </c>
      <c r="R547" s="2">
        <v>-6033</v>
      </c>
      <c r="S547" s="2">
        <v>850</v>
      </c>
      <c r="T547" s="2">
        <v>1107</v>
      </c>
      <c r="U547" s="2">
        <v>0</v>
      </c>
      <c r="V547" s="2"/>
      <c r="W547" s="2">
        <v>7901</v>
      </c>
      <c r="X547" s="2">
        <v>6473</v>
      </c>
      <c r="Y547" s="2">
        <v>5255</v>
      </c>
      <c r="Z547" s="2">
        <v>0</v>
      </c>
      <c r="AA547" s="2">
        <v>0</v>
      </c>
      <c r="AB547" s="2"/>
      <c r="AC547" s="2">
        <v>31962</v>
      </c>
      <c r="AD547" s="2">
        <v>25062</v>
      </c>
      <c r="AE547" s="2">
        <v>16147</v>
      </c>
      <c r="AF547" s="2">
        <v>6485</v>
      </c>
      <c r="AG547" s="2">
        <v>0</v>
      </c>
      <c r="AH547" s="2"/>
      <c r="AI547" s="2">
        <v>0</v>
      </c>
      <c r="AJ547" s="2">
        <v>0</v>
      </c>
      <c r="AK547" s="2">
        <v>0</v>
      </c>
      <c r="AL547" s="2">
        <v>0</v>
      </c>
      <c r="AM547" s="2">
        <v>0</v>
      </c>
    </row>
    <row r="548" spans="1:39">
      <c r="A548" s="349">
        <v>95821</v>
      </c>
      <c r="B548" s="342" t="s">
        <v>1239</v>
      </c>
      <c r="C548" s="234" t="e">
        <f>VLOOKUP(A548,#REF!,10,FALSE)</f>
        <v>#REF!</v>
      </c>
      <c r="E548" s="2">
        <v>4808</v>
      </c>
      <c r="F548" s="2">
        <v>2422</v>
      </c>
      <c r="G548" s="2">
        <v>3316</v>
      </c>
      <c r="H548" s="2">
        <v>1702</v>
      </c>
      <c r="I548" s="2">
        <v>0</v>
      </c>
      <c r="J548" s="2"/>
      <c r="K548" s="2">
        <v>959</v>
      </c>
      <c r="L548" s="2">
        <v>902</v>
      </c>
      <c r="M548" s="2">
        <v>808</v>
      </c>
      <c r="N548" s="2">
        <v>324</v>
      </c>
      <c r="O548" s="2">
        <v>0</v>
      </c>
      <c r="P548" s="2"/>
      <c r="Q548" s="2">
        <v>1018</v>
      </c>
      <c r="R548" s="2">
        <v>-876</v>
      </c>
      <c r="S548" s="2">
        <v>123</v>
      </c>
      <c r="T548" s="2">
        <v>161</v>
      </c>
      <c r="U548" s="2">
        <v>0</v>
      </c>
      <c r="V548" s="2"/>
      <c r="W548" s="2">
        <v>1147</v>
      </c>
      <c r="X548" s="2">
        <v>939</v>
      </c>
      <c r="Y548" s="2">
        <v>763</v>
      </c>
      <c r="Z548" s="2">
        <v>0</v>
      </c>
      <c r="AA548" s="2">
        <v>0</v>
      </c>
      <c r="AB548" s="2"/>
      <c r="AC548" s="2">
        <v>1847</v>
      </c>
      <c r="AD548" s="2">
        <v>1620</v>
      </c>
      <c r="AE548" s="2">
        <v>1622</v>
      </c>
      <c r="AF548" s="2">
        <v>1217</v>
      </c>
      <c r="AG548" s="2">
        <v>0</v>
      </c>
      <c r="AH548" s="2"/>
      <c r="AI548" s="2">
        <v>-163</v>
      </c>
      <c r="AJ548" s="2">
        <v>-163</v>
      </c>
      <c r="AK548" s="2">
        <v>0</v>
      </c>
      <c r="AL548" s="2">
        <v>0</v>
      </c>
      <c r="AM548" s="2">
        <v>-163</v>
      </c>
    </row>
    <row r="549" spans="1:39">
      <c r="A549" s="349">
        <v>95831</v>
      </c>
      <c r="B549" s="342" t="s">
        <v>1240</v>
      </c>
      <c r="C549" s="234" t="e">
        <f>VLOOKUP(A549,#REF!,10,FALSE)</f>
        <v>#REF!</v>
      </c>
      <c r="E549" s="2">
        <v>18765</v>
      </c>
      <c r="F549" s="2">
        <v>10371</v>
      </c>
      <c r="G549" s="2">
        <v>9236</v>
      </c>
      <c r="H549" s="2">
        <v>2890</v>
      </c>
      <c r="I549" s="2">
        <v>0</v>
      </c>
      <c r="J549" s="2"/>
      <c r="K549" s="2">
        <v>2981</v>
      </c>
      <c r="L549" s="2">
        <v>2804</v>
      </c>
      <c r="M549" s="2">
        <v>2513</v>
      </c>
      <c r="N549" s="2">
        <v>1006</v>
      </c>
      <c r="O549" s="2">
        <v>0</v>
      </c>
      <c r="P549" s="2"/>
      <c r="Q549" s="2">
        <v>3165</v>
      </c>
      <c r="R549" s="2">
        <v>-2722</v>
      </c>
      <c r="S549" s="2">
        <v>384</v>
      </c>
      <c r="T549" s="2">
        <v>499</v>
      </c>
      <c r="U549" s="2">
        <v>0</v>
      </c>
      <c r="V549" s="2"/>
      <c r="W549" s="2">
        <v>3565</v>
      </c>
      <c r="X549" s="2">
        <v>2921</v>
      </c>
      <c r="Y549" s="2">
        <v>2371</v>
      </c>
      <c r="Z549" s="2">
        <v>0</v>
      </c>
      <c r="AA549" s="2">
        <v>0</v>
      </c>
      <c r="AB549" s="2"/>
      <c r="AC549" s="2">
        <v>9054</v>
      </c>
      <c r="AD549" s="2">
        <v>7368</v>
      </c>
      <c r="AE549" s="2">
        <v>3968</v>
      </c>
      <c r="AF549" s="2">
        <v>1385</v>
      </c>
      <c r="AG549" s="2">
        <v>0</v>
      </c>
      <c r="AH549" s="2"/>
      <c r="AI549" s="2">
        <v>0</v>
      </c>
      <c r="AJ549" s="2">
        <v>0</v>
      </c>
      <c r="AK549" s="2">
        <v>0</v>
      </c>
      <c r="AL549" s="2">
        <v>0</v>
      </c>
      <c r="AM549" s="2">
        <v>0</v>
      </c>
    </row>
    <row r="550" spans="1:39">
      <c r="A550" s="349">
        <v>95841</v>
      </c>
      <c r="B550" s="342" t="s">
        <v>1241</v>
      </c>
      <c r="C550" s="234" t="e">
        <f>VLOOKUP(A550,#REF!,10,FALSE)</f>
        <v>#REF!</v>
      </c>
      <c r="E550" s="2">
        <v>14454</v>
      </c>
      <c r="F550" s="2">
        <v>5541</v>
      </c>
      <c r="G550" s="2">
        <v>8260</v>
      </c>
      <c r="H550" s="2">
        <v>2952</v>
      </c>
      <c r="I550" s="2">
        <v>0</v>
      </c>
      <c r="J550" s="2"/>
      <c r="K550" s="2">
        <v>3865</v>
      </c>
      <c r="L550" s="2">
        <v>3636</v>
      </c>
      <c r="M550" s="2">
        <v>3259</v>
      </c>
      <c r="N550" s="2">
        <v>1305</v>
      </c>
      <c r="O550" s="2">
        <v>0</v>
      </c>
      <c r="P550" s="2"/>
      <c r="Q550" s="2">
        <v>4103</v>
      </c>
      <c r="R550" s="2">
        <v>-3530</v>
      </c>
      <c r="S550" s="2">
        <v>497</v>
      </c>
      <c r="T550" s="2">
        <v>647</v>
      </c>
      <c r="U550" s="2">
        <v>0</v>
      </c>
      <c r="V550" s="2"/>
      <c r="W550" s="2">
        <v>4622</v>
      </c>
      <c r="X550" s="2">
        <v>3787</v>
      </c>
      <c r="Y550" s="2">
        <v>3074</v>
      </c>
      <c r="Z550" s="2">
        <v>0</v>
      </c>
      <c r="AA550" s="2">
        <v>0</v>
      </c>
      <c r="AB550" s="2"/>
      <c r="AC550" s="2">
        <v>1864</v>
      </c>
      <c r="AD550" s="2">
        <v>1648</v>
      </c>
      <c r="AE550" s="2">
        <v>1430</v>
      </c>
      <c r="AF550" s="2">
        <v>1000</v>
      </c>
      <c r="AG550" s="2">
        <v>0</v>
      </c>
      <c r="AH550" s="2"/>
      <c r="AI550" s="2">
        <v>0</v>
      </c>
      <c r="AJ550" s="2">
        <v>0</v>
      </c>
      <c r="AK550" s="2">
        <v>0</v>
      </c>
      <c r="AL550" s="2">
        <v>0</v>
      </c>
      <c r="AM550" s="2">
        <v>0</v>
      </c>
    </row>
    <row r="551" spans="1:39">
      <c r="A551" s="349">
        <v>95851</v>
      </c>
      <c r="B551" s="342" t="s">
        <v>1242</v>
      </c>
      <c r="C551" s="234" t="e">
        <f>VLOOKUP(A551,#REF!,10,FALSE)</f>
        <v>#REF!</v>
      </c>
      <c r="E551" s="2">
        <v>117842</v>
      </c>
      <c r="F551" s="2">
        <v>63821</v>
      </c>
      <c r="G551" s="2">
        <v>61424</v>
      </c>
      <c r="H551" s="2">
        <v>21376</v>
      </c>
      <c r="I551" s="2">
        <v>0</v>
      </c>
      <c r="J551" s="2"/>
      <c r="K551" s="2">
        <v>18876</v>
      </c>
      <c r="L551" s="2">
        <v>17756</v>
      </c>
      <c r="M551" s="2">
        <v>15914</v>
      </c>
      <c r="N551" s="2">
        <v>6372</v>
      </c>
      <c r="O551" s="2">
        <v>0</v>
      </c>
      <c r="P551" s="2"/>
      <c r="Q551" s="2">
        <v>20039</v>
      </c>
      <c r="R551" s="2">
        <v>-17237</v>
      </c>
      <c r="S551" s="2">
        <v>2429</v>
      </c>
      <c r="T551" s="2">
        <v>3162</v>
      </c>
      <c r="U551" s="2">
        <v>0</v>
      </c>
      <c r="V551" s="2"/>
      <c r="W551" s="2">
        <v>22574</v>
      </c>
      <c r="X551" s="2">
        <v>18494</v>
      </c>
      <c r="Y551" s="2">
        <v>15014</v>
      </c>
      <c r="Z551" s="2">
        <v>0</v>
      </c>
      <c r="AA551" s="2">
        <v>0</v>
      </c>
      <c r="AB551" s="2"/>
      <c r="AC551" s="2">
        <v>56353</v>
      </c>
      <c r="AD551" s="2">
        <v>44808</v>
      </c>
      <c r="AE551" s="2">
        <v>28067</v>
      </c>
      <c r="AF551" s="2">
        <v>11842</v>
      </c>
      <c r="AG551" s="2">
        <v>0</v>
      </c>
      <c r="AH551" s="2"/>
      <c r="AI551" s="2">
        <v>0</v>
      </c>
      <c r="AJ551" s="2">
        <v>0</v>
      </c>
      <c r="AK551" s="2">
        <v>0</v>
      </c>
      <c r="AL551" s="2">
        <v>0</v>
      </c>
      <c r="AM551" s="2">
        <v>0</v>
      </c>
    </row>
    <row r="552" spans="1:39">
      <c r="A552" s="349">
        <v>95853</v>
      </c>
      <c r="B552" s="342" t="s">
        <v>1243</v>
      </c>
      <c r="C552" s="234" t="e">
        <f>VLOOKUP(A552,#REF!,10,FALSE)</f>
        <v>#REF!</v>
      </c>
      <c r="E552" s="2">
        <v>17287</v>
      </c>
      <c r="F552" s="2">
        <v>6225</v>
      </c>
      <c r="G552" s="2">
        <v>8787</v>
      </c>
      <c r="H552" s="2">
        <v>2146</v>
      </c>
      <c r="I552" s="2">
        <v>0</v>
      </c>
      <c r="J552" s="2"/>
      <c r="K552" s="2">
        <v>4539</v>
      </c>
      <c r="L552" s="2">
        <v>4270</v>
      </c>
      <c r="M552" s="2">
        <v>3827</v>
      </c>
      <c r="N552" s="2">
        <v>1532</v>
      </c>
      <c r="O552" s="2">
        <v>0</v>
      </c>
      <c r="P552" s="2"/>
      <c r="Q552" s="2">
        <v>4819</v>
      </c>
      <c r="R552" s="2">
        <v>-4145</v>
      </c>
      <c r="S552" s="2">
        <v>584</v>
      </c>
      <c r="T552" s="2">
        <v>760</v>
      </c>
      <c r="U552" s="2">
        <v>0</v>
      </c>
      <c r="V552" s="2"/>
      <c r="W552" s="2">
        <v>5429</v>
      </c>
      <c r="X552" s="2">
        <v>4447</v>
      </c>
      <c r="Y552" s="2">
        <v>3610</v>
      </c>
      <c r="Z552" s="2">
        <v>0</v>
      </c>
      <c r="AA552" s="2">
        <v>0</v>
      </c>
      <c r="AB552" s="2"/>
      <c r="AC552" s="2">
        <v>2647</v>
      </c>
      <c r="AD552" s="2">
        <v>1800</v>
      </c>
      <c r="AE552" s="2">
        <v>913</v>
      </c>
      <c r="AF552" s="2">
        <v>0</v>
      </c>
      <c r="AG552" s="2">
        <v>0</v>
      </c>
      <c r="AH552" s="2"/>
      <c r="AI552" s="2">
        <v>-147</v>
      </c>
      <c r="AJ552" s="2">
        <v>-147</v>
      </c>
      <c r="AK552" s="2">
        <v>-147</v>
      </c>
      <c r="AL552" s="2">
        <v>-146</v>
      </c>
      <c r="AM552" s="2">
        <v>-147</v>
      </c>
    </row>
    <row r="553" spans="1:39">
      <c r="A553" s="349">
        <v>95901</v>
      </c>
      <c r="B553" s="342" t="s">
        <v>1244</v>
      </c>
      <c r="C553" s="234" t="e">
        <f>VLOOKUP(A553,#REF!,10,FALSE)</f>
        <v>#REF!</v>
      </c>
      <c r="E553" s="2">
        <v>967879</v>
      </c>
      <c r="F553" s="2">
        <v>298372</v>
      </c>
      <c r="G553" s="2">
        <v>526525</v>
      </c>
      <c r="H553" s="2">
        <v>150227</v>
      </c>
      <c r="I553" s="2">
        <v>0</v>
      </c>
      <c r="J553" s="2"/>
      <c r="K553" s="2">
        <v>298640</v>
      </c>
      <c r="L553" s="2">
        <v>280924</v>
      </c>
      <c r="M553" s="2">
        <v>251789</v>
      </c>
      <c r="N553" s="2">
        <v>100813</v>
      </c>
      <c r="O553" s="2">
        <v>0</v>
      </c>
      <c r="P553" s="2"/>
      <c r="Q553" s="2">
        <v>317048</v>
      </c>
      <c r="R553" s="2">
        <v>-272721</v>
      </c>
      <c r="S553" s="2">
        <v>38437</v>
      </c>
      <c r="T553" s="2">
        <v>50025</v>
      </c>
      <c r="U553" s="2">
        <v>0</v>
      </c>
      <c r="V553" s="2"/>
      <c r="W553" s="2">
        <v>357159</v>
      </c>
      <c r="X553" s="2">
        <v>292598</v>
      </c>
      <c r="Y553" s="2">
        <v>237539</v>
      </c>
      <c r="Z553" s="2">
        <v>0</v>
      </c>
      <c r="AA553" s="2">
        <v>0</v>
      </c>
      <c r="AB553" s="2"/>
      <c r="AC553" s="2">
        <v>0</v>
      </c>
      <c r="AD553" s="2">
        <v>0</v>
      </c>
      <c r="AE553" s="2">
        <v>0</v>
      </c>
      <c r="AF553" s="2">
        <v>0</v>
      </c>
      <c r="AG553" s="2">
        <v>0</v>
      </c>
      <c r="AH553" s="2"/>
      <c r="AI553" s="2">
        <v>-4968</v>
      </c>
      <c r="AJ553" s="2">
        <v>-2429</v>
      </c>
      <c r="AK553" s="2">
        <v>-1240</v>
      </c>
      <c r="AL553" s="2">
        <v>-611</v>
      </c>
      <c r="AM553" s="2">
        <v>-2429</v>
      </c>
    </row>
    <row r="554" spans="1:39">
      <c r="A554" s="349">
        <v>95908</v>
      </c>
      <c r="B554" s="342" t="s">
        <v>3681</v>
      </c>
      <c r="C554" s="234" t="e">
        <f>VLOOKUP(A554,#REF!,10,FALSE)</f>
        <v>#REF!</v>
      </c>
      <c r="E554" s="2">
        <v>30269</v>
      </c>
      <c r="F554" s="2">
        <v>7019</v>
      </c>
      <c r="G554" s="2">
        <v>16839</v>
      </c>
      <c r="H554" s="2">
        <v>5944</v>
      </c>
      <c r="I554" s="2">
        <v>0</v>
      </c>
      <c r="J554" s="2"/>
      <c r="K554" s="2">
        <v>10711</v>
      </c>
      <c r="L554" s="2">
        <v>10076</v>
      </c>
      <c r="M554" s="2">
        <v>9031</v>
      </c>
      <c r="N554" s="2">
        <v>3616</v>
      </c>
      <c r="O554" s="2">
        <v>0</v>
      </c>
      <c r="P554" s="2"/>
      <c r="Q554" s="2">
        <v>11371</v>
      </c>
      <c r="R554" s="2">
        <v>-9782</v>
      </c>
      <c r="S554" s="2">
        <v>1379</v>
      </c>
      <c r="T554" s="2">
        <v>1794</v>
      </c>
      <c r="U554" s="2">
        <v>0</v>
      </c>
      <c r="V554" s="2"/>
      <c r="W554" s="2">
        <v>12810</v>
      </c>
      <c r="X554" s="2">
        <v>10494</v>
      </c>
      <c r="Y554" s="2">
        <v>8520</v>
      </c>
      <c r="Z554" s="2">
        <v>0</v>
      </c>
      <c r="AA554" s="2">
        <v>0</v>
      </c>
      <c r="AB554" s="2"/>
      <c r="AC554" s="2">
        <v>532</v>
      </c>
      <c r="AD554" s="2">
        <v>532</v>
      </c>
      <c r="AE554" s="2">
        <v>532</v>
      </c>
      <c r="AF554" s="2">
        <v>534</v>
      </c>
      <c r="AG554" s="2">
        <v>0</v>
      </c>
      <c r="AH554" s="2"/>
      <c r="AI554" s="2">
        <v>-5155</v>
      </c>
      <c r="AJ554" s="2">
        <v>-4301</v>
      </c>
      <c r="AK554" s="2">
        <v>-2623</v>
      </c>
      <c r="AL554" s="2">
        <v>0</v>
      </c>
      <c r="AM554" s="2">
        <v>-4301</v>
      </c>
    </row>
    <row r="555" spans="1:39">
      <c r="A555" s="349">
        <v>95911</v>
      </c>
      <c r="B555" s="342" t="s">
        <v>1246</v>
      </c>
      <c r="C555" s="234" t="e">
        <f>VLOOKUP(A555,#REF!,10,FALSE)</f>
        <v>#REF!</v>
      </c>
      <c r="E555" s="2">
        <v>259159</v>
      </c>
      <c r="F555" s="2">
        <v>75134</v>
      </c>
      <c r="G555" s="2">
        <v>142826</v>
      </c>
      <c r="H555" s="2">
        <v>41629</v>
      </c>
      <c r="I555" s="2">
        <v>0</v>
      </c>
      <c r="J555" s="2"/>
      <c r="K555" s="2">
        <v>85135</v>
      </c>
      <c r="L555" s="2">
        <v>80085</v>
      </c>
      <c r="M555" s="2">
        <v>71779</v>
      </c>
      <c r="N555" s="2">
        <v>28739</v>
      </c>
      <c r="O555" s="2">
        <v>0</v>
      </c>
      <c r="P555" s="2"/>
      <c r="Q555" s="2">
        <v>90383</v>
      </c>
      <c r="R555" s="2">
        <v>-77746</v>
      </c>
      <c r="S555" s="2">
        <v>10957</v>
      </c>
      <c r="T555" s="2">
        <v>14261</v>
      </c>
      <c r="U555" s="2">
        <v>0</v>
      </c>
      <c r="V555" s="2"/>
      <c r="W555" s="2">
        <v>101818</v>
      </c>
      <c r="X555" s="2">
        <v>83413</v>
      </c>
      <c r="Y555" s="2">
        <v>67717</v>
      </c>
      <c r="Z555" s="2">
        <v>0</v>
      </c>
      <c r="AA555" s="2">
        <v>0</v>
      </c>
      <c r="AB555" s="2"/>
      <c r="AC555" s="2">
        <v>0</v>
      </c>
      <c r="AD555" s="2">
        <v>0</v>
      </c>
      <c r="AE555" s="2">
        <v>0</v>
      </c>
      <c r="AF555" s="2">
        <v>0</v>
      </c>
      <c r="AG555" s="2">
        <v>0</v>
      </c>
      <c r="AH555" s="2"/>
      <c r="AI555" s="2">
        <v>-18177</v>
      </c>
      <c r="AJ555" s="2">
        <v>-10618</v>
      </c>
      <c r="AK555" s="2">
        <v>-7627</v>
      </c>
      <c r="AL555" s="2">
        <v>-1371</v>
      </c>
      <c r="AM555" s="2">
        <v>-10618</v>
      </c>
    </row>
    <row r="556" spans="1:39">
      <c r="A556" s="349">
        <v>95917</v>
      </c>
      <c r="B556" s="342" t="s">
        <v>1247</v>
      </c>
      <c r="C556" s="234" t="e">
        <f>VLOOKUP(A556,#REF!,10,FALSE)</f>
        <v>#REF!</v>
      </c>
      <c r="E556" s="2">
        <v>8724</v>
      </c>
      <c r="F556" s="2">
        <v>2607</v>
      </c>
      <c r="G556" s="2">
        <v>4256</v>
      </c>
      <c r="H556" s="2">
        <v>1536</v>
      </c>
      <c r="I556" s="2">
        <v>0</v>
      </c>
      <c r="J556" s="2"/>
      <c r="K556" s="2">
        <v>2786</v>
      </c>
      <c r="L556" s="2">
        <v>2621</v>
      </c>
      <c r="M556" s="2">
        <v>2349</v>
      </c>
      <c r="N556" s="2">
        <v>941</v>
      </c>
      <c r="O556" s="2">
        <v>0</v>
      </c>
      <c r="P556" s="2"/>
      <c r="Q556" s="2">
        <v>2958</v>
      </c>
      <c r="R556" s="2">
        <v>-2545</v>
      </c>
      <c r="S556" s="2">
        <v>359</v>
      </c>
      <c r="T556" s="2">
        <v>467</v>
      </c>
      <c r="U556" s="2">
        <v>0</v>
      </c>
      <c r="V556" s="2"/>
      <c r="W556" s="2">
        <v>3332</v>
      </c>
      <c r="X556" s="2">
        <v>2730</v>
      </c>
      <c r="Y556" s="2">
        <v>2216</v>
      </c>
      <c r="Z556" s="2">
        <v>0</v>
      </c>
      <c r="AA556" s="2">
        <v>0</v>
      </c>
      <c r="AB556" s="2"/>
      <c r="AC556" s="2">
        <v>596</v>
      </c>
      <c r="AD556" s="2">
        <v>598</v>
      </c>
      <c r="AE556" s="2">
        <v>127</v>
      </c>
      <c r="AF556" s="2">
        <v>128</v>
      </c>
      <c r="AG556" s="2">
        <v>0</v>
      </c>
      <c r="AH556" s="2"/>
      <c r="AI556" s="2">
        <v>-948</v>
      </c>
      <c r="AJ556" s="2">
        <v>-797</v>
      </c>
      <c r="AK556" s="2">
        <v>-795</v>
      </c>
      <c r="AL556" s="2">
        <v>0</v>
      </c>
      <c r="AM556" s="2">
        <v>-797</v>
      </c>
    </row>
    <row r="557" spans="1:39">
      <c r="A557" s="349">
        <v>95921</v>
      </c>
      <c r="B557" s="342" t="s">
        <v>1248</v>
      </c>
      <c r="C557" s="234" t="e">
        <f>VLOOKUP(A557,#REF!,10,FALSE)</f>
        <v>#REF!</v>
      </c>
      <c r="E557" s="2">
        <v>29133</v>
      </c>
      <c r="F557" s="2">
        <v>9959</v>
      </c>
      <c r="G557" s="2">
        <v>16067</v>
      </c>
      <c r="H557" s="2">
        <v>5283</v>
      </c>
      <c r="I557" s="2">
        <v>0</v>
      </c>
      <c r="J557" s="2"/>
      <c r="K557" s="2">
        <v>8120</v>
      </c>
      <c r="L557" s="2">
        <v>7638</v>
      </c>
      <c r="M557" s="2">
        <v>6846</v>
      </c>
      <c r="N557" s="2">
        <v>2741</v>
      </c>
      <c r="O557" s="2">
        <v>0</v>
      </c>
      <c r="P557" s="2"/>
      <c r="Q557" s="2">
        <v>8620</v>
      </c>
      <c r="R557" s="2">
        <v>-7415</v>
      </c>
      <c r="S557" s="2">
        <v>1045</v>
      </c>
      <c r="T557" s="2">
        <v>1360</v>
      </c>
      <c r="U557" s="2">
        <v>0</v>
      </c>
      <c r="V557" s="2"/>
      <c r="W557" s="2">
        <v>9711</v>
      </c>
      <c r="X557" s="2">
        <v>7955</v>
      </c>
      <c r="Y557" s="2">
        <v>6458</v>
      </c>
      <c r="Z557" s="2">
        <v>0</v>
      </c>
      <c r="AA557" s="2">
        <v>0</v>
      </c>
      <c r="AB557" s="2"/>
      <c r="AC557" s="2">
        <v>2682</v>
      </c>
      <c r="AD557" s="2">
        <v>1781</v>
      </c>
      <c r="AE557" s="2">
        <v>1718</v>
      </c>
      <c r="AF557" s="2">
        <v>1182</v>
      </c>
      <c r="AG557" s="2">
        <v>0</v>
      </c>
      <c r="AH557" s="2"/>
      <c r="AI557" s="2">
        <v>0</v>
      </c>
      <c r="AJ557" s="2">
        <v>0</v>
      </c>
      <c r="AK557" s="2">
        <v>0</v>
      </c>
      <c r="AL557" s="2">
        <v>0</v>
      </c>
      <c r="AM557" s="2">
        <v>0</v>
      </c>
    </row>
    <row r="558" spans="1:39">
      <c r="A558" s="349">
        <v>96001</v>
      </c>
      <c r="B558" s="342" t="s">
        <v>1249</v>
      </c>
      <c r="C558" s="234" t="e">
        <f>VLOOKUP(A558,#REF!,10,FALSE)</f>
        <v>#REF!</v>
      </c>
      <c r="E558" s="2">
        <v>20892387</v>
      </c>
      <c r="F558" s="2">
        <v>6335363</v>
      </c>
      <c r="G558" s="2">
        <v>11339949</v>
      </c>
      <c r="H558" s="2">
        <v>3229760</v>
      </c>
      <c r="I558" s="2">
        <v>0</v>
      </c>
      <c r="J558" s="2"/>
      <c r="K558" s="2">
        <v>6496755</v>
      </c>
      <c r="L558" s="2">
        <v>6111348</v>
      </c>
      <c r="M558" s="2">
        <v>5477532</v>
      </c>
      <c r="N558" s="2">
        <v>2193138</v>
      </c>
      <c r="O558" s="2">
        <v>0</v>
      </c>
      <c r="P558" s="2"/>
      <c r="Q558" s="2">
        <v>6897211</v>
      </c>
      <c r="R558" s="2">
        <v>-5932891</v>
      </c>
      <c r="S558" s="2">
        <v>836169</v>
      </c>
      <c r="T558" s="2">
        <v>1088264</v>
      </c>
      <c r="U558" s="2">
        <v>0</v>
      </c>
      <c r="V558" s="2"/>
      <c r="W558" s="2">
        <v>7769808</v>
      </c>
      <c r="X558" s="2">
        <v>6365308</v>
      </c>
      <c r="Y558" s="2">
        <v>5167541</v>
      </c>
      <c r="Z558" s="2">
        <v>0</v>
      </c>
      <c r="AA558" s="2">
        <v>0</v>
      </c>
      <c r="AB558" s="2"/>
      <c r="AC558" s="2">
        <v>0</v>
      </c>
      <c r="AD558" s="2">
        <v>0</v>
      </c>
      <c r="AE558" s="2">
        <v>0</v>
      </c>
      <c r="AF558" s="2">
        <v>0</v>
      </c>
      <c r="AG558" s="2">
        <v>0</v>
      </c>
      <c r="AH558" s="2"/>
      <c r="AI558" s="2">
        <v>-271387</v>
      </c>
      <c r="AJ558" s="2">
        <v>-208402</v>
      </c>
      <c r="AK558" s="2">
        <v>-141293</v>
      </c>
      <c r="AL558" s="2">
        <v>-51642</v>
      </c>
      <c r="AM558" s="2">
        <v>-208402</v>
      </c>
    </row>
    <row r="559" spans="1:39">
      <c r="A559" s="349">
        <v>96003</v>
      </c>
      <c r="B559" s="342" t="s">
        <v>1250</v>
      </c>
      <c r="C559" s="234" t="e">
        <f>VLOOKUP(A559,#REF!,10,FALSE)</f>
        <v>#REF!</v>
      </c>
      <c r="E559" s="2">
        <v>770456</v>
      </c>
      <c r="F559" s="2">
        <v>223982</v>
      </c>
      <c r="G559" s="2">
        <v>429412</v>
      </c>
      <c r="H559" s="2">
        <v>136046</v>
      </c>
      <c r="I559" s="2">
        <v>0</v>
      </c>
      <c r="J559" s="2"/>
      <c r="K559" s="2">
        <v>248979</v>
      </c>
      <c r="L559" s="2">
        <v>234209</v>
      </c>
      <c r="M559" s="2">
        <v>209919</v>
      </c>
      <c r="N559" s="2">
        <v>84049</v>
      </c>
      <c r="O559" s="2">
        <v>0</v>
      </c>
      <c r="P559" s="2"/>
      <c r="Q559" s="2">
        <v>264326</v>
      </c>
      <c r="R559" s="2">
        <v>-227370</v>
      </c>
      <c r="S559" s="2">
        <v>32045</v>
      </c>
      <c r="T559" s="2">
        <v>41706</v>
      </c>
      <c r="U559" s="2">
        <v>0</v>
      </c>
      <c r="V559" s="2"/>
      <c r="W559" s="2">
        <v>297767</v>
      </c>
      <c r="X559" s="2">
        <v>243942</v>
      </c>
      <c r="Y559" s="2">
        <v>198039</v>
      </c>
      <c r="Z559" s="2">
        <v>0</v>
      </c>
      <c r="AA559" s="2">
        <v>0</v>
      </c>
      <c r="AB559" s="2"/>
      <c r="AC559" s="2">
        <v>10292</v>
      </c>
      <c r="AD559" s="2">
        <v>10292</v>
      </c>
      <c r="AE559" s="2">
        <v>10292</v>
      </c>
      <c r="AF559" s="2">
        <v>10291</v>
      </c>
      <c r="AG559" s="2">
        <v>0</v>
      </c>
      <c r="AH559" s="2"/>
      <c r="AI559" s="2">
        <v>-50908</v>
      </c>
      <c r="AJ559" s="2">
        <v>-37091</v>
      </c>
      <c r="AK559" s="2">
        <v>-20883</v>
      </c>
      <c r="AL559" s="2">
        <v>0</v>
      </c>
      <c r="AM559" s="2">
        <v>-37091</v>
      </c>
    </row>
    <row r="560" spans="1:39">
      <c r="A560" s="349">
        <v>96004</v>
      </c>
      <c r="B560" s="342" t="s">
        <v>1251</v>
      </c>
      <c r="C560" s="234" t="e">
        <f>VLOOKUP(A560,#REF!,10,FALSE)</f>
        <v>#REF!</v>
      </c>
      <c r="E560" s="2">
        <v>516712</v>
      </c>
      <c r="F560" s="2">
        <v>186136</v>
      </c>
      <c r="G560" s="2">
        <v>279842</v>
      </c>
      <c r="H560" s="2">
        <v>88864</v>
      </c>
      <c r="I560" s="2">
        <v>0</v>
      </c>
      <c r="J560" s="2"/>
      <c r="K560" s="2">
        <v>140759</v>
      </c>
      <c r="L560" s="2">
        <v>132408</v>
      </c>
      <c r="M560" s="2">
        <v>118676</v>
      </c>
      <c r="N560" s="2">
        <v>47517</v>
      </c>
      <c r="O560" s="2">
        <v>0</v>
      </c>
      <c r="P560" s="2"/>
      <c r="Q560" s="2">
        <v>149435</v>
      </c>
      <c r="R560" s="2">
        <v>-128542</v>
      </c>
      <c r="S560" s="2">
        <v>18116</v>
      </c>
      <c r="T560" s="2">
        <v>23578</v>
      </c>
      <c r="U560" s="2">
        <v>0</v>
      </c>
      <c r="V560" s="2"/>
      <c r="W560" s="2">
        <v>168341</v>
      </c>
      <c r="X560" s="2">
        <v>137911</v>
      </c>
      <c r="Y560" s="2">
        <v>111960</v>
      </c>
      <c r="Z560" s="2">
        <v>0</v>
      </c>
      <c r="AA560" s="2">
        <v>0</v>
      </c>
      <c r="AB560" s="2"/>
      <c r="AC560" s="2">
        <v>58177</v>
      </c>
      <c r="AD560" s="2">
        <v>44359</v>
      </c>
      <c r="AE560" s="2">
        <v>31090</v>
      </c>
      <c r="AF560" s="2">
        <v>17769</v>
      </c>
      <c r="AG560" s="2">
        <v>0</v>
      </c>
      <c r="AH560" s="2"/>
      <c r="AI560" s="2">
        <v>0</v>
      </c>
      <c r="AJ560" s="2">
        <v>0</v>
      </c>
      <c r="AK560" s="2">
        <v>0</v>
      </c>
      <c r="AL560" s="2">
        <v>0</v>
      </c>
      <c r="AM560" s="2">
        <v>0</v>
      </c>
    </row>
    <row r="561" spans="1:39">
      <c r="A561" s="349">
        <v>96005</v>
      </c>
      <c r="B561" s="342" t="s">
        <v>1252</v>
      </c>
      <c r="C561" s="234" t="e">
        <f>VLOOKUP(A561,#REF!,10,FALSE)</f>
        <v>#REF!</v>
      </c>
      <c r="E561" s="2">
        <v>1177905</v>
      </c>
      <c r="F561" s="2">
        <v>350159</v>
      </c>
      <c r="G561" s="2">
        <v>621483</v>
      </c>
      <c r="H561" s="2">
        <v>161082</v>
      </c>
      <c r="I561" s="2">
        <v>0</v>
      </c>
      <c r="J561" s="2"/>
      <c r="K561" s="2">
        <v>366533</v>
      </c>
      <c r="L561" s="2">
        <v>344789</v>
      </c>
      <c r="M561" s="2">
        <v>309030</v>
      </c>
      <c r="N561" s="2">
        <v>123732</v>
      </c>
      <c r="O561" s="2">
        <v>0</v>
      </c>
      <c r="P561" s="2"/>
      <c r="Q561" s="2">
        <v>389126</v>
      </c>
      <c r="R561" s="2">
        <v>-334721</v>
      </c>
      <c r="S561" s="2">
        <v>47175</v>
      </c>
      <c r="T561" s="2">
        <v>61397</v>
      </c>
      <c r="U561" s="2">
        <v>0</v>
      </c>
      <c r="V561" s="2"/>
      <c r="W561" s="2">
        <v>438356</v>
      </c>
      <c r="X561" s="2">
        <v>359117</v>
      </c>
      <c r="Y561" s="2">
        <v>291541</v>
      </c>
      <c r="Z561" s="2">
        <v>0</v>
      </c>
      <c r="AA561" s="2">
        <v>0</v>
      </c>
      <c r="AB561" s="2"/>
      <c r="AC561" s="2">
        <v>10155</v>
      </c>
      <c r="AD561" s="2">
        <v>7239</v>
      </c>
      <c r="AE561" s="2">
        <v>0</v>
      </c>
      <c r="AF561" s="2">
        <v>0</v>
      </c>
      <c r="AG561" s="2">
        <v>0</v>
      </c>
      <c r="AH561" s="2"/>
      <c r="AI561" s="2">
        <v>-26265</v>
      </c>
      <c r="AJ561" s="2">
        <v>-26265</v>
      </c>
      <c r="AK561" s="2">
        <v>-26263</v>
      </c>
      <c r="AL561" s="2">
        <v>-24047</v>
      </c>
      <c r="AM561" s="2">
        <v>-26265</v>
      </c>
    </row>
    <row r="562" spans="1:39">
      <c r="A562" s="349">
        <v>96008</v>
      </c>
      <c r="B562" s="342" t="s">
        <v>3682</v>
      </c>
      <c r="C562" s="234" t="e">
        <f>VLOOKUP(A562,#REF!,10,FALSE)</f>
        <v>#REF!</v>
      </c>
      <c r="E562" s="2">
        <v>2576125</v>
      </c>
      <c r="F562" s="2">
        <v>542618</v>
      </c>
      <c r="G562" s="2">
        <v>1371522</v>
      </c>
      <c r="H562" s="2">
        <v>311379</v>
      </c>
      <c r="I562" s="2">
        <v>0</v>
      </c>
      <c r="J562" s="2"/>
      <c r="K562" s="2">
        <v>924923</v>
      </c>
      <c r="L562" s="2">
        <v>870054</v>
      </c>
      <c r="M562" s="2">
        <v>779820</v>
      </c>
      <c r="N562" s="2">
        <v>312230</v>
      </c>
      <c r="O562" s="2">
        <v>0</v>
      </c>
      <c r="P562" s="2"/>
      <c r="Q562" s="2">
        <v>981935</v>
      </c>
      <c r="R562" s="2">
        <v>-844648</v>
      </c>
      <c r="S562" s="2">
        <v>119043</v>
      </c>
      <c r="T562" s="2">
        <v>154933</v>
      </c>
      <c r="U562" s="2">
        <v>0</v>
      </c>
      <c r="V562" s="2"/>
      <c r="W562" s="2">
        <v>1106164</v>
      </c>
      <c r="X562" s="2">
        <v>906210</v>
      </c>
      <c r="Y562" s="2">
        <v>735687</v>
      </c>
      <c r="Z562" s="2">
        <v>0</v>
      </c>
      <c r="AA562" s="2">
        <v>0</v>
      </c>
      <c r="AB562" s="2"/>
      <c r="AC562" s="2">
        <v>0</v>
      </c>
      <c r="AD562" s="2">
        <v>0</v>
      </c>
      <c r="AE562" s="2">
        <v>0</v>
      </c>
      <c r="AF562" s="2">
        <v>0</v>
      </c>
      <c r="AG562" s="2">
        <v>0</v>
      </c>
      <c r="AH562" s="2"/>
      <c r="AI562" s="2">
        <v>-436897</v>
      </c>
      <c r="AJ562" s="2">
        <v>-388998</v>
      </c>
      <c r="AK562" s="2">
        <v>-263028</v>
      </c>
      <c r="AL562" s="2">
        <v>-155784</v>
      </c>
      <c r="AM562" s="2">
        <v>-388998</v>
      </c>
    </row>
    <row r="563" spans="1:39">
      <c r="A563" s="349">
        <v>96009</v>
      </c>
      <c r="B563" s="342" t="s">
        <v>1254</v>
      </c>
      <c r="C563" s="234" t="e">
        <f>VLOOKUP(A563,#REF!,10,FALSE)</f>
        <v>#REF!</v>
      </c>
      <c r="E563" s="2">
        <v>183800</v>
      </c>
      <c r="F563" s="2">
        <v>65204</v>
      </c>
      <c r="G563" s="2">
        <v>98910</v>
      </c>
      <c r="H563" s="2">
        <v>25440</v>
      </c>
      <c r="I563" s="2">
        <v>0</v>
      </c>
      <c r="J563" s="2"/>
      <c r="K563" s="2">
        <v>53047</v>
      </c>
      <c r="L563" s="2">
        <v>49900</v>
      </c>
      <c r="M563" s="2">
        <v>44725</v>
      </c>
      <c r="N563" s="2">
        <v>17907</v>
      </c>
      <c r="O563" s="2">
        <v>0</v>
      </c>
      <c r="P563" s="2"/>
      <c r="Q563" s="2">
        <v>56316</v>
      </c>
      <c r="R563" s="2">
        <v>-48443</v>
      </c>
      <c r="S563" s="2">
        <v>6827</v>
      </c>
      <c r="T563" s="2">
        <v>8886</v>
      </c>
      <c r="U563" s="2">
        <v>0</v>
      </c>
      <c r="V563" s="2"/>
      <c r="W563" s="2">
        <v>63441</v>
      </c>
      <c r="X563" s="2">
        <v>51973</v>
      </c>
      <c r="Y563" s="2">
        <v>42193</v>
      </c>
      <c r="Z563" s="2">
        <v>0</v>
      </c>
      <c r="AA563" s="2">
        <v>0</v>
      </c>
      <c r="AB563" s="2"/>
      <c r="AC563" s="2">
        <v>13131</v>
      </c>
      <c r="AD563" s="2">
        <v>13129</v>
      </c>
      <c r="AE563" s="2">
        <v>6520</v>
      </c>
      <c r="AF563" s="2">
        <v>0</v>
      </c>
      <c r="AG563" s="2">
        <v>0</v>
      </c>
      <c r="AH563" s="2"/>
      <c r="AI563" s="2">
        <v>-2135</v>
      </c>
      <c r="AJ563" s="2">
        <v>-1355</v>
      </c>
      <c r="AK563" s="2">
        <v>-1355</v>
      </c>
      <c r="AL563" s="2">
        <v>-1353</v>
      </c>
      <c r="AM563" s="2">
        <v>-1355</v>
      </c>
    </row>
    <row r="564" spans="1:39">
      <c r="A564" s="349">
        <v>96011</v>
      </c>
      <c r="B564" s="342" t="s">
        <v>1255</v>
      </c>
      <c r="C564" s="234" t="e">
        <f>VLOOKUP(A564,#REF!,10,FALSE)</f>
        <v>#REF!</v>
      </c>
      <c r="E564" s="2">
        <v>31434252</v>
      </c>
      <c r="F564" s="2">
        <v>10141926</v>
      </c>
      <c r="G564" s="2">
        <v>17165799</v>
      </c>
      <c r="H564" s="2">
        <v>4990814</v>
      </c>
      <c r="I564" s="2">
        <v>0</v>
      </c>
      <c r="J564" s="2"/>
      <c r="K564" s="2">
        <v>9468462</v>
      </c>
      <c r="L564" s="2">
        <v>8906764</v>
      </c>
      <c r="M564" s="2">
        <v>7983032</v>
      </c>
      <c r="N564" s="2">
        <v>3196310</v>
      </c>
      <c r="O564" s="2">
        <v>0</v>
      </c>
      <c r="P564" s="2"/>
      <c r="Q564" s="2">
        <v>10052091</v>
      </c>
      <c r="R564" s="2">
        <v>-8646678</v>
      </c>
      <c r="S564" s="2">
        <v>1218644</v>
      </c>
      <c r="T564" s="2">
        <v>1586051</v>
      </c>
      <c r="U564" s="2">
        <v>0</v>
      </c>
      <c r="V564" s="2"/>
      <c r="W564" s="2">
        <v>11323827</v>
      </c>
      <c r="X564" s="2">
        <v>9276889</v>
      </c>
      <c r="Y564" s="2">
        <v>7531247</v>
      </c>
      <c r="Z564" s="2">
        <v>0</v>
      </c>
      <c r="AA564" s="2">
        <v>0</v>
      </c>
      <c r="AB564" s="2"/>
      <c r="AC564" s="2">
        <v>604951</v>
      </c>
      <c r="AD564" s="2">
        <v>604951</v>
      </c>
      <c r="AE564" s="2">
        <v>432876</v>
      </c>
      <c r="AF564" s="2">
        <v>208453</v>
      </c>
      <c r="AG564" s="2">
        <v>0</v>
      </c>
      <c r="AH564" s="2"/>
      <c r="AI564" s="2">
        <v>-15079</v>
      </c>
      <c r="AJ564" s="2">
        <v>0</v>
      </c>
      <c r="AK564" s="2">
        <v>0</v>
      </c>
      <c r="AL564" s="2">
        <v>0</v>
      </c>
      <c r="AM564" s="2">
        <v>0</v>
      </c>
    </row>
    <row r="565" spans="1:39">
      <c r="A565" s="349">
        <v>96012</v>
      </c>
      <c r="B565" s="342" t="s">
        <v>1256</v>
      </c>
      <c r="C565" s="234" t="e">
        <f>VLOOKUP(A565,#REF!,10,FALSE)</f>
        <v>#REF!</v>
      </c>
      <c r="E565" s="2">
        <v>1277375</v>
      </c>
      <c r="F565" s="2">
        <v>398907</v>
      </c>
      <c r="G565" s="2">
        <v>690521</v>
      </c>
      <c r="H565" s="2">
        <v>192968</v>
      </c>
      <c r="I565" s="2">
        <v>0</v>
      </c>
      <c r="J565" s="2"/>
      <c r="K565" s="2">
        <v>383401</v>
      </c>
      <c r="L565" s="2">
        <v>360657</v>
      </c>
      <c r="M565" s="2">
        <v>323252</v>
      </c>
      <c r="N565" s="2">
        <v>129426</v>
      </c>
      <c r="O565" s="2">
        <v>0</v>
      </c>
      <c r="P565" s="2"/>
      <c r="Q565" s="2">
        <v>407034</v>
      </c>
      <c r="R565" s="2">
        <v>-350125</v>
      </c>
      <c r="S565" s="2">
        <v>49346</v>
      </c>
      <c r="T565" s="2">
        <v>64223</v>
      </c>
      <c r="U565" s="2">
        <v>0</v>
      </c>
      <c r="V565" s="2"/>
      <c r="W565" s="2">
        <v>458529</v>
      </c>
      <c r="X565" s="2">
        <v>375644</v>
      </c>
      <c r="Y565" s="2">
        <v>304959</v>
      </c>
      <c r="Z565" s="2">
        <v>0</v>
      </c>
      <c r="AA565" s="2">
        <v>0</v>
      </c>
      <c r="AB565" s="2"/>
      <c r="AC565" s="2">
        <v>29325</v>
      </c>
      <c r="AD565" s="2">
        <v>13646</v>
      </c>
      <c r="AE565" s="2">
        <v>13644</v>
      </c>
      <c r="AF565" s="2">
        <v>0</v>
      </c>
      <c r="AG565" s="2">
        <v>0</v>
      </c>
      <c r="AH565" s="2"/>
      <c r="AI565" s="2">
        <v>-914</v>
      </c>
      <c r="AJ565" s="2">
        <v>-915</v>
      </c>
      <c r="AK565" s="2">
        <v>-680</v>
      </c>
      <c r="AL565" s="2">
        <v>-681</v>
      </c>
      <c r="AM565" s="2">
        <v>-915</v>
      </c>
    </row>
    <row r="566" spans="1:39">
      <c r="A566" s="349">
        <v>96018</v>
      </c>
      <c r="B566" s="342" t="s">
        <v>3683</v>
      </c>
      <c r="C566" s="234" t="e">
        <f>VLOOKUP(A566,#REF!,10,FALSE)</f>
        <v>#REF!</v>
      </c>
      <c r="E566" s="2">
        <v>15406</v>
      </c>
      <c r="F566" s="2">
        <v>3808</v>
      </c>
      <c r="G566" s="2">
        <v>6858</v>
      </c>
      <c r="H566" s="2">
        <v>382</v>
      </c>
      <c r="I566" s="2">
        <v>0</v>
      </c>
      <c r="J566" s="2"/>
      <c r="K566" s="2">
        <v>5123</v>
      </c>
      <c r="L566" s="2">
        <v>4819</v>
      </c>
      <c r="M566" s="2">
        <v>4320</v>
      </c>
      <c r="N566" s="2">
        <v>1730</v>
      </c>
      <c r="O566" s="2">
        <v>0</v>
      </c>
      <c r="P566" s="2"/>
      <c r="Q566" s="2">
        <v>5439</v>
      </c>
      <c r="R566" s="2">
        <v>-4679</v>
      </c>
      <c r="S566" s="2">
        <v>659</v>
      </c>
      <c r="T566" s="2">
        <v>858</v>
      </c>
      <c r="U566" s="2">
        <v>0</v>
      </c>
      <c r="V566" s="2"/>
      <c r="W566" s="2">
        <v>6127</v>
      </c>
      <c r="X566" s="2">
        <v>5020</v>
      </c>
      <c r="Y566" s="2">
        <v>4075</v>
      </c>
      <c r="Z566" s="2">
        <v>0</v>
      </c>
      <c r="AA566" s="2">
        <v>0</v>
      </c>
      <c r="AB566" s="2"/>
      <c r="AC566" s="2">
        <v>922</v>
      </c>
      <c r="AD566" s="2">
        <v>853</v>
      </c>
      <c r="AE566" s="2">
        <v>9</v>
      </c>
      <c r="AF566" s="2">
        <v>0</v>
      </c>
      <c r="AG566" s="2">
        <v>0</v>
      </c>
      <c r="AH566" s="2"/>
      <c r="AI566" s="2">
        <v>-2205</v>
      </c>
      <c r="AJ566" s="2">
        <v>-2205</v>
      </c>
      <c r="AK566" s="2">
        <v>-2205</v>
      </c>
      <c r="AL566" s="2">
        <v>-2206</v>
      </c>
      <c r="AM566" s="2">
        <v>-2205</v>
      </c>
    </row>
    <row r="567" spans="1:39">
      <c r="A567" s="349">
        <v>96021</v>
      </c>
      <c r="B567" s="342" t="s">
        <v>1258</v>
      </c>
      <c r="C567" s="234" t="e">
        <f>VLOOKUP(A567,#REF!,10,FALSE)</f>
        <v>#REF!</v>
      </c>
      <c r="E567" s="2">
        <v>349511</v>
      </c>
      <c r="F567" s="2">
        <v>95668</v>
      </c>
      <c r="G567" s="2">
        <v>207576</v>
      </c>
      <c r="H567" s="2">
        <v>60652</v>
      </c>
      <c r="I567" s="2">
        <v>0</v>
      </c>
      <c r="J567" s="2"/>
      <c r="K567" s="2">
        <v>116085</v>
      </c>
      <c r="L567" s="2">
        <v>109199</v>
      </c>
      <c r="M567" s="2">
        <v>97874</v>
      </c>
      <c r="N567" s="2">
        <v>39187</v>
      </c>
      <c r="O567" s="2">
        <v>0</v>
      </c>
      <c r="P567" s="2"/>
      <c r="Q567" s="2">
        <v>123241</v>
      </c>
      <c r="R567" s="2">
        <v>-106010</v>
      </c>
      <c r="S567" s="2">
        <v>14941</v>
      </c>
      <c r="T567" s="2">
        <v>19445</v>
      </c>
      <c r="U567" s="2">
        <v>0</v>
      </c>
      <c r="V567" s="2"/>
      <c r="W567" s="2">
        <v>138833</v>
      </c>
      <c r="X567" s="2">
        <v>113737</v>
      </c>
      <c r="Y567" s="2">
        <v>92335</v>
      </c>
      <c r="Z567" s="2">
        <v>0</v>
      </c>
      <c r="AA567" s="2">
        <v>0</v>
      </c>
      <c r="AB567" s="2"/>
      <c r="AC567" s="2">
        <v>2426</v>
      </c>
      <c r="AD567" s="2">
        <v>2426</v>
      </c>
      <c r="AE567" s="2">
        <v>2426</v>
      </c>
      <c r="AF567" s="2">
        <v>2020</v>
      </c>
      <c r="AG567" s="2">
        <v>0</v>
      </c>
      <c r="AH567" s="2"/>
      <c r="AI567" s="2">
        <v>-31074</v>
      </c>
      <c r="AJ567" s="2">
        <v>-23684</v>
      </c>
      <c r="AK567" s="2">
        <v>0</v>
      </c>
      <c r="AL567" s="2">
        <v>0</v>
      </c>
      <c r="AM567" s="2">
        <v>-23684</v>
      </c>
    </row>
    <row r="568" spans="1:39">
      <c r="A568" s="349">
        <v>96031</v>
      </c>
      <c r="B568" s="342" t="s">
        <v>1259</v>
      </c>
      <c r="C568" s="234" t="e">
        <f>VLOOKUP(A568,#REF!,10,FALSE)</f>
        <v>#REF!</v>
      </c>
      <c r="E568" s="2">
        <v>355523</v>
      </c>
      <c r="F568" s="2">
        <v>80196</v>
      </c>
      <c r="G568" s="2">
        <v>199073</v>
      </c>
      <c r="H568" s="2">
        <v>50760</v>
      </c>
      <c r="I568" s="2">
        <v>0</v>
      </c>
      <c r="J568" s="2"/>
      <c r="K568" s="2">
        <v>125523</v>
      </c>
      <c r="L568" s="2">
        <v>118077</v>
      </c>
      <c r="M568" s="2">
        <v>105831</v>
      </c>
      <c r="N568" s="2">
        <v>42373</v>
      </c>
      <c r="O568" s="2">
        <v>0</v>
      </c>
      <c r="P568" s="2"/>
      <c r="Q568" s="2">
        <v>133260</v>
      </c>
      <c r="R568" s="2">
        <v>-114629</v>
      </c>
      <c r="S568" s="2">
        <v>16156</v>
      </c>
      <c r="T568" s="2">
        <v>21026</v>
      </c>
      <c r="U568" s="2">
        <v>0</v>
      </c>
      <c r="V568" s="2"/>
      <c r="W568" s="2">
        <v>150120</v>
      </c>
      <c r="X568" s="2">
        <v>122984</v>
      </c>
      <c r="Y568" s="2">
        <v>99842</v>
      </c>
      <c r="Z568" s="2">
        <v>0</v>
      </c>
      <c r="AA568" s="2">
        <v>0</v>
      </c>
      <c r="AB568" s="2"/>
      <c r="AC568" s="2">
        <v>0</v>
      </c>
      <c r="AD568" s="2">
        <v>0</v>
      </c>
      <c r="AE568" s="2">
        <v>0</v>
      </c>
      <c r="AF568" s="2">
        <v>0</v>
      </c>
      <c r="AG568" s="2">
        <v>0</v>
      </c>
      <c r="AH568" s="2"/>
      <c r="AI568" s="2">
        <v>-53380</v>
      </c>
      <c r="AJ568" s="2">
        <v>-46236</v>
      </c>
      <c r="AK568" s="2">
        <v>-22756</v>
      </c>
      <c r="AL568" s="2">
        <v>-12639</v>
      </c>
      <c r="AM568" s="2">
        <v>-46236</v>
      </c>
    </row>
    <row r="569" spans="1:39">
      <c r="A569" s="349">
        <v>96041</v>
      </c>
      <c r="B569" s="342" t="s">
        <v>1260</v>
      </c>
      <c r="C569" s="234" t="e">
        <f>VLOOKUP(A569,#REF!,10,FALSE)</f>
        <v>#REF!</v>
      </c>
      <c r="E569" s="2">
        <v>809555</v>
      </c>
      <c r="F569" s="2">
        <v>231251</v>
      </c>
      <c r="G569" s="2">
        <v>444564</v>
      </c>
      <c r="H569" s="2">
        <v>135061</v>
      </c>
      <c r="I569" s="2">
        <v>0</v>
      </c>
      <c r="J569" s="2"/>
      <c r="K569" s="2">
        <v>261653</v>
      </c>
      <c r="L569" s="2">
        <v>246131</v>
      </c>
      <c r="M569" s="2">
        <v>220604</v>
      </c>
      <c r="N569" s="2">
        <v>88327</v>
      </c>
      <c r="O569" s="2">
        <v>0</v>
      </c>
      <c r="P569" s="2"/>
      <c r="Q569" s="2">
        <v>277781</v>
      </c>
      <c r="R569" s="2">
        <v>-238944</v>
      </c>
      <c r="S569" s="2">
        <v>33676</v>
      </c>
      <c r="T569" s="2">
        <v>43829</v>
      </c>
      <c r="U569" s="2">
        <v>0</v>
      </c>
      <c r="V569" s="2"/>
      <c r="W569" s="2">
        <v>312924</v>
      </c>
      <c r="X569" s="2">
        <v>256359</v>
      </c>
      <c r="Y569" s="2">
        <v>208120</v>
      </c>
      <c r="Z569" s="2">
        <v>0</v>
      </c>
      <c r="AA569" s="2">
        <v>0</v>
      </c>
      <c r="AB569" s="2"/>
      <c r="AC569" s="2">
        <v>2904</v>
      </c>
      <c r="AD569" s="2">
        <v>2904</v>
      </c>
      <c r="AE569" s="2">
        <v>2904</v>
      </c>
      <c r="AF569" s="2">
        <v>2905</v>
      </c>
      <c r="AG569" s="2">
        <v>0</v>
      </c>
      <c r="AH569" s="2"/>
      <c r="AI569" s="2">
        <v>-45707</v>
      </c>
      <c r="AJ569" s="2">
        <v>-35199</v>
      </c>
      <c r="AK569" s="2">
        <v>-20740</v>
      </c>
      <c r="AL569" s="2">
        <v>0</v>
      </c>
      <c r="AM569" s="2">
        <v>-35199</v>
      </c>
    </row>
    <row r="570" spans="1:39">
      <c r="A570" s="349">
        <v>96051</v>
      </c>
      <c r="B570" s="342" t="s">
        <v>1261</v>
      </c>
      <c r="C570" s="234" t="e">
        <f>VLOOKUP(A570,#REF!,10,FALSE)</f>
        <v>#REF!</v>
      </c>
      <c r="E570" s="2">
        <v>422130</v>
      </c>
      <c r="F570" s="2">
        <v>104742</v>
      </c>
      <c r="G570" s="2">
        <v>227075</v>
      </c>
      <c r="H570" s="2">
        <v>49927</v>
      </c>
      <c r="I570" s="2">
        <v>0</v>
      </c>
      <c r="J570" s="2"/>
      <c r="K570" s="2">
        <v>145178</v>
      </c>
      <c r="L570" s="2">
        <v>136566</v>
      </c>
      <c r="M570" s="2">
        <v>122402</v>
      </c>
      <c r="N570" s="2">
        <v>49008</v>
      </c>
      <c r="O570" s="2">
        <v>0</v>
      </c>
      <c r="P570" s="2"/>
      <c r="Q570" s="2">
        <v>154127</v>
      </c>
      <c r="R570" s="2">
        <v>-132578</v>
      </c>
      <c r="S570" s="2">
        <v>18685</v>
      </c>
      <c r="T570" s="2">
        <v>24319</v>
      </c>
      <c r="U570" s="2">
        <v>0</v>
      </c>
      <c r="V570" s="2"/>
      <c r="W570" s="2">
        <v>173626</v>
      </c>
      <c r="X570" s="2">
        <v>142241</v>
      </c>
      <c r="Y570" s="2">
        <v>115475</v>
      </c>
      <c r="Z570" s="2">
        <v>0</v>
      </c>
      <c r="AA570" s="2">
        <v>0</v>
      </c>
      <c r="AB570" s="2"/>
      <c r="AC570" s="2">
        <v>0</v>
      </c>
      <c r="AD570" s="2">
        <v>0</v>
      </c>
      <c r="AE570" s="2">
        <v>0</v>
      </c>
      <c r="AF570" s="2">
        <v>0</v>
      </c>
      <c r="AG570" s="2">
        <v>0</v>
      </c>
      <c r="AH570" s="2"/>
      <c r="AI570" s="2">
        <v>-50801</v>
      </c>
      <c r="AJ570" s="2">
        <v>-41487</v>
      </c>
      <c r="AK570" s="2">
        <v>-29487</v>
      </c>
      <c r="AL570" s="2">
        <v>-23400</v>
      </c>
      <c r="AM570" s="2">
        <v>-41487</v>
      </c>
    </row>
    <row r="571" spans="1:39">
      <c r="A571" s="349">
        <v>96061</v>
      </c>
      <c r="B571" s="342" t="s">
        <v>1262</v>
      </c>
      <c r="C571" s="234" t="e">
        <f>VLOOKUP(A571,#REF!,10,FALSE)</f>
        <v>#REF!</v>
      </c>
      <c r="E571" s="2">
        <v>172811</v>
      </c>
      <c r="F571" s="2">
        <v>59207</v>
      </c>
      <c r="G571" s="2">
        <v>93065</v>
      </c>
      <c r="H571" s="2">
        <v>30863</v>
      </c>
      <c r="I571" s="2">
        <v>0</v>
      </c>
      <c r="J571" s="2"/>
      <c r="K571" s="2">
        <v>51264</v>
      </c>
      <c r="L571" s="2">
        <v>48223</v>
      </c>
      <c r="M571" s="2">
        <v>43222</v>
      </c>
      <c r="N571" s="2">
        <v>17305</v>
      </c>
      <c r="O571" s="2">
        <v>0</v>
      </c>
      <c r="P571" s="2"/>
      <c r="Q571" s="2">
        <v>54424</v>
      </c>
      <c r="R571" s="2">
        <v>-46815</v>
      </c>
      <c r="S571" s="2">
        <v>6598</v>
      </c>
      <c r="T571" s="2">
        <v>8587</v>
      </c>
      <c r="U571" s="2">
        <v>0</v>
      </c>
      <c r="V571" s="2"/>
      <c r="W571" s="2">
        <v>61309</v>
      </c>
      <c r="X571" s="2">
        <v>50227</v>
      </c>
      <c r="Y571" s="2">
        <v>40776</v>
      </c>
      <c r="Z571" s="2">
        <v>0</v>
      </c>
      <c r="AA571" s="2">
        <v>0</v>
      </c>
      <c r="AB571" s="2"/>
      <c r="AC571" s="2">
        <v>10076</v>
      </c>
      <c r="AD571" s="2">
        <v>10075</v>
      </c>
      <c r="AE571" s="2">
        <v>4970</v>
      </c>
      <c r="AF571" s="2">
        <v>4971</v>
      </c>
      <c r="AG571" s="2">
        <v>0</v>
      </c>
      <c r="AH571" s="2"/>
      <c r="AI571" s="2">
        <v>-4262</v>
      </c>
      <c r="AJ571" s="2">
        <v>-2503</v>
      </c>
      <c r="AK571" s="2">
        <v>-2501</v>
      </c>
      <c r="AL571" s="2">
        <v>0</v>
      </c>
      <c r="AM571" s="2">
        <v>-2503</v>
      </c>
    </row>
    <row r="572" spans="1:39">
      <c r="A572" s="349">
        <v>96071</v>
      </c>
      <c r="B572" s="342" t="s">
        <v>1263</v>
      </c>
      <c r="C572" s="234" t="e">
        <f>VLOOKUP(A572,#REF!,10,FALSE)</f>
        <v>#REF!</v>
      </c>
      <c r="E572" s="2">
        <v>668968</v>
      </c>
      <c r="F572" s="2">
        <v>248608</v>
      </c>
      <c r="G572" s="2">
        <v>388919</v>
      </c>
      <c r="H572" s="2">
        <v>130724</v>
      </c>
      <c r="I572" s="2">
        <v>0</v>
      </c>
      <c r="J572" s="2"/>
      <c r="K572" s="2">
        <v>194989</v>
      </c>
      <c r="L572" s="2">
        <v>183421</v>
      </c>
      <c r="M572" s="2">
        <v>164399</v>
      </c>
      <c r="N572" s="2">
        <v>65823</v>
      </c>
      <c r="O572" s="2">
        <v>0</v>
      </c>
      <c r="P572" s="2"/>
      <c r="Q572" s="2">
        <v>207008</v>
      </c>
      <c r="R572" s="2">
        <v>-178065</v>
      </c>
      <c r="S572" s="2">
        <v>25096</v>
      </c>
      <c r="T572" s="2">
        <v>32662</v>
      </c>
      <c r="U572" s="2">
        <v>0</v>
      </c>
      <c r="V572" s="2"/>
      <c r="W572" s="2">
        <v>233197</v>
      </c>
      <c r="X572" s="2">
        <v>191044</v>
      </c>
      <c r="Y572" s="2">
        <v>155095</v>
      </c>
      <c r="Z572" s="2">
        <v>0</v>
      </c>
      <c r="AA572" s="2">
        <v>0</v>
      </c>
      <c r="AB572" s="2"/>
      <c r="AC572" s="2">
        <v>52206</v>
      </c>
      <c r="AD572" s="2">
        <v>52208</v>
      </c>
      <c r="AE572" s="2">
        <v>44329</v>
      </c>
      <c r="AF572" s="2">
        <v>32239</v>
      </c>
      <c r="AG572" s="2">
        <v>0</v>
      </c>
      <c r="AH572" s="2"/>
      <c r="AI572" s="2">
        <v>-18432</v>
      </c>
      <c r="AJ572" s="2">
        <v>0</v>
      </c>
      <c r="AK572" s="2">
        <v>0</v>
      </c>
      <c r="AL572" s="2">
        <v>0</v>
      </c>
      <c r="AM572" s="2">
        <v>0</v>
      </c>
    </row>
    <row r="573" spans="1:39">
      <c r="A573" s="349">
        <v>96081</v>
      </c>
      <c r="B573" s="342" t="s">
        <v>1264</v>
      </c>
      <c r="C573" s="234" t="e">
        <f>VLOOKUP(A573,#REF!,10,FALSE)</f>
        <v>#REF!</v>
      </c>
      <c r="E573" s="2">
        <v>262601</v>
      </c>
      <c r="F573" s="2">
        <v>79404</v>
      </c>
      <c r="G573" s="2">
        <v>140367</v>
      </c>
      <c r="H573" s="2">
        <v>36214</v>
      </c>
      <c r="I573" s="2">
        <v>0</v>
      </c>
      <c r="J573" s="2"/>
      <c r="K573" s="2">
        <v>81180</v>
      </c>
      <c r="L573" s="2">
        <v>76365</v>
      </c>
      <c r="M573" s="2">
        <v>68445</v>
      </c>
      <c r="N573" s="2">
        <v>27404</v>
      </c>
      <c r="O573" s="2">
        <v>0</v>
      </c>
      <c r="P573" s="2"/>
      <c r="Q573" s="2">
        <v>86184</v>
      </c>
      <c r="R573" s="2">
        <v>-74135</v>
      </c>
      <c r="S573" s="2">
        <v>10448</v>
      </c>
      <c r="T573" s="2">
        <v>13598</v>
      </c>
      <c r="U573" s="2">
        <v>0</v>
      </c>
      <c r="V573" s="2"/>
      <c r="W573" s="2">
        <v>97088</v>
      </c>
      <c r="X573" s="2">
        <v>79538</v>
      </c>
      <c r="Y573" s="2">
        <v>64571</v>
      </c>
      <c r="Z573" s="2">
        <v>0</v>
      </c>
      <c r="AA573" s="2">
        <v>0</v>
      </c>
      <c r="AB573" s="2"/>
      <c r="AC573" s="2">
        <v>2936</v>
      </c>
      <c r="AD573" s="2">
        <v>2423</v>
      </c>
      <c r="AE573" s="2">
        <v>1690</v>
      </c>
      <c r="AF573" s="2">
        <v>0</v>
      </c>
      <c r="AG573" s="2">
        <v>0</v>
      </c>
      <c r="AH573" s="2"/>
      <c r="AI573" s="2">
        <v>-4787</v>
      </c>
      <c r="AJ573" s="2">
        <v>-4787</v>
      </c>
      <c r="AK573" s="2">
        <v>-4787</v>
      </c>
      <c r="AL573" s="2">
        <v>-4788</v>
      </c>
      <c r="AM573" s="2">
        <v>-4787</v>
      </c>
    </row>
    <row r="574" spans="1:39">
      <c r="A574" s="349">
        <v>96101</v>
      </c>
      <c r="B574" s="342" t="s">
        <v>1265</v>
      </c>
      <c r="C574" s="234" t="e">
        <f>VLOOKUP(A574,#REF!,10,FALSE)</f>
        <v>#REF!</v>
      </c>
      <c r="E574" s="2">
        <v>304775</v>
      </c>
      <c r="F574" s="2">
        <v>87608</v>
      </c>
      <c r="G574" s="2">
        <v>155974</v>
      </c>
      <c r="H574" s="2">
        <v>25073</v>
      </c>
      <c r="I574" s="2">
        <v>0</v>
      </c>
      <c r="J574" s="2"/>
      <c r="K574" s="2">
        <v>96970</v>
      </c>
      <c r="L574" s="2">
        <v>91218</v>
      </c>
      <c r="M574" s="2">
        <v>81757</v>
      </c>
      <c r="N574" s="2">
        <v>32735</v>
      </c>
      <c r="O574" s="2">
        <v>0</v>
      </c>
      <c r="P574" s="2"/>
      <c r="Q574" s="2">
        <v>102947</v>
      </c>
      <c r="R574" s="2">
        <v>-88554</v>
      </c>
      <c r="S574" s="2">
        <v>12481</v>
      </c>
      <c r="T574" s="2">
        <v>16243</v>
      </c>
      <c r="U574" s="2">
        <v>0</v>
      </c>
      <c r="V574" s="2"/>
      <c r="W574" s="2">
        <v>115972</v>
      </c>
      <c r="X574" s="2">
        <v>95008</v>
      </c>
      <c r="Y574" s="2">
        <v>77130</v>
      </c>
      <c r="Z574" s="2">
        <v>0</v>
      </c>
      <c r="AA574" s="2">
        <v>0</v>
      </c>
      <c r="AB574" s="2"/>
      <c r="AC574" s="2">
        <v>13844</v>
      </c>
      <c r="AD574" s="2">
        <v>13842</v>
      </c>
      <c r="AE574" s="2">
        <v>8512</v>
      </c>
      <c r="AF574" s="2">
        <v>0</v>
      </c>
      <c r="AG574" s="2">
        <v>0</v>
      </c>
      <c r="AH574" s="2"/>
      <c r="AI574" s="2">
        <v>-24958</v>
      </c>
      <c r="AJ574" s="2">
        <v>-23906</v>
      </c>
      <c r="AK574" s="2">
        <v>-23906</v>
      </c>
      <c r="AL574" s="2">
        <v>-23905</v>
      </c>
      <c r="AM574" s="2">
        <v>-23906</v>
      </c>
    </row>
    <row r="575" spans="1:39">
      <c r="A575" s="349">
        <v>96102</v>
      </c>
      <c r="B575" s="342" t="s">
        <v>2794</v>
      </c>
      <c r="C575" s="234" t="e">
        <f>VLOOKUP(A575,#REF!,10,FALSE)</f>
        <v>#REF!</v>
      </c>
      <c r="E575" s="2">
        <v>4217</v>
      </c>
      <c r="F575" s="2">
        <v>437</v>
      </c>
      <c r="G575" s="2">
        <v>2090</v>
      </c>
      <c r="H575" s="2">
        <v>436</v>
      </c>
      <c r="I575" s="2">
        <v>0</v>
      </c>
      <c r="J575" s="2"/>
      <c r="K575" s="2">
        <v>1738</v>
      </c>
      <c r="L575" s="2">
        <v>1635</v>
      </c>
      <c r="M575" s="2">
        <v>1465</v>
      </c>
      <c r="N575" s="2">
        <v>587</v>
      </c>
      <c r="O575" s="2">
        <v>0</v>
      </c>
      <c r="P575" s="2"/>
      <c r="Q575" s="2">
        <v>1845</v>
      </c>
      <c r="R575" s="2">
        <v>-1587</v>
      </c>
      <c r="S575" s="2">
        <v>224</v>
      </c>
      <c r="T575" s="2">
        <v>291</v>
      </c>
      <c r="U575" s="2">
        <v>0</v>
      </c>
      <c r="V575" s="2"/>
      <c r="W575" s="2">
        <v>2078</v>
      </c>
      <c r="X575" s="2">
        <v>1703</v>
      </c>
      <c r="Y575" s="2">
        <v>1382</v>
      </c>
      <c r="Z575" s="2">
        <v>0</v>
      </c>
      <c r="AA575" s="2">
        <v>0</v>
      </c>
      <c r="AB575" s="2"/>
      <c r="AC575" s="2">
        <v>0</v>
      </c>
      <c r="AD575" s="2">
        <v>0</v>
      </c>
      <c r="AE575" s="2">
        <v>0</v>
      </c>
      <c r="AF575" s="2">
        <v>0</v>
      </c>
      <c r="AG575" s="2">
        <v>0</v>
      </c>
      <c r="AH575" s="2"/>
      <c r="AI575" s="2">
        <v>-1444</v>
      </c>
      <c r="AJ575" s="2">
        <v>-1314</v>
      </c>
      <c r="AK575" s="2">
        <v>-981</v>
      </c>
      <c r="AL575" s="2">
        <v>-442</v>
      </c>
      <c r="AM575" s="2">
        <v>-1314</v>
      </c>
    </row>
    <row r="576" spans="1:39">
      <c r="A576" s="349">
        <v>96111</v>
      </c>
      <c r="B576" s="342" t="s">
        <v>1267</v>
      </c>
      <c r="C576" s="234" t="e">
        <f>VLOOKUP(A576,#REF!,10,FALSE)</f>
        <v>#REF!</v>
      </c>
      <c r="E576" s="2">
        <v>84263</v>
      </c>
      <c r="F576" s="2">
        <v>30184</v>
      </c>
      <c r="G576" s="2">
        <v>48602</v>
      </c>
      <c r="H576" s="2">
        <v>16519</v>
      </c>
      <c r="I576" s="2">
        <v>0</v>
      </c>
      <c r="J576" s="2"/>
      <c r="K576" s="2">
        <v>23684</v>
      </c>
      <c r="L576" s="2">
        <v>22279</v>
      </c>
      <c r="M576" s="2">
        <v>19969</v>
      </c>
      <c r="N576" s="2">
        <v>7995</v>
      </c>
      <c r="O576" s="2">
        <v>0</v>
      </c>
      <c r="P576" s="2"/>
      <c r="Q576" s="2">
        <v>25144</v>
      </c>
      <c r="R576" s="2">
        <v>-21629</v>
      </c>
      <c r="S576" s="2">
        <v>3048</v>
      </c>
      <c r="T576" s="2">
        <v>3967</v>
      </c>
      <c r="U576" s="2">
        <v>0</v>
      </c>
      <c r="V576" s="2"/>
      <c r="W576" s="2">
        <v>28326</v>
      </c>
      <c r="X576" s="2">
        <v>23205</v>
      </c>
      <c r="Y576" s="2">
        <v>18839</v>
      </c>
      <c r="Z576" s="2">
        <v>0</v>
      </c>
      <c r="AA576" s="2">
        <v>0</v>
      </c>
      <c r="AB576" s="2"/>
      <c r="AC576" s="2">
        <v>7530</v>
      </c>
      <c r="AD576" s="2">
        <v>6748</v>
      </c>
      <c r="AE576" s="2">
        <v>6746</v>
      </c>
      <c r="AF576" s="2">
        <v>4557</v>
      </c>
      <c r="AG576" s="2">
        <v>0</v>
      </c>
      <c r="AH576" s="2"/>
      <c r="AI576" s="2">
        <v>-421</v>
      </c>
      <c r="AJ576" s="2">
        <v>-419</v>
      </c>
      <c r="AK576" s="2">
        <v>0</v>
      </c>
      <c r="AL576" s="2">
        <v>0</v>
      </c>
      <c r="AM576" s="2">
        <v>-419</v>
      </c>
    </row>
    <row r="577" spans="1:39">
      <c r="A577" s="349">
        <v>96121</v>
      </c>
      <c r="B577" s="342" t="s">
        <v>1268</v>
      </c>
      <c r="C577" s="234" t="e">
        <f>VLOOKUP(A577,#REF!,10,FALSE)</f>
        <v>#REF!</v>
      </c>
      <c r="E577" s="2">
        <v>11525</v>
      </c>
      <c r="F577" s="2">
        <v>3212</v>
      </c>
      <c r="G577" s="2">
        <v>6171</v>
      </c>
      <c r="H577" s="2">
        <v>1932</v>
      </c>
      <c r="I577" s="2">
        <v>0</v>
      </c>
      <c r="J577" s="2"/>
      <c r="K577" s="2">
        <v>3640</v>
      </c>
      <c r="L577" s="2">
        <v>3424</v>
      </c>
      <c r="M577" s="2">
        <v>3069</v>
      </c>
      <c r="N577" s="2">
        <v>1229</v>
      </c>
      <c r="O577" s="2">
        <v>0</v>
      </c>
      <c r="P577" s="2"/>
      <c r="Q577" s="2">
        <v>3865</v>
      </c>
      <c r="R577" s="2">
        <v>-3324</v>
      </c>
      <c r="S577" s="2">
        <v>469</v>
      </c>
      <c r="T577" s="2">
        <v>610</v>
      </c>
      <c r="U577" s="2">
        <v>0</v>
      </c>
      <c r="V577" s="2"/>
      <c r="W577" s="2">
        <v>4354</v>
      </c>
      <c r="X577" s="2">
        <v>3567</v>
      </c>
      <c r="Y577" s="2">
        <v>2896</v>
      </c>
      <c r="Z577" s="2">
        <v>0</v>
      </c>
      <c r="AA577" s="2">
        <v>0</v>
      </c>
      <c r="AB577" s="2"/>
      <c r="AC577" s="2">
        <v>211</v>
      </c>
      <c r="AD577" s="2">
        <v>92</v>
      </c>
      <c r="AE577" s="2">
        <v>92</v>
      </c>
      <c r="AF577" s="2">
        <v>93</v>
      </c>
      <c r="AG577" s="2">
        <v>0</v>
      </c>
      <c r="AH577" s="2"/>
      <c r="AI577" s="2">
        <v>-545</v>
      </c>
      <c r="AJ577" s="2">
        <v>-547</v>
      </c>
      <c r="AK577" s="2">
        <v>-355</v>
      </c>
      <c r="AL577" s="2">
        <v>0</v>
      </c>
      <c r="AM577" s="2">
        <v>-547</v>
      </c>
    </row>
    <row r="578" spans="1:39">
      <c r="A578" s="349">
        <v>96201</v>
      </c>
      <c r="B578" s="342" t="s">
        <v>1269</v>
      </c>
      <c r="C578" s="234" t="e">
        <f>VLOOKUP(A578,#REF!,10,FALSE)</f>
        <v>#REF!</v>
      </c>
      <c r="E578" s="2">
        <v>478164</v>
      </c>
      <c r="F578" s="2">
        <v>128099</v>
      </c>
      <c r="G578" s="2">
        <v>259834</v>
      </c>
      <c r="H578" s="2">
        <v>72543</v>
      </c>
      <c r="I578" s="2">
        <v>0</v>
      </c>
      <c r="J578" s="2"/>
      <c r="K578" s="2">
        <v>158421</v>
      </c>
      <c r="L578" s="2">
        <v>149023</v>
      </c>
      <c r="M578" s="2">
        <v>133568</v>
      </c>
      <c r="N578" s="2">
        <v>53479</v>
      </c>
      <c r="O578" s="2">
        <v>0</v>
      </c>
      <c r="P578" s="2"/>
      <c r="Q578" s="2">
        <v>168186</v>
      </c>
      <c r="R578" s="2">
        <v>-144671</v>
      </c>
      <c r="S578" s="2">
        <v>20390</v>
      </c>
      <c r="T578" s="2">
        <v>26537</v>
      </c>
      <c r="U578" s="2">
        <v>0</v>
      </c>
      <c r="V578" s="2"/>
      <c r="W578" s="2">
        <v>189464</v>
      </c>
      <c r="X578" s="2">
        <v>155216</v>
      </c>
      <c r="Y578" s="2">
        <v>126009</v>
      </c>
      <c r="Z578" s="2">
        <v>0</v>
      </c>
      <c r="AA578" s="2">
        <v>0</v>
      </c>
      <c r="AB578" s="2"/>
      <c r="AC578" s="2">
        <v>0</v>
      </c>
      <c r="AD578" s="2">
        <v>0</v>
      </c>
      <c r="AE578" s="2">
        <v>0</v>
      </c>
      <c r="AF578" s="2">
        <v>0</v>
      </c>
      <c r="AG578" s="2">
        <v>0</v>
      </c>
      <c r="AH578" s="2"/>
      <c r="AI578" s="2">
        <v>-37907</v>
      </c>
      <c r="AJ578" s="2">
        <v>-31469</v>
      </c>
      <c r="AK578" s="2">
        <v>-20133</v>
      </c>
      <c r="AL578" s="2">
        <v>-7473</v>
      </c>
      <c r="AM578" s="2">
        <v>-31469</v>
      </c>
    </row>
    <row r="579" spans="1:39">
      <c r="A579" s="349">
        <v>96204</v>
      </c>
      <c r="B579" s="342" t="s">
        <v>1270</v>
      </c>
      <c r="C579" s="234" t="e">
        <f>VLOOKUP(A579,#REF!,10,FALSE)</f>
        <v>#REF!</v>
      </c>
      <c r="E579" s="2">
        <v>8426</v>
      </c>
      <c r="F579" s="2">
        <v>3343</v>
      </c>
      <c r="G579" s="2">
        <v>4699</v>
      </c>
      <c r="H579" s="2">
        <v>1708</v>
      </c>
      <c r="I579" s="2">
        <v>0</v>
      </c>
      <c r="J579" s="2"/>
      <c r="K579" s="2">
        <v>2127</v>
      </c>
      <c r="L579" s="2">
        <v>2001</v>
      </c>
      <c r="M579" s="2">
        <v>1794</v>
      </c>
      <c r="N579" s="2">
        <v>718</v>
      </c>
      <c r="O579" s="2">
        <v>0</v>
      </c>
      <c r="P579" s="2"/>
      <c r="Q579" s="2">
        <v>2258</v>
      </c>
      <c r="R579" s="2">
        <v>-1943</v>
      </c>
      <c r="S579" s="2">
        <v>274</v>
      </c>
      <c r="T579" s="2">
        <v>356</v>
      </c>
      <c r="U579" s="2">
        <v>0</v>
      </c>
      <c r="V579" s="2"/>
      <c r="W579" s="2">
        <v>2544</v>
      </c>
      <c r="X579" s="2">
        <v>2084</v>
      </c>
      <c r="Y579" s="2">
        <v>1692</v>
      </c>
      <c r="Z579" s="2">
        <v>0</v>
      </c>
      <c r="AA579" s="2">
        <v>0</v>
      </c>
      <c r="AB579" s="2"/>
      <c r="AC579" s="2">
        <v>1497</v>
      </c>
      <c r="AD579" s="2">
        <v>1201</v>
      </c>
      <c r="AE579" s="2">
        <v>939</v>
      </c>
      <c r="AF579" s="2">
        <v>634</v>
      </c>
      <c r="AG579" s="2">
        <v>0</v>
      </c>
      <c r="AH579" s="2"/>
      <c r="AI579" s="2">
        <v>0</v>
      </c>
      <c r="AJ579" s="2">
        <v>0</v>
      </c>
      <c r="AK579" s="2">
        <v>0</v>
      </c>
      <c r="AL579" s="2">
        <v>0</v>
      </c>
      <c r="AM579" s="2">
        <v>0</v>
      </c>
    </row>
    <row r="580" spans="1:39">
      <c r="A580" s="349">
        <v>96211</v>
      </c>
      <c r="B580" s="342" t="s">
        <v>1271</v>
      </c>
      <c r="C580" s="234" t="e">
        <f>VLOOKUP(A580,#REF!,10,FALSE)</f>
        <v>#REF!</v>
      </c>
      <c r="E580" s="2">
        <v>13858</v>
      </c>
      <c r="F580" s="2">
        <v>5117</v>
      </c>
      <c r="G580" s="2">
        <v>7672</v>
      </c>
      <c r="H580" s="2">
        <v>2034</v>
      </c>
      <c r="I580" s="2">
        <v>0</v>
      </c>
      <c r="J580" s="2"/>
      <c r="K580" s="2">
        <v>3595</v>
      </c>
      <c r="L580" s="2">
        <v>3382</v>
      </c>
      <c r="M580" s="2">
        <v>3031</v>
      </c>
      <c r="N580" s="2">
        <v>1214</v>
      </c>
      <c r="O580" s="2">
        <v>0</v>
      </c>
      <c r="P580" s="2"/>
      <c r="Q580" s="2">
        <v>3817</v>
      </c>
      <c r="R580" s="2">
        <v>-3283</v>
      </c>
      <c r="S580" s="2">
        <v>463</v>
      </c>
      <c r="T580" s="2">
        <v>602</v>
      </c>
      <c r="U580" s="2">
        <v>0</v>
      </c>
      <c r="V580" s="2"/>
      <c r="W580" s="2">
        <v>4300</v>
      </c>
      <c r="X580" s="2">
        <v>3523</v>
      </c>
      <c r="Y580" s="2">
        <v>2860</v>
      </c>
      <c r="Z580" s="2">
        <v>0</v>
      </c>
      <c r="AA580" s="2">
        <v>0</v>
      </c>
      <c r="AB580" s="2"/>
      <c r="AC580" s="2">
        <v>2146</v>
      </c>
      <c r="AD580" s="2">
        <v>1495</v>
      </c>
      <c r="AE580" s="2">
        <v>1318</v>
      </c>
      <c r="AF580" s="2">
        <v>218</v>
      </c>
      <c r="AG580" s="2">
        <v>0</v>
      </c>
      <c r="AH580" s="2"/>
      <c r="AI580" s="2">
        <v>0</v>
      </c>
      <c r="AJ580" s="2">
        <v>0</v>
      </c>
      <c r="AK580" s="2">
        <v>0</v>
      </c>
      <c r="AL580" s="2">
        <v>0</v>
      </c>
      <c r="AM580" s="2">
        <v>0</v>
      </c>
    </row>
    <row r="581" spans="1:39">
      <c r="A581" s="349">
        <v>96221</v>
      </c>
      <c r="B581" s="342" t="s">
        <v>1272</v>
      </c>
      <c r="C581" s="234" t="e">
        <f>VLOOKUP(A581,#REF!,10,FALSE)</f>
        <v>#REF!</v>
      </c>
      <c r="E581" s="2">
        <v>95214</v>
      </c>
      <c r="F581" s="2">
        <v>25000</v>
      </c>
      <c r="G581" s="2">
        <v>50327</v>
      </c>
      <c r="H581" s="2">
        <v>11934</v>
      </c>
      <c r="I581" s="2">
        <v>0</v>
      </c>
      <c r="J581" s="2"/>
      <c r="K581" s="2">
        <v>32074</v>
      </c>
      <c r="L581" s="2">
        <v>30171</v>
      </c>
      <c r="M581" s="2">
        <v>27042</v>
      </c>
      <c r="N581" s="2">
        <v>10827</v>
      </c>
      <c r="O581" s="2">
        <v>0</v>
      </c>
      <c r="P581" s="2"/>
      <c r="Q581" s="2">
        <v>34051</v>
      </c>
      <c r="R581" s="2">
        <v>-29290</v>
      </c>
      <c r="S581" s="2">
        <v>4128</v>
      </c>
      <c r="T581" s="2">
        <v>5373</v>
      </c>
      <c r="U581" s="2">
        <v>0</v>
      </c>
      <c r="V581" s="2"/>
      <c r="W581" s="2">
        <v>38359</v>
      </c>
      <c r="X581" s="2">
        <v>31425</v>
      </c>
      <c r="Y581" s="2">
        <v>25512</v>
      </c>
      <c r="Z581" s="2">
        <v>0</v>
      </c>
      <c r="AA581" s="2">
        <v>0</v>
      </c>
      <c r="AB581" s="2"/>
      <c r="AC581" s="2">
        <v>0</v>
      </c>
      <c r="AD581" s="2">
        <v>0</v>
      </c>
      <c r="AE581" s="2">
        <v>0</v>
      </c>
      <c r="AF581" s="2">
        <v>0</v>
      </c>
      <c r="AG581" s="2">
        <v>0</v>
      </c>
      <c r="AH581" s="2"/>
      <c r="AI581" s="2">
        <v>-9270</v>
      </c>
      <c r="AJ581" s="2">
        <v>-7306</v>
      </c>
      <c r="AK581" s="2">
        <v>-6355</v>
      </c>
      <c r="AL581" s="2">
        <v>-4266</v>
      </c>
      <c r="AM581" s="2">
        <v>-7306</v>
      </c>
    </row>
    <row r="582" spans="1:39">
      <c r="A582" s="349">
        <v>96231</v>
      </c>
      <c r="B582" s="342" t="s">
        <v>1273</v>
      </c>
      <c r="C582" s="234" t="e">
        <f>VLOOKUP(A582,#REF!,10,FALSE)</f>
        <v>#REF!</v>
      </c>
      <c r="E582" s="2">
        <v>51774</v>
      </c>
      <c r="F582" s="2">
        <v>12473</v>
      </c>
      <c r="G582" s="2">
        <v>25895</v>
      </c>
      <c r="H582" s="2">
        <v>6312</v>
      </c>
      <c r="I582" s="2">
        <v>0</v>
      </c>
      <c r="J582" s="2"/>
      <c r="K582" s="2">
        <v>18501</v>
      </c>
      <c r="L582" s="2">
        <v>17404</v>
      </c>
      <c r="M582" s="2">
        <v>15599</v>
      </c>
      <c r="N582" s="2">
        <v>6246</v>
      </c>
      <c r="O582" s="2">
        <v>0</v>
      </c>
      <c r="P582" s="2"/>
      <c r="Q582" s="2">
        <v>19642</v>
      </c>
      <c r="R582" s="2">
        <v>-16895</v>
      </c>
      <c r="S582" s="2">
        <v>2381</v>
      </c>
      <c r="T582" s="2">
        <v>3099</v>
      </c>
      <c r="U582" s="2">
        <v>0</v>
      </c>
      <c r="V582" s="2"/>
      <c r="W582" s="2">
        <v>22127</v>
      </c>
      <c r="X582" s="2">
        <v>18127</v>
      </c>
      <c r="Y582" s="2">
        <v>14716</v>
      </c>
      <c r="Z582" s="2">
        <v>0</v>
      </c>
      <c r="AA582" s="2">
        <v>0</v>
      </c>
      <c r="AB582" s="2"/>
      <c r="AC582" s="2">
        <v>639</v>
      </c>
      <c r="AD582" s="2">
        <v>637</v>
      </c>
      <c r="AE582" s="2">
        <v>0</v>
      </c>
      <c r="AF582" s="2">
        <v>0</v>
      </c>
      <c r="AG582" s="2">
        <v>0</v>
      </c>
      <c r="AH582" s="2"/>
      <c r="AI582" s="2">
        <v>-9135</v>
      </c>
      <c r="AJ582" s="2">
        <v>-6800</v>
      </c>
      <c r="AK582" s="2">
        <v>-6801</v>
      </c>
      <c r="AL582" s="2">
        <v>-3033</v>
      </c>
      <c r="AM582" s="2">
        <v>-6800</v>
      </c>
    </row>
    <row r="583" spans="1:39">
      <c r="A583" s="349">
        <v>96241</v>
      </c>
      <c r="B583" s="342" t="s">
        <v>1274</v>
      </c>
      <c r="C583" s="234" t="e">
        <f>VLOOKUP(A583,#REF!,10,FALSE)</f>
        <v>#REF!</v>
      </c>
      <c r="E583" s="2">
        <v>32266</v>
      </c>
      <c r="F583" s="2">
        <v>11838</v>
      </c>
      <c r="G583" s="2">
        <v>18963</v>
      </c>
      <c r="H583" s="2">
        <v>5700</v>
      </c>
      <c r="I583" s="2">
        <v>0</v>
      </c>
      <c r="J583" s="2"/>
      <c r="K583" s="2">
        <v>9663</v>
      </c>
      <c r="L583" s="2">
        <v>9089</v>
      </c>
      <c r="M583" s="2">
        <v>8147</v>
      </c>
      <c r="N583" s="2">
        <v>3262</v>
      </c>
      <c r="O583" s="2">
        <v>0</v>
      </c>
      <c r="P583" s="2"/>
      <c r="Q583" s="2">
        <v>10258</v>
      </c>
      <c r="R583" s="2">
        <v>-8824</v>
      </c>
      <c r="S583" s="2">
        <v>1244</v>
      </c>
      <c r="T583" s="2">
        <v>1619</v>
      </c>
      <c r="U583" s="2">
        <v>0</v>
      </c>
      <c r="V583" s="2"/>
      <c r="W583" s="2">
        <v>11556</v>
      </c>
      <c r="X583" s="2">
        <v>9467</v>
      </c>
      <c r="Y583" s="2">
        <v>7686</v>
      </c>
      <c r="Z583" s="2">
        <v>0</v>
      </c>
      <c r="AA583" s="2">
        <v>0</v>
      </c>
      <c r="AB583" s="2"/>
      <c r="AC583" s="2">
        <v>2104</v>
      </c>
      <c r="AD583" s="2">
        <v>2106</v>
      </c>
      <c r="AE583" s="2">
        <v>1886</v>
      </c>
      <c r="AF583" s="2">
        <v>819</v>
      </c>
      <c r="AG583" s="2">
        <v>0</v>
      </c>
      <c r="AH583" s="2"/>
      <c r="AI583" s="2">
        <v>-1315</v>
      </c>
      <c r="AJ583" s="2">
        <v>0</v>
      </c>
      <c r="AK583" s="2">
        <v>0</v>
      </c>
      <c r="AL583" s="2">
        <v>0</v>
      </c>
      <c r="AM583" s="2">
        <v>0</v>
      </c>
    </row>
    <row r="584" spans="1:39">
      <c r="A584" s="349">
        <v>96251</v>
      </c>
      <c r="B584" s="342" t="s">
        <v>1275</v>
      </c>
      <c r="C584" s="234" t="e">
        <f>VLOOKUP(A584,#REF!,10,FALSE)</f>
        <v>#REF!</v>
      </c>
      <c r="E584" s="2">
        <v>45942</v>
      </c>
      <c r="F584" s="2">
        <v>14145</v>
      </c>
      <c r="G584" s="2">
        <v>24027</v>
      </c>
      <c r="H584" s="2">
        <v>5584</v>
      </c>
      <c r="I584" s="2">
        <v>0</v>
      </c>
      <c r="J584" s="2"/>
      <c r="K584" s="2">
        <v>15041</v>
      </c>
      <c r="L584" s="2">
        <v>14148</v>
      </c>
      <c r="M584" s="2">
        <v>12681</v>
      </c>
      <c r="N584" s="2">
        <v>5077</v>
      </c>
      <c r="O584" s="2">
        <v>0</v>
      </c>
      <c r="P584" s="2"/>
      <c r="Q584" s="2">
        <v>15968</v>
      </c>
      <c r="R584" s="2">
        <v>-13735</v>
      </c>
      <c r="S584" s="2">
        <v>1936</v>
      </c>
      <c r="T584" s="2">
        <v>2519</v>
      </c>
      <c r="U584" s="2">
        <v>0</v>
      </c>
      <c r="V584" s="2"/>
      <c r="W584" s="2">
        <v>17988</v>
      </c>
      <c r="X584" s="2">
        <v>14736</v>
      </c>
      <c r="Y584" s="2">
        <v>11963</v>
      </c>
      <c r="Z584" s="2">
        <v>0</v>
      </c>
      <c r="AA584" s="2">
        <v>0</v>
      </c>
      <c r="AB584" s="2"/>
      <c r="AC584" s="2">
        <v>1549</v>
      </c>
      <c r="AD584" s="2">
        <v>1551</v>
      </c>
      <c r="AE584" s="2">
        <v>0</v>
      </c>
      <c r="AF584" s="2">
        <v>0</v>
      </c>
      <c r="AG584" s="2">
        <v>0</v>
      </c>
      <c r="AH584" s="2"/>
      <c r="AI584" s="2">
        <v>-4604</v>
      </c>
      <c r="AJ584" s="2">
        <v>-2555</v>
      </c>
      <c r="AK584" s="2">
        <v>-2553</v>
      </c>
      <c r="AL584" s="2">
        <v>-2012</v>
      </c>
      <c r="AM584" s="2">
        <v>-2555</v>
      </c>
    </row>
    <row r="585" spans="1:39">
      <c r="A585" s="349">
        <v>96301</v>
      </c>
      <c r="B585" s="342" t="s">
        <v>1276</v>
      </c>
      <c r="C585" s="234" t="e">
        <f>VLOOKUP(A585,#REF!,10,FALSE)</f>
        <v>#REF!</v>
      </c>
      <c r="E585" s="2">
        <v>2284733</v>
      </c>
      <c r="F585" s="2">
        <v>728821</v>
      </c>
      <c r="G585" s="2">
        <v>1277746</v>
      </c>
      <c r="H585" s="2">
        <v>397855</v>
      </c>
      <c r="I585" s="2">
        <v>0</v>
      </c>
      <c r="J585" s="2"/>
      <c r="K585" s="2">
        <v>702655</v>
      </c>
      <c r="L585" s="2">
        <v>660971</v>
      </c>
      <c r="M585" s="2">
        <v>592421</v>
      </c>
      <c r="N585" s="2">
        <v>237198</v>
      </c>
      <c r="O585" s="2">
        <v>0</v>
      </c>
      <c r="P585" s="2"/>
      <c r="Q585" s="2">
        <v>745966</v>
      </c>
      <c r="R585" s="2">
        <v>-641670</v>
      </c>
      <c r="S585" s="2">
        <v>90436</v>
      </c>
      <c r="T585" s="2">
        <v>117701</v>
      </c>
      <c r="U585" s="2">
        <v>0</v>
      </c>
      <c r="V585" s="2"/>
      <c r="W585" s="2">
        <v>840341</v>
      </c>
      <c r="X585" s="2">
        <v>688438</v>
      </c>
      <c r="Y585" s="2">
        <v>558894</v>
      </c>
      <c r="Z585" s="2">
        <v>0</v>
      </c>
      <c r="AA585" s="2">
        <v>0</v>
      </c>
      <c r="AB585" s="2"/>
      <c r="AC585" s="2">
        <v>42957</v>
      </c>
      <c r="AD585" s="2">
        <v>42957</v>
      </c>
      <c r="AE585" s="2">
        <v>42957</v>
      </c>
      <c r="AF585" s="2">
        <v>42956</v>
      </c>
      <c r="AG585" s="2">
        <v>0</v>
      </c>
      <c r="AH585" s="2"/>
      <c r="AI585" s="2">
        <v>-47186</v>
      </c>
      <c r="AJ585" s="2">
        <v>-21875</v>
      </c>
      <c r="AK585" s="2">
        <v>-6962</v>
      </c>
      <c r="AL585" s="2">
        <v>0</v>
      </c>
      <c r="AM585" s="2">
        <v>-21875</v>
      </c>
    </row>
    <row r="586" spans="1:39">
      <c r="A586" s="349">
        <v>96302</v>
      </c>
      <c r="B586" s="342" t="s">
        <v>1277</v>
      </c>
      <c r="C586" s="234" t="e">
        <f>VLOOKUP(A586,#REF!,10,FALSE)</f>
        <v>#REF!</v>
      </c>
      <c r="E586" s="2">
        <v>13302</v>
      </c>
      <c r="F586" s="2">
        <v>4967</v>
      </c>
      <c r="G586" s="2">
        <v>6535</v>
      </c>
      <c r="H586" s="2">
        <v>2262</v>
      </c>
      <c r="I586" s="2">
        <v>0</v>
      </c>
      <c r="J586" s="2"/>
      <c r="K586" s="2">
        <v>3535</v>
      </c>
      <c r="L586" s="2">
        <v>3326</v>
      </c>
      <c r="M586" s="2">
        <v>2981</v>
      </c>
      <c r="N586" s="2">
        <v>1193</v>
      </c>
      <c r="O586" s="2">
        <v>0</v>
      </c>
      <c r="P586" s="2"/>
      <c r="Q586" s="2">
        <v>3753</v>
      </c>
      <c r="R586" s="2">
        <v>-3229</v>
      </c>
      <c r="S586" s="2">
        <v>455</v>
      </c>
      <c r="T586" s="2">
        <v>592</v>
      </c>
      <c r="U586" s="2">
        <v>0</v>
      </c>
      <c r="V586" s="2"/>
      <c r="W586" s="2">
        <v>4228</v>
      </c>
      <c r="X586" s="2">
        <v>3464</v>
      </c>
      <c r="Y586" s="2">
        <v>2812</v>
      </c>
      <c r="Z586" s="2">
        <v>0</v>
      </c>
      <c r="AA586" s="2">
        <v>0</v>
      </c>
      <c r="AB586" s="2"/>
      <c r="AC586" s="2">
        <v>1972</v>
      </c>
      <c r="AD586" s="2">
        <v>1592</v>
      </c>
      <c r="AE586" s="2">
        <v>475</v>
      </c>
      <c r="AF586" s="2">
        <v>477</v>
      </c>
      <c r="AG586" s="2">
        <v>0</v>
      </c>
      <c r="AH586" s="2"/>
      <c r="AI586" s="2">
        <v>-186</v>
      </c>
      <c r="AJ586" s="2">
        <v>-186</v>
      </c>
      <c r="AK586" s="2">
        <v>-188</v>
      </c>
      <c r="AL586" s="2">
        <v>0</v>
      </c>
      <c r="AM586" s="2">
        <v>-186</v>
      </c>
    </row>
    <row r="587" spans="1:39">
      <c r="A587" s="349">
        <v>96304</v>
      </c>
      <c r="B587" s="342" t="s">
        <v>1278</v>
      </c>
      <c r="C587" s="234" t="e">
        <f>VLOOKUP(A587,#REF!,10,FALSE)</f>
        <v>#REF!</v>
      </c>
      <c r="E587" s="2">
        <v>24392</v>
      </c>
      <c r="F587" s="2">
        <v>8748</v>
      </c>
      <c r="G587" s="2">
        <v>13991</v>
      </c>
      <c r="H587" s="2">
        <v>4189</v>
      </c>
      <c r="I587" s="2">
        <v>0</v>
      </c>
      <c r="J587" s="2"/>
      <c r="K587" s="2">
        <v>6577</v>
      </c>
      <c r="L587" s="2">
        <v>6186</v>
      </c>
      <c r="M587" s="2">
        <v>5545</v>
      </c>
      <c r="N587" s="2">
        <v>2220</v>
      </c>
      <c r="O587" s="2">
        <v>0</v>
      </c>
      <c r="P587" s="2"/>
      <c r="Q587" s="2">
        <v>6982</v>
      </c>
      <c r="R587" s="2">
        <v>-6006</v>
      </c>
      <c r="S587" s="2">
        <v>846</v>
      </c>
      <c r="T587" s="2">
        <v>1102</v>
      </c>
      <c r="U587" s="2">
        <v>0</v>
      </c>
      <c r="V587" s="2"/>
      <c r="W587" s="2">
        <v>7865</v>
      </c>
      <c r="X587" s="2">
        <v>6443</v>
      </c>
      <c r="Y587" s="2">
        <v>5231</v>
      </c>
      <c r="Z587" s="2">
        <v>0</v>
      </c>
      <c r="AA587" s="2">
        <v>0</v>
      </c>
      <c r="AB587" s="2"/>
      <c r="AC587" s="2">
        <v>3212</v>
      </c>
      <c r="AD587" s="2">
        <v>2370</v>
      </c>
      <c r="AE587" s="2">
        <v>2369</v>
      </c>
      <c r="AF587" s="2">
        <v>867</v>
      </c>
      <c r="AG587" s="2">
        <v>0</v>
      </c>
      <c r="AH587" s="2"/>
      <c r="AI587" s="2">
        <v>-244</v>
      </c>
      <c r="AJ587" s="2">
        <v>-245</v>
      </c>
      <c r="AK587" s="2">
        <v>0</v>
      </c>
      <c r="AL587" s="2">
        <v>0</v>
      </c>
      <c r="AM587" s="2">
        <v>-245</v>
      </c>
    </row>
    <row r="588" spans="1:39">
      <c r="A588" s="349">
        <v>96305</v>
      </c>
      <c r="B588" s="342" t="s">
        <v>1279</v>
      </c>
      <c r="C588" s="234" t="e">
        <f>VLOOKUP(A588,#REF!,10,FALSE)</f>
        <v>#REF!</v>
      </c>
      <c r="E588" s="2">
        <v>26553</v>
      </c>
      <c r="F588" s="2">
        <v>11418</v>
      </c>
      <c r="G588" s="2">
        <v>14633</v>
      </c>
      <c r="H588" s="2">
        <v>4917</v>
      </c>
      <c r="I588" s="2">
        <v>0</v>
      </c>
      <c r="J588" s="2"/>
      <c r="K588" s="2">
        <v>6172</v>
      </c>
      <c r="L588" s="2">
        <v>5806</v>
      </c>
      <c r="M588" s="2">
        <v>5204</v>
      </c>
      <c r="N588" s="2">
        <v>2084</v>
      </c>
      <c r="O588" s="2">
        <v>0</v>
      </c>
      <c r="P588" s="2"/>
      <c r="Q588" s="2">
        <v>6552</v>
      </c>
      <c r="R588" s="2">
        <v>-5636</v>
      </c>
      <c r="S588" s="2">
        <v>794</v>
      </c>
      <c r="T588" s="2">
        <v>1034</v>
      </c>
      <c r="U588" s="2">
        <v>0</v>
      </c>
      <c r="V588" s="2"/>
      <c r="W588" s="2">
        <v>7381</v>
      </c>
      <c r="X588" s="2">
        <v>6047</v>
      </c>
      <c r="Y588" s="2">
        <v>4909</v>
      </c>
      <c r="Z588" s="2">
        <v>0</v>
      </c>
      <c r="AA588" s="2">
        <v>0</v>
      </c>
      <c r="AB588" s="2"/>
      <c r="AC588" s="2">
        <v>6448</v>
      </c>
      <c r="AD588" s="2">
        <v>5201</v>
      </c>
      <c r="AE588" s="2">
        <v>3726</v>
      </c>
      <c r="AF588" s="2">
        <v>1799</v>
      </c>
      <c r="AG588" s="2">
        <v>0</v>
      </c>
      <c r="AH588" s="2"/>
      <c r="AI588" s="2">
        <v>0</v>
      </c>
      <c r="AJ588" s="2">
        <v>0</v>
      </c>
      <c r="AK588" s="2">
        <v>0</v>
      </c>
      <c r="AL588" s="2">
        <v>0</v>
      </c>
      <c r="AM588" s="2">
        <v>0</v>
      </c>
    </row>
    <row r="589" spans="1:39">
      <c r="A589" s="349">
        <v>96310</v>
      </c>
      <c r="B589" s="342" t="s">
        <v>1280</v>
      </c>
      <c r="C589" s="234" t="e">
        <f>VLOOKUP(A589,#REF!,10,FALSE)</f>
        <v>#REF!</v>
      </c>
      <c r="E589" s="2">
        <v>21648</v>
      </c>
      <c r="F589" s="2">
        <v>7431</v>
      </c>
      <c r="G589" s="2">
        <v>10737</v>
      </c>
      <c r="H589" s="2">
        <v>3239</v>
      </c>
      <c r="I589" s="2">
        <v>0</v>
      </c>
      <c r="J589" s="2"/>
      <c r="K589" s="2">
        <v>6726</v>
      </c>
      <c r="L589" s="2">
        <v>6327</v>
      </c>
      <c r="M589" s="2">
        <v>5671</v>
      </c>
      <c r="N589" s="2">
        <v>2271</v>
      </c>
      <c r="O589" s="2">
        <v>0</v>
      </c>
      <c r="P589" s="2"/>
      <c r="Q589" s="2">
        <v>7141</v>
      </c>
      <c r="R589" s="2">
        <v>-6143</v>
      </c>
      <c r="S589" s="2">
        <v>866</v>
      </c>
      <c r="T589" s="2">
        <v>1127</v>
      </c>
      <c r="U589" s="2">
        <v>0</v>
      </c>
      <c r="V589" s="2"/>
      <c r="W589" s="2">
        <v>8044</v>
      </c>
      <c r="X589" s="2">
        <v>6590</v>
      </c>
      <c r="Y589" s="2">
        <v>5350</v>
      </c>
      <c r="Z589" s="2">
        <v>0</v>
      </c>
      <c r="AA589" s="2">
        <v>0</v>
      </c>
      <c r="AB589" s="2"/>
      <c r="AC589" s="2">
        <v>1805</v>
      </c>
      <c r="AD589" s="2">
        <v>1805</v>
      </c>
      <c r="AE589" s="2">
        <v>0</v>
      </c>
      <c r="AF589" s="2">
        <v>0</v>
      </c>
      <c r="AG589" s="2">
        <v>0</v>
      </c>
      <c r="AH589" s="2"/>
      <c r="AI589" s="2">
        <v>-2068</v>
      </c>
      <c r="AJ589" s="2">
        <v>-1148</v>
      </c>
      <c r="AK589" s="2">
        <v>-1150</v>
      </c>
      <c r="AL589" s="2">
        <v>-159</v>
      </c>
      <c r="AM589" s="2">
        <v>-1148</v>
      </c>
    </row>
    <row r="590" spans="1:39">
      <c r="A590" s="349">
        <v>96311</v>
      </c>
      <c r="B590" s="342" t="s">
        <v>1281</v>
      </c>
      <c r="C590" s="234" t="e">
        <f>VLOOKUP(A590,#REF!,10,FALSE)</f>
        <v>#REF!</v>
      </c>
      <c r="E590" s="2">
        <v>591765</v>
      </c>
      <c r="F590" s="2">
        <v>165180</v>
      </c>
      <c r="G590" s="2">
        <v>332095</v>
      </c>
      <c r="H590" s="2">
        <v>88834</v>
      </c>
      <c r="I590" s="2">
        <v>0</v>
      </c>
      <c r="J590" s="2"/>
      <c r="K590" s="2">
        <v>196427</v>
      </c>
      <c r="L590" s="2">
        <v>184774</v>
      </c>
      <c r="M590" s="2">
        <v>165611</v>
      </c>
      <c r="N590" s="2">
        <v>66309</v>
      </c>
      <c r="O590" s="2">
        <v>0</v>
      </c>
      <c r="P590" s="2"/>
      <c r="Q590" s="2">
        <v>208535</v>
      </c>
      <c r="R590" s="2">
        <v>-179379</v>
      </c>
      <c r="S590" s="2">
        <v>25281</v>
      </c>
      <c r="T590" s="2">
        <v>32903</v>
      </c>
      <c r="U590" s="2">
        <v>0</v>
      </c>
      <c r="V590" s="2"/>
      <c r="W590" s="2">
        <v>234917</v>
      </c>
      <c r="X590" s="2">
        <v>192453</v>
      </c>
      <c r="Y590" s="2">
        <v>156239</v>
      </c>
      <c r="Z590" s="2">
        <v>0</v>
      </c>
      <c r="AA590" s="2">
        <v>0</v>
      </c>
      <c r="AB590" s="2"/>
      <c r="AC590" s="2">
        <v>0</v>
      </c>
      <c r="AD590" s="2">
        <v>0</v>
      </c>
      <c r="AE590" s="2">
        <v>0</v>
      </c>
      <c r="AF590" s="2">
        <v>0</v>
      </c>
      <c r="AG590" s="2">
        <v>0</v>
      </c>
      <c r="AH590" s="2"/>
      <c r="AI590" s="2">
        <v>-48114</v>
      </c>
      <c r="AJ590" s="2">
        <v>-32668</v>
      </c>
      <c r="AK590" s="2">
        <v>-15036</v>
      </c>
      <c r="AL590" s="2">
        <v>-10378</v>
      </c>
      <c r="AM590" s="2">
        <v>-32668</v>
      </c>
    </row>
    <row r="591" spans="1:39">
      <c r="A591" s="349">
        <v>96312</v>
      </c>
      <c r="B591" s="342" t="s">
        <v>1282</v>
      </c>
      <c r="C591" s="234" t="e">
        <f>VLOOKUP(A591,#REF!,10,FALSE)</f>
        <v>#REF!</v>
      </c>
      <c r="E591" s="2">
        <v>2916</v>
      </c>
      <c r="F591" s="2">
        <v>1108</v>
      </c>
      <c r="G591" s="2">
        <v>-138</v>
      </c>
      <c r="H591" s="2">
        <v>437</v>
      </c>
      <c r="I591" s="2">
        <v>0</v>
      </c>
      <c r="J591" s="2"/>
      <c r="K591" s="2">
        <v>869</v>
      </c>
      <c r="L591" s="2">
        <v>817</v>
      </c>
      <c r="M591" s="2">
        <v>733</v>
      </c>
      <c r="N591" s="2">
        <v>293</v>
      </c>
      <c r="O591" s="2">
        <v>0</v>
      </c>
      <c r="P591" s="2"/>
      <c r="Q591" s="2">
        <v>922</v>
      </c>
      <c r="R591" s="2">
        <v>-793</v>
      </c>
      <c r="S591" s="2">
        <v>112</v>
      </c>
      <c r="T591" s="2">
        <v>146</v>
      </c>
      <c r="U591" s="2">
        <v>0</v>
      </c>
      <c r="V591" s="2"/>
      <c r="W591" s="2">
        <v>1039</v>
      </c>
      <c r="X591" s="2">
        <v>851</v>
      </c>
      <c r="Y591" s="2">
        <v>691</v>
      </c>
      <c r="Z591" s="2">
        <v>0</v>
      </c>
      <c r="AA591" s="2">
        <v>0</v>
      </c>
      <c r="AB591" s="2"/>
      <c r="AC591" s="2">
        <v>1909</v>
      </c>
      <c r="AD591" s="2">
        <v>1907</v>
      </c>
      <c r="AE591" s="2">
        <v>0</v>
      </c>
      <c r="AF591" s="2">
        <v>0</v>
      </c>
      <c r="AG591" s="2">
        <v>0</v>
      </c>
      <c r="AH591" s="2"/>
      <c r="AI591" s="2">
        <v>-1823</v>
      </c>
      <c r="AJ591" s="2">
        <v>-1674</v>
      </c>
      <c r="AK591" s="2">
        <v>-1674</v>
      </c>
      <c r="AL591" s="2">
        <v>-2</v>
      </c>
      <c r="AM591" s="2">
        <v>-1674</v>
      </c>
    </row>
    <row r="592" spans="1:39">
      <c r="A592" s="349">
        <v>96318</v>
      </c>
      <c r="B592" s="342" t="s">
        <v>1283</v>
      </c>
      <c r="C592" s="234" t="e">
        <f>VLOOKUP(A592,#REF!,10,FALSE)</f>
        <v>#REF!</v>
      </c>
      <c r="E592" s="2">
        <v>3451415</v>
      </c>
      <c r="F592" s="2">
        <v>474572</v>
      </c>
      <c r="G592" s="2">
        <v>650117</v>
      </c>
      <c r="H592" s="2">
        <v>202133</v>
      </c>
      <c r="I592" s="2">
        <v>0</v>
      </c>
      <c r="J592" s="2"/>
      <c r="K592" s="2">
        <v>334354</v>
      </c>
      <c r="L592" s="2">
        <v>314519</v>
      </c>
      <c r="M592" s="2">
        <v>281900</v>
      </c>
      <c r="N592" s="2">
        <v>112869</v>
      </c>
      <c r="O592" s="2">
        <v>0</v>
      </c>
      <c r="P592" s="2"/>
      <c r="Q592" s="2">
        <v>354964</v>
      </c>
      <c r="R592" s="2">
        <v>-305335</v>
      </c>
      <c r="S592" s="2">
        <v>43033</v>
      </c>
      <c r="T592" s="2">
        <v>56007</v>
      </c>
      <c r="U592" s="2">
        <v>0</v>
      </c>
      <c r="V592" s="2"/>
      <c r="W592" s="2">
        <v>399872</v>
      </c>
      <c r="X592" s="2">
        <v>327589</v>
      </c>
      <c r="Y592" s="2">
        <v>265947</v>
      </c>
      <c r="Z592" s="2">
        <v>0</v>
      </c>
      <c r="AA592" s="2">
        <v>0</v>
      </c>
      <c r="AB592" s="2"/>
      <c r="AC592" s="2">
        <v>2362225</v>
      </c>
      <c r="AD592" s="2">
        <v>137799</v>
      </c>
      <c r="AE592" s="2">
        <v>59237</v>
      </c>
      <c r="AF592" s="2">
        <v>33257</v>
      </c>
      <c r="AG592" s="2">
        <v>0</v>
      </c>
      <c r="AH592" s="2"/>
      <c r="AI592" s="2">
        <v>0</v>
      </c>
      <c r="AJ592" s="2">
        <v>0</v>
      </c>
      <c r="AK592" s="2">
        <v>0</v>
      </c>
      <c r="AL592" s="2">
        <v>0</v>
      </c>
      <c r="AM592" s="2">
        <v>0</v>
      </c>
    </row>
    <row r="593" spans="1:39">
      <c r="A593" s="349">
        <v>96321</v>
      </c>
      <c r="B593" s="342" t="s">
        <v>1284</v>
      </c>
      <c r="C593" s="234" t="e">
        <f>VLOOKUP(A593,#REF!,10,FALSE)</f>
        <v>#REF!</v>
      </c>
      <c r="E593" s="2">
        <v>17752</v>
      </c>
      <c r="F593" s="2">
        <v>6089</v>
      </c>
      <c r="G593" s="2">
        <v>9970</v>
      </c>
      <c r="H593" s="2">
        <v>2827</v>
      </c>
      <c r="I593" s="2">
        <v>0</v>
      </c>
      <c r="J593" s="2"/>
      <c r="K593" s="2">
        <v>5468</v>
      </c>
      <c r="L593" s="2">
        <v>5144</v>
      </c>
      <c r="M593" s="2">
        <v>4610</v>
      </c>
      <c r="N593" s="2">
        <v>1846</v>
      </c>
      <c r="O593" s="2">
        <v>0</v>
      </c>
      <c r="P593" s="2"/>
      <c r="Q593" s="2">
        <v>5805</v>
      </c>
      <c r="R593" s="2">
        <v>-4993</v>
      </c>
      <c r="S593" s="2">
        <v>704</v>
      </c>
      <c r="T593" s="2">
        <v>916</v>
      </c>
      <c r="U593" s="2">
        <v>0</v>
      </c>
      <c r="V593" s="2"/>
      <c r="W593" s="2">
        <v>6539</v>
      </c>
      <c r="X593" s="2">
        <v>5357</v>
      </c>
      <c r="Y593" s="2">
        <v>4349</v>
      </c>
      <c r="Z593" s="2">
        <v>0</v>
      </c>
      <c r="AA593" s="2">
        <v>0</v>
      </c>
      <c r="AB593" s="2"/>
      <c r="AC593" s="2">
        <v>583</v>
      </c>
      <c r="AD593" s="2">
        <v>581</v>
      </c>
      <c r="AE593" s="2">
        <v>307</v>
      </c>
      <c r="AF593" s="2">
        <v>65</v>
      </c>
      <c r="AG593" s="2">
        <v>0</v>
      </c>
      <c r="AH593" s="2"/>
      <c r="AI593" s="2">
        <v>-643</v>
      </c>
      <c r="AJ593" s="2">
        <v>0</v>
      </c>
      <c r="AK593" s="2">
        <v>0</v>
      </c>
      <c r="AL593" s="2">
        <v>0</v>
      </c>
      <c r="AM593" s="2">
        <v>0</v>
      </c>
    </row>
    <row r="594" spans="1:39">
      <c r="A594" s="349">
        <v>96331</v>
      </c>
      <c r="B594" s="342" t="s">
        <v>1285</v>
      </c>
      <c r="C594" s="234" t="e">
        <f>VLOOKUP(A594,#REF!,10,FALSE)</f>
        <v>#REF!</v>
      </c>
      <c r="E594" s="2">
        <v>340337</v>
      </c>
      <c r="F594" s="2">
        <v>99997</v>
      </c>
      <c r="G594" s="2">
        <v>186979</v>
      </c>
      <c r="H594" s="2">
        <v>55694</v>
      </c>
      <c r="I594" s="2">
        <v>0</v>
      </c>
      <c r="J594" s="2"/>
      <c r="K594" s="2">
        <v>111501</v>
      </c>
      <c r="L594" s="2">
        <v>104887</v>
      </c>
      <c r="M594" s="2">
        <v>94009</v>
      </c>
      <c r="N594" s="2">
        <v>37640</v>
      </c>
      <c r="O594" s="2">
        <v>0</v>
      </c>
      <c r="P594" s="2"/>
      <c r="Q594" s="2">
        <v>118374</v>
      </c>
      <c r="R594" s="2">
        <v>-101824</v>
      </c>
      <c r="S594" s="2">
        <v>14351</v>
      </c>
      <c r="T594" s="2">
        <v>18677</v>
      </c>
      <c r="U594" s="2">
        <v>0</v>
      </c>
      <c r="V594" s="2"/>
      <c r="W594" s="2">
        <v>133350</v>
      </c>
      <c r="X594" s="2">
        <v>109245</v>
      </c>
      <c r="Y594" s="2">
        <v>88689</v>
      </c>
      <c r="Z594" s="2">
        <v>0</v>
      </c>
      <c r="AA594" s="2">
        <v>0</v>
      </c>
      <c r="AB594" s="2"/>
      <c r="AC594" s="2">
        <v>0</v>
      </c>
      <c r="AD594" s="2">
        <v>0</v>
      </c>
      <c r="AE594" s="2">
        <v>0</v>
      </c>
      <c r="AF594" s="2">
        <v>0</v>
      </c>
      <c r="AG594" s="2">
        <v>0</v>
      </c>
      <c r="AH594" s="2"/>
      <c r="AI594" s="2">
        <v>-22888</v>
      </c>
      <c r="AJ594" s="2">
        <v>-12311</v>
      </c>
      <c r="AK594" s="2">
        <v>-10070</v>
      </c>
      <c r="AL594" s="2">
        <v>-623</v>
      </c>
      <c r="AM594" s="2">
        <v>-12311</v>
      </c>
    </row>
    <row r="595" spans="1:39">
      <c r="A595" s="349">
        <v>96341</v>
      </c>
      <c r="B595" s="342" t="s">
        <v>1286</v>
      </c>
      <c r="C595" s="234" t="e">
        <f>VLOOKUP(A595,#REF!,10,FALSE)</f>
        <v>#REF!</v>
      </c>
      <c r="E595" s="2">
        <v>34257</v>
      </c>
      <c r="F595" s="2">
        <v>7517</v>
      </c>
      <c r="G595" s="2">
        <v>18416</v>
      </c>
      <c r="H595" s="2">
        <v>2834</v>
      </c>
      <c r="I595" s="2">
        <v>0</v>
      </c>
      <c r="J595" s="2"/>
      <c r="K595" s="2">
        <v>11715</v>
      </c>
      <c r="L595" s="2">
        <v>11020</v>
      </c>
      <c r="M595" s="2">
        <v>9877</v>
      </c>
      <c r="N595" s="2">
        <v>3955</v>
      </c>
      <c r="O595" s="2">
        <v>0</v>
      </c>
      <c r="P595" s="2"/>
      <c r="Q595" s="2">
        <v>12437</v>
      </c>
      <c r="R595" s="2">
        <v>-10698</v>
      </c>
      <c r="S595" s="2">
        <v>1508</v>
      </c>
      <c r="T595" s="2">
        <v>1962</v>
      </c>
      <c r="U595" s="2">
        <v>0</v>
      </c>
      <c r="V595" s="2"/>
      <c r="W595" s="2">
        <v>14010</v>
      </c>
      <c r="X595" s="2">
        <v>11478</v>
      </c>
      <c r="Y595" s="2">
        <v>9318</v>
      </c>
      <c r="Z595" s="2">
        <v>0</v>
      </c>
      <c r="AA595" s="2">
        <v>0</v>
      </c>
      <c r="AB595" s="2"/>
      <c r="AC595" s="2">
        <v>1170</v>
      </c>
      <c r="AD595" s="2">
        <v>794</v>
      </c>
      <c r="AE595" s="2">
        <v>794</v>
      </c>
      <c r="AF595" s="2">
        <v>0</v>
      </c>
      <c r="AG595" s="2">
        <v>0</v>
      </c>
      <c r="AH595" s="2"/>
      <c r="AI595" s="2">
        <v>-5075</v>
      </c>
      <c r="AJ595" s="2">
        <v>-5077</v>
      </c>
      <c r="AK595" s="2">
        <v>-3081</v>
      </c>
      <c r="AL595" s="2">
        <v>-3083</v>
      </c>
      <c r="AM595" s="2">
        <v>-5077</v>
      </c>
    </row>
    <row r="596" spans="1:39">
      <c r="A596" s="349">
        <v>96351</v>
      </c>
      <c r="B596" s="342" t="s">
        <v>1287</v>
      </c>
      <c r="C596" s="234" t="e">
        <f>VLOOKUP(A596,#REF!,10,FALSE)</f>
        <v>#REF!</v>
      </c>
      <c r="E596" s="2">
        <v>474483</v>
      </c>
      <c r="F596" s="2">
        <v>140653</v>
      </c>
      <c r="G596" s="2">
        <v>257356</v>
      </c>
      <c r="H596" s="2">
        <v>70470</v>
      </c>
      <c r="I596" s="2">
        <v>0</v>
      </c>
      <c r="J596" s="2"/>
      <c r="K596" s="2">
        <v>151200</v>
      </c>
      <c r="L596" s="2">
        <v>142231</v>
      </c>
      <c r="M596" s="2">
        <v>127480</v>
      </c>
      <c r="N596" s="2">
        <v>51041</v>
      </c>
      <c r="O596" s="2">
        <v>0</v>
      </c>
      <c r="P596" s="2"/>
      <c r="Q596" s="2">
        <v>160520</v>
      </c>
      <c r="R596" s="2">
        <v>-138077</v>
      </c>
      <c r="S596" s="2">
        <v>19460</v>
      </c>
      <c r="T596" s="2">
        <v>25327</v>
      </c>
      <c r="U596" s="2">
        <v>0</v>
      </c>
      <c r="V596" s="2"/>
      <c r="W596" s="2">
        <v>180828</v>
      </c>
      <c r="X596" s="2">
        <v>148141</v>
      </c>
      <c r="Y596" s="2">
        <v>120265</v>
      </c>
      <c r="Z596" s="2">
        <v>0</v>
      </c>
      <c r="AA596" s="2">
        <v>0</v>
      </c>
      <c r="AB596" s="2"/>
      <c r="AC596" s="2">
        <v>0</v>
      </c>
      <c r="AD596" s="2">
        <v>0</v>
      </c>
      <c r="AE596" s="2">
        <v>0</v>
      </c>
      <c r="AF596" s="2">
        <v>0</v>
      </c>
      <c r="AG596" s="2">
        <v>0</v>
      </c>
      <c r="AH596" s="2"/>
      <c r="AI596" s="2">
        <v>-18065</v>
      </c>
      <c r="AJ596" s="2">
        <v>-11642</v>
      </c>
      <c r="AK596" s="2">
        <v>-9849</v>
      </c>
      <c r="AL596" s="2">
        <v>-5898</v>
      </c>
      <c r="AM596" s="2">
        <v>-11642</v>
      </c>
    </row>
    <row r="597" spans="1:39">
      <c r="A597" s="349">
        <v>96361</v>
      </c>
      <c r="B597" s="342" t="s">
        <v>1288</v>
      </c>
      <c r="C597" s="234" t="e">
        <f>VLOOKUP(A597,#REF!,10,FALSE)</f>
        <v>#REF!</v>
      </c>
      <c r="E597" s="2">
        <v>18130</v>
      </c>
      <c r="F597" s="2">
        <v>3560</v>
      </c>
      <c r="G597" s="2">
        <v>9029</v>
      </c>
      <c r="H597" s="2">
        <v>1997</v>
      </c>
      <c r="I597" s="2">
        <v>0</v>
      </c>
      <c r="J597" s="2"/>
      <c r="K597" s="2">
        <v>6157</v>
      </c>
      <c r="L597" s="2">
        <v>5792</v>
      </c>
      <c r="M597" s="2">
        <v>5191</v>
      </c>
      <c r="N597" s="2">
        <v>2078</v>
      </c>
      <c r="O597" s="2">
        <v>0</v>
      </c>
      <c r="P597" s="2"/>
      <c r="Q597" s="2">
        <v>6537</v>
      </c>
      <c r="R597" s="2">
        <v>-5623</v>
      </c>
      <c r="S597" s="2">
        <v>792</v>
      </c>
      <c r="T597" s="2">
        <v>1031</v>
      </c>
      <c r="U597" s="2">
        <v>0</v>
      </c>
      <c r="V597" s="2"/>
      <c r="W597" s="2">
        <v>7364</v>
      </c>
      <c r="X597" s="2">
        <v>6032</v>
      </c>
      <c r="Y597" s="2">
        <v>4897</v>
      </c>
      <c r="Z597" s="2">
        <v>0</v>
      </c>
      <c r="AA597" s="2">
        <v>0</v>
      </c>
      <c r="AB597" s="2"/>
      <c r="AC597" s="2">
        <v>714</v>
      </c>
      <c r="AD597" s="2">
        <v>0</v>
      </c>
      <c r="AE597" s="2">
        <v>0</v>
      </c>
      <c r="AF597" s="2">
        <v>0</v>
      </c>
      <c r="AG597" s="2">
        <v>0</v>
      </c>
      <c r="AH597" s="2"/>
      <c r="AI597" s="2">
        <v>-2642</v>
      </c>
      <c r="AJ597" s="2">
        <v>-2641</v>
      </c>
      <c r="AK597" s="2">
        <v>-1851</v>
      </c>
      <c r="AL597" s="2">
        <v>-1112</v>
      </c>
      <c r="AM597" s="2">
        <v>-2641</v>
      </c>
    </row>
    <row r="598" spans="1:39">
      <c r="A598" s="349">
        <v>96371</v>
      </c>
      <c r="B598" s="342" t="s">
        <v>1289</v>
      </c>
      <c r="C598" s="234" t="e">
        <f>VLOOKUP(A598,#REF!,10,FALSE)</f>
        <v>#REF!</v>
      </c>
      <c r="E598" s="2">
        <v>70436</v>
      </c>
      <c r="F598" s="2">
        <v>20783</v>
      </c>
      <c r="G598" s="2">
        <v>40385</v>
      </c>
      <c r="H598" s="2">
        <v>13234</v>
      </c>
      <c r="I598" s="2">
        <v>0</v>
      </c>
      <c r="J598" s="2"/>
      <c r="K598" s="2">
        <v>22621</v>
      </c>
      <c r="L598" s="2">
        <v>21279</v>
      </c>
      <c r="M598" s="2">
        <v>19072</v>
      </c>
      <c r="N598" s="2">
        <v>7636</v>
      </c>
      <c r="O598" s="2">
        <v>0</v>
      </c>
      <c r="P598" s="2"/>
      <c r="Q598" s="2">
        <v>24015</v>
      </c>
      <c r="R598" s="2">
        <v>-20658</v>
      </c>
      <c r="S598" s="2">
        <v>2911</v>
      </c>
      <c r="T598" s="2">
        <v>3789</v>
      </c>
      <c r="U598" s="2">
        <v>0</v>
      </c>
      <c r="V598" s="2"/>
      <c r="W598" s="2">
        <v>27053</v>
      </c>
      <c r="X598" s="2">
        <v>22163</v>
      </c>
      <c r="Y598" s="2">
        <v>17993</v>
      </c>
      <c r="Z598" s="2">
        <v>0</v>
      </c>
      <c r="AA598" s="2">
        <v>0</v>
      </c>
      <c r="AB598" s="2"/>
      <c r="AC598" s="2">
        <v>1811</v>
      </c>
      <c r="AD598" s="2">
        <v>1811</v>
      </c>
      <c r="AE598" s="2">
        <v>1811</v>
      </c>
      <c r="AF598" s="2">
        <v>1809</v>
      </c>
      <c r="AG598" s="2">
        <v>0</v>
      </c>
      <c r="AH598" s="2"/>
      <c r="AI598" s="2">
        <v>-5064</v>
      </c>
      <c r="AJ598" s="2">
        <v>-3812</v>
      </c>
      <c r="AK598" s="2">
        <v>-1402</v>
      </c>
      <c r="AL598" s="2">
        <v>0</v>
      </c>
      <c r="AM598" s="2">
        <v>-3812</v>
      </c>
    </row>
    <row r="599" spans="1:39">
      <c r="A599" s="349">
        <v>96381</v>
      </c>
      <c r="B599" s="342" t="s">
        <v>1290</v>
      </c>
      <c r="C599" s="234" t="e">
        <f>VLOOKUP(A599,#REF!,10,FALSE)</f>
        <v>#REF!</v>
      </c>
      <c r="E599" s="2">
        <v>15978</v>
      </c>
      <c r="F599" s="2">
        <v>4897</v>
      </c>
      <c r="G599" s="2">
        <v>8591</v>
      </c>
      <c r="H599" s="2">
        <v>2003</v>
      </c>
      <c r="I599" s="2">
        <v>0</v>
      </c>
      <c r="J599" s="2"/>
      <c r="K599" s="2">
        <v>4914</v>
      </c>
      <c r="L599" s="2">
        <v>4622</v>
      </c>
      <c r="M599" s="2">
        <v>4143</v>
      </c>
      <c r="N599" s="2">
        <v>1659</v>
      </c>
      <c r="O599" s="2">
        <v>0</v>
      </c>
      <c r="P599" s="2"/>
      <c r="Q599" s="2">
        <v>5217</v>
      </c>
      <c r="R599" s="2">
        <v>-4487</v>
      </c>
      <c r="S599" s="2">
        <v>632</v>
      </c>
      <c r="T599" s="2">
        <v>823</v>
      </c>
      <c r="U599" s="2">
        <v>0</v>
      </c>
      <c r="V599" s="2"/>
      <c r="W599" s="2">
        <v>5877</v>
      </c>
      <c r="X599" s="2">
        <v>4814</v>
      </c>
      <c r="Y599" s="2">
        <v>3908</v>
      </c>
      <c r="Z599" s="2">
        <v>0</v>
      </c>
      <c r="AA599" s="2">
        <v>0</v>
      </c>
      <c r="AB599" s="2"/>
      <c r="AC599" s="2">
        <v>448</v>
      </c>
      <c r="AD599" s="2">
        <v>426</v>
      </c>
      <c r="AE599" s="2">
        <v>386</v>
      </c>
      <c r="AF599" s="2">
        <v>0</v>
      </c>
      <c r="AG599" s="2">
        <v>0</v>
      </c>
      <c r="AH599" s="2"/>
      <c r="AI599" s="2">
        <v>-478</v>
      </c>
      <c r="AJ599" s="2">
        <v>-478</v>
      </c>
      <c r="AK599" s="2">
        <v>-478</v>
      </c>
      <c r="AL599" s="2">
        <v>-479</v>
      </c>
      <c r="AM599" s="2">
        <v>-478</v>
      </c>
    </row>
    <row r="600" spans="1:39">
      <c r="A600" s="349">
        <v>96391</v>
      </c>
      <c r="B600" s="342" t="s">
        <v>1291</v>
      </c>
      <c r="C600" s="234" t="e">
        <f>VLOOKUP(A600,#REF!,10,FALSE)</f>
        <v>#REF!</v>
      </c>
      <c r="E600" s="2">
        <v>88900</v>
      </c>
      <c r="F600" s="2">
        <v>22714</v>
      </c>
      <c r="G600" s="2">
        <v>46127</v>
      </c>
      <c r="H600" s="2">
        <v>9824</v>
      </c>
      <c r="I600" s="2">
        <v>0</v>
      </c>
      <c r="J600" s="2"/>
      <c r="K600" s="2">
        <v>30800</v>
      </c>
      <c r="L600" s="2">
        <v>28973</v>
      </c>
      <c r="M600" s="2">
        <v>25968</v>
      </c>
      <c r="N600" s="2">
        <v>10397</v>
      </c>
      <c r="O600" s="2">
        <v>0</v>
      </c>
      <c r="P600" s="2"/>
      <c r="Q600" s="2">
        <v>32699</v>
      </c>
      <c r="R600" s="2">
        <v>-28127</v>
      </c>
      <c r="S600" s="2">
        <v>3964</v>
      </c>
      <c r="T600" s="2">
        <v>5159</v>
      </c>
      <c r="U600" s="2">
        <v>0</v>
      </c>
      <c r="V600" s="2"/>
      <c r="W600" s="2">
        <v>36836</v>
      </c>
      <c r="X600" s="2">
        <v>30177</v>
      </c>
      <c r="Y600" s="2">
        <v>24499</v>
      </c>
      <c r="Z600" s="2">
        <v>0</v>
      </c>
      <c r="AA600" s="2">
        <v>0</v>
      </c>
      <c r="AB600" s="2"/>
      <c r="AC600" s="2">
        <v>0</v>
      </c>
      <c r="AD600" s="2">
        <v>0</v>
      </c>
      <c r="AE600" s="2">
        <v>0</v>
      </c>
      <c r="AF600" s="2">
        <v>0</v>
      </c>
      <c r="AG600" s="2">
        <v>0</v>
      </c>
      <c r="AH600" s="2"/>
      <c r="AI600" s="2">
        <v>-11435</v>
      </c>
      <c r="AJ600" s="2">
        <v>-8309</v>
      </c>
      <c r="AK600" s="2">
        <v>-8304</v>
      </c>
      <c r="AL600" s="2">
        <v>-5732</v>
      </c>
      <c r="AM600" s="2">
        <v>-8309</v>
      </c>
    </row>
    <row r="601" spans="1:39">
      <c r="A601" s="349">
        <v>96401</v>
      </c>
      <c r="B601" s="342" t="s">
        <v>1292</v>
      </c>
      <c r="C601" s="234" t="e">
        <f>VLOOKUP(A601,#REF!,10,FALSE)</f>
        <v>#REF!</v>
      </c>
      <c r="E601" s="2">
        <v>2087137</v>
      </c>
      <c r="F601" s="2">
        <v>608895</v>
      </c>
      <c r="G601" s="2">
        <v>1124490</v>
      </c>
      <c r="H601" s="2">
        <v>319497</v>
      </c>
      <c r="I601" s="2">
        <v>0</v>
      </c>
      <c r="J601" s="2"/>
      <c r="K601" s="2">
        <v>658492</v>
      </c>
      <c r="L601" s="2">
        <v>619428</v>
      </c>
      <c r="M601" s="2">
        <v>555186</v>
      </c>
      <c r="N601" s="2">
        <v>222290</v>
      </c>
      <c r="O601" s="2">
        <v>0</v>
      </c>
      <c r="P601" s="2"/>
      <c r="Q601" s="2">
        <v>699081</v>
      </c>
      <c r="R601" s="2">
        <v>-601340</v>
      </c>
      <c r="S601" s="2">
        <v>84752</v>
      </c>
      <c r="T601" s="2">
        <v>110303</v>
      </c>
      <c r="U601" s="2">
        <v>0</v>
      </c>
      <c r="V601" s="2"/>
      <c r="W601" s="2">
        <v>787524</v>
      </c>
      <c r="X601" s="2">
        <v>645169</v>
      </c>
      <c r="Y601" s="2">
        <v>523767</v>
      </c>
      <c r="Z601" s="2">
        <v>0</v>
      </c>
      <c r="AA601" s="2">
        <v>0</v>
      </c>
      <c r="AB601" s="2"/>
      <c r="AC601" s="2">
        <v>0</v>
      </c>
      <c r="AD601" s="2">
        <v>0</v>
      </c>
      <c r="AE601" s="2">
        <v>0</v>
      </c>
      <c r="AF601" s="2">
        <v>0</v>
      </c>
      <c r="AG601" s="2">
        <v>0</v>
      </c>
      <c r="AH601" s="2"/>
      <c r="AI601" s="2">
        <v>-57960</v>
      </c>
      <c r="AJ601" s="2">
        <v>-54362</v>
      </c>
      <c r="AK601" s="2">
        <v>-39215</v>
      </c>
      <c r="AL601" s="2">
        <v>-13096</v>
      </c>
      <c r="AM601" s="2">
        <v>-54362</v>
      </c>
    </row>
    <row r="602" spans="1:39">
      <c r="A602" s="349">
        <v>96404</v>
      </c>
      <c r="B602" s="342" t="s">
        <v>1293</v>
      </c>
      <c r="C602" s="234" t="e">
        <f>VLOOKUP(A602,#REF!,10,FALSE)</f>
        <v>#REF!</v>
      </c>
      <c r="E602" s="2">
        <v>58561</v>
      </c>
      <c r="F602" s="2">
        <v>22720</v>
      </c>
      <c r="G602" s="2">
        <v>31125</v>
      </c>
      <c r="H602" s="2">
        <v>10236</v>
      </c>
      <c r="I602" s="2">
        <v>0</v>
      </c>
      <c r="J602" s="2"/>
      <c r="K602" s="2">
        <v>14726</v>
      </c>
      <c r="L602" s="2">
        <v>13852</v>
      </c>
      <c r="M602" s="2">
        <v>12416</v>
      </c>
      <c r="N602" s="2">
        <v>4971</v>
      </c>
      <c r="O602" s="2">
        <v>0</v>
      </c>
      <c r="P602" s="2"/>
      <c r="Q602" s="2">
        <v>15634</v>
      </c>
      <c r="R602" s="2">
        <v>-13448</v>
      </c>
      <c r="S602" s="2">
        <v>1895</v>
      </c>
      <c r="T602" s="2">
        <v>2467</v>
      </c>
      <c r="U602" s="2">
        <v>0</v>
      </c>
      <c r="V602" s="2"/>
      <c r="W602" s="2">
        <v>17612</v>
      </c>
      <c r="X602" s="2">
        <v>14428</v>
      </c>
      <c r="Y602" s="2">
        <v>11713</v>
      </c>
      <c r="Z602" s="2">
        <v>0</v>
      </c>
      <c r="AA602" s="2">
        <v>0</v>
      </c>
      <c r="AB602" s="2"/>
      <c r="AC602" s="2">
        <v>10589</v>
      </c>
      <c r="AD602" s="2">
        <v>7888</v>
      </c>
      <c r="AE602" s="2">
        <v>5101</v>
      </c>
      <c r="AF602" s="2">
        <v>2798</v>
      </c>
      <c r="AG602" s="2">
        <v>0</v>
      </c>
      <c r="AH602" s="2"/>
      <c r="AI602" s="2">
        <v>0</v>
      </c>
      <c r="AJ602" s="2">
        <v>0</v>
      </c>
      <c r="AK602" s="2">
        <v>0</v>
      </c>
      <c r="AL602" s="2">
        <v>0</v>
      </c>
      <c r="AM602" s="2">
        <v>0</v>
      </c>
    </row>
    <row r="603" spans="1:39">
      <c r="A603" s="349">
        <v>96405</v>
      </c>
      <c r="B603" s="342" t="s">
        <v>1294</v>
      </c>
      <c r="C603" s="234" t="e">
        <f>VLOOKUP(A603,#REF!,10,FALSE)</f>
        <v>#REF!</v>
      </c>
      <c r="E603" s="2">
        <v>76913</v>
      </c>
      <c r="F603" s="2">
        <v>27942</v>
      </c>
      <c r="G603" s="2">
        <v>44742</v>
      </c>
      <c r="H603" s="2">
        <v>17350</v>
      </c>
      <c r="I603" s="2">
        <v>0</v>
      </c>
      <c r="J603" s="2"/>
      <c r="K603" s="2">
        <v>21827</v>
      </c>
      <c r="L603" s="2">
        <v>20532</v>
      </c>
      <c r="M603" s="2">
        <v>18403</v>
      </c>
      <c r="N603" s="2">
        <v>7368</v>
      </c>
      <c r="O603" s="2">
        <v>0</v>
      </c>
      <c r="P603" s="2"/>
      <c r="Q603" s="2">
        <v>23172</v>
      </c>
      <c r="R603" s="2">
        <v>-19932</v>
      </c>
      <c r="S603" s="2">
        <v>2809</v>
      </c>
      <c r="T603" s="2">
        <v>3656</v>
      </c>
      <c r="U603" s="2">
        <v>0</v>
      </c>
      <c r="V603" s="2"/>
      <c r="W603" s="2">
        <v>26104</v>
      </c>
      <c r="X603" s="2">
        <v>21385</v>
      </c>
      <c r="Y603" s="2">
        <v>17361</v>
      </c>
      <c r="Z603" s="2">
        <v>0</v>
      </c>
      <c r="AA603" s="2">
        <v>0</v>
      </c>
      <c r="AB603" s="2"/>
      <c r="AC603" s="2">
        <v>6325</v>
      </c>
      <c r="AD603" s="2">
        <v>6325</v>
      </c>
      <c r="AE603" s="2">
        <v>6325</v>
      </c>
      <c r="AF603" s="2">
        <v>6326</v>
      </c>
      <c r="AG603" s="2">
        <v>0</v>
      </c>
      <c r="AH603" s="2"/>
      <c r="AI603" s="2">
        <v>-515</v>
      </c>
      <c r="AJ603" s="2">
        <v>-368</v>
      </c>
      <c r="AK603" s="2">
        <v>-156</v>
      </c>
      <c r="AL603" s="2">
        <v>0</v>
      </c>
      <c r="AM603" s="2">
        <v>-368</v>
      </c>
    </row>
    <row r="604" spans="1:39">
      <c r="A604" s="349">
        <v>96411</v>
      </c>
      <c r="B604" s="342" t="s">
        <v>1295</v>
      </c>
      <c r="C604" s="234" t="e">
        <f>VLOOKUP(A604,#REF!,10,FALSE)</f>
        <v>#REF!</v>
      </c>
      <c r="E604" s="2">
        <v>33757</v>
      </c>
      <c r="F604" s="2">
        <v>10730</v>
      </c>
      <c r="G604" s="2">
        <v>17050</v>
      </c>
      <c r="H604" s="2">
        <v>4601</v>
      </c>
      <c r="I604" s="2">
        <v>0</v>
      </c>
      <c r="J604" s="2"/>
      <c r="K604" s="2">
        <v>10621</v>
      </c>
      <c r="L604" s="2">
        <v>9991</v>
      </c>
      <c r="M604" s="2">
        <v>8955</v>
      </c>
      <c r="N604" s="2">
        <v>3585</v>
      </c>
      <c r="O604" s="2">
        <v>0</v>
      </c>
      <c r="P604" s="2"/>
      <c r="Q604" s="2">
        <v>11276</v>
      </c>
      <c r="R604" s="2">
        <v>-9699</v>
      </c>
      <c r="S604" s="2">
        <v>1367</v>
      </c>
      <c r="T604" s="2">
        <v>1779</v>
      </c>
      <c r="U604" s="2">
        <v>0</v>
      </c>
      <c r="V604" s="2"/>
      <c r="W604" s="2">
        <v>12703</v>
      </c>
      <c r="X604" s="2">
        <v>10406</v>
      </c>
      <c r="Y604" s="2">
        <v>8448</v>
      </c>
      <c r="Z604" s="2">
        <v>0</v>
      </c>
      <c r="AA604" s="2">
        <v>0</v>
      </c>
      <c r="AB604" s="2"/>
      <c r="AC604" s="2">
        <v>1750</v>
      </c>
      <c r="AD604" s="2">
        <v>1750</v>
      </c>
      <c r="AE604" s="2">
        <v>0</v>
      </c>
      <c r="AF604" s="2">
        <v>0</v>
      </c>
      <c r="AG604" s="2">
        <v>0</v>
      </c>
      <c r="AH604" s="2"/>
      <c r="AI604" s="2">
        <v>-2593</v>
      </c>
      <c r="AJ604" s="2">
        <v>-1718</v>
      </c>
      <c r="AK604" s="2">
        <v>-1720</v>
      </c>
      <c r="AL604" s="2">
        <v>-763</v>
      </c>
      <c r="AM604" s="2">
        <v>-1718</v>
      </c>
    </row>
    <row r="605" spans="1:39">
      <c r="A605" s="349">
        <v>96421</v>
      </c>
      <c r="B605" s="342" t="s">
        <v>1296</v>
      </c>
      <c r="C605" s="234" t="e">
        <f>VLOOKUP(A605,#REF!,10,FALSE)</f>
        <v>#REF!</v>
      </c>
      <c r="E605" s="2">
        <v>152832</v>
      </c>
      <c r="F605" s="2">
        <v>33232</v>
      </c>
      <c r="G605" s="2">
        <v>82028</v>
      </c>
      <c r="H605" s="2">
        <v>14405</v>
      </c>
      <c r="I605" s="2">
        <v>0</v>
      </c>
      <c r="J605" s="2"/>
      <c r="K605" s="2">
        <v>56942</v>
      </c>
      <c r="L605" s="2">
        <v>53564</v>
      </c>
      <c r="M605" s="2">
        <v>48009</v>
      </c>
      <c r="N605" s="2">
        <v>19222</v>
      </c>
      <c r="O605" s="2">
        <v>0</v>
      </c>
      <c r="P605" s="2"/>
      <c r="Q605" s="2">
        <v>60451</v>
      </c>
      <c r="R605" s="2">
        <v>-52000</v>
      </c>
      <c r="S605" s="2">
        <v>7329</v>
      </c>
      <c r="T605" s="2">
        <v>9538</v>
      </c>
      <c r="U605" s="2">
        <v>0</v>
      </c>
      <c r="V605" s="2"/>
      <c r="W605" s="2">
        <v>68099</v>
      </c>
      <c r="X605" s="2">
        <v>55790</v>
      </c>
      <c r="Y605" s="2">
        <v>45292</v>
      </c>
      <c r="Z605" s="2">
        <v>0</v>
      </c>
      <c r="AA605" s="2">
        <v>0</v>
      </c>
      <c r="AB605" s="2"/>
      <c r="AC605" s="2">
        <v>0</v>
      </c>
      <c r="AD605" s="2">
        <v>0</v>
      </c>
      <c r="AE605" s="2">
        <v>0</v>
      </c>
      <c r="AF605" s="2">
        <v>0</v>
      </c>
      <c r="AG605" s="2">
        <v>0</v>
      </c>
      <c r="AH605" s="2"/>
      <c r="AI605" s="2">
        <v>-32660</v>
      </c>
      <c r="AJ605" s="2">
        <v>-24122</v>
      </c>
      <c r="AK605" s="2">
        <v>-18602</v>
      </c>
      <c r="AL605" s="2">
        <v>-14355</v>
      </c>
      <c r="AM605" s="2">
        <v>-24122</v>
      </c>
    </row>
    <row r="606" spans="1:39">
      <c r="A606" s="349">
        <v>96431</v>
      </c>
      <c r="B606" s="342" t="s">
        <v>1297</v>
      </c>
      <c r="C606" s="234" t="e">
        <f>VLOOKUP(A606,#REF!,10,FALSE)</f>
        <v>#REF!</v>
      </c>
      <c r="E606" s="2">
        <v>17555</v>
      </c>
      <c r="F606" s="2">
        <v>4337</v>
      </c>
      <c r="G606" s="2">
        <v>10065</v>
      </c>
      <c r="H606" s="2">
        <v>4518</v>
      </c>
      <c r="I606" s="2">
        <v>0</v>
      </c>
      <c r="J606" s="2"/>
      <c r="K606" s="2">
        <v>5034</v>
      </c>
      <c r="L606" s="2">
        <v>4735</v>
      </c>
      <c r="M606" s="2">
        <v>4244</v>
      </c>
      <c r="N606" s="2">
        <v>1699</v>
      </c>
      <c r="O606" s="2">
        <v>0</v>
      </c>
      <c r="P606" s="2"/>
      <c r="Q606" s="2">
        <v>5344</v>
      </c>
      <c r="R606" s="2">
        <v>-4597</v>
      </c>
      <c r="S606" s="2">
        <v>648</v>
      </c>
      <c r="T606" s="2">
        <v>843</v>
      </c>
      <c r="U606" s="2">
        <v>0</v>
      </c>
      <c r="V606" s="2"/>
      <c r="W606" s="2">
        <v>6020</v>
      </c>
      <c r="X606" s="2">
        <v>4932</v>
      </c>
      <c r="Y606" s="2">
        <v>4004</v>
      </c>
      <c r="Z606" s="2">
        <v>0</v>
      </c>
      <c r="AA606" s="2">
        <v>0</v>
      </c>
      <c r="AB606" s="2"/>
      <c r="AC606" s="2">
        <v>3864</v>
      </c>
      <c r="AD606" s="2">
        <v>1976</v>
      </c>
      <c r="AE606" s="2">
        <v>1976</v>
      </c>
      <c r="AF606" s="2">
        <v>1976</v>
      </c>
      <c r="AG606" s="2">
        <v>0</v>
      </c>
      <c r="AH606" s="2"/>
      <c r="AI606" s="2">
        <v>-2707</v>
      </c>
      <c r="AJ606" s="2">
        <v>-2709</v>
      </c>
      <c r="AK606" s="2">
        <v>-807</v>
      </c>
      <c r="AL606" s="2">
        <v>0</v>
      </c>
      <c r="AM606" s="2">
        <v>-2709</v>
      </c>
    </row>
    <row r="607" spans="1:39">
      <c r="A607" s="349">
        <v>96441</v>
      </c>
      <c r="B607" s="342" t="s">
        <v>1298</v>
      </c>
      <c r="C607" s="234" t="e">
        <f>VLOOKUP(A607,#REF!,10,FALSE)</f>
        <v>#REF!</v>
      </c>
      <c r="E607" s="2">
        <v>8790</v>
      </c>
      <c r="F607" s="2">
        <v>2580</v>
      </c>
      <c r="G607" s="2">
        <v>3924</v>
      </c>
      <c r="H607" s="2">
        <v>401</v>
      </c>
      <c r="I607" s="2">
        <v>0</v>
      </c>
      <c r="J607" s="2"/>
      <c r="K607" s="2">
        <v>2771</v>
      </c>
      <c r="L607" s="2">
        <v>2607</v>
      </c>
      <c r="M607" s="2">
        <v>2337</v>
      </c>
      <c r="N607" s="2">
        <v>936</v>
      </c>
      <c r="O607" s="2">
        <v>0</v>
      </c>
      <c r="P607" s="2"/>
      <c r="Q607" s="2">
        <v>2942</v>
      </c>
      <c r="R607" s="2">
        <v>-2531</v>
      </c>
      <c r="S607" s="2">
        <v>357</v>
      </c>
      <c r="T607" s="2">
        <v>464</v>
      </c>
      <c r="U607" s="2">
        <v>0</v>
      </c>
      <c r="V607" s="2"/>
      <c r="W607" s="2">
        <v>3314</v>
      </c>
      <c r="X607" s="2">
        <v>2715</v>
      </c>
      <c r="Y607" s="2">
        <v>2204</v>
      </c>
      <c r="Z607" s="2">
        <v>0</v>
      </c>
      <c r="AA607" s="2">
        <v>0</v>
      </c>
      <c r="AB607" s="2"/>
      <c r="AC607" s="2">
        <v>789</v>
      </c>
      <c r="AD607" s="2">
        <v>789</v>
      </c>
      <c r="AE607" s="2">
        <v>26</v>
      </c>
      <c r="AF607" s="2">
        <v>0</v>
      </c>
      <c r="AG607" s="2">
        <v>0</v>
      </c>
      <c r="AH607" s="2"/>
      <c r="AI607" s="2">
        <v>-1026</v>
      </c>
      <c r="AJ607" s="2">
        <v>-1000</v>
      </c>
      <c r="AK607" s="2">
        <v>-1000</v>
      </c>
      <c r="AL607" s="2">
        <v>-999</v>
      </c>
      <c r="AM607" s="2">
        <v>-1000</v>
      </c>
    </row>
    <row r="608" spans="1:39">
      <c r="A608" s="349">
        <v>96451</v>
      </c>
      <c r="B608" s="342" t="s">
        <v>1299</v>
      </c>
      <c r="C608" s="234" t="e">
        <f>VLOOKUP(A608,#REF!,10,FALSE)</f>
        <v>#REF!</v>
      </c>
      <c r="E608" s="2">
        <v>3381</v>
      </c>
      <c r="F608" s="2">
        <v>80</v>
      </c>
      <c r="G608" s="2">
        <v>-16</v>
      </c>
      <c r="H608" s="2">
        <v>-1009</v>
      </c>
      <c r="I608" s="2">
        <v>0</v>
      </c>
      <c r="J608" s="2"/>
      <c r="K608" s="2">
        <v>1109</v>
      </c>
      <c r="L608" s="2">
        <v>1043</v>
      </c>
      <c r="M608" s="2">
        <v>935</v>
      </c>
      <c r="N608" s="2">
        <v>374</v>
      </c>
      <c r="O608" s="2">
        <v>0</v>
      </c>
      <c r="P608" s="2"/>
      <c r="Q608" s="2">
        <v>1177</v>
      </c>
      <c r="R608" s="2">
        <v>-1012</v>
      </c>
      <c r="S608" s="2">
        <v>143</v>
      </c>
      <c r="T608" s="2">
        <v>186</v>
      </c>
      <c r="U608" s="2">
        <v>0</v>
      </c>
      <c r="V608" s="2"/>
      <c r="W608" s="2">
        <v>1326</v>
      </c>
      <c r="X608" s="2">
        <v>1086</v>
      </c>
      <c r="Y608" s="2">
        <v>882</v>
      </c>
      <c r="Z608" s="2">
        <v>0</v>
      </c>
      <c r="AA608" s="2">
        <v>0</v>
      </c>
      <c r="AB608" s="2"/>
      <c r="AC608" s="2">
        <v>1745</v>
      </c>
      <c r="AD608" s="2">
        <v>939</v>
      </c>
      <c r="AE608" s="2">
        <v>0</v>
      </c>
      <c r="AF608" s="2">
        <v>0</v>
      </c>
      <c r="AG608" s="2">
        <v>0</v>
      </c>
      <c r="AH608" s="2"/>
      <c r="AI608" s="2">
        <v>-1976</v>
      </c>
      <c r="AJ608" s="2">
        <v>-1976</v>
      </c>
      <c r="AK608" s="2">
        <v>-1976</v>
      </c>
      <c r="AL608" s="2">
        <v>-1569</v>
      </c>
      <c r="AM608" s="2">
        <v>-1976</v>
      </c>
    </row>
    <row r="609" spans="1:39">
      <c r="A609" s="349">
        <v>96461</v>
      </c>
      <c r="B609" s="342" t="s">
        <v>1300</v>
      </c>
      <c r="C609" s="234" t="e">
        <f>VLOOKUP(A609,#REF!,10,FALSE)</f>
        <v>#REF!</v>
      </c>
      <c r="E609" s="2">
        <v>61941</v>
      </c>
      <c r="F609" s="2">
        <v>18390</v>
      </c>
      <c r="G609" s="2">
        <v>33260</v>
      </c>
      <c r="H609" s="2">
        <v>5007</v>
      </c>
      <c r="I609" s="2">
        <v>0</v>
      </c>
      <c r="J609" s="2"/>
      <c r="K609" s="2">
        <v>20389</v>
      </c>
      <c r="L609" s="2">
        <v>19179</v>
      </c>
      <c r="M609" s="2">
        <v>17190</v>
      </c>
      <c r="N609" s="2">
        <v>6883</v>
      </c>
      <c r="O609" s="2">
        <v>0</v>
      </c>
      <c r="P609" s="2"/>
      <c r="Q609" s="2">
        <v>21645</v>
      </c>
      <c r="R609" s="2">
        <v>-18619</v>
      </c>
      <c r="S609" s="2">
        <v>2624</v>
      </c>
      <c r="T609" s="2">
        <v>3415</v>
      </c>
      <c r="U609" s="2">
        <v>0</v>
      </c>
      <c r="V609" s="2"/>
      <c r="W609" s="2">
        <v>24384</v>
      </c>
      <c r="X609" s="2">
        <v>19976</v>
      </c>
      <c r="Y609" s="2">
        <v>16217</v>
      </c>
      <c r="Z609" s="2">
        <v>0</v>
      </c>
      <c r="AA609" s="2">
        <v>0</v>
      </c>
      <c r="AB609" s="2"/>
      <c r="AC609" s="2">
        <v>3142</v>
      </c>
      <c r="AD609" s="2">
        <v>3144</v>
      </c>
      <c r="AE609" s="2">
        <v>2519</v>
      </c>
      <c r="AF609" s="2">
        <v>0</v>
      </c>
      <c r="AG609" s="2">
        <v>0</v>
      </c>
      <c r="AH609" s="2"/>
      <c r="AI609" s="2">
        <v>-7619</v>
      </c>
      <c r="AJ609" s="2">
        <v>-5290</v>
      </c>
      <c r="AK609" s="2">
        <v>-5290</v>
      </c>
      <c r="AL609" s="2">
        <v>-5291</v>
      </c>
      <c r="AM609" s="2">
        <v>-5290</v>
      </c>
    </row>
    <row r="610" spans="1:39">
      <c r="A610" s="349">
        <v>96501</v>
      </c>
      <c r="B610" s="342" t="s">
        <v>1301</v>
      </c>
      <c r="C610" s="234" t="e">
        <f>VLOOKUP(A610,#REF!,10,FALSE)</f>
        <v>#REF!</v>
      </c>
      <c r="E610" s="2">
        <v>7061393</v>
      </c>
      <c r="F610" s="2">
        <v>2211458</v>
      </c>
      <c r="G610" s="2">
        <v>3875045</v>
      </c>
      <c r="H610" s="2">
        <v>1128076</v>
      </c>
      <c r="I610" s="2">
        <v>0</v>
      </c>
      <c r="J610" s="2"/>
      <c r="K610" s="2">
        <v>2194328</v>
      </c>
      <c r="L610" s="2">
        <v>2064154</v>
      </c>
      <c r="M610" s="2">
        <v>1850078</v>
      </c>
      <c r="N610" s="2">
        <v>740749</v>
      </c>
      <c r="O610" s="2">
        <v>0</v>
      </c>
      <c r="P610" s="2"/>
      <c r="Q610" s="2">
        <v>2329585</v>
      </c>
      <c r="R610" s="2">
        <v>-2003879</v>
      </c>
      <c r="S610" s="2">
        <v>282422</v>
      </c>
      <c r="T610" s="2">
        <v>367569</v>
      </c>
      <c r="U610" s="2">
        <v>0</v>
      </c>
      <c r="V610" s="2"/>
      <c r="W610" s="2">
        <v>2624311</v>
      </c>
      <c r="X610" s="2">
        <v>2149931</v>
      </c>
      <c r="Y610" s="2">
        <v>1745376</v>
      </c>
      <c r="Z610" s="2">
        <v>0</v>
      </c>
      <c r="AA610" s="2">
        <v>0</v>
      </c>
      <c r="AB610" s="2"/>
      <c r="AC610" s="2">
        <v>23841</v>
      </c>
      <c r="AD610" s="2">
        <v>23840</v>
      </c>
      <c r="AE610" s="2">
        <v>19758</v>
      </c>
      <c r="AF610" s="2">
        <v>19758</v>
      </c>
      <c r="AG610" s="2">
        <v>0</v>
      </c>
      <c r="AH610" s="2"/>
      <c r="AI610" s="2">
        <v>-110672</v>
      </c>
      <c r="AJ610" s="2">
        <v>-22588</v>
      </c>
      <c r="AK610" s="2">
        <v>-22589</v>
      </c>
      <c r="AL610" s="2">
        <v>0</v>
      </c>
      <c r="AM610" s="2">
        <v>-22588</v>
      </c>
    </row>
    <row r="611" spans="1:39">
      <c r="A611" s="349">
        <v>96502</v>
      </c>
      <c r="B611" s="342" t="s">
        <v>2759</v>
      </c>
      <c r="C611" s="234" t="e">
        <f>VLOOKUP(A611,#REF!,10,FALSE)</f>
        <v>#REF!</v>
      </c>
      <c r="E611" s="2">
        <v>207983</v>
      </c>
      <c r="F611" s="2">
        <v>65922</v>
      </c>
      <c r="G611" s="2">
        <v>111525</v>
      </c>
      <c r="H611" s="2">
        <v>34281</v>
      </c>
      <c r="I611" s="2">
        <v>0</v>
      </c>
      <c r="J611" s="2"/>
      <c r="K611" s="2">
        <v>61151</v>
      </c>
      <c r="L611" s="2">
        <v>57524</v>
      </c>
      <c r="M611" s="2">
        <v>51558</v>
      </c>
      <c r="N611" s="2">
        <v>20643</v>
      </c>
      <c r="O611" s="2">
        <v>0</v>
      </c>
      <c r="P611" s="2"/>
      <c r="Q611" s="2">
        <v>64921</v>
      </c>
      <c r="R611" s="2">
        <v>-55844</v>
      </c>
      <c r="S611" s="2">
        <v>7871</v>
      </c>
      <c r="T611" s="2">
        <v>10243</v>
      </c>
      <c r="U611" s="2">
        <v>0</v>
      </c>
      <c r="V611" s="2"/>
      <c r="W611" s="2">
        <v>73134</v>
      </c>
      <c r="X611" s="2">
        <v>59914</v>
      </c>
      <c r="Y611" s="2">
        <v>48640</v>
      </c>
      <c r="Z611" s="2">
        <v>0</v>
      </c>
      <c r="AA611" s="2">
        <v>0</v>
      </c>
      <c r="AB611" s="2"/>
      <c r="AC611" s="2">
        <v>8777</v>
      </c>
      <c r="AD611" s="2">
        <v>4328</v>
      </c>
      <c r="AE611" s="2">
        <v>3456</v>
      </c>
      <c r="AF611" s="2">
        <v>3395</v>
      </c>
      <c r="AG611" s="2">
        <v>0</v>
      </c>
      <c r="AH611" s="2"/>
      <c r="AI611" s="2">
        <v>0</v>
      </c>
      <c r="AJ611" s="2">
        <v>0</v>
      </c>
      <c r="AK611" s="2">
        <v>0</v>
      </c>
      <c r="AL611" s="2">
        <v>0</v>
      </c>
      <c r="AM611" s="2">
        <v>0</v>
      </c>
    </row>
    <row r="612" spans="1:39">
      <c r="A612" s="349">
        <v>96503</v>
      </c>
      <c r="B612" s="342" t="s">
        <v>1303</v>
      </c>
      <c r="C612" s="234" t="e">
        <f>VLOOKUP(A612,#REF!,10,FALSE)</f>
        <v>#REF!</v>
      </c>
      <c r="E612" s="2">
        <v>286524</v>
      </c>
      <c r="F612" s="2">
        <v>155261</v>
      </c>
      <c r="G612" s="2">
        <v>166570</v>
      </c>
      <c r="H612" s="2">
        <v>72698</v>
      </c>
      <c r="I612" s="2">
        <v>0</v>
      </c>
      <c r="J612" s="2"/>
      <c r="K612" s="2">
        <v>47848</v>
      </c>
      <c r="L612" s="2">
        <v>45010</v>
      </c>
      <c r="M612" s="2">
        <v>40342</v>
      </c>
      <c r="N612" s="2">
        <v>16152</v>
      </c>
      <c r="O612" s="2">
        <v>0</v>
      </c>
      <c r="P612" s="2"/>
      <c r="Q612" s="2">
        <v>50798</v>
      </c>
      <c r="R612" s="2">
        <v>-43696</v>
      </c>
      <c r="S612" s="2">
        <v>6158</v>
      </c>
      <c r="T612" s="2">
        <v>8015</v>
      </c>
      <c r="U612" s="2">
        <v>0</v>
      </c>
      <c r="V612" s="2"/>
      <c r="W612" s="2">
        <v>57224</v>
      </c>
      <c r="X612" s="2">
        <v>46880</v>
      </c>
      <c r="Y612" s="2">
        <v>38059</v>
      </c>
      <c r="Z612" s="2">
        <v>0</v>
      </c>
      <c r="AA612" s="2">
        <v>0</v>
      </c>
      <c r="AB612" s="2"/>
      <c r="AC612" s="2">
        <v>130654</v>
      </c>
      <c r="AD612" s="2">
        <v>107067</v>
      </c>
      <c r="AE612" s="2">
        <v>82011</v>
      </c>
      <c r="AF612" s="2">
        <v>48531</v>
      </c>
      <c r="AG612" s="2">
        <v>0</v>
      </c>
      <c r="AH612" s="2"/>
      <c r="AI612" s="2">
        <v>0</v>
      </c>
      <c r="AJ612" s="2">
        <v>0</v>
      </c>
      <c r="AK612" s="2">
        <v>0</v>
      </c>
      <c r="AL612" s="2">
        <v>0</v>
      </c>
      <c r="AM612" s="2">
        <v>0</v>
      </c>
    </row>
    <row r="613" spans="1:39">
      <c r="A613" s="349">
        <v>96504</v>
      </c>
      <c r="B613" s="342" t="s">
        <v>1304</v>
      </c>
      <c r="C613" s="234" t="e">
        <f>VLOOKUP(A613,#REF!,10,FALSE)</f>
        <v>#REF!</v>
      </c>
      <c r="E613" s="2">
        <v>225914</v>
      </c>
      <c r="F613" s="2">
        <v>80029</v>
      </c>
      <c r="G613" s="2">
        <v>120499</v>
      </c>
      <c r="H613" s="2">
        <v>38145</v>
      </c>
      <c r="I613" s="2">
        <v>0</v>
      </c>
      <c r="J613" s="2"/>
      <c r="K613" s="2">
        <v>65391</v>
      </c>
      <c r="L613" s="2">
        <v>61512</v>
      </c>
      <c r="M613" s="2">
        <v>55132</v>
      </c>
      <c r="N613" s="2">
        <v>22074</v>
      </c>
      <c r="O613" s="2">
        <v>0</v>
      </c>
      <c r="P613" s="2"/>
      <c r="Q613" s="2">
        <v>69421</v>
      </c>
      <c r="R613" s="2">
        <v>-59715</v>
      </c>
      <c r="S613" s="2">
        <v>8416</v>
      </c>
      <c r="T613" s="2">
        <v>10954</v>
      </c>
      <c r="U613" s="2">
        <v>0</v>
      </c>
      <c r="V613" s="2"/>
      <c r="W613" s="2">
        <v>78204</v>
      </c>
      <c r="X613" s="2">
        <v>64068</v>
      </c>
      <c r="Y613" s="2">
        <v>52012</v>
      </c>
      <c r="Z613" s="2">
        <v>0</v>
      </c>
      <c r="AA613" s="2">
        <v>0</v>
      </c>
      <c r="AB613" s="2"/>
      <c r="AC613" s="2">
        <v>14338</v>
      </c>
      <c r="AD613" s="2">
        <v>14340</v>
      </c>
      <c r="AE613" s="2">
        <v>5115</v>
      </c>
      <c r="AF613" s="2">
        <v>5117</v>
      </c>
      <c r="AG613" s="2">
        <v>0</v>
      </c>
      <c r="AH613" s="2"/>
      <c r="AI613" s="2">
        <v>-1440</v>
      </c>
      <c r="AJ613" s="2">
        <v>-176</v>
      </c>
      <c r="AK613" s="2">
        <v>-176</v>
      </c>
      <c r="AL613" s="2">
        <v>0</v>
      </c>
      <c r="AM613" s="2">
        <v>-176</v>
      </c>
    </row>
    <row r="614" spans="1:39">
      <c r="A614" s="349">
        <v>96507</v>
      </c>
      <c r="B614" s="342" t="s">
        <v>1305</v>
      </c>
      <c r="C614" s="234" t="e">
        <f>VLOOKUP(A614,#REF!,10,FALSE)</f>
        <v>#REF!</v>
      </c>
      <c r="E614" s="2">
        <v>1184343</v>
      </c>
      <c r="F614" s="2">
        <v>383553</v>
      </c>
      <c r="G614" s="2">
        <v>654319</v>
      </c>
      <c r="H614" s="2">
        <v>205602</v>
      </c>
      <c r="I614" s="2">
        <v>0</v>
      </c>
      <c r="J614" s="2"/>
      <c r="K614" s="2">
        <v>348781</v>
      </c>
      <c r="L614" s="2">
        <v>328090</v>
      </c>
      <c r="M614" s="2">
        <v>294063</v>
      </c>
      <c r="N614" s="2">
        <v>117739</v>
      </c>
      <c r="O614" s="2">
        <v>0</v>
      </c>
      <c r="P614" s="2"/>
      <c r="Q614" s="2">
        <v>370279</v>
      </c>
      <c r="R614" s="2">
        <v>-318509</v>
      </c>
      <c r="S614" s="2">
        <v>44890</v>
      </c>
      <c r="T614" s="2">
        <v>58424</v>
      </c>
      <c r="U614" s="2">
        <v>0</v>
      </c>
      <c r="V614" s="2"/>
      <c r="W614" s="2">
        <v>417125</v>
      </c>
      <c r="X614" s="2">
        <v>341724</v>
      </c>
      <c r="Y614" s="2">
        <v>277421</v>
      </c>
      <c r="Z614" s="2">
        <v>0</v>
      </c>
      <c r="AA614" s="2">
        <v>0</v>
      </c>
      <c r="AB614" s="2"/>
      <c r="AC614" s="2">
        <v>53857</v>
      </c>
      <c r="AD614" s="2">
        <v>37945</v>
      </c>
      <c r="AE614" s="2">
        <v>37945</v>
      </c>
      <c r="AF614" s="2">
        <v>29439</v>
      </c>
      <c r="AG614" s="2">
        <v>0</v>
      </c>
      <c r="AH614" s="2"/>
      <c r="AI614" s="2">
        <v>-5699</v>
      </c>
      <c r="AJ614" s="2">
        <v>-5697</v>
      </c>
      <c r="AK614" s="2">
        <v>0</v>
      </c>
      <c r="AL614" s="2">
        <v>0</v>
      </c>
      <c r="AM614" s="2">
        <v>-5697</v>
      </c>
    </row>
    <row r="615" spans="1:39">
      <c r="A615" s="349">
        <v>96508</v>
      </c>
      <c r="B615" s="342" t="s">
        <v>3684</v>
      </c>
      <c r="C615" s="234" t="e">
        <f>VLOOKUP(A615,#REF!,10,FALSE)</f>
        <v>#REF!</v>
      </c>
      <c r="E615" s="2">
        <v>8040</v>
      </c>
      <c r="F615" s="2">
        <v>5067</v>
      </c>
      <c r="G615" s="2">
        <v>4511</v>
      </c>
      <c r="H615" s="2">
        <v>1991</v>
      </c>
      <c r="I615" s="2">
        <v>0</v>
      </c>
      <c r="J615" s="2"/>
      <c r="K615" s="2">
        <v>884</v>
      </c>
      <c r="L615" s="2">
        <v>831</v>
      </c>
      <c r="M615" s="2">
        <v>745</v>
      </c>
      <c r="N615" s="2">
        <v>298</v>
      </c>
      <c r="O615" s="2">
        <v>0</v>
      </c>
      <c r="P615" s="2"/>
      <c r="Q615" s="2">
        <v>938</v>
      </c>
      <c r="R615" s="2">
        <v>-807</v>
      </c>
      <c r="S615" s="2">
        <v>114</v>
      </c>
      <c r="T615" s="2">
        <v>148</v>
      </c>
      <c r="U615" s="2">
        <v>0</v>
      </c>
      <c r="V615" s="2"/>
      <c r="W615" s="2">
        <v>1057</v>
      </c>
      <c r="X615" s="2">
        <v>866</v>
      </c>
      <c r="Y615" s="2">
        <v>703</v>
      </c>
      <c r="Z615" s="2">
        <v>0</v>
      </c>
      <c r="AA615" s="2">
        <v>0</v>
      </c>
      <c r="AB615" s="2"/>
      <c r="AC615" s="2">
        <v>5161</v>
      </c>
      <c r="AD615" s="2">
        <v>4177</v>
      </c>
      <c r="AE615" s="2">
        <v>2949</v>
      </c>
      <c r="AF615" s="2">
        <v>1545</v>
      </c>
      <c r="AG615" s="2">
        <v>0</v>
      </c>
      <c r="AH615" s="2"/>
      <c r="AI615" s="2">
        <v>0</v>
      </c>
      <c r="AJ615" s="2">
        <v>0</v>
      </c>
      <c r="AK615" s="2">
        <v>0</v>
      </c>
      <c r="AL615" s="2">
        <v>0</v>
      </c>
      <c r="AM615" s="2">
        <v>0</v>
      </c>
    </row>
    <row r="616" spans="1:39">
      <c r="A616" s="349">
        <v>96511</v>
      </c>
      <c r="B616" s="342" t="s">
        <v>1307</v>
      </c>
      <c r="C616" s="234" t="e">
        <f>VLOOKUP(A616,#REF!,10,FALSE)</f>
        <v>#REF!</v>
      </c>
      <c r="E616" s="2">
        <v>269176</v>
      </c>
      <c r="F616" s="2">
        <v>82665</v>
      </c>
      <c r="G616" s="2">
        <v>153581</v>
      </c>
      <c r="H616" s="2">
        <v>41438</v>
      </c>
      <c r="I616" s="2">
        <v>0</v>
      </c>
      <c r="J616" s="2"/>
      <c r="K616" s="2">
        <v>90663</v>
      </c>
      <c r="L616" s="2">
        <v>85285</v>
      </c>
      <c r="M616" s="2">
        <v>76440</v>
      </c>
      <c r="N616" s="2">
        <v>30606</v>
      </c>
      <c r="O616" s="2">
        <v>0</v>
      </c>
      <c r="P616" s="2"/>
      <c r="Q616" s="2">
        <v>96252</v>
      </c>
      <c r="R616" s="2">
        <v>-82794</v>
      </c>
      <c r="S616" s="2">
        <v>11669</v>
      </c>
      <c r="T616" s="2">
        <v>15187</v>
      </c>
      <c r="U616" s="2">
        <v>0</v>
      </c>
      <c r="V616" s="2"/>
      <c r="W616" s="2">
        <v>108429</v>
      </c>
      <c r="X616" s="2">
        <v>88829</v>
      </c>
      <c r="Y616" s="2">
        <v>72114</v>
      </c>
      <c r="Z616" s="2">
        <v>0</v>
      </c>
      <c r="AA616" s="2">
        <v>0</v>
      </c>
      <c r="AB616" s="2"/>
      <c r="AC616" s="2">
        <v>0</v>
      </c>
      <c r="AD616" s="2">
        <v>0</v>
      </c>
      <c r="AE616" s="2">
        <v>0</v>
      </c>
      <c r="AF616" s="2">
        <v>0</v>
      </c>
      <c r="AG616" s="2">
        <v>0</v>
      </c>
      <c r="AH616" s="2"/>
      <c r="AI616" s="2">
        <v>-26168</v>
      </c>
      <c r="AJ616" s="2">
        <v>-8655</v>
      </c>
      <c r="AK616" s="2">
        <v>-6642</v>
      </c>
      <c r="AL616" s="2">
        <v>-4355</v>
      </c>
      <c r="AM616" s="2">
        <v>-8655</v>
      </c>
    </row>
    <row r="617" spans="1:39">
      <c r="A617" s="349">
        <v>96512</v>
      </c>
      <c r="B617" s="342" t="s">
        <v>1308</v>
      </c>
      <c r="C617" s="234" t="e">
        <f>VLOOKUP(A617,#REF!,10,FALSE)</f>
        <v>#REF!</v>
      </c>
      <c r="E617" s="2">
        <v>74219</v>
      </c>
      <c r="F617" s="2">
        <v>22020</v>
      </c>
      <c r="G617" s="2">
        <v>41908</v>
      </c>
      <c r="H617" s="2">
        <v>11236</v>
      </c>
      <c r="I617" s="2">
        <v>0</v>
      </c>
      <c r="J617" s="2"/>
      <c r="K617" s="2">
        <v>22891</v>
      </c>
      <c r="L617" s="2">
        <v>21533</v>
      </c>
      <c r="M617" s="2">
        <v>19299</v>
      </c>
      <c r="N617" s="2">
        <v>7727</v>
      </c>
      <c r="O617" s="2">
        <v>0</v>
      </c>
      <c r="P617" s="2"/>
      <c r="Q617" s="2">
        <v>24301</v>
      </c>
      <c r="R617" s="2">
        <v>-20904</v>
      </c>
      <c r="S617" s="2">
        <v>2946</v>
      </c>
      <c r="T617" s="2">
        <v>3834</v>
      </c>
      <c r="U617" s="2">
        <v>0</v>
      </c>
      <c r="V617" s="2"/>
      <c r="W617" s="2">
        <v>27376</v>
      </c>
      <c r="X617" s="2">
        <v>22427</v>
      </c>
      <c r="Y617" s="2">
        <v>18207</v>
      </c>
      <c r="Z617" s="2">
        <v>0</v>
      </c>
      <c r="AA617" s="2">
        <v>0</v>
      </c>
      <c r="AB617" s="2"/>
      <c r="AC617" s="2">
        <v>2465</v>
      </c>
      <c r="AD617" s="2">
        <v>1777</v>
      </c>
      <c r="AE617" s="2">
        <v>1779</v>
      </c>
      <c r="AF617" s="2">
        <v>0</v>
      </c>
      <c r="AG617" s="2">
        <v>0</v>
      </c>
      <c r="AH617" s="2"/>
      <c r="AI617" s="2">
        <v>-2814</v>
      </c>
      <c r="AJ617" s="2">
        <v>-2813</v>
      </c>
      <c r="AK617" s="2">
        <v>-323</v>
      </c>
      <c r="AL617" s="2">
        <v>-325</v>
      </c>
      <c r="AM617" s="2">
        <v>-2813</v>
      </c>
    </row>
    <row r="618" spans="1:39">
      <c r="A618" s="349">
        <v>96521</v>
      </c>
      <c r="B618" s="342" t="s">
        <v>1309</v>
      </c>
      <c r="C618" s="234" t="e">
        <f>VLOOKUP(A618,#REF!,10,FALSE)</f>
        <v>#REF!</v>
      </c>
      <c r="E618" s="2">
        <v>423212</v>
      </c>
      <c r="F618" s="2">
        <v>113250</v>
      </c>
      <c r="G618" s="2">
        <v>221106</v>
      </c>
      <c r="H618" s="2">
        <v>57176</v>
      </c>
      <c r="I618" s="2">
        <v>0</v>
      </c>
      <c r="J618" s="2"/>
      <c r="K618" s="2">
        <v>140040</v>
      </c>
      <c r="L618" s="2">
        <v>131732</v>
      </c>
      <c r="M618" s="2">
        <v>118070</v>
      </c>
      <c r="N618" s="2">
        <v>47274</v>
      </c>
      <c r="O618" s="2">
        <v>0</v>
      </c>
      <c r="P618" s="2"/>
      <c r="Q618" s="2">
        <v>148672</v>
      </c>
      <c r="R618" s="2">
        <v>-127885</v>
      </c>
      <c r="S618" s="2">
        <v>18024</v>
      </c>
      <c r="T618" s="2">
        <v>23458</v>
      </c>
      <c r="U618" s="2">
        <v>0</v>
      </c>
      <c r="V618" s="2"/>
      <c r="W618" s="2">
        <v>167481</v>
      </c>
      <c r="X618" s="2">
        <v>137206</v>
      </c>
      <c r="Y618" s="2">
        <v>111388</v>
      </c>
      <c r="Z618" s="2">
        <v>0</v>
      </c>
      <c r="AA618" s="2">
        <v>0</v>
      </c>
      <c r="AB618" s="2"/>
      <c r="AC618" s="2">
        <v>0</v>
      </c>
      <c r="AD618" s="2">
        <v>0</v>
      </c>
      <c r="AE618" s="2">
        <v>0</v>
      </c>
      <c r="AF618" s="2">
        <v>0</v>
      </c>
      <c r="AG618" s="2">
        <v>0</v>
      </c>
      <c r="AH618" s="2"/>
      <c r="AI618" s="2">
        <v>-32981</v>
      </c>
      <c r="AJ618" s="2">
        <v>-27803</v>
      </c>
      <c r="AK618" s="2">
        <v>-26376</v>
      </c>
      <c r="AL618" s="2">
        <v>-13556</v>
      </c>
      <c r="AM618" s="2">
        <v>-27803</v>
      </c>
    </row>
    <row r="619" spans="1:39">
      <c r="A619" s="349">
        <v>96531</v>
      </c>
      <c r="B619" s="342" t="s">
        <v>1310</v>
      </c>
      <c r="C619" s="234" t="e">
        <f>VLOOKUP(A619,#REF!,10,FALSE)</f>
        <v>#REF!</v>
      </c>
      <c r="E619" s="2">
        <v>4017961</v>
      </c>
      <c r="F619" s="2">
        <v>1191781</v>
      </c>
      <c r="G619" s="2">
        <v>2208430</v>
      </c>
      <c r="H619" s="2">
        <v>602623</v>
      </c>
      <c r="I619" s="2">
        <v>0</v>
      </c>
      <c r="J619" s="2"/>
      <c r="K619" s="2">
        <v>1289928</v>
      </c>
      <c r="L619" s="2">
        <v>1213406</v>
      </c>
      <c r="M619" s="2">
        <v>1087562</v>
      </c>
      <c r="N619" s="2">
        <v>435447</v>
      </c>
      <c r="O619" s="2">
        <v>0</v>
      </c>
      <c r="P619" s="2"/>
      <c r="Q619" s="2">
        <v>1369438</v>
      </c>
      <c r="R619" s="2">
        <v>-1177973</v>
      </c>
      <c r="S619" s="2">
        <v>166021</v>
      </c>
      <c r="T619" s="2">
        <v>216074</v>
      </c>
      <c r="U619" s="2">
        <v>0</v>
      </c>
      <c r="V619" s="2"/>
      <c r="W619" s="2">
        <v>1542692</v>
      </c>
      <c r="X619" s="2">
        <v>1263829</v>
      </c>
      <c r="Y619" s="2">
        <v>1026013</v>
      </c>
      <c r="Z619" s="2">
        <v>0</v>
      </c>
      <c r="AA619" s="2">
        <v>0</v>
      </c>
      <c r="AB619" s="2"/>
      <c r="AC619" s="2">
        <v>0</v>
      </c>
      <c r="AD619" s="2">
        <v>0</v>
      </c>
      <c r="AE619" s="2">
        <v>0</v>
      </c>
      <c r="AF619" s="2">
        <v>0</v>
      </c>
      <c r="AG619" s="2">
        <v>0</v>
      </c>
      <c r="AH619" s="2"/>
      <c r="AI619" s="2">
        <v>-184097</v>
      </c>
      <c r="AJ619" s="2">
        <v>-107481</v>
      </c>
      <c r="AK619" s="2">
        <v>-71166</v>
      </c>
      <c r="AL619" s="2">
        <v>-48898</v>
      </c>
      <c r="AM619" s="2">
        <v>-107481</v>
      </c>
    </row>
    <row r="620" spans="1:39">
      <c r="A620" s="349">
        <v>96541</v>
      </c>
      <c r="B620" s="342" t="s">
        <v>1311</v>
      </c>
      <c r="C620" s="234" t="e">
        <f>VLOOKUP(A620,#REF!,10,FALSE)</f>
        <v>#REF!</v>
      </c>
      <c r="E620" s="2">
        <v>193424</v>
      </c>
      <c r="F620" s="2">
        <v>62426</v>
      </c>
      <c r="G620" s="2">
        <v>103487</v>
      </c>
      <c r="H620" s="2">
        <v>31581</v>
      </c>
      <c r="I620" s="2">
        <v>0</v>
      </c>
      <c r="J620" s="2"/>
      <c r="K620" s="2">
        <v>57990</v>
      </c>
      <c r="L620" s="2">
        <v>54550</v>
      </c>
      <c r="M620" s="2">
        <v>48893</v>
      </c>
      <c r="N620" s="2">
        <v>19576</v>
      </c>
      <c r="O620" s="2">
        <v>0</v>
      </c>
      <c r="P620" s="2"/>
      <c r="Q620" s="2">
        <v>61565</v>
      </c>
      <c r="R620" s="2">
        <v>-52957</v>
      </c>
      <c r="S620" s="2">
        <v>7464</v>
      </c>
      <c r="T620" s="2">
        <v>9714</v>
      </c>
      <c r="U620" s="2">
        <v>0</v>
      </c>
      <c r="V620" s="2"/>
      <c r="W620" s="2">
        <v>69354</v>
      </c>
      <c r="X620" s="2">
        <v>56817</v>
      </c>
      <c r="Y620" s="2">
        <v>46126</v>
      </c>
      <c r="Z620" s="2">
        <v>0</v>
      </c>
      <c r="AA620" s="2">
        <v>0</v>
      </c>
      <c r="AB620" s="2"/>
      <c r="AC620" s="2">
        <v>5802</v>
      </c>
      <c r="AD620" s="2">
        <v>5303</v>
      </c>
      <c r="AE620" s="2">
        <v>2293</v>
      </c>
      <c r="AF620" s="2">
        <v>2291</v>
      </c>
      <c r="AG620" s="2">
        <v>0</v>
      </c>
      <c r="AH620" s="2"/>
      <c r="AI620" s="2">
        <v>-1287</v>
      </c>
      <c r="AJ620" s="2">
        <v>-1287</v>
      </c>
      <c r="AK620" s="2">
        <v>-1289</v>
      </c>
      <c r="AL620" s="2">
        <v>0</v>
      </c>
      <c r="AM620" s="2">
        <v>-1287</v>
      </c>
    </row>
    <row r="621" spans="1:39">
      <c r="A621" s="349">
        <v>96601</v>
      </c>
      <c r="B621" s="342" t="s">
        <v>1312</v>
      </c>
      <c r="C621" s="234" t="e">
        <f>VLOOKUP(A621,#REF!,10,FALSE)</f>
        <v>#REF!</v>
      </c>
      <c r="E621" s="2">
        <v>841098</v>
      </c>
      <c r="F621" s="2">
        <v>252254</v>
      </c>
      <c r="G621" s="2">
        <v>445748</v>
      </c>
      <c r="H621" s="2">
        <v>135479</v>
      </c>
      <c r="I621" s="2">
        <v>0</v>
      </c>
      <c r="J621" s="2"/>
      <c r="K621" s="2">
        <v>260934</v>
      </c>
      <c r="L621" s="2">
        <v>245454</v>
      </c>
      <c r="M621" s="2">
        <v>219998</v>
      </c>
      <c r="N621" s="2">
        <v>88085</v>
      </c>
      <c r="O621" s="2">
        <v>0</v>
      </c>
      <c r="P621" s="2"/>
      <c r="Q621" s="2">
        <v>277018</v>
      </c>
      <c r="R621" s="2">
        <v>-238287</v>
      </c>
      <c r="S621" s="2">
        <v>33584</v>
      </c>
      <c r="T621" s="2">
        <v>43709</v>
      </c>
      <c r="U621" s="2">
        <v>0</v>
      </c>
      <c r="V621" s="2"/>
      <c r="W621" s="2">
        <v>312064</v>
      </c>
      <c r="X621" s="2">
        <v>255654</v>
      </c>
      <c r="Y621" s="2">
        <v>207548</v>
      </c>
      <c r="Z621" s="2">
        <v>0</v>
      </c>
      <c r="AA621" s="2">
        <v>0</v>
      </c>
      <c r="AB621" s="2"/>
      <c r="AC621" s="2">
        <v>10146</v>
      </c>
      <c r="AD621" s="2">
        <v>8497</v>
      </c>
      <c r="AE621" s="2">
        <v>3683</v>
      </c>
      <c r="AF621" s="2">
        <v>3685</v>
      </c>
      <c r="AG621" s="2">
        <v>0</v>
      </c>
      <c r="AH621" s="2"/>
      <c r="AI621" s="2">
        <v>-19064</v>
      </c>
      <c r="AJ621" s="2">
        <v>-19064</v>
      </c>
      <c r="AK621" s="2">
        <v>-19065</v>
      </c>
      <c r="AL621" s="2">
        <v>0</v>
      </c>
      <c r="AM621" s="2">
        <v>-19064</v>
      </c>
    </row>
    <row r="622" spans="1:39">
      <c r="A622" s="349">
        <v>96604</v>
      </c>
      <c r="B622" s="342" t="s">
        <v>1313</v>
      </c>
      <c r="C622" s="234" t="e">
        <f>VLOOKUP(A622,#REF!,10,FALSE)</f>
        <v>#REF!</v>
      </c>
      <c r="E622" s="2">
        <v>3465</v>
      </c>
      <c r="F622" s="2">
        <v>1481</v>
      </c>
      <c r="G622" s="2">
        <v>1827</v>
      </c>
      <c r="H622" s="2">
        <v>753</v>
      </c>
      <c r="I622" s="2">
        <v>0</v>
      </c>
      <c r="J622" s="2"/>
      <c r="K622" s="2">
        <v>794</v>
      </c>
      <c r="L622" s="2">
        <v>747</v>
      </c>
      <c r="M622" s="2">
        <v>669</v>
      </c>
      <c r="N622" s="2">
        <v>268</v>
      </c>
      <c r="O622" s="2">
        <v>0</v>
      </c>
      <c r="P622" s="2"/>
      <c r="Q622" s="2">
        <v>843</v>
      </c>
      <c r="R622" s="2">
        <v>-725</v>
      </c>
      <c r="S622" s="2">
        <v>102</v>
      </c>
      <c r="T622" s="2">
        <v>133</v>
      </c>
      <c r="U622" s="2">
        <v>0</v>
      </c>
      <c r="V622" s="2"/>
      <c r="W622" s="2">
        <v>950</v>
      </c>
      <c r="X622" s="2">
        <v>778</v>
      </c>
      <c r="Y622" s="2">
        <v>632</v>
      </c>
      <c r="Z622" s="2">
        <v>0</v>
      </c>
      <c r="AA622" s="2">
        <v>0</v>
      </c>
      <c r="AB622" s="2"/>
      <c r="AC622" s="2">
        <v>878</v>
      </c>
      <c r="AD622" s="2">
        <v>681</v>
      </c>
      <c r="AE622" s="2">
        <v>424</v>
      </c>
      <c r="AF622" s="2">
        <v>352</v>
      </c>
      <c r="AG622" s="2">
        <v>0</v>
      </c>
      <c r="AH622" s="2"/>
      <c r="AI622" s="2">
        <v>0</v>
      </c>
      <c r="AJ622" s="2">
        <v>0</v>
      </c>
      <c r="AK622" s="2">
        <v>0</v>
      </c>
      <c r="AL622" s="2">
        <v>0</v>
      </c>
      <c r="AM622" s="2">
        <v>0</v>
      </c>
    </row>
    <row r="623" spans="1:39">
      <c r="A623" s="349">
        <v>96611</v>
      </c>
      <c r="B623" s="342" t="s">
        <v>1314</v>
      </c>
      <c r="C623" s="234" t="e">
        <f>VLOOKUP(A623,#REF!,10,FALSE)</f>
        <v>#REF!</v>
      </c>
      <c r="E623" s="2">
        <v>4359</v>
      </c>
      <c r="F623" s="2">
        <v>-449</v>
      </c>
      <c r="G623" s="2">
        <v>2099</v>
      </c>
      <c r="H623" s="2">
        <v>2</v>
      </c>
      <c r="I623" s="2">
        <v>0</v>
      </c>
      <c r="J623" s="2"/>
      <c r="K623" s="2">
        <v>2082</v>
      </c>
      <c r="L623" s="2">
        <v>1959</v>
      </c>
      <c r="M623" s="2">
        <v>1756</v>
      </c>
      <c r="N623" s="2">
        <v>703</v>
      </c>
      <c r="O623" s="2">
        <v>0</v>
      </c>
      <c r="P623" s="2"/>
      <c r="Q623" s="2">
        <v>2211</v>
      </c>
      <c r="R623" s="2">
        <v>-1902</v>
      </c>
      <c r="S623" s="2">
        <v>268</v>
      </c>
      <c r="T623" s="2">
        <v>349</v>
      </c>
      <c r="U623" s="2">
        <v>0</v>
      </c>
      <c r="V623" s="2"/>
      <c r="W623" s="2">
        <v>2490</v>
      </c>
      <c r="X623" s="2">
        <v>2040</v>
      </c>
      <c r="Y623" s="2">
        <v>1656</v>
      </c>
      <c r="Z623" s="2">
        <v>0</v>
      </c>
      <c r="AA623" s="2">
        <v>0</v>
      </c>
      <c r="AB623" s="2"/>
      <c r="AC623" s="2">
        <v>121</v>
      </c>
      <c r="AD623" s="2">
        <v>0</v>
      </c>
      <c r="AE623" s="2">
        <v>0</v>
      </c>
      <c r="AF623" s="2">
        <v>0</v>
      </c>
      <c r="AG623" s="2">
        <v>0</v>
      </c>
      <c r="AH623" s="2"/>
      <c r="AI623" s="2">
        <v>-2545</v>
      </c>
      <c r="AJ623" s="2">
        <v>-2546</v>
      </c>
      <c r="AK623" s="2">
        <v>-1581</v>
      </c>
      <c r="AL623" s="2">
        <v>-1050</v>
      </c>
      <c r="AM623" s="2">
        <v>-2546</v>
      </c>
    </row>
    <row r="624" spans="1:39">
      <c r="A624" s="349">
        <v>96612</v>
      </c>
      <c r="B624" s="342" t="s">
        <v>2761</v>
      </c>
      <c r="C624" s="234" t="e">
        <f>VLOOKUP(A624,#REF!,10,FALSE)</f>
        <v>#REF!</v>
      </c>
      <c r="E624" s="2">
        <v>29613</v>
      </c>
      <c r="F624" s="2">
        <v>10268</v>
      </c>
      <c r="G624" s="2">
        <v>15886</v>
      </c>
      <c r="H624" s="2">
        <v>6034</v>
      </c>
      <c r="I624" s="2">
        <v>0</v>
      </c>
      <c r="J624" s="2"/>
      <c r="K624" s="2">
        <v>8254</v>
      </c>
      <c r="L624" s="2">
        <v>7765</v>
      </c>
      <c r="M624" s="2">
        <v>6959</v>
      </c>
      <c r="N624" s="2">
        <v>2786</v>
      </c>
      <c r="O624" s="2">
        <v>0</v>
      </c>
      <c r="P624" s="2"/>
      <c r="Q624" s="2">
        <v>8763</v>
      </c>
      <c r="R624" s="2">
        <v>-7538</v>
      </c>
      <c r="S624" s="2">
        <v>1062</v>
      </c>
      <c r="T624" s="2">
        <v>1383</v>
      </c>
      <c r="U624" s="2">
        <v>0</v>
      </c>
      <c r="V624" s="2"/>
      <c r="W624" s="2">
        <v>9872</v>
      </c>
      <c r="X624" s="2">
        <v>8087</v>
      </c>
      <c r="Y624" s="2">
        <v>6566</v>
      </c>
      <c r="Z624" s="2">
        <v>0</v>
      </c>
      <c r="AA624" s="2">
        <v>0</v>
      </c>
      <c r="AB624" s="2"/>
      <c r="AC624" s="2">
        <v>3290</v>
      </c>
      <c r="AD624" s="2">
        <v>2520</v>
      </c>
      <c r="AE624" s="2">
        <v>1865</v>
      </c>
      <c r="AF624" s="2">
        <v>1865</v>
      </c>
      <c r="AG624" s="2">
        <v>0</v>
      </c>
      <c r="AH624" s="2"/>
      <c r="AI624" s="2">
        <v>-566</v>
      </c>
      <c r="AJ624" s="2">
        <v>-566</v>
      </c>
      <c r="AK624" s="2">
        <v>-566</v>
      </c>
      <c r="AL624" s="2">
        <v>0</v>
      </c>
      <c r="AM624" s="2">
        <v>-566</v>
      </c>
    </row>
    <row r="625" spans="1:39">
      <c r="A625" s="349">
        <v>96621</v>
      </c>
      <c r="B625" s="342" t="s">
        <v>1316</v>
      </c>
      <c r="C625" s="234" t="e">
        <f>VLOOKUP(A625,#REF!,10,FALSE)</f>
        <v>#REF!</v>
      </c>
      <c r="E625" s="2">
        <v>9383</v>
      </c>
      <c r="F625" s="2">
        <v>3257</v>
      </c>
      <c r="G625" s="2">
        <v>5461</v>
      </c>
      <c r="H625" s="2">
        <v>2083</v>
      </c>
      <c r="I625" s="2">
        <v>0</v>
      </c>
      <c r="J625" s="2"/>
      <c r="K625" s="2">
        <v>3131</v>
      </c>
      <c r="L625" s="2">
        <v>2945</v>
      </c>
      <c r="M625" s="2">
        <v>2640</v>
      </c>
      <c r="N625" s="2">
        <v>1057</v>
      </c>
      <c r="O625" s="2">
        <v>0</v>
      </c>
      <c r="P625" s="2"/>
      <c r="Q625" s="2">
        <v>3324</v>
      </c>
      <c r="R625" s="2">
        <v>-2859</v>
      </c>
      <c r="S625" s="2">
        <v>403</v>
      </c>
      <c r="T625" s="2">
        <v>524</v>
      </c>
      <c r="U625" s="2">
        <v>0</v>
      </c>
      <c r="V625" s="2"/>
      <c r="W625" s="2">
        <v>3744</v>
      </c>
      <c r="X625" s="2">
        <v>3068</v>
      </c>
      <c r="Y625" s="2">
        <v>2490</v>
      </c>
      <c r="Z625" s="2">
        <v>0</v>
      </c>
      <c r="AA625" s="2">
        <v>0</v>
      </c>
      <c r="AB625" s="2"/>
      <c r="AC625" s="2">
        <v>677</v>
      </c>
      <c r="AD625" s="2">
        <v>677</v>
      </c>
      <c r="AE625" s="2">
        <v>501</v>
      </c>
      <c r="AF625" s="2">
        <v>502</v>
      </c>
      <c r="AG625" s="2">
        <v>0</v>
      </c>
      <c r="AH625" s="2"/>
      <c r="AI625" s="2">
        <v>-1493</v>
      </c>
      <c r="AJ625" s="2">
        <v>-574</v>
      </c>
      <c r="AK625" s="2">
        <v>-573</v>
      </c>
      <c r="AL625" s="2">
        <v>0</v>
      </c>
      <c r="AM625" s="2">
        <v>-574</v>
      </c>
    </row>
    <row r="626" spans="1:39">
      <c r="A626" s="349">
        <v>96631</v>
      </c>
      <c r="B626" s="342" t="s">
        <v>1317</v>
      </c>
      <c r="C626" s="234" t="e">
        <f>VLOOKUP(A626,#REF!,10,FALSE)</f>
        <v>#REF!</v>
      </c>
      <c r="E626" s="2">
        <v>10345</v>
      </c>
      <c r="F626" s="2">
        <v>3031</v>
      </c>
      <c r="G626" s="2">
        <v>5566</v>
      </c>
      <c r="H626" s="2">
        <v>1516</v>
      </c>
      <c r="I626" s="2">
        <v>0</v>
      </c>
      <c r="J626" s="2"/>
      <c r="K626" s="2">
        <v>3266</v>
      </c>
      <c r="L626" s="2">
        <v>3072</v>
      </c>
      <c r="M626" s="2">
        <v>2753</v>
      </c>
      <c r="N626" s="2">
        <v>1102</v>
      </c>
      <c r="O626" s="2">
        <v>0</v>
      </c>
      <c r="P626" s="2"/>
      <c r="Q626" s="2">
        <v>3467</v>
      </c>
      <c r="R626" s="2">
        <v>-2982</v>
      </c>
      <c r="S626" s="2">
        <v>420</v>
      </c>
      <c r="T626" s="2">
        <v>547</v>
      </c>
      <c r="U626" s="2">
        <v>0</v>
      </c>
      <c r="V626" s="2"/>
      <c r="W626" s="2">
        <v>3906</v>
      </c>
      <c r="X626" s="2">
        <v>3200</v>
      </c>
      <c r="Y626" s="2">
        <v>2598</v>
      </c>
      <c r="Z626" s="2">
        <v>0</v>
      </c>
      <c r="AA626" s="2">
        <v>0</v>
      </c>
      <c r="AB626" s="2"/>
      <c r="AC626" s="2">
        <v>0</v>
      </c>
      <c r="AD626" s="2">
        <v>0</v>
      </c>
      <c r="AE626" s="2">
        <v>0</v>
      </c>
      <c r="AF626" s="2">
        <v>0</v>
      </c>
      <c r="AG626" s="2">
        <v>0</v>
      </c>
      <c r="AH626" s="2"/>
      <c r="AI626" s="2">
        <v>-294</v>
      </c>
      <c r="AJ626" s="2">
        <v>-259</v>
      </c>
      <c r="AK626" s="2">
        <v>-205</v>
      </c>
      <c r="AL626" s="2">
        <v>-133</v>
      </c>
      <c r="AM626" s="2">
        <v>-259</v>
      </c>
    </row>
    <row r="627" spans="1:39">
      <c r="A627" s="349">
        <v>96641</v>
      </c>
      <c r="B627" s="342" t="s">
        <v>1318</v>
      </c>
      <c r="C627" s="234" t="e">
        <f>VLOOKUP(A627,#REF!,10,FALSE)</f>
        <v>#REF!</v>
      </c>
      <c r="E627" s="2">
        <v>22517</v>
      </c>
      <c r="F627" s="2">
        <v>10057</v>
      </c>
      <c r="G627" s="2">
        <v>11819</v>
      </c>
      <c r="H627" s="2">
        <v>4184</v>
      </c>
      <c r="I627" s="2">
        <v>0</v>
      </c>
      <c r="J627" s="2"/>
      <c r="K627" s="2">
        <v>5063</v>
      </c>
      <c r="L627" s="2">
        <v>4763</v>
      </c>
      <c r="M627" s="2">
        <v>4269</v>
      </c>
      <c r="N627" s="2">
        <v>1709</v>
      </c>
      <c r="O627" s="2">
        <v>0</v>
      </c>
      <c r="P627" s="2"/>
      <c r="Q627" s="2">
        <v>5376</v>
      </c>
      <c r="R627" s="2">
        <v>-4624</v>
      </c>
      <c r="S627" s="2">
        <v>652</v>
      </c>
      <c r="T627" s="2">
        <v>848</v>
      </c>
      <c r="U627" s="2">
        <v>0</v>
      </c>
      <c r="V627" s="2"/>
      <c r="W627" s="2">
        <v>6056</v>
      </c>
      <c r="X627" s="2">
        <v>4961</v>
      </c>
      <c r="Y627" s="2">
        <v>4028</v>
      </c>
      <c r="Z627" s="2">
        <v>0</v>
      </c>
      <c r="AA627" s="2">
        <v>0</v>
      </c>
      <c r="AB627" s="2"/>
      <c r="AC627" s="2">
        <v>6022</v>
      </c>
      <c r="AD627" s="2">
        <v>4957</v>
      </c>
      <c r="AE627" s="2">
        <v>2870</v>
      </c>
      <c r="AF627" s="2">
        <v>1627</v>
      </c>
      <c r="AG627" s="2">
        <v>0</v>
      </c>
      <c r="AH627" s="2"/>
      <c r="AI627" s="2">
        <v>0</v>
      </c>
      <c r="AJ627" s="2">
        <v>0</v>
      </c>
      <c r="AK627" s="2">
        <v>0</v>
      </c>
      <c r="AL627" s="2">
        <v>0</v>
      </c>
      <c r="AM627" s="2">
        <v>0</v>
      </c>
    </row>
    <row r="628" spans="1:39">
      <c r="A628" s="349">
        <v>96651</v>
      </c>
      <c r="B628" s="342" t="s">
        <v>1319</v>
      </c>
      <c r="C628" s="234" t="e">
        <f>VLOOKUP(A628,#REF!,10,FALSE)</f>
        <v>#REF!</v>
      </c>
      <c r="E628" s="2">
        <v>9039</v>
      </c>
      <c r="F628" s="2">
        <v>2628</v>
      </c>
      <c r="G628" s="2">
        <v>4384</v>
      </c>
      <c r="H628" s="2">
        <v>515</v>
      </c>
      <c r="I628" s="2">
        <v>0</v>
      </c>
      <c r="J628" s="2"/>
      <c r="K628" s="2">
        <v>2771</v>
      </c>
      <c r="L628" s="2">
        <v>2607</v>
      </c>
      <c r="M628" s="2">
        <v>2337</v>
      </c>
      <c r="N628" s="2">
        <v>936</v>
      </c>
      <c r="O628" s="2">
        <v>0</v>
      </c>
      <c r="P628" s="2"/>
      <c r="Q628" s="2">
        <v>2942</v>
      </c>
      <c r="R628" s="2">
        <v>-2531</v>
      </c>
      <c r="S628" s="2">
        <v>357</v>
      </c>
      <c r="T628" s="2">
        <v>464</v>
      </c>
      <c r="U628" s="2">
        <v>0</v>
      </c>
      <c r="V628" s="2"/>
      <c r="W628" s="2">
        <v>3314</v>
      </c>
      <c r="X628" s="2">
        <v>2715</v>
      </c>
      <c r="Y628" s="2">
        <v>2204</v>
      </c>
      <c r="Z628" s="2">
        <v>0</v>
      </c>
      <c r="AA628" s="2">
        <v>0</v>
      </c>
      <c r="AB628" s="2"/>
      <c r="AC628" s="2">
        <v>898</v>
      </c>
      <c r="AD628" s="2">
        <v>723</v>
      </c>
      <c r="AE628" s="2">
        <v>372</v>
      </c>
      <c r="AF628" s="2">
        <v>0</v>
      </c>
      <c r="AG628" s="2">
        <v>0</v>
      </c>
      <c r="AH628" s="2"/>
      <c r="AI628" s="2">
        <v>-886</v>
      </c>
      <c r="AJ628" s="2">
        <v>-886</v>
      </c>
      <c r="AK628" s="2">
        <v>-886</v>
      </c>
      <c r="AL628" s="2">
        <v>-885</v>
      </c>
      <c r="AM628" s="2">
        <v>-886</v>
      </c>
    </row>
    <row r="629" spans="1:39">
      <c r="A629" s="349">
        <v>96661</v>
      </c>
      <c r="B629" s="342" t="s">
        <v>1320</v>
      </c>
      <c r="C629" s="234" t="e">
        <f>VLOOKUP(A629,#REF!,10,FALSE)</f>
        <v>#REF!</v>
      </c>
      <c r="E629" s="2">
        <v>9852</v>
      </c>
      <c r="F629" s="2">
        <v>3272</v>
      </c>
      <c r="G629" s="2">
        <v>4942</v>
      </c>
      <c r="H629" s="2">
        <v>1327</v>
      </c>
      <c r="I629" s="2">
        <v>0</v>
      </c>
      <c r="J629" s="2"/>
      <c r="K629" s="2">
        <v>2712</v>
      </c>
      <c r="L629" s="2">
        <v>2551</v>
      </c>
      <c r="M629" s="2">
        <v>2286</v>
      </c>
      <c r="N629" s="2">
        <v>915</v>
      </c>
      <c r="O629" s="2">
        <v>0</v>
      </c>
      <c r="P629" s="2"/>
      <c r="Q629" s="2">
        <v>2879</v>
      </c>
      <c r="R629" s="2">
        <v>-2476</v>
      </c>
      <c r="S629" s="2">
        <v>349</v>
      </c>
      <c r="T629" s="2">
        <v>454</v>
      </c>
      <c r="U629" s="2">
        <v>0</v>
      </c>
      <c r="V629" s="2"/>
      <c r="W629" s="2">
        <v>3243</v>
      </c>
      <c r="X629" s="2">
        <v>2657</v>
      </c>
      <c r="Y629" s="2">
        <v>2157</v>
      </c>
      <c r="Z629" s="2">
        <v>0</v>
      </c>
      <c r="AA629" s="2">
        <v>0</v>
      </c>
      <c r="AB629" s="2"/>
      <c r="AC629" s="2">
        <v>1059</v>
      </c>
      <c r="AD629" s="2">
        <v>581</v>
      </c>
      <c r="AE629" s="2">
        <v>191</v>
      </c>
      <c r="AF629" s="2">
        <v>0</v>
      </c>
      <c r="AG629" s="2">
        <v>0</v>
      </c>
      <c r="AH629" s="2"/>
      <c r="AI629" s="2">
        <v>-41</v>
      </c>
      <c r="AJ629" s="2">
        <v>-41</v>
      </c>
      <c r="AK629" s="2">
        <v>-41</v>
      </c>
      <c r="AL629" s="2">
        <v>-42</v>
      </c>
      <c r="AM629" s="2">
        <v>-41</v>
      </c>
    </row>
    <row r="630" spans="1:39">
      <c r="A630" s="349">
        <v>96671</v>
      </c>
      <c r="B630" s="342" t="s">
        <v>1321</v>
      </c>
      <c r="C630" s="234" t="e">
        <f>VLOOKUP(A630,#REF!,10,FALSE)</f>
        <v>#REF!</v>
      </c>
      <c r="E630" s="2">
        <v>7860</v>
      </c>
      <c r="F630" s="2">
        <v>2638</v>
      </c>
      <c r="G630" s="2">
        <v>3860</v>
      </c>
      <c r="H630" s="2">
        <v>1241</v>
      </c>
      <c r="I630" s="2">
        <v>0</v>
      </c>
      <c r="J630" s="2"/>
      <c r="K630" s="2">
        <v>1888</v>
      </c>
      <c r="L630" s="2">
        <v>1776</v>
      </c>
      <c r="M630" s="2">
        <v>1591</v>
      </c>
      <c r="N630" s="2">
        <v>637</v>
      </c>
      <c r="O630" s="2">
        <v>0</v>
      </c>
      <c r="P630" s="2"/>
      <c r="Q630" s="2">
        <v>2004</v>
      </c>
      <c r="R630" s="2">
        <v>-1724</v>
      </c>
      <c r="S630" s="2">
        <v>243</v>
      </c>
      <c r="T630" s="2">
        <v>316</v>
      </c>
      <c r="U630" s="2">
        <v>0</v>
      </c>
      <c r="V630" s="2"/>
      <c r="W630" s="2">
        <v>2257</v>
      </c>
      <c r="X630" s="2">
        <v>1849</v>
      </c>
      <c r="Y630" s="2">
        <v>1501</v>
      </c>
      <c r="Z630" s="2">
        <v>0</v>
      </c>
      <c r="AA630" s="2">
        <v>0</v>
      </c>
      <c r="AB630" s="2"/>
      <c r="AC630" s="2">
        <v>1711</v>
      </c>
      <c r="AD630" s="2">
        <v>737</v>
      </c>
      <c r="AE630" s="2">
        <v>525</v>
      </c>
      <c r="AF630" s="2">
        <v>288</v>
      </c>
      <c r="AG630" s="2">
        <v>0</v>
      </c>
      <c r="AH630" s="2"/>
      <c r="AI630" s="2">
        <v>0</v>
      </c>
      <c r="AJ630" s="2">
        <v>0</v>
      </c>
      <c r="AK630" s="2">
        <v>0</v>
      </c>
      <c r="AL630" s="2">
        <v>0</v>
      </c>
      <c r="AM630" s="2">
        <v>0</v>
      </c>
    </row>
    <row r="631" spans="1:39">
      <c r="A631" s="349">
        <v>96681</v>
      </c>
      <c r="B631" s="342" t="s">
        <v>1322</v>
      </c>
      <c r="C631" s="234" t="e">
        <f>VLOOKUP(A631,#REF!,10,FALSE)</f>
        <v>#REF!</v>
      </c>
      <c r="E631" s="2">
        <v>13455</v>
      </c>
      <c r="F631" s="2">
        <v>4375</v>
      </c>
      <c r="G631" s="2">
        <v>8996</v>
      </c>
      <c r="H631" s="2">
        <v>3124</v>
      </c>
      <c r="I631" s="2">
        <v>0</v>
      </c>
      <c r="J631" s="2"/>
      <c r="K631" s="2">
        <v>3356</v>
      </c>
      <c r="L631" s="2">
        <v>3157</v>
      </c>
      <c r="M631" s="2">
        <v>2829</v>
      </c>
      <c r="N631" s="2">
        <v>1133</v>
      </c>
      <c r="O631" s="2">
        <v>0</v>
      </c>
      <c r="P631" s="2"/>
      <c r="Q631" s="2">
        <v>3563</v>
      </c>
      <c r="R631" s="2">
        <v>-3064</v>
      </c>
      <c r="S631" s="2">
        <v>432</v>
      </c>
      <c r="T631" s="2">
        <v>562</v>
      </c>
      <c r="U631" s="2">
        <v>0</v>
      </c>
      <c r="V631" s="2"/>
      <c r="W631" s="2">
        <v>4013</v>
      </c>
      <c r="X631" s="2">
        <v>3288</v>
      </c>
      <c r="Y631" s="2">
        <v>2669</v>
      </c>
      <c r="Z631" s="2">
        <v>0</v>
      </c>
      <c r="AA631" s="2">
        <v>0</v>
      </c>
      <c r="AB631" s="2"/>
      <c r="AC631" s="2">
        <v>4594</v>
      </c>
      <c r="AD631" s="2">
        <v>3064</v>
      </c>
      <c r="AE631" s="2">
        <v>3066</v>
      </c>
      <c r="AF631" s="2">
        <v>1429</v>
      </c>
      <c r="AG631" s="2">
        <v>0</v>
      </c>
      <c r="AH631" s="2"/>
      <c r="AI631" s="2">
        <v>-2071</v>
      </c>
      <c r="AJ631" s="2">
        <v>-2070</v>
      </c>
      <c r="AK631" s="2">
        <v>0</v>
      </c>
      <c r="AL631" s="2">
        <v>0</v>
      </c>
      <c r="AM631" s="2">
        <v>-2070</v>
      </c>
    </row>
    <row r="632" spans="1:39">
      <c r="A632" s="349">
        <v>96701</v>
      </c>
      <c r="B632" s="342" t="s">
        <v>1323</v>
      </c>
      <c r="C632" s="234" t="e">
        <f>VLOOKUP(A632,#REF!,10,FALSE)</f>
        <v>#REF!</v>
      </c>
      <c r="E632" s="2">
        <v>4075656</v>
      </c>
      <c r="F632" s="2">
        <v>1225701</v>
      </c>
      <c r="G632" s="2">
        <v>2127081</v>
      </c>
      <c r="H632" s="2">
        <v>546200</v>
      </c>
      <c r="I632" s="2">
        <v>0</v>
      </c>
      <c r="J632" s="2"/>
      <c r="K632" s="2">
        <v>1271337</v>
      </c>
      <c r="L632" s="2">
        <v>1195918</v>
      </c>
      <c r="M632" s="2">
        <v>1071887</v>
      </c>
      <c r="N632" s="2">
        <v>429171</v>
      </c>
      <c r="O632" s="2">
        <v>0</v>
      </c>
      <c r="P632" s="2"/>
      <c r="Q632" s="2">
        <v>1349701</v>
      </c>
      <c r="R632" s="2">
        <v>-1160996</v>
      </c>
      <c r="S632" s="2">
        <v>163628</v>
      </c>
      <c r="T632" s="2">
        <v>212960</v>
      </c>
      <c r="U632" s="2">
        <v>0</v>
      </c>
      <c r="V632" s="2"/>
      <c r="W632" s="2">
        <v>1520458</v>
      </c>
      <c r="X632" s="2">
        <v>1245615</v>
      </c>
      <c r="Y632" s="2">
        <v>1011226</v>
      </c>
      <c r="Z632" s="2">
        <v>0</v>
      </c>
      <c r="AA632" s="2">
        <v>0</v>
      </c>
      <c r="AB632" s="2"/>
      <c r="AC632" s="2">
        <v>64827</v>
      </c>
      <c r="AD632" s="2">
        <v>64826</v>
      </c>
      <c r="AE632" s="2">
        <v>0</v>
      </c>
      <c r="AF632" s="2">
        <v>0</v>
      </c>
      <c r="AG632" s="2">
        <v>0</v>
      </c>
      <c r="AH632" s="2"/>
      <c r="AI632" s="2">
        <v>-130667</v>
      </c>
      <c r="AJ632" s="2">
        <v>-119662</v>
      </c>
      <c r="AK632" s="2">
        <v>-119660</v>
      </c>
      <c r="AL632" s="2">
        <v>-95931</v>
      </c>
      <c r="AM632" s="2">
        <v>-119662</v>
      </c>
    </row>
    <row r="633" spans="1:39">
      <c r="A633" s="349">
        <v>96704</v>
      </c>
      <c r="B633" s="342" t="s">
        <v>1324</v>
      </c>
      <c r="C633" s="234" t="e">
        <f>VLOOKUP(A633,#REF!,10,FALSE)</f>
        <v>#REF!</v>
      </c>
      <c r="E633" s="2">
        <v>109934</v>
      </c>
      <c r="F633" s="2">
        <v>46032</v>
      </c>
      <c r="G633" s="2">
        <v>61503</v>
      </c>
      <c r="H633" s="2">
        <v>21356</v>
      </c>
      <c r="I633" s="2">
        <v>0</v>
      </c>
      <c r="J633" s="2"/>
      <c r="K633" s="2">
        <v>28059</v>
      </c>
      <c r="L633" s="2">
        <v>26394</v>
      </c>
      <c r="M633" s="2">
        <v>23657</v>
      </c>
      <c r="N633" s="2">
        <v>9472</v>
      </c>
      <c r="O633" s="2">
        <v>0</v>
      </c>
      <c r="P633" s="2"/>
      <c r="Q633" s="2">
        <v>29788</v>
      </c>
      <c r="R633" s="2">
        <v>-25624</v>
      </c>
      <c r="S633" s="2">
        <v>3611</v>
      </c>
      <c r="T633" s="2">
        <v>4700</v>
      </c>
      <c r="U633" s="2">
        <v>0</v>
      </c>
      <c r="V633" s="2"/>
      <c r="W633" s="2">
        <v>33557</v>
      </c>
      <c r="X633" s="2">
        <v>27491</v>
      </c>
      <c r="Y633" s="2">
        <v>22318</v>
      </c>
      <c r="Z633" s="2">
        <v>0</v>
      </c>
      <c r="AA633" s="2">
        <v>0</v>
      </c>
      <c r="AB633" s="2"/>
      <c r="AC633" s="2">
        <v>18530</v>
      </c>
      <c r="AD633" s="2">
        <v>17771</v>
      </c>
      <c r="AE633" s="2">
        <v>11917</v>
      </c>
      <c r="AF633" s="2">
        <v>7184</v>
      </c>
      <c r="AG633" s="2">
        <v>0</v>
      </c>
      <c r="AH633" s="2"/>
      <c r="AI633" s="2">
        <v>0</v>
      </c>
      <c r="AJ633" s="2">
        <v>0</v>
      </c>
      <c r="AK633" s="2">
        <v>0</v>
      </c>
      <c r="AL633" s="2">
        <v>0</v>
      </c>
      <c r="AM633" s="2">
        <v>0</v>
      </c>
    </row>
    <row r="634" spans="1:39">
      <c r="A634" s="349">
        <v>96708</v>
      </c>
      <c r="B634" s="342" t="s">
        <v>1325</v>
      </c>
      <c r="C634" s="234" t="e">
        <f>VLOOKUP(A634,#REF!,10,FALSE)</f>
        <v>#REF!</v>
      </c>
      <c r="E634" s="2">
        <v>450493</v>
      </c>
      <c r="F634" s="2">
        <v>161803</v>
      </c>
      <c r="G634" s="2">
        <v>246306</v>
      </c>
      <c r="H634" s="2">
        <v>74711</v>
      </c>
      <c r="I634" s="2">
        <v>0</v>
      </c>
      <c r="J634" s="2"/>
      <c r="K634" s="2">
        <v>130946</v>
      </c>
      <c r="L634" s="2">
        <v>123178</v>
      </c>
      <c r="M634" s="2">
        <v>110403</v>
      </c>
      <c r="N634" s="2">
        <v>44204</v>
      </c>
      <c r="O634" s="2">
        <v>0</v>
      </c>
      <c r="P634" s="2"/>
      <c r="Q634" s="2">
        <v>139018</v>
      </c>
      <c r="R634" s="2">
        <v>-119581</v>
      </c>
      <c r="S634" s="2">
        <v>16854</v>
      </c>
      <c r="T634" s="2">
        <v>21935</v>
      </c>
      <c r="U634" s="2">
        <v>0</v>
      </c>
      <c r="V634" s="2"/>
      <c r="W634" s="2">
        <v>156606</v>
      </c>
      <c r="X634" s="2">
        <v>128297</v>
      </c>
      <c r="Y634" s="2">
        <v>104155</v>
      </c>
      <c r="Z634" s="2">
        <v>0</v>
      </c>
      <c r="AA634" s="2">
        <v>0</v>
      </c>
      <c r="AB634" s="2"/>
      <c r="AC634" s="2">
        <v>29907</v>
      </c>
      <c r="AD634" s="2">
        <v>29909</v>
      </c>
      <c r="AE634" s="2">
        <v>14894</v>
      </c>
      <c r="AF634" s="2">
        <v>8572</v>
      </c>
      <c r="AG634" s="2">
        <v>0</v>
      </c>
      <c r="AH634" s="2"/>
      <c r="AI634" s="2">
        <v>-5984</v>
      </c>
      <c r="AJ634" s="2">
        <v>0</v>
      </c>
      <c r="AK634" s="2">
        <v>0</v>
      </c>
      <c r="AL634" s="2">
        <v>0</v>
      </c>
      <c r="AM634" s="2">
        <v>0</v>
      </c>
    </row>
    <row r="635" spans="1:39">
      <c r="A635" s="349">
        <v>96711</v>
      </c>
      <c r="B635" s="342" t="s">
        <v>1326</v>
      </c>
      <c r="C635" s="234" t="e">
        <f>VLOOKUP(A635,#REF!,10,FALSE)</f>
        <v>#REF!</v>
      </c>
      <c r="E635" s="2">
        <v>1725707</v>
      </c>
      <c r="F635" s="2">
        <v>464045</v>
      </c>
      <c r="G635" s="2">
        <v>954917</v>
      </c>
      <c r="H635" s="2">
        <v>266947</v>
      </c>
      <c r="I635" s="2">
        <v>0</v>
      </c>
      <c r="J635" s="2"/>
      <c r="K635" s="2">
        <v>568053</v>
      </c>
      <c r="L635" s="2">
        <v>534355</v>
      </c>
      <c r="M635" s="2">
        <v>478936</v>
      </c>
      <c r="N635" s="2">
        <v>191760</v>
      </c>
      <c r="O635" s="2">
        <v>0</v>
      </c>
      <c r="P635" s="2"/>
      <c r="Q635" s="2">
        <v>603068</v>
      </c>
      <c r="R635" s="2">
        <v>-518751</v>
      </c>
      <c r="S635" s="2">
        <v>73112</v>
      </c>
      <c r="T635" s="2">
        <v>95154</v>
      </c>
      <c r="U635" s="2">
        <v>0</v>
      </c>
      <c r="V635" s="2"/>
      <c r="W635" s="2">
        <v>679364</v>
      </c>
      <c r="X635" s="2">
        <v>556560</v>
      </c>
      <c r="Y635" s="2">
        <v>451831</v>
      </c>
      <c r="Z635" s="2">
        <v>0</v>
      </c>
      <c r="AA635" s="2">
        <v>0</v>
      </c>
      <c r="AB635" s="2"/>
      <c r="AC635" s="2">
        <v>0</v>
      </c>
      <c r="AD635" s="2">
        <v>0</v>
      </c>
      <c r="AE635" s="2">
        <v>0</v>
      </c>
      <c r="AF635" s="2">
        <v>0</v>
      </c>
      <c r="AG635" s="2">
        <v>0</v>
      </c>
      <c r="AH635" s="2"/>
      <c r="AI635" s="2">
        <v>-124778</v>
      </c>
      <c r="AJ635" s="2">
        <v>-108119</v>
      </c>
      <c r="AK635" s="2">
        <v>-48962</v>
      </c>
      <c r="AL635" s="2">
        <v>-19967</v>
      </c>
      <c r="AM635" s="2">
        <v>-108119</v>
      </c>
    </row>
    <row r="636" spans="1:39">
      <c r="A636" s="349">
        <v>96721</v>
      </c>
      <c r="B636" s="342" t="s">
        <v>1327</v>
      </c>
      <c r="C636" s="234" t="e">
        <f>VLOOKUP(A636,#REF!,10,FALSE)</f>
        <v>#REF!</v>
      </c>
      <c r="E636" s="2">
        <v>100042</v>
      </c>
      <c r="F636" s="2">
        <v>34499</v>
      </c>
      <c r="G636" s="2">
        <v>56945</v>
      </c>
      <c r="H636" s="2">
        <v>15546</v>
      </c>
      <c r="I636" s="2">
        <v>0</v>
      </c>
      <c r="J636" s="2"/>
      <c r="K636" s="2">
        <v>32538</v>
      </c>
      <c r="L636" s="2">
        <v>30608</v>
      </c>
      <c r="M636" s="2">
        <v>27433</v>
      </c>
      <c r="N636" s="2">
        <v>10984</v>
      </c>
      <c r="O636" s="2">
        <v>0</v>
      </c>
      <c r="P636" s="2"/>
      <c r="Q636" s="2">
        <v>34544</v>
      </c>
      <c r="R636" s="2">
        <v>-29714</v>
      </c>
      <c r="S636" s="2">
        <v>4188</v>
      </c>
      <c r="T636" s="2">
        <v>5450</v>
      </c>
      <c r="U636" s="2">
        <v>0</v>
      </c>
      <c r="V636" s="2"/>
      <c r="W636" s="2">
        <v>38914</v>
      </c>
      <c r="X636" s="2">
        <v>31880</v>
      </c>
      <c r="Y636" s="2">
        <v>25881</v>
      </c>
      <c r="Z636" s="2">
        <v>0</v>
      </c>
      <c r="AA636" s="2">
        <v>0</v>
      </c>
      <c r="AB636" s="2"/>
      <c r="AC636" s="2">
        <v>2614</v>
      </c>
      <c r="AD636" s="2">
        <v>2614</v>
      </c>
      <c r="AE636" s="2">
        <v>332</v>
      </c>
      <c r="AF636" s="2">
        <v>0</v>
      </c>
      <c r="AG636" s="2">
        <v>0</v>
      </c>
      <c r="AH636" s="2"/>
      <c r="AI636" s="2">
        <v>-8568</v>
      </c>
      <c r="AJ636" s="2">
        <v>-889</v>
      </c>
      <c r="AK636" s="2">
        <v>-889</v>
      </c>
      <c r="AL636" s="2">
        <v>-888</v>
      </c>
      <c r="AM636" s="2">
        <v>-889</v>
      </c>
    </row>
    <row r="637" spans="1:39">
      <c r="A637" s="349">
        <v>96731</v>
      </c>
      <c r="B637" s="342" t="s">
        <v>1328</v>
      </c>
      <c r="C637" s="234" t="e">
        <f>VLOOKUP(A637,#REF!,10,FALSE)</f>
        <v>#REF!</v>
      </c>
      <c r="E637" s="2">
        <v>90448</v>
      </c>
      <c r="F637" s="2">
        <v>28364</v>
      </c>
      <c r="G637" s="2">
        <v>46392</v>
      </c>
      <c r="H637" s="2">
        <v>13504</v>
      </c>
      <c r="I637" s="2">
        <v>0</v>
      </c>
      <c r="J637" s="2"/>
      <c r="K637" s="2">
        <v>26411</v>
      </c>
      <c r="L637" s="2">
        <v>24844</v>
      </c>
      <c r="M637" s="2">
        <v>22268</v>
      </c>
      <c r="N637" s="2">
        <v>8916</v>
      </c>
      <c r="O637" s="2">
        <v>0</v>
      </c>
      <c r="P637" s="2"/>
      <c r="Q637" s="2">
        <v>28039</v>
      </c>
      <c r="R637" s="2">
        <v>-24119</v>
      </c>
      <c r="S637" s="2">
        <v>3399</v>
      </c>
      <c r="T637" s="2">
        <v>4424</v>
      </c>
      <c r="U637" s="2">
        <v>0</v>
      </c>
      <c r="V637" s="2"/>
      <c r="W637" s="2">
        <v>31586</v>
      </c>
      <c r="X637" s="2">
        <v>25877</v>
      </c>
      <c r="Y637" s="2">
        <v>21007</v>
      </c>
      <c r="Z637" s="2">
        <v>0</v>
      </c>
      <c r="AA637" s="2">
        <v>0</v>
      </c>
      <c r="AB637" s="2"/>
      <c r="AC637" s="2">
        <v>4854</v>
      </c>
      <c r="AD637" s="2">
        <v>2204</v>
      </c>
      <c r="AE637" s="2">
        <v>162</v>
      </c>
      <c r="AF637" s="2">
        <v>164</v>
      </c>
      <c r="AG637" s="2">
        <v>0</v>
      </c>
      <c r="AH637" s="2"/>
      <c r="AI637" s="2">
        <v>-442</v>
      </c>
      <c r="AJ637" s="2">
        <v>-442</v>
      </c>
      <c r="AK637" s="2">
        <v>-444</v>
      </c>
      <c r="AL637" s="2">
        <v>0</v>
      </c>
      <c r="AM637" s="2">
        <v>-442</v>
      </c>
    </row>
    <row r="638" spans="1:39">
      <c r="A638" s="349">
        <v>96733</v>
      </c>
      <c r="B638" s="342" t="s">
        <v>1329</v>
      </c>
      <c r="C638" s="234" t="e">
        <f>VLOOKUP(A638,#REF!,10,FALSE)</f>
        <v>#REF!</v>
      </c>
      <c r="E638" s="2">
        <v>3063</v>
      </c>
      <c r="F638" s="2">
        <v>-17</v>
      </c>
      <c r="G638" s="2">
        <v>857</v>
      </c>
      <c r="H638" s="2">
        <v>-920</v>
      </c>
      <c r="I638" s="2">
        <v>0</v>
      </c>
      <c r="J638" s="2"/>
      <c r="K638" s="2">
        <v>974</v>
      </c>
      <c r="L638" s="2">
        <v>916</v>
      </c>
      <c r="M638" s="2">
        <v>821</v>
      </c>
      <c r="N638" s="2">
        <v>329</v>
      </c>
      <c r="O638" s="2">
        <v>0</v>
      </c>
      <c r="P638" s="2"/>
      <c r="Q638" s="2">
        <v>1034</v>
      </c>
      <c r="R638" s="2">
        <v>-889</v>
      </c>
      <c r="S638" s="2">
        <v>125</v>
      </c>
      <c r="T638" s="2">
        <v>163</v>
      </c>
      <c r="U638" s="2">
        <v>0</v>
      </c>
      <c r="V638" s="2"/>
      <c r="W638" s="2">
        <v>1165</v>
      </c>
      <c r="X638" s="2">
        <v>954</v>
      </c>
      <c r="Y638" s="2">
        <v>775</v>
      </c>
      <c r="Z638" s="2">
        <v>0</v>
      </c>
      <c r="AA638" s="2">
        <v>0</v>
      </c>
      <c r="AB638" s="2"/>
      <c r="AC638" s="2">
        <v>1437</v>
      </c>
      <c r="AD638" s="2">
        <v>549</v>
      </c>
      <c r="AE638" s="2">
        <v>550</v>
      </c>
      <c r="AF638" s="2">
        <v>0</v>
      </c>
      <c r="AG638" s="2">
        <v>0</v>
      </c>
      <c r="AH638" s="2"/>
      <c r="AI638" s="2">
        <v>-1547</v>
      </c>
      <c r="AJ638" s="2">
        <v>-1547</v>
      </c>
      <c r="AK638" s="2">
        <v>-1414</v>
      </c>
      <c r="AL638" s="2">
        <v>-1412</v>
      </c>
      <c r="AM638" s="2">
        <v>-1547</v>
      </c>
    </row>
    <row r="639" spans="1:39">
      <c r="A639" s="349">
        <v>96741</v>
      </c>
      <c r="B639" s="342" t="s">
        <v>1330</v>
      </c>
      <c r="C639" s="234" t="e">
        <f>VLOOKUP(A639,#REF!,10,FALSE)</f>
        <v>#REF!</v>
      </c>
      <c r="E639" s="2">
        <v>46214</v>
      </c>
      <c r="F639" s="2">
        <v>13929</v>
      </c>
      <c r="G639" s="2">
        <v>25262</v>
      </c>
      <c r="H639" s="2">
        <v>6260</v>
      </c>
      <c r="I639" s="2">
        <v>0</v>
      </c>
      <c r="J639" s="2"/>
      <c r="K639" s="2">
        <v>14501</v>
      </c>
      <c r="L639" s="2">
        <v>13641</v>
      </c>
      <c r="M639" s="2">
        <v>12226</v>
      </c>
      <c r="N639" s="2">
        <v>4895</v>
      </c>
      <c r="O639" s="2">
        <v>0</v>
      </c>
      <c r="P639" s="2"/>
      <c r="Q639" s="2">
        <v>15395</v>
      </c>
      <c r="R639" s="2">
        <v>-13243</v>
      </c>
      <c r="S639" s="2">
        <v>1866</v>
      </c>
      <c r="T639" s="2">
        <v>2429</v>
      </c>
      <c r="U639" s="2">
        <v>0</v>
      </c>
      <c r="V639" s="2"/>
      <c r="W639" s="2">
        <v>17343</v>
      </c>
      <c r="X639" s="2">
        <v>14208</v>
      </c>
      <c r="Y639" s="2">
        <v>11534</v>
      </c>
      <c r="Z639" s="2">
        <v>0</v>
      </c>
      <c r="AA639" s="2">
        <v>0</v>
      </c>
      <c r="AB639" s="2"/>
      <c r="AC639" s="2">
        <v>702</v>
      </c>
      <c r="AD639" s="2">
        <v>702</v>
      </c>
      <c r="AE639" s="2">
        <v>701</v>
      </c>
      <c r="AF639" s="2">
        <v>0</v>
      </c>
      <c r="AG639" s="2">
        <v>0</v>
      </c>
      <c r="AH639" s="2"/>
      <c r="AI639" s="2">
        <v>-1727</v>
      </c>
      <c r="AJ639" s="2">
        <v>-1379</v>
      </c>
      <c r="AK639" s="2">
        <v>-1065</v>
      </c>
      <c r="AL639" s="2">
        <v>-1064</v>
      </c>
      <c r="AM639" s="2">
        <v>-1379</v>
      </c>
    </row>
    <row r="640" spans="1:39">
      <c r="A640" s="349">
        <v>96751</v>
      </c>
      <c r="B640" s="342" t="s">
        <v>3685</v>
      </c>
      <c r="C640" s="234" t="e">
        <f>VLOOKUP(A640,#REF!,10,FALSE)</f>
        <v>#REF!</v>
      </c>
      <c r="E640" s="2">
        <v>147518</v>
      </c>
      <c r="F640" s="2">
        <v>51011</v>
      </c>
      <c r="G640" s="2">
        <v>86871</v>
      </c>
      <c r="H640" s="2">
        <v>28698</v>
      </c>
      <c r="I640" s="2">
        <v>0</v>
      </c>
      <c r="J640" s="2"/>
      <c r="K640" s="2">
        <v>45751</v>
      </c>
      <c r="L640" s="2">
        <v>43037</v>
      </c>
      <c r="M640" s="2">
        <v>38574</v>
      </c>
      <c r="N640" s="2">
        <v>15444</v>
      </c>
      <c r="O640" s="2">
        <v>0</v>
      </c>
      <c r="P640" s="2"/>
      <c r="Q640" s="2">
        <v>48571</v>
      </c>
      <c r="R640" s="2">
        <v>-41780</v>
      </c>
      <c r="S640" s="2">
        <v>5888</v>
      </c>
      <c r="T640" s="2">
        <v>7664</v>
      </c>
      <c r="U640" s="2">
        <v>0</v>
      </c>
      <c r="V640" s="2"/>
      <c r="W640" s="2">
        <v>54716</v>
      </c>
      <c r="X640" s="2">
        <v>44825</v>
      </c>
      <c r="Y640" s="2">
        <v>36391</v>
      </c>
      <c r="Z640" s="2">
        <v>0</v>
      </c>
      <c r="AA640" s="2">
        <v>0</v>
      </c>
      <c r="AB640" s="2"/>
      <c r="AC640" s="2">
        <v>6016</v>
      </c>
      <c r="AD640" s="2">
        <v>6016</v>
      </c>
      <c r="AE640" s="2">
        <v>6018</v>
      </c>
      <c r="AF640" s="2">
        <v>5590</v>
      </c>
      <c r="AG640" s="2">
        <v>0</v>
      </c>
      <c r="AH640" s="2"/>
      <c r="AI640" s="2">
        <v>-7536</v>
      </c>
      <c r="AJ640" s="2">
        <v>-1087</v>
      </c>
      <c r="AK640" s="2">
        <v>0</v>
      </c>
      <c r="AL640" s="2">
        <v>0</v>
      </c>
      <c r="AM640" s="2">
        <v>-1087</v>
      </c>
    </row>
    <row r="641" spans="1:39">
      <c r="A641" s="349">
        <v>96801</v>
      </c>
      <c r="B641" s="342" t="s">
        <v>1332</v>
      </c>
      <c r="C641" s="234" t="e">
        <f>VLOOKUP(A641,#REF!,10,FALSE)</f>
        <v>#REF!</v>
      </c>
      <c r="E641" s="2">
        <v>3772341</v>
      </c>
      <c r="F641" s="2">
        <v>1144845</v>
      </c>
      <c r="G641" s="2">
        <v>2030773</v>
      </c>
      <c r="H641" s="2">
        <v>571847</v>
      </c>
      <c r="I641" s="2">
        <v>0</v>
      </c>
      <c r="J641" s="2"/>
      <c r="K641" s="2">
        <v>1141634</v>
      </c>
      <c r="L641" s="2">
        <v>1073909</v>
      </c>
      <c r="M641" s="2">
        <v>962533</v>
      </c>
      <c r="N641" s="2">
        <v>385386</v>
      </c>
      <c r="O641" s="2">
        <v>0</v>
      </c>
      <c r="P641" s="2"/>
      <c r="Q641" s="2">
        <v>1212004</v>
      </c>
      <c r="R641" s="2">
        <v>-1042550</v>
      </c>
      <c r="S641" s="2">
        <v>146935</v>
      </c>
      <c r="T641" s="2">
        <v>191234</v>
      </c>
      <c r="U641" s="2">
        <v>0</v>
      </c>
      <c r="V641" s="2"/>
      <c r="W641" s="2">
        <v>1365340</v>
      </c>
      <c r="X641" s="2">
        <v>1118536</v>
      </c>
      <c r="Y641" s="2">
        <v>908060</v>
      </c>
      <c r="Z641" s="2">
        <v>0</v>
      </c>
      <c r="AA641" s="2">
        <v>0</v>
      </c>
      <c r="AB641" s="2"/>
      <c r="AC641" s="2">
        <v>76428</v>
      </c>
      <c r="AD641" s="2">
        <v>18014</v>
      </c>
      <c r="AE641" s="2">
        <v>18016</v>
      </c>
      <c r="AF641" s="2">
        <v>0</v>
      </c>
      <c r="AG641" s="2">
        <v>0</v>
      </c>
      <c r="AH641" s="2"/>
      <c r="AI641" s="2">
        <v>-23065</v>
      </c>
      <c r="AJ641" s="2">
        <v>-23064</v>
      </c>
      <c r="AK641" s="2">
        <v>-4771</v>
      </c>
      <c r="AL641" s="2">
        <v>-4773</v>
      </c>
      <c r="AM641" s="2">
        <v>-23064</v>
      </c>
    </row>
    <row r="642" spans="1:39">
      <c r="A642" s="349">
        <v>96804</v>
      </c>
      <c r="B642" s="342" t="s">
        <v>1333</v>
      </c>
      <c r="C642" s="234" t="e">
        <f>VLOOKUP(A642,#REF!,10,FALSE)</f>
        <v>#REF!</v>
      </c>
      <c r="E642" s="2">
        <v>109973</v>
      </c>
      <c r="F642" s="2">
        <v>28260</v>
      </c>
      <c r="G642" s="2">
        <v>54509</v>
      </c>
      <c r="H642" s="2">
        <v>13552</v>
      </c>
      <c r="I642" s="2">
        <v>0</v>
      </c>
      <c r="J642" s="2"/>
      <c r="K642" s="2">
        <v>36298</v>
      </c>
      <c r="L642" s="2">
        <v>34145</v>
      </c>
      <c r="M642" s="2">
        <v>30604</v>
      </c>
      <c r="N642" s="2">
        <v>12253</v>
      </c>
      <c r="O642" s="2">
        <v>0</v>
      </c>
      <c r="P642" s="2"/>
      <c r="Q642" s="2">
        <v>38536</v>
      </c>
      <c r="R642" s="2">
        <v>-33148</v>
      </c>
      <c r="S642" s="2">
        <v>4672</v>
      </c>
      <c r="T642" s="2">
        <v>6080</v>
      </c>
      <c r="U642" s="2">
        <v>0</v>
      </c>
      <c r="V642" s="2"/>
      <c r="W642" s="2">
        <v>43411</v>
      </c>
      <c r="X642" s="2">
        <v>35564</v>
      </c>
      <c r="Y642" s="2">
        <v>28872</v>
      </c>
      <c r="Z642" s="2">
        <v>0</v>
      </c>
      <c r="AA642" s="2">
        <v>0</v>
      </c>
      <c r="AB642" s="2"/>
      <c r="AC642" s="2">
        <v>1367</v>
      </c>
      <c r="AD642" s="2">
        <v>1338</v>
      </c>
      <c r="AE642" s="2">
        <v>0</v>
      </c>
      <c r="AF642" s="2">
        <v>0</v>
      </c>
      <c r="AG642" s="2">
        <v>0</v>
      </c>
      <c r="AH642" s="2"/>
      <c r="AI642" s="2">
        <v>-9639</v>
      </c>
      <c r="AJ642" s="2">
        <v>-9639</v>
      </c>
      <c r="AK642" s="2">
        <v>-9639</v>
      </c>
      <c r="AL642" s="2">
        <v>-4781</v>
      </c>
      <c r="AM642" s="2">
        <v>-9639</v>
      </c>
    </row>
    <row r="643" spans="1:39">
      <c r="A643" s="349">
        <v>96808</v>
      </c>
      <c r="B643" s="342" t="s">
        <v>1334</v>
      </c>
      <c r="C643" s="234" t="e">
        <f>VLOOKUP(A643,#REF!,10,FALSE)</f>
        <v>#REF!</v>
      </c>
      <c r="E643" s="2">
        <v>589307</v>
      </c>
      <c r="F643" s="2">
        <v>172531</v>
      </c>
      <c r="G643" s="2">
        <v>312068</v>
      </c>
      <c r="H643" s="2">
        <v>84933</v>
      </c>
      <c r="I643" s="2">
        <v>0</v>
      </c>
      <c r="J643" s="2"/>
      <c r="K643" s="2">
        <v>182390</v>
      </c>
      <c r="L643" s="2">
        <v>171570</v>
      </c>
      <c r="M643" s="2">
        <v>153776</v>
      </c>
      <c r="N643" s="2">
        <v>61570</v>
      </c>
      <c r="O643" s="2">
        <v>0</v>
      </c>
      <c r="P643" s="2"/>
      <c r="Q643" s="2">
        <v>193632</v>
      </c>
      <c r="R643" s="2">
        <v>-166560</v>
      </c>
      <c r="S643" s="2">
        <v>23475</v>
      </c>
      <c r="T643" s="2">
        <v>30552</v>
      </c>
      <c r="U643" s="2">
        <v>0</v>
      </c>
      <c r="V643" s="2"/>
      <c r="W643" s="2">
        <v>218130</v>
      </c>
      <c r="X643" s="2">
        <v>178700</v>
      </c>
      <c r="Y643" s="2">
        <v>145074</v>
      </c>
      <c r="Z643" s="2">
        <v>0</v>
      </c>
      <c r="AA643" s="2">
        <v>0</v>
      </c>
      <c r="AB643" s="2"/>
      <c r="AC643" s="2">
        <v>6336</v>
      </c>
      <c r="AD643" s="2">
        <v>0</v>
      </c>
      <c r="AE643" s="2">
        <v>0</v>
      </c>
      <c r="AF643" s="2">
        <v>0</v>
      </c>
      <c r="AG643" s="2">
        <v>0</v>
      </c>
      <c r="AH643" s="2"/>
      <c r="AI643" s="2">
        <v>-11181</v>
      </c>
      <c r="AJ643" s="2">
        <v>-11179</v>
      </c>
      <c r="AK643" s="2">
        <v>-10257</v>
      </c>
      <c r="AL643" s="2">
        <v>-7189</v>
      </c>
      <c r="AM643" s="2">
        <v>-11179</v>
      </c>
    </row>
    <row r="644" spans="1:39">
      <c r="A644" s="349">
        <v>96811</v>
      </c>
      <c r="B644" s="342" t="s">
        <v>1335</v>
      </c>
      <c r="C644" s="234" t="e">
        <f>VLOOKUP(A644,#REF!,10,FALSE)</f>
        <v>#REF!</v>
      </c>
      <c r="E644" s="2">
        <v>2799855</v>
      </c>
      <c r="F644" s="2">
        <v>837141</v>
      </c>
      <c r="G644" s="2">
        <v>1493888</v>
      </c>
      <c r="H644" s="2">
        <v>400920</v>
      </c>
      <c r="I644" s="2">
        <v>0</v>
      </c>
      <c r="J644" s="2"/>
      <c r="K644" s="2">
        <v>876461</v>
      </c>
      <c r="L644" s="2">
        <v>824467</v>
      </c>
      <c r="M644" s="2">
        <v>738960</v>
      </c>
      <c r="N644" s="2">
        <v>295871</v>
      </c>
      <c r="O644" s="2">
        <v>0</v>
      </c>
      <c r="P644" s="2"/>
      <c r="Q644" s="2">
        <v>930485</v>
      </c>
      <c r="R644" s="2">
        <v>-800391</v>
      </c>
      <c r="S644" s="2">
        <v>112805</v>
      </c>
      <c r="T644" s="2">
        <v>146815</v>
      </c>
      <c r="U644" s="2">
        <v>0</v>
      </c>
      <c r="V644" s="2"/>
      <c r="W644" s="2">
        <v>1048205</v>
      </c>
      <c r="X644" s="2">
        <v>858728</v>
      </c>
      <c r="Y644" s="2">
        <v>697140</v>
      </c>
      <c r="Z644" s="2">
        <v>0</v>
      </c>
      <c r="AA644" s="2">
        <v>0</v>
      </c>
      <c r="AB644" s="2"/>
      <c r="AC644" s="2">
        <v>9353</v>
      </c>
      <c r="AD644" s="2">
        <v>9353</v>
      </c>
      <c r="AE644" s="2">
        <v>0</v>
      </c>
      <c r="AF644" s="2">
        <v>0</v>
      </c>
      <c r="AG644" s="2">
        <v>0</v>
      </c>
      <c r="AH644" s="2"/>
      <c r="AI644" s="2">
        <v>-64649</v>
      </c>
      <c r="AJ644" s="2">
        <v>-55016</v>
      </c>
      <c r="AK644" s="2">
        <v>-55017</v>
      </c>
      <c r="AL644" s="2">
        <v>-41766</v>
      </c>
      <c r="AM644" s="2">
        <v>-55016</v>
      </c>
    </row>
    <row r="645" spans="1:39">
      <c r="A645" s="349">
        <v>96821</v>
      </c>
      <c r="B645" s="342" t="s">
        <v>1336</v>
      </c>
      <c r="C645" s="234" t="e">
        <f>VLOOKUP(A645,#REF!,10,FALSE)</f>
        <v>#REF!</v>
      </c>
      <c r="E645" s="2">
        <v>582959</v>
      </c>
      <c r="F645" s="2">
        <v>183044</v>
      </c>
      <c r="G645" s="2">
        <v>332700</v>
      </c>
      <c r="H645" s="2">
        <v>118570</v>
      </c>
      <c r="I645" s="2">
        <v>0</v>
      </c>
      <c r="J645" s="2"/>
      <c r="K645" s="2">
        <v>187349</v>
      </c>
      <c r="L645" s="2">
        <v>176235</v>
      </c>
      <c r="M645" s="2">
        <v>157957</v>
      </c>
      <c r="N645" s="2">
        <v>63244</v>
      </c>
      <c r="O645" s="2">
        <v>0</v>
      </c>
      <c r="P645" s="2"/>
      <c r="Q645" s="2">
        <v>198897</v>
      </c>
      <c r="R645" s="2">
        <v>-171088</v>
      </c>
      <c r="S645" s="2">
        <v>24113</v>
      </c>
      <c r="T645" s="2">
        <v>31383</v>
      </c>
      <c r="U645" s="2">
        <v>0</v>
      </c>
      <c r="V645" s="2"/>
      <c r="W645" s="2">
        <v>224060</v>
      </c>
      <c r="X645" s="2">
        <v>183558</v>
      </c>
      <c r="Y645" s="2">
        <v>149018</v>
      </c>
      <c r="Z645" s="2">
        <v>0</v>
      </c>
      <c r="AA645" s="2">
        <v>0</v>
      </c>
      <c r="AB645" s="2"/>
      <c r="AC645" s="2">
        <v>23941</v>
      </c>
      <c r="AD645" s="2">
        <v>23941</v>
      </c>
      <c r="AE645" s="2">
        <v>23941</v>
      </c>
      <c r="AF645" s="2">
        <v>23943</v>
      </c>
      <c r="AG645" s="2">
        <v>0</v>
      </c>
      <c r="AH645" s="2"/>
      <c r="AI645" s="2">
        <v>-51288</v>
      </c>
      <c r="AJ645" s="2">
        <v>-29602</v>
      </c>
      <c r="AK645" s="2">
        <v>-22329</v>
      </c>
      <c r="AL645" s="2">
        <v>0</v>
      </c>
      <c r="AM645" s="2">
        <v>-29602</v>
      </c>
    </row>
    <row r="646" spans="1:39">
      <c r="A646" s="349">
        <v>96831</v>
      </c>
      <c r="B646" s="342" t="s">
        <v>1337</v>
      </c>
      <c r="C646" s="234" t="e">
        <f>VLOOKUP(A646,#REF!,10,FALSE)</f>
        <v>#REF!</v>
      </c>
      <c r="E646" s="2">
        <v>439272</v>
      </c>
      <c r="F646" s="2">
        <v>128279</v>
      </c>
      <c r="G646" s="2">
        <v>231248</v>
      </c>
      <c r="H646" s="2">
        <v>61491</v>
      </c>
      <c r="I646" s="2">
        <v>0</v>
      </c>
      <c r="J646" s="2"/>
      <c r="K646" s="2">
        <v>135650</v>
      </c>
      <c r="L646" s="2">
        <v>127603</v>
      </c>
      <c r="M646" s="2">
        <v>114369</v>
      </c>
      <c r="N646" s="2">
        <v>45792</v>
      </c>
      <c r="O646" s="2">
        <v>0</v>
      </c>
      <c r="P646" s="2"/>
      <c r="Q646" s="2">
        <v>144012</v>
      </c>
      <c r="R646" s="2">
        <v>-123877</v>
      </c>
      <c r="S646" s="2">
        <v>17459</v>
      </c>
      <c r="T646" s="2">
        <v>22723</v>
      </c>
      <c r="U646" s="2">
        <v>0</v>
      </c>
      <c r="V646" s="2"/>
      <c r="W646" s="2">
        <v>162231</v>
      </c>
      <c r="X646" s="2">
        <v>132906</v>
      </c>
      <c r="Y646" s="2">
        <v>107897</v>
      </c>
      <c r="Z646" s="2">
        <v>0</v>
      </c>
      <c r="AA646" s="2">
        <v>0</v>
      </c>
      <c r="AB646" s="2"/>
      <c r="AC646" s="2">
        <v>5854</v>
      </c>
      <c r="AD646" s="2">
        <v>122</v>
      </c>
      <c r="AE646" s="2">
        <v>0</v>
      </c>
      <c r="AF646" s="2">
        <v>0</v>
      </c>
      <c r="AG646" s="2">
        <v>0</v>
      </c>
      <c r="AH646" s="2"/>
      <c r="AI646" s="2">
        <v>-8475</v>
      </c>
      <c r="AJ646" s="2">
        <v>-8475</v>
      </c>
      <c r="AK646" s="2">
        <v>-8477</v>
      </c>
      <c r="AL646" s="2">
        <v>-7024</v>
      </c>
      <c r="AM646" s="2">
        <v>-8475</v>
      </c>
    </row>
    <row r="647" spans="1:39">
      <c r="A647" s="349">
        <v>96901</v>
      </c>
      <c r="B647" s="342" t="s">
        <v>1338</v>
      </c>
      <c r="C647" s="234" t="e">
        <f>VLOOKUP(A647,#REF!,10,FALSE)</f>
        <v>#REF!</v>
      </c>
      <c r="E647" s="2">
        <v>494886</v>
      </c>
      <c r="F647" s="2">
        <v>168183</v>
      </c>
      <c r="G647" s="2">
        <v>263373</v>
      </c>
      <c r="H647" s="2">
        <v>79634</v>
      </c>
      <c r="I647" s="2">
        <v>0</v>
      </c>
      <c r="J647" s="2"/>
      <c r="K647" s="2">
        <v>143201</v>
      </c>
      <c r="L647" s="2">
        <v>134705</v>
      </c>
      <c r="M647" s="2">
        <v>120735</v>
      </c>
      <c r="N647" s="2">
        <v>48341</v>
      </c>
      <c r="O647" s="2">
        <v>0</v>
      </c>
      <c r="P647" s="2"/>
      <c r="Q647" s="2">
        <v>152027</v>
      </c>
      <c r="R647" s="2">
        <v>-130772</v>
      </c>
      <c r="S647" s="2">
        <v>18431</v>
      </c>
      <c r="T647" s="2">
        <v>23987</v>
      </c>
      <c r="U647" s="2">
        <v>0</v>
      </c>
      <c r="V647" s="2"/>
      <c r="W647" s="2">
        <v>171261</v>
      </c>
      <c r="X647" s="2">
        <v>140303</v>
      </c>
      <c r="Y647" s="2">
        <v>113902</v>
      </c>
      <c r="Z647" s="2">
        <v>0</v>
      </c>
      <c r="AA647" s="2">
        <v>0</v>
      </c>
      <c r="AB647" s="2"/>
      <c r="AC647" s="2">
        <v>28397</v>
      </c>
      <c r="AD647" s="2">
        <v>23947</v>
      </c>
      <c r="AE647" s="2">
        <v>10305</v>
      </c>
      <c r="AF647" s="2">
        <v>7306</v>
      </c>
      <c r="AG647" s="2">
        <v>0</v>
      </c>
      <c r="AH647" s="2"/>
      <c r="AI647" s="2">
        <v>0</v>
      </c>
      <c r="AJ647" s="2">
        <v>0</v>
      </c>
      <c r="AK647" s="2">
        <v>0</v>
      </c>
      <c r="AL647" s="2">
        <v>0</v>
      </c>
      <c r="AM647" s="2">
        <v>0</v>
      </c>
    </row>
    <row r="648" spans="1:39">
      <c r="A648" s="349">
        <v>96911</v>
      </c>
      <c r="B648" s="342" t="s">
        <v>1339</v>
      </c>
      <c r="C648" s="234" t="e">
        <f>VLOOKUP(A648,#REF!,10,FALSE)</f>
        <v>#REF!</v>
      </c>
      <c r="E648" s="2">
        <v>820</v>
      </c>
      <c r="F648" s="2">
        <v>872</v>
      </c>
      <c r="G648" s="2">
        <v>1186</v>
      </c>
      <c r="H648" s="2">
        <v>501</v>
      </c>
      <c r="I648" s="2">
        <v>0</v>
      </c>
      <c r="J648" s="2"/>
      <c r="K648" s="2">
        <v>345</v>
      </c>
      <c r="L648" s="2">
        <v>324</v>
      </c>
      <c r="M648" s="2">
        <v>291</v>
      </c>
      <c r="N648" s="2">
        <v>116</v>
      </c>
      <c r="O648" s="2">
        <v>0</v>
      </c>
      <c r="P648" s="2"/>
      <c r="Q648" s="2">
        <v>366</v>
      </c>
      <c r="R648" s="2">
        <v>-315</v>
      </c>
      <c r="S648" s="2">
        <v>44</v>
      </c>
      <c r="T648" s="2">
        <v>58</v>
      </c>
      <c r="U648" s="2">
        <v>0</v>
      </c>
      <c r="V648" s="2"/>
      <c r="W648" s="2">
        <v>412</v>
      </c>
      <c r="X648" s="2">
        <v>338</v>
      </c>
      <c r="Y648" s="2">
        <v>274</v>
      </c>
      <c r="Z648" s="2">
        <v>0</v>
      </c>
      <c r="AA648" s="2">
        <v>0</v>
      </c>
      <c r="AB648" s="2"/>
      <c r="AC648" s="2">
        <v>575</v>
      </c>
      <c r="AD648" s="2">
        <v>575</v>
      </c>
      <c r="AE648" s="2">
        <v>577</v>
      </c>
      <c r="AF648" s="2">
        <v>327</v>
      </c>
      <c r="AG648" s="2">
        <v>0</v>
      </c>
      <c r="AH648" s="2"/>
      <c r="AI648" s="2">
        <v>-878</v>
      </c>
      <c r="AJ648" s="2">
        <v>-50</v>
      </c>
      <c r="AK648" s="2">
        <v>0</v>
      </c>
      <c r="AL648" s="2">
        <v>0</v>
      </c>
      <c r="AM648" s="2">
        <v>-50</v>
      </c>
    </row>
    <row r="649" spans="1:39">
      <c r="A649" s="349">
        <v>96912</v>
      </c>
      <c r="B649" s="342" t="s">
        <v>1340</v>
      </c>
      <c r="C649" s="234" t="e">
        <f>VLOOKUP(A649,#REF!,10,FALSE)</f>
        <v>#REF!</v>
      </c>
      <c r="E649" s="2">
        <v>34027</v>
      </c>
      <c r="F649" s="2">
        <v>9979</v>
      </c>
      <c r="G649" s="2">
        <v>18922</v>
      </c>
      <c r="H649" s="2">
        <v>5198</v>
      </c>
      <c r="I649" s="2">
        <v>0</v>
      </c>
      <c r="J649" s="2"/>
      <c r="K649" s="2">
        <v>10786</v>
      </c>
      <c r="L649" s="2">
        <v>10146</v>
      </c>
      <c r="M649" s="2">
        <v>9094</v>
      </c>
      <c r="N649" s="2">
        <v>3641</v>
      </c>
      <c r="O649" s="2">
        <v>0</v>
      </c>
      <c r="P649" s="2"/>
      <c r="Q649" s="2">
        <v>11451</v>
      </c>
      <c r="R649" s="2">
        <v>-9850</v>
      </c>
      <c r="S649" s="2">
        <v>1388</v>
      </c>
      <c r="T649" s="2">
        <v>1807</v>
      </c>
      <c r="U649" s="2">
        <v>0</v>
      </c>
      <c r="V649" s="2"/>
      <c r="W649" s="2">
        <v>12900</v>
      </c>
      <c r="X649" s="2">
        <v>10568</v>
      </c>
      <c r="Y649" s="2">
        <v>8579</v>
      </c>
      <c r="Z649" s="2">
        <v>0</v>
      </c>
      <c r="AA649" s="2">
        <v>0</v>
      </c>
      <c r="AB649" s="2"/>
      <c r="AC649" s="2">
        <v>111</v>
      </c>
      <c r="AD649" s="2">
        <v>111</v>
      </c>
      <c r="AE649" s="2">
        <v>110</v>
      </c>
      <c r="AF649" s="2">
        <v>0</v>
      </c>
      <c r="AG649" s="2">
        <v>0</v>
      </c>
      <c r="AH649" s="2"/>
      <c r="AI649" s="2">
        <v>-1221</v>
      </c>
      <c r="AJ649" s="2">
        <v>-996</v>
      </c>
      <c r="AK649" s="2">
        <v>-249</v>
      </c>
      <c r="AL649" s="2">
        <v>-250</v>
      </c>
      <c r="AM649" s="2">
        <v>-996</v>
      </c>
    </row>
    <row r="650" spans="1:39">
      <c r="A650" s="349">
        <v>96918</v>
      </c>
      <c r="B650" s="342" t="s">
        <v>1341</v>
      </c>
      <c r="C650" s="234" t="e">
        <f>VLOOKUP(A650,#REF!,10,FALSE)</f>
        <v>#REF!</v>
      </c>
      <c r="E650" s="2">
        <v>13498</v>
      </c>
      <c r="F650" s="2">
        <v>3717</v>
      </c>
      <c r="G650" s="2">
        <v>6960</v>
      </c>
      <c r="H650" s="2">
        <v>2156</v>
      </c>
      <c r="I650" s="2">
        <v>0</v>
      </c>
      <c r="J650" s="2"/>
      <c r="K650" s="2">
        <v>4464</v>
      </c>
      <c r="L650" s="2">
        <v>4199</v>
      </c>
      <c r="M650" s="2">
        <v>3764</v>
      </c>
      <c r="N650" s="2">
        <v>1507</v>
      </c>
      <c r="O650" s="2">
        <v>0</v>
      </c>
      <c r="P650" s="2"/>
      <c r="Q650" s="2">
        <v>4739</v>
      </c>
      <c r="R650" s="2">
        <v>-4077</v>
      </c>
      <c r="S650" s="2">
        <v>575</v>
      </c>
      <c r="T650" s="2">
        <v>748</v>
      </c>
      <c r="U650" s="2">
        <v>0</v>
      </c>
      <c r="V650" s="2"/>
      <c r="W650" s="2">
        <v>5339</v>
      </c>
      <c r="X650" s="2">
        <v>4374</v>
      </c>
      <c r="Y650" s="2">
        <v>3551</v>
      </c>
      <c r="Z650" s="2">
        <v>0</v>
      </c>
      <c r="AA650" s="2">
        <v>0</v>
      </c>
      <c r="AB650" s="2"/>
      <c r="AC650" s="2">
        <v>150</v>
      </c>
      <c r="AD650" s="2">
        <v>149</v>
      </c>
      <c r="AE650" s="2">
        <v>0</v>
      </c>
      <c r="AF650" s="2">
        <v>0</v>
      </c>
      <c r="AG650" s="2">
        <v>0</v>
      </c>
      <c r="AH650" s="2"/>
      <c r="AI650" s="2">
        <v>-1194</v>
      </c>
      <c r="AJ650" s="2">
        <v>-928</v>
      </c>
      <c r="AK650" s="2">
        <v>-930</v>
      </c>
      <c r="AL650" s="2">
        <v>-99</v>
      </c>
      <c r="AM650" s="2">
        <v>-928</v>
      </c>
    </row>
    <row r="651" spans="1:39">
      <c r="A651" s="349">
        <v>97001</v>
      </c>
      <c r="B651" s="342" t="s">
        <v>1342</v>
      </c>
      <c r="C651" s="234" t="e">
        <f>VLOOKUP(A651,#REF!,10,FALSE)</f>
        <v>#REF!</v>
      </c>
      <c r="E651" s="2">
        <v>712452</v>
      </c>
      <c r="F651" s="2">
        <v>237521</v>
      </c>
      <c r="G651" s="2">
        <v>373759</v>
      </c>
      <c r="H651" s="2">
        <v>107362</v>
      </c>
      <c r="I651" s="2">
        <v>0</v>
      </c>
      <c r="J651" s="2"/>
      <c r="K651" s="2">
        <v>202854</v>
      </c>
      <c r="L651" s="2">
        <v>190820</v>
      </c>
      <c r="M651" s="2">
        <v>171030</v>
      </c>
      <c r="N651" s="2">
        <v>68478</v>
      </c>
      <c r="O651" s="2">
        <v>0</v>
      </c>
      <c r="P651" s="2"/>
      <c r="Q651" s="2">
        <v>215357</v>
      </c>
      <c r="R651" s="2">
        <v>-185248</v>
      </c>
      <c r="S651" s="2">
        <v>26108</v>
      </c>
      <c r="T651" s="2">
        <v>33980</v>
      </c>
      <c r="U651" s="2">
        <v>0</v>
      </c>
      <c r="V651" s="2"/>
      <c r="W651" s="2">
        <v>242603</v>
      </c>
      <c r="X651" s="2">
        <v>198749</v>
      </c>
      <c r="Y651" s="2">
        <v>161350</v>
      </c>
      <c r="Z651" s="2">
        <v>0</v>
      </c>
      <c r="AA651" s="2">
        <v>0</v>
      </c>
      <c r="AB651" s="2"/>
      <c r="AC651" s="2">
        <v>51638</v>
      </c>
      <c r="AD651" s="2">
        <v>33200</v>
      </c>
      <c r="AE651" s="2">
        <v>15271</v>
      </c>
      <c r="AF651" s="2">
        <v>4904</v>
      </c>
      <c r="AG651" s="2">
        <v>0</v>
      </c>
      <c r="AH651" s="2"/>
      <c r="AI651" s="2">
        <v>0</v>
      </c>
      <c r="AJ651" s="2">
        <v>0</v>
      </c>
      <c r="AK651" s="2">
        <v>0</v>
      </c>
      <c r="AL651" s="2">
        <v>0</v>
      </c>
      <c r="AM651" s="2">
        <v>0</v>
      </c>
    </row>
    <row r="652" spans="1:39">
      <c r="A652" s="349">
        <v>97002</v>
      </c>
      <c r="B652" s="342" t="s">
        <v>1343</v>
      </c>
      <c r="C652" s="234" t="e">
        <f>VLOOKUP(A652,#REF!,10,FALSE)</f>
        <v>#REF!</v>
      </c>
      <c r="E652" s="2">
        <v>219881</v>
      </c>
      <c r="F652" s="2">
        <v>48179</v>
      </c>
      <c r="G652" s="2">
        <v>107313</v>
      </c>
      <c r="H652" s="2">
        <v>29592</v>
      </c>
      <c r="I652" s="2">
        <v>0</v>
      </c>
      <c r="J652" s="2"/>
      <c r="K652" s="2">
        <v>75503</v>
      </c>
      <c r="L652" s="2">
        <v>71024</v>
      </c>
      <c r="M652" s="2">
        <v>63658</v>
      </c>
      <c r="N652" s="2">
        <v>25488</v>
      </c>
      <c r="O652" s="2">
        <v>0</v>
      </c>
      <c r="P652" s="2"/>
      <c r="Q652" s="2">
        <v>80157</v>
      </c>
      <c r="R652" s="2">
        <v>-68950</v>
      </c>
      <c r="S652" s="2">
        <v>9718</v>
      </c>
      <c r="T652" s="2">
        <v>12647</v>
      </c>
      <c r="U652" s="2">
        <v>0</v>
      </c>
      <c r="V652" s="2"/>
      <c r="W652" s="2">
        <v>90298</v>
      </c>
      <c r="X652" s="2">
        <v>73975</v>
      </c>
      <c r="Y652" s="2">
        <v>60055</v>
      </c>
      <c r="Z652" s="2">
        <v>0</v>
      </c>
      <c r="AA652" s="2">
        <v>0</v>
      </c>
      <c r="AB652" s="2"/>
      <c r="AC652" s="2">
        <v>1791</v>
      </c>
      <c r="AD652" s="2">
        <v>0</v>
      </c>
      <c r="AE652" s="2">
        <v>0</v>
      </c>
      <c r="AF652" s="2">
        <v>0</v>
      </c>
      <c r="AG652" s="2">
        <v>0</v>
      </c>
      <c r="AH652" s="2"/>
      <c r="AI652" s="2">
        <v>-27868</v>
      </c>
      <c r="AJ652" s="2">
        <v>-27870</v>
      </c>
      <c r="AK652" s="2">
        <v>-26118</v>
      </c>
      <c r="AL652" s="2">
        <v>-8543</v>
      </c>
      <c r="AM652" s="2">
        <v>-27870</v>
      </c>
    </row>
    <row r="653" spans="1:39">
      <c r="A653" s="349">
        <v>97004</v>
      </c>
      <c r="B653" s="342" t="s">
        <v>3686</v>
      </c>
      <c r="C653" s="234" t="e">
        <f>VLOOKUP(A653,#REF!,10,FALSE)</f>
        <v>#REF!</v>
      </c>
      <c r="E653" s="2">
        <v>10749</v>
      </c>
      <c r="F653" s="2">
        <v>5507</v>
      </c>
      <c r="G653" s="2">
        <v>6692</v>
      </c>
      <c r="H653" s="2">
        <v>3082</v>
      </c>
      <c r="I653" s="2">
        <v>0</v>
      </c>
      <c r="J653" s="2"/>
      <c r="K653" s="2">
        <v>2307</v>
      </c>
      <c r="L653" s="2">
        <v>2170</v>
      </c>
      <c r="M653" s="2">
        <v>1945</v>
      </c>
      <c r="N653" s="2">
        <v>779</v>
      </c>
      <c r="O653" s="2">
        <v>0</v>
      </c>
      <c r="P653" s="2"/>
      <c r="Q653" s="2">
        <v>2449</v>
      </c>
      <c r="R653" s="2">
        <v>-2107</v>
      </c>
      <c r="S653" s="2">
        <v>297</v>
      </c>
      <c r="T653" s="2">
        <v>386</v>
      </c>
      <c r="U653" s="2">
        <v>0</v>
      </c>
      <c r="V653" s="2"/>
      <c r="W653" s="2">
        <v>2759</v>
      </c>
      <c r="X653" s="2">
        <v>2260</v>
      </c>
      <c r="Y653" s="2">
        <v>1835</v>
      </c>
      <c r="Z653" s="2">
        <v>0</v>
      </c>
      <c r="AA653" s="2">
        <v>0</v>
      </c>
      <c r="AB653" s="2"/>
      <c r="AC653" s="2">
        <v>3234</v>
      </c>
      <c r="AD653" s="2">
        <v>3184</v>
      </c>
      <c r="AE653" s="2">
        <v>2615</v>
      </c>
      <c r="AF653" s="2">
        <v>1917</v>
      </c>
      <c r="AG653" s="2">
        <v>0</v>
      </c>
      <c r="AH653" s="2"/>
      <c r="AI653" s="2">
        <v>0</v>
      </c>
      <c r="AJ653" s="2">
        <v>0</v>
      </c>
      <c r="AK653" s="2">
        <v>0</v>
      </c>
      <c r="AL653" s="2">
        <v>0</v>
      </c>
      <c r="AM653" s="2">
        <v>0</v>
      </c>
    </row>
    <row r="654" spans="1:39">
      <c r="A654" s="349">
        <v>97005</v>
      </c>
      <c r="B654" s="342" t="s">
        <v>1345</v>
      </c>
      <c r="C654" s="234" t="e">
        <f>VLOOKUP(A654,#REF!,10,FALSE)</f>
        <v>#REF!</v>
      </c>
      <c r="E654" s="2">
        <v>11977</v>
      </c>
      <c r="F654" s="2">
        <v>5526</v>
      </c>
      <c r="G654" s="2">
        <v>5031</v>
      </c>
      <c r="H654" s="2">
        <v>1069</v>
      </c>
      <c r="I654" s="2">
        <v>0</v>
      </c>
      <c r="J654" s="2"/>
      <c r="K654" s="2">
        <v>3011</v>
      </c>
      <c r="L654" s="2">
        <v>2832</v>
      </c>
      <c r="M654" s="2">
        <v>2539</v>
      </c>
      <c r="N654" s="2">
        <v>1016</v>
      </c>
      <c r="O654" s="2">
        <v>0</v>
      </c>
      <c r="P654" s="2"/>
      <c r="Q654" s="2">
        <v>3197</v>
      </c>
      <c r="R654" s="2">
        <v>-2750</v>
      </c>
      <c r="S654" s="2">
        <v>388</v>
      </c>
      <c r="T654" s="2">
        <v>504</v>
      </c>
      <c r="U654" s="2">
        <v>0</v>
      </c>
      <c r="V654" s="2"/>
      <c r="W654" s="2">
        <v>3601</v>
      </c>
      <c r="X654" s="2">
        <v>2950</v>
      </c>
      <c r="Y654" s="2">
        <v>2395</v>
      </c>
      <c r="Z654" s="2">
        <v>0</v>
      </c>
      <c r="AA654" s="2">
        <v>0</v>
      </c>
      <c r="AB654" s="2"/>
      <c r="AC654" s="2">
        <v>2942</v>
      </c>
      <c r="AD654" s="2">
        <v>2944</v>
      </c>
      <c r="AE654" s="2">
        <v>159</v>
      </c>
      <c r="AF654" s="2">
        <v>0</v>
      </c>
      <c r="AG654" s="2">
        <v>0</v>
      </c>
      <c r="AH654" s="2"/>
      <c r="AI654" s="2">
        <v>-774</v>
      </c>
      <c r="AJ654" s="2">
        <v>-450</v>
      </c>
      <c r="AK654" s="2">
        <v>-450</v>
      </c>
      <c r="AL654" s="2">
        <v>-451</v>
      </c>
      <c r="AM654" s="2">
        <v>-450</v>
      </c>
    </row>
    <row r="655" spans="1:39">
      <c r="A655" s="349">
        <v>97008</v>
      </c>
      <c r="B655" s="342" t="s">
        <v>1346</v>
      </c>
      <c r="C655" s="234" t="e">
        <f>VLOOKUP(A655,#REF!,10,FALSE)</f>
        <v>#REF!</v>
      </c>
      <c r="E655" s="2">
        <v>142968</v>
      </c>
      <c r="F655" s="2">
        <v>46580</v>
      </c>
      <c r="G655" s="2">
        <v>77984</v>
      </c>
      <c r="H655" s="2">
        <v>24629</v>
      </c>
      <c r="I655" s="2">
        <v>0</v>
      </c>
      <c r="J655" s="2"/>
      <c r="K655" s="2">
        <v>42995</v>
      </c>
      <c r="L655" s="2">
        <v>40444</v>
      </c>
      <c r="M655" s="2">
        <v>36250</v>
      </c>
      <c r="N655" s="2">
        <v>14514</v>
      </c>
      <c r="O655" s="2">
        <v>0</v>
      </c>
      <c r="P655" s="2"/>
      <c r="Q655" s="2">
        <v>45645</v>
      </c>
      <c r="R655" s="2">
        <v>-39263</v>
      </c>
      <c r="S655" s="2">
        <v>5534</v>
      </c>
      <c r="T655" s="2">
        <v>7202</v>
      </c>
      <c r="U655" s="2">
        <v>0</v>
      </c>
      <c r="V655" s="2"/>
      <c r="W655" s="2">
        <v>51419</v>
      </c>
      <c r="X655" s="2">
        <v>42125</v>
      </c>
      <c r="Y655" s="2">
        <v>34198</v>
      </c>
      <c r="Z655" s="2">
        <v>0</v>
      </c>
      <c r="AA655" s="2">
        <v>0</v>
      </c>
      <c r="AB655" s="2"/>
      <c r="AC655" s="2">
        <v>4184</v>
      </c>
      <c r="AD655" s="2">
        <v>4184</v>
      </c>
      <c r="AE655" s="2">
        <v>2914</v>
      </c>
      <c r="AF655" s="2">
        <v>2913</v>
      </c>
      <c r="AG655" s="2">
        <v>0</v>
      </c>
      <c r="AH655" s="2"/>
      <c r="AI655" s="2">
        <v>-1275</v>
      </c>
      <c r="AJ655" s="2">
        <v>-910</v>
      </c>
      <c r="AK655" s="2">
        <v>-912</v>
      </c>
      <c r="AL655" s="2">
        <v>0</v>
      </c>
      <c r="AM655" s="2">
        <v>-910</v>
      </c>
    </row>
    <row r="656" spans="1:39">
      <c r="A656" s="349">
        <v>97011</v>
      </c>
      <c r="B656" s="342" t="s">
        <v>1348</v>
      </c>
      <c r="C656" s="234" t="e">
        <f>VLOOKUP(A656,#REF!,10,FALSE)</f>
        <v>#REF!</v>
      </c>
      <c r="E656" s="2">
        <v>848075</v>
      </c>
      <c r="F656" s="2">
        <v>250568</v>
      </c>
      <c r="G656" s="2">
        <v>460094</v>
      </c>
      <c r="H656" s="2">
        <v>114670</v>
      </c>
      <c r="I656" s="2">
        <v>0</v>
      </c>
      <c r="J656" s="2"/>
      <c r="K656" s="2">
        <v>275091</v>
      </c>
      <c r="L656" s="2">
        <v>258771</v>
      </c>
      <c r="M656" s="2">
        <v>231934</v>
      </c>
      <c r="N656" s="2">
        <v>92864</v>
      </c>
      <c r="O656" s="2">
        <v>0</v>
      </c>
      <c r="P656" s="2"/>
      <c r="Q656" s="2">
        <v>292047</v>
      </c>
      <c r="R656" s="2">
        <v>-251215</v>
      </c>
      <c r="S656" s="2">
        <v>35406</v>
      </c>
      <c r="T656" s="2">
        <v>46080</v>
      </c>
      <c r="U656" s="2">
        <v>0</v>
      </c>
      <c r="V656" s="2"/>
      <c r="W656" s="2">
        <v>328995</v>
      </c>
      <c r="X656" s="2">
        <v>269525</v>
      </c>
      <c r="Y656" s="2">
        <v>218808</v>
      </c>
      <c r="Z656" s="2">
        <v>0</v>
      </c>
      <c r="AA656" s="2">
        <v>0</v>
      </c>
      <c r="AB656" s="2"/>
      <c r="AC656" s="2">
        <v>0</v>
      </c>
      <c r="AD656" s="2">
        <v>0</v>
      </c>
      <c r="AE656" s="2">
        <v>0</v>
      </c>
      <c r="AF656" s="2">
        <v>0</v>
      </c>
      <c r="AG656" s="2">
        <v>0</v>
      </c>
      <c r="AH656" s="2"/>
      <c r="AI656" s="2">
        <v>-48058</v>
      </c>
      <c r="AJ656" s="2">
        <v>-26513</v>
      </c>
      <c r="AK656" s="2">
        <v>-26054</v>
      </c>
      <c r="AL656" s="2">
        <v>-24274</v>
      </c>
      <c r="AM656" s="2">
        <v>-26513</v>
      </c>
    </row>
    <row r="657" spans="1:39">
      <c r="A657" s="349">
        <v>97012</v>
      </c>
      <c r="B657" s="342" t="s">
        <v>3687</v>
      </c>
      <c r="C657" s="234" t="e">
        <f>VLOOKUP(A657,#REF!,10,FALSE)</f>
        <v>#REF!</v>
      </c>
      <c r="E657" s="2">
        <v>17082</v>
      </c>
      <c r="F657" s="2">
        <v>6307</v>
      </c>
      <c r="G657" s="2">
        <v>9082</v>
      </c>
      <c r="H657" s="2">
        <v>2651</v>
      </c>
      <c r="I657" s="2">
        <v>0</v>
      </c>
      <c r="J657" s="2"/>
      <c r="K657" s="2">
        <v>4449</v>
      </c>
      <c r="L657" s="2">
        <v>4185</v>
      </c>
      <c r="M657" s="2">
        <v>3751</v>
      </c>
      <c r="N657" s="2">
        <v>1502</v>
      </c>
      <c r="O657" s="2">
        <v>0</v>
      </c>
      <c r="P657" s="2"/>
      <c r="Q657" s="2">
        <v>4724</v>
      </c>
      <c r="R657" s="2">
        <v>-4063</v>
      </c>
      <c r="S657" s="2">
        <v>573</v>
      </c>
      <c r="T657" s="2">
        <v>745</v>
      </c>
      <c r="U657" s="2">
        <v>0</v>
      </c>
      <c r="V657" s="2"/>
      <c r="W657" s="2">
        <v>5321</v>
      </c>
      <c r="X657" s="2">
        <v>4359</v>
      </c>
      <c r="Y657" s="2">
        <v>3539</v>
      </c>
      <c r="Z657" s="2">
        <v>0</v>
      </c>
      <c r="AA657" s="2">
        <v>0</v>
      </c>
      <c r="AB657" s="2"/>
      <c r="AC657" s="2">
        <v>2588</v>
      </c>
      <c r="AD657" s="2">
        <v>1826</v>
      </c>
      <c r="AE657" s="2">
        <v>1219</v>
      </c>
      <c r="AF657" s="2">
        <v>404</v>
      </c>
      <c r="AG657" s="2">
        <v>0</v>
      </c>
      <c r="AH657" s="2"/>
      <c r="AI657" s="2">
        <v>0</v>
      </c>
      <c r="AJ657" s="2">
        <v>0</v>
      </c>
      <c r="AK657" s="2">
        <v>0</v>
      </c>
      <c r="AL657" s="2">
        <v>0</v>
      </c>
      <c r="AM657" s="2">
        <v>0</v>
      </c>
    </row>
    <row r="658" spans="1:39">
      <c r="A658" s="349">
        <v>97013</v>
      </c>
      <c r="B658" s="342" t="s">
        <v>1350</v>
      </c>
      <c r="C658" s="234" t="e">
        <f>VLOOKUP(A658,#REF!,10,FALSE)</f>
        <v>#REF!</v>
      </c>
      <c r="E658" s="2">
        <v>4447</v>
      </c>
      <c r="F658" s="2">
        <v>349</v>
      </c>
      <c r="G658" s="2">
        <v>1175</v>
      </c>
      <c r="H658" s="2">
        <v>-1430</v>
      </c>
      <c r="I658" s="2">
        <v>0</v>
      </c>
      <c r="J658" s="2"/>
      <c r="K658" s="2">
        <v>1348</v>
      </c>
      <c r="L658" s="2">
        <v>1268</v>
      </c>
      <c r="M658" s="2">
        <v>1137</v>
      </c>
      <c r="N658" s="2">
        <v>455</v>
      </c>
      <c r="O658" s="2">
        <v>0</v>
      </c>
      <c r="P658" s="2"/>
      <c r="Q658" s="2">
        <v>1431</v>
      </c>
      <c r="R658" s="2">
        <v>-1231</v>
      </c>
      <c r="S658" s="2">
        <v>174</v>
      </c>
      <c r="T658" s="2">
        <v>226</v>
      </c>
      <c r="U658" s="2">
        <v>0</v>
      </c>
      <c r="V658" s="2"/>
      <c r="W658" s="2">
        <v>1612</v>
      </c>
      <c r="X658" s="2">
        <v>1321</v>
      </c>
      <c r="Y658" s="2">
        <v>1072</v>
      </c>
      <c r="Z658" s="2">
        <v>0</v>
      </c>
      <c r="AA658" s="2">
        <v>0</v>
      </c>
      <c r="AB658" s="2"/>
      <c r="AC658" s="2">
        <v>2169</v>
      </c>
      <c r="AD658" s="2">
        <v>1104</v>
      </c>
      <c r="AE658" s="2">
        <v>905</v>
      </c>
      <c r="AF658" s="2">
        <v>0</v>
      </c>
      <c r="AG658" s="2">
        <v>0</v>
      </c>
      <c r="AH658" s="2"/>
      <c r="AI658" s="2">
        <v>-2113</v>
      </c>
      <c r="AJ658" s="2">
        <v>-2113</v>
      </c>
      <c r="AK658" s="2">
        <v>-2113</v>
      </c>
      <c r="AL658" s="2">
        <v>-2111</v>
      </c>
      <c r="AM658" s="2">
        <v>-2113</v>
      </c>
    </row>
    <row r="659" spans="1:39">
      <c r="A659" s="349">
        <v>97015</v>
      </c>
      <c r="B659" s="342" t="s">
        <v>1351</v>
      </c>
      <c r="C659" s="234" t="e">
        <f>VLOOKUP(A659,#REF!,10,FALSE)</f>
        <v>#REF!</v>
      </c>
      <c r="E659" s="2">
        <v>21544</v>
      </c>
      <c r="F659" s="2">
        <v>6050</v>
      </c>
      <c r="G659" s="2">
        <v>12298</v>
      </c>
      <c r="H659" s="2">
        <v>2172</v>
      </c>
      <c r="I659" s="2">
        <v>0</v>
      </c>
      <c r="J659" s="2"/>
      <c r="K659" s="2">
        <v>6577</v>
      </c>
      <c r="L659" s="2">
        <v>6186</v>
      </c>
      <c r="M659" s="2">
        <v>5545</v>
      </c>
      <c r="N659" s="2">
        <v>2220</v>
      </c>
      <c r="O659" s="2">
        <v>0</v>
      </c>
      <c r="P659" s="2"/>
      <c r="Q659" s="2">
        <v>6982</v>
      </c>
      <c r="R659" s="2">
        <v>-6006</v>
      </c>
      <c r="S659" s="2">
        <v>846</v>
      </c>
      <c r="T659" s="2">
        <v>1102</v>
      </c>
      <c r="U659" s="2">
        <v>0</v>
      </c>
      <c r="V659" s="2"/>
      <c r="W659" s="2">
        <v>7865</v>
      </c>
      <c r="X659" s="2">
        <v>6443</v>
      </c>
      <c r="Y659" s="2">
        <v>5231</v>
      </c>
      <c r="Z659" s="2">
        <v>0</v>
      </c>
      <c r="AA659" s="2">
        <v>0</v>
      </c>
      <c r="AB659" s="2"/>
      <c r="AC659" s="2">
        <v>2518</v>
      </c>
      <c r="AD659" s="2">
        <v>1826</v>
      </c>
      <c r="AE659" s="2">
        <v>1826</v>
      </c>
      <c r="AF659" s="2">
        <v>0</v>
      </c>
      <c r="AG659" s="2">
        <v>0</v>
      </c>
      <c r="AH659" s="2"/>
      <c r="AI659" s="2">
        <v>-2398</v>
      </c>
      <c r="AJ659" s="2">
        <v>-2399</v>
      </c>
      <c r="AK659" s="2">
        <v>-1150</v>
      </c>
      <c r="AL659" s="2">
        <v>-1150</v>
      </c>
      <c r="AM659" s="2">
        <v>-2399</v>
      </c>
    </row>
    <row r="660" spans="1:39">
      <c r="A660" s="349">
        <v>97018</v>
      </c>
      <c r="B660" s="342" t="s">
        <v>3688</v>
      </c>
      <c r="C660" s="234" t="e">
        <f>VLOOKUP(A660,#REF!,10,FALSE)</f>
        <v>#REF!</v>
      </c>
      <c r="E660" s="2">
        <v>11722</v>
      </c>
      <c r="F660" s="2">
        <v>5593</v>
      </c>
      <c r="G660" s="2">
        <v>6755</v>
      </c>
      <c r="H660" s="2">
        <v>2875</v>
      </c>
      <c r="I660" s="2">
        <v>0</v>
      </c>
      <c r="J660" s="2"/>
      <c r="K660" s="2">
        <v>2457</v>
      </c>
      <c r="L660" s="2">
        <v>2311</v>
      </c>
      <c r="M660" s="2">
        <v>2071</v>
      </c>
      <c r="N660" s="2">
        <v>829</v>
      </c>
      <c r="O660" s="2">
        <v>0</v>
      </c>
      <c r="P660" s="2"/>
      <c r="Q660" s="2">
        <v>2608</v>
      </c>
      <c r="R660" s="2">
        <v>-2244</v>
      </c>
      <c r="S660" s="2">
        <v>316</v>
      </c>
      <c r="T660" s="2">
        <v>412</v>
      </c>
      <c r="U660" s="2">
        <v>0</v>
      </c>
      <c r="V660" s="2"/>
      <c r="W660" s="2">
        <v>2938</v>
      </c>
      <c r="X660" s="2">
        <v>2407</v>
      </c>
      <c r="Y660" s="2">
        <v>1954</v>
      </c>
      <c r="Z660" s="2">
        <v>0</v>
      </c>
      <c r="AA660" s="2">
        <v>0</v>
      </c>
      <c r="AB660" s="2"/>
      <c r="AC660" s="2">
        <v>3719</v>
      </c>
      <c r="AD660" s="2">
        <v>3119</v>
      </c>
      <c r="AE660" s="2">
        <v>2414</v>
      </c>
      <c r="AF660" s="2">
        <v>1634</v>
      </c>
      <c r="AG660" s="2">
        <v>0</v>
      </c>
      <c r="AH660" s="2"/>
      <c r="AI660" s="2">
        <v>0</v>
      </c>
      <c r="AJ660" s="2">
        <v>0</v>
      </c>
      <c r="AK660" s="2">
        <v>0</v>
      </c>
      <c r="AL660" s="2">
        <v>0</v>
      </c>
      <c r="AM660" s="2">
        <v>0</v>
      </c>
    </row>
    <row r="661" spans="1:39">
      <c r="A661" s="349">
        <v>97101</v>
      </c>
      <c r="B661" s="342" t="s">
        <v>1353</v>
      </c>
      <c r="C661" s="234" t="e">
        <f>VLOOKUP(A661,#REF!,10,FALSE)</f>
        <v>#REF!</v>
      </c>
      <c r="E661" s="2">
        <v>1408201</v>
      </c>
      <c r="F661" s="2">
        <v>485567</v>
      </c>
      <c r="G661" s="2">
        <v>795871</v>
      </c>
      <c r="H661" s="2">
        <v>273260</v>
      </c>
      <c r="I661" s="2">
        <v>0</v>
      </c>
      <c r="J661" s="2"/>
      <c r="K661" s="2">
        <v>409482</v>
      </c>
      <c r="L661" s="2">
        <v>385191</v>
      </c>
      <c r="M661" s="2">
        <v>345242</v>
      </c>
      <c r="N661" s="2">
        <v>138231</v>
      </c>
      <c r="O661" s="2">
        <v>0</v>
      </c>
      <c r="P661" s="2"/>
      <c r="Q661" s="2">
        <v>434723</v>
      </c>
      <c r="R661" s="2">
        <v>-373943</v>
      </c>
      <c r="S661" s="2">
        <v>52703</v>
      </c>
      <c r="T661" s="2">
        <v>68592</v>
      </c>
      <c r="U661" s="2">
        <v>0</v>
      </c>
      <c r="V661" s="2"/>
      <c r="W661" s="2">
        <v>489721</v>
      </c>
      <c r="X661" s="2">
        <v>401198</v>
      </c>
      <c r="Y661" s="2">
        <v>325704</v>
      </c>
      <c r="Z661" s="2">
        <v>0</v>
      </c>
      <c r="AA661" s="2">
        <v>0</v>
      </c>
      <c r="AB661" s="2"/>
      <c r="AC661" s="2">
        <v>74275</v>
      </c>
      <c r="AD661" s="2">
        <v>73121</v>
      </c>
      <c r="AE661" s="2">
        <v>72222</v>
      </c>
      <c r="AF661" s="2">
        <v>66437</v>
      </c>
      <c r="AG661" s="2">
        <v>0</v>
      </c>
      <c r="AH661" s="2"/>
      <c r="AI661" s="2">
        <v>0</v>
      </c>
      <c r="AJ661" s="2">
        <v>0</v>
      </c>
      <c r="AK661" s="2">
        <v>0</v>
      </c>
      <c r="AL661" s="2">
        <v>0</v>
      </c>
      <c r="AM661" s="2">
        <v>0</v>
      </c>
    </row>
    <row r="662" spans="1:39">
      <c r="A662" s="349">
        <v>97104</v>
      </c>
      <c r="B662" s="342" t="s">
        <v>1354</v>
      </c>
      <c r="C662" s="234" t="e">
        <f>VLOOKUP(A662,#REF!,10,FALSE)</f>
        <v>#REF!</v>
      </c>
      <c r="E662" s="2">
        <v>29826</v>
      </c>
      <c r="F662" s="2">
        <v>10517</v>
      </c>
      <c r="G662" s="2">
        <v>16253</v>
      </c>
      <c r="H662" s="2">
        <v>4617</v>
      </c>
      <c r="I662" s="2">
        <v>0</v>
      </c>
      <c r="J662" s="2"/>
      <c r="K662" s="2">
        <v>8105</v>
      </c>
      <c r="L662" s="2">
        <v>7624</v>
      </c>
      <c r="M662" s="2">
        <v>6833</v>
      </c>
      <c r="N662" s="2">
        <v>2736</v>
      </c>
      <c r="O662" s="2">
        <v>0</v>
      </c>
      <c r="P662" s="2"/>
      <c r="Q662" s="2">
        <v>8604</v>
      </c>
      <c r="R662" s="2">
        <v>-7401</v>
      </c>
      <c r="S662" s="2">
        <v>1043</v>
      </c>
      <c r="T662" s="2">
        <v>1358</v>
      </c>
      <c r="U662" s="2">
        <v>0</v>
      </c>
      <c r="V662" s="2"/>
      <c r="W662" s="2">
        <v>9693</v>
      </c>
      <c r="X662" s="2">
        <v>7941</v>
      </c>
      <c r="Y662" s="2">
        <v>6446</v>
      </c>
      <c r="Z662" s="2">
        <v>0</v>
      </c>
      <c r="AA662" s="2">
        <v>0</v>
      </c>
      <c r="AB662" s="2"/>
      <c r="AC662" s="2">
        <v>3424</v>
      </c>
      <c r="AD662" s="2">
        <v>2353</v>
      </c>
      <c r="AE662" s="2">
        <v>1931</v>
      </c>
      <c r="AF662" s="2">
        <v>523</v>
      </c>
      <c r="AG662" s="2">
        <v>0</v>
      </c>
      <c r="AH662" s="2"/>
      <c r="AI662" s="2">
        <v>0</v>
      </c>
      <c r="AJ662" s="2">
        <v>0</v>
      </c>
      <c r="AK662" s="2">
        <v>0</v>
      </c>
      <c r="AL662" s="2">
        <v>0</v>
      </c>
      <c r="AM662" s="2">
        <v>0</v>
      </c>
    </row>
    <row r="663" spans="1:39">
      <c r="A663" s="349">
        <v>97111</v>
      </c>
      <c r="B663" s="342" t="s">
        <v>1355</v>
      </c>
      <c r="C663" s="234" t="e">
        <f>VLOOKUP(A663,#REF!,10,FALSE)</f>
        <v>#REF!</v>
      </c>
      <c r="E663" s="2">
        <v>131183</v>
      </c>
      <c r="F663" s="2">
        <v>34835</v>
      </c>
      <c r="G663" s="2">
        <v>69545</v>
      </c>
      <c r="H663" s="2">
        <v>17622</v>
      </c>
      <c r="I663" s="2">
        <v>0</v>
      </c>
      <c r="J663" s="2"/>
      <c r="K663" s="2">
        <v>42680</v>
      </c>
      <c r="L663" s="2">
        <v>40148</v>
      </c>
      <c r="M663" s="2">
        <v>35984</v>
      </c>
      <c r="N663" s="2">
        <v>14408</v>
      </c>
      <c r="O663" s="2">
        <v>0</v>
      </c>
      <c r="P663" s="2"/>
      <c r="Q663" s="2">
        <v>45311</v>
      </c>
      <c r="R663" s="2">
        <v>-38976</v>
      </c>
      <c r="S663" s="2">
        <v>5493</v>
      </c>
      <c r="T663" s="2">
        <v>7149</v>
      </c>
      <c r="U663" s="2">
        <v>0</v>
      </c>
      <c r="V663" s="2"/>
      <c r="W663" s="2">
        <v>51043</v>
      </c>
      <c r="X663" s="2">
        <v>41816</v>
      </c>
      <c r="Y663" s="2">
        <v>33948</v>
      </c>
      <c r="Z663" s="2">
        <v>0</v>
      </c>
      <c r="AA663" s="2">
        <v>0</v>
      </c>
      <c r="AB663" s="2"/>
      <c r="AC663" s="2">
        <v>304</v>
      </c>
      <c r="AD663" s="2">
        <v>0</v>
      </c>
      <c r="AE663" s="2">
        <v>0</v>
      </c>
      <c r="AF663" s="2">
        <v>0</v>
      </c>
      <c r="AG663" s="2">
        <v>0</v>
      </c>
      <c r="AH663" s="2"/>
      <c r="AI663" s="2">
        <v>-8155</v>
      </c>
      <c r="AJ663" s="2">
        <v>-8153</v>
      </c>
      <c r="AK663" s="2">
        <v>-5880</v>
      </c>
      <c r="AL663" s="2">
        <v>-3935</v>
      </c>
      <c r="AM663" s="2">
        <v>-8153</v>
      </c>
    </row>
    <row r="664" spans="1:39">
      <c r="A664" s="349">
        <v>97121</v>
      </c>
      <c r="B664" s="342" t="s">
        <v>1356</v>
      </c>
      <c r="C664" s="234" t="e">
        <f>VLOOKUP(A664,#REF!,10,FALSE)</f>
        <v>#REF!</v>
      </c>
      <c r="E664" s="2">
        <v>80983</v>
      </c>
      <c r="F664" s="2">
        <v>33163</v>
      </c>
      <c r="G664" s="2">
        <v>46750</v>
      </c>
      <c r="H664" s="2">
        <v>17166</v>
      </c>
      <c r="I664" s="2">
        <v>0</v>
      </c>
      <c r="J664" s="2"/>
      <c r="K664" s="2">
        <v>22366</v>
      </c>
      <c r="L664" s="2">
        <v>21039</v>
      </c>
      <c r="M664" s="2">
        <v>18857</v>
      </c>
      <c r="N664" s="2">
        <v>7550</v>
      </c>
      <c r="O664" s="2">
        <v>0</v>
      </c>
      <c r="P664" s="2"/>
      <c r="Q664" s="2">
        <v>23745</v>
      </c>
      <c r="R664" s="2">
        <v>-20425</v>
      </c>
      <c r="S664" s="2">
        <v>2879</v>
      </c>
      <c r="T664" s="2">
        <v>3747</v>
      </c>
      <c r="U664" s="2">
        <v>0</v>
      </c>
      <c r="V664" s="2"/>
      <c r="W664" s="2">
        <v>26749</v>
      </c>
      <c r="X664" s="2">
        <v>21914</v>
      </c>
      <c r="Y664" s="2">
        <v>17790</v>
      </c>
      <c r="Z664" s="2">
        <v>0</v>
      </c>
      <c r="AA664" s="2">
        <v>0</v>
      </c>
      <c r="AB664" s="2"/>
      <c r="AC664" s="2">
        <v>10634</v>
      </c>
      <c r="AD664" s="2">
        <v>10635</v>
      </c>
      <c r="AE664" s="2">
        <v>7224</v>
      </c>
      <c r="AF664" s="2">
        <v>5869</v>
      </c>
      <c r="AG664" s="2">
        <v>0</v>
      </c>
      <c r="AH664" s="2"/>
      <c r="AI664" s="2">
        <v>-2511</v>
      </c>
      <c r="AJ664" s="2">
        <v>0</v>
      </c>
      <c r="AK664" s="2">
        <v>0</v>
      </c>
      <c r="AL664" s="2">
        <v>0</v>
      </c>
      <c r="AM664" s="2">
        <v>0</v>
      </c>
    </row>
    <row r="665" spans="1:39">
      <c r="A665" s="349">
        <v>97131</v>
      </c>
      <c r="B665" s="342" t="s">
        <v>1357</v>
      </c>
      <c r="C665" s="234" t="e">
        <f>VLOOKUP(A665,#REF!,10,FALSE)</f>
        <v>#REF!</v>
      </c>
      <c r="E665" s="2">
        <v>297103</v>
      </c>
      <c r="F665" s="2">
        <v>77384</v>
      </c>
      <c r="G665" s="2">
        <v>145498</v>
      </c>
      <c r="H665" s="2">
        <v>51192</v>
      </c>
      <c r="I665" s="2">
        <v>0</v>
      </c>
      <c r="J665" s="2"/>
      <c r="K665" s="2">
        <v>97944</v>
      </c>
      <c r="L665" s="2">
        <v>92133</v>
      </c>
      <c r="M665" s="2">
        <v>82578</v>
      </c>
      <c r="N665" s="2">
        <v>33063</v>
      </c>
      <c r="O665" s="2">
        <v>0</v>
      </c>
      <c r="P665" s="2"/>
      <c r="Q665" s="2">
        <v>103981</v>
      </c>
      <c r="R665" s="2">
        <v>-89443</v>
      </c>
      <c r="S665" s="2">
        <v>12606</v>
      </c>
      <c r="T665" s="2">
        <v>16406</v>
      </c>
      <c r="U665" s="2">
        <v>0</v>
      </c>
      <c r="V665" s="2"/>
      <c r="W665" s="2">
        <v>117136</v>
      </c>
      <c r="X665" s="2">
        <v>95962</v>
      </c>
      <c r="Y665" s="2">
        <v>77905</v>
      </c>
      <c r="Z665" s="2">
        <v>0</v>
      </c>
      <c r="AA665" s="2">
        <v>0</v>
      </c>
      <c r="AB665" s="2"/>
      <c r="AC665" s="2">
        <v>8044</v>
      </c>
      <c r="AD665" s="2">
        <v>8044</v>
      </c>
      <c r="AE665" s="2">
        <v>1722</v>
      </c>
      <c r="AF665" s="2">
        <v>1723</v>
      </c>
      <c r="AG665" s="2">
        <v>0</v>
      </c>
      <c r="AH665" s="2"/>
      <c r="AI665" s="2">
        <v>-30002</v>
      </c>
      <c r="AJ665" s="2">
        <v>-29312</v>
      </c>
      <c r="AK665" s="2">
        <v>-29313</v>
      </c>
      <c r="AL665" s="2">
        <v>0</v>
      </c>
      <c r="AM665" s="2">
        <v>-29312</v>
      </c>
    </row>
    <row r="666" spans="1:39">
      <c r="A666" s="349">
        <v>97201</v>
      </c>
      <c r="B666" s="342" t="s">
        <v>1358</v>
      </c>
      <c r="C666" s="234" t="e">
        <f>VLOOKUP(A666,#REF!,10,FALSE)</f>
        <v>#REF!</v>
      </c>
      <c r="E666" s="2">
        <v>311169</v>
      </c>
      <c r="F666" s="2">
        <v>109295</v>
      </c>
      <c r="G666" s="2">
        <v>169220</v>
      </c>
      <c r="H666" s="2">
        <v>58862</v>
      </c>
      <c r="I666" s="2">
        <v>0</v>
      </c>
      <c r="J666" s="2"/>
      <c r="K666" s="2">
        <v>87682</v>
      </c>
      <c r="L666" s="2">
        <v>82480</v>
      </c>
      <c r="M666" s="2">
        <v>73926</v>
      </c>
      <c r="N666" s="2">
        <v>29599</v>
      </c>
      <c r="O666" s="2">
        <v>0</v>
      </c>
      <c r="P666" s="2"/>
      <c r="Q666" s="2">
        <v>93087</v>
      </c>
      <c r="R666" s="2">
        <v>-80072</v>
      </c>
      <c r="S666" s="2">
        <v>11285</v>
      </c>
      <c r="T666" s="2">
        <v>14688</v>
      </c>
      <c r="U666" s="2">
        <v>0</v>
      </c>
      <c r="V666" s="2"/>
      <c r="W666" s="2">
        <v>104864</v>
      </c>
      <c r="X666" s="2">
        <v>85908</v>
      </c>
      <c r="Y666" s="2">
        <v>69743</v>
      </c>
      <c r="Z666" s="2">
        <v>0</v>
      </c>
      <c r="AA666" s="2">
        <v>0</v>
      </c>
      <c r="AB666" s="2"/>
      <c r="AC666" s="2">
        <v>25848</v>
      </c>
      <c r="AD666" s="2">
        <v>21291</v>
      </c>
      <c r="AE666" s="2">
        <v>14576</v>
      </c>
      <c r="AF666" s="2">
        <v>14575</v>
      </c>
      <c r="AG666" s="2">
        <v>0</v>
      </c>
      <c r="AH666" s="2"/>
      <c r="AI666" s="2">
        <v>-312</v>
      </c>
      <c r="AJ666" s="2">
        <v>-312</v>
      </c>
      <c r="AK666" s="2">
        <v>-310</v>
      </c>
      <c r="AL666" s="2">
        <v>0</v>
      </c>
      <c r="AM666" s="2">
        <v>-312</v>
      </c>
    </row>
    <row r="667" spans="1:39">
      <c r="A667" s="349">
        <v>97211</v>
      </c>
      <c r="B667" s="342" t="s">
        <v>1359</v>
      </c>
      <c r="C667" s="234" t="e">
        <f>VLOOKUP(A667,#REF!,10,FALSE)</f>
        <v>#REF!</v>
      </c>
      <c r="E667" s="2">
        <v>30121</v>
      </c>
      <c r="F667" s="2">
        <v>6273</v>
      </c>
      <c r="G667" s="2">
        <v>12117</v>
      </c>
      <c r="H667" s="2">
        <v>-2065</v>
      </c>
      <c r="I667" s="2">
        <v>0</v>
      </c>
      <c r="J667" s="2"/>
      <c r="K667" s="2">
        <v>12194</v>
      </c>
      <c r="L667" s="2">
        <v>11471</v>
      </c>
      <c r="M667" s="2">
        <v>10281</v>
      </c>
      <c r="N667" s="2">
        <v>4116</v>
      </c>
      <c r="O667" s="2">
        <v>0</v>
      </c>
      <c r="P667" s="2"/>
      <c r="Q667" s="2">
        <v>12946</v>
      </c>
      <c r="R667" s="2">
        <v>-11136</v>
      </c>
      <c r="S667" s="2">
        <v>1569</v>
      </c>
      <c r="T667" s="2">
        <v>2043</v>
      </c>
      <c r="U667" s="2">
        <v>0</v>
      </c>
      <c r="V667" s="2"/>
      <c r="W667" s="2">
        <v>14584</v>
      </c>
      <c r="X667" s="2">
        <v>11948</v>
      </c>
      <c r="Y667" s="2">
        <v>9699</v>
      </c>
      <c r="Z667" s="2">
        <v>0</v>
      </c>
      <c r="AA667" s="2">
        <v>0</v>
      </c>
      <c r="AB667" s="2"/>
      <c r="AC667" s="2">
        <v>3426</v>
      </c>
      <c r="AD667" s="2">
        <v>3424</v>
      </c>
      <c r="AE667" s="2">
        <v>0</v>
      </c>
      <c r="AF667" s="2">
        <v>0</v>
      </c>
      <c r="AG667" s="2">
        <v>0</v>
      </c>
      <c r="AH667" s="2"/>
      <c r="AI667" s="2">
        <v>-13029</v>
      </c>
      <c r="AJ667" s="2">
        <v>-9434</v>
      </c>
      <c r="AK667" s="2">
        <v>-9432</v>
      </c>
      <c r="AL667" s="2">
        <v>-8224</v>
      </c>
      <c r="AM667" s="2">
        <v>-9434</v>
      </c>
    </row>
    <row r="668" spans="1:39">
      <c r="A668" s="349">
        <v>97213</v>
      </c>
      <c r="B668" s="342" t="s">
        <v>2763</v>
      </c>
      <c r="C668" s="234" t="e">
        <f>VLOOKUP(A668,#REF!,10,FALSE)</f>
        <v>#REF!</v>
      </c>
      <c r="E668" s="2">
        <v>18447</v>
      </c>
      <c r="F668" s="2">
        <v>6629</v>
      </c>
      <c r="G668" s="2">
        <v>9192</v>
      </c>
      <c r="H668" s="2">
        <v>1449</v>
      </c>
      <c r="I668" s="2">
        <v>0</v>
      </c>
      <c r="J668" s="2"/>
      <c r="K668" s="2">
        <v>5318</v>
      </c>
      <c r="L668" s="2">
        <v>5003</v>
      </c>
      <c r="M668" s="2">
        <v>4484</v>
      </c>
      <c r="N668" s="2">
        <v>1795</v>
      </c>
      <c r="O668" s="2">
        <v>0</v>
      </c>
      <c r="P668" s="2"/>
      <c r="Q668" s="2">
        <v>5646</v>
      </c>
      <c r="R668" s="2">
        <v>-4857</v>
      </c>
      <c r="S668" s="2">
        <v>684</v>
      </c>
      <c r="T668" s="2">
        <v>891</v>
      </c>
      <c r="U668" s="2">
        <v>0</v>
      </c>
      <c r="V668" s="2"/>
      <c r="W668" s="2">
        <v>6360</v>
      </c>
      <c r="X668" s="2">
        <v>5211</v>
      </c>
      <c r="Y668" s="2">
        <v>4230</v>
      </c>
      <c r="Z668" s="2">
        <v>0</v>
      </c>
      <c r="AA668" s="2">
        <v>0</v>
      </c>
      <c r="AB668" s="2"/>
      <c r="AC668" s="2">
        <v>2511</v>
      </c>
      <c r="AD668" s="2">
        <v>2511</v>
      </c>
      <c r="AE668" s="2">
        <v>1033</v>
      </c>
      <c r="AF668" s="2">
        <v>0</v>
      </c>
      <c r="AG668" s="2">
        <v>0</v>
      </c>
      <c r="AH668" s="2"/>
      <c r="AI668" s="2">
        <v>-1388</v>
      </c>
      <c r="AJ668" s="2">
        <v>-1239</v>
      </c>
      <c r="AK668" s="2">
        <v>-1239</v>
      </c>
      <c r="AL668" s="2">
        <v>-1237</v>
      </c>
      <c r="AM668" s="2">
        <v>-1239</v>
      </c>
    </row>
    <row r="669" spans="1:39">
      <c r="A669" s="349">
        <v>97217</v>
      </c>
      <c r="B669" s="342" t="s">
        <v>1361</v>
      </c>
      <c r="C669" s="234" t="e">
        <f>VLOOKUP(A669,#REF!,10,FALSE)</f>
        <v>#REF!</v>
      </c>
      <c r="E669" s="2">
        <v>6082</v>
      </c>
      <c r="F669" s="2">
        <v>3470</v>
      </c>
      <c r="G669" s="2">
        <v>3200</v>
      </c>
      <c r="H669" s="2">
        <v>1279</v>
      </c>
      <c r="I669" s="2">
        <v>0</v>
      </c>
      <c r="J669" s="2"/>
      <c r="K669" s="2">
        <v>839</v>
      </c>
      <c r="L669" s="2">
        <v>789</v>
      </c>
      <c r="M669" s="2">
        <v>707</v>
      </c>
      <c r="N669" s="2">
        <v>283</v>
      </c>
      <c r="O669" s="2">
        <v>0</v>
      </c>
      <c r="P669" s="2"/>
      <c r="Q669" s="2">
        <v>891</v>
      </c>
      <c r="R669" s="2">
        <v>-766</v>
      </c>
      <c r="S669" s="2">
        <v>108</v>
      </c>
      <c r="T669" s="2">
        <v>141</v>
      </c>
      <c r="U669" s="2">
        <v>0</v>
      </c>
      <c r="V669" s="2"/>
      <c r="W669" s="2">
        <v>1003</v>
      </c>
      <c r="X669" s="2">
        <v>822</v>
      </c>
      <c r="Y669" s="2">
        <v>667</v>
      </c>
      <c r="Z669" s="2">
        <v>0</v>
      </c>
      <c r="AA669" s="2">
        <v>0</v>
      </c>
      <c r="AB669" s="2"/>
      <c r="AC669" s="2">
        <v>3349</v>
      </c>
      <c r="AD669" s="2">
        <v>2625</v>
      </c>
      <c r="AE669" s="2">
        <v>1718</v>
      </c>
      <c r="AF669" s="2">
        <v>855</v>
      </c>
      <c r="AG669" s="2">
        <v>0</v>
      </c>
      <c r="AH669" s="2"/>
      <c r="AI669" s="2">
        <v>0</v>
      </c>
      <c r="AJ669" s="2">
        <v>0</v>
      </c>
      <c r="AK669" s="2">
        <v>0</v>
      </c>
      <c r="AL669" s="2">
        <v>0</v>
      </c>
      <c r="AM669" s="2">
        <v>0</v>
      </c>
    </row>
    <row r="670" spans="1:39">
      <c r="A670" s="349">
        <v>97221</v>
      </c>
      <c r="B670" s="342" t="s">
        <v>1362</v>
      </c>
      <c r="C670" s="234" t="e">
        <f>VLOOKUP(A670,#REF!,10,FALSE)</f>
        <v>#REF!</v>
      </c>
      <c r="E670" s="2">
        <v>9876</v>
      </c>
      <c r="F670" s="2">
        <v>4991</v>
      </c>
      <c r="G670" s="2">
        <v>5340</v>
      </c>
      <c r="H670" s="2">
        <v>2719</v>
      </c>
      <c r="I670" s="2">
        <v>0</v>
      </c>
      <c r="J670" s="2"/>
      <c r="K670" s="2">
        <v>1858</v>
      </c>
      <c r="L670" s="2">
        <v>1747</v>
      </c>
      <c r="M670" s="2">
        <v>1566</v>
      </c>
      <c r="N670" s="2">
        <v>627</v>
      </c>
      <c r="O670" s="2">
        <v>0</v>
      </c>
      <c r="P670" s="2"/>
      <c r="Q670" s="2">
        <v>1972</v>
      </c>
      <c r="R670" s="2">
        <v>-1696</v>
      </c>
      <c r="S670" s="2">
        <v>239</v>
      </c>
      <c r="T670" s="2">
        <v>311</v>
      </c>
      <c r="U670" s="2">
        <v>0</v>
      </c>
      <c r="V670" s="2"/>
      <c r="W670" s="2">
        <v>2222</v>
      </c>
      <c r="X670" s="2">
        <v>1820</v>
      </c>
      <c r="Y670" s="2">
        <v>1478</v>
      </c>
      <c r="Z670" s="2">
        <v>0</v>
      </c>
      <c r="AA670" s="2">
        <v>0</v>
      </c>
      <c r="AB670" s="2"/>
      <c r="AC670" s="2">
        <v>3824</v>
      </c>
      <c r="AD670" s="2">
        <v>3120</v>
      </c>
      <c r="AE670" s="2">
        <v>2057</v>
      </c>
      <c r="AF670" s="2">
        <v>1781</v>
      </c>
      <c r="AG670" s="2">
        <v>0</v>
      </c>
      <c r="AH670" s="2"/>
      <c r="AI670" s="2">
        <v>0</v>
      </c>
      <c r="AJ670" s="2">
        <v>0</v>
      </c>
      <c r="AK670" s="2">
        <v>0</v>
      </c>
      <c r="AL670" s="2">
        <v>0</v>
      </c>
      <c r="AM670" s="2">
        <v>0</v>
      </c>
    </row>
    <row r="671" spans="1:39">
      <c r="A671" s="349">
        <v>97301</v>
      </c>
      <c r="B671" s="342" t="s">
        <v>1363</v>
      </c>
      <c r="C671" s="234" t="e">
        <f>VLOOKUP(A671,#REF!,10,FALSE)</f>
        <v>#REF!</v>
      </c>
      <c r="E671" s="2">
        <v>1145350</v>
      </c>
      <c r="F671" s="2">
        <v>348467</v>
      </c>
      <c r="G671" s="2">
        <v>624613</v>
      </c>
      <c r="H671" s="2">
        <v>175939</v>
      </c>
      <c r="I671" s="2">
        <v>0</v>
      </c>
      <c r="J671" s="2"/>
      <c r="K671" s="2">
        <v>358668</v>
      </c>
      <c r="L671" s="2">
        <v>337391</v>
      </c>
      <c r="M671" s="2">
        <v>302399</v>
      </c>
      <c r="N671" s="2">
        <v>121077</v>
      </c>
      <c r="O671" s="2">
        <v>0</v>
      </c>
      <c r="P671" s="2"/>
      <c r="Q671" s="2">
        <v>380776</v>
      </c>
      <c r="R671" s="2">
        <v>-327539</v>
      </c>
      <c r="S671" s="2">
        <v>46163</v>
      </c>
      <c r="T671" s="2">
        <v>60080</v>
      </c>
      <c r="U671" s="2">
        <v>0</v>
      </c>
      <c r="V671" s="2"/>
      <c r="W671" s="2">
        <v>428950</v>
      </c>
      <c r="X671" s="2">
        <v>351411</v>
      </c>
      <c r="Y671" s="2">
        <v>285286</v>
      </c>
      <c r="Z671" s="2">
        <v>0</v>
      </c>
      <c r="AA671" s="2">
        <v>0</v>
      </c>
      <c r="AB671" s="2"/>
      <c r="AC671" s="2">
        <v>0</v>
      </c>
      <c r="AD671" s="2">
        <v>0</v>
      </c>
      <c r="AE671" s="2">
        <v>0</v>
      </c>
      <c r="AF671" s="2">
        <v>0</v>
      </c>
      <c r="AG671" s="2">
        <v>0</v>
      </c>
      <c r="AH671" s="2"/>
      <c r="AI671" s="2">
        <v>-23044</v>
      </c>
      <c r="AJ671" s="2">
        <v>-12796</v>
      </c>
      <c r="AK671" s="2">
        <v>-9235</v>
      </c>
      <c r="AL671" s="2">
        <v>-5218</v>
      </c>
      <c r="AM671" s="2">
        <v>-12796</v>
      </c>
    </row>
    <row r="672" spans="1:39">
      <c r="A672" s="349">
        <v>97304</v>
      </c>
      <c r="B672" s="342" t="s">
        <v>3689</v>
      </c>
      <c r="C672" s="234" t="e">
        <f>VLOOKUP(A672,#REF!,10,FALSE)</f>
        <v>#REF!</v>
      </c>
      <c r="E672" s="2">
        <v>11116</v>
      </c>
      <c r="F672" s="2">
        <v>5541</v>
      </c>
      <c r="G672" s="2">
        <v>6181</v>
      </c>
      <c r="H672" s="2">
        <v>2473</v>
      </c>
      <c r="I672" s="2">
        <v>0</v>
      </c>
      <c r="J672" s="2"/>
      <c r="K672" s="2">
        <v>2157</v>
      </c>
      <c r="L672" s="2">
        <v>2029</v>
      </c>
      <c r="M672" s="2">
        <v>1819</v>
      </c>
      <c r="N672" s="2">
        <v>728</v>
      </c>
      <c r="O672" s="2">
        <v>0</v>
      </c>
      <c r="P672" s="2"/>
      <c r="Q672" s="2">
        <v>2290</v>
      </c>
      <c r="R672" s="2">
        <v>-1970</v>
      </c>
      <c r="S672" s="2">
        <v>278</v>
      </c>
      <c r="T672" s="2">
        <v>361</v>
      </c>
      <c r="U672" s="2">
        <v>0</v>
      </c>
      <c r="V672" s="2"/>
      <c r="W672" s="2">
        <v>2580</v>
      </c>
      <c r="X672" s="2">
        <v>2114</v>
      </c>
      <c r="Y672" s="2">
        <v>1716</v>
      </c>
      <c r="Z672" s="2">
        <v>0</v>
      </c>
      <c r="AA672" s="2">
        <v>0</v>
      </c>
      <c r="AB672" s="2"/>
      <c r="AC672" s="2">
        <v>4089</v>
      </c>
      <c r="AD672" s="2">
        <v>3368</v>
      </c>
      <c r="AE672" s="2">
        <v>2368</v>
      </c>
      <c r="AF672" s="2">
        <v>1384</v>
      </c>
      <c r="AG672" s="2">
        <v>0</v>
      </c>
      <c r="AH672" s="2"/>
      <c r="AI672" s="2">
        <v>0</v>
      </c>
      <c r="AJ672" s="2">
        <v>0</v>
      </c>
      <c r="AK672" s="2">
        <v>0</v>
      </c>
      <c r="AL672" s="2">
        <v>0</v>
      </c>
      <c r="AM672" s="2">
        <v>0</v>
      </c>
    </row>
    <row r="673" spans="1:39">
      <c r="A673" s="349">
        <v>97311</v>
      </c>
      <c r="B673" s="342" t="s">
        <v>1365</v>
      </c>
      <c r="C673" s="234" t="e">
        <f>VLOOKUP(A673,#REF!,10,FALSE)</f>
        <v>#REF!</v>
      </c>
      <c r="E673" s="2">
        <v>410585</v>
      </c>
      <c r="F673" s="2">
        <v>120730</v>
      </c>
      <c r="G673" s="2">
        <v>231546</v>
      </c>
      <c r="H673" s="2">
        <v>68156</v>
      </c>
      <c r="I673" s="2">
        <v>0</v>
      </c>
      <c r="J673" s="2"/>
      <c r="K673" s="2">
        <v>134991</v>
      </c>
      <c r="L673" s="2">
        <v>126983</v>
      </c>
      <c r="M673" s="2">
        <v>113813</v>
      </c>
      <c r="N673" s="2">
        <v>45570</v>
      </c>
      <c r="O673" s="2">
        <v>0</v>
      </c>
      <c r="P673" s="2"/>
      <c r="Q673" s="2">
        <v>143312</v>
      </c>
      <c r="R673" s="2">
        <v>-123275</v>
      </c>
      <c r="S673" s="2">
        <v>17374</v>
      </c>
      <c r="T673" s="2">
        <v>22612</v>
      </c>
      <c r="U673" s="2">
        <v>0</v>
      </c>
      <c r="V673" s="2"/>
      <c r="W673" s="2">
        <v>161443</v>
      </c>
      <c r="X673" s="2">
        <v>132260</v>
      </c>
      <c r="Y673" s="2">
        <v>107372</v>
      </c>
      <c r="Z673" s="2">
        <v>0</v>
      </c>
      <c r="AA673" s="2">
        <v>0</v>
      </c>
      <c r="AB673" s="2"/>
      <c r="AC673" s="2">
        <v>0</v>
      </c>
      <c r="AD673" s="2">
        <v>0</v>
      </c>
      <c r="AE673" s="2">
        <v>0</v>
      </c>
      <c r="AF673" s="2">
        <v>0</v>
      </c>
      <c r="AG673" s="2">
        <v>0</v>
      </c>
      <c r="AH673" s="2"/>
      <c r="AI673" s="2">
        <v>-29161</v>
      </c>
      <c r="AJ673" s="2">
        <v>-15238</v>
      </c>
      <c r="AK673" s="2">
        <v>-7013</v>
      </c>
      <c r="AL673" s="2">
        <v>-26</v>
      </c>
      <c r="AM673" s="2">
        <v>-15238</v>
      </c>
    </row>
    <row r="674" spans="1:39">
      <c r="A674" s="349">
        <v>97401</v>
      </c>
      <c r="B674" s="342" t="s">
        <v>1366</v>
      </c>
      <c r="C674" s="234" t="e">
        <f>VLOOKUP(A674,#REF!,10,FALSE)</f>
        <v>#REF!</v>
      </c>
      <c r="E674" s="2">
        <v>3494143</v>
      </c>
      <c r="F674" s="2">
        <v>1120477</v>
      </c>
      <c r="G674" s="2">
        <v>1886008</v>
      </c>
      <c r="H674" s="2">
        <v>531526</v>
      </c>
      <c r="I674" s="2">
        <v>0</v>
      </c>
      <c r="J674" s="2"/>
      <c r="K674" s="2">
        <v>1057083</v>
      </c>
      <c r="L674" s="2">
        <v>994374</v>
      </c>
      <c r="M674" s="2">
        <v>891246</v>
      </c>
      <c r="N674" s="2">
        <v>356844</v>
      </c>
      <c r="O674" s="2">
        <v>0</v>
      </c>
      <c r="P674" s="2"/>
      <c r="Q674" s="2">
        <v>1122241</v>
      </c>
      <c r="R674" s="2">
        <v>-965337</v>
      </c>
      <c r="S674" s="2">
        <v>136053</v>
      </c>
      <c r="T674" s="2">
        <v>177071</v>
      </c>
      <c r="U674" s="2">
        <v>0</v>
      </c>
      <c r="V674" s="2"/>
      <c r="W674" s="2">
        <v>1264221</v>
      </c>
      <c r="X674" s="2">
        <v>1035695</v>
      </c>
      <c r="Y674" s="2">
        <v>840808</v>
      </c>
      <c r="Z674" s="2">
        <v>0</v>
      </c>
      <c r="AA674" s="2">
        <v>0</v>
      </c>
      <c r="AB674" s="2"/>
      <c r="AC674" s="2">
        <v>58132</v>
      </c>
      <c r="AD674" s="2">
        <v>58132</v>
      </c>
      <c r="AE674" s="2">
        <v>20288</v>
      </c>
      <c r="AF674" s="2">
        <v>0</v>
      </c>
      <c r="AG674" s="2">
        <v>0</v>
      </c>
      <c r="AH674" s="2"/>
      <c r="AI674" s="2">
        <v>-7534</v>
      </c>
      <c r="AJ674" s="2">
        <v>-2387</v>
      </c>
      <c r="AK674" s="2">
        <v>-2387</v>
      </c>
      <c r="AL674" s="2">
        <v>-2389</v>
      </c>
      <c r="AM674" s="2">
        <v>-2387</v>
      </c>
    </row>
    <row r="675" spans="1:39">
      <c r="A675" s="349">
        <v>97402</v>
      </c>
      <c r="B675" s="342" t="s">
        <v>3690</v>
      </c>
      <c r="C675" s="234" t="e">
        <f>VLOOKUP(A675,#REF!,10,FALSE)</f>
        <v>#REF!</v>
      </c>
      <c r="E675" s="2">
        <v>25295</v>
      </c>
      <c r="F675" s="2">
        <v>8140</v>
      </c>
      <c r="G675" s="2">
        <v>11732</v>
      </c>
      <c r="H675" s="2">
        <v>3168</v>
      </c>
      <c r="I675" s="2">
        <v>0</v>
      </c>
      <c r="J675" s="2"/>
      <c r="K675" s="2">
        <v>6292</v>
      </c>
      <c r="L675" s="2">
        <v>5919</v>
      </c>
      <c r="M675" s="2">
        <v>5305</v>
      </c>
      <c r="N675" s="2">
        <v>2124</v>
      </c>
      <c r="O675" s="2">
        <v>0</v>
      </c>
      <c r="P675" s="2"/>
      <c r="Q675" s="2">
        <v>6680</v>
      </c>
      <c r="R675" s="2">
        <v>-5746</v>
      </c>
      <c r="S675" s="2">
        <v>810</v>
      </c>
      <c r="T675" s="2">
        <v>1054</v>
      </c>
      <c r="U675" s="2">
        <v>0</v>
      </c>
      <c r="V675" s="2"/>
      <c r="W675" s="2">
        <v>7525</v>
      </c>
      <c r="X675" s="2">
        <v>6165</v>
      </c>
      <c r="Y675" s="2">
        <v>5005</v>
      </c>
      <c r="Z675" s="2">
        <v>0</v>
      </c>
      <c r="AA675" s="2">
        <v>0</v>
      </c>
      <c r="AB675" s="2"/>
      <c r="AC675" s="2">
        <v>4807</v>
      </c>
      <c r="AD675" s="2">
        <v>1811</v>
      </c>
      <c r="AE675" s="2">
        <v>621</v>
      </c>
      <c r="AF675" s="2">
        <v>0</v>
      </c>
      <c r="AG675" s="2">
        <v>0</v>
      </c>
      <c r="AH675" s="2"/>
      <c r="AI675" s="2">
        <v>-9</v>
      </c>
      <c r="AJ675" s="2">
        <v>-9</v>
      </c>
      <c r="AK675" s="2">
        <v>-9</v>
      </c>
      <c r="AL675" s="2">
        <v>-10</v>
      </c>
      <c r="AM675" s="2">
        <v>-9</v>
      </c>
    </row>
    <row r="676" spans="1:39">
      <c r="A676" s="349">
        <v>97404</v>
      </c>
      <c r="B676" s="342" t="s">
        <v>1368</v>
      </c>
      <c r="C676" s="234" t="e">
        <f>VLOOKUP(A676,#REF!,10,FALSE)</f>
        <v>#REF!</v>
      </c>
      <c r="E676" s="2">
        <v>95958</v>
      </c>
      <c r="F676" s="2">
        <v>26835</v>
      </c>
      <c r="G676" s="2">
        <v>53444</v>
      </c>
      <c r="H676" s="2">
        <v>16272</v>
      </c>
      <c r="I676" s="2">
        <v>0</v>
      </c>
      <c r="J676" s="2"/>
      <c r="K676" s="2">
        <v>31819</v>
      </c>
      <c r="L676" s="2">
        <v>29931</v>
      </c>
      <c r="M676" s="2">
        <v>26827</v>
      </c>
      <c r="N676" s="2">
        <v>10741</v>
      </c>
      <c r="O676" s="2">
        <v>0</v>
      </c>
      <c r="P676" s="2"/>
      <c r="Q676" s="2">
        <v>33780</v>
      </c>
      <c r="R676" s="2">
        <v>-29057</v>
      </c>
      <c r="S676" s="2">
        <v>4095</v>
      </c>
      <c r="T676" s="2">
        <v>5330</v>
      </c>
      <c r="U676" s="2">
        <v>0</v>
      </c>
      <c r="V676" s="2"/>
      <c r="W676" s="2">
        <v>38054</v>
      </c>
      <c r="X676" s="2">
        <v>31175</v>
      </c>
      <c r="Y676" s="2">
        <v>25309</v>
      </c>
      <c r="Z676" s="2">
        <v>0</v>
      </c>
      <c r="AA676" s="2">
        <v>0</v>
      </c>
      <c r="AB676" s="2"/>
      <c r="AC676" s="2">
        <v>201</v>
      </c>
      <c r="AD676" s="2">
        <v>201</v>
      </c>
      <c r="AE676" s="2">
        <v>201</v>
      </c>
      <c r="AF676" s="2">
        <v>201</v>
      </c>
      <c r="AG676" s="2">
        <v>0</v>
      </c>
      <c r="AH676" s="2"/>
      <c r="AI676" s="2">
        <v>-7896</v>
      </c>
      <c r="AJ676" s="2">
        <v>-5415</v>
      </c>
      <c r="AK676" s="2">
        <v>-2988</v>
      </c>
      <c r="AL676" s="2">
        <v>0</v>
      </c>
      <c r="AM676" s="2">
        <v>-5415</v>
      </c>
    </row>
    <row r="677" spans="1:39">
      <c r="A677" s="349">
        <v>97405</v>
      </c>
      <c r="B677" s="342" t="s">
        <v>1369</v>
      </c>
      <c r="C677" s="234" t="e">
        <f>VLOOKUP(A677,#REF!,10,FALSE)</f>
        <v>#REF!</v>
      </c>
      <c r="E677" s="2">
        <v>65204</v>
      </c>
      <c r="F677" s="2">
        <v>25942</v>
      </c>
      <c r="G677" s="2">
        <v>35342</v>
      </c>
      <c r="H677" s="2">
        <v>10358</v>
      </c>
      <c r="I677" s="2">
        <v>0</v>
      </c>
      <c r="J677" s="2"/>
      <c r="K677" s="2">
        <v>16569</v>
      </c>
      <c r="L677" s="2">
        <v>15586</v>
      </c>
      <c r="M677" s="2">
        <v>13969</v>
      </c>
      <c r="N677" s="2">
        <v>5593</v>
      </c>
      <c r="O677" s="2">
        <v>0</v>
      </c>
      <c r="P677" s="2"/>
      <c r="Q677" s="2">
        <v>17590</v>
      </c>
      <c r="R677" s="2">
        <v>-15131</v>
      </c>
      <c r="S677" s="2">
        <v>2132</v>
      </c>
      <c r="T677" s="2">
        <v>2775</v>
      </c>
      <c r="U677" s="2">
        <v>0</v>
      </c>
      <c r="V677" s="2"/>
      <c r="W677" s="2">
        <v>19815</v>
      </c>
      <c r="X677" s="2">
        <v>16233</v>
      </c>
      <c r="Y677" s="2">
        <v>13179</v>
      </c>
      <c r="Z677" s="2">
        <v>0</v>
      </c>
      <c r="AA677" s="2">
        <v>0</v>
      </c>
      <c r="AB677" s="2"/>
      <c r="AC677" s="2">
        <v>11230</v>
      </c>
      <c r="AD677" s="2">
        <v>9254</v>
      </c>
      <c r="AE677" s="2">
        <v>6062</v>
      </c>
      <c r="AF677" s="2">
        <v>1990</v>
      </c>
      <c r="AG677" s="2">
        <v>0</v>
      </c>
      <c r="AH677" s="2"/>
      <c r="AI677" s="2">
        <v>0</v>
      </c>
      <c r="AJ677" s="2">
        <v>0</v>
      </c>
      <c r="AK677" s="2">
        <v>0</v>
      </c>
      <c r="AL677" s="2">
        <v>0</v>
      </c>
      <c r="AM677" s="2">
        <v>0</v>
      </c>
    </row>
    <row r="678" spans="1:39">
      <c r="A678" s="349">
        <v>97408</v>
      </c>
      <c r="B678" s="342" t="s">
        <v>3691</v>
      </c>
      <c r="C678" s="234" t="e">
        <f>VLOOKUP(A678,#REF!,10,FALSE)</f>
        <v>#REF!</v>
      </c>
      <c r="E678" s="2">
        <v>21996</v>
      </c>
      <c r="F678" s="2">
        <v>7708</v>
      </c>
      <c r="G678" s="2">
        <v>11538</v>
      </c>
      <c r="H678" s="2">
        <v>3613</v>
      </c>
      <c r="I678" s="2">
        <v>0</v>
      </c>
      <c r="J678" s="2"/>
      <c r="K678" s="2">
        <v>5842</v>
      </c>
      <c r="L678" s="2">
        <v>5496</v>
      </c>
      <c r="M678" s="2">
        <v>4926</v>
      </c>
      <c r="N678" s="2">
        <v>1972</v>
      </c>
      <c r="O678" s="2">
        <v>0</v>
      </c>
      <c r="P678" s="2"/>
      <c r="Q678" s="2">
        <v>6203</v>
      </c>
      <c r="R678" s="2">
        <v>-5335</v>
      </c>
      <c r="S678" s="2">
        <v>752</v>
      </c>
      <c r="T678" s="2">
        <v>979</v>
      </c>
      <c r="U678" s="2">
        <v>0</v>
      </c>
      <c r="V678" s="2"/>
      <c r="W678" s="2">
        <v>6987</v>
      </c>
      <c r="X678" s="2">
        <v>5724</v>
      </c>
      <c r="Y678" s="2">
        <v>4647</v>
      </c>
      <c r="Z678" s="2">
        <v>0</v>
      </c>
      <c r="AA678" s="2">
        <v>0</v>
      </c>
      <c r="AB678" s="2"/>
      <c r="AC678" s="2">
        <v>2964</v>
      </c>
      <c r="AD678" s="2">
        <v>1823</v>
      </c>
      <c r="AE678" s="2">
        <v>1213</v>
      </c>
      <c r="AF678" s="2">
        <v>662</v>
      </c>
      <c r="AG678" s="2">
        <v>0</v>
      </c>
      <c r="AH678" s="2"/>
      <c r="AI678" s="2">
        <v>0</v>
      </c>
      <c r="AJ678" s="2">
        <v>0</v>
      </c>
      <c r="AK678" s="2">
        <v>0</v>
      </c>
      <c r="AL678" s="2">
        <v>0</v>
      </c>
      <c r="AM678" s="2">
        <v>0</v>
      </c>
    </row>
    <row r="679" spans="1:39">
      <c r="A679" s="349">
        <v>97411</v>
      </c>
      <c r="B679" s="342" t="s">
        <v>1371</v>
      </c>
      <c r="C679" s="234" t="e">
        <f>VLOOKUP(A679,#REF!,10,FALSE)</f>
        <v>#REF!</v>
      </c>
      <c r="E679" s="2">
        <v>2940340</v>
      </c>
      <c r="F679" s="2">
        <v>869280</v>
      </c>
      <c r="G679" s="2">
        <v>1626461</v>
      </c>
      <c r="H679" s="2">
        <v>492681</v>
      </c>
      <c r="I679" s="2">
        <v>0</v>
      </c>
      <c r="J679" s="2"/>
      <c r="K679" s="2">
        <v>958735</v>
      </c>
      <c r="L679" s="2">
        <v>901860</v>
      </c>
      <c r="M679" s="2">
        <v>808327</v>
      </c>
      <c r="N679" s="2">
        <v>323644</v>
      </c>
      <c r="O679" s="2">
        <v>0</v>
      </c>
      <c r="P679" s="2"/>
      <c r="Q679" s="2">
        <v>1017831</v>
      </c>
      <c r="R679" s="2">
        <v>-875525</v>
      </c>
      <c r="S679" s="2">
        <v>123395</v>
      </c>
      <c r="T679" s="2">
        <v>160597</v>
      </c>
      <c r="U679" s="2">
        <v>0</v>
      </c>
      <c r="V679" s="2"/>
      <c r="W679" s="2">
        <v>1146601</v>
      </c>
      <c r="X679" s="2">
        <v>939337</v>
      </c>
      <c r="Y679" s="2">
        <v>762581</v>
      </c>
      <c r="Z679" s="2">
        <v>0</v>
      </c>
      <c r="AA679" s="2">
        <v>0</v>
      </c>
      <c r="AB679" s="2"/>
      <c r="AC679" s="2">
        <v>8440</v>
      </c>
      <c r="AD679" s="2">
        <v>8440</v>
      </c>
      <c r="AE679" s="2">
        <v>8440</v>
      </c>
      <c r="AF679" s="2">
        <v>8440</v>
      </c>
      <c r="AG679" s="2">
        <v>0</v>
      </c>
      <c r="AH679" s="2"/>
      <c r="AI679" s="2">
        <v>-191267</v>
      </c>
      <c r="AJ679" s="2">
        <v>-104832</v>
      </c>
      <c r="AK679" s="2">
        <v>-76282</v>
      </c>
      <c r="AL679" s="2">
        <v>0</v>
      </c>
      <c r="AM679" s="2">
        <v>-104832</v>
      </c>
    </row>
    <row r="680" spans="1:39">
      <c r="A680" s="349">
        <v>97412</v>
      </c>
      <c r="B680" s="342" t="s">
        <v>1372</v>
      </c>
      <c r="C680" s="234" t="e">
        <f>VLOOKUP(A680,#REF!,10,FALSE)</f>
        <v>#REF!</v>
      </c>
      <c r="E680" s="2">
        <v>2240027</v>
      </c>
      <c r="F680" s="2">
        <v>707771</v>
      </c>
      <c r="G680" s="2">
        <v>1187686</v>
      </c>
      <c r="H680" s="2">
        <v>316415</v>
      </c>
      <c r="I680" s="2">
        <v>0</v>
      </c>
      <c r="J680" s="2"/>
      <c r="K680" s="2">
        <v>672678</v>
      </c>
      <c r="L680" s="2">
        <v>632773</v>
      </c>
      <c r="M680" s="2">
        <v>567147</v>
      </c>
      <c r="N680" s="2">
        <v>227079</v>
      </c>
      <c r="O680" s="2">
        <v>0</v>
      </c>
      <c r="P680" s="2"/>
      <c r="Q680" s="2">
        <v>714142</v>
      </c>
      <c r="R680" s="2">
        <v>-614295</v>
      </c>
      <c r="S680" s="2">
        <v>86577</v>
      </c>
      <c r="T680" s="2">
        <v>112680</v>
      </c>
      <c r="U680" s="2">
        <v>0</v>
      </c>
      <c r="V680" s="2"/>
      <c r="W680" s="2">
        <v>804491</v>
      </c>
      <c r="X680" s="2">
        <v>659068</v>
      </c>
      <c r="Y680" s="2">
        <v>535051</v>
      </c>
      <c r="Z680" s="2">
        <v>0</v>
      </c>
      <c r="AA680" s="2">
        <v>0</v>
      </c>
      <c r="AB680" s="2"/>
      <c r="AC680" s="2">
        <v>72059</v>
      </c>
      <c r="AD680" s="2">
        <v>53568</v>
      </c>
      <c r="AE680" s="2">
        <v>22254</v>
      </c>
      <c r="AF680" s="2">
        <v>0</v>
      </c>
      <c r="AG680" s="2">
        <v>0</v>
      </c>
      <c r="AH680" s="2"/>
      <c r="AI680" s="2">
        <v>-23343</v>
      </c>
      <c r="AJ680" s="2">
        <v>-23343</v>
      </c>
      <c r="AK680" s="2">
        <v>-23343</v>
      </c>
      <c r="AL680" s="2">
        <v>-23344</v>
      </c>
      <c r="AM680" s="2">
        <v>-23343</v>
      </c>
    </row>
    <row r="681" spans="1:39">
      <c r="A681" s="349">
        <v>97413</v>
      </c>
      <c r="B681" s="342" t="s">
        <v>1373</v>
      </c>
      <c r="C681" s="234" t="e">
        <f>VLOOKUP(A681,#REF!,10,FALSE)</f>
        <v>#REF!</v>
      </c>
      <c r="E681" s="2">
        <v>150447</v>
      </c>
      <c r="F681" s="2">
        <v>55241</v>
      </c>
      <c r="G681" s="2">
        <v>85736</v>
      </c>
      <c r="H681" s="2">
        <v>28582</v>
      </c>
      <c r="I681" s="2">
        <v>0</v>
      </c>
      <c r="J681" s="2"/>
      <c r="K681" s="2">
        <v>42126</v>
      </c>
      <c r="L681" s="2">
        <v>39627</v>
      </c>
      <c r="M681" s="2">
        <v>35517</v>
      </c>
      <c r="N681" s="2">
        <v>14221</v>
      </c>
      <c r="O681" s="2">
        <v>0</v>
      </c>
      <c r="P681" s="2"/>
      <c r="Q681" s="2">
        <v>44722</v>
      </c>
      <c r="R681" s="2">
        <v>-38470</v>
      </c>
      <c r="S681" s="2">
        <v>5422</v>
      </c>
      <c r="T681" s="2">
        <v>7056</v>
      </c>
      <c r="U681" s="2">
        <v>0</v>
      </c>
      <c r="V681" s="2"/>
      <c r="W681" s="2">
        <v>50380</v>
      </c>
      <c r="X681" s="2">
        <v>41273</v>
      </c>
      <c r="Y681" s="2">
        <v>33507</v>
      </c>
      <c r="Z681" s="2">
        <v>0</v>
      </c>
      <c r="AA681" s="2">
        <v>0</v>
      </c>
      <c r="AB681" s="2"/>
      <c r="AC681" s="2">
        <v>13219</v>
      </c>
      <c r="AD681" s="2">
        <v>12811</v>
      </c>
      <c r="AE681" s="2">
        <v>11290</v>
      </c>
      <c r="AF681" s="2">
        <v>7305</v>
      </c>
      <c r="AG681" s="2">
        <v>0</v>
      </c>
      <c r="AH681" s="2"/>
      <c r="AI681" s="2">
        <v>0</v>
      </c>
      <c r="AJ681" s="2">
        <v>0</v>
      </c>
      <c r="AK681" s="2">
        <v>0</v>
      </c>
      <c r="AL681" s="2">
        <v>0</v>
      </c>
      <c r="AM681" s="2">
        <v>0</v>
      </c>
    </row>
    <row r="682" spans="1:39">
      <c r="A682" s="349">
        <v>97421</v>
      </c>
      <c r="B682" s="342" t="s">
        <v>1374</v>
      </c>
      <c r="C682" s="234" t="e">
        <f>VLOOKUP(A682,#REF!,10,FALSE)</f>
        <v>#REF!</v>
      </c>
      <c r="E682" s="2">
        <v>206881</v>
      </c>
      <c r="F682" s="2">
        <v>62749</v>
      </c>
      <c r="G682" s="2">
        <v>109801</v>
      </c>
      <c r="H682" s="2">
        <v>26632</v>
      </c>
      <c r="I682" s="2">
        <v>0</v>
      </c>
      <c r="J682" s="2"/>
      <c r="K682" s="2">
        <v>64597</v>
      </c>
      <c r="L682" s="2">
        <v>60765</v>
      </c>
      <c r="M682" s="2">
        <v>54463</v>
      </c>
      <c r="N682" s="2">
        <v>21806</v>
      </c>
      <c r="O682" s="2">
        <v>0</v>
      </c>
      <c r="P682" s="2"/>
      <c r="Q682" s="2">
        <v>68578</v>
      </c>
      <c r="R682" s="2">
        <v>-58990</v>
      </c>
      <c r="S682" s="2">
        <v>8314</v>
      </c>
      <c r="T682" s="2">
        <v>10821</v>
      </c>
      <c r="U682" s="2">
        <v>0</v>
      </c>
      <c r="V682" s="2"/>
      <c r="W682" s="2">
        <v>77255</v>
      </c>
      <c r="X682" s="2">
        <v>63290</v>
      </c>
      <c r="Y682" s="2">
        <v>51380</v>
      </c>
      <c r="Z682" s="2">
        <v>0</v>
      </c>
      <c r="AA682" s="2">
        <v>0</v>
      </c>
      <c r="AB682" s="2"/>
      <c r="AC682" s="2">
        <v>3680</v>
      </c>
      <c r="AD682" s="2">
        <v>3679</v>
      </c>
      <c r="AE682" s="2">
        <v>1639</v>
      </c>
      <c r="AF682" s="2">
        <v>0</v>
      </c>
      <c r="AG682" s="2">
        <v>0</v>
      </c>
      <c r="AH682" s="2"/>
      <c r="AI682" s="2">
        <v>-7229</v>
      </c>
      <c r="AJ682" s="2">
        <v>-5995</v>
      </c>
      <c r="AK682" s="2">
        <v>-5995</v>
      </c>
      <c r="AL682" s="2">
        <v>-5995</v>
      </c>
      <c r="AM682" s="2">
        <v>-5995</v>
      </c>
    </row>
    <row r="683" spans="1:39">
      <c r="A683" s="349">
        <v>97423</v>
      </c>
      <c r="B683" s="342" t="s">
        <v>1375</v>
      </c>
      <c r="C683" s="234" t="e">
        <f>VLOOKUP(A683,#REF!,10,FALSE)</f>
        <v>#REF!</v>
      </c>
      <c r="E683" s="2">
        <v>37644</v>
      </c>
      <c r="F683" s="2">
        <v>19777</v>
      </c>
      <c r="G683" s="2">
        <v>20448</v>
      </c>
      <c r="H683" s="2">
        <v>8830</v>
      </c>
      <c r="I683" s="2">
        <v>0</v>
      </c>
      <c r="J683" s="2"/>
      <c r="K683" s="2">
        <v>6442</v>
      </c>
      <c r="L683" s="2">
        <v>6060</v>
      </c>
      <c r="M683" s="2">
        <v>5431</v>
      </c>
      <c r="N683" s="2">
        <v>2175</v>
      </c>
      <c r="O683" s="2">
        <v>0</v>
      </c>
      <c r="P683" s="2"/>
      <c r="Q683" s="2">
        <v>6839</v>
      </c>
      <c r="R683" s="2">
        <v>-5883</v>
      </c>
      <c r="S683" s="2">
        <v>829</v>
      </c>
      <c r="T683" s="2">
        <v>1079</v>
      </c>
      <c r="U683" s="2">
        <v>0</v>
      </c>
      <c r="V683" s="2"/>
      <c r="W683" s="2">
        <v>7704</v>
      </c>
      <c r="X683" s="2">
        <v>6311</v>
      </c>
      <c r="Y683" s="2">
        <v>5124</v>
      </c>
      <c r="Z683" s="2">
        <v>0</v>
      </c>
      <c r="AA683" s="2">
        <v>0</v>
      </c>
      <c r="AB683" s="2"/>
      <c r="AC683" s="2">
        <v>16659</v>
      </c>
      <c r="AD683" s="2">
        <v>13289</v>
      </c>
      <c r="AE683" s="2">
        <v>9064</v>
      </c>
      <c r="AF683" s="2">
        <v>5576</v>
      </c>
      <c r="AG683" s="2">
        <v>0</v>
      </c>
      <c r="AH683" s="2"/>
      <c r="AI683" s="2">
        <v>0</v>
      </c>
      <c r="AJ683" s="2">
        <v>0</v>
      </c>
      <c r="AK683" s="2">
        <v>0</v>
      </c>
      <c r="AL683" s="2">
        <v>0</v>
      </c>
      <c r="AM683" s="2">
        <v>0</v>
      </c>
    </row>
    <row r="684" spans="1:39">
      <c r="A684" s="349">
        <v>97431</v>
      </c>
      <c r="B684" s="342" t="s">
        <v>1376</v>
      </c>
      <c r="C684" s="234" t="e">
        <f>VLOOKUP(A684,#REF!,10,FALSE)</f>
        <v>#REF!</v>
      </c>
      <c r="E684" s="2">
        <v>46384</v>
      </c>
      <c r="F684" s="2">
        <v>16011</v>
      </c>
      <c r="G684" s="2">
        <v>25052</v>
      </c>
      <c r="H684" s="2">
        <v>4971</v>
      </c>
      <c r="I684" s="2">
        <v>0</v>
      </c>
      <c r="J684" s="2"/>
      <c r="K684" s="2">
        <v>13363</v>
      </c>
      <c r="L684" s="2">
        <v>12570</v>
      </c>
      <c r="M684" s="2">
        <v>11266</v>
      </c>
      <c r="N684" s="2">
        <v>4511</v>
      </c>
      <c r="O684" s="2">
        <v>0</v>
      </c>
      <c r="P684" s="2"/>
      <c r="Q684" s="2">
        <v>14186</v>
      </c>
      <c r="R684" s="2">
        <v>-12203</v>
      </c>
      <c r="S684" s="2">
        <v>1720</v>
      </c>
      <c r="T684" s="2">
        <v>2238</v>
      </c>
      <c r="U684" s="2">
        <v>0</v>
      </c>
      <c r="V684" s="2"/>
      <c r="W684" s="2">
        <v>15981</v>
      </c>
      <c r="X684" s="2">
        <v>13092</v>
      </c>
      <c r="Y684" s="2">
        <v>10629</v>
      </c>
      <c r="Z684" s="2">
        <v>0</v>
      </c>
      <c r="AA684" s="2">
        <v>0</v>
      </c>
      <c r="AB684" s="2"/>
      <c r="AC684" s="2">
        <v>4630</v>
      </c>
      <c r="AD684" s="2">
        <v>4328</v>
      </c>
      <c r="AE684" s="2">
        <v>3213</v>
      </c>
      <c r="AF684" s="2">
        <v>0</v>
      </c>
      <c r="AG684" s="2">
        <v>0</v>
      </c>
      <c r="AH684" s="2"/>
      <c r="AI684" s="2">
        <v>-1776</v>
      </c>
      <c r="AJ684" s="2">
        <v>-1776</v>
      </c>
      <c r="AK684" s="2">
        <v>-1776</v>
      </c>
      <c r="AL684" s="2">
        <v>-1778</v>
      </c>
      <c r="AM684" s="2">
        <v>-1776</v>
      </c>
    </row>
    <row r="685" spans="1:39">
      <c r="A685" s="349">
        <v>97441</v>
      </c>
      <c r="B685" s="342" t="s">
        <v>1377</v>
      </c>
      <c r="C685" s="234" t="e">
        <f>VLOOKUP(A685,#REF!,10,FALSE)</f>
        <v>#REF!</v>
      </c>
      <c r="E685" s="2">
        <v>20924</v>
      </c>
      <c r="F685" s="2">
        <v>2237</v>
      </c>
      <c r="G685" s="2">
        <v>9850</v>
      </c>
      <c r="H685" s="2">
        <v>3862</v>
      </c>
      <c r="I685" s="2">
        <v>0</v>
      </c>
      <c r="J685" s="2"/>
      <c r="K685" s="2">
        <v>8674</v>
      </c>
      <c r="L685" s="2">
        <v>8159</v>
      </c>
      <c r="M685" s="2">
        <v>7313</v>
      </c>
      <c r="N685" s="2">
        <v>2928</v>
      </c>
      <c r="O685" s="2">
        <v>0</v>
      </c>
      <c r="P685" s="2"/>
      <c r="Q685" s="2">
        <v>9208</v>
      </c>
      <c r="R685" s="2">
        <v>-7921</v>
      </c>
      <c r="S685" s="2">
        <v>1116</v>
      </c>
      <c r="T685" s="2">
        <v>1453</v>
      </c>
      <c r="U685" s="2">
        <v>0</v>
      </c>
      <c r="V685" s="2"/>
      <c r="W685" s="2">
        <v>10373</v>
      </c>
      <c r="X685" s="2">
        <v>8498</v>
      </c>
      <c r="Y685" s="2">
        <v>6899</v>
      </c>
      <c r="Z685" s="2">
        <v>0</v>
      </c>
      <c r="AA685" s="2">
        <v>0</v>
      </c>
      <c r="AB685" s="2"/>
      <c r="AC685" s="2">
        <v>0</v>
      </c>
      <c r="AD685" s="2">
        <v>0</v>
      </c>
      <c r="AE685" s="2">
        <v>0</v>
      </c>
      <c r="AF685" s="2">
        <v>0</v>
      </c>
      <c r="AG685" s="2">
        <v>0</v>
      </c>
      <c r="AH685" s="2"/>
      <c r="AI685" s="2">
        <v>-7331</v>
      </c>
      <c r="AJ685" s="2">
        <v>-6499</v>
      </c>
      <c r="AK685" s="2">
        <v>-5478</v>
      </c>
      <c r="AL685" s="2">
        <v>-519</v>
      </c>
      <c r="AM685" s="2">
        <v>-6499</v>
      </c>
    </row>
    <row r="686" spans="1:39">
      <c r="A686" s="349">
        <v>97451</v>
      </c>
      <c r="B686" s="342" t="s">
        <v>1378</v>
      </c>
      <c r="C686" s="234" t="e">
        <f>VLOOKUP(A686,#REF!,10,FALSE)</f>
        <v>#REF!</v>
      </c>
      <c r="E686" s="2">
        <v>319392</v>
      </c>
      <c r="F686" s="2">
        <v>91502</v>
      </c>
      <c r="G686" s="2">
        <v>177933</v>
      </c>
      <c r="H686" s="2">
        <v>49690</v>
      </c>
      <c r="I686" s="2">
        <v>0</v>
      </c>
      <c r="J686" s="2"/>
      <c r="K686" s="2">
        <v>99307</v>
      </c>
      <c r="L686" s="2">
        <v>93416</v>
      </c>
      <c r="M686" s="2">
        <v>83728</v>
      </c>
      <c r="N686" s="2">
        <v>33524</v>
      </c>
      <c r="O686" s="2">
        <v>0</v>
      </c>
      <c r="P686" s="2"/>
      <c r="Q686" s="2">
        <v>105428</v>
      </c>
      <c r="R686" s="2">
        <v>-90688</v>
      </c>
      <c r="S686" s="2">
        <v>12781</v>
      </c>
      <c r="T686" s="2">
        <v>16635</v>
      </c>
      <c r="U686" s="2">
        <v>0</v>
      </c>
      <c r="V686" s="2"/>
      <c r="W686" s="2">
        <v>118766</v>
      </c>
      <c r="X686" s="2">
        <v>97298</v>
      </c>
      <c r="Y686" s="2">
        <v>78989</v>
      </c>
      <c r="Z686" s="2">
        <v>0</v>
      </c>
      <c r="AA686" s="2">
        <v>0</v>
      </c>
      <c r="AB686" s="2"/>
      <c r="AC686" s="2">
        <v>7319</v>
      </c>
      <c r="AD686" s="2">
        <v>2904</v>
      </c>
      <c r="AE686" s="2">
        <v>2904</v>
      </c>
      <c r="AF686" s="2">
        <v>0</v>
      </c>
      <c r="AG686" s="2">
        <v>0</v>
      </c>
      <c r="AH686" s="2"/>
      <c r="AI686" s="2">
        <v>-11428</v>
      </c>
      <c r="AJ686" s="2">
        <v>-11428</v>
      </c>
      <c r="AK686" s="2">
        <v>-469</v>
      </c>
      <c r="AL686" s="2">
        <v>-469</v>
      </c>
      <c r="AM686" s="2">
        <v>-11428</v>
      </c>
    </row>
    <row r="687" spans="1:39">
      <c r="A687" s="349">
        <v>97471</v>
      </c>
      <c r="B687" s="342" t="s">
        <v>1381</v>
      </c>
      <c r="C687" s="234" t="e">
        <f>VLOOKUP(A687,#REF!,10,FALSE)</f>
        <v>#REF!</v>
      </c>
      <c r="E687" s="2">
        <v>11926</v>
      </c>
      <c r="F687" s="2">
        <v>5872</v>
      </c>
      <c r="G687" s="2">
        <v>6893</v>
      </c>
      <c r="H687" s="2">
        <v>2168</v>
      </c>
      <c r="I687" s="2">
        <v>0</v>
      </c>
      <c r="J687" s="2"/>
      <c r="K687" s="2">
        <v>2457</v>
      </c>
      <c r="L687" s="2">
        <v>2311</v>
      </c>
      <c r="M687" s="2">
        <v>2071</v>
      </c>
      <c r="N687" s="2">
        <v>829</v>
      </c>
      <c r="O687" s="2">
        <v>0</v>
      </c>
      <c r="P687" s="2"/>
      <c r="Q687" s="2">
        <v>2608</v>
      </c>
      <c r="R687" s="2">
        <v>-2244</v>
      </c>
      <c r="S687" s="2">
        <v>316</v>
      </c>
      <c r="T687" s="2">
        <v>412</v>
      </c>
      <c r="U687" s="2">
        <v>0</v>
      </c>
      <c r="V687" s="2"/>
      <c r="W687" s="2">
        <v>2938</v>
      </c>
      <c r="X687" s="2">
        <v>2407</v>
      </c>
      <c r="Y687" s="2">
        <v>1954</v>
      </c>
      <c r="Z687" s="2">
        <v>0</v>
      </c>
      <c r="AA687" s="2">
        <v>0</v>
      </c>
      <c r="AB687" s="2"/>
      <c r="AC687" s="2">
        <v>3923</v>
      </c>
      <c r="AD687" s="2">
        <v>3398</v>
      </c>
      <c r="AE687" s="2">
        <v>2552</v>
      </c>
      <c r="AF687" s="2">
        <v>927</v>
      </c>
      <c r="AG687" s="2">
        <v>0</v>
      </c>
      <c r="AH687" s="2"/>
      <c r="AI687" s="2">
        <v>0</v>
      </c>
      <c r="AJ687" s="2">
        <v>0</v>
      </c>
      <c r="AK687" s="2">
        <v>0</v>
      </c>
      <c r="AL687" s="2">
        <v>0</v>
      </c>
      <c r="AM687" s="2">
        <v>0</v>
      </c>
    </row>
    <row r="688" spans="1:39">
      <c r="A688" s="349">
        <v>97481</v>
      </c>
      <c r="B688" s="342" t="s">
        <v>1382</v>
      </c>
      <c r="C688" s="234" t="e">
        <f>VLOOKUP(A688,#REF!,10,FALSE)</f>
        <v>#REF!</v>
      </c>
      <c r="E688" s="2">
        <v>-1887</v>
      </c>
      <c r="F688" s="2">
        <v>-2636</v>
      </c>
      <c r="G688" s="2">
        <v>-1756</v>
      </c>
      <c r="H688" s="2">
        <v>-2055</v>
      </c>
      <c r="I688" s="2">
        <v>0</v>
      </c>
      <c r="J688" s="2"/>
      <c r="K688" s="2">
        <v>135</v>
      </c>
      <c r="L688" s="2">
        <v>127</v>
      </c>
      <c r="M688" s="2">
        <v>114</v>
      </c>
      <c r="N688" s="2">
        <v>46</v>
      </c>
      <c r="O688" s="2">
        <v>0</v>
      </c>
      <c r="P688" s="2"/>
      <c r="Q688" s="2">
        <v>143</v>
      </c>
      <c r="R688" s="2">
        <v>-123</v>
      </c>
      <c r="S688" s="2">
        <v>17</v>
      </c>
      <c r="T688" s="2">
        <v>23</v>
      </c>
      <c r="U688" s="2">
        <v>0</v>
      </c>
      <c r="V688" s="2"/>
      <c r="W688" s="2">
        <v>161</v>
      </c>
      <c r="X688" s="2">
        <v>132</v>
      </c>
      <c r="Y688" s="2">
        <v>107</v>
      </c>
      <c r="Z688" s="2">
        <v>0</v>
      </c>
      <c r="AA688" s="2">
        <v>0</v>
      </c>
      <c r="AB688" s="2"/>
      <c r="AC688" s="2">
        <v>578</v>
      </c>
      <c r="AD688" s="2">
        <v>131</v>
      </c>
      <c r="AE688" s="2">
        <v>131</v>
      </c>
      <c r="AF688" s="2">
        <v>0</v>
      </c>
      <c r="AG688" s="2">
        <v>0</v>
      </c>
      <c r="AH688" s="2"/>
      <c r="AI688" s="2">
        <v>-2904</v>
      </c>
      <c r="AJ688" s="2">
        <v>-2903</v>
      </c>
      <c r="AK688" s="2">
        <v>-2125</v>
      </c>
      <c r="AL688" s="2">
        <v>-2124</v>
      </c>
      <c r="AM688" s="2">
        <v>-2903</v>
      </c>
    </row>
    <row r="689" spans="1:39">
      <c r="A689" s="349">
        <v>97501</v>
      </c>
      <c r="B689" s="342" t="s">
        <v>1384</v>
      </c>
      <c r="C689" s="234" t="e">
        <f>VLOOKUP(A689,#REF!,10,FALSE)</f>
        <v>#REF!</v>
      </c>
      <c r="E689" s="2">
        <v>623360</v>
      </c>
      <c r="F689" s="2">
        <v>223266</v>
      </c>
      <c r="G689" s="2">
        <v>333049</v>
      </c>
      <c r="H689" s="2">
        <v>110436</v>
      </c>
      <c r="I689" s="2">
        <v>0</v>
      </c>
      <c r="J689" s="2"/>
      <c r="K689" s="2">
        <v>177027</v>
      </c>
      <c r="L689" s="2">
        <v>166525</v>
      </c>
      <c r="M689" s="2">
        <v>149255</v>
      </c>
      <c r="N689" s="2">
        <v>59760</v>
      </c>
      <c r="O689" s="2">
        <v>0</v>
      </c>
      <c r="P689" s="2"/>
      <c r="Q689" s="2">
        <v>187939</v>
      </c>
      <c r="R689" s="2">
        <v>-161662</v>
      </c>
      <c r="S689" s="2">
        <v>22784</v>
      </c>
      <c r="T689" s="2">
        <v>29654</v>
      </c>
      <c r="U689" s="2">
        <v>0</v>
      </c>
      <c r="V689" s="2"/>
      <c r="W689" s="2">
        <v>211716</v>
      </c>
      <c r="X689" s="2">
        <v>173445</v>
      </c>
      <c r="Y689" s="2">
        <v>140808</v>
      </c>
      <c r="Z689" s="2">
        <v>0</v>
      </c>
      <c r="AA689" s="2">
        <v>0</v>
      </c>
      <c r="AB689" s="2"/>
      <c r="AC689" s="2">
        <v>47499</v>
      </c>
      <c r="AD689" s="2">
        <v>45779</v>
      </c>
      <c r="AE689" s="2">
        <v>21021</v>
      </c>
      <c r="AF689" s="2">
        <v>21022</v>
      </c>
      <c r="AG689" s="2">
        <v>0</v>
      </c>
      <c r="AH689" s="2"/>
      <c r="AI689" s="2">
        <v>-821</v>
      </c>
      <c r="AJ689" s="2">
        <v>-821</v>
      </c>
      <c r="AK689" s="2">
        <v>-819</v>
      </c>
      <c r="AL689" s="2">
        <v>0</v>
      </c>
      <c r="AM689" s="2">
        <v>-821</v>
      </c>
    </row>
    <row r="690" spans="1:39">
      <c r="A690" s="349">
        <v>97511</v>
      </c>
      <c r="B690" s="342" t="s">
        <v>1385</v>
      </c>
      <c r="C690" s="234" t="e">
        <f>VLOOKUP(A690,#REF!,10,FALSE)</f>
        <v>#REF!</v>
      </c>
      <c r="E690" s="2">
        <v>94541</v>
      </c>
      <c r="F690" s="2">
        <v>27872</v>
      </c>
      <c r="G690" s="2">
        <v>48378</v>
      </c>
      <c r="H690" s="2">
        <v>19098</v>
      </c>
      <c r="I690" s="2">
        <v>0</v>
      </c>
      <c r="J690" s="2"/>
      <c r="K690" s="2">
        <v>28643</v>
      </c>
      <c r="L690" s="2">
        <v>26944</v>
      </c>
      <c r="M690" s="2">
        <v>24150</v>
      </c>
      <c r="N690" s="2">
        <v>9669</v>
      </c>
      <c r="O690" s="2">
        <v>0</v>
      </c>
      <c r="P690" s="2"/>
      <c r="Q690" s="2">
        <v>30409</v>
      </c>
      <c r="R690" s="2">
        <v>-26157</v>
      </c>
      <c r="S690" s="2">
        <v>3687</v>
      </c>
      <c r="T690" s="2">
        <v>4798</v>
      </c>
      <c r="U690" s="2">
        <v>0</v>
      </c>
      <c r="V690" s="2"/>
      <c r="W690" s="2">
        <v>34256</v>
      </c>
      <c r="X690" s="2">
        <v>28064</v>
      </c>
      <c r="Y690" s="2">
        <v>22783</v>
      </c>
      <c r="Z690" s="2">
        <v>0</v>
      </c>
      <c r="AA690" s="2">
        <v>0</v>
      </c>
      <c r="AB690" s="2"/>
      <c r="AC690" s="2">
        <v>8109</v>
      </c>
      <c r="AD690" s="2">
        <v>5897</v>
      </c>
      <c r="AE690" s="2">
        <v>4632</v>
      </c>
      <c r="AF690" s="2">
        <v>4631</v>
      </c>
      <c r="AG690" s="2">
        <v>0</v>
      </c>
      <c r="AH690" s="2"/>
      <c r="AI690" s="2">
        <v>-6876</v>
      </c>
      <c r="AJ690" s="2">
        <v>-6876</v>
      </c>
      <c r="AK690" s="2">
        <v>-6874</v>
      </c>
      <c r="AL690" s="2">
        <v>0</v>
      </c>
      <c r="AM690" s="2">
        <v>-6876</v>
      </c>
    </row>
    <row r="691" spans="1:39">
      <c r="A691" s="349">
        <v>97521</v>
      </c>
      <c r="B691" s="342" t="s">
        <v>1386</v>
      </c>
      <c r="C691" s="234" t="e">
        <f>VLOOKUP(A691,#REF!,10,FALSE)</f>
        <v>#REF!</v>
      </c>
      <c r="E691" s="2">
        <v>48699</v>
      </c>
      <c r="F691" s="2">
        <v>12532</v>
      </c>
      <c r="G691" s="2">
        <v>26078</v>
      </c>
      <c r="H691" s="2">
        <v>5657</v>
      </c>
      <c r="I691" s="2">
        <v>0</v>
      </c>
      <c r="J691" s="2"/>
      <c r="K691" s="2">
        <v>17063</v>
      </c>
      <c r="L691" s="2">
        <v>16051</v>
      </c>
      <c r="M691" s="2">
        <v>14386</v>
      </c>
      <c r="N691" s="2">
        <v>5760</v>
      </c>
      <c r="O691" s="2">
        <v>0</v>
      </c>
      <c r="P691" s="2"/>
      <c r="Q691" s="2">
        <v>18115</v>
      </c>
      <c r="R691" s="2">
        <v>-15582</v>
      </c>
      <c r="S691" s="2">
        <v>2196</v>
      </c>
      <c r="T691" s="2">
        <v>2858</v>
      </c>
      <c r="U691" s="2">
        <v>0</v>
      </c>
      <c r="V691" s="2"/>
      <c r="W691" s="2">
        <v>20407</v>
      </c>
      <c r="X691" s="2">
        <v>16718</v>
      </c>
      <c r="Y691" s="2">
        <v>13572</v>
      </c>
      <c r="Z691" s="2">
        <v>0</v>
      </c>
      <c r="AA691" s="2">
        <v>0</v>
      </c>
      <c r="AB691" s="2"/>
      <c r="AC691" s="2">
        <v>0</v>
      </c>
      <c r="AD691" s="2">
        <v>0</v>
      </c>
      <c r="AE691" s="2">
        <v>0</v>
      </c>
      <c r="AF691" s="2">
        <v>0</v>
      </c>
      <c r="AG691" s="2">
        <v>0</v>
      </c>
      <c r="AH691" s="2"/>
      <c r="AI691" s="2">
        <v>-6886</v>
      </c>
      <c r="AJ691" s="2">
        <v>-4655</v>
      </c>
      <c r="AK691" s="2">
        <v>-4076</v>
      </c>
      <c r="AL691" s="2">
        <v>-2961</v>
      </c>
      <c r="AM691" s="2">
        <v>-4655</v>
      </c>
    </row>
    <row r="692" spans="1:39">
      <c r="A692" s="349">
        <v>97527</v>
      </c>
      <c r="B692" s="342" t="s">
        <v>1637</v>
      </c>
      <c r="C692" s="234" t="e">
        <f>VLOOKUP(A692,#REF!,10,FALSE)</f>
        <v>#REF!</v>
      </c>
      <c r="E692" s="2">
        <v>11729</v>
      </c>
      <c r="F692" s="2">
        <v>5997</v>
      </c>
      <c r="G692" s="2">
        <v>7931</v>
      </c>
      <c r="H692" s="2">
        <v>3852</v>
      </c>
      <c r="I692" s="2">
        <v>0</v>
      </c>
      <c r="J692" s="2"/>
      <c r="K692" s="2">
        <v>2547</v>
      </c>
      <c r="L692" s="2">
        <v>2396</v>
      </c>
      <c r="M692" s="2">
        <v>2147</v>
      </c>
      <c r="N692" s="2">
        <v>860</v>
      </c>
      <c r="O692" s="2">
        <v>0</v>
      </c>
      <c r="P692" s="2"/>
      <c r="Q692" s="2">
        <v>2704</v>
      </c>
      <c r="R692" s="2">
        <v>-2326</v>
      </c>
      <c r="S692" s="2">
        <v>328</v>
      </c>
      <c r="T692" s="2">
        <v>427</v>
      </c>
      <c r="U692" s="2">
        <v>0</v>
      </c>
      <c r="V692" s="2"/>
      <c r="W692" s="2">
        <v>3046</v>
      </c>
      <c r="X692" s="2">
        <v>2495</v>
      </c>
      <c r="Y692" s="2">
        <v>2026</v>
      </c>
      <c r="Z692" s="2">
        <v>0</v>
      </c>
      <c r="AA692" s="2">
        <v>0</v>
      </c>
      <c r="AB692" s="2"/>
      <c r="AC692" s="2">
        <v>3432</v>
      </c>
      <c r="AD692" s="2">
        <v>3432</v>
      </c>
      <c r="AE692" s="2">
        <v>3430</v>
      </c>
      <c r="AF692" s="2">
        <v>2565</v>
      </c>
      <c r="AG692" s="2">
        <v>0</v>
      </c>
      <c r="AH692" s="2"/>
      <c r="AI692" s="2">
        <v>0</v>
      </c>
      <c r="AJ692" s="2">
        <v>0</v>
      </c>
      <c r="AK692" s="2">
        <v>0</v>
      </c>
      <c r="AL692" s="2">
        <v>0</v>
      </c>
      <c r="AM692" s="2">
        <v>0</v>
      </c>
    </row>
    <row r="693" spans="1:39">
      <c r="A693" s="349">
        <v>97531</v>
      </c>
      <c r="B693" s="342" t="s">
        <v>1387</v>
      </c>
      <c r="C693" s="234" t="e">
        <f>VLOOKUP(A693,#REF!,10,FALSE)</f>
        <v>#REF!</v>
      </c>
      <c r="E693" s="2">
        <v>49991</v>
      </c>
      <c r="F693" s="2">
        <v>21865</v>
      </c>
      <c r="G693" s="2">
        <v>28924</v>
      </c>
      <c r="H693" s="2">
        <v>11012</v>
      </c>
      <c r="I693" s="2">
        <v>0</v>
      </c>
      <c r="J693" s="2"/>
      <c r="K693" s="2">
        <v>12179</v>
      </c>
      <c r="L693" s="2">
        <v>11457</v>
      </c>
      <c r="M693" s="2">
        <v>10269</v>
      </c>
      <c r="N693" s="2">
        <v>4111</v>
      </c>
      <c r="O693" s="2">
        <v>0</v>
      </c>
      <c r="P693" s="2"/>
      <c r="Q693" s="2">
        <v>12930</v>
      </c>
      <c r="R693" s="2">
        <v>-11122</v>
      </c>
      <c r="S693" s="2">
        <v>1568</v>
      </c>
      <c r="T693" s="2">
        <v>2040</v>
      </c>
      <c r="U693" s="2">
        <v>0</v>
      </c>
      <c r="V693" s="2"/>
      <c r="W693" s="2">
        <v>14566</v>
      </c>
      <c r="X693" s="2">
        <v>11933</v>
      </c>
      <c r="Y693" s="2">
        <v>9687</v>
      </c>
      <c r="Z693" s="2">
        <v>0</v>
      </c>
      <c r="AA693" s="2">
        <v>0</v>
      </c>
      <c r="AB693" s="2"/>
      <c r="AC693" s="2">
        <v>10316</v>
      </c>
      <c r="AD693" s="2">
        <v>9597</v>
      </c>
      <c r="AE693" s="2">
        <v>7400</v>
      </c>
      <c r="AF693" s="2">
        <v>4861</v>
      </c>
      <c r="AG693" s="2">
        <v>0</v>
      </c>
      <c r="AH693" s="2"/>
      <c r="AI693" s="2">
        <v>0</v>
      </c>
      <c r="AJ693" s="2">
        <v>0</v>
      </c>
      <c r="AK693" s="2">
        <v>0</v>
      </c>
      <c r="AL693" s="2">
        <v>0</v>
      </c>
      <c r="AM693" s="2">
        <v>0</v>
      </c>
    </row>
    <row r="694" spans="1:39">
      <c r="A694" s="349">
        <v>97601</v>
      </c>
      <c r="B694" s="342" t="s">
        <v>1388</v>
      </c>
      <c r="C694" s="234" t="e">
        <f>VLOOKUP(A694,#REF!,10,FALSE)</f>
        <v>#REF!</v>
      </c>
      <c r="E694" s="2">
        <v>2597988</v>
      </c>
      <c r="F694" s="2">
        <v>827880</v>
      </c>
      <c r="G694" s="2">
        <v>1382948</v>
      </c>
      <c r="H694" s="2">
        <v>384546</v>
      </c>
      <c r="I694" s="2">
        <v>0</v>
      </c>
      <c r="J694" s="2"/>
      <c r="K694" s="2">
        <v>793168</v>
      </c>
      <c r="L694" s="2">
        <v>746115</v>
      </c>
      <c r="M694" s="2">
        <v>668734</v>
      </c>
      <c r="N694" s="2">
        <v>267753</v>
      </c>
      <c r="O694" s="2">
        <v>0</v>
      </c>
      <c r="P694" s="2"/>
      <c r="Q694" s="2">
        <v>842058</v>
      </c>
      <c r="R694" s="2">
        <v>-724328</v>
      </c>
      <c r="S694" s="2">
        <v>102085</v>
      </c>
      <c r="T694" s="2">
        <v>132863</v>
      </c>
      <c r="U694" s="2">
        <v>0</v>
      </c>
      <c r="V694" s="2"/>
      <c r="W694" s="2">
        <v>948591</v>
      </c>
      <c r="X694" s="2">
        <v>777120</v>
      </c>
      <c r="Y694" s="2">
        <v>630889</v>
      </c>
      <c r="Z694" s="2">
        <v>0</v>
      </c>
      <c r="AA694" s="2">
        <v>0</v>
      </c>
      <c r="AB694" s="2"/>
      <c r="AC694" s="2">
        <v>47732</v>
      </c>
      <c r="AD694" s="2">
        <v>47731</v>
      </c>
      <c r="AE694" s="2">
        <v>0</v>
      </c>
      <c r="AF694" s="2">
        <v>0</v>
      </c>
      <c r="AG694" s="2">
        <v>0</v>
      </c>
      <c r="AH694" s="2"/>
      <c r="AI694" s="2">
        <v>-33561</v>
      </c>
      <c r="AJ694" s="2">
        <v>-18758</v>
      </c>
      <c r="AK694" s="2">
        <v>-18760</v>
      </c>
      <c r="AL694" s="2">
        <v>-16070</v>
      </c>
      <c r="AM694" s="2">
        <v>-18758</v>
      </c>
    </row>
    <row r="695" spans="1:39">
      <c r="A695" s="349">
        <v>97607</v>
      </c>
      <c r="B695" s="342" t="s">
        <v>1389</v>
      </c>
      <c r="C695" s="234" t="e">
        <f>VLOOKUP(A695,#REF!,10,FALSE)</f>
        <v>#REF!</v>
      </c>
      <c r="E695" s="2">
        <v>15569</v>
      </c>
      <c r="F695" s="2">
        <v>8071</v>
      </c>
      <c r="G695" s="2">
        <v>8437</v>
      </c>
      <c r="H695" s="2">
        <v>3091</v>
      </c>
      <c r="I695" s="2">
        <v>0</v>
      </c>
      <c r="J695" s="2"/>
      <c r="K695" s="2">
        <v>3101</v>
      </c>
      <c r="L695" s="2">
        <v>2917</v>
      </c>
      <c r="M695" s="2">
        <v>2615</v>
      </c>
      <c r="N695" s="2">
        <v>1047</v>
      </c>
      <c r="O695" s="2">
        <v>0</v>
      </c>
      <c r="P695" s="2"/>
      <c r="Q695" s="2">
        <v>3292</v>
      </c>
      <c r="R695" s="2">
        <v>-2832</v>
      </c>
      <c r="S695" s="2">
        <v>399</v>
      </c>
      <c r="T695" s="2">
        <v>519</v>
      </c>
      <c r="U695" s="2">
        <v>0</v>
      </c>
      <c r="V695" s="2"/>
      <c r="W695" s="2">
        <v>3709</v>
      </c>
      <c r="X695" s="2">
        <v>3038</v>
      </c>
      <c r="Y695" s="2">
        <v>2467</v>
      </c>
      <c r="Z695" s="2">
        <v>0</v>
      </c>
      <c r="AA695" s="2">
        <v>0</v>
      </c>
      <c r="AB695" s="2"/>
      <c r="AC695" s="2">
        <v>5467</v>
      </c>
      <c r="AD695" s="2">
        <v>4948</v>
      </c>
      <c r="AE695" s="2">
        <v>2956</v>
      </c>
      <c r="AF695" s="2">
        <v>1525</v>
      </c>
      <c r="AG695" s="2">
        <v>0</v>
      </c>
      <c r="AH695" s="2"/>
      <c r="AI695" s="2">
        <v>0</v>
      </c>
      <c r="AJ695" s="2">
        <v>0</v>
      </c>
      <c r="AK695" s="2">
        <v>0</v>
      </c>
      <c r="AL695" s="2">
        <v>0</v>
      </c>
      <c r="AM695" s="2">
        <v>0</v>
      </c>
    </row>
    <row r="696" spans="1:39">
      <c r="A696" s="349">
        <v>97611</v>
      </c>
      <c r="B696" s="342" t="s">
        <v>1390</v>
      </c>
      <c r="C696" s="234" t="e">
        <f>VLOOKUP(A696,#REF!,10,FALSE)</f>
        <v>#REF!</v>
      </c>
      <c r="E696" s="2">
        <v>1047700</v>
      </c>
      <c r="F696" s="2">
        <v>300342</v>
      </c>
      <c r="G696" s="2">
        <v>586874</v>
      </c>
      <c r="H696" s="2">
        <v>173401</v>
      </c>
      <c r="I696" s="2">
        <v>0</v>
      </c>
      <c r="J696" s="2"/>
      <c r="K696" s="2">
        <v>347822</v>
      </c>
      <c r="L696" s="2">
        <v>327188</v>
      </c>
      <c r="M696" s="2">
        <v>293255</v>
      </c>
      <c r="N696" s="2">
        <v>117416</v>
      </c>
      <c r="O696" s="2">
        <v>0</v>
      </c>
      <c r="P696" s="2"/>
      <c r="Q696" s="2">
        <v>369261</v>
      </c>
      <c r="R696" s="2">
        <v>-317634</v>
      </c>
      <c r="S696" s="2">
        <v>44767</v>
      </c>
      <c r="T696" s="2">
        <v>58263</v>
      </c>
      <c r="U696" s="2">
        <v>0</v>
      </c>
      <c r="V696" s="2"/>
      <c r="W696" s="2">
        <v>415978</v>
      </c>
      <c r="X696" s="2">
        <v>340785</v>
      </c>
      <c r="Y696" s="2">
        <v>276659</v>
      </c>
      <c r="Z696" s="2">
        <v>0</v>
      </c>
      <c r="AA696" s="2">
        <v>0</v>
      </c>
      <c r="AB696" s="2"/>
      <c r="AC696" s="2">
        <v>0</v>
      </c>
      <c r="AD696" s="2">
        <v>0</v>
      </c>
      <c r="AE696" s="2">
        <v>0</v>
      </c>
      <c r="AF696" s="2">
        <v>0</v>
      </c>
      <c r="AG696" s="2">
        <v>0</v>
      </c>
      <c r="AH696" s="2"/>
      <c r="AI696" s="2">
        <v>-85361</v>
      </c>
      <c r="AJ696" s="2">
        <v>-49997</v>
      </c>
      <c r="AK696" s="2">
        <v>-27807</v>
      </c>
      <c r="AL696" s="2">
        <v>-2278</v>
      </c>
      <c r="AM696" s="2">
        <v>-49997</v>
      </c>
    </row>
    <row r="697" spans="1:39">
      <c r="A697" s="349">
        <v>97613</v>
      </c>
      <c r="B697" s="342" t="s">
        <v>2747</v>
      </c>
      <c r="C697" s="234" t="e">
        <f>VLOOKUP(A697,#REF!,10,FALSE)</f>
        <v>#REF!</v>
      </c>
      <c r="E697" s="2">
        <v>43106</v>
      </c>
      <c r="F697" s="2">
        <v>12045</v>
      </c>
      <c r="G697" s="2">
        <v>22169</v>
      </c>
      <c r="H697" s="2">
        <v>4244</v>
      </c>
      <c r="I697" s="2">
        <v>0</v>
      </c>
      <c r="J697" s="2"/>
      <c r="K697" s="2">
        <v>13273</v>
      </c>
      <c r="L697" s="2">
        <v>12486</v>
      </c>
      <c r="M697" s="2">
        <v>11191</v>
      </c>
      <c r="N697" s="2">
        <v>4481</v>
      </c>
      <c r="O697" s="2">
        <v>0</v>
      </c>
      <c r="P697" s="2"/>
      <c r="Q697" s="2">
        <v>14091</v>
      </c>
      <c r="R697" s="2">
        <v>-12121</v>
      </c>
      <c r="S697" s="2">
        <v>1708</v>
      </c>
      <c r="T697" s="2">
        <v>2223</v>
      </c>
      <c r="U697" s="2">
        <v>0</v>
      </c>
      <c r="V697" s="2"/>
      <c r="W697" s="2">
        <v>15874</v>
      </c>
      <c r="X697" s="2">
        <v>13004</v>
      </c>
      <c r="Y697" s="2">
        <v>10557</v>
      </c>
      <c r="Z697" s="2">
        <v>0</v>
      </c>
      <c r="AA697" s="2">
        <v>0</v>
      </c>
      <c r="AB697" s="2"/>
      <c r="AC697" s="2">
        <v>2367</v>
      </c>
      <c r="AD697" s="2">
        <v>1175</v>
      </c>
      <c r="AE697" s="2">
        <v>1174</v>
      </c>
      <c r="AF697" s="2">
        <v>0</v>
      </c>
      <c r="AG697" s="2">
        <v>0</v>
      </c>
      <c r="AH697" s="2"/>
      <c r="AI697" s="2">
        <v>-2499</v>
      </c>
      <c r="AJ697" s="2">
        <v>-2499</v>
      </c>
      <c r="AK697" s="2">
        <v>-2461</v>
      </c>
      <c r="AL697" s="2">
        <v>-2460</v>
      </c>
      <c r="AM697" s="2">
        <v>-2499</v>
      </c>
    </row>
    <row r="698" spans="1:39">
      <c r="A698" s="349">
        <v>97621</v>
      </c>
      <c r="B698" s="342" t="s">
        <v>1392</v>
      </c>
      <c r="C698" s="234" t="e">
        <f>VLOOKUP(A698,#REF!,10,FALSE)</f>
        <v>#REF!</v>
      </c>
      <c r="E698" s="2">
        <v>181434</v>
      </c>
      <c r="F698" s="2">
        <v>42932</v>
      </c>
      <c r="G698" s="2">
        <v>102425</v>
      </c>
      <c r="H698" s="2">
        <v>26399</v>
      </c>
      <c r="I698" s="2">
        <v>0</v>
      </c>
      <c r="J698" s="2"/>
      <c r="K698" s="2">
        <v>65855</v>
      </c>
      <c r="L698" s="2">
        <v>61948</v>
      </c>
      <c r="M698" s="2">
        <v>55524</v>
      </c>
      <c r="N698" s="2">
        <v>22231</v>
      </c>
      <c r="O698" s="2">
        <v>0</v>
      </c>
      <c r="P698" s="2"/>
      <c r="Q698" s="2">
        <v>69914</v>
      </c>
      <c r="R698" s="2">
        <v>-60139</v>
      </c>
      <c r="S698" s="2">
        <v>8476</v>
      </c>
      <c r="T698" s="2">
        <v>11031</v>
      </c>
      <c r="U698" s="2">
        <v>0</v>
      </c>
      <c r="V698" s="2"/>
      <c r="W698" s="2">
        <v>78760</v>
      </c>
      <c r="X698" s="2">
        <v>64523</v>
      </c>
      <c r="Y698" s="2">
        <v>52381</v>
      </c>
      <c r="Z698" s="2">
        <v>0</v>
      </c>
      <c r="AA698" s="2">
        <v>0</v>
      </c>
      <c r="AB698" s="2"/>
      <c r="AC698" s="2">
        <v>0</v>
      </c>
      <c r="AD698" s="2">
        <v>0</v>
      </c>
      <c r="AE698" s="2">
        <v>0</v>
      </c>
      <c r="AF698" s="2">
        <v>0</v>
      </c>
      <c r="AG698" s="2">
        <v>0</v>
      </c>
      <c r="AH698" s="2"/>
      <c r="AI698" s="2">
        <v>-33095</v>
      </c>
      <c r="AJ698" s="2">
        <v>-23400</v>
      </c>
      <c r="AK698" s="2">
        <v>-13956</v>
      </c>
      <c r="AL698" s="2">
        <v>-6863</v>
      </c>
      <c r="AM698" s="2">
        <v>-23400</v>
      </c>
    </row>
    <row r="699" spans="1:39">
      <c r="A699" s="349">
        <v>97623</v>
      </c>
      <c r="B699" s="342" t="s">
        <v>1393</v>
      </c>
      <c r="C699" s="234" t="e">
        <f>VLOOKUP(A699,#REF!,10,FALSE)</f>
        <v>#REF!</v>
      </c>
      <c r="E699" s="2">
        <v>11343</v>
      </c>
      <c r="F699" s="2">
        <v>2517</v>
      </c>
      <c r="G699" s="2">
        <v>5843</v>
      </c>
      <c r="H699" s="2">
        <v>2093</v>
      </c>
      <c r="I699" s="2">
        <v>0</v>
      </c>
      <c r="J699" s="2"/>
      <c r="K699" s="2">
        <v>3805</v>
      </c>
      <c r="L699" s="2">
        <v>3579</v>
      </c>
      <c r="M699" s="2">
        <v>3208</v>
      </c>
      <c r="N699" s="2">
        <v>1285</v>
      </c>
      <c r="O699" s="2">
        <v>0</v>
      </c>
      <c r="P699" s="2"/>
      <c r="Q699" s="2">
        <v>4040</v>
      </c>
      <c r="R699" s="2">
        <v>-3475</v>
      </c>
      <c r="S699" s="2">
        <v>490</v>
      </c>
      <c r="T699" s="2">
        <v>637</v>
      </c>
      <c r="U699" s="2">
        <v>0</v>
      </c>
      <c r="V699" s="2"/>
      <c r="W699" s="2">
        <v>4551</v>
      </c>
      <c r="X699" s="2">
        <v>3728</v>
      </c>
      <c r="Y699" s="2">
        <v>3027</v>
      </c>
      <c r="Z699" s="2">
        <v>0</v>
      </c>
      <c r="AA699" s="2">
        <v>0</v>
      </c>
      <c r="AB699" s="2"/>
      <c r="AC699" s="2">
        <v>433</v>
      </c>
      <c r="AD699" s="2">
        <v>170</v>
      </c>
      <c r="AE699" s="2">
        <v>170</v>
      </c>
      <c r="AF699" s="2">
        <v>171</v>
      </c>
      <c r="AG699" s="2">
        <v>0</v>
      </c>
      <c r="AH699" s="2"/>
      <c r="AI699" s="2">
        <v>-1486</v>
      </c>
      <c r="AJ699" s="2">
        <v>-1485</v>
      </c>
      <c r="AK699" s="2">
        <v>-1052</v>
      </c>
      <c r="AL699" s="2">
        <v>0</v>
      </c>
      <c r="AM699" s="2">
        <v>-1485</v>
      </c>
    </row>
    <row r="700" spans="1:39">
      <c r="A700" s="349">
        <v>97627</v>
      </c>
      <c r="B700" s="342" t="s">
        <v>1394</v>
      </c>
      <c r="C700" s="234" t="e">
        <f>VLOOKUP(A700,#REF!,10,FALSE)</f>
        <v>#REF!</v>
      </c>
      <c r="E700" s="2">
        <v>4964</v>
      </c>
      <c r="F700" s="2">
        <v>1706</v>
      </c>
      <c r="G700" s="2">
        <v>2736</v>
      </c>
      <c r="H700" s="2">
        <v>850</v>
      </c>
      <c r="I700" s="2">
        <v>0</v>
      </c>
      <c r="J700" s="2"/>
      <c r="K700" s="2">
        <v>1393</v>
      </c>
      <c r="L700" s="2">
        <v>1311</v>
      </c>
      <c r="M700" s="2">
        <v>1175</v>
      </c>
      <c r="N700" s="2">
        <v>470</v>
      </c>
      <c r="O700" s="2">
        <v>0</v>
      </c>
      <c r="P700" s="2"/>
      <c r="Q700" s="2">
        <v>1479</v>
      </c>
      <c r="R700" s="2">
        <v>-1272</v>
      </c>
      <c r="S700" s="2">
        <v>179</v>
      </c>
      <c r="T700" s="2">
        <v>233</v>
      </c>
      <c r="U700" s="2">
        <v>0</v>
      </c>
      <c r="V700" s="2"/>
      <c r="W700" s="2">
        <v>1666</v>
      </c>
      <c r="X700" s="2">
        <v>1365</v>
      </c>
      <c r="Y700" s="2">
        <v>1108</v>
      </c>
      <c r="Z700" s="2">
        <v>0</v>
      </c>
      <c r="AA700" s="2">
        <v>0</v>
      </c>
      <c r="AB700" s="2"/>
      <c r="AC700" s="2">
        <v>426</v>
      </c>
      <c r="AD700" s="2">
        <v>302</v>
      </c>
      <c r="AE700" s="2">
        <v>274</v>
      </c>
      <c r="AF700" s="2">
        <v>147</v>
      </c>
      <c r="AG700" s="2">
        <v>0</v>
      </c>
      <c r="AH700" s="2"/>
      <c r="AI700" s="2">
        <v>0</v>
      </c>
      <c r="AJ700" s="2">
        <v>0</v>
      </c>
      <c r="AK700" s="2">
        <v>0</v>
      </c>
      <c r="AL700" s="2">
        <v>0</v>
      </c>
      <c r="AM700" s="2">
        <v>0</v>
      </c>
    </row>
    <row r="701" spans="1:39">
      <c r="A701" s="349">
        <v>97631</v>
      </c>
      <c r="B701" s="342" t="s">
        <v>1395</v>
      </c>
      <c r="C701" s="234" t="e">
        <f>VLOOKUP(A701,#REF!,10,FALSE)</f>
        <v>#REF!</v>
      </c>
      <c r="E701" s="2">
        <v>91769</v>
      </c>
      <c r="F701" s="2">
        <v>24109</v>
      </c>
      <c r="G701" s="2">
        <v>47489</v>
      </c>
      <c r="H701" s="2">
        <v>11478</v>
      </c>
      <c r="I701" s="2">
        <v>0</v>
      </c>
      <c r="J701" s="2"/>
      <c r="K701" s="2">
        <v>29542</v>
      </c>
      <c r="L701" s="2">
        <v>27789</v>
      </c>
      <c r="M701" s="2">
        <v>24907</v>
      </c>
      <c r="N701" s="2">
        <v>9973</v>
      </c>
      <c r="O701" s="2">
        <v>0</v>
      </c>
      <c r="P701" s="2"/>
      <c r="Q701" s="2">
        <v>31363</v>
      </c>
      <c r="R701" s="2">
        <v>-26978</v>
      </c>
      <c r="S701" s="2">
        <v>3802</v>
      </c>
      <c r="T701" s="2">
        <v>4949</v>
      </c>
      <c r="U701" s="2">
        <v>0</v>
      </c>
      <c r="V701" s="2"/>
      <c r="W701" s="2">
        <v>35331</v>
      </c>
      <c r="X701" s="2">
        <v>28944</v>
      </c>
      <c r="Y701" s="2">
        <v>23498</v>
      </c>
      <c r="Z701" s="2">
        <v>0</v>
      </c>
      <c r="AA701" s="2">
        <v>0</v>
      </c>
      <c r="AB701" s="2"/>
      <c r="AC701" s="2">
        <v>1180</v>
      </c>
      <c r="AD701" s="2">
        <v>0</v>
      </c>
      <c r="AE701" s="2">
        <v>0</v>
      </c>
      <c r="AF701" s="2">
        <v>0</v>
      </c>
      <c r="AG701" s="2">
        <v>0</v>
      </c>
      <c r="AH701" s="2"/>
      <c r="AI701" s="2">
        <v>-5647</v>
      </c>
      <c r="AJ701" s="2">
        <v>-5646</v>
      </c>
      <c r="AK701" s="2">
        <v>-4718</v>
      </c>
      <c r="AL701" s="2">
        <v>-3444</v>
      </c>
      <c r="AM701" s="2">
        <v>-5646</v>
      </c>
    </row>
    <row r="702" spans="1:39">
      <c r="A702" s="349">
        <v>97637</v>
      </c>
      <c r="B702" s="342" t="s">
        <v>1396</v>
      </c>
      <c r="C702" s="234" t="e">
        <f>VLOOKUP(A702,#REF!,10,FALSE)</f>
        <v>#REF!</v>
      </c>
      <c r="E702" s="2">
        <v>2118</v>
      </c>
      <c r="F702" s="2">
        <v>1049</v>
      </c>
      <c r="G702" s="2">
        <v>1279</v>
      </c>
      <c r="H702" s="2">
        <v>481</v>
      </c>
      <c r="I702" s="2">
        <v>0</v>
      </c>
      <c r="J702" s="2"/>
      <c r="K702" s="2">
        <v>479</v>
      </c>
      <c r="L702" s="2">
        <v>451</v>
      </c>
      <c r="M702" s="2">
        <v>404</v>
      </c>
      <c r="N702" s="2">
        <v>162</v>
      </c>
      <c r="O702" s="2">
        <v>0</v>
      </c>
      <c r="P702" s="2"/>
      <c r="Q702" s="2">
        <v>509</v>
      </c>
      <c r="R702" s="2">
        <v>-438</v>
      </c>
      <c r="S702" s="2">
        <v>62</v>
      </c>
      <c r="T702" s="2">
        <v>80</v>
      </c>
      <c r="U702" s="2">
        <v>0</v>
      </c>
      <c r="V702" s="2"/>
      <c r="W702" s="2">
        <v>573</v>
      </c>
      <c r="X702" s="2">
        <v>470</v>
      </c>
      <c r="Y702" s="2">
        <v>381</v>
      </c>
      <c r="Z702" s="2">
        <v>0</v>
      </c>
      <c r="AA702" s="2">
        <v>0</v>
      </c>
      <c r="AB702" s="2"/>
      <c r="AC702" s="2">
        <v>567</v>
      </c>
      <c r="AD702" s="2">
        <v>566</v>
      </c>
      <c r="AE702" s="2">
        <v>432</v>
      </c>
      <c r="AF702" s="2">
        <v>239</v>
      </c>
      <c r="AG702" s="2">
        <v>0</v>
      </c>
      <c r="AH702" s="2"/>
      <c r="AI702" s="2">
        <v>-10</v>
      </c>
      <c r="AJ702" s="2">
        <v>0</v>
      </c>
      <c r="AK702" s="2">
        <v>0</v>
      </c>
      <c r="AL702" s="2">
        <v>0</v>
      </c>
      <c r="AM702" s="2">
        <v>0</v>
      </c>
    </row>
    <row r="703" spans="1:39">
      <c r="A703" s="349">
        <v>97641</v>
      </c>
      <c r="B703" s="342" t="s">
        <v>1397</v>
      </c>
      <c r="C703" s="234" t="e">
        <f>VLOOKUP(A703,#REF!,10,FALSE)</f>
        <v>#REF!</v>
      </c>
      <c r="E703" s="2">
        <v>23390</v>
      </c>
      <c r="F703" s="2">
        <v>5638</v>
      </c>
      <c r="G703" s="2">
        <v>10311</v>
      </c>
      <c r="H703" s="2">
        <v>3798</v>
      </c>
      <c r="I703" s="2">
        <v>0</v>
      </c>
      <c r="J703" s="2"/>
      <c r="K703" s="2">
        <v>6801</v>
      </c>
      <c r="L703" s="2">
        <v>6398</v>
      </c>
      <c r="M703" s="2">
        <v>5734</v>
      </c>
      <c r="N703" s="2">
        <v>2296</v>
      </c>
      <c r="O703" s="2">
        <v>0</v>
      </c>
      <c r="P703" s="2"/>
      <c r="Q703" s="2">
        <v>7220</v>
      </c>
      <c r="R703" s="2">
        <v>-6211</v>
      </c>
      <c r="S703" s="2">
        <v>875</v>
      </c>
      <c r="T703" s="2">
        <v>1139</v>
      </c>
      <c r="U703" s="2">
        <v>0</v>
      </c>
      <c r="V703" s="2"/>
      <c r="W703" s="2">
        <v>8134</v>
      </c>
      <c r="X703" s="2">
        <v>6664</v>
      </c>
      <c r="Y703" s="2">
        <v>5410</v>
      </c>
      <c r="Z703" s="2">
        <v>0</v>
      </c>
      <c r="AA703" s="2">
        <v>0</v>
      </c>
      <c r="AB703" s="2"/>
      <c r="AC703" s="2">
        <v>3306</v>
      </c>
      <c r="AD703" s="2">
        <v>858</v>
      </c>
      <c r="AE703" s="2">
        <v>365</v>
      </c>
      <c r="AF703" s="2">
        <v>363</v>
      </c>
      <c r="AG703" s="2">
        <v>0</v>
      </c>
      <c r="AH703" s="2"/>
      <c r="AI703" s="2">
        <v>-2071</v>
      </c>
      <c r="AJ703" s="2">
        <v>-2071</v>
      </c>
      <c r="AK703" s="2">
        <v>-2073</v>
      </c>
      <c r="AL703" s="2">
        <v>0</v>
      </c>
      <c r="AM703" s="2">
        <v>-2071</v>
      </c>
    </row>
    <row r="704" spans="1:39">
      <c r="A704" s="349">
        <v>97651</v>
      </c>
      <c r="B704" s="342" t="s">
        <v>1398</v>
      </c>
      <c r="C704" s="234" t="e">
        <f>VLOOKUP(A704,#REF!,10,FALSE)</f>
        <v>#REF!</v>
      </c>
      <c r="E704" s="2">
        <v>236642</v>
      </c>
      <c r="F704" s="2">
        <v>67128</v>
      </c>
      <c r="G704" s="2">
        <v>129271</v>
      </c>
      <c r="H704" s="2">
        <v>34704</v>
      </c>
      <c r="I704" s="2">
        <v>0</v>
      </c>
      <c r="J704" s="2"/>
      <c r="K704" s="2">
        <v>78394</v>
      </c>
      <c r="L704" s="2">
        <v>73743</v>
      </c>
      <c r="M704" s="2">
        <v>66095</v>
      </c>
      <c r="N704" s="2">
        <v>26464</v>
      </c>
      <c r="O704" s="2">
        <v>0</v>
      </c>
      <c r="P704" s="2"/>
      <c r="Q704" s="2">
        <v>83226</v>
      </c>
      <c r="R704" s="2">
        <v>-71590</v>
      </c>
      <c r="S704" s="2">
        <v>10090</v>
      </c>
      <c r="T704" s="2">
        <v>13132</v>
      </c>
      <c r="U704" s="2">
        <v>0</v>
      </c>
      <c r="V704" s="2"/>
      <c r="W704" s="2">
        <v>93755</v>
      </c>
      <c r="X704" s="2">
        <v>76808</v>
      </c>
      <c r="Y704" s="2">
        <v>62355</v>
      </c>
      <c r="Z704" s="2">
        <v>0</v>
      </c>
      <c r="AA704" s="2">
        <v>0</v>
      </c>
      <c r="AB704" s="2"/>
      <c r="AC704" s="2">
        <v>0</v>
      </c>
      <c r="AD704" s="2">
        <v>0</v>
      </c>
      <c r="AE704" s="2">
        <v>0</v>
      </c>
      <c r="AF704" s="2">
        <v>0</v>
      </c>
      <c r="AG704" s="2">
        <v>0</v>
      </c>
      <c r="AH704" s="2"/>
      <c r="AI704" s="2">
        <v>-18733</v>
      </c>
      <c r="AJ704" s="2">
        <v>-11833</v>
      </c>
      <c r="AK704" s="2">
        <v>-9269</v>
      </c>
      <c r="AL704" s="2">
        <v>-4892</v>
      </c>
      <c r="AM704" s="2">
        <v>-11833</v>
      </c>
    </row>
    <row r="705" spans="1:39">
      <c r="A705" s="349">
        <v>97661</v>
      </c>
      <c r="B705" s="342" t="s">
        <v>1399</v>
      </c>
      <c r="C705" s="234" t="e">
        <f>VLOOKUP(A705,#REF!,10,FALSE)</f>
        <v>#REF!</v>
      </c>
      <c r="E705" s="2">
        <v>30365</v>
      </c>
      <c r="F705" s="2">
        <v>10817</v>
      </c>
      <c r="G705" s="2">
        <v>15460</v>
      </c>
      <c r="H705" s="2">
        <v>5866</v>
      </c>
      <c r="I705" s="2">
        <v>0</v>
      </c>
      <c r="J705" s="2"/>
      <c r="K705" s="2">
        <v>7985</v>
      </c>
      <c r="L705" s="2">
        <v>7511</v>
      </c>
      <c r="M705" s="2">
        <v>6732</v>
      </c>
      <c r="N705" s="2">
        <v>2695</v>
      </c>
      <c r="O705" s="2">
        <v>0</v>
      </c>
      <c r="P705" s="2"/>
      <c r="Q705" s="2">
        <v>8477</v>
      </c>
      <c r="R705" s="2">
        <v>-7292</v>
      </c>
      <c r="S705" s="2">
        <v>1028</v>
      </c>
      <c r="T705" s="2">
        <v>1338</v>
      </c>
      <c r="U705" s="2">
        <v>0</v>
      </c>
      <c r="V705" s="2"/>
      <c r="W705" s="2">
        <v>9549</v>
      </c>
      <c r="X705" s="2">
        <v>7823</v>
      </c>
      <c r="Y705" s="2">
        <v>6351</v>
      </c>
      <c r="Z705" s="2">
        <v>0</v>
      </c>
      <c r="AA705" s="2">
        <v>0</v>
      </c>
      <c r="AB705" s="2"/>
      <c r="AC705" s="2">
        <v>4839</v>
      </c>
      <c r="AD705" s="2">
        <v>3260</v>
      </c>
      <c r="AE705" s="2">
        <v>1834</v>
      </c>
      <c r="AF705" s="2">
        <v>1833</v>
      </c>
      <c r="AG705" s="2">
        <v>0</v>
      </c>
      <c r="AH705" s="2"/>
      <c r="AI705" s="2">
        <v>-485</v>
      </c>
      <c r="AJ705" s="2">
        <v>-485</v>
      </c>
      <c r="AK705" s="2">
        <v>-485</v>
      </c>
      <c r="AL705" s="2">
        <v>0</v>
      </c>
      <c r="AM705" s="2">
        <v>-485</v>
      </c>
    </row>
    <row r="706" spans="1:39">
      <c r="A706" s="349">
        <v>97701</v>
      </c>
      <c r="B706" s="342" t="s">
        <v>1400</v>
      </c>
      <c r="C706" s="234" t="e">
        <f>VLOOKUP(A706,#REF!,10,FALSE)</f>
        <v>#REF!</v>
      </c>
      <c r="E706" s="2">
        <v>1192282</v>
      </c>
      <c r="F706" s="2">
        <v>359369</v>
      </c>
      <c r="G706" s="2">
        <v>639050</v>
      </c>
      <c r="H706" s="2">
        <v>164842</v>
      </c>
      <c r="I706" s="2">
        <v>0</v>
      </c>
      <c r="J706" s="2"/>
      <c r="K706" s="2">
        <v>368196</v>
      </c>
      <c r="L706" s="2">
        <v>346353</v>
      </c>
      <c r="M706" s="2">
        <v>310432</v>
      </c>
      <c r="N706" s="2">
        <v>124293</v>
      </c>
      <c r="O706" s="2">
        <v>0</v>
      </c>
      <c r="P706" s="2"/>
      <c r="Q706" s="2">
        <v>390891</v>
      </c>
      <c r="R706" s="2">
        <v>-336239</v>
      </c>
      <c r="S706" s="2">
        <v>47389</v>
      </c>
      <c r="T706" s="2">
        <v>61676</v>
      </c>
      <c r="U706" s="2">
        <v>0</v>
      </c>
      <c r="V706" s="2"/>
      <c r="W706" s="2">
        <v>440344</v>
      </c>
      <c r="X706" s="2">
        <v>360746</v>
      </c>
      <c r="Y706" s="2">
        <v>292864</v>
      </c>
      <c r="Z706" s="2">
        <v>0</v>
      </c>
      <c r="AA706" s="2">
        <v>0</v>
      </c>
      <c r="AB706" s="2"/>
      <c r="AC706" s="2">
        <v>13976</v>
      </c>
      <c r="AD706" s="2">
        <v>9634</v>
      </c>
      <c r="AE706" s="2">
        <v>9490</v>
      </c>
      <c r="AF706" s="2">
        <v>0</v>
      </c>
      <c r="AG706" s="2">
        <v>0</v>
      </c>
      <c r="AH706" s="2"/>
      <c r="AI706" s="2">
        <v>-21125</v>
      </c>
      <c r="AJ706" s="2">
        <v>-21125</v>
      </c>
      <c r="AK706" s="2">
        <v>-21125</v>
      </c>
      <c r="AL706" s="2">
        <v>-21127</v>
      </c>
      <c r="AM706" s="2">
        <v>-21125</v>
      </c>
    </row>
    <row r="707" spans="1:39">
      <c r="A707" s="349">
        <v>97705</v>
      </c>
      <c r="B707" s="342" t="s">
        <v>1401</v>
      </c>
      <c r="C707" s="234" t="e">
        <f>VLOOKUP(A707,#REF!,10,FALSE)</f>
        <v>#REF!</v>
      </c>
      <c r="E707" s="2">
        <v>11766</v>
      </c>
      <c r="F707" s="2">
        <v>365</v>
      </c>
      <c r="G707" s="2">
        <v>6662</v>
      </c>
      <c r="H707" s="2">
        <v>795</v>
      </c>
      <c r="I707" s="2">
        <v>0</v>
      </c>
      <c r="J707" s="2"/>
      <c r="K707" s="2">
        <v>4749</v>
      </c>
      <c r="L707" s="2">
        <v>4467</v>
      </c>
      <c r="M707" s="2">
        <v>4004</v>
      </c>
      <c r="N707" s="2">
        <v>1603</v>
      </c>
      <c r="O707" s="2">
        <v>0</v>
      </c>
      <c r="P707" s="2"/>
      <c r="Q707" s="2">
        <v>5042</v>
      </c>
      <c r="R707" s="2">
        <v>-4337</v>
      </c>
      <c r="S707" s="2">
        <v>611</v>
      </c>
      <c r="T707" s="2">
        <v>795</v>
      </c>
      <c r="U707" s="2">
        <v>0</v>
      </c>
      <c r="V707" s="2"/>
      <c r="W707" s="2">
        <v>5679</v>
      </c>
      <c r="X707" s="2">
        <v>4653</v>
      </c>
      <c r="Y707" s="2">
        <v>3777</v>
      </c>
      <c r="Z707" s="2">
        <v>0</v>
      </c>
      <c r="AA707" s="2">
        <v>0</v>
      </c>
      <c r="AB707" s="2"/>
      <c r="AC707" s="2">
        <v>715</v>
      </c>
      <c r="AD707" s="2">
        <v>0</v>
      </c>
      <c r="AE707" s="2">
        <v>0</v>
      </c>
      <c r="AF707" s="2">
        <v>0</v>
      </c>
      <c r="AG707" s="2">
        <v>0</v>
      </c>
      <c r="AH707" s="2"/>
      <c r="AI707" s="2">
        <v>-4419</v>
      </c>
      <c r="AJ707" s="2">
        <v>-4418</v>
      </c>
      <c r="AK707" s="2">
        <v>-1730</v>
      </c>
      <c r="AL707" s="2">
        <v>-1603</v>
      </c>
      <c r="AM707" s="2">
        <v>-4418</v>
      </c>
    </row>
    <row r="708" spans="1:39">
      <c r="A708" s="349">
        <v>97711</v>
      </c>
      <c r="B708" s="342" t="s">
        <v>1402</v>
      </c>
      <c r="C708" s="234" t="e">
        <f>VLOOKUP(A708,#REF!,10,FALSE)</f>
        <v>#REF!</v>
      </c>
      <c r="E708" s="2">
        <v>405260</v>
      </c>
      <c r="F708" s="2">
        <v>121012</v>
      </c>
      <c r="G708" s="2">
        <v>222302</v>
      </c>
      <c r="H708" s="2">
        <v>57081</v>
      </c>
      <c r="I708" s="2">
        <v>0</v>
      </c>
      <c r="J708" s="2"/>
      <c r="K708" s="2">
        <v>128729</v>
      </c>
      <c r="L708" s="2">
        <v>121093</v>
      </c>
      <c r="M708" s="2">
        <v>108534</v>
      </c>
      <c r="N708" s="2">
        <v>43456</v>
      </c>
      <c r="O708" s="2">
        <v>0</v>
      </c>
      <c r="P708" s="2"/>
      <c r="Q708" s="2">
        <v>136664</v>
      </c>
      <c r="R708" s="2">
        <v>-117557</v>
      </c>
      <c r="S708" s="2">
        <v>16568</v>
      </c>
      <c r="T708" s="2">
        <v>21563</v>
      </c>
      <c r="U708" s="2">
        <v>0</v>
      </c>
      <c r="V708" s="2"/>
      <c r="W708" s="2">
        <v>153954</v>
      </c>
      <c r="X708" s="2">
        <v>126125</v>
      </c>
      <c r="Y708" s="2">
        <v>102392</v>
      </c>
      <c r="Z708" s="2">
        <v>0</v>
      </c>
      <c r="AA708" s="2">
        <v>0</v>
      </c>
      <c r="AB708" s="2"/>
      <c r="AC708" s="2">
        <v>2745</v>
      </c>
      <c r="AD708" s="2">
        <v>2745</v>
      </c>
      <c r="AE708" s="2">
        <v>2747</v>
      </c>
      <c r="AF708" s="2">
        <v>0</v>
      </c>
      <c r="AG708" s="2">
        <v>0</v>
      </c>
      <c r="AH708" s="2"/>
      <c r="AI708" s="2">
        <v>-16832</v>
      </c>
      <c r="AJ708" s="2">
        <v>-11394</v>
      </c>
      <c r="AK708" s="2">
        <v>-7939</v>
      </c>
      <c r="AL708" s="2">
        <v>-7938</v>
      </c>
      <c r="AM708" s="2">
        <v>-11394</v>
      </c>
    </row>
    <row r="709" spans="1:39">
      <c r="A709" s="349">
        <v>97713</v>
      </c>
      <c r="B709" s="342" t="s">
        <v>1403</v>
      </c>
      <c r="C709" s="234" t="e">
        <f>VLOOKUP(A709,#REF!,10,FALSE)</f>
        <v>#REF!</v>
      </c>
      <c r="E709" s="2">
        <v>22105</v>
      </c>
      <c r="F709" s="2">
        <v>6128</v>
      </c>
      <c r="G709" s="2">
        <v>14279</v>
      </c>
      <c r="H709" s="2">
        <v>3642</v>
      </c>
      <c r="I709" s="2">
        <v>0</v>
      </c>
      <c r="J709" s="2"/>
      <c r="K709" s="2">
        <v>7550</v>
      </c>
      <c r="L709" s="2">
        <v>7102</v>
      </c>
      <c r="M709" s="2">
        <v>6366</v>
      </c>
      <c r="N709" s="2">
        <v>2549</v>
      </c>
      <c r="O709" s="2">
        <v>0</v>
      </c>
      <c r="P709" s="2"/>
      <c r="Q709" s="2">
        <v>8016</v>
      </c>
      <c r="R709" s="2">
        <v>-6895</v>
      </c>
      <c r="S709" s="2">
        <v>972</v>
      </c>
      <c r="T709" s="2">
        <v>1265</v>
      </c>
      <c r="U709" s="2">
        <v>0</v>
      </c>
      <c r="V709" s="2"/>
      <c r="W709" s="2">
        <v>9030</v>
      </c>
      <c r="X709" s="2">
        <v>7398</v>
      </c>
      <c r="Y709" s="2">
        <v>6006</v>
      </c>
      <c r="Z709" s="2">
        <v>0</v>
      </c>
      <c r="AA709" s="2">
        <v>0</v>
      </c>
      <c r="AB709" s="2"/>
      <c r="AC709" s="2">
        <v>1109</v>
      </c>
      <c r="AD709" s="2">
        <v>1109</v>
      </c>
      <c r="AE709" s="2">
        <v>1107</v>
      </c>
      <c r="AF709" s="2">
        <v>0</v>
      </c>
      <c r="AG709" s="2">
        <v>0</v>
      </c>
      <c r="AH709" s="2"/>
      <c r="AI709" s="2">
        <v>-3600</v>
      </c>
      <c r="AJ709" s="2">
        <v>-2586</v>
      </c>
      <c r="AK709" s="2">
        <v>-172</v>
      </c>
      <c r="AL709" s="2">
        <v>-172</v>
      </c>
      <c r="AM709" s="2">
        <v>-2586</v>
      </c>
    </row>
    <row r="710" spans="1:39">
      <c r="A710" s="349">
        <v>97717</v>
      </c>
      <c r="B710" s="342" t="s">
        <v>1404</v>
      </c>
      <c r="C710" s="234" t="e">
        <f>VLOOKUP(A710,#REF!,10,FALSE)</f>
        <v>#REF!</v>
      </c>
      <c r="E710" s="2">
        <v>2619</v>
      </c>
      <c r="F710" s="2">
        <v>473</v>
      </c>
      <c r="G710" s="2">
        <v>1494</v>
      </c>
      <c r="H710" s="2">
        <v>389</v>
      </c>
      <c r="I710" s="2">
        <v>0</v>
      </c>
      <c r="J710" s="2"/>
      <c r="K710" s="2">
        <v>809</v>
      </c>
      <c r="L710" s="2">
        <v>761</v>
      </c>
      <c r="M710" s="2">
        <v>682</v>
      </c>
      <c r="N710" s="2">
        <v>273</v>
      </c>
      <c r="O710" s="2">
        <v>0</v>
      </c>
      <c r="P710" s="2"/>
      <c r="Q710" s="2">
        <v>859</v>
      </c>
      <c r="R710" s="2">
        <v>-739</v>
      </c>
      <c r="S710" s="2">
        <v>104</v>
      </c>
      <c r="T710" s="2">
        <v>136</v>
      </c>
      <c r="U710" s="2">
        <v>0</v>
      </c>
      <c r="V710" s="2"/>
      <c r="W710" s="2">
        <v>967</v>
      </c>
      <c r="X710" s="2">
        <v>793</v>
      </c>
      <c r="Y710" s="2">
        <v>643</v>
      </c>
      <c r="Z710" s="2">
        <v>0</v>
      </c>
      <c r="AA710" s="2">
        <v>0</v>
      </c>
      <c r="AB710" s="2"/>
      <c r="AC710" s="2">
        <v>407</v>
      </c>
      <c r="AD710" s="2">
        <v>83</v>
      </c>
      <c r="AE710" s="2">
        <v>83</v>
      </c>
      <c r="AF710" s="2">
        <v>0</v>
      </c>
      <c r="AG710" s="2">
        <v>0</v>
      </c>
      <c r="AH710" s="2"/>
      <c r="AI710" s="2">
        <v>-423</v>
      </c>
      <c r="AJ710" s="2">
        <v>-425</v>
      </c>
      <c r="AK710" s="2">
        <v>-18</v>
      </c>
      <c r="AL710" s="2">
        <v>-20</v>
      </c>
      <c r="AM710" s="2">
        <v>-425</v>
      </c>
    </row>
    <row r="711" spans="1:39">
      <c r="A711" s="349">
        <v>97721</v>
      </c>
      <c r="B711" s="342" t="s">
        <v>1405</v>
      </c>
      <c r="C711" s="234" t="e">
        <f>VLOOKUP(A711,#REF!,10,FALSE)</f>
        <v>#REF!</v>
      </c>
      <c r="E711" s="2">
        <v>263407</v>
      </c>
      <c r="F711" s="2">
        <v>72060</v>
      </c>
      <c r="G711" s="2">
        <v>137378</v>
      </c>
      <c r="H711" s="2">
        <v>31194</v>
      </c>
      <c r="I711" s="2">
        <v>0</v>
      </c>
      <c r="J711" s="2"/>
      <c r="K711" s="2">
        <v>83442</v>
      </c>
      <c r="L711" s="2">
        <v>78492</v>
      </c>
      <c r="M711" s="2">
        <v>70352</v>
      </c>
      <c r="N711" s="2">
        <v>28168</v>
      </c>
      <c r="O711" s="2">
        <v>0</v>
      </c>
      <c r="P711" s="2"/>
      <c r="Q711" s="2">
        <v>88586</v>
      </c>
      <c r="R711" s="2">
        <v>-76200</v>
      </c>
      <c r="S711" s="2">
        <v>10740</v>
      </c>
      <c r="T711" s="2">
        <v>13977</v>
      </c>
      <c r="U711" s="2">
        <v>0</v>
      </c>
      <c r="V711" s="2"/>
      <c r="W711" s="2">
        <v>99793</v>
      </c>
      <c r="X711" s="2">
        <v>81754</v>
      </c>
      <c r="Y711" s="2">
        <v>66370</v>
      </c>
      <c r="Z711" s="2">
        <v>0</v>
      </c>
      <c r="AA711" s="2">
        <v>0</v>
      </c>
      <c r="AB711" s="2"/>
      <c r="AC711" s="2">
        <v>4439</v>
      </c>
      <c r="AD711" s="2">
        <v>866</v>
      </c>
      <c r="AE711" s="2">
        <v>868</v>
      </c>
      <c r="AF711" s="2">
        <v>0</v>
      </c>
      <c r="AG711" s="2">
        <v>0</v>
      </c>
      <c r="AH711" s="2"/>
      <c r="AI711" s="2">
        <v>-12853</v>
      </c>
      <c r="AJ711" s="2">
        <v>-12852</v>
      </c>
      <c r="AK711" s="2">
        <v>-10952</v>
      </c>
      <c r="AL711" s="2">
        <v>-10951</v>
      </c>
      <c r="AM711" s="2">
        <v>-12852</v>
      </c>
    </row>
    <row r="712" spans="1:39">
      <c r="A712" s="349">
        <v>97727</v>
      </c>
      <c r="B712" s="342" t="s">
        <v>1406</v>
      </c>
      <c r="C712" s="234" t="e">
        <f>VLOOKUP(A712,#REF!,10,FALSE)</f>
        <v>#REF!</v>
      </c>
      <c r="E712" s="2">
        <v>8595</v>
      </c>
      <c r="F712" s="2">
        <v>2583</v>
      </c>
      <c r="G712" s="2">
        <v>4757</v>
      </c>
      <c r="H712" s="2">
        <v>1398</v>
      </c>
      <c r="I712" s="2">
        <v>0</v>
      </c>
      <c r="J712" s="2"/>
      <c r="K712" s="2">
        <v>2786</v>
      </c>
      <c r="L712" s="2">
        <v>2621</v>
      </c>
      <c r="M712" s="2">
        <v>2349</v>
      </c>
      <c r="N712" s="2">
        <v>941</v>
      </c>
      <c r="O712" s="2">
        <v>0</v>
      </c>
      <c r="P712" s="2"/>
      <c r="Q712" s="2">
        <v>2958</v>
      </c>
      <c r="R712" s="2">
        <v>-2545</v>
      </c>
      <c r="S712" s="2">
        <v>359</v>
      </c>
      <c r="T712" s="2">
        <v>467</v>
      </c>
      <c r="U712" s="2">
        <v>0</v>
      </c>
      <c r="V712" s="2"/>
      <c r="W712" s="2">
        <v>3332</v>
      </c>
      <c r="X712" s="2">
        <v>2730</v>
      </c>
      <c r="Y712" s="2">
        <v>2216</v>
      </c>
      <c r="Z712" s="2">
        <v>0</v>
      </c>
      <c r="AA712" s="2">
        <v>0</v>
      </c>
      <c r="AB712" s="2"/>
      <c r="AC712" s="2">
        <v>0</v>
      </c>
      <c r="AD712" s="2">
        <v>0</v>
      </c>
      <c r="AE712" s="2">
        <v>0</v>
      </c>
      <c r="AF712" s="2">
        <v>0</v>
      </c>
      <c r="AG712" s="2">
        <v>0</v>
      </c>
      <c r="AH712" s="2"/>
      <c r="AI712" s="2">
        <v>-481</v>
      </c>
      <c r="AJ712" s="2">
        <v>-223</v>
      </c>
      <c r="AK712" s="2">
        <v>-167</v>
      </c>
      <c r="AL712" s="2">
        <v>-10</v>
      </c>
      <c r="AM712" s="2">
        <v>-223</v>
      </c>
    </row>
    <row r="713" spans="1:39">
      <c r="A713" s="349">
        <v>97731</v>
      </c>
      <c r="B713" s="342" t="s">
        <v>1407</v>
      </c>
      <c r="C713" s="234" t="e">
        <f>VLOOKUP(A713,#REF!,10,FALSE)</f>
        <v>#REF!</v>
      </c>
      <c r="E713" s="2">
        <v>21356</v>
      </c>
      <c r="F713" s="2">
        <v>7708</v>
      </c>
      <c r="G713" s="2">
        <v>11890</v>
      </c>
      <c r="H713" s="2">
        <v>4345</v>
      </c>
      <c r="I713" s="2">
        <v>0</v>
      </c>
      <c r="J713" s="2"/>
      <c r="K713" s="2">
        <v>5723</v>
      </c>
      <c r="L713" s="2">
        <v>5383</v>
      </c>
      <c r="M713" s="2">
        <v>4825</v>
      </c>
      <c r="N713" s="2">
        <v>1932</v>
      </c>
      <c r="O713" s="2">
        <v>0</v>
      </c>
      <c r="P713" s="2"/>
      <c r="Q713" s="2">
        <v>6075</v>
      </c>
      <c r="R713" s="2">
        <v>-5226</v>
      </c>
      <c r="S713" s="2">
        <v>737</v>
      </c>
      <c r="T713" s="2">
        <v>959</v>
      </c>
      <c r="U713" s="2">
        <v>0</v>
      </c>
      <c r="V713" s="2"/>
      <c r="W713" s="2">
        <v>6844</v>
      </c>
      <c r="X713" s="2">
        <v>5607</v>
      </c>
      <c r="Y713" s="2">
        <v>4552</v>
      </c>
      <c r="Z713" s="2">
        <v>0</v>
      </c>
      <c r="AA713" s="2">
        <v>0</v>
      </c>
      <c r="AB713" s="2"/>
      <c r="AC713" s="2">
        <v>2714</v>
      </c>
      <c r="AD713" s="2">
        <v>1944</v>
      </c>
      <c r="AE713" s="2">
        <v>1776</v>
      </c>
      <c r="AF713" s="2">
        <v>1454</v>
      </c>
      <c r="AG713" s="2">
        <v>0</v>
      </c>
      <c r="AH713" s="2"/>
      <c r="AI713" s="2">
        <v>0</v>
      </c>
      <c r="AJ713" s="2">
        <v>0</v>
      </c>
      <c r="AK713" s="2">
        <v>0</v>
      </c>
      <c r="AL713" s="2">
        <v>0</v>
      </c>
      <c r="AM713" s="2">
        <v>0</v>
      </c>
    </row>
    <row r="714" spans="1:39">
      <c r="A714" s="349">
        <v>97801</v>
      </c>
      <c r="B714" s="342" t="s">
        <v>1408</v>
      </c>
      <c r="C714" s="234" t="e">
        <f>VLOOKUP(A714,#REF!,10,FALSE)</f>
        <v>#REF!</v>
      </c>
      <c r="E714" s="2">
        <v>2724652</v>
      </c>
      <c r="F714" s="2">
        <v>710002</v>
      </c>
      <c r="G714" s="2">
        <v>1466794</v>
      </c>
      <c r="H714" s="2">
        <v>380025</v>
      </c>
      <c r="I714" s="2">
        <v>0</v>
      </c>
      <c r="J714" s="2"/>
      <c r="K714" s="2">
        <v>906168</v>
      </c>
      <c r="L714" s="2">
        <v>852411</v>
      </c>
      <c r="M714" s="2">
        <v>764006</v>
      </c>
      <c r="N714" s="2">
        <v>305899</v>
      </c>
      <c r="O714" s="2">
        <v>0</v>
      </c>
      <c r="P714" s="2"/>
      <c r="Q714" s="2">
        <v>962023</v>
      </c>
      <c r="R714" s="2">
        <v>-827520</v>
      </c>
      <c r="S714" s="2">
        <v>116629</v>
      </c>
      <c r="T714" s="2">
        <v>151791</v>
      </c>
      <c r="U714" s="2">
        <v>0</v>
      </c>
      <c r="V714" s="2"/>
      <c r="W714" s="2">
        <v>1083733</v>
      </c>
      <c r="X714" s="2">
        <v>887833</v>
      </c>
      <c r="Y714" s="2">
        <v>720769</v>
      </c>
      <c r="Z714" s="2">
        <v>0</v>
      </c>
      <c r="AA714" s="2">
        <v>0</v>
      </c>
      <c r="AB714" s="2"/>
      <c r="AC714" s="2">
        <v>0</v>
      </c>
      <c r="AD714" s="2">
        <v>0</v>
      </c>
      <c r="AE714" s="2">
        <v>0</v>
      </c>
      <c r="AF714" s="2">
        <v>0</v>
      </c>
      <c r="AG714" s="2">
        <v>0</v>
      </c>
      <c r="AH714" s="2"/>
      <c r="AI714" s="2">
        <v>-227272</v>
      </c>
      <c r="AJ714" s="2">
        <v>-202722</v>
      </c>
      <c r="AK714" s="2">
        <v>-134610</v>
      </c>
      <c r="AL714" s="2">
        <v>-77665</v>
      </c>
      <c r="AM714" s="2">
        <v>-202722</v>
      </c>
    </row>
    <row r="715" spans="1:39">
      <c r="A715" s="349">
        <v>97802</v>
      </c>
      <c r="B715" s="342" t="s">
        <v>1409</v>
      </c>
      <c r="C715" s="234" t="e">
        <f>VLOOKUP(A715,#REF!,10,FALSE)</f>
        <v>#REF!</v>
      </c>
      <c r="E715" s="2">
        <v>95198</v>
      </c>
      <c r="F715" s="2">
        <v>31695</v>
      </c>
      <c r="G715" s="2">
        <v>56791</v>
      </c>
      <c r="H715" s="2">
        <v>17624</v>
      </c>
      <c r="I715" s="2">
        <v>0</v>
      </c>
      <c r="J715" s="2"/>
      <c r="K715" s="2">
        <v>28508</v>
      </c>
      <c r="L715" s="2">
        <v>26817</v>
      </c>
      <c r="M715" s="2">
        <v>24036</v>
      </c>
      <c r="N715" s="2">
        <v>9624</v>
      </c>
      <c r="O715" s="2">
        <v>0</v>
      </c>
      <c r="P715" s="2"/>
      <c r="Q715" s="2">
        <v>30266</v>
      </c>
      <c r="R715" s="2">
        <v>-26034</v>
      </c>
      <c r="S715" s="2">
        <v>3669</v>
      </c>
      <c r="T715" s="2">
        <v>4775</v>
      </c>
      <c r="U715" s="2">
        <v>0</v>
      </c>
      <c r="V715" s="2"/>
      <c r="W715" s="2">
        <v>34095</v>
      </c>
      <c r="X715" s="2">
        <v>27931</v>
      </c>
      <c r="Y715" s="2">
        <v>22676</v>
      </c>
      <c r="Z715" s="2">
        <v>0</v>
      </c>
      <c r="AA715" s="2">
        <v>0</v>
      </c>
      <c r="AB715" s="2"/>
      <c r="AC715" s="2">
        <v>6412</v>
      </c>
      <c r="AD715" s="2">
        <v>6412</v>
      </c>
      <c r="AE715" s="2">
        <v>6410</v>
      </c>
      <c r="AF715" s="2">
        <v>3225</v>
      </c>
      <c r="AG715" s="2">
        <v>0</v>
      </c>
      <c r="AH715" s="2"/>
      <c r="AI715" s="2">
        <v>-4083</v>
      </c>
      <c r="AJ715" s="2">
        <v>-3431</v>
      </c>
      <c r="AK715" s="2">
        <v>0</v>
      </c>
      <c r="AL715" s="2">
        <v>0</v>
      </c>
      <c r="AM715" s="2">
        <v>-3431</v>
      </c>
    </row>
    <row r="716" spans="1:39">
      <c r="A716" s="349">
        <v>97803</v>
      </c>
      <c r="B716" s="342" t="s">
        <v>1410</v>
      </c>
      <c r="C716" s="234" t="e">
        <f>VLOOKUP(A716,#REF!,10,FALSE)</f>
        <v>#REF!</v>
      </c>
      <c r="E716" s="2">
        <v>38770</v>
      </c>
      <c r="F716" s="2">
        <v>12017</v>
      </c>
      <c r="G716" s="2">
        <v>20786</v>
      </c>
      <c r="H716" s="2">
        <v>5054</v>
      </c>
      <c r="I716" s="2">
        <v>0</v>
      </c>
      <c r="J716" s="2"/>
      <c r="K716" s="2">
        <v>11670</v>
      </c>
      <c r="L716" s="2">
        <v>10978</v>
      </c>
      <c r="M716" s="2">
        <v>9839</v>
      </c>
      <c r="N716" s="2">
        <v>3939</v>
      </c>
      <c r="O716" s="2">
        <v>0</v>
      </c>
      <c r="P716" s="2"/>
      <c r="Q716" s="2">
        <v>12389</v>
      </c>
      <c r="R716" s="2">
        <v>-10657</v>
      </c>
      <c r="S716" s="2">
        <v>1502</v>
      </c>
      <c r="T716" s="2">
        <v>1955</v>
      </c>
      <c r="U716" s="2">
        <v>0</v>
      </c>
      <c r="V716" s="2"/>
      <c r="W716" s="2">
        <v>13957</v>
      </c>
      <c r="X716" s="2">
        <v>11434</v>
      </c>
      <c r="Y716" s="2">
        <v>9282</v>
      </c>
      <c r="Z716" s="2">
        <v>0</v>
      </c>
      <c r="AA716" s="2">
        <v>0</v>
      </c>
      <c r="AB716" s="2"/>
      <c r="AC716" s="2">
        <v>1592</v>
      </c>
      <c r="AD716" s="2">
        <v>1100</v>
      </c>
      <c r="AE716" s="2">
        <v>1001</v>
      </c>
      <c r="AF716" s="2">
        <v>0</v>
      </c>
      <c r="AG716" s="2">
        <v>0</v>
      </c>
      <c r="AH716" s="2"/>
      <c r="AI716" s="2">
        <v>-838</v>
      </c>
      <c r="AJ716" s="2">
        <v>-838</v>
      </c>
      <c r="AK716" s="2">
        <v>-838</v>
      </c>
      <c r="AL716" s="2">
        <v>-840</v>
      </c>
      <c r="AM716" s="2">
        <v>-838</v>
      </c>
    </row>
    <row r="717" spans="1:39">
      <c r="A717" s="349">
        <v>97805</v>
      </c>
      <c r="B717" s="342" t="s">
        <v>1411</v>
      </c>
      <c r="C717" s="234" t="e">
        <f>VLOOKUP(A717,#REF!,10,FALSE)</f>
        <v>#REF!</v>
      </c>
      <c r="E717" s="2">
        <v>45840</v>
      </c>
      <c r="F717" s="2">
        <v>14866</v>
      </c>
      <c r="G717" s="2">
        <v>24647</v>
      </c>
      <c r="H717" s="2">
        <v>7364</v>
      </c>
      <c r="I717" s="2">
        <v>0</v>
      </c>
      <c r="J717" s="2"/>
      <c r="K717" s="2">
        <v>12958</v>
      </c>
      <c r="L717" s="2">
        <v>12190</v>
      </c>
      <c r="M717" s="2">
        <v>10925</v>
      </c>
      <c r="N717" s="2">
        <v>4374</v>
      </c>
      <c r="O717" s="2">
        <v>0</v>
      </c>
      <c r="P717" s="2"/>
      <c r="Q717" s="2">
        <v>13757</v>
      </c>
      <c r="R717" s="2">
        <v>-11834</v>
      </c>
      <c r="S717" s="2">
        <v>1668</v>
      </c>
      <c r="T717" s="2">
        <v>2171</v>
      </c>
      <c r="U717" s="2">
        <v>0</v>
      </c>
      <c r="V717" s="2"/>
      <c r="W717" s="2">
        <v>15498</v>
      </c>
      <c r="X717" s="2">
        <v>12696</v>
      </c>
      <c r="Y717" s="2">
        <v>10307</v>
      </c>
      <c r="Z717" s="2">
        <v>0</v>
      </c>
      <c r="AA717" s="2">
        <v>0</v>
      </c>
      <c r="AB717" s="2"/>
      <c r="AC717" s="2">
        <v>3627</v>
      </c>
      <c r="AD717" s="2">
        <v>1814</v>
      </c>
      <c r="AE717" s="2">
        <v>1747</v>
      </c>
      <c r="AF717" s="2">
        <v>819</v>
      </c>
      <c r="AG717" s="2">
        <v>0</v>
      </c>
      <c r="AH717" s="2"/>
      <c r="AI717" s="2">
        <v>0</v>
      </c>
      <c r="AJ717" s="2">
        <v>0</v>
      </c>
      <c r="AK717" s="2">
        <v>0</v>
      </c>
      <c r="AL717" s="2">
        <v>0</v>
      </c>
      <c r="AM717" s="2">
        <v>0</v>
      </c>
    </row>
    <row r="718" spans="1:39">
      <c r="A718" s="349">
        <v>97811</v>
      </c>
      <c r="B718" s="342" t="s">
        <v>1412</v>
      </c>
      <c r="C718" s="234" t="e">
        <f>VLOOKUP(A718,#REF!,10,FALSE)</f>
        <v>#REF!</v>
      </c>
      <c r="E718" s="2">
        <v>1140769</v>
      </c>
      <c r="F718" s="2">
        <v>356618</v>
      </c>
      <c r="G718" s="2">
        <v>631066</v>
      </c>
      <c r="H718" s="2">
        <v>176881</v>
      </c>
      <c r="I718" s="2">
        <v>0</v>
      </c>
      <c r="J718" s="2"/>
      <c r="K718" s="2">
        <v>360750</v>
      </c>
      <c r="L718" s="2">
        <v>339349</v>
      </c>
      <c r="M718" s="2">
        <v>304155</v>
      </c>
      <c r="N718" s="2">
        <v>121780</v>
      </c>
      <c r="O718" s="2">
        <v>0</v>
      </c>
      <c r="P718" s="2"/>
      <c r="Q718" s="2">
        <v>382987</v>
      </c>
      <c r="R718" s="2">
        <v>-329440</v>
      </c>
      <c r="S718" s="2">
        <v>46431</v>
      </c>
      <c r="T718" s="2">
        <v>60429</v>
      </c>
      <c r="U718" s="2">
        <v>0</v>
      </c>
      <c r="V718" s="2"/>
      <c r="W718" s="2">
        <v>431440</v>
      </c>
      <c r="X718" s="2">
        <v>353451</v>
      </c>
      <c r="Y718" s="2">
        <v>286942</v>
      </c>
      <c r="Z718" s="2">
        <v>0</v>
      </c>
      <c r="AA718" s="2">
        <v>0</v>
      </c>
      <c r="AB718" s="2"/>
      <c r="AC718" s="2">
        <v>0</v>
      </c>
      <c r="AD718" s="2">
        <v>0</v>
      </c>
      <c r="AE718" s="2">
        <v>0</v>
      </c>
      <c r="AF718" s="2">
        <v>0</v>
      </c>
      <c r="AG718" s="2">
        <v>0</v>
      </c>
      <c r="AH718" s="2"/>
      <c r="AI718" s="2">
        <v>-34408</v>
      </c>
      <c r="AJ718" s="2">
        <v>-6742</v>
      </c>
      <c r="AK718" s="2">
        <v>-6462</v>
      </c>
      <c r="AL718" s="2">
        <v>-5328</v>
      </c>
      <c r="AM718" s="2">
        <v>-6742</v>
      </c>
    </row>
    <row r="719" spans="1:39">
      <c r="A719" s="349">
        <v>97817</v>
      </c>
      <c r="B719" s="342" t="s">
        <v>1413</v>
      </c>
      <c r="C719" s="234" t="e">
        <f>VLOOKUP(A719,#REF!,10,FALSE)</f>
        <v>#REF!</v>
      </c>
      <c r="E719" s="2">
        <v>14226</v>
      </c>
      <c r="F719" s="2">
        <v>7701</v>
      </c>
      <c r="G719" s="2">
        <v>5854</v>
      </c>
      <c r="H719" s="2">
        <v>2284</v>
      </c>
      <c r="I719" s="2">
        <v>0</v>
      </c>
      <c r="J719" s="2"/>
      <c r="K719" s="2">
        <v>2622</v>
      </c>
      <c r="L719" s="2">
        <v>2466</v>
      </c>
      <c r="M719" s="2">
        <v>2210</v>
      </c>
      <c r="N719" s="2">
        <v>885</v>
      </c>
      <c r="O719" s="2">
        <v>0</v>
      </c>
      <c r="P719" s="2"/>
      <c r="Q719" s="2">
        <v>2783</v>
      </c>
      <c r="R719" s="2">
        <v>-2394</v>
      </c>
      <c r="S719" s="2">
        <v>337</v>
      </c>
      <c r="T719" s="2">
        <v>439</v>
      </c>
      <c r="U719" s="2">
        <v>0</v>
      </c>
      <c r="V719" s="2"/>
      <c r="W719" s="2">
        <v>3135</v>
      </c>
      <c r="X719" s="2">
        <v>2569</v>
      </c>
      <c r="Y719" s="2">
        <v>2085</v>
      </c>
      <c r="Z719" s="2">
        <v>0</v>
      </c>
      <c r="AA719" s="2">
        <v>0</v>
      </c>
      <c r="AB719" s="2"/>
      <c r="AC719" s="2">
        <v>5686</v>
      </c>
      <c r="AD719" s="2">
        <v>5060</v>
      </c>
      <c r="AE719" s="2">
        <v>1222</v>
      </c>
      <c r="AF719" s="2">
        <v>960</v>
      </c>
      <c r="AG719" s="2">
        <v>0</v>
      </c>
      <c r="AH719" s="2"/>
      <c r="AI719" s="2">
        <v>0</v>
      </c>
      <c r="AJ719" s="2">
        <v>0</v>
      </c>
      <c r="AK719" s="2">
        <v>0</v>
      </c>
      <c r="AL719" s="2">
        <v>0</v>
      </c>
      <c r="AM719" s="2">
        <v>0</v>
      </c>
    </row>
    <row r="720" spans="1:39">
      <c r="A720" s="349">
        <v>97818</v>
      </c>
      <c r="B720" s="342" t="s">
        <v>2798</v>
      </c>
      <c r="C720" s="234" t="e">
        <f>VLOOKUP(A720,#REF!,10,FALSE)</f>
        <v>#REF!</v>
      </c>
      <c r="E720" s="2">
        <v>14464</v>
      </c>
      <c r="F720" s="2">
        <v>4531</v>
      </c>
      <c r="G720" s="2">
        <v>7291</v>
      </c>
      <c r="H720" s="2">
        <v>2830</v>
      </c>
      <c r="I720" s="2">
        <v>0</v>
      </c>
      <c r="J720" s="2"/>
      <c r="K720" s="2">
        <v>3730</v>
      </c>
      <c r="L720" s="2">
        <v>3509</v>
      </c>
      <c r="M720" s="2">
        <v>3145</v>
      </c>
      <c r="N720" s="2">
        <v>1259</v>
      </c>
      <c r="O720" s="2">
        <v>0</v>
      </c>
      <c r="P720" s="2"/>
      <c r="Q720" s="2">
        <v>3960</v>
      </c>
      <c r="R720" s="2">
        <v>-3406</v>
      </c>
      <c r="S720" s="2">
        <v>480</v>
      </c>
      <c r="T720" s="2">
        <v>625</v>
      </c>
      <c r="U720" s="2">
        <v>0</v>
      </c>
      <c r="V720" s="2"/>
      <c r="W720" s="2">
        <v>4461</v>
      </c>
      <c r="X720" s="2">
        <v>3655</v>
      </c>
      <c r="Y720" s="2">
        <v>2967</v>
      </c>
      <c r="Z720" s="2">
        <v>0</v>
      </c>
      <c r="AA720" s="2">
        <v>0</v>
      </c>
      <c r="AB720" s="2"/>
      <c r="AC720" s="2">
        <v>2559</v>
      </c>
      <c r="AD720" s="2">
        <v>1019</v>
      </c>
      <c r="AE720" s="2">
        <v>944</v>
      </c>
      <c r="AF720" s="2">
        <v>946</v>
      </c>
      <c r="AG720" s="2">
        <v>0</v>
      </c>
      <c r="AH720" s="2"/>
      <c r="AI720" s="2">
        <v>-246</v>
      </c>
      <c r="AJ720" s="2">
        <v>-246</v>
      </c>
      <c r="AK720" s="2">
        <v>-245</v>
      </c>
      <c r="AL720" s="2">
        <v>0</v>
      </c>
      <c r="AM720" s="2">
        <v>-246</v>
      </c>
    </row>
    <row r="721" spans="1:39">
      <c r="A721" s="349">
        <v>97821</v>
      </c>
      <c r="B721" s="342" t="s">
        <v>1415</v>
      </c>
      <c r="C721" s="234" t="e">
        <f>VLOOKUP(A721,#REF!,10,FALSE)</f>
        <v>#REF!</v>
      </c>
      <c r="E721" s="2">
        <v>72896</v>
      </c>
      <c r="F721" s="2">
        <v>29407</v>
      </c>
      <c r="G721" s="2">
        <v>43201</v>
      </c>
      <c r="H721" s="2">
        <v>15926</v>
      </c>
      <c r="I721" s="2">
        <v>0</v>
      </c>
      <c r="J721" s="2"/>
      <c r="K721" s="2">
        <v>19909</v>
      </c>
      <c r="L721" s="2">
        <v>18728</v>
      </c>
      <c r="M721" s="2">
        <v>16786</v>
      </c>
      <c r="N721" s="2">
        <v>6721</v>
      </c>
      <c r="O721" s="2">
        <v>0</v>
      </c>
      <c r="P721" s="2"/>
      <c r="Q721" s="2">
        <v>21137</v>
      </c>
      <c r="R721" s="2">
        <v>-18181</v>
      </c>
      <c r="S721" s="2">
        <v>2562</v>
      </c>
      <c r="T721" s="2">
        <v>3335</v>
      </c>
      <c r="U721" s="2">
        <v>0</v>
      </c>
      <c r="V721" s="2"/>
      <c r="W721" s="2">
        <v>23811</v>
      </c>
      <c r="X721" s="2">
        <v>19507</v>
      </c>
      <c r="Y721" s="2">
        <v>15836</v>
      </c>
      <c r="Z721" s="2">
        <v>0</v>
      </c>
      <c r="AA721" s="2">
        <v>0</v>
      </c>
      <c r="AB721" s="2"/>
      <c r="AC721" s="2">
        <v>9354</v>
      </c>
      <c r="AD721" s="2">
        <v>9353</v>
      </c>
      <c r="AE721" s="2">
        <v>8017</v>
      </c>
      <c r="AF721" s="2">
        <v>5870</v>
      </c>
      <c r="AG721" s="2">
        <v>0</v>
      </c>
      <c r="AH721" s="2"/>
      <c r="AI721" s="2">
        <v>-1315</v>
      </c>
      <c r="AJ721" s="2">
        <v>0</v>
      </c>
      <c r="AK721" s="2">
        <v>0</v>
      </c>
      <c r="AL721" s="2">
        <v>0</v>
      </c>
      <c r="AM721" s="2">
        <v>0</v>
      </c>
    </row>
    <row r="722" spans="1:39">
      <c r="A722" s="349">
        <v>97823</v>
      </c>
      <c r="B722" s="342" t="s">
        <v>1416</v>
      </c>
      <c r="C722" s="234" t="e">
        <f>VLOOKUP(A722,#REF!,10,FALSE)</f>
        <v>#REF!</v>
      </c>
      <c r="E722" s="2">
        <v>7985</v>
      </c>
      <c r="F722" s="2">
        <v>2632</v>
      </c>
      <c r="G722" s="2">
        <v>4127</v>
      </c>
      <c r="H722" s="2">
        <v>1738</v>
      </c>
      <c r="I722" s="2">
        <v>0</v>
      </c>
      <c r="J722" s="2"/>
      <c r="K722" s="2">
        <v>2307</v>
      </c>
      <c r="L722" s="2">
        <v>2170</v>
      </c>
      <c r="M722" s="2">
        <v>1945</v>
      </c>
      <c r="N722" s="2">
        <v>779</v>
      </c>
      <c r="O722" s="2">
        <v>0</v>
      </c>
      <c r="P722" s="2"/>
      <c r="Q722" s="2">
        <v>2449</v>
      </c>
      <c r="R722" s="2">
        <v>-2107</v>
      </c>
      <c r="S722" s="2">
        <v>297</v>
      </c>
      <c r="T722" s="2">
        <v>386</v>
      </c>
      <c r="U722" s="2">
        <v>0</v>
      </c>
      <c r="V722" s="2"/>
      <c r="W722" s="2">
        <v>2759</v>
      </c>
      <c r="X722" s="2">
        <v>2260</v>
      </c>
      <c r="Y722" s="2">
        <v>1835</v>
      </c>
      <c r="Z722" s="2">
        <v>0</v>
      </c>
      <c r="AA722" s="2">
        <v>0</v>
      </c>
      <c r="AB722" s="2"/>
      <c r="AC722" s="2">
        <v>997</v>
      </c>
      <c r="AD722" s="2">
        <v>836</v>
      </c>
      <c r="AE722" s="2">
        <v>575</v>
      </c>
      <c r="AF722" s="2">
        <v>573</v>
      </c>
      <c r="AG722" s="2">
        <v>0</v>
      </c>
      <c r="AH722" s="2"/>
      <c r="AI722" s="2">
        <v>-527</v>
      </c>
      <c r="AJ722" s="2">
        <v>-527</v>
      </c>
      <c r="AK722" s="2">
        <v>-525</v>
      </c>
      <c r="AL722" s="2">
        <v>0</v>
      </c>
      <c r="AM722" s="2">
        <v>-527</v>
      </c>
    </row>
    <row r="723" spans="1:39">
      <c r="A723" s="349">
        <v>97831</v>
      </c>
      <c r="B723" s="342" t="s">
        <v>1417</v>
      </c>
      <c r="C723" s="234" t="e">
        <f>VLOOKUP(A723,#REF!,10,FALSE)</f>
        <v>#REF!</v>
      </c>
      <c r="E723" s="2">
        <v>86798</v>
      </c>
      <c r="F723" s="2">
        <v>31929</v>
      </c>
      <c r="G723" s="2">
        <v>46736</v>
      </c>
      <c r="H723" s="2">
        <v>16628</v>
      </c>
      <c r="I723" s="2">
        <v>0</v>
      </c>
      <c r="J723" s="2"/>
      <c r="K723" s="2">
        <v>24508</v>
      </c>
      <c r="L723" s="2">
        <v>23055</v>
      </c>
      <c r="M723" s="2">
        <v>20663</v>
      </c>
      <c r="N723" s="2">
        <v>8273</v>
      </c>
      <c r="O723" s="2">
        <v>0</v>
      </c>
      <c r="P723" s="2"/>
      <c r="Q723" s="2">
        <v>26019</v>
      </c>
      <c r="R723" s="2">
        <v>-22381</v>
      </c>
      <c r="S723" s="2">
        <v>3154</v>
      </c>
      <c r="T723" s="2">
        <v>4105</v>
      </c>
      <c r="U723" s="2">
        <v>0</v>
      </c>
      <c r="V723" s="2"/>
      <c r="W723" s="2">
        <v>29311</v>
      </c>
      <c r="X723" s="2">
        <v>24013</v>
      </c>
      <c r="Y723" s="2">
        <v>19494</v>
      </c>
      <c r="Z723" s="2">
        <v>0</v>
      </c>
      <c r="AA723" s="2">
        <v>0</v>
      </c>
      <c r="AB723" s="2"/>
      <c r="AC723" s="2">
        <v>8066</v>
      </c>
      <c r="AD723" s="2">
        <v>8068</v>
      </c>
      <c r="AE723" s="2">
        <v>4251</v>
      </c>
      <c r="AF723" s="2">
        <v>4250</v>
      </c>
      <c r="AG723" s="2">
        <v>0</v>
      </c>
      <c r="AH723" s="2"/>
      <c r="AI723" s="2">
        <v>-1106</v>
      </c>
      <c r="AJ723" s="2">
        <v>-826</v>
      </c>
      <c r="AK723" s="2">
        <v>-826</v>
      </c>
      <c r="AL723" s="2">
        <v>0</v>
      </c>
      <c r="AM723" s="2">
        <v>-826</v>
      </c>
    </row>
    <row r="724" spans="1:39">
      <c r="A724" s="349">
        <v>97837</v>
      </c>
      <c r="B724" s="342" t="s">
        <v>3692</v>
      </c>
      <c r="C724" s="234" t="e">
        <f>VLOOKUP(A724,#REF!,10,FALSE)</f>
        <v>#REF!</v>
      </c>
      <c r="E724" s="2">
        <v>5826</v>
      </c>
      <c r="F724" s="2">
        <v>2517</v>
      </c>
      <c r="G724" s="2">
        <v>3147</v>
      </c>
      <c r="H724" s="2">
        <v>905</v>
      </c>
      <c r="I724" s="2">
        <v>0</v>
      </c>
      <c r="J724" s="2"/>
      <c r="K724" s="2">
        <v>1498</v>
      </c>
      <c r="L724" s="2">
        <v>1409</v>
      </c>
      <c r="M724" s="2">
        <v>1263</v>
      </c>
      <c r="N724" s="2">
        <v>506</v>
      </c>
      <c r="O724" s="2">
        <v>0</v>
      </c>
      <c r="P724" s="2"/>
      <c r="Q724" s="2">
        <v>1590</v>
      </c>
      <c r="R724" s="2">
        <v>-1368</v>
      </c>
      <c r="S724" s="2">
        <v>193</v>
      </c>
      <c r="T724" s="2">
        <v>251</v>
      </c>
      <c r="U724" s="2">
        <v>0</v>
      </c>
      <c r="V724" s="2"/>
      <c r="W724" s="2">
        <v>1792</v>
      </c>
      <c r="X724" s="2">
        <v>1468</v>
      </c>
      <c r="Y724" s="2">
        <v>1192</v>
      </c>
      <c r="Z724" s="2">
        <v>0</v>
      </c>
      <c r="AA724" s="2">
        <v>0</v>
      </c>
      <c r="AB724" s="2"/>
      <c r="AC724" s="2">
        <v>1010</v>
      </c>
      <c r="AD724" s="2">
        <v>1008</v>
      </c>
      <c r="AE724" s="2">
        <v>499</v>
      </c>
      <c r="AF724" s="2">
        <v>148</v>
      </c>
      <c r="AG724" s="2">
        <v>0</v>
      </c>
      <c r="AH724" s="2"/>
      <c r="AI724" s="2">
        <v>-64</v>
      </c>
      <c r="AJ724" s="2">
        <v>0</v>
      </c>
      <c r="AK724" s="2">
        <v>0</v>
      </c>
      <c r="AL724" s="2">
        <v>0</v>
      </c>
      <c r="AM724" s="2">
        <v>0</v>
      </c>
    </row>
    <row r="725" spans="1:39">
      <c r="A725" s="349">
        <v>97840</v>
      </c>
      <c r="B725" s="342" t="s">
        <v>1419</v>
      </c>
      <c r="C725" s="234" t="e">
        <f>VLOOKUP(A725,#REF!,10,FALSE)</f>
        <v>#REF!</v>
      </c>
      <c r="E725" s="2">
        <v>81482</v>
      </c>
      <c r="F725" s="2">
        <v>39548</v>
      </c>
      <c r="G725" s="2">
        <v>43530</v>
      </c>
      <c r="H725" s="2">
        <v>12977</v>
      </c>
      <c r="I725" s="2">
        <v>0</v>
      </c>
      <c r="J725" s="2"/>
      <c r="K725" s="2">
        <v>15820</v>
      </c>
      <c r="L725" s="2">
        <v>14881</v>
      </c>
      <c r="M725" s="2">
        <v>13338</v>
      </c>
      <c r="N725" s="2">
        <v>5340</v>
      </c>
      <c r="O725" s="2">
        <v>0</v>
      </c>
      <c r="P725" s="2"/>
      <c r="Q725" s="2">
        <v>16795</v>
      </c>
      <c r="R725" s="2">
        <v>-14447</v>
      </c>
      <c r="S725" s="2">
        <v>2036</v>
      </c>
      <c r="T725" s="2">
        <v>2650</v>
      </c>
      <c r="U725" s="2">
        <v>0</v>
      </c>
      <c r="V725" s="2"/>
      <c r="W725" s="2">
        <v>18920</v>
      </c>
      <c r="X725" s="2">
        <v>15500</v>
      </c>
      <c r="Y725" s="2">
        <v>12583</v>
      </c>
      <c r="Z725" s="2">
        <v>0</v>
      </c>
      <c r="AA725" s="2">
        <v>0</v>
      </c>
      <c r="AB725" s="2"/>
      <c r="AC725" s="2">
        <v>29947</v>
      </c>
      <c r="AD725" s="2">
        <v>23614</v>
      </c>
      <c r="AE725" s="2">
        <v>15573</v>
      </c>
      <c r="AF725" s="2">
        <v>4987</v>
      </c>
      <c r="AG725" s="2">
        <v>0</v>
      </c>
      <c r="AH725" s="2"/>
      <c r="AI725" s="2">
        <v>0</v>
      </c>
      <c r="AJ725" s="2">
        <v>0</v>
      </c>
      <c r="AK725" s="2">
        <v>0</v>
      </c>
      <c r="AL725" s="2">
        <v>0</v>
      </c>
      <c r="AM725" s="2">
        <v>0</v>
      </c>
    </row>
    <row r="726" spans="1:39">
      <c r="A726" s="349">
        <v>97841</v>
      </c>
      <c r="B726" s="342" t="s">
        <v>1420</v>
      </c>
      <c r="C726" s="234" t="e">
        <f>VLOOKUP(A726,#REF!,10,FALSE)</f>
        <v>#REF!</v>
      </c>
      <c r="E726" s="2">
        <v>5662</v>
      </c>
      <c r="F726" s="2">
        <v>1703</v>
      </c>
      <c r="G726" s="2">
        <v>3233</v>
      </c>
      <c r="H726" s="2">
        <v>964</v>
      </c>
      <c r="I726" s="2">
        <v>0</v>
      </c>
      <c r="J726" s="2"/>
      <c r="K726" s="2">
        <v>1813</v>
      </c>
      <c r="L726" s="2">
        <v>1705</v>
      </c>
      <c r="M726" s="2">
        <v>1528</v>
      </c>
      <c r="N726" s="2">
        <v>612</v>
      </c>
      <c r="O726" s="2">
        <v>0</v>
      </c>
      <c r="P726" s="2"/>
      <c r="Q726" s="2">
        <v>1924</v>
      </c>
      <c r="R726" s="2">
        <v>-1655</v>
      </c>
      <c r="S726" s="2">
        <v>233</v>
      </c>
      <c r="T726" s="2">
        <v>304</v>
      </c>
      <c r="U726" s="2">
        <v>0</v>
      </c>
      <c r="V726" s="2"/>
      <c r="W726" s="2">
        <v>2168</v>
      </c>
      <c r="X726" s="2">
        <v>1776</v>
      </c>
      <c r="Y726" s="2">
        <v>1442</v>
      </c>
      <c r="Z726" s="2">
        <v>0</v>
      </c>
      <c r="AA726" s="2">
        <v>0</v>
      </c>
      <c r="AB726" s="2"/>
      <c r="AC726" s="2">
        <v>46</v>
      </c>
      <c r="AD726" s="2">
        <v>46</v>
      </c>
      <c r="AE726" s="2">
        <v>46</v>
      </c>
      <c r="AF726" s="2">
        <v>48</v>
      </c>
      <c r="AG726" s="2">
        <v>0</v>
      </c>
      <c r="AH726" s="2"/>
      <c r="AI726" s="2">
        <v>-289</v>
      </c>
      <c r="AJ726" s="2">
        <v>-169</v>
      </c>
      <c r="AK726" s="2">
        <v>-16</v>
      </c>
      <c r="AL726" s="2">
        <v>0</v>
      </c>
      <c r="AM726" s="2">
        <v>-169</v>
      </c>
    </row>
    <row r="727" spans="1:39">
      <c r="A727" s="349">
        <v>97847</v>
      </c>
      <c r="B727" s="342" t="s">
        <v>1421</v>
      </c>
      <c r="C727" s="234" t="e">
        <f>VLOOKUP(A727,#REF!,10,FALSE)</f>
        <v>#REF!</v>
      </c>
      <c r="E727" s="2">
        <v>1711</v>
      </c>
      <c r="F727" s="2">
        <v>1035</v>
      </c>
      <c r="G727" s="2">
        <v>985</v>
      </c>
      <c r="H727" s="2">
        <v>408</v>
      </c>
      <c r="I727" s="2">
        <v>0</v>
      </c>
      <c r="J727" s="2"/>
      <c r="K727" s="2">
        <v>255</v>
      </c>
      <c r="L727" s="2">
        <v>240</v>
      </c>
      <c r="M727" s="2">
        <v>215</v>
      </c>
      <c r="N727" s="2">
        <v>86</v>
      </c>
      <c r="O727" s="2">
        <v>0</v>
      </c>
      <c r="P727" s="2"/>
      <c r="Q727" s="2">
        <v>270</v>
      </c>
      <c r="R727" s="2">
        <v>-233</v>
      </c>
      <c r="S727" s="2">
        <v>33</v>
      </c>
      <c r="T727" s="2">
        <v>43</v>
      </c>
      <c r="U727" s="2">
        <v>0</v>
      </c>
      <c r="V727" s="2"/>
      <c r="W727" s="2">
        <v>305</v>
      </c>
      <c r="X727" s="2">
        <v>250</v>
      </c>
      <c r="Y727" s="2">
        <v>203</v>
      </c>
      <c r="Z727" s="2">
        <v>0</v>
      </c>
      <c r="AA727" s="2">
        <v>0</v>
      </c>
      <c r="AB727" s="2"/>
      <c r="AC727" s="2">
        <v>881</v>
      </c>
      <c r="AD727" s="2">
        <v>778</v>
      </c>
      <c r="AE727" s="2">
        <v>534</v>
      </c>
      <c r="AF727" s="2">
        <v>279</v>
      </c>
      <c r="AG727" s="2">
        <v>0</v>
      </c>
      <c r="AH727" s="2"/>
      <c r="AI727" s="2">
        <v>0</v>
      </c>
      <c r="AJ727" s="2">
        <v>0</v>
      </c>
      <c r="AK727" s="2">
        <v>0</v>
      </c>
      <c r="AL727" s="2">
        <v>0</v>
      </c>
      <c r="AM727" s="2">
        <v>0</v>
      </c>
    </row>
    <row r="728" spans="1:39">
      <c r="A728" s="349">
        <v>97851</v>
      </c>
      <c r="B728" s="342" t="s">
        <v>1422</v>
      </c>
      <c r="C728" s="234" t="e">
        <f>VLOOKUP(A728,#REF!,10,FALSE)</f>
        <v>#REF!</v>
      </c>
      <c r="E728" s="2">
        <v>123436</v>
      </c>
      <c r="F728" s="2">
        <v>32106</v>
      </c>
      <c r="G728" s="2">
        <v>65133</v>
      </c>
      <c r="H728" s="2">
        <v>17209</v>
      </c>
      <c r="I728" s="2">
        <v>0</v>
      </c>
      <c r="J728" s="2"/>
      <c r="K728" s="2">
        <v>41257</v>
      </c>
      <c r="L728" s="2">
        <v>38809</v>
      </c>
      <c r="M728" s="2">
        <v>34784</v>
      </c>
      <c r="N728" s="2">
        <v>13927</v>
      </c>
      <c r="O728" s="2">
        <v>0</v>
      </c>
      <c r="P728" s="2"/>
      <c r="Q728" s="2">
        <v>43800</v>
      </c>
      <c r="R728" s="2">
        <v>-37676</v>
      </c>
      <c r="S728" s="2">
        <v>5310</v>
      </c>
      <c r="T728" s="2">
        <v>6911</v>
      </c>
      <c r="U728" s="2">
        <v>0</v>
      </c>
      <c r="V728" s="2"/>
      <c r="W728" s="2">
        <v>49341</v>
      </c>
      <c r="X728" s="2">
        <v>40422</v>
      </c>
      <c r="Y728" s="2">
        <v>32816</v>
      </c>
      <c r="Z728" s="2">
        <v>0</v>
      </c>
      <c r="AA728" s="2">
        <v>0</v>
      </c>
      <c r="AB728" s="2"/>
      <c r="AC728" s="2">
        <v>0</v>
      </c>
      <c r="AD728" s="2">
        <v>0</v>
      </c>
      <c r="AE728" s="2">
        <v>0</v>
      </c>
      <c r="AF728" s="2">
        <v>0</v>
      </c>
      <c r="AG728" s="2">
        <v>0</v>
      </c>
      <c r="AH728" s="2"/>
      <c r="AI728" s="2">
        <v>-10962</v>
      </c>
      <c r="AJ728" s="2">
        <v>-9449</v>
      </c>
      <c r="AK728" s="2">
        <v>-7777</v>
      </c>
      <c r="AL728" s="2">
        <v>-3629</v>
      </c>
      <c r="AM728" s="2">
        <v>-9449</v>
      </c>
    </row>
    <row r="729" spans="1:39">
      <c r="A729" s="349">
        <v>97853</v>
      </c>
      <c r="B729" s="342" t="s">
        <v>1423</v>
      </c>
      <c r="C729" s="234" t="e">
        <f>VLOOKUP(A729,#REF!,10,FALSE)</f>
        <v>#REF!</v>
      </c>
      <c r="E729" s="2">
        <v>31691</v>
      </c>
      <c r="F729" s="2">
        <v>7685</v>
      </c>
      <c r="G729" s="2">
        <v>15529</v>
      </c>
      <c r="H729" s="2">
        <v>3338</v>
      </c>
      <c r="I729" s="2">
        <v>0</v>
      </c>
      <c r="J729" s="2"/>
      <c r="K729" s="2">
        <v>11970</v>
      </c>
      <c r="L729" s="2">
        <v>11260</v>
      </c>
      <c r="M729" s="2">
        <v>10092</v>
      </c>
      <c r="N729" s="2">
        <v>4041</v>
      </c>
      <c r="O729" s="2">
        <v>0</v>
      </c>
      <c r="P729" s="2"/>
      <c r="Q729" s="2">
        <v>12707</v>
      </c>
      <c r="R729" s="2">
        <v>-10931</v>
      </c>
      <c r="S729" s="2">
        <v>1541</v>
      </c>
      <c r="T729" s="2">
        <v>2005</v>
      </c>
      <c r="U729" s="2">
        <v>0</v>
      </c>
      <c r="V729" s="2"/>
      <c r="W729" s="2">
        <v>14315</v>
      </c>
      <c r="X729" s="2">
        <v>11727</v>
      </c>
      <c r="Y729" s="2">
        <v>9521</v>
      </c>
      <c r="Z729" s="2">
        <v>0</v>
      </c>
      <c r="AA729" s="2">
        <v>0</v>
      </c>
      <c r="AB729" s="2"/>
      <c r="AC729" s="2">
        <v>1255</v>
      </c>
      <c r="AD729" s="2">
        <v>1253</v>
      </c>
      <c r="AE729" s="2">
        <v>0</v>
      </c>
      <c r="AF729" s="2">
        <v>0</v>
      </c>
      <c r="AG729" s="2">
        <v>0</v>
      </c>
      <c r="AH729" s="2"/>
      <c r="AI729" s="2">
        <v>-8556</v>
      </c>
      <c r="AJ729" s="2">
        <v>-5624</v>
      </c>
      <c r="AK729" s="2">
        <v>-5625</v>
      </c>
      <c r="AL729" s="2">
        <v>-2708</v>
      </c>
      <c r="AM729" s="2">
        <v>-5624</v>
      </c>
    </row>
    <row r="730" spans="1:39">
      <c r="A730" s="349">
        <v>97861</v>
      </c>
      <c r="B730" s="342" t="s">
        <v>1424</v>
      </c>
      <c r="C730" s="234" t="e">
        <f>VLOOKUP(A730,#REF!,10,FALSE)</f>
        <v>#REF!</v>
      </c>
      <c r="E730" s="2">
        <v>19600</v>
      </c>
      <c r="F730" s="2">
        <v>4535</v>
      </c>
      <c r="G730" s="2">
        <v>10613</v>
      </c>
      <c r="H730" s="2">
        <v>5141</v>
      </c>
      <c r="I730" s="2">
        <v>0</v>
      </c>
      <c r="J730" s="2"/>
      <c r="K730" s="2">
        <v>6816</v>
      </c>
      <c r="L730" s="2">
        <v>6412</v>
      </c>
      <c r="M730" s="2">
        <v>5747</v>
      </c>
      <c r="N730" s="2">
        <v>2301</v>
      </c>
      <c r="O730" s="2">
        <v>0</v>
      </c>
      <c r="P730" s="2"/>
      <c r="Q730" s="2">
        <v>7236</v>
      </c>
      <c r="R730" s="2">
        <v>-6225</v>
      </c>
      <c r="S730" s="2">
        <v>877</v>
      </c>
      <c r="T730" s="2">
        <v>1142</v>
      </c>
      <c r="U730" s="2">
        <v>0</v>
      </c>
      <c r="V730" s="2"/>
      <c r="W730" s="2">
        <v>8152</v>
      </c>
      <c r="X730" s="2">
        <v>6678</v>
      </c>
      <c r="Y730" s="2">
        <v>5422</v>
      </c>
      <c r="Z730" s="2">
        <v>0</v>
      </c>
      <c r="AA730" s="2">
        <v>0</v>
      </c>
      <c r="AB730" s="2"/>
      <c r="AC730" s="2">
        <v>1700</v>
      </c>
      <c r="AD730" s="2">
        <v>1700</v>
      </c>
      <c r="AE730" s="2">
        <v>1700</v>
      </c>
      <c r="AF730" s="2">
        <v>1698</v>
      </c>
      <c r="AG730" s="2">
        <v>0</v>
      </c>
      <c r="AH730" s="2"/>
      <c r="AI730" s="2">
        <v>-4304</v>
      </c>
      <c r="AJ730" s="2">
        <v>-4030</v>
      </c>
      <c r="AK730" s="2">
        <v>-3133</v>
      </c>
      <c r="AL730" s="2">
        <v>0</v>
      </c>
      <c r="AM730" s="2">
        <v>-4030</v>
      </c>
    </row>
    <row r="731" spans="1:39">
      <c r="A731" s="349">
        <v>97871</v>
      </c>
      <c r="B731" s="342" t="s">
        <v>1425</v>
      </c>
      <c r="C731" s="234" t="e">
        <f>VLOOKUP(A731,#REF!,10,FALSE)</f>
        <v>#REF!</v>
      </c>
      <c r="E731" s="2">
        <v>249954</v>
      </c>
      <c r="F731" s="2">
        <v>127667</v>
      </c>
      <c r="G731" s="2">
        <v>137293</v>
      </c>
      <c r="H731" s="2">
        <v>49759</v>
      </c>
      <c r="I731" s="2">
        <v>0</v>
      </c>
      <c r="J731" s="2"/>
      <c r="K731" s="2">
        <v>45062</v>
      </c>
      <c r="L731" s="2">
        <v>42389</v>
      </c>
      <c r="M731" s="2">
        <v>37993</v>
      </c>
      <c r="N731" s="2">
        <v>15212</v>
      </c>
      <c r="O731" s="2">
        <v>0</v>
      </c>
      <c r="P731" s="2"/>
      <c r="Q731" s="2">
        <v>47840</v>
      </c>
      <c r="R731" s="2">
        <v>-41151</v>
      </c>
      <c r="S731" s="2">
        <v>5800</v>
      </c>
      <c r="T731" s="2">
        <v>7548</v>
      </c>
      <c r="U731" s="2">
        <v>0</v>
      </c>
      <c r="V731" s="2"/>
      <c r="W731" s="2">
        <v>53892</v>
      </c>
      <c r="X731" s="2">
        <v>44150</v>
      </c>
      <c r="Y731" s="2">
        <v>35842</v>
      </c>
      <c r="Z731" s="2">
        <v>0</v>
      </c>
      <c r="AA731" s="2">
        <v>0</v>
      </c>
      <c r="AB731" s="2"/>
      <c r="AC731" s="2">
        <v>103160</v>
      </c>
      <c r="AD731" s="2">
        <v>82279</v>
      </c>
      <c r="AE731" s="2">
        <v>57658</v>
      </c>
      <c r="AF731" s="2">
        <v>26999</v>
      </c>
      <c r="AG731" s="2">
        <v>0</v>
      </c>
      <c r="AH731" s="2"/>
      <c r="AI731" s="2">
        <v>0</v>
      </c>
      <c r="AJ731" s="2">
        <v>0</v>
      </c>
      <c r="AK731" s="2">
        <v>0</v>
      </c>
      <c r="AL731" s="2">
        <v>0</v>
      </c>
      <c r="AM731" s="2">
        <v>0</v>
      </c>
    </row>
    <row r="732" spans="1:39">
      <c r="A732" s="349">
        <v>97877</v>
      </c>
      <c r="B732" s="342" t="s">
        <v>1426</v>
      </c>
      <c r="C732" s="234" t="e">
        <f>VLOOKUP(A732,#REF!,10,FALSE)</f>
        <v>#REF!</v>
      </c>
      <c r="E732" s="2">
        <v>5804</v>
      </c>
      <c r="F732" s="2">
        <v>3110</v>
      </c>
      <c r="G732" s="2">
        <v>3780</v>
      </c>
      <c r="H732" s="2">
        <v>1982</v>
      </c>
      <c r="I732" s="2">
        <v>0</v>
      </c>
      <c r="J732" s="2"/>
      <c r="K732" s="2">
        <v>1139</v>
      </c>
      <c r="L732" s="2">
        <v>1071</v>
      </c>
      <c r="M732" s="2">
        <v>960</v>
      </c>
      <c r="N732" s="2">
        <v>384</v>
      </c>
      <c r="O732" s="2">
        <v>0</v>
      </c>
      <c r="P732" s="2"/>
      <c r="Q732" s="2">
        <v>1209</v>
      </c>
      <c r="R732" s="2">
        <v>-1040</v>
      </c>
      <c r="S732" s="2">
        <v>147</v>
      </c>
      <c r="T732" s="2">
        <v>191</v>
      </c>
      <c r="U732" s="2">
        <v>0</v>
      </c>
      <c r="V732" s="2"/>
      <c r="W732" s="2">
        <v>1362</v>
      </c>
      <c r="X732" s="2">
        <v>1115</v>
      </c>
      <c r="Y732" s="2">
        <v>906</v>
      </c>
      <c r="Z732" s="2">
        <v>0</v>
      </c>
      <c r="AA732" s="2">
        <v>0</v>
      </c>
      <c r="AB732" s="2"/>
      <c r="AC732" s="2">
        <v>2094</v>
      </c>
      <c r="AD732" s="2">
        <v>1964</v>
      </c>
      <c r="AE732" s="2">
        <v>1767</v>
      </c>
      <c r="AF732" s="2">
        <v>1407</v>
      </c>
      <c r="AG732" s="2">
        <v>0</v>
      </c>
      <c r="AH732" s="2"/>
      <c r="AI732" s="2">
        <v>0</v>
      </c>
      <c r="AJ732" s="2">
        <v>0</v>
      </c>
      <c r="AK732" s="2">
        <v>0</v>
      </c>
      <c r="AL732" s="2">
        <v>0</v>
      </c>
      <c r="AM732" s="2">
        <v>0</v>
      </c>
    </row>
    <row r="733" spans="1:39">
      <c r="A733" s="349">
        <v>97901</v>
      </c>
      <c r="B733" s="342" t="s">
        <v>1427</v>
      </c>
      <c r="C733" s="234" t="e">
        <f>VLOOKUP(A733,#REF!,10,FALSE)</f>
        <v>#REF!</v>
      </c>
      <c r="E733" s="2">
        <v>1888293</v>
      </c>
      <c r="F733" s="2">
        <v>541997</v>
      </c>
      <c r="G733" s="2">
        <v>987719</v>
      </c>
      <c r="H733" s="2">
        <v>234782</v>
      </c>
      <c r="I733" s="2">
        <v>0</v>
      </c>
      <c r="J733" s="2"/>
      <c r="K733" s="2">
        <v>600247</v>
      </c>
      <c r="L733" s="2">
        <v>564638</v>
      </c>
      <c r="M733" s="2">
        <v>506079</v>
      </c>
      <c r="N733" s="2">
        <v>202628</v>
      </c>
      <c r="O733" s="2">
        <v>0</v>
      </c>
      <c r="P733" s="2"/>
      <c r="Q733" s="2">
        <v>637245</v>
      </c>
      <c r="R733" s="2">
        <v>-548150</v>
      </c>
      <c r="S733" s="2">
        <v>77255</v>
      </c>
      <c r="T733" s="2">
        <v>100547</v>
      </c>
      <c r="U733" s="2">
        <v>0</v>
      </c>
      <c r="V733" s="2"/>
      <c r="W733" s="2">
        <v>717866</v>
      </c>
      <c r="X733" s="2">
        <v>588102</v>
      </c>
      <c r="Y733" s="2">
        <v>477438</v>
      </c>
      <c r="Z733" s="2">
        <v>0</v>
      </c>
      <c r="AA733" s="2">
        <v>0</v>
      </c>
      <c r="AB733" s="2"/>
      <c r="AC733" s="2">
        <v>10458</v>
      </c>
      <c r="AD733" s="2">
        <v>10460</v>
      </c>
      <c r="AE733" s="2">
        <v>0</v>
      </c>
      <c r="AF733" s="2">
        <v>0</v>
      </c>
      <c r="AG733" s="2">
        <v>0</v>
      </c>
      <c r="AH733" s="2"/>
      <c r="AI733" s="2">
        <v>-77523</v>
      </c>
      <c r="AJ733" s="2">
        <v>-73053</v>
      </c>
      <c r="AK733" s="2">
        <v>-73053</v>
      </c>
      <c r="AL733" s="2">
        <v>-68393</v>
      </c>
      <c r="AM733" s="2">
        <v>-73053</v>
      </c>
    </row>
    <row r="734" spans="1:39">
      <c r="A734" s="349">
        <v>97911</v>
      </c>
      <c r="B734" s="342" t="s">
        <v>1428</v>
      </c>
      <c r="C734" s="234" t="e">
        <f>VLOOKUP(A734,#REF!,10,FALSE)</f>
        <v>#REF!</v>
      </c>
      <c r="E734" s="2">
        <v>577297</v>
      </c>
      <c r="F734" s="2">
        <v>177228</v>
      </c>
      <c r="G734" s="2">
        <v>315083</v>
      </c>
      <c r="H734" s="2">
        <v>85760</v>
      </c>
      <c r="I734" s="2">
        <v>0</v>
      </c>
      <c r="J734" s="2"/>
      <c r="K734" s="2">
        <v>181581</v>
      </c>
      <c r="L734" s="2">
        <v>170809</v>
      </c>
      <c r="M734" s="2">
        <v>153094</v>
      </c>
      <c r="N734" s="2">
        <v>61297</v>
      </c>
      <c r="O734" s="2">
        <v>0</v>
      </c>
      <c r="P734" s="2"/>
      <c r="Q734" s="2">
        <v>192774</v>
      </c>
      <c r="R734" s="2">
        <v>-165821</v>
      </c>
      <c r="S734" s="2">
        <v>23371</v>
      </c>
      <c r="T734" s="2">
        <v>30416</v>
      </c>
      <c r="U734" s="2">
        <v>0</v>
      </c>
      <c r="V734" s="2"/>
      <c r="W734" s="2">
        <v>217162</v>
      </c>
      <c r="X734" s="2">
        <v>177907</v>
      </c>
      <c r="Y734" s="2">
        <v>144430</v>
      </c>
      <c r="Z734" s="2">
        <v>0</v>
      </c>
      <c r="AA734" s="2">
        <v>0</v>
      </c>
      <c r="AB734" s="2"/>
      <c r="AC734" s="2">
        <v>285</v>
      </c>
      <c r="AD734" s="2">
        <v>287</v>
      </c>
      <c r="AE734" s="2">
        <v>142</v>
      </c>
      <c r="AF734" s="2">
        <v>0</v>
      </c>
      <c r="AG734" s="2">
        <v>0</v>
      </c>
      <c r="AH734" s="2"/>
      <c r="AI734" s="2">
        <v>-14505</v>
      </c>
      <c r="AJ734" s="2">
        <v>-5954</v>
      </c>
      <c r="AK734" s="2">
        <v>-5954</v>
      </c>
      <c r="AL734" s="2">
        <v>-5953</v>
      </c>
      <c r="AM734" s="2">
        <v>-5954</v>
      </c>
    </row>
    <row r="735" spans="1:39">
      <c r="A735" s="349">
        <v>97913</v>
      </c>
      <c r="B735" s="342" t="s">
        <v>2764</v>
      </c>
      <c r="C735" s="234" t="e">
        <f>VLOOKUP(A735,#REF!,10,FALSE)</f>
        <v>#REF!</v>
      </c>
      <c r="E735" s="2">
        <v>20051</v>
      </c>
      <c r="F735" s="2">
        <v>8921</v>
      </c>
      <c r="G735" s="2">
        <v>10213</v>
      </c>
      <c r="H735" s="2">
        <v>3040</v>
      </c>
      <c r="I735" s="2">
        <v>0</v>
      </c>
      <c r="J735" s="2"/>
      <c r="K735" s="2">
        <v>4284</v>
      </c>
      <c r="L735" s="2">
        <v>4030</v>
      </c>
      <c r="M735" s="2">
        <v>3612</v>
      </c>
      <c r="N735" s="2">
        <v>1446</v>
      </c>
      <c r="O735" s="2">
        <v>0</v>
      </c>
      <c r="P735" s="2"/>
      <c r="Q735" s="2">
        <v>4549</v>
      </c>
      <c r="R735" s="2">
        <v>-3913</v>
      </c>
      <c r="S735" s="2">
        <v>551</v>
      </c>
      <c r="T735" s="2">
        <v>718</v>
      </c>
      <c r="U735" s="2">
        <v>0</v>
      </c>
      <c r="V735" s="2"/>
      <c r="W735" s="2">
        <v>5124</v>
      </c>
      <c r="X735" s="2">
        <v>4198</v>
      </c>
      <c r="Y735" s="2">
        <v>3408</v>
      </c>
      <c r="Z735" s="2">
        <v>0</v>
      </c>
      <c r="AA735" s="2">
        <v>0</v>
      </c>
      <c r="AB735" s="2"/>
      <c r="AC735" s="2">
        <v>6094</v>
      </c>
      <c r="AD735" s="2">
        <v>4606</v>
      </c>
      <c r="AE735" s="2">
        <v>2642</v>
      </c>
      <c r="AF735" s="2">
        <v>876</v>
      </c>
      <c r="AG735" s="2">
        <v>0</v>
      </c>
      <c r="AH735" s="2"/>
      <c r="AI735" s="2">
        <v>0</v>
      </c>
      <c r="AJ735" s="2">
        <v>0</v>
      </c>
      <c r="AK735" s="2">
        <v>0</v>
      </c>
      <c r="AL735" s="2">
        <v>0</v>
      </c>
      <c r="AM735" s="2">
        <v>0</v>
      </c>
    </row>
    <row r="736" spans="1:39">
      <c r="A736" s="349">
        <v>97917</v>
      </c>
      <c r="B736" s="342" t="s">
        <v>1430</v>
      </c>
      <c r="C736" s="234" t="e">
        <f>VLOOKUP(A736,#REF!,10,FALSE)</f>
        <v>#REF!</v>
      </c>
      <c r="E736" s="2">
        <v>11868</v>
      </c>
      <c r="F736" s="2">
        <v>5088</v>
      </c>
      <c r="G736" s="2">
        <v>6227</v>
      </c>
      <c r="H736" s="2">
        <v>2154</v>
      </c>
      <c r="I736" s="2">
        <v>0</v>
      </c>
      <c r="J736" s="2"/>
      <c r="K736" s="2">
        <v>2756</v>
      </c>
      <c r="L736" s="2">
        <v>2593</v>
      </c>
      <c r="M736" s="2">
        <v>2324</v>
      </c>
      <c r="N736" s="2">
        <v>931</v>
      </c>
      <c r="O736" s="2">
        <v>0</v>
      </c>
      <c r="P736" s="2"/>
      <c r="Q736" s="2">
        <v>2926</v>
      </c>
      <c r="R736" s="2">
        <v>-2517</v>
      </c>
      <c r="S736" s="2">
        <v>355</v>
      </c>
      <c r="T736" s="2">
        <v>462</v>
      </c>
      <c r="U736" s="2">
        <v>0</v>
      </c>
      <c r="V736" s="2"/>
      <c r="W736" s="2">
        <v>3297</v>
      </c>
      <c r="X736" s="2">
        <v>2701</v>
      </c>
      <c r="Y736" s="2">
        <v>2192</v>
      </c>
      <c r="Z736" s="2">
        <v>0</v>
      </c>
      <c r="AA736" s="2">
        <v>0</v>
      </c>
      <c r="AB736" s="2"/>
      <c r="AC736" s="2">
        <v>2889</v>
      </c>
      <c r="AD736" s="2">
        <v>2311</v>
      </c>
      <c r="AE736" s="2">
        <v>1356</v>
      </c>
      <c r="AF736" s="2">
        <v>761</v>
      </c>
      <c r="AG736" s="2">
        <v>0</v>
      </c>
      <c r="AH736" s="2"/>
      <c r="AI736" s="2">
        <v>0</v>
      </c>
      <c r="AJ736" s="2">
        <v>0</v>
      </c>
      <c r="AK736" s="2">
        <v>0</v>
      </c>
      <c r="AL736" s="2">
        <v>0</v>
      </c>
      <c r="AM736" s="2">
        <v>0</v>
      </c>
    </row>
    <row r="737" spans="1:39">
      <c r="A737" s="349">
        <v>97921</v>
      </c>
      <c r="B737" s="342" t="s">
        <v>1431</v>
      </c>
      <c r="C737" s="234" t="e">
        <f>VLOOKUP(A737,#REF!,10,FALSE)</f>
        <v>#REF!</v>
      </c>
      <c r="E737" s="2">
        <v>98470</v>
      </c>
      <c r="F737" s="2">
        <v>29814</v>
      </c>
      <c r="G737" s="2">
        <v>53494</v>
      </c>
      <c r="H737" s="2">
        <v>12399</v>
      </c>
      <c r="I737" s="2">
        <v>0</v>
      </c>
      <c r="J737" s="2"/>
      <c r="K737" s="2">
        <v>31055</v>
      </c>
      <c r="L737" s="2">
        <v>29213</v>
      </c>
      <c r="M737" s="2">
        <v>26183</v>
      </c>
      <c r="N737" s="2">
        <v>10483</v>
      </c>
      <c r="O737" s="2">
        <v>0</v>
      </c>
      <c r="P737" s="2"/>
      <c r="Q737" s="2">
        <v>32969</v>
      </c>
      <c r="R737" s="2">
        <v>-28360</v>
      </c>
      <c r="S737" s="2">
        <v>3997</v>
      </c>
      <c r="T737" s="2">
        <v>5202</v>
      </c>
      <c r="U737" s="2">
        <v>0</v>
      </c>
      <c r="V737" s="2"/>
      <c r="W737" s="2">
        <v>37140</v>
      </c>
      <c r="X737" s="2">
        <v>30427</v>
      </c>
      <c r="Y737" s="2">
        <v>24701</v>
      </c>
      <c r="Z737" s="2">
        <v>0</v>
      </c>
      <c r="AA737" s="2">
        <v>0</v>
      </c>
      <c r="AB737" s="2"/>
      <c r="AC737" s="2">
        <v>1899</v>
      </c>
      <c r="AD737" s="2">
        <v>1899</v>
      </c>
      <c r="AE737" s="2">
        <v>1897</v>
      </c>
      <c r="AF737" s="2">
        <v>0</v>
      </c>
      <c r="AG737" s="2">
        <v>0</v>
      </c>
      <c r="AH737" s="2"/>
      <c r="AI737" s="2">
        <v>-4593</v>
      </c>
      <c r="AJ737" s="2">
        <v>-3365</v>
      </c>
      <c r="AK737" s="2">
        <v>-3284</v>
      </c>
      <c r="AL737" s="2">
        <v>-3286</v>
      </c>
      <c r="AM737" s="2">
        <v>-3365</v>
      </c>
    </row>
    <row r="738" spans="1:39">
      <c r="A738" s="349">
        <v>97931</v>
      </c>
      <c r="B738" s="342" t="s">
        <v>1432</v>
      </c>
      <c r="C738" s="234" t="e">
        <f>VLOOKUP(A738,#REF!,10,FALSE)</f>
        <v>#REF!</v>
      </c>
      <c r="E738" s="2">
        <v>33104</v>
      </c>
      <c r="F738" s="2">
        <v>11237</v>
      </c>
      <c r="G738" s="2">
        <v>17450</v>
      </c>
      <c r="H738" s="2">
        <v>5277</v>
      </c>
      <c r="I738" s="2">
        <v>0</v>
      </c>
      <c r="J738" s="2"/>
      <c r="K738" s="2">
        <v>9992</v>
      </c>
      <c r="L738" s="2">
        <v>9399</v>
      </c>
      <c r="M738" s="2">
        <v>8425</v>
      </c>
      <c r="N738" s="2">
        <v>3373</v>
      </c>
      <c r="O738" s="2">
        <v>0</v>
      </c>
      <c r="P738" s="2"/>
      <c r="Q738" s="2">
        <v>10608</v>
      </c>
      <c r="R738" s="2">
        <v>-9125</v>
      </c>
      <c r="S738" s="2">
        <v>1286</v>
      </c>
      <c r="T738" s="2">
        <v>1674</v>
      </c>
      <c r="U738" s="2">
        <v>0</v>
      </c>
      <c r="V738" s="2"/>
      <c r="W738" s="2">
        <v>11950</v>
      </c>
      <c r="X738" s="2">
        <v>9790</v>
      </c>
      <c r="Y738" s="2">
        <v>7948</v>
      </c>
      <c r="Z738" s="2">
        <v>0</v>
      </c>
      <c r="AA738" s="2">
        <v>0</v>
      </c>
      <c r="AB738" s="2"/>
      <c r="AC738" s="2">
        <v>1616</v>
      </c>
      <c r="AD738" s="2">
        <v>1615</v>
      </c>
      <c r="AE738" s="2">
        <v>232</v>
      </c>
      <c r="AF738" s="2">
        <v>230</v>
      </c>
      <c r="AG738" s="2">
        <v>0</v>
      </c>
      <c r="AH738" s="2"/>
      <c r="AI738" s="2">
        <v>-1062</v>
      </c>
      <c r="AJ738" s="2">
        <v>-442</v>
      </c>
      <c r="AK738" s="2">
        <v>-441</v>
      </c>
      <c r="AL738" s="2">
        <v>0</v>
      </c>
      <c r="AM738" s="2">
        <v>-442</v>
      </c>
    </row>
    <row r="739" spans="1:39">
      <c r="A739" s="349">
        <v>97941</v>
      </c>
      <c r="B739" s="342" t="s">
        <v>1433</v>
      </c>
      <c r="C739" s="234" t="e">
        <f>VLOOKUP(A739,#REF!,10,FALSE)</f>
        <v>#REF!</v>
      </c>
      <c r="E739" s="2">
        <v>111055</v>
      </c>
      <c r="F739" s="2">
        <v>37981</v>
      </c>
      <c r="G739" s="2">
        <v>64568</v>
      </c>
      <c r="H739" s="2">
        <v>21334</v>
      </c>
      <c r="I739" s="2">
        <v>0</v>
      </c>
      <c r="J739" s="2"/>
      <c r="K739" s="2">
        <v>32104</v>
      </c>
      <c r="L739" s="2">
        <v>30199</v>
      </c>
      <c r="M739" s="2">
        <v>27067</v>
      </c>
      <c r="N739" s="2">
        <v>10837</v>
      </c>
      <c r="O739" s="2">
        <v>0</v>
      </c>
      <c r="P739" s="2"/>
      <c r="Q739" s="2">
        <v>34082</v>
      </c>
      <c r="R739" s="2">
        <v>-29317</v>
      </c>
      <c r="S739" s="2">
        <v>4132</v>
      </c>
      <c r="T739" s="2">
        <v>5378</v>
      </c>
      <c r="U739" s="2">
        <v>0</v>
      </c>
      <c r="V739" s="2"/>
      <c r="W739" s="2">
        <v>38394</v>
      </c>
      <c r="X739" s="2">
        <v>31454</v>
      </c>
      <c r="Y739" s="2">
        <v>25535</v>
      </c>
      <c r="Z739" s="2">
        <v>0</v>
      </c>
      <c r="AA739" s="2">
        <v>0</v>
      </c>
      <c r="AB739" s="2"/>
      <c r="AC739" s="2">
        <v>8662</v>
      </c>
      <c r="AD739" s="2">
        <v>7832</v>
      </c>
      <c r="AE739" s="2">
        <v>7834</v>
      </c>
      <c r="AF739" s="2">
        <v>5119</v>
      </c>
      <c r="AG739" s="2">
        <v>0</v>
      </c>
      <c r="AH739" s="2"/>
      <c r="AI739" s="2">
        <v>-2187</v>
      </c>
      <c r="AJ739" s="2">
        <v>-2187</v>
      </c>
      <c r="AK739" s="2">
        <v>0</v>
      </c>
      <c r="AL739" s="2">
        <v>0</v>
      </c>
      <c r="AM739" s="2">
        <v>-2187</v>
      </c>
    </row>
    <row r="740" spans="1:39">
      <c r="A740" s="349">
        <v>97947</v>
      </c>
      <c r="B740" s="342" t="s">
        <v>1434</v>
      </c>
      <c r="C740" s="234" t="e">
        <f>VLOOKUP(A740,#REF!,10,FALSE)</f>
        <v>#REF!</v>
      </c>
      <c r="E740" s="2">
        <v>12157</v>
      </c>
      <c r="F740" s="2">
        <v>5667</v>
      </c>
      <c r="G740" s="2">
        <v>6648</v>
      </c>
      <c r="H740" s="2">
        <v>2441</v>
      </c>
      <c r="I740" s="2">
        <v>0</v>
      </c>
      <c r="J740" s="2"/>
      <c r="K740" s="2">
        <v>2277</v>
      </c>
      <c r="L740" s="2">
        <v>2142</v>
      </c>
      <c r="M740" s="2">
        <v>1920</v>
      </c>
      <c r="N740" s="2">
        <v>769</v>
      </c>
      <c r="O740" s="2">
        <v>0</v>
      </c>
      <c r="P740" s="2"/>
      <c r="Q740" s="2">
        <v>2417</v>
      </c>
      <c r="R740" s="2">
        <v>-2079</v>
      </c>
      <c r="S740" s="2">
        <v>293</v>
      </c>
      <c r="T740" s="2">
        <v>381</v>
      </c>
      <c r="U740" s="2">
        <v>0</v>
      </c>
      <c r="V740" s="2"/>
      <c r="W740" s="2">
        <v>2723</v>
      </c>
      <c r="X740" s="2">
        <v>2231</v>
      </c>
      <c r="Y740" s="2">
        <v>1811</v>
      </c>
      <c r="Z740" s="2">
        <v>0</v>
      </c>
      <c r="AA740" s="2">
        <v>0</v>
      </c>
      <c r="AB740" s="2"/>
      <c r="AC740" s="2">
        <v>4740</v>
      </c>
      <c r="AD740" s="2">
        <v>3373</v>
      </c>
      <c r="AE740" s="2">
        <v>2624</v>
      </c>
      <c r="AF740" s="2">
        <v>1291</v>
      </c>
      <c r="AG740" s="2">
        <v>0</v>
      </c>
      <c r="AH740" s="2"/>
      <c r="AI740" s="2">
        <v>0</v>
      </c>
      <c r="AJ740" s="2">
        <v>0</v>
      </c>
      <c r="AK740" s="2">
        <v>0</v>
      </c>
      <c r="AL740" s="2">
        <v>0</v>
      </c>
      <c r="AM740" s="2">
        <v>0</v>
      </c>
    </row>
    <row r="741" spans="1:39">
      <c r="A741" s="349">
        <v>97948</v>
      </c>
      <c r="B741" s="342" t="s">
        <v>3693</v>
      </c>
      <c r="C741" s="234" t="e">
        <f>VLOOKUP(A741,#REF!,10,FALSE)</f>
        <v>#REF!</v>
      </c>
      <c r="E741" s="2">
        <v>11716</v>
      </c>
      <c r="F741" s="2">
        <v>2947</v>
      </c>
      <c r="G741" s="2">
        <v>7974</v>
      </c>
      <c r="H741" s="2">
        <v>2945</v>
      </c>
      <c r="I741" s="2">
        <v>0</v>
      </c>
      <c r="J741" s="2"/>
      <c r="K741" s="2">
        <v>3910</v>
      </c>
      <c r="L741" s="2">
        <v>3678</v>
      </c>
      <c r="M741" s="2">
        <v>3297</v>
      </c>
      <c r="N741" s="2">
        <v>1320</v>
      </c>
      <c r="O741" s="2">
        <v>0</v>
      </c>
      <c r="P741" s="2"/>
      <c r="Q741" s="2">
        <v>4151</v>
      </c>
      <c r="R741" s="2">
        <v>-3571</v>
      </c>
      <c r="S741" s="2">
        <v>503</v>
      </c>
      <c r="T741" s="2">
        <v>655</v>
      </c>
      <c r="U741" s="2">
        <v>0</v>
      </c>
      <c r="V741" s="2"/>
      <c r="W741" s="2">
        <v>4676</v>
      </c>
      <c r="X741" s="2">
        <v>3831</v>
      </c>
      <c r="Y741" s="2">
        <v>3110</v>
      </c>
      <c r="Z741" s="2">
        <v>0</v>
      </c>
      <c r="AA741" s="2">
        <v>0</v>
      </c>
      <c r="AB741" s="2"/>
      <c r="AC741" s="2">
        <v>1066</v>
      </c>
      <c r="AD741" s="2">
        <v>1066</v>
      </c>
      <c r="AE741" s="2">
        <v>1064</v>
      </c>
      <c r="AF741" s="2">
        <v>970</v>
      </c>
      <c r="AG741" s="2">
        <v>0</v>
      </c>
      <c r="AH741" s="2"/>
      <c r="AI741" s="2">
        <v>-2087</v>
      </c>
      <c r="AJ741" s="2">
        <v>-2057</v>
      </c>
      <c r="AK741" s="2">
        <v>0</v>
      </c>
      <c r="AL741" s="2">
        <v>0</v>
      </c>
      <c r="AM741" s="2">
        <v>-2057</v>
      </c>
    </row>
    <row r="742" spans="1:39">
      <c r="A742" s="349">
        <v>97951</v>
      </c>
      <c r="B742" s="342" t="s">
        <v>1436</v>
      </c>
      <c r="C742" s="234" t="e">
        <f>VLOOKUP(A742,#REF!,10,FALSE)</f>
        <v>#REF!</v>
      </c>
      <c r="E742" s="2">
        <v>587505</v>
      </c>
      <c r="F742" s="2">
        <v>190310</v>
      </c>
      <c r="G742" s="2">
        <v>319643</v>
      </c>
      <c r="H742" s="2">
        <v>97579</v>
      </c>
      <c r="I742" s="2">
        <v>0</v>
      </c>
      <c r="J742" s="2"/>
      <c r="K742" s="2">
        <v>175963</v>
      </c>
      <c r="L742" s="2">
        <v>165525</v>
      </c>
      <c r="M742" s="2">
        <v>148358</v>
      </c>
      <c r="N742" s="2">
        <v>59401</v>
      </c>
      <c r="O742" s="2">
        <v>0</v>
      </c>
      <c r="P742" s="2"/>
      <c r="Q742" s="2">
        <v>186810</v>
      </c>
      <c r="R742" s="2">
        <v>-160691</v>
      </c>
      <c r="S742" s="2">
        <v>22647</v>
      </c>
      <c r="T742" s="2">
        <v>29475</v>
      </c>
      <c r="U742" s="2">
        <v>0</v>
      </c>
      <c r="V742" s="2"/>
      <c r="W742" s="2">
        <v>210444</v>
      </c>
      <c r="X742" s="2">
        <v>172403</v>
      </c>
      <c r="Y742" s="2">
        <v>139962</v>
      </c>
      <c r="Z742" s="2">
        <v>0</v>
      </c>
      <c r="AA742" s="2">
        <v>0</v>
      </c>
      <c r="AB742" s="2"/>
      <c r="AC742" s="2">
        <v>14313</v>
      </c>
      <c r="AD742" s="2">
        <v>13098</v>
      </c>
      <c r="AE742" s="2">
        <v>8701</v>
      </c>
      <c r="AF742" s="2">
        <v>8703</v>
      </c>
      <c r="AG742" s="2">
        <v>0</v>
      </c>
      <c r="AH742" s="2"/>
      <c r="AI742" s="2">
        <v>-25</v>
      </c>
      <c r="AJ742" s="2">
        <v>-25</v>
      </c>
      <c r="AK742" s="2">
        <v>-25</v>
      </c>
      <c r="AL742" s="2">
        <v>0</v>
      </c>
      <c r="AM742" s="2">
        <v>-25</v>
      </c>
    </row>
    <row r="743" spans="1:39">
      <c r="A743" s="349">
        <v>97957</v>
      </c>
      <c r="B743" s="342" t="s">
        <v>1437</v>
      </c>
      <c r="C743" s="234" t="e">
        <f>VLOOKUP(A743,#REF!,10,FALSE)</f>
        <v>#REF!</v>
      </c>
      <c r="E743" s="2">
        <v>9808</v>
      </c>
      <c r="F743" s="2">
        <v>4290</v>
      </c>
      <c r="G743" s="2">
        <v>5283</v>
      </c>
      <c r="H743" s="2">
        <v>1808</v>
      </c>
      <c r="I743" s="2">
        <v>0</v>
      </c>
      <c r="J743" s="2"/>
      <c r="K743" s="2">
        <v>2232</v>
      </c>
      <c r="L743" s="2">
        <v>2100</v>
      </c>
      <c r="M743" s="2">
        <v>1882</v>
      </c>
      <c r="N743" s="2">
        <v>754</v>
      </c>
      <c r="O743" s="2">
        <v>0</v>
      </c>
      <c r="P743" s="2"/>
      <c r="Q743" s="2">
        <v>2370</v>
      </c>
      <c r="R743" s="2">
        <v>-2038</v>
      </c>
      <c r="S743" s="2">
        <v>287</v>
      </c>
      <c r="T743" s="2">
        <v>374</v>
      </c>
      <c r="U743" s="2">
        <v>0</v>
      </c>
      <c r="V743" s="2"/>
      <c r="W743" s="2">
        <v>2670</v>
      </c>
      <c r="X743" s="2">
        <v>2187</v>
      </c>
      <c r="Y743" s="2">
        <v>1775</v>
      </c>
      <c r="Z743" s="2">
        <v>0</v>
      </c>
      <c r="AA743" s="2">
        <v>0</v>
      </c>
      <c r="AB743" s="2"/>
      <c r="AC743" s="2">
        <v>2536</v>
      </c>
      <c r="AD743" s="2">
        <v>2041</v>
      </c>
      <c r="AE743" s="2">
        <v>1339</v>
      </c>
      <c r="AF743" s="2">
        <v>680</v>
      </c>
      <c r="AG743" s="2">
        <v>0</v>
      </c>
      <c r="AH743" s="2"/>
      <c r="AI743" s="2">
        <v>0</v>
      </c>
      <c r="AJ743" s="2">
        <v>0</v>
      </c>
      <c r="AK743" s="2">
        <v>0</v>
      </c>
      <c r="AL743" s="2">
        <v>0</v>
      </c>
      <c r="AM743" s="2">
        <v>0</v>
      </c>
    </row>
    <row r="744" spans="1:39">
      <c r="A744" s="349">
        <v>98001</v>
      </c>
      <c r="B744" s="342" t="s">
        <v>1438</v>
      </c>
      <c r="C744" s="234" t="e">
        <f>VLOOKUP(A744,#REF!,10,FALSE)</f>
        <v>#REF!</v>
      </c>
      <c r="E744" s="2">
        <v>2654189</v>
      </c>
      <c r="F744" s="2">
        <v>860968</v>
      </c>
      <c r="G744" s="2">
        <v>1437607</v>
      </c>
      <c r="H744" s="2">
        <v>388620</v>
      </c>
      <c r="I744" s="2">
        <v>0</v>
      </c>
      <c r="J744" s="2"/>
      <c r="K744" s="2">
        <v>796539</v>
      </c>
      <c r="L744" s="2">
        <v>749286</v>
      </c>
      <c r="M744" s="2">
        <v>671576</v>
      </c>
      <c r="N744" s="2">
        <v>268891</v>
      </c>
      <c r="O744" s="2">
        <v>0</v>
      </c>
      <c r="P744" s="2"/>
      <c r="Q744" s="2">
        <v>845637</v>
      </c>
      <c r="R744" s="2">
        <v>-727406</v>
      </c>
      <c r="S744" s="2">
        <v>102519</v>
      </c>
      <c r="T744" s="2">
        <v>133427</v>
      </c>
      <c r="U744" s="2">
        <v>0</v>
      </c>
      <c r="V744" s="2"/>
      <c r="W744" s="2">
        <v>952622</v>
      </c>
      <c r="X744" s="2">
        <v>780423</v>
      </c>
      <c r="Y744" s="2">
        <v>633570</v>
      </c>
      <c r="Z744" s="2">
        <v>0</v>
      </c>
      <c r="AA744" s="2">
        <v>0</v>
      </c>
      <c r="AB744" s="2"/>
      <c r="AC744" s="2">
        <v>73087</v>
      </c>
      <c r="AD744" s="2">
        <v>72361</v>
      </c>
      <c r="AE744" s="2">
        <v>43638</v>
      </c>
      <c r="AF744" s="2">
        <v>0</v>
      </c>
      <c r="AG744" s="2">
        <v>0</v>
      </c>
      <c r="AH744" s="2"/>
      <c r="AI744" s="2">
        <v>-13696</v>
      </c>
      <c r="AJ744" s="2">
        <v>-13696</v>
      </c>
      <c r="AK744" s="2">
        <v>-13696</v>
      </c>
      <c r="AL744" s="2">
        <v>-13698</v>
      </c>
      <c r="AM744" s="2">
        <v>-13696</v>
      </c>
    </row>
    <row r="745" spans="1:39">
      <c r="A745" s="349">
        <v>98002</v>
      </c>
      <c r="B745" s="342" t="s">
        <v>1439</v>
      </c>
      <c r="C745" s="234" t="e">
        <f>VLOOKUP(A745,#REF!,10,FALSE)</f>
        <v>#REF!</v>
      </c>
      <c r="E745" s="2">
        <v>3914</v>
      </c>
      <c r="F745" s="2">
        <v>1699</v>
      </c>
      <c r="G745" s="2">
        <v>2296</v>
      </c>
      <c r="H745" s="2">
        <v>848</v>
      </c>
      <c r="I745" s="2">
        <v>0</v>
      </c>
      <c r="J745" s="2"/>
      <c r="K745" s="2">
        <v>929</v>
      </c>
      <c r="L745" s="2">
        <v>874</v>
      </c>
      <c r="M745" s="2">
        <v>783</v>
      </c>
      <c r="N745" s="2">
        <v>314</v>
      </c>
      <c r="O745" s="2">
        <v>0</v>
      </c>
      <c r="P745" s="2"/>
      <c r="Q745" s="2">
        <v>986</v>
      </c>
      <c r="R745" s="2">
        <v>-848</v>
      </c>
      <c r="S745" s="2">
        <v>120</v>
      </c>
      <c r="T745" s="2">
        <v>156</v>
      </c>
      <c r="U745" s="2">
        <v>0</v>
      </c>
      <c r="V745" s="2"/>
      <c r="W745" s="2">
        <v>1111</v>
      </c>
      <c r="X745" s="2">
        <v>910</v>
      </c>
      <c r="Y745" s="2">
        <v>739</v>
      </c>
      <c r="Z745" s="2">
        <v>0</v>
      </c>
      <c r="AA745" s="2">
        <v>0</v>
      </c>
      <c r="AB745" s="2"/>
      <c r="AC745" s="2">
        <v>888</v>
      </c>
      <c r="AD745" s="2">
        <v>763</v>
      </c>
      <c r="AE745" s="2">
        <v>654</v>
      </c>
      <c r="AF745" s="2">
        <v>378</v>
      </c>
      <c r="AG745" s="2">
        <v>0</v>
      </c>
      <c r="AH745" s="2"/>
      <c r="AI745" s="2">
        <v>0</v>
      </c>
      <c r="AJ745" s="2">
        <v>0</v>
      </c>
      <c r="AK745" s="2">
        <v>0</v>
      </c>
      <c r="AL745" s="2">
        <v>0</v>
      </c>
      <c r="AM745" s="2">
        <v>0</v>
      </c>
    </row>
    <row r="746" spans="1:39">
      <c r="A746" s="349">
        <v>98003</v>
      </c>
      <c r="B746" s="342" t="s">
        <v>3694</v>
      </c>
      <c r="C746" s="234" t="e">
        <f>VLOOKUP(A746,#REF!,10,FALSE)</f>
        <v>#REF!</v>
      </c>
      <c r="E746" s="2">
        <v>59347</v>
      </c>
      <c r="F746" s="2">
        <v>29494</v>
      </c>
      <c r="G746" s="2">
        <v>30997</v>
      </c>
      <c r="H746" s="2">
        <v>11283</v>
      </c>
      <c r="I746" s="2">
        <v>0</v>
      </c>
      <c r="J746" s="2"/>
      <c r="K746" s="2">
        <v>10412</v>
      </c>
      <c r="L746" s="2">
        <v>9794</v>
      </c>
      <c r="M746" s="2">
        <v>8778</v>
      </c>
      <c r="N746" s="2">
        <v>3515</v>
      </c>
      <c r="O746" s="2">
        <v>0</v>
      </c>
      <c r="P746" s="2"/>
      <c r="Q746" s="2">
        <v>11053</v>
      </c>
      <c r="R746" s="2">
        <v>-9508</v>
      </c>
      <c r="S746" s="2">
        <v>1340</v>
      </c>
      <c r="T746" s="2">
        <v>1744</v>
      </c>
      <c r="U746" s="2">
        <v>0</v>
      </c>
      <c r="V746" s="2"/>
      <c r="W746" s="2">
        <v>12452</v>
      </c>
      <c r="X746" s="2">
        <v>10201</v>
      </c>
      <c r="Y746" s="2">
        <v>8281</v>
      </c>
      <c r="Z746" s="2">
        <v>0</v>
      </c>
      <c r="AA746" s="2">
        <v>0</v>
      </c>
      <c r="AB746" s="2"/>
      <c r="AC746" s="2">
        <v>25430</v>
      </c>
      <c r="AD746" s="2">
        <v>19007</v>
      </c>
      <c r="AE746" s="2">
        <v>12598</v>
      </c>
      <c r="AF746" s="2">
        <v>6024</v>
      </c>
      <c r="AG746" s="2">
        <v>0</v>
      </c>
      <c r="AH746" s="2"/>
      <c r="AI746" s="2">
        <v>0</v>
      </c>
      <c r="AJ746" s="2">
        <v>0</v>
      </c>
      <c r="AK746" s="2">
        <v>0</v>
      </c>
      <c r="AL746" s="2">
        <v>0</v>
      </c>
      <c r="AM746" s="2">
        <v>0</v>
      </c>
    </row>
    <row r="747" spans="1:39">
      <c r="A747" s="349">
        <v>98004</v>
      </c>
      <c r="B747" s="342" t="s">
        <v>1441</v>
      </c>
      <c r="C747" s="234" t="e">
        <f>VLOOKUP(A747,#REF!,10,FALSE)</f>
        <v>#REF!</v>
      </c>
      <c r="E747" s="2">
        <v>80345</v>
      </c>
      <c r="F747" s="2">
        <v>34865</v>
      </c>
      <c r="G747" s="2">
        <v>44828</v>
      </c>
      <c r="H747" s="2">
        <v>16274</v>
      </c>
      <c r="I747" s="2">
        <v>0</v>
      </c>
      <c r="J747" s="2"/>
      <c r="K747" s="2">
        <v>18771</v>
      </c>
      <c r="L747" s="2">
        <v>17657</v>
      </c>
      <c r="M747" s="2">
        <v>15826</v>
      </c>
      <c r="N747" s="2">
        <v>6337</v>
      </c>
      <c r="O747" s="2">
        <v>0</v>
      </c>
      <c r="P747" s="2"/>
      <c r="Q747" s="2">
        <v>19928</v>
      </c>
      <c r="R747" s="2">
        <v>-17142</v>
      </c>
      <c r="S747" s="2">
        <v>2416</v>
      </c>
      <c r="T747" s="2">
        <v>3144</v>
      </c>
      <c r="U747" s="2">
        <v>0</v>
      </c>
      <c r="V747" s="2"/>
      <c r="W747" s="2">
        <v>22449</v>
      </c>
      <c r="X747" s="2">
        <v>18391</v>
      </c>
      <c r="Y747" s="2">
        <v>14930</v>
      </c>
      <c r="Z747" s="2">
        <v>0</v>
      </c>
      <c r="AA747" s="2">
        <v>0</v>
      </c>
      <c r="AB747" s="2"/>
      <c r="AC747" s="2">
        <v>19197</v>
      </c>
      <c r="AD747" s="2">
        <v>15959</v>
      </c>
      <c r="AE747" s="2">
        <v>11656</v>
      </c>
      <c r="AF747" s="2">
        <v>6793</v>
      </c>
      <c r="AG747" s="2">
        <v>0</v>
      </c>
      <c r="AH747" s="2"/>
      <c r="AI747" s="2">
        <v>0</v>
      </c>
      <c r="AJ747" s="2">
        <v>0</v>
      </c>
      <c r="AK747" s="2">
        <v>0</v>
      </c>
      <c r="AL747" s="2">
        <v>0</v>
      </c>
      <c r="AM747" s="2">
        <v>0</v>
      </c>
    </row>
    <row r="748" spans="1:39">
      <c r="A748" s="349">
        <v>98008</v>
      </c>
      <c r="B748" s="342" t="s">
        <v>3695</v>
      </c>
      <c r="C748" s="234" t="e">
        <f>VLOOKUP(A748,#REF!,10,FALSE)</f>
        <v>#REF!</v>
      </c>
      <c r="E748" s="2">
        <v>3284</v>
      </c>
      <c r="F748" s="2">
        <v>954</v>
      </c>
      <c r="G748" s="2">
        <v>1765</v>
      </c>
      <c r="H748" s="2">
        <v>465</v>
      </c>
      <c r="I748" s="2">
        <v>0</v>
      </c>
      <c r="J748" s="2"/>
      <c r="K748" s="2">
        <v>1079</v>
      </c>
      <c r="L748" s="2">
        <v>1015</v>
      </c>
      <c r="M748" s="2">
        <v>909</v>
      </c>
      <c r="N748" s="2">
        <v>364</v>
      </c>
      <c r="O748" s="2">
        <v>0</v>
      </c>
      <c r="P748" s="2"/>
      <c r="Q748" s="2">
        <v>1145</v>
      </c>
      <c r="R748" s="2">
        <v>-985</v>
      </c>
      <c r="S748" s="2">
        <v>139</v>
      </c>
      <c r="T748" s="2">
        <v>181</v>
      </c>
      <c r="U748" s="2">
        <v>0</v>
      </c>
      <c r="V748" s="2"/>
      <c r="W748" s="2">
        <v>1290</v>
      </c>
      <c r="X748" s="2">
        <v>1057</v>
      </c>
      <c r="Y748" s="2">
        <v>858</v>
      </c>
      <c r="Z748" s="2">
        <v>0</v>
      </c>
      <c r="AA748" s="2">
        <v>0</v>
      </c>
      <c r="AB748" s="2"/>
      <c r="AC748" s="2">
        <v>6</v>
      </c>
      <c r="AD748" s="2">
        <v>8</v>
      </c>
      <c r="AE748" s="2">
        <v>0</v>
      </c>
      <c r="AF748" s="2">
        <v>0</v>
      </c>
      <c r="AG748" s="2">
        <v>0</v>
      </c>
      <c r="AH748" s="2"/>
      <c r="AI748" s="2">
        <v>-236</v>
      </c>
      <c r="AJ748" s="2">
        <v>-141</v>
      </c>
      <c r="AK748" s="2">
        <v>-141</v>
      </c>
      <c r="AL748" s="2">
        <v>-80</v>
      </c>
      <c r="AM748" s="2">
        <v>-141</v>
      </c>
    </row>
    <row r="749" spans="1:39">
      <c r="A749" s="349">
        <v>98011</v>
      </c>
      <c r="B749" s="342" t="s">
        <v>1443</v>
      </c>
      <c r="C749" s="234" t="e">
        <f>VLOOKUP(A749,#REF!,10,FALSE)</f>
        <v>#REF!</v>
      </c>
      <c r="E749" s="2">
        <v>1645808</v>
      </c>
      <c r="F749" s="2">
        <v>542164</v>
      </c>
      <c r="G749" s="2">
        <v>942646</v>
      </c>
      <c r="H749" s="2">
        <v>269777</v>
      </c>
      <c r="I749" s="2">
        <v>0</v>
      </c>
      <c r="J749" s="2"/>
      <c r="K749" s="2">
        <v>517014</v>
      </c>
      <c r="L749" s="2">
        <v>486343</v>
      </c>
      <c r="M749" s="2">
        <v>435904</v>
      </c>
      <c r="N749" s="2">
        <v>174531</v>
      </c>
      <c r="O749" s="2">
        <v>0</v>
      </c>
      <c r="P749" s="2"/>
      <c r="Q749" s="2">
        <v>548882</v>
      </c>
      <c r="R749" s="2">
        <v>-472141</v>
      </c>
      <c r="S749" s="2">
        <v>66543</v>
      </c>
      <c r="T749" s="2">
        <v>86604</v>
      </c>
      <c r="U749" s="2">
        <v>0</v>
      </c>
      <c r="V749" s="2"/>
      <c r="W749" s="2">
        <v>618324</v>
      </c>
      <c r="X749" s="2">
        <v>506553</v>
      </c>
      <c r="Y749" s="2">
        <v>411235</v>
      </c>
      <c r="Z749" s="2">
        <v>0</v>
      </c>
      <c r="AA749" s="2">
        <v>0</v>
      </c>
      <c r="AB749" s="2"/>
      <c r="AC749" s="2">
        <v>28962</v>
      </c>
      <c r="AD749" s="2">
        <v>28962</v>
      </c>
      <c r="AE749" s="2">
        <v>28964</v>
      </c>
      <c r="AF749" s="2">
        <v>8642</v>
      </c>
      <c r="AG749" s="2">
        <v>0</v>
      </c>
      <c r="AH749" s="2"/>
      <c r="AI749" s="2">
        <v>-67374</v>
      </c>
      <c r="AJ749" s="2">
        <v>-7553</v>
      </c>
      <c r="AK749" s="2">
        <v>0</v>
      </c>
      <c r="AL749" s="2">
        <v>0</v>
      </c>
      <c r="AM749" s="2">
        <v>-7553</v>
      </c>
    </row>
    <row r="750" spans="1:39">
      <c r="A750" s="349">
        <v>98013</v>
      </c>
      <c r="B750" s="342" t="s">
        <v>3696</v>
      </c>
      <c r="C750" s="234" t="e">
        <f>VLOOKUP(A750,#REF!,10,FALSE)</f>
        <v>#REF!</v>
      </c>
      <c r="E750" s="2">
        <v>124479</v>
      </c>
      <c r="F750" s="2">
        <v>65264</v>
      </c>
      <c r="G750" s="2">
        <v>66664</v>
      </c>
      <c r="H750" s="2">
        <v>26285</v>
      </c>
      <c r="I750" s="2">
        <v>0</v>
      </c>
      <c r="J750" s="2"/>
      <c r="K750" s="2">
        <v>20958</v>
      </c>
      <c r="L750" s="2">
        <v>19715</v>
      </c>
      <c r="M750" s="2">
        <v>17670</v>
      </c>
      <c r="N750" s="2">
        <v>7075</v>
      </c>
      <c r="O750" s="2">
        <v>0</v>
      </c>
      <c r="P750" s="2"/>
      <c r="Q750" s="2">
        <v>22250</v>
      </c>
      <c r="R750" s="2">
        <v>-19139</v>
      </c>
      <c r="S750" s="2">
        <v>2697</v>
      </c>
      <c r="T750" s="2">
        <v>3511</v>
      </c>
      <c r="U750" s="2">
        <v>0</v>
      </c>
      <c r="V750" s="2"/>
      <c r="W750" s="2">
        <v>25065</v>
      </c>
      <c r="X750" s="2">
        <v>20534</v>
      </c>
      <c r="Y750" s="2">
        <v>16670</v>
      </c>
      <c r="Z750" s="2">
        <v>0</v>
      </c>
      <c r="AA750" s="2">
        <v>0</v>
      </c>
      <c r="AB750" s="2"/>
      <c r="AC750" s="2">
        <v>56206</v>
      </c>
      <c r="AD750" s="2">
        <v>44154</v>
      </c>
      <c r="AE750" s="2">
        <v>29627</v>
      </c>
      <c r="AF750" s="2">
        <v>15699</v>
      </c>
      <c r="AG750" s="2">
        <v>0</v>
      </c>
      <c r="AH750" s="2"/>
      <c r="AI750" s="2">
        <v>0</v>
      </c>
      <c r="AJ750" s="2">
        <v>0</v>
      </c>
      <c r="AK750" s="2">
        <v>0</v>
      </c>
      <c r="AL750" s="2">
        <v>0</v>
      </c>
      <c r="AM750" s="2">
        <v>0</v>
      </c>
    </row>
    <row r="751" spans="1:39">
      <c r="A751" s="349">
        <v>98021</v>
      </c>
      <c r="B751" s="342" t="s">
        <v>1445</v>
      </c>
      <c r="C751" s="234" t="e">
        <f>VLOOKUP(A751,#REF!,10,FALSE)</f>
        <v>#REF!</v>
      </c>
      <c r="E751" s="2">
        <v>15491</v>
      </c>
      <c r="F751" s="2">
        <v>1545</v>
      </c>
      <c r="G751" s="2">
        <v>6721</v>
      </c>
      <c r="H751" s="2">
        <v>5742</v>
      </c>
      <c r="I751" s="2">
        <v>0</v>
      </c>
      <c r="J751" s="2"/>
      <c r="K751" s="2">
        <v>6352</v>
      </c>
      <c r="L751" s="2">
        <v>5975</v>
      </c>
      <c r="M751" s="2">
        <v>5355</v>
      </c>
      <c r="N751" s="2">
        <v>2144</v>
      </c>
      <c r="O751" s="2">
        <v>0</v>
      </c>
      <c r="P751" s="2"/>
      <c r="Q751" s="2">
        <v>6743</v>
      </c>
      <c r="R751" s="2">
        <v>-5801</v>
      </c>
      <c r="S751" s="2">
        <v>818</v>
      </c>
      <c r="T751" s="2">
        <v>1064</v>
      </c>
      <c r="U751" s="2">
        <v>0</v>
      </c>
      <c r="V751" s="2"/>
      <c r="W751" s="2">
        <v>7596</v>
      </c>
      <c r="X751" s="2">
        <v>6223</v>
      </c>
      <c r="Y751" s="2">
        <v>5052</v>
      </c>
      <c r="Z751" s="2">
        <v>0</v>
      </c>
      <c r="AA751" s="2">
        <v>0</v>
      </c>
      <c r="AB751" s="2"/>
      <c r="AC751" s="2">
        <v>2535</v>
      </c>
      <c r="AD751" s="2">
        <v>2535</v>
      </c>
      <c r="AE751" s="2">
        <v>2535</v>
      </c>
      <c r="AF751" s="2">
        <v>2534</v>
      </c>
      <c r="AG751" s="2">
        <v>0</v>
      </c>
      <c r="AH751" s="2"/>
      <c r="AI751" s="2">
        <v>-7735</v>
      </c>
      <c r="AJ751" s="2">
        <v>-7387</v>
      </c>
      <c r="AK751" s="2">
        <v>-7039</v>
      </c>
      <c r="AL751" s="2">
        <v>0</v>
      </c>
      <c r="AM751" s="2">
        <v>-7387</v>
      </c>
    </row>
    <row r="752" spans="1:39">
      <c r="A752" s="349">
        <v>98023</v>
      </c>
      <c r="B752" s="342" t="s">
        <v>1446</v>
      </c>
      <c r="C752" s="234" t="e">
        <f>VLOOKUP(A752,#REF!,10,FALSE)</f>
        <v>#REF!</v>
      </c>
      <c r="E752" s="2">
        <v>1780</v>
      </c>
      <c r="F752" s="2">
        <v>-384</v>
      </c>
      <c r="G752" s="2">
        <v>592</v>
      </c>
      <c r="H752" s="2">
        <v>-1480</v>
      </c>
      <c r="I752" s="2">
        <v>0</v>
      </c>
      <c r="J752" s="2"/>
      <c r="K752" s="2">
        <v>1318</v>
      </c>
      <c r="L752" s="2">
        <v>1240</v>
      </c>
      <c r="M752" s="2">
        <v>1111</v>
      </c>
      <c r="N752" s="2">
        <v>445</v>
      </c>
      <c r="O752" s="2">
        <v>0</v>
      </c>
      <c r="P752" s="2"/>
      <c r="Q752" s="2">
        <v>1400</v>
      </c>
      <c r="R752" s="2">
        <v>-1204</v>
      </c>
      <c r="S752" s="2">
        <v>170</v>
      </c>
      <c r="T752" s="2">
        <v>221</v>
      </c>
      <c r="U752" s="2">
        <v>0</v>
      </c>
      <c r="V752" s="2"/>
      <c r="W752" s="2">
        <v>1577</v>
      </c>
      <c r="X752" s="2">
        <v>1292</v>
      </c>
      <c r="Y752" s="2">
        <v>1049</v>
      </c>
      <c r="Z752" s="2">
        <v>0</v>
      </c>
      <c r="AA752" s="2">
        <v>0</v>
      </c>
      <c r="AB752" s="2"/>
      <c r="AC752" s="2">
        <v>431</v>
      </c>
      <c r="AD752" s="2">
        <v>432</v>
      </c>
      <c r="AE752" s="2">
        <v>406</v>
      </c>
      <c r="AF752" s="2">
        <v>0</v>
      </c>
      <c r="AG752" s="2">
        <v>0</v>
      </c>
      <c r="AH752" s="2"/>
      <c r="AI752" s="2">
        <v>-2946</v>
      </c>
      <c r="AJ752" s="2">
        <v>-2144</v>
      </c>
      <c r="AK752" s="2">
        <v>-2144</v>
      </c>
      <c r="AL752" s="2">
        <v>-2146</v>
      </c>
      <c r="AM752" s="2">
        <v>-2144</v>
      </c>
    </row>
    <row r="753" spans="1:39">
      <c r="A753" s="349">
        <v>98031</v>
      </c>
      <c r="B753" s="342" t="s">
        <v>1447</v>
      </c>
      <c r="C753" s="234" t="e">
        <f>VLOOKUP(A753,#REF!,10,FALSE)</f>
        <v>#REF!</v>
      </c>
      <c r="E753" s="2">
        <v>69400</v>
      </c>
      <c r="F753" s="2">
        <v>18719</v>
      </c>
      <c r="G753" s="2">
        <v>37097</v>
      </c>
      <c r="H753" s="2">
        <v>6668</v>
      </c>
      <c r="I753" s="2">
        <v>0</v>
      </c>
      <c r="J753" s="2"/>
      <c r="K753" s="2">
        <v>23085</v>
      </c>
      <c r="L753" s="2">
        <v>21716</v>
      </c>
      <c r="M753" s="2">
        <v>19464</v>
      </c>
      <c r="N753" s="2">
        <v>7793</v>
      </c>
      <c r="O753" s="2">
        <v>0</v>
      </c>
      <c r="P753" s="2"/>
      <c r="Q753" s="2">
        <v>24508</v>
      </c>
      <c r="R753" s="2">
        <v>-21082</v>
      </c>
      <c r="S753" s="2">
        <v>2971</v>
      </c>
      <c r="T753" s="2">
        <v>3867</v>
      </c>
      <c r="U753" s="2">
        <v>0</v>
      </c>
      <c r="V753" s="2"/>
      <c r="W753" s="2">
        <v>27609</v>
      </c>
      <c r="X753" s="2">
        <v>22618</v>
      </c>
      <c r="Y753" s="2">
        <v>18362</v>
      </c>
      <c r="Z753" s="2">
        <v>0</v>
      </c>
      <c r="AA753" s="2">
        <v>0</v>
      </c>
      <c r="AB753" s="2"/>
      <c r="AC753" s="2">
        <v>1293</v>
      </c>
      <c r="AD753" s="2">
        <v>1293</v>
      </c>
      <c r="AE753" s="2">
        <v>1292</v>
      </c>
      <c r="AF753" s="2">
        <v>0</v>
      </c>
      <c r="AG753" s="2">
        <v>0</v>
      </c>
      <c r="AH753" s="2"/>
      <c r="AI753" s="2">
        <v>-7095</v>
      </c>
      <c r="AJ753" s="2">
        <v>-5826</v>
      </c>
      <c r="AK753" s="2">
        <v>-4992</v>
      </c>
      <c r="AL753" s="2">
        <v>-4992</v>
      </c>
      <c r="AM753" s="2">
        <v>-5826</v>
      </c>
    </row>
    <row r="754" spans="1:39">
      <c r="A754" s="349">
        <v>98041</v>
      </c>
      <c r="B754" s="342" t="s">
        <v>1448</v>
      </c>
      <c r="C754" s="234" t="e">
        <f>VLOOKUP(A754,#REF!,10,FALSE)</f>
        <v>#REF!</v>
      </c>
      <c r="E754" s="2">
        <v>121794</v>
      </c>
      <c r="F754" s="2">
        <v>40714</v>
      </c>
      <c r="G754" s="2">
        <v>64624</v>
      </c>
      <c r="H754" s="2">
        <v>17196</v>
      </c>
      <c r="I754" s="2">
        <v>0</v>
      </c>
      <c r="J754" s="2"/>
      <c r="K754" s="2">
        <v>35295</v>
      </c>
      <c r="L754" s="2">
        <v>33201</v>
      </c>
      <c r="M754" s="2">
        <v>29757</v>
      </c>
      <c r="N754" s="2">
        <v>11915</v>
      </c>
      <c r="O754" s="2">
        <v>0</v>
      </c>
      <c r="P754" s="2"/>
      <c r="Q754" s="2">
        <v>37470</v>
      </c>
      <c r="R754" s="2">
        <v>-32231</v>
      </c>
      <c r="S754" s="2">
        <v>4543</v>
      </c>
      <c r="T754" s="2">
        <v>5912</v>
      </c>
      <c r="U754" s="2">
        <v>0</v>
      </c>
      <c r="V754" s="2"/>
      <c r="W754" s="2">
        <v>42211</v>
      </c>
      <c r="X754" s="2">
        <v>34580</v>
      </c>
      <c r="Y754" s="2">
        <v>28073</v>
      </c>
      <c r="Z754" s="2">
        <v>0</v>
      </c>
      <c r="AA754" s="2">
        <v>0</v>
      </c>
      <c r="AB754" s="2"/>
      <c r="AC754" s="2">
        <v>7447</v>
      </c>
      <c r="AD754" s="2">
        <v>5793</v>
      </c>
      <c r="AE754" s="2">
        <v>2880</v>
      </c>
      <c r="AF754" s="2">
        <v>0</v>
      </c>
      <c r="AG754" s="2">
        <v>0</v>
      </c>
      <c r="AH754" s="2"/>
      <c r="AI754" s="2">
        <v>-629</v>
      </c>
      <c r="AJ754" s="2">
        <v>-629</v>
      </c>
      <c r="AK754" s="2">
        <v>-629</v>
      </c>
      <c r="AL754" s="2">
        <v>-631</v>
      </c>
      <c r="AM754" s="2">
        <v>-629</v>
      </c>
    </row>
    <row r="755" spans="1:39">
      <c r="A755" s="349">
        <v>98051</v>
      </c>
      <c r="B755" s="342" t="s">
        <v>1449</v>
      </c>
      <c r="C755" s="234" t="e">
        <f>VLOOKUP(A755,#REF!,10,FALSE)</f>
        <v>#REF!</v>
      </c>
      <c r="E755" s="2">
        <v>151383</v>
      </c>
      <c r="F755" s="2">
        <v>47495</v>
      </c>
      <c r="G755" s="2">
        <v>83216</v>
      </c>
      <c r="H755" s="2">
        <v>26902</v>
      </c>
      <c r="I755" s="2">
        <v>0</v>
      </c>
      <c r="J755" s="2"/>
      <c r="K755" s="2">
        <v>44568</v>
      </c>
      <c r="L755" s="2">
        <v>41924</v>
      </c>
      <c r="M755" s="2">
        <v>37576</v>
      </c>
      <c r="N755" s="2">
        <v>15045</v>
      </c>
      <c r="O755" s="2">
        <v>0</v>
      </c>
      <c r="P755" s="2"/>
      <c r="Q755" s="2">
        <v>47315</v>
      </c>
      <c r="R755" s="2">
        <v>-40699</v>
      </c>
      <c r="S755" s="2">
        <v>5736</v>
      </c>
      <c r="T755" s="2">
        <v>7465</v>
      </c>
      <c r="U755" s="2">
        <v>0</v>
      </c>
      <c r="V755" s="2"/>
      <c r="W755" s="2">
        <v>53301</v>
      </c>
      <c r="X755" s="2">
        <v>43666</v>
      </c>
      <c r="Y755" s="2">
        <v>35449</v>
      </c>
      <c r="Z755" s="2">
        <v>0</v>
      </c>
      <c r="AA755" s="2">
        <v>0</v>
      </c>
      <c r="AB755" s="2"/>
      <c r="AC755" s="2">
        <v>8049</v>
      </c>
      <c r="AD755" s="2">
        <v>4456</v>
      </c>
      <c r="AE755" s="2">
        <v>4455</v>
      </c>
      <c r="AF755" s="2">
        <v>4392</v>
      </c>
      <c r="AG755" s="2">
        <v>0</v>
      </c>
      <c r="AH755" s="2"/>
      <c r="AI755" s="2">
        <v>-1850</v>
      </c>
      <c r="AJ755" s="2">
        <v>-1852</v>
      </c>
      <c r="AK755" s="2">
        <v>0</v>
      </c>
      <c r="AL755" s="2">
        <v>0</v>
      </c>
      <c r="AM755" s="2">
        <v>-1852</v>
      </c>
    </row>
    <row r="756" spans="1:39">
      <c r="A756" s="349">
        <v>98061</v>
      </c>
      <c r="B756" s="342" t="s">
        <v>1450</v>
      </c>
      <c r="C756" s="234" t="e">
        <f>VLOOKUP(A756,#REF!,10,FALSE)</f>
        <v>#REF!</v>
      </c>
      <c r="E756" s="2">
        <v>54820</v>
      </c>
      <c r="F756" s="2">
        <v>18006</v>
      </c>
      <c r="G756" s="2">
        <v>30805</v>
      </c>
      <c r="H756" s="2">
        <v>5123</v>
      </c>
      <c r="I756" s="2">
        <v>0</v>
      </c>
      <c r="J756" s="2"/>
      <c r="K756" s="2">
        <v>18097</v>
      </c>
      <c r="L756" s="2">
        <v>17023</v>
      </c>
      <c r="M756" s="2">
        <v>15258</v>
      </c>
      <c r="N756" s="2">
        <v>6109</v>
      </c>
      <c r="O756" s="2">
        <v>0</v>
      </c>
      <c r="P756" s="2"/>
      <c r="Q756" s="2">
        <v>19212</v>
      </c>
      <c r="R756" s="2">
        <v>-16526</v>
      </c>
      <c r="S756" s="2">
        <v>2329</v>
      </c>
      <c r="T756" s="2">
        <v>3031</v>
      </c>
      <c r="U756" s="2">
        <v>0</v>
      </c>
      <c r="V756" s="2"/>
      <c r="W756" s="2">
        <v>21643</v>
      </c>
      <c r="X756" s="2">
        <v>17731</v>
      </c>
      <c r="Y756" s="2">
        <v>14394</v>
      </c>
      <c r="Z756" s="2">
        <v>0</v>
      </c>
      <c r="AA756" s="2">
        <v>0</v>
      </c>
      <c r="AB756" s="2"/>
      <c r="AC756" s="2">
        <v>3797</v>
      </c>
      <c r="AD756" s="2">
        <v>3797</v>
      </c>
      <c r="AE756" s="2">
        <v>2843</v>
      </c>
      <c r="AF756" s="2">
        <v>0</v>
      </c>
      <c r="AG756" s="2">
        <v>0</v>
      </c>
      <c r="AH756" s="2"/>
      <c r="AI756" s="2">
        <v>-7929</v>
      </c>
      <c r="AJ756" s="2">
        <v>-4019</v>
      </c>
      <c r="AK756" s="2">
        <v>-4019</v>
      </c>
      <c r="AL756" s="2">
        <v>-4017</v>
      </c>
      <c r="AM756" s="2">
        <v>-4019</v>
      </c>
    </row>
    <row r="757" spans="1:39">
      <c r="A757" s="349">
        <v>98071</v>
      </c>
      <c r="B757" s="342" t="s">
        <v>1451</v>
      </c>
      <c r="C757" s="234" t="e">
        <f>VLOOKUP(A757,#REF!,10,FALSE)</f>
        <v>#REF!</v>
      </c>
      <c r="E757" s="2">
        <v>34491</v>
      </c>
      <c r="F757" s="2">
        <v>16464</v>
      </c>
      <c r="G757" s="2">
        <v>18941</v>
      </c>
      <c r="H757" s="2">
        <v>8155</v>
      </c>
      <c r="I757" s="2">
        <v>0</v>
      </c>
      <c r="J757" s="2"/>
      <c r="K757" s="2">
        <v>7101</v>
      </c>
      <c r="L757" s="2">
        <v>6680</v>
      </c>
      <c r="M757" s="2">
        <v>5987</v>
      </c>
      <c r="N757" s="2">
        <v>2397</v>
      </c>
      <c r="O757" s="2">
        <v>0</v>
      </c>
      <c r="P757" s="2"/>
      <c r="Q757" s="2">
        <v>7539</v>
      </c>
      <c r="R757" s="2">
        <v>-6485</v>
      </c>
      <c r="S757" s="2">
        <v>914</v>
      </c>
      <c r="T757" s="2">
        <v>1189</v>
      </c>
      <c r="U757" s="2">
        <v>0</v>
      </c>
      <c r="V757" s="2"/>
      <c r="W757" s="2">
        <v>8492</v>
      </c>
      <c r="X757" s="2">
        <v>6957</v>
      </c>
      <c r="Y757" s="2">
        <v>5648</v>
      </c>
      <c r="Z757" s="2">
        <v>0</v>
      </c>
      <c r="AA757" s="2">
        <v>0</v>
      </c>
      <c r="AB757" s="2"/>
      <c r="AC757" s="2">
        <v>11359</v>
      </c>
      <c r="AD757" s="2">
        <v>9312</v>
      </c>
      <c r="AE757" s="2">
        <v>6392</v>
      </c>
      <c r="AF757" s="2">
        <v>4569</v>
      </c>
      <c r="AG757" s="2">
        <v>0</v>
      </c>
      <c r="AH757" s="2"/>
      <c r="AI757" s="2">
        <v>0</v>
      </c>
      <c r="AJ757" s="2">
        <v>0</v>
      </c>
      <c r="AK757" s="2">
        <v>0</v>
      </c>
      <c r="AL757" s="2">
        <v>0</v>
      </c>
      <c r="AM757" s="2">
        <v>0</v>
      </c>
    </row>
    <row r="758" spans="1:39">
      <c r="A758" s="349">
        <v>98081</v>
      </c>
      <c r="B758" s="342" t="s">
        <v>1452</v>
      </c>
      <c r="C758" s="234" t="e">
        <f>VLOOKUP(A758,#REF!,10,FALSE)</f>
        <v>#REF!</v>
      </c>
      <c r="E758" s="2">
        <v>6397</v>
      </c>
      <c r="F758" s="2">
        <v>1471</v>
      </c>
      <c r="G758" s="2">
        <v>3625</v>
      </c>
      <c r="H758" s="2">
        <v>915</v>
      </c>
      <c r="I758" s="2">
        <v>0</v>
      </c>
      <c r="J758" s="2"/>
      <c r="K758" s="2">
        <v>2367</v>
      </c>
      <c r="L758" s="2">
        <v>2227</v>
      </c>
      <c r="M758" s="2">
        <v>1996</v>
      </c>
      <c r="N758" s="2">
        <v>799</v>
      </c>
      <c r="O758" s="2">
        <v>0</v>
      </c>
      <c r="P758" s="2"/>
      <c r="Q758" s="2">
        <v>2513</v>
      </c>
      <c r="R758" s="2">
        <v>-2162</v>
      </c>
      <c r="S758" s="2">
        <v>305</v>
      </c>
      <c r="T758" s="2">
        <v>396</v>
      </c>
      <c r="U758" s="2">
        <v>0</v>
      </c>
      <c r="V758" s="2"/>
      <c r="W758" s="2">
        <v>2831</v>
      </c>
      <c r="X758" s="2">
        <v>2319</v>
      </c>
      <c r="Y758" s="2">
        <v>1883</v>
      </c>
      <c r="Z758" s="2">
        <v>0</v>
      </c>
      <c r="AA758" s="2">
        <v>0</v>
      </c>
      <c r="AB758" s="2"/>
      <c r="AC758" s="2">
        <v>0</v>
      </c>
      <c r="AD758" s="2">
        <v>0</v>
      </c>
      <c r="AE758" s="2">
        <v>0</v>
      </c>
      <c r="AF758" s="2">
        <v>0</v>
      </c>
      <c r="AG758" s="2">
        <v>0</v>
      </c>
      <c r="AH758" s="2"/>
      <c r="AI758" s="2">
        <v>-1314</v>
      </c>
      <c r="AJ758" s="2">
        <v>-913</v>
      </c>
      <c r="AK758" s="2">
        <v>-559</v>
      </c>
      <c r="AL758" s="2">
        <v>-280</v>
      </c>
      <c r="AM758" s="2">
        <v>-913</v>
      </c>
    </row>
    <row r="759" spans="1:39">
      <c r="A759" s="349">
        <v>98091</v>
      </c>
      <c r="B759" s="342" t="s">
        <v>1453</v>
      </c>
      <c r="C759" s="234" t="e">
        <f>VLOOKUP(A759,#REF!,10,FALSE)</f>
        <v>#REF!</v>
      </c>
      <c r="E759" s="2">
        <v>35943</v>
      </c>
      <c r="F759" s="2">
        <v>13308</v>
      </c>
      <c r="G759" s="2">
        <v>20820</v>
      </c>
      <c r="H759" s="2">
        <v>6887</v>
      </c>
      <c r="I759" s="2">
        <v>0</v>
      </c>
      <c r="J759" s="2"/>
      <c r="K759" s="2">
        <v>10037</v>
      </c>
      <c r="L759" s="2">
        <v>9442</v>
      </c>
      <c r="M759" s="2">
        <v>8462</v>
      </c>
      <c r="N759" s="2">
        <v>3388</v>
      </c>
      <c r="O759" s="2">
        <v>0</v>
      </c>
      <c r="P759" s="2"/>
      <c r="Q759" s="2">
        <v>10656</v>
      </c>
      <c r="R759" s="2">
        <v>-9166</v>
      </c>
      <c r="S759" s="2">
        <v>1292</v>
      </c>
      <c r="T759" s="2">
        <v>1681</v>
      </c>
      <c r="U759" s="2">
        <v>0</v>
      </c>
      <c r="V759" s="2"/>
      <c r="W759" s="2">
        <v>12004</v>
      </c>
      <c r="X759" s="2">
        <v>9834</v>
      </c>
      <c r="Y759" s="2">
        <v>7984</v>
      </c>
      <c r="Z759" s="2">
        <v>0</v>
      </c>
      <c r="AA759" s="2">
        <v>0</v>
      </c>
      <c r="AB759" s="2"/>
      <c r="AC759" s="2">
        <v>3246</v>
      </c>
      <c r="AD759" s="2">
        <v>3198</v>
      </c>
      <c r="AE759" s="2">
        <v>3082</v>
      </c>
      <c r="AF759" s="2">
        <v>1818</v>
      </c>
      <c r="AG759" s="2">
        <v>0</v>
      </c>
      <c r="AH759" s="2"/>
      <c r="AI759" s="2">
        <v>0</v>
      </c>
      <c r="AJ759" s="2">
        <v>0</v>
      </c>
      <c r="AK759" s="2">
        <v>0</v>
      </c>
      <c r="AL759" s="2">
        <v>0</v>
      </c>
      <c r="AM759" s="2">
        <v>0</v>
      </c>
    </row>
    <row r="760" spans="1:39">
      <c r="A760" s="349">
        <v>98101</v>
      </c>
      <c r="B760" s="342" t="s">
        <v>1454</v>
      </c>
      <c r="C760" s="234" t="e">
        <f>VLOOKUP(A760,#REF!,10,FALSE)</f>
        <v>#REF!</v>
      </c>
      <c r="E760" s="2">
        <v>1284671</v>
      </c>
      <c r="F760" s="2">
        <v>383094</v>
      </c>
      <c r="G760" s="2">
        <v>693063</v>
      </c>
      <c r="H760" s="2">
        <v>230360</v>
      </c>
      <c r="I760" s="2">
        <v>0</v>
      </c>
      <c r="J760" s="2"/>
      <c r="K760" s="2">
        <v>402996</v>
      </c>
      <c r="L760" s="2">
        <v>379089</v>
      </c>
      <c r="M760" s="2">
        <v>339773</v>
      </c>
      <c r="N760" s="2">
        <v>136041</v>
      </c>
      <c r="O760" s="2">
        <v>0</v>
      </c>
      <c r="P760" s="2"/>
      <c r="Q760" s="2">
        <v>427836</v>
      </c>
      <c r="R760" s="2">
        <v>-368019</v>
      </c>
      <c r="S760" s="2">
        <v>51868</v>
      </c>
      <c r="T760" s="2">
        <v>67505</v>
      </c>
      <c r="U760" s="2">
        <v>0</v>
      </c>
      <c r="V760" s="2"/>
      <c r="W760" s="2">
        <v>481964</v>
      </c>
      <c r="X760" s="2">
        <v>394842</v>
      </c>
      <c r="Y760" s="2">
        <v>320544</v>
      </c>
      <c r="Z760" s="2">
        <v>0</v>
      </c>
      <c r="AA760" s="2">
        <v>0</v>
      </c>
      <c r="AB760" s="2"/>
      <c r="AC760" s="2">
        <v>26815</v>
      </c>
      <c r="AD760" s="2">
        <v>26815</v>
      </c>
      <c r="AE760" s="2">
        <v>26815</v>
      </c>
      <c r="AF760" s="2">
        <v>26814</v>
      </c>
      <c r="AG760" s="2">
        <v>0</v>
      </c>
      <c r="AH760" s="2"/>
      <c r="AI760" s="2">
        <v>-54940</v>
      </c>
      <c r="AJ760" s="2">
        <v>-49633</v>
      </c>
      <c r="AK760" s="2">
        <v>-45937</v>
      </c>
      <c r="AL760" s="2">
        <v>0</v>
      </c>
      <c r="AM760" s="2">
        <v>-49633</v>
      </c>
    </row>
    <row r="761" spans="1:39">
      <c r="A761" s="349">
        <v>98102</v>
      </c>
      <c r="B761" s="342" t="s">
        <v>1455</v>
      </c>
      <c r="C761" s="234" t="e">
        <f>VLOOKUP(A761,#REF!,10,FALSE)</f>
        <v>#REF!</v>
      </c>
      <c r="E761" s="2">
        <v>75409</v>
      </c>
      <c r="F761" s="2">
        <v>22937</v>
      </c>
      <c r="G761" s="2">
        <v>42743</v>
      </c>
      <c r="H761" s="2">
        <v>14102</v>
      </c>
      <c r="I761" s="2">
        <v>0</v>
      </c>
      <c r="J761" s="2"/>
      <c r="K761" s="2">
        <v>23565</v>
      </c>
      <c r="L761" s="2">
        <v>22167</v>
      </c>
      <c r="M761" s="2">
        <v>19868</v>
      </c>
      <c r="N761" s="2">
        <v>7955</v>
      </c>
      <c r="O761" s="2">
        <v>0</v>
      </c>
      <c r="P761" s="2"/>
      <c r="Q761" s="2">
        <v>25017</v>
      </c>
      <c r="R761" s="2">
        <v>-21519</v>
      </c>
      <c r="S761" s="2">
        <v>3033</v>
      </c>
      <c r="T761" s="2">
        <v>3947</v>
      </c>
      <c r="U761" s="2">
        <v>0</v>
      </c>
      <c r="V761" s="2"/>
      <c r="W761" s="2">
        <v>28182</v>
      </c>
      <c r="X761" s="2">
        <v>23088</v>
      </c>
      <c r="Y761" s="2">
        <v>18743</v>
      </c>
      <c r="Z761" s="2">
        <v>0</v>
      </c>
      <c r="AA761" s="2">
        <v>0</v>
      </c>
      <c r="AB761" s="2"/>
      <c r="AC761" s="2">
        <v>2199</v>
      </c>
      <c r="AD761" s="2">
        <v>2199</v>
      </c>
      <c r="AE761" s="2">
        <v>2199</v>
      </c>
      <c r="AF761" s="2">
        <v>2200</v>
      </c>
      <c r="AG761" s="2">
        <v>0</v>
      </c>
      <c r="AH761" s="2"/>
      <c r="AI761" s="2">
        <v>-3554</v>
      </c>
      <c r="AJ761" s="2">
        <v>-2998</v>
      </c>
      <c r="AK761" s="2">
        <v>-1100</v>
      </c>
      <c r="AL761" s="2">
        <v>0</v>
      </c>
      <c r="AM761" s="2">
        <v>-2998</v>
      </c>
    </row>
    <row r="762" spans="1:39">
      <c r="A762" s="349">
        <v>98103</v>
      </c>
      <c r="B762" s="342" t="s">
        <v>2786</v>
      </c>
      <c r="C762" s="234" t="e">
        <f>VLOOKUP(A762,#REF!,10,FALSE)</f>
        <v>#REF!</v>
      </c>
      <c r="E762" s="2">
        <v>244879</v>
      </c>
      <c r="F762" s="2">
        <v>77006</v>
      </c>
      <c r="G762" s="2">
        <v>131953</v>
      </c>
      <c r="H762" s="2">
        <v>44651</v>
      </c>
      <c r="I762" s="2">
        <v>0</v>
      </c>
      <c r="J762" s="2"/>
      <c r="K762" s="2">
        <v>75503</v>
      </c>
      <c r="L762" s="2">
        <v>71024</v>
      </c>
      <c r="M762" s="2">
        <v>63658</v>
      </c>
      <c r="N762" s="2">
        <v>25488</v>
      </c>
      <c r="O762" s="2">
        <v>0</v>
      </c>
      <c r="P762" s="2"/>
      <c r="Q762" s="2">
        <v>80157</v>
      </c>
      <c r="R762" s="2">
        <v>-68950</v>
      </c>
      <c r="S762" s="2">
        <v>9718</v>
      </c>
      <c r="T762" s="2">
        <v>12647</v>
      </c>
      <c r="U762" s="2">
        <v>0</v>
      </c>
      <c r="V762" s="2"/>
      <c r="W762" s="2">
        <v>90298</v>
      </c>
      <c r="X762" s="2">
        <v>73975</v>
      </c>
      <c r="Y762" s="2">
        <v>60055</v>
      </c>
      <c r="Z762" s="2">
        <v>0</v>
      </c>
      <c r="AA762" s="2">
        <v>0</v>
      </c>
      <c r="AB762" s="2"/>
      <c r="AC762" s="2">
        <v>8948</v>
      </c>
      <c r="AD762" s="2">
        <v>8950</v>
      </c>
      <c r="AE762" s="2">
        <v>6516</v>
      </c>
      <c r="AF762" s="2">
        <v>6516</v>
      </c>
      <c r="AG762" s="2">
        <v>0</v>
      </c>
      <c r="AH762" s="2"/>
      <c r="AI762" s="2">
        <v>-10027</v>
      </c>
      <c r="AJ762" s="2">
        <v>-7993</v>
      </c>
      <c r="AK762" s="2">
        <v>-7994</v>
      </c>
      <c r="AL762" s="2">
        <v>0</v>
      </c>
      <c r="AM762" s="2">
        <v>-7993</v>
      </c>
    </row>
    <row r="763" spans="1:39">
      <c r="A763" s="349">
        <v>98107</v>
      </c>
      <c r="B763" s="342" t="s">
        <v>1457</v>
      </c>
      <c r="C763" s="234" t="e">
        <f>VLOOKUP(A763,#REF!,10,FALSE)</f>
        <v>#REF!</v>
      </c>
      <c r="E763" s="2">
        <v>7926</v>
      </c>
      <c r="F763" s="2">
        <v>4095</v>
      </c>
      <c r="G763" s="2">
        <v>4307</v>
      </c>
      <c r="H763" s="2">
        <v>1759</v>
      </c>
      <c r="I763" s="2">
        <v>0</v>
      </c>
      <c r="J763" s="2"/>
      <c r="K763" s="2">
        <v>1408</v>
      </c>
      <c r="L763" s="2">
        <v>1325</v>
      </c>
      <c r="M763" s="2">
        <v>1187</v>
      </c>
      <c r="N763" s="2">
        <v>475</v>
      </c>
      <c r="O763" s="2">
        <v>0</v>
      </c>
      <c r="P763" s="2"/>
      <c r="Q763" s="2">
        <v>1495</v>
      </c>
      <c r="R763" s="2">
        <v>-1286</v>
      </c>
      <c r="S763" s="2">
        <v>181</v>
      </c>
      <c r="T763" s="2">
        <v>236</v>
      </c>
      <c r="U763" s="2">
        <v>0</v>
      </c>
      <c r="V763" s="2"/>
      <c r="W763" s="2">
        <v>1684</v>
      </c>
      <c r="X763" s="2">
        <v>1380</v>
      </c>
      <c r="Y763" s="2">
        <v>1120</v>
      </c>
      <c r="Z763" s="2">
        <v>0</v>
      </c>
      <c r="AA763" s="2">
        <v>0</v>
      </c>
      <c r="AB763" s="2"/>
      <c r="AC763" s="2">
        <v>3339</v>
      </c>
      <c r="AD763" s="2">
        <v>2676</v>
      </c>
      <c r="AE763" s="2">
        <v>1819</v>
      </c>
      <c r="AF763" s="2">
        <v>1048</v>
      </c>
      <c r="AG763" s="2">
        <v>0</v>
      </c>
      <c r="AH763" s="2"/>
      <c r="AI763" s="2">
        <v>0</v>
      </c>
      <c r="AJ763" s="2">
        <v>0</v>
      </c>
      <c r="AK763" s="2">
        <v>0</v>
      </c>
      <c r="AL763" s="2">
        <v>0</v>
      </c>
      <c r="AM763" s="2">
        <v>0</v>
      </c>
    </row>
    <row r="764" spans="1:39">
      <c r="A764" s="349">
        <v>98109</v>
      </c>
      <c r="B764" s="342" t="s">
        <v>3697</v>
      </c>
      <c r="C764" s="234" t="e">
        <f>VLOOKUP(A764,#REF!,10,FALSE)</f>
        <v>#REF!</v>
      </c>
      <c r="E764" s="2">
        <v>80220</v>
      </c>
      <c r="F764" s="2">
        <v>32635</v>
      </c>
      <c r="G764" s="2">
        <v>48239</v>
      </c>
      <c r="H764" s="2">
        <v>17972</v>
      </c>
      <c r="I764" s="2">
        <v>0</v>
      </c>
      <c r="J764" s="2"/>
      <c r="K764" s="2">
        <v>23894</v>
      </c>
      <c r="L764" s="2">
        <v>22477</v>
      </c>
      <c r="M764" s="2">
        <v>20146</v>
      </c>
      <c r="N764" s="2">
        <v>8066</v>
      </c>
      <c r="O764" s="2">
        <v>0</v>
      </c>
      <c r="P764" s="2"/>
      <c r="Q764" s="2">
        <v>25367</v>
      </c>
      <c r="R764" s="2">
        <v>-21820</v>
      </c>
      <c r="S764" s="2">
        <v>3075</v>
      </c>
      <c r="T764" s="2">
        <v>4002</v>
      </c>
      <c r="U764" s="2">
        <v>0</v>
      </c>
      <c r="V764" s="2"/>
      <c r="W764" s="2">
        <v>28576</v>
      </c>
      <c r="X764" s="2">
        <v>23411</v>
      </c>
      <c r="Y764" s="2">
        <v>19006</v>
      </c>
      <c r="Z764" s="2">
        <v>0</v>
      </c>
      <c r="AA764" s="2">
        <v>0</v>
      </c>
      <c r="AB764" s="2"/>
      <c r="AC764" s="2">
        <v>8568</v>
      </c>
      <c r="AD764" s="2">
        <v>8567</v>
      </c>
      <c r="AE764" s="2">
        <v>6012</v>
      </c>
      <c r="AF764" s="2">
        <v>5904</v>
      </c>
      <c r="AG764" s="2">
        <v>0</v>
      </c>
      <c r="AH764" s="2"/>
      <c r="AI764" s="2">
        <v>-6185</v>
      </c>
      <c r="AJ764" s="2">
        <v>0</v>
      </c>
      <c r="AK764" s="2">
        <v>0</v>
      </c>
      <c r="AL764" s="2">
        <v>0</v>
      </c>
      <c r="AM764" s="2">
        <v>0</v>
      </c>
    </row>
    <row r="765" spans="1:39">
      <c r="A765" s="349">
        <v>98111</v>
      </c>
      <c r="B765" s="342" t="s">
        <v>1459</v>
      </c>
      <c r="C765" s="234" t="e">
        <f>VLOOKUP(A765,#REF!,10,FALSE)</f>
        <v>#REF!</v>
      </c>
      <c r="E765" s="2">
        <v>466102</v>
      </c>
      <c r="F765" s="2">
        <v>131077</v>
      </c>
      <c r="G765" s="2">
        <v>255000</v>
      </c>
      <c r="H765" s="2">
        <v>69309</v>
      </c>
      <c r="I765" s="2">
        <v>0</v>
      </c>
      <c r="J765" s="2"/>
      <c r="K765" s="2">
        <v>153283</v>
      </c>
      <c r="L765" s="2">
        <v>144189</v>
      </c>
      <c r="M765" s="2">
        <v>129235</v>
      </c>
      <c r="N765" s="2">
        <v>51744</v>
      </c>
      <c r="O765" s="2">
        <v>0</v>
      </c>
      <c r="P765" s="2"/>
      <c r="Q765" s="2">
        <v>162731</v>
      </c>
      <c r="R765" s="2">
        <v>-139979</v>
      </c>
      <c r="S765" s="2">
        <v>19728</v>
      </c>
      <c r="T765" s="2">
        <v>25676</v>
      </c>
      <c r="U765" s="2">
        <v>0</v>
      </c>
      <c r="V765" s="2"/>
      <c r="W765" s="2">
        <v>183319</v>
      </c>
      <c r="X765" s="2">
        <v>150181</v>
      </c>
      <c r="Y765" s="2">
        <v>121921</v>
      </c>
      <c r="Z765" s="2">
        <v>0</v>
      </c>
      <c r="AA765" s="2">
        <v>0</v>
      </c>
      <c r="AB765" s="2"/>
      <c r="AC765" s="2">
        <v>0</v>
      </c>
      <c r="AD765" s="2">
        <v>0</v>
      </c>
      <c r="AE765" s="2">
        <v>0</v>
      </c>
      <c r="AF765" s="2">
        <v>0</v>
      </c>
      <c r="AG765" s="2">
        <v>0</v>
      </c>
      <c r="AH765" s="2"/>
      <c r="AI765" s="2">
        <v>-33231</v>
      </c>
      <c r="AJ765" s="2">
        <v>-23314</v>
      </c>
      <c r="AK765" s="2">
        <v>-15884</v>
      </c>
      <c r="AL765" s="2">
        <v>-8111</v>
      </c>
      <c r="AM765" s="2">
        <v>-23314</v>
      </c>
    </row>
    <row r="766" spans="1:39">
      <c r="A766" s="349">
        <v>98113</v>
      </c>
      <c r="B766" s="342" t="s">
        <v>1460</v>
      </c>
      <c r="C766" s="234" t="e">
        <f>VLOOKUP(A766,#REF!,10,FALSE)</f>
        <v>#REF!</v>
      </c>
      <c r="E766" s="2">
        <v>19117</v>
      </c>
      <c r="F766" s="2">
        <v>7267</v>
      </c>
      <c r="G766" s="2">
        <v>9463</v>
      </c>
      <c r="H766" s="2">
        <v>3159</v>
      </c>
      <c r="I766" s="2">
        <v>0</v>
      </c>
      <c r="J766" s="2"/>
      <c r="K766" s="2">
        <v>5078</v>
      </c>
      <c r="L766" s="2">
        <v>4777</v>
      </c>
      <c r="M766" s="2">
        <v>4282</v>
      </c>
      <c r="N766" s="2">
        <v>1714</v>
      </c>
      <c r="O766" s="2">
        <v>0</v>
      </c>
      <c r="P766" s="2"/>
      <c r="Q766" s="2">
        <v>5391</v>
      </c>
      <c r="R766" s="2">
        <v>-4638</v>
      </c>
      <c r="S766" s="2">
        <v>654</v>
      </c>
      <c r="T766" s="2">
        <v>851</v>
      </c>
      <c r="U766" s="2">
        <v>0</v>
      </c>
      <c r="V766" s="2"/>
      <c r="W766" s="2">
        <v>6074</v>
      </c>
      <c r="X766" s="2">
        <v>4976</v>
      </c>
      <c r="Y766" s="2">
        <v>4039</v>
      </c>
      <c r="Z766" s="2">
        <v>0</v>
      </c>
      <c r="AA766" s="2">
        <v>0</v>
      </c>
      <c r="AB766" s="2"/>
      <c r="AC766" s="2">
        <v>2678</v>
      </c>
      <c r="AD766" s="2">
        <v>2256</v>
      </c>
      <c r="AE766" s="2">
        <v>592</v>
      </c>
      <c r="AF766" s="2">
        <v>594</v>
      </c>
      <c r="AG766" s="2">
        <v>0</v>
      </c>
      <c r="AH766" s="2"/>
      <c r="AI766" s="2">
        <v>-104</v>
      </c>
      <c r="AJ766" s="2">
        <v>-104</v>
      </c>
      <c r="AK766" s="2">
        <v>-104</v>
      </c>
      <c r="AL766" s="2">
        <v>0</v>
      </c>
      <c r="AM766" s="2">
        <v>-104</v>
      </c>
    </row>
    <row r="767" spans="1:39">
      <c r="A767" s="349">
        <v>98121</v>
      </c>
      <c r="B767" s="342" t="s">
        <v>1461</v>
      </c>
      <c r="C767" s="234" t="e">
        <f>VLOOKUP(A767,#REF!,10,FALSE)</f>
        <v>#REF!</v>
      </c>
      <c r="E767" s="2">
        <v>96531</v>
      </c>
      <c r="F767" s="2">
        <v>24704</v>
      </c>
      <c r="G767" s="2">
        <v>54198</v>
      </c>
      <c r="H767" s="2">
        <v>12696</v>
      </c>
      <c r="I767" s="2">
        <v>0</v>
      </c>
      <c r="J767" s="2"/>
      <c r="K767" s="2">
        <v>31849</v>
      </c>
      <c r="L767" s="2">
        <v>29960</v>
      </c>
      <c r="M767" s="2">
        <v>26852</v>
      </c>
      <c r="N767" s="2">
        <v>10751</v>
      </c>
      <c r="O767" s="2">
        <v>0</v>
      </c>
      <c r="P767" s="2"/>
      <c r="Q767" s="2">
        <v>33812</v>
      </c>
      <c r="R767" s="2">
        <v>-29085</v>
      </c>
      <c r="S767" s="2">
        <v>4099</v>
      </c>
      <c r="T767" s="2">
        <v>5335</v>
      </c>
      <c r="U767" s="2">
        <v>0</v>
      </c>
      <c r="V767" s="2"/>
      <c r="W767" s="2">
        <v>38090</v>
      </c>
      <c r="X767" s="2">
        <v>31205</v>
      </c>
      <c r="Y767" s="2">
        <v>25333</v>
      </c>
      <c r="Z767" s="2">
        <v>0</v>
      </c>
      <c r="AA767" s="2">
        <v>0</v>
      </c>
      <c r="AB767" s="2"/>
      <c r="AC767" s="2">
        <v>1461</v>
      </c>
      <c r="AD767" s="2">
        <v>1306</v>
      </c>
      <c r="AE767" s="2">
        <v>1304</v>
      </c>
      <c r="AF767" s="2">
        <v>0</v>
      </c>
      <c r="AG767" s="2">
        <v>0</v>
      </c>
      <c r="AH767" s="2"/>
      <c r="AI767" s="2">
        <v>-8681</v>
      </c>
      <c r="AJ767" s="2">
        <v>-8682</v>
      </c>
      <c r="AK767" s="2">
        <v>-3390</v>
      </c>
      <c r="AL767" s="2">
        <v>-3390</v>
      </c>
      <c r="AM767" s="2">
        <v>-8682</v>
      </c>
    </row>
    <row r="768" spans="1:39">
      <c r="A768" s="349">
        <v>98131</v>
      </c>
      <c r="B768" s="342" t="s">
        <v>1462</v>
      </c>
      <c r="C768" s="234" t="e">
        <f>VLOOKUP(A768,#REF!,10,FALSE)</f>
        <v>#REF!</v>
      </c>
      <c r="E768" s="2">
        <v>116718</v>
      </c>
      <c r="F768" s="2">
        <v>34747</v>
      </c>
      <c r="G768" s="2">
        <v>69925</v>
      </c>
      <c r="H768" s="2">
        <v>25005</v>
      </c>
      <c r="I768" s="2">
        <v>0</v>
      </c>
      <c r="J768" s="2"/>
      <c r="K768" s="2">
        <v>37736</v>
      </c>
      <c r="L768" s="2">
        <v>35498</v>
      </c>
      <c r="M768" s="2">
        <v>31816</v>
      </c>
      <c r="N768" s="2">
        <v>12739</v>
      </c>
      <c r="O768" s="2">
        <v>0</v>
      </c>
      <c r="P768" s="2"/>
      <c r="Q768" s="2">
        <v>40062</v>
      </c>
      <c r="R768" s="2">
        <v>-34461</v>
      </c>
      <c r="S768" s="2">
        <v>4857</v>
      </c>
      <c r="T768" s="2">
        <v>6321</v>
      </c>
      <c r="U768" s="2">
        <v>0</v>
      </c>
      <c r="V768" s="2"/>
      <c r="W768" s="2">
        <v>45131</v>
      </c>
      <c r="X768" s="2">
        <v>36973</v>
      </c>
      <c r="Y768" s="2">
        <v>30016</v>
      </c>
      <c r="Z768" s="2">
        <v>0</v>
      </c>
      <c r="AA768" s="2">
        <v>0</v>
      </c>
      <c r="AB768" s="2"/>
      <c r="AC768" s="2">
        <v>5943</v>
      </c>
      <c r="AD768" s="2">
        <v>5943</v>
      </c>
      <c r="AE768" s="2">
        <v>5943</v>
      </c>
      <c r="AF768" s="2">
        <v>5945</v>
      </c>
      <c r="AG768" s="2">
        <v>0</v>
      </c>
      <c r="AH768" s="2"/>
      <c r="AI768" s="2">
        <v>-12154</v>
      </c>
      <c r="AJ768" s="2">
        <v>-9206</v>
      </c>
      <c r="AK768" s="2">
        <v>-2707</v>
      </c>
      <c r="AL768" s="2">
        <v>0</v>
      </c>
      <c r="AM768" s="2">
        <v>-9206</v>
      </c>
    </row>
    <row r="769" spans="1:39">
      <c r="A769" s="349">
        <v>98141</v>
      </c>
      <c r="B769" s="342" t="s">
        <v>1463</v>
      </c>
      <c r="C769" s="234" t="e">
        <f>VLOOKUP(A769,#REF!,10,FALSE)</f>
        <v>#REF!</v>
      </c>
      <c r="E769" s="2">
        <v>130157</v>
      </c>
      <c r="F769" s="2">
        <v>37674</v>
      </c>
      <c r="G769" s="2">
        <v>69283</v>
      </c>
      <c r="H769" s="2">
        <v>17833</v>
      </c>
      <c r="I769" s="2">
        <v>0</v>
      </c>
      <c r="J769" s="2"/>
      <c r="K769" s="2">
        <v>42995</v>
      </c>
      <c r="L769" s="2">
        <v>40444</v>
      </c>
      <c r="M769" s="2">
        <v>36250</v>
      </c>
      <c r="N769" s="2">
        <v>14514</v>
      </c>
      <c r="O769" s="2">
        <v>0</v>
      </c>
      <c r="P769" s="2"/>
      <c r="Q769" s="2">
        <v>45645</v>
      </c>
      <c r="R769" s="2">
        <v>-39263</v>
      </c>
      <c r="S769" s="2">
        <v>5534</v>
      </c>
      <c r="T769" s="2">
        <v>7202</v>
      </c>
      <c r="U769" s="2">
        <v>0</v>
      </c>
      <c r="V769" s="2"/>
      <c r="W769" s="2">
        <v>51419</v>
      </c>
      <c r="X769" s="2">
        <v>42125</v>
      </c>
      <c r="Y769" s="2">
        <v>34198</v>
      </c>
      <c r="Z769" s="2">
        <v>0</v>
      </c>
      <c r="AA769" s="2">
        <v>0</v>
      </c>
      <c r="AB769" s="2"/>
      <c r="AC769" s="2">
        <v>1065</v>
      </c>
      <c r="AD769" s="2">
        <v>1067</v>
      </c>
      <c r="AE769" s="2">
        <v>0</v>
      </c>
      <c r="AF769" s="2">
        <v>0</v>
      </c>
      <c r="AG769" s="2">
        <v>0</v>
      </c>
      <c r="AH769" s="2"/>
      <c r="AI769" s="2">
        <v>-10967</v>
      </c>
      <c r="AJ769" s="2">
        <v>-6699</v>
      </c>
      <c r="AK769" s="2">
        <v>-6699</v>
      </c>
      <c r="AL769" s="2">
        <v>-3883</v>
      </c>
      <c r="AM769" s="2">
        <v>-6699</v>
      </c>
    </row>
    <row r="770" spans="1:39">
      <c r="A770" s="349">
        <v>98147</v>
      </c>
      <c r="B770" s="342" t="s">
        <v>1464</v>
      </c>
      <c r="C770" s="234" t="e">
        <f>VLOOKUP(A770,#REF!,10,FALSE)</f>
        <v>#REF!</v>
      </c>
      <c r="E770" s="2">
        <v>8636</v>
      </c>
      <c r="F770" s="2">
        <v>4092</v>
      </c>
      <c r="G770" s="2">
        <v>4512</v>
      </c>
      <c r="H770" s="2">
        <v>1729</v>
      </c>
      <c r="I770" s="2">
        <v>0</v>
      </c>
      <c r="J770" s="2"/>
      <c r="K770" s="2">
        <v>1603</v>
      </c>
      <c r="L770" s="2">
        <v>1508</v>
      </c>
      <c r="M770" s="2">
        <v>1351</v>
      </c>
      <c r="N770" s="2">
        <v>541</v>
      </c>
      <c r="O770" s="2">
        <v>0</v>
      </c>
      <c r="P770" s="2"/>
      <c r="Q770" s="2">
        <v>1702</v>
      </c>
      <c r="R770" s="2">
        <v>-1464</v>
      </c>
      <c r="S770" s="2">
        <v>206</v>
      </c>
      <c r="T770" s="2">
        <v>269</v>
      </c>
      <c r="U770" s="2">
        <v>0</v>
      </c>
      <c r="V770" s="2"/>
      <c r="W770" s="2">
        <v>1917</v>
      </c>
      <c r="X770" s="2">
        <v>1571</v>
      </c>
      <c r="Y770" s="2">
        <v>1275</v>
      </c>
      <c r="Z770" s="2">
        <v>0</v>
      </c>
      <c r="AA770" s="2">
        <v>0</v>
      </c>
      <c r="AB770" s="2"/>
      <c r="AC770" s="2">
        <v>3414</v>
      </c>
      <c r="AD770" s="2">
        <v>2477</v>
      </c>
      <c r="AE770" s="2">
        <v>1680</v>
      </c>
      <c r="AF770" s="2">
        <v>919</v>
      </c>
      <c r="AG770" s="2">
        <v>0</v>
      </c>
      <c r="AH770" s="2"/>
      <c r="AI770" s="2">
        <v>0</v>
      </c>
      <c r="AJ770" s="2">
        <v>0</v>
      </c>
      <c r="AK770" s="2">
        <v>0</v>
      </c>
      <c r="AL770" s="2">
        <v>0</v>
      </c>
      <c r="AM770" s="2">
        <v>0</v>
      </c>
    </row>
    <row r="771" spans="1:39">
      <c r="A771" s="349">
        <v>98161</v>
      </c>
      <c r="B771" s="342" t="s">
        <v>1465</v>
      </c>
      <c r="C771" s="234" t="e">
        <f>VLOOKUP(A771,#REF!,10,FALSE)</f>
        <v>#REF!</v>
      </c>
      <c r="E771" s="2">
        <v>4261</v>
      </c>
      <c r="F771" s="2">
        <v>1950</v>
      </c>
      <c r="G771" s="2">
        <v>2331</v>
      </c>
      <c r="H771" s="2">
        <v>850</v>
      </c>
      <c r="I771" s="2">
        <v>0</v>
      </c>
      <c r="J771" s="2"/>
      <c r="K771" s="2">
        <v>929</v>
      </c>
      <c r="L771" s="2">
        <v>874</v>
      </c>
      <c r="M771" s="2">
        <v>783</v>
      </c>
      <c r="N771" s="2">
        <v>314</v>
      </c>
      <c r="O771" s="2">
        <v>0</v>
      </c>
      <c r="P771" s="2"/>
      <c r="Q771" s="2">
        <v>986</v>
      </c>
      <c r="R771" s="2">
        <v>-848</v>
      </c>
      <c r="S771" s="2">
        <v>120</v>
      </c>
      <c r="T771" s="2">
        <v>156</v>
      </c>
      <c r="U771" s="2">
        <v>0</v>
      </c>
      <c r="V771" s="2"/>
      <c r="W771" s="2">
        <v>1111</v>
      </c>
      <c r="X771" s="2">
        <v>910</v>
      </c>
      <c r="Y771" s="2">
        <v>739</v>
      </c>
      <c r="Z771" s="2">
        <v>0</v>
      </c>
      <c r="AA771" s="2">
        <v>0</v>
      </c>
      <c r="AB771" s="2"/>
      <c r="AC771" s="2">
        <v>1235</v>
      </c>
      <c r="AD771" s="2">
        <v>1014</v>
      </c>
      <c r="AE771" s="2">
        <v>689</v>
      </c>
      <c r="AF771" s="2">
        <v>380</v>
      </c>
      <c r="AG771" s="2">
        <v>0</v>
      </c>
      <c r="AH771" s="2"/>
      <c r="AI771" s="2">
        <v>0</v>
      </c>
      <c r="AJ771" s="2">
        <v>0</v>
      </c>
      <c r="AK771" s="2">
        <v>0</v>
      </c>
      <c r="AL771" s="2">
        <v>0</v>
      </c>
      <c r="AM771" s="2">
        <v>0</v>
      </c>
    </row>
    <row r="772" spans="1:39">
      <c r="A772" s="349">
        <v>98201</v>
      </c>
      <c r="B772" s="342" t="s">
        <v>1466</v>
      </c>
      <c r="C772" s="234" t="e">
        <f>VLOOKUP(A772,#REF!,10,FALSE)</f>
        <v>#REF!</v>
      </c>
      <c r="E772" s="2">
        <v>1662461</v>
      </c>
      <c r="F772" s="2">
        <v>537669</v>
      </c>
      <c r="G772" s="2">
        <v>902985</v>
      </c>
      <c r="H772" s="2">
        <v>277906</v>
      </c>
      <c r="I772" s="2">
        <v>0</v>
      </c>
      <c r="J772" s="2"/>
      <c r="K772" s="2">
        <v>501599</v>
      </c>
      <c r="L772" s="2">
        <v>471842</v>
      </c>
      <c r="M772" s="2">
        <v>422907</v>
      </c>
      <c r="N772" s="2">
        <v>169327</v>
      </c>
      <c r="O772" s="2">
        <v>0</v>
      </c>
      <c r="P772" s="2"/>
      <c r="Q772" s="2">
        <v>532517</v>
      </c>
      <c r="R772" s="2">
        <v>-458064</v>
      </c>
      <c r="S772" s="2">
        <v>64559</v>
      </c>
      <c r="T772" s="2">
        <v>84022</v>
      </c>
      <c r="U772" s="2">
        <v>0</v>
      </c>
      <c r="V772" s="2"/>
      <c r="W772" s="2">
        <v>599888</v>
      </c>
      <c r="X772" s="2">
        <v>491450</v>
      </c>
      <c r="Y772" s="2">
        <v>398973</v>
      </c>
      <c r="Z772" s="2">
        <v>0</v>
      </c>
      <c r="AA772" s="2">
        <v>0</v>
      </c>
      <c r="AB772" s="2"/>
      <c r="AC772" s="2">
        <v>40456</v>
      </c>
      <c r="AD772" s="2">
        <v>40454</v>
      </c>
      <c r="AE772" s="2">
        <v>24557</v>
      </c>
      <c r="AF772" s="2">
        <v>24557</v>
      </c>
      <c r="AG772" s="2">
        <v>0</v>
      </c>
      <c r="AH772" s="2"/>
      <c r="AI772" s="2">
        <v>-11999</v>
      </c>
      <c r="AJ772" s="2">
        <v>-8013</v>
      </c>
      <c r="AK772" s="2">
        <v>-8011</v>
      </c>
      <c r="AL772" s="2">
        <v>0</v>
      </c>
      <c r="AM772" s="2">
        <v>-8013</v>
      </c>
    </row>
    <row r="773" spans="1:39">
      <c r="A773" s="349">
        <v>98205</v>
      </c>
      <c r="B773" s="342" t="s">
        <v>2802</v>
      </c>
      <c r="C773" s="234" t="e">
        <f>VLOOKUP(A773,#REF!,10,FALSE)</f>
        <v>#REF!</v>
      </c>
      <c r="E773" s="2">
        <v>19941</v>
      </c>
      <c r="F773" s="2">
        <v>5611</v>
      </c>
      <c r="G773" s="2">
        <v>10620</v>
      </c>
      <c r="H773" s="2">
        <v>4000</v>
      </c>
      <c r="I773" s="2">
        <v>0</v>
      </c>
      <c r="J773" s="2"/>
      <c r="K773" s="2">
        <v>6127</v>
      </c>
      <c r="L773" s="2">
        <v>5764</v>
      </c>
      <c r="M773" s="2">
        <v>5166</v>
      </c>
      <c r="N773" s="2">
        <v>2068</v>
      </c>
      <c r="O773" s="2">
        <v>0</v>
      </c>
      <c r="P773" s="2"/>
      <c r="Q773" s="2">
        <v>6505</v>
      </c>
      <c r="R773" s="2">
        <v>-5595</v>
      </c>
      <c r="S773" s="2">
        <v>789</v>
      </c>
      <c r="T773" s="2">
        <v>1026</v>
      </c>
      <c r="U773" s="2">
        <v>0</v>
      </c>
      <c r="V773" s="2"/>
      <c r="W773" s="2">
        <v>7328</v>
      </c>
      <c r="X773" s="2">
        <v>6003</v>
      </c>
      <c r="Y773" s="2">
        <v>4874</v>
      </c>
      <c r="Z773" s="2">
        <v>0</v>
      </c>
      <c r="AA773" s="2">
        <v>0</v>
      </c>
      <c r="AB773" s="2"/>
      <c r="AC773" s="2">
        <v>1446</v>
      </c>
      <c r="AD773" s="2">
        <v>905</v>
      </c>
      <c r="AE773" s="2">
        <v>905</v>
      </c>
      <c r="AF773" s="2">
        <v>906</v>
      </c>
      <c r="AG773" s="2">
        <v>0</v>
      </c>
      <c r="AH773" s="2"/>
      <c r="AI773" s="2">
        <v>-1465</v>
      </c>
      <c r="AJ773" s="2">
        <v>-1466</v>
      </c>
      <c r="AK773" s="2">
        <v>-1114</v>
      </c>
      <c r="AL773" s="2">
        <v>0</v>
      </c>
      <c r="AM773" s="2">
        <v>-1466</v>
      </c>
    </row>
    <row r="774" spans="1:39">
      <c r="A774" s="349">
        <v>98211</v>
      </c>
      <c r="B774" s="342" t="s">
        <v>1468</v>
      </c>
      <c r="C774" s="234" t="e">
        <f>VLOOKUP(A774,#REF!,10,FALSE)</f>
        <v>#REF!</v>
      </c>
      <c r="E774" s="2">
        <v>411808</v>
      </c>
      <c r="F774" s="2">
        <v>121517</v>
      </c>
      <c r="G774" s="2">
        <v>239239</v>
      </c>
      <c r="H774" s="2">
        <v>74706</v>
      </c>
      <c r="I774" s="2">
        <v>0</v>
      </c>
      <c r="J774" s="2"/>
      <c r="K774" s="2">
        <v>135426</v>
      </c>
      <c r="L774" s="2">
        <v>127392</v>
      </c>
      <c r="M774" s="2">
        <v>114180</v>
      </c>
      <c r="N774" s="2">
        <v>45716</v>
      </c>
      <c r="O774" s="2">
        <v>0</v>
      </c>
      <c r="P774" s="2"/>
      <c r="Q774" s="2">
        <v>143773</v>
      </c>
      <c r="R774" s="2">
        <v>-123672</v>
      </c>
      <c r="S774" s="2">
        <v>17430</v>
      </c>
      <c r="T774" s="2">
        <v>22685</v>
      </c>
      <c r="U774" s="2">
        <v>0</v>
      </c>
      <c r="V774" s="2"/>
      <c r="W774" s="2">
        <v>161962</v>
      </c>
      <c r="X774" s="2">
        <v>132686</v>
      </c>
      <c r="Y774" s="2">
        <v>107718</v>
      </c>
      <c r="Z774" s="2">
        <v>0</v>
      </c>
      <c r="AA774" s="2">
        <v>0</v>
      </c>
      <c r="AB774" s="2"/>
      <c r="AC774" s="2">
        <v>6305</v>
      </c>
      <c r="AD774" s="2">
        <v>6305</v>
      </c>
      <c r="AE774" s="2">
        <v>6305</v>
      </c>
      <c r="AF774" s="2">
        <v>6305</v>
      </c>
      <c r="AG774" s="2">
        <v>0</v>
      </c>
      <c r="AH774" s="2"/>
      <c r="AI774" s="2">
        <v>-35658</v>
      </c>
      <c r="AJ774" s="2">
        <v>-21194</v>
      </c>
      <c r="AK774" s="2">
        <v>-6394</v>
      </c>
      <c r="AL774" s="2">
        <v>0</v>
      </c>
      <c r="AM774" s="2">
        <v>-21194</v>
      </c>
    </row>
    <row r="775" spans="1:39">
      <c r="A775" s="349">
        <v>98218</v>
      </c>
      <c r="B775" s="342" t="s">
        <v>1469</v>
      </c>
      <c r="C775" s="234" t="e">
        <f>VLOOKUP(A775,#REF!,10,FALSE)</f>
        <v>#REF!</v>
      </c>
      <c r="E775" s="2">
        <v>10394</v>
      </c>
      <c r="F775" s="2">
        <v>4326</v>
      </c>
      <c r="G775" s="2">
        <v>5933</v>
      </c>
      <c r="H775" s="2">
        <v>1910</v>
      </c>
      <c r="I775" s="2">
        <v>0</v>
      </c>
      <c r="J775" s="2"/>
      <c r="K775" s="2">
        <v>2712</v>
      </c>
      <c r="L775" s="2">
        <v>2551</v>
      </c>
      <c r="M775" s="2">
        <v>2286</v>
      </c>
      <c r="N775" s="2">
        <v>915</v>
      </c>
      <c r="O775" s="2">
        <v>0</v>
      </c>
      <c r="P775" s="2"/>
      <c r="Q775" s="2">
        <v>2879</v>
      </c>
      <c r="R775" s="2">
        <v>-2476</v>
      </c>
      <c r="S775" s="2">
        <v>349</v>
      </c>
      <c r="T775" s="2">
        <v>454</v>
      </c>
      <c r="U775" s="2">
        <v>0</v>
      </c>
      <c r="V775" s="2"/>
      <c r="W775" s="2">
        <v>3243</v>
      </c>
      <c r="X775" s="2">
        <v>2657</v>
      </c>
      <c r="Y775" s="2">
        <v>2157</v>
      </c>
      <c r="Z775" s="2">
        <v>0</v>
      </c>
      <c r="AA775" s="2">
        <v>0</v>
      </c>
      <c r="AB775" s="2"/>
      <c r="AC775" s="2">
        <v>1596</v>
      </c>
      <c r="AD775" s="2">
        <v>1594</v>
      </c>
      <c r="AE775" s="2">
        <v>1141</v>
      </c>
      <c r="AF775" s="2">
        <v>541</v>
      </c>
      <c r="AG775" s="2">
        <v>0</v>
      </c>
      <c r="AH775" s="2"/>
      <c r="AI775" s="2">
        <v>-36</v>
      </c>
      <c r="AJ775" s="2">
        <v>0</v>
      </c>
      <c r="AK775" s="2">
        <v>0</v>
      </c>
      <c r="AL775" s="2">
        <v>0</v>
      </c>
      <c r="AM775" s="2">
        <v>0</v>
      </c>
    </row>
    <row r="776" spans="1:39">
      <c r="A776" s="349">
        <v>98221</v>
      </c>
      <c r="B776" s="342" t="s">
        <v>1470</v>
      </c>
      <c r="C776" s="234" t="e">
        <f>VLOOKUP(A776,#REF!,10,FALSE)</f>
        <v>#REF!</v>
      </c>
      <c r="E776" s="2">
        <v>16223</v>
      </c>
      <c r="F776" s="2">
        <v>6485</v>
      </c>
      <c r="G776" s="2">
        <v>9016</v>
      </c>
      <c r="H776" s="2">
        <v>3536</v>
      </c>
      <c r="I776" s="2">
        <v>0</v>
      </c>
      <c r="J776" s="2"/>
      <c r="K776" s="2">
        <v>4075</v>
      </c>
      <c r="L776" s="2">
        <v>3833</v>
      </c>
      <c r="M776" s="2">
        <v>3435</v>
      </c>
      <c r="N776" s="2">
        <v>1376</v>
      </c>
      <c r="O776" s="2">
        <v>0</v>
      </c>
      <c r="P776" s="2"/>
      <c r="Q776" s="2">
        <v>4326</v>
      </c>
      <c r="R776" s="2">
        <v>-3721</v>
      </c>
      <c r="S776" s="2">
        <v>524</v>
      </c>
      <c r="T776" s="2">
        <v>683</v>
      </c>
      <c r="U776" s="2">
        <v>0</v>
      </c>
      <c r="V776" s="2"/>
      <c r="W776" s="2">
        <v>4873</v>
      </c>
      <c r="X776" s="2">
        <v>3992</v>
      </c>
      <c r="Y776" s="2">
        <v>3241</v>
      </c>
      <c r="Z776" s="2">
        <v>0</v>
      </c>
      <c r="AA776" s="2">
        <v>0</v>
      </c>
      <c r="AB776" s="2"/>
      <c r="AC776" s="2">
        <v>2949</v>
      </c>
      <c r="AD776" s="2">
        <v>2381</v>
      </c>
      <c r="AE776" s="2">
        <v>1816</v>
      </c>
      <c r="AF776" s="2">
        <v>1477</v>
      </c>
      <c r="AG776" s="2">
        <v>0</v>
      </c>
      <c r="AH776" s="2"/>
      <c r="AI776" s="2">
        <v>0</v>
      </c>
      <c r="AJ776" s="2">
        <v>0</v>
      </c>
      <c r="AK776" s="2">
        <v>0</v>
      </c>
      <c r="AL776" s="2">
        <v>0</v>
      </c>
      <c r="AM776" s="2">
        <v>0</v>
      </c>
    </row>
    <row r="777" spans="1:39">
      <c r="A777" s="349">
        <v>98231</v>
      </c>
      <c r="B777" s="342" t="s">
        <v>1471</v>
      </c>
      <c r="C777" s="234" t="e">
        <f>VLOOKUP(A777,#REF!,10,FALSE)</f>
        <v>#REF!</v>
      </c>
      <c r="E777" s="2">
        <v>15569</v>
      </c>
      <c r="F777" s="2">
        <v>5398</v>
      </c>
      <c r="G777" s="2">
        <v>10345</v>
      </c>
      <c r="H777" s="2">
        <v>2605</v>
      </c>
      <c r="I777" s="2">
        <v>0</v>
      </c>
      <c r="J777" s="2"/>
      <c r="K777" s="2">
        <v>4749</v>
      </c>
      <c r="L777" s="2">
        <v>4467</v>
      </c>
      <c r="M777" s="2">
        <v>4004</v>
      </c>
      <c r="N777" s="2">
        <v>1603</v>
      </c>
      <c r="O777" s="2">
        <v>0</v>
      </c>
      <c r="P777" s="2"/>
      <c r="Q777" s="2">
        <v>5042</v>
      </c>
      <c r="R777" s="2">
        <v>-4337</v>
      </c>
      <c r="S777" s="2">
        <v>611</v>
      </c>
      <c r="T777" s="2">
        <v>795</v>
      </c>
      <c r="U777" s="2">
        <v>0</v>
      </c>
      <c r="V777" s="2"/>
      <c r="W777" s="2">
        <v>5679</v>
      </c>
      <c r="X777" s="2">
        <v>4653</v>
      </c>
      <c r="Y777" s="2">
        <v>3777</v>
      </c>
      <c r="Z777" s="2">
        <v>0</v>
      </c>
      <c r="AA777" s="2">
        <v>0</v>
      </c>
      <c r="AB777" s="2"/>
      <c r="AC777" s="2">
        <v>1953</v>
      </c>
      <c r="AD777" s="2">
        <v>1953</v>
      </c>
      <c r="AE777" s="2">
        <v>1953</v>
      </c>
      <c r="AF777" s="2">
        <v>207</v>
      </c>
      <c r="AG777" s="2">
        <v>0</v>
      </c>
      <c r="AH777" s="2"/>
      <c r="AI777" s="2">
        <v>-1854</v>
      </c>
      <c r="AJ777" s="2">
        <v>-1338</v>
      </c>
      <c r="AK777" s="2">
        <v>0</v>
      </c>
      <c r="AL777" s="2">
        <v>0</v>
      </c>
      <c r="AM777" s="2">
        <v>-1338</v>
      </c>
    </row>
    <row r="778" spans="1:39">
      <c r="A778" s="349">
        <v>98237</v>
      </c>
      <c r="B778" s="342" t="s">
        <v>1472</v>
      </c>
      <c r="C778" s="234" t="e">
        <f>VLOOKUP(A778,#REF!,10,FALSE)</f>
        <v>#REF!</v>
      </c>
      <c r="E778" s="2">
        <v>4877</v>
      </c>
      <c r="F778" s="2">
        <v>2346</v>
      </c>
      <c r="G778" s="2">
        <v>2239</v>
      </c>
      <c r="H778" s="2">
        <v>811</v>
      </c>
      <c r="I778" s="2">
        <v>0</v>
      </c>
      <c r="J778" s="2"/>
      <c r="K778" s="2">
        <v>1004</v>
      </c>
      <c r="L778" s="2">
        <v>944</v>
      </c>
      <c r="M778" s="2">
        <v>846</v>
      </c>
      <c r="N778" s="2">
        <v>339</v>
      </c>
      <c r="O778" s="2">
        <v>0</v>
      </c>
      <c r="P778" s="2"/>
      <c r="Q778" s="2">
        <v>1066</v>
      </c>
      <c r="R778" s="2">
        <v>-917</v>
      </c>
      <c r="S778" s="2">
        <v>129</v>
      </c>
      <c r="T778" s="2">
        <v>168</v>
      </c>
      <c r="U778" s="2">
        <v>0</v>
      </c>
      <c r="V778" s="2"/>
      <c r="W778" s="2">
        <v>1200</v>
      </c>
      <c r="X778" s="2">
        <v>983</v>
      </c>
      <c r="Y778" s="2">
        <v>798</v>
      </c>
      <c r="Z778" s="2">
        <v>0</v>
      </c>
      <c r="AA778" s="2">
        <v>0</v>
      </c>
      <c r="AB778" s="2"/>
      <c r="AC778" s="2">
        <v>1607</v>
      </c>
      <c r="AD778" s="2">
        <v>1336</v>
      </c>
      <c r="AE778" s="2">
        <v>466</v>
      </c>
      <c r="AF778" s="2">
        <v>304</v>
      </c>
      <c r="AG778" s="2">
        <v>0</v>
      </c>
      <c r="AH778" s="2"/>
      <c r="AI778" s="2">
        <v>0</v>
      </c>
      <c r="AJ778" s="2">
        <v>0</v>
      </c>
      <c r="AK778" s="2">
        <v>0</v>
      </c>
      <c r="AL778" s="2">
        <v>0</v>
      </c>
      <c r="AM778" s="2">
        <v>0</v>
      </c>
    </row>
    <row r="779" spans="1:39">
      <c r="A779" s="349">
        <v>98241</v>
      </c>
      <c r="B779" s="342" t="s">
        <v>1473</v>
      </c>
      <c r="C779" s="234" t="e">
        <f>VLOOKUP(A779,#REF!,10,FALSE)</f>
        <v>#REF!</v>
      </c>
      <c r="E779" s="2">
        <v>10634</v>
      </c>
      <c r="F779" s="2">
        <v>3548</v>
      </c>
      <c r="G779" s="2">
        <v>6070</v>
      </c>
      <c r="H779" s="2">
        <v>2922</v>
      </c>
      <c r="I779" s="2">
        <v>0</v>
      </c>
      <c r="J779" s="2"/>
      <c r="K779" s="2">
        <v>2667</v>
      </c>
      <c r="L779" s="2">
        <v>2508</v>
      </c>
      <c r="M779" s="2">
        <v>2248</v>
      </c>
      <c r="N779" s="2">
        <v>900</v>
      </c>
      <c r="O779" s="2">
        <v>0</v>
      </c>
      <c r="P779" s="2"/>
      <c r="Q779" s="2">
        <v>2831</v>
      </c>
      <c r="R779" s="2">
        <v>-2435</v>
      </c>
      <c r="S779" s="2">
        <v>343</v>
      </c>
      <c r="T779" s="2">
        <v>447</v>
      </c>
      <c r="U779" s="2">
        <v>0</v>
      </c>
      <c r="V779" s="2"/>
      <c r="W779" s="2">
        <v>3189</v>
      </c>
      <c r="X779" s="2">
        <v>2613</v>
      </c>
      <c r="Y779" s="2">
        <v>2121</v>
      </c>
      <c r="Z779" s="2">
        <v>0</v>
      </c>
      <c r="AA779" s="2">
        <v>0</v>
      </c>
      <c r="AB779" s="2"/>
      <c r="AC779" s="2">
        <v>2663</v>
      </c>
      <c r="AD779" s="2">
        <v>1576</v>
      </c>
      <c r="AE779" s="2">
        <v>1576</v>
      </c>
      <c r="AF779" s="2">
        <v>1575</v>
      </c>
      <c r="AG779" s="2">
        <v>0</v>
      </c>
      <c r="AH779" s="2"/>
      <c r="AI779" s="2">
        <v>-716</v>
      </c>
      <c r="AJ779" s="2">
        <v>-714</v>
      </c>
      <c r="AK779" s="2">
        <v>-218</v>
      </c>
      <c r="AL779" s="2">
        <v>0</v>
      </c>
      <c r="AM779" s="2">
        <v>-714</v>
      </c>
    </row>
    <row r="780" spans="1:39">
      <c r="A780" s="349">
        <v>98251</v>
      </c>
      <c r="B780" s="342" t="s">
        <v>1474</v>
      </c>
      <c r="C780" s="234" t="e">
        <f>VLOOKUP(A780,#REF!,10,FALSE)</f>
        <v>#REF!</v>
      </c>
      <c r="E780" s="2">
        <v>1859</v>
      </c>
      <c r="F780" s="2">
        <v>911</v>
      </c>
      <c r="G780" s="2">
        <v>1048</v>
      </c>
      <c r="H780" s="2">
        <v>415</v>
      </c>
      <c r="I780" s="2">
        <v>0</v>
      </c>
      <c r="J780" s="2"/>
      <c r="K780" s="2">
        <v>375</v>
      </c>
      <c r="L780" s="2">
        <v>352</v>
      </c>
      <c r="M780" s="2">
        <v>316</v>
      </c>
      <c r="N780" s="2">
        <v>126</v>
      </c>
      <c r="O780" s="2">
        <v>0</v>
      </c>
      <c r="P780" s="2"/>
      <c r="Q780" s="2">
        <v>398</v>
      </c>
      <c r="R780" s="2">
        <v>-342</v>
      </c>
      <c r="S780" s="2">
        <v>48</v>
      </c>
      <c r="T780" s="2">
        <v>63</v>
      </c>
      <c r="U780" s="2">
        <v>0</v>
      </c>
      <c r="V780" s="2"/>
      <c r="W780" s="2">
        <v>448</v>
      </c>
      <c r="X780" s="2">
        <v>367</v>
      </c>
      <c r="Y780" s="2">
        <v>298</v>
      </c>
      <c r="Z780" s="2">
        <v>0</v>
      </c>
      <c r="AA780" s="2">
        <v>0</v>
      </c>
      <c r="AB780" s="2"/>
      <c r="AC780" s="2">
        <v>638</v>
      </c>
      <c r="AD780" s="2">
        <v>534</v>
      </c>
      <c r="AE780" s="2">
        <v>386</v>
      </c>
      <c r="AF780" s="2">
        <v>226</v>
      </c>
      <c r="AG780" s="2">
        <v>0</v>
      </c>
      <c r="AH780" s="2"/>
      <c r="AI780" s="2">
        <v>0</v>
      </c>
      <c r="AJ780" s="2">
        <v>0</v>
      </c>
      <c r="AK780" s="2">
        <v>0</v>
      </c>
      <c r="AL780" s="2">
        <v>0</v>
      </c>
      <c r="AM780" s="2">
        <v>0</v>
      </c>
    </row>
    <row r="781" spans="1:39">
      <c r="A781" s="349">
        <v>98261</v>
      </c>
      <c r="B781" s="342" t="s">
        <v>1475</v>
      </c>
      <c r="C781" s="234" t="e">
        <f>VLOOKUP(A781,#REF!,10,FALSE)</f>
        <v>#REF!</v>
      </c>
      <c r="E781" s="2">
        <v>16980</v>
      </c>
      <c r="F781" s="2">
        <v>7100</v>
      </c>
      <c r="G781" s="2">
        <v>10026</v>
      </c>
      <c r="H781" s="2">
        <v>3030</v>
      </c>
      <c r="I781" s="2">
        <v>0</v>
      </c>
      <c r="J781" s="2"/>
      <c r="K781" s="2">
        <v>5048</v>
      </c>
      <c r="L781" s="2">
        <v>4749</v>
      </c>
      <c r="M781" s="2">
        <v>4256</v>
      </c>
      <c r="N781" s="2">
        <v>1704</v>
      </c>
      <c r="O781" s="2">
        <v>0</v>
      </c>
      <c r="P781" s="2"/>
      <c r="Q781" s="2">
        <v>5360</v>
      </c>
      <c r="R781" s="2">
        <v>-4610</v>
      </c>
      <c r="S781" s="2">
        <v>650</v>
      </c>
      <c r="T781" s="2">
        <v>846</v>
      </c>
      <c r="U781" s="2">
        <v>0</v>
      </c>
      <c r="V781" s="2"/>
      <c r="W781" s="2">
        <v>6038</v>
      </c>
      <c r="X781" s="2">
        <v>4946</v>
      </c>
      <c r="Y781" s="2">
        <v>4016</v>
      </c>
      <c r="Z781" s="2">
        <v>0</v>
      </c>
      <c r="AA781" s="2">
        <v>0</v>
      </c>
      <c r="AB781" s="2"/>
      <c r="AC781" s="2">
        <v>2014</v>
      </c>
      <c r="AD781" s="2">
        <v>2015</v>
      </c>
      <c r="AE781" s="2">
        <v>1104</v>
      </c>
      <c r="AF781" s="2">
        <v>480</v>
      </c>
      <c r="AG781" s="2">
        <v>0</v>
      </c>
      <c r="AH781" s="2"/>
      <c r="AI781" s="2">
        <v>-1480</v>
      </c>
      <c r="AJ781" s="2">
        <v>0</v>
      </c>
      <c r="AK781" s="2">
        <v>0</v>
      </c>
      <c r="AL781" s="2">
        <v>0</v>
      </c>
      <c r="AM781" s="2">
        <v>0</v>
      </c>
    </row>
    <row r="782" spans="1:39">
      <c r="A782" s="349">
        <v>98271</v>
      </c>
      <c r="B782" s="342" t="s">
        <v>1476</v>
      </c>
      <c r="C782" s="234" t="e">
        <f>VLOOKUP(A782,#REF!,10,FALSE)</f>
        <v>#REF!</v>
      </c>
      <c r="E782" s="2">
        <v>3682</v>
      </c>
      <c r="F782" s="2">
        <v>1581</v>
      </c>
      <c r="G782" s="2">
        <v>2005</v>
      </c>
      <c r="H782" s="2">
        <v>719</v>
      </c>
      <c r="I782" s="2">
        <v>0</v>
      </c>
      <c r="J782" s="2"/>
      <c r="K782" s="2">
        <v>779</v>
      </c>
      <c r="L782" s="2">
        <v>733</v>
      </c>
      <c r="M782" s="2">
        <v>657</v>
      </c>
      <c r="N782" s="2">
        <v>263</v>
      </c>
      <c r="O782" s="2">
        <v>0</v>
      </c>
      <c r="P782" s="2"/>
      <c r="Q782" s="2">
        <v>827</v>
      </c>
      <c r="R782" s="2">
        <v>-711</v>
      </c>
      <c r="S782" s="2">
        <v>100</v>
      </c>
      <c r="T782" s="2">
        <v>130</v>
      </c>
      <c r="U782" s="2">
        <v>0</v>
      </c>
      <c r="V782" s="2"/>
      <c r="W782" s="2">
        <v>932</v>
      </c>
      <c r="X782" s="2">
        <v>763</v>
      </c>
      <c r="Y782" s="2">
        <v>620</v>
      </c>
      <c r="Z782" s="2">
        <v>0</v>
      </c>
      <c r="AA782" s="2">
        <v>0</v>
      </c>
      <c r="AB782" s="2"/>
      <c r="AC782" s="2">
        <v>1144</v>
      </c>
      <c r="AD782" s="2">
        <v>796</v>
      </c>
      <c r="AE782" s="2">
        <v>628</v>
      </c>
      <c r="AF782" s="2">
        <v>326</v>
      </c>
      <c r="AG782" s="2">
        <v>0</v>
      </c>
      <c r="AH782" s="2"/>
      <c r="AI782" s="2">
        <v>0</v>
      </c>
      <c r="AJ782" s="2">
        <v>0</v>
      </c>
      <c r="AK782" s="2">
        <v>0</v>
      </c>
      <c r="AL782" s="2">
        <v>0</v>
      </c>
      <c r="AM782" s="2">
        <v>0</v>
      </c>
    </row>
    <row r="783" spans="1:39">
      <c r="A783" s="349">
        <v>98301</v>
      </c>
      <c r="B783" s="342" t="s">
        <v>1477</v>
      </c>
      <c r="C783" s="234" t="e">
        <f>VLOOKUP(A783,#REF!,10,FALSE)</f>
        <v>#REF!</v>
      </c>
      <c r="E783" s="2">
        <v>891955</v>
      </c>
      <c r="F783" s="2">
        <v>289376</v>
      </c>
      <c r="G783" s="2">
        <v>491201</v>
      </c>
      <c r="H783" s="2">
        <v>148132</v>
      </c>
      <c r="I783" s="2">
        <v>0</v>
      </c>
      <c r="J783" s="2"/>
      <c r="K783" s="2">
        <v>265788</v>
      </c>
      <c r="L783" s="2">
        <v>250020</v>
      </c>
      <c r="M783" s="2">
        <v>224090</v>
      </c>
      <c r="N783" s="2">
        <v>89723</v>
      </c>
      <c r="O783" s="2">
        <v>0</v>
      </c>
      <c r="P783" s="2"/>
      <c r="Q783" s="2">
        <v>282171</v>
      </c>
      <c r="R783" s="2">
        <v>-242719</v>
      </c>
      <c r="S783" s="2">
        <v>34208</v>
      </c>
      <c r="T783" s="2">
        <v>44522</v>
      </c>
      <c r="U783" s="2">
        <v>0</v>
      </c>
      <c r="V783" s="2"/>
      <c r="W783" s="2">
        <v>317869</v>
      </c>
      <c r="X783" s="2">
        <v>260410</v>
      </c>
      <c r="Y783" s="2">
        <v>211408</v>
      </c>
      <c r="Z783" s="2">
        <v>0</v>
      </c>
      <c r="AA783" s="2">
        <v>0</v>
      </c>
      <c r="AB783" s="2"/>
      <c r="AC783" s="2">
        <v>26127</v>
      </c>
      <c r="AD783" s="2">
        <v>21665</v>
      </c>
      <c r="AE783" s="2">
        <v>21495</v>
      </c>
      <c r="AF783" s="2">
        <v>13887</v>
      </c>
      <c r="AG783" s="2">
        <v>0</v>
      </c>
      <c r="AH783" s="2"/>
      <c r="AI783" s="2">
        <v>0</v>
      </c>
      <c r="AJ783" s="2">
        <v>0</v>
      </c>
      <c r="AK783" s="2">
        <v>0</v>
      </c>
      <c r="AL783" s="2">
        <v>0</v>
      </c>
      <c r="AM783" s="2">
        <v>0</v>
      </c>
    </row>
    <row r="784" spans="1:39">
      <c r="A784" s="349">
        <v>98304</v>
      </c>
      <c r="B784" s="342" t="s">
        <v>1478</v>
      </c>
      <c r="C784" s="234" t="e">
        <f>VLOOKUP(A784,#REF!,10,FALSE)</f>
        <v>#REF!</v>
      </c>
      <c r="E784" s="2">
        <v>12438</v>
      </c>
      <c r="F784" s="2">
        <v>5303</v>
      </c>
      <c r="G784" s="2">
        <v>7357</v>
      </c>
      <c r="H784" s="2">
        <v>2845</v>
      </c>
      <c r="I784" s="2">
        <v>0</v>
      </c>
      <c r="J784" s="2"/>
      <c r="K784" s="2">
        <v>3101</v>
      </c>
      <c r="L784" s="2">
        <v>2917</v>
      </c>
      <c r="M784" s="2">
        <v>2615</v>
      </c>
      <c r="N784" s="2">
        <v>1047</v>
      </c>
      <c r="O784" s="2">
        <v>0</v>
      </c>
      <c r="P784" s="2"/>
      <c r="Q784" s="2">
        <v>3292</v>
      </c>
      <c r="R784" s="2">
        <v>-2832</v>
      </c>
      <c r="S784" s="2">
        <v>399</v>
      </c>
      <c r="T784" s="2">
        <v>519</v>
      </c>
      <c r="U784" s="2">
        <v>0</v>
      </c>
      <c r="V784" s="2"/>
      <c r="W784" s="2">
        <v>3709</v>
      </c>
      <c r="X784" s="2">
        <v>3038</v>
      </c>
      <c r="Y784" s="2">
        <v>2467</v>
      </c>
      <c r="Z784" s="2">
        <v>0</v>
      </c>
      <c r="AA784" s="2">
        <v>0</v>
      </c>
      <c r="AB784" s="2"/>
      <c r="AC784" s="2">
        <v>2336</v>
      </c>
      <c r="AD784" s="2">
        <v>2180</v>
      </c>
      <c r="AE784" s="2">
        <v>1876</v>
      </c>
      <c r="AF784" s="2">
        <v>1279</v>
      </c>
      <c r="AG784" s="2">
        <v>0</v>
      </c>
      <c r="AH784" s="2"/>
      <c r="AI784" s="2">
        <v>0</v>
      </c>
      <c r="AJ784" s="2">
        <v>0</v>
      </c>
      <c r="AK784" s="2">
        <v>0</v>
      </c>
      <c r="AL784" s="2">
        <v>0</v>
      </c>
      <c r="AM784" s="2">
        <v>0</v>
      </c>
    </row>
    <row r="785" spans="1:39">
      <c r="A785" s="349">
        <v>98308</v>
      </c>
      <c r="B785" s="342" t="s">
        <v>1479</v>
      </c>
      <c r="C785" s="234" t="e">
        <f>VLOOKUP(A785,#REF!,10,FALSE)</f>
        <v>#REF!</v>
      </c>
      <c r="E785" s="2">
        <v>10177</v>
      </c>
      <c r="F785" s="2">
        <v>4090</v>
      </c>
      <c r="G785" s="2">
        <v>5331</v>
      </c>
      <c r="H785" s="2">
        <v>1404</v>
      </c>
      <c r="I785" s="2">
        <v>0</v>
      </c>
      <c r="J785" s="2"/>
      <c r="K785" s="2">
        <v>2412</v>
      </c>
      <c r="L785" s="2">
        <v>2269</v>
      </c>
      <c r="M785" s="2">
        <v>2034</v>
      </c>
      <c r="N785" s="2">
        <v>814</v>
      </c>
      <c r="O785" s="2">
        <v>0</v>
      </c>
      <c r="P785" s="2"/>
      <c r="Q785" s="2">
        <v>2561</v>
      </c>
      <c r="R785" s="2">
        <v>-2203</v>
      </c>
      <c r="S785" s="2">
        <v>310</v>
      </c>
      <c r="T785" s="2">
        <v>404</v>
      </c>
      <c r="U785" s="2">
        <v>0</v>
      </c>
      <c r="V785" s="2"/>
      <c r="W785" s="2">
        <v>2885</v>
      </c>
      <c r="X785" s="2">
        <v>2363</v>
      </c>
      <c r="Y785" s="2">
        <v>1918</v>
      </c>
      <c r="Z785" s="2">
        <v>0</v>
      </c>
      <c r="AA785" s="2">
        <v>0</v>
      </c>
      <c r="AB785" s="2"/>
      <c r="AC785" s="2">
        <v>2319</v>
      </c>
      <c r="AD785" s="2">
        <v>1661</v>
      </c>
      <c r="AE785" s="2">
        <v>1069</v>
      </c>
      <c r="AF785" s="2">
        <v>186</v>
      </c>
      <c r="AG785" s="2">
        <v>0</v>
      </c>
      <c r="AH785" s="2"/>
      <c r="AI785" s="2">
        <v>0</v>
      </c>
      <c r="AJ785" s="2">
        <v>0</v>
      </c>
      <c r="AK785" s="2">
        <v>0</v>
      </c>
      <c r="AL785" s="2">
        <v>0</v>
      </c>
      <c r="AM785" s="2">
        <v>0</v>
      </c>
    </row>
    <row r="786" spans="1:39">
      <c r="A786" s="349">
        <v>98311</v>
      </c>
      <c r="B786" s="342" t="s">
        <v>1480</v>
      </c>
      <c r="C786" s="234" t="e">
        <f>VLOOKUP(A786,#REF!,10,FALSE)</f>
        <v>#REF!</v>
      </c>
      <c r="E786" s="2">
        <v>492808</v>
      </c>
      <c r="F786" s="2">
        <v>132653</v>
      </c>
      <c r="G786" s="2">
        <v>270631</v>
      </c>
      <c r="H786" s="2">
        <v>82601</v>
      </c>
      <c r="I786" s="2">
        <v>0</v>
      </c>
      <c r="J786" s="2"/>
      <c r="K786" s="2">
        <v>165896</v>
      </c>
      <c r="L786" s="2">
        <v>156055</v>
      </c>
      <c r="M786" s="2">
        <v>139870</v>
      </c>
      <c r="N786" s="2">
        <v>56002</v>
      </c>
      <c r="O786" s="2">
        <v>0</v>
      </c>
      <c r="P786" s="2"/>
      <c r="Q786" s="2">
        <v>176122</v>
      </c>
      <c r="R786" s="2">
        <v>-151498</v>
      </c>
      <c r="S786" s="2">
        <v>21352</v>
      </c>
      <c r="T786" s="2">
        <v>27789</v>
      </c>
      <c r="U786" s="2">
        <v>0</v>
      </c>
      <c r="V786" s="2"/>
      <c r="W786" s="2">
        <v>198404</v>
      </c>
      <c r="X786" s="2">
        <v>162540</v>
      </c>
      <c r="Y786" s="2">
        <v>131954</v>
      </c>
      <c r="Z786" s="2">
        <v>0</v>
      </c>
      <c r="AA786" s="2">
        <v>0</v>
      </c>
      <c r="AB786" s="2"/>
      <c r="AC786" s="2">
        <v>0</v>
      </c>
      <c r="AD786" s="2">
        <v>0</v>
      </c>
      <c r="AE786" s="2">
        <v>0</v>
      </c>
      <c r="AF786" s="2">
        <v>0</v>
      </c>
      <c r="AG786" s="2">
        <v>0</v>
      </c>
      <c r="AH786" s="2"/>
      <c r="AI786" s="2">
        <v>-47614</v>
      </c>
      <c r="AJ786" s="2">
        <v>-34444</v>
      </c>
      <c r="AK786" s="2">
        <v>-22545</v>
      </c>
      <c r="AL786" s="2">
        <v>-1190</v>
      </c>
      <c r="AM786" s="2">
        <v>-34444</v>
      </c>
    </row>
    <row r="787" spans="1:39">
      <c r="A787" s="349">
        <v>98313</v>
      </c>
      <c r="B787" s="342" t="s">
        <v>1481</v>
      </c>
      <c r="C787" s="234" t="e">
        <f>VLOOKUP(A787,#REF!,10,FALSE)</f>
        <v>#REF!</v>
      </c>
      <c r="E787" s="2">
        <v>210568</v>
      </c>
      <c r="F787" s="2">
        <v>116440</v>
      </c>
      <c r="G787" s="2">
        <v>111291</v>
      </c>
      <c r="H787" s="2">
        <v>39564</v>
      </c>
      <c r="I787" s="2">
        <v>0</v>
      </c>
      <c r="J787" s="2"/>
      <c r="K787" s="2">
        <v>31459</v>
      </c>
      <c r="L787" s="2">
        <v>29593</v>
      </c>
      <c r="M787" s="2">
        <v>26524</v>
      </c>
      <c r="N787" s="2">
        <v>10620</v>
      </c>
      <c r="O787" s="2">
        <v>0</v>
      </c>
      <c r="P787" s="2"/>
      <c r="Q787" s="2">
        <v>33399</v>
      </c>
      <c r="R787" s="2">
        <v>-28729</v>
      </c>
      <c r="S787" s="2">
        <v>4049</v>
      </c>
      <c r="T787" s="2">
        <v>5270</v>
      </c>
      <c r="U787" s="2">
        <v>0</v>
      </c>
      <c r="V787" s="2"/>
      <c r="W787" s="2">
        <v>37624</v>
      </c>
      <c r="X787" s="2">
        <v>30823</v>
      </c>
      <c r="Y787" s="2">
        <v>25023</v>
      </c>
      <c r="Z787" s="2">
        <v>0</v>
      </c>
      <c r="AA787" s="2">
        <v>0</v>
      </c>
      <c r="AB787" s="2"/>
      <c r="AC787" s="2">
        <v>108086</v>
      </c>
      <c r="AD787" s="2">
        <v>84753</v>
      </c>
      <c r="AE787" s="2">
        <v>55695</v>
      </c>
      <c r="AF787" s="2">
        <v>23674</v>
      </c>
      <c r="AG787" s="2">
        <v>0</v>
      </c>
      <c r="AH787" s="2"/>
      <c r="AI787" s="2">
        <v>0</v>
      </c>
      <c r="AJ787" s="2">
        <v>0</v>
      </c>
      <c r="AK787" s="2">
        <v>0</v>
      </c>
      <c r="AL787" s="2">
        <v>0</v>
      </c>
      <c r="AM787" s="2">
        <v>0</v>
      </c>
    </row>
    <row r="788" spans="1:39">
      <c r="A788" s="349">
        <v>98321</v>
      </c>
      <c r="B788" s="342" t="s">
        <v>1482</v>
      </c>
      <c r="C788" s="234" t="e">
        <f>VLOOKUP(A788,#REF!,10,FALSE)</f>
        <v>#REF!</v>
      </c>
      <c r="E788" s="2">
        <v>7236</v>
      </c>
      <c r="F788" s="2">
        <v>2388</v>
      </c>
      <c r="G788" s="2">
        <v>4292</v>
      </c>
      <c r="H788" s="2">
        <v>1096</v>
      </c>
      <c r="I788" s="2">
        <v>0</v>
      </c>
      <c r="J788" s="2"/>
      <c r="K788" s="2">
        <v>2532</v>
      </c>
      <c r="L788" s="2">
        <v>2382</v>
      </c>
      <c r="M788" s="2">
        <v>2135</v>
      </c>
      <c r="N788" s="2">
        <v>855</v>
      </c>
      <c r="O788" s="2">
        <v>0</v>
      </c>
      <c r="P788" s="2"/>
      <c r="Q788" s="2">
        <v>2688</v>
      </c>
      <c r="R788" s="2">
        <v>-2312</v>
      </c>
      <c r="S788" s="2">
        <v>326</v>
      </c>
      <c r="T788" s="2">
        <v>424</v>
      </c>
      <c r="U788" s="2">
        <v>0</v>
      </c>
      <c r="V788" s="2"/>
      <c r="W788" s="2">
        <v>3028</v>
      </c>
      <c r="X788" s="2">
        <v>2481</v>
      </c>
      <c r="Y788" s="2">
        <v>2014</v>
      </c>
      <c r="Z788" s="2">
        <v>0</v>
      </c>
      <c r="AA788" s="2">
        <v>0</v>
      </c>
      <c r="AB788" s="2"/>
      <c r="AC788" s="2">
        <v>21</v>
      </c>
      <c r="AD788" s="2">
        <v>21</v>
      </c>
      <c r="AE788" s="2">
        <v>0</v>
      </c>
      <c r="AF788" s="2">
        <v>0</v>
      </c>
      <c r="AG788" s="2">
        <v>0</v>
      </c>
      <c r="AH788" s="2"/>
      <c r="AI788" s="2">
        <v>-1033</v>
      </c>
      <c r="AJ788" s="2">
        <v>-184</v>
      </c>
      <c r="AK788" s="2">
        <v>-183</v>
      </c>
      <c r="AL788" s="2">
        <v>-183</v>
      </c>
      <c r="AM788" s="2">
        <v>-184</v>
      </c>
    </row>
    <row r="789" spans="1:39">
      <c r="A789" s="349">
        <v>98331</v>
      </c>
      <c r="B789" s="342" t="s">
        <v>1483</v>
      </c>
      <c r="C789" s="234" t="e">
        <f>VLOOKUP(A789,#REF!,10,FALSE)</f>
        <v>#REF!</v>
      </c>
      <c r="E789" s="2">
        <v>5366</v>
      </c>
      <c r="F789" s="2">
        <v>2177</v>
      </c>
      <c r="G789" s="2">
        <v>2862</v>
      </c>
      <c r="H789" s="2">
        <v>938</v>
      </c>
      <c r="I789" s="2">
        <v>0</v>
      </c>
      <c r="J789" s="2"/>
      <c r="K789" s="2">
        <v>1258</v>
      </c>
      <c r="L789" s="2">
        <v>1184</v>
      </c>
      <c r="M789" s="2">
        <v>1061</v>
      </c>
      <c r="N789" s="2">
        <v>425</v>
      </c>
      <c r="O789" s="2">
        <v>0</v>
      </c>
      <c r="P789" s="2"/>
      <c r="Q789" s="2">
        <v>1336</v>
      </c>
      <c r="R789" s="2">
        <v>-1149</v>
      </c>
      <c r="S789" s="2">
        <v>162</v>
      </c>
      <c r="T789" s="2">
        <v>211</v>
      </c>
      <c r="U789" s="2">
        <v>0</v>
      </c>
      <c r="V789" s="2"/>
      <c r="W789" s="2">
        <v>1505</v>
      </c>
      <c r="X789" s="2">
        <v>1233</v>
      </c>
      <c r="Y789" s="2">
        <v>1001</v>
      </c>
      <c r="Z789" s="2">
        <v>0</v>
      </c>
      <c r="AA789" s="2">
        <v>0</v>
      </c>
      <c r="AB789" s="2"/>
      <c r="AC789" s="2">
        <v>1267</v>
      </c>
      <c r="AD789" s="2">
        <v>909</v>
      </c>
      <c r="AE789" s="2">
        <v>638</v>
      </c>
      <c r="AF789" s="2">
        <v>302</v>
      </c>
      <c r="AG789" s="2">
        <v>0</v>
      </c>
      <c r="AH789" s="2"/>
      <c r="AI789" s="2">
        <v>0</v>
      </c>
      <c r="AJ789" s="2">
        <v>0</v>
      </c>
      <c r="AK789" s="2">
        <v>0</v>
      </c>
      <c r="AL789" s="2">
        <v>0</v>
      </c>
      <c r="AM789" s="2">
        <v>0</v>
      </c>
    </row>
    <row r="790" spans="1:39">
      <c r="A790" s="349">
        <v>98401</v>
      </c>
      <c r="B790" s="342" t="s">
        <v>1484</v>
      </c>
      <c r="C790" s="234" t="e">
        <f>VLOOKUP(A790,#REF!,10,FALSE)</f>
        <v>#REF!</v>
      </c>
      <c r="E790" s="2">
        <v>1551265</v>
      </c>
      <c r="F790" s="2">
        <v>554680</v>
      </c>
      <c r="G790" s="2">
        <v>864482</v>
      </c>
      <c r="H790" s="2">
        <v>281668</v>
      </c>
      <c r="I790" s="2">
        <v>0</v>
      </c>
      <c r="J790" s="2"/>
      <c r="K790" s="2">
        <v>443698</v>
      </c>
      <c r="L790" s="2">
        <v>417377</v>
      </c>
      <c r="M790" s="2">
        <v>374090</v>
      </c>
      <c r="N790" s="2">
        <v>149781</v>
      </c>
      <c r="O790" s="2">
        <v>0</v>
      </c>
      <c r="P790" s="2"/>
      <c r="Q790" s="2">
        <v>471048</v>
      </c>
      <c r="R790" s="2">
        <v>-405189</v>
      </c>
      <c r="S790" s="2">
        <v>57106</v>
      </c>
      <c r="T790" s="2">
        <v>74323</v>
      </c>
      <c r="U790" s="2">
        <v>0</v>
      </c>
      <c r="V790" s="2"/>
      <c r="W790" s="2">
        <v>530642</v>
      </c>
      <c r="X790" s="2">
        <v>434721</v>
      </c>
      <c r="Y790" s="2">
        <v>352919</v>
      </c>
      <c r="Z790" s="2">
        <v>0</v>
      </c>
      <c r="AA790" s="2">
        <v>0</v>
      </c>
      <c r="AB790" s="2"/>
      <c r="AC790" s="2">
        <v>107770</v>
      </c>
      <c r="AD790" s="2">
        <v>107771</v>
      </c>
      <c r="AE790" s="2">
        <v>80367</v>
      </c>
      <c r="AF790" s="2">
        <v>57564</v>
      </c>
      <c r="AG790" s="2">
        <v>0</v>
      </c>
      <c r="AH790" s="2"/>
      <c r="AI790" s="2">
        <v>-1893</v>
      </c>
      <c r="AJ790" s="2">
        <v>0</v>
      </c>
      <c r="AK790" s="2">
        <v>0</v>
      </c>
      <c r="AL790" s="2">
        <v>0</v>
      </c>
      <c r="AM790" s="2">
        <v>0</v>
      </c>
    </row>
    <row r="791" spans="1:39">
      <c r="A791" s="349">
        <v>98404</v>
      </c>
      <c r="B791" s="342" t="s">
        <v>1485</v>
      </c>
      <c r="C791" s="234" t="e">
        <f>VLOOKUP(A791,#REF!,10,FALSE)</f>
        <v>#REF!</v>
      </c>
      <c r="E791" s="2">
        <v>9397</v>
      </c>
      <c r="F791" s="2">
        <v>4575</v>
      </c>
      <c r="G791" s="2">
        <v>3881</v>
      </c>
      <c r="H791" s="2">
        <v>998</v>
      </c>
      <c r="I791" s="2">
        <v>0</v>
      </c>
      <c r="J791" s="2"/>
      <c r="K791" s="2">
        <v>2142</v>
      </c>
      <c r="L791" s="2">
        <v>2015</v>
      </c>
      <c r="M791" s="2">
        <v>1806</v>
      </c>
      <c r="N791" s="2">
        <v>723</v>
      </c>
      <c r="O791" s="2">
        <v>0</v>
      </c>
      <c r="P791" s="2"/>
      <c r="Q791" s="2">
        <v>2274</v>
      </c>
      <c r="R791" s="2">
        <v>-1956</v>
      </c>
      <c r="S791" s="2">
        <v>276</v>
      </c>
      <c r="T791" s="2">
        <v>359</v>
      </c>
      <c r="U791" s="2">
        <v>0</v>
      </c>
      <c r="V791" s="2"/>
      <c r="W791" s="2">
        <v>2562</v>
      </c>
      <c r="X791" s="2">
        <v>2099</v>
      </c>
      <c r="Y791" s="2">
        <v>1704</v>
      </c>
      <c r="Z791" s="2">
        <v>0</v>
      </c>
      <c r="AA791" s="2">
        <v>0</v>
      </c>
      <c r="AB791" s="2"/>
      <c r="AC791" s="2">
        <v>2503</v>
      </c>
      <c r="AD791" s="2">
        <v>2501</v>
      </c>
      <c r="AE791" s="2">
        <v>179</v>
      </c>
      <c r="AF791" s="2">
        <v>0</v>
      </c>
      <c r="AG791" s="2">
        <v>0</v>
      </c>
      <c r="AH791" s="2"/>
      <c r="AI791" s="2">
        <v>-84</v>
      </c>
      <c r="AJ791" s="2">
        <v>-84</v>
      </c>
      <c r="AK791" s="2">
        <v>-84</v>
      </c>
      <c r="AL791" s="2">
        <v>-84</v>
      </c>
      <c r="AM791" s="2">
        <v>-84</v>
      </c>
    </row>
    <row r="792" spans="1:39">
      <c r="A792" s="349">
        <v>98411</v>
      </c>
      <c r="B792" s="342" t="s">
        <v>1486</v>
      </c>
      <c r="C792" s="234" t="e">
        <f>VLOOKUP(A792,#REF!,10,FALSE)</f>
        <v>#REF!</v>
      </c>
      <c r="E792" s="2">
        <v>879015</v>
      </c>
      <c r="F792" s="2">
        <v>239619</v>
      </c>
      <c r="G792" s="2">
        <v>469196</v>
      </c>
      <c r="H792" s="2">
        <v>124874</v>
      </c>
      <c r="I792" s="2">
        <v>0</v>
      </c>
      <c r="J792" s="2"/>
      <c r="K792" s="2">
        <v>285862</v>
      </c>
      <c r="L792" s="2">
        <v>268904</v>
      </c>
      <c r="M792" s="2">
        <v>241015</v>
      </c>
      <c r="N792" s="2">
        <v>96500</v>
      </c>
      <c r="O792" s="2">
        <v>0</v>
      </c>
      <c r="P792" s="2"/>
      <c r="Q792" s="2">
        <v>303482</v>
      </c>
      <c r="R792" s="2">
        <v>-261051</v>
      </c>
      <c r="S792" s="2">
        <v>36792</v>
      </c>
      <c r="T792" s="2">
        <v>47884</v>
      </c>
      <c r="U792" s="2">
        <v>0</v>
      </c>
      <c r="V792" s="2"/>
      <c r="W792" s="2">
        <v>341877</v>
      </c>
      <c r="X792" s="2">
        <v>280078</v>
      </c>
      <c r="Y792" s="2">
        <v>227375</v>
      </c>
      <c r="Z792" s="2">
        <v>0</v>
      </c>
      <c r="AA792" s="2">
        <v>0</v>
      </c>
      <c r="AB792" s="2"/>
      <c r="AC792" s="2">
        <v>0</v>
      </c>
      <c r="AD792" s="2">
        <v>0</v>
      </c>
      <c r="AE792" s="2">
        <v>0</v>
      </c>
      <c r="AF792" s="2">
        <v>0</v>
      </c>
      <c r="AG792" s="2">
        <v>0</v>
      </c>
      <c r="AH792" s="2"/>
      <c r="AI792" s="2">
        <v>-52206</v>
      </c>
      <c r="AJ792" s="2">
        <v>-48312</v>
      </c>
      <c r="AK792" s="2">
        <v>-35986</v>
      </c>
      <c r="AL792" s="2">
        <v>-19510</v>
      </c>
      <c r="AM792" s="2">
        <v>-48312</v>
      </c>
    </row>
    <row r="793" spans="1:39">
      <c r="A793" s="349">
        <v>98417</v>
      </c>
      <c r="B793" s="342" t="s">
        <v>1488</v>
      </c>
      <c r="C793" s="234" t="e">
        <f>VLOOKUP(A793,#REF!,10,FALSE)</f>
        <v>#REF!</v>
      </c>
      <c r="E793" s="2">
        <v>13569</v>
      </c>
      <c r="F793" s="2">
        <v>5792</v>
      </c>
      <c r="G793" s="2">
        <v>7944</v>
      </c>
      <c r="H793" s="2">
        <v>2994</v>
      </c>
      <c r="I793" s="2">
        <v>0</v>
      </c>
      <c r="J793" s="2"/>
      <c r="K793" s="2">
        <v>3341</v>
      </c>
      <c r="L793" s="2">
        <v>3143</v>
      </c>
      <c r="M793" s="2">
        <v>2817</v>
      </c>
      <c r="N793" s="2">
        <v>1128</v>
      </c>
      <c r="O793" s="2">
        <v>0</v>
      </c>
      <c r="P793" s="2"/>
      <c r="Q793" s="2">
        <v>3547</v>
      </c>
      <c r="R793" s="2">
        <v>-3051</v>
      </c>
      <c r="S793" s="2">
        <v>430</v>
      </c>
      <c r="T793" s="2">
        <v>560</v>
      </c>
      <c r="U793" s="2">
        <v>0</v>
      </c>
      <c r="V793" s="2"/>
      <c r="W793" s="2">
        <v>3995</v>
      </c>
      <c r="X793" s="2">
        <v>3273</v>
      </c>
      <c r="Y793" s="2">
        <v>2657</v>
      </c>
      <c r="Z793" s="2">
        <v>0</v>
      </c>
      <c r="AA793" s="2">
        <v>0</v>
      </c>
      <c r="AB793" s="2"/>
      <c r="AC793" s="2">
        <v>2686</v>
      </c>
      <c r="AD793" s="2">
        <v>2427</v>
      </c>
      <c r="AE793" s="2">
        <v>2040</v>
      </c>
      <c r="AF793" s="2">
        <v>1306</v>
      </c>
      <c r="AG793" s="2">
        <v>0</v>
      </c>
      <c r="AH793" s="2"/>
      <c r="AI793" s="2">
        <v>0</v>
      </c>
      <c r="AJ793" s="2">
        <v>0</v>
      </c>
      <c r="AK793" s="2">
        <v>0</v>
      </c>
      <c r="AL793" s="2">
        <v>0</v>
      </c>
      <c r="AM793" s="2">
        <v>0</v>
      </c>
    </row>
    <row r="794" spans="1:39">
      <c r="A794" s="349">
        <v>98421</v>
      </c>
      <c r="B794" s="342" t="s">
        <v>1489</v>
      </c>
      <c r="C794" s="234" t="e">
        <f>VLOOKUP(A794,#REF!,10,FALSE)</f>
        <v>#REF!</v>
      </c>
      <c r="E794" s="2">
        <v>56080</v>
      </c>
      <c r="F794" s="2">
        <v>18194</v>
      </c>
      <c r="G794" s="2">
        <v>33979</v>
      </c>
      <c r="H794" s="2">
        <v>8902</v>
      </c>
      <c r="I794" s="2">
        <v>0</v>
      </c>
      <c r="J794" s="2"/>
      <c r="K794" s="2">
        <v>16793</v>
      </c>
      <c r="L794" s="2">
        <v>15797</v>
      </c>
      <c r="M794" s="2">
        <v>14159</v>
      </c>
      <c r="N794" s="2">
        <v>5669</v>
      </c>
      <c r="O794" s="2">
        <v>0</v>
      </c>
      <c r="P794" s="2"/>
      <c r="Q794" s="2">
        <v>17828</v>
      </c>
      <c r="R794" s="2">
        <v>-15336</v>
      </c>
      <c r="S794" s="2">
        <v>2161</v>
      </c>
      <c r="T794" s="2">
        <v>2813</v>
      </c>
      <c r="U794" s="2">
        <v>0</v>
      </c>
      <c r="V794" s="2"/>
      <c r="W794" s="2">
        <v>20084</v>
      </c>
      <c r="X794" s="2">
        <v>16454</v>
      </c>
      <c r="Y794" s="2">
        <v>13357</v>
      </c>
      <c r="Z794" s="2">
        <v>0</v>
      </c>
      <c r="AA794" s="2">
        <v>0</v>
      </c>
      <c r="AB794" s="2"/>
      <c r="AC794" s="2">
        <v>4397</v>
      </c>
      <c r="AD794" s="2">
        <v>4300</v>
      </c>
      <c r="AE794" s="2">
        <v>4302</v>
      </c>
      <c r="AF794" s="2">
        <v>420</v>
      </c>
      <c r="AG794" s="2">
        <v>0</v>
      </c>
      <c r="AH794" s="2"/>
      <c r="AI794" s="2">
        <v>-3022</v>
      </c>
      <c r="AJ794" s="2">
        <v>-3021</v>
      </c>
      <c r="AK794" s="2">
        <v>0</v>
      </c>
      <c r="AL794" s="2">
        <v>0</v>
      </c>
      <c r="AM794" s="2">
        <v>-3021</v>
      </c>
    </row>
    <row r="795" spans="1:39">
      <c r="A795" s="349">
        <v>98427</v>
      </c>
      <c r="B795" s="342" t="s">
        <v>2793</v>
      </c>
      <c r="C795" s="234" t="e">
        <f>VLOOKUP(A795,#REF!,10,FALSE)</f>
        <v>#REF!</v>
      </c>
      <c r="E795" s="2">
        <v>2371</v>
      </c>
      <c r="F795" s="2">
        <v>1219</v>
      </c>
      <c r="G795" s="2">
        <v>1391</v>
      </c>
      <c r="H795" s="2">
        <v>587</v>
      </c>
      <c r="I795" s="2">
        <v>0</v>
      </c>
      <c r="J795" s="2"/>
      <c r="K795" s="2">
        <v>464</v>
      </c>
      <c r="L795" s="2">
        <v>437</v>
      </c>
      <c r="M795" s="2">
        <v>392</v>
      </c>
      <c r="N795" s="2">
        <v>157</v>
      </c>
      <c r="O795" s="2">
        <v>0</v>
      </c>
      <c r="P795" s="2"/>
      <c r="Q795" s="2">
        <v>493</v>
      </c>
      <c r="R795" s="2">
        <v>-424</v>
      </c>
      <c r="S795" s="2">
        <v>60</v>
      </c>
      <c r="T795" s="2">
        <v>78</v>
      </c>
      <c r="U795" s="2">
        <v>0</v>
      </c>
      <c r="V795" s="2"/>
      <c r="W795" s="2">
        <v>555</v>
      </c>
      <c r="X795" s="2">
        <v>455</v>
      </c>
      <c r="Y795" s="2">
        <v>369</v>
      </c>
      <c r="Z795" s="2">
        <v>0</v>
      </c>
      <c r="AA795" s="2">
        <v>0</v>
      </c>
      <c r="AB795" s="2"/>
      <c r="AC795" s="2">
        <v>859</v>
      </c>
      <c r="AD795" s="2">
        <v>751</v>
      </c>
      <c r="AE795" s="2">
        <v>570</v>
      </c>
      <c r="AF795" s="2">
        <v>352</v>
      </c>
      <c r="AG795" s="2">
        <v>0</v>
      </c>
      <c r="AH795" s="2"/>
      <c r="AI795" s="2">
        <v>0</v>
      </c>
      <c r="AJ795" s="2">
        <v>0</v>
      </c>
      <c r="AK795" s="2">
        <v>0</v>
      </c>
      <c r="AL795" s="2">
        <v>0</v>
      </c>
      <c r="AM795" s="2">
        <v>0</v>
      </c>
    </row>
    <row r="796" spans="1:39">
      <c r="A796" s="349">
        <v>98431</v>
      </c>
      <c r="B796" s="342" t="s">
        <v>1491</v>
      </c>
      <c r="C796" s="234" t="e">
        <f>VLOOKUP(A796,#REF!,10,FALSE)</f>
        <v>#REF!</v>
      </c>
      <c r="E796" s="2">
        <v>86312</v>
      </c>
      <c r="F796" s="2">
        <v>22120</v>
      </c>
      <c r="G796" s="2">
        <v>47093</v>
      </c>
      <c r="H796" s="2">
        <v>13718</v>
      </c>
      <c r="I796" s="2">
        <v>0</v>
      </c>
      <c r="J796" s="2"/>
      <c r="K796" s="2">
        <v>29916</v>
      </c>
      <c r="L796" s="2">
        <v>28142</v>
      </c>
      <c r="M796" s="2">
        <v>25223</v>
      </c>
      <c r="N796" s="2">
        <v>10099</v>
      </c>
      <c r="O796" s="2">
        <v>0</v>
      </c>
      <c r="P796" s="2"/>
      <c r="Q796" s="2">
        <v>31760</v>
      </c>
      <c r="R796" s="2">
        <v>-27320</v>
      </c>
      <c r="S796" s="2">
        <v>3850</v>
      </c>
      <c r="T796" s="2">
        <v>5011</v>
      </c>
      <c r="U796" s="2">
        <v>0</v>
      </c>
      <c r="V796" s="2"/>
      <c r="W796" s="2">
        <v>35779</v>
      </c>
      <c r="X796" s="2">
        <v>29311</v>
      </c>
      <c r="Y796" s="2">
        <v>23796</v>
      </c>
      <c r="Z796" s="2">
        <v>0</v>
      </c>
      <c r="AA796" s="2">
        <v>0</v>
      </c>
      <c r="AB796" s="2"/>
      <c r="AC796" s="2">
        <v>0</v>
      </c>
      <c r="AD796" s="2">
        <v>0</v>
      </c>
      <c r="AE796" s="2">
        <v>0</v>
      </c>
      <c r="AF796" s="2">
        <v>0</v>
      </c>
      <c r="AG796" s="2">
        <v>0</v>
      </c>
      <c r="AH796" s="2"/>
      <c r="AI796" s="2">
        <v>-11143</v>
      </c>
      <c r="AJ796" s="2">
        <v>-8013</v>
      </c>
      <c r="AK796" s="2">
        <v>-5776</v>
      </c>
      <c r="AL796" s="2">
        <v>-1392</v>
      </c>
      <c r="AM796" s="2">
        <v>-8013</v>
      </c>
    </row>
    <row r="797" spans="1:39">
      <c r="A797" s="349">
        <v>98441</v>
      </c>
      <c r="B797" s="342" t="s">
        <v>1492</v>
      </c>
      <c r="C797" s="234" t="e">
        <f>VLOOKUP(A797,#REF!,10,FALSE)</f>
        <v>#REF!</v>
      </c>
      <c r="E797" s="2">
        <v>46448</v>
      </c>
      <c r="F797" s="2">
        <v>14172</v>
      </c>
      <c r="G797" s="2">
        <v>27689</v>
      </c>
      <c r="H797" s="2">
        <v>5329</v>
      </c>
      <c r="I797" s="2">
        <v>0</v>
      </c>
      <c r="J797" s="2"/>
      <c r="K797" s="2">
        <v>15325</v>
      </c>
      <c r="L797" s="2">
        <v>14416</v>
      </c>
      <c r="M797" s="2">
        <v>12921</v>
      </c>
      <c r="N797" s="2">
        <v>5173</v>
      </c>
      <c r="O797" s="2">
        <v>0</v>
      </c>
      <c r="P797" s="2"/>
      <c r="Q797" s="2">
        <v>16270</v>
      </c>
      <c r="R797" s="2">
        <v>-13995</v>
      </c>
      <c r="S797" s="2">
        <v>1972</v>
      </c>
      <c r="T797" s="2">
        <v>2567</v>
      </c>
      <c r="U797" s="2">
        <v>0</v>
      </c>
      <c r="V797" s="2"/>
      <c r="W797" s="2">
        <v>18328</v>
      </c>
      <c r="X797" s="2">
        <v>15015</v>
      </c>
      <c r="Y797" s="2">
        <v>12190</v>
      </c>
      <c r="Z797" s="2">
        <v>0</v>
      </c>
      <c r="AA797" s="2">
        <v>0</v>
      </c>
      <c r="AB797" s="2"/>
      <c r="AC797" s="2">
        <v>3018</v>
      </c>
      <c r="AD797" s="2">
        <v>3018</v>
      </c>
      <c r="AE797" s="2">
        <v>3018</v>
      </c>
      <c r="AF797" s="2">
        <v>0</v>
      </c>
      <c r="AG797" s="2">
        <v>0</v>
      </c>
      <c r="AH797" s="2"/>
      <c r="AI797" s="2">
        <v>-6493</v>
      </c>
      <c r="AJ797" s="2">
        <v>-4282</v>
      </c>
      <c r="AK797" s="2">
        <v>-2412</v>
      </c>
      <c r="AL797" s="2">
        <v>-2411</v>
      </c>
      <c r="AM797" s="2">
        <v>-4282</v>
      </c>
    </row>
    <row r="798" spans="1:39">
      <c r="A798" s="349">
        <v>98451</v>
      </c>
      <c r="B798" s="342" t="s">
        <v>1493</v>
      </c>
      <c r="C798" s="234" t="e">
        <f>VLOOKUP(A798,#REF!,10,FALSE)</f>
        <v>#REF!</v>
      </c>
      <c r="E798" s="2">
        <v>21454</v>
      </c>
      <c r="F798" s="2">
        <v>6218</v>
      </c>
      <c r="G798" s="2">
        <v>11342</v>
      </c>
      <c r="H798" s="2">
        <v>3529</v>
      </c>
      <c r="I798" s="2">
        <v>0</v>
      </c>
      <c r="J798" s="2"/>
      <c r="K798" s="2">
        <v>6906</v>
      </c>
      <c r="L798" s="2">
        <v>6496</v>
      </c>
      <c r="M798" s="2">
        <v>5823</v>
      </c>
      <c r="N798" s="2">
        <v>2331</v>
      </c>
      <c r="O798" s="2">
        <v>0</v>
      </c>
      <c r="P798" s="2"/>
      <c r="Q798" s="2">
        <v>7332</v>
      </c>
      <c r="R798" s="2">
        <v>-6307</v>
      </c>
      <c r="S798" s="2">
        <v>889</v>
      </c>
      <c r="T798" s="2">
        <v>1157</v>
      </c>
      <c r="U798" s="2">
        <v>0</v>
      </c>
      <c r="V798" s="2"/>
      <c r="W798" s="2">
        <v>8259</v>
      </c>
      <c r="X798" s="2">
        <v>6766</v>
      </c>
      <c r="Y798" s="2">
        <v>5493</v>
      </c>
      <c r="Z798" s="2">
        <v>0</v>
      </c>
      <c r="AA798" s="2">
        <v>0</v>
      </c>
      <c r="AB798" s="2"/>
      <c r="AC798" s="2">
        <v>167</v>
      </c>
      <c r="AD798" s="2">
        <v>166</v>
      </c>
      <c r="AE798" s="2">
        <v>40</v>
      </c>
      <c r="AF798" s="2">
        <v>41</v>
      </c>
      <c r="AG798" s="2">
        <v>0</v>
      </c>
      <c r="AH798" s="2"/>
      <c r="AI798" s="2">
        <v>-1210</v>
      </c>
      <c r="AJ798" s="2">
        <v>-903</v>
      </c>
      <c r="AK798" s="2">
        <v>-903</v>
      </c>
      <c r="AL798" s="2">
        <v>0</v>
      </c>
      <c r="AM798" s="2">
        <v>-903</v>
      </c>
    </row>
    <row r="799" spans="1:39">
      <c r="A799" s="349">
        <v>98471</v>
      </c>
      <c r="B799" s="342" t="s">
        <v>1638</v>
      </c>
      <c r="C799" s="234" t="e">
        <f>VLOOKUP(A799,#REF!,10,FALSE)</f>
        <v>#REF!</v>
      </c>
      <c r="E799" s="2">
        <v>4686</v>
      </c>
      <c r="F799" s="2">
        <v>2527</v>
      </c>
      <c r="G799" s="2">
        <v>3257</v>
      </c>
      <c r="H799" s="2">
        <v>765</v>
      </c>
      <c r="I799" s="2">
        <v>0</v>
      </c>
      <c r="J799" s="2"/>
      <c r="K799" s="2">
        <v>959</v>
      </c>
      <c r="L799" s="2">
        <v>902</v>
      </c>
      <c r="M799" s="2">
        <v>808</v>
      </c>
      <c r="N799" s="2">
        <v>324</v>
      </c>
      <c r="O799" s="2">
        <v>0</v>
      </c>
      <c r="P799" s="2"/>
      <c r="Q799" s="2">
        <v>1018</v>
      </c>
      <c r="R799" s="2">
        <v>-876</v>
      </c>
      <c r="S799" s="2">
        <v>123</v>
      </c>
      <c r="T799" s="2">
        <v>161</v>
      </c>
      <c r="U799" s="2">
        <v>0</v>
      </c>
      <c r="V799" s="2"/>
      <c r="W799" s="2">
        <v>1147</v>
      </c>
      <c r="X799" s="2">
        <v>939</v>
      </c>
      <c r="Y799" s="2">
        <v>763</v>
      </c>
      <c r="Z799" s="2">
        <v>0</v>
      </c>
      <c r="AA799" s="2">
        <v>0</v>
      </c>
      <c r="AB799" s="2"/>
      <c r="AC799" s="2">
        <v>1562</v>
      </c>
      <c r="AD799" s="2">
        <v>1562</v>
      </c>
      <c r="AE799" s="2">
        <v>1563</v>
      </c>
      <c r="AF799" s="2">
        <v>280</v>
      </c>
      <c r="AG799" s="2">
        <v>0</v>
      </c>
      <c r="AH799" s="2"/>
      <c r="AI799" s="2">
        <v>0</v>
      </c>
      <c r="AJ799" s="2">
        <v>0</v>
      </c>
      <c r="AK799" s="2">
        <v>0</v>
      </c>
      <c r="AL799" s="2">
        <v>0</v>
      </c>
      <c r="AM799" s="2">
        <v>0</v>
      </c>
    </row>
    <row r="800" spans="1:39">
      <c r="A800" s="349">
        <v>98481</v>
      </c>
      <c r="B800" s="342" t="s">
        <v>1494</v>
      </c>
      <c r="C800" s="234" t="e">
        <f>VLOOKUP(A800,#REF!,10,FALSE)</f>
        <v>#REF!</v>
      </c>
      <c r="E800" s="2">
        <v>26951</v>
      </c>
      <c r="F800" s="2">
        <v>6635</v>
      </c>
      <c r="G800" s="2">
        <v>14715</v>
      </c>
      <c r="H800" s="2">
        <v>2522</v>
      </c>
      <c r="I800" s="2">
        <v>0</v>
      </c>
      <c r="J800" s="2"/>
      <c r="K800" s="2">
        <v>9228</v>
      </c>
      <c r="L800" s="2">
        <v>8681</v>
      </c>
      <c r="M800" s="2">
        <v>7780</v>
      </c>
      <c r="N800" s="2">
        <v>3115</v>
      </c>
      <c r="O800" s="2">
        <v>0</v>
      </c>
      <c r="P800" s="2"/>
      <c r="Q800" s="2">
        <v>9797</v>
      </c>
      <c r="R800" s="2">
        <v>-8427</v>
      </c>
      <c r="S800" s="2">
        <v>1188</v>
      </c>
      <c r="T800" s="2">
        <v>1546</v>
      </c>
      <c r="U800" s="2">
        <v>0</v>
      </c>
      <c r="V800" s="2"/>
      <c r="W800" s="2">
        <v>11036</v>
      </c>
      <c r="X800" s="2">
        <v>9041</v>
      </c>
      <c r="Y800" s="2">
        <v>7340</v>
      </c>
      <c r="Z800" s="2">
        <v>0</v>
      </c>
      <c r="AA800" s="2">
        <v>0</v>
      </c>
      <c r="AB800" s="2"/>
      <c r="AC800" s="2">
        <v>546</v>
      </c>
      <c r="AD800" s="2">
        <v>546</v>
      </c>
      <c r="AE800" s="2">
        <v>547</v>
      </c>
      <c r="AF800" s="2">
        <v>0</v>
      </c>
      <c r="AG800" s="2">
        <v>0</v>
      </c>
      <c r="AH800" s="2"/>
      <c r="AI800" s="2">
        <v>-3656</v>
      </c>
      <c r="AJ800" s="2">
        <v>-3206</v>
      </c>
      <c r="AK800" s="2">
        <v>-2140</v>
      </c>
      <c r="AL800" s="2">
        <v>-2139</v>
      </c>
      <c r="AM800" s="2">
        <v>-3206</v>
      </c>
    </row>
    <row r="801" spans="1:39">
      <c r="A801" s="349">
        <v>98501</v>
      </c>
      <c r="B801" s="342" t="s">
        <v>1495</v>
      </c>
      <c r="C801" s="234" t="e">
        <f>VLOOKUP(A801,#REF!,10,FALSE)</f>
        <v>#REF!</v>
      </c>
      <c r="E801" s="2">
        <v>858748</v>
      </c>
      <c r="F801" s="2">
        <v>291160</v>
      </c>
      <c r="G801" s="2">
        <v>468978</v>
      </c>
      <c r="H801" s="2">
        <v>143526</v>
      </c>
      <c r="I801" s="2">
        <v>0</v>
      </c>
      <c r="J801" s="2"/>
      <c r="K801" s="2">
        <v>247931</v>
      </c>
      <c r="L801" s="2">
        <v>233223</v>
      </c>
      <c r="M801" s="2">
        <v>209035</v>
      </c>
      <c r="N801" s="2">
        <v>83695</v>
      </c>
      <c r="O801" s="2">
        <v>0</v>
      </c>
      <c r="P801" s="2"/>
      <c r="Q801" s="2">
        <v>263213</v>
      </c>
      <c r="R801" s="2">
        <v>-226412</v>
      </c>
      <c r="S801" s="2">
        <v>31910</v>
      </c>
      <c r="T801" s="2">
        <v>41531</v>
      </c>
      <c r="U801" s="2">
        <v>0</v>
      </c>
      <c r="V801" s="2"/>
      <c r="W801" s="2">
        <v>296513</v>
      </c>
      <c r="X801" s="2">
        <v>242914</v>
      </c>
      <c r="Y801" s="2">
        <v>197205</v>
      </c>
      <c r="Z801" s="2">
        <v>0</v>
      </c>
      <c r="AA801" s="2">
        <v>0</v>
      </c>
      <c r="AB801" s="2"/>
      <c r="AC801" s="2">
        <v>51091</v>
      </c>
      <c r="AD801" s="2">
        <v>41435</v>
      </c>
      <c r="AE801" s="2">
        <v>30828</v>
      </c>
      <c r="AF801" s="2">
        <v>18300</v>
      </c>
      <c r="AG801" s="2">
        <v>0</v>
      </c>
      <c r="AH801" s="2"/>
      <c r="AI801" s="2">
        <v>0</v>
      </c>
      <c r="AJ801" s="2">
        <v>0</v>
      </c>
      <c r="AK801" s="2">
        <v>0</v>
      </c>
      <c r="AL801" s="2">
        <v>0</v>
      </c>
      <c r="AM801" s="2">
        <v>0</v>
      </c>
    </row>
    <row r="802" spans="1:39">
      <c r="A802" s="349">
        <v>98511</v>
      </c>
      <c r="B802" s="342" t="s">
        <v>1496</v>
      </c>
      <c r="C802" s="234" t="e">
        <f>VLOOKUP(A802,#REF!,10,FALSE)</f>
        <v>#REF!</v>
      </c>
      <c r="E802" s="2">
        <v>26635</v>
      </c>
      <c r="F802" s="2">
        <v>8980</v>
      </c>
      <c r="G802" s="2">
        <v>13955</v>
      </c>
      <c r="H802" s="2">
        <v>5298</v>
      </c>
      <c r="I802" s="2">
        <v>0</v>
      </c>
      <c r="J802" s="2"/>
      <c r="K802" s="2">
        <v>7400</v>
      </c>
      <c r="L802" s="2">
        <v>6961</v>
      </c>
      <c r="M802" s="2">
        <v>6239</v>
      </c>
      <c r="N802" s="2">
        <v>2498</v>
      </c>
      <c r="O802" s="2">
        <v>0</v>
      </c>
      <c r="P802" s="2"/>
      <c r="Q802" s="2">
        <v>7857</v>
      </c>
      <c r="R802" s="2">
        <v>-6758</v>
      </c>
      <c r="S802" s="2">
        <v>952</v>
      </c>
      <c r="T802" s="2">
        <v>1240</v>
      </c>
      <c r="U802" s="2">
        <v>0</v>
      </c>
      <c r="V802" s="2"/>
      <c r="W802" s="2">
        <v>8851</v>
      </c>
      <c r="X802" s="2">
        <v>7251</v>
      </c>
      <c r="Y802" s="2">
        <v>5886</v>
      </c>
      <c r="Z802" s="2">
        <v>0</v>
      </c>
      <c r="AA802" s="2">
        <v>0</v>
      </c>
      <c r="AB802" s="2"/>
      <c r="AC802" s="2">
        <v>3206</v>
      </c>
      <c r="AD802" s="2">
        <v>2205</v>
      </c>
      <c r="AE802" s="2">
        <v>1558</v>
      </c>
      <c r="AF802" s="2">
        <v>1560</v>
      </c>
      <c r="AG802" s="2">
        <v>0</v>
      </c>
      <c r="AH802" s="2"/>
      <c r="AI802" s="2">
        <v>-679</v>
      </c>
      <c r="AJ802" s="2">
        <v>-679</v>
      </c>
      <c r="AK802" s="2">
        <v>-680</v>
      </c>
      <c r="AL802" s="2">
        <v>0</v>
      </c>
      <c r="AM802" s="2">
        <v>-679</v>
      </c>
    </row>
    <row r="803" spans="1:39">
      <c r="A803" s="349">
        <v>98517</v>
      </c>
      <c r="B803" s="342" t="s">
        <v>1497</v>
      </c>
      <c r="C803" s="234" t="e">
        <f>VLOOKUP(A803,#REF!,10,FALSE)</f>
        <v>#REF!</v>
      </c>
      <c r="E803" s="2">
        <v>2413</v>
      </c>
      <c r="F803" s="2">
        <v>1493</v>
      </c>
      <c r="G803" s="2">
        <v>1527</v>
      </c>
      <c r="H803" s="2">
        <v>643</v>
      </c>
      <c r="I803" s="2">
        <v>0</v>
      </c>
      <c r="J803" s="2"/>
      <c r="K803" s="2">
        <v>360</v>
      </c>
      <c r="L803" s="2">
        <v>338</v>
      </c>
      <c r="M803" s="2">
        <v>303</v>
      </c>
      <c r="N803" s="2">
        <v>121</v>
      </c>
      <c r="O803" s="2">
        <v>0</v>
      </c>
      <c r="P803" s="2"/>
      <c r="Q803" s="2">
        <v>382</v>
      </c>
      <c r="R803" s="2">
        <v>-328</v>
      </c>
      <c r="S803" s="2">
        <v>46</v>
      </c>
      <c r="T803" s="2">
        <v>60</v>
      </c>
      <c r="U803" s="2">
        <v>0</v>
      </c>
      <c r="V803" s="2"/>
      <c r="W803" s="2">
        <v>430</v>
      </c>
      <c r="X803" s="2">
        <v>352</v>
      </c>
      <c r="Y803" s="2">
        <v>286</v>
      </c>
      <c r="Z803" s="2">
        <v>0</v>
      </c>
      <c r="AA803" s="2">
        <v>0</v>
      </c>
      <c r="AB803" s="2"/>
      <c r="AC803" s="2">
        <v>1241</v>
      </c>
      <c r="AD803" s="2">
        <v>1131</v>
      </c>
      <c r="AE803" s="2">
        <v>892</v>
      </c>
      <c r="AF803" s="2">
        <v>462</v>
      </c>
      <c r="AG803" s="2">
        <v>0</v>
      </c>
      <c r="AH803" s="2"/>
      <c r="AI803" s="2">
        <v>0</v>
      </c>
      <c r="AJ803" s="2">
        <v>0</v>
      </c>
      <c r="AK803" s="2">
        <v>0</v>
      </c>
      <c r="AL803" s="2">
        <v>0</v>
      </c>
      <c r="AM803" s="2">
        <v>0</v>
      </c>
    </row>
    <row r="804" spans="1:39">
      <c r="A804" s="349">
        <v>98521</v>
      </c>
      <c r="B804" s="342" t="s">
        <v>1498</v>
      </c>
      <c r="C804" s="234" t="e">
        <f>VLOOKUP(A804,#REF!,10,FALSE)</f>
        <v>#REF!</v>
      </c>
      <c r="E804" s="2">
        <v>296001</v>
      </c>
      <c r="F804" s="2">
        <v>92841</v>
      </c>
      <c r="G804" s="2">
        <v>156271</v>
      </c>
      <c r="H804" s="2">
        <v>43296</v>
      </c>
      <c r="I804" s="2">
        <v>0</v>
      </c>
      <c r="J804" s="2"/>
      <c r="K804" s="2">
        <v>94903</v>
      </c>
      <c r="L804" s="2">
        <v>89273</v>
      </c>
      <c r="M804" s="2">
        <v>80014</v>
      </c>
      <c r="N804" s="2">
        <v>32037</v>
      </c>
      <c r="O804" s="2">
        <v>0</v>
      </c>
      <c r="P804" s="2"/>
      <c r="Q804" s="2">
        <v>100752</v>
      </c>
      <c r="R804" s="2">
        <v>-86666</v>
      </c>
      <c r="S804" s="2">
        <v>12215</v>
      </c>
      <c r="T804" s="2">
        <v>15897</v>
      </c>
      <c r="U804" s="2">
        <v>0</v>
      </c>
      <c r="V804" s="2"/>
      <c r="W804" s="2">
        <v>113499</v>
      </c>
      <c r="X804" s="2">
        <v>92983</v>
      </c>
      <c r="Y804" s="2">
        <v>75486</v>
      </c>
      <c r="Z804" s="2">
        <v>0</v>
      </c>
      <c r="AA804" s="2">
        <v>0</v>
      </c>
      <c r="AB804" s="2"/>
      <c r="AC804" s="2">
        <v>8699</v>
      </c>
      <c r="AD804" s="2">
        <v>8697</v>
      </c>
      <c r="AE804" s="2">
        <v>0</v>
      </c>
      <c r="AF804" s="2">
        <v>0</v>
      </c>
      <c r="AG804" s="2">
        <v>0</v>
      </c>
      <c r="AH804" s="2"/>
      <c r="AI804" s="2">
        <v>-21852</v>
      </c>
      <c r="AJ804" s="2">
        <v>-11446</v>
      </c>
      <c r="AK804" s="2">
        <v>-11444</v>
      </c>
      <c r="AL804" s="2">
        <v>-4638</v>
      </c>
      <c r="AM804" s="2">
        <v>-11446</v>
      </c>
    </row>
    <row r="805" spans="1:39">
      <c r="A805" s="349">
        <v>98601</v>
      </c>
      <c r="B805" s="342" t="s">
        <v>1499</v>
      </c>
      <c r="C805" s="234" t="e">
        <f>VLOOKUP(A805,#REF!,10,FALSE)</f>
        <v>#REF!</v>
      </c>
      <c r="E805" s="2">
        <v>1716857</v>
      </c>
      <c r="F805" s="2">
        <v>513034</v>
      </c>
      <c r="G805" s="2">
        <v>951384</v>
      </c>
      <c r="H805" s="2">
        <v>275486</v>
      </c>
      <c r="I805" s="2">
        <v>0</v>
      </c>
      <c r="J805" s="2"/>
      <c r="K805" s="2">
        <v>537298</v>
      </c>
      <c r="L805" s="2">
        <v>505424</v>
      </c>
      <c r="M805" s="2">
        <v>453006</v>
      </c>
      <c r="N805" s="2">
        <v>181378</v>
      </c>
      <c r="O805" s="2">
        <v>0</v>
      </c>
      <c r="P805" s="2"/>
      <c r="Q805" s="2">
        <v>570416</v>
      </c>
      <c r="R805" s="2">
        <v>-490665</v>
      </c>
      <c r="S805" s="2">
        <v>69153</v>
      </c>
      <c r="T805" s="2">
        <v>90002</v>
      </c>
      <c r="U805" s="2">
        <v>0</v>
      </c>
      <c r="V805" s="2"/>
      <c r="W805" s="2">
        <v>642582</v>
      </c>
      <c r="X805" s="2">
        <v>526427</v>
      </c>
      <c r="Y805" s="2">
        <v>427368</v>
      </c>
      <c r="Z805" s="2">
        <v>0</v>
      </c>
      <c r="AA805" s="2">
        <v>0</v>
      </c>
      <c r="AB805" s="2"/>
      <c r="AC805" s="2">
        <v>4107</v>
      </c>
      <c r="AD805" s="2">
        <v>4107</v>
      </c>
      <c r="AE805" s="2">
        <v>4107</v>
      </c>
      <c r="AF805" s="2">
        <v>4106</v>
      </c>
      <c r="AG805" s="2">
        <v>0</v>
      </c>
      <c r="AH805" s="2"/>
      <c r="AI805" s="2">
        <v>-37546</v>
      </c>
      <c r="AJ805" s="2">
        <v>-32259</v>
      </c>
      <c r="AK805" s="2">
        <v>-2250</v>
      </c>
      <c r="AL805" s="2">
        <v>0</v>
      </c>
      <c r="AM805" s="2">
        <v>-32259</v>
      </c>
    </row>
    <row r="806" spans="1:39">
      <c r="A806" s="349">
        <v>98607</v>
      </c>
      <c r="B806" s="342" t="s">
        <v>1501</v>
      </c>
      <c r="C806" s="234" t="e">
        <f>VLOOKUP(A806,#REF!,10,FALSE)</f>
        <v>#REF!</v>
      </c>
      <c r="E806" s="2">
        <v>2786</v>
      </c>
      <c r="F806" s="2">
        <v>984</v>
      </c>
      <c r="G806" s="2">
        <v>1586</v>
      </c>
      <c r="H806" s="2">
        <v>220</v>
      </c>
      <c r="I806" s="2">
        <v>0</v>
      </c>
      <c r="J806" s="2"/>
      <c r="K806" s="2">
        <v>809</v>
      </c>
      <c r="L806" s="2">
        <v>761</v>
      </c>
      <c r="M806" s="2">
        <v>682</v>
      </c>
      <c r="N806" s="2">
        <v>273</v>
      </c>
      <c r="O806" s="2">
        <v>0</v>
      </c>
      <c r="P806" s="2"/>
      <c r="Q806" s="2">
        <v>859</v>
      </c>
      <c r="R806" s="2">
        <v>-739</v>
      </c>
      <c r="S806" s="2">
        <v>104</v>
      </c>
      <c r="T806" s="2">
        <v>136</v>
      </c>
      <c r="U806" s="2">
        <v>0</v>
      </c>
      <c r="V806" s="2"/>
      <c r="W806" s="2">
        <v>967</v>
      </c>
      <c r="X806" s="2">
        <v>793</v>
      </c>
      <c r="Y806" s="2">
        <v>643</v>
      </c>
      <c r="Z806" s="2">
        <v>0</v>
      </c>
      <c r="AA806" s="2">
        <v>0</v>
      </c>
      <c r="AB806" s="2"/>
      <c r="AC806" s="2">
        <v>360</v>
      </c>
      <c r="AD806" s="2">
        <v>360</v>
      </c>
      <c r="AE806" s="2">
        <v>348</v>
      </c>
      <c r="AF806" s="2">
        <v>0</v>
      </c>
      <c r="AG806" s="2">
        <v>0</v>
      </c>
      <c r="AH806" s="2"/>
      <c r="AI806" s="2">
        <v>-209</v>
      </c>
      <c r="AJ806" s="2">
        <v>-191</v>
      </c>
      <c r="AK806" s="2">
        <v>-191</v>
      </c>
      <c r="AL806" s="2">
        <v>-189</v>
      </c>
      <c r="AM806" s="2">
        <v>-191</v>
      </c>
    </row>
    <row r="807" spans="1:39">
      <c r="A807" s="349">
        <v>98608</v>
      </c>
      <c r="B807" s="342" t="s">
        <v>1502</v>
      </c>
      <c r="C807" s="234" t="e">
        <f>VLOOKUP(A807,#REF!,10,FALSE)</f>
        <v>#REF!</v>
      </c>
      <c r="E807" s="2">
        <v>26302</v>
      </c>
      <c r="F807" s="2">
        <v>10456</v>
      </c>
      <c r="G807" s="2">
        <v>15701</v>
      </c>
      <c r="H807" s="2">
        <v>6161</v>
      </c>
      <c r="I807" s="2">
        <v>0</v>
      </c>
      <c r="J807" s="2"/>
      <c r="K807" s="2">
        <v>7760</v>
      </c>
      <c r="L807" s="2">
        <v>7300</v>
      </c>
      <c r="M807" s="2">
        <v>6543</v>
      </c>
      <c r="N807" s="2">
        <v>2620</v>
      </c>
      <c r="O807" s="2">
        <v>0</v>
      </c>
      <c r="P807" s="2"/>
      <c r="Q807" s="2">
        <v>8238</v>
      </c>
      <c r="R807" s="2">
        <v>-7086</v>
      </c>
      <c r="S807" s="2">
        <v>999</v>
      </c>
      <c r="T807" s="2">
        <v>1300</v>
      </c>
      <c r="U807" s="2">
        <v>0</v>
      </c>
      <c r="V807" s="2"/>
      <c r="W807" s="2">
        <v>9281</v>
      </c>
      <c r="X807" s="2">
        <v>7603</v>
      </c>
      <c r="Y807" s="2">
        <v>6172</v>
      </c>
      <c r="Z807" s="2">
        <v>0</v>
      </c>
      <c r="AA807" s="2">
        <v>0</v>
      </c>
      <c r="AB807" s="2"/>
      <c r="AC807" s="2">
        <v>2890</v>
      </c>
      <c r="AD807" s="2">
        <v>2890</v>
      </c>
      <c r="AE807" s="2">
        <v>2239</v>
      </c>
      <c r="AF807" s="2">
        <v>2241</v>
      </c>
      <c r="AG807" s="2">
        <v>0</v>
      </c>
      <c r="AH807" s="2"/>
      <c r="AI807" s="2">
        <v>-1867</v>
      </c>
      <c r="AJ807" s="2">
        <v>-251</v>
      </c>
      <c r="AK807" s="2">
        <v>-252</v>
      </c>
      <c r="AL807" s="2">
        <v>0</v>
      </c>
      <c r="AM807" s="2">
        <v>-251</v>
      </c>
    </row>
    <row r="808" spans="1:39">
      <c r="A808" s="349">
        <v>98611</v>
      </c>
      <c r="B808" s="342" t="s">
        <v>1503</v>
      </c>
      <c r="C808" s="234" t="e">
        <f>VLOOKUP(A808,#REF!,10,FALSE)</f>
        <v>#REF!</v>
      </c>
      <c r="E808" s="2">
        <v>64366</v>
      </c>
      <c r="F808" s="2">
        <v>26909</v>
      </c>
      <c r="G808" s="2">
        <v>38483</v>
      </c>
      <c r="H808" s="2">
        <v>10598</v>
      </c>
      <c r="I808" s="2">
        <v>0</v>
      </c>
      <c r="J808" s="2"/>
      <c r="K808" s="2">
        <v>17917</v>
      </c>
      <c r="L808" s="2">
        <v>16854</v>
      </c>
      <c r="M808" s="2">
        <v>15106</v>
      </c>
      <c r="N808" s="2">
        <v>6048</v>
      </c>
      <c r="O808" s="2">
        <v>0</v>
      </c>
      <c r="P808" s="2"/>
      <c r="Q808" s="2">
        <v>19021</v>
      </c>
      <c r="R808" s="2">
        <v>-16362</v>
      </c>
      <c r="S808" s="2">
        <v>2306</v>
      </c>
      <c r="T808" s="2">
        <v>3001</v>
      </c>
      <c r="U808" s="2">
        <v>0</v>
      </c>
      <c r="V808" s="2"/>
      <c r="W808" s="2">
        <v>21428</v>
      </c>
      <c r="X808" s="2">
        <v>17554</v>
      </c>
      <c r="Y808" s="2">
        <v>14251</v>
      </c>
      <c r="Z808" s="2">
        <v>0</v>
      </c>
      <c r="AA808" s="2">
        <v>0</v>
      </c>
      <c r="AB808" s="2"/>
      <c r="AC808" s="2">
        <v>8863</v>
      </c>
      <c r="AD808" s="2">
        <v>8863</v>
      </c>
      <c r="AE808" s="2">
        <v>6820</v>
      </c>
      <c r="AF808" s="2">
        <v>1549</v>
      </c>
      <c r="AG808" s="2">
        <v>0</v>
      </c>
      <c r="AH808" s="2"/>
      <c r="AI808" s="2">
        <v>-2863</v>
      </c>
      <c r="AJ808" s="2">
        <v>0</v>
      </c>
      <c r="AK808" s="2">
        <v>0</v>
      </c>
      <c r="AL808" s="2">
        <v>0</v>
      </c>
      <c r="AM808" s="2">
        <v>0</v>
      </c>
    </row>
    <row r="809" spans="1:39">
      <c r="A809" s="349">
        <v>98621</v>
      </c>
      <c r="B809" s="342" t="s">
        <v>1504</v>
      </c>
      <c r="C809" s="234" t="e">
        <f>VLOOKUP(A809,#REF!,10,FALSE)</f>
        <v>#REF!</v>
      </c>
      <c r="E809" s="2">
        <v>59466</v>
      </c>
      <c r="F809" s="2">
        <v>16909</v>
      </c>
      <c r="G809" s="2">
        <v>32651</v>
      </c>
      <c r="H809" s="2">
        <v>8203</v>
      </c>
      <c r="I809" s="2">
        <v>0</v>
      </c>
      <c r="J809" s="2"/>
      <c r="K809" s="2">
        <v>19325</v>
      </c>
      <c r="L809" s="2">
        <v>18179</v>
      </c>
      <c r="M809" s="2">
        <v>16293</v>
      </c>
      <c r="N809" s="2">
        <v>6524</v>
      </c>
      <c r="O809" s="2">
        <v>0</v>
      </c>
      <c r="P809" s="2"/>
      <c r="Q809" s="2">
        <v>20516</v>
      </c>
      <c r="R809" s="2">
        <v>-17648</v>
      </c>
      <c r="S809" s="2">
        <v>2487</v>
      </c>
      <c r="T809" s="2">
        <v>3237</v>
      </c>
      <c r="U809" s="2">
        <v>0</v>
      </c>
      <c r="V809" s="2"/>
      <c r="W809" s="2">
        <v>23112</v>
      </c>
      <c r="X809" s="2">
        <v>18934</v>
      </c>
      <c r="Y809" s="2">
        <v>15371</v>
      </c>
      <c r="Z809" s="2">
        <v>0</v>
      </c>
      <c r="AA809" s="2">
        <v>0</v>
      </c>
      <c r="AB809" s="2"/>
      <c r="AC809" s="2">
        <v>57</v>
      </c>
      <c r="AD809" s="2">
        <v>57</v>
      </c>
      <c r="AE809" s="2">
        <v>58</v>
      </c>
      <c r="AF809" s="2">
        <v>0</v>
      </c>
      <c r="AG809" s="2">
        <v>0</v>
      </c>
      <c r="AH809" s="2"/>
      <c r="AI809" s="2">
        <v>-3544</v>
      </c>
      <c r="AJ809" s="2">
        <v>-2613</v>
      </c>
      <c r="AK809" s="2">
        <v>-1558</v>
      </c>
      <c r="AL809" s="2">
        <v>-1558</v>
      </c>
      <c r="AM809" s="2">
        <v>-2613</v>
      </c>
    </row>
    <row r="810" spans="1:39">
      <c r="A810" s="349">
        <v>98627</v>
      </c>
      <c r="B810" s="342" t="s">
        <v>3698</v>
      </c>
      <c r="C810" s="234" t="e">
        <f>VLOOKUP(A810,#REF!,10,FALSE)</f>
        <v>#REF!</v>
      </c>
      <c r="E810" s="2">
        <v>3319</v>
      </c>
      <c r="F810" s="2">
        <v>592</v>
      </c>
      <c r="G810" s="2">
        <v>1727</v>
      </c>
      <c r="H810" s="2">
        <v>420</v>
      </c>
      <c r="I810" s="2">
        <v>0</v>
      </c>
      <c r="J810" s="2"/>
      <c r="K810" s="2">
        <v>1168</v>
      </c>
      <c r="L810" s="2">
        <v>1099</v>
      </c>
      <c r="M810" s="2">
        <v>985</v>
      </c>
      <c r="N810" s="2">
        <v>394</v>
      </c>
      <c r="O810" s="2">
        <v>0</v>
      </c>
      <c r="P810" s="2"/>
      <c r="Q810" s="2">
        <v>1241</v>
      </c>
      <c r="R810" s="2">
        <v>-1067</v>
      </c>
      <c r="S810" s="2">
        <v>150</v>
      </c>
      <c r="T810" s="2">
        <v>196</v>
      </c>
      <c r="U810" s="2">
        <v>0</v>
      </c>
      <c r="V810" s="2"/>
      <c r="W810" s="2">
        <v>1397</v>
      </c>
      <c r="X810" s="2">
        <v>1145</v>
      </c>
      <c r="Y810" s="2">
        <v>929</v>
      </c>
      <c r="Z810" s="2">
        <v>0</v>
      </c>
      <c r="AA810" s="2">
        <v>0</v>
      </c>
      <c r="AB810" s="2"/>
      <c r="AC810" s="2">
        <v>96</v>
      </c>
      <c r="AD810" s="2">
        <v>0</v>
      </c>
      <c r="AE810" s="2">
        <v>0</v>
      </c>
      <c r="AF810" s="2">
        <v>0</v>
      </c>
      <c r="AG810" s="2">
        <v>0</v>
      </c>
      <c r="AH810" s="2"/>
      <c r="AI810" s="2">
        <v>-583</v>
      </c>
      <c r="AJ810" s="2">
        <v>-585</v>
      </c>
      <c r="AK810" s="2">
        <v>-337</v>
      </c>
      <c r="AL810" s="2">
        <v>-170</v>
      </c>
      <c r="AM810" s="2">
        <v>-585</v>
      </c>
    </row>
    <row r="811" spans="1:39">
      <c r="A811" s="349">
        <v>98631</v>
      </c>
      <c r="B811" s="342" t="s">
        <v>1506</v>
      </c>
      <c r="C811" s="234" t="e">
        <f>VLOOKUP(A811,#REF!,10,FALSE)</f>
        <v>#REF!</v>
      </c>
      <c r="E811" s="2">
        <v>472307</v>
      </c>
      <c r="F811" s="2">
        <v>148159</v>
      </c>
      <c r="G811" s="2">
        <v>267543</v>
      </c>
      <c r="H811" s="2">
        <v>72925</v>
      </c>
      <c r="I811" s="2">
        <v>0</v>
      </c>
      <c r="J811" s="2"/>
      <c r="K811" s="2">
        <v>150436</v>
      </c>
      <c r="L811" s="2">
        <v>141512</v>
      </c>
      <c r="M811" s="2">
        <v>126835</v>
      </c>
      <c r="N811" s="2">
        <v>50783</v>
      </c>
      <c r="O811" s="2">
        <v>0</v>
      </c>
      <c r="P811" s="2"/>
      <c r="Q811" s="2">
        <v>159709</v>
      </c>
      <c r="R811" s="2">
        <v>-137380</v>
      </c>
      <c r="S811" s="2">
        <v>19362</v>
      </c>
      <c r="T811" s="2">
        <v>25199</v>
      </c>
      <c r="U811" s="2">
        <v>0</v>
      </c>
      <c r="V811" s="2"/>
      <c r="W811" s="2">
        <v>179914</v>
      </c>
      <c r="X811" s="2">
        <v>147392</v>
      </c>
      <c r="Y811" s="2">
        <v>119657</v>
      </c>
      <c r="Z811" s="2">
        <v>0</v>
      </c>
      <c r="AA811" s="2">
        <v>0</v>
      </c>
      <c r="AB811" s="2"/>
      <c r="AC811" s="2">
        <v>4748</v>
      </c>
      <c r="AD811" s="2">
        <v>4748</v>
      </c>
      <c r="AE811" s="2">
        <v>4747</v>
      </c>
      <c r="AF811" s="2">
        <v>0</v>
      </c>
      <c r="AG811" s="2">
        <v>0</v>
      </c>
      <c r="AH811" s="2"/>
      <c r="AI811" s="2">
        <v>-22500</v>
      </c>
      <c r="AJ811" s="2">
        <v>-8113</v>
      </c>
      <c r="AK811" s="2">
        <v>-3058</v>
      </c>
      <c r="AL811" s="2">
        <v>-3057</v>
      </c>
      <c r="AM811" s="2">
        <v>-8113</v>
      </c>
    </row>
    <row r="812" spans="1:39">
      <c r="A812" s="349">
        <v>98637</v>
      </c>
      <c r="B812" s="342" t="s">
        <v>1507</v>
      </c>
      <c r="C812" s="234" t="e">
        <f>VLOOKUP(A812,#REF!,10,FALSE)</f>
        <v>#REF!</v>
      </c>
      <c r="E812" s="2">
        <v>11537</v>
      </c>
      <c r="F812" s="2">
        <v>5502</v>
      </c>
      <c r="G812" s="2">
        <v>6300</v>
      </c>
      <c r="H812" s="2">
        <v>2159</v>
      </c>
      <c r="I812" s="2">
        <v>0</v>
      </c>
      <c r="J812" s="2"/>
      <c r="K812" s="2">
        <v>2367</v>
      </c>
      <c r="L812" s="2">
        <v>2227</v>
      </c>
      <c r="M812" s="2">
        <v>1996</v>
      </c>
      <c r="N812" s="2">
        <v>799</v>
      </c>
      <c r="O812" s="2">
        <v>0</v>
      </c>
      <c r="P812" s="2"/>
      <c r="Q812" s="2">
        <v>2513</v>
      </c>
      <c r="R812" s="2">
        <v>-2162</v>
      </c>
      <c r="S812" s="2">
        <v>305</v>
      </c>
      <c r="T812" s="2">
        <v>396</v>
      </c>
      <c r="U812" s="2">
        <v>0</v>
      </c>
      <c r="V812" s="2"/>
      <c r="W812" s="2">
        <v>2831</v>
      </c>
      <c r="X812" s="2">
        <v>2319</v>
      </c>
      <c r="Y812" s="2">
        <v>1883</v>
      </c>
      <c r="Z812" s="2">
        <v>0</v>
      </c>
      <c r="AA812" s="2">
        <v>0</v>
      </c>
      <c r="AB812" s="2"/>
      <c r="AC812" s="2">
        <v>3826</v>
      </c>
      <c r="AD812" s="2">
        <v>3118</v>
      </c>
      <c r="AE812" s="2">
        <v>2116</v>
      </c>
      <c r="AF812" s="2">
        <v>964</v>
      </c>
      <c r="AG812" s="2">
        <v>0</v>
      </c>
      <c r="AH812" s="2"/>
      <c r="AI812" s="2">
        <v>0</v>
      </c>
      <c r="AJ812" s="2">
        <v>0</v>
      </c>
      <c r="AK812" s="2">
        <v>0</v>
      </c>
      <c r="AL812" s="2">
        <v>0</v>
      </c>
      <c r="AM812" s="2">
        <v>0</v>
      </c>
    </row>
    <row r="813" spans="1:39">
      <c r="A813" s="349">
        <v>98641</v>
      </c>
      <c r="B813" s="342" t="s">
        <v>1508</v>
      </c>
      <c r="C813" s="234" t="e">
        <f>VLOOKUP(A813,#REF!,10,FALSE)</f>
        <v>#REF!</v>
      </c>
      <c r="E813" s="2">
        <v>128748</v>
      </c>
      <c r="F813" s="2">
        <v>39782</v>
      </c>
      <c r="G813" s="2">
        <v>70332</v>
      </c>
      <c r="H813" s="2">
        <v>18840</v>
      </c>
      <c r="I813" s="2">
        <v>0</v>
      </c>
      <c r="J813" s="2"/>
      <c r="K813" s="2">
        <v>40583</v>
      </c>
      <c r="L813" s="2">
        <v>38175</v>
      </c>
      <c r="M813" s="2">
        <v>34216</v>
      </c>
      <c r="N813" s="2">
        <v>13700</v>
      </c>
      <c r="O813" s="2">
        <v>0</v>
      </c>
      <c r="P813" s="2"/>
      <c r="Q813" s="2">
        <v>43084</v>
      </c>
      <c r="R813" s="2">
        <v>-37060</v>
      </c>
      <c r="S813" s="2">
        <v>5223</v>
      </c>
      <c r="T813" s="2">
        <v>6798</v>
      </c>
      <c r="U813" s="2">
        <v>0</v>
      </c>
      <c r="V813" s="2"/>
      <c r="W813" s="2">
        <v>48535</v>
      </c>
      <c r="X813" s="2">
        <v>39762</v>
      </c>
      <c r="Y813" s="2">
        <v>32280</v>
      </c>
      <c r="Z813" s="2">
        <v>0</v>
      </c>
      <c r="AA813" s="2">
        <v>0</v>
      </c>
      <c r="AB813" s="2"/>
      <c r="AC813" s="2">
        <v>564</v>
      </c>
      <c r="AD813" s="2">
        <v>565</v>
      </c>
      <c r="AE813" s="2">
        <v>273</v>
      </c>
      <c r="AF813" s="2">
        <v>0</v>
      </c>
      <c r="AG813" s="2">
        <v>0</v>
      </c>
      <c r="AH813" s="2"/>
      <c r="AI813" s="2">
        <v>-4018</v>
      </c>
      <c r="AJ813" s="2">
        <v>-1660</v>
      </c>
      <c r="AK813" s="2">
        <v>-1660</v>
      </c>
      <c r="AL813" s="2">
        <v>-1658</v>
      </c>
      <c r="AM813" s="2">
        <v>-1660</v>
      </c>
    </row>
    <row r="814" spans="1:39">
      <c r="A814" s="349">
        <v>98701</v>
      </c>
      <c r="B814" s="342" t="s">
        <v>1509</v>
      </c>
      <c r="C814" s="234" t="e">
        <f>VLOOKUP(A814,#REF!,10,FALSE)</f>
        <v>#REF!</v>
      </c>
      <c r="E814" s="2">
        <v>440042</v>
      </c>
      <c r="F814" s="2">
        <v>109342</v>
      </c>
      <c r="G814" s="2">
        <v>229614</v>
      </c>
      <c r="H814" s="2">
        <v>54613</v>
      </c>
      <c r="I814" s="2">
        <v>0</v>
      </c>
      <c r="J814" s="2"/>
      <c r="K814" s="2">
        <v>146496</v>
      </c>
      <c r="L814" s="2">
        <v>137806</v>
      </c>
      <c r="M814" s="2">
        <v>123514</v>
      </c>
      <c r="N814" s="2">
        <v>49453</v>
      </c>
      <c r="O814" s="2">
        <v>0</v>
      </c>
      <c r="P814" s="2"/>
      <c r="Q814" s="2">
        <v>155526</v>
      </c>
      <c r="R814" s="2">
        <v>-133782</v>
      </c>
      <c r="S814" s="2">
        <v>18855</v>
      </c>
      <c r="T814" s="2">
        <v>24539</v>
      </c>
      <c r="U814" s="2">
        <v>0</v>
      </c>
      <c r="V814" s="2"/>
      <c r="W814" s="2">
        <v>175203</v>
      </c>
      <c r="X814" s="2">
        <v>143532</v>
      </c>
      <c r="Y814" s="2">
        <v>116524</v>
      </c>
      <c r="Z814" s="2">
        <v>0</v>
      </c>
      <c r="AA814" s="2">
        <v>0</v>
      </c>
      <c r="AB814" s="2"/>
      <c r="AC814" s="2">
        <v>1031</v>
      </c>
      <c r="AD814" s="2">
        <v>0</v>
      </c>
      <c r="AE814" s="2">
        <v>0</v>
      </c>
      <c r="AF814" s="2">
        <v>0</v>
      </c>
      <c r="AG814" s="2">
        <v>0</v>
      </c>
      <c r="AH814" s="2"/>
      <c r="AI814" s="2">
        <v>-38214</v>
      </c>
      <c r="AJ814" s="2">
        <v>-38214</v>
      </c>
      <c r="AK814" s="2">
        <v>-29279</v>
      </c>
      <c r="AL814" s="2">
        <v>-19379</v>
      </c>
      <c r="AM814" s="2">
        <v>-38214</v>
      </c>
    </row>
    <row r="815" spans="1:39">
      <c r="A815" s="349">
        <v>98711</v>
      </c>
      <c r="B815" s="342" t="s">
        <v>1510</v>
      </c>
      <c r="C815" s="234" t="e">
        <f>VLOOKUP(A815,#REF!,10,FALSE)</f>
        <v>#REF!</v>
      </c>
      <c r="E815" s="2">
        <v>70574</v>
      </c>
      <c r="F815" s="2">
        <v>15751</v>
      </c>
      <c r="G815" s="2">
        <v>37022</v>
      </c>
      <c r="H815" s="2">
        <v>10456</v>
      </c>
      <c r="I815" s="2">
        <v>0</v>
      </c>
      <c r="J815" s="2"/>
      <c r="K815" s="2">
        <v>25033</v>
      </c>
      <c r="L815" s="2">
        <v>23548</v>
      </c>
      <c r="M815" s="2">
        <v>21106</v>
      </c>
      <c r="N815" s="2">
        <v>8450</v>
      </c>
      <c r="O815" s="2">
        <v>0</v>
      </c>
      <c r="P815" s="2"/>
      <c r="Q815" s="2">
        <v>26576</v>
      </c>
      <c r="R815" s="2">
        <v>-22860</v>
      </c>
      <c r="S815" s="2">
        <v>3222</v>
      </c>
      <c r="T815" s="2">
        <v>4193</v>
      </c>
      <c r="U815" s="2">
        <v>0</v>
      </c>
      <c r="V815" s="2"/>
      <c r="W815" s="2">
        <v>29938</v>
      </c>
      <c r="X815" s="2">
        <v>24526</v>
      </c>
      <c r="Y815" s="2">
        <v>19911</v>
      </c>
      <c r="Z815" s="2">
        <v>0</v>
      </c>
      <c r="AA815" s="2">
        <v>0</v>
      </c>
      <c r="AB815" s="2"/>
      <c r="AC815" s="2">
        <v>0</v>
      </c>
      <c r="AD815" s="2">
        <v>0</v>
      </c>
      <c r="AE815" s="2">
        <v>0</v>
      </c>
      <c r="AF815" s="2">
        <v>0</v>
      </c>
      <c r="AG815" s="2">
        <v>0</v>
      </c>
      <c r="AH815" s="2"/>
      <c r="AI815" s="2">
        <v>-10973</v>
      </c>
      <c r="AJ815" s="2">
        <v>-9463</v>
      </c>
      <c r="AK815" s="2">
        <v>-7217</v>
      </c>
      <c r="AL815" s="2">
        <v>-2187</v>
      </c>
      <c r="AM815" s="2">
        <v>-9463</v>
      </c>
    </row>
    <row r="816" spans="1:39">
      <c r="A816" s="349">
        <v>98717</v>
      </c>
      <c r="B816" s="342" t="s">
        <v>1511</v>
      </c>
      <c r="C816" s="234" t="e">
        <f>VLOOKUP(A816,#REF!,10,FALSE)</f>
        <v>#REF!</v>
      </c>
      <c r="E816" s="2">
        <v>10978</v>
      </c>
      <c r="F816" s="2">
        <v>3555</v>
      </c>
      <c r="G816" s="2">
        <v>5868</v>
      </c>
      <c r="H816" s="2">
        <v>2067</v>
      </c>
      <c r="I816" s="2">
        <v>0</v>
      </c>
      <c r="J816" s="2"/>
      <c r="K816" s="2">
        <v>3356</v>
      </c>
      <c r="L816" s="2">
        <v>3157</v>
      </c>
      <c r="M816" s="2">
        <v>2829</v>
      </c>
      <c r="N816" s="2">
        <v>1133</v>
      </c>
      <c r="O816" s="2">
        <v>0</v>
      </c>
      <c r="P816" s="2"/>
      <c r="Q816" s="2">
        <v>3563</v>
      </c>
      <c r="R816" s="2">
        <v>-3064</v>
      </c>
      <c r="S816" s="2">
        <v>432</v>
      </c>
      <c r="T816" s="2">
        <v>562</v>
      </c>
      <c r="U816" s="2">
        <v>0</v>
      </c>
      <c r="V816" s="2"/>
      <c r="W816" s="2">
        <v>4013</v>
      </c>
      <c r="X816" s="2">
        <v>3288</v>
      </c>
      <c r="Y816" s="2">
        <v>2669</v>
      </c>
      <c r="Z816" s="2">
        <v>0</v>
      </c>
      <c r="AA816" s="2">
        <v>0</v>
      </c>
      <c r="AB816" s="2"/>
      <c r="AC816" s="2">
        <v>604</v>
      </c>
      <c r="AD816" s="2">
        <v>606</v>
      </c>
      <c r="AE816" s="2">
        <v>371</v>
      </c>
      <c r="AF816" s="2">
        <v>372</v>
      </c>
      <c r="AG816" s="2">
        <v>0</v>
      </c>
      <c r="AH816" s="2"/>
      <c r="AI816" s="2">
        <v>-558</v>
      </c>
      <c r="AJ816" s="2">
        <v>-432</v>
      </c>
      <c r="AK816" s="2">
        <v>-433</v>
      </c>
      <c r="AL816" s="2">
        <v>0</v>
      </c>
      <c r="AM816" s="2">
        <v>-432</v>
      </c>
    </row>
    <row r="817" spans="1:39">
      <c r="A817" s="349">
        <v>98801</v>
      </c>
      <c r="B817" s="342" t="s">
        <v>1512</v>
      </c>
      <c r="C817" s="234" t="e">
        <f>VLOOKUP(A817,#REF!,10,FALSE)</f>
        <v>#REF!</v>
      </c>
      <c r="E817" s="2">
        <v>1076485</v>
      </c>
      <c r="F817" s="2">
        <v>342419</v>
      </c>
      <c r="G817" s="2">
        <v>566967</v>
      </c>
      <c r="H817" s="2">
        <v>176956</v>
      </c>
      <c r="I817" s="2">
        <v>0</v>
      </c>
      <c r="J817" s="2"/>
      <c r="K817" s="2">
        <v>324077</v>
      </c>
      <c r="L817" s="2">
        <v>304852</v>
      </c>
      <c r="M817" s="2">
        <v>273236</v>
      </c>
      <c r="N817" s="2">
        <v>109400</v>
      </c>
      <c r="O817" s="2">
        <v>0</v>
      </c>
      <c r="P817" s="2"/>
      <c r="Q817" s="2">
        <v>344053</v>
      </c>
      <c r="R817" s="2">
        <v>-295950</v>
      </c>
      <c r="S817" s="2">
        <v>41711</v>
      </c>
      <c r="T817" s="2">
        <v>54286</v>
      </c>
      <c r="U817" s="2">
        <v>0</v>
      </c>
      <c r="V817" s="2"/>
      <c r="W817" s="2">
        <v>387581</v>
      </c>
      <c r="X817" s="2">
        <v>317521</v>
      </c>
      <c r="Y817" s="2">
        <v>257772</v>
      </c>
      <c r="Z817" s="2">
        <v>0</v>
      </c>
      <c r="AA817" s="2">
        <v>0</v>
      </c>
      <c r="AB817" s="2"/>
      <c r="AC817" s="2">
        <v>39795</v>
      </c>
      <c r="AD817" s="2">
        <v>35017</v>
      </c>
      <c r="AE817" s="2">
        <v>13269</v>
      </c>
      <c r="AF817" s="2">
        <v>13270</v>
      </c>
      <c r="AG817" s="2">
        <v>0</v>
      </c>
      <c r="AH817" s="2"/>
      <c r="AI817" s="2">
        <v>-19021</v>
      </c>
      <c r="AJ817" s="2">
        <v>-19021</v>
      </c>
      <c r="AK817" s="2">
        <v>-19021</v>
      </c>
      <c r="AL817" s="2">
        <v>0</v>
      </c>
      <c r="AM817" s="2">
        <v>-19021</v>
      </c>
    </row>
    <row r="818" spans="1:39">
      <c r="A818" s="349">
        <v>98811</v>
      </c>
      <c r="B818" s="342" t="s">
        <v>1513</v>
      </c>
      <c r="C818" s="234" t="e">
        <f>VLOOKUP(A818,#REF!,10,FALSE)</f>
        <v>#REF!</v>
      </c>
      <c r="E818" s="2">
        <v>337092</v>
      </c>
      <c r="F818" s="2">
        <v>113681</v>
      </c>
      <c r="G818" s="2">
        <v>196963</v>
      </c>
      <c r="H818" s="2">
        <v>65401</v>
      </c>
      <c r="I818" s="2">
        <v>0</v>
      </c>
      <c r="J818" s="2"/>
      <c r="K818" s="2">
        <v>102783</v>
      </c>
      <c r="L818" s="2">
        <v>96685</v>
      </c>
      <c r="M818" s="2">
        <v>86658</v>
      </c>
      <c r="N818" s="2">
        <v>34697</v>
      </c>
      <c r="O818" s="2">
        <v>0</v>
      </c>
      <c r="P818" s="2"/>
      <c r="Q818" s="2">
        <v>109118</v>
      </c>
      <c r="R818" s="2">
        <v>-93862</v>
      </c>
      <c r="S818" s="2">
        <v>13229</v>
      </c>
      <c r="T818" s="2">
        <v>17217</v>
      </c>
      <c r="U818" s="2">
        <v>0</v>
      </c>
      <c r="V818" s="2"/>
      <c r="W818" s="2">
        <v>122923</v>
      </c>
      <c r="X818" s="2">
        <v>100703</v>
      </c>
      <c r="Y818" s="2">
        <v>81754</v>
      </c>
      <c r="Z818" s="2">
        <v>0</v>
      </c>
      <c r="AA818" s="2">
        <v>0</v>
      </c>
      <c r="AB818" s="2"/>
      <c r="AC818" s="2">
        <v>15322</v>
      </c>
      <c r="AD818" s="2">
        <v>15322</v>
      </c>
      <c r="AE818" s="2">
        <v>15322</v>
      </c>
      <c r="AF818" s="2">
        <v>13487</v>
      </c>
      <c r="AG818" s="2">
        <v>0</v>
      </c>
      <c r="AH818" s="2"/>
      <c r="AI818" s="2">
        <v>-13054</v>
      </c>
      <c r="AJ818" s="2">
        <v>-5167</v>
      </c>
      <c r="AK818" s="2">
        <v>0</v>
      </c>
      <c r="AL818" s="2">
        <v>0</v>
      </c>
      <c r="AM818" s="2">
        <v>-5167</v>
      </c>
    </row>
    <row r="819" spans="1:39">
      <c r="A819" s="349">
        <v>98817</v>
      </c>
      <c r="B819" s="342" t="s">
        <v>1514</v>
      </c>
      <c r="C819" s="234" t="e">
        <f>VLOOKUP(A819,#REF!,10,FALSE)</f>
        <v>#REF!</v>
      </c>
      <c r="E819" s="2">
        <v>8551</v>
      </c>
      <c r="F819" s="2">
        <v>2767</v>
      </c>
      <c r="G819" s="2">
        <v>3786</v>
      </c>
      <c r="H819" s="2">
        <v>334</v>
      </c>
      <c r="I819" s="2">
        <v>0</v>
      </c>
      <c r="J819" s="2"/>
      <c r="K819" s="2">
        <v>2547</v>
      </c>
      <c r="L819" s="2">
        <v>2396</v>
      </c>
      <c r="M819" s="2">
        <v>2147</v>
      </c>
      <c r="N819" s="2">
        <v>860</v>
      </c>
      <c r="O819" s="2">
        <v>0</v>
      </c>
      <c r="P819" s="2"/>
      <c r="Q819" s="2">
        <v>2704</v>
      </c>
      <c r="R819" s="2">
        <v>-2326</v>
      </c>
      <c r="S819" s="2">
        <v>328</v>
      </c>
      <c r="T819" s="2">
        <v>427</v>
      </c>
      <c r="U819" s="2">
        <v>0</v>
      </c>
      <c r="V819" s="2"/>
      <c r="W819" s="2">
        <v>3046</v>
      </c>
      <c r="X819" s="2">
        <v>2495</v>
      </c>
      <c r="Y819" s="2">
        <v>2026</v>
      </c>
      <c r="Z819" s="2">
        <v>0</v>
      </c>
      <c r="AA819" s="2">
        <v>0</v>
      </c>
      <c r="AB819" s="2"/>
      <c r="AC819" s="2">
        <v>1209</v>
      </c>
      <c r="AD819" s="2">
        <v>1157</v>
      </c>
      <c r="AE819" s="2">
        <v>240</v>
      </c>
      <c r="AF819" s="2">
        <v>0</v>
      </c>
      <c r="AG819" s="2">
        <v>0</v>
      </c>
      <c r="AH819" s="2"/>
      <c r="AI819" s="2">
        <v>-955</v>
      </c>
      <c r="AJ819" s="2">
        <v>-955</v>
      </c>
      <c r="AK819" s="2">
        <v>-955</v>
      </c>
      <c r="AL819" s="2">
        <v>-953</v>
      </c>
      <c r="AM819" s="2">
        <v>-955</v>
      </c>
    </row>
    <row r="820" spans="1:39">
      <c r="A820" s="349">
        <v>98901</v>
      </c>
      <c r="B820" s="342" t="s">
        <v>1515</v>
      </c>
      <c r="C820" s="234" t="e">
        <f>VLOOKUP(A820,#REF!,10,FALSE)</f>
        <v>#REF!</v>
      </c>
      <c r="E820" s="2">
        <v>134570</v>
      </c>
      <c r="F820" s="2">
        <v>39434</v>
      </c>
      <c r="G820" s="2">
        <v>70216</v>
      </c>
      <c r="H820" s="2">
        <v>22048</v>
      </c>
      <c r="I820" s="2">
        <v>0</v>
      </c>
      <c r="J820" s="2"/>
      <c r="K820" s="2">
        <v>42530</v>
      </c>
      <c r="L820" s="2">
        <v>40007</v>
      </c>
      <c r="M820" s="2">
        <v>35858</v>
      </c>
      <c r="N820" s="2">
        <v>14357</v>
      </c>
      <c r="O820" s="2">
        <v>0</v>
      </c>
      <c r="P820" s="2"/>
      <c r="Q820" s="2">
        <v>45152</v>
      </c>
      <c r="R820" s="2">
        <v>-38839</v>
      </c>
      <c r="S820" s="2">
        <v>5474</v>
      </c>
      <c r="T820" s="2">
        <v>7124</v>
      </c>
      <c r="U820" s="2">
        <v>0</v>
      </c>
      <c r="V820" s="2"/>
      <c r="W820" s="2">
        <v>50864</v>
      </c>
      <c r="X820" s="2">
        <v>41670</v>
      </c>
      <c r="Y820" s="2">
        <v>33829</v>
      </c>
      <c r="Z820" s="2">
        <v>0</v>
      </c>
      <c r="AA820" s="2">
        <v>0</v>
      </c>
      <c r="AB820" s="2"/>
      <c r="AC820" s="2">
        <v>2106</v>
      </c>
      <c r="AD820" s="2">
        <v>2108</v>
      </c>
      <c r="AE820" s="2">
        <v>569</v>
      </c>
      <c r="AF820" s="2">
        <v>567</v>
      </c>
      <c r="AG820" s="2">
        <v>0</v>
      </c>
      <c r="AH820" s="2"/>
      <c r="AI820" s="2">
        <v>-6082</v>
      </c>
      <c r="AJ820" s="2">
        <v>-5512</v>
      </c>
      <c r="AK820" s="2">
        <v>-5514</v>
      </c>
      <c r="AL820" s="2">
        <v>0</v>
      </c>
      <c r="AM820" s="2">
        <v>-5512</v>
      </c>
    </row>
    <row r="821" spans="1:39">
      <c r="A821" s="349">
        <v>98904</v>
      </c>
      <c r="B821" s="342" t="s">
        <v>2783</v>
      </c>
      <c r="C821" s="234" t="e">
        <f>VLOOKUP(A821,#REF!,10,FALSE)</f>
        <v>#REF!</v>
      </c>
      <c r="E821" s="2">
        <v>1543</v>
      </c>
      <c r="F821" s="2">
        <v>359</v>
      </c>
      <c r="G821" s="2">
        <v>1149</v>
      </c>
      <c r="H821" s="2">
        <v>242</v>
      </c>
      <c r="I821" s="2">
        <v>0</v>
      </c>
      <c r="J821" s="2"/>
      <c r="K821" s="2">
        <v>599</v>
      </c>
      <c r="L821" s="2">
        <v>564</v>
      </c>
      <c r="M821" s="2">
        <v>505</v>
      </c>
      <c r="N821" s="2">
        <v>202</v>
      </c>
      <c r="O821" s="2">
        <v>0</v>
      </c>
      <c r="P821" s="2"/>
      <c r="Q821" s="2">
        <v>636</v>
      </c>
      <c r="R821" s="2">
        <v>-547</v>
      </c>
      <c r="S821" s="2">
        <v>77</v>
      </c>
      <c r="T821" s="2">
        <v>100</v>
      </c>
      <c r="U821" s="2">
        <v>0</v>
      </c>
      <c r="V821" s="2"/>
      <c r="W821" s="2">
        <v>717</v>
      </c>
      <c r="X821" s="2">
        <v>587</v>
      </c>
      <c r="Y821" s="2">
        <v>477</v>
      </c>
      <c r="Z821" s="2">
        <v>0</v>
      </c>
      <c r="AA821" s="2">
        <v>0</v>
      </c>
      <c r="AB821" s="2"/>
      <c r="AC821" s="2">
        <v>152</v>
      </c>
      <c r="AD821" s="2">
        <v>152</v>
      </c>
      <c r="AE821" s="2">
        <v>151</v>
      </c>
      <c r="AF821" s="2">
        <v>0</v>
      </c>
      <c r="AG821" s="2">
        <v>0</v>
      </c>
      <c r="AH821" s="2"/>
      <c r="AI821" s="2">
        <v>-561</v>
      </c>
      <c r="AJ821" s="2">
        <v>-397</v>
      </c>
      <c r="AK821" s="2">
        <v>-61</v>
      </c>
      <c r="AL821" s="2">
        <v>-60</v>
      </c>
      <c r="AM821" s="2">
        <v>-397</v>
      </c>
    </row>
    <row r="822" spans="1:39">
      <c r="A822" s="349">
        <v>98911</v>
      </c>
      <c r="B822" s="342" t="s">
        <v>1517</v>
      </c>
      <c r="C822" s="234" t="e">
        <f>VLOOKUP(A822,#REF!,10,FALSE)</f>
        <v>#REF!</v>
      </c>
      <c r="E822" s="2">
        <v>10943</v>
      </c>
      <c r="F822" s="2">
        <v>4374</v>
      </c>
      <c r="G822" s="2">
        <v>5275</v>
      </c>
      <c r="H822" s="2">
        <v>914</v>
      </c>
      <c r="I822" s="2">
        <v>0</v>
      </c>
      <c r="J822" s="2"/>
      <c r="K822" s="2">
        <v>2382</v>
      </c>
      <c r="L822" s="2">
        <v>2241</v>
      </c>
      <c r="M822" s="2">
        <v>2008</v>
      </c>
      <c r="N822" s="2">
        <v>804</v>
      </c>
      <c r="O822" s="2">
        <v>0</v>
      </c>
      <c r="P822" s="2"/>
      <c r="Q822" s="2">
        <v>2529</v>
      </c>
      <c r="R822" s="2">
        <v>-2175</v>
      </c>
      <c r="S822" s="2">
        <v>307</v>
      </c>
      <c r="T822" s="2">
        <v>399</v>
      </c>
      <c r="U822" s="2">
        <v>0</v>
      </c>
      <c r="V822" s="2"/>
      <c r="W822" s="2">
        <v>2849</v>
      </c>
      <c r="X822" s="2">
        <v>2334</v>
      </c>
      <c r="Y822" s="2">
        <v>1895</v>
      </c>
      <c r="Z822" s="2">
        <v>0</v>
      </c>
      <c r="AA822" s="2">
        <v>0</v>
      </c>
      <c r="AB822" s="2"/>
      <c r="AC822" s="2">
        <v>3473</v>
      </c>
      <c r="AD822" s="2">
        <v>2264</v>
      </c>
      <c r="AE822" s="2">
        <v>1355</v>
      </c>
      <c r="AF822" s="2">
        <v>0</v>
      </c>
      <c r="AG822" s="2">
        <v>0</v>
      </c>
      <c r="AH822" s="2"/>
      <c r="AI822" s="2">
        <v>-290</v>
      </c>
      <c r="AJ822" s="2">
        <v>-290</v>
      </c>
      <c r="AK822" s="2">
        <v>-290</v>
      </c>
      <c r="AL822" s="2">
        <v>-289</v>
      </c>
      <c r="AM822" s="2">
        <v>-290</v>
      </c>
    </row>
    <row r="823" spans="1:39">
      <c r="A823" s="349">
        <v>99001</v>
      </c>
      <c r="B823" s="342" t="s">
        <v>1518</v>
      </c>
      <c r="C823" s="234" t="e">
        <f>VLOOKUP(A823,#REF!,10,FALSE)</f>
        <v>#REF!</v>
      </c>
      <c r="E823" s="2">
        <v>4468648</v>
      </c>
      <c r="F823" s="2">
        <v>1471105</v>
      </c>
      <c r="G823" s="2">
        <v>2456566</v>
      </c>
      <c r="H823" s="2">
        <v>777884</v>
      </c>
      <c r="I823" s="2">
        <v>0</v>
      </c>
      <c r="J823" s="2"/>
      <c r="K823" s="2">
        <v>1322286</v>
      </c>
      <c r="L823" s="2">
        <v>1243844</v>
      </c>
      <c r="M823" s="2">
        <v>1114844</v>
      </c>
      <c r="N823" s="2">
        <v>446370</v>
      </c>
      <c r="O823" s="2">
        <v>0</v>
      </c>
      <c r="P823" s="2"/>
      <c r="Q823" s="2">
        <v>1403791</v>
      </c>
      <c r="R823" s="2">
        <v>-1207523</v>
      </c>
      <c r="S823" s="2">
        <v>170186</v>
      </c>
      <c r="T823" s="2">
        <v>221495</v>
      </c>
      <c r="U823" s="2">
        <v>0</v>
      </c>
      <c r="V823" s="2"/>
      <c r="W823" s="2">
        <v>1581391</v>
      </c>
      <c r="X823" s="2">
        <v>1295533</v>
      </c>
      <c r="Y823" s="2">
        <v>1051751</v>
      </c>
      <c r="Z823" s="2">
        <v>0</v>
      </c>
      <c r="AA823" s="2">
        <v>0</v>
      </c>
      <c r="AB823" s="2"/>
      <c r="AC823" s="2">
        <v>161180</v>
      </c>
      <c r="AD823" s="2">
        <v>139251</v>
      </c>
      <c r="AE823" s="2">
        <v>119785</v>
      </c>
      <c r="AF823" s="2">
        <v>110019</v>
      </c>
      <c r="AG823" s="2">
        <v>0</v>
      </c>
      <c r="AH823" s="2"/>
      <c r="AI823" s="2">
        <v>0</v>
      </c>
      <c r="AJ823" s="2">
        <v>0</v>
      </c>
      <c r="AK823" s="2">
        <v>0</v>
      </c>
      <c r="AL823" s="2">
        <v>0</v>
      </c>
      <c r="AM823" s="2">
        <v>0</v>
      </c>
    </row>
    <row r="824" spans="1:39">
      <c r="A824" s="349">
        <v>99011</v>
      </c>
      <c r="B824" s="342" t="s">
        <v>1519</v>
      </c>
      <c r="C824" s="234" t="e">
        <f>VLOOKUP(A824,#REF!,10,FALSE)</f>
        <v>#REF!</v>
      </c>
      <c r="E824" s="2">
        <v>1821690</v>
      </c>
      <c r="F824" s="2">
        <v>579727</v>
      </c>
      <c r="G824" s="2">
        <v>1025471</v>
      </c>
      <c r="H824" s="2">
        <v>296915</v>
      </c>
      <c r="I824" s="2">
        <v>0</v>
      </c>
      <c r="J824" s="2"/>
      <c r="K824" s="2">
        <v>577072</v>
      </c>
      <c r="L824" s="2">
        <v>542838</v>
      </c>
      <c r="M824" s="2">
        <v>486539</v>
      </c>
      <c r="N824" s="2">
        <v>194805</v>
      </c>
      <c r="O824" s="2">
        <v>0</v>
      </c>
      <c r="P824" s="2"/>
      <c r="Q824" s="2">
        <v>612642</v>
      </c>
      <c r="R824" s="2">
        <v>-526987</v>
      </c>
      <c r="S824" s="2">
        <v>74272</v>
      </c>
      <c r="T824" s="2">
        <v>96665</v>
      </c>
      <c r="U824" s="2">
        <v>0</v>
      </c>
      <c r="V824" s="2"/>
      <c r="W824" s="2">
        <v>690150</v>
      </c>
      <c r="X824" s="2">
        <v>565396</v>
      </c>
      <c r="Y824" s="2">
        <v>459005</v>
      </c>
      <c r="Z824" s="2">
        <v>0</v>
      </c>
      <c r="AA824" s="2">
        <v>0</v>
      </c>
      <c r="AB824" s="2"/>
      <c r="AC824" s="2">
        <v>5653</v>
      </c>
      <c r="AD824" s="2">
        <v>5653</v>
      </c>
      <c r="AE824" s="2">
        <v>5655</v>
      </c>
      <c r="AF824" s="2">
        <v>5445</v>
      </c>
      <c r="AG824" s="2">
        <v>0</v>
      </c>
      <c r="AH824" s="2"/>
      <c r="AI824" s="2">
        <v>-63827</v>
      </c>
      <c r="AJ824" s="2">
        <v>-7173</v>
      </c>
      <c r="AK824" s="2">
        <v>0</v>
      </c>
      <c r="AL824" s="2">
        <v>0</v>
      </c>
      <c r="AM824" s="2">
        <v>-7173</v>
      </c>
    </row>
    <row r="825" spans="1:39">
      <c r="A825" s="349">
        <v>99013</v>
      </c>
      <c r="B825" s="342" t="s">
        <v>1520</v>
      </c>
      <c r="C825" s="234" t="e">
        <f>VLOOKUP(A825,#REF!,10,FALSE)</f>
        <v>#REF!</v>
      </c>
      <c r="E825" s="2">
        <v>21649</v>
      </c>
      <c r="F825" s="2">
        <v>7286</v>
      </c>
      <c r="G825" s="2">
        <v>13126</v>
      </c>
      <c r="H825" s="2">
        <v>4482</v>
      </c>
      <c r="I825" s="2">
        <v>0</v>
      </c>
      <c r="J825" s="2"/>
      <c r="K825" s="2">
        <v>7131</v>
      </c>
      <c r="L825" s="2">
        <v>6708</v>
      </c>
      <c r="M825" s="2">
        <v>6012</v>
      </c>
      <c r="N825" s="2">
        <v>2407</v>
      </c>
      <c r="O825" s="2">
        <v>0</v>
      </c>
      <c r="P825" s="2"/>
      <c r="Q825" s="2">
        <v>7570</v>
      </c>
      <c r="R825" s="2">
        <v>-6512</v>
      </c>
      <c r="S825" s="2">
        <v>918</v>
      </c>
      <c r="T825" s="2">
        <v>1194</v>
      </c>
      <c r="U825" s="2">
        <v>0</v>
      </c>
      <c r="V825" s="2"/>
      <c r="W825" s="2">
        <v>8528</v>
      </c>
      <c r="X825" s="2">
        <v>6987</v>
      </c>
      <c r="Y825" s="2">
        <v>5672</v>
      </c>
      <c r="Z825" s="2">
        <v>0</v>
      </c>
      <c r="AA825" s="2">
        <v>0</v>
      </c>
      <c r="AB825" s="2"/>
      <c r="AC825" s="2">
        <v>883</v>
      </c>
      <c r="AD825" s="2">
        <v>883</v>
      </c>
      <c r="AE825" s="2">
        <v>883</v>
      </c>
      <c r="AF825" s="2">
        <v>881</v>
      </c>
      <c r="AG825" s="2">
        <v>0</v>
      </c>
      <c r="AH825" s="2"/>
      <c r="AI825" s="2">
        <v>-2463</v>
      </c>
      <c r="AJ825" s="2">
        <v>-780</v>
      </c>
      <c r="AK825" s="2">
        <v>-359</v>
      </c>
      <c r="AL825" s="2">
        <v>0</v>
      </c>
      <c r="AM825" s="2">
        <v>-780</v>
      </c>
    </row>
    <row r="826" spans="1:39">
      <c r="A826" s="349">
        <v>99014</v>
      </c>
      <c r="B826" s="342" t="s">
        <v>1521</v>
      </c>
      <c r="C826" s="234" t="e">
        <f>VLOOKUP(A826,#REF!,10,FALSE)</f>
        <v>#REF!</v>
      </c>
      <c r="E826" s="2">
        <v>16781</v>
      </c>
      <c r="F826" s="2">
        <v>6101</v>
      </c>
      <c r="G826" s="2">
        <v>8258</v>
      </c>
      <c r="H826" s="2">
        <v>4287</v>
      </c>
      <c r="I826" s="2">
        <v>0</v>
      </c>
      <c r="J826" s="2"/>
      <c r="K826" s="2">
        <v>3191</v>
      </c>
      <c r="L826" s="2">
        <v>3002</v>
      </c>
      <c r="M826" s="2">
        <v>2690</v>
      </c>
      <c r="N826" s="2">
        <v>1077</v>
      </c>
      <c r="O826" s="2">
        <v>0</v>
      </c>
      <c r="P826" s="2"/>
      <c r="Q826" s="2">
        <v>3388</v>
      </c>
      <c r="R826" s="2">
        <v>-2914</v>
      </c>
      <c r="S826" s="2">
        <v>411</v>
      </c>
      <c r="T826" s="2">
        <v>535</v>
      </c>
      <c r="U826" s="2">
        <v>0</v>
      </c>
      <c r="V826" s="2"/>
      <c r="W826" s="2">
        <v>3816</v>
      </c>
      <c r="X826" s="2">
        <v>3126</v>
      </c>
      <c r="Y826" s="2">
        <v>2538</v>
      </c>
      <c r="Z826" s="2">
        <v>0</v>
      </c>
      <c r="AA826" s="2">
        <v>0</v>
      </c>
      <c r="AB826" s="2"/>
      <c r="AC826" s="2">
        <v>6442</v>
      </c>
      <c r="AD826" s="2">
        <v>2943</v>
      </c>
      <c r="AE826" s="2">
        <v>2676</v>
      </c>
      <c r="AF826" s="2">
        <v>2675</v>
      </c>
      <c r="AG826" s="2">
        <v>0</v>
      </c>
      <c r="AH826" s="2"/>
      <c r="AI826" s="2">
        <v>-56</v>
      </c>
      <c r="AJ826" s="2">
        <v>-56</v>
      </c>
      <c r="AK826" s="2">
        <v>-57</v>
      </c>
      <c r="AL826" s="2">
        <v>0</v>
      </c>
      <c r="AM826" s="2">
        <v>-56</v>
      </c>
    </row>
    <row r="827" spans="1:39">
      <c r="A827" s="349">
        <v>99017</v>
      </c>
      <c r="B827" s="342" t="s">
        <v>1522</v>
      </c>
      <c r="C827" s="234" t="e">
        <f>VLOOKUP(A827,#REF!,10,FALSE)</f>
        <v>#REF!</v>
      </c>
      <c r="E827" s="2">
        <v>25039</v>
      </c>
      <c r="F827" s="2">
        <v>7896</v>
      </c>
      <c r="G827" s="2">
        <v>12408</v>
      </c>
      <c r="H827" s="2">
        <v>4046</v>
      </c>
      <c r="I827" s="2">
        <v>0</v>
      </c>
      <c r="J827" s="2"/>
      <c r="K827" s="2">
        <v>7281</v>
      </c>
      <c r="L827" s="2">
        <v>6849</v>
      </c>
      <c r="M827" s="2">
        <v>6138</v>
      </c>
      <c r="N827" s="2">
        <v>2458</v>
      </c>
      <c r="O827" s="2">
        <v>0</v>
      </c>
      <c r="P827" s="2"/>
      <c r="Q827" s="2">
        <v>7729</v>
      </c>
      <c r="R827" s="2">
        <v>-6649</v>
      </c>
      <c r="S827" s="2">
        <v>937</v>
      </c>
      <c r="T827" s="2">
        <v>1220</v>
      </c>
      <c r="U827" s="2">
        <v>0</v>
      </c>
      <c r="V827" s="2"/>
      <c r="W827" s="2">
        <v>8707</v>
      </c>
      <c r="X827" s="2">
        <v>7133</v>
      </c>
      <c r="Y827" s="2">
        <v>5791</v>
      </c>
      <c r="Z827" s="2">
        <v>0</v>
      </c>
      <c r="AA827" s="2">
        <v>0</v>
      </c>
      <c r="AB827" s="2"/>
      <c r="AC827" s="2">
        <v>2145</v>
      </c>
      <c r="AD827" s="2">
        <v>1386</v>
      </c>
      <c r="AE827" s="2">
        <v>366</v>
      </c>
      <c r="AF827" s="2">
        <v>368</v>
      </c>
      <c r="AG827" s="2">
        <v>0</v>
      </c>
      <c r="AH827" s="2"/>
      <c r="AI827" s="2">
        <v>-823</v>
      </c>
      <c r="AJ827" s="2">
        <v>-823</v>
      </c>
      <c r="AK827" s="2">
        <v>-824</v>
      </c>
      <c r="AL827" s="2">
        <v>0</v>
      </c>
      <c r="AM827" s="2">
        <v>-823</v>
      </c>
    </row>
    <row r="828" spans="1:39">
      <c r="A828" s="349">
        <v>99021</v>
      </c>
      <c r="B828" s="342" t="s">
        <v>1523</v>
      </c>
      <c r="C828" s="234" t="e">
        <f>VLOOKUP(A828,#REF!,10,FALSE)</f>
        <v>#REF!</v>
      </c>
      <c r="E828" s="2">
        <v>67951</v>
      </c>
      <c r="F828" s="2">
        <v>20804</v>
      </c>
      <c r="G828" s="2">
        <v>34816</v>
      </c>
      <c r="H828" s="2">
        <v>11554</v>
      </c>
      <c r="I828" s="2">
        <v>0</v>
      </c>
      <c r="J828" s="2"/>
      <c r="K828" s="2">
        <v>21048</v>
      </c>
      <c r="L828" s="2">
        <v>19799</v>
      </c>
      <c r="M828" s="2">
        <v>17746</v>
      </c>
      <c r="N828" s="2">
        <v>7105</v>
      </c>
      <c r="O828" s="2">
        <v>0</v>
      </c>
      <c r="P828" s="2"/>
      <c r="Q828" s="2">
        <v>22345</v>
      </c>
      <c r="R828" s="2">
        <v>-19221</v>
      </c>
      <c r="S828" s="2">
        <v>2709</v>
      </c>
      <c r="T828" s="2">
        <v>3526</v>
      </c>
      <c r="U828" s="2">
        <v>0</v>
      </c>
      <c r="V828" s="2"/>
      <c r="W828" s="2">
        <v>25172</v>
      </c>
      <c r="X828" s="2">
        <v>20622</v>
      </c>
      <c r="Y828" s="2">
        <v>16742</v>
      </c>
      <c r="Z828" s="2">
        <v>0</v>
      </c>
      <c r="AA828" s="2">
        <v>0</v>
      </c>
      <c r="AB828" s="2"/>
      <c r="AC828" s="2">
        <v>2909</v>
      </c>
      <c r="AD828" s="2">
        <v>2907</v>
      </c>
      <c r="AE828" s="2">
        <v>923</v>
      </c>
      <c r="AF828" s="2">
        <v>923</v>
      </c>
      <c r="AG828" s="2">
        <v>0</v>
      </c>
      <c r="AH828" s="2"/>
      <c r="AI828" s="2">
        <v>-3523</v>
      </c>
      <c r="AJ828" s="2">
        <v>-3303</v>
      </c>
      <c r="AK828" s="2">
        <v>-3304</v>
      </c>
      <c r="AL828" s="2">
        <v>0</v>
      </c>
      <c r="AM828" s="2">
        <v>-3303</v>
      </c>
    </row>
    <row r="829" spans="1:39">
      <c r="A829" s="349">
        <v>99022</v>
      </c>
      <c r="B829" s="342" t="s">
        <v>211</v>
      </c>
      <c r="C829" s="234" t="e">
        <f>VLOOKUP(A829,#REF!,10,FALSE)</f>
        <v>#REF!</v>
      </c>
      <c r="E829" s="2">
        <v>8852</v>
      </c>
      <c r="F829" s="2">
        <v>5064</v>
      </c>
      <c r="G829" s="2">
        <v>4948</v>
      </c>
      <c r="H829" s="2">
        <v>2021</v>
      </c>
      <c r="I829" s="2">
        <v>0</v>
      </c>
      <c r="J829" s="2"/>
      <c r="K829" s="2">
        <v>1318</v>
      </c>
      <c r="L829" s="2">
        <v>1240</v>
      </c>
      <c r="M829" s="2">
        <v>1111</v>
      </c>
      <c r="N829" s="2">
        <v>445</v>
      </c>
      <c r="O829" s="2">
        <v>0</v>
      </c>
      <c r="P829" s="2"/>
      <c r="Q829" s="2">
        <v>1400</v>
      </c>
      <c r="R829" s="2">
        <v>-1204</v>
      </c>
      <c r="S829" s="2">
        <v>170</v>
      </c>
      <c r="T829" s="2">
        <v>221</v>
      </c>
      <c r="U829" s="2">
        <v>0</v>
      </c>
      <c r="V829" s="2"/>
      <c r="W829" s="2">
        <v>1577</v>
      </c>
      <c r="X829" s="2">
        <v>1292</v>
      </c>
      <c r="Y829" s="2">
        <v>1049</v>
      </c>
      <c r="Z829" s="2">
        <v>0</v>
      </c>
      <c r="AA829" s="2">
        <v>0</v>
      </c>
      <c r="AB829" s="2"/>
      <c r="AC829" s="2">
        <v>4557</v>
      </c>
      <c r="AD829" s="2">
        <v>3736</v>
      </c>
      <c r="AE829" s="2">
        <v>2618</v>
      </c>
      <c r="AF829" s="2">
        <v>1355</v>
      </c>
      <c r="AG829" s="2">
        <v>0</v>
      </c>
      <c r="AH829" s="2"/>
      <c r="AI829" s="2">
        <v>0</v>
      </c>
      <c r="AJ829" s="2">
        <v>0</v>
      </c>
      <c r="AK829" s="2">
        <v>0</v>
      </c>
      <c r="AL829" s="2">
        <v>0</v>
      </c>
      <c r="AM829" s="2">
        <v>0</v>
      </c>
    </row>
    <row r="830" spans="1:39">
      <c r="A830" s="349">
        <v>99031</v>
      </c>
      <c r="B830" s="342" t="s">
        <v>1524</v>
      </c>
      <c r="C830" s="234" t="e">
        <f>VLOOKUP(A830,#REF!,10,FALSE)</f>
        <v>#REF!</v>
      </c>
      <c r="E830" s="2">
        <v>48933</v>
      </c>
      <c r="F830" s="2">
        <v>7356</v>
      </c>
      <c r="G830" s="2">
        <v>24405</v>
      </c>
      <c r="H830" s="2">
        <v>5721</v>
      </c>
      <c r="I830" s="2">
        <v>0</v>
      </c>
      <c r="J830" s="2"/>
      <c r="K830" s="2">
        <v>18097</v>
      </c>
      <c r="L830" s="2">
        <v>17023</v>
      </c>
      <c r="M830" s="2">
        <v>15258</v>
      </c>
      <c r="N830" s="2">
        <v>6109</v>
      </c>
      <c r="O830" s="2">
        <v>0</v>
      </c>
      <c r="P830" s="2"/>
      <c r="Q830" s="2">
        <v>19212</v>
      </c>
      <c r="R830" s="2">
        <v>-16526</v>
      </c>
      <c r="S830" s="2">
        <v>2329</v>
      </c>
      <c r="T830" s="2">
        <v>3031</v>
      </c>
      <c r="U830" s="2">
        <v>0</v>
      </c>
      <c r="V830" s="2"/>
      <c r="W830" s="2">
        <v>21643</v>
      </c>
      <c r="X830" s="2">
        <v>17731</v>
      </c>
      <c r="Y830" s="2">
        <v>14394</v>
      </c>
      <c r="Z830" s="2">
        <v>0</v>
      </c>
      <c r="AA830" s="2">
        <v>0</v>
      </c>
      <c r="AB830" s="2"/>
      <c r="AC830" s="2">
        <v>855</v>
      </c>
      <c r="AD830" s="2">
        <v>0</v>
      </c>
      <c r="AE830" s="2">
        <v>0</v>
      </c>
      <c r="AF830" s="2">
        <v>0</v>
      </c>
      <c r="AG830" s="2">
        <v>0</v>
      </c>
      <c r="AH830" s="2"/>
      <c r="AI830" s="2">
        <v>-10874</v>
      </c>
      <c r="AJ830" s="2">
        <v>-10872</v>
      </c>
      <c r="AK830" s="2">
        <v>-7576</v>
      </c>
      <c r="AL830" s="2">
        <v>-3419</v>
      </c>
      <c r="AM830" s="2">
        <v>-10872</v>
      </c>
    </row>
    <row r="831" spans="1:39">
      <c r="A831" s="349">
        <v>99041</v>
      </c>
      <c r="B831" s="342" t="s">
        <v>1525</v>
      </c>
      <c r="C831" s="234" t="e">
        <f>VLOOKUP(A831,#REF!,10,FALSE)</f>
        <v>#REF!</v>
      </c>
      <c r="E831" s="2">
        <v>305269</v>
      </c>
      <c r="F831" s="2">
        <v>88376</v>
      </c>
      <c r="G831" s="2">
        <v>156481</v>
      </c>
      <c r="H831" s="2">
        <v>39052</v>
      </c>
      <c r="I831" s="2">
        <v>0</v>
      </c>
      <c r="J831" s="2"/>
      <c r="K831" s="2">
        <v>95637</v>
      </c>
      <c r="L831" s="2">
        <v>89963</v>
      </c>
      <c r="M831" s="2">
        <v>80633</v>
      </c>
      <c r="N831" s="2">
        <v>32285</v>
      </c>
      <c r="O831" s="2">
        <v>0</v>
      </c>
      <c r="P831" s="2"/>
      <c r="Q831" s="2">
        <v>101532</v>
      </c>
      <c r="R831" s="2">
        <v>-87336</v>
      </c>
      <c r="S831" s="2">
        <v>12309</v>
      </c>
      <c r="T831" s="2">
        <v>16020</v>
      </c>
      <c r="U831" s="2">
        <v>0</v>
      </c>
      <c r="V831" s="2"/>
      <c r="W831" s="2">
        <v>114377</v>
      </c>
      <c r="X831" s="2">
        <v>93702</v>
      </c>
      <c r="Y831" s="2">
        <v>76070</v>
      </c>
      <c r="Z831" s="2">
        <v>0</v>
      </c>
      <c r="AA831" s="2">
        <v>0</v>
      </c>
      <c r="AB831" s="2"/>
      <c r="AC831" s="2">
        <v>6256</v>
      </c>
      <c r="AD831" s="2">
        <v>4580</v>
      </c>
      <c r="AE831" s="2">
        <v>0</v>
      </c>
      <c r="AF831" s="2">
        <v>0</v>
      </c>
      <c r="AG831" s="2">
        <v>0</v>
      </c>
      <c r="AH831" s="2"/>
      <c r="AI831" s="2">
        <v>-12533</v>
      </c>
      <c r="AJ831" s="2">
        <v>-12533</v>
      </c>
      <c r="AK831" s="2">
        <v>-12531</v>
      </c>
      <c r="AL831" s="2">
        <v>-9253</v>
      </c>
      <c r="AM831" s="2">
        <v>-12533</v>
      </c>
    </row>
    <row r="832" spans="1:39">
      <c r="A832" s="349">
        <v>99047</v>
      </c>
      <c r="B832" s="342" t="s">
        <v>1526</v>
      </c>
      <c r="C832" s="234" t="e">
        <f>VLOOKUP(A832,#REF!,10,FALSE)</f>
        <v>#REF!</v>
      </c>
      <c r="E832" s="2">
        <v>9024</v>
      </c>
      <c r="F832" s="2">
        <v>4389</v>
      </c>
      <c r="G832" s="2">
        <v>4817</v>
      </c>
      <c r="H832" s="2">
        <v>1625</v>
      </c>
      <c r="I832" s="2">
        <v>0</v>
      </c>
      <c r="J832" s="2"/>
      <c r="K832" s="2">
        <v>1992</v>
      </c>
      <c r="L832" s="2">
        <v>1874</v>
      </c>
      <c r="M832" s="2">
        <v>1680</v>
      </c>
      <c r="N832" s="2">
        <v>673</v>
      </c>
      <c r="O832" s="2">
        <v>0</v>
      </c>
      <c r="P832" s="2"/>
      <c r="Q832" s="2">
        <v>2115</v>
      </c>
      <c r="R832" s="2">
        <v>-1820</v>
      </c>
      <c r="S832" s="2">
        <v>256</v>
      </c>
      <c r="T832" s="2">
        <v>334</v>
      </c>
      <c r="U832" s="2">
        <v>0</v>
      </c>
      <c r="V832" s="2"/>
      <c r="W832" s="2">
        <v>2383</v>
      </c>
      <c r="X832" s="2">
        <v>1952</v>
      </c>
      <c r="Y832" s="2">
        <v>1585</v>
      </c>
      <c r="Z832" s="2">
        <v>0</v>
      </c>
      <c r="AA832" s="2">
        <v>0</v>
      </c>
      <c r="AB832" s="2"/>
      <c r="AC832" s="2">
        <v>2534</v>
      </c>
      <c r="AD832" s="2">
        <v>2383</v>
      </c>
      <c r="AE832" s="2">
        <v>1296</v>
      </c>
      <c r="AF832" s="2">
        <v>618</v>
      </c>
      <c r="AG832" s="2">
        <v>0</v>
      </c>
      <c r="AH832" s="2"/>
      <c r="AI832" s="2">
        <v>0</v>
      </c>
      <c r="AJ832" s="2">
        <v>0</v>
      </c>
      <c r="AK832" s="2">
        <v>0</v>
      </c>
      <c r="AL832" s="2">
        <v>0</v>
      </c>
      <c r="AM832" s="2">
        <v>0</v>
      </c>
    </row>
    <row r="833" spans="1:39">
      <c r="A833" s="349">
        <v>99051</v>
      </c>
      <c r="B833" s="342" t="s">
        <v>1527</v>
      </c>
      <c r="C833" s="234" t="e">
        <f>VLOOKUP(A833,#REF!,10,FALSE)</f>
        <v>#REF!</v>
      </c>
      <c r="E833" s="2">
        <v>160686</v>
      </c>
      <c r="F833" s="2">
        <v>43686</v>
      </c>
      <c r="G833" s="2">
        <v>83089</v>
      </c>
      <c r="H833" s="2">
        <v>21581</v>
      </c>
      <c r="I833" s="2">
        <v>0</v>
      </c>
      <c r="J833" s="2"/>
      <c r="K833" s="2">
        <v>51009</v>
      </c>
      <c r="L833" s="2">
        <v>47983</v>
      </c>
      <c r="M833" s="2">
        <v>43007</v>
      </c>
      <c r="N833" s="2">
        <v>17219</v>
      </c>
      <c r="O833" s="2">
        <v>0</v>
      </c>
      <c r="P833" s="2"/>
      <c r="Q833" s="2">
        <v>54153</v>
      </c>
      <c r="R833" s="2">
        <v>-46582</v>
      </c>
      <c r="S833" s="2">
        <v>6565</v>
      </c>
      <c r="T833" s="2">
        <v>8545</v>
      </c>
      <c r="U833" s="2">
        <v>0</v>
      </c>
      <c r="V833" s="2"/>
      <c r="W833" s="2">
        <v>61005</v>
      </c>
      <c r="X833" s="2">
        <v>49977</v>
      </c>
      <c r="Y833" s="2">
        <v>40573</v>
      </c>
      <c r="Z833" s="2">
        <v>0</v>
      </c>
      <c r="AA833" s="2">
        <v>0</v>
      </c>
      <c r="AB833" s="2"/>
      <c r="AC833" s="2">
        <v>2211</v>
      </c>
      <c r="AD833" s="2">
        <v>0</v>
      </c>
      <c r="AE833" s="2">
        <v>0</v>
      </c>
      <c r="AF833" s="2">
        <v>0</v>
      </c>
      <c r="AG833" s="2">
        <v>0</v>
      </c>
      <c r="AH833" s="2"/>
      <c r="AI833" s="2">
        <v>-7692</v>
      </c>
      <c r="AJ833" s="2">
        <v>-7692</v>
      </c>
      <c r="AK833" s="2">
        <v>-7056</v>
      </c>
      <c r="AL833" s="2">
        <v>-4183</v>
      </c>
      <c r="AM833" s="2">
        <v>-7692</v>
      </c>
    </row>
    <row r="834" spans="1:39">
      <c r="A834" s="349">
        <v>99061</v>
      </c>
      <c r="B834" s="342" t="s">
        <v>1528</v>
      </c>
      <c r="C834" s="234" t="e">
        <f>VLOOKUP(A834,#REF!,10,FALSE)</f>
        <v>#REF!</v>
      </c>
      <c r="E834" s="2">
        <v>5269</v>
      </c>
      <c r="F834" s="2">
        <v>2564</v>
      </c>
      <c r="G834" s="2">
        <v>2472</v>
      </c>
      <c r="H834" s="2">
        <v>475</v>
      </c>
      <c r="I834" s="2">
        <v>0</v>
      </c>
      <c r="J834" s="2"/>
      <c r="K834" s="2">
        <v>914</v>
      </c>
      <c r="L834" s="2">
        <v>860</v>
      </c>
      <c r="M834" s="2">
        <v>770</v>
      </c>
      <c r="N834" s="2">
        <v>308</v>
      </c>
      <c r="O834" s="2">
        <v>0</v>
      </c>
      <c r="P834" s="2"/>
      <c r="Q834" s="2">
        <v>970</v>
      </c>
      <c r="R834" s="2">
        <v>-835</v>
      </c>
      <c r="S834" s="2">
        <v>118</v>
      </c>
      <c r="T834" s="2">
        <v>153</v>
      </c>
      <c r="U834" s="2">
        <v>0</v>
      </c>
      <c r="V834" s="2"/>
      <c r="W834" s="2">
        <v>1093</v>
      </c>
      <c r="X834" s="2">
        <v>895</v>
      </c>
      <c r="Y834" s="2">
        <v>727</v>
      </c>
      <c r="Z834" s="2">
        <v>0</v>
      </c>
      <c r="AA834" s="2">
        <v>0</v>
      </c>
      <c r="AB834" s="2"/>
      <c r="AC834" s="2">
        <v>2292</v>
      </c>
      <c r="AD834" s="2">
        <v>1644</v>
      </c>
      <c r="AE834" s="2">
        <v>857</v>
      </c>
      <c r="AF834" s="2">
        <v>14</v>
      </c>
      <c r="AG834" s="2">
        <v>0</v>
      </c>
      <c r="AH834" s="2"/>
      <c r="AI834" s="2">
        <v>0</v>
      </c>
      <c r="AJ834" s="2">
        <v>0</v>
      </c>
      <c r="AK834" s="2">
        <v>0</v>
      </c>
      <c r="AL834" s="2">
        <v>0</v>
      </c>
      <c r="AM834" s="2">
        <v>0</v>
      </c>
    </row>
    <row r="835" spans="1:39">
      <c r="A835" s="349">
        <v>99071</v>
      </c>
      <c r="B835" s="342" t="s">
        <v>1529</v>
      </c>
      <c r="C835" s="234" t="e">
        <f>VLOOKUP(A835,#REF!,10,FALSE)</f>
        <v>#REF!</v>
      </c>
      <c r="E835" s="2">
        <v>12292</v>
      </c>
      <c r="F835" s="2">
        <v>4190</v>
      </c>
      <c r="G835" s="2">
        <v>6772</v>
      </c>
      <c r="H835" s="2">
        <v>2989</v>
      </c>
      <c r="I835" s="2">
        <v>0</v>
      </c>
      <c r="J835" s="2"/>
      <c r="K835" s="2">
        <v>3670</v>
      </c>
      <c r="L835" s="2">
        <v>3453</v>
      </c>
      <c r="M835" s="2">
        <v>3094</v>
      </c>
      <c r="N835" s="2">
        <v>1239</v>
      </c>
      <c r="O835" s="2">
        <v>0</v>
      </c>
      <c r="P835" s="2"/>
      <c r="Q835" s="2">
        <v>3897</v>
      </c>
      <c r="R835" s="2">
        <v>-3352</v>
      </c>
      <c r="S835" s="2">
        <v>472</v>
      </c>
      <c r="T835" s="2">
        <v>615</v>
      </c>
      <c r="U835" s="2">
        <v>0</v>
      </c>
      <c r="V835" s="2"/>
      <c r="W835" s="2">
        <v>4389</v>
      </c>
      <c r="X835" s="2">
        <v>3596</v>
      </c>
      <c r="Y835" s="2">
        <v>2919</v>
      </c>
      <c r="Z835" s="2">
        <v>0</v>
      </c>
      <c r="AA835" s="2">
        <v>0</v>
      </c>
      <c r="AB835" s="2"/>
      <c r="AC835" s="2">
        <v>1339</v>
      </c>
      <c r="AD835" s="2">
        <v>1341</v>
      </c>
      <c r="AE835" s="2">
        <v>1135</v>
      </c>
      <c r="AF835" s="2">
        <v>1135</v>
      </c>
      <c r="AG835" s="2">
        <v>0</v>
      </c>
      <c r="AH835" s="2"/>
      <c r="AI835" s="2">
        <v>-1003</v>
      </c>
      <c r="AJ835" s="2">
        <v>-848</v>
      </c>
      <c r="AK835" s="2">
        <v>-848</v>
      </c>
      <c r="AL835" s="2">
        <v>0</v>
      </c>
      <c r="AM835" s="2">
        <v>-848</v>
      </c>
    </row>
    <row r="836" spans="1:39">
      <c r="A836" s="349">
        <v>99081</v>
      </c>
      <c r="B836" s="342" t="s">
        <v>1530</v>
      </c>
      <c r="C836" s="234" t="e">
        <f>VLOOKUP(A836,#REF!,10,FALSE)</f>
        <v>#REF!</v>
      </c>
      <c r="E836" s="2">
        <v>19728</v>
      </c>
      <c r="F836" s="2">
        <v>8395</v>
      </c>
      <c r="G836" s="2">
        <v>14635</v>
      </c>
      <c r="H836" s="2">
        <v>6675</v>
      </c>
      <c r="I836" s="2">
        <v>0</v>
      </c>
      <c r="J836" s="2"/>
      <c r="K836" s="2">
        <v>5468</v>
      </c>
      <c r="L836" s="2">
        <v>5144</v>
      </c>
      <c r="M836" s="2">
        <v>4610</v>
      </c>
      <c r="N836" s="2">
        <v>1846</v>
      </c>
      <c r="O836" s="2">
        <v>0</v>
      </c>
      <c r="P836" s="2"/>
      <c r="Q836" s="2">
        <v>5805</v>
      </c>
      <c r="R836" s="2">
        <v>-4993</v>
      </c>
      <c r="S836" s="2">
        <v>704</v>
      </c>
      <c r="T836" s="2">
        <v>916</v>
      </c>
      <c r="U836" s="2">
        <v>0</v>
      </c>
      <c r="V836" s="2"/>
      <c r="W836" s="2">
        <v>6539</v>
      </c>
      <c r="X836" s="2">
        <v>5357</v>
      </c>
      <c r="Y836" s="2">
        <v>4349</v>
      </c>
      <c r="Z836" s="2">
        <v>0</v>
      </c>
      <c r="AA836" s="2">
        <v>0</v>
      </c>
      <c r="AB836" s="2"/>
      <c r="AC836" s="2">
        <v>4974</v>
      </c>
      <c r="AD836" s="2">
        <v>4974</v>
      </c>
      <c r="AE836" s="2">
        <v>4972</v>
      </c>
      <c r="AF836" s="2">
        <v>3913</v>
      </c>
      <c r="AG836" s="2">
        <v>0</v>
      </c>
      <c r="AH836" s="2"/>
      <c r="AI836" s="2">
        <v>-3058</v>
      </c>
      <c r="AJ836" s="2">
        <v>-2087</v>
      </c>
      <c r="AK836" s="2">
        <v>0</v>
      </c>
      <c r="AL836" s="2">
        <v>0</v>
      </c>
      <c r="AM836" s="2">
        <v>-2087</v>
      </c>
    </row>
    <row r="837" spans="1:39">
      <c r="A837" s="349">
        <v>99091</v>
      </c>
      <c r="B837" s="342" t="s">
        <v>1531</v>
      </c>
      <c r="C837" s="234" t="e">
        <f>VLOOKUP(A837,#REF!,10,FALSE)</f>
        <v>#REF!</v>
      </c>
      <c r="E837" s="2">
        <v>5669</v>
      </c>
      <c r="F837" s="2">
        <v>3490</v>
      </c>
      <c r="G837" s="2">
        <v>3536</v>
      </c>
      <c r="H837" s="2">
        <v>1952</v>
      </c>
      <c r="I837" s="2">
        <v>0</v>
      </c>
      <c r="J837" s="2"/>
      <c r="K837" s="2">
        <v>809</v>
      </c>
      <c r="L837" s="2">
        <v>761</v>
      </c>
      <c r="M837" s="2">
        <v>682</v>
      </c>
      <c r="N837" s="2">
        <v>273</v>
      </c>
      <c r="O837" s="2">
        <v>0</v>
      </c>
      <c r="P837" s="2"/>
      <c r="Q837" s="2">
        <v>859</v>
      </c>
      <c r="R837" s="2">
        <v>-739</v>
      </c>
      <c r="S837" s="2">
        <v>104</v>
      </c>
      <c r="T837" s="2">
        <v>136</v>
      </c>
      <c r="U837" s="2">
        <v>0</v>
      </c>
      <c r="V837" s="2"/>
      <c r="W837" s="2">
        <v>967</v>
      </c>
      <c r="X837" s="2">
        <v>793</v>
      </c>
      <c r="Y837" s="2">
        <v>643</v>
      </c>
      <c r="Z837" s="2">
        <v>0</v>
      </c>
      <c r="AA837" s="2">
        <v>0</v>
      </c>
      <c r="AB837" s="2"/>
      <c r="AC837" s="2">
        <v>3034</v>
      </c>
      <c r="AD837" s="2">
        <v>2675</v>
      </c>
      <c r="AE837" s="2">
        <v>2107</v>
      </c>
      <c r="AF837" s="2">
        <v>1543</v>
      </c>
      <c r="AG837" s="2">
        <v>0</v>
      </c>
      <c r="AH837" s="2"/>
      <c r="AI837" s="2">
        <v>0</v>
      </c>
      <c r="AJ837" s="2">
        <v>0</v>
      </c>
      <c r="AK837" s="2">
        <v>0</v>
      </c>
      <c r="AL837" s="2">
        <v>0</v>
      </c>
      <c r="AM837" s="2">
        <v>0</v>
      </c>
    </row>
    <row r="838" spans="1:39">
      <c r="A838" s="349">
        <v>99101</v>
      </c>
      <c r="B838" s="342" t="s">
        <v>1532</v>
      </c>
      <c r="C838" s="234" t="e">
        <f>VLOOKUP(A838,#REF!,10,FALSE)</f>
        <v>#REF!</v>
      </c>
      <c r="E838" s="2">
        <v>1001234</v>
      </c>
      <c r="F838" s="2">
        <v>293948</v>
      </c>
      <c r="G838" s="2">
        <v>524704</v>
      </c>
      <c r="H838" s="2">
        <v>132708</v>
      </c>
      <c r="I838" s="2">
        <v>0</v>
      </c>
      <c r="J838" s="2"/>
      <c r="K838" s="2">
        <v>317860</v>
      </c>
      <c r="L838" s="2">
        <v>299004</v>
      </c>
      <c r="M838" s="2">
        <v>267994</v>
      </c>
      <c r="N838" s="2">
        <v>107302</v>
      </c>
      <c r="O838" s="2">
        <v>0</v>
      </c>
      <c r="P838" s="2"/>
      <c r="Q838" s="2">
        <v>337453</v>
      </c>
      <c r="R838" s="2">
        <v>-290273</v>
      </c>
      <c r="S838" s="2">
        <v>40910</v>
      </c>
      <c r="T838" s="2">
        <v>53244</v>
      </c>
      <c r="U838" s="2">
        <v>0</v>
      </c>
      <c r="V838" s="2"/>
      <c r="W838" s="2">
        <v>380146</v>
      </c>
      <c r="X838" s="2">
        <v>311429</v>
      </c>
      <c r="Y838" s="2">
        <v>252827</v>
      </c>
      <c r="Z838" s="2">
        <v>0</v>
      </c>
      <c r="AA838" s="2">
        <v>0</v>
      </c>
      <c r="AB838" s="2"/>
      <c r="AC838" s="2">
        <v>10814</v>
      </c>
      <c r="AD838" s="2">
        <v>10815</v>
      </c>
      <c r="AE838" s="2">
        <v>0</v>
      </c>
      <c r="AF838" s="2">
        <v>0</v>
      </c>
      <c r="AG838" s="2">
        <v>0</v>
      </c>
      <c r="AH838" s="2"/>
      <c r="AI838" s="2">
        <v>-45039</v>
      </c>
      <c r="AJ838" s="2">
        <v>-37027</v>
      </c>
      <c r="AK838" s="2">
        <v>-37027</v>
      </c>
      <c r="AL838" s="2">
        <v>-27838</v>
      </c>
      <c r="AM838" s="2">
        <v>-37027</v>
      </c>
    </row>
    <row r="839" spans="1:39">
      <c r="A839" s="349">
        <v>99104</v>
      </c>
      <c r="B839" s="342" t="s">
        <v>2782</v>
      </c>
      <c r="C839" s="234" t="e">
        <f>VLOOKUP(A839,#REF!,10,FALSE)</f>
        <v>#REF!</v>
      </c>
      <c r="E839" s="2">
        <v>22809</v>
      </c>
      <c r="F839" s="2">
        <v>9934</v>
      </c>
      <c r="G839" s="2">
        <v>12377</v>
      </c>
      <c r="H839" s="2">
        <v>4325</v>
      </c>
      <c r="I839" s="2">
        <v>0</v>
      </c>
      <c r="J839" s="2"/>
      <c r="K839" s="2">
        <v>4899</v>
      </c>
      <c r="L839" s="2">
        <v>4608</v>
      </c>
      <c r="M839" s="2">
        <v>4130</v>
      </c>
      <c r="N839" s="2">
        <v>1654</v>
      </c>
      <c r="O839" s="2">
        <v>0</v>
      </c>
      <c r="P839" s="2"/>
      <c r="Q839" s="2">
        <v>5201</v>
      </c>
      <c r="R839" s="2">
        <v>-4474</v>
      </c>
      <c r="S839" s="2">
        <v>630</v>
      </c>
      <c r="T839" s="2">
        <v>821</v>
      </c>
      <c r="U839" s="2">
        <v>0</v>
      </c>
      <c r="V839" s="2"/>
      <c r="W839" s="2">
        <v>5859</v>
      </c>
      <c r="X839" s="2">
        <v>4800</v>
      </c>
      <c r="Y839" s="2">
        <v>3896</v>
      </c>
      <c r="Z839" s="2">
        <v>0</v>
      </c>
      <c r="AA839" s="2">
        <v>0</v>
      </c>
      <c r="AB839" s="2"/>
      <c r="AC839" s="2">
        <v>6850</v>
      </c>
      <c r="AD839" s="2">
        <v>5000</v>
      </c>
      <c r="AE839" s="2">
        <v>3721</v>
      </c>
      <c r="AF839" s="2">
        <v>1850</v>
      </c>
      <c r="AG839" s="2">
        <v>0</v>
      </c>
      <c r="AH839" s="2"/>
      <c r="AI839" s="2">
        <v>0</v>
      </c>
      <c r="AJ839" s="2">
        <v>0</v>
      </c>
      <c r="AK839" s="2">
        <v>0</v>
      </c>
      <c r="AL839" s="2">
        <v>0</v>
      </c>
      <c r="AM839" s="2">
        <v>0</v>
      </c>
    </row>
    <row r="840" spans="1:39">
      <c r="A840" s="349">
        <v>99109</v>
      </c>
      <c r="B840" s="342" t="s">
        <v>2801</v>
      </c>
      <c r="C840" s="234" t="e">
        <f>VLOOKUP(A840,#REF!,10,FALSE)</f>
        <v>#REF!</v>
      </c>
      <c r="E840" s="2">
        <v>53708</v>
      </c>
      <c r="F840" s="2">
        <v>17177</v>
      </c>
      <c r="G840" s="2">
        <v>29730</v>
      </c>
      <c r="H840" s="2">
        <v>8309</v>
      </c>
      <c r="I840" s="2">
        <v>0</v>
      </c>
      <c r="J840" s="2"/>
      <c r="K840" s="2">
        <v>17512</v>
      </c>
      <c r="L840" s="2">
        <v>16474</v>
      </c>
      <c r="M840" s="2">
        <v>14765</v>
      </c>
      <c r="N840" s="2">
        <v>5912</v>
      </c>
      <c r="O840" s="2">
        <v>0</v>
      </c>
      <c r="P840" s="2"/>
      <c r="Q840" s="2">
        <v>18592</v>
      </c>
      <c r="R840" s="2">
        <v>-15993</v>
      </c>
      <c r="S840" s="2">
        <v>2254</v>
      </c>
      <c r="T840" s="2">
        <v>2933</v>
      </c>
      <c r="U840" s="2">
        <v>0</v>
      </c>
      <c r="V840" s="2"/>
      <c r="W840" s="2">
        <v>20944</v>
      </c>
      <c r="X840" s="2">
        <v>17158</v>
      </c>
      <c r="Y840" s="2">
        <v>13929</v>
      </c>
      <c r="Z840" s="2">
        <v>0</v>
      </c>
      <c r="AA840" s="2">
        <v>0</v>
      </c>
      <c r="AB840" s="2"/>
      <c r="AC840" s="2">
        <v>759</v>
      </c>
      <c r="AD840" s="2">
        <v>758</v>
      </c>
      <c r="AE840" s="2">
        <v>0</v>
      </c>
      <c r="AF840" s="2">
        <v>0</v>
      </c>
      <c r="AG840" s="2">
        <v>0</v>
      </c>
      <c r="AH840" s="2"/>
      <c r="AI840" s="2">
        <v>-4099</v>
      </c>
      <c r="AJ840" s="2">
        <v>-1220</v>
      </c>
      <c r="AK840" s="2">
        <v>-1218</v>
      </c>
      <c r="AL840" s="2">
        <v>-536</v>
      </c>
      <c r="AM840" s="2">
        <v>-1220</v>
      </c>
    </row>
    <row r="841" spans="1:39">
      <c r="A841" s="349">
        <v>99110</v>
      </c>
      <c r="B841" s="342" t="s">
        <v>1535</v>
      </c>
      <c r="C841" s="234" t="e">
        <f>VLOOKUP(A841,#REF!,10,FALSE)</f>
        <v>#REF!</v>
      </c>
      <c r="E841" s="2">
        <v>93979</v>
      </c>
      <c r="F841" s="2">
        <v>39554</v>
      </c>
      <c r="G841" s="2">
        <v>49317</v>
      </c>
      <c r="H841" s="2">
        <v>14783</v>
      </c>
      <c r="I841" s="2">
        <v>0</v>
      </c>
      <c r="J841" s="2"/>
      <c r="K841" s="2">
        <v>21527</v>
      </c>
      <c r="L841" s="2">
        <v>20250</v>
      </c>
      <c r="M841" s="2">
        <v>18150</v>
      </c>
      <c r="N841" s="2">
        <v>7267</v>
      </c>
      <c r="O841" s="2">
        <v>0</v>
      </c>
      <c r="P841" s="2"/>
      <c r="Q841" s="2">
        <v>22854</v>
      </c>
      <c r="R841" s="2">
        <v>-19659</v>
      </c>
      <c r="S841" s="2">
        <v>2771</v>
      </c>
      <c r="T841" s="2">
        <v>3606</v>
      </c>
      <c r="U841" s="2">
        <v>0</v>
      </c>
      <c r="V841" s="2"/>
      <c r="W841" s="2">
        <v>25746</v>
      </c>
      <c r="X841" s="2">
        <v>21092</v>
      </c>
      <c r="Y841" s="2">
        <v>17123</v>
      </c>
      <c r="Z841" s="2">
        <v>0</v>
      </c>
      <c r="AA841" s="2">
        <v>0</v>
      </c>
      <c r="AB841" s="2"/>
      <c r="AC841" s="2">
        <v>23852</v>
      </c>
      <c r="AD841" s="2">
        <v>17871</v>
      </c>
      <c r="AE841" s="2">
        <v>11273</v>
      </c>
      <c r="AF841" s="2">
        <v>3910</v>
      </c>
      <c r="AG841" s="2">
        <v>0</v>
      </c>
      <c r="AH841" s="2"/>
      <c r="AI841" s="2">
        <v>0</v>
      </c>
      <c r="AJ841" s="2">
        <v>0</v>
      </c>
      <c r="AK841" s="2">
        <v>0</v>
      </c>
      <c r="AL841" s="2">
        <v>0</v>
      </c>
      <c r="AM841" s="2">
        <v>0</v>
      </c>
    </row>
    <row r="842" spans="1:39">
      <c r="A842" s="349">
        <v>99111</v>
      </c>
      <c r="B842" s="342" t="s">
        <v>1536</v>
      </c>
      <c r="C842" s="234" t="e">
        <f>VLOOKUP(A842,#REF!,10,FALSE)</f>
        <v>#REF!</v>
      </c>
      <c r="E842" s="2">
        <v>606137</v>
      </c>
      <c r="F842" s="2">
        <v>178736</v>
      </c>
      <c r="G842" s="2">
        <v>336952</v>
      </c>
      <c r="H842" s="2">
        <v>92372</v>
      </c>
      <c r="I842" s="2">
        <v>0</v>
      </c>
      <c r="J842" s="2"/>
      <c r="K842" s="2">
        <v>195723</v>
      </c>
      <c r="L842" s="2">
        <v>184112</v>
      </c>
      <c r="M842" s="2">
        <v>165017</v>
      </c>
      <c r="N842" s="2">
        <v>66071</v>
      </c>
      <c r="O842" s="2">
        <v>0</v>
      </c>
      <c r="P842" s="2"/>
      <c r="Q842" s="2">
        <v>207787</v>
      </c>
      <c r="R842" s="2">
        <v>-178736</v>
      </c>
      <c r="S842" s="2">
        <v>25191</v>
      </c>
      <c r="T842" s="2">
        <v>32785</v>
      </c>
      <c r="U842" s="2">
        <v>0</v>
      </c>
      <c r="V842" s="2"/>
      <c r="W842" s="2">
        <v>234075</v>
      </c>
      <c r="X842" s="2">
        <v>191763</v>
      </c>
      <c r="Y842" s="2">
        <v>155679</v>
      </c>
      <c r="Z842" s="2">
        <v>0</v>
      </c>
      <c r="AA842" s="2">
        <v>0</v>
      </c>
      <c r="AB842" s="2"/>
      <c r="AC842" s="2">
        <v>0</v>
      </c>
      <c r="AD842" s="2">
        <v>0</v>
      </c>
      <c r="AE842" s="2">
        <v>0</v>
      </c>
      <c r="AF842" s="2">
        <v>0</v>
      </c>
      <c r="AG842" s="2">
        <v>0</v>
      </c>
      <c r="AH842" s="2"/>
      <c r="AI842" s="2">
        <v>-31448</v>
      </c>
      <c r="AJ842" s="2">
        <v>-18403</v>
      </c>
      <c r="AK842" s="2">
        <v>-8935</v>
      </c>
      <c r="AL842" s="2">
        <v>-6484</v>
      </c>
      <c r="AM842" s="2">
        <v>-18403</v>
      </c>
    </row>
    <row r="843" spans="1:39">
      <c r="A843" s="349">
        <v>99201</v>
      </c>
      <c r="B843" s="342" t="s">
        <v>1537</v>
      </c>
      <c r="C843" s="234" t="e">
        <f>VLOOKUP(A843,#REF!,10,FALSE)</f>
        <v>#REF!</v>
      </c>
      <c r="E843" s="2">
        <v>17767424</v>
      </c>
      <c r="F843" s="2">
        <v>5767275</v>
      </c>
      <c r="G843" s="2">
        <v>9643328</v>
      </c>
      <c r="H843" s="2">
        <v>2830177</v>
      </c>
      <c r="I843" s="2">
        <v>0</v>
      </c>
      <c r="J843" s="2"/>
      <c r="K843" s="2">
        <v>5285835</v>
      </c>
      <c r="L843" s="2">
        <v>4972264</v>
      </c>
      <c r="M843" s="2">
        <v>4456584</v>
      </c>
      <c r="N843" s="2">
        <v>1784362</v>
      </c>
      <c r="O843" s="2">
        <v>0</v>
      </c>
      <c r="P843" s="2"/>
      <c r="Q843" s="2">
        <v>5611650</v>
      </c>
      <c r="R843" s="2">
        <v>-4827069</v>
      </c>
      <c r="S843" s="2">
        <v>680317</v>
      </c>
      <c r="T843" s="2">
        <v>885424</v>
      </c>
      <c r="U843" s="2">
        <v>0</v>
      </c>
      <c r="V843" s="2"/>
      <c r="W843" s="2">
        <v>6321606</v>
      </c>
      <c r="X843" s="2">
        <v>5178888</v>
      </c>
      <c r="Y843" s="2">
        <v>4204371</v>
      </c>
      <c r="Z843" s="2">
        <v>0</v>
      </c>
      <c r="AA843" s="2">
        <v>0</v>
      </c>
      <c r="AB843" s="2"/>
      <c r="AC843" s="2">
        <v>548333</v>
      </c>
      <c r="AD843" s="2">
        <v>443192</v>
      </c>
      <c r="AE843" s="2">
        <v>302056</v>
      </c>
      <c r="AF843" s="2">
        <v>160391</v>
      </c>
      <c r="AG843" s="2">
        <v>0</v>
      </c>
      <c r="AH843" s="2"/>
      <c r="AI843" s="2">
        <v>0</v>
      </c>
      <c r="AJ843" s="2">
        <v>0</v>
      </c>
      <c r="AK843" s="2">
        <v>0</v>
      </c>
      <c r="AL843" s="2">
        <v>0</v>
      </c>
      <c r="AM843" s="2">
        <v>0</v>
      </c>
    </row>
    <row r="844" spans="1:39">
      <c r="A844" s="349">
        <v>99202</v>
      </c>
      <c r="B844" s="342" t="s">
        <v>1538</v>
      </c>
      <c r="C844" s="234" t="e">
        <f>VLOOKUP(A844,#REF!,10,FALSE)</f>
        <v>#REF!</v>
      </c>
      <c r="E844" s="2">
        <v>1336577</v>
      </c>
      <c r="F844" s="2">
        <v>413203</v>
      </c>
      <c r="G844" s="2">
        <v>746614</v>
      </c>
      <c r="H844" s="2">
        <v>213319</v>
      </c>
      <c r="I844" s="2">
        <v>0</v>
      </c>
      <c r="J844" s="2"/>
      <c r="K844" s="2">
        <v>424283</v>
      </c>
      <c r="L844" s="2">
        <v>399114</v>
      </c>
      <c r="M844" s="2">
        <v>357721</v>
      </c>
      <c r="N844" s="2">
        <v>143227</v>
      </c>
      <c r="O844" s="2">
        <v>0</v>
      </c>
      <c r="P844" s="2"/>
      <c r="Q844" s="2">
        <v>450436</v>
      </c>
      <c r="R844" s="2">
        <v>-387459</v>
      </c>
      <c r="S844" s="2">
        <v>54608</v>
      </c>
      <c r="T844" s="2">
        <v>71071</v>
      </c>
      <c r="U844" s="2">
        <v>0</v>
      </c>
      <c r="V844" s="2"/>
      <c r="W844" s="2">
        <v>507423</v>
      </c>
      <c r="X844" s="2">
        <v>415699</v>
      </c>
      <c r="Y844" s="2">
        <v>337476</v>
      </c>
      <c r="Z844" s="2">
        <v>0</v>
      </c>
      <c r="AA844" s="2">
        <v>0</v>
      </c>
      <c r="AB844" s="2"/>
      <c r="AC844" s="2">
        <v>0</v>
      </c>
      <c r="AD844" s="2">
        <v>0</v>
      </c>
      <c r="AE844" s="2">
        <v>0</v>
      </c>
      <c r="AF844" s="2">
        <v>0</v>
      </c>
      <c r="AG844" s="2">
        <v>0</v>
      </c>
      <c r="AH844" s="2"/>
      <c r="AI844" s="2">
        <v>-45565</v>
      </c>
      <c r="AJ844" s="2">
        <v>-14151</v>
      </c>
      <c r="AK844" s="2">
        <v>-3191</v>
      </c>
      <c r="AL844" s="2">
        <v>-979</v>
      </c>
      <c r="AM844" s="2">
        <v>-14151</v>
      </c>
    </row>
    <row r="845" spans="1:39">
      <c r="A845" s="349">
        <v>99203</v>
      </c>
      <c r="B845" s="342" t="s">
        <v>1539</v>
      </c>
      <c r="C845" s="234" t="e">
        <f>VLOOKUP(A845,#REF!,10,FALSE)</f>
        <v>#REF!</v>
      </c>
      <c r="E845" s="2">
        <v>176264</v>
      </c>
      <c r="F845" s="2">
        <v>53970</v>
      </c>
      <c r="G845" s="2">
        <v>99201</v>
      </c>
      <c r="H845" s="2">
        <v>35351</v>
      </c>
      <c r="I845" s="2">
        <v>0</v>
      </c>
      <c r="J845" s="2"/>
      <c r="K845" s="2">
        <v>52702</v>
      </c>
      <c r="L845" s="2">
        <v>49576</v>
      </c>
      <c r="M845" s="2">
        <v>44434</v>
      </c>
      <c r="N845" s="2">
        <v>17791</v>
      </c>
      <c r="O845" s="2">
        <v>0</v>
      </c>
      <c r="P845" s="2"/>
      <c r="Q845" s="2">
        <v>55951</v>
      </c>
      <c r="R845" s="2">
        <v>-48128</v>
      </c>
      <c r="S845" s="2">
        <v>6783</v>
      </c>
      <c r="T845" s="2">
        <v>8828</v>
      </c>
      <c r="U845" s="2">
        <v>0</v>
      </c>
      <c r="V845" s="2"/>
      <c r="W845" s="2">
        <v>63029</v>
      </c>
      <c r="X845" s="2">
        <v>51636</v>
      </c>
      <c r="Y845" s="2">
        <v>41919</v>
      </c>
      <c r="Z845" s="2">
        <v>0</v>
      </c>
      <c r="AA845" s="2">
        <v>0</v>
      </c>
      <c r="AB845" s="2"/>
      <c r="AC845" s="2">
        <v>12428</v>
      </c>
      <c r="AD845" s="2">
        <v>8730</v>
      </c>
      <c r="AE845" s="2">
        <v>8730</v>
      </c>
      <c r="AF845" s="2">
        <v>8732</v>
      </c>
      <c r="AG845" s="2">
        <v>0</v>
      </c>
      <c r="AH845" s="2"/>
      <c r="AI845" s="2">
        <v>-7846</v>
      </c>
      <c r="AJ845" s="2">
        <v>-7844</v>
      </c>
      <c r="AK845" s="2">
        <v>-2665</v>
      </c>
      <c r="AL845" s="2">
        <v>0</v>
      </c>
      <c r="AM845" s="2">
        <v>-7844</v>
      </c>
    </row>
    <row r="846" spans="1:39">
      <c r="A846" s="349">
        <v>99204</v>
      </c>
      <c r="B846" s="342" t="s">
        <v>1540</v>
      </c>
      <c r="C846" s="234" t="e">
        <f>VLOOKUP(A846,#REF!,10,FALSE)</f>
        <v>#REF!</v>
      </c>
      <c r="E846" s="2">
        <v>499504</v>
      </c>
      <c r="F846" s="2">
        <v>169430</v>
      </c>
      <c r="G846" s="2">
        <v>263799</v>
      </c>
      <c r="H846" s="2">
        <v>71988</v>
      </c>
      <c r="I846" s="2">
        <v>0</v>
      </c>
      <c r="J846" s="2"/>
      <c r="K846" s="2">
        <v>141043</v>
      </c>
      <c r="L846" s="2">
        <v>132676</v>
      </c>
      <c r="M846" s="2">
        <v>118916</v>
      </c>
      <c r="N846" s="2">
        <v>47613</v>
      </c>
      <c r="O846" s="2">
        <v>0</v>
      </c>
      <c r="P846" s="2"/>
      <c r="Q846" s="2">
        <v>149737</v>
      </c>
      <c r="R846" s="2">
        <v>-128802</v>
      </c>
      <c r="S846" s="2">
        <v>18153</v>
      </c>
      <c r="T846" s="2">
        <v>23626</v>
      </c>
      <c r="U846" s="2">
        <v>0</v>
      </c>
      <c r="V846" s="2"/>
      <c r="W846" s="2">
        <v>168681</v>
      </c>
      <c r="X846" s="2">
        <v>138190</v>
      </c>
      <c r="Y846" s="2">
        <v>112186</v>
      </c>
      <c r="Z846" s="2">
        <v>0</v>
      </c>
      <c r="AA846" s="2">
        <v>0</v>
      </c>
      <c r="AB846" s="2"/>
      <c r="AC846" s="2">
        <v>40043</v>
      </c>
      <c r="AD846" s="2">
        <v>27366</v>
      </c>
      <c r="AE846" s="2">
        <v>14544</v>
      </c>
      <c r="AF846" s="2">
        <v>749</v>
      </c>
      <c r="AG846" s="2">
        <v>0</v>
      </c>
      <c r="AH846" s="2"/>
      <c r="AI846" s="2">
        <v>0</v>
      </c>
      <c r="AJ846" s="2">
        <v>0</v>
      </c>
      <c r="AK846" s="2">
        <v>0</v>
      </c>
      <c r="AL846" s="2">
        <v>0</v>
      </c>
      <c r="AM846" s="2">
        <v>0</v>
      </c>
    </row>
    <row r="847" spans="1:39">
      <c r="A847" s="349">
        <v>99206</v>
      </c>
      <c r="B847" s="342" t="s">
        <v>1541</v>
      </c>
      <c r="C847" s="234" t="e">
        <f>VLOOKUP(A847,#REF!,10,FALSE)</f>
        <v>#REF!</v>
      </c>
      <c r="E847" s="2">
        <v>1009816</v>
      </c>
      <c r="F847" s="2">
        <v>416864</v>
      </c>
      <c r="G847" s="2">
        <v>512056</v>
      </c>
      <c r="H847" s="2">
        <v>98680</v>
      </c>
      <c r="I847" s="2">
        <v>0</v>
      </c>
      <c r="J847" s="2"/>
      <c r="K847" s="2">
        <v>245324</v>
      </c>
      <c r="L847" s="2">
        <v>230771</v>
      </c>
      <c r="M847" s="2">
        <v>206837</v>
      </c>
      <c r="N847" s="2">
        <v>82815</v>
      </c>
      <c r="O847" s="2">
        <v>0</v>
      </c>
      <c r="P847" s="2"/>
      <c r="Q847" s="2">
        <v>260446</v>
      </c>
      <c r="R847" s="2">
        <v>-224032</v>
      </c>
      <c r="S847" s="2">
        <v>31575</v>
      </c>
      <c r="T847" s="2">
        <v>41094</v>
      </c>
      <c r="U847" s="2">
        <v>0</v>
      </c>
      <c r="V847" s="2"/>
      <c r="W847" s="2">
        <v>293396</v>
      </c>
      <c r="X847" s="2">
        <v>240360</v>
      </c>
      <c r="Y847" s="2">
        <v>195132</v>
      </c>
      <c r="Z847" s="2">
        <v>0</v>
      </c>
      <c r="AA847" s="2">
        <v>0</v>
      </c>
      <c r="AB847" s="2"/>
      <c r="AC847" s="2">
        <v>235877</v>
      </c>
      <c r="AD847" s="2">
        <v>194992</v>
      </c>
      <c r="AE847" s="2">
        <v>103739</v>
      </c>
      <c r="AF847" s="2">
        <v>0</v>
      </c>
      <c r="AG847" s="2">
        <v>0</v>
      </c>
      <c r="AH847" s="2"/>
      <c r="AI847" s="2">
        <v>-25227</v>
      </c>
      <c r="AJ847" s="2">
        <v>-25227</v>
      </c>
      <c r="AK847" s="2">
        <v>-25227</v>
      </c>
      <c r="AL847" s="2">
        <v>-25229</v>
      </c>
      <c r="AM847" s="2">
        <v>-25227</v>
      </c>
    </row>
    <row r="848" spans="1:39">
      <c r="A848" s="349">
        <v>99207</v>
      </c>
      <c r="B848" s="342" t="s">
        <v>1542</v>
      </c>
      <c r="C848" s="234" t="e">
        <f>VLOOKUP(A848,#REF!,10,FALSE)</f>
        <v>#REF!</v>
      </c>
      <c r="E848" s="2">
        <v>138774</v>
      </c>
      <c r="F848" s="2">
        <v>87212</v>
      </c>
      <c r="G848" s="2">
        <v>78334</v>
      </c>
      <c r="H848" s="2">
        <v>32534</v>
      </c>
      <c r="I848" s="2">
        <v>0</v>
      </c>
      <c r="J848" s="2"/>
      <c r="K848" s="2">
        <v>18067</v>
      </c>
      <c r="L848" s="2">
        <v>16995</v>
      </c>
      <c r="M848" s="2">
        <v>15232</v>
      </c>
      <c r="N848" s="2">
        <v>6099</v>
      </c>
      <c r="O848" s="2">
        <v>0</v>
      </c>
      <c r="P848" s="2"/>
      <c r="Q848" s="2">
        <v>19180</v>
      </c>
      <c r="R848" s="2">
        <v>-16499</v>
      </c>
      <c r="S848" s="2">
        <v>2325</v>
      </c>
      <c r="T848" s="2">
        <v>3026</v>
      </c>
      <c r="U848" s="2">
        <v>0</v>
      </c>
      <c r="V848" s="2"/>
      <c r="W848" s="2">
        <v>21607</v>
      </c>
      <c r="X848" s="2">
        <v>17701</v>
      </c>
      <c r="Y848" s="2">
        <v>14370</v>
      </c>
      <c r="Z848" s="2">
        <v>0</v>
      </c>
      <c r="AA848" s="2">
        <v>0</v>
      </c>
      <c r="AB848" s="2"/>
      <c r="AC848" s="2">
        <v>79920</v>
      </c>
      <c r="AD848" s="2">
        <v>69015</v>
      </c>
      <c r="AE848" s="2">
        <v>46407</v>
      </c>
      <c r="AF848" s="2">
        <v>23409</v>
      </c>
      <c r="AG848" s="2">
        <v>0</v>
      </c>
      <c r="AH848" s="2"/>
      <c r="AI848" s="2">
        <v>0</v>
      </c>
      <c r="AJ848" s="2">
        <v>0</v>
      </c>
      <c r="AK848" s="2">
        <v>0</v>
      </c>
      <c r="AL848" s="2">
        <v>0</v>
      </c>
      <c r="AM848" s="2">
        <v>0</v>
      </c>
    </row>
    <row r="849" spans="1:39">
      <c r="A849" s="349">
        <v>99208</v>
      </c>
      <c r="B849" s="342" t="s">
        <v>1543</v>
      </c>
      <c r="C849" s="234" t="e">
        <f>VLOOKUP(A849,#REF!,10,FALSE)</f>
        <v>#REF!</v>
      </c>
      <c r="E849" s="2">
        <v>164164</v>
      </c>
      <c r="F849" s="2">
        <v>66432</v>
      </c>
      <c r="G849" s="2">
        <v>101967</v>
      </c>
      <c r="H849" s="2">
        <v>30952</v>
      </c>
      <c r="I849" s="2">
        <v>0</v>
      </c>
      <c r="J849" s="2"/>
      <c r="K849" s="2">
        <v>46350</v>
      </c>
      <c r="L849" s="2">
        <v>43601</v>
      </c>
      <c r="M849" s="2">
        <v>39079</v>
      </c>
      <c r="N849" s="2">
        <v>15647</v>
      </c>
      <c r="O849" s="2">
        <v>0</v>
      </c>
      <c r="P849" s="2"/>
      <c r="Q849" s="2">
        <v>49207</v>
      </c>
      <c r="R849" s="2">
        <v>-42327</v>
      </c>
      <c r="S849" s="2">
        <v>5966</v>
      </c>
      <c r="T849" s="2">
        <v>7764</v>
      </c>
      <c r="U849" s="2">
        <v>0</v>
      </c>
      <c r="V849" s="2"/>
      <c r="W849" s="2">
        <v>55433</v>
      </c>
      <c r="X849" s="2">
        <v>45412</v>
      </c>
      <c r="Y849" s="2">
        <v>36867</v>
      </c>
      <c r="Z849" s="2">
        <v>0</v>
      </c>
      <c r="AA849" s="2">
        <v>0</v>
      </c>
      <c r="AB849" s="2"/>
      <c r="AC849" s="2">
        <v>20055</v>
      </c>
      <c r="AD849" s="2">
        <v>20055</v>
      </c>
      <c r="AE849" s="2">
        <v>20055</v>
      </c>
      <c r="AF849" s="2">
        <v>7541</v>
      </c>
      <c r="AG849" s="2">
        <v>0</v>
      </c>
      <c r="AH849" s="2"/>
      <c r="AI849" s="2">
        <v>-6881</v>
      </c>
      <c r="AJ849" s="2">
        <v>-309</v>
      </c>
      <c r="AK849" s="2">
        <v>0</v>
      </c>
      <c r="AL849" s="2">
        <v>0</v>
      </c>
      <c r="AM849" s="2">
        <v>-309</v>
      </c>
    </row>
    <row r="850" spans="1:39">
      <c r="A850" s="349">
        <v>99210</v>
      </c>
      <c r="B850" s="342" t="s">
        <v>3699</v>
      </c>
      <c r="C850" s="234" t="e">
        <f>VLOOKUP(A850,#REF!,10,FALSE)</f>
        <v>#REF!</v>
      </c>
      <c r="E850" s="2">
        <v>957519</v>
      </c>
      <c r="F850" s="2">
        <v>348466</v>
      </c>
      <c r="G850" s="2">
        <v>540913</v>
      </c>
      <c r="H850" s="2">
        <v>179274</v>
      </c>
      <c r="I850" s="2">
        <v>0</v>
      </c>
      <c r="J850" s="2"/>
      <c r="K850" s="2">
        <v>268349</v>
      </c>
      <c r="L850" s="2">
        <v>252430</v>
      </c>
      <c r="M850" s="2">
        <v>226250</v>
      </c>
      <c r="N850" s="2">
        <v>90588</v>
      </c>
      <c r="O850" s="2">
        <v>0</v>
      </c>
      <c r="P850" s="2"/>
      <c r="Q850" s="2">
        <v>284890</v>
      </c>
      <c r="R850" s="2">
        <v>-245059</v>
      </c>
      <c r="S850" s="2">
        <v>34538</v>
      </c>
      <c r="T850" s="2">
        <v>44951</v>
      </c>
      <c r="U850" s="2">
        <v>0</v>
      </c>
      <c r="V850" s="2"/>
      <c r="W850" s="2">
        <v>320933</v>
      </c>
      <c r="X850" s="2">
        <v>262920</v>
      </c>
      <c r="Y850" s="2">
        <v>213446</v>
      </c>
      <c r="Z850" s="2">
        <v>0</v>
      </c>
      <c r="AA850" s="2">
        <v>0</v>
      </c>
      <c r="AB850" s="2"/>
      <c r="AC850" s="2">
        <v>83347</v>
      </c>
      <c r="AD850" s="2">
        <v>78175</v>
      </c>
      <c r="AE850" s="2">
        <v>66679</v>
      </c>
      <c r="AF850" s="2">
        <v>43735</v>
      </c>
      <c r="AG850" s="2">
        <v>0</v>
      </c>
      <c r="AH850" s="2"/>
      <c r="AI850" s="2">
        <v>0</v>
      </c>
      <c r="AJ850" s="2">
        <v>0</v>
      </c>
      <c r="AK850" s="2">
        <v>0</v>
      </c>
      <c r="AL850" s="2">
        <v>0</v>
      </c>
      <c r="AM850" s="2">
        <v>0</v>
      </c>
    </row>
    <row r="851" spans="1:39">
      <c r="A851" s="349">
        <v>99211</v>
      </c>
      <c r="B851" s="342" t="s">
        <v>1545</v>
      </c>
      <c r="C851" s="234" t="e">
        <f>VLOOKUP(A851,#REF!,10,FALSE)</f>
        <v>#REF!</v>
      </c>
      <c r="E851" s="2">
        <v>18521703</v>
      </c>
      <c r="F851" s="2">
        <v>5643245</v>
      </c>
      <c r="G851" s="2">
        <v>10264045</v>
      </c>
      <c r="H851" s="2">
        <v>2767940</v>
      </c>
      <c r="I851" s="2">
        <v>0</v>
      </c>
      <c r="J851" s="2"/>
      <c r="K851" s="2">
        <v>5810429</v>
      </c>
      <c r="L851" s="2">
        <v>5465737</v>
      </c>
      <c r="M851" s="2">
        <v>4898878</v>
      </c>
      <c r="N851" s="2">
        <v>1961452</v>
      </c>
      <c r="O851" s="2">
        <v>0</v>
      </c>
      <c r="P851" s="2"/>
      <c r="Q851" s="2">
        <v>6168580</v>
      </c>
      <c r="R851" s="2">
        <v>-5306132</v>
      </c>
      <c r="S851" s="2">
        <v>747835</v>
      </c>
      <c r="T851" s="2">
        <v>973298</v>
      </c>
      <c r="U851" s="2">
        <v>0</v>
      </c>
      <c r="V851" s="2"/>
      <c r="W851" s="2">
        <v>6948995</v>
      </c>
      <c r="X851" s="2">
        <v>5692869</v>
      </c>
      <c r="Y851" s="2">
        <v>4621635</v>
      </c>
      <c r="Z851" s="2">
        <v>0</v>
      </c>
      <c r="AA851" s="2">
        <v>0</v>
      </c>
      <c r="AB851" s="2"/>
      <c r="AC851" s="2">
        <v>162507</v>
      </c>
      <c r="AD851" s="2">
        <v>162507</v>
      </c>
      <c r="AE851" s="2">
        <v>162508</v>
      </c>
      <c r="AF851" s="2">
        <v>0</v>
      </c>
      <c r="AG851" s="2">
        <v>0</v>
      </c>
      <c r="AH851" s="2"/>
      <c r="AI851" s="2">
        <v>-568808</v>
      </c>
      <c r="AJ851" s="2">
        <v>-371736</v>
      </c>
      <c r="AK851" s="2">
        <v>-166811</v>
      </c>
      <c r="AL851" s="2">
        <v>-166810</v>
      </c>
      <c r="AM851" s="2">
        <v>-371736</v>
      </c>
    </row>
    <row r="852" spans="1:39">
      <c r="A852" s="349">
        <v>99212</v>
      </c>
      <c r="B852" s="342" t="s">
        <v>3700</v>
      </c>
      <c r="C852" s="234" t="e">
        <f>VLOOKUP(A852,#REF!,10,FALSE)</f>
        <v>#REF!</v>
      </c>
      <c r="E852" s="2">
        <v>22629</v>
      </c>
      <c r="F852" s="2">
        <v>6863</v>
      </c>
      <c r="G852" s="2">
        <v>14548</v>
      </c>
      <c r="H852" s="2">
        <v>3993</v>
      </c>
      <c r="I852" s="2">
        <v>0</v>
      </c>
      <c r="J852" s="2"/>
      <c r="K852" s="2">
        <v>10187</v>
      </c>
      <c r="L852" s="2">
        <v>9583</v>
      </c>
      <c r="M852" s="2">
        <v>8589</v>
      </c>
      <c r="N852" s="2">
        <v>3439</v>
      </c>
      <c r="O852" s="2">
        <v>0</v>
      </c>
      <c r="P852" s="2"/>
      <c r="Q852" s="2">
        <v>10815</v>
      </c>
      <c r="R852" s="2">
        <v>-9303</v>
      </c>
      <c r="S852" s="2">
        <v>1311</v>
      </c>
      <c r="T852" s="2">
        <v>1706</v>
      </c>
      <c r="U852" s="2">
        <v>0</v>
      </c>
      <c r="V852" s="2"/>
      <c r="W852" s="2">
        <v>12183</v>
      </c>
      <c r="X852" s="2">
        <v>9981</v>
      </c>
      <c r="Y852" s="2">
        <v>8103</v>
      </c>
      <c r="Z852" s="2">
        <v>0</v>
      </c>
      <c r="AA852" s="2">
        <v>0</v>
      </c>
      <c r="AB852" s="2"/>
      <c r="AC852" s="2">
        <v>61</v>
      </c>
      <c r="AD852" s="2">
        <v>59</v>
      </c>
      <c r="AE852" s="2">
        <v>0</v>
      </c>
      <c r="AF852" s="2">
        <v>0</v>
      </c>
      <c r="AG852" s="2">
        <v>0</v>
      </c>
      <c r="AH852" s="2"/>
      <c r="AI852" s="2">
        <v>-10617</v>
      </c>
      <c r="AJ852" s="2">
        <v>-3457</v>
      </c>
      <c r="AK852" s="2">
        <v>-3455</v>
      </c>
      <c r="AL852" s="2">
        <v>-1152</v>
      </c>
      <c r="AM852" s="2">
        <v>-3457</v>
      </c>
    </row>
    <row r="853" spans="1:39">
      <c r="A853" s="349">
        <v>99213</v>
      </c>
      <c r="B853" s="342" t="s">
        <v>1547</v>
      </c>
      <c r="C853" s="234" t="e">
        <f>VLOOKUP(A853,#REF!,10,FALSE)</f>
        <v>#REF!</v>
      </c>
      <c r="E853" s="2">
        <v>306211</v>
      </c>
      <c r="F853" s="2">
        <v>81948</v>
      </c>
      <c r="G853" s="2">
        <v>166692</v>
      </c>
      <c r="H853" s="2">
        <v>34893</v>
      </c>
      <c r="I853" s="2">
        <v>0</v>
      </c>
      <c r="J853" s="2"/>
      <c r="K853" s="2">
        <v>101524</v>
      </c>
      <c r="L853" s="2">
        <v>95501</v>
      </c>
      <c r="M853" s="2">
        <v>85597</v>
      </c>
      <c r="N853" s="2">
        <v>34272</v>
      </c>
      <c r="O853" s="2">
        <v>0</v>
      </c>
      <c r="P853" s="2"/>
      <c r="Q853" s="2">
        <v>107782</v>
      </c>
      <c r="R853" s="2">
        <v>-92713</v>
      </c>
      <c r="S853" s="2">
        <v>13067</v>
      </c>
      <c r="T853" s="2">
        <v>17006</v>
      </c>
      <c r="U853" s="2">
        <v>0</v>
      </c>
      <c r="V853" s="2"/>
      <c r="W853" s="2">
        <v>121418</v>
      </c>
      <c r="X853" s="2">
        <v>99470</v>
      </c>
      <c r="Y853" s="2">
        <v>80753</v>
      </c>
      <c r="Z853" s="2">
        <v>0</v>
      </c>
      <c r="AA853" s="2">
        <v>0</v>
      </c>
      <c r="AB853" s="2"/>
      <c r="AC853" s="2">
        <v>3656</v>
      </c>
      <c r="AD853" s="2">
        <v>3656</v>
      </c>
      <c r="AE853" s="2">
        <v>3658</v>
      </c>
      <c r="AF853" s="2">
        <v>0</v>
      </c>
      <c r="AG853" s="2">
        <v>0</v>
      </c>
      <c r="AH853" s="2"/>
      <c r="AI853" s="2">
        <v>-28169</v>
      </c>
      <c r="AJ853" s="2">
        <v>-23966</v>
      </c>
      <c r="AK853" s="2">
        <v>-16383</v>
      </c>
      <c r="AL853" s="2">
        <v>-16385</v>
      </c>
      <c r="AM853" s="2">
        <v>-23966</v>
      </c>
    </row>
    <row r="854" spans="1:39">
      <c r="A854" s="349">
        <v>99218</v>
      </c>
      <c r="B854" s="342" t="s">
        <v>1548</v>
      </c>
      <c r="C854" s="234" t="e">
        <f>VLOOKUP(A854,#REF!,10,FALSE)</f>
        <v>#REF!</v>
      </c>
      <c r="E854" s="2">
        <v>1802223</v>
      </c>
      <c r="F854" s="2">
        <v>611324</v>
      </c>
      <c r="G854" s="2">
        <v>991869</v>
      </c>
      <c r="H854" s="2">
        <v>293943</v>
      </c>
      <c r="I854" s="2">
        <v>0</v>
      </c>
      <c r="J854" s="2"/>
      <c r="K854" s="2">
        <v>515696</v>
      </c>
      <c r="L854" s="2">
        <v>485103</v>
      </c>
      <c r="M854" s="2">
        <v>434792</v>
      </c>
      <c r="N854" s="2">
        <v>174086</v>
      </c>
      <c r="O854" s="2">
        <v>0</v>
      </c>
      <c r="P854" s="2"/>
      <c r="Q854" s="2">
        <v>547483</v>
      </c>
      <c r="R854" s="2">
        <v>-470938</v>
      </c>
      <c r="S854" s="2">
        <v>66373</v>
      </c>
      <c r="T854" s="2">
        <v>86384</v>
      </c>
      <c r="U854" s="2">
        <v>0</v>
      </c>
      <c r="V854" s="2"/>
      <c r="W854" s="2">
        <v>616747</v>
      </c>
      <c r="X854" s="2">
        <v>505262</v>
      </c>
      <c r="Y854" s="2">
        <v>410186</v>
      </c>
      <c r="Z854" s="2">
        <v>0</v>
      </c>
      <c r="AA854" s="2">
        <v>0</v>
      </c>
      <c r="AB854" s="2"/>
      <c r="AC854" s="2">
        <v>122297</v>
      </c>
      <c r="AD854" s="2">
        <v>91897</v>
      </c>
      <c r="AE854" s="2">
        <v>80518</v>
      </c>
      <c r="AF854" s="2">
        <v>33473</v>
      </c>
      <c r="AG854" s="2">
        <v>0</v>
      </c>
      <c r="AH854" s="2"/>
      <c r="AI854" s="2">
        <v>0</v>
      </c>
      <c r="AJ854" s="2">
        <v>0</v>
      </c>
      <c r="AK854" s="2">
        <v>0</v>
      </c>
      <c r="AL854" s="2">
        <v>0</v>
      </c>
      <c r="AM854" s="2">
        <v>0</v>
      </c>
    </row>
    <row r="855" spans="1:39">
      <c r="A855" s="349">
        <v>99221</v>
      </c>
      <c r="B855" s="342" t="s">
        <v>1549</v>
      </c>
      <c r="C855" s="234" t="e">
        <f>VLOOKUP(A855,#REF!,10,FALSE)</f>
        <v>#REF!</v>
      </c>
      <c r="E855" s="2">
        <v>5963234</v>
      </c>
      <c r="F855" s="2">
        <v>1796448</v>
      </c>
      <c r="G855" s="2">
        <v>3290616</v>
      </c>
      <c r="H855" s="2">
        <v>934795</v>
      </c>
      <c r="I855" s="2">
        <v>0</v>
      </c>
      <c r="J855" s="2"/>
      <c r="K855" s="2">
        <v>1898639</v>
      </c>
      <c r="L855" s="2">
        <v>1786006</v>
      </c>
      <c r="M855" s="2">
        <v>1600777</v>
      </c>
      <c r="N855" s="2">
        <v>640932</v>
      </c>
      <c r="O855" s="2">
        <v>0</v>
      </c>
      <c r="P855" s="2"/>
      <c r="Q855" s="2">
        <v>2015670</v>
      </c>
      <c r="R855" s="2">
        <v>-1733853</v>
      </c>
      <c r="S855" s="2">
        <v>244365</v>
      </c>
      <c r="T855" s="2">
        <v>318039</v>
      </c>
      <c r="U855" s="2">
        <v>0</v>
      </c>
      <c r="V855" s="2"/>
      <c r="W855" s="2">
        <v>2270681</v>
      </c>
      <c r="X855" s="2">
        <v>1860224</v>
      </c>
      <c r="Y855" s="2">
        <v>1510184</v>
      </c>
      <c r="Z855" s="2">
        <v>0</v>
      </c>
      <c r="AA855" s="2">
        <v>0</v>
      </c>
      <c r="AB855" s="2"/>
      <c r="AC855" s="2">
        <v>0</v>
      </c>
      <c r="AD855" s="2">
        <v>0</v>
      </c>
      <c r="AE855" s="2">
        <v>0</v>
      </c>
      <c r="AF855" s="2">
        <v>0</v>
      </c>
      <c r="AG855" s="2">
        <v>0</v>
      </c>
      <c r="AH855" s="2"/>
      <c r="AI855" s="2">
        <v>-221756</v>
      </c>
      <c r="AJ855" s="2">
        <v>-115929</v>
      </c>
      <c r="AK855" s="2">
        <v>-64710</v>
      </c>
      <c r="AL855" s="2">
        <v>-24176</v>
      </c>
      <c r="AM855" s="2">
        <v>-115929</v>
      </c>
    </row>
    <row r="856" spans="1:39">
      <c r="A856" s="349">
        <v>99222</v>
      </c>
      <c r="B856" s="342" t="s">
        <v>1550</v>
      </c>
      <c r="C856" s="234" t="e">
        <f>VLOOKUP(A856,#REF!,10,FALSE)</f>
        <v>#REF!</v>
      </c>
      <c r="E856" s="2">
        <v>15183</v>
      </c>
      <c r="F856" s="2">
        <v>3453</v>
      </c>
      <c r="G856" s="2">
        <v>8173</v>
      </c>
      <c r="H856" s="2">
        <v>2110</v>
      </c>
      <c r="I856" s="2">
        <v>0</v>
      </c>
      <c r="J856" s="2"/>
      <c r="K856" s="2">
        <v>5333</v>
      </c>
      <c r="L856" s="2">
        <v>5017</v>
      </c>
      <c r="M856" s="2">
        <v>4496</v>
      </c>
      <c r="N856" s="2">
        <v>1800</v>
      </c>
      <c r="O856" s="2">
        <v>0</v>
      </c>
      <c r="P856" s="2"/>
      <c r="Q856" s="2">
        <v>5662</v>
      </c>
      <c r="R856" s="2">
        <v>-4870</v>
      </c>
      <c r="S856" s="2">
        <v>686</v>
      </c>
      <c r="T856" s="2">
        <v>893</v>
      </c>
      <c r="U856" s="2">
        <v>0</v>
      </c>
      <c r="V856" s="2"/>
      <c r="W856" s="2">
        <v>6378</v>
      </c>
      <c r="X856" s="2">
        <v>5225</v>
      </c>
      <c r="Y856" s="2">
        <v>4242</v>
      </c>
      <c r="Z856" s="2">
        <v>0</v>
      </c>
      <c r="AA856" s="2">
        <v>0</v>
      </c>
      <c r="AB856" s="2"/>
      <c r="AC856" s="2">
        <v>0</v>
      </c>
      <c r="AD856" s="2">
        <v>0</v>
      </c>
      <c r="AE856" s="2">
        <v>0</v>
      </c>
      <c r="AF856" s="2">
        <v>0</v>
      </c>
      <c r="AG856" s="2">
        <v>0</v>
      </c>
      <c r="AH856" s="2"/>
      <c r="AI856" s="2">
        <v>-2190</v>
      </c>
      <c r="AJ856" s="2">
        <v>-1919</v>
      </c>
      <c r="AK856" s="2">
        <v>-1251</v>
      </c>
      <c r="AL856" s="2">
        <v>-583</v>
      </c>
      <c r="AM856" s="2">
        <v>-1919</v>
      </c>
    </row>
    <row r="857" spans="1:39">
      <c r="A857" s="349">
        <v>99231</v>
      </c>
      <c r="B857" s="342" t="s">
        <v>1551</v>
      </c>
      <c r="C857" s="234" t="e">
        <f>VLOOKUP(A857,#REF!,10,FALSE)</f>
        <v>#REF!</v>
      </c>
      <c r="E857" s="2">
        <v>161099</v>
      </c>
      <c r="F857" s="2">
        <v>44098</v>
      </c>
      <c r="G857" s="2">
        <v>88043</v>
      </c>
      <c r="H857" s="2">
        <v>24504</v>
      </c>
      <c r="I857" s="2">
        <v>0</v>
      </c>
      <c r="J857" s="2"/>
      <c r="K857" s="2">
        <v>52672</v>
      </c>
      <c r="L857" s="2">
        <v>49547</v>
      </c>
      <c r="M857" s="2">
        <v>44409</v>
      </c>
      <c r="N857" s="2">
        <v>17781</v>
      </c>
      <c r="O857" s="2">
        <v>0</v>
      </c>
      <c r="P857" s="2"/>
      <c r="Q857" s="2">
        <v>55919</v>
      </c>
      <c r="R857" s="2">
        <v>-48101</v>
      </c>
      <c r="S857" s="2">
        <v>6779</v>
      </c>
      <c r="T857" s="2">
        <v>8823</v>
      </c>
      <c r="U857" s="2">
        <v>0</v>
      </c>
      <c r="V857" s="2"/>
      <c r="W857" s="2">
        <v>62993</v>
      </c>
      <c r="X857" s="2">
        <v>51606</v>
      </c>
      <c r="Y857" s="2">
        <v>41896</v>
      </c>
      <c r="Z857" s="2">
        <v>0</v>
      </c>
      <c r="AA857" s="2">
        <v>0</v>
      </c>
      <c r="AB857" s="2"/>
      <c r="AC857" s="2">
        <v>0</v>
      </c>
      <c r="AD857" s="2">
        <v>0</v>
      </c>
      <c r="AE857" s="2">
        <v>0</v>
      </c>
      <c r="AF857" s="2">
        <v>0</v>
      </c>
      <c r="AG857" s="2">
        <v>0</v>
      </c>
      <c r="AH857" s="2"/>
      <c r="AI857" s="2">
        <v>-10485</v>
      </c>
      <c r="AJ857" s="2">
        <v>-8954</v>
      </c>
      <c r="AK857" s="2">
        <v>-5041</v>
      </c>
      <c r="AL857" s="2">
        <v>-2100</v>
      </c>
      <c r="AM857" s="2">
        <v>-8954</v>
      </c>
    </row>
    <row r="858" spans="1:39">
      <c r="A858" s="349">
        <v>99241</v>
      </c>
      <c r="B858" s="342" t="s">
        <v>1552</v>
      </c>
      <c r="C858" s="234" t="e">
        <f>VLOOKUP(A858,#REF!,10,FALSE)</f>
        <v>#REF!</v>
      </c>
      <c r="E858" s="2">
        <v>252598</v>
      </c>
      <c r="F858" s="2">
        <v>73391</v>
      </c>
      <c r="G858" s="2">
        <v>144011</v>
      </c>
      <c r="H858" s="2">
        <v>41131</v>
      </c>
      <c r="I858" s="2">
        <v>0</v>
      </c>
      <c r="J858" s="2"/>
      <c r="K858" s="2">
        <v>83997</v>
      </c>
      <c r="L858" s="2">
        <v>79014</v>
      </c>
      <c r="M858" s="2">
        <v>70819</v>
      </c>
      <c r="N858" s="2">
        <v>28355</v>
      </c>
      <c r="O858" s="2">
        <v>0</v>
      </c>
      <c r="P858" s="2"/>
      <c r="Q858" s="2">
        <v>89174</v>
      </c>
      <c r="R858" s="2">
        <v>-76707</v>
      </c>
      <c r="S858" s="2">
        <v>10811</v>
      </c>
      <c r="T858" s="2">
        <v>14070</v>
      </c>
      <c r="U858" s="2">
        <v>0</v>
      </c>
      <c r="V858" s="2"/>
      <c r="W858" s="2">
        <v>100456</v>
      </c>
      <c r="X858" s="2">
        <v>82297</v>
      </c>
      <c r="Y858" s="2">
        <v>66811</v>
      </c>
      <c r="Z858" s="2">
        <v>0</v>
      </c>
      <c r="AA858" s="2">
        <v>0</v>
      </c>
      <c r="AB858" s="2"/>
      <c r="AC858" s="2">
        <v>0</v>
      </c>
      <c r="AD858" s="2">
        <v>0</v>
      </c>
      <c r="AE858" s="2">
        <v>0</v>
      </c>
      <c r="AF858" s="2">
        <v>0</v>
      </c>
      <c r="AG858" s="2">
        <v>0</v>
      </c>
      <c r="AH858" s="2"/>
      <c r="AI858" s="2">
        <v>-21029</v>
      </c>
      <c r="AJ858" s="2">
        <v>-11213</v>
      </c>
      <c r="AK858" s="2">
        <v>-4430</v>
      </c>
      <c r="AL858" s="2">
        <v>-1294</v>
      </c>
      <c r="AM858" s="2">
        <v>-11213</v>
      </c>
    </row>
    <row r="859" spans="1:39">
      <c r="A859" s="349">
        <v>99251</v>
      </c>
      <c r="B859" s="342" t="s">
        <v>1553</v>
      </c>
      <c r="C859" s="234" t="e">
        <f>VLOOKUP(A859,#REF!,10,FALSE)</f>
        <v>#REF!</v>
      </c>
      <c r="E859" s="2">
        <v>791121</v>
      </c>
      <c r="F859" s="2">
        <v>239240</v>
      </c>
      <c r="G859" s="2">
        <v>431515</v>
      </c>
      <c r="H859" s="2">
        <v>126142</v>
      </c>
      <c r="I859" s="2">
        <v>0</v>
      </c>
      <c r="J859" s="2"/>
      <c r="K859" s="2">
        <v>245054</v>
      </c>
      <c r="L859" s="2">
        <v>230517</v>
      </c>
      <c r="M859" s="2">
        <v>206610</v>
      </c>
      <c r="N859" s="2">
        <v>82724</v>
      </c>
      <c r="O859" s="2">
        <v>0</v>
      </c>
      <c r="P859" s="2"/>
      <c r="Q859" s="2">
        <v>260159</v>
      </c>
      <c r="R859" s="2">
        <v>-223786</v>
      </c>
      <c r="S859" s="2">
        <v>31540</v>
      </c>
      <c r="T859" s="2">
        <v>41049</v>
      </c>
      <c r="U859" s="2">
        <v>0</v>
      </c>
      <c r="V859" s="2"/>
      <c r="W859" s="2">
        <v>293073</v>
      </c>
      <c r="X859" s="2">
        <v>240096</v>
      </c>
      <c r="Y859" s="2">
        <v>194917</v>
      </c>
      <c r="Z859" s="2">
        <v>0</v>
      </c>
      <c r="AA859" s="2">
        <v>0</v>
      </c>
      <c r="AB859" s="2"/>
      <c r="AC859" s="2">
        <v>2791</v>
      </c>
      <c r="AD859" s="2">
        <v>2369</v>
      </c>
      <c r="AE859" s="2">
        <v>2369</v>
      </c>
      <c r="AF859" s="2">
        <v>2369</v>
      </c>
      <c r="AG859" s="2">
        <v>0</v>
      </c>
      <c r="AH859" s="2"/>
      <c r="AI859" s="2">
        <v>-9956</v>
      </c>
      <c r="AJ859" s="2">
        <v>-9956</v>
      </c>
      <c r="AK859" s="2">
        <v>-3921</v>
      </c>
      <c r="AL859" s="2">
        <v>0</v>
      </c>
      <c r="AM859" s="2">
        <v>-9956</v>
      </c>
    </row>
    <row r="860" spans="1:39">
      <c r="A860" s="349">
        <v>99252</v>
      </c>
      <c r="B860" s="342" t="s">
        <v>3701</v>
      </c>
      <c r="C860" s="234" t="e">
        <f>VLOOKUP(A860,#REF!,10,FALSE)</f>
        <v>#REF!</v>
      </c>
      <c r="E860" s="2">
        <v>254771</v>
      </c>
      <c r="F860" s="2">
        <v>62098</v>
      </c>
      <c r="G860" s="2">
        <v>146238</v>
      </c>
      <c r="H860" s="2">
        <v>28684</v>
      </c>
      <c r="I860" s="2">
        <v>0</v>
      </c>
      <c r="J860" s="2"/>
      <c r="K860" s="2">
        <v>99172</v>
      </c>
      <c r="L860" s="2">
        <v>93289</v>
      </c>
      <c r="M860" s="2">
        <v>83614</v>
      </c>
      <c r="N860" s="2">
        <v>33478</v>
      </c>
      <c r="O860" s="2">
        <v>0</v>
      </c>
      <c r="P860" s="2"/>
      <c r="Q860" s="2">
        <v>105285</v>
      </c>
      <c r="R860" s="2">
        <v>-90565</v>
      </c>
      <c r="S860" s="2">
        <v>12764</v>
      </c>
      <c r="T860" s="2">
        <v>16612</v>
      </c>
      <c r="U860" s="2">
        <v>0</v>
      </c>
      <c r="V860" s="2"/>
      <c r="W860" s="2">
        <v>118605</v>
      </c>
      <c r="X860" s="2">
        <v>97166</v>
      </c>
      <c r="Y860" s="2">
        <v>78882</v>
      </c>
      <c r="Z860" s="2">
        <v>0</v>
      </c>
      <c r="AA860" s="2">
        <v>0</v>
      </c>
      <c r="AB860" s="2"/>
      <c r="AC860" s="2">
        <v>0</v>
      </c>
      <c r="AD860" s="2">
        <v>0</v>
      </c>
      <c r="AE860" s="2">
        <v>0</v>
      </c>
      <c r="AF860" s="2">
        <v>0</v>
      </c>
      <c r="AG860" s="2">
        <v>0</v>
      </c>
      <c r="AH860" s="2"/>
      <c r="AI860" s="2">
        <v>-68291</v>
      </c>
      <c r="AJ860" s="2">
        <v>-37792</v>
      </c>
      <c r="AK860" s="2">
        <v>-29022</v>
      </c>
      <c r="AL860" s="2">
        <v>-21406</v>
      </c>
      <c r="AM860" s="2">
        <v>-37792</v>
      </c>
    </row>
    <row r="861" spans="1:39">
      <c r="A861" s="349">
        <v>99261</v>
      </c>
      <c r="B861" s="342" t="s">
        <v>1555</v>
      </c>
      <c r="C861" s="234" t="e">
        <f>VLOOKUP(A861,#REF!,10,FALSE)</f>
        <v>#REF!</v>
      </c>
      <c r="E861" s="2">
        <v>1061154</v>
      </c>
      <c r="F861" s="2">
        <v>324893</v>
      </c>
      <c r="G861" s="2">
        <v>588009</v>
      </c>
      <c r="H861" s="2">
        <v>170014</v>
      </c>
      <c r="I861" s="2">
        <v>0</v>
      </c>
      <c r="J861" s="2"/>
      <c r="K861" s="2">
        <v>335673</v>
      </c>
      <c r="L861" s="2">
        <v>315759</v>
      </c>
      <c r="M861" s="2">
        <v>283012</v>
      </c>
      <c r="N861" s="2">
        <v>113314</v>
      </c>
      <c r="O861" s="2">
        <v>0</v>
      </c>
      <c r="P861" s="2"/>
      <c r="Q861" s="2">
        <v>356363</v>
      </c>
      <c r="R861" s="2">
        <v>-306539</v>
      </c>
      <c r="S861" s="2">
        <v>43203</v>
      </c>
      <c r="T861" s="2">
        <v>56228</v>
      </c>
      <c r="U861" s="2">
        <v>0</v>
      </c>
      <c r="V861" s="2"/>
      <c r="W861" s="2">
        <v>401448</v>
      </c>
      <c r="X861" s="2">
        <v>328881</v>
      </c>
      <c r="Y861" s="2">
        <v>266995</v>
      </c>
      <c r="Z861" s="2">
        <v>0</v>
      </c>
      <c r="AA861" s="2">
        <v>0</v>
      </c>
      <c r="AB861" s="2"/>
      <c r="AC861" s="2">
        <v>470</v>
      </c>
      <c r="AD861" s="2">
        <v>470</v>
      </c>
      <c r="AE861" s="2">
        <v>470</v>
      </c>
      <c r="AF861" s="2">
        <v>472</v>
      </c>
      <c r="AG861" s="2">
        <v>0</v>
      </c>
      <c r="AH861" s="2"/>
      <c r="AI861" s="2">
        <v>-32800</v>
      </c>
      <c r="AJ861" s="2">
        <v>-13678</v>
      </c>
      <c r="AK861" s="2">
        <v>-5671</v>
      </c>
      <c r="AL861" s="2">
        <v>0</v>
      </c>
      <c r="AM861" s="2">
        <v>-13678</v>
      </c>
    </row>
    <row r="862" spans="1:39">
      <c r="A862" s="349">
        <v>99271</v>
      </c>
      <c r="B862" s="342" t="s">
        <v>1556</v>
      </c>
      <c r="C862" s="234" t="e">
        <f>VLOOKUP(A862,#REF!,10,FALSE)</f>
        <v>#REF!</v>
      </c>
      <c r="E862" s="2">
        <v>2053202</v>
      </c>
      <c r="F862" s="2">
        <v>639632</v>
      </c>
      <c r="G862" s="2">
        <v>1129899</v>
      </c>
      <c r="H862" s="2">
        <v>302551</v>
      </c>
      <c r="I862" s="2">
        <v>0</v>
      </c>
      <c r="J862" s="2"/>
      <c r="K862" s="2">
        <v>640769</v>
      </c>
      <c r="L862" s="2">
        <v>602757</v>
      </c>
      <c r="M862" s="2">
        <v>540244</v>
      </c>
      <c r="N862" s="2">
        <v>216307</v>
      </c>
      <c r="O862" s="2">
        <v>0</v>
      </c>
      <c r="P862" s="2"/>
      <c r="Q862" s="2">
        <v>680266</v>
      </c>
      <c r="R862" s="2">
        <v>-585156</v>
      </c>
      <c r="S862" s="2">
        <v>82471</v>
      </c>
      <c r="T862" s="2">
        <v>107335</v>
      </c>
      <c r="U862" s="2">
        <v>0</v>
      </c>
      <c r="V862" s="2"/>
      <c r="W862" s="2">
        <v>766330</v>
      </c>
      <c r="X862" s="2">
        <v>627805</v>
      </c>
      <c r="Y862" s="2">
        <v>509670</v>
      </c>
      <c r="Z862" s="2">
        <v>0</v>
      </c>
      <c r="AA862" s="2">
        <v>0</v>
      </c>
      <c r="AB862" s="2"/>
      <c r="AC862" s="2">
        <v>18606</v>
      </c>
      <c r="AD862" s="2">
        <v>18606</v>
      </c>
      <c r="AE862" s="2">
        <v>18607</v>
      </c>
      <c r="AF862" s="2">
        <v>0</v>
      </c>
      <c r="AG862" s="2">
        <v>0</v>
      </c>
      <c r="AH862" s="2"/>
      <c r="AI862" s="2">
        <v>-52769</v>
      </c>
      <c r="AJ862" s="2">
        <v>-24380</v>
      </c>
      <c r="AK862" s="2">
        <v>-21093</v>
      </c>
      <c r="AL862" s="2">
        <v>-21091</v>
      </c>
      <c r="AM862" s="2">
        <v>-24380</v>
      </c>
    </row>
    <row r="863" spans="1:39">
      <c r="A863" s="349">
        <v>99281</v>
      </c>
      <c r="B863" s="342" t="s">
        <v>1557</v>
      </c>
      <c r="C863" s="234" t="e">
        <f>VLOOKUP(A863,#REF!,10,FALSE)</f>
        <v>#REF!</v>
      </c>
      <c r="E863" s="2">
        <v>1157108</v>
      </c>
      <c r="F863" s="2">
        <v>358578</v>
      </c>
      <c r="G863" s="2">
        <v>646408</v>
      </c>
      <c r="H863" s="2">
        <v>183376</v>
      </c>
      <c r="I863" s="2">
        <v>0</v>
      </c>
      <c r="J863" s="2"/>
      <c r="K863" s="2">
        <v>363087</v>
      </c>
      <c r="L863" s="2">
        <v>341548</v>
      </c>
      <c r="M863" s="2">
        <v>306125</v>
      </c>
      <c r="N863" s="2">
        <v>122569</v>
      </c>
      <c r="O863" s="2">
        <v>0</v>
      </c>
      <c r="P863" s="2"/>
      <c r="Q863" s="2">
        <v>385468</v>
      </c>
      <c r="R863" s="2">
        <v>-331574</v>
      </c>
      <c r="S863" s="2">
        <v>46731</v>
      </c>
      <c r="T863" s="2">
        <v>60820</v>
      </c>
      <c r="U863" s="2">
        <v>0</v>
      </c>
      <c r="V863" s="2"/>
      <c r="W863" s="2">
        <v>434235</v>
      </c>
      <c r="X863" s="2">
        <v>355741</v>
      </c>
      <c r="Y863" s="2">
        <v>288801</v>
      </c>
      <c r="Z863" s="2">
        <v>0</v>
      </c>
      <c r="AA863" s="2">
        <v>0</v>
      </c>
      <c r="AB863" s="2"/>
      <c r="AC863" s="2">
        <v>4762</v>
      </c>
      <c r="AD863" s="2">
        <v>4762</v>
      </c>
      <c r="AE863" s="2">
        <v>4762</v>
      </c>
      <c r="AF863" s="2">
        <v>0</v>
      </c>
      <c r="AG863" s="2">
        <v>0</v>
      </c>
      <c r="AH863" s="2"/>
      <c r="AI863" s="2">
        <v>-30444</v>
      </c>
      <c r="AJ863" s="2">
        <v>-11899</v>
      </c>
      <c r="AK863" s="2">
        <v>-11</v>
      </c>
      <c r="AL863" s="2">
        <v>-13</v>
      </c>
      <c r="AM863" s="2">
        <v>-11899</v>
      </c>
    </row>
    <row r="864" spans="1:39">
      <c r="A864" s="349">
        <v>99291</v>
      </c>
      <c r="B864" s="342" t="s">
        <v>1558</v>
      </c>
      <c r="C864" s="234" t="e">
        <f>VLOOKUP(A864,#REF!,10,FALSE)</f>
        <v>#REF!</v>
      </c>
      <c r="E864" s="2">
        <v>381806</v>
      </c>
      <c r="F864" s="2">
        <v>108731</v>
      </c>
      <c r="G864" s="2">
        <v>219275</v>
      </c>
      <c r="H864" s="2">
        <v>55586</v>
      </c>
      <c r="I864" s="2">
        <v>0</v>
      </c>
      <c r="J864" s="2"/>
      <c r="K864" s="2">
        <v>127201</v>
      </c>
      <c r="L864" s="2">
        <v>119655</v>
      </c>
      <c r="M864" s="2">
        <v>107246</v>
      </c>
      <c r="N864" s="2">
        <v>42940</v>
      </c>
      <c r="O864" s="2">
        <v>0</v>
      </c>
      <c r="P864" s="2"/>
      <c r="Q864" s="2">
        <v>135042</v>
      </c>
      <c r="R864" s="2">
        <v>-116161</v>
      </c>
      <c r="S864" s="2">
        <v>16371</v>
      </c>
      <c r="T864" s="2">
        <v>21307</v>
      </c>
      <c r="U864" s="2">
        <v>0</v>
      </c>
      <c r="V864" s="2"/>
      <c r="W864" s="2">
        <v>152126</v>
      </c>
      <c r="X864" s="2">
        <v>124628</v>
      </c>
      <c r="Y864" s="2">
        <v>101176</v>
      </c>
      <c r="Z864" s="2">
        <v>0</v>
      </c>
      <c r="AA864" s="2">
        <v>0</v>
      </c>
      <c r="AB864" s="2"/>
      <c r="AC864" s="2">
        <v>3140</v>
      </c>
      <c r="AD864" s="2">
        <v>3140</v>
      </c>
      <c r="AE864" s="2">
        <v>3142</v>
      </c>
      <c r="AF864" s="2">
        <v>0</v>
      </c>
      <c r="AG864" s="2">
        <v>0</v>
      </c>
      <c r="AH864" s="2"/>
      <c r="AI864" s="2">
        <v>-35703</v>
      </c>
      <c r="AJ864" s="2">
        <v>-22531</v>
      </c>
      <c r="AK864" s="2">
        <v>-8660</v>
      </c>
      <c r="AL864" s="2">
        <v>-8661</v>
      </c>
      <c r="AM864" s="2">
        <v>-22531</v>
      </c>
    </row>
    <row r="865" spans="1:39">
      <c r="A865" s="349">
        <v>99301</v>
      </c>
      <c r="B865" s="342" t="s">
        <v>1559</v>
      </c>
      <c r="C865" s="234" t="e">
        <f>VLOOKUP(A865,#REF!,10,FALSE)</f>
        <v>#REF!</v>
      </c>
      <c r="E865" s="2">
        <v>728351</v>
      </c>
      <c r="F865" s="2">
        <v>186040</v>
      </c>
      <c r="G865" s="2">
        <v>385350</v>
      </c>
      <c r="H865" s="2">
        <v>96451</v>
      </c>
      <c r="I865" s="2">
        <v>0</v>
      </c>
      <c r="J865" s="2"/>
      <c r="K865" s="2">
        <v>241084</v>
      </c>
      <c r="L865" s="2">
        <v>226783</v>
      </c>
      <c r="M865" s="2">
        <v>203263</v>
      </c>
      <c r="N865" s="2">
        <v>81384</v>
      </c>
      <c r="O865" s="2">
        <v>0</v>
      </c>
      <c r="P865" s="2"/>
      <c r="Q865" s="2">
        <v>255945</v>
      </c>
      <c r="R865" s="2">
        <v>-220160</v>
      </c>
      <c r="S865" s="2">
        <v>31029</v>
      </c>
      <c r="T865" s="2">
        <v>40384</v>
      </c>
      <c r="U865" s="2">
        <v>0</v>
      </c>
      <c r="V865" s="2"/>
      <c r="W865" s="2">
        <v>288325</v>
      </c>
      <c r="X865" s="2">
        <v>236207</v>
      </c>
      <c r="Y865" s="2">
        <v>191759</v>
      </c>
      <c r="Z865" s="2">
        <v>0</v>
      </c>
      <c r="AA865" s="2">
        <v>0</v>
      </c>
      <c r="AB865" s="2"/>
      <c r="AC865" s="2">
        <v>0</v>
      </c>
      <c r="AD865" s="2">
        <v>0</v>
      </c>
      <c r="AE865" s="2">
        <v>0</v>
      </c>
      <c r="AF865" s="2">
        <v>0</v>
      </c>
      <c r="AG865" s="2">
        <v>0</v>
      </c>
      <c r="AH865" s="2"/>
      <c r="AI865" s="2">
        <v>-57003</v>
      </c>
      <c r="AJ865" s="2">
        <v>-56790</v>
      </c>
      <c r="AK865" s="2">
        <v>-40701</v>
      </c>
      <c r="AL865" s="2">
        <v>-25317</v>
      </c>
      <c r="AM865" s="2">
        <v>-56790</v>
      </c>
    </row>
    <row r="866" spans="1:39">
      <c r="A866" s="349">
        <v>99304</v>
      </c>
      <c r="B866" s="342" t="s">
        <v>1560</v>
      </c>
      <c r="C866" s="234" t="e">
        <f>VLOOKUP(A866,#REF!,10,FALSE)</f>
        <v>#REF!</v>
      </c>
      <c r="E866" s="2">
        <v>6085</v>
      </c>
      <c r="F866" s="2">
        <v>3096</v>
      </c>
      <c r="G866" s="2">
        <v>3416</v>
      </c>
      <c r="H866" s="2">
        <v>1287</v>
      </c>
      <c r="I866" s="2">
        <v>0</v>
      </c>
      <c r="J866" s="2"/>
      <c r="K866" s="2">
        <v>1139</v>
      </c>
      <c r="L866" s="2">
        <v>1071</v>
      </c>
      <c r="M866" s="2">
        <v>960</v>
      </c>
      <c r="N866" s="2">
        <v>384</v>
      </c>
      <c r="O866" s="2">
        <v>0</v>
      </c>
      <c r="P866" s="2"/>
      <c r="Q866" s="2">
        <v>1209</v>
      </c>
      <c r="R866" s="2">
        <v>-1040</v>
      </c>
      <c r="S866" s="2">
        <v>147</v>
      </c>
      <c r="T866" s="2">
        <v>191</v>
      </c>
      <c r="U866" s="2">
        <v>0</v>
      </c>
      <c r="V866" s="2"/>
      <c r="W866" s="2">
        <v>1362</v>
      </c>
      <c r="X866" s="2">
        <v>1115</v>
      </c>
      <c r="Y866" s="2">
        <v>906</v>
      </c>
      <c r="Z866" s="2">
        <v>0</v>
      </c>
      <c r="AA866" s="2">
        <v>0</v>
      </c>
      <c r="AB866" s="2"/>
      <c r="AC866" s="2">
        <v>2375</v>
      </c>
      <c r="AD866" s="2">
        <v>1950</v>
      </c>
      <c r="AE866" s="2">
        <v>1403</v>
      </c>
      <c r="AF866" s="2">
        <v>712</v>
      </c>
      <c r="AG866" s="2">
        <v>0</v>
      </c>
      <c r="AH866" s="2"/>
      <c r="AI866" s="2">
        <v>0</v>
      </c>
      <c r="AJ866" s="2">
        <v>0</v>
      </c>
      <c r="AK866" s="2">
        <v>0</v>
      </c>
      <c r="AL866" s="2">
        <v>0</v>
      </c>
      <c r="AM866" s="2">
        <v>0</v>
      </c>
    </row>
    <row r="867" spans="1:39">
      <c r="A867" s="349">
        <v>99311</v>
      </c>
      <c r="B867" s="342" t="s">
        <v>1561</v>
      </c>
      <c r="C867" s="234" t="e">
        <f>VLOOKUP(A867,#REF!,10,FALSE)</f>
        <v>#REF!</v>
      </c>
      <c r="E867" s="2">
        <v>27634</v>
      </c>
      <c r="F867" s="2">
        <v>8505</v>
      </c>
      <c r="G867" s="2">
        <v>15768</v>
      </c>
      <c r="H867" s="2">
        <v>3458</v>
      </c>
      <c r="I867" s="2">
        <v>0</v>
      </c>
      <c r="J867" s="2"/>
      <c r="K867" s="2">
        <v>8943</v>
      </c>
      <c r="L867" s="2">
        <v>8413</v>
      </c>
      <c r="M867" s="2">
        <v>7540</v>
      </c>
      <c r="N867" s="2">
        <v>3019</v>
      </c>
      <c r="O867" s="2">
        <v>0</v>
      </c>
      <c r="P867" s="2"/>
      <c r="Q867" s="2">
        <v>9495</v>
      </c>
      <c r="R867" s="2">
        <v>-8167</v>
      </c>
      <c r="S867" s="2">
        <v>1151</v>
      </c>
      <c r="T867" s="2">
        <v>1498</v>
      </c>
      <c r="U867" s="2">
        <v>0</v>
      </c>
      <c r="V867" s="2"/>
      <c r="W867" s="2">
        <v>10696</v>
      </c>
      <c r="X867" s="2">
        <v>8763</v>
      </c>
      <c r="Y867" s="2">
        <v>7114</v>
      </c>
      <c r="Z867" s="2">
        <v>0</v>
      </c>
      <c r="AA867" s="2">
        <v>0</v>
      </c>
      <c r="AB867" s="2"/>
      <c r="AC867" s="2">
        <v>1019</v>
      </c>
      <c r="AD867" s="2">
        <v>1019</v>
      </c>
      <c r="AE867" s="2">
        <v>1021</v>
      </c>
      <c r="AF867" s="2">
        <v>0</v>
      </c>
      <c r="AG867" s="2">
        <v>0</v>
      </c>
      <c r="AH867" s="2"/>
      <c r="AI867" s="2">
        <v>-2519</v>
      </c>
      <c r="AJ867" s="2">
        <v>-1523</v>
      </c>
      <c r="AK867" s="2">
        <v>-1058</v>
      </c>
      <c r="AL867" s="2">
        <v>-1059</v>
      </c>
      <c r="AM867" s="2">
        <v>-1523</v>
      </c>
    </row>
    <row r="868" spans="1:39">
      <c r="A868" s="349">
        <v>99321</v>
      </c>
      <c r="B868" s="342" t="s">
        <v>1562</v>
      </c>
      <c r="C868" s="234" t="e">
        <f>VLOOKUP(A868,#REF!,10,FALSE)</f>
        <v>#REF!</v>
      </c>
      <c r="E868" s="2">
        <v>77620</v>
      </c>
      <c r="F868" s="2">
        <v>38801</v>
      </c>
      <c r="G868" s="2">
        <v>40564</v>
      </c>
      <c r="H868" s="2">
        <v>17708</v>
      </c>
      <c r="I868" s="2">
        <v>0</v>
      </c>
      <c r="J868" s="2"/>
      <c r="K868" s="2">
        <v>12943</v>
      </c>
      <c r="L868" s="2">
        <v>12175</v>
      </c>
      <c r="M868" s="2">
        <v>10913</v>
      </c>
      <c r="N868" s="2">
        <v>4369</v>
      </c>
      <c r="O868" s="2">
        <v>0</v>
      </c>
      <c r="P868" s="2"/>
      <c r="Q868" s="2">
        <v>13741</v>
      </c>
      <c r="R868" s="2">
        <v>-11820</v>
      </c>
      <c r="S868" s="2">
        <v>1666</v>
      </c>
      <c r="T868" s="2">
        <v>2168</v>
      </c>
      <c r="U868" s="2">
        <v>0</v>
      </c>
      <c r="V868" s="2"/>
      <c r="W868" s="2">
        <v>15480</v>
      </c>
      <c r="X868" s="2">
        <v>12681</v>
      </c>
      <c r="Y868" s="2">
        <v>10295</v>
      </c>
      <c r="Z868" s="2">
        <v>0</v>
      </c>
      <c r="AA868" s="2">
        <v>0</v>
      </c>
      <c r="AB868" s="2"/>
      <c r="AC868" s="2">
        <v>35456</v>
      </c>
      <c r="AD868" s="2">
        <v>25765</v>
      </c>
      <c r="AE868" s="2">
        <v>17690</v>
      </c>
      <c r="AF868" s="2">
        <v>11171</v>
      </c>
      <c r="AG868" s="2">
        <v>0</v>
      </c>
      <c r="AH868" s="2"/>
      <c r="AI868" s="2">
        <v>0</v>
      </c>
      <c r="AJ868" s="2">
        <v>0</v>
      </c>
      <c r="AK868" s="2">
        <v>0</v>
      </c>
      <c r="AL868" s="2">
        <v>0</v>
      </c>
      <c r="AM868" s="2">
        <v>0</v>
      </c>
    </row>
    <row r="869" spans="1:39">
      <c r="A869" s="349">
        <v>99401</v>
      </c>
      <c r="B869" s="342" t="s">
        <v>1563</v>
      </c>
      <c r="C869" s="234" t="e">
        <f>VLOOKUP(A869,#REF!,10,FALSE)</f>
        <v>#REF!</v>
      </c>
      <c r="E869" s="2">
        <v>355657</v>
      </c>
      <c r="F869" s="2">
        <v>90947</v>
      </c>
      <c r="G869" s="2">
        <v>183685</v>
      </c>
      <c r="H869" s="2">
        <v>51545</v>
      </c>
      <c r="I869" s="2">
        <v>0</v>
      </c>
      <c r="J869" s="2"/>
      <c r="K869" s="2">
        <v>116235</v>
      </c>
      <c r="L869" s="2">
        <v>109340</v>
      </c>
      <c r="M869" s="2">
        <v>98000</v>
      </c>
      <c r="N869" s="2">
        <v>39238</v>
      </c>
      <c r="O869" s="2">
        <v>0</v>
      </c>
      <c r="P869" s="2"/>
      <c r="Q869" s="2">
        <v>123400</v>
      </c>
      <c r="R869" s="2">
        <v>-106147</v>
      </c>
      <c r="S869" s="2">
        <v>14960</v>
      </c>
      <c r="T869" s="2">
        <v>19470</v>
      </c>
      <c r="U869" s="2">
        <v>0</v>
      </c>
      <c r="V869" s="2"/>
      <c r="W869" s="2">
        <v>139012</v>
      </c>
      <c r="X869" s="2">
        <v>113883</v>
      </c>
      <c r="Y869" s="2">
        <v>92454</v>
      </c>
      <c r="Z869" s="2">
        <v>0</v>
      </c>
      <c r="AA869" s="2">
        <v>0</v>
      </c>
      <c r="AB869" s="2"/>
      <c r="AC869" s="2">
        <v>3138</v>
      </c>
      <c r="AD869" s="2">
        <v>0</v>
      </c>
      <c r="AE869" s="2">
        <v>0</v>
      </c>
      <c r="AF869" s="2">
        <v>0</v>
      </c>
      <c r="AG869" s="2">
        <v>0</v>
      </c>
      <c r="AH869" s="2"/>
      <c r="AI869" s="2">
        <v>-26128</v>
      </c>
      <c r="AJ869" s="2">
        <v>-26129</v>
      </c>
      <c r="AK869" s="2">
        <v>-21729</v>
      </c>
      <c r="AL869" s="2">
        <v>-7163</v>
      </c>
      <c r="AM869" s="2">
        <v>-26129</v>
      </c>
    </row>
    <row r="870" spans="1:39">
      <c r="A870" s="349">
        <v>99404</v>
      </c>
      <c r="B870" s="342" t="s">
        <v>1564</v>
      </c>
      <c r="C870" s="234" t="e">
        <f>VLOOKUP(A870,#REF!,10,FALSE)</f>
        <v>#REF!</v>
      </c>
      <c r="E870" s="2">
        <v>4845</v>
      </c>
      <c r="F870" s="2">
        <v>1854</v>
      </c>
      <c r="G870" s="2">
        <v>2640</v>
      </c>
      <c r="H870" s="2">
        <v>844</v>
      </c>
      <c r="I870" s="2">
        <v>0</v>
      </c>
      <c r="J870" s="2"/>
      <c r="K870" s="2">
        <v>1273</v>
      </c>
      <c r="L870" s="2">
        <v>1198</v>
      </c>
      <c r="M870" s="2">
        <v>1074</v>
      </c>
      <c r="N870" s="2">
        <v>430</v>
      </c>
      <c r="O870" s="2">
        <v>0</v>
      </c>
      <c r="P870" s="2"/>
      <c r="Q870" s="2">
        <v>1352</v>
      </c>
      <c r="R870" s="2">
        <v>-1163</v>
      </c>
      <c r="S870" s="2">
        <v>164</v>
      </c>
      <c r="T870" s="2">
        <v>213</v>
      </c>
      <c r="U870" s="2">
        <v>0</v>
      </c>
      <c r="V870" s="2"/>
      <c r="W870" s="2">
        <v>1523</v>
      </c>
      <c r="X870" s="2">
        <v>1248</v>
      </c>
      <c r="Y870" s="2">
        <v>1013</v>
      </c>
      <c r="Z870" s="2">
        <v>0</v>
      </c>
      <c r="AA870" s="2">
        <v>0</v>
      </c>
      <c r="AB870" s="2"/>
      <c r="AC870" s="2">
        <v>697</v>
      </c>
      <c r="AD870" s="2">
        <v>571</v>
      </c>
      <c r="AE870" s="2">
        <v>389</v>
      </c>
      <c r="AF870" s="2">
        <v>201</v>
      </c>
      <c r="AG870" s="2">
        <v>0</v>
      </c>
      <c r="AH870" s="2"/>
      <c r="AI870" s="2">
        <v>0</v>
      </c>
      <c r="AJ870" s="2">
        <v>0</v>
      </c>
      <c r="AK870" s="2">
        <v>0</v>
      </c>
      <c r="AL870" s="2">
        <v>0</v>
      </c>
      <c r="AM870" s="2">
        <v>0</v>
      </c>
    </row>
    <row r="871" spans="1:39">
      <c r="A871" s="349">
        <v>99405</v>
      </c>
      <c r="B871" s="342" t="s">
        <v>1565</v>
      </c>
      <c r="C871" s="234" t="e">
        <f>VLOOKUP(A871,#REF!,10,FALSE)</f>
        <v>#REF!</v>
      </c>
      <c r="E871" s="2">
        <v>36712</v>
      </c>
      <c r="F871" s="2">
        <v>15658</v>
      </c>
      <c r="G871" s="2">
        <v>19895</v>
      </c>
      <c r="H871" s="2">
        <v>8022</v>
      </c>
      <c r="I871" s="2">
        <v>0</v>
      </c>
      <c r="J871" s="2"/>
      <c r="K871" s="2">
        <v>8958</v>
      </c>
      <c r="L871" s="2">
        <v>8427</v>
      </c>
      <c r="M871" s="2">
        <v>7553</v>
      </c>
      <c r="N871" s="2">
        <v>3024</v>
      </c>
      <c r="O871" s="2">
        <v>0</v>
      </c>
      <c r="P871" s="2"/>
      <c r="Q871" s="2">
        <v>9511</v>
      </c>
      <c r="R871" s="2">
        <v>-8181</v>
      </c>
      <c r="S871" s="2">
        <v>1153</v>
      </c>
      <c r="T871" s="2">
        <v>1501</v>
      </c>
      <c r="U871" s="2">
        <v>0</v>
      </c>
      <c r="V871" s="2"/>
      <c r="W871" s="2">
        <v>10714</v>
      </c>
      <c r="X871" s="2">
        <v>8777</v>
      </c>
      <c r="Y871" s="2">
        <v>7126</v>
      </c>
      <c r="Z871" s="2">
        <v>0</v>
      </c>
      <c r="AA871" s="2">
        <v>0</v>
      </c>
      <c r="AB871" s="2"/>
      <c r="AC871" s="2">
        <v>7529</v>
      </c>
      <c r="AD871" s="2">
        <v>6635</v>
      </c>
      <c r="AE871" s="2">
        <v>4063</v>
      </c>
      <c r="AF871" s="2">
        <v>3497</v>
      </c>
      <c r="AG871" s="2">
        <v>0</v>
      </c>
      <c r="AH871" s="2"/>
      <c r="AI871" s="2">
        <v>0</v>
      </c>
      <c r="AJ871" s="2">
        <v>0</v>
      </c>
      <c r="AK871" s="2">
        <v>0</v>
      </c>
      <c r="AL871" s="2">
        <v>0</v>
      </c>
      <c r="AM871" s="2">
        <v>0</v>
      </c>
    </row>
    <row r="872" spans="1:39">
      <c r="A872" s="349">
        <v>99411</v>
      </c>
      <c r="B872" s="342" t="s">
        <v>1566</v>
      </c>
      <c r="C872" s="234" t="e">
        <f>VLOOKUP(A872,#REF!,10,FALSE)</f>
        <v>#REF!</v>
      </c>
      <c r="E872" s="2">
        <v>97629</v>
      </c>
      <c r="F872" s="2">
        <v>36020</v>
      </c>
      <c r="G872" s="2">
        <v>49340</v>
      </c>
      <c r="H872" s="2">
        <v>13813</v>
      </c>
      <c r="I872" s="2">
        <v>0</v>
      </c>
      <c r="J872" s="2"/>
      <c r="K872" s="2">
        <v>25677</v>
      </c>
      <c r="L872" s="2">
        <v>24154</v>
      </c>
      <c r="M872" s="2">
        <v>21649</v>
      </c>
      <c r="N872" s="2">
        <v>8668</v>
      </c>
      <c r="O872" s="2">
        <v>0</v>
      </c>
      <c r="P872" s="2"/>
      <c r="Q872" s="2">
        <v>27260</v>
      </c>
      <c r="R872" s="2">
        <v>-23448</v>
      </c>
      <c r="S872" s="2">
        <v>3305</v>
      </c>
      <c r="T872" s="2">
        <v>4301</v>
      </c>
      <c r="U872" s="2">
        <v>0</v>
      </c>
      <c r="V872" s="2"/>
      <c r="W872" s="2">
        <v>30708</v>
      </c>
      <c r="X872" s="2">
        <v>25157</v>
      </c>
      <c r="Y872" s="2">
        <v>20424</v>
      </c>
      <c r="Z872" s="2">
        <v>0</v>
      </c>
      <c r="AA872" s="2">
        <v>0</v>
      </c>
      <c r="AB872" s="2"/>
      <c r="AC872" s="2">
        <v>13984</v>
      </c>
      <c r="AD872" s="2">
        <v>10157</v>
      </c>
      <c r="AE872" s="2">
        <v>3962</v>
      </c>
      <c r="AF872" s="2">
        <v>844</v>
      </c>
      <c r="AG872" s="2">
        <v>0</v>
      </c>
      <c r="AH872" s="2"/>
      <c r="AI872" s="2">
        <v>0</v>
      </c>
      <c r="AJ872" s="2">
        <v>0</v>
      </c>
      <c r="AK872" s="2">
        <v>0</v>
      </c>
      <c r="AL872" s="2">
        <v>0</v>
      </c>
      <c r="AM872" s="2">
        <v>0</v>
      </c>
    </row>
    <row r="873" spans="1:39">
      <c r="A873" s="349">
        <v>99413</v>
      </c>
      <c r="B873" s="342" t="s">
        <v>1567</v>
      </c>
      <c r="C873" s="234" t="e">
        <f>VLOOKUP(A873,#REF!,10,FALSE)</f>
        <v>#REF!</v>
      </c>
      <c r="E873" s="2">
        <v>11351</v>
      </c>
      <c r="F873" s="2">
        <v>5107</v>
      </c>
      <c r="G873" s="2">
        <v>5995</v>
      </c>
      <c r="H873" s="2">
        <v>2993</v>
      </c>
      <c r="I873" s="2">
        <v>0</v>
      </c>
      <c r="J873" s="2"/>
      <c r="K873" s="2">
        <v>3056</v>
      </c>
      <c r="L873" s="2">
        <v>2875</v>
      </c>
      <c r="M873" s="2">
        <v>2577</v>
      </c>
      <c r="N873" s="2">
        <v>1032</v>
      </c>
      <c r="O873" s="2">
        <v>0</v>
      </c>
      <c r="P873" s="2"/>
      <c r="Q873" s="2">
        <v>3244</v>
      </c>
      <c r="R873" s="2">
        <v>-2791</v>
      </c>
      <c r="S873" s="2">
        <v>393</v>
      </c>
      <c r="T873" s="2">
        <v>512</v>
      </c>
      <c r="U873" s="2">
        <v>0</v>
      </c>
      <c r="V873" s="2"/>
      <c r="W873" s="2">
        <v>3655</v>
      </c>
      <c r="X873" s="2">
        <v>2994</v>
      </c>
      <c r="Y873" s="2">
        <v>2431</v>
      </c>
      <c r="Z873" s="2">
        <v>0</v>
      </c>
      <c r="AA873" s="2">
        <v>0</v>
      </c>
      <c r="AB873" s="2"/>
      <c r="AC873" s="2">
        <v>2884</v>
      </c>
      <c r="AD873" s="2">
        <v>2884</v>
      </c>
      <c r="AE873" s="2">
        <v>1447</v>
      </c>
      <c r="AF873" s="2">
        <v>1449</v>
      </c>
      <c r="AG873" s="2">
        <v>0</v>
      </c>
      <c r="AH873" s="2"/>
      <c r="AI873" s="2">
        <v>-1488</v>
      </c>
      <c r="AJ873" s="2">
        <v>-855</v>
      </c>
      <c r="AK873" s="2">
        <v>-853</v>
      </c>
      <c r="AL873" s="2">
        <v>0</v>
      </c>
      <c r="AM873" s="2">
        <v>-855</v>
      </c>
    </row>
    <row r="874" spans="1:39">
      <c r="A874" s="349">
        <v>99421</v>
      </c>
      <c r="B874" s="342" t="s">
        <v>1568</v>
      </c>
      <c r="C874" s="234" t="e">
        <f>VLOOKUP(A874,#REF!,10,FALSE)</f>
        <v>#REF!</v>
      </c>
      <c r="E874" s="2">
        <v>5620</v>
      </c>
      <c r="F874" s="2">
        <v>1856</v>
      </c>
      <c r="G874" s="2">
        <v>3877</v>
      </c>
      <c r="H874" s="2">
        <v>1094</v>
      </c>
      <c r="I874" s="2">
        <v>0</v>
      </c>
      <c r="J874" s="2"/>
      <c r="K874" s="2">
        <v>2022</v>
      </c>
      <c r="L874" s="2">
        <v>1902</v>
      </c>
      <c r="M874" s="2">
        <v>1705</v>
      </c>
      <c r="N874" s="2">
        <v>683</v>
      </c>
      <c r="O874" s="2">
        <v>0</v>
      </c>
      <c r="P874" s="2"/>
      <c r="Q874" s="2">
        <v>2147</v>
      </c>
      <c r="R874" s="2">
        <v>-1847</v>
      </c>
      <c r="S874" s="2">
        <v>260</v>
      </c>
      <c r="T874" s="2">
        <v>339</v>
      </c>
      <c r="U874" s="2">
        <v>0</v>
      </c>
      <c r="V874" s="2"/>
      <c r="W874" s="2">
        <v>2419</v>
      </c>
      <c r="X874" s="2">
        <v>1981</v>
      </c>
      <c r="Y874" s="2">
        <v>1609</v>
      </c>
      <c r="Z874" s="2">
        <v>0</v>
      </c>
      <c r="AA874" s="2">
        <v>0</v>
      </c>
      <c r="AB874" s="2"/>
      <c r="AC874" s="2">
        <v>302</v>
      </c>
      <c r="AD874" s="2">
        <v>302</v>
      </c>
      <c r="AE874" s="2">
        <v>303</v>
      </c>
      <c r="AF874" s="2">
        <v>72</v>
      </c>
      <c r="AG874" s="2">
        <v>0</v>
      </c>
      <c r="AH874" s="2"/>
      <c r="AI874" s="2">
        <v>-1270</v>
      </c>
      <c r="AJ874" s="2">
        <v>-482</v>
      </c>
      <c r="AK874" s="2">
        <v>0</v>
      </c>
      <c r="AL874" s="2">
        <v>0</v>
      </c>
      <c r="AM874" s="2">
        <v>-482</v>
      </c>
    </row>
    <row r="875" spans="1:39">
      <c r="A875" s="349">
        <v>99431</v>
      </c>
      <c r="B875" s="342" t="s">
        <v>1569</v>
      </c>
      <c r="C875" s="234" t="e">
        <f>VLOOKUP(A875,#REF!,10,FALSE)</f>
        <v>#REF!</v>
      </c>
      <c r="E875" s="2">
        <v>4526</v>
      </c>
      <c r="F875" s="2">
        <v>-188</v>
      </c>
      <c r="G875" s="2">
        <v>1917</v>
      </c>
      <c r="H875" s="2">
        <v>-342</v>
      </c>
      <c r="I875" s="2">
        <v>0</v>
      </c>
      <c r="J875" s="2"/>
      <c r="K875" s="2">
        <v>2217</v>
      </c>
      <c r="L875" s="2">
        <v>2086</v>
      </c>
      <c r="M875" s="2">
        <v>1869</v>
      </c>
      <c r="N875" s="2">
        <v>748</v>
      </c>
      <c r="O875" s="2">
        <v>0</v>
      </c>
      <c r="P875" s="2"/>
      <c r="Q875" s="2">
        <v>2354</v>
      </c>
      <c r="R875" s="2">
        <v>-2025</v>
      </c>
      <c r="S875" s="2">
        <v>285</v>
      </c>
      <c r="T875" s="2">
        <v>371</v>
      </c>
      <c r="U875" s="2">
        <v>0</v>
      </c>
      <c r="V875" s="2"/>
      <c r="W875" s="2">
        <v>2652</v>
      </c>
      <c r="X875" s="2">
        <v>2172</v>
      </c>
      <c r="Y875" s="2">
        <v>1764</v>
      </c>
      <c r="Z875" s="2">
        <v>0</v>
      </c>
      <c r="AA875" s="2">
        <v>0</v>
      </c>
      <c r="AB875" s="2"/>
      <c r="AC875" s="2">
        <v>0</v>
      </c>
      <c r="AD875" s="2">
        <v>0</v>
      </c>
      <c r="AE875" s="2">
        <v>0</v>
      </c>
      <c r="AF875" s="2">
        <v>0</v>
      </c>
      <c r="AG875" s="2">
        <v>0</v>
      </c>
      <c r="AH875" s="2"/>
      <c r="AI875" s="2">
        <v>-2697</v>
      </c>
      <c r="AJ875" s="2">
        <v>-2421</v>
      </c>
      <c r="AK875" s="2">
        <v>-2001</v>
      </c>
      <c r="AL875" s="2">
        <v>-1461</v>
      </c>
      <c r="AM875" s="2">
        <v>-2421</v>
      </c>
    </row>
    <row r="876" spans="1:39">
      <c r="A876" s="349">
        <v>99501</v>
      </c>
      <c r="B876" s="342" t="s">
        <v>1570</v>
      </c>
      <c r="C876" s="234" t="e">
        <f>VLOOKUP(A876,#REF!,10,FALSE)</f>
        <v>#REF!</v>
      </c>
      <c r="E876" s="2">
        <v>815227</v>
      </c>
      <c r="F876" s="2">
        <v>259403</v>
      </c>
      <c r="G876" s="2">
        <v>452383</v>
      </c>
      <c r="H876" s="2">
        <v>134746</v>
      </c>
      <c r="I876" s="2">
        <v>0</v>
      </c>
      <c r="J876" s="2"/>
      <c r="K876" s="2">
        <v>246852</v>
      </c>
      <c r="L876" s="2">
        <v>232208</v>
      </c>
      <c r="M876" s="2">
        <v>208125</v>
      </c>
      <c r="N876" s="2">
        <v>83331</v>
      </c>
      <c r="O876" s="2">
        <v>0</v>
      </c>
      <c r="P876" s="2"/>
      <c r="Q876" s="2">
        <v>262068</v>
      </c>
      <c r="R876" s="2">
        <v>-225427</v>
      </c>
      <c r="S876" s="2">
        <v>31771</v>
      </c>
      <c r="T876" s="2">
        <v>41350</v>
      </c>
      <c r="U876" s="2">
        <v>0</v>
      </c>
      <c r="V876" s="2"/>
      <c r="W876" s="2">
        <v>295223</v>
      </c>
      <c r="X876" s="2">
        <v>241857</v>
      </c>
      <c r="Y876" s="2">
        <v>196347</v>
      </c>
      <c r="Z876" s="2">
        <v>0</v>
      </c>
      <c r="AA876" s="2">
        <v>0</v>
      </c>
      <c r="AB876" s="2"/>
      <c r="AC876" s="2">
        <v>16460</v>
      </c>
      <c r="AD876" s="2">
        <v>16142</v>
      </c>
      <c r="AE876" s="2">
        <v>16140</v>
      </c>
      <c r="AF876" s="2">
        <v>10065</v>
      </c>
      <c r="AG876" s="2">
        <v>0</v>
      </c>
      <c r="AH876" s="2"/>
      <c r="AI876" s="2">
        <v>-5376</v>
      </c>
      <c r="AJ876" s="2">
        <v>-5377</v>
      </c>
      <c r="AK876" s="2">
        <v>0</v>
      </c>
      <c r="AL876" s="2">
        <v>0</v>
      </c>
      <c r="AM876" s="2">
        <v>-5377</v>
      </c>
    </row>
    <row r="877" spans="1:39">
      <c r="A877" s="349">
        <v>99502</v>
      </c>
      <c r="B877" s="342" t="s">
        <v>1571</v>
      </c>
      <c r="C877" s="234" t="e">
        <f>VLOOKUP(A877,#REF!,10,FALSE)</f>
        <v>#REF!</v>
      </c>
      <c r="E877" s="2">
        <v>72571</v>
      </c>
      <c r="F877" s="2">
        <v>21331</v>
      </c>
      <c r="G877" s="2">
        <v>37318</v>
      </c>
      <c r="H877" s="2">
        <v>7699</v>
      </c>
      <c r="I877" s="2">
        <v>0</v>
      </c>
      <c r="J877" s="2"/>
      <c r="K877" s="2">
        <v>21662</v>
      </c>
      <c r="L877" s="2">
        <v>20377</v>
      </c>
      <c r="M877" s="2">
        <v>18264</v>
      </c>
      <c r="N877" s="2">
        <v>7313</v>
      </c>
      <c r="O877" s="2">
        <v>0</v>
      </c>
      <c r="P877" s="2"/>
      <c r="Q877" s="2">
        <v>22997</v>
      </c>
      <c r="R877" s="2">
        <v>-19782</v>
      </c>
      <c r="S877" s="2">
        <v>2788</v>
      </c>
      <c r="T877" s="2">
        <v>3629</v>
      </c>
      <c r="U877" s="2">
        <v>0</v>
      </c>
      <c r="V877" s="2"/>
      <c r="W877" s="2">
        <v>25907</v>
      </c>
      <c r="X877" s="2">
        <v>21224</v>
      </c>
      <c r="Y877" s="2">
        <v>17230</v>
      </c>
      <c r="Z877" s="2">
        <v>0</v>
      </c>
      <c r="AA877" s="2">
        <v>0</v>
      </c>
      <c r="AB877" s="2"/>
      <c r="AC877" s="2">
        <v>5249</v>
      </c>
      <c r="AD877" s="2">
        <v>2756</v>
      </c>
      <c r="AE877" s="2">
        <v>2280</v>
      </c>
      <c r="AF877" s="2">
        <v>0</v>
      </c>
      <c r="AG877" s="2">
        <v>0</v>
      </c>
      <c r="AH877" s="2"/>
      <c r="AI877" s="2">
        <v>-3244</v>
      </c>
      <c r="AJ877" s="2">
        <v>-3244</v>
      </c>
      <c r="AK877" s="2">
        <v>-3244</v>
      </c>
      <c r="AL877" s="2">
        <v>-3243</v>
      </c>
      <c r="AM877" s="2">
        <v>-3244</v>
      </c>
    </row>
    <row r="878" spans="1:39">
      <c r="A878" s="349">
        <v>99508</v>
      </c>
      <c r="B878" s="342" t="s">
        <v>1572</v>
      </c>
      <c r="C878" s="234" t="e">
        <f>VLOOKUP(A878,#REF!,10,FALSE)</f>
        <v>#REF!</v>
      </c>
      <c r="E878" s="2">
        <v>9916</v>
      </c>
      <c r="F878" s="2">
        <v>3042</v>
      </c>
      <c r="G878" s="2">
        <v>5425</v>
      </c>
      <c r="H878" s="2">
        <v>1517</v>
      </c>
      <c r="I878" s="2">
        <v>0</v>
      </c>
      <c r="J878" s="2"/>
      <c r="K878" s="2">
        <v>3146</v>
      </c>
      <c r="L878" s="2">
        <v>2959</v>
      </c>
      <c r="M878" s="2">
        <v>2652</v>
      </c>
      <c r="N878" s="2">
        <v>1062</v>
      </c>
      <c r="O878" s="2">
        <v>0</v>
      </c>
      <c r="P878" s="2"/>
      <c r="Q878" s="2">
        <v>3340</v>
      </c>
      <c r="R878" s="2">
        <v>-2873</v>
      </c>
      <c r="S878" s="2">
        <v>405</v>
      </c>
      <c r="T878" s="2">
        <v>527</v>
      </c>
      <c r="U878" s="2">
        <v>0</v>
      </c>
      <c r="V878" s="2"/>
      <c r="W878" s="2">
        <v>3762</v>
      </c>
      <c r="X878" s="2">
        <v>3082</v>
      </c>
      <c r="Y878" s="2">
        <v>2502</v>
      </c>
      <c r="Z878" s="2">
        <v>0</v>
      </c>
      <c r="AA878" s="2">
        <v>0</v>
      </c>
      <c r="AB878" s="2"/>
      <c r="AC878" s="2">
        <v>9</v>
      </c>
      <c r="AD878" s="2">
        <v>10</v>
      </c>
      <c r="AE878" s="2">
        <v>0</v>
      </c>
      <c r="AF878" s="2">
        <v>0</v>
      </c>
      <c r="AG878" s="2">
        <v>0</v>
      </c>
      <c r="AH878" s="2"/>
      <c r="AI878" s="2">
        <v>-341</v>
      </c>
      <c r="AJ878" s="2">
        <v>-136</v>
      </c>
      <c r="AK878" s="2">
        <v>-134</v>
      </c>
      <c r="AL878" s="2">
        <v>-72</v>
      </c>
      <c r="AM878" s="2">
        <v>-136</v>
      </c>
    </row>
    <row r="879" spans="1:39">
      <c r="A879" s="349">
        <v>99509</v>
      </c>
      <c r="B879" s="342" t="s">
        <v>3702</v>
      </c>
      <c r="C879" s="234" t="e">
        <f>VLOOKUP(A879,#REF!,10,FALSE)</f>
        <v>#REF!</v>
      </c>
      <c r="E879" s="2">
        <v>11034</v>
      </c>
      <c r="F879" s="2">
        <v>2781</v>
      </c>
      <c r="G879" s="2">
        <v>6120</v>
      </c>
      <c r="H879" s="2">
        <v>1727</v>
      </c>
      <c r="I879" s="2">
        <v>0</v>
      </c>
      <c r="J879" s="2"/>
      <c r="K879" s="2">
        <v>3775</v>
      </c>
      <c r="L879" s="2">
        <v>3551</v>
      </c>
      <c r="M879" s="2">
        <v>3183</v>
      </c>
      <c r="N879" s="2">
        <v>1274</v>
      </c>
      <c r="O879" s="2">
        <v>0</v>
      </c>
      <c r="P879" s="2"/>
      <c r="Q879" s="2">
        <v>4008</v>
      </c>
      <c r="R879" s="2">
        <v>-3447</v>
      </c>
      <c r="S879" s="2">
        <v>486</v>
      </c>
      <c r="T879" s="2">
        <v>632</v>
      </c>
      <c r="U879" s="2">
        <v>0</v>
      </c>
      <c r="V879" s="2"/>
      <c r="W879" s="2">
        <v>4515</v>
      </c>
      <c r="X879" s="2">
        <v>3699</v>
      </c>
      <c r="Y879" s="2">
        <v>3003</v>
      </c>
      <c r="Z879" s="2">
        <v>0</v>
      </c>
      <c r="AA879" s="2">
        <v>0</v>
      </c>
      <c r="AB879" s="2"/>
      <c r="AC879" s="2">
        <v>0</v>
      </c>
      <c r="AD879" s="2">
        <v>0</v>
      </c>
      <c r="AE879" s="2">
        <v>0</v>
      </c>
      <c r="AF879" s="2">
        <v>0</v>
      </c>
      <c r="AG879" s="2">
        <v>0</v>
      </c>
      <c r="AH879" s="2"/>
      <c r="AI879" s="2">
        <v>-1264</v>
      </c>
      <c r="AJ879" s="2">
        <v>-1022</v>
      </c>
      <c r="AK879" s="2">
        <v>-552</v>
      </c>
      <c r="AL879" s="2">
        <v>-179</v>
      </c>
      <c r="AM879" s="2">
        <v>-1022</v>
      </c>
    </row>
    <row r="880" spans="1:39">
      <c r="A880" s="349">
        <v>99511</v>
      </c>
      <c r="B880" s="342" t="s">
        <v>1574</v>
      </c>
      <c r="C880" s="234" t="e">
        <f>VLOOKUP(A880,#REF!,10,FALSE)</f>
        <v>#REF!</v>
      </c>
      <c r="E880" s="2">
        <v>591884</v>
      </c>
      <c r="F880" s="2">
        <v>159371</v>
      </c>
      <c r="G880" s="2">
        <v>316887</v>
      </c>
      <c r="H880" s="2">
        <v>86045</v>
      </c>
      <c r="I880" s="2">
        <v>0</v>
      </c>
      <c r="J880" s="2"/>
      <c r="K880" s="2">
        <v>199153</v>
      </c>
      <c r="L880" s="2">
        <v>187339</v>
      </c>
      <c r="M880" s="2">
        <v>167910</v>
      </c>
      <c r="N880" s="2">
        <v>67229</v>
      </c>
      <c r="O880" s="2">
        <v>0</v>
      </c>
      <c r="P880" s="2"/>
      <c r="Q880" s="2">
        <v>211429</v>
      </c>
      <c r="R880" s="2">
        <v>-181869</v>
      </c>
      <c r="S880" s="2">
        <v>25632</v>
      </c>
      <c r="T880" s="2">
        <v>33360</v>
      </c>
      <c r="U880" s="2">
        <v>0</v>
      </c>
      <c r="V880" s="2"/>
      <c r="W880" s="2">
        <v>238178</v>
      </c>
      <c r="X880" s="2">
        <v>195124</v>
      </c>
      <c r="Y880" s="2">
        <v>158407</v>
      </c>
      <c r="Z880" s="2">
        <v>0</v>
      </c>
      <c r="AA880" s="2">
        <v>0</v>
      </c>
      <c r="AB880" s="2"/>
      <c r="AC880" s="2">
        <v>0</v>
      </c>
      <c r="AD880" s="2">
        <v>0</v>
      </c>
      <c r="AE880" s="2">
        <v>0</v>
      </c>
      <c r="AF880" s="2">
        <v>0</v>
      </c>
      <c r="AG880" s="2">
        <v>0</v>
      </c>
      <c r="AH880" s="2"/>
      <c r="AI880" s="2">
        <v>-56876</v>
      </c>
      <c r="AJ880" s="2">
        <v>-41223</v>
      </c>
      <c r="AK880" s="2">
        <v>-35062</v>
      </c>
      <c r="AL880" s="2">
        <v>-14544</v>
      </c>
      <c r="AM880" s="2">
        <v>-41223</v>
      </c>
    </row>
    <row r="881" spans="1:39">
      <c r="A881" s="349">
        <v>99521</v>
      </c>
      <c r="B881" s="342" t="s">
        <v>1575</v>
      </c>
      <c r="C881" s="234" t="e">
        <f>VLOOKUP(A881,#REF!,10,FALSE)</f>
        <v>#REF!</v>
      </c>
      <c r="E881" s="2">
        <v>227351</v>
      </c>
      <c r="F881" s="2">
        <v>68510</v>
      </c>
      <c r="G881" s="2">
        <v>123062</v>
      </c>
      <c r="H881" s="2">
        <v>26622</v>
      </c>
      <c r="I881" s="2">
        <v>0</v>
      </c>
      <c r="J881" s="2"/>
      <c r="K881" s="2">
        <v>72207</v>
      </c>
      <c r="L881" s="2">
        <v>67923</v>
      </c>
      <c r="M881" s="2">
        <v>60879</v>
      </c>
      <c r="N881" s="2">
        <v>24375</v>
      </c>
      <c r="O881" s="2">
        <v>0</v>
      </c>
      <c r="P881" s="2"/>
      <c r="Q881" s="2">
        <v>76658</v>
      </c>
      <c r="R881" s="2">
        <v>-65940</v>
      </c>
      <c r="S881" s="2">
        <v>9293</v>
      </c>
      <c r="T881" s="2">
        <v>12095</v>
      </c>
      <c r="U881" s="2">
        <v>0</v>
      </c>
      <c r="V881" s="2"/>
      <c r="W881" s="2">
        <v>86356</v>
      </c>
      <c r="X881" s="2">
        <v>70746</v>
      </c>
      <c r="Y881" s="2">
        <v>57434</v>
      </c>
      <c r="Z881" s="2">
        <v>0</v>
      </c>
      <c r="AA881" s="2">
        <v>0</v>
      </c>
      <c r="AB881" s="2"/>
      <c r="AC881" s="2">
        <v>5625</v>
      </c>
      <c r="AD881" s="2">
        <v>5627</v>
      </c>
      <c r="AE881" s="2">
        <v>5302</v>
      </c>
      <c r="AF881" s="2">
        <v>0</v>
      </c>
      <c r="AG881" s="2">
        <v>0</v>
      </c>
      <c r="AH881" s="2"/>
      <c r="AI881" s="2">
        <v>-13495</v>
      </c>
      <c r="AJ881" s="2">
        <v>-9846</v>
      </c>
      <c r="AK881" s="2">
        <v>-9846</v>
      </c>
      <c r="AL881" s="2">
        <v>-9848</v>
      </c>
      <c r="AM881" s="2">
        <v>-9846</v>
      </c>
    </row>
    <row r="882" spans="1:39">
      <c r="A882" s="349">
        <v>99527</v>
      </c>
      <c r="B882" s="342" t="s">
        <v>3703</v>
      </c>
      <c r="C882" s="234" t="e">
        <f>VLOOKUP(A882,#REF!,10,FALSE)</f>
        <v>#REF!</v>
      </c>
      <c r="E882" s="2">
        <v>5828</v>
      </c>
      <c r="F882" s="2">
        <v>2032</v>
      </c>
      <c r="G882" s="2">
        <v>3224</v>
      </c>
      <c r="H882" s="2">
        <v>1007</v>
      </c>
      <c r="I882" s="2">
        <v>0</v>
      </c>
      <c r="J882" s="2"/>
      <c r="K882" s="2">
        <v>1648</v>
      </c>
      <c r="L882" s="2">
        <v>1550</v>
      </c>
      <c r="M882" s="2">
        <v>1389</v>
      </c>
      <c r="N882" s="2">
        <v>556</v>
      </c>
      <c r="O882" s="2">
        <v>0</v>
      </c>
      <c r="P882" s="2"/>
      <c r="Q882" s="2">
        <v>1749</v>
      </c>
      <c r="R882" s="2">
        <v>-1505</v>
      </c>
      <c r="S882" s="2">
        <v>212</v>
      </c>
      <c r="T882" s="2">
        <v>276</v>
      </c>
      <c r="U882" s="2">
        <v>0</v>
      </c>
      <c r="V882" s="2"/>
      <c r="W882" s="2">
        <v>1971</v>
      </c>
      <c r="X882" s="2">
        <v>1615</v>
      </c>
      <c r="Y882" s="2">
        <v>1311</v>
      </c>
      <c r="Z882" s="2">
        <v>0</v>
      </c>
      <c r="AA882" s="2">
        <v>0</v>
      </c>
      <c r="AB882" s="2"/>
      <c r="AC882" s="2">
        <v>460</v>
      </c>
      <c r="AD882" s="2">
        <v>372</v>
      </c>
      <c r="AE882" s="2">
        <v>312</v>
      </c>
      <c r="AF882" s="2">
        <v>175</v>
      </c>
      <c r="AG882" s="2">
        <v>0</v>
      </c>
      <c r="AH882" s="2"/>
      <c r="AI882" s="2">
        <v>0</v>
      </c>
      <c r="AJ882" s="2">
        <v>0</v>
      </c>
      <c r="AK882" s="2">
        <v>0</v>
      </c>
      <c r="AL882" s="2">
        <v>0</v>
      </c>
      <c r="AM882" s="2">
        <v>0</v>
      </c>
    </row>
    <row r="883" spans="1:39">
      <c r="A883" s="349">
        <v>99531</v>
      </c>
      <c r="B883" s="342" t="s">
        <v>1577</v>
      </c>
      <c r="C883" s="234" t="e">
        <f>VLOOKUP(A883,#REF!,10,FALSE)</f>
        <v>#REF!</v>
      </c>
      <c r="E883" s="2">
        <v>66713</v>
      </c>
      <c r="F883" s="2">
        <v>32125</v>
      </c>
      <c r="G883" s="2">
        <v>35069</v>
      </c>
      <c r="H883" s="2">
        <v>12967</v>
      </c>
      <c r="I883" s="2">
        <v>0</v>
      </c>
      <c r="J883" s="2"/>
      <c r="K883" s="2">
        <v>12928</v>
      </c>
      <c r="L883" s="2">
        <v>12161</v>
      </c>
      <c r="M883" s="2">
        <v>10900</v>
      </c>
      <c r="N883" s="2">
        <v>4364</v>
      </c>
      <c r="O883" s="2">
        <v>0</v>
      </c>
      <c r="P883" s="2"/>
      <c r="Q883" s="2">
        <v>13725</v>
      </c>
      <c r="R883" s="2">
        <v>-11806</v>
      </c>
      <c r="S883" s="2">
        <v>1664</v>
      </c>
      <c r="T883" s="2">
        <v>2166</v>
      </c>
      <c r="U883" s="2">
        <v>0</v>
      </c>
      <c r="V883" s="2"/>
      <c r="W883" s="2">
        <v>15462</v>
      </c>
      <c r="X883" s="2">
        <v>12667</v>
      </c>
      <c r="Y883" s="2">
        <v>10283</v>
      </c>
      <c r="Z883" s="2">
        <v>0</v>
      </c>
      <c r="AA883" s="2">
        <v>0</v>
      </c>
      <c r="AB883" s="2"/>
      <c r="AC883" s="2">
        <v>24598</v>
      </c>
      <c r="AD883" s="2">
        <v>19103</v>
      </c>
      <c r="AE883" s="2">
        <v>12222</v>
      </c>
      <c r="AF883" s="2">
        <v>6437</v>
      </c>
      <c r="AG883" s="2">
        <v>0</v>
      </c>
      <c r="AH883" s="2"/>
      <c r="AI883" s="2">
        <v>0</v>
      </c>
      <c r="AJ883" s="2">
        <v>0</v>
      </c>
      <c r="AK883" s="2">
        <v>0</v>
      </c>
      <c r="AL883" s="2">
        <v>0</v>
      </c>
      <c r="AM883" s="2">
        <v>0</v>
      </c>
    </row>
    <row r="884" spans="1:39">
      <c r="A884" s="349">
        <v>99601</v>
      </c>
      <c r="B884" s="342" t="s">
        <v>1578</v>
      </c>
      <c r="C884" s="234" t="e">
        <f>VLOOKUP(A884,#REF!,10,FALSE)</f>
        <v>#REF!</v>
      </c>
      <c r="E884" s="2">
        <v>2873336</v>
      </c>
      <c r="F884" s="2">
        <v>904051</v>
      </c>
      <c r="G884" s="2">
        <v>1513458</v>
      </c>
      <c r="H884" s="2">
        <v>396143</v>
      </c>
      <c r="I884" s="2">
        <v>0</v>
      </c>
      <c r="J884" s="2"/>
      <c r="K884" s="2">
        <v>884191</v>
      </c>
      <c r="L884" s="2">
        <v>831738</v>
      </c>
      <c r="M884" s="2">
        <v>745477</v>
      </c>
      <c r="N884" s="2">
        <v>298480</v>
      </c>
      <c r="O884" s="2">
        <v>0</v>
      </c>
      <c r="P884" s="2"/>
      <c r="Q884" s="2">
        <v>938692</v>
      </c>
      <c r="R884" s="2">
        <v>-807450</v>
      </c>
      <c r="S884" s="2">
        <v>113800</v>
      </c>
      <c r="T884" s="2">
        <v>148110</v>
      </c>
      <c r="U884" s="2">
        <v>0</v>
      </c>
      <c r="V884" s="2"/>
      <c r="W884" s="2">
        <v>1057450</v>
      </c>
      <c r="X884" s="2">
        <v>866301</v>
      </c>
      <c r="Y884" s="2">
        <v>703288</v>
      </c>
      <c r="Z884" s="2">
        <v>0</v>
      </c>
      <c r="AA884" s="2">
        <v>0</v>
      </c>
      <c r="AB884" s="2"/>
      <c r="AC884" s="2">
        <v>63907</v>
      </c>
      <c r="AD884" s="2">
        <v>63908</v>
      </c>
      <c r="AE884" s="2">
        <v>1339</v>
      </c>
      <c r="AF884" s="2">
        <v>0</v>
      </c>
      <c r="AG884" s="2">
        <v>0</v>
      </c>
      <c r="AH884" s="2"/>
      <c r="AI884" s="2">
        <v>-70904</v>
      </c>
      <c r="AJ884" s="2">
        <v>-50446</v>
      </c>
      <c r="AK884" s="2">
        <v>-50446</v>
      </c>
      <c r="AL884" s="2">
        <v>-50447</v>
      </c>
      <c r="AM884" s="2">
        <v>-50446</v>
      </c>
    </row>
    <row r="885" spans="1:39">
      <c r="A885" s="349">
        <v>99602</v>
      </c>
      <c r="B885" s="342" t="s">
        <v>3704</v>
      </c>
      <c r="C885" s="234" t="e">
        <f>VLOOKUP(A885,#REF!,10,FALSE)</f>
        <v>#REF!</v>
      </c>
      <c r="E885" s="2">
        <v>31065</v>
      </c>
      <c r="F885" s="2">
        <v>9893</v>
      </c>
      <c r="G885" s="2">
        <v>15235</v>
      </c>
      <c r="H885" s="2">
        <v>3712</v>
      </c>
      <c r="I885" s="2">
        <v>0</v>
      </c>
      <c r="J885" s="2"/>
      <c r="K885" s="2">
        <v>9213</v>
      </c>
      <c r="L885" s="2">
        <v>8667</v>
      </c>
      <c r="M885" s="2">
        <v>7768</v>
      </c>
      <c r="N885" s="2">
        <v>3110</v>
      </c>
      <c r="O885" s="2">
        <v>0</v>
      </c>
      <c r="P885" s="2"/>
      <c r="Q885" s="2">
        <v>9781</v>
      </c>
      <c r="R885" s="2">
        <v>-8414</v>
      </c>
      <c r="S885" s="2">
        <v>1186</v>
      </c>
      <c r="T885" s="2">
        <v>1543</v>
      </c>
      <c r="U885" s="2">
        <v>0</v>
      </c>
      <c r="V885" s="2"/>
      <c r="W885" s="2">
        <v>11018</v>
      </c>
      <c r="X885" s="2">
        <v>9027</v>
      </c>
      <c r="Y885" s="2">
        <v>7328</v>
      </c>
      <c r="Z885" s="2">
        <v>0</v>
      </c>
      <c r="AA885" s="2">
        <v>0</v>
      </c>
      <c r="AB885" s="2"/>
      <c r="AC885" s="2">
        <v>2098</v>
      </c>
      <c r="AD885" s="2">
        <v>1658</v>
      </c>
      <c r="AE885" s="2">
        <v>0</v>
      </c>
      <c r="AF885" s="2">
        <v>0</v>
      </c>
      <c r="AG885" s="2">
        <v>0</v>
      </c>
      <c r="AH885" s="2"/>
      <c r="AI885" s="2">
        <v>-1045</v>
      </c>
      <c r="AJ885" s="2">
        <v>-1045</v>
      </c>
      <c r="AK885" s="2">
        <v>-1047</v>
      </c>
      <c r="AL885" s="2">
        <v>-941</v>
      </c>
      <c r="AM885" s="2">
        <v>-1045</v>
      </c>
    </row>
    <row r="886" spans="1:39">
      <c r="A886" s="349">
        <v>99603</v>
      </c>
      <c r="B886" s="342" t="s">
        <v>3705</v>
      </c>
      <c r="C886" s="234" t="e">
        <f>VLOOKUP(A886,#REF!,10,FALSE)</f>
        <v>#REF!</v>
      </c>
      <c r="E886" s="2">
        <v>97613</v>
      </c>
      <c r="F886" s="2">
        <v>31848</v>
      </c>
      <c r="G886" s="2">
        <v>43685</v>
      </c>
      <c r="H886" s="2">
        <v>9855</v>
      </c>
      <c r="I886" s="2">
        <v>0</v>
      </c>
      <c r="J886" s="2"/>
      <c r="K886" s="2">
        <v>23280</v>
      </c>
      <c r="L886" s="2">
        <v>21899</v>
      </c>
      <c r="M886" s="2">
        <v>19628</v>
      </c>
      <c r="N886" s="2">
        <v>7859</v>
      </c>
      <c r="O886" s="2">
        <v>0</v>
      </c>
      <c r="P886" s="2"/>
      <c r="Q886" s="2">
        <v>24715</v>
      </c>
      <c r="R886" s="2">
        <v>-21259</v>
      </c>
      <c r="S886" s="2">
        <v>2996</v>
      </c>
      <c r="T886" s="2">
        <v>3900</v>
      </c>
      <c r="U886" s="2">
        <v>0</v>
      </c>
      <c r="V886" s="2"/>
      <c r="W886" s="2">
        <v>27842</v>
      </c>
      <c r="X886" s="2">
        <v>22809</v>
      </c>
      <c r="Y886" s="2">
        <v>18517</v>
      </c>
      <c r="Z886" s="2">
        <v>0</v>
      </c>
      <c r="AA886" s="2">
        <v>0</v>
      </c>
      <c r="AB886" s="2"/>
      <c r="AC886" s="2">
        <v>23681</v>
      </c>
      <c r="AD886" s="2">
        <v>10304</v>
      </c>
      <c r="AE886" s="2">
        <v>4449</v>
      </c>
      <c r="AF886" s="2">
        <v>0</v>
      </c>
      <c r="AG886" s="2">
        <v>0</v>
      </c>
      <c r="AH886" s="2"/>
      <c r="AI886" s="2">
        <v>-1905</v>
      </c>
      <c r="AJ886" s="2">
        <v>-1905</v>
      </c>
      <c r="AK886" s="2">
        <v>-1905</v>
      </c>
      <c r="AL886" s="2">
        <v>-1904</v>
      </c>
      <c r="AM886" s="2">
        <v>-1905</v>
      </c>
    </row>
    <row r="887" spans="1:39">
      <c r="A887" s="349">
        <v>99604</v>
      </c>
      <c r="B887" s="342" t="s">
        <v>1581</v>
      </c>
      <c r="C887" s="234" t="e">
        <f>VLOOKUP(A887,#REF!,10,FALSE)</f>
        <v>#REF!</v>
      </c>
      <c r="E887" s="2">
        <v>50410</v>
      </c>
      <c r="F887" s="2">
        <v>18244</v>
      </c>
      <c r="G887" s="2">
        <v>26737</v>
      </c>
      <c r="H887" s="2">
        <v>7098</v>
      </c>
      <c r="I887" s="2">
        <v>0</v>
      </c>
      <c r="J887" s="2"/>
      <c r="K887" s="2">
        <v>13647</v>
      </c>
      <c r="L887" s="2">
        <v>12838</v>
      </c>
      <c r="M887" s="2">
        <v>11506</v>
      </c>
      <c r="N887" s="2">
        <v>4607</v>
      </c>
      <c r="O887" s="2">
        <v>0</v>
      </c>
      <c r="P887" s="2"/>
      <c r="Q887" s="2">
        <v>14489</v>
      </c>
      <c r="R887" s="2">
        <v>-12463</v>
      </c>
      <c r="S887" s="2">
        <v>1756</v>
      </c>
      <c r="T887" s="2">
        <v>2286</v>
      </c>
      <c r="U887" s="2">
        <v>0</v>
      </c>
      <c r="V887" s="2"/>
      <c r="W887" s="2">
        <v>16322</v>
      </c>
      <c r="X887" s="2">
        <v>13371</v>
      </c>
      <c r="Y887" s="2">
        <v>10855</v>
      </c>
      <c r="Z887" s="2">
        <v>0</v>
      </c>
      <c r="AA887" s="2">
        <v>0</v>
      </c>
      <c r="AB887" s="2"/>
      <c r="AC887" s="2">
        <v>5952</v>
      </c>
      <c r="AD887" s="2">
        <v>4498</v>
      </c>
      <c r="AE887" s="2">
        <v>2620</v>
      </c>
      <c r="AF887" s="2">
        <v>205</v>
      </c>
      <c r="AG887" s="2">
        <v>0</v>
      </c>
      <c r="AH887" s="2"/>
      <c r="AI887" s="2">
        <v>0</v>
      </c>
      <c r="AJ887" s="2">
        <v>0</v>
      </c>
      <c r="AK887" s="2">
        <v>0</v>
      </c>
      <c r="AL887" s="2">
        <v>0</v>
      </c>
      <c r="AM887" s="2">
        <v>0</v>
      </c>
    </row>
    <row r="888" spans="1:39">
      <c r="A888" s="349">
        <v>99609</v>
      </c>
      <c r="B888" s="342" t="s">
        <v>1582</v>
      </c>
      <c r="C888" s="234" t="e">
        <f>VLOOKUP(A888,#REF!,10,FALSE)</f>
        <v>#REF!</v>
      </c>
      <c r="E888" s="2">
        <v>16485</v>
      </c>
      <c r="F888" s="2">
        <v>6251</v>
      </c>
      <c r="G888" s="2">
        <v>9911</v>
      </c>
      <c r="H888" s="2">
        <v>3429</v>
      </c>
      <c r="I888" s="2">
        <v>0</v>
      </c>
      <c r="J888" s="2"/>
      <c r="K888" s="2">
        <v>4314</v>
      </c>
      <c r="L888" s="2">
        <v>4058</v>
      </c>
      <c r="M888" s="2">
        <v>3638</v>
      </c>
      <c r="N888" s="2">
        <v>1456</v>
      </c>
      <c r="O888" s="2">
        <v>0</v>
      </c>
      <c r="P888" s="2"/>
      <c r="Q888" s="2">
        <v>4580</v>
      </c>
      <c r="R888" s="2">
        <v>-3940</v>
      </c>
      <c r="S888" s="2">
        <v>555</v>
      </c>
      <c r="T888" s="2">
        <v>723</v>
      </c>
      <c r="U888" s="2">
        <v>0</v>
      </c>
      <c r="V888" s="2"/>
      <c r="W888" s="2">
        <v>5160</v>
      </c>
      <c r="X888" s="2">
        <v>4227</v>
      </c>
      <c r="Y888" s="2">
        <v>3432</v>
      </c>
      <c r="Z888" s="2">
        <v>0</v>
      </c>
      <c r="AA888" s="2">
        <v>0</v>
      </c>
      <c r="AB888" s="2"/>
      <c r="AC888" s="2">
        <v>2812</v>
      </c>
      <c r="AD888" s="2">
        <v>2286</v>
      </c>
      <c r="AE888" s="2">
        <v>2286</v>
      </c>
      <c r="AF888" s="2">
        <v>1250</v>
      </c>
      <c r="AG888" s="2">
        <v>0</v>
      </c>
      <c r="AH888" s="2"/>
      <c r="AI888" s="2">
        <v>-381</v>
      </c>
      <c r="AJ888" s="2">
        <v>-380</v>
      </c>
      <c r="AK888" s="2">
        <v>0</v>
      </c>
      <c r="AL888" s="2">
        <v>0</v>
      </c>
      <c r="AM888" s="2">
        <v>-380</v>
      </c>
    </row>
    <row r="889" spans="1:39">
      <c r="A889" s="349">
        <v>99610</v>
      </c>
      <c r="B889" s="342" t="s">
        <v>3706</v>
      </c>
      <c r="C889" s="234" t="e">
        <f>VLOOKUP(A889,#REF!,10,FALSE)</f>
        <v>#REF!</v>
      </c>
      <c r="E889" s="2">
        <v>77978</v>
      </c>
      <c r="F889" s="2">
        <v>20843</v>
      </c>
      <c r="G889" s="2">
        <v>40836</v>
      </c>
      <c r="H889" s="2">
        <v>10312</v>
      </c>
      <c r="I889" s="2">
        <v>0</v>
      </c>
      <c r="J889" s="2"/>
      <c r="K889" s="2">
        <v>25213</v>
      </c>
      <c r="L889" s="2">
        <v>23717</v>
      </c>
      <c r="M889" s="2">
        <v>21257</v>
      </c>
      <c r="N889" s="2">
        <v>8511</v>
      </c>
      <c r="O889" s="2">
        <v>0</v>
      </c>
      <c r="P889" s="2"/>
      <c r="Q889" s="2">
        <v>26767</v>
      </c>
      <c r="R889" s="2">
        <v>-23024</v>
      </c>
      <c r="S889" s="2">
        <v>3245</v>
      </c>
      <c r="T889" s="2">
        <v>4223</v>
      </c>
      <c r="U889" s="2">
        <v>0</v>
      </c>
      <c r="V889" s="2"/>
      <c r="W889" s="2">
        <v>30153</v>
      </c>
      <c r="X889" s="2">
        <v>24702</v>
      </c>
      <c r="Y889" s="2">
        <v>20054</v>
      </c>
      <c r="Z889" s="2">
        <v>0</v>
      </c>
      <c r="AA889" s="2">
        <v>0</v>
      </c>
      <c r="AB889" s="2"/>
      <c r="AC889" s="2">
        <v>396</v>
      </c>
      <c r="AD889" s="2">
        <v>0</v>
      </c>
      <c r="AE889" s="2">
        <v>0</v>
      </c>
      <c r="AF889" s="2">
        <v>0</v>
      </c>
      <c r="AG889" s="2">
        <v>0</v>
      </c>
      <c r="AH889" s="2"/>
      <c r="AI889" s="2">
        <v>-4551</v>
      </c>
      <c r="AJ889" s="2">
        <v>-4552</v>
      </c>
      <c r="AK889" s="2">
        <v>-3720</v>
      </c>
      <c r="AL889" s="2">
        <v>-2422</v>
      </c>
      <c r="AM889" s="2">
        <v>-4552</v>
      </c>
    </row>
    <row r="890" spans="1:39">
      <c r="A890" s="349">
        <v>99611</v>
      </c>
      <c r="B890" s="342" t="s">
        <v>1584</v>
      </c>
      <c r="C890" s="234" t="e">
        <f>VLOOKUP(A890,#REF!,10,FALSE)</f>
        <v>#REF!</v>
      </c>
      <c r="E890" s="2">
        <v>1514058</v>
      </c>
      <c r="F890" s="2">
        <v>474049</v>
      </c>
      <c r="G890" s="2">
        <v>829499</v>
      </c>
      <c r="H890" s="2">
        <v>215424</v>
      </c>
      <c r="I890" s="2">
        <v>0</v>
      </c>
      <c r="J890" s="2"/>
      <c r="K890" s="2">
        <v>479712</v>
      </c>
      <c r="L890" s="2">
        <v>451254</v>
      </c>
      <c r="M890" s="2">
        <v>404454</v>
      </c>
      <c r="N890" s="2">
        <v>161938</v>
      </c>
      <c r="O890" s="2">
        <v>0</v>
      </c>
      <c r="P890" s="2"/>
      <c r="Q890" s="2">
        <v>509281</v>
      </c>
      <c r="R890" s="2">
        <v>-438077</v>
      </c>
      <c r="S890" s="2">
        <v>61742</v>
      </c>
      <c r="T890" s="2">
        <v>80356</v>
      </c>
      <c r="U890" s="2">
        <v>0</v>
      </c>
      <c r="V890" s="2"/>
      <c r="W890" s="2">
        <v>573713</v>
      </c>
      <c r="X890" s="2">
        <v>470006</v>
      </c>
      <c r="Y890" s="2">
        <v>381565</v>
      </c>
      <c r="Z890" s="2">
        <v>0</v>
      </c>
      <c r="AA890" s="2">
        <v>0</v>
      </c>
      <c r="AB890" s="2"/>
      <c r="AC890" s="2">
        <v>17737</v>
      </c>
      <c r="AD890" s="2">
        <v>17736</v>
      </c>
      <c r="AE890" s="2">
        <v>8608</v>
      </c>
      <c r="AF890" s="2">
        <v>0</v>
      </c>
      <c r="AG890" s="2">
        <v>0</v>
      </c>
      <c r="AH890" s="2"/>
      <c r="AI890" s="2">
        <v>-66385</v>
      </c>
      <c r="AJ890" s="2">
        <v>-26870</v>
      </c>
      <c r="AK890" s="2">
        <v>-26870</v>
      </c>
      <c r="AL890" s="2">
        <v>-26870</v>
      </c>
      <c r="AM890" s="2">
        <v>-26870</v>
      </c>
    </row>
    <row r="891" spans="1:39">
      <c r="A891" s="349">
        <v>99613</v>
      </c>
      <c r="B891" s="342" t="s">
        <v>1585</v>
      </c>
      <c r="C891" s="234" t="e">
        <f>VLOOKUP(A891,#REF!,10,FALSE)</f>
        <v>#REF!</v>
      </c>
      <c r="E891" s="2">
        <v>265698</v>
      </c>
      <c r="F891" s="2">
        <v>116770</v>
      </c>
      <c r="G891" s="2">
        <v>124505</v>
      </c>
      <c r="H891" s="2">
        <v>21918</v>
      </c>
      <c r="I891" s="2">
        <v>0</v>
      </c>
      <c r="J891" s="2"/>
      <c r="K891" s="2">
        <v>50515</v>
      </c>
      <c r="L891" s="2">
        <v>47518</v>
      </c>
      <c r="M891" s="2">
        <v>42590</v>
      </c>
      <c r="N891" s="2">
        <v>17053</v>
      </c>
      <c r="O891" s="2">
        <v>0</v>
      </c>
      <c r="P891" s="2"/>
      <c r="Q891" s="2">
        <v>53629</v>
      </c>
      <c r="R891" s="2">
        <v>-46131</v>
      </c>
      <c r="S891" s="2">
        <v>6502</v>
      </c>
      <c r="T891" s="2">
        <v>8462</v>
      </c>
      <c r="U891" s="2">
        <v>0</v>
      </c>
      <c r="V891" s="2"/>
      <c r="W891" s="2">
        <v>60413</v>
      </c>
      <c r="X891" s="2">
        <v>49493</v>
      </c>
      <c r="Y891" s="2">
        <v>40180</v>
      </c>
      <c r="Z891" s="2">
        <v>0</v>
      </c>
      <c r="AA891" s="2">
        <v>0</v>
      </c>
      <c r="AB891" s="2"/>
      <c r="AC891" s="2">
        <v>104740</v>
      </c>
      <c r="AD891" s="2">
        <v>69489</v>
      </c>
      <c r="AE891" s="2">
        <v>38832</v>
      </c>
      <c r="AF891" s="2">
        <v>0</v>
      </c>
      <c r="AG891" s="2">
        <v>0</v>
      </c>
      <c r="AH891" s="2"/>
      <c r="AI891" s="2">
        <v>-3599</v>
      </c>
      <c r="AJ891" s="2">
        <v>-3599</v>
      </c>
      <c r="AK891" s="2">
        <v>-3599</v>
      </c>
      <c r="AL891" s="2">
        <v>-3597</v>
      </c>
      <c r="AM891" s="2">
        <v>-3599</v>
      </c>
    </row>
    <row r="892" spans="1:39">
      <c r="A892" s="349">
        <v>99621</v>
      </c>
      <c r="B892" s="342" t="s">
        <v>1586</v>
      </c>
      <c r="C892" s="234" t="e">
        <f>VLOOKUP(A892,#REF!,10,FALSE)</f>
        <v>#REF!</v>
      </c>
      <c r="E892" s="2">
        <v>177338</v>
      </c>
      <c r="F892" s="2">
        <v>53918</v>
      </c>
      <c r="G892" s="2">
        <v>88048</v>
      </c>
      <c r="H892" s="2">
        <v>21302</v>
      </c>
      <c r="I892" s="2">
        <v>0</v>
      </c>
      <c r="J892" s="2"/>
      <c r="K892" s="2">
        <v>53226</v>
      </c>
      <c r="L892" s="2">
        <v>50069</v>
      </c>
      <c r="M892" s="2">
        <v>44876</v>
      </c>
      <c r="N892" s="2">
        <v>17968</v>
      </c>
      <c r="O892" s="2">
        <v>0</v>
      </c>
      <c r="P892" s="2"/>
      <c r="Q892" s="2">
        <v>56507</v>
      </c>
      <c r="R892" s="2">
        <v>-48607</v>
      </c>
      <c r="S892" s="2">
        <v>6851</v>
      </c>
      <c r="T892" s="2">
        <v>8916</v>
      </c>
      <c r="U892" s="2">
        <v>0</v>
      </c>
      <c r="V892" s="2"/>
      <c r="W892" s="2">
        <v>63656</v>
      </c>
      <c r="X892" s="2">
        <v>52150</v>
      </c>
      <c r="Y892" s="2">
        <v>42336</v>
      </c>
      <c r="Z892" s="2">
        <v>0</v>
      </c>
      <c r="AA892" s="2">
        <v>0</v>
      </c>
      <c r="AB892" s="2"/>
      <c r="AC892" s="2">
        <v>9962</v>
      </c>
      <c r="AD892" s="2">
        <v>6319</v>
      </c>
      <c r="AE892" s="2">
        <v>0</v>
      </c>
      <c r="AF892" s="2">
        <v>0</v>
      </c>
      <c r="AG892" s="2">
        <v>0</v>
      </c>
      <c r="AH892" s="2"/>
      <c r="AI892" s="2">
        <v>-6013</v>
      </c>
      <c r="AJ892" s="2">
        <v>-6013</v>
      </c>
      <c r="AK892" s="2">
        <v>-6015</v>
      </c>
      <c r="AL892" s="2">
        <v>-5582</v>
      </c>
      <c r="AM892" s="2">
        <v>-6013</v>
      </c>
    </row>
    <row r="893" spans="1:39">
      <c r="A893" s="349">
        <v>99623</v>
      </c>
      <c r="B893" s="342" t="s">
        <v>3498</v>
      </c>
      <c r="C893" s="234" t="e">
        <f>VLOOKUP(A893,#REF!,10,FALSE)</f>
        <v>#REF!</v>
      </c>
      <c r="E893" s="2">
        <v>54</v>
      </c>
      <c r="F893" s="2">
        <v>-3884</v>
      </c>
      <c r="G893" s="2">
        <v>-1983</v>
      </c>
      <c r="H893" s="2">
        <v>-4016</v>
      </c>
      <c r="I893" s="2">
        <v>0</v>
      </c>
      <c r="J893" s="2"/>
      <c r="K893" s="2">
        <v>1618</v>
      </c>
      <c r="L893" s="2">
        <v>1522</v>
      </c>
      <c r="M893" s="2">
        <v>1364</v>
      </c>
      <c r="N893" s="2">
        <v>546</v>
      </c>
      <c r="O893" s="2">
        <v>0</v>
      </c>
      <c r="P893" s="2"/>
      <c r="Q893" s="2">
        <v>1718</v>
      </c>
      <c r="R893" s="2">
        <v>-1477</v>
      </c>
      <c r="S893" s="2">
        <v>208</v>
      </c>
      <c r="T893" s="2">
        <v>271</v>
      </c>
      <c r="U893" s="2">
        <v>0</v>
      </c>
      <c r="V893" s="2"/>
      <c r="W893" s="2">
        <v>1935</v>
      </c>
      <c r="X893" s="2">
        <v>1585</v>
      </c>
      <c r="Y893" s="2">
        <v>1287</v>
      </c>
      <c r="Z893" s="2">
        <v>0</v>
      </c>
      <c r="AA893" s="2">
        <v>0</v>
      </c>
      <c r="AB893" s="2"/>
      <c r="AC893" s="2">
        <v>298</v>
      </c>
      <c r="AD893" s="2">
        <v>0</v>
      </c>
      <c r="AE893" s="2">
        <v>0</v>
      </c>
      <c r="AF893" s="2">
        <v>0</v>
      </c>
      <c r="AG893" s="2">
        <v>0</v>
      </c>
      <c r="AH893" s="2"/>
      <c r="AI893" s="2">
        <v>-5515</v>
      </c>
      <c r="AJ893" s="2">
        <v>-5514</v>
      </c>
      <c r="AK893" s="2">
        <v>-4842</v>
      </c>
      <c r="AL893" s="2">
        <v>-4833</v>
      </c>
      <c r="AM893" s="2">
        <v>-5514</v>
      </c>
    </row>
    <row r="894" spans="1:39">
      <c r="A894" s="349">
        <v>99631</v>
      </c>
      <c r="B894" s="342" t="s">
        <v>1588</v>
      </c>
      <c r="C894" s="234" t="e">
        <f>VLOOKUP(A894,#REF!,10,FALSE)</f>
        <v>#REF!</v>
      </c>
      <c r="E894" s="2">
        <v>49802</v>
      </c>
      <c r="F894" s="2">
        <v>13740</v>
      </c>
      <c r="G894" s="2">
        <v>25749</v>
      </c>
      <c r="H894" s="2">
        <v>5747</v>
      </c>
      <c r="I894" s="2">
        <v>0</v>
      </c>
      <c r="J894" s="2"/>
      <c r="K894" s="2">
        <v>16149</v>
      </c>
      <c r="L894" s="2">
        <v>15191</v>
      </c>
      <c r="M894" s="2">
        <v>13616</v>
      </c>
      <c r="N894" s="2">
        <v>5452</v>
      </c>
      <c r="O894" s="2">
        <v>0</v>
      </c>
      <c r="P894" s="2"/>
      <c r="Q894" s="2">
        <v>17145</v>
      </c>
      <c r="R894" s="2">
        <v>-14748</v>
      </c>
      <c r="S894" s="2">
        <v>2078</v>
      </c>
      <c r="T894" s="2">
        <v>2705</v>
      </c>
      <c r="U894" s="2">
        <v>0</v>
      </c>
      <c r="V894" s="2"/>
      <c r="W894" s="2">
        <v>19314</v>
      </c>
      <c r="X894" s="2">
        <v>15822</v>
      </c>
      <c r="Y894" s="2">
        <v>12845</v>
      </c>
      <c r="Z894" s="2">
        <v>0</v>
      </c>
      <c r="AA894" s="2">
        <v>0</v>
      </c>
      <c r="AB894" s="2"/>
      <c r="AC894" s="2">
        <v>268</v>
      </c>
      <c r="AD894" s="2">
        <v>267</v>
      </c>
      <c r="AE894" s="2">
        <v>0</v>
      </c>
      <c r="AF894" s="2">
        <v>0</v>
      </c>
      <c r="AG894" s="2">
        <v>0</v>
      </c>
      <c r="AH894" s="2"/>
      <c r="AI894" s="2">
        <v>-3074</v>
      </c>
      <c r="AJ894" s="2">
        <v>-2792</v>
      </c>
      <c r="AK894" s="2">
        <v>-2790</v>
      </c>
      <c r="AL894" s="2">
        <v>-2410</v>
      </c>
      <c r="AM894" s="2">
        <v>-2792</v>
      </c>
    </row>
    <row r="895" spans="1:39">
      <c r="A895" s="349">
        <v>99651</v>
      </c>
      <c r="B895" s="342" t="s">
        <v>1589</v>
      </c>
      <c r="C895" s="234" t="e">
        <f>VLOOKUP(A895,#REF!,10,FALSE)</f>
        <v>#REF!</v>
      </c>
      <c r="E895" s="2">
        <v>32749</v>
      </c>
      <c r="F895" s="2">
        <v>10104</v>
      </c>
      <c r="G895" s="2">
        <v>17644</v>
      </c>
      <c r="H895" s="2">
        <v>6852</v>
      </c>
      <c r="I895" s="2">
        <v>0</v>
      </c>
      <c r="J895" s="2"/>
      <c r="K895" s="2">
        <v>9782</v>
      </c>
      <c r="L895" s="2">
        <v>9202</v>
      </c>
      <c r="M895" s="2">
        <v>8248</v>
      </c>
      <c r="N895" s="2">
        <v>3302</v>
      </c>
      <c r="O895" s="2">
        <v>0</v>
      </c>
      <c r="P895" s="2"/>
      <c r="Q895" s="2">
        <v>10385</v>
      </c>
      <c r="R895" s="2">
        <v>-8933</v>
      </c>
      <c r="S895" s="2">
        <v>1259</v>
      </c>
      <c r="T895" s="2">
        <v>1639</v>
      </c>
      <c r="U895" s="2">
        <v>0</v>
      </c>
      <c r="V895" s="2"/>
      <c r="W895" s="2">
        <v>11699</v>
      </c>
      <c r="X895" s="2">
        <v>9584</v>
      </c>
      <c r="Y895" s="2">
        <v>7781</v>
      </c>
      <c r="Z895" s="2">
        <v>0</v>
      </c>
      <c r="AA895" s="2">
        <v>0</v>
      </c>
      <c r="AB895" s="2"/>
      <c r="AC895" s="2">
        <v>2544</v>
      </c>
      <c r="AD895" s="2">
        <v>1912</v>
      </c>
      <c r="AE895" s="2">
        <v>1912</v>
      </c>
      <c r="AF895" s="2">
        <v>1911</v>
      </c>
      <c r="AG895" s="2">
        <v>0</v>
      </c>
      <c r="AH895" s="2"/>
      <c r="AI895" s="2">
        <v>-1661</v>
      </c>
      <c r="AJ895" s="2">
        <v>-1661</v>
      </c>
      <c r="AK895" s="2">
        <v>-1556</v>
      </c>
      <c r="AL895" s="2">
        <v>0</v>
      </c>
      <c r="AM895" s="2">
        <v>-1661</v>
      </c>
    </row>
    <row r="896" spans="1:39">
      <c r="A896" s="349">
        <v>99661</v>
      </c>
      <c r="B896" s="342" t="s">
        <v>1590</v>
      </c>
      <c r="C896" s="234" t="e">
        <f>VLOOKUP(A896,#REF!,10,FALSE)</f>
        <v>#REF!</v>
      </c>
      <c r="E896" s="2">
        <v>37088</v>
      </c>
      <c r="F896" s="2">
        <v>21797</v>
      </c>
      <c r="G896" s="2">
        <v>22335</v>
      </c>
      <c r="H896" s="2">
        <v>10851</v>
      </c>
      <c r="I896" s="2">
        <v>0</v>
      </c>
      <c r="J896" s="2"/>
      <c r="K896" s="2">
        <v>5213</v>
      </c>
      <c r="L896" s="2">
        <v>4904</v>
      </c>
      <c r="M896" s="2">
        <v>4395</v>
      </c>
      <c r="N896" s="2">
        <v>1760</v>
      </c>
      <c r="O896" s="2">
        <v>0</v>
      </c>
      <c r="P896" s="2"/>
      <c r="Q896" s="2">
        <v>5535</v>
      </c>
      <c r="R896" s="2">
        <v>-4761</v>
      </c>
      <c r="S896" s="2">
        <v>671</v>
      </c>
      <c r="T896" s="2">
        <v>873</v>
      </c>
      <c r="U896" s="2">
        <v>0</v>
      </c>
      <c r="V896" s="2"/>
      <c r="W896" s="2">
        <v>6235</v>
      </c>
      <c r="X896" s="2">
        <v>5108</v>
      </c>
      <c r="Y896" s="2">
        <v>4147</v>
      </c>
      <c r="Z896" s="2">
        <v>0</v>
      </c>
      <c r="AA896" s="2">
        <v>0</v>
      </c>
      <c r="AB896" s="2"/>
      <c r="AC896" s="2">
        <v>20105</v>
      </c>
      <c r="AD896" s="2">
        <v>16546</v>
      </c>
      <c r="AE896" s="2">
        <v>13122</v>
      </c>
      <c r="AF896" s="2">
        <v>8218</v>
      </c>
      <c r="AG896" s="2">
        <v>0</v>
      </c>
      <c r="AH896" s="2"/>
      <c r="AI896" s="2">
        <v>0</v>
      </c>
      <c r="AJ896" s="2">
        <v>0</v>
      </c>
      <c r="AK896" s="2">
        <v>0</v>
      </c>
      <c r="AL896" s="2">
        <v>0</v>
      </c>
      <c r="AM896" s="2">
        <v>0</v>
      </c>
    </row>
    <row r="897" spans="1:39">
      <c r="A897" s="349">
        <v>99701</v>
      </c>
      <c r="B897" s="342" t="s">
        <v>1591</v>
      </c>
      <c r="C897" s="234" t="e">
        <f>VLOOKUP(A897,#REF!,10,FALSE)</f>
        <v>#REF!</v>
      </c>
      <c r="E897" s="2">
        <v>1454277</v>
      </c>
      <c r="F897" s="2">
        <v>442609</v>
      </c>
      <c r="G897" s="2">
        <v>785344</v>
      </c>
      <c r="H897" s="2">
        <v>223062</v>
      </c>
      <c r="I897" s="2">
        <v>0</v>
      </c>
      <c r="J897" s="2"/>
      <c r="K897" s="2">
        <v>448387</v>
      </c>
      <c r="L897" s="2">
        <v>421788</v>
      </c>
      <c r="M897" s="2">
        <v>378043</v>
      </c>
      <c r="N897" s="2">
        <v>151364</v>
      </c>
      <c r="O897" s="2">
        <v>0</v>
      </c>
      <c r="P897" s="2"/>
      <c r="Q897" s="2">
        <v>476026</v>
      </c>
      <c r="R897" s="2">
        <v>-409471</v>
      </c>
      <c r="S897" s="2">
        <v>57710</v>
      </c>
      <c r="T897" s="2">
        <v>75109</v>
      </c>
      <c r="U897" s="2">
        <v>0</v>
      </c>
      <c r="V897" s="2"/>
      <c r="W897" s="2">
        <v>536250</v>
      </c>
      <c r="X897" s="2">
        <v>439315</v>
      </c>
      <c r="Y897" s="2">
        <v>356649</v>
      </c>
      <c r="Z897" s="2">
        <v>0</v>
      </c>
      <c r="AA897" s="2">
        <v>0</v>
      </c>
      <c r="AB897" s="2"/>
      <c r="AC897" s="2">
        <v>2637</v>
      </c>
      <c r="AD897" s="2">
        <v>0</v>
      </c>
      <c r="AE897" s="2">
        <v>0</v>
      </c>
      <c r="AF897" s="2">
        <v>0</v>
      </c>
      <c r="AG897" s="2">
        <v>0</v>
      </c>
      <c r="AH897" s="2"/>
      <c r="AI897" s="2">
        <v>-9023</v>
      </c>
      <c r="AJ897" s="2">
        <v>-9023</v>
      </c>
      <c r="AK897" s="2">
        <v>-7058</v>
      </c>
      <c r="AL897" s="2">
        <v>-3411</v>
      </c>
      <c r="AM897" s="2">
        <v>-9023</v>
      </c>
    </row>
    <row r="898" spans="1:39">
      <c r="A898" s="349">
        <v>99705</v>
      </c>
      <c r="B898" s="342" t="s">
        <v>1592</v>
      </c>
      <c r="C898" s="234" t="e">
        <f>VLOOKUP(A898,#REF!,10,FALSE)</f>
        <v>#REF!</v>
      </c>
      <c r="E898" s="2">
        <v>81153</v>
      </c>
      <c r="F898" s="2">
        <v>28266</v>
      </c>
      <c r="G898" s="2">
        <v>44728</v>
      </c>
      <c r="H898" s="2">
        <v>14288</v>
      </c>
      <c r="I898" s="2">
        <v>0</v>
      </c>
      <c r="J898" s="2"/>
      <c r="K898" s="2">
        <v>23265</v>
      </c>
      <c r="L898" s="2">
        <v>21885</v>
      </c>
      <c r="M898" s="2">
        <v>19615</v>
      </c>
      <c r="N898" s="2">
        <v>7854</v>
      </c>
      <c r="O898" s="2">
        <v>0</v>
      </c>
      <c r="P898" s="2"/>
      <c r="Q898" s="2">
        <v>24699</v>
      </c>
      <c r="R898" s="2">
        <v>-21246</v>
      </c>
      <c r="S898" s="2">
        <v>2994</v>
      </c>
      <c r="T898" s="2">
        <v>3897</v>
      </c>
      <c r="U898" s="2">
        <v>0</v>
      </c>
      <c r="V898" s="2"/>
      <c r="W898" s="2">
        <v>27824</v>
      </c>
      <c r="X898" s="2">
        <v>22794</v>
      </c>
      <c r="Y898" s="2">
        <v>18505</v>
      </c>
      <c r="Z898" s="2">
        <v>0</v>
      </c>
      <c r="AA898" s="2">
        <v>0</v>
      </c>
      <c r="AB898" s="2"/>
      <c r="AC898" s="2">
        <v>5365</v>
      </c>
      <c r="AD898" s="2">
        <v>4833</v>
      </c>
      <c r="AE898" s="2">
        <v>3614</v>
      </c>
      <c r="AF898" s="2">
        <v>2537</v>
      </c>
      <c r="AG898" s="2">
        <v>0</v>
      </c>
      <c r="AH898" s="2"/>
      <c r="AI898" s="2">
        <v>0</v>
      </c>
      <c r="AJ898" s="2">
        <v>0</v>
      </c>
      <c r="AK898" s="2">
        <v>0</v>
      </c>
      <c r="AL898" s="2">
        <v>0</v>
      </c>
      <c r="AM898" s="2">
        <v>0</v>
      </c>
    </row>
    <row r="899" spans="1:39">
      <c r="A899" s="349">
        <v>99711</v>
      </c>
      <c r="B899" s="342" t="s">
        <v>3707</v>
      </c>
      <c r="C899" s="234" t="e">
        <f>VLOOKUP(A899,#REF!,10,FALSE)</f>
        <v>#REF!</v>
      </c>
      <c r="E899" s="2">
        <v>207882</v>
      </c>
      <c r="F899" s="2">
        <v>65347</v>
      </c>
      <c r="G899" s="2">
        <v>110346</v>
      </c>
      <c r="H899" s="2">
        <v>30040</v>
      </c>
      <c r="I899" s="2">
        <v>0</v>
      </c>
      <c r="J899" s="2"/>
      <c r="K899" s="2">
        <v>63653</v>
      </c>
      <c r="L899" s="2">
        <v>59877</v>
      </c>
      <c r="M899" s="2">
        <v>53667</v>
      </c>
      <c r="N899" s="2">
        <v>21488</v>
      </c>
      <c r="O899" s="2">
        <v>0</v>
      </c>
      <c r="P899" s="2"/>
      <c r="Q899" s="2">
        <v>67577</v>
      </c>
      <c r="R899" s="2">
        <v>-58128</v>
      </c>
      <c r="S899" s="2">
        <v>8192</v>
      </c>
      <c r="T899" s="2">
        <v>10662</v>
      </c>
      <c r="U899" s="2">
        <v>0</v>
      </c>
      <c r="V899" s="2"/>
      <c r="W899" s="2">
        <v>76126</v>
      </c>
      <c r="X899" s="2">
        <v>62365</v>
      </c>
      <c r="Y899" s="2">
        <v>50630</v>
      </c>
      <c r="Z899" s="2">
        <v>0</v>
      </c>
      <c r="AA899" s="2">
        <v>0</v>
      </c>
      <c r="AB899" s="2"/>
      <c r="AC899" s="2">
        <v>3377</v>
      </c>
      <c r="AD899" s="2">
        <v>3378</v>
      </c>
      <c r="AE899" s="2">
        <v>0</v>
      </c>
      <c r="AF899" s="2">
        <v>0</v>
      </c>
      <c r="AG899" s="2">
        <v>0</v>
      </c>
      <c r="AH899" s="2"/>
      <c r="AI899" s="2">
        <v>-2851</v>
      </c>
      <c r="AJ899" s="2">
        <v>-2145</v>
      </c>
      <c r="AK899" s="2">
        <v>-2143</v>
      </c>
      <c r="AL899" s="2">
        <v>-2110</v>
      </c>
      <c r="AM899" s="2">
        <v>-2145</v>
      </c>
    </row>
    <row r="900" spans="1:39">
      <c r="A900" s="349">
        <v>99717</v>
      </c>
      <c r="B900" s="342" t="s">
        <v>3708</v>
      </c>
      <c r="C900" s="234" t="e">
        <f>VLOOKUP(A900,#REF!,10,FALSE)</f>
        <v>#REF!</v>
      </c>
      <c r="E900" s="2">
        <v>11980</v>
      </c>
      <c r="F900" s="2">
        <v>3255</v>
      </c>
      <c r="G900" s="2">
        <v>6903</v>
      </c>
      <c r="H900" s="2">
        <v>2226</v>
      </c>
      <c r="I900" s="2">
        <v>0</v>
      </c>
      <c r="J900" s="2"/>
      <c r="K900" s="2">
        <v>3985</v>
      </c>
      <c r="L900" s="2">
        <v>3748</v>
      </c>
      <c r="M900" s="2">
        <v>3360</v>
      </c>
      <c r="N900" s="2">
        <v>1345</v>
      </c>
      <c r="O900" s="2">
        <v>0</v>
      </c>
      <c r="P900" s="2"/>
      <c r="Q900" s="2">
        <v>4230</v>
      </c>
      <c r="R900" s="2">
        <v>-3639</v>
      </c>
      <c r="S900" s="2">
        <v>513</v>
      </c>
      <c r="T900" s="2">
        <v>668</v>
      </c>
      <c r="U900" s="2">
        <v>0</v>
      </c>
      <c r="V900" s="2"/>
      <c r="W900" s="2">
        <v>4766</v>
      </c>
      <c r="X900" s="2">
        <v>3904</v>
      </c>
      <c r="Y900" s="2">
        <v>3170</v>
      </c>
      <c r="Z900" s="2">
        <v>0</v>
      </c>
      <c r="AA900" s="2">
        <v>0</v>
      </c>
      <c r="AB900" s="2"/>
      <c r="AC900" s="2">
        <v>215</v>
      </c>
      <c r="AD900" s="2">
        <v>215</v>
      </c>
      <c r="AE900" s="2">
        <v>215</v>
      </c>
      <c r="AF900" s="2">
        <v>213</v>
      </c>
      <c r="AG900" s="2">
        <v>0</v>
      </c>
      <c r="AH900" s="2"/>
      <c r="AI900" s="2">
        <v>-1216</v>
      </c>
      <c r="AJ900" s="2">
        <v>-973</v>
      </c>
      <c r="AK900" s="2">
        <v>-355</v>
      </c>
      <c r="AL900" s="2">
        <v>0</v>
      </c>
      <c r="AM900" s="2">
        <v>-973</v>
      </c>
    </row>
    <row r="901" spans="1:39">
      <c r="A901" s="349">
        <v>99721</v>
      </c>
      <c r="B901" s="342" t="s">
        <v>1595</v>
      </c>
      <c r="C901" s="234" t="e">
        <f>VLOOKUP(A901,#REF!,10,FALSE)</f>
        <v>#REF!</v>
      </c>
      <c r="E901" s="2">
        <v>285667</v>
      </c>
      <c r="F901" s="2">
        <v>81052</v>
      </c>
      <c r="G901" s="2">
        <v>161017</v>
      </c>
      <c r="H901" s="2">
        <v>46856</v>
      </c>
      <c r="I901" s="2">
        <v>0</v>
      </c>
      <c r="J901" s="2"/>
      <c r="K901" s="2">
        <v>91622</v>
      </c>
      <c r="L901" s="2">
        <v>86187</v>
      </c>
      <c r="M901" s="2">
        <v>77248</v>
      </c>
      <c r="N901" s="2">
        <v>30929</v>
      </c>
      <c r="O901" s="2">
        <v>0</v>
      </c>
      <c r="P901" s="2"/>
      <c r="Q901" s="2">
        <v>97269</v>
      </c>
      <c r="R901" s="2">
        <v>-83670</v>
      </c>
      <c r="S901" s="2">
        <v>11792</v>
      </c>
      <c r="T901" s="2">
        <v>15347</v>
      </c>
      <c r="U901" s="2">
        <v>0</v>
      </c>
      <c r="V901" s="2"/>
      <c r="W901" s="2">
        <v>109575</v>
      </c>
      <c r="X901" s="2">
        <v>89768</v>
      </c>
      <c r="Y901" s="2">
        <v>72876</v>
      </c>
      <c r="Z901" s="2">
        <v>0</v>
      </c>
      <c r="AA901" s="2">
        <v>0</v>
      </c>
      <c r="AB901" s="2"/>
      <c r="AC901" s="2">
        <v>579</v>
      </c>
      <c r="AD901" s="2">
        <v>579</v>
      </c>
      <c r="AE901" s="2">
        <v>579</v>
      </c>
      <c r="AF901" s="2">
        <v>580</v>
      </c>
      <c r="AG901" s="2">
        <v>0</v>
      </c>
      <c r="AH901" s="2"/>
      <c r="AI901" s="2">
        <v>-13378</v>
      </c>
      <c r="AJ901" s="2">
        <v>-11812</v>
      </c>
      <c r="AK901" s="2">
        <v>-1478</v>
      </c>
      <c r="AL901" s="2">
        <v>0</v>
      </c>
      <c r="AM901" s="2">
        <v>-11812</v>
      </c>
    </row>
    <row r="902" spans="1:39">
      <c r="A902" s="349">
        <v>99727</v>
      </c>
      <c r="B902" s="342" t="s">
        <v>1596</v>
      </c>
      <c r="C902" s="234" t="e">
        <f>VLOOKUP(A902,#REF!,10,FALSE)</f>
        <v>#REF!</v>
      </c>
      <c r="E902" s="2">
        <v>36652</v>
      </c>
      <c r="F902" s="2">
        <v>24187</v>
      </c>
      <c r="G902" s="2">
        <v>19607</v>
      </c>
      <c r="H902" s="2">
        <v>8489</v>
      </c>
      <c r="I902" s="2">
        <v>0</v>
      </c>
      <c r="J902" s="2"/>
      <c r="K902" s="2">
        <v>2966</v>
      </c>
      <c r="L902" s="2">
        <v>2790</v>
      </c>
      <c r="M902" s="2">
        <v>2501</v>
      </c>
      <c r="N902" s="2">
        <v>1001</v>
      </c>
      <c r="O902" s="2">
        <v>0</v>
      </c>
      <c r="P902" s="2"/>
      <c r="Q902" s="2">
        <v>3149</v>
      </c>
      <c r="R902" s="2">
        <v>-2709</v>
      </c>
      <c r="S902" s="2">
        <v>382</v>
      </c>
      <c r="T902" s="2">
        <v>497</v>
      </c>
      <c r="U902" s="2">
        <v>0</v>
      </c>
      <c r="V902" s="2"/>
      <c r="W902" s="2">
        <v>3547</v>
      </c>
      <c r="X902" s="2">
        <v>2906</v>
      </c>
      <c r="Y902" s="2">
        <v>2359</v>
      </c>
      <c r="Z902" s="2">
        <v>0</v>
      </c>
      <c r="AA902" s="2">
        <v>0</v>
      </c>
      <c r="AB902" s="2"/>
      <c r="AC902" s="2">
        <v>26990</v>
      </c>
      <c r="AD902" s="2">
        <v>21200</v>
      </c>
      <c r="AE902" s="2">
        <v>14365</v>
      </c>
      <c r="AF902" s="2">
        <v>6991</v>
      </c>
      <c r="AG902" s="2">
        <v>0</v>
      </c>
      <c r="AH902" s="2"/>
      <c r="AI902" s="2">
        <v>0</v>
      </c>
      <c r="AJ902" s="2">
        <v>0</v>
      </c>
      <c r="AK902" s="2">
        <v>0</v>
      </c>
      <c r="AL902" s="2">
        <v>0</v>
      </c>
      <c r="AM902" s="2">
        <v>0</v>
      </c>
    </row>
    <row r="903" spans="1:39">
      <c r="A903" s="349">
        <v>99801</v>
      </c>
      <c r="B903" s="342" t="s">
        <v>1597</v>
      </c>
      <c r="C903" s="234" t="e">
        <f>VLOOKUP(A903,#REF!,10,FALSE)</f>
        <v>#REF!</v>
      </c>
      <c r="E903" s="2">
        <v>2173023</v>
      </c>
      <c r="F903" s="2">
        <v>570826</v>
      </c>
      <c r="G903" s="2">
        <v>1140152</v>
      </c>
      <c r="H903" s="2">
        <v>297576</v>
      </c>
      <c r="I903" s="2">
        <v>0</v>
      </c>
      <c r="J903" s="2"/>
      <c r="K903" s="2">
        <v>715149</v>
      </c>
      <c r="L903" s="2">
        <v>672724</v>
      </c>
      <c r="M903" s="2">
        <v>602955</v>
      </c>
      <c r="N903" s="2">
        <v>241416</v>
      </c>
      <c r="O903" s="2">
        <v>0</v>
      </c>
      <c r="P903" s="2"/>
      <c r="Q903" s="2">
        <v>759230</v>
      </c>
      <c r="R903" s="2">
        <v>-653080</v>
      </c>
      <c r="S903" s="2">
        <v>92044</v>
      </c>
      <c r="T903" s="2">
        <v>119794</v>
      </c>
      <c r="U903" s="2">
        <v>0</v>
      </c>
      <c r="V903" s="2"/>
      <c r="W903" s="2">
        <v>855284</v>
      </c>
      <c r="X903" s="2">
        <v>700679</v>
      </c>
      <c r="Y903" s="2">
        <v>568832</v>
      </c>
      <c r="Z903" s="2">
        <v>0</v>
      </c>
      <c r="AA903" s="2">
        <v>0</v>
      </c>
      <c r="AB903" s="2"/>
      <c r="AC903" s="2">
        <v>0</v>
      </c>
      <c r="AD903" s="2">
        <v>0</v>
      </c>
      <c r="AE903" s="2">
        <v>0</v>
      </c>
      <c r="AF903" s="2">
        <v>0</v>
      </c>
      <c r="AG903" s="2">
        <v>0</v>
      </c>
      <c r="AH903" s="2"/>
      <c r="AI903" s="2">
        <v>-156640</v>
      </c>
      <c r="AJ903" s="2">
        <v>-149497</v>
      </c>
      <c r="AK903" s="2">
        <v>-123679</v>
      </c>
      <c r="AL903" s="2">
        <v>-63634</v>
      </c>
      <c r="AM903" s="2">
        <v>-149497</v>
      </c>
    </row>
    <row r="904" spans="1:39">
      <c r="A904" s="349">
        <v>99802</v>
      </c>
      <c r="B904" s="342" t="s">
        <v>2767</v>
      </c>
      <c r="C904" s="234" t="e">
        <f>VLOOKUP(A904,#REF!,10,FALSE)</f>
        <v>#REF!</v>
      </c>
      <c r="E904" s="2">
        <v>7515</v>
      </c>
      <c r="F904" s="2">
        <v>3558</v>
      </c>
      <c r="G904" s="2">
        <v>4596</v>
      </c>
      <c r="H904" s="2">
        <v>1162</v>
      </c>
      <c r="I904" s="2">
        <v>0</v>
      </c>
      <c r="J904" s="2"/>
      <c r="K904" s="2">
        <v>1738</v>
      </c>
      <c r="L904" s="2">
        <v>1635</v>
      </c>
      <c r="M904" s="2">
        <v>1465</v>
      </c>
      <c r="N904" s="2">
        <v>587</v>
      </c>
      <c r="O904" s="2">
        <v>0</v>
      </c>
      <c r="P904" s="2"/>
      <c r="Q904" s="2">
        <v>1845</v>
      </c>
      <c r="R904" s="2">
        <v>-1587</v>
      </c>
      <c r="S904" s="2">
        <v>224</v>
      </c>
      <c r="T904" s="2">
        <v>291</v>
      </c>
      <c r="U904" s="2">
        <v>0</v>
      </c>
      <c r="V904" s="2"/>
      <c r="W904" s="2">
        <v>2078</v>
      </c>
      <c r="X904" s="2">
        <v>1703</v>
      </c>
      <c r="Y904" s="2">
        <v>1382</v>
      </c>
      <c r="Z904" s="2">
        <v>0</v>
      </c>
      <c r="AA904" s="2">
        <v>0</v>
      </c>
      <c r="AB904" s="2"/>
      <c r="AC904" s="2">
        <v>1854</v>
      </c>
      <c r="AD904" s="2">
        <v>1807</v>
      </c>
      <c r="AE904" s="2">
        <v>1525</v>
      </c>
      <c r="AF904" s="2">
        <v>284</v>
      </c>
      <c r="AG904" s="2">
        <v>0</v>
      </c>
      <c r="AH904" s="2"/>
      <c r="AI904" s="2">
        <v>0</v>
      </c>
      <c r="AJ904" s="2">
        <v>0</v>
      </c>
      <c r="AK904" s="2">
        <v>0</v>
      </c>
      <c r="AL904" s="2">
        <v>0</v>
      </c>
      <c r="AM904" s="2">
        <v>0</v>
      </c>
    </row>
    <row r="905" spans="1:39">
      <c r="A905" s="349">
        <v>99804</v>
      </c>
      <c r="B905" s="342" t="s">
        <v>1599</v>
      </c>
      <c r="C905" s="234" t="e">
        <f>VLOOKUP(A905,#REF!,10,FALSE)</f>
        <v>#REF!</v>
      </c>
      <c r="E905" s="2">
        <v>38217</v>
      </c>
      <c r="F905" s="2">
        <v>12984</v>
      </c>
      <c r="G905" s="2">
        <v>19509</v>
      </c>
      <c r="H905" s="2">
        <v>5893</v>
      </c>
      <c r="I905" s="2">
        <v>0</v>
      </c>
      <c r="J905" s="2"/>
      <c r="K905" s="2">
        <v>10816</v>
      </c>
      <c r="L905" s="2">
        <v>10174</v>
      </c>
      <c r="M905" s="2">
        <v>9119</v>
      </c>
      <c r="N905" s="2">
        <v>3651</v>
      </c>
      <c r="O905" s="2">
        <v>0</v>
      </c>
      <c r="P905" s="2"/>
      <c r="Q905" s="2">
        <v>11483</v>
      </c>
      <c r="R905" s="2">
        <v>-9877</v>
      </c>
      <c r="S905" s="2">
        <v>1392</v>
      </c>
      <c r="T905" s="2">
        <v>1812</v>
      </c>
      <c r="U905" s="2">
        <v>0</v>
      </c>
      <c r="V905" s="2"/>
      <c r="W905" s="2">
        <v>12935</v>
      </c>
      <c r="X905" s="2">
        <v>10597</v>
      </c>
      <c r="Y905" s="2">
        <v>8603</v>
      </c>
      <c r="Z905" s="2">
        <v>0</v>
      </c>
      <c r="AA905" s="2">
        <v>0</v>
      </c>
      <c r="AB905" s="2"/>
      <c r="AC905" s="2">
        <v>3015</v>
      </c>
      <c r="AD905" s="2">
        <v>2122</v>
      </c>
      <c r="AE905" s="2">
        <v>428</v>
      </c>
      <c r="AF905" s="2">
        <v>430</v>
      </c>
      <c r="AG905" s="2">
        <v>0</v>
      </c>
      <c r="AH905" s="2"/>
      <c r="AI905" s="2">
        <v>-32</v>
      </c>
      <c r="AJ905" s="2">
        <v>-32</v>
      </c>
      <c r="AK905" s="2">
        <v>-33</v>
      </c>
      <c r="AL905" s="2">
        <v>0</v>
      </c>
      <c r="AM905" s="2">
        <v>-32</v>
      </c>
    </row>
    <row r="906" spans="1:39">
      <c r="A906" s="349">
        <v>99811</v>
      </c>
      <c r="B906" s="342" t="s">
        <v>1600</v>
      </c>
      <c r="C906" s="234" t="e">
        <f>VLOOKUP(A906,#REF!,10,FALSE)</f>
        <v>#REF!</v>
      </c>
      <c r="E906" s="2">
        <v>2914143</v>
      </c>
      <c r="F906" s="2">
        <v>807842</v>
      </c>
      <c r="G906" s="2">
        <v>1600792</v>
      </c>
      <c r="H906" s="2">
        <v>447394</v>
      </c>
      <c r="I906" s="2">
        <v>0</v>
      </c>
      <c r="J906" s="2"/>
      <c r="K906" s="2">
        <v>962031</v>
      </c>
      <c r="L906" s="2">
        <v>904960</v>
      </c>
      <c r="M906" s="2">
        <v>811105</v>
      </c>
      <c r="N906" s="2">
        <v>324757</v>
      </c>
      <c r="O906" s="2">
        <v>0</v>
      </c>
      <c r="P906" s="2"/>
      <c r="Q906" s="2">
        <v>1021329</v>
      </c>
      <c r="R906" s="2">
        <v>-878534</v>
      </c>
      <c r="S906" s="2">
        <v>123819</v>
      </c>
      <c r="T906" s="2">
        <v>161149</v>
      </c>
      <c r="U906" s="2">
        <v>0</v>
      </c>
      <c r="V906" s="2"/>
      <c r="W906" s="2">
        <v>1150543</v>
      </c>
      <c r="X906" s="2">
        <v>942566</v>
      </c>
      <c r="Y906" s="2">
        <v>765202</v>
      </c>
      <c r="Z906" s="2">
        <v>0</v>
      </c>
      <c r="AA906" s="2">
        <v>0</v>
      </c>
      <c r="AB906" s="2"/>
      <c r="AC906" s="2">
        <v>0</v>
      </c>
      <c r="AD906" s="2">
        <v>0</v>
      </c>
      <c r="AE906" s="2">
        <v>0</v>
      </c>
      <c r="AF906" s="2">
        <v>0</v>
      </c>
      <c r="AG906" s="2">
        <v>0</v>
      </c>
      <c r="AH906" s="2"/>
      <c r="AI906" s="2">
        <v>-219760</v>
      </c>
      <c r="AJ906" s="2">
        <v>-161150</v>
      </c>
      <c r="AK906" s="2">
        <v>-99334</v>
      </c>
      <c r="AL906" s="2">
        <v>-38512</v>
      </c>
      <c r="AM906" s="2">
        <v>-161150</v>
      </c>
    </row>
    <row r="907" spans="1:39">
      <c r="A907" s="349">
        <v>99812</v>
      </c>
      <c r="B907" s="342" t="s">
        <v>3709</v>
      </c>
      <c r="C907" s="234" t="e">
        <f>VLOOKUP(A907,#REF!,10,FALSE)</f>
        <v>#REF!</v>
      </c>
      <c r="E907" s="2">
        <v>15941</v>
      </c>
      <c r="F907" s="2">
        <v>8496</v>
      </c>
      <c r="G907" s="2">
        <v>9240</v>
      </c>
      <c r="H907" s="2">
        <v>3759</v>
      </c>
      <c r="I907" s="2">
        <v>0</v>
      </c>
      <c r="J907" s="2"/>
      <c r="K907" s="2">
        <v>2816</v>
      </c>
      <c r="L907" s="2">
        <v>2649</v>
      </c>
      <c r="M907" s="2">
        <v>2375</v>
      </c>
      <c r="N907" s="2">
        <v>951</v>
      </c>
      <c r="O907" s="2">
        <v>0</v>
      </c>
      <c r="P907" s="2"/>
      <c r="Q907" s="2">
        <v>2990</v>
      </c>
      <c r="R907" s="2">
        <v>-2572</v>
      </c>
      <c r="S907" s="2">
        <v>362</v>
      </c>
      <c r="T907" s="2">
        <v>472</v>
      </c>
      <c r="U907" s="2">
        <v>0</v>
      </c>
      <c r="V907" s="2"/>
      <c r="W907" s="2">
        <v>3368</v>
      </c>
      <c r="X907" s="2">
        <v>2759</v>
      </c>
      <c r="Y907" s="2">
        <v>2240</v>
      </c>
      <c r="Z907" s="2">
        <v>0</v>
      </c>
      <c r="AA907" s="2">
        <v>0</v>
      </c>
      <c r="AB907" s="2"/>
      <c r="AC907" s="2">
        <v>6767</v>
      </c>
      <c r="AD907" s="2">
        <v>5660</v>
      </c>
      <c r="AE907" s="2">
        <v>4263</v>
      </c>
      <c r="AF907" s="2">
        <v>2336</v>
      </c>
      <c r="AG907" s="2">
        <v>0</v>
      </c>
      <c r="AH907" s="2"/>
      <c r="AI907" s="2">
        <v>0</v>
      </c>
      <c r="AJ907" s="2">
        <v>0</v>
      </c>
      <c r="AK907" s="2">
        <v>0</v>
      </c>
      <c r="AL907" s="2">
        <v>0</v>
      </c>
      <c r="AM907" s="2">
        <v>0</v>
      </c>
    </row>
    <row r="908" spans="1:39">
      <c r="A908" s="349">
        <v>99818</v>
      </c>
      <c r="B908" s="342" t="s">
        <v>1602</v>
      </c>
      <c r="C908" s="234" t="e">
        <f>VLOOKUP(A908,#REF!,10,FALSE)</f>
        <v>#REF!</v>
      </c>
      <c r="E908" s="2">
        <v>15139</v>
      </c>
      <c r="F908" s="2">
        <v>3805</v>
      </c>
      <c r="G908" s="2">
        <v>8905</v>
      </c>
      <c r="H908" s="2">
        <v>2433</v>
      </c>
      <c r="I908" s="2">
        <v>0</v>
      </c>
      <c r="J908" s="2"/>
      <c r="K908" s="2">
        <v>5333</v>
      </c>
      <c r="L908" s="2">
        <v>5017</v>
      </c>
      <c r="M908" s="2">
        <v>4496</v>
      </c>
      <c r="N908" s="2">
        <v>1800</v>
      </c>
      <c r="O908" s="2">
        <v>0</v>
      </c>
      <c r="P908" s="2"/>
      <c r="Q908" s="2">
        <v>5662</v>
      </c>
      <c r="R908" s="2">
        <v>-4870</v>
      </c>
      <c r="S908" s="2">
        <v>686</v>
      </c>
      <c r="T908" s="2">
        <v>893</v>
      </c>
      <c r="U908" s="2">
        <v>0</v>
      </c>
      <c r="V908" s="2"/>
      <c r="W908" s="2">
        <v>6378</v>
      </c>
      <c r="X908" s="2">
        <v>5225</v>
      </c>
      <c r="Y908" s="2">
        <v>4242</v>
      </c>
      <c r="Z908" s="2">
        <v>0</v>
      </c>
      <c r="AA908" s="2">
        <v>0</v>
      </c>
      <c r="AB908" s="2"/>
      <c r="AC908" s="2">
        <v>0</v>
      </c>
      <c r="AD908" s="2">
        <v>0</v>
      </c>
      <c r="AE908" s="2">
        <v>0</v>
      </c>
      <c r="AF908" s="2">
        <v>0</v>
      </c>
      <c r="AG908" s="2">
        <v>0</v>
      </c>
      <c r="AH908" s="2"/>
      <c r="AI908" s="2">
        <v>-2234</v>
      </c>
      <c r="AJ908" s="2">
        <v>-1567</v>
      </c>
      <c r="AK908" s="2">
        <v>-519</v>
      </c>
      <c r="AL908" s="2">
        <v>-260</v>
      </c>
      <c r="AM908" s="2">
        <v>-1567</v>
      </c>
    </row>
    <row r="909" spans="1:39">
      <c r="A909" s="349">
        <v>99821</v>
      </c>
      <c r="B909" s="342" t="s">
        <v>1603</v>
      </c>
      <c r="C909" s="234" t="e">
        <f>VLOOKUP(A909,#REF!,10,FALSE)</f>
        <v>#REF!</v>
      </c>
      <c r="E909" s="2">
        <v>55015</v>
      </c>
      <c r="F909" s="2">
        <v>20547</v>
      </c>
      <c r="G909" s="2">
        <v>28955</v>
      </c>
      <c r="H909" s="2">
        <v>9057</v>
      </c>
      <c r="I909" s="2">
        <v>0</v>
      </c>
      <c r="J909" s="2"/>
      <c r="K909" s="2">
        <v>14711</v>
      </c>
      <c r="L909" s="2">
        <v>13838</v>
      </c>
      <c r="M909" s="2">
        <v>12403</v>
      </c>
      <c r="N909" s="2">
        <v>4966</v>
      </c>
      <c r="O909" s="2">
        <v>0</v>
      </c>
      <c r="P909" s="2"/>
      <c r="Q909" s="2">
        <v>15618</v>
      </c>
      <c r="R909" s="2">
        <v>-13434</v>
      </c>
      <c r="S909" s="2">
        <v>1893</v>
      </c>
      <c r="T909" s="2">
        <v>2464</v>
      </c>
      <c r="U909" s="2">
        <v>0</v>
      </c>
      <c r="V909" s="2"/>
      <c r="W909" s="2">
        <v>17594</v>
      </c>
      <c r="X909" s="2">
        <v>14413</v>
      </c>
      <c r="Y909" s="2">
        <v>11701</v>
      </c>
      <c r="Z909" s="2">
        <v>0</v>
      </c>
      <c r="AA909" s="2">
        <v>0</v>
      </c>
      <c r="AB909" s="2"/>
      <c r="AC909" s="2">
        <v>7092</v>
      </c>
      <c r="AD909" s="2">
        <v>5730</v>
      </c>
      <c r="AE909" s="2">
        <v>2958</v>
      </c>
      <c r="AF909" s="2">
        <v>1627</v>
      </c>
      <c r="AG909" s="2">
        <v>0</v>
      </c>
      <c r="AH909" s="2"/>
      <c r="AI909" s="2">
        <v>0</v>
      </c>
      <c r="AJ909" s="2">
        <v>0</v>
      </c>
      <c r="AK909" s="2">
        <v>0</v>
      </c>
      <c r="AL909" s="2">
        <v>0</v>
      </c>
      <c r="AM909" s="2">
        <v>0</v>
      </c>
    </row>
    <row r="910" spans="1:39">
      <c r="A910" s="349">
        <v>99831</v>
      </c>
      <c r="B910" s="342" t="s">
        <v>1604</v>
      </c>
      <c r="C910" s="234" t="e">
        <f>VLOOKUP(A910,#REF!,10,FALSE)</f>
        <v>#REF!</v>
      </c>
      <c r="E910" s="2">
        <v>28911</v>
      </c>
      <c r="F910" s="2">
        <v>9509</v>
      </c>
      <c r="G910" s="2">
        <v>14732</v>
      </c>
      <c r="H910" s="2">
        <v>6056</v>
      </c>
      <c r="I910" s="2">
        <v>0</v>
      </c>
      <c r="J910" s="2"/>
      <c r="K910" s="2">
        <v>8299</v>
      </c>
      <c r="L910" s="2">
        <v>7807</v>
      </c>
      <c r="M910" s="2">
        <v>6997</v>
      </c>
      <c r="N910" s="2">
        <v>2802</v>
      </c>
      <c r="O910" s="2">
        <v>0</v>
      </c>
      <c r="P910" s="2"/>
      <c r="Q910" s="2">
        <v>8811</v>
      </c>
      <c r="R910" s="2">
        <v>-7579</v>
      </c>
      <c r="S910" s="2">
        <v>1068</v>
      </c>
      <c r="T910" s="2">
        <v>1390</v>
      </c>
      <c r="U910" s="2">
        <v>0</v>
      </c>
      <c r="V910" s="2"/>
      <c r="W910" s="2">
        <v>9926</v>
      </c>
      <c r="X910" s="2">
        <v>8131</v>
      </c>
      <c r="Y910" s="2">
        <v>6601</v>
      </c>
      <c r="Z910" s="2">
        <v>0</v>
      </c>
      <c r="AA910" s="2">
        <v>0</v>
      </c>
      <c r="AB910" s="2"/>
      <c r="AC910" s="2">
        <v>3675</v>
      </c>
      <c r="AD910" s="2">
        <v>2950</v>
      </c>
      <c r="AE910" s="2">
        <v>1866</v>
      </c>
      <c r="AF910" s="2">
        <v>1864</v>
      </c>
      <c r="AG910" s="2">
        <v>0</v>
      </c>
      <c r="AH910" s="2"/>
      <c r="AI910" s="2">
        <v>-1800</v>
      </c>
      <c r="AJ910" s="2">
        <v>-1800</v>
      </c>
      <c r="AK910" s="2">
        <v>-1800</v>
      </c>
      <c r="AL910" s="2">
        <v>0</v>
      </c>
      <c r="AM910" s="2">
        <v>-1800</v>
      </c>
    </row>
    <row r="911" spans="1:39">
      <c r="A911" s="349">
        <v>99841</v>
      </c>
      <c r="B911" s="342" t="s">
        <v>1605</v>
      </c>
      <c r="C911" s="234" t="e">
        <f>VLOOKUP(A911,#REF!,10,FALSE)</f>
        <v>#REF!</v>
      </c>
      <c r="E911" s="2">
        <v>3134</v>
      </c>
      <c r="F911" s="2">
        <v>-1994</v>
      </c>
      <c r="G911" s="2">
        <v>369</v>
      </c>
      <c r="H911" s="2">
        <v>-960</v>
      </c>
      <c r="I911" s="2">
        <v>0</v>
      </c>
      <c r="J911" s="2"/>
      <c r="K911" s="2">
        <v>2382</v>
      </c>
      <c r="L911" s="2">
        <v>2241</v>
      </c>
      <c r="M911" s="2">
        <v>2008</v>
      </c>
      <c r="N911" s="2">
        <v>804</v>
      </c>
      <c r="O911" s="2">
        <v>0</v>
      </c>
      <c r="P911" s="2"/>
      <c r="Q911" s="2">
        <v>2529</v>
      </c>
      <c r="R911" s="2">
        <v>-2175</v>
      </c>
      <c r="S911" s="2">
        <v>307</v>
      </c>
      <c r="T911" s="2">
        <v>399</v>
      </c>
      <c r="U911" s="2">
        <v>0</v>
      </c>
      <c r="V911" s="2"/>
      <c r="W911" s="2">
        <v>2849</v>
      </c>
      <c r="X911" s="2">
        <v>2334</v>
      </c>
      <c r="Y911" s="2">
        <v>1895</v>
      </c>
      <c r="Z911" s="2">
        <v>0</v>
      </c>
      <c r="AA911" s="2">
        <v>0</v>
      </c>
      <c r="AB911" s="2"/>
      <c r="AC911" s="2">
        <v>0</v>
      </c>
      <c r="AD911" s="2">
        <v>0</v>
      </c>
      <c r="AE911" s="2">
        <v>0</v>
      </c>
      <c r="AF911" s="2">
        <v>0</v>
      </c>
      <c r="AG911" s="2">
        <v>0</v>
      </c>
      <c r="AH911" s="2"/>
      <c r="AI911" s="2">
        <v>-4626</v>
      </c>
      <c r="AJ911" s="2">
        <v>-4394</v>
      </c>
      <c r="AK911" s="2">
        <v>-3841</v>
      </c>
      <c r="AL911" s="2">
        <v>-2163</v>
      </c>
      <c r="AM911" s="2">
        <v>-4394</v>
      </c>
    </row>
    <row r="912" spans="1:39">
      <c r="A912" s="349">
        <v>99851</v>
      </c>
      <c r="B912" s="342" t="s">
        <v>1606</v>
      </c>
      <c r="C912" s="234" t="e">
        <f>VLOOKUP(A912,#REF!,10,FALSE)</f>
        <v>#REF!</v>
      </c>
      <c r="E912" s="2">
        <v>-437</v>
      </c>
      <c r="F912" s="2">
        <v>-2796</v>
      </c>
      <c r="G912" s="2">
        <v>-1358</v>
      </c>
      <c r="H912" s="2">
        <v>-2365</v>
      </c>
      <c r="I912" s="2">
        <v>0</v>
      </c>
      <c r="J912" s="2"/>
      <c r="K912" s="2">
        <v>1183</v>
      </c>
      <c r="L912" s="2">
        <v>1113</v>
      </c>
      <c r="M912" s="2">
        <v>998</v>
      </c>
      <c r="N912" s="2">
        <v>400</v>
      </c>
      <c r="O912" s="2">
        <v>0</v>
      </c>
      <c r="P912" s="2"/>
      <c r="Q912" s="2">
        <v>1256</v>
      </c>
      <c r="R912" s="2">
        <v>-1081</v>
      </c>
      <c r="S912" s="2">
        <v>152</v>
      </c>
      <c r="T912" s="2">
        <v>198</v>
      </c>
      <c r="U912" s="2">
        <v>0</v>
      </c>
      <c r="V912" s="2"/>
      <c r="W912" s="2">
        <v>1415</v>
      </c>
      <c r="X912" s="2">
        <v>1160</v>
      </c>
      <c r="Y912" s="2">
        <v>941</v>
      </c>
      <c r="Z912" s="2">
        <v>0</v>
      </c>
      <c r="AA912" s="2">
        <v>0</v>
      </c>
      <c r="AB912" s="2"/>
      <c r="AC912" s="2">
        <v>0</v>
      </c>
      <c r="AD912" s="2">
        <v>0</v>
      </c>
      <c r="AE912" s="2">
        <v>0</v>
      </c>
      <c r="AF912" s="2">
        <v>0</v>
      </c>
      <c r="AG912" s="2">
        <v>0</v>
      </c>
      <c r="AH912" s="2"/>
      <c r="AI912" s="2">
        <v>-4291</v>
      </c>
      <c r="AJ912" s="2">
        <v>-3988</v>
      </c>
      <c r="AK912" s="2">
        <v>-3449</v>
      </c>
      <c r="AL912" s="2">
        <v>-2963</v>
      </c>
      <c r="AM912" s="2">
        <v>-3988</v>
      </c>
    </row>
    <row r="913" spans="1:92">
      <c r="A913" s="349">
        <v>99901</v>
      </c>
      <c r="B913" s="342" t="s">
        <v>1607</v>
      </c>
      <c r="C913" s="234" t="e">
        <f>VLOOKUP(A913,#REF!,10,FALSE)</f>
        <v>#REF!</v>
      </c>
      <c r="E913" s="2">
        <v>767498</v>
      </c>
      <c r="F913" s="2">
        <v>223386</v>
      </c>
      <c r="G913" s="2">
        <v>400591</v>
      </c>
      <c r="H913" s="2">
        <v>119172</v>
      </c>
      <c r="I913" s="2">
        <v>0</v>
      </c>
      <c r="J913" s="2"/>
      <c r="K913" s="2">
        <v>238822</v>
      </c>
      <c r="L913" s="2">
        <v>224655</v>
      </c>
      <c r="M913" s="2">
        <v>201355</v>
      </c>
      <c r="N913" s="2">
        <v>80620</v>
      </c>
      <c r="O913" s="2">
        <v>0</v>
      </c>
      <c r="P913" s="2"/>
      <c r="Q913" s="2">
        <v>253543</v>
      </c>
      <c r="R913" s="2">
        <v>-218095</v>
      </c>
      <c r="S913" s="2">
        <v>30738</v>
      </c>
      <c r="T913" s="2">
        <v>40005</v>
      </c>
      <c r="U913" s="2">
        <v>0</v>
      </c>
      <c r="V913" s="2"/>
      <c r="W913" s="2">
        <v>285620</v>
      </c>
      <c r="X913" s="2">
        <v>233990</v>
      </c>
      <c r="Y913" s="2">
        <v>189960</v>
      </c>
      <c r="Z913" s="2">
        <v>0</v>
      </c>
      <c r="AA913" s="2">
        <v>0</v>
      </c>
      <c r="AB913" s="2"/>
      <c r="AC913" s="2">
        <v>10974</v>
      </c>
      <c r="AD913" s="2">
        <v>4297</v>
      </c>
      <c r="AE913" s="2">
        <v>0</v>
      </c>
      <c r="AF913" s="2">
        <v>0</v>
      </c>
      <c r="AG913" s="2">
        <v>0</v>
      </c>
      <c r="AH913" s="2"/>
      <c r="AI913" s="2">
        <v>-21461</v>
      </c>
      <c r="AJ913" s="2">
        <v>-21461</v>
      </c>
      <c r="AK913" s="2">
        <v>-21462</v>
      </c>
      <c r="AL913" s="2">
        <v>-1453</v>
      </c>
      <c r="AM913" s="2">
        <v>-21461</v>
      </c>
      <c r="AN913" s="243"/>
      <c r="AO913" s="243"/>
      <c r="AP913" s="243"/>
      <c r="AQ913" s="243"/>
      <c r="AR913" s="243"/>
      <c r="AS913" s="243"/>
      <c r="AT913" s="243"/>
      <c r="AU913" s="243"/>
      <c r="AV913" s="243"/>
      <c r="AW913" s="243"/>
      <c r="AX913" s="243"/>
      <c r="AY913" s="243"/>
      <c r="AZ913" s="243"/>
      <c r="BA913" s="243"/>
      <c r="BB913" s="243"/>
      <c r="BC913" s="243"/>
      <c r="BD913" s="243"/>
      <c r="BE913" s="243"/>
      <c r="BF913" s="243"/>
      <c r="BG913" s="243"/>
      <c r="BH913" s="243"/>
      <c r="BI913" s="243"/>
      <c r="BJ913" s="243"/>
      <c r="BK913" s="243"/>
      <c r="BL913" s="243"/>
      <c r="BM913" s="243"/>
      <c r="BN913" s="243"/>
      <c r="BO913" s="243"/>
      <c r="BP913" s="243"/>
      <c r="BQ913" s="243"/>
      <c r="BR913" s="243"/>
      <c r="BS913" s="243"/>
      <c r="BT913" s="243"/>
      <c r="BU913" s="243"/>
      <c r="BV913" s="243"/>
      <c r="BW913" s="243"/>
      <c r="BX913" s="243"/>
      <c r="BY913" s="243"/>
      <c r="BZ913" s="243"/>
      <c r="CA913" s="243"/>
      <c r="CB913" s="243"/>
      <c r="CC913" s="243"/>
      <c r="CD913" s="243"/>
      <c r="CE913" s="243"/>
      <c r="CF913" s="243"/>
      <c r="CG913" s="243"/>
      <c r="CH913" s="243"/>
      <c r="CI913" s="243"/>
      <c r="CJ913" s="243"/>
      <c r="CK913" s="243"/>
      <c r="CL913" s="243"/>
      <c r="CM913" s="243"/>
      <c r="CN913" s="243"/>
    </row>
    <row r="914" spans="1:92" s="242" customFormat="1">
      <c r="A914" s="349">
        <v>99911</v>
      </c>
      <c r="B914" s="342" t="s">
        <v>1608</v>
      </c>
      <c r="C914" s="234" t="e">
        <f>VLOOKUP(A914,#REF!,10,FALSE)</f>
        <v>#REF!</v>
      </c>
      <c r="D914"/>
      <c r="E914" s="2">
        <v>106678</v>
      </c>
      <c r="F914" s="2">
        <v>34113</v>
      </c>
      <c r="G914" s="2">
        <v>58044</v>
      </c>
      <c r="H914" s="2">
        <v>17828</v>
      </c>
      <c r="I914" s="2">
        <v>0</v>
      </c>
      <c r="J914" s="2"/>
      <c r="K914" s="2">
        <v>33242</v>
      </c>
      <c r="L914" s="2">
        <v>31270</v>
      </c>
      <c r="M914" s="2">
        <v>28027</v>
      </c>
      <c r="N914" s="2">
        <v>11222</v>
      </c>
      <c r="O914" s="2">
        <v>0</v>
      </c>
      <c r="P914" s="2"/>
      <c r="Q914" s="2">
        <v>35291</v>
      </c>
      <c r="R914" s="2">
        <v>-30357</v>
      </c>
      <c r="S914" s="2">
        <v>4278</v>
      </c>
      <c r="T914" s="2">
        <v>5568</v>
      </c>
      <c r="U914" s="2">
        <v>0</v>
      </c>
      <c r="V914" s="2"/>
      <c r="W914" s="2">
        <v>39756</v>
      </c>
      <c r="X914" s="2">
        <v>32570</v>
      </c>
      <c r="Y914" s="2">
        <v>26441</v>
      </c>
      <c r="Z914" s="2">
        <v>0</v>
      </c>
      <c r="AA914" s="2">
        <v>0</v>
      </c>
      <c r="AB914" s="2"/>
      <c r="AC914" s="2">
        <v>2367</v>
      </c>
      <c r="AD914" s="2">
        <v>2368</v>
      </c>
      <c r="AE914" s="2">
        <v>1037</v>
      </c>
      <c r="AF914" s="2">
        <v>1038</v>
      </c>
      <c r="AG914" s="2">
        <v>0</v>
      </c>
      <c r="AH914" s="2"/>
      <c r="AI914" s="2">
        <v>-3978</v>
      </c>
      <c r="AJ914" s="2">
        <v>-1738</v>
      </c>
      <c r="AK914" s="2">
        <v>-1739</v>
      </c>
      <c r="AL914" s="2">
        <v>0</v>
      </c>
      <c r="AM914" s="2">
        <v>-1738</v>
      </c>
      <c r="AN914" s="244"/>
      <c r="AO914" s="244"/>
      <c r="AP914" s="244"/>
      <c r="AQ914" s="244"/>
      <c r="AR914" s="244"/>
      <c r="AS914" s="244"/>
      <c r="AT914" s="244"/>
      <c r="AU914" s="244"/>
      <c r="AV914" s="244"/>
      <c r="AW914" s="244"/>
      <c r="AX914" s="244"/>
      <c r="AY914" s="244"/>
      <c r="AZ914" s="244"/>
      <c r="BA914" s="244"/>
      <c r="BB914" s="244"/>
      <c r="BC914" s="244"/>
      <c r="BD914" s="244"/>
      <c r="BE914" s="244"/>
      <c r="BF914" s="244"/>
      <c r="BG914" s="244"/>
      <c r="BH914" s="244"/>
      <c r="BI914" s="244"/>
      <c r="BJ914" s="244"/>
      <c r="BK914" s="244"/>
      <c r="BL914" s="244"/>
      <c r="BM914" s="244"/>
      <c r="BN914" s="244"/>
      <c r="BO914" s="244"/>
      <c r="BP914" s="244"/>
      <c r="BQ914" s="244"/>
      <c r="BR914" s="244"/>
      <c r="BS914" s="244"/>
      <c r="BT914" s="244"/>
      <c r="BU914" s="244"/>
      <c r="BV914" s="244"/>
      <c r="BW914" s="244"/>
      <c r="BX914" s="244"/>
      <c r="BY914" s="244"/>
      <c r="BZ914" s="244"/>
      <c r="CA914" s="244"/>
      <c r="CB914" s="244"/>
      <c r="CC914" s="244"/>
      <c r="CD914" s="244"/>
      <c r="CE914" s="244"/>
      <c r="CF914" s="244"/>
      <c r="CG914" s="244"/>
      <c r="CH914" s="244"/>
      <c r="CI914" s="244"/>
      <c r="CJ914" s="244"/>
      <c r="CK914" s="244"/>
      <c r="CL914" s="244"/>
      <c r="CM914" s="244"/>
      <c r="CN914" s="244"/>
    </row>
    <row r="915" spans="1:92">
      <c r="A915" s="349">
        <v>99921</v>
      </c>
      <c r="B915" s="342" t="s">
        <v>1609</v>
      </c>
      <c r="C915" s="234" t="e">
        <f>VLOOKUP(A915,#REF!,10,FALSE)</f>
        <v>#REF!</v>
      </c>
      <c r="E915" s="2">
        <v>59792</v>
      </c>
      <c r="F915" s="2">
        <v>15099</v>
      </c>
      <c r="G915" s="2">
        <v>30984</v>
      </c>
      <c r="H915" s="2">
        <v>10327</v>
      </c>
      <c r="I915" s="2">
        <v>0</v>
      </c>
      <c r="J915" s="2"/>
      <c r="K915" s="2">
        <v>19700</v>
      </c>
      <c r="L915" s="2">
        <v>18531</v>
      </c>
      <c r="M915" s="2">
        <v>16609</v>
      </c>
      <c r="N915" s="2">
        <v>6650</v>
      </c>
      <c r="O915" s="2">
        <v>0</v>
      </c>
      <c r="P915" s="2"/>
      <c r="Q915" s="2">
        <v>20914</v>
      </c>
      <c r="R915" s="2">
        <v>-17990</v>
      </c>
      <c r="S915" s="2">
        <v>2535</v>
      </c>
      <c r="T915" s="2">
        <v>3300</v>
      </c>
      <c r="U915" s="2">
        <v>0</v>
      </c>
      <c r="V915" s="2"/>
      <c r="W915" s="2">
        <v>23560</v>
      </c>
      <c r="X915" s="2">
        <v>19301</v>
      </c>
      <c r="Y915" s="2">
        <v>15669</v>
      </c>
      <c r="Z915" s="2">
        <v>0</v>
      </c>
      <c r="AA915" s="2">
        <v>0</v>
      </c>
      <c r="AB915" s="2"/>
      <c r="AC915" s="2">
        <v>736</v>
      </c>
      <c r="AD915" s="2">
        <v>375</v>
      </c>
      <c r="AE915" s="2">
        <v>375</v>
      </c>
      <c r="AF915" s="2">
        <v>377</v>
      </c>
      <c r="AG915" s="2">
        <v>0</v>
      </c>
      <c r="AH915" s="2"/>
      <c r="AI915" s="2">
        <v>-5118</v>
      </c>
      <c r="AJ915" s="2">
        <v>-5118</v>
      </c>
      <c r="AK915" s="2">
        <v>-4204</v>
      </c>
      <c r="AL915" s="2">
        <v>0</v>
      </c>
      <c r="AM915" s="2">
        <v>-5118</v>
      </c>
      <c r="AN915" s="243"/>
      <c r="AO915" s="243"/>
      <c r="AP915" s="243"/>
      <c r="AQ915" s="243"/>
      <c r="AR915" s="243"/>
      <c r="AS915" s="243"/>
      <c r="AT915" s="243"/>
      <c r="AU915" s="243"/>
      <c r="AV915" s="243"/>
      <c r="AW915" s="243"/>
      <c r="AX915" s="243"/>
      <c r="AY915" s="243"/>
      <c r="AZ915" s="243"/>
      <c r="BA915" s="243"/>
      <c r="BB915" s="243"/>
      <c r="BC915" s="243"/>
      <c r="BD915" s="243"/>
      <c r="BE915" s="243"/>
      <c r="BF915" s="243"/>
      <c r="BG915" s="243"/>
      <c r="BH915" s="243"/>
      <c r="BI915" s="243"/>
      <c r="BJ915" s="243"/>
      <c r="BK915" s="243"/>
      <c r="BL915" s="243"/>
      <c r="BM915" s="243"/>
      <c r="BN915" s="243"/>
      <c r="BO915" s="243"/>
      <c r="BP915" s="243"/>
      <c r="BQ915" s="243"/>
      <c r="BR915" s="243"/>
      <c r="BS915" s="243"/>
      <c r="BT915" s="243"/>
      <c r="BU915" s="243"/>
      <c r="BV915" s="243"/>
      <c r="BW915" s="243"/>
      <c r="BX915" s="243"/>
      <c r="BY915" s="243"/>
      <c r="BZ915" s="243"/>
      <c r="CA915" s="243"/>
      <c r="CB915" s="243"/>
      <c r="CC915" s="243"/>
      <c r="CD915" s="243"/>
      <c r="CE915" s="243"/>
      <c r="CF915" s="243"/>
      <c r="CG915" s="243"/>
      <c r="CH915" s="243"/>
      <c r="CI915" s="243"/>
      <c r="CJ915" s="243"/>
      <c r="CK915" s="243"/>
      <c r="CL915" s="243"/>
      <c r="CM915" s="243"/>
      <c r="CN915" s="243"/>
    </row>
    <row r="916" spans="1:92">
      <c r="A916" s="349">
        <v>99931</v>
      </c>
      <c r="B916" s="342" t="s">
        <v>1610</v>
      </c>
      <c r="C916" s="234" t="e">
        <f>VLOOKUP(A916,#REF!,10,FALSE)</f>
        <v>#REF!</v>
      </c>
      <c r="E916" s="2">
        <v>10777</v>
      </c>
      <c r="F916" s="2">
        <v>3732</v>
      </c>
      <c r="G916" s="2">
        <v>7436</v>
      </c>
      <c r="H916" s="2">
        <v>2931</v>
      </c>
      <c r="I916" s="2">
        <v>0</v>
      </c>
      <c r="J916" s="2"/>
      <c r="K916" s="2">
        <v>3251</v>
      </c>
      <c r="L916" s="2">
        <v>3058</v>
      </c>
      <c r="M916" s="2">
        <v>2741</v>
      </c>
      <c r="N916" s="2">
        <v>1097</v>
      </c>
      <c r="O916" s="2">
        <v>0</v>
      </c>
      <c r="P916" s="2"/>
      <c r="Q916" s="2">
        <v>3451</v>
      </c>
      <c r="R916" s="2">
        <v>-2969</v>
      </c>
      <c r="S916" s="2">
        <v>418</v>
      </c>
      <c r="T916" s="2">
        <v>545</v>
      </c>
      <c r="U916" s="2">
        <v>0</v>
      </c>
      <c r="V916" s="2"/>
      <c r="W916" s="2">
        <v>3888</v>
      </c>
      <c r="X916" s="2">
        <v>3185</v>
      </c>
      <c r="Y916" s="2">
        <v>2586</v>
      </c>
      <c r="Z916" s="2">
        <v>0</v>
      </c>
      <c r="AA916" s="2">
        <v>0</v>
      </c>
      <c r="AB916" s="2"/>
      <c r="AC916" s="2">
        <v>1693</v>
      </c>
      <c r="AD916" s="2">
        <v>1693</v>
      </c>
      <c r="AE916" s="2">
        <v>1691</v>
      </c>
      <c r="AF916" s="2">
        <v>1289</v>
      </c>
      <c r="AG916" s="2">
        <v>0</v>
      </c>
      <c r="AH916" s="2"/>
      <c r="AI916" s="2">
        <v>-1506</v>
      </c>
      <c r="AJ916" s="2">
        <v>-1235</v>
      </c>
      <c r="AK916" s="2">
        <v>0</v>
      </c>
      <c r="AL916" s="2">
        <v>0</v>
      </c>
      <c r="AM916" s="2">
        <v>-1235</v>
      </c>
      <c r="AN916" s="243"/>
      <c r="AO916" s="243"/>
      <c r="AP916" s="243"/>
      <c r="AQ916" s="243"/>
      <c r="AR916" s="243"/>
      <c r="AS916" s="243"/>
      <c r="AT916" s="243"/>
      <c r="AU916" s="243"/>
      <c r="AV916" s="243"/>
      <c r="AW916" s="243"/>
      <c r="AX916" s="243"/>
      <c r="AY916" s="243"/>
      <c r="AZ916" s="243"/>
      <c r="BA916" s="243"/>
      <c r="BB916" s="243"/>
      <c r="BC916" s="243"/>
      <c r="BD916" s="243"/>
      <c r="BE916" s="243"/>
      <c r="BF916" s="243"/>
      <c r="BG916" s="243"/>
      <c r="BH916" s="243"/>
      <c r="BI916" s="243"/>
      <c r="BJ916" s="243"/>
      <c r="BK916" s="243"/>
      <c r="BL916" s="243"/>
      <c r="BM916" s="243"/>
      <c r="BN916" s="243"/>
      <c r="BO916" s="243"/>
      <c r="BP916" s="243"/>
      <c r="BQ916" s="243"/>
      <c r="BR916" s="243"/>
      <c r="BS916" s="243"/>
      <c r="BT916" s="243"/>
      <c r="BU916" s="243"/>
      <c r="BV916" s="243"/>
      <c r="BW916" s="243"/>
      <c r="BX916" s="243"/>
      <c r="BY916" s="243"/>
      <c r="BZ916" s="243"/>
      <c r="CA916" s="243"/>
      <c r="CB916" s="243"/>
      <c r="CC916" s="243"/>
      <c r="CD916" s="243"/>
      <c r="CE916" s="243"/>
      <c r="CF916" s="243"/>
      <c r="CG916" s="243"/>
      <c r="CH916" s="243"/>
      <c r="CI916" s="243"/>
      <c r="CJ916" s="243"/>
      <c r="CK916" s="243"/>
      <c r="CL916" s="243"/>
      <c r="CM916" s="243"/>
      <c r="CN916" s="243"/>
    </row>
    <row r="917" spans="1:92">
      <c r="A917" s="349">
        <v>99941</v>
      </c>
      <c r="B917" s="342" t="s">
        <v>1611</v>
      </c>
      <c r="C917" s="234" t="e">
        <f>VLOOKUP(A917,#REF!,10,FALSE)</f>
        <v>#REF!</v>
      </c>
      <c r="E917" s="2">
        <v>33492</v>
      </c>
      <c r="F917" s="2">
        <v>9312</v>
      </c>
      <c r="G917" s="2">
        <v>18984</v>
      </c>
      <c r="H917" s="2">
        <v>4852</v>
      </c>
      <c r="I917" s="2">
        <v>0</v>
      </c>
      <c r="J917" s="2"/>
      <c r="K917" s="2">
        <v>11595</v>
      </c>
      <c r="L917" s="2">
        <v>10907</v>
      </c>
      <c r="M917" s="2">
        <v>9776</v>
      </c>
      <c r="N917" s="2">
        <v>3914</v>
      </c>
      <c r="O917" s="2">
        <v>0</v>
      </c>
      <c r="P917" s="2"/>
      <c r="Q917" s="2">
        <v>12310</v>
      </c>
      <c r="R917" s="2">
        <v>-10589</v>
      </c>
      <c r="S917" s="2">
        <v>1492</v>
      </c>
      <c r="T917" s="2">
        <v>1942</v>
      </c>
      <c r="U917" s="2">
        <v>0</v>
      </c>
      <c r="V917" s="2"/>
      <c r="W917" s="2">
        <v>13867</v>
      </c>
      <c r="X917" s="2">
        <v>11360</v>
      </c>
      <c r="Y917" s="2">
        <v>9223</v>
      </c>
      <c r="Z917" s="2">
        <v>0</v>
      </c>
      <c r="AA917" s="2">
        <v>0</v>
      </c>
      <c r="AB917" s="2"/>
      <c r="AC917" s="2">
        <v>0</v>
      </c>
      <c r="AD917" s="2">
        <v>0</v>
      </c>
      <c r="AE917" s="2">
        <v>0</v>
      </c>
      <c r="AF917" s="2">
        <v>0</v>
      </c>
      <c r="AG917" s="2">
        <v>0</v>
      </c>
      <c r="AH917" s="2"/>
      <c r="AI917" s="2">
        <v>-4280</v>
      </c>
      <c r="AJ917" s="2">
        <v>-2366</v>
      </c>
      <c r="AK917" s="2">
        <v>-1507</v>
      </c>
      <c r="AL917" s="2">
        <v>-1004</v>
      </c>
      <c r="AM917" s="2">
        <v>-2366</v>
      </c>
      <c r="AN917" s="243"/>
      <c r="AO917" s="243"/>
      <c r="AP917" s="243"/>
      <c r="AQ917" s="243"/>
      <c r="AR917" s="243"/>
      <c r="AS917" s="243"/>
      <c r="AT917" s="243"/>
      <c r="AU917" s="243"/>
      <c r="AV917" s="243"/>
      <c r="AW917" s="243"/>
      <c r="AX917" s="243"/>
      <c r="AY917" s="243"/>
      <c r="AZ917" s="243"/>
      <c r="BA917" s="243"/>
      <c r="BB917" s="243"/>
      <c r="BC917" s="243"/>
      <c r="BD917" s="243"/>
      <c r="BE917" s="243"/>
      <c r="BF917" s="243"/>
      <c r="BG917" s="243"/>
      <c r="BH917" s="243"/>
      <c r="BI917" s="243"/>
      <c r="BJ917" s="243"/>
      <c r="BK917" s="243"/>
      <c r="BL917" s="243"/>
      <c r="BM917" s="243"/>
      <c r="BN917" s="243"/>
      <c r="BO917" s="243"/>
      <c r="BP917" s="243"/>
      <c r="BQ917" s="243"/>
      <c r="BR917" s="243"/>
      <c r="BS917" s="243"/>
      <c r="BT917" s="243"/>
      <c r="BU917" s="243"/>
      <c r="BV917" s="243"/>
      <c r="BW917" s="243"/>
      <c r="BX917" s="243"/>
      <c r="BY917" s="243"/>
      <c r="BZ917" s="243"/>
      <c r="CA917" s="243"/>
      <c r="CB917" s="243"/>
      <c r="CC917" s="243"/>
      <c r="CD917" s="243"/>
      <c r="CE917" s="243"/>
      <c r="CF917" s="243"/>
      <c r="CG917" s="243"/>
      <c r="CH917" s="243"/>
      <c r="CI917" s="243"/>
      <c r="CJ917" s="243"/>
      <c r="CK917" s="243"/>
      <c r="CL917" s="243"/>
      <c r="CM917" s="243"/>
      <c r="CN917" s="243"/>
    </row>
    <row r="918" spans="1:92">
      <c r="A918" s="349">
        <v>99991</v>
      </c>
      <c r="B918" s="342" t="s">
        <v>3710</v>
      </c>
      <c r="C918" s="234" t="e">
        <f>VLOOKUP(A918,#REF!,10,FALSE)</f>
        <v>#REF!</v>
      </c>
      <c r="E918" s="2">
        <v>238917</v>
      </c>
      <c r="F918" s="2">
        <v>64313</v>
      </c>
      <c r="G918" s="2">
        <v>129284</v>
      </c>
      <c r="H918" s="2">
        <v>34714</v>
      </c>
      <c r="I918" s="2">
        <v>0</v>
      </c>
      <c r="J918" s="2"/>
      <c r="K918" s="2">
        <v>76207</v>
      </c>
      <c r="L918" s="2">
        <v>71686</v>
      </c>
      <c r="M918" s="2">
        <v>64251</v>
      </c>
      <c r="N918" s="2">
        <v>25725</v>
      </c>
      <c r="O918" s="2">
        <v>0</v>
      </c>
      <c r="P918" s="2"/>
      <c r="Q918" s="2">
        <v>80904</v>
      </c>
      <c r="R918" s="2">
        <v>-69593</v>
      </c>
      <c r="S918" s="2">
        <v>9808</v>
      </c>
      <c r="T918" s="2">
        <v>12765</v>
      </c>
      <c r="U918" s="2">
        <v>0</v>
      </c>
      <c r="V918" s="2"/>
      <c r="W918" s="2">
        <v>91140</v>
      </c>
      <c r="X918" s="2">
        <v>74665</v>
      </c>
      <c r="Y918" s="2">
        <v>60615</v>
      </c>
      <c r="Z918" s="2">
        <v>0</v>
      </c>
      <c r="AA918" s="2">
        <v>0</v>
      </c>
      <c r="AB918" s="2"/>
      <c r="AC918" s="2">
        <v>3109</v>
      </c>
      <c r="AD918" s="2">
        <v>0</v>
      </c>
      <c r="AE918" s="2">
        <v>0</v>
      </c>
      <c r="AF918" s="2">
        <v>0</v>
      </c>
      <c r="AG918" s="2">
        <v>0</v>
      </c>
      <c r="AH918" s="2"/>
      <c r="AI918" s="2">
        <v>-12443</v>
      </c>
      <c r="AJ918" s="2">
        <v>-12445</v>
      </c>
      <c r="AK918" s="2">
        <v>-5390</v>
      </c>
      <c r="AL918" s="2">
        <v>-3776</v>
      </c>
      <c r="AM918" s="2">
        <v>-12445</v>
      </c>
      <c r="AN918" s="243"/>
      <c r="AO918" s="243"/>
      <c r="AP918" s="243"/>
      <c r="AQ918" s="243"/>
      <c r="AR918" s="243"/>
      <c r="AS918" s="243"/>
      <c r="AT918" s="243"/>
      <c r="AU918" s="243"/>
      <c r="AV918" s="243"/>
      <c r="AW918" s="243"/>
      <c r="AX918" s="243"/>
      <c r="AY918" s="243"/>
      <c r="AZ918" s="243"/>
      <c r="BA918" s="243"/>
      <c r="BB918" s="243"/>
      <c r="BC918" s="243"/>
      <c r="BD918" s="243"/>
      <c r="BE918" s="243"/>
      <c r="BF918" s="243"/>
      <c r="BG918" s="243"/>
      <c r="BH918" s="243"/>
      <c r="BI918" s="243"/>
      <c r="BJ918" s="243"/>
      <c r="BK918" s="243"/>
      <c r="BL918" s="243"/>
      <c r="BM918" s="243"/>
      <c r="BN918" s="243"/>
      <c r="BO918" s="243"/>
      <c r="BP918" s="243"/>
      <c r="BQ918" s="243"/>
      <c r="BR918" s="243"/>
      <c r="BS918" s="243"/>
      <c r="BT918" s="243"/>
      <c r="BU918" s="243"/>
      <c r="BV918" s="243"/>
      <c r="BW918" s="243"/>
      <c r="BX918" s="243"/>
      <c r="BY918" s="243"/>
      <c r="BZ918" s="243"/>
      <c r="CA918" s="243"/>
      <c r="CB918" s="243"/>
      <c r="CC918" s="243"/>
      <c r="CD918" s="243"/>
      <c r="CE918" s="243"/>
      <c r="CF918" s="243"/>
      <c r="CG918" s="243"/>
      <c r="CH918" s="243"/>
      <c r="CI918" s="243"/>
      <c r="CJ918" s="243"/>
      <c r="CK918" s="243"/>
      <c r="CL918" s="243"/>
      <c r="CM918" s="243"/>
      <c r="CN918" s="243"/>
    </row>
    <row r="919" spans="1:92">
      <c r="A919" s="349">
        <v>99999</v>
      </c>
      <c r="B919" s="342" t="s">
        <v>3711</v>
      </c>
      <c r="C919" s="234" t="e">
        <f>VLOOKUP(A919,#REF!,10,FALSE)</f>
        <v>#REF!</v>
      </c>
      <c r="E919" s="2">
        <v>560734</v>
      </c>
      <c r="F919" s="2">
        <v>206945</v>
      </c>
      <c r="G919" s="2">
        <v>322994</v>
      </c>
      <c r="H919" s="2">
        <v>108341</v>
      </c>
      <c r="I919" s="2">
        <v>0</v>
      </c>
      <c r="J919" s="2"/>
      <c r="K919" s="2">
        <v>151200</v>
      </c>
      <c r="L919" s="2">
        <v>142231</v>
      </c>
      <c r="M919" s="2">
        <v>127480</v>
      </c>
      <c r="N919" s="2">
        <v>51041</v>
      </c>
      <c r="O919" s="2">
        <v>0</v>
      </c>
      <c r="P919" s="2"/>
      <c r="Q919" s="2">
        <v>160520</v>
      </c>
      <c r="R919" s="2">
        <v>-138077</v>
      </c>
      <c r="S919" s="2">
        <v>19460</v>
      </c>
      <c r="T919" s="2">
        <v>25327</v>
      </c>
      <c r="U919" s="2">
        <v>0</v>
      </c>
      <c r="V919" s="2"/>
      <c r="W919" s="2">
        <v>180828</v>
      </c>
      <c r="X919" s="2">
        <v>148141</v>
      </c>
      <c r="Y919" s="2">
        <v>120265</v>
      </c>
      <c r="Z919" s="2">
        <v>0</v>
      </c>
      <c r="AA919" s="2">
        <v>0</v>
      </c>
      <c r="AB919" s="2"/>
      <c r="AC919" s="2">
        <v>69328</v>
      </c>
      <c r="AD919" s="2">
        <v>55791</v>
      </c>
      <c r="AE919" s="2">
        <v>55789</v>
      </c>
      <c r="AF919" s="2">
        <v>31973</v>
      </c>
      <c r="AG919" s="2">
        <v>0</v>
      </c>
      <c r="AH919" s="2"/>
      <c r="AI919" s="2">
        <v>-1142</v>
      </c>
      <c r="AJ919" s="2">
        <v>-1141</v>
      </c>
      <c r="AK919" s="2">
        <v>0</v>
      </c>
      <c r="AL919" s="2">
        <v>0</v>
      </c>
      <c r="AM919" s="2">
        <v>-1141</v>
      </c>
      <c r="AN919" s="243"/>
      <c r="AO919" s="243"/>
      <c r="AP919" s="243"/>
      <c r="AQ919" s="243"/>
      <c r="AR919" s="243"/>
      <c r="AS919" s="243"/>
      <c r="AT919" s="243"/>
      <c r="AU919" s="243"/>
      <c r="AV919" s="243"/>
      <c r="AW919" s="243"/>
      <c r="AX919" s="243"/>
      <c r="AY919" s="243"/>
      <c r="AZ919" s="243"/>
      <c r="BA919" s="243"/>
      <c r="BB919" s="243"/>
      <c r="BC919" s="243"/>
      <c r="BD919" s="243"/>
      <c r="BE919" s="243"/>
      <c r="BF919" s="243"/>
      <c r="BG919" s="243"/>
      <c r="BH919" s="243"/>
      <c r="BI919" s="243"/>
      <c r="BJ919" s="243"/>
      <c r="BK919" s="243"/>
      <c r="BL919" s="243"/>
      <c r="BM919" s="243"/>
      <c r="BN919" s="243"/>
      <c r="BO919" s="243"/>
      <c r="BP919" s="243"/>
      <c r="BQ919" s="243"/>
      <c r="BR919" s="243"/>
      <c r="BS919" s="243"/>
      <c r="BT919" s="243"/>
      <c r="BU919" s="243"/>
      <c r="BV919" s="243"/>
      <c r="BW919" s="243"/>
      <c r="BX919" s="243"/>
      <c r="BY919" s="243"/>
      <c r="BZ919" s="243"/>
      <c r="CA919" s="243"/>
      <c r="CB919" s="243"/>
      <c r="CC919" s="243"/>
      <c r="CD919" s="243"/>
      <c r="CE919" s="243"/>
      <c r="CF919" s="243"/>
      <c r="CG919" s="243"/>
      <c r="CH919" s="243"/>
      <c r="CI919" s="243"/>
      <c r="CJ919" s="243"/>
      <c r="CK919" s="243"/>
      <c r="CL919" s="243"/>
      <c r="CM919" s="243"/>
      <c r="CN919" s="243"/>
    </row>
    <row r="920" spans="1:92">
      <c r="A920" s="7" t="s">
        <v>691</v>
      </c>
      <c r="B920" s="60" t="s">
        <v>690</v>
      </c>
      <c r="C920" s="234">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c r="AB920" s="2"/>
      <c r="AC920" s="2">
        <v>0</v>
      </c>
      <c r="AD920" s="2">
        <v>0</v>
      </c>
      <c r="AE920" s="2">
        <v>0</v>
      </c>
      <c r="AF920" s="2">
        <v>0</v>
      </c>
      <c r="AG920" s="2">
        <v>0</v>
      </c>
      <c r="AH920" s="2">
        <v>0</v>
      </c>
      <c r="AI920" s="2">
        <v>0</v>
      </c>
      <c r="AJ920" s="2">
        <v>0</v>
      </c>
      <c r="AK920" s="2">
        <v>0</v>
      </c>
      <c r="AL920" s="2">
        <v>0</v>
      </c>
      <c r="AM920" s="2">
        <v>0</v>
      </c>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43"/>
      <c r="BN920" s="243"/>
      <c r="BO920" s="243"/>
      <c r="BP920" s="243"/>
      <c r="BQ920" s="243"/>
      <c r="BR920" s="243"/>
      <c r="BS920" s="243"/>
      <c r="BT920" s="243"/>
      <c r="BU920" s="243"/>
      <c r="BV920" s="243"/>
      <c r="BW920" s="243"/>
      <c r="BX920" s="243"/>
      <c r="BY920" s="243"/>
      <c r="BZ920" s="243"/>
      <c r="CA920" s="243"/>
      <c r="CB920" s="243"/>
      <c r="CC920" s="243"/>
      <c r="CD920" s="243"/>
      <c r="CE920" s="243"/>
      <c r="CF920" s="243"/>
      <c r="CG920" s="243"/>
      <c r="CH920" s="243"/>
      <c r="CI920" s="243"/>
      <c r="CJ920" s="243"/>
      <c r="CK920" s="243"/>
      <c r="CL920" s="243"/>
      <c r="CM920" s="243"/>
      <c r="CN920" s="243"/>
    </row>
    <row r="921" spans="1:92">
      <c r="A921"/>
      <c r="B921"/>
      <c r="C921"/>
      <c r="W921" s="243"/>
      <c r="X921" s="243"/>
      <c r="Y921" s="243"/>
      <c r="Z921" s="243"/>
      <c r="AA921" s="243"/>
      <c r="AB921" s="243"/>
      <c r="AC921" s="243"/>
      <c r="AD921" s="243"/>
      <c r="AE921" s="243"/>
      <c r="AF921" s="243"/>
      <c r="AG921" s="243"/>
      <c r="AH921" s="243"/>
      <c r="AI921" s="243"/>
      <c r="AJ921" s="243"/>
      <c r="AK921" s="243"/>
      <c r="AL921" s="243"/>
      <c r="AM921" s="243"/>
      <c r="AN921" s="243"/>
      <c r="AO921" s="243"/>
      <c r="AP921" s="243"/>
      <c r="AQ921" s="243"/>
      <c r="AR921" s="243"/>
      <c r="AS921" s="243"/>
      <c r="AT921" s="243"/>
      <c r="AU921" s="243"/>
      <c r="AV921" s="243"/>
      <c r="AW921" s="243"/>
      <c r="AX921" s="243"/>
      <c r="AY921" s="243"/>
      <c r="AZ921" s="243"/>
      <c r="BA921" s="243"/>
      <c r="BB921" s="243"/>
      <c r="BC921" s="243"/>
      <c r="BD921" s="243"/>
      <c r="BE921" s="243"/>
      <c r="BF921" s="243"/>
      <c r="BG921" s="243"/>
      <c r="BH921" s="243"/>
      <c r="BI921" s="243"/>
      <c r="BJ921" s="243"/>
      <c r="BK921" s="243"/>
      <c r="BL921" s="243"/>
      <c r="BM921" s="243"/>
      <c r="BN921" s="243"/>
      <c r="BO921" s="243"/>
      <c r="BP921" s="243"/>
      <c r="BQ921" s="243"/>
      <c r="BR921" s="243"/>
      <c r="BS921" s="243"/>
      <c r="BT921" s="243"/>
      <c r="BU921" s="243"/>
      <c r="BV921" s="243"/>
      <c r="BW921" s="243"/>
      <c r="BX921" s="243"/>
      <c r="BY921" s="243"/>
      <c r="BZ921" s="243"/>
      <c r="CA921" s="243"/>
      <c r="CB921" s="243"/>
      <c r="CC921" s="243"/>
      <c r="CD921" s="243"/>
      <c r="CE921" s="243"/>
      <c r="CF921" s="243"/>
      <c r="CG921" s="243"/>
      <c r="CH921" s="243"/>
      <c r="CI921" s="243"/>
      <c r="CJ921" s="243"/>
      <c r="CK921" s="243"/>
      <c r="CL921" s="243"/>
      <c r="CM921" s="243"/>
      <c r="CN921" s="243"/>
    </row>
  </sheetData>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03"/>
  <sheetViews>
    <sheetView zoomScaleNormal="100" workbookViewId="0"/>
  </sheetViews>
  <sheetFormatPr defaultRowHeight="15"/>
  <cols>
    <col min="1" max="1" width="15.28515625" customWidth="1"/>
    <col min="2" max="2" width="59.28515625" customWidth="1"/>
    <col min="3" max="3" width="18.7109375" customWidth="1"/>
    <col min="4" max="4" width="22.85546875" bestFit="1" customWidth="1"/>
    <col min="5" max="5" width="26.7109375" customWidth="1"/>
    <col min="6" max="6" width="28.42578125" customWidth="1"/>
    <col min="7" max="7" width="26.5703125" bestFit="1" customWidth="1"/>
    <col min="8" max="8" width="17.85546875" bestFit="1" customWidth="1"/>
    <col min="9" max="9" width="11.28515625" bestFit="1" customWidth="1"/>
    <col min="10" max="10" width="17.85546875" bestFit="1"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1" spans="1:22">
      <c r="A1" s="209"/>
      <c r="B1" s="209"/>
      <c r="C1" s="209"/>
      <c r="D1" s="209"/>
      <c r="E1" s="209"/>
      <c r="F1" s="209"/>
      <c r="G1" s="209"/>
      <c r="H1" s="209"/>
      <c r="I1" s="209"/>
      <c r="J1" s="209"/>
      <c r="K1" s="209"/>
      <c r="L1" s="209"/>
      <c r="M1" s="209"/>
      <c r="N1" s="209"/>
      <c r="O1" s="209"/>
      <c r="P1" s="209"/>
      <c r="Q1" s="209"/>
      <c r="R1" s="209"/>
      <c r="S1" s="209"/>
      <c r="T1" s="209"/>
      <c r="U1" s="209"/>
      <c r="V1" s="209"/>
    </row>
    <row r="2" spans="1:22">
      <c r="A2" s="209"/>
      <c r="B2" s="5" t="s">
        <v>686</v>
      </c>
      <c r="C2" s="61" t="str">
        <f>Info!C23</f>
        <v>N/A</v>
      </c>
      <c r="D2" s="61"/>
      <c r="E2" s="209"/>
      <c r="F2" s="209"/>
      <c r="G2" s="209"/>
      <c r="H2" s="209"/>
      <c r="I2" s="209"/>
      <c r="J2" s="209"/>
      <c r="K2" s="209"/>
      <c r="L2" s="209"/>
      <c r="M2" s="209"/>
      <c r="N2" s="209"/>
      <c r="O2" s="209"/>
      <c r="P2" s="209"/>
      <c r="Q2" s="209"/>
      <c r="R2" s="209"/>
      <c r="S2" s="209"/>
      <c r="T2" s="209"/>
      <c r="U2" s="209"/>
      <c r="V2" s="209"/>
    </row>
    <row r="3" spans="1:22">
      <c r="A3" s="209"/>
      <c r="B3" s="5" t="s">
        <v>687</v>
      </c>
      <c r="C3" s="61" t="str">
        <f>Info!C24</f>
        <v>N/A</v>
      </c>
      <c r="D3" s="5"/>
      <c r="E3" s="209"/>
      <c r="F3" s="209"/>
      <c r="G3" s="209"/>
      <c r="H3" s="209"/>
      <c r="I3" s="209"/>
      <c r="J3" s="209"/>
      <c r="K3" s="209"/>
      <c r="L3" s="209"/>
      <c r="M3" s="209"/>
      <c r="N3" s="209"/>
      <c r="O3" s="209"/>
      <c r="P3" s="209"/>
      <c r="Q3" s="209"/>
      <c r="R3" s="209"/>
      <c r="S3" s="209"/>
      <c r="T3" s="209"/>
      <c r="U3" s="209"/>
      <c r="V3" s="209"/>
    </row>
    <row r="4" spans="1:22">
      <c r="A4" s="209"/>
      <c r="B4" s="209"/>
      <c r="C4" s="209"/>
      <c r="D4" s="209"/>
      <c r="E4" s="209"/>
      <c r="F4" s="209"/>
      <c r="G4" s="209"/>
      <c r="H4" s="209"/>
      <c r="I4" s="209"/>
      <c r="J4" s="209"/>
      <c r="K4" s="209"/>
      <c r="L4" s="209"/>
      <c r="M4" s="209"/>
      <c r="N4" s="209"/>
      <c r="O4" s="209"/>
      <c r="P4" s="209"/>
      <c r="Q4" s="209"/>
      <c r="R4" s="209"/>
      <c r="S4" s="5"/>
      <c r="T4" s="380"/>
      <c r="U4" s="380"/>
      <c r="V4" s="380"/>
    </row>
    <row r="5" spans="1:22">
      <c r="A5" s="381" t="s">
        <v>261</v>
      </c>
      <c r="B5" s="209" t="s">
        <v>3767</v>
      </c>
      <c r="C5" s="209"/>
      <c r="D5" s="209"/>
      <c r="E5" s="209"/>
      <c r="F5" s="209"/>
      <c r="G5" s="209"/>
      <c r="H5" s="209"/>
      <c r="I5" s="209"/>
      <c r="J5" s="209"/>
      <c r="K5" s="209"/>
      <c r="L5" s="209"/>
      <c r="M5" s="209"/>
      <c r="N5" s="209"/>
      <c r="O5" s="6"/>
      <c r="P5" s="209"/>
      <c r="Q5" s="209"/>
      <c r="R5" s="209"/>
      <c r="S5" s="209"/>
      <c r="T5" s="380"/>
      <c r="U5" s="380"/>
      <c r="V5" s="380"/>
    </row>
    <row r="6" spans="1:22">
      <c r="A6" s="381" t="s">
        <v>261</v>
      </c>
      <c r="B6" s="209" t="s">
        <v>3795</v>
      </c>
      <c r="C6" s="209"/>
      <c r="D6" s="209"/>
      <c r="E6" s="209"/>
      <c r="F6" s="209"/>
      <c r="G6" s="209"/>
      <c r="H6" s="209"/>
      <c r="I6" s="209"/>
      <c r="J6" s="209"/>
      <c r="K6" s="209"/>
      <c r="L6" s="209"/>
      <c r="M6" s="53"/>
      <c r="N6" s="209"/>
      <c r="O6" s="209"/>
      <c r="P6" s="209"/>
      <c r="Q6" s="209"/>
      <c r="R6" s="209"/>
      <c r="S6" s="209"/>
      <c r="T6" s="380"/>
      <c r="U6" s="380"/>
      <c r="V6" s="380"/>
    </row>
    <row r="7" spans="1:22">
      <c r="A7" s="209"/>
      <c r="B7" s="209"/>
      <c r="C7" s="209"/>
      <c r="D7" s="209"/>
      <c r="E7" s="209"/>
      <c r="F7" s="209"/>
      <c r="G7" s="209"/>
      <c r="H7" s="209"/>
      <c r="I7" s="209"/>
      <c r="J7" s="209"/>
      <c r="K7" s="209"/>
      <c r="L7" s="209"/>
      <c r="M7" s="209"/>
      <c r="N7" s="209"/>
      <c r="O7" s="209"/>
      <c r="P7" s="209"/>
      <c r="Q7" s="209"/>
      <c r="R7" s="209"/>
      <c r="S7" s="209"/>
      <c r="T7" s="209"/>
      <c r="U7" s="209"/>
      <c r="V7" s="209"/>
    </row>
    <row r="8" spans="1:22" ht="15" hidden="1" customHeight="1">
      <c r="A8" s="209"/>
      <c r="B8" s="209">
        <v>2</v>
      </c>
      <c r="C8" s="209">
        <v>3</v>
      </c>
      <c r="D8" s="209">
        <v>4</v>
      </c>
      <c r="E8" s="209"/>
      <c r="F8" s="209">
        <v>5</v>
      </c>
      <c r="G8" s="209">
        <v>6</v>
      </c>
      <c r="H8" s="209">
        <v>7</v>
      </c>
      <c r="I8" s="209">
        <v>8</v>
      </c>
      <c r="J8" s="209">
        <v>9</v>
      </c>
      <c r="K8" s="209">
        <v>10</v>
      </c>
      <c r="L8" s="209">
        <v>11</v>
      </c>
      <c r="M8" s="209">
        <v>12</v>
      </c>
      <c r="N8" s="209">
        <v>13</v>
      </c>
      <c r="O8" s="209">
        <v>14</v>
      </c>
      <c r="P8" s="209">
        <v>15</v>
      </c>
      <c r="Q8" s="209">
        <v>16</v>
      </c>
      <c r="R8" s="209">
        <v>17</v>
      </c>
      <c r="S8" s="209">
        <v>19</v>
      </c>
      <c r="T8" s="209">
        <v>20</v>
      </c>
      <c r="U8" s="209">
        <v>21</v>
      </c>
      <c r="V8" s="209">
        <v>22</v>
      </c>
    </row>
    <row r="9" spans="1:22">
      <c r="A9" s="209"/>
      <c r="B9" s="209"/>
      <c r="C9" s="209"/>
      <c r="D9" s="209"/>
      <c r="E9" s="209"/>
      <c r="F9" s="24"/>
      <c r="G9" s="24"/>
      <c r="H9" s="209"/>
      <c r="I9" s="209"/>
      <c r="J9" s="256" t="s">
        <v>2</v>
      </c>
      <c r="K9" s="256"/>
      <c r="L9" s="256"/>
      <c r="M9" s="256"/>
      <c r="N9" s="209"/>
      <c r="O9" s="256" t="s">
        <v>3</v>
      </c>
      <c r="P9" s="256"/>
      <c r="Q9" s="256"/>
      <c r="R9" s="256"/>
      <c r="S9" s="209"/>
      <c r="T9" s="256" t="s">
        <v>4</v>
      </c>
      <c r="U9" s="256"/>
      <c r="V9" s="256"/>
    </row>
    <row r="10" spans="1:22" ht="120">
      <c r="A10" s="7" t="s">
        <v>0</v>
      </c>
      <c r="B10" s="7" t="s">
        <v>1</v>
      </c>
      <c r="C10" s="7" t="s">
        <v>262</v>
      </c>
      <c r="D10" s="7" t="s">
        <v>263</v>
      </c>
      <c r="E10" s="7" t="s">
        <v>264</v>
      </c>
      <c r="F10" s="7" t="s">
        <v>265</v>
      </c>
      <c r="G10" s="7" t="s">
        <v>266</v>
      </c>
      <c r="H10" s="7" t="s">
        <v>267</v>
      </c>
      <c r="I10" s="7"/>
      <c r="J10" s="7" t="s">
        <v>5</v>
      </c>
      <c r="K10" s="7" t="s">
        <v>6</v>
      </c>
      <c r="L10" s="7" t="s">
        <v>7</v>
      </c>
      <c r="M10" s="7" t="s">
        <v>8</v>
      </c>
      <c r="N10" s="7"/>
      <c r="O10" s="7" t="s">
        <v>5</v>
      </c>
      <c r="P10" s="7" t="s">
        <v>6</v>
      </c>
      <c r="Q10" s="7" t="s">
        <v>7</v>
      </c>
      <c r="R10" s="7" t="s">
        <v>8</v>
      </c>
      <c r="S10" s="7"/>
      <c r="T10" s="7" t="s">
        <v>9</v>
      </c>
      <c r="U10" s="7" t="s">
        <v>10</v>
      </c>
      <c r="V10" s="7" t="s">
        <v>11</v>
      </c>
    </row>
    <row r="11" spans="1:22" s="4" customFormat="1">
      <c r="A11" s="7"/>
      <c r="B11" s="7"/>
      <c r="C11" s="7"/>
      <c r="D11" s="7"/>
      <c r="E11" s="7"/>
      <c r="F11" s="7"/>
      <c r="G11" s="7"/>
      <c r="H11" s="7"/>
      <c r="I11" s="7"/>
      <c r="J11" s="7"/>
      <c r="K11" s="7"/>
      <c r="L11" s="7"/>
      <c r="M11" s="7"/>
      <c r="N11" s="7"/>
      <c r="O11" s="7"/>
      <c r="P11" s="7"/>
      <c r="Q11" s="7"/>
      <c r="R11" s="7"/>
      <c r="S11" s="7"/>
      <c r="T11" s="7"/>
      <c r="U11" s="7"/>
      <c r="V11" s="7"/>
    </row>
    <row r="12" spans="1:22" s="4" customFormat="1">
      <c r="A12" s="7" t="s">
        <v>268</v>
      </c>
      <c r="B12" s="7"/>
      <c r="C12" s="7"/>
      <c r="D12" s="7"/>
      <c r="E12" s="7"/>
      <c r="F12" s="7"/>
      <c r="G12" s="7"/>
      <c r="H12" s="7"/>
      <c r="I12" s="7"/>
      <c r="J12" s="7"/>
      <c r="K12" s="7"/>
      <c r="L12" s="7"/>
      <c r="M12" s="7"/>
      <c r="N12" s="7"/>
      <c r="O12" s="7"/>
      <c r="P12" s="7"/>
      <c r="Q12" s="7"/>
      <c r="R12" s="7"/>
      <c r="S12" s="7"/>
      <c r="T12" s="7"/>
      <c r="U12" s="7"/>
      <c r="V12" s="7"/>
    </row>
    <row r="13" spans="1:22" s="4" customFormat="1">
      <c r="A13" s="5" t="str">
        <f>Info!C23</f>
        <v>N/A</v>
      </c>
      <c r="B13" s="209" t="str">
        <f>VLOOKUP($A13,'2024 summary '!$A:$X,2,FALSE)</f>
        <v>No additional agency chosen</v>
      </c>
      <c r="C13" s="52" t="e">
        <f>VLOOKUP($A13,'2025 summary '!A9:D908,3,FALSE)</f>
        <v>#N/A</v>
      </c>
      <c r="D13" s="52">
        <f>VLOOKUP(A13,'2025 summary '!A:D,4,FALSE)</f>
        <v>0</v>
      </c>
      <c r="E13" s="52" t="e">
        <f>C13-D13</f>
        <v>#N/A</v>
      </c>
      <c r="F13" s="6">
        <f>VLOOKUP(A13,'LGERS Contributions FY 2024'!A:C,3,FALSE)</f>
        <v>0</v>
      </c>
      <c r="G13" s="6">
        <f>VLOOKUP($A$13,'2024 summary '!A:E,5,FALSE)</f>
        <v>0</v>
      </c>
      <c r="H13" s="6">
        <f>VLOOKUP(A13,'2025 summary '!A:E,5,FALSE)</f>
        <v>0</v>
      </c>
      <c r="I13" s="53"/>
      <c r="J13" s="6">
        <f>VLOOKUP(A13,'2025 summary '!A:G,7,FALSE)</f>
        <v>0</v>
      </c>
      <c r="K13" s="6">
        <f>VLOOKUP(A13,'2025 summary '!A:H,8,FALSE)</f>
        <v>0</v>
      </c>
      <c r="L13" s="6">
        <f>VLOOKUP(A13,'2025 summary '!A:I,9,FALSE)</f>
        <v>0</v>
      </c>
      <c r="M13" s="6">
        <f>VLOOKUP(A13,'2025 summary '!A:J,10,FALSE)</f>
        <v>0</v>
      </c>
      <c r="N13" s="209"/>
      <c r="O13" s="6">
        <f>VLOOKUP(A13,'2025 summary '!A:M,13,FALSE)</f>
        <v>0</v>
      </c>
      <c r="P13" s="6">
        <f>VLOOKUP(A13,'2025 summary '!A:N,14,FALSE)</f>
        <v>0</v>
      </c>
      <c r="Q13" s="6">
        <f>VLOOKUP(A13,'2025 summary '!A:O,15,FALSE)</f>
        <v>0</v>
      </c>
      <c r="R13" s="6">
        <f>VLOOKUP(A13,'2025 summary '!A:P,16,FALSE)</f>
        <v>0</v>
      </c>
      <c r="S13" s="209"/>
      <c r="T13" s="6">
        <f>VLOOKUP(A13,'2025 summary '!A:S,19,FALSE)</f>
        <v>0</v>
      </c>
      <c r="U13" s="6">
        <f>VLOOKUP(A13,'2025 summary '!A:T,20,FALSE)</f>
        <v>0</v>
      </c>
      <c r="V13" s="6">
        <f>VLOOKUP(A13,'2025 summary '!A:U,21,FALSE)</f>
        <v>0</v>
      </c>
    </row>
    <row r="14" spans="1:22" s="4" customFormat="1">
      <c r="A14" s="7"/>
      <c r="B14" s="7"/>
      <c r="C14" s="7"/>
      <c r="D14" s="7"/>
      <c r="E14" s="7"/>
      <c r="F14" s="7"/>
      <c r="G14" s="7"/>
      <c r="H14" s="7"/>
      <c r="I14" s="7"/>
      <c r="J14" s="7"/>
      <c r="K14" s="7"/>
      <c r="L14" s="7"/>
      <c r="M14" s="7"/>
      <c r="N14" s="7"/>
      <c r="O14" s="7"/>
      <c r="P14" s="7"/>
      <c r="Q14" s="7"/>
      <c r="R14" s="7"/>
      <c r="S14" s="7"/>
      <c r="T14" s="7"/>
      <c r="U14" s="7"/>
      <c r="V14" s="7"/>
    </row>
    <row r="15" spans="1:22" s="4" customFormat="1">
      <c r="A15" s="5" t="str">
        <f>C3</f>
        <v>N/A</v>
      </c>
      <c r="B15" s="209" t="str">
        <f>VLOOKUP($A15,'2024 summary '!$A:$T,'JE Template'!$B$8,FALSE)</f>
        <v>No additional agency chosen</v>
      </c>
      <c r="C15" s="52">
        <f>VLOOKUP($A15,'2025 summary '!A:C,3,FALSE)</f>
        <v>0</v>
      </c>
      <c r="D15" s="52">
        <f>VLOOKUP($A15,'2025 summary '!A:D,4,FALSE)</f>
        <v>0</v>
      </c>
      <c r="E15" s="52">
        <f>C15-D15</f>
        <v>0</v>
      </c>
      <c r="F15" s="6">
        <f>VLOOKUP(A15,'LGERS Contributions FY 2024'!A:C,3,FALSE)</f>
        <v>0</v>
      </c>
      <c r="G15" s="6">
        <f>VLOOKUP($A15,'2024 summary '!A:E,5,FALSE)</f>
        <v>0</v>
      </c>
      <c r="H15" s="6">
        <f>VLOOKUP($A15,'2025 summary '!A:E,5,FALSE)</f>
        <v>0</v>
      </c>
      <c r="I15" s="6"/>
      <c r="J15" s="6">
        <f>VLOOKUP($A15,'2025 summary '!A:G,7,FALSE)</f>
        <v>0</v>
      </c>
      <c r="K15" s="6">
        <f>VLOOKUP($A15,'2025 summary '!A:H,8,FALSE)</f>
        <v>0</v>
      </c>
      <c r="L15" s="6">
        <f>VLOOKUP($A15,'2025 summary '!A:I,9,FALSE)</f>
        <v>0</v>
      </c>
      <c r="M15" s="6">
        <f>VLOOKUP($A15,'2025 summary '!A:J,10,FALSE)</f>
        <v>0</v>
      </c>
      <c r="N15" s="209"/>
      <c r="O15" s="6">
        <f>VLOOKUP($A15,'2025 summary '!A:O,13,FALSE)</f>
        <v>0</v>
      </c>
      <c r="P15" s="6">
        <f>VLOOKUP(A15,'2025 summary '!A:N,14,FALSE)</f>
        <v>0</v>
      </c>
      <c r="Q15" s="6">
        <f>VLOOKUP($A15,'2025 summary '!A:O,15,FALSE)</f>
        <v>0</v>
      </c>
      <c r="R15" s="6">
        <f>VLOOKUP($A15,'2025 summary '!A:P,16,FALSE)</f>
        <v>0</v>
      </c>
      <c r="S15" s="209"/>
      <c r="T15" s="6">
        <f>VLOOKUP($A15,'2025 summary '!A:S,19,FALSE)</f>
        <v>0</v>
      </c>
      <c r="U15" s="6">
        <f>VLOOKUP($A15,'2025 summary '!A:T,20,FALSE)</f>
        <v>0</v>
      </c>
      <c r="V15" s="6">
        <f>VLOOKUP($A15,'2025 summary '!A:U,21,FALSE)</f>
        <v>0</v>
      </c>
    </row>
    <row r="16" spans="1:22" s="4" customFormat="1">
      <c r="A16" s="7"/>
      <c r="B16" s="7"/>
      <c r="C16" s="7"/>
      <c r="D16" s="7"/>
      <c r="E16" s="7"/>
      <c r="F16" s="7"/>
      <c r="G16" s="7"/>
      <c r="H16" s="7"/>
      <c r="I16" s="7"/>
      <c r="J16" s="7"/>
      <c r="K16" s="7"/>
      <c r="L16" s="7"/>
      <c r="M16" s="7"/>
      <c r="N16" s="7"/>
      <c r="O16" s="7"/>
      <c r="P16" s="7"/>
      <c r="Q16" s="7"/>
      <c r="R16" s="7"/>
      <c r="S16" s="7"/>
      <c r="T16" s="7"/>
      <c r="U16" s="7"/>
      <c r="V16" s="7"/>
    </row>
    <row r="17" spans="1:23" s="4" customFormat="1">
      <c r="A17" s="209"/>
      <c r="B17" s="209" t="s">
        <v>689</v>
      </c>
      <c r="C17" s="52" t="e">
        <f>C13+C15</f>
        <v>#N/A</v>
      </c>
      <c r="D17" s="52">
        <f t="shared" ref="D17:H17" si="0">D13+D15</f>
        <v>0</v>
      </c>
      <c r="E17" s="52" t="e">
        <f t="shared" si="0"/>
        <v>#N/A</v>
      </c>
      <c r="F17" s="6">
        <f t="shared" si="0"/>
        <v>0</v>
      </c>
      <c r="G17" s="6">
        <f t="shared" si="0"/>
        <v>0</v>
      </c>
      <c r="H17" s="6">
        <f t="shared" si="0"/>
        <v>0</v>
      </c>
      <c r="I17" s="6"/>
      <c r="J17" s="6">
        <f>J13+J15</f>
        <v>0</v>
      </c>
      <c r="K17" s="6">
        <f>K13+K15</f>
        <v>0</v>
      </c>
      <c r="L17" s="6">
        <f>L13+L15</f>
        <v>0</v>
      </c>
      <c r="M17" s="6">
        <f>M13+M15</f>
        <v>0</v>
      </c>
      <c r="N17" s="6"/>
      <c r="O17" s="6">
        <f>O13+O15</f>
        <v>0</v>
      </c>
      <c r="P17" s="6">
        <f>P13+P15</f>
        <v>0</v>
      </c>
      <c r="Q17" s="6">
        <f>Q13+Q15</f>
        <v>0</v>
      </c>
      <c r="R17" s="6">
        <f>R13+R15</f>
        <v>0</v>
      </c>
      <c r="S17" s="6"/>
      <c r="T17" s="6">
        <f>T13+T15</f>
        <v>0</v>
      </c>
      <c r="U17" s="6">
        <f>U13+U15</f>
        <v>0</v>
      </c>
      <c r="V17" s="6">
        <f>V13+V15</f>
        <v>0</v>
      </c>
      <c r="W17" s="6"/>
    </row>
    <row r="18" spans="1:23" s="4" customFormat="1">
      <c r="A18" s="209"/>
      <c r="B18" s="209"/>
      <c r="C18" s="209"/>
      <c r="D18" s="209"/>
      <c r="E18" s="209"/>
      <c r="F18" s="209"/>
      <c r="G18" s="209"/>
      <c r="H18" s="209"/>
      <c r="I18" s="209"/>
      <c r="J18" s="209"/>
      <c r="K18" s="209"/>
      <c r="L18" s="209"/>
      <c r="M18" s="209"/>
      <c r="N18" s="209"/>
      <c r="O18" s="209"/>
      <c r="P18" s="209"/>
      <c r="Q18" s="209"/>
      <c r="R18" s="209"/>
      <c r="S18" s="209"/>
      <c r="T18" s="209"/>
      <c r="U18" s="209"/>
      <c r="V18" s="209"/>
    </row>
    <row r="19" spans="1:23" s="4" customFormat="1">
      <c r="A19" s="5"/>
      <c r="B19" s="209" t="s">
        <v>3793</v>
      </c>
      <c r="C19" s="209"/>
      <c r="D19" s="209"/>
      <c r="E19" s="209"/>
      <c r="F19" s="6">
        <f>'LGERS Contributions FY 2024'!C904</f>
        <v>1212730413.7200007</v>
      </c>
      <c r="G19" s="6">
        <f>'2024 summary '!E3</f>
        <v>6623086993</v>
      </c>
      <c r="H19" s="6">
        <f>'2025 summary '!E3</f>
        <v>6741470991</v>
      </c>
      <c r="I19" s="6"/>
      <c r="J19" s="6">
        <f>'2025 summary '!G3</f>
        <v>1181361004</v>
      </c>
      <c r="K19" s="6">
        <f>'2025 summary '!H3</f>
        <v>916498989</v>
      </c>
      <c r="L19" s="6">
        <f>'2025 summary '!I3</f>
        <v>0</v>
      </c>
      <c r="M19" s="6">
        <f>'2025 summary '!J3</f>
        <v>131723370</v>
      </c>
      <c r="N19" s="6"/>
      <c r="O19" s="6">
        <f>'2025 summary '!M3</f>
        <v>7942992</v>
      </c>
      <c r="P19" s="6">
        <f>'2025 summary '!N3</f>
        <v>0</v>
      </c>
      <c r="Q19" s="6">
        <f>'2025 summary '!O3</f>
        <v>0</v>
      </c>
      <c r="R19" s="6">
        <f>'2025 summary '!P3</f>
        <v>131723493</v>
      </c>
      <c r="S19" s="6"/>
      <c r="T19" s="6">
        <f>'2025 summary '!S3</f>
        <v>2016755999</v>
      </c>
      <c r="U19" s="6">
        <f>'2025 summary '!T3</f>
        <v>-79</v>
      </c>
      <c r="V19" s="6">
        <f>'2025 summary '!U3</f>
        <v>2016755920</v>
      </c>
    </row>
    <row r="20" spans="1:23" s="4" customFormat="1">
      <c r="A20" s="5"/>
      <c r="B20" s="209"/>
      <c r="C20" s="209"/>
      <c r="D20" s="209"/>
      <c r="E20" s="209"/>
      <c r="F20" s="6"/>
      <c r="G20" s="6"/>
      <c r="H20" s="6"/>
      <c r="I20" s="209"/>
      <c r="J20" s="6"/>
      <c r="K20" s="6"/>
      <c r="L20" s="6"/>
      <c r="M20" s="6"/>
      <c r="N20" s="6"/>
      <c r="O20" s="6"/>
      <c r="P20" s="6"/>
      <c r="Q20" s="6"/>
      <c r="R20" s="6"/>
      <c r="S20" s="6"/>
      <c r="T20" s="6"/>
      <c r="U20" s="6"/>
      <c r="V20" s="6"/>
    </row>
    <row r="21" spans="1:23" s="4" customFormat="1">
      <c r="A21" s="96" t="s">
        <v>269</v>
      </c>
      <c r="B21" s="209"/>
      <c r="C21" s="209"/>
      <c r="D21" s="209"/>
      <c r="E21" s="209"/>
      <c r="F21" s="6"/>
      <c r="G21" s="6"/>
      <c r="H21" s="6"/>
      <c r="I21" s="209"/>
      <c r="J21" s="6"/>
      <c r="K21" s="6"/>
      <c r="L21" s="6"/>
      <c r="M21" s="6"/>
      <c r="N21" s="209"/>
      <c r="O21" s="6"/>
      <c r="P21" s="6"/>
      <c r="Q21" s="6"/>
      <c r="R21" s="6"/>
      <c r="S21" s="209"/>
      <c r="T21" s="6"/>
      <c r="U21" s="6"/>
      <c r="V21" s="6"/>
    </row>
    <row r="22" spans="1:23" s="4" customFormat="1">
      <c r="A22" s="107" t="str">
        <f>Info!C23</f>
        <v>N/A</v>
      </c>
      <c r="B22" s="209" t="str">
        <f>VLOOKUP($A22,'2023 summary'!$A:$V,'JE Template'!B8,FALSE)</f>
        <v>No Agency</v>
      </c>
      <c r="C22" s="52">
        <f>VLOOKUP(A22,'2024 summary '!A:C,3,FALSE)</f>
        <v>0</v>
      </c>
      <c r="D22" s="52">
        <f>VLOOKUP($A22,'2024 summary '!A:D,4,FALSE)</f>
        <v>0</v>
      </c>
      <c r="E22" s="52">
        <f>C22-D22</f>
        <v>0</v>
      </c>
      <c r="F22" s="6">
        <f>VLOOKUP($A22,'LGERS Contributions FY 2023'!A:C,3,FALSE)</f>
        <v>0</v>
      </c>
      <c r="G22" s="6">
        <f>VLOOKUP($A22,'2023 summary'!A:E, 5, FALSE)</f>
        <v>0</v>
      </c>
      <c r="H22" s="6">
        <f>VLOOKUP($A22,'2024 summary '!A:E,5,FALSE)</f>
        <v>0</v>
      </c>
      <c r="I22" s="6"/>
      <c r="J22" s="6">
        <f>VLOOKUP($A22,'2024 summary '!A:O,7,FALSE)</f>
        <v>0</v>
      </c>
      <c r="K22" s="6">
        <f>VLOOKUP($A22,'2024 summary '!A:O,8,FALSE)</f>
        <v>0</v>
      </c>
      <c r="L22" s="6">
        <f>VLOOKUP($A22,'2024 summary '!A:O,9,FALSE)</f>
        <v>0</v>
      </c>
      <c r="M22" s="6">
        <f>VLOOKUP($A22,'2024 summary '!A:O,10,FALSE)</f>
        <v>0</v>
      </c>
      <c r="N22" s="6"/>
      <c r="O22" s="6">
        <f>VLOOKUP($A22,'2024 summary '!A:M,13,FALSE)</f>
        <v>0</v>
      </c>
      <c r="P22" s="6">
        <f>VLOOKUP($A22,'2024 summary '!A:N,14,FALSE)</f>
        <v>0</v>
      </c>
      <c r="Q22" s="6">
        <f>VLOOKUP($A22,'2024 summary '!A:U,15,FALSE)</f>
        <v>0</v>
      </c>
      <c r="R22" s="6">
        <f>VLOOKUP($A22,'2024 summary '!A:R,16,FALSE)</f>
        <v>0</v>
      </c>
      <c r="S22" s="6"/>
      <c r="T22" s="6">
        <f>VLOOKUP($A22,'2024 summary '!A:U,19,FALSE)</f>
        <v>0</v>
      </c>
      <c r="U22" s="6">
        <f>VLOOKUP($A22,'2024 summary '!A:U,20,FALSE)</f>
        <v>0</v>
      </c>
      <c r="V22" s="6">
        <f>VLOOKUP($A22,'2024 summary '!A:U,21,FALSE)</f>
        <v>0</v>
      </c>
    </row>
    <row r="23" spans="1:23" s="4" customFormat="1">
      <c r="A23" s="107"/>
      <c r="B23" s="209"/>
      <c r="C23" s="209"/>
      <c r="D23" s="209"/>
      <c r="E23" s="209"/>
      <c r="F23" s="6"/>
      <c r="G23" s="6"/>
      <c r="H23" s="6"/>
      <c r="I23" s="209"/>
      <c r="J23" s="6"/>
      <c r="K23" s="6"/>
      <c r="L23" s="6"/>
      <c r="M23" s="6"/>
      <c r="N23" s="209"/>
      <c r="O23" s="6"/>
      <c r="P23" s="6"/>
      <c r="Q23" s="6"/>
      <c r="R23" s="6"/>
      <c r="S23" s="209"/>
      <c r="T23" s="6"/>
      <c r="U23" s="6"/>
      <c r="V23" s="6"/>
    </row>
    <row r="24" spans="1:23" s="209" customFormat="1">
      <c r="A24" s="107" t="str">
        <f>C3</f>
        <v>N/A</v>
      </c>
      <c r="B24" s="209" t="str">
        <f>VLOOKUP($A24,'2023 summary'!$A:$V,'JE Template'!B8,FALSE)</f>
        <v>No Agency</v>
      </c>
      <c r="C24" s="52">
        <f>VLOOKUP($A24,'2024 summary '!A:C,3,FALSE)</f>
        <v>0</v>
      </c>
      <c r="D24" s="52">
        <f>VLOOKUP($A24,'2024 summary '!A:D,4,FALSE)</f>
        <v>0</v>
      </c>
      <c r="E24" s="52">
        <f>C24-D24</f>
        <v>0</v>
      </c>
      <c r="F24" s="6">
        <f>VLOOKUP($A24,'LGERS Contributions FY 2023'!A:C,3,FALSE)</f>
        <v>0</v>
      </c>
      <c r="G24" s="6">
        <f>VLOOKUP($A24,'2023 summary'!A:E,5,FALSE)</f>
        <v>0</v>
      </c>
      <c r="H24" s="6">
        <f>VLOOKUP($A24,'2024 summary '!A:E,5,FALSE)</f>
        <v>0</v>
      </c>
      <c r="I24" s="6"/>
      <c r="J24" s="6">
        <f>VLOOKUP($A24,'2024 summary '!A:O,7,FALSE)</f>
        <v>0</v>
      </c>
      <c r="K24" s="6">
        <f>VLOOKUP($A24,'2024 summary '!A:P,8,FALSE)</f>
        <v>0</v>
      </c>
      <c r="L24" s="6">
        <f>VLOOKUP($A24,'2024 summary '!A:I,9,FALSE)</f>
        <v>0</v>
      </c>
      <c r="M24" s="6">
        <f>VLOOKUP($A24,'2024 summary '!A:O,10,FALSE)</f>
        <v>0</v>
      </c>
      <c r="N24" s="6"/>
      <c r="O24" s="6">
        <f>VLOOKUP($A24,'2024 summary '!A:M,13,FALSE)</f>
        <v>0</v>
      </c>
      <c r="P24" s="6">
        <f>VLOOKUP($A24,'2024 summary '!A:N,14,FALSE)</f>
        <v>0</v>
      </c>
      <c r="Q24" s="6">
        <f>VLOOKUP($A24,'2024 summary '!A:R,15,FALSE)</f>
        <v>0</v>
      </c>
      <c r="R24" s="6">
        <f>VLOOKUP($A24,'2024 summary '!A:R,16,FALSE)</f>
        <v>0</v>
      </c>
      <c r="S24" s="6"/>
      <c r="T24" s="6">
        <f>VLOOKUP($A24,'2024 summary '!A:U,19,FALSE)</f>
        <v>0</v>
      </c>
      <c r="U24" s="6">
        <f>VLOOKUP($A24,'2024 summary '!A:U,20,FALSE)</f>
        <v>0</v>
      </c>
      <c r="V24" s="6">
        <f>VLOOKUP($A24,'2024 summary '!A:U,21,FALSE)</f>
        <v>0</v>
      </c>
    </row>
    <row r="25" spans="1:23" s="4" customFormat="1">
      <c r="A25" s="96"/>
      <c r="B25" s="209"/>
      <c r="C25" s="209"/>
      <c r="D25" s="209"/>
      <c r="E25" s="209"/>
      <c r="F25" s="6"/>
      <c r="G25" s="6"/>
      <c r="H25" s="6"/>
      <c r="I25" s="209"/>
      <c r="J25" s="6"/>
      <c r="K25" s="6"/>
      <c r="L25" s="6"/>
      <c r="M25" s="6"/>
      <c r="N25" s="209"/>
      <c r="O25" s="6"/>
      <c r="P25" s="6"/>
      <c r="Q25" s="6"/>
      <c r="R25" s="6"/>
      <c r="S25" s="209"/>
      <c r="T25" s="6"/>
      <c r="U25" s="6"/>
      <c r="V25" s="6"/>
    </row>
    <row r="26" spans="1:23" s="4" customFormat="1">
      <c r="A26" s="5"/>
      <c r="B26" s="209" t="s">
        <v>689</v>
      </c>
      <c r="C26" s="52">
        <f>C22+C24</f>
        <v>0</v>
      </c>
      <c r="D26" s="52">
        <f t="shared" ref="D26:H26" si="1">D22+D24</f>
        <v>0</v>
      </c>
      <c r="E26" s="52">
        <f t="shared" si="1"/>
        <v>0</v>
      </c>
      <c r="F26" s="6">
        <f t="shared" si="1"/>
        <v>0</v>
      </c>
      <c r="G26" s="6">
        <f t="shared" si="1"/>
        <v>0</v>
      </c>
      <c r="H26" s="6">
        <f t="shared" si="1"/>
        <v>0</v>
      </c>
      <c r="I26" s="6"/>
      <c r="J26" s="6">
        <f>J22+J24</f>
        <v>0</v>
      </c>
      <c r="K26" s="6">
        <f>K22+K24</f>
        <v>0</v>
      </c>
      <c r="L26" s="6">
        <f>L22+L24</f>
        <v>0</v>
      </c>
      <c r="M26" s="6">
        <f>M22+M24</f>
        <v>0</v>
      </c>
      <c r="N26" s="6"/>
      <c r="O26" s="6">
        <f>O22+O24</f>
        <v>0</v>
      </c>
      <c r="P26" s="6">
        <f>P22+P24</f>
        <v>0</v>
      </c>
      <c r="Q26" s="6">
        <f>Q22+Q24</f>
        <v>0</v>
      </c>
      <c r="R26" s="6">
        <f>R22+R24</f>
        <v>0</v>
      </c>
      <c r="S26" s="6"/>
      <c r="T26" s="6">
        <f>T22+T24</f>
        <v>0</v>
      </c>
      <c r="U26" s="6">
        <f>U22+U24</f>
        <v>0</v>
      </c>
      <c r="V26" s="6">
        <f>V22+V24</f>
        <v>0</v>
      </c>
    </row>
    <row r="27" spans="1:23" s="4" customFormat="1">
      <c r="A27" s="5"/>
      <c r="B27" s="209"/>
      <c r="C27" s="209"/>
      <c r="D27" s="209"/>
      <c r="E27" s="209"/>
      <c r="F27" s="6"/>
      <c r="G27" s="6"/>
      <c r="H27" s="6"/>
      <c r="I27" s="209"/>
      <c r="J27" s="6"/>
      <c r="K27" s="6"/>
      <c r="L27" s="6"/>
      <c r="M27" s="6"/>
      <c r="N27" s="209"/>
      <c r="O27" s="6"/>
      <c r="P27" s="6"/>
      <c r="Q27" s="6"/>
      <c r="R27" s="6"/>
      <c r="S27" s="209"/>
      <c r="T27" s="6"/>
      <c r="U27" s="6"/>
      <c r="V27" s="6"/>
    </row>
    <row r="28" spans="1:23" s="4" customFormat="1">
      <c r="A28" s="5"/>
      <c r="B28" s="209" t="s">
        <v>3794</v>
      </c>
      <c r="C28" s="209"/>
      <c r="D28" s="209"/>
      <c r="E28" s="209"/>
      <c r="F28" s="6">
        <f>'LGERS Contributions FY 2023'!C902</f>
        <v>1050176784.4700005</v>
      </c>
      <c r="G28" s="6">
        <f>'2023 summary'!E3</f>
        <v>5641428011</v>
      </c>
      <c r="H28" s="6">
        <f>'2024 summary '!E3</f>
        <v>6623086993</v>
      </c>
      <c r="I28" s="6"/>
      <c r="J28" s="6">
        <f>'2024 summary '!G3</f>
        <v>738007993</v>
      </c>
      <c r="K28" s="6">
        <f>'2024 summary '!H3</f>
        <v>1772628005</v>
      </c>
      <c r="L28" s="6">
        <f>'2024 summary '!I3</f>
        <v>281443005</v>
      </c>
      <c r="M28" s="6">
        <f>'2024 summary '!J3</f>
        <v>109536513</v>
      </c>
      <c r="N28" s="6"/>
      <c r="O28" s="6">
        <f>'2024 summary '!M3</f>
        <v>15887998</v>
      </c>
      <c r="P28" s="6">
        <f>'2024 summary '!N3</f>
        <v>0</v>
      </c>
      <c r="Q28" s="6">
        <f>'2024 summary '!O3</f>
        <v>0</v>
      </c>
      <c r="R28" s="6">
        <f>'2024 summary '!P3</f>
        <v>109536689</v>
      </c>
      <c r="S28" s="6"/>
      <c r="T28" s="6">
        <f>'2024 summary '!S3</f>
        <v>1902335006</v>
      </c>
      <c r="U28" s="6">
        <f>'2024 summary '!T3</f>
        <v>4</v>
      </c>
      <c r="V28" s="6">
        <f>'2024 summary '!U3</f>
        <v>1902335010</v>
      </c>
    </row>
    <row r="29" spans="1:23">
      <c r="A29" s="209"/>
      <c r="B29" s="209"/>
      <c r="C29" s="209"/>
      <c r="D29" s="209"/>
      <c r="E29" s="209"/>
      <c r="F29" s="209"/>
      <c r="G29" s="209"/>
      <c r="H29" s="209"/>
      <c r="I29" s="209"/>
      <c r="J29" s="209"/>
      <c r="K29" s="209"/>
      <c r="L29" s="209"/>
      <c r="M29" s="209"/>
      <c r="N29" s="209"/>
      <c r="O29" s="209"/>
      <c r="P29" s="209"/>
      <c r="Q29" s="209"/>
      <c r="R29" s="209"/>
      <c r="S29" s="209"/>
      <c r="T29" s="209"/>
      <c r="U29" s="209"/>
      <c r="V29" s="209"/>
    </row>
    <row r="30" spans="1:23">
      <c r="A30" s="8"/>
      <c r="B30" s="1"/>
      <c r="C30" s="1"/>
      <c r="D30" s="1"/>
      <c r="E30" s="1"/>
      <c r="F30" s="106"/>
      <c r="G30" s="3"/>
    </row>
    <row r="31" spans="1:23">
      <c r="A31" s="134" t="s">
        <v>715</v>
      </c>
      <c r="B31" s="135"/>
      <c r="C31" s="136">
        <f>H17</f>
        <v>0</v>
      </c>
      <c r="D31" s="1"/>
      <c r="E31" s="1"/>
      <c r="F31" s="3"/>
      <c r="G31" s="3"/>
      <c r="I31" s="4"/>
      <c r="J31" s="4"/>
      <c r="K31" s="4"/>
      <c r="L31" s="4"/>
      <c r="M31" s="4"/>
      <c r="N31" s="4"/>
      <c r="O31" s="4"/>
      <c r="P31" s="4"/>
      <c r="Q31" s="4"/>
      <c r="R31" s="4"/>
      <c r="S31" s="4"/>
      <c r="T31" s="4"/>
    </row>
    <row r="32" spans="1:23">
      <c r="A32" s="13" t="s">
        <v>716</v>
      </c>
      <c r="B32" s="14"/>
      <c r="C32" s="137">
        <f>E98</f>
        <v>0</v>
      </c>
      <c r="D32" s="1"/>
      <c r="E32" s="1"/>
      <c r="F32" s="106"/>
      <c r="G32" s="3"/>
      <c r="I32" s="4"/>
      <c r="J32" s="4"/>
      <c r="K32" s="4"/>
      <c r="L32" s="4"/>
      <c r="M32" s="4"/>
      <c r="N32" s="4"/>
      <c r="O32" s="4"/>
      <c r="P32" s="4"/>
      <c r="Q32" s="4"/>
      <c r="R32" s="4"/>
      <c r="S32" s="4"/>
      <c r="T32" s="4"/>
    </row>
    <row r="33" spans="1:20">
      <c r="A33" s="13"/>
      <c r="B33" s="14" t="s">
        <v>717</v>
      </c>
      <c r="C33" s="137">
        <f>IF(E96&gt;0,E96,-F96)</f>
        <v>0</v>
      </c>
      <c r="D33" s="1"/>
      <c r="E33" s="1"/>
      <c r="F33" s="3"/>
      <c r="G33" s="3"/>
      <c r="I33" s="4"/>
      <c r="J33" s="4"/>
      <c r="K33" s="4"/>
      <c r="M33" s="4"/>
      <c r="N33" s="4"/>
      <c r="O33" s="4"/>
      <c r="P33" s="4"/>
      <c r="Q33" s="4"/>
      <c r="R33" s="4"/>
      <c r="S33" s="4"/>
      <c r="T33" s="4"/>
    </row>
    <row r="34" spans="1:20" ht="48.75" customHeight="1">
      <c r="A34" s="20"/>
      <c r="B34" s="21" t="s">
        <v>718</v>
      </c>
      <c r="C34" s="138">
        <f>IF(E97&gt;0,E97,-F97)</f>
        <v>0</v>
      </c>
      <c r="D34" s="544" t="str">
        <f>IF(ABS(C34)&gt;0.05*F17,"The amount of contributions made during the measurement year on the Info tab differs from ORBIT's total by more than 5%.  Please ensure that the information entered on the Info tab is accurate or consider a prior period adjustment."," ")</f>
        <v xml:space="preserve"> </v>
      </c>
      <c r="E34" s="544"/>
      <c r="F34" s="544"/>
      <c r="G34" s="544"/>
      <c r="I34" s="4"/>
      <c r="J34" s="4"/>
      <c r="K34" s="4"/>
      <c r="L34" s="4"/>
      <c r="M34" s="4"/>
      <c r="N34" s="4"/>
      <c r="O34" s="4"/>
      <c r="P34" s="4"/>
      <c r="Q34" s="4"/>
      <c r="R34" s="4"/>
      <c r="S34" s="4"/>
      <c r="T34" s="4"/>
    </row>
    <row r="35" spans="1:20">
      <c r="A35" s="8"/>
      <c r="B35" s="1"/>
      <c r="C35" s="1"/>
      <c r="D35" s="1"/>
      <c r="E35" s="1"/>
      <c r="F35" s="3"/>
      <c r="G35" s="3"/>
      <c r="H35">
        <v>0</v>
      </c>
      <c r="I35" s="4"/>
      <c r="J35" s="4"/>
      <c r="K35" s="4"/>
      <c r="L35" s="4"/>
      <c r="M35" s="4"/>
      <c r="N35" s="4"/>
      <c r="O35" s="4"/>
      <c r="P35" s="4"/>
      <c r="Q35" s="4"/>
      <c r="R35" s="4"/>
      <c r="S35" s="4"/>
      <c r="T35" s="4"/>
    </row>
    <row r="36" spans="1:20">
      <c r="A36" s="134" t="s">
        <v>13</v>
      </c>
      <c r="B36" s="135"/>
      <c r="C36" s="135"/>
      <c r="D36" s="135"/>
      <c r="E36" s="139"/>
      <c r="F36" s="140"/>
      <c r="I36" s="4"/>
      <c r="J36" s="549"/>
      <c r="K36" s="549"/>
      <c r="L36" s="4"/>
      <c r="M36" s="4"/>
      <c r="N36" s="4"/>
      <c r="O36" s="4"/>
      <c r="P36" s="4"/>
      <c r="Q36" s="4"/>
      <c r="R36" s="4"/>
      <c r="S36" s="4"/>
      <c r="T36" s="4"/>
    </row>
    <row r="37" spans="1:20" ht="30">
      <c r="A37" s="13"/>
      <c r="B37" s="14"/>
      <c r="C37" s="14"/>
      <c r="D37" s="14"/>
      <c r="E37" s="25" t="s">
        <v>19</v>
      </c>
      <c r="F37" s="141" t="s">
        <v>20</v>
      </c>
      <c r="I37" s="4"/>
      <c r="J37" s="58"/>
      <c r="K37" s="4"/>
      <c r="L37" s="4"/>
      <c r="M37" s="4"/>
      <c r="N37" s="4"/>
      <c r="O37" s="77"/>
      <c r="P37" s="77"/>
      <c r="Q37" s="77"/>
      <c r="R37" s="77"/>
      <c r="S37" s="4"/>
      <c r="T37" s="4"/>
    </row>
    <row r="38" spans="1:20" ht="15" customHeight="1">
      <c r="A38" s="13"/>
      <c r="B38" s="14" t="s">
        <v>14</v>
      </c>
      <c r="C38" s="14"/>
      <c r="D38" s="14"/>
      <c r="E38" s="142">
        <f>J17</f>
        <v>0</v>
      </c>
      <c r="F38" s="16">
        <f>O17</f>
        <v>0</v>
      </c>
      <c r="H38" s="550" t="s">
        <v>272</v>
      </c>
      <c r="I38" s="551"/>
      <c r="J38" s="551"/>
      <c r="K38" s="552"/>
      <c r="M38" s="53"/>
      <c r="N38" s="4"/>
      <c r="O38" s="77"/>
      <c r="P38" s="77"/>
      <c r="Q38" s="77"/>
      <c r="R38" s="77"/>
      <c r="S38" s="4"/>
      <c r="T38" s="4"/>
    </row>
    <row r="39" spans="1:20">
      <c r="A39" s="13"/>
      <c r="B39" s="14" t="s">
        <v>15</v>
      </c>
      <c r="C39" s="14"/>
      <c r="D39" s="14"/>
      <c r="E39" s="142">
        <f>L17</f>
        <v>0</v>
      </c>
      <c r="F39" s="18">
        <f>Q17</f>
        <v>0</v>
      </c>
      <c r="H39" s="553"/>
      <c r="I39" s="554"/>
      <c r="J39" s="554"/>
      <c r="K39" s="555"/>
      <c r="M39" s="4"/>
      <c r="N39" s="4"/>
      <c r="O39" s="77"/>
      <c r="P39" s="77"/>
      <c r="Q39" s="77"/>
      <c r="R39" s="77"/>
      <c r="S39" s="4"/>
      <c r="T39" s="4"/>
    </row>
    <row r="40" spans="1:20" ht="30">
      <c r="A40" s="13"/>
      <c r="B40" s="14" t="s">
        <v>16</v>
      </c>
      <c r="C40" s="14"/>
      <c r="D40" s="14"/>
      <c r="E40" s="15">
        <f>IF(K17&gt;=P17,K17-P17,0)</f>
        <v>0</v>
      </c>
      <c r="F40" s="16">
        <f>IF(E40&gt;=0,0,P17-K17)</f>
        <v>0</v>
      </c>
      <c r="H40" s="553"/>
      <c r="I40" s="554"/>
      <c r="J40" s="554"/>
      <c r="K40" s="555"/>
      <c r="M40" s="53"/>
      <c r="N40" s="4"/>
      <c r="O40" s="77"/>
      <c r="P40" s="77"/>
      <c r="Q40" s="77"/>
      <c r="R40" s="77"/>
      <c r="S40" s="4"/>
      <c r="T40" s="4"/>
    </row>
    <row r="41" spans="1:20" ht="30">
      <c r="A41" s="13"/>
      <c r="B41" s="14" t="s">
        <v>17</v>
      </c>
      <c r="C41" s="14"/>
      <c r="D41" s="14"/>
      <c r="E41" s="15">
        <f>M17</f>
        <v>0</v>
      </c>
      <c r="F41" s="16">
        <f>R17</f>
        <v>0</v>
      </c>
      <c r="H41" s="556"/>
      <c r="I41" s="557"/>
      <c r="J41" s="557"/>
      <c r="K41" s="558"/>
      <c r="M41" s="53"/>
      <c r="N41" s="4"/>
      <c r="O41" s="77"/>
      <c r="P41" s="77"/>
      <c r="Q41" s="77"/>
      <c r="R41" s="77"/>
      <c r="S41" s="4"/>
      <c r="T41" s="4"/>
    </row>
    <row r="42" spans="1:20">
      <c r="A42" s="11"/>
      <c r="B42" s="14" t="s">
        <v>273</v>
      </c>
      <c r="C42" s="14"/>
      <c r="D42" s="14"/>
      <c r="E42" s="15">
        <f>Info!C33</f>
        <v>0</v>
      </c>
      <c r="F42" s="143"/>
      <c r="I42" s="4"/>
      <c r="J42" s="4"/>
      <c r="K42" s="4"/>
      <c r="L42" s="4"/>
      <c r="M42" s="4"/>
      <c r="N42" s="4"/>
      <c r="O42" s="77"/>
      <c r="P42" s="77"/>
      <c r="Q42" s="77"/>
      <c r="R42" s="77"/>
      <c r="S42" s="4"/>
      <c r="T42" s="4"/>
    </row>
    <row r="43" spans="1:20" ht="15.75" thickBot="1">
      <c r="A43" s="11"/>
      <c r="B43" s="57" t="s">
        <v>18</v>
      </c>
      <c r="C43" s="57"/>
      <c r="D43" s="57"/>
      <c r="E43" s="26">
        <f>SUM(E38:E42)</f>
        <v>0</v>
      </c>
      <c r="F43" s="144">
        <f>SUM(F38:F42)</f>
        <v>0</v>
      </c>
      <c r="G43" s="105"/>
      <c r="H43" s="36"/>
      <c r="I43" s="36"/>
      <c r="J43" s="65"/>
      <c r="K43" s="65"/>
      <c r="L43" s="65"/>
      <c r="M43" s="65"/>
      <c r="N43" s="36"/>
      <c r="O43" s="77"/>
      <c r="P43" s="77"/>
      <c r="Q43" s="77"/>
      <c r="R43" s="77"/>
      <c r="S43" s="4"/>
      <c r="T43" s="4"/>
    </row>
    <row r="44" spans="1:20" ht="15.75" thickTop="1">
      <c r="A44" s="11"/>
      <c r="B44" s="14"/>
      <c r="C44" s="14"/>
      <c r="D44" s="14"/>
      <c r="E44" s="17"/>
      <c r="F44" s="18"/>
      <c r="G44" s="70"/>
      <c r="H44" s="108"/>
      <c r="I44" s="109"/>
      <c r="J44" s="109"/>
      <c r="K44" s="109"/>
      <c r="L44" s="110"/>
      <c r="M44" s="110"/>
      <c r="N44" s="36"/>
      <c r="O44" s="77"/>
      <c r="P44" s="77"/>
      <c r="Q44" s="77"/>
      <c r="R44" s="77"/>
      <c r="S44" s="4"/>
      <c r="T44" s="4"/>
    </row>
    <row r="45" spans="1:20" ht="60">
      <c r="A45" s="55"/>
      <c r="B45" s="21" t="s">
        <v>258</v>
      </c>
      <c r="C45" s="21"/>
      <c r="D45" s="21"/>
      <c r="E45" s="22"/>
      <c r="F45" s="23"/>
      <c r="H45" s="108"/>
      <c r="I45" s="109"/>
      <c r="J45" s="109"/>
      <c r="K45" s="109"/>
      <c r="L45" s="111"/>
      <c r="M45" s="111"/>
      <c r="N45" s="36"/>
      <c r="O45" s="77"/>
      <c r="P45" s="77"/>
      <c r="Q45" s="77"/>
      <c r="R45" s="77"/>
      <c r="S45" s="4"/>
      <c r="T45" s="4"/>
    </row>
    <row r="46" spans="1:20">
      <c r="A46" s="4"/>
      <c r="B46" s="4"/>
      <c r="C46" s="4"/>
      <c r="D46" s="4"/>
      <c r="E46" s="4"/>
      <c r="F46" s="4"/>
      <c r="H46" s="108"/>
      <c r="I46" s="112"/>
      <c r="J46" s="109"/>
      <c r="K46" s="109"/>
      <c r="L46" s="113"/>
      <c r="M46" s="113"/>
      <c r="N46" s="36"/>
      <c r="O46" s="77"/>
      <c r="P46" s="77"/>
      <c r="Q46" s="77"/>
      <c r="R46" s="77"/>
    </row>
    <row r="47" spans="1:20">
      <c r="A47" s="9" t="s">
        <v>21</v>
      </c>
      <c r="B47" s="10"/>
      <c r="C47" s="10"/>
      <c r="D47" s="145"/>
      <c r="E47" s="4"/>
      <c r="F47" s="4"/>
      <c r="G47" s="4"/>
      <c r="H47" s="74"/>
      <c r="I47" s="74"/>
      <c r="J47" s="74"/>
      <c r="K47" s="75"/>
      <c r="M47" s="76"/>
      <c r="N47" s="24"/>
      <c r="O47" s="77"/>
      <c r="P47" s="77"/>
      <c r="Q47" s="77"/>
      <c r="R47" s="77"/>
    </row>
    <row r="48" spans="1:20">
      <c r="A48" s="11"/>
      <c r="B48" s="12"/>
      <c r="C48" s="12"/>
      <c r="D48" s="146"/>
      <c r="E48" s="209"/>
      <c r="F48" s="4"/>
      <c r="G48" s="4"/>
      <c r="H48" s="74"/>
      <c r="I48" s="74"/>
      <c r="J48" s="74"/>
      <c r="K48" s="75"/>
      <c r="M48" s="76"/>
      <c r="N48" s="24"/>
      <c r="O48" s="77"/>
      <c r="P48" s="77"/>
      <c r="Q48" s="77"/>
      <c r="R48" s="77"/>
    </row>
    <row r="49" spans="1:18">
      <c r="A49" s="147" t="s">
        <v>22</v>
      </c>
      <c r="B49" s="148"/>
      <c r="C49" s="148"/>
      <c r="D49" s="146"/>
      <c r="E49" s="209"/>
      <c r="F49" s="209"/>
      <c r="G49" s="4"/>
      <c r="H49" s="74"/>
      <c r="I49" s="74"/>
      <c r="J49" s="74"/>
      <c r="K49" s="75"/>
      <c r="M49" s="76"/>
      <c r="N49" s="24"/>
      <c r="O49" s="77"/>
      <c r="P49" s="77"/>
      <c r="Q49" s="77"/>
      <c r="R49" s="77"/>
    </row>
    <row r="50" spans="1:18">
      <c r="A50" s="149">
        <v>2026</v>
      </c>
      <c r="B50" s="150"/>
      <c r="C50" s="150"/>
      <c r="D50" s="151" t="e">
        <f>IF(A15="N/A",VLOOKUP($A$13,'Deferred Amort MD 06-30-23'!B:J,5,FALSE),((VLOOKUP($A$13,'Deferred Amort MD 06-30-23'!B:J,5,FALSE))+VLOOKUP($A$15,'Deferred Amort MD 06-30-23'!B:J,5,FALSE)))</f>
        <v>#N/A</v>
      </c>
      <c r="E50" s="209"/>
      <c r="F50" s="105"/>
      <c r="G50" s="4"/>
      <c r="H50" s="74"/>
      <c r="I50" s="74"/>
      <c r="J50" s="74"/>
      <c r="K50" s="75"/>
      <c r="M50" s="76"/>
      <c r="N50" s="24"/>
      <c r="O50" s="77"/>
      <c r="P50" s="77"/>
      <c r="Q50" s="77"/>
      <c r="R50" s="77"/>
    </row>
    <row r="51" spans="1:18">
      <c r="A51" s="149">
        <f>+A50+1</f>
        <v>2027</v>
      </c>
      <c r="B51" s="150"/>
      <c r="C51" s="150"/>
      <c r="D51" s="16" t="e">
        <f>IF(A15="N/A",VLOOKUP($A$13,'Deferred Amort MD 06-30-23'!B:J,6,FALSE),((VLOOKUP($A$13,'Deferred Amort MD 06-30-23'!B:J,6,FALSE))+VLOOKUP($A$15,'Deferred Amort MD 06-30-23'!B:J,6,FALSE)))</f>
        <v>#N/A</v>
      </c>
      <c r="E51" s="209"/>
      <c r="F51" s="209"/>
      <c r="G51" s="4"/>
      <c r="H51" s="74"/>
      <c r="I51" s="74"/>
      <c r="J51" s="74"/>
      <c r="K51" s="75"/>
      <c r="M51" s="76"/>
      <c r="N51" s="24"/>
      <c r="O51" s="77"/>
      <c r="P51" s="77"/>
      <c r="Q51" s="77"/>
      <c r="R51" s="77"/>
    </row>
    <row r="52" spans="1:18">
      <c r="A52" s="149">
        <f>+A51+1</f>
        <v>2028</v>
      </c>
      <c r="B52" s="150"/>
      <c r="C52" s="150"/>
      <c r="D52" s="16" t="e">
        <f>IF(A15="N/A",VLOOKUP($A$13,'Deferred Amort MD 06-30-23'!B:J,7,FALSE),((VLOOKUP($A$13,'Deferred Amort MD 06-30-23'!B:J,7,FALSE))+VLOOKUP($A$15,'Deferred Amort MD 06-30-23'!B:L,7,FALSE)))</f>
        <v>#N/A</v>
      </c>
      <c r="E52" s="209"/>
      <c r="F52" s="209"/>
      <c r="G52" s="4"/>
      <c r="H52" s="74"/>
      <c r="I52" s="74"/>
      <c r="J52" s="74"/>
      <c r="K52" s="75"/>
      <c r="M52" s="76"/>
      <c r="N52" s="24"/>
      <c r="O52" s="77"/>
      <c r="P52" s="77"/>
      <c r="Q52" s="77"/>
      <c r="R52" s="77"/>
    </row>
    <row r="53" spans="1:18">
      <c r="A53" s="149">
        <f>+A52+1</f>
        <v>2029</v>
      </c>
      <c r="B53" s="150"/>
      <c r="C53" s="150"/>
      <c r="D53" s="16" t="e">
        <f>IF(A15="N/A",VLOOKUP($A$13,'Deferred Amort MD 06-30-23'!B:J,8,FALSE),((VLOOKUP($A$13,'Deferred Amort MD 06-30-23'!B:J,8,FALSE))+VLOOKUP($A$15,'Deferred Amort MD 06-30-23'!B:J,8,FALSE)))</f>
        <v>#N/A</v>
      </c>
      <c r="E53" s="209"/>
      <c r="F53" s="209"/>
      <c r="G53" s="4"/>
      <c r="H53" s="74"/>
      <c r="I53" s="74"/>
      <c r="J53" s="74"/>
      <c r="K53" s="75"/>
      <c r="M53" s="76"/>
      <c r="N53" s="24"/>
      <c r="O53" s="77"/>
      <c r="P53" s="77"/>
      <c r="Q53" s="77"/>
      <c r="R53" s="77"/>
    </row>
    <row r="54" spans="1:18">
      <c r="A54" s="149">
        <f>+A53+1</f>
        <v>2030</v>
      </c>
      <c r="B54" s="150"/>
      <c r="C54" s="150"/>
      <c r="D54" s="16" t="e">
        <f>IF(A15="n/a", (VLOOKUP($A$13,'Deferred Amort MD 06-30-22'!$A:$I,9,FALSE)),(VLOOKUP($A$13,'Deferred Amort MD 06-30-22'!$A:$I,9,FALSE))+VLOOKUP($A$15,'Deferred Amort MD 06-30-22'!$A:$I,9,FALSE))</f>
        <v>#N/A</v>
      </c>
      <c r="E54" s="105"/>
      <c r="F54" s="209"/>
      <c r="G54" s="4"/>
      <c r="H54" s="74"/>
      <c r="I54" s="74"/>
      <c r="J54" s="74"/>
      <c r="K54" s="75"/>
      <c r="M54" s="76"/>
      <c r="N54" s="24"/>
      <c r="O54" s="77"/>
      <c r="P54" s="77"/>
      <c r="Q54" s="6"/>
      <c r="R54" s="6"/>
    </row>
    <row r="55" spans="1:18">
      <c r="A55" s="11" t="s">
        <v>23</v>
      </c>
      <c r="B55" s="150"/>
      <c r="C55" s="150"/>
      <c r="D55" s="16">
        <v>0</v>
      </c>
      <c r="E55" s="209"/>
      <c r="F55" s="209"/>
      <c r="G55" s="4"/>
      <c r="H55" s="74"/>
      <c r="I55" s="74"/>
      <c r="J55" s="74"/>
      <c r="K55" s="75"/>
      <c r="M55" s="76"/>
      <c r="N55" s="24"/>
      <c r="O55" s="77"/>
      <c r="P55" s="77"/>
      <c r="Q55" s="6"/>
      <c r="R55" s="6"/>
    </row>
    <row r="56" spans="1:18">
      <c r="A56" s="55"/>
      <c r="B56" s="152"/>
      <c r="C56" s="152"/>
      <c r="D56" s="153" t="e">
        <f>SUM(D50:D55)</f>
        <v>#N/A</v>
      </c>
      <c r="E56" s="105"/>
      <c r="F56" s="209"/>
      <c r="G56" s="4"/>
      <c r="H56" s="74"/>
      <c r="I56" s="74"/>
      <c r="J56" s="74"/>
      <c r="K56" s="75"/>
      <c r="M56" s="76"/>
      <c r="N56" s="24"/>
      <c r="O56" s="77"/>
      <c r="P56" s="77"/>
      <c r="Q56" s="6"/>
      <c r="R56" s="6"/>
    </row>
    <row r="57" spans="1:18">
      <c r="A57" s="4"/>
      <c r="B57" s="74"/>
      <c r="C57" s="74"/>
      <c r="D57" s="4"/>
      <c r="F57" s="4"/>
      <c r="G57" s="4"/>
      <c r="H57" s="74"/>
      <c r="I57" s="74"/>
      <c r="J57" s="74"/>
      <c r="K57" s="75"/>
      <c r="M57" s="76"/>
      <c r="N57" s="24"/>
      <c r="O57" s="77"/>
      <c r="P57" s="77"/>
      <c r="Q57" s="6"/>
      <c r="R57" s="6"/>
    </row>
    <row r="58" spans="1:18">
      <c r="A58" s="154" t="s">
        <v>230</v>
      </c>
      <c r="B58" s="155"/>
      <c r="C58" s="155"/>
      <c r="D58" s="155"/>
      <c r="E58" s="156" t="s">
        <v>3739</v>
      </c>
      <c r="F58" s="156" t="s">
        <v>3741</v>
      </c>
      <c r="G58" s="157" t="s">
        <v>3740</v>
      </c>
      <c r="H58" s="209"/>
      <c r="I58" s="74"/>
      <c r="J58" s="74"/>
    </row>
    <row r="59" spans="1:18">
      <c r="A59" s="147"/>
      <c r="B59" s="158" t="s">
        <v>12</v>
      </c>
      <c r="C59" s="148"/>
      <c r="D59" s="148"/>
      <c r="E59" s="272">
        <f>'2025 summary '!W3</f>
        <v>11946083991</v>
      </c>
      <c r="F59" s="273">
        <f>H19</f>
        <v>6741470991</v>
      </c>
      <c r="G59" s="272">
        <f>'2025 summary '!X3</f>
        <v>2459961000</v>
      </c>
      <c r="H59" s="4"/>
      <c r="I59" s="74"/>
      <c r="J59" s="74"/>
    </row>
    <row r="60" spans="1:18" ht="9" customHeight="1">
      <c r="A60" s="147"/>
      <c r="B60" s="148"/>
      <c r="C60" s="148"/>
      <c r="D60" s="148"/>
      <c r="E60" s="274"/>
      <c r="F60" s="274"/>
      <c r="G60" s="275"/>
      <c r="H60" s="4"/>
      <c r="I60" s="4"/>
      <c r="J60" s="4"/>
    </row>
    <row r="61" spans="1:18">
      <c r="A61" s="55"/>
      <c r="B61" s="159" t="s">
        <v>274</v>
      </c>
      <c r="C61" s="159"/>
      <c r="D61" s="159"/>
      <c r="E61" s="276" t="e">
        <f>C17*E59</f>
        <v>#N/A</v>
      </c>
      <c r="F61" s="276">
        <f>H17</f>
        <v>0</v>
      </c>
      <c r="G61" s="277" t="e">
        <f>C17*G59</f>
        <v>#N/A</v>
      </c>
      <c r="H61" s="4"/>
      <c r="I61" s="4"/>
      <c r="J61" s="4"/>
    </row>
    <row r="62" spans="1:18" s="4" customFormat="1"/>
    <row r="63" spans="1:18" hidden="1">
      <c r="A63" s="559" t="s">
        <v>235</v>
      </c>
      <c r="B63" s="560"/>
      <c r="C63" s="81"/>
      <c r="D63" s="81"/>
      <c r="E63" s="81"/>
      <c r="F63" s="37"/>
      <c r="G63" s="37"/>
      <c r="H63" s="38"/>
      <c r="I63" s="38"/>
      <c r="J63" s="39"/>
    </row>
    <row r="64" spans="1:18" ht="57.75" hidden="1" customHeight="1">
      <c r="A64" s="40" t="s">
        <v>236</v>
      </c>
      <c r="B64" s="547" t="s">
        <v>237</v>
      </c>
      <c r="C64" s="547"/>
      <c r="D64" s="547"/>
      <c r="E64" s="547"/>
      <c r="F64" s="548"/>
      <c r="G64" s="548"/>
      <c r="H64" s="548"/>
      <c r="I64" s="548"/>
      <c r="J64" s="548"/>
    </row>
    <row r="65" spans="1:10" hidden="1">
      <c r="A65" s="41"/>
      <c r="B65" s="42"/>
      <c r="C65" s="42"/>
      <c r="D65" s="42"/>
      <c r="E65" s="42"/>
      <c r="F65" s="43"/>
      <c r="G65" s="43"/>
      <c r="H65" s="43"/>
      <c r="I65" s="43"/>
      <c r="J65" s="43"/>
    </row>
    <row r="66" spans="1:10" ht="58.5" hidden="1" customHeight="1">
      <c r="A66" s="40" t="s">
        <v>238</v>
      </c>
      <c r="B66" s="547" t="s">
        <v>239</v>
      </c>
      <c r="C66" s="547"/>
      <c r="D66" s="547"/>
      <c r="E66" s="547"/>
      <c r="F66" s="547"/>
      <c r="G66" s="547"/>
      <c r="H66" s="547"/>
      <c r="I66" s="547"/>
      <c r="J66" s="547"/>
    </row>
    <row r="67" spans="1:10" hidden="1">
      <c r="A67" s="41"/>
      <c r="B67" s="42"/>
      <c r="C67" s="42"/>
      <c r="D67" s="42"/>
      <c r="E67" s="42"/>
      <c r="F67" s="43"/>
      <c r="G67" s="43"/>
      <c r="H67" s="43"/>
      <c r="I67" s="43"/>
      <c r="J67" s="43"/>
    </row>
    <row r="68" spans="1:10" ht="28.5" hidden="1" customHeight="1">
      <c r="A68" s="40" t="s">
        <v>240</v>
      </c>
      <c r="B68" s="545" t="s">
        <v>241</v>
      </c>
      <c r="C68" s="545"/>
      <c r="D68" s="545"/>
      <c r="E68" s="545"/>
      <c r="F68" s="546"/>
      <c r="G68" s="546"/>
      <c r="H68" s="546"/>
      <c r="I68" s="546"/>
      <c r="J68" s="546"/>
    </row>
    <row r="69" spans="1:10" hidden="1">
      <c r="A69" s="41"/>
      <c r="B69" s="42"/>
      <c r="C69" s="42"/>
      <c r="D69" s="42"/>
      <c r="E69" s="42"/>
      <c r="F69" s="43"/>
      <c r="G69" s="43"/>
      <c r="H69" s="43"/>
      <c r="I69" s="43"/>
      <c r="J69" s="43"/>
    </row>
    <row r="70" spans="1:10" ht="51.75" hidden="1" customHeight="1">
      <c r="A70" s="40" t="s">
        <v>242</v>
      </c>
      <c r="B70" s="547" t="s">
        <v>243</v>
      </c>
      <c r="C70" s="547"/>
      <c r="D70" s="547"/>
      <c r="E70" s="547"/>
      <c r="F70" s="546"/>
      <c r="G70" s="546"/>
      <c r="H70" s="546"/>
      <c r="I70" s="546"/>
      <c r="J70" s="546"/>
    </row>
    <row r="71" spans="1:10" hidden="1">
      <c r="A71" s="41"/>
      <c r="B71" s="80"/>
      <c r="C71" s="80"/>
      <c r="D71" s="80"/>
      <c r="E71" s="80"/>
      <c r="F71" s="80"/>
      <c r="G71" s="80"/>
      <c r="H71" s="80"/>
      <c r="I71" s="80"/>
      <c r="J71" s="80"/>
    </row>
    <row r="72" spans="1:10" hidden="1">
      <c r="A72" s="40" t="s">
        <v>244</v>
      </c>
      <c r="B72" s="545" t="s">
        <v>245</v>
      </c>
      <c r="C72" s="545"/>
      <c r="D72" s="545"/>
      <c r="E72" s="545"/>
      <c r="F72" s="546"/>
      <c r="G72" s="546"/>
      <c r="H72" s="546"/>
      <c r="I72" s="546"/>
      <c r="J72" s="546"/>
    </row>
    <row r="73" spans="1:10" hidden="1">
      <c r="A73" s="41"/>
      <c r="B73" s="43"/>
      <c r="C73" s="43"/>
      <c r="D73" s="43"/>
      <c r="E73" s="43"/>
      <c r="F73" s="80"/>
      <c r="G73" s="80"/>
      <c r="H73" s="80"/>
      <c r="I73" s="80"/>
      <c r="J73" s="80"/>
    </row>
    <row r="74" spans="1:10" ht="47.25" hidden="1" customHeight="1">
      <c r="A74" s="40" t="s">
        <v>246</v>
      </c>
      <c r="B74" s="547" t="s">
        <v>247</v>
      </c>
      <c r="C74" s="547"/>
      <c r="D74" s="547"/>
      <c r="E74" s="547"/>
      <c r="F74" s="547"/>
      <c r="G74" s="547"/>
      <c r="H74" s="547"/>
      <c r="I74" s="547"/>
      <c r="J74" s="547"/>
    </row>
    <row r="75" spans="1:10" hidden="1">
      <c r="A75" s="41"/>
      <c r="B75" s="80"/>
      <c r="C75" s="80"/>
      <c r="D75" s="80"/>
      <c r="E75" s="80"/>
      <c r="F75" s="80"/>
      <c r="G75" s="80"/>
      <c r="H75" s="80"/>
      <c r="I75" s="80"/>
      <c r="J75" s="80"/>
    </row>
    <row r="76" spans="1:10" ht="71.25" hidden="1" customHeight="1">
      <c r="A76" s="44" t="s">
        <v>248</v>
      </c>
      <c r="B76" s="547" t="s">
        <v>249</v>
      </c>
      <c r="C76" s="547"/>
      <c r="D76" s="547"/>
      <c r="E76" s="547"/>
      <c r="F76" s="548"/>
      <c r="G76" s="548"/>
      <c r="H76" s="548"/>
      <c r="I76" s="548"/>
      <c r="J76" s="548"/>
    </row>
    <row r="77" spans="1:10" ht="12" hidden="1" customHeight="1">
      <c r="A77" s="41"/>
      <c r="B77" s="80"/>
      <c r="C77" s="80"/>
      <c r="D77" s="80"/>
      <c r="E77" s="80"/>
      <c r="F77" s="80"/>
      <c r="G77" s="80"/>
      <c r="H77" s="80"/>
      <c r="I77" s="80"/>
      <c r="J77" s="80"/>
    </row>
    <row r="78" spans="1:10" ht="85.5" hidden="1" customHeight="1">
      <c r="A78" s="40" t="s">
        <v>250</v>
      </c>
      <c r="B78" s="547" t="s">
        <v>251</v>
      </c>
      <c r="C78" s="547"/>
      <c r="D78" s="547"/>
      <c r="E78" s="547"/>
      <c r="F78" s="546"/>
      <c r="G78" s="546"/>
      <c r="H78" s="546"/>
      <c r="I78" s="546"/>
      <c r="J78" s="546"/>
    </row>
    <row r="79" spans="1:10" ht="12" hidden="1" customHeight="1">
      <c r="A79" s="41"/>
      <c r="B79" s="80"/>
      <c r="C79" s="80"/>
      <c r="D79" s="80"/>
      <c r="E79" s="80"/>
      <c r="F79" s="80"/>
      <c r="G79" s="80"/>
      <c r="H79" s="80"/>
      <c r="I79" s="80"/>
      <c r="J79" s="80"/>
    </row>
    <row r="80" spans="1:10" ht="12" hidden="1" customHeight="1">
      <c r="A80" s="45" t="s">
        <v>252</v>
      </c>
      <c r="B80" s="545" t="s">
        <v>253</v>
      </c>
      <c r="C80" s="545"/>
      <c r="D80" s="545"/>
      <c r="E80" s="545"/>
      <c r="F80" s="546"/>
      <c r="G80" s="546"/>
      <c r="H80" s="546"/>
      <c r="I80" s="546"/>
      <c r="J80" s="546"/>
    </row>
    <row r="81" spans="1:11" hidden="1">
      <c r="A81" s="41"/>
      <c r="B81" s="80"/>
      <c r="C81" s="80"/>
      <c r="D81" s="80"/>
      <c r="E81" s="80"/>
      <c r="F81" s="80"/>
      <c r="G81" s="80"/>
      <c r="H81" s="80"/>
      <c r="I81" s="80"/>
      <c r="J81" s="80"/>
    </row>
    <row r="82" spans="1:11" ht="27.75" hidden="1" customHeight="1">
      <c r="A82" s="45" t="s">
        <v>254</v>
      </c>
      <c r="B82" s="545" t="s">
        <v>255</v>
      </c>
      <c r="C82" s="545"/>
      <c r="D82" s="545"/>
      <c r="E82" s="545"/>
      <c r="F82" s="546"/>
      <c r="G82" s="546"/>
      <c r="H82" s="546"/>
      <c r="I82" s="546"/>
      <c r="J82" s="546"/>
    </row>
    <row r="83" spans="1:11" ht="12" hidden="1" customHeight="1">
      <c r="A83" s="45"/>
      <c r="B83" s="78"/>
      <c r="C83" s="78"/>
      <c r="D83" s="78"/>
      <c r="E83" s="78"/>
      <c r="F83" s="79"/>
      <c r="G83" s="79"/>
      <c r="H83" s="79"/>
      <c r="I83" s="79"/>
      <c r="J83" s="79"/>
    </row>
    <row r="84" spans="1:11" ht="45" hidden="1" customHeight="1">
      <c r="A84" s="45" t="s">
        <v>256</v>
      </c>
      <c r="B84" s="545" t="s">
        <v>257</v>
      </c>
      <c r="C84" s="545"/>
      <c r="D84" s="545"/>
      <c r="E84" s="545"/>
      <c r="F84" s="546"/>
      <c r="G84" s="546"/>
      <c r="H84" s="546"/>
      <c r="I84" s="546"/>
      <c r="J84" s="546"/>
    </row>
    <row r="85" spans="1:11">
      <c r="A85" s="163" t="s">
        <v>1915</v>
      </c>
      <c r="B85" s="164"/>
      <c r="C85" s="164"/>
      <c r="D85" s="164"/>
      <c r="E85" s="165" t="s">
        <v>701</v>
      </c>
      <c r="F85" s="166" t="s">
        <v>702</v>
      </c>
      <c r="G85" s="4"/>
    </row>
    <row r="86" spans="1:11">
      <c r="A86" s="160" t="s">
        <v>703</v>
      </c>
      <c r="B86" s="14"/>
      <c r="C86" s="14"/>
      <c r="D86" s="14"/>
      <c r="E86" s="167">
        <f>ROUND(IF(J17&gt;J26,J17-J26,0),0)</f>
        <v>0</v>
      </c>
      <c r="F86" s="169">
        <f>ROUND(IF(J26&gt;J17,J26-J17,0),0)</f>
        <v>0</v>
      </c>
      <c r="G86" s="4"/>
      <c r="H86" s="2"/>
      <c r="K86" s="2"/>
    </row>
    <row r="87" spans="1:11">
      <c r="A87" s="160" t="s">
        <v>704</v>
      </c>
      <c r="B87" s="19"/>
      <c r="C87" s="14"/>
      <c r="D87" s="14"/>
      <c r="E87" s="167">
        <f>ROUND(IF(L17&gt;L26,L17-L26,0),0)</f>
        <v>0</v>
      </c>
      <c r="F87" s="169">
        <f>ROUND(IF(L26&gt;L17,L26-L17,0),0)</f>
        <v>0</v>
      </c>
      <c r="G87" s="209"/>
      <c r="H87" s="2"/>
    </row>
    <row r="88" spans="1:11">
      <c r="A88" s="160" t="s">
        <v>705</v>
      </c>
      <c r="B88" s="19"/>
      <c r="C88" s="14"/>
      <c r="D88" s="14"/>
      <c r="E88" s="167">
        <f>ROUND(IF(K17&gt;(K26),(K17-(K26)),0),0)</f>
        <v>0</v>
      </c>
      <c r="F88" s="169">
        <f>ROUND(IF((K26)&gt;K17,K26-K17,0),0)</f>
        <v>0</v>
      </c>
      <c r="G88" s="209"/>
      <c r="K88" s="2"/>
    </row>
    <row r="89" spans="1:11">
      <c r="A89" s="160" t="s">
        <v>706</v>
      </c>
      <c r="B89" s="19"/>
      <c r="C89" s="14"/>
      <c r="D89" s="14"/>
      <c r="E89" s="167">
        <f>ROUND(IF(M17&gt;M26,M17-M26,0),0)</f>
        <v>0</v>
      </c>
      <c r="F89" s="169">
        <f>ROUND(IF(M26&gt;M17,M26-M17,0),0)</f>
        <v>0</v>
      </c>
      <c r="G89" s="209"/>
      <c r="I89" s="2"/>
    </row>
    <row r="90" spans="1:11">
      <c r="A90" s="160" t="s">
        <v>707</v>
      </c>
      <c r="B90" s="19"/>
      <c r="C90" s="14"/>
      <c r="D90" s="14"/>
      <c r="E90" s="167">
        <f>ROUND(IF(O26&gt;O17,O26-O17,0),0)</f>
        <v>0</v>
      </c>
      <c r="F90" s="169">
        <f>ROUND(IF(O17&gt;O26,O17-O26,0),0)</f>
        <v>0</v>
      </c>
      <c r="G90" s="209"/>
    </row>
    <row r="91" spans="1:11">
      <c r="A91" s="160" t="s">
        <v>708</v>
      </c>
      <c r="B91" s="19"/>
      <c r="C91" s="14"/>
      <c r="D91" s="14"/>
      <c r="E91" s="167">
        <f>ROUND(IF(Q26&gt;Q17,Q26-Q17,0),0)</f>
        <v>0</v>
      </c>
      <c r="F91" s="169">
        <f>ROUND(IF(Q17&gt;Q26,Q17-Q26,0),0)</f>
        <v>0</v>
      </c>
      <c r="G91" s="209"/>
    </row>
    <row r="92" spans="1:11">
      <c r="A92" s="160" t="s">
        <v>709</v>
      </c>
      <c r="B92" s="57"/>
      <c r="C92" s="57"/>
      <c r="D92" s="57"/>
      <c r="E92" s="167">
        <f>IF((P26-K26)&gt;P17,P26-K26-P17,0)</f>
        <v>0</v>
      </c>
      <c r="F92" s="169">
        <f>IF(P17&gt;(ABS(P26-K26)), P17-(P26-K26),0)</f>
        <v>0</v>
      </c>
      <c r="G92" s="209"/>
    </row>
    <row r="93" spans="1:11">
      <c r="A93" s="160" t="s">
        <v>710</v>
      </c>
      <c r="B93" s="12"/>
      <c r="C93" s="12"/>
      <c r="D93" s="12"/>
      <c r="E93" s="167">
        <f>ROUND(IF(R17&lt;R26,R26-R17,0),0)</f>
        <v>0</v>
      </c>
      <c r="F93" s="169">
        <f>ROUND(IF(R17&gt;R26,R17-R26,0),0)</f>
        <v>0</v>
      </c>
      <c r="G93" s="209"/>
    </row>
    <row r="94" spans="1:11">
      <c r="A94" s="160" t="s">
        <v>714</v>
      </c>
      <c r="B94" s="12"/>
      <c r="C94" s="12"/>
      <c r="D94" s="12"/>
      <c r="E94" s="167">
        <f>Info!C33</f>
        <v>0</v>
      </c>
      <c r="F94" s="170">
        <f>Info!C29</f>
        <v>0</v>
      </c>
      <c r="G94" s="4"/>
    </row>
    <row r="95" spans="1:11">
      <c r="A95" s="160" t="s">
        <v>719</v>
      </c>
      <c r="B95" s="12"/>
      <c r="C95" s="12"/>
      <c r="D95" s="12"/>
      <c r="E95" s="167">
        <v>0</v>
      </c>
      <c r="F95" s="169">
        <f>Info!C33+Info!C31</f>
        <v>0</v>
      </c>
      <c r="G95" s="4"/>
    </row>
    <row r="96" spans="1:11" hidden="1">
      <c r="A96" s="160" t="s">
        <v>712</v>
      </c>
      <c r="B96" s="12"/>
      <c r="C96" s="12"/>
      <c r="D96" s="12"/>
      <c r="E96" s="167">
        <f>IF(V17&gt;=0,V17,0)</f>
        <v>0</v>
      </c>
      <c r="F96" s="171">
        <f>IF(V17&lt;0,-V17,0)</f>
        <v>0</v>
      </c>
      <c r="G96" s="4"/>
    </row>
    <row r="97" spans="1:8" hidden="1">
      <c r="A97" s="160" t="s">
        <v>713</v>
      </c>
      <c r="B97" s="12"/>
      <c r="C97" s="12"/>
      <c r="D97" s="12"/>
      <c r="E97" s="167">
        <f>IF((Info!C29+Info!C31)&gt;'JE Template'!F17,(Info!C29+Info!C31-'JE Template'!F17),0)</f>
        <v>0</v>
      </c>
      <c r="F97" s="172">
        <f>IF((Info!C29+Info!C31)&lt;'JE Template'!F17,'JE Template'!F17-(Info!C29+Info!C31),0)</f>
        <v>0</v>
      </c>
      <c r="G97" s="4"/>
    </row>
    <row r="98" spans="1:8">
      <c r="A98" s="160" t="s">
        <v>271</v>
      </c>
      <c r="B98" s="12"/>
      <c r="C98" s="12"/>
      <c r="D98" s="12"/>
      <c r="E98" s="167">
        <f>ROUND(IF(SUM((E96:E97))&gt;SUM((F96:F97)),(SUM(E96:E97))-(SUM(F96:F97)),0),0)</f>
        <v>0</v>
      </c>
      <c r="F98" s="169">
        <f>ROUND(IF((SUM(F96:F97))&gt;(SUM(E96:E97)), (SUM(F96:F97))-(SUM(E96:E97)),0),0)</f>
        <v>0</v>
      </c>
      <c r="G98" s="4"/>
    </row>
    <row r="99" spans="1:8">
      <c r="A99" s="160" t="s">
        <v>270</v>
      </c>
      <c r="B99" s="12"/>
      <c r="C99" s="12"/>
      <c r="D99" s="12"/>
      <c r="E99" s="167">
        <f>ROUND(IF(G17&gt;H17,G17-H17,0),0)</f>
        <v>0</v>
      </c>
      <c r="F99" s="170">
        <f>ROUND(IF(H17&lt;G17,0,H17-G17),0)</f>
        <v>0</v>
      </c>
      <c r="G99" s="4"/>
    </row>
    <row r="100" spans="1:8">
      <c r="A100" s="161" t="s">
        <v>711</v>
      </c>
      <c r="B100" s="56"/>
      <c r="C100" s="56"/>
      <c r="D100" s="56"/>
      <c r="E100" s="168">
        <f>SUM(E86:E99)-E96-E97</f>
        <v>0</v>
      </c>
      <c r="F100" s="162">
        <f>SUM(F86:F99)-F96-F97</f>
        <v>0</v>
      </c>
      <c r="G100" s="372" t="str">
        <f>IF((ROUND(E100,0)=(ROUND(F100,0)))," ",CONCATENATE((TEXT((ABS(E100-F100)),"$#,##_);($#,##)"))," rounding"))</f>
        <v xml:space="preserve"> </v>
      </c>
      <c r="H100" s="293"/>
    </row>
    <row r="101" spans="1:8">
      <c r="G101" s="69"/>
    </row>
    <row r="102" spans="1:8">
      <c r="E102" s="70"/>
      <c r="F102" s="70"/>
    </row>
    <row r="103" spans="1:8">
      <c r="G103" s="69"/>
    </row>
  </sheetData>
  <sheetProtection algorithmName="SHA-512" hashValue="3W8vKZGrrGyP2dCgUtaDlbxD3i6EBgRdSYC94nFuku5ZY26wtNali3ORkxSSan5tLmLSB4hzGI+9soMJDepuoQ==" saltValue="XIpekcTK5DtilkWfNfH4ew==" spinCount="100000" sheet="1" objects="1" scenarios="1"/>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31:C34">
    <cfRule type="expression" dxfId="21" priority="3">
      <formula>MOD(ROW(),2)=0</formula>
    </cfRule>
  </conditionalFormatting>
  <conditionalFormatting sqref="A47:D56">
    <cfRule type="expression" dxfId="20" priority="4">
      <formula>MOD(ROW(),2)=0</formula>
    </cfRule>
  </conditionalFormatting>
  <conditionalFormatting sqref="A36:F45">
    <cfRule type="expression" dxfId="19" priority="8">
      <formula>MOD(ROW(),2)</formula>
    </cfRule>
  </conditionalFormatting>
  <conditionalFormatting sqref="A85:F100">
    <cfRule type="expression" dxfId="18" priority="1">
      <formula>MOD(ROW(),2)=0</formula>
    </cfRule>
  </conditionalFormatting>
  <conditionalFormatting sqref="A58:G61">
    <cfRule type="expression" dxfId="17" priority="2">
      <formula>MOD(ROW(),2)</formula>
    </cfRule>
  </conditionalFormatting>
  <pageMargins left="0.7" right="0.7" top="0.75" bottom="0.75" header="0.3" footer="0.3"/>
  <pageSetup scale="62"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F62C-8359-43F0-8386-F92773423605}">
  <dimension ref="A1:Z1839"/>
  <sheetViews>
    <sheetView zoomScale="106" zoomScaleNormal="106" workbookViewId="0">
      <pane ySplit="7" topLeftCell="A926" activePane="bottomLeft" state="frozen"/>
      <selection pane="bottomLeft" activeCell="H932" sqref="H932"/>
    </sheetView>
  </sheetViews>
  <sheetFormatPr defaultColWidth="9.140625" defaultRowHeight="14.25"/>
  <cols>
    <col min="1" max="1" width="15.28515625" style="452" customWidth="1"/>
    <col min="2" max="2" width="49.140625" style="452" bestFit="1" customWidth="1"/>
    <col min="3" max="4" width="15.28515625" style="452" bestFit="1" customWidth="1"/>
    <col min="5" max="5" width="22.140625" style="452" bestFit="1" customWidth="1"/>
    <col min="6" max="6" width="3.85546875" style="452" customWidth="1"/>
    <col min="7" max="7" width="19.85546875" style="452" bestFit="1" customWidth="1"/>
    <col min="8" max="8" width="19.42578125" style="452" bestFit="1" customWidth="1"/>
    <col min="9" max="9" width="17.28515625" style="452" bestFit="1" customWidth="1"/>
    <col min="10" max="10" width="22.28515625" style="452" bestFit="1" customWidth="1"/>
    <col min="11" max="11" width="19.85546875" style="452" bestFit="1" customWidth="1"/>
    <col min="12" max="12" width="3.85546875" style="452" customWidth="1"/>
    <col min="13" max="13" width="17.28515625" style="452" bestFit="1" customWidth="1"/>
    <col min="14" max="14" width="17.85546875" style="452" bestFit="1" customWidth="1"/>
    <col min="15" max="15" width="15.5703125" style="452" bestFit="1" customWidth="1"/>
    <col min="16" max="16" width="22.28515625" style="452" bestFit="1" customWidth="1"/>
    <col min="17" max="17" width="18.5703125" style="452" bestFit="1" customWidth="1"/>
    <col min="18" max="18" width="3.85546875" style="452" customWidth="1"/>
    <col min="19" max="19" width="21.140625" style="452" customWidth="1"/>
    <col min="20" max="20" width="27.42578125" style="452" bestFit="1" customWidth="1"/>
    <col min="21" max="21" width="20.7109375" style="452" bestFit="1" customWidth="1"/>
    <col min="22" max="22" width="9.140625" style="452"/>
    <col min="23" max="23" width="22" style="452" bestFit="1" customWidth="1"/>
    <col min="24" max="24" width="20.7109375" style="452" bestFit="1" customWidth="1"/>
    <col min="25" max="16384" width="9.140625" style="452"/>
  </cols>
  <sheetData>
    <row r="1" spans="1:24">
      <c r="A1" s="561" t="s">
        <v>3769</v>
      </c>
      <c r="B1" s="561"/>
    </row>
    <row r="3" spans="1:24">
      <c r="C3" s="453">
        <v>0.99999999999999989</v>
      </c>
      <c r="D3" s="453">
        <v>0.99999999999999944</v>
      </c>
      <c r="E3" s="454">
        <v>6741470991</v>
      </c>
      <c r="F3" s="454"/>
      <c r="G3" s="454">
        <v>1181361004</v>
      </c>
      <c r="H3" s="454">
        <v>916498989</v>
      </c>
      <c r="I3" s="454">
        <v>0</v>
      </c>
      <c r="J3" s="454">
        <v>131723370</v>
      </c>
      <c r="K3" s="454">
        <v>2229583363</v>
      </c>
      <c r="L3" s="454"/>
      <c r="M3" s="454">
        <v>7942992</v>
      </c>
      <c r="N3" s="454">
        <v>0</v>
      </c>
      <c r="O3" s="454">
        <v>0</v>
      </c>
      <c r="P3" s="454">
        <v>131723493</v>
      </c>
      <c r="Q3" s="454">
        <v>139666485</v>
      </c>
      <c r="R3" s="454"/>
      <c r="S3" s="454">
        <v>2016755999</v>
      </c>
      <c r="T3" s="454">
        <v>-79</v>
      </c>
      <c r="U3" s="454">
        <v>2016755920</v>
      </c>
      <c r="V3" s="454"/>
      <c r="W3" s="454">
        <v>11946083991</v>
      </c>
      <c r="X3" s="454">
        <v>2459961000</v>
      </c>
    </row>
    <row r="4" spans="1:24" ht="15">
      <c r="C4" s="455">
        <v>0.99999999999999989</v>
      </c>
      <c r="D4" s="455">
        <v>1.0000000000000002</v>
      </c>
      <c r="E4" s="456">
        <f>E915</f>
        <v>6741470991</v>
      </c>
      <c r="F4" s="456"/>
      <c r="G4" s="456">
        <f>G915</f>
        <v>1181361004</v>
      </c>
      <c r="H4" s="456">
        <f t="shared" ref="H4:U4" si="0">H915</f>
        <v>916498989</v>
      </c>
      <c r="I4" s="456">
        <f t="shared" si="0"/>
        <v>0</v>
      </c>
      <c r="J4" s="456">
        <f t="shared" si="0"/>
        <v>131723370</v>
      </c>
      <c r="K4" s="456">
        <f t="shared" si="0"/>
        <v>2229583363</v>
      </c>
      <c r="L4" s="456"/>
      <c r="M4" s="456">
        <f t="shared" si="0"/>
        <v>7942992</v>
      </c>
      <c r="N4" s="456">
        <f t="shared" si="0"/>
        <v>0</v>
      </c>
      <c r="O4" s="456">
        <f t="shared" si="0"/>
        <v>0</v>
      </c>
      <c r="P4" s="456">
        <f t="shared" si="0"/>
        <v>131723493</v>
      </c>
      <c r="Q4" s="456">
        <f t="shared" si="0"/>
        <v>139666485</v>
      </c>
      <c r="R4" s="456"/>
      <c r="S4" s="456">
        <f t="shared" si="0"/>
        <v>2016755999</v>
      </c>
      <c r="T4" s="456">
        <f t="shared" si="0"/>
        <v>-79</v>
      </c>
      <c r="U4" s="456">
        <f t="shared" si="0"/>
        <v>2016755920</v>
      </c>
      <c r="W4" s="456">
        <f>W915</f>
        <v>11946083991</v>
      </c>
      <c r="X4" s="456">
        <f>X915</f>
        <v>2459961000</v>
      </c>
    </row>
    <row r="6" spans="1:24" ht="15" customHeight="1" thickBot="1">
      <c r="A6" s="562" t="s">
        <v>0</v>
      </c>
      <c r="G6" s="563" t="s">
        <v>2</v>
      </c>
      <c r="H6" s="563"/>
      <c r="I6" s="563"/>
      <c r="J6" s="563"/>
      <c r="K6" s="563"/>
      <c r="M6" s="563" t="s">
        <v>3</v>
      </c>
      <c r="N6" s="563"/>
      <c r="O6" s="563"/>
      <c r="P6" s="563"/>
      <c r="Q6" s="563"/>
      <c r="S6" s="563" t="s">
        <v>4</v>
      </c>
      <c r="T6" s="563"/>
      <c r="U6" s="563"/>
    </row>
    <row r="7" spans="1:24" ht="124.15" customHeight="1">
      <c r="A7" s="562"/>
      <c r="B7" s="519" t="s">
        <v>1</v>
      </c>
      <c r="C7" s="519" t="s">
        <v>262</v>
      </c>
      <c r="D7" s="519" t="s">
        <v>263</v>
      </c>
      <c r="E7" s="519" t="s">
        <v>720</v>
      </c>
      <c r="F7" s="519"/>
      <c r="G7" s="519" t="s">
        <v>5</v>
      </c>
      <c r="H7" s="519" t="s">
        <v>6</v>
      </c>
      <c r="I7" s="519" t="s">
        <v>7</v>
      </c>
      <c r="J7" s="519" t="s">
        <v>8</v>
      </c>
      <c r="K7" s="519" t="s">
        <v>721</v>
      </c>
      <c r="L7" s="519"/>
      <c r="M7" s="519" t="s">
        <v>5</v>
      </c>
      <c r="N7" s="519" t="s">
        <v>6</v>
      </c>
      <c r="O7" s="519" t="s">
        <v>7</v>
      </c>
      <c r="P7" s="519" t="s">
        <v>8</v>
      </c>
      <c r="Q7" s="519" t="s">
        <v>722</v>
      </c>
      <c r="R7" s="519"/>
      <c r="S7" s="519" t="s">
        <v>9</v>
      </c>
      <c r="T7" s="519" t="s">
        <v>10</v>
      </c>
      <c r="U7" s="519" t="s">
        <v>11</v>
      </c>
      <c r="W7" s="519" t="s">
        <v>3744</v>
      </c>
      <c r="X7" s="519" t="s">
        <v>3745</v>
      </c>
    </row>
    <row r="8" spans="1:24" ht="15">
      <c r="A8" s="504" t="s">
        <v>691</v>
      </c>
      <c r="B8" s="503" t="s">
        <v>690</v>
      </c>
      <c r="C8" s="519"/>
      <c r="D8" s="519"/>
      <c r="E8" s="519"/>
      <c r="F8" s="519"/>
      <c r="G8" s="519"/>
      <c r="H8" s="519"/>
      <c r="I8" s="519"/>
      <c r="J8" s="519"/>
      <c r="K8" s="519"/>
      <c r="L8" s="519"/>
      <c r="M8" s="519"/>
      <c r="N8" s="519"/>
      <c r="O8" s="519"/>
      <c r="P8" s="519"/>
      <c r="Q8" s="519"/>
      <c r="R8" s="519"/>
      <c r="S8" s="519"/>
      <c r="T8" s="519"/>
      <c r="U8" s="519"/>
      <c r="W8" s="519"/>
      <c r="X8" s="519"/>
    </row>
    <row r="9" spans="1:24">
      <c r="A9" s="458">
        <v>70505</v>
      </c>
      <c r="B9" s="518" t="s">
        <v>723</v>
      </c>
      <c r="C9" s="460">
        <f>E9/$E$915</f>
        <v>1.6278005222673515E-4</v>
      </c>
      <c r="D9" s="460">
        <f>VLOOKUP(A9,'2024 summary '!A9:C915,3,FALSE)</f>
        <v>1.5181E-4</v>
      </c>
      <c r="E9" s="505">
        <v>1097377</v>
      </c>
      <c r="F9" s="460"/>
      <c r="G9" s="505">
        <v>192302</v>
      </c>
      <c r="H9" s="505">
        <v>149188</v>
      </c>
      <c r="I9" s="505">
        <v>0</v>
      </c>
      <c r="J9" s="505">
        <v>94506</v>
      </c>
      <c r="K9" s="505">
        <v>435996</v>
      </c>
      <c r="L9" s="460"/>
      <c r="M9" s="505">
        <v>1293</v>
      </c>
      <c r="N9" s="505">
        <v>0</v>
      </c>
      <c r="O9" s="505">
        <v>0</v>
      </c>
      <c r="P9" s="505">
        <v>112296</v>
      </c>
      <c r="Q9" s="505">
        <v>113589</v>
      </c>
      <c r="R9" s="460"/>
      <c r="S9" s="505">
        <v>328288</v>
      </c>
      <c r="T9" s="505">
        <v>-47958</v>
      </c>
      <c r="U9" s="505">
        <v>280330</v>
      </c>
      <c r="W9" s="454">
        <v>1944584</v>
      </c>
      <c r="X9" s="454">
        <v>400432</v>
      </c>
    </row>
    <row r="10" spans="1:24">
      <c r="A10" s="458">
        <v>72265</v>
      </c>
      <c r="B10" s="518" t="s">
        <v>724</v>
      </c>
      <c r="C10" s="460">
        <f t="shared" ref="C10:C73" si="1">E10/$E$915</f>
        <v>1.3980005272709776E-4</v>
      </c>
      <c r="D10" s="460">
        <f>VLOOKUP(A10,'2024 summary '!A10:C916,3,FALSE)</f>
        <v>1.4085000000000001E-4</v>
      </c>
      <c r="E10" s="505">
        <v>942458</v>
      </c>
      <c r="F10" s="460"/>
      <c r="G10" s="505">
        <v>165154</v>
      </c>
      <c r="H10" s="505">
        <v>128127</v>
      </c>
      <c r="I10" s="505">
        <v>0</v>
      </c>
      <c r="J10" s="505">
        <v>15953</v>
      </c>
      <c r="K10" s="505">
        <v>309234</v>
      </c>
      <c r="L10" s="460"/>
      <c r="M10" s="505">
        <v>1110</v>
      </c>
      <c r="N10" s="505">
        <v>0</v>
      </c>
      <c r="O10" s="505">
        <v>0</v>
      </c>
      <c r="P10" s="505">
        <v>33106</v>
      </c>
      <c r="Q10" s="505">
        <v>34216</v>
      </c>
      <c r="R10" s="460"/>
      <c r="S10" s="505">
        <v>281942</v>
      </c>
      <c r="T10" s="505">
        <v>-7523</v>
      </c>
      <c r="U10" s="505">
        <v>274419</v>
      </c>
      <c r="W10" s="454">
        <v>1670063</v>
      </c>
      <c r="X10" s="454">
        <v>343903</v>
      </c>
    </row>
    <row r="11" spans="1:24">
      <c r="A11" s="458">
        <v>72593</v>
      </c>
      <c r="B11" s="518" t="s">
        <v>725</v>
      </c>
      <c r="C11" s="460">
        <f t="shared" si="1"/>
        <v>9.939967121338904E-6</v>
      </c>
      <c r="D11" s="460">
        <f>VLOOKUP(A11,'2024 summary '!A11:C917,3,FALSE)</f>
        <v>1.198E-5</v>
      </c>
      <c r="E11" s="505">
        <v>67010</v>
      </c>
      <c r="F11" s="460"/>
      <c r="G11" s="505">
        <v>11743</v>
      </c>
      <c r="H11" s="505">
        <v>9110</v>
      </c>
      <c r="I11" s="505">
        <v>0</v>
      </c>
      <c r="J11" s="505">
        <v>7906</v>
      </c>
      <c r="K11" s="505">
        <v>28759</v>
      </c>
      <c r="L11" s="460"/>
      <c r="M11" s="505">
        <v>79</v>
      </c>
      <c r="N11" s="505">
        <v>0</v>
      </c>
      <c r="O11" s="505">
        <v>0</v>
      </c>
      <c r="P11" s="505">
        <v>8924</v>
      </c>
      <c r="Q11" s="505">
        <v>9003</v>
      </c>
      <c r="R11" s="460"/>
      <c r="S11" s="505">
        <v>20047</v>
      </c>
      <c r="T11" s="505">
        <v>91</v>
      </c>
      <c r="U11" s="505">
        <v>20138</v>
      </c>
      <c r="W11" s="454">
        <v>118744</v>
      </c>
      <c r="X11" s="454">
        <v>24452</v>
      </c>
    </row>
    <row r="12" spans="1:24" s="517" customFormat="1">
      <c r="A12" s="515">
        <v>72657</v>
      </c>
      <c r="B12" s="516" t="s">
        <v>726</v>
      </c>
      <c r="C12" s="460">
        <f t="shared" si="1"/>
        <v>8.427003553948839E-5</v>
      </c>
      <c r="D12" s="460">
        <f>VLOOKUP(A12,'2024 summary '!A12:C918,3,FALSE)</f>
        <v>4.833E-5</v>
      </c>
      <c r="E12" s="505">
        <v>568104</v>
      </c>
      <c r="F12" s="460"/>
      <c r="G12" s="505">
        <v>99553</v>
      </c>
      <c r="H12" s="505">
        <v>77233</v>
      </c>
      <c r="I12" s="505">
        <v>0</v>
      </c>
      <c r="J12" s="505">
        <v>138334</v>
      </c>
      <c r="K12" s="505">
        <v>315120</v>
      </c>
      <c r="L12" s="460"/>
      <c r="M12" s="505">
        <v>669</v>
      </c>
      <c r="N12" s="505">
        <v>0</v>
      </c>
      <c r="O12" s="505">
        <v>0</v>
      </c>
      <c r="P12" s="505">
        <v>9410</v>
      </c>
      <c r="Q12" s="505">
        <v>10079</v>
      </c>
      <c r="R12" s="460"/>
      <c r="S12" s="505">
        <v>169952</v>
      </c>
      <c r="T12" s="505">
        <v>41802</v>
      </c>
      <c r="U12" s="505">
        <v>211754</v>
      </c>
      <c r="W12" s="454">
        <v>1006696</v>
      </c>
      <c r="X12" s="454">
        <v>207301</v>
      </c>
    </row>
    <row r="13" spans="1:24">
      <c r="A13" s="458">
        <v>90001</v>
      </c>
      <c r="B13" s="518" t="s">
        <v>727</v>
      </c>
      <c r="C13" s="460">
        <f t="shared" si="1"/>
        <v>1.1765300200191873E-3</v>
      </c>
      <c r="D13" s="460">
        <f>VLOOKUP(A13,'2024 summary '!A13:C919,3,FALSE)</f>
        <v>1.1301600000000001E-3</v>
      </c>
      <c r="E13" s="505">
        <v>7931543</v>
      </c>
      <c r="F13" s="460"/>
      <c r="G13" s="505">
        <v>1389907</v>
      </c>
      <c r="H13" s="505">
        <v>1078289</v>
      </c>
      <c r="I13" s="505">
        <v>0</v>
      </c>
      <c r="J13" s="505">
        <v>182927</v>
      </c>
      <c r="K13" s="505">
        <v>2651123</v>
      </c>
      <c r="L13" s="460"/>
      <c r="M13" s="505">
        <v>9345</v>
      </c>
      <c r="N13" s="505">
        <v>0</v>
      </c>
      <c r="O13" s="505">
        <v>0</v>
      </c>
      <c r="P13" s="505">
        <v>26775</v>
      </c>
      <c r="Q13" s="505">
        <v>36120</v>
      </c>
      <c r="R13" s="460"/>
      <c r="S13" s="505">
        <v>2372774</v>
      </c>
      <c r="T13" s="505">
        <v>172137</v>
      </c>
      <c r="U13" s="505">
        <v>2544911</v>
      </c>
      <c r="W13" s="454">
        <v>14054926</v>
      </c>
      <c r="X13" s="454">
        <v>2894218</v>
      </c>
    </row>
    <row r="14" spans="1:24">
      <c r="A14" s="458">
        <v>90002</v>
      </c>
      <c r="B14" s="518" t="s">
        <v>728</v>
      </c>
      <c r="C14" s="460">
        <f t="shared" si="1"/>
        <v>4.620059930774832E-6</v>
      </c>
      <c r="D14" s="460">
        <f>VLOOKUP(A14,'2024 summary '!A14:C920,3,FALSE)</f>
        <v>5.4199999999999998E-6</v>
      </c>
      <c r="E14" s="505">
        <v>31146</v>
      </c>
      <c r="F14" s="460"/>
      <c r="G14" s="505">
        <v>5458</v>
      </c>
      <c r="H14" s="505">
        <v>4234</v>
      </c>
      <c r="I14" s="505">
        <v>0</v>
      </c>
      <c r="J14" s="505">
        <v>6795</v>
      </c>
      <c r="K14" s="505">
        <v>16487</v>
      </c>
      <c r="L14" s="460"/>
      <c r="M14" s="505">
        <v>37</v>
      </c>
      <c r="N14" s="505">
        <v>0</v>
      </c>
      <c r="O14" s="505">
        <v>0</v>
      </c>
      <c r="P14" s="505">
        <v>1566</v>
      </c>
      <c r="Q14" s="505">
        <v>1603</v>
      </c>
      <c r="R14" s="460"/>
      <c r="S14" s="505">
        <v>9317</v>
      </c>
      <c r="T14" s="505">
        <v>3058</v>
      </c>
      <c r="U14" s="505">
        <v>12375</v>
      </c>
      <c r="W14" s="454">
        <v>55191</v>
      </c>
      <c r="X14" s="454">
        <v>11365</v>
      </c>
    </row>
    <row r="15" spans="1:24">
      <c r="A15" s="458">
        <v>90011</v>
      </c>
      <c r="B15" s="518" t="s">
        <v>729</v>
      </c>
      <c r="C15" s="460">
        <f t="shared" si="1"/>
        <v>1.4227992692997113E-4</v>
      </c>
      <c r="D15" s="460">
        <f>VLOOKUP(A15,'2024 summary '!A15:C921,3,FALSE)</f>
        <v>1.4574999999999999E-4</v>
      </c>
      <c r="E15" s="505">
        <v>959176</v>
      </c>
      <c r="F15" s="460"/>
      <c r="G15" s="505">
        <v>168084</v>
      </c>
      <c r="H15" s="505">
        <v>130399</v>
      </c>
      <c r="I15" s="505">
        <v>0</v>
      </c>
      <c r="J15" s="505">
        <v>26769</v>
      </c>
      <c r="K15" s="505">
        <v>325252</v>
      </c>
      <c r="L15" s="460"/>
      <c r="M15" s="505">
        <v>1130</v>
      </c>
      <c r="N15" s="505">
        <v>0</v>
      </c>
      <c r="O15" s="505">
        <v>0</v>
      </c>
      <c r="P15" s="505">
        <v>35113</v>
      </c>
      <c r="Q15" s="505">
        <v>36243</v>
      </c>
      <c r="R15" s="460"/>
      <c r="S15" s="505">
        <v>286944</v>
      </c>
      <c r="T15" s="505">
        <v>729</v>
      </c>
      <c r="U15" s="505">
        <v>287673</v>
      </c>
      <c r="W15" s="454">
        <v>1699689</v>
      </c>
      <c r="X15" s="454">
        <v>350003</v>
      </c>
    </row>
    <row r="16" spans="1:24">
      <c r="A16" s="458">
        <v>90092</v>
      </c>
      <c r="B16" s="518" t="s">
        <v>730</v>
      </c>
      <c r="C16" s="460">
        <f t="shared" si="1"/>
        <v>3.2306005661190864E-4</v>
      </c>
      <c r="D16" s="460">
        <f>VLOOKUP(A16,'2024 summary '!A16:C922,3,FALSE)</f>
        <v>3.6586000000000002E-4</v>
      </c>
      <c r="E16" s="505">
        <v>2177900</v>
      </c>
      <c r="F16" s="460"/>
      <c r="G16" s="505">
        <v>381650</v>
      </c>
      <c r="H16" s="505">
        <v>296084</v>
      </c>
      <c r="I16" s="505">
        <v>0</v>
      </c>
      <c r="J16" s="505">
        <v>13434</v>
      </c>
      <c r="K16" s="505">
        <v>691168</v>
      </c>
      <c r="L16" s="460"/>
      <c r="M16" s="505">
        <v>2566</v>
      </c>
      <c r="N16" s="505">
        <v>0</v>
      </c>
      <c r="O16" s="505">
        <v>0</v>
      </c>
      <c r="P16" s="505">
        <v>164813</v>
      </c>
      <c r="Q16" s="505">
        <v>167379</v>
      </c>
      <c r="R16" s="460"/>
      <c r="S16" s="505">
        <v>651533</v>
      </c>
      <c r="T16" s="505">
        <v>-74811</v>
      </c>
      <c r="U16" s="505">
        <v>576722</v>
      </c>
      <c r="W16" s="454">
        <v>3859302</v>
      </c>
      <c r="X16" s="454">
        <v>794715</v>
      </c>
    </row>
    <row r="17" spans="1:24">
      <c r="A17" s="458">
        <v>90096</v>
      </c>
      <c r="B17" s="518" t="s">
        <v>731</v>
      </c>
      <c r="C17" s="460">
        <f t="shared" si="1"/>
        <v>1.0035499684018442E-3</v>
      </c>
      <c r="D17" s="460">
        <f>VLOOKUP(A17,'2024 summary '!A17:C923,3,FALSE)</f>
        <v>1.0949200000000001E-3</v>
      </c>
      <c r="E17" s="505">
        <v>6765403</v>
      </c>
      <c r="F17" s="460"/>
      <c r="G17" s="505">
        <v>1185555</v>
      </c>
      <c r="H17" s="505">
        <v>919753</v>
      </c>
      <c r="I17" s="505">
        <v>0</v>
      </c>
      <c r="J17" s="505">
        <v>404306</v>
      </c>
      <c r="K17" s="505">
        <v>2509614</v>
      </c>
      <c r="L17" s="460"/>
      <c r="M17" s="505">
        <v>7971</v>
      </c>
      <c r="N17" s="505">
        <v>0</v>
      </c>
      <c r="O17" s="505">
        <v>0</v>
      </c>
      <c r="P17" s="505">
        <v>91780</v>
      </c>
      <c r="Q17" s="505">
        <v>99751</v>
      </c>
      <c r="R17" s="460"/>
      <c r="S17" s="505">
        <v>2023915</v>
      </c>
      <c r="T17" s="505">
        <v>246999</v>
      </c>
      <c r="U17" s="505">
        <v>2270914</v>
      </c>
      <c r="W17" s="454">
        <v>11988493</v>
      </c>
      <c r="X17" s="454">
        <v>2468694</v>
      </c>
    </row>
    <row r="18" spans="1:24">
      <c r="A18" s="458">
        <v>90098</v>
      </c>
      <c r="B18" s="518" t="s">
        <v>732</v>
      </c>
      <c r="C18" s="460">
        <f t="shared" si="1"/>
        <v>1.4754999336612885E-4</v>
      </c>
      <c r="D18" s="460">
        <f>VLOOKUP(A18,'2024 summary '!A18:C924,3,FALSE)</f>
        <v>1.3207E-4</v>
      </c>
      <c r="E18" s="505">
        <v>994704</v>
      </c>
      <c r="F18" s="460"/>
      <c r="G18" s="505">
        <v>174310</v>
      </c>
      <c r="H18" s="505">
        <v>135229</v>
      </c>
      <c r="I18" s="505">
        <v>0</v>
      </c>
      <c r="J18" s="505">
        <v>73356</v>
      </c>
      <c r="K18" s="505">
        <v>382895</v>
      </c>
      <c r="L18" s="460"/>
      <c r="M18" s="505">
        <v>1172</v>
      </c>
      <c r="N18" s="505">
        <v>0</v>
      </c>
      <c r="O18" s="505">
        <v>0</v>
      </c>
      <c r="P18" s="505">
        <v>140682</v>
      </c>
      <c r="Q18" s="505">
        <v>141854</v>
      </c>
      <c r="R18" s="460"/>
      <c r="S18" s="505">
        <v>297572</v>
      </c>
      <c r="T18" s="505">
        <v>-51797</v>
      </c>
      <c r="U18" s="505">
        <v>245775</v>
      </c>
      <c r="W18" s="454">
        <v>1762645</v>
      </c>
      <c r="X18" s="454">
        <v>362967</v>
      </c>
    </row>
    <row r="19" spans="1:24">
      <c r="A19" s="458">
        <v>90099</v>
      </c>
      <c r="B19" s="518" t="s">
        <v>733</v>
      </c>
      <c r="C19" s="460">
        <f t="shared" si="1"/>
        <v>7.9865002863438114E-4</v>
      </c>
      <c r="D19" s="460">
        <f>VLOOKUP(A19,'2024 summary '!A19:C925,3,FALSE)</f>
        <v>7.9927999999999998E-4</v>
      </c>
      <c r="E19" s="505">
        <v>5384076</v>
      </c>
      <c r="F19" s="460"/>
      <c r="G19" s="505">
        <v>943494</v>
      </c>
      <c r="H19" s="505">
        <v>731962</v>
      </c>
      <c r="I19" s="505">
        <v>0</v>
      </c>
      <c r="J19" s="505">
        <v>42567</v>
      </c>
      <c r="K19" s="505">
        <v>1718023</v>
      </c>
      <c r="L19" s="460"/>
      <c r="M19" s="505">
        <v>6344</v>
      </c>
      <c r="N19" s="505">
        <v>0</v>
      </c>
      <c r="O19" s="505">
        <v>0</v>
      </c>
      <c r="P19" s="505">
        <v>171305</v>
      </c>
      <c r="Q19" s="505">
        <v>177649</v>
      </c>
      <c r="R19" s="460"/>
      <c r="S19" s="505">
        <v>1610682</v>
      </c>
      <c r="T19" s="505">
        <v>-3965</v>
      </c>
      <c r="U19" s="505">
        <v>1606717</v>
      </c>
      <c r="W19" s="454">
        <v>9540740</v>
      </c>
      <c r="X19" s="454">
        <v>1964648</v>
      </c>
    </row>
    <row r="20" spans="1:24">
      <c r="A20" s="458">
        <v>90101</v>
      </c>
      <c r="B20" s="518" t="s">
        <v>734</v>
      </c>
      <c r="C20" s="460">
        <f t="shared" si="1"/>
        <v>6.0646299679375125E-3</v>
      </c>
      <c r="D20" s="460">
        <f>VLOOKUP(A20,'2024 summary '!A20:C926,3,FALSE)</f>
        <v>6.0552799999999997E-3</v>
      </c>
      <c r="E20" s="505">
        <v>40884527</v>
      </c>
      <c r="F20" s="460"/>
      <c r="G20" s="505">
        <v>7164517</v>
      </c>
      <c r="H20" s="505">
        <v>5558227</v>
      </c>
      <c r="I20" s="505">
        <v>0</v>
      </c>
      <c r="J20" s="505">
        <v>218906</v>
      </c>
      <c r="K20" s="505">
        <v>12941650</v>
      </c>
      <c r="L20" s="460"/>
      <c r="M20" s="505">
        <v>48171</v>
      </c>
      <c r="N20" s="505">
        <v>0</v>
      </c>
      <c r="O20" s="505">
        <v>0</v>
      </c>
      <c r="P20" s="505">
        <v>142875</v>
      </c>
      <c r="Q20" s="505">
        <v>191046</v>
      </c>
      <c r="R20" s="460"/>
      <c r="S20" s="505">
        <v>12230879</v>
      </c>
      <c r="T20" s="505">
        <v>-43589</v>
      </c>
      <c r="U20" s="505">
        <v>12187290</v>
      </c>
      <c r="W20" s="454">
        <v>72448579</v>
      </c>
      <c r="X20" s="454">
        <v>14918753</v>
      </c>
    </row>
    <row r="21" spans="1:24">
      <c r="A21" s="458">
        <v>90111</v>
      </c>
      <c r="B21" s="518" t="s">
        <v>735</v>
      </c>
      <c r="C21" s="460">
        <f t="shared" si="1"/>
        <v>4.7756799729585901E-3</v>
      </c>
      <c r="D21" s="460">
        <f>VLOOKUP(A21,'2024 summary '!A21:C927,3,FALSE)</f>
        <v>4.6387199999999998E-3</v>
      </c>
      <c r="E21" s="505">
        <v>32195108</v>
      </c>
      <c r="F21" s="460"/>
      <c r="G21" s="505">
        <v>5641802</v>
      </c>
      <c r="H21" s="505">
        <v>4376906</v>
      </c>
      <c r="I21" s="505">
        <v>0</v>
      </c>
      <c r="J21" s="505">
        <v>849069</v>
      </c>
      <c r="K21" s="505">
        <v>10867777</v>
      </c>
      <c r="L21" s="460"/>
      <c r="M21" s="505">
        <v>37933</v>
      </c>
      <c r="N21" s="505">
        <v>0</v>
      </c>
      <c r="O21" s="505">
        <v>0</v>
      </c>
      <c r="P21" s="505">
        <v>89339</v>
      </c>
      <c r="Q21" s="505">
        <v>127272</v>
      </c>
      <c r="R21" s="460"/>
      <c r="S21" s="505">
        <v>9631381</v>
      </c>
      <c r="T21" s="505">
        <v>108928</v>
      </c>
      <c r="U21" s="505">
        <v>9740309</v>
      </c>
      <c r="W21" s="454">
        <v>57050674</v>
      </c>
      <c r="X21" s="454">
        <v>11747987</v>
      </c>
    </row>
    <row r="22" spans="1:24">
      <c r="A22" s="458">
        <v>90114</v>
      </c>
      <c r="B22" s="518" t="s">
        <v>736</v>
      </c>
      <c r="C22" s="460">
        <f t="shared" si="1"/>
        <v>1.2427599274972539E-3</v>
      </c>
      <c r="D22" s="460">
        <f>VLOOKUP(A22,'2024 summary '!A22:C928,3,FALSE)</f>
        <v>1.20221E-3</v>
      </c>
      <c r="E22" s="505">
        <v>8378030</v>
      </c>
      <c r="F22" s="460"/>
      <c r="G22" s="505">
        <v>1468148</v>
      </c>
      <c r="H22" s="505">
        <v>1138988</v>
      </c>
      <c r="I22" s="505">
        <v>0</v>
      </c>
      <c r="J22" s="505">
        <v>1718311</v>
      </c>
      <c r="K22" s="505">
        <v>4325447</v>
      </c>
      <c r="L22" s="460"/>
      <c r="M22" s="505">
        <v>9871</v>
      </c>
      <c r="N22" s="505">
        <v>0</v>
      </c>
      <c r="O22" s="505">
        <v>0</v>
      </c>
      <c r="P22" s="505">
        <v>6649</v>
      </c>
      <c r="Q22" s="505">
        <v>16520</v>
      </c>
      <c r="R22" s="460"/>
      <c r="S22" s="505">
        <v>2506344</v>
      </c>
      <c r="T22" s="505">
        <v>1027932</v>
      </c>
      <c r="U22" s="505">
        <v>3534276</v>
      </c>
      <c r="W22" s="454">
        <v>14846115</v>
      </c>
      <c r="X22" s="454">
        <v>3057141</v>
      </c>
    </row>
    <row r="23" spans="1:24">
      <c r="A23" s="458">
        <v>90117</v>
      </c>
      <c r="B23" s="518" t="s">
        <v>737</v>
      </c>
      <c r="C23" s="460">
        <f t="shared" si="1"/>
        <v>1.6768995987807552E-4</v>
      </c>
      <c r="D23" s="460">
        <f>VLOOKUP(A23,'2024 summary '!A23:C929,3,FALSE)</f>
        <v>1.5495E-4</v>
      </c>
      <c r="E23" s="505">
        <v>1130477</v>
      </c>
      <c r="F23" s="460"/>
      <c r="G23" s="505">
        <v>198102</v>
      </c>
      <c r="H23" s="505">
        <v>153688</v>
      </c>
      <c r="I23" s="505">
        <v>0</v>
      </c>
      <c r="J23" s="505">
        <v>103692</v>
      </c>
      <c r="K23" s="505">
        <v>455482</v>
      </c>
      <c r="L23" s="460"/>
      <c r="M23" s="505">
        <v>1332</v>
      </c>
      <c r="N23" s="505">
        <v>0</v>
      </c>
      <c r="O23" s="505">
        <v>0</v>
      </c>
      <c r="P23" s="505">
        <v>1478</v>
      </c>
      <c r="Q23" s="505">
        <v>2810</v>
      </c>
      <c r="R23" s="460"/>
      <c r="S23" s="505">
        <v>338190</v>
      </c>
      <c r="T23" s="505">
        <v>52938</v>
      </c>
      <c r="U23" s="505">
        <v>391128</v>
      </c>
      <c r="W23" s="454">
        <v>2003239</v>
      </c>
      <c r="X23" s="454">
        <v>412511</v>
      </c>
    </row>
    <row r="24" spans="1:24">
      <c r="A24" s="458">
        <v>90121</v>
      </c>
      <c r="B24" s="518" t="s">
        <v>738</v>
      </c>
      <c r="C24" s="460">
        <f t="shared" si="1"/>
        <v>1.0427799822004752E-3</v>
      </c>
      <c r="D24" s="460">
        <f>VLOOKUP(A24,'2024 summary '!A24:C930,3,FALSE)</f>
        <v>1.0308100000000001E-3</v>
      </c>
      <c r="E24" s="505">
        <v>7029871</v>
      </c>
      <c r="F24" s="460"/>
      <c r="G24" s="505">
        <v>1231900</v>
      </c>
      <c r="H24" s="505">
        <v>955707</v>
      </c>
      <c r="I24" s="505">
        <v>0</v>
      </c>
      <c r="J24" s="505">
        <v>92421</v>
      </c>
      <c r="K24" s="505">
        <v>2280028</v>
      </c>
      <c r="L24" s="460"/>
      <c r="M24" s="505">
        <v>8283</v>
      </c>
      <c r="N24" s="505">
        <v>0</v>
      </c>
      <c r="O24" s="505">
        <v>0</v>
      </c>
      <c r="P24" s="505">
        <v>37815</v>
      </c>
      <c r="Q24" s="505">
        <v>46098</v>
      </c>
      <c r="R24" s="460"/>
      <c r="S24" s="505">
        <v>2103033</v>
      </c>
      <c r="T24" s="505">
        <v>-28220</v>
      </c>
      <c r="U24" s="505">
        <v>2074813</v>
      </c>
      <c r="W24" s="454">
        <v>12457137</v>
      </c>
      <c r="X24" s="454">
        <v>2565198</v>
      </c>
    </row>
    <row r="25" spans="1:24">
      <c r="A25" s="458">
        <v>90131</v>
      </c>
      <c r="B25" s="518" t="s">
        <v>739</v>
      </c>
      <c r="C25" s="460">
        <f t="shared" si="1"/>
        <v>5.0823996789041437E-4</v>
      </c>
      <c r="D25" s="460">
        <f>VLOOKUP(A25,'2024 summary '!A25:C931,3,FALSE)</f>
        <v>4.8416000000000003E-4</v>
      </c>
      <c r="E25" s="505">
        <v>3426285</v>
      </c>
      <c r="F25" s="460"/>
      <c r="G25" s="505">
        <v>600415</v>
      </c>
      <c r="H25" s="505">
        <v>465801</v>
      </c>
      <c r="I25" s="505">
        <v>0</v>
      </c>
      <c r="J25" s="505">
        <v>62400</v>
      </c>
      <c r="K25" s="505">
        <v>1128616</v>
      </c>
      <c r="L25" s="460"/>
      <c r="M25" s="505">
        <v>4037</v>
      </c>
      <c r="N25" s="505">
        <v>0</v>
      </c>
      <c r="O25" s="505">
        <v>0</v>
      </c>
      <c r="P25" s="505">
        <v>11900</v>
      </c>
      <c r="Q25" s="505">
        <v>15937</v>
      </c>
      <c r="R25" s="460"/>
      <c r="S25" s="505">
        <v>1024996</v>
      </c>
      <c r="T25" s="505">
        <v>5742</v>
      </c>
      <c r="U25" s="505">
        <v>1030738</v>
      </c>
      <c r="W25" s="454">
        <v>6071478</v>
      </c>
      <c r="X25" s="454">
        <v>1250251</v>
      </c>
    </row>
    <row r="26" spans="1:24">
      <c r="A26" s="458">
        <v>90141</v>
      </c>
      <c r="B26" s="518" t="s">
        <v>740</v>
      </c>
      <c r="C26" s="460">
        <f t="shared" si="1"/>
        <v>1.4197999239006143E-4</v>
      </c>
      <c r="D26" s="460">
        <f>VLOOKUP(A26,'2024 summary '!A26:C932,3,FALSE)</f>
        <v>1.3773999999999999E-4</v>
      </c>
      <c r="E26" s="505">
        <v>957154</v>
      </c>
      <c r="F26" s="460"/>
      <c r="G26" s="505">
        <v>167730</v>
      </c>
      <c r="H26" s="505">
        <v>130125</v>
      </c>
      <c r="I26" s="505">
        <v>0</v>
      </c>
      <c r="J26" s="505">
        <v>37618</v>
      </c>
      <c r="K26" s="505">
        <v>335473</v>
      </c>
      <c r="L26" s="460"/>
      <c r="M26" s="505">
        <v>1128</v>
      </c>
      <c r="N26" s="505">
        <v>0</v>
      </c>
      <c r="O26" s="505">
        <v>0</v>
      </c>
      <c r="P26" s="505">
        <v>11878</v>
      </c>
      <c r="Q26" s="505">
        <v>13006</v>
      </c>
      <c r="R26" s="460"/>
      <c r="S26" s="505">
        <v>286339</v>
      </c>
      <c r="T26" s="505">
        <v>-6113</v>
      </c>
      <c r="U26" s="505">
        <v>280226</v>
      </c>
      <c r="W26" s="454">
        <v>1696105</v>
      </c>
      <c r="X26" s="454">
        <v>349265</v>
      </c>
    </row>
    <row r="27" spans="1:24">
      <c r="A27" s="458">
        <v>90151</v>
      </c>
      <c r="B27" s="518" t="s">
        <v>741</v>
      </c>
      <c r="C27" s="460">
        <f t="shared" si="1"/>
        <v>7.6999515490461297E-6</v>
      </c>
      <c r="D27" s="460">
        <f>VLOOKUP(A27,'2024 summary '!A27:C933,3,FALSE)</f>
        <v>8.5699999999999993E-6</v>
      </c>
      <c r="E27" s="505">
        <v>51909</v>
      </c>
      <c r="F27" s="460"/>
      <c r="G27" s="505">
        <v>9096</v>
      </c>
      <c r="H27" s="505">
        <v>7057</v>
      </c>
      <c r="I27" s="505">
        <v>0</v>
      </c>
      <c r="J27" s="505">
        <v>255</v>
      </c>
      <c r="K27" s="505">
        <v>16408</v>
      </c>
      <c r="L27" s="460"/>
      <c r="M27" s="505">
        <v>61</v>
      </c>
      <c r="N27" s="505">
        <v>0</v>
      </c>
      <c r="O27" s="505">
        <v>0</v>
      </c>
      <c r="P27" s="505">
        <v>1340</v>
      </c>
      <c r="Q27" s="505">
        <v>1401</v>
      </c>
      <c r="R27" s="460"/>
      <c r="S27" s="505">
        <v>15529</v>
      </c>
      <c r="T27" s="505">
        <v>-1340</v>
      </c>
      <c r="U27" s="505">
        <v>14189</v>
      </c>
      <c r="W27" s="454">
        <v>91985</v>
      </c>
      <c r="X27" s="454">
        <v>18942</v>
      </c>
    </row>
    <row r="28" spans="1:24">
      <c r="A28" s="458">
        <v>90161</v>
      </c>
      <c r="B28" s="518" t="s">
        <v>742</v>
      </c>
      <c r="C28" s="460">
        <f t="shared" si="1"/>
        <v>6.7599489875191247E-6</v>
      </c>
      <c r="D28" s="460">
        <f>VLOOKUP(A28,'2024 summary '!A28:C934,3,FALSE)</f>
        <v>1.45E-5</v>
      </c>
      <c r="E28" s="505">
        <v>45572</v>
      </c>
      <c r="F28" s="460"/>
      <c r="G28" s="505">
        <v>7986</v>
      </c>
      <c r="H28" s="505">
        <v>6196</v>
      </c>
      <c r="I28" s="505">
        <v>0</v>
      </c>
      <c r="J28" s="505">
        <v>3444</v>
      </c>
      <c r="K28" s="505">
        <v>17626</v>
      </c>
      <c r="L28" s="460"/>
      <c r="M28" s="505">
        <v>54</v>
      </c>
      <c r="N28" s="505">
        <v>0</v>
      </c>
      <c r="O28" s="505">
        <v>0</v>
      </c>
      <c r="P28" s="505">
        <v>26149</v>
      </c>
      <c r="Q28" s="505">
        <v>26203</v>
      </c>
      <c r="R28" s="460"/>
      <c r="S28" s="505">
        <v>13633</v>
      </c>
      <c r="T28" s="505">
        <v>-13982</v>
      </c>
      <c r="U28" s="505">
        <v>-349</v>
      </c>
      <c r="W28" s="454">
        <v>80756</v>
      </c>
      <c r="X28" s="454">
        <v>16629</v>
      </c>
    </row>
    <row r="29" spans="1:24">
      <c r="A29" s="458">
        <v>90201</v>
      </c>
      <c r="B29" s="518" t="s">
        <v>743</v>
      </c>
      <c r="C29" s="460">
        <f t="shared" si="1"/>
        <v>2.0792500655588742E-3</v>
      </c>
      <c r="D29" s="460">
        <f>VLOOKUP(A29,'2024 summary '!A29:C935,3,FALSE)</f>
        <v>2.1058100000000001E-3</v>
      </c>
      <c r="E29" s="505">
        <v>14017204</v>
      </c>
      <c r="F29" s="460"/>
      <c r="G29" s="505">
        <v>2456345</v>
      </c>
      <c r="H29" s="505">
        <v>1905631</v>
      </c>
      <c r="I29" s="505">
        <v>0</v>
      </c>
      <c r="J29" s="505">
        <v>371673</v>
      </c>
      <c r="K29" s="505">
        <v>4733649</v>
      </c>
      <c r="L29" s="460"/>
      <c r="M29" s="505">
        <v>16515</v>
      </c>
      <c r="N29" s="505">
        <v>0</v>
      </c>
      <c r="O29" s="505">
        <v>0</v>
      </c>
      <c r="P29" s="505">
        <v>337790</v>
      </c>
      <c r="Q29" s="505">
        <v>354305</v>
      </c>
      <c r="R29" s="460"/>
      <c r="S29" s="505">
        <v>4193340</v>
      </c>
      <c r="T29" s="505">
        <v>29929</v>
      </c>
      <c r="U29" s="505">
        <v>4223269</v>
      </c>
      <c r="W29" s="454">
        <v>24838895</v>
      </c>
      <c r="X29" s="454">
        <v>5114874</v>
      </c>
    </row>
    <row r="30" spans="1:24">
      <c r="A30" s="458">
        <v>90211</v>
      </c>
      <c r="B30" s="518" t="s">
        <v>747</v>
      </c>
      <c r="C30" s="460">
        <f t="shared" si="1"/>
        <v>1.0732004943222042E-4</v>
      </c>
      <c r="D30" s="460">
        <f>VLOOKUP(A30,'2024 summary '!A30:C936,3,FALSE)</f>
        <v>1.4616E-4</v>
      </c>
      <c r="E30" s="505">
        <v>723495</v>
      </c>
      <c r="F30" s="460"/>
      <c r="G30" s="505">
        <v>126784</v>
      </c>
      <c r="H30" s="505">
        <v>98359</v>
      </c>
      <c r="I30" s="505">
        <v>0</v>
      </c>
      <c r="J30" s="505">
        <v>27617</v>
      </c>
      <c r="K30" s="505">
        <v>252760</v>
      </c>
      <c r="L30" s="460"/>
      <c r="M30" s="505">
        <v>852</v>
      </c>
      <c r="N30" s="505">
        <v>0</v>
      </c>
      <c r="O30" s="505">
        <v>0</v>
      </c>
      <c r="P30" s="505">
        <v>94275</v>
      </c>
      <c r="Q30" s="505">
        <v>95127</v>
      </c>
      <c r="R30" s="460"/>
      <c r="S30" s="505">
        <v>216438</v>
      </c>
      <c r="T30" s="505">
        <v>-24303</v>
      </c>
      <c r="U30" s="505">
        <v>192135</v>
      </c>
      <c r="W30" s="454">
        <v>1282054</v>
      </c>
      <c r="X30" s="454">
        <v>264003</v>
      </c>
    </row>
    <row r="31" spans="1:24">
      <c r="A31" s="458">
        <v>90301</v>
      </c>
      <c r="B31" s="518" t="s">
        <v>748</v>
      </c>
      <c r="C31" s="460">
        <f t="shared" si="1"/>
        <v>7.1372998658950993E-4</v>
      </c>
      <c r="D31" s="460">
        <f>VLOOKUP(A31,'2024 summary '!A31:C937,3,FALSE)</f>
        <v>6.7986999999999995E-4</v>
      </c>
      <c r="E31" s="505">
        <v>4811590</v>
      </c>
      <c r="F31" s="460"/>
      <c r="G31" s="505">
        <v>843173</v>
      </c>
      <c r="H31" s="505">
        <v>654133</v>
      </c>
      <c r="I31" s="505">
        <v>0</v>
      </c>
      <c r="J31" s="505">
        <v>120801</v>
      </c>
      <c r="K31" s="505">
        <v>1618107</v>
      </c>
      <c r="L31" s="460"/>
      <c r="M31" s="505">
        <v>5669</v>
      </c>
      <c r="N31" s="505">
        <v>0</v>
      </c>
      <c r="O31" s="505">
        <v>0</v>
      </c>
      <c r="P31" s="505">
        <v>8820</v>
      </c>
      <c r="Q31" s="505">
        <v>14489</v>
      </c>
      <c r="R31" s="460"/>
      <c r="S31" s="505">
        <v>1439419</v>
      </c>
      <c r="T31" s="505">
        <v>4321</v>
      </c>
      <c r="U31" s="505">
        <v>1443740</v>
      </c>
      <c r="W31" s="454">
        <v>8526279</v>
      </c>
      <c r="X31" s="454">
        <v>1755748</v>
      </c>
    </row>
    <row r="32" spans="1:24">
      <c r="A32" s="458">
        <v>90305</v>
      </c>
      <c r="B32" s="518" t="s">
        <v>749</v>
      </c>
      <c r="C32" s="460">
        <f t="shared" si="1"/>
        <v>1.2379998387802897E-4</v>
      </c>
      <c r="D32" s="460">
        <f>VLOOKUP(A32,'2024 summary '!A32:C938,3,FALSE)</f>
        <v>1.4035E-4</v>
      </c>
      <c r="E32" s="505">
        <v>834594</v>
      </c>
      <c r="F32" s="460"/>
      <c r="G32" s="505">
        <v>146252</v>
      </c>
      <c r="H32" s="505">
        <v>113463</v>
      </c>
      <c r="I32" s="505">
        <v>0</v>
      </c>
      <c r="J32" s="505">
        <v>16107</v>
      </c>
      <c r="K32" s="505">
        <v>275822</v>
      </c>
      <c r="L32" s="460"/>
      <c r="M32" s="505">
        <v>983</v>
      </c>
      <c r="N32" s="505">
        <v>0</v>
      </c>
      <c r="O32" s="505">
        <v>0</v>
      </c>
      <c r="P32" s="505">
        <v>51150</v>
      </c>
      <c r="Q32" s="505">
        <v>52133</v>
      </c>
      <c r="R32" s="460"/>
      <c r="S32" s="505">
        <v>249674</v>
      </c>
      <c r="T32" s="505">
        <v>-5009</v>
      </c>
      <c r="U32" s="505">
        <v>244665</v>
      </c>
      <c r="W32" s="454">
        <v>1478925</v>
      </c>
      <c r="X32" s="454">
        <v>304543</v>
      </c>
    </row>
    <row r="33" spans="1:24">
      <c r="A33" s="458">
        <v>90307</v>
      </c>
      <c r="B33" s="518" t="s">
        <v>750</v>
      </c>
      <c r="C33" s="460">
        <f t="shared" si="1"/>
        <v>4.5399587183360469E-6</v>
      </c>
      <c r="D33" s="460">
        <f>VLOOKUP(A33,'2024 summary '!A33:C939,3,FALSE)</f>
        <v>4.33E-6</v>
      </c>
      <c r="E33" s="505">
        <v>30606</v>
      </c>
      <c r="F33" s="460"/>
      <c r="G33" s="505">
        <v>5363</v>
      </c>
      <c r="H33" s="505">
        <v>4161</v>
      </c>
      <c r="I33" s="505">
        <v>0</v>
      </c>
      <c r="J33" s="505">
        <v>24021</v>
      </c>
      <c r="K33" s="505">
        <v>33545</v>
      </c>
      <c r="L33" s="460"/>
      <c r="M33" s="505">
        <v>36</v>
      </c>
      <c r="N33" s="505">
        <v>0</v>
      </c>
      <c r="O33" s="505">
        <v>0</v>
      </c>
      <c r="P33" s="505">
        <v>24900</v>
      </c>
      <c r="Q33" s="505">
        <v>24936</v>
      </c>
      <c r="R33" s="460"/>
      <c r="S33" s="505">
        <v>9156</v>
      </c>
      <c r="T33" s="505">
        <v>3370</v>
      </c>
      <c r="U33" s="505">
        <v>12526</v>
      </c>
      <c r="W33" s="454">
        <v>54235</v>
      </c>
      <c r="X33" s="454">
        <v>11168</v>
      </c>
    </row>
    <row r="34" spans="1:24">
      <c r="A34" s="458">
        <v>90401</v>
      </c>
      <c r="B34" s="518" t="s">
        <v>751</v>
      </c>
      <c r="C34" s="460">
        <f t="shared" si="1"/>
        <v>1.4130800255193147E-3</v>
      </c>
      <c r="D34" s="460">
        <f>VLOOKUP(A34,'2024 summary '!A34:C940,3,FALSE)</f>
        <v>1.40088E-3</v>
      </c>
      <c r="E34" s="505">
        <v>9526238</v>
      </c>
      <c r="F34" s="460"/>
      <c r="G34" s="505">
        <v>1669358</v>
      </c>
      <c r="H34" s="505">
        <v>1295086</v>
      </c>
      <c r="I34" s="505">
        <v>0</v>
      </c>
      <c r="J34" s="505">
        <v>94610</v>
      </c>
      <c r="K34" s="505">
        <v>3059054</v>
      </c>
      <c r="L34" s="460"/>
      <c r="M34" s="505">
        <v>11224</v>
      </c>
      <c r="N34" s="505">
        <v>0</v>
      </c>
      <c r="O34" s="505">
        <v>0</v>
      </c>
      <c r="P34" s="505">
        <v>10707</v>
      </c>
      <c r="Q34" s="505">
        <v>21931</v>
      </c>
      <c r="R34" s="460"/>
      <c r="S34" s="505">
        <v>2849838</v>
      </c>
      <c r="T34" s="505">
        <v>95463</v>
      </c>
      <c r="U34" s="505">
        <v>2945301</v>
      </c>
      <c r="W34" s="454">
        <v>16880772</v>
      </c>
      <c r="X34" s="454">
        <v>3476122</v>
      </c>
    </row>
    <row r="35" spans="1:24">
      <c r="A35" s="458">
        <v>90411</v>
      </c>
      <c r="B35" s="518" t="s">
        <v>752</v>
      </c>
      <c r="C35" s="460">
        <f t="shared" si="1"/>
        <v>3.3553997384545001E-4</v>
      </c>
      <c r="D35" s="460">
        <f>VLOOKUP(A35,'2024 summary '!A35:C941,3,FALSE)</f>
        <v>3.2602999999999999E-4</v>
      </c>
      <c r="E35" s="505">
        <v>2262033</v>
      </c>
      <c r="F35" s="460"/>
      <c r="G35" s="505">
        <v>396394</v>
      </c>
      <c r="H35" s="505">
        <v>307522</v>
      </c>
      <c r="I35" s="505">
        <v>0</v>
      </c>
      <c r="J35" s="505">
        <v>582</v>
      </c>
      <c r="K35" s="505">
        <v>704498</v>
      </c>
      <c r="L35" s="460"/>
      <c r="M35" s="505">
        <v>2665</v>
      </c>
      <c r="N35" s="505">
        <v>0</v>
      </c>
      <c r="O35" s="505">
        <v>0</v>
      </c>
      <c r="P35" s="505">
        <v>19192</v>
      </c>
      <c r="Q35" s="505">
        <v>21857</v>
      </c>
      <c r="R35" s="460"/>
      <c r="S35" s="505">
        <v>676702</v>
      </c>
      <c r="T35" s="505">
        <v>-11436</v>
      </c>
      <c r="U35" s="505">
        <v>665266</v>
      </c>
      <c r="W35" s="454">
        <v>4008389</v>
      </c>
      <c r="X35" s="454">
        <v>825415</v>
      </c>
    </row>
    <row r="36" spans="1:24">
      <c r="A36" s="458">
        <v>90413</v>
      </c>
      <c r="B36" s="518" t="s">
        <v>753</v>
      </c>
      <c r="C36" s="460">
        <f t="shared" si="1"/>
        <v>2.6830049441949753E-5</v>
      </c>
      <c r="D36" s="460">
        <f>VLOOKUP(A36,'2024 summary '!A36:C942,3,FALSE)</f>
        <v>2.5150000000000001E-5</v>
      </c>
      <c r="E36" s="505">
        <v>180874</v>
      </c>
      <c r="F36" s="460"/>
      <c r="G36" s="505">
        <v>31696</v>
      </c>
      <c r="H36" s="505">
        <v>24590</v>
      </c>
      <c r="I36" s="505">
        <v>0</v>
      </c>
      <c r="J36" s="505">
        <v>15621</v>
      </c>
      <c r="K36" s="505">
        <v>71907</v>
      </c>
      <c r="L36" s="460"/>
      <c r="M36" s="505">
        <v>213</v>
      </c>
      <c r="N36" s="505">
        <v>0</v>
      </c>
      <c r="O36" s="505">
        <v>0</v>
      </c>
      <c r="P36" s="505">
        <v>7461</v>
      </c>
      <c r="Q36" s="505">
        <v>7674</v>
      </c>
      <c r="R36" s="460"/>
      <c r="S36" s="505">
        <v>54110</v>
      </c>
      <c r="T36" s="505">
        <v>2052</v>
      </c>
      <c r="U36" s="505">
        <v>56162</v>
      </c>
      <c r="W36" s="454">
        <v>320513</v>
      </c>
      <c r="X36" s="454">
        <v>66001</v>
      </c>
    </row>
    <row r="37" spans="1:24">
      <c r="A37" s="458">
        <v>90417</v>
      </c>
      <c r="B37" s="518" t="s">
        <v>754</v>
      </c>
      <c r="C37" s="460">
        <f t="shared" si="1"/>
        <v>1.835993956886256E-5</v>
      </c>
      <c r="D37" s="460">
        <f>VLOOKUP(A37,'2024 summary '!A37:C943,3,FALSE)</f>
        <v>8.0299999999999994E-6</v>
      </c>
      <c r="E37" s="505">
        <v>123773</v>
      </c>
      <c r="F37" s="460"/>
      <c r="G37" s="505">
        <v>21690</v>
      </c>
      <c r="H37" s="505">
        <v>16827</v>
      </c>
      <c r="I37" s="505">
        <v>0</v>
      </c>
      <c r="J37" s="505">
        <v>37127</v>
      </c>
      <c r="K37" s="505">
        <v>75644</v>
      </c>
      <c r="L37" s="460"/>
      <c r="M37" s="505">
        <v>146</v>
      </c>
      <c r="N37" s="505">
        <v>0</v>
      </c>
      <c r="O37" s="505">
        <v>0</v>
      </c>
      <c r="P37" s="505">
        <v>1949</v>
      </c>
      <c r="Q37" s="505">
        <v>2095</v>
      </c>
      <c r="R37" s="460"/>
      <c r="S37" s="505">
        <v>37028</v>
      </c>
      <c r="T37" s="505">
        <v>14753</v>
      </c>
      <c r="U37" s="505">
        <v>51781</v>
      </c>
      <c r="W37" s="454">
        <v>219330</v>
      </c>
      <c r="X37" s="454">
        <v>45165</v>
      </c>
    </row>
    <row r="38" spans="1:24">
      <c r="A38" s="458">
        <v>90421</v>
      </c>
      <c r="B38" s="518" t="s">
        <v>755</v>
      </c>
      <c r="C38" s="460">
        <f t="shared" si="1"/>
        <v>1.2589982232855387E-5</v>
      </c>
      <c r="D38" s="460">
        <f>VLOOKUP(A38,'2024 summary '!A38:C944,3,FALSE)</f>
        <v>1.432E-5</v>
      </c>
      <c r="E38" s="505">
        <v>84875</v>
      </c>
      <c r="F38" s="460"/>
      <c r="G38" s="505">
        <v>14873</v>
      </c>
      <c r="H38" s="505">
        <v>11539</v>
      </c>
      <c r="I38" s="505">
        <v>0</v>
      </c>
      <c r="J38" s="505">
        <v>635</v>
      </c>
      <c r="K38" s="505">
        <v>27047</v>
      </c>
      <c r="L38" s="460"/>
      <c r="M38" s="505">
        <v>100</v>
      </c>
      <c r="N38" s="505">
        <v>0</v>
      </c>
      <c r="O38" s="505">
        <v>0</v>
      </c>
      <c r="P38" s="505">
        <v>16850</v>
      </c>
      <c r="Q38" s="505">
        <v>16950</v>
      </c>
      <c r="R38" s="460"/>
      <c r="S38" s="505">
        <v>25391</v>
      </c>
      <c r="T38" s="505">
        <v>-8349</v>
      </c>
      <c r="U38" s="505">
        <v>17042</v>
      </c>
      <c r="W38" s="454">
        <v>150401</v>
      </c>
      <c r="X38" s="454">
        <v>30971</v>
      </c>
    </row>
    <row r="39" spans="1:24">
      <c r="A39" s="458">
        <v>90431</v>
      </c>
      <c r="B39" s="518" t="s">
        <v>756</v>
      </c>
      <c r="C39" s="460">
        <f t="shared" si="1"/>
        <v>2.7329940341799211E-5</v>
      </c>
      <c r="D39" s="460">
        <f>VLOOKUP(A39,'2024 summary '!A39:C945,3,FALSE)</f>
        <v>2.0959999999999999E-5</v>
      </c>
      <c r="E39" s="505">
        <v>184244</v>
      </c>
      <c r="F39" s="460"/>
      <c r="G39" s="505">
        <v>32287</v>
      </c>
      <c r="H39" s="505">
        <v>25048</v>
      </c>
      <c r="I39" s="505">
        <v>0</v>
      </c>
      <c r="J39" s="505">
        <v>31624</v>
      </c>
      <c r="K39" s="505">
        <v>88959</v>
      </c>
      <c r="L39" s="460"/>
      <c r="M39" s="505">
        <v>217</v>
      </c>
      <c r="N39" s="505">
        <v>0</v>
      </c>
      <c r="O39" s="505">
        <v>0</v>
      </c>
      <c r="P39" s="505">
        <v>16410</v>
      </c>
      <c r="Q39" s="505">
        <v>16627</v>
      </c>
      <c r="R39" s="460"/>
      <c r="S39" s="505">
        <v>55118</v>
      </c>
      <c r="T39" s="505">
        <v>-3874</v>
      </c>
      <c r="U39" s="505">
        <v>51244</v>
      </c>
      <c r="W39" s="454">
        <v>326486</v>
      </c>
      <c r="X39" s="454">
        <v>67231</v>
      </c>
    </row>
    <row r="40" spans="1:24">
      <c r="A40" s="458">
        <v>90441</v>
      </c>
      <c r="B40" s="518" t="s">
        <v>757</v>
      </c>
      <c r="C40" s="460">
        <f t="shared" si="1"/>
        <v>9.2500583453152171E-6</v>
      </c>
      <c r="D40" s="460">
        <f>VLOOKUP(A40,'2024 summary '!A40:C946,3,FALSE)</f>
        <v>9.3600000000000002E-6</v>
      </c>
      <c r="E40" s="505">
        <v>62359</v>
      </c>
      <c r="F40" s="460"/>
      <c r="G40" s="505">
        <v>10928</v>
      </c>
      <c r="H40" s="505">
        <v>8478</v>
      </c>
      <c r="I40" s="505">
        <v>0</v>
      </c>
      <c r="J40" s="505">
        <v>4373</v>
      </c>
      <c r="K40" s="505">
        <v>23779</v>
      </c>
      <c r="L40" s="460"/>
      <c r="M40" s="505">
        <v>73</v>
      </c>
      <c r="N40" s="505">
        <v>0</v>
      </c>
      <c r="O40" s="505">
        <v>0</v>
      </c>
      <c r="P40" s="505">
        <v>2439</v>
      </c>
      <c r="Q40" s="505">
        <v>2512</v>
      </c>
      <c r="R40" s="460"/>
      <c r="S40" s="505">
        <v>18655</v>
      </c>
      <c r="T40" s="505">
        <v>3262</v>
      </c>
      <c r="U40" s="505">
        <v>21917</v>
      </c>
      <c r="W40" s="454">
        <v>110501</v>
      </c>
      <c r="X40" s="454">
        <v>22755</v>
      </c>
    </row>
    <row r="41" spans="1:24">
      <c r="A41" s="458">
        <v>90451</v>
      </c>
      <c r="B41" s="518" t="s">
        <v>758</v>
      </c>
      <c r="C41" s="460">
        <f t="shared" si="1"/>
        <v>2.1120019679693077E-5</v>
      </c>
      <c r="D41" s="460">
        <f>VLOOKUP(A41,'2024 summary '!A41:C947,3,FALSE)</f>
        <v>2.0089999999999999E-5</v>
      </c>
      <c r="E41" s="505">
        <v>142380</v>
      </c>
      <c r="F41" s="460"/>
      <c r="G41" s="505">
        <v>24950</v>
      </c>
      <c r="H41" s="505">
        <v>19356</v>
      </c>
      <c r="I41" s="505">
        <v>0</v>
      </c>
      <c r="J41" s="505">
        <v>7804</v>
      </c>
      <c r="K41" s="505">
        <v>52110</v>
      </c>
      <c r="L41" s="460"/>
      <c r="M41" s="505">
        <v>168</v>
      </c>
      <c r="N41" s="505">
        <v>0</v>
      </c>
      <c r="O41" s="505">
        <v>0</v>
      </c>
      <c r="P41" s="505">
        <v>6526</v>
      </c>
      <c r="Q41" s="505">
        <v>6694</v>
      </c>
      <c r="R41" s="460"/>
      <c r="S41" s="505">
        <v>42594</v>
      </c>
      <c r="T41" s="505">
        <v>-2144</v>
      </c>
      <c r="U41" s="505">
        <v>40450</v>
      </c>
      <c r="W41" s="454">
        <v>252301</v>
      </c>
      <c r="X41" s="454">
        <v>51954</v>
      </c>
    </row>
    <row r="42" spans="1:24">
      <c r="A42" s="458">
        <v>90461</v>
      </c>
      <c r="B42" s="518" t="s">
        <v>759</v>
      </c>
      <c r="C42" s="460">
        <f t="shared" si="1"/>
        <v>7.0999341336481916E-6</v>
      </c>
      <c r="D42" s="460">
        <f>VLOOKUP(A42,'2024 summary '!A42:C948,3,FALSE)</f>
        <v>0</v>
      </c>
      <c r="E42" s="505">
        <v>47864</v>
      </c>
      <c r="F42" s="460"/>
      <c r="G42" s="505">
        <v>8388</v>
      </c>
      <c r="H42" s="505">
        <v>6507</v>
      </c>
      <c r="I42" s="505">
        <v>0</v>
      </c>
      <c r="J42" s="505">
        <v>24113</v>
      </c>
      <c r="K42" s="505">
        <v>39008</v>
      </c>
      <c r="L42" s="460"/>
      <c r="M42" s="505">
        <v>56</v>
      </c>
      <c r="N42" s="505">
        <v>0</v>
      </c>
      <c r="O42" s="505">
        <v>0</v>
      </c>
      <c r="P42" s="505">
        <v>6479</v>
      </c>
      <c r="Q42" s="505">
        <v>6535</v>
      </c>
      <c r="R42" s="460"/>
      <c r="S42" s="505">
        <v>14319</v>
      </c>
      <c r="T42" s="505">
        <v>6145</v>
      </c>
      <c r="U42" s="505">
        <v>20464</v>
      </c>
      <c r="W42" s="454">
        <v>84817</v>
      </c>
      <c r="X42" s="454">
        <v>17466</v>
      </c>
    </row>
    <row r="43" spans="1:24">
      <c r="A43" s="458">
        <v>90501</v>
      </c>
      <c r="B43" s="518" t="s">
        <v>760</v>
      </c>
      <c r="C43" s="460">
        <f t="shared" si="1"/>
        <v>1.3166799963761795E-3</v>
      </c>
      <c r="D43" s="460">
        <f>VLOOKUP(A43,'2024 summary '!A43:C949,3,FALSE)</f>
        <v>1.38105E-3</v>
      </c>
      <c r="E43" s="505">
        <v>8876360</v>
      </c>
      <c r="F43" s="460"/>
      <c r="G43" s="505">
        <v>1555474</v>
      </c>
      <c r="H43" s="505">
        <v>1206736</v>
      </c>
      <c r="I43" s="505">
        <v>0</v>
      </c>
      <c r="J43" s="505">
        <v>30234</v>
      </c>
      <c r="K43" s="505">
        <v>2792444</v>
      </c>
      <c r="L43" s="460"/>
      <c r="M43" s="505">
        <v>10458</v>
      </c>
      <c r="N43" s="505">
        <v>0</v>
      </c>
      <c r="O43" s="505">
        <v>0</v>
      </c>
      <c r="P43" s="505">
        <v>461359</v>
      </c>
      <c r="Q43" s="505">
        <v>471817</v>
      </c>
      <c r="R43" s="460"/>
      <c r="S43" s="505">
        <v>2655422</v>
      </c>
      <c r="T43" s="505">
        <v>-183871</v>
      </c>
      <c r="U43" s="505">
        <v>2471551</v>
      </c>
      <c r="W43" s="454">
        <v>15729170</v>
      </c>
      <c r="X43" s="454">
        <v>3238981</v>
      </c>
    </row>
    <row r="44" spans="1:24">
      <c r="A44" s="458">
        <v>90507</v>
      </c>
      <c r="B44" s="518" t="s">
        <v>34</v>
      </c>
      <c r="C44" s="460">
        <f t="shared" si="1"/>
        <v>1.9500046825907941E-5</v>
      </c>
      <c r="D44" s="460">
        <f>VLOOKUP(A44,'2024 summary '!A44:C950,3,FALSE)</f>
        <v>1.878E-5</v>
      </c>
      <c r="E44" s="505">
        <v>131459</v>
      </c>
      <c r="F44" s="460"/>
      <c r="G44" s="505">
        <v>23037</v>
      </c>
      <c r="H44" s="505">
        <v>17872</v>
      </c>
      <c r="I44" s="505">
        <v>0</v>
      </c>
      <c r="J44" s="505">
        <v>17275</v>
      </c>
      <c r="K44" s="505">
        <v>58184</v>
      </c>
      <c r="L44" s="460"/>
      <c r="M44" s="505">
        <v>155</v>
      </c>
      <c r="N44" s="505">
        <v>0</v>
      </c>
      <c r="O44" s="505">
        <v>0</v>
      </c>
      <c r="P44" s="505">
        <v>4372</v>
      </c>
      <c r="Q44" s="505">
        <v>4527</v>
      </c>
      <c r="R44" s="460"/>
      <c r="S44" s="505">
        <v>39327</v>
      </c>
      <c r="T44" s="505">
        <v>13102</v>
      </c>
      <c r="U44" s="505">
        <v>52429</v>
      </c>
      <c r="W44" s="454">
        <v>232949</v>
      </c>
      <c r="X44" s="454">
        <v>47969</v>
      </c>
    </row>
    <row r="45" spans="1:24">
      <c r="A45" s="458">
        <v>90511</v>
      </c>
      <c r="B45" s="518" t="s">
        <v>761</v>
      </c>
      <c r="C45" s="460">
        <f t="shared" si="1"/>
        <v>1.1347004252057606E-4</v>
      </c>
      <c r="D45" s="460">
        <f>VLOOKUP(A45,'2024 summary '!A45:C951,3,FALSE)</f>
        <v>1.1779E-4</v>
      </c>
      <c r="E45" s="505">
        <v>764955</v>
      </c>
      <c r="F45" s="460"/>
      <c r="G45" s="505">
        <v>134049</v>
      </c>
      <c r="H45" s="505">
        <v>103995</v>
      </c>
      <c r="I45" s="505">
        <v>0</v>
      </c>
      <c r="J45" s="505">
        <v>12503</v>
      </c>
      <c r="K45" s="505">
        <v>250547</v>
      </c>
      <c r="L45" s="460"/>
      <c r="M45" s="505">
        <v>901</v>
      </c>
      <c r="N45" s="505">
        <v>0</v>
      </c>
      <c r="O45" s="505">
        <v>0</v>
      </c>
      <c r="P45" s="505">
        <v>35033</v>
      </c>
      <c r="Q45" s="505">
        <v>35934</v>
      </c>
      <c r="R45" s="460"/>
      <c r="S45" s="505">
        <v>228841</v>
      </c>
      <c r="T45" s="505">
        <v>4001</v>
      </c>
      <c r="U45" s="505">
        <v>232842</v>
      </c>
      <c r="W45" s="454">
        <v>1355522</v>
      </c>
      <c r="X45" s="454">
        <v>279132</v>
      </c>
    </row>
    <row r="46" spans="1:24">
      <c r="A46" s="458">
        <v>90521</v>
      </c>
      <c r="B46" s="518" t="s">
        <v>762</v>
      </c>
      <c r="C46" s="460">
        <f t="shared" si="1"/>
        <v>1.4284004207472826E-4</v>
      </c>
      <c r="D46" s="460">
        <f>VLOOKUP(A46,'2024 summary '!A46:C952,3,FALSE)</f>
        <v>1.2723000000000001E-4</v>
      </c>
      <c r="E46" s="505">
        <v>962952</v>
      </c>
      <c r="F46" s="460"/>
      <c r="G46" s="505">
        <v>168746</v>
      </c>
      <c r="H46" s="505">
        <v>130913</v>
      </c>
      <c r="I46" s="505">
        <v>0</v>
      </c>
      <c r="J46" s="505">
        <v>31121</v>
      </c>
      <c r="K46" s="505">
        <v>330780</v>
      </c>
      <c r="L46" s="460"/>
      <c r="M46" s="505">
        <v>1135</v>
      </c>
      <c r="N46" s="505">
        <v>0</v>
      </c>
      <c r="O46" s="505">
        <v>0</v>
      </c>
      <c r="P46" s="505">
        <v>31133</v>
      </c>
      <c r="Q46" s="505">
        <v>32268</v>
      </c>
      <c r="R46" s="460"/>
      <c r="S46" s="505">
        <v>288073</v>
      </c>
      <c r="T46" s="505">
        <v>-10343</v>
      </c>
      <c r="U46" s="505">
        <v>277730</v>
      </c>
      <c r="W46" s="454">
        <v>1706379</v>
      </c>
      <c r="X46" s="454">
        <v>351381</v>
      </c>
    </row>
    <row r="47" spans="1:24">
      <c r="A47" s="458">
        <v>90601</v>
      </c>
      <c r="B47" s="518" t="s">
        <v>763</v>
      </c>
      <c r="C47" s="460">
        <f t="shared" si="1"/>
        <v>1.1320699903906179E-3</v>
      </c>
      <c r="D47" s="460">
        <f>VLOOKUP(A47,'2024 summary '!A47:C953,3,FALSE)</f>
        <v>1.0938300000000001E-3</v>
      </c>
      <c r="E47" s="505">
        <v>7631817</v>
      </c>
      <c r="F47" s="460"/>
      <c r="G47" s="505">
        <v>1337383</v>
      </c>
      <c r="H47" s="505">
        <v>1037541</v>
      </c>
      <c r="I47" s="505">
        <v>0</v>
      </c>
      <c r="J47" s="505">
        <v>178305</v>
      </c>
      <c r="K47" s="505">
        <v>2553229</v>
      </c>
      <c r="L47" s="460"/>
      <c r="M47" s="505">
        <v>8992</v>
      </c>
      <c r="N47" s="505">
        <v>0</v>
      </c>
      <c r="O47" s="505">
        <v>0</v>
      </c>
      <c r="P47" s="505">
        <v>71088</v>
      </c>
      <c r="Q47" s="505">
        <v>80080</v>
      </c>
      <c r="R47" s="460"/>
      <c r="S47" s="505">
        <v>2283109</v>
      </c>
      <c r="T47" s="505">
        <v>-26451</v>
      </c>
      <c r="U47" s="505">
        <v>2256658</v>
      </c>
      <c r="W47" s="454">
        <v>13523803</v>
      </c>
      <c r="X47" s="454">
        <v>2784848</v>
      </c>
    </row>
    <row r="48" spans="1:24">
      <c r="A48" s="458">
        <v>90602</v>
      </c>
      <c r="B48" s="518" t="s">
        <v>259</v>
      </c>
      <c r="C48" s="460">
        <f t="shared" si="1"/>
        <v>6.6799961106589302E-5</v>
      </c>
      <c r="D48" s="460">
        <f>VLOOKUP(A48,'2024 summary '!A48:C954,3,FALSE)</f>
        <v>7.0580000000000005E-5</v>
      </c>
      <c r="E48" s="505">
        <v>450330</v>
      </c>
      <c r="F48" s="460"/>
      <c r="G48" s="505">
        <v>78915</v>
      </c>
      <c r="H48" s="505">
        <v>61222</v>
      </c>
      <c r="I48" s="505">
        <v>0</v>
      </c>
      <c r="J48" s="505">
        <v>11168</v>
      </c>
      <c r="K48" s="505">
        <v>151305</v>
      </c>
      <c r="L48" s="460"/>
      <c r="M48" s="505">
        <v>531</v>
      </c>
      <c r="N48" s="505">
        <v>0</v>
      </c>
      <c r="O48" s="505">
        <v>0</v>
      </c>
      <c r="P48" s="505">
        <v>10362</v>
      </c>
      <c r="Q48" s="505">
        <v>10893</v>
      </c>
      <c r="R48" s="460"/>
      <c r="S48" s="505">
        <v>134719</v>
      </c>
      <c r="T48" s="505">
        <v>1586</v>
      </c>
      <c r="U48" s="505">
        <v>136305</v>
      </c>
      <c r="W48" s="454">
        <v>797998</v>
      </c>
      <c r="X48" s="454">
        <v>164325</v>
      </c>
    </row>
    <row r="49" spans="1:24">
      <c r="A49" s="458">
        <v>90605</v>
      </c>
      <c r="B49" s="518" t="s">
        <v>764</v>
      </c>
      <c r="C49" s="460">
        <f t="shared" si="1"/>
        <v>4.519992749457787E-5</v>
      </c>
      <c r="D49" s="460">
        <f>VLOOKUP(A49,'2024 summary '!A49:C955,3,FALSE)</f>
        <v>5.0840000000000001E-5</v>
      </c>
      <c r="E49" s="505">
        <v>304714</v>
      </c>
      <c r="F49" s="460"/>
      <c r="G49" s="505">
        <v>53398</v>
      </c>
      <c r="H49" s="505">
        <v>41426</v>
      </c>
      <c r="I49" s="505">
        <v>0</v>
      </c>
      <c r="J49" s="505">
        <v>4661</v>
      </c>
      <c r="K49" s="505">
        <v>99485</v>
      </c>
      <c r="L49" s="460"/>
      <c r="M49" s="505">
        <v>359</v>
      </c>
      <c r="N49" s="505">
        <v>0</v>
      </c>
      <c r="O49" s="505">
        <v>0</v>
      </c>
      <c r="P49" s="505">
        <v>26762</v>
      </c>
      <c r="Q49" s="505">
        <v>27121</v>
      </c>
      <c r="R49" s="460"/>
      <c r="S49" s="505">
        <v>91157</v>
      </c>
      <c r="T49" s="505">
        <v>-7635</v>
      </c>
      <c r="U49" s="505">
        <v>83522</v>
      </c>
      <c r="W49" s="454">
        <v>539963</v>
      </c>
      <c r="X49" s="454">
        <v>111190</v>
      </c>
    </row>
    <row r="50" spans="1:24">
      <c r="A50" s="458">
        <v>90611</v>
      </c>
      <c r="B50" s="518" t="s">
        <v>765</v>
      </c>
      <c r="C50" s="460">
        <f t="shared" si="1"/>
        <v>1.2413003054039247E-4</v>
      </c>
      <c r="D50" s="460">
        <f>VLOOKUP(A50,'2024 summary '!A50:C956,3,FALSE)</f>
        <v>1.2809E-4</v>
      </c>
      <c r="E50" s="505">
        <v>836819</v>
      </c>
      <c r="F50" s="460"/>
      <c r="G50" s="505">
        <v>146642</v>
      </c>
      <c r="H50" s="505">
        <v>113765</v>
      </c>
      <c r="I50" s="505">
        <v>0</v>
      </c>
      <c r="J50" s="505">
        <v>0</v>
      </c>
      <c r="K50" s="505">
        <v>260407</v>
      </c>
      <c r="L50" s="460"/>
      <c r="M50" s="505">
        <v>986</v>
      </c>
      <c r="N50" s="505">
        <v>0</v>
      </c>
      <c r="O50" s="505">
        <v>0</v>
      </c>
      <c r="P50" s="505">
        <v>32804</v>
      </c>
      <c r="Q50" s="505">
        <v>33790</v>
      </c>
      <c r="R50" s="460"/>
      <c r="S50" s="505">
        <v>250340</v>
      </c>
      <c r="T50" s="505">
        <v>-19355</v>
      </c>
      <c r="U50" s="505">
        <v>230985</v>
      </c>
      <c r="W50" s="454">
        <v>1482867</v>
      </c>
      <c r="X50" s="454">
        <v>305355</v>
      </c>
    </row>
    <row r="51" spans="1:24">
      <c r="A51" s="458">
        <v>90617</v>
      </c>
      <c r="B51" s="518" t="s">
        <v>766</v>
      </c>
      <c r="C51" s="460">
        <f t="shared" si="1"/>
        <v>3.0919958014842701E-5</v>
      </c>
      <c r="D51" s="460">
        <f>VLOOKUP(A51,'2024 summary '!A51:C957,3,FALSE)</f>
        <v>3.4860000000000002E-5</v>
      </c>
      <c r="E51" s="505">
        <v>208446</v>
      </c>
      <c r="F51" s="460"/>
      <c r="G51" s="505">
        <v>36528</v>
      </c>
      <c r="H51" s="505">
        <v>28338</v>
      </c>
      <c r="I51" s="505">
        <v>0</v>
      </c>
      <c r="J51" s="505">
        <v>11794</v>
      </c>
      <c r="K51" s="505">
        <v>76660</v>
      </c>
      <c r="L51" s="460"/>
      <c r="M51" s="505">
        <v>246</v>
      </c>
      <c r="N51" s="505">
        <v>0</v>
      </c>
      <c r="O51" s="505">
        <v>0</v>
      </c>
      <c r="P51" s="505">
        <v>14521</v>
      </c>
      <c r="Q51" s="505">
        <v>14767</v>
      </c>
      <c r="R51" s="460"/>
      <c r="S51" s="505">
        <v>62358</v>
      </c>
      <c r="T51" s="505">
        <v>-242</v>
      </c>
      <c r="U51" s="505">
        <v>62116</v>
      </c>
      <c r="W51" s="454">
        <v>369373</v>
      </c>
      <c r="X51" s="454">
        <v>76062</v>
      </c>
    </row>
    <row r="52" spans="1:24">
      <c r="A52" s="458">
        <v>90621</v>
      </c>
      <c r="B52" s="518" t="s">
        <v>767</v>
      </c>
      <c r="C52" s="460">
        <f t="shared" si="1"/>
        <v>7.9579961215618919E-5</v>
      </c>
      <c r="D52" s="460">
        <f>VLOOKUP(A52,'2024 summary '!A52:C958,3,FALSE)</f>
        <v>7.2420000000000001E-5</v>
      </c>
      <c r="E52" s="505">
        <v>536486</v>
      </c>
      <c r="F52" s="460"/>
      <c r="G52" s="505">
        <v>94013</v>
      </c>
      <c r="H52" s="505">
        <v>72935</v>
      </c>
      <c r="I52" s="505">
        <v>0</v>
      </c>
      <c r="J52" s="505">
        <v>31510</v>
      </c>
      <c r="K52" s="505">
        <v>198458</v>
      </c>
      <c r="L52" s="460"/>
      <c r="M52" s="505">
        <v>632</v>
      </c>
      <c r="N52" s="505">
        <v>0</v>
      </c>
      <c r="O52" s="505">
        <v>0</v>
      </c>
      <c r="P52" s="505">
        <v>1006</v>
      </c>
      <c r="Q52" s="505">
        <v>1638</v>
      </c>
      <c r="R52" s="460"/>
      <c r="S52" s="505">
        <v>160493</v>
      </c>
      <c r="T52" s="505">
        <v>9428</v>
      </c>
      <c r="U52" s="505">
        <v>169921</v>
      </c>
      <c r="W52" s="454">
        <v>950669</v>
      </c>
      <c r="X52" s="454">
        <v>195764</v>
      </c>
    </row>
    <row r="53" spans="1:24">
      <c r="A53" s="458">
        <v>90631</v>
      </c>
      <c r="B53" s="518" t="s">
        <v>768</v>
      </c>
      <c r="C53" s="460">
        <f t="shared" si="1"/>
        <v>4.5055003634295103E-4</v>
      </c>
      <c r="D53" s="460">
        <f>VLOOKUP(A53,'2024 summary '!A53:C959,3,FALSE)</f>
        <v>4.4141999999999999E-4</v>
      </c>
      <c r="E53" s="505">
        <v>3037370</v>
      </c>
      <c r="F53" s="460"/>
      <c r="G53" s="505">
        <v>532262</v>
      </c>
      <c r="H53" s="505">
        <v>412929</v>
      </c>
      <c r="I53" s="505">
        <v>0</v>
      </c>
      <c r="J53" s="505">
        <v>66506</v>
      </c>
      <c r="K53" s="505">
        <v>1011697</v>
      </c>
      <c r="L53" s="460"/>
      <c r="M53" s="505">
        <v>3579</v>
      </c>
      <c r="N53" s="505">
        <v>0</v>
      </c>
      <c r="O53" s="505">
        <v>0</v>
      </c>
      <c r="P53" s="505">
        <v>25737</v>
      </c>
      <c r="Q53" s="505">
        <v>29316</v>
      </c>
      <c r="R53" s="460"/>
      <c r="S53" s="505">
        <v>908649</v>
      </c>
      <c r="T53" s="505">
        <v>50143</v>
      </c>
      <c r="U53" s="505">
        <v>958792</v>
      </c>
      <c r="W53" s="454">
        <v>5382308</v>
      </c>
      <c r="X53" s="454">
        <v>1108335</v>
      </c>
    </row>
    <row r="54" spans="1:24">
      <c r="A54" s="458">
        <v>90641</v>
      </c>
      <c r="B54" s="518" t="s">
        <v>769</v>
      </c>
      <c r="C54" s="460">
        <f t="shared" si="1"/>
        <v>1.3269952525113521E-5</v>
      </c>
      <c r="D54" s="460">
        <f>VLOOKUP(A54,'2024 summary '!A54:C960,3,FALSE)</f>
        <v>1.306E-5</v>
      </c>
      <c r="E54" s="505">
        <v>89459</v>
      </c>
      <c r="F54" s="460"/>
      <c r="G54" s="505">
        <v>15677</v>
      </c>
      <c r="H54" s="505">
        <v>12162</v>
      </c>
      <c r="I54" s="505">
        <v>0</v>
      </c>
      <c r="J54" s="505">
        <v>2387</v>
      </c>
      <c r="K54" s="505">
        <v>30226</v>
      </c>
      <c r="L54" s="460"/>
      <c r="M54" s="505">
        <v>105</v>
      </c>
      <c r="N54" s="505">
        <v>0</v>
      </c>
      <c r="O54" s="505">
        <v>0</v>
      </c>
      <c r="P54" s="505">
        <v>3881</v>
      </c>
      <c r="Q54" s="505">
        <v>3986</v>
      </c>
      <c r="R54" s="460"/>
      <c r="S54" s="505">
        <v>26762</v>
      </c>
      <c r="T54" s="505">
        <v>569</v>
      </c>
      <c r="U54" s="505">
        <v>27331</v>
      </c>
      <c r="W54" s="454">
        <v>158525</v>
      </c>
      <c r="X54" s="454">
        <v>32644</v>
      </c>
    </row>
    <row r="55" spans="1:24">
      <c r="A55" s="458">
        <v>90651</v>
      </c>
      <c r="B55" s="518" t="s">
        <v>1930</v>
      </c>
      <c r="C55" s="460">
        <f t="shared" si="1"/>
        <v>8.9580004246286909E-5</v>
      </c>
      <c r="D55" s="460">
        <f>VLOOKUP(A55,'2024 summary '!A55:C961,3,FALSE)</f>
        <v>9.7999999999999997E-5</v>
      </c>
      <c r="E55" s="505">
        <v>603901</v>
      </c>
      <c r="F55" s="460"/>
      <c r="G55" s="505">
        <v>105826</v>
      </c>
      <c r="H55" s="505">
        <v>82100</v>
      </c>
      <c r="I55" s="505">
        <v>0</v>
      </c>
      <c r="J55" s="505">
        <v>128722</v>
      </c>
      <c r="K55" s="505">
        <v>316648</v>
      </c>
      <c r="L55" s="460"/>
      <c r="M55" s="505">
        <v>712</v>
      </c>
      <c r="N55" s="505">
        <v>0</v>
      </c>
      <c r="O55" s="505">
        <v>0</v>
      </c>
      <c r="P55" s="505">
        <v>17968</v>
      </c>
      <c r="Q55" s="505">
        <v>18680</v>
      </c>
      <c r="R55" s="460"/>
      <c r="S55" s="505">
        <v>180661</v>
      </c>
      <c r="T55" s="505">
        <v>76790</v>
      </c>
      <c r="U55" s="505">
        <v>257451</v>
      </c>
      <c r="W55" s="454">
        <v>1070130</v>
      </c>
      <c r="X55" s="454">
        <v>220363</v>
      </c>
    </row>
    <row r="56" spans="1:24">
      <c r="A56" s="458">
        <v>90701</v>
      </c>
      <c r="B56" s="518" t="s">
        <v>771</v>
      </c>
      <c r="C56" s="460">
        <f t="shared" si="1"/>
        <v>2.3014800509730472E-3</v>
      </c>
      <c r="D56" s="460">
        <f>VLOOKUP(A56,'2024 summary '!A56:C962,3,FALSE)</f>
        <v>2.3350699999999999E-3</v>
      </c>
      <c r="E56" s="505">
        <v>15515361</v>
      </c>
      <c r="F56" s="460"/>
      <c r="G56" s="505">
        <v>2718879</v>
      </c>
      <c r="H56" s="505">
        <v>2109304</v>
      </c>
      <c r="I56" s="505">
        <v>0</v>
      </c>
      <c r="J56" s="505">
        <v>0</v>
      </c>
      <c r="K56" s="505">
        <v>4828183</v>
      </c>
      <c r="L56" s="460"/>
      <c r="M56" s="505">
        <v>18281</v>
      </c>
      <c r="N56" s="505">
        <v>0</v>
      </c>
      <c r="O56" s="505">
        <v>0</v>
      </c>
      <c r="P56" s="505">
        <v>458913</v>
      </c>
      <c r="Q56" s="505">
        <v>477194</v>
      </c>
      <c r="R56" s="460"/>
      <c r="S56" s="505">
        <v>4641524</v>
      </c>
      <c r="T56" s="505">
        <v>-229063</v>
      </c>
      <c r="U56" s="505">
        <v>4412461</v>
      </c>
      <c r="W56" s="454">
        <v>27493673</v>
      </c>
      <c r="X56" s="454">
        <v>5661551</v>
      </c>
    </row>
    <row r="57" spans="1:24">
      <c r="A57" s="458">
        <v>90704</v>
      </c>
      <c r="B57" s="518" t="s">
        <v>772</v>
      </c>
      <c r="C57" s="460">
        <f t="shared" si="1"/>
        <v>5.9659976366721711E-5</v>
      </c>
      <c r="D57" s="460">
        <f>VLOOKUP(A57,'2024 summary '!A57:C963,3,FALSE)</f>
        <v>6.9099999999999999E-5</v>
      </c>
      <c r="E57" s="505">
        <v>402196</v>
      </c>
      <c r="F57" s="460"/>
      <c r="G57" s="505">
        <v>70480</v>
      </c>
      <c r="H57" s="505">
        <v>54678</v>
      </c>
      <c r="I57" s="505">
        <v>0</v>
      </c>
      <c r="J57" s="505">
        <v>2216</v>
      </c>
      <c r="K57" s="505">
        <v>127374</v>
      </c>
      <c r="L57" s="460"/>
      <c r="M57" s="505">
        <v>474</v>
      </c>
      <c r="N57" s="505">
        <v>0</v>
      </c>
      <c r="O57" s="505">
        <v>0</v>
      </c>
      <c r="P57" s="505">
        <v>36876</v>
      </c>
      <c r="Q57" s="505">
        <v>37350</v>
      </c>
      <c r="R57" s="460"/>
      <c r="S57" s="505">
        <v>120320</v>
      </c>
      <c r="T57" s="505">
        <v>4496</v>
      </c>
      <c r="U57" s="505">
        <v>124816</v>
      </c>
      <c r="W57" s="454">
        <v>712703</v>
      </c>
      <c r="X57" s="454">
        <v>146761</v>
      </c>
    </row>
    <row r="58" spans="1:24">
      <c r="A58" s="458">
        <v>90705</v>
      </c>
      <c r="B58" s="518" t="s">
        <v>773</v>
      </c>
      <c r="C58" s="460">
        <f t="shared" si="1"/>
        <v>2.5619927791809732E-5</v>
      </c>
      <c r="D58" s="460">
        <f>VLOOKUP(A58,'2024 summary '!A58:C964,3,FALSE)</f>
        <v>4.0509999999999997E-5</v>
      </c>
      <c r="E58" s="505">
        <v>172716</v>
      </c>
      <c r="F58" s="460"/>
      <c r="G58" s="505">
        <v>30266</v>
      </c>
      <c r="H58" s="505">
        <v>23481</v>
      </c>
      <c r="I58" s="505">
        <v>0</v>
      </c>
      <c r="J58" s="505">
        <v>3694</v>
      </c>
      <c r="K58" s="505">
        <v>57441</v>
      </c>
      <c r="L58" s="460"/>
      <c r="M58" s="505">
        <v>203</v>
      </c>
      <c r="N58" s="505">
        <v>0</v>
      </c>
      <c r="O58" s="505">
        <v>0</v>
      </c>
      <c r="P58" s="505">
        <v>48596</v>
      </c>
      <c r="Q58" s="505">
        <v>48799</v>
      </c>
      <c r="R58" s="460"/>
      <c r="S58" s="505">
        <v>51669</v>
      </c>
      <c r="T58" s="505">
        <v>-10288</v>
      </c>
      <c r="U58" s="505">
        <v>41381</v>
      </c>
      <c r="W58" s="454">
        <v>306059</v>
      </c>
      <c r="X58" s="454">
        <v>63024</v>
      </c>
    </row>
    <row r="59" spans="1:24">
      <c r="A59" s="458">
        <v>90709</v>
      </c>
      <c r="B59" s="518" t="s">
        <v>774</v>
      </c>
      <c r="C59" s="460">
        <f t="shared" si="1"/>
        <v>1.544799349267125E-4</v>
      </c>
      <c r="D59" s="460">
        <f>VLOOKUP(A59,'2024 summary '!A59:C965,3,FALSE)</f>
        <v>1.4032000000000001E-4</v>
      </c>
      <c r="E59" s="505">
        <v>1041422</v>
      </c>
      <c r="F59" s="460"/>
      <c r="G59" s="505">
        <v>182497</v>
      </c>
      <c r="H59" s="505">
        <v>141581</v>
      </c>
      <c r="I59" s="505">
        <v>0</v>
      </c>
      <c r="J59" s="505">
        <v>80403</v>
      </c>
      <c r="K59" s="505">
        <v>404481</v>
      </c>
      <c r="L59" s="460"/>
      <c r="M59" s="505">
        <v>1227</v>
      </c>
      <c r="N59" s="505">
        <v>0</v>
      </c>
      <c r="O59" s="505">
        <v>0</v>
      </c>
      <c r="P59" s="505">
        <v>10230</v>
      </c>
      <c r="Q59" s="505">
        <v>11457</v>
      </c>
      <c r="R59" s="460"/>
      <c r="S59" s="505">
        <v>311548</v>
      </c>
      <c r="T59" s="505">
        <v>28431</v>
      </c>
      <c r="U59" s="505">
        <v>339979</v>
      </c>
      <c r="W59" s="454">
        <v>1845431</v>
      </c>
      <c r="X59" s="454">
        <v>380015</v>
      </c>
    </row>
    <row r="60" spans="1:24">
      <c r="A60" s="458">
        <v>90711</v>
      </c>
      <c r="B60" s="518" t="s">
        <v>775</v>
      </c>
      <c r="C60" s="460">
        <f t="shared" si="1"/>
        <v>1.4724200420430172E-3</v>
      </c>
      <c r="D60" s="460">
        <f>VLOOKUP(A60,'2024 summary '!A60:C966,3,FALSE)</f>
        <v>1.4738799999999999E-3</v>
      </c>
      <c r="E60" s="505">
        <v>9926277</v>
      </c>
      <c r="F60" s="460"/>
      <c r="G60" s="505">
        <v>1739460</v>
      </c>
      <c r="H60" s="505">
        <v>1349471</v>
      </c>
      <c r="I60" s="505">
        <v>0</v>
      </c>
      <c r="J60" s="505">
        <v>32891</v>
      </c>
      <c r="K60" s="505">
        <v>3121822</v>
      </c>
      <c r="L60" s="460"/>
      <c r="M60" s="505">
        <v>11695</v>
      </c>
      <c r="N60" s="505">
        <v>0</v>
      </c>
      <c r="O60" s="505">
        <v>0</v>
      </c>
      <c r="P60" s="505">
        <v>122847</v>
      </c>
      <c r="Q60" s="505">
        <v>134542</v>
      </c>
      <c r="R60" s="460"/>
      <c r="S60" s="505">
        <v>2969512</v>
      </c>
      <c r="T60" s="505">
        <v>-69902</v>
      </c>
      <c r="U60" s="505">
        <v>2899610</v>
      </c>
      <c r="W60" s="454">
        <v>17589653</v>
      </c>
      <c r="X60" s="454">
        <v>3622096</v>
      </c>
    </row>
    <row r="61" spans="1:24">
      <c r="A61" s="458">
        <v>90721</v>
      </c>
      <c r="B61" s="518" t="s">
        <v>776</v>
      </c>
      <c r="C61" s="460">
        <f t="shared" si="1"/>
        <v>1.0970009379070249E-5</v>
      </c>
      <c r="D61" s="460">
        <f>VLOOKUP(A61,'2024 summary '!A61:C967,3,FALSE)</f>
        <v>1.4929999999999999E-5</v>
      </c>
      <c r="E61" s="505">
        <v>73954</v>
      </c>
      <c r="F61" s="460"/>
      <c r="G61" s="505">
        <v>12960</v>
      </c>
      <c r="H61" s="505">
        <v>10054</v>
      </c>
      <c r="I61" s="505">
        <v>0</v>
      </c>
      <c r="J61" s="505">
        <v>4383</v>
      </c>
      <c r="K61" s="505">
        <v>27397</v>
      </c>
      <c r="L61" s="460"/>
      <c r="M61" s="505">
        <v>87</v>
      </c>
      <c r="N61" s="505">
        <v>0</v>
      </c>
      <c r="O61" s="505">
        <v>0</v>
      </c>
      <c r="P61" s="505">
        <v>18148</v>
      </c>
      <c r="Q61" s="505">
        <v>18235</v>
      </c>
      <c r="R61" s="460"/>
      <c r="S61" s="505">
        <v>22124</v>
      </c>
      <c r="T61" s="505">
        <v>-3345</v>
      </c>
      <c r="U61" s="505">
        <v>18779</v>
      </c>
      <c r="W61" s="454">
        <v>131049</v>
      </c>
      <c r="X61" s="454">
        <v>26986</v>
      </c>
    </row>
    <row r="62" spans="1:24">
      <c r="A62" s="458">
        <v>90731</v>
      </c>
      <c r="B62" s="518" t="s">
        <v>777</v>
      </c>
      <c r="C62" s="460">
        <f t="shared" si="1"/>
        <v>1.3038994029248357E-4</v>
      </c>
      <c r="D62" s="460">
        <f>VLOOKUP(A62,'2024 summary '!A62:C968,3,FALSE)</f>
        <v>1.4236000000000001E-4</v>
      </c>
      <c r="E62" s="505">
        <v>879020</v>
      </c>
      <c r="F62" s="460"/>
      <c r="G62" s="505">
        <v>154038</v>
      </c>
      <c r="H62" s="505">
        <v>119502</v>
      </c>
      <c r="I62" s="505">
        <v>0</v>
      </c>
      <c r="J62" s="505">
        <v>26382</v>
      </c>
      <c r="K62" s="505">
        <v>299922</v>
      </c>
      <c r="L62" s="460"/>
      <c r="M62" s="505">
        <v>1036</v>
      </c>
      <c r="N62" s="505">
        <v>0</v>
      </c>
      <c r="O62" s="505">
        <v>0</v>
      </c>
      <c r="P62" s="505">
        <v>59321</v>
      </c>
      <c r="Q62" s="505">
        <v>60357</v>
      </c>
      <c r="R62" s="460"/>
      <c r="S62" s="505">
        <v>262965</v>
      </c>
      <c r="T62" s="505">
        <v>-10356</v>
      </c>
      <c r="U62" s="505">
        <v>252609</v>
      </c>
      <c r="W62" s="454">
        <v>1557650</v>
      </c>
      <c r="X62" s="454">
        <v>320754</v>
      </c>
    </row>
    <row r="63" spans="1:24">
      <c r="A63" s="458">
        <v>90741</v>
      </c>
      <c r="B63" s="518" t="s">
        <v>778</v>
      </c>
      <c r="C63" s="460">
        <f t="shared" si="1"/>
        <v>1.4610016142098682E-5</v>
      </c>
      <c r="D63" s="460">
        <f>VLOOKUP(A63,'2024 summary '!A63:C969,3,FALSE)</f>
        <v>1.0010000000000001E-5</v>
      </c>
      <c r="E63" s="505">
        <v>98493</v>
      </c>
      <c r="F63" s="460"/>
      <c r="G63" s="505">
        <v>17260</v>
      </c>
      <c r="H63" s="505">
        <v>13390</v>
      </c>
      <c r="I63" s="505">
        <v>0</v>
      </c>
      <c r="J63" s="505">
        <v>13265</v>
      </c>
      <c r="K63" s="505">
        <v>43915</v>
      </c>
      <c r="L63" s="460"/>
      <c r="M63" s="505">
        <v>116</v>
      </c>
      <c r="N63" s="505">
        <v>0</v>
      </c>
      <c r="O63" s="505">
        <v>0</v>
      </c>
      <c r="P63" s="505">
        <v>4498</v>
      </c>
      <c r="Q63" s="505">
        <v>4614</v>
      </c>
      <c r="R63" s="460"/>
      <c r="S63" s="505">
        <v>29465</v>
      </c>
      <c r="T63" s="505">
        <v>2554</v>
      </c>
      <c r="U63" s="505">
        <v>32019</v>
      </c>
      <c r="W63" s="454">
        <v>174532</v>
      </c>
      <c r="X63" s="454">
        <v>35940</v>
      </c>
    </row>
    <row r="64" spans="1:24">
      <c r="A64" s="458">
        <v>90751</v>
      </c>
      <c r="B64" s="518" t="s">
        <v>779</v>
      </c>
      <c r="C64" s="460">
        <f t="shared" si="1"/>
        <v>1.6124997073357577E-4</v>
      </c>
      <c r="D64" s="460">
        <f>VLOOKUP(A64,'2024 summary '!A64:C970,3,FALSE)</f>
        <v>1.4128E-4</v>
      </c>
      <c r="E64" s="505">
        <v>1087062</v>
      </c>
      <c r="F64" s="460"/>
      <c r="G64" s="505">
        <v>190494</v>
      </c>
      <c r="H64" s="505">
        <v>147785</v>
      </c>
      <c r="I64" s="505">
        <v>0</v>
      </c>
      <c r="J64" s="505">
        <v>105660</v>
      </c>
      <c r="K64" s="505">
        <v>443939</v>
      </c>
      <c r="L64" s="460"/>
      <c r="M64" s="505">
        <v>1281</v>
      </c>
      <c r="N64" s="505">
        <v>0</v>
      </c>
      <c r="O64" s="505">
        <v>0</v>
      </c>
      <c r="P64" s="505">
        <v>0</v>
      </c>
      <c r="Q64" s="505">
        <v>1281</v>
      </c>
      <c r="R64" s="460"/>
      <c r="S64" s="505">
        <v>325202</v>
      </c>
      <c r="T64" s="505">
        <v>65985</v>
      </c>
      <c r="U64" s="505">
        <v>391187</v>
      </c>
      <c r="W64" s="454">
        <v>1926306</v>
      </c>
      <c r="X64" s="454">
        <v>396669</v>
      </c>
    </row>
    <row r="65" spans="1:24">
      <c r="A65" s="458">
        <v>90801</v>
      </c>
      <c r="B65" s="518" t="s">
        <v>780</v>
      </c>
      <c r="C65" s="460">
        <f t="shared" si="1"/>
        <v>9.0928997665103205E-4</v>
      </c>
      <c r="D65" s="460">
        <f>VLOOKUP(A65,'2024 summary '!A65:C971,3,FALSE)</f>
        <v>1.1185699999999999E-3</v>
      </c>
      <c r="E65" s="505">
        <v>6129952</v>
      </c>
      <c r="F65" s="460"/>
      <c r="G65" s="505">
        <v>1074200</v>
      </c>
      <c r="H65" s="505">
        <v>833363</v>
      </c>
      <c r="I65" s="505">
        <v>0</v>
      </c>
      <c r="J65" s="505">
        <v>52342</v>
      </c>
      <c r="K65" s="505">
        <v>1959905</v>
      </c>
      <c r="L65" s="460"/>
      <c r="M65" s="505">
        <v>7222</v>
      </c>
      <c r="N65" s="505">
        <v>0</v>
      </c>
      <c r="O65" s="505">
        <v>0</v>
      </c>
      <c r="P65" s="505">
        <v>851838</v>
      </c>
      <c r="Q65" s="505">
        <v>859060</v>
      </c>
      <c r="R65" s="460"/>
      <c r="S65" s="505">
        <v>1833816</v>
      </c>
      <c r="T65" s="505">
        <v>-364642</v>
      </c>
      <c r="U65" s="505">
        <v>1469174</v>
      </c>
      <c r="W65" s="454">
        <v>10862455</v>
      </c>
      <c r="X65" s="454">
        <v>2236818</v>
      </c>
    </row>
    <row r="66" spans="1:24">
      <c r="A66" s="458">
        <v>90804</v>
      </c>
      <c r="B66" s="518" t="s">
        <v>781</v>
      </c>
      <c r="C66" s="460">
        <f t="shared" si="1"/>
        <v>8.3699833575387104E-6</v>
      </c>
      <c r="D66" s="460">
        <f>VLOOKUP(A66,'2024 summary '!A66:C972,3,FALSE)</f>
        <v>8.1799999999999996E-6</v>
      </c>
      <c r="E66" s="505">
        <v>56426</v>
      </c>
      <c r="F66" s="460"/>
      <c r="G66" s="505">
        <v>9888</v>
      </c>
      <c r="H66" s="505">
        <v>7671</v>
      </c>
      <c r="I66" s="505">
        <v>0</v>
      </c>
      <c r="J66" s="505">
        <v>7376</v>
      </c>
      <c r="K66" s="505">
        <v>24935</v>
      </c>
      <c r="L66" s="460"/>
      <c r="M66" s="505">
        <v>66</v>
      </c>
      <c r="N66" s="505">
        <v>0</v>
      </c>
      <c r="O66" s="505">
        <v>0</v>
      </c>
      <c r="P66" s="505">
        <v>341</v>
      </c>
      <c r="Q66" s="505">
        <v>407</v>
      </c>
      <c r="R66" s="460"/>
      <c r="S66" s="505">
        <v>16880</v>
      </c>
      <c r="T66" s="505">
        <v>3402</v>
      </c>
      <c r="U66" s="505">
        <v>20282</v>
      </c>
      <c r="W66" s="454">
        <v>99989</v>
      </c>
      <c r="X66" s="454">
        <v>20590</v>
      </c>
    </row>
    <row r="67" spans="1:24">
      <c r="A67" s="458">
        <v>90805</v>
      </c>
      <c r="B67" s="518" t="s">
        <v>782</v>
      </c>
      <c r="C67" s="460">
        <f t="shared" si="1"/>
        <v>5.3829943121385448E-5</v>
      </c>
      <c r="D67" s="460">
        <f>VLOOKUP(A67,'2024 summary '!A67:C973,3,FALSE)</f>
        <v>5.7250000000000002E-5</v>
      </c>
      <c r="E67" s="505">
        <v>362893</v>
      </c>
      <c r="F67" s="460"/>
      <c r="G67" s="505">
        <v>63593</v>
      </c>
      <c r="H67" s="505">
        <v>49335</v>
      </c>
      <c r="I67" s="505">
        <v>0</v>
      </c>
      <c r="J67" s="505">
        <v>10304</v>
      </c>
      <c r="K67" s="505">
        <v>123232</v>
      </c>
      <c r="L67" s="460"/>
      <c r="M67" s="505">
        <v>428</v>
      </c>
      <c r="N67" s="505">
        <v>0</v>
      </c>
      <c r="O67" s="505">
        <v>0</v>
      </c>
      <c r="P67" s="505">
        <v>4387</v>
      </c>
      <c r="Q67" s="505">
        <v>4815</v>
      </c>
      <c r="R67" s="460"/>
      <c r="S67" s="505">
        <v>108562</v>
      </c>
      <c r="T67" s="505">
        <v>6876</v>
      </c>
      <c r="U67" s="505">
        <v>115438</v>
      </c>
      <c r="W67" s="454">
        <v>643058</v>
      </c>
      <c r="X67" s="454">
        <v>132420</v>
      </c>
    </row>
    <row r="68" spans="1:24">
      <c r="A68" s="458">
        <v>90808</v>
      </c>
      <c r="B68" s="518" t="s">
        <v>783</v>
      </c>
      <c r="C68" s="460">
        <f t="shared" si="1"/>
        <v>8.9639931820037404E-5</v>
      </c>
      <c r="D68" s="460">
        <f>VLOOKUP(A68,'2024 summary '!A68:C974,3,FALSE)</f>
        <v>8.878E-5</v>
      </c>
      <c r="E68" s="505">
        <v>604305</v>
      </c>
      <c r="F68" s="460"/>
      <c r="G68" s="505">
        <v>105897</v>
      </c>
      <c r="H68" s="505">
        <v>82155</v>
      </c>
      <c r="I68" s="505">
        <v>0</v>
      </c>
      <c r="J68" s="505">
        <v>32169</v>
      </c>
      <c r="K68" s="505">
        <v>220221</v>
      </c>
      <c r="L68" s="460"/>
      <c r="M68" s="505">
        <v>712</v>
      </c>
      <c r="N68" s="505">
        <v>0</v>
      </c>
      <c r="O68" s="505">
        <v>0</v>
      </c>
      <c r="P68" s="505">
        <v>46415</v>
      </c>
      <c r="Q68" s="505">
        <v>47127</v>
      </c>
      <c r="R68" s="460"/>
      <c r="S68" s="505">
        <v>180782</v>
      </c>
      <c r="T68" s="505">
        <v>-23073</v>
      </c>
      <c r="U68" s="505">
        <v>157709</v>
      </c>
      <c r="W68" s="454">
        <v>1070847</v>
      </c>
      <c r="X68" s="454">
        <v>220511</v>
      </c>
    </row>
    <row r="69" spans="1:24">
      <c r="A69" s="458">
        <v>90811</v>
      </c>
      <c r="B69" s="518" t="s">
        <v>784</v>
      </c>
      <c r="C69" s="460">
        <f t="shared" si="1"/>
        <v>2.7390016251128298E-5</v>
      </c>
      <c r="D69" s="460">
        <f>VLOOKUP(A69,'2024 summary '!A69:C975,3,FALSE)</f>
        <v>2.6319999999999999E-5</v>
      </c>
      <c r="E69" s="505">
        <v>184649</v>
      </c>
      <c r="F69" s="460"/>
      <c r="G69" s="505">
        <v>32357</v>
      </c>
      <c r="H69" s="505">
        <v>25103</v>
      </c>
      <c r="I69" s="505">
        <v>0</v>
      </c>
      <c r="J69" s="505">
        <v>16123</v>
      </c>
      <c r="K69" s="505">
        <v>73583</v>
      </c>
      <c r="L69" s="460"/>
      <c r="M69" s="505">
        <v>218</v>
      </c>
      <c r="N69" s="505">
        <v>0</v>
      </c>
      <c r="O69" s="505">
        <v>0</v>
      </c>
      <c r="P69" s="505">
        <v>11051</v>
      </c>
      <c r="Q69" s="505">
        <v>11269</v>
      </c>
      <c r="R69" s="460"/>
      <c r="S69" s="505">
        <v>55239</v>
      </c>
      <c r="T69" s="505">
        <v>-2927</v>
      </c>
      <c r="U69" s="505">
        <v>52312</v>
      </c>
      <c r="W69" s="454">
        <v>327203</v>
      </c>
      <c r="X69" s="454">
        <v>67378</v>
      </c>
    </row>
    <row r="70" spans="1:24">
      <c r="A70" s="458">
        <v>90812</v>
      </c>
      <c r="B70" s="518" t="s">
        <v>785</v>
      </c>
      <c r="C70" s="460">
        <f t="shared" si="1"/>
        <v>1.8022995302094597E-4</v>
      </c>
      <c r="D70" s="460">
        <f>VLOOKUP(A70,'2024 summary '!A70:C976,3,FALSE)</f>
        <v>2.1563999999999999E-4</v>
      </c>
      <c r="E70" s="505">
        <v>1215015</v>
      </c>
      <c r="F70" s="460"/>
      <c r="G70" s="505">
        <v>212917</v>
      </c>
      <c r="H70" s="505">
        <v>165181</v>
      </c>
      <c r="I70" s="505">
        <v>0</v>
      </c>
      <c r="J70" s="505">
        <v>0</v>
      </c>
      <c r="K70" s="505">
        <v>378098</v>
      </c>
      <c r="L70" s="460"/>
      <c r="M70" s="505">
        <v>1432</v>
      </c>
      <c r="N70" s="505">
        <v>0</v>
      </c>
      <c r="O70" s="505">
        <v>0</v>
      </c>
      <c r="P70" s="505">
        <v>116251</v>
      </c>
      <c r="Q70" s="505">
        <v>117683</v>
      </c>
      <c r="R70" s="460"/>
      <c r="S70" s="505">
        <v>363480</v>
      </c>
      <c r="T70" s="505">
        <v>-38385</v>
      </c>
      <c r="U70" s="505">
        <v>325095</v>
      </c>
      <c r="W70" s="454">
        <v>2153043</v>
      </c>
      <c r="X70" s="454">
        <v>443359</v>
      </c>
    </row>
    <row r="71" spans="1:24">
      <c r="A71" s="458">
        <v>90813</v>
      </c>
      <c r="B71" s="518" t="s">
        <v>786</v>
      </c>
      <c r="C71" s="460">
        <f t="shared" si="1"/>
        <v>2.7099426852669816E-6</v>
      </c>
      <c r="D71" s="460">
        <f>VLOOKUP(A71,'2024 summary '!A71:C977,3,FALSE)</f>
        <v>3.2100000000000002E-6</v>
      </c>
      <c r="E71" s="505">
        <v>18269</v>
      </c>
      <c r="F71" s="460"/>
      <c r="G71" s="505">
        <v>3201</v>
      </c>
      <c r="H71" s="505">
        <v>2484</v>
      </c>
      <c r="I71" s="505">
        <v>0</v>
      </c>
      <c r="J71" s="505">
        <v>2507</v>
      </c>
      <c r="K71" s="505">
        <v>8192</v>
      </c>
      <c r="L71" s="460"/>
      <c r="M71" s="505">
        <v>22</v>
      </c>
      <c r="N71" s="505">
        <v>0</v>
      </c>
      <c r="O71" s="505">
        <v>0</v>
      </c>
      <c r="P71" s="505">
        <v>1644</v>
      </c>
      <c r="Q71" s="505">
        <v>1666</v>
      </c>
      <c r="R71" s="460"/>
      <c r="S71" s="505">
        <v>5465</v>
      </c>
      <c r="T71" s="505">
        <v>-33</v>
      </c>
      <c r="U71" s="505">
        <v>5432</v>
      </c>
      <c r="W71" s="454">
        <v>32374</v>
      </c>
      <c r="X71" s="454">
        <v>6666</v>
      </c>
    </row>
    <row r="72" spans="1:24">
      <c r="A72" s="458">
        <v>90861</v>
      </c>
      <c r="B72" s="518" t="s">
        <v>787</v>
      </c>
      <c r="C72" s="460">
        <f t="shared" si="1"/>
        <v>4.8999691675748103E-6</v>
      </c>
      <c r="D72" s="460">
        <f>VLOOKUP(A72,'2024 summary '!A72:C978,3,FALSE)</f>
        <v>6.3300000000000004E-6</v>
      </c>
      <c r="E72" s="505">
        <v>33033</v>
      </c>
      <c r="F72" s="460"/>
      <c r="G72" s="505">
        <v>5789</v>
      </c>
      <c r="H72" s="505">
        <v>4491</v>
      </c>
      <c r="I72" s="505">
        <v>0</v>
      </c>
      <c r="J72" s="505">
        <v>10709</v>
      </c>
      <c r="K72" s="505">
        <v>20989</v>
      </c>
      <c r="L72" s="460"/>
      <c r="M72" s="505">
        <v>39</v>
      </c>
      <c r="N72" s="505">
        <v>0</v>
      </c>
      <c r="O72" s="505">
        <v>0</v>
      </c>
      <c r="P72" s="505">
        <v>2088</v>
      </c>
      <c r="Q72" s="505">
        <v>2127</v>
      </c>
      <c r="R72" s="460"/>
      <c r="S72" s="505">
        <v>9882</v>
      </c>
      <c r="T72" s="505">
        <v>5849</v>
      </c>
      <c r="U72" s="505">
        <v>15731</v>
      </c>
      <c r="W72" s="454">
        <v>58536</v>
      </c>
      <c r="X72" s="454">
        <v>12054</v>
      </c>
    </row>
    <row r="73" spans="1:24">
      <c r="A73" s="458">
        <v>90901</v>
      </c>
      <c r="B73" s="518" t="s">
        <v>788</v>
      </c>
      <c r="C73" s="460">
        <f t="shared" si="1"/>
        <v>1.8880900054294989E-3</v>
      </c>
      <c r="D73" s="460">
        <f>VLOOKUP(A73,'2024 summary '!A73:C979,3,FALSE)</f>
        <v>2.0073399999999998E-3</v>
      </c>
      <c r="E73" s="505">
        <v>12728504</v>
      </c>
      <c r="F73" s="460"/>
      <c r="G73" s="505">
        <v>2230516</v>
      </c>
      <c r="H73" s="505">
        <v>1730433</v>
      </c>
      <c r="I73" s="505">
        <v>0</v>
      </c>
      <c r="J73" s="505">
        <v>25547</v>
      </c>
      <c r="K73" s="505">
        <v>3986496</v>
      </c>
      <c r="L73" s="460"/>
      <c r="M73" s="505">
        <v>14997</v>
      </c>
      <c r="N73" s="505">
        <v>0</v>
      </c>
      <c r="O73" s="505">
        <v>0</v>
      </c>
      <c r="P73" s="505">
        <v>412185</v>
      </c>
      <c r="Q73" s="505">
        <v>427182</v>
      </c>
      <c r="R73" s="460"/>
      <c r="S73" s="505">
        <v>3807817</v>
      </c>
      <c r="T73" s="505">
        <v>-137170</v>
      </c>
      <c r="U73" s="505">
        <v>3670647</v>
      </c>
      <c r="W73" s="454">
        <v>22555282</v>
      </c>
      <c r="X73" s="454">
        <v>4644628</v>
      </c>
    </row>
    <row r="74" spans="1:24">
      <c r="A74" s="458">
        <v>90911</v>
      </c>
      <c r="B74" s="518" t="s">
        <v>789</v>
      </c>
      <c r="C74" s="460">
        <f t="shared" ref="C74:C137" si="2">E74/$E$915</f>
        <v>2.5475003931526967E-4</v>
      </c>
      <c r="D74" s="460">
        <f>VLOOKUP(A74,'2024 summary '!A74:C980,3,FALSE)</f>
        <v>2.9734E-4</v>
      </c>
      <c r="E74" s="505">
        <v>1717390</v>
      </c>
      <c r="F74" s="460"/>
      <c r="G74" s="505">
        <v>300952</v>
      </c>
      <c r="H74" s="505">
        <v>233478</v>
      </c>
      <c r="I74" s="505">
        <v>0</v>
      </c>
      <c r="J74" s="505">
        <v>1241</v>
      </c>
      <c r="K74" s="505">
        <v>535671</v>
      </c>
      <c r="L74" s="460"/>
      <c r="M74" s="505">
        <v>2023</v>
      </c>
      <c r="N74" s="505">
        <v>0</v>
      </c>
      <c r="O74" s="505">
        <v>0</v>
      </c>
      <c r="P74" s="505">
        <v>161434</v>
      </c>
      <c r="Q74" s="505">
        <v>163457</v>
      </c>
      <c r="R74" s="460"/>
      <c r="S74" s="505">
        <v>513769</v>
      </c>
      <c r="T74" s="505">
        <v>-88936</v>
      </c>
      <c r="U74" s="505">
        <v>424833</v>
      </c>
      <c r="W74" s="454">
        <v>3043265</v>
      </c>
      <c r="X74" s="454">
        <v>626675</v>
      </c>
    </row>
    <row r="75" spans="1:24">
      <c r="A75" s="458">
        <v>90917</v>
      </c>
      <c r="B75" s="518" t="s">
        <v>790</v>
      </c>
      <c r="C75" s="460">
        <f t="shared" si="2"/>
        <v>4.5800093245554399E-6</v>
      </c>
      <c r="D75" s="460">
        <f>VLOOKUP(A75,'2024 summary '!A75:C981,3,FALSE)</f>
        <v>9.5100000000000004E-6</v>
      </c>
      <c r="E75" s="505">
        <v>30876</v>
      </c>
      <c r="F75" s="460"/>
      <c r="G75" s="505">
        <v>5411</v>
      </c>
      <c r="H75" s="505">
        <v>4198</v>
      </c>
      <c r="I75" s="505">
        <v>0</v>
      </c>
      <c r="J75" s="505">
        <v>2410</v>
      </c>
      <c r="K75" s="505">
        <v>12019</v>
      </c>
      <c r="L75" s="460"/>
      <c r="M75" s="505">
        <v>36</v>
      </c>
      <c r="N75" s="505">
        <v>0</v>
      </c>
      <c r="O75" s="505">
        <v>0</v>
      </c>
      <c r="P75" s="505">
        <v>10863</v>
      </c>
      <c r="Q75" s="505">
        <v>10899</v>
      </c>
      <c r="R75" s="460"/>
      <c r="S75" s="505">
        <v>9237</v>
      </c>
      <c r="T75" s="505">
        <v>-1801</v>
      </c>
      <c r="U75" s="505">
        <v>7436</v>
      </c>
      <c r="W75" s="454">
        <v>54713</v>
      </c>
      <c r="X75" s="454">
        <v>11267</v>
      </c>
    </row>
    <row r="76" spans="1:24">
      <c r="A76" s="458">
        <v>90918</v>
      </c>
      <c r="B76" s="518" t="s">
        <v>791</v>
      </c>
      <c r="C76" s="460">
        <f t="shared" si="2"/>
        <v>6.7900611099729646E-6</v>
      </c>
      <c r="D76" s="460">
        <f>VLOOKUP(A76,'2024 summary '!A76:C982,3,FALSE)</f>
        <v>7.9000000000000006E-6</v>
      </c>
      <c r="E76" s="505">
        <v>45775</v>
      </c>
      <c r="F76" s="460"/>
      <c r="G76" s="505">
        <v>8021</v>
      </c>
      <c r="H76" s="505">
        <v>6223</v>
      </c>
      <c r="I76" s="505">
        <v>0</v>
      </c>
      <c r="J76" s="505">
        <v>620</v>
      </c>
      <c r="K76" s="505">
        <v>14864</v>
      </c>
      <c r="L76" s="460"/>
      <c r="M76" s="505">
        <v>54</v>
      </c>
      <c r="N76" s="505">
        <v>0</v>
      </c>
      <c r="O76" s="505">
        <v>0</v>
      </c>
      <c r="P76" s="505">
        <v>3628</v>
      </c>
      <c r="Q76" s="505">
        <v>3682</v>
      </c>
      <c r="R76" s="460"/>
      <c r="S76" s="505">
        <v>13694</v>
      </c>
      <c r="T76" s="505">
        <v>-1491</v>
      </c>
      <c r="U76" s="505">
        <v>12203</v>
      </c>
      <c r="W76" s="454">
        <v>81114</v>
      </c>
      <c r="X76" s="454">
        <v>16703</v>
      </c>
    </row>
    <row r="77" spans="1:24">
      <c r="A77" s="458">
        <v>90921</v>
      </c>
      <c r="B77" s="518" t="s">
        <v>792</v>
      </c>
      <c r="C77" s="460">
        <f t="shared" si="2"/>
        <v>1.2329000615883537E-4</v>
      </c>
      <c r="D77" s="460">
        <f>VLOOKUP(A77,'2024 summary '!A77:C983,3,FALSE)</f>
        <v>1.2017E-4</v>
      </c>
      <c r="E77" s="505">
        <v>831156</v>
      </c>
      <c r="F77" s="460"/>
      <c r="G77" s="505">
        <v>145650</v>
      </c>
      <c r="H77" s="505">
        <v>112995</v>
      </c>
      <c r="I77" s="505">
        <v>0</v>
      </c>
      <c r="J77" s="505">
        <v>15928</v>
      </c>
      <c r="K77" s="505">
        <v>274573</v>
      </c>
      <c r="L77" s="460"/>
      <c r="M77" s="505">
        <v>979</v>
      </c>
      <c r="N77" s="505">
        <v>0</v>
      </c>
      <c r="O77" s="505">
        <v>0</v>
      </c>
      <c r="P77" s="505">
        <v>495</v>
      </c>
      <c r="Q77" s="505">
        <v>1474</v>
      </c>
      <c r="R77" s="460"/>
      <c r="S77" s="505">
        <v>248646</v>
      </c>
      <c r="T77" s="505">
        <v>16000</v>
      </c>
      <c r="U77" s="505">
        <v>264646</v>
      </c>
      <c r="W77" s="454">
        <v>1472833</v>
      </c>
      <c r="X77" s="454">
        <v>303289</v>
      </c>
    </row>
    <row r="78" spans="1:24">
      <c r="A78" s="458">
        <v>90931</v>
      </c>
      <c r="B78" s="518" t="s">
        <v>793</v>
      </c>
      <c r="C78" s="460">
        <f t="shared" si="2"/>
        <v>2.6040014150377584E-5</v>
      </c>
      <c r="D78" s="460">
        <f>VLOOKUP(A78,'2024 summary '!A78:C984,3,FALSE)</f>
        <v>2.44E-5</v>
      </c>
      <c r="E78" s="505">
        <v>175548</v>
      </c>
      <c r="F78" s="460"/>
      <c r="G78" s="505">
        <v>30763</v>
      </c>
      <c r="H78" s="505">
        <v>23866</v>
      </c>
      <c r="I78" s="505">
        <v>0</v>
      </c>
      <c r="J78" s="505">
        <v>6748</v>
      </c>
      <c r="K78" s="505">
        <v>61377</v>
      </c>
      <c r="L78" s="460"/>
      <c r="M78" s="505">
        <v>207</v>
      </c>
      <c r="N78" s="505">
        <v>0</v>
      </c>
      <c r="O78" s="505">
        <v>0</v>
      </c>
      <c r="P78" s="505">
        <v>4619</v>
      </c>
      <c r="Q78" s="505">
        <v>4826</v>
      </c>
      <c r="R78" s="460"/>
      <c r="S78" s="505">
        <v>52516</v>
      </c>
      <c r="T78" s="505">
        <v>-1283</v>
      </c>
      <c r="U78" s="505">
        <v>51233</v>
      </c>
      <c r="W78" s="454">
        <v>311076</v>
      </c>
      <c r="X78" s="454">
        <v>64057</v>
      </c>
    </row>
    <row r="79" spans="1:24">
      <c r="A79" s="458">
        <v>90941</v>
      </c>
      <c r="B79" s="518" t="s">
        <v>794</v>
      </c>
      <c r="C79" s="460">
        <f t="shared" si="2"/>
        <v>6.0479975445169131E-5</v>
      </c>
      <c r="D79" s="460">
        <f>VLOOKUP(A79,'2024 summary '!A79:C985,3,FALSE)</f>
        <v>7.3930000000000005E-5</v>
      </c>
      <c r="E79" s="505">
        <v>407724</v>
      </c>
      <c r="F79" s="460"/>
      <c r="G79" s="505">
        <v>71449</v>
      </c>
      <c r="H79" s="505">
        <v>55430</v>
      </c>
      <c r="I79" s="505">
        <v>0</v>
      </c>
      <c r="J79" s="505">
        <v>4376</v>
      </c>
      <c r="K79" s="505">
        <v>131255</v>
      </c>
      <c r="L79" s="460"/>
      <c r="M79" s="505">
        <v>480</v>
      </c>
      <c r="N79" s="505">
        <v>0</v>
      </c>
      <c r="O79" s="505">
        <v>0</v>
      </c>
      <c r="P79" s="505">
        <v>56387</v>
      </c>
      <c r="Q79" s="505">
        <v>56867</v>
      </c>
      <c r="R79" s="460"/>
      <c r="S79" s="505">
        <v>121973</v>
      </c>
      <c r="T79" s="505">
        <v>-16451</v>
      </c>
      <c r="U79" s="505">
        <v>105522</v>
      </c>
      <c r="W79" s="454">
        <v>722499</v>
      </c>
      <c r="X79" s="454">
        <v>148778</v>
      </c>
    </row>
    <row r="80" spans="1:24">
      <c r="A80" s="458">
        <v>91001</v>
      </c>
      <c r="B80" s="518" t="s">
        <v>795</v>
      </c>
      <c r="C80" s="460">
        <f t="shared" si="2"/>
        <v>7.3166599790831909E-3</v>
      </c>
      <c r="D80" s="460">
        <f>VLOOKUP(A80,'2024 summary '!A80:C986,3,FALSE)</f>
        <v>7.4335099999999999E-3</v>
      </c>
      <c r="E80" s="505">
        <v>49325051</v>
      </c>
      <c r="F80" s="460"/>
      <c r="G80" s="505">
        <v>8643617</v>
      </c>
      <c r="H80" s="505">
        <v>6705712</v>
      </c>
      <c r="I80" s="505">
        <v>0</v>
      </c>
      <c r="J80" s="505">
        <v>308770</v>
      </c>
      <c r="K80" s="505">
        <v>15658099</v>
      </c>
      <c r="L80" s="460"/>
      <c r="M80" s="505">
        <v>58116</v>
      </c>
      <c r="N80" s="505">
        <v>0</v>
      </c>
      <c r="O80" s="505">
        <v>0</v>
      </c>
      <c r="P80" s="505">
        <v>859579</v>
      </c>
      <c r="Q80" s="505">
        <v>917695</v>
      </c>
      <c r="R80" s="460"/>
      <c r="S80" s="505">
        <v>14755918</v>
      </c>
      <c r="T80" s="505">
        <v>-222049</v>
      </c>
      <c r="U80" s="505">
        <v>14533869</v>
      </c>
      <c r="W80" s="454">
        <v>87405435</v>
      </c>
      <c r="X80" s="454">
        <v>17998698</v>
      </c>
    </row>
    <row r="81" spans="1:24">
      <c r="A81" s="458">
        <v>91002</v>
      </c>
      <c r="B81" s="518" t="s">
        <v>796</v>
      </c>
      <c r="C81" s="460">
        <f t="shared" si="2"/>
        <v>1.7273200486282417E-3</v>
      </c>
      <c r="D81" s="460">
        <f>VLOOKUP(A81,'2024 summary '!A81:C987,3,FALSE)</f>
        <v>1.68322E-3</v>
      </c>
      <c r="E81" s="505">
        <v>11644678</v>
      </c>
      <c r="F81" s="460"/>
      <c r="G81" s="505">
        <v>2040588</v>
      </c>
      <c r="H81" s="505">
        <v>1583087</v>
      </c>
      <c r="I81" s="505">
        <v>0</v>
      </c>
      <c r="J81" s="505">
        <v>332930</v>
      </c>
      <c r="K81" s="505">
        <v>3956605</v>
      </c>
      <c r="L81" s="460"/>
      <c r="M81" s="505">
        <v>13720</v>
      </c>
      <c r="N81" s="505">
        <v>0</v>
      </c>
      <c r="O81" s="505">
        <v>0</v>
      </c>
      <c r="P81" s="505">
        <v>334672</v>
      </c>
      <c r="Q81" s="505">
        <v>348392</v>
      </c>
      <c r="R81" s="460"/>
      <c r="S81" s="505">
        <v>3483583</v>
      </c>
      <c r="T81" s="505">
        <v>91150</v>
      </c>
      <c r="U81" s="505">
        <v>3574733</v>
      </c>
      <c r="W81" s="454">
        <v>20634710</v>
      </c>
      <c r="X81" s="454">
        <v>4249140</v>
      </c>
    </row>
    <row r="82" spans="1:24">
      <c r="A82" s="458">
        <v>91003</v>
      </c>
      <c r="B82" s="518" t="s">
        <v>797</v>
      </c>
      <c r="C82" s="460">
        <f t="shared" si="2"/>
        <v>5.5031995316050155E-4</v>
      </c>
      <c r="D82" s="460">
        <f>VLOOKUP(A82,'2024 summary '!A82:C988,3,FALSE)</f>
        <v>5.7295999999999996E-4</v>
      </c>
      <c r="E82" s="505">
        <v>3709966</v>
      </c>
      <c r="F82" s="460"/>
      <c r="G82" s="505">
        <v>650127</v>
      </c>
      <c r="H82" s="505">
        <v>504368</v>
      </c>
      <c r="I82" s="505">
        <v>0</v>
      </c>
      <c r="J82" s="505">
        <v>25918</v>
      </c>
      <c r="K82" s="505">
        <v>1180413</v>
      </c>
      <c r="L82" s="460"/>
      <c r="M82" s="505">
        <v>4371</v>
      </c>
      <c r="N82" s="505">
        <v>0</v>
      </c>
      <c r="O82" s="505">
        <v>0</v>
      </c>
      <c r="P82" s="505">
        <v>89843</v>
      </c>
      <c r="Q82" s="505">
        <v>94214</v>
      </c>
      <c r="R82" s="460"/>
      <c r="S82" s="505">
        <v>1109861</v>
      </c>
      <c r="T82" s="505">
        <v>-5094</v>
      </c>
      <c r="U82" s="505">
        <v>1104767</v>
      </c>
      <c r="W82" s="454">
        <v>6574169</v>
      </c>
      <c r="X82" s="454">
        <v>1353766</v>
      </c>
    </row>
    <row r="83" spans="1:24">
      <c r="A83" s="458">
        <v>91004</v>
      </c>
      <c r="B83" s="518" t="s">
        <v>798</v>
      </c>
      <c r="C83" s="460">
        <f t="shared" si="2"/>
        <v>4.1970068606351733E-5</v>
      </c>
      <c r="D83" s="460">
        <f>VLOOKUP(A83,'2024 summary '!A83:C989,3,FALSE)</f>
        <v>3.9669999999999998E-5</v>
      </c>
      <c r="E83" s="505">
        <v>282940</v>
      </c>
      <c r="F83" s="460"/>
      <c r="G83" s="505">
        <v>49582</v>
      </c>
      <c r="H83" s="505">
        <v>38465</v>
      </c>
      <c r="I83" s="505">
        <v>0</v>
      </c>
      <c r="J83" s="505">
        <v>4069</v>
      </c>
      <c r="K83" s="505">
        <v>92116</v>
      </c>
      <c r="L83" s="460"/>
      <c r="M83" s="505">
        <v>333</v>
      </c>
      <c r="N83" s="505">
        <v>0</v>
      </c>
      <c r="O83" s="505">
        <v>0</v>
      </c>
      <c r="P83" s="505">
        <v>4031</v>
      </c>
      <c r="Q83" s="505">
        <v>4364</v>
      </c>
      <c r="R83" s="460"/>
      <c r="S83" s="505">
        <v>84643</v>
      </c>
      <c r="T83" s="505">
        <v>1348</v>
      </c>
      <c r="U83" s="505">
        <v>85991</v>
      </c>
      <c r="W83" s="454">
        <v>501377</v>
      </c>
      <c r="X83" s="454">
        <v>103245</v>
      </c>
    </row>
    <row r="84" spans="1:24">
      <c r="A84" s="458">
        <v>91006</v>
      </c>
      <c r="B84" s="518" t="s">
        <v>799</v>
      </c>
      <c r="C84" s="460">
        <f t="shared" si="2"/>
        <v>1.0157700017016955E-3</v>
      </c>
      <c r="D84" s="460">
        <f>VLOOKUP(A84,'2024 summary '!A84:C990,3,FALSE)</f>
        <v>1.08574E-3</v>
      </c>
      <c r="E84" s="505">
        <v>6847784</v>
      </c>
      <c r="F84" s="460"/>
      <c r="G84" s="505">
        <v>1199991</v>
      </c>
      <c r="H84" s="505">
        <v>930952</v>
      </c>
      <c r="I84" s="505">
        <v>0</v>
      </c>
      <c r="J84" s="505">
        <v>81520</v>
      </c>
      <c r="K84" s="505">
        <v>2212463</v>
      </c>
      <c r="L84" s="460"/>
      <c r="M84" s="505">
        <v>8068</v>
      </c>
      <c r="N84" s="505">
        <v>0</v>
      </c>
      <c r="O84" s="505">
        <v>0</v>
      </c>
      <c r="P84" s="505">
        <v>243666</v>
      </c>
      <c r="Q84" s="505">
        <v>251734</v>
      </c>
      <c r="R84" s="460"/>
      <c r="S84" s="505">
        <v>2048560</v>
      </c>
      <c r="T84" s="505">
        <v>-54836</v>
      </c>
      <c r="U84" s="505">
        <v>1993724</v>
      </c>
      <c r="W84" s="454">
        <v>12134474</v>
      </c>
      <c r="X84" s="454">
        <v>2498755</v>
      </c>
    </row>
    <row r="85" spans="1:24">
      <c r="A85" s="458">
        <v>91007</v>
      </c>
      <c r="B85" s="518" t="s">
        <v>800</v>
      </c>
      <c r="C85" s="460">
        <f t="shared" si="2"/>
        <v>9.9699309082141536E-6</v>
      </c>
      <c r="D85" s="460">
        <f>VLOOKUP(A85,'2024 summary '!A85:C991,3,FALSE)</f>
        <v>1.0360000000000001E-5</v>
      </c>
      <c r="E85" s="505">
        <v>67212</v>
      </c>
      <c r="F85" s="460"/>
      <c r="G85" s="505">
        <v>11778</v>
      </c>
      <c r="H85" s="505">
        <v>9137</v>
      </c>
      <c r="I85" s="505">
        <v>0</v>
      </c>
      <c r="J85" s="505">
        <v>284</v>
      </c>
      <c r="K85" s="505">
        <v>21199</v>
      </c>
      <c r="L85" s="460"/>
      <c r="M85" s="505">
        <v>79</v>
      </c>
      <c r="N85" s="505">
        <v>0</v>
      </c>
      <c r="O85" s="505">
        <v>0</v>
      </c>
      <c r="P85" s="505">
        <v>3241</v>
      </c>
      <c r="Q85" s="505">
        <v>3320</v>
      </c>
      <c r="R85" s="460"/>
      <c r="S85" s="505">
        <v>20107</v>
      </c>
      <c r="T85" s="505">
        <v>-672</v>
      </c>
      <c r="U85" s="505">
        <v>19435</v>
      </c>
      <c r="W85" s="454">
        <v>119102</v>
      </c>
      <c r="X85" s="454">
        <v>24526</v>
      </c>
    </row>
    <row r="86" spans="1:24">
      <c r="A86" s="458">
        <v>91008</v>
      </c>
      <c r="B86" s="518" t="s">
        <v>801</v>
      </c>
      <c r="C86" s="460">
        <f t="shared" si="2"/>
        <v>1.5893000228442278E-4</v>
      </c>
      <c r="D86" s="460">
        <f>VLOOKUP(A86,'2024 summary '!A86:C992,3,FALSE)</f>
        <v>1.8299000000000001E-4</v>
      </c>
      <c r="E86" s="505">
        <v>1071422</v>
      </c>
      <c r="F86" s="460"/>
      <c r="G86" s="505">
        <v>187754</v>
      </c>
      <c r="H86" s="505">
        <v>145659</v>
      </c>
      <c r="I86" s="505">
        <v>0</v>
      </c>
      <c r="J86" s="505">
        <v>28997</v>
      </c>
      <c r="K86" s="505">
        <v>362410</v>
      </c>
      <c r="L86" s="460"/>
      <c r="M86" s="505">
        <v>1262</v>
      </c>
      <c r="N86" s="505">
        <v>0</v>
      </c>
      <c r="O86" s="505">
        <v>0</v>
      </c>
      <c r="P86" s="505">
        <v>79196</v>
      </c>
      <c r="Q86" s="505">
        <v>80458</v>
      </c>
      <c r="R86" s="460"/>
      <c r="S86" s="505">
        <v>320523</v>
      </c>
      <c r="T86" s="505">
        <v>-8514</v>
      </c>
      <c r="U86" s="505">
        <v>312009</v>
      </c>
      <c r="W86" s="454">
        <v>1898591</v>
      </c>
      <c r="X86" s="454">
        <v>390962</v>
      </c>
    </row>
    <row r="87" spans="1:24">
      <c r="A87" s="458">
        <v>91009</v>
      </c>
      <c r="B87" s="518" t="s">
        <v>802</v>
      </c>
      <c r="C87" s="460">
        <f t="shared" si="2"/>
        <v>1.0659988019816431E-5</v>
      </c>
      <c r="D87" s="460">
        <f>VLOOKUP(A87,'2024 summary '!A87:C993,3,FALSE)</f>
        <v>1.6019999999999999E-5</v>
      </c>
      <c r="E87" s="505">
        <v>71864</v>
      </c>
      <c r="F87" s="460"/>
      <c r="G87" s="505">
        <v>12593</v>
      </c>
      <c r="H87" s="505">
        <v>9770</v>
      </c>
      <c r="I87" s="505">
        <v>0</v>
      </c>
      <c r="J87" s="505">
        <v>9773</v>
      </c>
      <c r="K87" s="505">
        <v>32136</v>
      </c>
      <c r="L87" s="460"/>
      <c r="M87" s="505">
        <v>85</v>
      </c>
      <c r="N87" s="505">
        <v>0</v>
      </c>
      <c r="O87" s="505">
        <v>0</v>
      </c>
      <c r="P87" s="505">
        <v>6709</v>
      </c>
      <c r="Q87" s="505">
        <v>6794</v>
      </c>
      <c r="R87" s="460"/>
      <c r="S87" s="505">
        <v>21499</v>
      </c>
      <c r="T87" s="505">
        <v>5864</v>
      </c>
      <c r="U87" s="505">
        <v>27363</v>
      </c>
      <c r="W87" s="454">
        <v>127345</v>
      </c>
      <c r="X87" s="454">
        <v>26223</v>
      </c>
    </row>
    <row r="88" spans="1:24">
      <c r="A88" s="458">
        <v>91010</v>
      </c>
      <c r="B88" s="518" t="s">
        <v>803</v>
      </c>
      <c r="C88" s="460">
        <f t="shared" si="2"/>
        <v>5.6339929446712645E-5</v>
      </c>
      <c r="D88" s="460">
        <f>VLOOKUP(A88,'2024 summary '!A88:C994,3,FALSE)</f>
        <v>4.5930000000000002E-5</v>
      </c>
      <c r="E88" s="505">
        <v>379814</v>
      </c>
      <c r="F88" s="460"/>
      <c r="G88" s="505">
        <v>66558</v>
      </c>
      <c r="H88" s="505">
        <v>51636</v>
      </c>
      <c r="I88" s="505">
        <v>0</v>
      </c>
      <c r="J88" s="505">
        <v>52989</v>
      </c>
      <c r="K88" s="505">
        <v>171183</v>
      </c>
      <c r="L88" s="460"/>
      <c r="M88" s="505">
        <v>448</v>
      </c>
      <c r="N88" s="505">
        <v>0</v>
      </c>
      <c r="O88" s="505">
        <v>0</v>
      </c>
      <c r="P88" s="505">
        <v>5046</v>
      </c>
      <c r="Q88" s="505">
        <v>5494</v>
      </c>
      <c r="R88" s="460"/>
      <c r="S88" s="505">
        <v>113624</v>
      </c>
      <c r="T88" s="505">
        <v>20957</v>
      </c>
      <c r="U88" s="505">
        <v>134581</v>
      </c>
      <c r="W88" s="454">
        <v>673042</v>
      </c>
      <c r="X88" s="454">
        <v>138594</v>
      </c>
    </row>
    <row r="89" spans="1:24">
      <c r="A89" s="458">
        <v>91011</v>
      </c>
      <c r="B89" s="518" t="s">
        <v>804</v>
      </c>
      <c r="C89" s="460">
        <f t="shared" si="2"/>
        <v>5.3847001712923335E-4</v>
      </c>
      <c r="D89" s="460">
        <f>VLOOKUP(A89,'2024 summary '!A89:C995,3,FALSE)</f>
        <v>4.9138999999999997E-4</v>
      </c>
      <c r="E89" s="505">
        <v>3630080</v>
      </c>
      <c r="F89" s="460"/>
      <c r="G89" s="505">
        <v>636127</v>
      </c>
      <c r="H89" s="505">
        <v>493507</v>
      </c>
      <c r="I89" s="505">
        <v>0</v>
      </c>
      <c r="J89" s="505">
        <v>272147</v>
      </c>
      <c r="K89" s="505">
        <v>1401781</v>
      </c>
      <c r="L89" s="460"/>
      <c r="M89" s="505">
        <v>4277</v>
      </c>
      <c r="N89" s="505">
        <v>0</v>
      </c>
      <c r="O89" s="505">
        <v>0</v>
      </c>
      <c r="P89" s="505">
        <v>4325</v>
      </c>
      <c r="Q89" s="505">
        <v>8602</v>
      </c>
      <c r="R89" s="460"/>
      <c r="S89" s="505">
        <v>1085963</v>
      </c>
      <c r="T89" s="505">
        <v>138127</v>
      </c>
      <c r="U89" s="505">
        <v>1224090</v>
      </c>
      <c r="W89" s="454">
        <v>6432608</v>
      </c>
      <c r="X89" s="454">
        <v>1324615</v>
      </c>
    </row>
    <row r="90" spans="1:24">
      <c r="A90" s="458">
        <v>91012</v>
      </c>
      <c r="B90" s="518" t="s">
        <v>805</v>
      </c>
      <c r="C90" s="460">
        <f t="shared" si="2"/>
        <v>1.7059926558096792E-5</v>
      </c>
      <c r="D90" s="460">
        <f>VLOOKUP(A90,'2024 summary '!A90:C996,3,FALSE)</f>
        <v>1.5359999999999999E-5</v>
      </c>
      <c r="E90" s="505">
        <v>115009</v>
      </c>
      <c r="F90" s="460"/>
      <c r="G90" s="505">
        <v>20154</v>
      </c>
      <c r="H90" s="505">
        <v>15635</v>
      </c>
      <c r="I90" s="505">
        <v>0</v>
      </c>
      <c r="J90" s="505">
        <v>20242</v>
      </c>
      <c r="K90" s="505">
        <v>56031</v>
      </c>
      <c r="L90" s="460"/>
      <c r="M90" s="505">
        <v>136</v>
      </c>
      <c r="N90" s="505">
        <v>0</v>
      </c>
      <c r="O90" s="505">
        <v>0</v>
      </c>
      <c r="P90" s="505">
        <v>3012</v>
      </c>
      <c r="Q90" s="505">
        <v>3148</v>
      </c>
      <c r="R90" s="460"/>
      <c r="S90" s="505">
        <v>34406</v>
      </c>
      <c r="T90" s="505">
        <v>9342</v>
      </c>
      <c r="U90" s="505">
        <v>43748</v>
      </c>
      <c r="W90" s="454">
        <v>203800</v>
      </c>
      <c r="X90" s="454">
        <v>41967</v>
      </c>
    </row>
    <row r="91" spans="1:24">
      <c r="A91" s="458">
        <v>91013</v>
      </c>
      <c r="B91" s="518" t="s">
        <v>806</v>
      </c>
      <c r="C91" s="460">
        <f t="shared" si="2"/>
        <v>2.6149930814113029E-5</v>
      </c>
      <c r="D91" s="460">
        <f>VLOOKUP(A91,'2024 summary '!A91:C997,3,FALSE)</f>
        <v>3.269E-5</v>
      </c>
      <c r="E91" s="505">
        <v>176289</v>
      </c>
      <c r="F91" s="460"/>
      <c r="G91" s="505">
        <v>30893</v>
      </c>
      <c r="H91" s="505">
        <v>23966</v>
      </c>
      <c r="I91" s="505">
        <v>0</v>
      </c>
      <c r="J91" s="505">
        <v>14883</v>
      </c>
      <c r="K91" s="505">
        <v>69742</v>
      </c>
      <c r="L91" s="460"/>
      <c r="M91" s="505">
        <v>208</v>
      </c>
      <c r="N91" s="505">
        <v>0</v>
      </c>
      <c r="O91" s="505">
        <v>0</v>
      </c>
      <c r="P91" s="505">
        <v>6772</v>
      </c>
      <c r="Q91" s="505">
        <v>6980</v>
      </c>
      <c r="R91" s="460"/>
      <c r="S91" s="505">
        <v>52738</v>
      </c>
      <c r="T91" s="505">
        <v>10565</v>
      </c>
      <c r="U91" s="505">
        <v>63303</v>
      </c>
      <c r="W91" s="454">
        <v>312390</v>
      </c>
      <c r="X91" s="454">
        <v>64328</v>
      </c>
    </row>
    <row r="92" spans="1:24">
      <c r="A92" s="458">
        <v>91014</v>
      </c>
      <c r="B92" s="518" t="s">
        <v>807</v>
      </c>
      <c r="C92" s="460">
        <f t="shared" si="2"/>
        <v>1.9838993622986874E-4</v>
      </c>
      <c r="D92" s="460">
        <f>VLOOKUP(A92,'2024 summary '!A92:C998,3,FALSE)</f>
        <v>1.6411E-4</v>
      </c>
      <c r="E92" s="505">
        <v>1337440</v>
      </c>
      <c r="F92" s="460"/>
      <c r="G92" s="505">
        <v>234370</v>
      </c>
      <c r="H92" s="505">
        <v>181824</v>
      </c>
      <c r="I92" s="505">
        <v>0</v>
      </c>
      <c r="J92" s="505">
        <v>125604</v>
      </c>
      <c r="K92" s="505">
        <v>541798</v>
      </c>
      <c r="L92" s="460"/>
      <c r="M92" s="505">
        <v>1576</v>
      </c>
      <c r="N92" s="505">
        <v>0</v>
      </c>
      <c r="O92" s="505">
        <v>0</v>
      </c>
      <c r="P92" s="505">
        <v>17739</v>
      </c>
      <c r="Q92" s="505">
        <v>19315</v>
      </c>
      <c r="R92" s="460"/>
      <c r="S92" s="505">
        <v>400104</v>
      </c>
      <c r="T92" s="505">
        <v>42808</v>
      </c>
      <c r="U92" s="505">
        <v>442912</v>
      </c>
      <c r="W92" s="454">
        <v>2369984</v>
      </c>
      <c r="X92" s="454">
        <v>488032</v>
      </c>
    </row>
    <row r="93" spans="1:24">
      <c r="A93" s="458">
        <v>91015</v>
      </c>
      <c r="B93" s="518" t="s">
        <v>1636</v>
      </c>
      <c r="C93" s="460">
        <f t="shared" si="2"/>
        <v>1.7009937468111846E-5</v>
      </c>
      <c r="D93" s="460">
        <f>VLOOKUP(A93,'2024 summary '!A93:C999,3,FALSE)</f>
        <v>2.0820000000000001E-5</v>
      </c>
      <c r="E93" s="505">
        <v>114672</v>
      </c>
      <c r="F93" s="460"/>
      <c r="G93" s="505">
        <v>20095</v>
      </c>
      <c r="H93" s="505">
        <v>15590</v>
      </c>
      <c r="I93" s="505">
        <v>0</v>
      </c>
      <c r="J93" s="505">
        <v>21017</v>
      </c>
      <c r="K93" s="505">
        <v>56702</v>
      </c>
      <c r="L93" s="460"/>
      <c r="M93" s="505">
        <v>135</v>
      </c>
      <c r="N93" s="505">
        <v>0</v>
      </c>
      <c r="O93" s="505">
        <v>0</v>
      </c>
      <c r="P93" s="505">
        <v>3264</v>
      </c>
      <c r="Q93" s="505">
        <v>3399</v>
      </c>
      <c r="R93" s="460"/>
      <c r="S93" s="505">
        <v>34305</v>
      </c>
      <c r="T93" s="505">
        <v>15828</v>
      </c>
      <c r="U93" s="505">
        <v>50133</v>
      </c>
      <c r="W93" s="454">
        <v>203203</v>
      </c>
      <c r="X93" s="454">
        <v>41844</v>
      </c>
    </row>
    <row r="94" spans="1:24">
      <c r="A94" s="458">
        <v>91017</v>
      </c>
      <c r="B94" s="518" t="s">
        <v>2009</v>
      </c>
      <c r="C94" s="460">
        <f t="shared" si="2"/>
        <v>3.8770025169422254E-5</v>
      </c>
      <c r="D94" s="460">
        <f>VLOOKUP(A94,'2024 summary '!A94:C1000,3,FALSE)</f>
        <v>3.5639999999999998E-5</v>
      </c>
      <c r="E94" s="505">
        <v>261367</v>
      </c>
      <c r="F94" s="460"/>
      <c r="G94" s="505">
        <v>45801</v>
      </c>
      <c r="H94" s="505">
        <v>35533</v>
      </c>
      <c r="I94" s="505">
        <v>0</v>
      </c>
      <c r="J94" s="505">
        <v>21548</v>
      </c>
      <c r="K94" s="505">
        <v>102882</v>
      </c>
      <c r="L94" s="460"/>
      <c r="M94" s="505">
        <v>308</v>
      </c>
      <c r="N94" s="505">
        <v>0</v>
      </c>
      <c r="O94" s="505">
        <v>0</v>
      </c>
      <c r="P94" s="505">
        <v>0</v>
      </c>
      <c r="Q94" s="505">
        <v>308</v>
      </c>
      <c r="R94" s="460"/>
      <c r="S94" s="505">
        <v>78190</v>
      </c>
      <c r="T94" s="505">
        <v>10019</v>
      </c>
      <c r="U94" s="505">
        <v>88209</v>
      </c>
      <c r="W94" s="454">
        <v>463150</v>
      </c>
      <c r="X94" s="454">
        <v>95373</v>
      </c>
    </row>
    <row r="95" spans="1:24">
      <c r="A95" s="458">
        <v>91020</v>
      </c>
      <c r="B95" s="518" t="s">
        <v>809</v>
      </c>
      <c r="C95" s="460">
        <f t="shared" si="2"/>
        <v>3.9350017281710501E-5</v>
      </c>
      <c r="D95" s="460">
        <f>VLOOKUP(A95,'2024 summary '!A95:C1001,3,FALSE)</f>
        <v>2.7080000000000002E-5</v>
      </c>
      <c r="E95" s="505">
        <v>265277</v>
      </c>
      <c r="F95" s="460"/>
      <c r="G95" s="505">
        <v>46487</v>
      </c>
      <c r="H95" s="505">
        <v>36064</v>
      </c>
      <c r="I95" s="505">
        <v>0</v>
      </c>
      <c r="J95" s="505">
        <v>36918</v>
      </c>
      <c r="K95" s="505">
        <v>119469</v>
      </c>
      <c r="L95" s="460"/>
      <c r="M95" s="505">
        <v>313</v>
      </c>
      <c r="N95" s="505">
        <v>0</v>
      </c>
      <c r="O95" s="505">
        <v>0</v>
      </c>
      <c r="P95" s="505">
        <v>779</v>
      </c>
      <c r="Q95" s="505">
        <v>1092</v>
      </c>
      <c r="R95" s="460"/>
      <c r="S95" s="505">
        <v>79359</v>
      </c>
      <c r="T95" s="505">
        <v>15817</v>
      </c>
      <c r="U95" s="505">
        <v>95176</v>
      </c>
      <c r="W95" s="454">
        <v>470078</v>
      </c>
      <c r="X95" s="454">
        <v>96799</v>
      </c>
    </row>
    <row r="96" spans="1:24">
      <c r="A96" s="458">
        <v>91021</v>
      </c>
      <c r="B96" s="518" t="s">
        <v>810</v>
      </c>
      <c r="C96" s="460">
        <f t="shared" si="2"/>
        <v>9.4338995279969449E-4</v>
      </c>
      <c r="D96" s="460">
        <f>VLOOKUP(A96,'2024 summary '!A96:C1002,3,FALSE)</f>
        <v>9.3137000000000005E-4</v>
      </c>
      <c r="E96" s="505">
        <v>6359836</v>
      </c>
      <c r="F96" s="460"/>
      <c r="G96" s="505">
        <v>1114484</v>
      </c>
      <c r="H96" s="505">
        <v>864616</v>
      </c>
      <c r="I96" s="505">
        <v>0</v>
      </c>
      <c r="J96" s="505">
        <v>122078</v>
      </c>
      <c r="K96" s="505">
        <v>2101178</v>
      </c>
      <c r="L96" s="460"/>
      <c r="M96" s="505">
        <v>7493</v>
      </c>
      <c r="N96" s="505">
        <v>0</v>
      </c>
      <c r="O96" s="505">
        <v>0</v>
      </c>
      <c r="P96" s="505">
        <v>18186</v>
      </c>
      <c r="Q96" s="505">
        <v>25679</v>
      </c>
      <c r="R96" s="460"/>
      <c r="S96" s="505">
        <v>1902587</v>
      </c>
      <c r="T96" s="505">
        <v>25230</v>
      </c>
      <c r="U96" s="505">
        <v>1927817</v>
      </c>
      <c r="W96" s="454">
        <v>11269816</v>
      </c>
      <c r="X96" s="454">
        <v>2320703</v>
      </c>
    </row>
    <row r="97" spans="1:24">
      <c r="A97" s="458">
        <v>91024</v>
      </c>
      <c r="B97" s="518" t="s">
        <v>811</v>
      </c>
      <c r="C97" s="460">
        <f t="shared" si="2"/>
        <v>1.1296006480138246E-4</v>
      </c>
      <c r="D97" s="460">
        <f>VLOOKUP(A97,'2024 summary '!A97:C1003,3,FALSE)</f>
        <v>1.0446999999999999E-4</v>
      </c>
      <c r="E97" s="505">
        <v>761517</v>
      </c>
      <c r="F97" s="460"/>
      <c r="G97" s="505">
        <v>133447</v>
      </c>
      <c r="H97" s="505">
        <v>103528</v>
      </c>
      <c r="I97" s="505">
        <v>0</v>
      </c>
      <c r="J97" s="505">
        <v>60534</v>
      </c>
      <c r="K97" s="505">
        <v>297509</v>
      </c>
      <c r="L97" s="460"/>
      <c r="M97" s="505">
        <v>897</v>
      </c>
      <c r="N97" s="505">
        <v>0</v>
      </c>
      <c r="O97" s="505">
        <v>0</v>
      </c>
      <c r="P97" s="505">
        <v>0</v>
      </c>
      <c r="Q97" s="505">
        <v>897</v>
      </c>
      <c r="R97" s="460"/>
      <c r="S97" s="505">
        <v>227813</v>
      </c>
      <c r="T97" s="505">
        <v>21191</v>
      </c>
      <c r="U97" s="505">
        <v>249004</v>
      </c>
      <c r="W97" s="454">
        <v>1349430</v>
      </c>
      <c r="X97" s="454">
        <v>277877</v>
      </c>
    </row>
    <row r="98" spans="1:24">
      <c r="A98" s="458">
        <v>91026</v>
      </c>
      <c r="B98" s="518" t="s">
        <v>43</v>
      </c>
      <c r="C98" s="460">
        <f t="shared" si="2"/>
        <v>1.9840031972037007E-5</v>
      </c>
      <c r="D98" s="460">
        <f>VLOOKUP(A98,'2024 summary '!A98:C1004,3,FALSE)</f>
        <v>2.512E-5</v>
      </c>
      <c r="E98" s="505">
        <v>133751</v>
      </c>
      <c r="F98" s="460"/>
      <c r="G98" s="505">
        <v>23438</v>
      </c>
      <c r="H98" s="505">
        <v>18183</v>
      </c>
      <c r="I98" s="505">
        <v>0</v>
      </c>
      <c r="J98" s="505">
        <v>39031</v>
      </c>
      <c r="K98" s="505">
        <v>80652</v>
      </c>
      <c r="L98" s="460"/>
      <c r="M98" s="505">
        <v>158</v>
      </c>
      <c r="N98" s="505">
        <v>0</v>
      </c>
      <c r="O98" s="505">
        <v>0</v>
      </c>
      <c r="P98" s="505">
        <v>16058</v>
      </c>
      <c r="Q98" s="505">
        <v>16216</v>
      </c>
      <c r="R98" s="460"/>
      <c r="S98" s="505">
        <v>40012</v>
      </c>
      <c r="T98" s="505">
        <v>14582</v>
      </c>
      <c r="U98" s="505">
        <v>54594</v>
      </c>
      <c r="W98" s="454">
        <v>237010</v>
      </c>
      <c r="X98" s="454">
        <v>48806</v>
      </c>
    </row>
    <row r="99" spans="1:24">
      <c r="A99" s="458">
        <v>91027</v>
      </c>
      <c r="B99" s="518" t="s">
        <v>812</v>
      </c>
      <c r="C99" s="460">
        <f t="shared" si="2"/>
        <v>1.6789955805062367E-5</v>
      </c>
      <c r="D99" s="460">
        <f>VLOOKUP(A99,'2024 summary '!A99:C1005,3,FALSE)</f>
        <v>1.596E-5</v>
      </c>
      <c r="E99" s="505">
        <v>113189</v>
      </c>
      <c r="F99" s="460"/>
      <c r="G99" s="505">
        <v>19835</v>
      </c>
      <c r="H99" s="505">
        <v>15388</v>
      </c>
      <c r="I99" s="505">
        <v>0</v>
      </c>
      <c r="J99" s="505">
        <v>25335</v>
      </c>
      <c r="K99" s="505">
        <v>60558</v>
      </c>
      <c r="L99" s="460"/>
      <c r="M99" s="505">
        <v>133</v>
      </c>
      <c r="N99" s="505">
        <v>0</v>
      </c>
      <c r="O99" s="505">
        <v>0</v>
      </c>
      <c r="P99" s="505">
        <v>2842</v>
      </c>
      <c r="Q99" s="505">
        <v>2975</v>
      </c>
      <c r="R99" s="460"/>
      <c r="S99" s="505">
        <v>33861</v>
      </c>
      <c r="T99" s="505">
        <v>12250</v>
      </c>
      <c r="U99" s="505">
        <v>46111</v>
      </c>
      <c r="W99" s="454">
        <v>200575</v>
      </c>
      <c r="X99" s="454">
        <v>41303</v>
      </c>
    </row>
    <row r="100" spans="1:24">
      <c r="A100" s="458">
        <v>91032</v>
      </c>
      <c r="B100" s="518" t="s">
        <v>813</v>
      </c>
      <c r="C100" s="460">
        <f t="shared" si="2"/>
        <v>4.0940026348620386E-5</v>
      </c>
      <c r="D100" s="460">
        <f>VLOOKUP(A100,'2024 summary '!A100:C1006,3,FALSE)</f>
        <v>3.8819999999999998E-5</v>
      </c>
      <c r="E100" s="505">
        <v>275996</v>
      </c>
      <c r="F100" s="460"/>
      <c r="G100" s="505">
        <v>48365</v>
      </c>
      <c r="H100" s="505">
        <v>37521</v>
      </c>
      <c r="I100" s="505">
        <v>0</v>
      </c>
      <c r="J100" s="505">
        <v>29081</v>
      </c>
      <c r="K100" s="505">
        <v>114967</v>
      </c>
      <c r="L100" s="460"/>
      <c r="M100" s="505">
        <v>325</v>
      </c>
      <c r="N100" s="505">
        <v>0</v>
      </c>
      <c r="O100" s="505">
        <v>0</v>
      </c>
      <c r="P100" s="505">
        <v>0</v>
      </c>
      <c r="Q100" s="505">
        <v>325</v>
      </c>
      <c r="R100" s="460"/>
      <c r="S100" s="505">
        <v>82566</v>
      </c>
      <c r="T100" s="505">
        <v>23242</v>
      </c>
      <c r="U100" s="505">
        <v>105808</v>
      </c>
      <c r="W100" s="454">
        <v>489073</v>
      </c>
      <c r="X100" s="454">
        <v>100711</v>
      </c>
    </row>
    <row r="101" spans="1:24">
      <c r="A101" s="458">
        <v>91041</v>
      </c>
      <c r="B101" s="518" t="s">
        <v>814</v>
      </c>
      <c r="C101" s="460">
        <f t="shared" si="2"/>
        <v>4.1706995457721757E-4</v>
      </c>
      <c r="D101" s="460">
        <f>VLOOKUP(A101,'2024 summary '!A101:C1007,3,FALSE)</f>
        <v>4.2266E-4</v>
      </c>
      <c r="E101" s="505">
        <v>2811665</v>
      </c>
      <c r="F101" s="460"/>
      <c r="G101" s="505">
        <v>492710</v>
      </c>
      <c r="H101" s="505">
        <v>382244</v>
      </c>
      <c r="I101" s="505">
        <v>0</v>
      </c>
      <c r="J101" s="505">
        <v>19382</v>
      </c>
      <c r="K101" s="505">
        <v>894336</v>
      </c>
      <c r="L101" s="460"/>
      <c r="M101" s="505">
        <v>3313</v>
      </c>
      <c r="N101" s="505">
        <v>0</v>
      </c>
      <c r="O101" s="505">
        <v>0</v>
      </c>
      <c r="P101" s="505">
        <v>45283</v>
      </c>
      <c r="Q101" s="505">
        <v>48596</v>
      </c>
      <c r="R101" s="460"/>
      <c r="S101" s="505">
        <v>841128</v>
      </c>
      <c r="T101" s="505">
        <v>-49536</v>
      </c>
      <c r="U101" s="505">
        <v>791592</v>
      </c>
      <c r="W101" s="454">
        <v>4982353</v>
      </c>
      <c r="X101" s="454">
        <v>1025976</v>
      </c>
    </row>
    <row r="102" spans="1:24">
      <c r="A102" s="458">
        <v>91042</v>
      </c>
      <c r="B102" s="518" t="s">
        <v>815</v>
      </c>
      <c r="C102" s="460">
        <f t="shared" si="2"/>
        <v>5.4324998281372861E-4</v>
      </c>
      <c r="D102" s="460">
        <f>VLOOKUP(A102,'2024 summary '!A102:C1008,3,FALSE)</f>
        <v>4.7598999999999997E-4</v>
      </c>
      <c r="E102" s="505">
        <v>3662304</v>
      </c>
      <c r="F102" s="460"/>
      <c r="G102" s="505">
        <v>641774</v>
      </c>
      <c r="H102" s="505">
        <v>497888</v>
      </c>
      <c r="I102" s="505">
        <v>0</v>
      </c>
      <c r="J102" s="505">
        <v>309764</v>
      </c>
      <c r="K102" s="505">
        <v>1449426</v>
      </c>
      <c r="L102" s="460"/>
      <c r="M102" s="505">
        <v>4315</v>
      </c>
      <c r="N102" s="505">
        <v>0</v>
      </c>
      <c r="O102" s="505">
        <v>0</v>
      </c>
      <c r="P102" s="505">
        <v>35875</v>
      </c>
      <c r="Q102" s="505">
        <v>40190</v>
      </c>
      <c r="R102" s="460"/>
      <c r="S102" s="505">
        <v>1095603</v>
      </c>
      <c r="T102" s="505">
        <v>154427</v>
      </c>
      <c r="U102" s="505">
        <v>1250030</v>
      </c>
      <c r="W102" s="454">
        <v>6489710</v>
      </c>
      <c r="X102" s="454">
        <v>1336374</v>
      </c>
    </row>
    <row r="103" spans="1:24">
      <c r="A103" s="458">
        <v>91047</v>
      </c>
      <c r="B103" s="518" t="s">
        <v>816</v>
      </c>
      <c r="C103" s="460">
        <f t="shared" si="2"/>
        <v>1.017997408749808E-5</v>
      </c>
      <c r="D103" s="460">
        <f>VLOOKUP(A103,'2024 summary '!A103:C1009,3,FALSE)</f>
        <v>1.182E-5</v>
      </c>
      <c r="E103" s="505">
        <v>68628</v>
      </c>
      <c r="F103" s="460"/>
      <c r="G103" s="505">
        <v>12026</v>
      </c>
      <c r="H103" s="505">
        <v>9330</v>
      </c>
      <c r="I103" s="505">
        <v>0</v>
      </c>
      <c r="J103" s="505">
        <v>3934</v>
      </c>
      <c r="K103" s="505">
        <v>25290</v>
      </c>
      <c r="L103" s="460"/>
      <c r="M103" s="505">
        <v>81</v>
      </c>
      <c r="N103" s="505">
        <v>0</v>
      </c>
      <c r="O103" s="505">
        <v>0</v>
      </c>
      <c r="P103" s="505">
        <v>5714</v>
      </c>
      <c r="Q103" s="505">
        <v>5795</v>
      </c>
      <c r="R103" s="460"/>
      <c r="S103" s="505">
        <v>20531</v>
      </c>
      <c r="T103" s="505">
        <v>2482</v>
      </c>
      <c r="U103" s="505">
        <v>23013</v>
      </c>
      <c r="W103" s="454">
        <v>121611</v>
      </c>
      <c r="X103" s="454">
        <v>25042</v>
      </c>
    </row>
    <row r="104" spans="1:24">
      <c r="A104" s="458">
        <v>91051</v>
      </c>
      <c r="B104" s="518" t="s">
        <v>817</v>
      </c>
      <c r="C104" s="460">
        <f t="shared" si="2"/>
        <v>4.1289949978515005E-5</v>
      </c>
      <c r="D104" s="460">
        <f>VLOOKUP(A104,'2024 summary '!A104:C1010,3,FALSE)</f>
        <v>4.0030000000000001E-5</v>
      </c>
      <c r="E104" s="505">
        <v>278355</v>
      </c>
      <c r="F104" s="460"/>
      <c r="G104" s="505">
        <v>48778</v>
      </c>
      <c r="H104" s="505">
        <v>37842</v>
      </c>
      <c r="I104" s="505">
        <v>0</v>
      </c>
      <c r="J104" s="505">
        <v>47590</v>
      </c>
      <c r="K104" s="505">
        <v>134210</v>
      </c>
      <c r="L104" s="460"/>
      <c r="M104" s="505">
        <v>328</v>
      </c>
      <c r="N104" s="505">
        <v>0</v>
      </c>
      <c r="O104" s="505">
        <v>0</v>
      </c>
      <c r="P104" s="505">
        <v>4149</v>
      </c>
      <c r="Q104" s="505">
        <v>4477</v>
      </c>
      <c r="R104" s="460"/>
      <c r="S104" s="505">
        <v>83272</v>
      </c>
      <c r="T104" s="505">
        <v>12592</v>
      </c>
      <c r="U104" s="505">
        <v>95864</v>
      </c>
      <c r="W104" s="454">
        <v>493254</v>
      </c>
      <c r="X104" s="454">
        <v>101572</v>
      </c>
    </row>
    <row r="105" spans="1:24">
      <c r="A105" s="458">
        <v>91057</v>
      </c>
      <c r="B105" s="518" t="s">
        <v>818</v>
      </c>
      <c r="C105" s="460">
        <f t="shared" si="2"/>
        <v>8.5899650205881895E-6</v>
      </c>
      <c r="D105" s="460">
        <f>VLOOKUP(A105,'2024 summary '!A105:C1011,3,FALSE)</f>
        <v>9.3600000000000002E-6</v>
      </c>
      <c r="E105" s="505">
        <v>57909</v>
      </c>
      <c r="F105" s="460"/>
      <c r="G105" s="505">
        <v>10148</v>
      </c>
      <c r="H105" s="505">
        <v>7873</v>
      </c>
      <c r="I105" s="505">
        <v>0</v>
      </c>
      <c r="J105" s="505">
        <v>15212</v>
      </c>
      <c r="K105" s="505">
        <v>33233</v>
      </c>
      <c r="L105" s="460"/>
      <c r="M105" s="505">
        <v>68</v>
      </c>
      <c r="N105" s="505">
        <v>0</v>
      </c>
      <c r="O105" s="505">
        <v>0</v>
      </c>
      <c r="P105" s="505">
        <v>2048</v>
      </c>
      <c r="Q105" s="505">
        <v>2116</v>
      </c>
      <c r="R105" s="460"/>
      <c r="S105" s="505">
        <v>17324</v>
      </c>
      <c r="T105" s="505">
        <v>7524</v>
      </c>
      <c r="U105" s="505">
        <v>24848</v>
      </c>
      <c r="W105" s="454">
        <v>102617</v>
      </c>
      <c r="X105" s="454">
        <v>21131</v>
      </c>
    </row>
    <row r="106" spans="1:24">
      <c r="A106" s="458">
        <v>91061</v>
      </c>
      <c r="B106" s="518" t="s">
        <v>819</v>
      </c>
      <c r="C106" s="460">
        <f t="shared" si="2"/>
        <v>4.0536998581590427E-4</v>
      </c>
      <c r="D106" s="460">
        <f>VLOOKUP(A106,'2024 summary '!A106:C1012,3,FALSE)</f>
        <v>3.7699000000000001E-4</v>
      </c>
      <c r="E106" s="505">
        <v>2732790</v>
      </c>
      <c r="F106" s="460"/>
      <c r="G106" s="505">
        <v>478888</v>
      </c>
      <c r="H106" s="505">
        <v>371521</v>
      </c>
      <c r="I106" s="505">
        <v>0</v>
      </c>
      <c r="J106" s="505">
        <v>112873</v>
      </c>
      <c r="K106" s="505">
        <v>963282</v>
      </c>
      <c r="L106" s="460"/>
      <c r="M106" s="505">
        <v>3220</v>
      </c>
      <c r="N106" s="505">
        <v>0</v>
      </c>
      <c r="O106" s="505">
        <v>0</v>
      </c>
      <c r="P106" s="505">
        <v>1872</v>
      </c>
      <c r="Q106" s="505">
        <v>5092</v>
      </c>
      <c r="R106" s="460"/>
      <c r="S106" s="505">
        <v>817532</v>
      </c>
      <c r="T106" s="505">
        <v>38909</v>
      </c>
      <c r="U106" s="505">
        <v>856441</v>
      </c>
      <c r="W106" s="454">
        <v>4842584</v>
      </c>
      <c r="X106" s="454">
        <v>997194</v>
      </c>
    </row>
    <row r="107" spans="1:24">
      <c r="A107" s="458">
        <v>91067</v>
      </c>
      <c r="B107" s="518" t="s">
        <v>820</v>
      </c>
      <c r="C107" s="460">
        <f t="shared" si="2"/>
        <v>1.6730028231311868E-5</v>
      </c>
      <c r="D107" s="460">
        <f>VLOOKUP(A107,'2024 summary '!A107:C1013,3,FALSE)</f>
        <v>1.7050000000000001E-5</v>
      </c>
      <c r="E107" s="505">
        <v>112785</v>
      </c>
      <c r="F107" s="460"/>
      <c r="G107" s="505">
        <v>19764</v>
      </c>
      <c r="H107" s="505">
        <v>15333</v>
      </c>
      <c r="I107" s="505">
        <v>0</v>
      </c>
      <c r="J107" s="505">
        <v>9272</v>
      </c>
      <c r="K107" s="505">
        <v>44369</v>
      </c>
      <c r="L107" s="460"/>
      <c r="M107" s="505">
        <v>133</v>
      </c>
      <c r="N107" s="505">
        <v>0</v>
      </c>
      <c r="O107" s="505">
        <v>0</v>
      </c>
      <c r="P107" s="505">
        <v>284</v>
      </c>
      <c r="Q107" s="505">
        <v>417</v>
      </c>
      <c r="R107" s="460"/>
      <c r="S107" s="505">
        <v>33740</v>
      </c>
      <c r="T107" s="505">
        <v>5194</v>
      </c>
      <c r="U107" s="505">
        <v>38934</v>
      </c>
      <c r="W107" s="454">
        <v>199858</v>
      </c>
      <c r="X107" s="454">
        <v>41155</v>
      </c>
    </row>
    <row r="108" spans="1:24">
      <c r="A108" s="458">
        <v>91071</v>
      </c>
      <c r="B108" s="518" t="s">
        <v>821</v>
      </c>
      <c r="C108" s="460">
        <f t="shared" si="2"/>
        <v>2.3577999551166503E-4</v>
      </c>
      <c r="D108" s="460">
        <f>VLOOKUP(A108,'2024 summary '!A108:C1014,3,FALSE)</f>
        <v>2.1371000000000001E-4</v>
      </c>
      <c r="E108" s="505">
        <v>1589504</v>
      </c>
      <c r="F108" s="460"/>
      <c r="G108" s="505">
        <v>278541</v>
      </c>
      <c r="H108" s="505">
        <v>216092</v>
      </c>
      <c r="I108" s="505">
        <v>0</v>
      </c>
      <c r="J108" s="505">
        <v>129884</v>
      </c>
      <c r="K108" s="505">
        <v>624517</v>
      </c>
      <c r="L108" s="460"/>
      <c r="M108" s="505">
        <v>1873</v>
      </c>
      <c r="N108" s="505">
        <v>0</v>
      </c>
      <c r="O108" s="505">
        <v>0</v>
      </c>
      <c r="P108" s="505">
        <v>63820</v>
      </c>
      <c r="Q108" s="505">
        <v>65693</v>
      </c>
      <c r="R108" s="460"/>
      <c r="S108" s="505">
        <v>475511</v>
      </c>
      <c r="T108" s="505">
        <v>30493</v>
      </c>
      <c r="U108" s="505">
        <v>506004</v>
      </c>
      <c r="W108" s="454">
        <v>2816648</v>
      </c>
      <c r="X108" s="454">
        <v>580010</v>
      </c>
    </row>
    <row r="109" spans="1:24">
      <c r="A109" s="458">
        <v>91077</v>
      </c>
      <c r="B109" s="518" t="s">
        <v>822</v>
      </c>
      <c r="C109" s="460">
        <f t="shared" si="2"/>
        <v>1.6780017321296814E-5</v>
      </c>
      <c r="D109" s="460">
        <f>VLOOKUP(A109,'2024 summary '!A109:C1015,3,FALSE)</f>
        <v>1.486E-5</v>
      </c>
      <c r="E109" s="505">
        <v>113122</v>
      </c>
      <c r="F109" s="460"/>
      <c r="G109" s="505">
        <v>19823</v>
      </c>
      <c r="H109" s="505">
        <v>15379</v>
      </c>
      <c r="I109" s="505">
        <v>0</v>
      </c>
      <c r="J109" s="505">
        <v>7912</v>
      </c>
      <c r="K109" s="505">
        <v>43114</v>
      </c>
      <c r="L109" s="460"/>
      <c r="M109" s="505">
        <v>133</v>
      </c>
      <c r="N109" s="505">
        <v>0</v>
      </c>
      <c r="O109" s="505">
        <v>0</v>
      </c>
      <c r="P109" s="505">
        <v>0</v>
      </c>
      <c r="Q109" s="505">
        <v>133</v>
      </c>
      <c r="R109" s="460"/>
      <c r="S109" s="505">
        <v>33841</v>
      </c>
      <c r="T109" s="505">
        <v>4645</v>
      </c>
      <c r="U109" s="505">
        <v>38486</v>
      </c>
      <c r="W109" s="454">
        <v>200455</v>
      </c>
      <c r="X109" s="454">
        <v>41278</v>
      </c>
    </row>
    <row r="110" spans="1:24">
      <c r="A110" s="458">
        <v>91081</v>
      </c>
      <c r="B110" s="518" t="s">
        <v>823</v>
      </c>
      <c r="C110" s="460">
        <f t="shared" si="2"/>
        <v>4.3232997722469912E-4</v>
      </c>
      <c r="D110" s="460">
        <f>VLOOKUP(A110,'2024 summary '!A110:C1016,3,FALSE)</f>
        <v>4.5699E-4</v>
      </c>
      <c r="E110" s="505">
        <v>2914540</v>
      </c>
      <c r="F110" s="460"/>
      <c r="G110" s="505">
        <v>510738</v>
      </c>
      <c r="H110" s="505">
        <v>396230</v>
      </c>
      <c r="I110" s="505">
        <v>0</v>
      </c>
      <c r="J110" s="505">
        <v>26881</v>
      </c>
      <c r="K110" s="505">
        <v>933849</v>
      </c>
      <c r="L110" s="460"/>
      <c r="M110" s="505">
        <v>3434</v>
      </c>
      <c r="N110" s="505">
        <v>0</v>
      </c>
      <c r="O110" s="505">
        <v>0</v>
      </c>
      <c r="P110" s="505">
        <v>139500</v>
      </c>
      <c r="Q110" s="505">
        <v>142934</v>
      </c>
      <c r="R110" s="460"/>
      <c r="S110" s="505">
        <v>871904</v>
      </c>
      <c r="T110" s="505">
        <v>-38599</v>
      </c>
      <c r="U110" s="505">
        <v>833305</v>
      </c>
      <c r="W110" s="454">
        <v>5164650</v>
      </c>
      <c r="X110" s="454">
        <v>1063515</v>
      </c>
    </row>
    <row r="111" spans="1:24">
      <c r="A111" s="458">
        <v>91091</v>
      </c>
      <c r="B111" s="518" t="s">
        <v>824</v>
      </c>
      <c r="C111" s="460">
        <f t="shared" si="2"/>
        <v>5.5966998968578672E-4</v>
      </c>
      <c r="D111" s="460">
        <f>VLOOKUP(A111,'2024 summary '!A111:C1017,3,FALSE)</f>
        <v>5.7362999999999999E-4</v>
      </c>
      <c r="E111" s="505">
        <v>3772999</v>
      </c>
      <c r="F111" s="460"/>
      <c r="G111" s="505">
        <v>661172</v>
      </c>
      <c r="H111" s="505">
        <v>512937</v>
      </c>
      <c r="I111" s="505">
        <v>0</v>
      </c>
      <c r="J111" s="505">
        <v>13521</v>
      </c>
      <c r="K111" s="505">
        <v>1187630</v>
      </c>
      <c r="L111" s="460"/>
      <c r="M111" s="505">
        <v>4445</v>
      </c>
      <c r="N111" s="505">
        <v>0</v>
      </c>
      <c r="O111" s="505">
        <v>0</v>
      </c>
      <c r="P111" s="505">
        <v>61428</v>
      </c>
      <c r="Q111" s="505">
        <v>65873</v>
      </c>
      <c r="R111" s="460"/>
      <c r="S111" s="505">
        <v>1128718</v>
      </c>
      <c r="T111" s="505">
        <v>-18747</v>
      </c>
      <c r="U111" s="505">
        <v>1109971</v>
      </c>
      <c r="W111" s="454">
        <v>6685865</v>
      </c>
      <c r="X111" s="454">
        <v>1376766</v>
      </c>
    </row>
    <row r="112" spans="1:24">
      <c r="A112" s="458">
        <v>91101</v>
      </c>
      <c r="B112" s="518" t="s">
        <v>825</v>
      </c>
      <c r="C112" s="460">
        <f t="shared" si="2"/>
        <v>1.4011600009271626E-2</v>
      </c>
      <c r="D112" s="460">
        <f>VLOOKUP(A112,'2024 summary '!A112:C1018,3,FALSE)</f>
        <v>1.3618379999999999E-2</v>
      </c>
      <c r="E112" s="505">
        <v>94458795</v>
      </c>
      <c r="F112" s="460"/>
      <c r="G112" s="505">
        <v>16552758</v>
      </c>
      <c r="H112" s="505">
        <v>12841617</v>
      </c>
      <c r="I112" s="505">
        <v>0</v>
      </c>
      <c r="J112" s="505">
        <v>467541</v>
      </c>
      <c r="K112" s="505">
        <v>29861916</v>
      </c>
      <c r="L112" s="460"/>
      <c r="M112" s="505">
        <v>111294</v>
      </c>
      <c r="N112" s="505">
        <v>0</v>
      </c>
      <c r="O112" s="505">
        <v>0</v>
      </c>
      <c r="P112" s="505">
        <v>582785</v>
      </c>
      <c r="Q112" s="505">
        <v>694079</v>
      </c>
      <c r="R112" s="460"/>
      <c r="S112" s="505">
        <v>28257978</v>
      </c>
      <c r="T112" s="505">
        <v>-788</v>
      </c>
      <c r="U112" s="505">
        <v>28257190</v>
      </c>
      <c r="W112" s="454">
        <v>167383751</v>
      </c>
      <c r="X112" s="454">
        <v>34467990</v>
      </c>
    </row>
    <row r="113" spans="1:24">
      <c r="A113" s="458">
        <v>91102</v>
      </c>
      <c r="B113" s="518" t="s">
        <v>826</v>
      </c>
      <c r="C113" s="460">
        <f t="shared" si="2"/>
        <v>4.8708998442384605E-4</v>
      </c>
      <c r="D113" s="460">
        <f>VLOOKUP(A113,'2024 summary '!A113:C1019,3,FALSE)</f>
        <v>3.9983E-4</v>
      </c>
      <c r="E113" s="505">
        <v>3283703</v>
      </c>
      <c r="F113" s="460"/>
      <c r="G113" s="505">
        <v>575429</v>
      </c>
      <c r="H113" s="505">
        <v>446417</v>
      </c>
      <c r="I113" s="505">
        <v>0</v>
      </c>
      <c r="J113" s="505">
        <v>343158</v>
      </c>
      <c r="K113" s="505">
        <v>1365004</v>
      </c>
      <c r="L113" s="460"/>
      <c r="M113" s="505">
        <v>3869</v>
      </c>
      <c r="N113" s="505">
        <v>0</v>
      </c>
      <c r="O113" s="505">
        <v>0</v>
      </c>
      <c r="P113" s="505">
        <v>1935</v>
      </c>
      <c r="Q113" s="505">
        <v>5804</v>
      </c>
      <c r="R113" s="460"/>
      <c r="S113" s="505">
        <v>982342</v>
      </c>
      <c r="T113" s="505">
        <v>157094</v>
      </c>
      <c r="U113" s="505">
        <v>1139436</v>
      </c>
      <c r="W113" s="454">
        <v>5818818</v>
      </c>
      <c r="X113" s="454">
        <v>1198222</v>
      </c>
    </row>
    <row r="114" spans="1:24">
      <c r="A114" s="458">
        <v>91104</v>
      </c>
      <c r="B114" s="518" t="s">
        <v>827</v>
      </c>
      <c r="C114" s="460">
        <f t="shared" si="2"/>
        <v>1.6660013838217227E-5</v>
      </c>
      <c r="D114" s="460">
        <f>VLOOKUP(A114,'2024 summary '!A114:C1020,3,FALSE)</f>
        <v>2.3989999999999999E-5</v>
      </c>
      <c r="E114" s="505">
        <v>112313</v>
      </c>
      <c r="F114" s="460"/>
      <c r="G114" s="505">
        <v>19681</v>
      </c>
      <c r="H114" s="505">
        <v>15269</v>
      </c>
      <c r="I114" s="505">
        <v>0</v>
      </c>
      <c r="J114" s="505">
        <v>5791</v>
      </c>
      <c r="K114" s="505">
        <v>40741</v>
      </c>
      <c r="L114" s="460"/>
      <c r="M114" s="505">
        <v>132</v>
      </c>
      <c r="N114" s="505">
        <v>0</v>
      </c>
      <c r="O114" s="505">
        <v>0</v>
      </c>
      <c r="P114" s="505">
        <v>18157</v>
      </c>
      <c r="Q114" s="505">
        <v>18289</v>
      </c>
      <c r="R114" s="460"/>
      <c r="S114" s="505">
        <v>33599</v>
      </c>
      <c r="T114" s="505">
        <v>1351</v>
      </c>
      <c r="U114" s="505">
        <v>34950</v>
      </c>
      <c r="W114" s="454">
        <v>199022</v>
      </c>
      <c r="X114" s="454">
        <v>40983</v>
      </c>
    </row>
    <row r="115" spans="1:24">
      <c r="A115" s="458">
        <v>91107</v>
      </c>
      <c r="B115" s="518" t="s">
        <v>3756</v>
      </c>
      <c r="C115" s="460">
        <f t="shared" si="2"/>
        <v>4.4519957202319731E-5</v>
      </c>
      <c r="D115" s="460">
        <f>VLOOKUP(A115,'2024 summary '!A115:C1021,3,FALSE)</f>
        <v>4.5939999999999997E-5</v>
      </c>
      <c r="E115" s="505">
        <v>300130</v>
      </c>
      <c r="F115" s="460"/>
      <c r="G115" s="505">
        <v>52594</v>
      </c>
      <c r="H115" s="505">
        <v>40803</v>
      </c>
      <c r="I115" s="505">
        <v>0</v>
      </c>
      <c r="J115" s="505">
        <v>27984</v>
      </c>
      <c r="K115" s="505">
        <v>121381</v>
      </c>
      <c r="L115" s="460"/>
      <c r="M115" s="505">
        <v>354</v>
      </c>
      <c r="N115" s="505">
        <v>0</v>
      </c>
      <c r="O115" s="505">
        <v>0</v>
      </c>
      <c r="P115" s="505">
        <v>4732</v>
      </c>
      <c r="Q115" s="505">
        <v>5086</v>
      </c>
      <c r="R115" s="460"/>
      <c r="S115" s="505">
        <v>89786</v>
      </c>
      <c r="T115" s="505">
        <v>17487</v>
      </c>
      <c r="U115" s="505">
        <v>107273</v>
      </c>
      <c r="W115" s="454">
        <v>531840</v>
      </c>
      <c r="X115" s="454">
        <v>109517</v>
      </c>
    </row>
    <row r="116" spans="1:24">
      <c r="A116" s="458">
        <v>91108</v>
      </c>
      <c r="B116" s="518" t="s">
        <v>829</v>
      </c>
      <c r="C116" s="460">
        <f t="shared" si="2"/>
        <v>1.0859399988182787E-3</v>
      </c>
      <c r="D116" s="460">
        <f>VLOOKUP(A116,'2024 summary '!A116:C1022,3,FALSE)</f>
        <v>1.1233899999999999E-3</v>
      </c>
      <c r="E116" s="505">
        <v>7320833</v>
      </c>
      <c r="F116" s="460"/>
      <c r="G116" s="505">
        <v>1282887</v>
      </c>
      <c r="H116" s="505">
        <v>995263</v>
      </c>
      <c r="I116" s="505">
        <v>0</v>
      </c>
      <c r="J116" s="505">
        <v>66931</v>
      </c>
      <c r="K116" s="505">
        <v>2345081</v>
      </c>
      <c r="L116" s="460"/>
      <c r="M116" s="505">
        <v>8626</v>
      </c>
      <c r="N116" s="505">
        <v>0</v>
      </c>
      <c r="O116" s="505">
        <v>0</v>
      </c>
      <c r="P116" s="505">
        <v>104949</v>
      </c>
      <c r="Q116" s="505">
        <v>113575</v>
      </c>
      <c r="R116" s="460"/>
      <c r="S116" s="505">
        <v>2190076</v>
      </c>
      <c r="T116" s="505">
        <v>-3612</v>
      </c>
      <c r="U116" s="505">
        <v>2186464</v>
      </c>
      <c r="W116" s="454">
        <v>12972730</v>
      </c>
      <c r="X116" s="454">
        <v>2671370</v>
      </c>
    </row>
    <row r="117" spans="1:24">
      <c r="A117" s="458">
        <v>91109</v>
      </c>
      <c r="B117" s="518" t="s">
        <v>830</v>
      </c>
      <c r="C117" s="460">
        <f t="shared" si="2"/>
        <v>7.8700034563421002E-5</v>
      </c>
      <c r="D117" s="460">
        <f>VLOOKUP(A117,'2024 summary '!A117:C1023,3,FALSE)</f>
        <v>7.4449999999999994E-5</v>
      </c>
      <c r="E117" s="505">
        <v>530554</v>
      </c>
      <c r="F117" s="460"/>
      <c r="G117" s="505">
        <v>92973</v>
      </c>
      <c r="H117" s="505">
        <v>72128</v>
      </c>
      <c r="I117" s="505">
        <v>0</v>
      </c>
      <c r="J117" s="505">
        <v>14915</v>
      </c>
      <c r="K117" s="505">
        <v>180016</v>
      </c>
      <c r="L117" s="460"/>
      <c r="M117" s="505">
        <v>625</v>
      </c>
      <c r="N117" s="505">
        <v>0</v>
      </c>
      <c r="O117" s="505">
        <v>0</v>
      </c>
      <c r="P117" s="505">
        <v>35494</v>
      </c>
      <c r="Q117" s="505">
        <v>36119</v>
      </c>
      <c r="R117" s="460"/>
      <c r="S117" s="505">
        <v>158719</v>
      </c>
      <c r="T117" s="505">
        <v>-14246</v>
      </c>
      <c r="U117" s="505">
        <v>144473</v>
      </c>
      <c r="W117" s="454">
        <v>940157</v>
      </c>
      <c r="X117" s="454">
        <v>193599</v>
      </c>
    </row>
    <row r="118" spans="1:24">
      <c r="A118" s="458">
        <v>91111</v>
      </c>
      <c r="B118" s="518" t="s">
        <v>831</v>
      </c>
      <c r="C118" s="460">
        <f t="shared" si="2"/>
        <v>2.2733999776103169E-4</v>
      </c>
      <c r="D118" s="460">
        <f>VLOOKUP(A118,'2024 summary '!A118:C1024,3,FALSE)</f>
        <v>2.2623000000000001E-4</v>
      </c>
      <c r="E118" s="505">
        <v>1532606</v>
      </c>
      <c r="F118" s="460"/>
      <c r="G118" s="505">
        <v>268571</v>
      </c>
      <c r="H118" s="505">
        <v>208357</v>
      </c>
      <c r="I118" s="505">
        <v>0</v>
      </c>
      <c r="J118" s="505">
        <v>44966</v>
      </c>
      <c r="K118" s="505">
        <v>521894</v>
      </c>
      <c r="L118" s="460"/>
      <c r="M118" s="505">
        <v>1806</v>
      </c>
      <c r="N118" s="505">
        <v>0</v>
      </c>
      <c r="O118" s="505">
        <v>0</v>
      </c>
      <c r="P118" s="505">
        <v>25676</v>
      </c>
      <c r="Q118" s="505">
        <v>27482</v>
      </c>
      <c r="R118" s="460"/>
      <c r="S118" s="505">
        <v>458489</v>
      </c>
      <c r="T118" s="505">
        <v>13444</v>
      </c>
      <c r="U118" s="505">
        <v>471933</v>
      </c>
      <c r="W118" s="454">
        <v>2715823</v>
      </c>
      <c r="X118" s="454">
        <v>559248</v>
      </c>
    </row>
    <row r="119" spans="1:24">
      <c r="A119" s="458">
        <v>91120</v>
      </c>
      <c r="B119" s="518" t="s">
        <v>832</v>
      </c>
      <c r="C119" s="460">
        <f t="shared" si="2"/>
        <v>2.8045006831951819E-4</v>
      </c>
      <c r="D119" s="460">
        <f>VLOOKUP(A119,'2024 summary '!A119:C1025,3,FALSE)</f>
        <v>3.0760999999999999E-4</v>
      </c>
      <c r="E119" s="505">
        <v>1890646</v>
      </c>
      <c r="F119" s="460"/>
      <c r="G119" s="505">
        <v>331313</v>
      </c>
      <c r="H119" s="505">
        <v>257032</v>
      </c>
      <c r="I119" s="505">
        <v>0</v>
      </c>
      <c r="J119" s="505">
        <v>83379</v>
      </c>
      <c r="K119" s="505">
        <v>671724</v>
      </c>
      <c r="L119" s="460"/>
      <c r="M119" s="505">
        <v>2228</v>
      </c>
      <c r="N119" s="505">
        <v>0</v>
      </c>
      <c r="O119" s="505">
        <v>0</v>
      </c>
      <c r="P119" s="505">
        <v>206702</v>
      </c>
      <c r="Q119" s="505">
        <v>208930</v>
      </c>
      <c r="R119" s="460"/>
      <c r="S119" s="505">
        <v>565599</v>
      </c>
      <c r="T119" s="505">
        <v>-67693</v>
      </c>
      <c r="U119" s="505">
        <v>497906</v>
      </c>
      <c r="W119" s="454">
        <v>3350279</v>
      </c>
      <c r="X119" s="454">
        <v>689896</v>
      </c>
    </row>
    <row r="120" spans="1:24">
      <c r="A120" s="458">
        <v>91121</v>
      </c>
      <c r="B120" s="518" t="s">
        <v>833</v>
      </c>
      <c r="C120" s="460">
        <f t="shared" si="2"/>
        <v>1.0264420049033777E-2</v>
      </c>
      <c r="D120" s="460">
        <f>VLOOKUP(A120,'2024 summary '!A120:C1026,3,FALSE)</f>
        <v>1.016734E-2</v>
      </c>
      <c r="E120" s="505">
        <v>69197290</v>
      </c>
      <c r="F120" s="460"/>
      <c r="G120" s="505">
        <v>12125985</v>
      </c>
      <c r="H120" s="505">
        <v>9407331</v>
      </c>
      <c r="I120" s="505">
        <v>0</v>
      </c>
      <c r="J120" s="505">
        <v>1364</v>
      </c>
      <c r="K120" s="505">
        <v>21534680</v>
      </c>
      <c r="L120" s="460"/>
      <c r="M120" s="505">
        <v>81530</v>
      </c>
      <c r="N120" s="505">
        <v>0</v>
      </c>
      <c r="O120" s="505">
        <v>0</v>
      </c>
      <c r="P120" s="505">
        <v>779399</v>
      </c>
      <c r="Q120" s="505">
        <v>860929</v>
      </c>
      <c r="R120" s="460"/>
      <c r="S120" s="505">
        <v>20700831</v>
      </c>
      <c r="T120" s="505">
        <v>-705989</v>
      </c>
      <c r="U120" s="505">
        <v>19994842</v>
      </c>
      <c r="W120" s="454">
        <v>122619624</v>
      </c>
      <c r="X120" s="454">
        <v>25250073</v>
      </c>
    </row>
    <row r="121" spans="1:24">
      <c r="A121" s="458">
        <v>91127</v>
      </c>
      <c r="B121" s="518" t="s">
        <v>834</v>
      </c>
      <c r="C121" s="460">
        <f t="shared" si="2"/>
        <v>3.1421999780581716E-4</v>
      </c>
      <c r="D121" s="460">
        <f>VLOOKUP(A121,'2024 summary '!A121:C1027,3,FALSE)</f>
        <v>3.2932000000000003E-4</v>
      </c>
      <c r="E121" s="505">
        <v>2118305</v>
      </c>
      <c r="F121" s="460"/>
      <c r="G121" s="505">
        <v>371207</v>
      </c>
      <c r="H121" s="505">
        <v>287982</v>
      </c>
      <c r="I121" s="505">
        <v>0</v>
      </c>
      <c r="J121" s="505">
        <v>30367</v>
      </c>
      <c r="K121" s="505">
        <v>689556</v>
      </c>
      <c r="L121" s="460"/>
      <c r="M121" s="505">
        <v>2496</v>
      </c>
      <c r="N121" s="505">
        <v>0</v>
      </c>
      <c r="O121" s="505">
        <v>0</v>
      </c>
      <c r="P121" s="505">
        <v>17524</v>
      </c>
      <c r="Q121" s="505">
        <v>20020</v>
      </c>
      <c r="R121" s="460"/>
      <c r="S121" s="505">
        <v>633705</v>
      </c>
      <c r="T121" s="505">
        <v>40164</v>
      </c>
      <c r="U121" s="505">
        <v>673869</v>
      </c>
      <c r="W121" s="454">
        <v>3753699</v>
      </c>
      <c r="X121" s="454">
        <v>772969</v>
      </c>
    </row>
    <row r="122" spans="1:24">
      <c r="A122" s="458">
        <v>91128</v>
      </c>
      <c r="B122" s="518" t="s">
        <v>835</v>
      </c>
      <c r="C122" s="460">
        <f t="shared" si="2"/>
        <v>5.9754006289990135E-4</v>
      </c>
      <c r="D122" s="460">
        <f>VLOOKUP(A122,'2024 summary '!A122:C1028,3,FALSE)</f>
        <v>6.1927E-4</v>
      </c>
      <c r="E122" s="505">
        <v>4028299</v>
      </c>
      <c r="F122" s="460"/>
      <c r="G122" s="505">
        <v>705910</v>
      </c>
      <c r="H122" s="505">
        <v>547645</v>
      </c>
      <c r="I122" s="505">
        <v>0</v>
      </c>
      <c r="J122" s="505">
        <v>173657</v>
      </c>
      <c r="K122" s="505">
        <v>1427212</v>
      </c>
      <c r="L122" s="460"/>
      <c r="M122" s="505">
        <v>4746</v>
      </c>
      <c r="N122" s="505">
        <v>0</v>
      </c>
      <c r="O122" s="505">
        <v>0</v>
      </c>
      <c r="P122" s="505">
        <v>51142</v>
      </c>
      <c r="Q122" s="505">
        <v>55888</v>
      </c>
      <c r="R122" s="460"/>
      <c r="S122" s="505">
        <v>1205092</v>
      </c>
      <c r="T122" s="505">
        <v>75061</v>
      </c>
      <c r="U122" s="505">
        <v>1280153</v>
      </c>
      <c r="W122" s="454">
        <v>7138263</v>
      </c>
      <c r="X122" s="454">
        <v>1469925</v>
      </c>
    </row>
    <row r="123" spans="1:24">
      <c r="A123" s="458">
        <v>91138</v>
      </c>
      <c r="B123" s="518" t="s">
        <v>836</v>
      </c>
      <c r="C123" s="460">
        <f t="shared" si="2"/>
        <v>4.4556996596293739E-4</v>
      </c>
      <c r="D123" s="460">
        <f>VLOOKUP(A123,'2024 summary '!A123:C1029,3,FALSE)</f>
        <v>4.5043999999999998E-4</v>
      </c>
      <c r="E123" s="505">
        <v>3003797</v>
      </c>
      <c r="F123" s="460"/>
      <c r="G123" s="505">
        <v>526379</v>
      </c>
      <c r="H123" s="505">
        <v>408364</v>
      </c>
      <c r="I123" s="505">
        <v>0</v>
      </c>
      <c r="J123" s="505">
        <v>16595</v>
      </c>
      <c r="K123" s="505">
        <v>951338</v>
      </c>
      <c r="L123" s="460"/>
      <c r="M123" s="505">
        <v>3539</v>
      </c>
      <c r="N123" s="505">
        <v>0</v>
      </c>
      <c r="O123" s="505">
        <v>0</v>
      </c>
      <c r="P123" s="505">
        <v>74607</v>
      </c>
      <c r="Q123" s="505">
        <v>78146</v>
      </c>
      <c r="R123" s="460"/>
      <c r="S123" s="505">
        <v>898606</v>
      </c>
      <c r="T123" s="505">
        <v>-23929</v>
      </c>
      <c r="U123" s="505">
        <v>874677</v>
      </c>
      <c r="W123" s="454">
        <v>5322817</v>
      </c>
      <c r="X123" s="454">
        <v>1096085</v>
      </c>
    </row>
    <row r="124" spans="1:24">
      <c r="A124" s="458">
        <v>91141</v>
      </c>
      <c r="B124" s="518" t="s">
        <v>837</v>
      </c>
      <c r="C124" s="460">
        <f t="shared" si="2"/>
        <v>5.8908003984615824E-4</v>
      </c>
      <c r="D124" s="460">
        <f>VLOOKUP(A124,'2024 summary '!A124:C1030,3,FALSE)</f>
        <v>5.9217999999999999E-4</v>
      </c>
      <c r="E124" s="505">
        <v>3971266</v>
      </c>
      <c r="F124" s="460"/>
      <c r="G124" s="505">
        <v>695916</v>
      </c>
      <c r="H124" s="505">
        <v>539891</v>
      </c>
      <c r="I124" s="505">
        <v>0</v>
      </c>
      <c r="J124" s="505">
        <v>10343</v>
      </c>
      <c r="K124" s="505">
        <v>1246150</v>
      </c>
      <c r="L124" s="460"/>
      <c r="M124" s="505">
        <v>4679</v>
      </c>
      <c r="N124" s="505">
        <v>0</v>
      </c>
      <c r="O124" s="505">
        <v>0</v>
      </c>
      <c r="P124" s="505">
        <v>123151</v>
      </c>
      <c r="Q124" s="505">
        <v>127830</v>
      </c>
      <c r="R124" s="460"/>
      <c r="S124" s="505">
        <v>1188031</v>
      </c>
      <c r="T124" s="505">
        <v>-76052</v>
      </c>
      <c r="U124" s="505">
        <v>1111979</v>
      </c>
      <c r="W124" s="454">
        <v>7037199</v>
      </c>
      <c r="X124" s="454">
        <v>1449114</v>
      </c>
    </row>
    <row r="125" spans="1:24">
      <c r="A125" s="458">
        <v>91147</v>
      </c>
      <c r="B125" s="518" t="s">
        <v>838</v>
      </c>
      <c r="C125" s="460">
        <f t="shared" si="2"/>
        <v>2.9920027879565194E-5</v>
      </c>
      <c r="D125" s="460">
        <f>VLOOKUP(A125,'2024 summary '!A125:C1031,3,FALSE)</f>
        <v>3.2910000000000002E-5</v>
      </c>
      <c r="E125" s="505">
        <v>201705</v>
      </c>
      <c r="F125" s="460"/>
      <c r="G125" s="505">
        <v>35346</v>
      </c>
      <c r="H125" s="505">
        <v>27422</v>
      </c>
      <c r="I125" s="505">
        <v>0</v>
      </c>
      <c r="J125" s="505">
        <v>754</v>
      </c>
      <c r="K125" s="505">
        <v>63522</v>
      </c>
      <c r="L125" s="460"/>
      <c r="M125" s="505">
        <v>238</v>
      </c>
      <c r="N125" s="505">
        <v>0</v>
      </c>
      <c r="O125" s="505">
        <v>0</v>
      </c>
      <c r="P125" s="505">
        <v>9271</v>
      </c>
      <c r="Q125" s="505">
        <v>9509</v>
      </c>
      <c r="R125" s="460"/>
      <c r="S125" s="505">
        <v>60341</v>
      </c>
      <c r="T125" s="505">
        <v>152</v>
      </c>
      <c r="U125" s="505">
        <v>60493</v>
      </c>
      <c r="W125" s="454">
        <v>357427</v>
      </c>
      <c r="X125" s="454">
        <v>73602</v>
      </c>
    </row>
    <row r="126" spans="1:24">
      <c r="A126" s="458">
        <v>91151</v>
      </c>
      <c r="B126" s="518" t="s">
        <v>839</v>
      </c>
      <c r="C126" s="460">
        <f t="shared" si="2"/>
        <v>7.2501001732783394E-4</v>
      </c>
      <c r="D126" s="460">
        <f>VLOOKUP(A126,'2024 summary '!A126:C1032,3,FALSE)</f>
        <v>6.8552999999999995E-4</v>
      </c>
      <c r="E126" s="505">
        <v>4887634</v>
      </c>
      <c r="F126" s="460"/>
      <c r="G126" s="505">
        <v>856499</v>
      </c>
      <c r="H126" s="505">
        <v>664471</v>
      </c>
      <c r="I126" s="505">
        <v>0</v>
      </c>
      <c r="J126" s="505">
        <v>104681</v>
      </c>
      <c r="K126" s="505">
        <v>1625651</v>
      </c>
      <c r="L126" s="460"/>
      <c r="M126" s="505">
        <v>5759</v>
      </c>
      <c r="N126" s="505">
        <v>0</v>
      </c>
      <c r="O126" s="505">
        <v>0</v>
      </c>
      <c r="P126" s="505">
        <v>55733</v>
      </c>
      <c r="Q126" s="505">
        <v>61492</v>
      </c>
      <c r="R126" s="460"/>
      <c r="S126" s="505">
        <v>1462168</v>
      </c>
      <c r="T126" s="505">
        <v>13152</v>
      </c>
      <c r="U126" s="505">
        <v>1475320</v>
      </c>
      <c r="W126" s="454">
        <v>8661030</v>
      </c>
      <c r="X126" s="454">
        <v>1783496</v>
      </c>
    </row>
    <row r="127" spans="1:24">
      <c r="A127" s="458">
        <v>91154</v>
      </c>
      <c r="B127" s="518" t="s">
        <v>840</v>
      </c>
      <c r="C127" s="460">
        <f t="shared" si="2"/>
        <v>2.1399928916493055E-5</v>
      </c>
      <c r="D127" s="460">
        <f>VLOOKUP(A127,'2024 summary '!A127:C1033,3,FALSE)</f>
        <v>2.3200000000000001E-5</v>
      </c>
      <c r="E127" s="505">
        <v>144267</v>
      </c>
      <c r="F127" s="460"/>
      <c r="G127" s="505">
        <v>25281</v>
      </c>
      <c r="H127" s="505">
        <v>19613</v>
      </c>
      <c r="I127" s="505">
        <v>0</v>
      </c>
      <c r="J127" s="505">
        <v>2955</v>
      </c>
      <c r="K127" s="505">
        <v>47849</v>
      </c>
      <c r="L127" s="460"/>
      <c r="M127" s="505">
        <v>170</v>
      </c>
      <c r="N127" s="505">
        <v>0</v>
      </c>
      <c r="O127" s="505">
        <v>0</v>
      </c>
      <c r="P127" s="505">
        <v>7675</v>
      </c>
      <c r="Q127" s="505">
        <v>7845</v>
      </c>
      <c r="R127" s="460"/>
      <c r="S127" s="505">
        <v>43159</v>
      </c>
      <c r="T127" s="505">
        <v>-1694</v>
      </c>
      <c r="U127" s="505">
        <v>41465</v>
      </c>
      <c r="W127" s="454">
        <v>255646</v>
      </c>
      <c r="X127" s="454">
        <v>52643</v>
      </c>
    </row>
    <row r="128" spans="1:24">
      <c r="A128" s="458">
        <v>91161</v>
      </c>
      <c r="B128" s="518" t="s">
        <v>841</v>
      </c>
      <c r="C128" s="460">
        <f t="shared" si="2"/>
        <v>8.4580056898742208E-5</v>
      </c>
      <c r="D128" s="460">
        <f>VLOOKUP(A128,'2024 summary '!A128:C1034,3,FALSE)</f>
        <v>7.5030000000000005E-5</v>
      </c>
      <c r="E128" s="505">
        <v>570194</v>
      </c>
      <c r="F128" s="460"/>
      <c r="G128" s="505">
        <v>99920</v>
      </c>
      <c r="H128" s="505">
        <v>77517</v>
      </c>
      <c r="I128" s="505">
        <v>0</v>
      </c>
      <c r="J128" s="505">
        <v>24553</v>
      </c>
      <c r="K128" s="505">
        <v>201990</v>
      </c>
      <c r="L128" s="460"/>
      <c r="M128" s="505">
        <v>672</v>
      </c>
      <c r="N128" s="505">
        <v>0</v>
      </c>
      <c r="O128" s="505">
        <v>0</v>
      </c>
      <c r="P128" s="505">
        <v>34813</v>
      </c>
      <c r="Q128" s="505">
        <v>35485</v>
      </c>
      <c r="R128" s="460"/>
      <c r="S128" s="505">
        <v>170577</v>
      </c>
      <c r="T128" s="505">
        <v>-10664</v>
      </c>
      <c r="U128" s="505">
        <v>159913</v>
      </c>
      <c r="W128" s="454">
        <v>1010400</v>
      </c>
      <c r="X128" s="454">
        <v>208064</v>
      </c>
    </row>
    <row r="129" spans="1:24">
      <c r="A129" s="458">
        <v>91171</v>
      </c>
      <c r="B129" s="518" t="s">
        <v>842</v>
      </c>
      <c r="C129" s="460">
        <f t="shared" si="2"/>
        <v>2.7151003133345681E-4</v>
      </c>
      <c r="D129" s="460">
        <f>VLOOKUP(A129,'2024 summary '!A129:C1035,3,FALSE)</f>
        <v>2.81E-4</v>
      </c>
      <c r="E129" s="505">
        <v>1830377</v>
      </c>
      <c r="F129" s="460"/>
      <c r="G129" s="505">
        <v>320751</v>
      </c>
      <c r="H129" s="505">
        <v>248839</v>
      </c>
      <c r="I129" s="505">
        <v>0</v>
      </c>
      <c r="J129" s="505">
        <v>34554</v>
      </c>
      <c r="K129" s="505">
        <v>604144</v>
      </c>
      <c r="L129" s="460"/>
      <c r="M129" s="505">
        <v>2157</v>
      </c>
      <c r="N129" s="505">
        <v>0</v>
      </c>
      <c r="O129" s="505">
        <v>0</v>
      </c>
      <c r="P129" s="505">
        <v>132723</v>
      </c>
      <c r="Q129" s="505">
        <v>134880</v>
      </c>
      <c r="R129" s="460"/>
      <c r="S129" s="505">
        <v>547569</v>
      </c>
      <c r="T129" s="505">
        <v>-39105</v>
      </c>
      <c r="U129" s="505">
        <v>508464</v>
      </c>
      <c r="W129" s="454">
        <v>3243481</v>
      </c>
      <c r="X129" s="454">
        <v>667904</v>
      </c>
    </row>
    <row r="130" spans="1:24">
      <c r="A130" s="458">
        <v>91201</v>
      </c>
      <c r="B130" s="518" t="s">
        <v>843</v>
      </c>
      <c r="C130" s="460">
        <f t="shared" si="2"/>
        <v>4.0251700313220264E-3</v>
      </c>
      <c r="D130" s="460">
        <f>VLOOKUP(A130,'2024 summary '!A130:C1036,3,FALSE)</f>
        <v>2.38105E-3</v>
      </c>
      <c r="E130" s="505">
        <v>27135567</v>
      </c>
      <c r="F130" s="460"/>
      <c r="G130" s="505">
        <v>4755179</v>
      </c>
      <c r="H130" s="505">
        <v>3689064</v>
      </c>
      <c r="I130" s="505">
        <v>0</v>
      </c>
      <c r="J130" s="505">
        <v>1196552</v>
      </c>
      <c r="K130" s="505">
        <v>9640795</v>
      </c>
      <c r="L130" s="460"/>
      <c r="M130" s="505">
        <v>31972</v>
      </c>
      <c r="N130" s="505">
        <v>0</v>
      </c>
      <c r="O130" s="505">
        <v>0</v>
      </c>
      <c r="P130" s="505">
        <v>334053</v>
      </c>
      <c r="Q130" s="505">
        <v>366025</v>
      </c>
      <c r="R130" s="460"/>
      <c r="S130" s="505">
        <v>8117786</v>
      </c>
      <c r="T130" s="505">
        <v>253722</v>
      </c>
      <c r="U130" s="505">
        <v>8371508</v>
      </c>
      <c r="W130" s="454">
        <v>48085019</v>
      </c>
      <c r="X130" s="454">
        <v>9901761</v>
      </c>
    </row>
    <row r="131" spans="1:24" s="517" customFormat="1">
      <c r="A131" s="515">
        <v>91202</v>
      </c>
      <c r="B131" s="516" t="s">
        <v>844</v>
      </c>
      <c r="C131" s="460">
        <f t="shared" si="2"/>
        <v>0</v>
      </c>
      <c r="D131" s="460">
        <f>VLOOKUP(A131,'2024 summary '!A131:C1037,3,FALSE)</f>
        <v>0</v>
      </c>
      <c r="E131" s="505">
        <v>0</v>
      </c>
      <c r="F131" s="460"/>
      <c r="G131" s="505">
        <v>0</v>
      </c>
      <c r="H131" s="505">
        <v>0</v>
      </c>
      <c r="I131" s="505">
        <v>0</v>
      </c>
      <c r="J131" s="505">
        <v>0</v>
      </c>
      <c r="K131" s="505">
        <v>0</v>
      </c>
      <c r="L131" s="460"/>
      <c r="M131" s="505">
        <v>0</v>
      </c>
      <c r="N131" s="505">
        <v>0</v>
      </c>
      <c r="O131" s="505">
        <v>0</v>
      </c>
      <c r="P131" s="505">
        <v>0</v>
      </c>
      <c r="Q131" s="505">
        <v>0</v>
      </c>
      <c r="R131" s="460"/>
      <c r="S131" s="505">
        <v>0</v>
      </c>
      <c r="T131" s="505">
        <v>-41595</v>
      </c>
      <c r="U131" s="505">
        <v>-41595</v>
      </c>
      <c r="W131" s="454">
        <v>0</v>
      </c>
      <c r="X131" s="454">
        <v>0</v>
      </c>
    </row>
    <row r="132" spans="1:24">
      <c r="A132" s="532">
        <v>91208</v>
      </c>
      <c r="B132" s="533" t="s">
        <v>847</v>
      </c>
      <c r="C132" s="460">
        <f t="shared" si="2"/>
        <v>2.1170008769678023E-5</v>
      </c>
      <c r="D132" s="460">
        <f>VLOOKUP(A132,'2024 summary '!A132:C1038,3,FALSE)</f>
        <v>2.1840000000000001E-5</v>
      </c>
      <c r="E132" s="505">
        <v>142717</v>
      </c>
      <c r="F132" s="460"/>
      <c r="G132" s="505">
        <v>25009</v>
      </c>
      <c r="H132" s="505">
        <v>19402</v>
      </c>
      <c r="I132" s="505">
        <v>0</v>
      </c>
      <c r="J132" s="505">
        <v>6155</v>
      </c>
      <c r="K132" s="505">
        <v>50566</v>
      </c>
      <c r="L132" s="460"/>
      <c r="M132" s="505">
        <v>168</v>
      </c>
      <c r="N132" s="505">
        <v>0</v>
      </c>
      <c r="O132" s="505">
        <v>0</v>
      </c>
      <c r="P132" s="505">
        <v>3552</v>
      </c>
      <c r="Q132" s="505">
        <v>3720</v>
      </c>
      <c r="R132" s="460"/>
      <c r="S132" s="505">
        <v>42695</v>
      </c>
      <c r="T132" s="505">
        <v>3877</v>
      </c>
      <c r="U132" s="505">
        <v>46572</v>
      </c>
      <c r="W132" s="454">
        <v>252899</v>
      </c>
      <c r="X132" s="454">
        <v>52077</v>
      </c>
    </row>
    <row r="133" spans="1:24">
      <c r="A133" s="532">
        <v>91211</v>
      </c>
      <c r="B133" s="533" t="s">
        <v>848</v>
      </c>
      <c r="C133" s="460">
        <f t="shared" si="2"/>
        <v>4.104000452859028E-4</v>
      </c>
      <c r="D133" s="460">
        <f>VLOOKUP(A133,'2024 summary '!A133:C1039,3,FALSE)</f>
        <v>4.2053000000000001E-4</v>
      </c>
      <c r="E133" s="505">
        <v>2766700</v>
      </c>
      <c r="F133" s="460"/>
      <c r="G133" s="505">
        <v>484831</v>
      </c>
      <c r="H133" s="505">
        <v>376131</v>
      </c>
      <c r="I133" s="505">
        <v>0</v>
      </c>
      <c r="J133" s="505">
        <v>398</v>
      </c>
      <c r="K133" s="505">
        <v>861360</v>
      </c>
      <c r="L133" s="460"/>
      <c r="M133" s="505">
        <v>3260</v>
      </c>
      <c r="N133" s="505">
        <v>0</v>
      </c>
      <c r="O133" s="505">
        <v>0</v>
      </c>
      <c r="P133" s="505">
        <v>79515</v>
      </c>
      <c r="Q133" s="505">
        <v>82775</v>
      </c>
      <c r="R133" s="460"/>
      <c r="S133" s="505">
        <v>827677</v>
      </c>
      <c r="T133" s="505">
        <v>-62866</v>
      </c>
      <c r="U133" s="505">
        <v>764811</v>
      </c>
      <c r="W133" s="454">
        <v>4902673</v>
      </c>
      <c r="X133" s="454">
        <v>1009568</v>
      </c>
    </row>
    <row r="134" spans="1:24">
      <c r="A134" s="458">
        <v>91213</v>
      </c>
      <c r="B134" s="518" t="s">
        <v>849</v>
      </c>
      <c r="C134" s="460">
        <f t="shared" si="2"/>
        <v>2.0689994837359672E-5</v>
      </c>
      <c r="D134" s="460">
        <f>VLOOKUP(A134,'2024 summary '!A134:C1040,3,FALSE)</f>
        <v>2.5469999999999998E-5</v>
      </c>
      <c r="E134" s="505">
        <v>139481</v>
      </c>
      <c r="F134" s="460"/>
      <c r="G134" s="505">
        <v>24442</v>
      </c>
      <c r="H134" s="505">
        <v>18962</v>
      </c>
      <c r="I134" s="505">
        <v>0</v>
      </c>
      <c r="J134" s="505">
        <v>1989</v>
      </c>
      <c r="K134" s="505">
        <v>45393</v>
      </c>
      <c r="L134" s="460"/>
      <c r="M134" s="505">
        <v>164</v>
      </c>
      <c r="N134" s="505">
        <v>0</v>
      </c>
      <c r="O134" s="505">
        <v>0</v>
      </c>
      <c r="P134" s="505">
        <v>7767</v>
      </c>
      <c r="Q134" s="505">
        <v>7931</v>
      </c>
      <c r="R134" s="460"/>
      <c r="S134" s="505">
        <v>41727</v>
      </c>
      <c r="T134" s="505">
        <v>-4197</v>
      </c>
      <c r="U134" s="505">
        <v>37530</v>
      </c>
      <c r="W134" s="454">
        <v>247164</v>
      </c>
      <c r="X134" s="454">
        <v>50897</v>
      </c>
    </row>
    <row r="135" spans="1:24">
      <c r="A135" s="458">
        <v>91214</v>
      </c>
      <c r="B135" s="518" t="s">
        <v>850</v>
      </c>
      <c r="C135" s="460">
        <f t="shared" si="2"/>
        <v>2.2900046622777197E-5</v>
      </c>
      <c r="D135" s="460">
        <f>VLOOKUP(A135,'2024 summary '!A135:C1041,3,FALSE)</f>
        <v>3.2469999999999999E-5</v>
      </c>
      <c r="E135" s="505">
        <v>154380</v>
      </c>
      <c r="F135" s="460"/>
      <c r="G135" s="505">
        <v>27053</v>
      </c>
      <c r="H135" s="505">
        <v>20988</v>
      </c>
      <c r="I135" s="505">
        <v>0</v>
      </c>
      <c r="J135" s="505">
        <v>0</v>
      </c>
      <c r="K135" s="505">
        <v>48041</v>
      </c>
      <c r="L135" s="460"/>
      <c r="M135" s="505">
        <v>182</v>
      </c>
      <c r="N135" s="505">
        <v>0</v>
      </c>
      <c r="O135" s="505">
        <v>0</v>
      </c>
      <c r="P135" s="505">
        <v>42990</v>
      </c>
      <c r="Q135" s="505">
        <v>43172</v>
      </c>
      <c r="R135" s="460"/>
      <c r="S135" s="505">
        <v>46184</v>
      </c>
      <c r="T135" s="505">
        <v>-19487</v>
      </c>
      <c r="U135" s="505">
        <v>26697</v>
      </c>
      <c r="W135" s="454">
        <v>273565</v>
      </c>
      <c r="X135" s="454">
        <v>56333</v>
      </c>
    </row>
    <row r="136" spans="1:24">
      <c r="A136" s="458">
        <v>91217</v>
      </c>
      <c r="B136" s="518" t="s">
        <v>851</v>
      </c>
      <c r="C136" s="460">
        <f t="shared" si="2"/>
        <v>2.302998858962234E-5</v>
      </c>
      <c r="D136" s="460">
        <f>VLOOKUP(A136,'2024 summary '!A136:C1042,3,FALSE)</f>
        <v>2.4899999999999999E-5</v>
      </c>
      <c r="E136" s="505">
        <v>155256</v>
      </c>
      <c r="F136" s="460"/>
      <c r="G136" s="505">
        <v>27207</v>
      </c>
      <c r="H136" s="505">
        <v>21107</v>
      </c>
      <c r="I136" s="505">
        <v>0</v>
      </c>
      <c r="J136" s="505">
        <v>2815</v>
      </c>
      <c r="K136" s="505">
        <v>51129</v>
      </c>
      <c r="L136" s="460"/>
      <c r="M136" s="505">
        <v>183</v>
      </c>
      <c r="N136" s="505">
        <v>0</v>
      </c>
      <c r="O136" s="505">
        <v>0</v>
      </c>
      <c r="P136" s="505">
        <v>1519</v>
      </c>
      <c r="Q136" s="505">
        <v>1702</v>
      </c>
      <c r="R136" s="460"/>
      <c r="S136" s="505">
        <v>46446</v>
      </c>
      <c r="T136" s="505">
        <v>5302</v>
      </c>
      <c r="U136" s="505">
        <v>51748</v>
      </c>
      <c r="W136" s="454">
        <v>275118</v>
      </c>
      <c r="X136" s="454">
        <v>56653</v>
      </c>
    </row>
    <row r="137" spans="1:24">
      <c r="A137" s="458">
        <v>91221</v>
      </c>
      <c r="B137" s="518" t="s">
        <v>852</v>
      </c>
      <c r="C137" s="460">
        <f t="shared" si="2"/>
        <v>1.1521001885744079E-4</v>
      </c>
      <c r="D137" s="460">
        <f>VLOOKUP(A137,'2024 summary '!A137:C1043,3,FALSE)</f>
        <v>8.0469999999999994E-5</v>
      </c>
      <c r="E137" s="505">
        <v>776685</v>
      </c>
      <c r="F137" s="460"/>
      <c r="G137" s="505">
        <v>136105</v>
      </c>
      <c r="H137" s="505">
        <v>105590</v>
      </c>
      <c r="I137" s="505">
        <v>0</v>
      </c>
      <c r="J137" s="505">
        <v>115133</v>
      </c>
      <c r="K137" s="505">
        <v>356828</v>
      </c>
      <c r="L137" s="460"/>
      <c r="M137" s="505">
        <v>915</v>
      </c>
      <c r="N137" s="505">
        <v>0</v>
      </c>
      <c r="O137" s="505">
        <v>0</v>
      </c>
      <c r="P137" s="505">
        <v>11991</v>
      </c>
      <c r="Q137" s="505">
        <v>12906</v>
      </c>
      <c r="R137" s="460"/>
      <c r="S137" s="505">
        <v>232350</v>
      </c>
      <c r="T137" s="505">
        <v>30700</v>
      </c>
      <c r="U137" s="505">
        <v>263050</v>
      </c>
      <c r="W137" s="454">
        <v>1376308</v>
      </c>
      <c r="X137" s="454">
        <v>283412</v>
      </c>
    </row>
    <row r="138" spans="1:24">
      <c r="A138" s="458">
        <v>91231</v>
      </c>
      <c r="B138" s="518" t="s">
        <v>853</v>
      </c>
      <c r="C138" s="460">
        <f t="shared" ref="C138:C201" si="3">E138/$E$915</f>
        <v>1.7546400504862753E-3</v>
      </c>
      <c r="D138" s="460">
        <f>VLOOKUP(A138,'2024 summary '!A138:C1044,3,FALSE)</f>
        <v>1.7249399999999999E-3</v>
      </c>
      <c r="E138" s="505">
        <v>11828855</v>
      </c>
      <c r="F138" s="460"/>
      <c r="G138" s="505">
        <v>2072863</v>
      </c>
      <c r="H138" s="505">
        <v>1608126</v>
      </c>
      <c r="I138" s="505">
        <v>0</v>
      </c>
      <c r="J138" s="505">
        <v>79667</v>
      </c>
      <c r="K138" s="505">
        <v>3760656</v>
      </c>
      <c r="L138" s="460"/>
      <c r="M138" s="505">
        <v>13937</v>
      </c>
      <c r="N138" s="505">
        <v>0</v>
      </c>
      <c r="O138" s="505">
        <v>0</v>
      </c>
      <c r="P138" s="505">
        <v>148571</v>
      </c>
      <c r="Q138" s="505">
        <v>162508</v>
      </c>
      <c r="R138" s="460"/>
      <c r="S138" s="505">
        <v>3538681</v>
      </c>
      <c r="T138" s="505">
        <v>-103674</v>
      </c>
      <c r="U138" s="505">
        <v>3435007</v>
      </c>
      <c r="W138" s="454">
        <v>20961077</v>
      </c>
      <c r="X138" s="454">
        <v>4316346</v>
      </c>
    </row>
    <row r="139" spans="1:24">
      <c r="A139" s="458">
        <v>91233</v>
      </c>
      <c r="B139" s="518" t="s">
        <v>854</v>
      </c>
      <c r="C139" s="460">
        <f t="shared" si="3"/>
        <v>5.2370024356899291E-5</v>
      </c>
      <c r="D139" s="460">
        <f>VLOOKUP(A139,'2024 summary '!A139:C1045,3,FALSE)</f>
        <v>4.9240000000000003E-5</v>
      </c>
      <c r="E139" s="505">
        <v>353051</v>
      </c>
      <c r="F139" s="460"/>
      <c r="G139" s="505">
        <v>61868</v>
      </c>
      <c r="H139" s="505">
        <v>47997</v>
      </c>
      <c r="I139" s="505">
        <v>0</v>
      </c>
      <c r="J139" s="505">
        <v>8231</v>
      </c>
      <c r="K139" s="505">
        <v>118096</v>
      </c>
      <c r="L139" s="460"/>
      <c r="M139" s="505">
        <v>416</v>
      </c>
      <c r="N139" s="505">
        <v>0</v>
      </c>
      <c r="O139" s="505">
        <v>0</v>
      </c>
      <c r="P139" s="505">
        <v>29815</v>
      </c>
      <c r="Q139" s="505">
        <v>30231</v>
      </c>
      <c r="R139" s="460"/>
      <c r="S139" s="505">
        <v>105618</v>
      </c>
      <c r="T139" s="505">
        <v>-15139</v>
      </c>
      <c r="U139" s="505">
        <v>90479</v>
      </c>
      <c r="W139" s="454">
        <v>625616</v>
      </c>
      <c r="X139" s="454">
        <v>128828</v>
      </c>
    </row>
    <row r="140" spans="1:24">
      <c r="A140" s="458">
        <v>91241</v>
      </c>
      <c r="B140" s="518" t="s">
        <v>855</v>
      </c>
      <c r="C140" s="460">
        <f t="shared" si="3"/>
        <v>2.3260057072015961E-5</v>
      </c>
      <c r="D140" s="460">
        <f>VLOOKUP(A140,'2024 summary '!A140:C1046,3,FALSE)</f>
        <v>3.2539999999999997E-5</v>
      </c>
      <c r="E140" s="505">
        <v>156807</v>
      </c>
      <c r="F140" s="460"/>
      <c r="G140" s="505">
        <v>27478</v>
      </c>
      <c r="H140" s="505">
        <v>21318</v>
      </c>
      <c r="I140" s="505">
        <v>0</v>
      </c>
      <c r="J140" s="505">
        <v>1588</v>
      </c>
      <c r="K140" s="505">
        <v>50384</v>
      </c>
      <c r="L140" s="460"/>
      <c r="M140" s="505">
        <v>185</v>
      </c>
      <c r="N140" s="505">
        <v>0</v>
      </c>
      <c r="O140" s="505">
        <v>0</v>
      </c>
      <c r="P140" s="505">
        <v>26515</v>
      </c>
      <c r="Q140" s="505">
        <v>26700</v>
      </c>
      <c r="R140" s="460"/>
      <c r="S140" s="505">
        <v>46910</v>
      </c>
      <c r="T140" s="505">
        <v>-6892</v>
      </c>
      <c r="U140" s="505">
        <v>40018</v>
      </c>
      <c r="W140" s="454">
        <v>277866</v>
      </c>
      <c r="X140" s="454">
        <v>57219</v>
      </c>
    </row>
    <row r="141" spans="1:24">
      <c r="A141" s="458">
        <v>91251</v>
      </c>
      <c r="B141" s="518" t="s">
        <v>856</v>
      </c>
      <c r="C141" s="460">
        <f t="shared" si="3"/>
        <v>2.1899968151921105E-5</v>
      </c>
      <c r="D141" s="460">
        <f>VLOOKUP(A141,'2024 summary '!A141:C1047,3,FALSE)</f>
        <v>2.4430000000000002E-5</v>
      </c>
      <c r="E141" s="505">
        <v>147638</v>
      </c>
      <c r="F141" s="460"/>
      <c r="G141" s="505">
        <v>25872</v>
      </c>
      <c r="H141" s="505">
        <v>20071</v>
      </c>
      <c r="I141" s="505">
        <v>0</v>
      </c>
      <c r="J141" s="505">
        <v>2898</v>
      </c>
      <c r="K141" s="505">
        <v>48841</v>
      </c>
      <c r="L141" s="460"/>
      <c r="M141" s="505">
        <v>174</v>
      </c>
      <c r="N141" s="505">
        <v>0</v>
      </c>
      <c r="O141" s="505">
        <v>0</v>
      </c>
      <c r="P141" s="505">
        <v>24054</v>
      </c>
      <c r="Q141" s="505">
        <v>24228</v>
      </c>
      <c r="R141" s="460"/>
      <c r="S141" s="505">
        <v>44167</v>
      </c>
      <c r="T141" s="505">
        <v>-8485</v>
      </c>
      <c r="U141" s="505">
        <v>35682</v>
      </c>
      <c r="W141" s="454">
        <v>261619</v>
      </c>
      <c r="X141" s="454">
        <v>53873</v>
      </c>
    </row>
    <row r="142" spans="1:24">
      <c r="A142" s="458">
        <v>91261</v>
      </c>
      <c r="B142" s="518" t="s">
        <v>857</v>
      </c>
      <c r="C142" s="460">
        <f t="shared" si="3"/>
        <v>9.4299894021453032E-6</v>
      </c>
      <c r="D142" s="460">
        <f>VLOOKUP(A142,'2024 summary '!A142:C1048,3,FALSE)</f>
        <v>9.5300000000000002E-6</v>
      </c>
      <c r="E142" s="505">
        <v>63572</v>
      </c>
      <c r="F142" s="460"/>
      <c r="G142" s="505">
        <v>11140</v>
      </c>
      <c r="H142" s="505">
        <v>8643</v>
      </c>
      <c r="I142" s="505">
        <v>0</v>
      </c>
      <c r="J142" s="505">
        <v>45</v>
      </c>
      <c r="K142" s="505">
        <v>19828</v>
      </c>
      <c r="L142" s="460"/>
      <c r="M142" s="505">
        <v>75</v>
      </c>
      <c r="N142" s="505">
        <v>0</v>
      </c>
      <c r="O142" s="505">
        <v>0</v>
      </c>
      <c r="P142" s="505">
        <v>2618</v>
      </c>
      <c r="Q142" s="505">
        <v>2693</v>
      </c>
      <c r="R142" s="460"/>
      <c r="S142" s="505">
        <v>19018</v>
      </c>
      <c r="T142" s="505">
        <v>-1678</v>
      </c>
      <c r="U142" s="505">
        <v>17340</v>
      </c>
      <c r="W142" s="454">
        <v>112652</v>
      </c>
      <c r="X142" s="454">
        <v>23197</v>
      </c>
    </row>
    <row r="143" spans="1:24">
      <c r="A143" s="458">
        <v>91301</v>
      </c>
      <c r="B143" s="518" t="s">
        <v>858</v>
      </c>
      <c r="C143" s="460">
        <f t="shared" si="3"/>
        <v>8.3291900350773163E-3</v>
      </c>
      <c r="D143" s="460">
        <f>VLOOKUP(A143,'2024 summary '!A143:C1049,3,FALSE)</f>
        <v>8.50449E-3</v>
      </c>
      <c r="E143" s="505">
        <v>56150993</v>
      </c>
      <c r="F143" s="460"/>
      <c r="G143" s="505">
        <v>9839780</v>
      </c>
      <c r="H143" s="505">
        <v>7633694</v>
      </c>
      <c r="I143" s="505">
        <v>0</v>
      </c>
      <c r="J143" s="505">
        <v>197262</v>
      </c>
      <c r="K143" s="505">
        <v>17670736</v>
      </c>
      <c r="L143" s="460"/>
      <c r="M143" s="505">
        <v>66159</v>
      </c>
      <c r="N143" s="505">
        <v>0</v>
      </c>
      <c r="O143" s="505">
        <v>0</v>
      </c>
      <c r="P143" s="505">
        <v>786505</v>
      </c>
      <c r="Q143" s="505">
        <v>852664</v>
      </c>
      <c r="R143" s="460"/>
      <c r="S143" s="505">
        <v>16797944</v>
      </c>
      <c r="T143" s="505">
        <v>-180322</v>
      </c>
      <c r="U143" s="505">
        <v>16617622</v>
      </c>
      <c r="W143" s="454">
        <v>99501203</v>
      </c>
      <c r="X143" s="454">
        <v>20489483</v>
      </c>
    </row>
    <row r="144" spans="1:24">
      <c r="A144" s="458">
        <v>91302</v>
      </c>
      <c r="B144" s="518" t="s">
        <v>859</v>
      </c>
      <c r="C144" s="460">
        <f t="shared" si="3"/>
        <v>5.0076993648818331E-4</v>
      </c>
      <c r="D144" s="460">
        <f>VLOOKUP(A144,'2024 summary '!A144:C1050,3,FALSE)</f>
        <v>5.2094999999999995E-4</v>
      </c>
      <c r="E144" s="505">
        <v>3375926</v>
      </c>
      <c r="F144" s="460"/>
      <c r="G144" s="505">
        <v>591590</v>
      </c>
      <c r="H144" s="505">
        <v>458955</v>
      </c>
      <c r="I144" s="505">
        <v>0</v>
      </c>
      <c r="J144" s="505">
        <v>12832</v>
      </c>
      <c r="K144" s="505">
        <v>1063377</v>
      </c>
      <c r="L144" s="460"/>
      <c r="M144" s="505">
        <v>3978</v>
      </c>
      <c r="N144" s="505">
        <v>0</v>
      </c>
      <c r="O144" s="505">
        <v>0</v>
      </c>
      <c r="P144" s="505">
        <v>71672</v>
      </c>
      <c r="Q144" s="505">
        <v>75650</v>
      </c>
      <c r="R144" s="460"/>
      <c r="S144" s="505">
        <v>1009931</v>
      </c>
      <c r="T144" s="505">
        <v>-10448</v>
      </c>
      <c r="U144" s="505">
        <v>999483</v>
      </c>
      <c r="W144" s="454">
        <v>5982240</v>
      </c>
      <c r="X144" s="454">
        <v>1231875</v>
      </c>
    </row>
    <row r="145" spans="1:24">
      <c r="A145" s="458">
        <v>91306</v>
      </c>
      <c r="B145" s="518" t="s">
        <v>860</v>
      </c>
      <c r="C145" s="460">
        <f t="shared" si="3"/>
        <v>2.0663199498443113E-3</v>
      </c>
      <c r="D145" s="460">
        <f>VLOOKUP(A145,'2024 summary '!A145:C1051,3,FALSE)</f>
        <v>2.36827E-3</v>
      </c>
      <c r="E145" s="505">
        <v>13930036</v>
      </c>
      <c r="F145" s="460"/>
      <c r="G145" s="505">
        <v>2441070</v>
      </c>
      <c r="H145" s="505">
        <v>1893780</v>
      </c>
      <c r="I145" s="505">
        <v>0</v>
      </c>
      <c r="J145" s="505">
        <v>424437</v>
      </c>
      <c r="K145" s="505">
        <v>4759287</v>
      </c>
      <c r="L145" s="460"/>
      <c r="M145" s="505">
        <v>16413</v>
      </c>
      <c r="N145" s="505">
        <v>0</v>
      </c>
      <c r="O145" s="505">
        <v>0</v>
      </c>
      <c r="P145" s="505">
        <v>1222352</v>
      </c>
      <c r="Q145" s="505">
        <v>1238765</v>
      </c>
      <c r="R145" s="460"/>
      <c r="S145" s="505">
        <v>4167263</v>
      </c>
      <c r="T145" s="505">
        <v>-110850</v>
      </c>
      <c r="U145" s="505">
        <v>4056413</v>
      </c>
      <c r="W145" s="454">
        <v>24684432</v>
      </c>
      <c r="X145" s="454">
        <v>5083067</v>
      </c>
    </row>
    <row r="146" spans="1:24">
      <c r="A146" s="458">
        <v>91308</v>
      </c>
      <c r="B146" s="518" t="s">
        <v>861</v>
      </c>
      <c r="C146" s="460">
        <f t="shared" si="3"/>
        <v>1.2129993603646732E-4</v>
      </c>
      <c r="D146" s="460">
        <f>VLOOKUP(A146,'2024 summary '!A146:C1052,3,FALSE)</f>
        <v>9.4199999999999999E-5</v>
      </c>
      <c r="E146" s="505">
        <v>817740</v>
      </c>
      <c r="F146" s="460"/>
      <c r="G146" s="505">
        <v>143299</v>
      </c>
      <c r="H146" s="505">
        <v>111171</v>
      </c>
      <c r="I146" s="505">
        <v>0</v>
      </c>
      <c r="J146" s="505">
        <v>117940</v>
      </c>
      <c r="K146" s="505">
        <v>372410</v>
      </c>
      <c r="L146" s="460"/>
      <c r="M146" s="505">
        <v>963</v>
      </c>
      <c r="N146" s="505">
        <v>0</v>
      </c>
      <c r="O146" s="505">
        <v>0</v>
      </c>
      <c r="P146" s="505">
        <v>27701</v>
      </c>
      <c r="Q146" s="505">
        <v>28664</v>
      </c>
      <c r="R146" s="460"/>
      <c r="S146" s="505">
        <v>244633</v>
      </c>
      <c r="T146" s="505">
        <v>-143</v>
      </c>
      <c r="U146" s="505">
        <v>244490</v>
      </c>
      <c r="W146" s="454">
        <v>1449060</v>
      </c>
      <c r="X146" s="454">
        <v>298393</v>
      </c>
    </row>
    <row r="147" spans="1:24">
      <c r="A147" s="458">
        <v>91311</v>
      </c>
      <c r="B147" s="518" t="s">
        <v>862</v>
      </c>
      <c r="C147" s="460">
        <f t="shared" si="3"/>
        <v>8.0728999757851208E-3</v>
      </c>
      <c r="D147" s="460">
        <f>VLOOKUP(A147,'2024 summary '!A147:C1053,3,FALSE)</f>
        <v>8.1367999999999996E-3</v>
      </c>
      <c r="E147" s="505">
        <v>54423221</v>
      </c>
      <c r="F147" s="460"/>
      <c r="G147" s="505">
        <v>9537009</v>
      </c>
      <c r="H147" s="505">
        <v>7398805</v>
      </c>
      <c r="I147" s="505">
        <v>0</v>
      </c>
      <c r="J147" s="505">
        <v>123709</v>
      </c>
      <c r="K147" s="505">
        <v>17059523</v>
      </c>
      <c r="L147" s="460"/>
      <c r="M147" s="505">
        <v>64123</v>
      </c>
      <c r="N147" s="505">
        <v>0</v>
      </c>
      <c r="O147" s="505">
        <v>0</v>
      </c>
      <c r="P147" s="505">
        <v>933146</v>
      </c>
      <c r="Q147" s="505">
        <v>997269</v>
      </c>
      <c r="R147" s="460"/>
      <c r="S147" s="505">
        <v>16281070</v>
      </c>
      <c r="T147" s="505">
        <v>-416793</v>
      </c>
      <c r="U147" s="505">
        <v>15864277</v>
      </c>
      <c r="W147" s="454">
        <v>96439542</v>
      </c>
      <c r="X147" s="454">
        <v>19859019</v>
      </c>
    </row>
    <row r="148" spans="1:24">
      <c r="A148" s="458">
        <v>91317</v>
      </c>
      <c r="B148" s="518" t="s">
        <v>863</v>
      </c>
      <c r="C148" s="460">
        <f t="shared" si="3"/>
        <v>1.4422000796235422E-4</v>
      </c>
      <c r="D148" s="460">
        <f>VLOOKUP(A148,'2024 summary '!A148:C1054,3,FALSE)</f>
        <v>1.5045E-4</v>
      </c>
      <c r="E148" s="505">
        <v>972255</v>
      </c>
      <c r="F148" s="460"/>
      <c r="G148" s="505">
        <v>170376</v>
      </c>
      <c r="H148" s="505">
        <v>132177</v>
      </c>
      <c r="I148" s="505">
        <v>0</v>
      </c>
      <c r="J148" s="505">
        <v>15195</v>
      </c>
      <c r="K148" s="505">
        <v>317748</v>
      </c>
      <c r="L148" s="460"/>
      <c r="M148" s="505">
        <v>1146</v>
      </c>
      <c r="N148" s="505">
        <v>0</v>
      </c>
      <c r="O148" s="505">
        <v>0</v>
      </c>
      <c r="P148" s="505">
        <v>31787</v>
      </c>
      <c r="Q148" s="505">
        <v>32933</v>
      </c>
      <c r="R148" s="460"/>
      <c r="S148" s="505">
        <v>290857</v>
      </c>
      <c r="T148" s="505">
        <v>10209</v>
      </c>
      <c r="U148" s="505">
        <v>301066</v>
      </c>
      <c r="W148" s="454">
        <v>1722864</v>
      </c>
      <c r="X148" s="454">
        <v>354776</v>
      </c>
    </row>
    <row r="149" spans="1:24">
      <c r="A149" s="458">
        <v>91321</v>
      </c>
      <c r="B149" s="518" t="s">
        <v>864</v>
      </c>
      <c r="C149" s="460">
        <f t="shared" si="3"/>
        <v>5.2730034806138052E-5</v>
      </c>
      <c r="D149" s="460">
        <f>VLOOKUP(A149,'2024 summary '!A149:C1055,3,FALSE)</f>
        <v>5.4509999999999998E-5</v>
      </c>
      <c r="E149" s="505">
        <v>355478</v>
      </c>
      <c r="F149" s="460"/>
      <c r="G149" s="505">
        <v>62293</v>
      </c>
      <c r="H149" s="505">
        <v>48327</v>
      </c>
      <c r="I149" s="505">
        <v>0</v>
      </c>
      <c r="J149" s="505">
        <v>0</v>
      </c>
      <c r="K149" s="505">
        <v>110620</v>
      </c>
      <c r="L149" s="460"/>
      <c r="M149" s="505">
        <v>419</v>
      </c>
      <c r="N149" s="505">
        <v>0</v>
      </c>
      <c r="O149" s="505">
        <v>0</v>
      </c>
      <c r="P149" s="505">
        <v>18662</v>
      </c>
      <c r="Q149" s="505">
        <v>19081</v>
      </c>
      <c r="R149" s="460"/>
      <c r="S149" s="505">
        <v>106344</v>
      </c>
      <c r="T149" s="505">
        <v>-12201</v>
      </c>
      <c r="U149" s="505">
        <v>94143</v>
      </c>
      <c r="W149" s="454">
        <v>629917</v>
      </c>
      <c r="X149" s="454">
        <v>129714</v>
      </c>
    </row>
    <row r="150" spans="1:24">
      <c r="A150" s="458">
        <v>91327</v>
      </c>
      <c r="B150" s="518" t="s">
        <v>865</v>
      </c>
      <c r="C150" s="460">
        <f t="shared" si="3"/>
        <v>1.1079926042805692E-5</v>
      </c>
      <c r="D150" s="460">
        <f>VLOOKUP(A150,'2024 summary '!A150:C1056,3,FALSE)</f>
        <v>1.167E-5</v>
      </c>
      <c r="E150" s="505">
        <v>74695</v>
      </c>
      <c r="F150" s="460"/>
      <c r="G150" s="505">
        <v>13089</v>
      </c>
      <c r="H150" s="505">
        <v>10155</v>
      </c>
      <c r="I150" s="505">
        <v>0</v>
      </c>
      <c r="J150" s="505">
        <v>3399</v>
      </c>
      <c r="K150" s="505">
        <v>26643</v>
      </c>
      <c r="L150" s="460"/>
      <c r="M150" s="505">
        <v>88</v>
      </c>
      <c r="N150" s="505">
        <v>0</v>
      </c>
      <c r="O150" s="505">
        <v>0</v>
      </c>
      <c r="P150" s="505">
        <v>1684</v>
      </c>
      <c r="Q150" s="505">
        <v>1772</v>
      </c>
      <c r="R150" s="460"/>
      <c r="S150" s="505">
        <v>22346</v>
      </c>
      <c r="T150" s="505">
        <v>6488</v>
      </c>
      <c r="U150" s="505">
        <v>28834</v>
      </c>
      <c r="W150" s="454">
        <v>132363</v>
      </c>
      <c r="X150" s="454">
        <v>27256</v>
      </c>
    </row>
    <row r="151" spans="1:24">
      <c r="A151" s="458">
        <v>91331</v>
      </c>
      <c r="B151" s="518" t="s">
        <v>866</v>
      </c>
      <c r="C151" s="460">
        <f t="shared" si="3"/>
        <v>3.1615599960978904E-3</v>
      </c>
      <c r="D151" s="460">
        <f>VLOOKUP(A151,'2024 summary '!A151:C1057,3,FALSE)</f>
        <v>2.9839799999999998E-3</v>
      </c>
      <c r="E151" s="505">
        <v>21313565</v>
      </c>
      <c r="F151" s="460"/>
      <c r="G151" s="505">
        <v>3734944</v>
      </c>
      <c r="H151" s="505">
        <v>2897567</v>
      </c>
      <c r="I151" s="505">
        <v>0</v>
      </c>
      <c r="J151" s="505">
        <v>503696</v>
      </c>
      <c r="K151" s="505">
        <v>7136207</v>
      </c>
      <c r="L151" s="460"/>
      <c r="M151" s="505">
        <v>25112</v>
      </c>
      <c r="N151" s="505">
        <v>0</v>
      </c>
      <c r="O151" s="505">
        <v>0</v>
      </c>
      <c r="P151" s="505">
        <v>388991</v>
      </c>
      <c r="Q151" s="505">
        <v>414103</v>
      </c>
      <c r="R151" s="460"/>
      <c r="S151" s="505">
        <v>6376095</v>
      </c>
      <c r="T151" s="505">
        <v>-50051</v>
      </c>
      <c r="U151" s="505">
        <v>6326044</v>
      </c>
      <c r="W151" s="454">
        <v>37768261</v>
      </c>
      <c r="X151" s="454">
        <v>7777314</v>
      </c>
    </row>
    <row r="152" spans="1:24">
      <c r="A152" s="458">
        <v>91341</v>
      </c>
      <c r="B152" s="518" t="s">
        <v>867</v>
      </c>
      <c r="C152" s="460">
        <f t="shared" si="3"/>
        <v>7.6029994148794821E-5</v>
      </c>
      <c r="D152" s="460">
        <f>VLOOKUP(A152,'2024 summary '!A152:C1058,3,FALSE)</f>
        <v>6.3120000000000006E-5</v>
      </c>
      <c r="E152" s="505">
        <v>512554</v>
      </c>
      <c r="F152" s="460"/>
      <c r="G152" s="505">
        <v>89819</v>
      </c>
      <c r="H152" s="505">
        <v>69681</v>
      </c>
      <c r="I152" s="505">
        <v>0</v>
      </c>
      <c r="J152" s="505">
        <v>72135</v>
      </c>
      <c r="K152" s="505">
        <v>231635</v>
      </c>
      <c r="L152" s="460"/>
      <c r="M152" s="505">
        <v>604</v>
      </c>
      <c r="N152" s="505">
        <v>0</v>
      </c>
      <c r="O152" s="505">
        <v>0</v>
      </c>
      <c r="P152" s="505">
        <v>1702</v>
      </c>
      <c r="Q152" s="505">
        <v>2306</v>
      </c>
      <c r="R152" s="460"/>
      <c r="S152" s="505">
        <v>153334</v>
      </c>
      <c r="T152" s="505">
        <v>27655</v>
      </c>
      <c r="U152" s="505">
        <v>180989</v>
      </c>
      <c r="W152" s="454">
        <v>908261</v>
      </c>
      <c r="X152" s="454">
        <v>187031</v>
      </c>
    </row>
    <row r="153" spans="1:24">
      <c r="A153" s="458">
        <v>91401</v>
      </c>
      <c r="B153" s="518" t="s">
        <v>868</v>
      </c>
      <c r="C153" s="460">
        <f t="shared" si="3"/>
        <v>3.5569400257024707E-3</v>
      </c>
      <c r="D153" s="460">
        <f>VLOOKUP(A153,'2024 summary '!A153:C1059,3,FALSE)</f>
        <v>3.6303500000000001E-3</v>
      </c>
      <c r="E153" s="505">
        <v>23979008</v>
      </c>
      <c r="F153" s="460"/>
      <c r="G153" s="505">
        <v>4202030</v>
      </c>
      <c r="H153" s="505">
        <v>3259932</v>
      </c>
      <c r="I153" s="505">
        <v>0</v>
      </c>
      <c r="J153" s="505">
        <v>69908</v>
      </c>
      <c r="K153" s="505">
        <v>7531870</v>
      </c>
      <c r="L153" s="460"/>
      <c r="M153" s="505">
        <v>28253</v>
      </c>
      <c r="N153" s="505">
        <v>0</v>
      </c>
      <c r="O153" s="505">
        <v>0</v>
      </c>
      <c r="P153" s="505">
        <v>537922</v>
      </c>
      <c r="Q153" s="505">
        <v>566175</v>
      </c>
      <c r="R153" s="460"/>
      <c r="S153" s="505">
        <v>7173480</v>
      </c>
      <c r="T153" s="505">
        <v>-258673</v>
      </c>
      <c r="U153" s="505">
        <v>6914807</v>
      </c>
      <c r="W153" s="454">
        <v>42491504</v>
      </c>
      <c r="X153" s="454">
        <v>8749934</v>
      </c>
    </row>
    <row r="154" spans="1:24">
      <c r="A154" s="458">
        <v>91411</v>
      </c>
      <c r="B154" s="518" t="s">
        <v>869</v>
      </c>
      <c r="C154" s="460">
        <f t="shared" si="3"/>
        <v>4.1101000118506627E-4</v>
      </c>
      <c r="D154" s="460">
        <f>VLOOKUP(A154,'2024 summary '!A154:C1060,3,FALSE)</f>
        <v>4.3454000000000002E-4</v>
      </c>
      <c r="E154" s="505">
        <v>2770812</v>
      </c>
      <c r="F154" s="460"/>
      <c r="G154" s="505">
        <v>485551</v>
      </c>
      <c r="H154" s="505">
        <v>376690</v>
      </c>
      <c r="I154" s="505">
        <v>0</v>
      </c>
      <c r="J154" s="505">
        <v>92568</v>
      </c>
      <c r="K154" s="505">
        <v>954809</v>
      </c>
      <c r="L154" s="460"/>
      <c r="M154" s="505">
        <v>3265</v>
      </c>
      <c r="N154" s="505">
        <v>0</v>
      </c>
      <c r="O154" s="505">
        <v>0</v>
      </c>
      <c r="P154" s="505">
        <v>112383</v>
      </c>
      <c r="Q154" s="505">
        <v>115648</v>
      </c>
      <c r="R154" s="460"/>
      <c r="S154" s="505">
        <v>828907</v>
      </c>
      <c r="T154" s="505">
        <v>4317</v>
      </c>
      <c r="U154" s="505">
        <v>833224</v>
      </c>
      <c r="W154" s="454">
        <v>4909960</v>
      </c>
      <c r="X154" s="454">
        <v>1011069</v>
      </c>
    </row>
    <row r="155" spans="1:24">
      <c r="A155" s="458">
        <v>91414</v>
      </c>
      <c r="B155" s="518" t="s">
        <v>3608</v>
      </c>
      <c r="C155" s="460">
        <f t="shared" si="3"/>
        <v>2.5829970971093658E-5</v>
      </c>
      <c r="D155" s="460">
        <f>VLOOKUP(A155,'2024 summary '!A155:C1061,3,FALSE)</f>
        <v>2.9479999999999999E-5</v>
      </c>
      <c r="E155" s="505">
        <v>174132</v>
      </c>
      <c r="F155" s="460"/>
      <c r="G155" s="505">
        <v>30515</v>
      </c>
      <c r="H155" s="505">
        <v>23673</v>
      </c>
      <c r="I155" s="505">
        <v>0</v>
      </c>
      <c r="J155" s="505">
        <v>0</v>
      </c>
      <c r="K155" s="505">
        <v>54188</v>
      </c>
      <c r="L155" s="460"/>
      <c r="M155" s="505">
        <v>205</v>
      </c>
      <c r="N155" s="505">
        <v>0</v>
      </c>
      <c r="O155" s="505">
        <v>0</v>
      </c>
      <c r="P155" s="505">
        <v>14561</v>
      </c>
      <c r="Q155" s="505">
        <v>14766</v>
      </c>
      <c r="R155" s="460"/>
      <c r="S155" s="505">
        <v>52093</v>
      </c>
      <c r="T155" s="505">
        <v>-1907</v>
      </c>
      <c r="U155" s="505">
        <v>50186</v>
      </c>
      <c r="W155" s="454">
        <v>308567</v>
      </c>
      <c r="X155" s="454">
        <v>63541</v>
      </c>
    </row>
    <row r="156" spans="1:24">
      <c r="A156" s="458">
        <v>91417</v>
      </c>
      <c r="B156" s="518" t="s">
        <v>870</v>
      </c>
      <c r="C156" s="460">
        <f t="shared" si="3"/>
        <v>4.8700053806995607E-6</v>
      </c>
      <c r="D156" s="460">
        <f>VLOOKUP(A156,'2024 summary '!A156:C1062,3,FALSE)</f>
        <v>5.7100000000000004E-6</v>
      </c>
      <c r="E156" s="505">
        <v>32831</v>
      </c>
      <c r="F156" s="460"/>
      <c r="G156" s="505">
        <v>5753</v>
      </c>
      <c r="H156" s="505">
        <v>4463</v>
      </c>
      <c r="I156" s="505">
        <v>0</v>
      </c>
      <c r="J156" s="505">
        <v>8846</v>
      </c>
      <c r="K156" s="505">
        <v>19062</v>
      </c>
      <c r="L156" s="460"/>
      <c r="M156" s="505">
        <v>39</v>
      </c>
      <c r="N156" s="505">
        <v>0</v>
      </c>
      <c r="O156" s="505">
        <v>0</v>
      </c>
      <c r="P156" s="505">
        <v>2030</v>
      </c>
      <c r="Q156" s="505">
        <v>2069</v>
      </c>
      <c r="R156" s="460"/>
      <c r="S156" s="505">
        <v>9822</v>
      </c>
      <c r="T156" s="505">
        <v>5304</v>
      </c>
      <c r="U156" s="505">
        <v>15126</v>
      </c>
      <c r="W156" s="454">
        <v>58177</v>
      </c>
      <c r="X156" s="454">
        <v>11980</v>
      </c>
    </row>
    <row r="157" spans="1:24">
      <c r="A157" s="458">
        <v>91421</v>
      </c>
      <c r="B157" s="518" t="s">
        <v>871</v>
      </c>
      <c r="C157" s="460">
        <f t="shared" si="3"/>
        <v>1.0038995953605817E-4</v>
      </c>
      <c r="D157" s="460">
        <f>VLOOKUP(A157,'2024 summary '!A157:C1063,3,FALSE)</f>
        <v>9.5849999999999999E-5</v>
      </c>
      <c r="E157" s="505">
        <v>676776</v>
      </c>
      <c r="F157" s="460"/>
      <c r="G157" s="505">
        <v>118597</v>
      </c>
      <c r="H157" s="505">
        <v>92007</v>
      </c>
      <c r="I157" s="505">
        <v>0</v>
      </c>
      <c r="J157" s="505">
        <v>41013</v>
      </c>
      <c r="K157" s="505">
        <v>251617</v>
      </c>
      <c r="L157" s="460"/>
      <c r="M157" s="505">
        <v>797</v>
      </c>
      <c r="N157" s="505">
        <v>0</v>
      </c>
      <c r="O157" s="505">
        <v>0</v>
      </c>
      <c r="P157" s="505">
        <v>2199</v>
      </c>
      <c r="Q157" s="505">
        <v>2996</v>
      </c>
      <c r="R157" s="460"/>
      <c r="S157" s="505">
        <v>202462</v>
      </c>
      <c r="T157" s="505">
        <v>22608</v>
      </c>
      <c r="U157" s="505">
        <v>225070</v>
      </c>
      <c r="W157" s="454">
        <v>1199267</v>
      </c>
      <c r="X157" s="454">
        <v>246955</v>
      </c>
    </row>
    <row r="158" spans="1:24">
      <c r="A158" s="458">
        <v>91423</v>
      </c>
      <c r="B158" s="518" t="s">
        <v>872</v>
      </c>
      <c r="C158" s="460">
        <f t="shared" si="3"/>
        <v>5.6719965199061108E-5</v>
      </c>
      <c r="D158" s="460">
        <f>VLOOKUP(A158,'2024 summary '!A158:C1064,3,FALSE)</f>
        <v>5.8350000000000002E-5</v>
      </c>
      <c r="E158" s="505">
        <v>382376</v>
      </c>
      <c r="F158" s="460"/>
      <c r="G158" s="505">
        <v>67007</v>
      </c>
      <c r="H158" s="505">
        <v>51984</v>
      </c>
      <c r="I158" s="505">
        <v>0</v>
      </c>
      <c r="J158" s="505">
        <v>2920</v>
      </c>
      <c r="K158" s="505">
        <v>121911</v>
      </c>
      <c r="L158" s="460"/>
      <c r="M158" s="505">
        <v>451</v>
      </c>
      <c r="N158" s="505">
        <v>0</v>
      </c>
      <c r="O158" s="505">
        <v>0</v>
      </c>
      <c r="P158" s="505">
        <v>15890</v>
      </c>
      <c r="Q158" s="505">
        <v>16341</v>
      </c>
      <c r="R158" s="460"/>
      <c r="S158" s="505">
        <v>114390</v>
      </c>
      <c r="T158" s="505">
        <v>-5859</v>
      </c>
      <c r="U158" s="505">
        <v>108531</v>
      </c>
      <c r="W158" s="454">
        <v>677582</v>
      </c>
      <c r="X158" s="454">
        <v>139529</v>
      </c>
    </row>
    <row r="159" spans="1:24">
      <c r="A159" s="458">
        <v>91431</v>
      </c>
      <c r="B159" s="518" t="s">
        <v>873</v>
      </c>
      <c r="C159" s="460">
        <f t="shared" si="3"/>
        <v>1.7658994625791754E-4</v>
      </c>
      <c r="D159" s="460">
        <f>VLOOKUP(A159,'2024 summary '!A159:C1065,3,FALSE)</f>
        <v>1.6783999999999999E-4</v>
      </c>
      <c r="E159" s="505">
        <v>1190476</v>
      </c>
      <c r="F159" s="460"/>
      <c r="G159" s="505">
        <v>208617</v>
      </c>
      <c r="H159" s="505">
        <v>161845</v>
      </c>
      <c r="I159" s="505">
        <v>0</v>
      </c>
      <c r="J159" s="505">
        <v>35385</v>
      </c>
      <c r="K159" s="505">
        <v>405847</v>
      </c>
      <c r="L159" s="460"/>
      <c r="M159" s="505">
        <v>1403</v>
      </c>
      <c r="N159" s="505">
        <v>0</v>
      </c>
      <c r="O159" s="505">
        <v>0</v>
      </c>
      <c r="P159" s="505">
        <v>52896</v>
      </c>
      <c r="Q159" s="505">
        <v>54299</v>
      </c>
      <c r="R159" s="460"/>
      <c r="S159" s="505">
        <v>356139</v>
      </c>
      <c r="T159" s="505">
        <v>-6057</v>
      </c>
      <c r="U159" s="505">
        <v>350082</v>
      </c>
      <c r="W159" s="454">
        <v>2109559</v>
      </c>
      <c r="X159" s="454">
        <v>434405</v>
      </c>
    </row>
    <row r="160" spans="1:24">
      <c r="A160" s="458">
        <v>91441</v>
      </c>
      <c r="B160" s="518" t="s">
        <v>874</v>
      </c>
      <c r="C160" s="460">
        <f t="shared" si="3"/>
        <v>9.2811999166844737E-4</v>
      </c>
      <c r="D160" s="460">
        <f>VLOOKUP(A160,'2024 summary '!A160:C1066,3,FALSE)</f>
        <v>1.0149E-3</v>
      </c>
      <c r="E160" s="505">
        <v>6256894</v>
      </c>
      <c r="F160" s="460"/>
      <c r="G160" s="505">
        <v>1096445</v>
      </c>
      <c r="H160" s="505">
        <v>850621</v>
      </c>
      <c r="I160" s="505">
        <v>0</v>
      </c>
      <c r="J160" s="505">
        <v>91111</v>
      </c>
      <c r="K160" s="505">
        <v>2038177</v>
      </c>
      <c r="L160" s="460"/>
      <c r="M160" s="505">
        <v>7372</v>
      </c>
      <c r="N160" s="505">
        <v>0</v>
      </c>
      <c r="O160" s="505">
        <v>0</v>
      </c>
      <c r="P160" s="505">
        <v>460264</v>
      </c>
      <c r="Q160" s="505">
        <v>467636</v>
      </c>
      <c r="R160" s="460"/>
      <c r="S160" s="505">
        <v>1871792</v>
      </c>
      <c r="T160" s="505">
        <v>-163885</v>
      </c>
      <c r="U160" s="505">
        <v>1707907</v>
      </c>
      <c r="W160" s="454">
        <v>11087399</v>
      </c>
      <c r="X160" s="454">
        <v>2283139</v>
      </c>
    </row>
    <row r="161" spans="1:24">
      <c r="A161" s="458">
        <v>91451</v>
      </c>
      <c r="B161" s="518" t="s">
        <v>875</v>
      </c>
      <c r="C161" s="460">
        <f t="shared" si="3"/>
        <v>1.392100034625811E-3</v>
      </c>
      <c r="D161" s="460">
        <f>VLOOKUP(A161,'2024 summary '!A161:C1067,3,FALSE)</f>
        <v>1.4804799999999999E-3</v>
      </c>
      <c r="E161" s="505">
        <v>9384802</v>
      </c>
      <c r="F161" s="460"/>
      <c r="G161" s="505">
        <v>1644573</v>
      </c>
      <c r="H161" s="505">
        <v>1275858</v>
      </c>
      <c r="I161" s="505">
        <v>0</v>
      </c>
      <c r="J161" s="505">
        <v>18643</v>
      </c>
      <c r="K161" s="505">
        <v>2939074</v>
      </c>
      <c r="L161" s="460"/>
      <c r="M161" s="505">
        <v>11057</v>
      </c>
      <c r="N161" s="505">
        <v>0</v>
      </c>
      <c r="O161" s="505">
        <v>0</v>
      </c>
      <c r="P161" s="505">
        <v>265312</v>
      </c>
      <c r="Q161" s="505">
        <v>276369</v>
      </c>
      <c r="R161" s="460"/>
      <c r="S161" s="505">
        <v>2807526</v>
      </c>
      <c r="T161" s="505">
        <v>-110941</v>
      </c>
      <c r="U161" s="505">
        <v>2696585</v>
      </c>
      <c r="W161" s="454">
        <v>16630144</v>
      </c>
      <c r="X161" s="454">
        <v>3424512</v>
      </c>
    </row>
    <row r="162" spans="1:24">
      <c r="A162" s="458">
        <v>91457</v>
      </c>
      <c r="B162" s="518" t="s">
        <v>876</v>
      </c>
      <c r="C162" s="460">
        <f t="shared" si="3"/>
        <v>1.6120072332148377E-5</v>
      </c>
      <c r="D162" s="460">
        <f>VLOOKUP(A162,'2024 summary '!A162:C1068,3,FALSE)</f>
        <v>1.7750000000000001E-5</v>
      </c>
      <c r="E162" s="505">
        <v>108673</v>
      </c>
      <c r="F162" s="460"/>
      <c r="G162" s="505">
        <v>19044</v>
      </c>
      <c r="H162" s="505">
        <v>14774</v>
      </c>
      <c r="I162" s="505">
        <v>0</v>
      </c>
      <c r="J162" s="505">
        <v>16502</v>
      </c>
      <c r="K162" s="505">
        <v>50320</v>
      </c>
      <c r="L162" s="460"/>
      <c r="M162" s="505">
        <v>128</v>
      </c>
      <c r="N162" s="505">
        <v>0</v>
      </c>
      <c r="O162" s="505">
        <v>0</v>
      </c>
      <c r="P162" s="505">
        <v>1423</v>
      </c>
      <c r="Q162" s="505">
        <v>1551</v>
      </c>
      <c r="R162" s="460"/>
      <c r="S162" s="505">
        <v>32510</v>
      </c>
      <c r="T162" s="505">
        <v>18420</v>
      </c>
      <c r="U162" s="505">
        <v>50930</v>
      </c>
      <c r="W162" s="454">
        <v>192571</v>
      </c>
      <c r="X162" s="454">
        <v>39655</v>
      </c>
    </row>
    <row r="163" spans="1:24">
      <c r="A163" s="458">
        <v>91501</v>
      </c>
      <c r="B163" s="518" t="s">
        <v>878</v>
      </c>
      <c r="C163" s="460">
        <f t="shared" si="3"/>
        <v>4.9207999328762519E-4</v>
      </c>
      <c r="D163" s="460">
        <f>VLOOKUP(A163,'2024 summary '!A163:C1069,3,FALSE)</f>
        <v>4.7812000000000001E-4</v>
      </c>
      <c r="E163" s="505">
        <v>3317343</v>
      </c>
      <c r="F163" s="460"/>
      <c r="G163" s="505">
        <v>581324</v>
      </c>
      <c r="H163" s="505">
        <v>450991</v>
      </c>
      <c r="I163" s="505">
        <v>0</v>
      </c>
      <c r="J163" s="505">
        <v>41186</v>
      </c>
      <c r="K163" s="505">
        <v>1073501</v>
      </c>
      <c r="L163" s="460"/>
      <c r="M163" s="505">
        <v>3909</v>
      </c>
      <c r="N163" s="505">
        <v>0</v>
      </c>
      <c r="O163" s="505">
        <v>0</v>
      </c>
      <c r="P163" s="505">
        <v>12668</v>
      </c>
      <c r="Q163" s="505">
        <v>16577</v>
      </c>
      <c r="R163" s="460"/>
      <c r="S163" s="505">
        <v>992405</v>
      </c>
      <c r="T163" s="505">
        <v>5489</v>
      </c>
      <c r="U163" s="505">
        <v>997894</v>
      </c>
      <c r="W163" s="454">
        <v>5878429</v>
      </c>
      <c r="X163" s="454">
        <v>1210498</v>
      </c>
    </row>
    <row r="164" spans="1:24">
      <c r="A164" s="458">
        <v>91504</v>
      </c>
      <c r="B164" s="518" t="s">
        <v>879</v>
      </c>
      <c r="C164" s="460">
        <f t="shared" si="3"/>
        <v>2.7000042015014286E-6</v>
      </c>
      <c r="D164" s="460">
        <f>VLOOKUP(A164,'2024 summary '!A164:C1070,3,FALSE)</f>
        <v>7.0500000000000003E-6</v>
      </c>
      <c r="E164" s="505">
        <v>18202</v>
      </c>
      <c r="F164" s="460"/>
      <c r="G164" s="505">
        <v>3190</v>
      </c>
      <c r="H164" s="505">
        <v>2475</v>
      </c>
      <c r="I164" s="505">
        <v>0</v>
      </c>
      <c r="J164" s="505">
        <v>4316</v>
      </c>
      <c r="K164" s="505">
        <v>9981</v>
      </c>
      <c r="L164" s="460"/>
      <c r="M164" s="505">
        <v>21</v>
      </c>
      <c r="N164" s="505">
        <v>0</v>
      </c>
      <c r="O164" s="505">
        <v>0</v>
      </c>
      <c r="P164" s="505">
        <v>15200</v>
      </c>
      <c r="Q164" s="505">
        <v>15221</v>
      </c>
      <c r="R164" s="460"/>
      <c r="S164" s="505">
        <v>5445</v>
      </c>
      <c r="T164" s="505">
        <v>-1139</v>
      </c>
      <c r="U164" s="505">
        <v>4306</v>
      </c>
      <c r="W164" s="454">
        <v>32254</v>
      </c>
      <c r="X164" s="454">
        <v>6642</v>
      </c>
    </row>
    <row r="165" spans="1:24">
      <c r="A165" s="458">
        <v>91601</v>
      </c>
      <c r="B165" s="518" t="s">
        <v>880</v>
      </c>
      <c r="C165" s="460">
        <f t="shared" si="3"/>
        <v>3.0002999385449701E-3</v>
      </c>
      <c r="D165" s="460">
        <f>VLOOKUP(A165,'2024 summary '!A165:C1071,3,FALSE)</f>
        <v>3.0380099999999998E-3</v>
      </c>
      <c r="E165" s="505">
        <v>20226435</v>
      </c>
      <c r="F165" s="460"/>
      <c r="G165" s="505">
        <v>3544437</v>
      </c>
      <c r="H165" s="505">
        <v>2749772</v>
      </c>
      <c r="I165" s="505">
        <v>0</v>
      </c>
      <c r="J165" s="505">
        <v>268216</v>
      </c>
      <c r="K165" s="505">
        <v>6562425</v>
      </c>
      <c r="L165" s="460"/>
      <c r="M165" s="505">
        <v>23831</v>
      </c>
      <c r="N165" s="505">
        <v>0</v>
      </c>
      <c r="O165" s="505">
        <v>0</v>
      </c>
      <c r="P165" s="505">
        <v>64108</v>
      </c>
      <c r="Q165" s="505">
        <v>87939</v>
      </c>
      <c r="R165" s="460"/>
      <c r="S165" s="505">
        <v>6050873</v>
      </c>
      <c r="T165" s="505">
        <v>218497</v>
      </c>
      <c r="U165" s="505">
        <v>6269370</v>
      </c>
      <c r="W165" s="454">
        <v>35841836</v>
      </c>
      <c r="X165" s="454">
        <v>7380621</v>
      </c>
    </row>
    <row r="166" spans="1:24" s="473" customFormat="1" ht="15">
      <c r="A166" s="530">
        <v>91602</v>
      </c>
      <c r="B166" s="531" t="s">
        <v>3787</v>
      </c>
      <c r="C166" s="460">
        <f t="shared" si="3"/>
        <v>2.6980016711904592E-5</v>
      </c>
      <c r="D166" s="460">
        <v>0</v>
      </c>
      <c r="E166" s="527">
        <v>181885</v>
      </c>
      <c r="F166" s="528"/>
      <c r="G166" s="505">
        <v>31873</v>
      </c>
      <c r="H166" s="505">
        <v>24727</v>
      </c>
      <c r="I166" s="505">
        <v>0</v>
      </c>
      <c r="J166" s="505">
        <v>76450</v>
      </c>
      <c r="K166" s="505">
        <v>133050</v>
      </c>
      <c r="L166" s="528"/>
      <c r="M166" s="505">
        <v>214</v>
      </c>
      <c r="N166" s="505">
        <v>0</v>
      </c>
      <c r="O166" s="505">
        <v>0</v>
      </c>
      <c r="P166" s="505">
        <v>0</v>
      </c>
      <c r="Q166" s="505">
        <v>214</v>
      </c>
      <c r="R166" s="528"/>
      <c r="S166" s="505">
        <v>54412</v>
      </c>
      <c r="T166" s="505">
        <v>25483</v>
      </c>
      <c r="U166" s="505">
        <v>79895</v>
      </c>
      <c r="W166" s="454">
        <v>322305</v>
      </c>
      <c r="X166" s="454">
        <v>66370</v>
      </c>
    </row>
    <row r="167" spans="1:24">
      <c r="A167" s="458">
        <v>91604</v>
      </c>
      <c r="B167" s="518" t="s">
        <v>881</v>
      </c>
      <c r="C167" s="460">
        <f t="shared" si="3"/>
        <v>8.1049966799449217E-5</v>
      </c>
      <c r="D167" s="460">
        <f>VLOOKUP(A167,'2024 summary '!A167:C1073,3,FALSE)</f>
        <v>8.3010000000000007E-5</v>
      </c>
      <c r="E167" s="505">
        <v>546396</v>
      </c>
      <c r="F167" s="460"/>
      <c r="G167" s="505">
        <v>95749</v>
      </c>
      <c r="H167" s="505">
        <v>74282</v>
      </c>
      <c r="I167" s="505">
        <v>0</v>
      </c>
      <c r="J167" s="505">
        <v>25939</v>
      </c>
      <c r="K167" s="505">
        <v>195970</v>
      </c>
      <c r="L167" s="460"/>
      <c r="M167" s="505">
        <v>644</v>
      </c>
      <c r="N167" s="505">
        <v>0</v>
      </c>
      <c r="O167" s="505">
        <v>0</v>
      </c>
      <c r="P167" s="505">
        <v>0</v>
      </c>
      <c r="Q167" s="505">
        <v>644</v>
      </c>
      <c r="R167" s="460"/>
      <c r="S167" s="505">
        <v>163458</v>
      </c>
      <c r="T167" s="505">
        <v>18523</v>
      </c>
      <c r="U167" s="505">
        <v>181981</v>
      </c>
      <c r="W167" s="454">
        <v>968230</v>
      </c>
      <c r="X167" s="454">
        <v>199380</v>
      </c>
    </row>
    <row r="168" spans="1:24">
      <c r="A168" s="458">
        <v>91608</v>
      </c>
      <c r="B168" s="518" t="s">
        <v>882</v>
      </c>
      <c r="C168" s="460">
        <f t="shared" si="3"/>
        <v>1.7306000449420313E-4</v>
      </c>
      <c r="D168" s="460">
        <f>VLOOKUP(A168,'2024 summary '!A168:C1074,3,FALSE)</f>
        <v>1.9634000000000001E-4</v>
      </c>
      <c r="E168" s="505">
        <v>1166679</v>
      </c>
      <c r="F168" s="460"/>
      <c r="G168" s="505">
        <v>204446</v>
      </c>
      <c r="H168" s="505">
        <v>158609</v>
      </c>
      <c r="I168" s="505">
        <v>0</v>
      </c>
      <c r="J168" s="505">
        <v>40169</v>
      </c>
      <c r="K168" s="505">
        <v>403224</v>
      </c>
      <c r="L168" s="460"/>
      <c r="M168" s="505">
        <v>1375</v>
      </c>
      <c r="N168" s="505">
        <v>0</v>
      </c>
      <c r="O168" s="505">
        <v>0</v>
      </c>
      <c r="P168" s="505">
        <v>101611</v>
      </c>
      <c r="Q168" s="505">
        <v>102986</v>
      </c>
      <c r="R168" s="460"/>
      <c r="S168" s="505">
        <v>349020</v>
      </c>
      <c r="T168" s="505">
        <v>-30446</v>
      </c>
      <c r="U168" s="505">
        <v>318574</v>
      </c>
      <c r="W168" s="454">
        <v>2067389</v>
      </c>
      <c r="X168" s="454">
        <v>425721</v>
      </c>
    </row>
    <row r="169" spans="1:24">
      <c r="A169" s="458">
        <v>91611</v>
      </c>
      <c r="B169" s="518" t="s">
        <v>883</v>
      </c>
      <c r="C169" s="460">
        <f t="shared" si="3"/>
        <v>1.26266003537862E-3</v>
      </c>
      <c r="D169" s="460">
        <f>VLOOKUP(A169,'2024 summary '!A169:C1075,3,FALSE)</f>
        <v>1.3005E-3</v>
      </c>
      <c r="E169" s="505">
        <v>8512186</v>
      </c>
      <c r="F169" s="460"/>
      <c r="G169" s="505">
        <v>1491657</v>
      </c>
      <c r="H169" s="505">
        <v>1157227</v>
      </c>
      <c r="I169" s="505">
        <v>0</v>
      </c>
      <c r="J169" s="505">
        <v>62003</v>
      </c>
      <c r="K169" s="505">
        <v>2710887</v>
      </c>
      <c r="L169" s="460"/>
      <c r="M169" s="505">
        <v>10029</v>
      </c>
      <c r="N169" s="505">
        <v>0</v>
      </c>
      <c r="O169" s="505">
        <v>0</v>
      </c>
      <c r="P169" s="505">
        <v>417731</v>
      </c>
      <c r="Q169" s="505">
        <v>427760</v>
      </c>
      <c r="R169" s="460"/>
      <c r="S169" s="505">
        <v>2546477</v>
      </c>
      <c r="T169" s="505">
        <v>-252908</v>
      </c>
      <c r="U169" s="505">
        <v>2293569</v>
      </c>
      <c r="W169" s="454">
        <v>15083842</v>
      </c>
      <c r="X169" s="454">
        <v>3106094</v>
      </c>
    </row>
    <row r="170" spans="1:24">
      <c r="A170" s="458">
        <v>91621</v>
      </c>
      <c r="B170" s="518" t="s">
        <v>884</v>
      </c>
      <c r="C170" s="460">
        <f t="shared" si="3"/>
        <v>2.8680001776781362E-4</v>
      </c>
      <c r="D170" s="460">
        <f>VLOOKUP(A170,'2024 summary '!A170:C1076,3,FALSE)</f>
        <v>3.0152E-4</v>
      </c>
      <c r="E170" s="505">
        <v>1933454</v>
      </c>
      <c r="F170" s="460"/>
      <c r="G170" s="505">
        <v>338814</v>
      </c>
      <c r="H170" s="505">
        <v>262852</v>
      </c>
      <c r="I170" s="505">
        <v>0</v>
      </c>
      <c r="J170" s="505">
        <v>170</v>
      </c>
      <c r="K170" s="505">
        <v>601836</v>
      </c>
      <c r="L170" s="460"/>
      <c r="M170" s="505">
        <v>2278</v>
      </c>
      <c r="N170" s="505">
        <v>0</v>
      </c>
      <c r="O170" s="505">
        <v>0</v>
      </c>
      <c r="P170" s="505">
        <v>126767</v>
      </c>
      <c r="Q170" s="505">
        <v>129045</v>
      </c>
      <c r="R170" s="460"/>
      <c r="S170" s="505">
        <v>578406</v>
      </c>
      <c r="T170" s="505">
        <v>-29713</v>
      </c>
      <c r="U170" s="505">
        <v>548693</v>
      </c>
      <c r="W170" s="454">
        <v>3426137</v>
      </c>
      <c r="X170" s="454">
        <v>705517</v>
      </c>
    </row>
    <row r="171" spans="1:24">
      <c r="A171" s="458">
        <v>91631</v>
      </c>
      <c r="B171" s="518" t="s">
        <v>885</v>
      </c>
      <c r="C171" s="460">
        <f t="shared" si="3"/>
        <v>6.1754993910942424E-4</v>
      </c>
      <c r="D171" s="460">
        <f>VLOOKUP(A171,'2024 summary '!A171:C1077,3,FALSE)</f>
        <v>6.6217000000000001E-4</v>
      </c>
      <c r="E171" s="505">
        <v>4163195</v>
      </c>
      <c r="F171" s="460"/>
      <c r="G171" s="505">
        <v>729549</v>
      </c>
      <c r="H171" s="505">
        <v>565984</v>
      </c>
      <c r="I171" s="505">
        <v>0</v>
      </c>
      <c r="J171" s="505">
        <v>37839</v>
      </c>
      <c r="K171" s="505">
        <v>1333372</v>
      </c>
      <c r="L171" s="460"/>
      <c r="M171" s="505">
        <v>4905</v>
      </c>
      <c r="N171" s="505">
        <v>0</v>
      </c>
      <c r="O171" s="505">
        <v>0</v>
      </c>
      <c r="P171" s="505">
        <v>150120</v>
      </c>
      <c r="Q171" s="505">
        <v>155025</v>
      </c>
      <c r="R171" s="460"/>
      <c r="S171" s="505">
        <v>1245448</v>
      </c>
      <c r="T171" s="505">
        <v>-53029</v>
      </c>
      <c r="U171" s="505">
        <v>1192419</v>
      </c>
      <c r="W171" s="454">
        <v>7377304</v>
      </c>
      <c r="X171" s="454">
        <v>1519149</v>
      </c>
    </row>
    <row r="172" spans="1:24">
      <c r="A172" s="458">
        <v>91633</v>
      </c>
      <c r="B172" s="518" t="s">
        <v>886</v>
      </c>
      <c r="C172" s="460">
        <f t="shared" si="3"/>
        <v>2.8140000936481075E-5</v>
      </c>
      <c r="D172" s="460">
        <f>VLOOKUP(A172,'2024 summary '!A172:C1078,3,FALSE)</f>
        <v>2.5740000000000001E-5</v>
      </c>
      <c r="E172" s="505">
        <v>189705</v>
      </c>
      <c r="F172" s="460"/>
      <c r="G172" s="505">
        <v>33243</v>
      </c>
      <c r="H172" s="505">
        <v>25790</v>
      </c>
      <c r="I172" s="505">
        <v>0</v>
      </c>
      <c r="J172" s="505">
        <v>23495</v>
      </c>
      <c r="K172" s="505">
        <v>82528</v>
      </c>
      <c r="L172" s="460"/>
      <c r="M172" s="505">
        <v>224</v>
      </c>
      <c r="N172" s="505">
        <v>0</v>
      </c>
      <c r="O172" s="505">
        <v>0</v>
      </c>
      <c r="P172" s="505">
        <v>20424</v>
      </c>
      <c r="Q172" s="505">
        <v>20648</v>
      </c>
      <c r="R172" s="460"/>
      <c r="S172" s="505">
        <v>56752</v>
      </c>
      <c r="T172" s="505">
        <v>-3198</v>
      </c>
      <c r="U172" s="505">
        <v>53554</v>
      </c>
      <c r="W172" s="454">
        <v>336163</v>
      </c>
      <c r="X172" s="454">
        <v>69223</v>
      </c>
    </row>
    <row r="173" spans="1:24">
      <c r="A173" s="458">
        <v>91641</v>
      </c>
      <c r="B173" s="518" t="s">
        <v>887</v>
      </c>
      <c r="C173" s="460">
        <f t="shared" si="3"/>
        <v>3.4113000012462712E-4</v>
      </c>
      <c r="D173" s="460">
        <f>VLOOKUP(A173,'2024 summary '!A173:C1079,3,FALSE)</f>
        <v>3.3729000000000002E-4</v>
      </c>
      <c r="E173" s="505">
        <v>2299718</v>
      </c>
      <c r="F173" s="460"/>
      <c r="G173" s="505">
        <v>402998</v>
      </c>
      <c r="H173" s="505">
        <v>312645</v>
      </c>
      <c r="I173" s="505">
        <v>0</v>
      </c>
      <c r="J173" s="505">
        <v>21547</v>
      </c>
      <c r="K173" s="505">
        <v>737190</v>
      </c>
      <c r="L173" s="460"/>
      <c r="M173" s="505">
        <v>2710</v>
      </c>
      <c r="N173" s="505">
        <v>0</v>
      </c>
      <c r="O173" s="505">
        <v>0</v>
      </c>
      <c r="P173" s="505">
        <v>30678</v>
      </c>
      <c r="Q173" s="505">
        <v>33388</v>
      </c>
      <c r="R173" s="460"/>
      <c r="S173" s="505">
        <v>687976</v>
      </c>
      <c r="T173" s="505">
        <v>-2138</v>
      </c>
      <c r="U173" s="505">
        <v>685838</v>
      </c>
      <c r="W173" s="454">
        <v>4075168</v>
      </c>
      <c r="X173" s="454">
        <v>839166</v>
      </c>
    </row>
    <row r="174" spans="1:24">
      <c r="A174" s="458">
        <v>91651</v>
      </c>
      <c r="B174" s="518" t="s">
        <v>888</v>
      </c>
      <c r="C174" s="460">
        <f t="shared" si="3"/>
        <v>5.6564999020107781E-4</v>
      </c>
      <c r="D174" s="460">
        <f>VLOOKUP(A174,'2024 summary '!A174:C1080,3,FALSE)</f>
        <v>5.6260000000000001E-4</v>
      </c>
      <c r="E174" s="505">
        <v>3813313</v>
      </c>
      <c r="F174" s="460"/>
      <c r="G174" s="505">
        <v>668237</v>
      </c>
      <c r="H174" s="505">
        <v>518418</v>
      </c>
      <c r="I174" s="505">
        <v>0</v>
      </c>
      <c r="J174" s="505">
        <v>6153</v>
      </c>
      <c r="K174" s="505">
        <v>1192808</v>
      </c>
      <c r="L174" s="460"/>
      <c r="M174" s="505">
        <v>4493</v>
      </c>
      <c r="N174" s="505">
        <v>0</v>
      </c>
      <c r="O174" s="505">
        <v>0</v>
      </c>
      <c r="P174" s="505">
        <v>72728</v>
      </c>
      <c r="Q174" s="505">
        <v>77221</v>
      </c>
      <c r="R174" s="460"/>
      <c r="S174" s="505">
        <v>1140778</v>
      </c>
      <c r="T174" s="505">
        <v>-20876</v>
      </c>
      <c r="U174" s="505">
        <v>1119902</v>
      </c>
      <c r="W174" s="454">
        <v>6757302</v>
      </c>
      <c r="X174" s="454">
        <v>1391477</v>
      </c>
    </row>
    <row r="175" spans="1:24">
      <c r="A175" s="458">
        <v>91661</v>
      </c>
      <c r="B175" s="518" t="s">
        <v>889</v>
      </c>
      <c r="C175" s="460">
        <f t="shared" si="3"/>
        <v>1.4178997451388722E-4</v>
      </c>
      <c r="D175" s="460">
        <f>VLOOKUP(A175,'2024 summary '!A175:C1081,3,FALSE)</f>
        <v>1.7312999999999999E-4</v>
      </c>
      <c r="E175" s="505">
        <v>955873</v>
      </c>
      <c r="F175" s="460"/>
      <c r="G175" s="505">
        <v>167505</v>
      </c>
      <c r="H175" s="505">
        <v>129950</v>
      </c>
      <c r="I175" s="505">
        <v>0</v>
      </c>
      <c r="J175" s="505">
        <v>7729</v>
      </c>
      <c r="K175" s="505">
        <v>305184</v>
      </c>
      <c r="L175" s="460"/>
      <c r="M175" s="505">
        <v>1126</v>
      </c>
      <c r="N175" s="505">
        <v>0</v>
      </c>
      <c r="O175" s="505">
        <v>0</v>
      </c>
      <c r="P175" s="505">
        <v>180623</v>
      </c>
      <c r="Q175" s="505">
        <v>181749</v>
      </c>
      <c r="R175" s="460"/>
      <c r="S175" s="505">
        <v>285956</v>
      </c>
      <c r="T175" s="505">
        <v>-83196</v>
      </c>
      <c r="U175" s="505">
        <v>202760</v>
      </c>
      <c r="W175" s="454">
        <v>1693835</v>
      </c>
      <c r="X175" s="454">
        <v>348798</v>
      </c>
    </row>
    <row r="176" spans="1:24">
      <c r="A176" s="458">
        <v>91671</v>
      </c>
      <c r="B176" s="518" t="s">
        <v>890</v>
      </c>
      <c r="C176" s="460">
        <f t="shared" si="3"/>
        <v>8.4010003270219521E-5</v>
      </c>
      <c r="D176" s="460">
        <f>VLOOKUP(A176,'2024 summary '!A176:C1082,3,FALSE)</f>
        <v>8.5870000000000003E-5</v>
      </c>
      <c r="E176" s="505">
        <v>566351</v>
      </c>
      <c r="F176" s="460"/>
      <c r="G176" s="505">
        <v>99246</v>
      </c>
      <c r="H176" s="505">
        <v>76995</v>
      </c>
      <c r="I176" s="505">
        <v>0</v>
      </c>
      <c r="J176" s="505">
        <v>3021</v>
      </c>
      <c r="K176" s="505">
        <v>179262</v>
      </c>
      <c r="L176" s="460"/>
      <c r="M176" s="505">
        <v>667</v>
      </c>
      <c r="N176" s="505">
        <v>0</v>
      </c>
      <c r="O176" s="505">
        <v>0</v>
      </c>
      <c r="P176" s="505">
        <v>24654</v>
      </c>
      <c r="Q176" s="505">
        <v>25321</v>
      </c>
      <c r="R176" s="460"/>
      <c r="S176" s="505">
        <v>169428</v>
      </c>
      <c r="T176" s="505">
        <v>-10152</v>
      </c>
      <c r="U176" s="505">
        <v>159276</v>
      </c>
      <c r="W176" s="454">
        <v>1003591</v>
      </c>
      <c r="X176" s="454">
        <v>206661</v>
      </c>
    </row>
    <row r="177" spans="1:24">
      <c r="A177" s="458">
        <v>91681</v>
      </c>
      <c r="B177" s="518" t="s">
        <v>891</v>
      </c>
      <c r="C177" s="460">
        <f t="shared" si="3"/>
        <v>4.5108997784901986E-4</v>
      </c>
      <c r="D177" s="460">
        <f>VLOOKUP(A177,'2024 summary '!A177:C1083,3,FALSE)</f>
        <v>4.4673E-4</v>
      </c>
      <c r="E177" s="505">
        <v>3041010</v>
      </c>
      <c r="F177" s="460"/>
      <c r="G177" s="505">
        <v>532900</v>
      </c>
      <c r="H177" s="505">
        <v>413424</v>
      </c>
      <c r="I177" s="505">
        <v>0</v>
      </c>
      <c r="J177" s="505">
        <v>338481</v>
      </c>
      <c r="K177" s="505">
        <v>1284805</v>
      </c>
      <c r="L177" s="460"/>
      <c r="M177" s="505">
        <v>3583</v>
      </c>
      <c r="N177" s="505">
        <v>0</v>
      </c>
      <c r="O177" s="505">
        <v>0</v>
      </c>
      <c r="P177" s="505">
        <v>4774</v>
      </c>
      <c r="Q177" s="505">
        <v>8357</v>
      </c>
      <c r="R177" s="460"/>
      <c r="S177" s="505">
        <v>909738</v>
      </c>
      <c r="T177" s="505">
        <v>198072</v>
      </c>
      <c r="U177" s="505">
        <v>1107810</v>
      </c>
      <c r="W177" s="454">
        <v>5388759</v>
      </c>
      <c r="X177" s="454">
        <v>1109664</v>
      </c>
    </row>
    <row r="178" spans="1:24">
      <c r="A178" s="458">
        <v>91691</v>
      </c>
      <c r="B178" s="518" t="s">
        <v>892</v>
      </c>
      <c r="C178" s="460">
        <f t="shared" si="3"/>
        <v>3.7569990338626378E-5</v>
      </c>
      <c r="D178" s="460">
        <f>VLOOKUP(A178,'2024 summary '!A178:C1084,3,FALSE)</f>
        <v>4.002E-5</v>
      </c>
      <c r="E178" s="505">
        <v>253277</v>
      </c>
      <c r="F178" s="460"/>
      <c r="G178" s="505">
        <v>44384</v>
      </c>
      <c r="H178" s="505">
        <v>34433</v>
      </c>
      <c r="I178" s="505">
        <v>0</v>
      </c>
      <c r="J178" s="505">
        <v>11118</v>
      </c>
      <c r="K178" s="505">
        <v>89935</v>
      </c>
      <c r="L178" s="460"/>
      <c r="M178" s="505">
        <v>298</v>
      </c>
      <c r="N178" s="505">
        <v>0</v>
      </c>
      <c r="O178" s="505">
        <v>0</v>
      </c>
      <c r="P178" s="505">
        <v>17113</v>
      </c>
      <c r="Q178" s="505">
        <v>17411</v>
      </c>
      <c r="R178" s="460"/>
      <c r="S178" s="505">
        <v>75770</v>
      </c>
      <c r="T178" s="505">
        <v>9446</v>
      </c>
      <c r="U178" s="505">
        <v>85216</v>
      </c>
      <c r="W178" s="454">
        <v>448814</v>
      </c>
      <c r="X178" s="454">
        <v>92421</v>
      </c>
    </row>
    <row r="179" spans="1:24">
      <c r="A179" s="458">
        <v>91701</v>
      </c>
      <c r="B179" s="518" t="s">
        <v>893</v>
      </c>
      <c r="C179" s="460">
        <f t="shared" si="3"/>
        <v>1.1354400264006121E-3</v>
      </c>
      <c r="D179" s="460">
        <f>VLOOKUP(A179,'2024 summary '!A179:C1085,3,FALSE)</f>
        <v>1.0649399999999999E-3</v>
      </c>
      <c r="E179" s="505">
        <v>7654536</v>
      </c>
      <c r="F179" s="460"/>
      <c r="G179" s="505">
        <v>1341365</v>
      </c>
      <c r="H179" s="505">
        <v>1040630</v>
      </c>
      <c r="I179" s="505">
        <v>0</v>
      </c>
      <c r="J179" s="505">
        <v>274185</v>
      </c>
      <c r="K179" s="505">
        <v>2656180</v>
      </c>
      <c r="L179" s="460"/>
      <c r="M179" s="505">
        <v>9019</v>
      </c>
      <c r="N179" s="505">
        <v>0</v>
      </c>
      <c r="O179" s="505">
        <v>0</v>
      </c>
      <c r="P179" s="505">
        <v>395961</v>
      </c>
      <c r="Q179" s="505">
        <v>404980</v>
      </c>
      <c r="R179" s="460"/>
      <c r="S179" s="505">
        <v>2289905</v>
      </c>
      <c r="T179" s="505">
        <v>-153465</v>
      </c>
      <c r="U179" s="505">
        <v>2136440</v>
      </c>
      <c r="W179" s="454">
        <v>13564062</v>
      </c>
      <c r="X179" s="454">
        <v>2793138</v>
      </c>
    </row>
    <row r="180" spans="1:24">
      <c r="A180" s="458">
        <v>91704</v>
      </c>
      <c r="B180" s="518" t="s">
        <v>894</v>
      </c>
      <c r="C180" s="460">
        <f t="shared" si="3"/>
        <v>2.0869925894189758E-5</v>
      </c>
      <c r="D180" s="460">
        <f>VLOOKUP(A180,'2024 summary '!A180:C1086,3,FALSE)</f>
        <v>1.6929999999999999E-5</v>
      </c>
      <c r="E180" s="505">
        <v>140694</v>
      </c>
      <c r="F180" s="460"/>
      <c r="G180" s="505">
        <v>24655</v>
      </c>
      <c r="H180" s="505">
        <v>19127</v>
      </c>
      <c r="I180" s="505">
        <v>0</v>
      </c>
      <c r="J180" s="505">
        <v>18123</v>
      </c>
      <c r="K180" s="505">
        <v>61905</v>
      </c>
      <c r="L180" s="460"/>
      <c r="M180" s="505">
        <v>166</v>
      </c>
      <c r="N180" s="505">
        <v>0</v>
      </c>
      <c r="O180" s="505">
        <v>0</v>
      </c>
      <c r="P180" s="505">
        <v>1303</v>
      </c>
      <c r="Q180" s="505">
        <v>1469</v>
      </c>
      <c r="R180" s="460"/>
      <c r="S180" s="505">
        <v>42090</v>
      </c>
      <c r="T180" s="505">
        <v>7291</v>
      </c>
      <c r="U180" s="505">
        <v>49381</v>
      </c>
      <c r="W180" s="454">
        <v>249315</v>
      </c>
      <c r="X180" s="454">
        <v>51339</v>
      </c>
    </row>
    <row r="181" spans="1:24">
      <c r="A181" s="458">
        <v>91706</v>
      </c>
      <c r="B181" s="518" t="s">
        <v>895</v>
      </c>
      <c r="C181" s="460">
        <f t="shared" si="3"/>
        <v>1.9304006525242942E-4</v>
      </c>
      <c r="D181" s="460">
        <f>VLOOKUP(A181,'2024 summary '!A181:C1087,3,FALSE)</f>
        <v>1.9394E-4</v>
      </c>
      <c r="E181" s="505">
        <v>1301374</v>
      </c>
      <c r="F181" s="460"/>
      <c r="G181" s="505">
        <v>228050</v>
      </c>
      <c r="H181" s="505">
        <v>176921</v>
      </c>
      <c r="I181" s="505">
        <v>0</v>
      </c>
      <c r="J181" s="505">
        <v>50084</v>
      </c>
      <c r="K181" s="505">
        <v>455055</v>
      </c>
      <c r="L181" s="460"/>
      <c r="M181" s="505">
        <v>1533</v>
      </c>
      <c r="N181" s="505">
        <v>0</v>
      </c>
      <c r="O181" s="505">
        <v>0</v>
      </c>
      <c r="P181" s="505">
        <v>34554</v>
      </c>
      <c r="Q181" s="505">
        <v>36087</v>
      </c>
      <c r="R181" s="460"/>
      <c r="S181" s="505">
        <v>389315</v>
      </c>
      <c r="T181" s="505">
        <v>-11708</v>
      </c>
      <c r="U181" s="505">
        <v>377607</v>
      </c>
      <c r="W181" s="454">
        <v>2306072</v>
      </c>
      <c r="X181" s="454">
        <v>474871</v>
      </c>
    </row>
    <row r="182" spans="1:24">
      <c r="A182" s="458">
        <v>91719</v>
      </c>
      <c r="B182" s="518" t="s">
        <v>896</v>
      </c>
      <c r="C182" s="460">
        <f t="shared" si="3"/>
        <v>3.2060065271888075E-5</v>
      </c>
      <c r="D182" s="460">
        <f>VLOOKUP(A182,'2024 summary '!A182:C1088,3,FALSE)</f>
        <v>2.9799999999999999E-5</v>
      </c>
      <c r="E182" s="505">
        <v>216132</v>
      </c>
      <c r="F182" s="460"/>
      <c r="G182" s="505">
        <v>37874</v>
      </c>
      <c r="H182" s="505">
        <v>29383</v>
      </c>
      <c r="I182" s="505">
        <v>0</v>
      </c>
      <c r="J182" s="505">
        <v>292</v>
      </c>
      <c r="K182" s="505">
        <v>67549</v>
      </c>
      <c r="L182" s="460"/>
      <c r="M182" s="505">
        <v>255</v>
      </c>
      <c r="N182" s="505">
        <v>0</v>
      </c>
      <c r="O182" s="505">
        <v>0</v>
      </c>
      <c r="P182" s="505">
        <v>20581</v>
      </c>
      <c r="Q182" s="505">
        <v>20836</v>
      </c>
      <c r="R182" s="460"/>
      <c r="S182" s="505">
        <v>64657</v>
      </c>
      <c r="T182" s="505">
        <v>-18236</v>
      </c>
      <c r="U182" s="505">
        <v>46421</v>
      </c>
      <c r="W182" s="454">
        <v>382991</v>
      </c>
      <c r="X182" s="454">
        <v>78866</v>
      </c>
    </row>
    <row r="183" spans="1:24">
      <c r="A183" s="458">
        <v>91801</v>
      </c>
      <c r="B183" s="518" t="s">
        <v>897</v>
      </c>
      <c r="C183" s="460">
        <f t="shared" si="3"/>
        <v>7.692659965344943E-3</v>
      </c>
      <c r="D183" s="460">
        <f>VLOOKUP(A183,'2024 summary '!A183:C1089,3,FALSE)</f>
        <v>7.6984100000000001E-3</v>
      </c>
      <c r="E183" s="505">
        <v>51859844</v>
      </c>
      <c r="F183" s="460"/>
      <c r="G183" s="505">
        <v>9087809</v>
      </c>
      <c r="H183" s="505">
        <v>7050315</v>
      </c>
      <c r="I183" s="505">
        <v>0</v>
      </c>
      <c r="J183" s="505">
        <v>94730</v>
      </c>
      <c r="K183" s="505">
        <v>16232854</v>
      </c>
      <c r="L183" s="460"/>
      <c r="M183" s="505">
        <v>61103</v>
      </c>
      <c r="N183" s="505">
        <v>0</v>
      </c>
      <c r="O183" s="505">
        <v>0</v>
      </c>
      <c r="P183" s="505">
        <v>139770</v>
      </c>
      <c r="Q183" s="505">
        <v>200873</v>
      </c>
      <c r="R183" s="460"/>
      <c r="S183" s="505">
        <v>15514218</v>
      </c>
      <c r="T183" s="505">
        <v>17723</v>
      </c>
      <c r="U183" s="505">
        <v>15531941</v>
      </c>
      <c r="W183" s="454">
        <v>91897163</v>
      </c>
      <c r="X183" s="454">
        <v>18923644</v>
      </c>
    </row>
    <row r="184" spans="1:24">
      <c r="A184" s="458">
        <v>91804</v>
      </c>
      <c r="B184" s="518" t="s">
        <v>898</v>
      </c>
      <c r="C184" s="460">
        <f t="shared" si="3"/>
        <v>2.2309997358260531E-4</v>
      </c>
      <c r="D184" s="460">
        <f>VLOOKUP(A184,'2024 summary '!A184:C1090,3,FALSE)</f>
        <v>2.0097999999999999E-4</v>
      </c>
      <c r="E184" s="505">
        <v>1504022</v>
      </c>
      <c r="F184" s="460"/>
      <c r="G184" s="505">
        <v>263562</v>
      </c>
      <c r="H184" s="505">
        <v>204471</v>
      </c>
      <c r="I184" s="505">
        <v>0</v>
      </c>
      <c r="J184" s="505">
        <v>156989</v>
      </c>
      <c r="K184" s="505">
        <v>625022</v>
      </c>
      <c r="L184" s="460"/>
      <c r="M184" s="505">
        <v>1772</v>
      </c>
      <c r="N184" s="505">
        <v>0</v>
      </c>
      <c r="O184" s="505">
        <v>0</v>
      </c>
      <c r="P184" s="505">
        <v>0</v>
      </c>
      <c r="Q184" s="505">
        <v>1772</v>
      </c>
      <c r="R184" s="460"/>
      <c r="S184" s="505">
        <v>449938</v>
      </c>
      <c r="T184" s="505">
        <v>98599</v>
      </c>
      <c r="U184" s="505">
        <v>548537</v>
      </c>
      <c r="W184" s="454">
        <v>2665171</v>
      </c>
      <c r="X184" s="454">
        <v>548817</v>
      </c>
    </row>
    <row r="185" spans="1:24">
      <c r="A185" s="458">
        <v>91811</v>
      </c>
      <c r="B185" s="518" t="s">
        <v>899</v>
      </c>
      <c r="C185" s="460">
        <f t="shared" si="3"/>
        <v>3.7123799884938198E-3</v>
      </c>
      <c r="D185" s="460">
        <f>VLOOKUP(A185,'2024 summary '!A185:C1091,3,FALSE)</f>
        <v>3.9909500000000001E-3</v>
      </c>
      <c r="E185" s="505">
        <v>25026902</v>
      </c>
      <c r="F185" s="460"/>
      <c r="G185" s="505">
        <v>4385661</v>
      </c>
      <c r="H185" s="505">
        <v>3402393</v>
      </c>
      <c r="I185" s="505">
        <v>0</v>
      </c>
      <c r="J185" s="505">
        <v>114677</v>
      </c>
      <c r="K185" s="505">
        <v>7902731</v>
      </c>
      <c r="L185" s="460"/>
      <c r="M185" s="505">
        <v>29487</v>
      </c>
      <c r="N185" s="505">
        <v>0</v>
      </c>
      <c r="O185" s="505">
        <v>0</v>
      </c>
      <c r="P185" s="505">
        <v>882306</v>
      </c>
      <c r="Q185" s="505">
        <v>911793</v>
      </c>
      <c r="R185" s="460"/>
      <c r="S185" s="505">
        <v>7486965</v>
      </c>
      <c r="T185" s="505">
        <v>-394510</v>
      </c>
      <c r="U185" s="505">
        <v>7092455</v>
      </c>
      <c r="W185" s="454">
        <v>44348403</v>
      </c>
      <c r="X185" s="454">
        <v>9132310</v>
      </c>
    </row>
    <row r="186" spans="1:24">
      <c r="A186" s="458">
        <v>91812</v>
      </c>
      <c r="B186" s="518" t="s">
        <v>900</v>
      </c>
      <c r="C186" s="460">
        <f t="shared" si="3"/>
        <v>6.1550068309119868E-5</v>
      </c>
      <c r="D186" s="460">
        <f>VLOOKUP(A186,'2024 summary '!A186:C1092,3,FALSE)</f>
        <v>6.3659999999999997E-5</v>
      </c>
      <c r="E186" s="505">
        <v>414938</v>
      </c>
      <c r="F186" s="460"/>
      <c r="G186" s="505">
        <v>72713</v>
      </c>
      <c r="H186" s="505">
        <v>56411</v>
      </c>
      <c r="I186" s="505">
        <v>0</v>
      </c>
      <c r="J186" s="505">
        <v>24900</v>
      </c>
      <c r="K186" s="505">
        <v>154024</v>
      </c>
      <c r="L186" s="460"/>
      <c r="M186" s="505">
        <v>489</v>
      </c>
      <c r="N186" s="505">
        <v>0</v>
      </c>
      <c r="O186" s="505">
        <v>0</v>
      </c>
      <c r="P186" s="505">
        <v>5031</v>
      </c>
      <c r="Q186" s="505">
        <v>5520</v>
      </c>
      <c r="R186" s="460"/>
      <c r="S186" s="505">
        <v>124131</v>
      </c>
      <c r="T186" s="505">
        <v>9238</v>
      </c>
      <c r="U186" s="505">
        <v>133369</v>
      </c>
      <c r="W186" s="454">
        <v>735281</v>
      </c>
      <c r="X186" s="454">
        <v>151411</v>
      </c>
    </row>
    <row r="187" spans="1:24">
      <c r="A187" s="458">
        <v>91813</v>
      </c>
      <c r="B187" s="518" t="s">
        <v>901</v>
      </c>
      <c r="C187" s="460">
        <f t="shared" si="3"/>
        <v>4.0450073932536485E-5</v>
      </c>
      <c r="D187" s="460">
        <f>VLOOKUP(A187,'2024 summary '!A187:C1093,3,FALSE)</f>
        <v>4.0290000000000002E-5</v>
      </c>
      <c r="E187" s="505">
        <v>272693</v>
      </c>
      <c r="F187" s="460"/>
      <c r="G187" s="505">
        <v>47786</v>
      </c>
      <c r="H187" s="505">
        <v>37072</v>
      </c>
      <c r="I187" s="505">
        <v>0</v>
      </c>
      <c r="J187" s="505">
        <v>21631</v>
      </c>
      <c r="K187" s="505">
        <v>106489</v>
      </c>
      <c r="L187" s="460"/>
      <c r="M187" s="505">
        <v>321</v>
      </c>
      <c r="N187" s="505">
        <v>0</v>
      </c>
      <c r="O187" s="505">
        <v>0</v>
      </c>
      <c r="P187" s="505">
        <v>43466</v>
      </c>
      <c r="Q187" s="505">
        <v>43787</v>
      </c>
      <c r="R187" s="460"/>
      <c r="S187" s="505">
        <v>81578</v>
      </c>
      <c r="T187" s="505">
        <v>-15651</v>
      </c>
      <c r="U187" s="505">
        <v>65927</v>
      </c>
      <c r="W187" s="454">
        <v>483219</v>
      </c>
      <c r="X187" s="454">
        <v>99505</v>
      </c>
    </row>
    <row r="188" spans="1:24">
      <c r="A188" s="458">
        <v>91818</v>
      </c>
      <c r="B188" s="518" t="s">
        <v>902</v>
      </c>
      <c r="C188" s="460">
        <f t="shared" si="3"/>
        <v>4.6131000254273733E-4</v>
      </c>
      <c r="D188" s="460">
        <f>VLOOKUP(A188,'2024 summary '!A188:C1094,3,FALSE)</f>
        <v>4.4021000000000002E-4</v>
      </c>
      <c r="E188" s="505">
        <v>3109908</v>
      </c>
      <c r="F188" s="460"/>
      <c r="G188" s="505">
        <v>544974</v>
      </c>
      <c r="H188" s="505">
        <v>422790</v>
      </c>
      <c r="I188" s="505">
        <v>0</v>
      </c>
      <c r="J188" s="505">
        <v>120780</v>
      </c>
      <c r="K188" s="505">
        <v>1088544</v>
      </c>
      <c r="L188" s="460"/>
      <c r="M188" s="505">
        <v>3664</v>
      </c>
      <c r="N188" s="505">
        <v>0</v>
      </c>
      <c r="O188" s="505">
        <v>0</v>
      </c>
      <c r="P188" s="505">
        <v>43858</v>
      </c>
      <c r="Q188" s="505">
        <v>47522</v>
      </c>
      <c r="R188" s="460"/>
      <c r="S188" s="505">
        <v>930350</v>
      </c>
      <c r="T188" s="505">
        <v>52418</v>
      </c>
      <c r="U188" s="505">
        <v>982768</v>
      </c>
      <c r="W188" s="454">
        <v>5510848</v>
      </c>
      <c r="X188" s="454">
        <v>1134805</v>
      </c>
    </row>
    <row r="189" spans="1:24">
      <c r="A189" s="458">
        <v>91819</v>
      </c>
      <c r="B189" s="518" t="s">
        <v>903</v>
      </c>
      <c r="C189" s="460">
        <f t="shared" si="3"/>
        <v>2.5041997544063895E-4</v>
      </c>
      <c r="D189" s="460">
        <f>VLOOKUP(A189,'2024 summary '!A189:C1095,3,FALSE)</f>
        <v>2.2016000000000001E-4</v>
      </c>
      <c r="E189" s="505">
        <v>1688199</v>
      </c>
      <c r="F189" s="460"/>
      <c r="G189" s="505">
        <v>295836</v>
      </c>
      <c r="H189" s="505">
        <v>229510</v>
      </c>
      <c r="I189" s="505">
        <v>0</v>
      </c>
      <c r="J189" s="505">
        <v>160575</v>
      </c>
      <c r="K189" s="505">
        <v>685921</v>
      </c>
      <c r="L189" s="460"/>
      <c r="M189" s="505">
        <v>1989</v>
      </c>
      <c r="N189" s="505">
        <v>0</v>
      </c>
      <c r="O189" s="505">
        <v>0</v>
      </c>
      <c r="P189" s="505">
        <v>47427</v>
      </c>
      <c r="Q189" s="505">
        <v>49416</v>
      </c>
      <c r="R189" s="460"/>
      <c r="S189" s="505">
        <v>505036</v>
      </c>
      <c r="T189" s="505">
        <v>19878</v>
      </c>
      <c r="U189" s="505">
        <v>524914</v>
      </c>
      <c r="W189" s="454">
        <v>2991538</v>
      </c>
      <c r="X189" s="454">
        <v>616023</v>
      </c>
    </row>
    <row r="190" spans="1:24">
      <c r="A190" s="458">
        <v>91821</v>
      </c>
      <c r="B190" s="518" t="s">
        <v>904</v>
      </c>
      <c r="C190" s="460">
        <f t="shared" si="3"/>
        <v>1.732599608541429E-4</v>
      </c>
      <c r="D190" s="460">
        <f>VLOOKUP(A190,'2024 summary '!A190:C1096,3,FALSE)</f>
        <v>1.7061999999999999E-4</v>
      </c>
      <c r="E190" s="505">
        <v>1168027</v>
      </c>
      <c r="F190" s="460"/>
      <c r="G190" s="505">
        <v>204683</v>
      </c>
      <c r="H190" s="505">
        <v>158793</v>
      </c>
      <c r="I190" s="505">
        <v>0</v>
      </c>
      <c r="J190" s="505">
        <v>39195</v>
      </c>
      <c r="K190" s="505">
        <v>402671</v>
      </c>
      <c r="L190" s="460"/>
      <c r="M190" s="505">
        <v>1376</v>
      </c>
      <c r="N190" s="505">
        <v>0</v>
      </c>
      <c r="O190" s="505">
        <v>0</v>
      </c>
      <c r="P190" s="505">
        <v>0</v>
      </c>
      <c r="Q190" s="505">
        <v>1376</v>
      </c>
      <c r="R190" s="460"/>
      <c r="S190" s="505">
        <v>349423</v>
      </c>
      <c r="T190" s="505">
        <v>26132</v>
      </c>
      <c r="U190" s="505">
        <v>375555</v>
      </c>
      <c r="W190" s="454">
        <v>2069779</v>
      </c>
      <c r="X190" s="454">
        <v>426213</v>
      </c>
    </row>
    <row r="191" spans="1:24">
      <c r="A191" s="458">
        <v>91831</v>
      </c>
      <c r="B191" s="518" t="s">
        <v>905</v>
      </c>
      <c r="C191" s="460">
        <f t="shared" si="3"/>
        <v>4.9711005275762373E-4</v>
      </c>
      <c r="D191" s="460">
        <f>VLOOKUP(A191,'2024 summary '!A191:C1097,3,FALSE)</f>
        <v>4.6522000000000002E-4</v>
      </c>
      <c r="E191" s="505">
        <v>3351253</v>
      </c>
      <c r="F191" s="460"/>
      <c r="G191" s="505">
        <v>587266</v>
      </c>
      <c r="H191" s="505">
        <v>455601</v>
      </c>
      <c r="I191" s="505">
        <v>0</v>
      </c>
      <c r="J191" s="505">
        <v>120193</v>
      </c>
      <c r="K191" s="505">
        <v>1163060</v>
      </c>
      <c r="L191" s="460"/>
      <c r="M191" s="505">
        <v>3949</v>
      </c>
      <c r="N191" s="505">
        <v>0</v>
      </c>
      <c r="O191" s="505">
        <v>0</v>
      </c>
      <c r="P191" s="505">
        <v>18356</v>
      </c>
      <c r="Q191" s="505">
        <v>22305</v>
      </c>
      <c r="R191" s="460"/>
      <c r="S191" s="505">
        <v>1002550</v>
      </c>
      <c r="T191" s="505">
        <v>26380</v>
      </c>
      <c r="U191" s="505">
        <v>1028930</v>
      </c>
      <c r="W191" s="454">
        <v>5938518</v>
      </c>
      <c r="X191" s="454">
        <v>1222871</v>
      </c>
    </row>
    <row r="192" spans="1:24">
      <c r="A192" s="458">
        <v>91841</v>
      </c>
      <c r="B192" s="518" t="s">
        <v>906</v>
      </c>
      <c r="C192" s="460">
        <f t="shared" si="3"/>
        <v>3.0392002023523949E-4</v>
      </c>
      <c r="D192" s="460">
        <f>VLOOKUP(A192,'2024 summary '!A192:C1098,3,FALSE)</f>
        <v>3.034E-4</v>
      </c>
      <c r="E192" s="505">
        <v>2048868</v>
      </c>
      <c r="F192" s="460"/>
      <c r="G192" s="505">
        <v>359039</v>
      </c>
      <c r="H192" s="505">
        <v>278542</v>
      </c>
      <c r="I192" s="505">
        <v>0</v>
      </c>
      <c r="J192" s="505">
        <v>29498</v>
      </c>
      <c r="K192" s="505">
        <v>667079</v>
      </c>
      <c r="L192" s="460"/>
      <c r="M192" s="505">
        <v>2414</v>
      </c>
      <c r="N192" s="505">
        <v>0</v>
      </c>
      <c r="O192" s="505">
        <v>0</v>
      </c>
      <c r="P192" s="505">
        <v>31697</v>
      </c>
      <c r="Q192" s="505">
        <v>34111</v>
      </c>
      <c r="R192" s="460"/>
      <c r="S192" s="505">
        <v>612932</v>
      </c>
      <c r="T192" s="505">
        <v>2364</v>
      </c>
      <c r="U192" s="505">
        <v>615296</v>
      </c>
      <c r="W192" s="454">
        <v>3630654</v>
      </c>
      <c r="X192" s="454">
        <v>747631</v>
      </c>
    </row>
    <row r="193" spans="1:24">
      <c r="A193" s="458">
        <v>91851</v>
      </c>
      <c r="B193" s="518" t="s">
        <v>907</v>
      </c>
      <c r="C193" s="460">
        <f t="shared" si="3"/>
        <v>6.9646995533589472E-4</v>
      </c>
      <c r="D193" s="460">
        <f>VLOOKUP(A193,'2024 summary '!A193:C1099,3,FALSE)</f>
        <v>6.7865000000000004E-4</v>
      </c>
      <c r="E193" s="505">
        <v>4695232</v>
      </c>
      <c r="F193" s="460"/>
      <c r="G193" s="505">
        <v>822782</v>
      </c>
      <c r="H193" s="505">
        <v>638314</v>
      </c>
      <c r="I193" s="505">
        <v>0</v>
      </c>
      <c r="J193" s="505">
        <v>161726</v>
      </c>
      <c r="K193" s="505">
        <v>1622822</v>
      </c>
      <c r="L193" s="460"/>
      <c r="M193" s="505">
        <v>5532</v>
      </c>
      <c r="N193" s="505">
        <v>0</v>
      </c>
      <c r="O193" s="505">
        <v>0</v>
      </c>
      <c r="P193" s="505">
        <v>26654</v>
      </c>
      <c r="Q193" s="505">
        <v>32186</v>
      </c>
      <c r="R193" s="460"/>
      <c r="S193" s="505">
        <v>1404610</v>
      </c>
      <c r="T193" s="505">
        <v>56988</v>
      </c>
      <c r="U193" s="505">
        <v>1461598</v>
      </c>
      <c r="W193" s="454">
        <v>8320089</v>
      </c>
      <c r="X193" s="454">
        <v>1713289</v>
      </c>
    </row>
    <row r="194" spans="1:24">
      <c r="A194" s="458">
        <v>91861</v>
      </c>
      <c r="B194" s="518" t="s">
        <v>908</v>
      </c>
      <c r="C194" s="460">
        <f t="shared" si="3"/>
        <v>1.5749975063565471E-5</v>
      </c>
      <c r="D194" s="460">
        <f>VLOOKUP(A194,'2024 summary '!A194:C1100,3,FALSE)</f>
        <v>5.5300000000000004E-6</v>
      </c>
      <c r="E194" s="505">
        <v>106178</v>
      </c>
      <c r="F194" s="460"/>
      <c r="G194" s="505">
        <v>18606</v>
      </c>
      <c r="H194" s="505">
        <v>14435</v>
      </c>
      <c r="I194" s="505">
        <v>0</v>
      </c>
      <c r="J194" s="505">
        <v>30766</v>
      </c>
      <c r="K194" s="505">
        <v>63807</v>
      </c>
      <c r="L194" s="460"/>
      <c r="M194" s="505">
        <v>125</v>
      </c>
      <c r="N194" s="505">
        <v>0</v>
      </c>
      <c r="O194" s="505">
        <v>0</v>
      </c>
      <c r="P194" s="505">
        <v>1081</v>
      </c>
      <c r="Q194" s="505">
        <v>1206</v>
      </c>
      <c r="R194" s="460"/>
      <c r="S194" s="505">
        <v>31764</v>
      </c>
      <c r="T194" s="505">
        <v>9890</v>
      </c>
      <c r="U194" s="505">
        <v>41654</v>
      </c>
      <c r="W194" s="454">
        <v>188151</v>
      </c>
      <c r="X194" s="454">
        <v>38744</v>
      </c>
    </row>
    <row r="195" spans="1:24">
      <c r="A195" s="458">
        <v>91871</v>
      </c>
      <c r="B195" s="518" t="s">
        <v>909</v>
      </c>
      <c r="C195" s="460">
        <f t="shared" si="3"/>
        <v>1.2130199790100972E-3</v>
      </c>
      <c r="D195" s="460">
        <f>VLOOKUP(A195,'2024 summary '!A195:C1101,3,FALSE)</f>
        <v>1.25884E-3</v>
      </c>
      <c r="E195" s="505">
        <v>8177539</v>
      </c>
      <c r="F195" s="460"/>
      <c r="G195" s="505">
        <v>1433015</v>
      </c>
      <c r="H195" s="505">
        <v>1111732</v>
      </c>
      <c r="I195" s="505">
        <v>0</v>
      </c>
      <c r="J195" s="505">
        <v>19072</v>
      </c>
      <c r="K195" s="505">
        <v>2563819</v>
      </c>
      <c r="L195" s="460"/>
      <c r="M195" s="505">
        <v>9635</v>
      </c>
      <c r="N195" s="505">
        <v>0</v>
      </c>
      <c r="O195" s="505">
        <v>0</v>
      </c>
      <c r="P195" s="505">
        <v>167486</v>
      </c>
      <c r="Q195" s="505">
        <v>177121</v>
      </c>
      <c r="R195" s="460"/>
      <c r="S195" s="505">
        <v>2446365</v>
      </c>
      <c r="T195" s="505">
        <v>-110900</v>
      </c>
      <c r="U195" s="505">
        <v>2335465</v>
      </c>
      <c r="W195" s="454">
        <v>14490839</v>
      </c>
      <c r="X195" s="454">
        <v>2983982</v>
      </c>
    </row>
    <row r="196" spans="1:24">
      <c r="A196" s="458">
        <v>91881</v>
      </c>
      <c r="B196" s="518" t="s">
        <v>910</v>
      </c>
      <c r="C196" s="460">
        <f t="shared" si="3"/>
        <v>2.3020050105856787E-5</v>
      </c>
      <c r="D196" s="460">
        <f>VLOOKUP(A196,'2024 summary '!A196:C1102,3,FALSE)</f>
        <v>2.9410000000000001E-5</v>
      </c>
      <c r="E196" s="505">
        <v>155189</v>
      </c>
      <c r="F196" s="460"/>
      <c r="G196" s="505">
        <v>27195</v>
      </c>
      <c r="H196" s="505">
        <v>21098</v>
      </c>
      <c r="I196" s="505">
        <v>0</v>
      </c>
      <c r="J196" s="505">
        <v>11950</v>
      </c>
      <c r="K196" s="505">
        <v>60243</v>
      </c>
      <c r="L196" s="460"/>
      <c r="M196" s="505">
        <v>183</v>
      </c>
      <c r="N196" s="505">
        <v>0</v>
      </c>
      <c r="O196" s="505">
        <v>0</v>
      </c>
      <c r="P196" s="505">
        <v>17858</v>
      </c>
      <c r="Q196" s="505">
        <v>18041</v>
      </c>
      <c r="R196" s="460"/>
      <c r="S196" s="505">
        <v>46426</v>
      </c>
      <c r="T196" s="505">
        <v>1975</v>
      </c>
      <c r="U196" s="505">
        <v>48401</v>
      </c>
      <c r="W196" s="454">
        <v>274999</v>
      </c>
      <c r="X196" s="454">
        <v>56628</v>
      </c>
    </row>
    <row r="197" spans="1:24">
      <c r="A197" s="458">
        <v>91901</v>
      </c>
      <c r="B197" s="518" t="s">
        <v>911</v>
      </c>
      <c r="C197" s="460">
        <f t="shared" si="3"/>
        <v>4.1560399855468276E-3</v>
      </c>
      <c r="D197" s="460">
        <f>VLOOKUP(A197,'2024 summary '!A197:C1103,3,FALSE)</f>
        <v>3.8030500000000001E-3</v>
      </c>
      <c r="E197" s="505">
        <v>28017823</v>
      </c>
      <c r="F197" s="460"/>
      <c r="G197" s="505">
        <v>4909784</v>
      </c>
      <c r="H197" s="505">
        <v>3809007</v>
      </c>
      <c r="I197" s="505">
        <v>0</v>
      </c>
      <c r="J197" s="505">
        <v>1263780</v>
      </c>
      <c r="K197" s="505">
        <v>9982571</v>
      </c>
      <c r="L197" s="460"/>
      <c r="M197" s="505">
        <v>33011</v>
      </c>
      <c r="N197" s="505">
        <v>0</v>
      </c>
      <c r="O197" s="505">
        <v>0</v>
      </c>
      <c r="P197" s="505">
        <v>114655</v>
      </c>
      <c r="Q197" s="505">
        <v>147666</v>
      </c>
      <c r="R197" s="460"/>
      <c r="S197" s="505">
        <v>8381719</v>
      </c>
      <c r="T197" s="505">
        <v>307579</v>
      </c>
      <c r="U197" s="505">
        <v>8689298</v>
      </c>
      <c r="W197" s="454">
        <v>49648403</v>
      </c>
      <c r="X197" s="454">
        <v>10223696</v>
      </c>
    </row>
    <row r="198" spans="1:24">
      <c r="A198" s="458">
        <v>91903</v>
      </c>
      <c r="B198" s="518" t="s">
        <v>912</v>
      </c>
      <c r="C198" s="460">
        <f t="shared" si="3"/>
        <v>7.2399629198374759E-6</v>
      </c>
      <c r="D198" s="460">
        <f>VLOOKUP(A198,'2024 summary '!A198:C1104,3,FALSE)</f>
        <v>4.9799999999999998E-6</v>
      </c>
      <c r="E198" s="505">
        <v>48808</v>
      </c>
      <c r="F198" s="460"/>
      <c r="G198" s="505">
        <v>8553</v>
      </c>
      <c r="H198" s="505">
        <v>6635</v>
      </c>
      <c r="I198" s="505">
        <v>0</v>
      </c>
      <c r="J198" s="505">
        <v>8188</v>
      </c>
      <c r="K198" s="505">
        <v>23376</v>
      </c>
      <c r="L198" s="460"/>
      <c r="M198" s="505">
        <v>58</v>
      </c>
      <c r="N198" s="505">
        <v>0</v>
      </c>
      <c r="O198" s="505">
        <v>0</v>
      </c>
      <c r="P198" s="505">
        <v>1719</v>
      </c>
      <c r="Q198" s="505">
        <v>1777</v>
      </c>
      <c r="R198" s="460"/>
      <c r="S198" s="505">
        <v>14601</v>
      </c>
      <c r="T198" s="505">
        <v>3748</v>
      </c>
      <c r="U198" s="505">
        <v>18349</v>
      </c>
      <c r="W198" s="454">
        <v>86490</v>
      </c>
      <c r="X198" s="454">
        <v>17810</v>
      </c>
    </row>
    <row r="199" spans="1:24">
      <c r="A199" s="458">
        <v>91904</v>
      </c>
      <c r="B199" s="518" t="s">
        <v>913</v>
      </c>
      <c r="C199" s="460">
        <f t="shared" si="3"/>
        <v>5.0340051963890441E-5</v>
      </c>
      <c r="D199" s="460">
        <f>VLOOKUP(A199,'2024 summary '!A199:C1105,3,FALSE)</f>
        <v>7.271E-5</v>
      </c>
      <c r="E199" s="505">
        <v>339366</v>
      </c>
      <c r="F199" s="460"/>
      <c r="G199" s="505">
        <v>59470</v>
      </c>
      <c r="H199" s="505">
        <v>46137</v>
      </c>
      <c r="I199" s="505">
        <v>0</v>
      </c>
      <c r="J199" s="505">
        <v>17675</v>
      </c>
      <c r="K199" s="505">
        <v>123282</v>
      </c>
      <c r="L199" s="460"/>
      <c r="M199" s="505">
        <v>400</v>
      </c>
      <c r="N199" s="505">
        <v>0</v>
      </c>
      <c r="O199" s="505">
        <v>0</v>
      </c>
      <c r="P199" s="505">
        <v>72128</v>
      </c>
      <c r="Q199" s="505">
        <v>72528</v>
      </c>
      <c r="R199" s="460"/>
      <c r="S199" s="505">
        <v>101523</v>
      </c>
      <c r="T199" s="505">
        <v>-2774</v>
      </c>
      <c r="U199" s="505">
        <v>98749</v>
      </c>
      <c r="W199" s="454">
        <v>601366</v>
      </c>
      <c r="X199" s="454">
        <v>123834</v>
      </c>
    </row>
    <row r="200" spans="1:24">
      <c r="A200" s="458">
        <v>91908</v>
      </c>
      <c r="B200" s="518" t="s">
        <v>914</v>
      </c>
      <c r="C200" s="460">
        <f t="shared" si="3"/>
        <v>1.5459979007421351E-5</v>
      </c>
      <c r="D200" s="460">
        <f>VLOOKUP(A200,'2024 summary '!A200:C1106,3,FALSE)</f>
        <v>1.379E-5</v>
      </c>
      <c r="E200" s="505">
        <v>104223</v>
      </c>
      <c r="F200" s="460"/>
      <c r="G200" s="505">
        <v>18264</v>
      </c>
      <c r="H200" s="505">
        <v>14169</v>
      </c>
      <c r="I200" s="505">
        <v>0</v>
      </c>
      <c r="J200" s="505">
        <v>3334</v>
      </c>
      <c r="K200" s="505">
        <v>35767</v>
      </c>
      <c r="L200" s="460"/>
      <c r="M200" s="505">
        <v>123</v>
      </c>
      <c r="N200" s="505">
        <v>0</v>
      </c>
      <c r="O200" s="505">
        <v>0</v>
      </c>
      <c r="P200" s="505">
        <v>4456</v>
      </c>
      <c r="Q200" s="505">
        <v>4579</v>
      </c>
      <c r="R200" s="460"/>
      <c r="S200" s="505">
        <v>31179</v>
      </c>
      <c r="T200" s="505">
        <v>-3408</v>
      </c>
      <c r="U200" s="505">
        <v>27771</v>
      </c>
      <c r="W200" s="454">
        <v>184686</v>
      </c>
      <c r="X200" s="454">
        <v>38031</v>
      </c>
    </row>
    <row r="201" spans="1:24">
      <c r="A201" s="458">
        <v>91911</v>
      </c>
      <c r="B201" s="518" t="s">
        <v>915</v>
      </c>
      <c r="C201" s="460">
        <f t="shared" si="3"/>
        <v>5.667899491225445E-4</v>
      </c>
      <c r="D201" s="460">
        <f>VLOOKUP(A201,'2024 summary '!A201:C1107,3,FALSE)</f>
        <v>5.6877000000000002E-4</v>
      </c>
      <c r="E201" s="505">
        <v>3820998</v>
      </c>
      <c r="F201" s="460"/>
      <c r="G201" s="505">
        <v>669584</v>
      </c>
      <c r="H201" s="505">
        <v>519462</v>
      </c>
      <c r="I201" s="505">
        <v>0</v>
      </c>
      <c r="J201" s="505">
        <v>34099</v>
      </c>
      <c r="K201" s="505">
        <v>1223145</v>
      </c>
      <c r="L201" s="460"/>
      <c r="M201" s="505">
        <v>4502</v>
      </c>
      <c r="N201" s="505">
        <v>0</v>
      </c>
      <c r="O201" s="505">
        <v>0</v>
      </c>
      <c r="P201" s="505">
        <v>178167</v>
      </c>
      <c r="Q201" s="505">
        <v>182669</v>
      </c>
      <c r="R201" s="460"/>
      <c r="S201" s="505">
        <v>1143077</v>
      </c>
      <c r="T201" s="505">
        <v>-45271</v>
      </c>
      <c r="U201" s="505">
        <v>1097806</v>
      </c>
      <c r="W201" s="454">
        <v>6770921</v>
      </c>
      <c r="X201" s="454">
        <v>1394281</v>
      </c>
    </row>
    <row r="202" spans="1:24">
      <c r="A202" s="458">
        <v>91917</v>
      </c>
      <c r="B202" s="518" t="s">
        <v>916</v>
      </c>
      <c r="C202" s="460">
        <f t="shared" ref="C202:C265" si="4">E202/$E$915</f>
        <v>1.5790025669784864E-5</v>
      </c>
      <c r="D202" s="460">
        <f>VLOOKUP(A202,'2024 summary '!A202:C1108,3,FALSE)</f>
        <v>1.182E-5</v>
      </c>
      <c r="E202" s="505">
        <v>106448</v>
      </c>
      <c r="F202" s="460"/>
      <c r="G202" s="505">
        <v>18654</v>
      </c>
      <c r="H202" s="505">
        <v>14472</v>
      </c>
      <c r="I202" s="505">
        <v>0</v>
      </c>
      <c r="J202" s="505">
        <v>18869</v>
      </c>
      <c r="K202" s="505">
        <v>51995</v>
      </c>
      <c r="L202" s="460"/>
      <c r="M202" s="505">
        <v>125</v>
      </c>
      <c r="N202" s="505">
        <v>0</v>
      </c>
      <c r="O202" s="505">
        <v>0</v>
      </c>
      <c r="P202" s="505">
        <v>3977</v>
      </c>
      <c r="Q202" s="505">
        <v>4102</v>
      </c>
      <c r="R202" s="460"/>
      <c r="S202" s="505">
        <v>31845</v>
      </c>
      <c r="T202" s="505">
        <v>7622</v>
      </c>
      <c r="U202" s="505">
        <v>39467</v>
      </c>
      <c r="W202" s="454">
        <v>188629</v>
      </c>
      <c r="X202" s="454">
        <v>38843</v>
      </c>
    </row>
    <row r="203" spans="1:24">
      <c r="A203" s="458">
        <v>91921</v>
      </c>
      <c r="B203" s="518" t="s">
        <v>917</v>
      </c>
      <c r="C203" s="460">
        <f t="shared" si="4"/>
        <v>4.5766005729594336E-4</v>
      </c>
      <c r="D203" s="460">
        <f>VLOOKUP(A203,'2024 summary '!A203:C1109,3,FALSE)</f>
        <v>4.1976999999999997E-4</v>
      </c>
      <c r="E203" s="505">
        <v>3085302</v>
      </c>
      <c r="F203" s="460"/>
      <c r="G203" s="505">
        <v>540662</v>
      </c>
      <c r="H203" s="505">
        <v>419445</v>
      </c>
      <c r="I203" s="505">
        <v>0</v>
      </c>
      <c r="J203" s="505">
        <v>122605</v>
      </c>
      <c r="K203" s="505">
        <v>1082712</v>
      </c>
      <c r="L203" s="460"/>
      <c r="M203" s="505">
        <v>3635</v>
      </c>
      <c r="N203" s="505">
        <v>0</v>
      </c>
      <c r="O203" s="505">
        <v>0</v>
      </c>
      <c r="P203" s="505">
        <v>10904</v>
      </c>
      <c r="Q203" s="505">
        <v>14539</v>
      </c>
      <c r="R203" s="460"/>
      <c r="S203" s="505">
        <v>922989</v>
      </c>
      <c r="T203" s="505">
        <v>30030</v>
      </c>
      <c r="U203" s="505">
        <v>953019</v>
      </c>
      <c r="W203" s="454">
        <v>5467245</v>
      </c>
      <c r="X203" s="454">
        <v>1125826</v>
      </c>
    </row>
    <row r="204" spans="1:24">
      <c r="A204" s="458">
        <v>92001</v>
      </c>
      <c r="B204" s="518" t="s">
        <v>918</v>
      </c>
      <c r="C204" s="460">
        <f t="shared" si="4"/>
        <v>1.703160039600918E-3</v>
      </c>
      <c r="D204" s="460">
        <f>VLOOKUP(A204,'2024 summary '!A204:C1110,3,FALSE)</f>
        <v>1.8939199999999999E-3</v>
      </c>
      <c r="E204" s="505">
        <v>11481804</v>
      </c>
      <c r="F204" s="460"/>
      <c r="G204" s="505">
        <v>2012047</v>
      </c>
      <c r="H204" s="505">
        <v>1560944</v>
      </c>
      <c r="I204" s="505">
        <v>0</v>
      </c>
      <c r="J204" s="505">
        <v>112208</v>
      </c>
      <c r="K204" s="505">
        <v>3685199</v>
      </c>
      <c r="L204" s="460"/>
      <c r="M204" s="505">
        <v>13528</v>
      </c>
      <c r="N204" s="505">
        <v>0</v>
      </c>
      <c r="O204" s="505">
        <v>0</v>
      </c>
      <c r="P204" s="505">
        <v>623407</v>
      </c>
      <c r="Q204" s="505">
        <v>636935</v>
      </c>
      <c r="R204" s="460"/>
      <c r="S204" s="505">
        <v>3434858</v>
      </c>
      <c r="T204" s="505">
        <v>-141213</v>
      </c>
      <c r="U204" s="505">
        <v>3293645</v>
      </c>
      <c r="W204" s="454">
        <v>20346092</v>
      </c>
      <c r="X204" s="454">
        <v>4189707</v>
      </c>
    </row>
    <row r="205" spans="1:24">
      <c r="A205" s="458">
        <v>92005</v>
      </c>
      <c r="B205" s="518" t="s">
        <v>919</v>
      </c>
      <c r="C205" s="460">
        <f t="shared" si="4"/>
        <v>3.3680038125673215E-5</v>
      </c>
      <c r="D205" s="460">
        <f>VLOOKUP(A205,'2024 summary '!A205:C1111,3,FALSE)</f>
        <v>3.0380000000000001E-5</v>
      </c>
      <c r="E205" s="505">
        <v>227053</v>
      </c>
      <c r="F205" s="460"/>
      <c r="G205" s="505">
        <v>39788</v>
      </c>
      <c r="H205" s="505">
        <v>30868</v>
      </c>
      <c r="I205" s="505">
        <v>0</v>
      </c>
      <c r="J205" s="505">
        <v>16666</v>
      </c>
      <c r="K205" s="505">
        <v>87322</v>
      </c>
      <c r="L205" s="460"/>
      <c r="M205" s="505">
        <v>268</v>
      </c>
      <c r="N205" s="505">
        <v>0</v>
      </c>
      <c r="O205" s="505">
        <v>0</v>
      </c>
      <c r="P205" s="505">
        <v>4012</v>
      </c>
      <c r="Q205" s="505">
        <v>4280</v>
      </c>
      <c r="R205" s="460"/>
      <c r="S205" s="505">
        <v>67924</v>
      </c>
      <c r="T205" s="505">
        <v>5366</v>
      </c>
      <c r="U205" s="505">
        <v>73290</v>
      </c>
      <c r="W205" s="454">
        <v>402344</v>
      </c>
      <c r="X205" s="454">
        <v>82851</v>
      </c>
    </row>
    <row r="206" spans="1:24">
      <c r="A206" s="458">
        <v>92011</v>
      </c>
      <c r="B206" s="518" t="s">
        <v>920</v>
      </c>
      <c r="C206" s="460">
        <f t="shared" si="4"/>
        <v>2.0483007370994708E-4</v>
      </c>
      <c r="D206" s="460">
        <f>VLOOKUP(A206,'2024 summary '!A206:C1112,3,FALSE)</f>
        <v>2.1662E-4</v>
      </c>
      <c r="E206" s="505">
        <v>1380856</v>
      </c>
      <c r="F206" s="460"/>
      <c r="G206" s="505">
        <v>241978</v>
      </c>
      <c r="H206" s="505">
        <v>187726</v>
      </c>
      <c r="I206" s="505">
        <v>0</v>
      </c>
      <c r="J206" s="505">
        <v>19632</v>
      </c>
      <c r="K206" s="505">
        <v>449336</v>
      </c>
      <c r="L206" s="460"/>
      <c r="M206" s="505">
        <v>1627</v>
      </c>
      <c r="N206" s="505">
        <v>0</v>
      </c>
      <c r="O206" s="505">
        <v>0</v>
      </c>
      <c r="P206" s="505">
        <v>74607</v>
      </c>
      <c r="Q206" s="505">
        <v>76234</v>
      </c>
      <c r="R206" s="460"/>
      <c r="S206" s="505">
        <v>413092</v>
      </c>
      <c r="T206" s="505">
        <v>-26087</v>
      </c>
      <c r="U206" s="505">
        <v>387005</v>
      </c>
      <c r="W206" s="454">
        <v>2446916</v>
      </c>
      <c r="X206" s="454">
        <v>503874</v>
      </c>
    </row>
    <row r="207" spans="1:24">
      <c r="A207" s="458">
        <v>92017</v>
      </c>
      <c r="B207" s="518" t="s">
        <v>921</v>
      </c>
      <c r="C207" s="460">
        <f t="shared" si="4"/>
        <v>1.7110063983660327E-5</v>
      </c>
      <c r="D207" s="460">
        <f>VLOOKUP(A207,'2024 summary '!A207:C1113,3,FALSE)</f>
        <v>1.8830000000000001E-5</v>
      </c>
      <c r="E207" s="505">
        <v>115347</v>
      </c>
      <c r="F207" s="460"/>
      <c r="G207" s="505">
        <v>20213</v>
      </c>
      <c r="H207" s="505">
        <v>15681</v>
      </c>
      <c r="I207" s="505">
        <v>0</v>
      </c>
      <c r="J207" s="505">
        <v>28461</v>
      </c>
      <c r="K207" s="505">
        <v>64355</v>
      </c>
      <c r="L207" s="460"/>
      <c r="M207" s="505">
        <v>136</v>
      </c>
      <c r="N207" s="505">
        <v>0</v>
      </c>
      <c r="O207" s="505">
        <v>0</v>
      </c>
      <c r="P207" s="505">
        <v>20619</v>
      </c>
      <c r="Q207" s="505">
        <v>20755</v>
      </c>
      <c r="R207" s="460"/>
      <c r="S207" s="505">
        <v>34507</v>
      </c>
      <c r="T207" s="505">
        <v>4539</v>
      </c>
      <c r="U207" s="505">
        <v>39046</v>
      </c>
      <c r="W207" s="454">
        <v>204397</v>
      </c>
      <c r="X207" s="454">
        <v>42090</v>
      </c>
    </row>
    <row r="208" spans="1:24">
      <c r="A208" s="458">
        <v>92021</v>
      </c>
      <c r="B208" s="518" t="s">
        <v>922</v>
      </c>
      <c r="C208" s="460">
        <f t="shared" si="4"/>
        <v>1.5171006466769502E-4</v>
      </c>
      <c r="D208" s="460">
        <f>VLOOKUP(A208,'2024 summary '!A208:C1114,3,FALSE)</f>
        <v>1.5893E-4</v>
      </c>
      <c r="E208" s="505">
        <v>1022749</v>
      </c>
      <c r="F208" s="460"/>
      <c r="G208" s="505">
        <v>179224</v>
      </c>
      <c r="H208" s="505">
        <v>139042</v>
      </c>
      <c r="I208" s="505">
        <v>0</v>
      </c>
      <c r="J208" s="505">
        <v>77446</v>
      </c>
      <c r="K208" s="505">
        <v>395712</v>
      </c>
      <c r="L208" s="460"/>
      <c r="M208" s="505">
        <v>1205</v>
      </c>
      <c r="N208" s="505">
        <v>0</v>
      </c>
      <c r="O208" s="505">
        <v>0</v>
      </c>
      <c r="P208" s="505">
        <v>56060</v>
      </c>
      <c r="Q208" s="505">
        <v>57265</v>
      </c>
      <c r="R208" s="460"/>
      <c r="S208" s="505">
        <v>305962</v>
      </c>
      <c r="T208" s="505">
        <v>14415</v>
      </c>
      <c r="U208" s="505">
        <v>320377</v>
      </c>
      <c r="W208" s="454">
        <v>1812340</v>
      </c>
      <c r="X208" s="454">
        <v>373201</v>
      </c>
    </row>
    <row r="209" spans="1:24">
      <c r="A209" s="458">
        <v>92101</v>
      </c>
      <c r="B209" s="518" t="s">
        <v>923</v>
      </c>
      <c r="C209" s="460">
        <f t="shared" si="4"/>
        <v>6.9313003144835458E-4</v>
      </c>
      <c r="D209" s="460">
        <f>VLOOKUP(A209,'2024 summary '!A209:C1115,3,FALSE)</f>
        <v>6.7507999999999999E-4</v>
      </c>
      <c r="E209" s="505">
        <v>4672716</v>
      </c>
      <c r="F209" s="460"/>
      <c r="G209" s="505">
        <v>818837</v>
      </c>
      <c r="H209" s="505">
        <v>635253</v>
      </c>
      <c r="I209" s="505">
        <v>0</v>
      </c>
      <c r="J209" s="505">
        <v>133406</v>
      </c>
      <c r="K209" s="505">
        <v>1587496</v>
      </c>
      <c r="L209" s="460"/>
      <c r="M209" s="505">
        <v>5506</v>
      </c>
      <c r="N209" s="505">
        <v>0</v>
      </c>
      <c r="O209" s="505">
        <v>0</v>
      </c>
      <c r="P209" s="505">
        <v>154619</v>
      </c>
      <c r="Q209" s="505">
        <v>160125</v>
      </c>
      <c r="R209" s="460"/>
      <c r="S209" s="505">
        <v>1397874</v>
      </c>
      <c r="T209" s="505">
        <v>-37646</v>
      </c>
      <c r="U209" s="505">
        <v>1360228</v>
      </c>
      <c r="W209" s="454">
        <v>8280189</v>
      </c>
      <c r="X209" s="454">
        <v>1705073</v>
      </c>
    </row>
    <row r="210" spans="1:24">
      <c r="A210" s="458">
        <v>92104</v>
      </c>
      <c r="B210" s="518" t="s">
        <v>924</v>
      </c>
      <c r="C210" s="460">
        <f t="shared" si="4"/>
        <v>7.2399629198374759E-6</v>
      </c>
      <c r="D210" s="460">
        <f>VLOOKUP(A210,'2024 summary '!A210:C1116,3,FALSE)</f>
        <v>7.7200000000000006E-6</v>
      </c>
      <c r="E210" s="505">
        <v>48808</v>
      </c>
      <c r="F210" s="460"/>
      <c r="G210" s="505">
        <v>8553</v>
      </c>
      <c r="H210" s="505">
        <v>6635</v>
      </c>
      <c r="I210" s="505">
        <v>0</v>
      </c>
      <c r="J210" s="505">
        <v>3835</v>
      </c>
      <c r="K210" s="505">
        <v>19023</v>
      </c>
      <c r="L210" s="460"/>
      <c r="M210" s="505">
        <v>58</v>
      </c>
      <c r="N210" s="505">
        <v>0</v>
      </c>
      <c r="O210" s="505">
        <v>0</v>
      </c>
      <c r="P210" s="505">
        <v>120</v>
      </c>
      <c r="Q210" s="505">
        <v>178</v>
      </c>
      <c r="R210" s="460"/>
      <c r="S210" s="505">
        <v>14601</v>
      </c>
      <c r="T210" s="505">
        <v>2827</v>
      </c>
      <c r="U210" s="505">
        <v>17428</v>
      </c>
      <c r="W210" s="454">
        <v>86490</v>
      </c>
      <c r="X210" s="454">
        <v>17810</v>
      </c>
    </row>
    <row r="211" spans="1:24">
      <c r="A211" s="458">
        <v>92109</v>
      </c>
      <c r="B211" s="518" t="s">
        <v>925</v>
      </c>
      <c r="C211" s="460">
        <f t="shared" si="4"/>
        <v>1.6874996592268211E-4</v>
      </c>
      <c r="D211" s="460">
        <f>VLOOKUP(A211,'2024 summary '!A211:C1117,3,FALSE)</f>
        <v>2.0507000000000001E-4</v>
      </c>
      <c r="E211" s="505">
        <v>1137623</v>
      </c>
      <c r="F211" s="460"/>
      <c r="G211" s="505">
        <v>199355</v>
      </c>
      <c r="H211" s="505">
        <v>154659</v>
      </c>
      <c r="I211" s="505">
        <v>0</v>
      </c>
      <c r="J211" s="505">
        <v>11362</v>
      </c>
      <c r="K211" s="505">
        <v>365376</v>
      </c>
      <c r="L211" s="460"/>
      <c r="M211" s="505">
        <v>1340</v>
      </c>
      <c r="N211" s="505">
        <v>0</v>
      </c>
      <c r="O211" s="505">
        <v>0</v>
      </c>
      <c r="P211" s="505">
        <v>95201</v>
      </c>
      <c r="Q211" s="505">
        <v>96541</v>
      </c>
      <c r="R211" s="460"/>
      <c r="S211" s="505">
        <v>340328</v>
      </c>
      <c r="T211" s="505">
        <v>-19300</v>
      </c>
      <c r="U211" s="505">
        <v>321028</v>
      </c>
      <c r="W211" s="454">
        <v>2015902</v>
      </c>
      <c r="X211" s="454">
        <v>415118</v>
      </c>
    </row>
    <row r="212" spans="1:24">
      <c r="A212" s="458">
        <v>92111</v>
      </c>
      <c r="B212" s="518" t="s">
        <v>926</v>
      </c>
      <c r="C212" s="460">
        <f t="shared" si="4"/>
        <v>5.58159933495737E-4</v>
      </c>
      <c r="D212" s="460">
        <f>VLOOKUP(A212,'2024 summary '!A212:C1118,3,FALSE)</f>
        <v>5.4060999999999996E-4</v>
      </c>
      <c r="E212" s="505">
        <v>3762819</v>
      </c>
      <c r="F212" s="460"/>
      <c r="G212" s="505">
        <v>659388</v>
      </c>
      <c r="H212" s="505">
        <v>511553</v>
      </c>
      <c r="I212" s="505">
        <v>0</v>
      </c>
      <c r="J212" s="505">
        <v>15976</v>
      </c>
      <c r="K212" s="505">
        <v>1186917</v>
      </c>
      <c r="L212" s="460"/>
      <c r="M212" s="505">
        <v>4433</v>
      </c>
      <c r="N212" s="505">
        <v>0</v>
      </c>
      <c r="O212" s="505">
        <v>0</v>
      </c>
      <c r="P212" s="505">
        <v>32227</v>
      </c>
      <c r="Q212" s="505">
        <v>36660</v>
      </c>
      <c r="R212" s="460"/>
      <c r="S212" s="505">
        <v>1125673</v>
      </c>
      <c r="T212" s="505">
        <v>-22006</v>
      </c>
      <c r="U212" s="505">
        <v>1103667</v>
      </c>
      <c r="W212" s="454">
        <v>6667826</v>
      </c>
      <c r="X212" s="454">
        <v>1373052</v>
      </c>
    </row>
    <row r="213" spans="1:24">
      <c r="A213" s="458">
        <v>92113</v>
      </c>
      <c r="B213" s="518" t="s">
        <v>927</v>
      </c>
      <c r="C213" s="460">
        <f t="shared" si="4"/>
        <v>1.3060057681408185E-5</v>
      </c>
      <c r="D213" s="460">
        <f>VLOOKUP(A213,'2024 summary '!A213:C1119,3,FALSE)</f>
        <v>1.4250000000000001E-5</v>
      </c>
      <c r="E213" s="505">
        <v>88044</v>
      </c>
      <c r="F213" s="460"/>
      <c r="G213" s="505">
        <v>15429</v>
      </c>
      <c r="H213" s="505">
        <v>11969</v>
      </c>
      <c r="I213" s="505">
        <v>0</v>
      </c>
      <c r="J213" s="505">
        <v>4219</v>
      </c>
      <c r="K213" s="505">
        <v>31617</v>
      </c>
      <c r="L213" s="460"/>
      <c r="M213" s="505">
        <v>104</v>
      </c>
      <c r="N213" s="505">
        <v>0</v>
      </c>
      <c r="O213" s="505">
        <v>0</v>
      </c>
      <c r="P213" s="505">
        <v>4454</v>
      </c>
      <c r="Q213" s="505">
        <v>4558</v>
      </c>
      <c r="R213" s="460"/>
      <c r="S213" s="505">
        <v>26339</v>
      </c>
      <c r="T213" s="505">
        <v>1293</v>
      </c>
      <c r="U213" s="505">
        <v>27632</v>
      </c>
      <c r="W213" s="454">
        <v>156016</v>
      </c>
      <c r="X213" s="454">
        <v>32127</v>
      </c>
    </row>
    <row r="214" spans="1:24">
      <c r="A214" s="458">
        <v>92201</v>
      </c>
      <c r="B214" s="518" t="s">
        <v>928</v>
      </c>
      <c r="C214" s="460">
        <f t="shared" si="4"/>
        <v>1.0986999736241987E-3</v>
      </c>
      <c r="D214" s="460">
        <f>VLOOKUP(A214,'2024 summary '!A214:C1120,3,FALSE)</f>
        <v>1.1488900000000001E-3</v>
      </c>
      <c r="E214" s="505">
        <v>7406854</v>
      </c>
      <c r="F214" s="460"/>
      <c r="G214" s="505">
        <v>1297961</v>
      </c>
      <c r="H214" s="505">
        <v>1006957</v>
      </c>
      <c r="I214" s="505">
        <v>0</v>
      </c>
      <c r="J214" s="505">
        <v>158628</v>
      </c>
      <c r="K214" s="505">
        <v>2463546</v>
      </c>
      <c r="L214" s="460"/>
      <c r="M214" s="505">
        <v>8727</v>
      </c>
      <c r="N214" s="505">
        <v>0</v>
      </c>
      <c r="O214" s="505">
        <v>0</v>
      </c>
      <c r="P214" s="505">
        <v>219125</v>
      </c>
      <c r="Q214" s="505">
        <v>227852</v>
      </c>
      <c r="R214" s="460"/>
      <c r="S214" s="505">
        <v>2215810</v>
      </c>
      <c r="T214" s="505">
        <v>57558</v>
      </c>
      <c r="U214" s="505">
        <v>2273368</v>
      </c>
      <c r="W214" s="454">
        <v>13125162</v>
      </c>
      <c r="X214" s="454">
        <v>2702759</v>
      </c>
    </row>
    <row r="215" spans="1:24">
      <c r="A215" s="458">
        <v>92214</v>
      </c>
      <c r="B215" s="518" t="s">
        <v>1925</v>
      </c>
      <c r="C215" s="460">
        <f t="shared" si="4"/>
        <v>3.4509975687886188E-5</v>
      </c>
      <c r="D215" s="460">
        <f>VLOOKUP(A215,'2024 summary '!A215:C1121,3,FALSE)</f>
        <v>3.8720000000000002E-5</v>
      </c>
      <c r="E215" s="505">
        <v>232648</v>
      </c>
      <c r="F215" s="460"/>
      <c r="G215" s="505">
        <v>40769</v>
      </c>
      <c r="H215" s="505">
        <v>31628</v>
      </c>
      <c r="I215" s="505">
        <v>0</v>
      </c>
      <c r="J215" s="505">
        <v>20950</v>
      </c>
      <c r="K215" s="505">
        <v>93347</v>
      </c>
      <c r="L215" s="460"/>
      <c r="M215" s="505">
        <v>274</v>
      </c>
      <c r="N215" s="505">
        <v>0</v>
      </c>
      <c r="O215" s="505">
        <v>0</v>
      </c>
      <c r="P215" s="505">
        <v>24579</v>
      </c>
      <c r="Q215" s="505">
        <v>24853</v>
      </c>
      <c r="R215" s="460"/>
      <c r="S215" s="505">
        <v>69598</v>
      </c>
      <c r="T215" s="505">
        <v>5179</v>
      </c>
      <c r="U215" s="505">
        <v>74777</v>
      </c>
      <c r="W215" s="454">
        <v>412259</v>
      </c>
      <c r="X215" s="454">
        <v>84893</v>
      </c>
    </row>
    <row r="216" spans="1:24">
      <c r="A216" s="458">
        <v>92301</v>
      </c>
      <c r="B216" s="518" t="s">
        <v>929</v>
      </c>
      <c r="C216" s="460">
        <f t="shared" si="4"/>
        <v>5.6899299946865265E-3</v>
      </c>
      <c r="D216" s="460">
        <f>VLOOKUP(A216,'2024 summary '!A216:C1122,3,FALSE)</f>
        <v>5.8141099999999999E-3</v>
      </c>
      <c r="E216" s="505">
        <v>38358498</v>
      </c>
      <c r="F216" s="460"/>
      <c r="G216" s="505">
        <v>6721861</v>
      </c>
      <c r="H216" s="505">
        <v>5214815</v>
      </c>
      <c r="I216" s="505">
        <v>0</v>
      </c>
      <c r="J216" s="505">
        <v>823178</v>
      </c>
      <c r="K216" s="505">
        <v>12759854</v>
      </c>
      <c r="L216" s="460"/>
      <c r="M216" s="505">
        <v>45195</v>
      </c>
      <c r="N216" s="505">
        <v>0</v>
      </c>
      <c r="O216" s="505">
        <v>0</v>
      </c>
      <c r="P216" s="505">
        <v>702182</v>
      </c>
      <c r="Q216" s="505">
        <v>747377</v>
      </c>
      <c r="R216" s="460"/>
      <c r="S216" s="505">
        <v>11475200</v>
      </c>
      <c r="T216" s="505">
        <v>38609</v>
      </c>
      <c r="U216" s="505">
        <v>11513809</v>
      </c>
      <c r="W216" s="454">
        <v>67972382</v>
      </c>
      <c r="X216" s="454">
        <v>13997006</v>
      </c>
    </row>
    <row r="217" spans="1:24">
      <c r="A217" s="458">
        <v>92302</v>
      </c>
      <c r="B217" s="518" t="s">
        <v>930</v>
      </c>
      <c r="C217" s="460">
        <f t="shared" si="4"/>
        <v>2.3959993333152354E-4</v>
      </c>
      <c r="D217" s="460">
        <f>VLOOKUP(A217,'2024 summary '!A217:C1123,3,FALSE)</f>
        <v>2.4393E-4</v>
      </c>
      <c r="E217" s="505">
        <v>1615256</v>
      </c>
      <c r="F217" s="460"/>
      <c r="G217" s="505">
        <v>283054</v>
      </c>
      <c r="H217" s="505">
        <v>219593</v>
      </c>
      <c r="I217" s="505">
        <v>0</v>
      </c>
      <c r="J217" s="505">
        <v>19112</v>
      </c>
      <c r="K217" s="505">
        <v>521759</v>
      </c>
      <c r="L217" s="460"/>
      <c r="M217" s="505">
        <v>1903</v>
      </c>
      <c r="N217" s="505">
        <v>0</v>
      </c>
      <c r="O217" s="505">
        <v>0</v>
      </c>
      <c r="P217" s="505">
        <v>39887</v>
      </c>
      <c r="Q217" s="505">
        <v>41790</v>
      </c>
      <c r="R217" s="460"/>
      <c r="S217" s="505">
        <v>483215</v>
      </c>
      <c r="T217" s="505">
        <v>-24215</v>
      </c>
      <c r="U217" s="505">
        <v>459000</v>
      </c>
      <c r="W217" s="454">
        <v>2862282</v>
      </c>
      <c r="X217" s="454">
        <v>589407</v>
      </c>
    </row>
    <row r="218" spans="1:24">
      <c r="A218" s="458">
        <v>92311</v>
      </c>
      <c r="B218" s="518" t="s">
        <v>931</v>
      </c>
      <c r="C218" s="460">
        <f t="shared" si="4"/>
        <v>2.1120000396067863E-3</v>
      </c>
      <c r="D218" s="460">
        <f>VLOOKUP(A218,'2024 summary '!A218:C1124,3,FALSE)</f>
        <v>2.1167299999999998E-3</v>
      </c>
      <c r="E218" s="505">
        <v>14237987</v>
      </c>
      <c r="F218" s="460"/>
      <c r="G218" s="505">
        <v>2495034</v>
      </c>
      <c r="H218" s="505">
        <v>1935646</v>
      </c>
      <c r="I218" s="505">
        <v>0</v>
      </c>
      <c r="J218" s="505">
        <v>8787</v>
      </c>
      <c r="K218" s="505">
        <v>4439467</v>
      </c>
      <c r="L218" s="460"/>
      <c r="M218" s="505">
        <v>16776</v>
      </c>
      <c r="N218" s="505">
        <v>0</v>
      </c>
      <c r="O218" s="505">
        <v>0</v>
      </c>
      <c r="P218" s="505">
        <v>82100</v>
      </c>
      <c r="Q218" s="505">
        <v>98876</v>
      </c>
      <c r="R218" s="460"/>
      <c r="S218" s="505">
        <v>4259389</v>
      </c>
      <c r="T218" s="505">
        <v>-141681</v>
      </c>
      <c r="U218" s="505">
        <v>4117708</v>
      </c>
      <c r="W218" s="454">
        <v>25230129</v>
      </c>
      <c r="X218" s="454">
        <v>5195438</v>
      </c>
    </row>
    <row r="219" spans="1:24">
      <c r="A219" s="458">
        <v>92317</v>
      </c>
      <c r="B219" s="518" t="s">
        <v>932</v>
      </c>
      <c r="C219" s="460">
        <f t="shared" si="4"/>
        <v>4.014999105704822E-5</v>
      </c>
      <c r="D219" s="460">
        <f>VLOOKUP(A219,'2024 summary '!A219:C1125,3,FALSE)</f>
        <v>3.5639999999999998E-5</v>
      </c>
      <c r="E219" s="505">
        <v>270670</v>
      </c>
      <c r="F219" s="460"/>
      <c r="G219" s="505">
        <v>47432</v>
      </c>
      <c r="H219" s="505">
        <v>36797</v>
      </c>
      <c r="I219" s="505">
        <v>0</v>
      </c>
      <c r="J219" s="505">
        <v>36286</v>
      </c>
      <c r="K219" s="505">
        <v>120515</v>
      </c>
      <c r="L219" s="460"/>
      <c r="M219" s="505">
        <v>319</v>
      </c>
      <c r="N219" s="505">
        <v>0</v>
      </c>
      <c r="O219" s="505">
        <v>0</v>
      </c>
      <c r="P219" s="505">
        <v>1705</v>
      </c>
      <c r="Q219" s="505">
        <v>2024</v>
      </c>
      <c r="R219" s="460"/>
      <c r="S219" s="505">
        <v>80973</v>
      </c>
      <c r="T219" s="505">
        <v>18009</v>
      </c>
      <c r="U219" s="505">
        <v>98982</v>
      </c>
      <c r="W219" s="454">
        <v>479635</v>
      </c>
      <c r="X219" s="454">
        <v>98767</v>
      </c>
    </row>
    <row r="220" spans="1:24">
      <c r="A220" s="458">
        <v>92321</v>
      </c>
      <c r="B220" s="518" t="s">
        <v>933</v>
      </c>
      <c r="C220" s="460">
        <f t="shared" si="4"/>
        <v>1.3085299946816904E-3</v>
      </c>
      <c r="D220" s="460">
        <f>VLOOKUP(A220,'2024 summary '!A220:C1126,3,FALSE)</f>
        <v>1.30178E-3</v>
      </c>
      <c r="E220" s="505">
        <v>8821417</v>
      </c>
      <c r="F220" s="460"/>
      <c r="G220" s="505">
        <v>1545846</v>
      </c>
      <c r="H220" s="505">
        <v>1199266</v>
      </c>
      <c r="I220" s="505">
        <v>0</v>
      </c>
      <c r="J220" s="505">
        <v>185354</v>
      </c>
      <c r="K220" s="505">
        <v>2930466</v>
      </c>
      <c r="L220" s="460"/>
      <c r="M220" s="505">
        <v>10394</v>
      </c>
      <c r="N220" s="505">
        <v>0</v>
      </c>
      <c r="O220" s="505">
        <v>0</v>
      </c>
      <c r="P220" s="505">
        <v>54082</v>
      </c>
      <c r="Q220" s="505">
        <v>64476</v>
      </c>
      <c r="R220" s="460"/>
      <c r="S220" s="505">
        <v>2638986</v>
      </c>
      <c r="T220" s="505">
        <v>17289</v>
      </c>
      <c r="U220" s="505">
        <v>2656275</v>
      </c>
      <c r="W220" s="454">
        <v>15631809</v>
      </c>
      <c r="X220" s="454">
        <v>3218933</v>
      </c>
    </row>
    <row r="221" spans="1:24">
      <c r="A221" s="458">
        <v>92327</v>
      </c>
      <c r="B221" s="518" t="s">
        <v>934</v>
      </c>
      <c r="C221" s="460">
        <f t="shared" si="4"/>
        <v>8.1200379076139817E-6</v>
      </c>
      <c r="D221" s="460">
        <f>VLOOKUP(A221,'2024 summary '!A221:C1127,3,FALSE)</f>
        <v>6.5300000000000002E-6</v>
      </c>
      <c r="E221" s="505">
        <v>54741</v>
      </c>
      <c r="F221" s="460"/>
      <c r="G221" s="505">
        <v>9593</v>
      </c>
      <c r="H221" s="505">
        <v>7442</v>
      </c>
      <c r="I221" s="505">
        <v>0</v>
      </c>
      <c r="J221" s="505">
        <v>19848</v>
      </c>
      <c r="K221" s="505">
        <v>36883</v>
      </c>
      <c r="L221" s="460"/>
      <c r="M221" s="505">
        <v>64</v>
      </c>
      <c r="N221" s="505">
        <v>0</v>
      </c>
      <c r="O221" s="505">
        <v>0</v>
      </c>
      <c r="P221" s="505">
        <v>311</v>
      </c>
      <c r="Q221" s="505">
        <v>375</v>
      </c>
      <c r="R221" s="460"/>
      <c r="S221" s="505">
        <v>16376</v>
      </c>
      <c r="T221" s="505">
        <v>10006</v>
      </c>
      <c r="U221" s="505">
        <v>26382</v>
      </c>
      <c r="W221" s="454">
        <v>97002</v>
      </c>
      <c r="X221" s="454">
        <v>19975</v>
      </c>
    </row>
    <row r="222" spans="1:24">
      <c r="A222" s="458">
        <v>92331</v>
      </c>
      <c r="B222" s="518" t="s">
        <v>935</v>
      </c>
      <c r="C222" s="460">
        <f t="shared" si="4"/>
        <v>1.3611005687408438E-4</v>
      </c>
      <c r="D222" s="460">
        <f>VLOOKUP(A222,'2024 summary '!A222:C1128,3,FALSE)</f>
        <v>1.5023E-4</v>
      </c>
      <c r="E222" s="505">
        <v>917582</v>
      </c>
      <c r="F222" s="460"/>
      <c r="G222" s="505">
        <v>160795</v>
      </c>
      <c r="H222" s="505">
        <v>124745</v>
      </c>
      <c r="I222" s="505">
        <v>0</v>
      </c>
      <c r="J222" s="505">
        <v>5015</v>
      </c>
      <c r="K222" s="505">
        <v>290555</v>
      </c>
      <c r="L222" s="460"/>
      <c r="M222" s="505">
        <v>1081</v>
      </c>
      <c r="N222" s="505">
        <v>0</v>
      </c>
      <c r="O222" s="505">
        <v>0</v>
      </c>
      <c r="P222" s="505">
        <v>46941</v>
      </c>
      <c r="Q222" s="505">
        <v>48022</v>
      </c>
      <c r="R222" s="460"/>
      <c r="S222" s="505">
        <v>274501</v>
      </c>
      <c r="T222" s="505">
        <v>-1838</v>
      </c>
      <c r="U222" s="505">
        <v>272663</v>
      </c>
      <c r="W222" s="454">
        <v>1625981</v>
      </c>
      <c r="X222" s="454">
        <v>334825</v>
      </c>
    </row>
    <row r="223" spans="1:24">
      <c r="A223" s="458">
        <v>92341</v>
      </c>
      <c r="B223" s="518" t="s">
        <v>936</v>
      </c>
      <c r="C223" s="460">
        <f t="shared" si="4"/>
        <v>5.4799612798630528E-6</v>
      </c>
      <c r="D223" s="460">
        <f>VLOOKUP(A223,'2024 summary '!A223:C1129,3,FALSE)</f>
        <v>6.3600000000000001E-6</v>
      </c>
      <c r="E223" s="505">
        <v>36943</v>
      </c>
      <c r="F223" s="460"/>
      <c r="G223" s="505">
        <v>6474</v>
      </c>
      <c r="H223" s="505">
        <v>5022</v>
      </c>
      <c r="I223" s="505">
        <v>0</v>
      </c>
      <c r="J223" s="505">
        <v>0</v>
      </c>
      <c r="K223" s="505">
        <v>11496</v>
      </c>
      <c r="L223" s="460"/>
      <c r="M223" s="505">
        <v>44</v>
      </c>
      <c r="N223" s="505">
        <v>0</v>
      </c>
      <c r="O223" s="505">
        <v>0</v>
      </c>
      <c r="P223" s="505">
        <v>5311</v>
      </c>
      <c r="Q223" s="505">
        <v>5355</v>
      </c>
      <c r="R223" s="460"/>
      <c r="S223" s="505">
        <v>11052</v>
      </c>
      <c r="T223" s="505">
        <v>-2745</v>
      </c>
      <c r="U223" s="505">
        <v>8307</v>
      </c>
      <c r="W223" s="454">
        <v>65465</v>
      </c>
      <c r="X223" s="454">
        <v>13481</v>
      </c>
    </row>
    <row r="224" spans="1:24">
      <c r="A224" s="458">
        <v>92351</v>
      </c>
      <c r="B224" s="518" t="s">
        <v>937</v>
      </c>
      <c r="C224" s="460">
        <f t="shared" si="4"/>
        <v>2.9759973790266215E-5</v>
      </c>
      <c r="D224" s="460">
        <f>VLOOKUP(A224,'2024 summary '!A224:C1130,3,FALSE)</f>
        <v>3.502E-5</v>
      </c>
      <c r="E224" s="505">
        <v>200626</v>
      </c>
      <c r="F224" s="460"/>
      <c r="G224" s="505">
        <v>35157</v>
      </c>
      <c r="H224" s="505">
        <v>27275</v>
      </c>
      <c r="I224" s="505">
        <v>0</v>
      </c>
      <c r="J224" s="505">
        <v>10495</v>
      </c>
      <c r="K224" s="505">
        <v>72927</v>
      </c>
      <c r="L224" s="460"/>
      <c r="M224" s="505">
        <v>236</v>
      </c>
      <c r="N224" s="505">
        <v>0</v>
      </c>
      <c r="O224" s="505">
        <v>0</v>
      </c>
      <c r="P224" s="505">
        <v>16683</v>
      </c>
      <c r="Q224" s="505">
        <v>16919</v>
      </c>
      <c r="R224" s="460"/>
      <c r="S224" s="505">
        <v>60019</v>
      </c>
      <c r="T224" s="505">
        <v>1318</v>
      </c>
      <c r="U224" s="505">
        <v>61337</v>
      </c>
      <c r="W224" s="454">
        <v>355515</v>
      </c>
      <c r="X224" s="454">
        <v>73208</v>
      </c>
    </row>
    <row r="225" spans="1:24">
      <c r="A225" s="458">
        <v>92401</v>
      </c>
      <c r="B225" s="518" t="s">
        <v>938</v>
      </c>
      <c r="C225" s="460">
        <f t="shared" si="4"/>
        <v>2.6013600033898002E-3</v>
      </c>
      <c r="D225" s="460">
        <f>VLOOKUP(A225,'2024 summary '!A225:C1131,3,FALSE)</f>
        <v>2.6313500000000002E-3</v>
      </c>
      <c r="E225" s="505">
        <v>17536993</v>
      </c>
      <c r="F225" s="460"/>
      <c r="G225" s="505">
        <v>3073145</v>
      </c>
      <c r="H225" s="505">
        <v>2384144</v>
      </c>
      <c r="I225" s="505">
        <v>0</v>
      </c>
      <c r="J225" s="505">
        <v>386410</v>
      </c>
      <c r="K225" s="505">
        <v>5843699</v>
      </c>
      <c r="L225" s="460"/>
      <c r="M225" s="505">
        <v>20663</v>
      </c>
      <c r="N225" s="505">
        <v>0</v>
      </c>
      <c r="O225" s="505">
        <v>0</v>
      </c>
      <c r="P225" s="505">
        <v>29423</v>
      </c>
      <c r="Q225" s="505">
        <v>50086</v>
      </c>
      <c r="R225" s="460"/>
      <c r="S225" s="505">
        <v>5246308</v>
      </c>
      <c r="T225" s="505">
        <v>226926</v>
      </c>
      <c r="U225" s="505">
        <v>5473234</v>
      </c>
      <c r="W225" s="454">
        <v>31076065</v>
      </c>
      <c r="X225" s="454">
        <v>6399244</v>
      </c>
    </row>
    <row r="226" spans="1:24">
      <c r="A226" s="458">
        <v>92403</v>
      </c>
      <c r="B226" s="518" t="s">
        <v>939</v>
      </c>
      <c r="C226" s="460">
        <f t="shared" si="4"/>
        <v>1.1960001030582199E-5</v>
      </c>
      <c r="D226" s="460">
        <f>VLOOKUP(A226,'2024 summary '!A226:C1132,3,FALSE)</f>
        <v>1.223E-5</v>
      </c>
      <c r="E226" s="505">
        <v>80628</v>
      </c>
      <c r="F226" s="460"/>
      <c r="G226" s="505">
        <v>14129</v>
      </c>
      <c r="H226" s="505">
        <v>10961</v>
      </c>
      <c r="I226" s="505">
        <v>0</v>
      </c>
      <c r="J226" s="505">
        <v>6879</v>
      </c>
      <c r="K226" s="505">
        <v>31969</v>
      </c>
      <c r="L226" s="460"/>
      <c r="M226" s="505">
        <v>95</v>
      </c>
      <c r="N226" s="505">
        <v>0</v>
      </c>
      <c r="O226" s="505">
        <v>0</v>
      </c>
      <c r="P226" s="505">
        <v>2160</v>
      </c>
      <c r="Q226" s="505">
        <v>2255</v>
      </c>
      <c r="R226" s="460"/>
      <c r="S226" s="505">
        <v>24120</v>
      </c>
      <c r="T226" s="505">
        <v>6288</v>
      </c>
      <c r="U226" s="505">
        <v>30408</v>
      </c>
      <c r="W226" s="454">
        <v>142875</v>
      </c>
      <c r="X226" s="454">
        <v>29421</v>
      </c>
    </row>
    <row r="227" spans="1:24">
      <c r="A227" s="458">
        <v>92411</v>
      </c>
      <c r="B227" s="518" t="s">
        <v>940</v>
      </c>
      <c r="C227" s="460">
        <f t="shared" si="4"/>
        <v>3.8185004481019802E-4</v>
      </c>
      <c r="D227" s="460">
        <f>VLOOKUP(A227,'2024 summary '!A227:C1133,3,FALSE)</f>
        <v>3.9027000000000002E-4</v>
      </c>
      <c r="E227" s="505">
        <v>2574231</v>
      </c>
      <c r="F227" s="460"/>
      <c r="G227" s="505">
        <v>451103</v>
      </c>
      <c r="H227" s="505">
        <v>349965</v>
      </c>
      <c r="I227" s="505">
        <v>0</v>
      </c>
      <c r="J227" s="505">
        <v>5424</v>
      </c>
      <c r="K227" s="505">
        <v>806492</v>
      </c>
      <c r="L227" s="460"/>
      <c r="M227" s="505">
        <v>3033</v>
      </c>
      <c r="N227" s="505">
        <v>0</v>
      </c>
      <c r="O227" s="505">
        <v>0</v>
      </c>
      <c r="P227" s="505">
        <v>47611</v>
      </c>
      <c r="Q227" s="505">
        <v>50644</v>
      </c>
      <c r="R227" s="460"/>
      <c r="S227" s="505">
        <v>770098</v>
      </c>
      <c r="T227" s="505">
        <v>-55513</v>
      </c>
      <c r="U227" s="505">
        <v>714585</v>
      </c>
      <c r="W227" s="454">
        <v>4561612</v>
      </c>
      <c r="X227" s="454">
        <v>939336</v>
      </c>
    </row>
    <row r="228" spans="1:24">
      <c r="A228" s="458">
        <v>92417</v>
      </c>
      <c r="B228" s="518" t="s">
        <v>941</v>
      </c>
      <c r="C228" s="460">
        <f t="shared" si="4"/>
        <v>1.1099951345915389E-5</v>
      </c>
      <c r="D228" s="460">
        <f>VLOOKUP(A228,'2024 summary '!A228:C1134,3,FALSE)</f>
        <v>1.1409999999999999E-5</v>
      </c>
      <c r="E228" s="505">
        <v>74830</v>
      </c>
      <c r="F228" s="460"/>
      <c r="G228" s="505">
        <v>13113</v>
      </c>
      <c r="H228" s="505">
        <v>10173</v>
      </c>
      <c r="I228" s="505">
        <v>0</v>
      </c>
      <c r="J228" s="505">
        <v>5256</v>
      </c>
      <c r="K228" s="505">
        <v>28542</v>
      </c>
      <c r="L228" s="460"/>
      <c r="M228" s="505">
        <v>88</v>
      </c>
      <c r="N228" s="505">
        <v>0</v>
      </c>
      <c r="O228" s="505">
        <v>0</v>
      </c>
      <c r="P228" s="505">
        <v>2870</v>
      </c>
      <c r="Q228" s="505">
        <v>2958</v>
      </c>
      <c r="R228" s="460"/>
      <c r="S228" s="505">
        <v>22386</v>
      </c>
      <c r="T228" s="505">
        <v>-948</v>
      </c>
      <c r="U228" s="505">
        <v>21438</v>
      </c>
      <c r="W228" s="454">
        <v>132602</v>
      </c>
      <c r="X228" s="454">
        <v>27306</v>
      </c>
    </row>
    <row r="229" spans="1:24">
      <c r="A229" s="458">
        <v>92421</v>
      </c>
      <c r="B229" s="518" t="s">
        <v>942</v>
      </c>
      <c r="C229" s="460">
        <f t="shared" si="4"/>
        <v>8.480048356852746E-6</v>
      </c>
      <c r="D229" s="460">
        <f>VLOOKUP(A229,'2024 summary '!A229:C1135,3,FALSE)</f>
        <v>8.3699999999999995E-6</v>
      </c>
      <c r="E229" s="505">
        <v>57168</v>
      </c>
      <c r="F229" s="460"/>
      <c r="G229" s="505">
        <v>10018</v>
      </c>
      <c r="H229" s="505">
        <v>7772</v>
      </c>
      <c r="I229" s="505">
        <v>0</v>
      </c>
      <c r="J229" s="505">
        <v>3755</v>
      </c>
      <c r="K229" s="505">
        <v>21545</v>
      </c>
      <c r="L229" s="460"/>
      <c r="M229" s="505">
        <v>67</v>
      </c>
      <c r="N229" s="505">
        <v>0</v>
      </c>
      <c r="O229" s="505">
        <v>0</v>
      </c>
      <c r="P229" s="505">
        <v>3605</v>
      </c>
      <c r="Q229" s="505">
        <v>3672</v>
      </c>
      <c r="R229" s="460"/>
      <c r="S229" s="505">
        <v>17102</v>
      </c>
      <c r="T229" s="505">
        <v>-2822</v>
      </c>
      <c r="U229" s="505">
        <v>14280</v>
      </c>
      <c r="W229" s="454">
        <v>101303</v>
      </c>
      <c r="X229" s="454">
        <v>20860</v>
      </c>
    </row>
    <row r="230" spans="1:24">
      <c r="A230" s="458">
        <v>92427</v>
      </c>
      <c r="B230" s="518" t="s">
        <v>943</v>
      </c>
      <c r="C230" s="460">
        <f t="shared" si="4"/>
        <v>1.2799877076560723E-6</v>
      </c>
      <c r="D230" s="460">
        <f>VLOOKUP(A230,'2024 summary '!A230:C1136,3,FALSE)</f>
        <v>1.35E-6</v>
      </c>
      <c r="E230" s="505">
        <v>8629</v>
      </c>
      <c r="F230" s="460"/>
      <c r="G230" s="505">
        <v>1512</v>
      </c>
      <c r="H230" s="505">
        <v>1173</v>
      </c>
      <c r="I230" s="505">
        <v>0</v>
      </c>
      <c r="J230" s="505">
        <v>2358</v>
      </c>
      <c r="K230" s="505">
        <v>5043</v>
      </c>
      <c r="L230" s="460"/>
      <c r="M230" s="505">
        <v>10</v>
      </c>
      <c r="N230" s="505">
        <v>0</v>
      </c>
      <c r="O230" s="505">
        <v>0</v>
      </c>
      <c r="P230" s="505">
        <v>338</v>
      </c>
      <c r="Q230" s="505">
        <v>348</v>
      </c>
      <c r="R230" s="460"/>
      <c r="S230" s="505">
        <v>2581</v>
      </c>
      <c r="T230" s="505">
        <v>1167</v>
      </c>
      <c r="U230" s="505">
        <v>3748</v>
      </c>
      <c r="W230" s="454">
        <v>15291</v>
      </c>
      <c r="X230" s="454">
        <v>3149</v>
      </c>
    </row>
    <row r="231" spans="1:24">
      <c r="A231" s="458">
        <v>92431</v>
      </c>
      <c r="B231" s="518" t="s">
        <v>944</v>
      </c>
      <c r="C231" s="460">
        <f t="shared" si="4"/>
        <v>5.5900262791770875E-6</v>
      </c>
      <c r="D231" s="460">
        <f>VLOOKUP(A231,'2024 summary '!A231:C1137,3,FALSE)</f>
        <v>9.6800000000000005E-6</v>
      </c>
      <c r="E231" s="505">
        <v>37685</v>
      </c>
      <c r="F231" s="460"/>
      <c r="G231" s="505">
        <v>6604</v>
      </c>
      <c r="H231" s="505">
        <v>5123</v>
      </c>
      <c r="I231" s="505">
        <v>0</v>
      </c>
      <c r="J231" s="505">
        <v>9111</v>
      </c>
      <c r="K231" s="505">
        <v>20838</v>
      </c>
      <c r="L231" s="460"/>
      <c r="M231" s="505">
        <v>44</v>
      </c>
      <c r="N231" s="505">
        <v>0</v>
      </c>
      <c r="O231" s="505">
        <v>0</v>
      </c>
      <c r="P231" s="505">
        <v>16120</v>
      </c>
      <c r="Q231" s="505">
        <v>16164</v>
      </c>
      <c r="R231" s="460"/>
      <c r="S231" s="505">
        <v>11274</v>
      </c>
      <c r="T231" s="505">
        <v>-2588</v>
      </c>
      <c r="U231" s="505">
        <v>8686</v>
      </c>
      <c r="W231" s="454">
        <v>66779</v>
      </c>
      <c r="X231" s="454">
        <v>13751</v>
      </c>
    </row>
    <row r="232" spans="1:24">
      <c r="A232" s="458">
        <v>92441</v>
      </c>
      <c r="B232" s="518" t="s">
        <v>945</v>
      </c>
      <c r="C232" s="460">
        <f t="shared" si="4"/>
        <v>9.8780073501617173E-5</v>
      </c>
      <c r="D232" s="460">
        <f>VLOOKUP(A232,'2024 summary '!A232:C1138,3,FALSE)</f>
        <v>8.9019999999999998E-5</v>
      </c>
      <c r="E232" s="505">
        <v>665923</v>
      </c>
      <c r="F232" s="460"/>
      <c r="G232" s="505">
        <v>116695</v>
      </c>
      <c r="H232" s="505">
        <v>90532</v>
      </c>
      <c r="I232" s="505">
        <v>0</v>
      </c>
      <c r="J232" s="505">
        <v>50122</v>
      </c>
      <c r="K232" s="505">
        <v>257349</v>
      </c>
      <c r="L232" s="460"/>
      <c r="M232" s="505">
        <v>785</v>
      </c>
      <c r="N232" s="505">
        <v>0</v>
      </c>
      <c r="O232" s="505">
        <v>0</v>
      </c>
      <c r="P232" s="505">
        <v>30762</v>
      </c>
      <c r="Q232" s="505">
        <v>31547</v>
      </c>
      <c r="R232" s="460"/>
      <c r="S232" s="505">
        <v>199215</v>
      </c>
      <c r="T232" s="505">
        <v>547</v>
      </c>
      <c r="U232" s="505">
        <v>199762</v>
      </c>
      <c r="W232" s="454">
        <v>1180034</v>
      </c>
      <c r="X232" s="454">
        <v>242995</v>
      </c>
    </row>
    <row r="233" spans="1:24">
      <c r="A233" s="458">
        <v>92444</v>
      </c>
      <c r="B233" s="518" t="s">
        <v>946</v>
      </c>
      <c r="C233" s="460">
        <f t="shared" si="4"/>
        <v>7.2199376167277794E-6</v>
      </c>
      <c r="D233" s="460">
        <f>VLOOKUP(A233,'2024 summary '!A233:C1139,3,FALSE)</f>
        <v>9.5799999999999998E-6</v>
      </c>
      <c r="E233" s="505">
        <v>48673</v>
      </c>
      <c r="F233" s="460"/>
      <c r="G233" s="505">
        <v>8529</v>
      </c>
      <c r="H233" s="505">
        <v>6617</v>
      </c>
      <c r="I233" s="505">
        <v>0</v>
      </c>
      <c r="J233" s="505">
        <v>568</v>
      </c>
      <c r="K233" s="505">
        <v>15714</v>
      </c>
      <c r="L233" s="460"/>
      <c r="M233" s="505">
        <v>57</v>
      </c>
      <c r="N233" s="505">
        <v>0</v>
      </c>
      <c r="O233" s="505">
        <v>0</v>
      </c>
      <c r="P233" s="505">
        <v>10115</v>
      </c>
      <c r="Q233" s="505">
        <v>10172</v>
      </c>
      <c r="R233" s="460"/>
      <c r="S233" s="505">
        <v>14561</v>
      </c>
      <c r="T233" s="505">
        <v>-1232</v>
      </c>
      <c r="U233" s="505">
        <v>13329</v>
      </c>
      <c r="W233" s="454">
        <v>86251</v>
      </c>
      <c r="X233" s="454">
        <v>17761</v>
      </c>
    </row>
    <row r="234" spans="1:24">
      <c r="A234" s="458">
        <v>92451</v>
      </c>
      <c r="B234" s="518" t="s">
        <v>947</v>
      </c>
      <c r="C234" s="460">
        <f t="shared" si="4"/>
        <v>1.2657000247262505E-4</v>
      </c>
      <c r="D234" s="460">
        <f>VLOOKUP(A234,'2024 summary '!A234:C1140,3,FALSE)</f>
        <v>1.0760999999999999E-4</v>
      </c>
      <c r="E234" s="505">
        <v>853268</v>
      </c>
      <c r="F234" s="460"/>
      <c r="G234" s="505">
        <v>149525</v>
      </c>
      <c r="H234" s="505">
        <v>116001</v>
      </c>
      <c r="I234" s="505">
        <v>0</v>
      </c>
      <c r="J234" s="505">
        <v>104375</v>
      </c>
      <c r="K234" s="505">
        <v>369901</v>
      </c>
      <c r="L234" s="460"/>
      <c r="M234" s="505">
        <v>1005</v>
      </c>
      <c r="N234" s="505">
        <v>0</v>
      </c>
      <c r="O234" s="505">
        <v>0</v>
      </c>
      <c r="P234" s="505">
        <v>6424</v>
      </c>
      <c r="Q234" s="505">
        <v>7429</v>
      </c>
      <c r="R234" s="460"/>
      <c r="S234" s="505">
        <v>255261</v>
      </c>
      <c r="T234" s="505">
        <v>49857</v>
      </c>
      <c r="U234" s="505">
        <v>305118</v>
      </c>
      <c r="W234" s="454">
        <v>1512016</v>
      </c>
      <c r="X234" s="454">
        <v>311357</v>
      </c>
    </row>
    <row r="235" spans="1:24">
      <c r="A235" s="458">
        <v>92461</v>
      </c>
      <c r="B235" s="518" t="s">
        <v>948</v>
      </c>
      <c r="C235" s="460">
        <f t="shared" si="4"/>
        <v>1.1113004876831339E-4</v>
      </c>
      <c r="D235" s="460">
        <f>VLOOKUP(A235,'2024 summary '!A235:C1141,3,FALSE)</f>
        <v>9.6280000000000007E-5</v>
      </c>
      <c r="E235" s="505">
        <v>749180</v>
      </c>
      <c r="F235" s="460"/>
      <c r="G235" s="505">
        <v>131285</v>
      </c>
      <c r="H235" s="505">
        <v>101851</v>
      </c>
      <c r="I235" s="505">
        <v>0</v>
      </c>
      <c r="J235" s="505">
        <v>65075</v>
      </c>
      <c r="K235" s="505">
        <v>298211</v>
      </c>
      <c r="L235" s="460"/>
      <c r="M235" s="505">
        <v>883</v>
      </c>
      <c r="N235" s="505">
        <v>0</v>
      </c>
      <c r="O235" s="505">
        <v>0</v>
      </c>
      <c r="P235" s="505">
        <v>2709</v>
      </c>
      <c r="Q235" s="505">
        <v>3592</v>
      </c>
      <c r="R235" s="460"/>
      <c r="S235" s="505">
        <v>224122</v>
      </c>
      <c r="T235" s="505">
        <v>43006</v>
      </c>
      <c r="U235" s="505">
        <v>267128</v>
      </c>
      <c r="W235" s="454">
        <v>1327568</v>
      </c>
      <c r="X235" s="454">
        <v>273375</v>
      </c>
    </row>
    <row r="236" spans="1:24">
      <c r="A236" s="458">
        <v>92501</v>
      </c>
      <c r="B236" s="518" t="s">
        <v>949</v>
      </c>
      <c r="C236" s="460">
        <f t="shared" si="4"/>
        <v>3.9559600620700797E-3</v>
      </c>
      <c r="D236" s="460">
        <f>VLOOKUP(A236,'2024 summary '!A236:C1142,3,FALSE)</f>
        <v>4.3997000000000003E-3</v>
      </c>
      <c r="E236" s="505">
        <v>26668990</v>
      </c>
      <c r="F236" s="460"/>
      <c r="G236" s="505">
        <v>4673417</v>
      </c>
      <c r="H236" s="505">
        <v>3625633</v>
      </c>
      <c r="I236" s="505">
        <v>0</v>
      </c>
      <c r="J236" s="505">
        <v>662456</v>
      </c>
      <c r="K236" s="505">
        <v>8961506</v>
      </c>
      <c r="L236" s="460"/>
      <c r="M236" s="505">
        <v>31422</v>
      </c>
      <c r="N236" s="505">
        <v>0</v>
      </c>
      <c r="O236" s="505">
        <v>0</v>
      </c>
      <c r="P236" s="505">
        <v>1333202</v>
      </c>
      <c r="Q236" s="505">
        <v>1364624</v>
      </c>
      <c r="R236" s="460"/>
      <c r="S236" s="505">
        <v>7978206</v>
      </c>
      <c r="T236" s="505">
        <v>-108849</v>
      </c>
      <c r="U236" s="505">
        <v>7869357</v>
      </c>
      <c r="W236" s="454">
        <v>47258230</v>
      </c>
      <c r="X236" s="454">
        <v>9731507</v>
      </c>
    </row>
    <row r="237" spans="1:24">
      <c r="A237" s="458">
        <v>92502</v>
      </c>
      <c r="B237" s="518" t="s">
        <v>950</v>
      </c>
      <c r="C237" s="460">
        <f t="shared" si="4"/>
        <v>1.7589929580400089E-5</v>
      </c>
      <c r="D237" s="460">
        <f>VLOOKUP(A237,'2024 summary '!A237:C1143,3,FALSE)</f>
        <v>1.9230000000000001E-5</v>
      </c>
      <c r="E237" s="505">
        <v>118582</v>
      </c>
      <c r="F237" s="460"/>
      <c r="G237" s="505">
        <v>20780</v>
      </c>
      <c r="H237" s="505">
        <v>16121</v>
      </c>
      <c r="I237" s="505">
        <v>0</v>
      </c>
      <c r="J237" s="505">
        <v>5773</v>
      </c>
      <c r="K237" s="505">
        <v>42674</v>
      </c>
      <c r="L237" s="460"/>
      <c r="M237" s="505">
        <v>140</v>
      </c>
      <c r="N237" s="505">
        <v>0</v>
      </c>
      <c r="O237" s="505">
        <v>0</v>
      </c>
      <c r="P237" s="505">
        <v>6219</v>
      </c>
      <c r="Q237" s="505">
        <v>6359</v>
      </c>
      <c r="R237" s="460"/>
      <c r="S237" s="505">
        <v>35475</v>
      </c>
      <c r="T237" s="505">
        <v>3032</v>
      </c>
      <c r="U237" s="505">
        <v>38507</v>
      </c>
      <c r="W237" s="454">
        <v>210132</v>
      </c>
      <c r="X237" s="454">
        <v>43271</v>
      </c>
    </row>
    <row r="238" spans="1:24">
      <c r="A238" s="458">
        <v>92504</v>
      </c>
      <c r="B238" s="518" t="s">
        <v>951</v>
      </c>
      <c r="C238" s="460">
        <f t="shared" si="4"/>
        <v>1.0981001045443793E-4</v>
      </c>
      <c r="D238" s="460">
        <f>VLOOKUP(A238,'2024 summary '!A238:C1144,3,FALSE)</f>
        <v>1.1294999999999999E-4</v>
      </c>
      <c r="E238" s="505">
        <v>740281</v>
      </c>
      <c r="F238" s="460"/>
      <c r="G238" s="505">
        <v>129725</v>
      </c>
      <c r="H238" s="505">
        <v>100641</v>
      </c>
      <c r="I238" s="505">
        <v>0</v>
      </c>
      <c r="J238" s="505">
        <v>39191</v>
      </c>
      <c r="K238" s="505">
        <v>269557</v>
      </c>
      <c r="L238" s="460"/>
      <c r="M238" s="505">
        <v>872</v>
      </c>
      <c r="N238" s="505">
        <v>0</v>
      </c>
      <c r="O238" s="505">
        <v>0</v>
      </c>
      <c r="P238" s="505">
        <v>2813</v>
      </c>
      <c r="Q238" s="505">
        <v>3685</v>
      </c>
      <c r="R238" s="460"/>
      <c r="S238" s="505">
        <v>221460</v>
      </c>
      <c r="T238" s="505">
        <v>25397</v>
      </c>
      <c r="U238" s="505">
        <v>246857</v>
      </c>
      <c r="W238" s="454">
        <v>1311799</v>
      </c>
      <c r="X238" s="454">
        <v>270128</v>
      </c>
    </row>
    <row r="239" spans="1:24">
      <c r="A239" s="458">
        <v>92505</v>
      </c>
      <c r="B239" s="518" t="s">
        <v>952</v>
      </c>
      <c r="C239" s="460">
        <f t="shared" si="4"/>
        <v>9.1820019818579678E-5</v>
      </c>
      <c r="D239" s="460">
        <f>VLOOKUP(A239,'2024 summary '!A239:C1145,3,FALSE)</f>
        <v>1.0402E-4</v>
      </c>
      <c r="E239" s="505">
        <v>619002</v>
      </c>
      <c r="F239" s="460"/>
      <c r="G239" s="505">
        <v>108473</v>
      </c>
      <c r="H239" s="505">
        <v>84153</v>
      </c>
      <c r="I239" s="505">
        <v>0</v>
      </c>
      <c r="J239" s="505">
        <v>21154</v>
      </c>
      <c r="K239" s="505">
        <v>213780</v>
      </c>
      <c r="L239" s="460"/>
      <c r="M239" s="505">
        <v>729</v>
      </c>
      <c r="N239" s="505">
        <v>0</v>
      </c>
      <c r="O239" s="505">
        <v>0</v>
      </c>
      <c r="P239" s="505">
        <v>24563</v>
      </c>
      <c r="Q239" s="505">
        <v>25292</v>
      </c>
      <c r="R239" s="460"/>
      <c r="S239" s="505">
        <v>185179</v>
      </c>
      <c r="T239" s="505">
        <v>-31510</v>
      </c>
      <c r="U239" s="505">
        <v>153669</v>
      </c>
      <c r="W239" s="454">
        <v>1096889</v>
      </c>
      <c r="X239" s="454">
        <v>225874</v>
      </c>
    </row>
    <row r="240" spans="1:24">
      <c r="A240" s="458">
        <v>92506</v>
      </c>
      <c r="B240" s="518" t="s">
        <v>953</v>
      </c>
      <c r="C240" s="460">
        <f t="shared" si="4"/>
        <v>6.8810056532067032E-5</v>
      </c>
      <c r="D240" s="460">
        <f>VLOOKUP(A240,'2024 summary '!A240:C1146,3,FALSE)</f>
        <v>7.6550000000000004E-5</v>
      </c>
      <c r="E240" s="505">
        <v>463881</v>
      </c>
      <c r="F240" s="460"/>
      <c r="G240" s="505">
        <v>81289</v>
      </c>
      <c r="H240" s="505">
        <v>63064</v>
      </c>
      <c r="I240" s="505">
        <v>0</v>
      </c>
      <c r="J240" s="505">
        <v>34283</v>
      </c>
      <c r="K240" s="505">
        <v>178636</v>
      </c>
      <c r="L240" s="460"/>
      <c r="M240" s="505">
        <v>547</v>
      </c>
      <c r="N240" s="505">
        <v>0</v>
      </c>
      <c r="O240" s="505">
        <v>0</v>
      </c>
      <c r="P240" s="505">
        <v>14599</v>
      </c>
      <c r="Q240" s="505">
        <v>15146</v>
      </c>
      <c r="R240" s="460"/>
      <c r="S240" s="505">
        <v>138773</v>
      </c>
      <c r="T240" s="505">
        <v>19499</v>
      </c>
      <c r="U240" s="505">
        <v>158272</v>
      </c>
      <c r="W240" s="454">
        <v>822010</v>
      </c>
      <c r="X240" s="454">
        <v>169270</v>
      </c>
    </row>
    <row r="241" spans="1:24">
      <c r="A241" s="458">
        <v>92507</v>
      </c>
      <c r="B241" s="518" t="s">
        <v>954</v>
      </c>
      <c r="C241" s="460">
        <f t="shared" si="4"/>
        <v>1.0322005403998334E-4</v>
      </c>
      <c r="D241" s="460">
        <f>VLOOKUP(A241,'2024 summary '!A241:C1147,3,FALSE)</f>
        <v>1.0215E-4</v>
      </c>
      <c r="E241" s="505">
        <v>695855</v>
      </c>
      <c r="F241" s="460"/>
      <c r="G241" s="505">
        <v>121940</v>
      </c>
      <c r="H241" s="505">
        <v>94601</v>
      </c>
      <c r="I241" s="505">
        <v>0</v>
      </c>
      <c r="J241" s="505">
        <v>8161</v>
      </c>
      <c r="K241" s="505">
        <v>224702</v>
      </c>
      <c r="L241" s="460"/>
      <c r="M241" s="505">
        <v>820</v>
      </c>
      <c r="N241" s="505">
        <v>0</v>
      </c>
      <c r="O241" s="505">
        <v>0</v>
      </c>
      <c r="P241" s="505">
        <v>16152</v>
      </c>
      <c r="Q241" s="505">
        <v>16972</v>
      </c>
      <c r="R241" s="460"/>
      <c r="S241" s="505">
        <v>208170</v>
      </c>
      <c r="T241" s="505">
        <v>-2322</v>
      </c>
      <c r="U241" s="505">
        <v>205848</v>
      </c>
      <c r="W241" s="454">
        <v>1233075</v>
      </c>
      <c r="X241" s="454">
        <v>253917</v>
      </c>
    </row>
    <row r="242" spans="1:24">
      <c r="A242" s="458">
        <v>92508</v>
      </c>
      <c r="B242" s="518" t="s">
        <v>955</v>
      </c>
      <c r="C242" s="460">
        <f t="shared" si="4"/>
        <v>2.6572998717810546E-4</v>
      </c>
      <c r="D242" s="460">
        <f>VLOOKUP(A242,'2024 summary '!A242:C1148,3,FALSE)</f>
        <v>2.6845999999999999E-4</v>
      </c>
      <c r="E242" s="505">
        <v>1791411</v>
      </c>
      <c r="F242" s="460"/>
      <c r="G242" s="505">
        <v>313923</v>
      </c>
      <c r="H242" s="505">
        <v>243541</v>
      </c>
      <c r="I242" s="505">
        <v>0</v>
      </c>
      <c r="J242" s="505">
        <v>76440</v>
      </c>
      <c r="K242" s="505">
        <v>633904</v>
      </c>
      <c r="L242" s="460"/>
      <c r="M242" s="505">
        <v>2111</v>
      </c>
      <c r="N242" s="505">
        <v>0</v>
      </c>
      <c r="O242" s="505">
        <v>0</v>
      </c>
      <c r="P242" s="505">
        <v>30906</v>
      </c>
      <c r="Q242" s="505">
        <v>33017</v>
      </c>
      <c r="R242" s="460"/>
      <c r="S242" s="505">
        <v>535913</v>
      </c>
      <c r="T242" s="505">
        <v>18409</v>
      </c>
      <c r="U242" s="505">
        <v>554322</v>
      </c>
      <c r="W242" s="454">
        <v>3174433</v>
      </c>
      <c r="X242" s="454">
        <v>653685</v>
      </c>
    </row>
    <row r="243" spans="1:24">
      <c r="A243" s="458">
        <v>92511</v>
      </c>
      <c r="B243" s="518" t="s">
        <v>956</v>
      </c>
      <c r="C243" s="460">
        <f t="shared" si="4"/>
        <v>3.437559997059698E-3</v>
      </c>
      <c r="D243" s="460">
        <f>VLOOKUP(A243,'2024 summary '!A243:C1149,3,FALSE)</f>
        <v>3.2512000000000001E-3</v>
      </c>
      <c r="E243" s="505">
        <v>23174211</v>
      </c>
      <c r="F243" s="460"/>
      <c r="G243" s="505">
        <v>4060999</v>
      </c>
      <c r="H243" s="505">
        <v>3150520</v>
      </c>
      <c r="I243" s="505">
        <v>0</v>
      </c>
      <c r="J243" s="505">
        <v>637487</v>
      </c>
      <c r="K243" s="505">
        <v>7849006</v>
      </c>
      <c r="L243" s="460"/>
      <c r="M243" s="505">
        <v>27305</v>
      </c>
      <c r="N243" s="505">
        <v>0</v>
      </c>
      <c r="O243" s="505">
        <v>0</v>
      </c>
      <c r="P243" s="505">
        <v>85459</v>
      </c>
      <c r="Q243" s="505">
        <v>112764</v>
      </c>
      <c r="R243" s="460"/>
      <c r="S243" s="505">
        <v>6932720</v>
      </c>
      <c r="T243" s="505">
        <v>139007</v>
      </c>
      <c r="U243" s="505">
        <v>7071727</v>
      </c>
      <c r="W243" s="454">
        <v>41065381</v>
      </c>
      <c r="X243" s="454">
        <v>8456264</v>
      </c>
    </row>
    <row r="244" spans="1:24">
      <c r="A244" s="458">
        <v>92513</v>
      </c>
      <c r="B244" s="518" t="s">
        <v>957</v>
      </c>
      <c r="C244" s="460">
        <f t="shared" si="4"/>
        <v>5.7249499480936062E-3</v>
      </c>
      <c r="D244" s="460">
        <f>VLOOKUP(A244,'2024 summary '!A244:C1150,3,FALSE)</f>
        <v>4.7714599999999999E-3</v>
      </c>
      <c r="E244" s="505">
        <v>38594584</v>
      </c>
      <c r="F244" s="460"/>
      <c r="G244" s="505">
        <v>6763233</v>
      </c>
      <c r="H244" s="505">
        <v>5246911</v>
      </c>
      <c r="I244" s="505">
        <v>0</v>
      </c>
      <c r="J244" s="505">
        <v>5437211</v>
      </c>
      <c r="K244" s="505">
        <v>17447355</v>
      </c>
      <c r="L244" s="460"/>
      <c r="M244" s="505">
        <v>45473</v>
      </c>
      <c r="N244" s="505">
        <v>0</v>
      </c>
      <c r="O244" s="505">
        <v>0</v>
      </c>
      <c r="P244" s="505">
        <v>221146</v>
      </c>
      <c r="Q244" s="505">
        <v>266619</v>
      </c>
      <c r="R244" s="460"/>
      <c r="S244" s="505">
        <v>11545827</v>
      </c>
      <c r="T244" s="505">
        <v>1946770</v>
      </c>
      <c r="U244" s="505">
        <v>13492597</v>
      </c>
      <c r="W244" s="454">
        <v>68390734</v>
      </c>
      <c r="X244" s="454">
        <v>14083154</v>
      </c>
    </row>
    <row r="245" spans="1:24">
      <c r="A245" s="458">
        <v>92521</v>
      </c>
      <c r="B245" s="518" t="s">
        <v>958</v>
      </c>
      <c r="C245" s="460">
        <f t="shared" si="4"/>
        <v>5.813004320914091E-5</v>
      </c>
      <c r="D245" s="460">
        <f>VLOOKUP(A245,'2024 summary '!A245:C1151,3,FALSE)</f>
        <v>6.7009999999999997E-5</v>
      </c>
      <c r="E245" s="505">
        <v>391882</v>
      </c>
      <c r="F245" s="460"/>
      <c r="G245" s="505">
        <v>68673</v>
      </c>
      <c r="H245" s="505">
        <v>53276</v>
      </c>
      <c r="I245" s="505">
        <v>0</v>
      </c>
      <c r="J245" s="505">
        <v>5522</v>
      </c>
      <c r="K245" s="505">
        <v>127471</v>
      </c>
      <c r="L245" s="460"/>
      <c r="M245" s="505">
        <v>462</v>
      </c>
      <c r="N245" s="505">
        <v>0</v>
      </c>
      <c r="O245" s="505">
        <v>0</v>
      </c>
      <c r="P245" s="505">
        <v>28593</v>
      </c>
      <c r="Q245" s="505">
        <v>29055</v>
      </c>
      <c r="R245" s="460"/>
      <c r="S245" s="505">
        <v>117234</v>
      </c>
      <c r="T245" s="505">
        <v>-4585</v>
      </c>
      <c r="U245" s="505">
        <v>112649</v>
      </c>
      <c r="W245" s="454">
        <v>694426</v>
      </c>
      <c r="X245" s="454">
        <v>142998</v>
      </c>
    </row>
    <row r="246" spans="1:24">
      <c r="A246" s="458">
        <v>92531</v>
      </c>
      <c r="B246" s="518" t="s">
        <v>959</v>
      </c>
      <c r="C246" s="460">
        <f t="shared" si="4"/>
        <v>8.5061999193582227E-4</v>
      </c>
      <c r="D246" s="460">
        <f>VLOOKUP(A246,'2024 summary '!A246:C1152,3,FALSE)</f>
        <v>8.8796000000000003E-4</v>
      </c>
      <c r="E246" s="505">
        <v>5734430</v>
      </c>
      <c r="F246" s="460"/>
      <c r="G246" s="505">
        <v>1004889</v>
      </c>
      <c r="H246" s="505">
        <v>779592</v>
      </c>
      <c r="I246" s="505">
        <v>0</v>
      </c>
      <c r="J246" s="505">
        <v>149273</v>
      </c>
      <c r="K246" s="505">
        <v>1933754</v>
      </c>
      <c r="L246" s="460"/>
      <c r="M246" s="505">
        <v>6756</v>
      </c>
      <c r="N246" s="505">
        <v>0</v>
      </c>
      <c r="O246" s="505">
        <v>0</v>
      </c>
      <c r="P246" s="505">
        <v>230355</v>
      </c>
      <c r="Q246" s="505">
        <v>237111</v>
      </c>
      <c r="R246" s="460"/>
      <c r="S246" s="505">
        <v>1715493</v>
      </c>
      <c r="T246" s="505">
        <v>-55390</v>
      </c>
      <c r="U246" s="505">
        <v>1660103</v>
      </c>
      <c r="W246" s="454">
        <v>10161578</v>
      </c>
      <c r="X246" s="454">
        <v>2092492</v>
      </c>
    </row>
    <row r="247" spans="1:24">
      <c r="A247" s="458">
        <v>92541</v>
      </c>
      <c r="B247" s="518" t="s">
        <v>960</v>
      </c>
      <c r="C247" s="460">
        <f t="shared" si="4"/>
        <v>1.3928992667232556E-4</v>
      </c>
      <c r="D247" s="460">
        <f>VLOOKUP(A247,'2024 summary '!A247:C1153,3,FALSE)</f>
        <v>1.2762E-4</v>
      </c>
      <c r="E247" s="505">
        <v>939019</v>
      </c>
      <c r="F247" s="460"/>
      <c r="G247" s="505">
        <v>164552</v>
      </c>
      <c r="H247" s="505">
        <v>127659</v>
      </c>
      <c r="I247" s="505">
        <v>0</v>
      </c>
      <c r="J247" s="505">
        <v>20495</v>
      </c>
      <c r="K247" s="505">
        <v>312706</v>
      </c>
      <c r="L247" s="460"/>
      <c r="M247" s="505">
        <v>1106</v>
      </c>
      <c r="N247" s="505">
        <v>0</v>
      </c>
      <c r="O247" s="505">
        <v>0</v>
      </c>
      <c r="P247" s="505">
        <v>35773</v>
      </c>
      <c r="Q247" s="505">
        <v>36879</v>
      </c>
      <c r="R247" s="460"/>
      <c r="S247" s="505">
        <v>280914</v>
      </c>
      <c r="T247" s="505">
        <v>-14404</v>
      </c>
      <c r="U247" s="505">
        <v>266510</v>
      </c>
      <c r="W247" s="454">
        <v>1663970</v>
      </c>
      <c r="X247" s="454">
        <v>342648</v>
      </c>
    </row>
    <row r="248" spans="1:24">
      <c r="A248" s="458">
        <v>92551</v>
      </c>
      <c r="B248" s="518" t="s">
        <v>961</v>
      </c>
      <c r="C248" s="460">
        <f t="shared" si="4"/>
        <v>5.6520008839121324E-5</v>
      </c>
      <c r="D248" s="460">
        <f>VLOOKUP(A248,'2024 summary '!A248:C1154,3,FALSE)</f>
        <v>5.7840000000000002E-5</v>
      </c>
      <c r="E248" s="505">
        <v>381028</v>
      </c>
      <c r="F248" s="460"/>
      <c r="G248" s="505">
        <v>66771</v>
      </c>
      <c r="H248" s="505">
        <v>51801</v>
      </c>
      <c r="I248" s="505">
        <v>0</v>
      </c>
      <c r="J248" s="505">
        <v>0</v>
      </c>
      <c r="K248" s="505">
        <v>118572</v>
      </c>
      <c r="L248" s="460"/>
      <c r="M248" s="505">
        <v>449</v>
      </c>
      <c r="N248" s="505">
        <v>0</v>
      </c>
      <c r="O248" s="505">
        <v>0</v>
      </c>
      <c r="P248" s="505">
        <v>30239</v>
      </c>
      <c r="Q248" s="505">
        <v>30688</v>
      </c>
      <c r="R248" s="460"/>
      <c r="S248" s="505">
        <v>113987</v>
      </c>
      <c r="T248" s="505">
        <v>-11974</v>
      </c>
      <c r="U248" s="505">
        <v>102013</v>
      </c>
      <c r="W248" s="454">
        <v>675193</v>
      </c>
      <c r="X248" s="454">
        <v>139037</v>
      </c>
    </row>
    <row r="249" spans="1:24">
      <c r="A249" s="458">
        <v>92561</v>
      </c>
      <c r="B249" s="518" t="s">
        <v>962</v>
      </c>
      <c r="C249" s="460">
        <f t="shared" si="4"/>
        <v>9.86001424447871E-6</v>
      </c>
      <c r="D249" s="460">
        <f>VLOOKUP(A249,'2024 summary '!A249:C1155,3,FALSE)</f>
        <v>1.1389999999999999E-5</v>
      </c>
      <c r="E249" s="505">
        <v>66471</v>
      </c>
      <c r="F249" s="460"/>
      <c r="G249" s="505">
        <v>11648</v>
      </c>
      <c r="H249" s="505">
        <v>9037</v>
      </c>
      <c r="I249" s="505">
        <v>0</v>
      </c>
      <c r="J249" s="505">
        <v>1310</v>
      </c>
      <c r="K249" s="505">
        <v>21995</v>
      </c>
      <c r="L249" s="460"/>
      <c r="M249" s="505">
        <v>78</v>
      </c>
      <c r="N249" s="505">
        <v>0</v>
      </c>
      <c r="O249" s="505">
        <v>0</v>
      </c>
      <c r="P249" s="505">
        <v>3867</v>
      </c>
      <c r="Q249" s="505">
        <v>3945</v>
      </c>
      <c r="R249" s="460"/>
      <c r="S249" s="505">
        <v>19885</v>
      </c>
      <c r="T249" s="505">
        <v>559</v>
      </c>
      <c r="U249" s="505">
        <v>20444</v>
      </c>
      <c r="W249" s="454">
        <v>117788</v>
      </c>
      <c r="X249" s="454">
        <v>24255</v>
      </c>
    </row>
    <row r="250" spans="1:24">
      <c r="A250" s="458">
        <v>92571</v>
      </c>
      <c r="B250" s="518" t="s">
        <v>963</v>
      </c>
      <c r="C250" s="460">
        <f t="shared" si="4"/>
        <v>8.2900304806785164E-6</v>
      </c>
      <c r="D250" s="460">
        <f>VLOOKUP(A250,'2024 summary '!A250:C1156,3,FALSE)</f>
        <v>8.8300000000000002E-6</v>
      </c>
      <c r="E250" s="505">
        <v>55887</v>
      </c>
      <c r="F250" s="460"/>
      <c r="G250" s="505">
        <v>9793</v>
      </c>
      <c r="H250" s="505">
        <v>7598</v>
      </c>
      <c r="I250" s="505">
        <v>0</v>
      </c>
      <c r="J250" s="505">
        <v>2677</v>
      </c>
      <c r="K250" s="505">
        <v>20068</v>
      </c>
      <c r="L250" s="460"/>
      <c r="M250" s="505">
        <v>66</v>
      </c>
      <c r="N250" s="505">
        <v>0</v>
      </c>
      <c r="O250" s="505">
        <v>0</v>
      </c>
      <c r="P250" s="505">
        <v>2875</v>
      </c>
      <c r="Q250" s="505">
        <v>2941</v>
      </c>
      <c r="R250" s="460"/>
      <c r="S250" s="505">
        <v>16719</v>
      </c>
      <c r="T250" s="505">
        <v>2190</v>
      </c>
      <c r="U250" s="505">
        <v>18909</v>
      </c>
      <c r="W250" s="454">
        <v>99033</v>
      </c>
      <c r="X250" s="454">
        <v>20393</v>
      </c>
    </row>
    <row r="251" spans="1:24">
      <c r="A251" s="458">
        <v>92601</v>
      </c>
      <c r="B251" s="518" t="s">
        <v>964</v>
      </c>
      <c r="C251" s="460">
        <f t="shared" si="4"/>
        <v>1.1689100065134435E-2</v>
      </c>
      <c r="D251" s="460">
        <f>VLOOKUP(A251,'2024 summary '!A251:C1157,3,FALSE)</f>
        <v>1.185579E-2</v>
      </c>
      <c r="E251" s="505">
        <v>78801729</v>
      </c>
      <c r="F251" s="460"/>
      <c r="G251" s="505">
        <v>13809047</v>
      </c>
      <c r="H251" s="505">
        <v>10713048</v>
      </c>
      <c r="I251" s="505">
        <v>0</v>
      </c>
      <c r="J251" s="505">
        <v>323001</v>
      </c>
      <c r="K251" s="505">
        <v>24845096</v>
      </c>
      <c r="L251" s="460"/>
      <c r="M251" s="505">
        <v>92847</v>
      </c>
      <c r="N251" s="505">
        <v>0</v>
      </c>
      <c r="O251" s="505">
        <v>0</v>
      </c>
      <c r="P251" s="505">
        <v>1198240</v>
      </c>
      <c r="Q251" s="505">
        <v>1291087</v>
      </c>
      <c r="R251" s="460"/>
      <c r="S251" s="505">
        <v>23574063</v>
      </c>
      <c r="T251" s="505">
        <v>-428014</v>
      </c>
      <c r="U251" s="505">
        <v>23146049</v>
      </c>
      <c r="W251" s="454">
        <v>139638970</v>
      </c>
      <c r="X251" s="454">
        <v>28754730</v>
      </c>
    </row>
    <row r="252" spans="1:24">
      <c r="A252" s="458">
        <v>92602</v>
      </c>
      <c r="B252" s="518" t="s">
        <v>965</v>
      </c>
      <c r="C252" s="460">
        <f t="shared" si="4"/>
        <v>4.5300202345704938E-6</v>
      </c>
      <c r="D252" s="460">
        <f>VLOOKUP(A252,'2024 summary '!A252:C1158,3,FALSE)</f>
        <v>3.8500000000000004E-6</v>
      </c>
      <c r="E252" s="505">
        <v>30539</v>
      </c>
      <c r="F252" s="460"/>
      <c r="G252" s="505">
        <v>5352</v>
      </c>
      <c r="H252" s="505">
        <v>4152</v>
      </c>
      <c r="I252" s="505">
        <v>0</v>
      </c>
      <c r="J252" s="505">
        <v>1834</v>
      </c>
      <c r="K252" s="505">
        <v>11338</v>
      </c>
      <c r="L252" s="460"/>
      <c r="M252" s="505">
        <v>36</v>
      </c>
      <c r="N252" s="505">
        <v>0</v>
      </c>
      <c r="O252" s="505">
        <v>0</v>
      </c>
      <c r="P252" s="505">
        <v>3252</v>
      </c>
      <c r="Q252" s="505">
        <v>3288</v>
      </c>
      <c r="R252" s="460"/>
      <c r="S252" s="505">
        <v>9136</v>
      </c>
      <c r="T252" s="505">
        <v>-599</v>
      </c>
      <c r="U252" s="505">
        <v>8537</v>
      </c>
      <c r="W252" s="454">
        <v>54116</v>
      </c>
      <c r="X252" s="454">
        <v>11144</v>
      </c>
    </row>
    <row r="253" spans="1:24">
      <c r="A253" s="458">
        <v>92604</v>
      </c>
      <c r="B253" s="518" t="s">
        <v>966</v>
      </c>
      <c r="C253" s="460">
        <f t="shared" si="4"/>
        <v>2.900000612047431E-4</v>
      </c>
      <c r="D253" s="460">
        <f>VLOOKUP(A253,'2024 summary '!A253:C1159,3,FALSE)</f>
        <v>3.0694000000000001E-4</v>
      </c>
      <c r="E253" s="505">
        <v>1955027</v>
      </c>
      <c r="F253" s="460"/>
      <c r="G253" s="505">
        <v>342595</v>
      </c>
      <c r="H253" s="505">
        <v>265785</v>
      </c>
      <c r="I253" s="505">
        <v>0</v>
      </c>
      <c r="J253" s="505">
        <v>0</v>
      </c>
      <c r="K253" s="505">
        <v>608380</v>
      </c>
      <c r="L253" s="460"/>
      <c r="M253" s="505">
        <v>2303</v>
      </c>
      <c r="N253" s="505">
        <v>0</v>
      </c>
      <c r="O253" s="505">
        <v>0</v>
      </c>
      <c r="P253" s="505">
        <v>70001</v>
      </c>
      <c r="Q253" s="505">
        <v>72304</v>
      </c>
      <c r="R253" s="460"/>
      <c r="S253" s="505">
        <v>584859</v>
      </c>
      <c r="T253" s="505">
        <v>-49007</v>
      </c>
      <c r="U253" s="505">
        <v>535852</v>
      </c>
      <c r="W253" s="454">
        <v>3464364</v>
      </c>
      <c r="X253" s="454">
        <v>713389</v>
      </c>
    </row>
    <row r="254" spans="1:24">
      <c r="A254" s="458">
        <v>92607</v>
      </c>
      <c r="B254" s="518" t="s">
        <v>967</v>
      </c>
      <c r="C254" s="460">
        <f t="shared" si="4"/>
        <v>1.6652997565349902E-4</v>
      </c>
      <c r="D254" s="460">
        <f>VLOOKUP(A254,'2024 summary '!A254:C1160,3,FALSE)</f>
        <v>1.5109999999999999E-4</v>
      </c>
      <c r="E254" s="505">
        <v>1122657</v>
      </c>
      <c r="F254" s="460"/>
      <c r="G254" s="505">
        <v>196732</v>
      </c>
      <c r="H254" s="505">
        <v>152625</v>
      </c>
      <c r="I254" s="505">
        <v>0</v>
      </c>
      <c r="J254" s="505">
        <v>109009</v>
      </c>
      <c r="K254" s="505">
        <v>458366</v>
      </c>
      <c r="L254" s="460"/>
      <c r="M254" s="505">
        <v>1323</v>
      </c>
      <c r="N254" s="505">
        <v>0</v>
      </c>
      <c r="O254" s="505">
        <v>0</v>
      </c>
      <c r="P254" s="505">
        <v>9149</v>
      </c>
      <c r="Q254" s="505">
        <v>10472</v>
      </c>
      <c r="R254" s="460"/>
      <c r="S254" s="505">
        <v>335850</v>
      </c>
      <c r="T254" s="505">
        <v>67557</v>
      </c>
      <c r="U254" s="505">
        <v>403407</v>
      </c>
      <c r="W254" s="454">
        <v>1989381</v>
      </c>
      <c r="X254" s="454">
        <v>409657</v>
      </c>
    </row>
    <row r="255" spans="1:24">
      <c r="A255" s="458">
        <v>92611</v>
      </c>
      <c r="B255" s="518" t="s">
        <v>969</v>
      </c>
      <c r="C255" s="460">
        <f t="shared" si="4"/>
        <v>1.0341730030890227E-2</v>
      </c>
      <c r="D255" s="460">
        <f>VLOOKUP(A255,'2024 summary '!A255:C1161,3,FALSE)</f>
        <v>1.1132970000000001E-2</v>
      </c>
      <c r="E255" s="505">
        <v>69718473</v>
      </c>
      <c r="F255" s="460"/>
      <c r="G255" s="505">
        <v>12217316</v>
      </c>
      <c r="H255" s="505">
        <v>9478185</v>
      </c>
      <c r="I255" s="505">
        <v>0</v>
      </c>
      <c r="J255" s="505">
        <v>163878</v>
      </c>
      <c r="K255" s="505">
        <v>21859379</v>
      </c>
      <c r="L255" s="460"/>
      <c r="M255" s="505">
        <v>82144</v>
      </c>
      <c r="N255" s="505">
        <v>0</v>
      </c>
      <c r="O255" s="505">
        <v>0</v>
      </c>
      <c r="P255" s="505">
        <v>2567175</v>
      </c>
      <c r="Q255" s="505">
        <v>2649319</v>
      </c>
      <c r="R255" s="460"/>
      <c r="S255" s="505">
        <v>20856746</v>
      </c>
      <c r="T255" s="505">
        <v>-999824</v>
      </c>
      <c r="U255" s="505">
        <v>19856922</v>
      </c>
      <c r="W255" s="454">
        <v>123543175</v>
      </c>
      <c r="X255" s="454">
        <v>25440252</v>
      </c>
    </row>
    <row r="256" spans="1:24">
      <c r="A256" s="458">
        <v>92613</v>
      </c>
      <c r="B256" s="518" t="s">
        <v>970</v>
      </c>
      <c r="C256" s="460">
        <f t="shared" si="4"/>
        <v>1.9551000097153723E-4</v>
      </c>
      <c r="D256" s="460">
        <f>VLOOKUP(A256,'2024 summary '!A256:C1162,3,FALSE)</f>
        <v>1.9146000000000001E-4</v>
      </c>
      <c r="E256" s="505">
        <v>1318025</v>
      </c>
      <c r="F256" s="460"/>
      <c r="G256" s="505">
        <v>230968</v>
      </c>
      <c r="H256" s="505">
        <v>179185</v>
      </c>
      <c r="I256" s="505">
        <v>0</v>
      </c>
      <c r="J256" s="505">
        <v>63970</v>
      </c>
      <c r="K256" s="505">
        <v>474123</v>
      </c>
      <c r="L256" s="460"/>
      <c r="M256" s="505">
        <v>1553</v>
      </c>
      <c r="N256" s="505">
        <v>0</v>
      </c>
      <c r="O256" s="505">
        <v>0</v>
      </c>
      <c r="P256" s="505">
        <v>36953</v>
      </c>
      <c r="Q256" s="505">
        <v>38506</v>
      </c>
      <c r="R256" s="460"/>
      <c r="S256" s="505">
        <v>394296</v>
      </c>
      <c r="T256" s="505">
        <v>17193</v>
      </c>
      <c r="U256" s="505">
        <v>411489</v>
      </c>
      <c r="W256" s="454">
        <v>2335579</v>
      </c>
      <c r="X256" s="454">
        <v>480947</v>
      </c>
    </row>
    <row r="257" spans="1:24">
      <c r="A257" s="458">
        <v>92614</v>
      </c>
      <c r="B257" s="518" t="s">
        <v>971</v>
      </c>
      <c r="C257" s="460">
        <f t="shared" si="4"/>
        <v>6.3182999759050654E-3</v>
      </c>
      <c r="D257" s="460">
        <f>VLOOKUP(A257,'2024 summary '!A257:C1163,3,FALSE)</f>
        <v>5.8996500000000002E-3</v>
      </c>
      <c r="E257" s="505">
        <v>42594636</v>
      </c>
      <c r="F257" s="460"/>
      <c r="G257" s="505">
        <v>7464193</v>
      </c>
      <c r="H257" s="505">
        <v>5790716</v>
      </c>
      <c r="I257" s="505">
        <v>0</v>
      </c>
      <c r="J257" s="505">
        <v>2320781</v>
      </c>
      <c r="K257" s="505">
        <v>15575690</v>
      </c>
      <c r="L257" s="460"/>
      <c r="M257" s="505">
        <v>50186</v>
      </c>
      <c r="N257" s="505">
        <v>0</v>
      </c>
      <c r="O257" s="505">
        <v>0</v>
      </c>
      <c r="P257" s="505">
        <v>308802</v>
      </c>
      <c r="Q257" s="505">
        <v>358988</v>
      </c>
      <c r="R257" s="460"/>
      <c r="S257" s="505">
        <v>12742469</v>
      </c>
      <c r="T257" s="505">
        <v>1993976</v>
      </c>
      <c r="U257" s="505">
        <v>14736445</v>
      </c>
      <c r="W257" s="454">
        <v>75478943</v>
      </c>
      <c r="X257" s="454">
        <v>15542772</v>
      </c>
    </row>
    <row r="258" spans="1:24">
      <c r="A258" s="458">
        <v>92621</v>
      </c>
      <c r="B258" s="518" t="s">
        <v>972</v>
      </c>
      <c r="C258" s="460">
        <f t="shared" si="4"/>
        <v>2.3539966308815939E-5</v>
      </c>
      <c r="D258" s="460">
        <f>VLOOKUP(A258,'2024 summary '!A258:C1164,3,FALSE)</f>
        <v>2.1610000000000001E-5</v>
      </c>
      <c r="E258" s="505">
        <v>158694</v>
      </c>
      <c r="F258" s="460"/>
      <c r="G258" s="505">
        <v>27809</v>
      </c>
      <c r="H258" s="505">
        <v>21574</v>
      </c>
      <c r="I258" s="505">
        <v>0</v>
      </c>
      <c r="J258" s="505">
        <v>9488</v>
      </c>
      <c r="K258" s="505">
        <v>58871</v>
      </c>
      <c r="L258" s="460"/>
      <c r="M258" s="505">
        <v>187</v>
      </c>
      <c r="N258" s="505">
        <v>0</v>
      </c>
      <c r="O258" s="505">
        <v>0</v>
      </c>
      <c r="P258" s="505">
        <v>8118</v>
      </c>
      <c r="Q258" s="505">
        <v>8305</v>
      </c>
      <c r="R258" s="460"/>
      <c r="S258" s="505">
        <v>47474</v>
      </c>
      <c r="T258" s="505">
        <v>1646</v>
      </c>
      <c r="U258" s="505">
        <v>49120</v>
      </c>
      <c r="W258" s="454">
        <v>281211</v>
      </c>
      <c r="X258" s="454">
        <v>57907</v>
      </c>
    </row>
    <row r="259" spans="1:24">
      <c r="A259" s="458">
        <v>92631</v>
      </c>
      <c r="B259" s="518" t="s">
        <v>973</v>
      </c>
      <c r="C259" s="460">
        <f t="shared" si="4"/>
        <v>7.96480027455183E-4</v>
      </c>
      <c r="D259" s="460">
        <f>VLOOKUP(A259,'2024 summary '!A259:C1165,3,FALSE)</f>
        <v>8.7135999999999995E-4</v>
      </c>
      <c r="E259" s="505">
        <v>5369447</v>
      </c>
      <c r="F259" s="460"/>
      <c r="G259" s="505">
        <v>940930</v>
      </c>
      <c r="H259" s="505">
        <v>729973</v>
      </c>
      <c r="I259" s="505">
        <v>0</v>
      </c>
      <c r="J259" s="505">
        <v>55764</v>
      </c>
      <c r="K259" s="505">
        <v>1726667</v>
      </c>
      <c r="L259" s="460"/>
      <c r="M259" s="505">
        <v>6326</v>
      </c>
      <c r="N259" s="505">
        <v>0</v>
      </c>
      <c r="O259" s="505">
        <v>0</v>
      </c>
      <c r="P259" s="505">
        <v>293445</v>
      </c>
      <c r="Q259" s="505">
        <v>299771</v>
      </c>
      <c r="R259" s="460"/>
      <c r="S259" s="505">
        <v>1606306</v>
      </c>
      <c r="T259" s="505">
        <v>-92490</v>
      </c>
      <c r="U259" s="505">
        <v>1513816</v>
      </c>
      <c r="W259" s="454">
        <v>9514817</v>
      </c>
      <c r="X259" s="454">
        <v>1959310</v>
      </c>
    </row>
    <row r="260" spans="1:24">
      <c r="A260" s="458">
        <v>92641</v>
      </c>
      <c r="B260" s="518" t="s">
        <v>974</v>
      </c>
      <c r="C260" s="460">
        <f t="shared" si="4"/>
        <v>7.4799698859966506E-6</v>
      </c>
      <c r="D260" s="460">
        <f>VLOOKUP(A260,'2024 summary '!A260:C1166,3,FALSE)</f>
        <v>8.4100000000000008E-6</v>
      </c>
      <c r="E260" s="505">
        <v>50426</v>
      </c>
      <c r="F260" s="460"/>
      <c r="G260" s="505">
        <v>8837</v>
      </c>
      <c r="H260" s="505">
        <v>6855</v>
      </c>
      <c r="I260" s="505">
        <v>0</v>
      </c>
      <c r="J260" s="505">
        <v>7264</v>
      </c>
      <c r="K260" s="505">
        <v>22956</v>
      </c>
      <c r="L260" s="460"/>
      <c r="M260" s="505">
        <v>59</v>
      </c>
      <c r="N260" s="505">
        <v>0</v>
      </c>
      <c r="O260" s="505">
        <v>0</v>
      </c>
      <c r="P260" s="505">
        <v>1224</v>
      </c>
      <c r="Q260" s="505">
        <v>1283</v>
      </c>
      <c r="R260" s="460"/>
      <c r="S260" s="505">
        <v>15085</v>
      </c>
      <c r="T260" s="505">
        <v>3935</v>
      </c>
      <c r="U260" s="505">
        <v>19020</v>
      </c>
      <c r="W260" s="454">
        <v>89357</v>
      </c>
      <c r="X260" s="454">
        <v>18401</v>
      </c>
    </row>
    <row r="261" spans="1:24">
      <c r="A261" s="458">
        <v>92651</v>
      </c>
      <c r="B261" s="518" t="s">
        <v>975</v>
      </c>
      <c r="C261" s="460">
        <f t="shared" si="4"/>
        <v>3.5699923699337923E-6</v>
      </c>
      <c r="D261" s="460">
        <f>VLOOKUP(A261,'2024 summary '!A261:C1167,3,FALSE)</f>
        <v>4.3100000000000002E-6</v>
      </c>
      <c r="E261" s="505">
        <v>24067</v>
      </c>
      <c r="F261" s="460"/>
      <c r="G261" s="505">
        <v>4217</v>
      </c>
      <c r="H261" s="505">
        <v>3272</v>
      </c>
      <c r="I261" s="505">
        <v>0</v>
      </c>
      <c r="J261" s="505">
        <v>518</v>
      </c>
      <c r="K261" s="505">
        <v>8007</v>
      </c>
      <c r="L261" s="460"/>
      <c r="M261" s="505">
        <v>28</v>
      </c>
      <c r="N261" s="505">
        <v>0</v>
      </c>
      <c r="O261" s="505">
        <v>0</v>
      </c>
      <c r="P261" s="505">
        <v>2317</v>
      </c>
      <c r="Q261" s="505">
        <v>2345</v>
      </c>
      <c r="R261" s="460"/>
      <c r="S261" s="505">
        <v>7200</v>
      </c>
      <c r="T261" s="505">
        <v>-204</v>
      </c>
      <c r="U261" s="505">
        <v>6996</v>
      </c>
      <c r="W261" s="454">
        <v>42648</v>
      </c>
      <c r="X261" s="454">
        <v>8782</v>
      </c>
    </row>
    <row r="262" spans="1:24">
      <c r="A262" s="458">
        <v>92661</v>
      </c>
      <c r="B262" s="518" t="s">
        <v>976</v>
      </c>
      <c r="C262" s="460">
        <f t="shared" si="4"/>
        <v>3.9748001639068392E-4</v>
      </c>
      <c r="D262" s="460">
        <f>VLOOKUP(A262,'2024 summary '!A262:C1168,3,FALSE)</f>
        <v>3.9444000000000002E-4</v>
      </c>
      <c r="E262" s="505">
        <v>2679600</v>
      </c>
      <c r="F262" s="460"/>
      <c r="G262" s="505">
        <v>469567</v>
      </c>
      <c r="H262" s="505">
        <v>364290</v>
      </c>
      <c r="I262" s="505">
        <v>0</v>
      </c>
      <c r="J262" s="505">
        <v>340895</v>
      </c>
      <c r="K262" s="505">
        <v>1174752</v>
      </c>
      <c r="L262" s="460"/>
      <c r="M262" s="505">
        <v>3157</v>
      </c>
      <c r="N262" s="505">
        <v>0</v>
      </c>
      <c r="O262" s="505">
        <v>0</v>
      </c>
      <c r="P262" s="505">
        <v>180214</v>
      </c>
      <c r="Q262" s="505">
        <v>183371</v>
      </c>
      <c r="R262" s="460"/>
      <c r="S262" s="505">
        <v>801620</v>
      </c>
      <c r="T262" s="505">
        <v>77235</v>
      </c>
      <c r="U262" s="505">
        <v>878855</v>
      </c>
      <c r="W262" s="454">
        <v>4748329</v>
      </c>
      <c r="X262" s="454">
        <v>977785</v>
      </c>
    </row>
    <row r="263" spans="1:24">
      <c r="A263" s="458">
        <v>92671</v>
      </c>
      <c r="B263" s="518" t="s">
        <v>977</v>
      </c>
      <c r="C263" s="460">
        <f t="shared" si="4"/>
        <v>2.6399282921723395E-6</v>
      </c>
      <c r="D263" s="460">
        <f>VLOOKUP(A263,'2024 summary '!A263:C1169,3,FALSE)</f>
        <v>2.57E-6</v>
      </c>
      <c r="E263" s="505">
        <v>17797</v>
      </c>
      <c r="F263" s="460"/>
      <c r="G263" s="505">
        <v>3119</v>
      </c>
      <c r="H263" s="505">
        <v>2420</v>
      </c>
      <c r="I263" s="505">
        <v>0</v>
      </c>
      <c r="J263" s="505">
        <v>10345</v>
      </c>
      <c r="K263" s="505">
        <v>15884</v>
      </c>
      <c r="L263" s="460"/>
      <c r="M263" s="505">
        <v>21</v>
      </c>
      <c r="N263" s="505">
        <v>0</v>
      </c>
      <c r="O263" s="505">
        <v>0</v>
      </c>
      <c r="P263" s="505">
        <v>0</v>
      </c>
      <c r="Q263" s="505">
        <v>21</v>
      </c>
      <c r="R263" s="460"/>
      <c r="S263" s="505">
        <v>5324</v>
      </c>
      <c r="T263" s="505">
        <v>6674</v>
      </c>
      <c r="U263" s="505">
        <v>11998</v>
      </c>
      <c r="W263" s="454">
        <v>31538</v>
      </c>
      <c r="X263" s="454">
        <v>6494</v>
      </c>
    </row>
    <row r="264" spans="1:24">
      <c r="A264" s="458">
        <v>92681</v>
      </c>
      <c r="B264" s="518" t="s">
        <v>978</v>
      </c>
      <c r="C264" s="460">
        <f t="shared" si="4"/>
        <v>7.3899301897923124E-6</v>
      </c>
      <c r="D264" s="460">
        <f>VLOOKUP(A264,'2024 summary '!A264:C1170,3,FALSE)</f>
        <v>8.14E-6</v>
      </c>
      <c r="E264" s="505">
        <v>49819</v>
      </c>
      <c r="F264" s="460"/>
      <c r="G264" s="505">
        <v>8730</v>
      </c>
      <c r="H264" s="505">
        <v>6773</v>
      </c>
      <c r="I264" s="505">
        <v>0</v>
      </c>
      <c r="J264" s="505">
        <v>0</v>
      </c>
      <c r="K264" s="505">
        <v>15503</v>
      </c>
      <c r="L264" s="460"/>
      <c r="M264" s="505">
        <v>59</v>
      </c>
      <c r="N264" s="505">
        <v>0</v>
      </c>
      <c r="O264" s="505">
        <v>0</v>
      </c>
      <c r="P264" s="505">
        <v>7429</v>
      </c>
      <c r="Q264" s="505">
        <v>7488</v>
      </c>
      <c r="R264" s="460"/>
      <c r="S264" s="505">
        <v>14904</v>
      </c>
      <c r="T264" s="505">
        <v>-3757</v>
      </c>
      <c r="U264" s="505">
        <v>11147</v>
      </c>
      <c r="W264" s="454">
        <v>88282</v>
      </c>
      <c r="X264" s="454">
        <v>18179</v>
      </c>
    </row>
    <row r="265" spans="1:24">
      <c r="A265" s="458">
        <v>92701</v>
      </c>
      <c r="B265" s="518" t="s">
        <v>979</v>
      </c>
      <c r="C265" s="460">
        <f t="shared" si="4"/>
        <v>2.8561600317950548E-3</v>
      </c>
      <c r="D265" s="460">
        <f>VLOOKUP(A265,'2024 summary '!A265:C1171,3,FALSE)</f>
        <v>2.9739200000000001E-3</v>
      </c>
      <c r="E265" s="505">
        <v>19254720</v>
      </c>
      <c r="F265" s="460"/>
      <c r="G265" s="505">
        <v>3374156</v>
      </c>
      <c r="H265" s="505">
        <v>2617668</v>
      </c>
      <c r="I265" s="505">
        <v>0</v>
      </c>
      <c r="J265" s="505">
        <v>101501</v>
      </c>
      <c r="K265" s="505">
        <v>6093325</v>
      </c>
      <c r="L265" s="460"/>
      <c r="M265" s="505">
        <v>22686</v>
      </c>
      <c r="N265" s="505">
        <v>0</v>
      </c>
      <c r="O265" s="505">
        <v>0</v>
      </c>
      <c r="P265" s="505">
        <v>710744</v>
      </c>
      <c r="Q265" s="505">
        <v>733430</v>
      </c>
      <c r="R265" s="460"/>
      <c r="S265" s="505">
        <v>5760178</v>
      </c>
      <c r="T265" s="505">
        <v>-220374</v>
      </c>
      <c r="U265" s="505">
        <v>5539804</v>
      </c>
      <c r="W265" s="454">
        <v>34119927</v>
      </c>
      <c r="X265" s="454">
        <v>7026042</v>
      </c>
    </row>
    <row r="266" spans="1:24">
      <c r="A266" s="458">
        <v>92704</v>
      </c>
      <c r="B266" s="518" t="s">
        <v>980</v>
      </c>
      <c r="C266" s="460">
        <f t="shared" ref="C266:C329" si="5">E266/$E$915</f>
        <v>3.2690046474161264E-5</v>
      </c>
      <c r="D266" s="460">
        <f>VLOOKUP(A266,'2024 summary '!A266:C1172,3,FALSE)</f>
        <v>3.6879999999999999E-5</v>
      </c>
      <c r="E266" s="505">
        <v>220379</v>
      </c>
      <c r="F266" s="460"/>
      <c r="G266" s="505">
        <v>38619</v>
      </c>
      <c r="H266" s="505">
        <v>29960</v>
      </c>
      <c r="I266" s="505">
        <v>0</v>
      </c>
      <c r="J266" s="505">
        <v>568</v>
      </c>
      <c r="K266" s="505">
        <v>69147</v>
      </c>
      <c r="L266" s="460"/>
      <c r="M266" s="505">
        <v>260</v>
      </c>
      <c r="N266" s="505">
        <v>0</v>
      </c>
      <c r="O266" s="505">
        <v>0</v>
      </c>
      <c r="P266" s="505">
        <v>16199</v>
      </c>
      <c r="Q266" s="505">
        <v>16459</v>
      </c>
      <c r="R266" s="460"/>
      <c r="S266" s="505">
        <v>65928</v>
      </c>
      <c r="T266" s="505">
        <v>-3538</v>
      </c>
      <c r="U266" s="505">
        <v>62390</v>
      </c>
      <c r="W266" s="454">
        <v>390517</v>
      </c>
      <c r="X266" s="454">
        <v>80416</v>
      </c>
    </row>
    <row r="267" spans="1:24">
      <c r="A267" s="458">
        <v>92801</v>
      </c>
      <c r="B267" s="518" t="s">
        <v>981</v>
      </c>
      <c r="C267" s="460">
        <f t="shared" si="5"/>
        <v>5.1659999793062968E-3</v>
      </c>
      <c r="D267" s="460">
        <f>VLOOKUP(A267,'2024 summary '!A267:C1173,3,FALSE)</f>
        <v>4.8968299999999996E-3</v>
      </c>
      <c r="E267" s="505">
        <v>34826439</v>
      </c>
      <c r="F267" s="460"/>
      <c r="G267" s="505">
        <v>6102911</v>
      </c>
      <c r="H267" s="505">
        <v>4734634</v>
      </c>
      <c r="I267" s="505">
        <v>0</v>
      </c>
      <c r="J267" s="505">
        <v>1099844</v>
      </c>
      <c r="K267" s="505">
        <v>11937389</v>
      </c>
      <c r="L267" s="460"/>
      <c r="M267" s="505">
        <v>41034</v>
      </c>
      <c r="N267" s="505">
        <v>0</v>
      </c>
      <c r="O267" s="505">
        <v>0</v>
      </c>
      <c r="P267" s="505">
        <v>1137730</v>
      </c>
      <c r="Q267" s="505">
        <v>1178764</v>
      </c>
      <c r="R267" s="460"/>
      <c r="S267" s="505">
        <v>10418561</v>
      </c>
      <c r="T267" s="505">
        <v>-174491</v>
      </c>
      <c r="U267" s="505">
        <v>10244070</v>
      </c>
      <c r="W267" s="454">
        <v>61713470</v>
      </c>
      <c r="X267" s="454">
        <v>12708159</v>
      </c>
    </row>
    <row r="268" spans="1:24">
      <c r="A268" s="458">
        <v>92802</v>
      </c>
      <c r="B268" s="518" t="s">
        <v>982</v>
      </c>
      <c r="C268" s="460">
        <f t="shared" si="5"/>
        <v>9.9159960918387047E-5</v>
      </c>
      <c r="D268" s="460">
        <f>VLOOKUP(A268,'2024 summary '!A268:C1174,3,FALSE)</f>
        <v>9.6310000000000005E-5</v>
      </c>
      <c r="E268" s="505">
        <v>668484</v>
      </c>
      <c r="F268" s="460"/>
      <c r="G268" s="505">
        <v>117144</v>
      </c>
      <c r="H268" s="505">
        <v>90880</v>
      </c>
      <c r="I268" s="505">
        <v>0</v>
      </c>
      <c r="J268" s="505">
        <v>31477</v>
      </c>
      <c r="K268" s="505">
        <v>239501</v>
      </c>
      <c r="L268" s="460"/>
      <c r="M268" s="505">
        <v>788</v>
      </c>
      <c r="N268" s="505">
        <v>0</v>
      </c>
      <c r="O268" s="505">
        <v>0</v>
      </c>
      <c r="P268" s="505">
        <v>27101</v>
      </c>
      <c r="Q268" s="505">
        <v>27889</v>
      </c>
      <c r="R268" s="460"/>
      <c r="S268" s="505">
        <v>199982</v>
      </c>
      <c r="T268" s="505">
        <v>-2492</v>
      </c>
      <c r="U268" s="505">
        <v>197490</v>
      </c>
      <c r="W268" s="454">
        <v>1184574</v>
      </c>
      <c r="X268" s="454">
        <v>243930</v>
      </c>
    </row>
    <row r="269" spans="1:24">
      <c r="A269" s="458">
        <v>92804</v>
      </c>
      <c r="B269" s="518" t="s">
        <v>983</v>
      </c>
      <c r="C269" s="460">
        <f t="shared" si="5"/>
        <v>1.465600017146169E-4</v>
      </c>
      <c r="D269" s="460">
        <f>VLOOKUP(A269,'2024 summary '!A269:C1175,3,FALSE)</f>
        <v>1.4651000000000001E-4</v>
      </c>
      <c r="E269" s="505">
        <v>988030</v>
      </c>
      <c r="F269" s="460"/>
      <c r="G269" s="505">
        <v>173140</v>
      </c>
      <c r="H269" s="505">
        <v>134322</v>
      </c>
      <c r="I269" s="505">
        <v>0</v>
      </c>
      <c r="J269" s="505">
        <v>8184</v>
      </c>
      <c r="K269" s="505">
        <v>315646</v>
      </c>
      <c r="L269" s="460"/>
      <c r="M269" s="505">
        <v>1164</v>
      </c>
      <c r="N269" s="505">
        <v>0</v>
      </c>
      <c r="O269" s="505">
        <v>0</v>
      </c>
      <c r="P269" s="505">
        <v>27543</v>
      </c>
      <c r="Q269" s="505">
        <v>28707</v>
      </c>
      <c r="R269" s="460"/>
      <c r="S269" s="505">
        <v>295576</v>
      </c>
      <c r="T269" s="505">
        <v>-14129</v>
      </c>
      <c r="U269" s="505">
        <v>281447</v>
      </c>
      <c r="W269" s="454">
        <v>1750818</v>
      </c>
      <c r="X269" s="454">
        <v>360532</v>
      </c>
    </row>
    <row r="270" spans="1:24">
      <c r="A270" s="458">
        <v>92811</v>
      </c>
      <c r="B270" s="518" t="s">
        <v>984</v>
      </c>
      <c r="C270" s="460">
        <f t="shared" si="5"/>
        <v>9.1471001035714461E-4</v>
      </c>
      <c r="D270" s="460">
        <f>VLOOKUP(A270,'2024 summary '!A270:C1176,3,FALSE)</f>
        <v>9.1297000000000004E-4</v>
      </c>
      <c r="E270" s="505">
        <v>6166491</v>
      </c>
      <c r="F270" s="460"/>
      <c r="G270" s="505">
        <v>1080603</v>
      </c>
      <c r="H270" s="505">
        <v>838331</v>
      </c>
      <c r="I270" s="505">
        <v>0</v>
      </c>
      <c r="J270" s="505">
        <v>77206</v>
      </c>
      <c r="K270" s="505">
        <v>1996140</v>
      </c>
      <c r="L270" s="460"/>
      <c r="M270" s="505">
        <v>7266</v>
      </c>
      <c r="N270" s="505">
        <v>0</v>
      </c>
      <c r="O270" s="505">
        <v>0</v>
      </c>
      <c r="P270" s="505">
        <v>79889</v>
      </c>
      <c r="Q270" s="505">
        <v>87155</v>
      </c>
      <c r="R270" s="460"/>
      <c r="S270" s="505">
        <v>1844747</v>
      </c>
      <c r="T270" s="505">
        <v>-14172</v>
      </c>
      <c r="U270" s="505">
        <v>1830575</v>
      </c>
      <c r="W270" s="454">
        <v>10927202</v>
      </c>
      <c r="X270" s="454">
        <v>2250151</v>
      </c>
    </row>
    <row r="271" spans="1:24">
      <c r="A271" s="458">
        <v>92821</v>
      </c>
      <c r="B271" s="518" t="s">
        <v>985</v>
      </c>
      <c r="C271" s="460">
        <f t="shared" si="5"/>
        <v>9.3378997082448469E-4</v>
      </c>
      <c r="D271" s="460">
        <f>VLOOKUP(A271,'2024 summary '!A271:C1177,3,FALSE)</f>
        <v>9.7282E-4</v>
      </c>
      <c r="E271" s="505">
        <v>6295118</v>
      </c>
      <c r="F271" s="460"/>
      <c r="G271" s="505">
        <v>1103143</v>
      </c>
      <c r="H271" s="505">
        <v>855818</v>
      </c>
      <c r="I271" s="505">
        <v>0</v>
      </c>
      <c r="J271" s="505">
        <v>83276</v>
      </c>
      <c r="K271" s="505">
        <v>2042237</v>
      </c>
      <c r="L271" s="460"/>
      <c r="M271" s="505">
        <v>7417</v>
      </c>
      <c r="N271" s="505">
        <v>0</v>
      </c>
      <c r="O271" s="505">
        <v>0</v>
      </c>
      <c r="P271" s="505">
        <v>65152</v>
      </c>
      <c r="Q271" s="505">
        <v>72569</v>
      </c>
      <c r="R271" s="460"/>
      <c r="S271" s="505">
        <v>1883227</v>
      </c>
      <c r="T271" s="505">
        <v>33888</v>
      </c>
      <c r="U271" s="505">
        <v>1917115</v>
      </c>
      <c r="W271" s="454">
        <v>11155134</v>
      </c>
      <c r="X271" s="454">
        <v>2297087</v>
      </c>
    </row>
    <row r="272" spans="1:24">
      <c r="A272" s="458">
        <v>92831</v>
      </c>
      <c r="B272" s="518" t="s">
        <v>986</v>
      </c>
      <c r="C272" s="460">
        <f t="shared" si="5"/>
        <v>2.8747998806007174E-4</v>
      </c>
      <c r="D272" s="460">
        <f>VLOOKUP(A272,'2024 summary '!A272:C1178,3,FALSE)</f>
        <v>2.945E-4</v>
      </c>
      <c r="E272" s="505">
        <v>1938038</v>
      </c>
      <c r="F272" s="460"/>
      <c r="G272" s="505">
        <v>339618</v>
      </c>
      <c r="H272" s="505">
        <v>263475</v>
      </c>
      <c r="I272" s="505">
        <v>0</v>
      </c>
      <c r="J272" s="505">
        <v>76321</v>
      </c>
      <c r="K272" s="505">
        <v>679414</v>
      </c>
      <c r="L272" s="460"/>
      <c r="M272" s="505">
        <v>2283</v>
      </c>
      <c r="N272" s="505">
        <v>0</v>
      </c>
      <c r="O272" s="505">
        <v>0</v>
      </c>
      <c r="P272" s="505">
        <v>36824</v>
      </c>
      <c r="Q272" s="505">
        <v>39107</v>
      </c>
      <c r="R272" s="460"/>
      <c r="S272" s="505">
        <v>579777</v>
      </c>
      <c r="T272" s="505">
        <v>38984</v>
      </c>
      <c r="U272" s="505">
        <v>618761</v>
      </c>
      <c r="W272" s="454">
        <v>3434260</v>
      </c>
      <c r="X272" s="454">
        <v>707190</v>
      </c>
    </row>
    <row r="273" spans="1:24">
      <c r="A273" s="458">
        <v>92841</v>
      </c>
      <c r="B273" s="518" t="s">
        <v>987</v>
      </c>
      <c r="C273" s="460">
        <f t="shared" si="5"/>
        <v>2.1653004247126041E-4</v>
      </c>
      <c r="D273" s="460">
        <f>VLOOKUP(A273,'2024 summary '!A273:C1179,3,FALSE)</f>
        <v>2.3801000000000001E-4</v>
      </c>
      <c r="E273" s="505">
        <v>1459731</v>
      </c>
      <c r="F273" s="460"/>
      <c r="G273" s="505">
        <v>255800</v>
      </c>
      <c r="H273" s="505">
        <v>198450</v>
      </c>
      <c r="I273" s="505">
        <v>0</v>
      </c>
      <c r="J273" s="505">
        <v>875</v>
      </c>
      <c r="K273" s="505">
        <v>455125</v>
      </c>
      <c r="L273" s="460"/>
      <c r="M273" s="505">
        <v>1720</v>
      </c>
      <c r="N273" s="505">
        <v>0</v>
      </c>
      <c r="O273" s="505">
        <v>0</v>
      </c>
      <c r="P273" s="505">
        <v>66515</v>
      </c>
      <c r="Q273" s="505">
        <v>68235</v>
      </c>
      <c r="R273" s="460"/>
      <c r="S273" s="505">
        <v>436688</v>
      </c>
      <c r="T273" s="505">
        <v>-9440</v>
      </c>
      <c r="U273" s="505">
        <v>427248</v>
      </c>
      <c r="W273" s="454">
        <v>2586686</v>
      </c>
      <c r="X273" s="454">
        <v>532655</v>
      </c>
    </row>
    <row r="274" spans="1:24">
      <c r="A274" s="458">
        <v>92851</v>
      </c>
      <c r="B274" s="518" t="s">
        <v>988</v>
      </c>
      <c r="C274" s="460">
        <f t="shared" si="5"/>
        <v>3.6169999147890716E-4</v>
      </c>
      <c r="D274" s="460">
        <f>VLOOKUP(A274,'2024 summary '!A274:C1180,3,FALSE)</f>
        <v>3.6129000000000001E-4</v>
      </c>
      <c r="E274" s="505">
        <v>2438390</v>
      </c>
      <c r="F274" s="460"/>
      <c r="G274" s="505">
        <v>427298</v>
      </c>
      <c r="H274" s="505">
        <v>331498</v>
      </c>
      <c r="I274" s="505">
        <v>0</v>
      </c>
      <c r="J274" s="505">
        <v>19971</v>
      </c>
      <c r="K274" s="505">
        <v>778767</v>
      </c>
      <c r="L274" s="460"/>
      <c r="M274" s="505">
        <v>2873</v>
      </c>
      <c r="N274" s="505">
        <v>0</v>
      </c>
      <c r="O274" s="505">
        <v>0</v>
      </c>
      <c r="P274" s="505">
        <v>63191</v>
      </c>
      <c r="Q274" s="505">
        <v>66064</v>
      </c>
      <c r="R274" s="460"/>
      <c r="S274" s="505">
        <v>729461</v>
      </c>
      <c r="T274" s="505">
        <v>-29289</v>
      </c>
      <c r="U274" s="505">
        <v>700172</v>
      </c>
      <c r="W274" s="454">
        <v>4320899</v>
      </c>
      <c r="X274" s="454">
        <v>889768</v>
      </c>
    </row>
    <row r="275" spans="1:24">
      <c r="A275" s="458">
        <v>92861</v>
      </c>
      <c r="B275" s="518" t="s">
        <v>989</v>
      </c>
      <c r="C275" s="460">
        <f t="shared" si="5"/>
        <v>3.5371004387371692E-4</v>
      </c>
      <c r="D275" s="460">
        <f>VLOOKUP(A275,'2024 summary '!A275:C1181,3,FALSE)</f>
        <v>3.9179999999999998E-4</v>
      </c>
      <c r="E275" s="505">
        <v>2384526</v>
      </c>
      <c r="F275" s="460"/>
      <c r="G275" s="505">
        <v>417859</v>
      </c>
      <c r="H275" s="505">
        <v>324175</v>
      </c>
      <c r="I275" s="505">
        <v>0</v>
      </c>
      <c r="J275" s="505">
        <v>41487</v>
      </c>
      <c r="K275" s="505">
        <v>783521</v>
      </c>
      <c r="L275" s="460"/>
      <c r="M275" s="505">
        <v>2810</v>
      </c>
      <c r="N275" s="505">
        <v>0</v>
      </c>
      <c r="O275" s="505">
        <v>0</v>
      </c>
      <c r="P275" s="505">
        <v>201119</v>
      </c>
      <c r="Q275" s="505">
        <v>203929</v>
      </c>
      <c r="R275" s="460"/>
      <c r="S275" s="505">
        <v>713347</v>
      </c>
      <c r="T275" s="505">
        <v>-70906</v>
      </c>
      <c r="U275" s="505">
        <v>642441</v>
      </c>
      <c r="W275" s="454">
        <v>4225449</v>
      </c>
      <c r="X275" s="454">
        <v>870113</v>
      </c>
    </row>
    <row r="276" spans="1:24">
      <c r="A276" s="458">
        <v>92901</v>
      </c>
      <c r="B276" s="518" t="s">
        <v>990</v>
      </c>
      <c r="C276" s="460">
        <f t="shared" si="5"/>
        <v>5.1222500320924399E-3</v>
      </c>
      <c r="D276" s="460">
        <f>VLOOKUP(A276,'2024 summary '!A276:C1182,3,FALSE)</f>
        <v>4.9617899999999998E-3</v>
      </c>
      <c r="E276" s="505">
        <v>34531500</v>
      </c>
      <c r="F276" s="460"/>
      <c r="G276" s="505">
        <v>6051226</v>
      </c>
      <c r="H276" s="505">
        <v>4694537</v>
      </c>
      <c r="I276" s="505">
        <v>0</v>
      </c>
      <c r="J276" s="505">
        <v>816009</v>
      </c>
      <c r="K276" s="505">
        <v>11561772</v>
      </c>
      <c r="L276" s="460"/>
      <c r="M276" s="505">
        <v>40686</v>
      </c>
      <c r="N276" s="505">
        <v>0</v>
      </c>
      <c r="O276" s="505">
        <v>0</v>
      </c>
      <c r="P276" s="505">
        <v>569614</v>
      </c>
      <c r="Q276" s="505">
        <v>610300</v>
      </c>
      <c r="R276" s="460"/>
      <c r="S276" s="505">
        <v>10330328</v>
      </c>
      <c r="T276" s="505">
        <v>-14237</v>
      </c>
      <c r="U276" s="505">
        <v>10316091</v>
      </c>
      <c r="W276" s="454">
        <v>61190829</v>
      </c>
      <c r="X276" s="454">
        <v>12600535</v>
      </c>
    </row>
    <row r="277" spans="1:24">
      <c r="A277" s="458">
        <v>92911</v>
      </c>
      <c r="B277" s="518" t="s">
        <v>991</v>
      </c>
      <c r="C277" s="460">
        <f t="shared" si="5"/>
        <v>1.6468600124248461E-3</v>
      </c>
      <c r="D277" s="460">
        <f>VLOOKUP(A277,'2024 summary '!A277:C1183,3,FALSE)</f>
        <v>1.8006000000000001E-3</v>
      </c>
      <c r="E277" s="505">
        <v>11102259</v>
      </c>
      <c r="F277" s="460"/>
      <c r="G277" s="505">
        <v>1945536</v>
      </c>
      <c r="H277" s="505">
        <v>1509346</v>
      </c>
      <c r="I277" s="505">
        <v>0</v>
      </c>
      <c r="J277" s="505">
        <v>25974</v>
      </c>
      <c r="K277" s="505">
        <v>3480856</v>
      </c>
      <c r="L277" s="460"/>
      <c r="M277" s="505">
        <v>13081</v>
      </c>
      <c r="N277" s="505">
        <v>0</v>
      </c>
      <c r="O277" s="505">
        <v>0</v>
      </c>
      <c r="P277" s="505">
        <v>520592</v>
      </c>
      <c r="Q277" s="505">
        <v>533673</v>
      </c>
      <c r="R277" s="460"/>
      <c r="S277" s="505">
        <v>3321315</v>
      </c>
      <c r="T277" s="505">
        <v>-148810</v>
      </c>
      <c r="U277" s="505">
        <v>3172505</v>
      </c>
      <c r="W277" s="454">
        <v>19673528</v>
      </c>
      <c r="X277" s="454">
        <v>4051211</v>
      </c>
    </row>
    <row r="278" spans="1:24">
      <c r="A278" s="458">
        <v>92913</v>
      </c>
      <c r="B278" s="518" t="s">
        <v>992</v>
      </c>
      <c r="C278" s="460">
        <f t="shared" si="5"/>
        <v>1.2900003592109205E-5</v>
      </c>
      <c r="D278" s="460">
        <f>VLOOKUP(A278,'2024 summary '!A278:C1184,3,FALSE)</f>
        <v>1.7940000000000001E-5</v>
      </c>
      <c r="E278" s="505">
        <v>86965</v>
      </c>
      <c r="F278" s="460"/>
      <c r="G278" s="505">
        <v>15240</v>
      </c>
      <c r="H278" s="505">
        <v>11823</v>
      </c>
      <c r="I278" s="505">
        <v>0</v>
      </c>
      <c r="J278" s="505">
        <v>43818</v>
      </c>
      <c r="K278" s="505">
        <v>70881</v>
      </c>
      <c r="L278" s="460"/>
      <c r="M278" s="505">
        <v>102</v>
      </c>
      <c r="N278" s="505">
        <v>0</v>
      </c>
      <c r="O278" s="505">
        <v>0</v>
      </c>
      <c r="P278" s="505">
        <v>5486</v>
      </c>
      <c r="Q278" s="505">
        <v>5588</v>
      </c>
      <c r="R278" s="460"/>
      <c r="S278" s="505">
        <v>26016</v>
      </c>
      <c r="T278" s="505">
        <v>39424</v>
      </c>
      <c r="U278" s="505">
        <v>65440</v>
      </c>
      <c r="W278" s="454">
        <v>154104</v>
      </c>
      <c r="X278" s="454">
        <v>31733</v>
      </c>
    </row>
    <row r="279" spans="1:24">
      <c r="A279" s="458">
        <v>92914</v>
      </c>
      <c r="B279" s="518" t="s">
        <v>993</v>
      </c>
      <c r="C279" s="460">
        <f t="shared" si="5"/>
        <v>4.1150069527904312E-5</v>
      </c>
      <c r="D279" s="460">
        <f>VLOOKUP(A279,'2024 summary '!A279:C1185,3,FALSE)</f>
        <v>3.2610000000000001E-5</v>
      </c>
      <c r="E279" s="505">
        <v>277412</v>
      </c>
      <c r="F279" s="460"/>
      <c r="G279" s="505">
        <v>48613</v>
      </c>
      <c r="H279" s="505">
        <v>37714</v>
      </c>
      <c r="I279" s="505">
        <v>0</v>
      </c>
      <c r="J279" s="505">
        <v>27031</v>
      </c>
      <c r="K279" s="505">
        <v>113358</v>
      </c>
      <c r="L279" s="460"/>
      <c r="M279" s="505">
        <v>327</v>
      </c>
      <c r="N279" s="505">
        <v>0</v>
      </c>
      <c r="O279" s="505">
        <v>0</v>
      </c>
      <c r="P279" s="505">
        <v>7939</v>
      </c>
      <c r="Q279" s="505">
        <v>8266</v>
      </c>
      <c r="R279" s="460"/>
      <c r="S279" s="505">
        <v>82990</v>
      </c>
      <c r="T279" s="505">
        <v>11959</v>
      </c>
      <c r="U279" s="505">
        <v>94949</v>
      </c>
      <c r="W279" s="454">
        <v>491581</v>
      </c>
      <c r="X279" s="454">
        <v>101227</v>
      </c>
    </row>
    <row r="280" spans="1:24">
      <c r="A280" s="458">
        <v>92917</v>
      </c>
      <c r="B280" s="518" t="s">
        <v>994</v>
      </c>
      <c r="C280" s="460">
        <f t="shared" si="5"/>
        <v>4.3939965090031491E-5</v>
      </c>
      <c r="D280" s="460">
        <f>VLOOKUP(A280,'2024 summary '!A280:C1186,3,FALSE)</f>
        <v>4.6140000000000002E-5</v>
      </c>
      <c r="E280" s="505">
        <v>296220</v>
      </c>
      <c r="F280" s="460"/>
      <c r="G280" s="505">
        <v>51909</v>
      </c>
      <c r="H280" s="505">
        <v>40271</v>
      </c>
      <c r="I280" s="505">
        <v>0</v>
      </c>
      <c r="J280" s="505">
        <v>29400</v>
      </c>
      <c r="K280" s="505">
        <v>121580</v>
      </c>
      <c r="L280" s="460"/>
      <c r="M280" s="505">
        <v>349</v>
      </c>
      <c r="N280" s="505">
        <v>0</v>
      </c>
      <c r="O280" s="505">
        <v>0</v>
      </c>
      <c r="P280" s="505">
        <v>2329</v>
      </c>
      <c r="Q280" s="505">
        <v>2678</v>
      </c>
      <c r="R280" s="460"/>
      <c r="S280" s="505">
        <v>88616</v>
      </c>
      <c r="T280" s="505">
        <v>25917</v>
      </c>
      <c r="U280" s="505">
        <v>114533</v>
      </c>
      <c r="W280" s="454">
        <v>524911</v>
      </c>
      <c r="X280" s="454">
        <v>108091</v>
      </c>
    </row>
    <row r="281" spans="1:24">
      <c r="A281" s="458">
        <v>92921</v>
      </c>
      <c r="B281" s="518" t="s">
        <v>995</v>
      </c>
      <c r="C281" s="460">
        <f t="shared" si="5"/>
        <v>7.3660036609656898E-5</v>
      </c>
      <c r="D281" s="460">
        <f>VLOOKUP(A281,'2024 summary '!A281:C1187,3,FALSE)</f>
        <v>7.3180000000000001E-5</v>
      </c>
      <c r="E281" s="505">
        <v>496577</v>
      </c>
      <c r="F281" s="460"/>
      <c r="G281" s="505">
        <v>87019</v>
      </c>
      <c r="H281" s="505">
        <v>67509</v>
      </c>
      <c r="I281" s="505">
        <v>0</v>
      </c>
      <c r="J281" s="505">
        <v>39553</v>
      </c>
      <c r="K281" s="505">
        <v>194081</v>
      </c>
      <c r="L281" s="460"/>
      <c r="M281" s="505">
        <v>585</v>
      </c>
      <c r="N281" s="505">
        <v>0</v>
      </c>
      <c r="O281" s="505">
        <v>0</v>
      </c>
      <c r="P281" s="505">
        <v>9897</v>
      </c>
      <c r="Q281" s="505">
        <v>10482</v>
      </c>
      <c r="R281" s="460"/>
      <c r="S281" s="505">
        <v>148554</v>
      </c>
      <c r="T281" s="505">
        <v>7371</v>
      </c>
      <c r="U281" s="505">
        <v>155925</v>
      </c>
      <c r="W281" s="454">
        <v>879949</v>
      </c>
      <c r="X281" s="454">
        <v>181201</v>
      </c>
    </row>
    <row r="282" spans="1:24">
      <c r="A282" s="458">
        <v>92931</v>
      </c>
      <c r="B282" s="518" t="s">
        <v>996</v>
      </c>
      <c r="C282" s="460">
        <f t="shared" si="5"/>
        <v>2.3462800657477459E-3</v>
      </c>
      <c r="D282" s="460">
        <f>VLOOKUP(A282,'2024 summary '!A282:C1188,3,FALSE)</f>
        <v>2.2914900000000002E-3</v>
      </c>
      <c r="E282" s="505">
        <v>15817379</v>
      </c>
      <c r="F282" s="460"/>
      <c r="G282" s="505">
        <v>2771804</v>
      </c>
      <c r="H282" s="505">
        <v>2150363</v>
      </c>
      <c r="I282" s="505">
        <v>0</v>
      </c>
      <c r="J282" s="505">
        <v>198847</v>
      </c>
      <c r="K282" s="505">
        <v>5121014</v>
      </c>
      <c r="L282" s="460"/>
      <c r="M282" s="505">
        <v>18637</v>
      </c>
      <c r="N282" s="505">
        <v>0</v>
      </c>
      <c r="O282" s="505">
        <v>0</v>
      </c>
      <c r="P282" s="505">
        <v>26589</v>
      </c>
      <c r="Q282" s="505">
        <v>45226</v>
      </c>
      <c r="R282" s="460"/>
      <c r="S282" s="505">
        <v>4731874</v>
      </c>
      <c r="T282" s="505">
        <v>5279</v>
      </c>
      <c r="U282" s="505">
        <v>4737153</v>
      </c>
      <c r="W282" s="454">
        <v>28028858</v>
      </c>
      <c r="X282" s="454">
        <v>5771757</v>
      </c>
    </row>
    <row r="283" spans="1:24">
      <c r="A283" s="458">
        <v>92941</v>
      </c>
      <c r="B283" s="518" t="s">
        <v>81</v>
      </c>
      <c r="C283" s="460">
        <f t="shared" si="5"/>
        <v>3.4799526737294536E-6</v>
      </c>
      <c r="D283" s="460">
        <f>VLOOKUP(A283,'2024 summary '!A283:C1189,3,FALSE)</f>
        <v>0</v>
      </c>
      <c r="E283" s="505">
        <v>23460</v>
      </c>
      <c r="F283" s="460"/>
      <c r="G283" s="505">
        <v>4111</v>
      </c>
      <c r="H283" s="505">
        <v>3189</v>
      </c>
      <c r="I283" s="505">
        <v>0</v>
      </c>
      <c r="J283" s="505">
        <v>11542</v>
      </c>
      <c r="K283" s="505">
        <v>18842</v>
      </c>
      <c r="L283" s="460"/>
      <c r="M283" s="505">
        <v>28</v>
      </c>
      <c r="N283" s="505">
        <v>0</v>
      </c>
      <c r="O283" s="505">
        <v>0</v>
      </c>
      <c r="P283" s="505">
        <v>6552</v>
      </c>
      <c r="Q283" s="505">
        <v>6580</v>
      </c>
      <c r="R283" s="460"/>
      <c r="S283" s="505">
        <v>7018</v>
      </c>
      <c r="T283" s="505">
        <v>1324</v>
      </c>
      <c r="U283" s="505">
        <v>8342</v>
      </c>
      <c r="W283" s="454">
        <v>41572</v>
      </c>
      <c r="X283" s="454">
        <v>8561</v>
      </c>
    </row>
    <row r="284" spans="1:24">
      <c r="A284" s="458">
        <v>93001</v>
      </c>
      <c r="B284" s="518" t="s">
        <v>997</v>
      </c>
      <c r="C284" s="460">
        <f t="shared" si="5"/>
        <v>2.3414800747601407E-3</v>
      </c>
      <c r="D284" s="460">
        <f>VLOOKUP(A284,'2024 summary '!A284:C1190,3,FALSE)</f>
        <v>2.4984299999999998E-3</v>
      </c>
      <c r="E284" s="505">
        <v>15785020</v>
      </c>
      <c r="F284" s="460"/>
      <c r="G284" s="505">
        <v>2766133</v>
      </c>
      <c r="H284" s="505">
        <v>2145964</v>
      </c>
      <c r="I284" s="505">
        <v>0</v>
      </c>
      <c r="J284" s="505">
        <v>154639</v>
      </c>
      <c r="K284" s="505">
        <v>5066736</v>
      </c>
      <c r="L284" s="460"/>
      <c r="M284" s="505">
        <v>18598</v>
      </c>
      <c r="N284" s="505">
        <v>0</v>
      </c>
      <c r="O284" s="505">
        <v>0</v>
      </c>
      <c r="P284" s="505">
        <v>612389</v>
      </c>
      <c r="Q284" s="505">
        <v>630987</v>
      </c>
      <c r="R284" s="460"/>
      <c r="S284" s="505">
        <v>4722194</v>
      </c>
      <c r="T284" s="505">
        <v>-33137</v>
      </c>
      <c r="U284" s="505">
        <v>4689057</v>
      </c>
      <c r="W284" s="454">
        <v>27971517</v>
      </c>
      <c r="X284" s="454">
        <v>5759949</v>
      </c>
    </row>
    <row r="285" spans="1:24">
      <c r="A285" s="458">
        <v>93009</v>
      </c>
      <c r="B285" s="518" t="s">
        <v>998</v>
      </c>
      <c r="C285" s="460">
        <f t="shared" si="5"/>
        <v>8.2900304806785164E-6</v>
      </c>
      <c r="D285" s="460">
        <f>VLOOKUP(A285,'2024 summary '!A285:C1191,3,FALSE)</f>
        <v>4.4100000000000001E-6</v>
      </c>
      <c r="E285" s="505">
        <v>55887</v>
      </c>
      <c r="F285" s="460"/>
      <c r="G285" s="505">
        <v>9793</v>
      </c>
      <c r="H285" s="505">
        <v>7598</v>
      </c>
      <c r="I285" s="505">
        <v>0</v>
      </c>
      <c r="J285" s="505">
        <v>10506</v>
      </c>
      <c r="K285" s="505">
        <v>27897</v>
      </c>
      <c r="L285" s="460"/>
      <c r="M285" s="505">
        <v>66</v>
      </c>
      <c r="N285" s="505">
        <v>0</v>
      </c>
      <c r="O285" s="505">
        <v>0</v>
      </c>
      <c r="P285" s="505">
        <v>1581</v>
      </c>
      <c r="Q285" s="505">
        <v>1647</v>
      </c>
      <c r="R285" s="460"/>
      <c r="S285" s="505">
        <v>16719</v>
      </c>
      <c r="T285" s="505">
        <v>-942</v>
      </c>
      <c r="U285" s="505">
        <v>15777</v>
      </c>
      <c r="W285" s="454">
        <v>99033</v>
      </c>
      <c r="X285" s="454">
        <v>20393</v>
      </c>
    </row>
    <row r="286" spans="1:24">
      <c r="A286" s="458">
        <v>93011</v>
      </c>
      <c r="B286" s="518" t="s">
        <v>999</v>
      </c>
      <c r="C286" s="460">
        <f t="shared" si="5"/>
        <v>1.8051994907709008E-4</v>
      </c>
      <c r="D286" s="460">
        <f>VLOOKUP(A286,'2024 summary '!A286:C1192,3,FALSE)</f>
        <v>1.8375999999999999E-4</v>
      </c>
      <c r="E286" s="505">
        <v>1216970</v>
      </c>
      <c r="F286" s="460"/>
      <c r="G286" s="505">
        <v>213259</v>
      </c>
      <c r="H286" s="505">
        <v>165446</v>
      </c>
      <c r="I286" s="505">
        <v>0</v>
      </c>
      <c r="J286" s="505">
        <v>21502</v>
      </c>
      <c r="K286" s="505">
        <v>400207</v>
      </c>
      <c r="L286" s="460"/>
      <c r="M286" s="505">
        <v>1434</v>
      </c>
      <c r="N286" s="505">
        <v>0</v>
      </c>
      <c r="O286" s="505">
        <v>0</v>
      </c>
      <c r="P286" s="505">
        <v>104951</v>
      </c>
      <c r="Q286" s="505">
        <v>106385</v>
      </c>
      <c r="R286" s="460"/>
      <c r="S286" s="505">
        <v>364065</v>
      </c>
      <c r="T286" s="505">
        <v>-90188</v>
      </c>
      <c r="U286" s="505">
        <v>273877</v>
      </c>
      <c r="W286" s="454">
        <v>2156507</v>
      </c>
      <c r="X286" s="454">
        <v>444072</v>
      </c>
    </row>
    <row r="287" spans="1:24">
      <c r="A287" s="458">
        <v>93021</v>
      </c>
      <c r="B287" s="518" t="s">
        <v>1000</v>
      </c>
      <c r="C287" s="460">
        <f t="shared" si="5"/>
        <v>1.8409928658847507E-5</v>
      </c>
      <c r="D287" s="460">
        <f>VLOOKUP(A287,'2024 summary '!A287:C1193,3,FALSE)</f>
        <v>1.963E-5</v>
      </c>
      <c r="E287" s="505">
        <v>124110</v>
      </c>
      <c r="F287" s="460"/>
      <c r="G287" s="505">
        <v>21749</v>
      </c>
      <c r="H287" s="505">
        <v>16873</v>
      </c>
      <c r="I287" s="505">
        <v>0</v>
      </c>
      <c r="J287" s="505">
        <v>8700</v>
      </c>
      <c r="K287" s="505">
        <v>47322</v>
      </c>
      <c r="L287" s="460"/>
      <c r="M287" s="505">
        <v>146</v>
      </c>
      <c r="N287" s="505">
        <v>0</v>
      </c>
      <c r="O287" s="505">
        <v>0</v>
      </c>
      <c r="P287" s="505">
        <v>9616</v>
      </c>
      <c r="Q287" s="505">
        <v>9762</v>
      </c>
      <c r="R287" s="460"/>
      <c r="S287" s="505">
        <v>37128</v>
      </c>
      <c r="T287" s="505">
        <v>-3266</v>
      </c>
      <c r="U287" s="505">
        <v>33862</v>
      </c>
      <c r="W287" s="454">
        <v>219927</v>
      </c>
      <c r="X287" s="454">
        <v>45288</v>
      </c>
    </row>
    <row r="288" spans="1:24">
      <c r="A288" s="458">
        <v>93027</v>
      </c>
      <c r="B288" s="518" t="s">
        <v>1001</v>
      </c>
      <c r="C288" s="460">
        <f t="shared" si="5"/>
        <v>0</v>
      </c>
      <c r="D288" s="460">
        <f>VLOOKUP(A288,'2024 summary '!A288:C1194,3,FALSE)</f>
        <v>0</v>
      </c>
      <c r="E288" s="505">
        <v>0</v>
      </c>
      <c r="F288" s="460"/>
      <c r="G288" s="505">
        <v>0</v>
      </c>
      <c r="H288" s="505">
        <v>0</v>
      </c>
      <c r="I288" s="505">
        <v>0</v>
      </c>
      <c r="J288" s="505">
        <v>0</v>
      </c>
      <c r="K288" s="505">
        <v>0</v>
      </c>
      <c r="L288" s="460"/>
      <c r="M288" s="505">
        <v>0</v>
      </c>
      <c r="N288" s="505">
        <v>0</v>
      </c>
      <c r="O288" s="505">
        <v>0</v>
      </c>
      <c r="P288" s="505">
        <v>0</v>
      </c>
      <c r="Q288" s="505">
        <v>0</v>
      </c>
      <c r="R288" s="460"/>
      <c r="S288" s="505">
        <v>0</v>
      </c>
      <c r="T288" s="505">
        <v>0</v>
      </c>
      <c r="U288" s="505">
        <v>0</v>
      </c>
      <c r="W288" s="454">
        <v>0</v>
      </c>
      <c r="X288" s="454">
        <v>0</v>
      </c>
    </row>
    <row r="289" spans="1:24">
      <c r="A289" s="458">
        <v>93028</v>
      </c>
      <c r="B289" s="518" t="s">
        <v>3609</v>
      </c>
      <c r="C289" s="460">
        <f t="shared" si="5"/>
        <v>1.5129932345057836E-5</v>
      </c>
      <c r="D289" s="460">
        <f>VLOOKUP(A289,'2024 summary '!A289:C1195,3,FALSE)</f>
        <v>1.1209999999999999E-5</v>
      </c>
      <c r="E289" s="505">
        <v>101998</v>
      </c>
      <c r="F289" s="460"/>
      <c r="G289" s="505">
        <v>17874</v>
      </c>
      <c r="H289" s="505">
        <v>13867</v>
      </c>
      <c r="I289" s="505">
        <v>0</v>
      </c>
      <c r="J289" s="505">
        <v>13985</v>
      </c>
      <c r="K289" s="505">
        <v>45726</v>
      </c>
      <c r="L289" s="460"/>
      <c r="M289" s="505">
        <v>120</v>
      </c>
      <c r="N289" s="505">
        <v>0</v>
      </c>
      <c r="O289" s="505">
        <v>0</v>
      </c>
      <c r="P289" s="505">
        <v>19206</v>
      </c>
      <c r="Q289" s="505">
        <v>19326</v>
      </c>
      <c r="R289" s="460"/>
      <c r="S289" s="505">
        <v>30514</v>
      </c>
      <c r="T289" s="505">
        <v>-5598</v>
      </c>
      <c r="U289" s="505">
        <v>24916</v>
      </c>
      <c r="W289" s="454">
        <v>180744</v>
      </c>
      <c r="X289" s="454">
        <v>37219</v>
      </c>
    </row>
    <row r="290" spans="1:24">
      <c r="A290" s="458">
        <v>93031</v>
      </c>
      <c r="B290" s="518" t="s">
        <v>1002</v>
      </c>
      <c r="C290" s="460">
        <f t="shared" si="5"/>
        <v>0</v>
      </c>
      <c r="D290" s="460">
        <f>VLOOKUP(A290,'2024 summary '!A290:C1196,3,FALSE)</f>
        <v>7.43E-6</v>
      </c>
      <c r="E290" s="505">
        <v>0</v>
      </c>
      <c r="F290" s="460"/>
      <c r="G290" s="505">
        <v>0</v>
      </c>
      <c r="H290" s="505">
        <v>0</v>
      </c>
      <c r="I290" s="505">
        <v>0</v>
      </c>
      <c r="J290" s="505">
        <v>11757</v>
      </c>
      <c r="K290" s="505">
        <v>11757</v>
      </c>
      <c r="L290" s="460"/>
      <c r="M290" s="505">
        <v>0</v>
      </c>
      <c r="N290" s="505">
        <v>0</v>
      </c>
      <c r="O290" s="505">
        <v>0</v>
      </c>
      <c r="P290" s="505">
        <v>30979</v>
      </c>
      <c r="Q290" s="505">
        <v>30979</v>
      </c>
      <c r="R290" s="460"/>
      <c r="S290" s="505">
        <v>0</v>
      </c>
      <c r="T290" s="505">
        <v>-2158</v>
      </c>
      <c r="U290" s="505">
        <v>-2158</v>
      </c>
      <c r="W290" s="454">
        <v>0</v>
      </c>
      <c r="X290" s="454">
        <v>0</v>
      </c>
    </row>
    <row r="291" spans="1:24">
      <c r="A291" s="458">
        <v>93101</v>
      </c>
      <c r="B291" s="518" t="s">
        <v>1003</v>
      </c>
      <c r="C291" s="460">
        <f t="shared" si="5"/>
        <v>2.5993699332674323E-3</v>
      </c>
      <c r="D291" s="460">
        <f>VLOOKUP(A291,'2024 summary '!A291:C1197,3,FALSE)</f>
        <v>2.7228999999999999E-3</v>
      </c>
      <c r="E291" s="505">
        <v>17523577</v>
      </c>
      <c r="F291" s="460"/>
      <c r="G291" s="505">
        <v>3070794</v>
      </c>
      <c r="H291" s="505">
        <v>2382320</v>
      </c>
      <c r="I291" s="505">
        <v>0</v>
      </c>
      <c r="J291" s="505">
        <v>80834</v>
      </c>
      <c r="K291" s="505">
        <v>5533948</v>
      </c>
      <c r="L291" s="460"/>
      <c r="M291" s="505">
        <v>20647</v>
      </c>
      <c r="N291" s="505">
        <v>0</v>
      </c>
      <c r="O291" s="505">
        <v>0</v>
      </c>
      <c r="P291" s="505">
        <v>763260</v>
      </c>
      <c r="Q291" s="505">
        <v>783907</v>
      </c>
      <c r="R291" s="460"/>
      <c r="S291" s="505">
        <v>5242295</v>
      </c>
      <c r="T291" s="505">
        <v>-309927</v>
      </c>
      <c r="U291" s="505">
        <v>4932368</v>
      </c>
      <c r="W291" s="454">
        <v>31052292</v>
      </c>
      <c r="X291" s="454">
        <v>6394349</v>
      </c>
    </row>
    <row r="292" spans="1:24">
      <c r="A292" s="458">
        <v>93103</v>
      </c>
      <c r="B292" s="518" t="s">
        <v>260</v>
      </c>
      <c r="C292" s="460">
        <f t="shared" si="5"/>
        <v>0</v>
      </c>
      <c r="D292" s="460">
        <f>VLOOKUP(A292,'2024 summary '!A292:C1198,3,FALSE)</f>
        <v>0</v>
      </c>
      <c r="E292" s="505">
        <v>0</v>
      </c>
      <c r="F292" s="460"/>
      <c r="G292" s="505">
        <v>0</v>
      </c>
      <c r="H292" s="505">
        <v>0</v>
      </c>
      <c r="I292" s="505">
        <v>0</v>
      </c>
      <c r="J292" s="505">
        <v>0</v>
      </c>
      <c r="K292" s="505">
        <v>0</v>
      </c>
      <c r="L292" s="460"/>
      <c r="M292" s="505">
        <v>0</v>
      </c>
      <c r="N292" s="505">
        <v>0</v>
      </c>
      <c r="O292" s="505">
        <v>0</v>
      </c>
      <c r="P292" s="505">
        <v>0</v>
      </c>
      <c r="Q292" s="505">
        <v>0</v>
      </c>
      <c r="R292" s="460"/>
      <c r="S292" s="505">
        <v>0</v>
      </c>
      <c r="T292" s="505">
        <v>-9532</v>
      </c>
      <c r="U292" s="505">
        <v>-9532</v>
      </c>
      <c r="W292" s="454">
        <v>0</v>
      </c>
      <c r="X292" s="454">
        <v>0</v>
      </c>
    </row>
    <row r="293" spans="1:24">
      <c r="A293" s="458">
        <v>93108</v>
      </c>
      <c r="B293" s="518" t="s">
        <v>1004</v>
      </c>
      <c r="C293" s="460">
        <f t="shared" si="5"/>
        <v>3.9001400488263261E-3</v>
      </c>
      <c r="D293" s="460">
        <f>VLOOKUP(A293,'2024 summary '!A293:C1199,3,FALSE)</f>
        <v>3.4125800000000001E-3</v>
      </c>
      <c r="E293" s="505">
        <v>26292681</v>
      </c>
      <c r="F293" s="460"/>
      <c r="G293" s="505">
        <v>4607473</v>
      </c>
      <c r="H293" s="505">
        <v>3574474</v>
      </c>
      <c r="I293" s="505">
        <v>0</v>
      </c>
      <c r="J293" s="505">
        <v>1383952</v>
      </c>
      <c r="K293" s="505">
        <v>9565899</v>
      </c>
      <c r="L293" s="460"/>
      <c r="M293" s="505">
        <v>30979</v>
      </c>
      <c r="N293" s="505">
        <v>0</v>
      </c>
      <c r="O293" s="505">
        <v>0</v>
      </c>
      <c r="P293" s="505">
        <v>21621</v>
      </c>
      <c r="Q293" s="505">
        <v>52600</v>
      </c>
      <c r="R293" s="460"/>
      <c r="S293" s="505">
        <v>7865631</v>
      </c>
      <c r="T293" s="505">
        <v>855419</v>
      </c>
      <c r="U293" s="505">
        <v>8721050</v>
      </c>
      <c r="W293" s="454">
        <v>46591400</v>
      </c>
      <c r="X293" s="454">
        <v>9594192</v>
      </c>
    </row>
    <row r="294" spans="1:24">
      <c r="A294" s="458">
        <v>93111</v>
      </c>
      <c r="B294" s="518" t="s">
        <v>1005</v>
      </c>
      <c r="C294" s="460">
        <f t="shared" si="5"/>
        <v>5.1939999514565886E-5</v>
      </c>
      <c r="D294" s="460">
        <f>VLOOKUP(A294,'2024 summary '!A294:C1200,3,FALSE)</f>
        <v>5.914E-5</v>
      </c>
      <c r="E294" s="505">
        <v>350152</v>
      </c>
      <c r="F294" s="460"/>
      <c r="G294" s="505">
        <v>61360</v>
      </c>
      <c r="H294" s="505">
        <v>47603</v>
      </c>
      <c r="I294" s="505">
        <v>0</v>
      </c>
      <c r="J294" s="505">
        <v>6225</v>
      </c>
      <c r="K294" s="505">
        <v>115188</v>
      </c>
      <c r="L294" s="460"/>
      <c r="M294" s="505">
        <v>413</v>
      </c>
      <c r="N294" s="505">
        <v>0</v>
      </c>
      <c r="O294" s="505">
        <v>0</v>
      </c>
      <c r="P294" s="505">
        <v>22603</v>
      </c>
      <c r="Q294" s="505">
        <v>23016</v>
      </c>
      <c r="R294" s="460"/>
      <c r="S294" s="505">
        <v>104750</v>
      </c>
      <c r="T294" s="505">
        <v>-606</v>
      </c>
      <c r="U294" s="505">
        <v>104144</v>
      </c>
      <c r="W294" s="454">
        <v>620480</v>
      </c>
      <c r="X294" s="454">
        <v>127770</v>
      </c>
    </row>
    <row r="295" spans="1:24">
      <c r="A295" s="458">
        <v>93121</v>
      </c>
      <c r="B295" s="518" t="s">
        <v>1006</v>
      </c>
      <c r="C295" s="460">
        <f t="shared" si="5"/>
        <v>3.5329974766333602E-5</v>
      </c>
      <c r="D295" s="460">
        <f>VLOOKUP(A295,'2024 summary '!A295:C1201,3,FALSE)</f>
        <v>2.3799999999999999E-5</v>
      </c>
      <c r="E295" s="505">
        <v>238176</v>
      </c>
      <c r="F295" s="460"/>
      <c r="G295" s="505">
        <v>41737</v>
      </c>
      <c r="H295" s="505">
        <v>32380</v>
      </c>
      <c r="I295" s="505">
        <v>0</v>
      </c>
      <c r="J295" s="505">
        <v>61427</v>
      </c>
      <c r="K295" s="505">
        <v>135544</v>
      </c>
      <c r="L295" s="460"/>
      <c r="M295" s="505">
        <v>281</v>
      </c>
      <c r="N295" s="505">
        <v>0</v>
      </c>
      <c r="O295" s="505">
        <v>0</v>
      </c>
      <c r="P295" s="505">
        <v>37883</v>
      </c>
      <c r="Q295" s="505">
        <v>38164</v>
      </c>
      <c r="R295" s="460"/>
      <c r="S295" s="505">
        <v>71252</v>
      </c>
      <c r="T295" s="505">
        <v>4240</v>
      </c>
      <c r="U295" s="505">
        <v>75492</v>
      </c>
      <c r="W295" s="454">
        <v>422055</v>
      </c>
      <c r="X295" s="454">
        <v>86910</v>
      </c>
    </row>
    <row r="296" spans="1:24">
      <c r="A296" s="458">
        <v>93127</v>
      </c>
      <c r="B296" s="518" t="s">
        <v>1007</v>
      </c>
      <c r="C296" s="460">
        <f t="shared" si="5"/>
        <v>5.8000694584610135E-6</v>
      </c>
      <c r="D296" s="460">
        <f>VLOOKUP(A296,'2024 summary '!A296:C1202,3,FALSE)</f>
        <v>6.5200000000000003E-6</v>
      </c>
      <c r="E296" s="505">
        <v>39101</v>
      </c>
      <c r="F296" s="460"/>
      <c r="G296" s="505">
        <v>6852</v>
      </c>
      <c r="H296" s="505">
        <v>5316</v>
      </c>
      <c r="I296" s="505">
        <v>0</v>
      </c>
      <c r="J296" s="505">
        <v>5703</v>
      </c>
      <c r="K296" s="505">
        <v>17871</v>
      </c>
      <c r="L296" s="460"/>
      <c r="M296" s="505">
        <v>46</v>
      </c>
      <c r="N296" s="505">
        <v>0</v>
      </c>
      <c r="O296" s="505">
        <v>0</v>
      </c>
      <c r="P296" s="505">
        <v>642</v>
      </c>
      <c r="Q296" s="505">
        <v>688</v>
      </c>
      <c r="R296" s="460"/>
      <c r="S296" s="505">
        <v>11697</v>
      </c>
      <c r="T296" s="505">
        <v>1821</v>
      </c>
      <c r="U296" s="505">
        <v>13518</v>
      </c>
      <c r="W296" s="454">
        <v>69287</v>
      </c>
      <c r="X296" s="454">
        <v>14268</v>
      </c>
    </row>
    <row r="297" spans="1:24">
      <c r="A297" s="458">
        <v>93131</v>
      </c>
      <c r="B297" s="518" t="s">
        <v>1008</v>
      </c>
      <c r="C297" s="460">
        <f t="shared" si="5"/>
        <v>1.6698002579894214E-4</v>
      </c>
      <c r="D297" s="460">
        <f>VLOOKUP(A297,'2024 summary '!A297:C1203,3,FALSE)</f>
        <v>1.4506999999999999E-4</v>
      </c>
      <c r="E297" s="505">
        <v>1125691</v>
      </c>
      <c r="F297" s="460"/>
      <c r="G297" s="505">
        <v>197264</v>
      </c>
      <c r="H297" s="505">
        <v>153037</v>
      </c>
      <c r="I297" s="505">
        <v>0</v>
      </c>
      <c r="J297" s="505">
        <v>75698</v>
      </c>
      <c r="K297" s="505">
        <v>425999</v>
      </c>
      <c r="L297" s="460"/>
      <c r="M297" s="505">
        <v>1326</v>
      </c>
      <c r="N297" s="505">
        <v>0</v>
      </c>
      <c r="O297" s="505">
        <v>0</v>
      </c>
      <c r="P297" s="505">
        <v>44667</v>
      </c>
      <c r="Q297" s="505">
        <v>45993</v>
      </c>
      <c r="R297" s="460"/>
      <c r="S297" s="505">
        <v>336758</v>
      </c>
      <c r="T297" s="505">
        <v>7870</v>
      </c>
      <c r="U297" s="505">
        <v>344628</v>
      </c>
      <c r="W297" s="454">
        <v>1994757</v>
      </c>
      <c r="X297" s="454">
        <v>410764</v>
      </c>
    </row>
    <row r="298" spans="1:24">
      <c r="A298" s="458">
        <v>93137</v>
      </c>
      <c r="B298" s="518" t="s">
        <v>1009</v>
      </c>
      <c r="C298" s="460">
        <f t="shared" si="5"/>
        <v>4.969983560669452E-6</v>
      </c>
      <c r="D298" s="460">
        <f>VLOOKUP(A298,'2024 summary '!A298:C1204,3,FALSE)</f>
        <v>5.7899999999999996E-6</v>
      </c>
      <c r="E298" s="505">
        <v>33505</v>
      </c>
      <c r="F298" s="460"/>
      <c r="G298" s="505">
        <v>5871</v>
      </c>
      <c r="H298" s="505">
        <v>4555</v>
      </c>
      <c r="I298" s="505">
        <v>0</v>
      </c>
      <c r="J298" s="505">
        <v>3658</v>
      </c>
      <c r="K298" s="505">
        <v>14084</v>
      </c>
      <c r="L298" s="460"/>
      <c r="M298" s="505">
        <v>39</v>
      </c>
      <c r="N298" s="505">
        <v>0</v>
      </c>
      <c r="O298" s="505">
        <v>0</v>
      </c>
      <c r="P298" s="505">
        <v>764</v>
      </c>
      <c r="Q298" s="505">
        <v>803</v>
      </c>
      <c r="R298" s="460"/>
      <c r="S298" s="505">
        <v>10023</v>
      </c>
      <c r="T298" s="505">
        <v>2135</v>
      </c>
      <c r="U298" s="505">
        <v>12158</v>
      </c>
      <c r="W298" s="454">
        <v>59372</v>
      </c>
      <c r="X298" s="454">
        <v>12226</v>
      </c>
    </row>
    <row r="299" spans="1:24">
      <c r="A299" s="458">
        <v>93141</v>
      </c>
      <c r="B299" s="518" t="s">
        <v>1010</v>
      </c>
      <c r="C299" s="460">
        <f t="shared" si="5"/>
        <v>4.222001405627646E-5</v>
      </c>
      <c r="D299" s="460">
        <f>VLOOKUP(A299,'2024 summary '!A299:C1205,3,FALSE)</f>
        <v>4.5030000000000001E-5</v>
      </c>
      <c r="E299" s="505">
        <v>284625</v>
      </c>
      <c r="F299" s="460"/>
      <c r="G299" s="505">
        <v>49877</v>
      </c>
      <c r="H299" s="505">
        <v>38695</v>
      </c>
      <c r="I299" s="505">
        <v>0</v>
      </c>
      <c r="J299" s="505">
        <v>15155</v>
      </c>
      <c r="K299" s="505">
        <v>103727</v>
      </c>
      <c r="L299" s="460"/>
      <c r="M299" s="505">
        <v>335</v>
      </c>
      <c r="N299" s="505">
        <v>0</v>
      </c>
      <c r="O299" s="505">
        <v>0</v>
      </c>
      <c r="P299" s="505">
        <v>12046</v>
      </c>
      <c r="Q299" s="505">
        <v>12381</v>
      </c>
      <c r="R299" s="460"/>
      <c r="S299" s="505">
        <v>85147</v>
      </c>
      <c r="T299" s="505">
        <v>2053</v>
      </c>
      <c r="U299" s="505">
        <v>87200</v>
      </c>
      <c r="W299" s="454">
        <v>504364</v>
      </c>
      <c r="X299" s="454">
        <v>103860</v>
      </c>
    </row>
    <row r="300" spans="1:24">
      <c r="A300" s="458">
        <v>93151</v>
      </c>
      <c r="B300" s="518" t="s">
        <v>1011</v>
      </c>
      <c r="C300" s="460">
        <f t="shared" si="5"/>
        <v>3.0992998453740583E-4</v>
      </c>
      <c r="D300" s="460">
        <f>VLOOKUP(A300,'2024 summary '!A300:C1206,3,FALSE)</f>
        <v>3.3882999999999998E-4</v>
      </c>
      <c r="E300" s="505">
        <v>2089384</v>
      </c>
      <c r="F300" s="460"/>
      <c r="G300" s="505">
        <v>366139</v>
      </c>
      <c r="H300" s="505">
        <v>284051</v>
      </c>
      <c r="I300" s="505">
        <v>0</v>
      </c>
      <c r="J300" s="505">
        <v>11537</v>
      </c>
      <c r="K300" s="505">
        <v>661727</v>
      </c>
      <c r="L300" s="460"/>
      <c r="M300" s="505">
        <v>2462</v>
      </c>
      <c r="N300" s="505">
        <v>0</v>
      </c>
      <c r="O300" s="505">
        <v>0</v>
      </c>
      <c r="P300" s="505">
        <v>145552</v>
      </c>
      <c r="Q300" s="505">
        <v>148014</v>
      </c>
      <c r="R300" s="460"/>
      <c r="S300" s="505">
        <v>625053</v>
      </c>
      <c r="T300" s="505">
        <v>-49339</v>
      </c>
      <c r="U300" s="505">
        <v>575714</v>
      </c>
      <c r="W300" s="454">
        <v>3702450</v>
      </c>
      <c r="X300" s="454">
        <v>762416</v>
      </c>
    </row>
    <row r="301" spans="1:24">
      <c r="A301" s="458">
        <v>93157</v>
      </c>
      <c r="B301" s="518" t="s">
        <v>1012</v>
      </c>
      <c r="C301" s="460">
        <f t="shared" si="5"/>
        <v>1.8429953961957201E-5</v>
      </c>
      <c r="D301" s="460">
        <f>VLOOKUP(A301,'2024 summary '!A301:C1207,3,FALSE)</f>
        <v>1.6500000000000001E-5</v>
      </c>
      <c r="E301" s="505">
        <v>124245</v>
      </c>
      <c r="F301" s="460"/>
      <c r="G301" s="505">
        <v>21772</v>
      </c>
      <c r="H301" s="505">
        <v>16891</v>
      </c>
      <c r="I301" s="505">
        <v>0</v>
      </c>
      <c r="J301" s="505">
        <v>8155</v>
      </c>
      <c r="K301" s="505">
        <v>46818</v>
      </c>
      <c r="L301" s="460"/>
      <c r="M301" s="505">
        <v>146</v>
      </c>
      <c r="N301" s="505">
        <v>0</v>
      </c>
      <c r="O301" s="505">
        <v>0</v>
      </c>
      <c r="P301" s="505">
        <v>7508</v>
      </c>
      <c r="Q301" s="505">
        <v>7654</v>
      </c>
      <c r="R301" s="460"/>
      <c r="S301" s="505">
        <v>37169</v>
      </c>
      <c r="T301" s="505">
        <v>1084</v>
      </c>
      <c r="U301" s="505">
        <v>38253</v>
      </c>
      <c r="W301" s="454">
        <v>220166</v>
      </c>
      <c r="X301" s="454">
        <v>45337</v>
      </c>
    </row>
    <row r="302" spans="1:24">
      <c r="A302" s="458">
        <v>93161</v>
      </c>
      <c r="B302" s="518" t="s">
        <v>1013</v>
      </c>
      <c r="C302" s="460">
        <f t="shared" si="5"/>
        <v>7.0640072565136098E-5</v>
      </c>
      <c r="D302" s="460">
        <f>VLOOKUP(A302,'2024 summary '!A302:C1208,3,FALSE)</f>
        <v>7.0170000000000001E-5</v>
      </c>
      <c r="E302" s="505">
        <v>476218</v>
      </c>
      <c r="F302" s="460"/>
      <c r="G302" s="505">
        <v>83451</v>
      </c>
      <c r="H302" s="505">
        <v>64741</v>
      </c>
      <c r="I302" s="505">
        <v>0</v>
      </c>
      <c r="J302" s="505">
        <v>0</v>
      </c>
      <c r="K302" s="505">
        <v>148192</v>
      </c>
      <c r="L302" s="460"/>
      <c r="M302" s="505">
        <v>561</v>
      </c>
      <c r="N302" s="505">
        <v>0</v>
      </c>
      <c r="O302" s="505">
        <v>0</v>
      </c>
      <c r="P302" s="505">
        <v>29668</v>
      </c>
      <c r="Q302" s="505">
        <v>30229</v>
      </c>
      <c r="R302" s="460"/>
      <c r="S302" s="505">
        <v>142464</v>
      </c>
      <c r="T302" s="505">
        <v>-24928</v>
      </c>
      <c r="U302" s="505">
        <v>117536</v>
      </c>
      <c r="W302" s="454">
        <v>843871</v>
      </c>
      <c r="X302" s="454">
        <v>173772</v>
      </c>
    </row>
    <row r="303" spans="1:24">
      <c r="A303" s="458">
        <v>93171</v>
      </c>
      <c r="B303" s="518" t="s">
        <v>1014</v>
      </c>
      <c r="C303" s="460">
        <f t="shared" si="5"/>
        <v>1.6220050512118269E-5</v>
      </c>
      <c r="D303" s="460">
        <f>VLOOKUP(A303,'2024 summary '!A303:C1209,3,FALSE)</f>
        <v>1.1070000000000001E-5</v>
      </c>
      <c r="E303" s="505">
        <v>109347</v>
      </c>
      <c r="F303" s="460"/>
      <c r="G303" s="505">
        <v>19162</v>
      </c>
      <c r="H303" s="505">
        <v>14866</v>
      </c>
      <c r="I303" s="505">
        <v>0</v>
      </c>
      <c r="J303" s="505">
        <v>16936</v>
      </c>
      <c r="K303" s="505">
        <v>50964</v>
      </c>
      <c r="L303" s="460"/>
      <c r="M303" s="505">
        <v>129</v>
      </c>
      <c r="N303" s="505">
        <v>0</v>
      </c>
      <c r="O303" s="505">
        <v>0</v>
      </c>
      <c r="P303" s="505">
        <v>1570</v>
      </c>
      <c r="Q303" s="505">
        <v>1699</v>
      </c>
      <c r="R303" s="460"/>
      <c r="S303" s="505">
        <v>32712</v>
      </c>
      <c r="T303" s="505">
        <v>5834</v>
      </c>
      <c r="U303" s="505">
        <v>38546</v>
      </c>
      <c r="W303" s="454">
        <v>193765</v>
      </c>
      <c r="X303" s="454">
        <v>39901</v>
      </c>
    </row>
    <row r="304" spans="1:24">
      <c r="A304" s="458">
        <v>93181</v>
      </c>
      <c r="B304" s="518" t="s">
        <v>1015</v>
      </c>
      <c r="C304" s="460">
        <f t="shared" si="5"/>
        <v>1.6759992018187119E-5</v>
      </c>
      <c r="D304" s="460">
        <f>VLOOKUP(A304,'2024 summary '!A304:C1210,3,FALSE)</f>
        <v>1.7110000000000001E-5</v>
      </c>
      <c r="E304" s="505">
        <v>112987</v>
      </c>
      <c r="F304" s="460"/>
      <c r="G304" s="505">
        <v>19800</v>
      </c>
      <c r="H304" s="505">
        <v>15361</v>
      </c>
      <c r="I304" s="505">
        <v>0</v>
      </c>
      <c r="J304" s="505">
        <v>5660</v>
      </c>
      <c r="K304" s="505">
        <v>40821</v>
      </c>
      <c r="L304" s="460"/>
      <c r="M304" s="505">
        <v>133</v>
      </c>
      <c r="N304" s="505">
        <v>0</v>
      </c>
      <c r="O304" s="505">
        <v>0</v>
      </c>
      <c r="P304" s="505">
        <v>5612</v>
      </c>
      <c r="Q304" s="505">
        <v>5745</v>
      </c>
      <c r="R304" s="460"/>
      <c r="S304" s="505">
        <v>33801</v>
      </c>
      <c r="T304" s="505">
        <v>2587</v>
      </c>
      <c r="U304" s="505">
        <v>36388</v>
      </c>
      <c r="W304" s="454">
        <v>200216</v>
      </c>
      <c r="X304" s="454">
        <v>41229</v>
      </c>
    </row>
    <row r="305" spans="1:24">
      <c r="A305" s="458">
        <v>93191</v>
      </c>
      <c r="B305" s="518" t="s">
        <v>1016</v>
      </c>
      <c r="C305" s="460">
        <f t="shared" si="5"/>
        <v>2.7560008824192832E-5</v>
      </c>
      <c r="D305" s="460">
        <f>VLOOKUP(A305,'2024 summary '!A305:C1211,3,FALSE)</f>
        <v>3.044E-5</v>
      </c>
      <c r="E305" s="505">
        <v>185795</v>
      </c>
      <c r="F305" s="460"/>
      <c r="G305" s="505">
        <v>32558</v>
      </c>
      <c r="H305" s="505">
        <v>25259</v>
      </c>
      <c r="I305" s="505">
        <v>0</v>
      </c>
      <c r="J305" s="505">
        <v>13204</v>
      </c>
      <c r="K305" s="505">
        <v>71021</v>
      </c>
      <c r="L305" s="460"/>
      <c r="M305" s="505">
        <v>219</v>
      </c>
      <c r="N305" s="505">
        <v>0</v>
      </c>
      <c r="O305" s="505">
        <v>0</v>
      </c>
      <c r="P305" s="505">
        <v>839</v>
      </c>
      <c r="Q305" s="505">
        <v>1058</v>
      </c>
      <c r="R305" s="460"/>
      <c r="S305" s="505">
        <v>55582</v>
      </c>
      <c r="T305" s="505">
        <v>8288</v>
      </c>
      <c r="U305" s="505">
        <v>63870</v>
      </c>
      <c r="W305" s="454">
        <v>329234</v>
      </c>
      <c r="X305" s="454">
        <v>67797</v>
      </c>
    </row>
    <row r="306" spans="1:24">
      <c r="A306" s="458">
        <v>93201</v>
      </c>
      <c r="B306" s="518" t="s">
        <v>1017</v>
      </c>
      <c r="C306" s="460">
        <f t="shared" si="5"/>
        <v>1.5687300018228323E-2</v>
      </c>
      <c r="D306" s="460">
        <f>VLOOKUP(A306,'2024 summary '!A306:C1212,3,FALSE)</f>
        <v>1.532962E-2</v>
      </c>
      <c r="E306" s="505">
        <v>105755478</v>
      </c>
      <c r="F306" s="460"/>
      <c r="G306" s="505">
        <v>18532364</v>
      </c>
      <c r="H306" s="505">
        <v>14377395</v>
      </c>
      <c r="I306" s="505">
        <v>0</v>
      </c>
      <c r="J306" s="505">
        <v>2129459</v>
      </c>
      <c r="K306" s="505">
        <v>35039218</v>
      </c>
      <c r="L306" s="460"/>
      <c r="M306" s="505">
        <v>124604</v>
      </c>
      <c r="N306" s="505">
        <v>0</v>
      </c>
      <c r="O306" s="505">
        <v>0</v>
      </c>
      <c r="P306" s="505">
        <v>329566</v>
      </c>
      <c r="Q306" s="505">
        <v>454170</v>
      </c>
      <c r="R306" s="460"/>
      <c r="S306" s="505">
        <v>31637456</v>
      </c>
      <c r="T306" s="505">
        <v>770244</v>
      </c>
      <c r="U306" s="505">
        <v>32407700</v>
      </c>
      <c r="W306" s="454">
        <v>187401804</v>
      </c>
      <c r="X306" s="454">
        <v>38590146</v>
      </c>
    </row>
    <row r="307" spans="1:24">
      <c r="A307" s="458">
        <v>93204</v>
      </c>
      <c r="B307" s="518" t="s">
        <v>1019</v>
      </c>
      <c r="C307" s="460">
        <f t="shared" si="5"/>
        <v>3.4952994726904105E-4</v>
      </c>
      <c r="D307" s="460">
        <f>VLOOKUP(A307,'2024 summary '!A307:C1213,3,FALSE)</f>
        <v>3.3656000000000002E-4</v>
      </c>
      <c r="E307" s="505">
        <v>2356346</v>
      </c>
      <c r="F307" s="460"/>
      <c r="G307" s="505">
        <v>412921</v>
      </c>
      <c r="H307" s="505">
        <v>320344</v>
      </c>
      <c r="I307" s="505">
        <v>0</v>
      </c>
      <c r="J307" s="505">
        <v>117266</v>
      </c>
      <c r="K307" s="505">
        <v>850531</v>
      </c>
      <c r="L307" s="460"/>
      <c r="M307" s="505">
        <v>2776</v>
      </c>
      <c r="N307" s="505">
        <v>0</v>
      </c>
      <c r="O307" s="505">
        <v>0</v>
      </c>
      <c r="P307" s="505">
        <v>10059</v>
      </c>
      <c r="Q307" s="505">
        <v>12835</v>
      </c>
      <c r="R307" s="460"/>
      <c r="S307" s="505">
        <v>704917</v>
      </c>
      <c r="T307" s="505">
        <v>78616</v>
      </c>
      <c r="U307" s="505">
        <v>783533</v>
      </c>
      <c r="W307" s="454">
        <v>4175515</v>
      </c>
      <c r="X307" s="454">
        <v>859830</v>
      </c>
    </row>
    <row r="308" spans="1:24">
      <c r="A308" s="458">
        <v>93209</v>
      </c>
      <c r="B308" s="518" t="s">
        <v>3722</v>
      </c>
      <c r="C308" s="460">
        <f t="shared" si="5"/>
        <v>9.751170046976473E-3</v>
      </c>
      <c r="D308" s="460">
        <f>VLOOKUP(A308,'2024 summary '!A308:C1214,3,FALSE)</f>
        <v>9.31564E-3</v>
      </c>
      <c r="E308" s="505">
        <v>65737230</v>
      </c>
      <c r="F308" s="460"/>
      <c r="G308" s="505">
        <v>11519652</v>
      </c>
      <c r="H308" s="505">
        <v>8936938</v>
      </c>
      <c r="I308" s="505">
        <v>0</v>
      </c>
      <c r="J308" s="505">
        <v>5459844</v>
      </c>
      <c r="K308" s="505">
        <v>25916434</v>
      </c>
      <c r="L308" s="460"/>
      <c r="M308" s="505">
        <v>77454</v>
      </c>
      <c r="N308" s="505">
        <v>0</v>
      </c>
      <c r="O308" s="505">
        <v>0</v>
      </c>
      <c r="P308" s="505">
        <v>284992</v>
      </c>
      <c r="Q308" s="505">
        <v>362446</v>
      </c>
      <c r="R308" s="460"/>
      <c r="S308" s="505">
        <v>19665731</v>
      </c>
      <c r="T308" s="505">
        <v>2908162</v>
      </c>
      <c r="U308" s="505">
        <v>22573893</v>
      </c>
      <c r="W308" s="454">
        <v>116488296</v>
      </c>
      <c r="X308" s="454">
        <v>23987498</v>
      </c>
    </row>
    <row r="309" spans="1:24">
      <c r="A309" s="458">
        <v>93211</v>
      </c>
      <c r="B309" s="518" t="s">
        <v>1021</v>
      </c>
      <c r="C309" s="460">
        <f t="shared" si="5"/>
        <v>1.9297430067366138E-2</v>
      </c>
      <c r="D309" s="460">
        <f>VLOOKUP(A309,'2024 summary '!A309:C1215,3,FALSE)</f>
        <v>2.0171089999999999E-2</v>
      </c>
      <c r="E309" s="505">
        <v>130093065</v>
      </c>
      <c r="F309" s="460"/>
      <c r="G309" s="505">
        <v>22797231</v>
      </c>
      <c r="H309" s="505">
        <v>17686075</v>
      </c>
      <c r="I309" s="505">
        <v>0</v>
      </c>
      <c r="J309" s="505">
        <v>252389</v>
      </c>
      <c r="K309" s="505">
        <v>40735695</v>
      </c>
      <c r="L309" s="460"/>
      <c r="M309" s="505">
        <v>153279</v>
      </c>
      <c r="N309" s="505">
        <v>0</v>
      </c>
      <c r="O309" s="505">
        <v>0</v>
      </c>
      <c r="P309" s="505">
        <v>5369924</v>
      </c>
      <c r="Q309" s="505">
        <v>5523203</v>
      </c>
      <c r="R309" s="460"/>
      <c r="S309" s="505">
        <v>38918208</v>
      </c>
      <c r="T309" s="505">
        <v>-2318337</v>
      </c>
      <c r="U309" s="505">
        <v>36599871</v>
      </c>
      <c r="W309" s="454">
        <v>230528720</v>
      </c>
      <c r="X309" s="454">
        <v>47470925</v>
      </c>
    </row>
    <row r="310" spans="1:24">
      <c r="A310" s="458">
        <v>93212</v>
      </c>
      <c r="B310" s="518" t="s">
        <v>1022</v>
      </c>
      <c r="C310" s="460">
        <f t="shared" si="5"/>
        <v>2.457499264198792E-4</v>
      </c>
      <c r="D310" s="460">
        <f>VLOOKUP(A310,'2024 summary '!A310:C1216,3,FALSE)</f>
        <v>1.8872E-4</v>
      </c>
      <c r="E310" s="505">
        <v>1656716</v>
      </c>
      <c r="F310" s="460"/>
      <c r="G310" s="505">
        <v>290319</v>
      </c>
      <c r="H310" s="505">
        <v>225230</v>
      </c>
      <c r="I310" s="505">
        <v>0</v>
      </c>
      <c r="J310" s="505">
        <v>286531</v>
      </c>
      <c r="K310" s="505">
        <v>802080</v>
      </c>
      <c r="L310" s="460"/>
      <c r="M310" s="505">
        <v>1952</v>
      </c>
      <c r="N310" s="505">
        <v>0</v>
      </c>
      <c r="O310" s="505">
        <v>0</v>
      </c>
      <c r="P310" s="505">
        <v>30669</v>
      </c>
      <c r="Q310" s="505">
        <v>32621</v>
      </c>
      <c r="R310" s="460"/>
      <c r="S310" s="505">
        <v>495618</v>
      </c>
      <c r="T310" s="505">
        <v>71284</v>
      </c>
      <c r="U310" s="505">
        <v>566902</v>
      </c>
      <c r="W310" s="454">
        <v>2935750</v>
      </c>
      <c r="X310" s="454">
        <v>604535</v>
      </c>
    </row>
    <row r="311" spans="1:24">
      <c r="A311" s="458">
        <v>93219</v>
      </c>
      <c r="B311" s="518" t="s">
        <v>1023</v>
      </c>
      <c r="C311" s="460">
        <f t="shared" si="5"/>
        <v>4.4083998936842714E-4</v>
      </c>
      <c r="D311" s="460">
        <f>VLOOKUP(A311,'2024 summary '!A311:C1217,3,FALSE)</f>
        <v>3.3611999999999997E-4</v>
      </c>
      <c r="E311" s="505">
        <v>2971910</v>
      </c>
      <c r="F311" s="460"/>
      <c r="G311" s="505">
        <v>520791</v>
      </c>
      <c r="H311" s="505">
        <v>404029</v>
      </c>
      <c r="I311" s="505">
        <v>0</v>
      </c>
      <c r="J311" s="505">
        <v>312891</v>
      </c>
      <c r="K311" s="505">
        <v>1237711</v>
      </c>
      <c r="L311" s="460"/>
      <c r="M311" s="505">
        <v>3502</v>
      </c>
      <c r="N311" s="505">
        <v>0</v>
      </c>
      <c r="O311" s="505">
        <v>0</v>
      </c>
      <c r="P311" s="505">
        <v>22634</v>
      </c>
      <c r="Q311" s="505">
        <v>26136</v>
      </c>
      <c r="R311" s="460"/>
      <c r="S311" s="505">
        <v>889067</v>
      </c>
      <c r="T311" s="505">
        <v>121915</v>
      </c>
      <c r="U311" s="505">
        <v>1010982</v>
      </c>
      <c r="W311" s="454">
        <v>5266312</v>
      </c>
      <c r="X311" s="454">
        <v>1084449</v>
      </c>
    </row>
    <row r="312" spans="1:24">
      <c r="A312" s="458">
        <v>93301</v>
      </c>
      <c r="B312" s="518" t="s">
        <v>1024</v>
      </c>
      <c r="C312" s="460">
        <f t="shared" si="5"/>
        <v>2.2627100258036251E-3</v>
      </c>
      <c r="D312" s="460">
        <f>VLOOKUP(A312,'2024 summary '!A312:C1218,3,FALSE)</f>
        <v>2.36521E-3</v>
      </c>
      <c r="E312" s="505">
        <v>15253994</v>
      </c>
      <c r="F312" s="460"/>
      <c r="G312" s="505">
        <v>2673077</v>
      </c>
      <c r="H312" s="505">
        <v>2073771</v>
      </c>
      <c r="I312" s="505">
        <v>0</v>
      </c>
      <c r="J312" s="505">
        <v>170682</v>
      </c>
      <c r="K312" s="505">
        <v>4917530</v>
      </c>
      <c r="L312" s="460"/>
      <c r="M312" s="505">
        <v>17973</v>
      </c>
      <c r="N312" s="505">
        <v>0</v>
      </c>
      <c r="O312" s="505">
        <v>0</v>
      </c>
      <c r="P312" s="505">
        <v>313742</v>
      </c>
      <c r="Q312" s="505">
        <v>331715</v>
      </c>
      <c r="R312" s="460"/>
      <c r="S312" s="505">
        <v>4563334</v>
      </c>
      <c r="T312" s="505">
        <v>79631</v>
      </c>
      <c r="U312" s="505">
        <v>4642965</v>
      </c>
      <c r="W312" s="454">
        <v>27030524</v>
      </c>
      <c r="X312" s="454">
        <v>5566178</v>
      </c>
    </row>
    <row r="313" spans="1:24">
      <c r="A313" s="458">
        <v>93304</v>
      </c>
      <c r="B313" s="518" t="s">
        <v>1025</v>
      </c>
      <c r="C313" s="460">
        <f t="shared" si="5"/>
        <v>2.4019980241134291E-5</v>
      </c>
      <c r="D313" s="460">
        <f>VLOOKUP(A313,'2024 summary '!A313:C1219,3,FALSE)</f>
        <v>3.5049999999999998E-5</v>
      </c>
      <c r="E313" s="505">
        <v>161930</v>
      </c>
      <c r="F313" s="460"/>
      <c r="G313" s="505">
        <v>28376</v>
      </c>
      <c r="H313" s="505">
        <v>22014</v>
      </c>
      <c r="I313" s="505">
        <v>0</v>
      </c>
      <c r="J313" s="505">
        <v>8327</v>
      </c>
      <c r="K313" s="505">
        <v>58717</v>
      </c>
      <c r="L313" s="460"/>
      <c r="M313" s="505">
        <v>191</v>
      </c>
      <c r="N313" s="505">
        <v>0</v>
      </c>
      <c r="O313" s="505">
        <v>0</v>
      </c>
      <c r="P313" s="505">
        <v>27928</v>
      </c>
      <c r="Q313" s="505">
        <v>28119</v>
      </c>
      <c r="R313" s="460"/>
      <c r="S313" s="505">
        <v>48442</v>
      </c>
      <c r="T313" s="505">
        <v>-2923</v>
      </c>
      <c r="U313" s="505">
        <v>45519</v>
      </c>
      <c r="W313" s="454">
        <v>286945</v>
      </c>
      <c r="X313" s="454">
        <v>59088</v>
      </c>
    </row>
    <row r="314" spans="1:24">
      <c r="A314" s="458">
        <v>93305</v>
      </c>
      <c r="B314" s="518" t="s">
        <v>1026</v>
      </c>
      <c r="C314" s="460">
        <f t="shared" si="5"/>
        <v>2.5770043397343159E-5</v>
      </c>
      <c r="D314" s="460">
        <f>VLOOKUP(A314,'2024 summary '!A314:C1220,3,FALSE)</f>
        <v>2.9779999999999999E-5</v>
      </c>
      <c r="E314" s="505">
        <v>173728</v>
      </c>
      <c r="F314" s="460"/>
      <c r="G314" s="505">
        <v>30444</v>
      </c>
      <c r="H314" s="505">
        <v>23618</v>
      </c>
      <c r="I314" s="505">
        <v>0</v>
      </c>
      <c r="J314" s="505">
        <v>3183</v>
      </c>
      <c r="K314" s="505">
        <v>57245</v>
      </c>
      <c r="L314" s="460"/>
      <c r="M314" s="505">
        <v>205</v>
      </c>
      <c r="N314" s="505">
        <v>0</v>
      </c>
      <c r="O314" s="505">
        <v>0</v>
      </c>
      <c r="P314" s="505">
        <v>8047</v>
      </c>
      <c r="Q314" s="505">
        <v>8252</v>
      </c>
      <c r="R314" s="460"/>
      <c r="S314" s="505">
        <v>51972</v>
      </c>
      <c r="T314" s="505">
        <v>-3252</v>
      </c>
      <c r="U314" s="505">
        <v>48720</v>
      </c>
      <c r="W314" s="454">
        <v>307851</v>
      </c>
      <c r="X314" s="454">
        <v>63393</v>
      </c>
    </row>
    <row r="315" spans="1:24">
      <c r="A315" s="458">
        <v>93309</v>
      </c>
      <c r="B315" s="518" t="s">
        <v>1027</v>
      </c>
      <c r="C315" s="460">
        <f t="shared" si="5"/>
        <v>1.8239995420014408E-4</v>
      </c>
      <c r="D315" s="460">
        <f>VLOOKUP(A315,'2024 summary '!A315:C1221,3,FALSE)</f>
        <v>1.7582000000000001E-4</v>
      </c>
      <c r="E315" s="505">
        <v>1229644</v>
      </c>
      <c r="F315" s="460"/>
      <c r="G315" s="505">
        <v>215480</v>
      </c>
      <c r="H315" s="505">
        <v>167169</v>
      </c>
      <c r="I315" s="505">
        <v>0</v>
      </c>
      <c r="J315" s="505">
        <v>31370</v>
      </c>
      <c r="K315" s="505">
        <v>414019</v>
      </c>
      <c r="L315" s="460"/>
      <c r="M315" s="505">
        <v>1449</v>
      </c>
      <c r="N315" s="505">
        <v>0</v>
      </c>
      <c r="O315" s="505">
        <v>0</v>
      </c>
      <c r="P315" s="505">
        <v>0</v>
      </c>
      <c r="Q315" s="505">
        <v>1449</v>
      </c>
      <c r="R315" s="460"/>
      <c r="S315" s="505">
        <v>367856</v>
      </c>
      <c r="T315" s="505">
        <v>19543</v>
      </c>
      <c r="U315" s="505">
        <v>387399</v>
      </c>
      <c r="W315" s="454">
        <v>2178966</v>
      </c>
      <c r="X315" s="454">
        <v>448697</v>
      </c>
    </row>
    <row r="316" spans="1:24">
      <c r="A316" s="458">
        <v>93311</v>
      </c>
      <c r="B316" s="518" t="s">
        <v>1028</v>
      </c>
      <c r="C316" s="460">
        <f t="shared" si="5"/>
        <v>1.1324500261429664E-3</v>
      </c>
      <c r="D316" s="460">
        <f>VLOOKUP(A316,'2024 summary '!A316:C1222,3,FALSE)</f>
        <v>1.17475E-3</v>
      </c>
      <c r="E316" s="505">
        <v>7634379</v>
      </c>
      <c r="F316" s="460"/>
      <c r="G316" s="505">
        <v>1337832</v>
      </c>
      <c r="H316" s="505">
        <v>1037889</v>
      </c>
      <c r="I316" s="505">
        <v>0</v>
      </c>
      <c r="J316" s="505">
        <v>17163</v>
      </c>
      <c r="K316" s="505">
        <v>2392884</v>
      </c>
      <c r="L316" s="460"/>
      <c r="M316" s="505">
        <v>8995</v>
      </c>
      <c r="N316" s="505">
        <v>0</v>
      </c>
      <c r="O316" s="505">
        <v>0</v>
      </c>
      <c r="P316" s="505">
        <v>327093</v>
      </c>
      <c r="Q316" s="505">
        <v>336088</v>
      </c>
      <c r="R316" s="460"/>
      <c r="S316" s="505">
        <v>2283875</v>
      </c>
      <c r="T316" s="505">
        <v>-222878</v>
      </c>
      <c r="U316" s="505">
        <v>2060997</v>
      </c>
      <c r="W316" s="454">
        <v>13528343</v>
      </c>
      <c r="X316" s="454">
        <v>2785783</v>
      </c>
    </row>
    <row r="317" spans="1:24">
      <c r="A317" s="458">
        <v>93317</v>
      </c>
      <c r="B317" s="518" t="s">
        <v>1029</v>
      </c>
      <c r="C317" s="460">
        <f t="shared" si="5"/>
        <v>3.3499958733264536E-5</v>
      </c>
      <c r="D317" s="460">
        <f>VLOOKUP(A317,'2024 summary '!A317:C1223,3,FALSE)</f>
        <v>3.3059999999999999E-5</v>
      </c>
      <c r="E317" s="505">
        <v>225839</v>
      </c>
      <c r="F317" s="460"/>
      <c r="G317" s="505">
        <v>39576</v>
      </c>
      <c r="H317" s="505">
        <v>30703</v>
      </c>
      <c r="I317" s="505">
        <v>0</v>
      </c>
      <c r="J317" s="505">
        <v>15099</v>
      </c>
      <c r="K317" s="505">
        <v>85378</v>
      </c>
      <c r="L317" s="460"/>
      <c r="M317" s="505">
        <v>266</v>
      </c>
      <c r="N317" s="505">
        <v>0</v>
      </c>
      <c r="O317" s="505">
        <v>0</v>
      </c>
      <c r="P317" s="505">
        <v>9891</v>
      </c>
      <c r="Q317" s="505">
        <v>10157</v>
      </c>
      <c r="R317" s="460"/>
      <c r="S317" s="505">
        <v>67561</v>
      </c>
      <c r="T317" s="505">
        <v>-446</v>
      </c>
      <c r="U317" s="505">
        <v>67115</v>
      </c>
      <c r="W317" s="454">
        <v>400194</v>
      </c>
      <c r="X317" s="454">
        <v>82409</v>
      </c>
    </row>
    <row r="318" spans="1:24">
      <c r="A318" s="458">
        <v>93321</v>
      </c>
      <c r="B318" s="518" t="s">
        <v>1030</v>
      </c>
      <c r="C318" s="460">
        <f t="shared" si="5"/>
        <v>6.7222400067433593E-3</v>
      </c>
      <c r="D318" s="460">
        <f>VLOOKUP(A318,'2024 summary '!A318:C1224,3,FALSE)</f>
        <v>6.0594100000000003E-3</v>
      </c>
      <c r="E318" s="505">
        <v>45317786</v>
      </c>
      <c r="F318" s="460"/>
      <c r="G318" s="505">
        <v>7941392</v>
      </c>
      <c r="H318" s="505">
        <v>6160926</v>
      </c>
      <c r="I318" s="505">
        <v>0</v>
      </c>
      <c r="J318" s="505">
        <v>2196704</v>
      </c>
      <c r="K318" s="505">
        <v>16299022</v>
      </c>
      <c r="L318" s="460"/>
      <c r="M318" s="505">
        <v>53395</v>
      </c>
      <c r="N318" s="505">
        <v>0</v>
      </c>
      <c r="O318" s="505">
        <v>0</v>
      </c>
      <c r="P318" s="505">
        <v>469573</v>
      </c>
      <c r="Q318" s="505">
        <v>522968</v>
      </c>
      <c r="R318" s="460"/>
      <c r="S318" s="505">
        <v>13557118</v>
      </c>
      <c r="T318" s="505">
        <v>423138</v>
      </c>
      <c r="U318" s="505">
        <v>13980256</v>
      </c>
      <c r="W318" s="454">
        <v>80304444</v>
      </c>
      <c r="X318" s="454">
        <v>16536448</v>
      </c>
    </row>
    <row r="319" spans="1:24">
      <c r="A319" s="458">
        <v>93323</v>
      </c>
      <c r="B319" s="518" t="s">
        <v>1031</v>
      </c>
      <c r="C319" s="460">
        <f t="shared" si="5"/>
        <v>3.3449969643279594E-5</v>
      </c>
      <c r="D319" s="460">
        <f>VLOOKUP(A319,'2024 summary '!A319:C1225,3,FALSE)</f>
        <v>2.3249999999999999E-5</v>
      </c>
      <c r="E319" s="505">
        <v>225502</v>
      </c>
      <c r="F319" s="460"/>
      <c r="G319" s="505">
        <v>39517</v>
      </c>
      <c r="H319" s="505">
        <v>30657</v>
      </c>
      <c r="I319" s="505">
        <v>0</v>
      </c>
      <c r="J319" s="505">
        <v>44979</v>
      </c>
      <c r="K319" s="505">
        <v>115153</v>
      </c>
      <c r="L319" s="460"/>
      <c r="M319" s="505">
        <v>266</v>
      </c>
      <c r="N319" s="505">
        <v>0</v>
      </c>
      <c r="O319" s="505">
        <v>0</v>
      </c>
      <c r="P319" s="505">
        <v>45235</v>
      </c>
      <c r="Q319" s="505">
        <v>45501</v>
      </c>
      <c r="R319" s="460"/>
      <c r="S319" s="505">
        <v>67460</v>
      </c>
      <c r="T319" s="505">
        <v>3573</v>
      </c>
      <c r="U319" s="505">
        <v>71033</v>
      </c>
      <c r="W319" s="454">
        <v>399597</v>
      </c>
      <c r="X319" s="454">
        <v>82286</v>
      </c>
    </row>
    <row r="320" spans="1:24">
      <c r="A320" s="458">
        <v>93331</v>
      </c>
      <c r="B320" s="518" t="s">
        <v>1032</v>
      </c>
      <c r="C320" s="460">
        <f t="shared" si="5"/>
        <v>8.3450036461040969E-5</v>
      </c>
      <c r="D320" s="460">
        <f>VLOOKUP(A320,'2024 summary '!A320:C1226,3,FALSE)</f>
        <v>9.6550000000000002E-5</v>
      </c>
      <c r="E320" s="505">
        <v>562576</v>
      </c>
      <c r="F320" s="460"/>
      <c r="G320" s="505">
        <v>98585</v>
      </c>
      <c r="H320" s="505">
        <v>76482</v>
      </c>
      <c r="I320" s="505">
        <v>0</v>
      </c>
      <c r="J320" s="505">
        <v>12108</v>
      </c>
      <c r="K320" s="505">
        <v>187175</v>
      </c>
      <c r="L320" s="460"/>
      <c r="M320" s="505">
        <v>663</v>
      </c>
      <c r="N320" s="505">
        <v>0</v>
      </c>
      <c r="O320" s="505">
        <v>0</v>
      </c>
      <c r="P320" s="505">
        <v>33844</v>
      </c>
      <c r="Q320" s="505">
        <v>34507</v>
      </c>
      <c r="R320" s="460"/>
      <c r="S320" s="505">
        <v>168298</v>
      </c>
      <c r="T320" s="505">
        <v>-23339</v>
      </c>
      <c r="U320" s="505">
        <v>144959</v>
      </c>
      <c r="W320" s="454">
        <v>996901</v>
      </c>
      <c r="X320" s="454">
        <v>205284</v>
      </c>
    </row>
    <row r="321" spans="1:24">
      <c r="A321" s="458">
        <v>93333</v>
      </c>
      <c r="B321" s="518" t="s">
        <v>1033</v>
      </c>
      <c r="C321" s="460">
        <f t="shared" si="5"/>
        <v>1.3915998470548043E-4</v>
      </c>
      <c r="D321" s="460">
        <f>VLOOKUP(A321,'2024 summary '!A321:C1227,3,FALSE)</f>
        <v>1.7176E-4</v>
      </c>
      <c r="E321" s="505">
        <v>938143</v>
      </c>
      <c r="F321" s="460"/>
      <c r="G321" s="505">
        <v>164398</v>
      </c>
      <c r="H321" s="505">
        <v>127540</v>
      </c>
      <c r="I321" s="505">
        <v>0</v>
      </c>
      <c r="J321" s="505">
        <v>25946</v>
      </c>
      <c r="K321" s="505">
        <v>317884</v>
      </c>
      <c r="L321" s="460"/>
      <c r="M321" s="505">
        <v>1105</v>
      </c>
      <c r="N321" s="505">
        <v>0</v>
      </c>
      <c r="O321" s="505">
        <v>0</v>
      </c>
      <c r="P321" s="505">
        <v>53441</v>
      </c>
      <c r="Q321" s="505">
        <v>54546</v>
      </c>
      <c r="R321" s="460"/>
      <c r="S321" s="505">
        <v>280652</v>
      </c>
      <c r="T321" s="505">
        <v>12204</v>
      </c>
      <c r="U321" s="505">
        <v>292856</v>
      </c>
      <c r="W321" s="454">
        <v>1662417</v>
      </c>
      <c r="X321" s="454">
        <v>342328</v>
      </c>
    </row>
    <row r="322" spans="1:24">
      <c r="A322" s="458">
        <v>93341</v>
      </c>
      <c r="B322" s="518" t="s">
        <v>1034</v>
      </c>
      <c r="C322" s="460">
        <f t="shared" si="5"/>
        <v>3.9250039101740609E-5</v>
      </c>
      <c r="D322" s="460">
        <f>VLOOKUP(A322,'2024 summary '!A322:C1228,3,FALSE)</f>
        <v>3.362E-5</v>
      </c>
      <c r="E322" s="505">
        <v>264603</v>
      </c>
      <c r="F322" s="460"/>
      <c r="G322" s="505">
        <v>46368</v>
      </c>
      <c r="H322" s="505">
        <v>35973</v>
      </c>
      <c r="I322" s="505">
        <v>0</v>
      </c>
      <c r="J322" s="505">
        <v>28640</v>
      </c>
      <c r="K322" s="505">
        <v>110981</v>
      </c>
      <c r="L322" s="460"/>
      <c r="M322" s="505">
        <v>312</v>
      </c>
      <c r="N322" s="505">
        <v>0</v>
      </c>
      <c r="O322" s="505">
        <v>0</v>
      </c>
      <c r="P322" s="505">
        <v>6820</v>
      </c>
      <c r="Q322" s="505">
        <v>7132</v>
      </c>
      <c r="R322" s="460"/>
      <c r="S322" s="505">
        <v>79158</v>
      </c>
      <c r="T322" s="505">
        <v>11065</v>
      </c>
      <c r="U322" s="505">
        <v>90223</v>
      </c>
      <c r="W322" s="454">
        <v>468884</v>
      </c>
      <c r="X322" s="454">
        <v>96553</v>
      </c>
    </row>
    <row r="323" spans="1:24">
      <c r="A323" s="458">
        <v>93351</v>
      </c>
      <c r="B323" s="518" t="s">
        <v>1035</v>
      </c>
      <c r="C323" s="460">
        <f t="shared" si="5"/>
        <v>2.0529940748060692E-5</v>
      </c>
      <c r="D323" s="460">
        <f>VLOOKUP(A323,'2024 summary '!A323:C1229,3,FALSE)</f>
        <v>2.264E-5</v>
      </c>
      <c r="E323" s="505">
        <v>138402</v>
      </c>
      <c r="F323" s="460"/>
      <c r="G323" s="505">
        <v>24253</v>
      </c>
      <c r="H323" s="505">
        <v>18816</v>
      </c>
      <c r="I323" s="505">
        <v>0</v>
      </c>
      <c r="J323" s="505">
        <v>1137</v>
      </c>
      <c r="K323" s="505">
        <v>44206</v>
      </c>
      <c r="L323" s="460"/>
      <c r="M323" s="505">
        <v>163</v>
      </c>
      <c r="N323" s="505">
        <v>0</v>
      </c>
      <c r="O323" s="505">
        <v>0</v>
      </c>
      <c r="P323" s="505">
        <v>25009</v>
      </c>
      <c r="Q323" s="505">
        <v>25172</v>
      </c>
      <c r="R323" s="460"/>
      <c r="S323" s="505">
        <v>41404</v>
      </c>
      <c r="T323" s="505">
        <v>-11612</v>
      </c>
      <c r="U323" s="505">
        <v>29792</v>
      </c>
      <c r="W323" s="454">
        <v>245253</v>
      </c>
      <c r="X323" s="454">
        <v>50503</v>
      </c>
    </row>
    <row r="324" spans="1:24">
      <c r="A324" s="458">
        <v>93401</v>
      </c>
      <c r="B324" s="518" t="s">
        <v>1036</v>
      </c>
      <c r="C324" s="460">
        <f t="shared" si="5"/>
        <v>1.2955720067119102E-2</v>
      </c>
      <c r="D324" s="460">
        <f>VLOOKUP(A324,'2024 summary '!A324:C1230,3,FALSE)</f>
        <v>1.324063E-2</v>
      </c>
      <c r="E324" s="505">
        <v>87340611</v>
      </c>
      <c r="F324" s="460"/>
      <c r="G324" s="505">
        <v>15305382</v>
      </c>
      <c r="H324" s="505">
        <v>11873904</v>
      </c>
      <c r="I324" s="505">
        <v>0</v>
      </c>
      <c r="J324" s="505">
        <v>269631</v>
      </c>
      <c r="K324" s="505">
        <v>27448917</v>
      </c>
      <c r="L324" s="460"/>
      <c r="M324" s="505">
        <v>102907</v>
      </c>
      <c r="N324" s="505">
        <v>0</v>
      </c>
      <c r="O324" s="505">
        <v>0</v>
      </c>
      <c r="P324" s="505">
        <v>774842</v>
      </c>
      <c r="Q324" s="505">
        <v>877749</v>
      </c>
      <c r="R324" s="460"/>
      <c r="S324" s="505">
        <v>26128526</v>
      </c>
      <c r="T324" s="505">
        <v>-376588</v>
      </c>
      <c r="U324" s="505">
        <v>25751938</v>
      </c>
      <c r="W324" s="454">
        <v>154770119</v>
      </c>
      <c r="X324" s="454">
        <v>31870566</v>
      </c>
    </row>
    <row r="325" spans="1:24">
      <c r="A325" s="458">
        <v>93402</v>
      </c>
      <c r="B325" s="518" t="s">
        <v>1037</v>
      </c>
      <c r="C325" s="460">
        <f t="shared" si="5"/>
        <v>0</v>
      </c>
      <c r="D325" s="460">
        <f>VLOOKUP(A325,'2024 summary '!A325:C1231,3,FALSE)</f>
        <v>0</v>
      </c>
      <c r="E325" s="505">
        <v>0</v>
      </c>
      <c r="F325" s="460"/>
      <c r="G325" s="505">
        <v>0</v>
      </c>
      <c r="H325" s="505">
        <v>0</v>
      </c>
      <c r="I325" s="505">
        <v>0</v>
      </c>
      <c r="J325" s="505">
        <v>0</v>
      </c>
      <c r="K325" s="505">
        <v>0</v>
      </c>
      <c r="L325" s="460"/>
      <c r="M325" s="505">
        <v>0</v>
      </c>
      <c r="N325" s="505">
        <v>0</v>
      </c>
      <c r="O325" s="505">
        <v>0</v>
      </c>
      <c r="P325" s="505">
        <v>0</v>
      </c>
      <c r="Q325" s="505">
        <v>0</v>
      </c>
      <c r="R325" s="460"/>
      <c r="S325" s="505">
        <v>0</v>
      </c>
      <c r="T325" s="505">
        <v>0</v>
      </c>
      <c r="U325" s="505">
        <v>0</v>
      </c>
      <c r="W325" s="454">
        <v>0</v>
      </c>
      <c r="X325" s="454">
        <v>0</v>
      </c>
    </row>
    <row r="326" spans="1:24">
      <c r="A326" s="458">
        <v>93406</v>
      </c>
      <c r="B326" s="518" t="s">
        <v>1038</v>
      </c>
      <c r="C326" s="460">
        <f t="shared" si="5"/>
        <v>5.5089994527278982E-4</v>
      </c>
      <c r="D326" s="460">
        <f>VLOOKUP(A326,'2024 summary '!A326:C1232,3,FALSE)</f>
        <v>5.8235000000000003E-4</v>
      </c>
      <c r="E326" s="505">
        <v>3713876</v>
      </c>
      <c r="F326" s="460"/>
      <c r="G326" s="505">
        <v>650812</v>
      </c>
      <c r="H326" s="505">
        <v>504899</v>
      </c>
      <c r="I326" s="505">
        <v>0</v>
      </c>
      <c r="J326" s="505">
        <v>11025</v>
      </c>
      <c r="K326" s="505">
        <v>1166736</v>
      </c>
      <c r="L326" s="460"/>
      <c r="M326" s="505">
        <v>4376</v>
      </c>
      <c r="N326" s="505">
        <v>0</v>
      </c>
      <c r="O326" s="505">
        <v>0</v>
      </c>
      <c r="P326" s="505">
        <v>100616</v>
      </c>
      <c r="Q326" s="505">
        <v>104992</v>
      </c>
      <c r="R326" s="460"/>
      <c r="S326" s="505">
        <v>1111031</v>
      </c>
      <c r="T326" s="505">
        <v>22211</v>
      </c>
      <c r="U326" s="505">
        <v>1133242</v>
      </c>
      <c r="W326" s="454">
        <v>6581098</v>
      </c>
      <c r="X326" s="454">
        <v>1355193</v>
      </c>
    </row>
    <row r="327" spans="1:24">
      <c r="A327" s="458">
        <v>93411</v>
      </c>
      <c r="B327" s="518" t="s">
        <v>1040</v>
      </c>
      <c r="C327" s="460">
        <f t="shared" si="5"/>
        <v>1.5688910052598343E-2</v>
      </c>
      <c r="D327" s="460">
        <f>VLOOKUP(A327,'2024 summary '!A327:C1233,3,FALSE)</f>
        <v>1.5546610000000001E-2</v>
      </c>
      <c r="E327" s="505">
        <v>105766332</v>
      </c>
      <c r="F327" s="460"/>
      <c r="G327" s="505">
        <v>18534266</v>
      </c>
      <c r="H327" s="505">
        <v>14378870</v>
      </c>
      <c r="I327" s="505">
        <v>0</v>
      </c>
      <c r="J327" s="505">
        <v>896251</v>
      </c>
      <c r="K327" s="505">
        <v>33809387</v>
      </c>
      <c r="L327" s="460"/>
      <c r="M327" s="505">
        <v>124617</v>
      </c>
      <c r="N327" s="505">
        <v>0</v>
      </c>
      <c r="O327" s="505">
        <v>0</v>
      </c>
      <c r="P327" s="505">
        <v>1923515</v>
      </c>
      <c r="Q327" s="505">
        <v>2048132</v>
      </c>
      <c r="R327" s="460"/>
      <c r="S327" s="505">
        <v>31640703</v>
      </c>
      <c r="T327" s="505">
        <v>-1200631</v>
      </c>
      <c r="U327" s="505">
        <v>30440072</v>
      </c>
      <c r="W327" s="454">
        <v>187421037</v>
      </c>
      <c r="X327" s="454">
        <v>38594107</v>
      </c>
    </row>
    <row r="328" spans="1:24">
      <c r="A328" s="458">
        <v>93413</v>
      </c>
      <c r="B328" s="518" t="s">
        <v>1041</v>
      </c>
      <c r="C328" s="460">
        <f t="shared" si="5"/>
        <v>5.2330997266172169E-4</v>
      </c>
      <c r="D328" s="460">
        <f>VLOOKUP(A328,'2024 summary '!A328:C1234,3,FALSE)</f>
        <v>6.2914999999999998E-4</v>
      </c>
      <c r="E328" s="505">
        <v>3527879</v>
      </c>
      <c r="F328" s="460"/>
      <c r="G328" s="505">
        <v>618218</v>
      </c>
      <c r="H328" s="505">
        <v>479613</v>
      </c>
      <c r="I328" s="505">
        <v>0</v>
      </c>
      <c r="J328" s="505">
        <v>3133</v>
      </c>
      <c r="K328" s="505">
        <v>1100964</v>
      </c>
      <c r="L328" s="460"/>
      <c r="M328" s="505">
        <v>4157</v>
      </c>
      <c r="N328" s="505">
        <v>0</v>
      </c>
      <c r="O328" s="505">
        <v>0</v>
      </c>
      <c r="P328" s="505">
        <v>402090</v>
      </c>
      <c r="Q328" s="505">
        <v>406247</v>
      </c>
      <c r="R328" s="460"/>
      <c r="S328" s="505">
        <v>1055389</v>
      </c>
      <c r="T328" s="505">
        <v>-139198</v>
      </c>
      <c r="U328" s="505">
        <v>916191</v>
      </c>
      <c r="W328" s="454">
        <v>6251505</v>
      </c>
      <c r="X328" s="454">
        <v>1287322</v>
      </c>
    </row>
    <row r="329" spans="1:24">
      <c r="A329" s="458">
        <v>93417</v>
      </c>
      <c r="B329" s="518" t="s">
        <v>1042</v>
      </c>
      <c r="C329" s="460">
        <f t="shared" si="5"/>
        <v>2.7368003251265494E-4</v>
      </c>
      <c r="D329" s="460">
        <f>VLOOKUP(A329,'2024 summary '!A329:C1235,3,FALSE)</f>
        <v>2.8412000000000001E-4</v>
      </c>
      <c r="E329" s="505">
        <v>1845006</v>
      </c>
      <c r="F329" s="460"/>
      <c r="G329" s="505">
        <v>323315</v>
      </c>
      <c r="H329" s="505">
        <v>250827</v>
      </c>
      <c r="I329" s="505">
        <v>0</v>
      </c>
      <c r="J329" s="505">
        <v>63195</v>
      </c>
      <c r="K329" s="505">
        <v>637337</v>
      </c>
      <c r="L329" s="460"/>
      <c r="M329" s="505">
        <v>2174</v>
      </c>
      <c r="N329" s="505">
        <v>0</v>
      </c>
      <c r="O329" s="505">
        <v>0</v>
      </c>
      <c r="P329" s="505">
        <v>7903</v>
      </c>
      <c r="Q329" s="505">
        <v>10077</v>
      </c>
      <c r="R329" s="460"/>
      <c r="S329" s="505">
        <v>551946</v>
      </c>
      <c r="T329" s="505">
        <v>44378</v>
      </c>
      <c r="U329" s="505">
        <v>596324</v>
      </c>
      <c r="W329" s="454">
        <v>3269404</v>
      </c>
      <c r="X329" s="454">
        <v>673242</v>
      </c>
    </row>
    <row r="330" spans="1:24">
      <c r="A330" s="458">
        <v>93421</v>
      </c>
      <c r="B330" s="518" t="s">
        <v>1043</v>
      </c>
      <c r="C330" s="460">
        <f t="shared" ref="C330:C393" si="6">E330/$E$915</f>
        <v>1.92722004104816E-3</v>
      </c>
      <c r="D330" s="460">
        <f>VLOOKUP(A330,'2024 summary '!A330:C1236,3,FALSE)</f>
        <v>1.8459399999999999E-3</v>
      </c>
      <c r="E330" s="505">
        <v>12992298</v>
      </c>
      <c r="F330" s="460"/>
      <c r="G330" s="505">
        <v>2276743</v>
      </c>
      <c r="H330" s="505">
        <v>1766295</v>
      </c>
      <c r="I330" s="505">
        <v>0</v>
      </c>
      <c r="J330" s="505">
        <v>18982</v>
      </c>
      <c r="K330" s="505">
        <v>4062020</v>
      </c>
      <c r="L330" s="460"/>
      <c r="M330" s="505">
        <v>15308</v>
      </c>
      <c r="N330" s="505">
        <v>0</v>
      </c>
      <c r="O330" s="505">
        <v>0</v>
      </c>
      <c r="P330" s="505">
        <v>262267</v>
      </c>
      <c r="Q330" s="505">
        <v>277575</v>
      </c>
      <c r="R330" s="460"/>
      <c r="S330" s="505">
        <v>3886732</v>
      </c>
      <c r="T330" s="505">
        <v>-198773</v>
      </c>
      <c r="U330" s="505">
        <v>3687959</v>
      </c>
      <c r="W330" s="454">
        <v>23022732</v>
      </c>
      <c r="X330" s="454">
        <v>4740886</v>
      </c>
    </row>
    <row r="331" spans="1:24">
      <c r="A331" s="458">
        <v>93431</v>
      </c>
      <c r="B331" s="518" t="s">
        <v>1044</v>
      </c>
      <c r="C331" s="460">
        <f t="shared" si="6"/>
        <v>1.475000042761439E-4</v>
      </c>
      <c r="D331" s="460">
        <f>VLOOKUP(A331,'2024 summary '!A331:C1237,3,FALSE)</f>
        <v>1.381E-4</v>
      </c>
      <c r="E331" s="505">
        <v>994367</v>
      </c>
      <c r="F331" s="460"/>
      <c r="G331" s="505">
        <v>174251</v>
      </c>
      <c r="H331" s="505">
        <v>135184</v>
      </c>
      <c r="I331" s="505">
        <v>0</v>
      </c>
      <c r="J331" s="505">
        <v>17062</v>
      </c>
      <c r="K331" s="505">
        <v>326497</v>
      </c>
      <c r="L331" s="460"/>
      <c r="M331" s="505">
        <v>1172</v>
      </c>
      <c r="N331" s="505">
        <v>0</v>
      </c>
      <c r="O331" s="505">
        <v>0</v>
      </c>
      <c r="P331" s="505">
        <v>15480</v>
      </c>
      <c r="Q331" s="505">
        <v>16652</v>
      </c>
      <c r="R331" s="460"/>
      <c r="S331" s="505">
        <v>297472</v>
      </c>
      <c r="T331" s="505">
        <v>5532</v>
      </c>
      <c r="U331" s="505">
        <v>303004</v>
      </c>
      <c r="W331" s="454">
        <v>1762047</v>
      </c>
      <c r="X331" s="454">
        <v>362844</v>
      </c>
    </row>
    <row r="332" spans="1:24">
      <c r="A332" s="458">
        <v>93441</v>
      </c>
      <c r="B332" s="518" t="s">
        <v>1045</v>
      </c>
      <c r="C332" s="460">
        <f t="shared" si="6"/>
        <v>1.3725001579555118E-4</v>
      </c>
      <c r="D332" s="460">
        <f>VLOOKUP(A332,'2024 summary '!A332:C1238,3,FALSE)</f>
        <v>1.2968999999999999E-4</v>
      </c>
      <c r="E332" s="505">
        <v>925267</v>
      </c>
      <c r="F332" s="460"/>
      <c r="G332" s="505">
        <v>162142</v>
      </c>
      <c r="H332" s="505">
        <v>125789</v>
      </c>
      <c r="I332" s="505">
        <v>0</v>
      </c>
      <c r="J332" s="505">
        <v>62397</v>
      </c>
      <c r="K332" s="505">
        <v>350328</v>
      </c>
      <c r="L332" s="460"/>
      <c r="M332" s="505">
        <v>1090</v>
      </c>
      <c r="N332" s="505">
        <v>0</v>
      </c>
      <c r="O332" s="505">
        <v>0</v>
      </c>
      <c r="P332" s="505">
        <v>75246</v>
      </c>
      <c r="Q332" s="505">
        <v>76336</v>
      </c>
      <c r="R332" s="460"/>
      <c r="S332" s="505">
        <v>276800</v>
      </c>
      <c r="T332" s="505">
        <v>-12525</v>
      </c>
      <c r="U332" s="505">
        <v>264275</v>
      </c>
      <c r="W332" s="454">
        <v>1639600</v>
      </c>
      <c r="X332" s="454">
        <v>337630</v>
      </c>
    </row>
    <row r="333" spans="1:24">
      <c r="A333" s="458">
        <v>93442</v>
      </c>
      <c r="B333" s="518" t="s">
        <v>1046</v>
      </c>
      <c r="C333" s="460">
        <f t="shared" si="6"/>
        <v>1.7581993626945505E-4</v>
      </c>
      <c r="D333" s="460">
        <f>VLOOKUP(A333,'2024 summary '!A333:C1239,3,FALSE)</f>
        <v>1.5709E-4</v>
      </c>
      <c r="E333" s="505">
        <v>1185285</v>
      </c>
      <c r="F333" s="460"/>
      <c r="G333" s="505">
        <v>207707</v>
      </c>
      <c r="H333" s="505">
        <v>161139</v>
      </c>
      <c r="I333" s="505">
        <v>0</v>
      </c>
      <c r="J333" s="505">
        <v>48829</v>
      </c>
      <c r="K333" s="505">
        <v>417675</v>
      </c>
      <c r="L333" s="460"/>
      <c r="M333" s="505">
        <v>1397</v>
      </c>
      <c r="N333" s="505">
        <v>0</v>
      </c>
      <c r="O333" s="505">
        <v>0</v>
      </c>
      <c r="P333" s="505">
        <v>11518</v>
      </c>
      <c r="Q333" s="505">
        <v>12915</v>
      </c>
      <c r="R333" s="460"/>
      <c r="S333" s="505">
        <v>354586</v>
      </c>
      <c r="T333" s="505">
        <v>7504</v>
      </c>
      <c r="U333" s="505">
        <v>362090</v>
      </c>
      <c r="W333" s="454">
        <v>2100360</v>
      </c>
      <c r="X333" s="454">
        <v>432510</v>
      </c>
    </row>
    <row r="334" spans="1:24">
      <c r="A334" s="458">
        <v>93451</v>
      </c>
      <c r="B334" s="518" t="s">
        <v>1047</v>
      </c>
      <c r="C334" s="460">
        <f t="shared" si="6"/>
        <v>8.9659957123147099E-5</v>
      </c>
      <c r="D334" s="460">
        <f>VLOOKUP(A334,'2024 summary '!A334:C1240,3,FALSE)</f>
        <v>8.038E-5</v>
      </c>
      <c r="E334" s="505">
        <v>604440</v>
      </c>
      <c r="F334" s="460"/>
      <c r="G334" s="505">
        <v>105921</v>
      </c>
      <c r="H334" s="505">
        <v>82173</v>
      </c>
      <c r="I334" s="505">
        <v>0</v>
      </c>
      <c r="J334" s="505">
        <v>62038</v>
      </c>
      <c r="K334" s="505">
        <v>250132</v>
      </c>
      <c r="L334" s="460"/>
      <c r="M334" s="505">
        <v>712</v>
      </c>
      <c r="N334" s="505">
        <v>0</v>
      </c>
      <c r="O334" s="505">
        <v>0</v>
      </c>
      <c r="P334" s="505">
        <v>0</v>
      </c>
      <c r="Q334" s="505">
        <v>712</v>
      </c>
      <c r="R334" s="460"/>
      <c r="S334" s="505">
        <v>180822</v>
      </c>
      <c r="T334" s="505">
        <v>31792</v>
      </c>
      <c r="U334" s="505">
        <v>212614</v>
      </c>
      <c r="W334" s="454">
        <v>1071086</v>
      </c>
      <c r="X334" s="454">
        <v>220560</v>
      </c>
    </row>
    <row r="335" spans="1:24">
      <c r="A335" s="458">
        <v>93461</v>
      </c>
      <c r="B335" s="518" t="s">
        <v>1048</v>
      </c>
      <c r="C335" s="460">
        <f t="shared" si="6"/>
        <v>1.3310003131332914E-5</v>
      </c>
      <c r="D335" s="460">
        <f>VLOOKUP(A335,'2024 summary '!A335:C1241,3,FALSE)</f>
        <v>1.451E-5</v>
      </c>
      <c r="E335" s="505">
        <v>89729</v>
      </c>
      <c r="F335" s="460"/>
      <c r="G335" s="505">
        <v>15724</v>
      </c>
      <c r="H335" s="505">
        <v>12199</v>
      </c>
      <c r="I335" s="505">
        <v>0</v>
      </c>
      <c r="J335" s="505">
        <v>0</v>
      </c>
      <c r="K335" s="505">
        <v>27923</v>
      </c>
      <c r="L335" s="460"/>
      <c r="M335" s="505">
        <v>106</v>
      </c>
      <c r="N335" s="505">
        <v>0</v>
      </c>
      <c r="O335" s="505">
        <v>0</v>
      </c>
      <c r="P335" s="505">
        <v>4905</v>
      </c>
      <c r="Q335" s="505">
        <v>5011</v>
      </c>
      <c r="R335" s="460"/>
      <c r="S335" s="505">
        <v>26843</v>
      </c>
      <c r="T335" s="505">
        <v>-1680</v>
      </c>
      <c r="U335" s="505">
        <v>25163</v>
      </c>
      <c r="W335" s="454">
        <v>159002</v>
      </c>
      <c r="X335" s="454">
        <v>32742</v>
      </c>
    </row>
    <row r="336" spans="1:24">
      <c r="A336" s="458">
        <v>93471</v>
      </c>
      <c r="B336" s="518" t="s">
        <v>1049</v>
      </c>
      <c r="C336" s="460">
        <f t="shared" si="6"/>
        <v>1.1910011940597253E-5</v>
      </c>
      <c r="D336" s="460">
        <f>VLOOKUP(A336,'2024 summary '!A336:C1242,3,FALSE)</f>
        <v>1.2510000000000001E-5</v>
      </c>
      <c r="E336" s="505">
        <v>80291</v>
      </c>
      <c r="F336" s="460"/>
      <c r="G336" s="505">
        <v>14070</v>
      </c>
      <c r="H336" s="505">
        <v>10916</v>
      </c>
      <c r="I336" s="505">
        <v>0</v>
      </c>
      <c r="J336" s="505">
        <v>10565</v>
      </c>
      <c r="K336" s="505">
        <v>35551</v>
      </c>
      <c r="L336" s="460"/>
      <c r="M336" s="505">
        <v>95</v>
      </c>
      <c r="N336" s="505">
        <v>0</v>
      </c>
      <c r="O336" s="505">
        <v>0</v>
      </c>
      <c r="P336" s="505">
        <v>568</v>
      </c>
      <c r="Q336" s="505">
        <v>663</v>
      </c>
      <c r="R336" s="460"/>
      <c r="S336" s="505">
        <v>24020</v>
      </c>
      <c r="T336" s="505">
        <v>6254</v>
      </c>
      <c r="U336" s="505">
        <v>30274</v>
      </c>
      <c r="W336" s="454">
        <v>142278</v>
      </c>
      <c r="X336" s="454">
        <v>29298</v>
      </c>
    </row>
    <row r="337" spans="1:24">
      <c r="A337" s="458">
        <v>93501</v>
      </c>
      <c r="B337" s="518" t="s">
        <v>1050</v>
      </c>
      <c r="C337" s="460">
        <f t="shared" si="6"/>
        <v>3.5429500522788796E-3</v>
      </c>
      <c r="D337" s="460">
        <f>VLOOKUP(A337,'2024 summary '!A337:C1243,3,FALSE)</f>
        <v>3.4775800000000001E-3</v>
      </c>
      <c r="E337" s="505">
        <v>23884695</v>
      </c>
      <c r="F337" s="460"/>
      <c r="G337" s="505">
        <v>4185503</v>
      </c>
      <c r="H337" s="505">
        <v>3247110</v>
      </c>
      <c r="I337" s="505">
        <v>0</v>
      </c>
      <c r="J337" s="505">
        <v>284625</v>
      </c>
      <c r="K337" s="505">
        <v>7717238</v>
      </c>
      <c r="L337" s="460"/>
      <c r="M337" s="505">
        <v>28142</v>
      </c>
      <c r="N337" s="505">
        <v>0</v>
      </c>
      <c r="O337" s="505">
        <v>0</v>
      </c>
      <c r="P337" s="505">
        <v>194905</v>
      </c>
      <c r="Q337" s="505">
        <v>223047</v>
      </c>
      <c r="R337" s="460"/>
      <c r="S337" s="505">
        <v>7145266</v>
      </c>
      <c r="T337" s="505">
        <v>-67038</v>
      </c>
      <c r="U337" s="505">
        <v>7078228</v>
      </c>
      <c r="W337" s="454">
        <v>42324378</v>
      </c>
      <c r="X337" s="454">
        <v>8715519</v>
      </c>
    </row>
    <row r="338" spans="1:24">
      <c r="A338" s="458">
        <v>93511</v>
      </c>
      <c r="B338" s="518" t="s">
        <v>1051</v>
      </c>
      <c r="C338" s="460">
        <f t="shared" si="6"/>
        <v>9.7899998513840668E-5</v>
      </c>
      <c r="D338" s="460">
        <f>VLOOKUP(A338,'2024 summary '!A338:C1244,3,FALSE)</f>
        <v>1.1951E-4</v>
      </c>
      <c r="E338" s="505">
        <v>659990</v>
      </c>
      <c r="F338" s="460"/>
      <c r="G338" s="505">
        <v>115655</v>
      </c>
      <c r="H338" s="505">
        <v>89725</v>
      </c>
      <c r="I338" s="505">
        <v>0</v>
      </c>
      <c r="J338" s="505">
        <v>25631</v>
      </c>
      <c r="K338" s="505">
        <v>231011</v>
      </c>
      <c r="L338" s="460"/>
      <c r="M338" s="505">
        <v>778</v>
      </c>
      <c r="N338" s="505">
        <v>0</v>
      </c>
      <c r="O338" s="505">
        <v>0</v>
      </c>
      <c r="P338" s="505">
        <v>84141</v>
      </c>
      <c r="Q338" s="505">
        <v>84919</v>
      </c>
      <c r="R338" s="460"/>
      <c r="S338" s="505">
        <v>197440</v>
      </c>
      <c r="T338" s="505">
        <v>-6353</v>
      </c>
      <c r="U338" s="505">
        <v>191087</v>
      </c>
      <c r="W338" s="454">
        <v>1169522</v>
      </c>
      <c r="X338" s="454">
        <v>240830</v>
      </c>
    </row>
    <row r="339" spans="1:24">
      <c r="A339" s="458">
        <v>93517</v>
      </c>
      <c r="B339" s="518" t="s">
        <v>1052</v>
      </c>
      <c r="C339" s="460">
        <f t="shared" si="6"/>
        <v>7.1600100429772802E-6</v>
      </c>
      <c r="D339" s="460">
        <f>VLOOKUP(A339,'2024 summary '!A339:C1245,3,FALSE)</f>
        <v>7.3000000000000004E-6</v>
      </c>
      <c r="E339" s="505">
        <v>48269</v>
      </c>
      <c r="F339" s="460"/>
      <c r="G339" s="505">
        <v>8459</v>
      </c>
      <c r="H339" s="505">
        <v>6562</v>
      </c>
      <c r="I339" s="505">
        <v>0</v>
      </c>
      <c r="J339" s="505">
        <v>9559</v>
      </c>
      <c r="K339" s="505">
        <v>24580</v>
      </c>
      <c r="L339" s="460"/>
      <c r="M339" s="505">
        <v>57</v>
      </c>
      <c r="N339" s="505">
        <v>0</v>
      </c>
      <c r="O339" s="505">
        <v>0</v>
      </c>
      <c r="P339" s="505">
        <v>4193</v>
      </c>
      <c r="Q339" s="505">
        <v>4250</v>
      </c>
      <c r="R339" s="460"/>
      <c r="S339" s="505">
        <v>14440</v>
      </c>
      <c r="T339" s="505">
        <v>5313</v>
      </c>
      <c r="U339" s="505">
        <v>19753</v>
      </c>
      <c r="W339" s="454">
        <v>85534</v>
      </c>
      <c r="X339" s="454">
        <v>17613</v>
      </c>
    </row>
    <row r="340" spans="1:24">
      <c r="A340" s="458">
        <v>93521</v>
      </c>
      <c r="B340" s="518" t="s">
        <v>1053</v>
      </c>
      <c r="C340" s="460">
        <f t="shared" si="6"/>
        <v>3.6659996064648202E-4</v>
      </c>
      <c r="D340" s="460">
        <f>VLOOKUP(A340,'2024 summary '!A340:C1246,3,FALSE)</f>
        <v>3.8265E-4</v>
      </c>
      <c r="E340" s="505">
        <v>2471423</v>
      </c>
      <c r="F340" s="460"/>
      <c r="G340" s="505">
        <v>433087</v>
      </c>
      <c r="H340" s="505">
        <v>335989</v>
      </c>
      <c r="I340" s="505">
        <v>0</v>
      </c>
      <c r="J340" s="505">
        <v>39958</v>
      </c>
      <c r="K340" s="505">
        <v>809034</v>
      </c>
      <c r="L340" s="460"/>
      <c r="M340" s="505">
        <v>2912</v>
      </c>
      <c r="N340" s="505">
        <v>0</v>
      </c>
      <c r="O340" s="505">
        <v>0</v>
      </c>
      <c r="P340" s="505">
        <v>95509</v>
      </c>
      <c r="Q340" s="505">
        <v>98421</v>
      </c>
      <c r="R340" s="460"/>
      <c r="S340" s="505">
        <v>739343</v>
      </c>
      <c r="T340" s="505">
        <v>-33530</v>
      </c>
      <c r="U340" s="505">
        <v>705813</v>
      </c>
      <c r="W340" s="454">
        <v>4379434</v>
      </c>
      <c r="X340" s="454">
        <v>901822</v>
      </c>
    </row>
    <row r="341" spans="1:24">
      <c r="A341" s="458">
        <v>93527</v>
      </c>
      <c r="B341" s="518" t="s">
        <v>1054</v>
      </c>
      <c r="C341" s="460">
        <f t="shared" si="6"/>
        <v>1.0569948323612092E-5</v>
      </c>
      <c r="D341" s="460">
        <f>VLOOKUP(A341,'2024 summary '!A341:C1247,3,FALSE)</f>
        <v>1.4749999999999999E-5</v>
      </c>
      <c r="E341" s="505">
        <v>71257</v>
      </c>
      <c r="F341" s="460"/>
      <c r="G341" s="505">
        <v>12487</v>
      </c>
      <c r="H341" s="505">
        <v>9687</v>
      </c>
      <c r="I341" s="505">
        <v>0</v>
      </c>
      <c r="J341" s="505">
        <v>2183</v>
      </c>
      <c r="K341" s="505">
        <v>24357</v>
      </c>
      <c r="L341" s="460"/>
      <c r="M341" s="505">
        <v>84</v>
      </c>
      <c r="N341" s="505">
        <v>0</v>
      </c>
      <c r="O341" s="505">
        <v>0</v>
      </c>
      <c r="P341" s="505">
        <v>7663</v>
      </c>
      <c r="Q341" s="505">
        <v>7747</v>
      </c>
      <c r="R341" s="460"/>
      <c r="S341" s="505">
        <v>21317</v>
      </c>
      <c r="T341" s="505">
        <v>4150</v>
      </c>
      <c r="U341" s="505">
        <v>25467</v>
      </c>
      <c r="W341" s="454">
        <v>126270</v>
      </c>
      <c r="X341" s="454">
        <v>26002</v>
      </c>
    </row>
    <row r="342" spans="1:24">
      <c r="A342" s="458">
        <v>93531</v>
      </c>
      <c r="B342" s="518" t="s">
        <v>1055</v>
      </c>
      <c r="C342" s="460">
        <f t="shared" si="6"/>
        <v>1.6999998984346293E-5</v>
      </c>
      <c r="D342" s="460">
        <f>VLOOKUP(A342,'2024 summary '!A342:C1248,3,FALSE)</f>
        <v>1.5840000000000001E-5</v>
      </c>
      <c r="E342" s="505">
        <v>114605</v>
      </c>
      <c r="F342" s="460"/>
      <c r="G342" s="505">
        <v>20083</v>
      </c>
      <c r="H342" s="505">
        <v>15580</v>
      </c>
      <c r="I342" s="505">
        <v>0</v>
      </c>
      <c r="J342" s="505">
        <v>16908</v>
      </c>
      <c r="K342" s="505">
        <v>52571</v>
      </c>
      <c r="L342" s="460"/>
      <c r="M342" s="505">
        <v>135</v>
      </c>
      <c r="N342" s="505">
        <v>0</v>
      </c>
      <c r="O342" s="505">
        <v>0</v>
      </c>
      <c r="P342" s="505">
        <v>16711</v>
      </c>
      <c r="Q342" s="505">
        <v>16846</v>
      </c>
      <c r="R342" s="460"/>
      <c r="S342" s="505">
        <v>34285</v>
      </c>
      <c r="T342" s="505">
        <v>211</v>
      </c>
      <c r="U342" s="505">
        <v>34496</v>
      </c>
      <c r="W342" s="454">
        <v>203083</v>
      </c>
      <c r="X342" s="454">
        <v>41819</v>
      </c>
    </row>
    <row r="343" spans="1:24">
      <c r="A343" s="458">
        <v>93537</v>
      </c>
      <c r="B343" s="518" t="s">
        <v>1056</v>
      </c>
      <c r="C343" s="460">
        <f t="shared" si="6"/>
        <v>8.569939717478493E-6</v>
      </c>
      <c r="D343" s="460">
        <f>VLOOKUP(A343,'2024 summary '!A343:C1249,3,FALSE)</f>
        <v>9.4299999999999995E-6</v>
      </c>
      <c r="E343" s="505">
        <v>57774</v>
      </c>
      <c r="F343" s="460"/>
      <c r="G343" s="505">
        <v>10124</v>
      </c>
      <c r="H343" s="505">
        <v>7854</v>
      </c>
      <c r="I343" s="505">
        <v>0</v>
      </c>
      <c r="J343" s="505">
        <v>284</v>
      </c>
      <c r="K343" s="505">
        <v>18262</v>
      </c>
      <c r="L343" s="460"/>
      <c r="M343" s="505">
        <v>68</v>
      </c>
      <c r="N343" s="505">
        <v>0</v>
      </c>
      <c r="O343" s="505">
        <v>0</v>
      </c>
      <c r="P343" s="505">
        <v>7426</v>
      </c>
      <c r="Q343" s="505">
        <v>7494</v>
      </c>
      <c r="R343" s="460"/>
      <c r="S343" s="505">
        <v>17284</v>
      </c>
      <c r="T343" s="505">
        <v>-3598</v>
      </c>
      <c r="U343" s="505">
        <v>13686</v>
      </c>
      <c r="W343" s="454">
        <v>102378</v>
      </c>
      <c r="X343" s="454">
        <v>21082</v>
      </c>
    </row>
    <row r="344" spans="1:24">
      <c r="A344" s="458">
        <v>93541</v>
      </c>
      <c r="B344" s="518" t="s">
        <v>1057</v>
      </c>
      <c r="C344" s="460">
        <f t="shared" si="6"/>
        <v>1.9121004921936034E-4</v>
      </c>
      <c r="D344" s="460">
        <f>VLOOKUP(A344,'2024 summary '!A344:C1250,3,FALSE)</f>
        <v>2.0911000000000001E-4</v>
      </c>
      <c r="E344" s="505">
        <v>1289037</v>
      </c>
      <c r="F344" s="460"/>
      <c r="G344" s="505">
        <v>225888</v>
      </c>
      <c r="H344" s="505">
        <v>175244</v>
      </c>
      <c r="I344" s="505">
        <v>0</v>
      </c>
      <c r="J344" s="505">
        <v>20502</v>
      </c>
      <c r="K344" s="505">
        <v>421634</v>
      </c>
      <c r="L344" s="460"/>
      <c r="M344" s="505">
        <v>1519</v>
      </c>
      <c r="N344" s="505">
        <v>0</v>
      </c>
      <c r="O344" s="505">
        <v>0</v>
      </c>
      <c r="P344" s="505">
        <v>85930</v>
      </c>
      <c r="Q344" s="505">
        <v>87449</v>
      </c>
      <c r="R344" s="460"/>
      <c r="S344" s="505">
        <v>385624</v>
      </c>
      <c r="T344" s="505">
        <v>-11902</v>
      </c>
      <c r="U344" s="505">
        <v>373722</v>
      </c>
      <c r="W344" s="454">
        <v>2284211</v>
      </c>
      <c r="X344" s="454">
        <v>470369</v>
      </c>
    </row>
    <row r="345" spans="1:24">
      <c r="A345" s="458">
        <v>93601</v>
      </c>
      <c r="B345" s="518" t="s">
        <v>1058</v>
      </c>
      <c r="C345" s="460">
        <f t="shared" si="6"/>
        <v>1.2251980036740917E-2</v>
      </c>
      <c r="D345" s="460">
        <f>VLOOKUP(A345,'2024 summary '!A345:C1251,3,FALSE)</f>
        <v>1.259859E-2</v>
      </c>
      <c r="E345" s="505">
        <v>82596368</v>
      </c>
      <c r="F345" s="460"/>
      <c r="G345" s="505">
        <v>14474011</v>
      </c>
      <c r="H345" s="505">
        <v>11228927</v>
      </c>
      <c r="I345" s="505">
        <v>0</v>
      </c>
      <c r="J345" s="505">
        <v>2226446</v>
      </c>
      <c r="K345" s="505">
        <v>27929384</v>
      </c>
      <c r="L345" s="460"/>
      <c r="M345" s="505">
        <v>97317</v>
      </c>
      <c r="N345" s="505">
        <v>0</v>
      </c>
      <c r="O345" s="505">
        <v>0</v>
      </c>
      <c r="P345" s="505">
        <v>910093</v>
      </c>
      <c r="Q345" s="505">
        <v>1007410</v>
      </c>
      <c r="R345" s="460"/>
      <c r="S345" s="505">
        <v>24709254</v>
      </c>
      <c r="T345" s="505">
        <v>1061846</v>
      </c>
      <c r="U345" s="505">
        <v>25771100</v>
      </c>
      <c r="W345" s="454">
        <v>146363182</v>
      </c>
      <c r="X345" s="454">
        <v>30139393</v>
      </c>
    </row>
    <row r="346" spans="1:24">
      <c r="A346" s="458">
        <v>93602</v>
      </c>
      <c r="B346" s="518" t="s">
        <v>1059</v>
      </c>
      <c r="C346" s="460">
        <f t="shared" si="6"/>
        <v>2.0192002632916172E-4</v>
      </c>
      <c r="D346" s="460">
        <f>VLOOKUP(A346,'2024 summary '!A346:C1252,3,FALSE)</f>
        <v>1.5061E-4</v>
      </c>
      <c r="E346" s="505">
        <v>1361238</v>
      </c>
      <c r="F346" s="460"/>
      <c r="G346" s="505">
        <v>238540</v>
      </c>
      <c r="H346" s="505">
        <v>185059</v>
      </c>
      <c r="I346" s="505">
        <v>0</v>
      </c>
      <c r="J346" s="505">
        <v>196686</v>
      </c>
      <c r="K346" s="505">
        <v>620285</v>
      </c>
      <c r="L346" s="460"/>
      <c r="M346" s="505">
        <v>1604</v>
      </c>
      <c r="N346" s="505">
        <v>0</v>
      </c>
      <c r="O346" s="505">
        <v>0</v>
      </c>
      <c r="P346" s="505">
        <v>40863</v>
      </c>
      <c r="Q346" s="505">
        <v>42467</v>
      </c>
      <c r="R346" s="460"/>
      <c r="S346" s="505">
        <v>407223</v>
      </c>
      <c r="T346" s="505">
        <v>68489</v>
      </c>
      <c r="U346" s="505">
        <v>475712</v>
      </c>
      <c r="W346" s="454">
        <v>2412153</v>
      </c>
      <c r="X346" s="454">
        <v>496715</v>
      </c>
    </row>
    <row r="347" spans="1:24">
      <c r="A347" s="458">
        <v>93604</v>
      </c>
      <c r="B347" s="518" t="s">
        <v>1926</v>
      </c>
      <c r="C347" s="460">
        <f t="shared" si="6"/>
        <v>1.8209972298907722E-5</v>
      </c>
      <c r="D347" s="460">
        <f>VLOOKUP(A347,'2024 summary '!A347:C1253,3,FALSE)</f>
        <v>2.02E-5</v>
      </c>
      <c r="E347" s="505">
        <v>122762</v>
      </c>
      <c r="F347" s="460"/>
      <c r="G347" s="505">
        <v>21513</v>
      </c>
      <c r="H347" s="505">
        <v>16689</v>
      </c>
      <c r="I347" s="505">
        <v>0</v>
      </c>
      <c r="J347" s="505">
        <v>10077</v>
      </c>
      <c r="K347" s="505">
        <v>48279</v>
      </c>
      <c r="L347" s="460"/>
      <c r="M347" s="505">
        <v>145</v>
      </c>
      <c r="N347" s="505">
        <v>0</v>
      </c>
      <c r="O347" s="505">
        <v>0</v>
      </c>
      <c r="P347" s="505">
        <v>1681</v>
      </c>
      <c r="Q347" s="505">
        <v>1826</v>
      </c>
      <c r="R347" s="460"/>
      <c r="S347" s="505">
        <v>36725</v>
      </c>
      <c r="T347" s="505">
        <v>8426</v>
      </c>
      <c r="U347" s="505">
        <v>45151</v>
      </c>
      <c r="W347" s="454">
        <v>217538</v>
      </c>
      <c r="X347" s="454">
        <v>44796</v>
      </c>
    </row>
    <row r="348" spans="1:24">
      <c r="A348" s="458">
        <v>93609</v>
      </c>
      <c r="B348" s="518" t="s">
        <v>1060</v>
      </c>
      <c r="C348" s="460">
        <f t="shared" si="6"/>
        <v>6.8621700014373024E-3</v>
      </c>
      <c r="D348" s="460">
        <f>VLOOKUP(A348,'2024 summary '!A348:C1254,3,FALSE)</f>
        <v>6.08371E-3</v>
      </c>
      <c r="E348" s="505">
        <v>46261120</v>
      </c>
      <c r="F348" s="460"/>
      <c r="G348" s="505">
        <v>8106700</v>
      </c>
      <c r="H348" s="505">
        <v>6289172</v>
      </c>
      <c r="I348" s="505">
        <v>0</v>
      </c>
      <c r="J348" s="505">
        <v>4437070</v>
      </c>
      <c r="K348" s="505">
        <v>18832942</v>
      </c>
      <c r="L348" s="460"/>
      <c r="M348" s="505">
        <v>54506</v>
      </c>
      <c r="N348" s="505">
        <v>0</v>
      </c>
      <c r="O348" s="505">
        <v>0</v>
      </c>
      <c r="P348" s="505">
        <v>64894</v>
      </c>
      <c r="Q348" s="505">
        <v>119400</v>
      </c>
      <c r="R348" s="460"/>
      <c r="S348" s="505">
        <v>13839323</v>
      </c>
      <c r="T348" s="505">
        <v>2270745</v>
      </c>
      <c r="U348" s="505">
        <v>16110068</v>
      </c>
      <c r="W348" s="454">
        <v>81976059</v>
      </c>
      <c r="X348" s="454">
        <v>16880671</v>
      </c>
    </row>
    <row r="349" spans="1:24">
      <c r="A349" s="458">
        <v>93610</v>
      </c>
      <c r="B349" s="518" t="s">
        <v>1061</v>
      </c>
      <c r="C349" s="460">
        <f t="shared" si="6"/>
        <v>1.4680030535193325E-5</v>
      </c>
      <c r="D349" s="460">
        <f>VLOOKUP(A349,'2024 summary '!A349:C1255,3,FALSE)</f>
        <v>1.535E-5</v>
      </c>
      <c r="E349" s="505">
        <v>98965</v>
      </c>
      <c r="F349" s="460"/>
      <c r="G349" s="505">
        <v>17342</v>
      </c>
      <c r="H349" s="505">
        <v>13454</v>
      </c>
      <c r="I349" s="505">
        <v>0</v>
      </c>
      <c r="J349" s="505">
        <v>0</v>
      </c>
      <c r="K349" s="505">
        <v>30796</v>
      </c>
      <c r="L349" s="460"/>
      <c r="M349" s="505">
        <v>117</v>
      </c>
      <c r="N349" s="505">
        <v>0</v>
      </c>
      <c r="O349" s="505">
        <v>0</v>
      </c>
      <c r="P349" s="505">
        <v>3411</v>
      </c>
      <c r="Q349" s="505">
        <v>3528</v>
      </c>
      <c r="R349" s="460"/>
      <c r="S349" s="505">
        <v>29606</v>
      </c>
      <c r="T349" s="505">
        <v>-1982</v>
      </c>
      <c r="U349" s="505">
        <v>27624</v>
      </c>
      <c r="W349" s="454">
        <v>175369</v>
      </c>
      <c r="X349" s="454">
        <v>36112</v>
      </c>
    </row>
    <row r="350" spans="1:24">
      <c r="A350" s="458">
        <v>93611</v>
      </c>
      <c r="B350" s="518" t="s">
        <v>1062</v>
      </c>
      <c r="C350" s="460">
        <f t="shared" si="6"/>
        <v>6.4392400498278733E-3</v>
      </c>
      <c r="D350" s="460">
        <f>VLOOKUP(A350,'2024 summary '!A350:C1256,3,FALSE)</f>
        <v>6.6762000000000002E-3</v>
      </c>
      <c r="E350" s="505">
        <v>43409950</v>
      </c>
      <c r="F350" s="460"/>
      <c r="G350" s="505">
        <v>7607067</v>
      </c>
      <c r="H350" s="505">
        <v>5901557</v>
      </c>
      <c r="I350" s="505">
        <v>0</v>
      </c>
      <c r="J350" s="505">
        <v>443704</v>
      </c>
      <c r="K350" s="505">
        <v>13952328</v>
      </c>
      <c r="L350" s="460"/>
      <c r="M350" s="505">
        <v>51147</v>
      </c>
      <c r="N350" s="505">
        <v>0</v>
      </c>
      <c r="O350" s="505">
        <v>0</v>
      </c>
      <c r="P350" s="505">
        <v>714559</v>
      </c>
      <c r="Q350" s="505">
        <v>765706</v>
      </c>
      <c r="R350" s="460"/>
      <c r="S350" s="505">
        <v>12986376</v>
      </c>
      <c r="T350" s="505">
        <v>-98157</v>
      </c>
      <c r="U350" s="505">
        <v>12888219</v>
      </c>
      <c r="W350" s="454">
        <v>76923702</v>
      </c>
      <c r="X350" s="454">
        <v>15840279</v>
      </c>
    </row>
    <row r="351" spans="1:24">
      <c r="A351" s="458">
        <v>93617</v>
      </c>
      <c r="B351" s="518" t="s">
        <v>1063</v>
      </c>
      <c r="C351" s="460">
        <f t="shared" si="6"/>
        <v>9.4030071603997206E-5</v>
      </c>
      <c r="D351" s="460">
        <f>VLOOKUP(A351,'2024 summary '!A351:C1257,3,FALSE)</f>
        <v>1.0205E-4</v>
      </c>
      <c r="E351" s="505">
        <v>633901</v>
      </c>
      <c r="F351" s="460"/>
      <c r="G351" s="505">
        <v>111083</v>
      </c>
      <c r="H351" s="505">
        <v>86178</v>
      </c>
      <c r="I351" s="505">
        <v>0</v>
      </c>
      <c r="J351" s="505">
        <v>26188</v>
      </c>
      <c r="K351" s="505">
        <v>223449</v>
      </c>
      <c r="L351" s="460"/>
      <c r="M351" s="505">
        <v>747</v>
      </c>
      <c r="N351" s="505">
        <v>0</v>
      </c>
      <c r="O351" s="505">
        <v>0</v>
      </c>
      <c r="P351" s="505">
        <v>2317</v>
      </c>
      <c r="Q351" s="505">
        <v>3064</v>
      </c>
      <c r="R351" s="460"/>
      <c r="S351" s="505">
        <v>189636</v>
      </c>
      <c r="T351" s="505">
        <v>30978</v>
      </c>
      <c r="U351" s="505">
        <v>220614</v>
      </c>
      <c r="W351" s="454">
        <v>1123290</v>
      </c>
      <c r="X351" s="454">
        <v>231310</v>
      </c>
    </row>
    <row r="352" spans="1:24">
      <c r="A352" s="458">
        <v>93618</v>
      </c>
      <c r="B352" s="518" t="s">
        <v>1064</v>
      </c>
      <c r="C352" s="460">
        <f t="shared" si="6"/>
        <v>7.3599664029170637E-6</v>
      </c>
      <c r="D352" s="460">
        <f>VLOOKUP(A352,'2024 summary '!A352:C1258,3,FALSE)</f>
        <v>6.7399999999999998E-6</v>
      </c>
      <c r="E352" s="505">
        <v>49617</v>
      </c>
      <c r="F352" s="460"/>
      <c r="G352" s="505">
        <v>8695</v>
      </c>
      <c r="H352" s="505">
        <v>6745</v>
      </c>
      <c r="I352" s="505">
        <v>0</v>
      </c>
      <c r="J352" s="505">
        <v>37083</v>
      </c>
      <c r="K352" s="505">
        <v>52523</v>
      </c>
      <c r="L352" s="460"/>
      <c r="M352" s="505">
        <v>58</v>
      </c>
      <c r="N352" s="505">
        <v>0</v>
      </c>
      <c r="O352" s="505">
        <v>0</v>
      </c>
      <c r="P352" s="505">
        <v>1308</v>
      </c>
      <c r="Q352" s="505">
        <v>1366</v>
      </c>
      <c r="R352" s="460"/>
      <c r="S352" s="505">
        <v>14843</v>
      </c>
      <c r="T352" s="505">
        <v>24842</v>
      </c>
      <c r="U352" s="505">
        <v>39685</v>
      </c>
      <c r="W352" s="454">
        <v>87923</v>
      </c>
      <c r="X352" s="454">
        <v>18105</v>
      </c>
    </row>
    <row r="353" spans="1:24">
      <c r="A353" s="458">
        <v>93621</v>
      </c>
      <c r="B353" s="518" t="s">
        <v>1065</v>
      </c>
      <c r="C353" s="460">
        <f t="shared" si="6"/>
        <v>1.3299100466306524E-3</v>
      </c>
      <c r="D353" s="460">
        <f>VLOOKUP(A353,'2024 summary '!A353:C1259,3,FALSE)</f>
        <v>1.2275999999999999E-3</v>
      </c>
      <c r="E353" s="505">
        <v>8965550</v>
      </c>
      <c r="F353" s="460"/>
      <c r="G353" s="505">
        <v>1571104</v>
      </c>
      <c r="H353" s="505">
        <v>1218861</v>
      </c>
      <c r="I353" s="505">
        <v>0</v>
      </c>
      <c r="J353" s="505">
        <v>169171</v>
      </c>
      <c r="K353" s="505">
        <v>2959136</v>
      </c>
      <c r="L353" s="460"/>
      <c r="M353" s="505">
        <v>10563</v>
      </c>
      <c r="N353" s="505">
        <v>0</v>
      </c>
      <c r="O353" s="505">
        <v>0</v>
      </c>
      <c r="P353" s="505">
        <v>107027</v>
      </c>
      <c r="Q353" s="505">
        <v>117590</v>
      </c>
      <c r="R353" s="460"/>
      <c r="S353" s="505">
        <v>2682104</v>
      </c>
      <c r="T353" s="505">
        <v>22539</v>
      </c>
      <c r="U353" s="505">
        <v>2704643</v>
      </c>
      <c r="W353" s="454">
        <v>15887217</v>
      </c>
      <c r="X353" s="454">
        <v>3271527</v>
      </c>
    </row>
    <row r="354" spans="1:24">
      <c r="A354" s="458">
        <v>93623</v>
      </c>
      <c r="B354" s="518" t="s">
        <v>1066</v>
      </c>
      <c r="C354" s="460">
        <f t="shared" si="6"/>
        <v>1.0009981514433547E-5</v>
      </c>
      <c r="D354" s="460">
        <f>VLOOKUP(A354,'2024 summary '!A354:C1260,3,FALSE)</f>
        <v>1.079E-5</v>
      </c>
      <c r="E354" s="505">
        <v>67482</v>
      </c>
      <c r="F354" s="460"/>
      <c r="G354" s="505">
        <v>11825</v>
      </c>
      <c r="H354" s="505">
        <v>9174</v>
      </c>
      <c r="I354" s="505">
        <v>0</v>
      </c>
      <c r="J354" s="505">
        <v>3379</v>
      </c>
      <c r="K354" s="505">
        <v>24378</v>
      </c>
      <c r="L354" s="460"/>
      <c r="M354" s="505">
        <v>80</v>
      </c>
      <c r="N354" s="505">
        <v>0</v>
      </c>
      <c r="O354" s="505">
        <v>0</v>
      </c>
      <c r="P354" s="505">
        <v>114</v>
      </c>
      <c r="Q354" s="505">
        <v>194</v>
      </c>
      <c r="R354" s="460"/>
      <c r="S354" s="505">
        <v>20188</v>
      </c>
      <c r="T354" s="505">
        <v>1574</v>
      </c>
      <c r="U354" s="505">
        <v>21762</v>
      </c>
      <c r="W354" s="454">
        <v>119580</v>
      </c>
      <c r="X354" s="454">
        <v>24624</v>
      </c>
    </row>
    <row r="355" spans="1:24">
      <c r="A355" s="458">
        <v>93631</v>
      </c>
      <c r="B355" s="518" t="s">
        <v>1067</v>
      </c>
      <c r="C355" s="460">
        <f t="shared" si="6"/>
        <v>2.7424993780559903E-4</v>
      </c>
      <c r="D355" s="460">
        <f>VLOOKUP(A355,'2024 summary '!A355:C1261,3,FALSE)</f>
        <v>2.6928999999999999E-4</v>
      </c>
      <c r="E355" s="505">
        <v>1848848</v>
      </c>
      <c r="F355" s="460"/>
      <c r="G355" s="505">
        <v>323988</v>
      </c>
      <c r="H355" s="505">
        <v>251350</v>
      </c>
      <c r="I355" s="505">
        <v>0</v>
      </c>
      <c r="J355" s="505">
        <v>39433</v>
      </c>
      <c r="K355" s="505">
        <v>614771</v>
      </c>
      <c r="L355" s="460"/>
      <c r="M355" s="505">
        <v>2178</v>
      </c>
      <c r="N355" s="505">
        <v>0</v>
      </c>
      <c r="O355" s="505">
        <v>0</v>
      </c>
      <c r="P355" s="505">
        <v>20674</v>
      </c>
      <c r="Q355" s="505">
        <v>22852</v>
      </c>
      <c r="R355" s="460"/>
      <c r="S355" s="505">
        <v>553095</v>
      </c>
      <c r="T355" s="505">
        <v>-14972</v>
      </c>
      <c r="U355" s="505">
        <v>538123</v>
      </c>
      <c r="W355" s="454">
        <v>3276214</v>
      </c>
      <c r="X355" s="454">
        <v>674644</v>
      </c>
    </row>
    <row r="356" spans="1:24">
      <c r="A356" s="458">
        <v>93641</v>
      </c>
      <c r="B356" s="518" t="s">
        <v>1068</v>
      </c>
      <c r="C356" s="460">
        <f t="shared" si="6"/>
        <v>3.8988004302160765E-4</v>
      </c>
      <c r="D356" s="460">
        <f>VLOOKUP(A356,'2024 summary '!A356:C1262,3,FALSE)</f>
        <v>4.0025999999999999E-4</v>
      </c>
      <c r="E356" s="505">
        <v>2628365</v>
      </c>
      <c r="F356" s="460"/>
      <c r="G356" s="505">
        <v>460589</v>
      </c>
      <c r="H356" s="505">
        <v>357325</v>
      </c>
      <c r="I356" s="505">
        <v>0</v>
      </c>
      <c r="J356" s="505">
        <v>48912</v>
      </c>
      <c r="K356" s="505">
        <v>866826</v>
      </c>
      <c r="L356" s="460"/>
      <c r="M356" s="505">
        <v>3097</v>
      </c>
      <c r="N356" s="505">
        <v>0</v>
      </c>
      <c r="O356" s="505">
        <v>0</v>
      </c>
      <c r="P356" s="505">
        <v>18777</v>
      </c>
      <c r="Q356" s="505">
        <v>21874</v>
      </c>
      <c r="R356" s="460"/>
      <c r="S356" s="505">
        <v>786293</v>
      </c>
      <c r="T356" s="505">
        <v>45335</v>
      </c>
      <c r="U356" s="505">
        <v>831628</v>
      </c>
      <c r="W356" s="454">
        <v>4657539</v>
      </c>
      <c r="X356" s="454">
        <v>959090</v>
      </c>
    </row>
    <row r="357" spans="1:24">
      <c r="A357" s="458">
        <v>93647</v>
      </c>
      <c r="B357" s="518" t="s">
        <v>1069</v>
      </c>
      <c r="C357" s="460">
        <f t="shared" si="6"/>
        <v>3.279996313789671E-6</v>
      </c>
      <c r="D357" s="460">
        <f>VLOOKUP(A357,'2024 summary '!A357:C1263,3,FALSE)</f>
        <v>3.6799999999999999E-6</v>
      </c>
      <c r="E357" s="505">
        <v>22112</v>
      </c>
      <c r="F357" s="460"/>
      <c r="G357" s="505">
        <v>3875</v>
      </c>
      <c r="H357" s="505">
        <v>3006</v>
      </c>
      <c r="I357" s="505">
        <v>0</v>
      </c>
      <c r="J357" s="505">
        <v>10285</v>
      </c>
      <c r="K357" s="505">
        <v>17166</v>
      </c>
      <c r="L357" s="460"/>
      <c r="M357" s="505">
        <v>26</v>
      </c>
      <c r="N357" s="505">
        <v>0</v>
      </c>
      <c r="O357" s="505">
        <v>0</v>
      </c>
      <c r="P357" s="505">
        <v>1249</v>
      </c>
      <c r="Q357" s="505">
        <v>1275</v>
      </c>
      <c r="R357" s="460"/>
      <c r="S357" s="505">
        <v>6615</v>
      </c>
      <c r="T357" s="505">
        <v>7796</v>
      </c>
      <c r="U357" s="505">
        <v>14411</v>
      </c>
      <c r="W357" s="454">
        <v>39183</v>
      </c>
      <c r="X357" s="454">
        <v>8069</v>
      </c>
    </row>
    <row r="358" spans="1:24">
      <c r="A358" s="458">
        <v>93651</v>
      </c>
      <c r="B358" s="518" t="s">
        <v>1070</v>
      </c>
      <c r="C358" s="460">
        <f t="shared" si="6"/>
        <v>4.2461000037254332E-4</v>
      </c>
      <c r="D358" s="460">
        <f>VLOOKUP(A358,'2024 summary '!A358:C1264,3,FALSE)</f>
        <v>4.5143000000000001E-4</v>
      </c>
      <c r="E358" s="505">
        <v>2862496</v>
      </c>
      <c r="F358" s="460"/>
      <c r="G358" s="505">
        <v>501618</v>
      </c>
      <c r="H358" s="505">
        <v>389155</v>
      </c>
      <c r="I358" s="505">
        <v>0</v>
      </c>
      <c r="J358" s="505">
        <v>9928</v>
      </c>
      <c r="K358" s="505">
        <v>900701</v>
      </c>
      <c r="L358" s="460"/>
      <c r="M358" s="505">
        <v>3373</v>
      </c>
      <c r="N358" s="505">
        <v>0</v>
      </c>
      <c r="O358" s="505">
        <v>0</v>
      </c>
      <c r="P358" s="505">
        <v>119124</v>
      </c>
      <c r="Q358" s="505">
        <v>122497</v>
      </c>
      <c r="R358" s="460"/>
      <c r="S358" s="505">
        <v>856335</v>
      </c>
      <c r="T358" s="505">
        <v>-50168</v>
      </c>
      <c r="U358" s="505">
        <v>806167</v>
      </c>
      <c r="W358" s="454">
        <v>5072427</v>
      </c>
      <c r="X358" s="454">
        <v>1044524</v>
      </c>
    </row>
    <row r="359" spans="1:24">
      <c r="A359" s="458">
        <v>93661</v>
      </c>
      <c r="B359" s="518" t="s">
        <v>1071</v>
      </c>
      <c r="C359" s="460">
        <f t="shared" si="6"/>
        <v>2.5343993948515975E-4</v>
      </c>
      <c r="D359" s="460">
        <f>VLOOKUP(A359,'2024 summary '!A359:C1265,3,FALSE)</f>
        <v>1.9258E-4</v>
      </c>
      <c r="E359" s="505">
        <v>1708558</v>
      </c>
      <c r="F359" s="460"/>
      <c r="G359" s="505">
        <v>299404</v>
      </c>
      <c r="H359" s="505">
        <v>232278</v>
      </c>
      <c r="I359" s="505">
        <v>0</v>
      </c>
      <c r="J359" s="505">
        <v>207142</v>
      </c>
      <c r="K359" s="505">
        <v>738824</v>
      </c>
      <c r="L359" s="460"/>
      <c r="M359" s="505">
        <v>2013</v>
      </c>
      <c r="N359" s="505">
        <v>0</v>
      </c>
      <c r="O359" s="505">
        <v>0</v>
      </c>
      <c r="P359" s="505">
        <v>8638</v>
      </c>
      <c r="Q359" s="505">
        <v>10651</v>
      </c>
      <c r="R359" s="460"/>
      <c r="S359" s="505">
        <v>511127</v>
      </c>
      <c r="T359" s="505">
        <v>76533</v>
      </c>
      <c r="U359" s="505">
        <v>587660</v>
      </c>
      <c r="W359" s="454">
        <v>3027616</v>
      </c>
      <c r="X359" s="454">
        <v>623453</v>
      </c>
    </row>
    <row r="360" spans="1:24">
      <c r="A360" s="458">
        <v>93671</v>
      </c>
      <c r="B360" s="518" t="s">
        <v>1072</v>
      </c>
      <c r="C360" s="460">
        <f t="shared" si="6"/>
        <v>3.3447002931707786E-4</v>
      </c>
      <c r="D360" s="460">
        <f>VLOOKUP(A360,'2024 summary '!A360:C1266,3,FALSE)</f>
        <v>3.9650999999999998E-4</v>
      </c>
      <c r="E360" s="505">
        <v>2254820</v>
      </c>
      <c r="F360" s="460"/>
      <c r="G360" s="505">
        <v>395130</v>
      </c>
      <c r="H360" s="505">
        <v>306541</v>
      </c>
      <c r="I360" s="505">
        <v>0</v>
      </c>
      <c r="J360" s="505">
        <v>87358</v>
      </c>
      <c r="K360" s="505">
        <v>789029</v>
      </c>
      <c r="L360" s="460"/>
      <c r="M360" s="505">
        <v>2657</v>
      </c>
      <c r="N360" s="505">
        <v>0</v>
      </c>
      <c r="O360" s="505">
        <v>0</v>
      </c>
      <c r="P360" s="505">
        <v>166633</v>
      </c>
      <c r="Q360" s="505">
        <v>169290</v>
      </c>
      <c r="R360" s="460"/>
      <c r="S360" s="505">
        <v>674544</v>
      </c>
      <c r="T360" s="505">
        <v>-4492</v>
      </c>
      <c r="U360" s="505">
        <v>670052</v>
      </c>
      <c r="W360" s="454">
        <v>3995607</v>
      </c>
      <c r="X360" s="454">
        <v>822783</v>
      </c>
    </row>
    <row r="361" spans="1:24">
      <c r="A361" s="458">
        <v>93681</v>
      </c>
      <c r="B361" s="518" t="s">
        <v>1073</v>
      </c>
      <c r="C361" s="460">
        <f t="shared" si="6"/>
        <v>2.083199648674421E-4</v>
      </c>
      <c r="D361" s="460">
        <f>VLOOKUP(A361,'2024 summary '!A361:C1267,3,FALSE)</f>
        <v>1.9620999999999999E-4</v>
      </c>
      <c r="E361" s="505">
        <v>1404383</v>
      </c>
      <c r="F361" s="460"/>
      <c r="G361" s="505">
        <v>246101</v>
      </c>
      <c r="H361" s="505">
        <v>190925</v>
      </c>
      <c r="I361" s="505">
        <v>0</v>
      </c>
      <c r="J361" s="505">
        <v>22667</v>
      </c>
      <c r="K361" s="505">
        <v>459693</v>
      </c>
      <c r="L361" s="460"/>
      <c r="M361" s="505">
        <v>1655</v>
      </c>
      <c r="N361" s="505">
        <v>0</v>
      </c>
      <c r="O361" s="505">
        <v>0</v>
      </c>
      <c r="P361" s="505">
        <v>16690</v>
      </c>
      <c r="Q361" s="505">
        <v>18345</v>
      </c>
      <c r="R361" s="460"/>
      <c r="S361" s="505">
        <v>420131</v>
      </c>
      <c r="T361" s="505">
        <v>14581</v>
      </c>
      <c r="U361" s="505">
        <v>434712</v>
      </c>
      <c r="W361" s="454">
        <v>2488608</v>
      </c>
      <c r="X361" s="454">
        <v>512459</v>
      </c>
    </row>
    <row r="362" spans="1:24">
      <c r="A362" s="458">
        <v>93691</v>
      </c>
      <c r="B362" s="518" t="s">
        <v>1074</v>
      </c>
      <c r="C362" s="460">
        <f t="shared" si="6"/>
        <v>1.2513800046402958E-3</v>
      </c>
      <c r="D362" s="460">
        <f>VLOOKUP(A362,'2024 summary '!A362:C1268,3,FALSE)</f>
        <v>1.10221E-3</v>
      </c>
      <c r="E362" s="505">
        <v>8436142</v>
      </c>
      <c r="F362" s="460"/>
      <c r="G362" s="505">
        <v>1478332</v>
      </c>
      <c r="H362" s="505">
        <v>1146889</v>
      </c>
      <c r="I362" s="505">
        <v>0</v>
      </c>
      <c r="J362" s="505">
        <v>402619</v>
      </c>
      <c r="K362" s="505">
        <v>3027840</v>
      </c>
      <c r="L362" s="460"/>
      <c r="M362" s="505">
        <v>9940</v>
      </c>
      <c r="N362" s="505">
        <v>0</v>
      </c>
      <c r="O362" s="505">
        <v>0</v>
      </c>
      <c r="P362" s="505">
        <v>56036</v>
      </c>
      <c r="Q362" s="505">
        <v>65976</v>
      </c>
      <c r="R362" s="460"/>
      <c r="S362" s="505">
        <v>2523728</v>
      </c>
      <c r="T362" s="505">
        <v>63752</v>
      </c>
      <c r="U362" s="505">
        <v>2587480</v>
      </c>
      <c r="W362" s="454">
        <v>14949091</v>
      </c>
      <c r="X362" s="454">
        <v>3078346</v>
      </c>
    </row>
    <row r="363" spans="1:24">
      <c r="A363" s="458">
        <v>93701</v>
      </c>
      <c r="B363" s="518" t="s">
        <v>1075</v>
      </c>
      <c r="C363" s="460">
        <f t="shared" si="6"/>
        <v>4.1375999447655268E-4</v>
      </c>
      <c r="D363" s="460">
        <f>VLOOKUP(A363,'2024 summary '!A363:C1269,3,FALSE)</f>
        <v>4.1406E-4</v>
      </c>
      <c r="E363" s="505">
        <v>2789351</v>
      </c>
      <c r="F363" s="460"/>
      <c r="G363" s="505">
        <v>488800</v>
      </c>
      <c r="H363" s="505">
        <v>379211</v>
      </c>
      <c r="I363" s="505">
        <v>0</v>
      </c>
      <c r="J363" s="505">
        <v>22674</v>
      </c>
      <c r="K363" s="505">
        <v>890685</v>
      </c>
      <c r="L363" s="460"/>
      <c r="M363" s="505">
        <v>3286</v>
      </c>
      <c r="N363" s="505">
        <v>0</v>
      </c>
      <c r="O363" s="505">
        <v>0</v>
      </c>
      <c r="P363" s="505">
        <v>44972</v>
      </c>
      <c r="Q363" s="505">
        <v>48258</v>
      </c>
      <c r="R363" s="460"/>
      <c r="S363" s="505">
        <v>834453</v>
      </c>
      <c r="T363" s="505">
        <v>-17752</v>
      </c>
      <c r="U363" s="505">
        <v>816701</v>
      </c>
      <c r="W363" s="454">
        <v>4942812</v>
      </c>
      <c r="X363" s="454">
        <v>1017833</v>
      </c>
    </row>
    <row r="364" spans="1:24">
      <c r="A364" s="458">
        <v>93704</v>
      </c>
      <c r="B364" s="518" t="s">
        <v>1076</v>
      </c>
      <c r="C364" s="460">
        <f t="shared" si="6"/>
        <v>2.6500151115164829E-6</v>
      </c>
      <c r="D364" s="460">
        <f>VLOOKUP(A364,'2024 summary '!A364:C1270,3,FALSE)</f>
        <v>1.17E-6</v>
      </c>
      <c r="E364" s="505">
        <v>17865</v>
      </c>
      <c r="F364" s="460"/>
      <c r="G364" s="505">
        <v>3131</v>
      </c>
      <c r="H364" s="505">
        <v>2429</v>
      </c>
      <c r="I364" s="505">
        <v>0</v>
      </c>
      <c r="J364" s="505">
        <v>8064</v>
      </c>
      <c r="K364" s="505">
        <v>13624</v>
      </c>
      <c r="L364" s="460"/>
      <c r="M364" s="505">
        <v>21</v>
      </c>
      <c r="N364" s="505">
        <v>0</v>
      </c>
      <c r="O364" s="505">
        <v>0</v>
      </c>
      <c r="P364" s="505">
        <v>572</v>
      </c>
      <c r="Q364" s="505">
        <v>593</v>
      </c>
      <c r="R364" s="460"/>
      <c r="S364" s="505">
        <v>5344</v>
      </c>
      <c r="T364" s="505">
        <v>3328</v>
      </c>
      <c r="U364" s="505">
        <v>8672</v>
      </c>
      <c r="W364" s="454">
        <v>31657</v>
      </c>
      <c r="X364" s="454">
        <v>6519</v>
      </c>
    </row>
    <row r="365" spans="1:24">
      <c r="A365" s="458">
        <v>93801</v>
      </c>
      <c r="B365" s="518" t="s">
        <v>1077</v>
      </c>
      <c r="C365" s="460">
        <f t="shared" si="6"/>
        <v>6.3560994413837716E-4</v>
      </c>
      <c r="D365" s="460">
        <f>VLOOKUP(A365,'2024 summary '!A365:C1271,3,FALSE)</f>
        <v>5.9953999999999997E-4</v>
      </c>
      <c r="E365" s="505">
        <v>4284946</v>
      </c>
      <c r="F365" s="460"/>
      <c r="G365" s="505">
        <v>750885</v>
      </c>
      <c r="H365" s="505">
        <v>582536</v>
      </c>
      <c r="I365" s="505">
        <v>0</v>
      </c>
      <c r="J365" s="505">
        <v>262926</v>
      </c>
      <c r="K365" s="505">
        <v>1596347</v>
      </c>
      <c r="L365" s="460"/>
      <c r="M365" s="505">
        <v>5049</v>
      </c>
      <c r="N365" s="505">
        <v>0</v>
      </c>
      <c r="O365" s="505">
        <v>0</v>
      </c>
      <c r="P365" s="505">
        <v>159918</v>
      </c>
      <c r="Q365" s="505">
        <v>164967</v>
      </c>
      <c r="R365" s="460"/>
      <c r="S365" s="505">
        <v>1281870</v>
      </c>
      <c r="T365" s="505">
        <v>98445</v>
      </c>
      <c r="U365" s="505">
        <v>1380315</v>
      </c>
      <c r="W365" s="454">
        <v>7593050</v>
      </c>
      <c r="X365" s="454">
        <v>1563576</v>
      </c>
    </row>
    <row r="366" spans="1:24">
      <c r="A366" s="458">
        <v>93803</v>
      </c>
      <c r="B366" s="518" t="s">
        <v>1078</v>
      </c>
      <c r="C366" s="460">
        <f t="shared" si="6"/>
        <v>1.175200488228282E-4</v>
      </c>
      <c r="D366" s="460">
        <f>VLOOKUP(A366,'2024 summary '!A366:C1272,3,FALSE)</f>
        <v>1.1512E-4</v>
      </c>
      <c r="E366" s="505">
        <v>792258</v>
      </c>
      <c r="F366" s="460"/>
      <c r="G366" s="505">
        <v>138834</v>
      </c>
      <c r="H366" s="505">
        <v>107707</v>
      </c>
      <c r="I366" s="505">
        <v>0</v>
      </c>
      <c r="J366" s="505">
        <v>12317</v>
      </c>
      <c r="K366" s="505">
        <v>258858</v>
      </c>
      <c r="L366" s="460"/>
      <c r="M366" s="505">
        <v>933</v>
      </c>
      <c r="N366" s="505">
        <v>0</v>
      </c>
      <c r="O366" s="505">
        <v>0</v>
      </c>
      <c r="P366" s="505">
        <v>21597</v>
      </c>
      <c r="Q366" s="505">
        <v>22530</v>
      </c>
      <c r="R366" s="460"/>
      <c r="S366" s="505">
        <v>237009</v>
      </c>
      <c r="T366" s="505">
        <v>4838</v>
      </c>
      <c r="U366" s="505">
        <v>241847</v>
      </c>
      <c r="W366" s="454">
        <v>1403904</v>
      </c>
      <c r="X366" s="454">
        <v>289095</v>
      </c>
    </row>
    <row r="367" spans="1:24">
      <c r="A367" s="458">
        <v>93806</v>
      </c>
      <c r="B367" s="518" t="s">
        <v>1079</v>
      </c>
      <c r="C367" s="460">
        <f t="shared" si="6"/>
        <v>1.4663001610771152E-4</v>
      </c>
      <c r="D367" s="460">
        <f>VLOOKUP(A367,'2024 summary '!A367:C1273,3,FALSE)</f>
        <v>1.2410000000000001E-4</v>
      </c>
      <c r="E367" s="505">
        <v>988502</v>
      </c>
      <c r="F367" s="460"/>
      <c r="G367" s="505">
        <v>173223</v>
      </c>
      <c r="H367" s="505">
        <v>134386</v>
      </c>
      <c r="I367" s="505">
        <v>0</v>
      </c>
      <c r="J367" s="505">
        <v>94089</v>
      </c>
      <c r="K367" s="505">
        <v>401698</v>
      </c>
      <c r="L367" s="460"/>
      <c r="M367" s="505">
        <v>1165</v>
      </c>
      <c r="N367" s="505">
        <v>0</v>
      </c>
      <c r="O367" s="505">
        <v>0</v>
      </c>
      <c r="P367" s="505">
        <v>19639</v>
      </c>
      <c r="Q367" s="505">
        <v>20804</v>
      </c>
      <c r="R367" s="460"/>
      <c r="S367" s="505">
        <v>295717</v>
      </c>
      <c r="T367" s="505">
        <v>45664</v>
      </c>
      <c r="U367" s="505">
        <v>341381</v>
      </c>
      <c r="W367" s="454">
        <v>1751654</v>
      </c>
      <c r="X367" s="454">
        <v>360704</v>
      </c>
    </row>
    <row r="368" spans="1:24">
      <c r="A368" s="458">
        <v>93821</v>
      </c>
      <c r="B368" s="518" t="s">
        <v>1080</v>
      </c>
      <c r="C368" s="460">
        <f t="shared" si="6"/>
        <v>4.6440012931593136E-5</v>
      </c>
      <c r="D368" s="460">
        <f>VLOOKUP(A368,'2024 summary '!A368:C1274,3,FALSE)</f>
        <v>5.6289999999999998E-5</v>
      </c>
      <c r="E368" s="505">
        <v>313074</v>
      </c>
      <c r="F368" s="460"/>
      <c r="G368" s="505">
        <v>54862</v>
      </c>
      <c r="H368" s="505">
        <v>42562</v>
      </c>
      <c r="I368" s="505">
        <v>0</v>
      </c>
      <c r="J368" s="505">
        <v>670</v>
      </c>
      <c r="K368" s="505">
        <v>98094</v>
      </c>
      <c r="L368" s="460"/>
      <c r="M368" s="505">
        <v>369</v>
      </c>
      <c r="N368" s="505">
        <v>0</v>
      </c>
      <c r="O368" s="505">
        <v>0</v>
      </c>
      <c r="P368" s="505">
        <v>35026</v>
      </c>
      <c r="Q368" s="505">
        <v>35395</v>
      </c>
      <c r="R368" s="460"/>
      <c r="S368" s="505">
        <v>93658</v>
      </c>
      <c r="T368" s="505">
        <v>-12316</v>
      </c>
      <c r="U368" s="505">
        <v>81342</v>
      </c>
      <c r="W368" s="454">
        <v>554776</v>
      </c>
      <c r="X368" s="454">
        <v>114241</v>
      </c>
    </row>
    <row r="369" spans="1:24">
      <c r="A369" s="458">
        <v>93901</v>
      </c>
      <c r="B369" s="518" t="s">
        <v>1081</v>
      </c>
      <c r="C369" s="460">
        <f t="shared" si="6"/>
        <v>1.7288700070889321E-3</v>
      </c>
      <c r="D369" s="460">
        <f>VLOOKUP(A369,'2024 summary '!A369:C1275,3,FALSE)</f>
        <v>1.8847600000000001E-3</v>
      </c>
      <c r="E369" s="505">
        <v>11655127</v>
      </c>
      <c r="F369" s="460"/>
      <c r="G369" s="505">
        <v>2042420</v>
      </c>
      <c r="H369" s="505">
        <v>1584508</v>
      </c>
      <c r="I369" s="505">
        <v>0</v>
      </c>
      <c r="J369" s="505">
        <v>99412</v>
      </c>
      <c r="K369" s="505">
        <v>3726340</v>
      </c>
      <c r="L369" s="460"/>
      <c r="M369" s="505">
        <v>13732</v>
      </c>
      <c r="N369" s="505">
        <v>0</v>
      </c>
      <c r="O369" s="505">
        <v>0</v>
      </c>
      <c r="P369" s="505">
        <v>500488</v>
      </c>
      <c r="Q369" s="505">
        <v>514220</v>
      </c>
      <c r="R369" s="460"/>
      <c r="S369" s="505">
        <v>3486709</v>
      </c>
      <c r="T369" s="505">
        <v>-45216</v>
      </c>
      <c r="U369" s="505">
        <v>3441493</v>
      </c>
      <c r="W369" s="454">
        <v>20653226</v>
      </c>
      <c r="X369" s="454">
        <v>4252953</v>
      </c>
    </row>
    <row r="370" spans="1:24">
      <c r="A370" s="458">
        <v>93904</v>
      </c>
      <c r="B370" s="518" t="s">
        <v>1082</v>
      </c>
      <c r="C370" s="460">
        <f t="shared" si="6"/>
        <v>3.713002701252742E-5</v>
      </c>
      <c r="D370" s="460">
        <f>VLOOKUP(A370,'2024 summary '!A370:C1276,3,FALSE)</f>
        <v>3.2379999999999998E-5</v>
      </c>
      <c r="E370" s="505">
        <v>250311</v>
      </c>
      <c r="F370" s="460"/>
      <c r="G370" s="505">
        <v>43864</v>
      </c>
      <c r="H370" s="505">
        <v>34030</v>
      </c>
      <c r="I370" s="505">
        <v>0</v>
      </c>
      <c r="J370" s="505">
        <v>41011</v>
      </c>
      <c r="K370" s="505">
        <v>118905</v>
      </c>
      <c r="L370" s="460"/>
      <c r="M370" s="505">
        <v>295</v>
      </c>
      <c r="N370" s="505">
        <v>0</v>
      </c>
      <c r="O370" s="505">
        <v>0</v>
      </c>
      <c r="P370" s="505">
        <v>682</v>
      </c>
      <c r="Q370" s="505">
        <v>977</v>
      </c>
      <c r="R370" s="460"/>
      <c r="S370" s="505">
        <v>74882</v>
      </c>
      <c r="T370" s="505">
        <v>19593</v>
      </c>
      <c r="U370" s="505">
        <v>94475</v>
      </c>
      <c r="W370" s="454">
        <v>443558</v>
      </c>
      <c r="X370" s="454">
        <v>91338</v>
      </c>
    </row>
    <row r="371" spans="1:24">
      <c r="A371" s="458">
        <v>93906</v>
      </c>
      <c r="B371" s="518" t="s">
        <v>1083</v>
      </c>
      <c r="C371" s="460">
        <f t="shared" si="6"/>
        <v>3.4406400370135481E-3</v>
      </c>
      <c r="D371" s="460">
        <f>VLOOKUP(A371,'2024 summary '!A371:C1277,3,FALSE)</f>
        <v>3.4750499999999999E-3</v>
      </c>
      <c r="E371" s="505">
        <v>23194975</v>
      </c>
      <c r="F371" s="460"/>
      <c r="G371" s="505">
        <v>4064638</v>
      </c>
      <c r="H371" s="505">
        <v>3153343</v>
      </c>
      <c r="I371" s="505">
        <v>0</v>
      </c>
      <c r="J371" s="505">
        <v>163397</v>
      </c>
      <c r="K371" s="505">
        <v>7381378</v>
      </c>
      <c r="L371" s="460"/>
      <c r="M371" s="505">
        <v>27329</v>
      </c>
      <c r="N371" s="505">
        <v>0</v>
      </c>
      <c r="O371" s="505">
        <v>0</v>
      </c>
      <c r="P371" s="505">
        <v>288383</v>
      </c>
      <c r="Q371" s="505">
        <v>315712</v>
      </c>
      <c r="R371" s="460"/>
      <c r="S371" s="505">
        <v>6938931</v>
      </c>
      <c r="T371" s="505">
        <v>93410</v>
      </c>
      <c r="U371" s="505">
        <v>7032341</v>
      </c>
      <c r="W371" s="454">
        <v>41102174</v>
      </c>
      <c r="X371" s="454">
        <v>8463840</v>
      </c>
    </row>
    <row r="372" spans="1:24">
      <c r="A372" s="458">
        <v>93908</v>
      </c>
      <c r="B372" s="518" t="s">
        <v>1084</v>
      </c>
      <c r="C372" s="460">
        <f t="shared" si="6"/>
        <v>5.9004006771079499E-4</v>
      </c>
      <c r="D372" s="460">
        <f>VLOOKUP(A372,'2024 summary '!A372:C1278,3,FALSE)</f>
        <v>6.4775E-4</v>
      </c>
      <c r="E372" s="505">
        <v>3977738</v>
      </c>
      <c r="F372" s="460"/>
      <c r="G372" s="505">
        <v>697050</v>
      </c>
      <c r="H372" s="505">
        <v>540771</v>
      </c>
      <c r="I372" s="505">
        <v>0</v>
      </c>
      <c r="J372" s="505">
        <v>33721</v>
      </c>
      <c r="K372" s="505">
        <v>1271542</v>
      </c>
      <c r="L372" s="460"/>
      <c r="M372" s="505">
        <v>4687</v>
      </c>
      <c r="N372" s="505">
        <v>0</v>
      </c>
      <c r="O372" s="505">
        <v>0</v>
      </c>
      <c r="P372" s="505">
        <v>191816</v>
      </c>
      <c r="Q372" s="505">
        <v>196503</v>
      </c>
      <c r="R372" s="460"/>
      <c r="S372" s="505">
        <v>1189967</v>
      </c>
      <c r="T372" s="505">
        <v>6012</v>
      </c>
      <c r="U372" s="505">
        <v>1195979</v>
      </c>
      <c r="W372" s="454">
        <v>7048667</v>
      </c>
      <c r="X372" s="454">
        <v>1451475</v>
      </c>
    </row>
    <row r="373" spans="1:24">
      <c r="A373" s="458">
        <v>93910</v>
      </c>
      <c r="B373" s="518" t="s">
        <v>1085</v>
      </c>
      <c r="C373" s="460">
        <f t="shared" si="6"/>
        <v>2.8528002309399835E-4</v>
      </c>
      <c r="D373" s="460">
        <f>VLOOKUP(A373,'2024 summary '!A373:C1279,3,FALSE)</f>
        <v>3.1504999999999999E-4</v>
      </c>
      <c r="E373" s="505">
        <v>1923207</v>
      </c>
      <c r="F373" s="460"/>
      <c r="G373" s="505">
        <v>337019</v>
      </c>
      <c r="H373" s="505">
        <v>261459</v>
      </c>
      <c r="I373" s="505">
        <v>0</v>
      </c>
      <c r="J373" s="505">
        <v>0</v>
      </c>
      <c r="K373" s="505">
        <v>598478</v>
      </c>
      <c r="L373" s="460"/>
      <c r="M373" s="505">
        <v>2266</v>
      </c>
      <c r="N373" s="505">
        <v>0</v>
      </c>
      <c r="O373" s="505">
        <v>0</v>
      </c>
      <c r="P373" s="505">
        <v>145750</v>
      </c>
      <c r="Q373" s="505">
        <v>148016</v>
      </c>
      <c r="R373" s="460"/>
      <c r="S373" s="505">
        <v>575340</v>
      </c>
      <c r="T373" s="505">
        <v>-19405</v>
      </c>
      <c r="U373" s="505">
        <v>555935</v>
      </c>
      <c r="W373" s="454">
        <v>3407979</v>
      </c>
      <c r="X373" s="454">
        <v>701778</v>
      </c>
    </row>
    <row r="374" spans="1:24">
      <c r="A374" s="458">
        <v>93911</v>
      </c>
      <c r="B374" s="518" t="s">
        <v>1086</v>
      </c>
      <c r="C374" s="460">
        <f t="shared" si="6"/>
        <v>4.9738996199442367E-4</v>
      </c>
      <c r="D374" s="460">
        <f>VLOOKUP(A374,'2024 summary '!A374:C1280,3,FALSE)</f>
        <v>4.4155000000000003E-4</v>
      </c>
      <c r="E374" s="505">
        <v>3353140</v>
      </c>
      <c r="F374" s="460"/>
      <c r="G374" s="505">
        <v>587597</v>
      </c>
      <c r="H374" s="505">
        <v>455857</v>
      </c>
      <c r="I374" s="505">
        <v>0</v>
      </c>
      <c r="J374" s="505">
        <v>294152</v>
      </c>
      <c r="K374" s="505">
        <v>1337606</v>
      </c>
      <c r="L374" s="460"/>
      <c r="M374" s="505">
        <v>3951</v>
      </c>
      <c r="N374" s="505">
        <v>0</v>
      </c>
      <c r="O374" s="505">
        <v>0</v>
      </c>
      <c r="P374" s="505">
        <v>155705</v>
      </c>
      <c r="Q374" s="505">
        <v>159656</v>
      </c>
      <c r="R374" s="460"/>
      <c r="S374" s="505">
        <v>1003114</v>
      </c>
      <c r="T374" s="505">
        <v>-3231</v>
      </c>
      <c r="U374" s="505">
        <v>999883</v>
      </c>
      <c r="W374" s="454">
        <v>5941863</v>
      </c>
      <c r="X374" s="454">
        <v>1223560</v>
      </c>
    </row>
    <row r="375" spans="1:24">
      <c r="A375" s="458">
        <v>93913</v>
      </c>
      <c r="B375" s="518" t="s">
        <v>1087</v>
      </c>
      <c r="C375" s="460">
        <f t="shared" si="6"/>
        <v>3.3610023732578577E-5</v>
      </c>
      <c r="D375" s="460">
        <f>VLOOKUP(A375,'2024 summary '!A375:C1281,3,FALSE)</f>
        <v>4.1959999999999998E-5</v>
      </c>
      <c r="E375" s="505">
        <v>226581</v>
      </c>
      <c r="F375" s="460"/>
      <c r="G375" s="505">
        <v>39706</v>
      </c>
      <c r="H375" s="505">
        <v>30804</v>
      </c>
      <c r="I375" s="505">
        <v>0</v>
      </c>
      <c r="J375" s="505">
        <v>15395</v>
      </c>
      <c r="K375" s="505">
        <v>85905</v>
      </c>
      <c r="L375" s="460"/>
      <c r="M375" s="505">
        <v>267</v>
      </c>
      <c r="N375" s="505">
        <v>0</v>
      </c>
      <c r="O375" s="505">
        <v>0</v>
      </c>
      <c r="P375" s="505">
        <v>7484</v>
      </c>
      <c r="Q375" s="505">
        <v>7751</v>
      </c>
      <c r="R375" s="460"/>
      <c r="S375" s="505">
        <v>67783</v>
      </c>
      <c r="T375" s="505">
        <v>7872</v>
      </c>
      <c r="U375" s="505">
        <v>75655</v>
      </c>
      <c r="W375" s="454">
        <v>401508</v>
      </c>
      <c r="X375" s="454">
        <v>82679</v>
      </c>
    </row>
    <row r="376" spans="1:24">
      <c r="A376" s="458">
        <v>93914</v>
      </c>
      <c r="B376" s="518" t="s">
        <v>1088</v>
      </c>
      <c r="C376" s="460">
        <f t="shared" si="6"/>
        <v>6.6599708075492334E-6</v>
      </c>
      <c r="D376" s="460">
        <f>VLOOKUP(A376,'2024 summary '!A376:C1282,3,FALSE)</f>
        <v>4.3000000000000003E-6</v>
      </c>
      <c r="E376" s="505">
        <v>44898</v>
      </c>
      <c r="F376" s="460"/>
      <c r="G376" s="505">
        <v>7868</v>
      </c>
      <c r="H376" s="505">
        <v>6104</v>
      </c>
      <c r="I376" s="505">
        <v>0</v>
      </c>
      <c r="J376" s="505">
        <v>10304</v>
      </c>
      <c r="K376" s="505">
        <v>24276</v>
      </c>
      <c r="L376" s="460"/>
      <c r="M376" s="505">
        <v>53</v>
      </c>
      <c r="N376" s="505">
        <v>0</v>
      </c>
      <c r="O376" s="505">
        <v>0</v>
      </c>
      <c r="P376" s="505">
        <v>1012</v>
      </c>
      <c r="Q376" s="505">
        <v>1065</v>
      </c>
      <c r="R376" s="460"/>
      <c r="S376" s="505">
        <v>13432</v>
      </c>
      <c r="T376" s="505">
        <v>4351</v>
      </c>
      <c r="U376" s="505">
        <v>17783</v>
      </c>
      <c r="W376" s="454">
        <v>79561</v>
      </c>
      <c r="X376" s="454">
        <v>16383</v>
      </c>
    </row>
    <row r="377" spans="1:24">
      <c r="A377" s="458">
        <v>93921</v>
      </c>
      <c r="B377" s="518" t="s">
        <v>1089</v>
      </c>
      <c r="C377" s="460">
        <f t="shared" si="6"/>
        <v>2.7708997079328973E-4</v>
      </c>
      <c r="D377" s="460">
        <f>VLOOKUP(A377,'2024 summary '!A377:C1283,3,FALSE)</f>
        <v>2.5096999999999999E-4</v>
      </c>
      <c r="E377" s="505">
        <v>1867994</v>
      </c>
      <c r="F377" s="460"/>
      <c r="G377" s="505">
        <v>327343</v>
      </c>
      <c r="H377" s="505">
        <v>253953</v>
      </c>
      <c r="I377" s="505">
        <v>0</v>
      </c>
      <c r="J377" s="505">
        <v>102068</v>
      </c>
      <c r="K377" s="505">
        <v>683364</v>
      </c>
      <c r="L377" s="460"/>
      <c r="M377" s="505">
        <v>2201</v>
      </c>
      <c r="N377" s="505">
        <v>0</v>
      </c>
      <c r="O377" s="505">
        <v>0</v>
      </c>
      <c r="P377" s="505">
        <v>73065</v>
      </c>
      <c r="Q377" s="505">
        <v>75266</v>
      </c>
      <c r="R377" s="460"/>
      <c r="S377" s="505">
        <v>558823</v>
      </c>
      <c r="T377" s="505">
        <v>5318</v>
      </c>
      <c r="U377" s="505">
        <v>564141</v>
      </c>
      <c r="W377" s="454">
        <v>3310140</v>
      </c>
      <c r="X377" s="454">
        <v>681631</v>
      </c>
    </row>
    <row r="378" spans="1:24">
      <c r="A378" s="458">
        <v>93931</v>
      </c>
      <c r="B378" s="518" t="s">
        <v>1090</v>
      </c>
      <c r="C378" s="460">
        <f t="shared" si="6"/>
        <v>5.4194003131919732E-4</v>
      </c>
      <c r="D378" s="460">
        <f>VLOOKUP(A378,'2024 summary '!A378:C1284,3,FALSE)</f>
        <v>5.3399999999999997E-4</v>
      </c>
      <c r="E378" s="505">
        <v>3653473</v>
      </c>
      <c r="F378" s="460"/>
      <c r="G378" s="505">
        <v>640227</v>
      </c>
      <c r="H378" s="505">
        <v>496687</v>
      </c>
      <c r="I378" s="505">
        <v>0</v>
      </c>
      <c r="J378" s="505">
        <v>0</v>
      </c>
      <c r="K378" s="505">
        <v>1136914</v>
      </c>
      <c r="L378" s="460"/>
      <c r="M378" s="505">
        <v>4305</v>
      </c>
      <c r="N378" s="505">
        <v>0</v>
      </c>
      <c r="O378" s="505">
        <v>0</v>
      </c>
      <c r="P378" s="505">
        <v>119555</v>
      </c>
      <c r="Q378" s="505">
        <v>123860</v>
      </c>
      <c r="R378" s="460"/>
      <c r="S378" s="505">
        <v>1092961</v>
      </c>
      <c r="T378" s="505">
        <v>-65603</v>
      </c>
      <c r="U378" s="505">
        <v>1027358</v>
      </c>
      <c r="W378" s="454">
        <v>6474061</v>
      </c>
      <c r="X378" s="454">
        <v>1333151</v>
      </c>
    </row>
    <row r="379" spans="1:24">
      <c r="A379" s="458">
        <v>94001</v>
      </c>
      <c r="B379" s="518" t="s">
        <v>1091</v>
      </c>
      <c r="C379" s="460">
        <f t="shared" si="6"/>
        <v>1.0951000174673896E-3</v>
      </c>
      <c r="D379" s="460">
        <f>VLOOKUP(A379,'2024 summary '!A379:C1285,3,FALSE)</f>
        <v>1.0244500000000001E-3</v>
      </c>
      <c r="E379" s="505">
        <v>7382585</v>
      </c>
      <c r="F379" s="460"/>
      <c r="G379" s="505">
        <v>1293708</v>
      </c>
      <c r="H379" s="505">
        <v>1003658</v>
      </c>
      <c r="I379" s="505">
        <v>0</v>
      </c>
      <c r="J379" s="505">
        <v>234392</v>
      </c>
      <c r="K379" s="505">
        <v>2531758</v>
      </c>
      <c r="L379" s="460"/>
      <c r="M379" s="505">
        <v>8698</v>
      </c>
      <c r="N379" s="505">
        <v>0</v>
      </c>
      <c r="O379" s="505">
        <v>0</v>
      </c>
      <c r="P379" s="505">
        <v>68727</v>
      </c>
      <c r="Q379" s="505">
        <v>77425</v>
      </c>
      <c r="R379" s="460"/>
      <c r="S379" s="505">
        <v>2208549</v>
      </c>
      <c r="T379" s="505">
        <v>29518</v>
      </c>
      <c r="U379" s="505">
        <v>2238067</v>
      </c>
      <c r="W379" s="454">
        <v>13082157</v>
      </c>
      <c r="X379" s="454">
        <v>2693903</v>
      </c>
    </row>
    <row r="380" spans="1:24">
      <c r="A380" s="458">
        <v>94002</v>
      </c>
      <c r="B380" s="518" t="s">
        <v>1092</v>
      </c>
      <c r="C380" s="460">
        <f t="shared" si="6"/>
        <v>1.950019516148653E-6</v>
      </c>
      <c r="D380" s="460">
        <f>VLOOKUP(A380,'2024 summary '!A380:C1286,3,FALSE)</f>
        <v>2.4499999999999998E-6</v>
      </c>
      <c r="E380" s="505">
        <v>13146</v>
      </c>
      <c r="F380" s="460"/>
      <c r="G380" s="505">
        <v>2304</v>
      </c>
      <c r="H380" s="505">
        <v>1787</v>
      </c>
      <c r="I380" s="505">
        <v>0</v>
      </c>
      <c r="J380" s="505">
        <v>6281</v>
      </c>
      <c r="K380" s="505">
        <v>10372</v>
      </c>
      <c r="L380" s="460"/>
      <c r="M380" s="505">
        <v>15</v>
      </c>
      <c r="N380" s="505">
        <v>0</v>
      </c>
      <c r="O380" s="505">
        <v>0</v>
      </c>
      <c r="P380" s="505">
        <v>2063</v>
      </c>
      <c r="Q380" s="505">
        <v>2078</v>
      </c>
      <c r="R380" s="460"/>
      <c r="S380" s="505">
        <v>3933</v>
      </c>
      <c r="T380" s="505">
        <v>2524</v>
      </c>
      <c r="U380" s="505">
        <v>6457</v>
      </c>
      <c r="W380" s="454">
        <v>23295</v>
      </c>
      <c r="X380" s="454">
        <v>4797</v>
      </c>
    </row>
    <row r="381" spans="1:24">
      <c r="A381" s="458">
        <v>94004</v>
      </c>
      <c r="B381" s="518" t="s">
        <v>1093</v>
      </c>
      <c r="C381" s="460">
        <f t="shared" si="6"/>
        <v>1.0870031199100357E-5</v>
      </c>
      <c r="D381" s="460">
        <f>VLOOKUP(A381,'2024 summary '!A381:C1287,3,FALSE)</f>
        <v>8.9400000000000008E-6</v>
      </c>
      <c r="E381" s="505">
        <v>73280</v>
      </c>
      <c r="F381" s="460"/>
      <c r="G381" s="505">
        <v>12841</v>
      </c>
      <c r="H381" s="505">
        <v>9962</v>
      </c>
      <c r="I381" s="505">
        <v>0</v>
      </c>
      <c r="J381" s="505">
        <v>12004</v>
      </c>
      <c r="K381" s="505">
        <v>34807</v>
      </c>
      <c r="L381" s="460"/>
      <c r="M381" s="505">
        <v>86</v>
      </c>
      <c r="N381" s="505">
        <v>0</v>
      </c>
      <c r="O381" s="505">
        <v>0</v>
      </c>
      <c r="P381" s="505">
        <v>1329</v>
      </c>
      <c r="Q381" s="505">
        <v>1415</v>
      </c>
      <c r="R381" s="460"/>
      <c r="S381" s="505">
        <v>21922</v>
      </c>
      <c r="T381" s="505">
        <v>6595</v>
      </c>
      <c r="U381" s="505">
        <v>28517</v>
      </c>
      <c r="W381" s="454">
        <v>129854</v>
      </c>
      <c r="X381" s="454">
        <v>26740</v>
      </c>
    </row>
    <row r="382" spans="1:24">
      <c r="A382" s="458">
        <v>94005</v>
      </c>
      <c r="B382" s="518" t="s">
        <v>1094</v>
      </c>
      <c r="C382" s="460">
        <f t="shared" si="6"/>
        <v>1.1490073917607991E-5</v>
      </c>
      <c r="D382" s="460">
        <f>VLOOKUP(A382,'2024 summary '!A382:C1288,3,FALSE)</f>
        <v>1.2819999999999999E-5</v>
      </c>
      <c r="E382" s="505">
        <v>77460</v>
      </c>
      <c r="F382" s="460"/>
      <c r="G382" s="505">
        <v>13574</v>
      </c>
      <c r="H382" s="505">
        <v>10531</v>
      </c>
      <c r="I382" s="505">
        <v>0</v>
      </c>
      <c r="J382" s="505">
        <v>9639</v>
      </c>
      <c r="K382" s="505">
        <v>33744</v>
      </c>
      <c r="L382" s="460"/>
      <c r="M382" s="505">
        <v>91</v>
      </c>
      <c r="N382" s="505">
        <v>0</v>
      </c>
      <c r="O382" s="505">
        <v>0</v>
      </c>
      <c r="P382" s="505">
        <v>8355</v>
      </c>
      <c r="Q382" s="505">
        <v>8446</v>
      </c>
      <c r="R382" s="460"/>
      <c r="S382" s="505">
        <v>23173</v>
      </c>
      <c r="T382" s="505">
        <v>4727</v>
      </c>
      <c r="U382" s="505">
        <v>27900</v>
      </c>
      <c r="W382" s="454">
        <v>137261</v>
      </c>
      <c r="X382" s="454">
        <v>28265</v>
      </c>
    </row>
    <row r="383" spans="1:24">
      <c r="A383" s="458">
        <v>94011</v>
      </c>
      <c r="B383" s="518" t="s">
        <v>1095</v>
      </c>
      <c r="C383" s="460">
        <f t="shared" si="6"/>
        <v>2.0930001803518849E-5</v>
      </c>
      <c r="D383" s="460">
        <f>VLOOKUP(A383,'2024 summary '!A383:C1289,3,FALSE)</f>
        <v>2.319E-5</v>
      </c>
      <c r="E383" s="505">
        <v>141099</v>
      </c>
      <c r="F383" s="460"/>
      <c r="G383" s="505">
        <v>24726</v>
      </c>
      <c r="H383" s="505">
        <v>19182</v>
      </c>
      <c r="I383" s="505">
        <v>0</v>
      </c>
      <c r="J383" s="505">
        <v>1648</v>
      </c>
      <c r="K383" s="505">
        <v>45556</v>
      </c>
      <c r="L383" s="460"/>
      <c r="M383" s="505">
        <v>166</v>
      </c>
      <c r="N383" s="505">
        <v>0</v>
      </c>
      <c r="O383" s="505">
        <v>0</v>
      </c>
      <c r="P383" s="505">
        <v>22218</v>
      </c>
      <c r="Q383" s="505">
        <v>22384</v>
      </c>
      <c r="R383" s="460"/>
      <c r="S383" s="505">
        <v>42211</v>
      </c>
      <c r="T383" s="505">
        <v>-9235</v>
      </c>
      <c r="U383" s="505">
        <v>32976</v>
      </c>
      <c r="W383" s="454">
        <v>250032</v>
      </c>
      <c r="X383" s="454">
        <v>51487</v>
      </c>
    </row>
    <row r="384" spans="1:24">
      <c r="A384" s="458">
        <v>94021</v>
      </c>
      <c r="B384" s="518" t="s">
        <v>1096</v>
      </c>
      <c r="C384" s="460">
        <f t="shared" si="6"/>
        <v>7.3030055407383716E-5</v>
      </c>
      <c r="D384" s="460">
        <f>VLOOKUP(A384,'2024 summary '!A384:C1290,3,FALSE)</f>
        <v>8.5560000000000001E-5</v>
      </c>
      <c r="E384" s="505">
        <v>492330</v>
      </c>
      <c r="F384" s="460"/>
      <c r="G384" s="505">
        <v>86275</v>
      </c>
      <c r="H384" s="505">
        <v>66932</v>
      </c>
      <c r="I384" s="505">
        <v>0</v>
      </c>
      <c r="J384" s="505">
        <v>12804</v>
      </c>
      <c r="K384" s="505">
        <v>166011</v>
      </c>
      <c r="L384" s="460"/>
      <c r="M384" s="505">
        <v>580</v>
      </c>
      <c r="N384" s="505">
        <v>0</v>
      </c>
      <c r="O384" s="505">
        <v>0</v>
      </c>
      <c r="P384" s="505">
        <v>40009</v>
      </c>
      <c r="Q384" s="505">
        <v>40589</v>
      </c>
      <c r="R384" s="460"/>
      <c r="S384" s="505">
        <v>147284</v>
      </c>
      <c r="T384" s="505">
        <v>-19063</v>
      </c>
      <c r="U384" s="505">
        <v>128221</v>
      </c>
      <c r="W384" s="454">
        <v>872423</v>
      </c>
      <c r="X384" s="454">
        <v>179651</v>
      </c>
    </row>
    <row r="385" spans="1:24">
      <c r="A385" s="458">
        <v>94031</v>
      </c>
      <c r="B385" s="518" t="s">
        <v>1097</v>
      </c>
      <c r="C385" s="460">
        <f t="shared" si="6"/>
        <v>2.1400373923228826E-6</v>
      </c>
      <c r="D385" s="460">
        <f>VLOOKUP(A385,'2024 summary '!A385:C1291,3,FALSE)</f>
        <v>3.8500000000000004E-6</v>
      </c>
      <c r="E385" s="505">
        <v>14427</v>
      </c>
      <c r="F385" s="460"/>
      <c r="G385" s="505">
        <v>2528</v>
      </c>
      <c r="H385" s="505">
        <v>1961</v>
      </c>
      <c r="I385" s="505">
        <v>0</v>
      </c>
      <c r="J385" s="505">
        <v>3710</v>
      </c>
      <c r="K385" s="505">
        <v>8199</v>
      </c>
      <c r="L385" s="460"/>
      <c r="M385" s="505">
        <v>17</v>
      </c>
      <c r="N385" s="505">
        <v>0</v>
      </c>
      <c r="O385" s="505">
        <v>0</v>
      </c>
      <c r="P385" s="505">
        <v>3536</v>
      </c>
      <c r="Q385" s="505">
        <v>3553</v>
      </c>
      <c r="R385" s="460"/>
      <c r="S385" s="505">
        <v>4316</v>
      </c>
      <c r="T385" s="505">
        <v>3082</v>
      </c>
      <c r="U385" s="505">
        <v>7398</v>
      </c>
      <c r="W385" s="454">
        <v>25565</v>
      </c>
      <c r="X385" s="454">
        <v>5264</v>
      </c>
    </row>
    <row r="386" spans="1:24">
      <c r="A386" s="458">
        <v>94101</v>
      </c>
      <c r="B386" s="518" t="s">
        <v>1098</v>
      </c>
      <c r="C386" s="460">
        <f t="shared" si="6"/>
        <v>2.0654670054338589E-2</v>
      </c>
      <c r="D386" s="460">
        <f>VLOOKUP(A386,'2024 summary '!A386:C1292,3,FALSE)</f>
        <v>2.0184879999999999E-2</v>
      </c>
      <c r="E386" s="505">
        <v>139242859</v>
      </c>
      <c r="F386" s="460"/>
      <c r="G386" s="505">
        <v>24400622</v>
      </c>
      <c r="H386" s="505">
        <v>18929984</v>
      </c>
      <c r="I386" s="505">
        <v>0</v>
      </c>
      <c r="J386" s="505">
        <v>4098960</v>
      </c>
      <c r="K386" s="505">
        <v>47429566</v>
      </c>
      <c r="L386" s="460"/>
      <c r="M386" s="505">
        <v>164060</v>
      </c>
      <c r="N386" s="505">
        <v>0</v>
      </c>
      <c r="O386" s="505">
        <v>0</v>
      </c>
      <c r="P386" s="505">
        <v>471283</v>
      </c>
      <c r="Q386" s="505">
        <v>635343</v>
      </c>
      <c r="R386" s="460"/>
      <c r="S386" s="505">
        <v>41655430</v>
      </c>
      <c r="T386" s="505">
        <v>2287446</v>
      </c>
      <c r="U386" s="505">
        <v>43942876</v>
      </c>
      <c r="W386" s="454">
        <v>246742423</v>
      </c>
      <c r="X386" s="454">
        <v>50809683</v>
      </c>
    </row>
    <row r="387" spans="1:24">
      <c r="A387" s="458">
        <v>94102</v>
      </c>
      <c r="B387" s="518" t="s">
        <v>1099</v>
      </c>
      <c r="C387" s="460">
        <f t="shared" si="6"/>
        <v>3.4848996652754415E-4</v>
      </c>
      <c r="D387" s="460">
        <f>VLOOKUP(A387,'2024 summary '!A387:C1293,3,FALSE)</f>
        <v>3.4385999999999998E-4</v>
      </c>
      <c r="E387" s="505">
        <v>2349335</v>
      </c>
      <c r="F387" s="460"/>
      <c r="G387" s="505">
        <v>411692</v>
      </c>
      <c r="H387" s="505">
        <v>319391</v>
      </c>
      <c r="I387" s="505">
        <v>0</v>
      </c>
      <c r="J387" s="505">
        <v>27677</v>
      </c>
      <c r="K387" s="505">
        <v>758760</v>
      </c>
      <c r="L387" s="460"/>
      <c r="M387" s="505">
        <v>2768</v>
      </c>
      <c r="N387" s="505">
        <v>0</v>
      </c>
      <c r="O387" s="505">
        <v>0</v>
      </c>
      <c r="P387" s="505">
        <v>165392</v>
      </c>
      <c r="Q387" s="505">
        <v>168160</v>
      </c>
      <c r="R387" s="460"/>
      <c r="S387" s="505">
        <v>702819</v>
      </c>
      <c r="T387" s="505">
        <v>-95397</v>
      </c>
      <c r="U387" s="505">
        <v>607422</v>
      </c>
      <c r="W387" s="454">
        <v>4163091</v>
      </c>
      <c r="X387" s="454">
        <v>857272</v>
      </c>
    </row>
    <row r="388" spans="1:24">
      <c r="A388" s="458">
        <v>94108</v>
      </c>
      <c r="B388" s="518" t="s">
        <v>1100</v>
      </c>
      <c r="C388" s="460">
        <f t="shared" si="6"/>
        <v>3.7515996188019492E-4</v>
      </c>
      <c r="D388" s="460">
        <f>VLOOKUP(A388,'2024 summary '!A388:C1294,3,FALSE)</f>
        <v>3.9284999999999998E-4</v>
      </c>
      <c r="E388" s="505">
        <v>2529130</v>
      </c>
      <c r="F388" s="460"/>
      <c r="G388" s="505">
        <v>443199</v>
      </c>
      <c r="H388" s="505">
        <v>343834</v>
      </c>
      <c r="I388" s="505">
        <v>0</v>
      </c>
      <c r="J388" s="505">
        <v>11991</v>
      </c>
      <c r="K388" s="505">
        <v>799024</v>
      </c>
      <c r="L388" s="460"/>
      <c r="M388" s="505">
        <v>2980</v>
      </c>
      <c r="N388" s="505">
        <v>0</v>
      </c>
      <c r="O388" s="505">
        <v>0</v>
      </c>
      <c r="P388" s="505">
        <v>224908</v>
      </c>
      <c r="Q388" s="505">
        <v>227888</v>
      </c>
      <c r="R388" s="460"/>
      <c r="S388" s="505">
        <v>756606</v>
      </c>
      <c r="T388" s="505">
        <v>-122075</v>
      </c>
      <c r="U388" s="505">
        <v>634531</v>
      </c>
      <c r="W388" s="454">
        <v>4481693</v>
      </c>
      <c r="X388" s="454">
        <v>922879</v>
      </c>
    </row>
    <row r="389" spans="1:24">
      <c r="A389" s="458">
        <v>94109</v>
      </c>
      <c r="B389" s="518" t="s">
        <v>1101</v>
      </c>
      <c r="C389" s="460">
        <f t="shared" si="6"/>
        <v>1.1342005343059111E-4</v>
      </c>
      <c r="D389" s="460">
        <f>VLOOKUP(A389,'2024 summary '!A389:C1295,3,FALSE)</f>
        <v>1.2218999999999999E-4</v>
      </c>
      <c r="E389" s="505">
        <v>764618</v>
      </c>
      <c r="F389" s="460"/>
      <c r="G389" s="505">
        <v>133990</v>
      </c>
      <c r="H389" s="505">
        <v>103949</v>
      </c>
      <c r="I389" s="505">
        <v>0</v>
      </c>
      <c r="J389" s="505">
        <v>22441</v>
      </c>
      <c r="K389" s="505">
        <v>260380</v>
      </c>
      <c r="L389" s="460"/>
      <c r="M389" s="505">
        <v>901</v>
      </c>
      <c r="N389" s="505">
        <v>0</v>
      </c>
      <c r="O389" s="505">
        <v>0</v>
      </c>
      <c r="P389" s="505">
        <v>52245</v>
      </c>
      <c r="Q389" s="505">
        <v>53146</v>
      </c>
      <c r="R389" s="460"/>
      <c r="S389" s="505">
        <v>228740</v>
      </c>
      <c r="T389" s="505">
        <v>-13529</v>
      </c>
      <c r="U389" s="505">
        <v>215211</v>
      </c>
      <c r="W389" s="454">
        <v>1354925</v>
      </c>
      <c r="X389" s="454">
        <v>279009</v>
      </c>
    </row>
    <row r="390" spans="1:24">
      <c r="A390" s="458">
        <v>94111</v>
      </c>
      <c r="B390" s="518" t="s">
        <v>1102</v>
      </c>
      <c r="C390" s="460">
        <f t="shared" si="6"/>
        <v>2.3440420082050904E-2</v>
      </c>
      <c r="D390" s="460">
        <f>VLOOKUP(A390,'2024 summary '!A390:C1296,3,FALSE)</f>
        <v>2.2910369999999999E-2</v>
      </c>
      <c r="E390" s="505">
        <v>158022912</v>
      </c>
      <c r="F390" s="460"/>
      <c r="G390" s="505">
        <v>27691598</v>
      </c>
      <c r="H390" s="505">
        <v>21483121</v>
      </c>
      <c r="I390" s="505">
        <v>0</v>
      </c>
      <c r="J390" s="505">
        <v>2297088</v>
      </c>
      <c r="K390" s="505">
        <v>51471807</v>
      </c>
      <c r="L390" s="460"/>
      <c r="M390" s="505">
        <v>186187</v>
      </c>
      <c r="N390" s="505">
        <v>0</v>
      </c>
      <c r="O390" s="505">
        <v>0</v>
      </c>
      <c r="P390" s="505">
        <v>700664</v>
      </c>
      <c r="Q390" s="505">
        <v>886851</v>
      </c>
      <c r="R390" s="460"/>
      <c r="S390" s="505">
        <v>47273608</v>
      </c>
      <c r="T390" s="505">
        <v>21442</v>
      </c>
      <c r="U390" s="505">
        <v>47295050</v>
      </c>
      <c r="W390" s="454">
        <v>280021226</v>
      </c>
      <c r="X390" s="454">
        <v>57662519</v>
      </c>
    </row>
    <row r="391" spans="1:24">
      <c r="A391" s="458">
        <v>94112</v>
      </c>
      <c r="B391" s="518" t="s">
        <v>1103</v>
      </c>
      <c r="C391" s="460">
        <f t="shared" si="6"/>
        <v>1.6175994845276937E-4</v>
      </c>
      <c r="D391" s="460">
        <f>VLOOKUP(A391,'2024 summary '!A391:C1297,3,FALSE)</f>
        <v>1.6161999999999999E-4</v>
      </c>
      <c r="E391" s="505">
        <v>1090500</v>
      </c>
      <c r="F391" s="460"/>
      <c r="G391" s="505">
        <v>191097</v>
      </c>
      <c r="H391" s="505">
        <v>148253</v>
      </c>
      <c r="I391" s="505">
        <v>0</v>
      </c>
      <c r="J391" s="505">
        <v>61245</v>
      </c>
      <c r="K391" s="505">
        <v>400595</v>
      </c>
      <c r="L391" s="460"/>
      <c r="M391" s="505">
        <v>1285</v>
      </c>
      <c r="N391" s="505">
        <v>0</v>
      </c>
      <c r="O391" s="505">
        <v>0</v>
      </c>
      <c r="P391" s="505">
        <v>21351</v>
      </c>
      <c r="Q391" s="505">
        <v>22636</v>
      </c>
      <c r="R391" s="460"/>
      <c r="S391" s="505">
        <v>326230</v>
      </c>
      <c r="T391" s="505">
        <v>13764</v>
      </c>
      <c r="U391" s="505">
        <v>339994</v>
      </c>
      <c r="W391" s="454">
        <v>1932399</v>
      </c>
      <c r="X391" s="454">
        <v>397923</v>
      </c>
    </row>
    <row r="392" spans="1:24">
      <c r="A392" s="458">
        <v>94117</v>
      </c>
      <c r="B392" s="518" t="s">
        <v>1104</v>
      </c>
      <c r="C392" s="460">
        <f t="shared" si="6"/>
        <v>4.2441004401260352E-4</v>
      </c>
      <c r="D392" s="460">
        <f>VLOOKUP(A392,'2024 summary '!A392:C1298,3,FALSE)</f>
        <v>4.5126999999999998E-4</v>
      </c>
      <c r="E392" s="505">
        <v>2861148</v>
      </c>
      <c r="F392" s="460"/>
      <c r="G392" s="505">
        <v>501381</v>
      </c>
      <c r="H392" s="505">
        <v>388971</v>
      </c>
      <c r="I392" s="505">
        <v>0</v>
      </c>
      <c r="J392" s="505">
        <v>94253</v>
      </c>
      <c r="K392" s="505">
        <v>984605</v>
      </c>
      <c r="L392" s="460"/>
      <c r="M392" s="505">
        <v>3371</v>
      </c>
      <c r="N392" s="505">
        <v>0</v>
      </c>
      <c r="O392" s="505">
        <v>0</v>
      </c>
      <c r="P392" s="505">
        <v>91429</v>
      </c>
      <c r="Q392" s="505">
        <v>94800</v>
      </c>
      <c r="R392" s="460"/>
      <c r="S392" s="505">
        <v>855931</v>
      </c>
      <c r="T392" s="505">
        <v>70041</v>
      </c>
      <c r="U392" s="505">
        <v>925972</v>
      </c>
      <c r="W392" s="454">
        <v>5070038</v>
      </c>
      <c r="X392" s="454">
        <v>1044032</v>
      </c>
    </row>
    <row r="393" spans="1:24">
      <c r="A393" s="458">
        <v>94118</v>
      </c>
      <c r="B393" s="518" t="s">
        <v>1105</v>
      </c>
      <c r="C393" s="460">
        <f t="shared" si="6"/>
        <v>1.6578992945191182E-4</v>
      </c>
      <c r="D393" s="460">
        <f>VLOOKUP(A393,'2024 summary '!A393:C1299,3,FALSE)</f>
        <v>1.4695999999999999E-4</v>
      </c>
      <c r="E393" s="505">
        <v>1117668</v>
      </c>
      <c r="F393" s="460"/>
      <c r="G393" s="505">
        <v>195858</v>
      </c>
      <c r="H393" s="505">
        <v>151946</v>
      </c>
      <c r="I393" s="505">
        <v>0</v>
      </c>
      <c r="J393" s="505">
        <v>38513</v>
      </c>
      <c r="K393" s="505">
        <v>386317</v>
      </c>
      <c r="L393" s="460"/>
      <c r="M393" s="505">
        <v>1317</v>
      </c>
      <c r="N393" s="505">
        <v>0</v>
      </c>
      <c r="O393" s="505">
        <v>0</v>
      </c>
      <c r="P393" s="505">
        <v>13204</v>
      </c>
      <c r="Q393" s="505">
        <v>14521</v>
      </c>
      <c r="R393" s="460"/>
      <c r="S393" s="505">
        <v>334358</v>
      </c>
      <c r="T393" s="505">
        <v>3127</v>
      </c>
      <c r="U393" s="505">
        <v>337485</v>
      </c>
      <c r="W393" s="454">
        <v>1980541</v>
      </c>
      <c r="X393" s="454">
        <v>407837</v>
      </c>
    </row>
    <row r="394" spans="1:24">
      <c r="A394" s="458">
        <v>94121</v>
      </c>
      <c r="B394" s="518" t="s">
        <v>1106</v>
      </c>
      <c r="C394" s="460">
        <f t="shared" ref="C394:C457" si="7">E394/$E$915</f>
        <v>9.7510700687965038E-3</v>
      </c>
      <c r="D394" s="460">
        <f>VLOOKUP(A394,'2024 summary '!A394:C1300,3,FALSE)</f>
        <v>1.011942E-2</v>
      </c>
      <c r="E394" s="505">
        <v>65736556</v>
      </c>
      <c r="F394" s="460"/>
      <c r="G394" s="505">
        <v>11519534</v>
      </c>
      <c r="H394" s="505">
        <v>8936846</v>
      </c>
      <c r="I394" s="505">
        <v>0</v>
      </c>
      <c r="J394" s="505">
        <v>331475</v>
      </c>
      <c r="K394" s="505">
        <v>20787855</v>
      </c>
      <c r="L394" s="460"/>
      <c r="M394" s="505">
        <v>77453</v>
      </c>
      <c r="N394" s="505">
        <v>0</v>
      </c>
      <c r="O394" s="505">
        <v>0</v>
      </c>
      <c r="P394" s="505">
        <v>888932</v>
      </c>
      <c r="Q394" s="505">
        <v>966385</v>
      </c>
      <c r="R394" s="460"/>
      <c r="S394" s="505">
        <v>19665529</v>
      </c>
      <c r="T394" s="505">
        <v>-382260</v>
      </c>
      <c r="U394" s="505">
        <v>19283269</v>
      </c>
      <c r="W394" s="454">
        <v>116487101</v>
      </c>
      <c r="X394" s="454">
        <v>23987252</v>
      </c>
    </row>
    <row r="395" spans="1:24">
      <c r="A395" s="458">
        <v>94127</v>
      </c>
      <c r="B395" s="518" t="s">
        <v>1107</v>
      </c>
      <c r="C395" s="460">
        <f t="shared" si="7"/>
        <v>1.8882006637711273E-4</v>
      </c>
      <c r="D395" s="460">
        <f>VLOOKUP(A395,'2024 summary '!A395:C1301,3,FALSE)</f>
        <v>1.9765000000000001E-4</v>
      </c>
      <c r="E395" s="505">
        <v>1272925</v>
      </c>
      <c r="F395" s="460"/>
      <c r="G395" s="505">
        <v>223065</v>
      </c>
      <c r="H395" s="505">
        <v>173053</v>
      </c>
      <c r="I395" s="505">
        <v>0</v>
      </c>
      <c r="J395" s="505">
        <v>6731</v>
      </c>
      <c r="K395" s="505">
        <v>402849</v>
      </c>
      <c r="L395" s="460"/>
      <c r="M395" s="505">
        <v>1500</v>
      </c>
      <c r="N395" s="505">
        <v>0</v>
      </c>
      <c r="O395" s="505">
        <v>0</v>
      </c>
      <c r="P395" s="505">
        <v>26055</v>
      </c>
      <c r="Q395" s="505">
        <v>27555</v>
      </c>
      <c r="R395" s="460"/>
      <c r="S395" s="505">
        <v>380804</v>
      </c>
      <c r="T395" s="505">
        <v>22038</v>
      </c>
      <c r="U395" s="505">
        <v>402842</v>
      </c>
      <c r="W395" s="454">
        <v>2255660</v>
      </c>
      <c r="X395" s="454">
        <v>464490</v>
      </c>
    </row>
    <row r="396" spans="1:24">
      <c r="A396" s="458">
        <v>94131</v>
      </c>
      <c r="B396" s="518" t="s">
        <v>1108</v>
      </c>
      <c r="C396" s="460">
        <f t="shared" si="7"/>
        <v>2.5897997667435191E-4</v>
      </c>
      <c r="D396" s="460">
        <f>VLOOKUP(A396,'2024 summary '!A396:C1302,3,FALSE)</f>
        <v>2.3969E-4</v>
      </c>
      <c r="E396" s="505">
        <v>1745906</v>
      </c>
      <c r="F396" s="460"/>
      <c r="G396" s="505">
        <v>305949</v>
      </c>
      <c r="H396" s="505">
        <v>237355</v>
      </c>
      <c r="I396" s="505">
        <v>0</v>
      </c>
      <c r="J396" s="505">
        <v>65560</v>
      </c>
      <c r="K396" s="505">
        <v>608864</v>
      </c>
      <c r="L396" s="460"/>
      <c r="M396" s="505">
        <v>2057</v>
      </c>
      <c r="N396" s="505">
        <v>0</v>
      </c>
      <c r="O396" s="505">
        <v>0</v>
      </c>
      <c r="P396" s="505">
        <v>4644</v>
      </c>
      <c r="Q396" s="505">
        <v>6701</v>
      </c>
      <c r="R396" s="460"/>
      <c r="S396" s="505">
        <v>522299</v>
      </c>
      <c r="T396" s="505">
        <v>29321</v>
      </c>
      <c r="U396" s="505">
        <v>551620</v>
      </c>
      <c r="W396" s="454">
        <v>3093797</v>
      </c>
      <c r="X396" s="454">
        <v>637081</v>
      </c>
    </row>
    <row r="397" spans="1:24">
      <c r="A397" s="458">
        <v>94151</v>
      </c>
      <c r="B397" s="518" t="s">
        <v>1109</v>
      </c>
      <c r="C397" s="460">
        <f t="shared" si="7"/>
        <v>4.9583006504996764E-4</v>
      </c>
      <c r="D397" s="460">
        <f>VLOOKUP(A397,'2024 summary '!A397:C1303,3,FALSE)</f>
        <v>4.73E-4</v>
      </c>
      <c r="E397" s="505">
        <v>3342624</v>
      </c>
      <c r="F397" s="460"/>
      <c r="G397" s="505">
        <v>585754</v>
      </c>
      <c r="H397" s="505">
        <v>454428</v>
      </c>
      <c r="I397" s="505">
        <v>0</v>
      </c>
      <c r="J397" s="505">
        <v>80412</v>
      </c>
      <c r="K397" s="505">
        <v>1120594</v>
      </c>
      <c r="L397" s="460"/>
      <c r="M397" s="505">
        <v>3938</v>
      </c>
      <c r="N397" s="505">
        <v>0</v>
      </c>
      <c r="O397" s="505">
        <v>0</v>
      </c>
      <c r="P397" s="505">
        <v>86037</v>
      </c>
      <c r="Q397" s="505">
        <v>89975</v>
      </c>
      <c r="R397" s="460"/>
      <c r="S397" s="505">
        <v>999968</v>
      </c>
      <c r="T397" s="505">
        <v>7787</v>
      </c>
      <c r="U397" s="505">
        <v>1007755</v>
      </c>
      <c r="W397" s="454">
        <v>5923227</v>
      </c>
      <c r="X397" s="454">
        <v>1219722</v>
      </c>
    </row>
    <row r="398" spans="1:24">
      <c r="A398" s="458">
        <v>94157</v>
      </c>
      <c r="B398" s="518" t="s">
        <v>1110</v>
      </c>
      <c r="C398" s="460">
        <f t="shared" si="7"/>
        <v>2.3720045701224614E-5</v>
      </c>
      <c r="D398" s="460">
        <f>VLOOKUP(A398,'2024 summary '!A398:C1304,3,FALSE)</f>
        <v>1.8320000000000001E-5</v>
      </c>
      <c r="E398" s="505">
        <v>159908</v>
      </c>
      <c r="F398" s="460"/>
      <c r="G398" s="505">
        <v>28022</v>
      </c>
      <c r="H398" s="505">
        <v>21739</v>
      </c>
      <c r="I398" s="505">
        <v>0</v>
      </c>
      <c r="J398" s="505">
        <v>10900</v>
      </c>
      <c r="K398" s="505">
        <v>60661</v>
      </c>
      <c r="L398" s="460"/>
      <c r="M398" s="505">
        <v>188</v>
      </c>
      <c r="N398" s="505">
        <v>0</v>
      </c>
      <c r="O398" s="505">
        <v>0</v>
      </c>
      <c r="P398" s="505">
        <v>4363</v>
      </c>
      <c r="Q398" s="505">
        <v>4551</v>
      </c>
      <c r="R398" s="460"/>
      <c r="S398" s="505">
        <v>47837</v>
      </c>
      <c r="T398" s="505">
        <v>4881</v>
      </c>
      <c r="U398" s="505">
        <v>52718</v>
      </c>
      <c r="W398" s="454">
        <v>283361</v>
      </c>
      <c r="X398" s="454">
        <v>58350</v>
      </c>
    </row>
    <row r="399" spans="1:24">
      <c r="A399" s="458">
        <v>94161</v>
      </c>
      <c r="B399" s="518" t="s">
        <v>1111</v>
      </c>
      <c r="C399" s="460">
        <f t="shared" si="7"/>
        <v>5.4309957053703802E-5</v>
      </c>
      <c r="D399" s="460">
        <f>VLOOKUP(A399,'2024 summary '!A399:C1305,3,FALSE)</f>
        <v>5.2519999999999999E-5</v>
      </c>
      <c r="E399" s="505">
        <v>366129</v>
      </c>
      <c r="F399" s="460"/>
      <c r="G399" s="505">
        <v>64160</v>
      </c>
      <c r="H399" s="505">
        <v>49775</v>
      </c>
      <c r="I399" s="505">
        <v>0</v>
      </c>
      <c r="J399" s="505">
        <v>13262</v>
      </c>
      <c r="K399" s="505">
        <v>127197</v>
      </c>
      <c r="L399" s="460"/>
      <c r="M399" s="505">
        <v>431</v>
      </c>
      <c r="N399" s="505">
        <v>0</v>
      </c>
      <c r="O399" s="505">
        <v>0</v>
      </c>
      <c r="P399" s="505">
        <v>1695</v>
      </c>
      <c r="Q399" s="505">
        <v>2126</v>
      </c>
      <c r="R399" s="460"/>
      <c r="S399" s="505">
        <v>109530</v>
      </c>
      <c r="T399" s="505">
        <v>8439</v>
      </c>
      <c r="U399" s="505">
        <v>117969</v>
      </c>
      <c r="W399" s="454">
        <v>648792</v>
      </c>
      <c r="X399" s="454">
        <v>133600</v>
      </c>
    </row>
    <row r="400" spans="1:24">
      <c r="A400" s="458">
        <v>94171</v>
      </c>
      <c r="B400" s="518" t="s">
        <v>1113</v>
      </c>
      <c r="C400" s="460">
        <f t="shared" si="7"/>
        <v>7.2450063295095469E-5</v>
      </c>
      <c r="D400" s="460">
        <f>VLOOKUP(A400,'2024 summary '!A400:C1306,3,FALSE)</f>
        <v>7.059E-5</v>
      </c>
      <c r="E400" s="505">
        <v>488420</v>
      </c>
      <c r="F400" s="460"/>
      <c r="G400" s="505">
        <v>85590</v>
      </c>
      <c r="H400" s="505">
        <v>66400</v>
      </c>
      <c r="I400" s="505">
        <v>0</v>
      </c>
      <c r="J400" s="505">
        <v>10514</v>
      </c>
      <c r="K400" s="505">
        <v>162504</v>
      </c>
      <c r="L400" s="460"/>
      <c r="M400" s="505">
        <v>575</v>
      </c>
      <c r="N400" s="505">
        <v>0</v>
      </c>
      <c r="O400" s="505">
        <v>0</v>
      </c>
      <c r="P400" s="505">
        <v>12674</v>
      </c>
      <c r="Q400" s="505">
        <v>13249</v>
      </c>
      <c r="R400" s="460"/>
      <c r="S400" s="505">
        <v>146114</v>
      </c>
      <c r="T400" s="505">
        <v>-3275</v>
      </c>
      <c r="U400" s="505">
        <v>142839</v>
      </c>
      <c r="W400" s="454">
        <v>865494</v>
      </c>
      <c r="X400" s="454">
        <v>178224</v>
      </c>
    </row>
    <row r="401" spans="1:24">
      <c r="A401" s="458">
        <v>94172</v>
      </c>
      <c r="B401" s="518" t="s">
        <v>1114</v>
      </c>
      <c r="C401" s="460">
        <f t="shared" si="7"/>
        <v>3.3522001400243062E-4</v>
      </c>
      <c r="D401" s="460">
        <f>VLOOKUP(A401,'2024 summary '!A401:C1307,3,FALSE)</f>
        <v>3.1513E-4</v>
      </c>
      <c r="E401" s="505">
        <v>2259876</v>
      </c>
      <c r="F401" s="460"/>
      <c r="G401" s="505">
        <v>396016</v>
      </c>
      <c r="H401" s="505">
        <v>307229</v>
      </c>
      <c r="I401" s="505">
        <v>0</v>
      </c>
      <c r="J401" s="505">
        <v>23685</v>
      </c>
      <c r="K401" s="505">
        <v>726930</v>
      </c>
      <c r="L401" s="460"/>
      <c r="M401" s="505">
        <v>2663</v>
      </c>
      <c r="N401" s="505">
        <v>0</v>
      </c>
      <c r="O401" s="505">
        <v>0</v>
      </c>
      <c r="P401" s="505">
        <v>38064</v>
      </c>
      <c r="Q401" s="505">
        <v>40727</v>
      </c>
      <c r="R401" s="460"/>
      <c r="S401" s="505">
        <v>676057</v>
      </c>
      <c r="T401" s="505">
        <v>-4808</v>
      </c>
      <c r="U401" s="505">
        <v>671249</v>
      </c>
      <c r="W401" s="454">
        <v>4004566</v>
      </c>
      <c r="X401" s="454">
        <v>824628</v>
      </c>
    </row>
    <row r="402" spans="1:24">
      <c r="A402" s="458">
        <v>94201</v>
      </c>
      <c r="B402" s="518" t="s">
        <v>1115</v>
      </c>
      <c r="C402" s="460">
        <f t="shared" si="7"/>
        <v>2.5572599842104697E-3</v>
      </c>
      <c r="D402" s="460">
        <f>VLOOKUP(A402,'2024 summary '!A402:C1308,3,FALSE)</f>
        <v>2.79854E-3</v>
      </c>
      <c r="E402" s="505">
        <v>17239694</v>
      </c>
      <c r="F402" s="460"/>
      <c r="G402" s="505">
        <v>3021047</v>
      </c>
      <c r="H402" s="505">
        <v>2343726</v>
      </c>
      <c r="I402" s="505">
        <v>0</v>
      </c>
      <c r="J402" s="505">
        <v>48168</v>
      </c>
      <c r="K402" s="505">
        <v>5412941</v>
      </c>
      <c r="L402" s="460"/>
      <c r="M402" s="505">
        <v>20312</v>
      </c>
      <c r="N402" s="505">
        <v>0</v>
      </c>
      <c r="O402" s="505">
        <v>0</v>
      </c>
      <c r="P402" s="505">
        <v>596026</v>
      </c>
      <c r="Q402" s="505">
        <v>616338</v>
      </c>
      <c r="R402" s="460"/>
      <c r="S402" s="505">
        <v>5157369</v>
      </c>
      <c r="T402" s="505">
        <v>-218736</v>
      </c>
      <c r="U402" s="505">
        <v>4938633</v>
      </c>
      <c r="W402" s="454">
        <v>30549243</v>
      </c>
      <c r="X402" s="454">
        <v>6290760</v>
      </c>
    </row>
    <row r="403" spans="1:24">
      <c r="A403" s="458">
        <v>94204</v>
      </c>
      <c r="B403" s="518" t="s">
        <v>1116</v>
      </c>
      <c r="C403" s="460">
        <f t="shared" si="7"/>
        <v>3.8380050933308246E-5</v>
      </c>
      <c r="D403" s="460">
        <f>VLOOKUP(A403,'2024 summary '!A403:C1309,3,FALSE)</f>
        <v>4.1850000000000001E-5</v>
      </c>
      <c r="E403" s="505">
        <v>258738</v>
      </c>
      <c r="F403" s="460"/>
      <c r="G403" s="505">
        <v>45341</v>
      </c>
      <c r="H403" s="505">
        <v>35175</v>
      </c>
      <c r="I403" s="505">
        <v>0</v>
      </c>
      <c r="J403" s="505">
        <v>3808</v>
      </c>
      <c r="K403" s="505">
        <v>84324</v>
      </c>
      <c r="L403" s="460"/>
      <c r="M403" s="505">
        <v>305</v>
      </c>
      <c r="N403" s="505">
        <v>0</v>
      </c>
      <c r="O403" s="505">
        <v>0</v>
      </c>
      <c r="P403" s="505">
        <v>21857</v>
      </c>
      <c r="Q403" s="505">
        <v>22162</v>
      </c>
      <c r="R403" s="460"/>
      <c r="S403" s="505">
        <v>77403</v>
      </c>
      <c r="T403" s="505">
        <v>-1491</v>
      </c>
      <c r="U403" s="505">
        <v>75912</v>
      </c>
      <c r="W403" s="454">
        <v>458491</v>
      </c>
      <c r="X403" s="454">
        <v>94413</v>
      </c>
    </row>
    <row r="404" spans="1:24">
      <c r="A404" s="458">
        <v>94205</v>
      </c>
      <c r="B404" s="518" t="s">
        <v>1117</v>
      </c>
      <c r="C404" s="460">
        <f t="shared" si="7"/>
        <v>1.0480056962986345E-5</v>
      </c>
      <c r="D404" s="460">
        <f>VLOOKUP(A404,'2024 summary '!A404:C1310,3,FALSE)</f>
        <v>1.1790000000000001E-5</v>
      </c>
      <c r="E404" s="505">
        <v>70651</v>
      </c>
      <c r="F404" s="460"/>
      <c r="G404" s="505">
        <v>12381</v>
      </c>
      <c r="H404" s="505">
        <v>9605</v>
      </c>
      <c r="I404" s="505">
        <v>0</v>
      </c>
      <c r="J404" s="505">
        <v>20402</v>
      </c>
      <c r="K404" s="505">
        <v>42388</v>
      </c>
      <c r="L404" s="460"/>
      <c r="M404" s="505">
        <v>83</v>
      </c>
      <c r="N404" s="505">
        <v>0</v>
      </c>
      <c r="O404" s="505">
        <v>0</v>
      </c>
      <c r="P404" s="505">
        <v>4058</v>
      </c>
      <c r="Q404" s="505">
        <v>4141</v>
      </c>
      <c r="R404" s="460"/>
      <c r="S404" s="505">
        <v>21136</v>
      </c>
      <c r="T404" s="505">
        <v>8892</v>
      </c>
      <c r="U404" s="505">
        <v>30028</v>
      </c>
      <c r="W404" s="454">
        <v>125195</v>
      </c>
      <c r="X404" s="454">
        <v>25780</v>
      </c>
    </row>
    <row r="405" spans="1:24">
      <c r="A405" s="458">
        <v>94209</v>
      </c>
      <c r="B405" s="518" t="s">
        <v>1118</v>
      </c>
      <c r="C405" s="460">
        <f t="shared" si="7"/>
        <v>3.1318995554808582E-4</v>
      </c>
      <c r="D405" s="460">
        <f>VLOOKUP(A405,'2024 summary '!A405:C1311,3,FALSE)</f>
        <v>3.0934000000000002E-4</v>
      </c>
      <c r="E405" s="505">
        <v>2111361</v>
      </c>
      <c r="F405" s="460"/>
      <c r="G405" s="505">
        <v>369990</v>
      </c>
      <c r="H405" s="505">
        <v>287038</v>
      </c>
      <c r="I405" s="505">
        <v>0</v>
      </c>
      <c r="J405" s="505">
        <v>95263</v>
      </c>
      <c r="K405" s="505">
        <v>752291</v>
      </c>
      <c r="L405" s="460"/>
      <c r="M405" s="505">
        <v>2488</v>
      </c>
      <c r="N405" s="505">
        <v>0</v>
      </c>
      <c r="O405" s="505">
        <v>0</v>
      </c>
      <c r="P405" s="505">
        <v>14094</v>
      </c>
      <c r="Q405" s="505">
        <v>16582</v>
      </c>
      <c r="R405" s="460"/>
      <c r="S405" s="505">
        <v>631628</v>
      </c>
      <c r="T405" s="505">
        <v>27850</v>
      </c>
      <c r="U405" s="505">
        <v>659478</v>
      </c>
      <c r="W405" s="454">
        <v>3741394</v>
      </c>
      <c r="X405" s="454">
        <v>770435</v>
      </c>
    </row>
    <row r="406" spans="1:24">
      <c r="A406" s="458">
        <v>94211</v>
      </c>
      <c r="B406" s="518" t="s">
        <v>1119</v>
      </c>
      <c r="C406" s="460">
        <f t="shared" si="7"/>
        <v>8.0650054079569648E-5</v>
      </c>
      <c r="D406" s="460">
        <f>VLOOKUP(A406,'2024 summary '!A406:C1312,3,FALSE)</f>
        <v>9.2219999999999995E-5</v>
      </c>
      <c r="E406" s="505">
        <v>543700</v>
      </c>
      <c r="F406" s="460"/>
      <c r="G406" s="505">
        <v>95277</v>
      </c>
      <c r="H406" s="505">
        <v>73916</v>
      </c>
      <c r="I406" s="505">
        <v>0</v>
      </c>
      <c r="J406" s="505">
        <v>14780</v>
      </c>
      <c r="K406" s="505">
        <v>183973</v>
      </c>
      <c r="L406" s="460"/>
      <c r="M406" s="505">
        <v>641</v>
      </c>
      <c r="N406" s="505">
        <v>0</v>
      </c>
      <c r="O406" s="505">
        <v>0</v>
      </c>
      <c r="P406" s="505">
        <v>76535</v>
      </c>
      <c r="Q406" s="505">
        <v>77176</v>
      </c>
      <c r="R406" s="460"/>
      <c r="S406" s="505">
        <v>162651</v>
      </c>
      <c r="T406" s="505">
        <v>-35430</v>
      </c>
      <c r="U406" s="505">
        <v>127221</v>
      </c>
      <c r="W406" s="454">
        <v>963452</v>
      </c>
      <c r="X406" s="454">
        <v>198396</v>
      </c>
    </row>
    <row r="407" spans="1:24">
      <c r="A407" s="458">
        <v>94221</v>
      </c>
      <c r="B407" s="518" t="s">
        <v>1120</v>
      </c>
      <c r="C407" s="460">
        <f t="shared" si="7"/>
        <v>7.9214996358055228E-4</v>
      </c>
      <c r="D407" s="460">
        <f>VLOOKUP(A407,'2024 summary '!A407:C1313,3,FALSE)</f>
        <v>8.3058999999999997E-4</v>
      </c>
      <c r="E407" s="505">
        <v>5340256</v>
      </c>
      <c r="F407" s="460"/>
      <c r="G407" s="505">
        <v>935815</v>
      </c>
      <c r="H407" s="505">
        <v>726005</v>
      </c>
      <c r="I407" s="505">
        <v>0</v>
      </c>
      <c r="J407" s="505">
        <v>4375</v>
      </c>
      <c r="K407" s="505">
        <v>1666195</v>
      </c>
      <c r="L407" s="460"/>
      <c r="M407" s="505">
        <v>6292</v>
      </c>
      <c r="N407" s="505">
        <v>0</v>
      </c>
      <c r="O407" s="505">
        <v>0</v>
      </c>
      <c r="P407" s="505">
        <v>150854</v>
      </c>
      <c r="Q407" s="505">
        <v>157146</v>
      </c>
      <c r="R407" s="460"/>
      <c r="S407" s="505">
        <v>1597573</v>
      </c>
      <c r="T407" s="505">
        <v>-131851</v>
      </c>
      <c r="U407" s="505">
        <v>1465722</v>
      </c>
      <c r="W407" s="454">
        <v>9463090</v>
      </c>
      <c r="X407" s="454">
        <v>1948658</v>
      </c>
    </row>
    <row r="408" spans="1:24">
      <c r="A408" s="458">
        <v>94231</v>
      </c>
      <c r="B408" s="518" t="s">
        <v>1121</v>
      </c>
      <c r="C408" s="460">
        <f t="shared" si="7"/>
        <v>1.5970995075665083E-4</v>
      </c>
      <c r="D408" s="460">
        <f>VLOOKUP(A408,'2024 summary '!A408:C1314,3,FALSE)</f>
        <v>1.6496999999999999E-4</v>
      </c>
      <c r="E408" s="505">
        <v>1076680</v>
      </c>
      <c r="F408" s="460"/>
      <c r="G408" s="505">
        <v>188675</v>
      </c>
      <c r="H408" s="505">
        <v>146374</v>
      </c>
      <c r="I408" s="505">
        <v>0</v>
      </c>
      <c r="J408" s="505">
        <v>43113</v>
      </c>
      <c r="K408" s="505">
        <v>378162</v>
      </c>
      <c r="L408" s="460"/>
      <c r="M408" s="505">
        <v>1269</v>
      </c>
      <c r="N408" s="505">
        <v>0</v>
      </c>
      <c r="O408" s="505">
        <v>0</v>
      </c>
      <c r="P408" s="505">
        <v>26192</v>
      </c>
      <c r="Q408" s="505">
        <v>27461</v>
      </c>
      <c r="R408" s="460"/>
      <c r="S408" s="505">
        <v>322096</v>
      </c>
      <c r="T408" s="505">
        <v>26012</v>
      </c>
      <c r="U408" s="505">
        <v>348108</v>
      </c>
      <c r="W408" s="454">
        <v>1907909</v>
      </c>
      <c r="X408" s="454">
        <v>392880</v>
      </c>
    </row>
    <row r="409" spans="1:24">
      <c r="A409" s="458">
        <v>94241</v>
      </c>
      <c r="B409" s="518" t="s">
        <v>1122</v>
      </c>
      <c r="C409" s="460">
        <f t="shared" si="7"/>
        <v>1.121500042067006E-4</v>
      </c>
      <c r="D409" s="460">
        <f>VLOOKUP(A409,'2024 summary '!A409:C1315,3,FALSE)</f>
        <v>1.3248000000000001E-4</v>
      </c>
      <c r="E409" s="505">
        <v>756056</v>
      </c>
      <c r="F409" s="460"/>
      <c r="G409" s="505">
        <v>132490</v>
      </c>
      <c r="H409" s="505">
        <v>102785</v>
      </c>
      <c r="I409" s="505">
        <v>0</v>
      </c>
      <c r="J409" s="505">
        <v>0</v>
      </c>
      <c r="K409" s="505">
        <v>235275</v>
      </c>
      <c r="L409" s="460"/>
      <c r="M409" s="505">
        <v>891</v>
      </c>
      <c r="N409" s="505">
        <v>0</v>
      </c>
      <c r="O409" s="505">
        <v>0</v>
      </c>
      <c r="P409" s="505">
        <v>89472</v>
      </c>
      <c r="Q409" s="505">
        <v>90363</v>
      </c>
      <c r="R409" s="460"/>
      <c r="S409" s="505">
        <v>226179</v>
      </c>
      <c r="T409" s="505">
        <v>-25824</v>
      </c>
      <c r="U409" s="505">
        <v>200355</v>
      </c>
      <c r="W409" s="454">
        <v>1339753</v>
      </c>
      <c r="X409" s="454">
        <v>275885</v>
      </c>
    </row>
    <row r="410" spans="1:24">
      <c r="A410" s="458">
        <v>94251</v>
      </c>
      <c r="B410" s="518" t="s">
        <v>1123</v>
      </c>
      <c r="C410" s="460">
        <f t="shared" si="7"/>
        <v>2.1480030128931841E-5</v>
      </c>
      <c r="D410" s="460">
        <f>VLOOKUP(A410,'2024 summary '!A410:C1316,3,FALSE)</f>
        <v>2.3010000000000002E-5</v>
      </c>
      <c r="E410" s="505">
        <v>144807</v>
      </c>
      <c r="F410" s="460"/>
      <c r="G410" s="505">
        <v>25376</v>
      </c>
      <c r="H410" s="505">
        <v>19686</v>
      </c>
      <c r="I410" s="505">
        <v>0</v>
      </c>
      <c r="J410" s="505">
        <v>3524</v>
      </c>
      <c r="K410" s="505">
        <v>48586</v>
      </c>
      <c r="L410" s="460"/>
      <c r="M410" s="505">
        <v>171</v>
      </c>
      <c r="N410" s="505">
        <v>0</v>
      </c>
      <c r="O410" s="505">
        <v>0</v>
      </c>
      <c r="P410" s="505">
        <v>13610</v>
      </c>
      <c r="Q410" s="505">
        <v>13781</v>
      </c>
      <c r="R410" s="460"/>
      <c r="S410" s="505">
        <v>43320</v>
      </c>
      <c r="T410" s="505">
        <v>-2094</v>
      </c>
      <c r="U410" s="505">
        <v>41226</v>
      </c>
      <c r="W410" s="454">
        <v>256602</v>
      </c>
      <c r="X410" s="454">
        <v>52840</v>
      </c>
    </row>
    <row r="411" spans="1:24">
      <c r="A411" s="458">
        <v>94261</v>
      </c>
      <c r="B411" s="518" t="s">
        <v>1124</v>
      </c>
      <c r="C411" s="460">
        <f t="shared" si="7"/>
        <v>3.6369955507830502E-5</v>
      </c>
      <c r="D411" s="460">
        <f>VLOOKUP(A411,'2024 summary '!A411:C1317,3,FALSE)</f>
        <v>3.4950000000000002E-5</v>
      </c>
      <c r="E411" s="505">
        <v>245187</v>
      </c>
      <c r="F411" s="460"/>
      <c r="G411" s="505">
        <v>42966</v>
      </c>
      <c r="H411" s="505">
        <v>33333</v>
      </c>
      <c r="I411" s="505">
        <v>0</v>
      </c>
      <c r="J411" s="505">
        <v>184</v>
      </c>
      <c r="K411" s="505">
        <v>76483</v>
      </c>
      <c r="L411" s="460"/>
      <c r="M411" s="505">
        <v>289</v>
      </c>
      <c r="N411" s="505">
        <v>0</v>
      </c>
      <c r="O411" s="505">
        <v>0</v>
      </c>
      <c r="P411" s="505">
        <v>5995</v>
      </c>
      <c r="Q411" s="505">
        <v>6284</v>
      </c>
      <c r="R411" s="460"/>
      <c r="S411" s="505">
        <v>73349</v>
      </c>
      <c r="T411" s="505">
        <v>-2938</v>
      </c>
      <c r="U411" s="505">
        <v>70411</v>
      </c>
      <c r="W411" s="454">
        <v>434479</v>
      </c>
      <c r="X411" s="454">
        <v>89469</v>
      </c>
    </row>
    <row r="412" spans="1:24">
      <c r="A412" s="458">
        <v>94301</v>
      </c>
      <c r="B412" s="518" t="s">
        <v>1125</v>
      </c>
      <c r="C412" s="460">
        <f t="shared" si="7"/>
        <v>6.1746500215712347E-3</v>
      </c>
      <c r="D412" s="460">
        <f>VLOOKUP(A412,'2024 summary '!A412:C1318,3,FALSE)</f>
        <v>5.9402400000000003E-3</v>
      </c>
      <c r="E412" s="505">
        <v>41626224</v>
      </c>
      <c r="F412" s="460"/>
      <c r="G412" s="505">
        <v>7294491</v>
      </c>
      <c r="H412" s="505">
        <v>5659061</v>
      </c>
      <c r="I412" s="505">
        <v>0</v>
      </c>
      <c r="J412" s="505">
        <v>1514066</v>
      </c>
      <c r="K412" s="505">
        <v>14467618</v>
      </c>
      <c r="L412" s="460"/>
      <c r="M412" s="505">
        <v>49045</v>
      </c>
      <c r="N412" s="505">
        <v>0</v>
      </c>
      <c r="O412" s="505">
        <v>0</v>
      </c>
      <c r="P412" s="505">
        <v>138385</v>
      </c>
      <c r="Q412" s="505">
        <v>187430</v>
      </c>
      <c r="R412" s="460"/>
      <c r="S412" s="505">
        <v>12452762</v>
      </c>
      <c r="T412" s="505">
        <v>360600</v>
      </c>
      <c r="U412" s="505">
        <v>12813362</v>
      </c>
      <c r="W412" s="454">
        <v>73762888</v>
      </c>
      <c r="X412" s="454">
        <v>15189398</v>
      </c>
    </row>
    <row r="413" spans="1:24">
      <c r="A413" s="458">
        <v>94311</v>
      </c>
      <c r="B413" s="518" t="s">
        <v>1126</v>
      </c>
      <c r="C413" s="460">
        <f t="shared" si="7"/>
        <v>7.4411000309828376E-4</v>
      </c>
      <c r="D413" s="460">
        <f>VLOOKUP(A413,'2024 summary '!A413:C1319,3,FALSE)</f>
        <v>7.6433000000000002E-4</v>
      </c>
      <c r="E413" s="505">
        <v>5016396</v>
      </c>
      <c r="F413" s="460"/>
      <c r="G413" s="505">
        <v>879063</v>
      </c>
      <c r="H413" s="505">
        <v>681976</v>
      </c>
      <c r="I413" s="505">
        <v>0</v>
      </c>
      <c r="J413" s="505">
        <v>19664</v>
      </c>
      <c r="K413" s="505">
        <v>1580703</v>
      </c>
      <c r="L413" s="460"/>
      <c r="M413" s="505">
        <v>5910</v>
      </c>
      <c r="N413" s="505">
        <v>0</v>
      </c>
      <c r="O413" s="505">
        <v>0</v>
      </c>
      <c r="P413" s="505">
        <v>171252</v>
      </c>
      <c r="Q413" s="505">
        <v>177162</v>
      </c>
      <c r="R413" s="460"/>
      <c r="S413" s="505">
        <v>1500688</v>
      </c>
      <c r="T413" s="505">
        <v>-57177</v>
      </c>
      <c r="U413" s="505">
        <v>1443511</v>
      </c>
      <c r="W413" s="454">
        <v>8889201</v>
      </c>
      <c r="X413" s="454">
        <v>1830482</v>
      </c>
    </row>
    <row r="414" spans="1:24">
      <c r="A414" s="458">
        <v>94313</v>
      </c>
      <c r="B414" s="518" t="s">
        <v>1127</v>
      </c>
      <c r="C414" s="460">
        <f t="shared" si="7"/>
        <v>2.1489968612697395E-5</v>
      </c>
      <c r="D414" s="460">
        <f>VLOOKUP(A414,'2024 summary '!A414:C1320,3,FALSE)</f>
        <v>1.6500000000000001E-5</v>
      </c>
      <c r="E414" s="505">
        <v>144874</v>
      </c>
      <c r="F414" s="460"/>
      <c r="G414" s="505">
        <v>25387</v>
      </c>
      <c r="H414" s="505">
        <v>19696</v>
      </c>
      <c r="I414" s="505">
        <v>0</v>
      </c>
      <c r="J414" s="505">
        <v>24235</v>
      </c>
      <c r="K414" s="505">
        <v>69318</v>
      </c>
      <c r="L414" s="460"/>
      <c r="M414" s="505">
        <v>171</v>
      </c>
      <c r="N414" s="505">
        <v>0</v>
      </c>
      <c r="O414" s="505">
        <v>0</v>
      </c>
      <c r="P414" s="505">
        <v>5241</v>
      </c>
      <c r="Q414" s="505">
        <v>5412</v>
      </c>
      <c r="R414" s="460"/>
      <c r="S414" s="505">
        <v>43340</v>
      </c>
      <c r="T414" s="505">
        <v>11028</v>
      </c>
      <c r="U414" s="505">
        <v>54368</v>
      </c>
      <c r="W414" s="454">
        <v>256721</v>
      </c>
      <c r="X414" s="454">
        <v>52865</v>
      </c>
    </row>
    <row r="415" spans="1:24">
      <c r="A415" s="458">
        <v>94317</v>
      </c>
      <c r="B415" s="518" t="s">
        <v>1128</v>
      </c>
      <c r="C415" s="460">
        <f t="shared" si="7"/>
        <v>1.815998320892278E-5</v>
      </c>
      <c r="D415" s="460">
        <f>VLOOKUP(A415,'2024 summary '!A415:C1321,3,FALSE)</f>
        <v>1.8110000000000001E-5</v>
      </c>
      <c r="E415" s="505">
        <v>122425</v>
      </c>
      <c r="F415" s="460"/>
      <c r="G415" s="505">
        <v>21454</v>
      </c>
      <c r="H415" s="505">
        <v>16644</v>
      </c>
      <c r="I415" s="505">
        <v>0</v>
      </c>
      <c r="J415" s="505">
        <v>12035</v>
      </c>
      <c r="K415" s="505">
        <v>50133</v>
      </c>
      <c r="L415" s="460"/>
      <c r="M415" s="505">
        <v>144</v>
      </c>
      <c r="N415" s="505">
        <v>0</v>
      </c>
      <c r="O415" s="505">
        <v>0</v>
      </c>
      <c r="P415" s="505">
        <v>0</v>
      </c>
      <c r="Q415" s="505">
        <v>144</v>
      </c>
      <c r="R415" s="460"/>
      <c r="S415" s="505">
        <v>36624</v>
      </c>
      <c r="T415" s="505">
        <v>13526</v>
      </c>
      <c r="U415" s="505">
        <v>50150</v>
      </c>
      <c r="W415" s="454">
        <v>216941</v>
      </c>
      <c r="X415" s="454">
        <v>44673</v>
      </c>
    </row>
    <row r="416" spans="1:24">
      <c r="A416" s="458">
        <v>94321</v>
      </c>
      <c r="B416" s="518" t="s">
        <v>1129</v>
      </c>
      <c r="C416" s="460">
        <f t="shared" si="7"/>
        <v>3.4402002220230277E-4</v>
      </c>
      <c r="D416" s="460">
        <f>VLOOKUP(A416,'2024 summary '!A416:C1322,3,FALSE)</f>
        <v>3.4961999999999998E-4</v>
      </c>
      <c r="E416" s="505">
        <v>2319201</v>
      </c>
      <c r="F416" s="460"/>
      <c r="G416" s="505">
        <v>406412</v>
      </c>
      <c r="H416" s="505">
        <v>315294</v>
      </c>
      <c r="I416" s="505">
        <v>0</v>
      </c>
      <c r="J416" s="505">
        <v>77198</v>
      </c>
      <c r="K416" s="505">
        <v>798904</v>
      </c>
      <c r="L416" s="460"/>
      <c r="M416" s="505">
        <v>2733</v>
      </c>
      <c r="N416" s="505">
        <v>0</v>
      </c>
      <c r="O416" s="505">
        <v>0</v>
      </c>
      <c r="P416" s="505">
        <v>36356</v>
      </c>
      <c r="Q416" s="505">
        <v>39089</v>
      </c>
      <c r="R416" s="460"/>
      <c r="S416" s="505">
        <v>693804</v>
      </c>
      <c r="T416" s="505">
        <v>19700</v>
      </c>
      <c r="U416" s="505">
        <v>713504</v>
      </c>
      <c r="W416" s="454">
        <v>4109692</v>
      </c>
      <c r="X416" s="454">
        <v>846276</v>
      </c>
    </row>
    <row r="417" spans="1:24">
      <c r="A417" s="458">
        <v>94331</v>
      </c>
      <c r="B417" s="518" t="s">
        <v>1130</v>
      </c>
      <c r="C417" s="460">
        <f t="shared" si="7"/>
        <v>1.5711007307069787E-4</v>
      </c>
      <c r="D417" s="460">
        <f>VLOOKUP(A417,'2024 summary '!A417:C1323,3,FALSE)</f>
        <v>1.4553999999999999E-4</v>
      </c>
      <c r="E417" s="505">
        <v>1059153</v>
      </c>
      <c r="F417" s="460"/>
      <c r="G417" s="505">
        <v>185604</v>
      </c>
      <c r="H417" s="505">
        <v>143991</v>
      </c>
      <c r="I417" s="505">
        <v>0</v>
      </c>
      <c r="J417" s="505">
        <v>33331</v>
      </c>
      <c r="K417" s="505">
        <v>362926</v>
      </c>
      <c r="L417" s="460"/>
      <c r="M417" s="505">
        <v>1248</v>
      </c>
      <c r="N417" s="505">
        <v>0</v>
      </c>
      <c r="O417" s="505">
        <v>0</v>
      </c>
      <c r="P417" s="505">
        <v>23011</v>
      </c>
      <c r="Q417" s="505">
        <v>24259</v>
      </c>
      <c r="R417" s="460"/>
      <c r="S417" s="505">
        <v>316853</v>
      </c>
      <c r="T417" s="505">
        <v>-2272</v>
      </c>
      <c r="U417" s="505">
        <v>314581</v>
      </c>
      <c r="W417" s="454">
        <v>1876849</v>
      </c>
      <c r="X417" s="454">
        <v>386484</v>
      </c>
    </row>
    <row r="418" spans="1:24">
      <c r="A418" s="458">
        <v>94341</v>
      </c>
      <c r="B418" s="518" t="s">
        <v>1131</v>
      </c>
      <c r="C418" s="460">
        <f t="shared" si="7"/>
        <v>7.62499758118443E-5</v>
      </c>
      <c r="D418" s="460">
        <f>VLOOKUP(A418,'2024 summary '!A418:C1324,3,FALSE)</f>
        <v>9.3289999999999996E-5</v>
      </c>
      <c r="E418" s="505">
        <v>514037</v>
      </c>
      <c r="F418" s="460"/>
      <c r="G418" s="505">
        <v>90079</v>
      </c>
      <c r="H418" s="505">
        <v>69883</v>
      </c>
      <c r="I418" s="505">
        <v>0</v>
      </c>
      <c r="J418" s="505">
        <v>10173</v>
      </c>
      <c r="K418" s="505">
        <v>170135</v>
      </c>
      <c r="L418" s="460"/>
      <c r="M418" s="505">
        <v>606</v>
      </c>
      <c r="N418" s="505">
        <v>0</v>
      </c>
      <c r="O418" s="505">
        <v>0</v>
      </c>
      <c r="P418" s="505">
        <v>78657</v>
      </c>
      <c r="Q418" s="505">
        <v>79263</v>
      </c>
      <c r="R418" s="460"/>
      <c r="S418" s="505">
        <v>153778</v>
      </c>
      <c r="T418" s="505">
        <v>-27839</v>
      </c>
      <c r="U418" s="505">
        <v>125939</v>
      </c>
      <c r="W418" s="454">
        <v>910889</v>
      </c>
      <c r="X418" s="454">
        <v>187572</v>
      </c>
    </row>
    <row r="419" spans="1:24">
      <c r="A419" s="458">
        <v>94347</v>
      </c>
      <c r="B419" s="518" t="s">
        <v>1132</v>
      </c>
      <c r="C419" s="460">
        <f t="shared" si="7"/>
        <v>7.6199986721859349E-6</v>
      </c>
      <c r="D419" s="460">
        <f>VLOOKUP(A419,'2024 summary '!A419:C1325,3,FALSE)</f>
        <v>1.8669999999999999E-5</v>
      </c>
      <c r="E419" s="505">
        <v>51370</v>
      </c>
      <c r="F419" s="460"/>
      <c r="G419" s="505">
        <v>9002</v>
      </c>
      <c r="H419" s="505">
        <v>6984</v>
      </c>
      <c r="I419" s="505">
        <v>0</v>
      </c>
      <c r="J419" s="505">
        <v>7643</v>
      </c>
      <c r="K419" s="505">
        <v>23629</v>
      </c>
      <c r="L419" s="460"/>
      <c r="M419" s="505">
        <v>61</v>
      </c>
      <c r="N419" s="505">
        <v>0</v>
      </c>
      <c r="O419" s="505">
        <v>0</v>
      </c>
      <c r="P419" s="505">
        <v>37834</v>
      </c>
      <c r="Q419" s="505">
        <v>37895</v>
      </c>
      <c r="R419" s="460"/>
      <c r="S419" s="505">
        <v>15368</v>
      </c>
      <c r="T419" s="505">
        <v>-9734</v>
      </c>
      <c r="U419" s="505">
        <v>5634</v>
      </c>
      <c r="W419" s="454">
        <v>91029</v>
      </c>
      <c r="X419" s="454">
        <v>18745</v>
      </c>
    </row>
    <row r="420" spans="1:24">
      <c r="A420" s="458">
        <v>94351</v>
      </c>
      <c r="B420" s="518" t="s">
        <v>1133</v>
      </c>
      <c r="C420" s="460">
        <f t="shared" si="7"/>
        <v>2.7889996152324908E-4</v>
      </c>
      <c r="D420" s="460">
        <f>VLOOKUP(A420,'2024 summary '!A420:C1326,3,FALSE)</f>
        <v>2.8703000000000002E-4</v>
      </c>
      <c r="E420" s="505">
        <v>1880196</v>
      </c>
      <c r="F420" s="460"/>
      <c r="G420" s="505">
        <v>329482</v>
      </c>
      <c r="H420" s="505">
        <v>255612</v>
      </c>
      <c r="I420" s="505">
        <v>0</v>
      </c>
      <c r="J420" s="505">
        <v>21017</v>
      </c>
      <c r="K420" s="505">
        <v>606111</v>
      </c>
      <c r="L420" s="460"/>
      <c r="M420" s="505">
        <v>2215</v>
      </c>
      <c r="N420" s="505">
        <v>0</v>
      </c>
      <c r="O420" s="505">
        <v>0</v>
      </c>
      <c r="P420" s="505">
        <v>65118</v>
      </c>
      <c r="Q420" s="505">
        <v>67333</v>
      </c>
      <c r="R420" s="460"/>
      <c r="S420" s="505">
        <v>562473</v>
      </c>
      <c r="T420" s="505">
        <v>-13025</v>
      </c>
      <c r="U420" s="505">
        <v>549448</v>
      </c>
      <c r="W420" s="454">
        <v>3331763</v>
      </c>
      <c r="X420" s="454">
        <v>686083</v>
      </c>
    </row>
    <row r="421" spans="1:24">
      <c r="A421" s="458">
        <v>94401</v>
      </c>
      <c r="B421" s="518" t="s">
        <v>1134</v>
      </c>
      <c r="C421" s="460">
        <f t="shared" si="7"/>
        <v>3.3194799814276915E-3</v>
      </c>
      <c r="D421" s="460">
        <f>VLOOKUP(A421,'2024 summary '!A421:C1327,3,FALSE)</f>
        <v>3.6737200000000001E-3</v>
      </c>
      <c r="E421" s="505">
        <v>22378178</v>
      </c>
      <c r="F421" s="460"/>
      <c r="G421" s="505">
        <v>3921504</v>
      </c>
      <c r="H421" s="505">
        <v>3042300</v>
      </c>
      <c r="I421" s="505">
        <v>0</v>
      </c>
      <c r="J421" s="505">
        <v>316078</v>
      </c>
      <c r="K421" s="505">
        <v>7279882</v>
      </c>
      <c r="L421" s="460"/>
      <c r="M421" s="505">
        <v>26367</v>
      </c>
      <c r="N421" s="505">
        <v>0</v>
      </c>
      <c r="O421" s="505">
        <v>0</v>
      </c>
      <c r="P421" s="505">
        <v>1204857</v>
      </c>
      <c r="Q421" s="505">
        <v>1231224</v>
      </c>
      <c r="R421" s="460"/>
      <c r="S421" s="505">
        <v>6694581</v>
      </c>
      <c r="T421" s="505">
        <v>-347050</v>
      </c>
      <c r="U421" s="505">
        <v>6347531</v>
      </c>
      <c r="W421" s="454">
        <v>39654787</v>
      </c>
      <c r="X421" s="454">
        <v>8165791</v>
      </c>
    </row>
    <row r="422" spans="1:24">
      <c r="A422" s="458">
        <v>94403</v>
      </c>
      <c r="B422" s="518" t="s">
        <v>1136</v>
      </c>
      <c r="C422" s="460">
        <f t="shared" si="7"/>
        <v>3.8899967136267394E-5</v>
      </c>
      <c r="D422" s="460">
        <f>VLOOKUP(A422,'2024 summary '!A422:C1328,3,FALSE)</f>
        <v>4.388E-5</v>
      </c>
      <c r="E422" s="505">
        <v>262243</v>
      </c>
      <c r="F422" s="460"/>
      <c r="G422" s="505">
        <v>45955</v>
      </c>
      <c r="H422" s="505">
        <v>35652</v>
      </c>
      <c r="I422" s="505">
        <v>0</v>
      </c>
      <c r="J422" s="505">
        <v>4579</v>
      </c>
      <c r="K422" s="505">
        <v>86186</v>
      </c>
      <c r="L422" s="460"/>
      <c r="M422" s="505">
        <v>309</v>
      </c>
      <c r="N422" s="505">
        <v>0</v>
      </c>
      <c r="O422" s="505">
        <v>0</v>
      </c>
      <c r="P422" s="505">
        <v>27985</v>
      </c>
      <c r="Q422" s="505">
        <v>28294</v>
      </c>
      <c r="R422" s="460"/>
      <c r="S422" s="505">
        <v>78452</v>
      </c>
      <c r="T422" s="505">
        <v>-4814</v>
      </c>
      <c r="U422" s="505">
        <v>73638</v>
      </c>
      <c r="W422" s="454">
        <v>464703</v>
      </c>
      <c r="X422" s="454">
        <v>95692</v>
      </c>
    </row>
    <row r="423" spans="1:24">
      <c r="A423" s="458">
        <v>94408</v>
      </c>
      <c r="B423" s="518" t="s">
        <v>1137</v>
      </c>
      <c r="C423" s="460">
        <f t="shared" si="7"/>
        <v>5.8690010018319455E-5</v>
      </c>
      <c r="D423" s="460">
        <f>VLOOKUP(A423,'2024 summary '!A423:C1329,3,FALSE)</f>
        <v>6.3789999999999997E-5</v>
      </c>
      <c r="E423" s="505">
        <v>395657</v>
      </c>
      <c r="F423" s="460"/>
      <c r="G423" s="505">
        <v>69334</v>
      </c>
      <c r="H423" s="505">
        <v>53789</v>
      </c>
      <c r="I423" s="505">
        <v>0</v>
      </c>
      <c r="J423" s="505">
        <v>0</v>
      </c>
      <c r="K423" s="505">
        <v>123123</v>
      </c>
      <c r="L423" s="460"/>
      <c r="M423" s="505">
        <v>466</v>
      </c>
      <c r="N423" s="505">
        <v>0</v>
      </c>
      <c r="O423" s="505">
        <v>0</v>
      </c>
      <c r="P423" s="505">
        <v>28901</v>
      </c>
      <c r="Q423" s="505">
        <v>29367</v>
      </c>
      <c r="R423" s="460"/>
      <c r="S423" s="505">
        <v>118363</v>
      </c>
      <c r="T423" s="505">
        <v>-6909</v>
      </c>
      <c r="U423" s="505">
        <v>111454</v>
      </c>
      <c r="W423" s="454">
        <v>701116</v>
      </c>
      <c r="X423" s="454">
        <v>144375</v>
      </c>
    </row>
    <row r="424" spans="1:24">
      <c r="A424" s="458">
        <v>94411</v>
      </c>
      <c r="B424" s="518" t="s">
        <v>1138</v>
      </c>
      <c r="C424" s="460">
        <f t="shared" si="7"/>
        <v>1.1314100454014695E-3</v>
      </c>
      <c r="D424" s="460">
        <f>VLOOKUP(A424,'2024 summary '!A424:C1330,3,FALSE)</f>
        <v>1.1336899999999999E-3</v>
      </c>
      <c r="E424" s="505">
        <v>7627368</v>
      </c>
      <c r="F424" s="460"/>
      <c r="G424" s="505">
        <v>1336604</v>
      </c>
      <c r="H424" s="505">
        <v>1036936</v>
      </c>
      <c r="I424" s="505">
        <v>0</v>
      </c>
      <c r="J424" s="505">
        <v>52174</v>
      </c>
      <c r="K424" s="505">
        <v>2425714</v>
      </c>
      <c r="L424" s="460"/>
      <c r="M424" s="505">
        <v>8987</v>
      </c>
      <c r="N424" s="505">
        <v>0</v>
      </c>
      <c r="O424" s="505">
        <v>0</v>
      </c>
      <c r="P424" s="505">
        <v>45223</v>
      </c>
      <c r="Q424" s="505">
        <v>54210</v>
      </c>
      <c r="R424" s="460"/>
      <c r="S424" s="505">
        <v>2281778</v>
      </c>
      <c r="T424" s="505">
        <v>-34972</v>
      </c>
      <c r="U424" s="505">
        <v>2246806</v>
      </c>
      <c r="W424" s="454">
        <v>13515919</v>
      </c>
      <c r="X424" s="454">
        <v>2783224</v>
      </c>
    </row>
    <row r="425" spans="1:24">
      <c r="A425" s="458">
        <v>94412</v>
      </c>
      <c r="B425" s="518" t="s">
        <v>1139</v>
      </c>
      <c r="C425" s="460">
        <f t="shared" si="7"/>
        <v>2.9080003498008079E-5</v>
      </c>
      <c r="D425" s="460">
        <f>VLOOKUP(A425,'2024 summary '!A425:C1331,3,FALSE)</f>
        <v>2.9030000000000002E-5</v>
      </c>
      <c r="E425" s="505">
        <v>196042</v>
      </c>
      <c r="F425" s="460"/>
      <c r="G425" s="505">
        <v>34354</v>
      </c>
      <c r="H425" s="505">
        <v>26652</v>
      </c>
      <c r="I425" s="505">
        <v>0</v>
      </c>
      <c r="J425" s="505">
        <v>8471</v>
      </c>
      <c r="K425" s="505">
        <v>69477</v>
      </c>
      <c r="L425" s="460"/>
      <c r="M425" s="505">
        <v>231</v>
      </c>
      <c r="N425" s="505">
        <v>0</v>
      </c>
      <c r="O425" s="505">
        <v>0</v>
      </c>
      <c r="P425" s="505">
        <v>2105</v>
      </c>
      <c r="Q425" s="505">
        <v>2336</v>
      </c>
      <c r="R425" s="460"/>
      <c r="S425" s="505">
        <v>58647</v>
      </c>
      <c r="T425" s="505">
        <v>8832</v>
      </c>
      <c r="U425" s="505">
        <v>67479</v>
      </c>
      <c r="W425" s="454">
        <v>347392</v>
      </c>
      <c r="X425" s="454">
        <v>71536</v>
      </c>
    </row>
    <row r="426" spans="1:24" s="473" customFormat="1">
      <c r="A426" s="515">
        <v>94415</v>
      </c>
      <c r="B426" s="516" t="s">
        <v>3770</v>
      </c>
      <c r="C426" s="460">
        <f t="shared" si="7"/>
        <v>2.2839970713448109E-5</v>
      </c>
      <c r="D426" s="460">
        <f>VLOOKUP(A426,'2024 summary '!A426:C1332,3,FALSE)</f>
        <v>2.3249999999999999E-5</v>
      </c>
      <c r="E426" s="505">
        <v>153975</v>
      </c>
      <c r="F426" s="460"/>
      <c r="G426" s="505">
        <v>26982</v>
      </c>
      <c r="H426" s="505">
        <v>20933</v>
      </c>
      <c r="I426" s="505">
        <v>0</v>
      </c>
      <c r="J426" s="505">
        <v>34814</v>
      </c>
      <c r="K426" s="505">
        <v>82729</v>
      </c>
      <c r="L426" s="460"/>
      <c r="M426" s="505">
        <v>181</v>
      </c>
      <c r="N426" s="505">
        <v>0</v>
      </c>
      <c r="O426" s="505">
        <v>0</v>
      </c>
      <c r="P426" s="505">
        <v>9406</v>
      </c>
      <c r="Q426" s="505">
        <v>9587</v>
      </c>
      <c r="R426" s="460"/>
      <c r="S426" s="505">
        <v>46063</v>
      </c>
      <c r="T426" s="505">
        <v>13799</v>
      </c>
      <c r="U426" s="505">
        <v>59862</v>
      </c>
      <c r="W426" s="454">
        <v>272849</v>
      </c>
      <c r="X426" s="454">
        <v>56186</v>
      </c>
    </row>
    <row r="427" spans="1:24" s="473" customFormat="1">
      <c r="A427" s="515">
        <v>94417</v>
      </c>
      <c r="B427" s="516" t="s">
        <v>3771</v>
      </c>
      <c r="C427" s="460">
        <f t="shared" si="7"/>
        <v>3.9970060000218131E-5</v>
      </c>
      <c r="D427" s="460">
        <f>VLOOKUP(A427,'2024 summary '!A427:C1333,3,FALSE)</f>
        <v>4.4749999999999997E-5</v>
      </c>
      <c r="E427" s="505">
        <v>269457</v>
      </c>
      <c r="F427" s="460"/>
      <c r="G427" s="505">
        <v>47219</v>
      </c>
      <c r="H427" s="505">
        <v>36632</v>
      </c>
      <c r="I427" s="505">
        <v>0</v>
      </c>
      <c r="J427" s="505">
        <v>73693</v>
      </c>
      <c r="K427" s="505">
        <v>157544</v>
      </c>
      <c r="L427" s="460"/>
      <c r="M427" s="505">
        <v>317</v>
      </c>
      <c r="N427" s="505">
        <v>0</v>
      </c>
      <c r="O427" s="505">
        <v>0</v>
      </c>
      <c r="P427" s="505">
        <v>707</v>
      </c>
      <c r="Q427" s="505">
        <v>1024</v>
      </c>
      <c r="R427" s="460"/>
      <c r="S427" s="505">
        <v>80610</v>
      </c>
      <c r="T427" s="505">
        <v>36611</v>
      </c>
      <c r="U427" s="505">
        <v>117221</v>
      </c>
      <c r="W427" s="454">
        <v>477485</v>
      </c>
      <c r="X427" s="454">
        <v>98325</v>
      </c>
    </row>
    <row r="428" spans="1:24">
      <c r="A428" s="515">
        <v>94421</v>
      </c>
      <c r="B428" s="516" t="s">
        <v>1140</v>
      </c>
      <c r="C428" s="460">
        <f t="shared" si="7"/>
        <v>1.6616002672049471E-4</v>
      </c>
      <c r="D428" s="460">
        <f>VLOOKUP(A428,'2024 summary '!A428:C1334,3,FALSE)</f>
        <v>1.6532999999999999E-4</v>
      </c>
      <c r="E428" s="505">
        <v>1120163</v>
      </c>
      <c r="F428" s="460"/>
      <c r="G428" s="505">
        <v>196295</v>
      </c>
      <c r="H428" s="505">
        <v>152285</v>
      </c>
      <c r="I428" s="505">
        <v>0</v>
      </c>
      <c r="J428" s="505">
        <v>9858</v>
      </c>
      <c r="K428" s="505">
        <v>358438</v>
      </c>
      <c r="L428" s="460"/>
      <c r="M428" s="505">
        <v>1320</v>
      </c>
      <c r="N428" s="505">
        <v>0</v>
      </c>
      <c r="O428" s="505">
        <v>0</v>
      </c>
      <c r="P428" s="505">
        <v>10635</v>
      </c>
      <c r="Q428" s="505">
        <v>11955</v>
      </c>
      <c r="R428" s="460"/>
      <c r="S428" s="505">
        <v>335104</v>
      </c>
      <c r="T428" s="505">
        <v>27591</v>
      </c>
      <c r="U428" s="505">
        <v>362695</v>
      </c>
      <c r="W428" s="454">
        <v>1984961</v>
      </c>
      <c r="X428" s="454">
        <v>408747</v>
      </c>
    </row>
    <row r="429" spans="1:24">
      <c r="A429" s="515">
        <v>94427</v>
      </c>
      <c r="B429" s="516" t="s">
        <v>1141</v>
      </c>
      <c r="C429" s="460">
        <f t="shared" si="7"/>
        <v>2.972007151962541E-5</v>
      </c>
      <c r="D429" s="460">
        <f>VLOOKUP(A429,'2024 summary '!A429:C1335,3,FALSE)</f>
        <v>2.9600000000000001E-5</v>
      </c>
      <c r="E429" s="505">
        <v>200357</v>
      </c>
      <c r="F429" s="460"/>
      <c r="G429" s="505">
        <v>35110</v>
      </c>
      <c r="H429" s="505">
        <v>27238</v>
      </c>
      <c r="I429" s="505">
        <v>0</v>
      </c>
      <c r="J429" s="505">
        <v>16262</v>
      </c>
      <c r="K429" s="505">
        <v>78610</v>
      </c>
      <c r="L429" s="460"/>
      <c r="M429" s="505">
        <v>236</v>
      </c>
      <c r="N429" s="505">
        <v>0</v>
      </c>
      <c r="O429" s="505">
        <v>0</v>
      </c>
      <c r="P429" s="505">
        <v>0</v>
      </c>
      <c r="Q429" s="505">
        <v>236</v>
      </c>
      <c r="R429" s="460"/>
      <c r="S429" s="505">
        <v>59938</v>
      </c>
      <c r="T429" s="505">
        <v>9664</v>
      </c>
      <c r="U429" s="505">
        <v>69602</v>
      </c>
      <c r="W429" s="454">
        <v>355038</v>
      </c>
      <c r="X429" s="454">
        <v>73110</v>
      </c>
    </row>
    <row r="430" spans="1:24">
      <c r="A430" s="515">
        <v>94428</v>
      </c>
      <c r="B430" s="516" t="s">
        <v>1142</v>
      </c>
      <c r="C430" s="460">
        <f t="shared" si="7"/>
        <v>6.5499948095823534E-5</v>
      </c>
      <c r="D430" s="460">
        <f>VLOOKUP(A430,'2024 summary '!A430:C1336,3,FALSE)</f>
        <v>6.7960000000000007E-5</v>
      </c>
      <c r="E430" s="505">
        <v>441566</v>
      </c>
      <c r="F430" s="460"/>
      <c r="G430" s="505">
        <v>77379</v>
      </c>
      <c r="H430" s="505">
        <v>60031</v>
      </c>
      <c r="I430" s="505">
        <v>0</v>
      </c>
      <c r="J430" s="505">
        <v>45</v>
      </c>
      <c r="K430" s="505">
        <v>137455</v>
      </c>
      <c r="L430" s="460"/>
      <c r="M430" s="505">
        <v>520</v>
      </c>
      <c r="N430" s="505">
        <v>0</v>
      </c>
      <c r="O430" s="505">
        <v>0</v>
      </c>
      <c r="P430" s="505">
        <v>13247</v>
      </c>
      <c r="Q430" s="505">
        <v>13767</v>
      </c>
      <c r="R430" s="460"/>
      <c r="S430" s="505">
        <v>132098</v>
      </c>
      <c r="T430" s="505">
        <v>-5101</v>
      </c>
      <c r="U430" s="505">
        <v>126997</v>
      </c>
      <c r="W430" s="454">
        <v>782469</v>
      </c>
      <c r="X430" s="454">
        <v>161127</v>
      </c>
    </row>
    <row r="431" spans="1:24">
      <c r="A431" s="515">
        <v>94431</v>
      </c>
      <c r="B431" s="516" t="s">
        <v>1143</v>
      </c>
      <c r="C431" s="460">
        <f t="shared" si="7"/>
        <v>3.893199278768505E-4</v>
      </c>
      <c r="D431" s="460">
        <f>VLOOKUP(A431,'2024 summary '!A431:C1337,3,FALSE)</f>
        <v>4.0378000000000001E-4</v>
      </c>
      <c r="E431" s="505">
        <v>2624589</v>
      </c>
      <c r="F431" s="460"/>
      <c r="G431" s="505">
        <v>459927</v>
      </c>
      <c r="H431" s="505">
        <v>356811</v>
      </c>
      <c r="I431" s="505">
        <v>0</v>
      </c>
      <c r="J431" s="505">
        <v>54042</v>
      </c>
      <c r="K431" s="505">
        <v>870780</v>
      </c>
      <c r="L431" s="460"/>
      <c r="M431" s="505">
        <v>3092</v>
      </c>
      <c r="N431" s="505">
        <v>0</v>
      </c>
      <c r="O431" s="505">
        <v>0</v>
      </c>
      <c r="P431" s="505">
        <v>75623</v>
      </c>
      <c r="Q431" s="505">
        <v>78715</v>
      </c>
      <c r="R431" s="460"/>
      <c r="S431" s="505">
        <v>785163</v>
      </c>
      <c r="T431" s="505">
        <v>-8620</v>
      </c>
      <c r="U431" s="505">
        <v>776543</v>
      </c>
      <c r="W431" s="454">
        <v>4650849</v>
      </c>
      <c r="X431" s="454">
        <v>957712</v>
      </c>
    </row>
    <row r="432" spans="1:24">
      <c r="A432" s="515">
        <v>94437</v>
      </c>
      <c r="B432" s="516" t="s">
        <v>1144</v>
      </c>
      <c r="C432" s="460">
        <f t="shared" si="7"/>
        <v>1.0009981514433547E-5</v>
      </c>
      <c r="D432" s="460">
        <f>VLOOKUP(A432,'2024 summary '!A432:C1338,3,FALSE)</f>
        <v>1.202E-5</v>
      </c>
      <c r="E432" s="505">
        <v>67482</v>
      </c>
      <c r="F432" s="460"/>
      <c r="G432" s="505">
        <v>11825</v>
      </c>
      <c r="H432" s="505">
        <v>9174</v>
      </c>
      <c r="I432" s="505">
        <v>0</v>
      </c>
      <c r="J432" s="505">
        <v>12859</v>
      </c>
      <c r="K432" s="505">
        <v>33858</v>
      </c>
      <c r="L432" s="460"/>
      <c r="M432" s="505">
        <v>80</v>
      </c>
      <c r="N432" s="505">
        <v>0</v>
      </c>
      <c r="O432" s="505">
        <v>0</v>
      </c>
      <c r="P432" s="505">
        <v>5810</v>
      </c>
      <c r="Q432" s="505">
        <v>5890</v>
      </c>
      <c r="R432" s="460"/>
      <c r="S432" s="505">
        <v>20188</v>
      </c>
      <c r="T432" s="505">
        <v>7344</v>
      </c>
      <c r="U432" s="505">
        <v>27532</v>
      </c>
      <c r="W432" s="454">
        <v>119580</v>
      </c>
      <c r="X432" s="454">
        <v>24624</v>
      </c>
    </row>
    <row r="433" spans="1:24">
      <c r="A433" s="515">
        <v>94501</v>
      </c>
      <c r="B433" s="516" t="s">
        <v>2019</v>
      </c>
      <c r="C433" s="460">
        <f t="shared" si="7"/>
        <v>6.1644200583937511E-3</v>
      </c>
      <c r="D433" s="460">
        <f>VLOOKUP(A433,'2024 summary '!A433:C1339,3,FALSE)</f>
        <v>5.9484999999999998E-3</v>
      </c>
      <c r="E433" s="505">
        <v>41557259</v>
      </c>
      <c r="F433" s="460"/>
      <c r="G433" s="505">
        <v>7282405</v>
      </c>
      <c r="H433" s="505">
        <v>5649685</v>
      </c>
      <c r="I433" s="505">
        <v>0</v>
      </c>
      <c r="J433" s="505">
        <v>1256623</v>
      </c>
      <c r="K433" s="505">
        <v>14188713</v>
      </c>
      <c r="L433" s="460"/>
      <c r="M433" s="505">
        <v>48964</v>
      </c>
      <c r="N433" s="505">
        <v>0</v>
      </c>
      <c r="O433" s="505">
        <v>0</v>
      </c>
      <c r="P433" s="505">
        <v>53397</v>
      </c>
      <c r="Q433" s="505">
        <v>102361</v>
      </c>
      <c r="R433" s="460"/>
      <c r="S433" s="505">
        <v>12432131</v>
      </c>
      <c r="T433" s="505">
        <v>416180</v>
      </c>
      <c r="U433" s="505">
        <v>12848311</v>
      </c>
      <c r="W433" s="454">
        <v>73640679</v>
      </c>
      <c r="X433" s="454">
        <v>15164233</v>
      </c>
    </row>
    <row r="434" spans="1:24">
      <c r="A434" s="515">
        <v>94511</v>
      </c>
      <c r="B434" s="516" t="s">
        <v>1146</v>
      </c>
      <c r="C434" s="460">
        <f t="shared" si="7"/>
        <v>2.4253300239410612E-3</v>
      </c>
      <c r="D434" s="460">
        <f>VLOOKUP(A434,'2024 summary '!A434:C1340,3,FALSE)</f>
        <v>2.4429299999999998E-3</v>
      </c>
      <c r="E434" s="505">
        <v>16350292</v>
      </c>
      <c r="F434" s="460"/>
      <c r="G434" s="505">
        <v>2865190</v>
      </c>
      <c r="H434" s="505">
        <v>2222813</v>
      </c>
      <c r="I434" s="505">
        <v>0</v>
      </c>
      <c r="J434" s="505">
        <v>364872</v>
      </c>
      <c r="K434" s="505">
        <v>5452875</v>
      </c>
      <c r="L434" s="460"/>
      <c r="M434" s="505">
        <v>19264</v>
      </c>
      <c r="N434" s="505">
        <v>0</v>
      </c>
      <c r="O434" s="505">
        <v>0</v>
      </c>
      <c r="P434" s="505">
        <v>440589</v>
      </c>
      <c r="Q434" s="505">
        <v>459853</v>
      </c>
      <c r="R434" s="460"/>
      <c r="S434" s="505">
        <v>4891299</v>
      </c>
      <c r="T434" s="505">
        <v>55490</v>
      </c>
      <c r="U434" s="505">
        <v>4946789</v>
      </c>
      <c r="W434" s="454">
        <v>28973196</v>
      </c>
      <c r="X434" s="454">
        <v>5966217</v>
      </c>
    </row>
    <row r="435" spans="1:24">
      <c r="A435" s="515">
        <v>94517</v>
      </c>
      <c r="B435" s="516" t="s">
        <v>1148</v>
      </c>
      <c r="C435" s="460">
        <f t="shared" si="7"/>
        <v>6.2350042084457593E-5</v>
      </c>
      <c r="D435" s="460">
        <f>VLOOKUP(A435,'2024 summary '!A435:C1341,3,FALSE)</f>
        <v>7.5339999999999994E-5</v>
      </c>
      <c r="E435" s="505">
        <v>420331</v>
      </c>
      <c r="F435" s="460"/>
      <c r="G435" s="505">
        <v>73658</v>
      </c>
      <c r="H435" s="505">
        <v>57144</v>
      </c>
      <c r="I435" s="505">
        <v>0</v>
      </c>
      <c r="J435" s="505">
        <v>17708</v>
      </c>
      <c r="K435" s="505">
        <v>148510</v>
      </c>
      <c r="L435" s="460"/>
      <c r="M435" s="505">
        <v>495</v>
      </c>
      <c r="N435" s="505">
        <v>0</v>
      </c>
      <c r="O435" s="505">
        <v>0</v>
      </c>
      <c r="P435" s="505">
        <v>36296</v>
      </c>
      <c r="Q435" s="505">
        <v>36791</v>
      </c>
      <c r="R435" s="460"/>
      <c r="S435" s="505">
        <v>125745</v>
      </c>
      <c r="T435" s="505">
        <v>7953</v>
      </c>
      <c r="U435" s="505">
        <v>133698</v>
      </c>
      <c r="W435" s="454">
        <v>744838</v>
      </c>
      <c r="X435" s="454">
        <v>153379</v>
      </c>
    </row>
    <row r="436" spans="1:24">
      <c r="A436" s="515">
        <v>94521</v>
      </c>
      <c r="B436" s="516" t="s">
        <v>1149</v>
      </c>
      <c r="C436" s="460">
        <f t="shared" si="7"/>
        <v>1.2941003546031575E-4</v>
      </c>
      <c r="D436" s="460">
        <f>VLOOKUP(A436,'2024 summary '!A436:C1342,3,FALSE)</f>
        <v>1.4757E-4</v>
      </c>
      <c r="E436" s="505">
        <v>872414</v>
      </c>
      <c r="F436" s="460"/>
      <c r="G436" s="505">
        <v>152880</v>
      </c>
      <c r="H436" s="505">
        <v>118604</v>
      </c>
      <c r="I436" s="505">
        <v>0</v>
      </c>
      <c r="J436" s="505">
        <v>31699</v>
      </c>
      <c r="K436" s="505">
        <v>303183</v>
      </c>
      <c r="L436" s="460"/>
      <c r="M436" s="505">
        <v>1028</v>
      </c>
      <c r="N436" s="505">
        <v>0</v>
      </c>
      <c r="O436" s="505">
        <v>0</v>
      </c>
      <c r="P436" s="505">
        <v>68942</v>
      </c>
      <c r="Q436" s="505">
        <v>69970</v>
      </c>
      <c r="R436" s="460"/>
      <c r="S436" s="505">
        <v>260988</v>
      </c>
      <c r="T436" s="505">
        <v>-22070</v>
      </c>
      <c r="U436" s="505">
        <v>238918</v>
      </c>
      <c r="W436" s="454">
        <v>1545943</v>
      </c>
      <c r="X436" s="454">
        <v>318344</v>
      </c>
    </row>
    <row r="437" spans="1:24">
      <c r="A437" s="515">
        <v>94527</v>
      </c>
      <c r="B437" s="516" t="s">
        <v>1150</v>
      </c>
      <c r="C437" s="460">
        <f t="shared" si="7"/>
        <v>1.0630024232941181E-5</v>
      </c>
      <c r="D437" s="460">
        <f>VLOOKUP(A437,'2024 summary '!A437:C1343,3,FALSE)</f>
        <v>6.8000000000000001E-6</v>
      </c>
      <c r="E437" s="505">
        <v>71662</v>
      </c>
      <c r="F437" s="460"/>
      <c r="G437" s="505">
        <v>12558</v>
      </c>
      <c r="H437" s="505">
        <v>9742</v>
      </c>
      <c r="I437" s="505">
        <v>0</v>
      </c>
      <c r="J437" s="505">
        <v>10661</v>
      </c>
      <c r="K437" s="505">
        <v>32961</v>
      </c>
      <c r="L437" s="460"/>
      <c r="M437" s="505">
        <v>84</v>
      </c>
      <c r="N437" s="505">
        <v>0</v>
      </c>
      <c r="O437" s="505">
        <v>0</v>
      </c>
      <c r="P437" s="505">
        <v>1218</v>
      </c>
      <c r="Q437" s="505">
        <v>1302</v>
      </c>
      <c r="R437" s="460"/>
      <c r="S437" s="505">
        <v>21438</v>
      </c>
      <c r="T437" s="505">
        <v>3188</v>
      </c>
      <c r="U437" s="505">
        <v>24626</v>
      </c>
      <c r="W437" s="454">
        <v>126987</v>
      </c>
      <c r="X437" s="454">
        <v>26149</v>
      </c>
    </row>
    <row r="438" spans="1:24">
      <c r="A438" s="515">
        <v>94531</v>
      </c>
      <c r="B438" s="516" t="s">
        <v>1151</v>
      </c>
      <c r="C438" s="460">
        <f t="shared" si="7"/>
        <v>2.4579947050312836E-5</v>
      </c>
      <c r="D438" s="460">
        <f>VLOOKUP(A438,'2024 summary '!A438:C1344,3,FALSE)</f>
        <v>2.741E-5</v>
      </c>
      <c r="E438" s="505">
        <v>165705</v>
      </c>
      <c r="F438" s="460"/>
      <c r="G438" s="505">
        <v>29038</v>
      </c>
      <c r="H438" s="505">
        <v>22528</v>
      </c>
      <c r="I438" s="505">
        <v>0</v>
      </c>
      <c r="J438" s="505">
        <v>13712</v>
      </c>
      <c r="K438" s="505">
        <v>65278</v>
      </c>
      <c r="L438" s="460"/>
      <c r="M438" s="505">
        <v>195</v>
      </c>
      <c r="N438" s="505">
        <v>0</v>
      </c>
      <c r="O438" s="505">
        <v>0</v>
      </c>
      <c r="P438" s="505">
        <v>836</v>
      </c>
      <c r="Q438" s="505">
        <v>1031</v>
      </c>
      <c r="R438" s="460"/>
      <c r="S438" s="505">
        <v>49572</v>
      </c>
      <c r="T438" s="505">
        <v>9853</v>
      </c>
      <c r="U438" s="505">
        <v>59425</v>
      </c>
      <c r="W438" s="454">
        <v>293635</v>
      </c>
      <c r="X438" s="454">
        <v>60466</v>
      </c>
    </row>
    <row r="439" spans="1:24">
      <c r="A439" s="515">
        <v>94532</v>
      </c>
      <c r="B439" s="516" t="s">
        <v>1152</v>
      </c>
      <c r="C439" s="460">
        <f t="shared" si="7"/>
        <v>1.2951001364028565E-4</v>
      </c>
      <c r="D439" s="460">
        <f>VLOOKUP(A439,'2024 summary '!A439:C1345,3,FALSE)</f>
        <v>1.3948000000000001E-4</v>
      </c>
      <c r="E439" s="505">
        <v>873088</v>
      </c>
      <c r="F439" s="460"/>
      <c r="G439" s="505">
        <v>152998</v>
      </c>
      <c r="H439" s="505">
        <v>118696</v>
      </c>
      <c r="I439" s="505">
        <v>0</v>
      </c>
      <c r="J439" s="505">
        <v>44255</v>
      </c>
      <c r="K439" s="505">
        <v>315949</v>
      </c>
      <c r="L439" s="460"/>
      <c r="M439" s="505">
        <v>1029</v>
      </c>
      <c r="N439" s="505">
        <v>0</v>
      </c>
      <c r="O439" s="505">
        <v>0</v>
      </c>
      <c r="P439" s="505">
        <v>45730</v>
      </c>
      <c r="Q439" s="505">
        <v>46759</v>
      </c>
      <c r="R439" s="460"/>
      <c r="S439" s="505">
        <v>261190</v>
      </c>
      <c r="T439" s="505">
        <v>-5346</v>
      </c>
      <c r="U439" s="505">
        <v>255844</v>
      </c>
      <c r="W439" s="454">
        <v>1547137</v>
      </c>
      <c r="X439" s="454">
        <v>318590</v>
      </c>
    </row>
    <row r="440" spans="1:24" s="473" customFormat="1">
      <c r="A440" s="515">
        <v>94537</v>
      </c>
      <c r="B440" s="516" t="s">
        <v>3772</v>
      </c>
      <c r="C440" s="460">
        <f t="shared" si="7"/>
        <v>1.4560027052113736E-5</v>
      </c>
      <c r="D440" s="460">
        <f>VLOOKUP(A440,'2024 summary '!A440:C1346,3,FALSE)</f>
        <v>8.8300000000000002E-6</v>
      </c>
      <c r="E440" s="505">
        <v>98156</v>
      </c>
      <c r="F440" s="460"/>
      <c r="G440" s="505">
        <v>17201</v>
      </c>
      <c r="H440" s="505">
        <v>13344</v>
      </c>
      <c r="I440" s="505">
        <v>0</v>
      </c>
      <c r="J440" s="505">
        <v>28673</v>
      </c>
      <c r="K440" s="505">
        <v>59218</v>
      </c>
      <c r="L440" s="460"/>
      <c r="M440" s="505">
        <v>116</v>
      </c>
      <c r="N440" s="505">
        <v>0</v>
      </c>
      <c r="O440" s="505">
        <v>0</v>
      </c>
      <c r="P440" s="505">
        <v>0</v>
      </c>
      <c r="Q440" s="505">
        <v>116</v>
      </c>
      <c r="R440" s="460"/>
      <c r="S440" s="505">
        <v>29364</v>
      </c>
      <c r="T440" s="505">
        <v>11869</v>
      </c>
      <c r="U440" s="505">
        <v>41233</v>
      </c>
      <c r="W440" s="454">
        <v>173935</v>
      </c>
      <c r="X440" s="454">
        <v>35817</v>
      </c>
    </row>
    <row r="441" spans="1:24">
      <c r="A441" s="515">
        <v>94541</v>
      </c>
      <c r="B441" s="516" t="s">
        <v>1153</v>
      </c>
      <c r="C441" s="460">
        <f t="shared" si="7"/>
        <v>2.5405004371990185E-4</v>
      </c>
      <c r="D441" s="460">
        <f>VLOOKUP(A441,'2024 summary '!A441:C1347,3,FALSE)</f>
        <v>2.4649999999999997E-4</v>
      </c>
      <c r="E441" s="505">
        <v>1712671</v>
      </c>
      <c r="F441" s="460"/>
      <c r="G441" s="505">
        <v>300125</v>
      </c>
      <c r="H441" s="505">
        <v>232837</v>
      </c>
      <c r="I441" s="505">
        <v>0</v>
      </c>
      <c r="J441" s="505">
        <v>40002</v>
      </c>
      <c r="K441" s="505">
        <v>572964</v>
      </c>
      <c r="L441" s="460"/>
      <c r="M441" s="505">
        <v>2018</v>
      </c>
      <c r="N441" s="505">
        <v>0</v>
      </c>
      <c r="O441" s="505">
        <v>0</v>
      </c>
      <c r="P441" s="505">
        <v>50991</v>
      </c>
      <c r="Q441" s="505">
        <v>53009</v>
      </c>
      <c r="R441" s="460"/>
      <c r="S441" s="505">
        <v>512357</v>
      </c>
      <c r="T441" s="505">
        <v>-14693</v>
      </c>
      <c r="U441" s="505">
        <v>497664</v>
      </c>
      <c r="W441" s="454">
        <v>3034903</v>
      </c>
      <c r="X441" s="454">
        <v>624953</v>
      </c>
    </row>
    <row r="442" spans="1:24">
      <c r="A442" s="515">
        <v>94547</v>
      </c>
      <c r="B442" s="516" t="s">
        <v>1154</v>
      </c>
      <c r="C442" s="460">
        <f t="shared" si="7"/>
        <v>2.2160000421189977E-5</v>
      </c>
      <c r="D442" s="460">
        <f>VLOOKUP(A442,'2024 summary '!A442:C1348,3,FALSE)</f>
        <v>6.5599999999999999E-6</v>
      </c>
      <c r="E442" s="505">
        <v>149391</v>
      </c>
      <c r="F442" s="460"/>
      <c r="G442" s="505">
        <v>26179</v>
      </c>
      <c r="H442" s="505">
        <v>20310</v>
      </c>
      <c r="I442" s="505">
        <v>0</v>
      </c>
      <c r="J442" s="505">
        <v>52188</v>
      </c>
      <c r="K442" s="505">
        <v>98677</v>
      </c>
      <c r="L442" s="460"/>
      <c r="M442" s="505">
        <v>176</v>
      </c>
      <c r="N442" s="505">
        <v>0</v>
      </c>
      <c r="O442" s="505">
        <v>0</v>
      </c>
      <c r="P442" s="505">
        <v>16082</v>
      </c>
      <c r="Q442" s="505">
        <v>16258</v>
      </c>
      <c r="R442" s="460"/>
      <c r="S442" s="505">
        <v>44691</v>
      </c>
      <c r="T442" s="505">
        <v>15913</v>
      </c>
      <c r="U442" s="505">
        <v>60604</v>
      </c>
      <c r="W442" s="454">
        <v>264725</v>
      </c>
      <c r="X442" s="454">
        <v>54513</v>
      </c>
    </row>
    <row r="443" spans="1:24">
      <c r="A443" s="515">
        <v>94551</v>
      </c>
      <c r="B443" s="516" t="s">
        <v>1155</v>
      </c>
      <c r="C443" s="460">
        <f t="shared" si="7"/>
        <v>7.3989934936441823E-5</v>
      </c>
      <c r="D443" s="460">
        <f>VLOOKUP(A443,'2024 summary '!A443:C1349,3,FALSE)</f>
        <v>7.1390000000000006E-5</v>
      </c>
      <c r="E443" s="505">
        <v>498801</v>
      </c>
      <c r="F443" s="460"/>
      <c r="G443" s="505">
        <v>87409</v>
      </c>
      <c r="H443" s="505">
        <v>67812</v>
      </c>
      <c r="I443" s="505">
        <v>0</v>
      </c>
      <c r="J443" s="505">
        <v>28674</v>
      </c>
      <c r="K443" s="505">
        <v>183895</v>
      </c>
      <c r="L443" s="460"/>
      <c r="M443" s="505">
        <v>588</v>
      </c>
      <c r="N443" s="505">
        <v>0</v>
      </c>
      <c r="O443" s="505">
        <v>0</v>
      </c>
      <c r="P443" s="505">
        <v>36</v>
      </c>
      <c r="Q443" s="505">
        <v>624</v>
      </c>
      <c r="R443" s="460"/>
      <c r="S443" s="505">
        <v>149220</v>
      </c>
      <c r="T443" s="505">
        <v>13878</v>
      </c>
      <c r="U443" s="505">
        <v>163098</v>
      </c>
      <c r="W443" s="454">
        <v>883891</v>
      </c>
      <c r="X443" s="454">
        <v>182013</v>
      </c>
    </row>
    <row r="444" spans="1:24">
      <c r="A444" s="458">
        <v>94601</v>
      </c>
      <c r="B444" s="518" t="s">
        <v>1156</v>
      </c>
      <c r="C444" s="460">
        <f t="shared" si="7"/>
        <v>7.9224994176052218E-4</v>
      </c>
      <c r="D444" s="460">
        <f>VLOOKUP(A444,'2024 summary '!A444:C1350,3,FALSE)</f>
        <v>8.5046999999999998E-4</v>
      </c>
      <c r="E444" s="505">
        <v>5340930</v>
      </c>
      <c r="F444" s="460"/>
      <c r="G444" s="505">
        <v>935933</v>
      </c>
      <c r="H444" s="505">
        <v>726096</v>
      </c>
      <c r="I444" s="505">
        <v>0</v>
      </c>
      <c r="J444" s="505">
        <v>17121</v>
      </c>
      <c r="K444" s="505">
        <v>1679150</v>
      </c>
      <c r="L444" s="460"/>
      <c r="M444" s="505">
        <v>6293</v>
      </c>
      <c r="N444" s="505">
        <v>0</v>
      </c>
      <c r="O444" s="505">
        <v>0</v>
      </c>
      <c r="P444" s="505">
        <v>260469</v>
      </c>
      <c r="Q444" s="505">
        <v>266762</v>
      </c>
      <c r="R444" s="460"/>
      <c r="S444" s="505">
        <v>1597775</v>
      </c>
      <c r="T444" s="505">
        <v>-81234</v>
      </c>
      <c r="U444" s="505">
        <v>1516541</v>
      </c>
      <c r="W444" s="454">
        <v>9464285</v>
      </c>
      <c r="X444" s="454">
        <v>1948904</v>
      </c>
    </row>
    <row r="445" spans="1:24">
      <c r="A445" s="458">
        <v>94604</v>
      </c>
      <c r="B445" s="518" t="s">
        <v>1157</v>
      </c>
      <c r="C445" s="460">
        <f t="shared" si="7"/>
        <v>2.0119941208836985E-5</v>
      </c>
      <c r="D445" s="460">
        <f>VLOOKUP(A445,'2024 summary '!A445:C1351,3,FALSE)</f>
        <v>2.1469999999999999E-5</v>
      </c>
      <c r="E445" s="505">
        <v>135638</v>
      </c>
      <c r="F445" s="460"/>
      <c r="G445" s="505">
        <v>23769</v>
      </c>
      <c r="H445" s="505">
        <v>18440</v>
      </c>
      <c r="I445" s="505">
        <v>0</v>
      </c>
      <c r="J445" s="505">
        <v>4126</v>
      </c>
      <c r="K445" s="505">
        <v>46335</v>
      </c>
      <c r="L445" s="460"/>
      <c r="M445" s="505">
        <v>160</v>
      </c>
      <c r="N445" s="505">
        <v>0</v>
      </c>
      <c r="O445" s="505">
        <v>0</v>
      </c>
      <c r="P445" s="505">
        <v>5209</v>
      </c>
      <c r="Q445" s="505">
        <v>5369</v>
      </c>
      <c r="R445" s="460"/>
      <c r="S445" s="505">
        <v>40577</v>
      </c>
      <c r="T445" s="505">
        <v>3239</v>
      </c>
      <c r="U445" s="505">
        <v>43816</v>
      </c>
      <c r="W445" s="454">
        <v>240355</v>
      </c>
      <c r="X445" s="454">
        <v>49494</v>
      </c>
    </row>
    <row r="446" spans="1:24">
      <c r="A446" s="458">
        <v>94606</v>
      </c>
      <c r="B446" s="518" t="s">
        <v>1158</v>
      </c>
      <c r="C446" s="460">
        <f t="shared" si="7"/>
        <v>0</v>
      </c>
      <c r="D446" s="460">
        <f>VLOOKUP(A446,'2024 summary '!A446:C1352,3,FALSE)</f>
        <v>0</v>
      </c>
      <c r="E446" s="505">
        <v>0</v>
      </c>
      <c r="F446" s="460"/>
      <c r="G446" s="505">
        <v>0</v>
      </c>
      <c r="H446" s="505">
        <v>0</v>
      </c>
      <c r="I446" s="505">
        <v>0</v>
      </c>
      <c r="J446" s="505">
        <v>0</v>
      </c>
      <c r="K446" s="505">
        <v>0</v>
      </c>
      <c r="L446" s="460"/>
      <c r="M446" s="505">
        <v>0</v>
      </c>
      <c r="N446" s="505">
        <v>0</v>
      </c>
      <c r="O446" s="505">
        <v>0</v>
      </c>
      <c r="P446" s="505">
        <v>0</v>
      </c>
      <c r="Q446" s="505">
        <v>0</v>
      </c>
      <c r="R446" s="460"/>
      <c r="S446" s="505">
        <v>0</v>
      </c>
      <c r="T446" s="505">
        <v>0</v>
      </c>
      <c r="U446" s="505">
        <v>0</v>
      </c>
      <c r="W446" s="454">
        <v>0</v>
      </c>
      <c r="X446" s="454">
        <v>0</v>
      </c>
    </row>
    <row r="447" spans="1:24">
      <c r="A447" s="458">
        <v>94611</v>
      </c>
      <c r="B447" s="518" t="s">
        <v>1159</v>
      </c>
      <c r="C447" s="460">
        <f t="shared" si="7"/>
        <v>3.2432001901645504E-4</v>
      </c>
      <c r="D447" s="460">
        <f>VLOOKUP(A447,'2024 summary '!A447:C1353,3,FALSE)</f>
        <v>3.1645000000000002E-4</v>
      </c>
      <c r="E447" s="505">
        <v>2186394</v>
      </c>
      <c r="F447" s="460"/>
      <c r="G447" s="505">
        <v>383139</v>
      </c>
      <c r="H447" s="505">
        <v>297239</v>
      </c>
      <c r="I447" s="505">
        <v>0</v>
      </c>
      <c r="J447" s="505">
        <v>19854</v>
      </c>
      <c r="K447" s="505">
        <v>700232</v>
      </c>
      <c r="L447" s="460"/>
      <c r="M447" s="505">
        <v>2576</v>
      </c>
      <c r="N447" s="505">
        <v>0</v>
      </c>
      <c r="O447" s="505">
        <v>0</v>
      </c>
      <c r="P447" s="505">
        <v>2920</v>
      </c>
      <c r="Q447" s="505">
        <v>5496</v>
      </c>
      <c r="R447" s="460"/>
      <c r="S447" s="505">
        <v>654074</v>
      </c>
      <c r="T447" s="505">
        <v>14313</v>
      </c>
      <c r="U447" s="505">
        <v>668387</v>
      </c>
      <c r="W447" s="454">
        <v>3874354</v>
      </c>
      <c r="X447" s="454">
        <v>797815</v>
      </c>
    </row>
    <row r="448" spans="1:24">
      <c r="A448" s="458">
        <v>94621</v>
      </c>
      <c r="B448" s="518" t="s">
        <v>1160</v>
      </c>
      <c r="C448" s="460">
        <f t="shared" si="7"/>
        <v>6.8709930016518558E-5</v>
      </c>
      <c r="D448" s="460">
        <f>VLOOKUP(A448,'2024 summary '!A448:C1354,3,FALSE)</f>
        <v>6.1840000000000004E-5</v>
      </c>
      <c r="E448" s="505">
        <v>463206</v>
      </c>
      <c r="F448" s="460"/>
      <c r="G448" s="505">
        <v>81171</v>
      </c>
      <c r="H448" s="505">
        <v>62973</v>
      </c>
      <c r="I448" s="505">
        <v>0</v>
      </c>
      <c r="J448" s="505">
        <v>47221</v>
      </c>
      <c r="K448" s="505">
        <v>191365</v>
      </c>
      <c r="L448" s="460"/>
      <c r="M448" s="505">
        <v>546</v>
      </c>
      <c r="N448" s="505">
        <v>0</v>
      </c>
      <c r="O448" s="505">
        <v>0</v>
      </c>
      <c r="P448" s="505">
        <v>68150</v>
      </c>
      <c r="Q448" s="505">
        <v>68696</v>
      </c>
      <c r="R448" s="460"/>
      <c r="S448" s="505">
        <v>138571</v>
      </c>
      <c r="T448" s="505">
        <v>-17084</v>
      </c>
      <c r="U448" s="505">
        <v>121487</v>
      </c>
      <c r="W448" s="454">
        <v>820815</v>
      </c>
      <c r="X448" s="454">
        <v>169024</v>
      </c>
    </row>
    <row r="449" spans="1:24">
      <c r="A449" s="458">
        <v>94631</v>
      </c>
      <c r="B449" s="518" t="s">
        <v>1161</v>
      </c>
      <c r="C449" s="460">
        <f t="shared" si="7"/>
        <v>3.9909984090889046E-5</v>
      </c>
      <c r="D449" s="460">
        <f>VLOOKUP(A449,'2024 summary '!A449:C1355,3,FALSE)</f>
        <v>3.8160000000000001E-5</v>
      </c>
      <c r="E449" s="505">
        <v>269052</v>
      </c>
      <c r="F449" s="460"/>
      <c r="G449" s="505">
        <v>47148</v>
      </c>
      <c r="H449" s="505">
        <v>36577</v>
      </c>
      <c r="I449" s="505">
        <v>0</v>
      </c>
      <c r="J449" s="505">
        <v>9741</v>
      </c>
      <c r="K449" s="505">
        <v>93466</v>
      </c>
      <c r="L449" s="460"/>
      <c r="M449" s="505">
        <v>317</v>
      </c>
      <c r="N449" s="505">
        <v>0</v>
      </c>
      <c r="O449" s="505">
        <v>0</v>
      </c>
      <c r="P449" s="505">
        <v>7997</v>
      </c>
      <c r="Q449" s="505">
        <v>8314</v>
      </c>
      <c r="R449" s="460"/>
      <c r="S449" s="505">
        <v>80489</v>
      </c>
      <c r="T449" s="505">
        <v>-1780</v>
      </c>
      <c r="U449" s="505">
        <v>78709</v>
      </c>
      <c r="W449" s="454">
        <v>476768</v>
      </c>
      <c r="X449" s="454">
        <v>98177</v>
      </c>
    </row>
    <row r="450" spans="1:24">
      <c r="A450" s="458">
        <v>94641</v>
      </c>
      <c r="B450" s="518" t="s">
        <v>1162</v>
      </c>
      <c r="C450" s="460">
        <f t="shared" si="7"/>
        <v>1.507994325507289E-5</v>
      </c>
      <c r="D450" s="460">
        <f>VLOOKUP(A450,'2024 summary '!A450:C1356,3,FALSE)</f>
        <v>1.4090000000000001E-5</v>
      </c>
      <c r="E450" s="505">
        <v>101661</v>
      </c>
      <c r="F450" s="460"/>
      <c r="G450" s="505">
        <v>17815</v>
      </c>
      <c r="H450" s="505">
        <v>13821</v>
      </c>
      <c r="I450" s="505">
        <v>0</v>
      </c>
      <c r="J450" s="505">
        <v>5923</v>
      </c>
      <c r="K450" s="505">
        <v>37559</v>
      </c>
      <c r="L450" s="460"/>
      <c r="M450" s="505">
        <v>120</v>
      </c>
      <c r="N450" s="505">
        <v>0</v>
      </c>
      <c r="O450" s="505">
        <v>0</v>
      </c>
      <c r="P450" s="505">
        <v>14283</v>
      </c>
      <c r="Q450" s="505">
        <v>14403</v>
      </c>
      <c r="R450" s="460"/>
      <c r="S450" s="505">
        <v>30413</v>
      </c>
      <c r="T450" s="505">
        <v>-1569</v>
      </c>
      <c r="U450" s="505">
        <v>28844</v>
      </c>
      <c r="W450" s="454">
        <v>180147</v>
      </c>
      <c r="X450" s="454">
        <v>37096</v>
      </c>
    </row>
    <row r="451" spans="1:24">
      <c r="A451" s="458">
        <v>94701</v>
      </c>
      <c r="B451" s="518" t="s">
        <v>1163</v>
      </c>
      <c r="C451" s="460">
        <f t="shared" si="7"/>
        <v>2.4107699968889474E-3</v>
      </c>
      <c r="D451" s="460">
        <f>VLOOKUP(A451,'2024 summary '!A451:C1357,3,FALSE)</f>
        <v>2.43735E-3</v>
      </c>
      <c r="E451" s="505">
        <v>16252136</v>
      </c>
      <c r="F451" s="460"/>
      <c r="G451" s="505">
        <v>2847990</v>
      </c>
      <c r="H451" s="505">
        <v>2209468</v>
      </c>
      <c r="I451" s="505">
        <v>0</v>
      </c>
      <c r="J451" s="505">
        <v>85068</v>
      </c>
      <c r="K451" s="505">
        <v>5142526</v>
      </c>
      <c r="L451" s="460"/>
      <c r="M451" s="505">
        <v>19149</v>
      </c>
      <c r="N451" s="505">
        <v>0</v>
      </c>
      <c r="O451" s="505">
        <v>0</v>
      </c>
      <c r="P451" s="505">
        <v>129459</v>
      </c>
      <c r="Q451" s="505">
        <v>148608</v>
      </c>
      <c r="R451" s="460"/>
      <c r="S451" s="505">
        <v>4861935</v>
      </c>
      <c r="T451" s="505">
        <v>-42979</v>
      </c>
      <c r="U451" s="505">
        <v>4818956</v>
      </c>
      <c r="W451" s="454">
        <v>28799261</v>
      </c>
      <c r="X451" s="454">
        <v>5930400</v>
      </c>
    </row>
    <row r="452" spans="1:24">
      <c r="A452" s="458">
        <v>94704</v>
      </c>
      <c r="B452" s="518" t="s">
        <v>1164</v>
      </c>
      <c r="C452" s="460">
        <f t="shared" si="7"/>
        <v>1.3710064186791069E-5</v>
      </c>
      <c r="D452" s="460">
        <f>VLOOKUP(A452,'2024 summary '!A452:C1358,3,FALSE)</f>
        <v>1.5299999999999999E-5</v>
      </c>
      <c r="E452" s="505">
        <v>92426</v>
      </c>
      <c r="F452" s="460"/>
      <c r="G452" s="505">
        <v>16196</v>
      </c>
      <c r="H452" s="505">
        <v>12565</v>
      </c>
      <c r="I452" s="505">
        <v>0</v>
      </c>
      <c r="J452" s="505">
        <v>5728</v>
      </c>
      <c r="K452" s="505">
        <v>34489</v>
      </c>
      <c r="L452" s="460"/>
      <c r="M452" s="505">
        <v>109</v>
      </c>
      <c r="N452" s="505">
        <v>0</v>
      </c>
      <c r="O452" s="505">
        <v>0</v>
      </c>
      <c r="P452" s="505">
        <v>8086</v>
      </c>
      <c r="Q452" s="505">
        <v>8195</v>
      </c>
      <c r="R452" s="460"/>
      <c r="S452" s="505">
        <v>27650</v>
      </c>
      <c r="T452" s="505">
        <v>1607</v>
      </c>
      <c r="U452" s="505">
        <v>29257</v>
      </c>
      <c r="W452" s="454">
        <v>163781</v>
      </c>
      <c r="X452" s="454">
        <v>33726</v>
      </c>
    </row>
    <row r="453" spans="1:24">
      <c r="A453" s="458">
        <v>94711</v>
      </c>
      <c r="B453" s="518" t="s">
        <v>1165</v>
      </c>
      <c r="C453" s="460">
        <f t="shared" si="7"/>
        <v>3.0078999119140465E-4</v>
      </c>
      <c r="D453" s="460">
        <f>VLOOKUP(A453,'2024 summary '!A453:C1359,3,FALSE)</f>
        <v>3.5262999999999999E-4</v>
      </c>
      <c r="E453" s="505">
        <v>2027767</v>
      </c>
      <c r="F453" s="460"/>
      <c r="G453" s="505">
        <v>355342</v>
      </c>
      <c r="H453" s="505">
        <v>275674</v>
      </c>
      <c r="I453" s="505">
        <v>0</v>
      </c>
      <c r="J453" s="505">
        <v>22756</v>
      </c>
      <c r="K453" s="505">
        <v>653772</v>
      </c>
      <c r="L453" s="460"/>
      <c r="M453" s="505">
        <v>2389</v>
      </c>
      <c r="N453" s="505">
        <v>0</v>
      </c>
      <c r="O453" s="505">
        <v>0</v>
      </c>
      <c r="P453" s="505">
        <v>117158</v>
      </c>
      <c r="Q453" s="505">
        <v>119547</v>
      </c>
      <c r="R453" s="460"/>
      <c r="S453" s="505">
        <v>606620</v>
      </c>
      <c r="T453" s="505">
        <v>-6183</v>
      </c>
      <c r="U453" s="505">
        <v>600437</v>
      </c>
      <c r="W453" s="454">
        <v>3593263</v>
      </c>
      <c r="X453" s="454">
        <v>739932</v>
      </c>
    </row>
    <row r="454" spans="1:24">
      <c r="A454" s="458">
        <v>94801</v>
      </c>
      <c r="B454" s="518" t="s">
        <v>1166</v>
      </c>
      <c r="C454" s="460">
        <f t="shared" si="7"/>
        <v>6.1689993260404137E-4</v>
      </c>
      <c r="D454" s="460">
        <f>VLOOKUP(A454,'2024 summary '!A454:C1360,3,FALSE)</f>
        <v>6.3451999999999996E-4</v>
      </c>
      <c r="E454" s="505">
        <v>4158813</v>
      </c>
      <c r="F454" s="460"/>
      <c r="G454" s="505">
        <v>728782</v>
      </c>
      <c r="H454" s="505">
        <v>565388</v>
      </c>
      <c r="I454" s="505">
        <v>0</v>
      </c>
      <c r="J454" s="505">
        <v>41748</v>
      </c>
      <c r="K454" s="505">
        <v>1335918</v>
      </c>
      <c r="L454" s="460"/>
      <c r="M454" s="505">
        <v>4900</v>
      </c>
      <c r="N454" s="505">
        <v>0</v>
      </c>
      <c r="O454" s="505">
        <v>0</v>
      </c>
      <c r="P454" s="505">
        <v>66080</v>
      </c>
      <c r="Q454" s="505">
        <v>70980</v>
      </c>
      <c r="R454" s="460"/>
      <c r="S454" s="505">
        <v>1244137</v>
      </c>
      <c r="T454" s="505">
        <v>-21367</v>
      </c>
      <c r="U454" s="505">
        <v>1222770</v>
      </c>
      <c r="W454" s="454">
        <v>7369539</v>
      </c>
      <c r="X454" s="454">
        <v>1517550</v>
      </c>
    </row>
    <row r="455" spans="1:24">
      <c r="A455" s="458">
        <v>94804</v>
      </c>
      <c r="B455" s="518" t="s">
        <v>1167</v>
      </c>
      <c r="C455" s="460">
        <f t="shared" si="7"/>
        <v>4.0400678184865904E-6</v>
      </c>
      <c r="D455" s="460">
        <f>VLOOKUP(A455,'2024 summary '!A455:C1361,3,FALSE)</f>
        <v>2.2900000000000001E-6</v>
      </c>
      <c r="E455" s="505">
        <v>27236</v>
      </c>
      <c r="F455" s="460"/>
      <c r="G455" s="505">
        <v>4773</v>
      </c>
      <c r="H455" s="505">
        <v>3703</v>
      </c>
      <c r="I455" s="505">
        <v>0</v>
      </c>
      <c r="J455" s="505">
        <v>13362</v>
      </c>
      <c r="K455" s="505">
        <v>21838</v>
      </c>
      <c r="L455" s="460"/>
      <c r="M455" s="505">
        <v>32</v>
      </c>
      <c r="N455" s="505">
        <v>0</v>
      </c>
      <c r="O455" s="505">
        <v>0</v>
      </c>
      <c r="P455" s="505">
        <v>6004</v>
      </c>
      <c r="Q455" s="505">
        <v>6036</v>
      </c>
      <c r="R455" s="460"/>
      <c r="S455" s="505">
        <v>8148</v>
      </c>
      <c r="T455" s="505">
        <v>4132</v>
      </c>
      <c r="U455" s="505">
        <v>12280</v>
      </c>
      <c r="W455" s="454">
        <v>48262</v>
      </c>
      <c r="X455" s="454">
        <v>9938</v>
      </c>
    </row>
    <row r="456" spans="1:24">
      <c r="A456" s="458">
        <v>94812</v>
      </c>
      <c r="B456" s="518" t="s">
        <v>1168</v>
      </c>
      <c r="C456" s="460">
        <f t="shared" si="7"/>
        <v>1.9999937725757395E-5</v>
      </c>
      <c r="D456" s="460">
        <f>VLOOKUP(A456,'2024 summary '!A456:C1362,3,FALSE)</f>
        <v>2.143E-5</v>
      </c>
      <c r="E456" s="505">
        <v>134829</v>
      </c>
      <c r="F456" s="460"/>
      <c r="G456" s="505">
        <v>23627</v>
      </c>
      <c r="H456" s="505">
        <v>18330</v>
      </c>
      <c r="I456" s="505">
        <v>0</v>
      </c>
      <c r="J456" s="505">
        <v>11251</v>
      </c>
      <c r="K456" s="505">
        <v>53208</v>
      </c>
      <c r="L456" s="460"/>
      <c r="M456" s="505">
        <v>159</v>
      </c>
      <c r="N456" s="505">
        <v>0</v>
      </c>
      <c r="O456" s="505">
        <v>0</v>
      </c>
      <c r="P456" s="505">
        <v>4479</v>
      </c>
      <c r="Q456" s="505">
        <v>4638</v>
      </c>
      <c r="R456" s="460"/>
      <c r="S456" s="505">
        <v>40335</v>
      </c>
      <c r="T456" s="505">
        <v>2804</v>
      </c>
      <c r="U456" s="505">
        <v>43139</v>
      </c>
      <c r="W456" s="454">
        <v>238922</v>
      </c>
      <c r="X456" s="454">
        <v>49199</v>
      </c>
    </row>
    <row r="457" spans="1:24">
      <c r="A457" s="458">
        <v>94901</v>
      </c>
      <c r="B457" s="518" t="s">
        <v>1169</v>
      </c>
      <c r="C457" s="460">
        <f t="shared" si="7"/>
        <v>7.6420600294473621E-3</v>
      </c>
      <c r="D457" s="460">
        <f>VLOOKUP(A457,'2024 summary '!A457:C1363,3,FALSE)</f>
        <v>7.1930500000000003E-3</v>
      </c>
      <c r="E457" s="505">
        <v>51518726</v>
      </c>
      <c r="F457" s="460"/>
      <c r="G457" s="505">
        <v>9028032</v>
      </c>
      <c r="H457" s="505">
        <v>7003940</v>
      </c>
      <c r="I457" s="505">
        <v>0</v>
      </c>
      <c r="J457" s="505">
        <v>1712682</v>
      </c>
      <c r="K457" s="505">
        <v>17744654</v>
      </c>
      <c r="L457" s="460"/>
      <c r="M457" s="505">
        <v>60701</v>
      </c>
      <c r="N457" s="505">
        <v>0</v>
      </c>
      <c r="O457" s="505">
        <v>0</v>
      </c>
      <c r="P457" s="505">
        <v>852645</v>
      </c>
      <c r="Q457" s="505">
        <v>913346</v>
      </c>
      <c r="R457" s="460"/>
      <c r="S457" s="505">
        <v>15412170</v>
      </c>
      <c r="T457" s="505">
        <v>298391</v>
      </c>
      <c r="U457" s="505">
        <v>15710561</v>
      </c>
      <c r="W457" s="454">
        <v>91292691</v>
      </c>
      <c r="X457" s="454">
        <v>18799170</v>
      </c>
    </row>
    <row r="458" spans="1:24">
      <c r="A458" s="458">
        <v>94908</v>
      </c>
      <c r="B458" s="518" t="s">
        <v>3610</v>
      </c>
      <c r="C458" s="460">
        <f t="shared" ref="C458:C521" si="8">E458/$E$915</f>
        <v>5.4549964019862976E-5</v>
      </c>
      <c r="D458" s="460">
        <f>VLOOKUP(A458,'2024 summary '!A458:C1364,3,FALSE)</f>
        <v>6.037E-5</v>
      </c>
      <c r="E458" s="505">
        <v>367747</v>
      </c>
      <c r="F458" s="460"/>
      <c r="G458" s="505">
        <v>64443</v>
      </c>
      <c r="H458" s="505">
        <v>49995</v>
      </c>
      <c r="I458" s="505">
        <v>0</v>
      </c>
      <c r="J458" s="505">
        <v>284</v>
      </c>
      <c r="K458" s="505">
        <v>114722</v>
      </c>
      <c r="L458" s="460"/>
      <c r="M458" s="505">
        <v>433</v>
      </c>
      <c r="N458" s="505">
        <v>0</v>
      </c>
      <c r="O458" s="505">
        <v>0</v>
      </c>
      <c r="P458" s="505">
        <v>22097</v>
      </c>
      <c r="Q458" s="505">
        <v>22530</v>
      </c>
      <c r="R458" s="460"/>
      <c r="S458" s="505">
        <v>110014</v>
      </c>
      <c r="T458" s="505">
        <v>-11487</v>
      </c>
      <c r="U458" s="505">
        <v>98527</v>
      </c>
      <c r="W458" s="454">
        <v>651659</v>
      </c>
      <c r="X458" s="454">
        <v>134191</v>
      </c>
    </row>
    <row r="459" spans="1:24">
      <c r="A459" s="458">
        <v>94911</v>
      </c>
      <c r="B459" s="518" t="s">
        <v>1171</v>
      </c>
      <c r="C459" s="460">
        <f t="shared" si="8"/>
        <v>3.0482999967565982E-3</v>
      </c>
      <c r="D459" s="460">
        <f>VLOOKUP(A459,'2024 summary '!A459:C1365,3,FALSE)</f>
        <v>2.9515600000000002E-3</v>
      </c>
      <c r="E459" s="505">
        <v>20550026</v>
      </c>
      <c r="F459" s="460"/>
      <c r="G459" s="505">
        <v>3601143</v>
      </c>
      <c r="H459" s="505">
        <v>2793764</v>
      </c>
      <c r="I459" s="505">
        <v>0</v>
      </c>
      <c r="J459" s="505">
        <v>349105</v>
      </c>
      <c r="K459" s="505">
        <v>6744012</v>
      </c>
      <c r="L459" s="460"/>
      <c r="M459" s="505">
        <v>24213</v>
      </c>
      <c r="N459" s="505">
        <v>0</v>
      </c>
      <c r="O459" s="505">
        <v>0</v>
      </c>
      <c r="P459" s="505">
        <v>220323</v>
      </c>
      <c r="Q459" s="505">
        <v>244536</v>
      </c>
      <c r="R459" s="460"/>
      <c r="S459" s="505">
        <v>6147677</v>
      </c>
      <c r="T459" s="505">
        <v>76299</v>
      </c>
      <c r="U459" s="505">
        <v>6223976</v>
      </c>
      <c r="W459" s="454">
        <v>36415248</v>
      </c>
      <c r="X459" s="454">
        <v>7498699</v>
      </c>
    </row>
    <row r="460" spans="1:24">
      <c r="A460" s="458">
        <v>94917</v>
      </c>
      <c r="B460" s="518" t="s">
        <v>1172</v>
      </c>
      <c r="C460" s="460">
        <f t="shared" si="8"/>
        <v>3.1150026497236322E-5</v>
      </c>
      <c r="D460" s="460">
        <f>VLOOKUP(A460,'2024 summary '!A460:C1366,3,FALSE)</f>
        <v>3.2020000000000002E-5</v>
      </c>
      <c r="E460" s="505">
        <v>209997</v>
      </c>
      <c r="F460" s="460"/>
      <c r="G460" s="505">
        <v>36799</v>
      </c>
      <c r="H460" s="505">
        <v>28549</v>
      </c>
      <c r="I460" s="505">
        <v>0</v>
      </c>
      <c r="J460" s="505">
        <v>28311</v>
      </c>
      <c r="K460" s="505">
        <v>93659</v>
      </c>
      <c r="L460" s="460"/>
      <c r="M460" s="505">
        <v>247</v>
      </c>
      <c r="N460" s="505">
        <v>0</v>
      </c>
      <c r="O460" s="505">
        <v>0</v>
      </c>
      <c r="P460" s="505">
        <v>6285</v>
      </c>
      <c r="Q460" s="505">
        <v>6532</v>
      </c>
      <c r="R460" s="460"/>
      <c r="S460" s="505">
        <v>62822</v>
      </c>
      <c r="T460" s="505">
        <v>17278</v>
      </c>
      <c r="U460" s="505">
        <v>80100</v>
      </c>
      <c r="W460" s="454">
        <v>372121</v>
      </c>
      <c r="X460" s="454">
        <v>76628</v>
      </c>
    </row>
    <row r="461" spans="1:24">
      <c r="A461" s="458">
        <v>94921</v>
      </c>
      <c r="B461" s="518" t="s">
        <v>1173</v>
      </c>
      <c r="C461" s="460">
        <f t="shared" si="8"/>
        <v>4.148299983391562E-3</v>
      </c>
      <c r="D461" s="460">
        <f>VLOOKUP(A461,'2024 summary '!A461:C1367,3,FALSE)</f>
        <v>3.9291899999999999E-3</v>
      </c>
      <c r="E461" s="505">
        <v>27965644</v>
      </c>
      <c r="F461" s="460"/>
      <c r="G461" s="505">
        <v>4900640</v>
      </c>
      <c r="H461" s="505">
        <v>3801913</v>
      </c>
      <c r="I461" s="505">
        <v>0</v>
      </c>
      <c r="J461" s="505">
        <v>508870</v>
      </c>
      <c r="K461" s="505">
        <v>9211423</v>
      </c>
      <c r="L461" s="460"/>
      <c r="M461" s="505">
        <v>32950</v>
      </c>
      <c r="N461" s="505">
        <v>0</v>
      </c>
      <c r="O461" s="505">
        <v>0</v>
      </c>
      <c r="P461" s="505">
        <v>432409</v>
      </c>
      <c r="Q461" s="505">
        <v>465359</v>
      </c>
      <c r="R461" s="460"/>
      <c r="S461" s="505">
        <v>8366109</v>
      </c>
      <c r="T461" s="505">
        <v>64499</v>
      </c>
      <c r="U461" s="505">
        <v>8430608</v>
      </c>
      <c r="W461" s="454">
        <v>49555940</v>
      </c>
      <c r="X461" s="454">
        <v>10204656</v>
      </c>
    </row>
    <row r="462" spans="1:24">
      <c r="A462" s="458">
        <v>94923</v>
      </c>
      <c r="B462" s="518" t="s">
        <v>1174</v>
      </c>
      <c r="C462" s="460">
        <f t="shared" si="8"/>
        <v>2.0920063319753296E-5</v>
      </c>
      <c r="D462" s="460">
        <f>VLOOKUP(A462,'2024 summary '!A462:C1368,3,FALSE)</f>
        <v>3.1029999999999999E-5</v>
      </c>
      <c r="E462" s="505">
        <v>141032</v>
      </c>
      <c r="F462" s="460"/>
      <c r="G462" s="505">
        <v>24714</v>
      </c>
      <c r="H462" s="505">
        <v>19173</v>
      </c>
      <c r="I462" s="505">
        <v>0</v>
      </c>
      <c r="J462" s="505">
        <v>4945</v>
      </c>
      <c r="K462" s="505">
        <v>48832</v>
      </c>
      <c r="L462" s="460"/>
      <c r="M462" s="505">
        <v>166</v>
      </c>
      <c r="N462" s="505">
        <v>0</v>
      </c>
      <c r="O462" s="505">
        <v>0</v>
      </c>
      <c r="P462" s="505">
        <v>29921</v>
      </c>
      <c r="Q462" s="505">
        <v>30087</v>
      </c>
      <c r="R462" s="460"/>
      <c r="S462" s="505">
        <v>42191</v>
      </c>
      <c r="T462" s="505">
        <v>-4872</v>
      </c>
      <c r="U462" s="505">
        <v>37319</v>
      </c>
      <c r="W462" s="454">
        <v>249912</v>
      </c>
      <c r="X462" s="454">
        <v>51462</v>
      </c>
    </row>
    <row r="463" spans="1:24">
      <c r="A463" s="458">
        <v>94927</v>
      </c>
      <c r="B463" s="518" t="s">
        <v>1175</v>
      </c>
      <c r="C463" s="460">
        <f t="shared" si="8"/>
        <v>2.4420041296592444E-5</v>
      </c>
      <c r="D463" s="460">
        <f>VLOOKUP(A463,'2024 summary '!A463:C1369,3,FALSE)</f>
        <v>2.781E-5</v>
      </c>
      <c r="E463" s="505">
        <v>164627</v>
      </c>
      <c r="F463" s="460"/>
      <c r="G463" s="505">
        <v>28849</v>
      </c>
      <c r="H463" s="505">
        <v>22381</v>
      </c>
      <c r="I463" s="505">
        <v>0</v>
      </c>
      <c r="J463" s="505">
        <v>21902</v>
      </c>
      <c r="K463" s="505">
        <v>73132</v>
      </c>
      <c r="L463" s="460"/>
      <c r="M463" s="505">
        <v>194</v>
      </c>
      <c r="N463" s="505">
        <v>0</v>
      </c>
      <c r="O463" s="505">
        <v>0</v>
      </c>
      <c r="P463" s="505">
        <v>17355</v>
      </c>
      <c r="Q463" s="505">
        <v>17549</v>
      </c>
      <c r="R463" s="460"/>
      <c r="S463" s="505">
        <v>49249</v>
      </c>
      <c r="T463" s="505">
        <v>13331</v>
      </c>
      <c r="U463" s="505">
        <v>62580</v>
      </c>
      <c r="W463" s="454">
        <v>291723</v>
      </c>
      <c r="X463" s="454">
        <v>60072</v>
      </c>
    </row>
    <row r="464" spans="1:24">
      <c r="A464" s="458">
        <v>94931</v>
      </c>
      <c r="B464" s="518" t="s">
        <v>1176</v>
      </c>
      <c r="C464" s="460">
        <f t="shared" si="8"/>
        <v>3.4739005821229679E-4</v>
      </c>
      <c r="D464" s="460">
        <f>VLOOKUP(A464,'2024 summary '!A464:C1370,3,FALSE)</f>
        <v>3.0470999999999997E-4</v>
      </c>
      <c r="E464" s="505">
        <v>2341920</v>
      </c>
      <c r="F464" s="460"/>
      <c r="G464" s="505">
        <v>410393</v>
      </c>
      <c r="H464" s="505">
        <v>318383</v>
      </c>
      <c r="I464" s="505">
        <v>0</v>
      </c>
      <c r="J464" s="505">
        <v>213647</v>
      </c>
      <c r="K464" s="505">
        <v>942423</v>
      </c>
      <c r="L464" s="460"/>
      <c r="M464" s="505">
        <v>2759</v>
      </c>
      <c r="N464" s="505">
        <v>0</v>
      </c>
      <c r="O464" s="505">
        <v>0</v>
      </c>
      <c r="P464" s="505">
        <v>10360</v>
      </c>
      <c r="Q464" s="505">
        <v>13119</v>
      </c>
      <c r="R464" s="460"/>
      <c r="S464" s="505">
        <v>700601</v>
      </c>
      <c r="T464" s="505">
        <v>102832</v>
      </c>
      <c r="U464" s="505">
        <v>803433</v>
      </c>
      <c r="W464" s="454">
        <v>4149950</v>
      </c>
      <c r="X464" s="454">
        <v>854566</v>
      </c>
    </row>
    <row r="465" spans="1:24">
      <c r="A465" s="458">
        <v>94937</v>
      </c>
      <c r="B465" s="518" t="s">
        <v>1927</v>
      </c>
      <c r="C465" s="460">
        <f t="shared" si="8"/>
        <v>7.1300462561020315E-6</v>
      </c>
      <c r="D465" s="460">
        <f>VLOOKUP(A465,'2024 summary '!A465:C1371,3,FALSE)</f>
        <v>8.0700000000000007E-6</v>
      </c>
      <c r="E465" s="505">
        <v>48067</v>
      </c>
      <c r="F465" s="460"/>
      <c r="G465" s="505">
        <v>8423</v>
      </c>
      <c r="H465" s="505">
        <v>6535</v>
      </c>
      <c r="I465" s="505">
        <v>0</v>
      </c>
      <c r="J465" s="505">
        <v>0</v>
      </c>
      <c r="K465" s="505">
        <v>14958</v>
      </c>
      <c r="L465" s="460"/>
      <c r="M465" s="505">
        <v>57</v>
      </c>
      <c r="N465" s="505">
        <v>0</v>
      </c>
      <c r="O465" s="505">
        <v>0</v>
      </c>
      <c r="P465" s="505">
        <v>5353</v>
      </c>
      <c r="Q465" s="505">
        <v>5410</v>
      </c>
      <c r="R465" s="460"/>
      <c r="S465" s="505">
        <v>14379</v>
      </c>
      <c r="T465" s="505">
        <v>-1834</v>
      </c>
      <c r="U465" s="505">
        <v>12545</v>
      </c>
      <c r="W465" s="454">
        <v>85176</v>
      </c>
      <c r="X465" s="454">
        <v>17540</v>
      </c>
    </row>
    <row r="466" spans="1:24">
      <c r="A466" s="458">
        <v>94941</v>
      </c>
      <c r="B466" s="518" t="s">
        <v>1177</v>
      </c>
      <c r="C466" s="460">
        <f t="shared" si="8"/>
        <v>0</v>
      </c>
      <c r="D466" s="460">
        <f>VLOOKUP(A466,'2024 summary '!A466:C1372,3,FALSE)</f>
        <v>0</v>
      </c>
      <c r="E466" s="505">
        <v>0</v>
      </c>
      <c r="F466" s="460"/>
      <c r="G466" s="505">
        <v>0</v>
      </c>
      <c r="H466" s="505">
        <v>0</v>
      </c>
      <c r="I466" s="505">
        <v>0</v>
      </c>
      <c r="J466" s="505">
        <v>52671</v>
      </c>
      <c r="K466" s="505">
        <v>52671</v>
      </c>
      <c r="L466" s="460"/>
      <c r="M466" s="505">
        <v>0</v>
      </c>
      <c r="N466" s="505">
        <v>0</v>
      </c>
      <c r="O466" s="505">
        <v>0</v>
      </c>
      <c r="P466" s="505">
        <v>10400</v>
      </c>
      <c r="Q466" s="505">
        <v>10400</v>
      </c>
      <c r="R466" s="460"/>
      <c r="S466" s="505">
        <v>0</v>
      </c>
      <c r="T466" s="505">
        <v>-296966</v>
      </c>
      <c r="U466" s="505">
        <v>-296966</v>
      </c>
      <c r="W466" s="454">
        <v>0</v>
      </c>
      <c r="X466" s="454">
        <v>0</v>
      </c>
    </row>
    <row r="467" spans="1:24">
      <c r="A467" s="458">
        <v>94947</v>
      </c>
      <c r="B467" s="518" t="s">
        <v>1928</v>
      </c>
      <c r="C467" s="460">
        <f t="shared" si="8"/>
        <v>1.3540071613726536E-5</v>
      </c>
      <c r="D467" s="460">
        <f>VLOOKUP(A467,'2024 summary '!A467:C1373,3,FALSE)</f>
        <v>9.4099999999999997E-6</v>
      </c>
      <c r="E467" s="505">
        <v>91280</v>
      </c>
      <c r="F467" s="460"/>
      <c r="G467" s="505">
        <v>15996</v>
      </c>
      <c r="H467" s="505">
        <v>12409</v>
      </c>
      <c r="I467" s="505">
        <v>0</v>
      </c>
      <c r="J467" s="505">
        <v>24146</v>
      </c>
      <c r="K467" s="505">
        <v>52551</v>
      </c>
      <c r="L467" s="460"/>
      <c r="M467" s="505">
        <v>108</v>
      </c>
      <c r="N467" s="505">
        <v>0</v>
      </c>
      <c r="O467" s="505">
        <v>0</v>
      </c>
      <c r="P467" s="505">
        <v>1307</v>
      </c>
      <c r="Q467" s="505">
        <v>1415</v>
      </c>
      <c r="R467" s="460"/>
      <c r="S467" s="505">
        <v>27307</v>
      </c>
      <c r="T467" s="505">
        <v>10152</v>
      </c>
      <c r="U467" s="505">
        <v>37459</v>
      </c>
      <c r="W467" s="454">
        <v>161750</v>
      </c>
      <c r="X467" s="454">
        <v>33308</v>
      </c>
    </row>
    <row r="468" spans="1:24">
      <c r="A468" s="458">
        <v>95001</v>
      </c>
      <c r="B468" s="518" t="s">
        <v>1178</v>
      </c>
      <c r="C468" s="460">
        <f t="shared" si="8"/>
        <v>2.1393999943416799E-3</v>
      </c>
      <c r="D468" s="460">
        <f>VLOOKUP(A468,'2024 summary '!A468:C1374,3,FALSE)</f>
        <v>2.4381899999999998E-3</v>
      </c>
      <c r="E468" s="505">
        <v>14422703</v>
      </c>
      <c r="F468" s="460"/>
      <c r="G468" s="505">
        <v>2527404</v>
      </c>
      <c r="H468" s="505">
        <v>1960758</v>
      </c>
      <c r="I468" s="505">
        <v>0</v>
      </c>
      <c r="J468" s="505">
        <v>584023</v>
      </c>
      <c r="K468" s="505">
        <v>5072185</v>
      </c>
      <c r="L468" s="460"/>
      <c r="M468" s="505">
        <v>16993</v>
      </c>
      <c r="N468" s="505">
        <v>0</v>
      </c>
      <c r="O468" s="505">
        <v>0</v>
      </c>
      <c r="P468" s="505">
        <v>602916</v>
      </c>
      <c r="Q468" s="505">
        <v>619909</v>
      </c>
      <c r="R468" s="460"/>
      <c r="S468" s="505">
        <v>4314648</v>
      </c>
      <c r="T468" s="505">
        <v>158057</v>
      </c>
      <c r="U468" s="505">
        <v>4472705</v>
      </c>
      <c r="W468" s="454">
        <v>25557452</v>
      </c>
      <c r="X468" s="454">
        <v>5262841</v>
      </c>
    </row>
    <row r="469" spans="1:24">
      <c r="A469" s="458">
        <v>95002</v>
      </c>
      <c r="B469" s="518" t="s">
        <v>1179</v>
      </c>
      <c r="C469" s="460">
        <f t="shared" si="8"/>
        <v>1.6103992755429184E-4</v>
      </c>
      <c r="D469" s="460">
        <f>VLOOKUP(A469,'2024 summary '!A469:C1375,3,FALSE)</f>
        <v>1.6530000000000001E-4</v>
      </c>
      <c r="E469" s="505">
        <v>1085646</v>
      </c>
      <c r="F469" s="460"/>
      <c r="G469" s="505">
        <v>190246</v>
      </c>
      <c r="H469" s="505">
        <v>147593</v>
      </c>
      <c r="I469" s="505">
        <v>0</v>
      </c>
      <c r="J469" s="505">
        <v>34448</v>
      </c>
      <c r="K469" s="505">
        <v>372287</v>
      </c>
      <c r="L469" s="460"/>
      <c r="M469" s="505">
        <v>1279</v>
      </c>
      <c r="N469" s="505">
        <v>0</v>
      </c>
      <c r="O469" s="505">
        <v>0</v>
      </c>
      <c r="P469" s="505">
        <v>11380</v>
      </c>
      <c r="Q469" s="505">
        <v>12659</v>
      </c>
      <c r="R469" s="460"/>
      <c r="S469" s="505">
        <v>324778</v>
      </c>
      <c r="T469" s="505">
        <v>22449</v>
      </c>
      <c r="U469" s="505">
        <v>347227</v>
      </c>
      <c r="W469" s="454">
        <v>1923797</v>
      </c>
      <c r="X469" s="454">
        <v>396152</v>
      </c>
    </row>
    <row r="470" spans="1:24">
      <c r="A470" s="458">
        <v>95005</v>
      </c>
      <c r="B470" s="518" t="s">
        <v>1180</v>
      </c>
      <c r="C470" s="460">
        <f t="shared" si="8"/>
        <v>1.7482000613417754E-4</v>
      </c>
      <c r="D470" s="460">
        <f>VLOOKUP(A470,'2024 summary '!A470:C1376,3,FALSE)</f>
        <v>1.8563E-4</v>
      </c>
      <c r="E470" s="505">
        <v>1178544</v>
      </c>
      <c r="F470" s="460"/>
      <c r="G470" s="505">
        <v>206526</v>
      </c>
      <c r="H470" s="505">
        <v>160222</v>
      </c>
      <c r="I470" s="505">
        <v>0</v>
      </c>
      <c r="J470" s="505">
        <v>5643</v>
      </c>
      <c r="K470" s="505">
        <v>372391</v>
      </c>
      <c r="L470" s="460"/>
      <c r="M470" s="505">
        <v>1389</v>
      </c>
      <c r="N470" s="505">
        <v>0</v>
      </c>
      <c r="O470" s="505">
        <v>0</v>
      </c>
      <c r="P470" s="505">
        <v>27500</v>
      </c>
      <c r="Q470" s="505">
        <v>28889</v>
      </c>
      <c r="R470" s="460"/>
      <c r="S470" s="505">
        <v>352569</v>
      </c>
      <c r="T470" s="505">
        <v>10973</v>
      </c>
      <c r="U470" s="505">
        <v>363542</v>
      </c>
      <c r="W470" s="454">
        <v>2088414</v>
      </c>
      <c r="X470" s="454">
        <v>430050</v>
      </c>
    </row>
    <row r="471" spans="1:24">
      <c r="A471" s="458">
        <v>95008</v>
      </c>
      <c r="B471" s="518" t="s">
        <v>1181</v>
      </c>
      <c r="C471" s="460">
        <f t="shared" si="8"/>
        <v>1.4757995715300408E-4</v>
      </c>
      <c r="D471" s="460">
        <f>VLOOKUP(A471,'2024 summary '!A471:C1377,3,FALSE)</f>
        <v>1.3899999999999999E-4</v>
      </c>
      <c r="E471" s="505">
        <v>994906</v>
      </c>
      <c r="F471" s="460"/>
      <c r="G471" s="505">
        <v>174345</v>
      </c>
      <c r="H471" s="505">
        <v>135257</v>
      </c>
      <c r="I471" s="505">
        <v>0</v>
      </c>
      <c r="J471" s="505">
        <v>79239</v>
      </c>
      <c r="K471" s="505">
        <v>388841</v>
      </c>
      <c r="L471" s="460"/>
      <c r="M471" s="505">
        <v>1172</v>
      </c>
      <c r="N471" s="505">
        <v>0</v>
      </c>
      <c r="O471" s="505">
        <v>0</v>
      </c>
      <c r="P471" s="505">
        <v>7502</v>
      </c>
      <c r="Q471" s="505">
        <v>8674</v>
      </c>
      <c r="R471" s="460"/>
      <c r="S471" s="505">
        <v>297633</v>
      </c>
      <c r="T471" s="505">
        <v>31673</v>
      </c>
      <c r="U471" s="505">
        <v>329306</v>
      </c>
      <c r="W471" s="454">
        <v>1763003</v>
      </c>
      <c r="X471" s="454">
        <v>363041</v>
      </c>
    </row>
    <row r="472" spans="1:24">
      <c r="A472" s="458">
        <v>95009</v>
      </c>
      <c r="B472" s="518" t="s">
        <v>1182</v>
      </c>
      <c r="C472" s="460">
        <f t="shared" si="8"/>
        <v>9.9220999525621197E-3</v>
      </c>
      <c r="D472" s="460">
        <f>VLOOKUP(A472,'2024 summary '!A472:C1378,3,FALSE)</f>
        <v>8.4598299999999998E-3</v>
      </c>
      <c r="E472" s="505">
        <v>66889549</v>
      </c>
      <c r="F472" s="460"/>
      <c r="G472" s="505">
        <v>11721582</v>
      </c>
      <c r="H472" s="505">
        <v>9093595</v>
      </c>
      <c r="I472" s="505">
        <v>0</v>
      </c>
      <c r="J472" s="505">
        <v>10245376</v>
      </c>
      <c r="K472" s="505">
        <v>31060553</v>
      </c>
      <c r="L472" s="460"/>
      <c r="M472" s="505">
        <v>78811</v>
      </c>
      <c r="N472" s="505">
        <v>0</v>
      </c>
      <c r="O472" s="505">
        <v>0</v>
      </c>
      <c r="P472" s="505">
        <v>37027</v>
      </c>
      <c r="Q472" s="505">
        <v>115838</v>
      </c>
      <c r="R472" s="460"/>
      <c r="S472" s="505">
        <v>20010455</v>
      </c>
      <c r="T472" s="505">
        <v>4887301</v>
      </c>
      <c r="U472" s="505">
        <v>24897756</v>
      </c>
      <c r="W472" s="454">
        <v>118530240</v>
      </c>
      <c r="X472" s="454">
        <v>24407979</v>
      </c>
    </row>
    <row r="473" spans="1:24">
      <c r="A473" s="458">
        <v>95010</v>
      </c>
      <c r="B473" s="518" t="s">
        <v>3719</v>
      </c>
      <c r="C473" s="460">
        <f t="shared" si="8"/>
        <v>2.175993936573182E-5</v>
      </c>
      <c r="D473" s="460">
        <f>VLOOKUP(A473,'2024 summary '!A473:C1379,3,FALSE)</f>
        <v>2.7080000000000002E-5</v>
      </c>
      <c r="E473" s="505">
        <v>146694</v>
      </c>
      <c r="F473" s="460"/>
      <c r="G473" s="505">
        <v>25706</v>
      </c>
      <c r="H473" s="505">
        <v>19943</v>
      </c>
      <c r="I473" s="505">
        <v>0</v>
      </c>
      <c r="J473" s="505">
        <v>6079</v>
      </c>
      <c r="K473" s="505">
        <v>51728</v>
      </c>
      <c r="L473" s="460"/>
      <c r="M473" s="505">
        <v>173</v>
      </c>
      <c r="N473" s="505">
        <v>0</v>
      </c>
      <c r="O473" s="505">
        <v>0</v>
      </c>
      <c r="P473" s="505">
        <v>26269</v>
      </c>
      <c r="Q473" s="505">
        <v>26442</v>
      </c>
      <c r="R473" s="460"/>
      <c r="S473" s="505">
        <v>43885</v>
      </c>
      <c r="T473" s="505">
        <v>-7472</v>
      </c>
      <c r="U473" s="505">
        <v>36413</v>
      </c>
      <c r="W473" s="454">
        <v>259947</v>
      </c>
      <c r="X473" s="454">
        <v>53529</v>
      </c>
    </row>
    <row r="474" spans="1:24">
      <c r="A474" s="458">
        <v>95011</v>
      </c>
      <c r="B474" s="518" t="s">
        <v>1183</v>
      </c>
      <c r="C474" s="460">
        <f t="shared" si="8"/>
        <v>2.3985002711702686E-4</v>
      </c>
      <c r="D474" s="460">
        <f>VLOOKUP(A474,'2024 summary '!A474:C1380,3,FALSE)</f>
        <v>2.5012999999999999E-4</v>
      </c>
      <c r="E474" s="505">
        <v>1616942</v>
      </c>
      <c r="F474" s="460"/>
      <c r="G474" s="505">
        <v>283349</v>
      </c>
      <c r="H474" s="505">
        <v>219822</v>
      </c>
      <c r="I474" s="505">
        <v>0</v>
      </c>
      <c r="J474" s="505">
        <v>94987</v>
      </c>
      <c r="K474" s="505">
        <v>598158</v>
      </c>
      <c r="L474" s="460"/>
      <c r="M474" s="505">
        <v>1905</v>
      </c>
      <c r="N474" s="505">
        <v>0</v>
      </c>
      <c r="O474" s="505">
        <v>0</v>
      </c>
      <c r="P474" s="505">
        <v>68674</v>
      </c>
      <c r="Q474" s="505">
        <v>70579</v>
      </c>
      <c r="R474" s="460"/>
      <c r="S474" s="505">
        <v>483719</v>
      </c>
      <c r="T474" s="505">
        <v>24027</v>
      </c>
      <c r="U474" s="505">
        <v>507746</v>
      </c>
      <c r="W474" s="454">
        <v>2865268</v>
      </c>
      <c r="X474" s="454">
        <v>590022</v>
      </c>
    </row>
    <row r="475" spans="1:24">
      <c r="A475" s="458">
        <v>95017</v>
      </c>
      <c r="B475" s="518" t="s">
        <v>1184</v>
      </c>
      <c r="C475" s="460">
        <f t="shared" si="8"/>
        <v>4.3440074190182031E-5</v>
      </c>
      <c r="D475" s="460">
        <f>VLOOKUP(A475,'2024 summary '!A475:C1381,3,FALSE)</f>
        <v>3.7329999999999997E-5</v>
      </c>
      <c r="E475" s="505">
        <v>292850</v>
      </c>
      <c r="F475" s="460"/>
      <c r="G475" s="505">
        <v>51318</v>
      </c>
      <c r="H475" s="505">
        <v>39813</v>
      </c>
      <c r="I475" s="505">
        <v>0</v>
      </c>
      <c r="J475" s="505">
        <v>36450</v>
      </c>
      <c r="K475" s="505">
        <v>127581</v>
      </c>
      <c r="L475" s="460"/>
      <c r="M475" s="505">
        <v>345</v>
      </c>
      <c r="N475" s="505">
        <v>0</v>
      </c>
      <c r="O475" s="505">
        <v>0</v>
      </c>
      <c r="P475" s="505">
        <v>6724</v>
      </c>
      <c r="Q475" s="505">
        <v>7069</v>
      </c>
      <c r="R475" s="460"/>
      <c r="S475" s="505">
        <v>87608</v>
      </c>
      <c r="T475" s="505">
        <v>5395</v>
      </c>
      <c r="U475" s="505">
        <v>93003</v>
      </c>
      <c r="W475" s="454">
        <v>518938</v>
      </c>
      <c r="X475" s="454">
        <v>106861</v>
      </c>
    </row>
    <row r="476" spans="1:24">
      <c r="A476" s="458">
        <v>95101</v>
      </c>
      <c r="B476" s="518" t="s">
        <v>1185</v>
      </c>
      <c r="C476" s="460">
        <f t="shared" si="8"/>
        <v>1.0040319996980315E-2</v>
      </c>
      <c r="D476" s="460">
        <f>VLOOKUP(A476,'2024 summary '!A476:C1382,3,FALSE)</f>
        <v>1.008759E-2</v>
      </c>
      <c r="E476" s="505">
        <v>67686526</v>
      </c>
      <c r="F476" s="460"/>
      <c r="G476" s="505">
        <v>11861242</v>
      </c>
      <c r="H476" s="505">
        <v>9201943</v>
      </c>
      <c r="I476" s="505">
        <v>0</v>
      </c>
      <c r="J476" s="505">
        <v>1524698</v>
      </c>
      <c r="K476" s="505">
        <v>22587883</v>
      </c>
      <c r="L476" s="460"/>
      <c r="M476" s="505">
        <v>79750</v>
      </c>
      <c r="N476" s="505">
        <v>0</v>
      </c>
      <c r="O476" s="505">
        <v>0</v>
      </c>
      <c r="P476" s="505">
        <v>787103</v>
      </c>
      <c r="Q476" s="505">
        <v>866853</v>
      </c>
      <c r="R476" s="460"/>
      <c r="S476" s="505">
        <v>20248876</v>
      </c>
      <c r="T476" s="505">
        <v>402256</v>
      </c>
      <c r="U476" s="505">
        <v>20651132</v>
      </c>
      <c r="W476" s="454">
        <v>119942506</v>
      </c>
      <c r="X476" s="454">
        <v>24698796</v>
      </c>
    </row>
    <row r="477" spans="1:24">
      <c r="A477" s="458">
        <v>95103</v>
      </c>
      <c r="B477" s="518" t="s">
        <v>1186</v>
      </c>
      <c r="C477" s="460">
        <f t="shared" si="8"/>
        <v>4.0940026348620386E-5</v>
      </c>
      <c r="D477" s="460">
        <f>VLOOKUP(A477,'2024 summary '!A477:C1383,3,FALSE)</f>
        <v>3.8420000000000001E-5</v>
      </c>
      <c r="E477" s="505">
        <v>275996</v>
      </c>
      <c r="F477" s="460"/>
      <c r="G477" s="505">
        <v>48365</v>
      </c>
      <c r="H477" s="505">
        <v>37521</v>
      </c>
      <c r="I477" s="505">
        <v>0</v>
      </c>
      <c r="J477" s="505">
        <v>31077</v>
      </c>
      <c r="K477" s="505">
        <v>116963</v>
      </c>
      <c r="L477" s="460"/>
      <c r="M477" s="505">
        <v>325</v>
      </c>
      <c r="N477" s="505">
        <v>0</v>
      </c>
      <c r="O477" s="505">
        <v>0</v>
      </c>
      <c r="P477" s="505">
        <v>19136</v>
      </c>
      <c r="Q477" s="505">
        <v>19461</v>
      </c>
      <c r="R477" s="460"/>
      <c r="S477" s="505">
        <v>82566</v>
      </c>
      <c r="T477" s="505">
        <v>6172</v>
      </c>
      <c r="U477" s="505">
        <v>88738</v>
      </c>
      <c r="W477" s="454">
        <v>489073</v>
      </c>
      <c r="X477" s="454">
        <v>100711</v>
      </c>
    </row>
    <row r="478" spans="1:24">
      <c r="A478" s="458">
        <v>95104</v>
      </c>
      <c r="B478" s="518" t="s">
        <v>1187</v>
      </c>
      <c r="C478" s="460">
        <f t="shared" si="8"/>
        <v>1.5681992867897516E-4</v>
      </c>
      <c r="D478" s="460">
        <f>VLOOKUP(A478,'2024 summary '!A478:C1384,3,FALSE)</f>
        <v>1.5797000000000001E-4</v>
      </c>
      <c r="E478" s="505">
        <v>1057197</v>
      </c>
      <c r="F478" s="460"/>
      <c r="G478" s="505">
        <v>185261</v>
      </c>
      <c r="H478" s="505">
        <v>143725</v>
      </c>
      <c r="I478" s="505">
        <v>0</v>
      </c>
      <c r="J478" s="505">
        <v>53207</v>
      </c>
      <c r="K478" s="505">
        <v>382193</v>
      </c>
      <c r="L478" s="460"/>
      <c r="M478" s="505">
        <v>1246</v>
      </c>
      <c r="N478" s="505">
        <v>0</v>
      </c>
      <c r="O478" s="505">
        <v>0</v>
      </c>
      <c r="P478" s="505">
        <v>3788</v>
      </c>
      <c r="Q478" s="505">
        <v>5034</v>
      </c>
      <c r="R478" s="460"/>
      <c r="S478" s="505">
        <v>316268</v>
      </c>
      <c r="T478" s="505">
        <v>52767</v>
      </c>
      <c r="U478" s="505">
        <v>369035</v>
      </c>
      <c r="W478" s="454">
        <v>1873385</v>
      </c>
      <c r="X478" s="454">
        <v>385771</v>
      </c>
    </row>
    <row r="479" spans="1:24">
      <c r="A479" s="458">
        <v>95105</v>
      </c>
      <c r="B479" s="518" t="s">
        <v>1188</v>
      </c>
      <c r="C479" s="460">
        <f t="shared" si="8"/>
        <v>5.4159989783748961E-5</v>
      </c>
      <c r="D479" s="460">
        <f>VLOOKUP(A479,'2024 summary '!A479:C1385,3,FALSE)</f>
        <v>6.19E-5</v>
      </c>
      <c r="E479" s="505">
        <v>365118</v>
      </c>
      <c r="F479" s="460"/>
      <c r="G479" s="505">
        <v>63983</v>
      </c>
      <c r="H479" s="505">
        <v>49638</v>
      </c>
      <c r="I479" s="505">
        <v>0</v>
      </c>
      <c r="J479" s="505">
        <v>7161</v>
      </c>
      <c r="K479" s="505">
        <v>120782</v>
      </c>
      <c r="L479" s="460"/>
      <c r="M479" s="505">
        <v>430</v>
      </c>
      <c r="N479" s="505">
        <v>0</v>
      </c>
      <c r="O479" s="505">
        <v>0</v>
      </c>
      <c r="P479" s="505">
        <v>43361</v>
      </c>
      <c r="Q479" s="505">
        <v>43791</v>
      </c>
      <c r="R479" s="460"/>
      <c r="S479" s="505">
        <v>109228</v>
      </c>
      <c r="T479" s="505">
        <v>-26001</v>
      </c>
      <c r="U479" s="505">
        <v>83227</v>
      </c>
      <c r="W479" s="454">
        <v>647000</v>
      </c>
      <c r="X479" s="454">
        <v>133231</v>
      </c>
    </row>
    <row r="480" spans="1:24">
      <c r="A480" s="458">
        <v>95106</v>
      </c>
      <c r="B480" s="518" t="s">
        <v>1189</v>
      </c>
      <c r="C480" s="460">
        <f t="shared" si="8"/>
        <v>5.0179997874591465E-5</v>
      </c>
      <c r="D480" s="460">
        <f>VLOOKUP(A480,'2024 summary '!A480:C1386,3,FALSE)</f>
        <v>2.9790000000000001E-5</v>
      </c>
      <c r="E480" s="505">
        <v>338287</v>
      </c>
      <c r="F480" s="460"/>
      <c r="G480" s="505">
        <v>59281</v>
      </c>
      <c r="H480" s="505">
        <v>45990</v>
      </c>
      <c r="I480" s="505">
        <v>0</v>
      </c>
      <c r="J480" s="505">
        <v>89292</v>
      </c>
      <c r="K480" s="505">
        <v>194563</v>
      </c>
      <c r="L480" s="460"/>
      <c r="M480" s="505">
        <v>399</v>
      </c>
      <c r="N480" s="505">
        <v>0</v>
      </c>
      <c r="O480" s="505">
        <v>0</v>
      </c>
      <c r="P480" s="505">
        <v>0</v>
      </c>
      <c r="Q480" s="505">
        <v>399</v>
      </c>
      <c r="R480" s="460"/>
      <c r="S480" s="505">
        <v>101201</v>
      </c>
      <c r="T480" s="505">
        <v>39081</v>
      </c>
      <c r="U480" s="505">
        <v>140282</v>
      </c>
      <c r="W480" s="454">
        <v>599454</v>
      </c>
      <c r="X480" s="454">
        <v>123441</v>
      </c>
    </row>
    <row r="481" spans="1:24">
      <c r="A481" s="458">
        <v>95110</v>
      </c>
      <c r="B481" s="518" t="s">
        <v>1190</v>
      </c>
      <c r="C481" s="460">
        <f t="shared" si="8"/>
        <v>1.5623699952223083E-3</v>
      </c>
      <c r="D481" s="460">
        <f>VLOOKUP(A481,'2024 summary '!A481:C1387,3,FALSE)</f>
        <v>1.97796E-3</v>
      </c>
      <c r="E481" s="505">
        <v>10532672</v>
      </c>
      <c r="F481" s="460"/>
      <c r="G481" s="505">
        <v>1845723</v>
      </c>
      <c r="H481" s="505">
        <v>1431911</v>
      </c>
      <c r="I481" s="505">
        <v>0</v>
      </c>
      <c r="J481" s="505">
        <v>232951</v>
      </c>
      <c r="K481" s="505">
        <v>3510585</v>
      </c>
      <c r="L481" s="460"/>
      <c r="M481" s="505">
        <v>12410</v>
      </c>
      <c r="N481" s="505">
        <v>0</v>
      </c>
      <c r="O481" s="505">
        <v>0</v>
      </c>
      <c r="P481" s="505">
        <v>1367674</v>
      </c>
      <c r="Q481" s="505">
        <v>1380084</v>
      </c>
      <c r="R481" s="460"/>
      <c r="S481" s="505">
        <v>3150919</v>
      </c>
      <c r="T481" s="505">
        <v>-529646</v>
      </c>
      <c r="U481" s="505">
        <v>2621273</v>
      </c>
      <c r="W481" s="454">
        <v>18664203</v>
      </c>
      <c r="X481" s="454">
        <v>3843369</v>
      </c>
    </row>
    <row r="482" spans="1:24">
      <c r="A482" s="458">
        <v>95111</v>
      </c>
      <c r="B482" s="518" t="s">
        <v>1191</v>
      </c>
      <c r="C482" s="460">
        <f t="shared" si="8"/>
        <v>8.6638005381873195E-4</v>
      </c>
      <c r="D482" s="460">
        <f>VLOOKUP(A482,'2024 summary '!A482:C1388,3,FALSE)</f>
        <v>9.2325000000000003E-4</v>
      </c>
      <c r="E482" s="505">
        <v>5840676</v>
      </c>
      <c r="F482" s="460"/>
      <c r="G482" s="505">
        <v>1023508</v>
      </c>
      <c r="H482" s="505">
        <v>794036</v>
      </c>
      <c r="I482" s="505">
        <v>0</v>
      </c>
      <c r="J482" s="505">
        <v>60860</v>
      </c>
      <c r="K482" s="505">
        <v>1878404</v>
      </c>
      <c r="L482" s="460"/>
      <c r="M482" s="505">
        <v>6882</v>
      </c>
      <c r="N482" s="505">
        <v>0</v>
      </c>
      <c r="O482" s="505">
        <v>0</v>
      </c>
      <c r="P482" s="505">
        <v>184189</v>
      </c>
      <c r="Q482" s="505">
        <v>191071</v>
      </c>
      <c r="R482" s="460"/>
      <c r="S482" s="505">
        <v>1747277</v>
      </c>
      <c r="T482" s="505">
        <v>-53287</v>
      </c>
      <c r="U482" s="505">
        <v>1693990</v>
      </c>
      <c r="W482" s="454">
        <v>10349848</v>
      </c>
      <c r="X482" s="454">
        <v>2131261</v>
      </c>
    </row>
    <row r="483" spans="1:24">
      <c r="A483" s="458">
        <v>95113</v>
      </c>
      <c r="B483" s="518" t="s">
        <v>1192</v>
      </c>
      <c r="C483" s="460">
        <f t="shared" si="8"/>
        <v>4.8599927291447126E-5</v>
      </c>
      <c r="D483" s="460">
        <f>VLOOKUP(A483,'2024 summary '!A483:C1389,3,FALSE)</f>
        <v>5.0510000000000003E-5</v>
      </c>
      <c r="E483" s="505">
        <v>327635</v>
      </c>
      <c r="F483" s="460"/>
      <c r="G483" s="505">
        <v>57414</v>
      </c>
      <c r="H483" s="505">
        <v>44542</v>
      </c>
      <c r="I483" s="505">
        <v>0</v>
      </c>
      <c r="J483" s="505">
        <v>44631</v>
      </c>
      <c r="K483" s="505">
        <v>146587</v>
      </c>
      <c r="L483" s="460"/>
      <c r="M483" s="505">
        <v>386</v>
      </c>
      <c r="N483" s="505">
        <v>0</v>
      </c>
      <c r="O483" s="505">
        <v>0</v>
      </c>
      <c r="P483" s="505">
        <v>16963</v>
      </c>
      <c r="Q483" s="505">
        <v>17349</v>
      </c>
      <c r="R483" s="460"/>
      <c r="S483" s="505">
        <v>98014</v>
      </c>
      <c r="T483" s="505">
        <v>41481</v>
      </c>
      <c r="U483" s="505">
        <v>139495</v>
      </c>
      <c r="W483" s="454">
        <v>580580</v>
      </c>
      <c r="X483" s="454">
        <v>119554</v>
      </c>
    </row>
    <row r="484" spans="1:24">
      <c r="A484" s="458">
        <v>95121</v>
      </c>
      <c r="B484" s="518" t="s">
        <v>1193</v>
      </c>
      <c r="C484" s="460">
        <f t="shared" si="8"/>
        <v>4.7898003333557621E-4</v>
      </c>
      <c r="D484" s="460">
        <f>VLOOKUP(A484,'2024 summary '!A484:C1390,3,FALSE)</f>
        <v>4.8259000000000003E-4</v>
      </c>
      <c r="E484" s="505">
        <v>3229030</v>
      </c>
      <c r="F484" s="460"/>
      <c r="G484" s="505">
        <v>565848</v>
      </c>
      <c r="H484" s="505">
        <v>438985</v>
      </c>
      <c r="I484" s="505">
        <v>0</v>
      </c>
      <c r="J484" s="505">
        <v>0</v>
      </c>
      <c r="K484" s="505">
        <v>1004833</v>
      </c>
      <c r="L484" s="460"/>
      <c r="M484" s="505">
        <v>3805</v>
      </c>
      <c r="N484" s="505">
        <v>0</v>
      </c>
      <c r="O484" s="505">
        <v>0</v>
      </c>
      <c r="P484" s="505">
        <v>75997</v>
      </c>
      <c r="Q484" s="505">
        <v>79802</v>
      </c>
      <c r="R484" s="460"/>
      <c r="S484" s="505">
        <v>965986</v>
      </c>
      <c r="T484" s="505">
        <v>-42825</v>
      </c>
      <c r="U484" s="505">
        <v>923161</v>
      </c>
      <c r="W484" s="454">
        <v>5721935</v>
      </c>
      <c r="X484" s="454">
        <v>1178272</v>
      </c>
    </row>
    <row r="485" spans="1:24">
      <c r="A485" s="458">
        <v>95122</v>
      </c>
      <c r="B485" s="518" t="s">
        <v>1194</v>
      </c>
      <c r="C485" s="460">
        <f t="shared" si="8"/>
        <v>9.1899824359861293E-6</v>
      </c>
      <c r="D485" s="460">
        <f>VLOOKUP(A485,'2024 summary '!A485:C1391,3,FALSE)</f>
        <v>1.3910000000000001E-5</v>
      </c>
      <c r="E485" s="505">
        <v>61954</v>
      </c>
      <c r="F485" s="460"/>
      <c r="G485" s="505">
        <v>10857</v>
      </c>
      <c r="H485" s="505">
        <v>8423</v>
      </c>
      <c r="I485" s="505">
        <v>0</v>
      </c>
      <c r="J485" s="505">
        <v>6848</v>
      </c>
      <c r="K485" s="505">
        <v>26128</v>
      </c>
      <c r="L485" s="460"/>
      <c r="M485" s="505">
        <v>73</v>
      </c>
      <c r="N485" s="505">
        <v>0</v>
      </c>
      <c r="O485" s="505">
        <v>0</v>
      </c>
      <c r="P485" s="505">
        <v>20425</v>
      </c>
      <c r="Q485" s="505">
        <v>20498</v>
      </c>
      <c r="R485" s="460"/>
      <c r="S485" s="505">
        <v>18534</v>
      </c>
      <c r="T485" s="505">
        <v>-439</v>
      </c>
      <c r="U485" s="505">
        <v>18095</v>
      </c>
      <c r="W485" s="454">
        <v>109785</v>
      </c>
      <c r="X485" s="454">
        <v>22607</v>
      </c>
    </row>
    <row r="486" spans="1:24">
      <c r="A486" s="458">
        <v>95123</v>
      </c>
      <c r="B486" s="518" t="s">
        <v>1195</v>
      </c>
      <c r="C486" s="460">
        <f t="shared" si="8"/>
        <v>4.6870037773926541E-5</v>
      </c>
      <c r="D486" s="460">
        <f>VLOOKUP(A486,'2024 summary '!A486:C1392,3,FALSE)</f>
        <v>5.2750000000000001E-5</v>
      </c>
      <c r="E486" s="505">
        <v>315973</v>
      </c>
      <c r="F486" s="460"/>
      <c r="G486" s="505">
        <v>55370</v>
      </c>
      <c r="H486" s="505">
        <v>42956</v>
      </c>
      <c r="I486" s="505">
        <v>0</v>
      </c>
      <c r="J486" s="505">
        <v>1273</v>
      </c>
      <c r="K486" s="505">
        <v>99599</v>
      </c>
      <c r="L486" s="460"/>
      <c r="M486" s="505">
        <v>372</v>
      </c>
      <c r="N486" s="505">
        <v>0</v>
      </c>
      <c r="O486" s="505">
        <v>0</v>
      </c>
      <c r="P486" s="505">
        <v>27960</v>
      </c>
      <c r="Q486" s="505">
        <v>28332</v>
      </c>
      <c r="R486" s="460"/>
      <c r="S486" s="505">
        <v>94525</v>
      </c>
      <c r="T486" s="505">
        <v>-12506</v>
      </c>
      <c r="U486" s="505">
        <v>82019</v>
      </c>
      <c r="W486" s="454">
        <v>559913</v>
      </c>
      <c r="X486" s="454">
        <v>115298</v>
      </c>
    </row>
    <row r="487" spans="1:24">
      <c r="A487" s="458">
        <v>95131</v>
      </c>
      <c r="B487" s="518" t="s">
        <v>1196</v>
      </c>
      <c r="C487" s="460">
        <f t="shared" si="8"/>
        <v>2.2840099765401483E-3</v>
      </c>
      <c r="D487" s="460">
        <f>VLOOKUP(A487,'2024 summary '!A487:C1393,3,FALSE)</f>
        <v>2.1943800000000001E-3</v>
      </c>
      <c r="E487" s="505">
        <v>15397587</v>
      </c>
      <c r="F487" s="460"/>
      <c r="G487" s="505">
        <v>2698240</v>
      </c>
      <c r="H487" s="505">
        <v>2093293</v>
      </c>
      <c r="I487" s="505">
        <v>0</v>
      </c>
      <c r="J487" s="505">
        <v>429217</v>
      </c>
      <c r="K487" s="505">
        <v>5220750</v>
      </c>
      <c r="L487" s="460"/>
      <c r="M487" s="505">
        <v>18142</v>
      </c>
      <c r="N487" s="505">
        <v>0</v>
      </c>
      <c r="O487" s="505">
        <v>0</v>
      </c>
      <c r="P487" s="505">
        <v>134379</v>
      </c>
      <c r="Q487" s="505">
        <v>152521</v>
      </c>
      <c r="R487" s="460"/>
      <c r="S487" s="505">
        <v>4606291</v>
      </c>
      <c r="T487" s="505">
        <v>167052</v>
      </c>
      <c r="U487" s="505">
        <v>4773343</v>
      </c>
      <c r="W487" s="454">
        <v>27284975</v>
      </c>
      <c r="X487" s="454">
        <v>5618576</v>
      </c>
    </row>
    <row r="488" spans="1:24">
      <c r="A488" s="458">
        <v>95141</v>
      </c>
      <c r="B488" s="518" t="s">
        <v>1197</v>
      </c>
      <c r="C488" s="460">
        <f t="shared" si="8"/>
        <v>4.4874998409675718E-4</v>
      </c>
      <c r="D488" s="460">
        <f>VLOOKUP(A488,'2024 summary '!A488:C1394,3,FALSE)</f>
        <v>4.9932999999999998E-4</v>
      </c>
      <c r="E488" s="505">
        <v>3025235</v>
      </c>
      <c r="F488" s="460"/>
      <c r="G488" s="505">
        <v>530136</v>
      </c>
      <c r="H488" s="505">
        <v>411279</v>
      </c>
      <c r="I488" s="505">
        <v>0</v>
      </c>
      <c r="J488" s="505">
        <v>95936</v>
      </c>
      <c r="K488" s="505">
        <v>1037351</v>
      </c>
      <c r="L488" s="460"/>
      <c r="M488" s="505">
        <v>3564</v>
      </c>
      <c r="N488" s="505">
        <v>0</v>
      </c>
      <c r="O488" s="505">
        <v>0</v>
      </c>
      <c r="P488" s="505">
        <v>230918</v>
      </c>
      <c r="Q488" s="505">
        <v>234482</v>
      </c>
      <c r="R488" s="460"/>
      <c r="S488" s="505">
        <v>905019</v>
      </c>
      <c r="T488" s="505">
        <v>-29639</v>
      </c>
      <c r="U488" s="505">
        <v>875380</v>
      </c>
      <c r="W488" s="454">
        <v>5360805</v>
      </c>
      <c r="X488" s="454">
        <v>1103907</v>
      </c>
    </row>
    <row r="489" spans="1:24">
      <c r="A489" s="458">
        <v>95151</v>
      </c>
      <c r="B489" s="518" t="s">
        <v>1198</v>
      </c>
      <c r="C489" s="460">
        <f t="shared" si="8"/>
        <v>1.4627994414223832E-4</v>
      </c>
      <c r="D489" s="460">
        <f>VLOOKUP(A489,'2024 summary '!A489:C1395,3,FALSE)</f>
        <v>1.1661E-4</v>
      </c>
      <c r="E489" s="505">
        <v>986142</v>
      </c>
      <c r="F489" s="460"/>
      <c r="G489" s="505">
        <v>172809</v>
      </c>
      <c r="H489" s="505">
        <v>134065</v>
      </c>
      <c r="I489" s="505">
        <v>0</v>
      </c>
      <c r="J489" s="505">
        <v>77633</v>
      </c>
      <c r="K489" s="505">
        <v>384507</v>
      </c>
      <c r="L489" s="460"/>
      <c r="M489" s="505">
        <v>1162</v>
      </c>
      <c r="N489" s="505">
        <v>0</v>
      </c>
      <c r="O489" s="505">
        <v>0</v>
      </c>
      <c r="P489" s="505">
        <v>31077</v>
      </c>
      <c r="Q489" s="505">
        <v>32239</v>
      </c>
      <c r="R489" s="460"/>
      <c r="S489" s="505">
        <v>295011</v>
      </c>
      <c r="T489" s="505">
        <v>8650</v>
      </c>
      <c r="U489" s="505">
        <v>303661</v>
      </c>
      <c r="W489" s="454">
        <v>1747473</v>
      </c>
      <c r="X489" s="454">
        <v>359843</v>
      </c>
    </row>
    <row r="490" spans="1:24">
      <c r="A490" s="458">
        <v>95161</v>
      </c>
      <c r="B490" s="518" t="s">
        <v>1199</v>
      </c>
      <c r="C490" s="460">
        <f t="shared" si="8"/>
        <v>6.1659984972855313E-5</v>
      </c>
      <c r="D490" s="460">
        <f>VLOOKUP(A490,'2024 summary '!A490:C1396,3,FALSE)</f>
        <v>6.1569999999999995E-5</v>
      </c>
      <c r="E490" s="505">
        <v>415679</v>
      </c>
      <c r="F490" s="460"/>
      <c r="G490" s="505">
        <v>72843</v>
      </c>
      <c r="H490" s="505">
        <v>56511</v>
      </c>
      <c r="I490" s="505">
        <v>0</v>
      </c>
      <c r="J490" s="505">
        <v>23235</v>
      </c>
      <c r="K490" s="505">
        <v>152589</v>
      </c>
      <c r="L490" s="460"/>
      <c r="M490" s="505">
        <v>490</v>
      </c>
      <c r="N490" s="505">
        <v>0</v>
      </c>
      <c r="O490" s="505">
        <v>0</v>
      </c>
      <c r="P490" s="505">
        <v>22955</v>
      </c>
      <c r="Q490" s="505">
        <v>23445</v>
      </c>
      <c r="R490" s="460"/>
      <c r="S490" s="505">
        <v>124353</v>
      </c>
      <c r="T490" s="505">
        <v>-1299</v>
      </c>
      <c r="U490" s="505">
        <v>123054</v>
      </c>
      <c r="W490" s="454">
        <v>736596</v>
      </c>
      <c r="X490" s="454">
        <v>151681</v>
      </c>
    </row>
    <row r="491" spans="1:24">
      <c r="A491" s="458">
        <v>95171</v>
      </c>
      <c r="B491" s="518" t="s">
        <v>1200</v>
      </c>
      <c r="C491" s="460">
        <f t="shared" si="8"/>
        <v>1.0284995677140043E-4</v>
      </c>
      <c r="D491" s="460">
        <f>VLOOKUP(A491,'2024 summary '!A491:C1397,3,FALSE)</f>
        <v>6.8310000000000002E-5</v>
      </c>
      <c r="E491" s="505">
        <v>693360</v>
      </c>
      <c r="F491" s="460"/>
      <c r="G491" s="505">
        <v>121503</v>
      </c>
      <c r="H491" s="505">
        <v>94262</v>
      </c>
      <c r="I491" s="505">
        <v>0</v>
      </c>
      <c r="J491" s="505">
        <v>97998</v>
      </c>
      <c r="K491" s="505">
        <v>313763</v>
      </c>
      <c r="L491" s="460"/>
      <c r="M491" s="505">
        <v>817</v>
      </c>
      <c r="N491" s="505">
        <v>0</v>
      </c>
      <c r="O491" s="505">
        <v>0</v>
      </c>
      <c r="P491" s="505">
        <v>83273</v>
      </c>
      <c r="Q491" s="505">
        <v>84090</v>
      </c>
      <c r="R491" s="460"/>
      <c r="S491" s="505">
        <v>207423</v>
      </c>
      <c r="T491" s="505">
        <v>-12583</v>
      </c>
      <c r="U491" s="505">
        <v>194840</v>
      </c>
      <c r="W491" s="454">
        <v>1228655</v>
      </c>
      <c r="X491" s="454">
        <v>253007</v>
      </c>
    </row>
    <row r="492" spans="1:24">
      <c r="A492" s="458">
        <v>95181</v>
      </c>
      <c r="B492" s="518" t="s">
        <v>1201</v>
      </c>
      <c r="C492" s="460">
        <f t="shared" si="8"/>
        <v>7.6079983238779757E-5</v>
      </c>
      <c r="D492" s="460">
        <f>VLOOKUP(A492,'2024 summary '!A492:C1398,3,FALSE)</f>
        <v>7.9239999999999993E-5</v>
      </c>
      <c r="E492" s="505">
        <v>512891</v>
      </c>
      <c r="F492" s="460"/>
      <c r="G492" s="505">
        <v>89878</v>
      </c>
      <c r="H492" s="505">
        <v>69727</v>
      </c>
      <c r="I492" s="505">
        <v>0</v>
      </c>
      <c r="J492" s="505">
        <v>4729</v>
      </c>
      <c r="K492" s="505">
        <v>164334</v>
      </c>
      <c r="L492" s="460"/>
      <c r="M492" s="505">
        <v>604</v>
      </c>
      <c r="N492" s="505">
        <v>0</v>
      </c>
      <c r="O492" s="505">
        <v>0</v>
      </c>
      <c r="P492" s="505">
        <v>3830</v>
      </c>
      <c r="Q492" s="505">
        <v>4434</v>
      </c>
      <c r="R492" s="460"/>
      <c r="S492" s="505">
        <v>153435</v>
      </c>
      <c r="T492" s="505">
        <v>2905</v>
      </c>
      <c r="U492" s="505">
        <v>156340</v>
      </c>
      <c r="W492" s="454">
        <v>908858</v>
      </c>
      <c r="X492" s="454">
        <v>187154</v>
      </c>
    </row>
    <row r="493" spans="1:24">
      <c r="A493" s="458">
        <v>95191</v>
      </c>
      <c r="B493" s="518" t="s">
        <v>1202</v>
      </c>
      <c r="C493" s="460">
        <f t="shared" si="8"/>
        <v>1.2572997809106792E-4</v>
      </c>
      <c r="D493" s="460">
        <f>VLOOKUP(A493,'2024 summary '!A493:C1399,3,FALSE)</f>
        <v>1.3051E-4</v>
      </c>
      <c r="E493" s="505">
        <v>847605</v>
      </c>
      <c r="F493" s="460"/>
      <c r="G493" s="505">
        <v>148533</v>
      </c>
      <c r="H493" s="505">
        <v>115231</v>
      </c>
      <c r="I493" s="505">
        <v>0</v>
      </c>
      <c r="J493" s="505">
        <v>66650</v>
      </c>
      <c r="K493" s="505">
        <v>330414</v>
      </c>
      <c r="L493" s="460"/>
      <c r="M493" s="505">
        <v>999</v>
      </c>
      <c r="N493" s="505">
        <v>0</v>
      </c>
      <c r="O493" s="505">
        <v>0</v>
      </c>
      <c r="P493" s="505">
        <v>24012</v>
      </c>
      <c r="Q493" s="505">
        <v>25011</v>
      </c>
      <c r="R493" s="460"/>
      <c r="S493" s="505">
        <v>253567</v>
      </c>
      <c r="T493" s="505">
        <v>34343</v>
      </c>
      <c r="U493" s="505">
        <v>287910</v>
      </c>
      <c r="W493" s="454">
        <v>1501981</v>
      </c>
      <c r="X493" s="454">
        <v>309291</v>
      </c>
    </row>
    <row r="494" spans="1:24">
      <c r="A494" s="458">
        <v>95201</v>
      </c>
      <c r="B494" s="518" t="s">
        <v>1203</v>
      </c>
      <c r="C494" s="460">
        <f t="shared" si="8"/>
        <v>6.7295001433018847E-4</v>
      </c>
      <c r="D494" s="460">
        <f>VLOOKUP(A494,'2024 summary '!A494:C1400,3,FALSE)</f>
        <v>6.3064000000000002E-4</v>
      </c>
      <c r="E494" s="505">
        <v>4536673</v>
      </c>
      <c r="F494" s="460"/>
      <c r="G494" s="505">
        <v>794997</v>
      </c>
      <c r="H494" s="505">
        <v>616758</v>
      </c>
      <c r="I494" s="505">
        <v>0</v>
      </c>
      <c r="J494" s="505">
        <v>151233</v>
      </c>
      <c r="K494" s="505">
        <v>1562988</v>
      </c>
      <c r="L494" s="460"/>
      <c r="M494" s="505">
        <v>5345</v>
      </c>
      <c r="N494" s="505">
        <v>0</v>
      </c>
      <c r="O494" s="505">
        <v>0</v>
      </c>
      <c r="P494" s="505">
        <v>193178</v>
      </c>
      <c r="Q494" s="505">
        <v>198523</v>
      </c>
      <c r="R494" s="460"/>
      <c r="S494" s="505">
        <v>1357176</v>
      </c>
      <c r="T494" s="505">
        <v>-56488</v>
      </c>
      <c r="U494" s="505">
        <v>1300688</v>
      </c>
      <c r="W494" s="454">
        <v>8039117</v>
      </c>
      <c r="X494" s="454">
        <v>1655431</v>
      </c>
    </row>
    <row r="495" spans="1:24">
      <c r="A495" s="458">
        <v>95204</v>
      </c>
      <c r="B495" s="518" t="s">
        <v>1204</v>
      </c>
      <c r="C495" s="460">
        <f t="shared" si="8"/>
        <v>5.8300332453362622E-6</v>
      </c>
      <c r="D495" s="460">
        <f>VLOOKUP(A495,'2024 summary '!A495:C1401,3,FALSE)</f>
        <v>2.83E-6</v>
      </c>
      <c r="E495" s="505">
        <v>39303</v>
      </c>
      <c r="F495" s="460"/>
      <c r="G495" s="505">
        <v>6887</v>
      </c>
      <c r="H495" s="505">
        <v>5343</v>
      </c>
      <c r="I495" s="505">
        <v>0</v>
      </c>
      <c r="J495" s="505">
        <v>13378</v>
      </c>
      <c r="K495" s="505">
        <v>25608</v>
      </c>
      <c r="L495" s="460"/>
      <c r="M495" s="505">
        <v>46</v>
      </c>
      <c r="N495" s="505">
        <v>0</v>
      </c>
      <c r="O495" s="505">
        <v>0</v>
      </c>
      <c r="P495" s="505">
        <v>1370</v>
      </c>
      <c r="Q495" s="505">
        <v>1416</v>
      </c>
      <c r="R495" s="460"/>
      <c r="S495" s="505">
        <v>11758</v>
      </c>
      <c r="T495" s="505">
        <v>1939</v>
      </c>
      <c r="U495" s="505">
        <v>13697</v>
      </c>
      <c r="W495" s="454">
        <v>69646</v>
      </c>
      <c r="X495" s="454">
        <v>14342</v>
      </c>
    </row>
    <row r="496" spans="1:24">
      <c r="A496" s="458">
        <v>95205</v>
      </c>
      <c r="B496" s="518" t="s">
        <v>1205</v>
      </c>
      <c r="C496" s="460">
        <f t="shared" si="8"/>
        <v>4.3499408421618174E-6</v>
      </c>
      <c r="D496" s="460">
        <f>VLOOKUP(A496,'2024 summary '!A496:C1402,3,FALSE)</f>
        <v>4.4399999999999998E-6</v>
      </c>
      <c r="E496" s="505">
        <v>29325</v>
      </c>
      <c r="F496" s="460"/>
      <c r="G496" s="505">
        <v>5139</v>
      </c>
      <c r="H496" s="505">
        <v>3987</v>
      </c>
      <c r="I496" s="505">
        <v>0</v>
      </c>
      <c r="J496" s="505">
        <v>7079</v>
      </c>
      <c r="K496" s="505">
        <v>16205</v>
      </c>
      <c r="L496" s="460"/>
      <c r="M496" s="505">
        <v>35</v>
      </c>
      <c r="N496" s="505">
        <v>0</v>
      </c>
      <c r="O496" s="505">
        <v>0</v>
      </c>
      <c r="P496" s="505">
        <v>3569</v>
      </c>
      <c r="Q496" s="505">
        <v>3604</v>
      </c>
      <c r="R496" s="460"/>
      <c r="S496" s="505">
        <v>8773</v>
      </c>
      <c r="T496" s="505">
        <v>1742</v>
      </c>
      <c r="U496" s="505">
        <v>10515</v>
      </c>
      <c r="W496" s="454">
        <v>51965</v>
      </c>
      <c r="X496" s="454">
        <v>10701</v>
      </c>
    </row>
    <row r="497" spans="1:24">
      <c r="A497" s="458">
        <v>95211</v>
      </c>
      <c r="B497" s="518" t="s">
        <v>1206</v>
      </c>
      <c r="C497" s="460">
        <f t="shared" si="8"/>
        <v>1.3400636169851614E-6</v>
      </c>
      <c r="D497" s="460">
        <f>VLOOKUP(A497,'2024 summary '!A497:C1403,3,FALSE)</f>
        <v>1.4699999999999999E-6</v>
      </c>
      <c r="E497" s="505">
        <v>9034</v>
      </c>
      <c r="F497" s="460"/>
      <c r="G497" s="505">
        <v>1583</v>
      </c>
      <c r="H497" s="505">
        <v>1228</v>
      </c>
      <c r="I497" s="505">
        <v>0</v>
      </c>
      <c r="J497" s="505">
        <v>1884</v>
      </c>
      <c r="K497" s="505">
        <v>4695</v>
      </c>
      <c r="L497" s="460"/>
      <c r="M497" s="505">
        <v>11</v>
      </c>
      <c r="N497" s="505">
        <v>0</v>
      </c>
      <c r="O497" s="505">
        <v>0</v>
      </c>
      <c r="P497" s="505">
        <v>251</v>
      </c>
      <c r="Q497" s="505">
        <v>262</v>
      </c>
      <c r="R497" s="460"/>
      <c r="S497" s="505">
        <v>2702</v>
      </c>
      <c r="T497" s="505">
        <v>1055</v>
      </c>
      <c r="U497" s="505">
        <v>3757</v>
      </c>
      <c r="W497" s="454">
        <v>16008</v>
      </c>
      <c r="X497" s="454">
        <v>3296</v>
      </c>
    </row>
    <row r="498" spans="1:24">
      <c r="A498" s="458">
        <v>95221</v>
      </c>
      <c r="B498" s="518" t="s">
        <v>1207</v>
      </c>
      <c r="C498" s="460">
        <f t="shared" si="8"/>
        <v>5.1299931492948555E-5</v>
      </c>
      <c r="D498" s="460">
        <f>VLOOKUP(A498,'2024 summary '!A498:C1404,3,FALSE)</f>
        <v>3.2509999999999999E-5</v>
      </c>
      <c r="E498" s="505">
        <v>345837</v>
      </c>
      <c r="F498" s="460"/>
      <c r="G498" s="505">
        <v>60604</v>
      </c>
      <c r="H498" s="505">
        <v>47016</v>
      </c>
      <c r="I498" s="505">
        <v>0</v>
      </c>
      <c r="J498" s="505">
        <v>57299</v>
      </c>
      <c r="K498" s="505">
        <v>164919</v>
      </c>
      <c r="L498" s="460"/>
      <c r="M498" s="505">
        <v>407</v>
      </c>
      <c r="N498" s="505">
        <v>0</v>
      </c>
      <c r="O498" s="505">
        <v>0</v>
      </c>
      <c r="P498" s="505">
        <v>24441</v>
      </c>
      <c r="Q498" s="505">
        <v>24848</v>
      </c>
      <c r="R498" s="460"/>
      <c r="S498" s="505">
        <v>103460</v>
      </c>
      <c r="T498" s="505">
        <v>9248</v>
      </c>
      <c r="U498" s="505">
        <v>112708</v>
      </c>
      <c r="W498" s="454">
        <v>612834</v>
      </c>
      <c r="X498" s="454">
        <v>126196</v>
      </c>
    </row>
    <row r="499" spans="1:24">
      <c r="A499" s="458">
        <v>95301</v>
      </c>
      <c r="B499" s="518" t="s">
        <v>1208</v>
      </c>
      <c r="C499" s="460">
        <f t="shared" si="8"/>
        <v>2.6141100397119544E-3</v>
      </c>
      <c r="D499" s="460">
        <f>VLOOKUP(A499,'2024 summary '!A499:C1405,3,FALSE)</f>
        <v>2.3659100000000001E-3</v>
      </c>
      <c r="E499" s="505">
        <v>17622947</v>
      </c>
      <c r="F499" s="460"/>
      <c r="G499" s="505">
        <v>3088208</v>
      </c>
      <c r="H499" s="505">
        <v>2395829</v>
      </c>
      <c r="I499" s="505">
        <v>0</v>
      </c>
      <c r="J499" s="505">
        <v>930251</v>
      </c>
      <c r="K499" s="505">
        <v>6414288</v>
      </c>
      <c r="L499" s="460"/>
      <c r="M499" s="505">
        <v>20764</v>
      </c>
      <c r="N499" s="505">
        <v>0</v>
      </c>
      <c r="O499" s="505">
        <v>0</v>
      </c>
      <c r="P499" s="505">
        <v>28585</v>
      </c>
      <c r="Q499" s="505">
        <v>49349</v>
      </c>
      <c r="R499" s="460"/>
      <c r="S499" s="505">
        <v>5272022</v>
      </c>
      <c r="T499" s="505">
        <v>411032</v>
      </c>
      <c r="U499" s="505">
        <v>5683054</v>
      </c>
      <c r="W499" s="454">
        <v>31228378</v>
      </c>
      <c r="X499" s="454">
        <v>6430609</v>
      </c>
    </row>
    <row r="500" spans="1:24">
      <c r="A500" s="458">
        <v>95311</v>
      </c>
      <c r="B500" s="518" t="s">
        <v>1209</v>
      </c>
      <c r="C500" s="460">
        <f t="shared" si="8"/>
        <v>2.2310599600709607E-3</v>
      </c>
      <c r="D500" s="460">
        <f>VLOOKUP(A500,'2024 summary '!A500:C1406,3,FALSE)</f>
        <v>2.2292800000000002E-3</v>
      </c>
      <c r="E500" s="505">
        <v>15040626</v>
      </c>
      <c r="F500" s="460"/>
      <c r="G500" s="505">
        <v>2635687</v>
      </c>
      <c r="H500" s="505">
        <v>2044764</v>
      </c>
      <c r="I500" s="505">
        <v>0</v>
      </c>
      <c r="J500" s="505">
        <v>500062</v>
      </c>
      <c r="K500" s="505">
        <v>5180513</v>
      </c>
      <c r="L500" s="460"/>
      <c r="M500" s="505">
        <v>17721</v>
      </c>
      <c r="N500" s="505">
        <v>0</v>
      </c>
      <c r="O500" s="505">
        <v>0</v>
      </c>
      <c r="P500" s="505">
        <v>203522</v>
      </c>
      <c r="Q500" s="505">
        <v>221243</v>
      </c>
      <c r="R500" s="460"/>
      <c r="S500" s="505">
        <v>4499504</v>
      </c>
      <c r="T500" s="505">
        <v>94587</v>
      </c>
      <c r="U500" s="505">
        <v>4594091</v>
      </c>
      <c r="W500" s="454">
        <v>26652430</v>
      </c>
      <c r="X500" s="454">
        <v>5488321</v>
      </c>
    </row>
    <row r="501" spans="1:24">
      <c r="A501" s="458">
        <v>95317</v>
      </c>
      <c r="B501" s="518" t="s">
        <v>1210</v>
      </c>
      <c r="C501" s="460">
        <f t="shared" si="8"/>
        <v>5.7249968221364405E-5</v>
      </c>
      <c r="D501" s="460">
        <f>VLOOKUP(A501,'2024 summary '!A501:C1407,3,FALSE)</f>
        <v>4.1980000000000001E-5</v>
      </c>
      <c r="E501" s="505">
        <v>385949</v>
      </c>
      <c r="F501" s="460"/>
      <c r="G501" s="505">
        <v>67633</v>
      </c>
      <c r="H501" s="505">
        <v>52470</v>
      </c>
      <c r="I501" s="505">
        <v>0</v>
      </c>
      <c r="J501" s="505">
        <v>84062</v>
      </c>
      <c r="K501" s="505">
        <v>204165</v>
      </c>
      <c r="L501" s="460"/>
      <c r="M501" s="505">
        <v>455</v>
      </c>
      <c r="N501" s="505">
        <v>0</v>
      </c>
      <c r="O501" s="505">
        <v>0</v>
      </c>
      <c r="P501" s="505">
        <v>5121</v>
      </c>
      <c r="Q501" s="505">
        <v>5576</v>
      </c>
      <c r="R501" s="460"/>
      <c r="S501" s="505">
        <v>115459</v>
      </c>
      <c r="T501" s="505">
        <v>36540</v>
      </c>
      <c r="U501" s="505">
        <v>151999</v>
      </c>
      <c r="W501" s="454">
        <v>683913</v>
      </c>
      <c r="X501" s="454">
        <v>140833</v>
      </c>
    </row>
    <row r="502" spans="1:24">
      <c r="A502" s="458">
        <v>95321</v>
      </c>
      <c r="B502" s="518" t="s">
        <v>1211</v>
      </c>
      <c r="C502" s="460">
        <f t="shared" si="8"/>
        <v>5.8429977749050587E-5</v>
      </c>
      <c r="D502" s="460">
        <f>VLOOKUP(A502,'2024 summary '!A502:C1408,3,FALSE)</f>
        <v>5.5630000000000001E-5</v>
      </c>
      <c r="E502" s="505">
        <v>393904</v>
      </c>
      <c r="F502" s="460"/>
      <c r="G502" s="505">
        <v>69027</v>
      </c>
      <c r="H502" s="505">
        <v>53551</v>
      </c>
      <c r="I502" s="505">
        <v>0</v>
      </c>
      <c r="J502" s="505">
        <v>29406</v>
      </c>
      <c r="K502" s="505">
        <v>151984</v>
      </c>
      <c r="L502" s="460"/>
      <c r="M502" s="505">
        <v>464</v>
      </c>
      <c r="N502" s="505">
        <v>0</v>
      </c>
      <c r="O502" s="505">
        <v>0</v>
      </c>
      <c r="P502" s="505">
        <v>681</v>
      </c>
      <c r="Q502" s="505">
        <v>1145</v>
      </c>
      <c r="R502" s="460"/>
      <c r="S502" s="505">
        <v>117839</v>
      </c>
      <c r="T502" s="505">
        <v>16926</v>
      </c>
      <c r="U502" s="505">
        <v>134765</v>
      </c>
      <c r="W502" s="454">
        <v>698010</v>
      </c>
      <c r="X502" s="454">
        <v>143736</v>
      </c>
    </row>
    <row r="503" spans="1:24">
      <c r="A503" s="458">
        <v>95401</v>
      </c>
      <c r="B503" s="518" t="s">
        <v>1212</v>
      </c>
      <c r="C503" s="460">
        <f t="shared" si="8"/>
        <v>2.307480076791448E-3</v>
      </c>
      <c r="D503" s="460">
        <f>VLOOKUP(A503,'2024 summary '!A503:C1409,3,FALSE)</f>
        <v>2.2009299999999998E-3</v>
      </c>
      <c r="E503" s="505">
        <v>15555810</v>
      </c>
      <c r="F503" s="460"/>
      <c r="G503" s="505">
        <v>2725967</v>
      </c>
      <c r="H503" s="505">
        <v>2114803</v>
      </c>
      <c r="I503" s="505">
        <v>0</v>
      </c>
      <c r="J503" s="505">
        <v>265159</v>
      </c>
      <c r="K503" s="505">
        <v>5105929</v>
      </c>
      <c r="L503" s="460"/>
      <c r="M503" s="505">
        <v>18328</v>
      </c>
      <c r="N503" s="505">
        <v>0</v>
      </c>
      <c r="O503" s="505">
        <v>0</v>
      </c>
      <c r="P503" s="505">
        <v>387893</v>
      </c>
      <c r="Q503" s="505">
        <v>406221</v>
      </c>
      <c r="R503" s="460"/>
      <c r="S503" s="505">
        <v>4653624</v>
      </c>
      <c r="T503" s="505">
        <v>-211652</v>
      </c>
      <c r="U503" s="505">
        <v>4441972</v>
      </c>
      <c r="W503" s="454">
        <v>27565350</v>
      </c>
      <c r="X503" s="454">
        <v>5676311</v>
      </c>
    </row>
    <row r="504" spans="1:24">
      <c r="A504" s="458">
        <v>95404</v>
      </c>
      <c r="B504" s="518" t="s">
        <v>1213</v>
      </c>
      <c r="C504" s="460">
        <f t="shared" si="8"/>
        <v>5.5790049456878249E-5</v>
      </c>
      <c r="D504" s="460">
        <f>VLOOKUP(A504,'2024 summary '!A504:C1410,3,FALSE)</f>
        <v>4.3869999999999998E-5</v>
      </c>
      <c r="E504" s="505">
        <v>376107</v>
      </c>
      <c r="F504" s="460"/>
      <c r="G504" s="505">
        <v>65908</v>
      </c>
      <c r="H504" s="505">
        <v>51131</v>
      </c>
      <c r="I504" s="505">
        <v>0</v>
      </c>
      <c r="J504" s="505">
        <v>38591</v>
      </c>
      <c r="K504" s="505">
        <v>155630</v>
      </c>
      <c r="L504" s="460"/>
      <c r="M504" s="505">
        <v>443</v>
      </c>
      <c r="N504" s="505">
        <v>0</v>
      </c>
      <c r="O504" s="505">
        <v>0</v>
      </c>
      <c r="P504" s="505">
        <v>7486</v>
      </c>
      <c r="Q504" s="505">
        <v>7929</v>
      </c>
      <c r="R504" s="460"/>
      <c r="S504" s="505">
        <v>112515</v>
      </c>
      <c r="T504" s="505">
        <v>6872</v>
      </c>
      <c r="U504" s="505">
        <v>119387</v>
      </c>
      <c r="W504" s="454">
        <v>666472</v>
      </c>
      <c r="X504" s="454">
        <v>137241</v>
      </c>
    </row>
    <row r="505" spans="1:24">
      <c r="A505" s="458">
        <v>95405</v>
      </c>
      <c r="B505" s="518" t="s">
        <v>1214</v>
      </c>
      <c r="C505" s="460">
        <f t="shared" si="8"/>
        <v>3.8480029113278138E-5</v>
      </c>
      <c r="D505" s="460">
        <f>VLOOKUP(A505,'2024 summary '!A505:C1411,3,FALSE)</f>
        <v>4.3680000000000002E-5</v>
      </c>
      <c r="E505" s="505">
        <v>259412</v>
      </c>
      <c r="F505" s="460"/>
      <c r="G505" s="505">
        <v>45459</v>
      </c>
      <c r="H505" s="505">
        <v>35267</v>
      </c>
      <c r="I505" s="505">
        <v>0</v>
      </c>
      <c r="J505" s="505">
        <v>1080</v>
      </c>
      <c r="K505" s="505">
        <v>81806</v>
      </c>
      <c r="L505" s="460"/>
      <c r="M505" s="505">
        <v>306</v>
      </c>
      <c r="N505" s="505">
        <v>0</v>
      </c>
      <c r="O505" s="505">
        <v>0</v>
      </c>
      <c r="P505" s="505">
        <v>36295</v>
      </c>
      <c r="Q505" s="505">
        <v>36601</v>
      </c>
      <c r="R505" s="460"/>
      <c r="S505" s="505">
        <v>77605</v>
      </c>
      <c r="T505" s="505">
        <v>-17136</v>
      </c>
      <c r="U505" s="505">
        <v>60469</v>
      </c>
      <c r="W505" s="454">
        <v>459685</v>
      </c>
      <c r="X505" s="454">
        <v>94659</v>
      </c>
    </row>
    <row r="506" spans="1:24">
      <c r="A506" s="458">
        <v>95411</v>
      </c>
      <c r="B506" s="518" t="s">
        <v>1215</v>
      </c>
      <c r="C506" s="460">
        <f t="shared" si="8"/>
        <v>1.8764800763643901E-3</v>
      </c>
      <c r="D506" s="460">
        <f>VLOOKUP(A506,'2024 summary '!A506:C1412,3,FALSE)</f>
        <v>1.94016E-3</v>
      </c>
      <c r="E506" s="505">
        <v>12650236</v>
      </c>
      <c r="F506" s="460"/>
      <c r="G506" s="505">
        <v>2216800</v>
      </c>
      <c r="H506" s="505">
        <v>1719792</v>
      </c>
      <c r="I506" s="505">
        <v>0</v>
      </c>
      <c r="J506" s="505">
        <v>44590</v>
      </c>
      <c r="K506" s="505">
        <v>3981182</v>
      </c>
      <c r="L506" s="460"/>
      <c r="M506" s="505">
        <v>14905</v>
      </c>
      <c r="N506" s="505">
        <v>0</v>
      </c>
      <c r="O506" s="505">
        <v>0</v>
      </c>
      <c r="P506" s="505">
        <v>388691</v>
      </c>
      <c r="Q506" s="505">
        <v>403596</v>
      </c>
      <c r="R506" s="460"/>
      <c r="S506" s="505">
        <v>3784402</v>
      </c>
      <c r="T506" s="505">
        <v>-133959</v>
      </c>
      <c r="U506" s="505">
        <v>3650443</v>
      </c>
      <c r="W506" s="454">
        <v>22416588</v>
      </c>
      <c r="X506" s="454">
        <v>4616068</v>
      </c>
    </row>
    <row r="507" spans="1:24">
      <c r="A507" s="458">
        <v>95413</v>
      </c>
      <c r="B507" s="518" t="s">
        <v>1217</v>
      </c>
      <c r="C507" s="460">
        <f t="shared" si="8"/>
        <v>2.1615994520267749E-4</v>
      </c>
      <c r="D507" s="460">
        <f>VLOOKUP(A507,'2024 summary '!A507:C1413,3,FALSE)</f>
        <v>2.3954E-4</v>
      </c>
      <c r="E507" s="505">
        <v>1457236</v>
      </c>
      <c r="F507" s="460"/>
      <c r="G507" s="505">
        <v>255363</v>
      </c>
      <c r="H507" s="505">
        <v>198110</v>
      </c>
      <c r="I507" s="505">
        <v>0</v>
      </c>
      <c r="J507" s="505">
        <v>14265</v>
      </c>
      <c r="K507" s="505">
        <v>467738</v>
      </c>
      <c r="L507" s="460"/>
      <c r="M507" s="505">
        <v>1717</v>
      </c>
      <c r="N507" s="505">
        <v>0</v>
      </c>
      <c r="O507" s="505">
        <v>0</v>
      </c>
      <c r="P507" s="505">
        <v>91536</v>
      </c>
      <c r="Q507" s="505">
        <v>93253</v>
      </c>
      <c r="R507" s="460"/>
      <c r="S507" s="505">
        <v>435942</v>
      </c>
      <c r="T507" s="505">
        <v>-32117</v>
      </c>
      <c r="U507" s="505">
        <v>403825</v>
      </c>
      <c r="W507" s="454">
        <v>2582266</v>
      </c>
      <c r="X507" s="454">
        <v>531745</v>
      </c>
    </row>
    <row r="508" spans="1:24">
      <c r="A508" s="458">
        <v>95415</v>
      </c>
      <c r="B508" s="518" t="s">
        <v>1218</v>
      </c>
      <c r="C508" s="460">
        <f t="shared" si="8"/>
        <v>4.5509948853831682E-5</v>
      </c>
      <c r="D508" s="460">
        <f>VLOOKUP(A508,'2024 summary '!A508:C1414,3,FALSE)</f>
        <v>6.0770000000000003E-5</v>
      </c>
      <c r="E508" s="505">
        <v>306804</v>
      </c>
      <c r="F508" s="460"/>
      <c r="G508" s="505">
        <v>53764</v>
      </c>
      <c r="H508" s="505">
        <v>41710</v>
      </c>
      <c r="I508" s="505">
        <v>0</v>
      </c>
      <c r="J508" s="505">
        <v>7161</v>
      </c>
      <c r="K508" s="505">
        <v>102635</v>
      </c>
      <c r="L508" s="460"/>
      <c r="M508" s="505">
        <v>361</v>
      </c>
      <c r="N508" s="505">
        <v>0</v>
      </c>
      <c r="O508" s="505">
        <v>0</v>
      </c>
      <c r="P508" s="505">
        <v>62072</v>
      </c>
      <c r="Q508" s="505">
        <v>62433</v>
      </c>
      <c r="R508" s="460"/>
      <c r="S508" s="505">
        <v>91783</v>
      </c>
      <c r="T508" s="505">
        <v>-20387</v>
      </c>
      <c r="U508" s="505">
        <v>71396</v>
      </c>
      <c r="W508" s="454">
        <v>543666</v>
      </c>
      <c r="X508" s="454">
        <v>111953</v>
      </c>
    </row>
    <row r="509" spans="1:24" s="473" customFormat="1" ht="15">
      <c r="A509" s="530">
        <v>95416</v>
      </c>
      <c r="B509" s="531" t="s">
        <v>3786</v>
      </c>
      <c r="C509" s="460">
        <f t="shared" si="8"/>
        <v>9.6600578845389257E-6</v>
      </c>
      <c r="D509" s="460">
        <v>0</v>
      </c>
      <c r="E509" s="527">
        <v>65123</v>
      </c>
      <c r="F509" s="527"/>
      <c r="G509" s="505">
        <v>11412</v>
      </c>
      <c r="H509" s="505">
        <v>8853</v>
      </c>
      <c r="I509" s="505">
        <v>0</v>
      </c>
      <c r="J509" s="505">
        <v>31892</v>
      </c>
      <c r="K509" s="505">
        <v>52157</v>
      </c>
      <c r="L509" s="528"/>
      <c r="M509" s="505">
        <v>77</v>
      </c>
      <c r="N509" s="505">
        <v>0</v>
      </c>
      <c r="O509" s="505">
        <v>0</v>
      </c>
      <c r="P509" s="505">
        <v>0</v>
      </c>
      <c r="Q509" s="505">
        <v>77</v>
      </c>
      <c r="R509" s="528"/>
      <c r="S509" s="505">
        <v>19482</v>
      </c>
      <c r="T509" s="505">
        <v>10631</v>
      </c>
      <c r="U509" s="505">
        <v>30113</v>
      </c>
      <c r="W509" s="454">
        <v>115399</v>
      </c>
      <c r="X509" s="454">
        <v>23763</v>
      </c>
    </row>
    <row r="510" spans="1:24">
      <c r="A510" s="458">
        <v>95421</v>
      </c>
      <c r="B510" s="518" t="s">
        <v>1219</v>
      </c>
      <c r="C510" s="460">
        <f t="shared" si="8"/>
        <v>1.5919967636630004E-5</v>
      </c>
      <c r="D510" s="460">
        <f>VLOOKUP(A510,'2024 summary '!A510:C1416,3,FALSE)</f>
        <v>3.2190000000000002E-5</v>
      </c>
      <c r="E510" s="505">
        <v>107324</v>
      </c>
      <c r="F510" s="460"/>
      <c r="G510" s="505">
        <v>18807</v>
      </c>
      <c r="H510" s="505">
        <v>14591</v>
      </c>
      <c r="I510" s="505">
        <v>0</v>
      </c>
      <c r="J510" s="505">
        <v>8794</v>
      </c>
      <c r="K510" s="505">
        <v>42192</v>
      </c>
      <c r="L510" s="460"/>
      <c r="M510" s="505">
        <v>126</v>
      </c>
      <c r="N510" s="505">
        <v>0</v>
      </c>
      <c r="O510" s="505">
        <v>0</v>
      </c>
      <c r="P510" s="505">
        <v>62667</v>
      </c>
      <c r="Q510" s="505">
        <v>62793</v>
      </c>
      <c r="R510" s="460"/>
      <c r="S510" s="505">
        <v>32107</v>
      </c>
      <c r="T510" s="505">
        <v>-14357</v>
      </c>
      <c r="U510" s="505">
        <v>17750</v>
      </c>
      <c r="W510" s="454">
        <v>190182</v>
      </c>
      <c r="X510" s="454">
        <v>39163</v>
      </c>
    </row>
    <row r="511" spans="1:24">
      <c r="A511" s="458">
        <v>95431</v>
      </c>
      <c r="B511" s="518" t="s">
        <v>1220</v>
      </c>
      <c r="C511" s="460">
        <f t="shared" si="8"/>
        <v>1.0619996747828475E-4</v>
      </c>
      <c r="D511" s="460">
        <f>VLOOKUP(A511,'2024 summary '!A511:C1417,3,FALSE)</f>
        <v>1.1739999999999999E-4</v>
      </c>
      <c r="E511" s="505">
        <v>715944</v>
      </c>
      <c r="F511" s="460"/>
      <c r="G511" s="505">
        <v>125461</v>
      </c>
      <c r="H511" s="505">
        <v>97332</v>
      </c>
      <c r="I511" s="505">
        <v>0</v>
      </c>
      <c r="J511" s="505">
        <v>86514</v>
      </c>
      <c r="K511" s="505">
        <v>309307</v>
      </c>
      <c r="L511" s="460"/>
      <c r="M511" s="505">
        <v>844</v>
      </c>
      <c r="N511" s="505">
        <v>0</v>
      </c>
      <c r="O511" s="505">
        <v>0</v>
      </c>
      <c r="P511" s="505">
        <v>70090</v>
      </c>
      <c r="Q511" s="505">
        <v>70934</v>
      </c>
      <c r="R511" s="460"/>
      <c r="S511" s="505">
        <v>214179</v>
      </c>
      <c r="T511" s="505">
        <v>11830</v>
      </c>
      <c r="U511" s="505">
        <v>226009</v>
      </c>
      <c r="W511" s="454">
        <v>1268674</v>
      </c>
      <c r="X511" s="454">
        <v>261248</v>
      </c>
    </row>
    <row r="512" spans="1:24">
      <c r="A512" s="458">
        <v>95501</v>
      </c>
      <c r="B512" s="518" t="s">
        <v>1221</v>
      </c>
      <c r="C512" s="460">
        <f t="shared" si="8"/>
        <v>5.1225499666323494E-3</v>
      </c>
      <c r="D512" s="460">
        <f>VLOOKUP(A512,'2024 summary '!A512:C1418,3,FALSE)</f>
        <v>5.6636400000000002E-3</v>
      </c>
      <c r="E512" s="505">
        <v>34533522</v>
      </c>
      <c r="F512" s="460"/>
      <c r="G512" s="505">
        <v>6051581</v>
      </c>
      <c r="H512" s="505">
        <v>4694812</v>
      </c>
      <c r="I512" s="505">
        <v>0</v>
      </c>
      <c r="J512" s="505">
        <v>436191</v>
      </c>
      <c r="K512" s="505">
        <v>11182584</v>
      </c>
      <c r="L512" s="460"/>
      <c r="M512" s="505">
        <v>40688</v>
      </c>
      <c r="N512" s="505">
        <v>0</v>
      </c>
      <c r="O512" s="505">
        <v>0</v>
      </c>
      <c r="P512" s="505">
        <v>1691285</v>
      </c>
      <c r="Q512" s="505">
        <v>1731973</v>
      </c>
      <c r="R512" s="460"/>
      <c r="S512" s="505">
        <v>10330933</v>
      </c>
      <c r="T512" s="505">
        <v>-356235</v>
      </c>
      <c r="U512" s="505">
        <v>9974698</v>
      </c>
      <c r="W512" s="454">
        <v>61194413</v>
      </c>
      <c r="X512" s="454">
        <v>12601273</v>
      </c>
    </row>
    <row r="513" spans="1:24">
      <c r="A513" s="458">
        <v>95504</v>
      </c>
      <c r="B513" s="518" t="s">
        <v>1222</v>
      </c>
      <c r="C513" s="460">
        <f t="shared" si="8"/>
        <v>3.0840005137982504E-5</v>
      </c>
      <c r="D513" s="460">
        <f>VLOOKUP(A513,'2024 summary '!A513:C1419,3,FALSE)</f>
        <v>3.0899999999999999E-5</v>
      </c>
      <c r="E513" s="505">
        <v>207907</v>
      </c>
      <c r="F513" s="460"/>
      <c r="G513" s="505">
        <v>36433</v>
      </c>
      <c r="H513" s="505">
        <v>28265</v>
      </c>
      <c r="I513" s="505">
        <v>0</v>
      </c>
      <c r="J513" s="505">
        <v>10374</v>
      </c>
      <c r="K513" s="505">
        <v>75072</v>
      </c>
      <c r="L513" s="460"/>
      <c r="M513" s="505">
        <v>245</v>
      </c>
      <c r="N513" s="505">
        <v>0</v>
      </c>
      <c r="O513" s="505">
        <v>0</v>
      </c>
      <c r="P513" s="505">
        <v>2250</v>
      </c>
      <c r="Q513" s="505">
        <v>2495</v>
      </c>
      <c r="R513" s="460"/>
      <c r="S513" s="505">
        <v>62197</v>
      </c>
      <c r="T513" s="505">
        <v>11649</v>
      </c>
      <c r="U513" s="505">
        <v>73846</v>
      </c>
      <c r="W513" s="454">
        <v>368417</v>
      </c>
      <c r="X513" s="454">
        <v>75865</v>
      </c>
    </row>
    <row r="514" spans="1:24">
      <c r="A514" s="458">
        <v>95511</v>
      </c>
      <c r="B514" s="518" t="s">
        <v>1223</v>
      </c>
      <c r="C514" s="460">
        <f t="shared" si="8"/>
        <v>1.0415099329765848E-3</v>
      </c>
      <c r="D514" s="460">
        <f>VLOOKUP(A514,'2024 summary '!A514:C1420,3,FALSE)</f>
        <v>1.1026899999999999E-3</v>
      </c>
      <c r="E514" s="505">
        <v>7021309</v>
      </c>
      <c r="F514" s="460"/>
      <c r="G514" s="505">
        <v>1230399</v>
      </c>
      <c r="H514" s="505">
        <v>954543</v>
      </c>
      <c r="I514" s="505">
        <v>0</v>
      </c>
      <c r="J514" s="505">
        <v>58481</v>
      </c>
      <c r="K514" s="505">
        <v>2243423</v>
      </c>
      <c r="L514" s="460"/>
      <c r="M514" s="505">
        <v>8273</v>
      </c>
      <c r="N514" s="505">
        <v>0</v>
      </c>
      <c r="O514" s="505">
        <v>0</v>
      </c>
      <c r="P514" s="505">
        <v>217396</v>
      </c>
      <c r="Q514" s="505">
        <v>225669</v>
      </c>
      <c r="R514" s="460"/>
      <c r="S514" s="505">
        <v>2100472</v>
      </c>
      <c r="T514" s="505">
        <v>-14382</v>
      </c>
      <c r="U514" s="505">
        <v>2086090</v>
      </c>
      <c r="W514" s="454">
        <v>12441966</v>
      </c>
      <c r="X514" s="454">
        <v>2562074</v>
      </c>
    </row>
    <row r="515" spans="1:24">
      <c r="A515" s="458">
        <v>95513</v>
      </c>
      <c r="B515" s="518" t="s">
        <v>1224</v>
      </c>
      <c r="C515" s="460">
        <f t="shared" si="8"/>
        <v>4.8759981380746103E-5</v>
      </c>
      <c r="D515" s="460">
        <f>VLOOKUP(A515,'2024 summary '!A515:C1421,3,FALSE)</f>
        <v>4.7379999999999997E-5</v>
      </c>
      <c r="E515" s="505">
        <v>328714</v>
      </c>
      <c r="F515" s="460"/>
      <c r="G515" s="505">
        <v>57603</v>
      </c>
      <c r="H515" s="505">
        <v>44688</v>
      </c>
      <c r="I515" s="505">
        <v>0</v>
      </c>
      <c r="J515" s="505">
        <v>23006</v>
      </c>
      <c r="K515" s="505">
        <v>125297</v>
      </c>
      <c r="L515" s="460"/>
      <c r="M515" s="505">
        <v>387</v>
      </c>
      <c r="N515" s="505">
        <v>0</v>
      </c>
      <c r="O515" s="505">
        <v>0</v>
      </c>
      <c r="P515" s="505">
        <v>8415</v>
      </c>
      <c r="Q515" s="505">
        <v>8802</v>
      </c>
      <c r="R515" s="460"/>
      <c r="S515" s="505">
        <v>98337</v>
      </c>
      <c r="T515" s="505">
        <v>13105</v>
      </c>
      <c r="U515" s="505">
        <v>111442</v>
      </c>
      <c r="W515" s="454">
        <v>582491</v>
      </c>
      <c r="X515" s="454">
        <v>119948</v>
      </c>
    </row>
    <row r="516" spans="1:24">
      <c r="A516" s="458">
        <v>95517</v>
      </c>
      <c r="B516" s="518" t="s">
        <v>1225</v>
      </c>
      <c r="C516" s="460">
        <f t="shared" si="8"/>
        <v>1.8019954422733494E-5</v>
      </c>
      <c r="D516" s="460">
        <f>VLOOKUP(A516,'2024 summary '!A516:C1422,3,FALSE)</f>
        <v>1.8110000000000001E-5</v>
      </c>
      <c r="E516" s="505">
        <v>121481</v>
      </c>
      <c r="F516" s="460"/>
      <c r="G516" s="505">
        <v>21288</v>
      </c>
      <c r="H516" s="505">
        <v>16515</v>
      </c>
      <c r="I516" s="505">
        <v>0</v>
      </c>
      <c r="J516" s="505">
        <v>10578</v>
      </c>
      <c r="K516" s="505">
        <v>48381</v>
      </c>
      <c r="L516" s="460"/>
      <c r="M516" s="505">
        <v>143</v>
      </c>
      <c r="N516" s="505">
        <v>0</v>
      </c>
      <c r="O516" s="505">
        <v>0</v>
      </c>
      <c r="P516" s="505">
        <v>0</v>
      </c>
      <c r="Q516" s="505">
        <v>143</v>
      </c>
      <c r="R516" s="460"/>
      <c r="S516" s="505">
        <v>36342</v>
      </c>
      <c r="T516" s="505">
        <v>4270</v>
      </c>
      <c r="U516" s="505">
        <v>40612</v>
      </c>
      <c r="W516" s="454">
        <v>215268</v>
      </c>
      <c r="X516" s="454">
        <v>44328</v>
      </c>
    </row>
    <row r="517" spans="1:24">
      <c r="A517" s="458">
        <v>95601</v>
      </c>
      <c r="B517" s="518" t="s">
        <v>1226</v>
      </c>
      <c r="C517" s="460">
        <f t="shared" si="8"/>
        <v>2.2217400356681293E-3</v>
      </c>
      <c r="D517" s="460">
        <f>VLOOKUP(A517,'2024 summary '!A517:C1423,3,FALSE)</f>
        <v>2.3978699999999999E-3</v>
      </c>
      <c r="E517" s="505">
        <v>14977796</v>
      </c>
      <c r="F517" s="460"/>
      <c r="G517" s="505">
        <v>2624677</v>
      </c>
      <c r="H517" s="505">
        <v>2036222</v>
      </c>
      <c r="I517" s="505">
        <v>0</v>
      </c>
      <c r="J517" s="505">
        <v>357446</v>
      </c>
      <c r="K517" s="505">
        <v>5018345</v>
      </c>
      <c r="L517" s="460"/>
      <c r="M517" s="505">
        <v>17647</v>
      </c>
      <c r="N517" s="505">
        <v>0</v>
      </c>
      <c r="O517" s="505">
        <v>0</v>
      </c>
      <c r="P517" s="505">
        <v>410132</v>
      </c>
      <c r="Q517" s="505">
        <v>427779</v>
      </c>
      <c r="R517" s="460"/>
      <c r="S517" s="505">
        <v>4480707</v>
      </c>
      <c r="T517" s="505">
        <v>-13220</v>
      </c>
      <c r="U517" s="505">
        <v>4467487</v>
      </c>
      <c r="W517" s="454">
        <v>26541093</v>
      </c>
      <c r="X517" s="454">
        <v>5465394</v>
      </c>
    </row>
    <row r="518" spans="1:24">
      <c r="A518" s="458">
        <v>95611</v>
      </c>
      <c r="B518" s="518" t="s">
        <v>1227</v>
      </c>
      <c r="C518" s="460">
        <f t="shared" si="8"/>
        <v>3.2883995243168142E-4</v>
      </c>
      <c r="D518" s="460">
        <f>VLOOKUP(A518,'2024 summary '!A518:C1424,3,FALSE)</f>
        <v>3.4748E-4</v>
      </c>
      <c r="E518" s="505">
        <v>2216865</v>
      </c>
      <c r="F518" s="460"/>
      <c r="G518" s="505">
        <v>388479</v>
      </c>
      <c r="H518" s="505">
        <v>301382</v>
      </c>
      <c r="I518" s="505">
        <v>0</v>
      </c>
      <c r="J518" s="505">
        <v>32657</v>
      </c>
      <c r="K518" s="505">
        <v>722518</v>
      </c>
      <c r="L518" s="460"/>
      <c r="M518" s="505">
        <v>2612</v>
      </c>
      <c r="N518" s="505">
        <v>0</v>
      </c>
      <c r="O518" s="505">
        <v>0</v>
      </c>
      <c r="P518" s="505">
        <v>86416</v>
      </c>
      <c r="Q518" s="505">
        <v>89028</v>
      </c>
      <c r="R518" s="460"/>
      <c r="S518" s="505">
        <v>663190</v>
      </c>
      <c r="T518" s="505">
        <v>-10895</v>
      </c>
      <c r="U518" s="505">
        <v>652295</v>
      </c>
      <c r="W518" s="454">
        <v>3928350</v>
      </c>
      <c r="X518" s="454">
        <v>808934</v>
      </c>
    </row>
    <row r="519" spans="1:24">
      <c r="A519" s="458">
        <v>95617</v>
      </c>
      <c r="B519" s="518" t="s">
        <v>1228</v>
      </c>
      <c r="C519" s="460">
        <f t="shared" si="8"/>
        <v>1.7849961849668961E-5</v>
      </c>
      <c r="D519" s="460">
        <f>VLOOKUP(A519,'2024 summary '!A519:C1425,3,FALSE)</f>
        <v>1.8899999999999999E-5</v>
      </c>
      <c r="E519" s="505">
        <v>120335</v>
      </c>
      <c r="F519" s="460"/>
      <c r="G519" s="505">
        <v>21087</v>
      </c>
      <c r="H519" s="505">
        <v>16360</v>
      </c>
      <c r="I519" s="505">
        <v>0</v>
      </c>
      <c r="J519" s="505">
        <v>9067</v>
      </c>
      <c r="K519" s="505">
        <v>46514</v>
      </c>
      <c r="L519" s="460"/>
      <c r="M519" s="505">
        <v>142</v>
      </c>
      <c r="N519" s="505">
        <v>0</v>
      </c>
      <c r="O519" s="505">
        <v>0</v>
      </c>
      <c r="P519" s="505">
        <v>0</v>
      </c>
      <c r="Q519" s="505">
        <v>142</v>
      </c>
      <c r="R519" s="460"/>
      <c r="S519" s="505">
        <v>35999</v>
      </c>
      <c r="T519" s="505">
        <v>6811</v>
      </c>
      <c r="U519" s="505">
        <v>42810</v>
      </c>
      <c r="W519" s="454">
        <v>213238</v>
      </c>
      <c r="X519" s="454">
        <v>43910</v>
      </c>
    </row>
    <row r="520" spans="1:24">
      <c r="A520" s="458">
        <v>95621</v>
      </c>
      <c r="B520" s="518" t="s">
        <v>1229</v>
      </c>
      <c r="C520" s="460">
        <f t="shared" si="8"/>
        <v>3.9776007396306244E-4</v>
      </c>
      <c r="D520" s="460">
        <f>VLOOKUP(A520,'2024 summary '!A520:C1426,3,FALSE)</f>
        <v>3.8950999999999998E-4</v>
      </c>
      <c r="E520" s="505">
        <v>2681488</v>
      </c>
      <c r="F520" s="460"/>
      <c r="G520" s="505">
        <v>469898</v>
      </c>
      <c r="H520" s="505">
        <v>364547</v>
      </c>
      <c r="I520" s="505">
        <v>0</v>
      </c>
      <c r="J520" s="505">
        <v>117855</v>
      </c>
      <c r="K520" s="505">
        <v>952300</v>
      </c>
      <c r="L520" s="460"/>
      <c r="M520" s="505">
        <v>3159</v>
      </c>
      <c r="N520" s="505">
        <v>0</v>
      </c>
      <c r="O520" s="505">
        <v>0</v>
      </c>
      <c r="P520" s="505">
        <v>114010</v>
      </c>
      <c r="Q520" s="505">
        <v>117169</v>
      </c>
      <c r="R520" s="460"/>
      <c r="S520" s="505">
        <v>802185</v>
      </c>
      <c r="T520" s="505">
        <v>-1582</v>
      </c>
      <c r="U520" s="505">
        <v>800603</v>
      </c>
      <c r="W520" s="454">
        <v>4751674</v>
      </c>
      <c r="X520" s="454">
        <v>978474</v>
      </c>
    </row>
    <row r="521" spans="1:24">
      <c r="A521" s="458">
        <v>95701</v>
      </c>
      <c r="B521" s="518" t="s">
        <v>1230</v>
      </c>
      <c r="C521" s="460">
        <f t="shared" si="8"/>
        <v>1.1000600625442935E-3</v>
      </c>
      <c r="D521" s="460">
        <f>VLOOKUP(A521,'2024 summary '!A521:C1427,3,FALSE)</f>
        <v>1.1167099999999999E-3</v>
      </c>
      <c r="E521" s="505">
        <v>7416023</v>
      </c>
      <c r="F521" s="460"/>
      <c r="G521" s="505">
        <v>1299568</v>
      </c>
      <c r="H521" s="505">
        <v>1008204</v>
      </c>
      <c r="I521" s="505">
        <v>0</v>
      </c>
      <c r="J521" s="505">
        <v>13623</v>
      </c>
      <c r="K521" s="505">
        <v>2321395</v>
      </c>
      <c r="L521" s="460"/>
      <c r="M521" s="505">
        <v>8738</v>
      </c>
      <c r="N521" s="505">
        <v>0</v>
      </c>
      <c r="O521" s="505">
        <v>0</v>
      </c>
      <c r="P521" s="505">
        <v>177941</v>
      </c>
      <c r="Q521" s="505">
        <v>186679</v>
      </c>
      <c r="R521" s="460"/>
      <c r="S521" s="505">
        <v>2218553</v>
      </c>
      <c r="T521" s="505">
        <v>-94713</v>
      </c>
      <c r="U521" s="505">
        <v>2123840</v>
      </c>
      <c r="W521" s="454">
        <v>13141409</v>
      </c>
      <c r="X521" s="454">
        <v>2706105</v>
      </c>
    </row>
    <row r="522" spans="1:24">
      <c r="A522" s="458">
        <v>95711</v>
      </c>
      <c r="B522" s="518" t="s">
        <v>1231</v>
      </c>
      <c r="C522" s="460">
        <f t="shared" ref="C522:C585" si="9">E522/$E$915</f>
        <v>1.8458004219868636E-4</v>
      </c>
      <c r="D522" s="460">
        <f>VLOOKUP(A522,'2024 summary '!A522:C1428,3,FALSE)</f>
        <v>1.7785000000000001E-4</v>
      </c>
      <c r="E522" s="505">
        <v>1244341</v>
      </c>
      <c r="F522" s="460"/>
      <c r="G522" s="505">
        <v>218056</v>
      </c>
      <c r="H522" s="505">
        <v>169167</v>
      </c>
      <c r="I522" s="505">
        <v>0</v>
      </c>
      <c r="J522" s="505">
        <v>20476</v>
      </c>
      <c r="K522" s="505">
        <v>407699</v>
      </c>
      <c r="L522" s="460"/>
      <c r="M522" s="505">
        <v>1466</v>
      </c>
      <c r="N522" s="505">
        <v>0</v>
      </c>
      <c r="O522" s="505">
        <v>0</v>
      </c>
      <c r="P522" s="505">
        <v>18935</v>
      </c>
      <c r="Q522" s="505">
        <v>20401</v>
      </c>
      <c r="R522" s="460"/>
      <c r="S522" s="505">
        <v>372253</v>
      </c>
      <c r="T522" s="505">
        <v>2436</v>
      </c>
      <c r="U522" s="505">
        <v>374689</v>
      </c>
      <c r="W522" s="454">
        <v>2205008</v>
      </c>
      <c r="X522" s="454">
        <v>454060</v>
      </c>
    </row>
    <row r="523" spans="1:24">
      <c r="A523" s="458">
        <v>95721</v>
      </c>
      <c r="B523" s="518" t="s">
        <v>1232</v>
      </c>
      <c r="C523" s="460">
        <f t="shared" si="9"/>
        <v>5.316999813223701E-5</v>
      </c>
      <c r="D523" s="460">
        <f>VLOOKUP(A523,'2024 summary '!A523:C1429,3,FALSE)</f>
        <v>5.6579999999999997E-5</v>
      </c>
      <c r="E523" s="505">
        <v>358444</v>
      </c>
      <c r="F523" s="460"/>
      <c r="G523" s="505">
        <v>62813</v>
      </c>
      <c r="H523" s="505">
        <v>48730</v>
      </c>
      <c r="I523" s="505">
        <v>0</v>
      </c>
      <c r="J523" s="505">
        <v>4465</v>
      </c>
      <c r="K523" s="505">
        <v>116008</v>
      </c>
      <c r="L523" s="460"/>
      <c r="M523" s="505">
        <v>422</v>
      </c>
      <c r="N523" s="505">
        <v>0</v>
      </c>
      <c r="O523" s="505">
        <v>0</v>
      </c>
      <c r="P523" s="505">
        <v>5638</v>
      </c>
      <c r="Q523" s="505">
        <v>6060</v>
      </c>
      <c r="R523" s="460"/>
      <c r="S523" s="505">
        <v>107231</v>
      </c>
      <c r="T523" s="505">
        <v>5552</v>
      </c>
      <c r="U523" s="505">
        <v>112783</v>
      </c>
      <c r="W523" s="454">
        <v>635173</v>
      </c>
      <c r="X523" s="454">
        <v>130796</v>
      </c>
    </row>
    <row r="524" spans="1:24">
      <c r="A524" s="458">
        <v>95733</v>
      </c>
      <c r="B524" s="518" t="s">
        <v>1233</v>
      </c>
      <c r="C524" s="460">
        <f t="shared" si="9"/>
        <v>1.0199999390607776E-5</v>
      </c>
      <c r="D524" s="460">
        <f>VLOOKUP(A524,'2024 summary '!A524:C1430,3,FALSE)</f>
        <v>1.173E-5</v>
      </c>
      <c r="E524" s="505">
        <v>68763</v>
      </c>
      <c r="F524" s="460"/>
      <c r="G524" s="505">
        <v>12050</v>
      </c>
      <c r="H524" s="505">
        <v>9348</v>
      </c>
      <c r="I524" s="505">
        <v>0</v>
      </c>
      <c r="J524" s="505">
        <v>1540</v>
      </c>
      <c r="K524" s="505">
        <v>22938</v>
      </c>
      <c r="L524" s="460"/>
      <c r="M524" s="505">
        <v>81</v>
      </c>
      <c r="N524" s="505">
        <v>0</v>
      </c>
      <c r="O524" s="505">
        <v>0</v>
      </c>
      <c r="P524" s="505">
        <v>4256</v>
      </c>
      <c r="Q524" s="505">
        <v>4337</v>
      </c>
      <c r="R524" s="460"/>
      <c r="S524" s="505">
        <v>20571</v>
      </c>
      <c r="T524" s="505">
        <v>-523</v>
      </c>
      <c r="U524" s="505">
        <v>20048</v>
      </c>
      <c r="W524" s="454">
        <v>121850</v>
      </c>
      <c r="X524" s="454">
        <v>25092</v>
      </c>
    </row>
    <row r="525" spans="1:24">
      <c r="A525" s="458">
        <v>95801</v>
      </c>
      <c r="B525" s="518" t="s">
        <v>1234</v>
      </c>
      <c r="C525" s="460">
        <f t="shared" si="9"/>
        <v>7.6561005853032524E-4</v>
      </c>
      <c r="D525" s="460">
        <f>VLOOKUP(A525,'2024 summary '!A525:C1431,3,FALSE)</f>
        <v>8.3903000000000005E-4</v>
      </c>
      <c r="E525" s="505">
        <v>5161338</v>
      </c>
      <c r="F525" s="460"/>
      <c r="G525" s="505">
        <v>904462</v>
      </c>
      <c r="H525" s="505">
        <v>701681</v>
      </c>
      <c r="I525" s="505">
        <v>0</v>
      </c>
      <c r="J525" s="505">
        <v>51709</v>
      </c>
      <c r="K525" s="505">
        <v>1657852</v>
      </c>
      <c r="L525" s="460"/>
      <c r="M525" s="505">
        <v>6081</v>
      </c>
      <c r="N525" s="505">
        <v>0</v>
      </c>
      <c r="O525" s="505">
        <v>0</v>
      </c>
      <c r="P525" s="505">
        <v>230297</v>
      </c>
      <c r="Q525" s="505">
        <v>236378</v>
      </c>
      <c r="R525" s="460"/>
      <c r="S525" s="505">
        <v>1544049</v>
      </c>
      <c r="T525" s="505">
        <v>-63397</v>
      </c>
      <c r="U525" s="505">
        <v>1480652</v>
      </c>
      <c r="W525" s="454">
        <v>9146041</v>
      </c>
      <c r="X525" s="454">
        <v>1883371</v>
      </c>
    </row>
    <row r="526" spans="1:24">
      <c r="A526" s="458">
        <v>95802</v>
      </c>
      <c r="B526" s="518" t="s">
        <v>1235</v>
      </c>
      <c r="C526" s="460">
        <f t="shared" si="9"/>
        <v>1.1330019828309011E-5</v>
      </c>
      <c r="D526" s="460">
        <f>VLOOKUP(A526,'2024 summary '!A526:C1432,3,FALSE)</f>
        <v>1.1909999999999999E-5</v>
      </c>
      <c r="E526" s="505">
        <v>76381</v>
      </c>
      <c r="F526" s="460"/>
      <c r="G526" s="505">
        <v>13385</v>
      </c>
      <c r="H526" s="505">
        <v>10384</v>
      </c>
      <c r="I526" s="505">
        <v>0</v>
      </c>
      <c r="J526" s="505">
        <v>8611</v>
      </c>
      <c r="K526" s="505">
        <v>32380</v>
      </c>
      <c r="L526" s="460"/>
      <c r="M526" s="505">
        <v>90</v>
      </c>
      <c r="N526" s="505">
        <v>0</v>
      </c>
      <c r="O526" s="505">
        <v>0</v>
      </c>
      <c r="P526" s="505">
        <v>4873</v>
      </c>
      <c r="Q526" s="505">
        <v>4963</v>
      </c>
      <c r="R526" s="460"/>
      <c r="S526" s="505">
        <v>22850</v>
      </c>
      <c r="T526" s="505">
        <v>4994</v>
      </c>
      <c r="U526" s="505">
        <v>27844</v>
      </c>
      <c r="W526" s="454">
        <v>135349</v>
      </c>
      <c r="X526" s="454">
        <v>27871</v>
      </c>
    </row>
    <row r="527" spans="1:24">
      <c r="A527" s="458">
        <v>95804</v>
      </c>
      <c r="B527" s="518" t="s">
        <v>1236</v>
      </c>
      <c r="C527" s="460">
        <f t="shared" si="9"/>
        <v>2.7460030644222943E-5</v>
      </c>
      <c r="D527" s="460">
        <f>VLOOKUP(A527,'2024 summary '!A527:C1433,3,FALSE)</f>
        <v>2.745E-5</v>
      </c>
      <c r="E527" s="505">
        <v>185121</v>
      </c>
      <c r="F527" s="460"/>
      <c r="G527" s="505">
        <v>32440</v>
      </c>
      <c r="H527" s="505">
        <v>25167</v>
      </c>
      <c r="I527" s="505">
        <v>0</v>
      </c>
      <c r="J527" s="505">
        <v>2104</v>
      </c>
      <c r="K527" s="505">
        <v>59711</v>
      </c>
      <c r="L527" s="460"/>
      <c r="M527" s="505">
        <v>218</v>
      </c>
      <c r="N527" s="505">
        <v>0</v>
      </c>
      <c r="O527" s="505">
        <v>0</v>
      </c>
      <c r="P527" s="505">
        <v>5360</v>
      </c>
      <c r="Q527" s="505">
        <v>5578</v>
      </c>
      <c r="R527" s="460"/>
      <c r="S527" s="505">
        <v>55380</v>
      </c>
      <c r="T527" s="505">
        <v>-2307</v>
      </c>
      <c r="U527" s="505">
        <v>53073</v>
      </c>
      <c r="W527" s="454">
        <v>328039</v>
      </c>
      <c r="X527" s="454">
        <v>67551</v>
      </c>
    </row>
    <row r="528" spans="1:24">
      <c r="A528" s="458">
        <v>95811</v>
      </c>
      <c r="B528" s="518" t="s">
        <v>1237</v>
      </c>
      <c r="C528" s="460">
        <f t="shared" si="9"/>
        <v>5.0838993516036921E-4</v>
      </c>
      <c r="D528" s="460">
        <f>VLOOKUP(A528,'2024 summary '!A528:C1434,3,FALSE)</f>
        <v>4.9605999999999999E-4</v>
      </c>
      <c r="E528" s="505">
        <v>3427296</v>
      </c>
      <c r="F528" s="460"/>
      <c r="G528" s="505">
        <v>600592</v>
      </c>
      <c r="H528" s="505">
        <v>465939</v>
      </c>
      <c r="I528" s="505">
        <v>0</v>
      </c>
      <c r="J528" s="505">
        <v>27884</v>
      </c>
      <c r="K528" s="505">
        <v>1094415</v>
      </c>
      <c r="L528" s="460"/>
      <c r="M528" s="505">
        <v>4038</v>
      </c>
      <c r="N528" s="505">
        <v>0</v>
      </c>
      <c r="O528" s="505">
        <v>0</v>
      </c>
      <c r="P528" s="505">
        <v>43537</v>
      </c>
      <c r="Q528" s="505">
        <v>47575</v>
      </c>
      <c r="R528" s="460"/>
      <c r="S528" s="505">
        <v>1025299</v>
      </c>
      <c r="T528" s="505">
        <v>-34406</v>
      </c>
      <c r="U528" s="505">
        <v>990893</v>
      </c>
      <c r="W528" s="454">
        <v>6073270</v>
      </c>
      <c r="X528" s="454">
        <v>1250620</v>
      </c>
    </row>
    <row r="529" spans="1:24">
      <c r="A529" s="458">
        <v>95813</v>
      </c>
      <c r="B529" s="518" t="s">
        <v>1238</v>
      </c>
      <c r="C529" s="460">
        <f t="shared" si="9"/>
        <v>3.1879985879479404E-5</v>
      </c>
      <c r="D529" s="460">
        <f>VLOOKUP(A529,'2024 summary '!A529:C1435,3,FALSE)</f>
        <v>3.9140000000000001E-5</v>
      </c>
      <c r="E529" s="505">
        <v>214918</v>
      </c>
      <c r="F529" s="460"/>
      <c r="G529" s="505">
        <v>37662</v>
      </c>
      <c r="H529" s="505">
        <v>29218</v>
      </c>
      <c r="I529" s="505">
        <v>0</v>
      </c>
      <c r="J529" s="505">
        <v>8979</v>
      </c>
      <c r="K529" s="505">
        <v>75859</v>
      </c>
      <c r="L529" s="460"/>
      <c r="M529" s="505">
        <v>253</v>
      </c>
      <c r="N529" s="505">
        <v>0</v>
      </c>
      <c r="O529" s="505">
        <v>0</v>
      </c>
      <c r="P529" s="505">
        <v>15490</v>
      </c>
      <c r="Q529" s="505">
        <v>15743</v>
      </c>
      <c r="R529" s="460"/>
      <c r="S529" s="505">
        <v>64294</v>
      </c>
      <c r="T529" s="505">
        <v>3032</v>
      </c>
      <c r="U529" s="505">
        <v>67326</v>
      </c>
      <c r="W529" s="454">
        <v>380841</v>
      </c>
      <c r="X529" s="454">
        <v>78424</v>
      </c>
    </row>
    <row r="530" spans="1:24">
      <c r="A530" s="458">
        <v>95821</v>
      </c>
      <c r="B530" s="518" t="s">
        <v>1239</v>
      </c>
      <c r="C530" s="460">
        <f t="shared" si="9"/>
        <v>1.950019516148653E-6</v>
      </c>
      <c r="D530" s="460">
        <f>VLOOKUP(A530,'2024 summary '!A530:C1436,3,FALSE)</f>
        <v>2.2400000000000002E-6</v>
      </c>
      <c r="E530" s="505">
        <v>13146</v>
      </c>
      <c r="F530" s="460"/>
      <c r="G530" s="505">
        <v>2304</v>
      </c>
      <c r="H530" s="505">
        <v>1787</v>
      </c>
      <c r="I530" s="505">
        <v>0</v>
      </c>
      <c r="J530" s="505">
        <v>1146</v>
      </c>
      <c r="K530" s="505">
        <v>5237</v>
      </c>
      <c r="L530" s="460"/>
      <c r="M530" s="505">
        <v>15</v>
      </c>
      <c r="N530" s="505">
        <v>0</v>
      </c>
      <c r="O530" s="505">
        <v>0</v>
      </c>
      <c r="P530" s="505">
        <v>9763</v>
      </c>
      <c r="Q530" s="505">
        <v>9778</v>
      </c>
      <c r="R530" s="460"/>
      <c r="S530" s="505">
        <v>3933</v>
      </c>
      <c r="T530" s="505">
        <v>-3972</v>
      </c>
      <c r="U530" s="505">
        <v>-39</v>
      </c>
      <c r="W530" s="454">
        <v>23295</v>
      </c>
      <c r="X530" s="454">
        <v>4797</v>
      </c>
    </row>
    <row r="531" spans="1:24">
      <c r="A531" s="458">
        <v>95831</v>
      </c>
      <c r="B531" s="518" t="s">
        <v>1240</v>
      </c>
      <c r="C531" s="460">
        <f t="shared" si="9"/>
        <v>1.9520072129017636E-5</v>
      </c>
      <c r="D531" s="460">
        <f>VLOOKUP(A531,'2024 summary '!A531:C1437,3,FALSE)</f>
        <v>1.8349999999999999E-5</v>
      </c>
      <c r="E531" s="505">
        <v>131594</v>
      </c>
      <c r="F531" s="460"/>
      <c r="G531" s="505">
        <v>23060</v>
      </c>
      <c r="H531" s="505">
        <v>17890</v>
      </c>
      <c r="I531" s="505">
        <v>0</v>
      </c>
      <c r="J531" s="505">
        <v>8101</v>
      </c>
      <c r="K531" s="505">
        <v>49051</v>
      </c>
      <c r="L531" s="460"/>
      <c r="M531" s="505">
        <v>155</v>
      </c>
      <c r="N531" s="505">
        <v>0</v>
      </c>
      <c r="O531" s="505">
        <v>0</v>
      </c>
      <c r="P531" s="505">
        <v>1748</v>
      </c>
      <c r="Q531" s="505">
        <v>1903</v>
      </c>
      <c r="R531" s="460"/>
      <c r="S531" s="505">
        <v>39367</v>
      </c>
      <c r="T531" s="505">
        <v>8372</v>
      </c>
      <c r="U531" s="505">
        <v>47739</v>
      </c>
      <c r="W531" s="454">
        <v>233188</v>
      </c>
      <c r="X531" s="454">
        <v>48018</v>
      </c>
    </row>
    <row r="532" spans="1:24">
      <c r="A532" s="458">
        <v>95841</v>
      </c>
      <c r="B532" s="518" t="s">
        <v>1241</v>
      </c>
      <c r="C532" s="460">
        <f t="shared" si="9"/>
        <v>1.6139949299679483E-5</v>
      </c>
      <c r="D532" s="460">
        <f>VLOOKUP(A532,'2024 summary '!A532:C1438,3,FALSE)</f>
        <v>2.1440000000000001E-5</v>
      </c>
      <c r="E532" s="505">
        <v>108807</v>
      </c>
      <c r="F532" s="460"/>
      <c r="G532" s="505">
        <v>19067</v>
      </c>
      <c r="H532" s="505">
        <v>14792</v>
      </c>
      <c r="I532" s="505">
        <v>0</v>
      </c>
      <c r="J532" s="505">
        <v>720</v>
      </c>
      <c r="K532" s="505">
        <v>34579</v>
      </c>
      <c r="L532" s="460"/>
      <c r="M532" s="505">
        <v>128</v>
      </c>
      <c r="N532" s="505">
        <v>0</v>
      </c>
      <c r="O532" s="505">
        <v>0</v>
      </c>
      <c r="P532" s="505">
        <v>15149</v>
      </c>
      <c r="Q532" s="505">
        <v>15277</v>
      </c>
      <c r="R532" s="460"/>
      <c r="S532" s="505">
        <v>32550</v>
      </c>
      <c r="T532" s="505">
        <v>-7283</v>
      </c>
      <c r="U532" s="505">
        <v>25267</v>
      </c>
      <c r="W532" s="454">
        <v>192810</v>
      </c>
      <c r="X532" s="454">
        <v>39704</v>
      </c>
    </row>
    <row r="533" spans="1:24">
      <c r="A533" s="458">
        <v>95851</v>
      </c>
      <c r="B533" s="518" t="s">
        <v>1242</v>
      </c>
      <c r="C533" s="460">
        <f t="shared" si="9"/>
        <v>7.533993703719254E-5</v>
      </c>
      <c r="D533" s="460">
        <f>VLOOKUP(A533,'2024 summary '!A533:C1439,3,FALSE)</f>
        <v>6.6970000000000004E-5</v>
      </c>
      <c r="E533" s="505">
        <v>507902</v>
      </c>
      <c r="F533" s="460"/>
      <c r="G533" s="505">
        <v>89004</v>
      </c>
      <c r="H533" s="505">
        <v>69049</v>
      </c>
      <c r="I533" s="505">
        <v>0</v>
      </c>
      <c r="J533" s="505">
        <v>34985</v>
      </c>
      <c r="K533" s="505">
        <v>193038</v>
      </c>
      <c r="L533" s="460"/>
      <c r="M533" s="505">
        <v>598</v>
      </c>
      <c r="N533" s="505">
        <v>0</v>
      </c>
      <c r="O533" s="505">
        <v>0</v>
      </c>
      <c r="P533" s="505">
        <v>46056</v>
      </c>
      <c r="Q533" s="505">
        <v>46654</v>
      </c>
      <c r="R533" s="460"/>
      <c r="S533" s="505">
        <v>151942</v>
      </c>
      <c r="T533" s="505">
        <v>-23583</v>
      </c>
      <c r="U533" s="505">
        <v>128359</v>
      </c>
      <c r="W533" s="454">
        <v>900018</v>
      </c>
      <c r="X533" s="454">
        <v>185333</v>
      </c>
    </row>
    <row r="534" spans="1:24">
      <c r="A534" s="458">
        <v>95853</v>
      </c>
      <c r="B534" s="518" t="s">
        <v>1243</v>
      </c>
      <c r="C534" s="460">
        <f t="shared" si="9"/>
        <v>2.1650022701996374E-5</v>
      </c>
      <c r="D534" s="460">
        <f>VLOOKUP(A534,'2024 summary '!A534:C1440,3,FALSE)</f>
        <v>2.194E-5</v>
      </c>
      <c r="E534" s="505">
        <v>145953</v>
      </c>
      <c r="F534" s="460"/>
      <c r="G534" s="505">
        <v>25576</v>
      </c>
      <c r="H534" s="505">
        <v>19842</v>
      </c>
      <c r="I534" s="505">
        <v>0</v>
      </c>
      <c r="J534" s="505">
        <v>3847</v>
      </c>
      <c r="K534" s="505">
        <v>49265</v>
      </c>
      <c r="L534" s="460"/>
      <c r="M534" s="505">
        <v>172</v>
      </c>
      <c r="N534" s="505">
        <v>0</v>
      </c>
      <c r="O534" s="505">
        <v>0</v>
      </c>
      <c r="P534" s="505">
        <v>7309</v>
      </c>
      <c r="Q534" s="505">
        <v>7481</v>
      </c>
      <c r="R534" s="460"/>
      <c r="S534" s="505">
        <v>43663</v>
      </c>
      <c r="T534" s="505">
        <v>-2952</v>
      </c>
      <c r="U534" s="505">
        <v>40711</v>
      </c>
      <c r="W534" s="454">
        <v>258633</v>
      </c>
      <c r="X534" s="454">
        <v>53258</v>
      </c>
    </row>
    <row r="535" spans="1:24">
      <c r="A535" s="458">
        <v>95901</v>
      </c>
      <c r="B535" s="518" t="s">
        <v>1244</v>
      </c>
      <c r="C535" s="460">
        <f t="shared" si="9"/>
        <v>2.1314100467364899E-3</v>
      </c>
      <c r="D535" s="460">
        <f>VLOOKUP(A535,'2024 summary '!A535:C1441,3,FALSE)</f>
        <v>2.0972600000000001E-3</v>
      </c>
      <c r="E535" s="505">
        <v>14368839</v>
      </c>
      <c r="F535" s="460"/>
      <c r="G535" s="505">
        <v>2517965</v>
      </c>
      <c r="H535" s="505">
        <v>1953435</v>
      </c>
      <c r="I535" s="505">
        <v>0</v>
      </c>
      <c r="J535" s="505">
        <v>219713</v>
      </c>
      <c r="K535" s="505">
        <v>4691113</v>
      </c>
      <c r="L535" s="460"/>
      <c r="M535" s="505">
        <v>16930</v>
      </c>
      <c r="N535" s="505">
        <v>0</v>
      </c>
      <c r="O535" s="505">
        <v>0</v>
      </c>
      <c r="P535" s="505">
        <v>335922</v>
      </c>
      <c r="Q535" s="505">
        <v>352852</v>
      </c>
      <c r="R535" s="460"/>
      <c r="S535" s="505">
        <v>4298534</v>
      </c>
      <c r="T535" s="505">
        <v>-10794</v>
      </c>
      <c r="U535" s="505">
        <v>4287740</v>
      </c>
      <c r="W535" s="454">
        <v>25462003</v>
      </c>
      <c r="X535" s="454">
        <v>5243185</v>
      </c>
    </row>
    <row r="536" spans="1:24">
      <c r="A536" s="458">
        <v>95908</v>
      </c>
      <c r="B536" s="518" t="s">
        <v>1245</v>
      </c>
      <c r="C536" s="460">
        <f t="shared" si="9"/>
        <v>7.5239958857222655E-5</v>
      </c>
      <c r="D536" s="460">
        <f>VLOOKUP(A536,'2024 summary '!A536:C1442,3,FALSE)</f>
        <v>7.2700000000000005E-5</v>
      </c>
      <c r="E536" s="505">
        <v>507228</v>
      </c>
      <c r="F536" s="460"/>
      <c r="G536" s="505">
        <v>88886</v>
      </c>
      <c r="H536" s="505">
        <v>68957</v>
      </c>
      <c r="I536" s="505">
        <v>0</v>
      </c>
      <c r="J536" s="505">
        <v>26232</v>
      </c>
      <c r="K536" s="505">
        <v>184075</v>
      </c>
      <c r="L536" s="460"/>
      <c r="M536" s="505">
        <v>598</v>
      </c>
      <c r="N536" s="505">
        <v>0</v>
      </c>
      <c r="O536" s="505">
        <v>0</v>
      </c>
      <c r="P536" s="505">
        <v>2239</v>
      </c>
      <c r="Q536" s="505">
        <v>2837</v>
      </c>
      <c r="R536" s="460"/>
      <c r="S536" s="505">
        <v>151741</v>
      </c>
      <c r="T536" s="505">
        <v>11421</v>
      </c>
      <c r="U536" s="505">
        <v>163162</v>
      </c>
      <c r="W536" s="454">
        <v>898823</v>
      </c>
      <c r="X536" s="454">
        <v>185087</v>
      </c>
    </row>
    <row r="537" spans="1:24">
      <c r="A537" s="458">
        <v>95911</v>
      </c>
      <c r="B537" s="518" t="s">
        <v>1246</v>
      </c>
      <c r="C537" s="460">
        <f t="shared" si="9"/>
        <v>6.0601002443740992E-4</v>
      </c>
      <c r="D537" s="460">
        <f>VLOOKUP(A537,'2024 summary '!A537:C1443,3,FALSE)</f>
        <v>6.2007999999999996E-4</v>
      </c>
      <c r="E537" s="505">
        <v>4085399</v>
      </c>
      <c r="F537" s="460"/>
      <c r="G537" s="505">
        <v>715917</v>
      </c>
      <c r="H537" s="505">
        <v>555408</v>
      </c>
      <c r="I537" s="505">
        <v>0</v>
      </c>
      <c r="J537" s="505">
        <v>72341</v>
      </c>
      <c r="K537" s="505">
        <v>1343666</v>
      </c>
      <c r="L537" s="460"/>
      <c r="M537" s="505">
        <v>4814</v>
      </c>
      <c r="N537" s="505">
        <v>0</v>
      </c>
      <c r="O537" s="505">
        <v>0</v>
      </c>
      <c r="P537" s="505">
        <v>89863</v>
      </c>
      <c r="Q537" s="505">
        <v>94677</v>
      </c>
      <c r="R537" s="460"/>
      <c r="S537" s="505">
        <v>1222174</v>
      </c>
      <c r="T537" s="505">
        <v>2244</v>
      </c>
      <c r="U537" s="505">
        <v>1224418</v>
      </c>
      <c r="W537" s="454">
        <v>7239446</v>
      </c>
      <c r="X537" s="454">
        <v>1490761</v>
      </c>
    </row>
    <row r="538" spans="1:24">
      <c r="A538" s="458">
        <v>95917</v>
      </c>
      <c r="B538" s="518" t="s">
        <v>1247</v>
      </c>
      <c r="C538" s="460">
        <f t="shared" si="9"/>
        <v>3.4840022350249701E-5</v>
      </c>
      <c r="D538" s="460">
        <f>VLOOKUP(A538,'2024 summary '!A538:C1444,3,FALSE)</f>
        <v>3.046E-5</v>
      </c>
      <c r="E538" s="505">
        <v>234873</v>
      </c>
      <c r="F538" s="460"/>
      <c r="G538" s="505">
        <v>41159</v>
      </c>
      <c r="H538" s="505">
        <v>31931</v>
      </c>
      <c r="I538" s="505">
        <v>0</v>
      </c>
      <c r="J538" s="505">
        <v>8311</v>
      </c>
      <c r="K538" s="505">
        <v>81401</v>
      </c>
      <c r="L538" s="460"/>
      <c r="M538" s="505">
        <v>277</v>
      </c>
      <c r="N538" s="505">
        <v>0</v>
      </c>
      <c r="O538" s="505">
        <v>0</v>
      </c>
      <c r="P538" s="505">
        <v>1201</v>
      </c>
      <c r="Q538" s="505">
        <v>1478</v>
      </c>
      <c r="R538" s="460"/>
      <c r="S538" s="505">
        <v>70264</v>
      </c>
      <c r="T538" s="505">
        <v>6671</v>
      </c>
      <c r="U538" s="505">
        <v>76935</v>
      </c>
      <c r="W538" s="454">
        <v>416202</v>
      </c>
      <c r="X538" s="454">
        <v>85705</v>
      </c>
    </row>
    <row r="539" spans="1:24">
      <c r="A539" s="458">
        <v>95921</v>
      </c>
      <c r="B539" s="518" t="s">
        <v>1248</v>
      </c>
      <c r="C539" s="460">
        <f t="shared" si="9"/>
        <v>4.1309975281624707E-5</v>
      </c>
      <c r="D539" s="460">
        <f>VLOOKUP(A539,'2024 summary '!A539:C1445,3,FALSE)</f>
        <v>4.0089999999999997E-5</v>
      </c>
      <c r="E539" s="505">
        <v>278490</v>
      </c>
      <c r="F539" s="460"/>
      <c r="G539" s="505">
        <v>48802</v>
      </c>
      <c r="H539" s="505">
        <v>37861</v>
      </c>
      <c r="I539" s="505">
        <v>0</v>
      </c>
      <c r="J539" s="505">
        <v>24120</v>
      </c>
      <c r="K539" s="505">
        <v>110783</v>
      </c>
      <c r="L539" s="460"/>
      <c r="M539" s="505">
        <v>328</v>
      </c>
      <c r="N539" s="505">
        <v>0</v>
      </c>
      <c r="O539" s="505">
        <v>0</v>
      </c>
      <c r="P539" s="505">
        <v>7652</v>
      </c>
      <c r="Q539" s="505">
        <v>7980</v>
      </c>
      <c r="R539" s="460"/>
      <c r="S539" s="505">
        <v>83312</v>
      </c>
      <c r="T539" s="505">
        <v>2695</v>
      </c>
      <c r="U539" s="505">
        <v>86007</v>
      </c>
      <c r="W539" s="454">
        <v>493493</v>
      </c>
      <c r="X539" s="454">
        <v>101621</v>
      </c>
    </row>
    <row r="540" spans="1:24">
      <c r="A540" s="458">
        <v>96001</v>
      </c>
      <c r="B540" s="518" t="s">
        <v>1249</v>
      </c>
      <c r="C540" s="460">
        <f t="shared" si="9"/>
        <v>4.1956040065677706E-2</v>
      </c>
      <c r="D540" s="460">
        <f>VLOOKUP(A540,'2024 summary '!A540:C1446,3,FALSE)</f>
        <v>4.2781309999999996E-2</v>
      </c>
      <c r="E540" s="505">
        <v>282845427</v>
      </c>
      <c r="F540" s="460"/>
      <c r="G540" s="505">
        <v>49565229</v>
      </c>
      <c r="H540" s="505">
        <v>38452669</v>
      </c>
      <c r="I540" s="505">
        <v>0</v>
      </c>
      <c r="J540" s="505">
        <v>0</v>
      </c>
      <c r="K540" s="505">
        <v>88017898</v>
      </c>
      <c r="L540" s="460"/>
      <c r="M540" s="505">
        <v>333257</v>
      </c>
      <c r="N540" s="505">
        <v>0</v>
      </c>
      <c r="O540" s="505">
        <v>0</v>
      </c>
      <c r="P540" s="505">
        <v>5633222</v>
      </c>
      <c r="Q540" s="505">
        <v>5966479</v>
      </c>
      <c r="R540" s="460"/>
      <c r="S540" s="505">
        <v>84615095</v>
      </c>
      <c r="T540" s="505">
        <v>-3582583</v>
      </c>
      <c r="U540" s="505">
        <v>81032512</v>
      </c>
      <c r="W540" s="454">
        <v>501210378</v>
      </c>
      <c r="X540" s="454">
        <v>103210222</v>
      </c>
    </row>
    <row r="541" spans="1:24">
      <c r="A541" s="458">
        <v>96003</v>
      </c>
      <c r="B541" s="518" t="s">
        <v>3723</v>
      </c>
      <c r="C541" s="460">
        <f t="shared" si="9"/>
        <v>1.8708000103890086E-3</v>
      </c>
      <c r="D541" s="460">
        <f>VLOOKUP(A541,'2024 summary '!A541:C1447,3,FALSE)</f>
        <v>1.95298E-3</v>
      </c>
      <c r="E541" s="505">
        <v>12611944</v>
      </c>
      <c r="F541" s="460"/>
      <c r="G541" s="505">
        <v>2210090</v>
      </c>
      <c r="H541" s="505">
        <v>1714586</v>
      </c>
      <c r="I541" s="505">
        <v>0</v>
      </c>
      <c r="J541" s="505">
        <v>0</v>
      </c>
      <c r="K541" s="505">
        <v>3924676</v>
      </c>
      <c r="L541" s="460"/>
      <c r="M541" s="505">
        <v>14860</v>
      </c>
      <c r="N541" s="505">
        <v>0</v>
      </c>
      <c r="O541" s="505">
        <v>0</v>
      </c>
      <c r="P541" s="505">
        <v>587226</v>
      </c>
      <c r="Q541" s="505">
        <v>602086</v>
      </c>
      <c r="R541" s="460"/>
      <c r="S541" s="505">
        <v>3772947</v>
      </c>
      <c r="T541" s="505">
        <v>-133773</v>
      </c>
      <c r="U541" s="505">
        <v>3639174</v>
      </c>
      <c r="W541" s="454">
        <v>22348734</v>
      </c>
      <c r="X541" s="454">
        <v>4602095</v>
      </c>
    </row>
    <row r="542" spans="1:24">
      <c r="A542" s="458">
        <v>96004</v>
      </c>
      <c r="B542" s="518" t="s">
        <v>1251</v>
      </c>
      <c r="C542" s="460">
        <f t="shared" si="9"/>
        <v>1.5497700745056874E-3</v>
      </c>
      <c r="D542" s="460">
        <f>VLOOKUP(A542,'2024 summary '!A542:C1448,3,FALSE)</f>
        <v>1.3629099999999999E-3</v>
      </c>
      <c r="E542" s="505">
        <v>10447730</v>
      </c>
      <c r="F542" s="460"/>
      <c r="G542" s="505">
        <v>1830838</v>
      </c>
      <c r="H542" s="505">
        <v>1420363</v>
      </c>
      <c r="I542" s="505">
        <v>0</v>
      </c>
      <c r="J542" s="505">
        <v>925125</v>
      </c>
      <c r="K542" s="505">
        <v>4176326</v>
      </c>
      <c r="L542" s="460"/>
      <c r="M542" s="505">
        <v>12310</v>
      </c>
      <c r="N542" s="505">
        <v>0</v>
      </c>
      <c r="O542" s="505">
        <v>0</v>
      </c>
      <c r="P542" s="505">
        <v>0</v>
      </c>
      <c r="Q542" s="505">
        <v>12310</v>
      </c>
      <c r="R542" s="460"/>
      <c r="S542" s="505">
        <v>3125508</v>
      </c>
      <c r="T542" s="505">
        <v>485442</v>
      </c>
      <c r="U542" s="505">
        <v>3610950</v>
      </c>
      <c r="W542" s="454">
        <v>18513683</v>
      </c>
      <c r="X542" s="454">
        <v>3812374</v>
      </c>
    </row>
    <row r="543" spans="1:24">
      <c r="A543" s="458">
        <v>96005</v>
      </c>
      <c r="B543" s="518" t="s">
        <v>1252</v>
      </c>
      <c r="C543" s="460">
        <f t="shared" si="9"/>
        <v>2.6316799439892449E-3</v>
      </c>
      <c r="D543" s="460">
        <f>VLOOKUP(A543,'2024 summary '!A543:C1449,3,FALSE)</f>
        <v>2.56858E-3</v>
      </c>
      <c r="E543" s="505">
        <v>17741394</v>
      </c>
      <c r="F543" s="460"/>
      <c r="G543" s="505">
        <v>3108964</v>
      </c>
      <c r="H543" s="505">
        <v>2411932</v>
      </c>
      <c r="I543" s="505">
        <v>0</v>
      </c>
      <c r="J543" s="505">
        <v>107190</v>
      </c>
      <c r="K543" s="505">
        <v>5628086</v>
      </c>
      <c r="L543" s="460"/>
      <c r="M543" s="505">
        <v>20903</v>
      </c>
      <c r="N543" s="505">
        <v>0</v>
      </c>
      <c r="O543" s="505">
        <v>0</v>
      </c>
      <c r="P543" s="505">
        <v>85732</v>
      </c>
      <c r="Q543" s="505">
        <v>106635</v>
      </c>
      <c r="R543" s="460"/>
      <c r="S543" s="505">
        <v>5307456</v>
      </c>
      <c r="T543" s="505">
        <v>46087</v>
      </c>
      <c r="U543" s="505">
        <v>5353543</v>
      </c>
      <c r="W543" s="454">
        <v>31438270</v>
      </c>
      <c r="X543" s="454">
        <v>6473830</v>
      </c>
    </row>
    <row r="544" spans="1:24">
      <c r="A544" s="458">
        <v>96008</v>
      </c>
      <c r="B544" s="518" t="s">
        <v>1253</v>
      </c>
      <c r="C544" s="460">
        <f t="shared" si="9"/>
        <v>5.6284899913767207E-3</v>
      </c>
      <c r="D544" s="460">
        <f>VLOOKUP(A544,'2024 summary '!A544:C1450,3,FALSE)</f>
        <v>5.5495500000000003E-3</v>
      </c>
      <c r="E544" s="505">
        <v>37944302</v>
      </c>
      <c r="F544" s="460"/>
      <c r="G544" s="505">
        <v>6649279</v>
      </c>
      <c r="H544" s="505">
        <v>5158505</v>
      </c>
      <c r="I544" s="505">
        <v>0</v>
      </c>
      <c r="J544" s="505">
        <v>0</v>
      </c>
      <c r="K544" s="505">
        <v>11807784</v>
      </c>
      <c r="L544" s="460"/>
      <c r="M544" s="505">
        <v>44707</v>
      </c>
      <c r="N544" s="505">
        <v>0</v>
      </c>
      <c r="O544" s="505">
        <v>0</v>
      </c>
      <c r="P544" s="505">
        <v>1401495</v>
      </c>
      <c r="Q544" s="505">
        <v>1446202</v>
      </c>
      <c r="R544" s="460"/>
      <c r="S544" s="505">
        <v>11351291</v>
      </c>
      <c r="T544" s="505">
        <v>-1199006</v>
      </c>
      <c r="U544" s="505">
        <v>10152285</v>
      </c>
      <c r="W544" s="454">
        <v>67238414</v>
      </c>
      <c r="X544" s="454">
        <v>13845866</v>
      </c>
    </row>
    <row r="545" spans="1:24">
      <c r="A545" s="458">
        <v>96009</v>
      </c>
      <c r="B545" s="518" t="s">
        <v>1254</v>
      </c>
      <c r="C545" s="460">
        <f t="shared" si="9"/>
        <v>3.9196994298836701E-4</v>
      </c>
      <c r="D545" s="460">
        <f>VLOOKUP(A545,'2024 summary '!A545:C1451,3,FALSE)</f>
        <v>3.6341999999999999E-4</v>
      </c>
      <c r="E545" s="505">
        <v>2642454</v>
      </c>
      <c r="F545" s="460"/>
      <c r="G545" s="505">
        <v>463058</v>
      </c>
      <c r="H545" s="505">
        <v>359240</v>
      </c>
      <c r="I545" s="505">
        <v>0</v>
      </c>
      <c r="J545" s="505">
        <v>116548</v>
      </c>
      <c r="K545" s="505">
        <v>938846</v>
      </c>
      <c r="L545" s="460"/>
      <c r="M545" s="505">
        <v>3113</v>
      </c>
      <c r="N545" s="505">
        <v>0</v>
      </c>
      <c r="O545" s="505">
        <v>0</v>
      </c>
      <c r="P545" s="505">
        <v>27397</v>
      </c>
      <c r="Q545" s="505">
        <v>30510</v>
      </c>
      <c r="R545" s="460"/>
      <c r="S545" s="505">
        <v>790508</v>
      </c>
      <c r="T545" s="505">
        <v>29513</v>
      </c>
      <c r="U545" s="505">
        <v>820021</v>
      </c>
      <c r="W545" s="454">
        <v>4682507</v>
      </c>
      <c r="X545" s="454">
        <v>964231</v>
      </c>
    </row>
    <row r="546" spans="1:24">
      <c r="A546" s="458">
        <v>96011</v>
      </c>
      <c r="B546" s="518" t="s">
        <v>1255</v>
      </c>
      <c r="C546" s="460">
        <f t="shared" si="9"/>
        <v>6.2024410037248498E-2</v>
      </c>
      <c r="D546" s="460">
        <f>VLOOKUP(A546,'2024 summary '!A546:C1452,3,FALSE)</f>
        <v>6.2813359999999999E-2</v>
      </c>
      <c r="E546" s="505">
        <v>418135761</v>
      </c>
      <c r="F546" s="460"/>
      <c r="G546" s="505">
        <v>73273219</v>
      </c>
      <c r="H546" s="505">
        <v>56845310</v>
      </c>
      <c r="I546" s="505">
        <v>0</v>
      </c>
      <c r="J546" s="505">
        <v>0</v>
      </c>
      <c r="K546" s="505">
        <v>130118529</v>
      </c>
      <c r="L546" s="460"/>
      <c r="M546" s="505">
        <v>492660</v>
      </c>
      <c r="N546" s="505">
        <v>0</v>
      </c>
      <c r="O546" s="505">
        <v>0</v>
      </c>
      <c r="P546" s="505">
        <v>7805180</v>
      </c>
      <c r="Q546" s="505">
        <v>8297840</v>
      </c>
      <c r="R546" s="460"/>
      <c r="S546" s="505">
        <v>125088101</v>
      </c>
      <c r="T546" s="505">
        <v>-2715929</v>
      </c>
      <c r="U546" s="505">
        <v>122372172</v>
      </c>
      <c r="W546" s="454">
        <v>740948812</v>
      </c>
      <c r="X546" s="454">
        <v>152577630</v>
      </c>
    </row>
    <row r="547" spans="1:24">
      <c r="A547" s="458">
        <v>96012</v>
      </c>
      <c r="B547" s="518" t="s">
        <v>3724</v>
      </c>
      <c r="C547" s="460">
        <f t="shared" si="9"/>
        <v>2.6195999394755831E-3</v>
      </c>
      <c r="D547" s="460">
        <f>VLOOKUP(A547,'2024 summary '!A547:C1453,3,FALSE)</f>
        <v>2.36725E-3</v>
      </c>
      <c r="E547" s="505">
        <v>17659957</v>
      </c>
      <c r="F547" s="460"/>
      <c r="G547" s="505">
        <v>3094693</v>
      </c>
      <c r="H547" s="505">
        <v>2400861</v>
      </c>
      <c r="I547" s="505">
        <v>0</v>
      </c>
      <c r="J547" s="505">
        <v>962157</v>
      </c>
      <c r="K547" s="505">
        <v>6457711</v>
      </c>
      <c r="L547" s="460"/>
      <c r="M547" s="505">
        <v>20807</v>
      </c>
      <c r="N547" s="505">
        <v>0</v>
      </c>
      <c r="O547" s="505">
        <v>0</v>
      </c>
      <c r="P547" s="505">
        <v>141226</v>
      </c>
      <c r="Q547" s="505">
        <v>162033</v>
      </c>
      <c r="R547" s="460"/>
      <c r="S547" s="505">
        <v>5283094</v>
      </c>
      <c r="T547" s="505">
        <v>191842</v>
      </c>
      <c r="U547" s="505">
        <v>5474936</v>
      </c>
      <c r="W547" s="454">
        <v>31293962</v>
      </c>
      <c r="X547" s="454">
        <v>6444114</v>
      </c>
    </row>
    <row r="548" spans="1:24">
      <c r="A548" s="458">
        <v>96018</v>
      </c>
      <c r="B548" s="518" t="s">
        <v>1257</v>
      </c>
      <c r="C548" s="460">
        <f t="shared" si="9"/>
        <v>3.0540070598072827E-5</v>
      </c>
      <c r="D548" s="460">
        <f>VLOOKUP(A548,'2024 summary '!A548:C1454,3,FALSE)</f>
        <v>3.4900000000000001E-5</v>
      </c>
      <c r="E548" s="505">
        <v>205885</v>
      </c>
      <c r="F548" s="460"/>
      <c r="G548" s="505">
        <v>36079</v>
      </c>
      <c r="H548" s="505">
        <v>27990</v>
      </c>
      <c r="I548" s="505">
        <v>0</v>
      </c>
      <c r="J548" s="505">
        <v>4499</v>
      </c>
      <c r="K548" s="505">
        <v>68568</v>
      </c>
      <c r="L548" s="460"/>
      <c r="M548" s="505">
        <v>243</v>
      </c>
      <c r="N548" s="505">
        <v>0</v>
      </c>
      <c r="O548" s="505">
        <v>0</v>
      </c>
      <c r="P548" s="505">
        <v>11868</v>
      </c>
      <c r="Q548" s="505">
        <v>12111</v>
      </c>
      <c r="R548" s="460"/>
      <c r="S548" s="505">
        <v>61592</v>
      </c>
      <c r="T548" s="505">
        <v>831</v>
      </c>
      <c r="U548" s="505">
        <v>62423</v>
      </c>
      <c r="W548" s="454">
        <v>364833</v>
      </c>
      <c r="X548" s="454">
        <v>75127</v>
      </c>
    </row>
    <row r="549" spans="1:24">
      <c r="A549" s="458">
        <v>96021</v>
      </c>
      <c r="B549" s="518" t="s">
        <v>1258</v>
      </c>
      <c r="C549" s="460">
        <f t="shared" si="9"/>
        <v>7.3699998214529143E-4</v>
      </c>
      <c r="D549" s="460">
        <f>VLOOKUP(A549,'2024 summary '!A549:C1455,3,FALSE)</f>
        <v>7.4982E-4</v>
      </c>
      <c r="E549" s="505">
        <v>4968464</v>
      </c>
      <c r="F549" s="460"/>
      <c r="G549" s="505">
        <v>870663</v>
      </c>
      <c r="H549" s="505">
        <v>675460</v>
      </c>
      <c r="I549" s="505">
        <v>0</v>
      </c>
      <c r="J549" s="505">
        <v>43590</v>
      </c>
      <c r="K549" s="505">
        <v>1589713</v>
      </c>
      <c r="L549" s="460"/>
      <c r="M549" s="505">
        <v>5854</v>
      </c>
      <c r="N549" s="505">
        <v>0</v>
      </c>
      <c r="O549" s="505">
        <v>0</v>
      </c>
      <c r="P549" s="505">
        <v>108054</v>
      </c>
      <c r="Q549" s="505">
        <v>113908</v>
      </c>
      <c r="R549" s="460"/>
      <c r="S549" s="505">
        <v>1486349</v>
      </c>
      <c r="T549" s="505">
        <v>-7678</v>
      </c>
      <c r="U549" s="505">
        <v>1478671</v>
      </c>
      <c r="W549" s="454">
        <v>8804264</v>
      </c>
      <c r="X549" s="454">
        <v>1812991</v>
      </c>
    </row>
    <row r="550" spans="1:24">
      <c r="A550" s="458">
        <v>96031</v>
      </c>
      <c r="B550" s="518" t="s">
        <v>1259</v>
      </c>
      <c r="C550" s="460">
        <f t="shared" si="9"/>
        <v>8.7451996869387699E-4</v>
      </c>
      <c r="D550" s="460">
        <f>VLOOKUP(A550,'2024 summary '!A550:C1456,3,FALSE)</f>
        <v>7.8377000000000004E-4</v>
      </c>
      <c r="E550" s="505">
        <v>5895551</v>
      </c>
      <c r="F550" s="460"/>
      <c r="G550" s="505">
        <v>1033124</v>
      </c>
      <c r="H550" s="505">
        <v>801497</v>
      </c>
      <c r="I550" s="505">
        <v>0</v>
      </c>
      <c r="J550" s="505">
        <v>256068</v>
      </c>
      <c r="K550" s="505">
        <v>2090689</v>
      </c>
      <c r="L550" s="460"/>
      <c r="M550" s="505">
        <v>6946</v>
      </c>
      <c r="N550" s="505">
        <v>0</v>
      </c>
      <c r="O550" s="505">
        <v>0</v>
      </c>
      <c r="P550" s="505">
        <v>95418</v>
      </c>
      <c r="Q550" s="505">
        <v>102364</v>
      </c>
      <c r="R550" s="460"/>
      <c r="S550" s="505">
        <v>1763693</v>
      </c>
      <c r="T550" s="505">
        <v>13507</v>
      </c>
      <c r="U550" s="505">
        <v>1777200</v>
      </c>
      <c r="W550" s="454">
        <v>10447089</v>
      </c>
      <c r="X550" s="454">
        <v>2151285</v>
      </c>
    </row>
    <row r="551" spans="1:24">
      <c r="A551" s="458">
        <v>96041</v>
      </c>
      <c r="B551" s="518" t="s">
        <v>1260</v>
      </c>
      <c r="C551" s="460">
        <f t="shared" si="9"/>
        <v>2.0485899914777219E-3</v>
      </c>
      <c r="D551" s="460">
        <f>VLOOKUP(A551,'2024 summary '!A551:C1457,3,FALSE)</f>
        <v>1.9183500000000001E-3</v>
      </c>
      <c r="E551" s="505">
        <v>13810510</v>
      </c>
      <c r="F551" s="460"/>
      <c r="G551" s="505">
        <v>2420124</v>
      </c>
      <c r="H551" s="505">
        <v>1877531</v>
      </c>
      <c r="I551" s="505">
        <v>0</v>
      </c>
      <c r="J551" s="505">
        <v>349576</v>
      </c>
      <c r="K551" s="505">
        <v>4647231</v>
      </c>
      <c r="L551" s="460"/>
      <c r="M551" s="505">
        <v>16272</v>
      </c>
      <c r="N551" s="505">
        <v>0</v>
      </c>
      <c r="O551" s="505">
        <v>0</v>
      </c>
      <c r="P551" s="505">
        <v>129735</v>
      </c>
      <c r="Q551" s="505">
        <v>146007</v>
      </c>
      <c r="R551" s="460"/>
      <c r="S551" s="505">
        <v>4131506</v>
      </c>
      <c r="T551" s="505">
        <v>94460</v>
      </c>
      <c r="U551" s="505">
        <v>4225966</v>
      </c>
      <c r="W551" s="454">
        <v>24472628</v>
      </c>
      <c r="X551" s="454">
        <v>5039452</v>
      </c>
    </row>
    <row r="552" spans="1:24">
      <c r="A552" s="458">
        <v>96051</v>
      </c>
      <c r="B552" s="518" t="s">
        <v>1261</v>
      </c>
      <c r="C552" s="460">
        <f t="shared" si="9"/>
        <v>1.1382899978720682E-3</v>
      </c>
      <c r="D552" s="460">
        <f>VLOOKUP(A552,'2024 summary '!A552:C1458,3,FALSE)</f>
        <v>1.02903E-3</v>
      </c>
      <c r="E552" s="505">
        <v>7673749</v>
      </c>
      <c r="F552" s="460"/>
      <c r="G552" s="505">
        <v>1344731</v>
      </c>
      <c r="H552" s="505">
        <v>1043242</v>
      </c>
      <c r="I552" s="505">
        <v>0</v>
      </c>
      <c r="J552" s="505">
        <v>354543</v>
      </c>
      <c r="K552" s="505">
        <v>2742516</v>
      </c>
      <c r="L552" s="460"/>
      <c r="M552" s="505">
        <v>9041</v>
      </c>
      <c r="N552" s="505">
        <v>0</v>
      </c>
      <c r="O552" s="505">
        <v>0</v>
      </c>
      <c r="P552" s="505">
        <v>44451</v>
      </c>
      <c r="Q552" s="505">
        <v>53492</v>
      </c>
      <c r="R552" s="460"/>
      <c r="S552" s="505">
        <v>2295653</v>
      </c>
      <c r="T552" s="505">
        <v>74425</v>
      </c>
      <c r="U552" s="505">
        <v>2370078</v>
      </c>
      <c r="W552" s="454">
        <v>13598108</v>
      </c>
      <c r="X552" s="454">
        <v>2800149</v>
      </c>
    </row>
    <row r="553" spans="1:24">
      <c r="A553" s="458">
        <v>96061</v>
      </c>
      <c r="B553" s="518" t="s">
        <v>1262</v>
      </c>
      <c r="C553" s="460">
        <f t="shared" si="9"/>
        <v>3.9521003703151588E-4</v>
      </c>
      <c r="D553" s="460">
        <f>VLOOKUP(A553,'2024 summary '!A553:C1459,3,FALSE)</f>
        <v>3.7237000000000001E-4</v>
      </c>
      <c r="E553" s="505">
        <v>2664297</v>
      </c>
      <c r="F553" s="460"/>
      <c r="G553" s="505">
        <v>466886</v>
      </c>
      <c r="H553" s="505">
        <v>362210</v>
      </c>
      <c r="I553" s="505">
        <v>0</v>
      </c>
      <c r="J553" s="505">
        <v>69182</v>
      </c>
      <c r="K553" s="505">
        <v>898278</v>
      </c>
      <c r="L553" s="460"/>
      <c r="M553" s="505">
        <v>3139</v>
      </c>
      <c r="N553" s="505">
        <v>0</v>
      </c>
      <c r="O553" s="505">
        <v>0</v>
      </c>
      <c r="P553" s="505">
        <v>26181</v>
      </c>
      <c r="Q553" s="505">
        <v>29320</v>
      </c>
      <c r="R553" s="460"/>
      <c r="S553" s="505">
        <v>797042</v>
      </c>
      <c r="T553" s="505">
        <v>17290</v>
      </c>
      <c r="U553" s="505">
        <v>814332</v>
      </c>
      <c r="W553" s="454">
        <v>4721212</v>
      </c>
      <c r="X553" s="454">
        <v>972201</v>
      </c>
    </row>
    <row r="554" spans="1:24">
      <c r="A554" s="458">
        <v>96071</v>
      </c>
      <c r="B554" s="518" t="s">
        <v>1263</v>
      </c>
      <c r="C554" s="460">
        <f t="shared" si="9"/>
        <v>1.4180299837768745E-3</v>
      </c>
      <c r="D554" s="460">
        <f>VLOOKUP(A554,'2024 summary '!A554:C1460,3,FALSE)</f>
        <v>1.3377199999999999E-3</v>
      </c>
      <c r="E554" s="505">
        <v>9559608</v>
      </c>
      <c r="F554" s="460"/>
      <c r="G554" s="505">
        <v>1675205</v>
      </c>
      <c r="H554" s="505">
        <v>1299623</v>
      </c>
      <c r="I554" s="505">
        <v>0</v>
      </c>
      <c r="J554" s="505">
        <v>291228</v>
      </c>
      <c r="K554" s="505">
        <v>3266056</v>
      </c>
      <c r="L554" s="460"/>
      <c r="M554" s="505">
        <v>11263</v>
      </c>
      <c r="N554" s="505">
        <v>0</v>
      </c>
      <c r="O554" s="505">
        <v>0</v>
      </c>
      <c r="P554" s="505">
        <v>270</v>
      </c>
      <c r="Q554" s="505">
        <v>11533</v>
      </c>
      <c r="R554" s="460"/>
      <c r="S554" s="505">
        <v>2859821</v>
      </c>
      <c r="T554" s="505">
        <v>121163</v>
      </c>
      <c r="U554" s="505">
        <v>2980984</v>
      </c>
      <c r="W554" s="454">
        <v>16939905</v>
      </c>
      <c r="X554" s="454">
        <v>3488298</v>
      </c>
    </row>
    <row r="555" spans="1:24">
      <c r="A555" s="458">
        <v>96081</v>
      </c>
      <c r="B555" s="518" t="s">
        <v>1264</v>
      </c>
      <c r="C555" s="460">
        <f t="shared" si="9"/>
        <v>7.0675999442270689E-4</v>
      </c>
      <c r="D555" s="460">
        <f>VLOOKUP(A555,'2024 summary '!A555:C1461,3,FALSE)</f>
        <v>6.7270000000000003E-4</v>
      </c>
      <c r="E555" s="505">
        <v>4764602</v>
      </c>
      <c r="F555" s="460"/>
      <c r="G555" s="505">
        <v>834939</v>
      </c>
      <c r="H555" s="505">
        <v>647745</v>
      </c>
      <c r="I555" s="505">
        <v>0</v>
      </c>
      <c r="J555" s="505">
        <v>112713</v>
      </c>
      <c r="K555" s="505">
        <v>1595397</v>
      </c>
      <c r="L555" s="460"/>
      <c r="M555" s="505">
        <v>5614</v>
      </c>
      <c r="N555" s="505">
        <v>0</v>
      </c>
      <c r="O555" s="505">
        <v>0</v>
      </c>
      <c r="P555" s="505">
        <v>25910</v>
      </c>
      <c r="Q555" s="505">
        <v>31524</v>
      </c>
      <c r="R555" s="460"/>
      <c r="S555" s="505">
        <v>1425362</v>
      </c>
      <c r="T555" s="505">
        <v>60452</v>
      </c>
      <c r="U555" s="505">
        <v>1485814</v>
      </c>
      <c r="W555" s="454">
        <v>8443014</v>
      </c>
      <c r="X555" s="454">
        <v>1738602</v>
      </c>
    </row>
    <row r="556" spans="1:24">
      <c r="A556" s="458">
        <v>96101</v>
      </c>
      <c r="B556" s="518" t="s">
        <v>1265</v>
      </c>
      <c r="C556" s="460">
        <f t="shared" si="9"/>
        <v>6.5023998558358549E-4</v>
      </c>
      <c r="D556" s="460">
        <f>VLOOKUP(A556,'2024 summary '!A556:C1462,3,FALSE)</f>
        <v>6.4908999999999995E-4</v>
      </c>
      <c r="E556" s="505">
        <v>4383574</v>
      </c>
      <c r="F556" s="460"/>
      <c r="G556" s="505">
        <v>768168</v>
      </c>
      <c r="H556" s="505">
        <v>595944</v>
      </c>
      <c r="I556" s="505">
        <v>0</v>
      </c>
      <c r="J556" s="505">
        <v>123046</v>
      </c>
      <c r="K556" s="505">
        <v>1487158</v>
      </c>
      <c r="L556" s="460"/>
      <c r="M556" s="505">
        <v>5165</v>
      </c>
      <c r="N556" s="505">
        <v>0</v>
      </c>
      <c r="O556" s="505">
        <v>0</v>
      </c>
      <c r="P556" s="505">
        <v>71439</v>
      </c>
      <c r="Q556" s="505">
        <v>76604</v>
      </c>
      <c r="R556" s="460"/>
      <c r="S556" s="505">
        <v>1311375</v>
      </c>
      <c r="T556" s="505">
        <v>59465</v>
      </c>
      <c r="U556" s="505">
        <v>1370840</v>
      </c>
      <c r="W556" s="454">
        <v>7767822</v>
      </c>
      <c r="X556" s="454">
        <v>1599565</v>
      </c>
    </row>
    <row r="557" spans="1:24">
      <c r="A557" s="458">
        <v>96102</v>
      </c>
      <c r="B557" s="518" t="s">
        <v>1266</v>
      </c>
      <c r="C557" s="460">
        <f t="shared" si="9"/>
        <v>5.3200555261426623E-6</v>
      </c>
      <c r="D557" s="460">
        <f>VLOOKUP(A557,'2024 summary '!A557:C1463,3,FALSE)</f>
        <v>6.2999999999999998E-6</v>
      </c>
      <c r="E557" s="505">
        <v>35865</v>
      </c>
      <c r="F557" s="460"/>
      <c r="G557" s="505">
        <v>6285</v>
      </c>
      <c r="H557" s="505">
        <v>4876</v>
      </c>
      <c r="I557" s="505">
        <v>0</v>
      </c>
      <c r="J557" s="505">
        <v>421</v>
      </c>
      <c r="K557" s="505">
        <v>11582</v>
      </c>
      <c r="L557" s="460"/>
      <c r="M557" s="505">
        <v>42</v>
      </c>
      <c r="N557" s="505">
        <v>0</v>
      </c>
      <c r="O557" s="505">
        <v>0</v>
      </c>
      <c r="P557" s="505">
        <v>4680</v>
      </c>
      <c r="Q557" s="505">
        <v>4722</v>
      </c>
      <c r="R557" s="460"/>
      <c r="S557" s="505">
        <v>10729</v>
      </c>
      <c r="T557" s="505">
        <v>-3240</v>
      </c>
      <c r="U557" s="505">
        <v>7489</v>
      </c>
      <c r="W557" s="454">
        <v>63553</v>
      </c>
      <c r="X557" s="454">
        <v>13087</v>
      </c>
    </row>
    <row r="558" spans="1:24">
      <c r="A558" s="458">
        <v>96111</v>
      </c>
      <c r="B558" s="518" t="s">
        <v>1267</v>
      </c>
      <c r="C558" s="460">
        <f t="shared" si="9"/>
        <v>1.6925000515811015E-4</v>
      </c>
      <c r="D558" s="460">
        <f>VLOOKUP(A558,'2024 summary '!A558:C1464,3,FALSE)</f>
        <v>1.7618000000000001E-4</v>
      </c>
      <c r="E558" s="505">
        <v>1140994</v>
      </c>
      <c r="F558" s="460"/>
      <c r="G558" s="505">
        <v>199945</v>
      </c>
      <c r="H558" s="505">
        <v>155117</v>
      </c>
      <c r="I558" s="505">
        <v>0</v>
      </c>
      <c r="J558" s="505">
        <v>11573</v>
      </c>
      <c r="K558" s="505">
        <v>366635</v>
      </c>
      <c r="L558" s="460"/>
      <c r="M558" s="505">
        <v>1344</v>
      </c>
      <c r="N558" s="505">
        <v>0</v>
      </c>
      <c r="O558" s="505">
        <v>0</v>
      </c>
      <c r="P558" s="505">
        <v>31360</v>
      </c>
      <c r="Q558" s="505">
        <v>32704</v>
      </c>
      <c r="R558" s="460"/>
      <c r="S558" s="505">
        <v>341336</v>
      </c>
      <c r="T558" s="505">
        <v>1125</v>
      </c>
      <c r="U558" s="505">
        <v>342461</v>
      </c>
      <c r="W558" s="454">
        <v>2021875</v>
      </c>
      <c r="X558" s="454">
        <v>416348</v>
      </c>
    </row>
    <row r="559" spans="1:24">
      <c r="A559" s="458">
        <v>96121</v>
      </c>
      <c r="B559" s="518" t="s">
        <v>1268</v>
      </c>
      <c r="C559" s="460">
        <f t="shared" si="9"/>
        <v>1.1210016345229423E-5</v>
      </c>
      <c r="D559" s="460">
        <f>VLOOKUP(A559,'2024 summary '!A559:C1465,3,FALSE)</f>
        <v>1.5319999999999999E-5</v>
      </c>
      <c r="E559" s="505">
        <v>75572</v>
      </c>
      <c r="F559" s="460"/>
      <c r="G559" s="505">
        <v>13243</v>
      </c>
      <c r="H559" s="505">
        <v>10274</v>
      </c>
      <c r="I559" s="505">
        <v>0</v>
      </c>
      <c r="J559" s="505">
        <v>176</v>
      </c>
      <c r="K559" s="505">
        <v>23693</v>
      </c>
      <c r="L559" s="460"/>
      <c r="M559" s="505">
        <v>89</v>
      </c>
      <c r="N559" s="505">
        <v>0</v>
      </c>
      <c r="O559" s="505">
        <v>0</v>
      </c>
      <c r="P559" s="505">
        <v>16534</v>
      </c>
      <c r="Q559" s="505">
        <v>16623</v>
      </c>
      <c r="R559" s="460"/>
      <c r="S559" s="505">
        <v>22608</v>
      </c>
      <c r="T559" s="505">
        <v>-6120</v>
      </c>
      <c r="U559" s="505">
        <v>16488</v>
      </c>
      <c r="W559" s="454">
        <v>133916</v>
      </c>
      <c r="X559" s="454">
        <v>27576</v>
      </c>
    </row>
    <row r="560" spans="1:24">
      <c r="A560" s="458">
        <v>96201</v>
      </c>
      <c r="B560" s="518" t="s">
        <v>1269</v>
      </c>
      <c r="C560" s="460">
        <f t="shared" si="9"/>
        <v>1.0601699554209354E-3</v>
      </c>
      <c r="D560" s="460">
        <f>VLOOKUP(A560,'2024 summary '!A560:C1466,3,FALSE)</f>
        <v>1.01621E-3</v>
      </c>
      <c r="E560" s="505">
        <v>7147105</v>
      </c>
      <c r="F560" s="460"/>
      <c r="G560" s="505">
        <v>1252443</v>
      </c>
      <c r="H560" s="505">
        <v>971645</v>
      </c>
      <c r="I560" s="505">
        <v>0</v>
      </c>
      <c r="J560" s="505">
        <v>298594</v>
      </c>
      <c r="K560" s="505">
        <v>2522682</v>
      </c>
      <c r="L560" s="460"/>
      <c r="M560" s="505">
        <v>8421</v>
      </c>
      <c r="N560" s="505">
        <v>0</v>
      </c>
      <c r="O560" s="505">
        <v>0</v>
      </c>
      <c r="P560" s="505">
        <v>169048</v>
      </c>
      <c r="Q560" s="505">
        <v>177469</v>
      </c>
      <c r="R560" s="460"/>
      <c r="S560" s="505">
        <v>2138104</v>
      </c>
      <c r="T560" s="505">
        <v>103581</v>
      </c>
      <c r="U560" s="505">
        <v>2241685</v>
      </c>
      <c r="W560" s="454">
        <v>12664880</v>
      </c>
      <c r="X560" s="454">
        <v>2607977</v>
      </c>
    </row>
    <row r="561" spans="1:24">
      <c r="A561" s="458">
        <v>96204</v>
      </c>
      <c r="B561" s="518" t="s">
        <v>1270</v>
      </c>
      <c r="C561" s="460">
        <f t="shared" si="9"/>
        <v>1.2109968300537036E-5</v>
      </c>
      <c r="D561" s="460">
        <f>VLOOKUP(A561,'2024 summary '!A561:C1467,3,FALSE)</f>
        <v>1.3519999999999999E-5</v>
      </c>
      <c r="E561" s="505">
        <v>81639</v>
      </c>
      <c r="F561" s="460"/>
      <c r="G561" s="505">
        <v>14306</v>
      </c>
      <c r="H561" s="505">
        <v>11099</v>
      </c>
      <c r="I561" s="505">
        <v>0</v>
      </c>
      <c r="J561" s="505">
        <v>3709</v>
      </c>
      <c r="K561" s="505">
        <v>29114</v>
      </c>
      <c r="L561" s="460"/>
      <c r="M561" s="505">
        <v>96</v>
      </c>
      <c r="N561" s="505">
        <v>0</v>
      </c>
      <c r="O561" s="505">
        <v>0</v>
      </c>
      <c r="P561" s="505">
        <v>2805</v>
      </c>
      <c r="Q561" s="505">
        <v>2901</v>
      </c>
      <c r="R561" s="460"/>
      <c r="S561" s="505">
        <v>24423</v>
      </c>
      <c r="T561" s="505">
        <v>2508</v>
      </c>
      <c r="U561" s="505">
        <v>26931</v>
      </c>
      <c r="W561" s="454">
        <v>144667</v>
      </c>
      <c r="X561" s="454">
        <v>29790</v>
      </c>
    </row>
    <row r="562" spans="1:24">
      <c r="A562" s="458">
        <v>96211</v>
      </c>
      <c r="B562" s="518" t="s">
        <v>1271</v>
      </c>
      <c r="C562" s="460">
        <f t="shared" si="9"/>
        <v>2.9750035306500661E-5</v>
      </c>
      <c r="D562" s="460">
        <f>VLOOKUP(A562,'2024 summary '!A562:C1468,3,FALSE)</f>
        <v>1.838E-5</v>
      </c>
      <c r="E562" s="505">
        <v>200559</v>
      </c>
      <c r="F562" s="460"/>
      <c r="G562" s="505">
        <v>35145</v>
      </c>
      <c r="H562" s="505">
        <v>27266</v>
      </c>
      <c r="I562" s="505">
        <v>0</v>
      </c>
      <c r="J562" s="505">
        <v>57049</v>
      </c>
      <c r="K562" s="505">
        <v>119460</v>
      </c>
      <c r="L562" s="460"/>
      <c r="M562" s="505">
        <v>236</v>
      </c>
      <c r="N562" s="505">
        <v>0</v>
      </c>
      <c r="O562" s="505">
        <v>0</v>
      </c>
      <c r="P562" s="505">
        <v>1574</v>
      </c>
      <c r="Q562" s="505">
        <v>1810</v>
      </c>
      <c r="R562" s="460"/>
      <c r="S562" s="505">
        <v>59998</v>
      </c>
      <c r="T562" s="505">
        <v>23536</v>
      </c>
      <c r="U562" s="505">
        <v>83534</v>
      </c>
      <c r="W562" s="454">
        <v>355396</v>
      </c>
      <c r="X562" s="454">
        <v>73184</v>
      </c>
    </row>
    <row r="563" spans="1:24">
      <c r="A563" s="458">
        <v>96221</v>
      </c>
      <c r="B563" s="518" t="s">
        <v>1272</v>
      </c>
      <c r="C563" s="460">
        <f t="shared" si="9"/>
        <v>1.8106997740250307E-4</v>
      </c>
      <c r="D563" s="460">
        <f>VLOOKUP(A563,'2024 summary '!A563:C1469,3,FALSE)</f>
        <v>1.6636999999999999E-4</v>
      </c>
      <c r="E563" s="505">
        <v>1220678</v>
      </c>
      <c r="F563" s="460"/>
      <c r="G563" s="505">
        <v>213909</v>
      </c>
      <c r="H563" s="505">
        <v>165950</v>
      </c>
      <c r="I563" s="505">
        <v>0</v>
      </c>
      <c r="J563" s="505">
        <v>41535</v>
      </c>
      <c r="K563" s="505">
        <v>421394</v>
      </c>
      <c r="L563" s="460"/>
      <c r="M563" s="505">
        <v>1438</v>
      </c>
      <c r="N563" s="505">
        <v>0</v>
      </c>
      <c r="O563" s="505">
        <v>0</v>
      </c>
      <c r="P563" s="505">
        <v>40025</v>
      </c>
      <c r="Q563" s="505">
        <v>41463</v>
      </c>
      <c r="R563" s="460"/>
      <c r="S563" s="505">
        <v>365174</v>
      </c>
      <c r="T563" s="505">
        <v>-7960</v>
      </c>
      <c r="U563" s="505">
        <v>357214</v>
      </c>
      <c r="W563" s="454">
        <v>2163077</v>
      </c>
      <c r="X563" s="454">
        <v>445425</v>
      </c>
    </row>
    <row r="564" spans="1:24">
      <c r="A564" s="458">
        <v>96231</v>
      </c>
      <c r="B564" s="518" t="s">
        <v>1273</v>
      </c>
      <c r="C564" s="460">
        <f t="shared" si="9"/>
        <v>1.0088006028772067E-4</v>
      </c>
      <c r="D564" s="460">
        <f>VLOOKUP(A564,'2024 summary '!A564:C1470,3,FALSE)</f>
        <v>1.1379000000000001E-4</v>
      </c>
      <c r="E564" s="505">
        <v>680080</v>
      </c>
      <c r="F564" s="460"/>
      <c r="G564" s="505">
        <v>119176</v>
      </c>
      <c r="H564" s="505">
        <v>92456</v>
      </c>
      <c r="I564" s="505">
        <v>0</v>
      </c>
      <c r="J564" s="505">
        <v>13471</v>
      </c>
      <c r="K564" s="505">
        <v>225103</v>
      </c>
      <c r="L564" s="460"/>
      <c r="M564" s="505">
        <v>801</v>
      </c>
      <c r="N564" s="505">
        <v>0</v>
      </c>
      <c r="O564" s="505">
        <v>0</v>
      </c>
      <c r="P564" s="505">
        <v>35479</v>
      </c>
      <c r="Q564" s="505">
        <v>36280</v>
      </c>
      <c r="R564" s="460"/>
      <c r="S564" s="505">
        <v>203450</v>
      </c>
      <c r="T564" s="505">
        <v>-4311</v>
      </c>
      <c r="U564" s="505">
        <v>199139</v>
      </c>
      <c r="W564" s="454">
        <v>1205121</v>
      </c>
      <c r="X564" s="454">
        <v>248161</v>
      </c>
    </row>
    <row r="565" spans="1:24">
      <c r="A565" s="458">
        <v>96241</v>
      </c>
      <c r="B565" s="518" t="s">
        <v>1274</v>
      </c>
      <c r="C565" s="460">
        <f t="shared" si="9"/>
        <v>4.7649986246154566E-5</v>
      </c>
      <c r="D565" s="460">
        <f>VLOOKUP(A565,'2024 summary '!A565:C1471,3,FALSE)</f>
        <v>5.0930000000000002E-5</v>
      </c>
      <c r="E565" s="505">
        <v>321231</v>
      </c>
      <c r="F565" s="460"/>
      <c r="G565" s="505">
        <v>56292</v>
      </c>
      <c r="H565" s="505">
        <v>43671</v>
      </c>
      <c r="I565" s="505">
        <v>0</v>
      </c>
      <c r="J565" s="505">
        <v>1534</v>
      </c>
      <c r="K565" s="505">
        <v>101497</v>
      </c>
      <c r="L565" s="460"/>
      <c r="M565" s="505">
        <v>378</v>
      </c>
      <c r="N565" s="505">
        <v>0</v>
      </c>
      <c r="O565" s="505">
        <v>0</v>
      </c>
      <c r="P565" s="505">
        <v>26530</v>
      </c>
      <c r="Q565" s="505">
        <v>26908</v>
      </c>
      <c r="R565" s="460"/>
      <c r="S565" s="505">
        <v>96098</v>
      </c>
      <c r="T565" s="505">
        <v>-15527</v>
      </c>
      <c r="U565" s="505">
        <v>80571</v>
      </c>
      <c r="W565" s="454">
        <v>569231</v>
      </c>
      <c r="X565" s="454">
        <v>117217</v>
      </c>
    </row>
    <row r="566" spans="1:24">
      <c r="A566" s="458">
        <v>96251</v>
      </c>
      <c r="B566" s="518" t="s">
        <v>1275</v>
      </c>
      <c r="C566" s="460">
        <f t="shared" si="9"/>
        <v>8.352998933790116E-5</v>
      </c>
      <c r="D566" s="460">
        <f>VLOOKUP(A566,'2024 summary '!A566:C1472,3,FALSE)</f>
        <v>1.0726E-4</v>
      </c>
      <c r="E566" s="505">
        <v>563115</v>
      </c>
      <c r="F566" s="460"/>
      <c r="G566" s="505">
        <v>98679</v>
      </c>
      <c r="H566" s="505">
        <v>76555</v>
      </c>
      <c r="I566" s="505">
        <v>0</v>
      </c>
      <c r="J566" s="505">
        <v>11320</v>
      </c>
      <c r="K566" s="505">
        <v>186554</v>
      </c>
      <c r="L566" s="460"/>
      <c r="M566" s="505">
        <v>663</v>
      </c>
      <c r="N566" s="505">
        <v>0</v>
      </c>
      <c r="O566" s="505">
        <v>0</v>
      </c>
      <c r="P566" s="505">
        <v>77448</v>
      </c>
      <c r="Q566" s="505">
        <v>78111</v>
      </c>
      <c r="R566" s="460"/>
      <c r="S566" s="505">
        <v>168460</v>
      </c>
      <c r="T566" s="505">
        <v>-18214</v>
      </c>
      <c r="U566" s="505">
        <v>150246</v>
      </c>
      <c r="W566" s="454">
        <v>997856</v>
      </c>
      <c r="X566" s="454">
        <v>205481</v>
      </c>
    </row>
    <row r="567" spans="1:24">
      <c r="A567" s="458">
        <v>96301</v>
      </c>
      <c r="B567" s="518" t="s">
        <v>1276</v>
      </c>
      <c r="C567" s="460">
        <f t="shared" si="9"/>
        <v>4.7613799781757449E-3</v>
      </c>
      <c r="D567" s="460">
        <f>VLOOKUP(A567,'2024 summary '!A567:C1473,3,FALSE)</f>
        <v>4.7950400000000004E-3</v>
      </c>
      <c r="E567" s="505">
        <v>32098705</v>
      </c>
      <c r="F567" s="460"/>
      <c r="G567" s="505">
        <v>5624909</v>
      </c>
      <c r="H567" s="505">
        <v>4363800</v>
      </c>
      <c r="I567" s="505">
        <v>0</v>
      </c>
      <c r="J567" s="505">
        <v>264495</v>
      </c>
      <c r="K567" s="505">
        <v>10253204</v>
      </c>
      <c r="L567" s="460"/>
      <c r="M567" s="505">
        <v>37820</v>
      </c>
      <c r="N567" s="505">
        <v>0</v>
      </c>
      <c r="O567" s="505">
        <v>0</v>
      </c>
      <c r="P567" s="505">
        <v>376782</v>
      </c>
      <c r="Q567" s="505">
        <v>414602</v>
      </c>
      <c r="R567" s="460"/>
      <c r="S567" s="505">
        <v>9602542</v>
      </c>
      <c r="T567" s="505">
        <v>-128126</v>
      </c>
      <c r="U567" s="505">
        <v>9474416</v>
      </c>
      <c r="W567" s="454">
        <v>56879845</v>
      </c>
      <c r="X567" s="454">
        <v>11712809</v>
      </c>
    </row>
    <row r="568" spans="1:24">
      <c r="A568" s="458">
        <v>96302</v>
      </c>
      <c r="B568" s="518" t="s">
        <v>1277</v>
      </c>
      <c r="C568" s="460">
        <f t="shared" si="9"/>
        <v>1.9749992275832668E-5</v>
      </c>
      <c r="D568" s="460">
        <f>VLOOKUP(A568,'2024 summary '!A568:C1474,3,FALSE)</f>
        <v>2.317E-5</v>
      </c>
      <c r="E568" s="505">
        <v>133144</v>
      </c>
      <c r="F568" s="460"/>
      <c r="G568" s="505">
        <v>23332</v>
      </c>
      <c r="H568" s="505">
        <v>18101</v>
      </c>
      <c r="I568" s="505">
        <v>0</v>
      </c>
      <c r="J568" s="505">
        <v>9735</v>
      </c>
      <c r="K568" s="505">
        <v>51168</v>
      </c>
      <c r="L568" s="460"/>
      <c r="M568" s="505">
        <v>157</v>
      </c>
      <c r="N568" s="505">
        <v>0</v>
      </c>
      <c r="O568" s="505">
        <v>0</v>
      </c>
      <c r="P568" s="505">
        <v>11035</v>
      </c>
      <c r="Q568" s="505">
        <v>11192</v>
      </c>
      <c r="R568" s="460"/>
      <c r="S568" s="505">
        <v>39831</v>
      </c>
      <c r="T568" s="505">
        <v>-13893</v>
      </c>
      <c r="U568" s="505">
        <v>25938</v>
      </c>
      <c r="W568" s="454">
        <v>235935</v>
      </c>
      <c r="X568" s="454">
        <v>48584</v>
      </c>
    </row>
    <row r="569" spans="1:24">
      <c r="A569" s="458">
        <v>96304</v>
      </c>
      <c r="B569" s="518" t="s">
        <v>1278</v>
      </c>
      <c r="C569" s="460">
        <f t="shared" si="9"/>
        <v>7.3950032665801022E-5</v>
      </c>
      <c r="D569" s="460">
        <f>VLOOKUP(A569,'2024 summary '!A569:C1475,3,FALSE)</f>
        <v>5.5810000000000003E-5</v>
      </c>
      <c r="E569" s="505">
        <v>498532</v>
      </c>
      <c r="F569" s="460"/>
      <c r="G569" s="505">
        <v>87362</v>
      </c>
      <c r="H569" s="505">
        <v>67775</v>
      </c>
      <c r="I569" s="505">
        <v>0</v>
      </c>
      <c r="J569" s="505">
        <v>68247</v>
      </c>
      <c r="K569" s="505">
        <v>223384</v>
      </c>
      <c r="L569" s="460"/>
      <c r="M569" s="505">
        <v>587</v>
      </c>
      <c r="N569" s="505">
        <v>0</v>
      </c>
      <c r="O569" s="505">
        <v>0</v>
      </c>
      <c r="P569" s="505">
        <v>568</v>
      </c>
      <c r="Q569" s="505">
        <v>1155</v>
      </c>
      <c r="R569" s="460"/>
      <c r="S569" s="505">
        <v>149139</v>
      </c>
      <c r="T569" s="505">
        <v>27002</v>
      </c>
      <c r="U569" s="505">
        <v>176141</v>
      </c>
      <c r="W569" s="454">
        <v>883413</v>
      </c>
      <c r="X569" s="454">
        <v>181914</v>
      </c>
    </row>
    <row r="570" spans="1:24">
      <c r="A570" s="458">
        <v>96305</v>
      </c>
      <c r="B570" s="518" t="s">
        <v>1279</v>
      </c>
      <c r="C570" s="460">
        <f t="shared" si="9"/>
        <v>3.8140043967149065E-5</v>
      </c>
      <c r="D570" s="460">
        <f>VLOOKUP(A570,'2024 summary '!A570:C1476,3,FALSE)</f>
        <v>3.8810000000000003E-5</v>
      </c>
      <c r="E570" s="505">
        <v>257120</v>
      </c>
      <c r="F570" s="460"/>
      <c r="G570" s="505">
        <v>45057</v>
      </c>
      <c r="H570" s="505">
        <v>34955</v>
      </c>
      <c r="I570" s="505">
        <v>0</v>
      </c>
      <c r="J570" s="505">
        <v>3533</v>
      </c>
      <c r="K570" s="505">
        <v>83545</v>
      </c>
      <c r="L570" s="460"/>
      <c r="M570" s="505">
        <v>303</v>
      </c>
      <c r="N570" s="505">
        <v>0</v>
      </c>
      <c r="O570" s="505">
        <v>0</v>
      </c>
      <c r="P570" s="505">
        <v>57</v>
      </c>
      <c r="Q570" s="505">
        <v>360</v>
      </c>
      <c r="R570" s="460"/>
      <c r="S570" s="505">
        <v>76919</v>
      </c>
      <c r="T570" s="505">
        <v>2561</v>
      </c>
      <c r="U570" s="505">
        <v>79480</v>
      </c>
      <c r="W570" s="454">
        <v>455624</v>
      </c>
      <c r="X570" s="454">
        <v>93823</v>
      </c>
    </row>
    <row r="571" spans="1:24">
      <c r="A571" s="458">
        <v>96310</v>
      </c>
      <c r="B571" s="518" t="s">
        <v>1280</v>
      </c>
      <c r="C571" s="460">
        <f t="shared" si="9"/>
        <v>6.4840003106675096E-5</v>
      </c>
      <c r="D571" s="460">
        <f>VLOOKUP(A571,'2024 summary '!A571:C1477,3,FALSE)</f>
        <v>4.7809999999999998E-5</v>
      </c>
      <c r="E571" s="505">
        <v>437117</v>
      </c>
      <c r="F571" s="460"/>
      <c r="G571" s="505">
        <v>76599</v>
      </c>
      <c r="H571" s="505">
        <v>59426</v>
      </c>
      <c r="I571" s="505">
        <v>0</v>
      </c>
      <c r="J571" s="505">
        <v>72263</v>
      </c>
      <c r="K571" s="505">
        <v>208288</v>
      </c>
      <c r="L571" s="460"/>
      <c r="M571" s="505">
        <v>515</v>
      </c>
      <c r="N571" s="505">
        <v>0</v>
      </c>
      <c r="O571" s="505">
        <v>0</v>
      </c>
      <c r="P571" s="505">
        <v>7274</v>
      </c>
      <c r="Q571" s="505">
        <v>7789</v>
      </c>
      <c r="R571" s="460"/>
      <c r="S571" s="505">
        <v>130766</v>
      </c>
      <c r="T571" s="505">
        <v>30217</v>
      </c>
      <c r="U571" s="505">
        <v>160983</v>
      </c>
      <c r="W571" s="454">
        <v>774584</v>
      </c>
      <c r="X571" s="454">
        <v>159504</v>
      </c>
    </row>
    <row r="572" spans="1:24">
      <c r="A572" s="458">
        <v>96311</v>
      </c>
      <c r="B572" s="518" t="s">
        <v>1281</v>
      </c>
      <c r="C572" s="460">
        <f t="shared" si="9"/>
        <v>1.3340800564159842E-3</v>
      </c>
      <c r="D572" s="460">
        <f>VLOOKUP(A572,'2024 summary '!A572:C1478,3,FALSE)</f>
        <v>1.3292099999999999E-3</v>
      </c>
      <c r="E572" s="505">
        <v>8993662</v>
      </c>
      <c r="F572" s="460"/>
      <c r="G572" s="505">
        <v>1576030</v>
      </c>
      <c r="H572" s="505">
        <v>1222683</v>
      </c>
      <c r="I572" s="505">
        <v>0</v>
      </c>
      <c r="J572" s="505">
        <v>27109</v>
      </c>
      <c r="K572" s="505">
        <v>2825822</v>
      </c>
      <c r="L572" s="460"/>
      <c r="M572" s="505">
        <v>10597</v>
      </c>
      <c r="N572" s="505">
        <v>0</v>
      </c>
      <c r="O572" s="505">
        <v>0</v>
      </c>
      <c r="P572" s="505">
        <v>169399</v>
      </c>
      <c r="Q572" s="505">
        <v>179996</v>
      </c>
      <c r="R572" s="460"/>
      <c r="S572" s="505">
        <v>2690514</v>
      </c>
      <c r="T572" s="505">
        <v>-109943</v>
      </c>
      <c r="U572" s="505">
        <v>2580571</v>
      </c>
      <c r="W572" s="454">
        <v>15937032</v>
      </c>
      <c r="X572" s="454">
        <v>3281785</v>
      </c>
    </row>
    <row r="573" spans="1:24">
      <c r="A573" s="458">
        <v>96312</v>
      </c>
      <c r="B573" s="518" t="s">
        <v>1282</v>
      </c>
      <c r="C573" s="460">
        <f t="shared" si="9"/>
        <v>1.4130002209780331E-5</v>
      </c>
      <c r="D573" s="460">
        <f>VLOOKUP(A573,'2024 summary '!A573:C1479,3,FALSE)</f>
        <v>6.5599999999999999E-6</v>
      </c>
      <c r="E573" s="505">
        <v>95257</v>
      </c>
      <c r="F573" s="460"/>
      <c r="G573" s="505">
        <v>16693</v>
      </c>
      <c r="H573" s="505">
        <v>12950</v>
      </c>
      <c r="I573" s="505">
        <v>0</v>
      </c>
      <c r="J573" s="505">
        <v>21359</v>
      </c>
      <c r="K573" s="505">
        <v>51002</v>
      </c>
      <c r="L573" s="460"/>
      <c r="M573" s="505">
        <v>112</v>
      </c>
      <c r="N573" s="505">
        <v>0</v>
      </c>
      <c r="O573" s="505">
        <v>0</v>
      </c>
      <c r="P573" s="505">
        <v>11349</v>
      </c>
      <c r="Q573" s="505">
        <v>11461</v>
      </c>
      <c r="R573" s="460"/>
      <c r="S573" s="505">
        <v>28497</v>
      </c>
      <c r="T573" s="505">
        <v>-2769</v>
      </c>
      <c r="U573" s="505">
        <v>25728</v>
      </c>
      <c r="W573" s="454">
        <v>168798</v>
      </c>
      <c r="X573" s="454">
        <v>34759</v>
      </c>
    </row>
    <row r="574" spans="1:24">
      <c r="A574" s="458">
        <v>96318</v>
      </c>
      <c r="B574" s="518" t="s">
        <v>1283</v>
      </c>
      <c r="C574" s="460">
        <f t="shared" si="9"/>
        <v>3.1451500760451764E-3</v>
      </c>
      <c r="D574" s="460">
        <f>VLOOKUP(A574,'2024 summary '!A574:C1480,3,FALSE)</f>
        <v>2.7363399999999999E-3</v>
      </c>
      <c r="E574" s="505">
        <v>21202938</v>
      </c>
      <c r="F574" s="460"/>
      <c r="G574" s="505">
        <v>3715558</v>
      </c>
      <c r="H574" s="505">
        <v>2882527</v>
      </c>
      <c r="I574" s="505">
        <v>0</v>
      </c>
      <c r="J574" s="505">
        <v>410907</v>
      </c>
      <c r="K574" s="505">
        <v>7008992</v>
      </c>
      <c r="L574" s="460"/>
      <c r="M574" s="505">
        <v>24982</v>
      </c>
      <c r="N574" s="505">
        <v>0</v>
      </c>
      <c r="O574" s="505">
        <v>0</v>
      </c>
      <c r="P574" s="505">
        <v>0</v>
      </c>
      <c r="Q574" s="505">
        <v>24982</v>
      </c>
      <c r="R574" s="460"/>
      <c r="S574" s="505">
        <v>6343000</v>
      </c>
      <c r="T574" s="505">
        <v>295478</v>
      </c>
      <c r="U574" s="505">
        <v>6638478</v>
      </c>
      <c r="W574" s="454">
        <v>37572226</v>
      </c>
      <c r="X574" s="454">
        <v>7736946</v>
      </c>
    </row>
    <row r="575" spans="1:24">
      <c r="A575" s="458">
        <v>96321</v>
      </c>
      <c r="B575" s="518" t="s">
        <v>1284</v>
      </c>
      <c r="C575" s="460">
        <f t="shared" si="9"/>
        <v>3.8000015180959783E-5</v>
      </c>
      <c r="D575" s="460">
        <f>VLOOKUP(A575,'2024 summary '!A575:C1481,3,FALSE)</f>
        <v>3.1730000000000003E-5</v>
      </c>
      <c r="E575" s="505">
        <v>256176</v>
      </c>
      <c r="F575" s="460"/>
      <c r="G575" s="505">
        <v>44892</v>
      </c>
      <c r="H575" s="505">
        <v>34827</v>
      </c>
      <c r="I575" s="505">
        <v>0</v>
      </c>
      <c r="J575" s="505">
        <v>25175</v>
      </c>
      <c r="K575" s="505">
        <v>104894</v>
      </c>
      <c r="L575" s="460"/>
      <c r="M575" s="505">
        <v>302</v>
      </c>
      <c r="N575" s="505">
        <v>0</v>
      </c>
      <c r="O575" s="505">
        <v>0</v>
      </c>
      <c r="P575" s="505">
        <v>21091</v>
      </c>
      <c r="Q575" s="505">
        <v>21393</v>
      </c>
      <c r="R575" s="460"/>
      <c r="S575" s="505">
        <v>76637</v>
      </c>
      <c r="T575" s="505">
        <v>-6106</v>
      </c>
      <c r="U575" s="505">
        <v>70531</v>
      </c>
      <c r="W575" s="454">
        <v>453951</v>
      </c>
      <c r="X575" s="454">
        <v>93479</v>
      </c>
    </row>
    <row r="576" spans="1:24">
      <c r="A576" s="458">
        <v>96331</v>
      </c>
      <c r="B576" s="518" t="s">
        <v>1285</v>
      </c>
      <c r="C576" s="460">
        <f t="shared" si="9"/>
        <v>6.5088999208896836E-4</v>
      </c>
      <c r="D576" s="460">
        <f>VLOOKUP(A576,'2024 summary '!A576:C1482,3,FALSE)</f>
        <v>6.4639000000000005E-4</v>
      </c>
      <c r="E576" s="505">
        <v>4387956</v>
      </c>
      <c r="F576" s="460"/>
      <c r="G576" s="505">
        <v>768936</v>
      </c>
      <c r="H576" s="505">
        <v>596540</v>
      </c>
      <c r="I576" s="505">
        <v>0</v>
      </c>
      <c r="J576" s="505">
        <v>35108</v>
      </c>
      <c r="K576" s="505">
        <v>1400584</v>
      </c>
      <c r="L576" s="460"/>
      <c r="M576" s="505">
        <v>5170</v>
      </c>
      <c r="N576" s="505">
        <v>0</v>
      </c>
      <c r="O576" s="505">
        <v>0</v>
      </c>
      <c r="P576" s="505">
        <v>77411</v>
      </c>
      <c r="Q576" s="505">
        <v>82581</v>
      </c>
      <c r="R576" s="460"/>
      <c r="S576" s="505">
        <v>1312686</v>
      </c>
      <c r="T576" s="505">
        <v>-44893</v>
      </c>
      <c r="U576" s="505">
        <v>1267793</v>
      </c>
      <c r="W576" s="454">
        <v>7775587</v>
      </c>
      <c r="X576" s="454">
        <v>1601164</v>
      </c>
    </row>
    <row r="577" spans="1:24">
      <c r="A577" s="458">
        <v>96341</v>
      </c>
      <c r="B577" s="518" t="s">
        <v>1286</v>
      </c>
      <c r="C577" s="460">
        <f t="shared" si="9"/>
        <v>9.1999950875409767E-5</v>
      </c>
      <c r="D577" s="460">
        <f>VLOOKUP(A577,'2024 summary '!A577:C1483,3,FALSE)</f>
        <v>8.1000000000000004E-5</v>
      </c>
      <c r="E577" s="505">
        <v>620215</v>
      </c>
      <c r="F577" s="460"/>
      <c r="G577" s="505">
        <v>108685</v>
      </c>
      <c r="H577" s="505">
        <v>84318</v>
      </c>
      <c r="I577" s="505">
        <v>0</v>
      </c>
      <c r="J577" s="505">
        <v>18192</v>
      </c>
      <c r="K577" s="505">
        <v>211195</v>
      </c>
      <c r="L577" s="460"/>
      <c r="M577" s="505">
        <v>731</v>
      </c>
      <c r="N577" s="505">
        <v>0</v>
      </c>
      <c r="O577" s="505">
        <v>0</v>
      </c>
      <c r="P577" s="505">
        <v>16744</v>
      </c>
      <c r="Q577" s="505">
        <v>17475</v>
      </c>
      <c r="R577" s="460"/>
      <c r="S577" s="505">
        <v>185542</v>
      </c>
      <c r="T577" s="505">
        <v>7406</v>
      </c>
      <c r="U577" s="505">
        <v>192948</v>
      </c>
      <c r="W577" s="454">
        <v>1099040</v>
      </c>
      <c r="X577" s="454">
        <v>226316</v>
      </c>
    </row>
    <row r="578" spans="1:24">
      <c r="A578" s="458">
        <v>96351</v>
      </c>
      <c r="B578" s="518" t="s">
        <v>1287</v>
      </c>
      <c r="C578" s="460">
        <f t="shared" si="9"/>
        <v>1.0537700168826551E-3</v>
      </c>
      <c r="D578" s="460">
        <f>VLOOKUP(A578,'2024 summary '!A578:C1484,3,FALSE)</f>
        <v>1.04827E-3</v>
      </c>
      <c r="E578" s="505">
        <v>7103960</v>
      </c>
      <c r="F578" s="460"/>
      <c r="G578" s="505">
        <v>1244883</v>
      </c>
      <c r="H578" s="505">
        <v>965779</v>
      </c>
      <c r="I578" s="505">
        <v>0</v>
      </c>
      <c r="J578" s="505">
        <v>22457</v>
      </c>
      <c r="K578" s="505">
        <v>2233119</v>
      </c>
      <c r="L578" s="460"/>
      <c r="M578" s="505">
        <v>8370</v>
      </c>
      <c r="N578" s="505">
        <v>0</v>
      </c>
      <c r="O578" s="505">
        <v>0</v>
      </c>
      <c r="P578" s="505">
        <v>97133</v>
      </c>
      <c r="Q578" s="505">
        <v>105503</v>
      </c>
      <c r="R578" s="460"/>
      <c r="S578" s="505">
        <v>2125197</v>
      </c>
      <c r="T578" s="505">
        <v>-35514</v>
      </c>
      <c r="U578" s="505">
        <v>2089683</v>
      </c>
      <c r="W578" s="454">
        <v>12588425</v>
      </c>
      <c r="X578" s="454">
        <v>2592233</v>
      </c>
    </row>
    <row r="579" spans="1:24">
      <c r="A579" s="458">
        <v>96361</v>
      </c>
      <c r="B579" s="518" t="s">
        <v>1288</v>
      </c>
      <c r="C579" s="460">
        <f t="shared" si="9"/>
        <v>8.5240001887890645E-5</v>
      </c>
      <c r="D579" s="460">
        <f>VLOOKUP(A579,'2024 summary '!A579:C1485,3,FALSE)</f>
        <v>7.5560000000000002E-5</v>
      </c>
      <c r="E579" s="505">
        <v>574643</v>
      </c>
      <c r="F579" s="460"/>
      <c r="G579" s="505">
        <v>100699</v>
      </c>
      <c r="H579" s="505">
        <v>78122</v>
      </c>
      <c r="I579" s="505">
        <v>0</v>
      </c>
      <c r="J579" s="505">
        <v>57997</v>
      </c>
      <c r="K579" s="505">
        <v>236818</v>
      </c>
      <c r="L579" s="460"/>
      <c r="M579" s="505">
        <v>677</v>
      </c>
      <c r="N579" s="505">
        <v>0</v>
      </c>
      <c r="O579" s="505">
        <v>0</v>
      </c>
      <c r="P579" s="505">
        <v>3550</v>
      </c>
      <c r="Q579" s="505">
        <v>4227</v>
      </c>
      <c r="R579" s="460"/>
      <c r="S579" s="505">
        <v>171908</v>
      </c>
      <c r="T579" s="505">
        <v>26008</v>
      </c>
      <c r="U579" s="505">
        <v>197916</v>
      </c>
      <c r="W579" s="454">
        <v>1018284</v>
      </c>
      <c r="X579" s="454">
        <v>209687</v>
      </c>
    </row>
    <row r="580" spans="1:24">
      <c r="A580" s="458">
        <v>96371</v>
      </c>
      <c r="B580" s="518" t="s">
        <v>1289</v>
      </c>
      <c r="C580" s="460">
        <f t="shared" si="9"/>
        <v>1.8345002176098514E-4</v>
      </c>
      <c r="D580" s="460">
        <f>VLOOKUP(A580,'2024 summary '!A580:C1486,3,FALSE)</f>
        <v>1.8149999999999999E-4</v>
      </c>
      <c r="E580" s="505">
        <v>1236723</v>
      </c>
      <c r="F580" s="460"/>
      <c r="G580" s="505">
        <v>216721</v>
      </c>
      <c r="H580" s="505">
        <v>168132</v>
      </c>
      <c r="I580" s="505">
        <v>0</v>
      </c>
      <c r="J580" s="505">
        <v>51689</v>
      </c>
      <c r="K580" s="505">
        <v>436542</v>
      </c>
      <c r="L580" s="460"/>
      <c r="M580" s="505">
        <v>1457</v>
      </c>
      <c r="N580" s="505">
        <v>0</v>
      </c>
      <c r="O580" s="505">
        <v>0</v>
      </c>
      <c r="P580" s="505">
        <v>15667</v>
      </c>
      <c r="Q580" s="505">
        <v>17124</v>
      </c>
      <c r="R580" s="460"/>
      <c r="S580" s="505">
        <v>369974</v>
      </c>
      <c r="T580" s="505">
        <v>17901</v>
      </c>
      <c r="U580" s="505">
        <v>387875</v>
      </c>
      <c r="W580" s="454">
        <v>2191509</v>
      </c>
      <c r="X580" s="454">
        <v>451280</v>
      </c>
    </row>
    <row r="581" spans="1:24">
      <c r="A581" s="458">
        <v>96381</v>
      </c>
      <c r="B581" s="518" t="s">
        <v>1290</v>
      </c>
      <c r="C581" s="460">
        <f t="shared" si="9"/>
        <v>3.6989998226338138E-5</v>
      </c>
      <c r="D581" s="460">
        <f>VLOOKUP(A581,'2024 summary '!A581:C1487,3,FALSE)</f>
        <v>3.6720000000000001E-5</v>
      </c>
      <c r="E581" s="505">
        <v>249367</v>
      </c>
      <c r="F581" s="460"/>
      <c r="G581" s="505">
        <v>43699</v>
      </c>
      <c r="H581" s="505">
        <v>33901</v>
      </c>
      <c r="I581" s="505">
        <v>0</v>
      </c>
      <c r="J581" s="505">
        <v>16932</v>
      </c>
      <c r="K581" s="505">
        <v>94532</v>
      </c>
      <c r="L581" s="460"/>
      <c r="M581" s="505">
        <v>294</v>
      </c>
      <c r="N581" s="505">
        <v>0</v>
      </c>
      <c r="O581" s="505">
        <v>0</v>
      </c>
      <c r="P581" s="505">
        <v>0</v>
      </c>
      <c r="Q581" s="505">
        <v>294</v>
      </c>
      <c r="R581" s="460"/>
      <c r="S581" s="505">
        <v>74600</v>
      </c>
      <c r="T581" s="505">
        <v>8273</v>
      </c>
      <c r="U581" s="505">
        <v>82873</v>
      </c>
      <c r="W581" s="454">
        <v>441886</v>
      </c>
      <c r="X581" s="454">
        <v>90994</v>
      </c>
    </row>
    <row r="582" spans="1:24">
      <c r="A582" s="458">
        <v>96391</v>
      </c>
      <c r="B582" s="518" t="s">
        <v>1291</v>
      </c>
      <c r="C582" s="460">
        <f t="shared" si="9"/>
        <v>1.7824996971792204E-4</v>
      </c>
      <c r="D582" s="460">
        <f>VLOOKUP(A582,'2024 summary '!A582:C1488,3,FALSE)</f>
        <v>1.7942000000000001E-4</v>
      </c>
      <c r="E582" s="505">
        <v>1201667</v>
      </c>
      <c r="F582" s="460"/>
      <c r="G582" s="505">
        <v>210578</v>
      </c>
      <c r="H582" s="505">
        <v>163366</v>
      </c>
      <c r="I582" s="505">
        <v>0</v>
      </c>
      <c r="J582" s="505">
        <v>8826</v>
      </c>
      <c r="K582" s="505">
        <v>382770</v>
      </c>
      <c r="L582" s="460"/>
      <c r="M582" s="505">
        <v>1416</v>
      </c>
      <c r="N582" s="505">
        <v>0</v>
      </c>
      <c r="O582" s="505">
        <v>0</v>
      </c>
      <c r="P582" s="505">
        <v>24356</v>
      </c>
      <c r="Q582" s="505">
        <v>25772</v>
      </c>
      <c r="R582" s="460"/>
      <c r="S582" s="505">
        <v>359487</v>
      </c>
      <c r="T582" s="505">
        <v>-32411</v>
      </c>
      <c r="U582" s="505">
        <v>327076</v>
      </c>
      <c r="W582" s="454">
        <v>2129389</v>
      </c>
      <c r="X582" s="454">
        <v>438488</v>
      </c>
    </row>
    <row r="583" spans="1:24">
      <c r="A583" s="458">
        <v>96401</v>
      </c>
      <c r="B583" s="518" t="s">
        <v>1292</v>
      </c>
      <c r="C583" s="460">
        <f t="shared" si="9"/>
        <v>3.9448700492079299E-3</v>
      </c>
      <c r="D583" s="460">
        <f>VLOOKUP(A583,'2024 summary '!A583:C1489,3,FALSE)</f>
        <v>4.0953200000000004E-3</v>
      </c>
      <c r="E583" s="505">
        <v>26594227</v>
      </c>
      <c r="F583" s="460"/>
      <c r="G583" s="505">
        <v>4660316</v>
      </c>
      <c r="H583" s="505">
        <v>3615469</v>
      </c>
      <c r="I583" s="505">
        <v>0</v>
      </c>
      <c r="J583" s="505">
        <v>102298</v>
      </c>
      <c r="K583" s="505">
        <v>8378083</v>
      </c>
      <c r="L583" s="460"/>
      <c r="M583" s="505">
        <v>31334</v>
      </c>
      <c r="N583" s="505">
        <v>0</v>
      </c>
      <c r="O583" s="505">
        <v>0</v>
      </c>
      <c r="P583" s="505">
        <v>569507</v>
      </c>
      <c r="Q583" s="505">
        <v>600841</v>
      </c>
      <c r="R583" s="460"/>
      <c r="S583" s="505">
        <v>7955840</v>
      </c>
      <c r="T583" s="505">
        <v>-232581</v>
      </c>
      <c r="U583" s="505">
        <v>7723259</v>
      </c>
      <c r="W583" s="454">
        <v>47125748</v>
      </c>
      <c r="X583" s="454">
        <v>9704226</v>
      </c>
    </row>
    <row r="584" spans="1:24">
      <c r="A584" s="458">
        <v>96404</v>
      </c>
      <c r="B584" s="518" t="s">
        <v>1293</v>
      </c>
      <c r="C584" s="460">
        <f t="shared" si="9"/>
        <v>1.0243001874841117E-4</v>
      </c>
      <c r="D584" s="460">
        <f>VLOOKUP(A584,'2024 summary '!A584:C1490,3,FALSE)</f>
        <v>1.1291E-4</v>
      </c>
      <c r="E584" s="505">
        <v>690529</v>
      </c>
      <c r="F584" s="460"/>
      <c r="G584" s="505">
        <v>121007</v>
      </c>
      <c r="H584" s="505">
        <v>93877</v>
      </c>
      <c r="I584" s="505">
        <v>0</v>
      </c>
      <c r="J584" s="505">
        <v>27831</v>
      </c>
      <c r="K584" s="505">
        <v>242715</v>
      </c>
      <c r="L584" s="460"/>
      <c r="M584" s="505">
        <v>814</v>
      </c>
      <c r="N584" s="505">
        <v>0</v>
      </c>
      <c r="O584" s="505">
        <v>0</v>
      </c>
      <c r="P584" s="505">
        <v>6772</v>
      </c>
      <c r="Q584" s="505">
        <v>7586</v>
      </c>
      <c r="R584" s="460"/>
      <c r="S584" s="505">
        <v>206576</v>
      </c>
      <c r="T584" s="505">
        <v>26699</v>
      </c>
      <c r="U584" s="505">
        <v>233275</v>
      </c>
      <c r="W584" s="454">
        <v>1223637</v>
      </c>
      <c r="X584" s="454">
        <v>251974</v>
      </c>
    </row>
    <row r="585" spans="1:24">
      <c r="A585" s="458">
        <v>96405</v>
      </c>
      <c r="B585" s="518" t="s">
        <v>1294</v>
      </c>
      <c r="C585" s="460">
        <f t="shared" si="9"/>
        <v>9.0110007268590206E-5</v>
      </c>
      <c r="D585" s="460">
        <f>VLOOKUP(A585,'2024 summary '!A585:C1491,3,FALSE)</f>
        <v>1.0980999999999999E-4</v>
      </c>
      <c r="E585" s="505">
        <v>607474</v>
      </c>
      <c r="F585" s="460"/>
      <c r="G585" s="505">
        <v>106452</v>
      </c>
      <c r="H585" s="505">
        <v>82586</v>
      </c>
      <c r="I585" s="505">
        <v>0</v>
      </c>
      <c r="J585" s="505">
        <v>12667</v>
      </c>
      <c r="K585" s="505">
        <v>201705</v>
      </c>
      <c r="L585" s="460"/>
      <c r="M585" s="505">
        <v>716</v>
      </c>
      <c r="N585" s="505">
        <v>0</v>
      </c>
      <c r="O585" s="505">
        <v>0</v>
      </c>
      <c r="P585" s="505">
        <v>72433</v>
      </c>
      <c r="Q585" s="505">
        <v>73149</v>
      </c>
      <c r="R585" s="460"/>
      <c r="S585" s="505">
        <v>181730</v>
      </c>
      <c r="T585" s="505">
        <v>-14980</v>
      </c>
      <c r="U585" s="505">
        <v>166750</v>
      </c>
      <c r="W585" s="454">
        <v>1076462</v>
      </c>
      <c r="X585" s="454">
        <v>221667</v>
      </c>
    </row>
    <row r="586" spans="1:24">
      <c r="A586" s="458">
        <v>96411</v>
      </c>
      <c r="B586" s="518" t="s">
        <v>1295</v>
      </c>
      <c r="C586" s="460">
        <f t="shared" ref="C586:C649" si="10">E586/$E$915</f>
        <v>8.0800021349524483E-5</v>
      </c>
      <c r="D586" s="460">
        <f>VLOOKUP(A586,'2024 summary '!A586:C1492,3,FALSE)</f>
        <v>7.4510000000000003E-5</v>
      </c>
      <c r="E586" s="505">
        <v>544711</v>
      </c>
      <c r="F586" s="460"/>
      <c r="G586" s="505">
        <v>95454</v>
      </c>
      <c r="H586" s="505">
        <v>74053</v>
      </c>
      <c r="I586" s="505">
        <v>0</v>
      </c>
      <c r="J586" s="505">
        <v>44691</v>
      </c>
      <c r="K586" s="505">
        <v>214198</v>
      </c>
      <c r="L586" s="460"/>
      <c r="M586" s="505">
        <v>642</v>
      </c>
      <c r="N586" s="505">
        <v>0</v>
      </c>
      <c r="O586" s="505">
        <v>0</v>
      </c>
      <c r="P586" s="505">
        <v>7973</v>
      </c>
      <c r="Q586" s="505">
        <v>8615</v>
      </c>
      <c r="R586" s="460"/>
      <c r="S586" s="505">
        <v>162954</v>
      </c>
      <c r="T586" s="505">
        <v>11217</v>
      </c>
      <c r="U586" s="505">
        <v>174171</v>
      </c>
      <c r="W586" s="454">
        <v>965244</v>
      </c>
      <c r="X586" s="454">
        <v>198765</v>
      </c>
    </row>
    <row r="587" spans="1:24">
      <c r="A587" s="458">
        <v>96421</v>
      </c>
      <c r="B587" s="518" t="s">
        <v>1296</v>
      </c>
      <c r="C587" s="460">
        <f t="shared" si="10"/>
        <v>4.1496996779111407E-4</v>
      </c>
      <c r="D587" s="460">
        <f>VLOOKUP(A587,'2024 summary '!A587:C1493,3,FALSE)</f>
        <v>5.2205999999999997E-4</v>
      </c>
      <c r="E587" s="505">
        <v>2797508</v>
      </c>
      <c r="F587" s="460"/>
      <c r="G587" s="505">
        <v>490229</v>
      </c>
      <c r="H587" s="505">
        <v>380320</v>
      </c>
      <c r="I587" s="505">
        <v>0</v>
      </c>
      <c r="J587" s="505">
        <v>148629</v>
      </c>
      <c r="K587" s="505">
        <v>1019178</v>
      </c>
      <c r="L587" s="460"/>
      <c r="M587" s="505">
        <v>3296</v>
      </c>
      <c r="N587" s="505">
        <v>0</v>
      </c>
      <c r="O587" s="505">
        <v>0</v>
      </c>
      <c r="P587" s="505">
        <v>396348</v>
      </c>
      <c r="Q587" s="505">
        <v>399644</v>
      </c>
      <c r="R587" s="460"/>
      <c r="S587" s="505">
        <v>836893</v>
      </c>
      <c r="T587" s="505">
        <v>-74462</v>
      </c>
      <c r="U587" s="505">
        <v>762431</v>
      </c>
      <c r="W587" s="454">
        <v>4957266</v>
      </c>
      <c r="X587" s="454">
        <v>1020810</v>
      </c>
    </row>
    <row r="588" spans="1:24">
      <c r="A588" s="458">
        <v>96431</v>
      </c>
      <c r="B588" s="518" t="s">
        <v>1297</v>
      </c>
      <c r="C588" s="460">
        <f t="shared" si="10"/>
        <v>3.7379972462452147E-5</v>
      </c>
      <c r="D588" s="460">
        <f>VLOOKUP(A588,'2024 summary '!A588:C1494,3,FALSE)</f>
        <v>5.0399999999999999E-5</v>
      </c>
      <c r="E588" s="505">
        <v>251996</v>
      </c>
      <c r="F588" s="460"/>
      <c r="G588" s="505">
        <v>44159</v>
      </c>
      <c r="H588" s="505">
        <v>34259</v>
      </c>
      <c r="I588" s="505">
        <v>0</v>
      </c>
      <c r="J588" s="505">
        <v>13174</v>
      </c>
      <c r="K588" s="505">
        <v>91592</v>
      </c>
      <c r="L588" s="460"/>
      <c r="M588" s="505">
        <v>297</v>
      </c>
      <c r="N588" s="505">
        <v>0</v>
      </c>
      <c r="O588" s="505">
        <v>0</v>
      </c>
      <c r="P588" s="505">
        <v>22491</v>
      </c>
      <c r="Q588" s="505">
        <v>22788</v>
      </c>
      <c r="R588" s="460"/>
      <c r="S588" s="505">
        <v>75386</v>
      </c>
      <c r="T588" s="505">
        <v>507</v>
      </c>
      <c r="U588" s="505">
        <v>75893</v>
      </c>
      <c r="W588" s="454">
        <v>446545</v>
      </c>
      <c r="X588" s="454">
        <v>91953</v>
      </c>
    </row>
    <row r="589" spans="1:24">
      <c r="A589" s="458">
        <v>96441</v>
      </c>
      <c r="B589" s="518" t="s">
        <v>1298</v>
      </c>
      <c r="C589" s="460">
        <f t="shared" si="10"/>
        <v>2.2169938904955527E-5</v>
      </c>
      <c r="D589" s="460">
        <f>VLOOKUP(A589,'2024 summary '!A589:C1495,3,FALSE)</f>
        <v>2.0550000000000001E-5</v>
      </c>
      <c r="E589" s="505">
        <v>149458</v>
      </c>
      <c r="F589" s="460"/>
      <c r="G589" s="505">
        <v>26191</v>
      </c>
      <c r="H589" s="505">
        <v>20319</v>
      </c>
      <c r="I589" s="505">
        <v>0</v>
      </c>
      <c r="J589" s="505">
        <v>7236</v>
      </c>
      <c r="K589" s="505">
        <v>53746</v>
      </c>
      <c r="L589" s="460"/>
      <c r="M589" s="505">
        <v>176</v>
      </c>
      <c r="N589" s="505">
        <v>0</v>
      </c>
      <c r="O589" s="505">
        <v>0</v>
      </c>
      <c r="P589" s="505">
        <v>15648</v>
      </c>
      <c r="Q589" s="505">
        <v>15824</v>
      </c>
      <c r="R589" s="460"/>
      <c r="S589" s="505">
        <v>44711</v>
      </c>
      <c r="T589" s="505">
        <v>-4587</v>
      </c>
      <c r="U589" s="505">
        <v>40124</v>
      </c>
      <c r="W589" s="454">
        <v>264845</v>
      </c>
      <c r="X589" s="454">
        <v>54537</v>
      </c>
    </row>
    <row r="590" spans="1:24">
      <c r="A590" s="458">
        <v>96451</v>
      </c>
      <c r="B590" s="518" t="s">
        <v>1299</v>
      </c>
      <c r="C590" s="460">
        <f t="shared" si="10"/>
        <v>1.3409981311302804E-5</v>
      </c>
      <c r="D590" s="460">
        <f>VLOOKUP(A590,'2024 summary '!A590:C1496,3,FALSE)</f>
        <v>1.7180000000000002E-5</v>
      </c>
      <c r="E590" s="505">
        <v>90403</v>
      </c>
      <c r="F590" s="460"/>
      <c r="G590" s="505">
        <v>15842</v>
      </c>
      <c r="H590" s="505">
        <v>12290</v>
      </c>
      <c r="I590" s="505">
        <v>0</v>
      </c>
      <c r="J590" s="505">
        <v>9606</v>
      </c>
      <c r="K590" s="505">
        <v>37738</v>
      </c>
      <c r="L590" s="460"/>
      <c r="M590" s="505">
        <v>107</v>
      </c>
      <c r="N590" s="505">
        <v>0</v>
      </c>
      <c r="O590" s="505">
        <v>0</v>
      </c>
      <c r="P590" s="505">
        <v>14470</v>
      </c>
      <c r="Q590" s="505">
        <v>14577</v>
      </c>
      <c r="R590" s="460"/>
      <c r="S590" s="505">
        <v>27045</v>
      </c>
      <c r="T590" s="505">
        <v>-272</v>
      </c>
      <c r="U590" s="505">
        <v>26773</v>
      </c>
      <c r="W590" s="454">
        <v>160197</v>
      </c>
      <c r="X590" s="454">
        <v>32988</v>
      </c>
    </row>
    <row r="591" spans="1:24">
      <c r="A591" s="458">
        <v>96461</v>
      </c>
      <c r="B591" s="518" t="s">
        <v>1300</v>
      </c>
      <c r="C591" s="460">
        <f t="shared" si="10"/>
        <v>1.1111996194896924E-4</v>
      </c>
      <c r="D591" s="460">
        <f>VLOOKUP(A591,'2024 summary '!A591:C1497,3,FALSE)</f>
        <v>1.3161999999999999E-4</v>
      </c>
      <c r="E591" s="505">
        <v>749112</v>
      </c>
      <c r="F591" s="460"/>
      <c r="G591" s="505">
        <v>131273</v>
      </c>
      <c r="H591" s="505">
        <v>101841</v>
      </c>
      <c r="I591" s="505">
        <v>0</v>
      </c>
      <c r="J591" s="505">
        <v>0</v>
      </c>
      <c r="K591" s="505">
        <v>233114</v>
      </c>
      <c r="L591" s="460"/>
      <c r="M591" s="505">
        <v>883</v>
      </c>
      <c r="N591" s="505">
        <v>0</v>
      </c>
      <c r="O591" s="505">
        <v>0</v>
      </c>
      <c r="P591" s="505">
        <v>85584</v>
      </c>
      <c r="Q591" s="505">
        <v>86467</v>
      </c>
      <c r="R591" s="460"/>
      <c r="S591" s="505">
        <v>224102</v>
      </c>
      <c r="T591" s="505">
        <v>-25112</v>
      </c>
      <c r="U591" s="505">
        <v>198990</v>
      </c>
      <c r="W591" s="454">
        <v>1327449</v>
      </c>
      <c r="X591" s="454">
        <v>273351</v>
      </c>
    </row>
    <row r="592" spans="1:24">
      <c r="A592" s="458">
        <v>96501</v>
      </c>
      <c r="B592" s="518" t="s">
        <v>1301</v>
      </c>
      <c r="C592" s="460">
        <f t="shared" si="10"/>
        <v>1.5474099961160835E-2</v>
      </c>
      <c r="D592" s="460">
        <f>VLOOKUP(A592,'2024 summary '!A592:C1498,3,FALSE)</f>
        <v>1.5097370000000001E-2</v>
      </c>
      <c r="E592" s="505">
        <v>104318196</v>
      </c>
      <c r="F592" s="460"/>
      <c r="G592" s="505">
        <v>18280498</v>
      </c>
      <c r="H592" s="505">
        <v>14181997</v>
      </c>
      <c r="I592" s="505">
        <v>0</v>
      </c>
      <c r="J592" s="505">
        <v>2069325</v>
      </c>
      <c r="K592" s="505">
        <v>34531820</v>
      </c>
      <c r="L592" s="460"/>
      <c r="M592" s="505">
        <v>122911</v>
      </c>
      <c r="N592" s="505">
        <v>0</v>
      </c>
      <c r="O592" s="505">
        <v>0</v>
      </c>
      <c r="P592" s="505">
        <v>20956</v>
      </c>
      <c r="Q592" s="505">
        <v>143867</v>
      </c>
      <c r="R592" s="460"/>
      <c r="S592" s="505">
        <v>31207484</v>
      </c>
      <c r="T592" s="505">
        <v>671152</v>
      </c>
      <c r="U592" s="505">
        <v>31878636</v>
      </c>
      <c r="W592" s="454">
        <v>184854898</v>
      </c>
      <c r="X592" s="454">
        <v>38065683</v>
      </c>
    </row>
    <row r="593" spans="1:24">
      <c r="A593" s="458">
        <v>96502</v>
      </c>
      <c r="B593" s="518" t="s">
        <v>1302</v>
      </c>
      <c r="C593" s="460">
        <f t="shared" si="10"/>
        <v>3.5863003834440147E-4</v>
      </c>
      <c r="D593" s="460">
        <f>VLOOKUP(A593,'2024 summary '!A593:C1499,3,FALSE)</f>
        <v>3.5762000000000001E-4</v>
      </c>
      <c r="E593" s="505">
        <v>2417694</v>
      </c>
      <c r="F593" s="460"/>
      <c r="G593" s="505">
        <v>423671</v>
      </c>
      <c r="H593" s="505">
        <v>328684</v>
      </c>
      <c r="I593" s="505">
        <v>0</v>
      </c>
      <c r="J593" s="505">
        <v>39957</v>
      </c>
      <c r="K593" s="505">
        <v>792312</v>
      </c>
      <c r="L593" s="460"/>
      <c r="M593" s="505">
        <v>2849</v>
      </c>
      <c r="N593" s="505">
        <v>0</v>
      </c>
      <c r="O593" s="505">
        <v>0</v>
      </c>
      <c r="P593" s="505">
        <v>14960</v>
      </c>
      <c r="Q593" s="505">
        <v>17809</v>
      </c>
      <c r="R593" s="460"/>
      <c r="S593" s="505">
        <v>723269</v>
      </c>
      <c r="T593" s="505">
        <v>24540</v>
      </c>
      <c r="U593" s="505">
        <v>747809</v>
      </c>
      <c r="W593" s="454">
        <v>4284224</v>
      </c>
      <c r="X593" s="454">
        <v>882216</v>
      </c>
    </row>
    <row r="594" spans="1:24">
      <c r="A594" s="458">
        <v>96503</v>
      </c>
      <c r="B594" s="518" t="s">
        <v>1303</v>
      </c>
      <c r="C594" s="460">
        <f t="shared" si="10"/>
        <v>3.426599332822079E-4</v>
      </c>
      <c r="D594" s="460">
        <f>VLOOKUP(A594,'2024 summary '!A594:C1500,3,FALSE)</f>
        <v>3.5455000000000003E-4</v>
      </c>
      <c r="E594" s="505">
        <v>2310032</v>
      </c>
      <c r="F594" s="460"/>
      <c r="G594" s="505">
        <v>404805</v>
      </c>
      <c r="H594" s="505">
        <v>314048</v>
      </c>
      <c r="I594" s="505">
        <v>0</v>
      </c>
      <c r="J594" s="505">
        <v>447751</v>
      </c>
      <c r="K594" s="505">
        <v>1166604</v>
      </c>
      <c r="L594" s="460"/>
      <c r="M594" s="505">
        <v>2722</v>
      </c>
      <c r="N594" s="505">
        <v>0</v>
      </c>
      <c r="O594" s="505">
        <v>0</v>
      </c>
      <c r="P594" s="505">
        <v>3296</v>
      </c>
      <c r="Q594" s="505">
        <v>6018</v>
      </c>
      <c r="R594" s="460"/>
      <c r="S594" s="505">
        <v>691062</v>
      </c>
      <c r="T594" s="505">
        <v>302613</v>
      </c>
      <c r="U594" s="505">
        <v>993675</v>
      </c>
      <c r="W594" s="454">
        <v>4093445</v>
      </c>
      <c r="X594" s="454">
        <v>842930</v>
      </c>
    </row>
    <row r="595" spans="1:24">
      <c r="A595" s="458">
        <v>96504</v>
      </c>
      <c r="B595" s="518" t="s">
        <v>1304</v>
      </c>
      <c r="C595" s="460">
        <f t="shared" si="10"/>
        <v>3.1899002500654681E-4</v>
      </c>
      <c r="D595" s="460">
        <f>VLOOKUP(A595,'2024 summary '!A595:C1501,3,FALSE)</f>
        <v>3.2217999999999998E-4</v>
      </c>
      <c r="E595" s="505">
        <v>2150462</v>
      </c>
      <c r="F595" s="460"/>
      <c r="G595" s="505">
        <v>376842</v>
      </c>
      <c r="H595" s="505">
        <v>292354</v>
      </c>
      <c r="I595" s="505">
        <v>0</v>
      </c>
      <c r="J595" s="505">
        <v>28795</v>
      </c>
      <c r="K595" s="505">
        <v>697991</v>
      </c>
      <c r="L595" s="460"/>
      <c r="M595" s="505">
        <v>2534</v>
      </c>
      <c r="N595" s="505">
        <v>0</v>
      </c>
      <c r="O595" s="505">
        <v>0</v>
      </c>
      <c r="P595" s="505">
        <v>55765</v>
      </c>
      <c r="Q595" s="505">
        <v>58299</v>
      </c>
      <c r="R595" s="460"/>
      <c r="S595" s="505">
        <v>643325</v>
      </c>
      <c r="T595" s="505">
        <v>-22942</v>
      </c>
      <c r="U595" s="505">
        <v>620383</v>
      </c>
      <c r="W595" s="454">
        <v>3810681</v>
      </c>
      <c r="X595" s="454">
        <v>784703</v>
      </c>
    </row>
    <row r="596" spans="1:24">
      <c r="A596" s="458">
        <v>96507</v>
      </c>
      <c r="B596" s="518" t="s">
        <v>1305</v>
      </c>
      <c r="C596" s="460">
        <f t="shared" si="10"/>
        <v>2.3055399957590652E-3</v>
      </c>
      <c r="D596" s="460">
        <f>VLOOKUP(A596,'2024 summary '!A596:C1502,3,FALSE)</f>
        <v>2.4284200000000001E-3</v>
      </c>
      <c r="E596" s="505">
        <v>15542731</v>
      </c>
      <c r="F596" s="460"/>
      <c r="G596" s="505">
        <v>2723675</v>
      </c>
      <c r="H596" s="505">
        <v>2113025</v>
      </c>
      <c r="I596" s="505">
        <v>0</v>
      </c>
      <c r="J596" s="505">
        <v>62874</v>
      </c>
      <c r="K596" s="505">
        <v>4899574</v>
      </c>
      <c r="L596" s="460"/>
      <c r="M596" s="505">
        <v>18313</v>
      </c>
      <c r="N596" s="505">
        <v>0</v>
      </c>
      <c r="O596" s="505">
        <v>0</v>
      </c>
      <c r="P596" s="505">
        <v>360385</v>
      </c>
      <c r="Q596" s="505">
        <v>378698</v>
      </c>
      <c r="R596" s="460"/>
      <c r="S596" s="505">
        <v>4649712</v>
      </c>
      <c r="T596" s="505">
        <v>-11408</v>
      </c>
      <c r="U596" s="505">
        <v>4638304</v>
      </c>
      <c r="W596" s="454">
        <v>27542175</v>
      </c>
      <c r="X596" s="454">
        <v>5671538</v>
      </c>
    </row>
    <row r="597" spans="1:24">
      <c r="A597" s="458">
        <v>96508</v>
      </c>
      <c r="B597" s="518" t="s">
        <v>1306</v>
      </c>
      <c r="C597" s="460">
        <f t="shared" si="10"/>
        <v>1.3989973423591047E-5</v>
      </c>
      <c r="D597" s="460">
        <f>VLOOKUP(A597,'2024 summary '!A597:C1503,3,FALSE)</f>
        <v>1.377E-5</v>
      </c>
      <c r="E597" s="505">
        <v>94313</v>
      </c>
      <c r="F597" s="460"/>
      <c r="G597" s="505">
        <v>16527</v>
      </c>
      <c r="H597" s="505">
        <v>12822</v>
      </c>
      <c r="I597" s="505">
        <v>0</v>
      </c>
      <c r="J597" s="505">
        <v>15468</v>
      </c>
      <c r="K597" s="505">
        <v>44817</v>
      </c>
      <c r="L597" s="460"/>
      <c r="M597" s="505">
        <v>111</v>
      </c>
      <c r="N597" s="505">
        <v>0</v>
      </c>
      <c r="O597" s="505">
        <v>0</v>
      </c>
      <c r="P597" s="505">
        <v>0</v>
      </c>
      <c r="Q597" s="505">
        <v>111</v>
      </c>
      <c r="R597" s="460"/>
      <c r="S597" s="505">
        <v>28214</v>
      </c>
      <c r="T597" s="505">
        <v>14860</v>
      </c>
      <c r="U597" s="505">
        <v>43074</v>
      </c>
      <c r="W597" s="454">
        <v>167126</v>
      </c>
      <c r="X597" s="454">
        <v>34415</v>
      </c>
    </row>
    <row r="598" spans="1:24">
      <c r="A598" s="458">
        <v>96511</v>
      </c>
      <c r="B598" s="518" t="s">
        <v>1307</v>
      </c>
      <c r="C598" s="460">
        <f t="shared" si="10"/>
        <v>5.5675994230500127E-4</v>
      </c>
      <c r="D598" s="460">
        <f>VLOOKUP(A598,'2024 summary '!A598:C1504,3,FALSE)</f>
        <v>5.4253000000000005E-4</v>
      </c>
      <c r="E598" s="505">
        <v>3753381</v>
      </c>
      <c r="F598" s="460"/>
      <c r="G598" s="505">
        <v>657735</v>
      </c>
      <c r="H598" s="505">
        <v>510270</v>
      </c>
      <c r="I598" s="505">
        <v>0</v>
      </c>
      <c r="J598" s="505">
        <v>16635</v>
      </c>
      <c r="K598" s="505">
        <v>1184640</v>
      </c>
      <c r="L598" s="460"/>
      <c r="M598" s="505">
        <v>4422</v>
      </c>
      <c r="N598" s="505">
        <v>0</v>
      </c>
      <c r="O598" s="505">
        <v>0</v>
      </c>
      <c r="P598" s="505">
        <v>34544</v>
      </c>
      <c r="Q598" s="505">
        <v>38966</v>
      </c>
      <c r="R598" s="460"/>
      <c r="S598" s="505">
        <v>1122849</v>
      </c>
      <c r="T598" s="505">
        <v>-7504</v>
      </c>
      <c r="U598" s="505">
        <v>1115345</v>
      </c>
      <c r="W598" s="454">
        <v>6651102</v>
      </c>
      <c r="X598" s="454">
        <v>1369608</v>
      </c>
    </row>
    <row r="599" spans="1:24">
      <c r="A599" s="458">
        <v>96512</v>
      </c>
      <c r="B599" s="518" t="s">
        <v>1308</v>
      </c>
      <c r="C599" s="460">
        <f t="shared" si="10"/>
        <v>1.4901999894995915E-4</v>
      </c>
      <c r="D599" s="460">
        <f>VLOOKUP(A599,'2024 summary '!A599:C1505,3,FALSE)</f>
        <v>1.4747999999999999E-4</v>
      </c>
      <c r="E599" s="505">
        <v>1004614</v>
      </c>
      <c r="F599" s="460"/>
      <c r="G599" s="505">
        <v>176046</v>
      </c>
      <c r="H599" s="505">
        <v>136577</v>
      </c>
      <c r="I599" s="505">
        <v>0</v>
      </c>
      <c r="J599" s="505">
        <v>47736</v>
      </c>
      <c r="K599" s="505">
        <v>360359</v>
      </c>
      <c r="L599" s="460"/>
      <c r="M599" s="505">
        <v>1184</v>
      </c>
      <c r="N599" s="505">
        <v>0</v>
      </c>
      <c r="O599" s="505">
        <v>0</v>
      </c>
      <c r="P599" s="505">
        <v>0</v>
      </c>
      <c r="Q599" s="505">
        <v>1184</v>
      </c>
      <c r="R599" s="460"/>
      <c r="S599" s="505">
        <v>300537</v>
      </c>
      <c r="T599" s="505">
        <v>27637</v>
      </c>
      <c r="U599" s="505">
        <v>328174</v>
      </c>
      <c r="W599" s="454">
        <v>1780205</v>
      </c>
      <c r="X599" s="454">
        <v>366583</v>
      </c>
    </row>
    <row r="600" spans="1:24">
      <c r="A600" s="458">
        <v>96521</v>
      </c>
      <c r="B600" s="518" t="s">
        <v>1309</v>
      </c>
      <c r="C600" s="460">
        <f t="shared" si="10"/>
        <v>9.1394993885244766E-4</v>
      </c>
      <c r="D600" s="460">
        <f>VLOOKUP(A600,'2024 summary '!A600:C1506,3,FALSE)</f>
        <v>1.01453E-3</v>
      </c>
      <c r="E600" s="505">
        <v>6161367</v>
      </c>
      <c r="F600" s="460"/>
      <c r="G600" s="505">
        <v>1079705</v>
      </c>
      <c r="H600" s="505">
        <v>837634</v>
      </c>
      <c r="I600" s="505">
        <v>0</v>
      </c>
      <c r="J600" s="505">
        <v>84707</v>
      </c>
      <c r="K600" s="505">
        <v>2002046</v>
      </c>
      <c r="L600" s="460"/>
      <c r="M600" s="505">
        <v>7260</v>
      </c>
      <c r="N600" s="505">
        <v>0</v>
      </c>
      <c r="O600" s="505">
        <v>0</v>
      </c>
      <c r="P600" s="505">
        <v>383410</v>
      </c>
      <c r="Q600" s="505">
        <v>390670</v>
      </c>
      <c r="R600" s="460"/>
      <c r="S600" s="505">
        <v>1843214</v>
      </c>
      <c r="T600" s="505">
        <v>-75053</v>
      </c>
      <c r="U600" s="505">
        <v>1768161</v>
      </c>
      <c r="W600" s="454">
        <v>10918123</v>
      </c>
      <c r="X600" s="454">
        <v>2248281</v>
      </c>
    </row>
    <row r="601" spans="1:24">
      <c r="A601" s="458">
        <v>96531</v>
      </c>
      <c r="B601" s="518" t="s">
        <v>1310</v>
      </c>
      <c r="C601" s="460">
        <f t="shared" si="10"/>
        <v>7.5113299556731714E-3</v>
      </c>
      <c r="D601" s="460">
        <f>VLOOKUP(A601,'2024 summary '!A601:C1507,3,FALSE)</f>
        <v>7.7516900000000003E-3</v>
      </c>
      <c r="E601" s="505">
        <v>50637413</v>
      </c>
      <c r="F601" s="460"/>
      <c r="G601" s="505">
        <v>8873592</v>
      </c>
      <c r="H601" s="505">
        <v>6884126</v>
      </c>
      <c r="I601" s="505">
        <v>0</v>
      </c>
      <c r="J601" s="505">
        <v>244893</v>
      </c>
      <c r="K601" s="505">
        <v>16002611</v>
      </c>
      <c r="L601" s="460"/>
      <c r="M601" s="505">
        <v>59662</v>
      </c>
      <c r="N601" s="505">
        <v>0</v>
      </c>
      <c r="O601" s="505">
        <v>0</v>
      </c>
      <c r="P601" s="505">
        <v>1425400</v>
      </c>
      <c r="Q601" s="505">
        <v>1485062</v>
      </c>
      <c r="R601" s="460"/>
      <c r="S601" s="505">
        <v>15148520</v>
      </c>
      <c r="T601" s="505">
        <v>-629485</v>
      </c>
      <c r="U601" s="505">
        <v>14519035</v>
      </c>
      <c r="W601" s="454">
        <v>89730979</v>
      </c>
      <c r="X601" s="454">
        <v>18477579</v>
      </c>
    </row>
    <row r="602" spans="1:24">
      <c r="A602" s="458">
        <v>96541</v>
      </c>
      <c r="B602" s="518" t="s">
        <v>1311</v>
      </c>
      <c r="C602" s="460">
        <f t="shared" si="10"/>
        <v>4.2588998808019941E-4</v>
      </c>
      <c r="D602" s="460">
        <f>VLOOKUP(A602,'2024 summary '!A602:C1508,3,FALSE)</f>
        <v>4.2676999999999998E-4</v>
      </c>
      <c r="E602" s="505">
        <v>2871125</v>
      </c>
      <c r="F602" s="460"/>
      <c r="G602" s="505">
        <v>503130</v>
      </c>
      <c r="H602" s="505">
        <v>390328</v>
      </c>
      <c r="I602" s="505">
        <v>0</v>
      </c>
      <c r="J602" s="505">
        <v>16444</v>
      </c>
      <c r="K602" s="505">
        <v>909902</v>
      </c>
      <c r="L602" s="460"/>
      <c r="M602" s="505">
        <v>3383</v>
      </c>
      <c r="N602" s="505">
        <v>0</v>
      </c>
      <c r="O602" s="505">
        <v>0</v>
      </c>
      <c r="P602" s="505">
        <v>67982</v>
      </c>
      <c r="Q602" s="505">
        <v>71365</v>
      </c>
      <c r="R602" s="460"/>
      <c r="S602" s="505">
        <v>858916</v>
      </c>
      <c r="T602" s="505">
        <v>-26500</v>
      </c>
      <c r="U602" s="505">
        <v>832416</v>
      </c>
      <c r="W602" s="454">
        <v>5087718</v>
      </c>
      <c r="X602" s="454">
        <v>1047673</v>
      </c>
    </row>
    <row r="603" spans="1:24">
      <c r="A603" s="458">
        <v>96601</v>
      </c>
      <c r="B603" s="518" t="s">
        <v>1312</v>
      </c>
      <c r="C603" s="460">
        <f t="shared" si="10"/>
        <v>1.4820999768950871E-3</v>
      </c>
      <c r="D603" s="460">
        <f>VLOOKUP(A603,'2024 summary '!A603:C1509,3,FALSE)</f>
        <v>1.46878E-3</v>
      </c>
      <c r="E603" s="505">
        <v>9991534</v>
      </c>
      <c r="F603" s="460"/>
      <c r="G603" s="505">
        <v>1750895</v>
      </c>
      <c r="H603" s="505">
        <v>1358343</v>
      </c>
      <c r="I603" s="505">
        <v>0</v>
      </c>
      <c r="J603" s="505">
        <v>18095</v>
      </c>
      <c r="K603" s="505">
        <v>3127333</v>
      </c>
      <c r="L603" s="460"/>
      <c r="M603" s="505">
        <v>11772</v>
      </c>
      <c r="N603" s="505">
        <v>0</v>
      </c>
      <c r="O603" s="505">
        <v>0</v>
      </c>
      <c r="P603" s="505">
        <v>96434</v>
      </c>
      <c r="Q603" s="505">
        <v>108206</v>
      </c>
      <c r="R603" s="460"/>
      <c r="S603" s="505">
        <v>2989034</v>
      </c>
      <c r="T603" s="505">
        <v>-59654</v>
      </c>
      <c r="U603" s="505">
        <v>2929380</v>
      </c>
      <c r="W603" s="454">
        <v>17705291</v>
      </c>
      <c r="X603" s="454">
        <v>3645908</v>
      </c>
    </row>
    <row r="604" spans="1:24">
      <c r="A604" s="458">
        <v>96604</v>
      </c>
      <c r="B604" s="518" t="s">
        <v>1313</v>
      </c>
      <c r="C604" s="460">
        <f t="shared" si="10"/>
        <v>4.3699661452715139E-6</v>
      </c>
      <c r="D604" s="460">
        <f>VLOOKUP(A604,'2024 summary '!A604:C1510,3,FALSE)</f>
        <v>4.4700000000000004E-6</v>
      </c>
      <c r="E604" s="505">
        <v>29460</v>
      </c>
      <c r="F604" s="460"/>
      <c r="G604" s="505">
        <v>5163</v>
      </c>
      <c r="H604" s="505">
        <v>4005</v>
      </c>
      <c r="I604" s="505">
        <v>0</v>
      </c>
      <c r="J604" s="505">
        <v>6241</v>
      </c>
      <c r="K604" s="505">
        <v>15409</v>
      </c>
      <c r="L604" s="460"/>
      <c r="M604" s="505">
        <v>35</v>
      </c>
      <c r="N604" s="505">
        <v>0</v>
      </c>
      <c r="O604" s="505">
        <v>0</v>
      </c>
      <c r="P604" s="505">
        <v>943</v>
      </c>
      <c r="Q604" s="505">
        <v>978</v>
      </c>
      <c r="R604" s="460"/>
      <c r="S604" s="505">
        <v>8813</v>
      </c>
      <c r="T604" s="505">
        <v>3371</v>
      </c>
      <c r="U604" s="505">
        <v>12184</v>
      </c>
      <c r="W604" s="454">
        <v>52204</v>
      </c>
      <c r="X604" s="454">
        <v>10750</v>
      </c>
    </row>
    <row r="605" spans="1:24">
      <c r="A605" s="458">
        <v>96611</v>
      </c>
      <c r="B605" s="518" t="s">
        <v>1314</v>
      </c>
      <c r="C605" s="460">
        <f t="shared" si="10"/>
        <v>3.4040048574911982E-5</v>
      </c>
      <c r="D605" s="460">
        <f>VLOOKUP(A605,'2024 summary '!A605:C1511,3,FALSE)</f>
        <v>2.4890000000000001E-5</v>
      </c>
      <c r="E605" s="505">
        <v>229480</v>
      </c>
      <c r="F605" s="460"/>
      <c r="G605" s="505">
        <v>40214</v>
      </c>
      <c r="H605" s="505">
        <v>31198</v>
      </c>
      <c r="I605" s="505">
        <v>0</v>
      </c>
      <c r="J605" s="505">
        <v>57568</v>
      </c>
      <c r="K605" s="505">
        <v>128980</v>
      </c>
      <c r="L605" s="460"/>
      <c r="M605" s="505">
        <v>270</v>
      </c>
      <c r="N605" s="505">
        <v>0</v>
      </c>
      <c r="O605" s="505">
        <v>0</v>
      </c>
      <c r="P605" s="505">
        <v>1534</v>
      </c>
      <c r="Q605" s="505">
        <v>1804</v>
      </c>
      <c r="R605" s="460"/>
      <c r="S605" s="505">
        <v>68650</v>
      </c>
      <c r="T605" s="505">
        <v>20105</v>
      </c>
      <c r="U605" s="505">
        <v>88755</v>
      </c>
      <c r="W605" s="454">
        <v>406645</v>
      </c>
      <c r="X605" s="454">
        <v>83737</v>
      </c>
    </row>
    <row r="606" spans="1:24">
      <c r="A606" s="458">
        <v>96612</v>
      </c>
      <c r="B606" s="518" t="s">
        <v>1315</v>
      </c>
      <c r="C606" s="460">
        <f t="shared" si="10"/>
        <v>2.927002137418231E-5</v>
      </c>
      <c r="D606" s="460">
        <f>VLOOKUP(A606,'2024 summary '!A606:C1512,3,FALSE)</f>
        <v>3.0670000000000003E-5</v>
      </c>
      <c r="E606" s="505">
        <v>197323</v>
      </c>
      <c r="F606" s="460"/>
      <c r="G606" s="505">
        <v>34578</v>
      </c>
      <c r="H606" s="505">
        <v>26826</v>
      </c>
      <c r="I606" s="505">
        <v>0</v>
      </c>
      <c r="J606" s="505">
        <v>13704</v>
      </c>
      <c r="K606" s="505">
        <v>75108</v>
      </c>
      <c r="L606" s="460"/>
      <c r="M606" s="505">
        <v>232</v>
      </c>
      <c r="N606" s="505">
        <v>0</v>
      </c>
      <c r="O606" s="505">
        <v>0</v>
      </c>
      <c r="P606" s="505">
        <v>12906</v>
      </c>
      <c r="Q606" s="505">
        <v>13138</v>
      </c>
      <c r="R606" s="460"/>
      <c r="S606" s="505">
        <v>59030</v>
      </c>
      <c r="T606" s="505">
        <v>1586</v>
      </c>
      <c r="U606" s="505">
        <v>60616</v>
      </c>
      <c r="W606" s="454">
        <v>349662</v>
      </c>
      <c r="X606" s="454">
        <v>72003</v>
      </c>
    </row>
    <row r="607" spans="1:24">
      <c r="A607" s="458">
        <v>96621</v>
      </c>
      <c r="B607" s="518" t="s">
        <v>1316</v>
      </c>
      <c r="C607" s="460">
        <f t="shared" si="10"/>
        <v>1.620002520900857E-5</v>
      </c>
      <c r="D607" s="460">
        <f>VLOOKUP(A607,'2024 summary '!A607:C1513,3,FALSE)</f>
        <v>2.739E-5</v>
      </c>
      <c r="E607" s="505">
        <v>109212</v>
      </c>
      <c r="F607" s="460"/>
      <c r="G607" s="505">
        <v>19138</v>
      </c>
      <c r="H607" s="505">
        <v>14847</v>
      </c>
      <c r="I607" s="505">
        <v>0</v>
      </c>
      <c r="J607" s="505">
        <v>4849</v>
      </c>
      <c r="K607" s="505">
        <v>38834</v>
      </c>
      <c r="L607" s="460"/>
      <c r="M607" s="505">
        <v>129</v>
      </c>
      <c r="N607" s="505">
        <v>0</v>
      </c>
      <c r="O607" s="505">
        <v>0</v>
      </c>
      <c r="P607" s="505">
        <v>33733</v>
      </c>
      <c r="Q607" s="505">
        <v>33862</v>
      </c>
      <c r="R607" s="460"/>
      <c r="S607" s="505">
        <v>32671</v>
      </c>
      <c r="T607" s="505">
        <v>-4182</v>
      </c>
      <c r="U607" s="505">
        <v>28489</v>
      </c>
      <c r="W607" s="454">
        <v>193527</v>
      </c>
      <c r="X607" s="454">
        <v>39851</v>
      </c>
    </row>
    <row r="608" spans="1:24">
      <c r="A608" s="458">
        <v>96631</v>
      </c>
      <c r="B608" s="518" t="s">
        <v>1317</v>
      </c>
      <c r="C608" s="460">
        <f t="shared" si="10"/>
        <v>3.0690037868027669E-5</v>
      </c>
      <c r="D608" s="460">
        <f>VLOOKUP(A608,'2024 summary '!A608:C1514,3,FALSE)</f>
        <v>2.4049999999999998E-5</v>
      </c>
      <c r="E608" s="505">
        <v>206896</v>
      </c>
      <c r="F608" s="460"/>
      <c r="G608" s="505">
        <v>36256</v>
      </c>
      <c r="H608" s="505">
        <v>28127</v>
      </c>
      <c r="I608" s="505">
        <v>0</v>
      </c>
      <c r="J608" s="505">
        <v>28293</v>
      </c>
      <c r="K608" s="505">
        <v>92676</v>
      </c>
      <c r="L608" s="460"/>
      <c r="M608" s="505">
        <v>244</v>
      </c>
      <c r="N608" s="505">
        <v>0</v>
      </c>
      <c r="O608" s="505">
        <v>0</v>
      </c>
      <c r="P608" s="505">
        <v>2321</v>
      </c>
      <c r="Q608" s="505">
        <v>2565</v>
      </c>
      <c r="R608" s="460"/>
      <c r="S608" s="505">
        <v>61894</v>
      </c>
      <c r="T608" s="505">
        <v>10538</v>
      </c>
      <c r="U608" s="505">
        <v>72432</v>
      </c>
      <c r="W608" s="454">
        <v>366625</v>
      </c>
      <c r="X608" s="454">
        <v>75496</v>
      </c>
    </row>
    <row r="609" spans="1:24">
      <c r="A609" s="458">
        <v>96641</v>
      </c>
      <c r="B609" s="518" t="s">
        <v>1318</v>
      </c>
      <c r="C609" s="460">
        <f t="shared" si="10"/>
        <v>3.2199945722498768E-5</v>
      </c>
      <c r="D609" s="460">
        <f>VLOOKUP(A609,'2024 summary '!A609:C1515,3,FALSE)</f>
        <v>3.4319999999999997E-5</v>
      </c>
      <c r="E609" s="505">
        <v>217075</v>
      </c>
      <c r="F609" s="460"/>
      <c r="G609" s="505">
        <v>38040</v>
      </c>
      <c r="H609" s="505">
        <v>29511</v>
      </c>
      <c r="I609" s="505">
        <v>0</v>
      </c>
      <c r="J609" s="505">
        <v>2221</v>
      </c>
      <c r="K609" s="505">
        <v>69772</v>
      </c>
      <c r="L609" s="460"/>
      <c r="M609" s="505">
        <v>256</v>
      </c>
      <c r="N609" s="505">
        <v>0</v>
      </c>
      <c r="O609" s="505">
        <v>0</v>
      </c>
      <c r="P609" s="505">
        <v>10731</v>
      </c>
      <c r="Q609" s="505">
        <v>10987</v>
      </c>
      <c r="R609" s="460"/>
      <c r="S609" s="505">
        <v>64940</v>
      </c>
      <c r="T609" s="505">
        <v>2903</v>
      </c>
      <c r="U609" s="505">
        <v>67843</v>
      </c>
      <c r="W609" s="454">
        <v>384664</v>
      </c>
      <c r="X609" s="454">
        <v>79211</v>
      </c>
    </row>
    <row r="610" spans="1:24">
      <c r="A610" s="458">
        <v>96651</v>
      </c>
      <c r="B610" s="518" t="s">
        <v>1319</v>
      </c>
      <c r="C610" s="460">
        <f t="shared" si="10"/>
        <v>2.4250048723527911E-5</v>
      </c>
      <c r="D610" s="460">
        <f>VLOOKUP(A610,'2024 summary '!A610:C1516,3,FALSE)</f>
        <v>1.8159999999999999E-5</v>
      </c>
      <c r="E610" s="505">
        <v>163481</v>
      </c>
      <c r="F610" s="460"/>
      <c r="G610" s="505">
        <v>28648</v>
      </c>
      <c r="H610" s="505">
        <v>22225</v>
      </c>
      <c r="I610" s="505">
        <v>0</v>
      </c>
      <c r="J610" s="505">
        <v>17026</v>
      </c>
      <c r="K610" s="505">
        <v>67899</v>
      </c>
      <c r="L610" s="460"/>
      <c r="M610" s="505">
        <v>193</v>
      </c>
      <c r="N610" s="505">
        <v>0</v>
      </c>
      <c r="O610" s="505">
        <v>0</v>
      </c>
      <c r="P610" s="505">
        <v>4556</v>
      </c>
      <c r="Q610" s="505">
        <v>4749</v>
      </c>
      <c r="R610" s="460"/>
      <c r="S610" s="505">
        <v>48906</v>
      </c>
      <c r="T610" s="505">
        <v>6898</v>
      </c>
      <c r="U610" s="505">
        <v>55804</v>
      </c>
      <c r="W610" s="454">
        <v>289693</v>
      </c>
      <c r="X610" s="454">
        <v>59654</v>
      </c>
    </row>
    <row r="611" spans="1:24">
      <c r="A611" s="458">
        <v>96661</v>
      </c>
      <c r="B611" s="518" t="s">
        <v>1320</v>
      </c>
      <c r="C611" s="460">
        <f t="shared" si="10"/>
        <v>1.4709994322068574E-5</v>
      </c>
      <c r="D611" s="460">
        <f>VLOOKUP(A611,'2024 summary '!A611:C1517,3,FALSE)</f>
        <v>1.9429999999999999E-5</v>
      </c>
      <c r="E611" s="505">
        <v>99167</v>
      </c>
      <c r="F611" s="460"/>
      <c r="G611" s="505">
        <v>17378</v>
      </c>
      <c r="H611" s="505">
        <v>13482</v>
      </c>
      <c r="I611" s="505">
        <v>0</v>
      </c>
      <c r="J611" s="505">
        <v>57</v>
      </c>
      <c r="K611" s="505">
        <v>30917</v>
      </c>
      <c r="L611" s="460"/>
      <c r="M611" s="505">
        <v>117</v>
      </c>
      <c r="N611" s="505">
        <v>0</v>
      </c>
      <c r="O611" s="505">
        <v>0</v>
      </c>
      <c r="P611" s="505">
        <v>18841</v>
      </c>
      <c r="Q611" s="505">
        <v>18958</v>
      </c>
      <c r="R611" s="460"/>
      <c r="S611" s="505">
        <v>29666</v>
      </c>
      <c r="T611" s="505">
        <v>-10218</v>
      </c>
      <c r="U611" s="505">
        <v>19448</v>
      </c>
      <c r="W611" s="454">
        <v>175727</v>
      </c>
      <c r="X611" s="454">
        <v>36186</v>
      </c>
    </row>
    <row r="612" spans="1:24">
      <c r="A612" s="458">
        <v>96671</v>
      </c>
      <c r="B612" s="518" t="s">
        <v>1321</v>
      </c>
      <c r="C612" s="460">
        <f t="shared" si="10"/>
        <v>1.0070057423762636E-5</v>
      </c>
      <c r="D612" s="460">
        <f>VLOOKUP(A612,'2024 summary '!A612:C1518,3,FALSE)</f>
        <v>1.0720000000000001E-5</v>
      </c>
      <c r="E612" s="505">
        <v>67887</v>
      </c>
      <c r="F612" s="460"/>
      <c r="G612" s="505">
        <v>11896</v>
      </c>
      <c r="H612" s="505">
        <v>9229</v>
      </c>
      <c r="I612" s="505">
        <v>0</v>
      </c>
      <c r="J612" s="505">
        <v>9642</v>
      </c>
      <c r="K612" s="505">
        <v>30767</v>
      </c>
      <c r="L612" s="460"/>
      <c r="M612" s="505">
        <v>80</v>
      </c>
      <c r="N612" s="505">
        <v>0</v>
      </c>
      <c r="O612" s="505">
        <v>0</v>
      </c>
      <c r="P612" s="505">
        <v>2671</v>
      </c>
      <c r="Q612" s="505">
        <v>2751</v>
      </c>
      <c r="R612" s="460"/>
      <c r="S612" s="505">
        <v>20309</v>
      </c>
      <c r="T612" s="505">
        <v>3998</v>
      </c>
      <c r="U612" s="505">
        <v>24307</v>
      </c>
      <c r="W612" s="454">
        <v>120297</v>
      </c>
      <c r="X612" s="454">
        <v>24772</v>
      </c>
    </row>
    <row r="613" spans="1:24">
      <c r="A613" s="458">
        <v>96681</v>
      </c>
      <c r="B613" s="518" t="s">
        <v>1322</v>
      </c>
      <c r="C613" s="460">
        <f t="shared" si="10"/>
        <v>2.4699950533392423E-5</v>
      </c>
      <c r="D613" s="460">
        <f>VLOOKUP(A613,'2024 summary '!A613:C1519,3,FALSE)</f>
        <v>1.821E-5</v>
      </c>
      <c r="E613" s="505">
        <v>166514</v>
      </c>
      <c r="F613" s="460"/>
      <c r="G613" s="505">
        <v>29180</v>
      </c>
      <c r="H613" s="505">
        <v>22638</v>
      </c>
      <c r="I613" s="505">
        <v>0</v>
      </c>
      <c r="J613" s="505">
        <v>42902</v>
      </c>
      <c r="K613" s="505">
        <v>94720</v>
      </c>
      <c r="L613" s="460"/>
      <c r="M613" s="505">
        <v>196</v>
      </c>
      <c r="N613" s="505">
        <v>0</v>
      </c>
      <c r="O613" s="505">
        <v>0</v>
      </c>
      <c r="P613" s="505">
        <v>2387</v>
      </c>
      <c r="Q613" s="505">
        <v>2583</v>
      </c>
      <c r="R613" s="460"/>
      <c r="S613" s="505">
        <v>49814</v>
      </c>
      <c r="T613" s="505">
        <v>19128</v>
      </c>
      <c r="U613" s="505">
        <v>68942</v>
      </c>
      <c r="W613" s="454">
        <v>295068</v>
      </c>
      <c r="X613" s="454">
        <v>60761</v>
      </c>
    </row>
    <row r="614" spans="1:24">
      <c r="A614" s="458">
        <v>96701</v>
      </c>
      <c r="B614" s="518" t="s">
        <v>1323</v>
      </c>
      <c r="C614" s="460">
        <f t="shared" si="10"/>
        <v>8.5677200238804679E-3</v>
      </c>
      <c r="D614" s="460">
        <f>VLOOKUP(A614,'2024 summary '!A614:C1520,3,FALSE)</f>
        <v>7.9741699999999992E-3</v>
      </c>
      <c r="E614" s="505">
        <v>57759036</v>
      </c>
      <c r="F614" s="460"/>
      <c r="G614" s="505">
        <v>10121570</v>
      </c>
      <c r="H614" s="505">
        <v>7852307</v>
      </c>
      <c r="I614" s="505">
        <v>0</v>
      </c>
      <c r="J614" s="505">
        <v>1138887</v>
      </c>
      <c r="K614" s="505">
        <v>19112764</v>
      </c>
      <c r="L614" s="460"/>
      <c r="M614" s="505">
        <v>68053</v>
      </c>
      <c r="N614" s="505">
        <v>0</v>
      </c>
      <c r="O614" s="505">
        <v>0</v>
      </c>
      <c r="P614" s="505">
        <v>298129</v>
      </c>
      <c r="Q614" s="505">
        <v>366182</v>
      </c>
      <c r="R614" s="460"/>
      <c r="S614" s="505">
        <v>17279001</v>
      </c>
      <c r="T614" s="505">
        <v>96907</v>
      </c>
      <c r="U614" s="505">
        <v>17375908</v>
      </c>
      <c r="W614" s="454">
        <v>102350703</v>
      </c>
      <c r="X614" s="454">
        <v>21076257</v>
      </c>
    </row>
    <row r="615" spans="1:24">
      <c r="A615" s="458">
        <v>96704</v>
      </c>
      <c r="B615" s="518" t="s">
        <v>1324</v>
      </c>
      <c r="C615" s="460">
        <f t="shared" si="10"/>
        <v>2.8212003026328826E-4</v>
      </c>
      <c r="D615" s="460">
        <f>VLOOKUP(A615,'2024 summary '!A615:C1521,3,FALSE)</f>
        <v>2.8568000000000002E-4</v>
      </c>
      <c r="E615" s="505">
        <v>1901904</v>
      </c>
      <c r="F615" s="460"/>
      <c r="G615" s="505">
        <v>333286</v>
      </c>
      <c r="H615" s="505">
        <v>258563</v>
      </c>
      <c r="I615" s="505">
        <v>0</v>
      </c>
      <c r="J615" s="505">
        <v>110720</v>
      </c>
      <c r="K615" s="505">
        <v>702569</v>
      </c>
      <c r="L615" s="460"/>
      <c r="M615" s="505">
        <v>2241</v>
      </c>
      <c r="N615" s="505">
        <v>0</v>
      </c>
      <c r="O615" s="505">
        <v>0</v>
      </c>
      <c r="P615" s="505">
        <v>0</v>
      </c>
      <c r="Q615" s="505">
        <v>2241</v>
      </c>
      <c r="R615" s="460"/>
      <c r="S615" s="505">
        <v>568967</v>
      </c>
      <c r="T615" s="505">
        <v>91062</v>
      </c>
      <c r="U615" s="505">
        <v>660029</v>
      </c>
      <c r="W615" s="454">
        <v>3370229</v>
      </c>
      <c r="X615" s="454">
        <v>694004</v>
      </c>
    </row>
    <row r="616" spans="1:24">
      <c r="A616" s="458">
        <v>96708</v>
      </c>
      <c r="B616" s="518" t="s">
        <v>1325</v>
      </c>
      <c r="C616" s="460">
        <f t="shared" si="10"/>
        <v>9.7579994170147728E-4</v>
      </c>
      <c r="D616" s="460">
        <f>VLOOKUP(A616,'2024 summary '!A616:C1522,3,FALSE)</f>
        <v>8.3613999999999997E-4</v>
      </c>
      <c r="E616" s="505">
        <v>6578327</v>
      </c>
      <c r="F616" s="460"/>
      <c r="G616" s="505">
        <v>1152772</v>
      </c>
      <c r="H616" s="505">
        <v>894320</v>
      </c>
      <c r="I616" s="505">
        <v>0</v>
      </c>
      <c r="J616" s="505">
        <v>617404</v>
      </c>
      <c r="K616" s="505">
        <v>2664496</v>
      </c>
      <c r="L616" s="460"/>
      <c r="M616" s="505">
        <v>7751</v>
      </c>
      <c r="N616" s="505">
        <v>0</v>
      </c>
      <c r="O616" s="505">
        <v>0</v>
      </c>
      <c r="P616" s="505">
        <v>40521</v>
      </c>
      <c r="Q616" s="505">
        <v>48272</v>
      </c>
      <c r="R616" s="460"/>
      <c r="S616" s="505">
        <v>1967951</v>
      </c>
      <c r="T616" s="505">
        <v>201798</v>
      </c>
      <c r="U616" s="505">
        <v>2169749</v>
      </c>
      <c r="W616" s="454">
        <v>11656989</v>
      </c>
      <c r="X616" s="454">
        <v>2400430</v>
      </c>
    </row>
    <row r="617" spans="1:24">
      <c r="A617" s="458">
        <v>96711</v>
      </c>
      <c r="B617" s="518" t="s">
        <v>1326</v>
      </c>
      <c r="C617" s="460">
        <f t="shared" si="10"/>
        <v>3.4991900182456781E-3</v>
      </c>
      <c r="D617" s="460">
        <f>VLOOKUP(A617,'2024 summary '!A617:C1523,3,FALSE)</f>
        <v>3.8955399999999999E-3</v>
      </c>
      <c r="E617" s="505">
        <v>23589688</v>
      </c>
      <c r="F617" s="460"/>
      <c r="G617" s="505">
        <v>4133807</v>
      </c>
      <c r="H617" s="505">
        <v>3207004</v>
      </c>
      <c r="I617" s="505">
        <v>0</v>
      </c>
      <c r="J617" s="505">
        <v>325738</v>
      </c>
      <c r="K617" s="505">
        <v>7666549</v>
      </c>
      <c r="L617" s="460"/>
      <c r="M617" s="505">
        <v>27794</v>
      </c>
      <c r="N617" s="505">
        <v>0</v>
      </c>
      <c r="O617" s="505">
        <v>0</v>
      </c>
      <c r="P617" s="505">
        <v>1125320</v>
      </c>
      <c r="Q617" s="505">
        <v>1153114</v>
      </c>
      <c r="R617" s="460"/>
      <c r="S617" s="505">
        <v>7057012</v>
      </c>
      <c r="T617" s="505">
        <v>-360291</v>
      </c>
      <c r="U617" s="505">
        <v>6696721</v>
      </c>
      <c r="W617" s="454">
        <v>41801618</v>
      </c>
      <c r="X617" s="454">
        <v>8607871</v>
      </c>
    </row>
    <row r="618" spans="1:24">
      <c r="A618" s="458">
        <v>96721</v>
      </c>
      <c r="B618" s="518" t="s">
        <v>1327</v>
      </c>
      <c r="C618" s="460">
        <f t="shared" si="10"/>
        <v>2.8873995046461813E-4</v>
      </c>
      <c r="D618" s="460">
        <f>VLOOKUP(A618,'2024 summary '!A618:C1524,3,FALSE)</f>
        <v>2.5522000000000001E-4</v>
      </c>
      <c r="E618" s="505">
        <v>1946532</v>
      </c>
      <c r="F618" s="460"/>
      <c r="G618" s="505">
        <v>341106</v>
      </c>
      <c r="H618" s="505">
        <v>264630</v>
      </c>
      <c r="I618" s="505">
        <v>0</v>
      </c>
      <c r="J618" s="505">
        <v>82897</v>
      </c>
      <c r="K618" s="505">
        <v>688633</v>
      </c>
      <c r="L618" s="460"/>
      <c r="M618" s="505">
        <v>2293</v>
      </c>
      <c r="N618" s="505">
        <v>0</v>
      </c>
      <c r="O618" s="505">
        <v>0</v>
      </c>
      <c r="P618" s="505">
        <v>30766</v>
      </c>
      <c r="Q618" s="505">
        <v>33059</v>
      </c>
      <c r="R618" s="460"/>
      <c r="S618" s="505">
        <v>582318</v>
      </c>
      <c r="T618" s="505">
        <v>18177</v>
      </c>
      <c r="U618" s="505">
        <v>600495</v>
      </c>
      <c r="W618" s="454">
        <v>3449312</v>
      </c>
      <c r="X618" s="454">
        <v>710289</v>
      </c>
    </row>
    <row r="619" spans="1:24">
      <c r="A619" s="458">
        <v>96722</v>
      </c>
      <c r="B619" s="518" t="s">
        <v>3757</v>
      </c>
      <c r="C619" s="460">
        <f t="shared" si="10"/>
        <v>2.6620006262665827E-5</v>
      </c>
      <c r="D619" s="460">
        <f>VLOOKUP(A619,'2024 summary '!A619:C1525,3,FALSE)</f>
        <v>2.9139999999999999E-5</v>
      </c>
      <c r="E619" s="505">
        <v>179458</v>
      </c>
      <c r="F619" s="460"/>
      <c r="G619" s="505">
        <v>31448</v>
      </c>
      <c r="H619" s="505">
        <v>24397</v>
      </c>
      <c r="I619" s="505">
        <v>0</v>
      </c>
      <c r="J619" s="505">
        <v>27643</v>
      </c>
      <c r="K619" s="505">
        <v>83488</v>
      </c>
      <c r="L619" s="460"/>
      <c r="M619" s="505">
        <v>211</v>
      </c>
      <c r="N619" s="505">
        <v>0</v>
      </c>
      <c r="O619" s="505">
        <v>0</v>
      </c>
      <c r="P619" s="505">
        <v>17421</v>
      </c>
      <c r="Q619" s="505">
        <v>17632</v>
      </c>
      <c r="R619" s="460"/>
      <c r="S619" s="505">
        <v>53686</v>
      </c>
      <c r="T619" s="505">
        <v>12949</v>
      </c>
      <c r="U619" s="505">
        <v>66635</v>
      </c>
      <c r="W619" s="454">
        <v>318005</v>
      </c>
      <c r="X619" s="454">
        <v>65484</v>
      </c>
    </row>
    <row r="620" spans="1:24">
      <c r="A620" s="458">
        <v>96731</v>
      </c>
      <c r="B620" s="518" t="s">
        <v>1328</v>
      </c>
      <c r="C620" s="460">
        <f t="shared" si="10"/>
        <v>2.1995006757123935E-4</v>
      </c>
      <c r="D620" s="460">
        <f>VLOOKUP(A620,'2024 summary '!A620:C1526,3,FALSE)</f>
        <v>2.3164999999999999E-4</v>
      </c>
      <c r="E620" s="505">
        <v>1482787</v>
      </c>
      <c r="F620" s="460"/>
      <c r="G620" s="505">
        <v>259840</v>
      </c>
      <c r="H620" s="505">
        <v>201584</v>
      </c>
      <c r="I620" s="505">
        <v>0</v>
      </c>
      <c r="J620" s="505">
        <v>18470</v>
      </c>
      <c r="K620" s="505">
        <v>479894</v>
      </c>
      <c r="L620" s="460"/>
      <c r="M620" s="505">
        <v>1747</v>
      </c>
      <c r="N620" s="505">
        <v>0</v>
      </c>
      <c r="O620" s="505">
        <v>0</v>
      </c>
      <c r="P620" s="505">
        <v>89762</v>
      </c>
      <c r="Q620" s="505">
        <v>91509</v>
      </c>
      <c r="R620" s="460"/>
      <c r="S620" s="505">
        <v>443585</v>
      </c>
      <c r="T620" s="505">
        <v>-16394</v>
      </c>
      <c r="U620" s="505">
        <v>427191</v>
      </c>
      <c r="W620" s="454">
        <v>2627541</v>
      </c>
      <c r="X620" s="454">
        <v>541068</v>
      </c>
    </row>
    <row r="621" spans="1:24">
      <c r="A621" s="458">
        <v>96741</v>
      </c>
      <c r="B621" s="518" t="s">
        <v>1330</v>
      </c>
      <c r="C621" s="460">
        <f t="shared" si="10"/>
        <v>7.2509990868845965E-5</v>
      </c>
      <c r="D621" s="460">
        <f>VLOOKUP(A621,'2024 summary '!A621:C1527,3,FALSE)</f>
        <v>7.9599999999999997E-5</v>
      </c>
      <c r="E621" s="505">
        <v>488824</v>
      </c>
      <c r="F621" s="460"/>
      <c r="G621" s="505">
        <v>85660</v>
      </c>
      <c r="H621" s="505">
        <v>66455</v>
      </c>
      <c r="I621" s="505">
        <v>0</v>
      </c>
      <c r="J621" s="505">
        <v>2325</v>
      </c>
      <c r="K621" s="505">
        <v>154440</v>
      </c>
      <c r="L621" s="460"/>
      <c r="M621" s="505">
        <v>576</v>
      </c>
      <c r="N621" s="505">
        <v>0</v>
      </c>
      <c r="O621" s="505">
        <v>0</v>
      </c>
      <c r="P621" s="505">
        <v>18256</v>
      </c>
      <c r="Q621" s="505">
        <v>18832</v>
      </c>
      <c r="R621" s="460"/>
      <c r="S621" s="505">
        <v>146235</v>
      </c>
      <c r="T621" s="505">
        <v>-8517</v>
      </c>
      <c r="U621" s="505">
        <v>137718</v>
      </c>
      <c r="W621" s="454">
        <v>866211</v>
      </c>
      <c r="X621" s="454">
        <v>178372</v>
      </c>
    </row>
    <row r="622" spans="1:24">
      <c r="A622" s="458">
        <v>96751</v>
      </c>
      <c r="B622" s="518" t="s">
        <v>1331</v>
      </c>
      <c r="C622" s="460">
        <f t="shared" si="10"/>
        <v>2.841700279594068E-4</v>
      </c>
      <c r="D622" s="460">
        <f>VLOOKUP(A622,'2024 summary '!A622:C1528,3,FALSE)</f>
        <v>3.3979000000000002E-4</v>
      </c>
      <c r="E622" s="505">
        <v>1915724</v>
      </c>
      <c r="F622" s="460"/>
      <c r="G622" s="505">
        <v>335707</v>
      </c>
      <c r="H622" s="505">
        <v>260442</v>
      </c>
      <c r="I622" s="505">
        <v>0</v>
      </c>
      <c r="J622" s="505">
        <v>14934</v>
      </c>
      <c r="K622" s="505">
        <v>611083</v>
      </c>
      <c r="L622" s="460"/>
      <c r="M622" s="505">
        <v>2257</v>
      </c>
      <c r="N622" s="505">
        <v>0</v>
      </c>
      <c r="O622" s="505">
        <v>0</v>
      </c>
      <c r="P622" s="505">
        <v>203471</v>
      </c>
      <c r="Q622" s="505">
        <v>205728</v>
      </c>
      <c r="R622" s="460"/>
      <c r="S622" s="505">
        <v>573102</v>
      </c>
      <c r="T622" s="505">
        <v>-42753</v>
      </c>
      <c r="U622" s="505">
        <v>530349</v>
      </c>
      <c r="W622" s="454">
        <v>3394719</v>
      </c>
      <c r="X622" s="454">
        <v>699047</v>
      </c>
    </row>
    <row r="623" spans="1:24">
      <c r="A623" s="458">
        <v>96801</v>
      </c>
      <c r="B623" s="518" t="s">
        <v>1332</v>
      </c>
      <c r="C623" s="460">
        <f t="shared" si="10"/>
        <v>7.3873000516483274E-3</v>
      </c>
      <c r="D623" s="460">
        <f>VLOOKUP(A623,'2024 summary '!A623:C1529,3,FALSE)</f>
        <v>6.90421E-3</v>
      </c>
      <c r="E623" s="505">
        <v>49801269</v>
      </c>
      <c r="F623" s="460"/>
      <c r="G623" s="505">
        <v>8727068</v>
      </c>
      <c r="H623" s="505">
        <v>6770453</v>
      </c>
      <c r="I623" s="505">
        <v>0</v>
      </c>
      <c r="J623" s="505">
        <v>1869881</v>
      </c>
      <c r="K623" s="505">
        <v>17367402</v>
      </c>
      <c r="L623" s="460"/>
      <c r="M623" s="505">
        <v>58677</v>
      </c>
      <c r="N623" s="505">
        <v>0</v>
      </c>
      <c r="O623" s="505">
        <v>0</v>
      </c>
      <c r="P623" s="505">
        <v>292609</v>
      </c>
      <c r="Q623" s="505">
        <v>351286</v>
      </c>
      <c r="R623" s="460"/>
      <c r="S623" s="505">
        <v>14898382</v>
      </c>
      <c r="T623" s="505">
        <v>439442</v>
      </c>
      <c r="U623" s="505">
        <v>15337824</v>
      </c>
      <c r="W623" s="454">
        <v>88249306</v>
      </c>
      <c r="X623" s="454">
        <v>18172470</v>
      </c>
    </row>
    <row r="624" spans="1:24">
      <c r="A624" s="458">
        <v>96804</v>
      </c>
      <c r="B624" s="518" t="s">
        <v>1333</v>
      </c>
      <c r="C624" s="460">
        <f t="shared" si="10"/>
        <v>2.6633994307726899E-4</v>
      </c>
      <c r="D624" s="460">
        <f>VLOOKUP(A624,'2024 summary '!A624:C1530,3,FALSE)</f>
        <v>2.5385000000000002E-4</v>
      </c>
      <c r="E624" s="505">
        <v>1795523</v>
      </c>
      <c r="F624" s="460"/>
      <c r="G624" s="505">
        <v>314644</v>
      </c>
      <c r="H624" s="505">
        <v>244100</v>
      </c>
      <c r="I624" s="505">
        <v>0</v>
      </c>
      <c r="J624" s="505">
        <v>31847</v>
      </c>
      <c r="K624" s="505">
        <v>590591</v>
      </c>
      <c r="L624" s="460"/>
      <c r="M624" s="505">
        <v>2116</v>
      </c>
      <c r="N624" s="505">
        <v>0</v>
      </c>
      <c r="O624" s="505">
        <v>0</v>
      </c>
      <c r="P624" s="505">
        <v>11492</v>
      </c>
      <c r="Q624" s="505">
        <v>13608</v>
      </c>
      <c r="R624" s="460"/>
      <c r="S624" s="505">
        <v>537143</v>
      </c>
      <c r="T624" s="505">
        <v>6369</v>
      </c>
      <c r="U624" s="505">
        <v>543512</v>
      </c>
      <c r="W624" s="454">
        <v>3181720</v>
      </c>
      <c r="X624" s="454">
        <v>655186</v>
      </c>
    </row>
    <row r="625" spans="1:24">
      <c r="A625" s="458">
        <v>96808</v>
      </c>
      <c r="B625" s="518" t="s">
        <v>1334</v>
      </c>
      <c r="C625" s="460">
        <f t="shared" si="10"/>
        <v>1.1233199712807308E-3</v>
      </c>
      <c r="D625" s="460">
        <f>VLOOKUP(A625,'2024 summary '!A625:C1531,3,FALSE)</f>
        <v>1.1141499999999999E-3</v>
      </c>
      <c r="E625" s="505">
        <v>7572829</v>
      </c>
      <c r="F625" s="460"/>
      <c r="G625" s="505">
        <v>1327046</v>
      </c>
      <c r="H625" s="505">
        <v>1029522</v>
      </c>
      <c r="I625" s="505">
        <v>0</v>
      </c>
      <c r="J625" s="505">
        <v>52034</v>
      </c>
      <c r="K625" s="505">
        <v>2408602</v>
      </c>
      <c r="L625" s="460"/>
      <c r="M625" s="505">
        <v>8923</v>
      </c>
      <c r="N625" s="505">
        <v>0</v>
      </c>
      <c r="O625" s="505">
        <v>0</v>
      </c>
      <c r="P625" s="505">
        <v>179957</v>
      </c>
      <c r="Q625" s="505">
        <v>188880</v>
      </c>
      <c r="R625" s="460"/>
      <c r="S625" s="505">
        <v>2265462</v>
      </c>
      <c r="T625" s="505">
        <v>-92543</v>
      </c>
      <c r="U625" s="505">
        <v>2172919</v>
      </c>
      <c r="W625" s="454">
        <v>13419275</v>
      </c>
      <c r="X625" s="454">
        <v>2763323</v>
      </c>
    </row>
    <row r="626" spans="1:24">
      <c r="A626" s="458">
        <v>96811</v>
      </c>
      <c r="B626" s="518" t="s">
        <v>1335</v>
      </c>
      <c r="C626" s="460">
        <f t="shared" si="10"/>
        <v>5.5936499690264702E-3</v>
      </c>
      <c r="D626" s="460">
        <f>VLOOKUP(A626,'2024 summary '!A626:C1532,3,FALSE)</f>
        <v>5.5444999999999999E-3</v>
      </c>
      <c r="E626" s="505">
        <v>37709429</v>
      </c>
      <c r="F626" s="460"/>
      <c r="G626" s="505">
        <v>6608120</v>
      </c>
      <c r="H626" s="505">
        <v>5126575</v>
      </c>
      <c r="I626" s="505">
        <v>0</v>
      </c>
      <c r="J626" s="505">
        <v>506000</v>
      </c>
      <c r="K626" s="505">
        <v>12240695</v>
      </c>
      <c r="L626" s="460"/>
      <c r="M626" s="505">
        <v>44430</v>
      </c>
      <c r="N626" s="505">
        <v>0</v>
      </c>
      <c r="O626" s="505">
        <v>0</v>
      </c>
      <c r="P626" s="505">
        <v>138638</v>
      </c>
      <c r="Q626" s="505">
        <v>183068</v>
      </c>
      <c r="R626" s="460"/>
      <c r="S626" s="505">
        <v>11281027</v>
      </c>
      <c r="T626" s="505">
        <v>-13843</v>
      </c>
      <c r="U626" s="505">
        <v>11267184</v>
      </c>
      <c r="W626" s="454">
        <v>66822213</v>
      </c>
      <c r="X626" s="454">
        <v>13760161</v>
      </c>
    </row>
    <row r="627" spans="1:24">
      <c r="A627" s="458">
        <v>96821</v>
      </c>
      <c r="B627" s="518" t="s">
        <v>1336</v>
      </c>
      <c r="C627" s="460">
        <f t="shared" si="10"/>
        <v>1.0993600669489255E-3</v>
      </c>
      <c r="D627" s="460">
        <f>VLOOKUP(A627,'2024 summary '!A627:C1533,3,FALSE)</f>
        <v>1.0964200000000001E-3</v>
      </c>
      <c r="E627" s="505">
        <v>7411304</v>
      </c>
      <c r="F627" s="460"/>
      <c r="G627" s="505">
        <v>1298741</v>
      </c>
      <c r="H627" s="505">
        <v>1007562</v>
      </c>
      <c r="I627" s="505">
        <v>0</v>
      </c>
      <c r="J627" s="505">
        <v>153389</v>
      </c>
      <c r="K627" s="505">
        <v>2459692</v>
      </c>
      <c r="L627" s="460"/>
      <c r="M627" s="505">
        <v>8732</v>
      </c>
      <c r="N627" s="505">
        <v>0</v>
      </c>
      <c r="O627" s="505">
        <v>0</v>
      </c>
      <c r="P627" s="505">
        <v>131894</v>
      </c>
      <c r="Q627" s="505">
        <v>140626</v>
      </c>
      <c r="R627" s="460"/>
      <c r="S627" s="505">
        <v>2217141</v>
      </c>
      <c r="T627" s="505">
        <v>-4949</v>
      </c>
      <c r="U627" s="505">
        <v>2212192</v>
      </c>
      <c r="W627" s="454">
        <v>13133047</v>
      </c>
      <c r="X627" s="454">
        <v>2704383</v>
      </c>
    </row>
    <row r="628" spans="1:24">
      <c r="A628" s="458">
        <v>96831</v>
      </c>
      <c r="B628" s="518" t="s">
        <v>1337</v>
      </c>
      <c r="C628" s="460">
        <f t="shared" si="10"/>
        <v>9.652900692871942E-4</v>
      </c>
      <c r="D628" s="460">
        <f>VLOOKUP(A628,'2024 summary '!A628:C1534,3,FALSE)</f>
        <v>8.5541999999999997E-4</v>
      </c>
      <c r="E628" s="505">
        <v>6507475</v>
      </c>
      <c r="F628" s="460"/>
      <c r="G628" s="505">
        <v>1140356</v>
      </c>
      <c r="H628" s="505">
        <v>884687</v>
      </c>
      <c r="I628" s="505">
        <v>0</v>
      </c>
      <c r="J628" s="505">
        <v>352519</v>
      </c>
      <c r="K628" s="505">
        <v>2377562</v>
      </c>
      <c r="L628" s="460"/>
      <c r="M628" s="505">
        <v>7667</v>
      </c>
      <c r="N628" s="505">
        <v>0</v>
      </c>
      <c r="O628" s="505">
        <v>0</v>
      </c>
      <c r="P628" s="505">
        <v>0</v>
      </c>
      <c r="Q628" s="505">
        <v>7667</v>
      </c>
      <c r="R628" s="460"/>
      <c r="S628" s="505">
        <v>1946754</v>
      </c>
      <c r="T628" s="505">
        <v>83728</v>
      </c>
      <c r="U628" s="505">
        <v>2030482</v>
      </c>
      <c r="W628" s="454">
        <v>11531435</v>
      </c>
      <c r="X628" s="454">
        <v>2374576</v>
      </c>
    </row>
    <row r="629" spans="1:24">
      <c r="A629" s="458">
        <v>96901</v>
      </c>
      <c r="B629" s="518" t="s">
        <v>1338</v>
      </c>
      <c r="C629" s="460">
        <f t="shared" si="10"/>
        <v>8.0540003913813474E-4</v>
      </c>
      <c r="D629" s="460">
        <f>VLOOKUP(A629,'2024 summary '!A629:C1535,3,FALSE)</f>
        <v>8.5023E-4</v>
      </c>
      <c r="E629" s="505">
        <v>5429581</v>
      </c>
      <c r="F629" s="460"/>
      <c r="G629" s="505">
        <v>951468</v>
      </c>
      <c r="H629" s="505">
        <v>738148</v>
      </c>
      <c r="I629" s="505">
        <v>0</v>
      </c>
      <c r="J629" s="505">
        <v>101552</v>
      </c>
      <c r="K629" s="505">
        <v>1791168</v>
      </c>
      <c r="L629" s="460"/>
      <c r="M629" s="505">
        <v>6397</v>
      </c>
      <c r="N629" s="505">
        <v>0</v>
      </c>
      <c r="O629" s="505">
        <v>0</v>
      </c>
      <c r="P629" s="505">
        <v>124319</v>
      </c>
      <c r="Q629" s="505">
        <v>130716</v>
      </c>
      <c r="R629" s="460"/>
      <c r="S629" s="505">
        <v>1624295</v>
      </c>
      <c r="T629" s="505">
        <v>-22052</v>
      </c>
      <c r="U629" s="505">
        <v>1602243</v>
      </c>
      <c r="W629" s="454">
        <v>9621376</v>
      </c>
      <c r="X629" s="454">
        <v>1981253</v>
      </c>
    </row>
    <row r="630" spans="1:24">
      <c r="A630" s="458">
        <v>96911</v>
      </c>
      <c r="B630" s="518" t="s">
        <v>1339</v>
      </c>
      <c r="C630" s="460">
        <f t="shared" si="10"/>
        <v>1.5600452800346405E-6</v>
      </c>
      <c r="D630" s="460">
        <f>VLOOKUP(A630,'2024 summary '!A630:C1536,3,FALSE)</f>
        <v>3.4400000000000001E-6</v>
      </c>
      <c r="E630" s="505">
        <v>10517</v>
      </c>
      <c r="F630" s="460"/>
      <c r="G630" s="505">
        <v>1843</v>
      </c>
      <c r="H630" s="505">
        <v>1430</v>
      </c>
      <c r="I630" s="505">
        <v>0</v>
      </c>
      <c r="J630" s="505">
        <v>3335</v>
      </c>
      <c r="K630" s="505">
        <v>6608</v>
      </c>
      <c r="L630" s="460"/>
      <c r="M630" s="505">
        <v>12</v>
      </c>
      <c r="N630" s="505">
        <v>0</v>
      </c>
      <c r="O630" s="505">
        <v>0</v>
      </c>
      <c r="P630" s="505">
        <v>2774</v>
      </c>
      <c r="Q630" s="505">
        <v>2786</v>
      </c>
      <c r="R630" s="460"/>
      <c r="S630" s="505">
        <v>3146</v>
      </c>
      <c r="T630" s="505">
        <v>2022</v>
      </c>
      <c r="U630" s="505">
        <v>5168</v>
      </c>
      <c r="W630" s="454">
        <v>18636</v>
      </c>
      <c r="X630" s="454">
        <v>3838</v>
      </c>
    </row>
    <row r="631" spans="1:24">
      <c r="A631" s="458">
        <v>96912</v>
      </c>
      <c r="B631" s="518" t="s">
        <v>1340</v>
      </c>
      <c r="C631" s="460">
        <f t="shared" si="10"/>
        <v>6.0230029995244404E-5</v>
      </c>
      <c r="D631" s="460">
        <f>VLOOKUP(A631,'2024 summary '!A631:C1537,3,FALSE)</f>
        <v>6.3230000000000003E-5</v>
      </c>
      <c r="E631" s="505">
        <v>406039</v>
      </c>
      <c r="F631" s="460"/>
      <c r="G631" s="505">
        <v>71153</v>
      </c>
      <c r="H631" s="505">
        <v>55201</v>
      </c>
      <c r="I631" s="505">
        <v>0</v>
      </c>
      <c r="J631" s="505">
        <v>0</v>
      </c>
      <c r="K631" s="505">
        <v>126354</v>
      </c>
      <c r="L631" s="460"/>
      <c r="M631" s="505">
        <v>478</v>
      </c>
      <c r="N631" s="505">
        <v>0</v>
      </c>
      <c r="O631" s="505">
        <v>0</v>
      </c>
      <c r="P631" s="505">
        <v>25433</v>
      </c>
      <c r="Q631" s="505">
        <v>25911</v>
      </c>
      <c r="R631" s="460"/>
      <c r="S631" s="505">
        <v>121469</v>
      </c>
      <c r="T631" s="505">
        <v>-15200</v>
      </c>
      <c r="U631" s="505">
        <v>106269</v>
      </c>
      <c r="W631" s="454">
        <v>719513</v>
      </c>
      <c r="X631" s="454">
        <v>148163</v>
      </c>
    </row>
    <row r="632" spans="1:24">
      <c r="A632" s="458">
        <v>96918</v>
      </c>
      <c r="B632" s="518" t="s">
        <v>1341</v>
      </c>
      <c r="C632" s="460">
        <f t="shared" si="10"/>
        <v>4.0340008933222451E-5</v>
      </c>
      <c r="D632" s="460">
        <f>VLOOKUP(A632,'2024 summary '!A632:C1538,3,FALSE)</f>
        <v>3.4230000000000003E-5</v>
      </c>
      <c r="E632" s="505">
        <v>271951</v>
      </c>
      <c r="F632" s="460"/>
      <c r="G632" s="505">
        <v>47656</v>
      </c>
      <c r="H632" s="505">
        <v>36972</v>
      </c>
      <c r="I632" s="505">
        <v>0</v>
      </c>
      <c r="J632" s="505">
        <v>30488</v>
      </c>
      <c r="K632" s="505">
        <v>115116</v>
      </c>
      <c r="L632" s="460"/>
      <c r="M632" s="505">
        <v>320</v>
      </c>
      <c r="N632" s="505">
        <v>0</v>
      </c>
      <c r="O632" s="505">
        <v>0</v>
      </c>
      <c r="P632" s="505">
        <v>15378</v>
      </c>
      <c r="Q632" s="505">
        <v>15698</v>
      </c>
      <c r="R632" s="460"/>
      <c r="S632" s="505">
        <v>81356</v>
      </c>
      <c r="T632" s="505">
        <v>10647</v>
      </c>
      <c r="U632" s="505">
        <v>92003</v>
      </c>
      <c r="W632" s="454">
        <v>481905</v>
      </c>
      <c r="X632" s="454">
        <v>99235</v>
      </c>
    </row>
    <row r="633" spans="1:24">
      <c r="A633" s="458">
        <v>97001</v>
      </c>
      <c r="B633" s="518" t="s">
        <v>1342</v>
      </c>
      <c r="C633" s="460">
        <f t="shared" si="10"/>
        <v>1.4070700612171484E-3</v>
      </c>
      <c r="D633" s="460">
        <f>VLOOKUP(A633,'2024 summary '!A633:C1539,3,FALSE)</f>
        <v>1.4025800000000001E-3</v>
      </c>
      <c r="E633" s="505">
        <v>9485722</v>
      </c>
      <c r="F633" s="460"/>
      <c r="G633" s="505">
        <v>1662258</v>
      </c>
      <c r="H633" s="505">
        <v>1289578</v>
      </c>
      <c r="I633" s="505">
        <v>0</v>
      </c>
      <c r="J633" s="505">
        <v>198406</v>
      </c>
      <c r="K633" s="505">
        <v>3150242</v>
      </c>
      <c r="L633" s="460"/>
      <c r="M633" s="505">
        <v>11176</v>
      </c>
      <c r="N633" s="505">
        <v>0</v>
      </c>
      <c r="O633" s="505">
        <v>0</v>
      </c>
      <c r="P633" s="505">
        <v>102001</v>
      </c>
      <c r="Q633" s="505">
        <v>113177</v>
      </c>
      <c r="R633" s="460"/>
      <c r="S633" s="505">
        <v>2837717</v>
      </c>
      <c r="T633" s="505">
        <v>97765</v>
      </c>
      <c r="U633" s="505">
        <v>2935482</v>
      </c>
      <c r="W633" s="454">
        <v>16808976</v>
      </c>
      <c r="X633" s="454">
        <v>3461337</v>
      </c>
    </row>
    <row r="634" spans="1:24">
      <c r="A634" s="458">
        <v>97002</v>
      </c>
      <c r="B634" s="518" t="s">
        <v>1343</v>
      </c>
      <c r="C634" s="460">
        <f t="shared" si="10"/>
        <v>3.8161003784403883E-4</v>
      </c>
      <c r="D634" s="460">
        <f>VLOOKUP(A634,'2024 summary '!A634:C1540,3,FALSE)</f>
        <v>4.0301999999999997E-4</v>
      </c>
      <c r="E634" s="505">
        <v>2572613</v>
      </c>
      <c r="F634" s="460"/>
      <c r="G634" s="505">
        <v>450819</v>
      </c>
      <c r="H634" s="505">
        <v>349745</v>
      </c>
      <c r="I634" s="505">
        <v>0</v>
      </c>
      <c r="J634" s="505">
        <v>14255</v>
      </c>
      <c r="K634" s="505">
        <v>814819</v>
      </c>
      <c r="L634" s="460"/>
      <c r="M634" s="505">
        <v>3031</v>
      </c>
      <c r="N634" s="505">
        <v>0</v>
      </c>
      <c r="O634" s="505">
        <v>0</v>
      </c>
      <c r="P634" s="505">
        <v>202041</v>
      </c>
      <c r="Q634" s="505">
        <v>205072</v>
      </c>
      <c r="R634" s="460"/>
      <c r="S634" s="505">
        <v>769614</v>
      </c>
      <c r="T634" s="505">
        <v>-125987</v>
      </c>
      <c r="U634" s="505">
        <v>643627</v>
      </c>
      <c r="W634" s="454">
        <v>4558745</v>
      </c>
      <c r="X634" s="454">
        <v>938746</v>
      </c>
    </row>
    <row r="635" spans="1:24">
      <c r="A635" s="458">
        <v>97004</v>
      </c>
      <c r="B635" s="518" t="s">
        <v>1344</v>
      </c>
      <c r="C635" s="460">
        <f t="shared" si="10"/>
        <v>1.6839944895047313E-5</v>
      </c>
      <c r="D635" s="460">
        <f>VLOOKUP(A635,'2024 summary '!A635:C1541,3,FALSE)</f>
        <v>1.241E-5</v>
      </c>
      <c r="E635" s="505">
        <v>113526</v>
      </c>
      <c r="F635" s="460"/>
      <c r="G635" s="505">
        <v>19894</v>
      </c>
      <c r="H635" s="505">
        <v>15434</v>
      </c>
      <c r="I635" s="505">
        <v>0</v>
      </c>
      <c r="J635" s="505">
        <v>10558</v>
      </c>
      <c r="K635" s="505">
        <v>45886</v>
      </c>
      <c r="L635" s="460"/>
      <c r="M635" s="505">
        <v>134</v>
      </c>
      <c r="N635" s="505">
        <v>0</v>
      </c>
      <c r="O635" s="505">
        <v>0</v>
      </c>
      <c r="P635" s="505">
        <v>5975</v>
      </c>
      <c r="Q635" s="505">
        <v>6109</v>
      </c>
      <c r="R635" s="460"/>
      <c r="S635" s="505">
        <v>33962</v>
      </c>
      <c r="T635" s="505">
        <v>3004</v>
      </c>
      <c r="U635" s="505">
        <v>36966</v>
      </c>
      <c r="W635" s="454">
        <v>201172</v>
      </c>
      <c r="X635" s="454">
        <v>41426</v>
      </c>
    </row>
    <row r="636" spans="1:24">
      <c r="A636" s="458">
        <v>97005</v>
      </c>
      <c r="B636" s="518" t="s">
        <v>1345</v>
      </c>
      <c r="C636" s="460">
        <f t="shared" si="10"/>
        <v>2.8540061991939232E-5</v>
      </c>
      <c r="D636" s="460">
        <f>VLOOKUP(A636,'2024 summary '!A636:C1542,3,FALSE)</f>
        <v>9.3100000000000006E-6</v>
      </c>
      <c r="E636" s="505">
        <v>192402</v>
      </c>
      <c r="F636" s="460"/>
      <c r="G636" s="505">
        <v>33716</v>
      </c>
      <c r="H636" s="505">
        <v>26157</v>
      </c>
      <c r="I636" s="505">
        <v>0</v>
      </c>
      <c r="J636" s="505">
        <v>62869</v>
      </c>
      <c r="K636" s="505">
        <v>122742</v>
      </c>
      <c r="L636" s="460"/>
      <c r="M636" s="505">
        <v>227</v>
      </c>
      <c r="N636" s="505">
        <v>0</v>
      </c>
      <c r="O636" s="505">
        <v>0</v>
      </c>
      <c r="P636" s="505">
        <v>32035</v>
      </c>
      <c r="Q636" s="505">
        <v>32262</v>
      </c>
      <c r="R636" s="460"/>
      <c r="S636" s="505">
        <v>57558</v>
      </c>
      <c r="T636" s="505">
        <v>10804</v>
      </c>
      <c r="U636" s="505">
        <v>68362</v>
      </c>
      <c r="W636" s="454">
        <v>340941</v>
      </c>
      <c r="X636" s="454">
        <v>70207</v>
      </c>
    </row>
    <row r="637" spans="1:24">
      <c r="A637" s="458">
        <v>97008</v>
      </c>
      <c r="B637" s="518" t="s">
        <v>1346</v>
      </c>
      <c r="C637" s="460">
        <f t="shared" si="10"/>
        <v>2.4756006548541713E-4</v>
      </c>
      <c r="D637" s="460">
        <f>VLOOKUP(A637,'2024 summary '!A637:C1543,3,FALSE)</f>
        <v>2.5332000000000002E-4</v>
      </c>
      <c r="E637" s="505">
        <v>1668919</v>
      </c>
      <c r="F637" s="460"/>
      <c r="G637" s="505">
        <v>292458</v>
      </c>
      <c r="H637" s="505">
        <v>226888</v>
      </c>
      <c r="I637" s="505">
        <v>0</v>
      </c>
      <c r="J637" s="505">
        <v>46822</v>
      </c>
      <c r="K637" s="505">
        <v>566168</v>
      </c>
      <c r="L637" s="460"/>
      <c r="M637" s="505">
        <v>1966</v>
      </c>
      <c r="N637" s="505">
        <v>0</v>
      </c>
      <c r="O637" s="505">
        <v>0</v>
      </c>
      <c r="P637" s="505">
        <v>165211</v>
      </c>
      <c r="Q637" s="505">
        <v>167177</v>
      </c>
      <c r="R637" s="460"/>
      <c r="S637" s="505">
        <v>499268</v>
      </c>
      <c r="T637" s="505">
        <v>-36163</v>
      </c>
      <c r="U637" s="505">
        <v>463105</v>
      </c>
      <c r="W637" s="454">
        <v>2957373</v>
      </c>
      <c r="X637" s="454">
        <v>608988</v>
      </c>
    </row>
    <row r="638" spans="1:24">
      <c r="A638" s="458">
        <v>97011</v>
      </c>
      <c r="B638" s="518" t="s">
        <v>1348</v>
      </c>
      <c r="C638" s="460">
        <f t="shared" si="10"/>
        <v>1.5830199394534486E-3</v>
      </c>
      <c r="D638" s="460">
        <f>VLOOKUP(A638,'2024 summary '!A638:C1544,3,FALSE)</f>
        <v>1.72711E-3</v>
      </c>
      <c r="E638" s="505">
        <v>10671883</v>
      </c>
      <c r="F638" s="460"/>
      <c r="G638" s="505">
        <v>1870118</v>
      </c>
      <c r="H638" s="505">
        <v>1450836</v>
      </c>
      <c r="I638" s="505">
        <v>0</v>
      </c>
      <c r="J638" s="505">
        <v>50239</v>
      </c>
      <c r="K638" s="505">
        <v>3371193</v>
      </c>
      <c r="L638" s="460"/>
      <c r="M638" s="505">
        <v>12574</v>
      </c>
      <c r="N638" s="505">
        <v>0</v>
      </c>
      <c r="O638" s="505">
        <v>0</v>
      </c>
      <c r="P638" s="505">
        <v>775760</v>
      </c>
      <c r="Q638" s="505">
        <v>788334</v>
      </c>
      <c r="R638" s="460"/>
      <c r="S638" s="505">
        <v>3192565</v>
      </c>
      <c r="T638" s="505">
        <v>-276493</v>
      </c>
      <c r="U638" s="505">
        <v>2916072</v>
      </c>
      <c r="W638" s="454">
        <v>18910890</v>
      </c>
      <c r="X638" s="454">
        <v>3894167</v>
      </c>
    </row>
    <row r="639" spans="1:24">
      <c r="A639" s="458">
        <v>97012</v>
      </c>
      <c r="B639" s="518" t="s">
        <v>1349</v>
      </c>
      <c r="C639" s="460">
        <f t="shared" si="10"/>
        <v>2.5630014611153877E-5</v>
      </c>
      <c r="D639" s="460">
        <f>VLOOKUP(A639,'2024 summary '!A639:C1545,3,FALSE)</f>
        <v>2.4130000000000001E-5</v>
      </c>
      <c r="E639" s="505">
        <v>172784</v>
      </c>
      <c r="F639" s="460"/>
      <c r="G639" s="505">
        <v>30278</v>
      </c>
      <c r="H639" s="505">
        <v>23490</v>
      </c>
      <c r="I639" s="505">
        <v>0</v>
      </c>
      <c r="J639" s="505">
        <v>9976</v>
      </c>
      <c r="K639" s="505">
        <v>63744</v>
      </c>
      <c r="L639" s="460"/>
      <c r="M639" s="505">
        <v>204</v>
      </c>
      <c r="N639" s="505">
        <v>0</v>
      </c>
      <c r="O639" s="505">
        <v>0</v>
      </c>
      <c r="P639" s="505">
        <v>1902</v>
      </c>
      <c r="Q639" s="505">
        <v>2106</v>
      </c>
      <c r="R639" s="460"/>
      <c r="S639" s="505">
        <v>51689</v>
      </c>
      <c r="T639" s="505">
        <v>2092</v>
      </c>
      <c r="U639" s="505">
        <v>53781</v>
      </c>
      <c r="W639" s="454">
        <v>306178</v>
      </c>
      <c r="X639" s="454">
        <v>63049</v>
      </c>
    </row>
    <row r="640" spans="1:24">
      <c r="A640" s="458">
        <v>97013</v>
      </c>
      <c r="B640" s="518" t="s">
        <v>1350</v>
      </c>
      <c r="C640" s="460">
        <f t="shared" si="10"/>
        <v>1.0410042569891702E-5</v>
      </c>
      <c r="D640" s="460">
        <f>VLOOKUP(A640,'2024 summary '!A640:C1546,3,FALSE)</f>
        <v>2.1299999999999999E-5</v>
      </c>
      <c r="E640" s="505">
        <v>70179</v>
      </c>
      <c r="F640" s="460"/>
      <c r="G640" s="505">
        <v>12298</v>
      </c>
      <c r="H640" s="505">
        <v>9541</v>
      </c>
      <c r="I640" s="505">
        <v>0</v>
      </c>
      <c r="J640" s="505">
        <v>6798</v>
      </c>
      <c r="K640" s="505">
        <v>28637</v>
      </c>
      <c r="L640" s="460"/>
      <c r="M640" s="505">
        <v>83</v>
      </c>
      <c r="N640" s="505">
        <v>0</v>
      </c>
      <c r="O640" s="505">
        <v>0</v>
      </c>
      <c r="P640" s="505">
        <v>31111</v>
      </c>
      <c r="Q640" s="505">
        <v>31194</v>
      </c>
      <c r="R640" s="460"/>
      <c r="S640" s="505">
        <v>20994</v>
      </c>
      <c r="T640" s="505">
        <v>-4627</v>
      </c>
      <c r="U640" s="505">
        <v>16367</v>
      </c>
      <c r="W640" s="454">
        <v>124359</v>
      </c>
      <c r="X640" s="454">
        <v>25608</v>
      </c>
    </row>
    <row r="641" spans="1:24">
      <c r="A641" s="458">
        <v>97015</v>
      </c>
      <c r="B641" s="518" t="s">
        <v>1351</v>
      </c>
      <c r="C641" s="460">
        <f t="shared" si="10"/>
        <v>3.7320044888701651E-5</v>
      </c>
      <c r="D641" s="460">
        <f>VLOOKUP(A641,'2024 summary '!A641:C1547,3,FALSE)</f>
        <v>4.1260000000000001E-5</v>
      </c>
      <c r="E641" s="505">
        <v>251592</v>
      </c>
      <c r="F641" s="460"/>
      <c r="G641" s="505">
        <v>44088</v>
      </c>
      <c r="H641" s="505">
        <v>34204</v>
      </c>
      <c r="I641" s="505">
        <v>0</v>
      </c>
      <c r="J641" s="505">
        <v>1121</v>
      </c>
      <c r="K641" s="505">
        <v>79413</v>
      </c>
      <c r="L641" s="460"/>
      <c r="M641" s="505">
        <v>296</v>
      </c>
      <c r="N641" s="505">
        <v>0</v>
      </c>
      <c r="O641" s="505">
        <v>0</v>
      </c>
      <c r="P641" s="505">
        <v>16703</v>
      </c>
      <c r="Q641" s="505">
        <v>16999</v>
      </c>
      <c r="R641" s="460"/>
      <c r="S641" s="505">
        <v>75265</v>
      </c>
      <c r="T641" s="505">
        <v>-5730</v>
      </c>
      <c r="U641" s="505">
        <v>69535</v>
      </c>
      <c r="W641" s="454">
        <v>445828</v>
      </c>
      <c r="X641" s="454">
        <v>91806</v>
      </c>
    </row>
    <row r="642" spans="1:24">
      <c r="A642" s="458">
        <v>97018</v>
      </c>
      <c r="B642" s="518" t="s">
        <v>1352</v>
      </c>
      <c r="C642" s="460">
        <f t="shared" si="10"/>
        <v>1.8399545168346183E-6</v>
      </c>
      <c r="D642" s="460">
        <f>VLOOKUP(A642,'2024 summary '!A642:C1548,3,FALSE)</f>
        <v>2.1799999999999999E-6</v>
      </c>
      <c r="E642" s="505">
        <v>12404</v>
      </c>
      <c r="F642" s="460"/>
      <c r="G642" s="505">
        <v>2174</v>
      </c>
      <c r="H642" s="505">
        <v>1686</v>
      </c>
      <c r="I642" s="505">
        <v>0</v>
      </c>
      <c r="J642" s="505">
        <v>4997</v>
      </c>
      <c r="K642" s="505">
        <v>8857</v>
      </c>
      <c r="L642" s="460"/>
      <c r="M642" s="505">
        <v>15</v>
      </c>
      <c r="N642" s="505">
        <v>0</v>
      </c>
      <c r="O642" s="505">
        <v>0</v>
      </c>
      <c r="P642" s="505">
        <v>14361</v>
      </c>
      <c r="Q642" s="505">
        <v>14376</v>
      </c>
      <c r="R642" s="460"/>
      <c r="S642" s="505">
        <v>3711</v>
      </c>
      <c r="T642" s="505">
        <v>-7517</v>
      </c>
      <c r="U642" s="505">
        <v>-3806</v>
      </c>
      <c r="W642" s="454">
        <v>21981</v>
      </c>
      <c r="X642" s="454">
        <v>4526</v>
      </c>
    </row>
    <row r="643" spans="1:24">
      <c r="A643" s="458">
        <v>97101</v>
      </c>
      <c r="B643" s="518" t="s">
        <v>1353</v>
      </c>
      <c r="C643" s="460">
        <f t="shared" si="10"/>
        <v>2.8697600309825319E-3</v>
      </c>
      <c r="D643" s="460">
        <f>VLOOKUP(A643,'2024 summary '!A643:C1549,3,FALSE)</f>
        <v>2.83307E-3</v>
      </c>
      <c r="E643" s="505">
        <v>19346404</v>
      </c>
      <c r="F643" s="460"/>
      <c r="G643" s="505">
        <v>3390223</v>
      </c>
      <c r="H643" s="505">
        <v>2630132</v>
      </c>
      <c r="I643" s="505">
        <v>0</v>
      </c>
      <c r="J643" s="505">
        <v>238846</v>
      </c>
      <c r="K643" s="505">
        <v>6259201</v>
      </c>
      <c r="L643" s="460"/>
      <c r="M643" s="505">
        <v>22795</v>
      </c>
      <c r="N643" s="505">
        <v>0</v>
      </c>
      <c r="O643" s="505">
        <v>0</v>
      </c>
      <c r="P643" s="505">
        <v>315327</v>
      </c>
      <c r="Q643" s="505">
        <v>338122</v>
      </c>
      <c r="R643" s="460"/>
      <c r="S643" s="505">
        <v>5787606</v>
      </c>
      <c r="T643" s="505">
        <v>61123</v>
      </c>
      <c r="U643" s="505">
        <v>5848729</v>
      </c>
      <c r="W643" s="454">
        <v>34282394</v>
      </c>
      <c r="X643" s="454">
        <v>7059498</v>
      </c>
    </row>
    <row r="644" spans="1:24">
      <c r="A644" s="458">
        <v>97104</v>
      </c>
      <c r="B644" s="518" t="s">
        <v>1354</v>
      </c>
      <c r="C644" s="460">
        <f t="shared" si="10"/>
        <v>7.0099982723488666E-5</v>
      </c>
      <c r="D644" s="460">
        <f>VLOOKUP(A644,'2024 summary '!A644:C1550,3,FALSE)</f>
        <v>8.1520000000000006E-5</v>
      </c>
      <c r="E644" s="505">
        <v>472577</v>
      </c>
      <c r="F644" s="460"/>
      <c r="G644" s="505">
        <v>82813</v>
      </c>
      <c r="H644" s="505">
        <v>64247</v>
      </c>
      <c r="I644" s="505">
        <v>0</v>
      </c>
      <c r="J644" s="505">
        <v>33800</v>
      </c>
      <c r="K644" s="505">
        <v>180860</v>
      </c>
      <c r="L644" s="460"/>
      <c r="M644" s="505">
        <v>557</v>
      </c>
      <c r="N644" s="505">
        <v>0</v>
      </c>
      <c r="O644" s="505">
        <v>0</v>
      </c>
      <c r="P644" s="505">
        <v>25884</v>
      </c>
      <c r="Q644" s="505">
        <v>26441</v>
      </c>
      <c r="R644" s="460"/>
      <c r="S644" s="505">
        <v>141375</v>
      </c>
      <c r="T644" s="505">
        <v>18110</v>
      </c>
      <c r="U644" s="505">
        <v>159485</v>
      </c>
      <c r="W644" s="454">
        <v>837420</v>
      </c>
      <c r="X644" s="454">
        <v>172443</v>
      </c>
    </row>
    <row r="645" spans="1:24">
      <c r="A645" s="458">
        <v>97111</v>
      </c>
      <c r="B645" s="518" t="s">
        <v>1355</v>
      </c>
      <c r="C645" s="460">
        <f t="shared" si="10"/>
        <v>3.9459993279677378E-4</v>
      </c>
      <c r="D645" s="460">
        <f>VLOOKUP(A645,'2024 summary '!A645:C1551,3,FALSE)</f>
        <v>3.5673999999999998E-4</v>
      </c>
      <c r="E645" s="505">
        <v>2660184</v>
      </c>
      <c r="F645" s="460"/>
      <c r="G645" s="505">
        <v>466165</v>
      </c>
      <c r="H645" s="505">
        <v>361651</v>
      </c>
      <c r="I645" s="505">
        <v>0</v>
      </c>
      <c r="J645" s="505">
        <v>90907</v>
      </c>
      <c r="K645" s="505">
        <v>918723</v>
      </c>
      <c r="L645" s="460"/>
      <c r="M645" s="505">
        <v>3134</v>
      </c>
      <c r="N645" s="505">
        <v>0</v>
      </c>
      <c r="O645" s="505">
        <v>0</v>
      </c>
      <c r="P645" s="505">
        <v>34156</v>
      </c>
      <c r="Q645" s="505">
        <v>37290</v>
      </c>
      <c r="R645" s="460"/>
      <c r="S645" s="505">
        <v>795812</v>
      </c>
      <c r="T645" s="505">
        <v>12861</v>
      </c>
      <c r="U645" s="505">
        <v>808673</v>
      </c>
      <c r="W645" s="454">
        <v>4713925</v>
      </c>
      <c r="X645" s="454">
        <v>970701</v>
      </c>
    </row>
    <row r="646" spans="1:24">
      <c r="A646" s="458">
        <v>97121</v>
      </c>
      <c r="B646" s="518" t="s">
        <v>1356</v>
      </c>
      <c r="C646" s="460">
        <f t="shared" si="10"/>
        <v>1.9633000004998463E-4</v>
      </c>
      <c r="D646" s="460">
        <f>VLOOKUP(A646,'2024 summary '!A646:C1552,3,FALSE)</f>
        <v>1.9817000000000001E-4</v>
      </c>
      <c r="E646" s="505">
        <v>1323553</v>
      </c>
      <c r="F646" s="460"/>
      <c r="G646" s="505">
        <v>231937</v>
      </c>
      <c r="H646" s="505">
        <v>179936</v>
      </c>
      <c r="I646" s="505">
        <v>0</v>
      </c>
      <c r="J646" s="505">
        <v>61764</v>
      </c>
      <c r="K646" s="505">
        <v>473637</v>
      </c>
      <c r="L646" s="460"/>
      <c r="M646" s="505">
        <v>1559</v>
      </c>
      <c r="N646" s="505">
        <v>0</v>
      </c>
      <c r="O646" s="505">
        <v>0</v>
      </c>
      <c r="P646" s="505">
        <v>0</v>
      </c>
      <c r="Q646" s="505">
        <v>1559</v>
      </c>
      <c r="R646" s="460"/>
      <c r="S646" s="505">
        <v>395950</v>
      </c>
      <c r="T646" s="505">
        <v>51334</v>
      </c>
      <c r="U646" s="505">
        <v>447284</v>
      </c>
      <c r="W646" s="454">
        <v>2345375</v>
      </c>
      <c r="X646" s="454">
        <v>482964</v>
      </c>
    </row>
    <row r="647" spans="1:24">
      <c r="A647" s="458">
        <v>97131</v>
      </c>
      <c r="B647" s="518" t="s">
        <v>1357</v>
      </c>
      <c r="C647" s="460">
        <f t="shared" si="10"/>
        <v>7.3752998516759475E-4</v>
      </c>
      <c r="D647" s="460">
        <f>VLOOKUP(A647,'2024 summary '!A647:C1553,3,FALSE)</f>
        <v>8.2423000000000001E-4</v>
      </c>
      <c r="E647" s="505">
        <v>4972037</v>
      </c>
      <c r="F647" s="460"/>
      <c r="G647" s="505">
        <v>871289</v>
      </c>
      <c r="H647" s="505">
        <v>675946</v>
      </c>
      <c r="I647" s="505">
        <v>0</v>
      </c>
      <c r="J647" s="505">
        <v>156854</v>
      </c>
      <c r="K647" s="505">
        <v>1704089</v>
      </c>
      <c r="L647" s="460"/>
      <c r="M647" s="505">
        <v>5858</v>
      </c>
      <c r="N647" s="505">
        <v>0</v>
      </c>
      <c r="O647" s="505">
        <v>0</v>
      </c>
      <c r="P647" s="505">
        <v>399937</v>
      </c>
      <c r="Q647" s="505">
        <v>405795</v>
      </c>
      <c r="R647" s="460"/>
      <c r="S647" s="505">
        <v>1487418</v>
      </c>
      <c r="T647" s="505">
        <v>-96628</v>
      </c>
      <c r="U647" s="505">
        <v>1390790</v>
      </c>
      <c r="W647" s="454">
        <v>8810595</v>
      </c>
      <c r="X647" s="454">
        <v>1814295</v>
      </c>
    </row>
    <row r="648" spans="1:24">
      <c r="A648" s="458">
        <v>97201</v>
      </c>
      <c r="B648" s="518" t="s">
        <v>1358</v>
      </c>
      <c r="C648" s="460">
        <f t="shared" si="10"/>
        <v>7.209300472387066E-4</v>
      </c>
      <c r="D648" s="460">
        <f>VLOOKUP(A648,'2024 summary '!A648:C1554,3,FALSE)</f>
        <v>6.8986000000000004E-4</v>
      </c>
      <c r="E648" s="505">
        <v>4860129</v>
      </c>
      <c r="F648" s="460"/>
      <c r="G648" s="505">
        <v>851679</v>
      </c>
      <c r="H648" s="505">
        <v>660732</v>
      </c>
      <c r="I648" s="505">
        <v>0</v>
      </c>
      <c r="J648" s="505">
        <v>153716</v>
      </c>
      <c r="K648" s="505">
        <v>1666127</v>
      </c>
      <c r="L648" s="460"/>
      <c r="M648" s="505">
        <v>5726</v>
      </c>
      <c r="N648" s="505">
        <v>0</v>
      </c>
      <c r="O648" s="505">
        <v>0</v>
      </c>
      <c r="P648" s="505">
        <v>45745</v>
      </c>
      <c r="Q648" s="505">
        <v>51471</v>
      </c>
      <c r="R648" s="460"/>
      <c r="S648" s="505">
        <v>1453940</v>
      </c>
      <c r="T648" s="505">
        <v>72831</v>
      </c>
      <c r="U648" s="505">
        <v>1526771</v>
      </c>
      <c r="W648" s="454">
        <v>8612290</v>
      </c>
      <c r="X648" s="454">
        <v>1773460</v>
      </c>
    </row>
    <row r="649" spans="1:24">
      <c r="A649" s="458">
        <v>97211</v>
      </c>
      <c r="B649" s="518" t="s">
        <v>1359</v>
      </c>
      <c r="C649" s="460">
        <f t="shared" si="10"/>
        <v>8.9580004246286909E-5</v>
      </c>
      <c r="D649" s="460">
        <f>VLOOKUP(A649,'2024 summary '!A649:C1555,3,FALSE)</f>
        <v>9.7079999999999999E-5</v>
      </c>
      <c r="E649" s="505">
        <v>603901</v>
      </c>
      <c r="F649" s="460"/>
      <c r="G649" s="505">
        <v>105826</v>
      </c>
      <c r="H649" s="505">
        <v>82100</v>
      </c>
      <c r="I649" s="505">
        <v>0</v>
      </c>
      <c r="J649" s="505">
        <v>10240</v>
      </c>
      <c r="K649" s="505">
        <v>198166</v>
      </c>
      <c r="L649" s="460"/>
      <c r="M649" s="505">
        <v>712</v>
      </c>
      <c r="N649" s="505">
        <v>0</v>
      </c>
      <c r="O649" s="505">
        <v>0</v>
      </c>
      <c r="P649" s="505">
        <v>60610</v>
      </c>
      <c r="Q649" s="505">
        <v>61322</v>
      </c>
      <c r="R649" s="460"/>
      <c r="S649" s="505">
        <v>180661</v>
      </c>
      <c r="T649" s="505">
        <v>-29203</v>
      </c>
      <c r="U649" s="505">
        <v>151458</v>
      </c>
      <c r="W649" s="454">
        <v>1070130</v>
      </c>
      <c r="X649" s="454">
        <v>220363</v>
      </c>
    </row>
    <row r="650" spans="1:24">
      <c r="A650" s="458">
        <v>97213</v>
      </c>
      <c r="B650" s="518" t="s">
        <v>1360</v>
      </c>
      <c r="C650" s="460">
        <f t="shared" ref="C650:C713" si="11">E650/$E$915</f>
        <v>2.8289968206435913E-5</v>
      </c>
      <c r="D650" s="460">
        <f>VLOOKUP(A650,'2024 summary '!A650:C1556,3,FALSE)</f>
        <v>3.1520000000000003E-5</v>
      </c>
      <c r="E650" s="505">
        <v>190716</v>
      </c>
      <c r="F650" s="460"/>
      <c r="G650" s="505">
        <v>33421</v>
      </c>
      <c r="H650" s="505">
        <v>25928</v>
      </c>
      <c r="I650" s="505">
        <v>0</v>
      </c>
      <c r="J650" s="505">
        <v>2855</v>
      </c>
      <c r="K650" s="505">
        <v>62204</v>
      </c>
      <c r="L650" s="460"/>
      <c r="M650" s="505">
        <v>225</v>
      </c>
      <c r="N650" s="505">
        <v>0</v>
      </c>
      <c r="O650" s="505">
        <v>0</v>
      </c>
      <c r="P650" s="505">
        <v>8297</v>
      </c>
      <c r="Q650" s="505">
        <v>8522</v>
      </c>
      <c r="R650" s="460"/>
      <c r="S650" s="505">
        <v>57054</v>
      </c>
      <c r="T650" s="505">
        <v>-1445</v>
      </c>
      <c r="U650" s="505">
        <v>55609</v>
      </c>
      <c r="W650" s="454">
        <v>337955</v>
      </c>
      <c r="X650" s="454">
        <v>69592</v>
      </c>
    </row>
    <row r="651" spans="1:24">
      <c r="A651" s="458">
        <v>97217</v>
      </c>
      <c r="B651" s="518" t="s">
        <v>1361</v>
      </c>
      <c r="C651" s="460">
        <f t="shared" si="11"/>
        <v>7.5499842790912932E-6</v>
      </c>
      <c r="D651" s="460">
        <f>VLOOKUP(A651,'2024 summary '!A651:C1557,3,FALSE)</f>
        <v>1.217E-5</v>
      </c>
      <c r="E651" s="505">
        <v>50898</v>
      </c>
      <c r="F651" s="460"/>
      <c r="G651" s="505">
        <v>8919</v>
      </c>
      <c r="H651" s="505">
        <v>6920</v>
      </c>
      <c r="I651" s="505">
        <v>0</v>
      </c>
      <c r="J651" s="505">
        <v>6517</v>
      </c>
      <c r="K651" s="505">
        <v>22356</v>
      </c>
      <c r="L651" s="460"/>
      <c r="M651" s="505">
        <v>60</v>
      </c>
      <c r="N651" s="505">
        <v>0</v>
      </c>
      <c r="O651" s="505">
        <v>0</v>
      </c>
      <c r="P651" s="505">
        <v>8954</v>
      </c>
      <c r="Q651" s="505">
        <v>9014</v>
      </c>
      <c r="R651" s="460"/>
      <c r="S651" s="505">
        <v>15227</v>
      </c>
      <c r="T651" s="505">
        <v>2236</v>
      </c>
      <c r="U651" s="505">
        <v>17463</v>
      </c>
      <c r="W651" s="454">
        <v>90193</v>
      </c>
      <c r="X651" s="454">
        <v>18573</v>
      </c>
    </row>
    <row r="652" spans="1:24">
      <c r="A652" s="458">
        <v>97221</v>
      </c>
      <c r="B652" s="518" t="s">
        <v>1362</v>
      </c>
      <c r="C652" s="460">
        <f t="shared" si="11"/>
        <v>5.1600014368436815E-6</v>
      </c>
      <c r="D652" s="460">
        <f>VLOOKUP(A652,'2024 summary '!A652:C1558,3,FALSE)</f>
        <v>2.0999999999999998E-6</v>
      </c>
      <c r="E652" s="505">
        <v>34786</v>
      </c>
      <c r="F652" s="460"/>
      <c r="G652" s="505">
        <v>6096</v>
      </c>
      <c r="H652" s="505">
        <v>4729</v>
      </c>
      <c r="I652" s="505">
        <v>0</v>
      </c>
      <c r="J652" s="505">
        <v>14552</v>
      </c>
      <c r="K652" s="505">
        <v>25377</v>
      </c>
      <c r="L652" s="460"/>
      <c r="M652" s="505">
        <v>41</v>
      </c>
      <c r="N652" s="505">
        <v>0</v>
      </c>
      <c r="O652" s="505">
        <v>0</v>
      </c>
      <c r="P652" s="505">
        <v>6618</v>
      </c>
      <c r="Q652" s="505">
        <v>6659</v>
      </c>
      <c r="R652" s="460"/>
      <c r="S652" s="505">
        <v>10406</v>
      </c>
      <c r="T652" s="505">
        <v>6480</v>
      </c>
      <c r="U652" s="505">
        <v>16886</v>
      </c>
      <c r="W652" s="454">
        <v>61642</v>
      </c>
      <c r="X652" s="454">
        <v>12693</v>
      </c>
    </row>
    <row r="653" spans="1:24">
      <c r="A653" s="458">
        <v>97301</v>
      </c>
      <c r="B653" s="518" t="s">
        <v>1363</v>
      </c>
      <c r="C653" s="460">
        <f t="shared" si="11"/>
        <v>2.2163999548388772E-3</v>
      </c>
      <c r="D653" s="460">
        <f>VLOOKUP(A653,'2024 summary '!A653:C1559,3,FALSE)</f>
        <v>2.1264500000000002E-3</v>
      </c>
      <c r="E653" s="505">
        <v>14941796</v>
      </c>
      <c r="F653" s="460"/>
      <c r="G653" s="505">
        <v>2618369</v>
      </c>
      <c r="H653" s="505">
        <v>2031328</v>
      </c>
      <c r="I653" s="505">
        <v>0</v>
      </c>
      <c r="J653" s="505">
        <v>471875</v>
      </c>
      <c r="K653" s="505">
        <v>5121572</v>
      </c>
      <c r="L653" s="460"/>
      <c r="M653" s="505">
        <v>17605</v>
      </c>
      <c r="N653" s="505">
        <v>0</v>
      </c>
      <c r="O653" s="505">
        <v>0</v>
      </c>
      <c r="P653" s="505">
        <v>290906</v>
      </c>
      <c r="Q653" s="505">
        <v>308511</v>
      </c>
      <c r="R653" s="460"/>
      <c r="S653" s="505">
        <v>4469938</v>
      </c>
      <c r="T653" s="505">
        <v>3604</v>
      </c>
      <c r="U653" s="505">
        <v>4473542</v>
      </c>
      <c r="W653" s="454">
        <v>26477301</v>
      </c>
      <c r="X653" s="454">
        <v>5452258</v>
      </c>
    </row>
    <row r="654" spans="1:24">
      <c r="A654" s="458">
        <v>97302</v>
      </c>
      <c r="B654" s="518" t="s">
        <v>3611</v>
      </c>
      <c r="C654" s="460">
        <f t="shared" si="11"/>
        <v>4.6909940044567342E-5</v>
      </c>
      <c r="D654" s="460">
        <f>VLOOKUP(A654,'2024 summary '!A654:C1560,3,FALSE)</f>
        <v>3.8470000000000003E-5</v>
      </c>
      <c r="E654" s="505">
        <v>316242</v>
      </c>
      <c r="F654" s="460"/>
      <c r="G654" s="505">
        <v>55418</v>
      </c>
      <c r="H654" s="505">
        <v>42993</v>
      </c>
      <c r="I654" s="505">
        <v>0</v>
      </c>
      <c r="J654" s="505">
        <v>38334</v>
      </c>
      <c r="K654" s="505">
        <v>136745</v>
      </c>
      <c r="L654" s="460"/>
      <c r="M654" s="505">
        <v>373</v>
      </c>
      <c r="N654" s="505">
        <v>0</v>
      </c>
      <c r="O654" s="505">
        <v>0</v>
      </c>
      <c r="P654" s="505">
        <v>13072</v>
      </c>
      <c r="Q654" s="505">
        <v>13445</v>
      </c>
      <c r="R654" s="460"/>
      <c r="S654" s="505">
        <v>94606</v>
      </c>
      <c r="T654" s="505">
        <v>14474</v>
      </c>
      <c r="U654" s="505">
        <v>109080</v>
      </c>
      <c r="W654" s="454">
        <v>560391</v>
      </c>
      <c r="X654" s="454">
        <v>115397</v>
      </c>
    </row>
    <row r="655" spans="1:24">
      <c r="A655" s="458">
        <v>97304</v>
      </c>
      <c r="B655" s="518" t="s">
        <v>1364</v>
      </c>
      <c r="C655" s="460">
        <f t="shared" si="11"/>
        <v>2.5689942184904376E-5</v>
      </c>
      <c r="D655" s="460">
        <f>VLOOKUP(A655,'2024 summary '!A655:C1561,3,FALSE)</f>
        <v>2.4559999999999999E-5</v>
      </c>
      <c r="E655" s="505">
        <v>173188</v>
      </c>
      <c r="F655" s="460"/>
      <c r="G655" s="505">
        <v>30349</v>
      </c>
      <c r="H655" s="505">
        <v>23545</v>
      </c>
      <c r="I655" s="505">
        <v>0</v>
      </c>
      <c r="J655" s="505">
        <v>28722</v>
      </c>
      <c r="K655" s="505">
        <v>82616</v>
      </c>
      <c r="L655" s="460"/>
      <c r="M655" s="505">
        <v>204</v>
      </c>
      <c r="N655" s="505">
        <v>0</v>
      </c>
      <c r="O655" s="505">
        <v>0</v>
      </c>
      <c r="P655" s="505">
        <v>0</v>
      </c>
      <c r="Q655" s="505">
        <v>204</v>
      </c>
      <c r="R655" s="460"/>
      <c r="S655" s="505">
        <v>51810</v>
      </c>
      <c r="T655" s="505">
        <v>21429</v>
      </c>
      <c r="U655" s="505">
        <v>73239</v>
      </c>
      <c r="W655" s="454">
        <v>306895</v>
      </c>
      <c r="X655" s="454">
        <v>63196</v>
      </c>
    </row>
    <row r="656" spans="1:24">
      <c r="A656" s="458">
        <v>97311</v>
      </c>
      <c r="B656" s="518" t="s">
        <v>1365</v>
      </c>
      <c r="C656" s="460">
        <f t="shared" si="11"/>
        <v>6.9566004307679145E-4</v>
      </c>
      <c r="D656" s="460">
        <f>VLOOKUP(A656,'2024 summary '!A656:C1562,3,FALSE)</f>
        <v>7.2628999999999999E-4</v>
      </c>
      <c r="E656" s="505">
        <v>4689772</v>
      </c>
      <c r="F656" s="460"/>
      <c r="G656" s="505">
        <v>821826</v>
      </c>
      <c r="H656" s="505">
        <v>637572</v>
      </c>
      <c r="I656" s="505">
        <v>0</v>
      </c>
      <c r="J656" s="505">
        <v>18908</v>
      </c>
      <c r="K656" s="505">
        <v>1478306</v>
      </c>
      <c r="L656" s="460"/>
      <c r="M656" s="505">
        <v>5526</v>
      </c>
      <c r="N656" s="505">
        <v>0</v>
      </c>
      <c r="O656" s="505">
        <v>0</v>
      </c>
      <c r="P656" s="505">
        <v>178878</v>
      </c>
      <c r="Q656" s="505">
        <v>184404</v>
      </c>
      <c r="R656" s="460"/>
      <c r="S656" s="505">
        <v>1402976</v>
      </c>
      <c r="T656" s="505">
        <v>-79802</v>
      </c>
      <c r="U656" s="505">
        <v>1323174</v>
      </c>
      <c r="W656" s="454">
        <v>8310413</v>
      </c>
      <c r="X656" s="454">
        <v>1711296</v>
      </c>
    </row>
    <row r="657" spans="1:24">
      <c r="A657" s="458">
        <v>97401</v>
      </c>
      <c r="B657" s="518" t="s">
        <v>1366</v>
      </c>
      <c r="C657" s="460">
        <f t="shared" si="11"/>
        <v>6.2179300416721171E-3</v>
      </c>
      <c r="D657" s="460">
        <f>VLOOKUP(A657,'2024 summary '!A657:C1563,3,FALSE)</f>
        <v>6.4572299999999996E-3</v>
      </c>
      <c r="E657" s="505">
        <v>41917995</v>
      </c>
      <c r="F657" s="460"/>
      <c r="G657" s="505">
        <v>7345620</v>
      </c>
      <c r="H657" s="505">
        <v>5698727</v>
      </c>
      <c r="I657" s="505">
        <v>0</v>
      </c>
      <c r="J657" s="505">
        <v>94805</v>
      </c>
      <c r="K657" s="505">
        <v>13139152</v>
      </c>
      <c r="L657" s="460"/>
      <c r="M657" s="505">
        <v>49389</v>
      </c>
      <c r="N657" s="505">
        <v>0</v>
      </c>
      <c r="O657" s="505">
        <v>0</v>
      </c>
      <c r="P657" s="505">
        <v>1418690</v>
      </c>
      <c r="Q657" s="505">
        <v>1468079</v>
      </c>
      <c r="R657" s="460"/>
      <c r="S657" s="505">
        <v>12540048</v>
      </c>
      <c r="T657" s="505">
        <v>-542938</v>
      </c>
      <c r="U657" s="505">
        <v>11997110</v>
      </c>
      <c r="W657" s="454">
        <v>74279914</v>
      </c>
      <c r="X657" s="454">
        <v>15295865</v>
      </c>
    </row>
    <row r="658" spans="1:24">
      <c r="A658" s="458">
        <v>97402</v>
      </c>
      <c r="B658" s="518" t="s">
        <v>1367</v>
      </c>
      <c r="C658" s="460">
        <f t="shared" si="11"/>
        <v>3.725996897937256E-5</v>
      </c>
      <c r="D658" s="460">
        <f>VLOOKUP(A658,'2024 summary '!A658:C1564,3,FALSE)</f>
        <v>3.2549999999999998E-5</v>
      </c>
      <c r="E658" s="505">
        <v>251187</v>
      </c>
      <c r="F658" s="460"/>
      <c r="G658" s="505">
        <v>44018</v>
      </c>
      <c r="H658" s="505">
        <v>34149</v>
      </c>
      <c r="I658" s="505">
        <v>0</v>
      </c>
      <c r="J658" s="505">
        <v>16492</v>
      </c>
      <c r="K658" s="505">
        <v>94659</v>
      </c>
      <c r="L658" s="460"/>
      <c r="M658" s="505">
        <v>296</v>
      </c>
      <c r="N658" s="505">
        <v>0</v>
      </c>
      <c r="O658" s="505">
        <v>0</v>
      </c>
      <c r="P658" s="505">
        <v>26577</v>
      </c>
      <c r="Q658" s="505">
        <v>26873</v>
      </c>
      <c r="R658" s="460"/>
      <c r="S658" s="505">
        <v>75144</v>
      </c>
      <c r="T658" s="505">
        <v>-9724</v>
      </c>
      <c r="U658" s="505">
        <v>65420</v>
      </c>
      <c r="W658" s="454">
        <v>445111</v>
      </c>
      <c r="X658" s="454">
        <v>91658</v>
      </c>
    </row>
    <row r="659" spans="1:24">
      <c r="A659" s="458">
        <v>97404</v>
      </c>
      <c r="B659" s="518" t="s">
        <v>1368</v>
      </c>
      <c r="C659" s="460">
        <f t="shared" si="11"/>
        <v>2.9085002407006576E-4</v>
      </c>
      <c r="D659" s="460">
        <f>VLOOKUP(A659,'2024 summary '!A659:C1565,3,FALSE)</f>
        <v>2.7465999999999998E-4</v>
      </c>
      <c r="E659" s="505">
        <v>1960757</v>
      </c>
      <c r="F659" s="460"/>
      <c r="G659" s="505">
        <v>343599</v>
      </c>
      <c r="H659" s="505">
        <v>266564</v>
      </c>
      <c r="I659" s="505">
        <v>0</v>
      </c>
      <c r="J659" s="505">
        <v>50034</v>
      </c>
      <c r="K659" s="505">
        <v>660197</v>
      </c>
      <c r="L659" s="460"/>
      <c r="M659" s="505">
        <v>2310</v>
      </c>
      <c r="N659" s="505">
        <v>0</v>
      </c>
      <c r="O659" s="505">
        <v>0</v>
      </c>
      <c r="P659" s="505">
        <v>18638</v>
      </c>
      <c r="Q659" s="505">
        <v>20948</v>
      </c>
      <c r="R659" s="460"/>
      <c r="S659" s="505">
        <v>586573</v>
      </c>
      <c r="T659" s="505">
        <v>28692</v>
      </c>
      <c r="U659" s="505">
        <v>615265</v>
      </c>
      <c r="W659" s="454">
        <v>3474519</v>
      </c>
      <c r="X659" s="454">
        <v>715480</v>
      </c>
    </row>
    <row r="660" spans="1:24">
      <c r="A660" s="458">
        <v>97405</v>
      </c>
      <c r="B660" s="518" t="s">
        <v>1369</v>
      </c>
      <c r="C660" s="460">
        <f t="shared" si="11"/>
        <v>8.0750032259539547E-5</v>
      </c>
      <c r="D660" s="460">
        <f>VLOOKUP(A660,'2024 summary '!A660:C1566,3,FALSE)</f>
        <v>8.9159999999999993E-5</v>
      </c>
      <c r="E660" s="505">
        <v>544374</v>
      </c>
      <c r="F660" s="460"/>
      <c r="G660" s="505">
        <v>95395</v>
      </c>
      <c r="H660" s="505">
        <v>74007</v>
      </c>
      <c r="I660" s="505">
        <v>0</v>
      </c>
      <c r="J660" s="505">
        <v>15802</v>
      </c>
      <c r="K660" s="505">
        <v>185204</v>
      </c>
      <c r="L660" s="460"/>
      <c r="M660" s="505">
        <v>641</v>
      </c>
      <c r="N660" s="505">
        <v>0</v>
      </c>
      <c r="O660" s="505">
        <v>0</v>
      </c>
      <c r="P660" s="505">
        <v>19164</v>
      </c>
      <c r="Q660" s="505">
        <v>19805</v>
      </c>
      <c r="R660" s="460"/>
      <c r="S660" s="505">
        <v>162853</v>
      </c>
      <c r="T660" s="505">
        <v>4705</v>
      </c>
      <c r="U660" s="505">
        <v>167558</v>
      </c>
      <c r="W660" s="454">
        <v>964646</v>
      </c>
      <c r="X660" s="454">
        <v>198642</v>
      </c>
    </row>
    <row r="661" spans="1:24">
      <c r="A661" s="458">
        <v>97408</v>
      </c>
      <c r="B661" s="518" t="s">
        <v>1370</v>
      </c>
      <c r="C661" s="460">
        <f t="shared" si="11"/>
        <v>3.725996897937256E-5</v>
      </c>
      <c r="D661" s="460">
        <f>VLOOKUP(A661,'2024 summary '!A661:C1567,3,FALSE)</f>
        <v>3.9050000000000001E-5</v>
      </c>
      <c r="E661" s="505">
        <v>251187</v>
      </c>
      <c r="F661" s="460"/>
      <c r="G661" s="505">
        <v>44018</v>
      </c>
      <c r="H661" s="505">
        <v>34149</v>
      </c>
      <c r="I661" s="505">
        <v>0</v>
      </c>
      <c r="J661" s="505">
        <v>16454</v>
      </c>
      <c r="K661" s="505">
        <v>94621</v>
      </c>
      <c r="L661" s="460"/>
      <c r="M661" s="505">
        <v>296</v>
      </c>
      <c r="N661" s="505">
        <v>0</v>
      </c>
      <c r="O661" s="505">
        <v>0</v>
      </c>
      <c r="P661" s="505">
        <v>341</v>
      </c>
      <c r="Q661" s="505">
        <v>637</v>
      </c>
      <c r="R661" s="460"/>
      <c r="S661" s="505">
        <v>75144</v>
      </c>
      <c r="T661" s="505">
        <v>9214</v>
      </c>
      <c r="U661" s="505">
        <v>84358</v>
      </c>
      <c r="W661" s="454">
        <v>445111</v>
      </c>
      <c r="X661" s="454">
        <v>91658</v>
      </c>
    </row>
    <row r="662" spans="1:24">
      <c r="A662" s="458">
        <v>97411</v>
      </c>
      <c r="B662" s="518" t="s">
        <v>1371</v>
      </c>
      <c r="C662" s="460">
        <f t="shared" si="11"/>
        <v>5.4940899470526253E-3</v>
      </c>
      <c r="D662" s="460">
        <f>VLOOKUP(A662,'2024 summary '!A662:C1568,3,FALSE)</f>
        <v>5.5441300000000004E-3</v>
      </c>
      <c r="E662" s="505">
        <v>37038248</v>
      </c>
      <c r="F662" s="460"/>
      <c r="G662" s="505">
        <v>6490504</v>
      </c>
      <c r="H662" s="505">
        <v>5035328</v>
      </c>
      <c r="I662" s="505">
        <v>0</v>
      </c>
      <c r="J662" s="505">
        <v>39327</v>
      </c>
      <c r="K662" s="505">
        <v>11565159</v>
      </c>
      <c r="L662" s="460"/>
      <c r="M662" s="505">
        <v>43640</v>
      </c>
      <c r="N662" s="505">
        <v>0</v>
      </c>
      <c r="O662" s="505">
        <v>0</v>
      </c>
      <c r="P662" s="505">
        <v>894809</v>
      </c>
      <c r="Q662" s="505">
        <v>938449</v>
      </c>
      <c r="R662" s="460"/>
      <c r="S662" s="505">
        <v>11080239</v>
      </c>
      <c r="T662" s="505">
        <v>-724284</v>
      </c>
      <c r="U662" s="505">
        <v>10355955</v>
      </c>
      <c r="W662" s="454">
        <v>65632861</v>
      </c>
      <c r="X662" s="454">
        <v>13515247</v>
      </c>
    </row>
    <row r="663" spans="1:24">
      <c r="A663" s="458">
        <v>97412</v>
      </c>
      <c r="B663" s="518" t="s">
        <v>1372</v>
      </c>
      <c r="C663" s="460">
        <f t="shared" si="11"/>
        <v>3.8994000026247389E-3</v>
      </c>
      <c r="D663" s="460">
        <f>VLOOKUP(A663,'2024 summary '!A663:C1569,3,FALSE)</f>
        <v>3.86287E-3</v>
      </c>
      <c r="E663" s="505">
        <v>26287692</v>
      </c>
      <c r="F663" s="460"/>
      <c r="G663" s="505">
        <v>4606599</v>
      </c>
      <c r="H663" s="505">
        <v>3573796</v>
      </c>
      <c r="I663" s="505">
        <v>0</v>
      </c>
      <c r="J663" s="505">
        <v>503219</v>
      </c>
      <c r="K663" s="505">
        <v>8683614</v>
      </c>
      <c r="L663" s="460"/>
      <c r="M663" s="505">
        <v>30973</v>
      </c>
      <c r="N663" s="505">
        <v>0</v>
      </c>
      <c r="O663" s="505">
        <v>0</v>
      </c>
      <c r="P663" s="505">
        <v>507204</v>
      </c>
      <c r="Q663" s="505">
        <v>538177</v>
      </c>
      <c r="R663" s="460"/>
      <c r="S663" s="505">
        <v>7864138</v>
      </c>
      <c r="T663" s="505">
        <v>-115024</v>
      </c>
      <c r="U663" s="505">
        <v>7749114</v>
      </c>
      <c r="W663" s="454">
        <v>46582560</v>
      </c>
      <c r="X663" s="454">
        <v>9592372</v>
      </c>
    </row>
    <row r="664" spans="1:24">
      <c r="A664" s="458">
        <v>97413</v>
      </c>
      <c r="B664" s="518" t="s">
        <v>1373</v>
      </c>
      <c r="C664" s="460">
        <f t="shared" si="11"/>
        <v>2.9338997418226819E-4</v>
      </c>
      <c r="D664" s="460">
        <f>VLOOKUP(A664,'2024 summary '!A664:C1570,3,FALSE)</f>
        <v>3.1463999999999998E-4</v>
      </c>
      <c r="E664" s="505">
        <v>1977880</v>
      </c>
      <c r="F664" s="460"/>
      <c r="G664" s="505">
        <v>346600</v>
      </c>
      <c r="H664" s="505">
        <v>268892</v>
      </c>
      <c r="I664" s="505">
        <v>0</v>
      </c>
      <c r="J664" s="505">
        <v>36211</v>
      </c>
      <c r="K664" s="505">
        <v>651703</v>
      </c>
      <c r="L664" s="460"/>
      <c r="M664" s="505">
        <v>2330</v>
      </c>
      <c r="N664" s="505">
        <v>0</v>
      </c>
      <c r="O664" s="505">
        <v>0</v>
      </c>
      <c r="P664" s="505">
        <v>82651</v>
      </c>
      <c r="Q664" s="505">
        <v>84981</v>
      </c>
      <c r="R664" s="460"/>
      <c r="S664" s="505">
        <v>591696</v>
      </c>
      <c r="T664" s="505">
        <v>23039</v>
      </c>
      <c r="U664" s="505">
        <v>614735</v>
      </c>
      <c r="W664" s="454">
        <v>3504862</v>
      </c>
      <c r="X664" s="454">
        <v>721728</v>
      </c>
    </row>
    <row r="665" spans="1:24">
      <c r="A665" s="458">
        <v>97421</v>
      </c>
      <c r="B665" s="518" t="s">
        <v>1374</v>
      </c>
      <c r="C665" s="460">
        <f t="shared" si="11"/>
        <v>3.7478007446342508E-4</v>
      </c>
      <c r="D665" s="460">
        <f>VLOOKUP(A665,'2024 summary '!A665:C1571,3,FALSE)</f>
        <v>3.7188E-4</v>
      </c>
      <c r="E665" s="505">
        <v>2526569</v>
      </c>
      <c r="F665" s="460"/>
      <c r="G665" s="505">
        <v>442750</v>
      </c>
      <c r="H665" s="505">
        <v>343485</v>
      </c>
      <c r="I665" s="505">
        <v>0</v>
      </c>
      <c r="J665" s="505">
        <v>968</v>
      </c>
      <c r="K665" s="505">
        <v>787203</v>
      </c>
      <c r="L665" s="460"/>
      <c r="M665" s="505">
        <v>2977</v>
      </c>
      <c r="N665" s="505">
        <v>0</v>
      </c>
      <c r="O665" s="505">
        <v>0</v>
      </c>
      <c r="P665" s="505">
        <v>97965</v>
      </c>
      <c r="Q665" s="505">
        <v>100942</v>
      </c>
      <c r="R665" s="460"/>
      <c r="S665" s="505">
        <v>755840</v>
      </c>
      <c r="T665" s="505">
        <v>-56853</v>
      </c>
      <c r="U665" s="505">
        <v>698987</v>
      </c>
      <c r="W665" s="454">
        <v>4477153</v>
      </c>
      <c r="X665" s="454">
        <v>921944</v>
      </c>
    </row>
    <row r="666" spans="1:24">
      <c r="A666" s="458">
        <v>97423</v>
      </c>
      <c r="B666" s="518" t="s">
        <v>1375</v>
      </c>
      <c r="C666" s="460">
        <f t="shared" si="11"/>
        <v>3.5990068091060635E-5</v>
      </c>
      <c r="D666" s="460">
        <f>VLOOKUP(A666,'2024 summary '!A666:C1572,3,FALSE)</f>
        <v>3.6189999999999997E-5</v>
      </c>
      <c r="E666" s="505">
        <v>242626</v>
      </c>
      <c r="F666" s="460"/>
      <c r="G666" s="505">
        <v>42517</v>
      </c>
      <c r="H666" s="505">
        <v>32985</v>
      </c>
      <c r="I666" s="505">
        <v>0</v>
      </c>
      <c r="J666" s="505">
        <v>47155</v>
      </c>
      <c r="K666" s="505">
        <v>122657</v>
      </c>
      <c r="L666" s="460"/>
      <c r="M666" s="505">
        <v>286</v>
      </c>
      <c r="N666" s="505">
        <v>0</v>
      </c>
      <c r="O666" s="505">
        <v>0</v>
      </c>
      <c r="P666" s="505">
        <v>2216</v>
      </c>
      <c r="Q666" s="505">
        <v>2502</v>
      </c>
      <c r="R666" s="460"/>
      <c r="S666" s="505">
        <v>72583</v>
      </c>
      <c r="T666" s="505">
        <v>22108</v>
      </c>
      <c r="U666" s="505">
        <v>94691</v>
      </c>
      <c r="W666" s="454">
        <v>429940</v>
      </c>
      <c r="X666" s="454">
        <v>88534</v>
      </c>
    </row>
    <row r="667" spans="1:24">
      <c r="A667" s="458">
        <v>97431</v>
      </c>
      <c r="B667" s="518" t="s">
        <v>1376</v>
      </c>
      <c r="C667" s="460">
        <f t="shared" si="11"/>
        <v>7.2980066317398766E-5</v>
      </c>
      <c r="D667" s="460">
        <f>VLOOKUP(A667,'2024 summary '!A667:C1573,3,FALSE)</f>
        <v>8.161E-5</v>
      </c>
      <c r="E667" s="505">
        <v>491993</v>
      </c>
      <c r="F667" s="460"/>
      <c r="G667" s="505">
        <v>86216</v>
      </c>
      <c r="H667" s="505">
        <v>66886</v>
      </c>
      <c r="I667" s="505">
        <v>0</v>
      </c>
      <c r="J667" s="505">
        <v>1615</v>
      </c>
      <c r="K667" s="505">
        <v>154717</v>
      </c>
      <c r="L667" s="460"/>
      <c r="M667" s="505">
        <v>580</v>
      </c>
      <c r="N667" s="505">
        <v>0</v>
      </c>
      <c r="O667" s="505">
        <v>0</v>
      </c>
      <c r="P667" s="505">
        <v>26127</v>
      </c>
      <c r="Q667" s="505">
        <v>26707</v>
      </c>
      <c r="R667" s="460"/>
      <c r="S667" s="505">
        <v>147183</v>
      </c>
      <c r="T667" s="505">
        <v>-11041</v>
      </c>
      <c r="U667" s="505">
        <v>136142</v>
      </c>
      <c r="W667" s="454">
        <v>871825</v>
      </c>
      <c r="X667" s="454">
        <v>179528</v>
      </c>
    </row>
    <row r="668" spans="1:24">
      <c r="A668" s="458">
        <v>97441</v>
      </c>
      <c r="B668" s="518" t="s">
        <v>1377</v>
      </c>
      <c r="C668" s="460">
        <f t="shared" si="11"/>
        <v>1.0779991502896018E-5</v>
      </c>
      <c r="D668" s="460">
        <f>VLOOKUP(A668,'2024 summary '!A668:C1574,3,FALSE)</f>
        <v>3.046E-5</v>
      </c>
      <c r="E668" s="505">
        <v>72673</v>
      </c>
      <c r="F668" s="460"/>
      <c r="G668" s="505">
        <v>12735</v>
      </c>
      <c r="H668" s="505">
        <v>9880</v>
      </c>
      <c r="I668" s="505">
        <v>0</v>
      </c>
      <c r="J668" s="505">
        <v>3684</v>
      </c>
      <c r="K668" s="505">
        <v>26299</v>
      </c>
      <c r="L668" s="460"/>
      <c r="M668" s="505">
        <v>86</v>
      </c>
      <c r="N668" s="505">
        <v>0</v>
      </c>
      <c r="O668" s="505">
        <v>0</v>
      </c>
      <c r="P668" s="505">
        <v>73015</v>
      </c>
      <c r="Q668" s="505">
        <v>73101</v>
      </c>
      <c r="R668" s="460"/>
      <c r="S668" s="505">
        <v>21741</v>
      </c>
      <c r="T668" s="505">
        <v>-40244</v>
      </c>
      <c r="U668" s="505">
        <v>-18503</v>
      </c>
      <c r="W668" s="454">
        <v>128779</v>
      </c>
      <c r="X668" s="454">
        <v>26518</v>
      </c>
    </row>
    <row r="669" spans="1:24">
      <c r="A669" s="458">
        <v>97451</v>
      </c>
      <c r="B669" s="518" t="s">
        <v>1378</v>
      </c>
      <c r="C669" s="460">
        <f t="shared" si="11"/>
        <v>6.220299702540098E-4</v>
      </c>
      <c r="D669" s="460">
        <f>VLOOKUP(A669,'2024 summary '!A669:C1575,3,FALSE)</f>
        <v>5.9739000000000005E-4</v>
      </c>
      <c r="E669" s="505">
        <v>4193397</v>
      </c>
      <c r="F669" s="460"/>
      <c r="G669" s="505">
        <v>734842</v>
      </c>
      <c r="H669" s="505">
        <v>570090</v>
      </c>
      <c r="I669" s="505">
        <v>0</v>
      </c>
      <c r="J669" s="505">
        <v>18386</v>
      </c>
      <c r="K669" s="505">
        <v>1323318</v>
      </c>
      <c r="L669" s="460"/>
      <c r="M669" s="505">
        <v>4941</v>
      </c>
      <c r="N669" s="505">
        <v>0</v>
      </c>
      <c r="O669" s="505">
        <v>0</v>
      </c>
      <c r="P669" s="505">
        <v>90726</v>
      </c>
      <c r="Q669" s="505">
        <v>95667</v>
      </c>
      <c r="R669" s="460"/>
      <c r="S669" s="505">
        <v>1254483</v>
      </c>
      <c r="T669" s="505">
        <v>-122322</v>
      </c>
      <c r="U669" s="505">
        <v>1132161</v>
      </c>
      <c r="W669" s="454">
        <v>7430823</v>
      </c>
      <c r="X669" s="454">
        <v>1530170</v>
      </c>
    </row>
    <row r="670" spans="1:24">
      <c r="A670" s="458">
        <v>97461</v>
      </c>
      <c r="B670" s="518" t="s">
        <v>1379</v>
      </c>
      <c r="C670" s="460">
        <f t="shared" si="11"/>
        <v>4.9212004389384458E-4</v>
      </c>
      <c r="D670" s="460">
        <f>VLOOKUP(A670,'2024 summary '!A670:C1576,3,FALSE)</f>
        <v>4.4647000000000003E-4</v>
      </c>
      <c r="E670" s="505">
        <v>3317613</v>
      </c>
      <c r="F670" s="460"/>
      <c r="G670" s="505">
        <v>581371</v>
      </c>
      <c r="H670" s="505">
        <v>451027</v>
      </c>
      <c r="I670" s="505">
        <v>0</v>
      </c>
      <c r="J670" s="505">
        <v>99162</v>
      </c>
      <c r="K670" s="505">
        <v>1131560</v>
      </c>
      <c r="L670" s="460"/>
      <c r="M670" s="505">
        <v>3909</v>
      </c>
      <c r="N670" s="505">
        <v>0</v>
      </c>
      <c r="O670" s="505">
        <v>0</v>
      </c>
      <c r="P670" s="505">
        <v>134807</v>
      </c>
      <c r="Q670" s="505">
        <v>138716</v>
      </c>
      <c r="R670" s="460"/>
      <c r="S670" s="505">
        <v>992486</v>
      </c>
      <c r="T670" s="505">
        <v>-73579</v>
      </c>
      <c r="U670" s="505">
        <v>918907</v>
      </c>
      <c r="W670" s="454">
        <v>5878907</v>
      </c>
      <c r="X670" s="454">
        <v>1210596</v>
      </c>
    </row>
    <row r="671" spans="1:24" s="510" customFormat="1">
      <c r="A671" s="506">
        <v>97463</v>
      </c>
      <c r="B671" s="507" t="s">
        <v>180</v>
      </c>
      <c r="C671" s="460">
        <f t="shared" si="11"/>
        <v>5.0599935897580721E-5</v>
      </c>
      <c r="D671" s="460">
        <f>VLOOKUP(A671,'2024 summary '!A671:C1577,3,FALSE)</f>
        <v>0</v>
      </c>
      <c r="E671" s="509">
        <v>341118</v>
      </c>
      <c r="F671" s="508"/>
      <c r="G671" s="505">
        <v>59777</v>
      </c>
      <c r="H671" s="505">
        <v>46375</v>
      </c>
      <c r="I671" s="505">
        <v>0</v>
      </c>
      <c r="J671" s="505">
        <v>145920</v>
      </c>
      <c r="K671" s="505">
        <v>252072</v>
      </c>
      <c r="L671" s="508"/>
      <c r="M671" s="505">
        <v>402</v>
      </c>
      <c r="N671" s="505">
        <v>0</v>
      </c>
      <c r="O671" s="505">
        <v>0</v>
      </c>
      <c r="P671" s="505">
        <v>0</v>
      </c>
      <c r="Q671" s="505">
        <v>402</v>
      </c>
      <c r="R671" s="508"/>
      <c r="S671" s="505">
        <v>102048</v>
      </c>
      <c r="T671" s="505">
        <v>48640</v>
      </c>
      <c r="U671" s="505">
        <v>150688</v>
      </c>
      <c r="W671" s="454">
        <v>604472</v>
      </c>
      <c r="X671" s="454">
        <v>124474</v>
      </c>
    </row>
    <row r="672" spans="1:24">
      <c r="A672" s="458">
        <v>97471</v>
      </c>
      <c r="B672" s="518" t="s">
        <v>1381</v>
      </c>
      <c r="C672" s="460">
        <f t="shared" si="11"/>
        <v>2.1829953758826461E-5</v>
      </c>
      <c r="D672" s="460">
        <f>VLOOKUP(A672,'2024 summary '!A672:C1578,3,FALSE)</f>
        <v>2.1630000000000001E-5</v>
      </c>
      <c r="E672" s="505">
        <v>147166</v>
      </c>
      <c r="F672" s="460"/>
      <c r="G672" s="505">
        <v>25789</v>
      </c>
      <c r="H672" s="505">
        <v>20007</v>
      </c>
      <c r="I672" s="505">
        <v>0</v>
      </c>
      <c r="J672" s="505">
        <v>3359</v>
      </c>
      <c r="K672" s="505">
        <v>49155</v>
      </c>
      <c r="L672" s="460"/>
      <c r="M672" s="505">
        <v>173</v>
      </c>
      <c r="N672" s="505">
        <v>0</v>
      </c>
      <c r="O672" s="505">
        <v>0</v>
      </c>
      <c r="P672" s="505">
        <v>7298</v>
      </c>
      <c r="Q672" s="505">
        <v>7471</v>
      </c>
      <c r="R672" s="460"/>
      <c r="S672" s="505">
        <v>44026</v>
      </c>
      <c r="T672" s="505">
        <v>2933</v>
      </c>
      <c r="U672" s="505">
        <v>46959</v>
      </c>
      <c r="W672" s="454">
        <v>260783</v>
      </c>
      <c r="X672" s="454">
        <v>53701</v>
      </c>
    </row>
    <row r="673" spans="1:24">
      <c r="A673" s="458">
        <v>97481</v>
      </c>
      <c r="B673" s="518" t="s">
        <v>1382</v>
      </c>
      <c r="C673" s="460">
        <f t="shared" si="11"/>
        <v>1.4200164938453564E-6</v>
      </c>
      <c r="D673" s="460">
        <f>VLOOKUP(A673,'2024 summary '!A673:C1579,3,FALSE)</f>
        <v>1.95E-6</v>
      </c>
      <c r="E673" s="505">
        <v>9573</v>
      </c>
      <c r="F673" s="460"/>
      <c r="G673" s="505">
        <v>1678</v>
      </c>
      <c r="H673" s="505">
        <v>1301</v>
      </c>
      <c r="I673" s="505">
        <v>0</v>
      </c>
      <c r="J673" s="505">
        <v>1118</v>
      </c>
      <c r="K673" s="505">
        <v>4097</v>
      </c>
      <c r="L673" s="460"/>
      <c r="M673" s="505">
        <v>11</v>
      </c>
      <c r="N673" s="505">
        <v>0</v>
      </c>
      <c r="O673" s="505">
        <v>0</v>
      </c>
      <c r="P673" s="505">
        <v>524</v>
      </c>
      <c r="Q673" s="505">
        <v>535</v>
      </c>
      <c r="R673" s="460"/>
      <c r="S673" s="505">
        <v>2864</v>
      </c>
      <c r="T673" s="505">
        <v>999</v>
      </c>
      <c r="U673" s="505">
        <v>3863</v>
      </c>
      <c r="W673" s="454">
        <v>16963</v>
      </c>
      <c r="X673" s="454">
        <v>3493</v>
      </c>
    </row>
    <row r="674" spans="1:24">
      <c r="A674" s="458">
        <v>97501</v>
      </c>
      <c r="B674" s="518" t="s">
        <v>1384</v>
      </c>
      <c r="C674" s="460">
        <f t="shared" si="11"/>
        <v>1.2417899611488516E-3</v>
      </c>
      <c r="D674" s="460">
        <f>VLOOKUP(A674,'2024 summary '!A674:C1580,3,FALSE)</f>
        <v>1.34556E-3</v>
      </c>
      <c r="E674" s="505">
        <v>8371491</v>
      </c>
      <c r="F674" s="460"/>
      <c r="G674" s="505">
        <v>1467002</v>
      </c>
      <c r="H674" s="505">
        <v>1138099</v>
      </c>
      <c r="I674" s="505">
        <v>0</v>
      </c>
      <c r="J674" s="505">
        <v>191721</v>
      </c>
      <c r="K674" s="505">
        <v>2796822</v>
      </c>
      <c r="L674" s="460"/>
      <c r="M674" s="505">
        <v>9864</v>
      </c>
      <c r="N674" s="505">
        <v>0</v>
      </c>
      <c r="O674" s="505">
        <v>0</v>
      </c>
      <c r="P674" s="505">
        <v>306716</v>
      </c>
      <c r="Q674" s="505">
        <v>316580</v>
      </c>
      <c r="R674" s="460"/>
      <c r="S674" s="505">
        <v>2504387</v>
      </c>
      <c r="T674" s="505">
        <v>7480</v>
      </c>
      <c r="U674" s="505">
        <v>2511867</v>
      </c>
      <c r="W674" s="454">
        <v>14834528</v>
      </c>
      <c r="X674" s="454">
        <v>3054755</v>
      </c>
    </row>
    <row r="675" spans="1:24">
      <c r="A675" s="458">
        <v>97511</v>
      </c>
      <c r="B675" s="518" t="s">
        <v>1385</v>
      </c>
      <c r="C675" s="460">
        <f t="shared" si="11"/>
        <v>2.1371997327044494E-4</v>
      </c>
      <c r="D675" s="460">
        <f>VLOOKUP(A675,'2024 summary '!A675:C1581,3,FALSE)</f>
        <v>2.3028E-4</v>
      </c>
      <c r="E675" s="505">
        <v>1440787</v>
      </c>
      <c r="F675" s="460"/>
      <c r="G675" s="505">
        <v>252480</v>
      </c>
      <c r="H675" s="505">
        <v>195874</v>
      </c>
      <c r="I675" s="505">
        <v>0</v>
      </c>
      <c r="J675" s="505">
        <v>852</v>
      </c>
      <c r="K675" s="505">
        <v>449206</v>
      </c>
      <c r="L675" s="460"/>
      <c r="M675" s="505">
        <v>1698</v>
      </c>
      <c r="N675" s="505">
        <v>0</v>
      </c>
      <c r="O675" s="505">
        <v>0</v>
      </c>
      <c r="P675" s="505">
        <v>85318</v>
      </c>
      <c r="Q675" s="505">
        <v>87016</v>
      </c>
      <c r="R675" s="460"/>
      <c r="S675" s="505">
        <v>431021</v>
      </c>
      <c r="T675" s="505">
        <v>-19897</v>
      </c>
      <c r="U675" s="505">
        <v>411124</v>
      </c>
      <c r="W675" s="454">
        <v>2553117</v>
      </c>
      <c r="X675" s="454">
        <v>525743</v>
      </c>
    </row>
    <row r="676" spans="1:24">
      <c r="A676" s="458">
        <v>97517</v>
      </c>
      <c r="B676" s="518" t="s">
        <v>3733</v>
      </c>
      <c r="C676" s="460">
        <f t="shared" si="11"/>
        <v>1.1149940435900335E-5</v>
      </c>
      <c r="D676" s="460">
        <f>VLOOKUP(A676,'2024 summary '!A676:C1582,3,FALSE)</f>
        <v>1.076E-5</v>
      </c>
      <c r="E676" s="505">
        <v>75167</v>
      </c>
      <c r="F676" s="460"/>
      <c r="G676" s="505">
        <v>13172</v>
      </c>
      <c r="H676" s="505">
        <v>10219</v>
      </c>
      <c r="I676" s="505">
        <v>0</v>
      </c>
      <c r="J676" s="505">
        <v>11559</v>
      </c>
      <c r="K676" s="505">
        <v>34950</v>
      </c>
      <c r="L676" s="460"/>
      <c r="M676" s="505">
        <v>89</v>
      </c>
      <c r="N676" s="505">
        <v>0</v>
      </c>
      <c r="O676" s="505">
        <v>0</v>
      </c>
      <c r="P676" s="505">
        <v>1893</v>
      </c>
      <c r="Q676" s="505">
        <v>1982</v>
      </c>
      <c r="R676" s="460"/>
      <c r="S676" s="505">
        <v>22487</v>
      </c>
      <c r="T676" s="505">
        <v>6697</v>
      </c>
      <c r="U676" s="505">
        <v>29184</v>
      </c>
      <c r="W676" s="454">
        <v>133199</v>
      </c>
      <c r="X676" s="454">
        <v>27429</v>
      </c>
    </row>
    <row r="677" spans="1:24">
      <c r="A677" s="458">
        <v>97521</v>
      </c>
      <c r="B677" s="518" t="s">
        <v>1386</v>
      </c>
      <c r="C677" s="460">
        <f t="shared" si="11"/>
        <v>1.3684001625632747E-4</v>
      </c>
      <c r="D677" s="460">
        <f>VLOOKUP(A677,'2024 summary '!A677:C1583,3,FALSE)</f>
        <v>1.304E-4</v>
      </c>
      <c r="E677" s="505">
        <v>922503</v>
      </c>
      <c r="F677" s="460"/>
      <c r="G677" s="505">
        <v>161657</v>
      </c>
      <c r="H677" s="505">
        <v>125414</v>
      </c>
      <c r="I677" s="505">
        <v>0</v>
      </c>
      <c r="J677" s="505">
        <v>6002</v>
      </c>
      <c r="K677" s="505">
        <v>293073</v>
      </c>
      <c r="L677" s="460"/>
      <c r="M677" s="505">
        <v>1087</v>
      </c>
      <c r="N677" s="505">
        <v>0</v>
      </c>
      <c r="O677" s="505">
        <v>0</v>
      </c>
      <c r="P677" s="505">
        <v>8019</v>
      </c>
      <c r="Q677" s="505">
        <v>9106</v>
      </c>
      <c r="R677" s="460"/>
      <c r="S677" s="505">
        <v>275973</v>
      </c>
      <c r="T677" s="505">
        <v>-5115</v>
      </c>
      <c r="U677" s="505">
        <v>270858</v>
      </c>
      <c r="W677" s="454">
        <v>1634702</v>
      </c>
      <c r="X677" s="454">
        <v>336621</v>
      </c>
    </row>
    <row r="678" spans="1:24">
      <c r="A678" s="458">
        <v>97527</v>
      </c>
      <c r="B678" s="518" t="s">
        <v>1637</v>
      </c>
      <c r="C678" s="460">
        <f t="shared" si="11"/>
        <v>3.9000390322973061E-6</v>
      </c>
      <c r="D678" s="460">
        <f>VLOOKUP(A678,'2024 summary '!A678:C1584,3,FALSE)</f>
        <v>3.9299999999999996E-6</v>
      </c>
      <c r="E678" s="505">
        <v>26292</v>
      </c>
      <c r="F678" s="460"/>
      <c r="G678" s="505">
        <v>4607</v>
      </c>
      <c r="H678" s="505">
        <v>3574</v>
      </c>
      <c r="I678" s="505">
        <v>0</v>
      </c>
      <c r="J678" s="505">
        <v>7374</v>
      </c>
      <c r="K678" s="505">
        <v>15555</v>
      </c>
      <c r="L678" s="460"/>
      <c r="M678" s="505">
        <v>31</v>
      </c>
      <c r="N678" s="505">
        <v>0</v>
      </c>
      <c r="O678" s="505">
        <v>0</v>
      </c>
      <c r="P678" s="505">
        <v>2103</v>
      </c>
      <c r="Q678" s="505">
        <v>2134</v>
      </c>
      <c r="R678" s="460"/>
      <c r="S678" s="505">
        <v>7865</v>
      </c>
      <c r="T678" s="505">
        <v>3162</v>
      </c>
      <c r="U678" s="505">
        <v>11027</v>
      </c>
      <c r="W678" s="454">
        <v>46590</v>
      </c>
      <c r="X678" s="454">
        <v>9594</v>
      </c>
    </row>
    <row r="679" spans="1:24">
      <c r="A679" s="458">
        <v>97531</v>
      </c>
      <c r="B679" s="518" t="s">
        <v>1387</v>
      </c>
      <c r="C679" s="460">
        <f t="shared" si="11"/>
        <v>6.2629951321257568E-5</v>
      </c>
      <c r="D679" s="460">
        <f>VLOOKUP(A679,'2024 summary '!A679:C1585,3,FALSE)</f>
        <v>5.3329999999999999E-5</v>
      </c>
      <c r="E679" s="505">
        <v>422218</v>
      </c>
      <c r="F679" s="460"/>
      <c r="G679" s="505">
        <v>73989</v>
      </c>
      <c r="H679" s="505">
        <v>57400</v>
      </c>
      <c r="I679" s="505">
        <v>0</v>
      </c>
      <c r="J679" s="505">
        <v>40520</v>
      </c>
      <c r="K679" s="505">
        <v>171909</v>
      </c>
      <c r="L679" s="460"/>
      <c r="M679" s="505">
        <v>497</v>
      </c>
      <c r="N679" s="505">
        <v>0</v>
      </c>
      <c r="O679" s="505">
        <v>0</v>
      </c>
      <c r="P679" s="505">
        <v>21654</v>
      </c>
      <c r="Q679" s="505">
        <v>22151</v>
      </c>
      <c r="R679" s="460"/>
      <c r="S679" s="505">
        <v>126309</v>
      </c>
      <c r="T679" s="505">
        <v>4726</v>
      </c>
      <c r="U679" s="505">
        <v>131035</v>
      </c>
      <c r="W679" s="454">
        <v>748183</v>
      </c>
      <c r="X679" s="454">
        <v>154067</v>
      </c>
    </row>
    <row r="680" spans="1:24">
      <c r="A680" s="458">
        <v>97601</v>
      </c>
      <c r="B680" s="518" t="s">
        <v>1388</v>
      </c>
      <c r="C680" s="460">
        <f t="shared" si="11"/>
        <v>5.6615600736032298E-3</v>
      </c>
      <c r="D680" s="460">
        <f>VLOOKUP(A680,'2024 summary '!A680:C1586,3,FALSE)</f>
        <v>5.2711499999999996E-3</v>
      </c>
      <c r="E680" s="505">
        <v>38167243</v>
      </c>
      <c r="F680" s="460"/>
      <c r="G680" s="505">
        <v>6688346</v>
      </c>
      <c r="H680" s="505">
        <v>5188814</v>
      </c>
      <c r="I680" s="505">
        <v>0</v>
      </c>
      <c r="J680" s="505">
        <v>1003381</v>
      </c>
      <c r="K680" s="505">
        <v>12880541</v>
      </c>
      <c r="L680" s="460"/>
      <c r="M680" s="505">
        <v>44970</v>
      </c>
      <c r="N680" s="505">
        <v>0</v>
      </c>
      <c r="O680" s="505">
        <v>0</v>
      </c>
      <c r="P680" s="505">
        <v>617236</v>
      </c>
      <c r="Q680" s="505">
        <v>662206</v>
      </c>
      <c r="R680" s="460"/>
      <c r="S680" s="505">
        <v>11417985</v>
      </c>
      <c r="T680" s="505">
        <v>61545</v>
      </c>
      <c r="U680" s="505">
        <v>11479530</v>
      </c>
      <c r="W680" s="454">
        <v>67633471</v>
      </c>
      <c r="X680" s="454">
        <v>13927217</v>
      </c>
    </row>
    <row r="681" spans="1:24">
      <c r="A681" s="458">
        <v>97607</v>
      </c>
      <c r="B681" s="518" t="s">
        <v>1389</v>
      </c>
      <c r="C681" s="460">
        <f t="shared" si="11"/>
        <v>3.0110045755739426E-5</v>
      </c>
      <c r="D681" s="460">
        <f>VLOOKUP(A681,'2024 summary '!A681:C1587,3,FALSE)</f>
        <v>3.0589999999999997E-5</v>
      </c>
      <c r="E681" s="505">
        <v>202986</v>
      </c>
      <c r="F681" s="460"/>
      <c r="G681" s="505">
        <v>35571</v>
      </c>
      <c r="H681" s="505">
        <v>27596</v>
      </c>
      <c r="I681" s="505">
        <v>0</v>
      </c>
      <c r="J681" s="505">
        <v>15890</v>
      </c>
      <c r="K681" s="505">
        <v>79057</v>
      </c>
      <c r="L681" s="460"/>
      <c r="M681" s="505">
        <v>239</v>
      </c>
      <c r="N681" s="505">
        <v>0</v>
      </c>
      <c r="O681" s="505">
        <v>0</v>
      </c>
      <c r="P681" s="505">
        <v>0</v>
      </c>
      <c r="Q681" s="505">
        <v>239</v>
      </c>
      <c r="R681" s="460"/>
      <c r="S681" s="505">
        <v>60725</v>
      </c>
      <c r="T681" s="505">
        <v>14971</v>
      </c>
      <c r="U681" s="505">
        <v>75696</v>
      </c>
      <c r="W681" s="454">
        <v>359697</v>
      </c>
      <c r="X681" s="454">
        <v>74069</v>
      </c>
    </row>
    <row r="682" spans="1:24">
      <c r="A682" s="458">
        <v>97611</v>
      </c>
      <c r="B682" s="518" t="s">
        <v>1390</v>
      </c>
      <c r="C682" s="460">
        <f t="shared" si="11"/>
        <v>2.3514500056683548E-3</v>
      </c>
      <c r="D682" s="460">
        <f>VLOOKUP(A682,'2024 summary '!A682:C1588,3,FALSE)</f>
        <v>2.3424800000000001E-3</v>
      </c>
      <c r="E682" s="505">
        <v>15852232</v>
      </c>
      <c r="F682" s="460"/>
      <c r="G682" s="505">
        <v>2777911</v>
      </c>
      <c r="H682" s="505">
        <v>2155102</v>
      </c>
      <c r="I682" s="505">
        <v>0</v>
      </c>
      <c r="J682" s="505">
        <v>123101</v>
      </c>
      <c r="K682" s="505">
        <v>5056114</v>
      </c>
      <c r="L682" s="460"/>
      <c r="M682" s="505">
        <v>18678</v>
      </c>
      <c r="N682" s="505">
        <v>0</v>
      </c>
      <c r="O682" s="505">
        <v>0</v>
      </c>
      <c r="P682" s="505">
        <v>77050</v>
      </c>
      <c r="Q682" s="505">
        <v>95728</v>
      </c>
      <c r="R682" s="460"/>
      <c r="S682" s="505">
        <v>4742301</v>
      </c>
      <c r="T682" s="505">
        <v>-2534</v>
      </c>
      <c r="U682" s="505">
        <v>4739767</v>
      </c>
      <c r="W682" s="454">
        <v>28090619</v>
      </c>
      <c r="X682" s="454">
        <v>5784475</v>
      </c>
    </row>
    <row r="683" spans="1:24">
      <c r="A683" s="458">
        <v>97613</v>
      </c>
      <c r="B683" s="518" t="s">
        <v>1391</v>
      </c>
      <c r="C683" s="460">
        <f t="shared" si="11"/>
        <v>9.7129988525378197E-5</v>
      </c>
      <c r="D683" s="460">
        <f>VLOOKUP(A683,'2024 summary '!A683:C1589,3,FALSE)</f>
        <v>8.9120000000000001E-5</v>
      </c>
      <c r="E683" s="505">
        <v>654799</v>
      </c>
      <c r="F683" s="460"/>
      <c r="G683" s="505">
        <v>114746</v>
      </c>
      <c r="H683" s="505">
        <v>89020</v>
      </c>
      <c r="I683" s="505">
        <v>0</v>
      </c>
      <c r="J683" s="505">
        <v>54108</v>
      </c>
      <c r="K683" s="505">
        <v>257874</v>
      </c>
      <c r="L683" s="460"/>
      <c r="M683" s="505">
        <v>772</v>
      </c>
      <c r="N683" s="505">
        <v>0</v>
      </c>
      <c r="O683" s="505">
        <v>0</v>
      </c>
      <c r="P683" s="505">
        <v>9093</v>
      </c>
      <c r="Q683" s="505">
        <v>9865</v>
      </c>
      <c r="R683" s="460"/>
      <c r="S683" s="505">
        <v>195888</v>
      </c>
      <c r="T683" s="505">
        <v>27102</v>
      </c>
      <c r="U683" s="505">
        <v>222990</v>
      </c>
      <c r="W683" s="454">
        <v>1160323</v>
      </c>
      <c r="X683" s="454">
        <v>238936</v>
      </c>
    </row>
    <row r="684" spans="1:24">
      <c r="A684" s="458">
        <v>97621</v>
      </c>
      <c r="B684" s="518" t="s">
        <v>1392</v>
      </c>
      <c r="C684" s="460">
        <f t="shared" si="11"/>
        <v>3.8865004440393652E-4</v>
      </c>
      <c r="D684" s="460">
        <f>VLOOKUP(A684,'2024 summary '!A684:C1590,3,FALSE)</f>
        <v>3.4103999999999997E-4</v>
      </c>
      <c r="E684" s="505">
        <v>2620073</v>
      </c>
      <c r="F684" s="460"/>
      <c r="G684" s="505">
        <v>459136</v>
      </c>
      <c r="H684" s="505">
        <v>356197</v>
      </c>
      <c r="I684" s="505">
        <v>0</v>
      </c>
      <c r="J684" s="505">
        <v>155439</v>
      </c>
      <c r="K684" s="505">
        <v>970772</v>
      </c>
      <c r="L684" s="460"/>
      <c r="M684" s="505">
        <v>3087</v>
      </c>
      <c r="N684" s="505">
        <v>0</v>
      </c>
      <c r="O684" s="505">
        <v>0</v>
      </c>
      <c r="P684" s="505">
        <v>88473</v>
      </c>
      <c r="Q684" s="505">
        <v>91560</v>
      </c>
      <c r="R684" s="460"/>
      <c r="S684" s="505">
        <v>783812</v>
      </c>
      <c r="T684" s="505">
        <v>-8004</v>
      </c>
      <c r="U684" s="505">
        <v>775808</v>
      </c>
      <c r="W684" s="454">
        <v>4642846</v>
      </c>
      <c r="X684" s="454">
        <v>956064</v>
      </c>
    </row>
    <row r="685" spans="1:24">
      <c r="A685" s="458">
        <v>97623</v>
      </c>
      <c r="B685" s="518" t="s">
        <v>1393</v>
      </c>
      <c r="C685" s="460">
        <f t="shared" si="11"/>
        <v>2.1980069364359887E-5</v>
      </c>
      <c r="D685" s="460">
        <f>VLOOKUP(A685,'2024 summary '!A685:C1591,3,FALSE)</f>
        <v>2.2940000000000001E-5</v>
      </c>
      <c r="E685" s="505">
        <v>148178</v>
      </c>
      <c r="F685" s="460"/>
      <c r="G685" s="505">
        <v>25966</v>
      </c>
      <c r="H685" s="505">
        <v>20145</v>
      </c>
      <c r="I685" s="505">
        <v>0</v>
      </c>
      <c r="J685" s="505">
        <v>371</v>
      </c>
      <c r="K685" s="505">
        <v>46482</v>
      </c>
      <c r="L685" s="460"/>
      <c r="M685" s="505">
        <v>175</v>
      </c>
      <c r="N685" s="505">
        <v>0</v>
      </c>
      <c r="O685" s="505">
        <v>0</v>
      </c>
      <c r="P685" s="505">
        <v>5427</v>
      </c>
      <c r="Q685" s="505">
        <v>5602</v>
      </c>
      <c r="R685" s="460"/>
      <c r="S685" s="505">
        <v>44328</v>
      </c>
      <c r="T685" s="505">
        <v>-1089</v>
      </c>
      <c r="U685" s="505">
        <v>43239</v>
      </c>
      <c r="W685" s="454">
        <v>262575</v>
      </c>
      <c r="X685" s="454">
        <v>54070</v>
      </c>
    </row>
    <row r="686" spans="1:24">
      <c r="A686" s="458">
        <v>97627</v>
      </c>
      <c r="B686" s="518" t="s">
        <v>1394</v>
      </c>
      <c r="C686" s="460">
        <f t="shared" si="11"/>
        <v>5.8100079422265666E-6</v>
      </c>
      <c r="D686" s="460">
        <f>VLOOKUP(A686,'2024 summary '!A686:C1592,3,FALSE)</f>
        <v>5.5899999999999998E-6</v>
      </c>
      <c r="E686" s="505">
        <v>39168</v>
      </c>
      <c r="F686" s="460"/>
      <c r="G686" s="505">
        <v>6864</v>
      </c>
      <c r="H686" s="505">
        <v>5325</v>
      </c>
      <c r="I686" s="505">
        <v>0</v>
      </c>
      <c r="J686" s="505">
        <v>16768</v>
      </c>
      <c r="K686" s="505">
        <v>28957</v>
      </c>
      <c r="L686" s="460"/>
      <c r="M686" s="505">
        <v>46</v>
      </c>
      <c r="N686" s="505">
        <v>0</v>
      </c>
      <c r="O686" s="505">
        <v>0</v>
      </c>
      <c r="P686" s="505">
        <v>511</v>
      </c>
      <c r="Q686" s="505">
        <v>557</v>
      </c>
      <c r="R686" s="460"/>
      <c r="S686" s="505">
        <v>11717</v>
      </c>
      <c r="T686" s="505">
        <v>7364</v>
      </c>
      <c r="U686" s="505">
        <v>19081</v>
      </c>
      <c r="W686" s="454">
        <v>69407</v>
      </c>
      <c r="X686" s="454">
        <v>14292</v>
      </c>
    </row>
    <row r="687" spans="1:24">
      <c r="A687" s="458">
        <v>97631</v>
      </c>
      <c r="B687" s="518" t="s">
        <v>1395</v>
      </c>
      <c r="C687" s="460">
        <f t="shared" si="11"/>
        <v>2.5184993041824988E-4</v>
      </c>
      <c r="D687" s="460">
        <f>VLOOKUP(A687,'2024 summary '!A687:C1593,3,FALSE)</f>
        <v>2.2893999999999999E-4</v>
      </c>
      <c r="E687" s="505">
        <v>1697839</v>
      </c>
      <c r="F687" s="460"/>
      <c r="G687" s="505">
        <v>297526</v>
      </c>
      <c r="H687" s="505">
        <v>230820</v>
      </c>
      <c r="I687" s="505">
        <v>0</v>
      </c>
      <c r="J687" s="505">
        <v>101742</v>
      </c>
      <c r="K687" s="505">
        <v>630088</v>
      </c>
      <c r="L687" s="460"/>
      <c r="M687" s="505">
        <v>2000</v>
      </c>
      <c r="N687" s="505">
        <v>0</v>
      </c>
      <c r="O687" s="505">
        <v>0</v>
      </c>
      <c r="P687" s="505">
        <v>0</v>
      </c>
      <c r="Q687" s="505">
        <v>2000</v>
      </c>
      <c r="R687" s="460"/>
      <c r="S687" s="505">
        <v>507920</v>
      </c>
      <c r="T687" s="505">
        <v>35265</v>
      </c>
      <c r="U687" s="505">
        <v>543185</v>
      </c>
      <c r="W687" s="454">
        <v>3008621</v>
      </c>
      <c r="X687" s="454">
        <v>619541</v>
      </c>
    </row>
    <row r="688" spans="1:24">
      <c r="A688" s="458">
        <v>97637</v>
      </c>
      <c r="B688" s="518" t="s">
        <v>1396</v>
      </c>
      <c r="C688" s="460">
        <f t="shared" si="11"/>
        <v>4.2999517521768713E-6</v>
      </c>
      <c r="D688" s="460">
        <f>VLOOKUP(A688,'2024 summary '!A688:C1594,3,FALSE)</f>
        <v>4.0099999999999997E-6</v>
      </c>
      <c r="E688" s="505">
        <v>28988</v>
      </c>
      <c r="F688" s="460"/>
      <c r="G688" s="505">
        <v>5080</v>
      </c>
      <c r="H688" s="505">
        <v>3941</v>
      </c>
      <c r="I688" s="505">
        <v>0</v>
      </c>
      <c r="J688" s="505">
        <v>2772</v>
      </c>
      <c r="K688" s="505">
        <v>11793</v>
      </c>
      <c r="L688" s="460"/>
      <c r="M688" s="505">
        <v>34</v>
      </c>
      <c r="N688" s="505">
        <v>0</v>
      </c>
      <c r="O688" s="505">
        <v>0</v>
      </c>
      <c r="P688" s="505">
        <v>177</v>
      </c>
      <c r="Q688" s="505">
        <v>211</v>
      </c>
      <c r="R688" s="460"/>
      <c r="S688" s="505">
        <v>8672</v>
      </c>
      <c r="T688" s="505">
        <v>2408</v>
      </c>
      <c r="U688" s="505">
        <v>11080</v>
      </c>
      <c r="W688" s="454">
        <v>51368</v>
      </c>
      <c r="X688" s="454">
        <v>10578</v>
      </c>
    </row>
    <row r="689" spans="1:24">
      <c r="A689" s="458">
        <v>97641</v>
      </c>
      <c r="B689" s="518" t="s">
        <v>1397</v>
      </c>
      <c r="C689" s="460">
        <f t="shared" si="11"/>
        <v>9.4160013570842346E-5</v>
      </c>
      <c r="D689" s="460">
        <f>VLOOKUP(A689,'2024 summary '!A689:C1595,3,FALSE)</f>
        <v>9.2689999999999995E-5</v>
      </c>
      <c r="E689" s="505">
        <v>634777</v>
      </c>
      <c r="F689" s="460"/>
      <c r="G689" s="505">
        <v>111237</v>
      </c>
      <c r="H689" s="505">
        <v>86298</v>
      </c>
      <c r="I689" s="505">
        <v>0</v>
      </c>
      <c r="J689" s="505">
        <v>26097</v>
      </c>
      <c r="K689" s="505">
        <v>223632</v>
      </c>
      <c r="L689" s="460"/>
      <c r="M689" s="505">
        <v>748</v>
      </c>
      <c r="N689" s="505">
        <v>0</v>
      </c>
      <c r="O689" s="505">
        <v>0</v>
      </c>
      <c r="P689" s="505">
        <v>25215</v>
      </c>
      <c r="Q689" s="505">
        <v>25963</v>
      </c>
      <c r="R689" s="460"/>
      <c r="S689" s="505">
        <v>189898</v>
      </c>
      <c r="T689" s="505">
        <v>24927</v>
      </c>
      <c r="U689" s="505">
        <v>214825</v>
      </c>
      <c r="W689" s="454">
        <v>1124843</v>
      </c>
      <c r="X689" s="454">
        <v>231630</v>
      </c>
    </row>
    <row r="690" spans="1:24">
      <c r="A690" s="458">
        <v>97651</v>
      </c>
      <c r="B690" s="518" t="s">
        <v>1398</v>
      </c>
      <c r="C690" s="460">
        <f t="shared" si="11"/>
        <v>4.4664999731065368E-4</v>
      </c>
      <c r="D690" s="460">
        <f>VLOOKUP(A690,'2024 summary '!A690:C1596,3,FALSE)</f>
        <v>4.8492000000000001E-4</v>
      </c>
      <c r="E690" s="505">
        <v>3011078</v>
      </c>
      <c r="F690" s="460"/>
      <c r="G690" s="505">
        <v>527655</v>
      </c>
      <c r="H690" s="505">
        <v>409354</v>
      </c>
      <c r="I690" s="505">
        <v>0</v>
      </c>
      <c r="J690" s="505">
        <v>27563</v>
      </c>
      <c r="K690" s="505">
        <v>964572</v>
      </c>
      <c r="L690" s="460"/>
      <c r="M690" s="505">
        <v>3548</v>
      </c>
      <c r="N690" s="505">
        <v>0</v>
      </c>
      <c r="O690" s="505">
        <v>0</v>
      </c>
      <c r="P690" s="505">
        <v>218637</v>
      </c>
      <c r="Q690" s="505">
        <v>222185</v>
      </c>
      <c r="R690" s="460"/>
      <c r="S690" s="505">
        <v>900784</v>
      </c>
      <c r="T690" s="505">
        <v>-92757</v>
      </c>
      <c r="U690" s="505">
        <v>808027</v>
      </c>
      <c r="W690" s="454">
        <v>5335718</v>
      </c>
      <c r="X690" s="454">
        <v>1098742</v>
      </c>
    </row>
    <row r="691" spans="1:24">
      <c r="A691" s="458">
        <v>97661</v>
      </c>
      <c r="B691" s="518" t="s">
        <v>1399</v>
      </c>
      <c r="C691" s="460">
        <f t="shared" si="11"/>
        <v>6.8640063959002503E-5</v>
      </c>
      <c r="D691" s="460">
        <f>VLOOKUP(A691,'2024 summary '!A691:C1597,3,FALSE)</f>
        <v>5.4679999999999998E-5</v>
      </c>
      <c r="E691" s="505">
        <v>462735</v>
      </c>
      <c r="F691" s="460"/>
      <c r="G691" s="505">
        <v>81089</v>
      </c>
      <c r="H691" s="505">
        <v>62908</v>
      </c>
      <c r="I691" s="505">
        <v>0</v>
      </c>
      <c r="J691" s="505">
        <v>45835</v>
      </c>
      <c r="K691" s="505">
        <v>189832</v>
      </c>
      <c r="L691" s="460"/>
      <c r="M691" s="505">
        <v>545</v>
      </c>
      <c r="N691" s="505">
        <v>0</v>
      </c>
      <c r="O691" s="505">
        <v>0</v>
      </c>
      <c r="P691" s="505">
        <v>807</v>
      </c>
      <c r="Q691" s="505">
        <v>1352</v>
      </c>
      <c r="R691" s="460"/>
      <c r="S691" s="505">
        <v>138430</v>
      </c>
      <c r="T691" s="505">
        <v>20002</v>
      </c>
      <c r="U691" s="505">
        <v>158432</v>
      </c>
      <c r="W691" s="454">
        <v>819979</v>
      </c>
      <c r="X691" s="454">
        <v>168852</v>
      </c>
    </row>
    <row r="692" spans="1:24">
      <c r="A692" s="458">
        <v>97701</v>
      </c>
      <c r="B692" s="518" t="s">
        <v>1400</v>
      </c>
      <c r="C692" s="460">
        <f t="shared" si="11"/>
        <v>2.1859500722725871E-3</v>
      </c>
      <c r="D692" s="460">
        <f>VLOOKUP(A692,'2024 summary '!A692:C1598,3,FALSE)</f>
        <v>2.30628E-3</v>
      </c>
      <c r="E692" s="505">
        <v>14736519</v>
      </c>
      <c r="F692" s="460"/>
      <c r="G692" s="505">
        <v>2582396</v>
      </c>
      <c r="H692" s="505">
        <v>2003421</v>
      </c>
      <c r="I692" s="505">
        <v>0</v>
      </c>
      <c r="J692" s="505">
        <v>32122</v>
      </c>
      <c r="K692" s="505">
        <v>4617939</v>
      </c>
      <c r="L692" s="460"/>
      <c r="M692" s="505">
        <v>17363</v>
      </c>
      <c r="N692" s="505">
        <v>0</v>
      </c>
      <c r="O692" s="505">
        <v>0</v>
      </c>
      <c r="P692" s="505">
        <v>469164</v>
      </c>
      <c r="Q692" s="505">
        <v>486527</v>
      </c>
      <c r="R692" s="460"/>
      <c r="S692" s="505">
        <v>4408528</v>
      </c>
      <c r="T692" s="505">
        <v>-151427</v>
      </c>
      <c r="U692" s="505">
        <v>4257101</v>
      </c>
      <c r="W692" s="454">
        <v>26113542</v>
      </c>
      <c r="X692" s="454">
        <v>5377352</v>
      </c>
    </row>
    <row r="693" spans="1:24">
      <c r="A693" s="458">
        <v>97705</v>
      </c>
      <c r="B693" s="518" t="s">
        <v>1401</v>
      </c>
      <c r="C693" s="460">
        <f t="shared" si="11"/>
        <v>2.290998510654275E-5</v>
      </c>
      <c r="D693" s="460">
        <f>VLOOKUP(A693,'2024 summary '!A693:C1599,3,FALSE)</f>
        <v>2.3349999999999998E-5</v>
      </c>
      <c r="E693" s="505">
        <v>154447</v>
      </c>
      <c r="F693" s="460"/>
      <c r="G693" s="505">
        <v>27065</v>
      </c>
      <c r="H693" s="505">
        <v>20997</v>
      </c>
      <c r="I693" s="505">
        <v>0</v>
      </c>
      <c r="J693" s="505">
        <v>29781</v>
      </c>
      <c r="K693" s="505">
        <v>77843</v>
      </c>
      <c r="L693" s="460"/>
      <c r="M693" s="505">
        <v>182</v>
      </c>
      <c r="N693" s="505">
        <v>0</v>
      </c>
      <c r="O693" s="505">
        <v>0</v>
      </c>
      <c r="P693" s="505">
        <v>31422</v>
      </c>
      <c r="Q693" s="505">
        <v>31604</v>
      </c>
      <c r="R693" s="460"/>
      <c r="S693" s="505">
        <v>46204</v>
      </c>
      <c r="T693" s="505">
        <v>5478</v>
      </c>
      <c r="U693" s="505">
        <v>51682</v>
      </c>
      <c r="W693" s="454">
        <v>273685</v>
      </c>
      <c r="X693" s="454">
        <v>56358</v>
      </c>
    </row>
    <row r="694" spans="1:24">
      <c r="A694" s="458">
        <v>97711</v>
      </c>
      <c r="B694" s="518" t="s">
        <v>1402</v>
      </c>
      <c r="C694" s="460">
        <f t="shared" si="11"/>
        <v>7.0415996840117532E-4</v>
      </c>
      <c r="D694" s="460">
        <f>VLOOKUP(A694,'2024 summary '!A694:C1600,3,FALSE)</f>
        <v>7.7207999999999997E-4</v>
      </c>
      <c r="E694" s="505">
        <v>4747074</v>
      </c>
      <c r="F694" s="460"/>
      <c r="G694" s="505">
        <v>831867</v>
      </c>
      <c r="H694" s="505">
        <v>645362</v>
      </c>
      <c r="I694" s="505">
        <v>0</v>
      </c>
      <c r="J694" s="505">
        <v>8229</v>
      </c>
      <c r="K694" s="505">
        <v>1485458</v>
      </c>
      <c r="L694" s="460"/>
      <c r="M694" s="505">
        <v>5593</v>
      </c>
      <c r="N694" s="505">
        <v>0</v>
      </c>
      <c r="O694" s="505">
        <v>0</v>
      </c>
      <c r="P694" s="505">
        <v>235856</v>
      </c>
      <c r="Q694" s="505">
        <v>241449</v>
      </c>
      <c r="R694" s="460"/>
      <c r="S694" s="505">
        <v>1420119</v>
      </c>
      <c r="T694" s="505">
        <v>-94615</v>
      </c>
      <c r="U694" s="505">
        <v>1325504</v>
      </c>
      <c r="W694" s="454">
        <v>8411955</v>
      </c>
      <c r="X694" s="454">
        <v>1732206</v>
      </c>
    </row>
    <row r="695" spans="1:24">
      <c r="A695" s="458">
        <v>97713</v>
      </c>
      <c r="B695" s="518" t="s">
        <v>1403</v>
      </c>
      <c r="C695" s="460">
        <f t="shared" si="11"/>
        <v>7.4820020834233392E-5</v>
      </c>
      <c r="D695" s="460">
        <f>VLOOKUP(A695,'2024 summary '!A695:C1601,3,FALSE)</f>
        <v>6.6069999999999996E-5</v>
      </c>
      <c r="E695" s="505">
        <v>504397</v>
      </c>
      <c r="F695" s="460"/>
      <c r="G695" s="505">
        <v>88389</v>
      </c>
      <c r="H695" s="505">
        <v>68572</v>
      </c>
      <c r="I695" s="505">
        <v>0</v>
      </c>
      <c r="J695" s="505">
        <v>21294</v>
      </c>
      <c r="K695" s="505">
        <v>178255</v>
      </c>
      <c r="L695" s="460"/>
      <c r="M695" s="505">
        <v>594</v>
      </c>
      <c r="N695" s="505">
        <v>0</v>
      </c>
      <c r="O695" s="505">
        <v>0</v>
      </c>
      <c r="P695" s="505">
        <v>22368</v>
      </c>
      <c r="Q695" s="505">
        <v>22962</v>
      </c>
      <c r="R695" s="460"/>
      <c r="S695" s="505">
        <v>150894</v>
      </c>
      <c r="T695" s="505">
        <v>869</v>
      </c>
      <c r="U695" s="505">
        <v>151763</v>
      </c>
      <c r="W695" s="454">
        <v>893806</v>
      </c>
      <c r="X695" s="454">
        <v>184054</v>
      </c>
    </row>
    <row r="696" spans="1:24">
      <c r="A696" s="458">
        <v>97717</v>
      </c>
      <c r="B696" s="518" t="s">
        <v>1404</v>
      </c>
      <c r="C696" s="460">
        <f t="shared" si="11"/>
        <v>1.345997040128775E-5</v>
      </c>
      <c r="D696" s="460">
        <f>VLOOKUP(A696,'2024 summary '!A696:C1602,3,FALSE)</f>
        <v>9.5899999999999997E-6</v>
      </c>
      <c r="E696" s="505">
        <v>90740</v>
      </c>
      <c r="F696" s="460"/>
      <c r="G696" s="505">
        <v>15901</v>
      </c>
      <c r="H696" s="505">
        <v>12336</v>
      </c>
      <c r="I696" s="505">
        <v>0</v>
      </c>
      <c r="J696" s="505">
        <v>10516</v>
      </c>
      <c r="K696" s="505">
        <v>38753</v>
      </c>
      <c r="L696" s="460"/>
      <c r="M696" s="505">
        <v>107</v>
      </c>
      <c r="N696" s="505">
        <v>0</v>
      </c>
      <c r="O696" s="505">
        <v>0</v>
      </c>
      <c r="P696" s="505">
        <v>4437</v>
      </c>
      <c r="Q696" s="505">
        <v>4544</v>
      </c>
      <c r="R696" s="460"/>
      <c r="S696" s="505">
        <v>27146</v>
      </c>
      <c r="T696" s="505">
        <v>5933</v>
      </c>
      <c r="U696" s="505">
        <v>33079</v>
      </c>
      <c r="W696" s="454">
        <v>160794</v>
      </c>
      <c r="X696" s="454">
        <v>33111</v>
      </c>
    </row>
    <row r="697" spans="1:24">
      <c r="A697" s="458">
        <v>97721</v>
      </c>
      <c r="B697" s="518" t="s">
        <v>1405</v>
      </c>
      <c r="C697" s="460">
        <f t="shared" si="11"/>
        <v>4.6996998195642019E-4</v>
      </c>
      <c r="D697" s="460">
        <f>VLOOKUP(A697,'2024 summary '!A697:C1603,3,FALSE)</f>
        <v>4.6153999999999998E-4</v>
      </c>
      <c r="E697" s="505">
        <v>3168289</v>
      </c>
      <c r="F697" s="460"/>
      <c r="G697" s="505">
        <v>555204</v>
      </c>
      <c r="H697" s="505">
        <v>430727</v>
      </c>
      <c r="I697" s="505">
        <v>0</v>
      </c>
      <c r="J697" s="505">
        <v>30648</v>
      </c>
      <c r="K697" s="505">
        <v>1016579</v>
      </c>
      <c r="L697" s="460"/>
      <c r="M697" s="505">
        <v>3733</v>
      </c>
      <c r="N697" s="505">
        <v>0</v>
      </c>
      <c r="O697" s="505">
        <v>0</v>
      </c>
      <c r="P697" s="505">
        <v>74392</v>
      </c>
      <c r="Q697" s="505">
        <v>78125</v>
      </c>
      <c r="R697" s="460"/>
      <c r="S697" s="505">
        <v>947815</v>
      </c>
      <c r="T697" s="505">
        <v>-51589</v>
      </c>
      <c r="U697" s="505">
        <v>896226</v>
      </c>
      <c r="W697" s="454">
        <v>5614301</v>
      </c>
      <c r="X697" s="454">
        <v>1156108</v>
      </c>
    </row>
    <row r="698" spans="1:24">
      <c r="A698" s="458">
        <v>97727</v>
      </c>
      <c r="B698" s="518" t="s">
        <v>1406</v>
      </c>
      <c r="C698" s="460">
        <f t="shared" si="11"/>
        <v>1.5649996883595578E-5</v>
      </c>
      <c r="D698" s="460">
        <f>VLOOKUP(A698,'2024 summary '!A698:C1604,3,FALSE)</f>
        <v>1.6799999999999998E-5</v>
      </c>
      <c r="E698" s="505">
        <v>105504</v>
      </c>
      <c r="F698" s="460"/>
      <c r="G698" s="505">
        <v>18488</v>
      </c>
      <c r="H698" s="505">
        <v>14343</v>
      </c>
      <c r="I698" s="505">
        <v>0</v>
      </c>
      <c r="J698" s="505">
        <v>1958</v>
      </c>
      <c r="K698" s="505">
        <v>34789</v>
      </c>
      <c r="L698" s="460"/>
      <c r="M698" s="505">
        <v>124</v>
      </c>
      <c r="N698" s="505">
        <v>0</v>
      </c>
      <c r="O698" s="505">
        <v>0</v>
      </c>
      <c r="P698" s="505">
        <v>12760</v>
      </c>
      <c r="Q698" s="505">
        <v>12884</v>
      </c>
      <c r="R698" s="460"/>
      <c r="S698" s="505">
        <v>31562</v>
      </c>
      <c r="T698" s="505">
        <v>-744</v>
      </c>
      <c r="U698" s="505">
        <v>30818</v>
      </c>
      <c r="W698" s="454">
        <v>186956</v>
      </c>
      <c r="X698" s="454">
        <v>38498</v>
      </c>
    </row>
    <row r="699" spans="1:24">
      <c r="A699" s="458">
        <v>97731</v>
      </c>
      <c r="B699" s="518" t="s">
        <v>1407</v>
      </c>
      <c r="C699" s="460">
        <f t="shared" si="11"/>
        <v>2.430997629727841E-5</v>
      </c>
      <c r="D699" s="460">
        <f>VLOOKUP(A699,'2024 summary '!A699:C1605,3,FALSE)</f>
        <v>2.8540000000000001E-5</v>
      </c>
      <c r="E699" s="505">
        <v>163885</v>
      </c>
      <c r="F699" s="460"/>
      <c r="G699" s="505">
        <v>28719</v>
      </c>
      <c r="H699" s="505">
        <v>22280</v>
      </c>
      <c r="I699" s="505">
        <v>0</v>
      </c>
      <c r="J699" s="505">
        <v>3792</v>
      </c>
      <c r="K699" s="505">
        <v>54791</v>
      </c>
      <c r="L699" s="460"/>
      <c r="M699" s="505">
        <v>193</v>
      </c>
      <c r="N699" s="505">
        <v>0</v>
      </c>
      <c r="O699" s="505">
        <v>0</v>
      </c>
      <c r="P699" s="505">
        <v>11016</v>
      </c>
      <c r="Q699" s="505">
        <v>11209</v>
      </c>
      <c r="R699" s="460"/>
      <c r="S699" s="505">
        <v>49027</v>
      </c>
      <c r="T699" s="505">
        <v>-4515</v>
      </c>
      <c r="U699" s="505">
        <v>44512</v>
      </c>
      <c r="W699" s="454">
        <v>290409</v>
      </c>
      <c r="X699" s="454">
        <v>59802</v>
      </c>
    </row>
    <row r="700" spans="1:24">
      <c r="A700" s="458">
        <v>97801</v>
      </c>
      <c r="B700" s="518" t="s">
        <v>1408</v>
      </c>
      <c r="C700" s="460">
        <f t="shared" si="11"/>
        <v>5.6739400126568015E-3</v>
      </c>
      <c r="D700" s="460">
        <f>VLOOKUP(A700,'2024 summary '!A700:C1606,3,FALSE)</f>
        <v>6.1058099999999997E-3</v>
      </c>
      <c r="E700" s="505">
        <v>38250702</v>
      </c>
      <c r="F700" s="460"/>
      <c r="G700" s="505">
        <v>6702971</v>
      </c>
      <c r="H700" s="505">
        <v>5200160</v>
      </c>
      <c r="I700" s="505">
        <v>0</v>
      </c>
      <c r="J700" s="505">
        <v>325239</v>
      </c>
      <c r="K700" s="505">
        <v>12228370</v>
      </c>
      <c r="L700" s="460"/>
      <c r="M700" s="505">
        <v>45068</v>
      </c>
      <c r="N700" s="505">
        <v>0</v>
      </c>
      <c r="O700" s="505">
        <v>0</v>
      </c>
      <c r="P700" s="505">
        <v>925194</v>
      </c>
      <c r="Q700" s="505">
        <v>970262</v>
      </c>
      <c r="R700" s="460"/>
      <c r="S700" s="505">
        <v>11442953</v>
      </c>
      <c r="T700" s="505">
        <v>-85433</v>
      </c>
      <c r="U700" s="505">
        <v>11357520</v>
      </c>
      <c r="W700" s="454">
        <v>67781364</v>
      </c>
      <c r="X700" s="454">
        <v>13957671</v>
      </c>
    </row>
    <row r="701" spans="1:24">
      <c r="A701" s="458">
        <v>97802</v>
      </c>
      <c r="B701" s="518" t="s">
        <v>1409</v>
      </c>
      <c r="C701" s="460">
        <f t="shared" si="11"/>
        <v>1.0166994724371424E-4</v>
      </c>
      <c r="D701" s="460">
        <f>VLOOKUP(A701,'2024 summary '!A701:C1607,3,FALSE)</f>
        <v>1.1375E-4</v>
      </c>
      <c r="E701" s="505">
        <v>685405</v>
      </c>
      <c r="F701" s="460"/>
      <c r="G701" s="505">
        <v>120109</v>
      </c>
      <c r="H701" s="505">
        <v>93180</v>
      </c>
      <c r="I701" s="505">
        <v>0</v>
      </c>
      <c r="J701" s="505">
        <v>3725</v>
      </c>
      <c r="K701" s="505">
        <v>217014</v>
      </c>
      <c r="L701" s="460"/>
      <c r="M701" s="505">
        <v>808</v>
      </c>
      <c r="N701" s="505">
        <v>0</v>
      </c>
      <c r="O701" s="505">
        <v>0</v>
      </c>
      <c r="P701" s="505">
        <v>90539</v>
      </c>
      <c r="Q701" s="505">
        <v>91347</v>
      </c>
      <c r="R701" s="460"/>
      <c r="S701" s="505">
        <v>205044</v>
      </c>
      <c r="T701" s="505">
        <v>-43109</v>
      </c>
      <c r="U701" s="505">
        <v>161935</v>
      </c>
      <c r="W701" s="454">
        <v>1214558</v>
      </c>
      <c r="X701" s="454">
        <v>250104</v>
      </c>
    </row>
    <row r="702" spans="1:24">
      <c r="A702" s="458">
        <v>97803</v>
      </c>
      <c r="B702" s="518" t="s">
        <v>1410</v>
      </c>
      <c r="C702" s="460">
        <f t="shared" si="11"/>
        <v>9.0520006807813909E-5</v>
      </c>
      <c r="D702" s="460">
        <f>VLOOKUP(A702,'2024 summary '!A702:C1608,3,FALSE)</f>
        <v>7.5900000000000002E-5</v>
      </c>
      <c r="E702" s="505">
        <v>610238</v>
      </c>
      <c r="F702" s="460"/>
      <c r="G702" s="505">
        <v>106937</v>
      </c>
      <c r="H702" s="505">
        <v>82961</v>
      </c>
      <c r="I702" s="505">
        <v>0</v>
      </c>
      <c r="J702" s="505">
        <v>36166</v>
      </c>
      <c r="K702" s="505">
        <v>226064</v>
      </c>
      <c r="L702" s="460"/>
      <c r="M702" s="505">
        <v>719</v>
      </c>
      <c r="N702" s="505">
        <v>0</v>
      </c>
      <c r="O702" s="505">
        <v>0</v>
      </c>
      <c r="P702" s="505">
        <v>3762</v>
      </c>
      <c r="Q702" s="505">
        <v>4481</v>
      </c>
      <c r="R702" s="460"/>
      <c r="S702" s="505">
        <v>182557</v>
      </c>
      <c r="T702" s="505">
        <v>14875</v>
      </c>
      <c r="U702" s="505">
        <v>197432</v>
      </c>
      <c r="W702" s="454">
        <v>1081360</v>
      </c>
      <c r="X702" s="454">
        <v>222676</v>
      </c>
    </row>
    <row r="703" spans="1:24">
      <c r="A703" s="458">
        <v>97805</v>
      </c>
      <c r="B703" s="518" t="s">
        <v>1411</v>
      </c>
      <c r="C703" s="460">
        <f t="shared" si="11"/>
        <v>8.0449949384051275E-5</v>
      </c>
      <c r="D703" s="460">
        <f>VLOOKUP(A703,'2024 summary '!A703:C1609,3,FALSE)</f>
        <v>8.5489999999999996E-5</v>
      </c>
      <c r="E703" s="505">
        <v>542351</v>
      </c>
      <c r="F703" s="460"/>
      <c r="G703" s="505">
        <v>95040</v>
      </c>
      <c r="H703" s="505">
        <v>73732</v>
      </c>
      <c r="I703" s="505">
        <v>0</v>
      </c>
      <c r="J703" s="505">
        <v>7343</v>
      </c>
      <c r="K703" s="505">
        <v>176115</v>
      </c>
      <c r="L703" s="460"/>
      <c r="M703" s="505">
        <v>639</v>
      </c>
      <c r="N703" s="505">
        <v>0</v>
      </c>
      <c r="O703" s="505">
        <v>0</v>
      </c>
      <c r="P703" s="505">
        <v>20952</v>
      </c>
      <c r="Q703" s="505">
        <v>21591</v>
      </c>
      <c r="R703" s="460"/>
      <c r="S703" s="505">
        <v>162248</v>
      </c>
      <c r="T703" s="505">
        <v>-7862</v>
      </c>
      <c r="U703" s="505">
        <v>154386</v>
      </c>
      <c r="W703" s="454">
        <v>961062</v>
      </c>
      <c r="X703" s="454">
        <v>197904</v>
      </c>
    </row>
    <row r="704" spans="1:24">
      <c r="A704" s="458">
        <v>97811</v>
      </c>
      <c r="B704" s="518" t="s">
        <v>1412</v>
      </c>
      <c r="C704" s="460">
        <f t="shared" si="11"/>
        <v>1.9767799962042438E-3</v>
      </c>
      <c r="D704" s="460">
        <f>VLOOKUP(A704,'2024 summary '!A704:C1610,3,FALSE)</f>
        <v>2.0082699999999999E-3</v>
      </c>
      <c r="E704" s="505">
        <v>13326405</v>
      </c>
      <c r="F704" s="460"/>
      <c r="G704" s="505">
        <v>2335291</v>
      </c>
      <c r="H704" s="505">
        <v>1811717</v>
      </c>
      <c r="I704" s="505">
        <v>0</v>
      </c>
      <c r="J704" s="505">
        <v>57330</v>
      </c>
      <c r="K704" s="505">
        <v>4204338</v>
      </c>
      <c r="L704" s="460"/>
      <c r="M704" s="505">
        <v>15702</v>
      </c>
      <c r="N704" s="505">
        <v>0</v>
      </c>
      <c r="O704" s="505">
        <v>0</v>
      </c>
      <c r="P704" s="505">
        <v>352312</v>
      </c>
      <c r="Q704" s="505">
        <v>368014</v>
      </c>
      <c r="R704" s="460"/>
      <c r="S704" s="505">
        <v>3986683</v>
      </c>
      <c r="T704" s="505">
        <v>-190757</v>
      </c>
      <c r="U704" s="505">
        <v>3795926</v>
      </c>
      <c r="W704" s="454">
        <v>23614780</v>
      </c>
      <c r="X704" s="454">
        <v>4862802</v>
      </c>
    </row>
    <row r="705" spans="1:24" s="473" customFormat="1" ht="15">
      <c r="A705" s="530">
        <v>97813</v>
      </c>
      <c r="B705" s="531" t="s">
        <v>3785</v>
      </c>
      <c r="C705" s="460">
        <f t="shared" si="11"/>
        <v>1.1138993270200367E-4</v>
      </c>
      <c r="D705" s="460">
        <v>0</v>
      </c>
      <c r="E705" s="527">
        <v>750932</v>
      </c>
      <c r="F705" s="528"/>
      <c r="G705" s="505">
        <v>131592</v>
      </c>
      <c r="H705" s="505">
        <v>102089</v>
      </c>
      <c r="I705" s="505">
        <v>0</v>
      </c>
      <c r="J705" s="505">
        <v>328371</v>
      </c>
      <c r="K705" s="505">
        <v>562052</v>
      </c>
      <c r="L705" s="528"/>
      <c r="M705" s="505">
        <v>885</v>
      </c>
      <c r="N705" s="505">
        <v>0</v>
      </c>
      <c r="O705" s="505">
        <v>0</v>
      </c>
      <c r="P705" s="505">
        <v>0</v>
      </c>
      <c r="Q705" s="505">
        <v>885</v>
      </c>
      <c r="R705" s="528"/>
      <c r="S705" s="505">
        <v>224646</v>
      </c>
      <c r="T705" s="505">
        <v>109457</v>
      </c>
      <c r="U705" s="505">
        <v>334103</v>
      </c>
      <c r="W705" s="454">
        <v>1330674</v>
      </c>
      <c r="X705" s="454">
        <v>274015</v>
      </c>
    </row>
    <row r="706" spans="1:24">
      <c r="A706" s="458">
        <v>97817</v>
      </c>
      <c r="B706" s="518" t="s">
        <v>1413</v>
      </c>
      <c r="C706" s="460">
        <f t="shared" si="11"/>
        <v>2.4209998117308518E-5</v>
      </c>
      <c r="D706" s="460">
        <f>VLOOKUP(A706,'2024 summary '!A706:C1612,3,FALSE)</f>
        <v>2.3419999999999999E-5</v>
      </c>
      <c r="E706" s="505">
        <v>163211</v>
      </c>
      <c r="F706" s="460"/>
      <c r="G706" s="505">
        <v>28601</v>
      </c>
      <c r="H706" s="505">
        <v>22188</v>
      </c>
      <c r="I706" s="505">
        <v>0</v>
      </c>
      <c r="J706" s="505">
        <v>11321</v>
      </c>
      <c r="K706" s="505">
        <v>62110</v>
      </c>
      <c r="L706" s="460"/>
      <c r="M706" s="505">
        <v>192</v>
      </c>
      <c r="N706" s="505">
        <v>0</v>
      </c>
      <c r="O706" s="505">
        <v>0</v>
      </c>
      <c r="P706" s="505">
        <v>0</v>
      </c>
      <c r="Q706" s="505">
        <v>192</v>
      </c>
      <c r="R706" s="460"/>
      <c r="S706" s="505">
        <v>48826</v>
      </c>
      <c r="T706" s="505">
        <v>8388</v>
      </c>
      <c r="U706" s="505">
        <v>57214</v>
      </c>
      <c r="W706" s="454">
        <v>289215</v>
      </c>
      <c r="X706" s="454">
        <v>59556</v>
      </c>
    </row>
    <row r="707" spans="1:24">
      <c r="A707" s="458">
        <v>97818</v>
      </c>
      <c r="B707" s="518" t="s">
        <v>1414</v>
      </c>
      <c r="C707" s="460">
        <f t="shared" si="11"/>
        <v>2.1940018758140498E-5</v>
      </c>
      <c r="D707" s="460">
        <f>VLOOKUP(A707,'2024 summary '!A707:C1613,3,FALSE)</f>
        <v>2.198E-5</v>
      </c>
      <c r="E707" s="505">
        <v>147908</v>
      </c>
      <c r="F707" s="460"/>
      <c r="G707" s="505">
        <v>25919</v>
      </c>
      <c r="H707" s="505">
        <v>20108</v>
      </c>
      <c r="I707" s="505">
        <v>0</v>
      </c>
      <c r="J707" s="505">
        <v>12782</v>
      </c>
      <c r="K707" s="505">
        <v>58809</v>
      </c>
      <c r="L707" s="460"/>
      <c r="M707" s="505">
        <v>174</v>
      </c>
      <c r="N707" s="505">
        <v>0</v>
      </c>
      <c r="O707" s="505">
        <v>0</v>
      </c>
      <c r="P707" s="505">
        <v>0</v>
      </c>
      <c r="Q707" s="505">
        <v>174</v>
      </c>
      <c r="R707" s="460"/>
      <c r="S707" s="505">
        <v>44248</v>
      </c>
      <c r="T707" s="505">
        <v>7932</v>
      </c>
      <c r="U707" s="505">
        <v>52180</v>
      </c>
      <c r="W707" s="454">
        <v>262097</v>
      </c>
      <c r="X707" s="454">
        <v>53972</v>
      </c>
    </row>
    <row r="708" spans="1:24">
      <c r="A708" s="458">
        <v>97821</v>
      </c>
      <c r="B708" s="518" t="s">
        <v>1415</v>
      </c>
      <c r="C708" s="460">
        <f t="shared" si="11"/>
        <v>1.3835007244637716E-4</v>
      </c>
      <c r="D708" s="460">
        <f>VLOOKUP(A708,'2024 summary '!A708:C1614,3,FALSE)</f>
        <v>1.2491999999999999E-4</v>
      </c>
      <c r="E708" s="505">
        <v>932683</v>
      </c>
      <c r="F708" s="460"/>
      <c r="G708" s="505">
        <v>163441</v>
      </c>
      <c r="H708" s="505">
        <v>126798</v>
      </c>
      <c r="I708" s="505">
        <v>0</v>
      </c>
      <c r="J708" s="505">
        <v>53720</v>
      </c>
      <c r="K708" s="505">
        <v>343959</v>
      </c>
      <c r="L708" s="460"/>
      <c r="M708" s="505">
        <v>1099</v>
      </c>
      <c r="N708" s="505">
        <v>0</v>
      </c>
      <c r="O708" s="505">
        <v>0</v>
      </c>
      <c r="P708" s="505">
        <v>33601</v>
      </c>
      <c r="Q708" s="505">
        <v>34700</v>
      </c>
      <c r="R708" s="460"/>
      <c r="S708" s="505">
        <v>279018</v>
      </c>
      <c r="T708" s="505">
        <v>21075</v>
      </c>
      <c r="U708" s="505">
        <v>300093</v>
      </c>
      <c r="W708" s="454">
        <v>1652741</v>
      </c>
      <c r="X708" s="454">
        <v>340336</v>
      </c>
    </row>
    <row r="709" spans="1:24">
      <c r="A709" s="458">
        <v>97823</v>
      </c>
      <c r="B709" s="518" t="s">
        <v>1416</v>
      </c>
      <c r="C709" s="460">
        <f t="shared" si="11"/>
        <v>2.0459926354966051E-5</v>
      </c>
      <c r="D709" s="460">
        <f>VLOOKUP(A709,'2024 summary '!A709:C1615,3,FALSE)</f>
        <v>1.5659999999999999E-5</v>
      </c>
      <c r="E709" s="505">
        <v>137930</v>
      </c>
      <c r="F709" s="460"/>
      <c r="G709" s="505">
        <v>24171</v>
      </c>
      <c r="H709" s="505">
        <v>18752</v>
      </c>
      <c r="I709" s="505">
        <v>0</v>
      </c>
      <c r="J709" s="505">
        <v>26099</v>
      </c>
      <c r="K709" s="505">
        <v>69022</v>
      </c>
      <c r="L709" s="460"/>
      <c r="M709" s="505">
        <v>163</v>
      </c>
      <c r="N709" s="505">
        <v>0</v>
      </c>
      <c r="O709" s="505">
        <v>0</v>
      </c>
      <c r="P709" s="505">
        <v>2957</v>
      </c>
      <c r="Q709" s="505">
        <v>3120</v>
      </c>
      <c r="R709" s="460"/>
      <c r="S709" s="505">
        <v>41263</v>
      </c>
      <c r="T709" s="505">
        <v>9157</v>
      </c>
      <c r="U709" s="505">
        <v>50420</v>
      </c>
      <c r="W709" s="454">
        <v>244417</v>
      </c>
      <c r="X709" s="454">
        <v>50331</v>
      </c>
    </row>
    <row r="710" spans="1:24">
      <c r="A710" s="458">
        <v>97831</v>
      </c>
      <c r="B710" s="518" t="s">
        <v>1417</v>
      </c>
      <c r="C710" s="460">
        <f t="shared" si="11"/>
        <v>1.8055006119954391E-4</v>
      </c>
      <c r="D710" s="460">
        <f>VLOOKUP(A710,'2024 summary '!A710:C1616,3,FALSE)</f>
        <v>1.9196E-4</v>
      </c>
      <c r="E710" s="505">
        <v>1217173</v>
      </c>
      <c r="F710" s="460"/>
      <c r="G710" s="505">
        <v>213295</v>
      </c>
      <c r="H710" s="505">
        <v>165474</v>
      </c>
      <c r="I710" s="505">
        <v>0</v>
      </c>
      <c r="J710" s="505">
        <v>6204</v>
      </c>
      <c r="K710" s="505">
        <v>384973</v>
      </c>
      <c r="L710" s="460"/>
      <c r="M710" s="505">
        <v>1434</v>
      </c>
      <c r="N710" s="505">
        <v>0</v>
      </c>
      <c r="O710" s="505">
        <v>0</v>
      </c>
      <c r="P710" s="505">
        <v>35836</v>
      </c>
      <c r="Q710" s="505">
        <v>37270</v>
      </c>
      <c r="R710" s="460"/>
      <c r="S710" s="505">
        <v>364125</v>
      </c>
      <c r="T710" s="505">
        <v>-7499</v>
      </c>
      <c r="U710" s="505">
        <v>356626</v>
      </c>
      <c r="W710" s="454">
        <v>2156865</v>
      </c>
      <c r="X710" s="454">
        <v>444146</v>
      </c>
    </row>
    <row r="711" spans="1:24">
      <c r="A711" s="458">
        <v>97837</v>
      </c>
      <c r="B711" s="518" t="s">
        <v>1418</v>
      </c>
      <c r="C711" s="460">
        <f t="shared" si="11"/>
        <v>1.418992978353083E-5</v>
      </c>
      <c r="D711" s="460">
        <f>VLOOKUP(A711,'2024 summary '!A711:C1617,3,FALSE)</f>
        <v>1.412E-5</v>
      </c>
      <c r="E711" s="505">
        <v>95661</v>
      </c>
      <c r="F711" s="460"/>
      <c r="G711" s="505">
        <v>16764</v>
      </c>
      <c r="H711" s="505">
        <v>13005</v>
      </c>
      <c r="I711" s="505">
        <v>0</v>
      </c>
      <c r="J711" s="505">
        <v>398</v>
      </c>
      <c r="K711" s="505">
        <v>30167</v>
      </c>
      <c r="L711" s="460"/>
      <c r="M711" s="505">
        <v>113</v>
      </c>
      <c r="N711" s="505">
        <v>0</v>
      </c>
      <c r="O711" s="505">
        <v>0</v>
      </c>
      <c r="P711" s="505">
        <v>5846</v>
      </c>
      <c r="Q711" s="505">
        <v>5959</v>
      </c>
      <c r="R711" s="460"/>
      <c r="S711" s="505">
        <v>28618</v>
      </c>
      <c r="T711" s="505">
        <v>198</v>
      </c>
      <c r="U711" s="505">
        <v>28816</v>
      </c>
      <c r="W711" s="454">
        <v>169515</v>
      </c>
      <c r="X711" s="454">
        <v>34907</v>
      </c>
    </row>
    <row r="712" spans="1:24">
      <c r="A712" s="458">
        <v>97840</v>
      </c>
      <c r="B712" s="518" t="s">
        <v>1419</v>
      </c>
      <c r="C712" s="460">
        <f t="shared" si="11"/>
        <v>1.1032992665739708E-4</v>
      </c>
      <c r="D712" s="460">
        <f>VLOOKUP(A712,'2024 summary '!A712:C1618,3,FALSE)</f>
        <v>1.4001000000000001E-4</v>
      </c>
      <c r="E712" s="505">
        <v>743786</v>
      </c>
      <c r="F712" s="460"/>
      <c r="G712" s="505">
        <v>130340</v>
      </c>
      <c r="H712" s="505">
        <v>101117</v>
      </c>
      <c r="I712" s="505">
        <v>0</v>
      </c>
      <c r="J712" s="505">
        <v>52941</v>
      </c>
      <c r="K712" s="505">
        <v>284398</v>
      </c>
      <c r="L712" s="460"/>
      <c r="M712" s="505">
        <v>876</v>
      </c>
      <c r="N712" s="505">
        <v>0</v>
      </c>
      <c r="O712" s="505">
        <v>0</v>
      </c>
      <c r="P712" s="505">
        <v>101714</v>
      </c>
      <c r="Q712" s="505">
        <v>102590</v>
      </c>
      <c r="R712" s="460"/>
      <c r="S712" s="505">
        <v>222509</v>
      </c>
      <c r="T712" s="505">
        <v>17836</v>
      </c>
      <c r="U712" s="505">
        <v>240345</v>
      </c>
      <c r="W712" s="454">
        <v>1318011</v>
      </c>
      <c r="X712" s="454">
        <v>271407</v>
      </c>
    </row>
    <row r="713" spans="1:24">
      <c r="A713" s="458">
        <v>97841</v>
      </c>
      <c r="B713" s="518" t="s">
        <v>1420</v>
      </c>
      <c r="C713" s="460">
        <f t="shared" si="11"/>
        <v>2.0700229992282408E-6</v>
      </c>
      <c r="D713" s="460">
        <f>VLOOKUP(A713,'2024 summary '!A713:C1619,3,FALSE)</f>
        <v>7.0500000000000003E-6</v>
      </c>
      <c r="E713" s="505">
        <v>13955</v>
      </c>
      <c r="F713" s="460"/>
      <c r="G713" s="505">
        <v>2445</v>
      </c>
      <c r="H713" s="505">
        <v>1897</v>
      </c>
      <c r="I713" s="505">
        <v>0</v>
      </c>
      <c r="J713" s="505">
        <v>2915</v>
      </c>
      <c r="K713" s="505">
        <v>7257</v>
      </c>
      <c r="L713" s="460"/>
      <c r="M713" s="505">
        <v>16</v>
      </c>
      <c r="N713" s="505">
        <v>0</v>
      </c>
      <c r="O713" s="505">
        <v>0</v>
      </c>
      <c r="P713" s="505">
        <v>19338</v>
      </c>
      <c r="Q713" s="505">
        <v>19354</v>
      </c>
      <c r="R713" s="460"/>
      <c r="S713" s="505">
        <v>4175</v>
      </c>
      <c r="T713" s="505">
        <v>-5951</v>
      </c>
      <c r="U713" s="505">
        <v>-1776</v>
      </c>
      <c r="W713" s="454">
        <v>24728</v>
      </c>
      <c r="X713" s="454">
        <v>5092</v>
      </c>
    </row>
    <row r="714" spans="1:24">
      <c r="A714" s="458">
        <v>97847</v>
      </c>
      <c r="B714" s="518" t="s">
        <v>1421</v>
      </c>
      <c r="C714" s="460">
        <f t="shared" ref="C714:C777" si="12">E714/$E$915</f>
        <v>1.6600234600045318E-6</v>
      </c>
      <c r="D714" s="460">
        <f>VLOOKUP(A714,'2024 summary '!A714:C1620,3,FALSE)</f>
        <v>1.8500000000000001E-6</v>
      </c>
      <c r="E714" s="505">
        <v>11191</v>
      </c>
      <c r="F714" s="460"/>
      <c r="G714" s="505">
        <v>1961</v>
      </c>
      <c r="H714" s="505">
        <v>1521</v>
      </c>
      <c r="I714" s="505">
        <v>0</v>
      </c>
      <c r="J714" s="505">
        <v>3289</v>
      </c>
      <c r="K714" s="505">
        <v>6771</v>
      </c>
      <c r="L714" s="460"/>
      <c r="M714" s="505">
        <v>13</v>
      </c>
      <c r="N714" s="505">
        <v>0</v>
      </c>
      <c r="O714" s="505">
        <v>0</v>
      </c>
      <c r="P714" s="505">
        <v>281</v>
      </c>
      <c r="Q714" s="505">
        <v>294</v>
      </c>
      <c r="R714" s="460"/>
      <c r="S714" s="505">
        <v>3348</v>
      </c>
      <c r="T714" s="505">
        <v>2244</v>
      </c>
      <c r="U714" s="505">
        <v>5592</v>
      </c>
      <c r="W714" s="454">
        <v>19830</v>
      </c>
      <c r="X714" s="454">
        <v>4084</v>
      </c>
    </row>
    <row r="715" spans="1:24">
      <c r="A715" s="458">
        <v>97851</v>
      </c>
      <c r="B715" s="518" t="s">
        <v>1422</v>
      </c>
      <c r="C715" s="460">
        <f t="shared" si="12"/>
        <v>2.1417002341588803E-4</v>
      </c>
      <c r="D715" s="460">
        <f>VLOOKUP(A715,'2024 summary '!A715:C1621,3,FALSE)</f>
        <v>2.221E-4</v>
      </c>
      <c r="E715" s="505">
        <v>1443821</v>
      </c>
      <c r="F715" s="460"/>
      <c r="G715" s="505">
        <v>253012</v>
      </c>
      <c r="H715" s="505">
        <v>196287</v>
      </c>
      <c r="I715" s="505">
        <v>0</v>
      </c>
      <c r="J715" s="505">
        <v>0</v>
      </c>
      <c r="K715" s="505">
        <v>449299</v>
      </c>
      <c r="L715" s="460"/>
      <c r="M715" s="505">
        <v>1701</v>
      </c>
      <c r="N715" s="505">
        <v>0</v>
      </c>
      <c r="O715" s="505">
        <v>0</v>
      </c>
      <c r="P715" s="505">
        <v>85446</v>
      </c>
      <c r="Q715" s="505">
        <v>87147</v>
      </c>
      <c r="R715" s="460"/>
      <c r="S715" s="505">
        <v>431929</v>
      </c>
      <c r="T715" s="505">
        <v>-44983</v>
      </c>
      <c r="U715" s="505">
        <v>386946</v>
      </c>
      <c r="W715" s="454">
        <v>2558493</v>
      </c>
      <c r="X715" s="454">
        <v>526850</v>
      </c>
    </row>
    <row r="716" spans="1:24">
      <c r="A716" s="458">
        <v>97853</v>
      </c>
      <c r="B716" s="518" t="s">
        <v>1423</v>
      </c>
      <c r="C716" s="460">
        <f t="shared" si="12"/>
        <v>6.1850002849029537E-5</v>
      </c>
      <c r="D716" s="460">
        <f>VLOOKUP(A716,'2024 summary '!A716:C1622,3,FALSE)</f>
        <v>7.9129999999999996E-5</v>
      </c>
      <c r="E716" s="505">
        <v>416960</v>
      </c>
      <c r="F716" s="460"/>
      <c r="G716" s="505">
        <v>73067</v>
      </c>
      <c r="H716" s="505">
        <v>56685</v>
      </c>
      <c r="I716" s="505">
        <v>0</v>
      </c>
      <c r="J716" s="505">
        <v>0</v>
      </c>
      <c r="K716" s="505">
        <v>129752</v>
      </c>
      <c r="L716" s="460"/>
      <c r="M716" s="505">
        <v>491</v>
      </c>
      <c r="N716" s="505">
        <v>0</v>
      </c>
      <c r="O716" s="505">
        <v>0</v>
      </c>
      <c r="P716" s="505">
        <v>58455</v>
      </c>
      <c r="Q716" s="505">
        <v>58946</v>
      </c>
      <c r="R716" s="460"/>
      <c r="S716" s="505">
        <v>124736</v>
      </c>
      <c r="T716" s="505">
        <v>-19860</v>
      </c>
      <c r="U716" s="505">
        <v>104876</v>
      </c>
      <c r="W716" s="454">
        <v>738865</v>
      </c>
      <c r="X716" s="454">
        <v>152149</v>
      </c>
    </row>
    <row r="717" spans="1:24">
      <c r="A717" s="458">
        <v>97861</v>
      </c>
      <c r="B717" s="518" t="s">
        <v>1424</v>
      </c>
      <c r="C717" s="460">
        <f t="shared" si="12"/>
        <v>6.8659940926533609E-5</v>
      </c>
      <c r="D717" s="460">
        <f>VLOOKUP(A717,'2024 summary '!A717:C1623,3,FALSE)</f>
        <v>6.8949999999999995E-5</v>
      </c>
      <c r="E717" s="505">
        <v>462869</v>
      </c>
      <c r="F717" s="460"/>
      <c r="G717" s="505">
        <v>81112</v>
      </c>
      <c r="H717" s="505">
        <v>62927</v>
      </c>
      <c r="I717" s="505">
        <v>0</v>
      </c>
      <c r="J717" s="505">
        <v>25881</v>
      </c>
      <c r="K717" s="505">
        <v>169920</v>
      </c>
      <c r="L717" s="460"/>
      <c r="M717" s="505">
        <v>545</v>
      </c>
      <c r="N717" s="505">
        <v>0</v>
      </c>
      <c r="O717" s="505">
        <v>0</v>
      </c>
      <c r="P717" s="505">
        <v>12828</v>
      </c>
      <c r="Q717" s="505">
        <v>13373</v>
      </c>
      <c r="R717" s="460"/>
      <c r="S717" s="505">
        <v>138470</v>
      </c>
      <c r="T717" s="505">
        <v>14350</v>
      </c>
      <c r="U717" s="505">
        <v>152820</v>
      </c>
      <c r="W717" s="454">
        <v>820218</v>
      </c>
      <c r="X717" s="454">
        <v>168901</v>
      </c>
    </row>
    <row r="718" spans="1:24">
      <c r="A718" s="458">
        <v>97871</v>
      </c>
      <c r="B718" s="518" t="s">
        <v>1425</v>
      </c>
      <c r="C718" s="460">
        <f t="shared" si="12"/>
        <v>2.181200515381703E-4</v>
      </c>
      <c r="D718" s="460">
        <f>VLOOKUP(A718,'2024 summary '!A718:C1624,3,FALSE)</f>
        <v>3.1116999999999999E-4</v>
      </c>
      <c r="E718" s="505">
        <v>1470450</v>
      </c>
      <c r="F718" s="460"/>
      <c r="G718" s="505">
        <v>257678</v>
      </c>
      <c r="H718" s="505">
        <v>199907</v>
      </c>
      <c r="I718" s="505">
        <v>0</v>
      </c>
      <c r="J718" s="505">
        <v>53747</v>
      </c>
      <c r="K718" s="505">
        <v>511332</v>
      </c>
      <c r="L718" s="460"/>
      <c r="M718" s="505">
        <v>1733</v>
      </c>
      <c r="N718" s="505">
        <v>0</v>
      </c>
      <c r="O718" s="505">
        <v>0</v>
      </c>
      <c r="P718" s="505">
        <v>260504</v>
      </c>
      <c r="Q718" s="505">
        <v>262237</v>
      </c>
      <c r="R718" s="460"/>
      <c r="S718" s="505">
        <v>439895</v>
      </c>
      <c r="T718" s="505">
        <v>29922</v>
      </c>
      <c r="U718" s="505">
        <v>469817</v>
      </c>
      <c r="W718" s="454">
        <v>2605680</v>
      </c>
      <c r="X718" s="454">
        <v>536567</v>
      </c>
    </row>
    <row r="719" spans="1:24">
      <c r="A719" s="458">
        <v>97877</v>
      </c>
      <c r="B719" s="518" t="s">
        <v>1426</v>
      </c>
      <c r="C719" s="460">
        <f t="shared" si="12"/>
        <v>8.9400369860614007E-6</v>
      </c>
      <c r="D719" s="460">
        <f>VLOOKUP(A719,'2024 summary '!A719:C1625,3,FALSE)</f>
        <v>9.5200000000000003E-6</v>
      </c>
      <c r="E719" s="505">
        <v>60269</v>
      </c>
      <c r="F719" s="460"/>
      <c r="G719" s="505">
        <v>10561</v>
      </c>
      <c r="H719" s="505">
        <v>8194</v>
      </c>
      <c r="I719" s="505">
        <v>0</v>
      </c>
      <c r="J719" s="505">
        <v>672</v>
      </c>
      <c r="K719" s="505">
        <v>19427</v>
      </c>
      <c r="L719" s="460"/>
      <c r="M719" s="505">
        <v>71</v>
      </c>
      <c r="N719" s="505">
        <v>0</v>
      </c>
      <c r="O719" s="505">
        <v>0</v>
      </c>
      <c r="P719" s="505">
        <v>1479</v>
      </c>
      <c r="Q719" s="505">
        <v>1550</v>
      </c>
      <c r="R719" s="460"/>
      <c r="S719" s="505">
        <v>18030</v>
      </c>
      <c r="T719" s="505">
        <v>290</v>
      </c>
      <c r="U719" s="505">
        <v>18320</v>
      </c>
      <c r="W719" s="454">
        <v>106798</v>
      </c>
      <c r="X719" s="454">
        <v>21992</v>
      </c>
    </row>
    <row r="720" spans="1:24">
      <c r="A720" s="458">
        <v>97901</v>
      </c>
      <c r="B720" s="518" t="s">
        <v>1427</v>
      </c>
      <c r="C720" s="460">
        <f t="shared" si="12"/>
        <v>3.662270005012323E-3</v>
      </c>
      <c r="D720" s="460">
        <f>VLOOKUP(A720,'2024 summary '!A720:C1626,3,FALSE)</f>
        <v>3.4248899999999999E-3</v>
      </c>
      <c r="E720" s="505">
        <v>24689087</v>
      </c>
      <c r="F720" s="460"/>
      <c r="G720" s="505">
        <v>4326463</v>
      </c>
      <c r="H720" s="505">
        <v>3356467</v>
      </c>
      <c r="I720" s="505">
        <v>0</v>
      </c>
      <c r="J720" s="505">
        <v>809108</v>
      </c>
      <c r="K720" s="505">
        <v>8492038</v>
      </c>
      <c r="L720" s="460"/>
      <c r="M720" s="505">
        <v>29089</v>
      </c>
      <c r="N720" s="505">
        <v>0</v>
      </c>
      <c r="O720" s="505">
        <v>0</v>
      </c>
      <c r="P720" s="505">
        <v>355532</v>
      </c>
      <c r="Q720" s="505">
        <v>384621</v>
      </c>
      <c r="R720" s="460"/>
      <c r="S720" s="505">
        <v>7385905</v>
      </c>
      <c r="T720" s="505">
        <v>36770</v>
      </c>
      <c r="U720" s="505">
        <v>7422675</v>
      </c>
      <c r="W720" s="454">
        <v>43749785</v>
      </c>
      <c r="X720" s="454">
        <v>9009041</v>
      </c>
    </row>
    <row r="721" spans="1:24">
      <c r="A721" s="458">
        <v>97911</v>
      </c>
      <c r="B721" s="518" t="s">
        <v>1428</v>
      </c>
      <c r="C721" s="460">
        <f t="shared" si="12"/>
        <v>1.0690100142270271E-3</v>
      </c>
      <c r="D721" s="460">
        <f>VLOOKUP(A721,'2024 summary '!A721:C1627,3,FALSE)</f>
        <v>1.11943E-3</v>
      </c>
      <c r="E721" s="505">
        <v>7206700</v>
      </c>
      <c r="F721" s="460"/>
      <c r="G721" s="505">
        <v>1262887</v>
      </c>
      <c r="H721" s="505">
        <v>979747</v>
      </c>
      <c r="I721" s="505">
        <v>0</v>
      </c>
      <c r="J721" s="505">
        <v>69214</v>
      </c>
      <c r="K721" s="505">
        <v>2311848</v>
      </c>
      <c r="L721" s="460"/>
      <c r="M721" s="505">
        <v>8491</v>
      </c>
      <c r="N721" s="505">
        <v>0</v>
      </c>
      <c r="O721" s="505">
        <v>0</v>
      </c>
      <c r="P721" s="505">
        <v>139796</v>
      </c>
      <c r="Q721" s="505">
        <v>148287</v>
      </c>
      <c r="R721" s="460"/>
      <c r="S721" s="505">
        <v>2155932</v>
      </c>
      <c r="T721" s="505">
        <v>-33508</v>
      </c>
      <c r="U721" s="505">
        <v>2122424</v>
      </c>
      <c r="W721" s="454">
        <v>12770483</v>
      </c>
      <c r="X721" s="454">
        <v>2629723</v>
      </c>
    </row>
    <row r="722" spans="1:24">
      <c r="A722" s="458">
        <v>97913</v>
      </c>
      <c r="B722" s="518" t="s">
        <v>1429</v>
      </c>
      <c r="C722" s="460">
        <f t="shared" si="12"/>
        <v>2.6259995813427063E-5</v>
      </c>
      <c r="D722" s="460">
        <f>VLOOKUP(A722,'2024 summary '!A722:C1628,3,FALSE)</f>
        <v>3.5179999999999999E-5</v>
      </c>
      <c r="E722" s="505">
        <v>177031</v>
      </c>
      <c r="F722" s="460"/>
      <c r="G722" s="505">
        <v>31023</v>
      </c>
      <c r="H722" s="505">
        <v>24067</v>
      </c>
      <c r="I722" s="505">
        <v>0</v>
      </c>
      <c r="J722" s="505">
        <v>15159</v>
      </c>
      <c r="K722" s="505">
        <v>70249</v>
      </c>
      <c r="L722" s="460"/>
      <c r="M722" s="505">
        <v>209</v>
      </c>
      <c r="N722" s="505">
        <v>0</v>
      </c>
      <c r="O722" s="505">
        <v>0</v>
      </c>
      <c r="P722" s="505">
        <v>12685</v>
      </c>
      <c r="Q722" s="505">
        <v>12894</v>
      </c>
      <c r="R722" s="460"/>
      <c r="S722" s="505">
        <v>52960</v>
      </c>
      <c r="T722" s="505">
        <v>15256</v>
      </c>
      <c r="U722" s="505">
        <v>68216</v>
      </c>
      <c r="W722" s="454">
        <v>313704</v>
      </c>
      <c r="X722" s="454">
        <v>64599</v>
      </c>
    </row>
    <row r="723" spans="1:24">
      <c r="A723" s="458">
        <v>97917</v>
      </c>
      <c r="B723" s="518" t="s">
        <v>1430</v>
      </c>
      <c r="C723" s="460">
        <f t="shared" si="12"/>
        <v>2.2529949354194291E-5</v>
      </c>
      <c r="D723" s="460">
        <f>VLOOKUP(A723,'2024 summary '!A723:C1629,3,FALSE)</f>
        <v>2.5729999999999999E-5</v>
      </c>
      <c r="E723" s="505">
        <v>151885</v>
      </c>
      <c r="F723" s="460"/>
      <c r="G723" s="505">
        <v>26616</v>
      </c>
      <c r="H723" s="505">
        <v>20649</v>
      </c>
      <c r="I723" s="505">
        <v>0</v>
      </c>
      <c r="J723" s="505">
        <v>10132</v>
      </c>
      <c r="K723" s="505">
        <v>57397</v>
      </c>
      <c r="L723" s="460"/>
      <c r="M723" s="505">
        <v>179</v>
      </c>
      <c r="N723" s="505">
        <v>0</v>
      </c>
      <c r="O723" s="505">
        <v>0</v>
      </c>
      <c r="P723" s="505">
        <v>431</v>
      </c>
      <c r="Q723" s="505">
        <v>610</v>
      </c>
      <c r="R723" s="460"/>
      <c r="S723" s="505">
        <v>45438</v>
      </c>
      <c r="T723" s="505">
        <v>11443</v>
      </c>
      <c r="U723" s="505">
        <v>56881</v>
      </c>
      <c r="W723" s="454">
        <v>269145</v>
      </c>
      <c r="X723" s="454">
        <v>55423</v>
      </c>
    </row>
    <row r="724" spans="1:24">
      <c r="A724" s="458">
        <v>97921</v>
      </c>
      <c r="B724" s="518" t="s">
        <v>1431</v>
      </c>
      <c r="C724" s="460">
        <f t="shared" si="12"/>
        <v>2.0619001429446335E-4</v>
      </c>
      <c r="D724" s="460">
        <f>VLOOKUP(A724,'2024 summary '!A724:C1630,3,FALSE)</f>
        <v>2.0594999999999999E-4</v>
      </c>
      <c r="E724" s="505">
        <v>1390024</v>
      </c>
      <c r="F724" s="460"/>
      <c r="G724" s="505">
        <v>243585</v>
      </c>
      <c r="H724" s="505">
        <v>188973</v>
      </c>
      <c r="I724" s="505">
        <v>0</v>
      </c>
      <c r="J724" s="505">
        <v>13092</v>
      </c>
      <c r="K724" s="505">
        <v>445650</v>
      </c>
      <c r="L724" s="460"/>
      <c r="M724" s="505">
        <v>1638</v>
      </c>
      <c r="N724" s="505">
        <v>0</v>
      </c>
      <c r="O724" s="505">
        <v>0</v>
      </c>
      <c r="P724" s="505">
        <v>10289</v>
      </c>
      <c r="Q724" s="505">
        <v>11927</v>
      </c>
      <c r="R724" s="460"/>
      <c r="S724" s="505">
        <v>415835</v>
      </c>
      <c r="T724" s="505">
        <v>344</v>
      </c>
      <c r="U724" s="505">
        <v>416179</v>
      </c>
      <c r="W724" s="454">
        <v>2463163</v>
      </c>
      <c r="X724" s="454">
        <v>507219</v>
      </c>
    </row>
    <row r="725" spans="1:24">
      <c r="A725" s="458">
        <v>97931</v>
      </c>
      <c r="B725" s="518" t="s">
        <v>1432</v>
      </c>
      <c r="C725" s="460">
        <f t="shared" si="12"/>
        <v>5.3070019952267118E-5</v>
      </c>
      <c r="D725" s="460">
        <f>VLOOKUP(A725,'2024 summary '!A725:C1631,3,FALSE)</f>
        <v>4.2169999999999998E-5</v>
      </c>
      <c r="E725" s="505">
        <v>357770</v>
      </c>
      <c r="F725" s="460"/>
      <c r="G725" s="505">
        <v>62695</v>
      </c>
      <c r="H725" s="505">
        <v>48639</v>
      </c>
      <c r="I725" s="505">
        <v>0</v>
      </c>
      <c r="J725" s="505">
        <v>39826</v>
      </c>
      <c r="K725" s="505">
        <v>151160</v>
      </c>
      <c r="L725" s="460"/>
      <c r="M725" s="505">
        <v>422</v>
      </c>
      <c r="N725" s="505">
        <v>0</v>
      </c>
      <c r="O725" s="505">
        <v>0</v>
      </c>
      <c r="P725" s="505">
        <v>31764</v>
      </c>
      <c r="Q725" s="505">
        <v>32186</v>
      </c>
      <c r="R725" s="460"/>
      <c r="S725" s="505">
        <v>107029</v>
      </c>
      <c r="T725" s="505">
        <v>-10668</v>
      </c>
      <c r="U725" s="505">
        <v>96361</v>
      </c>
      <c r="W725" s="454">
        <v>633979</v>
      </c>
      <c r="X725" s="454">
        <v>130550</v>
      </c>
    </row>
    <row r="726" spans="1:24">
      <c r="A726" s="458">
        <v>97941</v>
      </c>
      <c r="B726" s="518" t="s">
        <v>1433</v>
      </c>
      <c r="C726" s="460">
        <f t="shared" si="12"/>
        <v>1.7814999153795217E-4</v>
      </c>
      <c r="D726" s="460">
        <f>VLOOKUP(A726,'2024 summary '!A726:C1632,3,FALSE)</f>
        <v>1.8493000000000001E-4</v>
      </c>
      <c r="E726" s="505">
        <v>1200993</v>
      </c>
      <c r="F726" s="460"/>
      <c r="G726" s="505">
        <v>210459</v>
      </c>
      <c r="H726" s="505">
        <v>163274</v>
      </c>
      <c r="I726" s="505">
        <v>0</v>
      </c>
      <c r="J726" s="505">
        <v>10112</v>
      </c>
      <c r="K726" s="505">
        <v>383845</v>
      </c>
      <c r="L726" s="460"/>
      <c r="M726" s="505">
        <v>1415</v>
      </c>
      <c r="N726" s="505">
        <v>0</v>
      </c>
      <c r="O726" s="505">
        <v>0</v>
      </c>
      <c r="P726" s="505">
        <v>64653</v>
      </c>
      <c r="Q726" s="505">
        <v>66068</v>
      </c>
      <c r="R726" s="460"/>
      <c r="S726" s="505">
        <v>359285</v>
      </c>
      <c r="T726" s="505">
        <v>-30687</v>
      </c>
      <c r="U726" s="505">
        <v>328598</v>
      </c>
      <c r="W726" s="454">
        <v>2128195</v>
      </c>
      <c r="X726" s="454">
        <v>438242</v>
      </c>
    </row>
    <row r="727" spans="1:24">
      <c r="A727" s="458">
        <v>97947</v>
      </c>
      <c r="B727" s="518" t="s">
        <v>1434</v>
      </c>
      <c r="C727" s="460">
        <f t="shared" si="12"/>
        <v>1.0609998929831485E-5</v>
      </c>
      <c r="D727" s="460">
        <f>VLOOKUP(A727,'2024 summary '!A727:C1633,3,FALSE)</f>
        <v>1.643E-5</v>
      </c>
      <c r="E727" s="505">
        <v>71527</v>
      </c>
      <c r="F727" s="460"/>
      <c r="G727" s="505">
        <v>12534</v>
      </c>
      <c r="H727" s="505">
        <v>9724</v>
      </c>
      <c r="I727" s="505">
        <v>0</v>
      </c>
      <c r="J727" s="505">
        <v>4898</v>
      </c>
      <c r="K727" s="505">
        <v>27156</v>
      </c>
      <c r="L727" s="460"/>
      <c r="M727" s="505">
        <v>84</v>
      </c>
      <c r="N727" s="505">
        <v>0</v>
      </c>
      <c r="O727" s="505">
        <v>0</v>
      </c>
      <c r="P727" s="505">
        <v>13576</v>
      </c>
      <c r="Q727" s="505">
        <v>13660</v>
      </c>
      <c r="R727" s="460"/>
      <c r="S727" s="505">
        <v>21398</v>
      </c>
      <c r="T727" s="505">
        <v>1886</v>
      </c>
      <c r="U727" s="505">
        <v>23284</v>
      </c>
      <c r="W727" s="454">
        <v>126748</v>
      </c>
      <c r="X727" s="454">
        <v>26100</v>
      </c>
    </row>
    <row r="728" spans="1:24">
      <c r="A728" s="458">
        <v>97948</v>
      </c>
      <c r="B728" s="518" t="s">
        <v>1435</v>
      </c>
      <c r="C728" s="460">
        <f t="shared" si="12"/>
        <v>2.4040005544243985E-5</v>
      </c>
      <c r="D728" s="460">
        <f>VLOOKUP(A728,'2024 summary '!A728:C1634,3,FALSE)</f>
        <v>2.429E-5</v>
      </c>
      <c r="E728" s="505">
        <v>162065</v>
      </c>
      <c r="F728" s="460"/>
      <c r="G728" s="505">
        <v>28400</v>
      </c>
      <c r="H728" s="505">
        <v>22033</v>
      </c>
      <c r="I728" s="505">
        <v>0</v>
      </c>
      <c r="J728" s="505">
        <v>6764</v>
      </c>
      <c r="K728" s="505">
        <v>57197</v>
      </c>
      <c r="L728" s="460"/>
      <c r="M728" s="505">
        <v>191</v>
      </c>
      <c r="N728" s="505">
        <v>0</v>
      </c>
      <c r="O728" s="505">
        <v>0</v>
      </c>
      <c r="P728" s="505">
        <v>12194</v>
      </c>
      <c r="Q728" s="505">
        <v>12385</v>
      </c>
      <c r="R728" s="460"/>
      <c r="S728" s="505">
        <v>48483</v>
      </c>
      <c r="T728" s="505">
        <v>-3967</v>
      </c>
      <c r="U728" s="505">
        <v>44516</v>
      </c>
      <c r="W728" s="454">
        <v>287184</v>
      </c>
      <c r="X728" s="454">
        <v>59137</v>
      </c>
    </row>
    <row r="729" spans="1:24">
      <c r="A729" s="458">
        <v>97951</v>
      </c>
      <c r="B729" s="518" t="s">
        <v>1436</v>
      </c>
      <c r="C729" s="460">
        <f t="shared" si="12"/>
        <v>1.026730072597E-3</v>
      </c>
      <c r="D729" s="460">
        <f>VLOOKUP(A729,'2024 summary '!A729:C1635,3,FALSE)</f>
        <v>1.0362800000000001E-3</v>
      </c>
      <c r="E729" s="505">
        <v>6921671</v>
      </c>
      <c r="F729" s="460"/>
      <c r="G729" s="505">
        <v>1212939</v>
      </c>
      <c r="H729" s="505">
        <v>940997</v>
      </c>
      <c r="I729" s="505">
        <v>0</v>
      </c>
      <c r="J729" s="505">
        <v>38675</v>
      </c>
      <c r="K729" s="505">
        <v>2192611</v>
      </c>
      <c r="L729" s="460"/>
      <c r="M729" s="505">
        <v>8155</v>
      </c>
      <c r="N729" s="505">
        <v>0</v>
      </c>
      <c r="O729" s="505">
        <v>0</v>
      </c>
      <c r="P729" s="505">
        <v>165403</v>
      </c>
      <c r="Q729" s="505">
        <v>173558</v>
      </c>
      <c r="R729" s="460"/>
      <c r="S729" s="505">
        <v>2070664</v>
      </c>
      <c r="T729" s="505">
        <v>-42675</v>
      </c>
      <c r="U729" s="505">
        <v>2027989</v>
      </c>
      <c r="W729" s="454">
        <v>12265403</v>
      </c>
      <c r="X729" s="454">
        <v>2525716</v>
      </c>
    </row>
    <row r="730" spans="1:24">
      <c r="A730" s="458">
        <v>97957</v>
      </c>
      <c r="B730" s="518" t="s">
        <v>1437</v>
      </c>
      <c r="C730" s="460">
        <f t="shared" si="12"/>
        <v>1.1599990581343437E-5</v>
      </c>
      <c r="D730" s="460">
        <f>VLOOKUP(A730,'2024 summary '!A730:C1636,3,FALSE)</f>
        <v>1.224E-5</v>
      </c>
      <c r="E730" s="505">
        <v>78201</v>
      </c>
      <c r="F730" s="460"/>
      <c r="G730" s="505">
        <v>13704</v>
      </c>
      <c r="H730" s="505">
        <v>10631</v>
      </c>
      <c r="I730" s="505">
        <v>0</v>
      </c>
      <c r="J730" s="505">
        <v>21006</v>
      </c>
      <c r="K730" s="505">
        <v>45341</v>
      </c>
      <c r="L730" s="460"/>
      <c r="M730" s="505">
        <v>92</v>
      </c>
      <c r="N730" s="505">
        <v>0</v>
      </c>
      <c r="O730" s="505">
        <v>0</v>
      </c>
      <c r="P730" s="505">
        <v>1138</v>
      </c>
      <c r="Q730" s="505">
        <v>1230</v>
      </c>
      <c r="R730" s="460"/>
      <c r="S730" s="505">
        <v>23394</v>
      </c>
      <c r="T730" s="505">
        <v>11492</v>
      </c>
      <c r="U730" s="505">
        <v>34886</v>
      </c>
      <c r="W730" s="454">
        <v>138575</v>
      </c>
      <c r="X730" s="454">
        <v>28536</v>
      </c>
    </row>
    <row r="731" spans="1:24">
      <c r="A731" s="458">
        <v>98001</v>
      </c>
      <c r="B731" s="518" t="s">
        <v>1438</v>
      </c>
      <c r="C731" s="460">
        <f t="shared" si="12"/>
        <v>5.4104700663540981E-3</v>
      </c>
      <c r="D731" s="460">
        <f>VLOOKUP(A731,'2024 summary '!A731:C1637,3,FALSE)</f>
        <v>5.4223600000000002E-3</v>
      </c>
      <c r="E731" s="505">
        <v>36474527</v>
      </c>
      <c r="F731" s="460"/>
      <c r="G731" s="505">
        <v>6391718</v>
      </c>
      <c r="H731" s="505">
        <v>4958690</v>
      </c>
      <c r="I731" s="505">
        <v>0</v>
      </c>
      <c r="J731" s="505">
        <v>176470</v>
      </c>
      <c r="K731" s="505">
        <v>11526878</v>
      </c>
      <c r="L731" s="460"/>
      <c r="M731" s="505">
        <v>42975</v>
      </c>
      <c r="N731" s="505">
        <v>0</v>
      </c>
      <c r="O731" s="505">
        <v>0</v>
      </c>
      <c r="P731" s="505">
        <v>272089</v>
      </c>
      <c r="Q731" s="505">
        <v>315064</v>
      </c>
      <c r="R731" s="460"/>
      <c r="S731" s="505">
        <v>10911598</v>
      </c>
      <c r="T731" s="505">
        <v>50776</v>
      </c>
      <c r="U731" s="505">
        <v>10962374</v>
      </c>
      <c r="W731" s="454">
        <v>64633929</v>
      </c>
      <c r="X731" s="454">
        <v>13309545</v>
      </c>
    </row>
    <row r="732" spans="1:24">
      <c r="A732" s="458">
        <v>98002</v>
      </c>
      <c r="B732" s="518" t="s">
        <v>1439</v>
      </c>
      <c r="C732" s="460">
        <f t="shared" si="12"/>
        <v>1.2419989659790854E-5</v>
      </c>
      <c r="D732" s="460">
        <f>VLOOKUP(A732,'2024 summary '!A732:C1638,3,FALSE)</f>
        <v>1.131E-5</v>
      </c>
      <c r="E732" s="505">
        <v>83729</v>
      </c>
      <c r="F732" s="460"/>
      <c r="G732" s="505">
        <v>14673</v>
      </c>
      <c r="H732" s="505">
        <v>11383</v>
      </c>
      <c r="I732" s="505">
        <v>0</v>
      </c>
      <c r="J732" s="505">
        <v>5080</v>
      </c>
      <c r="K732" s="505">
        <v>31136</v>
      </c>
      <c r="L732" s="460"/>
      <c r="M732" s="505">
        <v>99</v>
      </c>
      <c r="N732" s="505">
        <v>0</v>
      </c>
      <c r="O732" s="505">
        <v>0</v>
      </c>
      <c r="P732" s="505">
        <v>1257</v>
      </c>
      <c r="Q732" s="505">
        <v>1356</v>
      </c>
      <c r="R732" s="460"/>
      <c r="S732" s="505">
        <v>25048</v>
      </c>
      <c r="T732" s="505">
        <v>2438</v>
      </c>
      <c r="U732" s="505">
        <v>27486</v>
      </c>
      <c r="W732" s="454">
        <v>148370</v>
      </c>
      <c r="X732" s="454">
        <v>30553</v>
      </c>
    </row>
    <row r="733" spans="1:24">
      <c r="A733" s="458">
        <v>98003</v>
      </c>
      <c r="B733" s="518" t="s">
        <v>1440</v>
      </c>
      <c r="C733" s="460">
        <f t="shared" si="12"/>
        <v>1.0240999344530147E-4</v>
      </c>
      <c r="D733" s="460">
        <f>VLOOKUP(A733,'2024 summary '!A733:C1639,3,FALSE)</f>
        <v>8.5959999999999997E-5</v>
      </c>
      <c r="E733" s="505">
        <v>690394</v>
      </c>
      <c r="F733" s="460"/>
      <c r="G733" s="505">
        <v>120983</v>
      </c>
      <c r="H733" s="505">
        <v>93859</v>
      </c>
      <c r="I733" s="505">
        <v>0</v>
      </c>
      <c r="J733" s="505">
        <v>55250</v>
      </c>
      <c r="K733" s="505">
        <v>270092</v>
      </c>
      <c r="L733" s="460"/>
      <c r="M733" s="505">
        <v>813</v>
      </c>
      <c r="N733" s="505">
        <v>0</v>
      </c>
      <c r="O733" s="505">
        <v>0</v>
      </c>
      <c r="P733" s="505">
        <v>4253</v>
      </c>
      <c r="Q733" s="505">
        <v>5066</v>
      </c>
      <c r="R733" s="460"/>
      <c r="S733" s="505">
        <v>206536</v>
      </c>
      <c r="T733" s="505">
        <v>34980</v>
      </c>
      <c r="U733" s="505">
        <v>241516</v>
      </c>
      <c r="W733" s="454">
        <v>1223398</v>
      </c>
      <c r="X733" s="454">
        <v>251925</v>
      </c>
    </row>
    <row r="734" spans="1:24">
      <c r="A734" s="458">
        <v>98004</v>
      </c>
      <c r="B734" s="518" t="s">
        <v>1441</v>
      </c>
      <c r="C734" s="460">
        <f t="shared" si="12"/>
        <v>2.0949003591136273E-4</v>
      </c>
      <c r="D734" s="460">
        <f>VLOOKUP(A734,'2024 summary '!A734:C1640,3,FALSE)</f>
        <v>2.0824E-4</v>
      </c>
      <c r="E734" s="505">
        <v>1412271</v>
      </c>
      <c r="F734" s="460"/>
      <c r="G734" s="505">
        <v>247483</v>
      </c>
      <c r="H734" s="505">
        <v>191997</v>
      </c>
      <c r="I734" s="505">
        <v>0</v>
      </c>
      <c r="J734" s="505">
        <v>81764</v>
      </c>
      <c r="K734" s="505">
        <v>521244</v>
      </c>
      <c r="L734" s="460"/>
      <c r="M734" s="505">
        <v>1664</v>
      </c>
      <c r="N734" s="505">
        <v>0</v>
      </c>
      <c r="O734" s="505">
        <v>0</v>
      </c>
      <c r="P734" s="505">
        <v>0</v>
      </c>
      <c r="Q734" s="505">
        <v>1664</v>
      </c>
      <c r="R734" s="460"/>
      <c r="S734" s="505">
        <v>422490</v>
      </c>
      <c r="T734" s="505">
        <v>81975</v>
      </c>
      <c r="U734" s="505">
        <v>504465</v>
      </c>
      <c r="W734" s="454">
        <v>2502585</v>
      </c>
      <c r="X734" s="454">
        <v>515337</v>
      </c>
    </row>
    <row r="735" spans="1:24">
      <c r="A735" s="458">
        <v>98008</v>
      </c>
      <c r="B735" s="518" t="s">
        <v>1442</v>
      </c>
      <c r="C735" s="460">
        <f t="shared" si="12"/>
        <v>5.6499538529275858E-6</v>
      </c>
      <c r="D735" s="460">
        <f>VLOOKUP(A735,'2024 summary '!A735:C1641,3,FALSE)</f>
        <v>6.3099999999999997E-6</v>
      </c>
      <c r="E735" s="505">
        <v>38089</v>
      </c>
      <c r="F735" s="460"/>
      <c r="G735" s="505">
        <v>6675</v>
      </c>
      <c r="H735" s="505">
        <v>5178</v>
      </c>
      <c r="I735" s="505">
        <v>0</v>
      </c>
      <c r="J735" s="505">
        <v>968</v>
      </c>
      <c r="K735" s="505">
        <v>12821</v>
      </c>
      <c r="L735" s="460"/>
      <c r="M735" s="505">
        <v>45</v>
      </c>
      <c r="N735" s="505">
        <v>0</v>
      </c>
      <c r="O735" s="505">
        <v>0</v>
      </c>
      <c r="P735" s="505">
        <v>1819</v>
      </c>
      <c r="Q735" s="505">
        <v>1864</v>
      </c>
      <c r="R735" s="460"/>
      <c r="S735" s="505">
        <v>11395</v>
      </c>
      <c r="T735" s="505">
        <v>-66</v>
      </c>
      <c r="U735" s="505">
        <v>11329</v>
      </c>
      <c r="W735" s="454">
        <v>67495</v>
      </c>
      <c r="X735" s="454">
        <v>13899</v>
      </c>
    </row>
    <row r="736" spans="1:24">
      <c r="A736" s="458">
        <v>98011</v>
      </c>
      <c r="B736" s="518" t="s">
        <v>1443</v>
      </c>
      <c r="C736" s="460">
        <f t="shared" si="12"/>
        <v>2.8679399534332285E-3</v>
      </c>
      <c r="D736" s="460">
        <f>VLOOKUP(A736,'2024 summary '!A736:C1642,3,FALSE)</f>
        <v>2.87397E-3</v>
      </c>
      <c r="E736" s="505">
        <v>19334134</v>
      </c>
      <c r="F736" s="460"/>
      <c r="G736" s="505">
        <v>3388072</v>
      </c>
      <c r="H736" s="505">
        <v>2628464</v>
      </c>
      <c r="I736" s="505">
        <v>0</v>
      </c>
      <c r="J736" s="505">
        <v>0</v>
      </c>
      <c r="K736" s="505">
        <v>6016536</v>
      </c>
      <c r="L736" s="460"/>
      <c r="M736" s="505">
        <v>22780</v>
      </c>
      <c r="N736" s="505">
        <v>0</v>
      </c>
      <c r="O736" s="505">
        <v>0</v>
      </c>
      <c r="P736" s="505">
        <v>723661</v>
      </c>
      <c r="Q736" s="505">
        <v>746441</v>
      </c>
      <c r="R736" s="460"/>
      <c r="S736" s="505">
        <v>5783935</v>
      </c>
      <c r="T736" s="505">
        <v>-506436</v>
      </c>
      <c r="U736" s="505">
        <v>5277499</v>
      </c>
      <c r="W736" s="454">
        <v>34260652</v>
      </c>
      <c r="X736" s="454">
        <v>7055021</v>
      </c>
    </row>
    <row r="737" spans="1:24">
      <c r="A737" s="458">
        <v>98013</v>
      </c>
      <c r="B737" s="518" t="s">
        <v>1444</v>
      </c>
      <c r="C737" s="460">
        <f t="shared" si="12"/>
        <v>1.0756999488214514E-4</v>
      </c>
      <c r="D737" s="460">
        <f>VLOOKUP(A737,'2024 summary '!A737:C1643,3,FALSE)</f>
        <v>1.2269000000000001E-4</v>
      </c>
      <c r="E737" s="505">
        <v>725180</v>
      </c>
      <c r="F737" s="460"/>
      <c r="G737" s="505">
        <v>127079</v>
      </c>
      <c r="H737" s="505">
        <v>98588</v>
      </c>
      <c r="I737" s="505">
        <v>0</v>
      </c>
      <c r="J737" s="505">
        <v>4917</v>
      </c>
      <c r="K737" s="505">
        <v>230584</v>
      </c>
      <c r="L737" s="460"/>
      <c r="M737" s="505">
        <v>854</v>
      </c>
      <c r="N737" s="505">
        <v>0</v>
      </c>
      <c r="O737" s="505">
        <v>0</v>
      </c>
      <c r="P737" s="505">
        <v>36554</v>
      </c>
      <c r="Q737" s="505">
        <v>37408</v>
      </c>
      <c r="R737" s="460"/>
      <c r="S737" s="505">
        <v>216942</v>
      </c>
      <c r="T737" s="505">
        <v>-18471</v>
      </c>
      <c r="U737" s="505">
        <v>198471</v>
      </c>
      <c r="W737" s="454">
        <v>1285040</v>
      </c>
      <c r="X737" s="454">
        <v>264618</v>
      </c>
    </row>
    <row r="738" spans="1:24">
      <c r="A738" s="458">
        <v>98021</v>
      </c>
      <c r="B738" s="518" t="s">
        <v>1445</v>
      </c>
      <c r="C738" s="460">
        <f t="shared" si="12"/>
        <v>4.4050030089345525E-5</v>
      </c>
      <c r="D738" s="460">
        <f>VLOOKUP(A738,'2024 summary '!A738:C1644,3,FALSE)</f>
        <v>4.5909999999999999E-5</v>
      </c>
      <c r="E738" s="505">
        <v>296962</v>
      </c>
      <c r="F738" s="460"/>
      <c r="G738" s="505">
        <v>52039</v>
      </c>
      <c r="H738" s="505">
        <v>40372</v>
      </c>
      <c r="I738" s="505">
        <v>0</v>
      </c>
      <c r="J738" s="505">
        <v>13589</v>
      </c>
      <c r="K738" s="505">
        <v>106000</v>
      </c>
      <c r="L738" s="460"/>
      <c r="M738" s="505">
        <v>350</v>
      </c>
      <c r="N738" s="505">
        <v>0</v>
      </c>
      <c r="O738" s="505">
        <v>0</v>
      </c>
      <c r="P738" s="505">
        <v>16273</v>
      </c>
      <c r="Q738" s="505">
        <v>16623</v>
      </c>
      <c r="R738" s="460"/>
      <c r="S738" s="505">
        <v>88838</v>
      </c>
      <c r="T738" s="505">
        <v>5807</v>
      </c>
      <c r="U738" s="505">
        <v>94645</v>
      </c>
      <c r="W738" s="454">
        <v>526225</v>
      </c>
      <c r="X738" s="454">
        <v>108361</v>
      </c>
    </row>
    <row r="739" spans="1:24">
      <c r="A739" s="458">
        <v>98023</v>
      </c>
      <c r="B739" s="518" t="s">
        <v>1446</v>
      </c>
      <c r="C739" s="460">
        <f t="shared" si="12"/>
        <v>5.8100079422265666E-6</v>
      </c>
      <c r="D739" s="460">
        <f>VLOOKUP(A739,'2024 summary '!A739:C1645,3,FALSE)</f>
        <v>6.2099999999999998E-6</v>
      </c>
      <c r="E739" s="505">
        <v>39168</v>
      </c>
      <c r="F739" s="460"/>
      <c r="G739" s="505">
        <v>6864</v>
      </c>
      <c r="H739" s="505">
        <v>5325</v>
      </c>
      <c r="I739" s="505">
        <v>0</v>
      </c>
      <c r="J739" s="505">
        <v>114</v>
      </c>
      <c r="K739" s="505">
        <v>12303</v>
      </c>
      <c r="L739" s="460"/>
      <c r="M739" s="505">
        <v>46</v>
      </c>
      <c r="N739" s="505">
        <v>0</v>
      </c>
      <c r="O739" s="505">
        <v>0</v>
      </c>
      <c r="P739" s="505">
        <v>4016</v>
      </c>
      <c r="Q739" s="505">
        <v>4062</v>
      </c>
      <c r="R739" s="460"/>
      <c r="S739" s="505">
        <v>11717</v>
      </c>
      <c r="T739" s="505">
        <v>-5035</v>
      </c>
      <c r="U739" s="505">
        <v>6682</v>
      </c>
      <c r="W739" s="454">
        <v>69407</v>
      </c>
      <c r="X739" s="454">
        <v>14292</v>
      </c>
    </row>
    <row r="740" spans="1:24">
      <c r="A740" s="458">
        <v>98031</v>
      </c>
      <c r="B740" s="518" t="s">
        <v>1447</v>
      </c>
      <c r="C740" s="460">
        <f t="shared" si="12"/>
        <v>2.2044001998732326E-4</v>
      </c>
      <c r="D740" s="460">
        <f>VLOOKUP(A740,'2024 summary '!A740:C1646,3,FALSE)</f>
        <v>1.9494E-4</v>
      </c>
      <c r="E740" s="505">
        <v>1486090</v>
      </c>
      <c r="F740" s="460"/>
      <c r="G740" s="505">
        <v>260419</v>
      </c>
      <c r="H740" s="505">
        <v>202033</v>
      </c>
      <c r="I740" s="505">
        <v>0</v>
      </c>
      <c r="J740" s="505">
        <v>111555</v>
      </c>
      <c r="K740" s="505">
        <v>574007</v>
      </c>
      <c r="L740" s="460"/>
      <c r="M740" s="505">
        <v>1751</v>
      </c>
      <c r="N740" s="505">
        <v>0</v>
      </c>
      <c r="O740" s="505">
        <v>0</v>
      </c>
      <c r="P740" s="505">
        <v>14143</v>
      </c>
      <c r="Q740" s="505">
        <v>15894</v>
      </c>
      <c r="R740" s="460"/>
      <c r="S740" s="505">
        <v>444574</v>
      </c>
      <c r="T740" s="505">
        <v>53352</v>
      </c>
      <c r="U740" s="505">
        <v>497926</v>
      </c>
      <c r="W740" s="454">
        <v>2633395</v>
      </c>
      <c r="X740" s="454">
        <v>542274</v>
      </c>
    </row>
    <row r="741" spans="1:24">
      <c r="A741" s="458">
        <v>98041</v>
      </c>
      <c r="B741" s="518" t="s">
        <v>1448</v>
      </c>
      <c r="C741" s="460">
        <f t="shared" si="12"/>
        <v>2.3669997277008233E-4</v>
      </c>
      <c r="D741" s="460">
        <f>VLOOKUP(A741,'2024 summary '!A741:C1647,3,FALSE)</f>
        <v>2.1232E-4</v>
      </c>
      <c r="E741" s="505">
        <v>1595706</v>
      </c>
      <c r="F741" s="460"/>
      <c r="G741" s="505">
        <v>279628</v>
      </c>
      <c r="H741" s="505">
        <v>216935</v>
      </c>
      <c r="I741" s="505">
        <v>0</v>
      </c>
      <c r="J741" s="505">
        <v>61107</v>
      </c>
      <c r="K741" s="505">
        <v>557670</v>
      </c>
      <c r="L741" s="460"/>
      <c r="M741" s="505">
        <v>1880</v>
      </c>
      <c r="N741" s="505">
        <v>0</v>
      </c>
      <c r="O741" s="505">
        <v>0</v>
      </c>
      <c r="P741" s="505">
        <v>33442</v>
      </c>
      <c r="Q741" s="505">
        <v>35322</v>
      </c>
      <c r="R741" s="460"/>
      <c r="S741" s="505">
        <v>477366</v>
      </c>
      <c r="T741" s="505">
        <v>6313</v>
      </c>
      <c r="U741" s="505">
        <v>483679</v>
      </c>
      <c r="W741" s="454">
        <v>2827638</v>
      </c>
      <c r="X741" s="454">
        <v>582273</v>
      </c>
    </row>
    <row r="742" spans="1:24">
      <c r="A742" s="458">
        <v>98051</v>
      </c>
      <c r="B742" s="518" t="s">
        <v>1449</v>
      </c>
      <c r="C742" s="460">
        <f t="shared" si="12"/>
        <v>3.7358003963262919E-4</v>
      </c>
      <c r="D742" s="460">
        <f>VLOOKUP(A742,'2024 summary '!A742:C1648,3,FALSE)</f>
        <v>3.2361E-4</v>
      </c>
      <c r="E742" s="505">
        <v>2518479</v>
      </c>
      <c r="F742" s="460"/>
      <c r="G742" s="505">
        <v>441333</v>
      </c>
      <c r="H742" s="505">
        <v>342386</v>
      </c>
      <c r="I742" s="505">
        <v>0</v>
      </c>
      <c r="J742" s="505">
        <v>134869</v>
      </c>
      <c r="K742" s="505">
        <v>918588</v>
      </c>
      <c r="L742" s="460"/>
      <c r="M742" s="505">
        <v>2967</v>
      </c>
      <c r="N742" s="505">
        <v>0</v>
      </c>
      <c r="O742" s="505">
        <v>0</v>
      </c>
      <c r="P742" s="505">
        <v>41336</v>
      </c>
      <c r="Q742" s="505">
        <v>44303</v>
      </c>
      <c r="R742" s="460"/>
      <c r="S742" s="505">
        <v>753420</v>
      </c>
      <c r="T742" s="505">
        <v>62712</v>
      </c>
      <c r="U742" s="505">
        <v>816132</v>
      </c>
      <c r="W742" s="454">
        <v>4462818</v>
      </c>
      <c r="X742" s="454">
        <v>918992</v>
      </c>
    </row>
    <row r="743" spans="1:24">
      <c r="A743" s="458">
        <v>98061</v>
      </c>
      <c r="B743" s="518" t="s">
        <v>1450</v>
      </c>
      <c r="C743" s="460">
        <f t="shared" si="12"/>
        <v>1.1919001076659828E-4</v>
      </c>
      <c r="D743" s="460">
        <f>VLOOKUP(A743,'2024 summary '!A743:C1649,3,FALSE)</f>
        <v>1.3184000000000001E-4</v>
      </c>
      <c r="E743" s="505">
        <v>803516</v>
      </c>
      <c r="F743" s="460"/>
      <c r="G743" s="505">
        <v>140806</v>
      </c>
      <c r="H743" s="505">
        <v>109238</v>
      </c>
      <c r="I743" s="505">
        <v>0</v>
      </c>
      <c r="J743" s="505">
        <v>4774</v>
      </c>
      <c r="K743" s="505">
        <v>254818</v>
      </c>
      <c r="L743" s="460"/>
      <c r="M743" s="505">
        <v>947</v>
      </c>
      <c r="N743" s="505">
        <v>0</v>
      </c>
      <c r="O743" s="505">
        <v>0</v>
      </c>
      <c r="P743" s="505">
        <v>36481</v>
      </c>
      <c r="Q743" s="505">
        <v>37428</v>
      </c>
      <c r="R743" s="460"/>
      <c r="S743" s="505">
        <v>240377</v>
      </c>
      <c r="T743" s="505">
        <v>-12551</v>
      </c>
      <c r="U743" s="505">
        <v>227826</v>
      </c>
      <c r="W743" s="454">
        <v>1423854</v>
      </c>
      <c r="X743" s="454">
        <v>293203</v>
      </c>
    </row>
    <row r="744" spans="1:24">
      <c r="A744" s="458">
        <v>98071</v>
      </c>
      <c r="B744" s="518" t="s">
        <v>1451</v>
      </c>
      <c r="C744" s="460">
        <f t="shared" si="12"/>
        <v>9.5089929313025212E-5</v>
      </c>
      <c r="D744" s="460">
        <f>VLOOKUP(A744,'2024 summary '!A744:C1650,3,FALSE)</f>
        <v>7.0549999999999994E-5</v>
      </c>
      <c r="E744" s="505">
        <v>641046</v>
      </c>
      <c r="F744" s="460"/>
      <c r="G744" s="505">
        <v>112336</v>
      </c>
      <c r="H744" s="505">
        <v>87150</v>
      </c>
      <c r="I744" s="505">
        <v>0</v>
      </c>
      <c r="J744" s="505">
        <v>63281</v>
      </c>
      <c r="K744" s="505">
        <v>262767</v>
      </c>
      <c r="L744" s="460"/>
      <c r="M744" s="505">
        <v>755</v>
      </c>
      <c r="N744" s="505">
        <v>0</v>
      </c>
      <c r="O744" s="505">
        <v>0</v>
      </c>
      <c r="P744" s="505">
        <v>455</v>
      </c>
      <c r="Q744" s="505">
        <v>1210</v>
      </c>
      <c r="R744" s="460"/>
      <c r="S744" s="505">
        <v>191773</v>
      </c>
      <c r="T744" s="505">
        <v>31417</v>
      </c>
      <c r="U744" s="505">
        <v>223190</v>
      </c>
      <c r="W744" s="454">
        <v>1135953</v>
      </c>
      <c r="X744" s="454">
        <v>233918</v>
      </c>
    </row>
    <row r="745" spans="1:24">
      <c r="A745" s="458">
        <v>98081</v>
      </c>
      <c r="B745" s="518" t="s">
        <v>1452</v>
      </c>
      <c r="C745" s="460">
        <f t="shared" si="12"/>
        <v>8.569939717478493E-6</v>
      </c>
      <c r="D745" s="460">
        <f>VLOOKUP(A745,'2024 summary '!A745:C1651,3,FALSE)</f>
        <v>6.0299999999999999E-6</v>
      </c>
      <c r="E745" s="505">
        <v>57774</v>
      </c>
      <c r="F745" s="460"/>
      <c r="G745" s="505">
        <v>10124</v>
      </c>
      <c r="H745" s="505">
        <v>7854</v>
      </c>
      <c r="I745" s="505">
        <v>0</v>
      </c>
      <c r="J745" s="505">
        <v>13363</v>
      </c>
      <c r="K745" s="505">
        <v>31341</v>
      </c>
      <c r="L745" s="460"/>
      <c r="M745" s="505">
        <v>68</v>
      </c>
      <c r="N745" s="505">
        <v>0</v>
      </c>
      <c r="O745" s="505">
        <v>0</v>
      </c>
      <c r="P745" s="505">
        <v>11397</v>
      </c>
      <c r="Q745" s="505">
        <v>11465</v>
      </c>
      <c r="R745" s="460"/>
      <c r="S745" s="505">
        <v>17284</v>
      </c>
      <c r="T745" s="505">
        <v>-911</v>
      </c>
      <c r="U745" s="505">
        <v>16373</v>
      </c>
      <c r="W745" s="454">
        <v>102378</v>
      </c>
      <c r="X745" s="454">
        <v>21082</v>
      </c>
    </row>
    <row r="746" spans="1:24">
      <c r="A746" s="458">
        <v>98091</v>
      </c>
      <c r="B746" s="518" t="s">
        <v>1453</v>
      </c>
      <c r="C746" s="460">
        <f t="shared" si="12"/>
        <v>6.7250011252032395E-5</v>
      </c>
      <c r="D746" s="460">
        <f>VLOOKUP(A746,'2024 summary '!A746:C1652,3,FALSE)</f>
        <v>6.7819999999999998E-5</v>
      </c>
      <c r="E746" s="505">
        <v>453364</v>
      </c>
      <c r="F746" s="460"/>
      <c r="G746" s="505">
        <v>79447</v>
      </c>
      <c r="H746" s="505">
        <v>61635</v>
      </c>
      <c r="I746" s="505">
        <v>0</v>
      </c>
      <c r="J746" s="505">
        <v>25219</v>
      </c>
      <c r="K746" s="505">
        <v>166301</v>
      </c>
      <c r="L746" s="460"/>
      <c r="M746" s="505">
        <v>534</v>
      </c>
      <c r="N746" s="505">
        <v>0</v>
      </c>
      <c r="O746" s="505">
        <v>0</v>
      </c>
      <c r="P746" s="505">
        <v>10108</v>
      </c>
      <c r="Q746" s="505">
        <v>10642</v>
      </c>
      <c r="R746" s="460"/>
      <c r="S746" s="505">
        <v>135627</v>
      </c>
      <c r="T746" s="505">
        <v>13257</v>
      </c>
      <c r="U746" s="505">
        <v>148884</v>
      </c>
      <c r="W746" s="454">
        <v>803374</v>
      </c>
      <c r="X746" s="454">
        <v>165432</v>
      </c>
    </row>
    <row r="747" spans="1:24">
      <c r="A747" s="458">
        <v>98101</v>
      </c>
      <c r="B747" s="518" t="s">
        <v>1454</v>
      </c>
      <c r="C747" s="460">
        <f t="shared" si="12"/>
        <v>2.5533599451781725E-3</v>
      </c>
      <c r="D747" s="460">
        <f>VLOOKUP(A747,'2024 summary '!A747:C1653,3,FALSE)</f>
        <v>2.6692700000000001E-3</v>
      </c>
      <c r="E747" s="505">
        <v>17213402</v>
      </c>
      <c r="F747" s="460"/>
      <c r="G747" s="505">
        <v>3016440</v>
      </c>
      <c r="H747" s="505">
        <v>2340152</v>
      </c>
      <c r="I747" s="505">
        <v>0</v>
      </c>
      <c r="J747" s="505">
        <v>0</v>
      </c>
      <c r="K747" s="505">
        <v>5356592</v>
      </c>
      <c r="L747" s="460"/>
      <c r="M747" s="505">
        <v>20281</v>
      </c>
      <c r="N747" s="505">
        <v>0</v>
      </c>
      <c r="O747" s="505">
        <v>0</v>
      </c>
      <c r="P747" s="505">
        <v>498934</v>
      </c>
      <c r="Q747" s="505">
        <v>519215</v>
      </c>
      <c r="R747" s="460"/>
      <c r="S747" s="505">
        <v>5149504</v>
      </c>
      <c r="T747" s="505">
        <v>-254811</v>
      </c>
      <c r="U747" s="505">
        <v>4894693</v>
      </c>
      <c r="W747" s="454">
        <v>30502653</v>
      </c>
      <c r="X747" s="454">
        <v>6281166</v>
      </c>
    </row>
    <row r="748" spans="1:24">
      <c r="A748" s="458">
        <v>98102</v>
      </c>
      <c r="B748" s="518" t="s">
        <v>1455</v>
      </c>
      <c r="C748" s="460">
        <f t="shared" si="12"/>
        <v>1.9124001300623559E-4</v>
      </c>
      <c r="D748" s="460">
        <f>VLOOKUP(A748,'2024 summary '!A748:C1654,3,FALSE)</f>
        <v>1.7514000000000001E-4</v>
      </c>
      <c r="E748" s="505">
        <v>1289239</v>
      </c>
      <c r="F748" s="460"/>
      <c r="G748" s="505">
        <v>225923</v>
      </c>
      <c r="H748" s="505">
        <v>175271</v>
      </c>
      <c r="I748" s="505">
        <v>0</v>
      </c>
      <c r="J748" s="505">
        <v>61298</v>
      </c>
      <c r="K748" s="505">
        <v>462492</v>
      </c>
      <c r="L748" s="460"/>
      <c r="M748" s="505">
        <v>1519</v>
      </c>
      <c r="N748" s="505">
        <v>0</v>
      </c>
      <c r="O748" s="505">
        <v>0</v>
      </c>
      <c r="P748" s="505">
        <v>240</v>
      </c>
      <c r="Q748" s="505">
        <v>1759</v>
      </c>
      <c r="R748" s="460"/>
      <c r="S748" s="505">
        <v>385684</v>
      </c>
      <c r="T748" s="505">
        <v>31410</v>
      </c>
      <c r="U748" s="505">
        <v>417094</v>
      </c>
      <c r="W748" s="454">
        <v>2284569</v>
      </c>
      <c r="X748" s="454">
        <v>470443</v>
      </c>
    </row>
    <row r="749" spans="1:24">
      <c r="A749" s="458">
        <v>98103</v>
      </c>
      <c r="B749" s="518" t="s">
        <v>3725</v>
      </c>
      <c r="C749" s="460">
        <f t="shared" si="12"/>
        <v>4.3741996426844816E-4</v>
      </c>
      <c r="D749" s="460">
        <f>VLOOKUP(A749,'2024 summary '!A749:C1655,3,FALSE)</f>
        <v>4.7814999999999999E-4</v>
      </c>
      <c r="E749" s="505">
        <v>2948854</v>
      </c>
      <c r="F749" s="460"/>
      <c r="G749" s="505">
        <v>516751</v>
      </c>
      <c r="H749" s="505">
        <v>400895</v>
      </c>
      <c r="I749" s="505">
        <v>0</v>
      </c>
      <c r="J749" s="505">
        <v>0</v>
      </c>
      <c r="K749" s="505">
        <v>917646</v>
      </c>
      <c r="L749" s="460"/>
      <c r="M749" s="505">
        <v>3474</v>
      </c>
      <c r="N749" s="505">
        <v>0</v>
      </c>
      <c r="O749" s="505">
        <v>0</v>
      </c>
      <c r="P749" s="505">
        <v>185649</v>
      </c>
      <c r="Q749" s="505">
        <v>189123</v>
      </c>
      <c r="R749" s="460"/>
      <c r="S749" s="505">
        <v>882169</v>
      </c>
      <c r="T749" s="505">
        <v>-79003</v>
      </c>
      <c r="U749" s="505">
        <v>803166</v>
      </c>
      <c r="W749" s="454">
        <v>5225456</v>
      </c>
      <c r="X749" s="454">
        <v>1076036</v>
      </c>
    </row>
    <row r="750" spans="1:24">
      <c r="A750" s="458">
        <v>98107</v>
      </c>
      <c r="B750" s="518" t="s">
        <v>1457</v>
      </c>
      <c r="C750" s="460">
        <f t="shared" si="12"/>
        <v>2.3430049645080494E-5</v>
      </c>
      <c r="D750" s="460">
        <f>VLOOKUP(A750,'2024 summary '!A750:C1656,3,FALSE)</f>
        <v>1.9910000000000001E-5</v>
      </c>
      <c r="E750" s="505">
        <v>157953</v>
      </c>
      <c r="F750" s="460"/>
      <c r="G750" s="505">
        <v>27679</v>
      </c>
      <c r="H750" s="505">
        <v>21474</v>
      </c>
      <c r="I750" s="505">
        <v>0</v>
      </c>
      <c r="J750" s="505">
        <v>16067</v>
      </c>
      <c r="K750" s="505">
        <v>65220</v>
      </c>
      <c r="L750" s="460"/>
      <c r="M750" s="505">
        <v>186</v>
      </c>
      <c r="N750" s="505">
        <v>0</v>
      </c>
      <c r="O750" s="505">
        <v>0</v>
      </c>
      <c r="P750" s="505">
        <v>2898</v>
      </c>
      <c r="Q750" s="505">
        <v>3084</v>
      </c>
      <c r="R750" s="460"/>
      <c r="S750" s="505">
        <v>47253</v>
      </c>
      <c r="T750" s="505">
        <v>14727</v>
      </c>
      <c r="U750" s="505">
        <v>61980</v>
      </c>
      <c r="W750" s="454">
        <v>279897</v>
      </c>
      <c r="X750" s="454">
        <v>57637</v>
      </c>
    </row>
    <row r="751" spans="1:24">
      <c r="A751" s="458">
        <v>98109</v>
      </c>
      <c r="B751" s="518" t="s">
        <v>1458</v>
      </c>
      <c r="C751" s="460">
        <f t="shared" si="12"/>
        <v>1.4545994506379089E-4</v>
      </c>
      <c r="D751" s="460">
        <f>VLOOKUP(A751,'2024 summary '!A751:C1657,3,FALSE)</f>
        <v>1.4663E-4</v>
      </c>
      <c r="E751" s="505">
        <v>980614</v>
      </c>
      <c r="F751" s="460"/>
      <c r="G751" s="505">
        <v>171841</v>
      </c>
      <c r="H751" s="505">
        <v>133314</v>
      </c>
      <c r="I751" s="505">
        <v>0</v>
      </c>
      <c r="J751" s="505">
        <v>17874</v>
      </c>
      <c r="K751" s="505">
        <v>323029</v>
      </c>
      <c r="L751" s="460"/>
      <c r="M751" s="505">
        <v>1155</v>
      </c>
      <c r="N751" s="505">
        <v>0</v>
      </c>
      <c r="O751" s="505">
        <v>0</v>
      </c>
      <c r="P751" s="505">
        <v>23114</v>
      </c>
      <c r="Q751" s="505">
        <v>24269</v>
      </c>
      <c r="R751" s="460"/>
      <c r="S751" s="505">
        <v>293357</v>
      </c>
      <c r="T751" s="505">
        <v>8120</v>
      </c>
      <c r="U751" s="505">
        <v>301477</v>
      </c>
      <c r="W751" s="454">
        <v>1737677</v>
      </c>
      <c r="X751" s="454">
        <v>357826</v>
      </c>
    </row>
    <row r="752" spans="1:24">
      <c r="A752" s="458">
        <v>98111</v>
      </c>
      <c r="B752" s="518" t="s">
        <v>1459</v>
      </c>
      <c r="C752" s="460">
        <f t="shared" si="12"/>
        <v>9.5727000955955017E-4</v>
      </c>
      <c r="D752" s="460">
        <f>VLOOKUP(A752,'2024 summary '!A752:C1658,3,FALSE)</f>
        <v>9.6783000000000004E-4</v>
      </c>
      <c r="E752" s="505">
        <v>6453408</v>
      </c>
      <c r="F752" s="460"/>
      <c r="G752" s="505">
        <v>1130881</v>
      </c>
      <c r="H752" s="505">
        <v>877337</v>
      </c>
      <c r="I752" s="505">
        <v>0</v>
      </c>
      <c r="J752" s="505">
        <v>5683</v>
      </c>
      <c r="K752" s="505">
        <v>2013901</v>
      </c>
      <c r="L752" s="460"/>
      <c r="M752" s="505">
        <v>7604</v>
      </c>
      <c r="N752" s="505">
        <v>0</v>
      </c>
      <c r="O752" s="505">
        <v>0</v>
      </c>
      <c r="P752" s="505">
        <v>186797</v>
      </c>
      <c r="Q752" s="505">
        <v>194401</v>
      </c>
      <c r="R752" s="460"/>
      <c r="S752" s="505">
        <v>1930580</v>
      </c>
      <c r="T752" s="505">
        <v>-88991</v>
      </c>
      <c r="U752" s="505">
        <v>1841589</v>
      </c>
      <c r="W752" s="454">
        <v>11435628</v>
      </c>
      <c r="X752" s="454">
        <v>2354847</v>
      </c>
    </row>
    <row r="753" spans="1:24">
      <c r="A753" s="458">
        <v>98113</v>
      </c>
      <c r="B753" s="518" t="s">
        <v>1460</v>
      </c>
      <c r="C753" s="460">
        <f t="shared" si="12"/>
        <v>2.19199934550308E-5</v>
      </c>
      <c r="D753" s="460">
        <f>VLOOKUP(A753,'2024 summary '!A753:C1659,3,FALSE)</f>
        <v>2.3180000000000002E-5</v>
      </c>
      <c r="E753" s="505">
        <v>147773</v>
      </c>
      <c r="F753" s="460"/>
      <c r="G753" s="505">
        <v>25895</v>
      </c>
      <c r="H753" s="505">
        <v>20090</v>
      </c>
      <c r="I753" s="505">
        <v>0</v>
      </c>
      <c r="J753" s="505">
        <v>11481</v>
      </c>
      <c r="K753" s="505">
        <v>57466</v>
      </c>
      <c r="L753" s="460"/>
      <c r="M753" s="505">
        <v>174</v>
      </c>
      <c r="N753" s="505">
        <v>0</v>
      </c>
      <c r="O753" s="505">
        <v>0</v>
      </c>
      <c r="P753" s="505">
        <v>8443</v>
      </c>
      <c r="Q753" s="505">
        <v>8617</v>
      </c>
      <c r="R753" s="460"/>
      <c r="S753" s="505">
        <v>44207</v>
      </c>
      <c r="T753" s="505">
        <v>4419</v>
      </c>
      <c r="U753" s="505">
        <v>48626</v>
      </c>
      <c r="W753" s="454">
        <v>261858</v>
      </c>
      <c r="X753" s="454">
        <v>53922</v>
      </c>
    </row>
    <row r="754" spans="1:24">
      <c r="A754" s="458">
        <v>98121</v>
      </c>
      <c r="B754" s="518" t="s">
        <v>1461</v>
      </c>
      <c r="C754" s="460">
        <f t="shared" si="12"/>
        <v>2.1226005450595878E-4</v>
      </c>
      <c r="D754" s="460">
        <f>VLOOKUP(A754,'2024 summary '!A754:C1660,3,FALSE)</f>
        <v>1.7309000000000001E-4</v>
      </c>
      <c r="E754" s="505">
        <v>1430945</v>
      </c>
      <c r="F754" s="460"/>
      <c r="G754" s="505">
        <v>250756</v>
      </c>
      <c r="H754" s="505">
        <v>194536</v>
      </c>
      <c r="I754" s="505">
        <v>0</v>
      </c>
      <c r="J754" s="505">
        <v>163178</v>
      </c>
      <c r="K754" s="505">
        <v>608470</v>
      </c>
      <c r="L754" s="460"/>
      <c r="M754" s="505">
        <v>1686</v>
      </c>
      <c r="N754" s="505">
        <v>0</v>
      </c>
      <c r="O754" s="505">
        <v>0</v>
      </c>
      <c r="P754" s="505">
        <v>47431</v>
      </c>
      <c r="Q754" s="505">
        <v>49117</v>
      </c>
      <c r="R754" s="460"/>
      <c r="S754" s="505">
        <v>428077</v>
      </c>
      <c r="T754" s="505">
        <v>40820</v>
      </c>
      <c r="U754" s="505">
        <v>468897</v>
      </c>
      <c r="W754" s="454">
        <v>2535676</v>
      </c>
      <c r="X754" s="454">
        <v>522151</v>
      </c>
    </row>
    <row r="755" spans="1:24">
      <c r="A755" s="458">
        <v>98131</v>
      </c>
      <c r="B755" s="518" t="s">
        <v>1462</v>
      </c>
      <c r="C755" s="460">
        <f t="shared" si="12"/>
        <v>2.7819996592788127E-4</v>
      </c>
      <c r="D755" s="460">
        <f>VLOOKUP(A755,'2024 summary '!A755:C1661,3,FALSE)</f>
        <v>2.7352000000000002E-4</v>
      </c>
      <c r="E755" s="505">
        <v>1875477</v>
      </c>
      <c r="F755" s="460"/>
      <c r="G755" s="505">
        <v>328655</v>
      </c>
      <c r="H755" s="505">
        <v>254970</v>
      </c>
      <c r="I755" s="505">
        <v>0</v>
      </c>
      <c r="J755" s="505">
        <v>99013</v>
      </c>
      <c r="K755" s="505">
        <v>682638</v>
      </c>
      <c r="L755" s="460"/>
      <c r="M755" s="505">
        <v>2210</v>
      </c>
      <c r="N755" s="505">
        <v>0</v>
      </c>
      <c r="O755" s="505">
        <v>0</v>
      </c>
      <c r="P755" s="505">
        <v>40028</v>
      </c>
      <c r="Q755" s="505">
        <v>42238</v>
      </c>
      <c r="R755" s="460"/>
      <c r="S755" s="505">
        <v>561062</v>
      </c>
      <c r="T755" s="505">
        <v>30693</v>
      </c>
      <c r="U755" s="505">
        <v>591755</v>
      </c>
      <c r="W755" s="454">
        <v>3323401</v>
      </c>
      <c r="X755" s="454">
        <v>684361</v>
      </c>
    </row>
    <row r="756" spans="1:24">
      <c r="A756" s="458">
        <v>98141</v>
      </c>
      <c r="B756" s="518" t="s">
        <v>1463</v>
      </c>
      <c r="C756" s="460">
        <f t="shared" si="12"/>
        <v>3.0044006756151006E-4</v>
      </c>
      <c r="D756" s="460">
        <f>VLOOKUP(A756,'2024 summary '!A756:C1662,3,FALSE)</f>
        <v>2.8985000000000003E-4</v>
      </c>
      <c r="E756" s="505">
        <v>2025408</v>
      </c>
      <c r="F756" s="460"/>
      <c r="G756" s="505">
        <v>354928</v>
      </c>
      <c r="H756" s="505">
        <v>275353</v>
      </c>
      <c r="I756" s="505">
        <v>0</v>
      </c>
      <c r="J756" s="505">
        <v>7552</v>
      </c>
      <c r="K756" s="505">
        <v>637833</v>
      </c>
      <c r="L756" s="460"/>
      <c r="M756" s="505">
        <v>2386</v>
      </c>
      <c r="N756" s="505">
        <v>0</v>
      </c>
      <c r="O756" s="505">
        <v>0</v>
      </c>
      <c r="P756" s="505">
        <v>19330</v>
      </c>
      <c r="Q756" s="505">
        <v>21716</v>
      </c>
      <c r="R756" s="460"/>
      <c r="S756" s="505">
        <v>605914</v>
      </c>
      <c r="T756" s="505">
        <v>-15495</v>
      </c>
      <c r="U756" s="505">
        <v>590419</v>
      </c>
      <c r="W756" s="454">
        <v>3589081</v>
      </c>
      <c r="X756" s="454">
        <v>739071</v>
      </c>
    </row>
    <row r="757" spans="1:24">
      <c r="A757" s="458">
        <v>98147</v>
      </c>
      <c r="B757" s="518" t="s">
        <v>1464</v>
      </c>
      <c r="C757" s="460">
        <f t="shared" si="12"/>
        <v>9.2199462228613772E-6</v>
      </c>
      <c r="D757" s="460">
        <f>VLOOKUP(A757,'2024 summary '!A757:C1663,3,FALSE)</f>
        <v>1.0849999999999999E-5</v>
      </c>
      <c r="E757" s="505">
        <v>62156</v>
      </c>
      <c r="F757" s="460"/>
      <c r="G757" s="505">
        <v>10892</v>
      </c>
      <c r="H757" s="505">
        <v>8450</v>
      </c>
      <c r="I757" s="505">
        <v>0</v>
      </c>
      <c r="J757" s="505">
        <v>6649</v>
      </c>
      <c r="K757" s="505">
        <v>25991</v>
      </c>
      <c r="L757" s="460"/>
      <c r="M757" s="505">
        <v>73</v>
      </c>
      <c r="N757" s="505">
        <v>0</v>
      </c>
      <c r="O757" s="505">
        <v>0</v>
      </c>
      <c r="P757" s="505">
        <v>2381</v>
      </c>
      <c r="Q757" s="505">
        <v>2454</v>
      </c>
      <c r="R757" s="460"/>
      <c r="S757" s="505">
        <v>18594</v>
      </c>
      <c r="T757" s="505">
        <v>5800</v>
      </c>
      <c r="U757" s="505">
        <v>24394</v>
      </c>
      <c r="W757" s="454">
        <v>110143</v>
      </c>
      <c r="X757" s="454">
        <v>22681</v>
      </c>
    </row>
    <row r="758" spans="1:24">
      <c r="A758" s="458">
        <v>98161</v>
      </c>
      <c r="B758" s="518" t="s">
        <v>1465</v>
      </c>
      <c r="C758" s="460">
        <f t="shared" si="12"/>
        <v>6.4100253576245047E-6</v>
      </c>
      <c r="D758" s="460">
        <f>VLOOKUP(A758,'2024 summary '!A758:C1664,3,FALSE)</f>
        <v>7.4499999999999998E-6</v>
      </c>
      <c r="E758" s="505">
        <v>43213</v>
      </c>
      <c r="F758" s="460"/>
      <c r="G758" s="505">
        <v>7573</v>
      </c>
      <c r="H758" s="505">
        <v>5875</v>
      </c>
      <c r="I758" s="505">
        <v>0</v>
      </c>
      <c r="J758" s="505">
        <v>2596</v>
      </c>
      <c r="K758" s="505">
        <v>16044</v>
      </c>
      <c r="L758" s="460"/>
      <c r="M758" s="505">
        <v>51</v>
      </c>
      <c r="N758" s="505">
        <v>0</v>
      </c>
      <c r="O758" s="505">
        <v>0</v>
      </c>
      <c r="P758" s="505">
        <v>1034</v>
      </c>
      <c r="Q758" s="505">
        <v>1085</v>
      </c>
      <c r="R758" s="460"/>
      <c r="S758" s="505">
        <v>12927</v>
      </c>
      <c r="T758" s="505">
        <v>2422</v>
      </c>
      <c r="U758" s="505">
        <v>15349</v>
      </c>
      <c r="W758" s="454">
        <v>76574</v>
      </c>
      <c r="X758" s="454">
        <v>15768</v>
      </c>
    </row>
    <row r="759" spans="1:24">
      <c r="A759" s="458">
        <v>98201</v>
      </c>
      <c r="B759" s="518" t="s">
        <v>1466</v>
      </c>
      <c r="C759" s="460">
        <f t="shared" si="12"/>
        <v>2.958529974634137E-3</v>
      </c>
      <c r="D759" s="460">
        <f>VLOOKUP(A759,'2024 summary '!A759:C1665,3,FALSE)</f>
        <v>2.8777899999999999E-3</v>
      </c>
      <c r="E759" s="505">
        <v>19944844</v>
      </c>
      <c r="F759" s="460"/>
      <c r="G759" s="505">
        <v>3495092</v>
      </c>
      <c r="H759" s="505">
        <v>2711490</v>
      </c>
      <c r="I759" s="505">
        <v>0</v>
      </c>
      <c r="J759" s="505">
        <v>534806</v>
      </c>
      <c r="K759" s="505">
        <v>6741388</v>
      </c>
      <c r="L759" s="460"/>
      <c r="M759" s="505">
        <v>23500</v>
      </c>
      <c r="N759" s="505">
        <v>0</v>
      </c>
      <c r="O759" s="505">
        <v>0</v>
      </c>
      <c r="P759" s="505">
        <v>674315</v>
      </c>
      <c r="Q759" s="505">
        <v>697815</v>
      </c>
      <c r="R759" s="460"/>
      <c r="S759" s="505">
        <v>5966633</v>
      </c>
      <c r="T759" s="505">
        <v>-192728</v>
      </c>
      <c r="U759" s="505">
        <v>5773905</v>
      </c>
      <c r="W759" s="454">
        <v>35342848</v>
      </c>
      <c r="X759" s="454">
        <v>7277868</v>
      </c>
    </row>
    <row r="760" spans="1:24">
      <c r="A760" s="458">
        <v>98205</v>
      </c>
      <c r="B760" s="518" t="s">
        <v>1467</v>
      </c>
      <c r="C760" s="460">
        <f t="shared" si="12"/>
        <v>3.4829935530905559E-5</v>
      </c>
      <c r="D760" s="460">
        <f>VLOOKUP(A760,'2024 summary '!A760:C1666,3,FALSE)</f>
        <v>4.3619999999999999E-5</v>
      </c>
      <c r="E760" s="505">
        <v>234805</v>
      </c>
      <c r="F760" s="460"/>
      <c r="G760" s="505">
        <v>41147</v>
      </c>
      <c r="H760" s="505">
        <v>31922</v>
      </c>
      <c r="I760" s="505">
        <v>0</v>
      </c>
      <c r="J760" s="505">
        <v>3547</v>
      </c>
      <c r="K760" s="505">
        <v>76616</v>
      </c>
      <c r="L760" s="460"/>
      <c r="M760" s="505">
        <v>277</v>
      </c>
      <c r="N760" s="505">
        <v>0</v>
      </c>
      <c r="O760" s="505">
        <v>0</v>
      </c>
      <c r="P760" s="505">
        <v>32645</v>
      </c>
      <c r="Q760" s="505">
        <v>32922</v>
      </c>
      <c r="R760" s="460"/>
      <c r="S760" s="505">
        <v>70244</v>
      </c>
      <c r="T760" s="505">
        <v>-3231</v>
      </c>
      <c r="U760" s="505">
        <v>67013</v>
      </c>
      <c r="W760" s="454">
        <v>416082</v>
      </c>
      <c r="X760" s="454">
        <v>85680</v>
      </c>
    </row>
    <row r="761" spans="1:24">
      <c r="A761" s="458">
        <v>98211</v>
      </c>
      <c r="B761" s="518" t="s">
        <v>1468</v>
      </c>
      <c r="C761" s="460">
        <f t="shared" si="12"/>
        <v>7.715299831362873E-4</v>
      </c>
      <c r="D761" s="460">
        <f>VLOOKUP(A761,'2024 summary '!A761:C1667,3,FALSE)</f>
        <v>8.7982999999999996E-4</v>
      </c>
      <c r="E761" s="505">
        <v>5201247</v>
      </c>
      <c r="F761" s="460"/>
      <c r="G761" s="505">
        <v>911455</v>
      </c>
      <c r="H761" s="505">
        <v>707106</v>
      </c>
      <c r="I761" s="505">
        <v>0</v>
      </c>
      <c r="J761" s="505">
        <v>86293</v>
      </c>
      <c r="K761" s="505">
        <v>1704854</v>
      </c>
      <c r="L761" s="460"/>
      <c r="M761" s="505">
        <v>6128</v>
      </c>
      <c r="N761" s="505">
        <v>0</v>
      </c>
      <c r="O761" s="505">
        <v>0</v>
      </c>
      <c r="P761" s="505">
        <v>502679</v>
      </c>
      <c r="Q761" s="505">
        <v>508807</v>
      </c>
      <c r="R761" s="460"/>
      <c r="S761" s="505">
        <v>1555988</v>
      </c>
      <c r="T761" s="505">
        <v>-180324</v>
      </c>
      <c r="U761" s="505">
        <v>1375664</v>
      </c>
      <c r="W761" s="454">
        <v>9216762</v>
      </c>
      <c r="X761" s="454">
        <v>1897934</v>
      </c>
    </row>
    <row r="762" spans="1:24">
      <c r="A762" s="458">
        <v>98218</v>
      </c>
      <c r="B762" s="518" t="s">
        <v>1469</v>
      </c>
      <c r="C762" s="460">
        <f t="shared" si="12"/>
        <v>1.0140071816857277E-5</v>
      </c>
      <c r="D762" s="460">
        <f>VLOOKUP(A762,'2024 summary '!A762:C1668,3,FALSE)</f>
        <v>1.5849999999999999E-5</v>
      </c>
      <c r="E762" s="505">
        <v>68359</v>
      </c>
      <c r="F762" s="460"/>
      <c r="G762" s="505">
        <v>11979</v>
      </c>
      <c r="H762" s="505">
        <v>9293</v>
      </c>
      <c r="I762" s="505">
        <v>0</v>
      </c>
      <c r="J762" s="505">
        <v>2459</v>
      </c>
      <c r="K762" s="505">
        <v>23731</v>
      </c>
      <c r="L762" s="460"/>
      <c r="M762" s="505">
        <v>81</v>
      </c>
      <c r="N762" s="505">
        <v>0</v>
      </c>
      <c r="O762" s="505">
        <v>0</v>
      </c>
      <c r="P762" s="505">
        <v>13208</v>
      </c>
      <c r="Q762" s="505">
        <v>13289</v>
      </c>
      <c r="R762" s="460"/>
      <c r="S762" s="505">
        <v>20450</v>
      </c>
      <c r="T762" s="505">
        <v>-3340</v>
      </c>
      <c r="U762" s="505">
        <v>17110</v>
      </c>
      <c r="W762" s="454">
        <v>121133</v>
      </c>
      <c r="X762" s="454">
        <v>24944</v>
      </c>
    </row>
    <row r="763" spans="1:24">
      <c r="A763" s="458">
        <v>98221</v>
      </c>
      <c r="B763" s="518" t="s">
        <v>1470</v>
      </c>
      <c r="C763" s="460">
        <f t="shared" si="12"/>
        <v>1.8939931681150804E-5</v>
      </c>
      <c r="D763" s="460">
        <f>VLOOKUP(A763,'2024 summary '!A763:C1669,3,FALSE)</f>
        <v>2.6169999999999998E-5</v>
      </c>
      <c r="E763" s="505">
        <v>127683</v>
      </c>
      <c r="F763" s="460"/>
      <c r="G763" s="505">
        <v>22375</v>
      </c>
      <c r="H763" s="505">
        <v>17358</v>
      </c>
      <c r="I763" s="505">
        <v>0</v>
      </c>
      <c r="J763" s="505">
        <v>2950</v>
      </c>
      <c r="K763" s="505">
        <v>42683</v>
      </c>
      <c r="L763" s="460"/>
      <c r="M763" s="505">
        <v>150</v>
      </c>
      <c r="N763" s="505">
        <v>0</v>
      </c>
      <c r="O763" s="505">
        <v>0</v>
      </c>
      <c r="P763" s="505">
        <v>24711</v>
      </c>
      <c r="Q763" s="505">
        <v>24861</v>
      </c>
      <c r="R763" s="460"/>
      <c r="S763" s="505">
        <v>38197</v>
      </c>
      <c r="T763" s="505">
        <v>-8574</v>
      </c>
      <c r="U763" s="505">
        <v>29623</v>
      </c>
      <c r="W763" s="454">
        <v>226259</v>
      </c>
      <c r="X763" s="454">
        <v>46592</v>
      </c>
    </row>
    <row r="764" spans="1:24">
      <c r="A764" s="458">
        <v>98231</v>
      </c>
      <c r="B764" s="518" t="s">
        <v>1471</v>
      </c>
      <c r="C764" s="460">
        <f t="shared" si="12"/>
        <v>2.1809928455716766E-5</v>
      </c>
      <c r="D764" s="460">
        <f>VLOOKUP(A764,'2024 summary '!A764:C1670,3,FALSE)</f>
        <v>2.0129999999999999E-5</v>
      </c>
      <c r="E764" s="505">
        <v>147031</v>
      </c>
      <c r="F764" s="460"/>
      <c r="G764" s="505">
        <v>25765</v>
      </c>
      <c r="H764" s="505">
        <v>19989</v>
      </c>
      <c r="I764" s="505">
        <v>0</v>
      </c>
      <c r="J764" s="505">
        <v>7396</v>
      </c>
      <c r="K764" s="505">
        <v>53150</v>
      </c>
      <c r="L764" s="460"/>
      <c r="M764" s="505">
        <v>173</v>
      </c>
      <c r="N764" s="505">
        <v>0</v>
      </c>
      <c r="O764" s="505">
        <v>0</v>
      </c>
      <c r="P764" s="505">
        <v>18229</v>
      </c>
      <c r="Q764" s="505">
        <v>18402</v>
      </c>
      <c r="R764" s="460"/>
      <c r="S764" s="505">
        <v>43985</v>
      </c>
      <c r="T764" s="505">
        <v>-4610</v>
      </c>
      <c r="U764" s="505">
        <v>39375</v>
      </c>
      <c r="W764" s="454">
        <v>260544</v>
      </c>
      <c r="X764" s="454">
        <v>53652</v>
      </c>
    </row>
    <row r="765" spans="1:24">
      <c r="A765" s="458">
        <v>98237</v>
      </c>
      <c r="B765" s="518" t="s">
        <v>1472</v>
      </c>
      <c r="C765" s="460">
        <f t="shared" si="12"/>
        <v>8.0299982114096444E-6</v>
      </c>
      <c r="D765" s="460">
        <f>VLOOKUP(A765,'2024 summary '!A765:C1671,3,FALSE)</f>
        <v>7.6000000000000001E-6</v>
      </c>
      <c r="E765" s="505">
        <v>54134</v>
      </c>
      <c r="F765" s="460"/>
      <c r="G765" s="505">
        <v>9486</v>
      </c>
      <c r="H765" s="505">
        <v>7359</v>
      </c>
      <c r="I765" s="505">
        <v>0</v>
      </c>
      <c r="J765" s="505">
        <v>5091</v>
      </c>
      <c r="K765" s="505">
        <v>21936</v>
      </c>
      <c r="L765" s="460"/>
      <c r="M765" s="505">
        <v>64</v>
      </c>
      <c r="N765" s="505">
        <v>0</v>
      </c>
      <c r="O765" s="505">
        <v>0</v>
      </c>
      <c r="P765" s="505">
        <v>227</v>
      </c>
      <c r="Q765" s="505">
        <v>291</v>
      </c>
      <c r="R765" s="460"/>
      <c r="S765" s="505">
        <v>16195</v>
      </c>
      <c r="T765" s="505">
        <v>2294</v>
      </c>
      <c r="U765" s="505">
        <v>18489</v>
      </c>
      <c r="W765" s="454">
        <v>95927</v>
      </c>
      <c r="X765" s="454">
        <v>19753</v>
      </c>
    </row>
    <row r="766" spans="1:24">
      <c r="A766" s="458">
        <v>98241</v>
      </c>
      <c r="B766" s="518" t="s">
        <v>1473</v>
      </c>
      <c r="C766" s="460">
        <f t="shared" si="12"/>
        <v>1.9639927276518634E-5</v>
      </c>
      <c r="D766" s="460">
        <f>VLOOKUP(A766,'2024 summary '!A766:C1672,3,FALSE)</f>
        <v>9.9399999999999997E-6</v>
      </c>
      <c r="E766" s="505">
        <v>132402</v>
      </c>
      <c r="F766" s="460"/>
      <c r="G766" s="505">
        <v>23202</v>
      </c>
      <c r="H766" s="505">
        <v>18000</v>
      </c>
      <c r="I766" s="505">
        <v>0</v>
      </c>
      <c r="J766" s="505">
        <v>33844</v>
      </c>
      <c r="K766" s="505">
        <v>75046</v>
      </c>
      <c r="L766" s="460"/>
      <c r="M766" s="505">
        <v>156</v>
      </c>
      <c r="N766" s="505">
        <v>0</v>
      </c>
      <c r="O766" s="505">
        <v>0</v>
      </c>
      <c r="P766" s="505">
        <v>0</v>
      </c>
      <c r="Q766" s="505">
        <v>156</v>
      </c>
      <c r="R766" s="460"/>
      <c r="S766" s="505">
        <v>39609</v>
      </c>
      <c r="T766" s="505">
        <v>12132</v>
      </c>
      <c r="U766" s="505">
        <v>51741</v>
      </c>
      <c r="W766" s="454">
        <v>234621</v>
      </c>
      <c r="X766" s="454">
        <v>48314</v>
      </c>
    </row>
    <row r="767" spans="1:24">
      <c r="A767" s="458">
        <v>98251</v>
      </c>
      <c r="B767" s="518" t="s">
        <v>1474</v>
      </c>
      <c r="C767" s="460">
        <f t="shared" si="12"/>
        <v>1.7500631562088702E-6</v>
      </c>
      <c r="D767" s="460">
        <f>VLOOKUP(A767,'2024 summary '!A767:C1673,3,FALSE)</f>
        <v>1.9300000000000002E-6</v>
      </c>
      <c r="E767" s="505">
        <v>11798</v>
      </c>
      <c r="F767" s="460"/>
      <c r="G767" s="505">
        <v>2067</v>
      </c>
      <c r="H767" s="505">
        <v>1604</v>
      </c>
      <c r="I767" s="505">
        <v>0</v>
      </c>
      <c r="J767" s="505">
        <v>3331</v>
      </c>
      <c r="K767" s="505">
        <v>7002</v>
      </c>
      <c r="L767" s="460"/>
      <c r="M767" s="505">
        <v>14</v>
      </c>
      <c r="N767" s="505">
        <v>0</v>
      </c>
      <c r="O767" s="505">
        <v>0</v>
      </c>
      <c r="P767" s="505">
        <v>725</v>
      </c>
      <c r="Q767" s="505">
        <v>739</v>
      </c>
      <c r="R767" s="460"/>
      <c r="S767" s="505">
        <v>3529</v>
      </c>
      <c r="T767" s="505">
        <v>1853</v>
      </c>
      <c r="U767" s="505">
        <v>5382</v>
      </c>
      <c r="W767" s="454">
        <v>20906</v>
      </c>
      <c r="X767" s="454">
        <v>4305</v>
      </c>
    </row>
    <row r="768" spans="1:24">
      <c r="A768" s="458">
        <v>98261</v>
      </c>
      <c r="B768" s="518" t="s">
        <v>1475</v>
      </c>
      <c r="C768" s="460">
        <f t="shared" si="12"/>
        <v>2.4049944028009538E-5</v>
      </c>
      <c r="D768" s="460">
        <f>VLOOKUP(A768,'2024 summary '!A768:C1674,3,FALSE)</f>
        <v>2.3370000000000002E-5</v>
      </c>
      <c r="E768" s="505">
        <v>162132</v>
      </c>
      <c r="F768" s="460"/>
      <c r="G768" s="505">
        <v>28412</v>
      </c>
      <c r="H768" s="505">
        <v>22042</v>
      </c>
      <c r="I768" s="505">
        <v>0</v>
      </c>
      <c r="J768" s="505">
        <v>8345</v>
      </c>
      <c r="K768" s="505">
        <v>58799</v>
      </c>
      <c r="L768" s="460"/>
      <c r="M768" s="505">
        <v>191</v>
      </c>
      <c r="N768" s="505">
        <v>0</v>
      </c>
      <c r="O768" s="505">
        <v>0</v>
      </c>
      <c r="P768" s="505">
        <v>10704</v>
      </c>
      <c r="Q768" s="505">
        <v>10895</v>
      </c>
      <c r="R768" s="460"/>
      <c r="S768" s="505">
        <v>48503</v>
      </c>
      <c r="T768" s="505">
        <v>-3785</v>
      </c>
      <c r="U768" s="505">
        <v>44718</v>
      </c>
      <c r="W768" s="454">
        <v>287303</v>
      </c>
      <c r="X768" s="454">
        <v>59162</v>
      </c>
    </row>
    <row r="769" spans="1:24">
      <c r="A769" s="458">
        <v>98271</v>
      </c>
      <c r="B769" s="518" t="s">
        <v>1476</v>
      </c>
      <c r="C769" s="460">
        <f t="shared" si="12"/>
        <v>1.3540071613726536E-5</v>
      </c>
      <c r="D769" s="460">
        <f>VLOOKUP(A769,'2024 summary '!A769:C1675,3,FALSE)</f>
        <v>1.3740000000000001E-5</v>
      </c>
      <c r="E769" s="505">
        <v>91280</v>
      </c>
      <c r="F769" s="460"/>
      <c r="G769" s="505">
        <v>15996</v>
      </c>
      <c r="H769" s="505">
        <v>12409</v>
      </c>
      <c r="I769" s="505">
        <v>0</v>
      </c>
      <c r="J769" s="505">
        <v>7759</v>
      </c>
      <c r="K769" s="505">
        <v>36164</v>
      </c>
      <c r="L769" s="460"/>
      <c r="M769" s="505">
        <v>108</v>
      </c>
      <c r="N769" s="505">
        <v>0</v>
      </c>
      <c r="O769" s="505">
        <v>0</v>
      </c>
      <c r="P769" s="505">
        <v>6774</v>
      </c>
      <c r="Q769" s="505">
        <v>6882</v>
      </c>
      <c r="R769" s="460"/>
      <c r="S769" s="505">
        <v>27307</v>
      </c>
      <c r="T769" s="505">
        <v>1619</v>
      </c>
      <c r="U769" s="505">
        <v>28926</v>
      </c>
      <c r="W769" s="454">
        <v>161750</v>
      </c>
      <c r="X769" s="454">
        <v>33308</v>
      </c>
    </row>
    <row r="770" spans="1:24">
      <c r="A770" s="458">
        <v>98301</v>
      </c>
      <c r="B770" s="518" t="s">
        <v>1477</v>
      </c>
      <c r="C770" s="460">
        <f t="shared" si="12"/>
        <v>1.9279000113404182E-3</v>
      </c>
      <c r="D770" s="460">
        <f>VLOOKUP(A770,'2024 summary '!A770:C1676,3,FALSE)</f>
        <v>1.9664999999999999E-3</v>
      </c>
      <c r="E770" s="505">
        <v>12996882</v>
      </c>
      <c r="F770" s="460"/>
      <c r="G770" s="505">
        <v>2277546</v>
      </c>
      <c r="H770" s="505">
        <v>1766918</v>
      </c>
      <c r="I770" s="505">
        <v>0</v>
      </c>
      <c r="J770" s="505">
        <v>82850</v>
      </c>
      <c r="K770" s="505">
        <v>4127314</v>
      </c>
      <c r="L770" s="460"/>
      <c r="M770" s="505">
        <v>15313</v>
      </c>
      <c r="N770" s="505">
        <v>0</v>
      </c>
      <c r="O770" s="505">
        <v>0</v>
      </c>
      <c r="P770" s="505">
        <v>221325</v>
      </c>
      <c r="Q770" s="505">
        <v>236638</v>
      </c>
      <c r="R770" s="460"/>
      <c r="S770" s="505">
        <v>3888104</v>
      </c>
      <c r="T770" s="505">
        <v>-4049</v>
      </c>
      <c r="U770" s="505">
        <v>3884055</v>
      </c>
      <c r="W770" s="454">
        <v>23030855</v>
      </c>
      <c r="X770" s="454">
        <v>4742559</v>
      </c>
    </row>
    <row r="771" spans="1:24">
      <c r="A771" s="458">
        <v>98304</v>
      </c>
      <c r="B771" s="518" t="s">
        <v>1478</v>
      </c>
      <c r="C771" s="460">
        <f t="shared" si="12"/>
        <v>1.4829997805148161E-5</v>
      </c>
      <c r="D771" s="460">
        <f>VLOOKUP(A771,'2024 summary '!A771:C1677,3,FALSE)</f>
        <v>1.5359999999999999E-5</v>
      </c>
      <c r="E771" s="505">
        <v>99976</v>
      </c>
      <c r="F771" s="460"/>
      <c r="G771" s="505">
        <v>17520</v>
      </c>
      <c r="H771" s="505">
        <v>13592</v>
      </c>
      <c r="I771" s="505">
        <v>0</v>
      </c>
      <c r="J771" s="505">
        <v>3179</v>
      </c>
      <c r="K771" s="505">
        <v>34291</v>
      </c>
      <c r="L771" s="460"/>
      <c r="M771" s="505">
        <v>118</v>
      </c>
      <c r="N771" s="505">
        <v>0</v>
      </c>
      <c r="O771" s="505">
        <v>0</v>
      </c>
      <c r="P771" s="505">
        <v>7264</v>
      </c>
      <c r="Q771" s="505">
        <v>7382</v>
      </c>
      <c r="R771" s="460"/>
      <c r="S771" s="505">
        <v>29908</v>
      </c>
      <c r="T771" s="505">
        <v>-528</v>
      </c>
      <c r="U771" s="505">
        <v>29380</v>
      </c>
      <c r="W771" s="454">
        <v>177160</v>
      </c>
      <c r="X771" s="454">
        <v>36481</v>
      </c>
    </row>
    <row r="772" spans="1:24">
      <c r="A772" s="458">
        <v>98308</v>
      </c>
      <c r="B772" s="518" t="s">
        <v>1479</v>
      </c>
      <c r="C772" s="460">
        <f t="shared" si="12"/>
        <v>4.1040004528590278E-5</v>
      </c>
      <c r="D772" s="460">
        <f>VLOOKUP(A772,'2024 summary '!A772:C1678,3,FALSE)</f>
        <v>3.1529999999999998E-5</v>
      </c>
      <c r="E772" s="505">
        <v>276670</v>
      </c>
      <c r="F772" s="460"/>
      <c r="G772" s="505">
        <v>48483</v>
      </c>
      <c r="H772" s="505">
        <v>37613</v>
      </c>
      <c r="I772" s="505">
        <v>0</v>
      </c>
      <c r="J772" s="505">
        <v>46330</v>
      </c>
      <c r="K772" s="505">
        <v>132426</v>
      </c>
      <c r="L772" s="460"/>
      <c r="M772" s="505">
        <v>326</v>
      </c>
      <c r="N772" s="505">
        <v>0</v>
      </c>
      <c r="O772" s="505">
        <v>0</v>
      </c>
      <c r="P772" s="505">
        <v>1303</v>
      </c>
      <c r="Q772" s="505">
        <v>1629</v>
      </c>
      <c r="R772" s="460"/>
      <c r="S772" s="505">
        <v>82768</v>
      </c>
      <c r="T772" s="505">
        <v>29108</v>
      </c>
      <c r="U772" s="505">
        <v>111876</v>
      </c>
      <c r="W772" s="454">
        <v>490267</v>
      </c>
      <c r="X772" s="454">
        <v>100957</v>
      </c>
    </row>
    <row r="773" spans="1:24">
      <c r="A773" s="458">
        <v>98311</v>
      </c>
      <c r="B773" s="518" t="s">
        <v>1480</v>
      </c>
      <c r="C773" s="460">
        <f t="shared" si="12"/>
        <v>8.2245996569623153E-4</v>
      </c>
      <c r="D773" s="460">
        <f>VLOOKUP(A773,'2024 summary '!A773:C1679,3,FALSE)</f>
        <v>8.9366000000000001E-4</v>
      </c>
      <c r="E773" s="505">
        <v>5544590</v>
      </c>
      <c r="F773" s="460"/>
      <c r="G773" s="505">
        <v>971622</v>
      </c>
      <c r="H773" s="505">
        <v>753784</v>
      </c>
      <c r="I773" s="505">
        <v>0</v>
      </c>
      <c r="J773" s="505">
        <v>6384</v>
      </c>
      <c r="K773" s="505">
        <v>1731790</v>
      </c>
      <c r="L773" s="460"/>
      <c r="M773" s="505">
        <v>6533</v>
      </c>
      <c r="N773" s="505">
        <v>0</v>
      </c>
      <c r="O773" s="505">
        <v>0</v>
      </c>
      <c r="P773" s="505">
        <v>234622</v>
      </c>
      <c r="Q773" s="505">
        <v>241155</v>
      </c>
      <c r="R773" s="460"/>
      <c r="S773" s="505">
        <v>1658701</v>
      </c>
      <c r="T773" s="505">
        <v>-133232</v>
      </c>
      <c r="U773" s="505">
        <v>1525469</v>
      </c>
      <c r="W773" s="454">
        <v>9825176</v>
      </c>
      <c r="X773" s="454">
        <v>2023220</v>
      </c>
    </row>
    <row r="774" spans="1:24">
      <c r="A774" s="458">
        <v>98313</v>
      </c>
      <c r="B774" s="518" t="s">
        <v>1481</v>
      </c>
      <c r="C774" s="460">
        <f t="shared" si="12"/>
        <v>1.5408002220683293E-4</v>
      </c>
      <c r="D774" s="460">
        <f>VLOOKUP(A774,'2024 summary '!A774:C1680,3,FALSE)</f>
        <v>1.6160999999999999E-4</v>
      </c>
      <c r="E774" s="505">
        <v>1038726</v>
      </c>
      <c r="F774" s="460"/>
      <c r="G774" s="505">
        <v>182024</v>
      </c>
      <c r="H774" s="505">
        <v>141214</v>
      </c>
      <c r="I774" s="505">
        <v>0</v>
      </c>
      <c r="J774" s="505">
        <v>243251</v>
      </c>
      <c r="K774" s="505">
        <v>566489</v>
      </c>
      <c r="L774" s="460"/>
      <c r="M774" s="505">
        <v>1224</v>
      </c>
      <c r="N774" s="505">
        <v>0</v>
      </c>
      <c r="O774" s="505">
        <v>0</v>
      </c>
      <c r="P774" s="505">
        <v>88480</v>
      </c>
      <c r="Q774" s="505">
        <v>89704</v>
      </c>
      <c r="R774" s="460"/>
      <c r="S774" s="505">
        <v>310742</v>
      </c>
      <c r="T774" s="505">
        <v>126560</v>
      </c>
      <c r="U774" s="505">
        <v>437302</v>
      </c>
      <c r="W774" s="454">
        <v>1840653</v>
      </c>
      <c r="X774" s="454">
        <v>379031</v>
      </c>
    </row>
    <row r="775" spans="1:24">
      <c r="A775" s="458">
        <v>98321</v>
      </c>
      <c r="B775" s="518" t="s">
        <v>1482</v>
      </c>
      <c r="C775" s="460">
        <f t="shared" si="12"/>
        <v>1.2689960412825279E-5</v>
      </c>
      <c r="D775" s="460">
        <f>VLOOKUP(A775,'2024 summary '!A775:C1681,3,FALSE)</f>
        <v>1.658E-5</v>
      </c>
      <c r="E775" s="505">
        <v>85549</v>
      </c>
      <c r="F775" s="460"/>
      <c r="G775" s="505">
        <v>14991</v>
      </c>
      <c r="H775" s="505">
        <v>11630</v>
      </c>
      <c r="I775" s="505">
        <v>0</v>
      </c>
      <c r="J775" s="505">
        <v>9143</v>
      </c>
      <c r="K775" s="505">
        <v>35764</v>
      </c>
      <c r="L775" s="460"/>
      <c r="M775" s="505">
        <v>101</v>
      </c>
      <c r="N775" s="505">
        <v>0</v>
      </c>
      <c r="O775" s="505">
        <v>0</v>
      </c>
      <c r="P775" s="505">
        <v>9404</v>
      </c>
      <c r="Q775" s="505">
        <v>9505</v>
      </c>
      <c r="R775" s="460"/>
      <c r="S775" s="505">
        <v>25593</v>
      </c>
      <c r="T775" s="505">
        <v>1780</v>
      </c>
      <c r="U775" s="505">
        <v>27373</v>
      </c>
      <c r="W775" s="454">
        <v>151596</v>
      </c>
      <c r="X775" s="454">
        <v>31217</v>
      </c>
    </row>
    <row r="776" spans="1:24">
      <c r="A776" s="458">
        <v>98331</v>
      </c>
      <c r="B776" s="518" t="s">
        <v>1483</v>
      </c>
      <c r="C776" s="460">
        <f t="shared" si="12"/>
        <v>4.0200425153768939E-6</v>
      </c>
      <c r="D776" s="460">
        <f>VLOOKUP(A776,'2024 summary '!A776:C1682,3,FALSE)</f>
        <v>3.8099999999999999E-6</v>
      </c>
      <c r="E776" s="505">
        <v>27101</v>
      </c>
      <c r="F776" s="460"/>
      <c r="G776" s="505">
        <v>4749</v>
      </c>
      <c r="H776" s="505">
        <v>3684</v>
      </c>
      <c r="I776" s="505">
        <v>0</v>
      </c>
      <c r="J776" s="505">
        <v>1870</v>
      </c>
      <c r="K776" s="505">
        <v>10303</v>
      </c>
      <c r="L776" s="460"/>
      <c r="M776" s="505">
        <v>32</v>
      </c>
      <c r="N776" s="505">
        <v>0</v>
      </c>
      <c r="O776" s="505">
        <v>0</v>
      </c>
      <c r="P776" s="505">
        <v>3878</v>
      </c>
      <c r="Q776" s="505">
        <v>3910</v>
      </c>
      <c r="R776" s="460"/>
      <c r="S776" s="505">
        <v>8107</v>
      </c>
      <c r="T776" s="505">
        <v>2136</v>
      </c>
      <c r="U776" s="505">
        <v>10243</v>
      </c>
      <c r="W776" s="454">
        <v>48023</v>
      </c>
      <c r="X776" s="454">
        <v>9889</v>
      </c>
    </row>
    <row r="777" spans="1:24">
      <c r="A777" s="458">
        <v>98401</v>
      </c>
      <c r="B777" s="518" t="s">
        <v>1484</v>
      </c>
      <c r="C777" s="460">
        <f t="shared" si="12"/>
        <v>2.741860051712266E-3</v>
      </c>
      <c r="D777" s="460">
        <f>VLOOKUP(A777,'2024 summary '!A777:C1683,3,FALSE)</f>
        <v>2.7263999999999999E-3</v>
      </c>
      <c r="E777" s="505">
        <v>18484170</v>
      </c>
      <c r="F777" s="460"/>
      <c r="G777" s="505">
        <v>3239126</v>
      </c>
      <c r="H777" s="505">
        <v>2512912</v>
      </c>
      <c r="I777" s="505">
        <v>0</v>
      </c>
      <c r="J777" s="505">
        <v>253235</v>
      </c>
      <c r="K777" s="505">
        <v>6005273</v>
      </c>
      <c r="L777" s="460"/>
      <c r="M777" s="505">
        <v>21779</v>
      </c>
      <c r="N777" s="505">
        <v>0</v>
      </c>
      <c r="O777" s="505">
        <v>0</v>
      </c>
      <c r="P777" s="505">
        <v>173308</v>
      </c>
      <c r="Q777" s="505">
        <v>195087</v>
      </c>
      <c r="R777" s="460"/>
      <c r="S777" s="505">
        <v>5529663</v>
      </c>
      <c r="T777" s="505">
        <v>-1113</v>
      </c>
      <c r="U777" s="505">
        <v>5528550</v>
      </c>
      <c r="W777" s="454">
        <v>32754490</v>
      </c>
      <c r="X777" s="454">
        <v>6744869</v>
      </c>
    </row>
    <row r="778" spans="1:24">
      <c r="A778" s="458">
        <v>98404</v>
      </c>
      <c r="B778" s="518" t="s">
        <v>1485</v>
      </c>
      <c r="C778" s="460">
        <f t="shared" ref="C778:C841" si="13">E778/$E$915</f>
        <v>2.7129983981859426E-5</v>
      </c>
      <c r="D778" s="460">
        <f>VLOOKUP(A778,'2024 summary '!A778:C1684,3,FALSE)</f>
        <v>3.0349999999999999E-5</v>
      </c>
      <c r="E778" s="505">
        <v>182896</v>
      </c>
      <c r="F778" s="460"/>
      <c r="G778" s="505">
        <v>32050</v>
      </c>
      <c r="H778" s="505">
        <v>24865</v>
      </c>
      <c r="I778" s="505">
        <v>0</v>
      </c>
      <c r="J778" s="505">
        <v>7445</v>
      </c>
      <c r="K778" s="505">
        <v>64360</v>
      </c>
      <c r="L778" s="460"/>
      <c r="M778" s="505">
        <v>215</v>
      </c>
      <c r="N778" s="505">
        <v>0</v>
      </c>
      <c r="O778" s="505">
        <v>0</v>
      </c>
      <c r="P778" s="505">
        <v>24109</v>
      </c>
      <c r="Q778" s="505">
        <v>24324</v>
      </c>
      <c r="R778" s="460"/>
      <c r="S778" s="505">
        <v>54715</v>
      </c>
      <c r="T778" s="505">
        <v>1264</v>
      </c>
      <c r="U778" s="505">
        <v>55979</v>
      </c>
      <c r="W778" s="454">
        <v>324097</v>
      </c>
      <c r="X778" s="454">
        <v>66739</v>
      </c>
    </row>
    <row r="779" spans="1:24">
      <c r="A779" s="458">
        <v>98411</v>
      </c>
      <c r="B779" s="518" t="s">
        <v>1486</v>
      </c>
      <c r="C779" s="460">
        <f t="shared" si="13"/>
        <v>1.8343600404880835E-3</v>
      </c>
      <c r="D779" s="460">
        <f>VLOOKUP(A779,'2024 summary '!A779:C1685,3,FALSE)</f>
        <v>1.87682E-3</v>
      </c>
      <c r="E779" s="505">
        <v>12366285</v>
      </c>
      <c r="F779" s="460"/>
      <c r="G779" s="505">
        <v>2167041</v>
      </c>
      <c r="H779" s="505">
        <v>1681189</v>
      </c>
      <c r="I779" s="505">
        <v>0</v>
      </c>
      <c r="J779" s="505">
        <v>79891</v>
      </c>
      <c r="K779" s="505">
        <v>3928121</v>
      </c>
      <c r="L779" s="460"/>
      <c r="M779" s="505">
        <v>14570</v>
      </c>
      <c r="N779" s="505">
        <v>0</v>
      </c>
      <c r="O779" s="505">
        <v>0</v>
      </c>
      <c r="P779" s="505">
        <v>194100</v>
      </c>
      <c r="Q779" s="505">
        <v>208670</v>
      </c>
      <c r="R779" s="460"/>
      <c r="S779" s="505">
        <v>3699457</v>
      </c>
      <c r="T779" s="505">
        <v>-31139</v>
      </c>
      <c r="U779" s="505">
        <v>3668318</v>
      </c>
      <c r="W779" s="454">
        <v>21913419</v>
      </c>
      <c r="X779" s="454">
        <v>4512454</v>
      </c>
    </row>
    <row r="780" spans="1:24">
      <c r="A780" s="458">
        <v>98414</v>
      </c>
      <c r="B780" s="518" t="s">
        <v>1487</v>
      </c>
      <c r="C780" s="460">
        <f t="shared" si="13"/>
        <v>3.8260047450228659E-5</v>
      </c>
      <c r="D780" s="460">
        <f>VLOOKUP(A780,'2024 summary '!A780:C1686,3,FALSE)</f>
        <v>3.7610000000000001E-5</v>
      </c>
      <c r="E780" s="505">
        <v>257929</v>
      </c>
      <c r="F780" s="460"/>
      <c r="G780" s="505">
        <v>45199</v>
      </c>
      <c r="H780" s="505">
        <v>35065</v>
      </c>
      <c r="I780" s="505">
        <v>0</v>
      </c>
      <c r="J780" s="505">
        <v>15</v>
      </c>
      <c r="K780" s="505">
        <v>80279</v>
      </c>
      <c r="L780" s="460"/>
      <c r="M780" s="505">
        <v>304</v>
      </c>
      <c r="N780" s="505">
        <v>0</v>
      </c>
      <c r="O780" s="505">
        <v>0</v>
      </c>
      <c r="P780" s="505">
        <v>5501</v>
      </c>
      <c r="Q780" s="505">
        <v>5805</v>
      </c>
      <c r="R780" s="460"/>
      <c r="S780" s="505">
        <v>77161</v>
      </c>
      <c r="T780" s="505">
        <v>-1709</v>
      </c>
      <c r="U780" s="505">
        <v>75452</v>
      </c>
      <c r="W780" s="454">
        <v>457057</v>
      </c>
      <c r="X780" s="454">
        <v>94118</v>
      </c>
    </row>
    <row r="781" spans="1:24">
      <c r="A781" s="458">
        <v>98417</v>
      </c>
      <c r="B781" s="518" t="s">
        <v>1488</v>
      </c>
      <c r="C781" s="460">
        <f t="shared" si="13"/>
        <v>2.8309993509545608E-5</v>
      </c>
      <c r="D781" s="460">
        <f>VLOOKUP(A781,'2024 summary '!A781:C1687,3,FALSE)</f>
        <v>2.8549999999999999E-5</v>
      </c>
      <c r="E781" s="505">
        <v>190851</v>
      </c>
      <c r="F781" s="460"/>
      <c r="G781" s="505">
        <v>33444</v>
      </c>
      <c r="H781" s="505">
        <v>25946</v>
      </c>
      <c r="I781" s="505">
        <v>0</v>
      </c>
      <c r="J781" s="505">
        <v>24597</v>
      </c>
      <c r="K781" s="505">
        <v>83987</v>
      </c>
      <c r="L781" s="460"/>
      <c r="M781" s="505">
        <v>225</v>
      </c>
      <c r="N781" s="505">
        <v>0</v>
      </c>
      <c r="O781" s="505">
        <v>0</v>
      </c>
      <c r="P781" s="505">
        <v>568</v>
      </c>
      <c r="Q781" s="505">
        <v>793</v>
      </c>
      <c r="R781" s="460"/>
      <c r="S781" s="505">
        <v>57094</v>
      </c>
      <c r="T781" s="505">
        <v>15063</v>
      </c>
      <c r="U781" s="505">
        <v>72157</v>
      </c>
      <c r="W781" s="454">
        <v>338194</v>
      </c>
      <c r="X781" s="454">
        <v>69641</v>
      </c>
    </row>
    <row r="782" spans="1:24">
      <c r="A782" s="458">
        <v>98421</v>
      </c>
      <c r="B782" s="518" t="s">
        <v>1489</v>
      </c>
      <c r="C782" s="460">
        <f t="shared" si="13"/>
        <v>1.3360007054875718E-4</v>
      </c>
      <c r="D782" s="460">
        <f>VLOOKUP(A782,'2024 summary '!A782:C1688,3,FALSE)</f>
        <v>1.4755000000000001E-4</v>
      </c>
      <c r="E782" s="505">
        <v>900661</v>
      </c>
      <c r="F782" s="460"/>
      <c r="G782" s="505">
        <v>157830</v>
      </c>
      <c r="H782" s="505">
        <v>122444</v>
      </c>
      <c r="I782" s="505">
        <v>0</v>
      </c>
      <c r="J782" s="505">
        <v>57456</v>
      </c>
      <c r="K782" s="505">
        <v>337730</v>
      </c>
      <c r="L782" s="460"/>
      <c r="M782" s="505">
        <v>1061</v>
      </c>
      <c r="N782" s="505">
        <v>0</v>
      </c>
      <c r="O782" s="505">
        <v>0</v>
      </c>
      <c r="P782" s="505">
        <v>57541</v>
      </c>
      <c r="Q782" s="505">
        <v>58602</v>
      </c>
      <c r="R782" s="460"/>
      <c r="S782" s="505">
        <v>269439</v>
      </c>
      <c r="T782" s="505">
        <v>8668</v>
      </c>
      <c r="U782" s="505">
        <v>278107</v>
      </c>
      <c r="W782" s="454">
        <v>1595997</v>
      </c>
      <c r="X782" s="454">
        <v>328651</v>
      </c>
    </row>
    <row r="783" spans="1:24">
      <c r="A783" s="458">
        <v>98427</v>
      </c>
      <c r="B783" s="518" t="s">
        <v>1490</v>
      </c>
      <c r="C783" s="460">
        <f t="shared" si="13"/>
        <v>6.8499886837234629E-6</v>
      </c>
      <c r="D783" s="460">
        <f>VLOOKUP(A783,'2024 summary '!A783:C1689,3,FALSE)</f>
        <v>7.4100000000000002E-6</v>
      </c>
      <c r="E783" s="505">
        <v>46179</v>
      </c>
      <c r="F783" s="460"/>
      <c r="G783" s="505">
        <v>8092</v>
      </c>
      <c r="H783" s="505">
        <v>6278</v>
      </c>
      <c r="I783" s="505">
        <v>0</v>
      </c>
      <c r="J783" s="505">
        <v>4573</v>
      </c>
      <c r="K783" s="505">
        <v>18943</v>
      </c>
      <c r="L783" s="460"/>
      <c r="M783" s="505">
        <v>54</v>
      </c>
      <c r="N783" s="505">
        <v>0</v>
      </c>
      <c r="O783" s="505">
        <v>0</v>
      </c>
      <c r="P783" s="505">
        <v>1763</v>
      </c>
      <c r="Q783" s="505">
        <v>1817</v>
      </c>
      <c r="R783" s="460"/>
      <c r="S783" s="505">
        <v>13815</v>
      </c>
      <c r="T783" s="505">
        <v>3175</v>
      </c>
      <c r="U783" s="505">
        <v>16990</v>
      </c>
      <c r="W783" s="454">
        <v>81831</v>
      </c>
      <c r="X783" s="454">
        <v>16851</v>
      </c>
    </row>
    <row r="784" spans="1:24">
      <c r="A784" s="458">
        <v>98431</v>
      </c>
      <c r="B784" s="518" t="s">
        <v>1491</v>
      </c>
      <c r="C784" s="460">
        <f t="shared" si="13"/>
        <v>2.495299619690969E-4</v>
      </c>
      <c r="D784" s="460">
        <f>VLOOKUP(A784,'2024 summary '!A784:C1690,3,FALSE)</f>
        <v>2.3403000000000001E-4</v>
      </c>
      <c r="E784" s="505">
        <v>1682199</v>
      </c>
      <c r="F784" s="460"/>
      <c r="G784" s="505">
        <v>294785</v>
      </c>
      <c r="H784" s="505">
        <v>228694</v>
      </c>
      <c r="I784" s="505">
        <v>0</v>
      </c>
      <c r="J784" s="505">
        <v>7179</v>
      </c>
      <c r="K784" s="505">
        <v>530658</v>
      </c>
      <c r="L784" s="460"/>
      <c r="M784" s="505">
        <v>1982</v>
      </c>
      <c r="N784" s="505">
        <v>0</v>
      </c>
      <c r="O784" s="505">
        <v>0</v>
      </c>
      <c r="P784" s="505">
        <v>70530</v>
      </c>
      <c r="Q784" s="505">
        <v>72512</v>
      </c>
      <c r="R784" s="460"/>
      <c r="S784" s="505">
        <v>503241</v>
      </c>
      <c r="T784" s="505">
        <v>-20705</v>
      </c>
      <c r="U784" s="505">
        <v>482536</v>
      </c>
      <c r="W784" s="454">
        <v>2980906</v>
      </c>
      <c r="X784" s="454">
        <v>613834</v>
      </c>
    </row>
    <row r="785" spans="1:24">
      <c r="A785" s="458">
        <v>98441</v>
      </c>
      <c r="B785" s="518" t="s">
        <v>1492</v>
      </c>
      <c r="C785" s="460">
        <f t="shared" si="13"/>
        <v>1.2618996672027658E-4</v>
      </c>
      <c r="D785" s="460">
        <f>VLOOKUP(A785,'2024 summary '!A785:C1691,3,FALSE)</f>
        <v>1.0679E-4</v>
      </c>
      <c r="E785" s="505">
        <v>850706</v>
      </c>
      <c r="F785" s="460"/>
      <c r="G785" s="505">
        <v>149076</v>
      </c>
      <c r="H785" s="505">
        <v>115653</v>
      </c>
      <c r="I785" s="505">
        <v>0</v>
      </c>
      <c r="J785" s="505">
        <v>45804</v>
      </c>
      <c r="K785" s="505">
        <v>310533</v>
      </c>
      <c r="L785" s="460"/>
      <c r="M785" s="505">
        <v>1002</v>
      </c>
      <c r="N785" s="505">
        <v>0</v>
      </c>
      <c r="O785" s="505">
        <v>0</v>
      </c>
      <c r="P785" s="505">
        <v>27788</v>
      </c>
      <c r="Q785" s="505">
        <v>28790</v>
      </c>
      <c r="R785" s="460"/>
      <c r="S785" s="505">
        <v>254494</v>
      </c>
      <c r="T785" s="505">
        <v>-1721</v>
      </c>
      <c r="U785" s="505">
        <v>252773</v>
      </c>
      <c r="W785" s="454">
        <v>1507476</v>
      </c>
      <c r="X785" s="454">
        <v>310422</v>
      </c>
    </row>
    <row r="786" spans="1:24">
      <c r="A786" s="458">
        <v>98451</v>
      </c>
      <c r="B786" s="518" t="s">
        <v>1493</v>
      </c>
      <c r="C786" s="460">
        <f t="shared" si="13"/>
        <v>4.4100019179330475E-5</v>
      </c>
      <c r="D786" s="460">
        <f>VLOOKUP(A786,'2024 summary '!A786:C1692,3,FALSE)</f>
        <v>4.1E-5</v>
      </c>
      <c r="E786" s="505">
        <v>297299</v>
      </c>
      <c r="F786" s="460"/>
      <c r="G786" s="505">
        <v>52098</v>
      </c>
      <c r="H786" s="505">
        <v>40418</v>
      </c>
      <c r="I786" s="505">
        <v>0</v>
      </c>
      <c r="J786" s="505">
        <v>13829</v>
      </c>
      <c r="K786" s="505">
        <v>106345</v>
      </c>
      <c r="L786" s="460"/>
      <c r="M786" s="505">
        <v>350</v>
      </c>
      <c r="N786" s="505">
        <v>0</v>
      </c>
      <c r="O786" s="505">
        <v>0</v>
      </c>
      <c r="P786" s="505">
        <v>17571</v>
      </c>
      <c r="Q786" s="505">
        <v>17921</v>
      </c>
      <c r="R786" s="460"/>
      <c r="S786" s="505">
        <v>88939</v>
      </c>
      <c r="T786" s="505">
        <v>7052</v>
      </c>
      <c r="U786" s="505">
        <v>95991</v>
      </c>
      <c r="W786" s="454">
        <v>526822</v>
      </c>
      <c r="X786" s="454">
        <v>108484</v>
      </c>
    </row>
    <row r="787" spans="1:24">
      <c r="A787" s="458">
        <v>98471</v>
      </c>
      <c r="B787" s="518" t="s">
        <v>1638</v>
      </c>
      <c r="C787" s="460">
        <f t="shared" si="13"/>
        <v>1.3380017524427556E-5</v>
      </c>
      <c r="D787" s="460">
        <f>VLOOKUP(A787,'2024 summary '!A787:C1693,3,FALSE)</f>
        <v>1.3360000000000001E-5</v>
      </c>
      <c r="E787" s="505">
        <v>90201</v>
      </c>
      <c r="F787" s="460"/>
      <c r="G787" s="505">
        <v>15807</v>
      </c>
      <c r="H787" s="505">
        <v>12263</v>
      </c>
      <c r="I787" s="505">
        <v>0</v>
      </c>
      <c r="J787" s="505">
        <v>6405</v>
      </c>
      <c r="K787" s="505">
        <v>34475</v>
      </c>
      <c r="L787" s="460"/>
      <c r="M787" s="505">
        <v>106</v>
      </c>
      <c r="N787" s="505">
        <v>0</v>
      </c>
      <c r="O787" s="505">
        <v>0</v>
      </c>
      <c r="P787" s="505">
        <v>4854</v>
      </c>
      <c r="Q787" s="505">
        <v>4960</v>
      </c>
      <c r="R787" s="460"/>
      <c r="S787" s="505">
        <v>26984</v>
      </c>
      <c r="T787" s="505">
        <v>1912</v>
      </c>
      <c r="U787" s="505">
        <v>28896</v>
      </c>
      <c r="W787" s="454">
        <v>159839</v>
      </c>
      <c r="X787" s="454">
        <v>32914</v>
      </c>
    </row>
    <row r="788" spans="1:24">
      <c r="A788" s="458">
        <v>98481</v>
      </c>
      <c r="B788" s="518" t="s">
        <v>1494</v>
      </c>
      <c r="C788" s="460">
        <f t="shared" si="13"/>
        <v>7.9470044551883473E-5</v>
      </c>
      <c r="D788" s="460">
        <f>VLOOKUP(A788,'2024 summary '!A788:C1694,3,FALSE)</f>
        <v>7.4939999999999997E-5</v>
      </c>
      <c r="E788" s="505">
        <v>535745</v>
      </c>
      <c r="F788" s="460"/>
      <c r="G788" s="505">
        <v>93883</v>
      </c>
      <c r="H788" s="505">
        <v>72834</v>
      </c>
      <c r="I788" s="505">
        <v>0</v>
      </c>
      <c r="J788" s="505">
        <v>11727</v>
      </c>
      <c r="K788" s="505">
        <v>178444</v>
      </c>
      <c r="L788" s="460"/>
      <c r="M788" s="505">
        <v>631</v>
      </c>
      <c r="N788" s="505">
        <v>0</v>
      </c>
      <c r="O788" s="505">
        <v>0</v>
      </c>
      <c r="P788" s="505">
        <v>5028</v>
      </c>
      <c r="Q788" s="505">
        <v>5659</v>
      </c>
      <c r="R788" s="460"/>
      <c r="S788" s="505">
        <v>160272</v>
      </c>
      <c r="T788" s="505">
        <v>7456</v>
      </c>
      <c r="U788" s="505">
        <v>167728</v>
      </c>
      <c r="W788" s="454">
        <v>949355</v>
      </c>
      <c r="X788" s="454">
        <v>195493</v>
      </c>
    </row>
    <row r="789" spans="1:24">
      <c r="A789" s="458">
        <v>98501</v>
      </c>
      <c r="B789" s="518" t="s">
        <v>1495</v>
      </c>
      <c r="C789" s="460">
        <f t="shared" si="13"/>
        <v>1.8577099889207252E-3</v>
      </c>
      <c r="D789" s="460">
        <f>VLOOKUP(A789,'2024 summary '!A789:C1695,3,FALSE)</f>
        <v>1.99154E-3</v>
      </c>
      <c r="E789" s="505">
        <v>12523698</v>
      </c>
      <c r="F789" s="460"/>
      <c r="G789" s="505">
        <v>2194626</v>
      </c>
      <c r="H789" s="505">
        <v>1702589</v>
      </c>
      <c r="I789" s="505">
        <v>0</v>
      </c>
      <c r="J789" s="505">
        <v>0</v>
      </c>
      <c r="K789" s="505">
        <v>3897215</v>
      </c>
      <c r="L789" s="460"/>
      <c r="M789" s="505">
        <v>14756</v>
      </c>
      <c r="N789" s="505">
        <v>0</v>
      </c>
      <c r="O789" s="505">
        <v>0</v>
      </c>
      <c r="P789" s="505">
        <v>605660</v>
      </c>
      <c r="Q789" s="505">
        <v>620416</v>
      </c>
      <c r="R789" s="460"/>
      <c r="S789" s="505">
        <v>3746548</v>
      </c>
      <c r="T789" s="505">
        <v>-89957</v>
      </c>
      <c r="U789" s="505">
        <v>3656591</v>
      </c>
      <c r="W789" s="454">
        <v>22192360</v>
      </c>
      <c r="X789" s="454">
        <v>4569894</v>
      </c>
    </row>
    <row r="790" spans="1:24">
      <c r="A790" s="458">
        <v>98511</v>
      </c>
      <c r="B790" s="518" t="s">
        <v>1496</v>
      </c>
      <c r="C790" s="460">
        <f t="shared" si="13"/>
        <v>6.9719946971140203E-5</v>
      </c>
      <c r="D790" s="460">
        <f>VLOOKUP(A790,'2024 summary '!A790:C1696,3,FALSE)</f>
        <v>6.4839999999999996E-5</v>
      </c>
      <c r="E790" s="505">
        <v>470015</v>
      </c>
      <c r="F790" s="460"/>
      <c r="G790" s="505">
        <v>82364</v>
      </c>
      <c r="H790" s="505">
        <v>63898</v>
      </c>
      <c r="I790" s="505">
        <v>0</v>
      </c>
      <c r="J790" s="505">
        <v>21905</v>
      </c>
      <c r="K790" s="505">
        <v>168167</v>
      </c>
      <c r="L790" s="460"/>
      <c r="M790" s="505">
        <v>554</v>
      </c>
      <c r="N790" s="505">
        <v>0</v>
      </c>
      <c r="O790" s="505">
        <v>0</v>
      </c>
      <c r="P790" s="505">
        <v>8034</v>
      </c>
      <c r="Q790" s="505">
        <v>8588</v>
      </c>
      <c r="R790" s="460"/>
      <c r="S790" s="505">
        <v>140608</v>
      </c>
      <c r="T790" s="505">
        <v>13951</v>
      </c>
      <c r="U790" s="505">
        <v>154559</v>
      </c>
      <c r="W790" s="454">
        <v>832881</v>
      </c>
      <c r="X790" s="454">
        <v>171508</v>
      </c>
    </row>
    <row r="791" spans="1:24">
      <c r="A791" s="458">
        <v>98517</v>
      </c>
      <c r="B791" s="518" t="s">
        <v>1497</v>
      </c>
      <c r="C791" s="460">
        <f t="shared" si="13"/>
        <v>1.6920046107486099E-5</v>
      </c>
      <c r="D791" s="460">
        <f>VLOOKUP(A791,'2024 summary '!A791:C1697,3,FALSE)</f>
        <v>1.6160000000000001E-5</v>
      </c>
      <c r="E791" s="505">
        <v>114066</v>
      </c>
      <c r="F791" s="460"/>
      <c r="G791" s="505">
        <v>19989</v>
      </c>
      <c r="H791" s="505">
        <v>15507</v>
      </c>
      <c r="I791" s="505">
        <v>0</v>
      </c>
      <c r="J791" s="505">
        <v>1989</v>
      </c>
      <c r="K791" s="505">
        <v>37485</v>
      </c>
      <c r="L791" s="460"/>
      <c r="M791" s="505">
        <v>134</v>
      </c>
      <c r="N791" s="505">
        <v>0</v>
      </c>
      <c r="O791" s="505">
        <v>0</v>
      </c>
      <c r="P791" s="505">
        <v>13200</v>
      </c>
      <c r="Q791" s="505">
        <v>13334</v>
      </c>
      <c r="R791" s="460"/>
      <c r="S791" s="505">
        <v>34124</v>
      </c>
      <c r="T791" s="505">
        <v>2062</v>
      </c>
      <c r="U791" s="505">
        <v>36186</v>
      </c>
      <c r="W791" s="454">
        <v>202128</v>
      </c>
      <c r="X791" s="454">
        <v>41623</v>
      </c>
    </row>
    <row r="792" spans="1:24">
      <c r="A792" s="458">
        <v>98521</v>
      </c>
      <c r="B792" s="518" t="s">
        <v>1498</v>
      </c>
      <c r="C792" s="460">
        <f t="shared" si="13"/>
        <v>5.637100575042733E-4</v>
      </c>
      <c r="D792" s="460">
        <f>VLOOKUP(A792,'2024 summary '!A792:C1698,3,FALSE)</f>
        <v>5.8965999999999999E-4</v>
      </c>
      <c r="E792" s="505">
        <v>3800235</v>
      </c>
      <c r="F792" s="460"/>
      <c r="G792" s="505">
        <v>665945</v>
      </c>
      <c r="H792" s="505">
        <v>516640</v>
      </c>
      <c r="I792" s="505">
        <v>0</v>
      </c>
      <c r="J792" s="505">
        <v>0</v>
      </c>
      <c r="K792" s="505">
        <v>1182585</v>
      </c>
      <c r="L792" s="460"/>
      <c r="M792" s="505">
        <v>4478</v>
      </c>
      <c r="N792" s="505">
        <v>0</v>
      </c>
      <c r="O792" s="505">
        <v>0</v>
      </c>
      <c r="P792" s="505">
        <v>174251</v>
      </c>
      <c r="Q792" s="505">
        <v>178729</v>
      </c>
      <c r="R792" s="460"/>
      <c r="S792" s="505">
        <v>1136866</v>
      </c>
      <c r="T792" s="505">
        <v>-88799</v>
      </c>
      <c r="U792" s="505">
        <v>1048067</v>
      </c>
      <c r="W792" s="454">
        <v>6734127</v>
      </c>
      <c r="X792" s="454">
        <v>1386705</v>
      </c>
    </row>
    <row r="793" spans="1:24">
      <c r="A793" s="458">
        <v>98601</v>
      </c>
      <c r="B793" s="518" t="s">
        <v>1499</v>
      </c>
      <c r="C793" s="460">
        <f t="shared" si="13"/>
        <v>3.461060061097873E-3</v>
      </c>
      <c r="D793" s="460">
        <f>VLOOKUP(A793,'2024 summary '!A793:C1699,3,FALSE)</f>
        <v>3.4277399999999999E-3</v>
      </c>
      <c r="E793" s="505">
        <v>23332636</v>
      </c>
      <c r="F793" s="460"/>
      <c r="G793" s="505">
        <v>4088761</v>
      </c>
      <c r="H793" s="505">
        <v>3172058</v>
      </c>
      <c r="I793" s="505">
        <v>0</v>
      </c>
      <c r="J793" s="505">
        <v>32598</v>
      </c>
      <c r="K793" s="505">
        <v>7293417</v>
      </c>
      <c r="L793" s="460"/>
      <c r="M793" s="505">
        <v>27491</v>
      </c>
      <c r="N793" s="505">
        <v>0</v>
      </c>
      <c r="O793" s="505">
        <v>0</v>
      </c>
      <c r="P793" s="505">
        <v>191139</v>
      </c>
      <c r="Q793" s="505">
        <v>218630</v>
      </c>
      <c r="R793" s="460"/>
      <c r="S793" s="505">
        <v>6980114</v>
      </c>
      <c r="T793" s="505">
        <v>-172300</v>
      </c>
      <c r="U793" s="505">
        <v>6807814</v>
      </c>
      <c r="W793" s="454">
        <v>41346113</v>
      </c>
      <c r="X793" s="454">
        <v>8514073</v>
      </c>
    </row>
    <row r="794" spans="1:24">
      <c r="A794" s="458">
        <v>98604</v>
      </c>
      <c r="B794" s="518" t="s">
        <v>1500</v>
      </c>
      <c r="C794" s="460">
        <f t="shared" si="13"/>
        <v>1.7480012916664644E-5</v>
      </c>
      <c r="D794" s="460">
        <f>VLOOKUP(A794,'2024 summary '!A794:C1700,3,FALSE)</f>
        <v>1.501E-5</v>
      </c>
      <c r="E794" s="505">
        <v>117841</v>
      </c>
      <c r="F794" s="460"/>
      <c r="G794" s="505">
        <v>20650</v>
      </c>
      <c r="H794" s="505">
        <v>16020</v>
      </c>
      <c r="I794" s="505">
        <v>0</v>
      </c>
      <c r="J794" s="505">
        <v>11102</v>
      </c>
      <c r="K794" s="505">
        <v>47772</v>
      </c>
      <c r="L794" s="460"/>
      <c r="M794" s="505">
        <v>139</v>
      </c>
      <c r="N794" s="505">
        <v>0</v>
      </c>
      <c r="O794" s="505">
        <v>0</v>
      </c>
      <c r="P794" s="505">
        <v>3579</v>
      </c>
      <c r="Q794" s="505">
        <v>3718</v>
      </c>
      <c r="R794" s="460"/>
      <c r="S794" s="505">
        <v>35253</v>
      </c>
      <c r="T794" s="505">
        <v>4423</v>
      </c>
      <c r="U794" s="505">
        <v>39676</v>
      </c>
      <c r="W794" s="454">
        <v>208818</v>
      </c>
      <c r="X794" s="454">
        <v>43000</v>
      </c>
    </row>
    <row r="795" spans="1:24">
      <c r="A795" s="458">
        <v>98607</v>
      </c>
      <c r="B795" s="518" t="s">
        <v>1501</v>
      </c>
      <c r="C795" s="460">
        <f t="shared" si="13"/>
        <v>8.6800047167925286E-6</v>
      </c>
      <c r="D795" s="460">
        <f>VLOOKUP(A795,'2024 summary '!A795:C1701,3,FALSE)</f>
        <v>6.72E-6</v>
      </c>
      <c r="E795" s="505">
        <v>58516</v>
      </c>
      <c r="F795" s="460"/>
      <c r="G795" s="505">
        <v>10254</v>
      </c>
      <c r="H795" s="505">
        <v>7955</v>
      </c>
      <c r="I795" s="505">
        <v>0</v>
      </c>
      <c r="J795" s="505">
        <v>13973</v>
      </c>
      <c r="K795" s="505">
        <v>32182</v>
      </c>
      <c r="L795" s="460"/>
      <c r="M795" s="505">
        <v>69</v>
      </c>
      <c r="N795" s="505">
        <v>0</v>
      </c>
      <c r="O795" s="505">
        <v>0</v>
      </c>
      <c r="P795" s="505">
        <v>9601</v>
      </c>
      <c r="Q795" s="505">
        <v>9670</v>
      </c>
      <c r="R795" s="460"/>
      <c r="S795" s="505">
        <v>17505</v>
      </c>
      <c r="T795" s="505">
        <v>3437</v>
      </c>
      <c r="U795" s="505">
        <v>20942</v>
      </c>
      <c r="W795" s="454">
        <v>103692</v>
      </c>
      <c r="X795" s="454">
        <v>21352</v>
      </c>
    </row>
    <row r="796" spans="1:24">
      <c r="A796" s="458">
        <v>98608</v>
      </c>
      <c r="B796" s="518" t="s">
        <v>1502</v>
      </c>
      <c r="C796" s="460">
        <f t="shared" si="13"/>
        <v>5.5600031580704018E-5</v>
      </c>
      <c r="D796" s="460">
        <f>VLOOKUP(A796,'2024 summary '!A796:C1702,3,FALSE)</f>
        <v>6.0229999999999998E-5</v>
      </c>
      <c r="E796" s="505">
        <v>374826</v>
      </c>
      <c r="F796" s="460"/>
      <c r="G796" s="505">
        <v>65684</v>
      </c>
      <c r="H796" s="505">
        <v>50957</v>
      </c>
      <c r="I796" s="505">
        <v>0</v>
      </c>
      <c r="J796" s="505">
        <v>4994</v>
      </c>
      <c r="K796" s="505">
        <v>121635</v>
      </c>
      <c r="L796" s="460"/>
      <c r="M796" s="505">
        <v>442</v>
      </c>
      <c r="N796" s="505">
        <v>0</v>
      </c>
      <c r="O796" s="505">
        <v>0</v>
      </c>
      <c r="P796" s="505">
        <v>14528</v>
      </c>
      <c r="Q796" s="505">
        <v>14970</v>
      </c>
      <c r="R796" s="460"/>
      <c r="S796" s="505">
        <v>112132</v>
      </c>
      <c r="T796" s="505">
        <v>-1124</v>
      </c>
      <c r="U796" s="505">
        <v>111008</v>
      </c>
      <c r="W796" s="454">
        <v>664202</v>
      </c>
      <c r="X796" s="454">
        <v>136774</v>
      </c>
    </row>
    <row r="797" spans="1:24">
      <c r="A797" s="458">
        <v>98611</v>
      </c>
      <c r="B797" s="518" t="s">
        <v>1503</v>
      </c>
      <c r="C797" s="460">
        <f t="shared" si="13"/>
        <v>1.4267004950166371E-4</v>
      </c>
      <c r="D797" s="460">
        <f>VLOOKUP(A797,'2024 summary '!A797:C1703,3,FALSE)</f>
        <v>1.2919E-4</v>
      </c>
      <c r="E797" s="505">
        <v>961806</v>
      </c>
      <c r="F797" s="460"/>
      <c r="G797" s="505">
        <v>168545</v>
      </c>
      <c r="H797" s="505">
        <v>130757</v>
      </c>
      <c r="I797" s="505">
        <v>0</v>
      </c>
      <c r="J797" s="505">
        <v>38813</v>
      </c>
      <c r="K797" s="505">
        <v>338115</v>
      </c>
      <c r="L797" s="460"/>
      <c r="M797" s="505">
        <v>1133</v>
      </c>
      <c r="N797" s="505">
        <v>0</v>
      </c>
      <c r="O797" s="505">
        <v>0</v>
      </c>
      <c r="P797" s="505">
        <v>9744</v>
      </c>
      <c r="Q797" s="505">
        <v>10877</v>
      </c>
      <c r="R797" s="460"/>
      <c r="S797" s="505">
        <v>287731</v>
      </c>
      <c r="T797" s="505">
        <v>15456</v>
      </c>
      <c r="U797" s="505">
        <v>303187</v>
      </c>
      <c r="W797" s="454">
        <v>1704348</v>
      </c>
      <c r="X797" s="454">
        <v>350963</v>
      </c>
    </row>
    <row r="798" spans="1:24">
      <c r="A798" s="458">
        <v>98621</v>
      </c>
      <c r="B798" s="518" t="s">
        <v>1504</v>
      </c>
      <c r="C798" s="460">
        <f t="shared" si="13"/>
        <v>1.4721994670376532E-4</v>
      </c>
      <c r="D798" s="460">
        <f>VLOOKUP(A798,'2024 summary '!A798:C1704,3,FALSE)</f>
        <v>1.3966E-4</v>
      </c>
      <c r="E798" s="505">
        <v>992479</v>
      </c>
      <c r="F798" s="460"/>
      <c r="G798" s="505">
        <v>173920</v>
      </c>
      <c r="H798" s="505">
        <v>134927</v>
      </c>
      <c r="I798" s="505">
        <v>0</v>
      </c>
      <c r="J798" s="505">
        <v>14957</v>
      </c>
      <c r="K798" s="505">
        <v>323804</v>
      </c>
      <c r="L798" s="460"/>
      <c r="M798" s="505">
        <v>1169</v>
      </c>
      <c r="N798" s="505">
        <v>0</v>
      </c>
      <c r="O798" s="505">
        <v>0</v>
      </c>
      <c r="P798" s="505">
        <v>5422</v>
      </c>
      <c r="Q798" s="505">
        <v>6591</v>
      </c>
      <c r="R798" s="460"/>
      <c r="S798" s="505">
        <v>296907</v>
      </c>
      <c r="T798" s="505">
        <v>1117</v>
      </c>
      <c r="U798" s="505">
        <v>298024</v>
      </c>
      <c r="W798" s="454">
        <v>1758702</v>
      </c>
      <c r="X798" s="454">
        <v>362155</v>
      </c>
    </row>
    <row r="799" spans="1:24">
      <c r="A799" s="458">
        <v>98627</v>
      </c>
      <c r="B799" s="518" t="s">
        <v>1505</v>
      </c>
      <c r="C799" s="460">
        <f t="shared" si="13"/>
        <v>8.7099685036677781E-6</v>
      </c>
      <c r="D799" s="460">
        <f>VLOOKUP(A799,'2024 summary '!A799:C1705,3,FALSE)</f>
        <v>9.4299999999999995E-6</v>
      </c>
      <c r="E799" s="505">
        <v>58718</v>
      </c>
      <c r="F799" s="460"/>
      <c r="G799" s="505">
        <v>10290</v>
      </c>
      <c r="H799" s="505">
        <v>7983</v>
      </c>
      <c r="I799" s="505">
        <v>0</v>
      </c>
      <c r="J799" s="505">
        <v>28</v>
      </c>
      <c r="K799" s="505">
        <v>18301</v>
      </c>
      <c r="L799" s="460"/>
      <c r="M799" s="505">
        <v>69</v>
      </c>
      <c r="N799" s="505">
        <v>0</v>
      </c>
      <c r="O799" s="505">
        <v>0</v>
      </c>
      <c r="P799" s="505">
        <v>2511</v>
      </c>
      <c r="Q799" s="505">
        <v>2580</v>
      </c>
      <c r="R799" s="460"/>
      <c r="S799" s="505">
        <v>17566</v>
      </c>
      <c r="T799" s="505">
        <v>576</v>
      </c>
      <c r="U799" s="505">
        <v>18142</v>
      </c>
      <c r="W799" s="454">
        <v>104050</v>
      </c>
      <c r="X799" s="454">
        <v>21426</v>
      </c>
    </row>
    <row r="800" spans="1:24">
      <c r="A800" s="458">
        <v>98631</v>
      </c>
      <c r="B800" s="518" t="s">
        <v>1506</v>
      </c>
      <c r="C800" s="460">
        <f t="shared" si="13"/>
        <v>7.4633993185123241E-4</v>
      </c>
      <c r="D800" s="460">
        <f>VLOOKUP(A800,'2024 summary '!A800:C1706,3,FALSE)</f>
        <v>7.6785000000000004E-4</v>
      </c>
      <c r="E800" s="505">
        <v>5031429</v>
      </c>
      <c r="F800" s="460"/>
      <c r="G800" s="505">
        <v>881697</v>
      </c>
      <c r="H800" s="505">
        <v>684020</v>
      </c>
      <c r="I800" s="505">
        <v>0</v>
      </c>
      <c r="J800" s="505">
        <v>46602</v>
      </c>
      <c r="K800" s="505">
        <v>1612319</v>
      </c>
      <c r="L800" s="460"/>
      <c r="M800" s="505">
        <v>5928</v>
      </c>
      <c r="N800" s="505">
        <v>0</v>
      </c>
      <c r="O800" s="505">
        <v>0</v>
      </c>
      <c r="P800" s="505">
        <v>126168</v>
      </c>
      <c r="Q800" s="505">
        <v>132096</v>
      </c>
      <c r="R800" s="460"/>
      <c r="S800" s="505">
        <v>1505186</v>
      </c>
      <c r="T800" s="505">
        <v>-81868</v>
      </c>
      <c r="U800" s="505">
        <v>1423318</v>
      </c>
      <c r="W800" s="454">
        <v>8915840</v>
      </c>
      <c r="X800" s="454">
        <v>1835967</v>
      </c>
    </row>
    <row r="801" spans="1:24">
      <c r="A801" s="458">
        <v>98637</v>
      </c>
      <c r="B801" s="518" t="s">
        <v>1507</v>
      </c>
      <c r="C801" s="460">
        <f t="shared" si="13"/>
        <v>1.4279969479735169E-5</v>
      </c>
      <c r="D801" s="460">
        <f>VLOOKUP(A801,'2024 summary '!A801:C1707,3,FALSE)</f>
        <v>2.001E-5</v>
      </c>
      <c r="E801" s="505">
        <v>96268</v>
      </c>
      <c r="F801" s="460"/>
      <c r="G801" s="505">
        <v>16870</v>
      </c>
      <c r="H801" s="505">
        <v>13088</v>
      </c>
      <c r="I801" s="505">
        <v>0</v>
      </c>
      <c r="J801" s="505">
        <v>6366</v>
      </c>
      <c r="K801" s="505">
        <v>36324</v>
      </c>
      <c r="L801" s="460"/>
      <c r="M801" s="505">
        <v>113</v>
      </c>
      <c r="N801" s="505">
        <v>0</v>
      </c>
      <c r="O801" s="505">
        <v>0</v>
      </c>
      <c r="P801" s="505">
        <v>13988</v>
      </c>
      <c r="Q801" s="505">
        <v>14101</v>
      </c>
      <c r="R801" s="460"/>
      <c r="S801" s="505">
        <v>28799</v>
      </c>
      <c r="T801" s="505">
        <v>417</v>
      </c>
      <c r="U801" s="505">
        <v>29216</v>
      </c>
      <c r="W801" s="454">
        <v>170590</v>
      </c>
      <c r="X801" s="454">
        <v>35128</v>
      </c>
    </row>
    <row r="802" spans="1:24">
      <c r="A802" s="458">
        <v>98641</v>
      </c>
      <c r="B802" s="518" t="s">
        <v>1508</v>
      </c>
      <c r="C802" s="460">
        <f t="shared" si="13"/>
        <v>2.4277001298157779E-4</v>
      </c>
      <c r="D802" s="460">
        <f>VLOOKUP(A802,'2024 summary '!A802:C1708,3,FALSE)</f>
        <v>2.6713000000000003E-4</v>
      </c>
      <c r="E802" s="505">
        <v>1636627</v>
      </c>
      <c r="F802" s="460"/>
      <c r="G802" s="505">
        <v>286799</v>
      </c>
      <c r="H802" s="505">
        <v>222498</v>
      </c>
      <c r="I802" s="505">
        <v>0</v>
      </c>
      <c r="J802" s="505">
        <v>7847</v>
      </c>
      <c r="K802" s="505">
        <v>517144</v>
      </c>
      <c r="L802" s="460"/>
      <c r="M802" s="505">
        <v>1928</v>
      </c>
      <c r="N802" s="505">
        <v>0</v>
      </c>
      <c r="O802" s="505">
        <v>0</v>
      </c>
      <c r="P802" s="505">
        <v>100284</v>
      </c>
      <c r="Q802" s="505">
        <v>102212</v>
      </c>
      <c r="R802" s="460"/>
      <c r="S802" s="505">
        <v>489608</v>
      </c>
      <c r="T802" s="505">
        <v>-31834</v>
      </c>
      <c r="U802" s="505">
        <v>457774</v>
      </c>
      <c r="W802" s="454">
        <v>2900151</v>
      </c>
      <c r="X802" s="454">
        <v>597205</v>
      </c>
    </row>
    <row r="803" spans="1:24">
      <c r="A803" s="458">
        <v>98701</v>
      </c>
      <c r="B803" s="518" t="s">
        <v>1509</v>
      </c>
      <c r="C803" s="460">
        <f t="shared" si="13"/>
        <v>1.0857900315483237E-3</v>
      </c>
      <c r="D803" s="460">
        <f>VLOOKUP(A803,'2024 summary '!A803:C1709,3,FALSE)</f>
        <v>1.06452E-3</v>
      </c>
      <c r="E803" s="505">
        <v>7319822</v>
      </c>
      <c r="F803" s="460"/>
      <c r="G803" s="505">
        <v>1282710</v>
      </c>
      <c r="H803" s="505">
        <v>995125</v>
      </c>
      <c r="I803" s="505">
        <v>0</v>
      </c>
      <c r="J803" s="505">
        <v>124729</v>
      </c>
      <c r="K803" s="505">
        <v>2402564</v>
      </c>
      <c r="L803" s="460"/>
      <c r="M803" s="505">
        <v>8624</v>
      </c>
      <c r="N803" s="505">
        <v>0</v>
      </c>
      <c r="O803" s="505">
        <v>0</v>
      </c>
      <c r="P803" s="505">
        <v>79875</v>
      </c>
      <c r="Q803" s="505">
        <v>88499</v>
      </c>
      <c r="R803" s="460"/>
      <c r="S803" s="505">
        <v>2189773</v>
      </c>
      <c r="T803" s="505">
        <v>61241</v>
      </c>
      <c r="U803" s="505">
        <v>2251014</v>
      </c>
      <c r="W803" s="454">
        <v>12970939</v>
      </c>
      <c r="X803" s="454">
        <v>2671001</v>
      </c>
    </row>
    <row r="804" spans="1:24">
      <c r="A804" s="458">
        <v>98711</v>
      </c>
      <c r="B804" s="518" t="s">
        <v>1510</v>
      </c>
      <c r="C804" s="460">
        <f t="shared" si="13"/>
        <v>1.6496993037346438E-4</v>
      </c>
      <c r="D804" s="460">
        <f>VLOOKUP(A804,'2024 summary '!A804:C1710,3,FALSE)</f>
        <v>1.5754000000000001E-4</v>
      </c>
      <c r="E804" s="505">
        <v>1112140</v>
      </c>
      <c r="F804" s="460"/>
      <c r="G804" s="505">
        <v>194889</v>
      </c>
      <c r="H804" s="505">
        <v>151195</v>
      </c>
      <c r="I804" s="505">
        <v>0</v>
      </c>
      <c r="J804" s="505">
        <v>24048</v>
      </c>
      <c r="K804" s="505">
        <v>370132</v>
      </c>
      <c r="L804" s="460"/>
      <c r="M804" s="505">
        <v>1310</v>
      </c>
      <c r="N804" s="505">
        <v>0</v>
      </c>
      <c r="O804" s="505">
        <v>0</v>
      </c>
      <c r="P804" s="505">
        <v>31208</v>
      </c>
      <c r="Q804" s="505">
        <v>32518</v>
      </c>
      <c r="R804" s="460"/>
      <c r="S804" s="505">
        <v>332704</v>
      </c>
      <c r="T804" s="505">
        <v>3954</v>
      </c>
      <c r="U804" s="505">
        <v>336658</v>
      </c>
      <c r="W804" s="454">
        <v>1970745</v>
      </c>
      <c r="X804" s="454">
        <v>405820</v>
      </c>
    </row>
    <row r="805" spans="1:24">
      <c r="A805" s="458">
        <v>98717</v>
      </c>
      <c r="B805" s="518" t="s">
        <v>1511</v>
      </c>
      <c r="C805" s="460">
        <f t="shared" si="13"/>
        <v>1.3570035400601786E-5</v>
      </c>
      <c r="D805" s="460">
        <f>VLOOKUP(A805,'2024 summary '!A805:C1711,3,FALSE)</f>
        <v>1.9210000000000001E-5</v>
      </c>
      <c r="E805" s="505">
        <v>91482</v>
      </c>
      <c r="F805" s="460"/>
      <c r="G805" s="505">
        <v>16031</v>
      </c>
      <c r="H805" s="505">
        <v>12437</v>
      </c>
      <c r="I805" s="505">
        <v>0</v>
      </c>
      <c r="J805" s="505">
        <v>8209</v>
      </c>
      <c r="K805" s="505">
        <v>36677</v>
      </c>
      <c r="L805" s="460"/>
      <c r="M805" s="505">
        <v>108</v>
      </c>
      <c r="N805" s="505">
        <v>0</v>
      </c>
      <c r="O805" s="505">
        <v>0</v>
      </c>
      <c r="P805" s="505">
        <v>16141</v>
      </c>
      <c r="Q805" s="505">
        <v>16249</v>
      </c>
      <c r="R805" s="460"/>
      <c r="S805" s="505">
        <v>27367</v>
      </c>
      <c r="T805" s="505">
        <v>-1239</v>
      </c>
      <c r="U805" s="505">
        <v>26128</v>
      </c>
      <c r="W805" s="454">
        <v>162108</v>
      </c>
      <c r="X805" s="454">
        <v>33382</v>
      </c>
    </row>
    <row r="806" spans="1:24">
      <c r="A806" s="458">
        <v>98801</v>
      </c>
      <c r="B806" s="518" t="s">
        <v>1512</v>
      </c>
      <c r="C806" s="460">
        <f t="shared" si="13"/>
        <v>2.2256700384873018E-3</v>
      </c>
      <c r="D806" s="460">
        <f>VLOOKUP(A806,'2024 summary '!A806:C1712,3,FALSE)</f>
        <v>2.2014299999999999E-3</v>
      </c>
      <c r="E806" s="505">
        <v>15004290</v>
      </c>
      <c r="F806" s="460"/>
      <c r="G806" s="505">
        <v>2629320</v>
      </c>
      <c r="H806" s="505">
        <v>2039824</v>
      </c>
      <c r="I806" s="505">
        <v>0</v>
      </c>
      <c r="J806" s="505">
        <v>274726</v>
      </c>
      <c r="K806" s="505">
        <v>4943870</v>
      </c>
      <c r="L806" s="460"/>
      <c r="M806" s="505">
        <v>17678</v>
      </c>
      <c r="N806" s="505">
        <v>0</v>
      </c>
      <c r="O806" s="505">
        <v>0</v>
      </c>
      <c r="P806" s="505">
        <v>309431</v>
      </c>
      <c r="Q806" s="505">
        <v>327109</v>
      </c>
      <c r="R806" s="460"/>
      <c r="S806" s="505">
        <v>4488633</v>
      </c>
      <c r="T806" s="505">
        <v>39233</v>
      </c>
      <c r="U806" s="505">
        <v>4527866</v>
      </c>
      <c r="W806" s="454">
        <v>26588041</v>
      </c>
      <c r="X806" s="454">
        <v>5475061</v>
      </c>
    </row>
    <row r="807" spans="1:24">
      <c r="A807" s="458">
        <v>98811</v>
      </c>
      <c r="B807" s="518" t="s">
        <v>1513</v>
      </c>
      <c r="C807" s="460">
        <f t="shared" si="13"/>
        <v>6.4703000366289046E-4</v>
      </c>
      <c r="D807" s="460">
        <f>VLOOKUP(A807,'2024 summary '!A807:C1713,3,FALSE)</f>
        <v>6.0041000000000001E-4</v>
      </c>
      <c r="E807" s="505">
        <v>4361934</v>
      </c>
      <c r="F807" s="460"/>
      <c r="G807" s="505">
        <v>764376</v>
      </c>
      <c r="H807" s="505">
        <v>593002</v>
      </c>
      <c r="I807" s="505">
        <v>0</v>
      </c>
      <c r="J807" s="505">
        <v>208100</v>
      </c>
      <c r="K807" s="505">
        <v>1565478</v>
      </c>
      <c r="L807" s="460"/>
      <c r="M807" s="505">
        <v>5139</v>
      </c>
      <c r="N807" s="505">
        <v>0</v>
      </c>
      <c r="O807" s="505">
        <v>0</v>
      </c>
      <c r="P807" s="505">
        <v>1033</v>
      </c>
      <c r="Q807" s="505">
        <v>6172</v>
      </c>
      <c r="R807" s="460"/>
      <c r="S807" s="505">
        <v>1304902</v>
      </c>
      <c r="T807" s="505">
        <v>54694</v>
      </c>
      <c r="U807" s="505">
        <v>1359596</v>
      </c>
      <c r="W807" s="454">
        <v>7729475</v>
      </c>
      <c r="X807" s="454">
        <v>1591669</v>
      </c>
    </row>
    <row r="808" spans="1:24">
      <c r="A808" s="458">
        <v>98817</v>
      </c>
      <c r="B808" s="518" t="s">
        <v>1514</v>
      </c>
      <c r="C808" s="460">
        <f t="shared" si="13"/>
        <v>7.7600274583752192E-6</v>
      </c>
      <c r="D808" s="460">
        <f>VLOOKUP(A808,'2024 summary '!A808:C1714,3,FALSE)</f>
        <v>1.131E-5</v>
      </c>
      <c r="E808" s="505">
        <v>52314</v>
      </c>
      <c r="F808" s="460"/>
      <c r="G808" s="505">
        <v>9167</v>
      </c>
      <c r="H808" s="505">
        <v>7112</v>
      </c>
      <c r="I808" s="505">
        <v>0</v>
      </c>
      <c r="J808" s="505">
        <v>5989</v>
      </c>
      <c r="K808" s="505">
        <v>22268</v>
      </c>
      <c r="L808" s="460"/>
      <c r="M808" s="505">
        <v>62</v>
      </c>
      <c r="N808" s="505">
        <v>0</v>
      </c>
      <c r="O808" s="505">
        <v>0</v>
      </c>
      <c r="P808" s="505">
        <v>4328</v>
      </c>
      <c r="Q808" s="505">
        <v>4390</v>
      </c>
      <c r="R808" s="460"/>
      <c r="S808" s="505">
        <v>15650</v>
      </c>
      <c r="T808" s="505">
        <v>2737</v>
      </c>
      <c r="U808" s="505">
        <v>18387</v>
      </c>
      <c r="W808" s="454">
        <v>92702</v>
      </c>
      <c r="X808" s="454">
        <v>19089</v>
      </c>
    </row>
    <row r="809" spans="1:24">
      <c r="A809" s="458">
        <v>98901</v>
      </c>
      <c r="B809" s="518" t="s">
        <v>1515</v>
      </c>
      <c r="C809" s="460">
        <f t="shared" si="13"/>
        <v>2.5220994086748861E-4</v>
      </c>
      <c r="D809" s="460">
        <f>VLOOKUP(A809,'2024 summary '!A809:C1715,3,FALSE)</f>
        <v>2.3363E-4</v>
      </c>
      <c r="E809" s="505">
        <v>1700266</v>
      </c>
      <c r="F809" s="460"/>
      <c r="G809" s="505">
        <v>297951</v>
      </c>
      <c r="H809" s="505">
        <v>231150</v>
      </c>
      <c r="I809" s="505">
        <v>0</v>
      </c>
      <c r="J809" s="505">
        <v>100214</v>
      </c>
      <c r="K809" s="505">
        <v>629315</v>
      </c>
      <c r="L809" s="460"/>
      <c r="M809" s="505">
        <v>2003</v>
      </c>
      <c r="N809" s="505">
        <v>0</v>
      </c>
      <c r="O809" s="505">
        <v>0</v>
      </c>
      <c r="P809" s="505">
        <v>50308</v>
      </c>
      <c r="Q809" s="505">
        <v>52311</v>
      </c>
      <c r="R809" s="460"/>
      <c r="S809" s="505">
        <v>508646</v>
      </c>
      <c r="T809" s="505">
        <v>11895</v>
      </c>
      <c r="U809" s="505">
        <v>520541</v>
      </c>
      <c r="W809" s="454">
        <v>3012922</v>
      </c>
      <c r="X809" s="454">
        <v>620427</v>
      </c>
    </row>
    <row r="810" spans="1:24">
      <c r="A810" s="458">
        <v>98904</v>
      </c>
      <c r="B810" s="518" t="s">
        <v>1516</v>
      </c>
      <c r="C810" s="460">
        <f t="shared" si="13"/>
        <v>3.0399893476304954E-6</v>
      </c>
      <c r="D810" s="460">
        <f>VLOOKUP(A810,'2024 summary '!A810:C1716,3,FALSE)</f>
        <v>3.05E-6</v>
      </c>
      <c r="E810" s="505">
        <v>20494</v>
      </c>
      <c r="F810" s="460"/>
      <c r="G810" s="505">
        <v>3591</v>
      </c>
      <c r="H810" s="505">
        <v>2786</v>
      </c>
      <c r="I810" s="505">
        <v>0</v>
      </c>
      <c r="J810" s="505">
        <v>922</v>
      </c>
      <c r="K810" s="505">
        <v>7299</v>
      </c>
      <c r="L810" s="460"/>
      <c r="M810" s="505">
        <v>24</v>
      </c>
      <c r="N810" s="505">
        <v>0</v>
      </c>
      <c r="O810" s="505">
        <v>0</v>
      </c>
      <c r="P810" s="505">
        <v>0</v>
      </c>
      <c r="Q810" s="505">
        <v>24</v>
      </c>
      <c r="R810" s="460"/>
      <c r="S810" s="505">
        <v>6131</v>
      </c>
      <c r="T810" s="505">
        <v>-214</v>
      </c>
      <c r="U810" s="505">
        <v>5917</v>
      </c>
      <c r="W810" s="454">
        <v>36316</v>
      </c>
      <c r="X810" s="454">
        <v>7478</v>
      </c>
    </row>
    <row r="811" spans="1:24">
      <c r="A811" s="458">
        <v>98911</v>
      </c>
      <c r="B811" s="518" t="s">
        <v>1517</v>
      </c>
      <c r="C811" s="460">
        <f t="shared" si="13"/>
        <v>2.4699950533392423E-5</v>
      </c>
      <c r="D811" s="460">
        <f>VLOOKUP(A811,'2024 summary '!A811:C1717,3,FALSE)</f>
        <v>2.7290000000000001E-5</v>
      </c>
      <c r="E811" s="505">
        <v>166514</v>
      </c>
      <c r="F811" s="460"/>
      <c r="G811" s="505">
        <v>29180</v>
      </c>
      <c r="H811" s="505">
        <v>22638</v>
      </c>
      <c r="I811" s="505">
        <v>0</v>
      </c>
      <c r="J811" s="505">
        <v>6420</v>
      </c>
      <c r="K811" s="505">
        <v>58238</v>
      </c>
      <c r="L811" s="460"/>
      <c r="M811" s="505">
        <v>196</v>
      </c>
      <c r="N811" s="505">
        <v>0</v>
      </c>
      <c r="O811" s="505">
        <v>0</v>
      </c>
      <c r="P811" s="505">
        <v>6465</v>
      </c>
      <c r="Q811" s="505">
        <v>6661</v>
      </c>
      <c r="R811" s="460"/>
      <c r="S811" s="505">
        <v>49814</v>
      </c>
      <c r="T811" s="505">
        <v>5286</v>
      </c>
      <c r="U811" s="505">
        <v>55100</v>
      </c>
      <c r="W811" s="454">
        <v>295068</v>
      </c>
      <c r="X811" s="454">
        <v>60761</v>
      </c>
    </row>
    <row r="812" spans="1:24">
      <c r="A812" s="458">
        <v>99001</v>
      </c>
      <c r="B812" s="518" t="s">
        <v>1518</v>
      </c>
      <c r="C812" s="460">
        <f t="shared" si="13"/>
        <v>9.4811300212268457E-3</v>
      </c>
      <c r="D812" s="460">
        <f>VLOOKUP(A812,'2024 summary '!A812:C1718,3,FALSE)</f>
        <v>9.7854099999999996E-3</v>
      </c>
      <c r="E812" s="505">
        <v>63916763</v>
      </c>
      <c r="F812" s="460"/>
      <c r="G812" s="505">
        <v>11200637</v>
      </c>
      <c r="H812" s="505">
        <v>8689446</v>
      </c>
      <c r="I812" s="505">
        <v>0</v>
      </c>
      <c r="J812" s="505">
        <v>156400</v>
      </c>
      <c r="K812" s="505">
        <v>20046483</v>
      </c>
      <c r="L812" s="460"/>
      <c r="M812" s="505">
        <v>75309</v>
      </c>
      <c r="N812" s="505">
        <v>0</v>
      </c>
      <c r="O812" s="505">
        <v>0</v>
      </c>
      <c r="P812" s="505">
        <v>1189543</v>
      </c>
      <c r="Q812" s="505">
        <v>1264852</v>
      </c>
      <c r="R812" s="460"/>
      <c r="S812" s="505">
        <v>19121126</v>
      </c>
      <c r="T812" s="505">
        <v>-179581</v>
      </c>
      <c r="U812" s="505">
        <v>18941545</v>
      </c>
      <c r="W812" s="454">
        <v>113262375</v>
      </c>
      <c r="X812" s="454">
        <v>23323210</v>
      </c>
    </row>
    <row r="813" spans="1:24">
      <c r="A813" s="458">
        <v>99011</v>
      </c>
      <c r="B813" s="518" t="s">
        <v>1519</v>
      </c>
      <c r="C813" s="460">
        <f t="shared" si="13"/>
        <v>3.8986000288494011E-3</v>
      </c>
      <c r="D813" s="460">
        <f>VLOOKUP(A813,'2024 summary '!A813:C1719,3,FALSE)</f>
        <v>3.8360099999999999E-3</v>
      </c>
      <c r="E813" s="505">
        <v>26282299</v>
      </c>
      <c r="F813" s="460"/>
      <c r="G813" s="505">
        <v>4605654</v>
      </c>
      <c r="H813" s="505">
        <v>3573063</v>
      </c>
      <c r="I813" s="505">
        <v>0</v>
      </c>
      <c r="J813" s="505">
        <v>361049</v>
      </c>
      <c r="K813" s="505">
        <v>8539766</v>
      </c>
      <c r="L813" s="460"/>
      <c r="M813" s="505">
        <v>30967</v>
      </c>
      <c r="N813" s="505">
        <v>0</v>
      </c>
      <c r="O813" s="505">
        <v>0</v>
      </c>
      <c r="P813" s="505">
        <v>27742</v>
      </c>
      <c r="Q813" s="505">
        <v>58709</v>
      </c>
      <c r="R813" s="460"/>
      <c r="S813" s="505">
        <v>7862525</v>
      </c>
      <c r="T813" s="505">
        <v>138766</v>
      </c>
      <c r="U813" s="505">
        <v>8001291</v>
      </c>
      <c r="W813" s="454">
        <v>46573003</v>
      </c>
      <c r="X813" s="454">
        <v>9590404</v>
      </c>
    </row>
    <row r="814" spans="1:24">
      <c r="A814" s="458">
        <v>99013</v>
      </c>
      <c r="B814" s="518" t="s">
        <v>1520</v>
      </c>
      <c r="C814" s="460">
        <f t="shared" si="13"/>
        <v>5.2119930571395969E-5</v>
      </c>
      <c r="D814" s="460">
        <f>VLOOKUP(A814,'2024 summary '!A814:C1720,3,FALSE)</f>
        <v>5.1E-5</v>
      </c>
      <c r="E814" s="505">
        <v>351365</v>
      </c>
      <c r="F814" s="460"/>
      <c r="G814" s="505">
        <v>61573</v>
      </c>
      <c r="H814" s="505">
        <v>47768</v>
      </c>
      <c r="I814" s="505">
        <v>0</v>
      </c>
      <c r="J814" s="505">
        <v>12971</v>
      </c>
      <c r="K814" s="505">
        <v>122312</v>
      </c>
      <c r="L814" s="460"/>
      <c r="M814" s="505">
        <v>414</v>
      </c>
      <c r="N814" s="505">
        <v>0</v>
      </c>
      <c r="O814" s="505">
        <v>0</v>
      </c>
      <c r="P814" s="505">
        <v>25718</v>
      </c>
      <c r="Q814" s="505">
        <v>26132</v>
      </c>
      <c r="R814" s="460"/>
      <c r="S814" s="505">
        <v>105113</v>
      </c>
      <c r="T814" s="505">
        <v>8811</v>
      </c>
      <c r="U814" s="505">
        <v>113924</v>
      </c>
      <c r="W814" s="454">
        <v>622630</v>
      </c>
      <c r="X814" s="454">
        <v>128213</v>
      </c>
    </row>
    <row r="815" spans="1:24">
      <c r="A815" s="458">
        <v>99014</v>
      </c>
      <c r="B815" s="518" t="s">
        <v>1521</v>
      </c>
      <c r="C815" s="460">
        <f t="shared" si="13"/>
        <v>4.0500063022521428E-5</v>
      </c>
      <c r="D815" s="460">
        <f>VLOOKUP(A815,'2024 summary '!A815:C1721,3,FALSE)</f>
        <v>2.6120000000000001E-5</v>
      </c>
      <c r="E815" s="505">
        <v>273030</v>
      </c>
      <c r="F815" s="460"/>
      <c r="G815" s="505">
        <v>47845</v>
      </c>
      <c r="H815" s="505">
        <v>37118</v>
      </c>
      <c r="I815" s="505">
        <v>0</v>
      </c>
      <c r="J815" s="505">
        <v>52861</v>
      </c>
      <c r="K815" s="505">
        <v>137824</v>
      </c>
      <c r="L815" s="460"/>
      <c r="M815" s="505">
        <v>322</v>
      </c>
      <c r="N815" s="505">
        <v>0</v>
      </c>
      <c r="O815" s="505">
        <v>0</v>
      </c>
      <c r="P815" s="505">
        <v>568</v>
      </c>
      <c r="Q815" s="505">
        <v>890</v>
      </c>
      <c r="R815" s="460"/>
      <c r="S815" s="505">
        <v>81679</v>
      </c>
      <c r="T815" s="505">
        <v>19641</v>
      </c>
      <c r="U815" s="505">
        <v>101320</v>
      </c>
      <c r="W815" s="454">
        <v>483816</v>
      </c>
      <c r="X815" s="454">
        <v>99628</v>
      </c>
    </row>
    <row r="816" spans="1:24">
      <c r="A816" s="458">
        <v>99017</v>
      </c>
      <c r="B816" s="518" t="s">
        <v>1522</v>
      </c>
      <c r="C816" s="460">
        <f t="shared" si="13"/>
        <v>3.2720010261036512E-5</v>
      </c>
      <c r="D816" s="460">
        <f>VLOOKUP(A816,'2024 summary '!A816:C1722,3,FALSE)</f>
        <v>3.6520000000000003E-5</v>
      </c>
      <c r="E816" s="505">
        <v>220581</v>
      </c>
      <c r="F816" s="460"/>
      <c r="G816" s="505">
        <v>38654</v>
      </c>
      <c r="H816" s="505">
        <v>29988</v>
      </c>
      <c r="I816" s="505">
        <v>0</v>
      </c>
      <c r="J816" s="505">
        <v>4454</v>
      </c>
      <c r="K816" s="505">
        <v>73096</v>
      </c>
      <c r="L816" s="460"/>
      <c r="M816" s="505">
        <v>260</v>
      </c>
      <c r="N816" s="505">
        <v>0</v>
      </c>
      <c r="O816" s="505">
        <v>0</v>
      </c>
      <c r="P816" s="505">
        <v>19396</v>
      </c>
      <c r="Q816" s="505">
        <v>19656</v>
      </c>
      <c r="R816" s="460"/>
      <c r="S816" s="505">
        <v>65988</v>
      </c>
      <c r="T816" s="505">
        <v>124</v>
      </c>
      <c r="U816" s="505">
        <v>66112</v>
      </c>
      <c r="W816" s="454">
        <v>390876</v>
      </c>
      <c r="X816" s="454">
        <v>80490</v>
      </c>
    </row>
    <row r="817" spans="1:24">
      <c r="A817" s="458">
        <v>99021</v>
      </c>
      <c r="B817" s="518" t="s">
        <v>1523</v>
      </c>
      <c r="C817" s="460">
        <f t="shared" si="13"/>
        <v>1.3160006194262358E-4</v>
      </c>
      <c r="D817" s="460">
        <f>VLOOKUP(A817,'2024 summary '!A817:C1723,3,FALSE)</f>
        <v>1.1168E-4</v>
      </c>
      <c r="E817" s="505">
        <v>887178</v>
      </c>
      <c r="F817" s="460"/>
      <c r="G817" s="505">
        <v>155467</v>
      </c>
      <c r="H817" s="505">
        <v>120611</v>
      </c>
      <c r="I817" s="505">
        <v>0</v>
      </c>
      <c r="J817" s="505">
        <v>55492</v>
      </c>
      <c r="K817" s="505">
        <v>331570</v>
      </c>
      <c r="L817" s="460"/>
      <c r="M817" s="505">
        <v>1045</v>
      </c>
      <c r="N817" s="505">
        <v>0</v>
      </c>
      <c r="O817" s="505">
        <v>0</v>
      </c>
      <c r="P817" s="505">
        <v>35589</v>
      </c>
      <c r="Q817" s="505">
        <v>36634</v>
      </c>
      <c r="R817" s="460"/>
      <c r="S817" s="505">
        <v>265405</v>
      </c>
      <c r="T817" s="505">
        <v>1941</v>
      </c>
      <c r="U817" s="505">
        <v>267346</v>
      </c>
      <c r="W817" s="454">
        <v>1572105</v>
      </c>
      <c r="X817" s="454">
        <v>323731</v>
      </c>
    </row>
    <row r="818" spans="1:24">
      <c r="A818" s="458">
        <v>99022</v>
      </c>
      <c r="B818" s="518" t="s">
        <v>211</v>
      </c>
      <c r="C818" s="460">
        <f t="shared" si="13"/>
        <v>5.4799612798630528E-6</v>
      </c>
      <c r="D818" s="460">
        <f>VLOOKUP(A818,'2024 summary '!A818:C1724,3,FALSE)</f>
        <v>6.0000000000000002E-6</v>
      </c>
      <c r="E818" s="505">
        <v>36943</v>
      </c>
      <c r="F818" s="460"/>
      <c r="G818" s="505">
        <v>6474</v>
      </c>
      <c r="H818" s="505">
        <v>5022</v>
      </c>
      <c r="I818" s="505">
        <v>0</v>
      </c>
      <c r="J818" s="505">
        <v>19530</v>
      </c>
      <c r="K818" s="505">
        <v>31026</v>
      </c>
      <c r="L818" s="460"/>
      <c r="M818" s="505">
        <v>44</v>
      </c>
      <c r="N818" s="505">
        <v>0</v>
      </c>
      <c r="O818" s="505">
        <v>0</v>
      </c>
      <c r="P818" s="505">
        <v>2138</v>
      </c>
      <c r="Q818" s="505">
        <v>2182</v>
      </c>
      <c r="R818" s="460"/>
      <c r="S818" s="505">
        <v>11052</v>
      </c>
      <c r="T818" s="505">
        <v>10837</v>
      </c>
      <c r="U818" s="505">
        <v>21889</v>
      </c>
      <c r="W818" s="454">
        <v>65465</v>
      </c>
      <c r="X818" s="454">
        <v>13481</v>
      </c>
    </row>
    <row r="819" spans="1:24">
      <c r="A819" s="458">
        <v>99031</v>
      </c>
      <c r="B819" s="518" t="s">
        <v>1524</v>
      </c>
      <c r="C819" s="460">
        <f t="shared" si="13"/>
        <v>8.5129936888576611E-5</v>
      </c>
      <c r="D819" s="460">
        <f>VLOOKUP(A819,'2024 summary '!A819:C1725,3,FALSE)</f>
        <v>1.0115000000000001E-4</v>
      </c>
      <c r="E819" s="505">
        <v>573901</v>
      </c>
      <c r="F819" s="460"/>
      <c r="G819" s="505">
        <v>100569</v>
      </c>
      <c r="H819" s="505">
        <v>78022</v>
      </c>
      <c r="I819" s="505">
        <v>0</v>
      </c>
      <c r="J819" s="505">
        <v>11583</v>
      </c>
      <c r="K819" s="505">
        <v>190174</v>
      </c>
      <c r="L819" s="460"/>
      <c r="M819" s="505">
        <v>676</v>
      </c>
      <c r="N819" s="505">
        <v>0</v>
      </c>
      <c r="O819" s="505">
        <v>0</v>
      </c>
      <c r="P819" s="505">
        <v>61845</v>
      </c>
      <c r="Q819" s="505">
        <v>62521</v>
      </c>
      <c r="R819" s="460"/>
      <c r="S819" s="505">
        <v>171686</v>
      </c>
      <c r="T819" s="505">
        <v>-12433</v>
      </c>
      <c r="U819" s="505">
        <v>159253</v>
      </c>
      <c r="W819" s="454">
        <v>1016970</v>
      </c>
      <c r="X819" s="454">
        <v>209416</v>
      </c>
    </row>
    <row r="820" spans="1:24">
      <c r="A820" s="458">
        <v>99041</v>
      </c>
      <c r="B820" s="518" t="s">
        <v>1525</v>
      </c>
      <c r="C820" s="460">
        <f t="shared" si="13"/>
        <v>6.7794002319396761E-4</v>
      </c>
      <c r="D820" s="460">
        <f>VLOOKUP(A820,'2024 summary '!A820:C1726,3,FALSE)</f>
        <v>6.7024999999999995E-4</v>
      </c>
      <c r="E820" s="505">
        <v>4570313</v>
      </c>
      <c r="F820" s="460"/>
      <c r="G820" s="505">
        <v>800892</v>
      </c>
      <c r="H820" s="505">
        <v>621331</v>
      </c>
      <c r="I820" s="505">
        <v>0</v>
      </c>
      <c r="J820" s="505">
        <v>101436</v>
      </c>
      <c r="K820" s="505">
        <v>1523659</v>
      </c>
      <c r="L820" s="460"/>
      <c r="M820" s="505">
        <v>5385</v>
      </c>
      <c r="N820" s="505">
        <v>0</v>
      </c>
      <c r="O820" s="505">
        <v>0</v>
      </c>
      <c r="P820" s="505">
        <v>3804</v>
      </c>
      <c r="Q820" s="505">
        <v>9189</v>
      </c>
      <c r="R820" s="460"/>
      <c r="S820" s="505">
        <v>1367240</v>
      </c>
      <c r="T820" s="505">
        <v>37588</v>
      </c>
      <c r="U820" s="505">
        <v>1404828</v>
      </c>
      <c r="W820" s="454">
        <v>8098728</v>
      </c>
      <c r="X820" s="454">
        <v>1667706</v>
      </c>
    </row>
    <row r="821" spans="1:24">
      <c r="A821" s="458">
        <v>99047</v>
      </c>
      <c r="B821" s="518" t="s">
        <v>1526</v>
      </c>
      <c r="C821" s="460">
        <f t="shared" si="13"/>
        <v>1.9999937725757395E-5</v>
      </c>
      <c r="D821" s="460">
        <f>VLOOKUP(A821,'2024 summary '!A821:C1727,3,FALSE)</f>
        <v>2.0319999999999999E-5</v>
      </c>
      <c r="E821" s="505">
        <v>134829</v>
      </c>
      <c r="F821" s="460"/>
      <c r="G821" s="505">
        <v>23627</v>
      </c>
      <c r="H821" s="505">
        <v>18330</v>
      </c>
      <c r="I821" s="505">
        <v>0</v>
      </c>
      <c r="J821" s="505">
        <v>16912</v>
      </c>
      <c r="K821" s="505">
        <v>58869</v>
      </c>
      <c r="L821" s="460"/>
      <c r="M821" s="505">
        <v>159</v>
      </c>
      <c r="N821" s="505">
        <v>0</v>
      </c>
      <c r="O821" s="505">
        <v>0</v>
      </c>
      <c r="P821" s="505">
        <v>1819</v>
      </c>
      <c r="Q821" s="505">
        <v>1978</v>
      </c>
      <c r="R821" s="460"/>
      <c r="S821" s="505">
        <v>40335</v>
      </c>
      <c r="T821" s="505">
        <v>11694</v>
      </c>
      <c r="U821" s="505">
        <v>52029</v>
      </c>
      <c r="W821" s="454">
        <v>238922</v>
      </c>
      <c r="X821" s="454">
        <v>49199</v>
      </c>
    </row>
    <row r="822" spans="1:24">
      <c r="A822" s="458">
        <v>99051</v>
      </c>
      <c r="B822" s="518" t="s">
        <v>1527</v>
      </c>
      <c r="C822" s="460">
        <f t="shared" si="13"/>
        <v>3.4689995746063428E-4</v>
      </c>
      <c r="D822" s="460">
        <f>VLOOKUP(A822,'2024 summary '!A822:C1728,3,FALSE)</f>
        <v>3.8573999999999998E-4</v>
      </c>
      <c r="E822" s="505">
        <v>2338616</v>
      </c>
      <c r="F822" s="460"/>
      <c r="G822" s="505">
        <v>409814</v>
      </c>
      <c r="H822" s="505">
        <v>317934</v>
      </c>
      <c r="I822" s="505">
        <v>0</v>
      </c>
      <c r="J822" s="505">
        <v>27070</v>
      </c>
      <c r="K822" s="505">
        <v>754818</v>
      </c>
      <c r="L822" s="460"/>
      <c r="M822" s="505">
        <v>2755</v>
      </c>
      <c r="N822" s="505">
        <v>0</v>
      </c>
      <c r="O822" s="505">
        <v>0</v>
      </c>
      <c r="P822" s="505">
        <v>152602</v>
      </c>
      <c r="Q822" s="505">
        <v>155357</v>
      </c>
      <c r="R822" s="460"/>
      <c r="S822" s="505">
        <v>699613</v>
      </c>
      <c r="T822" s="505">
        <v>-50319</v>
      </c>
      <c r="U822" s="505">
        <v>649294</v>
      </c>
      <c r="W822" s="454">
        <v>4144097</v>
      </c>
      <c r="X822" s="454">
        <v>853360</v>
      </c>
    </row>
    <row r="823" spans="1:24">
      <c r="A823" s="458">
        <v>99061</v>
      </c>
      <c r="B823" s="518" t="s">
        <v>1528</v>
      </c>
      <c r="C823" s="460">
        <f t="shared" si="13"/>
        <v>3.3299854037746167E-6</v>
      </c>
      <c r="D823" s="460">
        <f>VLOOKUP(A823,'2024 summary '!A823:C1729,3,FALSE)</f>
        <v>3.6200000000000001E-6</v>
      </c>
      <c r="E823" s="505">
        <v>22449</v>
      </c>
      <c r="F823" s="460"/>
      <c r="G823" s="505">
        <v>3934</v>
      </c>
      <c r="H823" s="505">
        <v>3052</v>
      </c>
      <c r="I823" s="505">
        <v>0</v>
      </c>
      <c r="J823" s="505">
        <v>6944</v>
      </c>
      <c r="K823" s="505">
        <v>13930</v>
      </c>
      <c r="L823" s="460"/>
      <c r="M823" s="505">
        <v>26</v>
      </c>
      <c r="N823" s="505">
        <v>0</v>
      </c>
      <c r="O823" s="505">
        <v>0</v>
      </c>
      <c r="P823" s="505">
        <v>1922</v>
      </c>
      <c r="Q823" s="505">
        <v>1948</v>
      </c>
      <c r="R823" s="460"/>
      <c r="S823" s="505">
        <v>6716</v>
      </c>
      <c r="T823" s="505">
        <v>2832</v>
      </c>
      <c r="U823" s="505">
        <v>9548</v>
      </c>
      <c r="W823" s="454">
        <v>39780</v>
      </c>
      <c r="X823" s="454">
        <v>8192</v>
      </c>
    </row>
    <row r="824" spans="1:24">
      <c r="A824" s="458">
        <v>99071</v>
      </c>
      <c r="B824" s="518" t="s">
        <v>1529</v>
      </c>
      <c r="C824" s="460">
        <f t="shared" si="13"/>
        <v>1.8259961388892668E-5</v>
      </c>
      <c r="D824" s="460">
        <f>VLOOKUP(A824,'2024 summary '!A824:C1730,3,FALSE)</f>
        <v>2.1929999999999998E-5</v>
      </c>
      <c r="E824" s="505">
        <v>123099</v>
      </c>
      <c r="F824" s="460"/>
      <c r="G824" s="505">
        <v>21572</v>
      </c>
      <c r="H824" s="505">
        <v>16735</v>
      </c>
      <c r="I824" s="505">
        <v>0</v>
      </c>
      <c r="J824" s="505">
        <v>22186</v>
      </c>
      <c r="K824" s="505">
        <v>60493</v>
      </c>
      <c r="L824" s="460"/>
      <c r="M824" s="505">
        <v>145</v>
      </c>
      <c r="N824" s="505">
        <v>0</v>
      </c>
      <c r="O824" s="505">
        <v>0</v>
      </c>
      <c r="P824" s="505">
        <v>14497</v>
      </c>
      <c r="Q824" s="505">
        <v>14642</v>
      </c>
      <c r="R824" s="460"/>
      <c r="S824" s="505">
        <v>36826</v>
      </c>
      <c r="T824" s="505">
        <v>3779</v>
      </c>
      <c r="U824" s="505">
        <v>40605</v>
      </c>
      <c r="W824" s="454">
        <v>218135</v>
      </c>
      <c r="X824" s="454">
        <v>44919</v>
      </c>
    </row>
    <row r="825" spans="1:24">
      <c r="A825" s="458">
        <v>99081</v>
      </c>
      <c r="B825" s="518" t="s">
        <v>1530</v>
      </c>
      <c r="C825" s="460">
        <f t="shared" si="13"/>
        <v>7.2749997835005152E-5</v>
      </c>
      <c r="D825" s="460">
        <f>VLOOKUP(A825,'2024 summary '!A825:C1731,3,FALSE)</f>
        <v>6.7689999999999997E-5</v>
      </c>
      <c r="E825" s="505">
        <v>490442</v>
      </c>
      <c r="F825" s="460"/>
      <c r="G825" s="505">
        <v>85944</v>
      </c>
      <c r="H825" s="505">
        <v>66675</v>
      </c>
      <c r="I825" s="505">
        <v>0</v>
      </c>
      <c r="J825" s="505">
        <v>16011</v>
      </c>
      <c r="K825" s="505">
        <v>168630</v>
      </c>
      <c r="L825" s="460"/>
      <c r="M825" s="505">
        <v>578</v>
      </c>
      <c r="N825" s="505">
        <v>0</v>
      </c>
      <c r="O825" s="505">
        <v>0</v>
      </c>
      <c r="P825" s="505">
        <v>25408</v>
      </c>
      <c r="Q825" s="505">
        <v>25986</v>
      </c>
      <c r="R825" s="460"/>
      <c r="S825" s="505">
        <v>146719</v>
      </c>
      <c r="T825" s="505">
        <v>5564</v>
      </c>
      <c r="U825" s="505">
        <v>152283</v>
      </c>
      <c r="W825" s="454">
        <v>869078</v>
      </c>
      <c r="X825" s="454">
        <v>178962</v>
      </c>
    </row>
    <row r="826" spans="1:24">
      <c r="A826" s="458">
        <v>99091</v>
      </c>
      <c r="B826" s="518" t="s">
        <v>1531</v>
      </c>
      <c r="C826" s="460">
        <f t="shared" si="13"/>
        <v>1.0369991963672309E-5</v>
      </c>
      <c r="D826" s="460">
        <f>VLOOKUP(A826,'2024 summary '!A826:C1732,3,FALSE)</f>
        <v>7.8199999999999997E-6</v>
      </c>
      <c r="E826" s="505">
        <v>69909</v>
      </c>
      <c r="F826" s="460"/>
      <c r="G826" s="505">
        <v>12251</v>
      </c>
      <c r="H826" s="505">
        <v>9504</v>
      </c>
      <c r="I826" s="505">
        <v>0</v>
      </c>
      <c r="J826" s="505">
        <v>14110</v>
      </c>
      <c r="K826" s="505">
        <v>35865</v>
      </c>
      <c r="L826" s="460"/>
      <c r="M826" s="505">
        <v>82</v>
      </c>
      <c r="N826" s="505">
        <v>0</v>
      </c>
      <c r="O826" s="505">
        <v>0</v>
      </c>
      <c r="P826" s="505">
        <v>120</v>
      </c>
      <c r="Q826" s="505">
        <v>202</v>
      </c>
      <c r="R826" s="460"/>
      <c r="S826" s="505">
        <v>20914</v>
      </c>
      <c r="T826" s="505">
        <v>2710</v>
      </c>
      <c r="U826" s="505">
        <v>23624</v>
      </c>
      <c r="W826" s="454">
        <v>123881</v>
      </c>
      <c r="X826" s="454">
        <v>25510</v>
      </c>
    </row>
    <row r="827" spans="1:24">
      <c r="A827" s="458">
        <v>99101</v>
      </c>
      <c r="B827" s="518" t="s">
        <v>1532</v>
      </c>
      <c r="C827" s="460">
        <f t="shared" si="13"/>
        <v>1.600630042672537E-3</v>
      </c>
      <c r="D827" s="460">
        <f>VLOOKUP(A827,'2024 summary '!A827:C1733,3,FALSE)</f>
        <v>1.7205300000000001E-3</v>
      </c>
      <c r="E827" s="505">
        <v>10790601</v>
      </c>
      <c r="F827" s="460"/>
      <c r="G827" s="505">
        <v>1890922</v>
      </c>
      <c r="H827" s="505">
        <v>1466976</v>
      </c>
      <c r="I827" s="505">
        <v>0</v>
      </c>
      <c r="J827" s="505">
        <v>85573</v>
      </c>
      <c r="K827" s="505">
        <v>3443471</v>
      </c>
      <c r="L827" s="460"/>
      <c r="M827" s="505">
        <v>12714</v>
      </c>
      <c r="N827" s="505">
        <v>0</v>
      </c>
      <c r="O827" s="505">
        <v>0</v>
      </c>
      <c r="P827" s="505">
        <v>403736</v>
      </c>
      <c r="Q827" s="505">
        <v>416450</v>
      </c>
      <c r="R827" s="460"/>
      <c r="S827" s="505">
        <v>3228080</v>
      </c>
      <c r="T827" s="505">
        <v>-167261</v>
      </c>
      <c r="U827" s="505">
        <v>3060819</v>
      </c>
      <c r="W827" s="454">
        <v>19121260</v>
      </c>
      <c r="X827" s="454">
        <v>3937487</v>
      </c>
    </row>
    <row r="828" spans="1:24">
      <c r="A828" s="458">
        <v>99104</v>
      </c>
      <c r="B828" s="518" t="s">
        <v>1533</v>
      </c>
      <c r="C828" s="460">
        <f t="shared" si="13"/>
        <v>3.1170051800346017E-5</v>
      </c>
      <c r="D828" s="460">
        <f>VLOOKUP(A828,'2024 summary '!A828:C1734,3,FALSE)</f>
        <v>3.6539999999999999E-5</v>
      </c>
      <c r="E828" s="505">
        <v>210132</v>
      </c>
      <c r="F828" s="460"/>
      <c r="G828" s="505">
        <v>36823</v>
      </c>
      <c r="H828" s="505">
        <v>28567</v>
      </c>
      <c r="I828" s="505">
        <v>0</v>
      </c>
      <c r="J828" s="505">
        <v>13831</v>
      </c>
      <c r="K828" s="505">
        <v>79221</v>
      </c>
      <c r="L828" s="460"/>
      <c r="M828" s="505">
        <v>248</v>
      </c>
      <c r="N828" s="505">
        <v>0</v>
      </c>
      <c r="O828" s="505">
        <v>0</v>
      </c>
      <c r="P828" s="505">
        <v>0</v>
      </c>
      <c r="Q828" s="505">
        <v>248</v>
      </c>
      <c r="R828" s="460"/>
      <c r="S828" s="505">
        <v>62862</v>
      </c>
      <c r="T828" s="505">
        <v>16238</v>
      </c>
      <c r="U828" s="505">
        <v>79100</v>
      </c>
      <c r="W828" s="454">
        <v>372359</v>
      </c>
      <c r="X828" s="454">
        <v>76677</v>
      </c>
    </row>
    <row r="829" spans="1:24">
      <c r="A829" s="458">
        <v>99109</v>
      </c>
      <c r="B829" s="518" t="s">
        <v>1534</v>
      </c>
      <c r="C829" s="460">
        <f t="shared" si="13"/>
        <v>9.4959987346180072E-5</v>
      </c>
      <c r="D829" s="460">
        <f>VLOOKUP(A829,'2024 summary '!A829:C1735,3,FALSE)</f>
        <v>1.1144E-4</v>
      </c>
      <c r="E829" s="505">
        <v>640170</v>
      </c>
      <c r="F829" s="460"/>
      <c r="G829" s="505">
        <v>112182</v>
      </c>
      <c r="H829" s="505">
        <v>87031</v>
      </c>
      <c r="I829" s="505">
        <v>0</v>
      </c>
      <c r="J829" s="505">
        <v>6422</v>
      </c>
      <c r="K829" s="505">
        <v>205635</v>
      </c>
      <c r="L829" s="460"/>
      <c r="M829" s="505">
        <v>754</v>
      </c>
      <c r="N829" s="505">
        <v>0</v>
      </c>
      <c r="O829" s="505">
        <v>0</v>
      </c>
      <c r="P829" s="505">
        <v>65478</v>
      </c>
      <c r="Q829" s="505">
        <v>66232</v>
      </c>
      <c r="R829" s="460"/>
      <c r="S829" s="505">
        <v>191511</v>
      </c>
      <c r="T829" s="505">
        <v>-18557</v>
      </c>
      <c r="U829" s="505">
        <v>172954</v>
      </c>
      <c r="W829" s="454">
        <v>1134400</v>
      </c>
      <c r="X829" s="454">
        <v>233598</v>
      </c>
    </row>
    <row r="830" spans="1:24">
      <c r="A830" s="458">
        <v>99110</v>
      </c>
      <c r="B830" s="518" t="s">
        <v>1535</v>
      </c>
      <c r="C830" s="460">
        <f t="shared" si="13"/>
        <v>1.5579003475682242E-4</v>
      </c>
      <c r="D830" s="460">
        <f>VLOOKUP(A830,'2024 summary '!A830:C1736,3,FALSE)</f>
        <v>1.6658999999999999E-4</v>
      </c>
      <c r="E830" s="505">
        <v>1050254</v>
      </c>
      <c r="F830" s="460"/>
      <c r="G830" s="505">
        <v>184044</v>
      </c>
      <c r="H830" s="505">
        <v>142781</v>
      </c>
      <c r="I830" s="505">
        <v>0</v>
      </c>
      <c r="J830" s="505">
        <v>61873</v>
      </c>
      <c r="K830" s="505">
        <v>388698</v>
      </c>
      <c r="L830" s="460"/>
      <c r="M830" s="505">
        <v>1237</v>
      </c>
      <c r="N830" s="505">
        <v>0</v>
      </c>
      <c r="O830" s="505">
        <v>0</v>
      </c>
      <c r="P830" s="505">
        <v>43267</v>
      </c>
      <c r="Q830" s="505">
        <v>44504</v>
      </c>
      <c r="R830" s="460"/>
      <c r="S830" s="505">
        <v>314190</v>
      </c>
      <c r="T830" s="505">
        <v>26928</v>
      </c>
      <c r="U830" s="505">
        <v>341118</v>
      </c>
      <c r="W830" s="454">
        <v>1861080</v>
      </c>
      <c r="X830" s="454">
        <v>383237</v>
      </c>
    </row>
    <row r="831" spans="1:24">
      <c r="A831" s="458">
        <v>99111</v>
      </c>
      <c r="B831" s="518" t="s">
        <v>1536</v>
      </c>
      <c r="C831" s="460">
        <f t="shared" si="13"/>
        <v>1.1634899876408887E-3</v>
      </c>
      <c r="D831" s="460">
        <f>VLOOKUP(A831,'2024 summary '!A831:C1737,3,FALSE)</f>
        <v>1.21601E-3</v>
      </c>
      <c r="E831" s="505">
        <v>7843634</v>
      </c>
      <c r="F831" s="460"/>
      <c r="G831" s="505">
        <v>1374502</v>
      </c>
      <c r="H831" s="505">
        <v>1066337</v>
      </c>
      <c r="I831" s="505">
        <v>0</v>
      </c>
      <c r="J831" s="505">
        <v>14094</v>
      </c>
      <c r="K831" s="505">
        <v>2454933</v>
      </c>
      <c r="L831" s="460"/>
      <c r="M831" s="505">
        <v>9242</v>
      </c>
      <c r="N831" s="505">
        <v>0</v>
      </c>
      <c r="O831" s="505">
        <v>0</v>
      </c>
      <c r="P831" s="505">
        <v>403387</v>
      </c>
      <c r="Q831" s="505">
        <v>412629</v>
      </c>
      <c r="R831" s="460"/>
      <c r="S831" s="505">
        <v>2346475</v>
      </c>
      <c r="T831" s="505">
        <v>-229900</v>
      </c>
      <c r="U831" s="505">
        <v>2116575</v>
      </c>
      <c r="W831" s="454">
        <v>13899149</v>
      </c>
      <c r="X831" s="454">
        <v>2862140</v>
      </c>
    </row>
    <row r="832" spans="1:24">
      <c r="A832" s="458">
        <v>99201</v>
      </c>
      <c r="B832" s="518" t="s">
        <v>3738</v>
      </c>
      <c r="C832" s="460">
        <f t="shared" si="13"/>
        <v>3.7910530111483792E-2</v>
      </c>
      <c r="D832" s="460">
        <f>VLOOKUP(A832,'2024 summary '!A832:C1738,3,FALSE)</f>
        <v>3.8254789999999997E-2</v>
      </c>
      <c r="E832" s="505">
        <v>255572739</v>
      </c>
      <c r="F832" s="460"/>
      <c r="G832" s="505">
        <v>44786022</v>
      </c>
      <c r="H832" s="505">
        <v>34744963</v>
      </c>
      <c r="I832" s="505">
        <v>0</v>
      </c>
      <c r="J832" s="505">
        <v>3560989</v>
      </c>
      <c r="K832" s="505">
        <v>83091974</v>
      </c>
      <c r="L832" s="460"/>
      <c r="M832" s="505">
        <v>301123</v>
      </c>
      <c r="N832" s="505">
        <v>0</v>
      </c>
      <c r="O832" s="505">
        <v>0</v>
      </c>
      <c r="P832" s="505">
        <v>1848561</v>
      </c>
      <c r="Q832" s="505">
        <v>2149684</v>
      </c>
      <c r="R832" s="460"/>
      <c r="S832" s="505">
        <v>76456289</v>
      </c>
      <c r="T832" s="505">
        <v>1654772</v>
      </c>
      <c r="U832" s="505">
        <v>78111061</v>
      </c>
      <c r="W832" s="454">
        <v>452882376</v>
      </c>
      <c r="X832" s="454">
        <v>93258425</v>
      </c>
    </row>
    <row r="833" spans="1:24">
      <c r="A833" s="458">
        <v>99202</v>
      </c>
      <c r="B833" s="518" t="s">
        <v>1538</v>
      </c>
      <c r="C833" s="460">
        <f t="shared" si="13"/>
        <v>3.4960800145049532E-3</v>
      </c>
      <c r="D833" s="460">
        <f>VLOOKUP(A833,'2024 summary '!A833:C1739,3,FALSE)</f>
        <v>3.4394899999999999E-3</v>
      </c>
      <c r="E833" s="505">
        <v>23568722</v>
      </c>
      <c r="F833" s="460"/>
      <c r="G833" s="505">
        <v>4130133</v>
      </c>
      <c r="H833" s="505">
        <v>3204154</v>
      </c>
      <c r="I833" s="505">
        <v>0</v>
      </c>
      <c r="J833" s="505">
        <v>552087</v>
      </c>
      <c r="K833" s="505">
        <v>7886374</v>
      </c>
      <c r="L833" s="460"/>
      <c r="M833" s="505">
        <v>27769</v>
      </c>
      <c r="N833" s="505">
        <v>0</v>
      </c>
      <c r="O833" s="505">
        <v>0</v>
      </c>
      <c r="P833" s="505">
        <v>310108</v>
      </c>
      <c r="Q833" s="505">
        <v>337877</v>
      </c>
      <c r="R833" s="460"/>
      <c r="S833" s="505">
        <v>7050740</v>
      </c>
      <c r="T833" s="505">
        <v>152654</v>
      </c>
      <c r="U833" s="505">
        <v>7203394</v>
      </c>
      <c r="W833" s="454">
        <v>41764465</v>
      </c>
      <c r="X833" s="454">
        <v>8600220</v>
      </c>
    </row>
    <row r="834" spans="1:24">
      <c r="A834" s="458">
        <v>99203</v>
      </c>
      <c r="B834" s="518" t="s">
        <v>1539</v>
      </c>
      <c r="C834" s="460">
        <f t="shared" si="13"/>
        <v>4.3915000212154737E-4</v>
      </c>
      <c r="D834" s="460">
        <f>VLOOKUP(A834,'2024 summary '!A834:C1740,3,FALSE)</f>
        <v>4.4331999999999998E-4</v>
      </c>
      <c r="E834" s="505">
        <v>2960517</v>
      </c>
      <c r="F834" s="460"/>
      <c r="G834" s="505">
        <v>518795</v>
      </c>
      <c r="H834" s="505">
        <v>402481</v>
      </c>
      <c r="I834" s="505">
        <v>0</v>
      </c>
      <c r="J834" s="505">
        <v>71799</v>
      </c>
      <c r="K834" s="505">
        <v>993075</v>
      </c>
      <c r="L834" s="460"/>
      <c r="M834" s="505">
        <v>3488</v>
      </c>
      <c r="N834" s="505">
        <v>0</v>
      </c>
      <c r="O834" s="505">
        <v>0</v>
      </c>
      <c r="P834" s="505">
        <v>64327</v>
      </c>
      <c r="Q834" s="505">
        <v>67815</v>
      </c>
      <c r="R834" s="460"/>
      <c r="S834" s="505">
        <v>885658</v>
      </c>
      <c r="T834" s="505">
        <v>7817</v>
      </c>
      <c r="U834" s="505">
        <v>893475</v>
      </c>
      <c r="W834" s="454">
        <v>5246123</v>
      </c>
      <c r="X834" s="454">
        <v>1080292</v>
      </c>
    </row>
    <row r="835" spans="1:24">
      <c r="A835" s="458">
        <v>99204</v>
      </c>
      <c r="B835" s="518" t="s">
        <v>1540</v>
      </c>
      <c r="C835" s="460">
        <f t="shared" si="13"/>
        <v>1.3157499322984181E-3</v>
      </c>
      <c r="D835" s="460">
        <f>VLOOKUP(A835,'2024 summary '!A835:C1741,3,FALSE)</f>
        <v>1.3664300000000001E-3</v>
      </c>
      <c r="E835" s="505">
        <v>8870090</v>
      </c>
      <c r="F835" s="460"/>
      <c r="G835" s="505">
        <v>1554376</v>
      </c>
      <c r="H835" s="505">
        <v>1205884</v>
      </c>
      <c r="I835" s="505">
        <v>0</v>
      </c>
      <c r="J835" s="505">
        <v>292280</v>
      </c>
      <c r="K835" s="505">
        <v>3052540</v>
      </c>
      <c r="L835" s="460"/>
      <c r="M835" s="505">
        <v>10451</v>
      </c>
      <c r="N835" s="505">
        <v>0</v>
      </c>
      <c r="O835" s="505">
        <v>0</v>
      </c>
      <c r="P835" s="505">
        <v>276242</v>
      </c>
      <c r="Q835" s="505">
        <v>286693</v>
      </c>
      <c r="R835" s="460"/>
      <c r="S835" s="505">
        <v>2653547</v>
      </c>
      <c r="T835" s="505">
        <v>180932</v>
      </c>
      <c r="U835" s="505">
        <v>2834479</v>
      </c>
      <c r="W835" s="454">
        <v>15718060</v>
      </c>
      <c r="X835" s="454">
        <v>3236694</v>
      </c>
    </row>
    <row r="836" spans="1:24">
      <c r="A836" s="458">
        <v>99206</v>
      </c>
      <c r="B836" s="518" t="s">
        <v>1541</v>
      </c>
      <c r="C836" s="460">
        <f t="shared" si="13"/>
        <v>1.9643699450282185E-3</v>
      </c>
      <c r="D836" s="460">
        <f>VLOOKUP(A836,'2024 summary '!A836:C1742,3,FALSE)</f>
        <v>2.0076999999999998E-3</v>
      </c>
      <c r="E836" s="505">
        <v>13242743</v>
      </c>
      <c r="F836" s="460"/>
      <c r="G836" s="505">
        <v>2320630</v>
      </c>
      <c r="H836" s="505">
        <v>1800343</v>
      </c>
      <c r="I836" s="505">
        <v>0</v>
      </c>
      <c r="J836" s="505">
        <v>36088</v>
      </c>
      <c r="K836" s="505">
        <v>4157061</v>
      </c>
      <c r="L836" s="460"/>
      <c r="M836" s="505">
        <v>15603</v>
      </c>
      <c r="N836" s="505">
        <v>0</v>
      </c>
      <c r="O836" s="505">
        <v>0</v>
      </c>
      <c r="P836" s="505">
        <v>280254</v>
      </c>
      <c r="Q836" s="505">
        <v>295857</v>
      </c>
      <c r="R836" s="460"/>
      <c r="S836" s="505">
        <v>3961655</v>
      </c>
      <c r="T836" s="505">
        <v>31063</v>
      </c>
      <c r="U836" s="505">
        <v>3992718</v>
      </c>
      <c r="W836" s="454">
        <v>23466529</v>
      </c>
      <c r="X836" s="454">
        <v>4832274</v>
      </c>
    </row>
    <row r="837" spans="1:24">
      <c r="A837" s="458">
        <v>99207</v>
      </c>
      <c r="B837" s="518" t="s">
        <v>1542</v>
      </c>
      <c r="C837" s="460">
        <f t="shared" si="13"/>
        <v>1.155400655198043E-4</v>
      </c>
      <c r="D837" s="460">
        <f>VLOOKUP(A837,'2024 summary '!A837:C1743,3,FALSE)</f>
        <v>1.3595E-4</v>
      </c>
      <c r="E837" s="505">
        <v>778910</v>
      </c>
      <c r="F837" s="460"/>
      <c r="G837" s="505">
        <v>136494</v>
      </c>
      <c r="H837" s="505">
        <v>105892</v>
      </c>
      <c r="I837" s="505">
        <v>0</v>
      </c>
      <c r="J837" s="505">
        <v>197382</v>
      </c>
      <c r="K837" s="505">
        <v>439768</v>
      </c>
      <c r="L837" s="460"/>
      <c r="M837" s="505">
        <v>918</v>
      </c>
      <c r="N837" s="505">
        <v>0</v>
      </c>
      <c r="O837" s="505">
        <v>0</v>
      </c>
      <c r="P837" s="505">
        <v>28076</v>
      </c>
      <c r="Q837" s="505">
        <v>28994</v>
      </c>
      <c r="R837" s="460"/>
      <c r="S837" s="505">
        <v>233016</v>
      </c>
      <c r="T837" s="505">
        <v>147281</v>
      </c>
      <c r="U837" s="505">
        <v>380297</v>
      </c>
      <c r="W837" s="454">
        <v>1380251</v>
      </c>
      <c r="X837" s="454">
        <v>284224</v>
      </c>
    </row>
    <row r="838" spans="1:24">
      <c r="A838" s="458">
        <v>99208</v>
      </c>
      <c r="B838" s="518" t="s">
        <v>1543</v>
      </c>
      <c r="C838" s="460">
        <f t="shared" si="13"/>
        <v>3.4879998788679798E-4</v>
      </c>
      <c r="D838" s="460">
        <f>VLOOKUP(A838,'2024 summary '!A838:C1744,3,FALSE)</f>
        <v>3.3152000000000002E-4</v>
      </c>
      <c r="E838" s="505">
        <v>2351425</v>
      </c>
      <c r="F838" s="460"/>
      <c r="G838" s="505">
        <v>412059</v>
      </c>
      <c r="H838" s="505">
        <v>319675</v>
      </c>
      <c r="I838" s="505">
        <v>0</v>
      </c>
      <c r="J838" s="505">
        <v>76877</v>
      </c>
      <c r="K838" s="505">
        <v>808611</v>
      </c>
      <c r="L838" s="460"/>
      <c r="M838" s="505">
        <v>2771</v>
      </c>
      <c r="N838" s="505">
        <v>0</v>
      </c>
      <c r="O838" s="505">
        <v>0</v>
      </c>
      <c r="P838" s="505">
        <v>28706</v>
      </c>
      <c r="Q838" s="505">
        <v>31477</v>
      </c>
      <c r="R838" s="460"/>
      <c r="S838" s="505">
        <v>703444</v>
      </c>
      <c r="T838" s="505">
        <v>-113</v>
      </c>
      <c r="U838" s="505">
        <v>703331</v>
      </c>
      <c r="W838" s="454">
        <v>4166794</v>
      </c>
      <c r="X838" s="454">
        <v>858034</v>
      </c>
    </row>
    <row r="839" spans="1:24">
      <c r="A839" s="458">
        <v>99210</v>
      </c>
      <c r="B839" s="518" t="s">
        <v>1544</v>
      </c>
      <c r="C839" s="460">
        <f t="shared" si="13"/>
        <v>1.9819699614279629E-3</v>
      </c>
      <c r="D839" s="460">
        <f>VLOOKUP(A839,'2024 summary '!A839:C1745,3,FALSE)</f>
        <v>1.9049900000000001E-3</v>
      </c>
      <c r="E839" s="505">
        <v>13361393</v>
      </c>
      <c r="F839" s="460"/>
      <c r="G839" s="505">
        <v>2341422</v>
      </c>
      <c r="H839" s="505">
        <v>1816474</v>
      </c>
      <c r="I839" s="505">
        <v>0</v>
      </c>
      <c r="J839" s="505">
        <v>349497</v>
      </c>
      <c r="K839" s="505">
        <v>4507393</v>
      </c>
      <c r="L839" s="460"/>
      <c r="M839" s="505">
        <v>15743</v>
      </c>
      <c r="N839" s="505">
        <v>0</v>
      </c>
      <c r="O839" s="505">
        <v>0</v>
      </c>
      <c r="P839" s="505">
        <v>88210</v>
      </c>
      <c r="Q839" s="505">
        <v>103953</v>
      </c>
      <c r="R839" s="460"/>
      <c r="S839" s="505">
        <v>3997150</v>
      </c>
      <c r="T839" s="505">
        <v>134015</v>
      </c>
      <c r="U839" s="505">
        <v>4131165</v>
      </c>
      <c r="W839" s="454">
        <v>23676780</v>
      </c>
      <c r="X839" s="454">
        <v>4875569</v>
      </c>
    </row>
    <row r="840" spans="1:24">
      <c r="A840" s="458">
        <v>99211</v>
      </c>
      <c r="B840" s="518" t="s">
        <v>1545</v>
      </c>
      <c r="C840" s="460">
        <f t="shared" si="13"/>
        <v>3.1179260028058171E-2</v>
      </c>
      <c r="D840" s="460">
        <f>VLOOKUP(A840,'2024 summary '!A840:C1746,3,FALSE)</f>
        <v>3.2543789999999996E-2</v>
      </c>
      <c r="E840" s="505">
        <v>210194077</v>
      </c>
      <c r="F840" s="460"/>
      <c r="G840" s="505">
        <v>36833962</v>
      </c>
      <c r="H840" s="505">
        <v>28575761</v>
      </c>
      <c r="I840" s="505">
        <v>0</v>
      </c>
      <c r="J840" s="505">
        <v>0</v>
      </c>
      <c r="K840" s="505">
        <v>65409723</v>
      </c>
      <c r="L840" s="460"/>
      <c r="M840" s="505">
        <v>247657</v>
      </c>
      <c r="N840" s="505">
        <v>0</v>
      </c>
      <c r="O840" s="505">
        <v>0</v>
      </c>
      <c r="P840" s="505">
        <v>8233840</v>
      </c>
      <c r="Q840" s="505">
        <v>8481497</v>
      </c>
      <c r="R840" s="460"/>
      <c r="S840" s="505">
        <v>62880960</v>
      </c>
      <c r="T840" s="505">
        <v>-4784111</v>
      </c>
      <c r="U840" s="505">
        <v>58096849</v>
      </c>
      <c r="W840" s="454">
        <v>372470059</v>
      </c>
      <c r="X840" s="454">
        <v>76699764</v>
      </c>
    </row>
    <row r="841" spans="1:24">
      <c r="A841" s="458">
        <v>99212</v>
      </c>
      <c r="B841" s="518" t="s">
        <v>1546</v>
      </c>
      <c r="C841" s="460">
        <f t="shared" si="13"/>
        <v>9.250992859460337E-5</v>
      </c>
      <c r="D841" s="460">
        <f>VLOOKUP(A841,'2024 summary '!A841:C1747,3,FALSE)</f>
        <v>9.488E-5</v>
      </c>
      <c r="E841" s="505">
        <v>623653</v>
      </c>
      <c r="F841" s="460"/>
      <c r="G841" s="505">
        <v>109288</v>
      </c>
      <c r="H841" s="505">
        <v>84785</v>
      </c>
      <c r="I841" s="505">
        <v>0</v>
      </c>
      <c r="J841" s="505">
        <v>39650</v>
      </c>
      <c r="K841" s="505">
        <v>233723</v>
      </c>
      <c r="L841" s="460"/>
      <c r="M841" s="505">
        <v>735</v>
      </c>
      <c r="N841" s="505">
        <v>0</v>
      </c>
      <c r="O841" s="505">
        <v>0</v>
      </c>
      <c r="P841" s="505">
        <v>48673</v>
      </c>
      <c r="Q841" s="505">
        <v>49408</v>
      </c>
      <c r="R841" s="460"/>
      <c r="S841" s="505">
        <v>186570</v>
      </c>
      <c r="T841" s="505">
        <v>-13442</v>
      </c>
      <c r="U841" s="505">
        <v>173128</v>
      </c>
      <c r="W841" s="454">
        <v>1105132</v>
      </c>
      <c r="X841" s="454">
        <v>227571</v>
      </c>
    </row>
    <row r="842" spans="1:24">
      <c r="A842" s="458">
        <v>99213</v>
      </c>
      <c r="B842" s="518" t="s">
        <v>1547</v>
      </c>
      <c r="C842" s="460">
        <f t="shared" ref="C842:C905" si="14">E842/$E$915</f>
        <v>6.8177998631693587E-4</v>
      </c>
      <c r="D842" s="460">
        <f>VLOOKUP(A842,'2024 summary '!A842:C1748,3,FALSE)</f>
        <v>5.7908999999999999E-4</v>
      </c>
      <c r="E842" s="505">
        <v>4596200</v>
      </c>
      <c r="F842" s="460"/>
      <c r="G842" s="505">
        <v>805428</v>
      </c>
      <c r="H842" s="505">
        <v>624851</v>
      </c>
      <c r="I842" s="505">
        <v>0</v>
      </c>
      <c r="J842" s="505">
        <v>419476</v>
      </c>
      <c r="K842" s="505">
        <v>1849755</v>
      </c>
      <c r="L842" s="460"/>
      <c r="M842" s="505">
        <v>5415</v>
      </c>
      <c r="N842" s="505">
        <v>0</v>
      </c>
      <c r="O842" s="505">
        <v>0</v>
      </c>
      <c r="P842" s="505">
        <v>59823</v>
      </c>
      <c r="Q842" s="505">
        <v>65238</v>
      </c>
      <c r="R842" s="460"/>
      <c r="S842" s="505">
        <v>1374984</v>
      </c>
      <c r="T842" s="505">
        <v>111625</v>
      </c>
      <c r="U842" s="505">
        <v>1486609</v>
      </c>
      <c r="W842" s="454">
        <v>8144601</v>
      </c>
      <c r="X842" s="454">
        <v>1677152</v>
      </c>
    </row>
    <row r="843" spans="1:24">
      <c r="A843" s="458">
        <v>99218</v>
      </c>
      <c r="B843" s="518" t="s">
        <v>1548</v>
      </c>
      <c r="C843" s="460">
        <f t="shared" si="14"/>
        <v>4.3129100516513669E-3</v>
      </c>
      <c r="D843" s="460">
        <f>VLOOKUP(A843,'2024 summary '!A843:C1749,3,FALSE)</f>
        <v>3.7352399999999999E-3</v>
      </c>
      <c r="E843" s="505">
        <v>29075358</v>
      </c>
      <c r="F843" s="460"/>
      <c r="G843" s="505">
        <v>5095104</v>
      </c>
      <c r="H843" s="505">
        <v>3952778</v>
      </c>
      <c r="I843" s="505">
        <v>0</v>
      </c>
      <c r="J843" s="505">
        <v>1902439</v>
      </c>
      <c r="K843" s="505">
        <v>10950321</v>
      </c>
      <c r="L843" s="460"/>
      <c r="M843" s="505">
        <v>34257</v>
      </c>
      <c r="N843" s="505">
        <v>0</v>
      </c>
      <c r="O843" s="505">
        <v>0</v>
      </c>
      <c r="P843" s="505">
        <v>119119</v>
      </c>
      <c r="Q843" s="505">
        <v>153376</v>
      </c>
      <c r="R843" s="460"/>
      <c r="S843" s="505">
        <v>8698087</v>
      </c>
      <c r="T843" s="505">
        <v>538814</v>
      </c>
      <c r="U843" s="505">
        <v>9236901</v>
      </c>
      <c r="W843" s="454">
        <v>51522385</v>
      </c>
      <c r="X843" s="454">
        <v>10609590</v>
      </c>
    </row>
    <row r="844" spans="1:24">
      <c r="A844" s="458">
        <v>99219</v>
      </c>
      <c r="B844" s="518" t="s">
        <v>3758</v>
      </c>
      <c r="C844" s="460">
        <f t="shared" si="14"/>
        <v>1.8569982748146486E-5</v>
      </c>
      <c r="D844" s="460">
        <f>VLOOKUP(A844,'2024 summary '!A844:C1750,3,FALSE)</f>
        <v>1.29E-5</v>
      </c>
      <c r="E844" s="505">
        <v>125189</v>
      </c>
      <c r="F844" s="460"/>
      <c r="G844" s="505">
        <v>21938</v>
      </c>
      <c r="H844" s="505">
        <v>17019</v>
      </c>
      <c r="I844" s="505">
        <v>0</v>
      </c>
      <c r="J844" s="505">
        <v>28636</v>
      </c>
      <c r="K844" s="505">
        <v>67593</v>
      </c>
      <c r="L844" s="460"/>
      <c r="M844" s="505">
        <v>148</v>
      </c>
      <c r="N844" s="505">
        <v>0</v>
      </c>
      <c r="O844" s="505">
        <v>0</v>
      </c>
      <c r="P844" s="505">
        <v>4792</v>
      </c>
      <c r="Q844" s="505">
        <v>4940</v>
      </c>
      <c r="R844" s="460"/>
      <c r="S844" s="505">
        <v>37451</v>
      </c>
      <c r="T844" s="505">
        <v>14468</v>
      </c>
      <c r="U844" s="505">
        <v>51919</v>
      </c>
      <c r="W844" s="454">
        <v>221839</v>
      </c>
      <c r="X844" s="454">
        <v>45681</v>
      </c>
    </row>
    <row r="845" spans="1:24">
      <c r="A845" s="458">
        <v>99221</v>
      </c>
      <c r="B845" s="518" t="s">
        <v>1549</v>
      </c>
      <c r="C845" s="460">
        <f t="shared" si="14"/>
        <v>1.2038330077863566E-2</v>
      </c>
      <c r="D845" s="460">
        <f>VLOOKUP(A845,'2024 summary '!A845:C1751,3,FALSE)</f>
        <v>1.2537680000000001E-2</v>
      </c>
      <c r="E845" s="505">
        <v>81156053</v>
      </c>
      <c r="F845" s="460"/>
      <c r="G845" s="505">
        <v>14221614</v>
      </c>
      <c r="H845" s="505">
        <v>11033117</v>
      </c>
      <c r="I845" s="505">
        <v>0</v>
      </c>
      <c r="J845" s="505">
        <v>1190789</v>
      </c>
      <c r="K845" s="505">
        <v>26445520</v>
      </c>
      <c r="L845" s="460"/>
      <c r="M845" s="505">
        <v>95620</v>
      </c>
      <c r="N845" s="505">
        <v>0</v>
      </c>
      <c r="O845" s="505">
        <v>0</v>
      </c>
      <c r="P845" s="505">
        <v>1830406</v>
      </c>
      <c r="Q845" s="505">
        <v>1926026</v>
      </c>
      <c r="R845" s="460"/>
      <c r="S845" s="505">
        <v>24278374</v>
      </c>
      <c r="T845" s="505">
        <v>-187465</v>
      </c>
      <c r="U845" s="505">
        <v>24090909</v>
      </c>
      <c r="W845" s="454">
        <v>143810901</v>
      </c>
      <c r="X845" s="454">
        <v>29613822</v>
      </c>
    </row>
    <row r="846" spans="1:24">
      <c r="A846" s="458">
        <v>99222</v>
      </c>
      <c r="B846" s="518" t="s">
        <v>1550</v>
      </c>
      <c r="C846" s="460">
        <f t="shared" si="14"/>
        <v>3.8009953664725336E-5</v>
      </c>
      <c r="D846" s="460">
        <f>VLOOKUP(A846,'2024 summary '!A846:C1752,3,FALSE)</f>
        <v>2.7820000000000001E-5</v>
      </c>
      <c r="E846" s="505">
        <v>256243</v>
      </c>
      <c r="F846" s="460"/>
      <c r="G846" s="505">
        <v>44904</v>
      </c>
      <c r="H846" s="505">
        <v>34836</v>
      </c>
      <c r="I846" s="505">
        <v>0</v>
      </c>
      <c r="J846" s="505">
        <v>41469</v>
      </c>
      <c r="K846" s="505">
        <v>121209</v>
      </c>
      <c r="L846" s="460"/>
      <c r="M846" s="505">
        <v>302</v>
      </c>
      <c r="N846" s="505">
        <v>0</v>
      </c>
      <c r="O846" s="505">
        <v>0</v>
      </c>
      <c r="P846" s="505">
        <v>6234</v>
      </c>
      <c r="Q846" s="505">
        <v>6536</v>
      </c>
      <c r="R846" s="460"/>
      <c r="S846" s="505">
        <v>76657</v>
      </c>
      <c r="T846" s="505">
        <v>10803</v>
      </c>
      <c r="U846" s="505">
        <v>87460</v>
      </c>
      <c r="W846" s="454">
        <v>454071</v>
      </c>
      <c r="X846" s="454">
        <v>93503</v>
      </c>
    </row>
    <row r="847" spans="1:24">
      <c r="A847" s="458">
        <v>99231</v>
      </c>
      <c r="B847" s="518" t="s">
        <v>1551</v>
      </c>
      <c r="C847" s="460">
        <f t="shared" si="14"/>
        <v>5.5057998542977038E-4</v>
      </c>
      <c r="D847" s="460">
        <f>VLOOKUP(A847,'2024 summary '!A847:C1753,3,FALSE)</f>
        <v>5.8580000000000004E-4</v>
      </c>
      <c r="E847" s="505">
        <v>3711719</v>
      </c>
      <c r="F847" s="460"/>
      <c r="G847" s="505">
        <v>650434</v>
      </c>
      <c r="H847" s="505">
        <v>504606</v>
      </c>
      <c r="I847" s="505">
        <v>0</v>
      </c>
      <c r="J847" s="505">
        <v>148192</v>
      </c>
      <c r="K847" s="505">
        <v>1303232</v>
      </c>
      <c r="L847" s="460"/>
      <c r="M847" s="505">
        <v>4373</v>
      </c>
      <c r="N847" s="505">
        <v>0</v>
      </c>
      <c r="O847" s="505">
        <v>0</v>
      </c>
      <c r="P847" s="505">
        <v>103177</v>
      </c>
      <c r="Q847" s="505">
        <v>107550</v>
      </c>
      <c r="R847" s="460"/>
      <c r="S847" s="505">
        <v>1110386</v>
      </c>
      <c r="T847" s="505">
        <v>79390</v>
      </c>
      <c r="U847" s="505">
        <v>1189776</v>
      </c>
      <c r="W847" s="454">
        <v>6577275</v>
      </c>
      <c r="X847" s="454">
        <v>1354405</v>
      </c>
    </row>
    <row r="848" spans="1:24">
      <c r="A848" s="458">
        <v>99241</v>
      </c>
      <c r="B848" s="518" t="s">
        <v>1552</v>
      </c>
      <c r="C848" s="460">
        <f t="shared" si="14"/>
        <v>6.5281004781824186E-4</v>
      </c>
      <c r="D848" s="460">
        <f>VLOOKUP(A848,'2024 summary '!A848:C1754,3,FALSE)</f>
        <v>6.3152E-4</v>
      </c>
      <c r="E848" s="505">
        <v>4400900</v>
      </c>
      <c r="F848" s="460"/>
      <c r="G848" s="505">
        <v>771204</v>
      </c>
      <c r="H848" s="505">
        <v>598300</v>
      </c>
      <c r="I848" s="505">
        <v>0</v>
      </c>
      <c r="J848" s="505">
        <v>147879</v>
      </c>
      <c r="K848" s="505">
        <v>1517383</v>
      </c>
      <c r="L848" s="460"/>
      <c r="M848" s="505">
        <v>5185</v>
      </c>
      <c r="N848" s="505">
        <v>0</v>
      </c>
      <c r="O848" s="505">
        <v>0</v>
      </c>
      <c r="P848" s="505">
        <v>23962</v>
      </c>
      <c r="Q848" s="505">
        <v>29147</v>
      </c>
      <c r="R848" s="460"/>
      <c r="S848" s="505">
        <v>1316558</v>
      </c>
      <c r="T848" s="505">
        <v>33509</v>
      </c>
      <c r="U848" s="505">
        <v>1350067</v>
      </c>
      <c r="W848" s="454">
        <v>7798523</v>
      </c>
      <c r="X848" s="454">
        <v>1605887</v>
      </c>
    </row>
    <row r="849" spans="1:24">
      <c r="A849" s="458">
        <v>99251</v>
      </c>
      <c r="B849" s="518" t="s">
        <v>1553</v>
      </c>
      <c r="C849" s="460">
        <f t="shared" si="14"/>
        <v>1.8283800399727923E-3</v>
      </c>
      <c r="D849" s="460">
        <f>VLOOKUP(A849,'2024 summary '!A849:C1755,3,FALSE)</f>
        <v>1.8853699999999999E-3</v>
      </c>
      <c r="E849" s="505">
        <v>12325971</v>
      </c>
      <c r="F849" s="460"/>
      <c r="G849" s="505">
        <v>2159977</v>
      </c>
      <c r="H849" s="505">
        <v>1675708</v>
      </c>
      <c r="I849" s="505">
        <v>0</v>
      </c>
      <c r="J849" s="505">
        <v>195679</v>
      </c>
      <c r="K849" s="505">
        <v>4031364</v>
      </c>
      <c r="L849" s="460"/>
      <c r="M849" s="505">
        <v>14523</v>
      </c>
      <c r="N849" s="505">
        <v>0</v>
      </c>
      <c r="O849" s="505">
        <v>0</v>
      </c>
      <c r="P849" s="505">
        <v>308361</v>
      </c>
      <c r="Q849" s="505">
        <v>322884</v>
      </c>
      <c r="R849" s="460"/>
      <c r="S849" s="505">
        <v>3687396</v>
      </c>
      <c r="T849" s="505">
        <v>17638</v>
      </c>
      <c r="U849" s="505">
        <v>3705034</v>
      </c>
      <c r="W849" s="454">
        <v>21841981</v>
      </c>
      <c r="X849" s="454">
        <v>4497743</v>
      </c>
    </row>
    <row r="850" spans="1:24">
      <c r="A850" s="458">
        <v>99252</v>
      </c>
      <c r="B850" s="518" t="s">
        <v>1554</v>
      </c>
      <c r="C850" s="460">
        <f t="shared" si="14"/>
        <v>7.4129993389746832E-4</v>
      </c>
      <c r="D850" s="460">
        <f>VLOOKUP(A850,'2024 summary '!A850:C1756,3,FALSE)</f>
        <v>7.7733000000000001E-4</v>
      </c>
      <c r="E850" s="505">
        <v>4997452</v>
      </c>
      <c r="F850" s="460"/>
      <c r="G850" s="505">
        <v>875743</v>
      </c>
      <c r="H850" s="505">
        <v>679401</v>
      </c>
      <c r="I850" s="505">
        <v>0</v>
      </c>
      <c r="J850" s="505">
        <v>133751</v>
      </c>
      <c r="K850" s="505">
        <v>1688895</v>
      </c>
      <c r="L850" s="460"/>
      <c r="M850" s="505">
        <v>5888</v>
      </c>
      <c r="N850" s="505">
        <v>0</v>
      </c>
      <c r="O850" s="505">
        <v>0</v>
      </c>
      <c r="P850" s="505">
        <v>278249</v>
      </c>
      <c r="Q850" s="505">
        <v>284137</v>
      </c>
      <c r="R850" s="460"/>
      <c r="S850" s="505">
        <v>1495021</v>
      </c>
      <c r="T850" s="505">
        <v>-45225</v>
      </c>
      <c r="U850" s="505">
        <v>1449796</v>
      </c>
      <c r="W850" s="454">
        <v>8855632</v>
      </c>
      <c r="X850" s="454">
        <v>1823569</v>
      </c>
    </row>
    <row r="851" spans="1:24">
      <c r="A851" s="458">
        <v>99261</v>
      </c>
      <c r="B851" s="518" t="s">
        <v>1555</v>
      </c>
      <c r="C851" s="460">
        <f t="shared" si="14"/>
        <v>3.1398099952159239E-3</v>
      </c>
      <c r="D851" s="460">
        <f>VLOOKUP(A851,'2024 summary '!A851:C1757,3,FALSE)</f>
        <v>2.8579399999999998E-3</v>
      </c>
      <c r="E851" s="505">
        <v>21166938</v>
      </c>
      <c r="F851" s="460"/>
      <c r="G851" s="505">
        <v>3709249</v>
      </c>
      <c r="H851" s="505">
        <v>2877633</v>
      </c>
      <c r="I851" s="505">
        <v>0</v>
      </c>
      <c r="J851" s="505">
        <v>1232445</v>
      </c>
      <c r="K851" s="505">
        <v>7819327</v>
      </c>
      <c r="L851" s="460"/>
      <c r="M851" s="505">
        <v>24940</v>
      </c>
      <c r="N851" s="505">
        <v>0</v>
      </c>
      <c r="O851" s="505">
        <v>0</v>
      </c>
      <c r="P851" s="505">
        <v>182163</v>
      </c>
      <c r="Q851" s="505">
        <v>207103</v>
      </c>
      <c r="R851" s="460"/>
      <c r="S851" s="505">
        <v>6332231</v>
      </c>
      <c r="T851" s="505">
        <v>429424</v>
      </c>
      <c r="U851" s="505">
        <v>6761655</v>
      </c>
      <c r="W851" s="454">
        <v>37508434</v>
      </c>
      <c r="X851" s="454">
        <v>7723810</v>
      </c>
    </row>
    <row r="852" spans="1:24">
      <c r="A852" s="458">
        <v>99271</v>
      </c>
      <c r="B852" s="518" t="s">
        <v>1556</v>
      </c>
      <c r="C852" s="460">
        <f t="shared" si="14"/>
        <v>5.4437099928180939E-3</v>
      </c>
      <c r="D852" s="460">
        <f>VLOOKUP(A852,'2024 summary '!A852:C1758,3,FALSE)</f>
        <v>5.3697299999999996E-3</v>
      </c>
      <c r="E852" s="505">
        <v>36698613</v>
      </c>
      <c r="F852" s="460"/>
      <c r="G852" s="505">
        <v>6430987</v>
      </c>
      <c r="H852" s="505">
        <v>4989155</v>
      </c>
      <c r="I852" s="505">
        <v>0</v>
      </c>
      <c r="J852" s="505">
        <v>498819</v>
      </c>
      <c r="K852" s="505">
        <v>11918961</v>
      </c>
      <c r="L852" s="460"/>
      <c r="M852" s="505">
        <v>43239</v>
      </c>
      <c r="N852" s="505">
        <v>0</v>
      </c>
      <c r="O852" s="505">
        <v>0</v>
      </c>
      <c r="P852" s="505">
        <v>233159</v>
      </c>
      <c r="Q852" s="505">
        <v>276398</v>
      </c>
      <c r="R852" s="460"/>
      <c r="S852" s="505">
        <v>10978635</v>
      </c>
      <c r="T852" s="505">
        <v>300343</v>
      </c>
      <c r="U852" s="505">
        <v>11278978</v>
      </c>
      <c r="W852" s="454">
        <v>65031017</v>
      </c>
      <c r="X852" s="454">
        <v>13391314</v>
      </c>
    </row>
    <row r="853" spans="1:24">
      <c r="A853" s="458">
        <v>99281</v>
      </c>
      <c r="B853" s="518" t="s">
        <v>1557</v>
      </c>
      <c r="C853" s="460">
        <f t="shared" si="14"/>
        <v>3.878080026585106E-3</v>
      </c>
      <c r="D853" s="460">
        <f>VLOOKUP(A853,'2024 summary '!A853:C1759,3,FALSE)</f>
        <v>3.69251E-3</v>
      </c>
      <c r="E853" s="505">
        <v>26143964</v>
      </c>
      <c r="F853" s="460"/>
      <c r="G853" s="505">
        <v>4581412</v>
      </c>
      <c r="H853" s="505">
        <v>3554256</v>
      </c>
      <c r="I853" s="505">
        <v>0</v>
      </c>
      <c r="J853" s="505">
        <v>305947</v>
      </c>
      <c r="K853" s="505">
        <v>8441615</v>
      </c>
      <c r="L853" s="460"/>
      <c r="M853" s="505">
        <v>30804</v>
      </c>
      <c r="N853" s="505">
        <v>0</v>
      </c>
      <c r="O853" s="505">
        <v>0</v>
      </c>
      <c r="P853" s="505">
        <v>214186</v>
      </c>
      <c r="Q853" s="505">
        <v>244990</v>
      </c>
      <c r="R853" s="460"/>
      <c r="S853" s="505">
        <v>7821141</v>
      </c>
      <c r="T853" s="505">
        <v>467380</v>
      </c>
      <c r="U853" s="505">
        <v>8288521</v>
      </c>
      <c r="W853" s="454">
        <v>46327869</v>
      </c>
      <c r="X853" s="454">
        <v>9539926</v>
      </c>
    </row>
    <row r="854" spans="1:24">
      <c r="A854" s="458">
        <v>99291</v>
      </c>
      <c r="B854" s="518" t="s">
        <v>1558</v>
      </c>
      <c r="C854" s="460">
        <f t="shared" si="14"/>
        <v>1.3169299418261044E-3</v>
      </c>
      <c r="D854" s="460">
        <f>VLOOKUP(A854,'2024 summary '!A854:C1760,3,FALSE)</f>
        <v>1.2449099999999999E-3</v>
      </c>
      <c r="E854" s="505">
        <v>8878045</v>
      </c>
      <c r="F854" s="460"/>
      <c r="G854" s="505">
        <v>1555770</v>
      </c>
      <c r="H854" s="505">
        <v>1206965</v>
      </c>
      <c r="I854" s="505">
        <v>0</v>
      </c>
      <c r="J854" s="505">
        <v>215542</v>
      </c>
      <c r="K854" s="505">
        <v>2978277</v>
      </c>
      <c r="L854" s="460"/>
      <c r="M854" s="505">
        <v>10460</v>
      </c>
      <c r="N854" s="505">
        <v>0</v>
      </c>
      <c r="O854" s="505">
        <v>0</v>
      </c>
      <c r="P854" s="505">
        <v>116680</v>
      </c>
      <c r="Q854" s="505">
        <v>127140</v>
      </c>
      <c r="R854" s="460"/>
      <c r="S854" s="505">
        <v>2655926</v>
      </c>
      <c r="T854" s="505">
        <v>155599</v>
      </c>
      <c r="U854" s="505">
        <v>2811525</v>
      </c>
      <c r="W854" s="454">
        <v>15732156</v>
      </c>
      <c r="X854" s="454">
        <v>3239596</v>
      </c>
    </row>
    <row r="855" spans="1:24">
      <c r="A855" s="458">
        <v>99301</v>
      </c>
      <c r="B855" s="518" t="s">
        <v>1559</v>
      </c>
      <c r="C855" s="460">
        <f t="shared" si="14"/>
        <v>1.4485599675556032E-3</v>
      </c>
      <c r="D855" s="460">
        <f>VLOOKUP(A855,'2024 summary '!A855:C1761,3,FALSE)</f>
        <v>1.30272E-3</v>
      </c>
      <c r="E855" s="505">
        <v>9765425</v>
      </c>
      <c r="F855" s="460"/>
      <c r="G855" s="505">
        <v>1711272</v>
      </c>
      <c r="H855" s="505">
        <v>1327604</v>
      </c>
      <c r="I855" s="505">
        <v>0</v>
      </c>
      <c r="J855" s="505">
        <v>475409</v>
      </c>
      <c r="K855" s="505">
        <v>3514285</v>
      </c>
      <c r="L855" s="460"/>
      <c r="M855" s="505">
        <v>11506</v>
      </c>
      <c r="N855" s="505">
        <v>0</v>
      </c>
      <c r="O855" s="505">
        <v>0</v>
      </c>
      <c r="P855" s="505">
        <v>184643</v>
      </c>
      <c r="Q855" s="505">
        <v>196149</v>
      </c>
      <c r="R855" s="460"/>
      <c r="S855" s="505">
        <v>2921392</v>
      </c>
      <c r="T855" s="505">
        <v>23543</v>
      </c>
      <c r="U855" s="505">
        <v>2944935</v>
      </c>
      <c r="W855" s="454">
        <v>17304619</v>
      </c>
      <c r="X855" s="454">
        <v>3563401</v>
      </c>
    </row>
    <row r="856" spans="1:24">
      <c r="A856" s="458">
        <v>99304</v>
      </c>
      <c r="B856" s="518" t="s">
        <v>1560</v>
      </c>
      <c r="C856" s="460">
        <f t="shared" si="14"/>
        <v>1.6209963692774124E-5</v>
      </c>
      <c r="D856" s="460">
        <f>VLOOKUP(A856,'2024 summary '!A856:C1762,3,FALSE)</f>
        <v>1.9380000000000001E-5</v>
      </c>
      <c r="E856" s="505">
        <v>109279</v>
      </c>
      <c r="F856" s="460"/>
      <c r="G856" s="505">
        <v>19150</v>
      </c>
      <c r="H856" s="505">
        <v>14856</v>
      </c>
      <c r="I856" s="505">
        <v>0</v>
      </c>
      <c r="J856" s="505">
        <v>21027</v>
      </c>
      <c r="K856" s="505">
        <v>55033</v>
      </c>
      <c r="L856" s="460"/>
      <c r="M856" s="505">
        <v>129</v>
      </c>
      <c r="N856" s="505">
        <v>0</v>
      </c>
      <c r="O856" s="505">
        <v>0</v>
      </c>
      <c r="P856" s="505">
        <v>9312</v>
      </c>
      <c r="Q856" s="505">
        <v>9441</v>
      </c>
      <c r="R856" s="460"/>
      <c r="S856" s="505">
        <v>32692</v>
      </c>
      <c r="T856" s="505">
        <v>9770</v>
      </c>
      <c r="U856" s="505">
        <v>42462</v>
      </c>
      <c r="W856" s="454">
        <v>193646</v>
      </c>
      <c r="X856" s="454">
        <v>39876</v>
      </c>
    </row>
    <row r="857" spans="1:24">
      <c r="A857" s="458">
        <v>99311</v>
      </c>
      <c r="B857" s="518" t="s">
        <v>1561</v>
      </c>
      <c r="C857" s="460">
        <f t="shared" si="14"/>
        <v>4.813000017847292E-5</v>
      </c>
      <c r="D857" s="460">
        <f>VLOOKUP(A857,'2024 summary '!A857:C1763,3,FALSE)</f>
        <v>4.2120000000000003E-5</v>
      </c>
      <c r="E857" s="505">
        <v>324467</v>
      </c>
      <c r="F857" s="460"/>
      <c r="G857" s="505">
        <v>56859</v>
      </c>
      <c r="H857" s="505">
        <v>44111</v>
      </c>
      <c r="I857" s="505">
        <v>0</v>
      </c>
      <c r="J857" s="505">
        <v>18983</v>
      </c>
      <c r="K857" s="505">
        <v>119953</v>
      </c>
      <c r="L857" s="460"/>
      <c r="M857" s="505">
        <v>382</v>
      </c>
      <c r="N857" s="505">
        <v>0</v>
      </c>
      <c r="O857" s="505">
        <v>0</v>
      </c>
      <c r="P857" s="505">
        <v>25300</v>
      </c>
      <c r="Q857" s="505">
        <v>25682</v>
      </c>
      <c r="R857" s="460"/>
      <c r="S857" s="505">
        <v>97066</v>
      </c>
      <c r="T857" s="505">
        <v>-6854</v>
      </c>
      <c r="U857" s="505">
        <v>90212</v>
      </c>
      <c r="W857" s="454">
        <v>574965</v>
      </c>
      <c r="X857" s="454">
        <v>118398</v>
      </c>
    </row>
    <row r="858" spans="1:24">
      <c r="A858" s="458">
        <v>99321</v>
      </c>
      <c r="B858" s="518" t="s">
        <v>1562</v>
      </c>
      <c r="C858" s="460">
        <f t="shared" si="14"/>
        <v>7.4460010384994624E-5</v>
      </c>
      <c r="D858" s="460">
        <f>VLOOKUP(A858,'2024 summary '!A858:C1764,3,FALSE)</f>
        <v>9.8540000000000002E-5</v>
      </c>
      <c r="E858" s="505">
        <v>501970</v>
      </c>
      <c r="F858" s="460"/>
      <c r="G858" s="505">
        <v>87964</v>
      </c>
      <c r="H858" s="505">
        <v>68243</v>
      </c>
      <c r="I858" s="505">
        <v>0</v>
      </c>
      <c r="J858" s="505">
        <v>62396</v>
      </c>
      <c r="K858" s="505">
        <v>218603</v>
      </c>
      <c r="L858" s="460"/>
      <c r="M858" s="505">
        <v>591</v>
      </c>
      <c r="N858" s="505">
        <v>0</v>
      </c>
      <c r="O858" s="505">
        <v>0</v>
      </c>
      <c r="P858" s="505">
        <v>2750</v>
      </c>
      <c r="Q858" s="505">
        <v>3341</v>
      </c>
      <c r="R858" s="460"/>
      <c r="S858" s="505">
        <v>150168</v>
      </c>
      <c r="T858" s="505">
        <v>51203</v>
      </c>
      <c r="U858" s="505">
        <v>201371</v>
      </c>
      <c r="W858" s="454">
        <v>889505</v>
      </c>
      <c r="X858" s="454">
        <v>183169</v>
      </c>
    </row>
    <row r="859" spans="1:24">
      <c r="A859" s="458">
        <v>99401</v>
      </c>
      <c r="B859" s="518" t="s">
        <v>1563</v>
      </c>
      <c r="C859" s="460">
        <f t="shared" si="14"/>
        <v>6.0172994965276415E-4</v>
      </c>
      <c r="D859" s="460">
        <f>VLOOKUP(A859,'2024 summary '!A859:C1765,3,FALSE)</f>
        <v>6.8079000000000002E-4</v>
      </c>
      <c r="E859" s="505">
        <v>4056545</v>
      </c>
      <c r="F859" s="460"/>
      <c r="G859" s="505">
        <v>710860</v>
      </c>
      <c r="H859" s="505">
        <v>551485</v>
      </c>
      <c r="I859" s="505">
        <v>0</v>
      </c>
      <c r="J859" s="505">
        <v>48222</v>
      </c>
      <c r="K859" s="505">
        <v>1310567</v>
      </c>
      <c r="L859" s="460"/>
      <c r="M859" s="505">
        <v>4780</v>
      </c>
      <c r="N859" s="505">
        <v>0</v>
      </c>
      <c r="O859" s="505">
        <v>0</v>
      </c>
      <c r="P859" s="505">
        <v>334339</v>
      </c>
      <c r="Q859" s="505">
        <v>339119</v>
      </c>
      <c r="R859" s="460"/>
      <c r="S859" s="505">
        <v>1213543</v>
      </c>
      <c r="T859" s="505">
        <v>-102741</v>
      </c>
      <c r="U859" s="505">
        <v>1110802</v>
      </c>
      <c r="W859" s="454">
        <v>7188317</v>
      </c>
      <c r="X859" s="454">
        <v>1480232</v>
      </c>
    </row>
    <row r="860" spans="1:24">
      <c r="A860" s="458">
        <v>99404</v>
      </c>
      <c r="B860" s="518" t="s">
        <v>1564</v>
      </c>
      <c r="C860" s="460">
        <f t="shared" si="14"/>
        <v>5.7100297622566744E-6</v>
      </c>
      <c r="D860" s="460">
        <f>VLOOKUP(A860,'2024 summary '!A860:C1766,3,FALSE)</f>
        <v>6.5400000000000001E-6</v>
      </c>
      <c r="E860" s="505">
        <v>38494</v>
      </c>
      <c r="F860" s="460"/>
      <c r="G860" s="505">
        <v>6746</v>
      </c>
      <c r="H860" s="505">
        <v>5233</v>
      </c>
      <c r="I860" s="505">
        <v>0</v>
      </c>
      <c r="J860" s="505">
        <v>4539</v>
      </c>
      <c r="K860" s="505">
        <v>16518</v>
      </c>
      <c r="L860" s="460"/>
      <c r="M860" s="505">
        <v>45</v>
      </c>
      <c r="N860" s="505">
        <v>0</v>
      </c>
      <c r="O860" s="505">
        <v>0</v>
      </c>
      <c r="P860" s="505">
        <v>1102</v>
      </c>
      <c r="Q860" s="505">
        <v>1147</v>
      </c>
      <c r="R860" s="460"/>
      <c r="S860" s="505">
        <v>11516</v>
      </c>
      <c r="T860" s="505">
        <v>2259</v>
      </c>
      <c r="U860" s="505">
        <v>13775</v>
      </c>
      <c r="W860" s="454">
        <v>68212</v>
      </c>
      <c r="X860" s="454">
        <v>14046</v>
      </c>
    </row>
    <row r="861" spans="1:24">
      <c r="A861" s="458">
        <v>99405</v>
      </c>
      <c r="B861" s="518" t="s">
        <v>1565</v>
      </c>
      <c r="C861" s="460">
        <f t="shared" si="14"/>
        <v>6.1600057399104817E-5</v>
      </c>
      <c r="D861" s="460">
        <f>VLOOKUP(A861,'2024 summary '!A861:C1767,3,FALSE)</f>
        <v>5.9200000000000002E-5</v>
      </c>
      <c r="E861" s="505">
        <v>415275</v>
      </c>
      <c r="F861" s="460"/>
      <c r="G861" s="505">
        <v>72772</v>
      </c>
      <c r="H861" s="505">
        <v>56456</v>
      </c>
      <c r="I861" s="505">
        <v>0</v>
      </c>
      <c r="J861" s="505">
        <v>22792</v>
      </c>
      <c r="K861" s="505">
        <v>152020</v>
      </c>
      <c r="L861" s="460"/>
      <c r="M861" s="505">
        <v>489</v>
      </c>
      <c r="N861" s="505">
        <v>0</v>
      </c>
      <c r="O861" s="505">
        <v>0</v>
      </c>
      <c r="P861" s="505">
        <v>0</v>
      </c>
      <c r="Q861" s="505">
        <v>489</v>
      </c>
      <c r="R861" s="460"/>
      <c r="S861" s="505">
        <v>124232</v>
      </c>
      <c r="T861" s="505">
        <v>9901</v>
      </c>
      <c r="U861" s="505">
        <v>134133</v>
      </c>
      <c r="W861" s="454">
        <v>735879</v>
      </c>
      <c r="X861" s="454">
        <v>151534</v>
      </c>
    </row>
    <row r="862" spans="1:24">
      <c r="A862" s="458">
        <v>99411</v>
      </c>
      <c r="B862" s="518" t="s">
        <v>1566</v>
      </c>
      <c r="C862" s="460">
        <f t="shared" si="14"/>
        <v>1.6271003783364051E-4</v>
      </c>
      <c r="D862" s="460">
        <f>VLOOKUP(A862,'2024 summary '!A862:C1768,3,FALSE)</f>
        <v>1.5092E-4</v>
      </c>
      <c r="E862" s="505">
        <v>1096905</v>
      </c>
      <c r="F862" s="460"/>
      <c r="G862" s="505">
        <v>192219</v>
      </c>
      <c r="H862" s="505">
        <v>149124</v>
      </c>
      <c r="I862" s="505">
        <v>0</v>
      </c>
      <c r="J862" s="505">
        <v>49298</v>
      </c>
      <c r="K862" s="505">
        <v>390641</v>
      </c>
      <c r="L862" s="460"/>
      <c r="M862" s="505">
        <v>1292</v>
      </c>
      <c r="N862" s="505">
        <v>0</v>
      </c>
      <c r="O862" s="505">
        <v>0</v>
      </c>
      <c r="P862" s="505">
        <v>14025</v>
      </c>
      <c r="Q862" s="505">
        <v>15317</v>
      </c>
      <c r="R862" s="460"/>
      <c r="S862" s="505">
        <v>328146</v>
      </c>
      <c r="T862" s="505">
        <v>3417</v>
      </c>
      <c r="U862" s="505">
        <v>331563</v>
      </c>
      <c r="W862" s="454">
        <v>1943747</v>
      </c>
      <c r="X862" s="454">
        <v>400260</v>
      </c>
    </row>
    <row r="863" spans="1:24">
      <c r="A863" s="458">
        <v>99413</v>
      </c>
      <c r="B863" s="518" t="s">
        <v>1567</v>
      </c>
      <c r="C863" s="460">
        <f t="shared" si="14"/>
        <v>3.1499950127130941E-5</v>
      </c>
      <c r="D863" s="460">
        <f>VLOOKUP(A863,'2024 summary '!A863:C1769,3,FALSE)</f>
        <v>3.913E-5</v>
      </c>
      <c r="E863" s="505">
        <v>212356</v>
      </c>
      <c r="F863" s="460"/>
      <c r="G863" s="505">
        <v>37213</v>
      </c>
      <c r="H863" s="505">
        <v>28870</v>
      </c>
      <c r="I863" s="505">
        <v>0</v>
      </c>
      <c r="J863" s="505">
        <v>10651</v>
      </c>
      <c r="K863" s="505">
        <v>76734</v>
      </c>
      <c r="L863" s="460"/>
      <c r="M863" s="505">
        <v>250</v>
      </c>
      <c r="N863" s="505">
        <v>0</v>
      </c>
      <c r="O863" s="505">
        <v>0</v>
      </c>
      <c r="P863" s="505">
        <v>22047</v>
      </c>
      <c r="Q863" s="505">
        <v>22297</v>
      </c>
      <c r="R863" s="460"/>
      <c r="S863" s="505">
        <v>63528</v>
      </c>
      <c r="T863" s="505">
        <v>4237</v>
      </c>
      <c r="U863" s="505">
        <v>67765</v>
      </c>
      <c r="W863" s="454">
        <v>376302</v>
      </c>
      <c r="X863" s="454">
        <v>77489</v>
      </c>
    </row>
    <row r="864" spans="1:24">
      <c r="A864" s="458">
        <v>99421</v>
      </c>
      <c r="B864" s="518" t="s">
        <v>1568</v>
      </c>
      <c r="C864" s="460">
        <f t="shared" si="14"/>
        <v>1.005003212065294E-5</v>
      </c>
      <c r="D864" s="460">
        <f>VLOOKUP(A864,'2024 summary '!A864:C1770,3,FALSE)</f>
        <v>1.08E-5</v>
      </c>
      <c r="E864" s="505">
        <v>67752</v>
      </c>
      <c r="F864" s="460"/>
      <c r="G864" s="505">
        <v>11873</v>
      </c>
      <c r="H864" s="505">
        <v>9211</v>
      </c>
      <c r="I864" s="505">
        <v>0</v>
      </c>
      <c r="J864" s="505">
        <v>299</v>
      </c>
      <c r="K864" s="505">
        <v>21383</v>
      </c>
      <c r="L864" s="460"/>
      <c r="M864" s="505">
        <v>80</v>
      </c>
      <c r="N864" s="505">
        <v>0</v>
      </c>
      <c r="O864" s="505">
        <v>0</v>
      </c>
      <c r="P864" s="505">
        <v>8008</v>
      </c>
      <c r="Q864" s="505">
        <v>8088</v>
      </c>
      <c r="R864" s="460"/>
      <c r="S864" s="505">
        <v>20268</v>
      </c>
      <c r="T864" s="505">
        <v>-3164</v>
      </c>
      <c r="U864" s="505">
        <v>17104</v>
      </c>
      <c r="W864" s="454">
        <v>120058</v>
      </c>
      <c r="X864" s="454">
        <v>24723</v>
      </c>
    </row>
    <row r="865" spans="1:24">
      <c r="A865" s="458">
        <v>99431</v>
      </c>
      <c r="B865" s="518" t="s">
        <v>1569</v>
      </c>
      <c r="C865" s="460">
        <f t="shared" si="14"/>
        <v>1.3960009636715798E-5</v>
      </c>
      <c r="D865" s="460">
        <f>VLOOKUP(A865,'2024 summary '!A865:C1771,3,FALSE)</f>
        <v>1.607E-5</v>
      </c>
      <c r="E865" s="505">
        <v>94111</v>
      </c>
      <c r="F865" s="460"/>
      <c r="G865" s="505">
        <v>16492</v>
      </c>
      <c r="H865" s="505">
        <v>12794</v>
      </c>
      <c r="I865" s="505">
        <v>0</v>
      </c>
      <c r="J865" s="505">
        <v>0</v>
      </c>
      <c r="K865" s="505">
        <v>29286</v>
      </c>
      <c r="L865" s="460"/>
      <c r="M865" s="505">
        <v>111</v>
      </c>
      <c r="N865" s="505">
        <v>0</v>
      </c>
      <c r="O865" s="505">
        <v>0</v>
      </c>
      <c r="P865" s="505">
        <v>10318</v>
      </c>
      <c r="Q865" s="505">
        <v>10429</v>
      </c>
      <c r="R865" s="460"/>
      <c r="S865" s="505">
        <v>28154</v>
      </c>
      <c r="T865" s="505">
        <v>-5367</v>
      </c>
      <c r="U865" s="505">
        <v>22787</v>
      </c>
      <c r="W865" s="454">
        <v>166767</v>
      </c>
      <c r="X865" s="454">
        <v>34341</v>
      </c>
    </row>
    <row r="866" spans="1:24">
      <c r="A866" s="458">
        <v>99501</v>
      </c>
      <c r="B866" s="518" t="s">
        <v>1570</v>
      </c>
      <c r="C866" s="460">
        <f t="shared" si="14"/>
        <v>1.5892099831480236E-3</v>
      </c>
      <c r="D866" s="460">
        <f>VLOOKUP(A866,'2024 summary '!A866:C1772,3,FALSE)</f>
        <v>1.63507E-3</v>
      </c>
      <c r="E866" s="505">
        <v>10713613</v>
      </c>
      <c r="F866" s="460"/>
      <c r="G866" s="505">
        <v>1877431</v>
      </c>
      <c r="H866" s="505">
        <v>1456509</v>
      </c>
      <c r="I866" s="505">
        <v>0</v>
      </c>
      <c r="J866" s="505">
        <v>114440</v>
      </c>
      <c r="K866" s="505">
        <v>3448380</v>
      </c>
      <c r="L866" s="460"/>
      <c r="M866" s="505">
        <v>12623</v>
      </c>
      <c r="N866" s="505">
        <v>0</v>
      </c>
      <c r="O866" s="505">
        <v>0</v>
      </c>
      <c r="P866" s="505">
        <v>140194</v>
      </c>
      <c r="Q866" s="505">
        <v>152817</v>
      </c>
      <c r="R866" s="460"/>
      <c r="S866" s="505">
        <v>3205049</v>
      </c>
      <c r="T866" s="505">
        <v>44030</v>
      </c>
      <c r="U866" s="505">
        <v>3249079</v>
      </c>
      <c r="W866" s="454">
        <v>18984836</v>
      </c>
      <c r="X866" s="454">
        <v>3909395</v>
      </c>
    </row>
    <row r="867" spans="1:24">
      <c r="A867" s="458">
        <v>99502</v>
      </c>
      <c r="B867" s="518" t="s">
        <v>1571</v>
      </c>
      <c r="C867" s="460">
        <f t="shared" si="14"/>
        <v>1.6619992899113552E-4</v>
      </c>
      <c r="D867" s="460">
        <f>VLOOKUP(A867,'2024 summary '!A867:C1773,3,FALSE)</f>
        <v>1.5111000000000001E-4</v>
      </c>
      <c r="E867" s="505">
        <v>1120432</v>
      </c>
      <c r="F867" s="460"/>
      <c r="G867" s="505">
        <v>196342</v>
      </c>
      <c r="H867" s="505">
        <v>152322</v>
      </c>
      <c r="I867" s="505">
        <v>0</v>
      </c>
      <c r="J867" s="505">
        <v>27755</v>
      </c>
      <c r="K867" s="505">
        <v>376419</v>
      </c>
      <c r="L867" s="460"/>
      <c r="M867" s="505">
        <v>1320</v>
      </c>
      <c r="N867" s="505">
        <v>0</v>
      </c>
      <c r="O867" s="505">
        <v>0</v>
      </c>
      <c r="P867" s="505">
        <v>3616</v>
      </c>
      <c r="Q867" s="505">
        <v>4936</v>
      </c>
      <c r="R867" s="460"/>
      <c r="S867" s="505">
        <v>335185</v>
      </c>
      <c r="T867" s="505">
        <v>6169</v>
      </c>
      <c r="U867" s="505">
        <v>341354</v>
      </c>
      <c r="W867" s="454">
        <v>1985439</v>
      </c>
      <c r="X867" s="454">
        <v>408846</v>
      </c>
    </row>
    <row r="868" spans="1:24">
      <c r="A868" s="458">
        <v>99508</v>
      </c>
      <c r="B868" s="518" t="s">
        <v>1572</v>
      </c>
      <c r="C868" s="460">
        <f t="shared" si="14"/>
        <v>2.9329948947932809E-5</v>
      </c>
      <c r="D868" s="460">
        <f>VLOOKUP(A868,'2024 summary '!A868:C1774,3,FALSE)</f>
        <v>3.1699999999999998E-5</v>
      </c>
      <c r="E868" s="505">
        <v>197727</v>
      </c>
      <c r="F868" s="460"/>
      <c r="G868" s="505">
        <v>34649</v>
      </c>
      <c r="H868" s="505">
        <v>26881</v>
      </c>
      <c r="I868" s="505">
        <v>0</v>
      </c>
      <c r="J868" s="505">
        <v>20967</v>
      </c>
      <c r="K868" s="505">
        <v>82497</v>
      </c>
      <c r="L868" s="460"/>
      <c r="M868" s="505">
        <v>233</v>
      </c>
      <c r="N868" s="505">
        <v>0</v>
      </c>
      <c r="O868" s="505">
        <v>0</v>
      </c>
      <c r="P868" s="505">
        <v>9741</v>
      </c>
      <c r="Q868" s="505">
        <v>9974</v>
      </c>
      <c r="R868" s="460"/>
      <c r="S868" s="505">
        <v>59151</v>
      </c>
      <c r="T868" s="505">
        <v>6666</v>
      </c>
      <c r="U868" s="505">
        <v>65817</v>
      </c>
      <c r="W868" s="454">
        <v>350379</v>
      </c>
      <c r="X868" s="454">
        <v>72151</v>
      </c>
    </row>
    <row r="869" spans="1:24">
      <c r="A869" s="458">
        <v>99509</v>
      </c>
      <c r="B869" s="518" t="s">
        <v>1573</v>
      </c>
      <c r="C869" s="460">
        <f t="shared" si="14"/>
        <v>2.3709958881880472E-5</v>
      </c>
      <c r="D869" s="460">
        <f>VLOOKUP(A869,'2024 summary '!A869:C1775,3,FALSE)</f>
        <v>2.376E-5</v>
      </c>
      <c r="E869" s="505">
        <v>159840</v>
      </c>
      <c r="F869" s="460"/>
      <c r="G869" s="505">
        <v>28010</v>
      </c>
      <c r="H869" s="505">
        <v>21730</v>
      </c>
      <c r="I869" s="505">
        <v>0</v>
      </c>
      <c r="J869" s="505">
        <v>3714</v>
      </c>
      <c r="K869" s="505">
        <v>53454</v>
      </c>
      <c r="L869" s="460"/>
      <c r="M869" s="505">
        <v>188</v>
      </c>
      <c r="N869" s="505">
        <v>0</v>
      </c>
      <c r="O869" s="505">
        <v>0</v>
      </c>
      <c r="P869" s="505">
        <v>659</v>
      </c>
      <c r="Q869" s="505">
        <v>847</v>
      </c>
      <c r="R869" s="460"/>
      <c r="S869" s="505">
        <v>47817</v>
      </c>
      <c r="T869" s="505">
        <v>3044</v>
      </c>
      <c r="U869" s="505">
        <v>50861</v>
      </c>
      <c r="W869" s="454">
        <v>283242</v>
      </c>
      <c r="X869" s="454">
        <v>58326</v>
      </c>
    </row>
    <row r="870" spans="1:24">
      <c r="A870" s="458">
        <v>99511</v>
      </c>
      <c r="B870" s="518" t="s">
        <v>1574</v>
      </c>
      <c r="C870" s="460">
        <f t="shared" si="14"/>
        <v>1.1619999567539488E-3</v>
      </c>
      <c r="D870" s="460">
        <f>VLOOKUP(A870,'2024 summary '!A870:C1776,3,FALSE)</f>
        <v>1.2949700000000001E-3</v>
      </c>
      <c r="E870" s="505">
        <v>7833589</v>
      </c>
      <c r="F870" s="460"/>
      <c r="G870" s="505">
        <v>1372741</v>
      </c>
      <c r="H870" s="505">
        <v>1064972</v>
      </c>
      <c r="I870" s="505">
        <v>0</v>
      </c>
      <c r="J870" s="505">
        <v>9234</v>
      </c>
      <c r="K870" s="505">
        <v>2446947</v>
      </c>
      <c r="L870" s="460"/>
      <c r="M870" s="505">
        <v>9230</v>
      </c>
      <c r="N870" s="505">
        <v>0</v>
      </c>
      <c r="O870" s="505">
        <v>0</v>
      </c>
      <c r="P870" s="505">
        <v>397311</v>
      </c>
      <c r="Q870" s="505">
        <v>406541</v>
      </c>
      <c r="R870" s="460"/>
      <c r="S870" s="505">
        <v>2343470</v>
      </c>
      <c r="T870" s="505">
        <v>-157243</v>
      </c>
      <c r="U870" s="505">
        <v>2186227</v>
      </c>
      <c r="W870" s="454">
        <v>13881350</v>
      </c>
      <c r="X870" s="454">
        <v>2858475</v>
      </c>
    </row>
    <row r="871" spans="1:24">
      <c r="A871" s="458">
        <v>99521</v>
      </c>
      <c r="B871" s="518" t="s">
        <v>1575</v>
      </c>
      <c r="C871" s="460">
        <f t="shared" si="14"/>
        <v>5.2779994229007281E-4</v>
      </c>
      <c r="D871" s="460">
        <f>VLOOKUP(A871,'2024 summary '!A871:C1777,3,FALSE)</f>
        <v>5.7490000000000004E-4</v>
      </c>
      <c r="E871" s="505">
        <v>3558148</v>
      </c>
      <c r="F871" s="460"/>
      <c r="G871" s="505">
        <v>623522</v>
      </c>
      <c r="H871" s="505">
        <v>483728</v>
      </c>
      <c r="I871" s="505">
        <v>0</v>
      </c>
      <c r="J871" s="505">
        <v>82805</v>
      </c>
      <c r="K871" s="505">
        <v>1190055</v>
      </c>
      <c r="L871" s="460"/>
      <c r="M871" s="505">
        <v>4192</v>
      </c>
      <c r="N871" s="505">
        <v>0</v>
      </c>
      <c r="O871" s="505">
        <v>0</v>
      </c>
      <c r="P871" s="505">
        <v>224267</v>
      </c>
      <c r="Q871" s="505">
        <v>228459</v>
      </c>
      <c r="R871" s="460"/>
      <c r="S871" s="505">
        <v>1064444</v>
      </c>
      <c r="T871" s="505">
        <v>-45114</v>
      </c>
      <c r="U871" s="505">
        <v>1019330</v>
      </c>
      <c r="W871" s="454">
        <v>6305143</v>
      </c>
      <c r="X871" s="454">
        <v>1298367</v>
      </c>
    </row>
    <row r="872" spans="1:24">
      <c r="A872" s="458">
        <v>99527</v>
      </c>
      <c r="B872" s="518" t="s">
        <v>1576</v>
      </c>
      <c r="C872" s="460">
        <f t="shared" si="14"/>
        <v>1.0199999390607776E-5</v>
      </c>
      <c r="D872" s="460">
        <f>VLOOKUP(A872,'2024 summary '!A872:C1778,3,FALSE)</f>
        <v>1.079E-5</v>
      </c>
      <c r="E872" s="505">
        <v>68763</v>
      </c>
      <c r="F872" s="460"/>
      <c r="G872" s="505">
        <v>12050</v>
      </c>
      <c r="H872" s="505">
        <v>9348</v>
      </c>
      <c r="I872" s="505">
        <v>0</v>
      </c>
      <c r="J872" s="505">
        <v>5063</v>
      </c>
      <c r="K872" s="505">
        <v>26461</v>
      </c>
      <c r="L872" s="460"/>
      <c r="M872" s="505">
        <v>81</v>
      </c>
      <c r="N872" s="505">
        <v>0</v>
      </c>
      <c r="O872" s="505">
        <v>0</v>
      </c>
      <c r="P872" s="505">
        <v>0</v>
      </c>
      <c r="Q872" s="505">
        <v>81</v>
      </c>
      <c r="R872" s="460"/>
      <c r="S872" s="505">
        <v>20571</v>
      </c>
      <c r="T872" s="505">
        <v>3769</v>
      </c>
      <c r="U872" s="505">
        <v>24340</v>
      </c>
      <c r="W872" s="454">
        <v>121850</v>
      </c>
      <c r="X872" s="454">
        <v>25092</v>
      </c>
    </row>
    <row r="873" spans="1:24">
      <c r="A873" s="458">
        <v>99531</v>
      </c>
      <c r="B873" s="518" t="s">
        <v>1577</v>
      </c>
      <c r="C873" s="460">
        <f t="shared" si="14"/>
        <v>1.0585998233215567E-4</v>
      </c>
      <c r="D873" s="460">
        <f>VLOOKUP(A873,'2024 summary '!A873:C1779,3,FALSE)</f>
        <v>1.0409E-4</v>
      </c>
      <c r="E873" s="505">
        <v>713652</v>
      </c>
      <c r="F873" s="460"/>
      <c r="G873" s="505">
        <v>125059</v>
      </c>
      <c r="H873" s="505">
        <v>97021</v>
      </c>
      <c r="I873" s="505">
        <v>0</v>
      </c>
      <c r="J873" s="505">
        <v>76152</v>
      </c>
      <c r="K873" s="505">
        <v>298232</v>
      </c>
      <c r="L873" s="460"/>
      <c r="M873" s="505">
        <v>841</v>
      </c>
      <c r="N873" s="505">
        <v>0</v>
      </c>
      <c r="O873" s="505">
        <v>0</v>
      </c>
      <c r="P873" s="505">
        <v>0</v>
      </c>
      <c r="Q873" s="505">
        <v>841</v>
      </c>
      <c r="R873" s="460"/>
      <c r="S873" s="505">
        <v>213494</v>
      </c>
      <c r="T873" s="505">
        <v>47558</v>
      </c>
      <c r="U873" s="505">
        <v>261052</v>
      </c>
      <c r="W873" s="454">
        <v>1264612</v>
      </c>
      <c r="X873" s="454">
        <v>260411</v>
      </c>
    </row>
    <row r="874" spans="1:24">
      <c r="A874" s="458">
        <v>99601</v>
      </c>
      <c r="B874" s="518" t="s">
        <v>1578</v>
      </c>
      <c r="C874" s="460">
        <f t="shared" si="14"/>
        <v>4.8376299539875899E-3</v>
      </c>
      <c r="D874" s="460">
        <f>VLOOKUP(A874,'2024 summary '!A874:C1780,3,FALSE)</f>
        <v>5.0571899999999996E-3</v>
      </c>
      <c r="E874" s="505">
        <v>32612742</v>
      </c>
      <c r="F874" s="460"/>
      <c r="G874" s="505">
        <v>5714987</v>
      </c>
      <c r="H874" s="505">
        <v>4433683</v>
      </c>
      <c r="I874" s="505">
        <v>0</v>
      </c>
      <c r="J874" s="505">
        <v>40115</v>
      </c>
      <c r="K874" s="505">
        <v>10188785</v>
      </c>
      <c r="L874" s="460"/>
      <c r="M874" s="505">
        <v>38425</v>
      </c>
      <c r="N874" s="505">
        <v>0</v>
      </c>
      <c r="O874" s="505">
        <v>0</v>
      </c>
      <c r="P874" s="505">
        <v>766019</v>
      </c>
      <c r="Q874" s="505">
        <v>804444</v>
      </c>
      <c r="R874" s="460"/>
      <c r="S874" s="505">
        <v>9756319</v>
      </c>
      <c r="T874" s="505">
        <v>-431818</v>
      </c>
      <c r="U874" s="505">
        <v>9324501</v>
      </c>
      <c r="W874" s="454">
        <v>57790734</v>
      </c>
      <c r="X874" s="454">
        <v>11900381</v>
      </c>
    </row>
    <row r="875" spans="1:24">
      <c r="A875" s="458">
        <v>99602</v>
      </c>
      <c r="B875" s="518" t="s">
        <v>1579</v>
      </c>
      <c r="C875" s="460">
        <f t="shared" si="14"/>
        <v>5.2399988143774539E-5</v>
      </c>
      <c r="D875" s="460">
        <f>VLOOKUP(A875,'2024 summary '!A875:C1781,3,FALSE)</f>
        <v>5.4330000000000003E-5</v>
      </c>
      <c r="E875" s="505">
        <v>353253</v>
      </c>
      <c r="F875" s="460"/>
      <c r="G875" s="505">
        <v>61903</v>
      </c>
      <c r="H875" s="505">
        <v>48025</v>
      </c>
      <c r="I875" s="505">
        <v>0</v>
      </c>
      <c r="J875" s="505">
        <v>0</v>
      </c>
      <c r="K875" s="505">
        <v>109928</v>
      </c>
      <c r="L875" s="460"/>
      <c r="M875" s="505">
        <v>416</v>
      </c>
      <c r="N875" s="505">
        <v>0</v>
      </c>
      <c r="O875" s="505">
        <v>0</v>
      </c>
      <c r="P875" s="505">
        <v>18903</v>
      </c>
      <c r="Q875" s="505">
        <v>19319</v>
      </c>
      <c r="R875" s="460"/>
      <c r="S875" s="505">
        <v>105678</v>
      </c>
      <c r="T875" s="505">
        <v>-10470</v>
      </c>
      <c r="U875" s="505">
        <v>95208</v>
      </c>
      <c r="W875" s="454">
        <v>625975</v>
      </c>
      <c r="X875" s="454">
        <v>128902</v>
      </c>
    </row>
    <row r="876" spans="1:24">
      <c r="A876" s="458">
        <v>99603</v>
      </c>
      <c r="B876" s="518" t="s">
        <v>1580</v>
      </c>
      <c r="C876" s="460">
        <f t="shared" si="14"/>
        <v>1.4516994900764678E-4</v>
      </c>
      <c r="D876" s="460">
        <f>VLOOKUP(A876,'2024 summary '!A876:C1782,3,FALSE)</f>
        <v>1.6312E-4</v>
      </c>
      <c r="E876" s="505">
        <v>978659</v>
      </c>
      <c r="F876" s="460"/>
      <c r="G876" s="505">
        <v>171498</v>
      </c>
      <c r="H876" s="505">
        <v>133048</v>
      </c>
      <c r="I876" s="505">
        <v>0</v>
      </c>
      <c r="J876" s="505">
        <v>10478</v>
      </c>
      <c r="K876" s="505">
        <v>315024</v>
      </c>
      <c r="L876" s="460"/>
      <c r="M876" s="505">
        <v>1153</v>
      </c>
      <c r="N876" s="505">
        <v>0</v>
      </c>
      <c r="O876" s="505">
        <v>0</v>
      </c>
      <c r="P876" s="505">
        <v>39527</v>
      </c>
      <c r="Q876" s="505">
        <v>40680</v>
      </c>
      <c r="R876" s="460"/>
      <c r="S876" s="505">
        <v>292772</v>
      </c>
      <c r="T876" s="505">
        <v>9281</v>
      </c>
      <c r="U876" s="505">
        <v>302053</v>
      </c>
      <c r="W876" s="454">
        <v>1734213</v>
      </c>
      <c r="X876" s="454">
        <v>357113</v>
      </c>
    </row>
    <row r="877" spans="1:24">
      <c r="A877" s="458">
        <v>99604</v>
      </c>
      <c r="B877" s="518" t="s">
        <v>1581</v>
      </c>
      <c r="C877" s="460">
        <f t="shared" si="14"/>
        <v>1.30930030134131E-4</v>
      </c>
      <c r="D877" s="460">
        <f>VLOOKUP(A877,'2024 summary '!A877:C1783,3,FALSE)</f>
        <v>1.1205999999999999E-4</v>
      </c>
      <c r="E877" s="505">
        <v>882661</v>
      </c>
      <c r="F877" s="460"/>
      <c r="G877" s="505">
        <v>154676</v>
      </c>
      <c r="H877" s="505">
        <v>119997</v>
      </c>
      <c r="I877" s="505">
        <v>0</v>
      </c>
      <c r="J877" s="505">
        <v>71159</v>
      </c>
      <c r="K877" s="505">
        <v>345832</v>
      </c>
      <c r="L877" s="460"/>
      <c r="M877" s="505">
        <v>1040</v>
      </c>
      <c r="N877" s="505">
        <v>0</v>
      </c>
      <c r="O877" s="505">
        <v>0</v>
      </c>
      <c r="P877" s="505">
        <v>4552</v>
      </c>
      <c r="Q877" s="505">
        <v>5592</v>
      </c>
      <c r="R877" s="460"/>
      <c r="S877" s="505">
        <v>264054</v>
      </c>
      <c r="T877" s="505">
        <v>30320</v>
      </c>
      <c r="U877" s="505">
        <v>294374</v>
      </c>
      <c r="W877" s="454">
        <v>1564101</v>
      </c>
      <c r="X877" s="454">
        <v>322083</v>
      </c>
    </row>
    <row r="878" spans="1:24">
      <c r="A878" s="458">
        <v>99609</v>
      </c>
      <c r="B878" s="518" t="s">
        <v>1582</v>
      </c>
      <c r="C878" s="460">
        <f t="shared" si="14"/>
        <v>3.2720010261036512E-5</v>
      </c>
      <c r="D878" s="460">
        <f>VLOOKUP(A878,'2024 summary '!A878:C1784,3,FALSE)</f>
        <v>3.5769999999999998E-5</v>
      </c>
      <c r="E878" s="505">
        <v>220581</v>
      </c>
      <c r="F878" s="460"/>
      <c r="G878" s="505">
        <v>38654</v>
      </c>
      <c r="H878" s="505">
        <v>29988</v>
      </c>
      <c r="I878" s="505">
        <v>0</v>
      </c>
      <c r="J878" s="505">
        <v>3654</v>
      </c>
      <c r="K878" s="505">
        <v>72296</v>
      </c>
      <c r="L878" s="460"/>
      <c r="M878" s="505">
        <v>260</v>
      </c>
      <c r="N878" s="505">
        <v>0</v>
      </c>
      <c r="O878" s="505">
        <v>0</v>
      </c>
      <c r="P878" s="505">
        <v>24221</v>
      </c>
      <c r="Q878" s="505">
        <v>24481</v>
      </c>
      <c r="R878" s="460"/>
      <c r="S878" s="505">
        <v>65988</v>
      </c>
      <c r="T878" s="505">
        <v>-7308</v>
      </c>
      <c r="U878" s="505">
        <v>58680</v>
      </c>
      <c r="W878" s="454">
        <v>390876</v>
      </c>
      <c r="X878" s="454">
        <v>80490</v>
      </c>
    </row>
    <row r="879" spans="1:24">
      <c r="A879" s="458">
        <v>99610</v>
      </c>
      <c r="B879" s="518" t="s">
        <v>1583</v>
      </c>
      <c r="C879" s="460">
        <f t="shared" si="14"/>
        <v>1.8347998554786037E-4</v>
      </c>
      <c r="D879" s="460">
        <f>VLOOKUP(A879,'2024 summary '!A879:C1785,3,FALSE)</f>
        <v>1.8194000000000001E-4</v>
      </c>
      <c r="E879" s="505">
        <v>1236925</v>
      </c>
      <c r="F879" s="460"/>
      <c r="G879" s="505">
        <v>216756</v>
      </c>
      <c r="H879" s="505">
        <v>168159</v>
      </c>
      <c r="I879" s="505">
        <v>0</v>
      </c>
      <c r="J879" s="505">
        <v>8706</v>
      </c>
      <c r="K879" s="505">
        <v>393621</v>
      </c>
      <c r="L879" s="460"/>
      <c r="M879" s="505">
        <v>1457</v>
      </c>
      <c r="N879" s="505">
        <v>0</v>
      </c>
      <c r="O879" s="505">
        <v>0</v>
      </c>
      <c r="P879" s="505">
        <v>16435</v>
      </c>
      <c r="Q879" s="505">
        <v>17892</v>
      </c>
      <c r="R879" s="460"/>
      <c r="S879" s="505">
        <v>370034</v>
      </c>
      <c r="T879" s="505">
        <v>8346</v>
      </c>
      <c r="U879" s="505">
        <v>378380</v>
      </c>
      <c r="W879" s="454">
        <v>2191867</v>
      </c>
      <c r="X879" s="454">
        <v>451354</v>
      </c>
    </row>
    <row r="880" spans="1:24">
      <c r="A880" s="458">
        <v>99611</v>
      </c>
      <c r="B880" s="518" t="s">
        <v>1584</v>
      </c>
      <c r="C880" s="460">
        <f t="shared" si="14"/>
        <v>2.4361399792308326E-3</v>
      </c>
      <c r="D880" s="460">
        <f>VLOOKUP(A880,'2024 summary '!A880:C1786,3,FALSE)</f>
        <v>2.6352900000000002E-3</v>
      </c>
      <c r="E880" s="505">
        <v>16423167</v>
      </c>
      <c r="F880" s="460"/>
      <c r="G880" s="505">
        <v>2877961</v>
      </c>
      <c r="H880" s="505">
        <v>2232720</v>
      </c>
      <c r="I880" s="505">
        <v>0</v>
      </c>
      <c r="J880" s="505">
        <v>34254</v>
      </c>
      <c r="K880" s="505">
        <v>5144935</v>
      </c>
      <c r="L880" s="460"/>
      <c r="M880" s="505">
        <v>19350</v>
      </c>
      <c r="N880" s="505">
        <v>0</v>
      </c>
      <c r="O880" s="505">
        <v>0</v>
      </c>
      <c r="P880" s="505">
        <v>860494</v>
      </c>
      <c r="Q880" s="505">
        <v>879844</v>
      </c>
      <c r="R880" s="460"/>
      <c r="S880" s="505">
        <v>4913100</v>
      </c>
      <c r="T880" s="505">
        <v>-508286</v>
      </c>
      <c r="U880" s="505">
        <v>4404814</v>
      </c>
      <c r="W880" s="454">
        <v>29102333</v>
      </c>
      <c r="X880" s="454">
        <v>5992809</v>
      </c>
    </row>
    <row r="881" spans="1:24">
      <c r="A881" s="458">
        <v>99613</v>
      </c>
      <c r="B881" s="518" t="s">
        <v>1585</v>
      </c>
      <c r="C881" s="460">
        <f t="shared" si="14"/>
        <v>3.5149999208829939E-4</v>
      </c>
      <c r="D881" s="460">
        <f>VLOOKUP(A881,'2024 summary '!A881:C1787,3,FALSE)</f>
        <v>3.7818999999999998E-4</v>
      </c>
      <c r="E881" s="505">
        <v>2369627</v>
      </c>
      <c r="F881" s="460"/>
      <c r="G881" s="505">
        <v>415248</v>
      </c>
      <c r="H881" s="505">
        <v>322149</v>
      </c>
      <c r="I881" s="505">
        <v>0</v>
      </c>
      <c r="J881" s="505">
        <v>39164</v>
      </c>
      <c r="K881" s="505">
        <v>776561</v>
      </c>
      <c r="L881" s="460"/>
      <c r="M881" s="505">
        <v>2792</v>
      </c>
      <c r="N881" s="505">
        <v>0</v>
      </c>
      <c r="O881" s="505">
        <v>0</v>
      </c>
      <c r="P881" s="505">
        <v>135190</v>
      </c>
      <c r="Q881" s="505">
        <v>137982</v>
      </c>
      <c r="R881" s="460"/>
      <c r="S881" s="505">
        <v>708890</v>
      </c>
      <c r="T881" s="505">
        <v>-11811</v>
      </c>
      <c r="U881" s="505">
        <v>697079</v>
      </c>
      <c r="W881" s="454">
        <v>4199049</v>
      </c>
      <c r="X881" s="454">
        <v>864676</v>
      </c>
    </row>
    <row r="882" spans="1:24">
      <c r="A882" s="458">
        <v>99621</v>
      </c>
      <c r="B882" s="518" t="s">
        <v>1586</v>
      </c>
      <c r="C882" s="460">
        <f t="shared" si="14"/>
        <v>3.6463006416280225E-4</v>
      </c>
      <c r="D882" s="460">
        <f>VLOOKUP(A882,'2024 summary '!A882:C1788,3,FALSE)</f>
        <v>3.4900000000000003E-4</v>
      </c>
      <c r="E882" s="505">
        <v>2458143</v>
      </c>
      <c r="F882" s="460"/>
      <c r="G882" s="505">
        <v>430760</v>
      </c>
      <c r="H882" s="505">
        <v>334183</v>
      </c>
      <c r="I882" s="505">
        <v>0</v>
      </c>
      <c r="J882" s="505">
        <v>20315</v>
      </c>
      <c r="K882" s="505">
        <v>785258</v>
      </c>
      <c r="L882" s="460"/>
      <c r="M882" s="505">
        <v>2896</v>
      </c>
      <c r="N882" s="505">
        <v>0</v>
      </c>
      <c r="O882" s="505">
        <v>0</v>
      </c>
      <c r="P882" s="505">
        <v>39489</v>
      </c>
      <c r="Q882" s="505">
        <v>42385</v>
      </c>
      <c r="R882" s="460"/>
      <c r="S882" s="505">
        <v>735370</v>
      </c>
      <c r="T882" s="505">
        <v>678</v>
      </c>
      <c r="U882" s="505">
        <v>736048</v>
      </c>
      <c r="W882" s="454">
        <v>4355901</v>
      </c>
      <c r="X882" s="454">
        <v>896976</v>
      </c>
    </row>
    <row r="883" spans="1:24">
      <c r="A883" s="458">
        <v>99623</v>
      </c>
      <c r="B883" s="518" t="s">
        <v>1587</v>
      </c>
      <c r="C883" s="460">
        <f t="shared" si="14"/>
        <v>2.7900438977057672E-6</v>
      </c>
      <c r="D883" s="460">
        <f>VLOOKUP(A883,'2024 summary '!A883:C1789,3,FALSE)</f>
        <v>3.45E-6</v>
      </c>
      <c r="E883" s="505">
        <v>18809</v>
      </c>
      <c r="F883" s="460"/>
      <c r="G883" s="505">
        <v>3296</v>
      </c>
      <c r="H883" s="505">
        <v>2557</v>
      </c>
      <c r="I883" s="505">
        <v>0</v>
      </c>
      <c r="J883" s="505">
        <v>3291</v>
      </c>
      <c r="K883" s="505">
        <v>9144</v>
      </c>
      <c r="L883" s="460"/>
      <c r="M883" s="505">
        <v>22</v>
      </c>
      <c r="N883" s="505">
        <v>0</v>
      </c>
      <c r="O883" s="505">
        <v>0</v>
      </c>
      <c r="P883" s="505">
        <v>18410</v>
      </c>
      <c r="Q883" s="505">
        <v>18432</v>
      </c>
      <c r="R883" s="460"/>
      <c r="S883" s="505">
        <v>5627</v>
      </c>
      <c r="T883" s="505">
        <v>-8519</v>
      </c>
      <c r="U883" s="505">
        <v>-2892</v>
      </c>
      <c r="W883" s="454">
        <v>33330</v>
      </c>
      <c r="X883" s="454">
        <v>6863</v>
      </c>
    </row>
    <row r="884" spans="1:24">
      <c r="A884" s="458">
        <v>99624</v>
      </c>
      <c r="B884" s="518" t="s">
        <v>3759</v>
      </c>
      <c r="C884" s="460">
        <f t="shared" si="14"/>
        <v>9.7689955334556749E-5</v>
      </c>
      <c r="D884" s="460">
        <f>VLOOKUP(A884,'2024 summary '!A884:C1790,3,FALSE)</f>
        <v>8.7680000000000001E-5</v>
      </c>
      <c r="E884" s="505">
        <v>658574</v>
      </c>
      <c r="F884" s="460"/>
      <c r="G884" s="505">
        <v>115407</v>
      </c>
      <c r="H884" s="505">
        <v>89533</v>
      </c>
      <c r="I884" s="505">
        <v>0</v>
      </c>
      <c r="J884" s="505">
        <v>86948</v>
      </c>
      <c r="K884" s="505">
        <v>291888</v>
      </c>
      <c r="L884" s="460"/>
      <c r="M884" s="505">
        <v>776</v>
      </c>
      <c r="N884" s="505">
        <v>0</v>
      </c>
      <c r="O884" s="505">
        <v>0</v>
      </c>
      <c r="P884" s="505">
        <v>2500</v>
      </c>
      <c r="Q884" s="505">
        <v>3276</v>
      </c>
      <c r="R884" s="460"/>
      <c r="S884" s="505">
        <v>197017</v>
      </c>
      <c r="T884" s="505">
        <v>61476</v>
      </c>
      <c r="U884" s="505">
        <v>258493</v>
      </c>
      <c r="W884" s="454">
        <v>1167013</v>
      </c>
      <c r="X884" s="454">
        <v>240314</v>
      </c>
    </row>
    <row r="885" spans="1:24">
      <c r="A885" s="458">
        <v>99631</v>
      </c>
      <c r="B885" s="518" t="s">
        <v>1588</v>
      </c>
      <c r="C885" s="460">
        <f t="shared" si="14"/>
        <v>6.727003655514209E-5</v>
      </c>
      <c r="D885" s="460">
        <f>VLOOKUP(A885,'2024 summary '!A885:C1791,3,FALSE)</f>
        <v>6.6730000000000007E-5</v>
      </c>
      <c r="E885" s="505">
        <v>453499</v>
      </c>
      <c r="F885" s="460"/>
      <c r="G885" s="505">
        <v>79470</v>
      </c>
      <c r="H885" s="505">
        <v>61653</v>
      </c>
      <c r="I885" s="505">
        <v>0</v>
      </c>
      <c r="J885" s="505">
        <v>19298</v>
      </c>
      <c r="K885" s="505">
        <v>160421</v>
      </c>
      <c r="L885" s="460"/>
      <c r="M885" s="505">
        <v>534</v>
      </c>
      <c r="N885" s="505">
        <v>0</v>
      </c>
      <c r="O885" s="505">
        <v>0</v>
      </c>
      <c r="P885" s="505">
        <v>11821</v>
      </c>
      <c r="Q885" s="505">
        <v>12355</v>
      </c>
      <c r="R885" s="460"/>
      <c r="S885" s="505">
        <v>135667</v>
      </c>
      <c r="T885" s="505">
        <v>3002</v>
      </c>
      <c r="U885" s="505">
        <v>138669</v>
      </c>
      <c r="W885" s="454">
        <v>803613</v>
      </c>
      <c r="X885" s="454">
        <v>165482</v>
      </c>
    </row>
    <row r="886" spans="1:24">
      <c r="A886" s="458">
        <v>99651</v>
      </c>
      <c r="B886" s="518" t="s">
        <v>1589</v>
      </c>
      <c r="C886" s="460">
        <f t="shared" si="14"/>
        <v>5.0259950751451655E-5</v>
      </c>
      <c r="D886" s="460">
        <f>VLOOKUP(A886,'2024 summary '!A886:C1792,3,FALSE)</f>
        <v>4.8439999999999997E-5</v>
      </c>
      <c r="E886" s="505">
        <v>338826</v>
      </c>
      <c r="F886" s="460"/>
      <c r="G886" s="505">
        <v>59375</v>
      </c>
      <c r="H886" s="505">
        <v>46063</v>
      </c>
      <c r="I886" s="505">
        <v>0</v>
      </c>
      <c r="J886" s="505">
        <v>31879</v>
      </c>
      <c r="K886" s="505">
        <v>137317</v>
      </c>
      <c r="L886" s="460"/>
      <c r="M886" s="505">
        <v>399</v>
      </c>
      <c r="N886" s="505">
        <v>0</v>
      </c>
      <c r="O886" s="505">
        <v>0</v>
      </c>
      <c r="P886" s="505">
        <v>15474</v>
      </c>
      <c r="Q886" s="505">
        <v>15873</v>
      </c>
      <c r="R886" s="460"/>
      <c r="S886" s="505">
        <v>101362</v>
      </c>
      <c r="T886" s="505">
        <v>-4666</v>
      </c>
      <c r="U886" s="505">
        <v>96696</v>
      </c>
      <c r="W886" s="454">
        <v>600410</v>
      </c>
      <c r="X886" s="454">
        <v>123638</v>
      </c>
    </row>
    <row r="887" spans="1:24">
      <c r="A887" s="458">
        <v>99661</v>
      </c>
      <c r="B887" s="518" t="s">
        <v>1590</v>
      </c>
      <c r="C887" s="460">
        <f t="shared" si="14"/>
        <v>3.8109931844695228E-5</v>
      </c>
      <c r="D887" s="460">
        <f>VLOOKUP(A887,'2024 summary '!A887:C1793,3,FALSE)</f>
        <v>3.7710000000000003E-5</v>
      </c>
      <c r="E887" s="505">
        <v>256917</v>
      </c>
      <c r="F887" s="460"/>
      <c r="G887" s="505">
        <v>45022</v>
      </c>
      <c r="H887" s="505">
        <v>34928</v>
      </c>
      <c r="I887" s="505">
        <v>0</v>
      </c>
      <c r="J887" s="505">
        <v>13115</v>
      </c>
      <c r="K887" s="505">
        <v>93065</v>
      </c>
      <c r="L887" s="460"/>
      <c r="M887" s="505">
        <v>303</v>
      </c>
      <c r="N887" s="505">
        <v>0</v>
      </c>
      <c r="O887" s="505">
        <v>0</v>
      </c>
      <c r="P887" s="505">
        <v>0</v>
      </c>
      <c r="Q887" s="505">
        <v>303</v>
      </c>
      <c r="R887" s="460"/>
      <c r="S887" s="505">
        <v>76859</v>
      </c>
      <c r="T887" s="505">
        <v>10010</v>
      </c>
      <c r="U887" s="505">
        <v>86869</v>
      </c>
      <c r="W887" s="454">
        <v>455265</v>
      </c>
      <c r="X887" s="454">
        <v>93749</v>
      </c>
    </row>
    <row r="888" spans="1:24">
      <c r="A888" s="458">
        <v>99701</v>
      </c>
      <c r="B888" s="518" t="s">
        <v>1591</v>
      </c>
      <c r="C888" s="460">
        <f t="shared" si="14"/>
        <v>2.8974400432898043E-3</v>
      </c>
      <c r="D888" s="460">
        <f>VLOOKUP(A888,'2024 summary '!A888:C1794,3,FALSE)</f>
        <v>2.89295E-3</v>
      </c>
      <c r="E888" s="505">
        <v>19533008</v>
      </c>
      <c r="F888" s="460"/>
      <c r="G888" s="505">
        <v>3422923</v>
      </c>
      <c r="H888" s="505">
        <v>2655501</v>
      </c>
      <c r="I888" s="505">
        <v>0</v>
      </c>
      <c r="J888" s="505">
        <v>4831</v>
      </c>
      <c r="K888" s="505">
        <v>6083255</v>
      </c>
      <c r="L888" s="460"/>
      <c r="M888" s="505">
        <v>23014</v>
      </c>
      <c r="N888" s="505">
        <v>0</v>
      </c>
      <c r="O888" s="505">
        <v>0</v>
      </c>
      <c r="P888" s="505">
        <v>396296</v>
      </c>
      <c r="Q888" s="505">
        <v>419310</v>
      </c>
      <c r="R888" s="460"/>
      <c r="S888" s="505">
        <v>5843430</v>
      </c>
      <c r="T888" s="505">
        <v>-250963</v>
      </c>
      <c r="U888" s="505">
        <v>5592467</v>
      </c>
      <c r="W888" s="454">
        <v>34613062</v>
      </c>
      <c r="X888" s="454">
        <v>7127589</v>
      </c>
    </row>
    <row r="889" spans="1:24">
      <c r="A889" s="458">
        <v>99705</v>
      </c>
      <c r="B889" s="518" t="s">
        <v>1592</v>
      </c>
      <c r="C889" s="460">
        <f t="shared" si="14"/>
        <v>1.4062999028931073E-4</v>
      </c>
      <c r="D889" s="460">
        <f>VLOOKUP(A889,'2024 summary '!A889:C1795,3,FALSE)</f>
        <v>1.4037000000000001E-4</v>
      </c>
      <c r="E889" s="505">
        <v>948053</v>
      </c>
      <c r="F889" s="460"/>
      <c r="G889" s="505">
        <v>166135</v>
      </c>
      <c r="H889" s="505">
        <v>128887</v>
      </c>
      <c r="I889" s="505">
        <v>0</v>
      </c>
      <c r="J889" s="505">
        <v>45044</v>
      </c>
      <c r="K889" s="505">
        <v>340066</v>
      </c>
      <c r="L889" s="460"/>
      <c r="M889" s="505">
        <v>1117</v>
      </c>
      <c r="N889" s="505">
        <v>0</v>
      </c>
      <c r="O889" s="505">
        <v>0</v>
      </c>
      <c r="P889" s="505">
        <v>23629</v>
      </c>
      <c r="Q889" s="505">
        <v>24746</v>
      </c>
      <c r="R889" s="460"/>
      <c r="S889" s="505">
        <v>283616</v>
      </c>
      <c r="T889" s="505">
        <v>12634</v>
      </c>
      <c r="U889" s="505">
        <v>296250</v>
      </c>
      <c r="W889" s="454">
        <v>1679978</v>
      </c>
      <c r="X889" s="454">
        <v>345944</v>
      </c>
    </row>
    <row r="890" spans="1:24">
      <c r="A890" s="458">
        <v>99711</v>
      </c>
      <c r="B890" s="518" t="s">
        <v>1593</v>
      </c>
      <c r="C890" s="460">
        <f t="shared" si="14"/>
        <v>4.0365997326591475E-4</v>
      </c>
      <c r="D890" s="460">
        <f>VLOOKUP(A890,'2024 summary '!A890:C1796,3,FALSE)</f>
        <v>3.6190000000000001E-4</v>
      </c>
      <c r="E890" s="505">
        <v>2721262</v>
      </c>
      <c r="F890" s="460"/>
      <c r="G890" s="505">
        <v>476868</v>
      </c>
      <c r="H890" s="505">
        <v>369954</v>
      </c>
      <c r="I890" s="505">
        <v>0</v>
      </c>
      <c r="J890" s="505">
        <v>164317</v>
      </c>
      <c r="K890" s="505">
        <v>1011139</v>
      </c>
      <c r="L890" s="460"/>
      <c r="M890" s="505">
        <v>3206</v>
      </c>
      <c r="N890" s="505">
        <v>0</v>
      </c>
      <c r="O890" s="505">
        <v>0</v>
      </c>
      <c r="P890" s="505">
        <v>30678</v>
      </c>
      <c r="Q890" s="505">
        <v>33884</v>
      </c>
      <c r="R890" s="460"/>
      <c r="S890" s="505">
        <v>814084</v>
      </c>
      <c r="T890" s="505">
        <v>23963</v>
      </c>
      <c r="U890" s="505">
        <v>838047</v>
      </c>
      <c r="W890" s="454">
        <v>4822156</v>
      </c>
      <c r="X890" s="454">
        <v>992988</v>
      </c>
    </row>
    <row r="891" spans="1:24">
      <c r="A891" s="458">
        <v>99717</v>
      </c>
      <c r="B891" s="518" t="s">
        <v>1594</v>
      </c>
      <c r="C891" s="460">
        <f t="shared" si="14"/>
        <v>1.806994351271844E-5</v>
      </c>
      <c r="D891" s="460">
        <f>VLOOKUP(A891,'2024 summary '!A891:C1797,3,FALSE)</f>
        <v>1.9219999999999999E-5</v>
      </c>
      <c r="E891" s="505">
        <v>121818</v>
      </c>
      <c r="F891" s="460"/>
      <c r="G891" s="505">
        <v>21347</v>
      </c>
      <c r="H891" s="505">
        <v>16561</v>
      </c>
      <c r="I891" s="505">
        <v>0</v>
      </c>
      <c r="J891" s="505">
        <v>1204</v>
      </c>
      <c r="K891" s="505">
        <v>39112</v>
      </c>
      <c r="L891" s="460"/>
      <c r="M891" s="505">
        <v>144</v>
      </c>
      <c r="N891" s="505">
        <v>0</v>
      </c>
      <c r="O891" s="505">
        <v>0</v>
      </c>
      <c r="P891" s="505">
        <v>3040</v>
      </c>
      <c r="Q891" s="505">
        <v>3184</v>
      </c>
      <c r="R891" s="460"/>
      <c r="S891" s="505">
        <v>36443</v>
      </c>
      <c r="T891" s="505">
        <v>1322</v>
      </c>
      <c r="U891" s="505">
        <v>37765</v>
      </c>
      <c r="W891" s="454">
        <v>215866</v>
      </c>
      <c r="X891" s="454">
        <v>44451</v>
      </c>
    </row>
    <row r="892" spans="1:24">
      <c r="A892" s="458">
        <v>99721</v>
      </c>
      <c r="B892" s="518" t="s">
        <v>1595</v>
      </c>
      <c r="C892" s="460">
        <f t="shared" si="14"/>
        <v>6.1066004815505997E-4</v>
      </c>
      <c r="D892" s="460">
        <f>VLOOKUP(A892,'2024 summary '!A892:C1798,3,FALSE)</f>
        <v>6.0446000000000002E-4</v>
      </c>
      <c r="E892" s="505">
        <v>4116747</v>
      </c>
      <c r="F892" s="460"/>
      <c r="G892" s="505">
        <v>721410</v>
      </c>
      <c r="H892" s="505">
        <v>559669</v>
      </c>
      <c r="I892" s="505">
        <v>0</v>
      </c>
      <c r="J892" s="505">
        <v>19482</v>
      </c>
      <c r="K892" s="505">
        <v>1300561</v>
      </c>
      <c r="L892" s="460"/>
      <c r="M892" s="505">
        <v>4850</v>
      </c>
      <c r="N892" s="505">
        <v>0</v>
      </c>
      <c r="O892" s="505">
        <v>0</v>
      </c>
      <c r="P892" s="505">
        <v>47249</v>
      </c>
      <c r="Q892" s="505">
        <v>52099</v>
      </c>
      <c r="R892" s="460"/>
      <c r="S892" s="505">
        <v>1231552</v>
      </c>
      <c r="T892" s="505">
        <v>-403</v>
      </c>
      <c r="U892" s="505">
        <v>1231149</v>
      </c>
      <c r="W892" s="454">
        <v>7294996</v>
      </c>
      <c r="X892" s="454">
        <v>1502200</v>
      </c>
    </row>
    <row r="893" spans="1:24">
      <c r="A893" s="458">
        <v>99727</v>
      </c>
      <c r="B893" s="518" t="s">
        <v>1596</v>
      </c>
      <c r="C893" s="460">
        <f t="shared" si="14"/>
        <v>4.010994045082883E-5</v>
      </c>
      <c r="D893" s="460">
        <f>VLOOKUP(A893,'2024 summary '!A893:C1799,3,FALSE)</f>
        <v>4.5290000000000002E-5</v>
      </c>
      <c r="E893" s="505">
        <v>270400</v>
      </c>
      <c r="F893" s="460"/>
      <c r="G893" s="505">
        <v>47384</v>
      </c>
      <c r="H893" s="505">
        <v>36761</v>
      </c>
      <c r="I893" s="505">
        <v>0</v>
      </c>
      <c r="J893" s="505">
        <v>37721</v>
      </c>
      <c r="K893" s="505">
        <v>121866</v>
      </c>
      <c r="L893" s="460"/>
      <c r="M893" s="505">
        <v>319</v>
      </c>
      <c r="N893" s="505">
        <v>0</v>
      </c>
      <c r="O893" s="505">
        <v>0</v>
      </c>
      <c r="P893" s="505">
        <v>18821</v>
      </c>
      <c r="Q893" s="505">
        <v>19140</v>
      </c>
      <c r="R893" s="460"/>
      <c r="S893" s="505">
        <v>80892</v>
      </c>
      <c r="T893" s="505">
        <v>17327</v>
      </c>
      <c r="U893" s="505">
        <v>98219</v>
      </c>
      <c r="W893" s="454">
        <v>479157</v>
      </c>
      <c r="X893" s="454">
        <v>98669</v>
      </c>
    </row>
    <row r="894" spans="1:24">
      <c r="A894" s="458">
        <v>99801</v>
      </c>
      <c r="B894" s="518" t="s">
        <v>1597</v>
      </c>
      <c r="C894" s="460">
        <f t="shared" si="14"/>
        <v>4.6621000137742783E-3</v>
      </c>
      <c r="D894" s="460">
        <f>VLOOKUP(A894,'2024 summary '!A894:C1800,3,FALSE)</f>
        <v>4.2011799999999997E-3</v>
      </c>
      <c r="E894" s="505">
        <v>31429412</v>
      </c>
      <c r="F894" s="460"/>
      <c r="G894" s="505">
        <v>5507623</v>
      </c>
      <c r="H894" s="505">
        <v>4272810</v>
      </c>
      <c r="I894" s="505">
        <v>0</v>
      </c>
      <c r="J894" s="505">
        <v>1282759</v>
      </c>
      <c r="K894" s="505">
        <v>11063192</v>
      </c>
      <c r="L894" s="460"/>
      <c r="M894" s="505">
        <v>37031</v>
      </c>
      <c r="N894" s="505">
        <v>0</v>
      </c>
      <c r="O894" s="505">
        <v>0</v>
      </c>
      <c r="P894" s="505">
        <v>657785</v>
      </c>
      <c r="Q894" s="505">
        <v>694816</v>
      </c>
      <c r="R894" s="460"/>
      <c r="S894" s="505">
        <v>9402318</v>
      </c>
      <c r="T894" s="505">
        <v>26110</v>
      </c>
      <c r="U894" s="505">
        <v>9428428</v>
      </c>
      <c r="W894" s="454">
        <v>55693838</v>
      </c>
      <c r="X894" s="454">
        <v>11468584</v>
      </c>
    </row>
    <row r="895" spans="1:24">
      <c r="A895" s="458">
        <v>99802</v>
      </c>
      <c r="B895" s="518" t="s">
        <v>1598</v>
      </c>
      <c r="C895" s="460">
        <f t="shared" si="14"/>
        <v>8.9299501667172572E-6</v>
      </c>
      <c r="D895" s="460">
        <f>VLOOKUP(A895,'2024 summary '!A895:C1801,3,FALSE)</f>
        <v>6.9299999999999997E-6</v>
      </c>
      <c r="E895" s="505">
        <v>60201</v>
      </c>
      <c r="F895" s="460"/>
      <c r="G895" s="505">
        <v>10550</v>
      </c>
      <c r="H895" s="505">
        <v>8184</v>
      </c>
      <c r="I895" s="505">
        <v>0</v>
      </c>
      <c r="J895" s="505">
        <v>16795</v>
      </c>
      <c r="K895" s="505">
        <v>35529</v>
      </c>
      <c r="L895" s="460"/>
      <c r="M895" s="505">
        <v>71</v>
      </c>
      <c r="N895" s="505">
        <v>0</v>
      </c>
      <c r="O895" s="505">
        <v>0</v>
      </c>
      <c r="P895" s="505">
        <v>4319</v>
      </c>
      <c r="Q895" s="505">
        <v>4390</v>
      </c>
      <c r="R895" s="460"/>
      <c r="S895" s="505">
        <v>18010</v>
      </c>
      <c r="T895" s="505">
        <v>2936</v>
      </c>
      <c r="U895" s="505">
        <v>20946</v>
      </c>
      <c r="W895" s="454">
        <v>106679</v>
      </c>
      <c r="X895" s="454">
        <v>21967</v>
      </c>
    </row>
    <row r="896" spans="1:24">
      <c r="A896" s="458">
        <v>99804</v>
      </c>
      <c r="B896" s="518" t="s">
        <v>1599</v>
      </c>
      <c r="C896" s="460">
        <f t="shared" si="14"/>
        <v>9.0719963167753694E-5</v>
      </c>
      <c r="D896" s="460">
        <f>VLOOKUP(A896,'2024 summary '!A896:C1802,3,FALSE)</f>
        <v>9.7579999999999997E-5</v>
      </c>
      <c r="E896" s="505">
        <v>611586</v>
      </c>
      <c r="F896" s="460"/>
      <c r="G896" s="505">
        <v>107173</v>
      </c>
      <c r="H896" s="505">
        <v>83145</v>
      </c>
      <c r="I896" s="505">
        <v>0</v>
      </c>
      <c r="J896" s="505">
        <v>15261</v>
      </c>
      <c r="K896" s="505">
        <v>205579</v>
      </c>
      <c r="L896" s="460"/>
      <c r="M896" s="505">
        <v>721</v>
      </c>
      <c r="N896" s="505">
        <v>0</v>
      </c>
      <c r="O896" s="505">
        <v>0</v>
      </c>
      <c r="P896" s="505">
        <v>12015</v>
      </c>
      <c r="Q896" s="505">
        <v>12736</v>
      </c>
      <c r="R896" s="460"/>
      <c r="S896" s="505">
        <v>182960</v>
      </c>
      <c r="T896" s="505">
        <v>20725</v>
      </c>
      <c r="U896" s="505">
        <v>203685</v>
      </c>
      <c r="W896" s="454">
        <v>1083749</v>
      </c>
      <c r="X896" s="454">
        <v>223168</v>
      </c>
    </row>
    <row r="897" spans="1:26">
      <c r="A897" s="458">
        <v>99811</v>
      </c>
      <c r="B897" s="518" t="s">
        <v>1600</v>
      </c>
      <c r="C897" s="460">
        <f t="shared" si="14"/>
        <v>5.4037700449403297E-3</v>
      </c>
      <c r="D897" s="460">
        <f>VLOOKUP(A897,'2024 summary '!A897:C1803,3,FALSE)</f>
        <v>5.7056499999999996E-3</v>
      </c>
      <c r="E897" s="505">
        <v>36429359</v>
      </c>
      <c r="F897" s="460"/>
      <c r="G897" s="505">
        <v>6383803</v>
      </c>
      <c r="H897" s="505">
        <v>4952550</v>
      </c>
      <c r="I897" s="505">
        <v>0</v>
      </c>
      <c r="J897" s="505">
        <v>0</v>
      </c>
      <c r="K897" s="505">
        <v>11336353</v>
      </c>
      <c r="L897" s="460"/>
      <c r="M897" s="505">
        <v>42922</v>
      </c>
      <c r="N897" s="505">
        <v>0</v>
      </c>
      <c r="O897" s="505">
        <v>0</v>
      </c>
      <c r="P897" s="505">
        <v>1700729</v>
      </c>
      <c r="Q897" s="505">
        <v>1743651</v>
      </c>
      <c r="R897" s="460"/>
      <c r="S897" s="505">
        <v>10898086</v>
      </c>
      <c r="T897" s="505">
        <v>-865919</v>
      </c>
      <c r="U897" s="505">
        <v>10032167</v>
      </c>
      <c r="W897" s="454">
        <v>64553890</v>
      </c>
      <c r="X897" s="454">
        <v>13293063</v>
      </c>
    </row>
    <row r="898" spans="1:26">
      <c r="A898" s="458">
        <v>99812</v>
      </c>
      <c r="B898" s="518" t="s">
        <v>1601</v>
      </c>
      <c r="C898" s="460">
        <f t="shared" si="14"/>
        <v>1.873997532121102E-5</v>
      </c>
      <c r="D898" s="460">
        <f>VLOOKUP(A898,'2024 summary '!A898:C1804,3,FALSE)</f>
        <v>1.562E-5</v>
      </c>
      <c r="E898" s="505">
        <v>126335</v>
      </c>
      <c r="F898" s="460"/>
      <c r="G898" s="505">
        <v>22139</v>
      </c>
      <c r="H898" s="505">
        <v>17175</v>
      </c>
      <c r="I898" s="505">
        <v>0</v>
      </c>
      <c r="J898" s="505">
        <v>41242</v>
      </c>
      <c r="K898" s="505">
        <v>80556</v>
      </c>
      <c r="L898" s="460"/>
      <c r="M898" s="505">
        <v>149</v>
      </c>
      <c r="N898" s="505">
        <v>0</v>
      </c>
      <c r="O898" s="505">
        <v>0</v>
      </c>
      <c r="P898" s="505">
        <v>2464</v>
      </c>
      <c r="Q898" s="505">
        <v>2613</v>
      </c>
      <c r="R898" s="460"/>
      <c r="S898" s="505">
        <v>37794</v>
      </c>
      <c r="T898" s="505">
        <v>22723</v>
      </c>
      <c r="U898" s="505">
        <v>60517</v>
      </c>
      <c r="W898" s="454">
        <v>223870</v>
      </c>
      <c r="X898" s="454">
        <v>46100</v>
      </c>
    </row>
    <row r="899" spans="1:26">
      <c r="A899" s="458">
        <v>99818</v>
      </c>
      <c r="B899" s="518" t="s">
        <v>1602</v>
      </c>
      <c r="C899" s="460">
        <f t="shared" si="14"/>
        <v>2.4919932196441902E-5</v>
      </c>
      <c r="D899" s="460">
        <f>VLOOKUP(A899,'2024 summary '!A899:C1805,3,FALSE)</f>
        <v>4.2230000000000001E-5</v>
      </c>
      <c r="E899" s="505">
        <v>167997</v>
      </c>
      <c r="F899" s="460"/>
      <c r="G899" s="505">
        <v>29440</v>
      </c>
      <c r="H899" s="505">
        <v>22839</v>
      </c>
      <c r="I899" s="505">
        <v>0</v>
      </c>
      <c r="J899" s="505">
        <v>12463</v>
      </c>
      <c r="K899" s="505">
        <v>64742</v>
      </c>
      <c r="L899" s="460"/>
      <c r="M899" s="505">
        <v>198</v>
      </c>
      <c r="N899" s="505">
        <v>0</v>
      </c>
      <c r="O899" s="505">
        <v>0</v>
      </c>
      <c r="P899" s="505">
        <v>48105</v>
      </c>
      <c r="Q899" s="505">
        <v>48303</v>
      </c>
      <c r="R899" s="460"/>
      <c r="S899" s="505">
        <v>50258</v>
      </c>
      <c r="T899" s="505">
        <v>-19896</v>
      </c>
      <c r="U899" s="505">
        <v>30362</v>
      </c>
      <c r="W899" s="454">
        <v>297696</v>
      </c>
      <c r="X899" s="454">
        <v>61302</v>
      </c>
    </row>
    <row r="900" spans="1:26">
      <c r="A900" s="458">
        <v>99821</v>
      </c>
      <c r="B900" s="518" t="s">
        <v>1603</v>
      </c>
      <c r="C900" s="460">
        <f t="shared" si="14"/>
        <v>8.5890008393273523E-5</v>
      </c>
      <c r="D900" s="460">
        <f>VLOOKUP(A900,'2024 summary '!A900:C1806,3,FALSE)</f>
        <v>8.5560000000000001E-5</v>
      </c>
      <c r="E900" s="505">
        <v>579025</v>
      </c>
      <c r="F900" s="460"/>
      <c r="G900" s="505">
        <v>101467</v>
      </c>
      <c r="H900" s="505">
        <v>78718</v>
      </c>
      <c r="I900" s="505">
        <v>0</v>
      </c>
      <c r="J900" s="505">
        <v>7497</v>
      </c>
      <c r="K900" s="505">
        <v>187682</v>
      </c>
      <c r="L900" s="460"/>
      <c r="M900" s="505">
        <v>682</v>
      </c>
      <c r="N900" s="505">
        <v>0</v>
      </c>
      <c r="O900" s="505">
        <v>0</v>
      </c>
      <c r="P900" s="505">
        <v>29442</v>
      </c>
      <c r="Q900" s="505">
        <v>30124</v>
      </c>
      <c r="R900" s="460"/>
      <c r="S900" s="505">
        <v>173219</v>
      </c>
      <c r="T900" s="505">
        <v>-4605</v>
      </c>
      <c r="U900" s="505">
        <v>168614</v>
      </c>
      <c r="W900" s="454">
        <v>1026049</v>
      </c>
      <c r="X900" s="454">
        <v>211286</v>
      </c>
    </row>
    <row r="901" spans="1:26">
      <c r="A901" s="458">
        <v>99831</v>
      </c>
      <c r="B901" s="518" t="s">
        <v>1604</v>
      </c>
      <c r="C901" s="460">
        <f t="shared" si="14"/>
        <v>2.9259934554838165E-5</v>
      </c>
      <c r="D901" s="460">
        <f>VLOOKUP(A901,'2024 summary '!A901:C1807,3,FALSE)</f>
        <v>3.5179999999999999E-5</v>
      </c>
      <c r="E901" s="505">
        <v>197255</v>
      </c>
      <c r="F901" s="460"/>
      <c r="G901" s="505">
        <v>34567</v>
      </c>
      <c r="H901" s="505">
        <v>26817</v>
      </c>
      <c r="I901" s="505">
        <v>0</v>
      </c>
      <c r="J901" s="505">
        <v>8594</v>
      </c>
      <c r="K901" s="505">
        <v>69978</v>
      </c>
      <c r="L901" s="460"/>
      <c r="M901" s="505">
        <v>232</v>
      </c>
      <c r="N901" s="505">
        <v>0</v>
      </c>
      <c r="O901" s="505">
        <v>0</v>
      </c>
      <c r="P901" s="505">
        <v>12626</v>
      </c>
      <c r="Q901" s="505">
        <v>12858</v>
      </c>
      <c r="R901" s="460"/>
      <c r="S901" s="505">
        <v>59010</v>
      </c>
      <c r="T901" s="505">
        <v>-7851</v>
      </c>
      <c r="U901" s="505">
        <v>51159</v>
      </c>
      <c r="W901" s="454">
        <v>349542</v>
      </c>
      <c r="X901" s="454">
        <v>71978</v>
      </c>
    </row>
    <row r="902" spans="1:26">
      <c r="A902" s="458">
        <v>99841</v>
      </c>
      <c r="B902" s="518" t="s">
        <v>1605</v>
      </c>
      <c r="C902" s="460">
        <f t="shared" si="14"/>
        <v>5.5190032041480307E-5</v>
      </c>
      <c r="D902" s="460">
        <f>VLOOKUP(A902,'2024 summary '!A902:C1808,3,FALSE)</f>
        <v>5.0510000000000003E-5</v>
      </c>
      <c r="E902" s="505">
        <v>372062</v>
      </c>
      <c r="F902" s="460"/>
      <c r="G902" s="505">
        <v>65199</v>
      </c>
      <c r="H902" s="505">
        <v>50582</v>
      </c>
      <c r="I902" s="505">
        <v>0</v>
      </c>
      <c r="J902" s="505">
        <v>22774</v>
      </c>
      <c r="K902" s="505">
        <v>138555</v>
      </c>
      <c r="L902" s="460"/>
      <c r="M902" s="505">
        <v>438</v>
      </c>
      <c r="N902" s="505">
        <v>0</v>
      </c>
      <c r="O902" s="505">
        <v>0</v>
      </c>
      <c r="P902" s="505">
        <v>16313</v>
      </c>
      <c r="Q902" s="505">
        <v>16751</v>
      </c>
      <c r="R902" s="460"/>
      <c r="S902" s="505">
        <v>111305</v>
      </c>
      <c r="T902" s="505">
        <v>2660</v>
      </c>
      <c r="U902" s="505">
        <v>113965</v>
      </c>
      <c r="W902" s="454">
        <v>659304</v>
      </c>
      <c r="X902" s="454">
        <v>135765</v>
      </c>
    </row>
    <row r="903" spans="1:26">
      <c r="A903" s="458">
        <v>99851</v>
      </c>
      <c r="B903" s="518" t="s">
        <v>1606</v>
      </c>
      <c r="C903" s="460">
        <f t="shared" si="14"/>
        <v>9.8300504576034604E-6</v>
      </c>
      <c r="D903" s="460">
        <f>VLOOKUP(A903,'2024 summary '!A903:C1809,3,FALSE)</f>
        <v>1.3010000000000001E-5</v>
      </c>
      <c r="E903" s="505">
        <v>66269</v>
      </c>
      <c r="F903" s="460"/>
      <c r="G903" s="505">
        <v>11613</v>
      </c>
      <c r="H903" s="505">
        <v>9009</v>
      </c>
      <c r="I903" s="505">
        <v>0</v>
      </c>
      <c r="J903" s="505">
        <v>5391</v>
      </c>
      <c r="K903" s="505">
        <v>26013</v>
      </c>
      <c r="L903" s="460"/>
      <c r="M903" s="505">
        <v>78</v>
      </c>
      <c r="N903" s="505">
        <v>0</v>
      </c>
      <c r="O903" s="505">
        <v>0</v>
      </c>
      <c r="P903" s="505">
        <v>14949</v>
      </c>
      <c r="Q903" s="505">
        <v>15027</v>
      </c>
      <c r="R903" s="460"/>
      <c r="S903" s="505">
        <v>19825</v>
      </c>
      <c r="T903" s="505">
        <v>-1044</v>
      </c>
      <c r="U903" s="505">
        <v>18781</v>
      </c>
      <c r="W903" s="454">
        <v>117430</v>
      </c>
      <c r="X903" s="454">
        <v>24181</v>
      </c>
    </row>
    <row r="904" spans="1:26">
      <c r="A904" s="458">
        <v>99901</v>
      </c>
      <c r="B904" s="518" t="s">
        <v>1607</v>
      </c>
      <c r="C904" s="460">
        <f t="shared" si="14"/>
        <v>1.6521499558285349E-3</v>
      </c>
      <c r="D904" s="460">
        <f>VLOOKUP(A904,'2024 summary '!A904:C1810,3,FALSE)</f>
        <v>1.5423500000000001E-3</v>
      </c>
      <c r="E904" s="505">
        <v>11137921</v>
      </c>
      <c r="F904" s="460"/>
      <c r="G904" s="505">
        <v>1951786</v>
      </c>
      <c r="H904" s="505">
        <v>1514194</v>
      </c>
      <c r="I904" s="505">
        <v>0</v>
      </c>
      <c r="J904" s="505">
        <v>340243</v>
      </c>
      <c r="K904" s="505">
        <v>3806223</v>
      </c>
      <c r="L904" s="460"/>
      <c r="M904" s="505">
        <v>13123</v>
      </c>
      <c r="N904" s="505">
        <v>0</v>
      </c>
      <c r="O904" s="505">
        <v>0</v>
      </c>
      <c r="P904" s="505">
        <v>25047</v>
      </c>
      <c r="Q904" s="505">
        <v>38170</v>
      </c>
      <c r="R904" s="460"/>
      <c r="S904" s="505">
        <v>3331983</v>
      </c>
      <c r="T904" s="505">
        <v>66890</v>
      </c>
      <c r="U904" s="505">
        <v>3398873</v>
      </c>
      <c r="W904" s="454">
        <v>19736723</v>
      </c>
      <c r="X904" s="454">
        <v>4064225</v>
      </c>
    </row>
    <row r="905" spans="1:26">
      <c r="A905" s="458">
        <v>99911</v>
      </c>
      <c r="B905" s="518" t="s">
        <v>1608</v>
      </c>
      <c r="C905" s="460">
        <f t="shared" si="14"/>
        <v>2.27709946694036E-4</v>
      </c>
      <c r="D905" s="460">
        <f>VLOOKUP(A905,'2024 summary '!A905:C1811,3,FALSE)</f>
        <v>2.3377000000000001E-4</v>
      </c>
      <c r="E905" s="505">
        <v>1535100</v>
      </c>
      <c r="F905" s="460"/>
      <c r="G905" s="505">
        <v>269008</v>
      </c>
      <c r="H905" s="505">
        <v>208696</v>
      </c>
      <c r="I905" s="505">
        <v>0</v>
      </c>
      <c r="J905" s="505">
        <v>6456</v>
      </c>
      <c r="K905" s="505">
        <v>484160</v>
      </c>
      <c r="L905" s="460"/>
      <c r="M905" s="505">
        <v>1809</v>
      </c>
      <c r="N905" s="505">
        <v>0</v>
      </c>
      <c r="O905" s="505">
        <v>0</v>
      </c>
      <c r="P905" s="505">
        <v>14069</v>
      </c>
      <c r="Q905" s="505">
        <v>15878</v>
      </c>
      <c r="R905" s="460"/>
      <c r="S905" s="505">
        <v>459236</v>
      </c>
      <c r="T905" s="505">
        <v>4643</v>
      </c>
      <c r="U905" s="505">
        <v>463879</v>
      </c>
      <c r="W905" s="454">
        <v>2720243</v>
      </c>
      <c r="X905" s="454">
        <v>560158</v>
      </c>
    </row>
    <row r="906" spans="1:26">
      <c r="A906" s="458">
        <v>99921</v>
      </c>
      <c r="B906" s="518" t="s">
        <v>1609</v>
      </c>
      <c r="C906" s="460">
        <f t="shared" ref="C906:C913" si="15">E906/$E$915</f>
        <v>1.1856996804809065E-4</v>
      </c>
      <c r="D906" s="460">
        <f>VLOOKUP(A906,'2024 summary '!A906:C1812,3,FALSE)</f>
        <v>1.3522999999999999E-4</v>
      </c>
      <c r="E906" s="505">
        <v>799336</v>
      </c>
      <c r="F906" s="460"/>
      <c r="G906" s="505">
        <v>140074</v>
      </c>
      <c r="H906" s="505">
        <v>108669</v>
      </c>
      <c r="I906" s="505">
        <v>0</v>
      </c>
      <c r="J906" s="505">
        <v>0</v>
      </c>
      <c r="K906" s="505">
        <v>248743</v>
      </c>
      <c r="L906" s="460"/>
      <c r="M906" s="505">
        <v>942</v>
      </c>
      <c r="N906" s="505">
        <v>0</v>
      </c>
      <c r="O906" s="505">
        <v>0</v>
      </c>
      <c r="P906" s="505">
        <v>61264</v>
      </c>
      <c r="Q906" s="505">
        <v>62206</v>
      </c>
      <c r="R906" s="460"/>
      <c r="S906" s="505">
        <v>239127</v>
      </c>
      <c r="T906" s="505">
        <v>-29731</v>
      </c>
      <c r="U906" s="505">
        <v>209396</v>
      </c>
      <c r="W906" s="454">
        <v>1416447</v>
      </c>
      <c r="X906" s="454">
        <v>291678</v>
      </c>
    </row>
    <row r="907" spans="1:26">
      <c r="A907" s="458">
        <v>99931</v>
      </c>
      <c r="B907" s="518" t="s">
        <v>1610</v>
      </c>
      <c r="C907" s="460">
        <f t="shared" si="15"/>
        <v>1.5939992939739702E-5</v>
      </c>
      <c r="D907" s="460">
        <f>VLOOKUP(A907,'2024 summary '!A907:C1813,3,FALSE)</f>
        <v>1.753E-5</v>
      </c>
      <c r="E907" s="505">
        <v>107459</v>
      </c>
      <c r="F907" s="460"/>
      <c r="G907" s="505">
        <v>18831</v>
      </c>
      <c r="H907" s="505">
        <v>14609</v>
      </c>
      <c r="I907" s="505">
        <v>0</v>
      </c>
      <c r="J907" s="505">
        <v>1726</v>
      </c>
      <c r="K907" s="505">
        <v>35166</v>
      </c>
      <c r="L907" s="460"/>
      <c r="M907" s="505">
        <v>127</v>
      </c>
      <c r="N907" s="505">
        <v>0</v>
      </c>
      <c r="O907" s="505">
        <v>0</v>
      </c>
      <c r="P907" s="505">
        <v>15438</v>
      </c>
      <c r="Q907" s="505">
        <v>15565</v>
      </c>
      <c r="R907" s="460"/>
      <c r="S907" s="505">
        <v>32147</v>
      </c>
      <c r="T907" s="505">
        <v>-6303</v>
      </c>
      <c r="U907" s="505">
        <v>25844</v>
      </c>
      <c r="W907" s="454">
        <v>190421</v>
      </c>
      <c r="X907" s="454">
        <v>39212</v>
      </c>
    </row>
    <row r="908" spans="1:26" s="480" customFormat="1" ht="15">
      <c r="A908" s="458">
        <v>99941</v>
      </c>
      <c r="B908" s="518" t="s">
        <v>1611</v>
      </c>
      <c r="C908" s="460">
        <f t="shared" si="15"/>
        <v>5.1520061491576623E-5</v>
      </c>
      <c r="D908" s="460">
        <f>VLOOKUP(A908,'2024 summary '!A908:C1814,3,FALSE)</f>
        <v>5.5970000000000001E-5</v>
      </c>
      <c r="E908" s="505">
        <v>347321</v>
      </c>
      <c r="F908" s="460"/>
      <c r="G908" s="505">
        <v>60864</v>
      </c>
      <c r="H908" s="505">
        <v>47218</v>
      </c>
      <c r="I908" s="505">
        <v>0</v>
      </c>
      <c r="J908" s="505">
        <v>1993</v>
      </c>
      <c r="K908" s="505">
        <v>110075</v>
      </c>
      <c r="L908" s="460"/>
      <c r="M908" s="505">
        <v>409</v>
      </c>
      <c r="N908" s="505">
        <v>0</v>
      </c>
      <c r="O908" s="505">
        <v>0</v>
      </c>
      <c r="P908" s="505">
        <v>7746</v>
      </c>
      <c r="Q908" s="505">
        <v>8155</v>
      </c>
      <c r="R908" s="460"/>
      <c r="S908" s="505">
        <v>103903</v>
      </c>
      <c r="T908" s="505">
        <v>-3867</v>
      </c>
      <c r="U908" s="505">
        <v>100036</v>
      </c>
      <c r="V908" s="452"/>
      <c r="W908" s="454">
        <v>615462</v>
      </c>
      <c r="X908" s="454">
        <v>126737</v>
      </c>
      <c r="Z908" s="452"/>
    </row>
    <row r="909" spans="1:26">
      <c r="A909" s="458">
        <v>99991</v>
      </c>
      <c r="B909" s="518" t="s">
        <v>1612</v>
      </c>
      <c r="C909" s="460">
        <f t="shared" si="15"/>
        <v>6.0442001537050006E-4</v>
      </c>
      <c r="D909" s="460">
        <f>VLOOKUP(A909,'2024 summary '!A909:C1815,3,FALSE)</f>
        <v>5.7872000000000002E-4</v>
      </c>
      <c r="E909" s="505">
        <v>4074680</v>
      </c>
      <c r="F909" s="460"/>
      <c r="G909" s="505">
        <v>714038</v>
      </c>
      <c r="H909" s="505">
        <v>553950</v>
      </c>
      <c r="I909" s="505">
        <v>0</v>
      </c>
      <c r="J909" s="505">
        <v>394252</v>
      </c>
      <c r="K909" s="505">
        <v>1662240</v>
      </c>
      <c r="L909" s="460"/>
      <c r="M909" s="505">
        <v>4801</v>
      </c>
      <c r="N909" s="505">
        <v>0</v>
      </c>
      <c r="O909" s="505">
        <v>0</v>
      </c>
      <c r="P909" s="505">
        <v>25972</v>
      </c>
      <c r="Q909" s="505">
        <v>30773</v>
      </c>
      <c r="R909" s="460"/>
      <c r="S909" s="505">
        <v>1218968</v>
      </c>
      <c r="T909" s="505">
        <v>173610</v>
      </c>
      <c r="U909" s="505">
        <v>1392578</v>
      </c>
      <c r="W909" s="454">
        <v>7220452</v>
      </c>
      <c r="X909" s="454">
        <v>1486850</v>
      </c>
    </row>
    <row r="910" spans="1:26">
      <c r="A910" s="481">
        <v>99999</v>
      </c>
      <c r="B910" s="482" t="s">
        <v>1613</v>
      </c>
      <c r="C910" s="460">
        <f t="shared" si="15"/>
        <v>1.1617200475171488E-3</v>
      </c>
      <c r="D910" s="460">
        <f>VLOOKUP(A910,'2024 summary '!A910:C1816,3,FALSE)</f>
        <v>1.10991E-3</v>
      </c>
      <c r="E910" s="505">
        <v>7831702</v>
      </c>
      <c r="F910" s="460"/>
      <c r="G910" s="505">
        <v>1372411</v>
      </c>
      <c r="H910" s="505">
        <v>1064715</v>
      </c>
      <c r="I910" s="505">
        <v>0</v>
      </c>
      <c r="J910" s="505">
        <v>562961</v>
      </c>
      <c r="K910" s="505">
        <v>3000087</v>
      </c>
      <c r="L910" s="460"/>
      <c r="M910" s="505">
        <v>9228</v>
      </c>
      <c r="N910" s="505">
        <v>0</v>
      </c>
      <c r="O910" s="505">
        <v>0</v>
      </c>
      <c r="P910" s="505">
        <v>0</v>
      </c>
      <c r="Q910" s="505">
        <v>9228</v>
      </c>
      <c r="R910" s="460"/>
      <c r="S910" s="505">
        <v>2342906</v>
      </c>
      <c r="T910" s="505">
        <v>289687</v>
      </c>
      <c r="U910" s="505">
        <v>2632593</v>
      </c>
      <c r="V910" s="487"/>
      <c r="W910" s="454">
        <v>13878005</v>
      </c>
      <c r="X910" s="454">
        <v>2857786</v>
      </c>
    </row>
    <row r="911" spans="1:26" s="510" customFormat="1">
      <c r="A911" s="506">
        <v>91203</v>
      </c>
      <c r="B911" s="507" t="s">
        <v>845</v>
      </c>
      <c r="C911" s="460">
        <f t="shared" si="15"/>
        <v>0</v>
      </c>
      <c r="D911" s="460">
        <v>2.4640000000000003E-4</v>
      </c>
      <c r="E911" s="509">
        <v>0</v>
      </c>
      <c r="F911" s="508"/>
      <c r="G911" s="505"/>
      <c r="H911" s="505"/>
      <c r="I911" s="505"/>
      <c r="J911" s="505"/>
      <c r="K911" s="505"/>
      <c r="L911" s="508"/>
      <c r="M911" s="509">
        <v>0</v>
      </c>
      <c r="N911" s="509">
        <v>0</v>
      </c>
      <c r="O911" s="509">
        <v>0</v>
      </c>
      <c r="P911" s="509">
        <v>0</v>
      </c>
      <c r="Q911" s="509">
        <v>0</v>
      </c>
      <c r="R911" s="508"/>
      <c r="S911" s="509">
        <v>0</v>
      </c>
      <c r="T911" s="509">
        <v>0</v>
      </c>
      <c r="U911" s="509">
        <v>0</v>
      </c>
      <c r="W911" s="511"/>
      <c r="X911" s="511"/>
    </row>
    <row r="912" spans="1:26" s="510" customFormat="1">
      <c r="A912" s="506">
        <v>91206</v>
      </c>
      <c r="B912" s="507" t="s">
        <v>846</v>
      </c>
      <c r="C912" s="460">
        <f t="shared" si="15"/>
        <v>0</v>
      </c>
      <c r="D912" s="460">
        <v>1.0200400000000001E-3</v>
      </c>
      <c r="E912" s="509">
        <v>0</v>
      </c>
      <c r="F912" s="508"/>
      <c r="G912" s="505"/>
      <c r="H912" s="505"/>
      <c r="I912" s="505"/>
      <c r="J912" s="505"/>
      <c r="K912" s="505"/>
      <c r="L912" s="508"/>
      <c r="M912" s="509">
        <v>0</v>
      </c>
      <c r="N912" s="509">
        <v>0</v>
      </c>
      <c r="O912" s="509">
        <v>0</v>
      </c>
      <c r="P912" s="509">
        <v>0</v>
      </c>
      <c r="Q912" s="509">
        <v>0</v>
      </c>
      <c r="R912" s="508"/>
      <c r="S912" s="509">
        <v>0</v>
      </c>
      <c r="T912" s="509">
        <v>0</v>
      </c>
      <c r="U912" s="509">
        <v>0</v>
      </c>
      <c r="W912" s="511"/>
      <c r="X912" s="511"/>
    </row>
    <row r="913" spans="1:24" s="510" customFormat="1">
      <c r="A913" s="506">
        <v>94168</v>
      </c>
      <c r="B913" s="507" t="s">
        <v>1112</v>
      </c>
      <c r="C913" s="460">
        <f t="shared" si="15"/>
        <v>0</v>
      </c>
      <c r="D913" s="460">
        <v>8.4919999999999993E-5</v>
      </c>
      <c r="E913" s="509">
        <v>0</v>
      </c>
      <c r="F913" s="508"/>
      <c r="G913" s="505"/>
      <c r="H913" s="505"/>
      <c r="I913" s="505"/>
      <c r="J913" s="505"/>
      <c r="K913" s="505"/>
      <c r="L913" s="508"/>
      <c r="M913" s="509">
        <v>0</v>
      </c>
      <c r="N913" s="509">
        <v>0</v>
      </c>
      <c r="O913" s="509">
        <v>0</v>
      </c>
      <c r="P913" s="509">
        <v>0</v>
      </c>
      <c r="Q913" s="509">
        <v>0</v>
      </c>
      <c r="R913" s="508"/>
      <c r="S913" s="509">
        <v>0</v>
      </c>
      <c r="T913" s="509">
        <v>0</v>
      </c>
      <c r="U913" s="509">
        <v>0</v>
      </c>
      <c r="W913" s="511"/>
      <c r="X913" s="511"/>
    </row>
    <row r="914" spans="1:24">
      <c r="A914" s="488"/>
      <c r="B914" s="518"/>
      <c r="C914" s="460"/>
      <c r="D914" s="460"/>
      <c r="E914" s="454"/>
      <c r="F914" s="454"/>
      <c r="G914" s="461"/>
      <c r="H914" s="461"/>
      <c r="I914" s="461"/>
      <c r="J914" s="454"/>
      <c r="K914" s="454"/>
      <c r="L914" s="454"/>
      <c r="M914" s="461"/>
      <c r="N914" s="461"/>
      <c r="O914" s="461"/>
      <c r="P914" s="454"/>
      <c r="Q914" s="454"/>
      <c r="R914" s="454"/>
      <c r="S914" s="461"/>
      <c r="T914" s="462"/>
      <c r="U914" s="462"/>
    </row>
    <row r="915" spans="1:24" ht="15">
      <c r="A915" s="488"/>
      <c r="B915" s="489" t="s">
        <v>2818</v>
      </c>
      <c r="C915" s="526">
        <f>SUM(C9:C910)</f>
        <v>1</v>
      </c>
      <c r="D915" s="526">
        <f>SUM(D9:D913)</f>
        <v>0.99999999999999989</v>
      </c>
      <c r="E915" s="513">
        <f>SUM(E9:E913)</f>
        <v>6741470991</v>
      </c>
      <c r="F915" s="513"/>
      <c r="G915" s="513">
        <f>SUM(G9:G910)</f>
        <v>1181361004</v>
      </c>
      <c r="H915" s="513">
        <f t="shared" ref="H915:X915" si="16">SUM(H9:H910)</f>
        <v>916498989</v>
      </c>
      <c r="I915" s="513">
        <f t="shared" si="16"/>
        <v>0</v>
      </c>
      <c r="J915" s="513">
        <f t="shared" si="16"/>
        <v>131723370</v>
      </c>
      <c r="K915" s="513">
        <f t="shared" si="16"/>
        <v>2229583363</v>
      </c>
      <c r="L915" s="513"/>
      <c r="M915" s="513">
        <f t="shared" si="16"/>
        <v>7942992</v>
      </c>
      <c r="N915" s="513">
        <f t="shared" si="16"/>
        <v>0</v>
      </c>
      <c r="O915" s="513">
        <f t="shared" si="16"/>
        <v>0</v>
      </c>
      <c r="P915" s="513">
        <f>SUM(P9:P910)</f>
        <v>131723493</v>
      </c>
      <c r="Q915" s="513">
        <f t="shared" si="16"/>
        <v>139666485</v>
      </c>
      <c r="R915" s="513"/>
      <c r="S915" s="513">
        <f t="shared" si="16"/>
        <v>2016755999</v>
      </c>
      <c r="T915" s="513">
        <f t="shared" si="16"/>
        <v>-79</v>
      </c>
      <c r="U915" s="513">
        <f t="shared" si="16"/>
        <v>2016755920</v>
      </c>
      <c r="W915" s="513">
        <f t="shared" si="16"/>
        <v>11946083991</v>
      </c>
      <c r="X915" s="513">
        <f t="shared" si="16"/>
        <v>2459961000</v>
      </c>
    </row>
    <row r="917" spans="1:24" s="510" customFormat="1">
      <c r="A917" s="506">
        <v>96733</v>
      </c>
      <c r="B917" s="507" t="s">
        <v>1329</v>
      </c>
      <c r="C917" s="460">
        <v>0</v>
      </c>
      <c r="D917" s="460">
        <v>0</v>
      </c>
      <c r="E917" s="509">
        <v>0</v>
      </c>
      <c r="F917" s="508"/>
      <c r="G917" s="509">
        <v>0</v>
      </c>
      <c r="H917" s="509">
        <v>0</v>
      </c>
      <c r="I917" s="509">
        <v>0</v>
      </c>
      <c r="J917" s="509">
        <v>0</v>
      </c>
      <c r="K917" s="509">
        <v>0</v>
      </c>
      <c r="L917" s="508"/>
      <c r="M917" s="509">
        <v>0</v>
      </c>
      <c r="N917" s="509">
        <v>0</v>
      </c>
      <c r="O917" s="509">
        <v>0</v>
      </c>
      <c r="P917" s="509">
        <v>0</v>
      </c>
      <c r="Q917" s="509">
        <v>0</v>
      </c>
      <c r="R917" s="508"/>
      <c r="S917" s="509">
        <v>0</v>
      </c>
      <c r="T917" s="509">
        <v>0</v>
      </c>
      <c r="U917" s="509">
        <v>0</v>
      </c>
      <c r="W917" s="511"/>
      <c r="X917" s="511"/>
    </row>
    <row r="918" spans="1:24" s="510" customFormat="1">
      <c r="A918" s="506">
        <v>91461</v>
      </c>
      <c r="B918" s="507" t="s">
        <v>877</v>
      </c>
      <c r="C918" s="460">
        <v>0</v>
      </c>
      <c r="D918" s="460">
        <v>0</v>
      </c>
      <c r="E918" s="509">
        <v>0</v>
      </c>
      <c r="F918" s="508"/>
      <c r="G918" s="509">
        <v>0</v>
      </c>
      <c r="H918" s="509">
        <v>0</v>
      </c>
      <c r="I918" s="509">
        <v>0</v>
      </c>
      <c r="J918" s="509">
        <v>0</v>
      </c>
      <c r="K918" s="509">
        <v>0</v>
      </c>
      <c r="L918" s="508"/>
      <c r="M918" s="509">
        <v>0</v>
      </c>
      <c r="N918" s="509">
        <v>0</v>
      </c>
      <c r="O918" s="509">
        <v>0</v>
      </c>
      <c r="P918" s="509">
        <v>0</v>
      </c>
      <c r="Q918" s="509">
        <v>0</v>
      </c>
      <c r="R918" s="508"/>
      <c r="S918" s="509">
        <v>0</v>
      </c>
      <c r="T918" s="509">
        <v>0</v>
      </c>
      <c r="U918" s="509">
        <v>0</v>
      </c>
      <c r="W918" s="511"/>
      <c r="X918" s="511"/>
    </row>
    <row r="919" spans="1:24" s="510" customFormat="1" ht="15">
      <c r="A919" s="506">
        <v>90203</v>
      </c>
      <c r="B919" s="512" t="s">
        <v>744</v>
      </c>
      <c r="C919" s="460">
        <v>0</v>
      </c>
      <c r="D919" s="460">
        <v>0</v>
      </c>
      <c r="E919" s="509">
        <v>0</v>
      </c>
      <c r="F919" s="508"/>
      <c r="G919" s="509">
        <v>0</v>
      </c>
      <c r="H919" s="509">
        <v>0</v>
      </c>
      <c r="I919" s="509">
        <v>0</v>
      </c>
      <c r="J919" s="509">
        <v>0</v>
      </c>
      <c r="K919" s="509">
        <v>0</v>
      </c>
      <c r="L919" s="508"/>
      <c r="M919" s="509">
        <v>0</v>
      </c>
      <c r="N919" s="509">
        <v>0</v>
      </c>
      <c r="O919" s="509">
        <v>0</v>
      </c>
      <c r="P919" s="509">
        <v>0</v>
      </c>
      <c r="Q919" s="509">
        <v>0</v>
      </c>
      <c r="R919" s="508"/>
      <c r="S919" s="509">
        <v>0</v>
      </c>
      <c r="T919" s="509">
        <v>0</v>
      </c>
      <c r="U919" s="509">
        <v>0</v>
      </c>
      <c r="W919" s="511"/>
      <c r="X919" s="511"/>
    </row>
    <row r="920" spans="1:24" s="510" customFormat="1" ht="15">
      <c r="A920" s="506">
        <v>90205</v>
      </c>
      <c r="B920" s="512" t="s">
        <v>745</v>
      </c>
      <c r="C920" s="460">
        <v>0</v>
      </c>
      <c r="D920" s="460">
        <v>0</v>
      </c>
      <c r="E920" s="509">
        <v>0</v>
      </c>
      <c r="F920" s="508"/>
      <c r="G920" s="509">
        <v>0</v>
      </c>
      <c r="H920" s="509">
        <v>0</v>
      </c>
      <c r="I920" s="509">
        <v>0</v>
      </c>
      <c r="J920" s="509">
        <v>0</v>
      </c>
      <c r="K920" s="509">
        <v>0</v>
      </c>
      <c r="L920" s="508"/>
      <c r="M920" s="509">
        <v>0</v>
      </c>
      <c r="N920" s="509">
        <v>0</v>
      </c>
      <c r="O920" s="509">
        <v>0</v>
      </c>
      <c r="P920" s="509">
        <v>0</v>
      </c>
      <c r="Q920" s="509">
        <v>0</v>
      </c>
      <c r="R920" s="508"/>
      <c r="S920" s="509">
        <v>0</v>
      </c>
      <c r="T920" s="509">
        <v>0</v>
      </c>
      <c r="U920" s="509">
        <v>0</v>
      </c>
      <c r="W920" s="511"/>
      <c r="X920" s="511"/>
    </row>
    <row r="921" spans="1:24" s="510" customFormat="1" ht="15">
      <c r="A921" s="506">
        <v>90206</v>
      </c>
      <c r="B921" s="512" t="s">
        <v>746</v>
      </c>
      <c r="C921" s="460">
        <v>0</v>
      </c>
      <c r="D921" s="460">
        <v>0</v>
      </c>
      <c r="E921" s="509">
        <v>0</v>
      </c>
      <c r="F921" s="508"/>
      <c r="G921" s="509">
        <v>0</v>
      </c>
      <c r="H921" s="509">
        <v>0</v>
      </c>
      <c r="I921" s="509">
        <v>0</v>
      </c>
      <c r="J921" s="509">
        <v>0</v>
      </c>
      <c r="K921" s="509">
        <v>0</v>
      </c>
      <c r="L921" s="508"/>
      <c r="M921" s="509">
        <v>0</v>
      </c>
      <c r="N921" s="509">
        <v>0</v>
      </c>
      <c r="O921" s="509">
        <v>0</v>
      </c>
      <c r="P921" s="509">
        <v>0</v>
      </c>
      <c r="Q921" s="509">
        <v>0</v>
      </c>
      <c r="R921" s="508"/>
      <c r="S921" s="509">
        <v>0</v>
      </c>
      <c r="T921" s="509">
        <v>0</v>
      </c>
      <c r="U921" s="509">
        <v>0</v>
      </c>
      <c r="W921" s="511"/>
      <c r="X921" s="511"/>
    </row>
    <row r="927" spans="1:24" ht="15">
      <c r="B927" t="s">
        <v>690</v>
      </c>
      <c r="C927" s="253" t="s">
        <v>691</v>
      </c>
    </row>
    <row r="928" spans="1:24" ht="15">
      <c r="B928" t="s">
        <v>3755</v>
      </c>
      <c r="C928" s="253" t="s">
        <v>691</v>
      </c>
    </row>
    <row r="929" spans="2:3">
      <c r="B929" s="529" t="s">
        <v>1056</v>
      </c>
      <c r="C929" s="458">
        <v>93537</v>
      </c>
    </row>
    <row r="930" spans="2:3">
      <c r="B930" s="529" t="s">
        <v>1037</v>
      </c>
      <c r="C930" s="458">
        <v>93402</v>
      </c>
    </row>
    <row r="931" spans="2:3">
      <c r="B931" s="529" t="s">
        <v>1101</v>
      </c>
      <c r="C931" s="458">
        <v>94109</v>
      </c>
    </row>
    <row r="932" spans="2:3">
      <c r="B932" s="529" t="s">
        <v>734</v>
      </c>
      <c r="C932" s="458">
        <v>90101</v>
      </c>
    </row>
    <row r="933" spans="2:3">
      <c r="B933" s="529" t="s">
        <v>737</v>
      </c>
      <c r="C933" s="458">
        <v>90117</v>
      </c>
    </row>
    <row r="934" spans="2:3">
      <c r="B934" s="529" t="s">
        <v>1488</v>
      </c>
      <c r="C934" s="458">
        <v>98417</v>
      </c>
    </row>
    <row r="935" spans="2:3">
      <c r="B935" s="529" t="s">
        <v>1346</v>
      </c>
      <c r="C935" s="458">
        <v>97008</v>
      </c>
    </row>
    <row r="936" spans="2:3">
      <c r="B936" s="529" t="s">
        <v>731</v>
      </c>
      <c r="C936" s="458">
        <v>90096</v>
      </c>
    </row>
    <row r="937" spans="2:3">
      <c r="B937" s="529" t="s">
        <v>782</v>
      </c>
      <c r="C937" s="458">
        <v>90805</v>
      </c>
    </row>
    <row r="938" spans="2:3">
      <c r="B938" s="529" t="s">
        <v>925</v>
      </c>
      <c r="C938" s="458">
        <v>92109</v>
      </c>
    </row>
    <row r="939" spans="2:3">
      <c r="B939" s="529" t="s">
        <v>743</v>
      </c>
      <c r="C939" s="458">
        <v>90201</v>
      </c>
    </row>
    <row r="940" spans="2:3">
      <c r="B940" s="529" t="s">
        <v>746</v>
      </c>
      <c r="C940" s="458">
        <v>90206</v>
      </c>
    </row>
    <row r="941" spans="2:3">
      <c r="B941" s="529" t="s">
        <v>744</v>
      </c>
      <c r="C941" s="458">
        <v>90203</v>
      </c>
    </row>
    <row r="942" spans="2:3">
      <c r="B942" s="529" t="s">
        <v>745</v>
      </c>
      <c r="C942" s="458">
        <v>90205</v>
      </c>
    </row>
    <row r="943" spans="2:3">
      <c r="B943" s="529" t="s">
        <v>748</v>
      </c>
      <c r="C943" s="458">
        <v>90301</v>
      </c>
    </row>
    <row r="944" spans="2:3">
      <c r="B944" s="529" t="s">
        <v>3722</v>
      </c>
      <c r="C944" s="458">
        <v>93209</v>
      </c>
    </row>
    <row r="945" spans="2:3">
      <c r="B945" s="529" t="s">
        <v>751</v>
      </c>
      <c r="C945" s="458">
        <v>90401</v>
      </c>
    </row>
    <row r="946" spans="2:3">
      <c r="B946" s="529" t="s">
        <v>733</v>
      </c>
      <c r="C946" s="458">
        <v>90099</v>
      </c>
    </row>
    <row r="947" spans="2:3">
      <c r="B947" s="529" t="s">
        <v>1592</v>
      </c>
      <c r="C947" s="458">
        <v>99705</v>
      </c>
    </row>
    <row r="948" spans="2:3">
      <c r="B948" s="529" t="s">
        <v>760</v>
      </c>
      <c r="C948" s="458">
        <v>90501</v>
      </c>
    </row>
    <row r="949" spans="2:3">
      <c r="B949" s="529" t="s">
        <v>1389</v>
      </c>
      <c r="C949" s="458">
        <v>97607</v>
      </c>
    </row>
    <row r="950" spans="2:3">
      <c r="B950" s="529" t="s">
        <v>1391</v>
      </c>
      <c r="C950" s="458">
        <v>97613</v>
      </c>
    </row>
    <row r="951" spans="2:3">
      <c r="B951" s="529" t="s">
        <v>834</v>
      </c>
      <c r="C951" s="458">
        <v>91127</v>
      </c>
    </row>
    <row r="952" spans="2:3">
      <c r="B952" s="529" t="s">
        <v>835</v>
      </c>
      <c r="C952" s="458">
        <v>91128</v>
      </c>
    </row>
    <row r="953" spans="2:3">
      <c r="B953" s="529" t="s">
        <v>3756</v>
      </c>
      <c r="C953" s="458">
        <v>91107</v>
      </c>
    </row>
    <row r="954" spans="2:3">
      <c r="B954" s="529" t="s">
        <v>763</v>
      </c>
      <c r="C954" s="458">
        <v>90601</v>
      </c>
    </row>
    <row r="955" spans="2:3">
      <c r="B955" s="529" t="s">
        <v>259</v>
      </c>
      <c r="C955" s="458">
        <v>90602</v>
      </c>
    </row>
    <row r="956" spans="2:3">
      <c r="B956" s="529" t="s">
        <v>764</v>
      </c>
      <c r="C956" s="458">
        <v>90605</v>
      </c>
    </row>
    <row r="957" spans="2:3">
      <c r="B957" s="529" t="s">
        <v>180</v>
      </c>
      <c r="C957" s="458">
        <v>97463</v>
      </c>
    </row>
    <row r="958" spans="2:3">
      <c r="B958" s="529" t="s">
        <v>773</v>
      </c>
      <c r="C958" s="458">
        <v>90705</v>
      </c>
    </row>
    <row r="959" spans="2:3">
      <c r="B959" s="529" t="s">
        <v>1341</v>
      </c>
      <c r="C959" s="458">
        <v>96918</v>
      </c>
    </row>
    <row r="960" spans="2:3">
      <c r="B960" s="529" t="s">
        <v>1543</v>
      </c>
      <c r="C960" s="458">
        <v>99208</v>
      </c>
    </row>
    <row r="961" spans="2:3">
      <c r="B961" s="529" t="s">
        <v>771</v>
      </c>
      <c r="C961" s="458">
        <v>90701</v>
      </c>
    </row>
    <row r="962" spans="2:3">
      <c r="B962" s="529" t="s">
        <v>772</v>
      </c>
      <c r="C962" s="458">
        <v>90704</v>
      </c>
    </row>
    <row r="963" spans="2:3">
      <c r="B963" s="529" t="s">
        <v>886</v>
      </c>
      <c r="C963" s="458">
        <v>91633</v>
      </c>
    </row>
    <row r="964" spans="2:3">
      <c r="B964" s="529" t="s">
        <v>1066</v>
      </c>
      <c r="C964" s="458">
        <v>93623</v>
      </c>
    </row>
    <row r="965" spans="2:3">
      <c r="B965" s="529" t="s">
        <v>1186</v>
      </c>
      <c r="C965" s="458">
        <v>95103</v>
      </c>
    </row>
    <row r="966" spans="2:3">
      <c r="B966" s="529" t="s">
        <v>780</v>
      </c>
      <c r="C966" s="458">
        <v>90801</v>
      </c>
    </row>
    <row r="967" spans="2:3">
      <c r="B967" s="529" t="s">
        <v>781</v>
      </c>
      <c r="C967" s="458">
        <v>90804</v>
      </c>
    </row>
    <row r="968" spans="2:3">
      <c r="B968" s="529" t="s">
        <v>783</v>
      </c>
      <c r="C968" s="458">
        <v>90808</v>
      </c>
    </row>
    <row r="969" spans="2:3">
      <c r="B969" s="529" t="s">
        <v>1072</v>
      </c>
      <c r="C969" s="458">
        <v>93671</v>
      </c>
    </row>
    <row r="970" spans="2:3">
      <c r="B970" s="529" t="s">
        <v>840</v>
      </c>
      <c r="C970" s="458">
        <v>91154</v>
      </c>
    </row>
    <row r="971" spans="2:3">
      <c r="B971" s="529" t="s">
        <v>788</v>
      </c>
      <c r="C971" s="458">
        <v>90901</v>
      </c>
    </row>
    <row r="972" spans="2:3">
      <c r="B972" s="529" t="s">
        <v>1576</v>
      </c>
      <c r="C972" s="458">
        <v>99527</v>
      </c>
    </row>
    <row r="973" spans="2:3">
      <c r="B973" s="529" t="s">
        <v>1572</v>
      </c>
      <c r="C973" s="458">
        <v>99508</v>
      </c>
    </row>
    <row r="974" spans="2:3">
      <c r="B974" s="529" t="s">
        <v>1152</v>
      </c>
      <c r="C974" s="458">
        <v>94532</v>
      </c>
    </row>
    <row r="975" spans="2:3">
      <c r="B975" s="529" t="s">
        <v>822</v>
      </c>
      <c r="C975" s="458">
        <v>91077</v>
      </c>
    </row>
    <row r="976" spans="2:3">
      <c r="B976" s="529" t="s">
        <v>1294</v>
      </c>
      <c r="C976" s="458">
        <v>96405</v>
      </c>
    </row>
    <row r="977" spans="2:3">
      <c r="B977" s="529" t="s">
        <v>1514</v>
      </c>
      <c r="C977" s="458">
        <v>98817</v>
      </c>
    </row>
    <row r="978" spans="2:3">
      <c r="B978" s="529" t="s">
        <v>1455</v>
      </c>
      <c r="C978" s="458">
        <v>98102</v>
      </c>
    </row>
    <row r="979" spans="2:3">
      <c r="B979" s="529" t="s">
        <v>799</v>
      </c>
      <c r="C979" s="458">
        <v>91006</v>
      </c>
    </row>
    <row r="980" spans="2:3">
      <c r="B980" s="529" t="s">
        <v>797</v>
      </c>
      <c r="C980" s="458">
        <v>91003</v>
      </c>
    </row>
    <row r="981" spans="2:3">
      <c r="B981" s="529" t="s">
        <v>795</v>
      </c>
      <c r="C981" s="458">
        <v>91001</v>
      </c>
    </row>
    <row r="982" spans="2:3">
      <c r="B982" s="529" t="s">
        <v>798</v>
      </c>
      <c r="C982" s="458">
        <v>91004</v>
      </c>
    </row>
    <row r="983" spans="2:3">
      <c r="B983" s="529" t="s">
        <v>802</v>
      </c>
      <c r="C983" s="458">
        <v>91009</v>
      </c>
    </row>
    <row r="984" spans="2:3">
      <c r="B984" s="529" t="s">
        <v>815</v>
      </c>
      <c r="C984" s="458">
        <v>91042</v>
      </c>
    </row>
    <row r="985" spans="2:3">
      <c r="B985" s="529" t="s">
        <v>1511</v>
      </c>
      <c r="C985" s="458">
        <v>98717</v>
      </c>
    </row>
    <row r="986" spans="2:3">
      <c r="B986" s="529" t="s">
        <v>825</v>
      </c>
      <c r="C986" s="458">
        <v>91101</v>
      </c>
    </row>
    <row r="987" spans="2:3">
      <c r="B987" s="529" t="s">
        <v>846</v>
      </c>
      <c r="C987" s="458">
        <v>91206</v>
      </c>
    </row>
    <row r="988" spans="2:3">
      <c r="B988" s="529" t="s">
        <v>845</v>
      </c>
      <c r="C988" s="458">
        <v>91203</v>
      </c>
    </row>
    <row r="989" spans="2:3">
      <c r="B989" s="529" t="s">
        <v>843</v>
      </c>
      <c r="C989" s="458">
        <v>91201</v>
      </c>
    </row>
    <row r="990" spans="2:3">
      <c r="B990" s="529" t="s">
        <v>847</v>
      </c>
      <c r="C990" s="458">
        <v>91208</v>
      </c>
    </row>
    <row r="991" spans="2:3">
      <c r="B991" s="529" t="s">
        <v>844</v>
      </c>
      <c r="C991" s="458">
        <v>91202</v>
      </c>
    </row>
    <row r="992" spans="2:3">
      <c r="B992" s="529" t="s">
        <v>860</v>
      </c>
      <c r="C992" s="458">
        <v>91306</v>
      </c>
    </row>
    <row r="993" spans="2:3">
      <c r="B993" s="529" t="s">
        <v>858</v>
      </c>
      <c r="C993" s="458">
        <v>91301</v>
      </c>
    </row>
    <row r="994" spans="2:3">
      <c r="B994" s="529" t="s">
        <v>861</v>
      </c>
      <c r="C994" s="458">
        <v>91308</v>
      </c>
    </row>
    <row r="995" spans="2:3">
      <c r="B995" s="529" t="s">
        <v>800</v>
      </c>
      <c r="C995" s="458">
        <v>91007</v>
      </c>
    </row>
    <row r="996" spans="2:3">
      <c r="B996" s="529" t="s">
        <v>868</v>
      </c>
      <c r="C996" s="458">
        <v>91401</v>
      </c>
    </row>
    <row r="997" spans="2:3">
      <c r="B997" s="529" t="s">
        <v>878</v>
      </c>
      <c r="C997" s="458">
        <v>91501</v>
      </c>
    </row>
    <row r="998" spans="2:3">
      <c r="B998" s="529" t="s">
        <v>879</v>
      </c>
      <c r="C998" s="458">
        <v>91504</v>
      </c>
    </row>
    <row r="999" spans="2:3">
      <c r="B999" s="529" t="s">
        <v>1144</v>
      </c>
      <c r="C999" s="458">
        <v>94437</v>
      </c>
    </row>
    <row r="1000" spans="2:3">
      <c r="B1000" s="529" t="s">
        <v>801</v>
      </c>
      <c r="C1000" s="458">
        <v>91008</v>
      </c>
    </row>
    <row r="1001" spans="2:3">
      <c r="B1001" s="529" t="s">
        <v>1308</v>
      </c>
      <c r="C1001" s="458">
        <v>96512</v>
      </c>
    </row>
    <row r="1002" spans="2:3">
      <c r="B1002" s="529" t="s">
        <v>1305</v>
      </c>
      <c r="C1002" s="458">
        <v>96507</v>
      </c>
    </row>
    <row r="1003" spans="2:3">
      <c r="B1003" s="529" t="s">
        <v>1636</v>
      </c>
      <c r="C1003" s="458">
        <v>91015</v>
      </c>
    </row>
    <row r="1004" spans="2:3">
      <c r="B1004" s="529" t="s">
        <v>880</v>
      </c>
      <c r="C1004" s="458">
        <v>91601</v>
      </c>
    </row>
    <row r="1005" spans="2:3">
      <c r="B1005" s="529" t="s">
        <v>881</v>
      </c>
      <c r="C1005" s="458">
        <v>91604</v>
      </c>
    </row>
    <row r="1006" spans="2:3">
      <c r="B1006" s="452" t="s">
        <v>3787</v>
      </c>
      <c r="C1006" s="458">
        <v>91602</v>
      </c>
    </row>
    <row r="1007" spans="2:3">
      <c r="B1007" s="529" t="s">
        <v>895</v>
      </c>
      <c r="C1007" s="458">
        <v>91706</v>
      </c>
    </row>
    <row r="1008" spans="2:3">
      <c r="B1008" s="529" t="s">
        <v>893</v>
      </c>
      <c r="C1008" s="458">
        <v>91701</v>
      </c>
    </row>
    <row r="1009" spans="2:3">
      <c r="B1009" s="529" t="s">
        <v>894</v>
      </c>
      <c r="C1009" s="458">
        <v>91704</v>
      </c>
    </row>
    <row r="1010" spans="2:3">
      <c r="B1010" s="529" t="s">
        <v>897</v>
      </c>
      <c r="C1010" s="458">
        <v>91801</v>
      </c>
    </row>
    <row r="1011" spans="2:3">
      <c r="B1011" s="529" t="s">
        <v>898</v>
      </c>
      <c r="C1011" s="458">
        <v>91804</v>
      </c>
    </row>
    <row r="1012" spans="2:3">
      <c r="B1012" s="529" t="s">
        <v>1550</v>
      </c>
      <c r="C1012" s="458">
        <v>99222</v>
      </c>
    </row>
    <row r="1013" spans="2:3">
      <c r="B1013" s="529" t="s">
        <v>1254</v>
      </c>
      <c r="C1013" s="458">
        <v>96009</v>
      </c>
    </row>
    <row r="1014" spans="2:3">
      <c r="B1014" s="529" t="s">
        <v>1257</v>
      </c>
      <c r="C1014" s="458">
        <v>96018</v>
      </c>
    </row>
    <row r="1015" spans="2:3">
      <c r="B1015" s="529" t="s">
        <v>1252</v>
      </c>
      <c r="C1015" s="458">
        <v>96005</v>
      </c>
    </row>
    <row r="1016" spans="2:3">
      <c r="B1016" s="529" t="s">
        <v>3724</v>
      </c>
      <c r="C1016" s="458">
        <v>96012</v>
      </c>
    </row>
    <row r="1017" spans="2:3">
      <c r="B1017" s="529" t="s">
        <v>912</v>
      </c>
      <c r="C1017" s="458">
        <v>91903</v>
      </c>
    </row>
    <row r="1018" spans="2:3">
      <c r="B1018" s="529" t="s">
        <v>911</v>
      </c>
      <c r="C1018" s="458">
        <v>91901</v>
      </c>
    </row>
    <row r="1019" spans="2:3">
      <c r="B1019" s="529" t="s">
        <v>913</v>
      </c>
      <c r="C1019" s="458">
        <v>91904</v>
      </c>
    </row>
    <row r="1020" spans="2:3">
      <c r="B1020" s="529" t="s">
        <v>918</v>
      </c>
      <c r="C1020" s="458">
        <v>92001</v>
      </c>
    </row>
    <row r="1021" spans="2:3">
      <c r="B1021" s="529" t="s">
        <v>1069</v>
      </c>
      <c r="C1021" s="458">
        <v>93647</v>
      </c>
    </row>
    <row r="1022" spans="2:3">
      <c r="B1022" s="529" t="s">
        <v>1315</v>
      </c>
      <c r="C1022" s="458">
        <v>96612</v>
      </c>
    </row>
    <row r="1023" spans="2:3">
      <c r="B1023" s="529" t="s">
        <v>923</v>
      </c>
      <c r="C1023" s="458">
        <v>92101</v>
      </c>
    </row>
    <row r="1024" spans="2:3">
      <c r="B1024" s="529" t="s">
        <v>924</v>
      </c>
      <c r="C1024" s="458">
        <v>92104</v>
      </c>
    </row>
    <row r="1025" spans="2:3">
      <c r="B1025" s="529" t="s">
        <v>1486</v>
      </c>
      <c r="C1025" s="458">
        <v>98411</v>
      </c>
    </row>
    <row r="1026" spans="2:3">
      <c r="B1026" s="529" t="s">
        <v>1398</v>
      </c>
      <c r="C1026" s="458">
        <v>97651</v>
      </c>
    </row>
    <row r="1027" spans="2:3">
      <c r="B1027" s="529" t="s">
        <v>1390</v>
      </c>
      <c r="C1027" s="458">
        <v>97611</v>
      </c>
    </row>
    <row r="1028" spans="2:3">
      <c r="B1028" s="529" t="s">
        <v>833</v>
      </c>
      <c r="C1028" s="458">
        <v>91121</v>
      </c>
    </row>
    <row r="1029" spans="2:3">
      <c r="B1029" s="529" t="s">
        <v>1065</v>
      </c>
      <c r="C1029" s="458">
        <v>93621</v>
      </c>
    </row>
    <row r="1030" spans="2:3">
      <c r="B1030" s="529" t="s">
        <v>821</v>
      </c>
      <c r="C1030" s="458">
        <v>91071</v>
      </c>
    </row>
    <row r="1031" spans="2:3">
      <c r="B1031" s="529" t="s">
        <v>1513</v>
      </c>
      <c r="C1031" s="458">
        <v>98811</v>
      </c>
    </row>
    <row r="1032" spans="2:3">
      <c r="B1032" s="529" t="s">
        <v>735</v>
      </c>
      <c r="C1032" s="458">
        <v>90111</v>
      </c>
    </row>
    <row r="1033" spans="2:3">
      <c r="B1033" s="529" t="s">
        <v>1255</v>
      </c>
      <c r="C1033" s="458">
        <v>96011</v>
      </c>
    </row>
    <row r="1034" spans="2:3">
      <c r="B1034" s="529" t="s">
        <v>1068</v>
      </c>
      <c r="C1034" s="458">
        <v>93641</v>
      </c>
    </row>
    <row r="1035" spans="2:3">
      <c r="B1035" s="529" t="s">
        <v>904</v>
      </c>
      <c r="C1035" s="458">
        <v>91821</v>
      </c>
    </row>
    <row r="1036" spans="2:3">
      <c r="B1036" s="529" t="s">
        <v>1468</v>
      </c>
      <c r="C1036" s="458">
        <v>98211</v>
      </c>
    </row>
    <row r="1037" spans="2:3">
      <c r="B1037" s="529" t="s">
        <v>862</v>
      </c>
      <c r="C1037" s="458">
        <v>91311</v>
      </c>
    </row>
    <row r="1038" spans="2:3">
      <c r="B1038" s="529" t="s">
        <v>1089</v>
      </c>
      <c r="C1038" s="458">
        <v>93921</v>
      </c>
    </row>
    <row r="1039" spans="2:3">
      <c r="B1039" s="529" t="s">
        <v>1126</v>
      </c>
      <c r="C1039" s="458">
        <v>94311</v>
      </c>
    </row>
    <row r="1040" spans="2:3">
      <c r="B1040" s="529" t="s">
        <v>1021</v>
      </c>
      <c r="C1040" s="458">
        <v>93211</v>
      </c>
    </row>
    <row r="1041" spans="2:3">
      <c r="B1041" s="529" t="s">
        <v>1436</v>
      </c>
      <c r="C1041" s="458">
        <v>97951</v>
      </c>
    </row>
    <row r="1042" spans="2:3">
      <c r="B1042" s="529" t="s">
        <v>969</v>
      </c>
      <c r="C1042" s="458">
        <v>92611</v>
      </c>
    </row>
    <row r="1043" spans="2:3">
      <c r="B1043" s="529" t="s">
        <v>1062</v>
      </c>
      <c r="C1043" s="458">
        <v>93611</v>
      </c>
    </row>
    <row r="1044" spans="2:3">
      <c r="B1044" s="529" t="s">
        <v>1584</v>
      </c>
      <c r="C1044" s="458">
        <v>99611</v>
      </c>
    </row>
    <row r="1045" spans="2:3">
      <c r="B1045" s="529" t="s">
        <v>738</v>
      </c>
      <c r="C1045" s="458">
        <v>90121</v>
      </c>
    </row>
    <row r="1046" spans="2:3">
      <c r="B1046" s="529" t="s">
        <v>1102</v>
      </c>
      <c r="C1046" s="458">
        <v>94111</v>
      </c>
    </row>
    <row r="1047" spans="2:3">
      <c r="B1047" s="529" t="s">
        <v>1371</v>
      </c>
      <c r="C1047" s="458">
        <v>97411</v>
      </c>
    </row>
    <row r="1048" spans="2:3">
      <c r="B1048" s="529" t="s">
        <v>1405</v>
      </c>
      <c r="C1048" s="458">
        <v>97721</v>
      </c>
    </row>
    <row r="1049" spans="2:3">
      <c r="B1049" s="529" t="s">
        <v>959</v>
      </c>
      <c r="C1049" s="458">
        <v>92531</v>
      </c>
    </row>
    <row r="1050" spans="2:3">
      <c r="B1050" s="529" t="s">
        <v>1536</v>
      </c>
      <c r="C1050" s="458">
        <v>99111</v>
      </c>
    </row>
    <row r="1051" spans="2:3">
      <c r="B1051" s="529" t="s">
        <v>1146</v>
      </c>
      <c r="C1051" s="458">
        <v>94511</v>
      </c>
    </row>
    <row r="1052" spans="2:3">
      <c r="B1052" s="529" t="s">
        <v>899</v>
      </c>
      <c r="C1052" s="458">
        <v>91811</v>
      </c>
    </row>
    <row r="1053" spans="2:3">
      <c r="B1053" s="529" t="s">
        <v>1106</v>
      </c>
      <c r="C1053" s="458">
        <v>94121</v>
      </c>
    </row>
    <row r="1054" spans="2:3">
      <c r="B1054" s="529" t="s">
        <v>1326</v>
      </c>
      <c r="C1054" s="458">
        <v>96711</v>
      </c>
    </row>
    <row r="1055" spans="2:3">
      <c r="B1055" s="529" t="s">
        <v>866</v>
      </c>
      <c r="C1055" s="458">
        <v>91331</v>
      </c>
    </row>
    <row r="1056" spans="2:3">
      <c r="B1056" s="529" t="s">
        <v>1498</v>
      </c>
      <c r="C1056" s="458">
        <v>98521</v>
      </c>
    </row>
    <row r="1057" spans="2:3">
      <c r="B1057" s="529" t="s">
        <v>933</v>
      </c>
      <c r="C1057" s="458">
        <v>92321</v>
      </c>
    </row>
    <row r="1058" spans="2:3">
      <c r="B1058" s="529" t="s">
        <v>1215</v>
      </c>
      <c r="C1058" s="458">
        <v>95411</v>
      </c>
    </row>
    <row r="1059" spans="2:3">
      <c r="B1059" s="529" t="s">
        <v>1480</v>
      </c>
      <c r="C1059" s="458">
        <v>98311</v>
      </c>
    </row>
    <row r="1060" spans="2:3">
      <c r="B1060" s="529" t="s">
        <v>875</v>
      </c>
      <c r="C1060" s="458">
        <v>91451</v>
      </c>
    </row>
    <row r="1061" spans="2:3">
      <c r="B1061" s="529" t="s">
        <v>876</v>
      </c>
      <c r="C1061" s="458">
        <v>91457</v>
      </c>
    </row>
    <row r="1062" spans="2:3">
      <c r="B1062" s="529" t="s">
        <v>996</v>
      </c>
      <c r="C1062" s="458">
        <v>92931</v>
      </c>
    </row>
    <row r="1063" spans="2:3">
      <c r="B1063" s="529" t="s">
        <v>1223</v>
      </c>
      <c r="C1063" s="458">
        <v>95511</v>
      </c>
    </row>
    <row r="1064" spans="2:3">
      <c r="B1064" s="529" t="s">
        <v>1491</v>
      </c>
      <c r="C1064" s="458">
        <v>98431</v>
      </c>
    </row>
    <row r="1065" spans="2:3">
      <c r="B1065" s="529" t="s">
        <v>1071</v>
      </c>
      <c r="C1065" s="458">
        <v>93661</v>
      </c>
    </row>
    <row r="1066" spans="2:3">
      <c r="B1066" s="529" t="s">
        <v>1412</v>
      </c>
      <c r="C1066" s="458">
        <v>97811</v>
      </c>
    </row>
    <row r="1067" spans="2:3">
      <c r="B1067" s="529" t="s">
        <v>736</v>
      </c>
      <c r="C1067" s="458">
        <v>90114</v>
      </c>
    </row>
    <row r="1068" spans="2:3">
      <c r="B1068" s="529" t="s">
        <v>1519</v>
      </c>
      <c r="C1068" s="458">
        <v>99011</v>
      </c>
    </row>
    <row r="1069" spans="2:3">
      <c r="B1069" s="529" t="s">
        <v>1520</v>
      </c>
      <c r="C1069" s="458">
        <v>99013</v>
      </c>
    </row>
    <row r="1070" spans="2:3">
      <c r="B1070" s="529" t="s">
        <v>1173</v>
      </c>
      <c r="C1070" s="458">
        <v>94921</v>
      </c>
    </row>
    <row r="1071" spans="2:3">
      <c r="B1071" s="529" t="s">
        <v>853</v>
      </c>
      <c r="C1071" s="458">
        <v>91231</v>
      </c>
    </row>
    <row r="1072" spans="2:3">
      <c r="B1072" s="529" t="s">
        <v>1506</v>
      </c>
      <c r="C1072" s="458">
        <v>98631</v>
      </c>
    </row>
    <row r="1073" spans="2:3">
      <c r="B1073" s="529" t="s">
        <v>1074</v>
      </c>
      <c r="C1073" s="458">
        <v>93691</v>
      </c>
    </row>
    <row r="1074" spans="2:3">
      <c r="B1074" s="529" t="s">
        <v>956</v>
      </c>
      <c r="C1074" s="458">
        <v>92511</v>
      </c>
    </row>
    <row r="1075" spans="2:3">
      <c r="B1075" s="529" t="s">
        <v>909</v>
      </c>
      <c r="C1075" s="458">
        <v>91871</v>
      </c>
    </row>
    <row r="1076" spans="2:3">
      <c r="B1076" s="529" t="s">
        <v>805</v>
      </c>
      <c r="C1076" s="458">
        <v>91012</v>
      </c>
    </row>
    <row r="1077" spans="2:3">
      <c r="B1077" s="529" t="s">
        <v>1086</v>
      </c>
      <c r="C1077" s="458">
        <v>93911</v>
      </c>
    </row>
    <row r="1078" spans="2:3">
      <c r="B1078" s="529" t="s">
        <v>1545</v>
      </c>
      <c r="C1078" s="458">
        <v>99211</v>
      </c>
    </row>
    <row r="1079" spans="2:3">
      <c r="B1079" s="529" t="s">
        <v>1547</v>
      </c>
      <c r="C1079" s="458">
        <v>99213</v>
      </c>
    </row>
    <row r="1080" spans="2:3">
      <c r="B1080" s="529" t="s">
        <v>1392</v>
      </c>
      <c r="C1080" s="458">
        <v>97621</v>
      </c>
    </row>
    <row r="1081" spans="2:3">
      <c r="B1081" s="529" t="s">
        <v>1394</v>
      </c>
      <c r="C1081" s="458">
        <v>97627</v>
      </c>
    </row>
    <row r="1082" spans="2:3">
      <c r="B1082" s="529" t="s">
        <v>1393</v>
      </c>
      <c r="C1082" s="458">
        <v>97623</v>
      </c>
    </row>
    <row r="1083" spans="2:3">
      <c r="B1083" s="529" t="s">
        <v>1428</v>
      </c>
      <c r="C1083" s="458">
        <v>97911</v>
      </c>
    </row>
    <row r="1084" spans="2:3">
      <c r="B1084" s="529" t="s">
        <v>1120</v>
      </c>
      <c r="C1084" s="458">
        <v>94221</v>
      </c>
    </row>
    <row r="1085" spans="2:3">
      <c r="B1085" s="529" t="s">
        <v>1402</v>
      </c>
      <c r="C1085" s="458">
        <v>97711</v>
      </c>
    </row>
    <row r="1086" spans="2:3">
      <c r="B1086" s="529" t="s">
        <v>1406</v>
      </c>
      <c r="C1086" s="458">
        <v>97727</v>
      </c>
    </row>
    <row r="1087" spans="2:3">
      <c r="B1087" s="529" t="s">
        <v>1030</v>
      </c>
      <c r="C1087" s="458">
        <v>93321</v>
      </c>
    </row>
    <row r="1088" spans="2:3">
      <c r="B1088" s="529" t="s">
        <v>1365</v>
      </c>
      <c r="C1088" s="458">
        <v>97311</v>
      </c>
    </row>
    <row r="1089" spans="2:3">
      <c r="B1089" s="529" t="s">
        <v>1443</v>
      </c>
      <c r="C1089" s="458">
        <v>98011</v>
      </c>
    </row>
    <row r="1090" spans="2:3">
      <c r="B1090" s="529" t="s">
        <v>1387</v>
      </c>
      <c r="C1090" s="458">
        <v>97531</v>
      </c>
    </row>
    <row r="1091" spans="2:3">
      <c r="B1091" s="529" t="s">
        <v>1209</v>
      </c>
      <c r="C1091" s="458">
        <v>95311</v>
      </c>
    </row>
    <row r="1092" spans="2:3">
      <c r="B1092" s="529" t="s">
        <v>931</v>
      </c>
      <c r="C1092" s="458">
        <v>92311</v>
      </c>
    </row>
    <row r="1093" spans="2:3">
      <c r="B1093" s="529" t="s">
        <v>804</v>
      </c>
      <c r="C1093" s="458">
        <v>91011</v>
      </c>
    </row>
    <row r="1094" spans="2:3">
      <c r="B1094" s="529" t="s">
        <v>1171</v>
      </c>
      <c r="C1094" s="458">
        <v>94911</v>
      </c>
    </row>
    <row r="1095" spans="2:3">
      <c r="B1095" s="529" t="s">
        <v>991</v>
      </c>
      <c r="C1095" s="458">
        <v>92911</v>
      </c>
    </row>
    <row r="1096" spans="2:3">
      <c r="B1096" s="529" t="s">
        <v>1399</v>
      </c>
      <c r="C1096" s="458">
        <v>97661</v>
      </c>
    </row>
    <row r="1097" spans="2:3">
      <c r="B1097" s="529" t="s">
        <v>775</v>
      </c>
      <c r="C1097" s="458">
        <v>90711</v>
      </c>
    </row>
    <row r="1098" spans="2:3">
      <c r="B1098" s="529" t="s">
        <v>940</v>
      </c>
      <c r="C1098" s="458">
        <v>92411</v>
      </c>
    </row>
    <row r="1099" spans="2:3">
      <c r="B1099" s="529" t="s">
        <v>1310</v>
      </c>
      <c r="C1099" s="458">
        <v>96531</v>
      </c>
    </row>
    <row r="1100" spans="2:3">
      <c r="B1100" s="529" t="s">
        <v>1600</v>
      </c>
      <c r="C1100" s="458">
        <v>99811</v>
      </c>
    </row>
    <row r="1101" spans="2:3">
      <c r="B1101" s="529" t="s">
        <v>1602</v>
      </c>
      <c r="C1101" s="458">
        <v>99818</v>
      </c>
    </row>
    <row r="1102" spans="2:3">
      <c r="B1102" s="529" t="s">
        <v>1040</v>
      </c>
      <c r="C1102" s="458">
        <v>93411</v>
      </c>
    </row>
    <row r="1103" spans="2:3">
      <c r="B1103" s="529" t="s">
        <v>928</v>
      </c>
      <c r="C1103" s="458">
        <v>92201</v>
      </c>
    </row>
    <row r="1104" spans="2:3">
      <c r="B1104" s="529" t="s">
        <v>1925</v>
      </c>
      <c r="C1104" s="458">
        <v>92214</v>
      </c>
    </row>
    <row r="1105" spans="2:3">
      <c r="B1105" s="529" t="s">
        <v>1046</v>
      </c>
      <c r="C1105" s="458">
        <v>93442</v>
      </c>
    </row>
    <row r="1106" spans="2:3">
      <c r="B1106" s="529" t="s">
        <v>929</v>
      </c>
      <c r="C1106" s="458">
        <v>92301</v>
      </c>
    </row>
    <row r="1107" spans="2:3">
      <c r="B1107" s="529" t="s">
        <v>930</v>
      </c>
      <c r="C1107" s="458">
        <v>92302</v>
      </c>
    </row>
    <row r="1108" spans="2:3">
      <c r="B1108" s="529" t="s">
        <v>1469</v>
      </c>
      <c r="C1108" s="458">
        <v>98218</v>
      </c>
    </row>
    <row r="1109" spans="2:3">
      <c r="B1109" s="529" t="s">
        <v>953</v>
      </c>
      <c r="C1109" s="458">
        <v>92506</v>
      </c>
    </row>
    <row r="1110" spans="2:3">
      <c r="B1110" s="529" t="s">
        <v>955</v>
      </c>
      <c r="C1110" s="458">
        <v>92508</v>
      </c>
    </row>
    <row r="1111" spans="2:3">
      <c r="B1111" s="529" t="s">
        <v>1112</v>
      </c>
      <c r="C1111" s="458">
        <v>94168</v>
      </c>
    </row>
    <row r="1112" spans="2:3">
      <c r="B1112" s="529" t="s">
        <v>1637</v>
      </c>
      <c r="C1112" s="458">
        <v>97527</v>
      </c>
    </row>
    <row r="1113" spans="2:3">
      <c r="B1113" s="529" t="s">
        <v>938</v>
      </c>
      <c r="C1113" s="458">
        <v>92401</v>
      </c>
    </row>
    <row r="1114" spans="2:3">
      <c r="B1114" s="529" t="s">
        <v>863</v>
      </c>
      <c r="C1114" s="458">
        <v>91317</v>
      </c>
    </row>
    <row r="1115" spans="2:3">
      <c r="B1115" s="529" t="s">
        <v>1370</v>
      </c>
      <c r="C1115" s="458">
        <v>97408</v>
      </c>
    </row>
    <row r="1116" spans="2:3">
      <c r="B1116" s="529" t="s">
        <v>1001</v>
      </c>
      <c r="C1116" s="458">
        <v>93027</v>
      </c>
    </row>
    <row r="1117" spans="2:3">
      <c r="B1117" s="529" t="s">
        <v>1926</v>
      </c>
      <c r="C1117" s="458">
        <v>93604</v>
      </c>
    </row>
    <row r="1118" spans="2:3">
      <c r="B1118" s="529" t="s">
        <v>951</v>
      </c>
      <c r="C1118" s="458">
        <v>92504</v>
      </c>
    </row>
    <row r="1119" spans="2:3">
      <c r="B1119" s="529" t="s">
        <v>949</v>
      </c>
      <c r="C1119" s="458">
        <v>92501</v>
      </c>
    </row>
    <row r="1120" spans="2:3">
      <c r="B1120" s="529" t="s">
        <v>952</v>
      </c>
      <c r="C1120" s="458">
        <v>92505</v>
      </c>
    </row>
    <row r="1121" spans="2:3">
      <c r="B1121" s="529" t="s">
        <v>966</v>
      </c>
      <c r="C1121" s="458">
        <v>92604</v>
      </c>
    </row>
    <row r="1122" spans="2:3">
      <c r="B1122" s="529" t="s">
        <v>964</v>
      </c>
      <c r="C1122" s="458">
        <v>92601</v>
      </c>
    </row>
    <row r="1123" spans="2:3">
      <c r="B1123" s="529" t="s">
        <v>980</v>
      </c>
      <c r="C1123" s="458">
        <v>92704</v>
      </c>
    </row>
    <row r="1124" spans="2:3">
      <c r="B1124" s="529" t="s">
        <v>979</v>
      </c>
      <c r="C1124" s="458">
        <v>92701</v>
      </c>
    </row>
    <row r="1125" spans="2:3">
      <c r="B1125" s="529" t="s">
        <v>981</v>
      </c>
      <c r="C1125" s="458">
        <v>92801</v>
      </c>
    </row>
    <row r="1126" spans="2:3">
      <c r="B1126" s="529" t="s">
        <v>983</v>
      </c>
      <c r="C1126" s="458">
        <v>92804</v>
      </c>
    </row>
    <row r="1127" spans="2:3">
      <c r="B1127" s="529" t="s">
        <v>982</v>
      </c>
      <c r="C1127" s="458">
        <v>92802</v>
      </c>
    </row>
    <row r="1128" spans="2:3">
      <c r="B1128" s="529" t="s">
        <v>990</v>
      </c>
      <c r="C1128" s="458">
        <v>92901</v>
      </c>
    </row>
    <row r="1129" spans="2:3">
      <c r="B1129" s="529" t="s">
        <v>997</v>
      </c>
      <c r="C1129" s="458">
        <v>93001</v>
      </c>
    </row>
    <row r="1130" spans="2:3">
      <c r="B1130" s="529" t="s">
        <v>998</v>
      </c>
      <c r="C1130" s="458">
        <v>93009</v>
      </c>
    </row>
    <row r="1131" spans="2:3">
      <c r="B1131" s="529" t="s">
        <v>1505</v>
      </c>
      <c r="C1131" s="458">
        <v>98627</v>
      </c>
    </row>
    <row r="1132" spans="2:3">
      <c r="B1132" s="529" t="s">
        <v>1128</v>
      </c>
      <c r="C1132" s="458">
        <v>94317</v>
      </c>
    </row>
    <row r="1133" spans="2:3">
      <c r="B1133" s="529" t="s">
        <v>1127</v>
      </c>
      <c r="C1133" s="458">
        <v>94313</v>
      </c>
    </row>
    <row r="1134" spans="2:3">
      <c r="B1134" s="529" t="s">
        <v>1003</v>
      </c>
      <c r="C1134" s="458">
        <v>93101</v>
      </c>
    </row>
    <row r="1135" spans="2:3">
      <c r="B1135" s="529" t="s">
        <v>260</v>
      </c>
      <c r="C1135" s="458">
        <v>93103</v>
      </c>
    </row>
    <row r="1136" spans="2:3">
      <c r="B1136" s="529" t="s">
        <v>1022</v>
      </c>
      <c r="C1136" s="458">
        <v>93212</v>
      </c>
    </row>
    <row r="1137" spans="2:3">
      <c r="B1137" s="529" t="s">
        <v>1017</v>
      </c>
      <c r="C1137" s="458">
        <v>93201</v>
      </c>
    </row>
    <row r="1138" spans="2:3">
      <c r="B1138" s="529" t="s">
        <v>1019</v>
      </c>
      <c r="C1138" s="458">
        <v>93204</v>
      </c>
    </row>
    <row r="1139" spans="2:3">
      <c r="B1139" s="529" t="s">
        <v>1546</v>
      </c>
      <c r="C1139" s="458">
        <v>99212</v>
      </c>
    </row>
    <row r="1140" spans="2:3">
      <c r="B1140" s="529" t="s">
        <v>1345</v>
      </c>
      <c r="C1140" s="458">
        <v>97005</v>
      </c>
    </row>
    <row r="1141" spans="2:3">
      <c r="B1141" s="529" t="s">
        <v>1446</v>
      </c>
      <c r="C1141" s="458">
        <v>98023</v>
      </c>
    </row>
    <row r="1142" spans="2:3">
      <c r="B1142" s="529" t="s">
        <v>1580</v>
      </c>
      <c r="C1142" s="458">
        <v>99603</v>
      </c>
    </row>
    <row r="1143" spans="2:3">
      <c r="B1143" s="529" t="s">
        <v>1583</v>
      </c>
      <c r="C1143" s="458">
        <v>99610</v>
      </c>
    </row>
    <row r="1144" spans="2:3">
      <c r="B1144" s="529" t="s">
        <v>1004</v>
      </c>
      <c r="C1144" s="458">
        <v>93108</v>
      </c>
    </row>
    <row r="1145" spans="2:3">
      <c r="B1145" s="529" t="s">
        <v>1437</v>
      </c>
      <c r="C1145" s="458">
        <v>97957</v>
      </c>
    </row>
    <row r="1146" spans="2:3">
      <c r="B1146" s="529" t="s">
        <v>1024</v>
      </c>
      <c r="C1146" s="458">
        <v>93301</v>
      </c>
    </row>
    <row r="1147" spans="2:3">
      <c r="B1147" s="529" t="s">
        <v>1025</v>
      </c>
      <c r="C1147" s="458">
        <v>93304</v>
      </c>
    </row>
    <row r="1148" spans="2:3">
      <c r="B1148" s="529" t="s">
        <v>1026</v>
      </c>
      <c r="C1148" s="458">
        <v>93305</v>
      </c>
    </row>
    <row r="1149" spans="2:3">
      <c r="B1149" s="529" t="s">
        <v>1544</v>
      </c>
      <c r="C1149" s="458">
        <v>99210</v>
      </c>
    </row>
    <row r="1150" spans="2:3">
      <c r="B1150" s="529" t="s">
        <v>1348</v>
      </c>
      <c r="C1150" s="458">
        <v>97011</v>
      </c>
    </row>
    <row r="1151" spans="2:3">
      <c r="B1151" s="529" t="s">
        <v>1350</v>
      </c>
      <c r="C1151" s="458">
        <v>97013</v>
      </c>
    </row>
    <row r="1152" spans="2:3">
      <c r="B1152" s="529" t="s">
        <v>1349</v>
      </c>
      <c r="C1152" s="458">
        <v>97012</v>
      </c>
    </row>
    <row r="1153" spans="2:3">
      <c r="B1153" s="529" t="s">
        <v>1352</v>
      </c>
      <c r="C1153" s="458">
        <v>97018</v>
      </c>
    </row>
    <row r="1154" spans="2:3">
      <c r="B1154" s="529" t="s">
        <v>790</v>
      </c>
      <c r="C1154" s="458">
        <v>90917</v>
      </c>
    </row>
    <row r="1155" spans="2:3">
      <c r="B1155" s="529" t="s">
        <v>1416</v>
      </c>
      <c r="C1155" s="458">
        <v>97823</v>
      </c>
    </row>
    <row r="1156" spans="2:3">
      <c r="B1156" s="529" t="s">
        <v>1375</v>
      </c>
      <c r="C1156" s="458">
        <v>97423</v>
      </c>
    </row>
    <row r="1157" spans="2:3">
      <c r="B1157" s="529" t="s">
        <v>970</v>
      </c>
      <c r="C1157" s="458">
        <v>92613</v>
      </c>
    </row>
    <row r="1158" spans="2:3">
      <c r="B1158" s="529" t="s">
        <v>950</v>
      </c>
      <c r="C1158" s="458">
        <v>92502</v>
      </c>
    </row>
    <row r="1159" spans="2:3">
      <c r="B1159" s="529" t="s">
        <v>1154</v>
      </c>
      <c r="C1159" s="458">
        <v>94547</v>
      </c>
    </row>
    <row r="1160" spans="2:3">
      <c r="B1160" s="529" t="s">
        <v>1180</v>
      </c>
      <c r="C1160" s="458">
        <v>95005</v>
      </c>
    </row>
    <row r="1161" spans="2:3">
      <c r="B1161" s="529" t="s">
        <v>3725</v>
      </c>
      <c r="C1161" s="458">
        <v>98103</v>
      </c>
    </row>
    <row r="1162" spans="2:3">
      <c r="B1162" s="529" t="s">
        <v>3770</v>
      </c>
      <c r="C1162" s="458">
        <v>94415</v>
      </c>
    </row>
    <row r="1163" spans="2:3">
      <c r="B1163" s="529" t="s">
        <v>1457</v>
      </c>
      <c r="C1163" s="458">
        <v>98107</v>
      </c>
    </row>
    <row r="1164" spans="2:3">
      <c r="B1164" s="529" t="s">
        <v>1460</v>
      </c>
      <c r="C1164" s="458">
        <v>98113</v>
      </c>
    </row>
    <row r="1165" spans="2:3">
      <c r="B1165" s="529" t="s">
        <v>1579</v>
      </c>
      <c r="C1165" s="458">
        <v>99602</v>
      </c>
    </row>
    <row r="1166" spans="2:3">
      <c r="B1166" s="529" t="s">
        <v>1036</v>
      </c>
      <c r="C1166" s="458">
        <v>93401</v>
      </c>
    </row>
    <row r="1167" spans="2:3">
      <c r="B1167" s="529" t="s">
        <v>1290</v>
      </c>
      <c r="C1167" s="458">
        <v>96381</v>
      </c>
    </row>
    <row r="1168" spans="2:3">
      <c r="B1168" s="529" t="s">
        <v>1050</v>
      </c>
      <c r="C1168" s="458">
        <v>93501</v>
      </c>
    </row>
    <row r="1169" spans="2:3">
      <c r="B1169" s="529" t="s">
        <v>1052</v>
      </c>
      <c r="C1169" s="458">
        <v>93517</v>
      </c>
    </row>
    <row r="1170" spans="2:3">
      <c r="B1170" s="529" t="s">
        <v>1554</v>
      </c>
      <c r="C1170" s="458">
        <v>99252</v>
      </c>
    </row>
    <row r="1171" spans="2:3">
      <c r="B1171" s="529" t="s">
        <v>1058</v>
      </c>
      <c r="C1171" s="458">
        <v>93601</v>
      </c>
    </row>
    <row r="1172" spans="2:3">
      <c r="B1172" s="529" t="s">
        <v>1064</v>
      </c>
      <c r="C1172" s="458">
        <v>93618</v>
      </c>
    </row>
    <row r="1173" spans="2:3">
      <c r="B1173" s="529" t="s">
        <v>1063</v>
      </c>
      <c r="C1173" s="458">
        <v>93617</v>
      </c>
    </row>
    <row r="1174" spans="2:3">
      <c r="B1174" s="529" t="s">
        <v>1075</v>
      </c>
      <c r="C1174" s="458">
        <v>93701</v>
      </c>
    </row>
    <row r="1175" spans="2:3">
      <c r="B1175" s="529" t="s">
        <v>1076</v>
      </c>
      <c r="C1175" s="458">
        <v>93704</v>
      </c>
    </row>
    <row r="1176" spans="2:3">
      <c r="B1176" s="529" t="s">
        <v>1110</v>
      </c>
      <c r="C1176" s="458">
        <v>94157</v>
      </c>
    </row>
    <row r="1177" spans="2:3">
      <c r="B1177" s="529" t="s">
        <v>914</v>
      </c>
      <c r="C1177" s="458">
        <v>91908</v>
      </c>
    </row>
    <row r="1178" spans="2:3">
      <c r="B1178" s="529" t="s">
        <v>1078</v>
      </c>
      <c r="C1178" s="458">
        <v>93803</v>
      </c>
    </row>
    <row r="1179" spans="2:3">
      <c r="B1179" s="529" t="s">
        <v>1077</v>
      </c>
      <c r="C1179" s="458">
        <v>93801</v>
      </c>
    </row>
    <row r="1180" spans="2:3">
      <c r="B1180" s="529" t="s">
        <v>1079</v>
      </c>
      <c r="C1180" s="458">
        <v>93806</v>
      </c>
    </row>
    <row r="1181" spans="2:3">
      <c r="B1181" s="529" t="s">
        <v>870</v>
      </c>
      <c r="C1181" s="458">
        <v>91417</v>
      </c>
    </row>
    <row r="1182" spans="2:3">
      <c r="B1182" s="529" t="s">
        <v>1082</v>
      </c>
      <c r="C1182" s="458">
        <v>93904</v>
      </c>
    </row>
    <row r="1183" spans="2:3">
      <c r="B1183" s="529" t="s">
        <v>1081</v>
      </c>
      <c r="C1183" s="458">
        <v>93901</v>
      </c>
    </row>
    <row r="1184" spans="2:3">
      <c r="B1184" s="529" t="s">
        <v>1083</v>
      </c>
      <c r="C1184" s="458">
        <v>93906</v>
      </c>
    </row>
    <row r="1185" spans="2:3">
      <c r="B1185" s="529" t="s">
        <v>1084</v>
      </c>
      <c r="C1185" s="458">
        <v>93908</v>
      </c>
    </row>
    <row r="1186" spans="2:3">
      <c r="B1186" s="529" t="s">
        <v>1091</v>
      </c>
      <c r="C1186" s="458">
        <v>94001</v>
      </c>
    </row>
    <row r="1187" spans="2:3">
      <c r="B1187" s="529" t="s">
        <v>1093</v>
      </c>
      <c r="C1187" s="458">
        <v>94004</v>
      </c>
    </row>
    <row r="1188" spans="2:3">
      <c r="B1188" s="529" t="s">
        <v>1104</v>
      </c>
      <c r="C1188" s="458">
        <v>94117</v>
      </c>
    </row>
    <row r="1189" spans="2:3">
      <c r="B1189" s="529" t="s">
        <v>1373</v>
      </c>
      <c r="C1189" s="458">
        <v>97413</v>
      </c>
    </row>
    <row r="1190" spans="2:3">
      <c r="B1190" s="529" t="s">
        <v>1372</v>
      </c>
      <c r="C1190" s="458">
        <v>97412</v>
      </c>
    </row>
    <row r="1191" spans="2:3">
      <c r="B1191" s="529" t="s">
        <v>1098</v>
      </c>
      <c r="C1191" s="458">
        <v>94101</v>
      </c>
    </row>
    <row r="1192" spans="2:3">
      <c r="B1192" s="529" t="s">
        <v>1105</v>
      </c>
      <c r="C1192" s="458">
        <v>94118</v>
      </c>
    </row>
    <row r="1193" spans="2:3">
      <c r="B1193" s="529" t="s">
        <v>1099</v>
      </c>
      <c r="C1193" s="458">
        <v>94102</v>
      </c>
    </row>
    <row r="1194" spans="2:3">
      <c r="B1194" s="529" t="s">
        <v>1115</v>
      </c>
      <c r="C1194" s="458">
        <v>94201</v>
      </c>
    </row>
    <row r="1195" spans="2:3">
      <c r="B1195" s="529" t="s">
        <v>1116</v>
      </c>
      <c r="C1195" s="458">
        <v>94204</v>
      </c>
    </row>
    <row r="1196" spans="2:3">
      <c r="B1196" s="529" t="s">
        <v>1117</v>
      </c>
      <c r="C1196" s="458">
        <v>94205</v>
      </c>
    </row>
    <row r="1197" spans="2:3">
      <c r="B1197" s="529" t="s">
        <v>1404</v>
      </c>
      <c r="C1197" s="458">
        <v>97717</v>
      </c>
    </row>
    <row r="1198" spans="2:3">
      <c r="B1198" s="529" t="s">
        <v>1125</v>
      </c>
      <c r="C1198" s="458">
        <v>94301</v>
      </c>
    </row>
    <row r="1199" spans="2:3">
      <c r="B1199" s="529" t="s">
        <v>1134</v>
      </c>
      <c r="C1199" s="458">
        <v>94401</v>
      </c>
    </row>
    <row r="1200" spans="2:3">
      <c r="B1200" s="529" t="s">
        <v>1136</v>
      </c>
      <c r="C1200" s="458">
        <v>94403</v>
      </c>
    </row>
    <row r="1201" spans="2:3">
      <c r="B1201" s="529" t="s">
        <v>2019</v>
      </c>
      <c r="C1201" s="458">
        <v>94501</v>
      </c>
    </row>
    <row r="1202" spans="2:3">
      <c r="B1202" s="529" t="s">
        <v>1148</v>
      </c>
      <c r="C1202" s="458">
        <v>94517</v>
      </c>
    </row>
    <row r="1203" spans="2:3">
      <c r="B1203" s="529" t="s">
        <v>1156</v>
      </c>
      <c r="C1203" s="458">
        <v>94601</v>
      </c>
    </row>
    <row r="1204" spans="2:3">
      <c r="B1204" s="529" t="s">
        <v>1157</v>
      </c>
      <c r="C1204" s="458">
        <v>94604</v>
      </c>
    </row>
    <row r="1205" spans="2:3">
      <c r="B1205" s="529" t="s">
        <v>1158</v>
      </c>
      <c r="C1205" s="458">
        <v>94606</v>
      </c>
    </row>
    <row r="1206" spans="2:3">
      <c r="B1206" s="529" t="s">
        <v>1360</v>
      </c>
      <c r="C1206" s="458">
        <v>97213</v>
      </c>
    </row>
    <row r="1207" spans="2:3">
      <c r="B1207" s="529" t="s">
        <v>900</v>
      </c>
      <c r="C1207" s="458">
        <v>91812</v>
      </c>
    </row>
    <row r="1208" spans="2:3">
      <c r="B1208" s="529" t="s">
        <v>901</v>
      </c>
      <c r="C1208" s="458">
        <v>91813</v>
      </c>
    </row>
    <row r="1209" spans="2:3">
      <c r="B1209" s="529" t="s">
        <v>766</v>
      </c>
      <c r="C1209" s="458">
        <v>90617</v>
      </c>
    </row>
    <row r="1210" spans="2:3">
      <c r="B1210" s="529" t="s">
        <v>1107</v>
      </c>
      <c r="C1210" s="458">
        <v>94127</v>
      </c>
    </row>
    <row r="1211" spans="2:3">
      <c r="B1211" s="529" t="s">
        <v>1228</v>
      </c>
      <c r="C1211" s="458">
        <v>95617</v>
      </c>
    </row>
    <row r="1212" spans="2:3">
      <c r="B1212" s="529" t="s">
        <v>1163</v>
      </c>
      <c r="C1212" s="458">
        <v>94701</v>
      </c>
    </row>
    <row r="1213" spans="2:3">
      <c r="B1213" s="529" t="s">
        <v>1164</v>
      </c>
      <c r="C1213" s="458">
        <v>94704</v>
      </c>
    </row>
    <row r="1214" spans="2:3">
      <c r="B1214" s="529" t="s">
        <v>1329</v>
      </c>
      <c r="C1214" s="458">
        <v>96733</v>
      </c>
    </row>
    <row r="1215" spans="2:3">
      <c r="B1215" s="529" t="s">
        <v>1233</v>
      </c>
      <c r="C1215" s="458">
        <v>95733</v>
      </c>
    </row>
    <row r="1216" spans="2:3">
      <c r="B1216" s="529" t="s">
        <v>1217</v>
      </c>
      <c r="C1216" s="458">
        <v>95413</v>
      </c>
    </row>
    <row r="1217" spans="2:3">
      <c r="B1217" s="529" t="s">
        <v>1444</v>
      </c>
      <c r="C1217" s="458">
        <v>98013</v>
      </c>
    </row>
    <row r="1218" spans="2:3">
      <c r="B1218" s="529" t="s">
        <v>1585</v>
      </c>
      <c r="C1218" s="458">
        <v>99613</v>
      </c>
    </row>
    <row r="1219" spans="2:3">
      <c r="B1219" s="452" t="s">
        <v>3785</v>
      </c>
      <c r="C1219" s="458">
        <v>97813</v>
      </c>
    </row>
    <row r="1220" spans="2:3">
      <c r="B1220" s="529" t="s">
        <v>1166</v>
      </c>
      <c r="C1220" s="458">
        <v>94801</v>
      </c>
    </row>
    <row r="1221" spans="2:3">
      <c r="B1221" s="529" t="s">
        <v>1167</v>
      </c>
      <c r="C1221" s="458">
        <v>94804</v>
      </c>
    </row>
    <row r="1222" spans="2:3">
      <c r="B1222" s="529" t="s">
        <v>1521</v>
      </c>
      <c r="C1222" s="458">
        <v>99014</v>
      </c>
    </row>
    <row r="1223" spans="2:3">
      <c r="B1223" s="529" t="s">
        <v>3723</v>
      </c>
      <c r="C1223" s="458">
        <v>96003</v>
      </c>
    </row>
    <row r="1224" spans="2:3">
      <c r="B1224" s="529" t="s">
        <v>1169</v>
      </c>
      <c r="C1224" s="458">
        <v>94901</v>
      </c>
    </row>
    <row r="1225" spans="2:3">
      <c r="B1225" s="529" t="s">
        <v>3610</v>
      </c>
      <c r="C1225" s="458">
        <v>94908</v>
      </c>
    </row>
    <row r="1226" spans="2:3">
      <c r="B1226" s="529" t="s">
        <v>1458</v>
      </c>
      <c r="C1226" s="458">
        <v>98109</v>
      </c>
    </row>
    <row r="1227" spans="2:3">
      <c r="B1227" s="529" t="s">
        <v>1467</v>
      </c>
      <c r="C1227" s="458">
        <v>98205</v>
      </c>
    </row>
    <row r="1228" spans="2:3">
      <c r="B1228" s="529" t="s">
        <v>1178</v>
      </c>
      <c r="C1228" s="458">
        <v>95001</v>
      </c>
    </row>
    <row r="1229" spans="2:3">
      <c r="B1229" s="529" t="s">
        <v>1184</v>
      </c>
      <c r="C1229" s="458">
        <v>95017</v>
      </c>
    </row>
    <row r="1230" spans="2:3">
      <c r="B1230" s="529" t="s">
        <v>3719</v>
      </c>
      <c r="C1230" s="458">
        <v>95010</v>
      </c>
    </row>
    <row r="1231" spans="2:3">
      <c r="B1231" s="529" t="s">
        <v>1185</v>
      </c>
      <c r="C1231" s="458">
        <v>95101</v>
      </c>
    </row>
    <row r="1232" spans="2:3">
      <c r="B1232" s="529" t="s">
        <v>1187</v>
      </c>
      <c r="C1232" s="458">
        <v>95104</v>
      </c>
    </row>
    <row r="1233" spans="2:3">
      <c r="B1233" s="529" t="s">
        <v>1190</v>
      </c>
      <c r="C1233" s="458">
        <v>95110</v>
      </c>
    </row>
    <row r="1234" spans="2:3">
      <c r="B1234" s="529" t="s">
        <v>1203</v>
      </c>
      <c r="C1234" s="458">
        <v>95201</v>
      </c>
    </row>
    <row r="1235" spans="2:3">
      <c r="B1235" s="529" t="s">
        <v>1204</v>
      </c>
      <c r="C1235" s="458">
        <v>95204</v>
      </c>
    </row>
    <row r="1236" spans="2:3">
      <c r="B1236" s="529" t="s">
        <v>1137</v>
      </c>
      <c r="C1236" s="458">
        <v>94408</v>
      </c>
    </row>
    <row r="1237" spans="2:3">
      <c r="B1237" s="529" t="s">
        <v>1007</v>
      </c>
      <c r="C1237" s="458">
        <v>93127</v>
      </c>
    </row>
    <row r="1238" spans="2:3">
      <c r="B1238" s="529" t="s">
        <v>1535</v>
      </c>
      <c r="C1238" s="458">
        <v>99110</v>
      </c>
    </row>
    <row r="1239" spans="2:3">
      <c r="B1239" s="529" t="s">
        <v>1534</v>
      </c>
      <c r="C1239" s="458">
        <v>99109</v>
      </c>
    </row>
    <row r="1240" spans="2:3">
      <c r="B1240" s="529" t="s">
        <v>934</v>
      </c>
      <c r="C1240" s="458">
        <v>92327</v>
      </c>
    </row>
    <row r="1241" spans="2:3">
      <c r="B1241" s="529" t="s">
        <v>1218</v>
      </c>
      <c r="C1241" s="458">
        <v>95415</v>
      </c>
    </row>
    <row r="1242" spans="2:3">
      <c r="B1242" s="452" t="s">
        <v>3786</v>
      </c>
      <c r="C1242" s="458">
        <v>95416</v>
      </c>
    </row>
    <row r="1243" spans="2:3">
      <c r="B1243" s="529" t="s">
        <v>943</v>
      </c>
      <c r="C1243" s="458">
        <v>92427</v>
      </c>
    </row>
    <row r="1244" spans="2:3">
      <c r="B1244" s="529" t="s">
        <v>826</v>
      </c>
      <c r="C1244" s="458">
        <v>91102</v>
      </c>
    </row>
    <row r="1245" spans="2:3">
      <c r="B1245" s="529" t="s">
        <v>1150</v>
      </c>
      <c r="C1245" s="458">
        <v>94527</v>
      </c>
    </row>
    <row r="1246" spans="2:3">
      <c r="B1246" s="529" t="s">
        <v>1481</v>
      </c>
      <c r="C1246" s="458">
        <v>98313</v>
      </c>
    </row>
    <row r="1247" spans="2:3">
      <c r="B1247" s="529" t="s">
        <v>1479</v>
      </c>
      <c r="C1247" s="458">
        <v>98308</v>
      </c>
    </row>
    <row r="1248" spans="2:3">
      <c r="B1248" s="529" t="s">
        <v>1208</v>
      </c>
      <c r="C1248" s="458">
        <v>95301</v>
      </c>
    </row>
    <row r="1249" spans="2:3">
      <c r="B1249" s="529" t="s">
        <v>1212</v>
      </c>
      <c r="C1249" s="458">
        <v>95401</v>
      </c>
    </row>
    <row r="1250" spans="2:3">
      <c r="B1250" s="529" t="s">
        <v>1213</v>
      </c>
      <c r="C1250" s="458">
        <v>95404</v>
      </c>
    </row>
    <row r="1251" spans="2:3">
      <c r="B1251" s="529" t="s">
        <v>872</v>
      </c>
      <c r="C1251" s="458">
        <v>91423</v>
      </c>
    </row>
    <row r="1252" spans="2:3">
      <c r="B1252" s="529" t="s">
        <v>994</v>
      </c>
      <c r="C1252" s="458">
        <v>92917</v>
      </c>
    </row>
    <row r="1253" spans="2:3">
      <c r="B1253" s="529" t="s">
        <v>1396</v>
      </c>
      <c r="C1253" s="458">
        <v>97637</v>
      </c>
    </row>
    <row r="1254" spans="2:3">
      <c r="B1254" s="529" t="s">
        <v>1221</v>
      </c>
      <c r="C1254" s="458">
        <v>95501</v>
      </c>
    </row>
    <row r="1255" spans="2:3">
      <c r="B1255" s="529" t="s">
        <v>1222</v>
      </c>
      <c r="C1255" s="458">
        <v>95504</v>
      </c>
    </row>
    <row r="1256" spans="2:3">
      <c r="B1256" s="529" t="s">
        <v>1224</v>
      </c>
      <c r="C1256" s="458">
        <v>95513</v>
      </c>
    </row>
    <row r="1257" spans="2:3">
      <c r="B1257" s="529" t="s">
        <v>3758</v>
      </c>
      <c r="C1257" s="458">
        <v>99219</v>
      </c>
    </row>
    <row r="1258" spans="2:3">
      <c r="B1258" s="529" t="s">
        <v>1485</v>
      </c>
      <c r="C1258" s="458">
        <v>98404</v>
      </c>
    </row>
    <row r="1259" spans="2:3">
      <c r="B1259" s="529" t="s">
        <v>1054</v>
      </c>
      <c r="C1259" s="458">
        <v>93527</v>
      </c>
    </row>
    <row r="1260" spans="2:3">
      <c r="B1260" s="529" t="s">
        <v>1306</v>
      </c>
      <c r="C1260" s="458">
        <v>96508</v>
      </c>
    </row>
    <row r="1261" spans="2:3">
      <c r="B1261" s="529" t="s">
        <v>1409</v>
      </c>
      <c r="C1261" s="458">
        <v>97802</v>
      </c>
    </row>
    <row r="1262" spans="2:3">
      <c r="B1262" s="529" t="s">
        <v>1413</v>
      </c>
      <c r="C1262" s="458">
        <v>97817</v>
      </c>
    </row>
    <row r="1263" spans="2:3">
      <c r="B1263" s="529" t="s">
        <v>1414</v>
      </c>
      <c r="C1263" s="458">
        <v>97818</v>
      </c>
    </row>
    <row r="1264" spans="2:3">
      <c r="B1264" s="529" t="s">
        <v>1226</v>
      </c>
      <c r="C1264" s="458">
        <v>95601</v>
      </c>
    </row>
    <row r="1265" spans="2:3">
      <c r="B1265" s="529" t="s">
        <v>1434</v>
      </c>
      <c r="C1265" s="458">
        <v>97947</v>
      </c>
    </row>
    <row r="1266" spans="2:3">
      <c r="B1266" s="529" t="s">
        <v>1230</v>
      </c>
      <c r="C1266" s="458">
        <v>95701</v>
      </c>
    </row>
    <row r="1267" spans="2:3">
      <c r="B1267" s="529" t="s">
        <v>1435</v>
      </c>
      <c r="C1267" s="458">
        <v>97948</v>
      </c>
    </row>
    <row r="1268" spans="2:3">
      <c r="B1268" s="529" t="s">
        <v>1141</v>
      </c>
      <c r="C1268" s="458">
        <v>94427</v>
      </c>
    </row>
    <row r="1269" spans="2:3">
      <c r="B1269" s="529" t="s">
        <v>1142</v>
      </c>
      <c r="C1269" s="458">
        <v>94428</v>
      </c>
    </row>
    <row r="1270" spans="2:3">
      <c r="B1270" s="529" t="s">
        <v>1247</v>
      </c>
      <c r="C1270" s="458">
        <v>95917</v>
      </c>
    </row>
    <row r="1271" spans="2:3">
      <c r="B1271" s="529" t="s">
        <v>1235</v>
      </c>
      <c r="C1271" s="458">
        <v>95802</v>
      </c>
    </row>
    <row r="1272" spans="2:3">
      <c r="B1272" s="529" t="s">
        <v>1234</v>
      </c>
      <c r="C1272" s="458">
        <v>95801</v>
      </c>
    </row>
    <row r="1273" spans="2:3">
      <c r="B1273" s="529" t="s">
        <v>1236</v>
      </c>
      <c r="C1273" s="458">
        <v>95804</v>
      </c>
    </row>
    <row r="1274" spans="2:3">
      <c r="B1274" s="529" t="s">
        <v>730</v>
      </c>
      <c r="C1274" s="458">
        <v>90092</v>
      </c>
    </row>
    <row r="1275" spans="2:3">
      <c r="B1275" s="529" t="s">
        <v>1092</v>
      </c>
      <c r="C1275" s="458">
        <v>94002</v>
      </c>
    </row>
    <row r="1276" spans="2:3">
      <c r="B1276" s="529" t="s">
        <v>1421</v>
      </c>
      <c r="C1276" s="458">
        <v>97847</v>
      </c>
    </row>
    <row r="1277" spans="2:3">
      <c r="B1277" s="529" t="s">
        <v>1244</v>
      </c>
      <c r="C1277" s="458">
        <v>95901</v>
      </c>
    </row>
    <row r="1278" spans="2:3">
      <c r="B1278" s="529" t="s">
        <v>1249</v>
      </c>
      <c r="C1278" s="458">
        <v>96001</v>
      </c>
    </row>
    <row r="1279" spans="2:3">
      <c r="B1279" s="529" t="s">
        <v>1251</v>
      </c>
      <c r="C1279" s="458">
        <v>96004</v>
      </c>
    </row>
    <row r="1280" spans="2:3">
      <c r="B1280" s="529" t="s">
        <v>1253</v>
      </c>
      <c r="C1280" s="458">
        <v>96008</v>
      </c>
    </row>
    <row r="1281" spans="2:3">
      <c r="B1281" s="529" t="s">
        <v>829</v>
      </c>
      <c r="C1281" s="458">
        <v>91108</v>
      </c>
    </row>
    <row r="1282" spans="2:3">
      <c r="B1282" s="529" t="s">
        <v>1177</v>
      </c>
      <c r="C1282" s="458">
        <v>94941</v>
      </c>
    </row>
    <row r="1283" spans="2:3">
      <c r="B1283" s="529" t="s">
        <v>967</v>
      </c>
      <c r="C1283" s="458">
        <v>92607</v>
      </c>
    </row>
    <row r="1284" spans="2:3">
      <c r="B1284" s="529" t="s">
        <v>774</v>
      </c>
      <c r="C1284" s="458">
        <v>90709</v>
      </c>
    </row>
    <row r="1285" spans="2:3">
      <c r="B1285" s="529" t="s">
        <v>1265</v>
      </c>
      <c r="C1285" s="458">
        <v>96101</v>
      </c>
    </row>
    <row r="1286" spans="2:3">
      <c r="B1286" s="529" t="s">
        <v>1266</v>
      </c>
      <c r="C1286" s="458">
        <v>96102</v>
      </c>
    </row>
    <row r="1287" spans="2:3">
      <c r="B1287" s="529" t="s">
        <v>3609</v>
      </c>
      <c r="C1287" s="458">
        <v>93028</v>
      </c>
    </row>
    <row r="1288" spans="2:3">
      <c r="B1288" s="529" t="s">
        <v>1522</v>
      </c>
      <c r="C1288" s="458">
        <v>99017</v>
      </c>
    </row>
    <row r="1289" spans="2:3">
      <c r="B1289" s="529" t="s">
        <v>3771</v>
      </c>
      <c r="C1289" s="458">
        <v>94417</v>
      </c>
    </row>
    <row r="1290" spans="2:3">
      <c r="B1290" s="529" t="s">
        <v>1269</v>
      </c>
      <c r="C1290" s="458">
        <v>96201</v>
      </c>
    </row>
    <row r="1291" spans="2:3">
      <c r="B1291" s="529" t="s">
        <v>1270</v>
      </c>
      <c r="C1291" s="458">
        <v>96204</v>
      </c>
    </row>
    <row r="1292" spans="2:3">
      <c r="B1292" s="529" t="s">
        <v>1276</v>
      </c>
      <c r="C1292" s="458">
        <v>96301</v>
      </c>
    </row>
    <row r="1293" spans="2:3">
      <c r="B1293" s="529" t="s">
        <v>1278</v>
      </c>
      <c r="C1293" s="458">
        <v>96304</v>
      </c>
    </row>
    <row r="1294" spans="2:3">
      <c r="B1294" s="529" t="s">
        <v>1280</v>
      </c>
      <c r="C1294" s="458">
        <v>96310</v>
      </c>
    </row>
    <row r="1295" spans="2:3">
      <c r="B1295" s="529" t="s">
        <v>1279</v>
      </c>
      <c r="C1295" s="458">
        <v>96305</v>
      </c>
    </row>
    <row r="1296" spans="2:3">
      <c r="B1296" s="529" t="s">
        <v>1175</v>
      </c>
      <c r="C1296" s="458">
        <v>94927</v>
      </c>
    </row>
    <row r="1297" spans="2:3">
      <c r="B1297" s="529" t="s">
        <v>1174</v>
      </c>
      <c r="C1297" s="458">
        <v>94923</v>
      </c>
    </row>
    <row r="1298" spans="2:3">
      <c r="B1298" s="529" t="s">
        <v>851</v>
      </c>
      <c r="C1298" s="458">
        <v>91217</v>
      </c>
    </row>
    <row r="1299" spans="2:3">
      <c r="B1299" s="529" t="s">
        <v>854</v>
      </c>
      <c r="C1299" s="458">
        <v>91233</v>
      </c>
    </row>
    <row r="1300" spans="2:3">
      <c r="B1300" s="529" t="s">
        <v>1507</v>
      </c>
      <c r="C1300" s="458">
        <v>98637</v>
      </c>
    </row>
    <row r="1301" spans="2:3">
      <c r="B1301" s="529" t="s">
        <v>1587</v>
      </c>
      <c r="C1301" s="458">
        <v>99623</v>
      </c>
    </row>
    <row r="1302" spans="2:3">
      <c r="B1302" s="529" t="s">
        <v>865</v>
      </c>
      <c r="C1302" s="458">
        <v>91327</v>
      </c>
    </row>
    <row r="1303" spans="2:3">
      <c r="B1303" s="529" t="s">
        <v>921</v>
      </c>
      <c r="C1303" s="458">
        <v>92017</v>
      </c>
    </row>
    <row r="1304" spans="2:3">
      <c r="B1304" s="529" t="s">
        <v>1612</v>
      </c>
      <c r="C1304" s="458">
        <v>99991</v>
      </c>
    </row>
    <row r="1305" spans="2:3">
      <c r="B1305" s="529" t="s">
        <v>1613</v>
      </c>
      <c r="C1305" s="458">
        <v>99999</v>
      </c>
    </row>
    <row r="1306" spans="2:3">
      <c r="B1306" s="529" t="s">
        <v>919</v>
      </c>
      <c r="C1306" s="458">
        <v>92005</v>
      </c>
    </row>
    <row r="1307" spans="2:3">
      <c r="B1307" s="529" t="s">
        <v>1292</v>
      </c>
      <c r="C1307" s="458">
        <v>96401</v>
      </c>
    </row>
    <row r="1308" spans="2:3">
      <c r="B1308" s="529" t="s">
        <v>1293</v>
      </c>
      <c r="C1308" s="458">
        <v>96404</v>
      </c>
    </row>
    <row r="1309" spans="2:3">
      <c r="B1309" s="529" t="s">
        <v>1214</v>
      </c>
      <c r="C1309" s="458">
        <v>95405</v>
      </c>
    </row>
    <row r="1310" spans="2:3">
      <c r="B1310" s="529" t="s">
        <v>1094</v>
      </c>
      <c r="C1310" s="458">
        <v>94005</v>
      </c>
    </row>
    <row r="1311" spans="2:3">
      <c r="B1311" s="529" t="s">
        <v>1205</v>
      </c>
      <c r="C1311" s="458">
        <v>95205</v>
      </c>
    </row>
    <row r="1312" spans="2:3">
      <c r="B1312" s="529" t="s">
        <v>954</v>
      </c>
      <c r="C1312" s="458">
        <v>92507</v>
      </c>
    </row>
    <row r="1313" spans="2:3">
      <c r="B1313" s="529" t="s">
        <v>1302</v>
      </c>
      <c r="C1313" s="458">
        <v>96502</v>
      </c>
    </row>
    <row r="1314" spans="2:3">
      <c r="B1314" s="529" t="s">
        <v>1301</v>
      </c>
      <c r="C1314" s="458">
        <v>96501</v>
      </c>
    </row>
    <row r="1315" spans="2:3">
      <c r="B1315" s="529" t="s">
        <v>1304</v>
      </c>
      <c r="C1315" s="458">
        <v>96504</v>
      </c>
    </row>
    <row r="1316" spans="2:3">
      <c r="B1316" s="529" t="s">
        <v>1312</v>
      </c>
      <c r="C1316" s="458">
        <v>96601</v>
      </c>
    </row>
    <row r="1317" spans="2:3">
      <c r="B1317" s="529" t="s">
        <v>1313</v>
      </c>
      <c r="C1317" s="458">
        <v>96604</v>
      </c>
    </row>
    <row r="1318" spans="2:3">
      <c r="B1318" s="529" t="s">
        <v>749</v>
      </c>
      <c r="C1318" s="458">
        <v>90305</v>
      </c>
    </row>
    <row r="1319" spans="2:3">
      <c r="B1319" s="529" t="s">
        <v>1490</v>
      </c>
      <c r="C1319" s="458">
        <v>98427</v>
      </c>
    </row>
    <row r="1320" spans="2:3">
      <c r="B1320" s="529" t="s">
        <v>812</v>
      </c>
      <c r="C1320" s="458">
        <v>91027</v>
      </c>
    </row>
    <row r="1321" spans="2:3">
      <c r="B1321" s="529" t="s">
        <v>820</v>
      </c>
      <c r="C1321" s="458">
        <v>91067</v>
      </c>
    </row>
    <row r="1322" spans="2:3">
      <c r="B1322" s="529" t="s">
        <v>1168</v>
      </c>
      <c r="C1322" s="458">
        <v>94812</v>
      </c>
    </row>
    <row r="1323" spans="2:3">
      <c r="B1323" s="529" t="s">
        <v>1323</v>
      </c>
      <c r="C1323" s="458">
        <v>96701</v>
      </c>
    </row>
    <row r="1324" spans="2:3">
      <c r="B1324" s="529" t="s">
        <v>1324</v>
      </c>
      <c r="C1324" s="458">
        <v>96704</v>
      </c>
    </row>
    <row r="1325" spans="2:3">
      <c r="B1325" s="529" t="s">
        <v>1325</v>
      </c>
      <c r="C1325" s="458">
        <v>96708</v>
      </c>
    </row>
    <row r="1326" spans="2:3">
      <c r="B1326" s="529" t="s">
        <v>1332</v>
      </c>
      <c r="C1326" s="458">
        <v>96801</v>
      </c>
    </row>
    <row r="1327" spans="2:3">
      <c r="B1327" s="529" t="s">
        <v>1333</v>
      </c>
      <c r="C1327" s="458">
        <v>96804</v>
      </c>
    </row>
    <row r="1328" spans="2:3">
      <c r="B1328" s="529" t="s">
        <v>1334</v>
      </c>
      <c r="C1328" s="458">
        <v>96808</v>
      </c>
    </row>
    <row r="1329" spans="2:3">
      <c r="B1329" s="529" t="s">
        <v>1087</v>
      </c>
      <c r="C1329" s="458">
        <v>93913</v>
      </c>
    </row>
    <row r="1330" spans="2:3">
      <c r="B1330" s="529" t="s">
        <v>1338</v>
      </c>
      <c r="C1330" s="458">
        <v>96901</v>
      </c>
    </row>
    <row r="1331" spans="2:3">
      <c r="B1331" s="529" t="s">
        <v>1060</v>
      </c>
      <c r="C1331" s="458">
        <v>93609</v>
      </c>
    </row>
    <row r="1332" spans="2:3">
      <c r="B1332" s="529" t="s">
        <v>1344</v>
      </c>
      <c r="C1332" s="458">
        <v>97004</v>
      </c>
    </row>
    <row r="1333" spans="2:3">
      <c r="B1333" s="529" t="s">
        <v>1342</v>
      </c>
      <c r="C1333" s="458">
        <v>97001</v>
      </c>
    </row>
    <row r="1334" spans="2:3">
      <c r="B1334" s="529" t="s">
        <v>1343</v>
      </c>
      <c r="C1334" s="458">
        <v>97002</v>
      </c>
    </row>
    <row r="1335" spans="2:3">
      <c r="B1335" s="529" t="s">
        <v>1351</v>
      </c>
      <c r="C1335" s="458">
        <v>97015</v>
      </c>
    </row>
    <row r="1336" spans="2:3">
      <c r="B1336" s="529" t="s">
        <v>1423</v>
      </c>
      <c r="C1336" s="458">
        <v>97853</v>
      </c>
    </row>
    <row r="1337" spans="2:3">
      <c r="B1337" s="529" t="s">
        <v>1353</v>
      </c>
      <c r="C1337" s="458">
        <v>97101</v>
      </c>
    </row>
    <row r="1338" spans="2:3">
      <c r="B1338" s="529" t="s">
        <v>1354</v>
      </c>
      <c r="C1338" s="458">
        <v>97104</v>
      </c>
    </row>
    <row r="1339" spans="2:3">
      <c r="B1339" s="529" t="s">
        <v>1358</v>
      </c>
      <c r="C1339" s="458">
        <v>97201</v>
      </c>
    </row>
    <row r="1340" spans="2:3">
      <c r="B1340" s="529" t="s">
        <v>1364</v>
      </c>
      <c r="C1340" s="458">
        <v>97304</v>
      </c>
    </row>
    <row r="1341" spans="2:3">
      <c r="B1341" s="529" t="s">
        <v>1363</v>
      </c>
      <c r="C1341" s="458">
        <v>97301</v>
      </c>
    </row>
    <row r="1342" spans="2:3">
      <c r="B1342" s="529" t="s">
        <v>1565</v>
      </c>
      <c r="C1342" s="458">
        <v>99405</v>
      </c>
    </row>
    <row r="1343" spans="2:3">
      <c r="B1343" s="529" t="s">
        <v>724</v>
      </c>
      <c r="C1343" s="458">
        <v>72265</v>
      </c>
    </row>
    <row r="1344" spans="2:3">
      <c r="B1344" s="529" t="s">
        <v>1103</v>
      </c>
      <c r="C1344" s="458">
        <v>94112</v>
      </c>
    </row>
    <row r="1345" spans="2:3">
      <c r="B1345" s="529" t="s">
        <v>1038</v>
      </c>
      <c r="C1345" s="458">
        <v>93406</v>
      </c>
    </row>
    <row r="1346" spans="2:3">
      <c r="B1346" s="529" t="s">
        <v>1501</v>
      </c>
      <c r="C1346" s="458">
        <v>98607</v>
      </c>
    </row>
    <row r="1347" spans="2:3">
      <c r="B1347" s="529" t="s">
        <v>1100</v>
      </c>
      <c r="C1347" s="458">
        <v>94108</v>
      </c>
    </row>
    <row r="1348" spans="2:3">
      <c r="B1348" s="529" t="s">
        <v>1366</v>
      </c>
      <c r="C1348" s="458">
        <v>97401</v>
      </c>
    </row>
    <row r="1349" spans="2:3">
      <c r="B1349" s="529" t="s">
        <v>1368</v>
      </c>
      <c r="C1349" s="458">
        <v>97404</v>
      </c>
    </row>
    <row r="1350" spans="2:3">
      <c r="B1350" s="529" t="s">
        <v>1367</v>
      </c>
      <c r="C1350" s="458">
        <v>97402</v>
      </c>
    </row>
    <row r="1351" spans="2:3">
      <c r="B1351" s="529" t="s">
        <v>1245</v>
      </c>
      <c r="C1351" s="458">
        <v>95908</v>
      </c>
    </row>
    <row r="1352" spans="2:3">
      <c r="B1352" s="529" t="s">
        <v>1567</v>
      </c>
      <c r="C1352" s="458">
        <v>99413</v>
      </c>
    </row>
    <row r="1353" spans="2:3">
      <c r="B1353" s="529" t="s">
        <v>1384</v>
      </c>
      <c r="C1353" s="458">
        <v>97501</v>
      </c>
    </row>
    <row r="1354" spans="2:3">
      <c r="B1354" s="529" t="s">
        <v>1188</v>
      </c>
      <c r="C1354" s="458">
        <v>95105</v>
      </c>
    </row>
    <row r="1355" spans="2:3">
      <c r="B1355" s="529" t="s">
        <v>971</v>
      </c>
      <c r="C1355" s="458">
        <v>92614</v>
      </c>
    </row>
    <row r="1356" spans="2:3">
      <c r="B1356" s="529" t="s">
        <v>1548</v>
      </c>
      <c r="C1356" s="458">
        <v>99218</v>
      </c>
    </row>
    <row r="1357" spans="2:3">
      <c r="B1357" s="529" t="s">
        <v>1388</v>
      </c>
      <c r="C1357" s="458">
        <v>97601</v>
      </c>
    </row>
    <row r="1358" spans="2:3">
      <c r="B1358" s="529" t="s">
        <v>1426</v>
      </c>
      <c r="C1358" s="458">
        <v>97877</v>
      </c>
    </row>
    <row r="1359" spans="2:3">
      <c r="B1359" s="529" t="s">
        <v>1571</v>
      </c>
      <c r="C1359" s="458">
        <v>99502</v>
      </c>
    </row>
    <row r="1360" spans="2:3">
      <c r="B1360" s="529" t="s">
        <v>1430</v>
      </c>
      <c r="C1360" s="458">
        <v>97917</v>
      </c>
    </row>
    <row r="1361" spans="2:3">
      <c r="B1361" s="529" t="s">
        <v>1400</v>
      </c>
      <c r="C1361" s="458">
        <v>97701</v>
      </c>
    </row>
    <row r="1362" spans="2:3">
      <c r="B1362" s="529" t="s">
        <v>1118</v>
      </c>
      <c r="C1362" s="458">
        <v>94209</v>
      </c>
    </row>
    <row r="1363" spans="2:3">
      <c r="B1363" s="529" t="s">
        <v>1243</v>
      </c>
      <c r="C1363" s="458">
        <v>95853</v>
      </c>
    </row>
    <row r="1364" spans="2:3">
      <c r="B1364" s="529" t="s">
        <v>1408</v>
      </c>
      <c r="C1364" s="458">
        <v>97801</v>
      </c>
    </row>
    <row r="1365" spans="2:3">
      <c r="B1365" s="529" t="s">
        <v>1410</v>
      </c>
      <c r="C1365" s="458">
        <v>97803</v>
      </c>
    </row>
    <row r="1366" spans="2:3">
      <c r="B1366" s="529" t="s">
        <v>1411</v>
      </c>
      <c r="C1366" s="458">
        <v>97805</v>
      </c>
    </row>
    <row r="1367" spans="2:3">
      <c r="B1367" s="529" t="s">
        <v>1427</v>
      </c>
      <c r="C1367" s="458">
        <v>97901</v>
      </c>
    </row>
    <row r="1368" spans="2:3">
      <c r="B1368" s="529" t="s">
        <v>1403</v>
      </c>
      <c r="C1368" s="458">
        <v>97713</v>
      </c>
    </row>
    <row r="1369" spans="2:3">
      <c r="B1369" s="529" t="s">
        <v>1031</v>
      </c>
      <c r="C1369" s="458">
        <v>93323</v>
      </c>
    </row>
    <row r="1370" spans="2:3">
      <c r="B1370" s="529" t="s">
        <v>1033</v>
      </c>
      <c r="C1370" s="458">
        <v>93333</v>
      </c>
    </row>
    <row r="1371" spans="2:3">
      <c r="B1371" s="529" t="s">
        <v>1472</v>
      </c>
      <c r="C1371" s="458">
        <v>98237</v>
      </c>
    </row>
    <row r="1372" spans="2:3">
      <c r="B1372" s="529" t="s">
        <v>1440</v>
      </c>
      <c r="C1372" s="458">
        <v>98003</v>
      </c>
    </row>
    <row r="1373" spans="2:3">
      <c r="B1373" s="529" t="s">
        <v>1442</v>
      </c>
      <c r="C1373" s="458">
        <v>98008</v>
      </c>
    </row>
    <row r="1374" spans="2:3">
      <c r="B1374" s="529" t="s">
        <v>1439</v>
      </c>
      <c r="C1374" s="458">
        <v>98002</v>
      </c>
    </row>
    <row r="1375" spans="2:3">
      <c r="B1375" s="529" t="s">
        <v>1438</v>
      </c>
      <c r="C1375" s="458">
        <v>98001</v>
      </c>
    </row>
    <row r="1376" spans="2:3">
      <c r="B1376" s="529" t="s">
        <v>1441</v>
      </c>
      <c r="C1376" s="458">
        <v>98004</v>
      </c>
    </row>
    <row r="1377" spans="2:3">
      <c r="B1377" s="529" t="s">
        <v>3611</v>
      </c>
      <c r="C1377" s="458">
        <v>97302</v>
      </c>
    </row>
    <row r="1378" spans="2:3">
      <c r="B1378" s="529" t="s">
        <v>1454</v>
      </c>
      <c r="C1378" s="458">
        <v>98101</v>
      </c>
    </row>
    <row r="1379" spans="2:3">
      <c r="B1379" s="529" t="s">
        <v>1466</v>
      </c>
      <c r="C1379" s="458">
        <v>98201</v>
      </c>
    </row>
    <row r="1380" spans="2:3">
      <c r="B1380" s="529" t="s">
        <v>1401</v>
      </c>
      <c r="C1380" s="458">
        <v>97705</v>
      </c>
    </row>
    <row r="1381" spans="2:3">
      <c r="B1381" s="529" t="s">
        <v>1283</v>
      </c>
      <c r="C1381" s="458">
        <v>96318</v>
      </c>
    </row>
    <row r="1382" spans="2:3">
      <c r="B1382" s="529" t="s">
        <v>1210</v>
      </c>
      <c r="C1382" s="458">
        <v>95317</v>
      </c>
    </row>
    <row r="1383" spans="2:3">
      <c r="B1383" s="529" t="s">
        <v>1477</v>
      </c>
      <c r="C1383" s="458">
        <v>98301</v>
      </c>
    </row>
    <row r="1384" spans="2:3">
      <c r="B1384" s="529" t="s">
        <v>1478</v>
      </c>
      <c r="C1384" s="458">
        <v>98304</v>
      </c>
    </row>
    <row r="1385" spans="2:3">
      <c r="B1385" s="529" t="s">
        <v>1195</v>
      </c>
      <c r="C1385" s="458">
        <v>95123</v>
      </c>
    </row>
    <row r="1386" spans="2:3">
      <c r="B1386" s="529" t="s">
        <v>818</v>
      </c>
      <c r="C1386" s="458">
        <v>91057</v>
      </c>
    </row>
    <row r="1387" spans="2:3">
      <c r="B1387" s="529" t="s">
        <v>932</v>
      </c>
      <c r="C1387" s="458">
        <v>92317</v>
      </c>
    </row>
    <row r="1388" spans="2:3">
      <c r="B1388" s="529" t="s">
        <v>1369</v>
      </c>
      <c r="C1388" s="458">
        <v>97405</v>
      </c>
    </row>
    <row r="1389" spans="2:3">
      <c r="B1389" s="529" t="s">
        <v>916</v>
      </c>
      <c r="C1389" s="458">
        <v>91917</v>
      </c>
    </row>
    <row r="1390" spans="2:3">
      <c r="B1390" s="529" t="s">
        <v>836</v>
      </c>
      <c r="C1390" s="458">
        <v>91138</v>
      </c>
    </row>
    <row r="1391" spans="2:3">
      <c r="B1391" s="529" t="s">
        <v>1192</v>
      </c>
      <c r="C1391" s="458">
        <v>95113</v>
      </c>
    </row>
    <row r="1392" spans="2:3">
      <c r="B1392" s="529" t="s">
        <v>791</v>
      </c>
      <c r="C1392" s="458">
        <v>90918</v>
      </c>
    </row>
    <row r="1393" spans="2:3">
      <c r="B1393" s="529" t="s">
        <v>1085</v>
      </c>
      <c r="C1393" s="458">
        <v>93910</v>
      </c>
    </row>
    <row r="1394" spans="2:3">
      <c r="B1394" s="529" t="s">
        <v>806</v>
      </c>
      <c r="C1394" s="458">
        <v>91013</v>
      </c>
    </row>
    <row r="1395" spans="2:3">
      <c r="B1395" s="529" t="s">
        <v>1582</v>
      </c>
      <c r="C1395" s="458">
        <v>99609</v>
      </c>
    </row>
    <row r="1396" spans="2:3">
      <c r="B1396" s="529" t="s">
        <v>2009</v>
      </c>
      <c r="C1396" s="458">
        <v>91017</v>
      </c>
    </row>
    <row r="1397" spans="2:3">
      <c r="B1397" s="529" t="s">
        <v>1181</v>
      </c>
      <c r="C1397" s="458">
        <v>95008</v>
      </c>
    </row>
    <row r="1398" spans="2:3">
      <c r="B1398" s="529" t="s">
        <v>1418</v>
      </c>
      <c r="C1398" s="458">
        <v>97837</v>
      </c>
    </row>
    <row r="1399" spans="2:3">
      <c r="B1399" s="529" t="s">
        <v>1484</v>
      </c>
      <c r="C1399" s="458">
        <v>98401</v>
      </c>
    </row>
    <row r="1400" spans="2:3">
      <c r="B1400" s="529" t="s">
        <v>1172</v>
      </c>
      <c r="C1400" s="458">
        <v>94917</v>
      </c>
    </row>
    <row r="1401" spans="2:3">
      <c r="B1401" s="529" t="s">
        <v>1495</v>
      </c>
      <c r="C1401" s="458">
        <v>98501</v>
      </c>
    </row>
    <row r="1402" spans="2:3">
      <c r="B1402" s="529" t="s">
        <v>1114</v>
      </c>
      <c r="C1402" s="458">
        <v>94172</v>
      </c>
    </row>
    <row r="1403" spans="2:3">
      <c r="B1403" s="529" t="s">
        <v>1499</v>
      </c>
      <c r="C1403" s="458">
        <v>98601</v>
      </c>
    </row>
    <row r="1404" spans="2:3">
      <c r="B1404" s="529" t="s">
        <v>1509</v>
      </c>
      <c r="C1404" s="458">
        <v>98701</v>
      </c>
    </row>
    <row r="1405" spans="2:3">
      <c r="B1405" s="529" t="s">
        <v>1029</v>
      </c>
      <c r="C1405" s="458">
        <v>93317</v>
      </c>
    </row>
    <row r="1406" spans="2:3">
      <c r="B1406" s="529" t="s">
        <v>723</v>
      </c>
      <c r="C1406" s="458">
        <v>70505</v>
      </c>
    </row>
    <row r="1407" spans="2:3">
      <c r="B1407" s="529" t="s">
        <v>927</v>
      </c>
      <c r="C1407" s="458">
        <v>92113</v>
      </c>
    </row>
    <row r="1408" spans="2:3">
      <c r="B1408" s="529" t="s">
        <v>1429</v>
      </c>
      <c r="C1408" s="458">
        <v>97913</v>
      </c>
    </row>
    <row r="1409" spans="2:3">
      <c r="B1409" s="529" t="s">
        <v>906</v>
      </c>
      <c r="C1409" s="458">
        <v>91841</v>
      </c>
    </row>
    <row r="1410" spans="2:3">
      <c r="B1410" s="529" t="s">
        <v>1151</v>
      </c>
      <c r="C1410" s="458">
        <v>94531</v>
      </c>
    </row>
    <row r="1411" spans="2:3">
      <c r="B1411" s="529" t="s">
        <v>993</v>
      </c>
      <c r="C1411" s="458">
        <v>92914</v>
      </c>
    </row>
    <row r="1412" spans="2:3">
      <c r="B1412" s="529" t="s">
        <v>992</v>
      </c>
      <c r="C1412" s="458">
        <v>92913</v>
      </c>
    </row>
    <row r="1413" spans="2:3">
      <c r="B1413" s="529" t="s">
        <v>732</v>
      </c>
      <c r="C1413" s="458">
        <v>90098</v>
      </c>
    </row>
    <row r="1414" spans="2:3" ht="15">
      <c r="B1414" s="489" t="s">
        <v>2818</v>
      </c>
      <c r="C1414" s="458"/>
    </row>
    <row r="1415" spans="2:3">
      <c r="B1415" s="529" t="s">
        <v>1285</v>
      </c>
      <c r="C1415" s="458">
        <v>96331</v>
      </c>
    </row>
    <row r="1416" spans="2:3">
      <c r="B1416" s="529" t="s">
        <v>1159</v>
      </c>
      <c r="C1416" s="458">
        <v>94611</v>
      </c>
    </row>
    <row r="1417" spans="2:3">
      <c r="B1417" s="529" t="s">
        <v>922</v>
      </c>
      <c r="C1417" s="458">
        <v>92021</v>
      </c>
    </row>
    <row r="1418" spans="2:3">
      <c r="B1418" s="529" t="s">
        <v>1133</v>
      </c>
      <c r="C1418" s="458">
        <v>94351</v>
      </c>
    </row>
    <row r="1419" spans="2:3">
      <c r="B1419" s="529" t="s">
        <v>1132</v>
      </c>
      <c r="C1419" s="458">
        <v>94347</v>
      </c>
    </row>
    <row r="1420" spans="2:3">
      <c r="B1420" s="529" t="s">
        <v>758</v>
      </c>
      <c r="C1420" s="458">
        <v>90451</v>
      </c>
    </row>
    <row r="1421" spans="2:3">
      <c r="B1421" s="529" t="s">
        <v>1556</v>
      </c>
      <c r="C1421" s="458">
        <v>99271</v>
      </c>
    </row>
    <row r="1422" spans="2:3">
      <c r="B1422" s="529" t="s">
        <v>1189</v>
      </c>
      <c r="C1422" s="458">
        <v>95106</v>
      </c>
    </row>
    <row r="1423" spans="2:3">
      <c r="B1423" s="529" t="s">
        <v>891</v>
      </c>
      <c r="C1423" s="458">
        <v>91681</v>
      </c>
    </row>
    <row r="1424" spans="2:3">
      <c r="B1424" s="529" t="s">
        <v>784</v>
      </c>
      <c r="C1424" s="458">
        <v>90811</v>
      </c>
    </row>
    <row r="1425" spans="2:3">
      <c r="B1425" s="529" t="s">
        <v>776</v>
      </c>
      <c r="C1425" s="458">
        <v>90721</v>
      </c>
    </row>
    <row r="1426" spans="2:3">
      <c r="B1426" s="529" t="s">
        <v>1476</v>
      </c>
      <c r="C1426" s="458">
        <v>98271</v>
      </c>
    </row>
    <row r="1427" spans="2:3">
      <c r="B1427" s="529" t="s">
        <v>1379</v>
      </c>
      <c r="C1427" s="458">
        <v>97461</v>
      </c>
    </row>
    <row r="1428" spans="2:3">
      <c r="B1428" s="529" t="s">
        <v>1493</v>
      </c>
      <c r="C1428" s="458">
        <v>98451</v>
      </c>
    </row>
    <row r="1429" spans="2:3">
      <c r="B1429" s="529" t="s">
        <v>1299</v>
      </c>
      <c r="C1429" s="458">
        <v>96451</v>
      </c>
    </row>
    <row r="1430" spans="2:3">
      <c r="B1430" s="529" t="s">
        <v>1268</v>
      </c>
      <c r="C1430" s="458">
        <v>96121</v>
      </c>
    </row>
    <row r="1431" spans="2:3">
      <c r="B1431" s="529" t="s">
        <v>765</v>
      </c>
      <c r="C1431" s="458">
        <v>90611</v>
      </c>
    </row>
    <row r="1432" spans="2:3">
      <c r="B1432" s="529" t="s">
        <v>1339</v>
      </c>
      <c r="C1432" s="458">
        <v>96911</v>
      </c>
    </row>
    <row r="1433" spans="2:3">
      <c r="B1433" s="529" t="s">
        <v>885</v>
      </c>
      <c r="C1433" s="458">
        <v>91631</v>
      </c>
    </row>
    <row r="1434" spans="2:3">
      <c r="B1434" s="529" t="s">
        <v>768</v>
      </c>
      <c r="C1434" s="458">
        <v>90631</v>
      </c>
    </row>
    <row r="1435" spans="2:3">
      <c r="B1435" s="529" t="s">
        <v>777</v>
      </c>
      <c r="C1435" s="458">
        <v>90731</v>
      </c>
    </row>
    <row r="1436" spans="2:3">
      <c r="B1436" s="529" t="s">
        <v>809</v>
      </c>
      <c r="C1436" s="458">
        <v>91020</v>
      </c>
    </row>
    <row r="1437" spans="2:3">
      <c r="B1437" s="529" t="s">
        <v>1197</v>
      </c>
      <c r="C1437" s="458">
        <v>95141</v>
      </c>
    </row>
    <row r="1438" spans="2:3">
      <c r="B1438" s="529" t="s">
        <v>1000</v>
      </c>
      <c r="C1438" s="458">
        <v>93021</v>
      </c>
    </row>
    <row r="1439" spans="2:3">
      <c r="B1439" s="529" t="s">
        <v>1377</v>
      </c>
      <c r="C1439" s="458">
        <v>97441</v>
      </c>
    </row>
    <row r="1440" spans="2:3">
      <c r="B1440" s="529" t="s">
        <v>1005</v>
      </c>
      <c r="C1440" s="458">
        <v>93111</v>
      </c>
    </row>
    <row r="1441" spans="2:3">
      <c r="B1441" s="529" t="s">
        <v>831</v>
      </c>
      <c r="C1441" s="458">
        <v>91111</v>
      </c>
    </row>
    <row r="1442" spans="2:3">
      <c r="B1442" s="529" t="s">
        <v>1273</v>
      </c>
      <c r="C1442" s="458">
        <v>96231</v>
      </c>
    </row>
    <row r="1443" spans="2:3">
      <c r="B1443" s="529" t="s">
        <v>1604</v>
      </c>
      <c r="C1443" s="458">
        <v>99831</v>
      </c>
    </row>
    <row r="1444" spans="2:3">
      <c r="B1444" s="529" t="s">
        <v>839</v>
      </c>
      <c r="C1444" s="458">
        <v>91151</v>
      </c>
    </row>
    <row r="1445" spans="2:3">
      <c r="B1445" s="529" t="s">
        <v>794</v>
      </c>
      <c r="C1445" s="458">
        <v>90941</v>
      </c>
    </row>
    <row r="1446" spans="2:3">
      <c r="B1446" s="529" t="s">
        <v>1575</v>
      </c>
      <c r="C1446" s="458">
        <v>99521</v>
      </c>
    </row>
    <row r="1447" spans="2:3">
      <c r="B1447" s="529" t="s">
        <v>935</v>
      </c>
      <c r="C1447" s="458">
        <v>92331</v>
      </c>
    </row>
    <row r="1448" spans="2:3">
      <c r="B1448" s="529" t="s">
        <v>1574</v>
      </c>
      <c r="C1448" s="458">
        <v>99511</v>
      </c>
    </row>
    <row r="1449" spans="2:3">
      <c r="B1449" s="529" t="s">
        <v>1611</v>
      </c>
      <c r="C1449" s="458">
        <v>99941</v>
      </c>
    </row>
    <row r="1450" spans="2:3">
      <c r="B1450" s="529" t="s">
        <v>962</v>
      </c>
      <c r="C1450" s="458">
        <v>92561</v>
      </c>
    </row>
    <row r="1451" spans="2:3">
      <c r="B1451" s="529" t="s">
        <v>1211</v>
      </c>
      <c r="C1451" s="458">
        <v>95321</v>
      </c>
    </row>
    <row r="1452" spans="2:3">
      <c r="B1452" s="529" t="s">
        <v>908</v>
      </c>
      <c r="C1452" s="458">
        <v>91861</v>
      </c>
    </row>
    <row r="1453" spans="2:3">
      <c r="B1453" s="529" t="s">
        <v>942</v>
      </c>
      <c r="C1453" s="458">
        <v>92421</v>
      </c>
    </row>
    <row r="1454" spans="2:3">
      <c r="B1454" s="529" t="s">
        <v>1510</v>
      </c>
      <c r="C1454" s="458">
        <v>98711</v>
      </c>
    </row>
    <row r="1455" spans="2:3">
      <c r="B1455" s="529" t="s">
        <v>1055</v>
      </c>
      <c r="C1455" s="458">
        <v>93531</v>
      </c>
    </row>
    <row r="1456" spans="2:3">
      <c r="B1456" s="529" t="s">
        <v>1355</v>
      </c>
      <c r="C1456" s="458">
        <v>97111</v>
      </c>
    </row>
    <row r="1457" spans="2:3">
      <c r="B1457" s="529" t="s">
        <v>729</v>
      </c>
      <c r="C1457" s="458">
        <v>90011</v>
      </c>
    </row>
    <row r="1458" spans="2:3">
      <c r="B1458" s="529" t="s">
        <v>1090</v>
      </c>
      <c r="C1458" s="458">
        <v>93931</v>
      </c>
    </row>
    <row r="1459" spans="2:3">
      <c r="B1459" s="529" t="s">
        <v>877</v>
      </c>
      <c r="C1459" s="458">
        <v>91461</v>
      </c>
    </row>
    <row r="1460" spans="2:3">
      <c r="B1460" s="529" t="s">
        <v>803</v>
      </c>
      <c r="C1460" s="458">
        <v>91010</v>
      </c>
    </row>
    <row r="1461" spans="2:3">
      <c r="B1461" s="529" t="s">
        <v>1014</v>
      </c>
      <c r="C1461" s="458">
        <v>93171</v>
      </c>
    </row>
    <row r="1462" spans="2:3">
      <c r="B1462" s="529" t="s">
        <v>1282</v>
      </c>
      <c r="C1462" s="458">
        <v>96312</v>
      </c>
    </row>
    <row r="1463" spans="2:3">
      <c r="B1463" s="529" t="s">
        <v>1274</v>
      </c>
      <c r="C1463" s="458">
        <v>96241</v>
      </c>
    </row>
    <row r="1464" spans="2:3">
      <c r="B1464" s="529" t="s">
        <v>1143</v>
      </c>
      <c r="C1464" s="458">
        <v>94431</v>
      </c>
    </row>
    <row r="1465" spans="2:3">
      <c r="B1465" s="529" t="s">
        <v>890</v>
      </c>
      <c r="C1465" s="458">
        <v>91671</v>
      </c>
    </row>
    <row r="1466" spans="2:3">
      <c r="B1466" s="529" t="s">
        <v>1309</v>
      </c>
      <c r="C1466" s="458">
        <v>96521</v>
      </c>
    </row>
    <row r="1467" spans="2:3">
      <c r="B1467" s="529" t="s">
        <v>811</v>
      </c>
      <c r="C1467" s="458">
        <v>91024</v>
      </c>
    </row>
    <row r="1468" spans="2:3">
      <c r="B1468" s="529" t="s">
        <v>1336</v>
      </c>
      <c r="C1468" s="458">
        <v>96821</v>
      </c>
    </row>
    <row r="1469" spans="2:3">
      <c r="B1469" s="529" t="s">
        <v>1291</v>
      </c>
      <c r="C1469" s="458">
        <v>96391</v>
      </c>
    </row>
    <row r="1470" spans="2:3">
      <c r="B1470" s="529" t="s">
        <v>1549</v>
      </c>
      <c r="C1470" s="458">
        <v>99221</v>
      </c>
    </row>
    <row r="1471" spans="2:3">
      <c r="B1471" s="529" t="s">
        <v>817</v>
      </c>
      <c r="C1471" s="458">
        <v>91051</v>
      </c>
    </row>
    <row r="1472" spans="2:3">
      <c r="B1472" s="529" t="s">
        <v>910</v>
      </c>
      <c r="C1472" s="458">
        <v>91881</v>
      </c>
    </row>
    <row r="1473" spans="2:3">
      <c r="B1473" s="529" t="s">
        <v>892</v>
      </c>
      <c r="C1473" s="458">
        <v>91691</v>
      </c>
    </row>
    <row r="1474" spans="2:3">
      <c r="B1474" s="529" t="s">
        <v>945</v>
      </c>
      <c r="C1474" s="458">
        <v>92441</v>
      </c>
    </row>
    <row r="1475" spans="2:3">
      <c r="B1475" s="529" t="s">
        <v>1335</v>
      </c>
      <c r="C1475" s="458">
        <v>96811</v>
      </c>
    </row>
    <row r="1476" spans="2:3">
      <c r="B1476" s="529" t="s">
        <v>1448</v>
      </c>
      <c r="C1476" s="458">
        <v>98041</v>
      </c>
    </row>
    <row r="1477" spans="2:3">
      <c r="B1477" s="529" t="s">
        <v>779</v>
      </c>
      <c r="C1477" s="458">
        <v>90751</v>
      </c>
    </row>
    <row r="1478" spans="2:3">
      <c r="B1478" s="529" t="s">
        <v>793</v>
      </c>
      <c r="C1478" s="458">
        <v>90931</v>
      </c>
    </row>
    <row r="1479" spans="2:3">
      <c r="B1479" s="529" t="s">
        <v>1196</v>
      </c>
      <c r="C1479" s="458">
        <v>95131</v>
      </c>
    </row>
    <row r="1480" spans="2:3">
      <c r="B1480" s="529" t="s">
        <v>1453</v>
      </c>
      <c r="C1480" s="458">
        <v>98091</v>
      </c>
    </row>
    <row r="1481" spans="2:3">
      <c r="B1481" s="529" t="s">
        <v>1131</v>
      </c>
      <c r="C1481" s="458">
        <v>94341</v>
      </c>
    </row>
    <row r="1482" spans="2:3">
      <c r="B1482" s="529" t="s">
        <v>1162</v>
      </c>
      <c r="C1482" s="458">
        <v>94641</v>
      </c>
    </row>
    <row r="1483" spans="2:3">
      <c r="B1483" s="529" t="s">
        <v>786</v>
      </c>
      <c r="C1483" s="458">
        <v>90813</v>
      </c>
    </row>
    <row r="1484" spans="2:3">
      <c r="B1484" s="529" t="s">
        <v>1517</v>
      </c>
      <c r="C1484" s="458">
        <v>98911</v>
      </c>
    </row>
    <row r="1485" spans="2:3">
      <c r="B1485" s="529" t="s">
        <v>1386</v>
      </c>
      <c r="C1485" s="458">
        <v>97521</v>
      </c>
    </row>
    <row r="1486" spans="2:3">
      <c r="B1486" s="529" t="s">
        <v>857</v>
      </c>
      <c r="C1486" s="458">
        <v>91261</v>
      </c>
    </row>
    <row r="1487" spans="2:3">
      <c r="B1487" s="529" t="s">
        <v>907</v>
      </c>
      <c r="C1487" s="458">
        <v>91851</v>
      </c>
    </row>
    <row r="1488" spans="2:3">
      <c r="B1488" s="529" t="s">
        <v>1318</v>
      </c>
      <c r="C1488" s="458">
        <v>96641</v>
      </c>
    </row>
    <row r="1489" spans="2:3">
      <c r="B1489" s="529" t="s">
        <v>1002</v>
      </c>
      <c r="C1489" s="458">
        <v>93031</v>
      </c>
    </row>
    <row r="1490" spans="2:3">
      <c r="B1490" s="529" t="s">
        <v>1261</v>
      </c>
      <c r="C1490" s="458">
        <v>96051</v>
      </c>
    </row>
    <row r="1491" spans="2:3">
      <c r="B1491" s="529" t="s">
        <v>963</v>
      </c>
      <c r="C1491" s="458">
        <v>92571</v>
      </c>
    </row>
    <row r="1492" spans="2:3">
      <c r="B1492" s="529" t="s">
        <v>1067</v>
      </c>
      <c r="C1492" s="458">
        <v>93631</v>
      </c>
    </row>
    <row r="1493" spans="2:3">
      <c r="B1493" s="529" t="s">
        <v>1569</v>
      </c>
      <c r="C1493" s="458">
        <v>99431</v>
      </c>
    </row>
    <row r="1494" spans="2:3">
      <c r="B1494" s="529" t="s">
        <v>1070</v>
      </c>
      <c r="C1494" s="458">
        <v>93651</v>
      </c>
    </row>
    <row r="1495" spans="2:3">
      <c r="B1495" s="529" t="s">
        <v>1264</v>
      </c>
      <c r="C1495" s="458">
        <v>96081</v>
      </c>
    </row>
    <row r="1496" spans="2:3">
      <c r="B1496" s="529" t="s">
        <v>995</v>
      </c>
      <c r="C1496" s="458">
        <v>92921</v>
      </c>
    </row>
    <row r="1497" spans="2:3">
      <c r="B1497" s="529" t="s">
        <v>1504</v>
      </c>
      <c r="C1497" s="458">
        <v>98621</v>
      </c>
    </row>
    <row r="1498" spans="2:3">
      <c r="B1498" s="529" t="s">
        <v>852</v>
      </c>
      <c r="C1498" s="458">
        <v>91221</v>
      </c>
    </row>
    <row r="1499" spans="2:3">
      <c r="B1499" s="529" t="s">
        <v>989</v>
      </c>
      <c r="C1499" s="458">
        <v>92861</v>
      </c>
    </row>
    <row r="1500" spans="2:3">
      <c r="B1500" s="529" t="s">
        <v>1610</v>
      </c>
      <c r="C1500" s="458">
        <v>99931</v>
      </c>
    </row>
    <row r="1501" spans="2:3">
      <c r="B1501" s="529" t="s">
        <v>1445</v>
      </c>
      <c r="C1501" s="458">
        <v>98021</v>
      </c>
    </row>
    <row r="1502" spans="2:3">
      <c r="B1502" s="529" t="s">
        <v>978</v>
      </c>
      <c r="C1502" s="458">
        <v>92681</v>
      </c>
    </row>
    <row r="1503" spans="2:3">
      <c r="B1503" s="529" t="s">
        <v>926</v>
      </c>
      <c r="C1503" s="458">
        <v>92111</v>
      </c>
    </row>
    <row r="1504" spans="2:3">
      <c r="B1504" s="529" t="s">
        <v>789</v>
      </c>
      <c r="C1504" s="458">
        <v>90911</v>
      </c>
    </row>
    <row r="1505" spans="2:3">
      <c r="B1505" s="529" t="s">
        <v>769</v>
      </c>
      <c r="C1505" s="458">
        <v>90641</v>
      </c>
    </row>
    <row r="1506" spans="2:3">
      <c r="B1506" s="529" t="s">
        <v>1508</v>
      </c>
      <c r="C1506" s="458">
        <v>98641</v>
      </c>
    </row>
    <row r="1507" spans="2:3">
      <c r="B1507" s="529" t="s">
        <v>1465</v>
      </c>
      <c r="C1507" s="458">
        <v>98161</v>
      </c>
    </row>
    <row r="1508" spans="2:3">
      <c r="B1508" s="529" t="s">
        <v>1407</v>
      </c>
      <c r="C1508" s="458">
        <v>97731</v>
      </c>
    </row>
    <row r="1509" spans="2:3">
      <c r="B1509" s="529" t="s">
        <v>1606</v>
      </c>
      <c r="C1509" s="458">
        <v>99851</v>
      </c>
    </row>
    <row r="1510" spans="2:3">
      <c r="B1510" s="529" t="s">
        <v>739</v>
      </c>
      <c r="C1510" s="458">
        <v>90131</v>
      </c>
    </row>
    <row r="1511" spans="2:3">
      <c r="B1511" s="529" t="s">
        <v>888</v>
      </c>
      <c r="C1511" s="458">
        <v>91651</v>
      </c>
    </row>
    <row r="1512" spans="2:3">
      <c r="B1512" s="529" t="s">
        <v>1119</v>
      </c>
      <c r="C1512" s="458">
        <v>94211</v>
      </c>
    </row>
    <row r="1513" spans="2:3">
      <c r="B1513" s="529" t="s">
        <v>1130</v>
      </c>
      <c r="C1513" s="458">
        <v>94331</v>
      </c>
    </row>
    <row r="1514" spans="2:3">
      <c r="B1514" s="529" t="s">
        <v>944</v>
      </c>
      <c r="C1514" s="458">
        <v>92431</v>
      </c>
    </row>
    <row r="1515" spans="2:3">
      <c r="B1515" s="529" t="s">
        <v>1415</v>
      </c>
      <c r="C1515" s="458">
        <v>97821</v>
      </c>
    </row>
    <row r="1516" spans="2:3">
      <c r="B1516" s="529" t="s">
        <v>1010</v>
      </c>
      <c r="C1516" s="458">
        <v>93141</v>
      </c>
    </row>
    <row r="1517" spans="2:3">
      <c r="B1517" s="529" t="s">
        <v>1452</v>
      </c>
      <c r="C1517" s="458">
        <v>98081</v>
      </c>
    </row>
    <row r="1518" spans="2:3">
      <c r="B1518" s="529" t="s">
        <v>977</v>
      </c>
      <c r="C1518" s="458">
        <v>92671</v>
      </c>
    </row>
    <row r="1519" spans="2:3">
      <c r="B1519" s="529" t="s">
        <v>1374</v>
      </c>
      <c r="C1519" s="458">
        <v>97421</v>
      </c>
    </row>
    <row r="1520" spans="2:3">
      <c r="B1520" s="529" t="s">
        <v>1153</v>
      </c>
      <c r="C1520" s="458">
        <v>94541</v>
      </c>
    </row>
    <row r="1521" spans="2:3">
      <c r="B1521" s="529" t="s">
        <v>1459</v>
      </c>
      <c r="C1521" s="458">
        <v>98111</v>
      </c>
    </row>
    <row r="1522" spans="2:3">
      <c r="B1522" s="529" t="s">
        <v>1198</v>
      </c>
      <c r="C1522" s="458">
        <v>95151</v>
      </c>
    </row>
    <row r="1523" spans="2:3">
      <c r="B1523" s="529" t="s">
        <v>1227</v>
      </c>
      <c r="C1523" s="458">
        <v>95611</v>
      </c>
    </row>
    <row r="1524" spans="2:3">
      <c r="B1524" s="529" t="s">
        <v>1051</v>
      </c>
      <c r="C1524" s="458">
        <v>93511</v>
      </c>
    </row>
    <row r="1525" spans="2:3">
      <c r="B1525" s="529" t="s">
        <v>1588</v>
      </c>
      <c r="C1525" s="458">
        <v>99631</v>
      </c>
    </row>
    <row r="1526" spans="2:3">
      <c r="B1526" s="529" t="s">
        <v>1555</v>
      </c>
      <c r="C1526" s="458">
        <v>99261</v>
      </c>
    </row>
    <row r="1527" spans="2:3">
      <c r="B1527" s="529" t="s">
        <v>1473</v>
      </c>
      <c r="C1527" s="458">
        <v>98241</v>
      </c>
    </row>
    <row r="1528" spans="2:3">
      <c r="B1528" s="529" t="s">
        <v>1553</v>
      </c>
      <c r="C1528" s="458">
        <v>99251</v>
      </c>
    </row>
    <row r="1529" spans="2:3">
      <c r="B1529" s="529" t="s">
        <v>1317</v>
      </c>
      <c r="C1529" s="458">
        <v>96631</v>
      </c>
    </row>
    <row r="1530" spans="2:3">
      <c r="B1530" s="529" t="s">
        <v>1319</v>
      </c>
      <c r="C1530" s="458">
        <v>96651</v>
      </c>
    </row>
    <row r="1531" spans="2:3">
      <c r="B1531" s="529" t="s">
        <v>1483</v>
      </c>
      <c r="C1531" s="458">
        <v>98331</v>
      </c>
    </row>
    <row r="1532" spans="2:3">
      <c r="B1532" s="529" t="s">
        <v>1109</v>
      </c>
      <c r="C1532" s="458">
        <v>94151</v>
      </c>
    </row>
    <row r="1533" spans="2:3">
      <c r="B1533" s="529" t="s">
        <v>855</v>
      </c>
      <c r="C1533" s="458">
        <v>91241</v>
      </c>
    </row>
    <row r="1534" spans="2:3">
      <c r="B1534" s="529" t="s">
        <v>869</v>
      </c>
      <c r="C1534" s="458">
        <v>91411</v>
      </c>
    </row>
    <row r="1535" spans="2:3">
      <c r="B1535" s="529" t="s">
        <v>1450</v>
      </c>
      <c r="C1535" s="458">
        <v>98061</v>
      </c>
    </row>
    <row r="1536" spans="2:3">
      <c r="B1536" s="529" t="s">
        <v>742</v>
      </c>
      <c r="C1536" s="458">
        <v>90161</v>
      </c>
    </row>
    <row r="1537" spans="2:3">
      <c r="B1537" s="529" t="s">
        <v>1376</v>
      </c>
      <c r="C1537" s="458">
        <v>97431</v>
      </c>
    </row>
    <row r="1538" spans="2:3">
      <c r="B1538" s="529" t="s">
        <v>1381</v>
      </c>
      <c r="C1538" s="458">
        <v>97471</v>
      </c>
    </row>
    <row r="1539" spans="2:3">
      <c r="B1539" s="529" t="s">
        <v>937</v>
      </c>
      <c r="C1539" s="458">
        <v>92351</v>
      </c>
    </row>
    <row r="1540" spans="2:3">
      <c r="B1540" s="529" t="s">
        <v>1240</v>
      </c>
      <c r="C1540" s="458">
        <v>95831</v>
      </c>
    </row>
    <row r="1541" spans="2:3">
      <c r="B1541" s="529" t="s">
        <v>874</v>
      </c>
      <c r="C1541" s="458">
        <v>91441</v>
      </c>
    </row>
    <row r="1542" spans="2:3">
      <c r="B1542" s="529" t="s">
        <v>740</v>
      </c>
      <c r="C1542" s="458">
        <v>90141</v>
      </c>
    </row>
    <row r="1543" spans="2:3">
      <c r="B1543" s="529" t="s">
        <v>1359</v>
      </c>
      <c r="C1543" s="458">
        <v>97211</v>
      </c>
    </row>
    <row r="1544" spans="2:3">
      <c r="B1544" s="529" t="s">
        <v>1361</v>
      </c>
      <c r="C1544" s="458">
        <v>97217</v>
      </c>
    </row>
    <row r="1545" spans="2:3">
      <c r="B1545" s="529" t="s">
        <v>1229</v>
      </c>
      <c r="C1545" s="458">
        <v>95621</v>
      </c>
    </row>
    <row r="1546" spans="2:3">
      <c r="B1546" s="529" t="s">
        <v>856</v>
      </c>
      <c r="C1546" s="458">
        <v>91251</v>
      </c>
    </row>
    <row r="1547" spans="2:3">
      <c r="B1547" s="529" t="s">
        <v>1337</v>
      </c>
      <c r="C1547" s="458">
        <v>96831</v>
      </c>
    </row>
    <row r="1548" spans="2:3">
      <c r="B1548" s="529" t="s">
        <v>1123</v>
      </c>
      <c r="C1548" s="458">
        <v>94251</v>
      </c>
    </row>
    <row r="1549" spans="2:3">
      <c r="B1549" s="529" t="s">
        <v>807</v>
      </c>
      <c r="C1549" s="458">
        <v>91014</v>
      </c>
    </row>
    <row r="1550" spans="2:3">
      <c r="B1550" s="529" t="s">
        <v>1328</v>
      </c>
      <c r="C1550" s="458">
        <v>96731</v>
      </c>
    </row>
    <row r="1551" spans="2:3">
      <c r="B1551" s="529" t="s">
        <v>1538</v>
      </c>
      <c r="C1551" s="458">
        <v>99202</v>
      </c>
    </row>
    <row r="1552" spans="2:3">
      <c r="B1552" s="529" t="s">
        <v>1095</v>
      </c>
      <c r="C1552" s="458">
        <v>94011</v>
      </c>
    </row>
    <row r="1553" spans="2:3">
      <c r="B1553" s="529" t="s">
        <v>973</v>
      </c>
      <c r="C1553" s="458">
        <v>92631</v>
      </c>
    </row>
    <row r="1554" spans="2:3">
      <c r="B1554" s="529" t="s">
        <v>873</v>
      </c>
      <c r="C1554" s="458">
        <v>91431</v>
      </c>
    </row>
    <row r="1555" spans="2:3">
      <c r="B1555" s="529" t="s">
        <v>1260</v>
      </c>
      <c r="C1555" s="458">
        <v>96041</v>
      </c>
    </row>
    <row r="1556" spans="2:3">
      <c r="B1556" s="529" t="s">
        <v>889</v>
      </c>
      <c r="C1556" s="458">
        <v>91661</v>
      </c>
    </row>
    <row r="1557" spans="2:3">
      <c r="B1557" s="529" t="s">
        <v>1527</v>
      </c>
      <c r="C1557" s="458">
        <v>99051</v>
      </c>
    </row>
    <row r="1558" spans="2:3">
      <c r="B1558" s="529" t="s">
        <v>1320</v>
      </c>
      <c r="C1558" s="458">
        <v>96661</v>
      </c>
    </row>
    <row r="1559" spans="2:3">
      <c r="B1559" s="529" t="s">
        <v>1108</v>
      </c>
      <c r="C1559" s="458">
        <v>94131</v>
      </c>
    </row>
    <row r="1560" spans="2:3">
      <c r="B1560" s="529" t="s">
        <v>1241</v>
      </c>
      <c r="C1560" s="458">
        <v>95841</v>
      </c>
    </row>
    <row r="1561" spans="2:3">
      <c r="B1561" s="529" t="s">
        <v>761</v>
      </c>
      <c r="C1561" s="458">
        <v>90511</v>
      </c>
    </row>
    <row r="1562" spans="2:3">
      <c r="B1562" s="529" t="s">
        <v>1609</v>
      </c>
      <c r="C1562" s="458">
        <v>99921</v>
      </c>
    </row>
    <row r="1563" spans="2:3">
      <c r="B1563" s="529" t="s">
        <v>1006</v>
      </c>
      <c r="C1563" s="458">
        <v>93121</v>
      </c>
    </row>
    <row r="1564" spans="2:3">
      <c r="B1564" s="529" t="s">
        <v>1200</v>
      </c>
      <c r="C1564" s="458">
        <v>95171</v>
      </c>
    </row>
    <row r="1565" spans="2:3">
      <c r="B1565" s="529" t="s">
        <v>1043</v>
      </c>
      <c r="C1565" s="458">
        <v>93421</v>
      </c>
    </row>
    <row r="1566" spans="2:3">
      <c r="B1566" s="529" t="s">
        <v>985</v>
      </c>
      <c r="C1566" s="458">
        <v>92821</v>
      </c>
    </row>
    <row r="1567" spans="2:3">
      <c r="B1567" s="529" t="s">
        <v>988</v>
      </c>
      <c r="C1567" s="458">
        <v>92851</v>
      </c>
    </row>
    <row r="1568" spans="2:3">
      <c r="B1568" s="529" t="s">
        <v>1558</v>
      </c>
      <c r="C1568" s="458">
        <v>99291</v>
      </c>
    </row>
    <row r="1569" spans="2:3">
      <c r="B1569" s="529" t="s">
        <v>1311</v>
      </c>
      <c r="C1569" s="458">
        <v>96541</v>
      </c>
    </row>
    <row r="1570" spans="2:3">
      <c r="B1570" s="529" t="s">
        <v>1220</v>
      </c>
      <c r="C1570" s="458">
        <v>95431</v>
      </c>
    </row>
    <row r="1571" spans="2:3">
      <c r="B1571" s="529" t="s">
        <v>1462</v>
      </c>
      <c r="C1571" s="458">
        <v>98131</v>
      </c>
    </row>
    <row r="1572" spans="2:3">
      <c r="B1572" s="529" t="s">
        <v>948</v>
      </c>
      <c r="C1572" s="458">
        <v>92461</v>
      </c>
    </row>
    <row r="1573" spans="2:3">
      <c r="B1573" s="529" t="s">
        <v>1449</v>
      </c>
      <c r="C1573" s="458">
        <v>98051</v>
      </c>
    </row>
    <row r="1574" spans="2:3">
      <c r="B1574" s="529" t="s">
        <v>1149</v>
      </c>
      <c r="C1574" s="458">
        <v>94521</v>
      </c>
    </row>
    <row r="1575" spans="2:3">
      <c r="B1575" s="529" t="s">
        <v>936</v>
      </c>
      <c r="C1575" s="458">
        <v>92341</v>
      </c>
    </row>
    <row r="1576" spans="2:3">
      <c r="B1576" s="529" t="s">
        <v>796</v>
      </c>
      <c r="C1576" s="458">
        <v>91002</v>
      </c>
    </row>
    <row r="1577" spans="2:3">
      <c r="B1577" s="529" t="s">
        <v>787</v>
      </c>
      <c r="C1577" s="458">
        <v>90861</v>
      </c>
    </row>
    <row r="1578" spans="2:3">
      <c r="B1578" s="529" t="s">
        <v>1047</v>
      </c>
      <c r="C1578" s="458">
        <v>93451</v>
      </c>
    </row>
    <row r="1579" spans="2:3">
      <c r="B1579" s="529" t="s">
        <v>1395</v>
      </c>
      <c r="C1579" s="458">
        <v>97631</v>
      </c>
    </row>
    <row r="1580" spans="2:3">
      <c r="B1580" s="529" t="s">
        <v>755</v>
      </c>
      <c r="C1580" s="458">
        <v>90421</v>
      </c>
    </row>
    <row r="1581" spans="2:3">
      <c r="B1581" s="529" t="s">
        <v>1129</v>
      </c>
      <c r="C1581" s="458">
        <v>94321</v>
      </c>
    </row>
    <row r="1582" spans="2:3">
      <c r="B1582" s="529" t="s">
        <v>1225</v>
      </c>
      <c r="C1582" s="458">
        <v>95517</v>
      </c>
    </row>
    <row r="1583" spans="2:3">
      <c r="B1583" s="529" t="s">
        <v>975</v>
      </c>
      <c r="C1583" s="458">
        <v>92651</v>
      </c>
    </row>
    <row r="1584" spans="2:3">
      <c r="B1584" s="529" t="s">
        <v>1124</v>
      </c>
      <c r="C1584" s="458">
        <v>94261</v>
      </c>
    </row>
    <row r="1585" spans="2:3">
      <c r="B1585" s="529" t="s">
        <v>1053</v>
      </c>
      <c r="C1585" s="458">
        <v>93521</v>
      </c>
    </row>
    <row r="1586" spans="2:3">
      <c r="B1586" s="529" t="s">
        <v>1605</v>
      </c>
      <c r="C1586" s="458">
        <v>99841</v>
      </c>
    </row>
    <row r="1587" spans="2:3">
      <c r="B1587" s="529" t="s">
        <v>1034</v>
      </c>
      <c r="C1587" s="458">
        <v>93341</v>
      </c>
    </row>
    <row r="1588" spans="2:3">
      <c r="B1588" s="529" t="s">
        <v>1433</v>
      </c>
      <c r="C1588" s="458">
        <v>97941</v>
      </c>
    </row>
    <row r="1589" spans="2:3">
      <c r="B1589" s="529" t="s">
        <v>1140</v>
      </c>
      <c r="C1589" s="458">
        <v>94421</v>
      </c>
    </row>
    <row r="1590" spans="2:3">
      <c r="B1590" s="529" t="s">
        <v>1016</v>
      </c>
      <c r="C1590" s="458">
        <v>93191</v>
      </c>
    </row>
    <row r="1591" spans="2:3">
      <c r="B1591" s="529" t="s">
        <v>905</v>
      </c>
      <c r="C1591" s="458">
        <v>91831</v>
      </c>
    </row>
    <row r="1592" spans="2:3">
      <c r="B1592" s="529" t="s">
        <v>986</v>
      </c>
      <c r="C1592" s="458">
        <v>92831</v>
      </c>
    </row>
    <row r="1593" spans="2:3">
      <c r="B1593" s="529" t="s">
        <v>1246</v>
      </c>
      <c r="C1593" s="458">
        <v>95911</v>
      </c>
    </row>
    <row r="1594" spans="2:3">
      <c r="B1594" s="529" t="s">
        <v>1231</v>
      </c>
      <c r="C1594" s="458">
        <v>95711</v>
      </c>
    </row>
    <row r="1595" spans="2:3">
      <c r="B1595" s="529" t="s">
        <v>1232</v>
      </c>
      <c r="C1595" s="458">
        <v>95721</v>
      </c>
    </row>
    <row r="1596" spans="2:3">
      <c r="B1596" s="529" t="s">
        <v>1523</v>
      </c>
      <c r="C1596" s="458">
        <v>99021</v>
      </c>
    </row>
    <row r="1597" spans="2:3">
      <c r="B1597" s="529" t="s">
        <v>1263</v>
      </c>
      <c r="C1597" s="458">
        <v>96071</v>
      </c>
    </row>
    <row r="1598" spans="2:3">
      <c r="B1598" s="529" t="s">
        <v>1419</v>
      </c>
      <c r="C1598" s="458">
        <v>97840</v>
      </c>
    </row>
    <row r="1599" spans="2:3">
      <c r="B1599" s="529" t="s">
        <v>1431</v>
      </c>
      <c r="C1599" s="458">
        <v>97921</v>
      </c>
    </row>
    <row r="1600" spans="2:3">
      <c r="B1600" s="529" t="s">
        <v>1207</v>
      </c>
      <c r="C1600" s="458">
        <v>95221</v>
      </c>
    </row>
    <row r="1601" spans="2:3">
      <c r="B1601" s="529" t="s">
        <v>1061</v>
      </c>
      <c r="C1601" s="458">
        <v>93610</v>
      </c>
    </row>
    <row r="1602" spans="2:3">
      <c r="B1602" s="529" t="s">
        <v>1194</v>
      </c>
      <c r="C1602" s="458">
        <v>95122</v>
      </c>
    </row>
    <row r="1603" spans="2:3">
      <c r="B1603" s="529" t="s">
        <v>1297</v>
      </c>
      <c r="C1603" s="458">
        <v>96431</v>
      </c>
    </row>
    <row r="1604" spans="2:3">
      <c r="B1604" s="529" t="s">
        <v>867</v>
      </c>
      <c r="C1604" s="458">
        <v>91341</v>
      </c>
    </row>
    <row r="1605" spans="2:3">
      <c r="B1605" s="529" t="s">
        <v>81</v>
      </c>
      <c r="C1605" s="458">
        <v>92941</v>
      </c>
    </row>
    <row r="1606" spans="2:3">
      <c r="B1606" s="529" t="s">
        <v>1155</v>
      </c>
      <c r="C1606" s="458">
        <v>94551</v>
      </c>
    </row>
    <row r="1607" spans="2:3">
      <c r="B1607" s="529" t="s">
        <v>211</v>
      </c>
      <c r="C1607" s="458">
        <v>99022</v>
      </c>
    </row>
    <row r="1608" spans="2:3">
      <c r="B1608" s="529" t="s">
        <v>1259</v>
      </c>
      <c r="C1608" s="458">
        <v>96031</v>
      </c>
    </row>
    <row r="1609" spans="2:3">
      <c r="B1609" s="529" t="s">
        <v>999</v>
      </c>
      <c r="C1609" s="458">
        <v>93011</v>
      </c>
    </row>
    <row r="1610" spans="2:3">
      <c r="B1610" s="529" t="s">
        <v>841</v>
      </c>
      <c r="C1610" s="458">
        <v>91161</v>
      </c>
    </row>
    <row r="1611" spans="2:3">
      <c r="B1611" s="529" t="s">
        <v>883</v>
      </c>
      <c r="C1611" s="458">
        <v>91611</v>
      </c>
    </row>
    <row r="1612" spans="2:3">
      <c r="B1612" s="529" t="s">
        <v>1541</v>
      </c>
      <c r="C1612" s="458">
        <v>99206</v>
      </c>
    </row>
    <row r="1613" spans="2:3">
      <c r="B1613" s="529" t="s">
        <v>759</v>
      </c>
      <c r="C1613" s="458">
        <v>90461</v>
      </c>
    </row>
    <row r="1614" spans="2:3">
      <c r="B1614" s="529" t="s">
        <v>1275</v>
      </c>
      <c r="C1614" s="458">
        <v>96251</v>
      </c>
    </row>
    <row r="1615" spans="2:3">
      <c r="B1615" s="529" t="s">
        <v>1586</v>
      </c>
      <c r="C1615" s="458">
        <v>99621</v>
      </c>
    </row>
    <row r="1616" spans="2:3">
      <c r="B1616" s="529" t="s">
        <v>864</v>
      </c>
      <c r="C1616" s="458">
        <v>91321</v>
      </c>
    </row>
    <row r="1617" spans="2:3">
      <c r="B1617" s="529" t="s">
        <v>1160</v>
      </c>
      <c r="C1617" s="458">
        <v>94621</v>
      </c>
    </row>
    <row r="1618" spans="2:3">
      <c r="B1618" s="529" t="s">
        <v>920</v>
      </c>
      <c r="C1618" s="458">
        <v>92011</v>
      </c>
    </row>
    <row r="1619" spans="2:3">
      <c r="B1619" s="529" t="s">
        <v>1331</v>
      </c>
      <c r="C1619" s="458">
        <v>96751</v>
      </c>
    </row>
    <row r="1620" spans="2:3">
      <c r="B1620" s="529" t="s">
        <v>1593</v>
      </c>
      <c r="C1620" s="458">
        <v>99711</v>
      </c>
    </row>
    <row r="1621" spans="2:3">
      <c r="B1621" s="529" t="s">
        <v>1594</v>
      </c>
      <c r="C1621" s="458">
        <v>99717</v>
      </c>
    </row>
    <row r="1622" spans="2:3">
      <c r="B1622" s="529" t="s">
        <v>984</v>
      </c>
      <c r="C1622" s="458">
        <v>92811</v>
      </c>
    </row>
    <row r="1623" spans="2:3">
      <c r="B1623" s="529" t="s">
        <v>1296</v>
      </c>
      <c r="C1623" s="458">
        <v>96421</v>
      </c>
    </row>
    <row r="1624" spans="2:3">
      <c r="B1624" s="529" t="s">
        <v>43</v>
      </c>
      <c r="C1624" s="458">
        <v>91026</v>
      </c>
    </row>
    <row r="1625" spans="2:3">
      <c r="B1625" s="529" t="s">
        <v>1638</v>
      </c>
      <c r="C1625" s="458">
        <v>98471</v>
      </c>
    </row>
    <row r="1626" spans="2:3">
      <c r="B1626" s="529" t="s">
        <v>767</v>
      </c>
      <c r="C1626" s="458">
        <v>90621</v>
      </c>
    </row>
    <row r="1627" spans="2:3">
      <c r="B1627" s="529" t="s">
        <v>884</v>
      </c>
      <c r="C1627" s="458">
        <v>91621</v>
      </c>
    </row>
    <row r="1628" spans="2:3">
      <c r="B1628" s="529" t="s">
        <v>1471</v>
      </c>
      <c r="C1628" s="458">
        <v>98231</v>
      </c>
    </row>
    <row r="1629" spans="2:3">
      <c r="B1629" s="529" t="s">
        <v>1561</v>
      </c>
      <c r="C1629" s="458">
        <v>99311</v>
      </c>
    </row>
    <row r="1630" spans="2:3">
      <c r="B1630" s="529" t="s">
        <v>1489</v>
      </c>
      <c r="C1630" s="458">
        <v>98421</v>
      </c>
    </row>
    <row r="1631" spans="2:3">
      <c r="B1631" s="529" t="s">
        <v>1239</v>
      </c>
      <c r="C1631" s="458">
        <v>95821</v>
      </c>
    </row>
    <row r="1632" spans="2:3">
      <c r="B1632" s="529" t="s">
        <v>810</v>
      </c>
      <c r="C1632" s="458">
        <v>91021</v>
      </c>
    </row>
    <row r="1633" spans="2:3">
      <c r="B1633" s="529" t="s">
        <v>1111</v>
      </c>
      <c r="C1633" s="458">
        <v>94161</v>
      </c>
    </row>
    <row r="1634" spans="2:3">
      <c r="B1634" s="529" t="s">
        <v>1492</v>
      </c>
      <c r="C1634" s="458">
        <v>98441</v>
      </c>
    </row>
    <row r="1635" spans="2:3">
      <c r="B1635" s="529" t="s">
        <v>819</v>
      </c>
      <c r="C1635" s="458">
        <v>91061</v>
      </c>
    </row>
    <row r="1636" spans="2:3">
      <c r="B1636" s="529" t="s">
        <v>1248</v>
      </c>
      <c r="C1636" s="458">
        <v>95921</v>
      </c>
    </row>
    <row r="1637" spans="2:3">
      <c r="B1637" s="529" t="s">
        <v>1340</v>
      </c>
      <c r="C1637" s="458">
        <v>96912</v>
      </c>
    </row>
    <row r="1638" spans="2:3">
      <c r="B1638" s="529" t="s">
        <v>1420</v>
      </c>
      <c r="C1638" s="458">
        <v>97841</v>
      </c>
    </row>
    <row r="1639" spans="2:3">
      <c r="B1639" s="529" t="s">
        <v>757</v>
      </c>
      <c r="C1639" s="458">
        <v>90441</v>
      </c>
    </row>
    <row r="1640" spans="2:3">
      <c r="B1640" s="529" t="s">
        <v>1422</v>
      </c>
      <c r="C1640" s="458">
        <v>97851</v>
      </c>
    </row>
    <row r="1641" spans="2:3">
      <c r="B1641" s="529" t="s">
        <v>1589</v>
      </c>
      <c r="C1641" s="458">
        <v>99651</v>
      </c>
    </row>
    <row r="1642" spans="2:3">
      <c r="B1642" s="529" t="s">
        <v>1503</v>
      </c>
      <c r="C1642" s="458">
        <v>98611</v>
      </c>
    </row>
    <row r="1643" spans="2:3">
      <c r="B1643" s="529" t="s">
        <v>887</v>
      </c>
      <c r="C1643" s="458">
        <v>91641</v>
      </c>
    </row>
    <row r="1644" spans="2:3">
      <c r="B1644" s="529" t="s">
        <v>1199</v>
      </c>
      <c r="C1644" s="458">
        <v>95161</v>
      </c>
    </row>
    <row r="1645" spans="2:3">
      <c r="B1645" s="529" t="s">
        <v>1288</v>
      </c>
      <c r="C1645" s="458">
        <v>96361</v>
      </c>
    </row>
    <row r="1646" spans="2:3">
      <c r="B1646" s="529" t="s">
        <v>1032</v>
      </c>
      <c r="C1646" s="458">
        <v>93331</v>
      </c>
    </row>
    <row r="1647" spans="2:3">
      <c r="B1647" s="529" t="s">
        <v>1258</v>
      </c>
      <c r="C1647" s="458">
        <v>96021</v>
      </c>
    </row>
    <row r="1648" spans="2:3">
      <c r="B1648" s="529" t="s">
        <v>1219</v>
      </c>
      <c r="C1648" s="458">
        <v>95421</v>
      </c>
    </row>
    <row r="1649" spans="2:3">
      <c r="B1649" s="529" t="s">
        <v>917</v>
      </c>
      <c r="C1649" s="458">
        <v>91921</v>
      </c>
    </row>
    <row r="1650" spans="2:3">
      <c r="B1650" s="529" t="s">
        <v>1566</v>
      </c>
      <c r="C1650" s="458">
        <v>99411</v>
      </c>
    </row>
    <row r="1651" spans="2:3">
      <c r="B1651" s="529" t="s">
        <v>756</v>
      </c>
      <c r="C1651" s="458">
        <v>90431</v>
      </c>
    </row>
    <row r="1652" spans="2:3">
      <c r="B1652" s="529" t="s">
        <v>1206</v>
      </c>
      <c r="C1652" s="458">
        <v>95211</v>
      </c>
    </row>
    <row r="1653" spans="2:3">
      <c r="B1653" s="529" t="s">
        <v>1201</v>
      </c>
      <c r="C1653" s="458">
        <v>95181</v>
      </c>
    </row>
    <row r="1654" spans="2:3">
      <c r="B1654" s="529" t="s">
        <v>1035</v>
      </c>
      <c r="C1654" s="458">
        <v>93351</v>
      </c>
    </row>
    <row r="1655" spans="2:3">
      <c r="B1655" s="529" t="s">
        <v>1165</v>
      </c>
      <c r="C1655" s="458">
        <v>94711</v>
      </c>
    </row>
    <row r="1656" spans="2:3">
      <c r="B1656" s="529" t="s">
        <v>1397</v>
      </c>
      <c r="C1656" s="458">
        <v>97641</v>
      </c>
    </row>
    <row r="1657" spans="2:3">
      <c r="B1657" s="529" t="s">
        <v>1073</v>
      </c>
      <c r="C1657" s="458">
        <v>93681</v>
      </c>
    </row>
    <row r="1658" spans="2:3">
      <c r="B1658" s="529" t="s">
        <v>1425</v>
      </c>
      <c r="C1658" s="458">
        <v>97871</v>
      </c>
    </row>
    <row r="1659" spans="2:3">
      <c r="B1659" s="529" t="s">
        <v>3608</v>
      </c>
      <c r="C1659" s="458">
        <v>91414</v>
      </c>
    </row>
    <row r="1660" spans="2:3">
      <c r="B1660" s="529" t="s">
        <v>1314</v>
      </c>
      <c r="C1660" s="458">
        <v>96611</v>
      </c>
    </row>
    <row r="1661" spans="2:3">
      <c r="B1661" s="529" t="s">
        <v>1330</v>
      </c>
      <c r="C1661" s="458">
        <v>96741</v>
      </c>
    </row>
    <row r="1662" spans="2:3">
      <c r="B1662" s="529" t="s">
        <v>960</v>
      </c>
      <c r="C1662" s="458">
        <v>92541</v>
      </c>
    </row>
    <row r="1663" spans="2:3">
      <c r="B1663" s="529" t="s">
        <v>1286</v>
      </c>
      <c r="C1663" s="458">
        <v>96341</v>
      </c>
    </row>
    <row r="1664" spans="2:3">
      <c r="B1664" s="529" t="s">
        <v>1080</v>
      </c>
      <c r="C1664" s="458">
        <v>93821</v>
      </c>
    </row>
    <row r="1665" spans="2:3">
      <c r="B1665" s="529" t="s">
        <v>1242</v>
      </c>
      <c r="C1665" s="458">
        <v>95851</v>
      </c>
    </row>
    <row r="1666" spans="2:3">
      <c r="B1666" s="529" t="s">
        <v>1451</v>
      </c>
      <c r="C1666" s="458">
        <v>98071</v>
      </c>
    </row>
    <row r="1667" spans="2:3">
      <c r="B1667" s="529" t="s">
        <v>1539</v>
      </c>
      <c r="C1667" s="458">
        <v>99203</v>
      </c>
    </row>
    <row r="1668" spans="2:3">
      <c r="B1668" s="529" t="s">
        <v>1568</v>
      </c>
      <c r="C1668" s="458">
        <v>99421</v>
      </c>
    </row>
    <row r="1669" spans="2:3">
      <c r="B1669" s="529" t="s">
        <v>1013</v>
      </c>
      <c r="C1669" s="458">
        <v>93161</v>
      </c>
    </row>
    <row r="1670" spans="2:3">
      <c r="B1670" s="529" t="s">
        <v>1475</v>
      </c>
      <c r="C1670" s="458">
        <v>98261</v>
      </c>
    </row>
    <row r="1671" spans="2:3">
      <c r="B1671" s="529" t="s">
        <v>1424</v>
      </c>
      <c r="C1671" s="458">
        <v>97861</v>
      </c>
    </row>
    <row r="1672" spans="2:3">
      <c r="B1672" s="529" t="s">
        <v>1044</v>
      </c>
      <c r="C1672" s="458">
        <v>93431</v>
      </c>
    </row>
    <row r="1673" spans="2:3">
      <c r="B1673" s="529" t="s">
        <v>850</v>
      </c>
      <c r="C1673" s="458">
        <v>91214</v>
      </c>
    </row>
    <row r="1674" spans="2:3">
      <c r="B1674" s="529" t="s">
        <v>1463</v>
      </c>
      <c r="C1674" s="458">
        <v>98141</v>
      </c>
    </row>
    <row r="1675" spans="2:3">
      <c r="B1675" s="529" t="s">
        <v>1464</v>
      </c>
      <c r="C1675" s="458">
        <v>98147</v>
      </c>
    </row>
    <row r="1676" spans="2:3">
      <c r="B1676" s="529" t="s">
        <v>1470</v>
      </c>
      <c r="C1676" s="458">
        <v>98221</v>
      </c>
    </row>
    <row r="1677" spans="2:3">
      <c r="B1677" s="529" t="s">
        <v>871</v>
      </c>
      <c r="C1677" s="458">
        <v>91421</v>
      </c>
    </row>
    <row r="1678" spans="2:3">
      <c r="B1678" s="529" t="s">
        <v>1122</v>
      </c>
      <c r="C1678" s="458">
        <v>94241</v>
      </c>
    </row>
    <row r="1679" spans="2:3">
      <c r="B1679" s="529" t="s">
        <v>1322</v>
      </c>
      <c r="C1679" s="458">
        <v>96681</v>
      </c>
    </row>
    <row r="1680" spans="2:3">
      <c r="B1680" s="529" t="s">
        <v>725</v>
      </c>
      <c r="C1680" s="458">
        <v>72593</v>
      </c>
    </row>
    <row r="1681" spans="2:3">
      <c r="B1681" s="529" t="s">
        <v>1193</v>
      </c>
      <c r="C1681" s="458">
        <v>95121</v>
      </c>
    </row>
    <row r="1682" spans="2:3">
      <c r="B1682" s="529" t="s">
        <v>1577</v>
      </c>
      <c r="C1682" s="458">
        <v>99531</v>
      </c>
    </row>
    <row r="1683" spans="2:3">
      <c r="B1683" s="529" t="s">
        <v>1321</v>
      </c>
      <c r="C1683" s="458">
        <v>96671</v>
      </c>
    </row>
    <row r="1684" spans="2:3">
      <c r="B1684" s="529" t="s">
        <v>823</v>
      </c>
      <c r="C1684" s="458">
        <v>91081</v>
      </c>
    </row>
    <row r="1685" spans="2:3">
      <c r="B1685" s="529" t="s">
        <v>1300</v>
      </c>
      <c r="C1685" s="458">
        <v>96461</v>
      </c>
    </row>
    <row r="1686" spans="2:3">
      <c r="B1686" s="529" t="s">
        <v>915</v>
      </c>
      <c r="C1686" s="458">
        <v>91911</v>
      </c>
    </row>
    <row r="1687" spans="2:3">
      <c r="B1687" s="529" t="s">
        <v>1191</v>
      </c>
      <c r="C1687" s="458">
        <v>95111</v>
      </c>
    </row>
    <row r="1688" spans="2:3">
      <c r="B1688" s="529" t="s">
        <v>1096</v>
      </c>
      <c r="C1688" s="458">
        <v>94021</v>
      </c>
    </row>
    <row r="1689" spans="2:3">
      <c r="B1689" s="529" t="s">
        <v>1281</v>
      </c>
      <c r="C1689" s="458">
        <v>96311</v>
      </c>
    </row>
    <row r="1690" spans="2:3">
      <c r="B1690" s="529" t="s">
        <v>987</v>
      </c>
      <c r="C1690" s="458">
        <v>92841</v>
      </c>
    </row>
    <row r="1691" spans="2:3">
      <c r="B1691" s="529" t="s">
        <v>726</v>
      </c>
      <c r="C1691" s="458">
        <v>72657</v>
      </c>
    </row>
    <row r="1692" spans="2:3">
      <c r="B1692" s="529" t="s">
        <v>750</v>
      </c>
      <c r="C1692" s="458">
        <v>90307</v>
      </c>
    </row>
    <row r="1693" spans="2:3">
      <c r="B1693" s="529" t="s">
        <v>1447</v>
      </c>
      <c r="C1693" s="458">
        <v>98031</v>
      </c>
    </row>
    <row r="1694" spans="2:3">
      <c r="B1694" s="529" t="s">
        <v>1461</v>
      </c>
      <c r="C1694" s="458">
        <v>98121</v>
      </c>
    </row>
    <row r="1695" spans="2:3">
      <c r="B1695" s="529" t="s">
        <v>1295</v>
      </c>
      <c r="C1695" s="458">
        <v>96411</v>
      </c>
    </row>
    <row r="1696" spans="2:3">
      <c r="B1696" s="529" t="s">
        <v>976</v>
      </c>
      <c r="C1696" s="458">
        <v>92661</v>
      </c>
    </row>
    <row r="1697" spans="2:3">
      <c r="B1697" s="529" t="s">
        <v>1267</v>
      </c>
      <c r="C1697" s="458">
        <v>96111</v>
      </c>
    </row>
    <row r="1698" spans="2:3">
      <c r="B1698" s="529" t="s">
        <v>813</v>
      </c>
      <c r="C1698" s="458">
        <v>91032</v>
      </c>
    </row>
    <row r="1699" spans="2:3">
      <c r="B1699" s="529" t="s">
        <v>1417</v>
      </c>
      <c r="C1699" s="458">
        <v>97831</v>
      </c>
    </row>
    <row r="1700" spans="2:3">
      <c r="B1700" s="529" t="s">
        <v>1262</v>
      </c>
      <c r="C1700" s="458">
        <v>96061</v>
      </c>
    </row>
    <row r="1701" spans="2:3">
      <c r="B1701" s="529" t="s">
        <v>1494</v>
      </c>
      <c r="C1701" s="458">
        <v>98481</v>
      </c>
    </row>
    <row r="1702" spans="2:3">
      <c r="B1702" s="529" t="s">
        <v>1059</v>
      </c>
      <c r="C1702" s="458">
        <v>93602</v>
      </c>
    </row>
    <row r="1703" spans="2:3">
      <c r="B1703" s="529" t="s">
        <v>1603</v>
      </c>
      <c r="C1703" s="458">
        <v>99821</v>
      </c>
    </row>
    <row r="1704" spans="2:3">
      <c r="B1704" s="529" t="s">
        <v>1271</v>
      </c>
      <c r="C1704" s="458">
        <v>96211</v>
      </c>
    </row>
    <row r="1705" spans="2:3">
      <c r="B1705" s="529" t="s">
        <v>972</v>
      </c>
      <c r="C1705" s="458">
        <v>92621</v>
      </c>
    </row>
    <row r="1706" spans="2:3">
      <c r="B1706" s="529" t="s">
        <v>3772</v>
      </c>
      <c r="C1706" s="458">
        <v>94537</v>
      </c>
    </row>
    <row r="1707" spans="2:3">
      <c r="B1707" s="529" t="s">
        <v>1432</v>
      </c>
      <c r="C1707" s="458">
        <v>97931</v>
      </c>
    </row>
    <row r="1708" spans="2:3">
      <c r="B1708" s="529" t="s">
        <v>1088</v>
      </c>
      <c r="C1708" s="458">
        <v>93914</v>
      </c>
    </row>
    <row r="1709" spans="2:3">
      <c r="B1709" s="529" t="s">
        <v>1113</v>
      </c>
      <c r="C1709" s="458">
        <v>94171</v>
      </c>
    </row>
    <row r="1710" spans="2:3">
      <c r="B1710" s="529" t="s">
        <v>814</v>
      </c>
      <c r="C1710" s="458">
        <v>91041</v>
      </c>
    </row>
    <row r="1711" spans="2:3">
      <c r="B1711" s="529" t="s">
        <v>816</v>
      </c>
      <c r="C1711" s="458">
        <v>91047</v>
      </c>
    </row>
    <row r="1712" spans="2:3">
      <c r="B1712" s="529" t="s">
        <v>1357</v>
      </c>
      <c r="C1712" s="458">
        <v>97131</v>
      </c>
    </row>
    <row r="1713" spans="2:3">
      <c r="B1713" s="529" t="s">
        <v>1327</v>
      </c>
      <c r="C1713" s="458">
        <v>96721</v>
      </c>
    </row>
    <row r="1714" spans="2:3">
      <c r="B1714" s="529" t="s">
        <v>3757</v>
      </c>
      <c r="C1714" s="458">
        <v>96722</v>
      </c>
    </row>
    <row r="1715" spans="2:3">
      <c r="B1715" s="529" t="s">
        <v>1183</v>
      </c>
      <c r="C1715" s="458">
        <v>95011</v>
      </c>
    </row>
    <row r="1716" spans="2:3">
      <c r="B1716" s="529" t="s">
        <v>947</v>
      </c>
      <c r="C1716" s="458">
        <v>92451</v>
      </c>
    </row>
    <row r="1717" spans="2:3">
      <c r="B1717" s="529" t="s">
        <v>1028</v>
      </c>
      <c r="C1717" s="458">
        <v>93311</v>
      </c>
    </row>
    <row r="1718" spans="2:3">
      <c r="B1718" s="529" t="s">
        <v>747</v>
      </c>
      <c r="C1718" s="458">
        <v>90211</v>
      </c>
    </row>
    <row r="1719" spans="2:3">
      <c r="B1719" s="529" t="s">
        <v>1277</v>
      </c>
      <c r="C1719" s="458">
        <v>96302</v>
      </c>
    </row>
    <row r="1720" spans="2:3">
      <c r="B1720" s="529" t="s">
        <v>1015</v>
      </c>
      <c r="C1720" s="458">
        <v>93181</v>
      </c>
    </row>
    <row r="1721" spans="2:3">
      <c r="B1721" s="529" t="s">
        <v>1356</v>
      </c>
      <c r="C1721" s="458">
        <v>97121</v>
      </c>
    </row>
    <row r="1722" spans="2:3">
      <c r="B1722" s="529" t="s">
        <v>958</v>
      </c>
      <c r="C1722" s="458">
        <v>92521</v>
      </c>
    </row>
    <row r="1723" spans="2:3">
      <c r="B1723" s="529" t="s">
        <v>1176</v>
      </c>
      <c r="C1723" s="458">
        <v>94931</v>
      </c>
    </row>
    <row r="1724" spans="2:3">
      <c r="B1724" s="529" t="s">
        <v>1927</v>
      </c>
      <c r="C1724" s="458">
        <v>94937</v>
      </c>
    </row>
    <row r="1725" spans="2:3">
      <c r="B1725" s="529" t="s">
        <v>1272</v>
      </c>
      <c r="C1725" s="458">
        <v>96221</v>
      </c>
    </row>
    <row r="1726" spans="2:3">
      <c r="B1726" s="529" t="s">
        <v>1385</v>
      </c>
      <c r="C1726" s="458">
        <v>97511</v>
      </c>
    </row>
    <row r="1727" spans="2:3">
      <c r="B1727" s="529" t="s">
        <v>1474</v>
      </c>
      <c r="C1727" s="458">
        <v>98251</v>
      </c>
    </row>
    <row r="1728" spans="2:3">
      <c r="B1728" s="529" t="s">
        <v>1528</v>
      </c>
      <c r="C1728" s="458">
        <v>99061</v>
      </c>
    </row>
    <row r="1729" spans="2:3">
      <c r="B1729" s="529" t="s">
        <v>848</v>
      </c>
      <c r="C1729" s="458">
        <v>91211</v>
      </c>
    </row>
    <row r="1730" spans="2:3">
      <c r="B1730" s="529" t="s">
        <v>961</v>
      </c>
      <c r="C1730" s="458">
        <v>92551</v>
      </c>
    </row>
    <row r="1731" spans="2:3">
      <c r="B1731" s="529" t="s">
        <v>1284</v>
      </c>
      <c r="C1731" s="458">
        <v>96321</v>
      </c>
    </row>
    <row r="1732" spans="2:3">
      <c r="B1732" s="529" t="s">
        <v>974</v>
      </c>
      <c r="C1732" s="458">
        <v>92641</v>
      </c>
    </row>
    <row r="1733" spans="2:3">
      <c r="B1733" s="529" t="s">
        <v>752</v>
      </c>
      <c r="C1733" s="458">
        <v>90411</v>
      </c>
    </row>
    <row r="1734" spans="2:3">
      <c r="B1734" s="529" t="s">
        <v>1482</v>
      </c>
      <c r="C1734" s="458">
        <v>98321</v>
      </c>
    </row>
    <row r="1735" spans="2:3">
      <c r="B1735" s="529" t="s">
        <v>1557</v>
      </c>
      <c r="C1735" s="458">
        <v>99281</v>
      </c>
    </row>
    <row r="1736" spans="2:3">
      <c r="B1736" s="529" t="s">
        <v>1048</v>
      </c>
      <c r="C1736" s="458">
        <v>93461</v>
      </c>
    </row>
    <row r="1737" spans="2:3">
      <c r="B1737" s="529" t="s">
        <v>1011</v>
      </c>
      <c r="C1737" s="458">
        <v>93151</v>
      </c>
    </row>
    <row r="1738" spans="2:3">
      <c r="B1738" s="529" t="s">
        <v>1496</v>
      </c>
      <c r="C1738" s="458">
        <v>98511</v>
      </c>
    </row>
    <row r="1739" spans="2:3">
      <c r="B1739" s="529" t="s">
        <v>1097</v>
      </c>
      <c r="C1739" s="458">
        <v>94031</v>
      </c>
    </row>
    <row r="1740" spans="2:3">
      <c r="B1740" s="529" t="s">
        <v>1562</v>
      </c>
      <c r="C1740" s="458">
        <v>99321</v>
      </c>
    </row>
    <row r="1741" spans="2:3">
      <c r="B1741" s="529" t="s">
        <v>1008</v>
      </c>
      <c r="C1741" s="458">
        <v>93131</v>
      </c>
    </row>
    <row r="1742" spans="2:3">
      <c r="B1742" s="529" t="s">
        <v>778</v>
      </c>
      <c r="C1742" s="458">
        <v>90741</v>
      </c>
    </row>
    <row r="1743" spans="2:3">
      <c r="B1743" s="529" t="s">
        <v>1525</v>
      </c>
      <c r="C1743" s="458">
        <v>99041</v>
      </c>
    </row>
    <row r="1744" spans="2:3">
      <c r="B1744" s="529" t="s">
        <v>1138</v>
      </c>
      <c r="C1744" s="458">
        <v>94411</v>
      </c>
    </row>
    <row r="1745" spans="2:3">
      <c r="B1745" s="529" t="s">
        <v>837</v>
      </c>
      <c r="C1745" s="458">
        <v>91141</v>
      </c>
    </row>
    <row r="1746" spans="2:3">
      <c r="B1746" s="529" t="s">
        <v>1529</v>
      </c>
      <c r="C1746" s="458">
        <v>99071</v>
      </c>
    </row>
    <row r="1747" spans="2:3">
      <c r="B1747" s="529" t="s">
        <v>1121</v>
      </c>
      <c r="C1747" s="458">
        <v>94231</v>
      </c>
    </row>
    <row r="1748" spans="2:3">
      <c r="B1748" s="529" t="s">
        <v>1551</v>
      </c>
      <c r="C1748" s="458">
        <v>99231</v>
      </c>
    </row>
    <row r="1749" spans="2:3">
      <c r="B1749" s="529" t="s">
        <v>762</v>
      </c>
      <c r="C1749" s="458">
        <v>90521</v>
      </c>
    </row>
    <row r="1750" spans="2:3">
      <c r="B1750" s="529" t="s">
        <v>1298</v>
      </c>
      <c r="C1750" s="458">
        <v>96441</v>
      </c>
    </row>
    <row r="1751" spans="2:3">
      <c r="B1751" s="529" t="s">
        <v>792</v>
      </c>
      <c r="C1751" s="458">
        <v>90921</v>
      </c>
    </row>
    <row r="1752" spans="2:3">
      <c r="B1752" s="529" t="s">
        <v>1595</v>
      </c>
      <c r="C1752" s="458">
        <v>99721</v>
      </c>
    </row>
    <row r="1753" spans="2:3">
      <c r="B1753" s="529" t="s">
        <v>1237</v>
      </c>
      <c r="C1753" s="458">
        <v>95811</v>
      </c>
    </row>
    <row r="1754" spans="2:3">
      <c r="B1754" s="529" t="s">
        <v>1202</v>
      </c>
      <c r="C1754" s="458">
        <v>95191</v>
      </c>
    </row>
    <row r="1755" spans="2:3">
      <c r="B1755" s="529" t="s">
        <v>785</v>
      </c>
      <c r="C1755" s="458">
        <v>90812</v>
      </c>
    </row>
    <row r="1756" spans="2:3">
      <c r="B1756" s="529" t="s">
        <v>1362</v>
      </c>
      <c r="C1756" s="458">
        <v>97221</v>
      </c>
    </row>
    <row r="1757" spans="2:3">
      <c r="B1757" s="529" t="s">
        <v>1524</v>
      </c>
      <c r="C1757" s="458">
        <v>99031</v>
      </c>
    </row>
    <row r="1758" spans="2:3">
      <c r="B1758" s="529" t="s">
        <v>1378</v>
      </c>
      <c r="C1758" s="458">
        <v>97451</v>
      </c>
    </row>
    <row r="1759" spans="2:3">
      <c r="B1759" s="529" t="s">
        <v>1161</v>
      </c>
      <c r="C1759" s="458">
        <v>94631</v>
      </c>
    </row>
    <row r="1760" spans="2:3">
      <c r="B1760" s="529" t="s">
        <v>842</v>
      </c>
      <c r="C1760" s="458">
        <v>91171</v>
      </c>
    </row>
    <row r="1761" spans="2:3">
      <c r="B1761" s="529" t="s">
        <v>1316</v>
      </c>
      <c r="C1761" s="458">
        <v>96621</v>
      </c>
    </row>
    <row r="1762" spans="2:3">
      <c r="B1762" s="529" t="s">
        <v>1307</v>
      </c>
      <c r="C1762" s="458">
        <v>96511</v>
      </c>
    </row>
    <row r="1763" spans="2:3">
      <c r="B1763" s="529" t="s">
        <v>1608</v>
      </c>
      <c r="C1763" s="458">
        <v>99911</v>
      </c>
    </row>
    <row r="1764" spans="2:3">
      <c r="B1764" s="529" t="s">
        <v>896</v>
      </c>
      <c r="C1764" s="458">
        <v>91719</v>
      </c>
    </row>
    <row r="1765" spans="2:3">
      <c r="B1765" s="529" t="s">
        <v>1057</v>
      </c>
      <c r="C1765" s="458">
        <v>93541</v>
      </c>
    </row>
    <row r="1766" spans="2:3">
      <c r="B1766" s="529" t="s">
        <v>1552</v>
      </c>
      <c r="C1766" s="458">
        <v>99241</v>
      </c>
    </row>
    <row r="1767" spans="2:3">
      <c r="B1767" s="529" t="s">
        <v>1512</v>
      </c>
      <c r="C1767" s="458">
        <v>98801</v>
      </c>
    </row>
    <row r="1768" spans="2:3">
      <c r="B1768" s="529" t="s">
        <v>1042</v>
      </c>
      <c r="C1768" s="458">
        <v>93417</v>
      </c>
    </row>
    <row r="1769" spans="2:3">
      <c r="B1769" s="529" t="s">
        <v>1023</v>
      </c>
      <c r="C1769" s="458">
        <v>93219</v>
      </c>
    </row>
    <row r="1770" spans="2:3">
      <c r="B1770" s="529" t="s">
        <v>957</v>
      </c>
      <c r="C1770" s="458">
        <v>92513</v>
      </c>
    </row>
    <row r="1771" spans="2:3">
      <c r="B1771" s="529" t="s">
        <v>3733</v>
      </c>
      <c r="C1771" s="458">
        <v>97517</v>
      </c>
    </row>
    <row r="1772" spans="2:3">
      <c r="B1772" s="529" t="s">
        <v>1179</v>
      </c>
      <c r="C1772" s="458">
        <v>95002</v>
      </c>
    </row>
    <row r="1773" spans="2:3">
      <c r="B1773" s="529" t="s">
        <v>1516</v>
      </c>
      <c r="C1773" s="458">
        <v>98904</v>
      </c>
    </row>
    <row r="1774" spans="2:3">
      <c r="B1774" s="529" t="s">
        <v>1515</v>
      </c>
      <c r="C1774" s="458">
        <v>98901</v>
      </c>
    </row>
    <row r="1775" spans="2:3">
      <c r="B1775" s="529" t="s">
        <v>1518</v>
      </c>
      <c r="C1775" s="458">
        <v>99001</v>
      </c>
    </row>
    <row r="1776" spans="2:3">
      <c r="B1776" s="529" t="s">
        <v>1027</v>
      </c>
      <c r="C1776" s="458">
        <v>93309</v>
      </c>
    </row>
    <row r="1777" spans="2:3">
      <c r="B1777" s="529" t="s">
        <v>1928</v>
      </c>
      <c r="C1777" s="458">
        <v>94947</v>
      </c>
    </row>
    <row r="1778" spans="2:3">
      <c r="B1778" s="529" t="s">
        <v>849</v>
      </c>
      <c r="C1778" s="458">
        <v>91213</v>
      </c>
    </row>
    <row r="1779" spans="2:3">
      <c r="B1779" s="529" t="s">
        <v>1532</v>
      </c>
      <c r="C1779" s="458">
        <v>99101</v>
      </c>
    </row>
    <row r="1780" spans="2:3">
      <c r="B1780" s="529" t="s">
        <v>1533</v>
      </c>
      <c r="C1780" s="458">
        <v>99104</v>
      </c>
    </row>
    <row r="1781" spans="2:3">
      <c r="B1781" s="529" t="s">
        <v>1182</v>
      </c>
      <c r="C1781" s="458">
        <v>95009</v>
      </c>
    </row>
    <row r="1782" spans="2:3">
      <c r="B1782" s="529" t="s">
        <v>741</v>
      </c>
      <c r="C1782" s="458">
        <v>90151</v>
      </c>
    </row>
    <row r="1783" spans="2:3">
      <c r="B1783" s="529" t="s">
        <v>824</v>
      </c>
      <c r="C1783" s="458">
        <v>91091</v>
      </c>
    </row>
    <row r="1784" spans="2:3">
      <c r="B1784" s="529" t="s">
        <v>1045</v>
      </c>
      <c r="C1784" s="458">
        <v>93441</v>
      </c>
    </row>
    <row r="1785" spans="2:3">
      <c r="B1785" s="529" t="s">
        <v>1530</v>
      </c>
      <c r="C1785" s="458">
        <v>99081</v>
      </c>
    </row>
    <row r="1786" spans="2:3">
      <c r="B1786" s="529" t="s">
        <v>1487</v>
      </c>
      <c r="C1786" s="458">
        <v>98414</v>
      </c>
    </row>
    <row r="1787" spans="2:3">
      <c r="B1787" s="529" t="s">
        <v>1287</v>
      </c>
      <c r="C1787" s="458">
        <v>96351</v>
      </c>
    </row>
    <row r="1788" spans="2:3">
      <c r="B1788" s="529" t="s">
        <v>1382</v>
      </c>
      <c r="C1788" s="458">
        <v>97481</v>
      </c>
    </row>
    <row r="1789" spans="2:3">
      <c r="B1789" s="529" t="s">
        <v>1930</v>
      </c>
      <c r="C1789" s="458">
        <v>90651</v>
      </c>
    </row>
    <row r="1790" spans="2:3">
      <c r="B1790" s="529" t="s">
        <v>1049</v>
      </c>
      <c r="C1790" s="458">
        <v>93471</v>
      </c>
    </row>
    <row r="1791" spans="2:3">
      <c r="B1791" s="529" t="s">
        <v>1590</v>
      </c>
      <c r="C1791" s="458">
        <v>99661</v>
      </c>
    </row>
    <row r="1792" spans="2:3">
      <c r="B1792" s="529" t="s">
        <v>1531</v>
      </c>
      <c r="C1792" s="458">
        <v>99091</v>
      </c>
    </row>
    <row r="1793" spans="2:3">
      <c r="B1793" s="529" t="s">
        <v>1289</v>
      </c>
      <c r="C1793" s="458">
        <v>96371</v>
      </c>
    </row>
    <row r="1794" spans="2:3">
      <c r="B1794" s="529" t="s">
        <v>754</v>
      </c>
      <c r="C1794" s="458">
        <v>90417</v>
      </c>
    </row>
    <row r="1795" spans="2:3">
      <c r="B1795" s="529" t="s">
        <v>753</v>
      </c>
      <c r="C1795" s="458">
        <v>90413</v>
      </c>
    </row>
    <row r="1796" spans="2:3">
      <c r="B1796" s="529" t="s">
        <v>1540</v>
      </c>
      <c r="C1796" s="458">
        <v>99204</v>
      </c>
    </row>
    <row r="1797" spans="2:3">
      <c r="B1797" s="529" t="s">
        <v>3738</v>
      </c>
      <c r="C1797" s="458">
        <v>99201</v>
      </c>
    </row>
    <row r="1798" spans="2:3">
      <c r="B1798" s="529" t="s">
        <v>1542</v>
      </c>
      <c r="C1798" s="458">
        <v>99207</v>
      </c>
    </row>
    <row r="1799" spans="2:3">
      <c r="B1799" s="529" t="s">
        <v>1012</v>
      </c>
      <c r="C1799" s="458">
        <v>93157</v>
      </c>
    </row>
    <row r="1800" spans="2:3">
      <c r="B1800" s="529" t="s">
        <v>1497</v>
      </c>
      <c r="C1800" s="458">
        <v>98517</v>
      </c>
    </row>
    <row r="1801" spans="2:3">
      <c r="B1801" s="529" t="s">
        <v>1559</v>
      </c>
      <c r="C1801" s="458">
        <v>99301</v>
      </c>
    </row>
    <row r="1802" spans="2:3">
      <c r="B1802" s="529" t="s">
        <v>1560</v>
      </c>
      <c r="C1802" s="458">
        <v>99304</v>
      </c>
    </row>
    <row r="1803" spans="2:3">
      <c r="B1803" s="529" t="s">
        <v>1009</v>
      </c>
      <c r="C1803" s="458">
        <v>93137</v>
      </c>
    </row>
    <row r="1804" spans="2:3">
      <c r="B1804" s="529" t="s">
        <v>1563</v>
      </c>
      <c r="C1804" s="458">
        <v>99401</v>
      </c>
    </row>
    <row r="1805" spans="2:3">
      <c r="B1805" s="529" t="s">
        <v>1564</v>
      </c>
      <c r="C1805" s="458">
        <v>99404</v>
      </c>
    </row>
    <row r="1806" spans="2:3">
      <c r="B1806" s="529" t="s">
        <v>3759</v>
      </c>
      <c r="C1806" s="458">
        <v>99624</v>
      </c>
    </row>
    <row r="1807" spans="2:3">
      <c r="B1807" s="529" t="s">
        <v>1570</v>
      </c>
      <c r="C1807" s="458">
        <v>99501</v>
      </c>
    </row>
    <row r="1808" spans="2:3">
      <c r="B1808" s="529" t="s">
        <v>1573</v>
      </c>
      <c r="C1808" s="458">
        <v>99509</v>
      </c>
    </row>
    <row r="1809" spans="2:3">
      <c r="B1809" s="529" t="s">
        <v>859</v>
      </c>
      <c r="C1809" s="458">
        <v>91302</v>
      </c>
    </row>
    <row r="1810" spans="2:3">
      <c r="B1810" s="529" t="s">
        <v>1526</v>
      </c>
      <c r="C1810" s="458">
        <v>99047</v>
      </c>
    </row>
    <row r="1811" spans="2:3">
      <c r="B1811" s="529" t="s">
        <v>1578</v>
      </c>
      <c r="C1811" s="458">
        <v>99601</v>
      </c>
    </row>
    <row r="1812" spans="2:3">
      <c r="B1812" s="529" t="s">
        <v>1581</v>
      </c>
      <c r="C1812" s="458">
        <v>99604</v>
      </c>
    </row>
    <row r="1813" spans="2:3">
      <c r="B1813" s="529" t="s">
        <v>1139</v>
      </c>
      <c r="C1813" s="458">
        <v>94412</v>
      </c>
    </row>
    <row r="1814" spans="2:3">
      <c r="B1814" s="529" t="s">
        <v>838</v>
      </c>
      <c r="C1814" s="458">
        <v>91147</v>
      </c>
    </row>
    <row r="1815" spans="2:3">
      <c r="B1815" s="529" t="s">
        <v>832</v>
      </c>
      <c r="C1815" s="458">
        <v>91120</v>
      </c>
    </row>
    <row r="1816" spans="2:3">
      <c r="B1816" s="529" t="s">
        <v>946</v>
      </c>
      <c r="C1816" s="458">
        <v>92444</v>
      </c>
    </row>
    <row r="1817" spans="2:3">
      <c r="B1817" s="529" t="s">
        <v>34</v>
      </c>
      <c r="C1817" s="458">
        <v>90507</v>
      </c>
    </row>
    <row r="1818" spans="2:3">
      <c r="B1818" s="529" t="s">
        <v>965</v>
      </c>
      <c r="C1818" s="458">
        <v>92602</v>
      </c>
    </row>
    <row r="1819" spans="2:3">
      <c r="B1819" s="529" t="s">
        <v>882</v>
      </c>
      <c r="C1819" s="458">
        <v>91608</v>
      </c>
    </row>
    <row r="1820" spans="2:3">
      <c r="B1820" s="529" t="s">
        <v>902</v>
      </c>
      <c r="C1820" s="458">
        <v>91818</v>
      </c>
    </row>
    <row r="1821" spans="2:3">
      <c r="B1821" s="529" t="s">
        <v>903</v>
      </c>
      <c r="C1821" s="458">
        <v>91819</v>
      </c>
    </row>
    <row r="1822" spans="2:3">
      <c r="B1822" s="529" t="s">
        <v>941</v>
      </c>
      <c r="C1822" s="458">
        <v>92417</v>
      </c>
    </row>
    <row r="1823" spans="2:3">
      <c r="B1823" s="529" t="s">
        <v>939</v>
      </c>
      <c r="C1823" s="458">
        <v>92403</v>
      </c>
    </row>
    <row r="1824" spans="2:3">
      <c r="B1824" s="529" t="s">
        <v>1591</v>
      </c>
      <c r="C1824" s="458">
        <v>99701</v>
      </c>
    </row>
    <row r="1825" spans="2:3">
      <c r="B1825" s="529" t="s">
        <v>1596</v>
      </c>
      <c r="C1825" s="458">
        <v>99727</v>
      </c>
    </row>
    <row r="1826" spans="2:3">
      <c r="B1826" s="529" t="s">
        <v>1238</v>
      </c>
      <c r="C1826" s="458">
        <v>95813</v>
      </c>
    </row>
    <row r="1827" spans="2:3">
      <c r="B1827" s="529" t="s">
        <v>1303</v>
      </c>
      <c r="C1827" s="458">
        <v>96503</v>
      </c>
    </row>
    <row r="1828" spans="2:3">
      <c r="B1828" s="529" t="s">
        <v>1597</v>
      </c>
      <c r="C1828" s="458">
        <v>99801</v>
      </c>
    </row>
    <row r="1829" spans="2:3">
      <c r="B1829" s="529" t="s">
        <v>1599</v>
      </c>
      <c r="C1829" s="458">
        <v>99804</v>
      </c>
    </row>
    <row r="1830" spans="2:3">
      <c r="B1830" s="482" t="s">
        <v>1598</v>
      </c>
      <c r="C1830" s="481">
        <v>99802</v>
      </c>
    </row>
    <row r="1831" spans="2:3">
      <c r="B1831" s="529" t="s">
        <v>1601</v>
      </c>
      <c r="C1831" s="458">
        <v>99812</v>
      </c>
    </row>
    <row r="1832" spans="2:3">
      <c r="B1832" s="529" t="s">
        <v>1041</v>
      </c>
      <c r="C1832" s="458">
        <v>93413</v>
      </c>
    </row>
    <row r="1833" spans="2:3">
      <c r="B1833" s="529" t="s">
        <v>827</v>
      </c>
      <c r="C1833" s="458">
        <v>91104</v>
      </c>
    </row>
    <row r="1834" spans="2:3">
      <c r="B1834" s="529" t="s">
        <v>830</v>
      </c>
      <c r="C1834" s="458">
        <v>91109</v>
      </c>
    </row>
    <row r="1835" spans="2:3">
      <c r="B1835" s="529" t="s">
        <v>1607</v>
      </c>
      <c r="C1835" s="458">
        <v>99901</v>
      </c>
    </row>
    <row r="1836" spans="2:3">
      <c r="B1836" s="529" t="s">
        <v>1500</v>
      </c>
      <c r="C1836" s="458">
        <v>98604</v>
      </c>
    </row>
    <row r="1837" spans="2:3">
      <c r="B1837" s="529" t="s">
        <v>1502</v>
      </c>
      <c r="C1837" s="458">
        <v>98608</v>
      </c>
    </row>
    <row r="1838" spans="2:3">
      <c r="B1838" s="529" t="s">
        <v>727</v>
      </c>
      <c r="C1838" s="458">
        <v>90001</v>
      </c>
    </row>
    <row r="1839" spans="2:3">
      <c r="B1839" s="529" t="s">
        <v>728</v>
      </c>
      <c r="C1839" s="458">
        <v>90002</v>
      </c>
    </row>
  </sheetData>
  <sheetProtection algorithmName="SHA-512" hashValue="TOBxvGdRgOvikOK1yMU0o8YromQHaq8hq8FhdmAbbmddqfaI5Jy3ynshzxc/M4QY/lkXO565g2KSIEHuoYQNbA==" saltValue="U5rGJNPGKZEsXFdRKAwpeQ==" spinCount="100000" sheet="1" objects="1" scenarios="1"/>
  <mergeCells count="5">
    <mergeCell ref="A1:B1"/>
    <mergeCell ref="A6:A7"/>
    <mergeCell ref="G6:K6"/>
    <mergeCell ref="M6:Q6"/>
    <mergeCell ref="S6:U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AEB6-B39B-4972-A9C8-7A83371F3820}">
  <sheetPr>
    <pageSetUpPr fitToPage="1"/>
  </sheetPr>
  <dimension ref="A1:Z1840"/>
  <sheetViews>
    <sheetView zoomScale="90" zoomScaleNormal="90" zoomScaleSheetLayoutView="100" workbookViewId="0">
      <pane xSplit="2" ySplit="7" topLeftCell="C867" activePane="bottomRight" state="frozen"/>
      <selection pane="topRight" activeCell="C1" sqref="C1"/>
      <selection pane="bottomLeft" activeCell="A3" sqref="A3"/>
      <selection pane="bottomRight" activeCell="I16" sqref="I16"/>
    </sheetView>
  </sheetViews>
  <sheetFormatPr defaultColWidth="9.140625" defaultRowHeight="14.25"/>
  <cols>
    <col min="1" max="1" width="15.28515625" style="452" customWidth="1"/>
    <col min="2" max="2" width="49.140625" style="452" bestFit="1" customWidth="1"/>
    <col min="3" max="4" width="15.28515625" style="452" bestFit="1" customWidth="1"/>
    <col min="5" max="5" width="19.7109375" style="452" bestFit="1" customWidth="1"/>
    <col min="6" max="6" width="3.85546875" style="452" customWidth="1"/>
    <col min="7" max="7" width="17.7109375" style="452" bestFit="1" customWidth="1"/>
    <col min="8" max="8" width="19.42578125" style="452" bestFit="1" customWidth="1"/>
    <col min="9" max="9" width="17.28515625" style="452" bestFit="1" customWidth="1"/>
    <col min="10" max="10" width="22.28515625" style="452" bestFit="1" customWidth="1"/>
    <col min="11" max="11" width="18.5703125" style="452" bestFit="1" customWidth="1"/>
    <col min="12" max="12" width="3.85546875" style="452" customWidth="1"/>
    <col min="13" max="13" width="17.28515625" style="452" bestFit="1" customWidth="1"/>
    <col min="14" max="14" width="17.85546875" style="452" bestFit="1" customWidth="1"/>
    <col min="15" max="15" width="15.5703125" style="452" bestFit="1" customWidth="1"/>
    <col min="16" max="16" width="22.28515625" style="452" bestFit="1" customWidth="1"/>
    <col min="17" max="17" width="17.7109375" style="452" bestFit="1" customWidth="1"/>
    <col min="18" max="18" width="3.85546875" style="452" customWidth="1"/>
    <col min="19" max="19" width="19.42578125" style="452" bestFit="1" customWidth="1"/>
    <col min="20" max="20" width="27.42578125" style="452" bestFit="1" customWidth="1"/>
    <col min="21" max="21" width="19" style="452" bestFit="1" customWidth="1"/>
    <col min="22" max="22" width="9.140625" style="452"/>
    <col min="23" max="23" width="20.42578125" style="452" bestFit="1" customWidth="1"/>
    <col min="24" max="24" width="19" style="452" bestFit="1" customWidth="1"/>
    <col min="25" max="16384" width="9.140625" style="452"/>
  </cols>
  <sheetData>
    <row r="1" spans="1:24">
      <c r="A1" s="561" t="s">
        <v>3769</v>
      </c>
      <c r="B1" s="561"/>
    </row>
    <row r="3" spans="1:24">
      <c r="C3" s="453">
        <f>SUM(C9:C915)</f>
        <v>0.99999999999999989</v>
      </c>
      <c r="D3" s="453">
        <f>SUM(D9:D915)</f>
        <v>1.0000000000000002</v>
      </c>
      <c r="E3" s="454">
        <f>SUM(E9:E915)</f>
        <v>6623086993</v>
      </c>
      <c r="F3" s="454"/>
      <c r="G3" s="454">
        <f>SUM(G9:G915)</f>
        <v>738007993</v>
      </c>
      <c r="H3" s="454">
        <f>SUM(H9:H915)</f>
        <v>1772628005</v>
      </c>
      <c r="I3" s="454">
        <f>SUM(I9:I915)</f>
        <v>281443005</v>
      </c>
      <c r="J3" s="454">
        <f>SUM(J9:J915)</f>
        <v>109536513</v>
      </c>
      <c r="K3" s="454">
        <f>SUM(K9:K915)</f>
        <v>2901615516</v>
      </c>
      <c r="L3" s="454"/>
      <c r="M3" s="454">
        <f>SUM(M9:M915)</f>
        <v>15887998</v>
      </c>
      <c r="N3" s="454">
        <f>SUM(N9:N915)</f>
        <v>0</v>
      </c>
      <c r="O3" s="454">
        <f>SUM(O9:O915)</f>
        <v>0</v>
      </c>
      <c r="P3" s="454">
        <f>SUM(P9:P915)</f>
        <v>109536689</v>
      </c>
      <c r="Q3" s="454">
        <f>SUM(Q9:Q915)</f>
        <v>125424687</v>
      </c>
      <c r="R3" s="454"/>
      <c r="S3" s="454">
        <f>SUM(S9:S915)</f>
        <v>1902335006</v>
      </c>
      <c r="T3" s="454">
        <f>SUM(T9:T915)</f>
        <v>4</v>
      </c>
      <c r="U3" s="454">
        <f>SUM(U9:U915)</f>
        <v>1902335010</v>
      </c>
      <c r="V3" s="454"/>
      <c r="W3" s="454">
        <f>SUM(W9:W915)</f>
        <v>11474237995</v>
      </c>
      <c r="X3" s="454">
        <f>SUM(X9:X915)</f>
        <v>2629164991</v>
      </c>
    </row>
    <row r="4" spans="1:24" ht="15">
      <c r="C4" s="455">
        <v>0.99999999999999989</v>
      </c>
      <c r="D4" s="455">
        <v>1.0000000000000002</v>
      </c>
      <c r="E4" s="456">
        <v>6623086993</v>
      </c>
      <c r="F4" s="456"/>
      <c r="G4" s="456">
        <v>738007993</v>
      </c>
      <c r="H4" s="456">
        <v>1772628005</v>
      </c>
      <c r="I4" s="456">
        <v>281443005</v>
      </c>
      <c r="J4" s="456">
        <v>109536513</v>
      </c>
      <c r="K4" s="456">
        <v>2901615516</v>
      </c>
      <c r="L4" s="456"/>
      <c r="M4" s="456">
        <v>15887998</v>
      </c>
      <c r="N4" s="456">
        <v>0</v>
      </c>
      <c r="O4" s="456">
        <v>0</v>
      </c>
      <c r="P4" s="456">
        <v>109536689</v>
      </c>
      <c r="Q4" s="456">
        <v>125424687</v>
      </c>
      <c r="R4" s="456"/>
      <c r="S4" s="456">
        <v>1902335006</v>
      </c>
      <c r="T4" s="456">
        <v>4</v>
      </c>
      <c r="U4" s="456">
        <v>1902335010</v>
      </c>
      <c r="W4" s="456">
        <v>11474237995</v>
      </c>
      <c r="X4" s="456">
        <v>2629164991</v>
      </c>
    </row>
    <row r="6" spans="1:24" ht="15" customHeight="1" thickBot="1">
      <c r="A6" s="562" t="s">
        <v>0</v>
      </c>
      <c r="G6" s="563" t="s">
        <v>2</v>
      </c>
      <c r="H6" s="563"/>
      <c r="I6" s="563"/>
      <c r="J6" s="563"/>
      <c r="K6" s="563"/>
      <c r="M6" s="563" t="s">
        <v>3</v>
      </c>
      <c r="N6" s="563"/>
      <c r="O6" s="563"/>
      <c r="P6" s="563"/>
      <c r="Q6" s="563"/>
      <c r="S6" s="563" t="s">
        <v>4</v>
      </c>
      <c r="T6" s="563"/>
      <c r="U6" s="563"/>
    </row>
    <row r="7" spans="1:24" ht="124.15" customHeight="1">
      <c r="A7" s="562"/>
      <c r="B7" s="457" t="s">
        <v>1</v>
      </c>
      <c r="C7" s="457" t="s">
        <v>262</v>
      </c>
      <c r="D7" s="457" t="s">
        <v>263</v>
      </c>
      <c r="E7" s="457" t="s">
        <v>720</v>
      </c>
      <c r="F7" s="457"/>
      <c r="G7" s="457" t="s">
        <v>5</v>
      </c>
      <c r="H7" s="457" t="s">
        <v>6</v>
      </c>
      <c r="I7" s="457" t="s">
        <v>7</v>
      </c>
      <c r="J7" s="457" t="s">
        <v>8</v>
      </c>
      <c r="K7" s="457" t="s">
        <v>721</v>
      </c>
      <c r="L7" s="457"/>
      <c r="M7" s="457" t="s">
        <v>5</v>
      </c>
      <c r="N7" s="457" t="s">
        <v>6</v>
      </c>
      <c r="O7" s="457" t="s">
        <v>7</v>
      </c>
      <c r="P7" s="457" t="s">
        <v>8</v>
      </c>
      <c r="Q7" s="457" t="s">
        <v>722</v>
      </c>
      <c r="R7" s="457"/>
      <c r="S7" s="457" t="s">
        <v>9</v>
      </c>
      <c r="T7" s="457" t="s">
        <v>10</v>
      </c>
      <c r="U7" s="457" t="s">
        <v>11</v>
      </c>
      <c r="W7" s="457" t="s">
        <v>3744</v>
      </c>
      <c r="X7" s="457" t="s">
        <v>3745</v>
      </c>
    </row>
    <row r="8" spans="1:24" ht="15">
      <c r="A8" s="504" t="s">
        <v>691</v>
      </c>
      <c r="B8" s="503" t="s">
        <v>690</v>
      </c>
      <c r="C8" s="457"/>
      <c r="D8" s="457"/>
      <c r="E8" s="457"/>
      <c r="F8" s="457"/>
      <c r="G8" s="457"/>
      <c r="H8" s="457"/>
      <c r="I8" s="457"/>
      <c r="J8" s="457"/>
      <c r="K8" s="457"/>
      <c r="L8" s="457"/>
      <c r="M8" s="457"/>
      <c r="N8" s="457"/>
      <c r="O8" s="457"/>
      <c r="P8" s="457"/>
      <c r="Q8" s="457"/>
      <c r="R8" s="457"/>
      <c r="S8" s="457"/>
      <c r="T8" s="457"/>
      <c r="U8" s="457"/>
      <c r="W8" s="457"/>
      <c r="X8" s="457"/>
    </row>
    <row r="9" spans="1:24">
      <c r="A9" s="458">
        <v>70505</v>
      </c>
      <c r="B9" s="459" t="s">
        <v>723</v>
      </c>
      <c r="C9" s="460">
        <v>1.5181E-4</v>
      </c>
      <c r="D9" s="460">
        <v>1.8980000000000001E-4</v>
      </c>
      <c r="E9" s="454">
        <v>1005451</v>
      </c>
      <c r="F9" s="454"/>
      <c r="G9" s="461">
        <v>112037</v>
      </c>
      <c r="H9" s="461">
        <v>269103</v>
      </c>
      <c r="I9" s="461">
        <v>42726</v>
      </c>
      <c r="J9" s="454">
        <v>11287</v>
      </c>
      <c r="K9" s="454">
        <v>435153</v>
      </c>
      <c r="L9" s="454"/>
      <c r="M9" s="461">
        <v>2412</v>
      </c>
      <c r="N9" s="461">
        <v>0</v>
      </c>
      <c r="O9" s="461">
        <v>0</v>
      </c>
      <c r="P9" s="454">
        <v>152580</v>
      </c>
      <c r="Q9" s="454">
        <v>154992</v>
      </c>
      <c r="R9" s="454"/>
      <c r="S9" s="461">
        <v>288793</v>
      </c>
      <c r="T9" s="462">
        <v>-77755</v>
      </c>
      <c r="U9" s="462">
        <v>211038</v>
      </c>
      <c r="W9" s="454">
        <v>1741904</v>
      </c>
      <c r="X9" s="454">
        <v>399134</v>
      </c>
    </row>
    <row r="10" spans="1:24">
      <c r="A10" s="458">
        <v>72265</v>
      </c>
      <c r="B10" s="459" t="s">
        <v>724</v>
      </c>
      <c r="C10" s="460">
        <v>1.4085000000000001E-4</v>
      </c>
      <c r="D10" s="460">
        <v>1.3229999999999999E-4</v>
      </c>
      <c r="E10" s="454">
        <v>932862</v>
      </c>
      <c r="F10" s="454"/>
      <c r="G10" s="461">
        <v>103948</v>
      </c>
      <c r="H10" s="461">
        <v>249675</v>
      </c>
      <c r="I10" s="461">
        <v>39641</v>
      </c>
      <c r="J10" s="454">
        <v>26512</v>
      </c>
      <c r="K10" s="454">
        <v>419776</v>
      </c>
      <c r="L10" s="454"/>
      <c r="M10" s="461">
        <v>2238</v>
      </c>
      <c r="N10" s="461">
        <v>0</v>
      </c>
      <c r="O10" s="461">
        <v>0</v>
      </c>
      <c r="P10" s="454">
        <v>21141</v>
      </c>
      <c r="Q10" s="454">
        <v>23379</v>
      </c>
      <c r="R10" s="454"/>
      <c r="S10" s="461">
        <v>267944</v>
      </c>
      <c r="T10" s="462">
        <v>3979</v>
      </c>
      <c r="U10" s="462">
        <v>271923</v>
      </c>
      <c r="W10" s="454">
        <v>1616146</v>
      </c>
      <c r="X10" s="454">
        <v>370318</v>
      </c>
    </row>
    <row r="11" spans="1:24">
      <c r="A11" s="458">
        <v>72593</v>
      </c>
      <c r="B11" s="459" t="s">
        <v>725</v>
      </c>
      <c r="C11" s="460">
        <v>1.198E-5</v>
      </c>
      <c r="D11" s="460">
        <v>6.7000000000000002E-6</v>
      </c>
      <c r="E11" s="454">
        <v>79345</v>
      </c>
      <c r="F11" s="454"/>
      <c r="G11" s="461">
        <v>8841</v>
      </c>
      <c r="H11" s="461">
        <v>21236</v>
      </c>
      <c r="I11" s="461">
        <v>3372</v>
      </c>
      <c r="J11" s="454">
        <v>8985</v>
      </c>
      <c r="K11" s="454">
        <v>42434</v>
      </c>
      <c r="L11" s="454"/>
      <c r="M11" s="461">
        <v>190</v>
      </c>
      <c r="N11" s="461">
        <v>0</v>
      </c>
      <c r="O11" s="461">
        <v>0</v>
      </c>
      <c r="P11" s="454">
        <v>1078</v>
      </c>
      <c r="Q11" s="454">
        <v>1268</v>
      </c>
      <c r="R11" s="454"/>
      <c r="S11" s="461">
        <v>22790</v>
      </c>
      <c r="T11" s="462">
        <v>2252</v>
      </c>
      <c r="U11" s="462">
        <v>25042</v>
      </c>
      <c r="W11" s="454">
        <v>137461</v>
      </c>
      <c r="X11" s="454">
        <v>31497</v>
      </c>
    </row>
    <row r="12" spans="1:24">
      <c r="A12" s="458">
        <v>72657</v>
      </c>
      <c r="B12" s="459" t="s">
        <v>726</v>
      </c>
      <c r="C12" s="463">
        <v>4.833E-5</v>
      </c>
      <c r="D12" s="463">
        <v>4.1699999999999997E-5</v>
      </c>
      <c r="E12" s="464">
        <v>320094</v>
      </c>
      <c r="F12" s="464"/>
      <c r="G12" s="461">
        <v>35668</v>
      </c>
      <c r="H12" s="461">
        <v>85671</v>
      </c>
      <c r="I12" s="461">
        <v>13602</v>
      </c>
      <c r="J12" s="464">
        <v>16396</v>
      </c>
      <c r="K12" s="464">
        <v>151337</v>
      </c>
      <c r="L12" s="464"/>
      <c r="M12" s="461">
        <v>768</v>
      </c>
      <c r="N12" s="461">
        <v>0</v>
      </c>
      <c r="O12" s="461">
        <v>0</v>
      </c>
      <c r="P12" s="464">
        <v>8618</v>
      </c>
      <c r="Q12" s="464">
        <v>9386</v>
      </c>
      <c r="R12" s="464"/>
      <c r="S12" s="461">
        <v>91940</v>
      </c>
      <c r="T12" s="462">
        <v>-293</v>
      </c>
      <c r="U12" s="462">
        <v>91647</v>
      </c>
      <c r="W12" s="464">
        <v>554550</v>
      </c>
      <c r="X12" s="464">
        <v>127068</v>
      </c>
    </row>
    <row r="13" spans="1:24">
      <c r="A13" s="458">
        <v>90001</v>
      </c>
      <c r="B13" s="459" t="s">
        <v>727</v>
      </c>
      <c r="C13" s="463">
        <v>1.1301600000000001E-3</v>
      </c>
      <c r="D13" s="463">
        <v>1.0753E-3</v>
      </c>
      <c r="E13" s="464">
        <v>7485148</v>
      </c>
      <c r="F13" s="464"/>
      <c r="G13" s="461">
        <v>834067</v>
      </c>
      <c r="H13" s="461">
        <v>2003353</v>
      </c>
      <c r="I13" s="461">
        <v>318076</v>
      </c>
      <c r="J13" s="464">
        <v>212984</v>
      </c>
      <c r="K13" s="464">
        <v>3368480</v>
      </c>
      <c r="L13" s="464"/>
      <c r="M13" s="461">
        <v>17956</v>
      </c>
      <c r="N13" s="461">
        <v>0</v>
      </c>
      <c r="O13" s="461">
        <v>0</v>
      </c>
      <c r="P13" s="464">
        <v>10204</v>
      </c>
      <c r="Q13" s="464">
        <v>28160</v>
      </c>
      <c r="R13" s="464"/>
      <c r="S13" s="461">
        <v>2149943</v>
      </c>
      <c r="T13" s="462">
        <v>157130</v>
      </c>
      <c r="U13" s="462">
        <v>2307073</v>
      </c>
      <c r="W13" s="464">
        <v>12967725</v>
      </c>
      <c r="X13" s="464">
        <v>2971377</v>
      </c>
    </row>
    <row r="14" spans="1:24">
      <c r="A14" s="458">
        <v>90002</v>
      </c>
      <c r="B14" s="459" t="s">
        <v>728</v>
      </c>
      <c r="C14" s="463">
        <v>5.4199999999999998E-6</v>
      </c>
      <c r="D14" s="463">
        <v>6.1999999999999999E-6</v>
      </c>
      <c r="E14" s="464">
        <v>35897</v>
      </c>
      <c r="F14" s="464"/>
      <c r="G14" s="461">
        <v>4000</v>
      </c>
      <c r="H14" s="461">
        <v>9608</v>
      </c>
      <c r="I14" s="461">
        <v>1525</v>
      </c>
      <c r="J14" s="464">
        <v>5469</v>
      </c>
      <c r="K14" s="464">
        <v>20602</v>
      </c>
      <c r="L14" s="464"/>
      <c r="M14" s="461">
        <v>86</v>
      </c>
      <c r="N14" s="461">
        <v>0</v>
      </c>
      <c r="O14" s="461">
        <v>0</v>
      </c>
      <c r="P14" s="464">
        <v>796</v>
      </c>
      <c r="Q14" s="464">
        <v>882</v>
      </c>
      <c r="R14" s="464"/>
      <c r="S14" s="461">
        <v>10311</v>
      </c>
      <c r="T14" s="462">
        <v>2883</v>
      </c>
      <c r="U14" s="462">
        <v>13194</v>
      </c>
      <c r="W14" s="464">
        <v>62190</v>
      </c>
      <c r="X14" s="464">
        <v>14250</v>
      </c>
    </row>
    <row r="15" spans="1:24">
      <c r="A15" s="458">
        <v>90011</v>
      </c>
      <c r="B15" s="459" t="s">
        <v>729</v>
      </c>
      <c r="C15" s="463">
        <v>1.4574999999999999E-4</v>
      </c>
      <c r="D15" s="463">
        <v>1.64E-4</v>
      </c>
      <c r="E15" s="464">
        <v>965315</v>
      </c>
      <c r="F15" s="464"/>
      <c r="G15" s="461">
        <v>107565</v>
      </c>
      <c r="H15" s="461">
        <v>258361</v>
      </c>
      <c r="I15" s="461">
        <v>41020</v>
      </c>
      <c r="J15" s="464">
        <v>16421</v>
      </c>
      <c r="K15" s="464">
        <v>423367</v>
      </c>
      <c r="L15" s="464"/>
      <c r="M15" s="461">
        <v>2316</v>
      </c>
      <c r="N15" s="461">
        <v>0</v>
      </c>
      <c r="O15" s="461">
        <v>0</v>
      </c>
      <c r="P15" s="464">
        <v>37642</v>
      </c>
      <c r="Q15" s="464">
        <v>39958</v>
      </c>
      <c r="R15" s="464"/>
      <c r="S15" s="461">
        <v>277265</v>
      </c>
      <c r="T15" s="462">
        <v>-7830</v>
      </c>
      <c r="U15" s="462">
        <v>269435</v>
      </c>
      <c r="W15" s="464">
        <v>1672370</v>
      </c>
      <c r="X15" s="464">
        <v>383201</v>
      </c>
    </row>
    <row r="16" spans="1:24">
      <c r="A16" s="458">
        <v>90092</v>
      </c>
      <c r="B16" s="459" t="s">
        <v>730</v>
      </c>
      <c r="C16" s="463">
        <v>3.6586000000000002E-4</v>
      </c>
      <c r="D16" s="463">
        <v>3.949E-4</v>
      </c>
      <c r="E16" s="464">
        <v>2423123</v>
      </c>
      <c r="F16" s="464"/>
      <c r="G16" s="461">
        <v>270008</v>
      </c>
      <c r="H16" s="461">
        <v>648534</v>
      </c>
      <c r="I16" s="461">
        <v>102969</v>
      </c>
      <c r="J16" s="464">
        <v>7615</v>
      </c>
      <c r="K16" s="464">
        <v>1029126</v>
      </c>
      <c r="L16" s="464"/>
      <c r="M16" s="461">
        <v>5813</v>
      </c>
      <c r="N16" s="461">
        <v>0</v>
      </c>
      <c r="O16" s="461">
        <v>0</v>
      </c>
      <c r="P16" s="464">
        <v>79835</v>
      </c>
      <c r="Q16" s="464">
        <v>85648</v>
      </c>
      <c r="R16" s="464"/>
      <c r="S16" s="461">
        <v>695988</v>
      </c>
      <c r="T16" s="462">
        <v>-13834</v>
      </c>
      <c r="U16" s="462">
        <v>682154</v>
      </c>
      <c r="W16" s="464">
        <v>4197965</v>
      </c>
      <c r="X16" s="464">
        <v>961906</v>
      </c>
    </row>
    <row r="17" spans="1:24">
      <c r="A17" s="458">
        <v>90096</v>
      </c>
      <c r="B17" s="459" t="s">
        <v>731</v>
      </c>
      <c r="C17" s="463">
        <v>1.0949200000000001E-3</v>
      </c>
      <c r="D17" s="463">
        <v>9.9249999999999989E-4</v>
      </c>
      <c r="E17" s="464">
        <v>7251750</v>
      </c>
      <c r="F17" s="464"/>
      <c r="G17" s="461">
        <v>808060</v>
      </c>
      <c r="H17" s="461">
        <v>1940886</v>
      </c>
      <c r="I17" s="461">
        <v>308158</v>
      </c>
      <c r="J17" s="464">
        <v>681898</v>
      </c>
      <c r="K17" s="464">
        <v>3739002</v>
      </c>
      <c r="L17" s="464"/>
      <c r="M17" s="461">
        <v>17396</v>
      </c>
      <c r="N17" s="461">
        <v>0</v>
      </c>
      <c r="O17" s="461">
        <v>0</v>
      </c>
      <c r="P17" s="464">
        <v>0</v>
      </c>
      <c r="Q17" s="464">
        <v>17396</v>
      </c>
      <c r="R17" s="464"/>
      <c r="S17" s="461">
        <v>2082905</v>
      </c>
      <c r="T17" s="462">
        <v>334713</v>
      </c>
      <c r="U17" s="462">
        <v>2417618</v>
      </c>
      <c r="W17" s="464">
        <v>12563373</v>
      </c>
      <c r="X17" s="464">
        <v>2878725</v>
      </c>
    </row>
    <row r="18" spans="1:24">
      <c r="A18" s="458">
        <v>90098</v>
      </c>
      <c r="B18" s="459" t="s">
        <v>732</v>
      </c>
      <c r="C18" s="463">
        <v>1.3207E-4</v>
      </c>
      <c r="D18" s="463">
        <v>2.1680000000000001E-4</v>
      </c>
      <c r="E18" s="464">
        <v>874711</v>
      </c>
      <c r="F18" s="464"/>
      <c r="G18" s="461">
        <v>97469</v>
      </c>
      <c r="H18" s="461">
        <v>234111</v>
      </c>
      <c r="I18" s="461">
        <v>37170</v>
      </c>
      <c r="J18" s="464">
        <v>19769</v>
      </c>
      <c r="K18" s="464">
        <v>388519</v>
      </c>
      <c r="L18" s="464"/>
      <c r="M18" s="461">
        <v>2098</v>
      </c>
      <c r="N18" s="461">
        <v>0</v>
      </c>
      <c r="O18" s="461">
        <v>0</v>
      </c>
      <c r="P18" s="464">
        <v>207313</v>
      </c>
      <c r="Q18" s="464">
        <v>209411</v>
      </c>
      <c r="R18" s="464"/>
      <c r="S18" s="461">
        <v>251241</v>
      </c>
      <c r="T18" s="462">
        <v>-74715</v>
      </c>
      <c r="U18" s="462">
        <v>176526</v>
      </c>
      <c r="W18" s="464">
        <v>1515403</v>
      </c>
      <c r="X18" s="464">
        <v>347234</v>
      </c>
    </row>
    <row r="19" spans="1:24">
      <c r="A19" s="458">
        <v>90099</v>
      </c>
      <c r="B19" s="459" t="s">
        <v>733</v>
      </c>
      <c r="C19" s="463">
        <v>7.9927999999999998E-4</v>
      </c>
      <c r="D19" s="463">
        <v>8.3799999999999999E-4</v>
      </c>
      <c r="E19" s="464">
        <v>5293701</v>
      </c>
      <c r="F19" s="464"/>
      <c r="G19" s="461">
        <v>589875</v>
      </c>
      <c r="H19" s="461">
        <v>1416826</v>
      </c>
      <c r="I19" s="461">
        <v>224952</v>
      </c>
      <c r="J19" s="464">
        <v>122058</v>
      </c>
      <c r="K19" s="464">
        <v>2353711</v>
      </c>
      <c r="L19" s="464"/>
      <c r="M19" s="461">
        <v>12699</v>
      </c>
      <c r="N19" s="461">
        <v>0</v>
      </c>
      <c r="O19" s="461">
        <v>0</v>
      </c>
      <c r="P19" s="464">
        <v>177533</v>
      </c>
      <c r="Q19" s="464">
        <v>190232</v>
      </c>
      <c r="R19" s="464"/>
      <c r="S19" s="461">
        <v>1520498</v>
      </c>
      <c r="T19" s="462">
        <v>-3167</v>
      </c>
      <c r="U19" s="462">
        <v>1517331</v>
      </c>
      <c r="W19" s="464">
        <v>9171129</v>
      </c>
      <c r="X19" s="464">
        <v>2101439</v>
      </c>
    </row>
    <row r="20" spans="1:24">
      <c r="A20" s="458">
        <v>90101</v>
      </c>
      <c r="B20" s="459" t="s">
        <v>734</v>
      </c>
      <c r="C20" s="463">
        <v>6.0552799999999997E-3</v>
      </c>
      <c r="D20" s="463">
        <v>5.9889000000000001E-3</v>
      </c>
      <c r="E20" s="464">
        <v>40104646</v>
      </c>
      <c r="F20" s="464"/>
      <c r="G20" s="461">
        <v>4468845</v>
      </c>
      <c r="H20" s="461">
        <v>10733759</v>
      </c>
      <c r="I20" s="461">
        <v>1704216</v>
      </c>
      <c r="J20" s="464">
        <v>297688</v>
      </c>
      <c r="K20" s="464">
        <v>17204508</v>
      </c>
      <c r="L20" s="464"/>
      <c r="M20" s="461">
        <v>96206</v>
      </c>
      <c r="N20" s="461">
        <v>0</v>
      </c>
      <c r="O20" s="461">
        <v>0</v>
      </c>
      <c r="P20" s="464">
        <v>310416</v>
      </c>
      <c r="Q20" s="464">
        <v>406622</v>
      </c>
      <c r="R20" s="464"/>
      <c r="S20" s="461">
        <v>11519171</v>
      </c>
      <c r="T20" s="462">
        <v>-90161</v>
      </c>
      <c r="U20" s="462">
        <v>11429010</v>
      </c>
      <c r="W20" s="464">
        <v>69479724</v>
      </c>
      <c r="X20" s="464">
        <v>15920330</v>
      </c>
    </row>
    <row r="21" spans="1:24">
      <c r="A21" s="458">
        <v>90111</v>
      </c>
      <c r="B21" s="459" t="s">
        <v>735</v>
      </c>
      <c r="C21" s="463">
        <v>4.6387199999999998E-3</v>
      </c>
      <c r="D21" s="463">
        <v>4.6198999999999997E-3</v>
      </c>
      <c r="E21" s="464">
        <v>30722646</v>
      </c>
      <c r="F21" s="464"/>
      <c r="G21" s="461">
        <v>3423412</v>
      </c>
      <c r="H21" s="461">
        <v>8222725</v>
      </c>
      <c r="I21" s="461">
        <v>1305535</v>
      </c>
      <c r="J21" s="464">
        <v>211511</v>
      </c>
      <c r="K21" s="464">
        <v>13163183</v>
      </c>
      <c r="L21" s="464"/>
      <c r="M21" s="461">
        <v>73700</v>
      </c>
      <c r="N21" s="461">
        <v>0</v>
      </c>
      <c r="O21" s="461">
        <v>0</v>
      </c>
      <c r="P21" s="464">
        <v>303547</v>
      </c>
      <c r="Q21" s="464">
        <v>377247</v>
      </c>
      <c r="R21" s="464"/>
      <c r="S21" s="461">
        <v>8824399</v>
      </c>
      <c r="T21" s="462">
        <v>-207838</v>
      </c>
      <c r="U21" s="462">
        <v>8616561</v>
      </c>
      <c r="W21" s="464">
        <v>53225777</v>
      </c>
      <c r="X21" s="464">
        <v>12195960</v>
      </c>
    </row>
    <row r="22" spans="1:24">
      <c r="A22" s="458">
        <v>90114</v>
      </c>
      <c r="B22" s="459" t="s">
        <v>736</v>
      </c>
      <c r="C22" s="463">
        <v>1.20221E-3</v>
      </c>
      <c r="D22" s="463">
        <v>1.1670000000000001E-3</v>
      </c>
      <c r="E22" s="464">
        <v>7962341</v>
      </c>
      <c r="F22" s="464"/>
      <c r="G22" s="461">
        <v>887241</v>
      </c>
      <c r="H22" s="461">
        <v>2131071</v>
      </c>
      <c r="I22" s="461">
        <v>338354</v>
      </c>
      <c r="J22" s="464">
        <v>1508826</v>
      </c>
      <c r="K22" s="464">
        <v>4865492</v>
      </c>
      <c r="L22" s="464"/>
      <c r="M22" s="461">
        <v>19101</v>
      </c>
      <c r="N22" s="461">
        <v>0</v>
      </c>
      <c r="O22" s="461">
        <v>0</v>
      </c>
      <c r="P22" s="464">
        <v>13299</v>
      </c>
      <c r="Q22" s="464">
        <v>32400</v>
      </c>
      <c r="R22" s="464"/>
      <c r="S22" s="461">
        <v>2287006</v>
      </c>
      <c r="T22" s="462">
        <v>874050</v>
      </c>
      <c r="U22" s="462">
        <v>3161056</v>
      </c>
      <c r="W22" s="464">
        <v>13794444</v>
      </c>
      <c r="X22" s="464">
        <v>3160808</v>
      </c>
    </row>
    <row r="23" spans="1:24">
      <c r="A23" s="458">
        <v>90117</v>
      </c>
      <c r="B23" s="459" t="s">
        <v>737</v>
      </c>
      <c r="C23" s="463">
        <v>1.5495E-4</v>
      </c>
      <c r="D23" s="463">
        <v>1.4750000000000001E-4</v>
      </c>
      <c r="E23" s="464">
        <v>1026247</v>
      </c>
      <c r="F23" s="464"/>
      <c r="G23" s="461">
        <v>114354</v>
      </c>
      <c r="H23" s="461">
        <v>274669</v>
      </c>
      <c r="I23" s="461">
        <v>43610</v>
      </c>
      <c r="J23" s="464">
        <v>62899</v>
      </c>
      <c r="K23" s="464">
        <v>495532</v>
      </c>
      <c r="L23" s="464"/>
      <c r="M23" s="461">
        <v>2462</v>
      </c>
      <c r="N23" s="461">
        <v>0</v>
      </c>
      <c r="O23" s="461">
        <v>0</v>
      </c>
      <c r="P23" s="464">
        <v>2955</v>
      </c>
      <c r="Q23" s="464">
        <v>5417</v>
      </c>
      <c r="R23" s="464"/>
      <c r="S23" s="461">
        <v>294767</v>
      </c>
      <c r="T23" s="462">
        <v>41859</v>
      </c>
      <c r="U23" s="462">
        <v>336626</v>
      </c>
      <c r="W23" s="464">
        <v>1777933</v>
      </c>
      <c r="X23" s="464">
        <v>407389</v>
      </c>
    </row>
    <row r="24" spans="1:24">
      <c r="A24" s="458">
        <v>90121</v>
      </c>
      <c r="B24" s="459" t="s">
        <v>738</v>
      </c>
      <c r="C24" s="463">
        <v>1.0308100000000001E-3</v>
      </c>
      <c r="D24" s="463">
        <v>1.0448E-3</v>
      </c>
      <c r="E24" s="464">
        <v>6827144</v>
      </c>
      <c r="F24" s="464"/>
      <c r="G24" s="461">
        <v>760746</v>
      </c>
      <c r="H24" s="461">
        <v>1827243</v>
      </c>
      <c r="I24" s="461">
        <v>290114</v>
      </c>
      <c r="J24" s="464">
        <v>32735</v>
      </c>
      <c r="K24" s="464">
        <v>2910838</v>
      </c>
      <c r="L24" s="464"/>
      <c r="M24" s="461">
        <v>16378</v>
      </c>
      <c r="N24" s="461">
        <v>0</v>
      </c>
      <c r="O24" s="461">
        <v>0</v>
      </c>
      <c r="P24" s="464">
        <v>107753</v>
      </c>
      <c r="Q24" s="464">
        <v>124131</v>
      </c>
      <c r="R24" s="464"/>
      <c r="S24" s="461">
        <v>1960946</v>
      </c>
      <c r="T24" s="462">
        <v>-74427</v>
      </c>
      <c r="U24" s="462">
        <v>1886519</v>
      </c>
      <c r="W24" s="464">
        <v>11827759</v>
      </c>
      <c r="X24" s="464">
        <v>2710170</v>
      </c>
    </row>
    <row r="25" spans="1:24">
      <c r="A25" s="458">
        <v>90131</v>
      </c>
      <c r="B25" s="459" t="s">
        <v>739</v>
      </c>
      <c r="C25" s="463">
        <v>4.8416000000000003E-4</v>
      </c>
      <c r="D25" s="463">
        <v>4.8010000000000001E-4</v>
      </c>
      <c r="E25" s="464">
        <v>3206634</v>
      </c>
      <c r="F25" s="464"/>
      <c r="G25" s="461">
        <v>357314</v>
      </c>
      <c r="H25" s="461">
        <v>858236</v>
      </c>
      <c r="I25" s="461">
        <v>136263</v>
      </c>
      <c r="J25" s="464">
        <v>0</v>
      </c>
      <c r="K25" s="464">
        <v>1351813</v>
      </c>
      <c r="L25" s="464"/>
      <c r="M25" s="461">
        <v>7692</v>
      </c>
      <c r="N25" s="461">
        <v>0</v>
      </c>
      <c r="O25" s="461">
        <v>0</v>
      </c>
      <c r="P25" s="464">
        <v>18853</v>
      </c>
      <c r="Q25" s="464">
        <v>26545</v>
      </c>
      <c r="R25" s="464"/>
      <c r="S25" s="461">
        <v>921035</v>
      </c>
      <c r="T25" s="462">
        <v>-11877</v>
      </c>
      <c r="U25" s="462">
        <v>909158</v>
      </c>
      <c r="W25" s="464">
        <v>5555367</v>
      </c>
      <c r="X25" s="464">
        <v>1272937</v>
      </c>
    </row>
    <row r="26" spans="1:24">
      <c r="A26" s="458">
        <v>90141</v>
      </c>
      <c r="B26" s="459" t="s">
        <v>740</v>
      </c>
      <c r="C26" s="463">
        <v>1.3773999999999999E-4</v>
      </c>
      <c r="D26" s="463">
        <v>1.3310000000000001E-4</v>
      </c>
      <c r="E26" s="464">
        <v>912264</v>
      </c>
      <c r="F26" s="464"/>
      <c r="G26" s="461">
        <v>101653</v>
      </c>
      <c r="H26" s="461">
        <v>244162</v>
      </c>
      <c r="I26" s="461">
        <v>38766</v>
      </c>
      <c r="J26" s="464">
        <v>31138</v>
      </c>
      <c r="K26" s="464">
        <v>415719</v>
      </c>
      <c r="L26" s="464"/>
      <c r="M26" s="461">
        <v>2188</v>
      </c>
      <c r="N26" s="461">
        <v>0</v>
      </c>
      <c r="O26" s="461">
        <v>0</v>
      </c>
      <c r="P26" s="464">
        <v>34650</v>
      </c>
      <c r="Q26" s="464">
        <v>36838</v>
      </c>
      <c r="R26" s="464"/>
      <c r="S26" s="461">
        <v>262028</v>
      </c>
      <c r="T26" s="462">
        <v>-5204</v>
      </c>
      <c r="U26" s="462">
        <v>256824</v>
      </c>
      <c r="W26" s="464">
        <v>1580462</v>
      </c>
      <c r="X26" s="464">
        <v>362141</v>
      </c>
    </row>
    <row r="27" spans="1:24">
      <c r="A27" s="458">
        <v>90151</v>
      </c>
      <c r="B27" s="459" t="s">
        <v>741</v>
      </c>
      <c r="C27" s="463">
        <v>8.5699999999999993E-6</v>
      </c>
      <c r="D27" s="463">
        <v>8.3999999999999992E-6</v>
      </c>
      <c r="E27" s="464">
        <v>56760</v>
      </c>
      <c r="F27" s="464"/>
      <c r="G27" s="461">
        <v>6325</v>
      </c>
      <c r="H27" s="461">
        <v>15191</v>
      </c>
      <c r="I27" s="461">
        <v>2412</v>
      </c>
      <c r="J27" s="464">
        <v>0</v>
      </c>
      <c r="K27" s="464">
        <v>23928</v>
      </c>
      <c r="L27" s="464"/>
      <c r="M27" s="461">
        <v>136</v>
      </c>
      <c r="N27" s="461">
        <v>0</v>
      </c>
      <c r="O27" s="461">
        <v>0</v>
      </c>
      <c r="P27" s="464">
        <v>1917</v>
      </c>
      <c r="Q27" s="464">
        <v>2053</v>
      </c>
      <c r="R27" s="464"/>
      <c r="S27" s="461">
        <v>16303</v>
      </c>
      <c r="T27" s="462">
        <v>-2110</v>
      </c>
      <c r="U27" s="462">
        <v>14193</v>
      </c>
      <c r="W27" s="464">
        <v>98334</v>
      </c>
      <c r="X27" s="464">
        <v>22532</v>
      </c>
    </row>
    <row r="28" spans="1:24">
      <c r="A28" s="458">
        <v>90161</v>
      </c>
      <c r="B28" s="459" t="s">
        <v>742</v>
      </c>
      <c r="C28" s="463">
        <v>1.45E-5</v>
      </c>
      <c r="D28" s="463">
        <v>1.22E-5</v>
      </c>
      <c r="E28" s="464">
        <v>96035</v>
      </c>
      <c r="F28" s="464"/>
      <c r="G28" s="461">
        <v>10701</v>
      </c>
      <c r="H28" s="461">
        <v>25703</v>
      </c>
      <c r="I28" s="461">
        <v>4081</v>
      </c>
      <c r="J28" s="464">
        <v>2078</v>
      </c>
      <c r="K28" s="464">
        <v>42563</v>
      </c>
      <c r="L28" s="464"/>
      <c r="M28" s="461">
        <v>230</v>
      </c>
      <c r="N28" s="461">
        <v>0</v>
      </c>
      <c r="O28" s="461">
        <v>0</v>
      </c>
      <c r="P28" s="464">
        <v>14627</v>
      </c>
      <c r="Q28" s="464">
        <v>14857</v>
      </c>
      <c r="R28" s="464"/>
      <c r="S28" s="461">
        <v>27584</v>
      </c>
      <c r="T28" s="462">
        <v>-13015</v>
      </c>
      <c r="U28" s="462">
        <v>14569</v>
      </c>
      <c r="W28" s="464">
        <v>166376</v>
      </c>
      <c r="X28" s="464">
        <v>38123</v>
      </c>
    </row>
    <row r="29" spans="1:24">
      <c r="A29" s="458">
        <v>90201</v>
      </c>
      <c r="B29" s="459" t="s">
        <v>743</v>
      </c>
      <c r="C29" s="463">
        <v>2.1058100000000001E-3</v>
      </c>
      <c r="D29" s="463">
        <v>1.8588999999999997E-3</v>
      </c>
      <c r="E29" s="464">
        <v>13946963</v>
      </c>
      <c r="F29" s="464"/>
      <c r="G29" s="461">
        <v>1554105</v>
      </c>
      <c r="H29" s="461">
        <v>3732818</v>
      </c>
      <c r="I29" s="461">
        <v>592665</v>
      </c>
      <c r="J29" s="464">
        <v>516896</v>
      </c>
      <c r="K29" s="464">
        <v>6396484</v>
      </c>
      <c r="L29" s="464"/>
      <c r="M29" s="461">
        <v>33457</v>
      </c>
      <c r="N29" s="461">
        <v>0</v>
      </c>
      <c r="O29" s="461">
        <v>0</v>
      </c>
      <c r="P29" s="464">
        <v>172585</v>
      </c>
      <c r="Q29" s="464">
        <v>206042</v>
      </c>
      <c r="R29" s="464"/>
      <c r="S29" s="461">
        <v>4005956</v>
      </c>
      <c r="T29" s="462">
        <v>131173</v>
      </c>
      <c r="U29" s="462">
        <v>4137129</v>
      </c>
      <c r="W29" s="464">
        <v>24162565</v>
      </c>
      <c r="X29" s="464">
        <v>5536522</v>
      </c>
    </row>
    <row r="30" spans="1:24" s="471" customFormat="1" ht="15">
      <c r="A30" s="465">
        <v>90203</v>
      </c>
      <c r="B30" s="466" t="s">
        <v>744</v>
      </c>
      <c r="C30" s="467">
        <v>0</v>
      </c>
      <c r="D30" s="467">
        <v>0</v>
      </c>
      <c r="E30" s="468">
        <v>0</v>
      </c>
      <c r="F30" s="468"/>
      <c r="G30" s="469">
        <v>0</v>
      </c>
      <c r="H30" s="469">
        <v>0</v>
      </c>
      <c r="I30" s="469">
        <v>0</v>
      </c>
      <c r="J30" s="468">
        <v>0</v>
      </c>
      <c r="K30" s="468">
        <v>0</v>
      </c>
      <c r="L30" s="468"/>
      <c r="M30" s="469">
        <v>0</v>
      </c>
      <c r="N30" s="469">
        <v>0</v>
      </c>
      <c r="O30" s="469">
        <v>0</v>
      </c>
      <c r="P30" s="468">
        <v>0</v>
      </c>
      <c r="Q30" s="468">
        <v>0</v>
      </c>
      <c r="R30" s="468"/>
      <c r="S30" s="469">
        <v>0</v>
      </c>
      <c r="T30" s="470">
        <v>0</v>
      </c>
      <c r="U30" s="470">
        <v>0</v>
      </c>
      <c r="W30" s="468">
        <v>0</v>
      </c>
      <c r="X30" s="468">
        <v>0</v>
      </c>
    </row>
    <row r="31" spans="1:24" s="471" customFormat="1" ht="15">
      <c r="A31" s="465">
        <v>90205</v>
      </c>
      <c r="B31" s="466" t="s">
        <v>745</v>
      </c>
      <c r="C31" s="467">
        <v>0</v>
      </c>
      <c r="D31" s="467">
        <v>0</v>
      </c>
      <c r="E31" s="468">
        <v>0</v>
      </c>
      <c r="F31" s="468"/>
      <c r="G31" s="469">
        <v>0</v>
      </c>
      <c r="H31" s="469">
        <v>0</v>
      </c>
      <c r="I31" s="469">
        <v>0</v>
      </c>
      <c r="J31" s="468">
        <v>0</v>
      </c>
      <c r="K31" s="468">
        <v>0</v>
      </c>
      <c r="L31" s="468"/>
      <c r="M31" s="469">
        <v>0</v>
      </c>
      <c r="N31" s="469">
        <v>0</v>
      </c>
      <c r="O31" s="469">
        <v>0</v>
      </c>
      <c r="P31" s="468">
        <v>0</v>
      </c>
      <c r="Q31" s="468">
        <v>0</v>
      </c>
      <c r="R31" s="468"/>
      <c r="S31" s="469">
        <v>0</v>
      </c>
      <c r="T31" s="470">
        <v>0</v>
      </c>
      <c r="U31" s="470">
        <v>0</v>
      </c>
      <c r="W31" s="468">
        <v>0</v>
      </c>
      <c r="X31" s="468">
        <v>0</v>
      </c>
    </row>
    <row r="32" spans="1:24" s="471" customFormat="1" ht="15">
      <c r="A32" s="465">
        <v>90206</v>
      </c>
      <c r="B32" s="466" t="s">
        <v>746</v>
      </c>
      <c r="C32" s="467">
        <v>0</v>
      </c>
      <c r="D32" s="467">
        <v>0</v>
      </c>
      <c r="E32" s="468">
        <v>0</v>
      </c>
      <c r="F32" s="468"/>
      <c r="G32" s="469">
        <v>0</v>
      </c>
      <c r="H32" s="469">
        <v>0</v>
      </c>
      <c r="I32" s="469">
        <v>0</v>
      </c>
      <c r="J32" s="468">
        <v>0</v>
      </c>
      <c r="K32" s="468">
        <v>0</v>
      </c>
      <c r="L32" s="468"/>
      <c r="M32" s="469">
        <v>0</v>
      </c>
      <c r="N32" s="469">
        <v>0</v>
      </c>
      <c r="O32" s="469">
        <v>0</v>
      </c>
      <c r="P32" s="468">
        <v>0</v>
      </c>
      <c r="Q32" s="468">
        <v>0</v>
      </c>
      <c r="R32" s="468"/>
      <c r="S32" s="469">
        <v>0</v>
      </c>
      <c r="T32" s="470">
        <v>0</v>
      </c>
      <c r="U32" s="470">
        <v>0</v>
      </c>
      <c r="W32" s="468">
        <v>0</v>
      </c>
      <c r="X32" s="468">
        <v>0</v>
      </c>
    </row>
    <row r="33" spans="1:24">
      <c r="A33" s="458">
        <v>90211</v>
      </c>
      <c r="B33" s="459" t="s">
        <v>747</v>
      </c>
      <c r="C33" s="463">
        <v>1.4616E-4</v>
      </c>
      <c r="D33" s="463">
        <v>1.3459999999999999E-4</v>
      </c>
      <c r="E33" s="464">
        <v>968030</v>
      </c>
      <c r="F33" s="464"/>
      <c r="G33" s="461">
        <v>107867</v>
      </c>
      <c r="H33" s="461">
        <v>259087</v>
      </c>
      <c r="I33" s="461">
        <v>41136</v>
      </c>
      <c r="J33" s="464">
        <v>46385</v>
      </c>
      <c r="K33" s="464">
        <v>454475</v>
      </c>
      <c r="L33" s="464"/>
      <c r="M33" s="461">
        <v>2322</v>
      </c>
      <c r="N33" s="461">
        <v>0</v>
      </c>
      <c r="O33" s="461">
        <v>0</v>
      </c>
      <c r="P33" s="464">
        <v>11646</v>
      </c>
      <c r="Q33" s="464">
        <v>13968</v>
      </c>
      <c r="R33" s="464"/>
      <c r="S33" s="461">
        <v>278045</v>
      </c>
      <c r="T33" s="462">
        <v>6334</v>
      </c>
      <c r="U33" s="462">
        <v>284379</v>
      </c>
      <c r="W33" s="464">
        <v>1677075</v>
      </c>
      <c r="X33" s="464">
        <v>384279</v>
      </c>
    </row>
    <row r="34" spans="1:24">
      <c r="A34" s="458">
        <v>90301</v>
      </c>
      <c r="B34" s="459" t="s">
        <v>748</v>
      </c>
      <c r="C34" s="463">
        <v>6.7986999999999995E-4</v>
      </c>
      <c r="D34" s="463">
        <v>6.6390000000000004E-4</v>
      </c>
      <c r="E34" s="464">
        <v>4502838</v>
      </c>
      <c r="F34" s="464"/>
      <c r="G34" s="461">
        <v>501749</v>
      </c>
      <c r="H34" s="461">
        <v>1205157</v>
      </c>
      <c r="I34" s="461">
        <v>191345</v>
      </c>
      <c r="J34" s="464">
        <v>50433</v>
      </c>
      <c r="K34" s="464">
        <v>1948684</v>
      </c>
      <c r="L34" s="464"/>
      <c r="M34" s="461">
        <v>10802</v>
      </c>
      <c r="N34" s="461">
        <v>0</v>
      </c>
      <c r="O34" s="461">
        <v>0</v>
      </c>
      <c r="P34" s="464">
        <v>44786</v>
      </c>
      <c r="Q34" s="464">
        <v>55588</v>
      </c>
      <c r="R34" s="464"/>
      <c r="S34" s="461">
        <v>1293340</v>
      </c>
      <c r="T34" s="462">
        <v>-28210</v>
      </c>
      <c r="U34" s="462">
        <v>1265130</v>
      </c>
      <c r="W34" s="464">
        <v>7800990</v>
      </c>
      <c r="X34" s="464">
        <v>1787490</v>
      </c>
    </row>
    <row r="35" spans="1:24">
      <c r="A35" s="458">
        <v>90305</v>
      </c>
      <c r="B35" s="459" t="s">
        <v>749</v>
      </c>
      <c r="C35" s="463">
        <v>1.4035E-4</v>
      </c>
      <c r="D35" s="463">
        <v>1.5579999999999999E-4</v>
      </c>
      <c r="E35" s="464">
        <v>929550</v>
      </c>
      <c r="F35" s="464"/>
      <c r="G35" s="461">
        <v>103579</v>
      </c>
      <c r="H35" s="461">
        <v>248788</v>
      </c>
      <c r="I35" s="461">
        <v>39501</v>
      </c>
      <c r="J35" s="464">
        <v>21442</v>
      </c>
      <c r="K35" s="464">
        <v>413310</v>
      </c>
      <c r="L35" s="464"/>
      <c r="M35" s="461">
        <v>2230</v>
      </c>
      <c r="N35" s="461">
        <v>0</v>
      </c>
      <c r="O35" s="461">
        <v>0</v>
      </c>
      <c r="P35" s="464">
        <v>24140</v>
      </c>
      <c r="Q35" s="464">
        <v>26370</v>
      </c>
      <c r="R35" s="464"/>
      <c r="S35" s="461">
        <v>266993</v>
      </c>
      <c r="T35" s="462">
        <v>13574</v>
      </c>
      <c r="U35" s="462">
        <v>280567</v>
      </c>
      <c r="W35" s="464">
        <v>1610409</v>
      </c>
      <c r="X35" s="464">
        <v>369003</v>
      </c>
    </row>
    <row r="36" spans="1:24">
      <c r="A36" s="458">
        <v>90307</v>
      </c>
      <c r="B36" s="459" t="s">
        <v>750</v>
      </c>
      <c r="C36" s="463">
        <v>4.33E-6</v>
      </c>
      <c r="D36" s="463">
        <v>2.5000000000000002E-6</v>
      </c>
      <c r="E36" s="464">
        <v>28678</v>
      </c>
      <c r="F36" s="464"/>
      <c r="G36" s="461">
        <v>3196</v>
      </c>
      <c r="H36" s="461">
        <v>7675</v>
      </c>
      <c r="I36" s="461">
        <v>1219</v>
      </c>
      <c r="J36" s="464">
        <v>36639</v>
      </c>
      <c r="K36" s="464">
        <v>48729</v>
      </c>
      <c r="L36" s="464"/>
      <c r="M36" s="461">
        <v>69</v>
      </c>
      <c r="N36" s="461">
        <v>0</v>
      </c>
      <c r="O36" s="461">
        <v>0</v>
      </c>
      <c r="P36" s="464">
        <v>2842</v>
      </c>
      <c r="Q36" s="464">
        <v>2911</v>
      </c>
      <c r="R36" s="464"/>
      <c r="S36" s="461">
        <v>8237</v>
      </c>
      <c r="T36" s="462">
        <v>11493</v>
      </c>
      <c r="U36" s="462">
        <v>19730</v>
      </c>
      <c r="W36" s="464">
        <v>49683</v>
      </c>
      <c r="X36" s="464">
        <v>11384</v>
      </c>
    </row>
    <row r="37" spans="1:24">
      <c r="A37" s="458">
        <v>90401</v>
      </c>
      <c r="B37" s="459" t="s">
        <v>751</v>
      </c>
      <c r="C37" s="463">
        <v>1.40088E-3</v>
      </c>
      <c r="D37" s="463">
        <v>1.4053E-3</v>
      </c>
      <c r="E37" s="464">
        <v>9278150</v>
      </c>
      <c r="F37" s="464"/>
      <c r="G37" s="461">
        <v>1033861</v>
      </c>
      <c r="H37" s="461">
        <v>2483239</v>
      </c>
      <c r="I37" s="461">
        <v>394268</v>
      </c>
      <c r="J37" s="464">
        <v>112133</v>
      </c>
      <c r="K37" s="464">
        <v>4023501</v>
      </c>
      <c r="L37" s="464"/>
      <c r="M37" s="461">
        <v>22257</v>
      </c>
      <c r="N37" s="461">
        <v>0</v>
      </c>
      <c r="O37" s="461">
        <v>0</v>
      </c>
      <c r="P37" s="464">
        <v>8177</v>
      </c>
      <c r="Q37" s="464">
        <v>30434</v>
      </c>
      <c r="R37" s="464"/>
      <c r="S37" s="461">
        <v>2664943</v>
      </c>
      <c r="T37" s="462">
        <v>134725</v>
      </c>
      <c r="U37" s="462">
        <v>2799668</v>
      </c>
      <c r="W37" s="464">
        <v>16074031</v>
      </c>
      <c r="X37" s="464">
        <v>3683145</v>
      </c>
    </row>
    <row r="38" spans="1:24">
      <c r="A38" s="458">
        <v>90411</v>
      </c>
      <c r="B38" s="459" t="s">
        <v>752</v>
      </c>
      <c r="C38" s="463">
        <v>3.2602999999999999E-4</v>
      </c>
      <c r="D38" s="463">
        <v>3.3550000000000002E-4</v>
      </c>
      <c r="E38" s="464">
        <v>2159325</v>
      </c>
      <c r="F38" s="464"/>
      <c r="G38" s="461">
        <v>240613</v>
      </c>
      <c r="H38" s="461">
        <v>577930</v>
      </c>
      <c r="I38" s="461">
        <v>91759</v>
      </c>
      <c r="J38" s="464">
        <v>0</v>
      </c>
      <c r="K38" s="464">
        <v>910302</v>
      </c>
      <c r="L38" s="464"/>
      <c r="M38" s="461">
        <v>5180</v>
      </c>
      <c r="N38" s="461">
        <v>0</v>
      </c>
      <c r="O38" s="461">
        <v>0</v>
      </c>
      <c r="P38" s="464">
        <v>30822</v>
      </c>
      <c r="Q38" s="464">
        <v>36002</v>
      </c>
      <c r="R38" s="464"/>
      <c r="S38" s="461">
        <v>620218</v>
      </c>
      <c r="T38" s="462">
        <v>-10399</v>
      </c>
      <c r="U38" s="462">
        <v>609819</v>
      </c>
      <c r="W38" s="464">
        <v>3740946</v>
      </c>
      <c r="X38" s="464">
        <v>857187</v>
      </c>
    </row>
    <row r="39" spans="1:24">
      <c r="A39" s="458">
        <v>90413</v>
      </c>
      <c r="B39" s="459" t="s">
        <v>753</v>
      </c>
      <c r="C39" s="463">
        <v>2.5150000000000001E-5</v>
      </c>
      <c r="D39" s="463">
        <v>2.7399999999999999E-5</v>
      </c>
      <c r="E39" s="464">
        <v>166571</v>
      </c>
      <c r="F39" s="464"/>
      <c r="G39" s="461">
        <v>18561</v>
      </c>
      <c r="H39" s="461">
        <v>44582</v>
      </c>
      <c r="I39" s="461">
        <v>7078</v>
      </c>
      <c r="J39" s="464">
        <v>4076</v>
      </c>
      <c r="K39" s="464">
        <v>74297</v>
      </c>
      <c r="L39" s="464"/>
      <c r="M39" s="461">
        <v>400</v>
      </c>
      <c r="N39" s="461">
        <v>0</v>
      </c>
      <c r="O39" s="461">
        <v>0</v>
      </c>
      <c r="P39" s="464">
        <v>8353</v>
      </c>
      <c r="Q39" s="464">
        <v>8753</v>
      </c>
      <c r="R39" s="464"/>
      <c r="S39" s="461">
        <v>47844</v>
      </c>
      <c r="T39" s="462">
        <v>-851</v>
      </c>
      <c r="U39" s="462">
        <v>46993</v>
      </c>
      <c r="W39" s="464">
        <v>288577</v>
      </c>
      <c r="X39" s="464">
        <v>66123</v>
      </c>
    </row>
    <row r="40" spans="1:24">
      <c r="A40" s="458">
        <v>90417</v>
      </c>
      <c r="B40" s="459" t="s">
        <v>754</v>
      </c>
      <c r="C40" s="463">
        <v>8.0299999999999994E-6</v>
      </c>
      <c r="D40" s="463">
        <v>8.8000000000000004E-6</v>
      </c>
      <c r="E40" s="464">
        <v>53183</v>
      </c>
      <c r="F40" s="464"/>
      <c r="G40" s="461">
        <v>5926</v>
      </c>
      <c r="H40" s="461">
        <v>14234</v>
      </c>
      <c r="I40" s="461">
        <v>2260</v>
      </c>
      <c r="J40" s="464">
        <v>10129</v>
      </c>
      <c r="K40" s="464">
        <v>32549</v>
      </c>
      <c r="L40" s="464"/>
      <c r="M40" s="461">
        <v>128</v>
      </c>
      <c r="N40" s="461">
        <v>0</v>
      </c>
      <c r="O40" s="461">
        <v>0</v>
      </c>
      <c r="P40" s="464">
        <v>1591</v>
      </c>
      <c r="Q40" s="464">
        <v>1719</v>
      </c>
      <c r="R40" s="464"/>
      <c r="S40" s="461">
        <v>15276</v>
      </c>
      <c r="T40" s="462">
        <v>5465</v>
      </c>
      <c r="U40" s="462">
        <v>20741</v>
      </c>
      <c r="W40" s="464">
        <v>92138</v>
      </c>
      <c r="X40" s="464">
        <v>21112</v>
      </c>
    </row>
    <row r="41" spans="1:24">
      <c r="A41" s="458">
        <v>90421</v>
      </c>
      <c r="B41" s="459" t="s">
        <v>755</v>
      </c>
      <c r="C41" s="463">
        <v>1.432E-5</v>
      </c>
      <c r="D41" s="463">
        <v>2.2200000000000001E-5</v>
      </c>
      <c r="E41" s="464">
        <v>94843</v>
      </c>
      <c r="F41" s="464"/>
      <c r="G41" s="461">
        <v>10568</v>
      </c>
      <c r="H41" s="461">
        <v>25384</v>
      </c>
      <c r="I41" s="461">
        <v>4030</v>
      </c>
      <c r="J41" s="464">
        <v>817</v>
      </c>
      <c r="K41" s="464">
        <v>40799</v>
      </c>
      <c r="L41" s="464"/>
      <c r="M41" s="461">
        <v>228</v>
      </c>
      <c r="N41" s="461">
        <v>0</v>
      </c>
      <c r="O41" s="461">
        <v>0</v>
      </c>
      <c r="P41" s="464">
        <v>22057</v>
      </c>
      <c r="Q41" s="464">
        <v>22285</v>
      </c>
      <c r="R41" s="464"/>
      <c r="S41" s="461">
        <v>27241</v>
      </c>
      <c r="T41" s="462">
        <v>-5010</v>
      </c>
      <c r="U41" s="462">
        <v>22231</v>
      </c>
      <c r="W41" s="464">
        <v>164311</v>
      </c>
      <c r="X41" s="464">
        <v>37650</v>
      </c>
    </row>
    <row r="42" spans="1:24">
      <c r="A42" s="458">
        <v>90431</v>
      </c>
      <c r="B42" s="459" t="s">
        <v>756</v>
      </c>
      <c r="C42" s="463">
        <v>2.0959999999999999E-5</v>
      </c>
      <c r="D42" s="463">
        <v>2.8200000000000001E-5</v>
      </c>
      <c r="E42" s="464">
        <v>138820</v>
      </c>
      <c r="F42" s="464"/>
      <c r="G42" s="461">
        <v>15469</v>
      </c>
      <c r="H42" s="461">
        <v>37154</v>
      </c>
      <c r="I42" s="461">
        <v>5899</v>
      </c>
      <c r="J42" s="464">
        <v>3864</v>
      </c>
      <c r="K42" s="464">
        <v>62386</v>
      </c>
      <c r="L42" s="464"/>
      <c r="M42" s="461">
        <v>333</v>
      </c>
      <c r="N42" s="461">
        <v>0</v>
      </c>
      <c r="O42" s="461">
        <v>0</v>
      </c>
      <c r="P42" s="464">
        <v>25113</v>
      </c>
      <c r="Q42" s="464">
        <v>25446</v>
      </c>
      <c r="R42" s="464"/>
      <c r="S42" s="461">
        <v>39873</v>
      </c>
      <c r="T42" s="462">
        <v>-11407</v>
      </c>
      <c r="U42" s="462">
        <v>28466</v>
      </c>
      <c r="W42" s="464">
        <v>240500</v>
      </c>
      <c r="X42" s="464">
        <v>55107</v>
      </c>
    </row>
    <row r="43" spans="1:24">
      <c r="A43" s="458">
        <v>90441</v>
      </c>
      <c r="B43" s="459" t="s">
        <v>757</v>
      </c>
      <c r="C43" s="463">
        <v>9.3600000000000002E-6</v>
      </c>
      <c r="D43" s="463">
        <v>1.0200000000000001E-5</v>
      </c>
      <c r="E43" s="464">
        <v>61992</v>
      </c>
      <c r="F43" s="464"/>
      <c r="G43" s="461">
        <v>6908</v>
      </c>
      <c r="H43" s="461">
        <v>16592</v>
      </c>
      <c r="I43" s="461">
        <v>2634</v>
      </c>
      <c r="J43" s="464">
        <v>6822</v>
      </c>
      <c r="K43" s="464">
        <v>32956</v>
      </c>
      <c r="L43" s="464"/>
      <c r="M43" s="461">
        <v>149</v>
      </c>
      <c r="N43" s="461">
        <v>0</v>
      </c>
      <c r="O43" s="461">
        <v>0</v>
      </c>
      <c r="P43" s="464">
        <v>50</v>
      </c>
      <c r="Q43" s="464">
        <v>199</v>
      </c>
      <c r="R43" s="464"/>
      <c r="S43" s="461">
        <v>17806</v>
      </c>
      <c r="T43" s="462">
        <v>4172</v>
      </c>
      <c r="U43" s="462">
        <v>21978</v>
      </c>
      <c r="W43" s="464">
        <v>107399</v>
      </c>
      <c r="X43" s="464">
        <v>24609</v>
      </c>
    </row>
    <row r="44" spans="1:24">
      <c r="A44" s="458">
        <v>90451</v>
      </c>
      <c r="B44" s="459" t="s">
        <v>758</v>
      </c>
      <c r="C44" s="463">
        <v>2.0089999999999999E-5</v>
      </c>
      <c r="D44" s="463">
        <v>2.3200000000000001E-5</v>
      </c>
      <c r="E44" s="464">
        <v>133058</v>
      </c>
      <c r="F44" s="464"/>
      <c r="G44" s="461">
        <v>14827</v>
      </c>
      <c r="H44" s="461">
        <v>35612</v>
      </c>
      <c r="I44" s="461">
        <v>5654</v>
      </c>
      <c r="J44" s="464">
        <v>14094</v>
      </c>
      <c r="K44" s="464">
        <v>70187</v>
      </c>
      <c r="L44" s="464"/>
      <c r="M44" s="461">
        <v>319</v>
      </c>
      <c r="N44" s="461">
        <v>0</v>
      </c>
      <c r="O44" s="461">
        <v>0</v>
      </c>
      <c r="P44" s="464">
        <v>15969</v>
      </c>
      <c r="Q44" s="464">
        <v>16288</v>
      </c>
      <c r="R44" s="464"/>
      <c r="S44" s="461">
        <v>38218</v>
      </c>
      <c r="T44" s="462">
        <v>-2451</v>
      </c>
      <c r="U44" s="462">
        <v>35767</v>
      </c>
      <c r="W44" s="464">
        <v>230517</v>
      </c>
      <c r="X44" s="464">
        <v>52820</v>
      </c>
    </row>
    <row r="45" spans="1:24">
      <c r="A45" s="458">
        <v>90461</v>
      </c>
      <c r="B45" s="459" t="s">
        <v>759</v>
      </c>
      <c r="C45" s="463">
        <v>0</v>
      </c>
      <c r="D45" s="463">
        <v>0</v>
      </c>
      <c r="E45" s="464">
        <v>0</v>
      </c>
      <c r="F45" s="464"/>
      <c r="G45" s="461">
        <v>0</v>
      </c>
      <c r="H45" s="461">
        <v>0</v>
      </c>
      <c r="I45" s="461">
        <v>0</v>
      </c>
      <c r="J45" s="464">
        <v>9936</v>
      </c>
      <c r="K45" s="464">
        <v>9936</v>
      </c>
      <c r="L45" s="464"/>
      <c r="M45" s="461">
        <v>0</v>
      </c>
      <c r="N45" s="461">
        <v>0</v>
      </c>
      <c r="O45" s="461">
        <v>0</v>
      </c>
      <c r="P45" s="464">
        <v>12958</v>
      </c>
      <c r="Q45" s="464">
        <v>12958</v>
      </c>
      <c r="R45" s="464"/>
      <c r="S45" s="461">
        <v>0</v>
      </c>
      <c r="T45" s="462">
        <v>475</v>
      </c>
      <c r="U45" s="462">
        <v>475</v>
      </c>
      <c r="W45" s="464">
        <v>0</v>
      </c>
      <c r="X45" s="464">
        <v>0</v>
      </c>
    </row>
    <row r="46" spans="1:24">
      <c r="A46" s="458">
        <v>90501</v>
      </c>
      <c r="B46" s="459" t="s">
        <v>760</v>
      </c>
      <c r="C46" s="463">
        <v>1.38105E-3</v>
      </c>
      <c r="D46" s="463">
        <v>1.5284000000000001E-3</v>
      </c>
      <c r="E46" s="464">
        <v>9146814</v>
      </c>
      <c r="F46" s="464"/>
      <c r="G46" s="461">
        <v>1019226</v>
      </c>
      <c r="H46" s="461">
        <v>2448088</v>
      </c>
      <c r="I46" s="461">
        <v>388687</v>
      </c>
      <c r="J46" s="464">
        <v>60469</v>
      </c>
      <c r="K46" s="464">
        <v>3916470</v>
      </c>
      <c r="L46" s="464"/>
      <c r="M46" s="461">
        <v>21942</v>
      </c>
      <c r="N46" s="461">
        <v>0</v>
      </c>
      <c r="O46" s="461">
        <v>0</v>
      </c>
      <c r="P46" s="464">
        <v>398425</v>
      </c>
      <c r="Q46" s="464">
        <v>420367</v>
      </c>
      <c r="R46" s="464"/>
      <c r="S46" s="461">
        <v>2627220</v>
      </c>
      <c r="T46" s="462">
        <v>-73044</v>
      </c>
      <c r="U46" s="462">
        <v>2554176</v>
      </c>
      <c r="W46" s="464">
        <v>15846496</v>
      </c>
      <c r="X46" s="464">
        <v>3631008</v>
      </c>
    </row>
    <row r="47" spans="1:24">
      <c r="A47" s="458">
        <v>90507</v>
      </c>
      <c r="B47" s="459" t="s">
        <v>34</v>
      </c>
      <c r="C47" s="463">
        <v>1.878E-5</v>
      </c>
      <c r="D47" s="463">
        <v>2.1699999999999999E-5</v>
      </c>
      <c r="E47" s="464">
        <v>124382</v>
      </c>
      <c r="F47" s="464"/>
      <c r="G47" s="461">
        <v>13860</v>
      </c>
      <c r="H47" s="461">
        <v>33290</v>
      </c>
      <c r="I47" s="461">
        <v>5285</v>
      </c>
      <c r="J47" s="464">
        <v>15666</v>
      </c>
      <c r="K47" s="464">
        <v>68101</v>
      </c>
      <c r="L47" s="464"/>
      <c r="M47" s="461">
        <v>298</v>
      </c>
      <c r="N47" s="461">
        <v>0</v>
      </c>
      <c r="O47" s="461">
        <v>0</v>
      </c>
      <c r="P47" s="464">
        <v>1079</v>
      </c>
      <c r="Q47" s="464">
        <v>1377</v>
      </c>
      <c r="R47" s="464"/>
      <c r="S47" s="461">
        <v>35726</v>
      </c>
      <c r="T47" s="462">
        <v>15332</v>
      </c>
      <c r="U47" s="462">
        <v>51058</v>
      </c>
      <c r="W47" s="464">
        <v>215486</v>
      </c>
      <c r="X47" s="464">
        <v>49376</v>
      </c>
    </row>
    <row r="48" spans="1:24">
      <c r="A48" s="458">
        <v>90511</v>
      </c>
      <c r="B48" s="459" t="s">
        <v>761</v>
      </c>
      <c r="C48" s="463">
        <v>1.1779E-4</v>
      </c>
      <c r="D48" s="463">
        <v>1.2239999999999999E-4</v>
      </c>
      <c r="E48" s="464">
        <v>780133</v>
      </c>
      <c r="F48" s="464"/>
      <c r="G48" s="461">
        <v>86930</v>
      </c>
      <c r="H48" s="461">
        <v>208798</v>
      </c>
      <c r="I48" s="461">
        <v>33151</v>
      </c>
      <c r="J48" s="464">
        <v>31421</v>
      </c>
      <c r="K48" s="464">
        <v>360300</v>
      </c>
      <c r="L48" s="464"/>
      <c r="M48" s="461">
        <v>1871</v>
      </c>
      <c r="N48" s="461">
        <v>0</v>
      </c>
      <c r="O48" s="461">
        <v>0</v>
      </c>
      <c r="P48" s="464">
        <v>22600</v>
      </c>
      <c r="Q48" s="464">
        <v>24471</v>
      </c>
      <c r="R48" s="464"/>
      <c r="S48" s="461">
        <v>224076</v>
      </c>
      <c r="T48" s="462">
        <v>15326</v>
      </c>
      <c r="U48" s="462">
        <v>239402</v>
      </c>
      <c r="W48" s="464">
        <v>1351550</v>
      </c>
      <c r="X48" s="464">
        <v>309689</v>
      </c>
    </row>
    <row r="49" spans="1:24">
      <c r="A49" s="458">
        <v>90521</v>
      </c>
      <c r="B49" s="459" t="s">
        <v>762</v>
      </c>
      <c r="C49" s="463">
        <v>1.2723000000000001E-4</v>
      </c>
      <c r="D49" s="463">
        <v>1.415E-4</v>
      </c>
      <c r="E49" s="464">
        <v>842655</v>
      </c>
      <c r="F49" s="464"/>
      <c r="G49" s="461">
        <v>93897</v>
      </c>
      <c r="H49" s="461">
        <v>225531</v>
      </c>
      <c r="I49" s="461">
        <v>35808</v>
      </c>
      <c r="J49" s="464">
        <v>0</v>
      </c>
      <c r="K49" s="464">
        <v>355236</v>
      </c>
      <c r="L49" s="464"/>
      <c r="M49" s="461">
        <v>2021</v>
      </c>
      <c r="N49" s="461">
        <v>0</v>
      </c>
      <c r="O49" s="461">
        <v>0</v>
      </c>
      <c r="P49" s="464">
        <v>51850</v>
      </c>
      <c r="Q49" s="464">
        <v>53871</v>
      </c>
      <c r="R49" s="464"/>
      <c r="S49" s="461">
        <v>242034</v>
      </c>
      <c r="T49" s="462">
        <v>-22486</v>
      </c>
      <c r="U49" s="462">
        <v>219548</v>
      </c>
      <c r="W49" s="464">
        <v>1459867</v>
      </c>
      <c r="X49" s="464">
        <v>334509</v>
      </c>
    </row>
    <row r="50" spans="1:24">
      <c r="A50" s="458">
        <v>90601</v>
      </c>
      <c r="B50" s="459" t="s">
        <v>763</v>
      </c>
      <c r="C50" s="463">
        <v>1.0938300000000001E-3</v>
      </c>
      <c r="D50" s="463">
        <v>1.1386E-3</v>
      </c>
      <c r="E50" s="464">
        <v>7244531</v>
      </c>
      <c r="F50" s="464"/>
      <c r="G50" s="461">
        <v>807255</v>
      </c>
      <c r="H50" s="461">
        <v>1938954</v>
      </c>
      <c r="I50" s="461">
        <v>307851</v>
      </c>
      <c r="J50" s="464">
        <v>0</v>
      </c>
      <c r="K50" s="464">
        <v>3054060</v>
      </c>
      <c r="L50" s="464"/>
      <c r="M50" s="461">
        <v>17379</v>
      </c>
      <c r="N50" s="461">
        <v>0</v>
      </c>
      <c r="O50" s="461">
        <v>0</v>
      </c>
      <c r="P50" s="464">
        <v>144329</v>
      </c>
      <c r="Q50" s="464">
        <v>161708</v>
      </c>
      <c r="R50" s="464"/>
      <c r="S50" s="461">
        <v>2080831</v>
      </c>
      <c r="T50" s="462">
        <v>-29429</v>
      </c>
      <c r="U50" s="462">
        <v>2051402</v>
      </c>
      <c r="W50" s="464">
        <v>12550866</v>
      </c>
      <c r="X50" s="464">
        <v>2875860</v>
      </c>
    </row>
    <row r="51" spans="1:24">
      <c r="A51" s="458">
        <v>90602</v>
      </c>
      <c r="B51" s="459" t="s">
        <v>259</v>
      </c>
      <c r="C51" s="463">
        <v>7.0580000000000005E-5</v>
      </c>
      <c r="D51" s="463">
        <v>7.75E-5</v>
      </c>
      <c r="E51" s="464">
        <v>467457</v>
      </c>
      <c r="F51" s="464"/>
      <c r="G51" s="461">
        <v>52089</v>
      </c>
      <c r="H51" s="461">
        <v>125112</v>
      </c>
      <c r="I51" s="461">
        <v>19864</v>
      </c>
      <c r="J51" s="464">
        <v>6252</v>
      </c>
      <c r="K51" s="464">
        <v>203317</v>
      </c>
      <c r="L51" s="464"/>
      <c r="M51" s="461">
        <v>1121</v>
      </c>
      <c r="N51" s="461">
        <v>0</v>
      </c>
      <c r="O51" s="461">
        <v>0</v>
      </c>
      <c r="P51" s="464">
        <v>8690</v>
      </c>
      <c r="Q51" s="464">
        <v>9811</v>
      </c>
      <c r="R51" s="464"/>
      <c r="S51" s="461">
        <v>134267</v>
      </c>
      <c r="T51" s="462">
        <v>-1616</v>
      </c>
      <c r="U51" s="462">
        <v>132651</v>
      </c>
      <c r="W51" s="464">
        <v>809852</v>
      </c>
      <c r="X51" s="464">
        <v>185566</v>
      </c>
    </row>
    <row r="52" spans="1:24">
      <c r="A52" s="458">
        <v>90605</v>
      </c>
      <c r="B52" s="459" t="s">
        <v>764</v>
      </c>
      <c r="C52" s="463">
        <v>5.0840000000000001E-5</v>
      </c>
      <c r="D52" s="463">
        <v>4.8600000000000002E-5</v>
      </c>
      <c r="E52" s="464">
        <v>336718</v>
      </c>
      <c r="F52" s="464"/>
      <c r="G52" s="461">
        <v>37520</v>
      </c>
      <c r="H52" s="461">
        <v>90120</v>
      </c>
      <c r="I52" s="461">
        <v>14309</v>
      </c>
      <c r="J52" s="464">
        <v>2614</v>
      </c>
      <c r="K52" s="464">
        <v>144563</v>
      </c>
      <c r="L52" s="464"/>
      <c r="M52" s="461">
        <v>808</v>
      </c>
      <c r="N52" s="461">
        <v>0</v>
      </c>
      <c r="O52" s="461">
        <v>0</v>
      </c>
      <c r="P52" s="464">
        <v>2804</v>
      </c>
      <c r="Q52" s="464">
        <v>3612</v>
      </c>
      <c r="R52" s="464"/>
      <c r="S52" s="461">
        <v>96715</v>
      </c>
      <c r="T52" s="462">
        <v>2298</v>
      </c>
      <c r="U52" s="462">
        <v>99013</v>
      </c>
      <c r="W52" s="464">
        <v>583350</v>
      </c>
      <c r="X52" s="464">
        <v>133667</v>
      </c>
    </row>
    <row r="53" spans="1:24">
      <c r="A53" s="458">
        <v>90611</v>
      </c>
      <c r="B53" s="459" t="s">
        <v>765</v>
      </c>
      <c r="C53" s="463">
        <v>1.2809E-4</v>
      </c>
      <c r="D53" s="463">
        <v>1.338E-4</v>
      </c>
      <c r="E53" s="464">
        <v>848351</v>
      </c>
      <c r="F53" s="464"/>
      <c r="G53" s="461">
        <v>94531</v>
      </c>
      <c r="H53" s="461">
        <v>227056</v>
      </c>
      <c r="I53" s="461">
        <v>36050</v>
      </c>
      <c r="J53" s="464">
        <v>0</v>
      </c>
      <c r="K53" s="464">
        <v>357637</v>
      </c>
      <c r="L53" s="464"/>
      <c r="M53" s="461">
        <v>2035</v>
      </c>
      <c r="N53" s="461">
        <v>0</v>
      </c>
      <c r="O53" s="461">
        <v>0</v>
      </c>
      <c r="P53" s="464">
        <v>30897</v>
      </c>
      <c r="Q53" s="464">
        <v>32932</v>
      </c>
      <c r="R53" s="464"/>
      <c r="S53" s="461">
        <v>243670</v>
      </c>
      <c r="T53" s="462">
        <v>-18590</v>
      </c>
      <c r="U53" s="462">
        <v>225080</v>
      </c>
      <c r="W53" s="464">
        <v>1469735</v>
      </c>
      <c r="X53" s="464">
        <v>336770</v>
      </c>
    </row>
    <row r="54" spans="1:24">
      <c r="A54" s="458">
        <v>90617</v>
      </c>
      <c r="B54" s="459" t="s">
        <v>766</v>
      </c>
      <c r="C54" s="463">
        <v>3.4860000000000002E-5</v>
      </c>
      <c r="D54" s="463">
        <v>3.15E-5</v>
      </c>
      <c r="E54" s="464">
        <v>230881</v>
      </c>
      <c r="F54" s="464"/>
      <c r="G54" s="461">
        <v>25727</v>
      </c>
      <c r="H54" s="461">
        <v>61794</v>
      </c>
      <c r="I54" s="461">
        <v>9811</v>
      </c>
      <c r="J54" s="464">
        <v>17668</v>
      </c>
      <c r="K54" s="464">
        <v>115000</v>
      </c>
      <c r="L54" s="464"/>
      <c r="M54" s="461">
        <v>554</v>
      </c>
      <c r="N54" s="461">
        <v>0</v>
      </c>
      <c r="O54" s="461">
        <v>0</v>
      </c>
      <c r="P54" s="464">
        <v>4627</v>
      </c>
      <c r="Q54" s="464">
        <v>5181</v>
      </c>
      <c r="R54" s="464"/>
      <c r="S54" s="461">
        <v>66315</v>
      </c>
      <c r="T54" s="462">
        <v>5801</v>
      </c>
      <c r="U54" s="462">
        <v>72116</v>
      </c>
      <c r="W54" s="464">
        <v>399992</v>
      </c>
      <c r="X54" s="464">
        <v>91653</v>
      </c>
    </row>
    <row r="55" spans="1:24">
      <c r="A55" s="458">
        <v>90621</v>
      </c>
      <c r="B55" s="459" t="s">
        <v>767</v>
      </c>
      <c r="C55" s="463">
        <v>7.2420000000000001E-5</v>
      </c>
      <c r="D55" s="463">
        <v>6.7100000000000005E-5</v>
      </c>
      <c r="E55" s="464">
        <v>479644</v>
      </c>
      <c r="F55" s="464"/>
      <c r="G55" s="461">
        <v>53447</v>
      </c>
      <c r="H55" s="461">
        <v>128374</v>
      </c>
      <c r="I55" s="461">
        <v>20382</v>
      </c>
      <c r="J55" s="464">
        <v>31774</v>
      </c>
      <c r="K55" s="464">
        <v>233977</v>
      </c>
      <c r="L55" s="464"/>
      <c r="M55" s="461">
        <v>1151</v>
      </c>
      <c r="N55" s="461">
        <v>0</v>
      </c>
      <c r="O55" s="461">
        <v>0</v>
      </c>
      <c r="P55" s="464">
        <v>8845</v>
      </c>
      <c r="Q55" s="464">
        <v>9996</v>
      </c>
      <c r="R55" s="464"/>
      <c r="S55" s="461">
        <v>137767</v>
      </c>
      <c r="T55" s="462">
        <v>5556</v>
      </c>
      <c r="U55" s="462">
        <v>143323</v>
      </c>
      <c r="W55" s="464">
        <v>830964</v>
      </c>
      <c r="X55" s="464">
        <v>190404</v>
      </c>
    </row>
    <row r="56" spans="1:24">
      <c r="A56" s="458">
        <v>90631</v>
      </c>
      <c r="B56" s="459" t="s">
        <v>768</v>
      </c>
      <c r="C56" s="463">
        <v>4.4141999999999999E-4</v>
      </c>
      <c r="D56" s="463">
        <v>4.5459999999999999E-4</v>
      </c>
      <c r="E56" s="464">
        <v>2923563</v>
      </c>
      <c r="F56" s="464"/>
      <c r="G56" s="461">
        <v>325771</v>
      </c>
      <c r="H56" s="461">
        <v>782473</v>
      </c>
      <c r="I56" s="461">
        <v>124235</v>
      </c>
      <c r="J56" s="464">
        <v>88137</v>
      </c>
      <c r="K56" s="464">
        <v>1320616</v>
      </c>
      <c r="L56" s="464"/>
      <c r="M56" s="461">
        <v>7013</v>
      </c>
      <c r="N56" s="461">
        <v>0</v>
      </c>
      <c r="O56" s="461">
        <v>0</v>
      </c>
      <c r="P56" s="464">
        <v>24240</v>
      </c>
      <c r="Q56" s="464">
        <v>31253</v>
      </c>
      <c r="R56" s="464"/>
      <c r="S56" s="461">
        <v>839729</v>
      </c>
      <c r="T56" s="462">
        <v>46610</v>
      </c>
      <c r="U56" s="462">
        <v>886339</v>
      </c>
      <c r="W56" s="464">
        <v>5064958</v>
      </c>
      <c r="X56" s="464">
        <v>1160566</v>
      </c>
    </row>
    <row r="57" spans="1:24">
      <c r="A57" s="458">
        <v>90641</v>
      </c>
      <c r="B57" s="459" t="s">
        <v>769</v>
      </c>
      <c r="C57" s="463">
        <v>1.306E-5</v>
      </c>
      <c r="D57" s="463">
        <v>1.4600000000000001E-5</v>
      </c>
      <c r="E57" s="464">
        <v>86498</v>
      </c>
      <c r="F57" s="464"/>
      <c r="G57" s="461">
        <v>9638</v>
      </c>
      <c r="H57" s="461">
        <v>23151</v>
      </c>
      <c r="I57" s="461">
        <v>3676</v>
      </c>
      <c r="J57" s="464">
        <v>4785</v>
      </c>
      <c r="K57" s="464">
        <v>41250</v>
      </c>
      <c r="L57" s="464"/>
      <c r="M57" s="461">
        <v>207</v>
      </c>
      <c r="N57" s="461">
        <v>0</v>
      </c>
      <c r="O57" s="461">
        <v>0</v>
      </c>
      <c r="P57" s="464">
        <v>4061</v>
      </c>
      <c r="Q57" s="464">
        <v>4268</v>
      </c>
      <c r="R57" s="464"/>
      <c r="S57" s="461">
        <v>24844</v>
      </c>
      <c r="T57" s="462">
        <v>907</v>
      </c>
      <c r="U57" s="462">
        <v>25751</v>
      </c>
      <c r="W57" s="464">
        <v>149854</v>
      </c>
      <c r="X57" s="464">
        <v>34337</v>
      </c>
    </row>
    <row r="58" spans="1:24">
      <c r="A58" s="458">
        <v>90651</v>
      </c>
      <c r="B58" s="459" t="s">
        <v>1930</v>
      </c>
      <c r="C58" s="463">
        <v>9.7999999999999997E-5</v>
      </c>
      <c r="D58" s="463">
        <v>1.1E-4</v>
      </c>
      <c r="E58" s="464">
        <v>649063</v>
      </c>
      <c r="F58" s="464"/>
      <c r="G58" s="461">
        <v>72325</v>
      </c>
      <c r="H58" s="461">
        <v>173718</v>
      </c>
      <c r="I58" s="461">
        <v>27581</v>
      </c>
      <c r="J58" s="464">
        <v>119973</v>
      </c>
      <c r="K58" s="464">
        <v>393597</v>
      </c>
      <c r="L58" s="464"/>
      <c r="M58" s="461">
        <v>1557</v>
      </c>
      <c r="N58" s="461">
        <v>0</v>
      </c>
      <c r="O58" s="461">
        <v>0</v>
      </c>
      <c r="P58" s="464">
        <v>0</v>
      </c>
      <c r="Q58" s="464">
        <v>1557</v>
      </c>
      <c r="R58" s="464"/>
      <c r="S58" s="461">
        <v>186429</v>
      </c>
      <c r="T58" s="462">
        <v>69699</v>
      </c>
      <c r="U58" s="462">
        <v>256128</v>
      </c>
      <c r="W58" s="464">
        <v>1124475</v>
      </c>
      <c r="X58" s="464">
        <v>257658</v>
      </c>
    </row>
    <row r="59" spans="1:24">
      <c r="A59" s="458">
        <v>90701</v>
      </c>
      <c r="B59" s="459" t="s">
        <v>771</v>
      </c>
      <c r="C59" s="463">
        <v>2.3350699999999999E-3</v>
      </c>
      <c r="D59" s="463">
        <v>2.4830999999999998E-3</v>
      </c>
      <c r="E59" s="464">
        <v>15465372</v>
      </c>
      <c r="F59" s="464"/>
      <c r="G59" s="461">
        <v>1723300</v>
      </c>
      <c r="H59" s="461">
        <v>4139210</v>
      </c>
      <c r="I59" s="461">
        <v>657189</v>
      </c>
      <c r="J59" s="464">
        <v>4716</v>
      </c>
      <c r="K59" s="464">
        <v>6524415</v>
      </c>
      <c r="L59" s="464"/>
      <c r="M59" s="461">
        <v>37100</v>
      </c>
      <c r="N59" s="461">
        <v>0</v>
      </c>
      <c r="O59" s="461">
        <v>0</v>
      </c>
      <c r="P59" s="464">
        <v>476163</v>
      </c>
      <c r="Q59" s="464">
        <v>513263</v>
      </c>
      <c r="R59" s="464"/>
      <c r="S59" s="461">
        <v>4442085</v>
      </c>
      <c r="T59" s="462">
        <v>-269924</v>
      </c>
      <c r="U59" s="462">
        <v>4172161</v>
      </c>
      <c r="W59" s="464">
        <v>26793149</v>
      </c>
      <c r="X59" s="464">
        <v>6139284</v>
      </c>
    </row>
    <row r="60" spans="1:24">
      <c r="A60" s="458">
        <v>90704</v>
      </c>
      <c r="B60" s="459" t="s">
        <v>772</v>
      </c>
      <c r="C60" s="463">
        <v>6.9099999999999999E-5</v>
      </c>
      <c r="D60" s="463">
        <v>7.36E-5</v>
      </c>
      <c r="E60" s="464">
        <v>457655</v>
      </c>
      <c r="F60" s="464"/>
      <c r="G60" s="461">
        <v>50996</v>
      </c>
      <c r="H60" s="461">
        <v>122489</v>
      </c>
      <c r="I60" s="461">
        <v>19448</v>
      </c>
      <c r="J60" s="464">
        <v>21162</v>
      </c>
      <c r="K60" s="464">
        <v>214095</v>
      </c>
      <c r="L60" s="464"/>
      <c r="M60" s="461">
        <v>1098</v>
      </c>
      <c r="N60" s="461">
        <v>0</v>
      </c>
      <c r="O60" s="461">
        <v>0</v>
      </c>
      <c r="P60" s="464">
        <v>17427</v>
      </c>
      <c r="Q60" s="464">
        <v>18525</v>
      </c>
      <c r="R60" s="464"/>
      <c r="S60" s="461">
        <v>131451</v>
      </c>
      <c r="T60" s="462">
        <v>18947</v>
      </c>
      <c r="U60" s="462">
        <v>150398</v>
      </c>
      <c r="W60" s="464">
        <v>792870</v>
      </c>
      <c r="X60" s="464">
        <v>181675</v>
      </c>
    </row>
    <row r="61" spans="1:24">
      <c r="A61" s="458">
        <v>90705</v>
      </c>
      <c r="B61" s="459" t="s">
        <v>773</v>
      </c>
      <c r="C61" s="463">
        <v>4.0509999999999997E-5</v>
      </c>
      <c r="D61" s="463">
        <v>4.7500000000000003E-5</v>
      </c>
      <c r="E61" s="464">
        <v>268301</v>
      </c>
      <c r="F61" s="464"/>
      <c r="G61" s="461">
        <v>29897</v>
      </c>
      <c r="H61" s="461">
        <v>71809</v>
      </c>
      <c r="I61" s="461">
        <v>11401</v>
      </c>
      <c r="J61" s="464">
        <v>12198</v>
      </c>
      <c r="K61" s="464">
        <v>125305</v>
      </c>
      <c r="L61" s="464"/>
      <c r="M61" s="461">
        <v>644</v>
      </c>
      <c r="N61" s="461">
        <v>0</v>
      </c>
      <c r="O61" s="461">
        <v>0</v>
      </c>
      <c r="P61" s="464">
        <v>18893</v>
      </c>
      <c r="Q61" s="464">
        <v>19537</v>
      </c>
      <c r="R61" s="464"/>
      <c r="S61" s="461">
        <v>77064</v>
      </c>
      <c r="T61" s="462">
        <v>2698</v>
      </c>
      <c r="U61" s="462">
        <v>79762</v>
      </c>
      <c r="W61" s="464">
        <v>464821</v>
      </c>
      <c r="X61" s="464">
        <v>106507</v>
      </c>
    </row>
    <row r="62" spans="1:24">
      <c r="A62" s="458">
        <v>90709</v>
      </c>
      <c r="B62" s="459" t="s">
        <v>774</v>
      </c>
      <c r="C62" s="463">
        <v>1.4032000000000001E-4</v>
      </c>
      <c r="D62" s="463">
        <v>1.236E-4</v>
      </c>
      <c r="E62" s="464">
        <v>929352</v>
      </c>
      <c r="F62" s="464"/>
      <c r="G62" s="461">
        <v>103557</v>
      </c>
      <c r="H62" s="461">
        <v>248735</v>
      </c>
      <c r="I62" s="461">
        <v>39492</v>
      </c>
      <c r="J62" s="464">
        <v>62587</v>
      </c>
      <c r="K62" s="464">
        <v>454371</v>
      </c>
      <c r="L62" s="464"/>
      <c r="M62" s="461">
        <v>2229</v>
      </c>
      <c r="N62" s="461">
        <v>0</v>
      </c>
      <c r="O62" s="461">
        <v>0</v>
      </c>
      <c r="P62" s="464">
        <v>20459</v>
      </c>
      <c r="Q62" s="464">
        <v>22688</v>
      </c>
      <c r="R62" s="464"/>
      <c r="S62" s="461">
        <v>266936</v>
      </c>
      <c r="T62" s="462">
        <v>10943</v>
      </c>
      <c r="U62" s="462">
        <v>277879</v>
      </c>
      <c r="W62" s="464">
        <v>1610065</v>
      </c>
      <c r="X62" s="464">
        <v>368924</v>
      </c>
    </row>
    <row r="63" spans="1:24">
      <c r="A63" s="458">
        <v>90711</v>
      </c>
      <c r="B63" s="459" t="s">
        <v>775</v>
      </c>
      <c r="C63" s="463">
        <v>1.4738799999999999E-3</v>
      </c>
      <c r="D63" s="463">
        <v>1.5536E-3</v>
      </c>
      <c r="E63" s="464">
        <v>9761635</v>
      </c>
      <c r="F63" s="464"/>
      <c r="G63" s="461">
        <v>1087735</v>
      </c>
      <c r="H63" s="461">
        <v>2612641</v>
      </c>
      <c r="I63" s="461">
        <v>414813</v>
      </c>
      <c r="J63" s="464">
        <v>20459</v>
      </c>
      <c r="K63" s="464">
        <v>4135648</v>
      </c>
      <c r="L63" s="464"/>
      <c r="M63" s="461">
        <v>23417</v>
      </c>
      <c r="N63" s="461">
        <v>0</v>
      </c>
      <c r="O63" s="461">
        <v>0</v>
      </c>
      <c r="P63" s="464">
        <v>207187</v>
      </c>
      <c r="Q63" s="464">
        <v>230604</v>
      </c>
      <c r="R63" s="464"/>
      <c r="S63" s="461">
        <v>2803814</v>
      </c>
      <c r="T63" s="462">
        <v>-77766</v>
      </c>
      <c r="U63" s="462">
        <v>2726048</v>
      </c>
      <c r="W63" s="464">
        <v>16911650</v>
      </c>
      <c r="X63" s="464">
        <v>3875074</v>
      </c>
    </row>
    <row r="64" spans="1:24">
      <c r="A64" s="458">
        <v>90721</v>
      </c>
      <c r="B64" s="459" t="s">
        <v>776</v>
      </c>
      <c r="C64" s="463">
        <v>1.4929999999999999E-5</v>
      </c>
      <c r="D64" s="463">
        <v>2.1699999999999999E-5</v>
      </c>
      <c r="E64" s="464">
        <v>98883</v>
      </c>
      <c r="F64" s="464"/>
      <c r="G64" s="461">
        <v>11018</v>
      </c>
      <c r="H64" s="461">
        <v>26465</v>
      </c>
      <c r="I64" s="461">
        <v>4202</v>
      </c>
      <c r="J64" s="464">
        <v>4451</v>
      </c>
      <c r="K64" s="464">
        <v>46136</v>
      </c>
      <c r="L64" s="464"/>
      <c r="M64" s="461">
        <v>237</v>
      </c>
      <c r="N64" s="461">
        <v>0</v>
      </c>
      <c r="O64" s="461">
        <v>0</v>
      </c>
      <c r="P64" s="464">
        <v>11637</v>
      </c>
      <c r="Q64" s="464">
        <v>11874</v>
      </c>
      <c r="R64" s="464"/>
      <c r="S64" s="461">
        <v>28402</v>
      </c>
      <c r="T64" s="462">
        <v>-712</v>
      </c>
      <c r="U64" s="462">
        <v>27690</v>
      </c>
      <c r="W64" s="464">
        <v>171310</v>
      </c>
      <c r="X64" s="464">
        <v>39253</v>
      </c>
    </row>
    <row r="65" spans="1:24">
      <c r="A65" s="458">
        <v>90731</v>
      </c>
      <c r="B65" s="459" t="s">
        <v>777</v>
      </c>
      <c r="C65" s="463">
        <v>1.4236000000000001E-4</v>
      </c>
      <c r="D65" s="463">
        <v>1.6119999999999999E-4</v>
      </c>
      <c r="E65" s="464">
        <v>942863</v>
      </c>
      <c r="F65" s="464"/>
      <c r="G65" s="461">
        <v>105063</v>
      </c>
      <c r="H65" s="461">
        <v>252351</v>
      </c>
      <c r="I65" s="461">
        <v>40066</v>
      </c>
      <c r="J65" s="464">
        <v>30217</v>
      </c>
      <c r="K65" s="464">
        <v>427697</v>
      </c>
      <c r="L65" s="464"/>
      <c r="M65" s="461">
        <v>2262</v>
      </c>
      <c r="N65" s="461">
        <v>0</v>
      </c>
      <c r="O65" s="461">
        <v>0</v>
      </c>
      <c r="P65" s="464">
        <v>32032</v>
      </c>
      <c r="Q65" s="464">
        <v>34294</v>
      </c>
      <c r="R65" s="464"/>
      <c r="S65" s="461">
        <v>270816</v>
      </c>
      <c r="T65" s="462">
        <v>7407</v>
      </c>
      <c r="U65" s="462">
        <v>278223</v>
      </c>
      <c r="W65" s="464">
        <v>1633473</v>
      </c>
      <c r="X65" s="464">
        <v>374288</v>
      </c>
    </row>
    <row r="66" spans="1:24">
      <c r="A66" s="458">
        <v>90741</v>
      </c>
      <c r="B66" s="459" t="s">
        <v>778</v>
      </c>
      <c r="C66" s="463">
        <v>1.0010000000000001E-5</v>
      </c>
      <c r="D66" s="463">
        <v>1.29E-5</v>
      </c>
      <c r="E66" s="464">
        <v>66297</v>
      </c>
      <c r="F66" s="464"/>
      <c r="G66" s="461">
        <v>7387</v>
      </c>
      <c r="H66" s="461">
        <v>17744</v>
      </c>
      <c r="I66" s="461">
        <v>2817</v>
      </c>
      <c r="J66" s="464">
        <v>395</v>
      </c>
      <c r="K66" s="464">
        <v>28343</v>
      </c>
      <c r="L66" s="464"/>
      <c r="M66" s="461">
        <v>159</v>
      </c>
      <c r="N66" s="461">
        <v>0</v>
      </c>
      <c r="O66" s="461">
        <v>0</v>
      </c>
      <c r="P66" s="464">
        <v>4771</v>
      </c>
      <c r="Q66" s="464">
        <v>4930</v>
      </c>
      <c r="R66" s="464"/>
      <c r="S66" s="461">
        <v>19042</v>
      </c>
      <c r="T66" s="462">
        <v>-1665</v>
      </c>
      <c r="U66" s="462">
        <v>17377</v>
      </c>
      <c r="W66" s="464">
        <v>114857</v>
      </c>
      <c r="X66" s="464">
        <v>26318</v>
      </c>
    </row>
    <row r="67" spans="1:24">
      <c r="A67" s="458">
        <v>90751</v>
      </c>
      <c r="B67" s="459" t="s">
        <v>779</v>
      </c>
      <c r="C67" s="463">
        <v>1.4128E-4</v>
      </c>
      <c r="D67" s="463">
        <v>1.292E-4</v>
      </c>
      <c r="E67" s="464">
        <v>935710</v>
      </c>
      <c r="F67" s="464"/>
      <c r="G67" s="461">
        <v>104266</v>
      </c>
      <c r="H67" s="461">
        <v>250437</v>
      </c>
      <c r="I67" s="461">
        <v>39762</v>
      </c>
      <c r="J67" s="464">
        <v>112611</v>
      </c>
      <c r="K67" s="464">
        <v>507076</v>
      </c>
      <c r="L67" s="464"/>
      <c r="M67" s="461">
        <v>2245</v>
      </c>
      <c r="N67" s="461">
        <v>0</v>
      </c>
      <c r="O67" s="461">
        <v>0</v>
      </c>
      <c r="P67" s="464">
        <v>0</v>
      </c>
      <c r="Q67" s="464">
        <v>2245</v>
      </c>
      <c r="R67" s="464"/>
      <c r="S67" s="461">
        <v>268762</v>
      </c>
      <c r="T67" s="462">
        <v>47032</v>
      </c>
      <c r="U67" s="462">
        <v>315794</v>
      </c>
      <c r="W67" s="464">
        <v>1621080</v>
      </c>
      <c r="X67" s="464">
        <v>371448</v>
      </c>
    </row>
    <row r="68" spans="1:24">
      <c r="A68" s="458">
        <v>90801</v>
      </c>
      <c r="B68" s="459" t="s">
        <v>780</v>
      </c>
      <c r="C68" s="463">
        <v>1.1185699999999999E-3</v>
      </c>
      <c r="D68" s="463">
        <v>1.2254E-3</v>
      </c>
      <c r="E68" s="464">
        <v>7408386</v>
      </c>
      <c r="F68" s="464"/>
      <c r="G68" s="461">
        <v>825514</v>
      </c>
      <c r="H68" s="461">
        <v>1982809</v>
      </c>
      <c r="I68" s="461">
        <v>314814</v>
      </c>
      <c r="J68" s="464">
        <v>104684</v>
      </c>
      <c r="K68" s="464">
        <v>3227821</v>
      </c>
      <c r="L68" s="464"/>
      <c r="M68" s="461">
        <v>17772</v>
      </c>
      <c r="N68" s="461">
        <v>0</v>
      </c>
      <c r="O68" s="461">
        <v>0</v>
      </c>
      <c r="P68" s="464">
        <v>471554</v>
      </c>
      <c r="Q68" s="464">
        <v>489326</v>
      </c>
      <c r="R68" s="464"/>
      <c r="S68" s="461">
        <v>2127895</v>
      </c>
      <c r="T68" s="462">
        <v>-220275</v>
      </c>
      <c r="U68" s="462">
        <v>1907620</v>
      </c>
      <c r="W68" s="464">
        <v>12834738</v>
      </c>
      <c r="X68" s="464">
        <v>2940905</v>
      </c>
    </row>
    <row r="69" spans="1:24">
      <c r="A69" s="458">
        <v>90804</v>
      </c>
      <c r="B69" s="459" t="s">
        <v>781</v>
      </c>
      <c r="C69" s="463">
        <v>8.1799999999999996E-6</v>
      </c>
      <c r="D69" s="463">
        <v>4.4000000000000002E-6</v>
      </c>
      <c r="E69" s="464">
        <v>54177</v>
      </c>
      <c r="F69" s="464"/>
      <c r="G69" s="461">
        <v>6037</v>
      </c>
      <c r="H69" s="461">
        <v>14500</v>
      </c>
      <c r="I69" s="461">
        <v>2302</v>
      </c>
      <c r="J69" s="464">
        <v>9644</v>
      </c>
      <c r="K69" s="464">
        <v>32483</v>
      </c>
      <c r="L69" s="464"/>
      <c r="M69" s="461">
        <v>130</v>
      </c>
      <c r="N69" s="461">
        <v>0</v>
      </c>
      <c r="O69" s="461">
        <v>0</v>
      </c>
      <c r="P69" s="464">
        <v>682</v>
      </c>
      <c r="Q69" s="464">
        <v>812</v>
      </c>
      <c r="R69" s="464"/>
      <c r="S69" s="461">
        <v>15561</v>
      </c>
      <c r="T69" s="462">
        <v>2815</v>
      </c>
      <c r="U69" s="462">
        <v>18376</v>
      </c>
      <c r="W69" s="464">
        <v>93859</v>
      </c>
      <c r="X69" s="464">
        <v>21507</v>
      </c>
    </row>
    <row r="70" spans="1:24">
      <c r="A70" s="458">
        <v>90805</v>
      </c>
      <c r="B70" s="459" t="s">
        <v>782</v>
      </c>
      <c r="C70" s="463">
        <v>5.7250000000000002E-5</v>
      </c>
      <c r="D70" s="463">
        <v>5.9799999999999997E-5</v>
      </c>
      <c r="E70" s="464">
        <v>379172</v>
      </c>
      <c r="F70" s="464"/>
      <c r="G70" s="461">
        <v>42251</v>
      </c>
      <c r="H70" s="461">
        <v>101483</v>
      </c>
      <c r="I70" s="461">
        <v>16113</v>
      </c>
      <c r="J70" s="464">
        <v>13082</v>
      </c>
      <c r="K70" s="464">
        <v>172929</v>
      </c>
      <c r="L70" s="464"/>
      <c r="M70" s="461">
        <v>910</v>
      </c>
      <c r="N70" s="461">
        <v>0</v>
      </c>
      <c r="O70" s="461">
        <v>0</v>
      </c>
      <c r="P70" s="464">
        <v>1137</v>
      </c>
      <c r="Q70" s="464">
        <v>2047</v>
      </c>
      <c r="R70" s="464"/>
      <c r="S70" s="461">
        <v>108909</v>
      </c>
      <c r="T70" s="462">
        <v>10181</v>
      </c>
      <c r="U70" s="462">
        <v>119090</v>
      </c>
      <c r="W70" s="464">
        <v>656900</v>
      </c>
      <c r="X70" s="464">
        <v>150520</v>
      </c>
    </row>
    <row r="71" spans="1:24">
      <c r="A71" s="458">
        <v>90808</v>
      </c>
      <c r="B71" s="459" t="s">
        <v>783</v>
      </c>
      <c r="C71" s="463">
        <v>8.878E-5</v>
      </c>
      <c r="D71" s="463">
        <v>1.164E-4</v>
      </c>
      <c r="E71" s="464">
        <v>587998</v>
      </c>
      <c r="F71" s="464"/>
      <c r="G71" s="461">
        <v>65520</v>
      </c>
      <c r="H71" s="461">
        <v>157374</v>
      </c>
      <c r="I71" s="461">
        <v>24987</v>
      </c>
      <c r="J71" s="464">
        <v>1586</v>
      </c>
      <c r="K71" s="464">
        <v>249467</v>
      </c>
      <c r="L71" s="464"/>
      <c r="M71" s="461">
        <v>1411</v>
      </c>
      <c r="N71" s="461">
        <v>0</v>
      </c>
      <c r="O71" s="461">
        <v>0</v>
      </c>
      <c r="P71" s="464">
        <v>62267</v>
      </c>
      <c r="Q71" s="464">
        <v>63678</v>
      </c>
      <c r="R71" s="464"/>
      <c r="S71" s="461">
        <v>168889</v>
      </c>
      <c r="T71" s="462">
        <v>-14695</v>
      </c>
      <c r="U71" s="462">
        <v>154194</v>
      </c>
      <c r="W71" s="464">
        <v>1018683</v>
      </c>
      <c r="X71" s="464">
        <v>233417</v>
      </c>
    </row>
    <row r="72" spans="1:24">
      <c r="A72" s="458">
        <v>90811</v>
      </c>
      <c r="B72" s="459" t="s">
        <v>784</v>
      </c>
      <c r="C72" s="463">
        <v>2.6319999999999999E-5</v>
      </c>
      <c r="D72" s="463">
        <v>3.3699999999999999E-5</v>
      </c>
      <c r="E72" s="464">
        <v>174320</v>
      </c>
      <c r="F72" s="464"/>
      <c r="G72" s="461">
        <v>19424</v>
      </c>
      <c r="H72" s="461">
        <v>46656</v>
      </c>
      <c r="I72" s="461">
        <v>7408</v>
      </c>
      <c r="J72" s="464">
        <v>1474</v>
      </c>
      <c r="K72" s="464">
        <v>74962</v>
      </c>
      <c r="L72" s="464"/>
      <c r="M72" s="461">
        <v>418</v>
      </c>
      <c r="N72" s="461">
        <v>0</v>
      </c>
      <c r="O72" s="461">
        <v>0</v>
      </c>
      <c r="P72" s="464">
        <v>15360</v>
      </c>
      <c r="Q72" s="464">
        <v>15778</v>
      </c>
      <c r="R72" s="464"/>
      <c r="S72" s="461">
        <v>50069</v>
      </c>
      <c r="T72" s="462">
        <v>-6912</v>
      </c>
      <c r="U72" s="462">
        <v>43157</v>
      </c>
      <c r="W72" s="464">
        <v>302002</v>
      </c>
      <c r="X72" s="464">
        <v>69200</v>
      </c>
    </row>
    <row r="73" spans="1:24">
      <c r="A73" s="458">
        <v>90812</v>
      </c>
      <c r="B73" s="459" t="s">
        <v>785</v>
      </c>
      <c r="C73" s="463">
        <v>2.1563999999999999E-4</v>
      </c>
      <c r="D73" s="463">
        <v>2.1780000000000001E-4</v>
      </c>
      <c r="E73" s="464">
        <v>1428202</v>
      </c>
      <c r="F73" s="464"/>
      <c r="G73" s="461">
        <v>159144</v>
      </c>
      <c r="H73" s="461">
        <v>382250</v>
      </c>
      <c r="I73" s="461">
        <v>60690</v>
      </c>
      <c r="J73" s="464">
        <v>5469</v>
      </c>
      <c r="K73" s="464">
        <v>607553</v>
      </c>
      <c r="L73" s="464"/>
      <c r="M73" s="461">
        <v>3426</v>
      </c>
      <c r="N73" s="461">
        <v>0</v>
      </c>
      <c r="O73" s="461">
        <v>0</v>
      </c>
      <c r="P73" s="464">
        <v>25703</v>
      </c>
      <c r="Q73" s="464">
        <v>29129</v>
      </c>
      <c r="R73" s="464"/>
      <c r="S73" s="461">
        <v>410220</v>
      </c>
      <c r="T73" s="462">
        <v>-11481</v>
      </c>
      <c r="U73" s="462">
        <v>398739</v>
      </c>
      <c r="W73" s="464">
        <v>2474305</v>
      </c>
      <c r="X73" s="464">
        <v>566953</v>
      </c>
    </row>
    <row r="74" spans="1:24">
      <c r="A74" s="458">
        <v>90813</v>
      </c>
      <c r="B74" s="459" t="s">
        <v>786</v>
      </c>
      <c r="C74" s="463">
        <v>3.2100000000000002E-6</v>
      </c>
      <c r="D74" s="463">
        <v>3.8E-6</v>
      </c>
      <c r="E74" s="464">
        <v>21260</v>
      </c>
      <c r="F74" s="464"/>
      <c r="G74" s="461">
        <v>2369</v>
      </c>
      <c r="H74" s="461">
        <v>5690</v>
      </c>
      <c r="I74" s="461">
        <v>903</v>
      </c>
      <c r="J74" s="464">
        <v>4446</v>
      </c>
      <c r="K74" s="464">
        <v>13408</v>
      </c>
      <c r="L74" s="464"/>
      <c r="M74" s="461">
        <v>51</v>
      </c>
      <c r="N74" s="461">
        <v>0</v>
      </c>
      <c r="O74" s="461">
        <v>0</v>
      </c>
      <c r="P74" s="464">
        <v>2602</v>
      </c>
      <c r="Q74" s="464">
        <v>2653</v>
      </c>
      <c r="R74" s="464"/>
      <c r="S74" s="461">
        <v>6106</v>
      </c>
      <c r="T74" s="462">
        <v>-139</v>
      </c>
      <c r="U74" s="462">
        <v>5967</v>
      </c>
      <c r="W74" s="464">
        <v>36832</v>
      </c>
      <c r="X74" s="464">
        <v>8440</v>
      </c>
    </row>
    <row r="75" spans="1:24">
      <c r="A75" s="458">
        <v>90861</v>
      </c>
      <c r="B75" s="459" t="s">
        <v>787</v>
      </c>
      <c r="C75" s="463">
        <v>6.3300000000000004E-6</v>
      </c>
      <c r="D75" s="463">
        <v>1.1999999999999999E-6</v>
      </c>
      <c r="E75" s="464">
        <v>41924</v>
      </c>
      <c r="F75" s="464"/>
      <c r="G75" s="461">
        <v>4672</v>
      </c>
      <c r="H75" s="461">
        <v>11221</v>
      </c>
      <c r="I75" s="461">
        <v>1782</v>
      </c>
      <c r="J75" s="464">
        <v>18163</v>
      </c>
      <c r="K75" s="464">
        <v>35838</v>
      </c>
      <c r="L75" s="464"/>
      <c r="M75" s="461">
        <v>101</v>
      </c>
      <c r="N75" s="461">
        <v>0</v>
      </c>
      <c r="O75" s="461">
        <v>0</v>
      </c>
      <c r="P75" s="464">
        <v>2728</v>
      </c>
      <c r="Q75" s="464">
        <v>2829</v>
      </c>
      <c r="R75" s="464"/>
      <c r="S75" s="461">
        <v>12042</v>
      </c>
      <c r="T75" s="462">
        <v>5086</v>
      </c>
      <c r="U75" s="462">
        <v>17128</v>
      </c>
      <c r="W75" s="464">
        <v>72632</v>
      </c>
      <c r="X75" s="464">
        <v>16643</v>
      </c>
    </row>
    <row r="76" spans="1:24">
      <c r="A76" s="458">
        <v>90901</v>
      </c>
      <c r="B76" s="459" t="s">
        <v>788</v>
      </c>
      <c r="C76" s="463">
        <v>2.0073399999999998E-3</v>
      </c>
      <c r="D76" s="463">
        <v>2.085E-3</v>
      </c>
      <c r="E76" s="464">
        <v>13294787</v>
      </c>
      <c r="F76" s="464"/>
      <c r="G76" s="461">
        <v>1481433</v>
      </c>
      <c r="H76" s="461">
        <v>3558267</v>
      </c>
      <c r="I76" s="461">
        <v>564952</v>
      </c>
      <c r="J76" s="464">
        <v>22017</v>
      </c>
      <c r="K76" s="464">
        <v>5626669</v>
      </c>
      <c r="L76" s="464"/>
      <c r="M76" s="461">
        <v>31893</v>
      </c>
      <c r="N76" s="461">
        <v>0</v>
      </c>
      <c r="O76" s="461">
        <v>0</v>
      </c>
      <c r="P76" s="464">
        <v>151292</v>
      </c>
      <c r="Q76" s="464">
        <v>183185</v>
      </c>
      <c r="R76" s="464"/>
      <c r="S76" s="461">
        <v>3818633</v>
      </c>
      <c r="T76" s="462">
        <v>-88634</v>
      </c>
      <c r="U76" s="462">
        <v>3729999</v>
      </c>
      <c r="W76" s="464">
        <v>23032697</v>
      </c>
      <c r="X76" s="464">
        <v>5277628</v>
      </c>
    </row>
    <row r="77" spans="1:24">
      <c r="A77" s="458">
        <v>90911</v>
      </c>
      <c r="B77" s="459" t="s">
        <v>789</v>
      </c>
      <c r="C77" s="463">
        <v>2.9734E-4</v>
      </c>
      <c r="D77" s="463">
        <v>3.191E-4</v>
      </c>
      <c r="E77" s="464">
        <v>1969309</v>
      </c>
      <c r="F77" s="464"/>
      <c r="G77" s="461">
        <v>219439</v>
      </c>
      <c r="H77" s="461">
        <v>527073</v>
      </c>
      <c r="I77" s="461">
        <v>83684</v>
      </c>
      <c r="J77" s="464">
        <v>2481</v>
      </c>
      <c r="K77" s="464">
        <v>832677</v>
      </c>
      <c r="L77" s="464"/>
      <c r="M77" s="461">
        <v>4724</v>
      </c>
      <c r="N77" s="461">
        <v>0</v>
      </c>
      <c r="O77" s="461">
        <v>0</v>
      </c>
      <c r="P77" s="464">
        <v>108405</v>
      </c>
      <c r="Q77" s="464">
        <v>113129</v>
      </c>
      <c r="R77" s="464"/>
      <c r="S77" s="461">
        <v>565640</v>
      </c>
      <c r="T77" s="462">
        <v>-68984</v>
      </c>
      <c r="U77" s="462">
        <v>496656</v>
      </c>
      <c r="W77" s="464">
        <v>3411750</v>
      </c>
      <c r="X77" s="464">
        <v>781756</v>
      </c>
    </row>
    <row r="78" spans="1:24">
      <c r="A78" s="458">
        <v>90917</v>
      </c>
      <c r="B78" s="459" t="s">
        <v>790</v>
      </c>
      <c r="C78" s="463">
        <v>9.5100000000000004E-6</v>
      </c>
      <c r="D78" s="463">
        <v>1.01E-5</v>
      </c>
      <c r="E78" s="464">
        <v>62986</v>
      </c>
      <c r="F78" s="464"/>
      <c r="G78" s="461">
        <v>7018</v>
      </c>
      <c r="H78" s="461">
        <v>16858</v>
      </c>
      <c r="I78" s="461">
        <v>2677</v>
      </c>
      <c r="J78" s="464">
        <v>3052</v>
      </c>
      <c r="K78" s="464">
        <v>29605</v>
      </c>
      <c r="L78" s="464"/>
      <c r="M78" s="461">
        <v>151</v>
      </c>
      <c r="N78" s="461">
        <v>0</v>
      </c>
      <c r="O78" s="461">
        <v>0</v>
      </c>
      <c r="P78" s="464">
        <v>0</v>
      </c>
      <c r="Q78" s="464">
        <v>151</v>
      </c>
      <c r="R78" s="464"/>
      <c r="S78" s="461">
        <v>18091</v>
      </c>
      <c r="T78" s="462">
        <v>2211</v>
      </c>
      <c r="U78" s="462">
        <v>20302</v>
      </c>
      <c r="W78" s="464">
        <v>109120</v>
      </c>
      <c r="X78" s="464">
        <v>25003</v>
      </c>
    </row>
    <row r="79" spans="1:24">
      <c r="A79" s="458">
        <v>90918</v>
      </c>
      <c r="B79" s="459" t="s">
        <v>791</v>
      </c>
      <c r="C79" s="463">
        <v>7.9000000000000006E-6</v>
      </c>
      <c r="D79" s="463">
        <v>9.0000000000000002E-6</v>
      </c>
      <c r="E79" s="464">
        <v>52322</v>
      </c>
      <c r="F79" s="464"/>
      <c r="G79" s="461">
        <v>5830</v>
      </c>
      <c r="H79" s="461">
        <v>14004</v>
      </c>
      <c r="I79" s="461">
        <v>2223</v>
      </c>
      <c r="J79" s="464">
        <v>245</v>
      </c>
      <c r="K79" s="464">
        <v>22302</v>
      </c>
      <c r="L79" s="464"/>
      <c r="M79" s="461">
        <v>126</v>
      </c>
      <c r="N79" s="461">
        <v>0</v>
      </c>
      <c r="O79" s="461">
        <v>0</v>
      </c>
      <c r="P79" s="464">
        <v>2407</v>
      </c>
      <c r="Q79" s="464">
        <v>2533</v>
      </c>
      <c r="R79" s="464"/>
      <c r="S79" s="461">
        <v>15028</v>
      </c>
      <c r="T79" s="462">
        <v>-1384</v>
      </c>
      <c r="U79" s="462">
        <v>13644</v>
      </c>
      <c r="W79" s="464">
        <v>90646</v>
      </c>
      <c r="X79" s="464">
        <v>20770</v>
      </c>
    </row>
    <row r="80" spans="1:24">
      <c r="A80" s="458">
        <v>90921</v>
      </c>
      <c r="B80" s="459" t="s">
        <v>792</v>
      </c>
      <c r="C80" s="463">
        <v>1.2017E-4</v>
      </c>
      <c r="D80" s="463">
        <v>1.1909999999999999E-4</v>
      </c>
      <c r="E80" s="464">
        <v>795896</v>
      </c>
      <c r="F80" s="464"/>
      <c r="G80" s="461">
        <v>88686</v>
      </c>
      <c r="H80" s="461">
        <v>213017</v>
      </c>
      <c r="I80" s="461">
        <v>33821</v>
      </c>
      <c r="J80" s="464">
        <v>16603</v>
      </c>
      <c r="K80" s="464">
        <v>352127</v>
      </c>
      <c r="L80" s="464"/>
      <c r="M80" s="461">
        <v>1909</v>
      </c>
      <c r="N80" s="461">
        <v>0</v>
      </c>
      <c r="O80" s="461">
        <v>0</v>
      </c>
      <c r="P80" s="464">
        <v>785</v>
      </c>
      <c r="Q80" s="464">
        <v>2694</v>
      </c>
      <c r="R80" s="464"/>
      <c r="S80" s="461">
        <v>228604</v>
      </c>
      <c r="T80" s="462">
        <v>7716</v>
      </c>
      <c r="U80" s="462">
        <v>236320</v>
      </c>
      <c r="W80" s="464">
        <v>1378859</v>
      </c>
      <c r="X80" s="464">
        <v>315947</v>
      </c>
    </row>
    <row r="81" spans="1:24">
      <c r="A81" s="458">
        <v>90931</v>
      </c>
      <c r="B81" s="459" t="s">
        <v>793</v>
      </c>
      <c r="C81" s="463">
        <v>2.44E-5</v>
      </c>
      <c r="D81" s="463">
        <v>2.4600000000000002E-5</v>
      </c>
      <c r="E81" s="464">
        <v>161603</v>
      </c>
      <c r="F81" s="464"/>
      <c r="G81" s="461">
        <v>18007</v>
      </c>
      <c r="H81" s="461">
        <v>43252</v>
      </c>
      <c r="I81" s="461">
        <v>6867</v>
      </c>
      <c r="J81" s="464">
        <v>3723</v>
      </c>
      <c r="K81" s="464">
        <v>71849</v>
      </c>
      <c r="L81" s="464"/>
      <c r="M81" s="461">
        <v>388</v>
      </c>
      <c r="N81" s="461">
        <v>0</v>
      </c>
      <c r="O81" s="461">
        <v>0</v>
      </c>
      <c r="P81" s="464">
        <v>8638</v>
      </c>
      <c r="Q81" s="464">
        <v>9026</v>
      </c>
      <c r="R81" s="464"/>
      <c r="S81" s="461">
        <v>46417</v>
      </c>
      <c r="T81" s="462">
        <v>-5688</v>
      </c>
      <c r="U81" s="462">
        <v>40729</v>
      </c>
      <c r="W81" s="464">
        <v>279971</v>
      </c>
      <c r="X81" s="464">
        <v>64152</v>
      </c>
    </row>
    <row r="82" spans="1:24">
      <c r="A82" s="458">
        <v>90941</v>
      </c>
      <c r="B82" s="459" t="s">
        <v>794</v>
      </c>
      <c r="C82" s="463">
        <v>7.3930000000000005E-5</v>
      </c>
      <c r="D82" s="463">
        <v>8.1500000000000002E-5</v>
      </c>
      <c r="E82" s="464">
        <v>489645</v>
      </c>
      <c r="F82" s="464"/>
      <c r="G82" s="461">
        <v>54561</v>
      </c>
      <c r="H82" s="461">
        <v>131050</v>
      </c>
      <c r="I82" s="461">
        <v>20807</v>
      </c>
      <c r="J82" s="464">
        <v>11114</v>
      </c>
      <c r="K82" s="464">
        <v>217532</v>
      </c>
      <c r="L82" s="464"/>
      <c r="M82" s="461">
        <v>1175</v>
      </c>
      <c r="N82" s="461">
        <v>0</v>
      </c>
      <c r="O82" s="461">
        <v>0</v>
      </c>
      <c r="P82" s="464">
        <v>29946</v>
      </c>
      <c r="Q82" s="464">
        <v>31121</v>
      </c>
      <c r="R82" s="464"/>
      <c r="S82" s="461">
        <v>140640</v>
      </c>
      <c r="T82" s="462">
        <v>-9277</v>
      </c>
      <c r="U82" s="462">
        <v>131363</v>
      </c>
      <c r="W82" s="464">
        <v>848290</v>
      </c>
      <c r="X82" s="464">
        <v>194374</v>
      </c>
    </row>
    <row r="83" spans="1:24">
      <c r="A83" s="458">
        <v>91001</v>
      </c>
      <c r="B83" s="459" t="s">
        <v>795</v>
      </c>
      <c r="C83" s="463">
        <v>7.4335099999999999E-3</v>
      </c>
      <c r="D83" s="463">
        <v>7.2585000000000002E-3</v>
      </c>
      <c r="E83" s="464">
        <v>49232783</v>
      </c>
      <c r="F83" s="464"/>
      <c r="G83" s="461">
        <v>5485990</v>
      </c>
      <c r="H83" s="461">
        <v>13176848</v>
      </c>
      <c r="I83" s="461">
        <v>2092109</v>
      </c>
      <c r="J83" s="464">
        <v>178157</v>
      </c>
      <c r="K83" s="464">
        <v>20933104</v>
      </c>
      <c r="L83" s="464"/>
      <c r="M83" s="461">
        <v>118104</v>
      </c>
      <c r="N83" s="461">
        <v>0</v>
      </c>
      <c r="O83" s="461">
        <v>0</v>
      </c>
      <c r="P83" s="464">
        <v>101954</v>
      </c>
      <c r="Q83" s="464">
        <v>220058</v>
      </c>
      <c r="R83" s="464"/>
      <c r="S83" s="461">
        <v>14141026</v>
      </c>
      <c r="T83" s="462">
        <v>-49411</v>
      </c>
      <c r="U83" s="462">
        <v>14091615</v>
      </c>
      <c r="W83" s="464">
        <v>85293863</v>
      </c>
      <c r="X83" s="464">
        <v>19543924</v>
      </c>
    </row>
    <row r="84" spans="1:24">
      <c r="A84" s="458">
        <v>91002</v>
      </c>
      <c r="B84" s="459" t="s">
        <v>796</v>
      </c>
      <c r="C84" s="463">
        <v>1.68322E-3</v>
      </c>
      <c r="D84" s="463">
        <v>1.5610000000000001E-3</v>
      </c>
      <c r="E84" s="464">
        <v>11148113</v>
      </c>
      <c r="F84" s="464"/>
      <c r="G84" s="461">
        <v>1242230</v>
      </c>
      <c r="H84" s="461">
        <v>2983723</v>
      </c>
      <c r="I84" s="461">
        <v>473730</v>
      </c>
      <c r="J84" s="464">
        <v>386117</v>
      </c>
      <c r="K84" s="464">
        <v>5085800</v>
      </c>
      <c r="L84" s="464"/>
      <c r="M84" s="461">
        <v>26743</v>
      </c>
      <c r="N84" s="461">
        <v>0</v>
      </c>
      <c r="O84" s="461">
        <v>0</v>
      </c>
      <c r="P84" s="464">
        <v>144070</v>
      </c>
      <c r="Q84" s="464">
        <v>170813</v>
      </c>
      <c r="R84" s="464"/>
      <c r="S84" s="461">
        <v>3202048</v>
      </c>
      <c r="T84" s="462">
        <v>96747</v>
      </c>
      <c r="U84" s="462">
        <v>3298795</v>
      </c>
      <c r="W84" s="464">
        <v>19313667</v>
      </c>
      <c r="X84" s="464">
        <v>4425463</v>
      </c>
    </row>
    <row r="85" spans="1:24">
      <c r="A85" s="458">
        <v>91003</v>
      </c>
      <c r="B85" s="459" t="s">
        <v>797</v>
      </c>
      <c r="C85" s="463">
        <v>5.7295999999999996E-4</v>
      </c>
      <c r="D85" s="463">
        <v>5.8900000000000001E-4</v>
      </c>
      <c r="E85" s="464">
        <v>3794764</v>
      </c>
      <c r="F85" s="464"/>
      <c r="G85" s="461">
        <v>422849</v>
      </c>
      <c r="H85" s="461">
        <v>1015645</v>
      </c>
      <c r="I85" s="461">
        <v>161256</v>
      </c>
      <c r="J85" s="464">
        <v>40338</v>
      </c>
      <c r="K85" s="464">
        <v>1640088</v>
      </c>
      <c r="L85" s="464"/>
      <c r="M85" s="461">
        <v>9103</v>
      </c>
      <c r="N85" s="461">
        <v>0</v>
      </c>
      <c r="O85" s="461">
        <v>0</v>
      </c>
      <c r="P85" s="464">
        <v>37351</v>
      </c>
      <c r="Q85" s="464">
        <v>46454</v>
      </c>
      <c r="R85" s="464"/>
      <c r="S85" s="461">
        <v>1089962</v>
      </c>
      <c r="T85" s="462">
        <v>17573</v>
      </c>
      <c r="U85" s="462">
        <v>1107535</v>
      </c>
      <c r="W85" s="464">
        <v>6574279</v>
      </c>
      <c r="X85" s="464">
        <v>1506406</v>
      </c>
    </row>
    <row r="86" spans="1:24">
      <c r="A86" s="458">
        <v>91004</v>
      </c>
      <c r="B86" s="459" t="s">
        <v>798</v>
      </c>
      <c r="C86" s="463">
        <v>3.9669999999999998E-5</v>
      </c>
      <c r="D86" s="463">
        <v>4.18E-5</v>
      </c>
      <c r="E86" s="464">
        <v>262738</v>
      </c>
      <c r="F86" s="464"/>
      <c r="G86" s="461">
        <v>29277</v>
      </c>
      <c r="H86" s="461">
        <v>70320</v>
      </c>
      <c r="I86" s="461">
        <v>11165</v>
      </c>
      <c r="J86" s="464">
        <v>2388</v>
      </c>
      <c r="K86" s="464">
        <v>113150</v>
      </c>
      <c r="L86" s="464"/>
      <c r="M86" s="461">
        <v>630</v>
      </c>
      <c r="N86" s="461">
        <v>0</v>
      </c>
      <c r="O86" s="461">
        <v>0</v>
      </c>
      <c r="P86" s="464">
        <v>6113</v>
      </c>
      <c r="Q86" s="464">
        <v>6743</v>
      </c>
      <c r="R86" s="464"/>
      <c r="S86" s="461">
        <v>75466</v>
      </c>
      <c r="T86" s="462">
        <v>3</v>
      </c>
      <c r="U86" s="462">
        <v>75469</v>
      </c>
      <c r="W86" s="464">
        <v>455183</v>
      </c>
      <c r="X86" s="464">
        <v>104299</v>
      </c>
    </row>
    <row r="87" spans="1:24">
      <c r="A87" s="458">
        <v>91006</v>
      </c>
      <c r="B87" s="459" t="s">
        <v>799</v>
      </c>
      <c r="C87" s="463">
        <v>1.08574E-3</v>
      </c>
      <c r="D87" s="463">
        <v>1.0460999999999999E-3</v>
      </c>
      <c r="E87" s="464">
        <v>7190950</v>
      </c>
      <c r="F87" s="464"/>
      <c r="G87" s="461">
        <v>801285</v>
      </c>
      <c r="H87" s="461">
        <v>1924613</v>
      </c>
      <c r="I87" s="461">
        <v>305574</v>
      </c>
      <c r="J87" s="464">
        <v>65256</v>
      </c>
      <c r="K87" s="464">
        <v>3096728</v>
      </c>
      <c r="L87" s="464"/>
      <c r="M87" s="461">
        <v>17250</v>
      </c>
      <c r="N87" s="461">
        <v>0</v>
      </c>
      <c r="O87" s="461">
        <v>0</v>
      </c>
      <c r="P87" s="464">
        <v>19463</v>
      </c>
      <c r="Q87" s="464">
        <v>36713</v>
      </c>
      <c r="R87" s="464"/>
      <c r="S87" s="461">
        <v>2065441</v>
      </c>
      <c r="T87" s="462">
        <v>-19420</v>
      </c>
      <c r="U87" s="462">
        <v>2046021</v>
      </c>
      <c r="W87" s="464">
        <v>12458039</v>
      </c>
      <c r="X87" s="464">
        <v>2854590</v>
      </c>
    </row>
    <row r="88" spans="1:24">
      <c r="A88" s="458">
        <v>91007</v>
      </c>
      <c r="B88" s="459" t="s">
        <v>800</v>
      </c>
      <c r="C88" s="463">
        <v>1.0360000000000001E-5</v>
      </c>
      <c r="D88" s="463">
        <v>1.11E-5</v>
      </c>
      <c r="E88" s="464">
        <v>68615</v>
      </c>
      <c r="F88" s="464"/>
      <c r="G88" s="461">
        <v>7646</v>
      </c>
      <c r="H88" s="461">
        <v>18364</v>
      </c>
      <c r="I88" s="461">
        <v>2916</v>
      </c>
      <c r="J88" s="464">
        <v>1106</v>
      </c>
      <c r="K88" s="464">
        <v>30032</v>
      </c>
      <c r="L88" s="464"/>
      <c r="M88" s="461">
        <v>165</v>
      </c>
      <c r="N88" s="461">
        <v>0</v>
      </c>
      <c r="O88" s="461">
        <v>0</v>
      </c>
      <c r="P88" s="464">
        <v>2730</v>
      </c>
      <c r="Q88" s="464">
        <v>2895</v>
      </c>
      <c r="R88" s="464"/>
      <c r="S88" s="461">
        <v>19708</v>
      </c>
      <c r="T88" s="462">
        <v>9</v>
      </c>
      <c r="U88" s="462">
        <v>19717</v>
      </c>
      <c r="W88" s="464">
        <v>118873</v>
      </c>
      <c r="X88" s="464">
        <v>27238</v>
      </c>
    </row>
    <row r="89" spans="1:24">
      <c r="A89" s="458">
        <v>91008</v>
      </c>
      <c r="B89" s="459" t="s">
        <v>801</v>
      </c>
      <c r="C89" s="463">
        <v>1.8299000000000001E-4</v>
      </c>
      <c r="D89" s="463">
        <v>1.6780000000000001E-4</v>
      </c>
      <c r="E89" s="464">
        <v>1211959</v>
      </c>
      <c r="F89" s="464"/>
      <c r="G89" s="461">
        <v>135048</v>
      </c>
      <c r="H89" s="461">
        <v>324373</v>
      </c>
      <c r="I89" s="461">
        <v>51501</v>
      </c>
      <c r="J89" s="464">
        <v>36049</v>
      </c>
      <c r="K89" s="464">
        <v>546971</v>
      </c>
      <c r="L89" s="464"/>
      <c r="M89" s="461">
        <v>2907</v>
      </c>
      <c r="N89" s="461">
        <v>0</v>
      </c>
      <c r="O89" s="461">
        <v>0</v>
      </c>
      <c r="P89" s="464">
        <v>1777</v>
      </c>
      <c r="Q89" s="464">
        <v>4684</v>
      </c>
      <c r="R89" s="464"/>
      <c r="S89" s="461">
        <v>348108</v>
      </c>
      <c r="T89" s="462">
        <v>19762</v>
      </c>
      <c r="U89" s="462">
        <v>367870</v>
      </c>
      <c r="W89" s="464">
        <v>2099671</v>
      </c>
      <c r="X89" s="464">
        <v>481111</v>
      </c>
    </row>
    <row r="90" spans="1:24">
      <c r="A90" s="458">
        <v>91009</v>
      </c>
      <c r="B90" s="459" t="s">
        <v>802</v>
      </c>
      <c r="C90" s="463">
        <v>1.6019999999999999E-5</v>
      </c>
      <c r="D90" s="463">
        <v>1.47E-5</v>
      </c>
      <c r="E90" s="464">
        <v>106102</v>
      </c>
      <c r="F90" s="464"/>
      <c r="G90" s="461">
        <v>11823</v>
      </c>
      <c r="H90" s="461">
        <v>28398</v>
      </c>
      <c r="I90" s="461">
        <v>4509</v>
      </c>
      <c r="J90" s="464">
        <v>17873</v>
      </c>
      <c r="K90" s="464">
        <v>62603</v>
      </c>
      <c r="L90" s="464"/>
      <c r="M90" s="461">
        <v>255</v>
      </c>
      <c r="N90" s="461">
        <v>0</v>
      </c>
      <c r="O90" s="461">
        <v>0</v>
      </c>
      <c r="P90" s="464">
        <v>0</v>
      </c>
      <c r="Q90" s="464">
        <v>255</v>
      </c>
      <c r="R90" s="464"/>
      <c r="S90" s="461">
        <v>30475</v>
      </c>
      <c r="T90" s="462">
        <v>11023</v>
      </c>
      <c r="U90" s="462">
        <v>41498</v>
      </c>
      <c r="W90" s="464">
        <v>183817</v>
      </c>
      <c r="X90" s="464">
        <v>42119</v>
      </c>
    </row>
    <row r="91" spans="1:24">
      <c r="A91" s="458">
        <v>91010</v>
      </c>
      <c r="B91" s="459" t="s">
        <v>803</v>
      </c>
      <c r="C91" s="463">
        <v>4.5930000000000002E-5</v>
      </c>
      <c r="D91" s="463">
        <v>4.9299999999999999E-5</v>
      </c>
      <c r="E91" s="464">
        <v>304198</v>
      </c>
      <c r="F91" s="464"/>
      <c r="G91" s="461">
        <v>33897</v>
      </c>
      <c r="H91" s="461">
        <v>81417</v>
      </c>
      <c r="I91" s="461">
        <v>12927</v>
      </c>
      <c r="J91" s="464">
        <v>12279</v>
      </c>
      <c r="K91" s="464">
        <v>140520</v>
      </c>
      <c r="L91" s="464"/>
      <c r="M91" s="461">
        <v>730</v>
      </c>
      <c r="N91" s="461">
        <v>0</v>
      </c>
      <c r="O91" s="461">
        <v>0</v>
      </c>
      <c r="P91" s="464">
        <v>0</v>
      </c>
      <c r="Q91" s="464">
        <v>730</v>
      </c>
      <c r="R91" s="464"/>
      <c r="S91" s="461">
        <v>87374</v>
      </c>
      <c r="T91" s="462">
        <v>7230</v>
      </c>
      <c r="U91" s="462">
        <v>94604</v>
      </c>
      <c r="W91" s="464">
        <v>527012</v>
      </c>
      <c r="X91" s="464">
        <v>120758</v>
      </c>
    </row>
    <row r="92" spans="1:24">
      <c r="A92" s="458">
        <v>91011</v>
      </c>
      <c r="B92" s="459" t="s">
        <v>804</v>
      </c>
      <c r="C92" s="463">
        <v>4.9138999999999997E-4</v>
      </c>
      <c r="D92" s="463">
        <v>4.261E-4</v>
      </c>
      <c r="E92" s="464">
        <v>3254519</v>
      </c>
      <c r="F92" s="464"/>
      <c r="G92" s="461">
        <v>362650</v>
      </c>
      <c r="H92" s="461">
        <v>871052</v>
      </c>
      <c r="I92" s="461">
        <v>138298</v>
      </c>
      <c r="J92" s="464">
        <v>218065</v>
      </c>
      <c r="K92" s="464">
        <v>1590065</v>
      </c>
      <c r="L92" s="464"/>
      <c r="M92" s="461">
        <v>7807</v>
      </c>
      <c r="N92" s="461">
        <v>0</v>
      </c>
      <c r="O92" s="461">
        <v>0</v>
      </c>
      <c r="P92" s="464">
        <v>8649</v>
      </c>
      <c r="Q92" s="464">
        <v>16456</v>
      </c>
      <c r="R92" s="464"/>
      <c r="S92" s="461">
        <v>934788</v>
      </c>
      <c r="T92" s="462">
        <v>110310</v>
      </c>
      <c r="U92" s="462">
        <v>1045098</v>
      </c>
      <c r="W92" s="464">
        <v>5638326</v>
      </c>
      <c r="X92" s="464">
        <v>1291945</v>
      </c>
    </row>
    <row r="93" spans="1:24">
      <c r="A93" s="458">
        <v>91012</v>
      </c>
      <c r="B93" s="459" t="s">
        <v>805</v>
      </c>
      <c r="C93" s="463">
        <v>1.5359999999999999E-5</v>
      </c>
      <c r="D93" s="463">
        <v>8.6000000000000007E-6</v>
      </c>
      <c r="E93" s="464">
        <v>101731</v>
      </c>
      <c r="F93" s="464"/>
      <c r="G93" s="461">
        <v>11336</v>
      </c>
      <c r="H93" s="461">
        <v>27228</v>
      </c>
      <c r="I93" s="461">
        <v>4323</v>
      </c>
      <c r="J93" s="464">
        <v>26055</v>
      </c>
      <c r="K93" s="464">
        <v>68942</v>
      </c>
      <c r="L93" s="464"/>
      <c r="M93" s="461">
        <v>244</v>
      </c>
      <c r="N93" s="461">
        <v>0</v>
      </c>
      <c r="O93" s="461">
        <v>0</v>
      </c>
      <c r="P93" s="464">
        <v>6024</v>
      </c>
      <c r="Q93" s="464">
        <v>6268</v>
      </c>
      <c r="R93" s="464"/>
      <c r="S93" s="461">
        <v>29220</v>
      </c>
      <c r="T93" s="462">
        <v>7169</v>
      </c>
      <c r="U93" s="462">
        <v>36389</v>
      </c>
      <c r="W93" s="464">
        <v>176244</v>
      </c>
      <c r="X93" s="464">
        <v>40384</v>
      </c>
    </row>
    <row r="94" spans="1:24">
      <c r="A94" s="458">
        <v>91013</v>
      </c>
      <c r="B94" s="459" t="s">
        <v>806</v>
      </c>
      <c r="C94" s="463">
        <v>3.269E-5</v>
      </c>
      <c r="D94" s="463">
        <v>3.4900000000000001E-5</v>
      </c>
      <c r="E94" s="464">
        <v>216509</v>
      </c>
      <c r="F94" s="464"/>
      <c r="G94" s="461">
        <v>24125</v>
      </c>
      <c r="H94" s="461">
        <v>57947</v>
      </c>
      <c r="I94" s="461">
        <v>9200</v>
      </c>
      <c r="J94" s="464">
        <v>23710</v>
      </c>
      <c r="K94" s="464">
        <v>114982</v>
      </c>
      <c r="L94" s="464"/>
      <c r="M94" s="461">
        <v>519</v>
      </c>
      <c r="N94" s="461">
        <v>0</v>
      </c>
      <c r="O94" s="461">
        <v>0</v>
      </c>
      <c r="P94" s="464">
        <v>1250</v>
      </c>
      <c r="Q94" s="464">
        <v>1769</v>
      </c>
      <c r="R94" s="464"/>
      <c r="S94" s="461">
        <v>62187</v>
      </c>
      <c r="T94" s="462">
        <v>18570</v>
      </c>
      <c r="U94" s="462">
        <v>80757</v>
      </c>
      <c r="W94" s="464">
        <v>375093</v>
      </c>
      <c r="X94" s="464">
        <v>85947</v>
      </c>
    </row>
    <row r="95" spans="1:24">
      <c r="A95" s="458">
        <v>91014</v>
      </c>
      <c r="B95" s="459" t="s">
        <v>807</v>
      </c>
      <c r="C95" s="463">
        <v>1.6411E-4</v>
      </c>
      <c r="D95" s="463">
        <v>1.7330000000000001E-4</v>
      </c>
      <c r="E95" s="464">
        <v>1086915</v>
      </c>
      <c r="F95" s="464"/>
      <c r="G95" s="461">
        <v>121114</v>
      </c>
      <c r="H95" s="461">
        <v>290906</v>
      </c>
      <c r="I95" s="461">
        <v>46188</v>
      </c>
      <c r="J95" s="464">
        <v>19186</v>
      </c>
      <c r="K95" s="464">
        <v>477394</v>
      </c>
      <c r="L95" s="464"/>
      <c r="M95" s="461">
        <v>2607</v>
      </c>
      <c r="N95" s="461">
        <v>0</v>
      </c>
      <c r="O95" s="461">
        <v>0</v>
      </c>
      <c r="P95" s="464">
        <v>7956</v>
      </c>
      <c r="Q95" s="464">
        <v>10563</v>
      </c>
      <c r="R95" s="464"/>
      <c r="S95" s="461">
        <v>312192</v>
      </c>
      <c r="T95" s="462">
        <v>5922</v>
      </c>
      <c r="U95" s="462">
        <v>318114</v>
      </c>
      <c r="W95" s="464">
        <v>1883037</v>
      </c>
      <c r="X95" s="464">
        <v>431472</v>
      </c>
    </row>
    <row r="96" spans="1:24">
      <c r="A96" s="458">
        <v>91015</v>
      </c>
      <c r="B96" s="459" t="s">
        <v>1636</v>
      </c>
      <c r="C96" s="463">
        <v>2.0820000000000001E-5</v>
      </c>
      <c r="D96" s="463">
        <v>2.3E-5</v>
      </c>
      <c r="E96" s="464">
        <v>137893</v>
      </c>
      <c r="F96" s="464"/>
      <c r="G96" s="461">
        <v>15365</v>
      </c>
      <c r="H96" s="461">
        <v>36906</v>
      </c>
      <c r="I96" s="461">
        <v>5860</v>
      </c>
      <c r="J96" s="464">
        <v>24847</v>
      </c>
      <c r="K96" s="464">
        <v>82978</v>
      </c>
      <c r="L96" s="464"/>
      <c r="M96" s="461">
        <v>331</v>
      </c>
      <c r="N96" s="461">
        <v>0</v>
      </c>
      <c r="O96" s="461">
        <v>0</v>
      </c>
      <c r="P96" s="464">
        <v>0</v>
      </c>
      <c r="Q96" s="464">
        <v>331</v>
      </c>
      <c r="R96" s="464"/>
      <c r="S96" s="461">
        <v>39607</v>
      </c>
      <c r="T96" s="462">
        <v>17903</v>
      </c>
      <c r="U96" s="462">
        <v>57510</v>
      </c>
      <c r="W96" s="464">
        <v>238894</v>
      </c>
      <c r="X96" s="464">
        <v>54739</v>
      </c>
    </row>
    <row r="97" spans="1:24">
      <c r="A97" s="458">
        <v>91017</v>
      </c>
      <c r="B97" s="459" t="s">
        <v>2009</v>
      </c>
      <c r="C97" s="463">
        <v>3.5639999999999998E-5</v>
      </c>
      <c r="D97" s="463">
        <v>3.26E-5</v>
      </c>
      <c r="E97" s="464">
        <v>236047</v>
      </c>
      <c r="F97" s="464"/>
      <c r="G97" s="461">
        <v>26303</v>
      </c>
      <c r="H97" s="461">
        <v>63176</v>
      </c>
      <c r="I97" s="461">
        <v>10031</v>
      </c>
      <c r="J97" s="464">
        <v>15577</v>
      </c>
      <c r="K97" s="464">
        <v>115087</v>
      </c>
      <c r="L97" s="464"/>
      <c r="M97" s="461">
        <v>566</v>
      </c>
      <c r="N97" s="461">
        <v>0</v>
      </c>
      <c r="O97" s="461">
        <v>0</v>
      </c>
      <c r="P97" s="464">
        <v>229</v>
      </c>
      <c r="Q97" s="464">
        <v>795</v>
      </c>
      <c r="R97" s="464"/>
      <c r="S97" s="461">
        <v>67799</v>
      </c>
      <c r="T97" s="462">
        <v>8200</v>
      </c>
      <c r="U97" s="462">
        <v>75999</v>
      </c>
      <c r="W97" s="464">
        <v>408942</v>
      </c>
      <c r="X97" s="464">
        <v>93703</v>
      </c>
    </row>
    <row r="98" spans="1:24">
      <c r="A98" s="458">
        <v>91020</v>
      </c>
      <c r="B98" s="459" t="s">
        <v>809</v>
      </c>
      <c r="C98" s="463">
        <v>2.7080000000000002E-5</v>
      </c>
      <c r="D98" s="463">
        <v>2.76E-5</v>
      </c>
      <c r="E98" s="464">
        <v>179353</v>
      </c>
      <c r="F98" s="464"/>
      <c r="G98" s="461">
        <v>19985</v>
      </c>
      <c r="H98" s="461">
        <v>48003</v>
      </c>
      <c r="I98" s="461">
        <v>7621</v>
      </c>
      <c r="J98" s="464">
        <v>6124</v>
      </c>
      <c r="K98" s="464">
        <v>81733</v>
      </c>
      <c r="L98" s="464"/>
      <c r="M98" s="461">
        <v>430</v>
      </c>
      <c r="N98" s="461">
        <v>0</v>
      </c>
      <c r="O98" s="461">
        <v>0</v>
      </c>
      <c r="P98" s="464">
        <v>160</v>
      </c>
      <c r="Q98" s="464">
        <v>590</v>
      </c>
      <c r="R98" s="464"/>
      <c r="S98" s="461">
        <v>51515</v>
      </c>
      <c r="T98" s="462">
        <v>2274</v>
      </c>
      <c r="U98" s="462">
        <v>53789</v>
      </c>
      <c r="W98" s="464">
        <v>310722</v>
      </c>
      <c r="X98" s="464">
        <v>71198</v>
      </c>
    </row>
    <row r="99" spans="1:24">
      <c r="A99" s="458">
        <v>91021</v>
      </c>
      <c r="B99" s="459" t="s">
        <v>810</v>
      </c>
      <c r="C99" s="463">
        <v>9.3137000000000005E-4</v>
      </c>
      <c r="D99" s="463">
        <v>9.0700000000000004E-4</v>
      </c>
      <c r="E99" s="464">
        <v>6168545</v>
      </c>
      <c r="F99" s="464"/>
      <c r="G99" s="461">
        <v>687359</v>
      </c>
      <c r="H99" s="461">
        <v>1650973</v>
      </c>
      <c r="I99" s="461">
        <v>262128</v>
      </c>
      <c r="J99" s="464">
        <v>77337</v>
      </c>
      <c r="K99" s="464">
        <v>2677797</v>
      </c>
      <c r="L99" s="464"/>
      <c r="M99" s="461">
        <v>14798</v>
      </c>
      <c r="N99" s="461">
        <v>0</v>
      </c>
      <c r="O99" s="461">
        <v>0</v>
      </c>
      <c r="P99" s="464">
        <v>44173</v>
      </c>
      <c r="Q99" s="464">
        <v>58971</v>
      </c>
      <c r="R99" s="464"/>
      <c r="S99" s="461">
        <v>1771778</v>
      </c>
      <c r="T99" s="462">
        <v>29028</v>
      </c>
      <c r="U99" s="462">
        <v>1800806</v>
      </c>
      <c r="W99" s="464">
        <v>10686761</v>
      </c>
      <c r="X99" s="464">
        <v>2448725</v>
      </c>
    </row>
    <row r="100" spans="1:24">
      <c r="A100" s="458">
        <v>91024</v>
      </c>
      <c r="B100" s="459" t="s">
        <v>811</v>
      </c>
      <c r="C100" s="463">
        <v>1.0446999999999999E-4</v>
      </c>
      <c r="D100" s="463">
        <v>8.8800000000000004E-5</v>
      </c>
      <c r="E100" s="464">
        <v>691914</v>
      </c>
      <c r="F100" s="464"/>
      <c r="G100" s="461">
        <v>77100</v>
      </c>
      <c r="H100" s="461">
        <v>185186</v>
      </c>
      <c r="I100" s="461">
        <v>29402</v>
      </c>
      <c r="J100" s="464">
        <v>57735</v>
      </c>
      <c r="K100" s="464">
        <v>349423</v>
      </c>
      <c r="L100" s="464"/>
      <c r="M100" s="461">
        <v>1660</v>
      </c>
      <c r="N100" s="461">
        <v>0</v>
      </c>
      <c r="O100" s="461">
        <v>0</v>
      </c>
      <c r="P100" s="464">
        <v>9321</v>
      </c>
      <c r="Q100" s="464">
        <v>10981</v>
      </c>
      <c r="R100" s="464"/>
      <c r="S100" s="461">
        <v>198737</v>
      </c>
      <c r="T100" s="462">
        <v>18342</v>
      </c>
      <c r="U100" s="462">
        <v>217079</v>
      </c>
      <c r="W100" s="464">
        <v>1198714</v>
      </c>
      <c r="X100" s="464">
        <v>274669</v>
      </c>
    </row>
    <row r="101" spans="1:24">
      <c r="A101" s="458">
        <v>91026</v>
      </c>
      <c r="B101" s="459" t="s">
        <v>43</v>
      </c>
      <c r="C101" s="463">
        <v>2.512E-5</v>
      </c>
      <c r="D101" s="463">
        <v>9.9000000000000001E-6</v>
      </c>
      <c r="E101" s="464">
        <v>166372</v>
      </c>
      <c r="F101" s="464"/>
      <c r="G101" s="461">
        <v>18539</v>
      </c>
      <c r="H101" s="461">
        <v>44528</v>
      </c>
      <c r="I101" s="461">
        <v>7070</v>
      </c>
      <c r="J101" s="464">
        <v>67073</v>
      </c>
      <c r="K101" s="464">
        <v>137210</v>
      </c>
      <c r="L101" s="464"/>
      <c r="M101" s="461">
        <v>399</v>
      </c>
      <c r="N101" s="461">
        <v>0</v>
      </c>
      <c r="O101" s="461">
        <v>0</v>
      </c>
      <c r="P101" s="464">
        <v>24324</v>
      </c>
      <c r="Q101" s="464">
        <v>24723</v>
      </c>
      <c r="R101" s="464"/>
      <c r="S101" s="461">
        <v>47787</v>
      </c>
      <c r="T101" s="462">
        <v>21115</v>
      </c>
      <c r="U101" s="462">
        <v>68902</v>
      </c>
      <c r="W101" s="464">
        <v>288233</v>
      </c>
      <c r="X101" s="464">
        <v>66045</v>
      </c>
    </row>
    <row r="102" spans="1:24">
      <c r="A102" s="458">
        <v>91027</v>
      </c>
      <c r="B102" s="459" t="s">
        <v>812</v>
      </c>
      <c r="C102" s="463">
        <v>1.596E-5</v>
      </c>
      <c r="D102" s="463">
        <v>1.4600000000000001E-5</v>
      </c>
      <c r="E102" s="464">
        <v>105704</v>
      </c>
      <c r="F102" s="464"/>
      <c r="G102" s="461">
        <v>11779</v>
      </c>
      <c r="H102" s="461">
        <v>28291</v>
      </c>
      <c r="I102" s="461">
        <v>4492</v>
      </c>
      <c r="J102" s="464">
        <v>22332</v>
      </c>
      <c r="K102" s="464">
        <v>66894</v>
      </c>
      <c r="L102" s="464"/>
      <c r="M102" s="461">
        <v>254</v>
      </c>
      <c r="N102" s="461">
        <v>0</v>
      </c>
      <c r="O102" s="461">
        <v>0</v>
      </c>
      <c r="P102" s="464">
        <v>5683</v>
      </c>
      <c r="Q102" s="464">
        <v>5937</v>
      </c>
      <c r="R102" s="464"/>
      <c r="S102" s="461">
        <v>30361</v>
      </c>
      <c r="T102" s="462">
        <v>11358</v>
      </c>
      <c r="U102" s="462">
        <v>41719</v>
      </c>
      <c r="W102" s="464">
        <v>183129</v>
      </c>
      <c r="X102" s="464">
        <v>41961</v>
      </c>
    </row>
    <row r="103" spans="1:24">
      <c r="A103" s="458">
        <v>91032</v>
      </c>
      <c r="B103" s="459" t="s">
        <v>813</v>
      </c>
      <c r="C103" s="463">
        <v>3.8819999999999998E-5</v>
      </c>
      <c r="D103" s="463">
        <v>3.82E-5</v>
      </c>
      <c r="E103" s="464">
        <v>257108</v>
      </c>
      <c r="F103" s="464"/>
      <c r="G103" s="461">
        <v>28649</v>
      </c>
      <c r="H103" s="461">
        <v>68813</v>
      </c>
      <c r="I103" s="461">
        <v>10926</v>
      </c>
      <c r="J103" s="464">
        <v>29895</v>
      </c>
      <c r="K103" s="464">
        <v>138283</v>
      </c>
      <c r="L103" s="464"/>
      <c r="M103" s="461">
        <v>617</v>
      </c>
      <c r="N103" s="461">
        <v>0</v>
      </c>
      <c r="O103" s="461">
        <v>0</v>
      </c>
      <c r="P103" s="464">
        <v>0</v>
      </c>
      <c r="Q103" s="464">
        <v>617</v>
      </c>
      <c r="R103" s="464"/>
      <c r="S103" s="461">
        <v>73849</v>
      </c>
      <c r="T103" s="462">
        <v>25754</v>
      </c>
      <c r="U103" s="462">
        <v>99603</v>
      </c>
      <c r="W103" s="464">
        <v>445430</v>
      </c>
      <c r="X103" s="464">
        <v>102064</v>
      </c>
    </row>
    <row r="104" spans="1:24">
      <c r="A104" s="458">
        <v>91041</v>
      </c>
      <c r="B104" s="459" t="s">
        <v>814</v>
      </c>
      <c r="C104" s="463">
        <v>4.2266E-4</v>
      </c>
      <c r="D104" s="463">
        <v>4.371E-4</v>
      </c>
      <c r="E104" s="464">
        <v>2799314</v>
      </c>
      <c r="F104" s="464"/>
      <c r="G104" s="461">
        <v>311926</v>
      </c>
      <c r="H104" s="461">
        <v>749219</v>
      </c>
      <c r="I104" s="461">
        <v>118955</v>
      </c>
      <c r="J104" s="464">
        <v>26938</v>
      </c>
      <c r="K104" s="464">
        <v>1207038</v>
      </c>
      <c r="L104" s="464"/>
      <c r="M104" s="461">
        <v>6715</v>
      </c>
      <c r="N104" s="461">
        <v>0</v>
      </c>
      <c r="O104" s="461">
        <v>0</v>
      </c>
      <c r="P104" s="464">
        <v>78857</v>
      </c>
      <c r="Q104" s="464">
        <v>85572</v>
      </c>
      <c r="R104" s="464"/>
      <c r="S104" s="461">
        <v>804041</v>
      </c>
      <c r="T104" s="462">
        <v>-42320</v>
      </c>
      <c r="U104" s="462">
        <v>761721</v>
      </c>
      <c r="W104" s="464">
        <v>4849701</v>
      </c>
      <c r="X104" s="464">
        <v>1111243</v>
      </c>
    </row>
    <row r="105" spans="1:24">
      <c r="A105" s="458">
        <v>91042</v>
      </c>
      <c r="B105" s="459" t="s">
        <v>815</v>
      </c>
      <c r="C105" s="463">
        <v>4.7598999999999997E-4</v>
      </c>
      <c r="D105" s="463">
        <v>4.4799999999999999E-4</v>
      </c>
      <c r="E105" s="464">
        <v>3152523</v>
      </c>
      <c r="F105" s="464"/>
      <c r="G105" s="461">
        <v>351284</v>
      </c>
      <c r="H105" s="461">
        <v>843753</v>
      </c>
      <c r="I105" s="461">
        <v>133964</v>
      </c>
      <c r="J105" s="464">
        <v>210574</v>
      </c>
      <c r="K105" s="464">
        <v>1539575</v>
      </c>
      <c r="L105" s="464"/>
      <c r="M105" s="461">
        <v>7563</v>
      </c>
      <c r="N105" s="461">
        <v>0</v>
      </c>
      <c r="O105" s="461">
        <v>0</v>
      </c>
      <c r="P105" s="464">
        <v>24520</v>
      </c>
      <c r="Q105" s="464">
        <v>32083</v>
      </c>
      <c r="R105" s="464"/>
      <c r="S105" s="461">
        <v>905492</v>
      </c>
      <c r="T105" s="462">
        <v>93236</v>
      </c>
      <c r="U105" s="462">
        <v>998728</v>
      </c>
      <c r="W105" s="464">
        <v>5461623</v>
      </c>
      <c r="X105" s="464">
        <v>1251456</v>
      </c>
    </row>
    <row r="106" spans="1:24">
      <c r="A106" s="458">
        <v>91047</v>
      </c>
      <c r="B106" s="459" t="s">
        <v>816</v>
      </c>
      <c r="C106" s="463">
        <v>1.182E-5</v>
      </c>
      <c r="D106" s="463">
        <v>1.34E-5</v>
      </c>
      <c r="E106" s="464">
        <v>78285</v>
      </c>
      <c r="F106" s="464"/>
      <c r="G106" s="461">
        <v>8723</v>
      </c>
      <c r="H106" s="461">
        <v>20952</v>
      </c>
      <c r="I106" s="461">
        <v>3327</v>
      </c>
      <c r="J106" s="464">
        <v>5312</v>
      </c>
      <c r="K106" s="464">
        <v>38314</v>
      </c>
      <c r="L106" s="464"/>
      <c r="M106" s="461">
        <v>188</v>
      </c>
      <c r="N106" s="461">
        <v>0</v>
      </c>
      <c r="O106" s="461">
        <v>0</v>
      </c>
      <c r="P106" s="464">
        <v>145</v>
      </c>
      <c r="Q106" s="464">
        <v>333</v>
      </c>
      <c r="R106" s="464"/>
      <c r="S106" s="461">
        <v>22486</v>
      </c>
      <c r="T106" s="462">
        <v>5969</v>
      </c>
      <c r="U106" s="462">
        <v>28455</v>
      </c>
      <c r="W106" s="464">
        <v>135625</v>
      </c>
      <c r="X106" s="464">
        <v>31077</v>
      </c>
    </row>
    <row r="107" spans="1:24">
      <c r="A107" s="458">
        <v>91051</v>
      </c>
      <c r="B107" s="459" t="s">
        <v>817</v>
      </c>
      <c r="C107" s="463">
        <v>4.0030000000000001E-5</v>
      </c>
      <c r="D107" s="463">
        <v>4.0000000000000003E-5</v>
      </c>
      <c r="E107" s="464">
        <v>265122</v>
      </c>
      <c r="F107" s="464"/>
      <c r="G107" s="461">
        <v>29542</v>
      </c>
      <c r="H107" s="461">
        <v>70958</v>
      </c>
      <c r="I107" s="461">
        <v>11266</v>
      </c>
      <c r="J107" s="464">
        <v>30416</v>
      </c>
      <c r="K107" s="464">
        <v>142182</v>
      </c>
      <c r="L107" s="464"/>
      <c r="M107" s="461">
        <v>636</v>
      </c>
      <c r="N107" s="461">
        <v>0</v>
      </c>
      <c r="O107" s="461">
        <v>0</v>
      </c>
      <c r="P107" s="464">
        <v>12905</v>
      </c>
      <c r="Q107" s="464">
        <v>13541</v>
      </c>
      <c r="R107" s="464"/>
      <c r="S107" s="461">
        <v>76150</v>
      </c>
      <c r="T107" s="462">
        <v>3385</v>
      </c>
      <c r="U107" s="462">
        <v>79535</v>
      </c>
      <c r="W107" s="464">
        <v>459314</v>
      </c>
      <c r="X107" s="464">
        <v>105245</v>
      </c>
    </row>
    <row r="108" spans="1:24">
      <c r="A108" s="458">
        <v>91057</v>
      </c>
      <c r="B108" s="459" t="s">
        <v>818</v>
      </c>
      <c r="C108" s="463">
        <v>9.3600000000000002E-6</v>
      </c>
      <c r="D108" s="463">
        <v>1.0499999999999999E-5</v>
      </c>
      <c r="E108" s="464">
        <v>61992</v>
      </c>
      <c r="F108" s="464"/>
      <c r="G108" s="461">
        <v>6908</v>
      </c>
      <c r="H108" s="461">
        <v>16592</v>
      </c>
      <c r="I108" s="461">
        <v>2634</v>
      </c>
      <c r="J108" s="464">
        <v>9518</v>
      </c>
      <c r="K108" s="464">
        <v>35652</v>
      </c>
      <c r="L108" s="464"/>
      <c r="M108" s="461">
        <v>149</v>
      </c>
      <c r="N108" s="461">
        <v>0</v>
      </c>
      <c r="O108" s="461">
        <v>0</v>
      </c>
      <c r="P108" s="464">
        <v>682</v>
      </c>
      <c r="Q108" s="464">
        <v>831</v>
      </c>
      <c r="R108" s="464"/>
      <c r="S108" s="461">
        <v>17806</v>
      </c>
      <c r="T108" s="462">
        <v>5006</v>
      </c>
      <c r="U108" s="462">
        <v>22812</v>
      </c>
      <c r="W108" s="464">
        <v>107399</v>
      </c>
      <c r="X108" s="464">
        <v>24609</v>
      </c>
    </row>
    <row r="109" spans="1:24">
      <c r="A109" s="458">
        <v>91061</v>
      </c>
      <c r="B109" s="459" t="s">
        <v>819</v>
      </c>
      <c r="C109" s="463">
        <v>3.7699000000000001E-4</v>
      </c>
      <c r="D109" s="463">
        <v>3.7320000000000002E-4</v>
      </c>
      <c r="E109" s="464">
        <v>2496838</v>
      </c>
      <c r="F109" s="464"/>
      <c r="G109" s="461">
        <v>278222</v>
      </c>
      <c r="H109" s="461">
        <v>668263</v>
      </c>
      <c r="I109" s="461">
        <v>106101</v>
      </c>
      <c r="J109" s="464">
        <v>38073</v>
      </c>
      <c r="K109" s="464">
        <v>1090659</v>
      </c>
      <c r="L109" s="464"/>
      <c r="M109" s="461">
        <v>5990</v>
      </c>
      <c r="N109" s="461">
        <v>0</v>
      </c>
      <c r="O109" s="461">
        <v>0</v>
      </c>
      <c r="P109" s="464">
        <v>4817</v>
      </c>
      <c r="Q109" s="464">
        <v>10807</v>
      </c>
      <c r="R109" s="464"/>
      <c r="S109" s="461">
        <v>717161</v>
      </c>
      <c r="T109" s="462">
        <v>6746</v>
      </c>
      <c r="U109" s="462">
        <v>723907</v>
      </c>
      <c r="W109" s="464">
        <v>4325673</v>
      </c>
      <c r="X109" s="464">
        <v>991169</v>
      </c>
    </row>
    <row r="110" spans="1:24">
      <c r="A110" s="458">
        <v>91067</v>
      </c>
      <c r="B110" s="459" t="s">
        <v>820</v>
      </c>
      <c r="C110" s="463">
        <v>1.7050000000000001E-5</v>
      </c>
      <c r="D110" s="463">
        <v>1.5299999999999999E-5</v>
      </c>
      <c r="E110" s="464">
        <v>112924</v>
      </c>
      <c r="F110" s="464"/>
      <c r="G110" s="461">
        <v>12583</v>
      </c>
      <c r="H110" s="461">
        <v>30223</v>
      </c>
      <c r="I110" s="461">
        <v>4799</v>
      </c>
      <c r="J110" s="464">
        <v>9900</v>
      </c>
      <c r="K110" s="464">
        <v>57505</v>
      </c>
      <c r="L110" s="464"/>
      <c r="M110" s="461">
        <v>271</v>
      </c>
      <c r="N110" s="461">
        <v>0</v>
      </c>
      <c r="O110" s="461">
        <v>0</v>
      </c>
      <c r="P110" s="464">
        <v>568</v>
      </c>
      <c r="Q110" s="464">
        <v>839</v>
      </c>
      <c r="R110" s="464"/>
      <c r="S110" s="461">
        <v>32435</v>
      </c>
      <c r="T110" s="462">
        <v>4308</v>
      </c>
      <c r="U110" s="462">
        <v>36743</v>
      </c>
      <c r="W110" s="464">
        <v>195636</v>
      </c>
      <c r="X110" s="464">
        <v>44827</v>
      </c>
    </row>
    <row r="111" spans="1:24">
      <c r="A111" s="458">
        <v>91071</v>
      </c>
      <c r="B111" s="459" t="s">
        <v>821</v>
      </c>
      <c r="C111" s="463">
        <v>2.1371000000000001E-4</v>
      </c>
      <c r="D111" s="463">
        <v>2.5569999999999998E-4</v>
      </c>
      <c r="E111" s="464">
        <v>1415420</v>
      </c>
      <c r="F111" s="464"/>
      <c r="G111" s="461">
        <v>157720</v>
      </c>
      <c r="H111" s="461">
        <v>378828</v>
      </c>
      <c r="I111" s="461">
        <v>60147</v>
      </c>
      <c r="J111" s="464">
        <v>47852</v>
      </c>
      <c r="K111" s="464">
        <v>644547</v>
      </c>
      <c r="L111" s="464"/>
      <c r="M111" s="461">
        <v>3395</v>
      </c>
      <c r="N111" s="461">
        <v>0</v>
      </c>
      <c r="O111" s="461">
        <v>0</v>
      </c>
      <c r="P111" s="464">
        <v>57874</v>
      </c>
      <c r="Q111" s="464">
        <v>61269</v>
      </c>
      <c r="R111" s="464"/>
      <c r="S111" s="461">
        <v>406548</v>
      </c>
      <c r="T111" s="462">
        <v>-5823</v>
      </c>
      <c r="U111" s="462">
        <v>400725</v>
      </c>
      <c r="W111" s="464">
        <v>2452159</v>
      </c>
      <c r="X111" s="464">
        <v>561879</v>
      </c>
    </row>
    <row r="112" spans="1:24">
      <c r="A112" s="458">
        <v>91077</v>
      </c>
      <c r="B112" s="459" t="s">
        <v>822</v>
      </c>
      <c r="C112" s="463">
        <v>1.486E-5</v>
      </c>
      <c r="D112" s="463">
        <v>1.4600000000000001E-5</v>
      </c>
      <c r="E112" s="464">
        <v>98419</v>
      </c>
      <c r="F112" s="464"/>
      <c r="G112" s="461">
        <v>10967</v>
      </c>
      <c r="H112" s="461">
        <v>26341</v>
      </c>
      <c r="I112" s="461">
        <v>4182</v>
      </c>
      <c r="J112" s="464">
        <v>5863</v>
      </c>
      <c r="K112" s="464">
        <v>47353</v>
      </c>
      <c r="L112" s="464"/>
      <c r="M112" s="461">
        <v>236</v>
      </c>
      <c r="N112" s="461">
        <v>0</v>
      </c>
      <c r="O112" s="461">
        <v>0</v>
      </c>
      <c r="P112" s="464">
        <v>0</v>
      </c>
      <c r="Q112" s="464">
        <v>236</v>
      </c>
      <c r="R112" s="464"/>
      <c r="S112" s="461">
        <v>28269</v>
      </c>
      <c r="T112" s="462">
        <v>6473</v>
      </c>
      <c r="U112" s="462">
        <v>34742</v>
      </c>
      <c r="W112" s="464">
        <v>170507</v>
      </c>
      <c r="X112" s="464">
        <v>39069</v>
      </c>
    </row>
    <row r="113" spans="1:24">
      <c r="A113" s="458">
        <v>91081</v>
      </c>
      <c r="B113" s="459" t="s">
        <v>823</v>
      </c>
      <c r="C113" s="463">
        <v>4.5699E-4</v>
      </c>
      <c r="D113" s="463">
        <v>4.7800000000000002E-4</v>
      </c>
      <c r="E113" s="464">
        <v>3026685</v>
      </c>
      <c r="F113" s="464"/>
      <c r="G113" s="461">
        <v>337262</v>
      </c>
      <c r="H113" s="461">
        <v>810073</v>
      </c>
      <c r="I113" s="461">
        <v>128617</v>
      </c>
      <c r="J113" s="464">
        <v>53763</v>
      </c>
      <c r="K113" s="464">
        <v>1329715</v>
      </c>
      <c r="L113" s="464"/>
      <c r="M113" s="461">
        <v>7261</v>
      </c>
      <c r="N113" s="461">
        <v>0</v>
      </c>
      <c r="O113" s="461">
        <v>0</v>
      </c>
      <c r="P113" s="464">
        <v>95056</v>
      </c>
      <c r="Q113" s="464">
        <v>102317</v>
      </c>
      <c r="R113" s="464"/>
      <c r="S113" s="461">
        <v>869348</v>
      </c>
      <c r="T113" s="462">
        <v>-8964</v>
      </c>
      <c r="U113" s="462">
        <v>860384</v>
      </c>
      <c r="W113" s="464">
        <v>5243612</v>
      </c>
      <c r="X113" s="464">
        <v>1201502</v>
      </c>
    </row>
    <row r="114" spans="1:24">
      <c r="A114" s="458">
        <v>91091</v>
      </c>
      <c r="B114" s="459" t="s">
        <v>824</v>
      </c>
      <c r="C114" s="463">
        <v>5.7362999999999999E-4</v>
      </c>
      <c r="D114" s="463">
        <v>5.6459999999999995E-4</v>
      </c>
      <c r="E114" s="464">
        <v>3799201</v>
      </c>
      <c r="F114" s="464"/>
      <c r="G114" s="461">
        <v>423344</v>
      </c>
      <c r="H114" s="461">
        <v>1016833</v>
      </c>
      <c r="I114" s="461">
        <v>161444</v>
      </c>
      <c r="J114" s="464">
        <v>18616</v>
      </c>
      <c r="K114" s="464">
        <v>1620237</v>
      </c>
      <c r="L114" s="464"/>
      <c r="M114" s="461">
        <v>9114</v>
      </c>
      <c r="N114" s="461">
        <v>0</v>
      </c>
      <c r="O114" s="461">
        <v>0</v>
      </c>
      <c r="P114" s="464">
        <v>29976</v>
      </c>
      <c r="Q114" s="464">
        <v>39090</v>
      </c>
      <c r="R114" s="464"/>
      <c r="S114" s="461">
        <v>1091236</v>
      </c>
      <c r="T114" s="462">
        <v>8151</v>
      </c>
      <c r="U114" s="462">
        <v>1099387</v>
      </c>
      <c r="W114" s="464">
        <v>6581967</v>
      </c>
      <c r="X114" s="464">
        <v>1508168</v>
      </c>
    </row>
    <row r="115" spans="1:24">
      <c r="A115" s="458">
        <v>91101</v>
      </c>
      <c r="B115" s="459" t="s">
        <v>825</v>
      </c>
      <c r="C115" s="463">
        <v>1.3618379999999999E-2</v>
      </c>
      <c r="D115" s="463">
        <v>1.35043E-2</v>
      </c>
      <c r="E115" s="464">
        <v>90195716</v>
      </c>
      <c r="F115" s="464"/>
      <c r="G115" s="461">
        <v>10050473</v>
      </c>
      <c r="H115" s="461">
        <v>24140322</v>
      </c>
      <c r="I115" s="461">
        <v>3832798</v>
      </c>
      <c r="J115" s="464">
        <v>283137</v>
      </c>
      <c r="K115" s="464">
        <v>38306730</v>
      </c>
      <c r="L115" s="464"/>
      <c r="M115" s="461">
        <v>216369</v>
      </c>
      <c r="N115" s="461">
        <v>0</v>
      </c>
      <c r="O115" s="461">
        <v>0</v>
      </c>
      <c r="P115" s="464">
        <v>794798</v>
      </c>
      <c r="Q115" s="464">
        <v>1011167</v>
      </c>
      <c r="R115" s="464"/>
      <c r="S115" s="461">
        <v>25906721</v>
      </c>
      <c r="T115" s="462">
        <v>-445441</v>
      </c>
      <c r="U115" s="462">
        <v>25461280</v>
      </c>
      <c r="W115" s="464">
        <v>156260533</v>
      </c>
      <c r="X115" s="464">
        <v>35804968</v>
      </c>
    </row>
    <row r="116" spans="1:24">
      <c r="A116" s="458">
        <v>91102</v>
      </c>
      <c r="B116" s="459" t="s">
        <v>826</v>
      </c>
      <c r="C116" s="463">
        <v>3.9983E-4</v>
      </c>
      <c r="D116" s="463">
        <v>3.5639999999999999E-4</v>
      </c>
      <c r="E116" s="464">
        <v>2648109</v>
      </c>
      <c r="F116" s="464"/>
      <c r="G116" s="461">
        <v>295078</v>
      </c>
      <c r="H116" s="461">
        <v>708750</v>
      </c>
      <c r="I116" s="461">
        <v>112529</v>
      </c>
      <c r="J116" s="464">
        <v>178851</v>
      </c>
      <c r="K116" s="464">
        <v>1295208</v>
      </c>
      <c r="L116" s="464"/>
      <c r="M116" s="461">
        <v>6352</v>
      </c>
      <c r="N116" s="461">
        <v>0</v>
      </c>
      <c r="O116" s="461">
        <v>0</v>
      </c>
      <c r="P116" s="464">
        <v>222</v>
      </c>
      <c r="Q116" s="464">
        <v>6574</v>
      </c>
      <c r="R116" s="464"/>
      <c r="S116" s="461">
        <v>760611</v>
      </c>
      <c r="T116" s="462">
        <v>59857</v>
      </c>
      <c r="U116" s="462">
        <v>820468</v>
      </c>
      <c r="W116" s="464">
        <v>4587745</v>
      </c>
      <c r="X116" s="464">
        <v>1051219</v>
      </c>
    </row>
    <row r="117" spans="1:24">
      <c r="A117" s="458">
        <v>91104</v>
      </c>
      <c r="B117" s="459" t="s">
        <v>827</v>
      </c>
      <c r="C117" s="463">
        <v>2.3989999999999999E-5</v>
      </c>
      <c r="D117" s="463">
        <v>2.62E-5</v>
      </c>
      <c r="E117" s="464">
        <v>158888</v>
      </c>
      <c r="F117" s="464"/>
      <c r="G117" s="461">
        <v>17705</v>
      </c>
      <c r="H117" s="461">
        <v>42525</v>
      </c>
      <c r="I117" s="461">
        <v>6752</v>
      </c>
      <c r="J117" s="464">
        <v>12030</v>
      </c>
      <c r="K117" s="464">
        <v>79012</v>
      </c>
      <c r="L117" s="464"/>
      <c r="M117" s="461">
        <v>381</v>
      </c>
      <c r="N117" s="461">
        <v>0</v>
      </c>
      <c r="O117" s="461">
        <v>0</v>
      </c>
      <c r="P117" s="464">
        <v>3248</v>
      </c>
      <c r="Q117" s="464">
        <v>3629</v>
      </c>
      <c r="R117" s="464"/>
      <c r="S117" s="461">
        <v>45637</v>
      </c>
      <c r="T117" s="462">
        <v>9793</v>
      </c>
      <c r="U117" s="462">
        <v>55430</v>
      </c>
      <c r="W117" s="464">
        <v>275267</v>
      </c>
      <c r="X117" s="464">
        <v>63074</v>
      </c>
    </row>
    <row r="118" spans="1:24">
      <c r="A118" s="458">
        <v>91107</v>
      </c>
      <c r="B118" s="459" t="s">
        <v>3756</v>
      </c>
      <c r="C118" s="463">
        <v>4.5939999999999997E-5</v>
      </c>
      <c r="D118" s="463">
        <v>4.9100000000000001E-5</v>
      </c>
      <c r="E118" s="464">
        <v>304265</v>
      </c>
      <c r="F118" s="464"/>
      <c r="G118" s="461">
        <v>33904</v>
      </c>
      <c r="H118" s="461">
        <v>81435</v>
      </c>
      <c r="I118" s="461">
        <v>12929</v>
      </c>
      <c r="J118" s="464">
        <v>24399</v>
      </c>
      <c r="K118" s="464">
        <v>152667</v>
      </c>
      <c r="L118" s="464"/>
      <c r="M118" s="461">
        <v>730</v>
      </c>
      <c r="N118" s="461">
        <v>0</v>
      </c>
      <c r="O118" s="461">
        <v>0</v>
      </c>
      <c r="P118" s="464">
        <v>0</v>
      </c>
      <c r="Q118" s="464">
        <v>730</v>
      </c>
      <c r="R118" s="464"/>
      <c r="S118" s="461">
        <v>87393</v>
      </c>
      <c r="T118" s="462">
        <v>12658</v>
      </c>
      <c r="U118" s="462">
        <v>100051</v>
      </c>
      <c r="W118" s="464">
        <v>527126</v>
      </c>
      <c r="X118" s="464">
        <v>120784</v>
      </c>
    </row>
    <row r="119" spans="1:24">
      <c r="A119" s="458">
        <v>91108</v>
      </c>
      <c r="B119" s="459" t="s">
        <v>829</v>
      </c>
      <c r="C119" s="463">
        <v>1.1233899999999999E-3</v>
      </c>
      <c r="D119" s="463">
        <v>1.1075E-3</v>
      </c>
      <c r="E119" s="464">
        <v>7440310</v>
      </c>
      <c r="F119" s="464"/>
      <c r="G119" s="461">
        <v>829071</v>
      </c>
      <c r="H119" s="461">
        <v>1991353</v>
      </c>
      <c r="I119" s="461">
        <v>316170</v>
      </c>
      <c r="J119" s="464">
        <v>124180</v>
      </c>
      <c r="K119" s="464">
        <v>3260774</v>
      </c>
      <c r="L119" s="464"/>
      <c r="M119" s="461">
        <v>17848</v>
      </c>
      <c r="N119" s="461">
        <v>0</v>
      </c>
      <c r="O119" s="461">
        <v>0</v>
      </c>
      <c r="P119" s="464">
        <v>77632</v>
      </c>
      <c r="Q119" s="464">
        <v>95480</v>
      </c>
      <c r="R119" s="464"/>
      <c r="S119" s="461">
        <v>2137064</v>
      </c>
      <c r="T119" s="462">
        <v>24419</v>
      </c>
      <c r="U119" s="462">
        <v>2161483</v>
      </c>
      <c r="W119" s="464">
        <v>12890044</v>
      </c>
      <c r="X119" s="464">
        <v>2953578</v>
      </c>
    </row>
    <row r="120" spans="1:24">
      <c r="A120" s="458">
        <v>91109</v>
      </c>
      <c r="B120" s="459" t="s">
        <v>830</v>
      </c>
      <c r="C120" s="463">
        <v>7.4449999999999994E-5</v>
      </c>
      <c r="D120" s="463">
        <v>9.4699999999999998E-5</v>
      </c>
      <c r="E120" s="464">
        <v>493089</v>
      </c>
      <c r="F120" s="464"/>
      <c r="G120" s="461">
        <v>54945</v>
      </c>
      <c r="H120" s="461">
        <v>131972</v>
      </c>
      <c r="I120" s="461">
        <v>20953</v>
      </c>
      <c r="J120" s="464">
        <v>962</v>
      </c>
      <c r="K120" s="464">
        <v>208832</v>
      </c>
      <c r="L120" s="464"/>
      <c r="M120" s="461">
        <v>1183</v>
      </c>
      <c r="N120" s="461">
        <v>0</v>
      </c>
      <c r="O120" s="461">
        <v>0</v>
      </c>
      <c r="P120" s="464">
        <v>54444</v>
      </c>
      <c r="Q120" s="464">
        <v>55627</v>
      </c>
      <c r="R120" s="464"/>
      <c r="S120" s="461">
        <v>141629</v>
      </c>
      <c r="T120" s="462">
        <v>-18603</v>
      </c>
      <c r="U120" s="462">
        <v>123026</v>
      </c>
      <c r="W120" s="464">
        <v>854257</v>
      </c>
      <c r="X120" s="464">
        <v>195741</v>
      </c>
    </row>
    <row r="121" spans="1:24">
      <c r="A121" s="458">
        <v>91111</v>
      </c>
      <c r="B121" s="459" t="s">
        <v>831</v>
      </c>
      <c r="C121" s="463">
        <v>2.2623000000000001E-4</v>
      </c>
      <c r="D121" s="463">
        <v>1.962E-4</v>
      </c>
      <c r="E121" s="464">
        <v>1498341</v>
      </c>
      <c r="F121" s="464"/>
      <c r="G121" s="461">
        <v>166960</v>
      </c>
      <c r="H121" s="461">
        <v>401022</v>
      </c>
      <c r="I121" s="461">
        <v>63671</v>
      </c>
      <c r="J121" s="464">
        <v>56967</v>
      </c>
      <c r="K121" s="464">
        <v>688620</v>
      </c>
      <c r="L121" s="464"/>
      <c r="M121" s="461">
        <v>3594</v>
      </c>
      <c r="N121" s="461">
        <v>0</v>
      </c>
      <c r="O121" s="461">
        <v>0</v>
      </c>
      <c r="P121" s="464">
        <v>14386</v>
      </c>
      <c r="Q121" s="464">
        <v>17980</v>
      </c>
      <c r="R121" s="464"/>
      <c r="S121" s="461">
        <v>430365</v>
      </c>
      <c r="T121" s="462">
        <v>17342</v>
      </c>
      <c r="U121" s="462">
        <v>447707</v>
      </c>
      <c r="W121" s="464">
        <v>2595817</v>
      </c>
      <c r="X121" s="464">
        <v>594796</v>
      </c>
    </row>
    <row r="122" spans="1:24">
      <c r="A122" s="458">
        <v>91120</v>
      </c>
      <c r="B122" s="459" t="s">
        <v>832</v>
      </c>
      <c r="C122" s="463">
        <v>3.0760999999999999E-4</v>
      </c>
      <c r="D122" s="463">
        <v>2.5910000000000001E-4</v>
      </c>
      <c r="E122" s="464">
        <v>2037328</v>
      </c>
      <c r="F122" s="464"/>
      <c r="G122" s="461">
        <v>227019</v>
      </c>
      <c r="H122" s="461">
        <v>545278</v>
      </c>
      <c r="I122" s="461">
        <v>86575</v>
      </c>
      <c r="J122" s="464">
        <v>53317</v>
      </c>
      <c r="K122" s="464">
        <v>912189</v>
      </c>
      <c r="L122" s="464"/>
      <c r="M122" s="461">
        <v>4887</v>
      </c>
      <c r="N122" s="461">
        <v>0</v>
      </c>
      <c r="O122" s="461">
        <v>0</v>
      </c>
      <c r="P122" s="464">
        <v>52920</v>
      </c>
      <c r="Q122" s="464">
        <v>57807</v>
      </c>
      <c r="R122" s="464"/>
      <c r="S122" s="461">
        <v>585177</v>
      </c>
      <c r="T122" s="462">
        <v>10992</v>
      </c>
      <c r="U122" s="462">
        <v>596169</v>
      </c>
      <c r="W122" s="464">
        <v>3529590</v>
      </c>
      <c r="X122" s="464">
        <v>808757</v>
      </c>
    </row>
    <row r="123" spans="1:24">
      <c r="A123" s="458">
        <v>91121</v>
      </c>
      <c r="B123" s="459" t="s">
        <v>833</v>
      </c>
      <c r="C123" s="463">
        <v>1.016734E-2</v>
      </c>
      <c r="D123" s="463">
        <v>1.0184199999999999E-2</v>
      </c>
      <c r="E123" s="464">
        <v>67339177</v>
      </c>
      <c r="F123" s="464"/>
      <c r="G123" s="461">
        <v>7503578</v>
      </c>
      <c r="H123" s="461">
        <v>18022912</v>
      </c>
      <c r="I123" s="461">
        <v>2861527</v>
      </c>
      <c r="J123" s="464">
        <v>2728</v>
      </c>
      <c r="K123" s="464">
        <v>28390745</v>
      </c>
      <c r="L123" s="464"/>
      <c r="M123" s="461">
        <v>161539</v>
      </c>
      <c r="N123" s="461">
        <v>0</v>
      </c>
      <c r="O123" s="461">
        <v>0</v>
      </c>
      <c r="P123" s="464">
        <v>955215</v>
      </c>
      <c r="Q123" s="464">
        <v>1116754</v>
      </c>
      <c r="R123" s="464"/>
      <c r="S123" s="461">
        <v>19341687</v>
      </c>
      <c r="T123" s="462">
        <v>-714279</v>
      </c>
      <c r="U123" s="462">
        <v>18627408</v>
      </c>
      <c r="W123" s="464">
        <v>116662479</v>
      </c>
      <c r="X123" s="464">
        <v>26731614</v>
      </c>
    </row>
    <row r="124" spans="1:24">
      <c r="A124" s="458">
        <v>91127</v>
      </c>
      <c r="B124" s="459" t="s">
        <v>834</v>
      </c>
      <c r="C124" s="463">
        <v>3.2932000000000003E-4</v>
      </c>
      <c r="D124" s="463">
        <v>3.2430000000000002E-4</v>
      </c>
      <c r="E124" s="464">
        <v>2181115</v>
      </c>
      <c r="F124" s="464"/>
      <c r="G124" s="461">
        <v>243041</v>
      </c>
      <c r="H124" s="461">
        <v>583762</v>
      </c>
      <c r="I124" s="461">
        <v>92685</v>
      </c>
      <c r="J124" s="464">
        <v>76372</v>
      </c>
      <c r="K124" s="464">
        <v>995860</v>
      </c>
      <c r="L124" s="464"/>
      <c r="M124" s="461">
        <v>5232</v>
      </c>
      <c r="N124" s="461">
        <v>0</v>
      </c>
      <c r="O124" s="461">
        <v>0</v>
      </c>
      <c r="P124" s="464">
        <v>0</v>
      </c>
      <c r="Q124" s="464">
        <v>5232</v>
      </c>
      <c r="R124" s="464"/>
      <c r="S124" s="461">
        <v>626477</v>
      </c>
      <c r="T124" s="462">
        <v>58193</v>
      </c>
      <c r="U124" s="462">
        <v>684670</v>
      </c>
      <c r="W124" s="464">
        <v>3778696</v>
      </c>
      <c r="X124" s="464">
        <v>865837</v>
      </c>
    </row>
    <row r="125" spans="1:24">
      <c r="A125" s="458">
        <v>91128</v>
      </c>
      <c r="B125" s="459" t="s">
        <v>835</v>
      </c>
      <c r="C125" s="463">
        <v>6.1927E-4</v>
      </c>
      <c r="D125" s="463">
        <v>5.109E-4</v>
      </c>
      <c r="E125" s="464">
        <v>4101479</v>
      </c>
      <c r="F125" s="464"/>
      <c r="G125" s="461">
        <v>457026</v>
      </c>
      <c r="H125" s="461">
        <v>1097735</v>
      </c>
      <c r="I125" s="461">
        <v>174289</v>
      </c>
      <c r="J125" s="464">
        <v>285012</v>
      </c>
      <c r="K125" s="464">
        <v>2014062</v>
      </c>
      <c r="L125" s="464"/>
      <c r="M125" s="461">
        <v>9839</v>
      </c>
      <c r="N125" s="461">
        <v>0</v>
      </c>
      <c r="O125" s="461">
        <v>0</v>
      </c>
      <c r="P125" s="464">
        <v>57741</v>
      </c>
      <c r="Q125" s="464">
        <v>67580</v>
      </c>
      <c r="R125" s="464"/>
      <c r="S125" s="461">
        <v>1178059</v>
      </c>
      <c r="T125" s="462">
        <v>101990</v>
      </c>
      <c r="U125" s="462">
        <v>1280049</v>
      </c>
      <c r="W125" s="464">
        <v>7105651</v>
      </c>
      <c r="X125" s="464">
        <v>1628163</v>
      </c>
    </row>
    <row r="126" spans="1:24">
      <c r="A126" s="458">
        <v>91138</v>
      </c>
      <c r="B126" s="459" t="s">
        <v>836</v>
      </c>
      <c r="C126" s="463">
        <v>4.5043999999999998E-4</v>
      </c>
      <c r="D126" s="463">
        <v>4.7259999999999999E-4</v>
      </c>
      <c r="E126" s="464">
        <v>2983303</v>
      </c>
      <c r="F126" s="464"/>
      <c r="G126" s="461">
        <v>332428</v>
      </c>
      <c r="H126" s="461">
        <v>798463</v>
      </c>
      <c r="I126" s="461">
        <v>126773</v>
      </c>
      <c r="J126" s="464">
        <v>33190</v>
      </c>
      <c r="K126" s="464">
        <v>1290854</v>
      </c>
      <c r="L126" s="464"/>
      <c r="M126" s="461">
        <v>7157</v>
      </c>
      <c r="N126" s="461">
        <v>0</v>
      </c>
      <c r="O126" s="461">
        <v>0</v>
      </c>
      <c r="P126" s="464">
        <v>78542</v>
      </c>
      <c r="Q126" s="464">
        <v>85699</v>
      </c>
      <c r="R126" s="464"/>
      <c r="S126" s="461">
        <v>856888</v>
      </c>
      <c r="T126" s="462">
        <v>-43077</v>
      </c>
      <c r="U126" s="462">
        <v>813811</v>
      </c>
      <c r="W126" s="464">
        <v>5168456</v>
      </c>
      <c r="X126" s="464">
        <v>1184281</v>
      </c>
    </row>
    <row r="127" spans="1:24">
      <c r="A127" s="458">
        <v>91141</v>
      </c>
      <c r="B127" s="459" t="s">
        <v>837</v>
      </c>
      <c r="C127" s="463">
        <v>5.9217999999999999E-4</v>
      </c>
      <c r="D127" s="463">
        <v>6.2089999999999997E-4</v>
      </c>
      <c r="E127" s="464">
        <v>3922060</v>
      </c>
      <c r="F127" s="464"/>
      <c r="G127" s="461">
        <v>437034</v>
      </c>
      <c r="H127" s="461">
        <v>1049715</v>
      </c>
      <c r="I127" s="461">
        <v>166665</v>
      </c>
      <c r="J127" s="464">
        <v>20687</v>
      </c>
      <c r="K127" s="464">
        <v>1674101</v>
      </c>
      <c r="L127" s="464"/>
      <c r="M127" s="461">
        <v>9409</v>
      </c>
      <c r="N127" s="461">
        <v>0</v>
      </c>
      <c r="O127" s="461">
        <v>0</v>
      </c>
      <c r="P127" s="464">
        <v>154581</v>
      </c>
      <c r="Q127" s="464">
        <v>163990</v>
      </c>
      <c r="R127" s="464"/>
      <c r="S127" s="461">
        <v>1126525</v>
      </c>
      <c r="T127" s="462">
        <v>-71551</v>
      </c>
      <c r="U127" s="462">
        <v>1054974</v>
      </c>
      <c r="W127" s="464">
        <v>6794814</v>
      </c>
      <c r="X127" s="464">
        <v>1556939</v>
      </c>
    </row>
    <row r="128" spans="1:24">
      <c r="A128" s="458">
        <v>91147</v>
      </c>
      <c r="B128" s="459" t="s">
        <v>838</v>
      </c>
      <c r="C128" s="463">
        <v>3.2910000000000002E-5</v>
      </c>
      <c r="D128" s="463">
        <v>3.29E-5</v>
      </c>
      <c r="E128" s="464">
        <v>217966</v>
      </c>
      <c r="F128" s="464"/>
      <c r="G128" s="461">
        <v>24288</v>
      </c>
      <c r="H128" s="461">
        <v>58337</v>
      </c>
      <c r="I128" s="461">
        <v>9262</v>
      </c>
      <c r="J128" s="464">
        <v>4097</v>
      </c>
      <c r="K128" s="464">
        <v>95984</v>
      </c>
      <c r="L128" s="464"/>
      <c r="M128" s="461">
        <v>523</v>
      </c>
      <c r="N128" s="461">
        <v>0</v>
      </c>
      <c r="O128" s="461">
        <v>0</v>
      </c>
      <c r="P128" s="464">
        <v>611</v>
      </c>
      <c r="Q128" s="464">
        <v>1134</v>
      </c>
      <c r="R128" s="464"/>
      <c r="S128" s="461">
        <v>62606</v>
      </c>
      <c r="T128" s="462">
        <v>4802</v>
      </c>
      <c r="U128" s="462">
        <v>67408</v>
      </c>
      <c r="W128" s="464">
        <v>377617</v>
      </c>
      <c r="X128" s="464">
        <v>86526</v>
      </c>
    </row>
    <row r="129" spans="1:24">
      <c r="A129" s="458">
        <v>91151</v>
      </c>
      <c r="B129" s="459" t="s">
        <v>839</v>
      </c>
      <c r="C129" s="463">
        <v>6.8552999999999995E-4</v>
      </c>
      <c r="D129" s="463">
        <v>6.3900000000000003E-4</v>
      </c>
      <c r="E129" s="464">
        <v>4540325</v>
      </c>
      <c r="F129" s="464"/>
      <c r="G129" s="461">
        <v>505927</v>
      </c>
      <c r="H129" s="461">
        <v>1215190</v>
      </c>
      <c r="I129" s="461">
        <v>192938</v>
      </c>
      <c r="J129" s="464">
        <v>137603</v>
      </c>
      <c r="K129" s="464">
        <v>2051658</v>
      </c>
      <c r="L129" s="464"/>
      <c r="M129" s="461">
        <v>10892</v>
      </c>
      <c r="N129" s="461">
        <v>0</v>
      </c>
      <c r="O129" s="461">
        <v>0</v>
      </c>
      <c r="P129" s="464">
        <v>56389</v>
      </c>
      <c r="Q129" s="464">
        <v>67281</v>
      </c>
      <c r="R129" s="464"/>
      <c r="S129" s="461">
        <v>1304108</v>
      </c>
      <c r="T129" s="462">
        <v>3074</v>
      </c>
      <c r="U129" s="462">
        <v>1307182</v>
      </c>
      <c r="W129" s="464">
        <v>7865934</v>
      </c>
      <c r="X129" s="464">
        <v>1802371</v>
      </c>
    </row>
    <row r="130" spans="1:24">
      <c r="A130" s="458">
        <v>91154</v>
      </c>
      <c r="B130" s="459" t="s">
        <v>840</v>
      </c>
      <c r="C130" s="463">
        <v>2.3200000000000001E-5</v>
      </c>
      <c r="D130" s="463">
        <v>2.44E-5</v>
      </c>
      <c r="E130" s="464">
        <v>153656</v>
      </c>
      <c r="F130" s="464"/>
      <c r="G130" s="461">
        <v>17122</v>
      </c>
      <c r="H130" s="461">
        <v>41125</v>
      </c>
      <c r="I130" s="461">
        <v>6529</v>
      </c>
      <c r="J130" s="464">
        <v>5910</v>
      </c>
      <c r="K130" s="464">
        <v>70686</v>
      </c>
      <c r="L130" s="464"/>
      <c r="M130" s="461">
        <v>369</v>
      </c>
      <c r="N130" s="461">
        <v>0</v>
      </c>
      <c r="O130" s="461">
        <v>0</v>
      </c>
      <c r="P130" s="464">
        <v>5767</v>
      </c>
      <c r="Q130" s="464">
        <v>6136</v>
      </c>
      <c r="R130" s="464"/>
      <c r="S130" s="461">
        <v>44134</v>
      </c>
      <c r="T130" s="462">
        <v>-497</v>
      </c>
      <c r="U130" s="462">
        <v>43637</v>
      </c>
      <c r="W130" s="464">
        <v>266202</v>
      </c>
      <c r="X130" s="464">
        <v>60997</v>
      </c>
    </row>
    <row r="131" spans="1:24">
      <c r="A131" s="458">
        <v>91161</v>
      </c>
      <c r="B131" s="459" t="s">
        <v>841</v>
      </c>
      <c r="C131" s="463">
        <v>7.5030000000000005E-5</v>
      </c>
      <c r="D131" s="463">
        <v>9.5400000000000001E-5</v>
      </c>
      <c r="E131" s="464">
        <v>496930</v>
      </c>
      <c r="F131" s="464"/>
      <c r="G131" s="461">
        <v>55373</v>
      </c>
      <c r="H131" s="461">
        <v>133000</v>
      </c>
      <c r="I131" s="461">
        <v>21117</v>
      </c>
      <c r="J131" s="464">
        <v>425</v>
      </c>
      <c r="K131" s="464">
        <v>209915</v>
      </c>
      <c r="L131" s="464"/>
      <c r="M131" s="461">
        <v>1192</v>
      </c>
      <c r="N131" s="461">
        <v>0</v>
      </c>
      <c r="O131" s="461">
        <v>0</v>
      </c>
      <c r="P131" s="464">
        <v>53936</v>
      </c>
      <c r="Q131" s="464">
        <v>55128</v>
      </c>
      <c r="R131" s="464"/>
      <c r="S131" s="461">
        <v>142732</v>
      </c>
      <c r="T131" s="462">
        <v>-20859</v>
      </c>
      <c r="U131" s="462">
        <v>121873</v>
      </c>
      <c r="W131" s="464">
        <v>860912</v>
      </c>
      <c r="X131" s="464">
        <v>197266</v>
      </c>
    </row>
    <row r="132" spans="1:24">
      <c r="A132" s="458">
        <v>91171</v>
      </c>
      <c r="B132" s="459" t="s">
        <v>842</v>
      </c>
      <c r="C132" s="463">
        <v>2.81E-4</v>
      </c>
      <c r="D132" s="463">
        <v>3.2220000000000003E-4</v>
      </c>
      <c r="E132" s="464">
        <v>1861087</v>
      </c>
      <c r="F132" s="464"/>
      <c r="G132" s="461">
        <v>207380</v>
      </c>
      <c r="H132" s="461">
        <v>498108</v>
      </c>
      <c r="I132" s="461">
        <v>79085</v>
      </c>
      <c r="J132" s="464">
        <v>69107</v>
      </c>
      <c r="K132" s="464">
        <v>853680</v>
      </c>
      <c r="L132" s="464"/>
      <c r="M132" s="461">
        <v>4465</v>
      </c>
      <c r="N132" s="461">
        <v>0</v>
      </c>
      <c r="O132" s="461">
        <v>0</v>
      </c>
      <c r="P132" s="464">
        <v>145751</v>
      </c>
      <c r="Q132" s="464">
        <v>150216</v>
      </c>
      <c r="R132" s="464"/>
      <c r="S132" s="461">
        <v>534556</v>
      </c>
      <c r="T132" s="462">
        <v>-26819</v>
      </c>
      <c r="U132" s="462">
        <v>507737</v>
      </c>
      <c r="W132" s="464">
        <v>3224261</v>
      </c>
      <c r="X132" s="464">
        <v>738795</v>
      </c>
    </row>
    <row r="133" spans="1:24">
      <c r="A133" s="458">
        <v>91201</v>
      </c>
      <c r="B133" s="459" t="s">
        <v>843</v>
      </c>
      <c r="C133" s="463">
        <v>2.38105E-3</v>
      </c>
      <c r="D133" s="463">
        <v>2.5163E-3</v>
      </c>
      <c r="E133" s="464">
        <v>15769901</v>
      </c>
      <c r="F133" s="464"/>
      <c r="G133" s="461">
        <v>1757234</v>
      </c>
      <c r="H133" s="461">
        <v>4220716</v>
      </c>
      <c r="I133" s="461">
        <v>670130</v>
      </c>
      <c r="J133" s="464">
        <v>0</v>
      </c>
      <c r="K133" s="464">
        <v>6648080</v>
      </c>
      <c r="L133" s="464"/>
      <c r="M133" s="461">
        <v>37830</v>
      </c>
      <c r="N133" s="461">
        <v>0</v>
      </c>
      <c r="O133" s="461">
        <v>0</v>
      </c>
      <c r="P133" s="464">
        <v>362493</v>
      </c>
      <c r="Q133" s="464">
        <v>400323</v>
      </c>
      <c r="R133" s="464"/>
      <c r="S133" s="461">
        <v>4529555</v>
      </c>
      <c r="T133" s="462">
        <v>-65710</v>
      </c>
      <c r="U133" s="462">
        <v>4463845</v>
      </c>
      <c r="W133" s="464">
        <v>27320734</v>
      </c>
      <c r="X133" s="464">
        <v>6260173</v>
      </c>
    </row>
    <row r="134" spans="1:24">
      <c r="A134" s="458">
        <v>91202</v>
      </c>
      <c r="B134" s="459" t="s">
        <v>844</v>
      </c>
      <c r="C134" s="463">
        <v>0</v>
      </c>
      <c r="D134" s="463">
        <v>0</v>
      </c>
      <c r="E134" s="464">
        <v>0</v>
      </c>
      <c r="F134" s="464"/>
      <c r="G134" s="461">
        <v>0</v>
      </c>
      <c r="H134" s="461">
        <v>0</v>
      </c>
      <c r="I134" s="461">
        <v>0</v>
      </c>
      <c r="J134" s="464">
        <v>0</v>
      </c>
      <c r="K134" s="464">
        <v>0</v>
      </c>
      <c r="L134" s="464"/>
      <c r="M134" s="461">
        <v>0</v>
      </c>
      <c r="N134" s="461">
        <v>0</v>
      </c>
      <c r="O134" s="461">
        <v>0</v>
      </c>
      <c r="P134" s="464">
        <v>41595</v>
      </c>
      <c r="Q134" s="464">
        <v>41595</v>
      </c>
      <c r="R134" s="464"/>
      <c r="S134" s="461">
        <v>0</v>
      </c>
      <c r="T134" s="462">
        <v>-86913</v>
      </c>
      <c r="U134" s="462">
        <v>-86913</v>
      </c>
      <c r="W134" s="464">
        <v>0</v>
      </c>
      <c r="X134" s="464">
        <v>0</v>
      </c>
    </row>
    <row r="135" spans="1:24">
      <c r="A135" s="458">
        <v>91203</v>
      </c>
      <c r="B135" s="459" t="s">
        <v>845</v>
      </c>
      <c r="C135" s="463">
        <v>2.4640000000000003E-4</v>
      </c>
      <c r="D135" s="463">
        <v>2.5139999999999999E-4</v>
      </c>
      <c r="E135" s="464">
        <v>1631929</v>
      </c>
      <c r="F135" s="464"/>
      <c r="G135" s="461">
        <v>181845</v>
      </c>
      <c r="H135" s="461">
        <v>436776</v>
      </c>
      <c r="I135" s="461">
        <v>69348</v>
      </c>
      <c r="J135" s="464">
        <v>29840</v>
      </c>
      <c r="K135" s="464">
        <v>717809</v>
      </c>
      <c r="L135" s="464"/>
      <c r="M135" s="461">
        <v>3915</v>
      </c>
      <c r="N135" s="461">
        <v>0</v>
      </c>
      <c r="O135" s="461">
        <v>0</v>
      </c>
      <c r="P135" s="464">
        <v>0</v>
      </c>
      <c r="Q135" s="464">
        <v>3915</v>
      </c>
      <c r="R135" s="464"/>
      <c r="S135" s="461">
        <v>468735</v>
      </c>
      <c r="T135" s="462">
        <v>31757</v>
      </c>
      <c r="U135" s="462">
        <v>500492</v>
      </c>
      <c r="W135" s="464">
        <v>2827252</v>
      </c>
      <c r="X135" s="464">
        <v>647826</v>
      </c>
    </row>
    <row r="136" spans="1:24">
      <c r="A136" s="458">
        <v>91206</v>
      </c>
      <c r="B136" s="459" t="s">
        <v>846</v>
      </c>
      <c r="C136" s="463">
        <v>1.0200400000000001E-3</v>
      </c>
      <c r="D136" s="463">
        <v>1.0426999999999999E-3</v>
      </c>
      <c r="E136" s="464">
        <v>6755814</v>
      </c>
      <c r="F136" s="464"/>
      <c r="G136" s="461">
        <v>752798</v>
      </c>
      <c r="H136" s="461">
        <v>1808151</v>
      </c>
      <c r="I136" s="461">
        <v>287083</v>
      </c>
      <c r="J136" s="464">
        <v>91685</v>
      </c>
      <c r="K136" s="464">
        <v>2939717</v>
      </c>
      <c r="L136" s="464"/>
      <c r="M136" s="461">
        <v>16206</v>
      </c>
      <c r="N136" s="461">
        <v>0</v>
      </c>
      <c r="O136" s="461">
        <v>0</v>
      </c>
      <c r="P136" s="464">
        <v>131374</v>
      </c>
      <c r="Q136" s="464">
        <v>147580</v>
      </c>
      <c r="R136" s="464"/>
      <c r="S136" s="461">
        <v>1940458</v>
      </c>
      <c r="T136" s="462">
        <v>1360</v>
      </c>
      <c r="U136" s="462">
        <v>1941818</v>
      </c>
      <c r="W136" s="464">
        <v>11704182</v>
      </c>
      <c r="X136" s="464">
        <v>2681853</v>
      </c>
    </row>
    <row r="137" spans="1:24">
      <c r="A137" s="458">
        <v>91208</v>
      </c>
      <c r="B137" s="459" t="s">
        <v>847</v>
      </c>
      <c r="C137" s="463">
        <v>2.1840000000000001E-5</v>
      </c>
      <c r="D137" s="463">
        <v>2.3900000000000002E-5</v>
      </c>
      <c r="E137" s="464">
        <v>144648</v>
      </c>
      <c r="F137" s="464"/>
      <c r="G137" s="461">
        <v>16118</v>
      </c>
      <c r="H137" s="461">
        <v>38714</v>
      </c>
      <c r="I137" s="461">
        <v>6147</v>
      </c>
      <c r="J137" s="464">
        <v>9342</v>
      </c>
      <c r="K137" s="464">
        <v>70321</v>
      </c>
      <c r="L137" s="464"/>
      <c r="M137" s="461">
        <v>347</v>
      </c>
      <c r="N137" s="461">
        <v>0</v>
      </c>
      <c r="O137" s="461">
        <v>0</v>
      </c>
      <c r="P137" s="464">
        <v>2459</v>
      </c>
      <c r="Q137" s="464">
        <v>2806</v>
      </c>
      <c r="R137" s="464"/>
      <c r="S137" s="461">
        <v>41547</v>
      </c>
      <c r="T137" s="462">
        <v>4253</v>
      </c>
      <c r="U137" s="462">
        <v>45800</v>
      </c>
      <c r="W137" s="464">
        <v>250597</v>
      </c>
      <c r="X137" s="464">
        <v>57421</v>
      </c>
    </row>
    <row r="138" spans="1:24">
      <c r="A138" s="458">
        <v>91211</v>
      </c>
      <c r="B138" s="459" t="s">
        <v>848</v>
      </c>
      <c r="C138" s="463">
        <v>4.2053000000000001E-4</v>
      </c>
      <c r="D138" s="463">
        <v>4.2319999999999999E-4</v>
      </c>
      <c r="E138" s="464">
        <v>2785207</v>
      </c>
      <c r="F138" s="464"/>
      <c r="G138" s="461">
        <v>310355</v>
      </c>
      <c r="H138" s="461">
        <v>745443</v>
      </c>
      <c r="I138" s="461">
        <v>118355</v>
      </c>
      <c r="J138" s="464">
        <v>796</v>
      </c>
      <c r="K138" s="464">
        <v>1174949</v>
      </c>
      <c r="L138" s="464"/>
      <c r="M138" s="461">
        <v>6681</v>
      </c>
      <c r="N138" s="461">
        <v>0</v>
      </c>
      <c r="O138" s="461">
        <v>0</v>
      </c>
      <c r="P138" s="464">
        <v>57472</v>
      </c>
      <c r="Q138" s="464">
        <v>64153</v>
      </c>
      <c r="R138" s="464"/>
      <c r="S138" s="461">
        <v>799989</v>
      </c>
      <c r="T138" s="462">
        <v>-35431</v>
      </c>
      <c r="U138" s="462">
        <v>764558</v>
      </c>
      <c r="W138" s="464">
        <v>4825261</v>
      </c>
      <c r="X138" s="464">
        <v>1105643</v>
      </c>
    </row>
    <row r="139" spans="1:24">
      <c r="A139" s="458">
        <v>91213</v>
      </c>
      <c r="B139" s="459" t="s">
        <v>849</v>
      </c>
      <c r="C139" s="463">
        <v>2.5469999999999998E-5</v>
      </c>
      <c r="D139" s="463">
        <v>2.5899999999999999E-5</v>
      </c>
      <c r="E139" s="464">
        <v>168690</v>
      </c>
      <c r="F139" s="464"/>
      <c r="G139" s="461">
        <v>18797</v>
      </c>
      <c r="H139" s="461">
        <v>45149</v>
      </c>
      <c r="I139" s="461">
        <v>7168</v>
      </c>
      <c r="J139" s="464">
        <v>3978</v>
      </c>
      <c r="K139" s="464">
        <v>75092</v>
      </c>
      <c r="L139" s="464"/>
      <c r="M139" s="461">
        <v>405</v>
      </c>
      <c r="N139" s="461">
        <v>0</v>
      </c>
      <c r="O139" s="461">
        <v>0</v>
      </c>
      <c r="P139" s="464">
        <v>5378</v>
      </c>
      <c r="Q139" s="464">
        <v>5783</v>
      </c>
      <c r="R139" s="464"/>
      <c r="S139" s="461">
        <v>48452</v>
      </c>
      <c r="T139" s="462">
        <v>-1547</v>
      </c>
      <c r="U139" s="462">
        <v>46905</v>
      </c>
      <c r="W139" s="464">
        <v>292249</v>
      </c>
      <c r="X139" s="464">
        <v>66965</v>
      </c>
    </row>
    <row r="140" spans="1:24">
      <c r="A140" s="458">
        <v>91214</v>
      </c>
      <c r="B140" s="459" t="s">
        <v>850</v>
      </c>
      <c r="C140" s="463">
        <v>3.2469999999999999E-5</v>
      </c>
      <c r="D140" s="463">
        <v>3.4100000000000002E-5</v>
      </c>
      <c r="E140" s="464">
        <v>215052</v>
      </c>
      <c r="F140" s="464"/>
      <c r="G140" s="461">
        <v>23963</v>
      </c>
      <c r="H140" s="461">
        <v>57557</v>
      </c>
      <c r="I140" s="461">
        <v>9138</v>
      </c>
      <c r="J140" s="464">
        <v>0</v>
      </c>
      <c r="K140" s="464">
        <v>90658</v>
      </c>
      <c r="L140" s="464"/>
      <c r="M140" s="461">
        <v>516</v>
      </c>
      <c r="N140" s="461">
        <v>0</v>
      </c>
      <c r="O140" s="461">
        <v>0</v>
      </c>
      <c r="P140" s="464">
        <v>19083</v>
      </c>
      <c r="Q140" s="464">
        <v>19599</v>
      </c>
      <c r="R140" s="464"/>
      <c r="S140" s="461">
        <v>61769</v>
      </c>
      <c r="T140" s="462">
        <v>-9954</v>
      </c>
      <c r="U140" s="462">
        <v>51815</v>
      </c>
      <c r="W140" s="464">
        <v>372569</v>
      </c>
      <c r="X140" s="464">
        <v>85369</v>
      </c>
    </row>
    <row r="141" spans="1:24">
      <c r="A141" s="458">
        <v>91217</v>
      </c>
      <c r="B141" s="459" t="s">
        <v>851</v>
      </c>
      <c r="C141" s="463">
        <v>2.4899999999999999E-5</v>
      </c>
      <c r="D141" s="463">
        <v>2.5199999999999999E-5</v>
      </c>
      <c r="E141" s="464">
        <v>164915</v>
      </c>
      <c r="F141" s="464"/>
      <c r="G141" s="461">
        <v>18376</v>
      </c>
      <c r="H141" s="461">
        <v>44138</v>
      </c>
      <c r="I141" s="461">
        <v>7008</v>
      </c>
      <c r="J141" s="464">
        <v>8593</v>
      </c>
      <c r="K141" s="464">
        <v>78115</v>
      </c>
      <c r="L141" s="464"/>
      <c r="M141" s="461">
        <v>396</v>
      </c>
      <c r="N141" s="461">
        <v>0</v>
      </c>
      <c r="O141" s="461">
        <v>0</v>
      </c>
      <c r="P141" s="464">
        <v>1705</v>
      </c>
      <c r="Q141" s="464">
        <v>2101</v>
      </c>
      <c r="R141" s="464"/>
      <c r="S141" s="461">
        <v>47368</v>
      </c>
      <c r="T141" s="462">
        <v>9754</v>
      </c>
      <c r="U141" s="462">
        <v>57122</v>
      </c>
      <c r="W141" s="464">
        <v>285709</v>
      </c>
      <c r="X141" s="464">
        <v>65466</v>
      </c>
    </row>
    <row r="142" spans="1:24">
      <c r="A142" s="458">
        <v>91221</v>
      </c>
      <c r="B142" s="459" t="s">
        <v>852</v>
      </c>
      <c r="C142" s="463">
        <v>8.0469999999999994E-5</v>
      </c>
      <c r="D142" s="463">
        <v>7.7999999999999999E-5</v>
      </c>
      <c r="E142" s="464">
        <v>532960</v>
      </c>
      <c r="F142" s="464"/>
      <c r="G142" s="461">
        <v>59388</v>
      </c>
      <c r="H142" s="461">
        <v>142643</v>
      </c>
      <c r="I142" s="461">
        <v>22648</v>
      </c>
      <c r="J142" s="464">
        <v>28246</v>
      </c>
      <c r="K142" s="464">
        <v>252925</v>
      </c>
      <c r="L142" s="464"/>
      <c r="M142" s="461">
        <v>1279</v>
      </c>
      <c r="N142" s="461">
        <v>0</v>
      </c>
      <c r="O142" s="461">
        <v>0</v>
      </c>
      <c r="P142" s="464">
        <v>24866</v>
      </c>
      <c r="Q142" s="464">
        <v>26145</v>
      </c>
      <c r="R142" s="464"/>
      <c r="S142" s="461">
        <v>153081</v>
      </c>
      <c r="T142" s="462">
        <v>-6251</v>
      </c>
      <c r="U142" s="462">
        <v>146830</v>
      </c>
      <c r="W142" s="464">
        <v>923332</v>
      </c>
      <c r="X142" s="464">
        <v>211569</v>
      </c>
    </row>
    <row r="143" spans="1:24">
      <c r="A143" s="458">
        <v>91231</v>
      </c>
      <c r="B143" s="459" t="s">
        <v>853</v>
      </c>
      <c r="C143" s="463">
        <v>1.7249399999999999E-3</v>
      </c>
      <c r="D143" s="463">
        <v>1.7933000000000001E-3</v>
      </c>
      <c r="E143" s="464">
        <v>11424428</v>
      </c>
      <c r="F143" s="464"/>
      <c r="G143" s="461">
        <v>1273020</v>
      </c>
      <c r="H143" s="461">
        <v>3057677</v>
      </c>
      <c r="I143" s="461">
        <v>485472</v>
      </c>
      <c r="J143" s="464">
        <v>0</v>
      </c>
      <c r="K143" s="464">
        <v>4816169</v>
      </c>
      <c r="L143" s="464"/>
      <c r="M143" s="461">
        <v>27406</v>
      </c>
      <c r="N143" s="461">
        <v>0</v>
      </c>
      <c r="O143" s="461">
        <v>0</v>
      </c>
      <c r="P143" s="464">
        <v>278801</v>
      </c>
      <c r="Q143" s="464">
        <v>306207</v>
      </c>
      <c r="R143" s="464"/>
      <c r="S143" s="461">
        <v>3281414</v>
      </c>
      <c r="T143" s="462">
        <v>-107056</v>
      </c>
      <c r="U143" s="462">
        <v>3174358</v>
      </c>
      <c r="W143" s="464">
        <v>19792372</v>
      </c>
      <c r="X143" s="464">
        <v>4535152</v>
      </c>
    </row>
    <row r="144" spans="1:24">
      <c r="A144" s="458">
        <v>91233</v>
      </c>
      <c r="B144" s="459" t="s">
        <v>854</v>
      </c>
      <c r="C144" s="463">
        <v>4.9240000000000003E-5</v>
      </c>
      <c r="D144" s="463">
        <v>6.69E-5</v>
      </c>
      <c r="E144" s="464">
        <v>326121</v>
      </c>
      <c r="F144" s="464"/>
      <c r="G144" s="461">
        <v>36340</v>
      </c>
      <c r="H144" s="461">
        <v>87284</v>
      </c>
      <c r="I144" s="461">
        <v>13858</v>
      </c>
      <c r="J144" s="464">
        <v>1932</v>
      </c>
      <c r="K144" s="464">
        <v>139414</v>
      </c>
      <c r="L144" s="464"/>
      <c r="M144" s="461">
        <v>782</v>
      </c>
      <c r="N144" s="461">
        <v>0</v>
      </c>
      <c r="O144" s="461">
        <v>0</v>
      </c>
      <c r="P144" s="464">
        <v>48342</v>
      </c>
      <c r="Q144" s="464">
        <v>49124</v>
      </c>
      <c r="R144" s="464"/>
      <c r="S144" s="461">
        <v>93671</v>
      </c>
      <c r="T144" s="462">
        <v>-15221</v>
      </c>
      <c r="U144" s="462">
        <v>78450</v>
      </c>
      <c r="W144" s="464">
        <v>564991</v>
      </c>
      <c r="X144" s="464">
        <v>129460</v>
      </c>
    </row>
    <row r="145" spans="1:24">
      <c r="A145" s="458">
        <v>91241</v>
      </c>
      <c r="B145" s="459" t="s">
        <v>855</v>
      </c>
      <c r="C145" s="463">
        <v>3.2539999999999997E-5</v>
      </c>
      <c r="D145" s="463">
        <v>3.5800000000000003E-5</v>
      </c>
      <c r="E145" s="464">
        <v>215515</v>
      </c>
      <c r="F145" s="464"/>
      <c r="G145" s="461">
        <v>24015</v>
      </c>
      <c r="H145" s="461">
        <v>57681</v>
      </c>
      <c r="I145" s="461">
        <v>9158</v>
      </c>
      <c r="J145" s="464">
        <v>2861</v>
      </c>
      <c r="K145" s="464">
        <v>93715</v>
      </c>
      <c r="L145" s="464"/>
      <c r="M145" s="461">
        <v>517</v>
      </c>
      <c r="N145" s="461">
        <v>0</v>
      </c>
      <c r="O145" s="461">
        <v>0</v>
      </c>
      <c r="P145" s="464">
        <v>6261</v>
      </c>
      <c r="Q145" s="464">
        <v>6778</v>
      </c>
      <c r="R145" s="464"/>
      <c r="S145" s="461">
        <v>61902</v>
      </c>
      <c r="T145" s="462">
        <v>-8135</v>
      </c>
      <c r="U145" s="462">
        <v>53767</v>
      </c>
      <c r="W145" s="464">
        <v>373372</v>
      </c>
      <c r="X145" s="464">
        <v>85553</v>
      </c>
    </row>
    <row r="146" spans="1:24">
      <c r="A146" s="458">
        <v>91251</v>
      </c>
      <c r="B146" s="459" t="s">
        <v>856</v>
      </c>
      <c r="C146" s="463">
        <v>2.4430000000000002E-5</v>
      </c>
      <c r="D146" s="463">
        <v>3.2100000000000001E-5</v>
      </c>
      <c r="E146" s="464">
        <v>161802</v>
      </c>
      <c r="F146" s="464"/>
      <c r="G146" s="461">
        <v>18030</v>
      </c>
      <c r="H146" s="461">
        <v>43305</v>
      </c>
      <c r="I146" s="461">
        <v>6876</v>
      </c>
      <c r="J146" s="464">
        <v>5797</v>
      </c>
      <c r="K146" s="464">
        <v>74008</v>
      </c>
      <c r="L146" s="464"/>
      <c r="M146" s="461">
        <v>388</v>
      </c>
      <c r="N146" s="461">
        <v>0</v>
      </c>
      <c r="O146" s="461">
        <v>0</v>
      </c>
      <c r="P146" s="464">
        <v>23132</v>
      </c>
      <c r="Q146" s="464">
        <v>23520</v>
      </c>
      <c r="R146" s="464"/>
      <c r="S146" s="461">
        <v>46474</v>
      </c>
      <c r="T146" s="462">
        <v>-5095</v>
      </c>
      <c r="U146" s="462">
        <v>41379</v>
      </c>
      <c r="W146" s="464">
        <v>280316</v>
      </c>
      <c r="X146" s="464">
        <v>64231</v>
      </c>
    </row>
    <row r="147" spans="1:24">
      <c r="A147" s="458">
        <v>91261</v>
      </c>
      <c r="B147" s="459" t="s">
        <v>857</v>
      </c>
      <c r="C147" s="463">
        <v>9.5300000000000002E-6</v>
      </c>
      <c r="D147" s="463">
        <v>9.5000000000000005E-6</v>
      </c>
      <c r="E147" s="464">
        <v>63118</v>
      </c>
      <c r="F147" s="464"/>
      <c r="G147" s="461">
        <v>7033</v>
      </c>
      <c r="H147" s="461">
        <v>16893</v>
      </c>
      <c r="I147" s="461">
        <v>2682</v>
      </c>
      <c r="J147" s="464">
        <v>0</v>
      </c>
      <c r="K147" s="464">
        <v>26608</v>
      </c>
      <c r="L147" s="464"/>
      <c r="M147" s="461">
        <v>151</v>
      </c>
      <c r="N147" s="461">
        <v>0</v>
      </c>
      <c r="O147" s="461">
        <v>0</v>
      </c>
      <c r="P147" s="464">
        <v>2259</v>
      </c>
      <c r="Q147" s="464">
        <v>2410</v>
      </c>
      <c r="R147" s="464"/>
      <c r="S147" s="461">
        <v>18129</v>
      </c>
      <c r="T147" s="462">
        <v>-1919</v>
      </c>
      <c r="U147" s="462">
        <v>16210</v>
      </c>
      <c r="W147" s="464">
        <v>109349</v>
      </c>
      <c r="X147" s="464">
        <v>25056</v>
      </c>
    </row>
    <row r="148" spans="1:24">
      <c r="A148" s="458">
        <v>91301</v>
      </c>
      <c r="B148" s="459" t="s">
        <v>858</v>
      </c>
      <c r="C148" s="463">
        <v>8.50449E-3</v>
      </c>
      <c r="D148" s="463">
        <v>8.6893000000000005E-3</v>
      </c>
      <c r="E148" s="464">
        <v>56325977</v>
      </c>
      <c r="F148" s="464"/>
      <c r="G148" s="461">
        <v>6276382</v>
      </c>
      <c r="H148" s="461">
        <v>15075297</v>
      </c>
      <c r="I148" s="461">
        <v>2393529</v>
      </c>
      <c r="J148" s="464">
        <v>413843</v>
      </c>
      <c r="K148" s="464">
        <v>24159051</v>
      </c>
      <c r="L148" s="464"/>
      <c r="M148" s="461">
        <v>135119</v>
      </c>
      <c r="N148" s="461">
        <v>0</v>
      </c>
      <c r="O148" s="461">
        <v>0</v>
      </c>
      <c r="P148" s="464">
        <v>888416</v>
      </c>
      <c r="Q148" s="464">
        <v>1023535</v>
      </c>
      <c r="R148" s="464"/>
      <c r="S148" s="461">
        <v>16178389</v>
      </c>
      <c r="T148" s="462">
        <v>11226</v>
      </c>
      <c r="U148" s="462">
        <v>16189615</v>
      </c>
      <c r="W148" s="464">
        <v>97582542</v>
      </c>
      <c r="X148" s="464">
        <v>22359707</v>
      </c>
    </row>
    <row r="149" spans="1:24">
      <c r="A149" s="458">
        <v>91302</v>
      </c>
      <c r="B149" s="459" t="s">
        <v>859</v>
      </c>
      <c r="C149" s="463">
        <v>5.2094999999999995E-4</v>
      </c>
      <c r="D149" s="463">
        <v>5.3209999999999998E-4</v>
      </c>
      <c r="E149" s="464">
        <v>3450297</v>
      </c>
      <c r="F149" s="464"/>
      <c r="G149" s="461">
        <v>384465</v>
      </c>
      <c r="H149" s="461">
        <v>923451</v>
      </c>
      <c r="I149" s="461">
        <v>146618</v>
      </c>
      <c r="J149" s="464">
        <v>29806</v>
      </c>
      <c r="K149" s="464">
        <v>1484340</v>
      </c>
      <c r="L149" s="464"/>
      <c r="M149" s="461">
        <v>8277</v>
      </c>
      <c r="N149" s="461">
        <v>0</v>
      </c>
      <c r="O149" s="461">
        <v>0</v>
      </c>
      <c r="P149" s="464">
        <v>31005</v>
      </c>
      <c r="Q149" s="464">
        <v>39282</v>
      </c>
      <c r="R149" s="464"/>
      <c r="S149" s="461">
        <v>991021</v>
      </c>
      <c r="T149" s="462">
        <v>-8100</v>
      </c>
      <c r="U149" s="462">
        <v>982921</v>
      </c>
      <c r="W149" s="464">
        <v>5977504</v>
      </c>
      <c r="X149" s="464">
        <v>1369664</v>
      </c>
    </row>
    <row r="150" spans="1:24">
      <c r="A150" s="458">
        <v>91306</v>
      </c>
      <c r="B150" s="459" t="s">
        <v>860</v>
      </c>
      <c r="C150" s="463">
        <v>2.36827E-3</v>
      </c>
      <c r="D150" s="463">
        <v>2.1952999999999999E-3</v>
      </c>
      <c r="E150" s="464">
        <v>15685258</v>
      </c>
      <c r="F150" s="464"/>
      <c r="G150" s="461">
        <v>1747802</v>
      </c>
      <c r="H150" s="461">
        <v>4198062</v>
      </c>
      <c r="I150" s="461">
        <v>666533</v>
      </c>
      <c r="J150" s="464">
        <v>544971</v>
      </c>
      <c r="K150" s="464">
        <v>7157368</v>
      </c>
      <c r="L150" s="464"/>
      <c r="M150" s="461">
        <v>37627</v>
      </c>
      <c r="N150" s="461">
        <v>0</v>
      </c>
      <c r="O150" s="461">
        <v>0</v>
      </c>
      <c r="P150" s="464">
        <v>59332</v>
      </c>
      <c r="Q150" s="464">
        <v>96959</v>
      </c>
      <c r="R150" s="464"/>
      <c r="S150" s="461">
        <v>4505243</v>
      </c>
      <c r="T150" s="462">
        <v>230981</v>
      </c>
      <c r="U150" s="462">
        <v>4736224</v>
      </c>
      <c r="W150" s="464">
        <v>27174094</v>
      </c>
      <c r="X150" s="464">
        <v>6226573</v>
      </c>
    </row>
    <row r="151" spans="1:24">
      <c r="A151" s="458">
        <v>91308</v>
      </c>
      <c r="B151" s="459" t="s">
        <v>861</v>
      </c>
      <c r="C151" s="463">
        <v>9.4199999999999999E-5</v>
      </c>
      <c r="D151" s="463">
        <v>1.127E-4</v>
      </c>
      <c r="E151" s="464">
        <v>623895</v>
      </c>
      <c r="F151" s="464"/>
      <c r="G151" s="461">
        <v>69520</v>
      </c>
      <c r="H151" s="461">
        <v>166982</v>
      </c>
      <c r="I151" s="461">
        <v>26512</v>
      </c>
      <c r="J151" s="464">
        <v>15146</v>
      </c>
      <c r="K151" s="464">
        <v>278160</v>
      </c>
      <c r="L151" s="464"/>
      <c r="M151" s="461">
        <v>1497</v>
      </c>
      <c r="N151" s="461">
        <v>0</v>
      </c>
      <c r="O151" s="461">
        <v>0</v>
      </c>
      <c r="P151" s="464">
        <v>54640</v>
      </c>
      <c r="Q151" s="464">
        <v>56137</v>
      </c>
      <c r="R151" s="464"/>
      <c r="S151" s="461">
        <v>179200</v>
      </c>
      <c r="T151" s="462">
        <v>-38574</v>
      </c>
      <c r="U151" s="462">
        <v>140626</v>
      </c>
      <c r="W151" s="464">
        <v>1080873</v>
      </c>
      <c r="X151" s="464">
        <v>247667</v>
      </c>
    </row>
    <row r="152" spans="1:24">
      <c r="A152" s="458">
        <v>91311</v>
      </c>
      <c r="B152" s="459" t="s">
        <v>862</v>
      </c>
      <c r="C152" s="463">
        <v>8.1367999999999996E-3</v>
      </c>
      <c r="D152" s="463">
        <v>8.6487999999999999E-3</v>
      </c>
      <c r="E152" s="464">
        <v>53890734</v>
      </c>
      <c r="F152" s="464"/>
      <c r="G152" s="461">
        <v>6005023</v>
      </c>
      <c r="H152" s="461">
        <v>14423520</v>
      </c>
      <c r="I152" s="461">
        <v>2290045</v>
      </c>
      <c r="J152" s="464">
        <v>91632</v>
      </c>
      <c r="K152" s="464">
        <v>22810220</v>
      </c>
      <c r="L152" s="464"/>
      <c r="M152" s="461">
        <v>129277</v>
      </c>
      <c r="N152" s="461">
        <v>0</v>
      </c>
      <c r="O152" s="461">
        <v>0</v>
      </c>
      <c r="P152" s="464">
        <v>1446436</v>
      </c>
      <c r="Q152" s="464">
        <v>1575713</v>
      </c>
      <c r="R152" s="464"/>
      <c r="S152" s="461">
        <v>15478919</v>
      </c>
      <c r="T152" s="462">
        <v>-240281</v>
      </c>
      <c r="U152" s="462">
        <v>15238638</v>
      </c>
      <c r="W152" s="464">
        <v>93363580</v>
      </c>
      <c r="X152" s="464">
        <v>21392990</v>
      </c>
    </row>
    <row r="153" spans="1:24">
      <c r="A153" s="458">
        <v>91317</v>
      </c>
      <c r="B153" s="459" t="s">
        <v>863</v>
      </c>
      <c r="C153" s="463">
        <v>1.5045E-4</v>
      </c>
      <c r="D153" s="463">
        <v>1.5779999999999999E-4</v>
      </c>
      <c r="E153" s="464">
        <v>996443</v>
      </c>
      <c r="F153" s="464"/>
      <c r="G153" s="461">
        <v>111033</v>
      </c>
      <c r="H153" s="461">
        <v>266692</v>
      </c>
      <c r="I153" s="461">
        <v>42343</v>
      </c>
      <c r="J153" s="464">
        <v>29014</v>
      </c>
      <c r="K153" s="464">
        <v>449082</v>
      </c>
      <c r="L153" s="464"/>
      <c r="M153" s="461">
        <v>2390</v>
      </c>
      <c r="N153" s="461">
        <v>0</v>
      </c>
      <c r="O153" s="461">
        <v>0</v>
      </c>
      <c r="P153" s="464">
        <v>8016</v>
      </c>
      <c r="Q153" s="464">
        <v>10406</v>
      </c>
      <c r="R153" s="464"/>
      <c r="S153" s="461">
        <v>286206</v>
      </c>
      <c r="T153" s="462">
        <v>34051</v>
      </c>
      <c r="U153" s="462">
        <v>320257</v>
      </c>
      <c r="W153" s="464">
        <v>1726299</v>
      </c>
      <c r="X153" s="464">
        <v>395558</v>
      </c>
    </row>
    <row r="154" spans="1:24">
      <c r="A154" s="458">
        <v>91321</v>
      </c>
      <c r="B154" s="459" t="s">
        <v>864</v>
      </c>
      <c r="C154" s="463">
        <v>5.4509999999999998E-5</v>
      </c>
      <c r="D154" s="463">
        <v>5.7599999999999997E-5</v>
      </c>
      <c r="E154" s="464">
        <v>361024</v>
      </c>
      <c r="F154" s="464"/>
      <c r="G154" s="461">
        <v>40229</v>
      </c>
      <c r="H154" s="461">
        <v>96626</v>
      </c>
      <c r="I154" s="461">
        <v>15341</v>
      </c>
      <c r="J154" s="464">
        <v>0</v>
      </c>
      <c r="K154" s="464">
        <v>152196</v>
      </c>
      <c r="L154" s="464"/>
      <c r="M154" s="461">
        <v>866</v>
      </c>
      <c r="N154" s="461">
        <v>0</v>
      </c>
      <c r="O154" s="461">
        <v>0</v>
      </c>
      <c r="P154" s="464">
        <v>20966</v>
      </c>
      <c r="Q154" s="464">
        <v>21832</v>
      </c>
      <c r="R154" s="464"/>
      <c r="S154" s="461">
        <v>103696</v>
      </c>
      <c r="T154" s="462">
        <v>1832</v>
      </c>
      <c r="U154" s="462">
        <v>105528</v>
      </c>
      <c r="W154" s="464">
        <v>625461</v>
      </c>
      <c r="X154" s="464">
        <v>143316</v>
      </c>
    </row>
    <row r="155" spans="1:24">
      <c r="A155" s="458">
        <v>91327</v>
      </c>
      <c r="B155" s="459" t="s">
        <v>865</v>
      </c>
      <c r="C155" s="463">
        <v>1.167E-5</v>
      </c>
      <c r="D155" s="463">
        <v>9.3999999999999998E-6</v>
      </c>
      <c r="E155" s="464">
        <v>77291</v>
      </c>
      <c r="F155" s="464"/>
      <c r="G155" s="461">
        <v>8613</v>
      </c>
      <c r="H155" s="461">
        <v>20687</v>
      </c>
      <c r="I155" s="461">
        <v>3284</v>
      </c>
      <c r="J155" s="464">
        <v>10471</v>
      </c>
      <c r="K155" s="464">
        <v>43055</v>
      </c>
      <c r="L155" s="464"/>
      <c r="M155" s="461">
        <v>185</v>
      </c>
      <c r="N155" s="461">
        <v>0</v>
      </c>
      <c r="O155" s="461">
        <v>0</v>
      </c>
      <c r="P155" s="464">
        <v>1360</v>
      </c>
      <c r="Q155" s="464">
        <v>1545</v>
      </c>
      <c r="R155" s="464"/>
      <c r="S155" s="461">
        <v>22200</v>
      </c>
      <c r="T155" s="462">
        <v>3144</v>
      </c>
      <c r="U155" s="462">
        <v>25344</v>
      </c>
      <c r="W155" s="464">
        <v>133904</v>
      </c>
      <c r="X155" s="464">
        <v>30682</v>
      </c>
    </row>
    <row r="156" spans="1:24">
      <c r="A156" s="458">
        <v>91331</v>
      </c>
      <c r="B156" s="459" t="s">
        <v>866</v>
      </c>
      <c r="C156" s="463">
        <v>2.9839799999999998E-3</v>
      </c>
      <c r="D156" s="463">
        <v>3.1621000000000002E-3</v>
      </c>
      <c r="E156" s="464">
        <v>19763159</v>
      </c>
      <c r="F156" s="464"/>
      <c r="G156" s="461">
        <v>2202201</v>
      </c>
      <c r="H156" s="461">
        <v>5289486</v>
      </c>
      <c r="I156" s="461">
        <v>839820</v>
      </c>
      <c r="J156" s="464">
        <v>135486</v>
      </c>
      <c r="K156" s="464">
        <v>8466993</v>
      </c>
      <c r="L156" s="464"/>
      <c r="M156" s="461">
        <v>47409</v>
      </c>
      <c r="N156" s="461">
        <v>0</v>
      </c>
      <c r="O156" s="461">
        <v>0</v>
      </c>
      <c r="P156" s="464">
        <v>652103</v>
      </c>
      <c r="Q156" s="464">
        <v>699512</v>
      </c>
      <c r="R156" s="464"/>
      <c r="S156" s="461">
        <v>5676530</v>
      </c>
      <c r="T156" s="462">
        <v>-214950</v>
      </c>
      <c r="U156" s="462">
        <v>5461580</v>
      </c>
      <c r="W156" s="464">
        <v>34238897</v>
      </c>
      <c r="X156" s="464">
        <v>7845376</v>
      </c>
    </row>
    <row r="157" spans="1:24">
      <c r="A157" s="458">
        <v>91341</v>
      </c>
      <c r="B157" s="459" t="s">
        <v>867</v>
      </c>
      <c r="C157" s="463">
        <v>6.3120000000000006E-5</v>
      </c>
      <c r="D157" s="463">
        <v>3.3399999999999999E-5</v>
      </c>
      <c r="E157" s="464">
        <v>418049</v>
      </c>
      <c r="F157" s="464"/>
      <c r="G157" s="461">
        <v>46583</v>
      </c>
      <c r="H157" s="461">
        <v>111888</v>
      </c>
      <c r="I157" s="461">
        <v>17765</v>
      </c>
      <c r="J157" s="464">
        <v>66322</v>
      </c>
      <c r="K157" s="464">
        <v>242558</v>
      </c>
      <c r="L157" s="464"/>
      <c r="M157" s="461">
        <v>1003</v>
      </c>
      <c r="N157" s="461">
        <v>0</v>
      </c>
      <c r="O157" s="461">
        <v>0</v>
      </c>
      <c r="P157" s="464">
        <v>5078</v>
      </c>
      <c r="Q157" s="464">
        <v>6081</v>
      </c>
      <c r="R157" s="464"/>
      <c r="S157" s="461">
        <v>120075</v>
      </c>
      <c r="T157" s="462">
        <v>19398</v>
      </c>
      <c r="U157" s="462">
        <v>139473</v>
      </c>
      <c r="W157" s="464">
        <v>724254</v>
      </c>
      <c r="X157" s="464">
        <v>165953</v>
      </c>
    </row>
    <row r="158" spans="1:24">
      <c r="A158" s="458">
        <v>91401</v>
      </c>
      <c r="B158" s="459" t="s">
        <v>868</v>
      </c>
      <c r="C158" s="463">
        <v>3.6303500000000001E-3</v>
      </c>
      <c r="D158" s="463">
        <v>3.5915000000000001E-3</v>
      </c>
      <c r="E158" s="464">
        <v>24044124</v>
      </c>
      <c r="F158" s="464"/>
      <c r="G158" s="461">
        <v>2679227</v>
      </c>
      <c r="H158" s="461">
        <v>6435260</v>
      </c>
      <c r="I158" s="461">
        <v>1021737</v>
      </c>
      <c r="J158" s="464">
        <v>23471</v>
      </c>
      <c r="K158" s="464">
        <v>10159695</v>
      </c>
      <c r="L158" s="464"/>
      <c r="M158" s="461">
        <v>57679</v>
      </c>
      <c r="N158" s="461">
        <v>0</v>
      </c>
      <c r="O158" s="461">
        <v>0</v>
      </c>
      <c r="P158" s="464">
        <v>241239</v>
      </c>
      <c r="Q158" s="464">
        <v>298918</v>
      </c>
      <c r="R158" s="464"/>
      <c r="S158" s="461">
        <v>6906142</v>
      </c>
      <c r="T158" s="462">
        <v>-1778</v>
      </c>
      <c r="U158" s="462">
        <v>6904364</v>
      </c>
      <c r="W158" s="464">
        <v>41655500</v>
      </c>
      <c r="X158" s="464">
        <v>9544789</v>
      </c>
    </row>
    <row r="159" spans="1:24">
      <c r="A159" s="458">
        <v>91411</v>
      </c>
      <c r="B159" s="459" t="s">
        <v>869</v>
      </c>
      <c r="C159" s="463">
        <v>4.3454000000000002E-4</v>
      </c>
      <c r="D159" s="463">
        <v>3.7720000000000001E-4</v>
      </c>
      <c r="E159" s="464">
        <v>2877996</v>
      </c>
      <c r="F159" s="464"/>
      <c r="G159" s="461">
        <v>320694</v>
      </c>
      <c r="H159" s="461">
        <v>770278</v>
      </c>
      <c r="I159" s="461">
        <v>122298</v>
      </c>
      <c r="J159" s="464">
        <v>128823</v>
      </c>
      <c r="K159" s="464">
        <v>1342093</v>
      </c>
      <c r="L159" s="464"/>
      <c r="M159" s="461">
        <v>6904</v>
      </c>
      <c r="N159" s="461">
        <v>0</v>
      </c>
      <c r="O159" s="461">
        <v>0</v>
      </c>
      <c r="P159" s="464">
        <v>51148</v>
      </c>
      <c r="Q159" s="464">
        <v>58052</v>
      </c>
      <c r="R159" s="464"/>
      <c r="S159" s="461">
        <v>826641</v>
      </c>
      <c r="T159" s="462">
        <v>29214</v>
      </c>
      <c r="U159" s="462">
        <v>855855</v>
      </c>
      <c r="W159" s="464">
        <v>4986015</v>
      </c>
      <c r="X159" s="464">
        <v>1142477</v>
      </c>
    </row>
    <row r="160" spans="1:24">
      <c r="A160" s="458">
        <v>91414</v>
      </c>
      <c r="B160" s="459" t="s">
        <v>3608</v>
      </c>
      <c r="C160" s="463">
        <v>2.9479999999999999E-5</v>
      </c>
      <c r="D160" s="463">
        <v>3.0700000000000001E-5</v>
      </c>
      <c r="E160" s="464">
        <v>195249</v>
      </c>
      <c r="F160" s="464"/>
      <c r="G160" s="461">
        <v>21756</v>
      </c>
      <c r="H160" s="461">
        <v>52257</v>
      </c>
      <c r="I160" s="461">
        <v>8297</v>
      </c>
      <c r="J160" s="464">
        <v>3817</v>
      </c>
      <c r="K160" s="464">
        <v>86127</v>
      </c>
      <c r="L160" s="464"/>
      <c r="M160" s="461">
        <v>468</v>
      </c>
      <c r="N160" s="461">
        <v>0</v>
      </c>
      <c r="O160" s="461">
        <v>0</v>
      </c>
      <c r="P160" s="464">
        <v>5778</v>
      </c>
      <c r="Q160" s="464">
        <v>6246</v>
      </c>
      <c r="R160" s="464"/>
      <c r="S160" s="461">
        <v>56081</v>
      </c>
      <c r="T160" s="462">
        <v>7905</v>
      </c>
      <c r="U160" s="462">
        <v>63986</v>
      </c>
      <c r="W160" s="464">
        <v>338261</v>
      </c>
      <c r="X160" s="464">
        <v>77508</v>
      </c>
    </row>
    <row r="161" spans="1:24">
      <c r="A161" s="458">
        <v>91417</v>
      </c>
      <c r="B161" s="459" t="s">
        <v>870</v>
      </c>
      <c r="C161" s="463">
        <v>5.7100000000000004E-6</v>
      </c>
      <c r="D161" s="463">
        <v>6.8000000000000001E-6</v>
      </c>
      <c r="E161" s="464">
        <v>37818</v>
      </c>
      <c r="F161" s="464"/>
      <c r="G161" s="461">
        <v>4214</v>
      </c>
      <c r="H161" s="461">
        <v>10122</v>
      </c>
      <c r="I161" s="461">
        <v>1607</v>
      </c>
      <c r="J161" s="464">
        <v>6111</v>
      </c>
      <c r="K161" s="464">
        <v>22054</v>
      </c>
      <c r="L161" s="464"/>
      <c r="M161" s="461">
        <v>91</v>
      </c>
      <c r="N161" s="461">
        <v>0</v>
      </c>
      <c r="O161" s="461">
        <v>0</v>
      </c>
      <c r="P161" s="464">
        <v>796</v>
      </c>
      <c r="Q161" s="464">
        <v>887</v>
      </c>
      <c r="R161" s="464"/>
      <c r="S161" s="461">
        <v>10862</v>
      </c>
      <c r="T161" s="462">
        <v>4122</v>
      </c>
      <c r="U161" s="462">
        <v>14984</v>
      </c>
      <c r="W161" s="464">
        <v>65518</v>
      </c>
      <c r="X161" s="464">
        <v>15013</v>
      </c>
    </row>
    <row r="162" spans="1:24">
      <c r="A162" s="458">
        <v>91421</v>
      </c>
      <c r="B162" s="459" t="s">
        <v>871</v>
      </c>
      <c r="C162" s="463">
        <v>9.5849999999999999E-5</v>
      </c>
      <c r="D162" s="463">
        <v>8.0099999999999995E-5</v>
      </c>
      <c r="E162" s="464">
        <v>634823</v>
      </c>
      <c r="F162" s="464"/>
      <c r="G162" s="461">
        <v>70738</v>
      </c>
      <c r="H162" s="461">
        <v>169906</v>
      </c>
      <c r="I162" s="461">
        <v>26976</v>
      </c>
      <c r="J162" s="464">
        <v>53207</v>
      </c>
      <c r="K162" s="464">
        <v>320827</v>
      </c>
      <c r="L162" s="464"/>
      <c r="M162" s="461">
        <v>1523</v>
      </c>
      <c r="N162" s="461">
        <v>0</v>
      </c>
      <c r="O162" s="461">
        <v>0</v>
      </c>
      <c r="P162" s="464">
        <v>937</v>
      </c>
      <c r="Q162" s="464">
        <v>2460</v>
      </c>
      <c r="R162" s="464"/>
      <c r="S162" s="461">
        <v>182339</v>
      </c>
      <c r="T162" s="462">
        <v>21935</v>
      </c>
      <c r="U162" s="462">
        <v>204274</v>
      </c>
      <c r="W162" s="464">
        <v>1099806</v>
      </c>
      <c r="X162" s="464">
        <v>252005</v>
      </c>
    </row>
    <row r="163" spans="1:24">
      <c r="A163" s="458">
        <v>91423</v>
      </c>
      <c r="B163" s="459" t="s">
        <v>872</v>
      </c>
      <c r="C163" s="463">
        <v>5.8350000000000002E-5</v>
      </c>
      <c r="D163" s="463">
        <v>5.6400000000000002E-5</v>
      </c>
      <c r="E163" s="464">
        <v>386457</v>
      </c>
      <c r="F163" s="464"/>
      <c r="G163" s="461">
        <v>43063</v>
      </c>
      <c r="H163" s="461">
        <v>103433</v>
      </c>
      <c r="I163" s="461">
        <v>16422</v>
      </c>
      <c r="J163" s="464">
        <v>1366</v>
      </c>
      <c r="K163" s="464">
        <v>164284</v>
      </c>
      <c r="L163" s="464"/>
      <c r="M163" s="461">
        <v>927</v>
      </c>
      <c r="N163" s="461">
        <v>0</v>
      </c>
      <c r="O163" s="461">
        <v>0</v>
      </c>
      <c r="P163" s="464">
        <v>7377</v>
      </c>
      <c r="Q163" s="464">
        <v>8304</v>
      </c>
      <c r="R163" s="464"/>
      <c r="S163" s="461">
        <v>111001</v>
      </c>
      <c r="T163" s="462">
        <v>-1732</v>
      </c>
      <c r="U163" s="462">
        <v>109269</v>
      </c>
      <c r="W163" s="464">
        <v>669522</v>
      </c>
      <c r="X163" s="464">
        <v>153412</v>
      </c>
    </row>
    <row r="164" spans="1:24">
      <c r="A164" s="458">
        <v>91431</v>
      </c>
      <c r="B164" s="459" t="s">
        <v>873</v>
      </c>
      <c r="C164" s="463">
        <v>1.6783999999999999E-4</v>
      </c>
      <c r="D164" s="463">
        <v>2.0049999999999999E-4</v>
      </c>
      <c r="E164" s="464">
        <v>1111619</v>
      </c>
      <c r="F164" s="464"/>
      <c r="G164" s="461">
        <v>123867</v>
      </c>
      <c r="H164" s="461">
        <v>297518</v>
      </c>
      <c r="I164" s="461">
        <v>47237</v>
      </c>
      <c r="J164" s="464">
        <v>18289</v>
      </c>
      <c r="K164" s="464">
        <v>486911</v>
      </c>
      <c r="L164" s="464"/>
      <c r="M164" s="461">
        <v>2667</v>
      </c>
      <c r="N164" s="461">
        <v>0</v>
      </c>
      <c r="O164" s="461">
        <v>0</v>
      </c>
      <c r="P164" s="464">
        <v>74240</v>
      </c>
      <c r="Q164" s="464">
        <v>76907</v>
      </c>
      <c r="R164" s="464"/>
      <c r="S164" s="461">
        <v>319288</v>
      </c>
      <c r="T164" s="462">
        <v>-10395</v>
      </c>
      <c r="U164" s="462">
        <v>308893</v>
      </c>
      <c r="W164" s="464">
        <v>1925836</v>
      </c>
      <c r="X164" s="464">
        <v>441279</v>
      </c>
    </row>
    <row r="165" spans="1:24">
      <c r="A165" s="458">
        <v>91441</v>
      </c>
      <c r="B165" s="459" t="s">
        <v>874</v>
      </c>
      <c r="C165" s="463">
        <v>1.0149E-3</v>
      </c>
      <c r="D165" s="463">
        <v>9.5799999999999998E-4</v>
      </c>
      <c r="E165" s="464">
        <v>6721771</v>
      </c>
      <c r="F165" s="464"/>
      <c r="G165" s="461">
        <v>749004</v>
      </c>
      <c r="H165" s="461">
        <v>1799040</v>
      </c>
      <c r="I165" s="461">
        <v>285637</v>
      </c>
      <c r="J165" s="464">
        <v>11821</v>
      </c>
      <c r="K165" s="464">
        <v>2845502</v>
      </c>
      <c r="L165" s="464"/>
      <c r="M165" s="461">
        <v>16125</v>
      </c>
      <c r="N165" s="461">
        <v>0</v>
      </c>
      <c r="O165" s="461">
        <v>0</v>
      </c>
      <c r="P165" s="464">
        <v>92046</v>
      </c>
      <c r="Q165" s="464">
        <v>108171</v>
      </c>
      <c r="R165" s="464"/>
      <c r="S165" s="461">
        <v>1930680</v>
      </c>
      <c r="T165" s="462">
        <v>-106148</v>
      </c>
      <c r="U165" s="462">
        <v>1824532</v>
      </c>
      <c r="W165" s="464">
        <v>11645204</v>
      </c>
      <c r="X165" s="464">
        <v>2668340</v>
      </c>
    </row>
    <row r="166" spans="1:24">
      <c r="A166" s="458">
        <v>91451</v>
      </c>
      <c r="B166" s="459" t="s">
        <v>875</v>
      </c>
      <c r="C166" s="463">
        <v>1.4804799999999999E-3</v>
      </c>
      <c r="D166" s="463">
        <v>1.4751E-3</v>
      </c>
      <c r="E166" s="464">
        <v>9805348</v>
      </c>
      <c r="F166" s="464"/>
      <c r="G166" s="461">
        <v>1092606</v>
      </c>
      <c r="H166" s="461">
        <v>2624340</v>
      </c>
      <c r="I166" s="461">
        <v>416671</v>
      </c>
      <c r="J166" s="464">
        <v>26345</v>
      </c>
      <c r="K166" s="464">
        <v>4159962</v>
      </c>
      <c r="L166" s="464"/>
      <c r="M166" s="461">
        <v>23522</v>
      </c>
      <c r="N166" s="461">
        <v>0</v>
      </c>
      <c r="O166" s="461">
        <v>0</v>
      </c>
      <c r="P166" s="464">
        <v>49157</v>
      </c>
      <c r="Q166" s="464">
        <v>72679</v>
      </c>
      <c r="R166" s="464"/>
      <c r="S166" s="461">
        <v>2816369</v>
      </c>
      <c r="T166" s="462">
        <v>-24612</v>
      </c>
      <c r="U166" s="462">
        <v>2791757</v>
      </c>
      <c r="W166" s="464">
        <v>16987380</v>
      </c>
      <c r="X166" s="464">
        <v>3892426</v>
      </c>
    </row>
    <row r="167" spans="1:24">
      <c r="A167" s="458">
        <v>91457</v>
      </c>
      <c r="B167" s="459" t="s">
        <v>876</v>
      </c>
      <c r="C167" s="463">
        <v>1.7750000000000001E-5</v>
      </c>
      <c r="D167" s="463">
        <v>1.8700000000000001E-5</v>
      </c>
      <c r="E167" s="464">
        <v>117560</v>
      </c>
      <c r="F167" s="464"/>
      <c r="G167" s="461">
        <v>13100</v>
      </c>
      <c r="H167" s="461">
        <v>31464</v>
      </c>
      <c r="I167" s="461">
        <v>4996</v>
      </c>
      <c r="J167" s="464">
        <v>24909</v>
      </c>
      <c r="K167" s="464">
        <v>74469</v>
      </c>
      <c r="L167" s="464"/>
      <c r="M167" s="461">
        <v>282</v>
      </c>
      <c r="N167" s="461">
        <v>0</v>
      </c>
      <c r="O167" s="461">
        <v>0</v>
      </c>
      <c r="P167" s="464">
        <v>0</v>
      </c>
      <c r="Q167" s="464">
        <v>282</v>
      </c>
      <c r="R167" s="464"/>
      <c r="S167" s="461">
        <v>33766</v>
      </c>
      <c r="T167" s="462">
        <v>20965</v>
      </c>
      <c r="U167" s="462">
        <v>54731</v>
      </c>
      <c r="W167" s="464">
        <v>203668</v>
      </c>
      <c r="X167" s="464">
        <v>46668</v>
      </c>
    </row>
    <row r="168" spans="1:24">
      <c r="A168" s="458">
        <v>91461</v>
      </c>
      <c r="B168" s="459" t="s">
        <v>877</v>
      </c>
      <c r="C168" s="463">
        <v>0</v>
      </c>
      <c r="D168" s="463">
        <v>0</v>
      </c>
      <c r="E168" s="464">
        <v>0</v>
      </c>
      <c r="F168" s="464"/>
      <c r="G168" s="461">
        <v>0</v>
      </c>
      <c r="H168" s="461">
        <v>0</v>
      </c>
      <c r="I168" s="461">
        <v>0</v>
      </c>
      <c r="J168" s="464">
        <v>0</v>
      </c>
      <c r="K168" s="464">
        <v>0</v>
      </c>
      <c r="L168" s="464"/>
      <c r="M168" s="461">
        <v>0</v>
      </c>
      <c r="N168" s="461">
        <v>0</v>
      </c>
      <c r="O168" s="461">
        <v>0</v>
      </c>
      <c r="P168" s="464">
        <v>0</v>
      </c>
      <c r="Q168" s="464">
        <v>0</v>
      </c>
      <c r="R168" s="464"/>
      <c r="S168" s="461">
        <v>0</v>
      </c>
      <c r="T168" s="462">
        <v>-4476</v>
      </c>
      <c r="U168" s="462">
        <v>-4476</v>
      </c>
      <c r="W168" s="464">
        <v>0</v>
      </c>
      <c r="X168" s="464">
        <v>0</v>
      </c>
    </row>
    <row r="169" spans="1:24">
      <c r="A169" s="458">
        <v>91501</v>
      </c>
      <c r="B169" s="459" t="s">
        <v>878</v>
      </c>
      <c r="C169" s="463">
        <v>4.7812000000000001E-4</v>
      </c>
      <c r="D169" s="463">
        <v>4.841E-4</v>
      </c>
      <c r="E169" s="464">
        <v>3166630</v>
      </c>
      <c r="F169" s="464"/>
      <c r="G169" s="461">
        <v>352856</v>
      </c>
      <c r="H169" s="461">
        <v>847529</v>
      </c>
      <c r="I169" s="461">
        <v>134564</v>
      </c>
      <c r="J169" s="464">
        <v>7178</v>
      </c>
      <c r="K169" s="464">
        <v>1342127</v>
      </c>
      <c r="L169" s="464"/>
      <c r="M169" s="461">
        <v>7596</v>
      </c>
      <c r="N169" s="461">
        <v>0</v>
      </c>
      <c r="O169" s="461">
        <v>0</v>
      </c>
      <c r="P169" s="464">
        <v>23300</v>
      </c>
      <c r="Q169" s="464">
        <v>30896</v>
      </c>
      <c r="R169" s="464"/>
      <c r="S169" s="461">
        <v>909544</v>
      </c>
      <c r="T169" s="462">
        <v>-5369</v>
      </c>
      <c r="U169" s="462">
        <v>904175</v>
      </c>
      <c r="W169" s="464">
        <v>5486063</v>
      </c>
      <c r="X169" s="464">
        <v>1257056</v>
      </c>
    </row>
    <row r="170" spans="1:24">
      <c r="A170" s="458">
        <v>91504</v>
      </c>
      <c r="B170" s="459" t="s">
        <v>879</v>
      </c>
      <c r="C170" s="463">
        <v>7.0500000000000003E-6</v>
      </c>
      <c r="D170" s="463">
        <v>9.5999999999999996E-6</v>
      </c>
      <c r="E170" s="464">
        <v>46693</v>
      </c>
      <c r="F170" s="464"/>
      <c r="G170" s="461">
        <v>5203</v>
      </c>
      <c r="H170" s="461">
        <v>12497</v>
      </c>
      <c r="I170" s="461">
        <v>1984</v>
      </c>
      <c r="J170" s="464">
        <v>4811</v>
      </c>
      <c r="K170" s="464">
        <v>24495</v>
      </c>
      <c r="L170" s="464"/>
      <c r="M170" s="461">
        <v>112</v>
      </c>
      <c r="N170" s="461">
        <v>0</v>
      </c>
      <c r="O170" s="461">
        <v>0</v>
      </c>
      <c r="P170" s="464">
        <v>1658</v>
      </c>
      <c r="Q170" s="464">
        <v>1770</v>
      </c>
      <c r="R170" s="464"/>
      <c r="S170" s="461">
        <v>13411</v>
      </c>
      <c r="T170" s="462">
        <v>3675</v>
      </c>
      <c r="U170" s="462">
        <v>17086</v>
      </c>
      <c r="W170" s="464">
        <v>80893</v>
      </c>
      <c r="X170" s="464">
        <v>18536</v>
      </c>
    </row>
    <row r="171" spans="1:24">
      <c r="A171" s="458">
        <v>91601</v>
      </c>
      <c r="B171" s="459" t="s">
        <v>880</v>
      </c>
      <c r="C171" s="463">
        <v>3.0380099999999998E-3</v>
      </c>
      <c r="D171" s="463">
        <v>2.9313E-3</v>
      </c>
      <c r="E171" s="464">
        <v>20121005</v>
      </c>
      <c r="F171" s="464"/>
      <c r="G171" s="461">
        <v>2242076</v>
      </c>
      <c r="H171" s="461">
        <v>5385262</v>
      </c>
      <c r="I171" s="461">
        <v>855027</v>
      </c>
      <c r="J171" s="464">
        <v>508083</v>
      </c>
      <c r="K171" s="464">
        <v>8990448</v>
      </c>
      <c r="L171" s="464"/>
      <c r="M171" s="461">
        <v>48268</v>
      </c>
      <c r="N171" s="461">
        <v>0</v>
      </c>
      <c r="O171" s="461">
        <v>0</v>
      </c>
      <c r="P171" s="464">
        <v>0</v>
      </c>
      <c r="Q171" s="464">
        <v>48268</v>
      </c>
      <c r="R171" s="464"/>
      <c r="S171" s="461">
        <v>5779313</v>
      </c>
      <c r="T171" s="462">
        <v>243238</v>
      </c>
      <c r="U171" s="462">
        <v>6022551</v>
      </c>
      <c r="W171" s="464">
        <v>34858850</v>
      </c>
      <c r="X171" s="464">
        <v>7987430</v>
      </c>
    </row>
    <row r="172" spans="1:24">
      <c r="A172" s="458">
        <v>91604</v>
      </c>
      <c r="B172" s="459" t="s">
        <v>881</v>
      </c>
      <c r="C172" s="463">
        <v>8.3010000000000007E-5</v>
      </c>
      <c r="D172" s="463">
        <v>8.0099999999999995E-5</v>
      </c>
      <c r="E172" s="464">
        <v>549782</v>
      </c>
      <c r="F172" s="464"/>
      <c r="G172" s="461">
        <v>61262</v>
      </c>
      <c r="H172" s="461">
        <v>147146</v>
      </c>
      <c r="I172" s="461">
        <v>23363</v>
      </c>
      <c r="J172" s="464">
        <v>39820</v>
      </c>
      <c r="K172" s="464">
        <v>271591</v>
      </c>
      <c r="L172" s="464"/>
      <c r="M172" s="461">
        <v>1319</v>
      </c>
      <c r="N172" s="461">
        <v>0</v>
      </c>
      <c r="O172" s="461">
        <v>0</v>
      </c>
      <c r="P172" s="464">
        <v>0</v>
      </c>
      <c r="Q172" s="464">
        <v>1319</v>
      </c>
      <c r="R172" s="464"/>
      <c r="S172" s="461">
        <v>157913</v>
      </c>
      <c r="T172" s="462">
        <v>24109</v>
      </c>
      <c r="U172" s="462">
        <v>182022</v>
      </c>
      <c r="W172" s="464">
        <v>952476</v>
      </c>
      <c r="X172" s="464">
        <v>218247</v>
      </c>
    </row>
    <row r="173" spans="1:24">
      <c r="A173" s="458">
        <v>91608</v>
      </c>
      <c r="B173" s="459" t="s">
        <v>882</v>
      </c>
      <c r="C173" s="463">
        <v>1.9634000000000001E-4</v>
      </c>
      <c r="D173" s="463">
        <v>1.7569999999999999E-4</v>
      </c>
      <c r="E173" s="464">
        <v>1300377</v>
      </c>
      <c r="F173" s="464"/>
      <c r="G173" s="461">
        <v>144900</v>
      </c>
      <c r="H173" s="461">
        <v>348038</v>
      </c>
      <c r="I173" s="461">
        <v>55259</v>
      </c>
      <c r="J173" s="464">
        <v>42260</v>
      </c>
      <c r="K173" s="464">
        <v>590457</v>
      </c>
      <c r="L173" s="464"/>
      <c r="M173" s="461">
        <v>3119</v>
      </c>
      <c r="N173" s="461">
        <v>0</v>
      </c>
      <c r="O173" s="461">
        <v>0</v>
      </c>
      <c r="P173" s="464">
        <v>26935</v>
      </c>
      <c r="Q173" s="464">
        <v>30054</v>
      </c>
      <c r="R173" s="464"/>
      <c r="S173" s="461">
        <v>373504</v>
      </c>
      <c r="T173" s="462">
        <v>-8121</v>
      </c>
      <c r="U173" s="462">
        <v>365383</v>
      </c>
      <c r="W173" s="464">
        <v>2252852</v>
      </c>
      <c r="X173" s="464">
        <v>516210</v>
      </c>
    </row>
    <row r="174" spans="1:24">
      <c r="A174" s="458">
        <v>91611</v>
      </c>
      <c r="B174" s="459" t="s">
        <v>883</v>
      </c>
      <c r="C174" s="463">
        <v>1.3005E-3</v>
      </c>
      <c r="D174" s="463">
        <v>1.4395E-3</v>
      </c>
      <c r="E174" s="464">
        <v>8613325</v>
      </c>
      <c r="F174" s="464"/>
      <c r="G174" s="461">
        <v>959779</v>
      </c>
      <c r="H174" s="461">
        <v>2305303</v>
      </c>
      <c r="I174" s="461">
        <v>366017</v>
      </c>
      <c r="J174" s="464">
        <v>124006</v>
      </c>
      <c r="K174" s="464">
        <v>3755105</v>
      </c>
      <c r="L174" s="464"/>
      <c r="M174" s="461">
        <v>20662</v>
      </c>
      <c r="N174" s="461">
        <v>0</v>
      </c>
      <c r="O174" s="461">
        <v>0</v>
      </c>
      <c r="P174" s="464">
        <v>558692</v>
      </c>
      <c r="Q174" s="464">
        <v>579354</v>
      </c>
      <c r="R174" s="464"/>
      <c r="S174" s="461">
        <v>2473987</v>
      </c>
      <c r="T174" s="462">
        <v>-237568</v>
      </c>
      <c r="U174" s="462">
        <v>2236419</v>
      </c>
      <c r="W174" s="464">
        <v>14922247</v>
      </c>
      <c r="X174" s="464">
        <v>3419229</v>
      </c>
    </row>
    <row r="175" spans="1:24">
      <c r="A175" s="458">
        <v>91621</v>
      </c>
      <c r="B175" s="459" t="s">
        <v>884</v>
      </c>
      <c r="C175" s="463">
        <v>3.0152E-4</v>
      </c>
      <c r="D175" s="463">
        <v>3.4210000000000002E-4</v>
      </c>
      <c r="E175" s="464">
        <v>1996993</v>
      </c>
      <c r="F175" s="464"/>
      <c r="G175" s="461">
        <v>222524</v>
      </c>
      <c r="H175" s="461">
        <v>534483</v>
      </c>
      <c r="I175" s="461">
        <v>84861</v>
      </c>
      <c r="J175" s="464">
        <v>32292</v>
      </c>
      <c r="K175" s="464">
        <v>874160</v>
      </c>
      <c r="L175" s="464"/>
      <c r="M175" s="461">
        <v>4791</v>
      </c>
      <c r="N175" s="461">
        <v>0</v>
      </c>
      <c r="O175" s="461">
        <v>0</v>
      </c>
      <c r="P175" s="464">
        <v>129834</v>
      </c>
      <c r="Q175" s="464">
        <v>134625</v>
      </c>
      <c r="R175" s="464"/>
      <c r="S175" s="461">
        <v>573592</v>
      </c>
      <c r="T175" s="462">
        <v>-7568</v>
      </c>
      <c r="U175" s="462">
        <v>566024</v>
      </c>
      <c r="W175" s="464">
        <v>3459712</v>
      </c>
      <c r="X175" s="464">
        <v>792746</v>
      </c>
    </row>
    <row r="176" spans="1:24">
      <c r="A176" s="458">
        <v>91631</v>
      </c>
      <c r="B176" s="459" t="s">
        <v>885</v>
      </c>
      <c r="C176" s="463">
        <v>6.6217000000000001E-4</v>
      </c>
      <c r="D176" s="463">
        <v>6.3690000000000003E-4</v>
      </c>
      <c r="E176" s="464">
        <v>4385610</v>
      </c>
      <c r="F176" s="464"/>
      <c r="G176" s="461">
        <v>488687</v>
      </c>
      <c r="H176" s="461">
        <v>1173781</v>
      </c>
      <c r="I176" s="461">
        <v>186363</v>
      </c>
      <c r="J176" s="464">
        <v>37842</v>
      </c>
      <c r="K176" s="464">
        <v>1886673</v>
      </c>
      <c r="L176" s="464"/>
      <c r="M176" s="461">
        <v>10521</v>
      </c>
      <c r="N176" s="461">
        <v>0</v>
      </c>
      <c r="O176" s="461">
        <v>0</v>
      </c>
      <c r="P176" s="464">
        <v>31365</v>
      </c>
      <c r="Q176" s="464">
        <v>41886</v>
      </c>
      <c r="R176" s="464"/>
      <c r="S176" s="461">
        <v>1259669</v>
      </c>
      <c r="T176" s="462">
        <v>10555</v>
      </c>
      <c r="U176" s="462">
        <v>1270224</v>
      </c>
      <c r="W176" s="464">
        <v>7597896</v>
      </c>
      <c r="X176" s="464">
        <v>1740954</v>
      </c>
    </row>
    <row r="177" spans="1:24">
      <c r="A177" s="458">
        <v>91633</v>
      </c>
      <c r="B177" s="459" t="s">
        <v>886</v>
      </c>
      <c r="C177" s="463">
        <v>2.5740000000000001E-5</v>
      </c>
      <c r="D177" s="463">
        <v>3.6000000000000001E-5</v>
      </c>
      <c r="E177" s="464">
        <v>170478</v>
      </c>
      <c r="F177" s="464"/>
      <c r="G177" s="461">
        <v>18996</v>
      </c>
      <c r="H177" s="461">
        <v>45627</v>
      </c>
      <c r="I177" s="461">
        <v>7244</v>
      </c>
      <c r="J177" s="464">
        <v>40919</v>
      </c>
      <c r="K177" s="464">
        <v>112786</v>
      </c>
      <c r="L177" s="464"/>
      <c r="M177" s="461">
        <v>409</v>
      </c>
      <c r="N177" s="461">
        <v>0</v>
      </c>
      <c r="O177" s="461">
        <v>0</v>
      </c>
      <c r="P177" s="464">
        <v>45093</v>
      </c>
      <c r="Q177" s="464">
        <v>45502</v>
      </c>
      <c r="R177" s="464"/>
      <c r="S177" s="461">
        <v>48966</v>
      </c>
      <c r="T177" s="462">
        <v>-2970</v>
      </c>
      <c r="U177" s="462">
        <v>45996</v>
      </c>
      <c r="W177" s="464">
        <v>295347</v>
      </c>
      <c r="X177" s="464">
        <v>67675</v>
      </c>
    </row>
    <row r="178" spans="1:24">
      <c r="A178" s="458">
        <v>91641</v>
      </c>
      <c r="B178" s="459" t="s">
        <v>887</v>
      </c>
      <c r="C178" s="463">
        <v>3.3729000000000002E-4</v>
      </c>
      <c r="D178" s="463">
        <v>3.2289999999999999E-4</v>
      </c>
      <c r="E178" s="464">
        <v>2233901</v>
      </c>
      <c r="F178" s="464"/>
      <c r="G178" s="461">
        <v>248923</v>
      </c>
      <c r="H178" s="461">
        <v>597890</v>
      </c>
      <c r="I178" s="461">
        <v>94928</v>
      </c>
      <c r="J178" s="464">
        <v>23689</v>
      </c>
      <c r="K178" s="464">
        <v>965430</v>
      </c>
      <c r="L178" s="464"/>
      <c r="M178" s="461">
        <v>5359</v>
      </c>
      <c r="N178" s="461">
        <v>0</v>
      </c>
      <c r="O178" s="461">
        <v>0</v>
      </c>
      <c r="P178" s="464">
        <v>13604</v>
      </c>
      <c r="Q178" s="464">
        <v>18963</v>
      </c>
      <c r="R178" s="464"/>
      <c r="S178" s="461">
        <v>641639</v>
      </c>
      <c r="T178" s="462">
        <v>5024</v>
      </c>
      <c r="U178" s="462">
        <v>646663</v>
      </c>
      <c r="W178" s="464">
        <v>3870146</v>
      </c>
      <c r="X178" s="464">
        <v>886791</v>
      </c>
    </row>
    <row r="179" spans="1:24">
      <c r="A179" s="458">
        <v>91651</v>
      </c>
      <c r="B179" s="459" t="s">
        <v>888</v>
      </c>
      <c r="C179" s="463">
        <v>5.6260000000000001E-4</v>
      </c>
      <c r="D179" s="463">
        <v>5.6240000000000001E-4</v>
      </c>
      <c r="E179" s="464">
        <v>3726149</v>
      </c>
      <c r="F179" s="464"/>
      <c r="G179" s="461">
        <v>415203</v>
      </c>
      <c r="H179" s="461">
        <v>997281</v>
      </c>
      <c r="I179" s="461">
        <v>158340</v>
      </c>
      <c r="J179" s="464">
        <v>19574</v>
      </c>
      <c r="K179" s="464">
        <v>1590398</v>
      </c>
      <c r="L179" s="464"/>
      <c r="M179" s="461">
        <v>8939</v>
      </c>
      <c r="N179" s="461">
        <v>0</v>
      </c>
      <c r="O179" s="461">
        <v>0</v>
      </c>
      <c r="P179" s="464">
        <v>48051</v>
      </c>
      <c r="Q179" s="464">
        <v>56990</v>
      </c>
      <c r="R179" s="464"/>
      <c r="S179" s="461">
        <v>1070254</v>
      </c>
      <c r="T179" s="462">
        <v>4665</v>
      </c>
      <c r="U179" s="462">
        <v>1074919</v>
      </c>
      <c r="W179" s="464">
        <v>6455406</v>
      </c>
      <c r="X179" s="464">
        <v>1479168</v>
      </c>
    </row>
    <row r="180" spans="1:24">
      <c r="A180" s="458">
        <v>91661</v>
      </c>
      <c r="B180" s="459" t="s">
        <v>889</v>
      </c>
      <c r="C180" s="463">
        <v>1.7312999999999999E-4</v>
      </c>
      <c r="D180" s="463">
        <v>2.063E-4</v>
      </c>
      <c r="E180" s="464">
        <v>1146655</v>
      </c>
      <c r="F180" s="464"/>
      <c r="G180" s="461">
        <v>127771</v>
      </c>
      <c r="H180" s="461">
        <v>306895</v>
      </c>
      <c r="I180" s="461">
        <v>48726</v>
      </c>
      <c r="J180" s="464">
        <v>15458</v>
      </c>
      <c r="K180" s="464">
        <v>498850</v>
      </c>
      <c r="L180" s="464"/>
      <c r="M180" s="461">
        <v>2751</v>
      </c>
      <c r="N180" s="461">
        <v>0</v>
      </c>
      <c r="O180" s="461">
        <v>0</v>
      </c>
      <c r="P180" s="464">
        <v>141686</v>
      </c>
      <c r="Q180" s="464">
        <v>144437</v>
      </c>
      <c r="R180" s="464"/>
      <c r="S180" s="461">
        <v>329351</v>
      </c>
      <c r="T180" s="462">
        <v>-56984</v>
      </c>
      <c r="U180" s="462">
        <v>272367</v>
      </c>
      <c r="W180" s="464">
        <v>1986535</v>
      </c>
      <c r="X180" s="464">
        <v>455187</v>
      </c>
    </row>
    <row r="181" spans="1:24">
      <c r="A181" s="458">
        <v>91671</v>
      </c>
      <c r="B181" s="459" t="s">
        <v>890</v>
      </c>
      <c r="C181" s="463">
        <v>8.5870000000000003E-5</v>
      </c>
      <c r="D181" s="463">
        <v>1.0069999999999999E-4</v>
      </c>
      <c r="E181" s="464">
        <v>568724</v>
      </c>
      <c r="F181" s="464"/>
      <c r="G181" s="461">
        <v>63373</v>
      </c>
      <c r="H181" s="461">
        <v>152216</v>
      </c>
      <c r="I181" s="461">
        <v>24168</v>
      </c>
      <c r="J181" s="464">
        <v>2330</v>
      </c>
      <c r="K181" s="464">
        <v>242087</v>
      </c>
      <c r="L181" s="464"/>
      <c r="M181" s="461">
        <v>1364</v>
      </c>
      <c r="N181" s="461">
        <v>0</v>
      </c>
      <c r="O181" s="461">
        <v>0</v>
      </c>
      <c r="P181" s="464">
        <v>37647</v>
      </c>
      <c r="Q181" s="464">
        <v>39011</v>
      </c>
      <c r="R181" s="464"/>
      <c r="S181" s="461">
        <v>163354</v>
      </c>
      <c r="T181" s="462">
        <v>-21606</v>
      </c>
      <c r="U181" s="462">
        <v>141748</v>
      </c>
      <c r="W181" s="464">
        <v>985293</v>
      </c>
      <c r="X181" s="464">
        <v>225766</v>
      </c>
    </row>
    <row r="182" spans="1:24">
      <c r="A182" s="458">
        <v>91681</v>
      </c>
      <c r="B182" s="459" t="s">
        <v>891</v>
      </c>
      <c r="C182" s="463">
        <v>4.4673E-4</v>
      </c>
      <c r="D182" s="463">
        <v>4.484E-4</v>
      </c>
      <c r="E182" s="464">
        <v>2958732</v>
      </c>
      <c r="F182" s="464"/>
      <c r="G182" s="461">
        <v>329690</v>
      </c>
      <c r="H182" s="461">
        <v>791886</v>
      </c>
      <c r="I182" s="461">
        <v>125729</v>
      </c>
      <c r="J182" s="464">
        <v>302557</v>
      </c>
      <c r="K182" s="464">
        <v>1549862</v>
      </c>
      <c r="L182" s="464"/>
      <c r="M182" s="461">
        <v>7098</v>
      </c>
      <c r="N182" s="461">
        <v>0</v>
      </c>
      <c r="O182" s="461">
        <v>0</v>
      </c>
      <c r="P182" s="464">
        <v>4547</v>
      </c>
      <c r="Q182" s="464">
        <v>11645</v>
      </c>
      <c r="R182" s="464"/>
      <c r="S182" s="461">
        <v>849830</v>
      </c>
      <c r="T182" s="462">
        <v>172685</v>
      </c>
      <c r="U182" s="462">
        <v>1022515</v>
      </c>
      <c r="W182" s="464">
        <v>5125886</v>
      </c>
      <c r="X182" s="464">
        <v>1174527</v>
      </c>
    </row>
    <row r="183" spans="1:24">
      <c r="A183" s="458">
        <v>91691</v>
      </c>
      <c r="B183" s="459" t="s">
        <v>892</v>
      </c>
      <c r="C183" s="463">
        <v>4.002E-5</v>
      </c>
      <c r="D183" s="463">
        <v>3.5099999999999999E-5</v>
      </c>
      <c r="E183" s="464">
        <v>265056</v>
      </c>
      <c r="F183" s="464"/>
      <c r="G183" s="461">
        <v>29535</v>
      </c>
      <c r="H183" s="461">
        <v>70941</v>
      </c>
      <c r="I183" s="461">
        <v>11263</v>
      </c>
      <c r="J183" s="464">
        <v>21776</v>
      </c>
      <c r="K183" s="464">
        <v>133515</v>
      </c>
      <c r="L183" s="464"/>
      <c r="M183" s="461">
        <v>636</v>
      </c>
      <c r="N183" s="461">
        <v>0</v>
      </c>
      <c r="O183" s="461">
        <v>0</v>
      </c>
      <c r="P183" s="464">
        <v>903</v>
      </c>
      <c r="Q183" s="464">
        <v>1539</v>
      </c>
      <c r="R183" s="464"/>
      <c r="S183" s="461">
        <v>76131</v>
      </c>
      <c r="T183" s="462">
        <v>12777</v>
      </c>
      <c r="U183" s="462">
        <v>88908</v>
      </c>
      <c r="W183" s="464">
        <v>459199</v>
      </c>
      <c r="X183" s="464">
        <v>105219</v>
      </c>
    </row>
    <row r="184" spans="1:24">
      <c r="A184" s="458">
        <v>91701</v>
      </c>
      <c r="B184" s="459" t="s">
        <v>893</v>
      </c>
      <c r="C184" s="463">
        <v>1.0649399999999999E-3</v>
      </c>
      <c r="D184" s="463">
        <v>1.2080000000000001E-3</v>
      </c>
      <c r="E184" s="464">
        <v>7053190</v>
      </c>
      <c r="F184" s="464"/>
      <c r="G184" s="461">
        <v>785934</v>
      </c>
      <c r="H184" s="461">
        <v>1887742</v>
      </c>
      <c r="I184" s="461">
        <v>299720</v>
      </c>
      <c r="J184" s="464">
        <v>95344</v>
      </c>
      <c r="K184" s="464">
        <v>3068740</v>
      </c>
      <c r="L184" s="464"/>
      <c r="M184" s="461">
        <v>16920</v>
      </c>
      <c r="N184" s="461">
        <v>0</v>
      </c>
      <c r="O184" s="461">
        <v>0</v>
      </c>
      <c r="P184" s="464">
        <v>651161</v>
      </c>
      <c r="Q184" s="464">
        <v>668081</v>
      </c>
      <c r="R184" s="464"/>
      <c r="S184" s="461">
        <v>2025873</v>
      </c>
      <c r="T184" s="462">
        <v>-249849</v>
      </c>
      <c r="U184" s="462">
        <v>1776024</v>
      </c>
      <c r="W184" s="464">
        <v>12219375</v>
      </c>
      <c r="X184" s="464">
        <v>2799903</v>
      </c>
    </row>
    <row r="185" spans="1:24">
      <c r="A185" s="458">
        <v>91704</v>
      </c>
      <c r="B185" s="459" t="s">
        <v>894</v>
      </c>
      <c r="C185" s="463">
        <v>1.6929999999999999E-5</v>
      </c>
      <c r="D185" s="463">
        <v>1.7799999999999999E-5</v>
      </c>
      <c r="E185" s="464">
        <v>112129</v>
      </c>
      <c r="F185" s="464"/>
      <c r="G185" s="461">
        <v>12494</v>
      </c>
      <c r="H185" s="461">
        <v>30011</v>
      </c>
      <c r="I185" s="461">
        <v>4765</v>
      </c>
      <c r="J185" s="464">
        <v>4359</v>
      </c>
      <c r="K185" s="464">
        <v>51629</v>
      </c>
      <c r="L185" s="464"/>
      <c r="M185" s="461">
        <v>269</v>
      </c>
      <c r="N185" s="461">
        <v>0</v>
      </c>
      <c r="O185" s="461">
        <v>0</v>
      </c>
      <c r="P185" s="464">
        <v>0</v>
      </c>
      <c r="Q185" s="464">
        <v>269</v>
      </c>
      <c r="R185" s="464"/>
      <c r="S185" s="461">
        <v>32207</v>
      </c>
      <c r="T185" s="462">
        <v>2492</v>
      </c>
      <c r="U185" s="462">
        <v>34699</v>
      </c>
      <c r="W185" s="464">
        <v>194259</v>
      </c>
      <c r="X185" s="464">
        <v>44512</v>
      </c>
    </row>
    <row r="186" spans="1:24">
      <c r="A186" s="458">
        <v>91706</v>
      </c>
      <c r="B186" s="459" t="s">
        <v>895</v>
      </c>
      <c r="C186" s="463">
        <v>1.9394E-4</v>
      </c>
      <c r="D186" s="463">
        <v>2.042E-4</v>
      </c>
      <c r="E186" s="464">
        <v>1284481</v>
      </c>
      <c r="F186" s="464"/>
      <c r="G186" s="461">
        <v>143129</v>
      </c>
      <c r="H186" s="461">
        <v>343783</v>
      </c>
      <c r="I186" s="461">
        <v>54583</v>
      </c>
      <c r="J186" s="464">
        <v>13227</v>
      </c>
      <c r="K186" s="464">
        <v>554722</v>
      </c>
      <c r="L186" s="464"/>
      <c r="M186" s="461">
        <v>3081</v>
      </c>
      <c r="N186" s="461">
        <v>0</v>
      </c>
      <c r="O186" s="461">
        <v>0</v>
      </c>
      <c r="P186" s="464">
        <v>45609</v>
      </c>
      <c r="Q186" s="464">
        <v>48690</v>
      </c>
      <c r="R186" s="464"/>
      <c r="S186" s="461">
        <v>368939</v>
      </c>
      <c r="T186" s="462">
        <v>-21685</v>
      </c>
      <c r="U186" s="462">
        <v>347254</v>
      </c>
      <c r="W186" s="464">
        <v>2225314</v>
      </c>
      <c r="X186" s="464">
        <v>509900</v>
      </c>
    </row>
    <row r="187" spans="1:24">
      <c r="A187" s="458">
        <v>91719</v>
      </c>
      <c r="B187" s="459" t="s">
        <v>896</v>
      </c>
      <c r="C187" s="463">
        <v>2.9799999999999999E-5</v>
      </c>
      <c r="D187" s="463">
        <v>3.7200000000000003E-5</v>
      </c>
      <c r="E187" s="464">
        <v>197368</v>
      </c>
      <c r="F187" s="464"/>
      <c r="G187" s="461">
        <v>21993</v>
      </c>
      <c r="H187" s="461">
        <v>52824</v>
      </c>
      <c r="I187" s="461">
        <v>8387</v>
      </c>
      <c r="J187" s="464">
        <v>0</v>
      </c>
      <c r="K187" s="464">
        <v>83204</v>
      </c>
      <c r="L187" s="464"/>
      <c r="M187" s="461">
        <v>473</v>
      </c>
      <c r="N187" s="461">
        <v>0</v>
      </c>
      <c r="O187" s="461">
        <v>0</v>
      </c>
      <c r="P187" s="464">
        <v>38915</v>
      </c>
      <c r="Q187" s="464">
        <v>39388</v>
      </c>
      <c r="R187" s="464"/>
      <c r="S187" s="461">
        <v>56690</v>
      </c>
      <c r="T187" s="462">
        <v>-21502</v>
      </c>
      <c r="U187" s="462">
        <v>35188</v>
      </c>
      <c r="W187" s="464">
        <v>341932</v>
      </c>
      <c r="X187" s="464">
        <v>78349</v>
      </c>
    </row>
    <row r="188" spans="1:24">
      <c r="A188" s="458">
        <v>91801</v>
      </c>
      <c r="B188" s="459" t="s">
        <v>897</v>
      </c>
      <c r="C188" s="463">
        <v>7.6984100000000001E-3</v>
      </c>
      <c r="D188" s="463">
        <v>7.7625999999999997E-3</v>
      </c>
      <c r="E188" s="464">
        <v>50987239</v>
      </c>
      <c r="F188" s="464"/>
      <c r="G188" s="461">
        <v>5681488</v>
      </c>
      <c r="H188" s="461">
        <v>13646417</v>
      </c>
      <c r="I188" s="461">
        <v>2166664</v>
      </c>
      <c r="J188" s="464">
        <v>124782</v>
      </c>
      <c r="K188" s="464">
        <v>21619351</v>
      </c>
      <c r="L188" s="464"/>
      <c r="M188" s="461">
        <v>122312</v>
      </c>
      <c r="N188" s="461">
        <v>0</v>
      </c>
      <c r="O188" s="461">
        <v>0</v>
      </c>
      <c r="P188" s="464">
        <v>132089</v>
      </c>
      <c r="Q188" s="464">
        <v>254401</v>
      </c>
      <c r="R188" s="464"/>
      <c r="S188" s="461">
        <v>14644955</v>
      </c>
      <c r="T188" s="462">
        <v>-2192</v>
      </c>
      <c r="U188" s="462">
        <v>14642763</v>
      </c>
      <c r="W188" s="464">
        <v>88333389</v>
      </c>
      <c r="X188" s="464">
        <v>20240390</v>
      </c>
    </row>
    <row r="189" spans="1:24">
      <c r="A189" s="458">
        <v>91804</v>
      </c>
      <c r="B189" s="459" t="s">
        <v>898</v>
      </c>
      <c r="C189" s="463">
        <v>2.0097999999999999E-4</v>
      </c>
      <c r="D189" s="463">
        <v>1.85E-4</v>
      </c>
      <c r="E189" s="464">
        <v>1331108</v>
      </c>
      <c r="F189" s="464"/>
      <c r="G189" s="461">
        <v>148325</v>
      </c>
      <c r="H189" s="461">
        <v>356263</v>
      </c>
      <c r="I189" s="461">
        <v>56564</v>
      </c>
      <c r="J189" s="464">
        <v>147082</v>
      </c>
      <c r="K189" s="464">
        <v>708234</v>
      </c>
      <c r="L189" s="464"/>
      <c r="M189" s="461">
        <v>3193</v>
      </c>
      <c r="N189" s="461">
        <v>0</v>
      </c>
      <c r="O189" s="461">
        <v>0</v>
      </c>
      <c r="P189" s="464">
        <v>0</v>
      </c>
      <c r="Q189" s="464">
        <v>3193</v>
      </c>
      <c r="R189" s="464"/>
      <c r="S189" s="461">
        <v>382331</v>
      </c>
      <c r="T189" s="462">
        <v>92888</v>
      </c>
      <c r="U189" s="462">
        <v>475219</v>
      </c>
      <c r="W189" s="464">
        <v>2306092</v>
      </c>
      <c r="X189" s="464">
        <v>528410</v>
      </c>
    </row>
    <row r="190" spans="1:24">
      <c r="A190" s="458">
        <v>91811</v>
      </c>
      <c r="B190" s="459" t="s">
        <v>899</v>
      </c>
      <c r="C190" s="463">
        <v>3.9909500000000001E-3</v>
      </c>
      <c r="D190" s="463">
        <v>4.0623999999999999E-3</v>
      </c>
      <c r="E190" s="464">
        <v>26432409</v>
      </c>
      <c r="F190" s="464"/>
      <c r="G190" s="461">
        <v>2945353</v>
      </c>
      <c r="H190" s="461">
        <v>7074470</v>
      </c>
      <c r="I190" s="461">
        <v>1123225</v>
      </c>
      <c r="J190" s="464">
        <v>77699</v>
      </c>
      <c r="K190" s="464">
        <v>11220747</v>
      </c>
      <c r="L190" s="464"/>
      <c r="M190" s="461">
        <v>63408</v>
      </c>
      <c r="N190" s="461">
        <v>0</v>
      </c>
      <c r="O190" s="461">
        <v>0</v>
      </c>
      <c r="P190" s="464">
        <v>334366</v>
      </c>
      <c r="Q190" s="464">
        <v>397774</v>
      </c>
      <c r="R190" s="464"/>
      <c r="S190" s="461">
        <v>7592124</v>
      </c>
      <c r="T190" s="462">
        <v>-178877</v>
      </c>
      <c r="U190" s="462">
        <v>7413247</v>
      </c>
      <c r="W190" s="464">
        <v>45793110</v>
      </c>
      <c r="X190" s="464">
        <v>10492866</v>
      </c>
    </row>
    <row r="191" spans="1:24">
      <c r="A191" s="458">
        <v>91812</v>
      </c>
      <c r="B191" s="459" t="s">
        <v>900</v>
      </c>
      <c r="C191" s="463">
        <v>6.3659999999999997E-5</v>
      </c>
      <c r="D191" s="463">
        <v>4.9400000000000001E-5</v>
      </c>
      <c r="E191" s="464">
        <v>421626</v>
      </c>
      <c r="F191" s="464"/>
      <c r="G191" s="461">
        <v>46982</v>
      </c>
      <c r="H191" s="461">
        <v>112845</v>
      </c>
      <c r="I191" s="461">
        <v>17917</v>
      </c>
      <c r="J191" s="464">
        <v>38476</v>
      </c>
      <c r="K191" s="464">
        <v>216220</v>
      </c>
      <c r="L191" s="464"/>
      <c r="M191" s="461">
        <v>1011</v>
      </c>
      <c r="N191" s="461">
        <v>0</v>
      </c>
      <c r="O191" s="461">
        <v>0</v>
      </c>
      <c r="P191" s="464">
        <v>6223</v>
      </c>
      <c r="Q191" s="464">
        <v>7234</v>
      </c>
      <c r="R191" s="464"/>
      <c r="S191" s="461">
        <v>121103</v>
      </c>
      <c r="T191" s="462">
        <v>15980</v>
      </c>
      <c r="U191" s="462">
        <v>137083</v>
      </c>
      <c r="W191" s="464">
        <v>730450</v>
      </c>
      <c r="X191" s="464">
        <v>167373</v>
      </c>
    </row>
    <row r="192" spans="1:24">
      <c r="A192" s="458">
        <v>91813</v>
      </c>
      <c r="B192" s="459" t="s">
        <v>901</v>
      </c>
      <c r="C192" s="463">
        <v>4.0290000000000002E-5</v>
      </c>
      <c r="D192" s="463">
        <v>6.7799999999999995E-5</v>
      </c>
      <c r="E192" s="464">
        <v>266844</v>
      </c>
      <c r="F192" s="464"/>
      <c r="G192" s="461">
        <v>29734</v>
      </c>
      <c r="H192" s="461">
        <v>71419</v>
      </c>
      <c r="I192" s="461">
        <v>11339</v>
      </c>
      <c r="J192" s="464">
        <v>1382</v>
      </c>
      <c r="K192" s="464">
        <v>113874</v>
      </c>
      <c r="L192" s="464"/>
      <c r="M192" s="461">
        <v>640</v>
      </c>
      <c r="N192" s="461">
        <v>0</v>
      </c>
      <c r="O192" s="461">
        <v>0</v>
      </c>
      <c r="P192" s="464">
        <v>52331</v>
      </c>
      <c r="Q192" s="464">
        <v>52971</v>
      </c>
      <c r="R192" s="464"/>
      <c r="S192" s="461">
        <v>76645</v>
      </c>
      <c r="T192" s="462">
        <v>-16344</v>
      </c>
      <c r="U192" s="462">
        <v>60301</v>
      </c>
      <c r="W192" s="464">
        <v>462297</v>
      </c>
      <c r="X192" s="464">
        <v>105929</v>
      </c>
    </row>
    <row r="193" spans="1:24">
      <c r="A193" s="458">
        <v>91818</v>
      </c>
      <c r="B193" s="459" t="s">
        <v>902</v>
      </c>
      <c r="C193" s="463">
        <v>4.4021000000000002E-4</v>
      </c>
      <c r="D193" s="463">
        <v>4.6949999999999997E-4</v>
      </c>
      <c r="E193" s="464">
        <v>2915549</v>
      </c>
      <c r="F193" s="464"/>
      <c r="G193" s="461">
        <v>324879</v>
      </c>
      <c r="H193" s="461">
        <v>780329</v>
      </c>
      <c r="I193" s="461">
        <v>123894</v>
      </c>
      <c r="J193" s="464">
        <v>35343</v>
      </c>
      <c r="K193" s="464">
        <v>1264445</v>
      </c>
      <c r="L193" s="464"/>
      <c r="M193" s="461">
        <v>6994</v>
      </c>
      <c r="N193" s="461">
        <v>0</v>
      </c>
      <c r="O193" s="461">
        <v>0</v>
      </c>
      <c r="P193" s="464">
        <v>28012</v>
      </c>
      <c r="Q193" s="464">
        <v>35006</v>
      </c>
      <c r="R193" s="464"/>
      <c r="S193" s="461">
        <v>837427</v>
      </c>
      <c r="T193" s="462">
        <v>39102</v>
      </c>
      <c r="U193" s="462">
        <v>876529</v>
      </c>
      <c r="W193" s="464">
        <v>5051074</v>
      </c>
      <c r="X193" s="464">
        <v>1157385</v>
      </c>
    </row>
    <row r="194" spans="1:24">
      <c r="A194" s="458">
        <v>91819</v>
      </c>
      <c r="B194" s="459" t="s">
        <v>903</v>
      </c>
      <c r="C194" s="463">
        <v>2.2016000000000001E-4</v>
      </c>
      <c r="D194" s="463">
        <v>2.4169999999999999E-4</v>
      </c>
      <c r="E194" s="464">
        <v>1458139</v>
      </c>
      <c r="F194" s="464"/>
      <c r="G194" s="461">
        <v>162480</v>
      </c>
      <c r="H194" s="461">
        <v>390262</v>
      </c>
      <c r="I194" s="461">
        <v>61962</v>
      </c>
      <c r="J194" s="464">
        <v>14150</v>
      </c>
      <c r="K194" s="464">
        <v>628854</v>
      </c>
      <c r="L194" s="464"/>
      <c r="M194" s="461">
        <v>3498</v>
      </c>
      <c r="N194" s="461">
        <v>0</v>
      </c>
      <c r="O194" s="461">
        <v>0</v>
      </c>
      <c r="P194" s="464">
        <v>46736</v>
      </c>
      <c r="Q194" s="464">
        <v>50234</v>
      </c>
      <c r="R194" s="464"/>
      <c r="S194" s="461">
        <v>418818</v>
      </c>
      <c r="T194" s="462">
        <v>-25265</v>
      </c>
      <c r="U194" s="462">
        <v>393553</v>
      </c>
      <c r="W194" s="464">
        <v>2526168</v>
      </c>
      <c r="X194" s="464">
        <v>578837</v>
      </c>
    </row>
    <row r="195" spans="1:24">
      <c r="A195" s="458">
        <v>91821</v>
      </c>
      <c r="B195" s="459" t="s">
        <v>904</v>
      </c>
      <c r="C195" s="463">
        <v>1.7061999999999999E-4</v>
      </c>
      <c r="D195" s="463">
        <v>1.6799999999999999E-4</v>
      </c>
      <c r="E195" s="464">
        <v>1130031</v>
      </c>
      <c r="F195" s="464"/>
      <c r="G195" s="461">
        <v>125919</v>
      </c>
      <c r="H195" s="461">
        <v>302446</v>
      </c>
      <c r="I195" s="461">
        <v>48020</v>
      </c>
      <c r="J195" s="464">
        <v>32635</v>
      </c>
      <c r="K195" s="464">
        <v>509020</v>
      </c>
      <c r="L195" s="464"/>
      <c r="M195" s="461">
        <v>2711</v>
      </c>
      <c r="N195" s="461">
        <v>0</v>
      </c>
      <c r="O195" s="461">
        <v>0</v>
      </c>
      <c r="P195" s="464">
        <v>0</v>
      </c>
      <c r="Q195" s="464">
        <v>2711</v>
      </c>
      <c r="R195" s="464"/>
      <c r="S195" s="461">
        <v>324576</v>
      </c>
      <c r="T195" s="462">
        <v>9635</v>
      </c>
      <c r="U195" s="462">
        <v>334211</v>
      </c>
      <c r="W195" s="464">
        <v>1957734</v>
      </c>
      <c r="X195" s="464">
        <v>448588</v>
      </c>
    </row>
    <row r="196" spans="1:24">
      <c r="A196" s="458">
        <v>91831</v>
      </c>
      <c r="B196" s="459" t="s">
        <v>905</v>
      </c>
      <c r="C196" s="463">
        <v>4.6522000000000002E-4</v>
      </c>
      <c r="D196" s="463">
        <v>4.3689999999999999E-4</v>
      </c>
      <c r="E196" s="464">
        <v>3081193</v>
      </c>
      <c r="F196" s="464"/>
      <c r="G196" s="461">
        <v>343336</v>
      </c>
      <c r="H196" s="461">
        <v>824662</v>
      </c>
      <c r="I196" s="461">
        <v>130933</v>
      </c>
      <c r="J196" s="464">
        <v>84481</v>
      </c>
      <c r="K196" s="464">
        <v>1383412</v>
      </c>
      <c r="L196" s="464"/>
      <c r="M196" s="461">
        <v>7391</v>
      </c>
      <c r="N196" s="461">
        <v>0</v>
      </c>
      <c r="O196" s="461">
        <v>0</v>
      </c>
      <c r="P196" s="464">
        <v>33535</v>
      </c>
      <c r="Q196" s="464">
        <v>40926</v>
      </c>
      <c r="R196" s="464"/>
      <c r="S196" s="461">
        <v>885004</v>
      </c>
      <c r="T196" s="462">
        <v>25472</v>
      </c>
      <c r="U196" s="462">
        <v>910476</v>
      </c>
      <c r="W196" s="464">
        <v>5338045</v>
      </c>
      <c r="X196" s="464">
        <v>1223140</v>
      </c>
    </row>
    <row r="197" spans="1:24">
      <c r="A197" s="458">
        <v>91841</v>
      </c>
      <c r="B197" s="459" t="s">
        <v>906</v>
      </c>
      <c r="C197" s="463">
        <v>3.034E-4</v>
      </c>
      <c r="D197" s="463">
        <v>2.8370000000000001E-4</v>
      </c>
      <c r="E197" s="464">
        <v>2009445</v>
      </c>
      <c r="F197" s="464"/>
      <c r="G197" s="461">
        <v>223912</v>
      </c>
      <c r="H197" s="461">
        <v>537815</v>
      </c>
      <c r="I197" s="461">
        <v>85390</v>
      </c>
      <c r="J197" s="464">
        <v>29876</v>
      </c>
      <c r="K197" s="464">
        <v>876993</v>
      </c>
      <c r="L197" s="464"/>
      <c r="M197" s="461">
        <v>4820</v>
      </c>
      <c r="N197" s="461">
        <v>0</v>
      </c>
      <c r="O197" s="461">
        <v>0</v>
      </c>
      <c r="P197" s="464">
        <v>10419</v>
      </c>
      <c r="Q197" s="464">
        <v>15239</v>
      </c>
      <c r="R197" s="464"/>
      <c r="S197" s="461">
        <v>577168</v>
      </c>
      <c r="T197" s="462">
        <v>16183</v>
      </c>
      <c r="U197" s="462">
        <v>593351</v>
      </c>
      <c r="W197" s="464">
        <v>3481284</v>
      </c>
      <c r="X197" s="464">
        <v>797689</v>
      </c>
    </row>
    <row r="198" spans="1:24">
      <c r="A198" s="458">
        <v>91851</v>
      </c>
      <c r="B198" s="459" t="s">
        <v>907</v>
      </c>
      <c r="C198" s="463">
        <v>6.7865000000000004E-4</v>
      </c>
      <c r="D198" s="463">
        <v>6.2330000000000003E-4</v>
      </c>
      <c r="E198" s="464">
        <v>4494758</v>
      </c>
      <c r="F198" s="464"/>
      <c r="G198" s="461">
        <v>500849</v>
      </c>
      <c r="H198" s="461">
        <v>1202994</v>
      </c>
      <c r="I198" s="461">
        <v>191001</v>
      </c>
      <c r="J198" s="464">
        <v>172222</v>
      </c>
      <c r="K198" s="464">
        <v>2067066</v>
      </c>
      <c r="L198" s="464"/>
      <c r="M198" s="461">
        <v>10782</v>
      </c>
      <c r="N198" s="461">
        <v>0</v>
      </c>
      <c r="O198" s="461">
        <v>0</v>
      </c>
      <c r="P198" s="464">
        <v>53308</v>
      </c>
      <c r="Q198" s="464">
        <v>64090</v>
      </c>
      <c r="R198" s="464"/>
      <c r="S198" s="461">
        <v>1291020</v>
      </c>
      <c r="T198" s="462">
        <v>31668</v>
      </c>
      <c r="U198" s="462">
        <v>1322688</v>
      </c>
      <c r="W198" s="464">
        <v>7786992</v>
      </c>
      <c r="X198" s="464">
        <v>1784283</v>
      </c>
    </row>
    <row r="199" spans="1:24">
      <c r="A199" s="458">
        <v>91861</v>
      </c>
      <c r="B199" s="459" t="s">
        <v>908</v>
      </c>
      <c r="C199" s="463">
        <v>5.5300000000000004E-6</v>
      </c>
      <c r="D199" s="463">
        <v>6.1E-6</v>
      </c>
      <c r="E199" s="464">
        <v>36626</v>
      </c>
      <c r="F199" s="464"/>
      <c r="G199" s="461">
        <v>4081</v>
      </c>
      <c r="H199" s="461">
        <v>9803</v>
      </c>
      <c r="I199" s="461">
        <v>1556</v>
      </c>
      <c r="J199" s="464">
        <v>3077</v>
      </c>
      <c r="K199" s="464">
        <v>18517</v>
      </c>
      <c r="L199" s="464"/>
      <c r="M199" s="461">
        <v>88</v>
      </c>
      <c r="N199" s="461">
        <v>0</v>
      </c>
      <c r="O199" s="461">
        <v>0</v>
      </c>
      <c r="P199" s="464">
        <v>737</v>
      </c>
      <c r="Q199" s="464">
        <v>825</v>
      </c>
      <c r="R199" s="464"/>
      <c r="S199" s="461">
        <v>10520</v>
      </c>
      <c r="T199" s="462">
        <v>-668</v>
      </c>
      <c r="U199" s="462">
        <v>9852</v>
      </c>
      <c r="W199" s="464">
        <v>63453</v>
      </c>
      <c r="X199" s="464">
        <v>14539</v>
      </c>
    </row>
    <row r="200" spans="1:24">
      <c r="A200" s="458">
        <v>91871</v>
      </c>
      <c r="B200" s="459" t="s">
        <v>909</v>
      </c>
      <c r="C200" s="463">
        <v>1.25884E-3</v>
      </c>
      <c r="D200" s="463">
        <v>1.2505999999999999E-3</v>
      </c>
      <c r="E200" s="464">
        <v>8337407</v>
      </c>
      <c r="F200" s="464"/>
      <c r="G200" s="461">
        <v>929034</v>
      </c>
      <c r="H200" s="461">
        <v>2231455</v>
      </c>
      <c r="I200" s="461">
        <v>354292</v>
      </c>
      <c r="J200" s="464">
        <v>13468</v>
      </c>
      <c r="K200" s="464">
        <v>3528249</v>
      </c>
      <c r="L200" s="464"/>
      <c r="M200" s="461">
        <v>20000</v>
      </c>
      <c r="N200" s="461">
        <v>0</v>
      </c>
      <c r="O200" s="461">
        <v>0</v>
      </c>
      <c r="P200" s="464">
        <v>104967</v>
      </c>
      <c r="Q200" s="464">
        <v>124967</v>
      </c>
      <c r="R200" s="464"/>
      <c r="S200" s="461">
        <v>2394735</v>
      </c>
      <c r="T200" s="462">
        <v>-57895</v>
      </c>
      <c r="U200" s="462">
        <v>2336840</v>
      </c>
      <c r="W200" s="464">
        <v>14444230</v>
      </c>
      <c r="X200" s="464">
        <v>3309698</v>
      </c>
    </row>
    <row r="201" spans="1:24">
      <c r="A201" s="458">
        <v>91881</v>
      </c>
      <c r="B201" s="459" t="s">
        <v>910</v>
      </c>
      <c r="C201" s="463">
        <v>2.9410000000000001E-5</v>
      </c>
      <c r="D201" s="463">
        <v>2.4199999999999999E-5</v>
      </c>
      <c r="E201" s="464">
        <v>194785</v>
      </c>
      <c r="F201" s="464"/>
      <c r="G201" s="461">
        <v>21705</v>
      </c>
      <c r="H201" s="461">
        <v>52133</v>
      </c>
      <c r="I201" s="461">
        <v>8277</v>
      </c>
      <c r="J201" s="464">
        <v>16443</v>
      </c>
      <c r="K201" s="464">
        <v>98558</v>
      </c>
      <c r="L201" s="464"/>
      <c r="M201" s="461">
        <v>467</v>
      </c>
      <c r="N201" s="461">
        <v>0</v>
      </c>
      <c r="O201" s="461">
        <v>0</v>
      </c>
      <c r="P201" s="464">
        <v>1410</v>
      </c>
      <c r="Q201" s="464">
        <v>1877</v>
      </c>
      <c r="R201" s="464"/>
      <c r="S201" s="461">
        <v>55948</v>
      </c>
      <c r="T201" s="462">
        <v>6624</v>
      </c>
      <c r="U201" s="462">
        <v>62572</v>
      </c>
      <c r="W201" s="464">
        <v>337457</v>
      </c>
      <c r="X201" s="464">
        <v>77324</v>
      </c>
    </row>
    <row r="202" spans="1:24">
      <c r="A202" s="458">
        <v>91901</v>
      </c>
      <c r="B202" s="459" t="s">
        <v>911</v>
      </c>
      <c r="C202" s="463">
        <v>3.8030500000000001E-3</v>
      </c>
      <c r="D202" s="463">
        <v>3.6598999999999998E-3</v>
      </c>
      <c r="E202" s="464">
        <v>25187931</v>
      </c>
      <c r="F202" s="464"/>
      <c r="G202" s="461">
        <v>2806681</v>
      </c>
      <c r="H202" s="461">
        <v>6741393</v>
      </c>
      <c r="I202" s="461">
        <v>1070342</v>
      </c>
      <c r="J202" s="464">
        <v>222133</v>
      </c>
      <c r="K202" s="464">
        <v>10840549</v>
      </c>
      <c r="L202" s="464"/>
      <c r="M202" s="461">
        <v>60423</v>
      </c>
      <c r="N202" s="461">
        <v>0</v>
      </c>
      <c r="O202" s="461">
        <v>0</v>
      </c>
      <c r="P202" s="464">
        <v>164671</v>
      </c>
      <c r="Q202" s="464">
        <v>225094</v>
      </c>
      <c r="R202" s="464"/>
      <c r="S202" s="461">
        <v>7234675</v>
      </c>
      <c r="T202" s="462">
        <v>-44308</v>
      </c>
      <c r="U202" s="462">
        <v>7190367</v>
      </c>
      <c r="W202" s="464">
        <v>43637101</v>
      </c>
      <c r="X202" s="464">
        <v>9998846</v>
      </c>
    </row>
    <row r="203" spans="1:24">
      <c r="A203" s="458">
        <v>91903</v>
      </c>
      <c r="B203" s="459" t="s">
        <v>912</v>
      </c>
      <c r="C203" s="463">
        <v>4.9799999999999998E-6</v>
      </c>
      <c r="D203" s="463">
        <v>5.9000000000000003E-6</v>
      </c>
      <c r="E203" s="464">
        <v>32983</v>
      </c>
      <c r="F203" s="464"/>
      <c r="G203" s="461">
        <v>3675</v>
      </c>
      <c r="H203" s="461">
        <v>8828</v>
      </c>
      <c r="I203" s="461">
        <v>1402</v>
      </c>
      <c r="J203" s="464">
        <v>3548</v>
      </c>
      <c r="K203" s="464">
        <v>17453</v>
      </c>
      <c r="L203" s="464"/>
      <c r="M203" s="461">
        <v>79</v>
      </c>
      <c r="N203" s="461">
        <v>0</v>
      </c>
      <c r="O203" s="461">
        <v>0</v>
      </c>
      <c r="P203" s="464">
        <v>2054</v>
      </c>
      <c r="Q203" s="464">
        <v>2133</v>
      </c>
      <c r="R203" s="464"/>
      <c r="S203" s="461">
        <v>9474</v>
      </c>
      <c r="T203" s="462">
        <v>2357</v>
      </c>
      <c r="U203" s="462">
        <v>11831</v>
      </c>
      <c r="W203" s="464">
        <v>57142</v>
      </c>
      <c r="X203" s="464">
        <v>13093</v>
      </c>
    </row>
    <row r="204" spans="1:24">
      <c r="A204" s="458">
        <v>91904</v>
      </c>
      <c r="B204" s="459" t="s">
        <v>913</v>
      </c>
      <c r="C204" s="463">
        <v>7.271E-5</v>
      </c>
      <c r="D204" s="463">
        <v>8.0699999999999996E-5</v>
      </c>
      <c r="E204" s="464">
        <v>481565</v>
      </c>
      <c r="F204" s="464"/>
      <c r="G204" s="461">
        <v>53661</v>
      </c>
      <c r="H204" s="461">
        <v>128888</v>
      </c>
      <c r="I204" s="461">
        <v>20464</v>
      </c>
      <c r="J204" s="464">
        <v>41904</v>
      </c>
      <c r="K204" s="464">
        <v>244917</v>
      </c>
      <c r="L204" s="464"/>
      <c r="M204" s="461">
        <v>1155</v>
      </c>
      <c r="N204" s="461">
        <v>0</v>
      </c>
      <c r="O204" s="461">
        <v>0</v>
      </c>
      <c r="P204" s="464">
        <v>22303</v>
      </c>
      <c r="Q204" s="464">
        <v>23458</v>
      </c>
      <c r="R204" s="464"/>
      <c r="S204" s="461">
        <v>138319</v>
      </c>
      <c r="T204" s="462">
        <v>21504</v>
      </c>
      <c r="U204" s="462">
        <v>159823</v>
      </c>
      <c r="W204" s="464">
        <v>834292</v>
      </c>
      <c r="X204" s="464">
        <v>191167</v>
      </c>
    </row>
    <row r="205" spans="1:24">
      <c r="A205" s="458">
        <v>91908</v>
      </c>
      <c r="B205" s="459" t="s">
        <v>914</v>
      </c>
      <c r="C205" s="463">
        <v>1.379E-5</v>
      </c>
      <c r="D205" s="463">
        <v>1.43E-5</v>
      </c>
      <c r="E205" s="464">
        <v>91332</v>
      </c>
      <c r="F205" s="464"/>
      <c r="G205" s="461">
        <v>10177</v>
      </c>
      <c r="H205" s="461">
        <v>24445</v>
      </c>
      <c r="I205" s="461">
        <v>3881</v>
      </c>
      <c r="J205" s="464">
        <v>341</v>
      </c>
      <c r="K205" s="464">
        <v>38844</v>
      </c>
      <c r="L205" s="464"/>
      <c r="M205" s="461">
        <v>219</v>
      </c>
      <c r="N205" s="461">
        <v>0</v>
      </c>
      <c r="O205" s="461">
        <v>0</v>
      </c>
      <c r="P205" s="464">
        <v>9089</v>
      </c>
      <c r="Q205" s="464">
        <v>9308</v>
      </c>
      <c r="R205" s="464"/>
      <c r="S205" s="461">
        <v>26233</v>
      </c>
      <c r="T205" s="462">
        <v>-5913</v>
      </c>
      <c r="U205" s="462">
        <v>20320</v>
      </c>
      <c r="W205" s="464">
        <v>158230</v>
      </c>
      <c r="X205" s="464">
        <v>36256</v>
      </c>
    </row>
    <row r="206" spans="1:24">
      <c r="A206" s="458">
        <v>91911</v>
      </c>
      <c r="B206" s="459" t="s">
        <v>915</v>
      </c>
      <c r="C206" s="463">
        <v>5.6877000000000002E-4</v>
      </c>
      <c r="D206" s="463">
        <v>6.2569999999999998E-4</v>
      </c>
      <c r="E206" s="464">
        <v>3767013</v>
      </c>
      <c r="F206" s="464"/>
      <c r="G206" s="461">
        <v>419757</v>
      </c>
      <c r="H206" s="461">
        <v>1008218</v>
      </c>
      <c r="I206" s="461">
        <v>160076</v>
      </c>
      <c r="J206" s="464">
        <v>74261</v>
      </c>
      <c r="K206" s="464">
        <v>1662312</v>
      </c>
      <c r="L206" s="464"/>
      <c r="M206" s="461">
        <v>9037</v>
      </c>
      <c r="N206" s="461">
        <v>0</v>
      </c>
      <c r="O206" s="461">
        <v>0</v>
      </c>
      <c r="P206" s="464">
        <v>200917</v>
      </c>
      <c r="Q206" s="464">
        <v>209954</v>
      </c>
      <c r="R206" s="464"/>
      <c r="S206" s="461">
        <v>1081991</v>
      </c>
      <c r="T206" s="462">
        <v>3675</v>
      </c>
      <c r="U206" s="462">
        <v>1085666</v>
      </c>
      <c r="W206" s="464">
        <v>6526202</v>
      </c>
      <c r="X206" s="464">
        <v>1495390</v>
      </c>
    </row>
    <row r="207" spans="1:24">
      <c r="A207" s="458">
        <v>91917</v>
      </c>
      <c r="B207" s="459" t="s">
        <v>916</v>
      </c>
      <c r="C207" s="463">
        <v>1.182E-5</v>
      </c>
      <c r="D207" s="463">
        <v>1.4399999999999999E-5</v>
      </c>
      <c r="E207" s="464">
        <v>78285</v>
      </c>
      <c r="F207" s="464"/>
      <c r="G207" s="461">
        <v>8723</v>
      </c>
      <c r="H207" s="461">
        <v>20952</v>
      </c>
      <c r="I207" s="461">
        <v>3327</v>
      </c>
      <c r="J207" s="464">
        <v>4091</v>
      </c>
      <c r="K207" s="464">
        <v>37093</v>
      </c>
      <c r="L207" s="464"/>
      <c r="M207" s="461">
        <v>188</v>
      </c>
      <c r="N207" s="461">
        <v>0</v>
      </c>
      <c r="O207" s="461">
        <v>0</v>
      </c>
      <c r="P207" s="464">
        <v>641</v>
      </c>
      <c r="Q207" s="464">
        <v>829</v>
      </c>
      <c r="R207" s="464"/>
      <c r="S207" s="461">
        <v>22486</v>
      </c>
      <c r="T207" s="462">
        <v>3838</v>
      </c>
      <c r="U207" s="462">
        <v>26324</v>
      </c>
      <c r="W207" s="464">
        <v>135625</v>
      </c>
      <c r="X207" s="464">
        <v>31077</v>
      </c>
    </row>
    <row r="208" spans="1:24">
      <c r="A208" s="458">
        <v>91921</v>
      </c>
      <c r="B208" s="459" t="s">
        <v>917</v>
      </c>
      <c r="C208" s="463">
        <v>4.1976999999999997E-4</v>
      </c>
      <c r="D208" s="463">
        <v>4.1159999999999998E-4</v>
      </c>
      <c r="E208" s="464">
        <v>2780173</v>
      </c>
      <c r="F208" s="464"/>
      <c r="G208" s="461">
        <v>309794</v>
      </c>
      <c r="H208" s="461">
        <v>744096</v>
      </c>
      <c r="I208" s="461">
        <v>118141</v>
      </c>
      <c r="J208" s="464">
        <v>51539</v>
      </c>
      <c r="K208" s="464">
        <v>1223570</v>
      </c>
      <c r="L208" s="464"/>
      <c r="M208" s="461">
        <v>6669</v>
      </c>
      <c r="N208" s="461">
        <v>0</v>
      </c>
      <c r="O208" s="461">
        <v>0</v>
      </c>
      <c r="P208" s="464">
        <v>31510</v>
      </c>
      <c r="Q208" s="464">
        <v>38179</v>
      </c>
      <c r="R208" s="464"/>
      <c r="S208" s="461">
        <v>798543</v>
      </c>
      <c r="T208" s="462">
        <v>3407</v>
      </c>
      <c r="U208" s="462">
        <v>801950</v>
      </c>
      <c r="W208" s="464">
        <v>4816541</v>
      </c>
      <c r="X208" s="464">
        <v>1103645</v>
      </c>
    </row>
    <row r="209" spans="1:24">
      <c r="A209" s="458">
        <v>92001</v>
      </c>
      <c r="B209" s="459" t="s">
        <v>918</v>
      </c>
      <c r="C209" s="463">
        <v>1.8939199999999999E-3</v>
      </c>
      <c r="D209" s="463">
        <v>1.9139000000000001E-3</v>
      </c>
      <c r="E209" s="464">
        <v>12543597</v>
      </c>
      <c r="F209" s="464"/>
      <c r="G209" s="461">
        <v>1397728</v>
      </c>
      <c r="H209" s="461">
        <v>3357216</v>
      </c>
      <c r="I209" s="461">
        <v>533031</v>
      </c>
      <c r="J209" s="464">
        <v>224416</v>
      </c>
      <c r="K209" s="464">
        <v>5512391</v>
      </c>
      <c r="L209" s="464"/>
      <c r="M209" s="461">
        <v>30091</v>
      </c>
      <c r="N209" s="461">
        <v>0</v>
      </c>
      <c r="O209" s="461">
        <v>0</v>
      </c>
      <c r="P209" s="464">
        <v>155255</v>
      </c>
      <c r="Q209" s="464">
        <v>185346</v>
      </c>
      <c r="R209" s="464"/>
      <c r="S209" s="461">
        <v>3602870</v>
      </c>
      <c r="T209" s="462">
        <v>33640</v>
      </c>
      <c r="U209" s="462">
        <v>3636510</v>
      </c>
      <c r="W209" s="464">
        <v>21731289</v>
      </c>
      <c r="X209" s="464">
        <v>4979428</v>
      </c>
    </row>
    <row r="210" spans="1:24">
      <c r="A210" s="458">
        <v>92005</v>
      </c>
      <c r="B210" s="459" t="s">
        <v>919</v>
      </c>
      <c r="C210" s="463">
        <v>3.0380000000000001E-5</v>
      </c>
      <c r="D210" s="463">
        <v>3.2299999999999999E-5</v>
      </c>
      <c r="E210" s="464">
        <v>201209</v>
      </c>
      <c r="F210" s="464"/>
      <c r="G210" s="461">
        <v>22421</v>
      </c>
      <c r="H210" s="461">
        <v>53852</v>
      </c>
      <c r="I210" s="461">
        <v>8550</v>
      </c>
      <c r="J210" s="464">
        <v>3767</v>
      </c>
      <c r="K210" s="464">
        <v>88590</v>
      </c>
      <c r="L210" s="464"/>
      <c r="M210" s="461">
        <v>483</v>
      </c>
      <c r="N210" s="461">
        <v>0</v>
      </c>
      <c r="O210" s="461">
        <v>0</v>
      </c>
      <c r="P210" s="464">
        <v>3211</v>
      </c>
      <c r="Q210" s="464">
        <v>3694</v>
      </c>
      <c r="R210" s="464"/>
      <c r="S210" s="461">
        <v>57793</v>
      </c>
      <c r="T210" s="462">
        <v>965</v>
      </c>
      <c r="U210" s="462">
        <v>58758</v>
      </c>
      <c r="W210" s="464">
        <v>348587</v>
      </c>
      <c r="X210" s="464">
        <v>79874</v>
      </c>
    </row>
    <row r="211" spans="1:24">
      <c r="A211" s="458">
        <v>92011</v>
      </c>
      <c r="B211" s="459" t="s">
        <v>920</v>
      </c>
      <c r="C211" s="463">
        <v>2.1662E-4</v>
      </c>
      <c r="D211" s="463">
        <v>2.0589999999999999E-4</v>
      </c>
      <c r="E211" s="464">
        <v>1434693</v>
      </c>
      <c r="F211" s="464"/>
      <c r="G211" s="461">
        <v>159867</v>
      </c>
      <c r="H211" s="461">
        <v>383987</v>
      </c>
      <c r="I211" s="461">
        <v>60966</v>
      </c>
      <c r="J211" s="464">
        <v>7161</v>
      </c>
      <c r="K211" s="464">
        <v>611981</v>
      </c>
      <c r="L211" s="464"/>
      <c r="M211" s="461">
        <v>3442</v>
      </c>
      <c r="N211" s="461">
        <v>0</v>
      </c>
      <c r="O211" s="461">
        <v>0</v>
      </c>
      <c r="P211" s="464">
        <v>14754</v>
      </c>
      <c r="Q211" s="464">
        <v>18196</v>
      </c>
      <c r="R211" s="464"/>
      <c r="S211" s="461">
        <v>412084</v>
      </c>
      <c r="T211" s="462">
        <v>-4048</v>
      </c>
      <c r="U211" s="462">
        <v>408036</v>
      </c>
      <c r="W211" s="464">
        <v>2485549</v>
      </c>
      <c r="X211" s="464">
        <v>569530</v>
      </c>
    </row>
    <row r="212" spans="1:24">
      <c r="A212" s="458">
        <v>92017</v>
      </c>
      <c r="B212" s="459" t="s">
        <v>921</v>
      </c>
      <c r="C212" s="463">
        <v>1.8830000000000001E-5</v>
      </c>
      <c r="D212" s="463">
        <v>3.26E-5</v>
      </c>
      <c r="E212" s="464">
        <v>124713</v>
      </c>
      <c r="F212" s="464"/>
      <c r="G212" s="461">
        <v>13897</v>
      </c>
      <c r="H212" s="461">
        <v>33379</v>
      </c>
      <c r="I212" s="461">
        <v>5300</v>
      </c>
      <c r="J212" s="464">
        <v>8761</v>
      </c>
      <c r="K212" s="464">
        <v>61337</v>
      </c>
      <c r="L212" s="464"/>
      <c r="M212" s="461">
        <v>299</v>
      </c>
      <c r="N212" s="461">
        <v>0</v>
      </c>
      <c r="O212" s="461">
        <v>0</v>
      </c>
      <c r="P212" s="464">
        <v>15037</v>
      </c>
      <c r="Q212" s="464">
        <v>15336</v>
      </c>
      <c r="R212" s="464"/>
      <c r="S212" s="461">
        <v>35821</v>
      </c>
      <c r="T212" s="462">
        <v>737</v>
      </c>
      <c r="U212" s="462">
        <v>36558</v>
      </c>
      <c r="W212" s="464">
        <v>216060</v>
      </c>
      <c r="X212" s="464">
        <v>49507</v>
      </c>
    </row>
    <row r="213" spans="1:24">
      <c r="A213" s="458">
        <v>92021</v>
      </c>
      <c r="B213" s="459" t="s">
        <v>922</v>
      </c>
      <c r="C213" s="463">
        <v>1.5893E-4</v>
      </c>
      <c r="D213" s="463">
        <v>1.077E-4</v>
      </c>
      <c r="E213" s="464">
        <v>1052607</v>
      </c>
      <c r="F213" s="464"/>
      <c r="G213" s="461">
        <v>117292</v>
      </c>
      <c r="H213" s="461">
        <v>281724</v>
      </c>
      <c r="I213" s="461">
        <v>44730</v>
      </c>
      <c r="J213" s="464">
        <v>106797</v>
      </c>
      <c r="K213" s="464">
        <v>550543</v>
      </c>
      <c r="L213" s="464"/>
      <c r="M213" s="461">
        <v>2525</v>
      </c>
      <c r="N213" s="461">
        <v>0</v>
      </c>
      <c r="O213" s="461">
        <v>0</v>
      </c>
      <c r="P213" s="464">
        <v>23074</v>
      </c>
      <c r="Q213" s="464">
        <v>25599</v>
      </c>
      <c r="R213" s="464"/>
      <c r="S213" s="461">
        <v>302338</v>
      </c>
      <c r="T213" s="462">
        <v>20081</v>
      </c>
      <c r="U213" s="462">
        <v>322419</v>
      </c>
      <c r="W213" s="464">
        <v>1823601</v>
      </c>
      <c r="X213" s="464">
        <v>417853</v>
      </c>
    </row>
    <row r="214" spans="1:24">
      <c r="A214" s="458">
        <v>92101</v>
      </c>
      <c r="B214" s="459" t="s">
        <v>923</v>
      </c>
      <c r="C214" s="463">
        <v>6.7507999999999999E-4</v>
      </c>
      <c r="D214" s="463">
        <v>7.7729999999999997E-4</v>
      </c>
      <c r="E214" s="464">
        <v>4471114</v>
      </c>
      <c r="F214" s="464"/>
      <c r="G214" s="461">
        <v>498214</v>
      </c>
      <c r="H214" s="461">
        <v>1196666</v>
      </c>
      <c r="I214" s="461">
        <v>189997</v>
      </c>
      <c r="J214" s="464">
        <v>87149</v>
      </c>
      <c r="K214" s="464">
        <v>1972026</v>
      </c>
      <c r="L214" s="464"/>
      <c r="M214" s="461">
        <v>10726</v>
      </c>
      <c r="N214" s="461">
        <v>0</v>
      </c>
      <c r="O214" s="461">
        <v>0</v>
      </c>
      <c r="P214" s="464">
        <v>265783</v>
      </c>
      <c r="Q214" s="464">
        <v>276509</v>
      </c>
      <c r="R214" s="464"/>
      <c r="S214" s="461">
        <v>1284228</v>
      </c>
      <c r="T214" s="462">
        <v>-82262</v>
      </c>
      <c r="U214" s="462">
        <v>1201966</v>
      </c>
      <c r="W214" s="464">
        <v>7746029</v>
      </c>
      <c r="X214" s="464">
        <v>1774897</v>
      </c>
    </row>
    <row r="215" spans="1:24">
      <c r="A215" s="458">
        <v>92104</v>
      </c>
      <c r="B215" s="459" t="s">
        <v>924</v>
      </c>
      <c r="C215" s="463">
        <v>7.7200000000000006E-6</v>
      </c>
      <c r="D215" s="463">
        <v>7.7999999999999999E-6</v>
      </c>
      <c r="E215" s="464">
        <v>51130</v>
      </c>
      <c r="F215" s="464"/>
      <c r="G215" s="461">
        <v>5697</v>
      </c>
      <c r="H215" s="461">
        <v>13685</v>
      </c>
      <c r="I215" s="461">
        <v>2173</v>
      </c>
      <c r="J215" s="464">
        <v>4388</v>
      </c>
      <c r="K215" s="464">
        <v>25943</v>
      </c>
      <c r="L215" s="464"/>
      <c r="M215" s="461">
        <v>123</v>
      </c>
      <c r="N215" s="461">
        <v>0</v>
      </c>
      <c r="O215" s="461">
        <v>0</v>
      </c>
      <c r="P215" s="464">
        <v>0</v>
      </c>
      <c r="Q215" s="464">
        <v>123</v>
      </c>
      <c r="R215" s="464"/>
      <c r="S215" s="461">
        <v>14686</v>
      </c>
      <c r="T215" s="462">
        <v>3042</v>
      </c>
      <c r="U215" s="462">
        <v>17728</v>
      </c>
      <c r="W215" s="464">
        <v>88581</v>
      </c>
      <c r="X215" s="464">
        <v>20297</v>
      </c>
    </row>
    <row r="216" spans="1:24">
      <c r="A216" s="458">
        <v>92109</v>
      </c>
      <c r="B216" s="459" t="s">
        <v>925</v>
      </c>
      <c r="C216" s="463">
        <v>2.0507000000000001E-4</v>
      </c>
      <c r="D216" s="463">
        <v>1.9900000000000001E-4</v>
      </c>
      <c r="E216" s="464">
        <v>1358196</v>
      </c>
      <c r="F216" s="464"/>
      <c r="G216" s="461">
        <v>151343</v>
      </c>
      <c r="H216" s="461">
        <v>363513</v>
      </c>
      <c r="I216" s="461">
        <v>57716</v>
      </c>
      <c r="J216" s="464">
        <v>21173</v>
      </c>
      <c r="K216" s="464">
        <v>593745</v>
      </c>
      <c r="L216" s="464"/>
      <c r="M216" s="461">
        <v>3258</v>
      </c>
      <c r="N216" s="461">
        <v>0</v>
      </c>
      <c r="O216" s="461">
        <v>0</v>
      </c>
      <c r="P216" s="464">
        <v>2018</v>
      </c>
      <c r="Q216" s="464">
        <v>5276</v>
      </c>
      <c r="R216" s="464"/>
      <c r="S216" s="461">
        <v>390112</v>
      </c>
      <c r="T216" s="462">
        <v>16229</v>
      </c>
      <c r="U216" s="462">
        <v>406341</v>
      </c>
      <c r="W216" s="464">
        <v>2353022</v>
      </c>
      <c r="X216" s="464">
        <v>539163</v>
      </c>
    </row>
    <row r="217" spans="1:24">
      <c r="A217" s="458">
        <v>92111</v>
      </c>
      <c r="B217" s="459" t="s">
        <v>926</v>
      </c>
      <c r="C217" s="463">
        <v>5.4060999999999996E-4</v>
      </c>
      <c r="D217" s="463">
        <v>5.3140000000000001E-4</v>
      </c>
      <c r="E217" s="464">
        <v>3580507</v>
      </c>
      <c r="F217" s="464"/>
      <c r="G217" s="461">
        <v>398975</v>
      </c>
      <c r="H217" s="461">
        <v>958300</v>
      </c>
      <c r="I217" s="461">
        <v>152151</v>
      </c>
      <c r="J217" s="464">
        <v>0</v>
      </c>
      <c r="K217" s="464">
        <v>1509426</v>
      </c>
      <c r="L217" s="464"/>
      <c r="M217" s="461">
        <v>8589</v>
      </c>
      <c r="N217" s="461">
        <v>0</v>
      </c>
      <c r="O217" s="461">
        <v>0</v>
      </c>
      <c r="P217" s="464">
        <v>41171</v>
      </c>
      <c r="Q217" s="464">
        <v>49760</v>
      </c>
      <c r="R217" s="464"/>
      <c r="S217" s="461">
        <v>1028421</v>
      </c>
      <c r="T217" s="462">
        <v>-13160</v>
      </c>
      <c r="U217" s="462">
        <v>1015261</v>
      </c>
      <c r="W217" s="464">
        <v>6203088</v>
      </c>
      <c r="X217" s="464">
        <v>1421353</v>
      </c>
    </row>
    <row r="218" spans="1:24">
      <c r="A218" s="458">
        <v>92113</v>
      </c>
      <c r="B218" s="459" t="s">
        <v>927</v>
      </c>
      <c r="C218" s="463">
        <v>1.4250000000000001E-5</v>
      </c>
      <c r="D218" s="463">
        <v>1.6200000000000001E-5</v>
      </c>
      <c r="E218" s="464">
        <v>94379</v>
      </c>
      <c r="F218" s="464"/>
      <c r="G218" s="461">
        <v>10517</v>
      </c>
      <c r="H218" s="461">
        <v>25260</v>
      </c>
      <c r="I218" s="461">
        <v>4011</v>
      </c>
      <c r="J218" s="464">
        <v>3721</v>
      </c>
      <c r="K218" s="464">
        <v>43509</v>
      </c>
      <c r="L218" s="464"/>
      <c r="M218" s="461">
        <v>226</v>
      </c>
      <c r="N218" s="461">
        <v>0</v>
      </c>
      <c r="O218" s="461">
        <v>0</v>
      </c>
      <c r="P218" s="464">
        <v>3759</v>
      </c>
      <c r="Q218" s="464">
        <v>3985</v>
      </c>
      <c r="R218" s="464"/>
      <c r="S218" s="461">
        <v>27108</v>
      </c>
      <c r="T218" s="462">
        <v>3827</v>
      </c>
      <c r="U218" s="462">
        <v>30935</v>
      </c>
      <c r="W218" s="464">
        <v>163508</v>
      </c>
      <c r="X218" s="464">
        <v>37466</v>
      </c>
    </row>
    <row r="219" spans="1:24">
      <c r="A219" s="458">
        <v>92201</v>
      </c>
      <c r="B219" s="459" t="s">
        <v>928</v>
      </c>
      <c r="C219" s="463">
        <v>1.1488900000000001E-3</v>
      </c>
      <c r="D219" s="463">
        <v>1.0983E-3</v>
      </c>
      <c r="E219" s="464">
        <v>7609198</v>
      </c>
      <c r="F219" s="464"/>
      <c r="G219" s="461">
        <v>847890</v>
      </c>
      <c r="H219" s="461">
        <v>2036555</v>
      </c>
      <c r="I219" s="461">
        <v>323347</v>
      </c>
      <c r="J219" s="464">
        <v>254500</v>
      </c>
      <c r="K219" s="464">
        <v>3462292</v>
      </c>
      <c r="L219" s="464"/>
      <c r="M219" s="461">
        <v>18254</v>
      </c>
      <c r="N219" s="461">
        <v>0</v>
      </c>
      <c r="O219" s="461">
        <v>0</v>
      </c>
      <c r="P219" s="464">
        <v>0</v>
      </c>
      <c r="Q219" s="464">
        <v>18254</v>
      </c>
      <c r="R219" s="464"/>
      <c r="S219" s="461">
        <v>2185574</v>
      </c>
      <c r="T219" s="462">
        <v>157862</v>
      </c>
      <c r="U219" s="462">
        <v>2343436</v>
      </c>
      <c r="W219" s="464">
        <v>13182637</v>
      </c>
      <c r="X219" s="464">
        <v>3020621</v>
      </c>
    </row>
    <row r="220" spans="1:24">
      <c r="A220" s="458">
        <v>92214</v>
      </c>
      <c r="B220" s="459" t="s">
        <v>1925</v>
      </c>
      <c r="C220" s="463">
        <v>3.8720000000000002E-5</v>
      </c>
      <c r="D220" s="463">
        <v>2.7900000000000001E-5</v>
      </c>
      <c r="E220" s="464">
        <v>256446</v>
      </c>
      <c r="F220" s="464"/>
      <c r="G220" s="461">
        <v>28576</v>
      </c>
      <c r="H220" s="461">
        <v>68636</v>
      </c>
      <c r="I220" s="461">
        <v>10897</v>
      </c>
      <c r="J220" s="464">
        <v>27964</v>
      </c>
      <c r="K220" s="464">
        <v>136073</v>
      </c>
      <c r="L220" s="464"/>
      <c r="M220" s="461">
        <v>615</v>
      </c>
      <c r="N220" s="461">
        <v>0</v>
      </c>
      <c r="O220" s="461">
        <v>0</v>
      </c>
      <c r="P220" s="464">
        <v>0</v>
      </c>
      <c r="Q220" s="464">
        <v>615</v>
      </c>
      <c r="R220" s="464"/>
      <c r="S220" s="461">
        <v>73658</v>
      </c>
      <c r="T220" s="462">
        <v>11454</v>
      </c>
      <c r="U220" s="462">
        <v>85112</v>
      </c>
      <c r="W220" s="464">
        <v>444282</v>
      </c>
      <c r="X220" s="464">
        <v>101801</v>
      </c>
    </row>
    <row r="221" spans="1:24">
      <c r="A221" s="458">
        <v>92301</v>
      </c>
      <c r="B221" s="459" t="s">
        <v>929</v>
      </c>
      <c r="C221" s="463">
        <v>5.8141099999999999E-3</v>
      </c>
      <c r="D221" s="463">
        <v>5.3742E-3</v>
      </c>
      <c r="E221" s="464">
        <v>38507356</v>
      </c>
      <c r="F221" s="464"/>
      <c r="G221" s="461">
        <v>4290860</v>
      </c>
      <c r="H221" s="461">
        <v>10306254</v>
      </c>
      <c r="I221" s="461">
        <v>1636341</v>
      </c>
      <c r="J221" s="464">
        <v>1210918</v>
      </c>
      <c r="K221" s="464">
        <v>17444373</v>
      </c>
      <c r="L221" s="464"/>
      <c r="M221" s="461">
        <v>92375</v>
      </c>
      <c r="N221" s="461">
        <v>0</v>
      </c>
      <c r="O221" s="461">
        <v>0</v>
      </c>
      <c r="P221" s="464">
        <v>277944</v>
      </c>
      <c r="Q221" s="464">
        <v>370319</v>
      </c>
      <c r="R221" s="464"/>
      <c r="S221" s="461">
        <v>11060385</v>
      </c>
      <c r="T221" s="462">
        <v>116012</v>
      </c>
      <c r="U221" s="462">
        <v>11176397</v>
      </c>
      <c r="W221" s="464">
        <v>66712482</v>
      </c>
      <c r="X221" s="464">
        <v>15286255</v>
      </c>
    </row>
    <row r="222" spans="1:24">
      <c r="A222" s="458">
        <v>92302</v>
      </c>
      <c r="B222" s="459" t="s">
        <v>930</v>
      </c>
      <c r="C222" s="463">
        <v>2.4393E-4</v>
      </c>
      <c r="D222" s="463">
        <v>2.6069999999999999E-4</v>
      </c>
      <c r="E222" s="464">
        <v>1615570</v>
      </c>
      <c r="F222" s="464"/>
      <c r="G222" s="461">
        <v>180022</v>
      </c>
      <c r="H222" s="461">
        <v>432397</v>
      </c>
      <c r="I222" s="461">
        <v>68652</v>
      </c>
      <c r="J222" s="464">
        <v>10752</v>
      </c>
      <c r="K222" s="464">
        <v>691823</v>
      </c>
      <c r="L222" s="464"/>
      <c r="M222" s="461">
        <v>3876</v>
      </c>
      <c r="N222" s="461">
        <v>0</v>
      </c>
      <c r="O222" s="461">
        <v>0</v>
      </c>
      <c r="P222" s="464">
        <v>67754</v>
      </c>
      <c r="Q222" s="464">
        <v>71630</v>
      </c>
      <c r="R222" s="464"/>
      <c r="S222" s="461">
        <v>464037</v>
      </c>
      <c r="T222" s="462">
        <v>-34588</v>
      </c>
      <c r="U222" s="462">
        <v>429449</v>
      </c>
      <c r="W222" s="464">
        <v>2798911</v>
      </c>
      <c r="X222" s="464">
        <v>641332</v>
      </c>
    </row>
    <row r="223" spans="1:24">
      <c r="A223" s="458">
        <v>92311</v>
      </c>
      <c r="B223" s="459" t="s">
        <v>931</v>
      </c>
      <c r="C223" s="463">
        <v>2.1167299999999998E-3</v>
      </c>
      <c r="D223" s="463">
        <v>2.1213E-3</v>
      </c>
      <c r="E223" s="464">
        <v>14019287</v>
      </c>
      <c r="F223" s="464"/>
      <c r="G223" s="461">
        <v>1562164</v>
      </c>
      <c r="H223" s="461">
        <v>3752175</v>
      </c>
      <c r="I223" s="461">
        <v>595739</v>
      </c>
      <c r="J223" s="464">
        <v>17575</v>
      </c>
      <c r="K223" s="464">
        <v>5927653</v>
      </c>
      <c r="L223" s="464"/>
      <c r="M223" s="461">
        <v>33631</v>
      </c>
      <c r="N223" s="461">
        <v>0</v>
      </c>
      <c r="O223" s="461">
        <v>0</v>
      </c>
      <c r="P223" s="464">
        <v>213731</v>
      </c>
      <c r="Q223" s="464">
        <v>247362</v>
      </c>
      <c r="R223" s="464"/>
      <c r="S223" s="461">
        <v>4026730</v>
      </c>
      <c r="T223" s="462">
        <v>-122904</v>
      </c>
      <c r="U223" s="462">
        <v>3903826</v>
      </c>
      <c r="W223" s="464">
        <v>24287864</v>
      </c>
      <c r="X223" s="464">
        <v>5565232</v>
      </c>
    </row>
    <row r="224" spans="1:24">
      <c r="A224" s="458">
        <v>92317</v>
      </c>
      <c r="B224" s="459" t="s">
        <v>932</v>
      </c>
      <c r="C224" s="463">
        <v>3.5639999999999998E-5</v>
      </c>
      <c r="D224" s="463">
        <v>3.3399999999999999E-5</v>
      </c>
      <c r="E224" s="464">
        <v>236047</v>
      </c>
      <c r="F224" s="464"/>
      <c r="G224" s="461">
        <v>26303</v>
      </c>
      <c r="H224" s="461">
        <v>63176</v>
      </c>
      <c r="I224" s="461">
        <v>10031</v>
      </c>
      <c r="J224" s="464">
        <v>25636</v>
      </c>
      <c r="K224" s="464">
        <v>125146</v>
      </c>
      <c r="L224" s="464"/>
      <c r="M224" s="461">
        <v>566</v>
      </c>
      <c r="N224" s="461">
        <v>0</v>
      </c>
      <c r="O224" s="461">
        <v>0</v>
      </c>
      <c r="P224" s="464">
        <v>3410</v>
      </c>
      <c r="Q224" s="464">
        <v>3976</v>
      </c>
      <c r="R224" s="464"/>
      <c r="S224" s="461">
        <v>67799</v>
      </c>
      <c r="T224" s="462">
        <v>17949</v>
      </c>
      <c r="U224" s="462">
        <v>85748</v>
      </c>
      <c r="W224" s="464">
        <v>408942</v>
      </c>
      <c r="X224" s="464">
        <v>93703</v>
      </c>
    </row>
    <row r="225" spans="1:24">
      <c r="A225" s="458">
        <v>92321</v>
      </c>
      <c r="B225" s="459" t="s">
        <v>933</v>
      </c>
      <c r="C225" s="463">
        <v>1.30178E-3</v>
      </c>
      <c r="D225" s="463">
        <v>1.2174E-3</v>
      </c>
      <c r="E225" s="464">
        <v>8621802</v>
      </c>
      <c r="F225" s="464"/>
      <c r="G225" s="461">
        <v>960724</v>
      </c>
      <c r="H225" s="461">
        <v>2307572</v>
      </c>
      <c r="I225" s="461">
        <v>366377</v>
      </c>
      <c r="J225" s="464">
        <v>278031</v>
      </c>
      <c r="K225" s="464">
        <v>3912704</v>
      </c>
      <c r="L225" s="464"/>
      <c r="M225" s="461">
        <v>20683</v>
      </c>
      <c r="N225" s="461">
        <v>0</v>
      </c>
      <c r="O225" s="461">
        <v>0</v>
      </c>
      <c r="P225" s="464">
        <v>117104</v>
      </c>
      <c r="Q225" s="464">
        <v>137787</v>
      </c>
      <c r="R225" s="464"/>
      <c r="S225" s="461">
        <v>2476422</v>
      </c>
      <c r="T225" s="462">
        <v>70956</v>
      </c>
      <c r="U225" s="462">
        <v>2547378</v>
      </c>
      <c r="W225" s="464">
        <v>14936934</v>
      </c>
      <c r="X225" s="464">
        <v>3422594</v>
      </c>
    </row>
    <row r="226" spans="1:24">
      <c r="A226" s="458">
        <v>92327</v>
      </c>
      <c r="B226" s="459" t="s">
        <v>934</v>
      </c>
      <c r="C226" s="463">
        <v>6.5300000000000002E-6</v>
      </c>
      <c r="D226" s="463">
        <v>6.7000000000000002E-6</v>
      </c>
      <c r="E226" s="464">
        <v>43249</v>
      </c>
      <c r="F226" s="464"/>
      <c r="G226" s="461">
        <v>4819</v>
      </c>
      <c r="H226" s="461">
        <v>11575</v>
      </c>
      <c r="I226" s="461">
        <v>1838</v>
      </c>
      <c r="J226" s="464">
        <v>11815</v>
      </c>
      <c r="K226" s="464">
        <v>30047</v>
      </c>
      <c r="L226" s="464"/>
      <c r="M226" s="461">
        <v>104</v>
      </c>
      <c r="N226" s="461">
        <v>0</v>
      </c>
      <c r="O226" s="461">
        <v>0</v>
      </c>
      <c r="P226" s="464">
        <v>114</v>
      </c>
      <c r="Q226" s="464">
        <v>218</v>
      </c>
      <c r="R226" s="464"/>
      <c r="S226" s="461">
        <v>12422</v>
      </c>
      <c r="T226" s="462">
        <v>7543</v>
      </c>
      <c r="U226" s="462">
        <v>19965</v>
      </c>
      <c r="W226" s="464">
        <v>74927</v>
      </c>
      <c r="X226" s="464">
        <v>17168</v>
      </c>
    </row>
    <row r="227" spans="1:24">
      <c r="A227" s="458">
        <v>92331</v>
      </c>
      <c r="B227" s="459" t="s">
        <v>935</v>
      </c>
      <c r="C227" s="463">
        <v>1.5023E-4</v>
      </c>
      <c r="D227" s="463">
        <v>1.6469999999999999E-4</v>
      </c>
      <c r="E227" s="464">
        <v>994986</v>
      </c>
      <c r="F227" s="464"/>
      <c r="G227" s="461">
        <v>110871</v>
      </c>
      <c r="H227" s="461">
        <v>266302</v>
      </c>
      <c r="I227" s="461">
        <v>42281</v>
      </c>
      <c r="J227" s="464">
        <v>18039</v>
      </c>
      <c r="K227" s="464">
        <v>437493</v>
      </c>
      <c r="L227" s="464"/>
      <c r="M227" s="461">
        <v>2387</v>
      </c>
      <c r="N227" s="461">
        <v>0</v>
      </c>
      <c r="O227" s="461">
        <v>0</v>
      </c>
      <c r="P227" s="464">
        <v>28389</v>
      </c>
      <c r="Q227" s="464">
        <v>30776</v>
      </c>
      <c r="R227" s="464"/>
      <c r="S227" s="461">
        <v>285788</v>
      </c>
      <c r="T227" s="462">
        <v>14630</v>
      </c>
      <c r="U227" s="462">
        <v>300418</v>
      </c>
      <c r="W227" s="464">
        <v>1723775</v>
      </c>
      <c r="X227" s="464">
        <v>394979</v>
      </c>
    </row>
    <row r="228" spans="1:24">
      <c r="A228" s="458">
        <v>92341</v>
      </c>
      <c r="B228" s="459" t="s">
        <v>936</v>
      </c>
      <c r="C228" s="463">
        <v>6.3600000000000001E-6</v>
      </c>
      <c r="D228" s="463">
        <v>7.0999999999999998E-6</v>
      </c>
      <c r="E228" s="464">
        <v>42123</v>
      </c>
      <c r="F228" s="464"/>
      <c r="G228" s="461">
        <v>4694</v>
      </c>
      <c r="H228" s="461">
        <v>11274</v>
      </c>
      <c r="I228" s="461">
        <v>1790</v>
      </c>
      <c r="J228" s="464">
        <v>0</v>
      </c>
      <c r="K228" s="464">
        <v>17758</v>
      </c>
      <c r="L228" s="464"/>
      <c r="M228" s="461">
        <v>101</v>
      </c>
      <c r="N228" s="461">
        <v>0</v>
      </c>
      <c r="O228" s="461">
        <v>0</v>
      </c>
      <c r="P228" s="464">
        <v>4103</v>
      </c>
      <c r="Q228" s="464">
        <v>4204</v>
      </c>
      <c r="R228" s="464"/>
      <c r="S228" s="461">
        <v>12099</v>
      </c>
      <c r="T228" s="462">
        <v>-2661</v>
      </c>
      <c r="U228" s="462">
        <v>9438</v>
      </c>
      <c r="W228" s="464">
        <v>72976</v>
      </c>
      <c r="X228" s="464">
        <v>16721</v>
      </c>
    </row>
    <row r="229" spans="1:24">
      <c r="A229" s="458">
        <v>92351</v>
      </c>
      <c r="B229" s="459" t="s">
        <v>937</v>
      </c>
      <c r="C229" s="463">
        <v>3.502E-5</v>
      </c>
      <c r="D229" s="463">
        <v>3.01E-5</v>
      </c>
      <c r="E229" s="464">
        <v>231941</v>
      </c>
      <c r="F229" s="464"/>
      <c r="G229" s="461">
        <v>25845</v>
      </c>
      <c r="H229" s="461">
        <v>62077</v>
      </c>
      <c r="I229" s="461">
        <v>9856</v>
      </c>
      <c r="J229" s="464">
        <v>15099</v>
      </c>
      <c r="K229" s="464">
        <v>112877</v>
      </c>
      <c r="L229" s="464"/>
      <c r="M229" s="461">
        <v>556</v>
      </c>
      <c r="N229" s="461">
        <v>0</v>
      </c>
      <c r="O229" s="461">
        <v>0</v>
      </c>
      <c r="P229" s="464">
        <v>0</v>
      </c>
      <c r="Q229" s="464">
        <v>556</v>
      </c>
      <c r="R229" s="464"/>
      <c r="S229" s="461">
        <v>66620</v>
      </c>
      <c r="T229" s="462">
        <v>9557</v>
      </c>
      <c r="U229" s="462">
        <v>76177</v>
      </c>
      <c r="W229" s="464">
        <v>401828</v>
      </c>
      <c r="X229" s="464">
        <v>92073</v>
      </c>
    </row>
    <row r="230" spans="1:24">
      <c r="A230" s="458">
        <v>92401</v>
      </c>
      <c r="B230" s="459" t="s">
        <v>938</v>
      </c>
      <c r="C230" s="463">
        <v>2.6313500000000002E-3</v>
      </c>
      <c r="D230" s="463">
        <v>2.6510000000000001E-3</v>
      </c>
      <c r="E230" s="464">
        <v>17427660</v>
      </c>
      <c r="F230" s="464"/>
      <c r="G230" s="461">
        <v>1941957</v>
      </c>
      <c r="H230" s="461">
        <v>4664405</v>
      </c>
      <c r="I230" s="461">
        <v>740575</v>
      </c>
      <c r="J230" s="464">
        <v>407617</v>
      </c>
      <c r="K230" s="464">
        <v>7754554</v>
      </c>
      <c r="L230" s="464"/>
      <c r="M230" s="461">
        <v>41807</v>
      </c>
      <c r="N230" s="461">
        <v>0</v>
      </c>
      <c r="O230" s="461">
        <v>0</v>
      </c>
      <c r="P230" s="464">
        <v>0</v>
      </c>
      <c r="Q230" s="464">
        <v>41807</v>
      </c>
      <c r="R230" s="464"/>
      <c r="S230" s="461">
        <v>5005709</v>
      </c>
      <c r="T230" s="462">
        <v>214766</v>
      </c>
      <c r="U230" s="462">
        <v>5220475</v>
      </c>
      <c r="W230" s="464">
        <v>30192736</v>
      </c>
      <c r="X230" s="464">
        <v>6918253</v>
      </c>
    </row>
    <row r="231" spans="1:24">
      <c r="A231" s="458">
        <v>92403</v>
      </c>
      <c r="B231" s="459" t="s">
        <v>939</v>
      </c>
      <c r="C231" s="463">
        <v>1.223E-5</v>
      </c>
      <c r="D231" s="463">
        <v>1.0699999999999999E-5</v>
      </c>
      <c r="E231" s="464">
        <v>81000</v>
      </c>
      <c r="F231" s="464"/>
      <c r="G231" s="461">
        <v>9026</v>
      </c>
      <c r="H231" s="461">
        <v>21679</v>
      </c>
      <c r="I231" s="461">
        <v>3442</v>
      </c>
      <c r="J231" s="464">
        <v>13384</v>
      </c>
      <c r="K231" s="464">
        <v>47531</v>
      </c>
      <c r="L231" s="464"/>
      <c r="M231" s="461">
        <v>194</v>
      </c>
      <c r="N231" s="461">
        <v>0</v>
      </c>
      <c r="O231" s="461">
        <v>0</v>
      </c>
      <c r="P231" s="464">
        <v>4319</v>
      </c>
      <c r="Q231" s="464">
        <v>4513</v>
      </c>
      <c r="R231" s="464"/>
      <c r="S231" s="461">
        <v>23266</v>
      </c>
      <c r="T231" s="462">
        <v>6699</v>
      </c>
      <c r="U231" s="462">
        <v>29965</v>
      </c>
      <c r="W231" s="464">
        <v>140330</v>
      </c>
      <c r="X231" s="464">
        <v>32155</v>
      </c>
    </row>
    <row r="232" spans="1:24">
      <c r="A232" s="458">
        <v>92411</v>
      </c>
      <c r="B232" s="459" t="s">
        <v>940</v>
      </c>
      <c r="C232" s="463">
        <v>3.9027000000000002E-4</v>
      </c>
      <c r="D232" s="463">
        <v>4.0069999999999998E-4</v>
      </c>
      <c r="E232" s="464">
        <v>2584792</v>
      </c>
      <c r="F232" s="464"/>
      <c r="G232" s="461">
        <v>288022</v>
      </c>
      <c r="H232" s="461">
        <v>691804</v>
      </c>
      <c r="I232" s="461">
        <v>109839</v>
      </c>
      <c r="J232" s="464">
        <v>0</v>
      </c>
      <c r="K232" s="464">
        <v>1089665</v>
      </c>
      <c r="L232" s="464"/>
      <c r="M232" s="461">
        <v>6201</v>
      </c>
      <c r="N232" s="461">
        <v>0</v>
      </c>
      <c r="O232" s="461">
        <v>0</v>
      </c>
      <c r="P232" s="464">
        <v>104932</v>
      </c>
      <c r="Q232" s="464">
        <v>111133</v>
      </c>
      <c r="R232" s="464"/>
      <c r="S232" s="461">
        <v>742424</v>
      </c>
      <c r="T232" s="462">
        <v>-48575</v>
      </c>
      <c r="U232" s="462">
        <v>693849</v>
      </c>
      <c r="W232" s="464">
        <v>4478051</v>
      </c>
      <c r="X232" s="464">
        <v>1026084</v>
      </c>
    </row>
    <row r="233" spans="1:24">
      <c r="A233" s="458">
        <v>92417</v>
      </c>
      <c r="B233" s="459" t="s">
        <v>941</v>
      </c>
      <c r="C233" s="463">
        <v>1.1409999999999999E-5</v>
      </c>
      <c r="D233" s="463">
        <v>7.9000000000000006E-6</v>
      </c>
      <c r="E233" s="464">
        <v>75569</v>
      </c>
      <c r="F233" s="464"/>
      <c r="G233" s="461">
        <v>8421</v>
      </c>
      <c r="H233" s="461">
        <v>20226</v>
      </c>
      <c r="I233" s="461">
        <v>3211</v>
      </c>
      <c r="J233" s="464">
        <v>6629</v>
      </c>
      <c r="K233" s="464">
        <v>38487</v>
      </c>
      <c r="L233" s="464"/>
      <c r="M233" s="461">
        <v>181</v>
      </c>
      <c r="N233" s="461">
        <v>0</v>
      </c>
      <c r="O233" s="461">
        <v>0</v>
      </c>
      <c r="P233" s="464">
        <v>2892</v>
      </c>
      <c r="Q233" s="464">
        <v>3073</v>
      </c>
      <c r="R233" s="464"/>
      <c r="S233" s="461">
        <v>21706</v>
      </c>
      <c r="T233" s="462">
        <v>-3994</v>
      </c>
      <c r="U233" s="462">
        <v>17712</v>
      </c>
      <c r="W233" s="464">
        <v>130921</v>
      </c>
      <c r="X233" s="464">
        <v>29999</v>
      </c>
    </row>
    <row r="234" spans="1:24">
      <c r="A234" s="458">
        <v>92421</v>
      </c>
      <c r="B234" s="459" t="s">
        <v>942</v>
      </c>
      <c r="C234" s="463">
        <v>8.3699999999999995E-6</v>
      </c>
      <c r="D234" s="463">
        <v>8.4999999999999999E-6</v>
      </c>
      <c r="E234" s="464">
        <v>55435</v>
      </c>
      <c r="F234" s="464"/>
      <c r="G234" s="461">
        <v>6177</v>
      </c>
      <c r="H234" s="461">
        <v>14837</v>
      </c>
      <c r="I234" s="461">
        <v>2356</v>
      </c>
      <c r="J234" s="464">
        <v>3346</v>
      </c>
      <c r="K234" s="464">
        <v>26716</v>
      </c>
      <c r="L234" s="464"/>
      <c r="M234" s="461">
        <v>133</v>
      </c>
      <c r="N234" s="461">
        <v>0</v>
      </c>
      <c r="O234" s="461">
        <v>0</v>
      </c>
      <c r="P234" s="464">
        <v>8370</v>
      </c>
      <c r="Q234" s="464">
        <v>8503</v>
      </c>
      <c r="R234" s="464"/>
      <c r="S234" s="461">
        <v>15923</v>
      </c>
      <c r="T234" s="462">
        <v>-1403</v>
      </c>
      <c r="U234" s="462">
        <v>14520</v>
      </c>
      <c r="W234" s="464">
        <v>96039</v>
      </c>
      <c r="X234" s="464">
        <v>22006</v>
      </c>
    </row>
    <row r="235" spans="1:24">
      <c r="A235" s="458">
        <v>92427</v>
      </c>
      <c r="B235" s="459" t="s">
        <v>943</v>
      </c>
      <c r="C235" s="463">
        <v>1.35E-6</v>
      </c>
      <c r="D235" s="463">
        <v>1.5E-6</v>
      </c>
      <c r="E235" s="464">
        <v>8941</v>
      </c>
      <c r="F235" s="464"/>
      <c r="G235" s="461">
        <v>996</v>
      </c>
      <c r="H235" s="461">
        <v>2393</v>
      </c>
      <c r="I235" s="461">
        <v>380</v>
      </c>
      <c r="J235" s="464">
        <v>1634</v>
      </c>
      <c r="K235" s="464">
        <v>5403</v>
      </c>
      <c r="L235" s="464"/>
      <c r="M235" s="461">
        <v>21</v>
      </c>
      <c r="N235" s="461">
        <v>0</v>
      </c>
      <c r="O235" s="461">
        <v>0</v>
      </c>
      <c r="P235" s="464">
        <v>227</v>
      </c>
      <c r="Q235" s="464">
        <v>248</v>
      </c>
      <c r="R235" s="464"/>
      <c r="S235" s="461">
        <v>2568</v>
      </c>
      <c r="T235" s="462">
        <v>1024</v>
      </c>
      <c r="U235" s="462">
        <v>3592</v>
      </c>
      <c r="W235" s="464">
        <v>15490</v>
      </c>
      <c r="X235" s="464">
        <v>3549</v>
      </c>
    </row>
    <row r="236" spans="1:24">
      <c r="A236" s="458">
        <v>92431</v>
      </c>
      <c r="B236" s="459" t="s">
        <v>944</v>
      </c>
      <c r="C236" s="463">
        <v>9.6800000000000005E-6</v>
      </c>
      <c r="D236" s="463">
        <v>1.9899999999999999E-5</v>
      </c>
      <c r="E236" s="464">
        <v>64111</v>
      </c>
      <c r="F236" s="464"/>
      <c r="G236" s="461">
        <v>7144</v>
      </c>
      <c r="H236" s="461">
        <v>17159</v>
      </c>
      <c r="I236" s="461">
        <v>2724</v>
      </c>
      <c r="J236" s="464">
        <v>6623</v>
      </c>
      <c r="K236" s="464">
        <v>33650</v>
      </c>
      <c r="L236" s="464"/>
      <c r="M236" s="461">
        <v>154</v>
      </c>
      <c r="N236" s="461">
        <v>0</v>
      </c>
      <c r="O236" s="461">
        <v>0</v>
      </c>
      <c r="P236" s="464">
        <v>15130</v>
      </c>
      <c r="Q236" s="464">
        <v>15284</v>
      </c>
      <c r="R236" s="464"/>
      <c r="S236" s="461">
        <v>18415</v>
      </c>
      <c r="T236" s="462">
        <v>-280</v>
      </c>
      <c r="U236" s="462">
        <v>18135</v>
      </c>
      <c r="W236" s="464">
        <v>111071</v>
      </c>
      <c r="X236" s="464">
        <v>25450</v>
      </c>
    </row>
    <row r="237" spans="1:24">
      <c r="A237" s="458">
        <v>92441</v>
      </c>
      <c r="B237" s="459" t="s">
        <v>945</v>
      </c>
      <c r="C237" s="463">
        <v>8.9019999999999998E-5</v>
      </c>
      <c r="D237" s="463">
        <v>1.089E-4</v>
      </c>
      <c r="E237" s="464">
        <v>589587</v>
      </c>
      <c r="F237" s="464"/>
      <c r="G237" s="461">
        <v>65697</v>
      </c>
      <c r="H237" s="461">
        <v>157799</v>
      </c>
      <c r="I237" s="461">
        <v>25054</v>
      </c>
      <c r="J237" s="464">
        <v>9661</v>
      </c>
      <c r="K237" s="464">
        <v>258211</v>
      </c>
      <c r="L237" s="464"/>
      <c r="M237" s="461">
        <v>1414</v>
      </c>
      <c r="N237" s="461">
        <v>0</v>
      </c>
      <c r="O237" s="461">
        <v>0</v>
      </c>
      <c r="P237" s="464">
        <v>44244</v>
      </c>
      <c r="Q237" s="464">
        <v>45658</v>
      </c>
      <c r="R237" s="464"/>
      <c r="S237" s="461">
        <v>169346</v>
      </c>
      <c r="T237" s="462">
        <v>-9389</v>
      </c>
      <c r="U237" s="462">
        <v>159957</v>
      </c>
      <c r="W237" s="464">
        <v>1021437</v>
      </c>
      <c r="X237" s="464">
        <v>234048</v>
      </c>
    </row>
    <row r="238" spans="1:24">
      <c r="A238" s="458">
        <v>92444</v>
      </c>
      <c r="B238" s="459" t="s">
        <v>946</v>
      </c>
      <c r="C238" s="463">
        <v>9.5799999999999998E-6</v>
      </c>
      <c r="D238" s="463">
        <v>1.0200000000000001E-5</v>
      </c>
      <c r="E238" s="464">
        <v>63449</v>
      </c>
      <c r="F238" s="464"/>
      <c r="G238" s="461">
        <v>7070</v>
      </c>
      <c r="H238" s="461">
        <v>16982</v>
      </c>
      <c r="I238" s="461">
        <v>2696</v>
      </c>
      <c r="J238" s="464">
        <v>3480</v>
      </c>
      <c r="K238" s="464">
        <v>30228</v>
      </c>
      <c r="L238" s="464"/>
      <c r="M238" s="461">
        <v>152</v>
      </c>
      <c r="N238" s="461">
        <v>0</v>
      </c>
      <c r="O238" s="461">
        <v>0</v>
      </c>
      <c r="P238" s="464">
        <v>4887</v>
      </c>
      <c r="Q238" s="464">
        <v>5039</v>
      </c>
      <c r="R238" s="464"/>
      <c r="S238" s="461">
        <v>18224</v>
      </c>
      <c r="T238" s="462">
        <v>2710</v>
      </c>
      <c r="U238" s="462">
        <v>20934</v>
      </c>
      <c r="W238" s="464">
        <v>109923</v>
      </c>
      <c r="X238" s="464">
        <v>25187</v>
      </c>
    </row>
    <row r="239" spans="1:24">
      <c r="A239" s="458">
        <v>92451</v>
      </c>
      <c r="B239" s="459" t="s">
        <v>947</v>
      </c>
      <c r="C239" s="463">
        <v>1.0760999999999999E-4</v>
      </c>
      <c r="D239" s="463">
        <v>1.119E-4</v>
      </c>
      <c r="E239" s="464">
        <v>712710</v>
      </c>
      <c r="F239" s="464"/>
      <c r="G239" s="461">
        <v>79417</v>
      </c>
      <c r="H239" s="461">
        <v>190752</v>
      </c>
      <c r="I239" s="461">
        <v>30286</v>
      </c>
      <c r="J239" s="464">
        <v>57255</v>
      </c>
      <c r="K239" s="464">
        <v>357710</v>
      </c>
      <c r="L239" s="464"/>
      <c r="M239" s="461">
        <v>1710</v>
      </c>
      <c r="N239" s="461">
        <v>0</v>
      </c>
      <c r="O239" s="461">
        <v>0</v>
      </c>
      <c r="P239" s="464">
        <v>0</v>
      </c>
      <c r="Q239" s="464">
        <v>1710</v>
      </c>
      <c r="R239" s="464"/>
      <c r="S239" s="461">
        <v>204710</v>
      </c>
      <c r="T239" s="462">
        <v>32703</v>
      </c>
      <c r="U239" s="462">
        <v>237413</v>
      </c>
      <c r="W239" s="464">
        <v>1234743</v>
      </c>
      <c r="X239" s="464">
        <v>282924</v>
      </c>
    </row>
    <row r="240" spans="1:24">
      <c r="A240" s="458">
        <v>92461</v>
      </c>
      <c r="B240" s="459" t="s">
        <v>948</v>
      </c>
      <c r="C240" s="463">
        <v>9.6280000000000007E-5</v>
      </c>
      <c r="D240" s="463">
        <v>9.7E-5</v>
      </c>
      <c r="E240" s="464">
        <v>637671</v>
      </c>
      <c r="F240" s="464"/>
      <c r="G240" s="461">
        <v>71055</v>
      </c>
      <c r="H240" s="461">
        <v>170669</v>
      </c>
      <c r="I240" s="461">
        <v>27097</v>
      </c>
      <c r="J240" s="464">
        <v>37847</v>
      </c>
      <c r="K240" s="464">
        <v>306668</v>
      </c>
      <c r="L240" s="464"/>
      <c r="M240" s="461">
        <v>1530</v>
      </c>
      <c r="N240" s="461">
        <v>0</v>
      </c>
      <c r="O240" s="461">
        <v>0</v>
      </c>
      <c r="P240" s="464">
        <v>3263</v>
      </c>
      <c r="Q240" s="464">
        <v>4793</v>
      </c>
      <c r="R240" s="464"/>
      <c r="S240" s="461">
        <v>183157</v>
      </c>
      <c r="T240" s="462">
        <v>27443</v>
      </c>
      <c r="U240" s="462">
        <v>210600</v>
      </c>
      <c r="W240" s="464">
        <v>1104740</v>
      </c>
      <c r="X240" s="464">
        <v>253136</v>
      </c>
    </row>
    <row r="241" spans="1:24">
      <c r="A241" s="458">
        <v>92501</v>
      </c>
      <c r="B241" s="459" t="s">
        <v>949</v>
      </c>
      <c r="C241" s="463">
        <v>4.3997000000000003E-3</v>
      </c>
      <c r="D241" s="463">
        <v>3.9979999999999998E-3</v>
      </c>
      <c r="E241" s="464">
        <v>29139596</v>
      </c>
      <c r="F241" s="464"/>
      <c r="G241" s="461">
        <v>3247014</v>
      </c>
      <c r="H241" s="461">
        <v>7799031</v>
      </c>
      <c r="I241" s="461">
        <v>1238265</v>
      </c>
      <c r="J241" s="464">
        <v>967383</v>
      </c>
      <c r="K241" s="464">
        <v>13251693</v>
      </c>
      <c r="L241" s="464"/>
      <c r="M241" s="461">
        <v>69902</v>
      </c>
      <c r="N241" s="461">
        <v>0</v>
      </c>
      <c r="O241" s="461">
        <v>0</v>
      </c>
      <c r="P241" s="464">
        <v>19849</v>
      </c>
      <c r="Q241" s="464">
        <v>89751</v>
      </c>
      <c r="R241" s="464"/>
      <c r="S241" s="461">
        <v>8369703</v>
      </c>
      <c r="T241" s="462">
        <v>526710</v>
      </c>
      <c r="U241" s="462">
        <v>8896413</v>
      </c>
      <c r="W241" s="464">
        <v>50483205</v>
      </c>
      <c r="X241" s="464">
        <v>11567537</v>
      </c>
    </row>
    <row r="242" spans="1:24">
      <c r="A242" s="458">
        <v>92502</v>
      </c>
      <c r="B242" s="459" t="s">
        <v>950</v>
      </c>
      <c r="C242" s="463">
        <v>1.9230000000000001E-5</v>
      </c>
      <c r="D242" s="463">
        <v>2.3200000000000001E-5</v>
      </c>
      <c r="E242" s="464">
        <v>127362</v>
      </c>
      <c r="F242" s="464"/>
      <c r="G242" s="461">
        <v>14192</v>
      </c>
      <c r="H242" s="461">
        <v>34088</v>
      </c>
      <c r="I242" s="461">
        <v>5412</v>
      </c>
      <c r="J242" s="464">
        <v>7230</v>
      </c>
      <c r="K242" s="464">
        <v>60922</v>
      </c>
      <c r="L242" s="464"/>
      <c r="M242" s="461">
        <v>306</v>
      </c>
      <c r="N242" s="461">
        <v>0</v>
      </c>
      <c r="O242" s="461">
        <v>0</v>
      </c>
      <c r="P242" s="464">
        <v>4278</v>
      </c>
      <c r="Q242" s="464">
        <v>4584</v>
      </c>
      <c r="R242" s="464"/>
      <c r="S242" s="461">
        <v>36582</v>
      </c>
      <c r="T242" s="462">
        <v>3611</v>
      </c>
      <c r="U242" s="462">
        <v>40193</v>
      </c>
      <c r="W242" s="464">
        <v>220650</v>
      </c>
      <c r="X242" s="464">
        <v>50559</v>
      </c>
    </row>
    <row r="243" spans="1:24">
      <c r="A243" s="458">
        <v>92504</v>
      </c>
      <c r="B243" s="459" t="s">
        <v>951</v>
      </c>
      <c r="C243" s="463">
        <v>1.1294999999999999E-4</v>
      </c>
      <c r="D243" s="463">
        <v>9.3999999999999994E-5</v>
      </c>
      <c r="E243" s="464">
        <v>748078</v>
      </c>
      <c r="F243" s="464"/>
      <c r="G243" s="461">
        <v>83358</v>
      </c>
      <c r="H243" s="461">
        <v>200218</v>
      </c>
      <c r="I243" s="461">
        <v>31789</v>
      </c>
      <c r="J243" s="464">
        <v>65526</v>
      </c>
      <c r="K243" s="464">
        <v>380891</v>
      </c>
      <c r="L243" s="464"/>
      <c r="M243" s="461">
        <v>1795</v>
      </c>
      <c r="N243" s="461">
        <v>0</v>
      </c>
      <c r="O243" s="461">
        <v>0</v>
      </c>
      <c r="P243" s="464">
        <v>0</v>
      </c>
      <c r="Q243" s="464">
        <v>1795</v>
      </c>
      <c r="R243" s="464"/>
      <c r="S243" s="461">
        <v>214869</v>
      </c>
      <c r="T243" s="462">
        <v>37760</v>
      </c>
      <c r="U243" s="462">
        <v>252629</v>
      </c>
      <c r="W243" s="464">
        <v>1296015</v>
      </c>
      <c r="X243" s="464">
        <v>296964</v>
      </c>
    </row>
    <row r="244" spans="1:24">
      <c r="A244" s="458">
        <v>92505</v>
      </c>
      <c r="B244" s="459" t="s">
        <v>952</v>
      </c>
      <c r="C244" s="463">
        <v>1.0402E-4</v>
      </c>
      <c r="D244" s="463">
        <v>1.103E-4</v>
      </c>
      <c r="E244" s="464">
        <v>688934</v>
      </c>
      <c r="F244" s="464"/>
      <c r="G244" s="461">
        <v>76768</v>
      </c>
      <c r="H244" s="461">
        <v>184389</v>
      </c>
      <c r="I244" s="461">
        <v>29276</v>
      </c>
      <c r="J244" s="464">
        <v>22113</v>
      </c>
      <c r="K244" s="464">
        <v>312546</v>
      </c>
      <c r="L244" s="464"/>
      <c r="M244" s="461">
        <v>1653</v>
      </c>
      <c r="N244" s="461">
        <v>0</v>
      </c>
      <c r="O244" s="461">
        <v>0</v>
      </c>
      <c r="P244" s="464">
        <v>36819</v>
      </c>
      <c r="Q244" s="464">
        <v>38472</v>
      </c>
      <c r="R244" s="464"/>
      <c r="S244" s="461">
        <v>197881</v>
      </c>
      <c r="T244" s="462">
        <v>-7339</v>
      </c>
      <c r="U244" s="462">
        <v>190542</v>
      </c>
      <c r="W244" s="464">
        <v>1193550</v>
      </c>
      <c r="X244" s="464">
        <v>273486</v>
      </c>
    </row>
    <row r="245" spans="1:24">
      <c r="A245" s="458">
        <v>92506</v>
      </c>
      <c r="B245" s="459" t="s">
        <v>953</v>
      </c>
      <c r="C245" s="463">
        <v>7.6550000000000004E-5</v>
      </c>
      <c r="D245" s="463">
        <v>6.3E-5</v>
      </c>
      <c r="E245" s="464">
        <v>506997</v>
      </c>
      <c r="F245" s="464"/>
      <c r="G245" s="461">
        <v>56495</v>
      </c>
      <c r="H245" s="461">
        <v>135695</v>
      </c>
      <c r="I245" s="461">
        <v>21544</v>
      </c>
      <c r="J245" s="464">
        <v>59406</v>
      </c>
      <c r="K245" s="464">
        <v>273140</v>
      </c>
      <c r="L245" s="464"/>
      <c r="M245" s="461">
        <v>1216</v>
      </c>
      <c r="N245" s="461">
        <v>0</v>
      </c>
      <c r="O245" s="461">
        <v>0</v>
      </c>
      <c r="P245" s="464">
        <v>2273</v>
      </c>
      <c r="Q245" s="464">
        <v>3489</v>
      </c>
      <c r="R245" s="464"/>
      <c r="S245" s="461">
        <v>145624</v>
      </c>
      <c r="T245" s="462">
        <v>29167</v>
      </c>
      <c r="U245" s="462">
        <v>174791</v>
      </c>
      <c r="W245" s="464">
        <v>878353</v>
      </c>
      <c r="X245" s="464">
        <v>201263</v>
      </c>
    </row>
    <row r="246" spans="1:24">
      <c r="A246" s="458">
        <v>92507</v>
      </c>
      <c r="B246" s="459" t="s">
        <v>954</v>
      </c>
      <c r="C246" s="463">
        <v>1.0215E-4</v>
      </c>
      <c r="D246" s="463">
        <v>9.6700000000000006E-5</v>
      </c>
      <c r="E246" s="464">
        <v>676548</v>
      </c>
      <c r="F246" s="464"/>
      <c r="G246" s="461">
        <v>75388</v>
      </c>
      <c r="H246" s="461">
        <v>181074</v>
      </c>
      <c r="I246" s="461">
        <v>28749</v>
      </c>
      <c r="J246" s="464">
        <v>6746</v>
      </c>
      <c r="K246" s="464">
        <v>291957</v>
      </c>
      <c r="L246" s="464"/>
      <c r="M246" s="461">
        <v>1623</v>
      </c>
      <c r="N246" s="461">
        <v>0</v>
      </c>
      <c r="O246" s="461">
        <v>0</v>
      </c>
      <c r="P246" s="464">
        <v>16624</v>
      </c>
      <c r="Q246" s="464">
        <v>18247</v>
      </c>
      <c r="R246" s="464"/>
      <c r="S246" s="461">
        <v>194324</v>
      </c>
      <c r="T246" s="462">
        <v>-5297</v>
      </c>
      <c r="U246" s="462">
        <v>189027</v>
      </c>
      <c r="W246" s="464">
        <v>1172093</v>
      </c>
      <c r="X246" s="464">
        <v>268569</v>
      </c>
    </row>
    <row r="247" spans="1:24">
      <c r="A247" s="458">
        <v>92508</v>
      </c>
      <c r="B247" s="459" t="s">
        <v>955</v>
      </c>
      <c r="C247" s="463">
        <v>2.6845999999999999E-4</v>
      </c>
      <c r="D247" s="463">
        <v>2.8909999999999998E-4</v>
      </c>
      <c r="E247" s="464">
        <v>1778034</v>
      </c>
      <c r="F247" s="464"/>
      <c r="G247" s="461">
        <v>198126</v>
      </c>
      <c r="H247" s="461">
        <v>475880</v>
      </c>
      <c r="I247" s="461">
        <v>75556</v>
      </c>
      <c r="J247" s="464">
        <v>25660</v>
      </c>
      <c r="K247" s="464">
        <v>775222</v>
      </c>
      <c r="L247" s="464"/>
      <c r="M247" s="461">
        <v>4265</v>
      </c>
      <c r="N247" s="461">
        <v>0</v>
      </c>
      <c r="O247" s="461">
        <v>0</v>
      </c>
      <c r="P247" s="464">
        <v>4908</v>
      </c>
      <c r="Q247" s="464">
        <v>9173</v>
      </c>
      <c r="R247" s="464"/>
      <c r="S247" s="461">
        <v>510701</v>
      </c>
      <c r="T247" s="462">
        <v>20891</v>
      </c>
      <c r="U247" s="462">
        <v>531592</v>
      </c>
      <c r="W247" s="464">
        <v>3080374</v>
      </c>
      <c r="X247" s="464">
        <v>705826</v>
      </c>
    </row>
    <row r="248" spans="1:24">
      <c r="A248" s="458">
        <v>92511</v>
      </c>
      <c r="B248" s="459" t="s">
        <v>956</v>
      </c>
      <c r="C248" s="463">
        <v>3.2512000000000001E-3</v>
      </c>
      <c r="D248" s="463">
        <v>3.2678999999999998E-3</v>
      </c>
      <c r="E248" s="464">
        <v>21532980</v>
      </c>
      <c r="F248" s="464"/>
      <c r="G248" s="461">
        <v>2399412</v>
      </c>
      <c r="H248" s="461">
        <v>5763168</v>
      </c>
      <c r="I248" s="461">
        <v>915027</v>
      </c>
      <c r="J248" s="464">
        <v>77067</v>
      </c>
      <c r="K248" s="464">
        <v>9154674</v>
      </c>
      <c r="L248" s="464"/>
      <c r="M248" s="461">
        <v>51655</v>
      </c>
      <c r="N248" s="461">
        <v>0</v>
      </c>
      <c r="O248" s="461">
        <v>0</v>
      </c>
      <c r="P248" s="464">
        <v>134169</v>
      </c>
      <c r="Q248" s="464">
        <v>185824</v>
      </c>
      <c r="R248" s="464"/>
      <c r="S248" s="461">
        <v>6184872</v>
      </c>
      <c r="T248" s="462">
        <v>-106842</v>
      </c>
      <c r="U248" s="462">
        <v>6078030</v>
      </c>
      <c r="W248" s="464">
        <v>37305043</v>
      </c>
      <c r="X248" s="464">
        <v>8547941</v>
      </c>
    </row>
    <row r="249" spans="1:24">
      <c r="A249" s="458">
        <v>92513</v>
      </c>
      <c r="B249" s="459" t="s">
        <v>957</v>
      </c>
      <c r="C249" s="463">
        <v>4.7714599999999999E-3</v>
      </c>
      <c r="D249" s="463">
        <v>4.5151000000000002E-3</v>
      </c>
      <c r="E249" s="464">
        <v>31601795</v>
      </c>
      <c r="F249" s="464"/>
      <c r="G249" s="461">
        <v>3521376</v>
      </c>
      <c r="H249" s="461">
        <v>8458024</v>
      </c>
      <c r="I249" s="461">
        <v>1342894</v>
      </c>
      <c r="J249" s="464">
        <v>957231</v>
      </c>
      <c r="K249" s="464">
        <v>14279525</v>
      </c>
      <c r="L249" s="464"/>
      <c r="M249" s="461">
        <v>75809</v>
      </c>
      <c r="N249" s="461">
        <v>0</v>
      </c>
      <c r="O249" s="461">
        <v>0</v>
      </c>
      <c r="P249" s="464">
        <v>151267</v>
      </c>
      <c r="Q249" s="464">
        <v>227076</v>
      </c>
      <c r="R249" s="464"/>
      <c r="S249" s="461">
        <v>9076915</v>
      </c>
      <c r="T249" s="462">
        <v>285463</v>
      </c>
      <c r="U249" s="462">
        <v>9362378</v>
      </c>
      <c r="W249" s="464">
        <v>54748868</v>
      </c>
      <c r="X249" s="464">
        <v>12544956</v>
      </c>
    </row>
    <row r="250" spans="1:24">
      <c r="A250" s="458">
        <v>92521</v>
      </c>
      <c r="B250" s="459" t="s">
        <v>958</v>
      </c>
      <c r="C250" s="463">
        <v>6.7009999999999997E-5</v>
      </c>
      <c r="D250" s="463">
        <v>7.5300000000000001E-5</v>
      </c>
      <c r="E250" s="464">
        <v>443813</v>
      </c>
      <c r="F250" s="464"/>
      <c r="G250" s="461">
        <v>49454</v>
      </c>
      <c r="H250" s="461">
        <v>118784</v>
      </c>
      <c r="I250" s="461">
        <v>18859</v>
      </c>
      <c r="J250" s="464">
        <v>9282</v>
      </c>
      <c r="K250" s="464">
        <v>196379</v>
      </c>
      <c r="L250" s="464"/>
      <c r="M250" s="461">
        <v>1065</v>
      </c>
      <c r="N250" s="461">
        <v>0</v>
      </c>
      <c r="O250" s="461">
        <v>0</v>
      </c>
      <c r="P250" s="464">
        <v>15365</v>
      </c>
      <c r="Q250" s="464">
        <v>16430</v>
      </c>
      <c r="R250" s="464"/>
      <c r="S250" s="461">
        <v>127475</v>
      </c>
      <c r="T250" s="462">
        <v>-3659</v>
      </c>
      <c r="U250" s="462">
        <v>123816</v>
      </c>
      <c r="W250" s="464">
        <v>768889</v>
      </c>
      <c r="X250" s="464">
        <v>176180</v>
      </c>
    </row>
    <row r="251" spans="1:24">
      <c r="A251" s="458">
        <v>92531</v>
      </c>
      <c r="B251" s="459" t="s">
        <v>959</v>
      </c>
      <c r="C251" s="463">
        <v>8.8796000000000003E-4</v>
      </c>
      <c r="D251" s="463">
        <v>7.9290000000000003E-4</v>
      </c>
      <c r="E251" s="464">
        <v>5881036</v>
      </c>
      <c r="F251" s="464"/>
      <c r="G251" s="461">
        <v>655322</v>
      </c>
      <c r="H251" s="461">
        <v>1574023</v>
      </c>
      <c r="I251" s="461">
        <v>249910</v>
      </c>
      <c r="J251" s="464">
        <v>182927</v>
      </c>
      <c r="K251" s="464">
        <v>2662182</v>
      </c>
      <c r="L251" s="464"/>
      <c r="M251" s="461">
        <v>14108</v>
      </c>
      <c r="N251" s="461">
        <v>0</v>
      </c>
      <c r="O251" s="461">
        <v>0</v>
      </c>
      <c r="P251" s="464">
        <v>67327</v>
      </c>
      <c r="Q251" s="464">
        <v>81435</v>
      </c>
      <c r="R251" s="464"/>
      <c r="S251" s="461">
        <v>1689197</v>
      </c>
      <c r="T251" s="462">
        <v>-2708</v>
      </c>
      <c r="U251" s="462">
        <v>1686489</v>
      </c>
      <c r="W251" s="464">
        <v>10188664</v>
      </c>
      <c r="X251" s="464">
        <v>2334593</v>
      </c>
    </row>
    <row r="252" spans="1:24">
      <c r="A252" s="458">
        <v>92541</v>
      </c>
      <c r="B252" s="459" t="s">
        <v>960</v>
      </c>
      <c r="C252" s="463">
        <v>1.2762E-4</v>
      </c>
      <c r="D252" s="463">
        <v>1.449E-4</v>
      </c>
      <c r="E252" s="464">
        <v>845238</v>
      </c>
      <c r="F252" s="464"/>
      <c r="G252" s="461">
        <v>94185</v>
      </c>
      <c r="H252" s="461">
        <v>226223</v>
      </c>
      <c r="I252" s="461">
        <v>35918</v>
      </c>
      <c r="J252" s="464">
        <v>0</v>
      </c>
      <c r="K252" s="464">
        <v>356326</v>
      </c>
      <c r="L252" s="464"/>
      <c r="M252" s="461">
        <v>2028</v>
      </c>
      <c r="N252" s="461">
        <v>0</v>
      </c>
      <c r="O252" s="461">
        <v>0</v>
      </c>
      <c r="P252" s="464">
        <v>57008</v>
      </c>
      <c r="Q252" s="464">
        <v>59036</v>
      </c>
      <c r="R252" s="464"/>
      <c r="S252" s="461">
        <v>242776</v>
      </c>
      <c r="T252" s="462">
        <v>-15418</v>
      </c>
      <c r="U252" s="462">
        <v>227358</v>
      </c>
      <c r="W252" s="464">
        <v>1464342</v>
      </c>
      <c r="X252" s="464">
        <v>335534</v>
      </c>
    </row>
    <row r="253" spans="1:24">
      <c r="A253" s="458">
        <v>92551</v>
      </c>
      <c r="B253" s="459" t="s">
        <v>961</v>
      </c>
      <c r="C253" s="463">
        <v>5.7840000000000002E-5</v>
      </c>
      <c r="D253" s="463">
        <v>6.2199999999999994E-5</v>
      </c>
      <c r="E253" s="464">
        <v>383079</v>
      </c>
      <c r="F253" s="464"/>
      <c r="G253" s="461">
        <v>42686</v>
      </c>
      <c r="H253" s="461">
        <v>102529</v>
      </c>
      <c r="I253" s="461">
        <v>16279</v>
      </c>
      <c r="J253" s="464">
        <v>1673</v>
      </c>
      <c r="K253" s="464">
        <v>163167</v>
      </c>
      <c r="L253" s="464"/>
      <c r="M253" s="461">
        <v>919</v>
      </c>
      <c r="N253" s="461">
        <v>0</v>
      </c>
      <c r="O253" s="461">
        <v>0</v>
      </c>
      <c r="P253" s="464">
        <v>22134</v>
      </c>
      <c r="Q253" s="464">
        <v>23053</v>
      </c>
      <c r="R253" s="464"/>
      <c r="S253" s="461">
        <v>110031</v>
      </c>
      <c r="T253" s="462">
        <v>-6942</v>
      </c>
      <c r="U253" s="462">
        <v>103089</v>
      </c>
      <c r="W253" s="464">
        <v>663670</v>
      </c>
      <c r="X253" s="464">
        <v>152071</v>
      </c>
    </row>
    <row r="254" spans="1:24">
      <c r="A254" s="458">
        <v>92561</v>
      </c>
      <c r="B254" s="459" t="s">
        <v>962</v>
      </c>
      <c r="C254" s="463">
        <v>1.1389999999999999E-5</v>
      </c>
      <c r="D254" s="463">
        <v>1.2099999999999999E-5</v>
      </c>
      <c r="E254" s="464">
        <v>75437</v>
      </c>
      <c r="F254" s="464"/>
      <c r="G254" s="461">
        <v>8406</v>
      </c>
      <c r="H254" s="461">
        <v>20190</v>
      </c>
      <c r="I254" s="461">
        <v>3206</v>
      </c>
      <c r="J254" s="464">
        <v>3698</v>
      </c>
      <c r="K254" s="464">
        <v>35500</v>
      </c>
      <c r="L254" s="464"/>
      <c r="M254" s="461">
        <v>181</v>
      </c>
      <c r="N254" s="461">
        <v>0</v>
      </c>
      <c r="O254" s="461">
        <v>0</v>
      </c>
      <c r="P254" s="464">
        <v>4686</v>
      </c>
      <c r="Q254" s="464">
        <v>4867</v>
      </c>
      <c r="R254" s="464"/>
      <c r="S254" s="461">
        <v>21668</v>
      </c>
      <c r="T254" s="462">
        <v>-1402</v>
      </c>
      <c r="U254" s="462">
        <v>20266</v>
      </c>
      <c r="W254" s="464">
        <v>130692</v>
      </c>
      <c r="X254" s="464">
        <v>29946</v>
      </c>
    </row>
    <row r="255" spans="1:24">
      <c r="A255" s="458">
        <v>92571</v>
      </c>
      <c r="B255" s="459" t="s">
        <v>963</v>
      </c>
      <c r="C255" s="463">
        <v>8.8300000000000002E-6</v>
      </c>
      <c r="D255" s="463">
        <v>8.1999999999999994E-6</v>
      </c>
      <c r="E255" s="464">
        <v>58482</v>
      </c>
      <c r="F255" s="464"/>
      <c r="G255" s="461">
        <v>6517</v>
      </c>
      <c r="H255" s="461">
        <v>15652</v>
      </c>
      <c r="I255" s="461">
        <v>2485</v>
      </c>
      <c r="J255" s="464">
        <v>5190</v>
      </c>
      <c r="K255" s="464">
        <v>29844</v>
      </c>
      <c r="L255" s="464"/>
      <c r="M255" s="461">
        <v>140</v>
      </c>
      <c r="N255" s="461">
        <v>0</v>
      </c>
      <c r="O255" s="461">
        <v>0</v>
      </c>
      <c r="P255" s="464">
        <v>0</v>
      </c>
      <c r="Q255" s="464">
        <v>140</v>
      </c>
      <c r="R255" s="464"/>
      <c r="S255" s="461">
        <v>16798</v>
      </c>
      <c r="T255" s="462">
        <v>1944</v>
      </c>
      <c r="U255" s="462">
        <v>18742</v>
      </c>
      <c r="W255" s="464">
        <v>101318</v>
      </c>
      <c r="X255" s="464">
        <v>23216</v>
      </c>
    </row>
    <row r="256" spans="1:24">
      <c r="A256" s="458">
        <v>92601</v>
      </c>
      <c r="B256" s="459" t="s">
        <v>964</v>
      </c>
      <c r="C256" s="463">
        <v>1.185579E-2</v>
      </c>
      <c r="D256" s="463">
        <v>1.2269199999999999E-2</v>
      </c>
      <c r="E256" s="464">
        <v>78521929</v>
      </c>
      <c r="F256" s="464"/>
      <c r="G256" s="461">
        <v>8749668</v>
      </c>
      <c r="H256" s="461">
        <v>21015905</v>
      </c>
      <c r="I256" s="461">
        <v>3336729</v>
      </c>
      <c r="J256" s="464">
        <v>265625</v>
      </c>
      <c r="K256" s="464">
        <v>33367927</v>
      </c>
      <c r="L256" s="464"/>
      <c r="M256" s="461">
        <v>188365</v>
      </c>
      <c r="N256" s="461">
        <v>0</v>
      </c>
      <c r="O256" s="461">
        <v>0</v>
      </c>
      <c r="P256" s="464">
        <v>1261703</v>
      </c>
      <c r="Q256" s="464">
        <v>1450068</v>
      </c>
      <c r="R256" s="464"/>
      <c r="S256" s="461">
        <v>22553684</v>
      </c>
      <c r="T256" s="462">
        <v>-493126</v>
      </c>
      <c r="U256" s="462">
        <v>22060558</v>
      </c>
      <c r="W256" s="464">
        <v>136036156</v>
      </c>
      <c r="X256" s="464">
        <v>31170828</v>
      </c>
    </row>
    <row r="257" spans="1:24">
      <c r="A257" s="458">
        <v>92602</v>
      </c>
      <c r="B257" s="459" t="s">
        <v>965</v>
      </c>
      <c r="C257" s="463">
        <v>3.8500000000000004E-6</v>
      </c>
      <c r="D257" s="463">
        <v>5.6999999999999996E-6</v>
      </c>
      <c r="E257" s="464">
        <v>25499</v>
      </c>
      <c r="F257" s="464"/>
      <c r="G257" s="461">
        <v>2841</v>
      </c>
      <c r="H257" s="461">
        <v>6825</v>
      </c>
      <c r="I257" s="461">
        <v>1084</v>
      </c>
      <c r="J257" s="464">
        <v>903</v>
      </c>
      <c r="K257" s="464">
        <v>11653</v>
      </c>
      <c r="L257" s="464"/>
      <c r="M257" s="461">
        <v>61</v>
      </c>
      <c r="N257" s="461">
        <v>0</v>
      </c>
      <c r="O257" s="461">
        <v>0</v>
      </c>
      <c r="P257" s="464">
        <v>4987</v>
      </c>
      <c r="Q257" s="464">
        <v>5048</v>
      </c>
      <c r="R257" s="464"/>
      <c r="S257" s="461">
        <v>7324</v>
      </c>
      <c r="T257" s="462">
        <v>-1736</v>
      </c>
      <c r="U257" s="462">
        <v>5588</v>
      </c>
      <c r="W257" s="464">
        <v>44176</v>
      </c>
      <c r="X257" s="464">
        <v>10122</v>
      </c>
    </row>
    <row r="258" spans="1:24">
      <c r="A258" s="458">
        <v>92604</v>
      </c>
      <c r="B258" s="459" t="s">
        <v>966</v>
      </c>
      <c r="C258" s="463">
        <v>3.0694000000000001E-4</v>
      </c>
      <c r="D258" s="463">
        <v>3.2210000000000002E-4</v>
      </c>
      <c r="E258" s="464">
        <v>2032890</v>
      </c>
      <c r="F258" s="464"/>
      <c r="G258" s="461">
        <v>226524</v>
      </c>
      <c r="H258" s="461">
        <v>544090</v>
      </c>
      <c r="I258" s="461">
        <v>86386</v>
      </c>
      <c r="J258" s="464">
        <v>0</v>
      </c>
      <c r="K258" s="464">
        <v>857000</v>
      </c>
      <c r="L258" s="464"/>
      <c r="M258" s="461">
        <v>4877</v>
      </c>
      <c r="N258" s="461">
        <v>0</v>
      </c>
      <c r="O258" s="461">
        <v>0</v>
      </c>
      <c r="P258" s="464">
        <v>71047</v>
      </c>
      <c r="Q258" s="464">
        <v>75924</v>
      </c>
      <c r="R258" s="464"/>
      <c r="S258" s="461">
        <v>583903</v>
      </c>
      <c r="T258" s="462">
        <v>-18412</v>
      </c>
      <c r="U258" s="462">
        <v>565491</v>
      </c>
      <c r="W258" s="464">
        <v>3521903</v>
      </c>
      <c r="X258" s="464">
        <v>806996</v>
      </c>
    </row>
    <row r="259" spans="1:24">
      <c r="A259" s="458">
        <v>92607</v>
      </c>
      <c r="B259" s="459" t="s">
        <v>967</v>
      </c>
      <c r="C259" s="463">
        <v>1.5109999999999999E-4</v>
      </c>
      <c r="D259" s="463">
        <v>1.563E-4</v>
      </c>
      <c r="E259" s="464">
        <v>1000748</v>
      </c>
      <c r="F259" s="464"/>
      <c r="G259" s="461">
        <v>111513</v>
      </c>
      <c r="H259" s="461">
        <v>267844</v>
      </c>
      <c r="I259" s="461">
        <v>42526</v>
      </c>
      <c r="J259" s="464">
        <v>98957</v>
      </c>
      <c r="K259" s="464">
        <v>520840</v>
      </c>
      <c r="L259" s="464"/>
      <c r="M259" s="461">
        <v>2401</v>
      </c>
      <c r="N259" s="461">
        <v>0</v>
      </c>
      <c r="O259" s="461">
        <v>0</v>
      </c>
      <c r="P259" s="464">
        <v>5226</v>
      </c>
      <c r="Q259" s="464">
        <v>7627</v>
      </c>
      <c r="R259" s="464"/>
      <c r="S259" s="461">
        <v>287443</v>
      </c>
      <c r="T259" s="462">
        <v>56029</v>
      </c>
      <c r="U259" s="462">
        <v>343472</v>
      </c>
      <c r="W259" s="464">
        <v>1733757</v>
      </c>
      <c r="X259" s="464">
        <v>397267</v>
      </c>
    </row>
    <row r="260" spans="1:24">
      <c r="A260" s="458">
        <v>92611</v>
      </c>
      <c r="B260" s="459" t="s">
        <v>969</v>
      </c>
      <c r="C260" s="463">
        <v>1.1132970000000001E-2</v>
      </c>
      <c r="D260" s="463">
        <v>1.1181E-2</v>
      </c>
      <c r="E260" s="464">
        <v>73734629</v>
      </c>
      <c r="F260" s="464"/>
      <c r="G260" s="461">
        <v>8216221</v>
      </c>
      <c r="H260" s="461">
        <v>19734614</v>
      </c>
      <c r="I260" s="461">
        <v>3133296</v>
      </c>
      <c r="J260" s="464">
        <v>327756</v>
      </c>
      <c r="K260" s="464">
        <v>31411887</v>
      </c>
      <c r="L260" s="464"/>
      <c r="M260" s="461">
        <v>176881</v>
      </c>
      <c r="N260" s="461">
        <v>0</v>
      </c>
      <c r="O260" s="461">
        <v>0</v>
      </c>
      <c r="P260" s="464">
        <v>665751</v>
      </c>
      <c r="Q260" s="464">
        <v>842632</v>
      </c>
      <c r="R260" s="464"/>
      <c r="S260" s="461">
        <v>21178638</v>
      </c>
      <c r="T260" s="462">
        <v>-765264</v>
      </c>
      <c r="U260" s="462">
        <v>20413374</v>
      </c>
      <c r="W260" s="464">
        <v>127742347</v>
      </c>
      <c r="X260" s="464">
        <v>29270415</v>
      </c>
    </row>
    <row r="261" spans="1:24">
      <c r="A261" s="458">
        <v>92613</v>
      </c>
      <c r="B261" s="459" t="s">
        <v>970</v>
      </c>
      <c r="C261" s="463">
        <v>1.9146000000000001E-4</v>
      </c>
      <c r="D261" s="463">
        <v>2.098E-4</v>
      </c>
      <c r="E261" s="464">
        <v>1268056</v>
      </c>
      <c r="F261" s="464"/>
      <c r="G261" s="461">
        <v>141299</v>
      </c>
      <c r="H261" s="461">
        <v>339387</v>
      </c>
      <c r="I261" s="461">
        <v>53885</v>
      </c>
      <c r="J261" s="464">
        <v>24687</v>
      </c>
      <c r="K261" s="464">
        <v>559258</v>
      </c>
      <c r="L261" s="464"/>
      <c r="M261" s="461">
        <v>3042</v>
      </c>
      <c r="N261" s="461">
        <v>0</v>
      </c>
      <c r="O261" s="461">
        <v>0</v>
      </c>
      <c r="P261" s="464">
        <v>33429</v>
      </c>
      <c r="Q261" s="464">
        <v>36471</v>
      </c>
      <c r="R261" s="464"/>
      <c r="S261" s="461">
        <v>364221</v>
      </c>
      <c r="T261" s="462">
        <v>14928</v>
      </c>
      <c r="U261" s="462">
        <v>379149</v>
      </c>
      <c r="W261" s="464">
        <v>2196858</v>
      </c>
      <c r="X261" s="464">
        <v>503380</v>
      </c>
    </row>
    <row r="262" spans="1:24">
      <c r="A262" s="458">
        <v>92614</v>
      </c>
      <c r="B262" s="459" t="s">
        <v>971</v>
      </c>
      <c r="C262" s="463">
        <v>5.8996500000000002E-3</v>
      </c>
      <c r="D262" s="463">
        <v>6.071E-3</v>
      </c>
      <c r="E262" s="464">
        <v>39073895</v>
      </c>
      <c r="F262" s="464"/>
      <c r="G262" s="461">
        <v>4353989</v>
      </c>
      <c r="H262" s="461">
        <v>10457885</v>
      </c>
      <c r="I262" s="461">
        <v>1660415</v>
      </c>
      <c r="J262" s="464">
        <v>2330900</v>
      </c>
      <c r="K262" s="464">
        <v>18803189</v>
      </c>
      <c r="L262" s="464"/>
      <c r="M262" s="461">
        <v>93734</v>
      </c>
      <c r="N262" s="461">
        <v>0</v>
      </c>
      <c r="O262" s="461">
        <v>0</v>
      </c>
      <c r="P262" s="464">
        <v>104456</v>
      </c>
      <c r="Q262" s="464">
        <v>198190</v>
      </c>
      <c r="R262" s="464"/>
      <c r="S262" s="461">
        <v>11223111</v>
      </c>
      <c r="T262" s="462">
        <v>2161938</v>
      </c>
      <c r="U262" s="462">
        <v>13385049</v>
      </c>
      <c r="W262" s="464">
        <v>67693988</v>
      </c>
      <c r="X262" s="464">
        <v>15511153</v>
      </c>
    </row>
    <row r="263" spans="1:24">
      <c r="A263" s="458">
        <v>92621</v>
      </c>
      <c r="B263" s="459" t="s">
        <v>972</v>
      </c>
      <c r="C263" s="463">
        <v>2.1610000000000001E-5</v>
      </c>
      <c r="D263" s="463">
        <v>2.65E-5</v>
      </c>
      <c r="E263" s="464">
        <v>143125</v>
      </c>
      <c r="F263" s="464"/>
      <c r="G263" s="461">
        <v>15948</v>
      </c>
      <c r="H263" s="461">
        <v>38306</v>
      </c>
      <c r="I263" s="461">
        <v>6082</v>
      </c>
      <c r="J263" s="464">
        <v>4120</v>
      </c>
      <c r="K263" s="464">
        <v>64456</v>
      </c>
      <c r="L263" s="464"/>
      <c r="M263" s="461">
        <v>343</v>
      </c>
      <c r="N263" s="461">
        <v>0</v>
      </c>
      <c r="O263" s="461">
        <v>0</v>
      </c>
      <c r="P263" s="464">
        <v>1591</v>
      </c>
      <c r="Q263" s="464">
        <v>1934</v>
      </c>
      <c r="R263" s="464"/>
      <c r="S263" s="461">
        <v>41109</v>
      </c>
      <c r="T263" s="462">
        <v>2071</v>
      </c>
      <c r="U263" s="462">
        <v>43180</v>
      </c>
      <c r="W263" s="464">
        <v>247958</v>
      </c>
      <c r="X263" s="464">
        <v>56816</v>
      </c>
    </row>
    <row r="264" spans="1:24">
      <c r="A264" s="458">
        <v>92631</v>
      </c>
      <c r="B264" s="459" t="s">
        <v>973</v>
      </c>
      <c r="C264" s="463">
        <v>8.7135999999999995E-4</v>
      </c>
      <c r="D264" s="463">
        <v>8.8999999999999995E-4</v>
      </c>
      <c r="E264" s="464">
        <v>5771093</v>
      </c>
      <c r="F264" s="464"/>
      <c r="G264" s="461">
        <v>643071</v>
      </c>
      <c r="H264" s="461">
        <v>1544597</v>
      </c>
      <c r="I264" s="461">
        <v>245238</v>
      </c>
      <c r="J264" s="464">
        <v>111528</v>
      </c>
      <c r="K264" s="464">
        <v>2544434</v>
      </c>
      <c r="L264" s="464"/>
      <c r="M264" s="461">
        <v>13844</v>
      </c>
      <c r="N264" s="461">
        <v>0</v>
      </c>
      <c r="O264" s="461">
        <v>0</v>
      </c>
      <c r="P264" s="464">
        <v>139324</v>
      </c>
      <c r="Q264" s="464">
        <v>153168</v>
      </c>
      <c r="R264" s="464"/>
      <c r="S264" s="461">
        <v>1657619</v>
      </c>
      <c r="T264" s="462">
        <v>-39509</v>
      </c>
      <c r="U264" s="462">
        <v>1618110</v>
      </c>
      <c r="W264" s="464">
        <v>9998192</v>
      </c>
      <c r="X264" s="464">
        <v>2290949</v>
      </c>
    </row>
    <row r="265" spans="1:24">
      <c r="A265" s="458">
        <v>92641</v>
      </c>
      <c r="B265" s="459" t="s">
        <v>974</v>
      </c>
      <c r="C265" s="463">
        <v>8.4100000000000008E-6</v>
      </c>
      <c r="D265" s="463">
        <v>9.0000000000000002E-6</v>
      </c>
      <c r="E265" s="464">
        <v>55700</v>
      </c>
      <c r="F265" s="464"/>
      <c r="G265" s="461">
        <v>6207</v>
      </c>
      <c r="H265" s="461">
        <v>14908</v>
      </c>
      <c r="I265" s="461">
        <v>2367</v>
      </c>
      <c r="J265" s="464">
        <v>7005</v>
      </c>
      <c r="K265" s="464">
        <v>30487</v>
      </c>
      <c r="L265" s="464"/>
      <c r="M265" s="461">
        <v>134</v>
      </c>
      <c r="N265" s="461">
        <v>0</v>
      </c>
      <c r="O265" s="461">
        <v>0</v>
      </c>
      <c r="P265" s="464">
        <v>682</v>
      </c>
      <c r="Q265" s="464">
        <v>816</v>
      </c>
      <c r="R265" s="464"/>
      <c r="S265" s="461">
        <v>15999</v>
      </c>
      <c r="T265" s="462">
        <v>4122</v>
      </c>
      <c r="U265" s="462">
        <v>20121</v>
      </c>
      <c r="W265" s="464">
        <v>96498</v>
      </c>
      <c r="X265" s="464">
        <v>22111</v>
      </c>
    </row>
    <row r="266" spans="1:24">
      <c r="A266" s="458">
        <v>92651</v>
      </c>
      <c r="B266" s="459" t="s">
        <v>975</v>
      </c>
      <c r="C266" s="463">
        <v>4.3100000000000002E-6</v>
      </c>
      <c r="D266" s="463">
        <v>5.1000000000000003E-6</v>
      </c>
      <c r="E266" s="464">
        <v>28546</v>
      </c>
      <c r="F266" s="464"/>
      <c r="G266" s="461">
        <v>3181</v>
      </c>
      <c r="H266" s="461">
        <v>7640</v>
      </c>
      <c r="I266" s="461">
        <v>1213</v>
      </c>
      <c r="J266" s="464">
        <v>834</v>
      </c>
      <c r="K266" s="464">
        <v>12868</v>
      </c>
      <c r="L266" s="464"/>
      <c r="M266" s="461">
        <v>68</v>
      </c>
      <c r="N266" s="461">
        <v>0</v>
      </c>
      <c r="O266" s="461">
        <v>0</v>
      </c>
      <c r="P266" s="464">
        <v>1324</v>
      </c>
      <c r="Q266" s="464">
        <v>1392</v>
      </c>
      <c r="R266" s="464"/>
      <c r="S266" s="461">
        <v>8199</v>
      </c>
      <c r="T266" s="462">
        <v>347</v>
      </c>
      <c r="U266" s="462">
        <v>8546</v>
      </c>
      <c r="W266" s="464">
        <v>49454</v>
      </c>
      <c r="X266" s="464">
        <v>11332</v>
      </c>
    </row>
    <row r="267" spans="1:24">
      <c r="A267" s="458">
        <v>92661</v>
      </c>
      <c r="B267" s="459" t="s">
        <v>976</v>
      </c>
      <c r="C267" s="463">
        <v>3.9444000000000002E-4</v>
      </c>
      <c r="D267" s="463">
        <v>4.4010000000000002E-4</v>
      </c>
      <c r="E267" s="464">
        <v>2612410</v>
      </c>
      <c r="F267" s="464"/>
      <c r="G267" s="461">
        <v>291100</v>
      </c>
      <c r="H267" s="461">
        <v>699195</v>
      </c>
      <c r="I267" s="461">
        <v>111012</v>
      </c>
      <c r="J267" s="464">
        <v>254585</v>
      </c>
      <c r="K267" s="464">
        <v>1355892</v>
      </c>
      <c r="L267" s="464"/>
      <c r="M267" s="461">
        <v>6267</v>
      </c>
      <c r="N267" s="461">
        <v>0</v>
      </c>
      <c r="O267" s="461">
        <v>0</v>
      </c>
      <c r="P267" s="464">
        <v>223689</v>
      </c>
      <c r="Q267" s="464">
        <v>229956</v>
      </c>
      <c r="R267" s="464"/>
      <c r="S267" s="461">
        <v>750357</v>
      </c>
      <c r="T267" s="462">
        <v>78707</v>
      </c>
      <c r="U267" s="462">
        <v>829064</v>
      </c>
      <c r="W267" s="464">
        <v>4525898</v>
      </c>
      <c r="X267" s="464">
        <v>1037048</v>
      </c>
    </row>
    <row r="268" spans="1:24">
      <c r="A268" s="458">
        <v>92671</v>
      </c>
      <c r="B268" s="459" t="s">
        <v>977</v>
      </c>
      <c r="C268" s="463">
        <v>2.57E-6</v>
      </c>
      <c r="D268" s="463">
        <v>2.3E-6</v>
      </c>
      <c r="E268" s="464">
        <v>17021</v>
      </c>
      <c r="F268" s="464"/>
      <c r="G268" s="461">
        <v>1897</v>
      </c>
      <c r="H268" s="461">
        <v>4556</v>
      </c>
      <c r="I268" s="461">
        <v>723</v>
      </c>
      <c r="J268" s="464">
        <v>10491</v>
      </c>
      <c r="K268" s="464">
        <v>17667</v>
      </c>
      <c r="L268" s="464"/>
      <c r="M268" s="461">
        <v>41</v>
      </c>
      <c r="N268" s="461">
        <v>0</v>
      </c>
      <c r="O268" s="461">
        <v>0</v>
      </c>
      <c r="P268" s="464">
        <v>0</v>
      </c>
      <c r="Q268" s="464">
        <v>41</v>
      </c>
      <c r="R268" s="464"/>
      <c r="S268" s="461">
        <v>4889</v>
      </c>
      <c r="T268" s="462">
        <v>6415</v>
      </c>
      <c r="U268" s="462">
        <v>11304</v>
      </c>
      <c r="W268" s="464">
        <v>29489</v>
      </c>
      <c r="X268" s="464">
        <v>6757</v>
      </c>
    </row>
    <row r="269" spans="1:24">
      <c r="A269" s="458">
        <v>92681</v>
      </c>
      <c r="B269" s="459" t="s">
        <v>978</v>
      </c>
      <c r="C269" s="463">
        <v>8.14E-6</v>
      </c>
      <c r="D269" s="463">
        <v>8.8000000000000004E-6</v>
      </c>
      <c r="E269" s="464">
        <v>53912</v>
      </c>
      <c r="F269" s="464"/>
      <c r="G269" s="461">
        <v>6007</v>
      </c>
      <c r="H269" s="461">
        <v>14429</v>
      </c>
      <c r="I269" s="461">
        <v>2291</v>
      </c>
      <c r="J269" s="464">
        <v>0</v>
      </c>
      <c r="K269" s="464">
        <v>22727</v>
      </c>
      <c r="L269" s="464"/>
      <c r="M269" s="461">
        <v>129</v>
      </c>
      <c r="N269" s="461">
        <v>0</v>
      </c>
      <c r="O269" s="461">
        <v>0</v>
      </c>
      <c r="P269" s="464">
        <v>5798</v>
      </c>
      <c r="Q269" s="464">
        <v>5927</v>
      </c>
      <c r="R269" s="464"/>
      <c r="S269" s="461">
        <v>15485</v>
      </c>
      <c r="T269" s="462">
        <v>-3120</v>
      </c>
      <c r="U269" s="462">
        <v>12365</v>
      </c>
      <c r="W269" s="464">
        <v>93400</v>
      </c>
      <c r="X269" s="464">
        <v>21401</v>
      </c>
    </row>
    <row r="270" spans="1:24">
      <c r="A270" s="458">
        <v>92701</v>
      </c>
      <c r="B270" s="459" t="s">
        <v>979</v>
      </c>
      <c r="C270" s="463">
        <v>2.9739200000000001E-3</v>
      </c>
      <c r="D270" s="463">
        <v>3.1002E-3</v>
      </c>
      <c r="E270" s="464">
        <v>19696531</v>
      </c>
      <c r="F270" s="464"/>
      <c r="G270" s="461">
        <v>2194777</v>
      </c>
      <c r="H270" s="461">
        <v>5271654</v>
      </c>
      <c r="I270" s="461">
        <v>836989</v>
      </c>
      <c r="J270" s="464">
        <v>203002</v>
      </c>
      <c r="K270" s="464">
        <v>8506422</v>
      </c>
      <c r="L270" s="464"/>
      <c r="M270" s="461">
        <v>47250</v>
      </c>
      <c r="N270" s="461">
        <v>0</v>
      </c>
      <c r="O270" s="461">
        <v>0</v>
      </c>
      <c r="P270" s="464">
        <v>427660</v>
      </c>
      <c r="Q270" s="464">
        <v>474910</v>
      </c>
      <c r="R270" s="464"/>
      <c r="S270" s="461">
        <v>5657392</v>
      </c>
      <c r="T270" s="462">
        <v>-89775</v>
      </c>
      <c r="U270" s="462">
        <v>5567617</v>
      </c>
      <c r="W270" s="464">
        <v>34123466</v>
      </c>
      <c r="X270" s="464">
        <v>7818926</v>
      </c>
    </row>
    <row r="271" spans="1:24">
      <c r="A271" s="458">
        <v>92704</v>
      </c>
      <c r="B271" s="459" t="s">
        <v>980</v>
      </c>
      <c r="C271" s="463">
        <v>3.6879999999999999E-5</v>
      </c>
      <c r="D271" s="463">
        <v>4.1300000000000001E-5</v>
      </c>
      <c r="E271" s="464">
        <v>244259</v>
      </c>
      <c r="F271" s="464"/>
      <c r="G271" s="461">
        <v>27218</v>
      </c>
      <c r="H271" s="461">
        <v>65375</v>
      </c>
      <c r="I271" s="461">
        <v>10380</v>
      </c>
      <c r="J271" s="464">
        <v>3946</v>
      </c>
      <c r="K271" s="464">
        <v>106919</v>
      </c>
      <c r="L271" s="464"/>
      <c r="M271" s="461">
        <v>586</v>
      </c>
      <c r="N271" s="461">
        <v>0</v>
      </c>
      <c r="O271" s="461">
        <v>0</v>
      </c>
      <c r="P271" s="464">
        <v>11432</v>
      </c>
      <c r="Q271" s="464">
        <v>12018</v>
      </c>
      <c r="R271" s="464"/>
      <c r="S271" s="461">
        <v>70158</v>
      </c>
      <c r="T271" s="462">
        <v>-844</v>
      </c>
      <c r="U271" s="462">
        <v>69314</v>
      </c>
      <c r="W271" s="464">
        <v>423170</v>
      </c>
      <c r="X271" s="464">
        <v>96964</v>
      </c>
    </row>
    <row r="272" spans="1:24">
      <c r="A272" s="458">
        <v>92801</v>
      </c>
      <c r="B272" s="459" t="s">
        <v>981</v>
      </c>
      <c r="C272" s="463">
        <v>4.8968299999999996E-3</v>
      </c>
      <c r="D272" s="463">
        <v>5.5872999999999999E-3</v>
      </c>
      <c r="E272" s="464">
        <v>32432131</v>
      </c>
      <c r="F272" s="464"/>
      <c r="G272" s="461">
        <v>3613900</v>
      </c>
      <c r="H272" s="461">
        <v>8680258</v>
      </c>
      <c r="I272" s="461">
        <v>1378179</v>
      </c>
      <c r="J272" s="464">
        <v>489206</v>
      </c>
      <c r="K272" s="464">
        <v>14161543</v>
      </c>
      <c r="L272" s="464"/>
      <c r="M272" s="461">
        <v>77801</v>
      </c>
      <c r="N272" s="461">
        <v>0</v>
      </c>
      <c r="O272" s="461">
        <v>0</v>
      </c>
      <c r="P272" s="464">
        <v>1620784</v>
      </c>
      <c r="Q272" s="464">
        <v>1698585</v>
      </c>
      <c r="R272" s="464"/>
      <c r="S272" s="461">
        <v>9315411</v>
      </c>
      <c r="T272" s="462">
        <v>-313373</v>
      </c>
      <c r="U272" s="462">
        <v>9002038</v>
      </c>
      <c r="W272" s="464">
        <v>56187393</v>
      </c>
      <c r="X272" s="464">
        <v>12874574</v>
      </c>
    </row>
    <row r="273" spans="1:24">
      <c r="A273" s="458">
        <v>92802</v>
      </c>
      <c r="B273" s="459" t="s">
        <v>982</v>
      </c>
      <c r="C273" s="463">
        <v>9.6310000000000005E-5</v>
      </c>
      <c r="D273" s="463">
        <v>1.026E-4</v>
      </c>
      <c r="E273" s="464">
        <v>637870</v>
      </c>
      <c r="F273" s="464"/>
      <c r="G273" s="461">
        <v>71078</v>
      </c>
      <c r="H273" s="461">
        <v>170722</v>
      </c>
      <c r="I273" s="461">
        <v>27106</v>
      </c>
      <c r="J273" s="464">
        <v>34082</v>
      </c>
      <c r="K273" s="464">
        <v>302988</v>
      </c>
      <c r="L273" s="464"/>
      <c r="M273" s="461">
        <v>1530</v>
      </c>
      <c r="N273" s="461">
        <v>0</v>
      </c>
      <c r="O273" s="461">
        <v>0</v>
      </c>
      <c r="P273" s="464">
        <v>9696</v>
      </c>
      <c r="Q273" s="464">
        <v>11226</v>
      </c>
      <c r="R273" s="464"/>
      <c r="S273" s="461">
        <v>183214</v>
      </c>
      <c r="T273" s="462">
        <v>-2186</v>
      </c>
      <c r="U273" s="462">
        <v>181028</v>
      </c>
      <c r="W273" s="464">
        <v>1105084</v>
      </c>
      <c r="X273" s="464">
        <v>253215</v>
      </c>
    </row>
    <row r="274" spans="1:24">
      <c r="A274" s="458">
        <v>92804</v>
      </c>
      <c r="B274" s="459" t="s">
        <v>983</v>
      </c>
      <c r="C274" s="463">
        <v>1.4651000000000001E-4</v>
      </c>
      <c r="D274" s="463">
        <v>1.515E-4</v>
      </c>
      <c r="E274" s="464">
        <v>970348</v>
      </c>
      <c r="F274" s="464"/>
      <c r="G274" s="461">
        <v>108126</v>
      </c>
      <c r="H274" s="461">
        <v>259708</v>
      </c>
      <c r="I274" s="461">
        <v>41234</v>
      </c>
      <c r="J274" s="464">
        <v>16367</v>
      </c>
      <c r="K274" s="464">
        <v>425435</v>
      </c>
      <c r="L274" s="464"/>
      <c r="M274" s="461">
        <v>2328</v>
      </c>
      <c r="N274" s="461">
        <v>0</v>
      </c>
      <c r="O274" s="461">
        <v>0</v>
      </c>
      <c r="P274" s="464">
        <v>38865</v>
      </c>
      <c r="Q274" s="464">
        <v>41193</v>
      </c>
      <c r="R274" s="464"/>
      <c r="S274" s="461">
        <v>278711</v>
      </c>
      <c r="T274" s="462">
        <v>-12329</v>
      </c>
      <c r="U274" s="462">
        <v>266382</v>
      </c>
      <c r="W274" s="464">
        <v>1681091</v>
      </c>
      <c r="X274" s="464">
        <v>385199</v>
      </c>
    </row>
    <row r="275" spans="1:24">
      <c r="A275" s="458">
        <v>92811</v>
      </c>
      <c r="B275" s="459" t="s">
        <v>984</v>
      </c>
      <c r="C275" s="463">
        <v>9.1297000000000004E-4</v>
      </c>
      <c r="D275" s="463">
        <v>9.6560000000000005E-4</v>
      </c>
      <c r="E275" s="464">
        <v>6046680</v>
      </c>
      <c r="F275" s="464"/>
      <c r="G275" s="461">
        <v>673779</v>
      </c>
      <c r="H275" s="461">
        <v>1618356</v>
      </c>
      <c r="I275" s="461">
        <v>256949</v>
      </c>
      <c r="J275" s="464">
        <v>39327</v>
      </c>
      <c r="K275" s="464">
        <v>2588411</v>
      </c>
      <c r="L275" s="464"/>
      <c r="M275" s="461">
        <v>14505</v>
      </c>
      <c r="N275" s="461">
        <v>0</v>
      </c>
      <c r="O275" s="461">
        <v>0</v>
      </c>
      <c r="P275" s="464">
        <v>116102</v>
      </c>
      <c r="Q275" s="464">
        <v>130607</v>
      </c>
      <c r="R275" s="464"/>
      <c r="S275" s="461">
        <v>1736775</v>
      </c>
      <c r="T275" s="462">
        <v>-15099</v>
      </c>
      <c r="U275" s="462">
        <v>1721676</v>
      </c>
      <c r="W275" s="464">
        <v>10475635</v>
      </c>
      <c r="X275" s="464">
        <v>2400349</v>
      </c>
    </row>
    <row r="276" spans="1:24">
      <c r="A276" s="458">
        <v>92821</v>
      </c>
      <c r="B276" s="459" t="s">
        <v>985</v>
      </c>
      <c r="C276" s="463">
        <v>9.7282E-4</v>
      </c>
      <c r="D276" s="463">
        <v>1.0149E-3</v>
      </c>
      <c r="E276" s="464">
        <v>6443071</v>
      </c>
      <c r="F276" s="464"/>
      <c r="G276" s="461">
        <v>717949</v>
      </c>
      <c r="H276" s="461">
        <v>1724448</v>
      </c>
      <c r="I276" s="461">
        <v>273793</v>
      </c>
      <c r="J276" s="464">
        <v>87068</v>
      </c>
      <c r="K276" s="464">
        <v>2803258</v>
      </c>
      <c r="L276" s="464"/>
      <c r="M276" s="461">
        <v>15456</v>
      </c>
      <c r="N276" s="461">
        <v>0</v>
      </c>
      <c r="O276" s="461">
        <v>0</v>
      </c>
      <c r="P276" s="464">
        <v>32199</v>
      </c>
      <c r="Q276" s="464">
        <v>47655</v>
      </c>
      <c r="R276" s="464"/>
      <c r="S276" s="461">
        <v>1850630</v>
      </c>
      <c r="T276" s="462">
        <v>49334</v>
      </c>
      <c r="U276" s="462">
        <v>1899964</v>
      </c>
      <c r="W276" s="464">
        <v>11162368</v>
      </c>
      <c r="X276" s="464">
        <v>2557704</v>
      </c>
    </row>
    <row r="277" spans="1:24">
      <c r="A277" s="458">
        <v>92831</v>
      </c>
      <c r="B277" s="459" t="s">
        <v>986</v>
      </c>
      <c r="C277" s="463">
        <v>2.945E-4</v>
      </c>
      <c r="D277" s="463">
        <v>2.6239999999999998E-4</v>
      </c>
      <c r="E277" s="464">
        <v>1950499</v>
      </c>
      <c r="F277" s="464"/>
      <c r="G277" s="461">
        <v>217343</v>
      </c>
      <c r="H277" s="461">
        <v>522039</v>
      </c>
      <c r="I277" s="461">
        <v>82885</v>
      </c>
      <c r="J277" s="464">
        <v>112852</v>
      </c>
      <c r="K277" s="464">
        <v>935119</v>
      </c>
      <c r="L277" s="464"/>
      <c r="M277" s="461">
        <v>4679</v>
      </c>
      <c r="N277" s="461">
        <v>0</v>
      </c>
      <c r="O277" s="461">
        <v>0</v>
      </c>
      <c r="P277" s="464">
        <v>0</v>
      </c>
      <c r="Q277" s="464">
        <v>4679</v>
      </c>
      <c r="R277" s="464"/>
      <c r="S277" s="461">
        <v>560238</v>
      </c>
      <c r="T277" s="462">
        <v>64688</v>
      </c>
      <c r="U277" s="462">
        <v>624926</v>
      </c>
      <c r="W277" s="464">
        <v>3379163</v>
      </c>
      <c r="X277" s="464">
        <v>774289</v>
      </c>
    </row>
    <row r="278" spans="1:24">
      <c r="A278" s="458">
        <v>92841</v>
      </c>
      <c r="B278" s="459" t="s">
        <v>987</v>
      </c>
      <c r="C278" s="463">
        <v>2.3801000000000001E-4</v>
      </c>
      <c r="D278" s="463">
        <v>2.4919999999999999E-4</v>
      </c>
      <c r="E278" s="464">
        <v>1576361</v>
      </c>
      <c r="F278" s="464"/>
      <c r="G278" s="461">
        <v>175653</v>
      </c>
      <c r="H278" s="461">
        <v>421903</v>
      </c>
      <c r="I278" s="461">
        <v>66986</v>
      </c>
      <c r="J278" s="464">
        <v>20510</v>
      </c>
      <c r="K278" s="464">
        <v>685052</v>
      </c>
      <c r="L278" s="464"/>
      <c r="M278" s="461">
        <v>3782</v>
      </c>
      <c r="N278" s="461">
        <v>0</v>
      </c>
      <c r="O278" s="461">
        <v>0</v>
      </c>
      <c r="P278" s="464">
        <v>40090</v>
      </c>
      <c r="Q278" s="464">
        <v>43872</v>
      </c>
      <c r="R278" s="464"/>
      <c r="S278" s="461">
        <v>452775</v>
      </c>
      <c r="T278" s="462">
        <v>-5990</v>
      </c>
      <c r="U278" s="462">
        <v>446785</v>
      </c>
      <c r="W278" s="464">
        <v>2730983</v>
      </c>
      <c r="X278" s="464">
        <v>625768</v>
      </c>
    </row>
    <row r="279" spans="1:24">
      <c r="A279" s="458">
        <v>92851</v>
      </c>
      <c r="B279" s="459" t="s">
        <v>988</v>
      </c>
      <c r="C279" s="463">
        <v>3.6129000000000001E-4</v>
      </c>
      <c r="D279" s="463">
        <v>3.9889999999999999E-4</v>
      </c>
      <c r="E279" s="464">
        <v>2392855</v>
      </c>
      <c r="F279" s="464"/>
      <c r="G279" s="461">
        <v>266635</v>
      </c>
      <c r="H279" s="461">
        <v>640433</v>
      </c>
      <c r="I279" s="461">
        <v>101683</v>
      </c>
      <c r="J279" s="464">
        <v>27961</v>
      </c>
      <c r="K279" s="464">
        <v>1036712</v>
      </c>
      <c r="L279" s="464"/>
      <c r="M279" s="461">
        <v>5740</v>
      </c>
      <c r="N279" s="461">
        <v>0</v>
      </c>
      <c r="O279" s="461">
        <v>0</v>
      </c>
      <c r="P279" s="464">
        <v>99774</v>
      </c>
      <c r="Q279" s="464">
        <v>105514</v>
      </c>
      <c r="R279" s="464"/>
      <c r="S279" s="461">
        <v>687295</v>
      </c>
      <c r="T279" s="462">
        <v>-54861</v>
      </c>
      <c r="U279" s="462">
        <v>632434</v>
      </c>
      <c r="W279" s="464">
        <v>4145527</v>
      </c>
      <c r="X279" s="464">
        <v>949891</v>
      </c>
    </row>
    <row r="280" spans="1:24">
      <c r="A280" s="458">
        <v>92861</v>
      </c>
      <c r="B280" s="459" t="s">
        <v>989</v>
      </c>
      <c r="C280" s="463">
        <v>3.9179999999999998E-4</v>
      </c>
      <c r="D280" s="463">
        <v>4.2049999999999998E-4</v>
      </c>
      <c r="E280" s="464">
        <v>2594925</v>
      </c>
      <c r="F280" s="464"/>
      <c r="G280" s="461">
        <v>289152</v>
      </c>
      <c r="H280" s="461">
        <v>694516</v>
      </c>
      <c r="I280" s="461">
        <v>110269</v>
      </c>
      <c r="J280" s="464">
        <v>82974</v>
      </c>
      <c r="K280" s="464">
        <v>1176911</v>
      </c>
      <c r="L280" s="464"/>
      <c r="M280" s="461">
        <v>6225</v>
      </c>
      <c r="N280" s="461">
        <v>0</v>
      </c>
      <c r="O280" s="461">
        <v>0</v>
      </c>
      <c r="P280" s="464">
        <v>155311</v>
      </c>
      <c r="Q280" s="464">
        <v>161536</v>
      </c>
      <c r="R280" s="464"/>
      <c r="S280" s="461">
        <v>745335</v>
      </c>
      <c r="T280" s="462">
        <v>-42531</v>
      </c>
      <c r="U280" s="462">
        <v>702804</v>
      </c>
      <c r="W280" s="464">
        <v>4495606</v>
      </c>
      <c r="X280" s="464">
        <v>1030107</v>
      </c>
    </row>
    <row r="281" spans="1:24">
      <c r="A281" s="458">
        <v>92901</v>
      </c>
      <c r="B281" s="459" t="s">
        <v>990</v>
      </c>
      <c r="C281" s="463">
        <v>4.9617899999999998E-3</v>
      </c>
      <c r="D281" s="463">
        <v>5.3422000000000001E-3</v>
      </c>
      <c r="E281" s="464">
        <v>32862367</v>
      </c>
      <c r="F281" s="464"/>
      <c r="G281" s="461">
        <v>3661841</v>
      </c>
      <c r="H281" s="461">
        <v>8795408</v>
      </c>
      <c r="I281" s="461">
        <v>1396461</v>
      </c>
      <c r="J281" s="464">
        <v>183472</v>
      </c>
      <c r="K281" s="464">
        <v>14037182</v>
      </c>
      <c r="L281" s="464"/>
      <c r="M281" s="461">
        <v>78833</v>
      </c>
      <c r="N281" s="461">
        <v>0</v>
      </c>
      <c r="O281" s="461">
        <v>0</v>
      </c>
      <c r="P281" s="464">
        <v>744553</v>
      </c>
      <c r="Q281" s="464">
        <v>823386</v>
      </c>
      <c r="R281" s="464"/>
      <c r="S281" s="461">
        <v>9438987</v>
      </c>
      <c r="T281" s="462">
        <v>-171226</v>
      </c>
      <c r="U281" s="462">
        <v>9267761</v>
      </c>
      <c r="W281" s="464">
        <v>56932759</v>
      </c>
      <c r="X281" s="464">
        <v>13045365</v>
      </c>
    </row>
    <row r="282" spans="1:24">
      <c r="A282" s="458">
        <v>92911</v>
      </c>
      <c r="B282" s="459" t="s">
        <v>991</v>
      </c>
      <c r="C282" s="463">
        <v>1.8006000000000001E-3</v>
      </c>
      <c r="D282" s="463">
        <v>1.8523999999999999E-3</v>
      </c>
      <c r="E282" s="464">
        <v>11925530</v>
      </c>
      <c r="F282" s="464"/>
      <c r="G282" s="461">
        <v>1328857</v>
      </c>
      <c r="H282" s="461">
        <v>3191794</v>
      </c>
      <c r="I282" s="461">
        <v>506766</v>
      </c>
      <c r="J282" s="464">
        <v>48324</v>
      </c>
      <c r="K282" s="464">
        <v>5075741</v>
      </c>
      <c r="L282" s="464"/>
      <c r="M282" s="461">
        <v>28608</v>
      </c>
      <c r="N282" s="461">
        <v>0</v>
      </c>
      <c r="O282" s="461">
        <v>0</v>
      </c>
      <c r="P282" s="464">
        <v>113854</v>
      </c>
      <c r="Q282" s="464">
        <v>142462</v>
      </c>
      <c r="R282" s="464"/>
      <c r="S282" s="461">
        <v>3425344</v>
      </c>
      <c r="T282" s="462">
        <v>6334</v>
      </c>
      <c r="U282" s="462">
        <v>3431678</v>
      </c>
      <c r="W282" s="464">
        <v>20660513</v>
      </c>
      <c r="X282" s="464">
        <v>4734074</v>
      </c>
    </row>
    <row r="283" spans="1:24">
      <c r="A283" s="458">
        <v>92913</v>
      </c>
      <c r="B283" s="459" t="s">
        <v>992</v>
      </c>
      <c r="C283" s="463">
        <v>1.7940000000000001E-5</v>
      </c>
      <c r="D283" s="463">
        <v>2.1299999999999999E-5</v>
      </c>
      <c r="E283" s="464">
        <v>118818</v>
      </c>
      <c r="F283" s="464"/>
      <c r="G283" s="461">
        <v>13240</v>
      </c>
      <c r="H283" s="461">
        <v>31801</v>
      </c>
      <c r="I283" s="461">
        <v>5049</v>
      </c>
      <c r="J283" s="464">
        <v>58354</v>
      </c>
      <c r="K283" s="464">
        <v>108444</v>
      </c>
      <c r="L283" s="464"/>
      <c r="M283" s="461">
        <v>285</v>
      </c>
      <c r="N283" s="461">
        <v>0</v>
      </c>
      <c r="O283" s="461">
        <v>0</v>
      </c>
      <c r="P283" s="464">
        <v>909</v>
      </c>
      <c r="Q283" s="464">
        <v>1194</v>
      </c>
      <c r="R283" s="464"/>
      <c r="S283" s="461">
        <v>34128</v>
      </c>
      <c r="T283" s="462">
        <v>46749</v>
      </c>
      <c r="U283" s="462">
        <v>80877</v>
      </c>
      <c r="W283" s="464">
        <v>205848</v>
      </c>
      <c r="X283" s="464">
        <v>47167</v>
      </c>
    </row>
    <row r="284" spans="1:24">
      <c r="A284" s="458">
        <v>92914</v>
      </c>
      <c r="B284" s="459" t="s">
        <v>993</v>
      </c>
      <c r="C284" s="463">
        <v>3.2610000000000001E-5</v>
      </c>
      <c r="D284" s="463">
        <v>3.7599999999999999E-5</v>
      </c>
      <c r="E284" s="464">
        <v>215979</v>
      </c>
      <c r="F284" s="464"/>
      <c r="G284" s="461">
        <v>24066</v>
      </c>
      <c r="H284" s="461">
        <v>57805</v>
      </c>
      <c r="I284" s="461">
        <v>9178</v>
      </c>
      <c r="J284" s="464">
        <v>8197</v>
      </c>
      <c r="K284" s="464">
        <v>99246</v>
      </c>
      <c r="L284" s="464"/>
      <c r="M284" s="461">
        <v>518</v>
      </c>
      <c r="N284" s="461">
        <v>0</v>
      </c>
      <c r="O284" s="461">
        <v>0</v>
      </c>
      <c r="P284" s="464">
        <v>7228</v>
      </c>
      <c r="Q284" s="464">
        <v>7746</v>
      </c>
      <c r="R284" s="464"/>
      <c r="S284" s="461">
        <v>62035</v>
      </c>
      <c r="T284" s="462">
        <v>6810</v>
      </c>
      <c r="U284" s="462">
        <v>68845</v>
      </c>
      <c r="W284" s="464">
        <v>374175</v>
      </c>
      <c r="X284" s="464">
        <v>85737</v>
      </c>
    </row>
    <row r="285" spans="1:24">
      <c r="A285" s="458">
        <v>92917</v>
      </c>
      <c r="B285" s="459" t="s">
        <v>994</v>
      </c>
      <c r="C285" s="463">
        <v>4.6140000000000002E-5</v>
      </c>
      <c r="D285" s="463">
        <v>3.2299999999999999E-5</v>
      </c>
      <c r="E285" s="464">
        <v>305589</v>
      </c>
      <c r="F285" s="464"/>
      <c r="G285" s="461">
        <v>34052</v>
      </c>
      <c r="H285" s="461">
        <v>81789</v>
      </c>
      <c r="I285" s="461">
        <v>12986</v>
      </c>
      <c r="J285" s="464">
        <v>56094</v>
      </c>
      <c r="K285" s="464">
        <v>184921</v>
      </c>
      <c r="L285" s="464"/>
      <c r="M285" s="461">
        <v>733</v>
      </c>
      <c r="N285" s="461">
        <v>0</v>
      </c>
      <c r="O285" s="461">
        <v>0</v>
      </c>
      <c r="P285" s="464">
        <v>0</v>
      </c>
      <c r="Q285" s="464">
        <v>733</v>
      </c>
      <c r="R285" s="464"/>
      <c r="S285" s="461">
        <v>87774</v>
      </c>
      <c r="T285" s="462">
        <v>28589</v>
      </c>
      <c r="U285" s="462">
        <v>116363</v>
      </c>
      <c r="W285" s="464">
        <v>529421</v>
      </c>
      <c r="X285" s="464">
        <v>121310</v>
      </c>
    </row>
    <row r="286" spans="1:24">
      <c r="A286" s="458">
        <v>92921</v>
      </c>
      <c r="B286" s="459" t="s">
        <v>995</v>
      </c>
      <c r="C286" s="463">
        <v>7.3180000000000001E-5</v>
      </c>
      <c r="D286" s="463">
        <v>7.4400000000000006E-5</v>
      </c>
      <c r="E286" s="464">
        <v>484678</v>
      </c>
      <c r="F286" s="464"/>
      <c r="G286" s="461">
        <v>54007</v>
      </c>
      <c r="H286" s="461">
        <v>129721</v>
      </c>
      <c r="I286" s="461">
        <v>20596</v>
      </c>
      <c r="J286" s="464">
        <v>32727</v>
      </c>
      <c r="K286" s="464">
        <v>237051</v>
      </c>
      <c r="L286" s="464"/>
      <c r="M286" s="461">
        <v>1163</v>
      </c>
      <c r="N286" s="461">
        <v>0</v>
      </c>
      <c r="O286" s="461">
        <v>0</v>
      </c>
      <c r="P286" s="464">
        <v>17836</v>
      </c>
      <c r="Q286" s="464">
        <v>18999</v>
      </c>
      <c r="R286" s="464"/>
      <c r="S286" s="461">
        <v>139213</v>
      </c>
      <c r="T286" s="462">
        <v>5025</v>
      </c>
      <c r="U286" s="462">
        <v>144238</v>
      </c>
      <c r="W286" s="464">
        <v>839685</v>
      </c>
      <c r="X286" s="464">
        <v>192402</v>
      </c>
    </row>
    <row r="287" spans="1:24">
      <c r="A287" s="458">
        <v>92931</v>
      </c>
      <c r="B287" s="459" t="s">
        <v>996</v>
      </c>
      <c r="C287" s="463">
        <v>2.2914900000000002E-3</v>
      </c>
      <c r="D287" s="463">
        <v>2.2604000000000001E-3</v>
      </c>
      <c r="E287" s="464">
        <v>15176738</v>
      </c>
      <c r="F287" s="464"/>
      <c r="G287" s="461">
        <v>1691138</v>
      </c>
      <c r="H287" s="461">
        <v>4061959</v>
      </c>
      <c r="I287" s="461">
        <v>644924</v>
      </c>
      <c r="J287" s="464">
        <v>162074</v>
      </c>
      <c r="K287" s="464">
        <v>6560095</v>
      </c>
      <c r="L287" s="464"/>
      <c r="M287" s="461">
        <v>36407</v>
      </c>
      <c r="N287" s="461">
        <v>0</v>
      </c>
      <c r="O287" s="461">
        <v>0</v>
      </c>
      <c r="P287" s="464">
        <v>99510</v>
      </c>
      <c r="Q287" s="464">
        <v>135917</v>
      </c>
      <c r="R287" s="464"/>
      <c r="S287" s="461">
        <v>4359182</v>
      </c>
      <c r="T287" s="462">
        <v>-45994</v>
      </c>
      <c r="U287" s="462">
        <v>4313188</v>
      </c>
      <c r="W287" s="464">
        <v>26293102</v>
      </c>
      <c r="X287" s="464">
        <v>6024705</v>
      </c>
    </row>
    <row r="288" spans="1:24">
      <c r="A288" s="458">
        <v>92941</v>
      </c>
      <c r="B288" s="459" t="s">
        <v>81</v>
      </c>
      <c r="C288" s="463">
        <v>0</v>
      </c>
      <c r="D288" s="463">
        <v>4.3000000000000003E-6</v>
      </c>
      <c r="E288" s="464">
        <v>0</v>
      </c>
      <c r="F288" s="464"/>
      <c r="G288" s="461">
        <v>0</v>
      </c>
      <c r="H288" s="461">
        <v>0</v>
      </c>
      <c r="I288" s="461">
        <v>0</v>
      </c>
      <c r="J288" s="464">
        <v>1111</v>
      </c>
      <c r="K288" s="464">
        <v>1111</v>
      </c>
      <c r="L288" s="464"/>
      <c r="M288" s="461">
        <v>0</v>
      </c>
      <c r="N288" s="461">
        <v>0</v>
      </c>
      <c r="O288" s="461">
        <v>0</v>
      </c>
      <c r="P288" s="464">
        <v>8646</v>
      </c>
      <c r="Q288" s="464">
        <v>8646</v>
      </c>
      <c r="R288" s="464"/>
      <c r="S288" s="461">
        <v>0</v>
      </c>
      <c r="T288" s="462">
        <v>-1657</v>
      </c>
      <c r="U288" s="462">
        <v>-1657</v>
      </c>
      <c r="W288" s="464">
        <v>0</v>
      </c>
      <c r="X288" s="464">
        <v>0</v>
      </c>
    </row>
    <row r="289" spans="1:24">
      <c r="A289" s="458">
        <v>93001</v>
      </c>
      <c r="B289" s="459" t="s">
        <v>997</v>
      </c>
      <c r="C289" s="463">
        <v>2.4984299999999998E-3</v>
      </c>
      <c r="D289" s="463">
        <v>2.5124000000000001E-3</v>
      </c>
      <c r="E289" s="464">
        <v>16547319</v>
      </c>
      <c r="F289" s="464"/>
      <c r="G289" s="461">
        <v>1843861</v>
      </c>
      <c r="H289" s="461">
        <v>4428787</v>
      </c>
      <c r="I289" s="461">
        <v>703166</v>
      </c>
      <c r="J289" s="464">
        <v>349313</v>
      </c>
      <c r="K289" s="464">
        <v>7325127</v>
      </c>
      <c r="L289" s="464"/>
      <c r="M289" s="461">
        <v>39695</v>
      </c>
      <c r="N289" s="461">
        <v>0</v>
      </c>
      <c r="O289" s="461">
        <v>0</v>
      </c>
      <c r="P289" s="464">
        <v>128614</v>
      </c>
      <c r="Q289" s="464">
        <v>168309</v>
      </c>
      <c r="R289" s="464"/>
      <c r="S289" s="461">
        <v>4752851</v>
      </c>
      <c r="T289" s="462">
        <v>111215</v>
      </c>
      <c r="U289" s="462">
        <v>4864066</v>
      </c>
      <c r="W289" s="464">
        <v>28667580</v>
      </c>
      <c r="X289" s="464">
        <v>6568785</v>
      </c>
    </row>
    <row r="290" spans="1:24">
      <c r="A290" s="458">
        <v>93009</v>
      </c>
      <c r="B290" s="459" t="s">
        <v>998</v>
      </c>
      <c r="C290" s="463">
        <v>4.4100000000000001E-6</v>
      </c>
      <c r="D290" s="463">
        <v>5.2000000000000002E-6</v>
      </c>
      <c r="E290" s="464">
        <v>29208</v>
      </c>
      <c r="F290" s="464"/>
      <c r="G290" s="461">
        <v>3255</v>
      </c>
      <c r="H290" s="461">
        <v>7817</v>
      </c>
      <c r="I290" s="461">
        <v>1241</v>
      </c>
      <c r="J290" s="464">
        <v>137</v>
      </c>
      <c r="K290" s="464">
        <v>12450</v>
      </c>
      <c r="L290" s="464"/>
      <c r="M290" s="461">
        <v>70</v>
      </c>
      <c r="N290" s="461">
        <v>0</v>
      </c>
      <c r="O290" s="461">
        <v>0</v>
      </c>
      <c r="P290" s="464">
        <v>5725</v>
      </c>
      <c r="Q290" s="464">
        <v>5795</v>
      </c>
      <c r="R290" s="464"/>
      <c r="S290" s="461">
        <v>8389</v>
      </c>
      <c r="T290" s="462">
        <v>-5400</v>
      </c>
      <c r="U290" s="462">
        <v>2989</v>
      </c>
      <c r="W290" s="464">
        <v>50601</v>
      </c>
      <c r="X290" s="464">
        <v>11595</v>
      </c>
    </row>
    <row r="291" spans="1:24">
      <c r="A291" s="458">
        <v>93011</v>
      </c>
      <c r="B291" s="459" t="s">
        <v>999</v>
      </c>
      <c r="C291" s="463">
        <v>1.8375999999999999E-4</v>
      </c>
      <c r="D291" s="463">
        <v>1.694E-4</v>
      </c>
      <c r="E291" s="464">
        <v>1217058</v>
      </c>
      <c r="F291" s="464"/>
      <c r="G291" s="461">
        <v>135616</v>
      </c>
      <c r="H291" s="461">
        <v>325738</v>
      </c>
      <c r="I291" s="461">
        <v>51718</v>
      </c>
      <c r="J291" s="464">
        <v>14219</v>
      </c>
      <c r="K291" s="464">
        <v>527291</v>
      </c>
      <c r="L291" s="464"/>
      <c r="M291" s="461">
        <v>2920</v>
      </c>
      <c r="N291" s="461">
        <v>0</v>
      </c>
      <c r="O291" s="461">
        <v>0</v>
      </c>
      <c r="P291" s="464">
        <v>154935</v>
      </c>
      <c r="Q291" s="464">
        <v>157855</v>
      </c>
      <c r="R291" s="464"/>
      <c r="S291" s="461">
        <v>349573</v>
      </c>
      <c r="T291" s="462">
        <v>-76742</v>
      </c>
      <c r="U291" s="462">
        <v>272831</v>
      </c>
      <c r="W291" s="464">
        <v>2108506</v>
      </c>
      <c r="X291" s="464">
        <v>483135</v>
      </c>
    </row>
    <row r="292" spans="1:24">
      <c r="A292" s="458">
        <v>93021</v>
      </c>
      <c r="B292" s="459" t="s">
        <v>1000</v>
      </c>
      <c r="C292" s="463">
        <v>1.963E-5</v>
      </c>
      <c r="D292" s="463">
        <v>2.5899999999999999E-5</v>
      </c>
      <c r="E292" s="464">
        <v>130011</v>
      </c>
      <c r="F292" s="464"/>
      <c r="G292" s="461">
        <v>14487</v>
      </c>
      <c r="H292" s="461">
        <v>34797</v>
      </c>
      <c r="I292" s="461">
        <v>5525</v>
      </c>
      <c r="J292" s="464">
        <v>586</v>
      </c>
      <c r="K292" s="464">
        <v>55395</v>
      </c>
      <c r="L292" s="464"/>
      <c r="M292" s="461">
        <v>312</v>
      </c>
      <c r="N292" s="461">
        <v>0</v>
      </c>
      <c r="O292" s="461">
        <v>0</v>
      </c>
      <c r="P292" s="464">
        <v>10449</v>
      </c>
      <c r="Q292" s="464">
        <v>10761</v>
      </c>
      <c r="R292" s="464"/>
      <c r="S292" s="461">
        <v>37343</v>
      </c>
      <c r="T292" s="462">
        <v>-5882</v>
      </c>
      <c r="U292" s="462">
        <v>31461</v>
      </c>
      <c r="W292" s="464">
        <v>225239</v>
      </c>
      <c r="X292" s="464">
        <v>51611</v>
      </c>
    </row>
    <row r="293" spans="1:24">
      <c r="A293" s="458">
        <v>93027</v>
      </c>
      <c r="B293" s="459" t="s">
        <v>1001</v>
      </c>
      <c r="C293" s="463">
        <v>0</v>
      </c>
      <c r="D293" s="463">
        <v>0</v>
      </c>
      <c r="E293" s="464">
        <v>0</v>
      </c>
      <c r="F293" s="464"/>
      <c r="G293" s="461">
        <v>0</v>
      </c>
      <c r="H293" s="461">
        <v>0</v>
      </c>
      <c r="I293" s="461">
        <v>0</v>
      </c>
      <c r="J293" s="464">
        <v>0</v>
      </c>
      <c r="K293" s="464">
        <v>0</v>
      </c>
      <c r="L293" s="464"/>
      <c r="M293" s="461">
        <v>0</v>
      </c>
      <c r="N293" s="461">
        <v>0</v>
      </c>
      <c r="O293" s="461">
        <v>0</v>
      </c>
      <c r="P293" s="464">
        <v>0</v>
      </c>
      <c r="Q293" s="464">
        <v>0</v>
      </c>
      <c r="R293" s="464"/>
      <c r="S293" s="461">
        <v>0</v>
      </c>
      <c r="T293" s="462">
        <v>-3192</v>
      </c>
      <c r="U293" s="462">
        <v>-3192</v>
      </c>
      <c r="W293" s="464">
        <v>0</v>
      </c>
      <c r="X293" s="464">
        <v>0</v>
      </c>
    </row>
    <row r="294" spans="1:24">
      <c r="A294" s="458">
        <v>93028</v>
      </c>
      <c r="B294" s="459" t="s">
        <v>3609</v>
      </c>
      <c r="C294" s="463">
        <v>1.1209999999999999E-5</v>
      </c>
      <c r="D294" s="463">
        <v>2.3499999999999999E-5</v>
      </c>
      <c r="E294" s="464">
        <v>74245</v>
      </c>
      <c r="F294" s="464"/>
      <c r="G294" s="461">
        <v>8273</v>
      </c>
      <c r="H294" s="461">
        <v>19871</v>
      </c>
      <c r="I294" s="461">
        <v>3155</v>
      </c>
      <c r="J294" s="464">
        <v>4888</v>
      </c>
      <c r="K294" s="464">
        <v>36187</v>
      </c>
      <c r="L294" s="464"/>
      <c r="M294" s="461">
        <v>178</v>
      </c>
      <c r="N294" s="461">
        <v>0</v>
      </c>
      <c r="O294" s="461">
        <v>0</v>
      </c>
      <c r="P294" s="464">
        <v>30246</v>
      </c>
      <c r="Q294" s="464">
        <v>30424</v>
      </c>
      <c r="R294" s="464"/>
      <c r="S294" s="461">
        <v>21325</v>
      </c>
      <c r="T294" s="462">
        <v>588</v>
      </c>
      <c r="U294" s="462">
        <v>21913</v>
      </c>
      <c r="W294" s="464">
        <v>128626</v>
      </c>
      <c r="X294" s="464">
        <v>29473</v>
      </c>
    </row>
    <row r="295" spans="1:24">
      <c r="A295" s="458">
        <v>93031</v>
      </c>
      <c r="B295" s="459" t="s">
        <v>1002</v>
      </c>
      <c r="C295" s="463">
        <v>7.43E-6</v>
      </c>
      <c r="D295" s="463">
        <v>1.31E-5</v>
      </c>
      <c r="E295" s="464">
        <v>49210</v>
      </c>
      <c r="F295" s="464"/>
      <c r="G295" s="461">
        <v>5483</v>
      </c>
      <c r="H295" s="461">
        <v>13171</v>
      </c>
      <c r="I295" s="461">
        <v>2091</v>
      </c>
      <c r="J295" s="464">
        <v>13038</v>
      </c>
      <c r="K295" s="464">
        <v>33783</v>
      </c>
      <c r="L295" s="464"/>
      <c r="M295" s="461">
        <v>118</v>
      </c>
      <c r="N295" s="461">
        <v>0</v>
      </c>
      <c r="O295" s="461">
        <v>0</v>
      </c>
      <c r="P295" s="464">
        <v>4433</v>
      </c>
      <c r="Q295" s="464">
        <v>4551</v>
      </c>
      <c r="R295" s="464"/>
      <c r="S295" s="461">
        <v>14134</v>
      </c>
      <c r="T295" s="462">
        <v>4465</v>
      </c>
      <c r="U295" s="462">
        <v>18599</v>
      </c>
      <c r="W295" s="464">
        <v>85254</v>
      </c>
      <c r="X295" s="464">
        <v>19535</v>
      </c>
    </row>
    <row r="296" spans="1:24">
      <c r="A296" s="458">
        <v>93101</v>
      </c>
      <c r="B296" s="459" t="s">
        <v>1003</v>
      </c>
      <c r="C296" s="463">
        <v>2.7228999999999999E-3</v>
      </c>
      <c r="D296" s="463">
        <v>2.9518999999999999E-3</v>
      </c>
      <c r="E296" s="464">
        <v>18034004</v>
      </c>
      <c r="F296" s="464"/>
      <c r="G296" s="461">
        <v>2009522</v>
      </c>
      <c r="H296" s="461">
        <v>4826689</v>
      </c>
      <c r="I296" s="461">
        <v>766341</v>
      </c>
      <c r="J296" s="464">
        <v>113436</v>
      </c>
      <c r="K296" s="464">
        <v>7715988</v>
      </c>
      <c r="L296" s="464"/>
      <c r="M296" s="461">
        <v>43261</v>
      </c>
      <c r="N296" s="461">
        <v>0</v>
      </c>
      <c r="O296" s="461">
        <v>0</v>
      </c>
      <c r="P296" s="464">
        <v>578594</v>
      </c>
      <c r="Q296" s="464">
        <v>621855</v>
      </c>
      <c r="R296" s="464"/>
      <c r="S296" s="461">
        <v>5179868</v>
      </c>
      <c r="T296" s="462">
        <v>-317417</v>
      </c>
      <c r="U296" s="462">
        <v>4862451</v>
      </c>
      <c r="W296" s="464">
        <v>31243203</v>
      </c>
      <c r="X296" s="464">
        <v>7158953</v>
      </c>
    </row>
    <row r="297" spans="1:24">
      <c r="A297" s="458">
        <v>93103</v>
      </c>
      <c r="B297" s="459" t="s">
        <v>260</v>
      </c>
      <c r="C297" s="463">
        <v>0</v>
      </c>
      <c r="D297" s="463">
        <v>0</v>
      </c>
      <c r="E297" s="464">
        <v>0</v>
      </c>
      <c r="F297" s="464"/>
      <c r="G297" s="461">
        <v>0</v>
      </c>
      <c r="H297" s="461">
        <v>0</v>
      </c>
      <c r="I297" s="461">
        <v>0</v>
      </c>
      <c r="J297" s="464">
        <v>0</v>
      </c>
      <c r="K297" s="464">
        <v>0</v>
      </c>
      <c r="L297" s="464"/>
      <c r="M297" s="461">
        <v>0</v>
      </c>
      <c r="N297" s="461">
        <v>0</v>
      </c>
      <c r="O297" s="461">
        <v>0</v>
      </c>
      <c r="P297" s="464">
        <v>9532</v>
      </c>
      <c r="Q297" s="464">
        <v>9532</v>
      </c>
      <c r="R297" s="464"/>
      <c r="S297" s="461">
        <v>0</v>
      </c>
      <c r="T297" s="462">
        <v>-11330</v>
      </c>
      <c r="U297" s="462">
        <v>-11330</v>
      </c>
      <c r="W297" s="464">
        <v>0</v>
      </c>
      <c r="X297" s="464">
        <v>0</v>
      </c>
    </row>
    <row r="298" spans="1:24">
      <c r="A298" s="458">
        <v>93108</v>
      </c>
      <c r="B298" s="459" t="s">
        <v>1004</v>
      </c>
      <c r="C298" s="463">
        <v>3.4125800000000001E-3</v>
      </c>
      <c r="D298" s="463">
        <v>2.6383000000000001E-3</v>
      </c>
      <c r="E298" s="464">
        <v>22601814</v>
      </c>
      <c r="F298" s="464"/>
      <c r="G298" s="461">
        <v>2518511</v>
      </c>
      <c r="H298" s="461">
        <v>6049235</v>
      </c>
      <c r="I298" s="461">
        <v>960447</v>
      </c>
      <c r="J298" s="464">
        <v>2110351</v>
      </c>
      <c r="K298" s="464">
        <v>11638544</v>
      </c>
      <c r="L298" s="464"/>
      <c r="M298" s="461">
        <v>54219</v>
      </c>
      <c r="N298" s="461">
        <v>0</v>
      </c>
      <c r="O298" s="461">
        <v>0</v>
      </c>
      <c r="P298" s="464">
        <v>10468</v>
      </c>
      <c r="Q298" s="464">
        <v>64687</v>
      </c>
      <c r="R298" s="464"/>
      <c r="S298" s="461">
        <v>6491870</v>
      </c>
      <c r="T298" s="462">
        <v>787009</v>
      </c>
      <c r="U298" s="462">
        <v>7278879</v>
      </c>
      <c r="W298" s="464">
        <v>39156755</v>
      </c>
      <c r="X298" s="464">
        <v>8972236</v>
      </c>
    </row>
    <row r="299" spans="1:24">
      <c r="A299" s="458">
        <v>93111</v>
      </c>
      <c r="B299" s="459" t="s">
        <v>1005</v>
      </c>
      <c r="C299" s="463">
        <v>5.914E-5</v>
      </c>
      <c r="D299" s="463">
        <v>6.4200000000000002E-5</v>
      </c>
      <c r="E299" s="464">
        <v>391689</v>
      </c>
      <c r="F299" s="464"/>
      <c r="G299" s="461">
        <v>43646</v>
      </c>
      <c r="H299" s="461">
        <v>104833</v>
      </c>
      <c r="I299" s="461">
        <v>16645</v>
      </c>
      <c r="J299" s="464">
        <v>12606</v>
      </c>
      <c r="K299" s="464">
        <v>177730</v>
      </c>
      <c r="L299" s="464"/>
      <c r="M299" s="461">
        <v>940</v>
      </c>
      <c r="N299" s="461">
        <v>0</v>
      </c>
      <c r="O299" s="461">
        <v>0</v>
      </c>
      <c r="P299" s="464">
        <v>9555</v>
      </c>
      <c r="Q299" s="464">
        <v>10495</v>
      </c>
      <c r="R299" s="464"/>
      <c r="S299" s="461">
        <v>112504</v>
      </c>
      <c r="T299" s="462">
        <v>2055</v>
      </c>
      <c r="U299" s="462">
        <v>114559</v>
      </c>
      <c r="W299" s="464">
        <v>678586</v>
      </c>
      <c r="X299" s="464">
        <v>155489</v>
      </c>
    </row>
    <row r="300" spans="1:24">
      <c r="A300" s="458">
        <v>93121</v>
      </c>
      <c r="B300" s="459" t="s">
        <v>1006</v>
      </c>
      <c r="C300" s="463">
        <v>2.3799999999999999E-5</v>
      </c>
      <c r="D300" s="463">
        <v>4.9100000000000001E-5</v>
      </c>
      <c r="E300" s="464">
        <v>157629</v>
      </c>
      <c r="F300" s="464"/>
      <c r="G300" s="461">
        <v>17565</v>
      </c>
      <c r="H300" s="461">
        <v>42189</v>
      </c>
      <c r="I300" s="461">
        <v>6698</v>
      </c>
      <c r="J300" s="464">
        <v>5494</v>
      </c>
      <c r="K300" s="464">
        <v>71946</v>
      </c>
      <c r="L300" s="464"/>
      <c r="M300" s="461">
        <v>378</v>
      </c>
      <c r="N300" s="461">
        <v>0</v>
      </c>
      <c r="O300" s="461">
        <v>0</v>
      </c>
      <c r="P300" s="464">
        <v>40889</v>
      </c>
      <c r="Q300" s="464">
        <v>41267</v>
      </c>
      <c r="R300" s="464"/>
      <c r="S300" s="461">
        <v>45276</v>
      </c>
      <c r="T300" s="462">
        <v>-11478</v>
      </c>
      <c r="U300" s="462">
        <v>33798</v>
      </c>
      <c r="W300" s="464">
        <v>273087</v>
      </c>
      <c r="X300" s="464">
        <v>62574</v>
      </c>
    </row>
    <row r="301" spans="1:24">
      <c r="A301" s="458">
        <v>93127</v>
      </c>
      <c r="B301" s="459" t="s">
        <v>1007</v>
      </c>
      <c r="C301" s="463">
        <v>6.5200000000000003E-6</v>
      </c>
      <c r="D301" s="463">
        <v>3.4999999999999999E-6</v>
      </c>
      <c r="E301" s="464">
        <v>43183</v>
      </c>
      <c r="F301" s="464"/>
      <c r="G301" s="461">
        <v>4812</v>
      </c>
      <c r="H301" s="461">
        <v>11558</v>
      </c>
      <c r="I301" s="461">
        <v>1835</v>
      </c>
      <c r="J301" s="464">
        <v>8811</v>
      </c>
      <c r="K301" s="464">
        <v>27016</v>
      </c>
      <c r="L301" s="464"/>
      <c r="M301" s="461">
        <v>104</v>
      </c>
      <c r="N301" s="461">
        <v>0</v>
      </c>
      <c r="O301" s="461">
        <v>0</v>
      </c>
      <c r="P301" s="464">
        <v>1604</v>
      </c>
      <c r="Q301" s="464">
        <v>1708</v>
      </c>
      <c r="R301" s="464"/>
      <c r="S301" s="461">
        <v>12403</v>
      </c>
      <c r="T301" s="462">
        <v>1787</v>
      </c>
      <c r="U301" s="462">
        <v>14190</v>
      </c>
      <c r="W301" s="464">
        <v>74812</v>
      </c>
      <c r="X301" s="464">
        <v>17142</v>
      </c>
    </row>
    <row r="302" spans="1:24">
      <c r="A302" s="458">
        <v>93131</v>
      </c>
      <c r="B302" s="459" t="s">
        <v>1008</v>
      </c>
      <c r="C302" s="463">
        <v>1.4506999999999999E-4</v>
      </c>
      <c r="D302" s="463">
        <v>1.749E-4</v>
      </c>
      <c r="E302" s="464">
        <v>960811</v>
      </c>
      <c r="F302" s="464"/>
      <c r="G302" s="461">
        <v>107063</v>
      </c>
      <c r="H302" s="461">
        <v>257155</v>
      </c>
      <c r="I302" s="461">
        <v>40829</v>
      </c>
      <c r="J302" s="464">
        <v>7454</v>
      </c>
      <c r="K302" s="464">
        <v>412501</v>
      </c>
      <c r="L302" s="464"/>
      <c r="M302" s="461">
        <v>2305</v>
      </c>
      <c r="N302" s="461">
        <v>0</v>
      </c>
      <c r="O302" s="461">
        <v>0</v>
      </c>
      <c r="P302" s="464">
        <v>52631</v>
      </c>
      <c r="Q302" s="464">
        <v>54936</v>
      </c>
      <c r="R302" s="464"/>
      <c r="S302" s="461">
        <v>275972</v>
      </c>
      <c r="T302" s="462">
        <v>-16712</v>
      </c>
      <c r="U302" s="462">
        <v>259260</v>
      </c>
      <c r="W302" s="464">
        <v>1664568</v>
      </c>
      <c r="X302" s="464">
        <v>381413</v>
      </c>
    </row>
    <row r="303" spans="1:24">
      <c r="A303" s="458">
        <v>93137</v>
      </c>
      <c r="B303" s="459" t="s">
        <v>1009</v>
      </c>
      <c r="C303" s="463">
        <v>5.7899999999999996E-6</v>
      </c>
      <c r="D303" s="463">
        <v>6.2999999999999998E-6</v>
      </c>
      <c r="E303" s="464">
        <v>38348</v>
      </c>
      <c r="F303" s="464"/>
      <c r="G303" s="461">
        <v>4273</v>
      </c>
      <c r="H303" s="461">
        <v>10264</v>
      </c>
      <c r="I303" s="461">
        <v>1630</v>
      </c>
      <c r="J303" s="464">
        <v>1816</v>
      </c>
      <c r="K303" s="464">
        <v>17983</v>
      </c>
      <c r="L303" s="464"/>
      <c r="M303" s="461">
        <v>92</v>
      </c>
      <c r="N303" s="461">
        <v>0</v>
      </c>
      <c r="O303" s="461">
        <v>0</v>
      </c>
      <c r="P303" s="464">
        <v>0</v>
      </c>
      <c r="Q303" s="464">
        <v>92</v>
      </c>
      <c r="R303" s="464"/>
      <c r="S303" s="461">
        <v>11015</v>
      </c>
      <c r="T303" s="462">
        <v>1707</v>
      </c>
      <c r="U303" s="462">
        <v>12722</v>
      </c>
      <c r="W303" s="464">
        <v>66436</v>
      </c>
      <c r="X303" s="464">
        <v>15223</v>
      </c>
    </row>
    <row r="304" spans="1:24">
      <c r="A304" s="458">
        <v>93141</v>
      </c>
      <c r="B304" s="459" t="s">
        <v>1010</v>
      </c>
      <c r="C304" s="463">
        <v>4.5030000000000001E-5</v>
      </c>
      <c r="D304" s="463">
        <v>3.6900000000000002E-5</v>
      </c>
      <c r="E304" s="464">
        <v>298238</v>
      </c>
      <c r="F304" s="464"/>
      <c r="G304" s="461">
        <v>33233</v>
      </c>
      <c r="H304" s="461">
        <v>79821</v>
      </c>
      <c r="I304" s="461">
        <v>12673</v>
      </c>
      <c r="J304" s="464">
        <v>20066</v>
      </c>
      <c r="K304" s="464">
        <v>145793</v>
      </c>
      <c r="L304" s="464"/>
      <c r="M304" s="461">
        <v>715</v>
      </c>
      <c r="N304" s="461">
        <v>0</v>
      </c>
      <c r="O304" s="461">
        <v>0</v>
      </c>
      <c r="P304" s="464">
        <v>2538</v>
      </c>
      <c r="Q304" s="464">
        <v>3253</v>
      </c>
      <c r="R304" s="464"/>
      <c r="S304" s="461">
        <v>85662</v>
      </c>
      <c r="T304" s="462">
        <v>7077</v>
      </c>
      <c r="U304" s="462">
        <v>92739</v>
      </c>
      <c r="W304" s="464">
        <v>516685</v>
      </c>
      <c r="X304" s="464">
        <v>118391</v>
      </c>
    </row>
    <row r="305" spans="1:24">
      <c r="A305" s="458">
        <v>93151</v>
      </c>
      <c r="B305" s="459" t="s">
        <v>1011</v>
      </c>
      <c r="C305" s="463">
        <v>3.3882999999999998E-4</v>
      </c>
      <c r="D305" s="463">
        <v>3.8049999999999998E-4</v>
      </c>
      <c r="E305" s="464">
        <v>2244101</v>
      </c>
      <c r="F305" s="464"/>
      <c r="G305" s="461">
        <v>250059</v>
      </c>
      <c r="H305" s="461">
        <v>600620</v>
      </c>
      <c r="I305" s="461">
        <v>95361</v>
      </c>
      <c r="J305" s="464">
        <v>25013</v>
      </c>
      <c r="K305" s="464">
        <v>971053</v>
      </c>
      <c r="L305" s="464"/>
      <c r="M305" s="461">
        <v>5383</v>
      </c>
      <c r="N305" s="461">
        <v>0</v>
      </c>
      <c r="O305" s="461">
        <v>0</v>
      </c>
      <c r="P305" s="464">
        <v>112357</v>
      </c>
      <c r="Q305" s="464">
        <v>117740</v>
      </c>
      <c r="R305" s="464"/>
      <c r="S305" s="461">
        <v>644568</v>
      </c>
      <c r="T305" s="462">
        <v>-33856</v>
      </c>
      <c r="U305" s="462">
        <v>610712</v>
      </c>
      <c r="W305" s="464">
        <v>3887816</v>
      </c>
      <c r="X305" s="464">
        <v>890840</v>
      </c>
    </row>
    <row r="306" spans="1:24">
      <c r="A306" s="458">
        <v>93157</v>
      </c>
      <c r="B306" s="459" t="s">
        <v>1012</v>
      </c>
      <c r="C306" s="463">
        <v>1.6500000000000001E-5</v>
      </c>
      <c r="D306" s="463">
        <v>2.05E-5</v>
      </c>
      <c r="E306" s="464">
        <v>109281</v>
      </c>
      <c r="F306" s="464"/>
      <c r="G306" s="461">
        <v>12177</v>
      </c>
      <c r="H306" s="461">
        <v>29248</v>
      </c>
      <c r="I306" s="461">
        <v>4644</v>
      </c>
      <c r="J306" s="464">
        <v>13299</v>
      </c>
      <c r="K306" s="464">
        <v>59368</v>
      </c>
      <c r="L306" s="464"/>
      <c r="M306" s="461">
        <v>262</v>
      </c>
      <c r="N306" s="461">
        <v>0</v>
      </c>
      <c r="O306" s="461">
        <v>0</v>
      </c>
      <c r="P306" s="464">
        <v>13576</v>
      </c>
      <c r="Q306" s="464">
        <v>13838</v>
      </c>
      <c r="R306" s="464"/>
      <c r="S306" s="461">
        <v>31389</v>
      </c>
      <c r="T306" s="462">
        <v>3990</v>
      </c>
      <c r="U306" s="462">
        <v>35379</v>
      </c>
      <c r="W306" s="464">
        <v>189325</v>
      </c>
      <c r="X306" s="464">
        <v>43381</v>
      </c>
    </row>
    <row r="307" spans="1:24">
      <c r="A307" s="458">
        <v>93161</v>
      </c>
      <c r="B307" s="459" t="s">
        <v>1013</v>
      </c>
      <c r="C307" s="463">
        <v>7.0170000000000001E-5</v>
      </c>
      <c r="D307" s="463">
        <v>8.1500000000000002E-5</v>
      </c>
      <c r="E307" s="464">
        <v>464742</v>
      </c>
      <c r="F307" s="464"/>
      <c r="G307" s="461">
        <v>51786</v>
      </c>
      <c r="H307" s="461">
        <v>124385</v>
      </c>
      <c r="I307" s="461">
        <v>19749</v>
      </c>
      <c r="J307" s="464">
        <v>0</v>
      </c>
      <c r="K307" s="464">
        <v>195920</v>
      </c>
      <c r="L307" s="464"/>
      <c r="M307" s="461">
        <v>1115</v>
      </c>
      <c r="N307" s="461">
        <v>0</v>
      </c>
      <c r="O307" s="461">
        <v>0</v>
      </c>
      <c r="P307" s="464">
        <v>54080</v>
      </c>
      <c r="Q307" s="464">
        <v>55195</v>
      </c>
      <c r="R307" s="464"/>
      <c r="S307" s="461">
        <v>133487</v>
      </c>
      <c r="T307" s="462">
        <v>-31969</v>
      </c>
      <c r="U307" s="462">
        <v>101518</v>
      </c>
      <c r="W307" s="464">
        <v>805147</v>
      </c>
      <c r="X307" s="464">
        <v>184489</v>
      </c>
    </row>
    <row r="308" spans="1:24">
      <c r="A308" s="458">
        <v>93171</v>
      </c>
      <c r="B308" s="459" t="s">
        <v>1014</v>
      </c>
      <c r="C308" s="463">
        <v>1.1070000000000001E-5</v>
      </c>
      <c r="D308" s="463">
        <v>7.7000000000000008E-6</v>
      </c>
      <c r="E308" s="464">
        <v>73318</v>
      </c>
      <c r="F308" s="464"/>
      <c r="G308" s="461">
        <v>8170</v>
      </c>
      <c r="H308" s="461">
        <v>19623</v>
      </c>
      <c r="I308" s="461">
        <v>3116</v>
      </c>
      <c r="J308" s="464">
        <v>8375</v>
      </c>
      <c r="K308" s="464">
        <v>39284</v>
      </c>
      <c r="L308" s="464"/>
      <c r="M308" s="461">
        <v>176</v>
      </c>
      <c r="N308" s="461">
        <v>0</v>
      </c>
      <c r="O308" s="461">
        <v>0</v>
      </c>
      <c r="P308" s="464">
        <v>2955</v>
      </c>
      <c r="Q308" s="464">
        <v>3131</v>
      </c>
      <c r="R308" s="464"/>
      <c r="S308" s="461">
        <v>21059</v>
      </c>
      <c r="T308" s="462">
        <v>4885</v>
      </c>
      <c r="U308" s="462">
        <v>25944</v>
      </c>
      <c r="W308" s="464">
        <v>127020</v>
      </c>
      <c r="X308" s="464">
        <v>29105</v>
      </c>
    </row>
    <row r="309" spans="1:24">
      <c r="A309" s="458">
        <v>93181</v>
      </c>
      <c r="B309" s="459" t="s">
        <v>1015</v>
      </c>
      <c r="C309" s="463">
        <v>1.7110000000000001E-5</v>
      </c>
      <c r="D309" s="463">
        <v>1.5E-5</v>
      </c>
      <c r="E309" s="464">
        <v>113321</v>
      </c>
      <c r="F309" s="464"/>
      <c r="G309" s="461">
        <v>12627</v>
      </c>
      <c r="H309" s="461">
        <v>30330</v>
      </c>
      <c r="I309" s="461">
        <v>4815</v>
      </c>
      <c r="J309" s="464">
        <v>8075</v>
      </c>
      <c r="K309" s="464">
        <v>55847</v>
      </c>
      <c r="L309" s="464"/>
      <c r="M309" s="461">
        <v>272</v>
      </c>
      <c r="N309" s="461">
        <v>0</v>
      </c>
      <c r="O309" s="461">
        <v>0</v>
      </c>
      <c r="P309" s="464">
        <v>496</v>
      </c>
      <c r="Q309" s="464">
        <v>768</v>
      </c>
      <c r="R309" s="464"/>
      <c r="S309" s="461">
        <v>32549</v>
      </c>
      <c r="T309" s="462">
        <v>4013</v>
      </c>
      <c r="U309" s="462">
        <v>36562</v>
      </c>
      <c r="W309" s="464">
        <v>196324</v>
      </c>
      <c r="X309" s="464">
        <v>44985</v>
      </c>
    </row>
    <row r="310" spans="1:24">
      <c r="A310" s="458">
        <v>93191</v>
      </c>
      <c r="B310" s="459" t="s">
        <v>1016</v>
      </c>
      <c r="C310" s="463">
        <v>3.044E-5</v>
      </c>
      <c r="D310" s="463">
        <v>3.1000000000000001E-5</v>
      </c>
      <c r="E310" s="464">
        <v>201607</v>
      </c>
      <c r="F310" s="464"/>
      <c r="G310" s="461">
        <v>22465</v>
      </c>
      <c r="H310" s="461">
        <v>53959</v>
      </c>
      <c r="I310" s="461">
        <v>8567</v>
      </c>
      <c r="J310" s="464">
        <v>14165</v>
      </c>
      <c r="K310" s="464">
        <v>99156</v>
      </c>
      <c r="L310" s="464"/>
      <c r="M310" s="461">
        <v>484</v>
      </c>
      <c r="N310" s="461">
        <v>0</v>
      </c>
      <c r="O310" s="461">
        <v>0</v>
      </c>
      <c r="P310" s="464">
        <v>0</v>
      </c>
      <c r="Q310" s="464">
        <v>484</v>
      </c>
      <c r="R310" s="464"/>
      <c r="S310" s="461">
        <v>57907</v>
      </c>
      <c r="T310" s="462">
        <v>11654</v>
      </c>
      <c r="U310" s="462">
        <v>69561</v>
      </c>
      <c r="W310" s="464">
        <v>349276</v>
      </c>
      <c r="X310" s="464">
        <v>80032</v>
      </c>
    </row>
    <row r="311" spans="1:24">
      <c r="A311" s="458">
        <v>93201</v>
      </c>
      <c r="B311" s="459" t="s">
        <v>1017</v>
      </c>
      <c r="C311" s="463">
        <v>1.532962E-2</v>
      </c>
      <c r="D311" s="463">
        <v>1.48722E-2</v>
      </c>
      <c r="E311" s="464">
        <v>101529407</v>
      </c>
      <c r="F311" s="464"/>
      <c r="G311" s="461">
        <v>11313382</v>
      </c>
      <c r="H311" s="461">
        <v>27173714</v>
      </c>
      <c r="I311" s="461">
        <v>4314414</v>
      </c>
      <c r="J311" s="464">
        <v>1566853</v>
      </c>
      <c r="K311" s="464">
        <v>44368363</v>
      </c>
      <c r="L311" s="464"/>
      <c r="M311" s="461">
        <v>243557</v>
      </c>
      <c r="N311" s="461">
        <v>0</v>
      </c>
      <c r="O311" s="461">
        <v>0</v>
      </c>
      <c r="P311" s="464">
        <v>659132</v>
      </c>
      <c r="Q311" s="464">
        <v>902689</v>
      </c>
      <c r="R311" s="464"/>
      <c r="S311" s="461">
        <v>29162073</v>
      </c>
      <c r="T311" s="462">
        <v>183870</v>
      </c>
      <c r="U311" s="462">
        <v>29345943</v>
      </c>
      <c r="W311" s="464">
        <v>175895708</v>
      </c>
      <c r="X311" s="464">
        <v>40304100</v>
      </c>
    </row>
    <row r="312" spans="1:24">
      <c r="A312" s="458">
        <v>93204</v>
      </c>
      <c r="B312" s="459" t="s">
        <v>1019</v>
      </c>
      <c r="C312" s="463">
        <v>3.3656000000000002E-4</v>
      </c>
      <c r="D312" s="463">
        <v>2.8830000000000001E-4</v>
      </c>
      <c r="E312" s="464">
        <v>2229066</v>
      </c>
      <c r="F312" s="464"/>
      <c r="G312" s="461">
        <v>248384</v>
      </c>
      <c r="H312" s="461">
        <v>596596</v>
      </c>
      <c r="I312" s="461">
        <v>94722</v>
      </c>
      <c r="J312" s="464">
        <v>170543</v>
      </c>
      <c r="K312" s="464">
        <v>1110245</v>
      </c>
      <c r="L312" s="464"/>
      <c r="M312" s="461">
        <v>5347</v>
      </c>
      <c r="N312" s="461">
        <v>0</v>
      </c>
      <c r="O312" s="461">
        <v>0</v>
      </c>
      <c r="P312" s="464">
        <v>20118</v>
      </c>
      <c r="Q312" s="464">
        <v>25465</v>
      </c>
      <c r="R312" s="464"/>
      <c r="S312" s="461">
        <v>640250</v>
      </c>
      <c r="T312" s="462">
        <v>59838</v>
      </c>
      <c r="U312" s="462">
        <v>700088</v>
      </c>
      <c r="W312" s="464">
        <v>3861770</v>
      </c>
      <c r="X312" s="464">
        <v>884872</v>
      </c>
    </row>
    <row r="313" spans="1:24">
      <c r="A313" s="458">
        <v>93209</v>
      </c>
      <c r="B313" s="459" t="s">
        <v>3722</v>
      </c>
      <c r="C313" s="463">
        <v>9.31564E-3</v>
      </c>
      <c r="D313" s="463">
        <v>6.9506999999999998E-3</v>
      </c>
      <c r="E313" s="464">
        <v>61698294</v>
      </c>
      <c r="F313" s="464"/>
      <c r="G313" s="461">
        <v>6875017</v>
      </c>
      <c r="H313" s="461">
        <v>16513164</v>
      </c>
      <c r="I313" s="461">
        <v>2621822</v>
      </c>
      <c r="J313" s="464">
        <v>6487922</v>
      </c>
      <c r="K313" s="464">
        <v>32497925</v>
      </c>
      <c r="L313" s="464"/>
      <c r="M313" s="461">
        <v>148007</v>
      </c>
      <c r="N313" s="461">
        <v>0</v>
      </c>
      <c r="O313" s="461">
        <v>0</v>
      </c>
      <c r="P313" s="464">
        <v>0</v>
      </c>
      <c r="Q313" s="464">
        <v>148007</v>
      </c>
      <c r="R313" s="464"/>
      <c r="S313" s="461">
        <v>17721468</v>
      </c>
      <c r="T313" s="462">
        <v>2359991</v>
      </c>
      <c r="U313" s="462">
        <v>20081459</v>
      </c>
      <c r="W313" s="464">
        <v>106889870</v>
      </c>
      <c r="X313" s="464">
        <v>24492355</v>
      </c>
    </row>
    <row r="314" spans="1:24">
      <c r="A314" s="458">
        <v>93211</v>
      </c>
      <c r="B314" s="459" t="s">
        <v>1021</v>
      </c>
      <c r="C314" s="463">
        <v>2.0171089999999999E-2</v>
      </c>
      <c r="D314" s="463">
        <v>2.2072499999999998E-2</v>
      </c>
      <c r="E314" s="464">
        <v>133594884</v>
      </c>
      <c r="F314" s="464"/>
      <c r="G314" s="461">
        <v>14886426</v>
      </c>
      <c r="H314" s="461">
        <v>35755839</v>
      </c>
      <c r="I314" s="461">
        <v>5677012</v>
      </c>
      <c r="J314" s="464">
        <v>34824</v>
      </c>
      <c r="K314" s="464">
        <v>56354101</v>
      </c>
      <c r="L314" s="464"/>
      <c r="M314" s="461">
        <v>320478</v>
      </c>
      <c r="N314" s="461">
        <v>0</v>
      </c>
      <c r="O314" s="461">
        <v>0</v>
      </c>
      <c r="P314" s="464">
        <v>4536671</v>
      </c>
      <c r="Q314" s="464">
        <v>4857149</v>
      </c>
      <c r="R314" s="464"/>
      <c r="S314" s="461">
        <v>38372170</v>
      </c>
      <c r="T314" s="462">
        <v>-1194136</v>
      </c>
      <c r="U314" s="462">
        <v>37178034</v>
      </c>
      <c r="W314" s="464">
        <v>231447887</v>
      </c>
      <c r="X314" s="464">
        <v>53033124</v>
      </c>
    </row>
    <row r="315" spans="1:24">
      <c r="A315" s="458">
        <v>93212</v>
      </c>
      <c r="B315" s="459" t="s">
        <v>1022</v>
      </c>
      <c r="C315" s="463">
        <v>1.8872E-4</v>
      </c>
      <c r="D315" s="463">
        <v>2.007E-4</v>
      </c>
      <c r="E315" s="464">
        <v>1249909</v>
      </c>
      <c r="F315" s="464"/>
      <c r="G315" s="461">
        <v>139277</v>
      </c>
      <c r="H315" s="461">
        <v>334530</v>
      </c>
      <c r="I315" s="461">
        <v>53114</v>
      </c>
      <c r="J315" s="464">
        <v>99109</v>
      </c>
      <c r="K315" s="464">
        <v>626030</v>
      </c>
      <c r="L315" s="464"/>
      <c r="M315" s="461">
        <v>2998</v>
      </c>
      <c r="N315" s="461">
        <v>0</v>
      </c>
      <c r="O315" s="461">
        <v>0</v>
      </c>
      <c r="P315" s="464">
        <v>48720</v>
      </c>
      <c r="Q315" s="464">
        <v>51718</v>
      </c>
      <c r="R315" s="464"/>
      <c r="S315" s="461">
        <v>359009</v>
      </c>
      <c r="T315" s="462">
        <v>34906</v>
      </c>
      <c r="U315" s="462">
        <v>393915</v>
      </c>
      <c r="W315" s="464">
        <v>2165418</v>
      </c>
      <c r="X315" s="464">
        <v>496176</v>
      </c>
    </row>
    <row r="316" spans="1:24">
      <c r="A316" s="458">
        <v>93219</v>
      </c>
      <c r="B316" s="459" t="s">
        <v>1023</v>
      </c>
      <c r="C316" s="463">
        <v>3.3611999999999997E-4</v>
      </c>
      <c r="D316" s="463">
        <v>3.232E-4</v>
      </c>
      <c r="E316" s="464">
        <v>2226152</v>
      </c>
      <c r="F316" s="464"/>
      <c r="G316" s="461">
        <v>248059</v>
      </c>
      <c r="H316" s="461">
        <v>595816</v>
      </c>
      <c r="I316" s="461">
        <v>94599</v>
      </c>
      <c r="J316" s="464">
        <v>82968</v>
      </c>
      <c r="K316" s="464">
        <v>1021442</v>
      </c>
      <c r="L316" s="464"/>
      <c r="M316" s="461">
        <v>5340</v>
      </c>
      <c r="N316" s="461">
        <v>0</v>
      </c>
      <c r="O316" s="461">
        <v>0</v>
      </c>
      <c r="P316" s="464">
        <v>14526</v>
      </c>
      <c r="Q316" s="464">
        <v>19866</v>
      </c>
      <c r="R316" s="464"/>
      <c r="S316" s="461">
        <v>639413</v>
      </c>
      <c r="T316" s="462">
        <v>41795</v>
      </c>
      <c r="U316" s="462">
        <v>681208</v>
      </c>
      <c r="W316" s="464">
        <v>3856721</v>
      </c>
      <c r="X316" s="464">
        <v>883715</v>
      </c>
    </row>
    <row r="317" spans="1:24">
      <c r="A317" s="458">
        <v>93301</v>
      </c>
      <c r="B317" s="459" t="s">
        <v>1024</v>
      </c>
      <c r="C317" s="463">
        <v>2.36521E-3</v>
      </c>
      <c r="D317" s="463">
        <v>2.3389000000000001E-3</v>
      </c>
      <c r="E317" s="464">
        <v>15664992</v>
      </c>
      <c r="F317" s="464"/>
      <c r="G317" s="461">
        <v>1745544</v>
      </c>
      <c r="H317" s="461">
        <v>4192637</v>
      </c>
      <c r="I317" s="461">
        <v>665672</v>
      </c>
      <c r="J317" s="464">
        <v>303766</v>
      </c>
      <c r="K317" s="464">
        <v>6907619</v>
      </c>
      <c r="L317" s="464"/>
      <c r="M317" s="461">
        <v>37578</v>
      </c>
      <c r="N317" s="461">
        <v>0</v>
      </c>
      <c r="O317" s="461">
        <v>0</v>
      </c>
      <c r="P317" s="464">
        <v>12595</v>
      </c>
      <c r="Q317" s="464">
        <v>50173</v>
      </c>
      <c r="R317" s="464"/>
      <c r="S317" s="461">
        <v>4499422</v>
      </c>
      <c r="T317" s="462">
        <v>156529</v>
      </c>
      <c r="U317" s="462">
        <v>4655951</v>
      </c>
      <c r="W317" s="464">
        <v>27138982</v>
      </c>
      <c r="X317" s="464">
        <v>6218527</v>
      </c>
    </row>
    <row r="318" spans="1:24">
      <c r="A318" s="458">
        <v>93304</v>
      </c>
      <c r="B318" s="459" t="s">
        <v>1025</v>
      </c>
      <c r="C318" s="463">
        <v>3.5049999999999998E-5</v>
      </c>
      <c r="D318" s="463">
        <v>3.3500000000000001E-5</v>
      </c>
      <c r="E318" s="464">
        <v>232139</v>
      </c>
      <c r="F318" s="464"/>
      <c r="G318" s="461">
        <v>25867</v>
      </c>
      <c r="H318" s="461">
        <v>62131</v>
      </c>
      <c r="I318" s="461">
        <v>9865</v>
      </c>
      <c r="J318" s="464">
        <v>19184</v>
      </c>
      <c r="K318" s="464">
        <v>117047</v>
      </c>
      <c r="L318" s="464"/>
      <c r="M318" s="461">
        <v>557</v>
      </c>
      <c r="N318" s="461">
        <v>0</v>
      </c>
      <c r="O318" s="461">
        <v>0</v>
      </c>
      <c r="P318" s="464">
        <v>13412</v>
      </c>
      <c r="Q318" s="464">
        <v>13969</v>
      </c>
      <c r="R318" s="464"/>
      <c r="S318" s="461">
        <v>66677</v>
      </c>
      <c r="T318" s="462">
        <v>7868</v>
      </c>
      <c r="U318" s="462">
        <v>74545</v>
      </c>
      <c r="W318" s="464">
        <v>402172</v>
      </c>
      <c r="X318" s="464">
        <v>92152</v>
      </c>
    </row>
    <row r="319" spans="1:24">
      <c r="A319" s="458">
        <v>93305</v>
      </c>
      <c r="B319" s="459" t="s">
        <v>1026</v>
      </c>
      <c r="C319" s="463">
        <v>2.9779999999999999E-5</v>
      </c>
      <c r="D319" s="463">
        <v>2.8900000000000001E-5</v>
      </c>
      <c r="E319" s="464">
        <v>197236</v>
      </c>
      <c r="F319" s="464"/>
      <c r="G319" s="461">
        <v>21978</v>
      </c>
      <c r="H319" s="461">
        <v>52789</v>
      </c>
      <c r="I319" s="461">
        <v>8381</v>
      </c>
      <c r="J319" s="464">
        <v>5090</v>
      </c>
      <c r="K319" s="464">
        <v>88238</v>
      </c>
      <c r="L319" s="464"/>
      <c r="M319" s="461">
        <v>473</v>
      </c>
      <c r="N319" s="461">
        <v>0</v>
      </c>
      <c r="O319" s="461">
        <v>0</v>
      </c>
      <c r="P319" s="464">
        <v>3463</v>
      </c>
      <c r="Q319" s="464">
        <v>3936</v>
      </c>
      <c r="R319" s="464"/>
      <c r="S319" s="461">
        <v>56652</v>
      </c>
      <c r="T319" s="462">
        <v>-4007</v>
      </c>
      <c r="U319" s="462">
        <v>52645</v>
      </c>
      <c r="W319" s="464">
        <v>341703</v>
      </c>
      <c r="X319" s="464">
        <v>78297</v>
      </c>
    </row>
    <row r="320" spans="1:24">
      <c r="A320" s="458">
        <v>93309</v>
      </c>
      <c r="B320" s="459" t="s">
        <v>1027</v>
      </c>
      <c r="C320" s="463">
        <v>1.7582000000000001E-4</v>
      </c>
      <c r="D320" s="463">
        <v>1.7540000000000001E-4</v>
      </c>
      <c r="E320" s="464">
        <v>1164471</v>
      </c>
      <c r="F320" s="464"/>
      <c r="G320" s="461">
        <v>129757</v>
      </c>
      <c r="H320" s="461">
        <v>311663</v>
      </c>
      <c r="I320" s="461">
        <v>49483</v>
      </c>
      <c r="J320" s="464">
        <v>29591</v>
      </c>
      <c r="K320" s="464">
        <v>520494</v>
      </c>
      <c r="L320" s="464"/>
      <c r="M320" s="461">
        <v>2793</v>
      </c>
      <c r="N320" s="461">
        <v>0</v>
      </c>
      <c r="O320" s="461">
        <v>0</v>
      </c>
      <c r="P320" s="464">
        <v>0</v>
      </c>
      <c r="Q320" s="464">
        <v>2793</v>
      </c>
      <c r="R320" s="464"/>
      <c r="S320" s="461">
        <v>334469</v>
      </c>
      <c r="T320" s="462">
        <v>21997</v>
      </c>
      <c r="U320" s="462">
        <v>356466</v>
      </c>
      <c r="W320" s="464">
        <v>2017401</v>
      </c>
      <c r="X320" s="464">
        <v>462260</v>
      </c>
    </row>
    <row r="321" spans="1:24">
      <c r="A321" s="458">
        <v>93311</v>
      </c>
      <c r="B321" s="459" t="s">
        <v>1028</v>
      </c>
      <c r="C321" s="463">
        <v>1.17475E-3</v>
      </c>
      <c r="D321" s="463">
        <v>1.2187000000000001E-3</v>
      </c>
      <c r="E321" s="464">
        <v>7780471</v>
      </c>
      <c r="F321" s="464"/>
      <c r="G321" s="461">
        <v>866975</v>
      </c>
      <c r="H321" s="461">
        <v>2082395</v>
      </c>
      <c r="I321" s="461">
        <v>330625</v>
      </c>
      <c r="J321" s="464">
        <v>34326</v>
      </c>
      <c r="K321" s="464">
        <v>3314321</v>
      </c>
      <c r="L321" s="464"/>
      <c r="M321" s="461">
        <v>18664</v>
      </c>
      <c r="N321" s="461">
        <v>0</v>
      </c>
      <c r="O321" s="461">
        <v>0</v>
      </c>
      <c r="P321" s="464">
        <v>307959</v>
      </c>
      <c r="Q321" s="464">
        <v>326623</v>
      </c>
      <c r="R321" s="464"/>
      <c r="S321" s="461">
        <v>2234768</v>
      </c>
      <c r="T321" s="462">
        <v>-155227</v>
      </c>
      <c r="U321" s="462">
        <v>2079541</v>
      </c>
      <c r="W321" s="464">
        <v>13479361</v>
      </c>
      <c r="X321" s="464">
        <v>3088612</v>
      </c>
    </row>
    <row r="322" spans="1:24">
      <c r="A322" s="458">
        <v>93317</v>
      </c>
      <c r="B322" s="459" t="s">
        <v>1029</v>
      </c>
      <c r="C322" s="463">
        <v>3.3059999999999999E-5</v>
      </c>
      <c r="D322" s="463">
        <v>3.9400000000000002E-5</v>
      </c>
      <c r="E322" s="464">
        <v>218959</v>
      </c>
      <c r="F322" s="464"/>
      <c r="G322" s="461">
        <v>24399</v>
      </c>
      <c r="H322" s="461">
        <v>58603</v>
      </c>
      <c r="I322" s="461">
        <v>9305</v>
      </c>
      <c r="J322" s="464">
        <v>1274</v>
      </c>
      <c r="K322" s="464">
        <v>93581</v>
      </c>
      <c r="L322" s="464"/>
      <c r="M322" s="461">
        <v>525</v>
      </c>
      <c r="N322" s="461">
        <v>0</v>
      </c>
      <c r="O322" s="461">
        <v>0</v>
      </c>
      <c r="P322" s="464">
        <v>9479</v>
      </c>
      <c r="Q322" s="464">
        <v>10004</v>
      </c>
      <c r="R322" s="464"/>
      <c r="S322" s="461">
        <v>62891</v>
      </c>
      <c r="T322" s="462">
        <v>-2326</v>
      </c>
      <c r="U322" s="462">
        <v>60565</v>
      </c>
      <c r="W322" s="464">
        <v>379338</v>
      </c>
      <c r="X322" s="464">
        <v>86920</v>
      </c>
    </row>
    <row r="323" spans="1:24">
      <c r="A323" s="458">
        <v>93321</v>
      </c>
      <c r="B323" s="459" t="s">
        <v>1030</v>
      </c>
      <c r="C323" s="463">
        <v>6.0594100000000003E-3</v>
      </c>
      <c r="D323" s="463">
        <v>6.1843000000000002E-3</v>
      </c>
      <c r="E323" s="464">
        <v>40132000</v>
      </c>
      <c r="F323" s="464"/>
      <c r="G323" s="461">
        <v>4471893</v>
      </c>
      <c r="H323" s="461">
        <v>10741080</v>
      </c>
      <c r="I323" s="461">
        <v>1705379</v>
      </c>
      <c r="J323" s="464">
        <v>219194</v>
      </c>
      <c r="K323" s="464">
        <v>17137546</v>
      </c>
      <c r="L323" s="464"/>
      <c r="M323" s="461">
        <v>96272</v>
      </c>
      <c r="N323" s="461">
        <v>0</v>
      </c>
      <c r="O323" s="461">
        <v>0</v>
      </c>
      <c r="P323" s="464">
        <v>567082</v>
      </c>
      <c r="Q323" s="464">
        <v>663354</v>
      </c>
      <c r="R323" s="464"/>
      <c r="S323" s="461">
        <v>11527028</v>
      </c>
      <c r="T323" s="462">
        <v>-325796</v>
      </c>
      <c r="U323" s="462">
        <v>11201232</v>
      </c>
      <c r="W323" s="464">
        <v>69527112</v>
      </c>
      <c r="X323" s="464">
        <v>15931189</v>
      </c>
    </row>
    <row r="324" spans="1:24">
      <c r="A324" s="458">
        <v>93323</v>
      </c>
      <c r="B324" s="459" t="s">
        <v>1031</v>
      </c>
      <c r="C324" s="463">
        <v>2.3249999999999999E-5</v>
      </c>
      <c r="D324" s="463">
        <v>5.2599999999999998E-5</v>
      </c>
      <c r="E324" s="464">
        <v>153987</v>
      </c>
      <c r="F324" s="464"/>
      <c r="G324" s="461">
        <v>17159</v>
      </c>
      <c r="H324" s="461">
        <v>41214</v>
      </c>
      <c r="I324" s="461">
        <v>6544</v>
      </c>
      <c r="J324" s="464">
        <v>15691</v>
      </c>
      <c r="K324" s="464">
        <v>80608</v>
      </c>
      <c r="L324" s="464"/>
      <c r="M324" s="461">
        <v>369</v>
      </c>
      <c r="N324" s="461">
        <v>0</v>
      </c>
      <c r="O324" s="461">
        <v>0</v>
      </c>
      <c r="P324" s="464">
        <v>56087</v>
      </c>
      <c r="Q324" s="464">
        <v>56456</v>
      </c>
      <c r="R324" s="464"/>
      <c r="S324" s="461">
        <v>44229</v>
      </c>
      <c r="T324" s="462">
        <v>-1902</v>
      </c>
      <c r="U324" s="462">
        <v>42327</v>
      </c>
      <c r="W324" s="464">
        <v>266776</v>
      </c>
      <c r="X324" s="464">
        <v>61128</v>
      </c>
    </row>
    <row r="325" spans="1:24">
      <c r="A325" s="458">
        <v>93331</v>
      </c>
      <c r="B325" s="459" t="s">
        <v>1032</v>
      </c>
      <c r="C325" s="463">
        <v>9.6550000000000002E-5</v>
      </c>
      <c r="D325" s="463">
        <v>1.0179999999999999E-4</v>
      </c>
      <c r="E325" s="464">
        <v>639459</v>
      </c>
      <c r="F325" s="464"/>
      <c r="G325" s="461">
        <v>71255</v>
      </c>
      <c r="H325" s="461">
        <v>171147</v>
      </c>
      <c r="I325" s="461">
        <v>27173</v>
      </c>
      <c r="J325" s="464">
        <v>14473</v>
      </c>
      <c r="K325" s="464">
        <v>284048</v>
      </c>
      <c r="L325" s="464"/>
      <c r="M325" s="461">
        <v>1534</v>
      </c>
      <c r="N325" s="461">
        <v>0</v>
      </c>
      <c r="O325" s="461">
        <v>0</v>
      </c>
      <c r="P325" s="464">
        <v>24905</v>
      </c>
      <c r="Q325" s="464">
        <v>26439</v>
      </c>
      <c r="R325" s="464"/>
      <c r="S325" s="461">
        <v>183670</v>
      </c>
      <c r="T325" s="462">
        <v>-8382</v>
      </c>
      <c r="U325" s="462">
        <v>175288</v>
      </c>
      <c r="W325" s="464">
        <v>1107838</v>
      </c>
      <c r="X325" s="464">
        <v>253846</v>
      </c>
    </row>
    <row r="326" spans="1:24">
      <c r="A326" s="458">
        <v>93333</v>
      </c>
      <c r="B326" s="459" t="s">
        <v>1033</v>
      </c>
      <c r="C326" s="463">
        <v>1.7176E-4</v>
      </c>
      <c r="D326" s="463">
        <v>1.8799999999999999E-4</v>
      </c>
      <c r="E326" s="464">
        <v>1137581</v>
      </c>
      <c r="F326" s="464"/>
      <c r="G326" s="461">
        <v>126760</v>
      </c>
      <c r="H326" s="461">
        <v>304467</v>
      </c>
      <c r="I326" s="461">
        <v>48341</v>
      </c>
      <c r="J326" s="464">
        <v>39147</v>
      </c>
      <c r="K326" s="464">
        <v>518715</v>
      </c>
      <c r="L326" s="464"/>
      <c r="M326" s="461">
        <v>2729</v>
      </c>
      <c r="N326" s="461">
        <v>0</v>
      </c>
      <c r="O326" s="461">
        <v>0</v>
      </c>
      <c r="P326" s="464">
        <v>17804</v>
      </c>
      <c r="Q326" s="464">
        <v>20533</v>
      </c>
      <c r="R326" s="464"/>
      <c r="S326" s="461">
        <v>326745</v>
      </c>
      <c r="T326" s="462">
        <v>45027</v>
      </c>
      <c r="U326" s="462">
        <v>371772</v>
      </c>
      <c r="W326" s="464">
        <v>1970815</v>
      </c>
      <c r="X326" s="464">
        <v>451585</v>
      </c>
    </row>
    <row r="327" spans="1:24">
      <c r="A327" s="458">
        <v>93341</v>
      </c>
      <c r="B327" s="459" t="s">
        <v>1034</v>
      </c>
      <c r="C327" s="463">
        <v>3.362E-5</v>
      </c>
      <c r="D327" s="463">
        <v>2.23E-5</v>
      </c>
      <c r="E327" s="464">
        <v>222668</v>
      </c>
      <c r="F327" s="464"/>
      <c r="G327" s="461">
        <v>24812</v>
      </c>
      <c r="H327" s="461">
        <v>59596</v>
      </c>
      <c r="I327" s="461">
        <v>9462</v>
      </c>
      <c r="J327" s="464">
        <v>35566</v>
      </c>
      <c r="K327" s="464">
        <v>129436</v>
      </c>
      <c r="L327" s="464"/>
      <c r="M327" s="461">
        <v>534</v>
      </c>
      <c r="N327" s="461">
        <v>0</v>
      </c>
      <c r="O327" s="461">
        <v>0</v>
      </c>
      <c r="P327" s="464">
        <v>13640</v>
      </c>
      <c r="Q327" s="464">
        <v>14174</v>
      </c>
      <c r="R327" s="464"/>
      <c r="S327" s="461">
        <v>63957</v>
      </c>
      <c r="T327" s="462">
        <v>7792</v>
      </c>
      <c r="U327" s="462">
        <v>71749</v>
      </c>
      <c r="W327" s="464">
        <v>385764</v>
      </c>
      <c r="X327" s="464">
        <v>88393</v>
      </c>
    </row>
    <row r="328" spans="1:24">
      <c r="A328" s="458">
        <v>93351</v>
      </c>
      <c r="B328" s="459" t="s">
        <v>1035</v>
      </c>
      <c r="C328" s="463">
        <v>2.264E-5</v>
      </c>
      <c r="D328" s="463">
        <v>3.1999999999999999E-5</v>
      </c>
      <c r="E328" s="464">
        <v>149947</v>
      </c>
      <c r="F328" s="464"/>
      <c r="G328" s="461">
        <v>16709</v>
      </c>
      <c r="H328" s="461">
        <v>40132</v>
      </c>
      <c r="I328" s="461">
        <v>6372</v>
      </c>
      <c r="J328" s="464">
        <v>2273</v>
      </c>
      <c r="K328" s="464">
        <v>65486</v>
      </c>
      <c r="L328" s="464"/>
      <c r="M328" s="461">
        <v>360</v>
      </c>
      <c r="N328" s="461">
        <v>0</v>
      </c>
      <c r="O328" s="461">
        <v>0</v>
      </c>
      <c r="P328" s="464">
        <v>26478</v>
      </c>
      <c r="Q328" s="464">
        <v>26838</v>
      </c>
      <c r="R328" s="464"/>
      <c r="S328" s="461">
        <v>43069</v>
      </c>
      <c r="T328" s="462">
        <v>-7720</v>
      </c>
      <c r="U328" s="462">
        <v>35349</v>
      </c>
      <c r="W328" s="464">
        <v>259777</v>
      </c>
      <c r="X328" s="464">
        <v>59524</v>
      </c>
    </row>
    <row r="329" spans="1:24">
      <c r="A329" s="458">
        <v>93401</v>
      </c>
      <c r="B329" s="459" t="s">
        <v>1036</v>
      </c>
      <c r="C329" s="463">
        <v>1.324063E-2</v>
      </c>
      <c r="D329" s="463">
        <v>1.3252999999999999E-2</v>
      </c>
      <c r="E329" s="464">
        <v>87693844</v>
      </c>
      <c r="F329" s="464"/>
      <c r="G329" s="461">
        <v>9771691</v>
      </c>
      <c r="H329" s="461">
        <v>23470711</v>
      </c>
      <c r="I329" s="461">
        <v>3726483</v>
      </c>
      <c r="J329" s="464">
        <v>391384</v>
      </c>
      <c r="K329" s="464">
        <v>37360269</v>
      </c>
      <c r="L329" s="464"/>
      <c r="M329" s="461">
        <v>210367</v>
      </c>
      <c r="N329" s="461">
        <v>0</v>
      </c>
      <c r="O329" s="461">
        <v>0</v>
      </c>
      <c r="P329" s="464">
        <v>659017</v>
      </c>
      <c r="Q329" s="464">
        <v>869384</v>
      </c>
      <c r="R329" s="464"/>
      <c r="S329" s="461">
        <v>25188114</v>
      </c>
      <c r="T329" s="462">
        <v>-226126</v>
      </c>
      <c r="U329" s="462">
        <v>24961988</v>
      </c>
      <c r="W329" s="464">
        <v>151926140</v>
      </c>
      <c r="X329" s="464">
        <v>34811801</v>
      </c>
    </row>
    <row r="330" spans="1:24">
      <c r="A330" s="458">
        <v>93402</v>
      </c>
      <c r="B330" s="459" t="s">
        <v>1037</v>
      </c>
      <c r="C330" s="463">
        <v>0</v>
      </c>
      <c r="D330" s="463">
        <v>0</v>
      </c>
      <c r="E330" s="464">
        <v>0</v>
      </c>
      <c r="F330" s="464"/>
      <c r="G330" s="461">
        <v>0</v>
      </c>
      <c r="H330" s="461">
        <v>0</v>
      </c>
      <c r="I330" s="461">
        <v>0</v>
      </c>
      <c r="J330" s="464">
        <v>0</v>
      </c>
      <c r="K330" s="464">
        <v>0</v>
      </c>
      <c r="L330" s="464"/>
      <c r="M330" s="461">
        <v>0</v>
      </c>
      <c r="N330" s="461">
        <v>0</v>
      </c>
      <c r="O330" s="461">
        <v>0</v>
      </c>
      <c r="P330" s="464">
        <v>0</v>
      </c>
      <c r="Q330" s="464">
        <v>0</v>
      </c>
      <c r="R330" s="464"/>
      <c r="S330" s="461">
        <v>0</v>
      </c>
      <c r="T330" s="462">
        <v>-16204</v>
      </c>
      <c r="U330" s="462">
        <v>-16204</v>
      </c>
      <c r="W330" s="464">
        <v>0</v>
      </c>
      <c r="X330" s="464">
        <v>0</v>
      </c>
    </row>
    <row r="331" spans="1:24">
      <c r="A331" s="458">
        <v>93406</v>
      </c>
      <c r="B331" s="459" t="s">
        <v>1038</v>
      </c>
      <c r="C331" s="463">
        <v>5.8235000000000003E-4</v>
      </c>
      <c r="D331" s="463">
        <v>5.9909999999999998E-4</v>
      </c>
      <c r="E331" s="464">
        <v>3856955</v>
      </c>
      <c r="F331" s="464"/>
      <c r="G331" s="461">
        <v>429779</v>
      </c>
      <c r="H331" s="461">
        <v>1032290</v>
      </c>
      <c r="I331" s="461">
        <v>163898</v>
      </c>
      <c r="J331" s="464">
        <v>71837</v>
      </c>
      <c r="K331" s="464">
        <v>1697804</v>
      </c>
      <c r="L331" s="464"/>
      <c r="M331" s="461">
        <v>9252</v>
      </c>
      <c r="N331" s="461">
        <v>0</v>
      </c>
      <c r="O331" s="461">
        <v>0</v>
      </c>
      <c r="P331" s="464">
        <v>44758</v>
      </c>
      <c r="Q331" s="464">
        <v>54010</v>
      </c>
      <c r="R331" s="464"/>
      <c r="S331" s="461">
        <v>1107825</v>
      </c>
      <c r="T331" s="462">
        <v>59100</v>
      </c>
      <c r="U331" s="462">
        <v>1166925</v>
      </c>
      <c r="W331" s="464">
        <v>6682022</v>
      </c>
      <c r="X331" s="464">
        <v>1531094</v>
      </c>
    </row>
    <row r="332" spans="1:24">
      <c r="A332" s="458">
        <v>93411</v>
      </c>
      <c r="B332" s="459" t="s">
        <v>1040</v>
      </c>
      <c r="C332" s="463">
        <v>1.5546610000000001E-2</v>
      </c>
      <c r="D332" s="463">
        <v>1.6267899999999998E-2</v>
      </c>
      <c r="E332" s="464">
        <v>102966551</v>
      </c>
      <c r="F332" s="464"/>
      <c r="G332" s="461">
        <v>11473523</v>
      </c>
      <c r="H332" s="461">
        <v>27558356</v>
      </c>
      <c r="I332" s="461">
        <v>4375485</v>
      </c>
      <c r="J332" s="464">
        <v>0</v>
      </c>
      <c r="K332" s="464">
        <v>43407364</v>
      </c>
      <c r="L332" s="464"/>
      <c r="M332" s="461">
        <v>247005</v>
      </c>
      <c r="N332" s="461">
        <v>0</v>
      </c>
      <c r="O332" s="461">
        <v>0</v>
      </c>
      <c r="P332" s="464">
        <v>2932166</v>
      </c>
      <c r="Q332" s="464">
        <v>3179171</v>
      </c>
      <c r="R332" s="464"/>
      <c r="S332" s="461">
        <v>29574860</v>
      </c>
      <c r="T332" s="462">
        <v>-1344258</v>
      </c>
      <c r="U332" s="462">
        <v>28230602</v>
      </c>
      <c r="W332" s="464">
        <v>178385503</v>
      </c>
      <c r="X332" s="464">
        <v>40874603</v>
      </c>
    </row>
    <row r="333" spans="1:24">
      <c r="A333" s="458">
        <v>93413</v>
      </c>
      <c r="B333" s="459" t="s">
        <v>1041</v>
      </c>
      <c r="C333" s="463">
        <v>6.2914999999999998E-4</v>
      </c>
      <c r="D333" s="463">
        <v>6.912E-4</v>
      </c>
      <c r="E333" s="464">
        <v>4166915</v>
      </c>
      <c r="F333" s="464"/>
      <c r="G333" s="461">
        <v>464318</v>
      </c>
      <c r="H333" s="461">
        <v>1115249</v>
      </c>
      <c r="I333" s="461">
        <v>177070</v>
      </c>
      <c r="J333" s="464">
        <v>23117</v>
      </c>
      <c r="K333" s="464">
        <v>1779754</v>
      </c>
      <c r="L333" s="464"/>
      <c r="M333" s="461">
        <v>9996</v>
      </c>
      <c r="N333" s="461">
        <v>0</v>
      </c>
      <c r="O333" s="461">
        <v>0</v>
      </c>
      <c r="P333" s="464">
        <v>179994</v>
      </c>
      <c r="Q333" s="464">
        <v>189990</v>
      </c>
      <c r="R333" s="464"/>
      <c r="S333" s="461">
        <v>1196854</v>
      </c>
      <c r="T333" s="462">
        <v>-46586</v>
      </c>
      <c r="U333" s="462">
        <v>1150268</v>
      </c>
      <c r="W333" s="464">
        <v>7219017</v>
      </c>
      <c r="X333" s="464">
        <v>1654139</v>
      </c>
    </row>
    <row r="334" spans="1:24">
      <c r="A334" s="458">
        <v>93417</v>
      </c>
      <c r="B334" s="459" t="s">
        <v>1042</v>
      </c>
      <c r="C334" s="463">
        <v>2.8412000000000001E-4</v>
      </c>
      <c r="D334" s="463">
        <v>2.875E-4</v>
      </c>
      <c r="E334" s="464">
        <v>1881751</v>
      </c>
      <c r="F334" s="464"/>
      <c r="G334" s="461">
        <v>209683</v>
      </c>
      <c r="H334" s="461">
        <v>503639</v>
      </c>
      <c r="I334" s="461">
        <v>79964</v>
      </c>
      <c r="J334" s="464">
        <v>82358</v>
      </c>
      <c r="K334" s="464">
        <v>875644</v>
      </c>
      <c r="L334" s="464"/>
      <c r="M334" s="461">
        <v>4514</v>
      </c>
      <c r="N334" s="461">
        <v>0</v>
      </c>
      <c r="O334" s="461">
        <v>0</v>
      </c>
      <c r="P334" s="464">
        <v>5683</v>
      </c>
      <c r="Q334" s="464">
        <v>10197</v>
      </c>
      <c r="R334" s="464"/>
      <c r="S334" s="461">
        <v>540491</v>
      </c>
      <c r="T334" s="462">
        <v>51014</v>
      </c>
      <c r="U334" s="462">
        <v>591505</v>
      </c>
      <c r="W334" s="464">
        <v>3260061</v>
      </c>
      <c r="X334" s="464">
        <v>746998</v>
      </c>
    </row>
    <row r="335" spans="1:24">
      <c r="A335" s="458">
        <v>93421</v>
      </c>
      <c r="B335" s="459" t="s">
        <v>1043</v>
      </c>
      <c r="C335" s="463">
        <v>1.8459399999999999E-3</v>
      </c>
      <c r="D335" s="463">
        <v>1.9032999999999999E-3</v>
      </c>
      <c r="E335" s="464">
        <v>12225821</v>
      </c>
      <c r="F335" s="464"/>
      <c r="G335" s="461">
        <v>1362318</v>
      </c>
      <c r="H335" s="461">
        <v>3272165</v>
      </c>
      <c r="I335" s="461">
        <v>519527</v>
      </c>
      <c r="J335" s="464">
        <v>25006</v>
      </c>
      <c r="K335" s="464">
        <v>5179016</v>
      </c>
      <c r="L335" s="464"/>
      <c r="M335" s="461">
        <v>29328</v>
      </c>
      <c r="N335" s="461">
        <v>0</v>
      </c>
      <c r="O335" s="461">
        <v>0</v>
      </c>
      <c r="P335" s="464">
        <v>328016</v>
      </c>
      <c r="Q335" s="464">
        <v>357344</v>
      </c>
      <c r="R335" s="464"/>
      <c r="S335" s="461">
        <v>3511596</v>
      </c>
      <c r="T335" s="462">
        <v>-227327</v>
      </c>
      <c r="U335" s="462">
        <v>3284269</v>
      </c>
      <c r="W335" s="464">
        <v>21180755</v>
      </c>
      <c r="X335" s="464">
        <v>4853281</v>
      </c>
    </row>
    <row r="336" spans="1:24">
      <c r="A336" s="458">
        <v>93431</v>
      </c>
      <c r="B336" s="459" t="s">
        <v>1044</v>
      </c>
      <c r="C336" s="463">
        <v>1.381E-4</v>
      </c>
      <c r="D336" s="463">
        <v>1.2899999999999999E-4</v>
      </c>
      <c r="E336" s="464">
        <v>914648</v>
      </c>
      <c r="F336" s="464"/>
      <c r="G336" s="461">
        <v>101919</v>
      </c>
      <c r="H336" s="461">
        <v>244800</v>
      </c>
      <c r="I336" s="461">
        <v>38867</v>
      </c>
      <c r="J336" s="464">
        <v>28177</v>
      </c>
      <c r="K336" s="464">
        <v>413763</v>
      </c>
      <c r="L336" s="464"/>
      <c r="M336" s="461">
        <v>2194</v>
      </c>
      <c r="N336" s="461">
        <v>0</v>
      </c>
      <c r="O336" s="461">
        <v>0</v>
      </c>
      <c r="P336" s="464">
        <v>23983</v>
      </c>
      <c r="Q336" s="464">
        <v>26177</v>
      </c>
      <c r="R336" s="464"/>
      <c r="S336" s="461">
        <v>262712</v>
      </c>
      <c r="T336" s="462">
        <v>3430</v>
      </c>
      <c r="U336" s="462">
        <v>266142</v>
      </c>
      <c r="W336" s="464">
        <v>1584592</v>
      </c>
      <c r="X336" s="464">
        <v>363088</v>
      </c>
    </row>
    <row r="337" spans="1:24">
      <c r="A337" s="458">
        <v>93441</v>
      </c>
      <c r="B337" s="459" t="s">
        <v>1045</v>
      </c>
      <c r="C337" s="463">
        <v>1.2968999999999999E-4</v>
      </c>
      <c r="D337" s="463">
        <v>1.7890000000000001E-4</v>
      </c>
      <c r="E337" s="464">
        <v>858948</v>
      </c>
      <c r="F337" s="464"/>
      <c r="G337" s="461">
        <v>95712</v>
      </c>
      <c r="H337" s="461">
        <v>229892</v>
      </c>
      <c r="I337" s="461">
        <v>36500</v>
      </c>
      <c r="J337" s="464">
        <v>24551</v>
      </c>
      <c r="K337" s="464">
        <v>386655</v>
      </c>
      <c r="L337" s="464"/>
      <c r="M337" s="461">
        <v>2061</v>
      </c>
      <c r="N337" s="461">
        <v>0</v>
      </c>
      <c r="O337" s="461">
        <v>0</v>
      </c>
      <c r="P337" s="464">
        <v>99594</v>
      </c>
      <c r="Q337" s="464">
        <v>101655</v>
      </c>
      <c r="R337" s="464"/>
      <c r="S337" s="461">
        <v>246714</v>
      </c>
      <c r="T337" s="462">
        <v>-25790</v>
      </c>
      <c r="U337" s="462">
        <v>220924</v>
      </c>
      <c r="W337" s="464">
        <v>1488094</v>
      </c>
      <c r="X337" s="464">
        <v>340976</v>
      </c>
    </row>
    <row r="338" spans="1:24">
      <c r="A338" s="458">
        <v>93442</v>
      </c>
      <c r="B338" s="459" t="s">
        <v>1046</v>
      </c>
      <c r="C338" s="463">
        <v>1.5709E-4</v>
      </c>
      <c r="D338" s="463">
        <v>1.5330000000000001E-4</v>
      </c>
      <c r="E338" s="464">
        <v>1040421</v>
      </c>
      <c r="F338" s="464"/>
      <c r="G338" s="461">
        <v>115934</v>
      </c>
      <c r="H338" s="461">
        <v>278462</v>
      </c>
      <c r="I338" s="461">
        <v>44212</v>
      </c>
      <c r="J338" s="464">
        <v>17959</v>
      </c>
      <c r="K338" s="464">
        <v>456567</v>
      </c>
      <c r="L338" s="464"/>
      <c r="M338" s="461">
        <v>2496</v>
      </c>
      <c r="N338" s="461">
        <v>0</v>
      </c>
      <c r="O338" s="461">
        <v>0</v>
      </c>
      <c r="P338" s="464">
        <v>18710</v>
      </c>
      <c r="Q338" s="464">
        <v>21206</v>
      </c>
      <c r="R338" s="464"/>
      <c r="S338" s="461">
        <v>298838</v>
      </c>
      <c r="T338" s="462">
        <v>-11332</v>
      </c>
      <c r="U338" s="462">
        <v>287506</v>
      </c>
      <c r="W338" s="464">
        <v>1802488</v>
      </c>
      <c r="X338" s="464">
        <v>413016</v>
      </c>
    </row>
    <row r="339" spans="1:24">
      <c r="A339" s="458">
        <v>93451</v>
      </c>
      <c r="B339" s="459" t="s">
        <v>1047</v>
      </c>
      <c r="C339" s="463">
        <v>8.038E-5</v>
      </c>
      <c r="D339" s="463">
        <v>7.6600000000000005E-5</v>
      </c>
      <c r="E339" s="464">
        <v>532364</v>
      </c>
      <c r="F339" s="464"/>
      <c r="G339" s="461">
        <v>59321</v>
      </c>
      <c r="H339" s="461">
        <v>142484</v>
      </c>
      <c r="I339" s="461">
        <v>22622</v>
      </c>
      <c r="J339" s="464">
        <v>42835</v>
      </c>
      <c r="K339" s="464">
        <v>267262</v>
      </c>
      <c r="L339" s="464"/>
      <c r="M339" s="461">
        <v>1277</v>
      </c>
      <c r="N339" s="461">
        <v>0</v>
      </c>
      <c r="O339" s="461">
        <v>0</v>
      </c>
      <c r="P339" s="464">
        <v>0</v>
      </c>
      <c r="Q339" s="464">
        <v>1277</v>
      </c>
      <c r="R339" s="464"/>
      <c r="S339" s="461">
        <v>152910</v>
      </c>
      <c r="T339" s="462">
        <v>22230</v>
      </c>
      <c r="U339" s="462">
        <v>175140</v>
      </c>
      <c r="W339" s="464">
        <v>922299</v>
      </c>
      <c r="X339" s="464">
        <v>211332</v>
      </c>
    </row>
    <row r="340" spans="1:24">
      <c r="A340" s="458">
        <v>93461</v>
      </c>
      <c r="B340" s="459" t="s">
        <v>1048</v>
      </c>
      <c r="C340" s="463">
        <v>1.451E-5</v>
      </c>
      <c r="D340" s="463">
        <v>1.5500000000000001E-5</v>
      </c>
      <c r="E340" s="464">
        <v>96101</v>
      </c>
      <c r="F340" s="464"/>
      <c r="G340" s="461">
        <v>10708</v>
      </c>
      <c r="H340" s="461">
        <v>25721</v>
      </c>
      <c r="I340" s="461">
        <v>4084</v>
      </c>
      <c r="J340" s="464">
        <v>366</v>
      </c>
      <c r="K340" s="464">
        <v>40879</v>
      </c>
      <c r="L340" s="464"/>
      <c r="M340" s="461">
        <v>231</v>
      </c>
      <c r="N340" s="461">
        <v>0</v>
      </c>
      <c r="O340" s="461">
        <v>0</v>
      </c>
      <c r="P340" s="464">
        <v>2840</v>
      </c>
      <c r="Q340" s="464">
        <v>3071</v>
      </c>
      <c r="R340" s="464"/>
      <c r="S340" s="461">
        <v>27603</v>
      </c>
      <c r="T340" s="462">
        <v>-915</v>
      </c>
      <c r="U340" s="462">
        <v>26688</v>
      </c>
      <c r="W340" s="464">
        <v>166491</v>
      </c>
      <c r="X340" s="464">
        <v>38149</v>
      </c>
    </row>
    <row r="341" spans="1:24">
      <c r="A341" s="458">
        <v>93471</v>
      </c>
      <c r="B341" s="459" t="s">
        <v>1049</v>
      </c>
      <c r="C341" s="463">
        <v>1.2510000000000001E-5</v>
      </c>
      <c r="D341" s="463">
        <v>1.11E-5</v>
      </c>
      <c r="E341" s="464">
        <v>82855</v>
      </c>
      <c r="F341" s="464"/>
      <c r="G341" s="461">
        <v>9232</v>
      </c>
      <c r="H341" s="461">
        <v>22176</v>
      </c>
      <c r="I341" s="461">
        <v>3521</v>
      </c>
      <c r="J341" s="464">
        <v>12502</v>
      </c>
      <c r="K341" s="464">
        <v>47431</v>
      </c>
      <c r="L341" s="464"/>
      <c r="M341" s="461">
        <v>199</v>
      </c>
      <c r="N341" s="461">
        <v>0</v>
      </c>
      <c r="O341" s="461">
        <v>0</v>
      </c>
      <c r="P341" s="464">
        <v>1137</v>
      </c>
      <c r="Q341" s="464">
        <v>1336</v>
      </c>
      <c r="R341" s="464"/>
      <c r="S341" s="461">
        <v>23798</v>
      </c>
      <c r="T341" s="462">
        <v>7342</v>
      </c>
      <c r="U341" s="462">
        <v>31140</v>
      </c>
      <c r="W341" s="464">
        <v>143543</v>
      </c>
      <c r="X341" s="464">
        <v>32891</v>
      </c>
    </row>
    <row r="342" spans="1:24">
      <c r="A342" s="458">
        <v>93501</v>
      </c>
      <c r="B342" s="459" t="s">
        <v>1050</v>
      </c>
      <c r="C342" s="463">
        <v>3.4775800000000001E-3</v>
      </c>
      <c r="D342" s="463">
        <v>3.5991999999999999E-3</v>
      </c>
      <c r="E342" s="464">
        <v>23032315</v>
      </c>
      <c r="F342" s="464"/>
      <c r="G342" s="461">
        <v>2566482</v>
      </c>
      <c r="H342" s="461">
        <v>6164456</v>
      </c>
      <c r="I342" s="461">
        <v>978741</v>
      </c>
      <c r="J342" s="464">
        <v>143438</v>
      </c>
      <c r="K342" s="464">
        <v>9853117</v>
      </c>
      <c r="L342" s="464"/>
      <c r="M342" s="461">
        <v>55252</v>
      </c>
      <c r="N342" s="461">
        <v>0</v>
      </c>
      <c r="O342" s="461">
        <v>0</v>
      </c>
      <c r="P342" s="464">
        <v>404631</v>
      </c>
      <c r="Q342" s="464">
        <v>459883</v>
      </c>
      <c r="R342" s="464"/>
      <c r="S342" s="461">
        <v>6615522</v>
      </c>
      <c r="T342" s="462">
        <v>-169048</v>
      </c>
      <c r="U342" s="462">
        <v>6446474</v>
      </c>
      <c r="W342" s="464">
        <v>39902581</v>
      </c>
      <c r="X342" s="464">
        <v>9143132</v>
      </c>
    </row>
    <row r="343" spans="1:24">
      <c r="A343" s="458">
        <v>93511</v>
      </c>
      <c r="B343" s="459" t="s">
        <v>1051</v>
      </c>
      <c r="C343" s="463">
        <v>1.1951E-4</v>
      </c>
      <c r="D343" s="463">
        <v>1.272E-4</v>
      </c>
      <c r="E343" s="464">
        <v>791525</v>
      </c>
      <c r="F343" s="464"/>
      <c r="G343" s="461">
        <v>88199</v>
      </c>
      <c r="H343" s="461">
        <v>211847</v>
      </c>
      <c r="I343" s="461">
        <v>33635</v>
      </c>
      <c r="J343" s="464">
        <v>52099</v>
      </c>
      <c r="K343" s="464">
        <v>385780</v>
      </c>
      <c r="L343" s="464"/>
      <c r="M343" s="461">
        <v>1899</v>
      </c>
      <c r="N343" s="461">
        <v>0</v>
      </c>
      <c r="O343" s="461">
        <v>0</v>
      </c>
      <c r="P343" s="464">
        <v>35808</v>
      </c>
      <c r="Q343" s="464">
        <v>37707</v>
      </c>
      <c r="R343" s="464"/>
      <c r="S343" s="461">
        <v>227348</v>
      </c>
      <c r="T343" s="462">
        <v>14795</v>
      </c>
      <c r="U343" s="462">
        <v>242143</v>
      </c>
      <c r="W343" s="464">
        <v>1371286</v>
      </c>
      <c r="X343" s="464">
        <v>314212</v>
      </c>
    </row>
    <row r="344" spans="1:24">
      <c r="A344" s="458">
        <v>93517</v>
      </c>
      <c r="B344" s="459" t="s">
        <v>1052</v>
      </c>
      <c r="C344" s="463">
        <v>7.3000000000000004E-6</v>
      </c>
      <c r="D344" s="463">
        <v>1.01E-5</v>
      </c>
      <c r="E344" s="464">
        <v>48349</v>
      </c>
      <c r="F344" s="464"/>
      <c r="G344" s="461">
        <v>5387</v>
      </c>
      <c r="H344" s="461">
        <v>12940</v>
      </c>
      <c r="I344" s="461">
        <v>2055</v>
      </c>
      <c r="J344" s="464">
        <v>8926</v>
      </c>
      <c r="K344" s="464">
        <v>29308</v>
      </c>
      <c r="L344" s="464"/>
      <c r="M344" s="461">
        <v>116</v>
      </c>
      <c r="N344" s="461">
        <v>0</v>
      </c>
      <c r="O344" s="461">
        <v>0</v>
      </c>
      <c r="P344" s="464">
        <v>3285</v>
      </c>
      <c r="Q344" s="464">
        <v>3401</v>
      </c>
      <c r="R344" s="464"/>
      <c r="S344" s="461">
        <v>13887</v>
      </c>
      <c r="T344" s="462">
        <v>5014</v>
      </c>
      <c r="U344" s="462">
        <v>18901</v>
      </c>
      <c r="W344" s="464">
        <v>83762</v>
      </c>
      <c r="X344" s="464">
        <v>19193</v>
      </c>
    </row>
    <row r="345" spans="1:24">
      <c r="A345" s="458">
        <v>93521</v>
      </c>
      <c r="B345" s="459" t="s">
        <v>1053</v>
      </c>
      <c r="C345" s="463">
        <v>3.8265E-4</v>
      </c>
      <c r="D345" s="463">
        <v>4.4040000000000003E-4</v>
      </c>
      <c r="E345" s="464">
        <v>2534324</v>
      </c>
      <c r="F345" s="464"/>
      <c r="G345" s="461">
        <v>282399</v>
      </c>
      <c r="H345" s="461">
        <v>678296</v>
      </c>
      <c r="I345" s="461">
        <v>107694</v>
      </c>
      <c r="J345" s="464">
        <v>19207</v>
      </c>
      <c r="K345" s="464">
        <v>1087596</v>
      </c>
      <c r="L345" s="464"/>
      <c r="M345" s="461">
        <v>6080</v>
      </c>
      <c r="N345" s="461">
        <v>0</v>
      </c>
      <c r="O345" s="461">
        <v>0</v>
      </c>
      <c r="P345" s="464">
        <v>116164</v>
      </c>
      <c r="Q345" s="464">
        <v>122244</v>
      </c>
      <c r="R345" s="464"/>
      <c r="S345" s="461">
        <v>727928</v>
      </c>
      <c r="T345" s="462">
        <v>-36716</v>
      </c>
      <c r="U345" s="462">
        <v>691212</v>
      </c>
      <c r="W345" s="464">
        <v>4390617</v>
      </c>
      <c r="X345" s="464">
        <v>1006050</v>
      </c>
    </row>
    <row r="346" spans="1:24">
      <c r="A346" s="458">
        <v>93527</v>
      </c>
      <c r="B346" s="459" t="s">
        <v>1054</v>
      </c>
      <c r="C346" s="463">
        <v>1.4749999999999999E-5</v>
      </c>
      <c r="D346" s="463">
        <v>1.4800000000000001E-5</v>
      </c>
      <c r="E346" s="464">
        <v>97691</v>
      </c>
      <c r="F346" s="464"/>
      <c r="G346" s="461">
        <v>10886</v>
      </c>
      <c r="H346" s="461">
        <v>26146</v>
      </c>
      <c r="I346" s="461">
        <v>4151</v>
      </c>
      <c r="J346" s="464">
        <v>8788</v>
      </c>
      <c r="K346" s="464">
        <v>49971</v>
      </c>
      <c r="L346" s="464"/>
      <c r="M346" s="461">
        <v>234</v>
      </c>
      <c r="N346" s="461">
        <v>0</v>
      </c>
      <c r="O346" s="461">
        <v>0</v>
      </c>
      <c r="P346" s="464">
        <v>0</v>
      </c>
      <c r="Q346" s="464">
        <v>234</v>
      </c>
      <c r="R346" s="464"/>
      <c r="S346" s="461">
        <v>28059</v>
      </c>
      <c r="T346" s="462">
        <v>8225</v>
      </c>
      <c r="U346" s="462">
        <v>36284</v>
      </c>
      <c r="W346" s="464">
        <v>169245</v>
      </c>
      <c r="X346" s="464">
        <v>38780</v>
      </c>
    </row>
    <row r="347" spans="1:24">
      <c r="A347" s="458">
        <v>93531</v>
      </c>
      <c r="B347" s="459" t="s">
        <v>1055</v>
      </c>
      <c r="C347" s="463">
        <v>1.5840000000000001E-5</v>
      </c>
      <c r="D347" s="463">
        <v>2.6999999999999999E-5</v>
      </c>
      <c r="E347" s="464">
        <v>104910</v>
      </c>
      <c r="F347" s="464"/>
      <c r="G347" s="461">
        <v>11690</v>
      </c>
      <c r="H347" s="461">
        <v>28078</v>
      </c>
      <c r="I347" s="461">
        <v>4458</v>
      </c>
      <c r="J347" s="464">
        <v>4913</v>
      </c>
      <c r="K347" s="464">
        <v>49139</v>
      </c>
      <c r="L347" s="464"/>
      <c r="M347" s="461">
        <v>252</v>
      </c>
      <c r="N347" s="461">
        <v>0</v>
      </c>
      <c r="O347" s="461">
        <v>0</v>
      </c>
      <c r="P347" s="464">
        <v>19551</v>
      </c>
      <c r="Q347" s="464">
        <v>19803</v>
      </c>
      <c r="R347" s="464"/>
      <c r="S347" s="461">
        <v>30133</v>
      </c>
      <c r="T347" s="462">
        <v>-3354</v>
      </c>
      <c r="U347" s="462">
        <v>26779</v>
      </c>
      <c r="W347" s="464">
        <v>181752</v>
      </c>
      <c r="X347" s="464">
        <v>41646</v>
      </c>
    </row>
    <row r="348" spans="1:24">
      <c r="A348" s="458">
        <v>93537</v>
      </c>
      <c r="B348" s="459" t="s">
        <v>1056</v>
      </c>
      <c r="C348" s="463">
        <v>9.4299999999999995E-6</v>
      </c>
      <c r="D348" s="463">
        <v>1.03E-5</v>
      </c>
      <c r="E348" s="464">
        <v>62456</v>
      </c>
      <c r="F348" s="464"/>
      <c r="G348" s="461">
        <v>6959</v>
      </c>
      <c r="H348" s="461">
        <v>16716</v>
      </c>
      <c r="I348" s="461">
        <v>2654</v>
      </c>
      <c r="J348" s="464">
        <v>568</v>
      </c>
      <c r="K348" s="464">
        <v>26897</v>
      </c>
      <c r="L348" s="464"/>
      <c r="M348" s="461">
        <v>150</v>
      </c>
      <c r="N348" s="461">
        <v>0</v>
      </c>
      <c r="O348" s="461">
        <v>0</v>
      </c>
      <c r="P348" s="464">
        <v>5275</v>
      </c>
      <c r="Q348" s="464">
        <v>5425</v>
      </c>
      <c r="R348" s="464"/>
      <c r="S348" s="461">
        <v>17939</v>
      </c>
      <c r="T348" s="462">
        <v>-2931</v>
      </c>
      <c r="U348" s="462">
        <v>15008</v>
      </c>
      <c r="W348" s="464">
        <v>108202</v>
      </c>
      <c r="X348" s="464">
        <v>24793</v>
      </c>
    </row>
    <row r="349" spans="1:24">
      <c r="A349" s="458">
        <v>93541</v>
      </c>
      <c r="B349" s="459" t="s">
        <v>1057</v>
      </c>
      <c r="C349" s="463">
        <v>2.0911000000000001E-4</v>
      </c>
      <c r="D349" s="463">
        <v>2.0019999999999999E-4</v>
      </c>
      <c r="E349" s="464">
        <v>1384954</v>
      </c>
      <c r="F349" s="464"/>
      <c r="G349" s="461">
        <v>154325</v>
      </c>
      <c r="H349" s="461">
        <v>370674</v>
      </c>
      <c r="I349" s="461">
        <v>58853</v>
      </c>
      <c r="J349" s="464">
        <v>23559</v>
      </c>
      <c r="K349" s="464">
        <v>607411</v>
      </c>
      <c r="L349" s="464"/>
      <c r="M349" s="461">
        <v>3322</v>
      </c>
      <c r="N349" s="461">
        <v>0</v>
      </c>
      <c r="O349" s="461">
        <v>0</v>
      </c>
      <c r="P349" s="464">
        <v>14377</v>
      </c>
      <c r="Q349" s="464">
        <v>17699</v>
      </c>
      <c r="R349" s="464"/>
      <c r="S349" s="461">
        <v>397797</v>
      </c>
      <c r="T349" s="462">
        <v>36382</v>
      </c>
      <c r="U349" s="462">
        <v>434179</v>
      </c>
      <c r="W349" s="464">
        <v>2399378</v>
      </c>
      <c r="X349" s="464">
        <v>549785</v>
      </c>
    </row>
    <row r="350" spans="1:24">
      <c r="A350" s="458">
        <v>93601</v>
      </c>
      <c r="B350" s="459" t="s">
        <v>1058</v>
      </c>
      <c r="C350" s="463">
        <v>1.259859E-2</v>
      </c>
      <c r="D350" s="463">
        <v>1.13095E-2</v>
      </c>
      <c r="E350" s="464">
        <v>83441558</v>
      </c>
      <c r="F350" s="464"/>
      <c r="G350" s="461">
        <v>9297860</v>
      </c>
      <c r="H350" s="461">
        <v>22332613</v>
      </c>
      <c r="I350" s="461">
        <v>3545785</v>
      </c>
      <c r="J350" s="464">
        <v>3621246</v>
      </c>
      <c r="K350" s="464">
        <v>38797504</v>
      </c>
      <c r="L350" s="464"/>
      <c r="M350" s="461">
        <v>200166</v>
      </c>
      <c r="N350" s="461">
        <v>0</v>
      </c>
      <c r="O350" s="461">
        <v>0</v>
      </c>
      <c r="P350" s="464">
        <v>88771</v>
      </c>
      <c r="Q350" s="464">
        <v>288937</v>
      </c>
      <c r="R350" s="464"/>
      <c r="S350" s="461">
        <v>23966739</v>
      </c>
      <c r="T350" s="462">
        <v>1321436</v>
      </c>
      <c r="U350" s="462">
        <v>25288175</v>
      </c>
      <c r="W350" s="464">
        <v>144559220</v>
      </c>
      <c r="X350" s="464">
        <v>33123772</v>
      </c>
    </row>
    <row r="351" spans="1:24">
      <c r="A351" s="458">
        <v>93602</v>
      </c>
      <c r="B351" s="459" t="s">
        <v>1059</v>
      </c>
      <c r="C351" s="463">
        <v>1.5061E-4</v>
      </c>
      <c r="D351" s="463">
        <v>1.7789999999999999E-4</v>
      </c>
      <c r="E351" s="464">
        <v>997503</v>
      </c>
      <c r="F351" s="464"/>
      <c r="G351" s="461">
        <v>111151</v>
      </c>
      <c r="H351" s="461">
        <v>266976</v>
      </c>
      <c r="I351" s="461">
        <v>42388</v>
      </c>
      <c r="J351" s="464">
        <v>33203</v>
      </c>
      <c r="K351" s="464">
        <v>453718</v>
      </c>
      <c r="L351" s="464"/>
      <c r="M351" s="461">
        <v>2393</v>
      </c>
      <c r="N351" s="461">
        <v>0</v>
      </c>
      <c r="O351" s="461">
        <v>0</v>
      </c>
      <c r="P351" s="464">
        <v>24499</v>
      </c>
      <c r="Q351" s="464">
        <v>26892</v>
      </c>
      <c r="R351" s="464"/>
      <c r="S351" s="461">
        <v>286511</v>
      </c>
      <c r="T351" s="462">
        <v>9494</v>
      </c>
      <c r="U351" s="462">
        <v>296005</v>
      </c>
      <c r="W351" s="464">
        <v>1728135</v>
      </c>
      <c r="X351" s="464">
        <v>395979</v>
      </c>
    </row>
    <row r="352" spans="1:24">
      <c r="A352" s="458">
        <v>93604</v>
      </c>
      <c r="B352" s="459" t="s">
        <v>1926</v>
      </c>
      <c r="C352" s="463">
        <v>2.02E-5</v>
      </c>
      <c r="D352" s="463">
        <v>1.8700000000000001E-5</v>
      </c>
      <c r="E352" s="464">
        <v>133786</v>
      </c>
      <c r="F352" s="464"/>
      <c r="G352" s="461">
        <v>14908</v>
      </c>
      <c r="H352" s="461">
        <v>35807</v>
      </c>
      <c r="I352" s="461">
        <v>5685</v>
      </c>
      <c r="J352" s="464">
        <v>19063</v>
      </c>
      <c r="K352" s="464">
        <v>75463</v>
      </c>
      <c r="L352" s="464"/>
      <c r="M352" s="461">
        <v>321</v>
      </c>
      <c r="N352" s="461">
        <v>0</v>
      </c>
      <c r="O352" s="461">
        <v>0</v>
      </c>
      <c r="P352" s="464">
        <v>0</v>
      </c>
      <c r="Q352" s="464">
        <v>321</v>
      </c>
      <c r="R352" s="464"/>
      <c r="S352" s="461">
        <v>38427</v>
      </c>
      <c r="T352" s="462">
        <v>6255</v>
      </c>
      <c r="U352" s="462">
        <v>44682</v>
      </c>
      <c r="W352" s="464">
        <v>231780</v>
      </c>
      <c r="X352" s="464">
        <v>53109</v>
      </c>
    </row>
    <row r="353" spans="1:24">
      <c r="A353" s="458">
        <v>93609</v>
      </c>
      <c r="B353" s="459" t="s">
        <v>1060</v>
      </c>
      <c r="C353" s="463">
        <v>6.08371E-3</v>
      </c>
      <c r="D353" s="463">
        <v>4.8735999999999996E-3</v>
      </c>
      <c r="E353" s="464">
        <v>40292941</v>
      </c>
      <c r="F353" s="464"/>
      <c r="G353" s="461">
        <v>4489827</v>
      </c>
      <c r="H353" s="461">
        <v>10784155</v>
      </c>
      <c r="I353" s="461">
        <v>1712218</v>
      </c>
      <c r="J353" s="464">
        <v>3889417</v>
      </c>
      <c r="K353" s="464">
        <v>20875617</v>
      </c>
      <c r="L353" s="464"/>
      <c r="M353" s="461">
        <v>96658</v>
      </c>
      <c r="N353" s="461">
        <v>0</v>
      </c>
      <c r="O353" s="461">
        <v>0</v>
      </c>
      <c r="P353" s="464">
        <v>0</v>
      </c>
      <c r="Q353" s="464">
        <v>96658</v>
      </c>
      <c r="R353" s="464"/>
      <c r="S353" s="461">
        <v>11573254</v>
      </c>
      <c r="T353" s="462">
        <v>1498997</v>
      </c>
      <c r="U353" s="462">
        <v>13072251</v>
      </c>
      <c r="W353" s="464">
        <v>69805936</v>
      </c>
      <c r="X353" s="464">
        <v>15995077</v>
      </c>
    </row>
    <row r="354" spans="1:24">
      <c r="A354" s="458">
        <v>93610</v>
      </c>
      <c r="B354" s="459" t="s">
        <v>1061</v>
      </c>
      <c r="C354" s="463">
        <v>1.535E-5</v>
      </c>
      <c r="D354" s="463">
        <v>1.5500000000000001E-5</v>
      </c>
      <c r="E354" s="464">
        <v>101664</v>
      </c>
      <c r="F354" s="464"/>
      <c r="G354" s="461">
        <v>11328</v>
      </c>
      <c r="H354" s="461">
        <v>27210</v>
      </c>
      <c r="I354" s="461">
        <v>4320</v>
      </c>
      <c r="J354" s="464">
        <v>0</v>
      </c>
      <c r="K354" s="464">
        <v>42858</v>
      </c>
      <c r="L354" s="464"/>
      <c r="M354" s="461">
        <v>244</v>
      </c>
      <c r="N354" s="461">
        <v>0</v>
      </c>
      <c r="O354" s="461">
        <v>0</v>
      </c>
      <c r="P354" s="464">
        <v>2406</v>
      </c>
      <c r="Q354" s="464">
        <v>2650</v>
      </c>
      <c r="R354" s="464"/>
      <c r="S354" s="461">
        <v>29201</v>
      </c>
      <c r="T354" s="462">
        <v>-1730</v>
      </c>
      <c r="U354" s="462">
        <v>27471</v>
      </c>
      <c r="W354" s="464">
        <v>176130</v>
      </c>
      <c r="X354" s="464">
        <v>40358</v>
      </c>
    </row>
    <row r="355" spans="1:24">
      <c r="A355" s="458">
        <v>93611</v>
      </c>
      <c r="B355" s="459" t="s">
        <v>1062</v>
      </c>
      <c r="C355" s="463">
        <v>6.6762000000000002E-3</v>
      </c>
      <c r="D355" s="463">
        <v>6.5487999999999996E-3</v>
      </c>
      <c r="E355" s="464">
        <v>44217053</v>
      </c>
      <c r="F355" s="464"/>
      <c r="G355" s="461">
        <v>4927089</v>
      </c>
      <c r="H355" s="461">
        <v>11834419</v>
      </c>
      <c r="I355" s="461">
        <v>1878970</v>
      </c>
      <c r="J355" s="464">
        <v>727777</v>
      </c>
      <c r="K355" s="464">
        <v>19368255</v>
      </c>
      <c r="L355" s="464"/>
      <c r="M355" s="461">
        <v>106071</v>
      </c>
      <c r="N355" s="461">
        <v>0</v>
      </c>
      <c r="O355" s="461">
        <v>0</v>
      </c>
      <c r="P355" s="464">
        <v>144043</v>
      </c>
      <c r="Q355" s="464">
        <v>250114</v>
      </c>
      <c r="R355" s="464"/>
      <c r="S355" s="461">
        <v>12700369</v>
      </c>
      <c r="T355" s="462">
        <v>94876</v>
      </c>
      <c r="U355" s="462">
        <v>12795245</v>
      </c>
      <c r="W355" s="464">
        <v>76604308</v>
      </c>
      <c r="X355" s="464">
        <v>17552831</v>
      </c>
    </row>
    <row r="356" spans="1:24">
      <c r="A356" s="458">
        <v>93617</v>
      </c>
      <c r="B356" s="459" t="s">
        <v>1063</v>
      </c>
      <c r="C356" s="463">
        <v>1.0205E-4</v>
      </c>
      <c r="D356" s="463">
        <v>9.6000000000000002E-5</v>
      </c>
      <c r="E356" s="464">
        <v>675886</v>
      </c>
      <c r="F356" s="464"/>
      <c r="G356" s="461">
        <v>75314</v>
      </c>
      <c r="H356" s="461">
        <v>180897</v>
      </c>
      <c r="I356" s="461">
        <v>28721</v>
      </c>
      <c r="J356" s="464">
        <v>58582</v>
      </c>
      <c r="K356" s="464">
        <v>343514</v>
      </c>
      <c r="L356" s="464"/>
      <c r="M356" s="461">
        <v>1621</v>
      </c>
      <c r="N356" s="461">
        <v>0</v>
      </c>
      <c r="O356" s="461">
        <v>0</v>
      </c>
      <c r="P356" s="464">
        <v>1932</v>
      </c>
      <c r="Q356" s="464">
        <v>3553</v>
      </c>
      <c r="R356" s="464"/>
      <c r="S356" s="461">
        <v>194133</v>
      </c>
      <c r="T356" s="462">
        <v>37196</v>
      </c>
      <c r="U356" s="462">
        <v>231329</v>
      </c>
      <c r="W356" s="464">
        <v>1170946</v>
      </c>
      <c r="X356" s="464">
        <v>268306</v>
      </c>
    </row>
    <row r="357" spans="1:24">
      <c r="A357" s="458">
        <v>93618</v>
      </c>
      <c r="B357" s="459" t="s">
        <v>1064</v>
      </c>
      <c r="C357" s="463">
        <v>6.7399999999999998E-6</v>
      </c>
      <c r="D357" s="463">
        <v>7.5000000000000002E-6</v>
      </c>
      <c r="E357" s="464">
        <v>44640</v>
      </c>
      <c r="F357" s="464"/>
      <c r="G357" s="461">
        <v>4974</v>
      </c>
      <c r="H357" s="461">
        <v>11948</v>
      </c>
      <c r="I357" s="461">
        <v>1897</v>
      </c>
      <c r="J357" s="464">
        <v>39299</v>
      </c>
      <c r="K357" s="464">
        <v>58118</v>
      </c>
      <c r="L357" s="464"/>
      <c r="M357" s="461">
        <v>107</v>
      </c>
      <c r="N357" s="461">
        <v>0</v>
      </c>
      <c r="O357" s="461">
        <v>0</v>
      </c>
      <c r="P357" s="464">
        <v>341</v>
      </c>
      <c r="Q357" s="464">
        <v>448</v>
      </c>
      <c r="R357" s="464"/>
      <c r="S357" s="461">
        <v>12822</v>
      </c>
      <c r="T357" s="462">
        <v>25087</v>
      </c>
      <c r="U357" s="462">
        <v>37909</v>
      </c>
      <c r="W357" s="464">
        <v>77336</v>
      </c>
      <c r="X357" s="464">
        <v>17721</v>
      </c>
    </row>
    <row r="358" spans="1:24">
      <c r="A358" s="458">
        <v>93621</v>
      </c>
      <c r="B358" s="459" t="s">
        <v>1065</v>
      </c>
      <c r="C358" s="463">
        <v>1.2275999999999999E-3</v>
      </c>
      <c r="D358" s="463">
        <v>1.2574000000000001E-3</v>
      </c>
      <c r="E358" s="464">
        <v>8130502</v>
      </c>
      <c r="F358" s="464"/>
      <c r="G358" s="461">
        <v>905979</v>
      </c>
      <c r="H358" s="461">
        <v>2176078</v>
      </c>
      <c r="I358" s="461">
        <v>345499</v>
      </c>
      <c r="J358" s="464">
        <v>115482</v>
      </c>
      <c r="K358" s="464">
        <v>3543038</v>
      </c>
      <c r="L358" s="464"/>
      <c r="M358" s="461">
        <v>19504</v>
      </c>
      <c r="N358" s="461">
        <v>0</v>
      </c>
      <c r="O358" s="461">
        <v>0</v>
      </c>
      <c r="P358" s="464">
        <v>179372</v>
      </c>
      <c r="Q358" s="464">
        <v>198876</v>
      </c>
      <c r="R358" s="464"/>
      <c r="S358" s="461">
        <v>2335306</v>
      </c>
      <c r="T358" s="462">
        <v>9368</v>
      </c>
      <c r="U358" s="462">
        <v>2344674</v>
      </c>
      <c r="W358" s="464">
        <v>14085775</v>
      </c>
      <c r="X358" s="464">
        <v>3227563</v>
      </c>
    </row>
    <row r="359" spans="1:24">
      <c r="A359" s="458">
        <v>93623</v>
      </c>
      <c r="B359" s="459" t="s">
        <v>1066</v>
      </c>
      <c r="C359" s="463">
        <v>1.079E-5</v>
      </c>
      <c r="D359" s="463">
        <v>1.0200000000000001E-5</v>
      </c>
      <c r="E359" s="464">
        <v>71463</v>
      </c>
      <c r="F359" s="464"/>
      <c r="G359" s="461">
        <v>7963</v>
      </c>
      <c r="H359" s="461">
        <v>19127</v>
      </c>
      <c r="I359" s="461">
        <v>3037</v>
      </c>
      <c r="J359" s="464">
        <v>4514</v>
      </c>
      <c r="K359" s="464">
        <v>34641</v>
      </c>
      <c r="L359" s="464"/>
      <c r="M359" s="461">
        <v>171</v>
      </c>
      <c r="N359" s="461">
        <v>0</v>
      </c>
      <c r="O359" s="461">
        <v>0</v>
      </c>
      <c r="P359" s="464">
        <v>448</v>
      </c>
      <c r="Q359" s="464">
        <v>619</v>
      </c>
      <c r="R359" s="464"/>
      <c r="S359" s="461">
        <v>20526</v>
      </c>
      <c r="T359" s="462">
        <v>1961</v>
      </c>
      <c r="U359" s="462">
        <v>22487</v>
      </c>
      <c r="W359" s="464">
        <v>123807</v>
      </c>
      <c r="X359" s="464">
        <v>28369</v>
      </c>
    </row>
    <row r="360" spans="1:24">
      <c r="A360" s="458">
        <v>93631</v>
      </c>
      <c r="B360" s="459" t="s">
        <v>1067</v>
      </c>
      <c r="C360" s="463">
        <v>2.6928999999999999E-4</v>
      </c>
      <c r="D360" s="463">
        <v>2.7300000000000002E-4</v>
      </c>
      <c r="E360" s="464">
        <v>1783531</v>
      </c>
      <c r="F360" s="464"/>
      <c r="G360" s="461">
        <v>198738</v>
      </c>
      <c r="H360" s="461">
        <v>477351</v>
      </c>
      <c r="I360" s="461">
        <v>75790</v>
      </c>
      <c r="J360" s="464">
        <v>26711</v>
      </c>
      <c r="K360" s="464">
        <v>778590</v>
      </c>
      <c r="L360" s="464"/>
      <c r="M360" s="461">
        <v>4278</v>
      </c>
      <c r="N360" s="461">
        <v>0</v>
      </c>
      <c r="O360" s="461">
        <v>0</v>
      </c>
      <c r="P360" s="464">
        <v>57694</v>
      </c>
      <c r="Q360" s="464">
        <v>61972</v>
      </c>
      <c r="R360" s="464"/>
      <c r="S360" s="461">
        <v>512280</v>
      </c>
      <c r="T360" s="462">
        <v>-9939</v>
      </c>
      <c r="U360" s="462">
        <v>502341</v>
      </c>
      <c r="W360" s="464">
        <v>3089898</v>
      </c>
      <c r="X360" s="464">
        <v>708008</v>
      </c>
    </row>
    <row r="361" spans="1:24">
      <c r="A361" s="458">
        <v>93641</v>
      </c>
      <c r="B361" s="459" t="s">
        <v>1068</v>
      </c>
      <c r="C361" s="463">
        <v>4.0025999999999999E-4</v>
      </c>
      <c r="D361" s="463">
        <v>4.1280000000000001E-4</v>
      </c>
      <c r="E361" s="464">
        <v>2650957</v>
      </c>
      <c r="F361" s="464"/>
      <c r="G361" s="461">
        <v>295395</v>
      </c>
      <c r="H361" s="461">
        <v>709512</v>
      </c>
      <c r="I361" s="461">
        <v>112650</v>
      </c>
      <c r="J361" s="464">
        <v>70340</v>
      </c>
      <c r="K361" s="464">
        <v>1187897</v>
      </c>
      <c r="L361" s="464"/>
      <c r="M361" s="461">
        <v>6359</v>
      </c>
      <c r="N361" s="461">
        <v>0</v>
      </c>
      <c r="O361" s="461">
        <v>0</v>
      </c>
      <c r="P361" s="464">
        <v>2703</v>
      </c>
      <c r="Q361" s="464">
        <v>9062</v>
      </c>
      <c r="R361" s="464"/>
      <c r="S361" s="461">
        <v>761429</v>
      </c>
      <c r="T361" s="462">
        <v>58394</v>
      </c>
      <c r="U361" s="462">
        <v>819823</v>
      </c>
      <c r="W361" s="464">
        <v>4592679</v>
      </c>
      <c r="X361" s="464">
        <v>1052350</v>
      </c>
    </row>
    <row r="362" spans="1:24">
      <c r="A362" s="458">
        <v>93647</v>
      </c>
      <c r="B362" s="459" t="s">
        <v>1069</v>
      </c>
      <c r="C362" s="463">
        <v>3.6799999999999999E-6</v>
      </c>
      <c r="D362" s="463">
        <v>4.4000000000000002E-6</v>
      </c>
      <c r="E362" s="464">
        <v>24373</v>
      </c>
      <c r="F362" s="464"/>
      <c r="G362" s="461">
        <v>2716</v>
      </c>
      <c r="H362" s="461">
        <v>6523</v>
      </c>
      <c r="I362" s="461">
        <v>1036</v>
      </c>
      <c r="J362" s="464">
        <v>14817</v>
      </c>
      <c r="K362" s="464">
        <v>25092</v>
      </c>
      <c r="L362" s="464"/>
      <c r="M362" s="461">
        <v>58</v>
      </c>
      <c r="N362" s="461">
        <v>0</v>
      </c>
      <c r="O362" s="461">
        <v>0</v>
      </c>
      <c r="P362" s="464">
        <v>341</v>
      </c>
      <c r="Q362" s="464">
        <v>399</v>
      </c>
      <c r="R362" s="464"/>
      <c r="S362" s="461">
        <v>7001</v>
      </c>
      <c r="T362" s="462">
        <v>8711</v>
      </c>
      <c r="U362" s="462">
        <v>15712</v>
      </c>
      <c r="W362" s="464">
        <v>42225</v>
      </c>
      <c r="X362" s="464">
        <v>9675</v>
      </c>
    </row>
    <row r="363" spans="1:24">
      <c r="A363" s="458">
        <v>93651</v>
      </c>
      <c r="B363" s="459" t="s">
        <v>1070</v>
      </c>
      <c r="C363" s="463">
        <v>4.5143000000000001E-4</v>
      </c>
      <c r="D363" s="463">
        <v>4.4480000000000002E-4</v>
      </c>
      <c r="E363" s="464">
        <v>2989860</v>
      </c>
      <c r="F363" s="464"/>
      <c r="G363" s="461">
        <v>333159</v>
      </c>
      <c r="H363" s="461">
        <v>800217</v>
      </c>
      <c r="I363" s="461">
        <v>127052</v>
      </c>
      <c r="J363" s="464">
        <v>0</v>
      </c>
      <c r="K363" s="464">
        <v>1260428</v>
      </c>
      <c r="L363" s="464"/>
      <c r="M363" s="461">
        <v>7172</v>
      </c>
      <c r="N363" s="461">
        <v>0</v>
      </c>
      <c r="O363" s="461">
        <v>0</v>
      </c>
      <c r="P363" s="464">
        <v>31852</v>
      </c>
      <c r="Q363" s="464">
        <v>39024</v>
      </c>
      <c r="R363" s="464"/>
      <c r="S363" s="461">
        <v>858771</v>
      </c>
      <c r="T363" s="462">
        <v>-23040</v>
      </c>
      <c r="U363" s="462">
        <v>835731</v>
      </c>
      <c r="W363" s="464">
        <v>5179815</v>
      </c>
      <c r="X363" s="464">
        <v>1186884</v>
      </c>
    </row>
    <row r="364" spans="1:24">
      <c r="A364" s="458">
        <v>93661</v>
      </c>
      <c r="B364" s="459" t="s">
        <v>1071</v>
      </c>
      <c r="C364" s="463">
        <v>1.9258E-4</v>
      </c>
      <c r="D364" s="463">
        <v>1.5550000000000001E-4</v>
      </c>
      <c r="E364" s="464">
        <v>1275474</v>
      </c>
      <c r="F364" s="464"/>
      <c r="G364" s="461">
        <v>142126</v>
      </c>
      <c r="H364" s="461">
        <v>341373</v>
      </c>
      <c r="I364" s="461">
        <v>54200</v>
      </c>
      <c r="J364" s="464">
        <v>88140</v>
      </c>
      <c r="K364" s="464">
        <v>625839</v>
      </c>
      <c r="L364" s="464"/>
      <c r="M364" s="461">
        <v>3060</v>
      </c>
      <c r="N364" s="461">
        <v>0</v>
      </c>
      <c r="O364" s="461">
        <v>0</v>
      </c>
      <c r="P364" s="464">
        <v>3518</v>
      </c>
      <c r="Q364" s="464">
        <v>6578</v>
      </c>
      <c r="R364" s="464"/>
      <c r="S364" s="461">
        <v>366352</v>
      </c>
      <c r="T364" s="462">
        <v>35496</v>
      </c>
      <c r="U364" s="462">
        <v>401848</v>
      </c>
      <c r="W364" s="464">
        <v>2209709</v>
      </c>
      <c r="X364" s="464">
        <v>506325</v>
      </c>
    </row>
    <row r="365" spans="1:24">
      <c r="A365" s="458">
        <v>93671</v>
      </c>
      <c r="B365" s="459" t="s">
        <v>1072</v>
      </c>
      <c r="C365" s="463">
        <v>3.9650999999999998E-4</v>
      </c>
      <c r="D365" s="463">
        <v>3.4680000000000003E-4</v>
      </c>
      <c r="E365" s="464">
        <v>2626120</v>
      </c>
      <c r="F365" s="464"/>
      <c r="G365" s="461">
        <v>292628</v>
      </c>
      <c r="H365" s="461">
        <v>702865</v>
      </c>
      <c r="I365" s="461">
        <v>111595</v>
      </c>
      <c r="J365" s="464">
        <v>140949</v>
      </c>
      <c r="K365" s="464">
        <v>1248037</v>
      </c>
      <c r="L365" s="464"/>
      <c r="M365" s="461">
        <v>6300</v>
      </c>
      <c r="N365" s="461">
        <v>0</v>
      </c>
      <c r="O365" s="461">
        <v>0</v>
      </c>
      <c r="P365" s="464">
        <v>17618</v>
      </c>
      <c r="Q365" s="464">
        <v>23918</v>
      </c>
      <c r="R365" s="464"/>
      <c r="S365" s="461">
        <v>754295</v>
      </c>
      <c r="T365" s="462">
        <v>62909</v>
      </c>
      <c r="U365" s="462">
        <v>817204</v>
      </c>
      <c r="W365" s="464">
        <v>4549650</v>
      </c>
      <c r="X365" s="464">
        <v>1042490</v>
      </c>
    </row>
    <row r="366" spans="1:24">
      <c r="A366" s="458">
        <v>93681</v>
      </c>
      <c r="B366" s="459" t="s">
        <v>1073</v>
      </c>
      <c r="C366" s="463">
        <v>1.9620999999999999E-4</v>
      </c>
      <c r="D366" s="463">
        <v>1.962E-4</v>
      </c>
      <c r="E366" s="464">
        <v>1299516</v>
      </c>
      <c r="F366" s="464"/>
      <c r="G366" s="461">
        <v>144805</v>
      </c>
      <c r="H366" s="461">
        <v>347807</v>
      </c>
      <c r="I366" s="461">
        <v>55222</v>
      </c>
      <c r="J366" s="464">
        <v>19655</v>
      </c>
      <c r="K366" s="464">
        <v>567489</v>
      </c>
      <c r="L366" s="464"/>
      <c r="M366" s="461">
        <v>3117</v>
      </c>
      <c r="N366" s="461">
        <v>0</v>
      </c>
      <c r="O366" s="461">
        <v>0</v>
      </c>
      <c r="P366" s="464">
        <v>27860</v>
      </c>
      <c r="Q366" s="464">
        <v>30977</v>
      </c>
      <c r="R366" s="464"/>
      <c r="S366" s="461">
        <v>373257</v>
      </c>
      <c r="T366" s="462">
        <v>19948</v>
      </c>
      <c r="U366" s="462">
        <v>393205</v>
      </c>
      <c r="W366" s="464">
        <v>2251360</v>
      </c>
      <c r="X366" s="464">
        <v>515868</v>
      </c>
    </row>
    <row r="367" spans="1:24">
      <c r="A367" s="458">
        <v>93691</v>
      </c>
      <c r="B367" s="459" t="s">
        <v>1074</v>
      </c>
      <c r="C367" s="463">
        <v>1.10221E-3</v>
      </c>
      <c r="D367" s="463">
        <v>1.0735E-3</v>
      </c>
      <c r="E367" s="464">
        <v>7300033</v>
      </c>
      <c r="F367" s="464"/>
      <c r="G367" s="461">
        <v>813440</v>
      </c>
      <c r="H367" s="461">
        <v>1953808</v>
      </c>
      <c r="I367" s="461">
        <v>310209</v>
      </c>
      <c r="J367" s="464">
        <v>108824</v>
      </c>
      <c r="K367" s="464">
        <v>3186281</v>
      </c>
      <c r="L367" s="464"/>
      <c r="M367" s="461">
        <v>17512</v>
      </c>
      <c r="N367" s="461">
        <v>0</v>
      </c>
      <c r="O367" s="461">
        <v>0</v>
      </c>
      <c r="P367" s="464">
        <v>115859</v>
      </c>
      <c r="Q367" s="464">
        <v>133371</v>
      </c>
      <c r="R367" s="464"/>
      <c r="S367" s="461">
        <v>2096773</v>
      </c>
      <c r="T367" s="462">
        <v>-43397</v>
      </c>
      <c r="U367" s="462">
        <v>2053376</v>
      </c>
      <c r="W367" s="464">
        <v>12647020</v>
      </c>
      <c r="X367" s="464">
        <v>2897892</v>
      </c>
    </row>
    <row r="368" spans="1:24">
      <c r="A368" s="458">
        <v>93701</v>
      </c>
      <c r="B368" s="459" t="s">
        <v>1075</v>
      </c>
      <c r="C368" s="463">
        <v>4.1406E-4</v>
      </c>
      <c r="D368" s="463">
        <v>4.348E-4</v>
      </c>
      <c r="E368" s="464">
        <v>2742355</v>
      </c>
      <c r="F368" s="464"/>
      <c r="G368" s="461">
        <v>305580</v>
      </c>
      <c r="H368" s="461">
        <v>733974</v>
      </c>
      <c r="I368" s="461">
        <v>116534</v>
      </c>
      <c r="J368" s="464">
        <v>28529</v>
      </c>
      <c r="K368" s="464">
        <v>1184617</v>
      </c>
      <c r="L368" s="464"/>
      <c r="M368" s="461">
        <v>6579</v>
      </c>
      <c r="N368" s="461">
        <v>0</v>
      </c>
      <c r="O368" s="461">
        <v>0</v>
      </c>
      <c r="P368" s="464">
        <v>79792</v>
      </c>
      <c r="Q368" s="464">
        <v>86371</v>
      </c>
      <c r="R368" s="464"/>
      <c r="S368" s="461">
        <v>787681</v>
      </c>
      <c r="T368" s="462">
        <v>-29100</v>
      </c>
      <c r="U368" s="462">
        <v>758581</v>
      </c>
      <c r="W368" s="464">
        <v>4751023</v>
      </c>
      <c r="X368" s="464">
        <v>1088632</v>
      </c>
    </row>
    <row r="369" spans="1:24">
      <c r="A369" s="458">
        <v>93704</v>
      </c>
      <c r="B369" s="459" t="s">
        <v>1076</v>
      </c>
      <c r="C369" s="463">
        <v>1.17E-6</v>
      </c>
      <c r="D369" s="463">
        <v>1.3999999999999999E-6</v>
      </c>
      <c r="E369" s="464">
        <v>7749</v>
      </c>
      <c r="F369" s="464"/>
      <c r="G369" s="461">
        <v>863</v>
      </c>
      <c r="H369" s="461">
        <v>2074</v>
      </c>
      <c r="I369" s="461">
        <v>329</v>
      </c>
      <c r="J369" s="464">
        <v>3850</v>
      </c>
      <c r="K369" s="464">
        <v>7116</v>
      </c>
      <c r="L369" s="464"/>
      <c r="M369" s="461">
        <v>19</v>
      </c>
      <c r="N369" s="461">
        <v>0</v>
      </c>
      <c r="O369" s="461">
        <v>0</v>
      </c>
      <c r="P369" s="464">
        <v>455</v>
      </c>
      <c r="Q369" s="464">
        <v>474</v>
      </c>
      <c r="R369" s="464"/>
      <c r="S369" s="461">
        <v>2226</v>
      </c>
      <c r="T369" s="462">
        <v>1825</v>
      </c>
      <c r="U369" s="462">
        <v>4051</v>
      </c>
      <c r="W369" s="464">
        <v>13425</v>
      </c>
      <c r="X369" s="464">
        <v>3076</v>
      </c>
    </row>
    <row r="370" spans="1:24">
      <c r="A370" s="458">
        <v>93801</v>
      </c>
      <c r="B370" s="459" t="s">
        <v>1077</v>
      </c>
      <c r="C370" s="463">
        <v>5.9953999999999997E-4</v>
      </c>
      <c r="D370" s="463">
        <v>6.9169999999999995E-4</v>
      </c>
      <c r="E370" s="464">
        <v>3970806</v>
      </c>
      <c r="F370" s="464"/>
      <c r="G370" s="461">
        <v>442465</v>
      </c>
      <c r="H370" s="461">
        <v>1062761</v>
      </c>
      <c r="I370" s="461">
        <v>168736</v>
      </c>
      <c r="J370" s="464">
        <v>287297</v>
      </c>
      <c r="K370" s="464">
        <v>1961259</v>
      </c>
      <c r="L370" s="464"/>
      <c r="M370" s="461">
        <v>9525</v>
      </c>
      <c r="N370" s="461">
        <v>0</v>
      </c>
      <c r="O370" s="461">
        <v>0</v>
      </c>
      <c r="P370" s="464">
        <v>249247</v>
      </c>
      <c r="Q370" s="464">
        <v>258772</v>
      </c>
      <c r="R370" s="464"/>
      <c r="S370" s="461">
        <v>1140526</v>
      </c>
      <c r="T370" s="462">
        <v>61711</v>
      </c>
      <c r="U370" s="462">
        <v>1202237</v>
      </c>
      <c r="W370" s="464">
        <v>6879265</v>
      </c>
      <c r="X370" s="464">
        <v>1576290</v>
      </c>
    </row>
    <row r="371" spans="1:24">
      <c r="A371" s="458">
        <v>93803</v>
      </c>
      <c r="B371" s="459" t="s">
        <v>1078</v>
      </c>
      <c r="C371" s="463">
        <v>1.1512E-4</v>
      </c>
      <c r="D371" s="463">
        <v>1.26E-4</v>
      </c>
      <c r="E371" s="464">
        <v>762450</v>
      </c>
      <c r="F371" s="464"/>
      <c r="G371" s="461">
        <v>84959</v>
      </c>
      <c r="H371" s="461">
        <v>204065</v>
      </c>
      <c r="I371" s="461">
        <v>32400</v>
      </c>
      <c r="J371" s="464">
        <v>22891</v>
      </c>
      <c r="K371" s="464">
        <v>344315</v>
      </c>
      <c r="L371" s="464"/>
      <c r="M371" s="461">
        <v>1829</v>
      </c>
      <c r="N371" s="461">
        <v>0</v>
      </c>
      <c r="O371" s="461">
        <v>0</v>
      </c>
      <c r="P371" s="464">
        <v>32396</v>
      </c>
      <c r="Q371" s="464">
        <v>34225</v>
      </c>
      <c r="R371" s="464"/>
      <c r="S371" s="461">
        <v>218997</v>
      </c>
      <c r="T371" s="462">
        <v>4411</v>
      </c>
      <c r="U371" s="462">
        <v>223408</v>
      </c>
      <c r="W371" s="464">
        <v>1320914</v>
      </c>
      <c r="X371" s="464">
        <v>302669</v>
      </c>
    </row>
    <row r="372" spans="1:24">
      <c r="A372" s="458">
        <v>93806</v>
      </c>
      <c r="B372" s="459" t="s">
        <v>1079</v>
      </c>
      <c r="C372" s="463">
        <v>1.2410000000000001E-4</v>
      </c>
      <c r="D372" s="463">
        <v>1.3359999999999999E-4</v>
      </c>
      <c r="E372" s="464">
        <v>821925</v>
      </c>
      <c r="F372" s="464"/>
      <c r="G372" s="461">
        <v>91587</v>
      </c>
      <c r="H372" s="461">
        <v>219983</v>
      </c>
      <c r="I372" s="461">
        <v>34927</v>
      </c>
      <c r="J372" s="464">
        <v>70281</v>
      </c>
      <c r="K372" s="464">
        <v>416778</v>
      </c>
      <c r="L372" s="464"/>
      <c r="M372" s="461">
        <v>1972</v>
      </c>
      <c r="N372" s="461">
        <v>0</v>
      </c>
      <c r="O372" s="461">
        <v>0</v>
      </c>
      <c r="P372" s="464">
        <v>31669</v>
      </c>
      <c r="Q372" s="464">
        <v>33641</v>
      </c>
      <c r="R372" s="464"/>
      <c r="S372" s="461">
        <v>236080</v>
      </c>
      <c r="T372" s="462">
        <v>20538</v>
      </c>
      <c r="U372" s="462">
        <v>256618</v>
      </c>
      <c r="W372" s="464">
        <v>1423953</v>
      </c>
      <c r="X372" s="464">
        <v>326279</v>
      </c>
    </row>
    <row r="373" spans="1:24">
      <c r="A373" s="458">
        <v>93821</v>
      </c>
      <c r="B373" s="459" t="s">
        <v>1080</v>
      </c>
      <c r="C373" s="463">
        <v>5.6289999999999998E-5</v>
      </c>
      <c r="D373" s="463">
        <v>6.2600000000000004E-5</v>
      </c>
      <c r="E373" s="464">
        <v>372814</v>
      </c>
      <c r="F373" s="464"/>
      <c r="G373" s="461">
        <v>41542</v>
      </c>
      <c r="H373" s="461">
        <v>99781</v>
      </c>
      <c r="I373" s="461">
        <v>15842</v>
      </c>
      <c r="J373" s="464">
        <v>4159</v>
      </c>
      <c r="K373" s="464">
        <v>161324</v>
      </c>
      <c r="L373" s="464"/>
      <c r="M373" s="461">
        <v>894</v>
      </c>
      <c r="N373" s="461">
        <v>0</v>
      </c>
      <c r="O373" s="461">
        <v>0</v>
      </c>
      <c r="P373" s="464">
        <v>22845</v>
      </c>
      <c r="Q373" s="464">
        <v>23739</v>
      </c>
      <c r="R373" s="464"/>
      <c r="S373" s="461">
        <v>107082</v>
      </c>
      <c r="T373" s="462">
        <v>-6344</v>
      </c>
      <c r="U373" s="462">
        <v>100738</v>
      </c>
      <c r="W373" s="464">
        <v>645885</v>
      </c>
      <c r="X373" s="464">
        <v>147996</v>
      </c>
    </row>
    <row r="374" spans="1:24">
      <c r="A374" s="458">
        <v>93901</v>
      </c>
      <c r="B374" s="459" t="s">
        <v>1081</v>
      </c>
      <c r="C374" s="463">
        <v>1.8847600000000001E-3</v>
      </c>
      <c r="D374" s="463">
        <v>2.0314E-3</v>
      </c>
      <c r="E374" s="464">
        <v>12482929</v>
      </c>
      <c r="F374" s="464"/>
      <c r="G374" s="461">
        <v>1390968</v>
      </c>
      <c r="H374" s="461">
        <v>3340978</v>
      </c>
      <c r="I374" s="461">
        <v>530453</v>
      </c>
      <c r="J374" s="464">
        <v>233226</v>
      </c>
      <c r="K374" s="464">
        <v>5495625</v>
      </c>
      <c r="L374" s="464"/>
      <c r="M374" s="461">
        <v>29945</v>
      </c>
      <c r="N374" s="461">
        <v>0</v>
      </c>
      <c r="O374" s="461">
        <v>0</v>
      </c>
      <c r="P374" s="464">
        <v>304966</v>
      </c>
      <c r="Q374" s="464">
        <v>334911</v>
      </c>
      <c r="R374" s="464"/>
      <c r="S374" s="461">
        <v>3585445</v>
      </c>
      <c r="T374" s="462">
        <v>116583</v>
      </c>
      <c r="U374" s="462">
        <v>3702028</v>
      </c>
      <c r="W374" s="464">
        <v>21626185</v>
      </c>
      <c r="X374" s="464">
        <v>4955345</v>
      </c>
    </row>
    <row r="375" spans="1:24">
      <c r="A375" s="458">
        <v>93904</v>
      </c>
      <c r="B375" s="459" t="s">
        <v>1082</v>
      </c>
      <c r="C375" s="463">
        <v>3.2379999999999998E-5</v>
      </c>
      <c r="D375" s="463">
        <v>3.15E-5</v>
      </c>
      <c r="E375" s="464">
        <v>214456</v>
      </c>
      <c r="F375" s="464"/>
      <c r="G375" s="461">
        <v>23897</v>
      </c>
      <c r="H375" s="461">
        <v>57398</v>
      </c>
      <c r="I375" s="461">
        <v>9113</v>
      </c>
      <c r="J375" s="464">
        <v>24843</v>
      </c>
      <c r="K375" s="464">
        <v>115251</v>
      </c>
      <c r="L375" s="464"/>
      <c r="M375" s="461">
        <v>514</v>
      </c>
      <c r="N375" s="461">
        <v>0</v>
      </c>
      <c r="O375" s="461">
        <v>0</v>
      </c>
      <c r="P375" s="464">
        <v>1364</v>
      </c>
      <c r="Q375" s="464">
        <v>1878</v>
      </c>
      <c r="R375" s="464"/>
      <c r="S375" s="461">
        <v>61598</v>
      </c>
      <c r="T375" s="462">
        <v>14012</v>
      </c>
      <c r="U375" s="462">
        <v>75610</v>
      </c>
      <c r="W375" s="464">
        <v>371536</v>
      </c>
      <c r="X375" s="464">
        <v>85132</v>
      </c>
    </row>
    <row r="376" spans="1:24">
      <c r="A376" s="458">
        <v>93906</v>
      </c>
      <c r="B376" s="459" t="s">
        <v>1083</v>
      </c>
      <c r="C376" s="463">
        <v>3.4750499999999999E-3</v>
      </c>
      <c r="D376" s="463">
        <v>3.4053999999999998E-3</v>
      </c>
      <c r="E376" s="464">
        <v>23015558</v>
      </c>
      <c r="F376" s="464"/>
      <c r="G376" s="461">
        <v>2564615</v>
      </c>
      <c r="H376" s="461">
        <v>6159971</v>
      </c>
      <c r="I376" s="461">
        <v>978028</v>
      </c>
      <c r="J376" s="464">
        <v>351582</v>
      </c>
      <c r="K376" s="464">
        <v>10054196</v>
      </c>
      <c r="L376" s="464"/>
      <c r="M376" s="461">
        <v>55212</v>
      </c>
      <c r="N376" s="461">
        <v>0</v>
      </c>
      <c r="O376" s="461">
        <v>0</v>
      </c>
      <c r="P376" s="464">
        <v>61828</v>
      </c>
      <c r="Q376" s="464">
        <v>117040</v>
      </c>
      <c r="R376" s="464"/>
      <c r="S376" s="461">
        <v>6610709</v>
      </c>
      <c r="T376" s="462">
        <v>135037</v>
      </c>
      <c r="U376" s="462">
        <v>6745746</v>
      </c>
      <c r="W376" s="464">
        <v>39873551</v>
      </c>
      <c r="X376" s="464">
        <v>9136480</v>
      </c>
    </row>
    <row r="377" spans="1:24">
      <c r="A377" s="458">
        <v>93908</v>
      </c>
      <c r="B377" s="459" t="s">
        <v>1084</v>
      </c>
      <c r="C377" s="463">
        <v>6.4775E-4</v>
      </c>
      <c r="D377" s="463">
        <v>6.332E-4</v>
      </c>
      <c r="E377" s="464">
        <v>4290105</v>
      </c>
      <c r="F377" s="464"/>
      <c r="G377" s="461">
        <v>478045</v>
      </c>
      <c r="H377" s="461">
        <v>1148220</v>
      </c>
      <c r="I377" s="461">
        <v>182305</v>
      </c>
      <c r="J377" s="464">
        <v>79482</v>
      </c>
      <c r="K377" s="464">
        <v>1888052</v>
      </c>
      <c r="L377" s="464"/>
      <c r="M377" s="461">
        <v>10291</v>
      </c>
      <c r="N377" s="461">
        <v>0</v>
      </c>
      <c r="O377" s="461">
        <v>0</v>
      </c>
      <c r="P377" s="464">
        <v>21698</v>
      </c>
      <c r="Q377" s="464">
        <v>31989</v>
      </c>
      <c r="R377" s="464"/>
      <c r="S377" s="461">
        <v>1232237</v>
      </c>
      <c r="T377" s="462">
        <v>71359</v>
      </c>
      <c r="U377" s="462">
        <v>1303596</v>
      </c>
      <c r="W377" s="464">
        <v>7432438</v>
      </c>
      <c r="X377" s="464">
        <v>1703042</v>
      </c>
    </row>
    <row r="378" spans="1:24">
      <c r="A378" s="458">
        <v>93910</v>
      </c>
      <c r="B378" s="459" t="s">
        <v>1085</v>
      </c>
      <c r="C378" s="463">
        <v>3.1504999999999999E-4</v>
      </c>
      <c r="D378" s="463">
        <v>3.3E-4</v>
      </c>
      <c r="E378" s="464">
        <v>2086604</v>
      </c>
      <c r="F378" s="464"/>
      <c r="G378" s="461">
        <v>232509</v>
      </c>
      <c r="H378" s="461">
        <v>558466</v>
      </c>
      <c r="I378" s="461">
        <v>88669</v>
      </c>
      <c r="J378" s="464">
        <v>39437</v>
      </c>
      <c r="K378" s="464">
        <v>919081</v>
      </c>
      <c r="L378" s="464"/>
      <c r="M378" s="461">
        <v>5006</v>
      </c>
      <c r="N378" s="461">
        <v>0</v>
      </c>
      <c r="O378" s="461">
        <v>0</v>
      </c>
      <c r="P378" s="464">
        <v>68299</v>
      </c>
      <c r="Q378" s="464">
        <v>73305</v>
      </c>
      <c r="R378" s="464"/>
      <c r="S378" s="461">
        <v>599331</v>
      </c>
      <c r="T378" s="462">
        <v>29024</v>
      </c>
      <c r="U378" s="462">
        <v>628355</v>
      </c>
      <c r="W378" s="464">
        <v>3614959</v>
      </c>
      <c r="X378" s="464">
        <v>828318</v>
      </c>
    </row>
    <row r="379" spans="1:24">
      <c r="A379" s="458">
        <v>93911</v>
      </c>
      <c r="B379" s="459" t="s">
        <v>1086</v>
      </c>
      <c r="C379" s="463">
        <v>4.4155000000000003E-4</v>
      </c>
      <c r="D379" s="463">
        <v>5.3839999999999997E-4</v>
      </c>
      <c r="E379" s="464">
        <v>2924424</v>
      </c>
      <c r="F379" s="464"/>
      <c r="G379" s="461">
        <v>325867</v>
      </c>
      <c r="H379" s="461">
        <v>782704</v>
      </c>
      <c r="I379" s="461">
        <v>124271</v>
      </c>
      <c r="J379" s="464">
        <v>5132</v>
      </c>
      <c r="K379" s="464">
        <v>1237974</v>
      </c>
      <c r="L379" s="464"/>
      <c r="M379" s="461">
        <v>7015</v>
      </c>
      <c r="N379" s="461">
        <v>0</v>
      </c>
      <c r="O379" s="461">
        <v>0</v>
      </c>
      <c r="P379" s="464">
        <v>202181</v>
      </c>
      <c r="Q379" s="464">
        <v>209196</v>
      </c>
      <c r="R379" s="464"/>
      <c r="S379" s="461">
        <v>839976</v>
      </c>
      <c r="T379" s="462">
        <v>-95968</v>
      </c>
      <c r="U379" s="462">
        <v>744008</v>
      </c>
      <c r="W379" s="464">
        <v>5066450</v>
      </c>
      <c r="X379" s="464">
        <v>1160908</v>
      </c>
    </row>
    <row r="380" spans="1:24">
      <c r="A380" s="458">
        <v>93913</v>
      </c>
      <c r="B380" s="459" t="s">
        <v>1087</v>
      </c>
      <c r="C380" s="463">
        <v>4.1959999999999998E-5</v>
      </c>
      <c r="D380" s="463">
        <v>4.5000000000000003E-5</v>
      </c>
      <c r="E380" s="464">
        <v>277905</v>
      </c>
      <c r="F380" s="464"/>
      <c r="G380" s="461">
        <v>30967</v>
      </c>
      <c r="H380" s="461">
        <v>74379</v>
      </c>
      <c r="I380" s="461">
        <v>11809</v>
      </c>
      <c r="J380" s="464">
        <v>19692</v>
      </c>
      <c r="K380" s="464">
        <v>136847</v>
      </c>
      <c r="L380" s="464"/>
      <c r="M380" s="461">
        <v>667</v>
      </c>
      <c r="N380" s="461">
        <v>0</v>
      </c>
      <c r="O380" s="461">
        <v>0</v>
      </c>
      <c r="P380" s="464">
        <v>0</v>
      </c>
      <c r="Q380" s="464">
        <v>667</v>
      </c>
      <c r="R380" s="464"/>
      <c r="S380" s="461">
        <v>79822</v>
      </c>
      <c r="T380" s="462">
        <v>9462</v>
      </c>
      <c r="U380" s="462">
        <v>89284</v>
      </c>
      <c r="W380" s="464">
        <v>481459</v>
      </c>
      <c r="X380" s="464">
        <v>110320</v>
      </c>
    </row>
    <row r="381" spans="1:24">
      <c r="A381" s="458">
        <v>93914</v>
      </c>
      <c r="B381" s="459" t="s">
        <v>1088</v>
      </c>
      <c r="C381" s="463">
        <v>4.3000000000000003E-6</v>
      </c>
      <c r="D381" s="463">
        <v>4.8999999999999997E-6</v>
      </c>
      <c r="E381" s="464">
        <v>28479</v>
      </c>
      <c r="F381" s="464"/>
      <c r="G381" s="461">
        <v>3173</v>
      </c>
      <c r="H381" s="461">
        <v>7622</v>
      </c>
      <c r="I381" s="461">
        <v>1210</v>
      </c>
      <c r="J381" s="464">
        <v>3207</v>
      </c>
      <c r="K381" s="464">
        <v>15212</v>
      </c>
      <c r="L381" s="464"/>
      <c r="M381" s="461">
        <v>68</v>
      </c>
      <c r="N381" s="461">
        <v>0</v>
      </c>
      <c r="O381" s="461">
        <v>0</v>
      </c>
      <c r="P381" s="464">
        <v>227</v>
      </c>
      <c r="Q381" s="464">
        <v>295</v>
      </c>
      <c r="R381" s="464"/>
      <c r="S381" s="461">
        <v>8180</v>
      </c>
      <c r="T381" s="462">
        <v>2672</v>
      </c>
      <c r="U381" s="462">
        <v>10852</v>
      </c>
      <c r="W381" s="464">
        <v>49339</v>
      </c>
      <c r="X381" s="464">
        <v>11305</v>
      </c>
    </row>
    <row r="382" spans="1:24">
      <c r="A382" s="458">
        <v>93921</v>
      </c>
      <c r="B382" s="459" t="s">
        <v>1089</v>
      </c>
      <c r="C382" s="463">
        <v>2.5096999999999999E-4</v>
      </c>
      <c r="D382" s="463">
        <v>2.9639999999999999E-4</v>
      </c>
      <c r="E382" s="464">
        <v>1662196</v>
      </c>
      <c r="F382" s="464"/>
      <c r="G382" s="461">
        <v>185218</v>
      </c>
      <c r="H382" s="461">
        <v>444876</v>
      </c>
      <c r="I382" s="461">
        <v>70634</v>
      </c>
      <c r="J382" s="464">
        <v>35918</v>
      </c>
      <c r="K382" s="464">
        <v>736646</v>
      </c>
      <c r="L382" s="464"/>
      <c r="M382" s="461">
        <v>3987</v>
      </c>
      <c r="N382" s="461">
        <v>0</v>
      </c>
      <c r="O382" s="461">
        <v>0</v>
      </c>
      <c r="P382" s="464">
        <v>103108</v>
      </c>
      <c r="Q382" s="464">
        <v>107095</v>
      </c>
      <c r="R382" s="464"/>
      <c r="S382" s="461">
        <v>477429</v>
      </c>
      <c r="T382" s="462">
        <v>-11948</v>
      </c>
      <c r="U382" s="462">
        <v>465481</v>
      </c>
      <c r="W382" s="464">
        <v>2879690</v>
      </c>
      <c r="X382" s="464">
        <v>659842</v>
      </c>
    </row>
    <row r="383" spans="1:24">
      <c r="A383" s="458">
        <v>93931</v>
      </c>
      <c r="B383" s="459" t="s">
        <v>1090</v>
      </c>
      <c r="C383" s="463">
        <v>5.3399999999999997E-4</v>
      </c>
      <c r="D383" s="463">
        <v>5.3499999999999999E-4</v>
      </c>
      <c r="E383" s="464">
        <v>3536728</v>
      </c>
      <c r="F383" s="464"/>
      <c r="G383" s="461">
        <v>394096</v>
      </c>
      <c r="H383" s="461">
        <v>946583</v>
      </c>
      <c r="I383" s="461">
        <v>150291</v>
      </c>
      <c r="J383" s="464">
        <v>0</v>
      </c>
      <c r="K383" s="464">
        <v>1490970</v>
      </c>
      <c r="L383" s="464"/>
      <c r="M383" s="461">
        <v>8484</v>
      </c>
      <c r="N383" s="461">
        <v>0</v>
      </c>
      <c r="O383" s="461">
        <v>0</v>
      </c>
      <c r="P383" s="464">
        <v>104501</v>
      </c>
      <c r="Q383" s="464">
        <v>112985</v>
      </c>
      <c r="R383" s="464"/>
      <c r="S383" s="461">
        <v>1015847</v>
      </c>
      <c r="T383" s="462">
        <v>-55226</v>
      </c>
      <c r="U383" s="462">
        <v>960621</v>
      </c>
      <c r="W383" s="464">
        <v>6127243</v>
      </c>
      <c r="X383" s="464">
        <v>1403974</v>
      </c>
    </row>
    <row r="384" spans="1:24">
      <c r="A384" s="458">
        <v>94001</v>
      </c>
      <c r="B384" s="459" t="s">
        <v>1091</v>
      </c>
      <c r="C384" s="463">
        <v>1.0244500000000001E-3</v>
      </c>
      <c r="D384" s="463">
        <v>9.6590000000000001E-4</v>
      </c>
      <c r="E384" s="464">
        <v>6785021</v>
      </c>
      <c r="F384" s="464"/>
      <c r="G384" s="461">
        <v>756052</v>
      </c>
      <c r="H384" s="461">
        <v>1815969</v>
      </c>
      <c r="I384" s="461">
        <v>288324</v>
      </c>
      <c r="J384" s="464">
        <v>110546</v>
      </c>
      <c r="K384" s="464">
        <v>2970891</v>
      </c>
      <c r="L384" s="464"/>
      <c r="M384" s="461">
        <v>16276</v>
      </c>
      <c r="N384" s="461">
        <v>0</v>
      </c>
      <c r="O384" s="461">
        <v>0</v>
      </c>
      <c r="P384" s="464">
        <v>110967</v>
      </c>
      <c r="Q384" s="464">
        <v>127243</v>
      </c>
      <c r="R384" s="464"/>
      <c r="S384" s="461">
        <v>1948847</v>
      </c>
      <c r="T384" s="462">
        <v>31821</v>
      </c>
      <c r="U384" s="462">
        <v>1980668</v>
      </c>
      <c r="W384" s="464">
        <v>11754783</v>
      </c>
      <c r="X384" s="464">
        <v>2693448</v>
      </c>
    </row>
    <row r="385" spans="1:24">
      <c r="A385" s="458">
        <v>94002</v>
      </c>
      <c r="B385" s="459" t="s">
        <v>1092</v>
      </c>
      <c r="C385" s="463">
        <v>2.4499999999999998E-6</v>
      </c>
      <c r="D385" s="463">
        <v>3.5999999999999998E-6</v>
      </c>
      <c r="E385" s="464">
        <v>16227</v>
      </c>
      <c r="F385" s="464"/>
      <c r="G385" s="461">
        <v>1808</v>
      </c>
      <c r="H385" s="461">
        <v>4343</v>
      </c>
      <c r="I385" s="461">
        <v>690</v>
      </c>
      <c r="J385" s="464">
        <v>3565</v>
      </c>
      <c r="K385" s="464">
        <v>10406</v>
      </c>
      <c r="L385" s="464"/>
      <c r="M385" s="461">
        <v>39</v>
      </c>
      <c r="N385" s="461">
        <v>0</v>
      </c>
      <c r="O385" s="461">
        <v>0</v>
      </c>
      <c r="P385" s="464">
        <v>682</v>
      </c>
      <c r="Q385" s="464">
        <v>721</v>
      </c>
      <c r="R385" s="464"/>
      <c r="S385" s="461">
        <v>4661</v>
      </c>
      <c r="T385" s="462">
        <v>2179</v>
      </c>
      <c r="U385" s="462">
        <v>6840</v>
      </c>
      <c r="W385" s="464">
        <v>28112</v>
      </c>
      <c r="X385" s="464">
        <v>6441</v>
      </c>
    </row>
    <row r="386" spans="1:24">
      <c r="A386" s="458">
        <v>94004</v>
      </c>
      <c r="B386" s="459" t="s">
        <v>1093</v>
      </c>
      <c r="C386" s="463">
        <v>8.9400000000000008E-6</v>
      </c>
      <c r="D386" s="463">
        <v>9.5999999999999996E-6</v>
      </c>
      <c r="E386" s="464">
        <v>59210</v>
      </c>
      <c r="F386" s="464"/>
      <c r="G386" s="461">
        <v>6598</v>
      </c>
      <c r="H386" s="461">
        <v>15847</v>
      </c>
      <c r="I386" s="461">
        <v>2516</v>
      </c>
      <c r="J386" s="464">
        <v>6205</v>
      </c>
      <c r="K386" s="464">
        <v>31166</v>
      </c>
      <c r="L386" s="464"/>
      <c r="M386" s="461">
        <v>142</v>
      </c>
      <c r="N386" s="461">
        <v>0</v>
      </c>
      <c r="O386" s="461">
        <v>0</v>
      </c>
      <c r="P386" s="464">
        <v>682</v>
      </c>
      <c r="Q386" s="464">
        <v>824</v>
      </c>
      <c r="R386" s="464"/>
      <c r="S386" s="461">
        <v>17007</v>
      </c>
      <c r="T386" s="462">
        <v>4220</v>
      </c>
      <c r="U386" s="462">
        <v>21227</v>
      </c>
      <c r="W386" s="464">
        <v>102580</v>
      </c>
      <c r="X386" s="464">
        <v>23505</v>
      </c>
    </row>
    <row r="387" spans="1:24">
      <c r="A387" s="458">
        <v>94005</v>
      </c>
      <c r="B387" s="459" t="s">
        <v>1094</v>
      </c>
      <c r="C387" s="463">
        <v>1.2819999999999999E-5</v>
      </c>
      <c r="D387" s="463">
        <v>6.6000000000000003E-6</v>
      </c>
      <c r="E387" s="464">
        <v>84908</v>
      </c>
      <c r="F387" s="464"/>
      <c r="G387" s="461">
        <v>9461</v>
      </c>
      <c r="H387" s="461">
        <v>22725</v>
      </c>
      <c r="I387" s="461">
        <v>3608</v>
      </c>
      <c r="J387" s="464">
        <v>14782</v>
      </c>
      <c r="K387" s="464">
        <v>50576</v>
      </c>
      <c r="L387" s="464"/>
      <c r="M387" s="461">
        <v>204</v>
      </c>
      <c r="N387" s="461">
        <v>0</v>
      </c>
      <c r="O387" s="461">
        <v>0</v>
      </c>
      <c r="P387" s="464">
        <v>0</v>
      </c>
      <c r="Q387" s="464">
        <v>204</v>
      </c>
      <c r="R387" s="464"/>
      <c r="S387" s="461">
        <v>24388</v>
      </c>
      <c r="T387" s="462">
        <v>7008</v>
      </c>
      <c r="U387" s="462">
        <v>31396</v>
      </c>
      <c r="W387" s="464">
        <v>147100</v>
      </c>
      <c r="X387" s="464">
        <v>33706</v>
      </c>
    </row>
    <row r="388" spans="1:24">
      <c r="A388" s="458">
        <v>94011</v>
      </c>
      <c r="B388" s="459" t="s">
        <v>1095</v>
      </c>
      <c r="C388" s="463">
        <v>2.319E-5</v>
      </c>
      <c r="D388" s="463">
        <v>3.18E-5</v>
      </c>
      <c r="E388" s="464">
        <v>153589</v>
      </c>
      <c r="F388" s="464"/>
      <c r="G388" s="461">
        <v>17114</v>
      </c>
      <c r="H388" s="461">
        <v>41107</v>
      </c>
      <c r="I388" s="461">
        <v>6527</v>
      </c>
      <c r="J388" s="464">
        <v>3296</v>
      </c>
      <c r="K388" s="464">
        <v>68044</v>
      </c>
      <c r="L388" s="464"/>
      <c r="M388" s="461">
        <v>368</v>
      </c>
      <c r="N388" s="461">
        <v>0</v>
      </c>
      <c r="O388" s="461">
        <v>0</v>
      </c>
      <c r="P388" s="464">
        <v>24476</v>
      </c>
      <c r="Q388" s="464">
        <v>24844</v>
      </c>
      <c r="R388" s="464"/>
      <c r="S388" s="461">
        <v>44115</v>
      </c>
      <c r="T388" s="462">
        <v>-8020</v>
      </c>
      <c r="U388" s="462">
        <v>36095</v>
      </c>
      <c r="W388" s="464">
        <v>266088</v>
      </c>
      <c r="X388" s="464">
        <v>60970</v>
      </c>
    </row>
    <row r="389" spans="1:24">
      <c r="A389" s="458">
        <v>94021</v>
      </c>
      <c r="B389" s="459" t="s">
        <v>1096</v>
      </c>
      <c r="C389" s="463">
        <v>8.5560000000000001E-5</v>
      </c>
      <c r="D389" s="463">
        <v>7.7600000000000002E-5</v>
      </c>
      <c r="E389" s="464">
        <v>566671</v>
      </c>
      <c r="F389" s="464"/>
      <c r="G389" s="461">
        <v>63144</v>
      </c>
      <c r="H389" s="461">
        <v>151666</v>
      </c>
      <c r="I389" s="461">
        <v>24080</v>
      </c>
      <c r="J389" s="464">
        <v>13753</v>
      </c>
      <c r="K389" s="464">
        <v>252643</v>
      </c>
      <c r="L389" s="464"/>
      <c r="M389" s="461">
        <v>1359</v>
      </c>
      <c r="N389" s="461">
        <v>0</v>
      </c>
      <c r="O389" s="461">
        <v>0</v>
      </c>
      <c r="P389" s="464">
        <v>18282</v>
      </c>
      <c r="Q389" s="464">
        <v>19641</v>
      </c>
      <c r="R389" s="464"/>
      <c r="S389" s="461">
        <v>162764</v>
      </c>
      <c r="T389" s="462">
        <v>658</v>
      </c>
      <c r="U389" s="462">
        <v>163422</v>
      </c>
      <c r="W389" s="464">
        <v>981736</v>
      </c>
      <c r="X389" s="464">
        <v>224951</v>
      </c>
    </row>
    <row r="390" spans="1:24">
      <c r="A390" s="458">
        <v>94031</v>
      </c>
      <c r="B390" s="459" t="s">
        <v>1097</v>
      </c>
      <c r="C390" s="463">
        <v>3.8500000000000004E-6</v>
      </c>
      <c r="D390" s="463">
        <v>4.6999999999999999E-6</v>
      </c>
      <c r="E390" s="464">
        <v>25499</v>
      </c>
      <c r="F390" s="464"/>
      <c r="G390" s="461">
        <v>2841</v>
      </c>
      <c r="H390" s="461">
        <v>6825</v>
      </c>
      <c r="I390" s="461">
        <v>1084</v>
      </c>
      <c r="J390" s="464">
        <v>6350</v>
      </c>
      <c r="K390" s="464">
        <v>17100</v>
      </c>
      <c r="L390" s="464"/>
      <c r="M390" s="461">
        <v>61</v>
      </c>
      <c r="N390" s="461">
        <v>0</v>
      </c>
      <c r="O390" s="461">
        <v>0</v>
      </c>
      <c r="P390" s="464">
        <v>227</v>
      </c>
      <c r="Q390" s="464">
        <v>288</v>
      </c>
      <c r="R390" s="464"/>
      <c r="S390" s="461">
        <v>7324</v>
      </c>
      <c r="T390" s="462">
        <v>5217</v>
      </c>
      <c r="U390" s="462">
        <v>12541</v>
      </c>
      <c r="W390" s="464">
        <v>44176</v>
      </c>
      <c r="X390" s="464">
        <v>10122</v>
      </c>
    </row>
    <row r="391" spans="1:24">
      <c r="A391" s="458">
        <v>94101</v>
      </c>
      <c r="B391" s="459" t="s">
        <v>1098</v>
      </c>
      <c r="C391" s="463">
        <v>2.0184879999999999E-2</v>
      </c>
      <c r="D391" s="463">
        <v>1.8343000000000002E-2</v>
      </c>
      <c r="E391" s="464">
        <v>133686216</v>
      </c>
      <c r="F391" s="464"/>
      <c r="G391" s="461">
        <v>14896603</v>
      </c>
      <c r="H391" s="461">
        <v>35780283</v>
      </c>
      <c r="I391" s="461">
        <v>5680893</v>
      </c>
      <c r="J391" s="464">
        <v>4621892</v>
      </c>
      <c r="K391" s="464">
        <v>60979671</v>
      </c>
      <c r="L391" s="464"/>
      <c r="M391" s="461">
        <v>320697</v>
      </c>
      <c r="N391" s="461">
        <v>0</v>
      </c>
      <c r="O391" s="461">
        <v>0</v>
      </c>
      <c r="P391" s="464">
        <v>0</v>
      </c>
      <c r="Q391" s="464">
        <v>320697</v>
      </c>
      <c r="R391" s="464"/>
      <c r="S391" s="461">
        <v>38398404</v>
      </c>
      <c r="T391" s="462">
        <v>1862466</v>
      </c>
      <c r="U391" s="462">
        <v>40260870</v>
      </c>
      <c r="W391" s="464">
        <v>231606117</v>
      </c>
      <c r="X391" s="464">
        <v>53069380</v>
      </c>
    </row>
    <row r="392" spans="1:24">
      <c r="A392" s="458">
        <v>94102</v>
      </c>
      <c r="B392" s="459" t="s">
        <v>1099</v>
      </c>
      <c r="C392" s="463">
        <v>3.4385999999999998E-4</v>
      </c>
      <c r="D392" s="463">
        <v>3.9130000000000002E-4</v>
      </c>
      <c r="E392" s="464">
        <v>2277415</v>
      </c>
      <c r="F392" s="464"/>
      <c r="G392" s="461">
        <v>253771</v>
      </c>
      <c r="H392" s="461">
        <v>609536</v>
      </c>
      <c r="I392" s="461">
        <v>96777</v>
      </c>
      <c r="J392" s="464">
        <v>55354</v>
      </c>
      <c r="K392" s="464">
        <v>1015438</v>
      </c>
      <c r="L392" s="464"/>
      <c r="M392" s="461">
        <v>5463</v>
      </c>
      <c r="N392" s="461">
        <v>0</v>
      </c>
      <c r="O392" s="461">
        <v>0</v>
      </c>
      <c r="P392" s="464">
        <v>233989</v>
      </c>
      <c r="Q392" s="464">
        <v>239452</v>
      </c>
      <c r="R392" s="464"/>
      <c r="S392" s="461">
        <v>654137</v>
      </c>
      <c r="T392" s="462">
        <v>-75493</v>
      </c>
      <c r="U392" s="462">
        <v>578644</v>
      </c>
      <c r="W392" s="464">
        <v>3945531</v>
      </c>
      <c r="X392" s="464">
        <v>904065</v>
      </c>
    </row>
    <row r="393" spans="1:24">
      <c r="A393" s="458">
        <v>94108</v>
      </c>
      <c r="B393" s="459" t="s">
        <v>1100</v>
      </c>
      <c r="C393" s="463">
        <v>3.9284999999999998E-4</v>
      </c>
      <c r="D393" s="463">
        <v>4.1730000000000001E-4</v>
      </c>
      <c r="E393" s="464">
        <v>2601880</v>
      </c>
      <c r="F393" s="464"/>
      <c r="G393" s="461">
        <v>289926</v>
      </c>
      <c r="H393" s="461">
        <v>696377</v>
      </c>
      <c r="I393" s="461">
        <v>110565</v>
      </c>
      <c r="J393" s="464">
        <v>23983</v>
      </c>
      <c r="K393" s="464">
        <v>1120851</v>
      </c>
      <c r="L393" s="464"/>
      <c r="M393" s="461">
        <v>6242</v>
      </c>
      <c r="N393" s="461">
        <v>0</v>
      </c>
      <c r="O393" s="461">
        <v>0</v>
      </c>
      <c r="P393" s="464">
        <v>200827</v>
      </c>
      <c r="Q393" s="464">
        <v>207069</v>
      </c>
      <c r="R393" s="464"/>
      <c r="S393" s="461">
        <v>747332</v>
      </c>
      <c r="T393" s="462">
        <v>-94811</v>
      </c>
      <c r="U393" s="462">
        <v>652521</v>
      </c>
      <c r="W393" s="464">
        <v>4507654</v>
      </c>
      <c r="X393" s="464">
        <v>1032867</v>
      </c>
    </row>
    <row r="394" spans="1:24">
      <c r="A394" s="458">
        <v>94109</v>
      </c>
      <c r="B394" s="459" t="s">
        <v>1101</v>
      </c>
      <c r="C394" s="463">
        <v>1.2218999999999999E-4</v>
      </c>
      <c r="D394" s="463">
        <v>1.132E-4</v>
      </c>
      <c r="E394" s="464">
        <v>809275</v>
      </c>
      <c r="F394" s="464"/>
      <c r="G394" s="461">
        <v>90177</v>
      </c>
      <c r="H394" s="461">
        <v>216597</v>
      </c>
      <c r="I394" s="461">
        <v>34390</v>
      </c>
      <c r="J394" s="464">
        <v>22346</v>
      </c>
      <c r="K394" s="464">
        <v>363510</v>
      </c>
      <c r="L394" s="464"/>
      <c r="M394" s="461">
        <v>1941</v>
      </c>
      <c r="N394" s="461">
        <v>0</v>
      </c>
      <c r="O394" s="461">
        <v>0</v>
      </c>
      <c r="P394" s="464">
        <v>14303</v>
      </c>
      <c r="Q394" s="464">
        <v>16244</v>
      </c>
      <c r="R394" s="464"/>
      <c r="S394" s="461">
        <v>232446</v>
      </c>
      <c r="T394" s="462">
        <v>-5699</v>
      </c>
      <c r="U394" s="462">
        <v>226747</v>
      </c>
      <c r="W394" s="464">
        <v>1402037</v>
      </c>
      <c r="X394" s="464">
        <v>321258</v>
      </c>
    </row>
    <row r="395" spans="1:24">
      <c r="A395" s="458">
        <v>94111</v>
      </c>
      <c r="B395" s="459" t="s">
        <v>1102</v>
      </c>
      <c r="C395" s="463">
        <v>2.2910369999999999E-2</v>
      </c>
      <c r="D395" s="463">
        <v>2.3378300000000001E-2</v>
      </c>
      <c r="E395" s="464">
        <v>151737374</v>
      </c>
      <c r="F395" s="464"/>
      <c r="G395" s="461">
        <v>16908036</v>
      </c>
      <c r="H395" s="461">
        <v>40611563</v>
      </c>
      <c r="I395" s="461">
        <v>6447963</v>
      </c>
      <c r="J395" s="464">
        <v>138107</v>
      </c>
      <c r="K395" s="464">
        <v>64105669</v>
      </c>
      <c r="L395" s="464"/>
      <c r="M395" s="461">
        <v>364000</v>
      </c>
      <c r="N395" s="461">
        <v>0</v>
      </c>
      <c r="O395" s="461">
        <v>0</v>
      </c>
      <c r="P395" s="464">
        <v>1223658</v>
      </c>
      <c r="Q395" s="464">
        <v>1587658</v>
      </c>
      <c r="R395" s="464"/>
      <c r="S395" s="461">
        <v>43583199</v>
      </c>
      <c r="T395" s="462">
        <v>-967389</v>
      </c>
      <c r="U395" s="462">
        <v>42615810</v>
      </c>
      <c r="W395" s="464">
        <v>262879038</v>
      </c>
      <c r="X395" s="464">
        <v>60235143</v>
      </c>
    </row>
    <row r="396" spans="1:24">
      <c r="A396" s="458">
        <v>94112</v>
      </c>
      <c r="B396" s="459" t="s">
        <v>1103</v>
      </c>
      <c r="C396" s="463">
        <v>1.6161999999999999E-4</v>
      </c>
      <c r="D396" s="463">
        <v>1.2439999999999999E-4</v>
      </c>
      <c r="E396" s="464">
        <v>1070423</v>
      </c>
      <c r="F396" s="464"/>
      <c r="G396" s="461">
        <v>119277</v>
      </c>
      <c r="H396" s="461">
        <v>286492</v>
      </c>
      <c r="I396" s="461">
        <v>45487</v>
      </c>
      <c r="J396" s="464">
        <v>93501</v>
      </c>
      <c r="K396" s="464">
        <v>544757</v>
      </c>
      <c r="L396" s="464"/>
      <c r="M396" s="461">
        <v>2568</v>
      </c>
      <c r="N396" s="461">
        <v>0</v>
      </c>
      <c r="O396" s="461">
        <v>0</v>
      </c>
      <c r="P396" s="464">
        <v>26392</v>
      </c>
      <c r="Q396" s="464">
        <v>28960</v>
      </c>
      <c r="R396" s="464"/>
      <c r="S396" s="461">
        <v>307455</v>
      </c>
      <c r="T396" s="462">
        <v>8003</v>
      </c>
      <c r="U396" s="462">
        <v>315458</v>
      </c>
      <c r="W396" s="464">
        <v>1854466</v>
      </c>
      <c r="X396" s="464">
        <v>424926</v>
      </c>
    </row>
    <row r="397" spans="1:24">
      <c r="A397" s="458">
        <v>94117</v>
      </c>
      <c r="B397" s="459" t="s">
        <v>1104</v>
      </c>
      <c r="C397" s="463">
        <v>4.5126999999999998E-4</v>
      </c>
      <c r="D397" s="463">
        <v>4.1829999999999998E-4</v>
      </c>
      <c r="E397" s="464">
        <v>2988800</v>
      </c>
      <c r="F397" s="464"/>
      <c r="G397" s="461">
        <v>333041</v>
      </c>
      <c r="H397" s="461">
        <v>799934</v>
      </c>
      <c r="I397" s="461">
        <v>127007</v>
      </c>
      <c r="J397" s="464">
        <v>194771</v>
      </c>
      <c r="K397" s="464">
        <v>1454753</v>
      </c>
      <c r="L397" s="464"/>
      <c r="M397" s="461">
        <v>7170</v>
      </c>
      <c r="N397" s="461">
        <v>0</v>
      </c>
      <c r="O397" s="461">
        <v>0</v>
      </c>
      <c r="P397" s="464">
        <v>0</v>
      </c>
      <c r="Q397" s="464">
        <v>7170</v>
      </c>
      <c r="R397" s="464"/>
      <c r="S397" s="461">
        <v>858467</v>
      </c>
      <c r="T397" s="462">
        <v>108436</v>
      </c>
      <c r="U397" s="462">
        <v>966903</v>
      </c>
      <c r="W397" s="464">
        <v>5177979</v>
      </c>
      <c r="X397" s="464">
        <v>1186463</v>
      </c>
    </row>
    <row r="398" spans="1:24">
      <c r="A398" s="458">
        <v>94118</v>
      </c>
      <c r="B398" s="459" t="s">
        <v>1105</v>
      </c>
      <c r="C398" s="463">
        <v>1.4695999999999999E-4</v>
      </c>
      <c r="D398" s="463">
        <v>1.55E-4</v>
      </c>
      <c r="E398" s="464">
        <v>973329</v>
      </c>
      <c r="F398" s="464"/>
      <c r="G398" s="461">
        <v>108458</v>
      </c>
      <c r="H398" s="461">
        <v>260505</v>
      </c>
      <c r="I398" s="461">
        <v>41361</v>
      </c>
      <c r="J398" s="464">
        <v>4660</v>
      </c>
      <c r="K398" s="464">
        <v>414984</v>
      </c>
      <c r="L398" s="464"/>
      <c r="M398" s="461">
        <v>2335</v>
      </c>
      <c r="N398" s="461">
        <v>0</v>
      </c>
      <c r="O398" s="461">
        <v>0</v>
      </c>
      <c r="P398" s="464">
        <v>24468</v>
      </c>
      <c r="Q398" s="464">
        <v>26803</v>
      </c>
      <c r="R398" s="464"/>
      <c r="S398" s="461">
        <v>279567</v>
      </c>
      <c r="T398" s="462">
        <v>-17952</v>
      </c>
      <c r="U398" s="462">
        <v>261615</v>
      </c>
      <c r="W398" s="464">
        <v>1686254</v>
      </c>
      <c r="X398" s="464">
        <v>386382</v>
      </c>
    </row>
    <row r="399" spans="1:24">
      <c r="A399" s="458">
        <v>94121</v>
      </c>
      <c r="B399" s="459" t="s">
        <v>1106</v>
      </c>
      <c r="C399" s="463">
        <v>1.011942E-2</v>
      </c>
      <c r="D399" s="463">
        <v>1.02808E-2</v>
      </c>
      <c r="E399" s="464">
        <v>67021799</v>
      </c>
      <c r="F399" s="464"/>
      <c r="G399" s="461">
        <v>7468213</v>
      </c>
      <c r="H399" s="461">
        <v>17937967</v>
      </c>
      <c r="I399" s="461">
        <v>2848040</v>
      </c>
      <c r="J399" s="464">
        <v>286462</v>
      </c>
      <c r="K399" s="464">
        <v>28540682</v>
      </c>
      <c r="L399" s="464"/>
      <c r="M399" s="461">
        <v>160777</v>
      </c>
      <c r="N399" s="461">
        <v>0</v>
      </c>
      <c r="O399" s="461">
        <v>0</v>
      </c>
      <c r="P399" s="464">
        <v>617584</v>
      </c>
      <c r="Q399" s="464">
        <v>778361</v>
      </c>
      <c r="R399" s="464"/>
      <c r="S399" s="461">
        <v>19250527</v>
      </c>
      <c r="T399" s="462">
        <v>-131637</v>
      </c>
      <c r="U399" s="462">
        <v>19118890</v>
      </c>
      <c r="W399" s="464">
        <v>116112634</v>
      </c>
      <c r="X399" s="464">
        <v>26605625</v>
      </c>
    </row>
    <row r="400" spans="1:24">
      <c r="A400" s="458">
        <v>94127</v>
      </c>
      <c r="B400" s="459" t="s">
        <v>1107</v>
      </c>
      <c r="C400" s="463">
        <v>1.9765000000000001E-4</v>
      </c>
      <c r="D400" s="463">
        <v>1.9379999999999999E-4</v>
      </c>
      <c r="E400" s="464">
        <v>1309053</v>
      </c>
      <c r="F400" s="464"/>
      <c r="G400" s="461">
        <v>145867</v>
      </c>
      <c r="H400" s="461">
        <v>350360</v>
      </c>
      <c r="I400" s="461">
        <v>55627</v>
      </c>
      <c r="J400" s="464">
        <v>35073</v>
      </c>
      <c r="K400" s="464">
        <v>586927</v>
      </c>
      <c r="L400" s="464"/>
      <c r="M400" s="461">
        <v>3140</v>
      </c>
      <c r="N400" s="461">
        <v>0</v>
      </c>
      <c r="O400" s="461">
        <v>0</v>
      </c>
      <c r="P400" s="464">
        <v>57</v>
      </c>
      <c r="Q400" s="464">
        <v>3197</v>
      </c>
      <c r="R400" s="464"/>
      <c r="S400" s="461">
        <v>375997</v>
      </c>
      <c r="T400" s="462">
        <v>32951</v>
      </c>
      <c r="U400" s="462">
        <v>408948</v>
      </c>
      <c r="W400" s="464">
        <v>2267883</v>
      </c>
      <c r="X400" s="464">
        <v>519654</v>
      </c>
    </row>
    <row r="401" spans="1:24">
      <c r="A401" s="458">
        <v>94131</v>
      </c>
      <c r="B401" s="459" t="s">
        <v>1108</v>
      </c>
      <c r="C401" s="463">
        <v>2.3969E-4</v>
      </c>
      <c r="D401" s="463">
        <v>2.41E-4</v>
      </c>
      <c r="E401" s="464">
        <v>1587488</v>
      </c>
      <c r="F401" s="464"/>
      <c r="G401" s="461">
        <v>176893</v>
      </c>
      <c r="H401" s="461">
        <v>424881</v>
      </c>
      <c r="I401" s="461">
        <v>67459</v>
      </c>
      <c r="J401" s="464">
        <v>40237</v>
      </c>
      <c r="K401" s="464">
        <v>709470</v>
      </c>
      <c r="L401" s="464"/>
      <c r="M401" s="461">
        <v>3808</v>
      </c>
      <c r="N401" s="461">
        <v>0</v>
      </c>
      <c r="O401" s="461">
        <v>0</v>
      </c>
      <c r="P401" s="464">
        <v>8751</v>
      </c>
      <c r="Q401" s="464">
        <v>12559</v>
      </c>
      <c r="R401" s="464"/>
      <c r="S401" s="461">
        <v>455971</v>
      </c>
      <c r="T401" s="462">
        <v>17375</v>
      </c>
      <c r="U401" s="462">
        <v>473346</v>
      </c>
      <c r="W401" s="464">
        <v>2750260</v>
      </c>
      <c r="X401" s="464">
        <v>630185</v>
      </c>
    </row>
    <row r="402" spans="1:24">
      <c r="A402" s="458">
        <v>94151</v>
      </c>
      <c r="B402" s="459" t="s">
        <v>1109</v>
      </c>
      <c r="C402" s="463">
        <v>4.73E-4</v>
      </c>
      <c r="D402" s="463">
        <v>5.1610000000000002E-4</v>
      </c>
      <c r="E402" s="464">
        <v>3132720</v>
      </c>
      <c r="F402" s="464"/>
      <c r="G402" s="461">
        <v>349078</v>
      </c>
      <c r="H402" s="461">
        <v>838453</v>
      </c>
      <c r="I402" s="461">
        <v>133123</v>
      </c>
      <c r="J402" s="464">
        <v>74909</v>
      </c>
      <c r="K402" s="464">
        <v>1395563</v>
      </c>
      <c r="L402" s="464"/>
      <c r="M402" s="461">
        <v>7515</v>
      </c>
      <c r="N402" s="461">
        <v>0</v>
      </c>
      <c r="O402" s="461">
        <v>0</v>
      </c>
      <c r="P402" s="464">
        <v>135785</v>
      </c>
      <c r="Q402" s="464">
        <v>143300</v>
      </c>
      <c r="R402" s="464"/>
      <c r="S402" s="461">
        <v>899804</v>
      </c>
      <c r="T402" s="462">
        <v>-29357</v>
      </c>
      <c r="U402" s="462">
        <v>870447</v>
      </c>
      <c r="W402" s="464">
        <v>5427315</v>
      </c>
      <c r="X402" s="464">
        <v>1243595</v>
      </c>
    </row>
    <row r="403" spans="1:24">
      <c r="A403" s="458">
        <v>94157</v>
      </c>
      <c r="B403" s="459" t="s">
        <v>1110</v>
      </c>
      <c r="C403" s="463">
        <v>1.8320000000000001E-5</v>
      </c>
      <c r="D403" s="463">
        <v>1.77E-5</v>
      </c>
      <c r="E403" s="464">
        <v>121335</v>
      </c>
      <c r="F403" s="464"/>
      <c r="G403" s="461">
        <v>13520</v>
      </c>
      <c r="H403" s="461">
        <v>32475</v>
      </c>
      <c r="I403" s="461">
        <v>5156</v>
      </c>
      <c r="J403" s="464">
        <v>4078</v>
      </c>
      <c r="K403" s="464">
        <v>55229</v>
      </c>
      <c r="L403" s="464"/>
      <c r="M403" s="461">
        <v>291</v>
      </c>
      <c r="N403" s="461">
        <v>0</v>
      </c>
      <c r="O403" s="461">
        <v>0</v>
      </c>
      <c r="P403" s="464">
        <v>5956</v>
      </c>
      <c r="Q403" s="464">
        <v>6247</v>
      </c>
      <c r="R403" s="464"/>
      <c r="S403" s="461">
        <v>34851</v>
      </c>
      <c r="T403" s="462">
        <v>2608</v>
      </c>
      <c r="U403" s="462">
        <v>37459</v>
      </c>
      <c r="W403" s="464">
        <v>210208</v>
      </c>
      <c r="X403" s="464">
        <v>48166</v>
      </c>
    </row>
    <row r="404" spans="1:24">
      <c r="A404" s="458">
        <v>94161</v>
      </c>
      <c r="B404" s="459" t="s">
        <v>1111</v>
      </c>
      <c r="C404" s="463">
        <v>5.2519999999999999E-5</v>
      </c>
      <c r="D404" s="463">
        <v>5.3499999999999999E-5</v>
      </c>
      <c r="E404" s="464">
        <v>347845</v>
      </c>
      <c r="F404" s="464"/>
      <c r="G404" s="461">
        <v>38760</v>
      </c>
      <c r="H404" s="461">
        <v>93098</v>
      </c>
      <c r="I404" s="461">
        <v>14781</v>
      </c>
      <c r="J404" s="464">
        <v>9213</v>
      </c>
      <c r="K404" s="464">
        <v>155852</v>
      </c>
      <c r="L404" s="464"/>
      <c r="M404" s="461">
        <v>834</v>
      </c>
      <c r="N404" s="461">
        <v>0</v>
      </c>
      <c r="O404" s="461">
        <v>0</v>
      </c>
      <c r="P404" s="464">
        <v>455</v>
      </c>
      <c r="Q404" s="464">
        <v>1289</v>
      </c>
      <c r="R404" s="464"/>
      <c r="S404" s="461">
        <v>99911</v>
      </c>
      <c r="T404" s="462">
        <v>10005</v>
      </c>
      <c r="U404" s="462">
        <v>109916</v>
      </c>
      <c r="W404" s="464">
        <v>602627</v>
      </c>
      <c r="X404" s="464">
        <v>138084</v>
      </c>
    </row>
    <row r="405" spans="1:24">
      <c r="A405" s="458">
        <v>94168</v>
      </c>
      <c r="B405" s="459" t="s">
        <v>1112</v>
      </c>
      <c r="C405" s="463">
        <v>8.4919999999999993E-5</v>
      </c>
      <c r="D405" s="463">
        <v>8.9400000000000005E-5</v>
      </c>
      <c r="E405" s="464">
        <v>562433</v>
      </c>
      <c r="F405" s="464"/>
      <c r="G405" s="461">
        <v>62672</v>
      </c>
      <c r="H405" s="461">
        <v>150532</v>
      </c>
      <c r="I405" s="461">
        <v>23900</v>
      </c>
      <c r="J405" s="464">
        <v>17165</v>
      </c>
      <c r="K405" s="464">
        <v>254269</v>
      </c>
      <c r="L405" s="464"/>
      <c r="M405" s="461">
        <v>1349</v>
      </c>
      <c r="N405" s="461">
        <v>0</v>
      </c>
      <c r="O405" s="461">
        <v>0</v>
      </c>
      <c r="P405" s="464">
        <v>34393</v>
      </c>
      <c r="Q405" s="464">
        <v>35742</v>
      </c>
      <c r="R405" s="464"/>
      <c r="S405" s="461">
        <v>161546</v>
      </c>
      <c r="T405" s="462">
        <v>1952</v>
      </c>
      <c r="U405" s="462">
        <v>163498</v>
      </c>
      <c r="W405" s="464">
        <v>974392</v>
      </c>
      <c r="X405" s="464">
        <v>223269</v>
      </c>
    </row>
    <row r="406" spans="1:24">
      <c r="A406" s="458">
        <v>94171</v>
      </c>
      <c r="B406" s="459" t="s">
        <v>1113</v>
      </c>
      <c r="C406" s="463">
        <v>7.059E-5</v>
      </c>
      <c r="D406" s="463">
        <v>6.4900000000000005E-5</v>
      </c>
      <c r="E406" s="464">
        <v>467524</v>
      </c>
      <c r="F406" s="464"/>
      <c r="G406" s="461">
        <v>52096</v>
      </c>
      <c r="H406" s="461">
        <v>125130</v>
      </c>
      <c r="I406" s="461">
        <v>19867</v>
      </c>
      <c r="J406" s="464">
        <v>5695</v>
      </c>
      <c r="K406" s="464">
        <v>202788</v>
      </c>
      <c r="L406" s="464"/>
      <c r="M406" s="461">
        <v>1122</v>
      </c>
      <c r="N406" s="461">
        <v>0</v>
      </c>
      <c r="O406" s="461">
        <v>0</v>
      </c>
      <c r="P406" s="464">
        <v>13788</v>
      </c>
      <c r="Q406" s="464">
        <v>14910</v>
      </c>
      <c r="R406" s="464"/>
      <c r="S406" s="461">
        <v>134286</v>
      </c>
      <c r="T406" s="462">
        <v>-6030</v>
      </c>
      <c r="U406" s="462">
        <v>128256</v>
      </c>
      <c r="W406" s="464">
        <v>809966</v>
      </c>
      <c r="X406" s="464">
        <v>185593</v>
      </c>
    </row>
    <row r="407" spans="1:24">
      <c r="A407" s="458">
        <v>94172</v>
      </c>
      <c r="B407" s="459" t="s">
        <v>1114</v>
      </c>
      <c r="C407" s="463">
        <v>3.1513E-4</v>
      </c>
      <c r="D407" s="463">
        <v>3.1629999999999999E-4</v>
      </c>
      <c r="E407" s="464">
        <v>2087133</v>
      </c>
      <c r="F407" s="464"/>
      <c r="G407" s="461">
        <v>232568</v>
      </c>
      <c r="H407" s="461">
        <v>558608</v>
      </c>
      <c r="I407" s="461">
        <v>88691</v>
      </c>
      <c r="J407" s="464">
        <v>26506</v>
      </c>
      <c r="K407" s="464">
        <v>906373</v>
      </c>
      <c r="L407" s="464"/>
      <c r="M407" s="461">
        <v>5007</v>
      </c>
      <c r="N407" s="461">
        <v>0</v>
      </c>
      <c r="O407" s="461">
        <v>0</v>
      </c>
      <c r="P407" s="464">
        <v>64239</v>
      </c>
      <c r="Q407" s="464">
        <v>69246</v>
      </c>
      <c r="R407" s="464"/>
      <c r="S407" s="461">
        <v>599483</v>
      </c>
      <c r="T407" s="462">
        <v>-29988</v>
      </c>
      <c r="U407" s="462">
        <v>569495</v>
      </c>
      <c r="W407" s="464">
        <v>3615877</v>
      </c>
      <c r="X407" s="464">
        <v>828529</v>
      </c>
    </row>
    <row r="408" spans="1:24">
      <c r="A408" s="458">
        <v>94201</v>
      </c>
      <c r="B408" s="459" t="s">
        <v>1115</v>
      </c>
      <c r="C408" s="463">
        <v>2.79854E-3</v>
      </c>
      <c r="D408" s="463">
        <v>2.8850999999999998E-3</v>
      </c>
      <c r="E408" s="464">
        <v>18534974</v>
      </c>
      <c r="F408" s="464"/>
      <c r="G408" s="461">
        <v>2065345</v>
      </c>
      <c r="H408" s="461">
        <v>4960770</v>
      </c>
      <c r="I408" s="461">
        <v>787629</v>
      </c>
      <c r="J408" s="464">
        <v>75231</v>
      </c>
      <c r="K408" s="464">
        <v>7888975</v>
      </c>
      <c r="L408" s="464"/>
      <c r="M408" s="461">
        <v>44463</v>
      </c>
      <c r="N408" s="461">
        <v>0</v>
      </c>
      <c r="O408" s="461">
        <v>0</v>
      </c>
      <c r="P408" s="464">
        <v>233579</v>
      </c>
      <c r="Q408" s="464">
        <v>278042</v>
      </c>
      <c r="R408" s="464"/>
      <c r="S408" s="461">
        <v>5323761</v>
      </c>
      <c r="T408" s="462">
        <v>-139320</v>
      </c>
      <c r="U408" s="462">
        <v>5184441</v>
      </c>
      <c r="W408" s="464">
        <v>32111114</v>
      </c>
      <c r="X408" s="464">
        <v>7357823</v>
      </c>
    </row>
    <row r="409" spans="1:24">
      <c r="A409" s="458">
        <v>94204</v>
      </c>
      <c r="B409" s="459" t="s">
        <v>1116</v>
      </c>
      <c r="C409" s="463">
        <v>4.1850000000000001E-5</v>
      </c>
      <c r="D409" s="463">
        <v>4.57E-5</v>
      </c>
      <c r="E409" s="464">
        <v>277176</v>
      </c>
      <c r="F409" s="464"/>
      <c r="G409" s="461">
        <v>30886</v>
      </c>
      <c r="H409" s="461">
        <v>74184</v>
      </c>
      <c r="I409" s="461">
        <v>11778</v>
      </c>
      <c r="J409" s="464">
        <v>11456</v>
      </c>
      <c r="K409" s="464">
        <v>128304</v>
      </c>
      <c r="L409" s="464"/>
      <c r="M409" s="461">
        <v>665</v>
      </c>
      <c r="N409" s="461">
        <v>0</v>
      </c>
      <c r="O409" s="461">
        <v>0</v>
      </c>
      <c r="P409" s="464">
        <v>13616</v>
      </c>
      <c r="Q409" s="464">
        <v>14281</v>
      </c>
      <c r="R409" s="464"/>
      <c r="S409" s="461">
        <v>79613</v>
      </c>
      <c r="T409" s="462">
        <v>6912</v>
      </c>
      <c r="U409" s="462">
        <v>86525</v>
      </c>
      <c r="W409" s="464">
        <v>480197</v>
      </c>
      <c r="X409" s="464">
        <v>110031</v>
      </c>
    </row>
    <row r="410" spans="1:24">
      <c r="A410" s="458">
        <v>94205</v>
      </c>
      <c r="B410" s="459" t="s">
        <v>1117</v>
      </c>
      <c r="C410" s="463">
        <v>1.1790000000000001E-5</v>
      </c>
      <c r="D410" s="463">
        <v>1.45E-5</v>
      </c>
      <c r="E410" s="464">
        <v>78086</v>
      </c>
      <c r="F410" s="464"/>
      <c r="G410" s="461">
        <v>8701</v>
      </c>
      <c r="H410" s="461">
        <v>20899</v>
      </c>
      <c r="I410" s="461">
        <v>3318</v>
      </c>
      <c r="J410" s="464">
        <v>12184</v>
      </c>
      <c r="K410" s="464">
        <v>45102</v>
      </c>
      <c r="L410" s="464"/>
      <c r="M410" s="461">
        <v>187</v>
      </c>
      <c r="N410" s="461">
        <v>0</v>
      </c>
      <c r="O410" s="461">
        <v>0</v>
      </c>
      <c r="P410" s="464">
        <v>0</v>
      </c>
      <c r="Q410" s="464">
        <v>187</v>
      </c>
      <c r="R410" s="464"/>
      <c r="S410" s="461">
        <v>22429</v>
      </c>
      <c r="T410" s="462">
        <v>6550</v>
      </c>
      <c r="U410" s="462">
        <v>28979</v>
      </c>
      <c r="W410" s="464">
        <v>135281</v>
      </c>
      <c r="X410" s="464">
        <v>30998</v>
      </c>
    </row>
    <row r="411" spans="1:24">
      <c r="A411" s="458">
        <v>94209</v>
      </c>
      <c r="B411" s="459" t="s">
        <v>1118</v>
      </c>
      <c r="C411" s="463">
        <v>3.0934000000000002E-4</v>
      </c>
      <c r="D411" s="463">
        <v>2.7310000000000002E-4</v>
      </c>
      <c r="E411" s="464">
        <v>2048786</v>
      </c>
      <c r="F411" s="464"/>
      <c r="G411" s="461">
        <v>228295</v>
      </c>
      <c r="H411" s="461">
        <v>548345</v>
      </c>
      <c r="I411" s="461">
        <v>87062</v>
      </c>
      <c r="J411" s="464">
        <v>114891</v>
      </c>
      <c r="K411" s="464">
        <v>978593</v>
      </c>
      <c r="L411" s="464"/>
      <c r="M411" s="461">
        <v>4915</v>
      </c>
      <c r="N411" s="461">
        <v>0</v>
      </c>
      <c r="O411" s="461">
        <v>0</v>
      </c>
      <c r="P411" s="464">
        <v>34662</v>
      </c>
      <c r="Q411" s="464">
        <v>39577</v>
      </c>
      <c r="R411" s="464"/>
      <c r="S411" s="461">
        <v>588468</v>
      </c>
      <c r="T411" s="462">
        <v>19168</v>
      </c>
      <c r="U411" s="462">
        <v>607636</v>
      </c>
      <c r="W411" s="464">
        <v>3549441</v>
      </c>
      <c r="X411" s="464">
        <v>813306</v>
      </c>
    </row>
    <row r="412" spans="1:24">
      <c r="A412" s="458">
        <v>94211</v>
      </c>
      <c r="B412" s="459" t="s">
        <v>1119</v>
      </c>
      <c r="C412" s="463">
        <v>9.2219999999999995E-5</v>
      </c>
      <c r="D412" s="463">
        <v>1.3449999999999999E-4</v>
      </c>
      <c r="E412" s="464">
        <v>610781</v>
      </c>
      <c r="F412" s="464"/>
      <c r="G412" s="461">
        <v>68059</v>
      </c>
      <c r="H412" s="461">
        <v>163472</v>
      </c>
      <c r="I412" s="461">
        <v>25955</v>
      </c>
      <c r="J412" s="464">
        <v>15800</v>
      </c>
      <c r="K412" s="464">
        <v>273286</v>
      </c>
      <c r="L412" s="464"/>
      <c r="M412" s="461">
        <v>1465</v>
      </c>
      <c r="N412" s="461">
        <v>0</v>
      </c>
      <c r="O412" s="461">
        <v>0</v>
      </c>
      <c r="P412" s="464">
        <v>95350</v>
      </c>
      <c r="Q412" s="464">
        <v>96815</v>
      </c>
      <c r="R412" s="464"/>
      <c r="S412" s="461">
        <v>175433</v>
      </c>
      <c r="T412" s="462">
        <v>-34876</v>
      </c>
      <c r="U412" s="462">
        <v>140557</v>
      </c>
      <c r="W412" s="464">
        <v>1058154</v>
      </c>
      <c r="X412" s="464">
        <v>242462</v>
      </c>
    </row>
    <row r="413" spans="1:24">
      <c r="A413" s="458">
        <v>94221</v>
      </c>
      <c r="B413" s="459" t="s">
        <v>1120</v>
      </c>
      <c r="C413" s="463">
        <v>8.3058999999999997E-4</v>
      </c>
      <c r="D413" s="463">
        <v>8.5470000000000001E-4</v>
      </c>
      <c r="E413" s="464">
        <v>5501070</v>
      </c>
      <c r="F413" s="464"/>
      <c r="G413" s="461">
        <v>612982</v>
      </c>
      <c r="H413" s="461">
        <v>1472327</v>
      </c>
      <c r="I413" s="461">
        <v>233764</v>
      </c>
      <c r="J413" s="464">
        <v>8750</v>
      </c>
      <c r="K413" s="464">
        <v>2327823</v>
      </c>
      <c r="L413" s="464"/>
      <c r="M413" s="461">
        <v>13196</v>
      </c>
      <c r="N413" s="461">
        <v>0</v>
      </c>
      <c r="O413" s="461">
        <v>0</v>
      </c>
      <c r="P413" s="464">
        <v>150632</v>
      </c>
      <c r="Q413" s="464">
        <v>163828</v>
      </c>
      <c r="R413" s="464"/>
      <c r="S413" s="461">
        <v>1580060</v>
      </c>
      <c r="T413" s="462">
        <v>-122619</v>
      </c>
      <c r="U413" s="462">
        <v>1457441</v>
      </c>
      <c r="W413" s="464">
        <v>9530387</v>
      </c>
      <c r="X413" s="464">
        <v>2183758</v>
      </c>
    </row>
    <row r="414" spans="1:24">
      <c r="A414" s="458">
        <v>94231</v>
      </c>
      <c r="B414" s="459" t="s">
        <v>1121</v>
      </c>
      <c r="C414" s="463">
        <v>1.6496999999999999E-4</v>
      </c>
      <c r="D414" s="463">
        <v>1.393E-4</v>
      </c>
      <c r="E414" s="464">
        <v>1092611</v>
      </c>
      <c r="F414" s="464"/>
      <c r="G414" s="461">
        <v>121749</v>
      </c>
      <c r="H414" s="461">
        <v>292430</v>
      </c>
      <c r="I414" s="461">
        <v>46430</v>
      </c>
      <c r="J414" s="464">
        <v>79173</v>
      </c>
      <c r="K414" s="464">
        <v>539782</v>
      </c>
      <c r="L414" s="464"/>
      <c r="M414" s="461">
        <v>2621</v>
      </c>
      <c r="N414" s="461">
        <v>0</v>
      </c>
      <c r="O414" s="461">
        <v>0</v>
      </c>
      <c r="P414" s="464">
        <v>5115</v>
      </c>
      <c r="Q414" s="464">
        <v>7736</v>
      </c>
      <c r="R414" s="464"/>
      <c r="S414" s="461">
        <v>313828</v>
      </c>
      <c r="T414" s="462">
        <v>18116</v>
      </c>
      <c r="U414" s="462">
        <v>331944</v>
      </c>
      <c r="W414" s="464">
        <v>1892905</v>
      </c>
      <c r="X414" s="464">
        <v>433733</v>
      </c>
    </row>
    <row r="415" spans="1:24">
      <c r="A415" s="458">
        <v>94241</v>
      </c>
      <c r="B415" s="459" t="s">
        <v>1122</v>
      </c>
      <c r="C415" s="463">
        <v>1.3248000000000001E-4</v>
      </c>
      <c r="D415" s="463">
        <v>1.4899999999999999E-4</v>
      </c>
      <c r="E415" s="464">
        <v>877427</v>
      </c>
      <c r="F415" s="464"/>
      <c r="G415" s="461">
        <v>97771</v>
      </c>
      <c r="H415" s="461">
        <v>234838</v>
      </c>
      <c r="I415" s="461">
        <v>37286</v>
      </c>
      <c r="J415" s="464">
        <v>18458</v>
      </c>
      <c r="K415" s="464">
        <v>388353</v>
      </c>
      <c r="L415" s="464"/>
      <c r="M415" s="461">
        <v>2105</v>
      </c>
      <c r="N415" s="461">
        <v>0</v>
      </c>
      <c r="O415" s="461">
        <v>0</v>
      </c>
      <c r="P415" s="464">
        <v>68502</v>
      </c>
      <c r="Q415" s="464">
        <v>70607</v>
      </c>
      <c r="R415" s="464"/>
      <c r="S415" s="461">
        <v>252021</v>
      </c>
      <c r="T415" s="462">
        <v>3060</v>
      </c>
      <c r="U415" s="462">
        <v>255081</v>
      </c>
      <c r="W415" s="464">
        <v>1520107</v>
      </c>
      <c r="X415" s="464">
        <v>348312</v>
      </c>
    </row>
    <row r="416" spans="1:24">
      <c r="A416" s="458">
        <v>94251</v>
      </c>
      <c r="B416" s="459" t="s">
        <v>1123</v>
      </c>
      <c r="C416" s="463">
        <v>2.3010000000000002E-5</v>
      </c>
      <c r="D416" s="463">
        <v>2.5299999999999998E-5</v>
      </c>
      <c r="E416" s="464">
        <v>152397</v>
      </c>
      <c r="F416" s="464"/>
      <c r="G416" s="461">
        <v>16982</v>
      </c>
      <c r="H416" s="461">
        <v>40788</v>
      </c>
      <c r="I416" s="461">
        <v>6476</v>
      </c>
      <c r="J416" s="464">
        <v>7455</v>
      </c>
      <c r="K416" s="464">
        <v>71701</v>
      </c>
      <c r="L416" s="464"/>
      <c r="M416" s="461">
        <v>366</v>
      </c>
      <c r="N416" s="461">
        <v>0</v>
      </c>
      <c r="O416" s="461">
        <v>0</v>
      </c>
      <c r="P416" s="464">
        <v>9461</v>
      </c>
      <c r="Q416" s="464">
        <v>9827</v>
      </c>
      <c r="R416" s="464"/>
      <c r="S416" s="461">
        <v>43773</v>
      </c>
      <c r="T416" s="462">
        <v>1009</v>
      </c>
      <c r="U416" s="462">
        <v>44782</v>
      </c>
      <c r="W416" s="464">
        <v>264022</v>
      </c>
      <c r="X416" s="464">
        <v>60497</v>
      </c>
    </row>
    <row r="417" spans="1:24">
      <c r="A417" s="458">
        <v>94261</v>
      </c>
      <c r="B417" s="459" t="s">
        <v>1124</v>
      </c>
      <c r="C417" s="463">
        <v>3.4950000000000002E-5</v>
      </c>
      <c r="D417" s="463">
        <v>3.7299999999999999E-5</v>
      </c>
      <c r="E417" s="464">
        <v>231477</v>
      </c>
      <c r="F417" s="464"/>
      <c r="G417" s="461">
        <v>25793</v>
      </c>
      <c r="H417" s="461">
        <v>61953</v>
      </c>
      <c r="I417" s="461">
        <v>9836</v>
      </c>
      <c r="J417" s="464">
        <v>1130</v>
      </c>
      <c r="K417" s="464">
        <v>98712</v>
      </c>
      <c r="L417" s="464"/>
      <c r="M417" s="461">
        <v>555</v>
      </c>
      <c r="N417" s="461">
        <v>0</v>
      </c>
      <c r="O417" s="461">
        <v>0</v>
      </c>
      <c r="P417" s="464">
        <v>10043</v>
      </c>
      <c r="Q417" s="464">
        <v>10598</v>
      </c>
      <c r="R417" s="464"/>
      <c r="S417" s="461">
        <v>66487</v>
      </c>
      <c r="T417" s="462">
        <v>-5150</v>
      </c>
      <c r="U417" s="462">
        <v>61337</v>
      </c>
      <c r="W417" s="464">
        <v>401025</v>
      </c>
      <c r="X417" s="464">
        <v>91889</v>
      </c>
    </row>
    <row r="418" spans="1:24">
      <c r="A418" s="458">
        <v>94301</v>
      </c>
      <c r="B418" s="459" t="s">
        <v>1125</v>
      </c>
      <c r="C418" s="463">
        <v>5.9402400000000003E-3</v>
      </c>
      <c r="D418" s="463">
        <v>5.5992000000000004E-3</v>
      </c>
      <c r="E418" s="464">
        <v>39342726</v>
      </c>
      <c r="F418" s="464"/>
      <c r="G418" s="461">
        <v>4383945</v>
      </c>
      <c r="H418" s="461">
        <v>10529836</v>
      </c>
      <c r="I418" s="461">
        <v>1671839</v>
      </c>
      <c r="J418" s="464">
        <v>974064</v>
      </c>
      <c r="K418" s="464">
        <v>17559684</v>
      </c>
      <c r="L418" s="464"/>
      <c r="M418" s="461">
        <v>94379</v>
      </c>
      <c r="N418" s="461">
        <v>0</v>
      </c>
      <c r="O418" s="461">
        <v>0</v>
      </c>
      <c r="P418" s="464">
        <v>432890</v>
      </c>
      <c r="Q418" s="464">
        <v>527269</v>
      </c>
      <c r="R418" s="464"/>
      <c r="S418" s="461">
        <v>11300326</v>
      </c>
      <c r="T418" s="462">
        <v>-59577</v>
      </c>
      <c r="U418" s="462">
        <v>11240749</v>
      </c>
      <c r="W418" s="464">
        <v>68159728</v>
      </c>
      <c r="X418" s="464">
        <v>15617871</v>
      </c>
    </row>
    <row r="419" spans="1:24">
      <c r="A419" s="458">
        <v>94311</v>
      </c>
      <c r="B419" s="459" t="s">
        <v>1126</v>
      </c>
      <c r="C419" s="463">
        <v>7.6433000000000002E-4</v>
      </c>
      <c r="D419" s="463">
        <v>8.2569999999999996E-4</v>
      </c>
      <c r="E419" s="464">
        <v>5062224</v>
      </c>
      <c r="F419" s="464"/>
      <c r="G419" s="461">
        <v>564082</v>
      </c>
      <c r="H419" s="461">
        <v>1354873</v>
      </c>
      <c r="I419" s="461">
        <v>215115</v>
      </c>
      <c r="J419" s="464">
        <v>41320</v>
      </c>
      <c r="K419" s="464">
        <v>2175390</v>
      </c>
      <c r="L419" s="464"/>
      <c r="M419" s="461">
        <v>12144</v>
      </c>
      <c r="N419" s="461">
        <v>0</v>
      </c>
      <c r="O419" s="461">
        <v>0</v>
      </c>
      <c r="P419" s="464">
        <v>167625</v>
      </c>
      <c r="Q419" s="464">
        <v>179769</v>
      </c>
      <c r="R419" s="464"/>
      <c r="S419" s="461">
        <v>1454012</v>
      </c>
      <c r="T419" s="462">
        <v>-21461</v>
      </c>
      <c r="U419" s="462">
        <v>1432551</v>
      </c>
      <c r="W419" s="464">
        <v>8770104</v>
      </c>
      <c r="X419" s="464">
        <v>2009550</v>
      </c>
    </row>
    <row r="420" spans="1:24">
      <c r="A420" s="458">
        <v>94313</v>
      </c>
      <c r="B420" s="459" t="s">
        <v>1127</v>
      </c>
      <c r="C420" s="463">
        <v>1.6500000000000001E-5</v>
      </c>
      <c r="D420" s="463">
        <v>2.0000000000000002E-5</v>
      </c>
      <c r="E420" s="464">
        <v>109281</v>
      </c>
      <c r="F420" s="464"/>
      <c r="G420" s="461">
        <v>12177</v>
      </c>
      <c r="H420" s="461">
        <v>29248</v>
      </c>
      <c r="I420" s="461">
        <v>4644</v>
      </c>
      <c r="J420" s="464">
        <v>8109</v>
      </c>
      <c r="K420" s="464">
        <v>54178</v>
      </c>
      <c r="L420" s="464"/>
      <c r="M420" s="461">
        <v>262</v>
      </c>
      <c r="N420" s="461">
        <v>0</v>
      </c>
      <c r="O420" s="461">
        <v>0</v>
      </c>
      <c r="P420" s="464">
        <v>2841</v>
      </c>
      <c r="Q420" s="464">
        <v>3103</v>
      </c>
      <c r="R420" s="464"/>
      <c r="S420" s="461">
        <v>31389</v>
      </c>
      <c r="T420" s="462">
        <v>7135</v>
      </c>
      <c r="U420" s="462">
        <v>38524</v>
      </c>
      <c r="W420" s="464">
        <v>189325</v>
      </c>
      <c r="X420" s="464">
        <v>43381</v>
      </c>
    </row>
    <row r="421" spans="1:24">
      <c r="A421" s="458">
        <v>94317</v>
      </c>
      <c r="B421" s="459" t="s">
        <v>1128</v>
      </c>
      <c r="C421" s="463">
        <v>1.8110000000000001E-5</v>
      </c>
      <c r="D421" s="463">
        <v>1.7900000000000001E-5</v>
      </c>
      <c r="E421" s="464">
        <v>119944</v>
      </c>
      <c r="F421" s="464"/>
      <c r="G421" s="461">
        <v>13365</v>
      </c>
      <c r="H421" s="461">
        <v>32102</v>
      </c>
      <c r="I421" s="461">
        <v>5097</v>
      </c>
      <c r="J421" s="464">
        <v>18952</v>
      </c>
      <c r="K421" s="464">
        <v>69516</v>
      </c>
      <c r="L421" s="464"/>
      <c r="M421" s="461">
        <v>288</v>
      </c>
      <c r="N421" s="461">
        <v>0</v>
      </c>
      <c r="O421" s="461">
        <v>0</v>
      </c>
      <c r="P421" s="464">
        <v>0</v>
      </c>
      <c r="Q421" s="464">
        <v>288</v>
      </c>
      <c r="R421" s="464"/>
      <c r="S421" s="461">
        <v>34451</v>
      </c>
      <c r="T421" s="462">
        <v>12318</v>
      </c>
      <c r="U421" s="462">
        <v>46769</v>
      </c>
      <c r="W421" s="464">
        <v>207798</v>
      </c>
      <c r="X421" s="464">
        <v>47614</v>
      </c>
    </row>
    <row r="422" spans="1:24">
      <c r="A422" s="458">
        <v>94321</v>
      </c>
      <c r="B422" s="459" t="s">
        <v>1129</v>
      </c>
      <c r="C422" s="463">
        <v>3.4961999999999998E-4</v>
      </c>
      <c r="D422" s="463">
        <v>3.0160000000000001E-4</v>
      </c>
      <c r="E422" s="464">
        <v>2315564</v>
      </c>
      <c r="F422" s="464"/>
      <c r="G422" s="461">
        <v>258022</v>
      </c>
      <c r="H422" s="461">
        <v>619746</v>
      </c>
      <c r="I422" s="461">
        <v>98398</v>
      </c>
      <c r="J422" s="464">
        <v>90697</v>
      </c>
      <c r="K422" s="464">
        <v>1066863</v>
      </c>
      <c r="L422" s="464"/>
      <c r="M422" s="461">
        <v>5555</v>
      </c>
      <c r="N422" s="461">
        <v>0</v>
      </c>
      <c r="O422" s="461">
        <v>0</v>
      </c>
      <c r="P422" s="464">
        <v>9149</v>
      </c>
      <c r="Q422" s="464">
        <v>14704</v>
      </c>
      <c r="R422" s="464"/>
      <c r="S422" s="461">
        <v>665094</v>
      </c>
      <c r="T422" s="462">
        <v>36823</v>
      </c>
      <c r="U422" s="462">
        <v>701917</v>
      </c>
      <c r="W422" s="464">
        <v>4011623</v>
      </c>
      <c r="X422" s="464">
        <v>919209</v>
      </c>
    </row>
    <row r="423" spans="1:24">
      <c r="A423" s="458">
        <v>94331</v>
      </c>
      <c r="B423" s="459" t="s">
        <v>1130</v>
      </c>
      <c r="C423" s="463">
        <v>1.4553999999999999E-4</v>
      </c>
      <c r="D423" s="463">
        <v>1.5589999999999999E-4</v>
      </c>
      <c r="E423" s="464">
        <v>963924</v>
      </c>
      <c r="F423" s="464"/>
      <c r="G423" s="461">
        <v>107410</v>
      </c>
      <c r="H423" s="461">
        <v>257988</v>
      </c>
      <c r="I423" s="461">
        <v>40961</v>
      </c>
      <c r="J423" s="464">
        <v>18982</v>
      </c>
      <c r="K423" s="464">
        <v>425341</v>
      </c>
      <c r="L423" s="464"/>
      <c r="M423" s="461">
        <v>2312</v>
      </c>
      <c r="N423" s="461">
        <v>0</v>
      </c>
      <c r="O423" s="461">
        <v>0</v>
      </c>
      <c r="P423" s="464">
        <v>42720</v>
      </c>
      <c r="Q423" s="464">
        <v>45032</v>
      </c>
      <c r="R423" s="464"/>
      <c r="S423" s="461">
        <v>276866</v>
      </c>
      <c r="T423" s="462">
        <v>-11417</v>
      </c>
      <c r="U423" s="462">
        <v>265449</v>
      </c>
      <c r="W423" s="464">
        <v>1669961</v>
      </c>
      <c r="X423" s="464">
        <v>382649</v>
      </c>
    </row>
    <row r="424" spans="1:24">
      <c r="A424" s="458">
        <v>94341</v>
      </c>
      <c r="B424" s="459" t="s">
        <v>1131</v>
      </c>
      <c r="C424" s="463">
        <v>9.3289999999999996E-5</v>
      </c>
      <c r="D424" s="463">
        <v>1.064E-4</v>
      </c>
      <c r="E424" s="464">
        <v>617868</v>
      </c>
      <c r="F424" s="464"/>
      <c r="G424" s="461">
        <v>68849</v>
      </c>
      <c r="H424" s="461">
        <v>165368</v>
      </c>
      <c r="I424" s="461">
        <v>26256</v>
      </c>
      <c r="J424" s="464">
        <v>20346</v>
      </c>
      <c r="K424" s="464">
        <v>280819</v>
      </c>
      <c r="L424" s="464"/>
      <c r="M424" s="461">
        <v>1482</v>
      </c>
      <c r="N424" s="461">
        <v>0</v>
      </c>
      <c r="O424" s="461">
        <v>0</v>
      </c>
      <c r="P424" s="464">
        <v>51736</v>
      </c>
      <c r="Q424" s="464">
        <v>53218</v>
      </c>
      <c r="R424" s="464"/>
      <c r="S424" s="461">
        <v>177469</v>
      </c>
      <c r="T424" s="462">
        <v>-13409</v>
      </c>
      <c r="U424" s="462">
        <v>164060</v>
      </c>
      <c r="W424" s="464">
        <v>1070432</v>
      </c>
      <c r="X424" s="464">
        <v>245275</v>
      </c>
    </row>
    <row r="425" spans="1:24">
      <c r="A425" s="458">
        <v>94347</v>
      </c>
      <c r="B425" s="459" t="s">
        <v>1132</v>
      </c>
      <c r="C425" s="463">
        <v>1.8669999999999999E-5</v>
      </c>
      <c r="D425" s="463">
        <v>1.3699999999999999E-5</v>
      </c>
      <c r="E425" s="464">
        <v>123653</v>
      </c>
      <c r="F425" s="464"/>
      <c r="G425" s="461">
        <v>13779</v>
      </c>
      <c r="H425" s="461">
        <v>33095</v>
      </c>
      <c r="I425" s="461">
        <v>5255</v>
      </c>
      <c r="J425" s="464">
        <v>6384</v>
      </c>
      <c r="K425" s="464">
        <v>58513</v>
      </c>
      <c r="L425" s="464"/>
      <c r="M425" s="461">
        <v>297</v>
      </c>
      <c r="N425" s="461">
        <v>0</v>
      </c>
      <c r="O425" s="461">
        <v>0</v>
      </c>
      <c r="P425" s="464">
        <v>2728</v>
      </c>
      <c r="Q425" s="464">
        <v>3025</v>
      </c>
      <c r="R425" s="464"/>
      <c r="S425" s="461">
        <v>35517</v>
      </c>
      <c r="T425" s="462">
        <v>5565</v>
      </c>
      <c r="U425" s="462">
        <v>41082</v>
      </c>
      <c r="W425" s="464">
        <v>214224</v>
      </c>
      <c r="X425" s="464">
        <v>49087</v>
      </c>
    </row>
    <row r="426" spans="1:24">
      <c r="A426" s="458">
        <v>94351</v>
      </c>
      <c r="B426" s="459" t="s">
        <v>1133</v>
      </c>
      <c r="C426" s="463">
        <v>2.8703000000000002E-4</v>
      </c>
      <c r="D426" s="463">
        <v>3.2600000000000001E-4</v>
      </c>
      <c r="E426" s="464">
        <v>1901025</v>
      </c>
      <c r="F426" s="464"/>
      <c r="G426" s="461">
        <v>211830</v>
      </c>
      <c r="H426" s="461">
        <v>508797</v>
      </c>
      <c r="I426" s="461">
        <v>80783</v>
      </c>
      <c r="J426" s="464">
        <v>20308</v>
      </c>
      <c r="K426" s="464">
        <v>821718</v>
      </c>
      <c r="L426" s="464"/>
      <c r="M426" s="461">
        <v>4560</v>
      </c>
      <c r="N426" s="461">
        <v>0</v>
      </c>
      <c r="O426" s="461">
        <v>0</v>
      </c>
      <c r="P426" s="464">
        <v>83348</v>
      </c>
      <c r="Q426" s="464">
        <v>87908</v>
      </c>
      <c r="R426" s="464"/>
      <c r="S426" s="461">
        <v>546027</v>
      </c>
      <c r="T426" s="462">
        <v>7700</v>
      </c>
      <c r="U426" s="462">
        <v>553727</v>
      </c>
      <c r="W426" s="464">
        <v>3293451</v>
      </c>
      <c r="X426" s="464">
        <v>754649</v>
      </c>
    </row>
    <row r="427" spans="1:24">
      <c r="A427" s="458">
        <v>94401</v>
      </c>
      <c r="B427" s="459" t="s">
        <v>1134</v>
      </c>
      <c r="C427" s="463">
        <v>3.6737200000000001E-3</v>
      </c>
      <c r="D427" s="463">
        <v>3.5634E-3</v>
      </c>
      <c r="E427" s="464">
        <v>24331367</v>
      </c>
      <c r="F427" s="464"/>
      <c r="G427" s="461">
        <v>2711235</v>
      </c>
      <c r="H427" s="461">
        <v>6512139</v>
      </c>
      <c r="I427" s="461">
        <v>1033943</v>
      </c>
      <c r="J427" s="464">
        <v>342722</v>
      </c>
      <c r="K427" s="464">
        <v>10600039</v>
      </c>
      <c r="L427" s="464"/>
      <c r="M427" s="461">
        <v>58368</v>
      </c>
      <c r="N427" s="461">
        <v>0</v>
      </c>
      <c r="O427" s="461">
        <v>0</v>
      </c>
      <c r="P427" s="464">
        <v>170894</v>
      </c>
      <c r="Q427" s="464">
        <v>229262</v>
      </c>
      <c r="R427" s="464"/>
      <c r="S427" s="461">
        <v>6988646</v>
      </c>
      <c r="T427" s="462">
        <v>39897</v>
      </c>
      <c r="U427" s="462">
        <v>7028543</v>
      </c>
      <c r="W427" s="464">
        <v>42153138</v>
      </c>
      <c r="X427" s="464">
        <v>9658816</v>
      </c>
    </row>
    <row r="428" spans="1:24">
      <c r="A428" s="458">
        <v>94403</v>
      </c>
      <c r="B428" s="459" t="s">
        <v>1136</v>
      </c>
      <c r="C428" s="463">
        <v>4.388E-5</v>
      </c>
      <c r="D428" s="463">
        <v>4.3699999999999998E-5</v>
      </c>
      <c r="E428" s="464">
        <v>290621</v>
      </c>
      <c r="F428" s="464"/>
      <c r="G428" s="461">
        <v>32384</v>
      </c>
      <c r="H428" s="461">
        <v>77783</v>
      </c>
      <c r="I428" s="461">
        <v>12350</v>
      </c>
      <c r="J428" s="464">
        <v>9711</v>
      </c>
      <c r="K428" s="464">
        <v>132228</v>
      </c>
      <c r="L428" s="464"/>
      <c r="M428" s="461">
        <v>697</v>
      </c>
      <c r="N428" s="461">
        <v>0</v>
      </c>
      <c r="O428" s="461">
        <v>0</v>
      </c>
      <c r="P428" s="464">
        <v>1853</v>
      </c>
      <c r="Q428" s="464">
        <v>2550</v>
      </c>
      <c r="R428" s="464"/>
      <c r="S428" s="461">
        <v>83474</v>
      </c>
      <c r="T428" s="462">
        <v>7636</v>
      </c>
      <c r="U428" s="462">
        <v>91110</v>
      </c>
      <c r="W428" s="464">
        <v>503490</v>
      </c>
      <c r="X428" s="464">
        <v>115368</v>
      </c>
    </row>
    <row r="429" spans="1:24">
      <c r="A429" s="458">
        <v>94408</v>
      </c>
      <c r="B429" s="459" t="s">
        <v>1137</v>
      </c>
      <c r="C429" s="463">
        <v>6.3789999999999997E-5</v>
      </c>
      <c r="D429" s="463">
        <v>6.5199999999999999E-5</v>
      </c>
      <c r="E429" s="464">
        <v>422487</v>
      </c>
      <c r="F429" s="464"/>
      <c r="G429" s="461">
        <v>47078</v>
      </c>
      <c r="H429" s="461">
        <v>113076</v>
      </c>
      <c r="I429" s="461">
        <v>17953</v>
      </c>
      <c r="J429" s="464">
        <v>5696</v>
      </c>
      <c r="K429" s="464">
        <v>183803</v>
      </c>
      <c r="L429" s="464"/>
      <c r="M429" s="461">
        <v>1013</v>
      </c>
      <c r="N429" s="461">
        <v>0</v>
      </c>
      <c r="O429" s="461">
        <v>0</v>
      </c>
      <c r="P429" s="464">
        <v>14302</v>
      </c>
      <c r="Q429" s="464">
        <v>15315</v>
      </c>
      <c r="R429" s="464"/>
      <c r="S429" s="461">
        <v>121350</v>
      </c>
      <c r="T429" s="462">
        <v>-2117</v>
      </c>
      <c r="U429" s="462">
        <v>119233</v>
      </c>
      <c r="W429" s="464">
        <v>731942</v>
      </c>
      <c r="X429" s="464">
        <v>167714</v>
      </c>
    </row>
    <row r="430" spans="1:24">
      <c r="A430" s="458">
        <v>94411</v>
      </c>
      <c r="B430" s="459" t="s">
        <v>1138</v>
      </c>
      <c r="C430" s="463">
        <v>1.1336899999999999E-3</v>
      </c>
      <c r="D430" s="463">
        <v>1.1031000000000001E-3</v>
      </c>
      <c r="E430" s="464">
        <v>7508528</v>
      </c>
      <c r="F430" s="464"/>
      <c r="G430" s="461">
        <v>836672</v>
      </c>
      <c r="H430" s="461">
        <v>2009611</v>
      </c>
      <c r="I430" s="461">
        <v>319069</v>
      </c>
      <c r="J430" s="464">
        <v>49006</v>
      </c>
      <c r="K430" s="464">
        <v>3214358</v>
      </c>
      <c r="L430" s="464"/>
      <c r="M430" s="461">
        <v>18012</v>
      </c>
      <c r="N430" s="461">
        <v>0</v>
      </c>
      <c r="O430" s="461">
        <v>0</v>
      </c>
      <c r="P430" s="464">
        <v>45565</v>
      </c>
      <c r="Q430" s="464">
        <v>63577</v>
      </c>
      <c r="R430" s="464"/>
      <c r="S430" s="461">
        <v>2156658</v>
      </c>
      <c r="T430" s="462">
        <v>-75767</v>
      </c>
      <c r="U430" s="462">
        <v>2080891</v>
      </c>
      <c r="W430" s="464">
        <v>13008229</v>
      </c>
      <c r="X430" s="464">
        <v>2980658</v>
      </c>
    </row>
    <row r="431" spans="1:24">
      <c r="A431" s="458">
        <v>94412</v>
      </c>
      <c r="B431" s="459" t="s">
        <v>1139</v>
      </c>
      <c r="C431" s="463">
        <v>2.9030000000000002E-5</v>
      </c>
      <c r="D431" s="463">
        <v>2.65E-5</v>
      </c>
      <c r="E431" s="464">
        <v>192268</v>
      </c>
      <c r="F431" s="464"/>
      <c r="G431" s="461">
        <v>21424</v>
      </c>
      <c r="H431" s="461">
        <v>51459</v>
      </c>
      <c r="I431" s="461">
        <v>8170</v>
      </c>
      <c r="J431" s="464">
        <v>17382</v>
      </c>
      <c r="K431" s="464">
        <v>98435</v>
      </c>
      <c r="L431" s="464"/>
      <c r="M431" s="461">
        <v>461</v>
      </c>
      <c r="N431" s="461">
        <v>0</v>
      </c>
      <c r="O431" s="461">
        <v>0</v>
      </c>
      <c r="P431" s="464">
        <v>0</v>
      </c>
      <c r="Q431" s="464">
        <v>461</v>
      </c>
      <c r="R431" s="464"/>
      <c r="S431" s="461">
        <v>55225</v>
      </c>
      <c r="T431" s="462">
        <v>12720</v>
      </c>
      <c r="U431" s="462">
        <v>67945</v>
      </c>
      <c r="W431" s="464">
        <v>333097</v>
      </c>
      <c r="X431" s="464">
        <v>76325</v>
      </c>
    </row>
    <row r="432" spans="1:24" s="473" customFormat="1">
      <c r="A432" s="472">
        <v>94415</v>
      </c>
      <c r="B432" s="474" t="s">
        <v>3770</v>
      </c>
      <c r="C432" s="475">
        <v>2.3249999999999999E-5</v>
      </c>
      <c r="D432" s="475">
        <v>0</v>
      </c>
      <c r="E432" s="476">
        <v>153987</v>
      </c>
      <c r="F432" s="476"/>
      <c r="G432" s="477">
        <v>17159</v>
      </c>
      <c r="H432" s="477">
        <v>41214</v>
      </c>
      <c r="I432" s="477">
        <v>6544</v>
      </c>
      <c r="J432" s="476">
        <v>47968</v>
      </c>
      <c r="K432" s="476">
        <v>112885</v>
      </c>
      <c r="L432" s="476"/>
      <c r="M432" s="477">
        <v>369</v>
      </c>
      <c r="N432" s="477">
        <v>0</v>
      </c>
      <c r="O432" s="477">
        <v>0</v>
      </c>
      <c r="P432" s="476">
        <v>0</v>
      </c>
      <c r="Q432" s="476">
        <v>369</v>
      </c>
      <c r="R432" s="476"/>
      <c r="S432" s="477">
        <v>44229</v>
      </c>
      <c r="T432" s="478">
        <v>15989</v>
      </c>
      <c r="U432" s="478">
        <v>60218</v>
      </c>
      <c r="W432" s="476">
        <v>266776</v>
      </c>
      <c r="X432" s="476">
        <v>61128</v>
      </c>
    </row>
    <row r="433" spans="1:24" s="473" customFormat="1">
      <c r="A433" s="472">
        <v>94417</v>
      </c>
      <c r="B433" s="474" t="s">
        <v>3771</v>
      </c>
      <c r="C433" s="475">
        <v>4.4749999999999997E-5</v>
      </c>
      <c r="D433" s="475">
        <v>0</v>
      </c>
      <c r="E433" s="476">
        <v>296383</v>
      </c>
      <c r="F433" s="476"/>
      <c r="G433" s="477">
        <v>33026</v>
      </c>
      <c r="H433" s="477">
        <v>79325</v>
      </c>
      <c r="I433" s="477">
        <v>12595</v>
      </c>
      <c r="J433" s="476">
        <v>110540</v>
      </c>
      <c r="K433" s="476">
        <v>235486</v>
      </c>
      <c r="L433" s="476"/>
      <c r="M433" s="477">
        <v>711</v>
      </c>
      <c r="N433" s="477">
        <v>0</v>
      </c>
      <c r="O433" s="477">
        <v>0</v>
      </c>
      <c r="P433" s="476">
        <v>0</v>
      </c>
      <c r="Q433" s="476">
        <v>711</v>
      </c>
      <c r="R433" s="476"/>
      <c r="S433" s="477">
        <v>85129</v>
      </c>
      <c r="T433" s="478">
        <v>36847</v>
      </c>
      <c r="U433" s="478">
        <v>121976</v>
      </c>
      <c r="W433" s="476">
        <v>513472</v>
      </c>
      <c r="X433" s="476">
        <v>117655</v>
      </c>
    </row>
    <row r="434" spans="1:24">
      <c r="A434" s="458">
        <v>94421</v>
      </c>
      <c r="B434" s="459" t="s">
        <v>1140</v>
      </c>
      <c r="C434" s="463">
        <v>1.6532999999999999E-4</v>
      </c>
      <c r="D434" s="463">
        <v>1.6789999999999999E-4</v>
      </c>
      <c r="E434" s="464">
        <v>1094995</v>
      </c>
      <c r="F434" s="464"/>
      <c r="G434" s="461">
        <v>122015</v>
      </c>
      <c r="H434" s="461">
        <v>293069</v>
      </c>
      <c r="I434" s="461">
        <v>46531</v>
      </c>
      <c r="J434" s="464">
        <v>37162</v>
      </c>
      <c r="K434" s="464">
        <v>498777</v>
      </c>
      <c r="L434" s="464"/>
      <c r="M434" s="461">
        <v>2627</v>
      </c>
      <c r="N434" s="461">
        <v>0</v>
      </c>
      <c r="O434" s="461">
        <v>0</v>
      </c>
      <c r="P434" s="464">
        <v>1636</v>
      </c>
      <c r="Q434" s="464">
        <v>4263</v>
      </c>
      <c r="R434" s="464"/>
      <c r="S434" s="461">
        <v>314513</v>
      </c>
      <c r="T434" s="462">
        <v>22480</v>
      </c>
      <c r="U434" s="462">
        <v>336993</v>
      </c>
      <c r="W434" s="464">
        <v>1897036</v>
      </c>
      <c r="X434" s="464">
        <v>434680</v>
      </c>
    </row>
    <row r="435" spans="1:24">
      <c r="A435" s="458">
        <v>94427</v>
      </c>
      <c r="B435" s="459" t="s">
        <v>1141</v>
      </c>
      <c r="C435" s="463">
        <v>2.9600000000000001E-5</v>
      </c>
      <c r="D435" s="463">
        <v>2.72E-5</v>
      </c>
      <c r="E435" s="464">
        <v>196043</v>
      </c>
      <c r="F435" s="464"/>
      <c r="G435" s="461">
        <v>21845</v>
      </c>
      <c r="H435" s="461">
        <v>52470</v>
      </c>
      <c r="I435" s="461">
        <v>8331</v>
      </c>
      <c r="J435" s="464">
        <v>17613</v>
      </c>
      <c r="K435" s="464">
        <v>100259</v>
      </c>
      <c r="L435" s="464"/>
      <c r="M435" s="461">
        <v>470</v>
      </c>
      <c r="N435" s="461">
        <v>0</v>
      </c>
      <c r="O435" s="461">
        <v>0</v>
      </c>
      <c r="P435" s="464">
        <v>0</v>
      </c>
      <c r="Q435" s="464">
        <v>470</v>
      </c>
      <c r="R435" s="464"/>
      <c r="S435" s="461">
        <v>56309</v>
      </c>
      <c r="T435" s="462">
        <v>10894</v>
      </c>
      <c r="U435" s="462">
        <v>67203</v>
      </c>
      <c r="W435" s="464">
        <v>339637</v>
      </c>
      <c r="X435" s="464">
        <v>77823</v>
      </c>
    </row>
    <row r="436" spans="1:24">
      <c r="A436" s="458">
        <v>94428</v>
      </c>
      <c r="B436" s="459" t="s">
        <v>1142</v>
      </c>
      <c r="C436" s="463">
        <v>6.7960000000000007E-5</v>
      </c>
      <c r="D436" s="463">
        <v>7.0199999999999999E-5</v>
      </c>
      <c r="E436" s="464">
        <v>450105</v>
      </c>
      <c r="F436" s="464"/>
      <c r="G436" s="461">
        <v>50155</v>
      </c>
      <c r="H436" s="461">
        <v>120468</v>
      </c>
      <c r="I436" s="461">
        <v>19127</v>
      </c>
      <c r="J436" s="464">
        <v>2291</v>
      </c>
      <c r="K436" s="464">
        <v>192041</v>
      </c>
      <c r="L436" s="464"/>
      <c r="M436" s="461">
        <v>1080</v>
      </c>
      <c r="N436" s="461">
        <v>0</v>
      </c>
      <c r="O436" s="461">
        <v>0</v>
      </c>
      <c r="P436" s="464">
        <v>14783</v>
      </c>
      <c r="Q436" s="464">
        <v>15863</v>
      </c>
      <c r="R436" s="464"/>
      <c r="S436" s="461">
        <v>129283</v>
      </c>
      <c r="T436" s="462">
        <v>-1858</v>
      </c>
      <c r="U436" s="462">
        <v>127425</v>
      </c>
      <c r="W436" s="464">
        <v>779789</v>
      </c>
      <c r="X436" s="464">
        <v>178678</v>
      </c>
    </row>
    <row r="437" spans="1:24">
      <c r="A437" s="458">
        <v>94431</v>
      </c>
      <c r="B437" s="459" t="s">
        <v>1143</v>
      </c>
      <c r="C437" s="463">
        <v>4.0378000000000001E-4</v>
      </c>
      <c r="D437" s="463">
        <v>3.6969999999999999E-4</v>
      </c>
      <c r="E437" s="464">
        <v>2674270</v>
      </c>
      <c r="F437" s="464"/>
      <c r="G437" s="461">
        <v>297993</v>
      </c>
      <c r="H437" s="461">
        <v>715752</v>
      </c>
      <c r="I437" s="461">
        <v>113641</v>
      </c>
      <c r="J437" s="464">
        <v>65572</v>
      </c>
      <c r="K437" s="464">
        <v>1192958</v>
      </c>
      <c r="L437" s="464"/>
      <c r="M437" s="461">
        <v>6415</v>
      </c>
      <c r="N437" s="461">
        <v>0</v>
      </c>
      <c r="O437" s="461">
        <v>0</v>
      </c>
      <c r="P437" s="464">
        <v>13550</v>
      </c>
      <c r="Q437" s="464">
        <v>19965</v>
      </c>
      <c r="R437" s="464"/>
      <c r="S437" s="461">
        <v>768125</v>
      </c>
      <c r="T437" s="462">
        <v>22196</v>
      </c>
      <c r="U437" s="462">
        <v>790321</v>
      </c>
      <c r="W437" s="464">
        <v>4633068</v>
      </c>
      <c r="X437" s="464">
        <v>1061604</v>
      </c>
    </row>
    <row r="438" spans="1:24">
      <c r="A438" s="458">
        <v>94437</v>
      </c>
      <c r="B438" s="459" t="s">
        <v>1144</v>
      </c>
      <c r="C438" s="463">
        <v>1.202E-5</v>
      </c>
      <c r="D438" s="463">
        <v>1.59E-5</v>
      </c>
      <c r="E438" s="464">
        <v>79610</v>
      </c>
      <c r="F438" s="464"/>
      <c r="G438" s="461">
        <v>8871</v>
      </c>
      <c r="H438" s="461">
        <v>21307</v>
      </c>
      <c r="I438" s="461">
        <v>3383</v>
      </c>
      <c r="J438" s="464">
        <v>9734</v>
      </c>
      <c r="K438" s="464">
        <v>43295</v>
      </c>
      <c r="L438" s="464"/>
      <c r="M438" s="461">
        <v>191</v>
      </c>
      <c r="N438" s="461">
        <v>0</v>
      </c>
      <c r="O438" s="461">
        <v>0</v>
      </c>
      <c r="P438" s="464">
        <v>0</v>
      </c>
      <c r="Q438" s="464">
        <v>191</v>
      </c>
      <c r="R438" s="464"/>
      <c r="S438" s="461">
        <v>22866</v>
      </c>
      <c r="T438" s="462">
        <v>7093</v>
      </c>
      <c r="U438" s="462">
        <v>29959</v>
      </c>
      <c r="W438" s="464">
        <v>137920</v>
      </c>
      <c r="X438" s="464">
        <v>31603</v>
      </c>
    </row>
    <row r="439" spans="1:24">
      <c r="A439" s="458">
        <v>94501</v>
      </c>
      <c r="B439" s="459" t="s">
        <v>2019</v>
      </c>
      <c r="C439" s="463">
        <v>5.9484999999999998E-3</v>
      </c>
      <c r="D439" s="463">
        <v>5.9830999999999999E-3</v>
      </c>
      <c r="E439" s="464">
        <v>39397433</v>
      </c>
      <c r="F439" s="464"/>
      <c r="G439" s="461">
        <v>4390041</v>
      </c>
      <c r="H439" s="461">
        <v>10544478</v>
      </c>
      <c r="I439" s="461">
        <v>1674164</v>
      </c>
      <c r="J439" s="464">
        <v>248923</v>
      </c>
      <c r="K439" s="464">
        <v>16857606</v>
      </c>
      <c r="L439" s="464"/>
      <c r="M439" s="461">
        <v>94510</v>
      </c>
      <c r="N439" s="461">
        <v>0</v>
      </c>
      <c r="O439" s="461">
        <v>0</v>
      </c>
      <c r="P439" s="464">
        <v>57762</v>
      </c>
      <c r="Q439" s="464">
        <v>152272</v>
      </c>
      <c r="R439" s="464"/>
      <c r="S439" s="461">
        <v>11316040</v>
      </c>
      <c r="T439" s="462">
        <v>74240</v>
      </c>
      <c r="U439" s="462">
        <v>11390280</v>
      </c>
      <c r="W439" s="464">
        <v>68254505</v>
      </c>
      <c r="X439" s="464">
        <v>15639588</v>
      </c>
    </row>
    <row r="440" spans="1:24">
      <c r="A440" s="458">
        <v>94511</v>
      </c>
      <c r="B440" s="459" t="s">
        <v>1146</v>
      </c>
      <c r="C440" s="463">
        <v>2.4429299999999998E-3</v>
      </c>
      <c r="D440" s="463">
        <v>2.3241999999999998E-3</v>
      </c>
      <c r="E440" s="464">
        <v>16179738</v>
      </c>
      <c r="F440" s="464"/>
      <c r="G440" s="461">
        <v>1802902</v>
      </c>
      <c r="H440" s="461">
        <v>4330406</v>
      </c>
      <c r="I440" s="461">
        <v>687546</v>
      </c>
      <c r="J440" s="464">
        <v>500653</v>
      </c>
      <c r="K440" s="464">
        <v>7321507</v>
      </c>
      <c r="L440" s="464"/>
      <c r="M440" s="461">
        <v>38813</v>
      </c>
      <c r="N440" s="461">
        <v>0</v>
      </c>
      <c r="O440" s="461">
        <v>0</v>
      </c>
      <c r="P440" s="464">
        <v>126973</v>
      </c>
      <c r="Q440" s="464">
        <v>165786</v>
      </c>
      <c r="R440" s="464"/>
      <c r="S440" s="461">
        <v>4647271</v>
      </c>
      <c r="T440" s="462">
        <v>77288</v>
      </c>
      <c r="U440" s="462">
        <v>4724559</v>
      </c>
      <c r="W440" s="464">
        <v>28030760</v>
      </c>
      <c r="X440" s="464">
        <v>6422866</v>
      </c>
    </row>
    <row r="441" spans="1:24">
      <c r="A441" s="458">
        <v>94517</v>
      </c>
      <c r="B441" s="459" t="s">
        <v>1148</v>
      </c>
      <c r="C441" s="463">
        <v>7.5339999999999994E-5</v>
      </c>
      <c r="D441" s="463">
        <v>8.3700000000000002E-5</v>
      </c>
      <c r="E441" s="464">
        <v>498983</v>
      </c>
      <c r="F441" s="464"/>
      <c r="G441" s="461">
        <v>55602</v>
      </c>
      <c r="H441" s="461">
        <v>133550</v>
      </c>
      <c r="I441" s="461">
        <v>21204</v>
      </c>
      <c r="J441" s="464">
        <v>33481</v>
      </c>
      <c r="K441" s="464">
        <v>243837</v>
      </c>
      <c r="L441" s="464"/>
      <c r="M441" s="461">
        <v>1197</v>
      </c>
      <c r="N441" s="461">
        <v>0</v>
      </c>
      <c r="O441" s="461">
        <v>0</v>
      </c>
      <c r="P441" s="464">
        <v>12412</v>
      </c>
      <c r="Q441" s="464">
        <v>13609</v>
      </c>
      <c r="R441" s="464"/>
      <c r="S441" s="461">
        <v>143322</v>
      </c>
      <c r="T441" s="462">
        <v>25997</v>
      </c>
      <c r="U441" s="462">
        <v>169319</v>
      </c>
      <c r="W441" s="464">
        <v>864469</v>
      </c>
      <c r="X441" s="464">
        <v>198081</v>
      </c>
    </row>
    <row r="442" spans="1:24">
      <c r="A442" s="458">
        <v>94521</v>
      </c>
      <c r="B442" s="459" t="s">
        <v>1149</v>
      </c>
      <c r="C442" s="463">
        <v>1.4757E-4</v>
      </c>
      <c r="D442" s="463">
        <v>1.2640000000000001E-4</v>
      </c>
      <c r="E442" s="464">
        <v>977369</v>
      </c>
      <c r="F442" s="464"/>
      <c r="G442" s="461">
        <v>108908</v>
      </c>
      <c r="H442" s="461">
        <v>261587</v>
      </c>
      <c r="I442" s="461">
        <v>41533</v>
      </c>
      <c r="J442" s="464">
        <v>35016</v>
      </c>
      <c r="K442" s="464">
        <v>447044</v>
      </c>
      <c r="L442" s="464"/>
      <c r="M442" s="461">
        <v>2345</v>
      </c>
      <c r="N442" s="461">
        <v>0</v>
      </c>
      <c r="O442" s="461">
        <v>0</v>
      </c>
      <c r="P442" s="464">
        <v>23864</v>
      </c>
      <c r="Q442" s="464">
        <v>26209</v>
      </c>
      <c r="R442" s="464"/>
      <c r="S442" s="461">
        <v>280728</v>
      </c>
      <c r="T442" s="462">
        <v>-12747</v>
      </c>
      <c r="U442" s="462">
        <v>267981</v>
      </c>
      <c r="W442" s="464">
        <v>1693253</v>
      </c>
      <c r="X442" s="464">
        <v>387986</v>
      </c>
    </row>
    <row r="443" spans="1:24">
      <c r="A443" s="458">
        <v>94527</v>
      </c>
      <c r="B443" s="459" t="s">
        <v>1150</v>
      </c>
      <c r="C443" s="463">
        <v>6.8000000000000001E-6</v>
      </c>
      <c r="D443" s="463">
        <v>7.5000000000000002E-6</v>
      </c>
      <c r="E443" s="464">
        <v>45037</v>
      </c>
      <c r="F443" s="464"/>
      <c r="G443" s="461">
        <v>5018</v>
      </c>
      <c r="H443" s="461">
        <v>12054</v>
      </c>
      <c r="I443" s="461">
        <v>1914</v>
      </c>
      <c r="J443" s="464">
        <v>283</v>
      </c>
      <c r="K443" s="464">
        <v>19269</v>
      </c>
      <c r="L443" s="464"/>
      <c r="M443" s="461">
        <v>108</v>
      </c>
      <c r="N443" s="461">
        <v>0</v>
      </c>
      <c r="O443" s="461">
        <v>0</v>
      </c>
      <c r="P443" s="464">
        <v>817</v>
      </c>
      <c r="Q443" s="464">
        <v>925</v>
      </c>
      <c r="R443" s="464"/>
      <c r="S443" s="461">
        <v>12936</v>
      </c>
      <c r="T443" s="462">
        <v>-21</v>
      </c>
      <c r="U443" s="462">
        <v>12915</v>
      </c>
      <c r="W443" s="464">
        <v>78025</v>
      </c>
      <c r="X443" s="464">
        <v>17878</v>
      </c>
    </row>
    <row r="444" spans="1:24">
      <c r="A444" s="458">
        <v>94531</v>
      </c>
      <c r="B444" s="459" t="s">
        <v>1151</v>
      </c>
      <c r="C444" s="463">
        <v>2.741E-5</v>
      </c>
      <c r="D444" s="463">
        <v>2.1999999999999999E-5</v>
      </c>
      <c r="E444" s="464">
        <v>181539</v>
      </c>
      <c r="F444" s="464"/>
      <c r="G444" s="461">
        <v>20229</v>
      </c>
      <c r="H444" s="461">
        <v>48588</v>
      </c>
      <c r="I444" s="461">
        <v>7714</v>
      </c>
      <c r="J444" s="464">
        <v>23844</v>
      </c>
      <c r="K444" s="464">
        <v>100375</v>
      </c>
      <c r="L444" s="464"/>
      <c r="M444" s="461">
        <v>435</v>
      </c>
      <c r="N444" s="461">
        <v>0</v>
      </c>
      <c r="O444" s="461">
        <v>0</v>
      </c>
      <c r="P444" s="464">
        <v>0</v>
      </c>
      <c r="Q444" s="464">
        <v>435</v>
      </c>
      <c r="R444" s="464"/>
      <c r="S444" s="461">
        <v>52143</v>
      </c>
      <c r="T444" s="462">
        <v>13346</v>
      </c>
      <c r="U444" s="462">
        <v>65489</v>
      </c>
      <c r="W444" s="464">
        <v>314509</v>
      </c>
      <c r="X444" s="464">
        <v>72065</v>
      </c>
    </row>
    <row r="445" spans="1:24">
      <c r="A445" s="458">
        <v>94532</v>
      </c>
      <c r="B445" s="459" t="s">
        <v>1152</v>
      </c>
      <c r="C445" s="463">
        <v>1.3948000000000001E-4</v>
      </c>
      <c r="D445" s="463">
        <v>1.133E-4</v>
      </c>
      <c r="E445" s="464">
        <v>923788</v>
      </c>
      <c r="F445" s="464"/>
      <c r="G445" s="461">
        <v>102937</v>
      </c>
      <c r="H445" s="461">
        <v>247246</v>
      </c>
      <c r="I445" s="461">
        <v>39256</v>
      </c>
      <c r="J445" s="464">
        <v>53914</v>
      </c>
      <c r="K445" s="464">
        <v>443353</v>
      </c>
      <c r="L445" s="464"/>
      <c r="M445" s="461">
        <v>2216</v>
      </c>
      <c r="N445" s="461">
        <v>0</v>
      </c>
      <c r="O445" s="461">
        <v>0</v>
      </c>
      <c r="P445" s="464">
        <v>13091</v>
      </c>
      <c r="Q445" s="464">
        <v>15307</v>
      </c>
      <c r="R445" s="464"/>
      <c r="S445" s="461">
        <v>265338</v>
      </c>
      <c r="T445" s="462">
        <v>19114</v>
      </c>
      <c r="U445" s="462">
        <v>284452</v>
      </c>
      <c r="W445" s="464">
        <v>1600427</v>
      </c>
      <c r="X445" s="464">
        <v>366716</v>
      </c>
    </row>
    <row r="446" spans="1:24" s="473" customFormat="1">
      <c r="A446" s="472">
        <v>94537</v>
      </c>
      <c r="B446" s="474" t="s">
        <v>3772</v>
      </c>
      <c r="C446" s="475">
        <v>8.8300000000000002E-6</v>
      </c>
      <c r="D446" s="475">
        <v>0</v>
      </c>
      <c r="E446" s="476">
        <v>58482</v>
      </c>
      <c r="F446" s="476"/>
      <c r="G446" s="477">
        <v>6517</v>
      </c>
      <c r="H446" s="477">
        <v>15652</v>
      </c>
      <c r="I446" s="477">
        <v>2485</v>
      </c>
      <c r="J446" s="476">
        <v>20800</v>
      </c>
      <c r="K446" s="476">
        <v>45454</v>
      </c>
      <c r="L446" s="476"/>
      <c r="M446" s="477">
        <v>140</v>
      </c>
      <c r="N446" s="477">
        <v>0</v>
      </c>
      <c r="O446" s="477">
        <v>0</v>
      </c>
      <c r="P446" s="476">
        <v>0</v>
      </c>
      <c r="Q446" s="476">
        <v>140</v>
      </c>
      <c r="R446" s="476"/>
      <c r="S446" s="477">
        <v>16798</v>
      </c>
      <c r="T446" s="478">
        <v>6933</v>
      </c>
      <c r="U446" s="478">
        <v>23731</v>
      </c>
      <c r="W446" s="476">
        <v>101318</v>
      </c>
      <c r="X446" s="476">
        <v>23216</v>
      </c>
    </row>
    <row r="447" spans="1:24">
      <c r="A447" s="458">
        <v>94541</v>
      </c>
      <c r="B447" s="459" t="s">
        <v>1153</v>
      </c>
      <c r="C447" s="463">
        <v>2.4649999999999997E-4</v>
      </c>
      <c r="D447" s="463">
        <v>2.7799999999999998E-4</v>
      </c>
      <c r="E447" s="464">
        <v>1632591</v>
      </c>
      <c r="F447" s="464"/>
      <c r="G447" s="461">
        <v>181919</v>
      </c>
      <c r="H447" s="461">
        <v>436953</v>
      </c>
      <c r="I447" s="461">
        <v>69376</v>
      </c>
      <c r="J447" s="464">
        <v>3524</v>
      </c>
      <c r="K447" s="464">
        <v>691772</v>
      </c>
      <c r="L447" s="464"/>
      <c r="M447" s="461">
        <v>3916</v>
      </c>
      <c r="N447" s="461">
        <v>0</v>
      </c>
      <c r="O447" s="461">
        <v>0</v>
      </c>
      <c r="P447" s="464">
        <v>72523</v>
      </c>
      <c r="Q447" s="464">
        <v>76439</v>
      </c>
      <c r="R447" s="464"/>
      <c r="S447" s="461">
        <v>468926</v>
      </c>
      <c r="T447" s="462">
        <v>-27268</v>
      </c>
      <c r="U447" s="462">
        <v>441658</v>
      </c>
      <c r="W447" s="464">
        <v>2828400</v>
      </c>
      <c r="X447" s="464">
        <v>648089</v>
      </c>
    </row>
    <row r="448" spans="1:24">
      <c r="A448" s="458">
        <v>94547</v>
      </c>
      <c r="B448" s="459" t="s">
        <v>1154</v>
      </c>
      <c r="C448" s="463">
        <v>6.5599999999999999E-6</v>
      </c>
      <c r="D448" s="463">
        <v>1.73E-5</v>
      </c>
      <c r="E448" s="464">
        <v>43447</v>
      </c>
      <c r="F448" s="464"/>
      <c r="G448" s="461">
        <v>4841</v>
      </c>
      <c r="H448" s="461">
        <v>11628</v>
      </c>
      <c r="I448" s="461">
        <v>1846</v>
      </c>
      <c r="J448" s="464">
        <v>7820</v>
      </c>
      <c r="K448" s="464">
        <v>26135</v>
      </c>
      <c r="L448" s="464"/>
      <c r="M448" s="461">
        <v>104</v>
      </c>
      <c r="N448" s="461">
        <v>0</v>
      </c>
      <c r="O448" s="461">
        <v>0</v>
      </c>
      <c r="P448" s="464">
        <v>15933</v>
      </c>
      <c r="Q448" s="464">
        <v>16037</v>
      </c>
      <c r="R448" s="464"/>
      <c r="S448" s="461">
        <v>12479</v>
      </c>
      <c r="T448" s="462">
        <v>4348</v>
      </c>
      <c r="U448" s="462">
        <v>16827</v>
      </c>
      <c r="W448" s="464">
        <v>75271</v>
      </c>
      <c r="X448" s="464">
        <v>17247</v>
      </c>
    </row>
    <row r="449" spans="1:24">
      <c r="A449" s="458">
        <v>94551</v>
      </c>
      <c r="B449" s="459" t="s">
        <v>1155</v>
      </c>
      <c r="C449" s="463">
        <v>7.1390000000000006E-5</v>
      </c>
      <c r="D449" s="463">
        <v>6.4700000000000001E-5</v>
      </c>
      <c r="E449" s="464">
        <v>472822</v>
      </c>
      <c r="F449" s="464"/>
      <c r="G449" s="461">
        <v>52686</v>
      </c>
      <c r="H449" s="461">
        <v>126548</v>
      </c>
      <c r="I449" s="461">
        <v>20092</v>
      </c>
      <c r="J449" s="464">
        <v>31781</v>
      </c>
      <c r="K449" s="464">
        <v>231107</v>
      </c>
      <c r="L449" s="464"/>
      <c r="M449" s="461">
        <v>1134</v>
      </c>
      <c r="N449" s="461">
        <v>0</v>
      </c>
      <c r="O449" s="461">
        <v>0</v>
      </c>
      <c r="P449" s="464">
        <v>2934</v>
      </c>
      <c r="Q449" s="464">
        <v>4068</v>
      </c>
      <c r="R449" s="464"/>
      <c r="S449" s="461">
        <v>135808</v>
      </c>
      <c r="T449" s="462">
        <v>13435</v>
      </c>
      <c r="U449" s="462">
        <v>149243</v>
      </c>
      <c r="W449" s="464">
        <v>819146</v>
      </c>
      <c r="X449" s="464">
        <v>187696</v>
      </c>
    </row>
    <row r="450" spans="1:24">
      <c r="A450" s="458">
        <v>94601</v>
      </c>
      <c r="B450" s="459" t="s">
        <v>1156</v>
      </c>
      <c r="C450" s="463">
        <v>8.5046999999999998E-4</v>
      </c>
      <c r="D450" s="463">
        <v>9.1759999999999997E-4</v>
      </c>
      <c r="E450" s="464">
        <v>5632737</v>
      </c>
      <c r="F450" s="464"/>
      <c r="G450" s="461">
        <v>627654</v>
      </c>
      <c r="H450" s="461">
        <v>1507567</v>
      </c>
      <c r="I450" s="461">
        <v>239359</v>
      </c>
      <c r="J450" s="464">
        <v>43155</v>
      </c>
      <c r="K450" s="464">
        <v>2417735</v>
      </c>
      <c r="L450" s="464"/>
      <c r="M450" s="461">
        <v>13512</v>
      </c>
      <c r="N450" s="461">
        <v>0</v>
      </c>
      <c r="O450" s="461">
        <v>0</v>
      </c>
      <c r="P450" s="464">
        <v>190387</v>
      </c>
      <c r="Q450" s="464">
        <v>203899</v>
      </c>
      <c r="R450" s="464"/>
      <c r="S450" s="461">
        <v>1617879</v>
      </c>
      <c r="T450" s="462">
        <v>-51664</v>
      </c>
      <c r="U450" s="462">
        <v>1566215</v>
      </c>
      <c r="W450" s="464">
        <v>9758495</v>
      </c>
      <c r="X450" s="464">
        <v>2236026</v>
      </c>
    </row>
    <row r="451" spans="1:24">
      <c r="A451" s="458">
        <v>94604</v>
      </c>
      <c r="B451" s="459" t="s">
        <v>1157</v>
      </c>
      <c r="C451" s="463">
        <v>2.1469999999999999E-5</v>
      </c>
      <c r="D451" s="463">
        <v>2.4000000000000001E-5</v>
      </c>
      <c r="E451" s="464">
        <v>142198</v>
      </c>
      <c r="F451" s="464"/>
      <c r="G451" s="461">
        <v>15845</v>
      </c>
      <c r="H451" s="461">
        <v>38058</v>
      </c>
      <c r="I451" s="461">
        <v>6043</v>
      </c>
      <c r="J451" s="464">
        <v>6142</v>
      </c>
      <c r="K451" s="464">
        <v>66088</v>
      </c>
      <c r="L451" s="464"/>
      <c r="M451" s="461">
        <v>341</v>
      </c>
      <c r="N451" s="461">
        <v>0</v>
      </c>
      <c r="O451" s="461">
        <v>0</v>
      </c>
      <c r="P451" s="464">
        <v>5300</v>
      </c>
      <c r="Q451" s="464">
        <v>5641</v>
      </c>
      <c r="R451" s="464"/>
      <c r="S451" s="461">
        <v>40843</v>
      </c>
      <c r="T451" s="462">
        <v>1993</v>
      </c>
      <c r="U451" s="462">
        <v>42836</v>
      </c>
      <c r="W451" s="464">
        <v>246352</v>
      </c>
      <c r="X451" s="464">
        <v>56448</v>
      </c>
    </row>
    <row r="452" spans="1:24">
      <c r="A452" s="458">
        <v>94606</v>
      </c>
      <c r="B452" s="459" t="s">
        <v>1158</v>
      </c>
      <c r="C452" s="463">
        <v>0</v>
      </c>
      <c r="D452" s="463">
        <v>0</v>
      </c>
      <c r="E452" s="464">
        <v>0</v>
      </c>
      <c r="F452" s="464"/>
      <c r="G452" s="461">
        <v>0</v>
      </c>
      <c r="H452" s="461">
        <v>0</v>
      </c>
      <c r="I452" s="461">
        <v>0</v>
      </c>
      <c r="J452" s="464">
        <v>0</v>
      </c>
      <c r="K452" s="464">
        <v>0</v>
      </c>
      <c r="L452" s="464"/>
      <c r="M452" s="461">
        <v>0</v>
      </c>
      <c r="N452" s="461">
        <v>0</v>
      </c>
      <c r="O452" s="461">
        <v>0</v>
      </c>
      <c r="P452" s="464">
        <v>0</v>
      </c>
      <c r="Q452" s="464">
        <v>0</v>
      </c>
      <c r="R452" s="464"/>
      <c r="S452" s="461">
        <v>0</v>
      </c>
      <c r="T452" s="462">
        <v>-40452</v>
      </c>
      <c r="U452" s="462">
        <v>-40452</v>
      </c>
      <c r="W452" s="464">
        <v>0</v>
      </c>
      <c r="X452" s="464">
        <v>0</v>
      </c>
    </row>
    <row r="453" spans="1:24">
      <c r="A453" s="458">
        <v>94611</v>
      </c>
      <c r="B453" s="459" t="s">
        <v>1159</v>
      </c>
      <c r="C453" s="463">
        <v>3.1645000000000002E-4</v>
      </c>
      <c r="D453" s="463">
        <v>3.1839999999999999E-4</v>
      </c>
      <c r="E453" s="464">
        <v>2095876</v>
      </c>
      <c r="F453" s="464"/>
      <c r="G453" s="461">
        <v>233543</v>
      </c>
      <c r="H453" s="461">
        <v>560948</v>
      </c>
      <c r="I453" s="461">
        <v>89063</v>
      </c>
      <c r="J453" s="464">
        <v>36523</v>
      </c>
      <c r="K453" s="464">
        <v>920077</v>
      </c>
      <c r="L453" s="464"/>
      <c r="M453" s="461">
        <v>5028</v>
      </c>
      <c r="N453" s="461">
        <v>0</v>
      </c>
      <c r="O453" s="461">
        <v>0</v>
      </c>
      <c r="P453" s="464">
        <v>5366</v>
      </c>
      <c r="Q453" s="464">
        <v>10394</v>
      </c>
      <c r="R453" s="464"/>
      <c r="S453" s="461">
        <v>601994</v>
      </c>
      <c r="T453" s="462">
        <v>2279</v>
      </c>
      <c r="U453" s="462">
        <v>604273</v>
      </c>
      <c r="W453" s="464">
        <v>3631023</v>
      </c>
      <c r="X453" s="464">
        <v>831999</v>
      </c>
    </row>
    <row r="454" spans="1:24">
      <c r="A454" s="458">
        <v>94621</v>
      </c>
      <c r="B454" s="459" t="s">
        <v>1160</v>
      </c>
      <c r="C454" s="463">
        <v>6.1840000000000004E-5</v>
      </c>
      <c r="D454" s="463">
        <v>1.05E-4</v>
      </c>
      <c r="E454" s="464">
        <v>409572</v>
      </c>
      <c r="F454" s="464"/>
      <c r="G454" s="461">
        <v>45638</v>
      </c>
      <c r="H454" s="461">
        <v>109619</v>
      </c>
      <c r="I454" s="461">
        <v>17404</v>
      </c>
      <c r="J454" s="464">
        <v>2835</v>
      </c>
      <c r="K454" s="464">
        <v>175496</v>
      </c>
      <c r="L454" s="464"/>
      <c r="M454" s="461">
        <v>983</v>
      </c>
      <c r="N454" s="461">
        <v>0</v>
      </c>
      <c r="O454" s="461">
        <v>0</v>
      </c>
      <c r="P454" s="464">
        <v>87513</v>
      </c>
      <c r="Q454" s="464">
        <v>88496</v>
      </c>
      <c r="R454" s="464"/>
      <c r="S454" s="461">
        <v>117640</v>
      </c>
      <c r="T454" s="462">
        <v>-30699</v>
      </c>
      <c r="U454" s="462">
        <v>86941</v>
      </c>
      <c r="W454" s="464">
        <v>709567</v>
      </c>
      <c r="X454" s="464">
        <v>162588</v>
      </c>
    </row>
    <row r="455" spans="1:24">
      <c r="A455" s="458">
        <v>94631</v>
      </c>
      <c r="B455" s="459" t="s">
        <v>1161</v>
      </c>
      <c r="C455" s="463">
        <v>3.8160000000000001E-5</v>
      </c>
      <c r="D455" s="463">
        <v>3.2400000000000001E-5</v>
      </c>
      <c r="E455" s="464">
        <v>252737</v>
      </c>
      <c r="F455" s="464"/>
      <c r="G455" s="461">
        <v>28162</v>
      </c>
      <c r="H455" s="461">
        <v>67643</v>
      </c>
      <c r="I455" s="461">
        <v>10740</v>
      </c>
      <c r="J455" s="464">
        <v>12878</v>
      </c>
      <c r="K455" s="464">
        <v>119423</v>
      </c>
      <c r="L455" s="464"/>
      <c r="M455" s="461">
        <v>606</v>
      </c>
      <c r="N455" s="461">
        <v>0</v>
      </c>
      <c r="O455" s="461">
        <v>0</v>
      </c>
      <c r="P455" s="464">
        <v>10199</v>
      </c>
      <c r="Q455" s="464">
        <v>10805</v>
      </c>
      <c r="R455" s="464"/>
      <c r="S455" s="461">
        <v>72593</v>
      </c>
      <c r="T455" s="462">
        <v>-1625</v>
      </c>
      <c r="U455" s="462">
        <v>70968</v>
      </c>
      <c r="W455" s="464">
        <v>437857</v>
      </c>
      <c r="X455" s="464">
        <v>100329</v>
      </c>
    </row>
    <row r="456" spans="1:24">
      <c r="A456" s="458">
        <v>94641</v>
      </c>
      <c r="B456" s="459" t="s">
        <v>1162</v>
      </c>
      <c r="C456" s="463">
        <v>1.4090000000000001E-5</v>
      </c>
      <c r="D456" s="463">
        <v>2.2799999999999999E-5</v>
      </c>
      <c r="E456" s="464">
        <v>93319</v>
      </c>
      <c r="F456" s="464"/>
      <c r="G456" s="461">
        <v>10399</v>
      </c>
      <c r="H456" s="461">
        <v>24976</v>
      </c>
      <c r="I456" s="461">
        <v>3966</v>
      </c>
      <c r="J456" s="464">
        <v>11255</v>
      </c>
      <c r="K456" s="464">
        <v>50596</v>
      </c>
      <c r="L456" s="464"/>
      <c r="M456" s="461">
        <v>224</v>
      </c>
      <c r="N456" s="461">
        <v>0</v>
      </c>
      <c r="O456" s="461">
        <v>0</v>
      </c>
      <c r="P456" s="464">
        <v>22033</v>
      </c>
      <c r="Q456" s="464">
        <v>22257</v>
      </c>
      <c r="R456" s="464"/>
      <c r="S456" s="461">
        <v>26804</v>
      </c>
      <c r="T456" s="462">
        <v>2271</v>
      </c>
      <c r="U456" s="462">
        <v>29075</v>
      </c>
      <c r="W456" s="464">
        <v>161672</v>
      </c>
      <c r="X456" s="464">
        <v>37045</v>
      </c>
    </row>
    <row r="457" spans="1:24">
      <c r="A457" s="458">
        <v>94701</v>
      </c>
      <c r="B457" s="459" t="s">
        <v>1163</v>
      </c>
      <c r="C457" s="463">
        <v>2.43735E-3</v>
      </c>
      <c r="D457" s="463">
        <v>2.3885E-3</v>
      </c>
      <c r="E457" s="464">
        <v>16142781</v>
      </c>
      <c r="F457" s="464"/>
      <c r="G457" s="461">
        <v>1798784</v>
      </c>
      <c r="H457" s="461">
        <v>4320515</v>
      </c>
      <c r="I457" s="461">
        <v>685975</v>
      </c>
      <c r="J457" s="464">
        <v>77437</v>
      </c>
      <c r="K457" s="464">
        <v>6882711</v>
      </c>
      <c r="L457" s="464"/>
      <c r="M457" s="461">
        <v>38725</v>
      </c>
      <c r="N457" s="461">
        <v>0</v>
      </c>
      <c r="O457" s="461">
        <v>0</v>
      </c>
      <c r="P457" s="464">
        <v>50571</v>
      </c>
      <c r="Q457" s="464">
        <v>89296</v>
      </c>
      <c r="R457" s="464"/>
      <c r="S457" s="461">
        <v>4636656</v>
      </c>
      <c r="T457" s="462">
        <v>30983</v>
      </c>
      <c r="U457" s="462">
        <v>4667639</v>
      </c>
      <c r="W457" s="464">
        <v>27966734</v>
      </c>
      <c r="X457" s="464">
        <v>6408195</v>
      </c>
    </row>
    <row r="458" spans="1:24">
      <c r="A458" s="458">
        <v>94704</v>
      </c>
      <c r="B458" s="459" t="s">
        <v>1164</v>
      </c>
      <c r="C458" s="463">
        <v>1.5299999999999999E-5</v>
      </c>
      <c r="D458" s="463">
        <v>2.0699999999999998E-5</v>
      </c>
      <c r="E458" s="464">
        <v>101333</v>
      </c>
      <c r="F458" s="464"/>
      <c r="G458" s="461">
        <v>11292</v>
      </c>
      <c r="H458" s="461">
        <v>27121</v>
      </c>
      <c r="I458" s="461">
        <v>4306</v>
      </c>
      <c r="J458" s="464">
        <v>6815</v>
      </c>
      <c r="K458" s="464">
        <v>49534</v>
      </c>
      <c r="L458" s="464"/>
      <c r="M458" s="461">
        <v>243</v>
      </c>
      <c r="N458" s="461">
        <v>0</v>
      </c>
      <c r="O458" s="461">
        <v>0</v>
      </c>
      <c r="P458" s="464">
        <v>8170</v>
      </c>
      <c r="Q458" s="464">
        <v>8413</v>
      </c>
      <c r="R458" s="464"/>
      <c r="S458" s="461">
        <v>29106</v>
      </c>
      <c r="T458" s="462">
        <v>2130</v>
      </c>
      <c r="U458" s="462">
        <v>31236</v>
      </c>
      <c r="W458" s="464">
        <v>175556</v>
      </c>
      <c r="X458" s="464">
        <v>40226</v>
      </c>
    </row>
    <row r="459" spans="1:24">
      <c r="A459" s="458">
        <v>94711</v>
      </c>
      <c r="B459" s="459" t="s">
        <v>1165</v>
      </c>
      <c r="C459" s="463">
        <v>3.5262999999999999E-4</v>
      </c>
      <c r="D459" s="463">
        <v>3.4610000000000001E-4</v>
      </c>
      <c r="E459" s="464">
        <v>2335499</v>
      </c>
      <c r="F459" s="464"/>
      <c r="G459" s="461">
        <v>260244</v>
      </c>
      <c r="H459" s="461">
        <v>625082</v>
      </c>
      <c r="I459" s="461">
        <v>99245</v>
      </c>
      <c r="J459" s="464">
        <v>56102</v>
      </c>
      <c r="K459" s="464">
        <v>1040673</v>
      </c>
      <c r="L459" s="464"/>
      <c r="M459" s="461">
        <v>5603</v>
      </c>
      <c r="N459" s="461">
        <v>0</v>
      </c>
      <c r="O459" s="461">
        <v>0</v>
      </c>
      <c r="P459" s="464">
        <v>1430</v>
      </c>
      <c r="Q459" s="464">
        <v>7033</v>
      </c>
      <c r="R459" s="464"/>
      <c r="S459" s="461">
        <v>670820</v>
      </c>
      <c r="T459" s="462">
        <v>28583</v>
      </c>
      <c r="U459" s="462">
        <v>699403</v>
      </c>
      <c r="W459" s="464">
        <v>4046161</v>
      </c>
      <c r="X459" s="464">
        <v>927122</v>
      </c>
    </row>
    <row r="460" spans="1:24">
      <c r="A460" s="458">
        <v>94801</v>
      </c>
      <c r="B460" s="459" t="s">
        <v>1166</v>
      </c>
      <c r="C460" s="463">
        <v>6.3451999999999996E-4</v>
      </c>
      <c r="D460" s="463">
        <v>6.5819999999999995E-4</v>
      </c>
      <c r="E460" s="464">
        <v>4202481</v>
      </c>
      <c r="F460" s="464"/>
      <c r="G460" s="461">
        <v>468281</v>
      </c>
      <c r="H460" s="461">
        <v>1124768</v>
      </c>
      <c r="I460" s="461">
        <v>178581</v>
      </c>
      <c r="J460" s="464">
        <v>54275</v>
      </c>
      <c r="K460" s="464">
        <v>1825905</v>
      </c>
      <c r="L460" s="464"/>
      <c r="M460" s="461">
        <v>10081</v>
      </c>
      <c r="N460" s="461">
        <v>0</v>
      </c>
      <c r="O460" s="461">
        <v>0</v>
      </c>
      <c r="P460" s="464">
        <v>59144</v>
      </c>
      <c r="Q460" s="464">
        <v>69225</v>
      </c>
      <c r="R460" s="464"/>
      <c r="S460" s="461">
        <v>1207070</v>
      </c>
      <c r="T460" s="462">
        <v>-3467</v>
      </c>
      <c r="U460" s="462">
        <v>1203603</v>
      </c>
      <c r="W460" s="464">
        <v>7280633</v>
      </c>
      <c r="X460" s="464">
        <v>1668258</v>
      </c>
    </row>
    <row r="461" spans="1:24">
      <c r="A461" s="458">
        <v>94804</v>
      </c>
      <c r="B461" s="459" t="s">
        <v>1167</v>
      </c>
      <c r="C461" s="463">
        <v>2.2900000000000001E-6</v>
      </c>
      <c r="D461" s="463">
        <v>6.2999999999999998E-6</v>
      </c>
      <c r="E461" s="464">
        <v>15167</v>
      </c>
      <c r="F461" s="464"/>
      <c r="G461" s="461">
        <v>1690</v>
      </c>
      <c r="H461" s="461">
        <v>4059</v>
      </c>
      <c r="I461" s="461">
        <v>645</v>
      </c>
      <c r="J461" s="464">
        <v>5800</v>
      </c>
      <c r="K461" s="464">
        <v>12194</v>
      </c>
      <c r="L461" s="464"/>
      <c r="M461" s="461">
        <v>36</v>
      </c>
      <c r="N461" s="461">
        <v>0</v>
      </c>
      <c r="O461" s="461">
        <v>0</v>
      </c>
      <c r="P461" s="464">
        <v>5265</v>
      </c>
      <c r="Q461" s="464">
        <v>5301</v>
      </c>
      <c r="R461" s="464"/>
      <c r="S461" s="461">
        <v>4356</v>
      </c>
      <c r="T461" s="462">
        <v>2268</v>
      </c>
      <c r="U461" s="462">
        <v>6624</v>
      </c>
      <c r="W461" s="464">
        <v>26276</v>
      </c>
      <c r="X461" s="464">
        <v>6021</v>
      </c>
    </row>
    <row r="462" spans="1:24">
      <c r="A462" s="458">
        <v>94812</v>
      </c>
      <c r="B462" s="459" t="s">
        <v>1168</v>
      </c>
      <c r="C462" s="463">
        <v>2.143E-5</v>
      </c>
      <c r="D462" s="463">
        <v>2.37E-5</v>
      </c>
      <c r="E462" s="464">
        <v>141933</v>
      </c>
      <c r="F462" s="464"/>
      <c r="G462" s="461">
        <v>15816</v>
      </c>
      <c r="H462" s="461">
        <v>37987</v>
      </c>
      <c r="I462" s="461">
        <v>6031</v>
      </c>
      <c r="J462" s="464">
        <v>5441</v>
      </c>
      <c r="K462" s="464">
        <v>65275</v>
      </c>
      <c r="L462" s="464"/>
      <c r="M462" s="461">
        <v>340</v>
      </c>
      <c r="N462" s="461">
        <v>0</v>
      </c>
      <c r="O462" s="461">
        <v>0</v>
      </c>
      <c r="P462" s="464">
        <v>2322</v>
      </c>
      <c r="Q462" s="464">
        <v>2662</v>
      </c>
      <c r="R462" s="464"/>
      <c r="S462" s="461">
        <v>40767</v>
      </c>
      <c r="T462" s="462">
        <v>3269</v>
      </c>
      <c r="U462" s="462">
        <v>44036</v>
      </c>
      <c r="W462" s="464">
        <v>245893</v>
      </c>
      <c r="X462" s="464">
        <v>56343</v>
      </c>
    </row>
    <row r="463" spans="1:24">
      <c r="A463" s="458">
        <v>94901</v>
      </c>
      <c r="B463" s="459" t="s">
        <v>1169</v>
      </c>
      <c r="C463" s="463">
        <v>7.1930500000000003E-3</v>
      </c>
      <c r="D463" s="463">
        <v>7.7378000000000004E-3</v>
      </c>
      <c r="E463" s="464">
        <v>47640196</v>
      </c>
      <c r="F463" s="464"/>
      <c r="G463" s="461">
        <v>5308528</v>
      </c>
      <c r="H463" s="461">
        <v>12750602</v>
      </c>
      <c r="I463" s="461">
        <v>2024434</v>
      </c>
      <c r="J463" s="464">
        <v>617873</v>
      </c>
      <c r="K463" s="464">
        <v>20701437</v>
      </c>
      <c r="L463" s="464"/>
      <c r="M463" s="461">
        <v>114283</v>
      </c>
      <c r="N463" s="461">
        <v>0</v>
      </c>
      <c r="O463" s="461">
        <v>0</v>
      </c>
      <c r="P463" s="464">
        <v>1315267</v>
      </c>
      <c r="Q463" s="464">
        <v>1429550</v>
      </c>
      <c r="R463" s="464"/>
      <c r="S463" s="461">
        <v>13683591</v>
      </c>
      <c r="T463" s="462">
        <v>-114629</v>
      </c>
      <c r="U463" s="462">
        <v>13568962</v>
      </c>
      <c r="W463" s="464">
        <v>82534768</v>
      </c>
      <c r="X463" s="464">
        <v>18911715</v>
      </c>
    </row>
    <row r="464" spans="1:24">
      <c r="A464" s="458">
        <v>94908</v>
      </c>
      <c r="B464" s="459" t="s">
        <v>3610</v>
      </c>
      <c r="C464" s="463">
        <v>6.037E-5</v>
      </c>
      <c r="D464" s="463">
        <v>6.1500000000000004E-5</v>
      </c>
      <c r="E464" s="464">
        <v>399836</v>
      </c>
      <c r="F464" s="464"/>
      <c r="G464" s="461">
        <v>44554</v>
      </c>
      <c r="H464" s="461">
        <v>107014</v>
      </c>
      <c r="I464" s="461">
        <v>16991</v>
      </c>
      <c r="J464" s="464">
        <v>568</v>
      </c>
      <c r="K464" s="464">
        <v>169127</v>
      </c>
      <c r="L464" s="464"/>
      <c r="M464" s="461">
        <v>959</v>
      </c>
      <c r="N464" s="461">
        <v>0</v>
      </c>
      <c r="O464" s="461">
        <v>0</v>
      </c>
      <c r="P464" s="464">
        <v>10151</v>
      </c>
      <c r="Q464" s="464">
        <v>11110</v>
      </c>
      <c r="R464" s="464"/>
      <c r="S464" s="461">
        <v>114844</v>
      </c>
      <c r="T464" s="462">
        <v>22072</v>
      </c>
      <c r="U464" s="462">
        <v>136916</v>
      </c>
      <c r="W464" s="464">
        <v>692700</v>
      </c>
      <c r="X464" s="464">
        <v>158723</v>
      </c>
    </row>
    <row r="465" spans="1:24">
      <c r="A465" s="458">
        <v>94911</v>
      </c>
      <c r="B465" s="459" t="s">
        <v>1171</v>
      </c>
      <c r="C465" s="463">
        <v>2.9515600000000002E-3</v>
      </c>
      <c r="D465" s="463">
        <v>3.0986999999999998E-3</v>
      </c>
      <c r="E465" s="464">
        <v>19548439</v>
      </c>
      <c r="F465" s="464"/>
      <c r="G465" s="461">
        <v>2178275</v>
      </c>
      <c r="H465" s="461">
        <v>5232018</v>
      </c>
      <c r="I465" s="461">
        <v>830696</v>
      </c>
      <c r="J465" s="464">
        <v>171068</v>
      </c>
      <c r="K465" s="464">
        <v>8412057</v>
      </c>
      <c r="L465" s="464"/>
      <c r="M465" s="461">
        <v>46894</v>
      </c>
      <c r="N465" s="461">
        <v>0</v>
      </c>
      <c r="O465" s="461">
        <v>0</v>
      </c>
      <c r="P465" s="464">
        <v>326639</v>
      </c>
      <c r="Q465" s="464">
        <v>373533</v>
      </c>
      <c r="R465" s="464"/>
      <c r="S465" s="461">
        <v>5614856</v>
      </c>
      <c r="T465" s="462">
        <v>-14693</v>
      </c>
      <c r="U465" s="462">
        <v>5600163</v>
      </c>
      <c r="W465" s="464">
        <v>33866902</v>
      </c>
      <c r="X465" s="464">
        <v>7760138</v>
      </c>
    </row>
    <row r="466" spans="1:24">
      <c r="A466" s="458">
        <v>94917</v>
      </c>
      <c r="B466" s="459" t="s">
        <v>1172</v>
      </c>
      <c r="C466" s="463">
        <v>3.2020000000000002E-5</v>
      </c>
      <c r="D466" s="463">
        <v>3.5800000000000003E-5</v>
      </c>
      <c r="E466" s="464">
        <v>212071</v>
      </c>
      <c r="F466" s="464"/>
      <c r="G466" s="461">
        <v>23631</v>
      </c>
      <c r="H466" s="461">
        <v>56760</v>
      </c>
      <c r="I466" s="461">
        <v>9012</v>
      </c>
      <c r="J466" s="464">
        <v>21182</v>
      </c>
      <c r="K466" s="464">
        <v>110585</v>
      </c>
      <c r="L466" s="464"/>
      <c r="M466" s="461">
        <v>509</v>
      </c>
      <c r="N466" s="461">
        <v>0</v>
      </c>
      <c r="O466" s="461">
        <v>0</v>
      </c>
      <c r="P466" s="464">
        <v>1250</v>
      </c>
      <c r="Q466" s="464">
        <v>1759</v>
      </c>
      <c r="R466" s="464"/>
      <c r="S466" s="461">
        <v>60913</v>
      </c>
      <c r="T466" s="462">
        <v>19252</v>
      </c>
      <c r="U466" s="462">
        <v>80165</v>
      </c>
      <c r="W466" s="464">
        <v>367405</v>
      </c>
      <c r="X466" s="464">
        <v>84186</v>
      </c>
    </row>
    <row r="467" spans="1:24">
      <c r="A467" s="458">
        <v>94921</v>
      </c>
      <c r="B467" s="459" t="s">
        <v>1173</v>
      </c>
      <c r="C467" s="463">
        <v>3.9291899999999999E-3</v>
      </c>
      <c r="D467" s="463">
        <v>4.1305999999999999E-3</v>
      </c>
      <c r="E467" s="464">
        <v>26023367</v>
      </c>
      <c r="F467" s="464"/>
      <c r="G467" s="461">
        <v>2899774</v>
      </c>
      <c r="H467" s="461">
        <v>6964992</v>
      </c>
      <c r="I467" s="461">
        <v>1105843</v>
      </c>
      <c r="J467" s="464">
        <v>189560</v>
      </c>
      <c r="K467" s="464">
        <v>11160169</v>
      </c>
      <c r="L467" s="464"/>
      <c r="M467" s="461">
        <v>62427</v>
      </c>
      <c r="N467" s="461">
        <v>0</v>
      </c>
      <c r="O467" s="461">
        <v>0</v>
      </c>
      <c r="P467" s="464">
        <v>681628</v>
      </c>
      <c r="Q467" s="464">
        <v>744055</v>
      </c>
      <c r="R467" s="464"/>
      <c r="S467" s="461">
        <v>7474636</v>
      </c>
      <c r="T467" s="462">
        <v>-185588</v>
      </c>
      <c r="U467" s="462">
        <v>7289048</v>
      </c>
      <c r="W467" s="464">
        <v>45084461</v>
      </c>
      <c r="X467" s="464">
        <v>10330489</v>
      </c>
    </row>
    <row r="468" spans="1:24">
      <c r="A468" s="458">
        <v>94923</v>
      </c>
      <c r="B468" s="459" t="s">
        <v>1174</v>
      </c>
      <c r="C468" s="463">
        <v>3.1029999999999999E-5</v>
      </c>
      <c r="D468" s="463">
        <v>3.1600000000000002E-5</v>
      </c>
      <c r="E468" s="464">
        <v>205514</v>
      </c>
      <c r="F468" s="464"/>
      <c r="G468" s="461">
        <v>22900</v>
      </c>
      <c r="H468" s="461">
        <v>55005</v>
      </c>
      <c r="I468" s="461">
        <v>8733</v>
      </c>
      <c r="J468" s="464">
        <v>10571</v>
      </c>
      <c r="K468" s="464">
        <v>97209</v>
      </c>
      <c r="L468" s="464"/>
      <c r="M468" s="461">
        <v>493</v>
      </c>
      <c r="N468" s="461">
        <v>0</v>
      </c>
      <c r="O468" s="461">
        <v>0</v>
      </c>
      <c r="P468" s="464">
        <v>4715</v>
      </c>
      <c r="Q468" s="464">
        <v>5208</v>
      </c>
      <c r="R468" s="464"/>
      <c r="S468" s="461">
        <v>59029</v>
      </c>
      <c r="T468" s="462">
        <v>4728</v>
      </c>
      <c r="U468" s="462">
        <v>63757</v>
      </c>
      <c r="W468" s="464">
        <v>356046</v>
      </c>
      <c r="X468" s="464">
        <v>81583</v>
      </c>
    </row>
    <row r="469" spans="1:24">
      <c r="A469" s="458">
        <v>94927</v>
      </c>
      <c r="B469" s="459" t="s">
        <v>1175</v>
      </c>
      <c r="C469" s="463">
        <v>2.781E-5</v>
      </c>
      <c r="D469" s="463">
        <v>3.9400000000000002E-5</v>
      </c>
      <c r="E469" s="464">
        <v>184188</v>
      </c>
      <c r="F469" s="464"/>
      <c r="G469" s="461">
        <v>20524</v>
      </c>
      <c r="H469" s="461">
        <v>49297</v>
      </c>
      <c r="I469" s="461">
        <v>7827</v>
      </c>
      <c r="J469" s="464">
        <v>28891</v>
      </c>
      <c r="K469" s="464">
        <v>106539</v>
      </c>
      <c r="L469" s="464"/>
      <c r="M469" s="461">
        <v>442</v>
      </c>
      <c r="N469" s="461">
        <v>0</v>
      </c>
      <c r="O469" s="461">
        <v>0</v>
      </c>
      <c r="P469" s="464">
        <v>14690</v>
      </c>
      <c r="Q469" s="464">
        <v>15132</v>
      </c>
      <c r="R469" s="464"/>
      <c r="S469" s="461">
        <v>52904</v>
      </c>
      <c r="T469" s="462">
        <v>15678</v>
      </c>
      <c r="U469" s="462">
        <v>68582</v>
      </c>
      <c r="W469" s="464">
        <v>319099</v>
      </c>
      <c r="X469" s="464">
        <v>73117</v>
      </c>
    </row>
    <row r="470" spans="1:24">
      <c r="A470" s="458">
        <v>94931</v>
      </c>
      <c r="B470" s="459" t="s">
        <v>1176</v>
      </c>
      <c r="C470" s="463">
        <v>3.0470999999999997E-4</v>
      </c>
      <c r="D470" s="463">
        <v>2.6200000000000003E-4</v>
      </c>
      <c r="E470" s="464">
        <v>2018121</v>
      </c>
      <c r="F470" s="464"/>
      <c r="G470" s="461">
        <v>224878</v>
      </c>
      <c r="H470" s="461">
        <v>540137</v>
      </c>
      <c r="I470" s="461">
        <v>85758</v>
      </c>
      <c r="J470" s="464">
        <v>143578</v>
      </c>
      <c r="K470" s="464">
        <v>994351</v>
      </c>
      <c r="L470" s="464"/>
      <c r="M470" s="461">
        <v>4841</v>
      </c>
      <c r="N470" s="461">
        <v>0</v>
      </c>
      <c r="O470" s="461">
        <v>0</v>
      </c>
      <c r="P470" s="464">
        <v>2648</v>
      </c>
      <c r="Q470" s="464">
        <v>7489</v>
      </c>
      <c r="R470" s="464"/>
      <c r="S470" s="461">
        <v>579660</v>
      </c>
      <c r="T470" s="462">
        <v>58867</v>
      </c>
      <c r="U470" s="462">
        <v>638527</v>
      </c>
      <c r="W470" s="464">
        <v>3496315</v>
      </c>
      <c r="X470" s="464">
        <v>801133</v>
      </c>
    </row>
    <row r="471" spans="1:24">
      <c r="A471" s="458">
        <v>94937</v>
      </c>
      <c r="B471" s="459" t="s">
        <v>1927</v>
      </c>
      <c r="C471" s="463">
        <v>8.0700000000000007E-6</v>
      </c>
      <c r="D471" s="463">
        <v>8.3999999999999992E-6</v>
      </c>
      <c r="E471" s="464">
        <v>53448</v>
      </c>
      <c r="F471" s="464"/>
      <c r="G471" s="461">
        <v>5956</v>
      </c>
      <c r="H471" s="461">
        <v>14305</v>
      </c>
      <c r="I471" s="461">
        <v>2271</v>
      </c>
      <c r="J471" s="464">
        <v>487</v>
      </c>
      <c r="K471" s="464">
        <v>23019</v>
      </c>
      <c r="L471" s="464"/>
      <c r="M471" s="461">
        <v>128</v>
      </c>
      <c r="N471" s="461">
        <v>0</v>
      </c>
      <c r="O471" s="461">
        <v>0</v>
      </c>
      <c r="P471" s="464">
        <v>2938</v>
      </c>
      <c r="Q471" s="464">
        <v>3066</v>
      </c>
      <c r="R471" s="464"/>
      <c r="S471" s="461">
        <v>15352</v>
      </c>
      <c r="T471" s="462">
        <v>1101</v>
      </c>
      <c r="U471" s="462">
        <v>16453</v>
      </c>
      <c r="W471" s="464">
        <v>92597</v>
      </c>
      <c r="X471" s="464">
        <v>21217</v>
      </c>
    </row>
    <row r="472" spans="1:24">
      <c r="A472" s="458">
        <v>94941</v>
      </c>
      <c r="B472" s="459" t="s">
        <v>1177</v>
      </c>
      <c r="C472" s="463">
        <v>0</v>
      </c>
      <c r="D472" s="463">
        <v>6.2999999999999998E-6</v>
      </c>
      <c r="E472" s="464">
        <v>0</v>
      </c>
      <c r="F472" s="464"/>
      <c r="G472" s="461">
        <v>0</v>
      </c>
      <c r="H472" s="461">
        <v>0</v>
      </c>
      <c r="I472" s="461">
        <v>0</v>
      </c>
      <c r="J472" s="464">
        <v>65463</v>
      </c>
      <c r="K472" s="464">
        <v>65463</v>
      </c>
      <c r="L472" s="464"/>
      <c r="M472" s="461">
        <v>0</v>
      </c>
      <c r="N472" s="461">
        <v>0</v>
      </c>
      <c r="O472" s="461">
        <v>0</v>
      </c>
      <c r="P472" s="464">
        <v>320156</v>
      </c>
      <c r="Q472" s="464">
        <v>320156</v>
      </c>
      <c r="R472" s="464"/>
      <c r="S472" s="461">
        <v>0</v>
      </c>
      <c r="T472" s="462">
        <v>-347490</v>
      </c>
      <c r="U472" s="462">
        <v>-347490</v>
      </c>
      <c r="W472" s="464">
        <v>0</v>
      </c>
      <c r="X472" s="464">
        <v>0</v>
      </c>
    </row>
    <row r="473" spans="1:24">
      <c r="A473" s="458">
        <v>94947</v>
      </c>
      <c r="B473" s="459" t="s">
        <v>1928</v>
      </c>
      <c r="C473" s="463">
        <v>9.4099999999999997E-6</v>
      </c>
      <c r="D473" s="463">
        <v>3.7000000000000002E-6</v>
      </c>
      <c r="E473" s="464">
        <v>62323</v>
      </c>
      <c r="F473" s="464"/>
      <c r="G473" s="461">
        <v>6945</v>
      </c>
      <c r="H473" s="461">
        <v>16680</v>
      </c>
      <c r="I473" s="461">
        <v>2648</v>
      </c>
      <c r="J473" s="464">
        <v>18658</v>
      </c>
      <c r="K473" s="464">
        <v>44931</v>
      </c>
      <c r="L473" s="464"/>
      <c r="M473" s="461">
        <v>150</v>
      </c>
      <c r="N473" s="461">
        <v>0</v>
      </c>
      <c r="O473" s="461">
        <v>0</v>
      </c>
      <c r="P473" s="464">
        <v>2614</v>
      </c>
      <c r="Q473" s="464">
        <v>2764</v>
      </c>
      <c r="R473" s="464"/>
      <c r="S473" s="461">
        <v>17901</v>
      </c>
      <c r="T473" s="462">
        <v>7832</v>
      </c>
      <c r="U473" s="462">
        <v>25733</v>
      </c>
      <c r="W473" s="464">
        <v>107973</v>
      </c>
      <c r="X473" s="464">
        <v>24740</v>
      </c>
    </row>
    <row r="474" spans="1:24">
      <c r="A474" s="458">
        <v>95001</v>
      </c>
      <c r="B474" s="459" t="s">
        <v>1178</v>
      </c>
      <c r="C474" s="463">
        <v>2.4381899999999998E-3</v>
      </c>
      <c r="D474" s="463">
        <v>2.1900000000000001E-3</v>
      </c>
      <c r="E474" s="464">
        <v>16148344</v>
      </c>
      <c r="F474" s="464"/>
      <c r="G474" s="461">
        <v>1799404</v>
      </c>
      <c r="H474" s="461">
        <v>4322004</v>
      </c>
      <c r="I474" s="461">
        <v>686212</v>
      </c>
      <c r="J474" s="464">
        <v>943052</v>
      </c>
      <c r="K474" s="464">
        <v>7750672</v>
      </c>
      <c r="L474" s="464"/>
      <c r="M474" s="461">
        <v>38738</v>
      </c>
      <c r="N474" s="461">
        <v>0</v>
      </c>
      <c r="O474" s="461">
        <v>0</v>
      </c>
      <c r="P474" s="464">
        <v>0</v>
      </c>
      <c r="Q474" s="464">
        <v>38738</v>
      </c>
      <c r="R474" s="464"/>
      <c r="S474" s="461">
        <v>4638254</v>
      </c>
      <c r="T474" s="462">
        <v>391587</v>
      </c>
      <c r="U474" s="462">
        <v>5029841</v>
      </c>
      <c r="W474" s="464">
        <v>27976372</v>
      </c>
      <c r="X474" s="464">
        <v>6410404</v>
      </c>
    </row>
    <row r="475" spans="1:24">
      <c r="A475" s="458">
        <v>95002</v>
      </c>
      <c r="B475" s="459" t="s">
        <v>1179</v>
      </c>
      <c r="C475" s="463">
        <v>1.6530000000000001E-4</v>
      </c>
      <c r="D475" s="463">
        <v>1.729E-4</v>
      </c>
      <c r="E475" s="464">
        <v>1094796</v>
      </c>
      <c r="F475" s="464"/>
      <c r="G475" s="461">
        <v>121993</v>
      </c>
      <c r="H475" s="461">
        <v>293015</v>
      </c>
      <c r="I475" s="461">
        <v>46523</v>
      </c>
      <c r="J475" s="464">
        <v>29043</v>
      </c>
      <c r="K475" s="464">
        <v>490574</v>
      </c>
      <c r="L475" s="464"/>
      <c r="M475" s="461">
        <v>2626</v>
      </c>
      <c r="N475" s="461">
        <v>0</v>
      </c>
      <c r="O475" s="461">
        <v>0</v>
      </c>
      <c r="P475" s="464">
        <v>0</v>
      </c>
      <c r="Q475" s="464">
        <v>2626</v>
      </c>
      <c r="R475" s="464"/>
      <c r="S475" s="461">
        <v>314456</v>
      </c>
      <c r="T475" s="462">
        <v>24282</v>
      </c>
      <c r="U475" s="462">
        <v>338738</v>
      </c>
      <c r="W475" s="464">
        <v>1896692</v>
      </c>
      <c r="X475" s="464">
        <v>434601</v>
      </c>
    </row>
    <row r="476" spans="1:24">
      <c r="A476" s="458">
        <v>95005</v>
      </c>
      <c r="B476" s="459" t="s">
        <v>1180</v>
      </c>
      <c r="C476" s="463">
        <v>1.8563E-4</v>
      </c>
      <c r="D476" s="463">
        <v>1.8709999999999999E-4</v>
      </c>
      <c r="E476" s="464">
        <v>1229444</v>
      </c>
      <c r="F476" s="464"/>
      <c r="G476" s="461">
        <v>136996</v>
      </c>
      <c r="H476" s="461">
        <v>329053</v>
      </c>
      <c r="I476" s="461">
        <v>52244</v>
      </c>
      <c r="J476" s="464">
        <v>22962</v>
      </c>
      <c r="K476" s="464">
        <v>541255</v>
      </c>
      <c r="L476" s="464"/>
      <c r="M476" s="461">
        <v>2949</v>
      </c>
      <c r="N476" s="461">
        <v>0</v>
      </c>
      <c r="O476" s="461">
        <v>0</v>
      </c>
      <c r="P476" s="464">
        <v>341</v>
      </c>
      <c r="Q476" s="464">
        <v>3290</v>
      </c>
      <c r="R476" s="464"/>
      <c r="S476" s="461">
        <v>353130</v>
      </c>
      <c r="T476" s="462">
        <v>13658</v>
      </c>
      <c r="U476" s="462">
        <v>366788</v>
      </c>
      <c r="W476" s="464">
        <v>2129963</v>
      </c>
      <c r="X476" s="464">
        <v>488052</v>
      </c>
    </row>
    <row r="477" spans="1:24">
      <c r="A477" s="458">
        <v>95008</v>
      </c>
      <c r="B477" s="459" t="s">
        <v>1181</v>
      </c>
      <c r="C477" s="463">
        <v>1.3899999999999999E-4</v>
      </c>
      <c r="D477" s="463">
        <v>1.0959999999999999E-4</v>
      </c>
      <c r="E477" s="464">
        <v>920609</v>
      </c>
      <c r="F477" s="464"/>
      <c r="G477" s="461">
        <v>102583</v>
      </c>
      <c r="H477" s="461">
        <v>246395</v>
      </c>
      <c r="I477" s="461">
        <v>39121</v>
      </c>
      <c r="J477" s="464">
        <v>81455</v>
      </c>
      <c r="K477" s="464">
        <v>469554</v>
      </c>
      <c r="L477" s="464"/>
      <c r="M477" s="461">
        <v>2208</v>
      </c>
      <c r="N477" s="461">
        <v>0</v>
      </c>
      <c r="O477" s="461">
        <v>0</v>
      </c>
      <c r="P477" s="464">
        <v>15004</v>
      </c>
      <c r="Q477" s="464">
        <v>17212</v>
      </c>
      <c r="R477" s="464"/>
      <c r="S477" s="461">
        <v>264425</v>
      </c>
      <c r="T477" s="462">
        <v>28786</v>
      </c>
      <c r="U477" s="462">
        <v>293211</v>
      </c>
      <c r="W477" s="464">
        <v>1594919</v>
      </c>
      <c r="X477" s="464">
        <v>365454</v>
      </c>
    </row>
    <row r="478" spans="1:24">
      <c r="A478" s="458">
        <v>95009</v>
      </c>
      <c r="B478" s="459" t="s">
        <v>1182</v>
      </c>
      <c r="C478" s="463">
        <v>8.4598299999999998E-3</v>
      </c>
      <c r="D478" s="463">
        <v>4.2935999999999998E-3</v>
      </c>
      <c r="E478" s="464">
        <v>56030190</v>
      </c>
      <c r="F478" s="464"/>
      <c r="G478" s="461">
        <v>6243422</v>
      </c>
      <c r="H478" s="461">
        <v>14996132</v>
      </c>
      <c r="I478" s="461">
        <v>2380960</v>
      </c>
      <c r="J478" s="464">
        <v>10410659</v>
      </c>
      <c r="K478" s="464">
        <v>34031173</v>
      </c>
      <c r="L478" s="464"/>
      <c r="M478" s="461">
        <v>134410</v>
      </c>
      <c r="N478" s="461">
        <v>0</v>
      </c>
      <c r="O478" s="461">
        <v>0</v>
      </c>
      <c r="P478" s="464">
        <v>0</v>
      </c>
      <c r="Q478" s="464">
        <v>134410</v>
      </c>
      <c r="R478" s="464"/>
      <c r="S478" s="461">
        <v>16093431</v>
      </c>
      <c r="T478" s="462">
        <v>3537370</v>
      </c>
      <c r="U478" s="462">
        <v>19630801</v>
      </c>
      <c r="W478" s="464">
        <v>97070103</v>
      </c>
      <c r="X478" s="464">
        <v>22242289</v>
      </c>
    </row>
    <row r="479" spans="1:24">
      <c r="A479" s="458">
        <v>95010</v>
      </c>
      <c r="B479" s="459" t="s">
        <v>3719</v>
      </c>
      <c r="C479" s="463">
        <v>2.7080000000000002E-5</v>
      </c>
      <c r="D479" s="463">
        <v>2.34E-5</v>
      </c>
      <c r="E479" s="464">
        <v>179353</v>
      </c>
      <c r="F479" s="464"/>
      <c r="G479" s="461">
        <v>19985</v>
      </c>
      <c r="H479" s="461">
        <v>48003</v>
      </c>
      <c r="I479" s="461">
        <v>7621</v>
      </c>
      <c r="J479" s="464">
        <v>1248</v>
      </c>
      <c r="K479" s="464">
        <v>76857</v>
      </c>
      <c r="L479" s="464"/>
      <c r="M479" s="461">
        <v>430</v>
      </c>
      <c r="N479" s="461">
        <v>0</v>
      </c>
      <c r="O479" s="461">
        <v>0</v>
      </c>
      <c r="P479" s="464">
        <v>2489</v>
      </c>
      <c r="Q479" s="464">
        <v>2919</v>
      </c>
      <c r="R479" s="464"/>
      <c r="S479" s="461">
        <v>51515</v>
      </c>
      <c r="T479" s="462">
        <v>7028</v>
      </c>
      <c r="U479" s="462">
        <v>58543</v>
      </c>
      <c r="W479" s="464">
        <v>310722</v>
      </c>
      <c r="X479" s="464">
        <v>71198</v>
      </c>
    </row>
    <row r="480" spans="1:24">
      <c r="A480" s="458">
        <v>95011</v>
      </c>
      <c r="B480" s="459" t="s">
        <v>1183</v>
      </c>
      <c r="C480" s="463">
        <v>2.5012999999999999E-4</v>
      </c>
      <c r="D480" s="463">
        <v>1.9029999999999999E-4</v>
      </c>
      <c r="E480" s="464">
        <v>1656633</v>
      </c>
      <c r="F480" s="464"/>
      <c r="G480" s="461">
        <v>184598</v>
      </c>
      <c r="H480" s="461">
        <v>443387</v>
      </c>
      <c r="I480" s="461">
        <v>70397</v>
      </c>
      <c r="J480" s="464">
        <v>121624</v>
      </c>
      <c r="K480" s="464">
        <v>820006</v>
      </c>
      <c r="L480" s="464"/>
      <c r="M480" s="461">
        <v>3974</v>
      </c>
      <c r="N480" s="461">
        <v>0</v>
      </c>
      <c r="O480" s="461">
        <v>0</v>
      </c>
      <c r="P480" s="464">
        <v>8636</v>
      </c>
      <c r="Q480" s="464">
        <v>12610</v>
      </c>
      <c r="R480" s="464"/>
      <c r="S480" s="461">
        <v>475831</v>
      </c>
      <c r="T480" s="462">
        <v>31910</v>
      </c>
      <c r="U480" s="462">
        <v>507741</v>
      </c>
      <c r="W480" s="464">
        <v>2870051</v>
      </c>
      <c r="X480" s="464">
        <v>657633</v>
      </c>
    </row>
    <row r="481" spans="1:24">
      <c r="A481" s="458">
        <v>95017</v>
      </c>
      <c r="B481" s="459" t="s">
        <v>1184</v>
      </c>
      <c r="C481" s="463">
        <v>3.7329999999999997E-5</v>
      </c>
      <c r="D481" s="463">
        <v>3.9799999999999998E-5</v>
      </c>
      <c r="E481" s="464">
        <v>247240</v>
      </c>
      <c r="F481" s="464"/>
      <c r="G481" s="461">
        <v>27550</v>
      </c>
      <c r="H481" s="461">
        <v>66172</v>
      </c>
      <c r="I481" s="461">
        <v>10506</v>
      </c>
      <c r="J481" s="464">
        <v>45238</v>
      </c>
      <c r="K481" s="464">
        <v>149466</v>
      </c>
      <c r="L481" s="464"/>
      <c r="M481" s="461">
        <v>593</v>
      </c>
      <c r="N481" s="461">
        <v>0</v>
      </c>
      <c r="O481" s="461">
        <v>0</v>
      </c>
      <c r="P481" s="464">
        <v>28558</v>
      </c>
      <c r="Q481" s="464">
        <v>29151</v>
      </c>
      <c r="R481" s="464"/>
      <c r="S481" s="461">
        <v>71014</v>
      </c>
      <c r="T481" s="462">
        <v>-3611</v>
      </c>
      <c r="U481" s="462">
        <v>67403</v>
      </c>
      <c r="W481" s="464">
        <v>428333</v>
      </c>
      <c r="X481" s="464">
        <v>98147</v>
      </c>
    </row>
    <row r="482" spans="1:24">
      <c r="A482" s="458">
        <v>95101</v>
      </c>
      <c r="B482" s="459" t="s">
        <v>1185</v>
      </c>
      <c r="C482" s="463">
        <v>1.008759E-2</v>
      </c>
      <c r="D482" s="463">
        <v>9.2426000000000001E-3</v>
      </c>
      <c r="E482" s="464">
        <v>66810986</v>
      </c>
      <c r="F482" s="464"/>
      <c r="G482" s="461">
        <v>7444722</v>
      </c>
      <c r="H482" s="461">
        <v>17881544</v>
      </c>
      <c r="I482" s="461">
        <v>2839082</v>
      </c>
      <c r="J482" s="464">
        <v>1941787</v>
      </c>
      <c r="K482" s="464">
        <v>30107135</v>
      </c>
      <c r="L482" s="464"/>
      <c r="M482" s="461">
        <v>160272</v>
      </c>
      <c r="N482" s="461">
        <v>0</v>
      </c>
      <c r="O482" s="461">
        <v>0</v>
      </c>
      <c r="P482" s="464">
        <v>261762</v>
      </c>
      <c r="Q482" s="464">
        <v>422034</v>
      </c>
      <c r="R482" s="464"/>
      <c r="S482" s="461">
        <v>19189976</v>
      </c>
      <c r="T482" s="462">
        <v>540988</v>
      </c>
      <c r="U482" s="462">
        <v>19730964</v>
      </c>
      <c r="W482" s="464">
        <v>115747409</v>
      </c>
      <c r="X482" s="464">
        <v>26521939</v>
      </c>
    </row>
    <row r="483" spans="1:24">
      <c r="A483" s="458">
        <v>95103</v>
      </c>
      <c r="B483" s="459" t="s">
        <v>1186</v>
      </c>
      <c r="C483" s="463">
        <v>3.8420000000000001E-5</v>
      </c>
      <c r="D483" s="463">
        <v>5.1199999999999998E-5</v>
      </c>
      <c r="E483" s="464">
        <v>254459</v>
      </c>
      <c r="F483" s="464"/>
      <c r="G483" s="461">
        <v>28354</v>
      </c>
      <c r="H483" s="461">
        <v>68104</v>
      </c>
      <c r="I483" s="461">
        <v>10813</v>
      </c>
      <c r="J483" s="464">
        <v>9294</v>
      </c>
      <c r="K483" s="464">
        <v>116565</v>
      </c>
      <c r="L483" s="464"/>
      <c r="M483" s="461">
        <v>610</v>
      </c>
      <c r="N483" s="461">
        <v>0</v>
      </c>
      <c r="O483" s="461">
        <v>0</v>
      </c>
      <c r="P483" s="464">
        <v>16043</v>
      </c>
      <c r="Q483" s="464">
        <v>16653</v>
      </c>
      <c r="R483" s="464"/>
      <c r="S483" s="461">
        <v>73088</v>
      </c>
      <c r="T483" s="462">
        <v>1879</v>
      </c>
      <c r="U483" s="462">
        <v>74967</v>
      </c>
      <c r="W483" s="464">
        <v>440840</v>
      </c>
      <c r="X483" s="464">
        <v>101013</v>
      </c>
    </row>
    <row r="484" spans="1:24">
      <c r="A484" s="458">
        <v>95104</v>
      </c>
      <c r="B484" s="459" t="s">
        <v>1187</v>
      </c>
      <c r="C484" s="463">
        <v>1.5797000000000001E-4</v>
      </c>
      <c r="D484" s="463">
        <v>1.605E-4</v>
      </c>
      <c r="E484" s="464">
        <v>1046249</v>
      </c>
      <c r="F484" s="464"/>
      <c r="G484" s="461">
        <v>116583</v>
      </c>
      <c r="H484" s="461">
        <v>280022</v>
      </c>
      <c r="I484" s="461">
        <v>44460</v>
      </c>
      <c r="J484" s="464">
        <v>82637</v>
      </c>
      <c r="K484" s="464">
        <v>523702</v>
      </c>
      <c r="L484" s="464"/>
      <c r="M484" s="461">
        <v>2510</v>
      </c>
      <c r="N484" s="461">
        <v>0</v>
      </c>
      <c r="O484" s="461">
        <v>0</v>
      </c>
      <c r="P484" s="464">
        <v>0</v>
      </c>
      <c r="Q484" s="464">
        <v>2510</v>
      </c>
      <c r="R484" s="464"/>
      <c r="S484" s="461">
        <v>300512</v>
      </c>
      <c r="T484" s="462">
        <v>62083</v>
      </c>
      <c r="U484" s="462">
        <v>362595</v>
      </c>
      <c r="W484" s="464">
        <v>1812585</v>
      </c>
      <c r="X484" s="464">
        <v>415329</v>
      </c>
    </row>
    <row r="485" spans="1:24">
      <c r="A485" s="458">
        <v>95105</v>
      </c>
      <c r="B485" s="459" t="s">
        <v>1188</v>
      </c>
      <c r="C485" s="463">
        <v>6.19E-5</v>
      </c>
      <c r="D485" s="463">
        <v>6.8899999999999994E-5</v>
      </c>
      <c r="E485" s="464">
        <v>409969</v>
      </c>
      <c r="F485" s="464"/>
      <c r="G485" s="461">
        <v>45683</v>
      </c>
      <c r="H485" s="461">
        <v>109726</v>
      </c>
      <c r="I485" s="461">
        <v>17421</v>
      </c>
      <c r="J485" s="464">
        <v>14322</v>
      </c>
      <c r="K485" s="464">
        <v>187152</v>
      </c>
      <c r="L485" s="464"/>
      <c r="M485" s="461">
        <v>983</v>
      </c>
      <c r="N485" s="461">
        <v>0</v>
      </c>
      <c r="O485" s="461">
        <v>0</v>
      </c>
      <c r="P485" s="464">
        <v>43195</v>
      </c>
      <c r="Q485" s="464">
        <v>44178</v>
      </c>
      <c r="R485" s="464"/>
      <c r="S485" s="461">
        <v>117755</v>
      </c>
      <c r="T485" s="462">
        <v>-13003</v>
      </c>
      <c r="U485" s="462">
        <v>104752</v>
      </c>
      <c r="W485" s="464">
        <v>710255</v>
      </c>
      <c r="X485" s="464">
        <v>162745</v>
      </c>
    </row>
    <row r="486" spans="1:24">
      <c r="A486" s="458">
        <v>95106</v>
      </c>
      <c r="B486" s="459" t="s">
        <v>1189</v>
      </c>
      <c r="C486" s="463">
        <v>2.9790000000000001E-5</v>
      </c>
      <c r="D486" s="463">
        <v>1.5999999999999999E-5</v>
      </c>
      <c r="E486" s="464">
        <v>197302</v>
      </c>
      <c r="F486" s="464"/>
      <c r="G486" s="461">
        <v>21985</v>
      </c>
      <c r="H486" s="461">
        <v>52807</v>
      </c>
      <c r="I486" s="461">
        <v>8384</v>
      </c>
      <c r="J486" s="464">
        <v>46211</v>
      </c>
      <c r="K486" s="464">
        <v>129387</v>
      </c>
      <c r="L486" s="464"/>
      <c r="M486" s="461">
        <v>473</v>
      </c>
      <c r="N486" s="461">
        <v>0</v>
      </c>
      <c r="O486" s="461">
        <v>0</v>
      </c>
      <c r="P486" s="464">
        <v>0</v>
      </c>
      <c r="Q486" s="464">
        <v>473</v>
      </c>
      <c r="R486" s="464"/>
      <c r="S486" s="461">
        <v>56671</v>
      </c>
      <c r="T486" s="462">
        <v>19052</v>
      </c>
      <c r="U486" s="462">
        <v>75723</v>
      </c>
      <c r="W486" s="464">
        <v>341818</v>
      </c>
      <c r="X486" s="464">
        <v>78323</v>
      </c>
    </row>
    <row r="487" spans="1:24">
      <c r="A487" s="458">
        <v>95110</v>
      </c>
      <c r="B487" s="459" t="s">
        <v>1190</v>
      </c>
      <c r="C487" s="463">
        <v>1.97796E-3</v>
      </c>
      <c r="D487" s="463">
        <v>2.2951E-3</v>
      </c>
      <c r="E487" s="464">
        <v>13100201</v>
      </c>
      <c r="F487" s="464"/>
      <c r="G487" s="461">
        <v>1459750</v>
      </c>
      <c r="H487" s="461">
        <v>3506187</v>
      </c>
      <c r="I487" s="461">
        <v>556683</v>
      </c>
      <c r="J487" s="464">
        <v>190646</v>
      </c>
      <c r="K487" s="464">
        <v>5713266</v>
      </c>
      <c r="L487" s="464"/>
      <c r="M487" s="461">
        <v>31426</v>
      </c>
      <c r="N487" s="461">
        <v>0</v>
      </c>
      <c r="O487" s="461">
        <v>0</v>
      </c>
      <c r="P487" s="464">
        <v>791086</v>
      </c>
      <c r="Q487" s="464">
        <v>822512</v>
      </c>
      <c r="R487" s="464"/>
      <c r="S487" s="461">
        <v>3762743</v>
      </c>
      <c r="T487" s="462">
        <v>-405996</v>
      </c>
      <c r="U487" s="462">
        <v>3356747</v>
      </c>
      <c r="W487" s="464">
        <v>22695584</v>
      </c>
      <c r="X487" s="464">
        <v>5200383</v>
      </c>
    </row>
    <row r="488" spans="1:24">
      <c r="A488" s="458">
        <v>95111</v>
      </c>
      <c r="B488" s="459" t="s">
        <v>1191</v>
      </c>
      <c r="C488" s="463">
        <v>9.2325000000000003E-4</v>
      </c>
      <c r="D488" s="463">
        <v>9.9170000000000009E-4</v>
      </c>
      <c r="E488" s="464">
        <v>6114765</v>
      </c>
      <c r="F488" s="464"/>
      <c r="G488" s="461">
        <v>681366</v>
      </c>
      <c r="H488" s="461">
        <v>1636579</v>
      </c>
      <c r="I488" s="461">
        <v>259842</v>
      </c>
      <c r="J488" s="464">
        <v>64812</v>
      </c>
      <c r="K488" s="464">
        <v>2642599</v>
      </c>
      <c r="L488" s="464"/>
      <c r="M488" s="461">
        <v>14669</v>
      </c>
      <c r="N488" s="461">
        <v>0</v>
      </c>
      <c r="O488" s="461">
        <v>0</v>
      </c>
      <c r="P488" s="464">
        <v>132502</v>
      </c>
      <c r="Q488" s="464">
        <v>147171</v>
      </c>
      <c r="R488" s="464"/>
      <c r="S488" s="461">
        <v>1756331</v>
      </c>
      <c r="T488" s="462">
        <v>-67751</v>
      </c>
      <c r="U488" s="462">
        <v>1688580</v>
      </c>
      <c r="W488" s="464">
        <v>10593590</v>
      </c>
      <c r="X488" s="464">
        <v>2427377</v>
      </c>
    </row>
    <row r="489" spans="1:24">
      <c r="A489" s="458">
        <v>95113</v>
      </c>
      <c r="B489" s="459" t="s">
        <v>1192</v>
      </c>
      <c r="C489" s="463">
        <v>5.0510000000000003E-5</v>
      </c>
      <c r="D489" s="463">
        <v>6.0099999999999997E-5</v>
      </c>
      <c r="E489" s="464">
        <v>334532</v>
      </c>
      <c r="F489" s="464"/>
      <c r="G489" s="461">
        <v>37277</v>
      </c>
      <c r="H489" s="461">
        <v>89535</v>
      </c>
      <c r="I489" s="461">
        <v>14216</v>
      </c>
      <c r="J489" s="464">
        <v>72621</v>
      </c>
      <c r="K489" s="464">
        <v>213649</v>
      </c>
      <c r="L489" s="464"/>
      <c r="M489" s="461">
        <v>803</v>
      </c>
      <c r="N489" s="461">
        <v>0</v>
      </c>
      <c r="O489" s="461">
        <v>0</v>
      </c>
      <c r="P489" s="464">
        <v>0</v>
      </c>
      <c r="Q489" s="464">
        <v>803</v>
      </c>
      <c r="R489" s="464"/>
      <c r="S489" s="461">
        <v>96087</v>
      </c>
      <c r="T489" s="462">
        <v>55641</v>
      </c>
      <c r="U489" s="462">
        <v>151728</v>
      </c>
      <c r="W489" s="464">
        <v>579564</v>
      </c>
      <c r="X489" s="464">
        <v>132799</v>
      </c>
    </row>
    <row r="490" spans="1:24">
      <c r="A490" s="458">
        <v>95121</v>
      </c>
      <c r="B490" s="459" t="s">
        <v>1193</v>
      </c>
      <c r="C490" s="463">
        <v>4.8259000000000003E-4</v>
      </c>
      <c r="D490" s="463">
        <v>4.996E-4</v>
      </c>
      <c r="E490" s="464">
        <v>3196236</v>
      </c>
      <c r="F490" s="464"/>
      <c r="G490" s="461">
        <v>356155</v>
      </c>
      <c r="H490" s="461">
        <v>855453</v>
      </c>
      <c r="I490" s="461">
        <v>135822</v>
      </c>
      <c r="J490" s="464">
        <v>0</v>
      </c>
      <c r="K490" s="464">
        <v>1347430</v>
      </c>
      <c r="L490" s="464"/>
      <c r="M490" s="461">
        <v>7667</v>
      </c>
      <c r="N490" s="461">
        <v>0</v>
      </c>
      <c r="O490" s="461">
        <v>0</v>
      </c>
      <c r="P490" s="464">
        <v>80798</v>
      </c>
      <c r="Q490" s="464">
        <v>88465</v>
      </c>
      <c r="R490" s="464"/>
      <c r="S490" s="461">
        <v>918048</v>
      </c>
      <c r="T490" s="462">
        <v>-29104</v>
      </c>
      <c r="U490" s="462">
        <v>888944</v>
      </c>
      <c r="W490" s="464">
        <v>5537353</v>
      </c>
      <c r="X490" s="464">
        <v>1268809</v>
      </c>
    </row>
    <row r="491" spans="1:24">
      <c r="A491" s="458">
        <v>95122</v>
      </c>
      <c r="B491" s="459" t="s">
        <v>1194</v>
      </c>
      <c r="C491" s="463">
        <v>1.3910000000000001E-5</v>
      </c>
      <c r="D491" s="463">
        <v>2.0599999999999999E-5</v>
      </c>
      <c r="E491" s="464">
        <v>92127</v>
      </c>
      <c r="F491" s="464"/>
      <c r="G491" s="461">
        <v>10266</v>
      </c>
      <c r="H491" s="461">
        <v>24657</v>
      </c>
      <c r="I491" s="461">
        <v>3915</v>
      </c>
      <c r="J491" s="464">
        <v>8418</v>
      </c>
      <c r="K491" s="464">
        <v>47256</v>
      </c>
      <c r="L491" s="464"/>
      <c r="M491" s="461">
        <v>221</v>
      </c>
      <c r="N491" s="461">
        <v>0</v>
      </c>
      <c r="O491" s="461">
        <v>0</v>
      </c>
      <c r="P491" s="464">
        <v>10680</v>
      </c>
      <c r="Q491" s="464">
        <v>10901</v>
      </c>
      <c r="R491" s="464"/>
      <c r="S491" s="461">
        <v>26461</v>
      </c>
      <c r="T491" s="462">
        <v>6557</v>
      </c>
      <c r="U491" s="462">
        <v>33018</v>
      </c>
      <c r="W491" s="464">
        <v>159607</v>
      </c>
      <c r="X491" s="464">
        <v>36572</v>
      </c>
    </row>
    <row r="492" spans="1:24">
      <c r="A492" s="458">
        <v>95123</v>
      </c>
      <c r="B492" s="459" t="s">
        <v>1195</v>
      </c>
      <c r="C492" s="463">
        <v>5.2750000000000001E-5</v>
      </c>
      <c r="D492" s="463">
        <v>5.1900000000000001E-5</v>
      </c>
      <c r="E492" s="464">
        <v>349368</v>
      </c>
      <c r="F492" s="464"/>
      <c r="G492" s="461">
        <v>38930</v>
      </c>
      <c r="H492" s="461">
        <v>93506</v>
      </c>
      <c r="I492" s="461">
        <v>14846</v>
      </c>
      <c r="J492" s="464">
        <v>17</v>
      </c>
      <c r="K492" s="464">
        <v>147299</v>
      </c>
      <c r="L492" s="464"/>
      <c r="M492" s="461">
        <v>838</v>
      </c>
      <c r="N492" s="461">
        <v>0</v>
      </c>
      <c r="O492" s="461">
        <v>0</v>
      </c>
      <c r="P492" s="464">
        <v>15154</v>
      </c>
      <c r="Q492" s="464">
        <v>15992</v>
      </c>
      <c r="R492" s="464"/>
      <c r="S492" s="461">
        <v>100348</v>
      </c>
      <c r="T492" s="462">
        <v>-5789</v>
      </c>
      <c r="U492" s="462">
        <v>94559</v>
      </c>
      <c r="W492" s="464">
        <v>605266</v>
      </c>
      <c r="X492" s="464">
        <v>138688</v>
      </c>
    </row>
    <row r="493" spans="1:24">
      <c r="A493" s="458">
        <v>95131</v>
      </c>
      <c r="B493" s="459" t="s">
        <v>1196</v>
      </c>
      <c r="C493" s="463">
        <v>2.1943800000000001E-3</v>
      </c>
      <c r="D493" s="463">
        <v>2.0095E-3</v>
      </c>
      <c r="E493" s="464">
        <v>14533570</v>
      </c>
      <c r="F493" s="464"/>
      <c r="G493" s="461">
        <v>1619470</v>
      </c>
      <c r="H493" s="461">
        <v>3889819</v>
      </c>
      <c r="I493" s="461">
        <v>617593</v>
      </c>
      <c r="J493" s="464">
        <v>459737</v>
      </c>
      <c r="K493" s="464">
        <v>6586619</v>
      </c>
      <c r="L493" s="464"/>
      <c r="M493" s="461">
        <v>34864</v>
      </c>
      <c r="N493" s="461">
        <v>0</v>
      </c>
      <c r="O493" s="461">
        <v>0</v>
      </c>
      <c r="P493" s="464">
        <v>58113</v>
      </c>
      <c r="Q493" s="464">
        <v>92977</v>
      </c>
      <c r="R493" s="464"/>
      <c r="S493" s="461">
        <v>4174446</v>
      </c>
      <c r="T493" s="462">
        <v>183111</v>
      </c>
      <c r="U493" s="462">
        <v>4357557</v>
      </c>
      <c r="W493" s="464">
        <v>25178838</v>
      </c>
      <c r="X493" s="464">
        <v>5769387</v>
      </c>
    </row>
    <row r="494" spans="1:24">
      <c r="A494" s="458">
        <v>95141</v>
      </c>
      <c r="B494" s="459" t="s">
        <v>1197</v>
      </c>
      <c r="C494" s="463">
        <v>4.9932999999999998E-4</v>
      </c>
      <c r="D494" s="463">
        <v>4.438E-4</v>
      </c>
      <c r="E494" s="464">
        <v>3307106</v>
      </c>
      <c r="F494" s="464"/>
      <c r="G494" s="461">
        <v>368510</v>
      </c>
      <c r="H494" s="461">
        <v>885126</v>
      </c>
      <c r="I494" s="461">
        <v>140533</v>
      </c>
      <c r="J494" s="464">
        <v>105649</v>
      </c>
      <c r="K494" s="464">
        <v>1499818</v>
      </c>
      <c r="L494" s="464"/>
      <c r="M494" s="461">
        <v>7933</v>
      </c>
      <c r="N494" s="461">
        <v>0</v>
      </c>
      <c r="O494" s="461">
        <v>0</v>
      </c>
      <c r="P494" s="464">
        <v>23874</v>
      </c>
      <c r="Q494" s="464">
        <v>31807</v>
      </c>
      <c r="R494" s="464"/>
      <c r="S494" s="461">
        <v>949893</v>
      </c>
      <c r="T494" s="462">
        <v>42827</v>
      </c>
      <c r="U494" s="462">
        <v>992720</v>
      </c>
      <c r="W494" s="464">
        <v>5729431</v>
      </c>
      <c r="X494" s="464">
        <v>1312821</v>
      </c>
    </row>
    <row r="495" spans="1:24">
      <c r="A495" s="458">
        <v>95151</v>
      </c>
      <c r="B495" s="459" t="s">
        <v>1198</v>
      </c>
      <c r="C495" s="463">
        <v>1.1661E-4</v>
      </c>
      <c r="D495" s="463">
        <v>1.281E-4</v>
      </c>
      <c r="E495" s="464">
        <v>772318</v>
      </c>
      <c r="F495" s="464"/>
      <c r="G495" s="461">
        <v>86059</v>
      </c>
      <c r="H495" s="461">
        <v>206706</v>
      </c>
      <c r="I495" s="461">
        <v>32819</v>
      </c>
      <c r="J495" s="464">
        <v>3385</v>
      </c>
      <c r="K495" s="464">
        <v>328969</v>
      </c>
      <c r="L495" s="464"/>
      <c r="M495" s="461">
        <v>1853</v>
      </c>
      <c r="N495" s="461">
        <v>0</v>
      </c>
      <c r="O495" s="461">
        <v>0</v>
      </c>
      <c r="P495" s="464">
        <v>49643</v>
      </c>
      <c r="Q495" s="464">
        <v>51496</v>
      </c>
      <c r="R495" s="464"/>
      <c r="S495" s="461">
        <v>221831</v>
      </c>
      <c r="T495" s="462">
        <v>-15881</v>
      </c>
      <c r="U495" s="462">
        <v>205950</v>
      </c>
      <c r="W495" s="464">
        <v>1338011</v>
      </c>
      <c r="X495" s="464">
        <v>306587</v>
      </c>
    </row>
    <row r="496" spans="1:24">
      <c r="A496" s="458">
        <v>95161</v>
      </c>
      <c r="B496" s="459" t="s">
        <v>1199</v>
      </c>
      <c r="C496" s="463">
        <v>6.1569999999999995E-5</v>
      </c>
      <c r="D496" s="463">
        <v>7.6899999999999999E-5</v>
      </c>
      <c r="E496" s="464">
        <v>407783</v>
      </c>
      <c r="F496" s="464"/>
      <c r="G496" s="461">
        <v>45439</v>
      </c>
      <c r="H496" s="461">
        <v>109141</v>
      </c>
      <c r="I496" s="461">
        <v>17328</v>
      </c>
      <c r="J496" s="464">
        <v>10336</v>
      </c>
      <c r="K496" s="464">
        <v>182244</v>
      </c>
      <c r="L496" s="464"/>
      <c r="M496" s="461">
        <v>978</v>
      </c>
      <c r="N496" s="461">
        <v>0</v>
      </c>
      <c r="O496" s="461">
        <v>0</v>
      </c>
      <c r="P496" s="464">
        <v>22931</v>
      </c>
      <c r="Q496" s="464">
        <v>23909</v>
      </c>
      <c r="R496" s="464"/>
      <c r="S496" s="461">
        <v>117127</v>
      </c>
      <c r="T496" s="462">
        <v>-1238</v>
      </c>
      <c r="U496" s="462">
        <v>115889</v>
      </c>
      <c r="W496" s="464">
        <v>706469</v>
      </c>
      <c r="X496" s="464">
        <v>161878</v>
      </c>
    </row>
    <row r="497" spans="1:24">
      <c r="A497" s="458">
        <v>95171</v>
      </c>
      <c r="B497" s="459" t="s">
        <v>1200</v>
      </c>
      <c r="C497" s="463">
        <v>6.8310000000000002E-5</v>
      </c>
      <c r="D497" s="463">
        <v>1.216E-4</v>
      </c>
      <c r="E497" s="464">
        <v>452423</v>
      </c>
      <c r="F497" s="464"/>
      <c r="G497" s="461">
        <v>50413</v>
      </c>
      <c r="H497" s="461">
        <v>121088</v>
      </c>
      <c r="I497" s="461">
        <v>19225</v>
      </c>
      <c r="J497" s="464">
        <v>24438</v>
      </c>
      <c r="K497" s="464">
        <v>215164</v>
      </c>
      <c r="L497" s="464"/>
      <c r="M497" s="461">
        <v>1085</v>
      </c>
      <c r="N497" s="461">
        <v>0</v>
      </c>
      <c r="O497" s="461">
        <v>0</v>
      </c>
      <c r="P497" s="464">
        <v>118153</v>
      </c>
      <c r="Q497" s="464">
        <v>119238</v>
      </c>
      <c r="R497" s="464"/>
      <c r="S497" s="461">
        <v>129949</v>
      </c>
      <c r="T497" s="462">
        <v>-25837</v>
      </c>
      <c r="U497" s="462">
        <v>104112</v>
      </c>
      <c r="W497" s="464">
        <v>783805</v>
      </c>
      <c r="X497" s="464">
        <v>179598</v>
      </c>
    </row>
    <row r="498" spans="1:24">
      <c r="A498" s="458">
        <v>95181</v>
      </c>
      <c r="B498" s="459" t="s">
        <v>1201</v>
      </c>
      <c r="C498" s="463">
        <v>7.9239999999999993E-5</v>
      </c>
      <c r="D498" s="463">
        <v>7.7600000000000002E-5</v>
      </c>
      <c r="E498" s="464">
        <v>524813</v>
      </c>
      <c r="F498" s="464"/>
      <c r="G498" s="461">
        <v>58480</v>
      </c>
      <c r="H498" s="461">
        <v>140463</v>
      </c>
      <c r="I498" s="461">
        <v>22302</v>
      </c>
      <c r="J498" s="464">
        <v>8858</v>
      </c>
      <c r="K498" s="464">
        <v>230103</v>
      </c>
      <c r="L498" s="464"/>
      <c r="M498" s="461">
        <v>1259</v>
      </c>
      <c r="N498" s="461">
        <v>0</v>
      </c>
      <c r="O498" s="461">
        <v>0</v>
      </c>
      <c r="P498" s="464">
        <v>791</v>
      </c>
      <c r="Q498" s="464">
        <v>2050</v>
      </c>
      <c r="R498" s="464"/>
      <c r="S498" s="461">
        <v>150741</v>
      </c>
      <c r="T498" s="462">
        <v>6030</v>
      </c>
      <c r="U498" s="462">
        <v>156771</v>
      </c>
      <c r="W498" s="464">
        <v>909219</v>
      </c>
      <c r="X498" s="464">
        <v>208335</v>
      </c>
    </row>
    <row r="499" spans="1:24">
      <c r="A499" s="458">
        <v>95191</v>
      </c>
      <c r="B499" s="459" t="s">
        <v>1202</v>
      </c>
      <c r="C499" s="463">
        <v>1.3051E-4</v>
      </c>
      <c r="D499" s="463">
        <v>9.6299999999999996E-5</v>
      </c>
      <c r="E499" s="464">
        <v>864379</v>
      </c>
      <c r="F499" s="464"/>
      <c r="G499" s="461">
        <v>96317</v>
      </c>
      <c r="H499" s="461">
        <v>231346</v>
      </c>
      <c r="I499" s="461">
        <v>36731</v>
      </c>
      <c r="J499" s="464">
        <v>99041</v>
      </c>
      <c r="K499" s="464">
        <v>463435</v>
      </c>
      <c r="L499" s="464"/>
      <c r="M499" s="461">
        <v>2074</v>
      </c>
      <c r="N499" s="461">
        <v>0</v>
      </c>
      <c r="O499" s="461">
        <v>0</v>
      </c>
      <c r="P499" s="464">
        <v>0</v>
      </c>
      <c r="Q499" s="464">
        <v>2074</v>
      </c>
      <c r="R499" s="464"/>
      <c r="S499" s="461">
        <v>248274</v>
      </c>
      <c r="T499" s="462">
        <v>48372</v>
      </c>
      <c r="U499" s="462">
        <v>296646</v>
      </c>
      <c r="W499" s="464">
        <v>1497503</v>
      </c>
      <c r="X499" s="464">
        <v>343132</v>
      </c>
    </row>
    <row r="500" spans="1:24">
      <c r="A500" s="458">
        <v>95201</v>
      </c>
      <c r="B500" s="459" t="s">
        <v>1203</v>
      </c>
      <c r="C500" s="463">
        <v>6.3064000000000002E-4</v>
      </c>
      <c r="D500" s="463">
        <v>7.4290000000000001E-4</v>
      </c>
      <c r="E500" s="464">
        <v>4176784</v>
      </c>
      <c r="F500" s="464"/>
      <c r="G500" s="461">
        <v>465417</v>
      </c>
      <c r="H500" s="461">
        <v>1117890</v>
      </c>
      <c r="I500" s="461">
        <v>177489</v>
      </c>
      <c r="J500" s="464">
        <v>118437</v>
      </c>
      <c r="K500" s="464">
        <v>1879233</v>
      </c>
      <c r="L500" s="464"/>
      <c r="M500" s="461">
        <v>10020</v>
      </c>
      <c r="N500" s="461">
        <v>0</v>
      </c>
      <c r="O500" s="461">
        <v>0</v>
      </c>
      <c r="P500" s="464">
        <v>339556</v>
      </c>
      <c r="Q500" s="464">
        <v>349576</v>
      </c>
      <c r="R500" s="464"/>
      <c r="S500" s="461">
        <v>1199689</v>
      </c>
      <c r="T500" s="462">
        <v>-83148</v>
      </c>
      <c r="U500" s="462">
        <v>1116541</v>
      </c>
      <c r="W500" s="464">
        <v>7236113</v>
      </c>
      <c r="X500" s="464">
        <v>1658057</v>
      </c>
    </row>
    <row r="501" spans="1:24">
      <c r="A501" s="458">
        <v>95204</v>
      </c>
      <c r="B501" s="459" t="s">
        <v>1204</v>
      </c>
      <c r="C501" s="463">
        <v>2.83E-6</v>
      </c>
      <c r="D501" s="463">
        <v>3.1E-6</v>
      </c>
      <c r="E501" s="464">
        <v>18743</v>
      </c>
      <c r="F501" s="464"/>
      <c r="G501" s="461">
        <v>2089</v>
      </c>
      <c r="H501" s="461">
        <v>5017</v>
      </c>
      <c r="I501" s="461">
        <v>796</v>
      </c>
      <c r="J501" s="464">
        <v>2573</v>
      </c>
      <c r="K501" s="464">
        <v>10475</v>
      </c>
      <c r="L501" s="464"/>
      <c r="M501" s="461">
        <v>45</v>
      </c>
      <c r="N501" s="461">
        <v>0</v>
      </c>
      <c r="O501" s="461">
        <v>0</v>
      </c>
      <c r="P501" s="464">
        <v>3932</v>
      </c>
      <c r="Q501" s="464">
        <v>3977</v>
      </c>
      <c r="R501" s="464"/>
      <c r="S501" s="461">
        <v>5384</v>
      </c>
      <c r="T501" s="462">
        <v>-710</v>
      </c>
      <c r="U501" s="462">
        <v>4674</v>
      </c>
      <c r="W501" s="464">
        <v>32472</v>
      </c>
      <c r="X501" s="464">
        <v>7441</v>
      </c>
    </row>
    <row r="502" spans="1:24">
      <c r="A502" s="458">
        <v>95205</v>
      </c>
      <c r="B502" s="459" t="s">
        <v>1205</v>
      </c>
      <c r="C502" s="463">
        <v>4.4399999999999998E-6</v>
      </c>
      <c r="D502" s="463">
        <v>0</v>
      </c>
      <c r="E502" s="464">
        <v>29407</v>
      </c>
      <c r="F502" s="464"/>
      <c r="G502" s="461">
        <v>3277</v>
      </c>
      <c r="H502" s="461">
        <v>7870</v>
      </c>
      <c r="I502" s="461">
        <v>1250</v>
      </c>
      <c r="J502" s="464">
        <v>10696</v>
      </c>
      <c r="K502" s="464">
        <v>23093</v>
      </c>
      <c r="L502" s="464"/>
      <c r="M502" s="461">
        <v>71</v>
      </c>
      <c r="N502" s="461">
        <v>0</v>
      </c>
      <c r="O502" s="461">
        <v>0</v>
      </c>
      <c r="P502" s="464">
        <v>4433</v>
      </c>
      <c r="Q502" s="464">
        <v>4504</v>
      </c>
      <c r="R502" s="464"/>
      <c r="S502" s="461">
        <v>8446</v>
      </c>
      <c r="T502" s="462">
        <v>2872</v>
      </c>
      <c r="U502" s="462">
        <v>11318</v>
      </c>
      <c r="W502" s="464">
        <v>50946</v>
      </c>
      <c r="X502" s="464">
        <v>11673</v>
      </c>
    </row>
    <row r="503" spans="1:24">
      <c r="A503" s="458">
        <v>95211</v>
      </c>
      <c r="B503" s="459" t="s">
        <v>1206</v>
      </c>
      <c r="C503" s="463">
        <v>1.4699999999999999E-6</v>
      </c>
      <c r="D503" s="463">
        <v>1.5999999999999999E-6</v>
      </c>
      <c r="E503" s="464">
        <v>9736</v>
      </c>
      <c r="F503" s="464"/>
      <c r="G503" s="461">
        <v>1085</v>
      </c>
      <c r="H503" s="461">
        <v>2606</v>
      </c>
      <c r="I503" s="461">
        <v>414</v>
      </c>
      <c r="J503" s="464">
        <v>1659</v>
      </c>
      <c r="K503" s="464">
        <v>5764</v>
      </c>
      <c r="L503" s="464"/>
      <c r="M503" s="461">
        <v>23</v>
      </c>
      <c r="N503" s="461">
        <v>0</v>
      </c>
      <c r="O503" s="461">
        <v>0</v>
      </c>
      <c r="P503" s="464">
        <v>114</v>
      </c>
      <c r="Q503" s="464">
        <v>137</v>
      </c>
      <c r="R503" s="464"/>
      <c r="S503" s="461">
        <v>2796</v>
      </c>
      <c r="T503" s="462">
        <v>-366</v>
      </c>
      <c r="U503" s="462">
        <v>2430</v>
      </c>
      <c r="W503" s="464">
        <v>16867</v>
      </c>
      <c r="X503" s="464">
        <v>3865</v>
      </c>
    </row>
    <row r="504" spans="1:24">
      <c r="A504" s="458">
        <v>95221</v>
      </c>
      <c r="B504" s="459" t="s">
        <v>1207</v>
      </c>
      <c r="C504" s="463">
        <v>3.2509999999999999E-5</v>
      </c>
      <c r="D504" s="463">
        <v>4.6100000000000002E-5</v>
      </c>
      <c r="E504" s="464">
        <v>215317</v>
      </c>
      <c r="F504" s="464"/>
      <c r="G504" s="461">
        <v>23993</v>
      </c>
      <c r="H504" s="461">
        <v>57628</v>
      </c>
      <c r="I504" s="461">
        <v>9150</v>
      </c>
      <c r="J504" s="464">
        <v>3572</v>
      </c>
      <c r="K504" s="464">
        <v>94343</v>
      </c>
      <c r="L504" s="464"/>
      <c r="M504" s="461">
        <v>517</v>
      </c>
      <c r="N504" s="461">
        <v>0</v>
      </c>
      <c r="O504" s="461">
        <v>0</v>
      </c>
      <c r="P504" s="464">
        <v>31121</v>
      </c>
      <c r="Q504" s="464">
        <v>31638</v>
      </c>
      <c r="R504" s="464"/>
      <c r="S504" s="461">
        <v>61845</v>
      </c>
      <c r="T504" s="462">
        <v>-15349</v>
      </c>
      <c r="U504" s="462">
        <v>46496</v>
      </c>
      <c r="W504" s="464">
        <v>373027</v>
      </c>
      <c r="X504" s="464">
        <v>85474</v>
      </c>
    </row>
    <row r="505" spans="1:24">
      <c r="A505" s="458">
        <v>95301</v>
      </c>
      <c r="B505" s="459" t="s">
        <v>1208</v>
      </c>
      <c r="C505" s="463">
        <v>2.3659100000000001E-3</v>
      </c>
      <c r="D505" s="463">
        <v>2.385E-3</v>
      </c>
      <c r="E505" s="464">
        <v>15669628</v>
      </c>
      <c r="F505" s="464"/>
      <c r="G505" s="461">
        <v>1746061</v>
      </c>
      <c r="H505" s="461">
        <v>4193878</v>
      </c>
      <c r="I505" s="461">
        <v>665869</v>
      </c>
      <c r="J505" s="464">
        <v>256810</v>
      </c>
      <c r="K505" s="464">
        <v>6862618</v>
      </c>
      <c r="L505" s="464"/>
      <c r="M505" s="461">
        <v>37590</v>
      </c>
      <c r="N505" s="461">
        <v>0</v>
      </c>
      <c r="O505" s="461">
        <v>0</v>
      </c>
      <c r="P505" s="464">
        <v>2227</v>
      </c>
      <c r="Q505" s="464">
        <v>39817</v>
      </c>
      <c r="R505" s="464"/>
      <c r="S505" s="461">
        <v>4500753</v>
      </c>
      <c r="T505" s="462">
        <v>175074</v>
      </c>
      <c r="U505" s="462">
        <v>4675827</v>
      </c>
      <c r="W505" s="464">
        <v>27147014</v>
      </c>
      <c r="X505" s="464">
        <v>6220368</v>
      </c>
    </row>
    <row r="506" spans="1:24">
      <c r="A506" s="458">
        <v>95311</v>
      </c>
      <c r="B506" s="459" t="s">
        <v>1209</v>
      </c>
      <c r="C506" s="463">
        <v>2.2292800000000002E-3</v>
      </c>
      <c r="D506" s="463">
        <v>2.3652E-3</v>
      </c>
      <c r="E506" s="464">
        <v>14764715</v>
      </c>
      <c r="F506" s="464"/>
      <c r="G506" s="461">
        <v>1645226</v>
      </c>
      <c r="H506" s="461">
        <v>3951684</v>
      </c>
      <c r="I506" s="461">
        <v>627415</v>
      </c>
      <c r="J506" s="464">
        <v>98860</v>
      </c>
      <c r="K506" s="464">
        <v>6323185</v>
      </c>
      <c r="L506" s="464"/>
      <c r="M506" s="461">
        <v>35419</v>
      </c>
      <c r="N506" s="461">
        <v>0</v>
      </c>
      <c r="O506" s="461">
        <v>0</v>
      </c>
      <c r="P506" s="464">
        <v>177120</v>
      </c>
      <c r="Q506" s="464">
        <v>212539</v>
      </c>
      <c r="R506" s="464"/>
      <c r="S506" s="461">
        <v>4240837</v>
      </c>
      <c r="T506" s="462">
        <v>-52902</v>
      </c>
      <c r="U506" s="462">
        <v>4187935</v>
      </c>
      <c r="W506" s="464">
        <v>25579289</v>
      </c>
      <c r="X506" s="464">
        <v>5861145</v>
      </c>
    </row>
    <row r="507" spans="1:24">
      <c r="A507" s="458">
        <v>95317</v>
      </c>
      <c r="B507" s="459" t="s">
        <v>1210</v>
      </c>
      <c r="C507" s="463">
        <v>4.1980000000000001E-5</v>
      </c>
      <c r="D507" s="463">
        <v>4.5399999999999999E-5</v>
      </c>
      <c r="E507" s="464">
        <v>278037</v>
      </c>
      <c r="F507" s="464"/>
      <c r="G507" s="461">
        <v>30982</v>
      </c>
      <c r="H507" s="461">
        <v>74415</v>
      </c>
      <c r="I507" s="461">
        <v>11815</v>
      </c>
      <c r="J507" s="464">
        <v>27930</v>
      </c>
      <c r="K507" s="464">
        <v>145142</v>
      </c>
      <c r="L507" s="464"/>
      <c r="M507" s="461">
        <v>667</v>
      </c>
      <c r="N507" s="461">
        <v>0</v>
      </c>
      <c r="O507" s="461">
        <v>0</v>
      </c>
      <c r="P507" s="464">
        <v>0</v>
      </c>
      <c r="Q507" s="464">
        <v>667</v>
      </c>
      <c r="R507" s="464"/>
      <c r="S507" s="461">
        <v>79860</v>
      </c>
      <c r="T507" s="462">
        <v>18664</v>
      </c>
      <c r="U507" s="462">
        <v>98524</v>
      </c>
      <c r="W507" s="464">
        <v>481689</v>
      </c>
      <c r="X507" s="464">
        <v>110372</v>
      </c>
    </row>
    <row r="508" spans="1:24">
      <c r="A508" s="458">
        <v>95321</v>
      </c>
      <c r="B508" s="459" t="s">
        <v>1211</v>
      </c>
      <c r="C508" s="463">
        <v>5.5630000000000001E-5</v>
      </c>
      <c r="D508" s="463">
        <v>4.7800000000000003E-5</v>
      </c>
      <c r="E508" s="464">
        <v>368442</v>
      </c>
      <c r="F508" s="464"/>
      <c r="G508" s="461">
        <v>41055</v>
      </c>
      <c r="H508" s="461">
        <v>98611</v>
      </c>
      <c r="I508" s="461">
        <v>15657</v>
      </c>
      <c r="J508" s="464">
        <v>33215</v>
      </c>
      <c r="K508" s="464">
        <v>188538</v>
      </c>
      <c r="L508" s="464"/>
      <c r="M508" s="461">
        <v>884</v>
      </c>
      <c r="N508" s="461">
        <v>0</v>
      </c>
      <c r="O508" s="461">
        <v>0</v>
      </c>
      <c r="P508" s="464">
        <v>40</v>
      </c>
      <c r="Q508" s="464">
        <v>924</v>
      </c>
      <c r="R508" s="464"/>
      <c r="S508" s="461">
        <v>105827</v>
      </c>
      <c r="T508" s="462">
        <v>14117</v>
      </c>
      <c r="U508" s="462">
        <v>119944</v>
      </c>
      <c r="W508" s="464">
        <v>638312</v>
      </c>
      <c r="X508" s="464">
        <v>146260</v>
      </c>
    </row>
    <row r="509" spans="1:24">
      <c r="A509" s="458">
        <v>95401</v>
      </c>
      <c r="B509" s="459" t="s">
        <v>1212</v>
      </c>
      <c r="C509" s="463">
        <v>2.2009299999999998E-3</v>
      </c>
      <c r="D509" s="463">
        <v>2.4250999999999999E-3</v>
      </c>
      <c r="E509" s="464">
        <v>14576951</v>
      </c>
      <c r="F509" s="464"/>
      <c r="G509" s="461">
        <v>1624304</v>
      </c>
      <c r="H509" s="461">
        <v>3901430</v>
      </c>
      <c r="I509" s="461">
        <v>619436</v>
      </c>
      <c r="J509" s="464">
        <v>2485</v>
      </c>
      <c r="K509" s="464">
        <v>6147655</v>
      </c>
      <c r="L509" s="464"/>
      <c r="M509" s="461">
        <v>34968</v>
      </c>
      <c r="N509" s="461">
        <v>0</v>
      </c>
      <c r="O509" s="461">
        <v>0</v>
      </c>
      <c r="P509" s="464">
        <v>627415</v>
      </c>
      <c r="Q509" s="464">
        <v>662383</v>
      </c>
      <c r="R509" s="464"/>
      <c r="S509" s="461">
        <v>4186906</v>
      </c>
      <c r="T509" s="462">
        <v>-400766</v>
      </c>
      <c r="U509" s="462">
        <v>3786140</v>
      </c>
      <c r="W509" s="464">
        <v>25253995</v>
      </c>
      <c r="X509" s="464">
        <v>5786608</v>
      </c>
    </row>
    <row r="510" spans="1:24">
      <c r="A510" s="458">
        <v>95404</v>
      </c>
      <c r="B510" s="459" t="s">
        <v>1213</v>
      </c>
      <c r="C510" s="463">
        <v>4.3869999999999998E-5</v>
      </c>
      <c r="D510" s="463">
        <v>3.65E-5</v>
      </c>
      <c r="E510" s="464">
        <v>290555</v>
      </c>
      <c r="F510" s="464"/>
      <c r="G510" s="461">
        <v>32376</v>
      </c>
      <c r="H510" s="461">
        <v>77765</v>
      </c>
      <c r="I510" s="461">
        <v>12347</v>
      </c>
      <c r="J510" s="464">
        <v>14340</v>
      </c>
      <c r="K510" s="464">
        <v>136828</v>
      </c>
      <c r="L510" s="464"/>
      <c r="M510" s="461">
        <v>697</v>
      </c>
      <c r="N510" s="461">
        <v>0</v>
      </c>
      <c r="O510" s="461">
        <v>0</v>
      </c>
      <c r="P510" s="464">
        <v>13003</v>
      </c>
      <c r="Q510" s="464">
        <v>13700</v>
      </c>
      <c r="R510" s="464"/>
      <c r="S510" s="461">
        <v>83455</v>
      </c>
      <c r="T510" s="462">
        <v>-1582</v>
      </c>
      <c r="U510" s="462">
        <v>81873</v>
      </c>
      <c r="W510" s="464">
        <v>503375</v>
      </c>
      <c r="X510" s="464">
        <v>115341</v>
      </c>
    </row>
    <row r="511" spans="1:24">
      <c r="A511" s="458">
        <v>95405</v>
      </c>
      <c r="B511" s="459" t="s">
        <v>1214</v>
      </c>
      <c r="C511" s="463">
        <v>4.3680000000000002E-5</v>
      </c>
      <c r="D511" s="463">
        <v>4.7200000000000002E-5</v>
      </c>
      <c r="E511" s="464">
        <v>289296</v>
      </c>
      <c r="F511" s="464"/>
      <c r="G511" s="461">
        <v>32236</v>
      </c>
      <c r="H511" s="461">
        <v>77428</v>
      </c>
      <c r="I511" s="461">
        <v>12293</v>
      </c>
      <c r="J511" s="464">
        <v>2160</v>
      </c>
      <c r="K511" s="464">
        <v>124117</v>
      </c>
      <c r="L511" s="464"/>
      <c r="M511" s="461">
        <v>694</v>
      </c>
      <c r="N511" s="461">
        <v>0</v>
      </c>
      <c r="O511" s="461">
        <v>0</v>
      </c>
      <c r="P511" s="464">
        <v>24998</v>
      </c>
      <c r="Q511" s="464">
        <v>25692</v>
      </c>
      <c r="R511" s="464"/>
      <c r="S511" s="461">
        <v>83094</v>
      </c>
      <c r="T511" s="462">
        <v>-2492</v>
      </c>
      <c r="U511" s="462">
        <v>80602</v>
      </c>
      <c r="W511" s="464">
        <v>501195</v>
      </c>
      <c r="X511" s="464">
        <v>114842</v>
      </c>
    </row>
    <row r="512" spans="1:24">
      <c r="A512" s="458">
        <v>95411</v>
      </c>
      <c r="B512" s="459" t="s">
        <v>1215</v>
      </c>
      <c r="C512" s="463">
        <v>1.94016E-3</v>
      </c>
      <c r="D512" s="463">
        <v>1.9315999999999999E-3</v>
      </c>
      <c r="E512" s="464">
        <v>12849848</v>
      </c>
      <c r="F512" s="464"/>
      <c r="G512" s="461">
        <v>1431854</v>
      </c>
      <c r="H512" s="461">
        <v>3439182</v>
      </c>
      <c r="I512" s="461">
        <v>546044</v>
      </c>
      <c r="J512" s="464">
        <v>85411</v>
      </c>
      <c r="K512" s="464">
        <v>5502491</v>
      </c>
      <c r="L512" s="464"/>
      <c r="M512" s="461">
        <v>30825</v>
      </c>
      <c r="N512" s="461">
        <v>0</v>
      </c>
      <c r="O512" s="461">
        <v>0</v>
      </c>
      <c r="P512" s="464">
        <v>200442</v>
      </c>
      <c r="Q512" s="464">
        <v>231267</v>
      </c>
      <c r="R512" s="464"/>
      <c r="S512" s="461">
        <v>3690834</v>
      </c>
      <c r="T512" s="462">
        <v>-57969</v>
      </c>
      <c r="U512" s="462">
        <v>3632865</v>
      </c>
      <c r="W512" s="464">
        <v>22261858</v>
      </c>
      <c r="X512" s="464">
        <v>5101001</v>
      </c>
    </row>
    <row r="513" spans="1:24">
      <c r="A513" s="458">
        <v>95413</v>
      </c>
      <c r="B513" s="459" t="s">
        <v>1217</v>
      </c>
      <c r="C513" s="463">
        <v>2.3954E-4</v>
      </c>
      <c r="D513" s="463">
        <v>2.588E-4</v>
      </c>
      <c r="E513" s="464">
        <v>1586494</v>
      </c>
      <c r="F513" s="464"/>
      <c r="G513" s="461">
        <v>176782</v>
      </c>
      <c r="H513" s="461">
        <v>424615</v>
      </c>
      <c r="I513" s="461">
        <v>67417</v>
      </c>
      <c r="J513" s="464">
        <v>28529</v>
      </c>
      <c r="K513" s="464">
        <v>697343</v>
      </c>
      <c r="L513" s="464"/>
      <c r="M513" s="461">
        <v>3806</v>
      </c>
      <c r="N513" s="461">
        <v>0</v>
      </c>
      <c r="O513" s="461">
        <v>0</v>
      </c>
      <c r="P513" s="464">
        <v>56987</v>
      </c>
      <c r="Q513" s="464">
        <v>60793</v>
      </c>
      <c r="R513" s="464"/>
      <c r="S513" s="461">
        <v>455685</v>
      </c>
      <c r="T513" s="462">
        <v>-10496</v>
      </c>
      <c r="U513" s="462">
        <v>445189</v>
      </c>
      <c r="W513" s="464">
        <v>2748539</v>
      </c>
      <c r="X513" s="464">
        <v>629790</v>
      </c>
    </row>
    <row r="514" spans="1:24">
      <c r="A514" s="458">
        <v>95415</v>
      </c>
      <c r="B514" s="459" t="s">
        <v>1218</v>
      </c>
      <c r="C514" s="463">
        <v>6.0770000000000003E-5</v>
      </c>
      <c r="D514" s="463">
        <v>7.2100000000000004E-5</v>
      </c>
      <c r="E514" s="464">
        <v>402485</v>
      </c>
      <c r="F514" s="464"/>
      <c r="G514" s="461">
        <v>44849</v>
      </c>
      <c r="H514" s="461">
        <v>107723</v>
      </c>
      <c r="I514" s="461">
        <v>17103</v>
      </c>
      <c r="J514" s="464">
        <v>14322</v>
      </c>
      <c r="K514" s="464">
        <v>183997</v>
      </c>
      <c r="L514" s="464"/>
      <c r="M514" s="461">
        <v>966</v>
      </c>
      <c r="N514" s="461">
        <v>0</v>
      </c>
      <c r="O514" s="461">
        <v>0</v>
      </c>
      <c r="P514" s="464">
        <v>33990</v>
      </c>
      <c r="Q514" s="464">
        <v>34956</v>
      </c>
      <c r="R514" s="464"/>
      <c r="S514" s="461">
        <v>115605</v>
      </c>
      <c r="T514" s="462">
        <v>-6756</v>
      </c>
      <c r="U514" s="462">
        <v>108849</v>
      </c>
      <c r="W514" s="464">
        <v>697289</v>
      </c>
      <c r="X514" s="464">
        <v>159774</v>
      </c>
    </row>
    <row r="515" spans="1:24">
      <c r="A515" s="458">
        <v>95421</v>
      </c>
      <c r="B515" s="459" t="s">
        <v>1219</v>
      </c>
      <c r="C515" s="463">
        <v>3.2190000000000002E-5</v>
      </c>
      <c r="D515" s="463">
        <v>4.0200000000000001E-5</v>
      </c>
      <c r="E515" s="464">
        <v>213197</v>
      </c>
      <c r="F515" s="464"/>
      <c r="G515" s="461">
        <v>23756</v>
      </c>
      <c r="H515" s="461">
        <v>57061</v>
      </c>
      <c r="I515" s="461">
        <v>9060</v>
      </c>
      <c r="J515" s="464">
        <v>13220</v>
      </c>
      <c r="K515" s="464">
        <v>103097</v>
      </c>
      <c r="L515" s="464"/>
      <c r="M515" s="461">
        <v>511</v>
      </c>
      <c r="N515" s="461">
        <v>0</v>
      </c>
      <c r="O515" s="461">
        <v>0</v>
      </c>
      <c r="P515" s="464">
        <v>16200</v>
      </c>
      <c r="Q515" s="464">
        <v>16711</v>
      </c>
      <c r="R515" s="464"/>
      <c r="S515" s="461">
        <v>61236</v>
      </c>
      <c r="T515" s="462">
        <v>-2512</v>
      </c>
      <c r="U515" s="462">
        <v>58724</v>
      </c>
      <c r="W515" s="464">
        <v>369356</v>
      </c>
      <c r="X515" s="464">
        <v>84633</v>
      </c>
    </row>
    <row r="516" spans="1:24">
      <c r="A516" s="458">
        <v>95431</v>
      </c>
      <c r="B516" s="459" t="s">
        <v>1220</v>
      </c>
      <c r="C516" s="463">
        <v>1.1739999999999999E-4</v>
      </c>
      <c r="D516" s="463">
        <v>1.606E-4</v>
      </c>
      <c r="E516" s="464">
        <v>777550</v>
      </c>
      <c r="F516" s="464"/>
      <c r="G516" s="461">
        <v>86642</v>
      </c>
      <c r="H516" s="461">
        <v>208107</v>
      </c>
      <c r="I516" s="461">
        <v>33041</v>
      </c>
      <c r="J516" s="464">
        <v>41457</v>
      </c>
      <c r="K516" s="464">
        <v>369247</v>
      </c>
      <c r="L516" s="464"/>
      <c r="M516" s="461">
        <v>1865</v>
      </c>
      <c r="N516" s="461">
        <v>0</v>
      </c>
      <c r="O516" s="461">
        <v>0</v>
      </c>
      <c r="P516" s="464">
        <v>101299</v>
      </c>
      <c r="Q516" s="464">
        <v>103164</v>
      </c>
      <c r="R516" s="464"/>
      <c r="S516" s="461">
        <v>223334</v>
      </c>
      <c r="T516" s="462">
        <v>-17910</v>
      </c>
      <c r="U516" s="462">
        <v>205424</v>
      </c>
      <c r="W516" s="464">
        <v>1347076</v>
      </c>
      <c r="X516" s="464">
        <v>308664</v>
      </c>
    </row>
    <row r="517" spans="1:24">
      <c r="A517" s="458">
        <v>95501</v>
      </c>
      <c r="B517" s="459" t="s">
        <v>1221</v>
      </c>
      <c r="C517" s="463">
        <v>5.6636400000000002E-3</v>
      </c>
      <c r="D517" s="463">
        <v>5.5094999999999996E-3</v>
      </c>
      <c r="E517" s="464">
        <v>37510780</v>
      </c>
      <c r="F517" s="464"/>
      <c r="G517" s="461">
        <v>4179812</v>
      </c>
      <c r="H517" s="461">
        <v>10039527</v>
      </c>
      <c r="I517" s="461">
        <v>1593992</v>
      </c>
      <c r="J517" s="464">
        <v>478643</v>
      </c>
      <c r="K517" s="464">
        <v>16291974</v>
      </c>
      <c r="L517" s="464"/>
      <c r="M517" s="461">
        <v>89984</v>
      </c>
      <c r="N517" s="461">
        <v>0</v>
      </c>
      <c r="O517" s="461">
        <v>0</v>
      </c>
      <c r="P517" s="464">
        <v>82336</v>
      </c>
      <c r="Q517" s="464">
        <v>172320</v>
      </c>
      <c r="R517" s="464"/>
      <c r="S517" s="461">
        <v>10774141</v>
      </c>
      <c r="T517" s="462">
        <v>284949</v>
      </c>
      <c r="U517" s="462">
        <v>11059090</v>
      </c>
      <c r="W517" s="464">
        <v>64985953</v>
      </c>
      <c r="X517" s="464">
        <v>14890644</v>
      </c>
    </row>
    <row r="518" spans="1:24">
      <c r="A518" s="458">
        <v>95504</v>
      </c>
      <c r="B518" s="459" t="s">
        <v>1222</v>
      </c>
      <c r="C518" s="463">
        <v>3.0899999999999999E-5</v>
      </c>
      <c r="D518" s="463">
        <v>3.1900000000000003E-5</v>
      </c>
      <c r="E518" s="464">
        <v>204653</v>
      </c>
      <c r="F518" s="464"/>
      <c r="G518" s="461">
        <v>22804</v>
      </c>
      <c r="H518" s="461">
        <v>54774</v>
      </c>
      <c r="I518" s="461">
        <v>8697</v>
      </c>
      <c r="J518" s="464">
        <v>20777</v>
      </c>
      <c r="K518" s="464">
        <v>107052</v>
      </c>
      <c r="L518" s="464"/>
      <c r="M518" s="461">
        <v>491</v>
      </c>
      <c r="N518" s="461">
        <v>0</v>
      </c>
      <c r="O518" s="461">
        <v>0</v>
      </c>
      <c r="P518" s="464">
        <v>0</v>
      </c>
      <c r="Q518" s="464">
        <v>491</v>
      </c>
      <c r="R518" s="464"/>
      <c r="S518" s="461">
        <v>58782</v>
      </c>
      <c r="T518" s="462">
        <v>17834</v>
      </c>
      <c r="U518" s="462">
        <v>76616</v>
      </c>
      <c r="W518" s="464">
        <v>354554</v>
      </c>
      <c r="X518" s="464">
        <v>81241</v>
      </c>
    </row>
    <row r="519" spans="1:24">
      <c r="A519" s="458">
        <v>95511</v>
      </c>
      <c r="B519" s="459" t="s">
        <v>1223</v>
      </c>
      <c r="C519" s="463">
        <v>1.1026899999999999E-3</v>
      </c>
      <c r="D519" s="463">
        <v>1.1253000000000001E-3</v>
      </c>
      <c r="E519" s="464">
        <v>7303212</v>
      </c>
      <c r="F519" s="464"/>
      <c r="G519" s="461">
        <v>813794</v>
      </c>
      <c r="H519" s="461">
        <v>1954659</v>
      </c>
      <c r="I519" s="461">
        <v>310344</v>
      </c>
      <c r="J519" s="464">
        <v>122881</v>
      </c>
      <c r="K519" s="464">
        <v>3201678</v>
      </c>
      <c r="L519" s="464"/>
      <c r="M519" s="461">
        <v>17520</v>
      </c>
      <c r="N519" s="461">
        <v>0</v>
      </c>
      <c r="O519" s="461">
        <v>0</v>
      </c>
      <c r="P519" s="464">
        <v>56848</v>
      </c>
      <c r="Q519" s="464">
        <v>74368</v>
      </c>
      <c r="R519" s="464"/>
      <c r="S519" s="461">
        <v>2097686</v>
      </c>
      <c r="T519" s="462">
        <v>100552</v>
      </c>
      <c r="U519" s="462">
        <v>2198238</v>
      </c>
      <c r="W519" s="464">
        <v>12652528</v>
      </c>
      <c r="X519" s="464">
        <v>2899154</v>
      </c>
    </row>
    <row r="520" spans="1:24">
      <c r="A520" s="458">
        <v>95513</v>
      </c>
      <c r="B520" s="459" t="s">
        <v>1224</v>
      </c>
      <c r="C520" s="463">
        <v>4.7379999999999997E-5</v>
      </c>
      <c r="D520" s="463">
        <v>5.3000000000000001E-5</v>
      </c>
      <c r="E520" s="464">
        <v>313802</v>
      </c>
      <c r="F520" s="464"/>
      <c r="G520" s="461">
        <v>34967</v>
      </c>
      <c r="H520" s="461">
        <v>83987</v>
      </c>
      <c r="I520" s="461">
        <v>13335</v>
      </c>
      <c r="J520" s="464">
        <v>15338</v>
      </c>
      <c r="K520" s="464">
        <v>147627</v>
      </c>
      <c r="L520" s="464"/>
      <c r="M520" s="461">
        <v>753</v>
      </c>
      <c r="N520" s="461">
        <v>0</v>
      </c>
      <c r="O520" s="461">
        <v>0</v>
      </c>
      <c r="P520" s="464">
        <v>4897</v>
      </c>
      <c r="Q520" s="464">
        <v>5650</v>
      </c>
      <c r="R520" s="464"/>
      <c r="S520" s="461">
        <v>90133</v>
      </c>
      <c r="T520" s="462">
        <v>17553</v>
      </c>
      <c r="U520" s="462">
        <v>107686</v>
      </c>
      <c r="W520" s="464">
        <v>543649</v>
      </c>
      <c r="X520" s="464">
        <v>124570</v>
      </c>
    </row>
    <row r="521" spans="1:24">
      <c r="A521" s="458">
        <v>95517</v>
      </c>
      <c r="B521" s="459" t="s">
        <v>1225</v>
      </c>
      <c r="C521" s="463">
        <v>1.8110000000000001E-5</v>
      </c>
      <c r="D521" s="463">
        <v>1.6699999999999999E-5</v>
      </c>
      <c r="E521" s="464">
        <v>119944</v>
      </c>
      <c r="F521" s="464"/>
      <c r="G521" s="461">
        <v>13365</v>
      </c>
      <c r="H521" s="461">
        <v>32102</v>
      </c>
      <c r="I521" s="461">
        <v>5097</v>
      </c>
      <c r="J521" s="464">
        <v>9522</v>
      </c>
      <c r="K521" s="464">
        <v>60086</v>
      </c>
      <c r="L521" s="464"/>
      <c r="M521" s="461">
        <v>288</v>
      </c>
      <c r="N521" s="461">
        <v>0</v>
      </c>
      <c r="O521" s="461">
        <v>0</v>
      </c>
      <c r="P521" s="464">
        <v>997</v>
      </c>
      <c r="Q521" s="464">
        <v>1285</v>
      </c>
      <c r="R521" s="464"/>
      <c r="S521" s="461">
        <v>34451</v>
      </c>
      <c r="T521" s="462">
        <v>3007</v>
      </c>
      <c r="U521" s="462">
        <v>37458</v>
      </c>
      <c r="W521" s="464">
        <v>207798</v>
      </c>
      <c r="X521" s="464">
        <v>47614</v>
      </c>
    </row>
    <row r="522" spans="1:24">
      <c r="A522" s="458">
        <v>95601</v>
      </c>
      <c r="B522" s="459" t="s">
        <v>1226</v>
      </c>
      <c r="C522" s="463">
        <v>2.3978699999999999E-3</v>
      </c>
      <c r="D522" s="463">
        <v>2.2116000000000002E-3</v>
      </c>
      <c r="E522" s="464">
        <v>15881302</v>
      </c>
      <c r="F522" s="464"/>
      <c r="G522" s="461">
        <v>1769647</v>
      </c>
      <c r="H522" s="461">
        <v>4250532</v>
      </c>
      <c r="I522" s="461">
        <v>674864</v>
      </c>
      <c r="J522" s="464">
        <v>563767</v>
      </c>
      <c r="K522" s="464">
        <v>7258810</v>
      </c>
      <c r="L522" s="464"/>
      <c r="M522" s="461">
        <v>38097</v>
      </c>
      <c r="N522" s="461">
        <v>0</v>
      </c>
      <c r="O522" s="461">
        <v>0</v>
      </c>
      <c r="P522" s="464">
        <v>112079</v>
      </c>
      <c r="Q522" s="464">
        <v>150176</v>
      </c>
      <c r="R522" s="464"/>
      <c r="S522" s="461">
        <v>4561552</v>
      </c>
      <c r="T522" s="462">
        <v>62872</v>
      </c>
      <c r="U522" s="462">
        <v>4624424</v>
      </c>
      <c r="W522" s="464">
        <v>27513731</v>
      </c>
      <c r="X522" s="464">
        <v>6304396</v>
      </c>
    </row>
    <row r="523" spans="1:24">
      <c r="A523" s="458">
        <v>95611</v>
      </c>
      <c r="B523" s="459" t="s">
        <v>1227</v>
      </c>
      <c r="C523" s="463">
        <v>3.4748E-4</v>
      </c>
      <c r="D523" s="463">
        <v>3.2840000000000001E-4</v>
      </c>
      <c r="E523" s="464">
        <v>2301390</v>
      </c>
      <c r="F523" s="464"/>
      <c r="G523" s="461">
        <v>256443</v>
      </c>
      <c r="H523" s="461">
        <v>615953</v>
      </c>
      <c r="I523" s="461">
        <v>97796</v>
      </c>
      <c r="J523" s="464">
        <v>45608</v>
      </c>
      <c r="K523" s="464">
        <v>1015800</v>
      </c>
      <c r="L523" s="464"/>
      <c r="M523" s="461">
        <v>5521</v>
      </c>
      <c r="N523" s="461">
        <v>0</v>
      </c>
      <c r="O523" s="461">
        <v>0</v>
      </c>
      <c r="P523" s="464">
        <v>24210</v>
      </c>
      <c r="Q523" s="464">
        <v>29731</v>
      </c>
      <c r="R523" s="464"/>
      <c r="S523" s="461">
        <v>661023</v>
      </c>
      <c r="T523" s="462">
        <v>-2817</v>
      </c>
      <c r="U523" s="462">
        <v>658206</v>
      </c>
      <c r="W523" s="464">
        <v>3987068</v>
      </c>
      <c r="X523" s="464">
        <v>913582</v>
      </c>
    </row>
    <row r="524" spans="1:24">
      <c r="A524" s="458">
        <v>95617</v>
      </c>
      <c r="B524" s="459" t="s">
        <v>1228</v>
      </c>
      <c r="C524" s="463">
        <v>1.8899999999999999E-5</v>
      </c>
      <c r="D524" s="463">
        <v>1.8300000000000001E-5</v>
      </c>
      <c r="E524" s="464">
        <v>125176</v>
      </c>
      <c r="F524" s="464"/>
      <c r="G524" s="461">
        <v>13948</v>
      </c>
      <c r="H524" s="461">
        <v>33503</v>
      </c>
      <c r="I524" s="461">
        <v>5319</v>
      </c>
      <c r="J524" s="464">
        <v>8318</v>
      </c>
      <c r="K524" s="464">
        <v>61088</v>
      </c>
      <c r="L524" s="464"/>
      <c r="M524" s="461">
        <v>300</v>
      </c>
      <c r="N524" s="461">
        <v>0</v>
      </c>
      <c r="O524" s="461">
        <v>0</v>
      </c>
      <c r="P524" s="464">
        <v>0</v>
      </c>
      <c r="Q524" s="464">
        <v>300</v>
      </c>
      <c r="R524" s="464"/>
      <c r="S524" s="461">
        <v>35954</v>
      </c>
      <c r="T524" s="462">
        <v>5235</v>
      </c>
      <c r="U524" s="462">
        <v>41189</v>
      </c>
      <c r="W524" s="464">
        <v>216863</v>
      </c>
      <c r="X524" s="464">
        <v>49691</v>
      </c>
    </row>
    <row r="525" spans="1:24">
      <c r="A525" s="458">
        <v>95621</v>
      </c>
      <c r="B525" s="459" t="s">
        <v>1229</v>
      </c>
      <c r="C525" s="463">
        <v>3.8950999999999998E-4</v>
      </c>
      <c r="D525" s="463">
        <v>4.573E-4</v>
      </c>
      <c r="E525" s="464">
        <v>2579759</v>
      </c>
      <c r="F525" s="464"/>
      <c r="G525" s="461">
        <v>287461</v>
      </c>
      <c r="H525" s="461">
        <v>690456</v>
      </c>
      <c r="I525" s="461">
        <v>109625</v>
      </c>
      <c r="J525" s="464">
        <v>30638</v>
      </c>
      <c r="K525" s="464">
        <v>1118180</v>
      </c>
      <c r="L525" s="464"/>
      <c r="M525" s="461">
        <v>6189</v>
      </c>
      <c r="N525" s="461">
        <v>0</v>
      </c>
      <c r="O525" s="461">
        <v>0</v>
      </c>
      <c r="P525" s="464">
        <v>139121</v>
      </c>
      <c r="Q525" s="464">
        <v>145310</v>
      </c>
      <c r="R525" s="464"/>
      <c r="S525" s="461">
        <v>740979</v>
      </c>
      <c r="T525" s="462">
        <v>-23766</v>
      </c>
      <c r="U525" s="462">
        <v>717213</v>
      </c>
      <c r="W525" s="464">
        <v>4469330</v>
      </c>
      <c r="X525" s="464">
        <v>1024086</v>
      </c>
    </row>
    <row r="526" spans="1:24">
      <c r="A526" s="458">
        <v>95701</v>
      </c>
      <c r="B526" s="459" t="s">
        <v>1230</v>
      </c>
      <c r="C526" s="463">
        <v>1.1167099999999999E-3</v>
      </c>
      <c r="D526" s="463">
        <v>1.1988000000000001E-3</v>
      </c>
      <c r="E526" s="464">
        <v>7396067</v>
      </c>
      <c r="F526" s="464"/>
      <c r="G526" s="461">
        <v>824141</v>
      </c>
      <c r="H526" s="461">
        <v>1979511</v>
      </c>
      <c r="I526" s="461">
        <v>314290</v>
      </c>
      <c r="J526" s="464">
        <v>10798</v>
      </c>
      <c r="K526" s="464">
        <v>3128740</v>
      </c>
      <c r="L526" s="464"/>
      <c r="M526" s="461">
        <v>17742</v>
      </c>
      <c r="N526" s="461">
        <v>0</v>
      </c>
      <c r="O526" s="461">
        <v>0</v>
      </c>
      <c r="P526" s="464">
        <v>203408</v>
      </c>
      <c r="Q526" s="464">
        <v>221150</v>
      </c>
      <c r="R526" s="464"/>
      <c r="S526" s="461">
        <v>2124357</v>
      </c>
      <c r="T526" s="462">
        <v>-113450</v>
      </c>
      <c r="U526" s="462">
        <v>2010907</v>
      </c>
      <c r="W526" s="464">
        <v>12813396</v>
      </c>
      <c r="X526" s="464">
        <v>2936015</v>
      </c>
    </row>
    <row r="527" spans="1:24">
      <c r="A527" s="458">
        <v>95711</v>
      </c>
      <c r="B527" s="459" t="s">
        <v>1231</v>
      </c>
      <c r="C527" s="463">
        <v>1.7785000000000001E-4</v>
      </c>
      <c r="D527" s="463">
        <v>1.652E-4</v>
      </c>
      <c r="E527" s="464">
        <v>1177916</v>
      </c>
      <c r="F527" s="464"/>
      <c r="G527" s="461">
        <v>131255</v>
      </c>
      <c r="H527" s="461">
        <v>315262</v>
      </c>
      <c r="I527" s="461">
        <v>50055</v>
      </c>
      <c r="J527" s="464">
        <v>17308</v>
      </c>
      <c r="K527" s="464">
        <v>513880</v>
      </c>
      <c r="L527" s="464"/>
      <c r="M527" s="461">
        <v>2826</v>
      </c>
      <c r="N527" s="461">
        <v>0</v>
      </c>
      <c r="O527" s="461">
        <v>0</v>
      </c>
      <c r="P527" s="464">
        <v>12812</v>
      </c>
      <c r="Q527" s="464">
        <v>15638</v>
      </c>
      <c r="R527" s="464"/>
      <c r="S527" s="461">
        <v>338330</v>
      </c>
      <c r="T527" s="462">
        <v>589</v>
      </c>
      <c r="U527" s="462">
        <v>338919</v>
      </c>
      <c r="W527" s="464">
        <v>2040693</v>
      </c>
      <c r="X527" s="464">
        <v>467597</v>
      </c>
    </row>
    <row r="528" spans="1:24">
      <c r="A528" s="458">
        <v>95721</v>
      </c>
      <c r="B528" s="459" t="s">
        <v>1232</v>
      </c>
      <c r="C528" s="463">
        <v>5.6579999999999997E-5</v>
      </c>
      <c r="D528" s="463">
        <v>5.52E-5</v>
      </c>
      <c r="E528" s="464">
        <v>374734</v>
      </c>
      <c r="F528" s="464"/>
      <c r="G528" s="461">
        <v>41756</v>
      </c>
      <c r="H528" s="461">
        <v>100295</v>
      </c>
      <c r="I528" s="461">
        <v>15924</v>
      </c>
      <c r="J528" s="464">
        <v>14397</v>
      </c>
      <c r="K528" s="464">
        <v>172372</v>
      </c>
      <c r="L528" s="464"/>
      <c r="M528" s="461">
        <v>899</v>
      </c>
      <c r="N528" s="461">
        <v>0</v>
      </c>
      <c r="O528" s="461">
        <v>0</v>
      </c>
      <c r="P528" s="464">
        <v>7502</v>
      </c>
      <c r="Q528" s="464">
        <v>8401</v>
      </c>
      <c r="R528" s="464"/>
      <c r="S528" s="461">
        <v>107634</v>
      </c>
      <c r="T528" s="462">
        <v>552</v>
      </c>
      <c r="U528" s="462">
        <v>108186</v>
      </c>
      <c r="W528" s="464">
        <v>649212</v>
      </c>
      <c r="X528" s="464">
        <v>148758</v>
      </c>
    </row>
    <row r="529" spans="1:24">
      <c r="A529" s="458">
        <v>95733</v>
      </c>
      <c r="B529" s="459" t="s">
        <v>1233</v>
      </c>
      <c r="C529" s="463">
        <v>1.173E-5</v>
      </c>
      <c r="D529" s="463">
        <v>1.2799999999999999E-5</v>
      </c>
      <c r="E529" s="464">
        <v>77689</v>
      </c>
      <c r="F529" s="464"/>
      <c r="G529" s="461">
        <v>8657</v>
      </c>
      <c r="H529" s="461">
        <v>20793</v>
      </c>
      <c r="I529" s="461">
        <v>3301</v>
      </c>
      <c r="J529" s="464">
        <v>1420</v>
      </c>
      <c r="K529" s="464">
        <v>34171</v>
      </c>
      <c r="L529" s="464"/>
      <c r="M529" s="461">
        <v>186</v>
      </c>
      <c r="N529" s="461">
        <v>0</v>
      </c>
      <c r="O529" s="461">
        <v>0</v>
      </c>
      <c r="P529" s="464">
        <v>1726</v>
      </c>
      <c r="Q529" s="464">
        <v>1912</v>
      </c>
      <c r="R529" s="464"/>
      <c r="S529" s="461">
        <v>22314</v>
      </c>
      <c r="T529" s="462">
        <v>-133</v>
      </c>
      <c r="U529" s="462">
        <v>22181</v>
      </c>
      <c r="W529" s="464">
        <v>134593</v>
      </c>
      <c r="X529" s="464">
        <v>30840</v>
      </c>
    </row>
    <row r="530" spans="1:24">
      <c r="A530" s="458">
        <v>95801</v>
      </c>
      <c r="B530" s="459" t="s">
        <v>1234</v>
      </c>
      <c r="C530" s="463">
        <v>8.3903000000000005E-4</v>
      </c>
      <c r="D530" s="463">
        <v>9.0350000000000001E-4</v>
      </c>
      <c r="E530" s="464">
        <v>5556969</v>
      </c>
      <c r="F530" s="464"/>
      <c r="G530" s="461">
        <v>619211</v>
      </c>
      <c r="H530" s="461">
        <v>1487288</v>
      </c>
      <c r="I530" s="461">
        <v>236139</v>
      </c>
      <c r="J530" s="464">
        <v>42917</v>
      </c>
      <c r="K530" s="464">
        <v>2385555</v>
      </c>
      <c r="L530" s="464"/>
      <c r="M530" s="461">
        <v>13331</v>
      </c>
      <c r="N530" s="461">
        <v>0</v>
      </c>
      <c r="O530" s="461">
        <v>0</v>
      </c>
      <c r="P530" s="464">
        <v>106553</v>
      </c>
      <c r="Q530" s="464">
        <v>119884</v>
      </c>
      <c r="R530" s="464"/>
      <c r="S530" s="461">
        <v>1596116</v>
      </c>
      <c r="T530" s="462">
        <v>-19893</v>
      </c>
      <c r="U530" s="462">
        <v>1576223</v>
      </c>
      <c r="W530" s="464">
        <v>9627230</v>
      </c>
      <c r="X530" s="464">
        <v>2205948</v>
      </c>
    </row>
    <row r="531" spans="1:24">
      <c r="A531" s="458">
        <v>95802</v>
      </c>
      <c r="B531" s="459" t="s">
        <v>1235</v>
      </c>
      <c r="C531" s="463">
        <v>1.1909999999999999E-5</v>
      </c>
      <c r="D531" s="463">
        <v>6.8000000000000001E-6</v>
      </c>
      <c r="E531" s="464">
        <v>78881</v>
      </c>
      <c r="F531" s="464"/>
      <c r="G531" s="461">
        <v>8790</v>
      </c>
      <c r="H531" s="461">
        <v>21112</v>
      </c>
      <c r="I531" s="461">
        <v>3352</v>
      </c>
      <c r="J531" s="464">
        <v>13701</v>
      </c>
      <c r="K531" s="464">
        <v>46955</v>
      </c>
      <c r="L531" s="464"/>
      <c r="M531" s="461">
        <v>189</v>
      </c>
      <c r="N531" s="461">
        <v>0</v>
      </c>
      <c r="O531" s="461">
        <v>0</v>
      </c>
      <c r="P531" s="464">
        <v>114</v>
      </c>
      <c r="Q531" s="464">
        <v>303</v>
      </c>
      <c r="R531" s="464"/>
      <c r="S531" s="461">
        <v>22657</v>
      </c>
      <c r="T531" s="462">
        <v>7907</v>
      </c>
      <c r="U531" s="462">
        <v>30564</v>
      </c>
      <c r="W531" s="464">
        <v>136658</v>
      </c>
      <c r="X531" s="464">
        <v>31313</v>
      </c>
    </row>
    <row r="532" spans="1:24">
      <c r="A532" s="458">
        <v>95804</v>
      </c>
      <c r="B532" s="459" t="s">
        <v>1236</v>
      </c>
      <c r="C532" s="463">
        <v>2.745E-5</v>
      </c>
      <c r="D532" s="463">
        <v>2.65E-5</v>
      </c>
      <c r="E532" s="464">
        <v>181804</v>
      </c>
      <c r="F532" s="464"/>
      <c r="G532" s="461">
        <v>20258</v>
      </c>
      <c r="H532" s="461">
        <v>48659</v>
      </c>
      <c r="I532" s="461">
        <v>7726</v>
      </c>
      <c r="J532" s="464">
        <v>1364</v>
      </c>
      <c r="K532" s="464">
        <v>78007</v>
      </c>
      <c r="L532" s="464"/>
      <c r="M532" s="461">
        <v>436</v>
      </c>
      <c r="N532" s="461">
        <v>0</v>
      </c>
      <c r="O532" s="461">
        <v>0</v>
      </c>
      <c r="P532" s="464">
        <v>3021</v>
      </c>
      <c r="Q532" s="464">
        <v>3457</v>
      </c>
      <c r="R532" s="464"/>
      <c r="S532" s="461">
        <v>52219</v>
      </c>
      <c r="T532" s="462">
        <v>-1850</v>
      </c>
      <c r="U532" s="462">
        <v>50369</v>
      </c>
      <c r="W532" s="464">
        <v>314968</v>
      </c>
      <c r="X532" s="464">
        <v>72171</v>
      </c>
    </row>
    <row r="533" spans="1:24">
      <c r="A533" s="458">
        <v>95811</v>
      </c>
      <c r="B533" s="459" t="s">
        <v>1237</v>
      </c>
      <c r="C533" s="463">
        <v>4.9605999999999999E-4</v>
      </c>
      <c r="D533" s="463">
        <v>5.1659999999999998E-4</v>
      </c>
      <c r="E533" s="464">
        <v>3285449</v>
      </c>
      <c r="F533" s="464"/>
      <c r="G533" s="461">
        <v>366096</v>
      </c>
      <c r="H533" s="461">
        <v>879330</v>
      </c>
      <c r="I533" s="461">
        <v>139613</v>
      </c>
      <c r="J533" s="464">
        <v>0</v>
      </c>
      <c r="K533" s="464">
        <v>1385039</v>
      </c>
      <c r="L533" s="464"/>
      <c r="M533" s="461">
        <v>7881</v>
      </c>
      <c r="N533" s="461">
        <v>0</v>
      </c>
      <c r="O533" s="461">
        <v>0</v>
      </c>
      <c r="P533" s="464">
        <v>87237</v>
      </c>
      <c r="Q533" s="464">
        <v>95118</v>
      </c>
      <c r="R533" s="464"/>
      <c r="S533" s="461">
        <v>943672</v>
      </c>
      <c r="T533" s="462">
        <v>-36679</v>
      </c>
      <c r="U533" s="462">
        <v>906993</v>
      </c>
      <c r="W533" s="464">
        <v>5691911</v>
      </c>
      <c r="X533" s="464">
        <v>1304224</v>
      </c>
    </row>
    <row r="534" spans="1:24">
      <c r="A534" s="458">
        <v>95813</v>
      </c>
      <c r="B534" s="459" t="s">
        <v>1238</v>
      </c>
      <c r="C534" s="463">
        <v>3.9140000000000001E-5</v>
      </c>
      <c r="D534" s="463">
        <v>3.8399999999999998E-5</v>
      </c>
      <c r="E534" s="464">
        <v>259228</v>
      </c>
      <c r="F534" s="464"/>
      <c r="G534" s="461">
        <v>28886</v>
      </c>
      <c r="H534" s="461">
        <v>69381</v>
      </c>
      <c r="I534" s="461">
        <v>11016</v>
      </c>
      <c r="J534" s="464">
        <v>20091</v>
      </c>
      <c r="K534" s="464">
        <v>129374</v>
      </c>
      <c r="L534" s="464"/>
      <c r="M534" s="461">
        <v>622</v>
      </c>
      <c r="N534" s="461">
        <v>0</v>
      </c>
      <c r="O534" s="461">
        <v>0</v>
      </c>
      <c r="P534" s="464">
        <v>8752</v>
      </c>
      <c r="Q534" s="464">
        <v>9374</v>
      </c>
      <c r="R534" s="464"/>
      <c r="S534" s="461">
        <v>74457</v>
      </c>
      <c r="T534" s="462">
        <v>14518</v>
      </c>
      <c r="U534" s="462">
        <v>88975</v>
      </c>
      <c r="W534" s="464">
        <v>449102</v>
      </c>
      <c r="X534" s="464">
        <v>102906</v>
      </c>
    </row>
    <row r="535" spans="1:24">
      <c r="A535" s="458">
        <v>95821</v>
      </c>
      <c r="B535" s="459" t="s">
        <v>1239</v>
      </c>
      <c r="C535" s="463">
        <v>2.2400000000000002E-6</v>
      </c>
      <c r="D535" s="463">
        <v>8.1999999999999994E-6</v>
      </c>
      <c r="E535" s="464">
        <v>14836</v>
      </c>
      <c r="F535" s="464"/>
      <c r="G535" s="461">
        <v>1653</v>
      </c>
      <c r="H535" s="461">
        <v>3971</v>
      </c>
      <c r="I535" s="461">
        <v>630</v>
      </c>
      <c r="J535" s="464">
        <v>1663</v>
      </c>
      <c r="K535" s="464">
        <v>7917</v>
      </c>
      <c r="L535" s="464"/>
      <c r="M535" s="461">
        <v>36</v>
      </c>
      <c r="N535" s="461">
        <v>0</v>
      </c>
      <c r="O535" s="461">
        <v>0</v>
      </c>
      <c r="P535" s="464">
        <v>14191</v>
      </c>
      <c r="Q535" s="464">
        <v>14227</v>
      </c>
      <c r="R535" s="464"/>
      <c r="S535" s="461">
        <v>4261</v>
      </c>
      <c r="T535" s="462">
        <v>-2968</v>
      </c>
      <c r="U535" s="462">
        <v>1293</v>
      </c>
      <c r="W535" s="464">
        <v>25702</v>
      </c>
      <c r="X535" s="464">
        <v>5889</v>
      </c>
    </row>
    <row r="536" spans="1:24">
      <c r="A536" s="458">
        <v>95831</v>
      </c>
      <c r="B536" s="459" t="s">
        <v>1240</v>
      </c>
      <c r="C536" s="463">
        <v>1.8349999999999999E-5</v>
      </c>
      <c r="D536" s="463">
        <v>1.91E-5</v>
      </c>
      <c r="E536" s="464">
        <v>121534</v>
      </c>
      <c r="F536" s="464"/>
      <c r="G536" s="461">
        <v>13542</v>
      </c>
      <c r="H536" s="461">
        <v>32528</v>
      </c>
      <c r="I536" s="461">
        <v>5164</v>
      </c>
      <c r="J536" s="464">
        <v>11129</v>
      </c>
      <c r="K536" s="464">
        <v>62363</v>
      </c>
      <c r="L536" s="464"/>
      <c r="M536" s="461">
        <v>292</v>
      </c>
      <c r="N536" s="461">
        <v>0</v>
      </c>
      <c r="O536" s="461">
        <v>0</v>
      </c>
      <c r="P536" s="464">
        <v>1250</v>
      </c>
      <c r="Q536" s="464">
        <v>1542</v>
      </c>
      <c r="R536" s="464"/>
      <c r="S536" s="461">
        <v>34908</v>
      </c>
      <c r="T536" s="462">
        <v>9020</v>
      </c>
      <c r="U536" s="462">
        <v>43928</v>
      </c>
      <c r="W536" s="464">
        <v>210552</v>
      </c>
      <c r="X536" s="464">
        <v>48245</v>
      </c>
    </row>
    <row r="537" spans="1:24">
      <c r="A537" s="458">
        <v>95841</v>
      </c>
      <c r="B537" s="459" t="s">
        <v>1241</v>
      </c>
      <c r="C537" s="463">
        <v>2.1440000000000001E-5</v>
      </c>
      <c r="D537" s="463">
        <v>2.1299999999999999E-5</v>
      </c>
      <c r="E537" s="464">
        <v>141999</v>
      </c>
      <c r="F537" s="464"/>
      <c r="G537" s="461">
        <v>15823</v>
      </c>
      <c r="H537" s="461">
        <v>38005</v>
      </c>
      <c r="I537" s="461">
        <v>6034</v>
      </c>
      <c r="J537" s="464">
        <v>1251</v>
      </c>
      <c r="K537" s="464">
        <v>61113</v>
      </c>
      <c r="L537" s="464"/>
      <c r="M537" s="461">
        <v>341</v>
      </c>
      <c r="N537" s="461">
        <v>0</v>
      </c>
      <c r="O537" s="461">
        <v>0</v>
      </c>
      <c r="P537" s="464">
        <v>5796</v>
      </c>
      <c r="Q537" s="464">
        <v>6137</v>
      </c>
      <c r="R537" s="464"/>
      <c r="S537" s="461">
        <v>40786</v>
      </c>
      <c r="T537" s="462">
        <v>-2281</v>
      </c>
      <c r="U537" s="462">
        <v>38505</v>
      </c>
      <c r="W537" s="464">
        <v>246008</v>
      </c>
      <c r="X537" s="464">
        <v>56369</v>
      </c>
    </row>
    <row r="538" spans="1:24">
      <c r="A538" s="458">
        <v>95851</v>
      </c>
      <c r="B538" s="459" t="s">
        <v>1242</v>
      </c>
      <c r="C538" s="463">
        <v>6.6970000000000004E-5</v>
      </c>
      <c r="D538" s="463">
        <v>9.1199999999999994E-5</v>
      </c>
      <c r="E538" s="464">
        <v>443548</v>
      </c>
      <c r="F538" s="464"/>
      <c r="G538" s="461">
        <v>49424</v>
      </c>
      <c r="H538" s="461">
        <v>118713</v>
      </c>
      <c r="I538" s="461">
        <v>18848</v>
      </c>
      <c r="J538" s="464">
        <v>4267</v>
      </c>
      <c r="K538" s="464">
        <v>191252</v>
      </c>
      <c r="L538" s="464"/>
      <c r="M538" s="461">
        <v>1064</v>
      </c>
      <c r="N538" s="461">
        <v>0</v>
      </c>
      <c r="O538" s="461">
        <v>0</v>
      </c>
      <c r="P538" s="464">
        <v>66866</v>
      </c>
      <c r="Q538" s="464">
        <v>67930</v>
      </c>
      <c r="R538" s="464"/>
      <c r="S538" s="461">
        <v>127399</v>
      </c>
      <c r="T538" s="462">
        <v>-19200</v>
      </c>
      <c r="U538" s="462">
        <v>108199</v>
      </c>
      <c r="W538" s="464">
        <v>768430</v>
      </c>
      <c r="X538" s="464">
        <v>176075</v>
      </c>
    </row>
    <row r="539" spans="1:24">
      <c r="A539" s="458">
        <v>95853</v>
      </c>
      <c r="B539" s="459" t="s">
        <v>1243</v>
      </c>
      <c r="C539" s="463">
        <v>2.194E-5</v>
      </c>
      <c r="D539" s="463">
        <v>2.6100000000000001E-5</v>
      </c>
      <c r="E539" s="464">
        <v>145311</v>
      </c>
      <c r="F539" s="464"/>
      <c r="G539" s="461">
        <v>16192</v>
      </c>
      <c r="H539" s="461">
        <v>38891</v>
      </c>
      <c r="I539" s="461">
        <v>6175</v>
      </c>
      <c r="J539" s="464">
        <v>1006</v>
      </c>
      <c r="K539" s="464">
        <v>62264</v>
      </c>
      <c r="L539" s="464"/>
      <c r="M539" s="461">
        <v>349</v>
      </c>
      <c r="N539" s="461">
        <v>0</v>
      </c>
      <c r="O539" s="461">
        <v>0</v>
      </c>
      <c r="P539" s="464">
        <v>9686</v>
      </c>
      <c r="Q539" s="464">
        <v>10035</v>
      </c>
      <c r="R539" s="464"/>
      <c r="S539" s="461">
        <v>41737</v>
      </c>
      <c r="T539" s="462">
        <v>-3718</v>
      </c>
      <c r="U539" s="462">
        <v>38019</v>
      </c>
      <c r="W539" s="464">
        <v>251745</v>
      </c>
      <c r="X539" s="464">
        <v>57684</v>
      </c>
    </row>
    <row r="540" spans="1:24">
      <c r="A540" s="458">
        <v>95901</v>
      </c>
      <c r="B540" s="459" t="s">
        <v>1244</v>
      </c>
      <c r="C540" s="463">
        <v>2.0972600000000001E-3</v>
      </c>
      <c r="D540" s="463">
        <v>2.2539000000000001E-3</v>
      </c>
      <c r="E540" s="464">
        <v>13890335</v>
      </c>
      <c r="F540" s="464"/>
      <c r="G540" s="461">
        <v>1547795</v>
      </c>
      <c r="H540" s="461">
        <v>3717662</v>
      </c>
      <c r="I540" s="461">
        <v>590259</v>
      </c>
      <c r="J540" s="464">
        <v>291444</v>
      </c>
      <c r="K540" s="464">
        <v>6147160</v>
      </c>
      <c r="L540" s="464"/>
      <c r="M540" s="461">
        <v>33321</v>
      </c>
      <c r="N540" s="461">
        <v>0</v>
      </c>
      <c r="O540" s="461">
        <v>0</v>
      </c>
      <c r="P540" s="464">
        <v>526505</v>
      </c>
      <c r="Q540" s="464">
        <v>559826</v>
      </c>
      <c r="R540" s="464"/>
      <c r="S540" s="461">
        <v>3989691</v>
      </c>
      <c r="T540" s="462">
        <v>-48324</v>
      </c>
      <c r="U540" s="462">
        <v>3941367</v>
      </c>
      <c r="W540" s="464">
        <v>24064460</v>
      </c>
      <c r="X540" s="464">
        <v>5514043</v>
      </c>
    </row>
    <row r="541" spans="1:24">
      <c r="A541" s="458">
        <v>95908</v>
      </c>
      <c r="B541" s="459" t="s">
        <v>1245</v>
      </c>
      <c r="C541" s="463">
        <v>7.2700000000000005E-5</v>
      </c>
      <c r="D541" s="463">
        <v>5.8699999999999997E-5</v>
      </c>
      <c r="E541" s="464">
        <v>481498</v>
      </c>
      <c r="F541" s="464"/>
      <c r="G541" s="461">
        <v>53653</v>
      </c>
      <c r="H541" s="461">
        <v>128870</v>
      </c>
      <c r="I541" s="461">
        <v>20461</v>
      </c>
      <c r="J541" s="464">
        <v>29181</v>
      </c>
      <c r="K541" s="464">
        <v>232165</v>
      </c>
      <c r="L541" s="464"/>
      <c r="M541" s="461">
        <v>1155</v>
      </c>
      <c r="N541" s="461">
        <v>0</v>
      </c>
      <c r="O541" s="461">
        <v>0</v>
      </c>
      <c r="P541" s="464">
        <v>341</v>
      </c>
      <c r="Q541" s="464">
        <v>1496</v>
      </c>
      <c r="R541" s="464"/>
      <c r="S541" s="461">
        <v>138300</v>
      </c>
      <c r="T541" s="462">
        <v>3583</v>
      </c>
      <c r="U541" s="462">
        <v>141883</v>
      </c>
      <c r="W541" s="464">
        <v>834177</v>
      </c>
      <c r="X541" s="464">
        <v>191140</v>
      </c>
    </row>
    <row r="542" spans="1:24">
      <c r="A542" s="458">
        <v>95911</v>
      </c>
      <c r="B542" s="459" t="s">
        <v>1246</v>
      </c>
      <c r="C542" s="463">
        <v>6.2007999999999996E-4</v>
      </c>
      <c r="D542" s="463">
        <v>6.068E-4</v>
      </c>
      <c r="E542" s="464">
        <v>4106844</v>
      </c>
      <c r="F542" s="464"/>
      <c r="G542" s="461">
        <v>457624</v>
      </c>
      <c r="H542" s="461">
        <v>1099171</v>
      </c>
      <c r="I542" s="461">
        <v>174517</v>
      </c>
      <c r="J542" s="464">
        <v>110558</v>
      </c>
      <c r="K542" s="464">
        <v>1841870</v>
      </c>
      <c r="L542" s="464"/>
      <c r="M542" s="461">
        <v>9852</v>
      </c>
      <c r="N542" s="461">
        <v>0</v>
      </c>
      <c r="O542" s="461">
        <v>0</v>
      </c>
      <c r="P542" s="464">
        <v>37282</v>
      </c>
      <c r="Q542" s="464">
        <v>47134</v>
      </c>
      <c r="R542" s="464"/>
      <c r="S542" s="461">
        <v>1179600</v>
      </c>
      <c r="T542" s="462">
        <v>13608</v>
      </c>
      <c r="U542" s="462">
        <v>1193208</v>
      </c>
      <c r="W542" s="464">
        <v>7114945</v>
      </c>
      <c r="X542" s="464">
        <v>1630293</v>
      </c>
    </row>
    <row r="543" spans="1:24">
      <c r="A543" s="458">
        <v>95917</v>
      </c>
      <c r="B543" s="459" t="s">
        <v>1247</v>
      </c>
      <c r="C543" s="463">
        <v>3.046E-5</v>
      </c>
      <c r="D543" s="463">
        <v>3.0700000000000001E-5</v>
      </c>
      <c r="E543" s="464">
        <v>201739</v>
      </c>
      <c r="F543" s="464"/>
      <c r="G543" s="461">
        <v>22480</v>
      </c>
      <c r="H543" s="461">
        <v>53994</v>
      </c>
      <c r="I543" s="461">
        <v>8573</v>
      </c>
      <c r="J543" s="464">
        <v>4773</v>
      </c>
      <c r="K543" s="464">
        <v>89820</v>
      </c>
      <c r="L543" s="464"/>
      <c r="M543" s="461">
        <v>484</v>
      </c>
      <c r="N543" s="461">
        <v>0</v>
      </c>
      <c r="O543" s="461">
        <v>0</v>
      </c>
      <c r="P543" s="464">
        <v>2073</v>
      </c>
      <c r="Q543" s="464">
        <v>2557</v>
      </c>
      <c r="R543" s="464"/>
      <c r="S543" s="461">
        <v>57945</v>
      </c>
      <c r="T543" s="462">
        <v>6197</v>
      </c>
      <c r="U543" s="462">
        <v>64142</v>
      </c>
      <c r="W543" s="464">
        <v>349505</v>
      </c>
      <c r="X543" s="464">
        <v>80084</v>
      </c>
    </row>
    <row r="544" spans="1:24">
      <c r="A544" s="458">
        <v>95921</v>
      </c>
      <c r="B544" s="459" t="s">
        <v>1248</v>
      </c>
      <c r="C544" s="463">
        <v>4.0089999999999997E-5</v>
      </c>
      <c r="D544" s="463">
        <v>4.5200000000000001E-5</v>
      </c>
      <c r="E544" s="464">
        <v>265520</v>
      </c>
      <c r="F544" s="464"/>
      <c r="G544" s="461">
        <v>29587</v>
      </c>
      <c r="H544" s="461">
        <v>71065</v>
      </c>
      <c r="I544" s="461">
        <v>11283</v>
      </c>
      <c r="J544" s="464">
        <v>10597</v>
      </c>
      <c r="K544" s="464">
        <v>122532</v>
      </c>
      <c r="L544" s="464"/>
      <c r="M544" s="461">
        <v>637</v>
      </c>
      <c r="N544" s="461">
        <v>0</v>
      </c>
      <c r="O544" s="461">
        <v>0</v>
      </c>
      <c r="P544" s="464">
        <v>11857</v>
      </c>
      <c r="Q544" s="464">
        <v>12494</v>
      </c>
      <c r="R544" s="464"/>
      <c r="S544" s="461">
        <v>76265</v>
      </c>
      <c r="T544" s="462">
        <v>-1830</v>
      </c>
      <c r="U544" s="462">
        <v>74435</v>
      </c>
      <c r="W544" s="464">
        <v>460002</v>
      </c>
      <c r="X544" s="464">
        <v>105403</v>
      </c>
    </row>
    <row r="545" spans="1:24">
      <c r="A545" s="458">
        <v>96001</v>
      </c>
      <c r="B545" s="459" t="s">
        <v>1249</v>
      </c>
      <c r="C545" s="463">
        <v>4.2781309999999996E-2</v>
      </c>
      <c r="D545" s="463">
        <v>4.4407499999999996E-2</v>
      </c>
      <c r="E545" s="464">
        <v>283344338</v>
      </c>
      <c r="F545" s="464"/>
      <c r="G545" s="461">
        <v>31572949</v>
      </c>
      <c r="H545" s="461">
        <v>75835348</v>
      </c>
      <c r="I545" s="461">
        <v>12040500</v>
      </c>
      <c r="J545" s="464">
        <v>0</v>
      </c>
      <c r="K545" s="464">
        <v>119448797</v>
      </c>
      <c r="L545" s="464"/>
      <c r="M545" s="461">
        <v>679709</v>
      </c>
      <c r="N545" s="461">
        <v>0</v>
      </c>
      <c r="O545" s="461">
        <v>0</v>
      </c>
      <c r="P545" s="464">
        <v>6736827</v>
      </c>
      <c r="Q545" s="464">
        <v>7416536</v>
      </c>
      <c r="R545" s="464"/>
      <c r="S545" s="461">
        <v>81384383</v>
      </c>
      <c r="T545" s="462">
        <v>-2316351</v>
      </c>
      <c r="U545" s="462">
        <v>79068032</v>
      </c>
      <c r="W545" s="464">
        <v>490882933</v>
      </c>
      <c r="X545" s="464">
        <v>112479123</v>
      </c>
    </row>
    <row r="546" spans="1:24">
      <c r="A546" s="458">
        <v>96003</v>
      </c>
      <c r="B546" s="459" t="s">
        <v>3723</v>
      </c>
      <c r="C546" s="463">
        <v>1.95298E-3</v>
      </c>
      <c r="D546" s="463">
        <v>2.0127999999999999E-3</v>
      </c>
      <c r="E546" s="464">
        <v>12934756</v>
      </c>
      <c r="F546" s="464"/>
      <c r="G546" s="461">
        <v>1441315</v>
      </c>
      <c r="H546" s="461">
        <v>3461907</v>
      </c>
      <c r="I546" s="461">
        <v>549653</v>
      </c>
      <c r="J546" s="464">
        <v>126394</v>
      </c>
      <c r="K546" s="464">
        <v>5579269</v>
      </c>
      <c r="L546" s="464"/>
      <c r="M546" s="461">
        <v>31029</v>
      </c>
      <c r="N546" s="461">
        <v>0</v>
      </c>
      <c r="O546" s="461">
        <v>0</v>
      </c>
      <c r="P546" s="464">
        <v>332299</v>
      </c>
      <c r="Q546" s="464">
        <v>363328</v>
      </c>
      <c r="R546" s="464"/>
      <c r="S546" s="461">
        <v>3715222</v>
      </c>
      <c r="T546" s="462">
        <v>63185</v>
      </c>
      <c r="U546" s="462">
        <v>3778407</v>
      </c>
      <c r="W546" s="464">
        <v>22408957</v>
      </c>
      <c r="X546" s="464">
        <v>5134707</v>
      </c>
    </row>
    <row r="547" spans="1:24">
      <c r="A547" s="458">
        <v>96004</v>
      </c>
      <c r="B547" s="459" t="s">
        <v>1251</v>
      </c>
      <c r="C547" s="463">
        <v>1.3629099999999999E-3</v>
      </c>
      <c r="D547" s="463">
        <v>1.0905999999999999E-3</v>
      </c>
      <c r="E547" s="464">
        <v>9026672</v>
      </c>
      <c r="F547" s="464"/>
      <c r="G547" s="461">
        <v>1005838</v>
      </c>
      <c r="H547" s="461">
        <v>2415932</v>
      </c>
      <c r="I547" s="461">
        <v>383581</v>
      </c>
      <c r="J547" s="464">
        <v>799990</v>
      </c>
      <c r="K547" s="464">
        <v>4605341</v>
      </c>
      <c r="L547" s="464"/>
      <c r="M547" s="461">
        <v>21654</v>
      </c>
      <c r="N547" s="461">
        <v>0</v>
      </c>
      <c r="O547" s="461">
        <v>0</v>
      </c>
      <c r="P547" s="464">
        <v>0</v>
      </c>
      <c r="Q547" s="464">
        <v>21654</v>
      </c>
      <c r="R547" s="464"/>
      <c r="S547" s="461">
        <v>2592711</v>
      </c>
      <c r="T547" s="462">
        <v>392816</v>
      </c>
      <c r="U547" s="462">
        <v>2985527</v>
      </c>
      <c r="W547" s="464">
        <v>15638354</v>
      </c>
      <c r="X547" s="464">
        <v>3583315</v>
      </c>
    </row>
    <row r="548" spans="1:24">
      <c r="A548" s="458">
        <v>96005</v>
      </c>
      <c r="B548" s="459" t="s">
        <v>1252</v>
      </c>
      <c r="C548" s="463">
        <v>2.56858E-3</v>
      </c>
      <c r="D548" s="463">
        <v>2.5607E-3</v>
      </c>
      <c r="E548" s="464">
        <v>17011929</v>
      </c>
      <c r="F548" s="464"/>
      <c r="G548" s="461">
        <v>1895633</v>
      </c>
      <c r="H548" s="461">
        <v>4553137</v>
      </c>
      <c r="I548" s="461">
        <v>722909</v>
      </c>
      <c r="J548" s="464">
        <v>103534</v>
      </c>
      <c r="K548" s="464">
        <v>7275213</v>
      </c>
      <c r="L548" s="464"/>
      <c r="M548" s="461">
        <v>40810</v>
      </c>
      <c r="N548" s="461">
        <v>0</v>
      </c>
      <c r="O548" s="461">
        <v>0</v>
      </c>
      <c r="P548" s="464">
        <v>163177</v>
      </c>
      <c r="Q548" s="464">
        <v>203987</v>
      </c>
      <c r="R548" s="464"/>
      <c r="S548" s="461">
        <v>4886300</v>
      </c>
      <c r="T548" s="462">
        <v>29535</v>
      </c>
      <c r="U548" s="462">
        <v>4915835</v>
      </c>
      <c r="W548" s="464">
        <v>29472498</v>
      </c>
      <c r="X548" s="464">
        <v>6753221</v>
      </c>
    </row>
    <row r="549" spans="1:24">
      <c r="A549" s="458">
        <v>96008</v>
      </c>
      <c r="B549" s="459" t="s">
        <v>1253</v>
      </c>
      <c r="C549" s="463">
        <v>5.5495500000000003E-3</v>
      </c>
      <c r="D549" s="463">
        <v>5.5640999999999998E-3</v>
      </c>
      <c r="E549" s="464">
        <v>36755152</v>
      </c>
      <c r="F549" s="464"/>
      <c r="G549" s="461">
        <v>4095612</v>
      </c>
      <c r="H549" s="461">
        <v>9837288</v>
      </c>
      <c r="I549" s="461">
        <v>1561882</v>
      </c>
      <c r="J549" s="464">
        <v>0</v>
      </c>
      <c r="K549" s="464">
        <v>15494782</v>
      </c>
      <c r="L549" s="464"/>
      <c r="M549" s="461">
        <v>88171</v>
      </c>
      <c r="N549" s="461">
        <v>0</v>
      </c>
      <c r="O549" s="461">
        <v>0</v>
      </c>
      <c r="P549" s="464">
        <v>1594575</v>
      </c>
      <c r="Q549" s="464">
        <v>1682746</v>
      </c>
      <c r="R549" s="464"/>
      <c r="S549" s="461">
        <v>10557103</v>
      </c>
      <c r="T549" s="462">
        <v>-1331791</v>
      </c>
      <c r="U549" s="462">
        <v>9225312</v>
      </c>
      <c r="W549" s="464">
        <v>63676857</v>
      </c>
      <c r="X549" s="464">
        <v>14590683</v>
      </c>
    </row>
    <row r="550" spans="1:24">
      <c r="A550" s="458">
        <v>96009</v>
      </c>
      <c r="B550" s="459" t="s">
        <v>1254</v>
      </c>
      <c r="C550" s="463">
        <v>3.6341999999999999E-4</v>
      </c>
      <c r="D550" s="463">
        <v>3.7889999999999999E-4</v>
      </c>
      <c r="E550" s="464">
        <v>2406962</v>
      </c>
      <c r="F550" s="464"/>
      <c r="G550" s="461">
        <v>268207</v>
      </c>
      <c r="H550" s="461">
        <v>644208</v>
      </c>
      <c r="I550" s="461">
        <v>102282</v>
      </c>
      <c r="J550" s="464">
        <v>3253</v>
      </c>
      <c r="K550" s="464">
        <v>1017950</v>
      </c>
      <c r="L550" s="464"/>
      <c r="M550" s="461">
        <v>5774</v>
      </c>
      <c r="N550" s="461">
        <v>0</v>
      </c>
      <c r="O550" s="461">
        <v>0</v>
      </c>
      <c r="P550" s="464">
        <v>14243</v>
      </c>
      <c r="Q550" s="464">
        <v>20017</v>
      </c>
      <c r="R550" s="464"/>
      <c r="S550" s="461">
        <v>691347</v>
      </c>
      <c r="T550" s="462">
        <v>10724</v>
      </c>
      <c r="U550" s="462">
        <v>702071</v>
      </c>
      <c r="W550" s="464">
        <v>4169968</v>
      </c>
      <c r="X550" s="464">
        <v>955491</v>
      </c>
    </row>
    <row r="551" spans="1:24">
      <c r="A551" s="458">
        <v>96011</v>
      </c>
      <c r="B551" s="459" t="s">
        <v>1255</v>
      </c>
      <c r="C551" s="463">
        <v>6.2813359999999999E-2</v>
      </c>
      <c r="D551" s="463">
        <v>6.4657300000000001E-2</v>
      </c>
      <c r="E551" s="464">
        <v>416018348</v>
      </c>
      <c r="F551" s="464"/>
      <c r="G551" s="461">
        <v>46356762</v>
      </c>
      <c r="H551" s="461">
        <v>111344721</v>
      </c>
      <c r="I551" s="461">
        <v>17678380</v>
      </c>
      <c r="J551" s="464">
        <v>1817915</v>
      </c>
      <c r="K551" s="464">
        <v>177197778</v>
      </c>
      <c r="L551" s="464"/>
      <c r="M551" s="461">
        <v>997979</v>
      </c>
      <c r="N551" s="461">
        <v>0</v>
      </c>
      <c r="O551" s="461">
        <v>0</v>
      </c>
      <c r="P551" s="464">
        <v>8708641</v>
      </c>
      <c r="Q551" s="464">
        <v>9706620</v>
      </c>
      <c r="R551" s="464"/>
      <c r="S551" s="461">
        <v>119492053</v>
      </c>
      <c r="T551" s="462">
        <v>-654647</v>
      </c>
      <c r="U551" s="462">
        <v>118837406</v>
      </c>
      <c r="W551" s="464">
        <v>720735442</v>
      </c>
      <c r="X551" s="464">
        <v>165146688</v>
      </c>
    </row>
    <row r="552" spans="1:24">
      <c r="A552" s="458">
        <v>96012</v>
      </c>
      <c r="B552" s="459" t="s">
        <v>3724</v>
      </c>
      <c r="C552" s="463">
        <v>2.36725E-3</v>
      </c>
      <c r="D552" s="463">
        <v>2.1459000000000001E-3</v>
      </c>
      <c r="E552" s="464">
        <v>15678503</v>
      </c>
      <c r="F552" s="464"/>
      <c r="G552" s="461">
        <v>1747049</v>
      </c>
      <c r="H552" s="461">
        <v>4196254</v>
      </c>
      <c r="I552" s="461">
        <v>666246</v>
      </c>
      <c r="J552" s="464">
        <v>788311</v>
      </c>
      <c r="K552" s="464">
        <v>7397860</v>
      </c>
      <c r="L552" s="464"/>
      <c r="M552" s="461">
        <v>37611</v>
      </c>
      <c r="N552" s="461">
        <v>0</v>
      </c>
      <c r="O552" s="461">
        <v>0</v>
      </c>
      <c r="P552" s="464">
        <v>362014</v>
      </c>
      <c r="Q552" s="464">
        <v>399625</v>
      </c>
      <c r="R552" s="464"/>
      <c r="S552" s="461">
        <v>4503303</v>
      </c>
      <c r="T552" s="462">
        <v>8075</v>
      </c>
      <c r="U552" s="462">
        <v>4511378</v>
      </c>
      <c r="W552" s="464">
        <v>27162390</v>
      </c>
      <c r="X552" s="464">
        <v>6223891</v>
      </c>
    </row>
    <row r="553" spans="1:24">
      <c r="A553" s="458">
        <v>96018</v>
      </c>
      <c r="B553" s="459" t="s">
        <v>1257</v>
      </c>
      <c r="C553" s="463">
        <v>3.4900000000000001E-5</v>
      </c>
      <c r="D553" s="463">
        <v>3.8899999999999997E-5</v>
      </c>
      <c r="E553" s="464">
        <v>231146</v>
      </c>
      <c r="F553" s="464"/>
      <c r="G553" s="461">
        <v>25756</v>
      </c>
      <c r="H553" s="461">
        <v>61865</v>
      </c>
      <c r="I553" s="461">
        <v>9822</v>
      </c>
      <c r="J553" s="464">
        <v>5983</v>
      </c>
      <c r="K553" s="464">
        <v>103426</v>
      </c>
      <c r="L553" s="464"/>
      <c r="M553" s="461">
        <v>554</v>
      </c>
      <c r="N553" s="461">
        <v>0</v>
      </c>
      <c r="O553" s="461">
        <v>0</v>
      </c>
      <c r="P553" s="464">
        <v>6351</v>
      </c>
      <c r="Q553" s="464">
        <v>6905</v>
      </c>
      <c r="R553" s="464"/>
      <c r="S553" s="461">
        <v>66391</v>
      </c>
      <c r="T553" s="462">
        <v>1761</v>
      </c>
      <c r="U553" s="462">
        <v>68152</v>
      </c>
      <c r="W553" s="464">
        <v>400451</v>
      </c>
      <c r="X553" s="464">
        <v>91758</v>
      </c>
    </row>
    <row r="554" spans="1:24">
      <c r="A554" s="458">
        <v>96021</v>
      </c>
      <c r="B554" s="459" t="s">
        <v>1258</v>
      </c>
      <c r="C554" s="463">
        <v>7.4982E-4</v>
      </c>
      <c r="D554" s="463">
        <v>7.8459999999999999E-4</v>
      </c>
      <c r="E554" s="464">
        <v>4966123</v>
      </c>
      <c r="F554" s="464"/>
      <c r="G554" s="461">
        <v>553373</v>
      </c>
      <c r="H554" s="461">
        <v>1329152</v>
      </c>
      <c r="I554" s="461">
        <v>211032</v>
      </c>
      <c r="J554" s="464">
        <v>87180</v>
      </c>
      <c r="K554" s="464">
        <v>2180737</v>
      </c>
      <c r="L554" s="464"/>
      <c r="M554" s="461">
        <v>11913</v>
      </c>
      <c r="N554" s="461">
        <v>0</v>
      </c>
      <c r="O554" s="461">
        <v>0</v>
      </c>
      <c r="P554" s="464">
        <v>102069</v>
      </c>
      <c r="Q554" s="464">
        <v>113982</v>
      </c>
      <c r="R554" s="464"/>
      <c r="S554" s="461">
        <v>1426409</v>
      </c>
      <c r="T554" s="462">
        <v>-19024</v>
      </c>
      <c r="U554" s="462">
        <v>1407385</v>
      </c>
      <c r="W554" s="464">
        <v>8603613</v>
      </c>
      <c r="X554" s="464">
        <v>1971401</v>
      </c>
    </row>
    <row r="555" spans="1:24">
      <c r="A555" s="458">
        <v>96031</v>
      </c>
      <c r="B555" s="459" t="s">
        <v>1259</v>
      </c>
      <c r="C555" s="463">
        <v>7.8377000000000004E-4</v>
      </c>
      <c r="D555" s="463">
        <v>8.3449999999999996E-4</v>
      </c>
      <c r="E555" s="464">
        <v>5190977</v>
      </c>
      <c r="F555" s="464"/>
      <c r="G555" s="461">
        <v>578429</v>
      </c>
      <c r="H555" s="461">
        <v>1389333</v>
      </c>
      <c r="I555" s="461">
        <v>220587</v>
      </c>
      <c r="J555" s="464">
        <v>44101</v>
      </c>
      <c r="K555" s="464">
        <v>2232450</v>
      </c>
      <c r="L555" s="464"/>
      <c r="M555" s="461">
        <v>12453</v>
      </c>
      <c r="N555" s="461">
        <v>0</v>
      </c>
      <c r="O555" s="461">
        <v>0</v>
      </c>
      <c r="P555" s="464">
        <v>181968</v>
      </c>
      <c r="Q555" s="464">
        <v>194421</v>
      </c>
      <c r="R555" s="464"/>
      <c r="S555" s="461">
        <v>1490993</v>
      </c>
      <c r="T555" s="462">
        <v>-103928</v>
      </c>
      <c r="U555" s="462">
        <v>1387065</v>
      </c>
      <c r="W555" s="464">
        <v>8993164</v>
      </c>
      <c r="X555" s="464">
        <v>2060661</v>
      </c>
    </row>
    <row r="556" spans="1:24">
      <c r="A556" s="458">
        <v>96041</v>
      </c>
      <c r="B556" s="459" t="s">
        <v>1260</v>
      </c>
      <c r="C556" s="463">
        <v>1.9183500000000001E-3</v>
      </c>
      <c r="D556" s="463">
        <v>1.9726000000000001E-3</v>
      </c>
      <c r="E556" s="464">
        <v>12705399</v>
      </c>
      <c r="F556" s="464"/>
      <c r="G556" s="461">
        <v>1415758</v>
      </c>
      <c r="H556" s="461">
        <v>3400521</v>
      </c>
      <c r="I556" s="461">
        <v>539906</v>
      </c>
      <c r="J556" s="464">
        <v>133163</v>
      </c>
      <c r="K556" s="464">
        <v>5489348</v>
      </c>
      <c r="L556" s="464"/>
      <c r="M556" s="461">
        <v>30479</v>
      </c>
      <c r="N556" s="461">
        <v>0</v>
      </c>
      <c r="O556" s="461">
        <v>0</v>
      </c>
      <c r="P556" s="464">
        <v>217448</v>
      </c>
      <c r="Q556" s="464">
        <v>247927</v>
      </c>
      <c r="R556" s="464"/>
      <c r="S556" s="461">
        <v>3649344</v>
      </c>
      <c r="T556" s="462">
        <v>1694</v>
      </c>
      <c r="U556" s="462">
        <v>3651038</v>
      </c>
      <c r="W556" s="464">
        <v>22011604</v>
      </c>
      <c r="X556" s="464">
        <v>5043659</v>
      </c>
    </row>
    <row r="557" spans="1:24">
      <c r="A557" s="458">
        <v>96051</v>
      </c>
      <c r="B557" s="459" t="s">
        <v>1261</v>
      </c>
      <c r="C557" s="463">
        <v>1.02903E-3</v>
      </c>
      <c r="D557" s="463">
        <v>9.8710000000000009E-4</v>
      </c>
      <c r="E557" s="464">
        <v>6815355</v>
      </c>
      <c r="F557" s="464"/>
      <c r="G557" s="461">
        <v>759432</v>
      </c>
      <c r="H557" s="461">
        <v>1824087</v>
      </c>
      <c r="I557" s="461">
        <v>289613</v>
      </c>
      <c r="J557" s="464">
        <v>156717</v>
      </c>
      <c r="K557" s="464">
        <v>3029849</v>
      </c>
      <c r="L557" s="464"/>
      <c r="M557" s="461">
        <v>16349</v>
      </c>
      <c r="N557" s="461">
        <v>0</v>
      </c>
      <c r="O557" s="461">
        <v>0</v>
      </c>
      <c r="P557" s="464">
        <v>105621</v>
      </c>
      <c r="Q557" s="464">
        <v>121970</v>
      </c>
      <c r="R557" s="464"/>
      <c r="S557" s="461">
        <v>1957560</v>
      </c>
      <c r="T557" s="462">
        <v>-15156</v>
      </c>
      <c r="U557" s="462">
        <v>1942404</v>
      </c>
      <c r="W557" s="464">
        <v>11807335</v>
      </c>
      <c r="X557" s="464">
        <v>2705490</v>
      </c>
    </row>
    <row r="558" spans="1:24">
      <c r="A558" s="458">
        <v>96061</v>
      </c>
      <c r="B558" s="459" t="s">
        <v>1262</v>
      </c>
      <c r="C558" s="463">
        <v>3.7237000000000001E-4</v>
      </c>
      <c r="D558" s="463">
        <v>3.4769999999999999E-4</v>
      </c>
      <c r="E558" s="464">
        <v>2466239</v>
      </c>
      <c r="F558" s="464"/>
      <c r="G558" s="461">
        <v>274812</v>
      </c>
      <c r="H558" s="461">
        <v>660073</v>
      </c>
      <c r="I558" s="461">
        <v>104801</v>
      </c>
      <c r="J558" s="464">
        <v>42786</v>
      </c>
      <c r="K558" s="464">
        <v>1082472</v>
      </c>
      <c r="L558" s="464"/>
      <c r="M558" s="461">
        <v>5916</v>
      </c>
      <c r="N558" s="461">
        <v>0</v>
      </c>
      <c r="O558" s="461">
        <v>0</v>
      </c>
      <c r="P558" s="464">
        <v>20483</v>
      </c>
      <c r="Q558" s="464">
        <v>26399</v>
      </c>
      <c r="R558" s="464"/>
      <c r="S558" s="461">
        <v>708372</v>
      </c>
      <c r="T558" s="462">
        <v>5294</v>
      </c>
      <c r="U558" s="462">
        <v>713666</v>
      </c>
      <c r="W558" s="464">
        <v>4272662</v>
      </c>
      <c r="X558" s="464">
        <v>979022</v>
      </c>
    </row>
    <row r="559" spans="1:24">
      <c r="A559" s="458">
        <v>96071</v>
      </c>
      <c r="B559" s="459" t="s">
        <v>1263</v>
      </c>
      <c r="C559" s="463">
        <v>1.3377199999999999E-3</v>
      </c>
      <c r="D559" s="463">
        <v>1.3378999999999999E-3</v>
      </c>
      <c r="E559" s="464">
        <v>8859836</v>
      </c>
      <c r="F559" s="464"/>
      <c r="G559" s="461">
        <v>987248</v>
      </c>
      <c r="H559" s="461">
        <v>2371280</v>
      </c>
      <c r="I559" s="461">
        <v>376492</v>
      </c>
      <c r="J559" s="464">
        <v>109179</v>
      </c>
      <c r="K559" s="464">
        <v>3844199</v>
      </c>
      <c r="L559" s="464"/>
      <c r="M559" s="461">
        <v>21254</v>
      </c>
      <c r="N559" s="461">
        <v>0</v>
      </c>
      <c r="O559" s="461">
        <v>0</v>
      </c>
      <c r="P559" s="464">
        <v>0</v>
      </c>
      <c r="Q559" s="464">
        <v>21254</v>
      </c>
      <c r="R559" s="464"/>
      <c r="S559" s="461">
        <v>2544792</v>
      </c>
      <c r="T559" s="462">
        <v>94296</v>
      </c>
      <c r="U559" s="462">
        <v>2639088</v>
      </c>
      <c r="W559" s="464">
        <v>15349318</v>
      </c>
      <c r="X559" s="464">
        <v>3517087</v>
      </c>
    </row>
    <row r="560" spans="1:24">
      <c r="A560" s="458">
        <v>96081</v>
      </c>
      <c r="B560" s="459" t="s">
        <v>1264</v>
      </c>
      <c r="C560" s="463">
        <v>6.7270000000000003E-4</v>
      </c>
      <c r="D560" s="463">
        <v>6.5799999999999995E-4</v>
      </c>
      <c r="E560" s="464">
        <v>4455351</v>
      </c>
      <c r="F560" s="464"/>
      <c r="G560" s="461">
        <v>496458</v>
      </c>
      <c r="H560" s="461">
        <v>1192447</v>
      </c>
      <c r="I560" s="461">
        <v>189327</v>
      </c>
      <c r="J560" s="464">
        <v>79047</v>
      </c>
      <c r="K560" s="464">
        <v>1957279</v>
      </c>
      <c r="L560" s="464"/>
      <c r="M560" s="461">
        <v>10688</v>
      </c>
      <c r="N560" s="461">
        <v>0</v>
      </c>
      <c r="O560" s="461">
        <v>0</v>
      </c>
      <c r="P560" s="464">
        <v>28176</v>
      </c>
      <c r="Q560" s="464">
        <v>38864</v>
      </c>
      <c r="R560" s="464"/>
      <c r="S560" s="461">
        <v>1279701</v>
      </c>
      <c r="T560" s="462">
        <v>35933</v>
      </c>
      <c r="U560" s="462">
        <v>1315634</v>
      </c>
      <c r="W560" s="464">
        <v>7718720</v>
      </c>
      <c r="X560" s="464">
        <v>1768639</v>
      </c>
    </row>
    <row r="561" spans="1:24">
      <c r="A561" s="458">
        <v>96101</v>
      </c>
      <c r="B561" s="459" t="s">
        <v>1265</v>
      </c>
      <c r="C561" s="463">
        <v>6.4908999999999995E-4</v>
      </c>
      <c r="D561" s="463">
        <v>6.9680000000000002E-4</v>
      </c>
      <c r="E561" s="464">
        <v>4298980</v>
      </c>
      <c r="F561" s="464"/>
      <c r="G561" s="461">
        <v>479034</v>
      </c>
      <c r="H561" s="461">
        <v>1150595</v>
      </c>
      <c r="I561" s="461">
        <v>182682</v>
      </c>
      <c r="J561" s="464">
        <v>83350</v>
      </c>
      <c r="K561" s="464">
        <v>1895661</v>
      </c>
      <c r="L561" s="464"/>
      <c r="M561" s="461">
        <v>10313</v>
      </c>
      <c r="N561" s="461">
        <v>0</v>
      </c>
      <c r="O561" s="461">
        <v>0</v>
      </c>
      <c r="P561" s="464">
        <v>62596</v>
      </c>
      <c r="Q561" s="464">
        <v>72909</v>
      </c>
      <c r="R561" s="464"/>
      <c r="S561" s="461">
        <v>1234787</v>
      </c>
      <c r="T561" s="462">
        <v>11443</v>
      </c>
      <c r="U561" s="462">
        <v>1246230</v>
      </c>
      <c r="W561" s="464">
        <v>7447813</v>
      </c>
      <c r="X561" s="464">
        <v>1706565</v>
      </c>
    </row>
    <row r="562" spans="1:24">
      <c r="A562" s="458">
        <v>96102</v>
      </c>
      <c r="B562" s="459" t="s">
        <v>1266</v>
      </c>
      <c r="C562" s="463">
        <v>6.2999999999999998E-6</v>
      </c>
      <c r="D562" s="463">
        <v>6.3999999999999997E-6</v>
      </c>
      <c r="E562" s="464">
        <v>41725</v>
      </c>
      <c r="F562" s="464"/>
      <c r="G562" s="461">
        <v>4649</v>
      </c>
      <c r="H562" s="461">
        <v>11168</v>
      </c>
      <c r="I562" s="461">
        <v>1773</v>
      </c>
      <c r="J562" s="464">
        <v>554</v>
      </c>
      <c r="K562" s="464">
        <v>18144</v>
      </c>
      <c r="L562" s="464"/>
      <c r="M562" s="461">
        <v>100</v>
      </c>
      <c r="N562" s="461">
        <v>0</v>
      </c>
      <c r="O562" s="461">
        <v>0</v>
      </c>
      <c r="P562" s="464">
        <v>5272</v>
      </c>
      <c r="Q562" s="464">
        <v>5372</v>
      </c>
      <c r="R562" s="464"/>
      <c r="S562" s="461">
        <v>11985</v>
      </c>
      <c r="T562" s="462">
        <v>-3281</v>
      </c>
      <c r="U562" s="462">
        <v>8704</v>
      </c>
      <c r="W562" s="464">
        <v>72288</v>
      </c>
      <c r="X562" s="464">
        <v>16564</v>
      </c>
    </row>
    <row r="563" spans="1:24">
      <c r="A563" s="458">
        <v>96111</v>
      </c>
      <c r="B563" s="459" t="s">
        <v>1267</v>
      </c>
      <c r="C563" s="463">
        <v>1.7618000000000001E-4</v>
      </c>
      <c r="D563" s="463">
        <v>1.7119999999999999E-4</v>
      </c>
      <c r="E563" s="464">
        <v>1166855</v>
      </c>
      <c r="F563" s="464"/>
      <c r="G563" s="461">
        <v>130022</v>
      </c>
      <c r="H563" s="461">
        <v>312302</v>
      </c>
      <c r="I563" s="461">
        <v>49585</v>
      </c>
      <c r="J563" s="464">
        <v>19503</v>
      </c>
      <c r="K563" s="464">
        <v>511412</v>
      </c>
      <c r="L563" s="464"/>
      <c r="M563" s="461">
        <v>2799</v>
      </c>
      <c r="N563" s="461">
        <v>0</v>
      </c>
      <c r="O563" s="461">
        <v>0</v>
      </c>
      <c r="P563" s="464">
        <v>0</v>
      </c>
      <c r="Q563" s="464">
        <v>2799</v>
      </c>
      <c r="R563" s="464"/>
      <c r="S563" s="461">
        <v>335153</v>
      </c>
      <c r="T563" s="462">
        <v>21766</v>
      </c>
      <c r="U563" s="462">
        <v>356919</v>
      </c>
      <c r="W563" s="464">
        <v>2021531</v>
      </c>
      <c r="X563" s="464">
        <v>463206</v>
      </c>
    </row>
    <row r="564" spans="1:24">
      <c r="A564" s="458">
        <v>96121</v>
      </c>
      <c r="B564" s="459" t="s">
        <v>1268</v>
      </c>
      <c r="C564" s="463">
        <v>1.5319999999999999E-5</v>
      </c>
      <c r="D564" s="463">
        <v>1.5500000000000001E-5</v>
      </c>
      <c r="E564" s="464">
        <v>101466</v>
      </c>
      <c r="F564" s="464"/>
      <c r="G564" s="461">
        <v>11306</v>
      </c>
      <c r="H564" s="461">
        <v>27157</v>
      </c>
      <c r="I564" s="461">
        <v>4312</v>
      </c>
      <c r="J564" s="464">
        <v>612</v>
      </c>
      <c r="K564" s="464">
        <v>43387</v>
      </c>
      <c r="L564" s="464"/>
      <c r="M564" s="461">
        <v>243</v>
      </c>
      <c r="N564" s="461">
        <v>0</v>
      </c>
      <c r="O564" s="461">
        <v>0</v>
      </c>
      <c r="P564" s="464">
        <v>4396</v>
      </c>
      <c r="Q564" s="464">
        <v>4639</v>
      </c>
      <c r="R564" s="464"/>
      <c r="S564" s="461">
        <v>29144</v>
      </c>
      <c r="T564" s="462">
        <v>-4637</v>
      </c>
      <c r="U564" s="462">
        <v>24507</v>
      </c>
      <c r="W564" s="464">
        <v>175785</v>
      </c>
      <c r="X564" s="464">
        <v>40279</v>
      </c>
    </row>
    <row r="565" spans="1:24">
      <c r="A565" s="458">
        <v>96201</v>
      </c>
      <c r="B565" s="459" t="s">
        <v>1269</v>
      </c>
      <c r="C565" s="463">
        <v>1.01621E-3</v>
      </c>
      <c r="D565" s="463">
        <v>1.1280999999999999E-3</v>
      </c>
      <c r="E565" s="464">
        <v>6730447</v>
      </c>
      <c r="F565" s="464"/>
      <c r="G565" s="461">
        <v>749971</v>
      </c>
      <c r="H565" s="461">
        <v>1801362</v>
      </c>
      <c r="I565" s="461">
        <v>286005</v>
      </c>
      <c r="J565" s="464">
        <v>148877</v>
      </c>
      <c r="K565" s="464">
        <v>2986215</v>
      </c>
      <c r="L565" s="464"/>
      <c r="M565" s="461">
        <v>16146</v>
      </c>
      <c r="N565" s="461">
        <v>0</v>
      </c>
      <c r="O565" s="461">
        <v>0</v>
      </c>
      <c r="P565" s="464">
        <v>188078</v>
      </c>
      <c r="Q565" s="464">
        <v>204224</v>
      </c>
      <c r="R565" s="464"/>
      <c r="S565" s="461">
        <v>1933172</v>
      </c>
      <c r="T565" s="462">
        <v>5537</v>
      </c>
      <c r="U565" s="462">
        <v>1938709</v>
      </c>
      <c r="W565" s="464">
        <v>11660235</v>
      </c>
      <c r="X565" s="464">
        <v>2671784</v>
      </c>
    </row>
    <row r="566" spans="1:24">
      <c r="A566" s="458">
        <v>96204</v>
      </c>
      <c r="B566" s="459" t="s">
        <v>1270</v>
      </c>
      <c r="C566" s="463">
        <v>1.3519999999999999E-5</v>
      </c>
      <c r="D566" s="463">
        <v>1.49E-5</v>
      </c>
      <c r="E566" s="464">
        <v>89544</v>
      </c>
      <c r="F566" s="464"/>
      <c r="G566" s="461">
        <v>9978</v>
      </c>
      <c r="H566" s="461">
        <v>23966</v>
      </c>
      <c r="I566" s="461">
        <v>3805</v>
      </c>
      <c r="J566" s="464">
        <v>3912</v>
      </c>
      <c r="K566" s="464">
        <v>41661</v>
      </c>
      <c r="L566" s="464"/>
      <c r="M566" s="461">
        <v>215</v>
      </c>
      <c r="N566" s="461">
        <v>0</v>
      </c>
      <c r="O566" s="461">
        <v>0</v>
      </c>
      <c r="P566" s="464">
        <v>1478</v>
      </c>
      <c r="Q566" s="464">
        <v>1693</v>
      </c>
      <c r="R566" s="464"/>
      <c r="S566" s="461">
        <v>25720</v>
      </c>
      <c r="T566" s="462">
        <v>3758</v>
      </c>
      <c r="U566" s="462">
        <v>29478</v>
      </c>
      <c r="W566" s="464">
        <v>155132</v>
      </c>
      <c r="X566" s="464">
        <v>35546</v>
      </c>
    </row>
    <row r="567" spans="1:24">
      <c r="A567" s="458">
        <v>96211</v>
      </c>
      <c r="B567" s="459" t="s">
        <v>1271</v>
      </c>
      <c r="C567" s="463">
        <v>1.838E-5</v>
      </c>
      <c r="D567" s="463">
        <v>1.8899999999999999E-5</v>
      </c>
      <c r="E567" s="464">
        <v>121732</v>
      </c>
      <c r="F567" s="464"/>
      <c r="G567" s="461">
        <v>13565</v>
      </c>
      <c r="H567" s="461">
        <v>32581</v>
      </c>
      <c r="I567" s="461">
        <v>5173</v>
      </c>
      <c r="J567" s="464">
        <v>25640</v>
      </c>
      <c r="K567" s="464">
        <v>76959</v>
      </c>
      <c r="L567" s="464"/>
      <c r="M567" s="461">
        <v>292</v>
      </c>
      <c r="N567" s="461">
        <v>0</v>
      </c>
      <c r="O567" s="461">
        <v>0</v>
      </c>
      <c r="P567" s="464">
        <v>1591</v>
      </c>
      <c r="Q567" s="464">
        <v>1883</v>
      </c>
      <c r="R567" s="464"/>
      <c r="S567" s="461">
        <v>34965</v>
      </c>
      <c r="T567" s="462">
        <v>11115</v>
      </c>
      <c r="U567" s="462">
        <v>46080</v>
      </c>
      <c r="W567" s="464">
        <v>210896</v>
      </c>
      <c r="X567" s="464">
        <v>48324</v>
      </c>
    </row>
    <row r="568" spans="1:24">
      <c r="A568" s="458">
        <v>96221</v>
      </c>
      <c r="B568" s="459" t="s">
        <v>1272</v>
      </c>
      <c r="C568" s="463">
        <v>1.6636999999999999E-4</v>
      </c>
      <c r="D568" s="463">
        <v>1.931E-4</v>
      </c>
      <c r="E568" s="464">
        <v>1101883</v>
      </c>
      <c r="F568" s="464"/>
      <c r="G568" s="461">
        <v>122782</v>
      </c>
      <c r="H568" s="461">
        <v>294912</v>
      </c>
      <c r="I568" s="461">
        <v>46824</v>
      </c>
      <c r="J568" s="464">
        <v>10768</v>
      </c>
      <c r="K568" s="464">
        <v>475286</v>
      </c>
      <c r="L568" s="464"/>
      <c r="M568" s="461">
        <v>2643</v>
      </c>
      <c r="N568" s="461">
        <v>0</v>
      </c>
      <c r="O568" s="461">
        <v>0</v>
      </c>
      <c r="P568" s="464">
        <v>59119</v>
      </c>
      <c r="Q568" s="464">
        <v>61762</v>
      </c>
      <c r="R568" s="464"/>
      <c r="S568" s="461">
        <v>316491</v>
      </c>
      <c r="T568" s="462">
        <v>-28806</v>
      </c>
      <c r="U568" s="462">
        <v>287685</v>
      </c>
      <c r="W568" s="464">
        <v>1908969</v>
      </c>
      <c r="X568" s="464">
        <v>437414</v>
      </c>
    </row>
    <row r="569" spans="1:24">
      <c r="A569" s="458">
        <v>96231</v>
      </c>
      <c r="B569" s="459" t="s">
        <v>1273</v>
      </c>
      <c r="C569" s="463">
        <v>1.1379000000000001E-4</v>
      </c>
      <c r="D569" s="463">
        <v>1.147E-4</v>
      </c>
      <c r="E569" s="464">
        <v>753641</v>
      </c>
      <c r="F569" s="464"/>
      <c r="G569" s="461">
        <v>83978</v>
      </c>
      <c r="H569" s="461">
        <v>201707</v>
      </c>
      <c r="I569" s="461">
        <v>32025</v>
      </c>
      <c r="J569" s="464">
        <v>20113</v>
      </c>
      <c r="K569" s="464">
        <v>337823</v>
      </c>
      <c r="L569" s="464"/>
      <c r="M569" s="461">
        <v>1808</v>
      </c>
      <c r="N569" s="461">
        <v>0</v>
      </c>
      <c r="O569" s="461">
        <v>0</v>
      </c>
      <c r="P569" s="464">
        <v>2831</v>
      </c>
      <c r="Q569" s="464">
        <v>4639</v>
      </c>
      <c r="R569" s="464"/>
      <c r="S569" s="461">
        <v>216467</v>
      </c>
      <c r="T569" s="462">
        <v>-5843</v>
      </c>
      <c r="U569" s="462">
        <v>210624</v>
      </c>
      <c r="W569" s="464">
        <v>1305654</v>
      </c>
      <c r="X569" s="464">
        <v>299173</v>
      </c>
    </row>
    <row r="570" spans="1:24">
      <c r="A570" s="458">
        <v>96241</v>
      </c>
      <c r="B570" s="459" t="s">
        <v>1274</v>
      </c>
      <c r="C570" s="463">
        <v>5.0930000000000002E-5</v>
      </c>
      <c r="D570" s="463">
        <v>5.8300000000000001E-5</v>
      </c>
      <c r="E570" s="464">
        <v>337314</v>
      </c>
      <c r="F570" s="464"/>
      <c r="G570" s="461">
        <v>37587</v>
      </c>
      <c r="H570" s="461">
        <v>90280</v>
      </c>
      <c r="I570" s="461">
        <v>14334</v>
      </c>
      <c r="J570" s="464">
        <v>3069</v>
      </c>
      <c r="K570" s="464">
        <v>145270</v>
      </c>
      <c r="L570" s="464"/>
      <c r="M570" s="461">
        <v>809</v>
      </c>
      <c r="N570" s="461">
        <v>0</v>
      </c>
      <c r="O570" s="461">
        <v>0</v>
      </c>
      <c r="P570" s="464">
        <v>28726</v>
      </c>
      <c r="Q570" s="464">
        <v>29535</v>
      </c>
      <c r="R570" s="464"/>
      <c r="S570" s="461">
        <v>96886</v>
      </c>
      <c r="T570" s="462">
        <v>-14924</v>
      </c>
      <c r="U570" s="462">
        <v>81962</v>
      </c>
      <c r="W570" s="464">
        <v>584383</v>
      </c>
      <c r="X570" s="464">
        <v>133903</v>
      </c>
    </row>
    <row r="571" spans="1:24">
      <c r="A571" s="458">
        <v>96251</v>
      </c>
      <c r="B571" s="459" t="s">
        <v>1275</v>
      </c>
      <c r="C571" s="463">
        <v>1.0726E-4</v>
      </c>
      <c r="D571" s="463">
        <v>9.9699999999999998E-5</v>
      </c>
      <c r="E571" s="464">
        <v>710392</v>
      </c>
      <c r="F571" s="464"/>
      <c r="G571" s="461">
        <v>79159</v>
      </c>
      <c r="H571" s="461">
        <v>190132</v>
      </c>
      <c r="I571" s="461">
        <v>30188</v>
      </c>
      <c r="J571" s="464">
        <v>12461</v>
      </c>
      <c r="K571" s="464">
        <v>311940</v>
      </c>
      <c r="L571" s="464"/>
      <c r="M571" s="461">
        <v>1704</v>
      </c>
      <c r="N571" s="461">
        <v>0</v>
      </c>
      <c r="O571" s="461">
        <v>0</v>
      </c>
      <c r="P571" s="464">
        <v>8253</v>
      </c>
      <c r="Q571" s="464">
        <v>9957</v>
      </c>
      <c r="R571" s="464"/>
      <c r="S571" s="461">
        <v>204044</v>
      </c>
      <c r="T571" s="462">
        <v>-5736</v>
      </c>
      <c r="U571" s="462">
        <v>198308</v>
      </c>
      <c r="W571" s="464">
        <v>1230727</v>
      </c>
      <c r="X571" s="464">
        <v>282004</v>
      </c>
    </row>
    <row r="572" spans="1:24">
      <c r="A572" s="458">
        <v>96301</v>
      </c>
      <c r="B572" s="459" t="s">
        <v>1276</v>
      </c>
      <c r="C572" s="463">
        <v>4.7950400000000004E-3</v>
      </c>
      <c r="D572" s="463">
        <v>4.6183999999999999E-3</v>
      </c>
      <c r="E572" s="464">
        <v>31757967</v>
      </c>
      <c r="F572" s="464"/>
      <c r="G572" s="461">
        <v>3538778</v>
      </c>
      <c r="H572" s="461">
        <v>8499822</v>
      </c>
      <c r="I572" s="461">
        <v>1349530</v>
      </c>
      <c r="J572" s="464">
        <v>274480</v>
      </c>
      <c r="K572" s="464">
        <v>13662610</v>
      </c>
      <c r="L572" s="464"/>
      <c r="M572" s="461">
        <v>76184</v>
      </c>
      <c r="N572" s="461">
        <v>0</v>
      </c>
      <c r="O572" s="461">
        <v>0</v>
      </c>
      <c r="P572" s="464">
        <v>258928</v>
      </c>
      <c r="Q572" s="464">
        <v>335112</v>
      </c>
      <c r="R572" s="464"/>
      <c r="S572" s="461">
        <v>9121772</v>
      </c>
      <c r="T572" s="462">
        <v>9897</v>
      </c>
      <c r="U572" s="462">
        <v>9131669</v>
      </c>
      <c r="W572" s="464">
        <v>55019430</v>
      </c>
      <c r="X572" s="464">
        <v>12606951</v>
      </c>
    </row>
    <row r="573" spans="1:24">
      <c r="A573" s="458">
        <v>96302</v>
      </c>
      <c r="B573" s="459" t="s">
        <v>1277</v>
      </c>
      <c r="C573" s="463">
        <v>2.317E-5</v>
      </c>
      <c r="D573" s="463">
        <v>3.04E-5</v>
      </c>
      <c r="E573" s="464">
        <v>153457</v>
      </c>
      <c r="F573" s="464"/>
      <c r="G573" s="461">
        <v>17100</v>
      </c>
      <c r="H573" s="461">
        <v>41072</v>
      </c>
      <c r="I573" s="461">
        <v>6521</v>
      </c>
      <c r="J573" s="464">
        <v>11061</v>
      </c>
      <c r="K573" s="464">
        <v>75754</v>
      </c>
      <c r="L573" s="464"/>
      <c r="M573" s="461">
        <v>368</v>
      </c>
      <c r="N573" s="461">
        <v>0</v>
      </c>
      <c r="O573" s="461">
        <v>0</v>
      </c>
      <c r="P573" s="464">
        <v>25975</v>
      </c>
      <c r="Q573" s="464">
        <v>26343</v>
      </c>
      <c r="R573" s="464"/>
      <c r="S573" s="461">
        <v>44077</v>
      </c>
      <c r="T573" s="462">
        <v>-4305</v>
      </c>
      <c r="U573" s="462">
        <v>39772</v>
      </c>
      <c r="W573" s="464">
        <v>265858</v>
      </c>
      <c r="X573" s="464">
        <v>60918</v>
      </c>
    </row>
    <row r="574" spans="1:24">
      <c r="A574" s="458">
        <v>96304</v>
      </c>
      <c r="B574" s="459" t="s">
        <v>1278</v>
      </c>
      <c r="C574" s="463">
        <v>5.5810000000000003E-5</v>
      </c>
      <c r="D574" s="463">
        <v>5.0399999999999999E-5</v>
      </c>
      <c r="E574" s="464">
        <v>369634</v>
      </c>
      <c r="F574" s="464"/>
      <c r="G574" s="461">
        <v>41188</v>
      </c>
      <c r="H574" s="461">
        <v>98930</v>
      </c>
      <c r="I574" s="461">
        <v>15707</v>
      </c>
      <c r="J574" s="464">
        <v>17507</v>
      </c>
      <c r="K574" s="464">
        <v>173332</v>
      </c>
      <c r="L574" s="464"/>
      <c r="M574" s="461">
        <v>887</v>
      </c>
      <c r="N574" s="461">
        <v>0</v>
      </c>
      <c r="O574" s="461">
        <v>0</v>
      </c>
      <c r="P574" s="464">
        <v>1137</v>
      </c>
      <c r="Q574" s="464">
        <v>2024</v>
      </c>
      <c r="R574" s="464"/>
      <c r="S574" s="461">
        <v>106169</v>
      </c>
      <c r="T574" s="462">
        <v>10480</v>
      </c>
      <c r="U574" s="462">
        <v>116649</v>
      </c>
      <c r="W574" s="464">
        <v>640377</v>
      </c>
      <c r="X574" s="464">
        <v>146734</v>
      </c>
    </row>
    <row r="575" spans="1:24">
      <c r="A575" s="458">
        <v>96305</v>
      </c>
      <c r="B575" s="459" t="s">
        <v>1279</v>
      </c>
      <c r="C575" s="463">
        <v>3.8810000000000003E-5</v>
      </c>
      <c r="D575" s="463">
        <v>3.8600000000000003E-5</v>
      </c>
      <c r="E575" s="464">
        <v>257042</v>
      </c>
      <c r="F575" s="464"/>
      <c r="G575" s="461">
        <v>28642</v>
      </c>
      <c r="H575" s="461">
        <v>68796</v>
      </c>
      <c r="I575" s="461">
        <v>10923</v>
      </c>
      <c r="J575" s="464">
        <v>3902</v>
      </c>
      <c r="K575" s="464">
        <v>112263</v>
      </c>
      <c r="L575" s="464"/>
      <c r="M575" s="461">
        <v>617</v>
      </c>
      <c r="N575" s="461">
        <v>0</v>
      </c>
      <c r="O575" s="461">
        <v>0</v>
      </c>
      <c r="P575" s="464">
        <v>114</v>
      </c>
      <c r="Q575" s="464">
        <v>731</v>
      </c>
      <c r="R575" s="464"/>
      <c r="S575" s="461">
        <v>73830</v>
      </c>
      <c r="T575" s="462">
        <v>7196</v>
      </c>
      <c r="U575" s="462">
        <v>81026</v>
      </c>
      <c r="W575" s="464">
        <v>445315</v>
      </c>
      <c r="X575" s="464">
        <v>102038</v>
      </c>
    </row>
    <row r="576" spans="1:24">
      <c r="A576" s="458">
        <v>96310</v>
      </c>
      <c r="B576" s="459" t="s">
        <v>1280</v>
      </c>
      <c r="C576" s="463">
        <v>4.7809999999999998E-5</v>
      </c>
      <c r="D576" s="463">
        <v>4.3900000000000003E-5</v>
      </c>
      <c r="E576" s="464">
        <v>316650</v>
      </c>
      <c r="F576" s="464"/>
      <c r="G576" s="461">
        <v>35284</v>
      </c>
      <c r="H576" s="461">
        <v>84749</v>
      </c>
      <c r="I576" s="461">
        <v>13456</v>
      </c>
      <c r="J576" s="464">
        <v>35292</v>
      </c>
      <c r="K576" s="464">
        <v>168781</v>
      </c>
      <c r="L576" s="464"/>
      <c r="M576" s="461">
        <v>760</v>
      </c>
      <c r="N576" s="461">
        <v>0</v>
      </c>
      <c r="O576" s="461">
        <v>0</v>
      </c>
      <c r="P576" s="464">
        <v>14549</v>
      </c>
      <c r="Q576" s="464">
        <v>15309</v>
      </c>
      <c r="R576" s="464"/>
      <c r="S576" s="461">
        <v>90951</v>
      </c>
      <c r="T576" s="462">
        <v>13871</v>
      </c>
      <c r="U576" s="462">
        <v>104822</v>
      </c>
      <c r="W576" s="464">
        <v>548583</v>
      </c>
      <c r="X576" s="464">
        <v>125700</v>
      </c>
    </row>
    <row r="577" spans="1:24">
      <c r="A577" s="458">
        <v>96311</v>
      </c>
      <c r="B577" s="459" t="s">
        <v>1281</v>
      </c>
      <c r="C577" s="463">
        <v>1.3292099999999999E-3</v>
      </c>
      <c r="D577" s="463">
        <v>1.356E-3</v>
      </c>
      <c r="E577" s="464">
        <v>8803473</v>
      </c>
      <c r="F577" s="464"/>
      <c r="G577" s="461">
        <v>980968</v>
      </c>
      <c r="H577" s="461">
        <v>2356195</v>
      </c>
      <c r="I577" s="461">
        <v>374097</v>
      </c>
      <c r="J577" s="464">
        <v>54217</v>
      </c>
      <c r="K577" s="464">
        <v>3765477</v>
      </c>
      <c r="L577" s="464"/>
      <c r="M577" s="461">
        <v>21118</v>
      </c>
      <c r="N577" s="461">
        <v>0</v>
      </c>
      <c r="O577" s="461">
        <v>0</v>
      </c>
      <c r="P577" s="464">
        <v>241384</v>
      </c>
      <c r="Q577" s="464">
        <v>262502</v>
      </c>
      <c r="R577" s="464"/>
      <c r="S577" s="461">
        <v>2528603</v>
      </c>
      <c r="T577" s="462">
        <v>-81413</v>
      </c>
      <c r="U577" s="462">
        <v>2447190</v>
      </c>
      <c r="W577" s="464">
        <v>15251672</v>
      </c>
      <c r="X577" s="464">
        <v>3494712</v>
      </c>
    </row>
    <row r="578" spans="1:24">
      <c r="A578" s="458">
        <v>96312</v>
      </c>
      <c r="B578" s="459" t="s">
        <v>1282</v>
      </c>
      <c r="C578" s="463">
        <v>6.5599999999999999E-6</v>
      </c>
      <c r="D578" s="463">
        <v>1.34E-5</v>
      </c>
      <c r="E578" s="464">
        <v>43447</v>
      </c>
      <c r="F578" s="464"/>
      <c r="G578" s="461">
        <v>4841</v>
      </c>
      <c r="H578" s="461">
        <v>11628</v>
      </c>
      <c r="I578" s="461">
        <v>1846</v>
      </c>
      <c r="J578" s="464">
        <v>5456</v>
      </c>
      <c r="K578" s="464">
        <v>23771</v>
      </c>
      <c r="L578" s="464"/>
      <c r="M578" s="461">
        <v>104</v>
      </c>
      <c r="N578" s="461">
        <v>0</v>
      </c>
      <c r="O578" s="461">
        <v>0</v>
      </c>
      <c r="P578" s="464">
        <v>22198</v>
      </c>
      <c r="Q578" s="464">
        <v>22302</v>
      </c>
      <c r="R578" s="464"/>
      <c r="S578" s="461">
        <v>12479</v>
      </c>
      <c r="T578" s="462">
        <v>-4834</v>
      </c>
      <c r="U578" s="462">
        <v>7645</v>
      </c>
      <c r="W578" s="464">
        <v>75271</v>
      </c>
      <c r="X578" s="464">
        <v>17247</v>
      </c>
    </row>
    <row r="579" spans="1:24">
      <c r="A579" s="458">
        <v>96318</v>
      </c>
      <c r="B579" s="459" t="s">
        <v>1283</v>
      </c>
      <c r="C579" s="463">
        <v>2.7363399999999999E-3</v>
      </c>
      <c r="D579" s="463">
        <v>2.5845E-3</v>
      </c>
      <c r="E579" s="464">
        <v>18123018</v>
      </c>
      <c r="F579" s="464"/>
      <c r="G579" s="461">
        <v>2019441</v>
      </c>
      <c r="H579" s="461">
        <v>4850513</v>
      </c>
      <c r="I579" s="461">
        <v>770124</v>
      </c>
      <c r="J579" s="464">
        <v>658002</v>
      </c>
      <c r="K579" s="464">
        <v>8298080</v>
      </c>
      <c r="L579" s="464"/>
      <c r="M579" s="461">
        <v>43475</v>
      </c>
      <c r="N579" s="461">
        <v>0</v>
      </c>
      <c r="O579" s="461">
        <v>0</v>
      </c>
      <c r="P579" s="464">
        <v>0</v>
      </c>
      <c r="Q579" s="464">
        <v>43475</v>
      </c>
      <c r="R579" s="464"/>
      <c r="S579" s="461">
        <v>5205435</v>
      </c>
      <c r="T579" s="462">
        <v>398858</v>
      </c>
      <c r="U579" s="462">
        <v>5604293</v>
      </c>
      <c r="W579" s="464">
        <v>31397416</v>
      </c>
      <c r="X579" s="464">
        <v>7194289</v>
      </c>
    </row>
    <row r="580" spans="1:24">
      <c r="A580" s="458">
        <v>96321</v>
      </c>
      <c r="B580" s="459" t="s">
        <v>1284</v>
      </c>
      <c r="C580" s="463">
        <v>3.1730000000000003E-5</v>
      </c>
      <c r="D580" s="463">
        <v>4.5099999999999998E-5</v>
      </c>
      <c r="E580" s="464">
        <v>210151</v>
      </c>
      <c r="F580" s="464"/>
      <c r="G580" s="461">
        <v>23417</v>
      </c>
      <c r="H580" s="461">
        <v>56245</v>
      </c>
      <c r="I580" s="461">
        <v>8930</v>
      </c>
      <c r="J580" s="464">
        <v>3183</v>
      </c>
      <c r="K580" s="464">
        <v>91775</v>
      </c>
      <c r="L580" s="464"/>
      <c r="M580" s="461">
        <v>504</v>
      </c>
      <c r="N580" s="461">
        <v>0</v>
      </c>
      <c r="O580" s="461">
        <v>0</v>
      </c>
      <c r="P580" s="464">
        <v>32987</v>
      </c>
      <c r="Q580" s="464">
        <v>33491</v>
      </c>
      <c r="R580" s="464"/>
      <c r="S580" s="461">
        <v>60361</v>
      </c>
      <c r="T580" s="462">
        <v>-8778</v>
      </c>
      <c r="U580" s="462">
        <v>51583</v>
      </c>
      <c r="W580" s="464">
        <v>364078</v>
      </c>
      <c r="X580" s="464">
        <v>83423</v>
      </c>
    </row>
    <row r="581" spans="1:24">
      <c r="A581" s="458">
        <v>96331</v>
      </c>
      <c r="B581" s="459" t="s">
        <v>1285</v>
      </c>
      <c r="C581" s="463">
        <v>6.4639000000000005E-4</v>
      </c>
      <c r="D581" s="463">
        <v>6.8970000000000001E-4</v>
      </c>
      <c r="E581" s="464">
        <v>4281097</v>
      </c>
      <c r="F581" s="464"/>
      <c r="G581" s="461">
        <v>477041</v>
      </c>
      <c r="H581" s="461">
        <v>1145809</v>
      </c>
      <c r="I581" s="461">
        <v>181922</v>
      </c>
      <c r="J581" s="464">
        <v>27506</v>
      </c>
      <c r="K581" s="464">
        <v>1832278</v>
      </c>
      <c r="L581" s="464"/>
      <c r="M581" s="461">
        <v>10270</v>
      </c>
      <c r="N581" s="461">
        <v>0</v>
      </c>
      <c r="O581" s="461">
        <v>0</v>
      </c>
      <c r="P581" s="464">
        <v>143176</v>
      </c>
      <c r="Q581" s="464">
        <v>153446</v>
      </c>
      <c r="R581" s="464"/>
      <c r="S581" s="461">
        <v>1229650</v>
      </c>
      <c r="T581" s="462">
        <v>-82144</v>
      </c>
      <c r="U581" s="462">
        <v>1147506</v>
      </c>
      <c r="W581" s="464">
        <v>7416833</v>
      </c>
      <c r="X581" s="464">
        <v>1699466</v>
      </c>
    </row>
    <row r="582" spans="1:24">
      <c r="A582" s="458">
        <v>96341</v>
      </c>
      <c r="B582" s="459" t="s">
        <v>1286</v>
      </c>
      <c r="C582" s="463">
        <v>8.1000000000000004E-5</v>
      </c>
      <c r="D582" s="463">
        <v>8.5099999999999995E-5</v>
      </c>
      <c r="E582" s="464">
        <v>536470</v>
      </c>
      <c r="F582" s="464"/>
      <c r="G582" s="461">
        <v>59779</v>
      </c>
      <c r="H582" s="461">
        <v>143583</v>
      </c>
      <c r="I582" s="461">
        <v>22797</v>
      </c>
      <c r="J582" s="464">
        <v>15946</v>
      </c>
      <c r="K582" s="464">
        <v>242105</v>
      </c>
      <c r="L582" s="464"/>
      <c r="M582" s="461">
        <v>1287</v>
      </c>
      <c r="N582" s="461">
        <v>0</v>
      </c>
      <c r="O582" s="461">
        <v>0</v>
      </c>
      <c r="P582" s="464">
        <v>26347</v>
      </c>
      <c r="Q582" s="464">
        <v>27634</v>
      </c>
      <c r="R582" s="464"/>
      <c r="S582" s="461">
        <v>154089</v>
      </c>
      <c r="T582" s="462">
        <v>-7138</v>
      </c>
      <c r="U582" s="462">
        <v>146951</v>
      </c>
      <c r="W582" s="464">
        <v>929413</v>
      </c>
      <c r="X582" s="464">
        <v>212962</v>
      </c>
    </row>
    <row r="583" spans="1:24">
      <c r="A583" s="458">
        <v>96351</v>
      </c>
      <c r="B583" s="459" t="s">
        <v>1287</v>
      </c>
      <c r="C583" s="463">
        <v>1.04827E-3</v>
      </c>
      <c r="D583" s="463">
        <v>1.0866999999999999E-3</v>
      </c>
      <c r="E583" s="464">
        <v>6942783</v>
      </c>
      <c r="F583" s="464"/>
      <c r="G583" s="461">
        <v>773632</v>
      </c>
      <c r="H583" s="461">
        <v>1858193</v>
      </c>
      <c r="I583" s="461">
        <v>295028</v>
      </c>
      <c r="J583" s="464">
        <v>43988</v>
      </c>
      <c r="K583" s="464">
        <v>2970841</v>
      </c>
      <c r="L583" s="464"/>
      <c r="M583" s="461">
        <v>16655</v>
      </c>
      <c r="N583" s="461">
        <v>0</v>
      </c>
      <c r="O583" s="461">
        <v>0</v>
      </c>
      <c r="P583" s="464">
        <v>154795</v>
      </c>
      <c r="Q583" s="464">
        <v>171450</v>
      </c>
      <c r="R583" s="464"/>
      <c r="S583" s="461">
        <v>1994161</v>
      </c>
      <c r="T583" s="462">
        <v>-25268</v>
      </c>
      <c r="U583" s="462">
        <v>1968893</v>
      </c>
      <c r="W583" s="464">
        <v>12028099</v>
      </c>
      <c r="X583" s="464">
        <v>2756075</v>
      </c>
    </row>
    <row r="584" spans="1:24">
      <c r="A584" s="458">
        <v>96361</v>
      </c>
      <c r="B584" s="459" t="s">
        <v>1288</v>
      </c>
      <c r="C584" s="463">
        <v>7.5560000000000002E-5</v>
      </c>
      <c r="D584" s="463">
        <v>6.2000000000000003E-5</v>
      </c>
      <c r="E584" s="464">
        <v>500440</v>
      </c>
      <c r="F584" s="464"/>
      <c r="G584" s="461">
        <v>55764</v>
      </c>
      <c r="H584" s="461">
        <v>133940</v>
      </c>
      <c r="I584" s="461">
        <v>21266</v>
      </c>
      <c r="J584" s="464">
        <v>46205</v>
      </c>
      <c r="K584" s="464">
        <v>257175</v>
      </c>
      <c r="L584" s="464"/>
      <c r="M584" s="461">
        <v>1200</v>
      </c>
      <c r="N584" s="461">
        <v>0</v>
      </c>
      <c r="O584" s="461">
        <v>0</v>
      </c>
      <c r="P584" s="464">
        <v>3125</v>
      </c>
      <c r="Q584" s="464">
        <v>4325</v>
      </c>
      <c r="R584" s="464"/>
      <c r="S584" s="461">
        <v>143740</v>
      </c>
      <c r="T584" s="462">
        <v>18452</v>
      </c>
      <c r="U584" s="462">
        <v>162192</v>
      </c>
      <c r="W584" s="464">
        <v>866993</v>
      </c>
      <c r="X584" s="464">
        <v>198660</v>
      </c>
    </row>
    <row r="585" spans="1:24">
      <c r="A585" s="458">
        <v>96371</v>
      </c>
      <c r="B585" s="459" t="s">
        <v>1289</v>
      </c>
      <c r="C585" s="463">
        <v>1.8149999999999999E-4</v>
      </c>
      <c r="D585" s="463">
        <v>1.5440000000000001E-4</v>
      </c>
      <c r="E585" s="464">
        <v>1202090</v>
      </c>
      <c r="F585" s="464"/>
      <c r="G585" s="461">
        <v>133948</v>
      </c>
      <c r="H585" s="461">
        <v>321732</v>
      </c>
      <c r="I585" s="461">
        <v>51082</v>
      </c>
      <c r="J585" s="464">
        <v>73980</v>
      </c>
      <c r="K585" s="464">
        <v>580742</v>
      </c>
      <c r="L585" s="464"/>
      <c r="M585" s="461">
        <v>2884</v>
      </c>
      <c r="N585" s="461">
        <v>0</v>
      </c>
      <c r="O585" s="461">
        <v>0</v>
      </c>
      <c r="P585" s="464">
        <v>7264</v>
      </c>
      <c r="Q585" s="464">
        <v>10148</v>
      </c>
      <c r="R585" s="464"/>
      <c r="S585" s="461">
        <v>345274</v>
      </c>
      <c r="T585" s="462">
        <v>24949</v>
      </c>
      <c r="U585" s="462">
        <v>370223</v>
      </c>
      <c r="W585" s="464">
        <v>2082574</v>
      </c>
      <c r="X585" s="464">
        <v>477193</v>
      </c>
    </row>
    <row r="586" spans="1:24">
      <c r="A586" s="458">
        <v>96381</v>
      </c>
      <c r="B586" s="459" t="s">
        <v>1290</v>
      </c>
      <c r="C586" s="463">
        <v>3.6720000000000001E-5</v>
      </c>
      <c r="D586" s="463">
        <v>3.1000000000000001E-5</v>
      </c>
      <c r="E586" s="464">
        <v>243200</v>
      </c>
      <c r="F586" s="464"/>
      <c r="G586" s="461">
        <v>27100</v>
      </c>
      <c r="H586" s="461">
        <v>65091</v>
      </c>
      <c r="I586" s="461">
        <v>10335</v>
      </c>
      <c r="J586" s="464">
        <v>24778</v>
      </c>
      <c r="K586" s="464">
        <v>127304</v>
      </c>
      <c r="L586" s="464"/>
      <c r="M586" s="461">
        <v>583</v>
      </c>
      <c r="N586" s="461">
        <v>0</v>
      </c>
      <c r="O586" s="461">
        <v>0</v>
      </c>
      <c r="P586" s="464">
        <v>2269</v>
      </c>
      <c r="Q586" s="464">
        <v>2852</v>
      </c>
      <c r="R586" s="464"/>
      <c r="S586" s="461">
        <v>69854</v>
      </c>
      <c r="T586" s="462">
        <v>6576</v>
      </c>
      <c r="U586" s="462">
        <v>76430</v>
      </c>
      <c r="W586" s="464">
        <v>421334</v>
      </c>
      <c r="X586" s="464">
        <v>96543</v>
      </c>
    </row>
    <row r="587" spans="1:24">
      <c r="A587" s="458">
        <v>96391</v>
      </c>
      <c r="B587" s="459" t="s">
        <v>1291</v>
      </c>
      <c r="C587" s="463">
        <v>1.7942000000000001E-4</v>
      </c>
      <c r="D587" s="463">
        <v>1.8420000000000001E-4</v>
      </c>
      <c r="E587" s="464">
        <v>1188314</v>
      </c>
      <c r="F587" s="464"/>
      <c r="G587" s="461">
        <v>132413</v>
      </c>
      <c r="H587" s="461">
        <v>318045</v>
      </c>
      <c r="I587" s="461">
        <v>50497</v>
      </c>
      <c r="J587" s="464">
        <v>16595</v>
      </c>
      <c r="K587" s="464">
        <v>517550</v>
      </c>
      <c r="L587" s="464"/>
      <c r="M587" s="461">
        <v>2851</v>
      </c>
      <c r="N587" s="461">
        <v>0</v>
      </c>
      <c r="O587" s="461">
        <v>0</v>
      </c>
      <c r="P587" s="464">
        <v>47445</v>
      </c>
      <c r="Q587" s="464">
        <v>50296</v>
      </c>
      <c r="R587" s="464"/>
      <c r="S587" s="461">
        <v>341317</v>
      </c>
      <c r="T587" s="462">
        <v>-37805</v>
      </c>
      <c r="U587" s="462">
        <v>303512</v>
      </c>
      <c r="W587" s="464">
        <v>2058708</v>
      </c>
      <c r="X587" s="464">
        <v>471725</v>
      </c>
    </row>
    <row r="588" spans="1:24">
      <c r="A588" s="458">
        <v>96401</v>
      </c>
      <c r="B588" s="459" t="s">
        <v>1292</v>
      </c>
      <c r="C588" s="463">
        <v>4.0953200000000004E-3</v>
      </c>
      <c r="D588" s="463">
        <v>4.2157000000000002E-3</v>
      </c>
      <c r="E588" s="464">
        <v>27123661</v>
      </c>
      <c r="F588" s="464"/>
      <c r="G588" s="461">
        <v>3022379</v>
      </c>
      <c r="H588" s="461">
        <v>7259479</v>
      </c>
      <c r="I588" s="461">
        <v>1152599</v>
      </c>
      <c r="J588" s="464">
        <v>204597</v>
      </c>
      <c r="K588" s="464">
        <v>11639054</v>
      </c>
      <c r="L588" s="464"/>
      <c r="M588" s="461">
        <v>65066</v>
      </c>
      <c r="N588" s="461">
        <v>0</v>
      </c>
      <c r="O588" s="461">
        <v>0</v>
      </c>
      <c r="P588" s="464">
        <v>459789</v>
      </c>
      <c r="Q588" s="464">
        <v>524855</v>
      </c>
      <c r="R588" s="464"/>
      <c r="S588" s="461">
        <v>7790671</v>
      </c>
      <c r="T588" s="462">
        <v>-146920</v>
      </c>
      <c r="U588" s="462">
        <v>7643751</v>
      </c>
      <c r="W588" s="464">
        <v>46990676</v>
      </c>
      <c r="X588" s="464">
        <v>10767272</v>
      </c>
    </row>
    <row r="589" spans="1:24">
      <c r="A589" s="458">
        <v>96404</v>
      </c>
      <c r="B589" s="459" t="s">
        <v>1293</v>
      </c>
      <c r="C589" s="463">
        <v>1.1291E-4</v>
      </c>
      <c r="D589" s="463">
        <v>1.094E-4</v>
      </c>
      <c r="E589" s="464">
        <v>747813</v>
      </c>
      <c r="F589" s="464"/>
      <c r="G589" s="461">
        <v>83328</v>
      </c>
      <c r="H589" s="461">
        <v>200147</v>
      </c>
      <c r="I589" s="461">
        <v>31778</v>
      </c>
      <c r="J589" s="464">
        <v>56787</v>
      </c>
      <c r="K589" s="464">
        <v>372040</v>
      </c>
      <c r="L589" s="464"/>
      <c r="M589" s="461">
        <v>1794</v>
      </c>
      <c r="N589" s="461">
        <v>0</v>
      </c>
      <c r="O589" s="461">
        <v>0</v>
      </c>
      <c r="P589" s="464">
        <v>0</v>
      </c>
      <c r="Q589" s="464">
        <v>1794</v>
      </c>
      <c r="R589" s="464"/>
      <c r="S589" s="461">
        <v>214793</v>
      </c>
      <c r="T589" s="462">
        <v>34962</v>
      </c>
      <c r="U589" s="462">
        <v>249755</v>
      </c>
      <c r="W589" s="464">
        <v>1295556</v>
      </c>
      <c r="X589" s="464">
        <v>296859</v>
      </c>
    </row>
    <row r="590" spans="1:24">
      <c r="A590" s="458">
        <v>96405</v>
      </c>
      <c r="B590" s="459" t="s">
        <v>1294</v>
      </c>
      <c r="C590" s="463">
        <v>1.0980999999999999E-4</v>
      </c>
      <c r="D590" s="463">
        <v>1.2310000000000001E-4</v>
      </c>
      <c r="E590" s="464">
        <v>727281</v>
      </c>
      <c r="F590" s="464"/>
      <c r="G590" s="461">
        <v>81041</v>
      </c>
      <c r="H590" s="461">
        <v>194652</v>
      </c>
      <c r="I590" s="461">
        <v>30905</v>
      </c>
      <c r="J590" s="464">
        <v>17439</v>
      </c>
      <c r="K590" s="464">
        <v>324037</v>
      </c>
      <c r="L590" s="464"/>
      <c r="M590" s="461">
        <v>1745</v>
      </c>
      <c r="N590" s="461">
        <v>0</v>
      </c>
      <c r="O590" s="461">
        <v>0</v>
      </c>
      <c r="P590" s="464">
        <v>34038</v>
      </c>
      <c r="Q590" s="464">
        <v>35783</v>
      </c>
      <c r="R590" s="464"/>
      <c r="S590" s="461">
        <v>208895</v>
      </c>
      <c r="T590" s="462">
        <v>1035</v>
      </c>
      <c r="U590" s="462">
        <v>209930</v>
      </c>
      <c r="W590" s="464">
        <v>1259986</v>
      </c>
      <c r="X590" s="464">
        <v>288709</v>
      </c>
    </row>
    <row r="591" spans="1:24">
      <c r="A591" s="458">
        <v>96411</v>
      </c>
      <c r="B591" s="459" t="s">
        <v>1295</v>
      </c>
      <c r="C591" s="463">
        <v>7.4510000000000003E-5</v>
      </c>
      <c r="D591" s="463">
        <v>5.5399999999999998E-5</v>
      </c>
      <c r="E591" s="464">
        <v>493486</v>
      </c>
      <c r="F591" s="464"/>
      <c r="G591" s="461">
        <v>54989</v>
      </c>
      <c r="H591" s="461">
        <v>132079</v>
      </c>
      <c r="I591" s="461">
        <v>20970</v>
      </c>
      <c r="J591" s="464">
        <v>43991</v>
      </c>
      <c r="K591" s="464">
        <v>252029</v>
      </c>
      <c r="L591" s="464"/>
      <c r="M591" s="461">
        <v>1184</v>
      </c>
      <c r="N591" s="461">
        <v>0</v>
      </c>
      <c r="O591" s="461">
        <v>0</v>
      </c>
      <c r="P591" s="464">
        <v>16080</v>
      </c>
      <c r="Q591" s="464">
        <v>17264</v>
      </c>
      <c r="R591" s="464"/>
      <c r="S591" s="461">
        <v>141743</v>
      </c>
      <c r="T591" s="462">
        <v>3080</v>
      </c>
      <c r="U591" s="462">
        <v>144823</v>
      </c>
      <c r="W591" s="464">
        <v>854945</v>
      </c>
      <c r="X591" s="464">
        <v>195899</v>
      </c>
    </row>
    <row r="592" spans="1:24">
      <c r="A592" s="458">
        <v>96421</v>
      </c>
      <c r="B592" s="459" t="s">
        <v>1296</v>
      </c>
      <c r="C592" s="463">
        <v>5.2205999999999997E-4</v>
      </c>
      <c r="D592" s="463">
        <v>4.2279999999999998E-4</v>
      </c>
      <c r="E592" s="464">
        <v>3457649</v>
      </c>
      <c r="F592" s="464"/>
      <c r="G592" s="461">
        <v>385284</v>
      </c>
      <c r="H592" s="461">
        <v>925418</v>
      </c>
      <c r="I592" s="461">
        <v>146930</v>
      </c>
      <c r="J592" s="464">
        <v>149790</v>
      </c>
      <c r="K592" s="464">
        <v>1607422</v>
      </c>
      <c r="L592" s="464"/>
      <c r="M592" s="461">
        <v>8294</v>
      </c>
      <c r="N592" s="461">
        <v>0</v>
      </c>
      <c r="O592" s="461">
        <v>0</v>
      </c>
      <c r="P592" s="464">
        <v>44686</v>
      </c>
      <c r="Q592" s="464">
        <v>52980</v>
      </c>
      <c r="R592" s="464"/>
      <c r="S592" s="461">
        <v>993133</v>
      </c>
      <c r="T592" s="462">
        <v>24088</v>
      </c>
      <c r="U592" s="462">
        <v>1017221</v>
      </c>
      <c r="W592" s="464">
        <v>5990241</v>
      </c>
      <c r="X592" s="464">
        <v>1372582</v>
      </c>
    </row>
    <row r="593" spans="1:24">
      <c r="A593" s="458">
        <v>96431</v>
      </c>
      <c r="B593" s="459" t="s">
        <v>1297</v>
      </c>
      <c r="C593" s="463">
        <v>5.0399999999999999E-5</v>
      </c>
      <c r="D593" s="463">
        <v>4.6199999999999998E-5</v>
      </c>
      <c r="E593" s="464">
        <v>333804</v>
      </c>
      <c r="F593" s="464"/>
      <c r="G593" s="461">
        <v>37196</v>
      </c>
      <c r="H593" s="461">
        <v>89340</v>
      </c>
      <c r="I593" s="461">
        <v>14185</v>
      </c>
      <c r="J593" s="464">
        <v>21602</v>
      </c>
      <c r="K593" s="464">
        <v>162323</v>
      </c>
      <c r="L593" s="464"/>
      <c r="M593" s="461">
        <v>801</v>
      </c>
      <c r="N593" s="461">
        <v>0</v>
      </c>
      <c r="O593" s="461">
        <v>0</v>
      </c>
      <c r="P593" s="464">
        <v>424</v>
      </c>
      <c r="Q593" s="464">
        <v>1225</v>
      </c>
      <c r="R593" s="464"/>
      <c r="S593" s="461">
        <v>95878</v>
      </c>
      <c r="T593" s="462">
        <v>17426</v>
      </c>
      <c r="U593" s="462">
        <v>113304</v>
      </c>
      <c r="W593" s="464">
        <v>578302</v>
      </c>
      <c r="X593" s="464">
        <v>132510</v>
      </c>
    </row>
    <row r="594" spans="1:24">
      <c r="A594" s="458">
        <v>96441</v>
      </c>
      <c r="B594" s="459" t="s">
        <v>1298</v>
      </c>
      <c r="C594" s="463">
        <v>2.0550000000000001E-5</v>
      </c>
      <c r="D594" s="463">
        <v>3.1000000000000001E-5</v>
      </c>
      <c r="E594" s="464">
        <v>136104</v>
      </c>
      <c r="F594" s="464"/>
      <c r="G594" s="461">
        <v>15166</v>
      </c>
      <c r="H594" s="461">
        <v>36428</v>
      </c>
      <c r="I594" s="461">
        <v>5784</v>
      </c>
      <c r="J594" s="464">
        <v>2011</v>
      </c>
      <c r="K594" s="464">
        <v>59389</v>
      </c>
      <c r="L594" s="464"/>
      <c r="M594" s="461">
        <v>326</v>
      </c>
      <c r="N594" s="461">
        <v>0</v>
      </c>
      <c r="O594" s="461">
        <v>0</v>
      </c>
      <c r="P594" s="464">
        <v>22815</v>
      </c>
      <c r="Q594" s="464">
        <v>23141</v>
      </c>
      <c r="R594" s="464"/>
      <c r="S594" s="461">
        <v>39093</v>
      </c>
      <c r="T594" s="462">
        <v>-3183</v>
      </c>
      <c r="U594" s="462">
        <v>35910</v>
      </c>
      <c r="W594" s="464">
        <v>235796</v>
      </c>
      <c r="X594" s="464">
        <v>54029</v>
      </c>
    </row>
    <row r="595" spans="1:24">
      <c r="A595" s="458">
        <v>96451</v>
      </c>
      <c r="B595" s="459" t="s">
        <v>1299</v>
      </c>
      <c r="C595" s="463">
        <v>1.7180000000000002E-5</v>
      </c>
      <c r="D595" s="463">
        <v>1.1199999999999999E-5</v>
      </c>
      <c r="E595" s="464">
        <v>113785</v>
      </c>
      <c r="F595" s="464"/>
      <c r="G595" s="461">
        <v>12679</v>
      </c>
      <c r="H595" s="461">
        <v>30454</v>
      </c>
      <c r="I595" s="461">
        <v>4835</v>
      </c>
      <c r="J595" s="464">
        <v>14255</v>
      </c>
      <c r="K595" s="464">
        <v>62223</v>
      </c>
      <c r="L595" s="464"/>
      <c r="M595" s="461">
        <v>273</v>
      </c>
      <c r="N595" s="461">
        <v>0</v>
      </c>
      <c r="O595" s="461">
        <v>0</v>
      </c>
      <c r="P595" s="464">
        <v>1358</v>
      </c>
      <c r="Q595" s="464">
        <v>1631</v>
      </c>
      <c r="R595" s="464"/>
      <c r="S595" s="461">
        <v>32682</v>
      </c>
      <c r="T595" s="462">
        <v>6042</v>
      </c>
      <c r="U595" s="462">
        <v>38724</v>
      </c>
      <c r="W595" s="464">
        <v>197127</v>
      </c>
      <c r="X595" s="464">
        <v>45169</v>
      </c>
    </row>
    <row r="596" spans="1:24">
      <c r="A596" s="458">
        <v>96461</v>
      </c>
      <c r="B596" s="459" t="s">
        <v>1300</v>
      </c>
      <c r="C596" s="463">
        <v>1.3161999999999999E-4</v>
      </c>
      <c r="D596" s="463">
        <v>1.527E-4</v>
      </c>
      <c r="E596" s="464">
        <v>871731</v>
      </c>
      <c r="F596" s="464"/>
      <c r="G596" s="461">
        <v>97137</v>
      </c>
      <c r="H596" s="461">
        <v>233313</v>
      </c>
      <c r="I596" s="461">
        <v>37044</v>
      </c>
      <c r="J596" s="464">
        <v>15064</v>
      </c>
      <c r="K596" s="464">
        <v>382558</v>
      </c>
      <c r="L596" s="464"/>
      <c r="M596" s="461">
        <v>2091</v>
      </c>
      <c r="N596" s="461">
        <v>0</v>
      </c>
      <c r="O596" s="461">
        <v>0</v>
      </c>
      <c r="P596" s="464">
        <v>70831</v>
      </c>
      <c r="Q596" s="464">
        <v>72922</v>
      </c>
      <c r="R596" s="464"/>
      <c r="S596" s="461">
        <v>250385</v>
      </c>
      <c r="T596" s="462">
        <v>-20265</v>
      </c>
      <c r="U596" s="462">
        <v>230120</v>
      </c>
      <c r="W596" s="464">
        <v>1510239</v>
      </c>
      <c r="X596" s="464">
        <v>346051</v>
      </c>
    </row>
    <row r="597" spans="1:24">
      <c r="A597" s="458">
        <v>96501</v>
      </c>
      <c r="B597" s="459" t="s">
        <v>1301</v>
      </c>
      <c r="C597" s="463">
        <v>1.5097370000000001E-2</v>
      </c>
      <c r="D597" s="463">
        <v>1.4519799999999999E-2</v>
      </c>
      <c r="E597" s="464">
        <v>99991195</v>
      </c>
      <c r="F597" s="464"/>
      <c r="G597" s="461">
        <v>11141980</v>
      </c>
      <c r="H597" s="461">
        <v>26762021</v>
      </c>
      <c r="I597" s="461">
        <v>4249049</v>
      </c>
      <c r="J597" s="464">
        <v>1596947</v>
      </c>
      <c r="K597" s="464">
        <v>43749997</v>
      </c>
      <c r="L597" s="464"/>
      <c r="M597" s="461">
        <v>239867</v>
      </c>
      <c r="N597" s="461">
        <v>0</v>
      </c>
      <c r="O597" s="461">
        <v>0</v>
      </c>
      <c r="P597" s="464">
        <v>262660</v>
      </c>
      <c r="Q597" s="464">
        <v>502527</v>
      </c>
      <c r="R597" s="464"/>
      <c r="S597" s="461">
        <v>28720255</v>
      </c>
      <c r="T597" s="462">
        <v>383555</v>
      </c>
      <c r="U597" s="462">
        <v>29103810</v>
      </c>
      <c r="W597" s="464">
        <v>173230817</v>
      </c>
      <c r="X597" s="464">
        <v>39693477</v>
      </c>
    </row>
    <row r="598" spans="1:24">
      <c r="A598" s="458">
        <v>96502</v>
      </c>
      <c r="B598" s="459" t="s">
        <v>1302</v>
      </c>
      <c r="C598" s="463">
        <v>3.5762000000000001E-4</v>
      </c>
      <c r="D598" s="463">
        <v>3.3349999999999997E-4</v>
      </c>
      <c r="E598" s="464">
        <v>2368548</v>
      </c>
      <c r="F598" s="464"/>
      <c r="G598" s="461">
        <v>263926</v>
      </c>
      <c r="H598" s="461">
        <v>633927</v>
      </c>
      <c r="I598" s="461">
        <v>100650</v>
      </c>
      <c r="J598" s="464">
        <v>65300</v>
      </c>
      <c r="K598" s="464">
        <v>1063803</v>
      </c>
      <c r="L598" s="464"/>
      <c r="M598" s="461">
        <v>5682</v>
      </c>
      <c r="N598" s="461">
        <v>0</v>
      </c>
      <c r="O598" s="461">
        <v>0</v>
      </c>
      <c r="P598" s="464">
        <v>3524</v>
      </c>
      <c r="Q598" s="464">
        <v>9206</v>
      </c>
      <c r="R598" s="464"/>
      <c r="S598" s="461">
        <v>680313</v>
      </c>
      <c r="T598" s="462">
        <v>6722</v>
      </c>
      <c r="U598" s="462">
        <v>687035</v>
      </c>
      <c r="W598" s="464">
        <v>4103417</v>
      </c>
      <c r="X598" s="464">
        <v>940242</v>
      </c>
    </row>
    <row r="599" spans="1:24">
      <c r="A599" s="458">
        <v>96503</v>
      </c>
      <c r="B599" s="459" t="s">
        <v>1303</v>
      </c>
      <c r="C599" s="463">
        <v>3.5455000000000003E-4</v>
      </c>
      <c r="D599" s="463">
        <v>2.9169999999999999E-4</v>
      </c>
      <c r="E599" s="464">
        <v>2348215</v>
      </c>
      <c r="F599" s="464"/>
      <c r="G599" s="461">
        <v>261661</v>
      </c>
      <c r="H599" s="461">
        <v>628485</v>
      </c>
      <c r="I599" s="461">
        <v>99786</v>
      </c>
      <c r="J599" s="464">
        <v>529612</v>
      </c>
      <c r="K599" s="464">
        <v>1519544</v>
      </c>
      <c r="L599" s="464"/>
      <c r="M599" s="461">
        <v>5633</v>
      </c>
      <c r="N599" s="461">
        <v>0</v>
      </c>
      <c r="O599" s="461">
        <v>0</v>
      </c>
      <c r="P599" s="464">
        <v>6592</v>
      </c>
      <c r="Q599" s="464">
        <v>12225</v>
      </c>
      <c r="R599" s="464"/>
      <c r="S599" s="461">
        <v>674473</v>
      </c>
      <c r="T599" s="462">
        <v>291960</v>
      </c>
      <c r="U599" s="462">
        <v>966433</v>
      </c>
      <c r="W599" s="464">
        <v>4068191</v>
      </c>
      <c r="X599" s="464">
        <v>932170</v>
      </c>
    </row>
    <row r="600" spans="1:24">
      <c r="A600" s="458">
        <v>96504</v>
      </c>
      <c r="B600" s="459" t="s">
        <v>1304</v>
      </c>
      <c r="C600" s="463">
        <v>3.2217999999999998E-4</v>
      </c>
      <c r="D600" s="463">
        <v>3.5129999999999997E-4</v>
      </c>
      <c r="E600" s="464">
        <v>2133826</v>
      </c>
      <c r="F600" s="464"/>
      <c r="G600" s="461">
        <v>237771</v>
      </c>
      <c r="H600" s="461">
        <v>571105</v>
      </c>
      <c r="I600" s="461">
        <v>90675</v>
      </c>
      <c r="J600" s="464">
        <v>2918</v>
      </c>
      <c r="K600" s="464">
        <v>902469</v>
      </c>
      <c r="L600" s="464"/>
      <c r="M600" s="461">
        <v>5119</v>
      </c>
      <c r="N600" s="461">
        <v>0</v>
      </c>
      <c r="O600" s="461">
        <v>0</v>
      </c>
      <c r="P600" s="464">
        <v>68153</v>
      </c>
      <c r="Q600" s="464">
        <v>73272</v>
      </c>
      <c r="R600" s="464"/>
      <c r="S600" s="461">
        <v>612894</v>
      </c>
      <c r="T600" s="462">
        <v>-39234</v>
      </c>
      <c r="U600" s="462">
        <v>573660</v>
      </c>
      <c r="W600" s="464">
        <v>3696770</v>
      </c>
      <c r="X600" s="464">
        <v>847064</v>
      </c>
    </row>
    <row r="601" spans="1:24">
      <c r="A601" s="458">
        <v>96507</v>
      </c>
      <c r="B601" s="459" t="s">
        <v>1305</v>
      </c>
      <c r="C601" s="463">
        <v>2.4284200000000001E-3</v>
      </c>
      <c r="D601" s="463">
        <v>2.3941000000000001E-3</v>
      </c>
      <c r="E601" s="464">
        <v>16083637</v>
      </c>
      <c r="F601" s="464"/>
      <c r="G601" s="461">
        <v>1792193</v>
      </c>
      <c r="H601" s="461">
        <v>4304685</v>
      </c>
      <c r="I601" s="461">
        <v>683462</v>
      </c>
      <c r="J601" s="464">
        <v>112749</v>
      </c>
      <c r="K601" s="464">
        <v>6893089</v>
      </c>
      <c r="L601" s="464"/>
      <c r="M601" s="461">
        <v>38583</v>
      </c>
      <c r="N601" s="461">
        <v>0</v>
      </c>
      <c r="O601" s="461">
        <v>0</v>
      </c>
      <c r="P601" s="464">
        <v>32733</v>
      </c>
      <c r="Q601" s="464">
        <v>71316</v>
      </c>
      <c r="R601" s="464"/>
      <c r="S601" s="461">
        <v>4619668</v>
      </c>
      <c r="T601" s="462">
        <v>121732</v>
      </c>
      <c r="U601" s="462">
        <v>4741400</v>
      </c>
      <c r="W601" s="464">
        <v>27864269</v>
      </c>
      <c r="X601" s="464">
        <v>6384717</v>
      </c>
    </row>
    <row r="602" spans="1:24">
      <c r="A602" s="458">
        <v>96508</v>
      </c>
      <c r="B602" s="459" t="s">
        <v>1306</v>
      </c>
      <c r="C602" s="463">
        <v>1.377E-5</v>
      </c>
      <c r="D602" s="463">
        <v>1.2799999999999999E-5</v>
      </c>
      <c r="E602" s="464">
        <v>91200</v>
      </c>
      <c r="F602" s="464"/>
      <c r="G602" s="461">
        <v>10162</v>
      </c>
      <c r="H602" s="461">
        <v>24409</v>
      </c>
      <c r="I602" s="461">
        <v>3875</v>
      </c>
      <c r="J602" s="464">
        <v>21987</v>
      </c>
      <c r="K602" s="464">
        <v>60433</v>
      </c>
      <c r="L602" s="464"/>
      <c r="M602" s="461">
        <v>219</v>
      </c>
      <c r="N602" s="461">
        <v>0</v>
      </c>
      <c r="O602" s="461">
        <v>0</v>
      </c>
      <c r="P602" s="464">
        <v>0</v>
      </c>
      <c r="Q602" s="464">
        <v>219</v>
      </c>
      <c r="R602" s="464"/>
      <c r="S602" s="461">
        <v>26195</v>
      </c>
      <c r="T602" s="462">
        <v>15404</v>
      </c>
      <c r="U602" s="462">
        <v>41599</v>
      </c>
      <c r="W602" s="464">
        <v>158000</v>
      </c>
      <c r="X602" s="464">
        <v>36204</v>
      </c>
    </row>
    <row r="603" spans="1:24">
      <c r="A603" s="458">
        <v>96511</v>
      </c>
      <c r="B603" s="459" t="s">
        <v>1307</v>
      </c>
      <c r="C603" s="463">
        <v>5.4253000000000005E-4</v>
      </c>
      <c r="D603" s="463">
        <v>5.6559999999999998E-4</v>
      </c>
      <c r="E603" s="464">
        <v>3593223</v>
      </c>
      <c r="F603" s="464"/>
      <c r="G603" s="461">
        <v>400391</v>
      </c>
      <c r="H603" s="461">
        <v>961704</v>
      </c>
      <c r="I603" s="461">
        <v>152691</v>
      </c>
      <c r="J603" s="464">
        <v>6196</v>
      </c>
      <c r="K603" s="464">
        <v>1520982</v>
      </c>
      <c r="L603" s="464"/>
      <c r="M603" s="461">
        <v>8620</v>
      </c>
      <c r="N603" s="461">
        <v>0</v>
      </c>
      <c r="O603" s="461">
        <v>0</v>
      </c>
      <c r="P603" s="464">
        <v>51335</v>
      </c>
      <c r="Q603" s="464">
        <v>59955</v>
      </c>
      <c r="R603" s="464"/>
      <c r="S603" s="461">
        <v>1032074</v>
      </c>
      <c r="T603" s="462">
        <v>-35600</v>
      </c>
      <c r="U603" s="462">
        <v>996474</v>
      </c>
      <c r="W603" s="464">
        <v>6225118</v>
      </c>
      <c r="X603" s="464">
        <v>1426401</v>
      </c>
    </row>
    <row r="604" spans="1:24">
      <c r="A604" s="458">
        <v>96512</v>
      </c>
      <c r="B604" s="459" t="s">
        <v>1308</v>
      </c>
      <c r="C604" s="463">
        <v>1.4747999999999999E-4</v>
      </c>
      <c r="D604" s="463">
        <v>1.4339999999999999E-4</v>
      </c>
      <c r="E604" s="464">
        <v>976773</v>
      </c>
      <c r="F604" s="464"/>
      <c r="G604" s="461">
        <v>108841</v>
      </c>
      <c r="H604" s="461">
        <v>261427</v>
      </c>
      <c r="I604" s="461">
        <v>41507</v>
      </c>
      <c r="J604" s="464">
        <v>40855</v>
      </c>
      <c r="K604" s="464">
        <v>452630</v>
      </c>
      <c r="L604" s="464"/>
      <c r="M604" s="461">
        <v>2343</v>
      </c>
      <c r="N604" s="461">
        <v>0</v>
      </c>
      <c r="O604" s="461">
        <v>0</v>
      </c>
      <c r="P604" s="464">
        <v>0</v>
      </c>
      <c r="Q604" s="464">
        <v>2343</v>
      </c>
      <c r="R604" s="464"/>
      <c r="S604" s="461">
        <v>280556</v>
      </c>
      <c r="T604" s="462">
        <v>14748</v>
      </c>
      <c r="U604" s="462">
        <v>295304</v>
      </c>
      <c r="W604" s="464">
        <v>1692221</v>
      </c>
      <c r="X604" s="464">
        <v>387749</v>
      </c>
    </row>
    <row r="605" spans="1:24">
      <c r="A605" s="458">
        <v>96521</v>
      </c>
      <c r="B605" s="459" t="s">
        <v>1309</v>
      </c>
      <c r="C605" s="463">
        <v>1.01453E-3</v>
      </c>
      <c r="D605" s="463">
        <v>9.6239999999999997E-4</v>
      </c>
      <c r="E605" s="464">
        <v>6719320</v>
      </c>
      <c r="F605" s="464"/>
      <c r="G605" s="461">
        <v>748731</v>
      </c>
      <c r="H605" s="461">
        <v>1798384</v>
      </c>
      <c r="I605" s="461">
        <v>285532</v>
      </c>
      <c r="J605" s="464">
        <v>66033</v>
      </c>
      <c r="K605" s="464">
        <v>2898680</v>
      </c>
      <c r="L605" s="464"/>
      <c r="M605" s="461">
        <v>16119</v>
      </c>
      <c r="N605" s="461">
        <v>0</v>
      </c>
      <c r="O605" s="461">
        <v>0</v>
      </c>
      <c r="P605" s="464">
        <v>14009</v>
      </c>
      <c r="Q605" s="464">
        <v>30128</v>
      </c>
      <c r="R605" s="464"/>
      <c r="S605" s="461">
        <v>1929976</v>
      </c>
      <c r="T605" s="462">
        <v>-7573</v>
      </c>
      <c r="U605" s="462">
        <v>1922403</v>
      </c>
      <c r="W605" s="464">
        <v>11640959</v>
      </c>
      <c r="X605" s="464">
        <v>2667367</v>
      </c>
    </row>
    <row r="606" spans="1:24">
      <c r="A606" s="458">
        <v>96531</v>
      </c>
      <c r="B606" s="459" t="s">
        <v>1310</v>
      </c>
      <c r="C606" s="463">
        <v>7.7516900000000003E-3</v>
      </c>
      <c r="D606" s="463">
        <v>8.2185000000000001E-3</v>
      </c>
      <c r="E606" s="464">
        <v>51340117</v>
      </c>
      <c r="F606" s="464"/>
      <c r="G606" s="461">
        <v>5720809</v>
      </c>
      <c r="H606" s="461">
        <v>13740863</v>
      </c>
      <c r="I606" s="461">
        <v>2181659</v>
      </c>
      <c r="J606" s="464">
        <v>298593</v>
      </c>
      <c r="K606" s="464">
        <v>21941924</v>
      </c>
      <c r="L606" s="464"/>
      <c r="M606" s="461">
        <v>123159</v>
      </c>
      <c r="N606" s="461">
        <v>0</v>
      </c>
      <c r="O606" s="461">
        <v>0</v>
      </c>
      <c r="P606" s="464">
        <v>1232879</v>
      </c>
      <c r="Q606" s="464">
        <v>1356038</v>
      </c>
      <c r="R606" s="464"/>
      <c r="S606" s="461">
        <v>14746311</v>
      </c>
      <c r="T606" s="462">
        <v>-618149</v>
      </c>
      <c r="U606" s="462">
        <v>14128162</v>
      </c>
      <c r="W606" s="464">
        <v>88944736</v>
      </c>
      <c r="X606" s="464">
        <v>20380472</v>
      </c>
    </row>
    <row r="607" spans="1:24">
      <c r="A607" s="458">
        <v>96541</v>
      </c>
      <c r="B607" s="459" t="s">
        <v>1311</v>
      </c>
      <c r="C607" s="463">
        <v>4.2676999999999998E-4</v>
      </c>
      <c r="D607" s="463">
        <v>4.2410000000000001E-4</v>
      </c>
      <c r="E607" s="464">
        <v>2826535</v>
      </c>
      <c r="F607" s="464"/>
      <c r="G607" s="461">
        <v>314960</v>
      </c>
      <c r="H607" s="461">
        <v>756504</v>
      </c>
      <c r="I607" s="461">
        <v>120111</v>
      </c>
      <c r="J607" s="464">
        <v>24892</v>
      </c>
      <c r="K607" s="464">
        <v>1216467</v>
      </c>
      <c r="L607" s="464"/>
      <c r="M607" s="461">
        <v>6781</v>
      </c>
      <c r="N607" s="461">
        <v>0</v>
      </c>
      <c r="O607" s="461">
        <v>0</v>
      </c>
      <c r="P607" s="464">
        <v>59166</v>
      </c>
      <c r="Q607" s="464">
        <v>65947</v>
      </c>
      <c r="R607" s="464"/>
      <c r="S607" s="461">
        <v>811860</v>
      </c>
      <c r="T607" s="462">
        <v>-10039</v>
      </c>
      <c r="U607" s="462">
        <v>801821</v>
      </c>
      <c r="W607" s="464">
        <v>4896861</v>
      </c>
      <c r="X607" s="464">
        <v>1122049</v>
      </c>
    </row>
    <row r="608" spans="1:24">
      <c r="A608" s="458">
        <v>96601</v>
      </c>
      <c r="B608" s="459" t="s">
        <v>1312</v>
      </c>
      <c r="C608" s="463">
        <v>1.46878E-3</v>
      </c>
      <c r="D608" s="463">
        <v>1.5319999999999999E-3</v>
      </c>
      <c r="E608" s="464">
        <v>9727858</v>
      </c>
      <c r="F608" s="464"/>
      <c r="G608" s="461">
        <v>1083971</v>
      </c>
      <c r="H608" s="461">
        <v>2603601</v>
      </c>
      <c r="I608" s="461">
        <v>413378</v>
      </c>
      <c r="J608" s="464">
        <v>31044</v>
      </c>
      <c r="K608" s="464">
        <v>4131994</v>
      </c>
      <c r="L608" s="464"/>
      <c r="M608" s="461">
        <v>23336</v>
      </c>
      <c r="N608" s="461">
        <v>0</v>
      </c>
      <c r="O608" s="461">
        <v>0</v>
      </c>
      <c r="P608" s="464">
        <v>172468</v>
      </c>
      <c r="Q608" s="464">
        <v>195804</v>
      </c>
      <c r="R608" s="464"/>
      <c r="S608" s="461">
        <v>2794112</v>
      </c>
      <c r="T608" s="462">
        <v>-104254</v>
      </c>
      <c r="U608" s="462">
        <v>2689858</v>
      </c>
      <c r="W608" s="464">
        <v>16853131</v>
      </c>
      <c r="X608" s="464">
        <v>3861665</v>
      </c>
    </row>
    <row r="609" spans="1:24">
      <c r="A609" s="458">
        <v>96604</v>
      </c>
      <c r="B609" s="459" t="s">
        <v>1313</v>
      </c>
      <c r="C609" s="463">
        <v>4.4700000000000004E-6</v>
      </c>
      <c r="D609" s="463">
        <v>5.1000000000000003E-6</v>
      </c>
      <c r="E609" s="464">
        <v>29605</v>
      </c>
      <c r="F609" s="464"/>
      <c r="G609" s="461">
        <v>3299</v>
      </c>
      <c r="H609" s="461">
        <v>7924</v>
      </c>
      <c r="I609" s="461">
        <v>1258</v>
      </c>
      <c r="J609" s="464">
        <v>4309</v>
      </c>
      <c r="K609" s="464">
        <v>16790</v>
      </c>
      <c r="L609" s="464"/>
      <c r="M609" s="461">
        <v>71</v>
      </c>
      <c r="N609" s="461">
        <v>0</v>
      </c>
      <c r="O609" s="461">
        <v>0</v>
      </c>
      <c r="P609" s="464">
        <v>0</v>
      </c>
      <c r="Q609" s="464">
        <v>71</v>
      </c>
      <c r="R609" s="464"/>
      <c r="S609" s="461">
        <v>8503</v>
      </c>
      <c r="T609" s="462">
        <v>2925</v>
      </c>
      <c r="U609" s="462">
        <v>11428</v>
      </c>
      <c r="W609" s="464">
        <v>51290</v>
      </c>
      <c r="X609" s="464">
        <v>11752</v>
      </c>
    </row>
    <row r="610" spans="1:24">
      <c r="A610" s="458">
        <v>96611</v>
      </c>
      <c r="B610" s="459" t="s">
        <v>1314</v>
      </c>
      <c r="C610" s="463">
        <v>2.4890000000000001E-5</v>
      </c>
      <c r="D610" s="463">
        <v>1.01E-5</v>
      </c>
      <c r="E610" s="464">
        <v>164849</v>
      </c>
      <c r="F610" s="464"/>
      <c r="G610" s="461">
        <v>18369</v>
      </c>
      <c r="H610" s="461">
        <v>44121</v>
      </c>
      <c r="I610" s="461">
        <v>7005</v>
      </c>
      <c r="J610" s="464">
        <v>43908</v>
      </c>
      <c r="K610" s="464">
        <v>113403</v>
      </c>
      <c r="L610" s="464"/>
      <c r="M610" s="461">
        <v>395</v>
      </c>
      <c r="N610" s="461">
        <v>0</v>
      </c>
      <c r="O610" s="461">
        <v>0</v>
      </c>
      <c r="P610" s="464">
        <v>6364</v>
      </c>
      <c r="Q610" s="464">
        <v>6759</v>
      </c>
      <c r="R610" s="464"/>
      <c r="S610" s="461">
        <v>47349</v>
      </c>
      <c r="T610" s="462">
        <v>12134</v>
      </c>
      <c r="U610" s="462">
        <v>59483</v>
      </c>
      <c r="W610" s="464">
        <v>285594</v>
      </c>
      <c r="X610" s="464">
        <v>65440</v>
      </c>
    </row>
    <row r="611" spans="1:24">
      <c r="A611" s="458">
        <v>96612</v>
      </c>
      <c r="B611" s="459" t="s">
        <v>1315</v>
      </c>
      <c r="C611" s="463">
        <v>3.0670000000000003E-5</v>
      </c>
      <c r="D611" s="463">
        <v>3.4999999999999997E-5</v>
      </c>
      <c r="E611" s="464">
        <v>203130</v>
      </c>
      <c r="F611" s="464"/>
      <c r="G611" s="461">
        <v>22635</v>
      </c>
      <c r="H611" s="461">
        <v>54367</v>
      </c>
      <c r="I611" s="461">
        <v>8632</v>
      </c>
      <c r="J611" s="464">
        <v>10014</v>
      </c>
      <c r="K611" s="464">
        <v>95648</v>
      </c>
      <c r="L611" s="464"/>
      <c r="M611" s="461">
        <v>487</v>
      </c>
      <c r="N611" s="461">
        <v>0</v>
      </c>
      <c r="O611" s="461">
        <v>0</v>
      </c>
      <c r="P611" s="464">
        <v>14106</v>
      </c>
      <c r="Q611" s="464">
        <v>14593</v>
      </c>
      <c r="R611" s="464"/>
      <c r="S611" s="461">
        <v>58345</v>
      </c>
      <c r="T611" s="462">
        <v>1086</v>
      </c>
      <c r="U611" s="462">
        <v>59431</v>
      </c>
      <c r="W611" s="464">
        <v>351915</v>
      </c>
      <c r="X611" s="464">
        <v>80636</v>
      </c>
    </row>
    <row r="612" spans="1:24">
      <c r="A612" s="458">
        <v>96621</v>
      </c>
      <c r="B612" s="459" t="s">
        <v>1316</v>
      </c>
      <c r="C612" s="463">
        <v>2.739E-5</v>
      </c>
      <c r="D612" s="463">
        <v>2.4499999999999999E-5</v>
      </c>
      <c r="E612" s="464">
        <v>181406</v>
      </c>
      <c r="F612" s="464"/>
      <c r="G612" s="461">
        <v>20214</v>
      </c>
      <c r="H612" s="461">
        <v>48552</v>
      </c>
      <c r="I612" s="461">
        <v>7709</v>
      </c>
      <c r="J612" s="464">
        <v>10880</v>
      </c>
      <c r="K612" s="464">
        <v>87355</v>
      </c>
      <c r="L612" s="464"/>
      <c r="M612" s="461">
        <v>435</v>
      </c>
      <c r="N612" s="461">
        <v>0</v>
      </c>
      <c r="O612" s="461">
        <v>0</v>
      </c>
      <c r="P612" s="464">
        <v>341</v>
      </c>
      <c r="Q612" s="464">
        <v>776</v>
      </c>
      <c r="R612" s="464"/>
      <c r="S612" s="461">
        <v>52105</v>
      </c>
      <c r="T612" s="462">
        <v>7332</v>
      </c>
      <c r="U612" s="462">
        <v>59437</v>
      </c>
      <c r="W612" s="464">
        <v>314279</v>
      </c>
      <c r="X612" s="464">
        <v>72013</v>
      </c>
    </row>
    <row r="613" spans="1:24">
      <c r="A613" s="458">
        <v>96631</v>
      </c>
      <c r="B613" s="459" t="s">
        <v>1317</v>
      </c>
      <c r="C613" s="463">
        <v>2.4049999999999998E-5</v>
      </c>
      <c r="D613" s="463">
        <v>2.5599999999999999E-5</v>
      </c>
      <c r="E613" s="464">
        <v>159285</v>
      </c>
      <c r="F613" s="464"/>
      <c r="G613" s="461">
        <v>17749</v>
      </c>
      <c r="H613" s="461">
        <v>42632</v>
      </c>
      <c r="I613" s="461">
        <v>6769</v>
      </c>
      <c r="J613" s="464">
        <v>4642</v>
      </c>
      <c r="K613" s="464">
        <v>71792</v>
      </c>
      <c r="L613" s="464"/>
      <c r="M613" s="461">
        <v>382</v>
      </c>
      <c r="N613" s="461">
        <v>0</v>
      </c>
      <c r="O613" s="461">
        <v>0</v>
      </c>
      <c r="P613" s="464">
        <v>0</v>
      </c>
      <c r="Q613" s="464">
        <v>382</v>
      </c>
      <c r="R613" s="464"/>
      <c r="S613" s="461">
        <v>45751</v>
      </c>
      <c r="T613" s="462">
        <v>3112</v>
      </c>
      <c r="U613" s="462">
        <v>48863</v>
      </c>
      <c r="W613" s="464">
        <v>275955</v>
      </c>
      <c r="X613" s="464">
        <v>63231</v>
      </c>
    </row>
    <row r="614" spans="1:24">
      <c r="A614" s="458">
        <v>96641</v>
      </c>
      <c r="B614" s="459" t="s">
        <v>1318</v>
      </c>
      <c r="C614" s="463">
        <v>3.4319999999999997E-5</v>
      </c>
      <c r="D614" s="463">
        <v>3.4600000000000001E-5</v>
      </c>
      <c r="E614" s="464">
        <v>227304</v>
      </c>
      <c r="F614" s="464"/>
      <c r="G614" s="461">
        <v>25328</v>
      </c>
      <c r="H614" s="461">
        <v>60837</v>
      </c>
      <c r="I614" s="461">
        <v>9659</v>
      </c>
      <c r="J614" s="464">
        <v>10567</v>
      </c>
      <c r="K614" s="464">
        <v>106391</v>
      </c>
      <c r="L614" s="464"/>
      <c r="M614" s="461">
        <v>545</v>
      </c>
      <c r="N614" s="461">
        <v>0</v>
      </c>
      <c r="O614" s="461">
        <v>0</v>
      </c>
      <c r="P614" s="464">
        <v>7274</v>
      </c>
      <c r="Q614" s="464">
        <v>7819</v>
      </c>
      <c r="R614" s="464"/>
      <c r="S614" s="461">
        <v>65288</v>
      </c>
      <c r="T614" s="462">
        <v>7251</v>
      </c>
      <c r="U614" s="462">
        <v>72539</v>
      </c>
      <c r="W614" s="464">
        <v>393796</v>
      </c>
      <c r="X614" s="464">
        <v>90233</v>
      </c>
    </row>
    <row r="615" spans="1:24">
      <c r="A615" s="458">
        <v>96651</v>
      </c>
      <c r="B615" s="459" t="s">
        <v>1319</v>
      </c>
      <c r="C615" s="463">
        <v>1.8159999999999999E-5</v>
      </c>
      <c r="D615" s="463">
        <v>2.0000000000000002E-5</v>
      </c>
      <c r="E615" s="464">
        <v>120275</v>
      </c>
      <c r="F615" s="464"/>
      <c r="G615" s="461">
        <v>13402</v>
      </c>
      <c r="H615" s="461">
        <v>32191</v>
      </c>
      <c r="I615" s="461">
        <v>5111</v>
      </c>
      <c r="J615" s="464">
        <v>4587</v>
      </c>
      <c r="K615" s="464">
        <v>55291</v>
      </c>
      <c r="L615" s="464"/>
      <c r="M615" s="461">
        <v>289</v>
      </c>
      <c r="N615" s="461">
        <v>0</v>
      </c>
      <c r="O615" s="461">
        <v>0</v>
      </c>
      <c r="P615" s="464">
        <v>7488</v>
      </c>
      <c r="Q615" s="464">
        <v>7777</v>
      </c>
      <c r="R615" s="464"/>
      <c r="S615" s="461">
        <v>34546</v>
      </c>
      <c r="T615" s="462">
        <v>-140</v>
      </c>
      <c r="U615" s="462">
        <v>34406</v>
      </c>
      <c r="W615" s="464">
        <v>208372</v>
      </c>
      <c r="X615" s="464">
        <v>47746</v>
      </c>
    </row>
    <row r="616" spans="1:24">
      <c r="A616" s="458">
        <v>96661</v>
      </c>
      <c r="B616" s="459" t="s">
        <v>1320</v>
      </c>
      <c r="C616" s="463">
        <v>1.9429999999999999E-5</v>
      </c>
      <c r="D616" s="463">
        <v>2.2399999999999999E-5</v>
      </c>
      <c r="E616" s="464">
        <v>128687</v>
      </c>
      <c r="F616" s="464"/>
      <c r="G616" s="461">
        <v>14339</v>
      </c>
      <c r="H616" s="461">
        <v>34442</v>
      </c>
      <c r="I616" s="461">
        <v>5468</v>
      </c>
      <c r="J616" s="464">
        <v>114</v>
      </c>
      <c r="K616" s="464">
        <v>54363</v>
      </c>
      <c r="L616" s="464"/>
      <c r="M616" s="461">
        <v>309</v>
      </c>
      <c r="N616" s="461">
        <v>0</v>
      </c>
      <c r="O616" s="461">
        <v>0</v>
      </c>
      <c r="P616" s="464">
        <v>14828</v>
      </c>
      <c r="Q616" s="464">
        <v>15137</v>
      </c>
      <c r="R616" s="464"/>
      <c r="S616" s="461">
        <v>36962</v>
      </c>
      <c r="T616" s="462">
        <v>-3898</v>
      </c>
      <c r="U616" s="462">
        <v>33064</v>
      </c>
      <c r="W616" s="464">
        <v>222944</v>
      </c>
      <c r="X616" s="464">
        <v>51085</v>
      </c>
    </row>
    <row r="617" spans="1:24">
      <c r="A617" s="458">
        <v>96671</v>
      </c>
      <c r="B617" s="459" t="s">
        <v>1321</v>
      </c>
      <c r="C617" s="463">
        <v>1.0720000000000001E-5</v>
      </c>
      <c r="D617" s="463">
        <v>9.5000000000000005E-6</v>
      </c>
      <c r="E617" s="464">
        <v>70999</v>
      </c>
      <c r="F617" s="464"/>
      <c r="G617" s="461">
        <v>7911</v>
      </c>
      <c r="H617" s="461">
        <v>19003</v>
      </c>
      <c r="I617" s="461">
        <v>3017</v>
      </c>
      <c r="J617" s="464">
        <v>12971</v>
      </c>
      <c r="K617" s="464">
        <v>42902</v>
      </c>
      <c r="L617" s="464"/>
      <c r="M617" s="461">
        <v>170</v>
      </c>
      <c r="N617" s="461">
        <v>0</v>
      </c>
      <c r="O617" s="461">
        <v>0</v>
      </c>
      <c r="P617" s="464">
        <v>5342</v>
      </c>
      <c r="Q617" s="464">
        <v>5512</v>
      </c>
      <c r="R617" s="464"/>
      <c r="S617" s="461">
        <v>20393</v>
      </c>
      <c r="T617" s="462">
        <v>4983</v>
      </c>
      <c r="U617" s="462">
        <v>25376</v>
      </c>
      <c r="W617" s="464">
        <v>123004</v>
      </c>
      <c r="X617" s="464">
        <v>28185</v>
      </c>
    </row>
    <row r="618" spans="1:24">
      <c r="A618" s="458">
        <v>96681</v>
      </c>
      <c r="B618" s="459" t="s">
        <v>1322</v>
      </c>
      <c r="C618" s="463">
        <v>1.821E-5</v>
      </c>
      <c r="D618" s="463">
        <v>1.6799999999999998E-5</v>
      </c>
      <c r="E618" s="464">
        <v>120606</v>
      </c>
      <c r="F618" s="464"/>
      <c r="G618" s="461">
        <v>13439</v>
      </c>
      <c r="H618" s="461">
        <v>32280</v>
      </c>
      <c r="I618" s="461">
        <v>5125</v>
      </c>
      <c r="J618" s="464">
        <v>22710</v>
      </c>
      <c r="K618" s="464">
        <v>73554</v>
      </c>
      <c r="L618" s="464"/>
      <c r="M618" s="461">
        <v>289</v>
      </c>
      <c r="N618" s="461">
        <v>0</v>
      </c>
      <c r="O618" s="461">
        <v>0</v>
      </c>
      <c r="P618" s="464">
        <v>4774</v>
      </c>
      <c r="Q618" s="464">
        <v>5063</v>
      </c>
      <c r="R618" s="464"/>
      <c r="S618" s="461">
        <v>34642</v>
      </c>
      <c r="T618" s="462">
        <v>8269</v>
      </c>
      <c r="U618" s="462">
        <v>42911</v>
      </c>
      <c r="W618" s="464">
        <v>208946</v>
      </c>
      <c r="X618" s="464">
        <v>47877</v>
      </c>
    </row>
    <row r="619" spans="1:24">
      <c r="A619" s="458">
        <v>96701</v>
      </c>
      <c r="B619" s="459" t="s">
        <v>1323</v>
      </c>
      <c r="C619" s="463">
        <v>7.9741699999999992E-3</v>
      </c>
      <c r="D619" s="463">
        <v>8.0199999999999994E-3</v>
      </c>
      <c r="E619" s="464">
        <v>52813622</v>
      </c>
      <c r="F619" s="464"/>
      <c r="G619" s="461">
        <v>5885001</v>
      </c>
      <c r="H619" s="461">
        <v>14135237</v>
      </c>
      <c r="I619" s="461">
        <v>2244274</v>
      </c>
      <c r="J619" s="464">
        <v>226076</v>
      </c>
      <c r="K619" s="464">
        <v>22490588</v>
      </c>
      <c r="L619" s="464"/>
      <c r="M619" s="461">
        <v>126694</v>
      </c>
      <c r="N619" s="461">
        <v>0</v>
      </c>
      <c r="O619" s="461">
        <v>0</v>
      </c>
      <c r="P619" s="464">
        <v>656209</v>
      </c>
      <c r="Q619" s="464">
        <v>782903</v>
      </c>
      <c r="R619" s="464"/>
      <c r="S619" s="461">
        <v>15169543</v>
      </c>
      <c r="T619" s="462">
        <v>-613985</v>
      </c>
      <c r="U619" s="462">
        <v>14555558</v>
      </c>
      <c r="W619" s="464">
        <v>91497524</v>
      </c>
      <c r="X619" s="464">
        <v>20965409</v>
      </c>
    </row>
    <row r="620" spans="1:24">
      <c r="A620" s="458">
        <v>96704</v>
      </c>
      <c r="B620" s="459" t="s">
        <v>1324</v>
      </c>
      <c r="C620" s="463">
        <v>2.8568000000000002E-4</v>
      </c>
      <c r="D620" s="463">
        <v>2.5599999999999999E-4</v>
      </c>
      <c r="E620" s="464">
        <v>1892083</v>
      </c>
      <c r="F620" s="464"/>
      <c r="G620" s="461">
        <v>210834</v>
      </c>
      <c r="H620" s="461">
        <v>506404</v>
      </c>
      <c r="I620" s="461">
        <v>80403</v>
      </c>
      <c r="J620" s="464">
        <v>182678</v>
      </c>
      <c r="K620" s="464">
        <v>980319</v>
      </c>
      <c r="L620" s="464"/>
      <c r="M620" s="461">
        <v>4539</v>
      </c>
      <c r="N620" s="461">
        <v>0</v>
      </c>
      <c r="O620" s="461">
        <v>0</v>
      </c>
      <c r="P620" s="464">
        <v>0</v>
      </c>
      <c r="Q620" s="464">
        <v>4539</v>
      </c>
      <c r="R620" s="464"/>
      <c r="S620" s="461">
        <v>543459</v>
      </c>
      <c r="T620" s="462">
        <v>106217</v>
      </c>
      <c r="U620" s="462">
        <v>649676</v>
      </c>
      <c r="W620" s="464">
        <v>3277960</v>
      </c>
      <c r="X620" s="464">
        <v>751100</v>
      </c>
    </row>
    <row r="621" spans="1:24">
      <c r="A621" s="458">
        <v>96708</v>
      </c>
      <c r="B621" s="459" t="s">
        <v>1325</v>
      </c>
      <c r="C621" s="463">
        <v>8.3613999999999997E-4</v>
      </c>
      <c r="D621" s="463">
        <v>7.7360000000000005E-4</v>
      </c>
      <c r="E621" s="464">
        <v>5537828</v>
      </c>
      <c r="F621" s="464"/>
      <c r="G621" s="461">
        <v>617078</v>
      </c>
      <c r="H621" s="461">
        <v>1482165</v>
      </c>
      <c r="I621" s="461">
        <v>235326</v>
      </c>
      <c r="J621" s="464">
        <v>229464</v>
      </c>
      <c r="K621" s="464">
        <v>2564033</v>
      </c>
      <c r="L621" s="464"/>
      <c r="M621" s="461">
        <v>13285</v>
      </c>
      <c r="N621" s="461">
        <v>0</v>
      </c>
      <c r="O621" s="461">
        <v>0</v>
      </c>
      <c r="P621" s="464">
        <v>81042</v>
      </c>
      <c r="Q621" s="464">
        <v>94327</v>
      </c>
      <c r="R621" s="464"/>
      <c r="S621" s="461">
        <v>1590618</v>
      </c>
      <c r="T621" s="462">
        <v>40881</v>
      </c>
      <c r="U621" s="462">
        <v>1631499</v>
      </c>
      <c r="W621" s="464">
        <v>9594069</v>
      </c>
      <c r="X621" s="464">
        <v>2198350</v>
      </c>
    </row>
    <row r="622" spans="1:24">
      <c r="A622" s="458">
        <v>96711</v>
      </c>
      <c r="B622" s="459" t="s">
        <v>1326</v>
      </c>
      <c r="C622" s="463">
        <v>3.8955399999999999E-3</v>
      </c>
      <c r="D622" s="463">
        <v>3.6779999999999998E-3</v>
      </c>
      <c r="E622" s="464">
        <v>25800500</v>
      </c>
      <c r="F622" s="464"/>
      <c r="G622" s="461">
        <v>2874940</v>
      </c>
      <c r="H622" s="461">
        <v>6905343</v>
      </c>
      <c r="I622" s="461">
        <v>1096372</v>
      </c>
      <c r="J622" s="464">
        <v>396500</v>
      </c>
      <c r="K622" s="464">
        <v>11273155</v>
      </c>
      <c r="L622" s="464"/>
      <c r="M622" s="461">
        <v>61892</v>
      </c>
      <c r="N622" s="461">
        <v>0</v>
      </c>
      <c r="O622" s="461">
        <v>0</v>
      </c>
      <c r="P622" s="464">
        <v>240921</v>
      </c>
      <c r="Q622" s="464">
        <v>302813</v>
      </c>
      <c r="R622" s="464"/>
      <c r="S622" s="461">
        <v>7410622</v>
      </c>
      <c r="T622" s="462">
        <v>-39766</v>
      </c>
      <c r="U622" s="462">
        <v>7370856</v>
      </c>
      <c r="W622" s="464">
        <v>44698353</v>
      </c>
      <c r="X622" s="464">
        <v>10242017</v>
      </c>
    </row>
    <row r="623" spans="1:24">
      <c r="A623" s="458">
        <v>96721</v>
      </c>
      <c r="B623" s="459" t="s">
        <v>1327</v>
      </c>
      <c r="C623" s="463">
        <v>2.5522000000000001E-4</v>
      </c>
      <c r="D623" s="463">
        <v>2.6279999999999999E-4</v>
      </c>
      <c r="E623" s="464">
        <v>1690344</v>
      </c>
      <c r="F623" s="464"/>
      <c r="G623" s="461">
        <v>188354</v>
      </c>
      <c r="H623" s="461">
        <v>452410</v>
      </c>
      <c r="I623" s="461">
        <v>71830</v>
      </c>
      <c r="J623" s="464">
        <v>16561</v>
      </c>
      <c r="K623" s="464">
        <v>729155</v>
      </c>
      <c r="L623" s="464"/>
      <c r="M623" s="461">
        <v>4055</v>
      </c>
      <c r="N623" s="461">
        <v>0</v>
      </c>
      <c r="O623" s="461">
        <v>0</v>
      </c>
      <c r="P623" s="464">
        <v>47992</v>
      </c>
      <c r="Q623" s="464">
        <v>52047</v>
      </c>
      <c r="R623" s="464"/>
      <c r="S623" s="461">
        <v>485514</v>
      </c>
      <c r="T623" s="462">
        <v>1285</v>
      </c>
      <c r="U623" s="462">
        <v>486799</v>
      </c>
      <c r="W623" s="464">
        <v>2928455</v>
      </c>
      <c r="X623" s="464">
        <v>671015</v>
      </c>
    </row>
    <row r="624" spans="1:24">
      <c r="A624" s="458">
        <v>96722</v>
      </c>
      <c r="B624" s="459" t="s">
        <v>3757</v>
      </c>
      <c r="C624" s="463">
        <v>2.9139999999999999E-5</v>
      </c>
      <c r="D624" s="463">
        <v>1.8300000000000001E-5</v>
      </c>
      <c r="E624" s="464">
        <v>192997</v>
      </c>
      <c r="F624" s="464"/>
      <c r="G624" s="461">
        <v>21506</v>
      </c>
      <c r="H624" s="461">
        <v>51654</v>
      </c>
      <c r="I624" s="461">
        <v>8201</v>
      </c>
      <c r="J624" s="464">
        <v>40233</v>
      </c>
      <c r="K624" s="464">
        <v>121594</v>
      </c>
      <c r="L624" s="464"/>
      <c r="M624" s="461">
        <v>463</v>
      </c>
      <c r="N624" s="461">
        <v>0</v>
      </c>
      <c r="O624" s="461">
        <v>0</v>
      </c>
      <c r="P624" s="464">
        <v>0</v>
      </c>
      <c r="Q624" s="464">
        <v>463</v>
      </c>
      <c r="R624" s="464"/>
      <c r="S624" s="461">
        <v>55434</v>
      </c>
      <c r="T624" s="462">
        <v>17215</v>
      </c>
      <c r="U624" s="462">
        <v>72649</v>
      </c>
      <c r="W624" s="464">
        <v>334359</v>
      </c>
      <c r="X624" s="464">
        <v>76614</v>
      </c>
    </row>
    <row r="625" spans="1:24">
      <c r="A625" s="458">
        <v>96731</v>
      </c>
      <c r="B625" s="459" t="s">
        <v>1328</v>
      </c>
      <c r="C625" s="463">
        <v>2.3164999999999999E-4</v>
      </c>
      <c r="D625" s="463">
        <v>2.3330000000000001E-4</v>
      </c>
      <c r="E625" s="464">
        <v>1534238</v>
      </c>
      <c r="F625" s="464"/>
      <c r="G625" s="461">
        <v>170960</v>
      </c>
      <c r="H625" s="461">
        <v>410629</v>
      </c>
      <c r="I625" s="461">
        <v>65196</v>
      </c>
      <c r="J625" s="464">
        <v>45622</v>
      </c>
      <c r="K625" s="464">
        <v>692407</v>
      </c>
      <c r="L625" s="464"/>
      <c r="M625" s="461">
        <v>3680</v>
      </c>
      <c r="N625" s="461">
        <v>0</v>
      </c>
      <c r="O625" s="461">
        <v>0</v>
      </c>
      <c r="P625" s="464">
        <v>64868</v>
      </c>
      <c r="Q625" s="464">
        <v>68548</v>
      </c>
      <c r="R625" s="464"/>
      <c r="S625" s="461">
        <v>440676</v>
      </c>
      <c r="T625" s="462">
        <v>-918</v>
      </c>
      <c r="U625" s="462">
        <v>439758</v>
      </c>
      <c r="W625" s="464">
        <v>2658007</v>
      </c>
      <c r="X625" s="464">
        <v>609046</v>
      </c>
    </row>
    <row r="626" spans="1:24">
      <c r="A626" s="458">
        <v>96733</v>
      </c>
      <c r="B626" s="459" t="s">
        <v>1329</v>
      </c>
      <c r="C626" s="463">
        <v>0</v>
      </c>
      <c r="D626" s="463">
        <v>0</v>
      </c>
      <c r="E626" s="464">
        <v>0</v>
      </c>
      <c r="F626" s="464"/>
      <c r="G626" s="461">
        <v>0</v>
      </c>
      <c r="H626" s="461">
        <v>0</v>
      </c>
      <c r="I626" s="461">
        <v>0</v>
      </c>
      <c r="J626" s="464">
        <v>0</v>
      </c>
      <c r="K626" s="464">
        <v>0</v>
      </c>
      <c r="L626" s="464"/>
      <c r="M626" s="461">
        <v>0</v>
      </c>
      <c r="N626" s="461">
        <v>0</v>
      </c>
      <c r="O626" s="461">
        <v>0</v>
      </c>
      <c r="P626" s="464">
        <v>0</v>
      </c>
      <c r="Q626" s="464">
        <v>0</v>
      </c>
      <c r="R626" s="464"/>
      <c r="S626" s="461">
        <v>0</v>
      </c>
      <c r="T626" s="462">
        <v>-4259</v>
      </c>
      <c r="U626" s="462">
        <v>-4259</v>
      </c>
      <c r="W626" s="464">
        <v>0</v>
      </c>
      <c r="X626" s="464">
        <v>0</v>
      </c>
    </row>
    <row r="627" spans="1:24">
      <c r="A627" s="458">
        <v>96741</v>
      </c>
      <c r="B627" s="459" t="s">
        <v>1330</v>
      </c>
      <c r="C627" s="463">
        <v>7.9599999999999997E-5</v>
      </c>
      <c r="D627" s="463">
        <v>7.86E-5</v>
      </c>
      <c r="E627" s="464">
        <v>527198</v>
      </c>
      <c r="F627" s="464"/>
      <c r="G627" s="461">
        <v>58745</v>
      </c>
      <c r="H627" s="461">
        <v>141101</v>
      </c>
      <c r="I627" s="461">
        <v>22403</v>
      </c>
      <c r="J627" s="464">
        <v>3890</v>
      </c>
      <c r="K627" s="464">
        <v>226139</v>
      </c>
      <c r="L627" s="464"/>
      <c r="M627" s="461">
        <v>1265</v>
      </c>
      <c r="N627" s="461">
        <v>0</v>
      </c>
      <c r="O627" s="461">
        <v>0</v>
      </c>
      <c r="P627" s="464">
        <v>11195</v>
      </c>
      <c r="Q627" s="464">
        <v>12460</v>
      </c>
      <c r="R627" s="464"/>
      <c r="S627" s="461">
        <v>151426</v>
      </c>
      <c r="T627" s="462">
        <v>-9903</v>
      </c>
      <c r="U627" s="462">
        <v>141523</v>
      </c>
      <c r="W627" s="464">
        <v>913349</v>
      </c>
      <c r="X627" s="464">
        <v>209282</v>
      </c>
    </row>
    <row r="628" spans="1:24">
      <c r="A628" s="458">
        <v>96751</v>
      </c>
      <c r="B628" s="459" t="s">
        <v>1331</v>
      </c>
      <c r="C628" s="463">
        <v>3.3979000000000002E-4</v>
      </c>
      <c r="D628" s="463">
        <v>3.3050000000000001E-4</v>
      </c>
      <c r="E628" s="464">
        <v>2250459</v>
      </c>
      <c r="F628" s="464"/>
      <c r="G628" s="461">
        <v>250768</v>
      </c>
      <c r="H628" s="461">
        <v>602321</v>
      </c>
      <c r="I628" s="461">
        <v>95632</v>
      </c>
      <c r="J628" s="464">
        <v>29075</v>
      </c>
      <c r="K628" s="464">
        <v>977796</v>
      </c>
      <c r="L628" s="464"/>
      <c r="M628" s="461">
        <v>5399</v>
      </c>
      <c r="N628" s="461">
        <v>0</v>
      </c>
      <c r="O628" s="461">
        <v>0</v>
      </c>
      <c r="P628" s="464">
        <v>31927</v>
      </c>
      <c r="Q628" s="464">
        <v>37326</v>
      </c>
      <c r="R628" s="464"/>
      <c r="S628" s="461">
        <v>646394</v>
      </c>
      <c r="T628" s="462">
        <v>8103</v>
      </c>
      <c r="U628" s="462">
        <v>654497</v>
      </c>
      <c r="W628" s="464">
        <v>3898831</v>
      </c>
      <c r="X628" s="464">
        <v>893364</v>
      </c>
    </row>
    <row r="629" spans="1:24">
      <c r="A629" s="458">
        <v>96801</v>
      </c>
      <c r="B629" s="459" t="s">
        <v>1332</v>
      </c>
      <c r="C629" s="463">
        <v>6.90421E-3</v>
      </c>
      <c r="D629" s="463">
        <v>6.9283000000000001E-3</v>
      </c>
      <c r="E629" s="464">
        <v>45727183</v>
      </c>
      <c r="F629" s="464"/>
      <c r="G629" s="461">
        <v>5095362</v>
      </c>
      <c r="H629" s="461">
        <v>12238596</v>
      </c>
      <c r="I629" s="461">
        <v>1943142</v>
      </c>
      <c r="J629" s="464">
        <v>402646</v>
      </c>
      <c r="K629" s="464">
        <v>19679746</v>
      </c>
      <c r="L629" s="464"/>
      <c r="M629" s="461">
        <v>109694</v>
      </c>
      <c r="N629" s="461">
        <v>0</v>
      </c>
      <c r="O629" s="461">
        <v>0</v>
      </c>
      <c r="P629" s="464">
        <v>513075</v>
      </c>
      <c r="Q629" s="464">
        <v>622769</v>
      </c>
      <c r="R629" s="464"/>
      <c r="S629" s="461">
        <v>13134120</v>
      </c>
      <c r="T629" s="462">
        <v>-155884</v>
      </c>
      <c r="U629" s="462">
        <v>12978236</v>
      </c>
      <c r="W629" s="464">
        <v>79220549</v>
      </c>
      <c r="X629" s="464">
        <v>18152307</v>
      </c>
    </row>
    <row r="630" spans="1:24">
      <c r="A630" s="458">
        <v>96804</v>
      </c>
      <c r="B630" s="459" t="s">
        <v>1333</v>
      </c>
      <c r="C630" s="463">
        <v>2.5385000000000002E-4</v>
      </c>
      <c r="D630" s="463">
        <v>2.5060000000000002E-4</v>
      </c>
      <c r="E630" s="464">
        <v>1681271</v>
      </c>
      <c r="F630" s="464"/>
      <c r="G630" s="461">
        <v>187343</v>
      </c>
      <c r="H630" s="461">
        <v>449982</v>
      </c>
      <c r="I630" s="461">
        <v>71444</v>
      </c>
      <c r="J630" s="464">
        <v>15458</v>
      </c>
      <c r="K630" s="464">
        <v>724227</v>
      </c>
      <c r="L630" s="464"/>
      <c r="M630" s="461">
        <v>4033</v>
      </c>
      <c r="N630" s="461">
        <v>0</v>
      </c>
      <c r="O630" s="461">
        <v>0</v>
      </c>
      <c r="P630" s="464">
        <v>14404</v>
      </c>
      <c r="Q630" s="464">
        <v>18437</v>
      </c>
      <c r="R630" s="464"/>
      <c r="S630" s="461">
        <v>482908</v>
      </c>
      <c r="T630" s="462">
        <v>-9805</v>
      </c>
      <c r="U630" s="462">
        <v>473103</v>
      </c>
      <c r="W630" s="464">
        <v>2912735</v>
      </c>
      <c r="X630" s="464">
        <v>667414</v>
      </c>
    </row>
    <row r="631" spans="1:24">
      <c r="A631" s="458">
        <v>96808</v>
      </c>
      <c r="B631" s="459" t="s">
        <v>1334</v>
      </c>
      <c r="C631" s="463">
        <v>1.1141499999999999E-3</v>
      </c>
      <c r="D631" s="463">
        <v>1.2224E-3</v>
      </c>
      <c r="E631" s="464">
        <v>7379112</v>
      </c>
      <c r="F631" s="464"/>
      <c r="G631" s="461">
        <v>822252</v>
      </c>
      <c r="H631" s="461">
        <v>1974973</v>
      </c>
      <c r="I631" s="461">
        <v>313570</v>
      </c>
      <c r="J631" s="464">
        <v>0</v>
      </c>
      <c r="K631" s="464">
        <v>3110795</v>
      </c>
      <c r="L631" s="464"/>
      <c r="M631" s="461">
        <v>17702</v>
      </c>
      <c r="N631" s="461">
        <v>0</v>
      </c>
      <c r="O631" s="461">
        <v>0</v>
      </c>
      <c r="P631" s="464">
        <v>289845</v>
      </c>
      <c r="Q631" s="464">
        <v>307547</v>
      </c>
      <c r="R631" s="464"/>
      <c r="S631" s="461">
        <v>2119487</v>
      </c>
      <c r="T631" s="462">
        <v>-96590</v>
      </c>
      <c r="U631" s="462">
        <v>2022897</v>
      </c>
      <c r="W631" s="464">
        <v>12784022</v>
      </c>
      <c r="X631" s="464">
        <v>2929284</v>
      </c>
    </row>
    <row r="632" spans="1:24">
      <c r="A632" s="458">
        <v>96811</v>
      </c>
      <c r="B632" s="459" t="s">
        <v>1335</v>
      </c>
      <c r="C632" s="463">
        <v>5.5444999999999999E-3</v>
      </c>
      <c r="D632" s="463">
        <v>5.3463E-3</v>
      </c>
      <c r="E632" s="464">
        <v>36721706</v>
      </c>
      <c r="F632" s="464"/>
      <c r="G632" s="461">
        <v>4091885</v>
      </c>
      <c r="H632" s="461">
        <v>9828336</v>
      </c>
      <c r="I632" s="461">
        <v>1560461</v>
      </c>
      <c r="J632" s="464">
        <v>560077</v>
      </c>
      <c r="K632" s="464">
        <v>16040759</v>
      </c>
      <c r="L632" s="464"/>
      <c r="M632" s="461">
        <v>88091</v>
      </c>
      <c r="N632" s="461">
        <v>0</v>
      </c>
      <c r="O632" s="461">
        <v>0</v>
      </c>
      <c r="P632" s="464">
        <v>383378</v>
      </c>
      <c r="Q632" s="464">
        <v>471469</v>
      </c>
      <c r="R632" s="464"/>
      <c r="S632" s="461">
        <v>10547496</v>
      </c>
      <c r="T632" s="462">
        <v>-116640</v>
      </c>
      <c r="U632" s="462">
        <v>10430856</v>
      </c>
      <c r="W632" s="464">
        <v>63618913</v>
      </c>
      <c r="X632" s="464">
        <v>14577405</v>
      </c>
    </row>
    <row r="633" spans="1:24">
      <c r="A633" s="458">
        <v>96821</v>
      </c>
      <c r="B633" s="459" t="s">
        <v>1336</v>
      </c>
      <c r="C633" s="463">
        <v>1.0964200000000001E-3</v>
      </c>
      <c r="D633" s="463">
        <v>1.1779E-3</v>
      </c>
      <c r="E633" s="464">
        <v>7261685</v>
      </c>
      <c r="F633" s="464"/>
      <c r="G633" s="461">
        <v>809167</v>
      </c>
      <c r="H633" s="461">
        <v>1943545</v>
      </c>
      <c r="I633" s="461">
        <v>308580</v>
      </c>
      <c r="J633" s="464">
        <v>19968</v>
      </c>
      <c r="K633" s="464">
        <v>3081260</v>
      </c>
      <c r="L633" s="464"/>
      <c r="M633" s="461">
        <v>17420</v>
      </c>
      <c r="N633" s="461">
        <v>0</v>
      </c>
      <c r="O633" s="461">
        <v>0</v>
      </c>
      <c r="P633" s="464">
        <v>139816</v>
      </c>
      <c r="Q633" s="464">
        <v>157236</v>
      </c>
      <c r="R633" s="464"/>
      <c r="S633" s="461">
        <v>2085758</v>
      </c>
      <c r="T633" s="462">
        <v>-9906</v>
      </c>
      <c r="U633" s="462">
        <v>2075852</v>
      </c>
      <c r="W633" s="464">
        <v>12580584</v>
      </c>
      <c r="X633" s="464">
        <v>2882669</v>
      </c>
    </row>
    <row r="634" spans="1:24">
      <c r="A634" s="458">
        <v>96831</v>
      </c>
      <c r="B634" s="459" t="s">
        <v>1337</v>
      </c>
      <c r="C634" s="463">
        <v>8.5541999999999997E-4</v>
      </c>
      <c r="D634" s="463">
        <v>8.3469999999999996E-4</v>
      </c>
      <c r="E634" s="464">
        <v>5665521</v>
      </c>
      <c r="F634" s="464"/>
      <c r="G634" s="461">
        <v>631307</v>
      </c>
      <c r="H634" s="461">
        <v>1516341</v>
      </c>
      <c r="I634" s="461">
        <v>240752</v>
      </c>
      <c r="J634" s="464">
        <v>131099</v>
      </c>
      <c r="K634" s="464">
        <v>2519499</v>
      </c>
      <c r="L634" s="464"/>
      <c r="M634" s="461">
        <v>13591</v>
      </c>
      <c r="N634" s="461">
        <v>0</v>
      </c>
      <c r="O634" s="461">
        <v>0</v>
      </c>
      <c r="P634" s="464">
        <v>59639</v>
      </c>
      <c r="Q634" s="464">
        <v>73230</v>
      </c>
      <c r="R634" s="464"/>
      <c r="S634" s="461">
        <v>1627295</v>
      </c>
      <c r="T634" s="462">
        <v>-5737</v>
      </c>
      <c r="U634" s="462">
        <v>1621558</v>
      </c>
      <c r="W634" s="464">
        <v>9815293</v>
      </c>
      <c r="X634" s="464">
        <v>2249040</v>
      </c>
    </row>
    <row r="635" spans="1:24">
      <c r="A635" s="458">
        <v>96901</v>
      </c>
      <c r="B635" s="459" t="s">
        <v>1338</v>
      </c>
      <c r="C635" s="463">
        <v>8.5023E-4</v>
      </c>
      <c r="D635" s="463">
        <v>7.8609999999999997E-4</v>
      </c>
      <c r="E635" s="464">
        <v>5631147</v>
      </c>
      <c r="F635" s="464"/>
      <c r="G635" s="461">
        <v>627477</v>
      </c>
      <c r="H635" s="461">
        <v>1507142</v>
      </c>
      <c r="I635" s="461">
        <v>239291</v>
      </c>
      <c r="J635" s="464">
        <v>130793</v>
      </c>
      <c r="K635" s="464">
        <v>2504703</v>
      </c>
      <c r="L635" s="464"/>
      <c r="M635" s="461">
        <v>13508</v>
      </c>
      <c r="N635" s="461">
        <v>0</v>
      </c>
      <c r="O635" s="461">
        <v>0</v>
      </c>
      <c r="P635" s="464">
        <v>57822</v>
      </c>
      <c r="Q635" s="464">
        <v>71330</v>
      </c>
      <c r="R635" s="464"/>
      <c r="S635" s="461">
        <v>1617422</v>
      </c>
      <c r="T635" s="462">
        <v>-34337</v>
      </c>
      <c r="U635" s="462">
        <v>1583085</v>
      </c>
      <c r="W635" s="464">
        <v>9755741</v>
      </c>
      <c r="X635" s="464">
        <v>2235395</v>
      </c>
    </row>
    <row r="636" spans="1:24">
      <c r="A636" s="458">
        <v>96911</v>
      </c>
      <c r="B636" s="459" t="s">
        <v>1339</v>
      </c>
      <c r="C636" s="463">
        <v>3.4400000000000001E-6</v>
      </c>
      <c r="D636" s="463">
        <v>3.3000000000000002E-6</v>
      </c>
      <c r="E636" s="464">
        <v>22783</v>
      </c>
      <c r="F636" s="464"/>
      <c r="G636" s="461">
        <v>2539</v>
      </c>
      <c r="H636" s="461">
        <v>6098</v>
      </c>
      <c r="I636" s="461">
        <v>968</v>
      </c>
      <c r="J636" s="464">
        <v>6283</v>
      </c>
      <c r="K636" s="464">
        <v>15888</v>
      </c>
      <c r="L636" s="464"/>
      <c r="M636" s="461">
        <v>55</v>
      </c>
      <c r="N636" s="461">
        <v>0</v>
      </c>
      <c r="O636" s="461">
        <v>0</v>
      </c>
      <c r="P636" s="464">
        <v>0</v>
      </c>
      <c r="Q636" s="464">
        <v>55</v>
      </c>
      <c r="R636" s="464"/>
      <c r="S636" s="461">
        <v>6544</v>
      </c>
      <c r="T636" s="462">
        <v>3797</v>
      </c>
      <c r="U636" s="462">
        <v>10341</v>
      </c>
      <c r="W636" s="464">
        <v>39471</v>
      </c>
      <c r="X636" s="464">
        <v>9044</v>
      </c>
    </row>
    <row r="637" spans="1:24">
      <c r="A637" s="458">
        <v>96912</v>
      </c>
      <c r="B637" s="459" t="s">
        <v>1340</v>
      </c>
      <c r="C637" s="463">
        <v>6.3230000000000003E-5</v>
      </c>
      <c r="D637" s="463">
        <v>7.1099999999999994E-5</v>
      </c>
      <c r="E637" s="464">
        <v>418778</v>
      </c>
      <c r="F637" s="464"/>
      <c r="G637" s="461">
        <v>46664</v>
      </c>
      <c r="H637" s="461">
        <v>112083</v>
      </c>
      <c r="I637" s="461">
        <v>17796</v>
      </c>
      <c r="J637" s="464">
        <v>0</v>
      </c>
      <c r="K637" s="464">
        <v>176543</v>
      </c>
      <c r="L637" s="464"/>
      <c r="M637" s="461">
        <v>1005</v>
      </c>
      <c r="N637" s="461">
        <v>0</v>
      </c>
      <c r="O637" s="461">
        <v>0</v>
      </c>
      <c r="P637" s="464">
        <v>28245</v>
      </c>
      <c r="Q637" s="464">
        <v>29250</v>
      </c>
      <c r="R637" s="464"/>
      <c r="S637" s="461">
        <v>120285</v>
      </c>
      <c r="T637" s="462">
        <v>-11699</v>
      </c>
      <c r="U637" s="462">
        <v>108586</v>
      </c>
      <c r="W637" s="464">
        <v>725516</v>
      </c>
      <c r="X637" s="464">
        <v>166242</v>
      </c>
    </row>
    <row r="638" spans="1:24">
      <c r="A638" s="458">
        <v>96918</v>
      </c>
      <c r="B638" s="459" t="s">
        <v>1341</v>
      </c>
      <c r="C638" s="463">
        <v>3.4230000000000003E-5</v>
      </c>
      <c r="D638" s="463">
        <v>4.4499999999999997E-5</v>
      </c>
      <c r="E638" s="464">
        <v>226708</v>
      </c>
      <c r="F638" s="464"/>
      <c r="G638" s="461">
        <v>25262</v>
      </c>
      <c r="H638" s="461">
        <v>60677</v>
      </c>
      <c r="I638" s="461">
        <v>9634</v>
      </c>
      <c r="J638" s="464">
        <v>20760</v>
      </c>
      <c r="K638" s="464">
        <v>116333</v>
      </c>
      <c r="L638" s="464"/>
      <c r="M638" s="461">
        <v>544</v>
      </c>
      <c r="N638" s="461">
        <v>0</v>
      </c>
      <c r="O638" s="461">
        <v>0</v>
      </c>
      <c r="P638" s="464">
        <v>19572</v>
      </c>
      <c r="Q638" s="464">
        <v>20116</v>
      </c>
      <c r="R638" s="464"/>
      <c r="S638" s="461">
        <v>65117</v>
      </c>
      <c r="T638" s="462">
        <v>7011</v>
      </c>
      <c r="U638" s="462">
        <v>72128</v>
      </c>
      <c r="W638" s="464">
        <v>392763</v>
      </c>
      <c r="X638" s="464">
        <v>89996</v>
      </c>
    </row>
    <row r="639" spans="1:24">
      <c r="A639" s="458">
        <v>97001</v>
      </c>
      <c r="B639" s="459" t="s">
        <v>1342</v>
      </c>
      <c r="C639" s="463">
        <v>1.4025800000000001E-3</v>
      </c>
      <c r="D639" s="463">
        <v>1.4706999999999999E-3</v>
      </c>
      <c r="E639" s="464">
        <v>9289409</v>
      </c>
      <c r="F639" s="464"/>
      <c r="G639" s="461">
        <v>1035115</v>
      </c>
      <c r="H639" s="461">
        <v>2486253</v>
      </c>
      <c r="I639" s="461">
        <v>394746</v>
      </c>
      <c r="J639" s="464">
        <v>111465</v>
      </c>
      <c r="K639" s="464">
        <v>4027579</v>
      </c>
      <c r="L639" s="464"/>
      <c r="M639" s="461">
        <v>22284</v>
      </c>
      <c r="N639" s="461">
        <v>0</v>
      </c>
      <c r="O639" s="461">
        <v>0</v>
      </c>
      <c r="P639" s="464">
        <v>87428</v>
      </c>
      <c r="Q639" s="464">
        <v>109712</v>
      </c>
      <c r="R639" s="464"/>
      <c r="S639" s="461">
        <v>2668177</v>
      </c>
      <c r="T639" s="462">
        <v>100308</v>
      </c>
      <c r="U639" s="462">
        <v>2768485</v>
      </c>
      <c r="W639" s="464">
        <v>16093537</v>
      </c>
      <c r="X639" s="464">
        <v>3687614</v>
      </c>
    </row>
    <row r="640" spans="1:24">
      <c r="A640" s="458">
        <v>97002</v>
      </c>
      <c r="B640" s="459" t="s">
        <v>1343</v>
      </c>
      <c r="C640" s="463">
        <v>4.0301999999999997E-4</v>
      </c>
      <c r="D640" s="463">
        <v>3.9350000000000002E-4</v>
      </c>
      <c r="E640" s="464">
        <v>2669237</v>
      </c>
      <c r="F640" s="464"/>
      <c r="G640" s="461">
        <v>297432</v>
      </c>
      <c r="H640" s="461">
        <v>714405</v>
      </c>
      <c r="I640" s="461">
        <v>113427</v>
      </c>
      <c r="J640" s="464">
        <v>0</v>
      </c>
      <c r="K640" s="464">
        <v>1125264</v>
      </c>
      <c r="L640" s="464"/>
      <c r="M640" s="461">
        <v>6403</v>
      </c>
      <c r="N640" s="461">
        <v>0</v>
      </c>
      <c r="O640" s="461">
        <v>0</v>
      </c>
      <c r="P640" s="464">
        <v>151326</v>
      </c>
      <c r="Q640" s="464">
        <v>157729</v>
      </c>
      <c r="R640" s="464"/>
      <c r="S640" s="461">
        <v>766679</v>
      </c>
      <c r="T640" s="462">
        <v>-122124</v>
      </c>
      <c r="U640" s="462">
        <v>644555</v>
      </c>
      <c r="W640" s="464">
        <v>4624347</v>
      </c>
      <c r="X640" s="464">
        <v>1059606</v>
      </c>
    </row>
    <row r="641" spans="1:24">
      <c r="A641" s="458">
        <v>97004</v>
      </c>
      <c r="B641" s="459" t="s">
        <v>1344</v>
      </c>
      <c r="C641" s="463">
        <v>1.241E-5</v>
      </c>
      <c r="D641" s="463">
        <v>1.6399999999999999E-5</v>
      </c>
      <c r="E641" s="464">
        <v>82193</v>
      </c>
      <c r="F641" s="464"/>
      <c r="G641" s="461">
        <v>9159</v>
      </c>
      <c r="H641" s="461">
        <v>21998</v>
      </c>
      <c r="I641" s="461">
        <v>3493</v>
      </c>
      <c r="J641" s="464">
        <v>2994</v>
      </c>
      <c r="K641" s="464">
        <v>37644</v>
      </c>
      <c r="L641" s="464"/>
      <c r="M641" s="461">
        <v>197</v>
      </c>
      <c r="N641" s="461">
        <v>0</v>
      </c>
      <c r="O641" s="461">
        <v>0</v>
      </c>
      <c r="P641" s="464">
        <v>8940</v>
      </c>
      <c r="Q641" s="464">
        <v>9137</v>
      </c>
      <c r="R641" s="464"/>
      <c r="S641" s="461">
        <v>23608</v>
      </c>
      <c r="T641" s="462">
        <v>1234</v>
      </c>
      <c r="U641" s="462">
        <v>24842</v>
      </c>
      <c r="W641" s="464">
        <v>142395</v>
      </c>
      <c r="X641" s="464">
        <v>32628</v>
      </c>
    </row>
    <row r="642" spans="1:24">
      <c r="A642" s="458">
        <v>97005</v>
      </c>
      <c r="B642" s="459" t="s">
        <v>1345</v>
      </c>
      <c r="C642" s="463">
        <v>9.3100000000000006E-6</v>
      </c>
      <c r="D642" s="463">
        <v>3.0700000000000001E-5</v>
      </c>
      <c r="E642" s="464">
        <v>61661</v>
      </c>
      <c r="F642" s="464"/>
      <c r="G642" s="461">
        <v>6871</v>
      </c>
      <c r="H642" s="461">
        <v>16503</v>
      </c>
      <c r="I642" s="461">
        <v>2620</v>
      </c>
      <c r="J642" s="464">
        <v>5171</v>
      </c>
      <c r="K642" s="464">
        <v>31165</v>
      </c>
      <c r="L642" s="464"/>
      <c r="M642" s="461">
        <v>148</v>
      </c>
      <c r="N642" s="461">
        <v>0</v>
      </c>
      <c r="O642" s="461">
        <v>0</v>
      </c>
      <c r="P642" s="464">
        <v>39736</v>
      </c>
      <c r="Q642" s="464">
        <v>39884</v>
      </c>
      <c r="R642" s="464"/>
      <c r="S642" s="461">
        <v>17711</v>
      </c>
      <c r="T642" s="462">
        <v>-6569</v>
      </c>
      <c r="U642" s="462">
        <v>11142</v>
      </c>
      <c r="W642" s="464">
        <v>106825</v>
      </c>
      <c r="X642" s="464">
        <v>24478</v>
      </c>
    </row>
    <row r="643" spans="1:24">
      <c r="A643" s="458">
        <v>97008</v>
      </c>
      <c r="B643" s="459" t="s">
        <v>1346</v>
      </c>
      <c r="C643" s="463">
        <v>2.5332000000000002E-4</v>
      </c>
      <c r="D643" s="463">
        <v>3.5110000000000002E-4</v>
      </c>
      <c r="E643" s="464">
        <v>1677760</v>
      </c>
      <c r="F643" s="464"/>
      <c r="G643" s="461">
        <v>186952</v>
      </c>
      <c r="H643" s="461">
        <v>449042</v>
      </c>
      <c r="I643" s="461">
        <v>71295</v>
      </c>
      <c r="J643" s="464">
        <v>84240</v>
      </c>
      <c r="K643" s="464">
        <v>791529</v>
      </c>
      <c r="L643" s="464"/>
      <c r="M643" s="461">
        <v>4025</v>
      </c>
      <c r="N643" s="461">
        <v>0</v>
      </c>
      <c r="O643" s="461">
        <v>0</v>
      </c>
      <c r="P643" s="464">
        <v>229371</v>
      </c>
      <c r="Q643" s="464">
        <v>233396</v>
      </c>
      <c r="R643" s="464"/>
      <c r="S643" s="461">
        <v>481900</v>
      </c>
      <c r="T643" s="462">
        <v>-33279</v>
      </c>
      <c r="U643" s="462">
        <v>448621</v>
      </c>
      <c r="W643" s="464">
        <v>2906654</v>
      </c>
      <c r="X643" s="464">
        <v>666020</v>
      </c>
    </row>
    <row r="644" spans="1:24">
      <c r="A644" s="458">
        <v>97011</v>
      </c>
      <c r="B644" s="459" t="s">
        <v>1348</v>
      </c>
      <c r="C644" s="463">
        <v>1.72711E-3</v>
      </c>
      <c r="D644" s="463">
        <v>1.8959999999999999E-3</v>
      </c>
      <c r="E644" s="464">
        <v>11438800</v>
      </c>
      <c r="F644" s="464"/>
      <c r="G644" s="461">
        <v>1274621</v>
      </c>
      <c r="H644" s="461">
        <v>3061524</v>
      </c>
      <c r="I644" s="461">
        <v>486083</v>
      </c>
      <c r="J644" s="464">
        <v>100478</v>
      </c>
      <c r="K644" s="464">
        <v>4922706</v>
      </c>
      <c r="L644" s="464"/>
      <c r="M644" s="461">
        <v>27440</v>
      </c>
      <c r="N644" s="461">
        <v>0</v>
      </c>
      <c r="O644" s="461">
        <v>0</v>
      </c>
      <c r="P644" s="464">
        <v>475572</v>
      </c>
      <c r="Q644" s="464">
        <v>503012</v>
      </c>
      <c r="R644" s="464"/>
      <c r="S644" s="461">
        <v>3285542</v>
      </c>
      <c r="T644" s="462">
        <v>-138352</v>
      </c>
      <c r="U644" s="462">
        <v>3147190</v>
      </c>
      <c r="W644" s="464">
        <v>19817271</v>
      </c>
      <c r="X644" s="464">
        <v>4540857</v>
      </c>
    </row>
    <row r="645" spans="1:24">
      <c r="A645" s="458">
        <v>97012</v>
      </c>
      <c r="B645" s="459" t="s">
        <v>1349</v>
      </c>
      <c r="C645" s="463">
        <v>2.4130000000000001E-5</v>
      </c>
      <c r="D645" s="463">
        <v>2.5400000000000001E-5</v>
      </c>
      <c r="E645" s="464">
        <v>159815</v>
      </c>
      <c r="F645" s="464"/>
      <c r="G645" s="461">
        <v>17808</v>
      </c>
      <c r="H645" s="461">
        <v>42774</v>
      </c>
      <c r="I645" s="461">
        <v>6791</v>
      </c>
      <c r="J645" s="464">
        <v>3995</v>
      </c>
      <c r="K645" s="464">
        <v>71368</v>
      </c>
      <c r="L645" s="464"/>
      <c r="M645" s="461">
        <v>383</v>
      </c>
      <c r="N645" s="461">
        <v>0</v>
      </c>
      <c r="O645" s="461">
        <v>0</v>
      </c>
      <c r="P645" s="464">
        <v>1915</v>
      </c>
      <c r="Q645" s="464">
        <v>2298</v>
      </c>
      <c r="R645" s="464"/>
      <c r="S645" s="461">
        <v>45903</v>
      </c>
      <c r="T645" s="462">
        <v>-527</v>
      </c>
      <c r="U645" s="462">
        <v>45376</v>
      </c>
      <c r="W645" s="464">
        <v>276873</v>
      </c>
      <c r="X645" s="464">
        <v>63442</v>
      </c>
    </row>
    <row r="646" spans="1:24">
      <c r="A646" s="458">
        <v>97013</v>
      </c>
      <c r="B646" s="459" t="s">
        <v>1350</v>
      </c>
      <c r="C646" s="463">
        <v>2.1299999999999999E-5</v>
      </c>
      <c r="D646" s="463">
        <v>2.3600000000000001E-5</v>
      </c>
      <c r="E646" s="464">
        <v>141072</v>
      </c>
      <c r="F646" s="464"/>
      <c r="G646" s="461">
        <v>15720</v>
      </c>
      <c r="H646" s="461">
        <v>37757</v>
      </c>
      <c r="I646" s="461">
        <v>5995</v>
      </c>
      <c r="J646" s="464">
        <v>7949</v>
      </c>
      <c r="K646" s="464">
        <v>67421</v>
      </c>
      <c r="L646" s="464"/>
      <c r="M646" s="461">
        <v>338</v>
      </c>
      <c r="N646" s="461">
        <v>0</v>
      </c>
      <c r="O646" s="461">
        <v>0</v>
      </c>
      <c r="P646" s="464">
        <v>0</v>
      </c>
      <c r="Q646" s="464">
        <v>338</v>
      </c>
      <c r="R646" s="464"/>
      <c r="S646" s="461">
        <v>40520</v>
      </c>
      <c r="T646" s="462">
        <v>6725</v>
      </c>
      <c r="U646" s="462">
        <v>47245</v>
      </c>
      <c r="W646" s="464">
        <v>244401</v>
      </c>
      <c r="X646" s="464">
        <v>56001</v>
      </c>
    </row>
    <row r="647" spans="1:24">
      <c r="A647" s="458">
        <v>97015</v>
      </c>
      <c r="B647" s="459" t="s">
        <v>1351</v>
      </c>
      <c r="C647" s="463">
        <v>4.1260000000000001E-5</v>
      </c>
      <c r="D647" s="463">
        <v>4.6400000000000003E-5</v>
      </c>
      <c r="E647" s="464">
        <v>273269</v>
      </c>
      <c r="F647" s="464"/>
      <c r="G647" s="461">
        <v>30450</v>
      </c>
      <c r="H647" s="461">
        <v>73139</v>
      </c>
      <c r="I647" s="461">
        <v>11612</v>
      </c>
      <c r="J647" s="464">
        <v>1417</v>
      </c>
      <c r="K647" s="464">
        <v>116618</v>
      </c>
      <c r="L647" s="464"/>
      <c r="M647" s="461">
        <v>656</v>
      </c>
      <c r="N647" s="461">
        <v>0</v>
      </c>
      <c r="O647" s="461">
        <v>0</v>
      </c>
      <c r="P647" s="464">
        <v>11023</v>
      </c>
      <c r="Q647" s="464">
        <v>11679</v>
      </c>
      <c r="R647" s="464"/>
      <c r="S647" s="461">
        <v>78490</v>
      </c>
      <c r="T647" s="462">
        <v>-1514</v>
      </c>
      <c r="U647" s="462">
        <v>76976</v>
      </c>
      <c r="W647" s="464">
        <v>473427</v>
      </c>
      <c r="X647" s="464">
        <v>108479</v>
      </c>
    </row>
    <row r="648" spans="1:24">
      <c r="A648" s="458">
        <v>97018</v>
      </c>
      <c r="B648" s="459" t="s">
        <v>1352</v>
      </c>
      <c r="C648" s="463">
        <v>2.1799999999999999E-6</v>
      </c>
      <c r="D648" s="463">
        <v>9.0000000000000002E-6</v>
      </c>
      <c r="E648" s="464">
        <v>14438</v>
      </c>
      <c r="F648" s="464"/>
      <c r="G648" s="461">
        <v>1609</v>
      </c>
      <c r="H648" s="461">
        <v>3864</v>
      </c>
      <c r="I648" s="461">
        <v>614</v>
      </c>
      <c r="J648" s="464">
        <v>1461</v>
      </c>
      <c r="K648" s="464">
        <v>7548</v>
      </c>
      <c r="L648" s="464"/>
      <c r="M648" s="461">
        <v>35</v>
      </c>
      <c r="N648" s="461">
        <v>0</v>
      </c>
      <c r="O648" s="461">
        <v>0</v>
      </c>
      <c r="P648" s="464">
        <v>20114</v>
      </c>
      <c r="Q648" s="464">
        <v>20149</v>
      </c>
      <c r="R648" s="464"/>
      <c r="S648" s="461">
        <v>4147</v>
      </c>
      <c r="T648" s="462">
        <v>-6162</v>
      </c>
      <c r="U648" s="462">
        <v>-2015</v>
      </c>
      <c r="W648" s="464">
        <v>25014</v>
      </c>
      <c r="X648" s="464">
        <v>5732</v>
      </c>
    </row>
    <row r="649" spans="1:24">
      <c r="A649" s="458">
        <v>97101</v>
      </c>
      <c r="B649" s="459" t="s">
        <v>1353</v>
      </c>
      <c r="C649" s="463">
        <v>2.83307E-3</v>
      </c>
      <c r="D649" s="463">
        <v>3.0308000000000002E-3</v>
      </c>
      <c r="E649" s="464">
        <v>18763669</v>
      </c>
      <c r="F649" s="464"/>
      <c r="G649" s="461">
        <v>2090828</v>
      </c>
      <c r="H649" s="461">
        <v>5021979</v>
      </c>
      <c r="I649" s="461">
        <v>797348</v>
      </c>
      <c r="J649" s="464">
        <v>200589</v>
      </c>
      <c r="K649" s="464">
        <v>8110744</v>
      </c>
      <c r="L649" s="464"/>
      <c r="M649" s="461">
        <v>45012</v>
      </c>
      <c r="N649" s="461">
        <v>0</v>
      </c>
      <c r="O649" s="461">
        <v>0</v>
      </c>
      <c r="P649" s="464">
        <v>431125</v>
      </c>
      <c r="Q649" s="464">
        <v>476137</v>
      </c>
      <c r="R649" s="464"/>
      <c r="S649" s="461">
        <v>5389448</v>
      </c>
      <c r="T649" s="462">
        <v>92846</v>
      </c>
      <c r="U649" s="462">
        <v>5482294</v>
      </c>
      <c r="W649" s="464">
        <v>32507319</v>
      </c>
      <c r="X649" s="464">
        <v>7448608</v>
      </c>
    </row>
    <row r="650" spans="1:24">
      <c r="A650" s="458">
        <v>97104</v>
      </c>
      <c r="B650" s="459" t="s">
        <v>1354</v>
      </c>
      <c r="C650" s="463">
        <v>8.1520000000000006E-5</v>
      </c>
      <c r="D650" s="463">
        <v>6.41E-5</v>
      </c>
      <c r="E650" s="464">
        <v>539914</v>
      </c>
      <c r="F650" s="464"/>
      <c r="G650" s="461">
        <v>60162</v>
      </c>
      <c r="H650" s="461">
        <v>144505</v>
      </c>
      <c r="I650" s="461">
        <v>22943</v>
      </c>
      <c r="J650" s="464">
        <v>60538</v>
      </c>
      <c r="K650" s="464">
        <v>288148</v>
      </c>
      <c r="L650" s="464"/>
      <c r="M650" s="461">
        <v>1295</v>
      </c>
      <c r="N650" s="461">
        <v>0</v>
      </c>
      <c r="O650" s="461">
        <v>0</v>
      </c>
      <c r="P650" s="464">
        <v>0</v>
      </c>
      <c r="Q650" s="464">
        <v>1295</v>
      </c>
      <c r="R650" s="464"/>
      <c r="S650" s="461">
        <v>155078</v>
      </c>
      <c r="T650" s="462">
        <v>28213</v>
      </c>
      <c r="U650" s="462">
        <v>183291</v>
      </c>
      <c r="W650" s="464">
        <v>935380</v>
      </c>
      <c r="X650" s="464">
        <v>214330</v>
      </c>
    </row>
    <row r="651" spans="1:24">
      <c r="A651" s="458">
        <v>97111</v>
      </c>
      <c r="B651" s="459" t="s">
        <v>1355</v>
      </c>
      <c r="C651" s="463">
        <v>3.5673999999999998E-4</v>
      </c>
      <c r="D651" s="463">
        <v>3.522E-4</v>
      </c>
      <c r="E651" s="464">
        <v>2362720</v>
      </c>
      <c r="F651" s="464"/>
      <c r="G651" s="461">
        <v>263277</v>
      </c>
      <c r="H651" s="461">
        <v>632367</v>
      </c>
      <c r="I651" s="461">
        <v>100402</v>
      </c>
      <c r="J651" s="464">
        <v>52853</v>
      </c>
      <c r="K651" s="464">
        <v>1048899</v>
      </c>
      <c r="L651" s="464"/>
      <c r="M651" s="461">
        <v>5668</v>
      </c>
      <c r="N651" s="461">
        <v>0</v>
      </c>
      <c r="O651" s="461">
        <v>0</v>
      </c>
      <c r="P651" s="464">
        <v>60152</v>
      </c>
      <c r="Q651" s="464">
        <v>65820</v>
      </c>
      <c r="R651" s="464"/>
      <c r="S651" s="461">
        <v>678639</v>
      </c>
      <c r="T651" s="462">
        <v>-272</v>
      </c>
      <c r="U651" s="462">
        <v>678367</v>
      </c>
      <c r="W651" s="464">
        <v>4093320</v>
      </c>
      <c r="X651" s="464">
        <v>937928</v>
      </c>
    </row>
    <row r="652" spans="1:24">
      <c r="A652" s="458">
        <v>97121</v>
      </c>
      <c r="B652" s="459" t="s">
        <v>1356</v>
      </c>
      <c r="C652" s="463">
        <v>1.9817000000000001E-4</v>
      </c>
      <c r="D652" s="463">
        <v>1.8259999999999999E-4</v>
      </c>
      <c r="E652" s="464">
        <v>1312497</v>
      </c>
      <c r="F652" s="464"/>
      <c r="G652" s="461">
        <v>146251</v>
      </c>
      <c r="H652" s="461">
        <v>351282</v>
      </c>
      <c r="I652" s="461">
        <v>55774</v>
      </c>
      <c r="J652" s="464">
        <v>100735</v>
      </c>
      <c r="K652" s="464">
        <v>654042</v>
      </c>
      <c r="L652" s="464"/>
      <c r="M652" s="461">
        <v>3149</v>
      </c>
      <c r="N652" s="461">
        <v>0</v>
      </c>
      <c r="O652" s="461">
        <v>0</v>
      </c>
      <c r="P652" s="464">
        <v>0</v>
      </c>
      <c r="Q652" s="464">
        <v>3149</v>
      </c>
      <c r="R652" s="464"/>
      <c r="S652" s="461">
        <v>376986</v>
      </c>
      <c r="T652" s="462">
        <v>59671</v>
      </c>
      <c r="U652" s="462">
        <v>436657</v>
      </c>
      <c r="W652" s="464">
        <v>2273850</v>
      </c>
      <c r="X652" s="464">
        <v>521022</v>
      </c>
    </row>
    <row r="653" spans="1:24">
      <c r="A653" s="458">
        <v>97131</v>
      </c>
      <c r="B653" s="459" t="s">
        <v>1357</v>
      </c>
      <c r="C653" s="463">
        <v>8.2423000000000001E-4</v>
      </c>
      <c r="D653" s="463">
        <v>7.2349999999999997E-4</v>
      </c>
      <c r="E653" s="464">
        <v>5458947</v>
      </c>
      <c r="F653" s="464"/>
      <c r="G653" s="461">
        <v>608288</v>
      </c>
      <c r="H653" s="461">
        <v>1461053</v>
      </c>
      <c r="I653" s="461">
        <v>231974</v>
      </c>
      <c r="J653" s="464">
        <v>110750</v>
      </c>
      <c r="K653" s="464">
        <v>2412065</v>
      </c>
      <c r="L653" s="464"/>
      <c r="M653" s="461">
        <v>13095</v>
      </c>
      <c r="N653" s="461">
        <v>0</v>
      </c>
      <c r="O653" s="461">
        <v>0</v>
      </c>
      <c r="P653" s="464">
        <v>54116</v>
      </c>
      <c r="Q653" s="464">
        <v>67211</v>
      </c>
      <c r="R653" s="464"/>
      <c r="S653" s="461">
        <v>1567962</v>
      </c>
      <c r="T653" s="462">
        <v>12585</v>
      </c>
      <c r="U653" s="462">
        <v>1580547</v>
      </c>
      <c r="W653" s="464">
        <v>9457411</v>
      </c>
      <c r="X653" s="464">
        <v>2167037</v>
      </c>
    </row>
    <row r="654" spans="1:24">
      <c r="A654" s="458">
        <v>97201</v>
      </c>
      <c r="B654" s="459" t="s">
        <v>1358</v>
      </c>
      <c r="C654" s="463">
        <v>6.8986000000000004E-4</v>
      </c>
      <c r="D654" s="463">
        <v>6.6189999999999999E-4</v>
      </c>
      <c r="E654" s="464">
        <v>4569003</v>
      </c>
      <c r="F654" s="464"/>
      <c r="G654" s="461">
        <v>509122</v>
      </c>
      <c r="H654" s="461">
        <v>1222865</v>
      </c>
      <c r="I654" s="461">
        <v>194156</v>
      </c>
      <c r="J654" s="464">
        <v>137898</v>
      </c>
      <c r="K654" s="464">
        <v>2064041</v>
      </c>
      <c r="L654" s="464"/>
      <c r="M654" s="461">
        <v>10960</v>
      </c>
      <c r="N654" s="461">
        <v>0</v>
      </c>
      <c r="O654" s="461">
        <v>0</v>
      </c>
      <c r="P654" s="464">
        <v>23709</v>
      </c>
      <c r="Q654" s="464">
        <v>34669</v>
      </c>
      <c r="R654" s="464"/>
      <c r="S654" s="461">
        <v>1312345</v>
      </c>
      <c r="T654" s="462">
        <v>58196</v>
      </c>
      <c r="U654" s="462">
        <v>1370541</v>
      </c>
      <c r="W654" s="464">
        <v>7915618</v>
      </c>
      <c r="X654" s="464">
        <v>1813756</v>
      </c>
    </row>
    <row r="655" spans="1:24">
      <c r="A655" s="458">
        <v>97211</v>
      </c>
      <c r="B655" s="459" t="s">
        <v>1359</v>
      </c>
      <c r="C655" s="463">
        <v>9.7079999999999999E-5</v>
      </c>
      <c r="D655" s="463">
        <v>9.1700000000000006E-5</v>
      </c>
      <c r="E655" s="464">
        <v>642969</v>
      </c>
      <c r="F655" s="464"/>
      <c r="G655" s="461">
        <v>71646</v>
      </c>
      <c r="H655" s="461">
        <v>172087</v>
      </c>
      <c r="I655" s="461">
        <v>27322</v>
      </c>
      <c r="J655" s="464">
        <v>28708</v>
      </c>
      <c r="K655" s="464">
        <v>299763</v>
      </c>
      <c r="L655" s="464"/>
      <c r="M655" s="461">
        <v>1542</v>
      </c>
      <c r="N655" s="461">
        <v>0</v>
      </c>
      <c r="O655" s="461">
        <v>0</v>
      </c>
      <c r="P655" s="464">
        <v>82406</v>
      </c>
      <c r="Q655" s="464">
        <v>83948</v>
      </c>
      <c r="R655" s="464"/>
      <c r="S655" s="461">
        <v>184679</v>
      </c>
      <c r="T655" s="462">
        <v>-2778</v>
      </c>
      <c r="U655" s="462">
        <v>181901</v>
      </c>
      <c r="W655" s="464">
        <v>1113919</v>
      </c>
      <c r="X655" s="464">
        <v>255239</v>
      </c>
    </row>
    <row r="656" spans="1:24">
      <c r="A656" s="458">
        <v>97213</v>
      </c>
      <c r="B656" s="459" t="s">
        <v>1360</v>
      </c>
      <c r="C656" s="463">
        <v>3.1520000000000003E-5</v>
      </c>
      <c r="D656" s="463">
        <v>3.5099999999999999E-5</v>
      </c>
      <c r="E656" s="464">
        <v>208760</v>
      </c>
      <c r="F656" s="464"/>
      <c r="G656" s="461">
        <v>23262</v>
      </c>
      <c r="H656" s="461">
        <v>55873</v>
      </c>
      <c r="I656" s="461">
        <v>8871</v>
      </c>
      <c r="J656" s="464">
        <v>1799</v>
      </c>
      <c r="K656" s="464">
        <v>89805</v>
      </c>
      <c r="L656" s="464"/>
      <c r="M656" s="461">
        <v>501</v>
      </c>
      <c r="N656" s="461">
        <v>0</v>
      </c>
      <c r="O656" s="461">
        <v>0</v>
      </c>
      <c r="P656" s="464">
        <v>4771</v>
      </c>
      <c r="Q656" s="464">
        <v>5272</v>
      </c>
      <c r="R656" s="464"/>
      <c r="S656" s="461">
        <v>59962</v>
      </c>
      <c r="T656" s="462">
        <v>-518</v>
      </c>
      <c r="U656" s="462">
        <v>59444</v>
      </c>
      <c r="W656" s="464">
        <v>361668</v>
      </c>
      <c r="X656" s="464">
        <v>82871</v>
      </c>
    </row>
    <row r="657" spans="1:24">
      <c r="A657" s="458">
        <v>97217</v>
      </c>
      <c r="B657" s="459" t="s">
        <v>1361</v>
      </c>
      <c r="C657" s="463">
        <v>1.217E-5</v>
      </c>
      <c r="D657" s="463">
        <v>8.1000000000000004E-6</v>
      </c>
      <c r="E657" s="464">
        <v>80603</v>
      </c>
      <c r="F657" s="464"/>
      <c r="G657" s="461">
        <v>8982</v>
      </c>
      <c r="H657" s="461">
        <v>21573</v>
      </c>
      <c r="I657" s="461">
        <v>3425</v>
      </c>
      <c r="J657" s="464">
        <v>11361</v>
      </c>
      <c r="K657" s="464">
        <v>45341</v>
      </c>
      <c r="L657" s="464"/>
      <c r="M657" s="461">
        <v>193</v>
      </c>
      <c r="N657" s="461">
        <v>0</v>
      </c>
      <c r="O657" s="461">
        <v>0</v>
      </c>
      <c r="P657" s="464">
        <v>114</v>
      </c>
      <c r="Q657" s="464">
        <v>307</v>
      </c>
      <c r="R657" s="464"/>
      <c r="S657" s="461">
        <v>23151</v>
      </c>
      <c r="T657" s="462">
        <v>6952</v>
      </c>
      <c r="U657" s="462">
        <v>30103</v>
      </c>
      <c r="W657" s="464">
        <v>139641</v>
      </c>
      <c r="X657" s="464">
        <v>31997</v>
      </c>
    </row>
    <row r="658" spans="1:24">
      <c r="A658" s="458">
        <v>97221</v>
      </c>
      <c r="B658" s="459" t="s">
        <v>1362</v>
      </c>
      <c r="C658" s="463">
        <v>2.0999999999999998E-6</v>
      </c>
      <c r="D658" s="463">
        <v>2.7999999999999999E-6</v>
      </c>
      <c r="E658" s="464">
        <v>13908</v>
      </c>
      <c r="F658" s="464"/>
      <c r="G658" s="461">
        <v>1550</v>
      </c>
      <c r="H658" s="461">
        <v>3723</v>
      </c>
      <c r="I658" s="461">
        <v>591</v>
      </c>
      <c r="J658" s="464">
        <v>10544</v>
      </c>
      <c r="K658" s="464">
        <v>16408</v>
      </c>
      <c r="L658" s="464"/>
      <c r="M658" s="461">
        <v>33</v>
      </c>
      <c r="N658" s="461">
        <v>0</v>
      </c>
      <c r="O658" s="461">
        <v>0</v>
      </c>
      <c r="P658" s="464">
        <v>11691</v>
      </c>
      <c r="Q658" s="464">
        <v>11724</v>
      </c>
      <c r="R658" s="464"/>
      <c r="S658" s="461">
        <v>3995</v>
      </c>
      <c r="T658" s="462">
        <v>1708</v>
      </c>
      <c r="U658" s="462">
        <v>5703</v>
      </c>
      <c r="W658" s="464">
        <v>24096</v>
      </c>
      <c r="X658" s="464">
        <v>5521</v>
      </c>
    </row>
    <row r="659" spans="1:24">
      <c r="A659" s="458">
        <v>97301</v>
      </c>
      <c r="B659" s="459" t="s">
        <v>1363</v>
      </c>
      <c r="C659" s="463">
        <v>2.1264500000000002E-3</v>
      </c>
      <c r="D659" s="463">
        <v>2.2640999999999998E-3</v>
      </c>
      <c r="E659" s="464">
        <v>14083663</v>
      </c>
      <c r="F659" s="464"/>
      <c r="G659" s="461">
        <v>1569337</v>
      </c>
      <c r="H659" s="461">
        <v>3769405</v>
      </c>
      <c r="I659" s="461">
        <v>598474</v>
      </c>
      <c r="J659" s="464">
        <v>44643</v>
      </c>
      <c r="K659" s="464">
        <v>5981859</v>
      </c>
      <c r="L659" s="464"/>
      <c r="M659" s="461">
        <v>33785</v>
      </c>
      <c r="N659" s="461">
        <v>0</v>
      </c>
      <c r="O659" s="461">
        <v>0</v>
      </c>
      <c r="P659" s="464">
        <v>426110</v>
      </c>
      <c r="Q659" s="464">
        <v>459895</v>
      </c>
      <c r="R659" s="464"/>
      <c r="S659" s="461">
        <v>4045220</v>
      </c>
      <c r="T659" s="462">
        <v>-184674</v>
      </c>
      <c r="U659" s="462">
        <v>3860546</v>
      </c>
      <c r="W659" s="464">
        <v>24399393</v>
      </c>
      <c r="X659" s="464">
        <v>5590788</v>
      </c>
    </row>
    <row r="660" spans="1:24">
      <c r="A660" s="458">
        <v>97302</v>
      </c>
      <c r="B660" s="459" t="s">
        <v>3611</v>
      </c>
      <c r="C660" s="463">
        <v>3.8470000000000003E-5</v>
      </c>
      <c r="D660" s="463">
        <v>4.7200000000000002E-5</v>
      </c>
      <c r="E660" s="464">
        <v>254790</v>
      </c>
      <c r="F660" s="464"/>
      <c r="G660" s="461">
        <v>28391</v>
      </c>
      <c r="H660" s="461">
        <v>68193</v>
      </c>
      <c r="I660" s="461">
        <v>10827</v>
      </c>
      <c r="J660" s="464">
        <v>11193</v>
      </c>
      <c r="K660" s="464">
        <v>118604</v>
      </c>
      <c r="L660" s="464"/>
      <c r="M660" s="461">
        <v>611</v>
      </c>
      <c r="N660" s="461">
        <v>0</v>
      </c>
      <c r="O660" s="461">
        <v>0</v>
      </c>
      <c r="P660" s="464">
        <v>9357</v>
      </c>
      <c r="Q660" s="464">
        <v>9968</v>
      </c>
      <c r="R660" s="464"/>
      <c r="S660" s="461">
        <v>73183</v>
      </c>
      <c r="T660" s="462">
        <v>28313</v>
      </c>
      <c r="U660" s="462">
        <v>101496</v>
      </c>
      <c r="W660" s="464">
        <v>441414</v>
      </c>
      <c r="X660" s="464">
        <v>101144</v>
      </c>
    </row>
    <row r="661" spans="1:24">
      <c r="A661" s="458">
        <v>97304</v>
      </c>
      <c r="B661" s="459" t="s">
        <v>1364</v>
      </c>
      <c r="C661" s="463">
        <v>2.4559999999999999E-5</v>
      </c>
      <c r="D661" s="463">
        <v>2.1800000000000001E-5</v>
      </c>
      <c r="E661" s="464">
        <v>162663</v>
      </c>
      <c r="F661" s="464"/>
      <c r="G661" s="461">
        <v>18125</v>
      </c>
      <c r="H661" s="461">
        <v>43536</v>
      </c>
      <c r="I661" s="461">
        <v>6912</v>
      </c>
      <c r="J661" s="464">
        <v>33964</v>
      </c>
      <c r="K661" s="464">
        <v>102537</v>
      </c>
      <c r="L661" s="464"/>
      <c r="M661" s="461">
        <v>390</v>
      </c>
      <c r="N661" s="461">
        <v>0</v>
      </c>
      <c r="O661" s="461">
        <v>0</v>
      </c>
      <c r="P661" s="464">
        <v>0</v>
      </c>
      <c r="Q661" s="464">
        <v>390</v>
      </c>
      <c r="R661" s="464"/>
      <c r="S661" s="461">
        <v>46721</v>
      </c>
      <c r="T661" s="462">
        <v>21166</v>
      </c>
      <c r="U661" s="462">
        <v>67887</v>
      </c>
      <c r="W661" s="464">
        <v>281807</v>
      </c>
      <c r="X661" s="464">
        <v>64572</v>
      </c>
    </row>
    <row r="662" spans="1:24">
      <c r="A662" s="458">
        <v>97311</v>
      </c>
      <c r="B662" s="459" t="s">
        <v>1365</v>
      </c>
      <c r="C662" s="463">
        <v>7.2628999999999999E-4</v>
      </c>
      <c r="D662" s="463">
        <v>7.9830000000000005E-4</v>
      </c>
      <c r="E662" s="464">
        <v>4810282</v>
      </c>
      <c r="F662" s="464"/>
      <c r="G662" s="461">
        <v>536008</v>
      </c>
      <c r="H662" s="461">
        <v>1287442</v>
      </c>
      <c r="I662" s="461">
        <v>204409</v>
      </c>
      <c r="J662" s="464">
        <v>14213</v>
      </c>
      <c r="K662" s="464">
        <v>2042072</v>
      </c>
      <c r="L662" s="464"/>
      <c r="M662" s="461">
        <v>11539</v>
      </c>
      <c r="N662" s="461">
        <v>0</v>
      </c>
      <c r="O662" s="461">
        <v>0</v>
      </c>
      <c r="P662" s="464">
        <v>207366</v>
      </c>
      <c r="Q662" s="464">
        <v>218905</v>
      </c>
      <c r="R662" s="464"/>
      <c r="S662" s="461">
        <v>1381647</v>
      </c>
      <c r="T662" s="462">
        <v>-90791</v>
      </c>
      <c r="U662" s="462">
        <v>1290856</v>
      </c>
      <c r="W662" s="464">
        <v>8333624</v>
      </c>
      <c r="X662" s="464">
        <v>1909536</v>
      </c>
    </row>
    <row r="663" spans="1:24">
      <c r="A663" s="458">
        <v>97401</v>
      </c>
      <c r="B663" s="459" t="s">
        <v>1366</v>
      </c>
      <c r="C663" s="463">
        <v>6.4572299999999996E-3</v>
      </c>
      <c r="D663" s="463">
        <v>7.0102000000000003E-3</v>
      </c>
      <c r="E663" s="464">
        <v>42766796</v>
      </c>
      <c r="F663" s="464"/>
      <c r="G663" s="461">
        <v>4765487</v>
      </c>
      <c r="H663" s="461">
        <v>11446267</v>
      </c>
      <c r="I663" s="461">
        <v>1817342</v>
      </c>
      <c r="J663" s="464">
        <v>84396</v>
      </c>
      <c r="K663" s="464">
        <v>18113492</v>
      </c>
      <c r="L663" s="464"/>
      <c r="M663" s="461">
        <v>102592</v>
      </c>
      <c r="N663" s="461">
        <v>0</v>
      </c>
      <c r="O663" s="461">
        <v>0</v>
      </c>
      <c r="P663" s="464">
        <v>1291312</v>
      </c>
      <c r="Q663" s="464">
        <v>1393904</v>
      </c>
      <c r="R663" s="464"/>
      <c r="S663" s="461">
        <v>12283815</v>
      </c>
      <c r="T663" s="462">
        <v>-455197</v>
      </c>
      <c r="U663" s="462">
        <v>11828618</v>
      </c>
      <c r="W663" s="464">
        <v>74091794</v>
      </c>
      <c r="X663" s="464">
        <v>16977123</v>
      </c>
    </row>
    <row r="664" spans="1:24">
      <c r="A664" s="458">
        <v>97402</v>
      </c>
      <c r="B664" s="459" t="s">
        <v>1367</v>
      </c>
      <c r="C664" s="463">
        <v>3.2549999999999998E-5</v>
      </c>
      <c r="D664" s="463">
        <v>4.8399999999999997E-5</v>
      </c>
      <c r="E664" s="464">
        <v>215581</v>
      </c>
      <c r="F664" s="464"/>
      <c r="G664" s="461">
        <v>24022</v>
      </c>
      <c r="H664" s="461">
        <v>57699</v>
      </c>
      <c r="I664" s="461">
        <v>9161</v>
      </c>
      <c r="J664" s="464">
        <v>0</v>
      </c>
      <c r="K664" s="464">
        <v>90882</v>
      </c>
      <c r="L664" s="464"/>
      <c r="M664" s="461">
        <v>517</v>
      </c>
      <c r="N664" s="461">
        <v>0</v>
      </c>
      <c r="O664" s="461">
        <v>0</v>
      </c>
      <c r="P664" s="464">
        <v>39630</v>
      </c>
      <c r="Q664" s="464">
        <v>40147</v>
      </c>
      <c r="R664" s="464"/>
      <c r="S664" s="461">
        <v>61921</v>
      </c>
      <c r="T664" s="462">
        <v>-9140</v>
      </c>
      <c r="U664" s="462">
        <v>52781</v>
      </c>
      <c r="W664" s="464">
        <v>373486</v>
      </c>
      <c r="X664" s="464">
        <v>85579</v>
      </c>
    </row>
    <row r="665" spans="1:24">
      <c r="A665" s="458">
        <v>97404</v>
      </c>
      <c r="B665" s="459" t="s">
        <v>1368</v>
      </c>
      <c r="C665" s="463">
        <v>2.7465999999999998E-4</v>
      </c>
      <c r="D665" s="463">
        <v>2.677E-4</v>
      </c>
      <c r="E665" s="464">
        <v>1819097</v>
      </c>
      <c r="F665" s="464"/>
      <c r="G665" s="461">
        <v>202701</v>
      </c>
      <c r="H665" s="461">
        <v>486870</v>
      </c>
      <c r="I665" s="461">
        <v>77301</v>
      </c>
      <c r="J665" s="464">
        <v>49339</v>
      </c>
      <c r="K665" s="464">
        <v>816211</v>
      </c>
      <c r="L665" s="464"/>
      <c r="M665" s="461">
        <v>4364</v>
      </c>
      <c r="N665" s="461">
        <v>0</v>
      </c>
      <c r="O665" s="461">
        <v>0</v>
      </c>
      <c r="P665" s="464">
        <v>15091</v>
      </c>
      <c r="Q665" s="464">
        <v>19455</v>
      </c>
      <c r="R665" s="464"/>
      <c r="S665" s="461">
        <v>522495</v>
      </c>
      <c r="T665" s="462">
        <v>20483</v>
      </c>
      <c r="U665" s="462">
        <v>542978</v>
      </c>
      <c r="W665" s="464">
        <v>3151514</v>
      </c>
      <c r="X665" s="464">
        <v>722126</v>
      </c>
    </row>
    <row r="666" spans="1:24">
      <c r="A666" s="458">
        <v>97405</v>
      </c>
      <c r="B666" s="459" t="s">
        <v>1369</v>
      </c>
      <c r="C666" s="463">
        <v>8.9159999999999993E-5</v>
      </c>
      <c r="D666" s="463">
        <v>9.6299999999999996E-5</v>
      </c>
      <c r="E666" s="464">
        <v>590514</v>
      </c>
      <c r="F666" s="464"/>
      <c r="G666" s="461">
        <v>65801</v>
      </c>
      <c r="H666" s="461">
        <v>158048</v>
      </c>
      <c r="I666" s="461">
        <v>25093</v>
      </c>
      <c r="J666" s="464">
        <v>14068</v>
      </c>
      <c r="K666" s="464">
        <v>263010</v>
      </c>
      <c r="L666" s="464"/>
      <c r="M666" s="461">
        <v>1417</v>
      </c>
      <c r="N666" s="461">
        <v>0</v>
      </c>
      <c r="O666" s="461">
        <v>0</v>
      </c>
      <c r="P666" s="464">
        <v>2640</v>
      </c>
      <c r="Q666" s="464">
        <v>4057</v>
      </c>
      <c r="R666" s="464"/>
      <c r="S666" s="461">
        <v>169612</v>
      </c>
      <c r="T666" s="462">
        <v>10129</v>
      </c>
      <c r="U666" s="462">
        <v>179741</v>
      </c>
      <c r="W666" s="464">
        <v>1023043</v>
      </c>
      <c r="X666" s="464">
        <v>234416</v>
      </c>
    </row>
    <row r="667" spans="1:24">
      <c r="A667" s="458">
        <v>97408</v>
      </c>
      <c r="B667" s="459" t="s">
        <v>1370</v>
      </c>
      <c r="C667" s="463">
        <v>3.9050000000000001E-5</v>
      </c>
      <c r="D667" s="463">
        <v>3.7499999999999997E-5</v>
      </c>
      <c r="E667" s="464">
        <v>258632</v>
      </c>
      <c r="F667" s="464"/>
      <c r="G667" s="461">
        <v>28819</v>
      </c>
      <c r="H667" s="461">
        <v>69221</v>
      </c>
      <c r="I667" s="461">
        <v>10990</v>
      </c>
      <c r="J667" s="464">
        <v>18775</v>
      </c>
      <c r="K667" s="464">
        <v>127805</v>
      </c>
      <c r="L667" s="464"/>
      <c r="M667" s="461">
        <v>620</v>
      </c>
      <c r="N667" s="461">
        <v>0</v>
      </c>
      <c r="O667" s="461">
        <v>0</v>
      </c>
      <c r="P667" s="464">
        <v>682</v>
      </c>
      <c r="Q667" s="464">
        <v>1302</v>
      </c>
      <c r="R667" s="464"/>
      <c r="S667" s="461">
        <v>74286</v>
      </c>
      <c r="T667" s="462">
        <v>10882</v>
      </c>
      <c r="U667" s="462">
        <v>85168</v>
      </c>
      <c r="W667" s="464">
        <v>448069</v>
      </c>
      <c r="X667" s="464">
        <v>102669</v>
      </c>
    </row>
    <row r="668" spans="1:24">
      <c r="A668" s="458">
        <v>97411</v>
      </c>
      <c r="B668" s="459" t="s">
        <v>1371</v>
      </c>
      <c r="C668" s="463">
        <v>5.5441300000000004E-3</v>
      </c>
      <c r="D668" s="463">
        <v>5.9007E-3</v>
      </c>
      <c r="E668" s="464">
        <v>36719255</v>
      </c>
      <c r="F668" s="464"/>
      <c r="G668" s="461">
        <v>4091612</v>
      </c>
      <c r="H668" s="461">
        <v>9827680</v>
      </c>
      <c r="I668" s="461">
        <v>1560357</v>
      </c>
      <c r="J668" s="464">
        <v>78655</v>
      </c>
      <c r="K668" s="464">
        <v>15558304</v>
      </c>
      <c r="L668" s="464"/>
      <c r="M668" s="461">
        <v>88085</v>
      </c>
      <c r="N668" s="461">
        <v>0</v>
      </c>
      <c r="O668" s="461">
        <v>0</v>
      </c>
      <c r="P668" s="464">
        <v>1319553</v>
      </c>
      <c r="Q668" s="464">
        <v>1407638</v>
      </c>
      <c r="R668" s="464"/>
      <c r="S668" s="461">
        <v>10546793</v>
      </c>
      <c r="T668" s="462">
        <v>-693040</v>
      </c>
      <c r="U668" s="462">
        <v>9853753</v>
      </c>
      <c r="W668" s="464">
        <v>63614667</v>
      </c>
      <c r="X668" s="464">
        <v>14576433</v>
      </c>
    </row>
    <row r="669" spans="1:24">
      <c r="A669" s="458">
        <v>97412</v>
      </c>
      <c r="B669" s="459" t="s">
        <v>1372</v>
      </c>
      <c r="C669" s="463">
        <v>3.86287E-3</v>
      </c>
      <c r="D669" s="463">
        <v>4.2015999999999998E-3</v>
      </c>
      <c r="E669" s="464">
        <v>25584124</v>
      </c>
      <c r="F669" s="464"/>
      <c r="G669" s="461">
        <v>2850829</v>
      </c>
      <c r="H669" s="461">
        <v>6847432</v>
      </c>
      <c r="I669" s="461">
        <v>1087178</v>
      </c>
      <c r="J669" s="464">
        <v>130197</v>
      </c>
      <c r="K669" s="464">
        <v>10915636</v>
      </c>
      <c r="L669" s="464"/>
      <c r="M669" s="461">
        <v>61373</v>
      </c>
      <c r="N669" s="461">
        <v>0</v>
      </c>
      <c r="O669" s="461">
        <v>0</v>
      </c>
      <c r="P669" s="464">
        <v>670418</v>
      </c>
      <c r="Q669" s="464">
        <v>731791</v>
      </c>
      <c r="R669" s="464"/>
      <c r="S669" s="461">
        <v>7348473</v>
      </c>
      <c r="T669" s="462">
        <v>-261870</v>
      </c>
      <c r="U669" s="462">
        <v>7086603</v>
      </c>
      <c r="W669" s="464">
        <v>44323490</v>
      </c>
      <c r="X669" s="464">
        <v>10156123</v>
      </c>
    </row>
    <row r="670" spans="1:24">
      <c r="A670" s="458">
        <v>97413</v>
      </c>
      <c r="B670" s="459" t="s">
        <v>1373</v>
      </c>
      <c r="C670" s="463">
        <v>3.1463999999999998E-4</v>
      </c>
      <c r="D670" s="463">
        <v>3.0210000000000002E-4</v>
      </c>
      <c r="E670" s="464">
        <v>2083888</v>
      </c>
      <c r="F670" s="464"/>
      <c r="G670" s="461">
        <v>232207</v>
      </c>
      <c r="H670" s="461">
        <v>557740</v>
      </c>
      <c r="I670" s="461">
        <v>88553</v>
      </c>
      <c r="J670" s="464">
        <v>92256</v>
      </c>
      <c r="K670" s="464">
        <v>970756</v>
      </c>
      <c r="L670" s="464"/>
      <c r="M670" s="461">
        <v>4999</v>
      </c>
      <c r="N670" s="461">
        <v>0</v>
      </c>
      <c r="O670" s="461">
        <v>0</v>
      </c>
      <c r="P670" s="464">
        <v>16367</v>
      </c>
      <c r="Q670" s="464">
        <v>21366</v>
      </c>
      <c r="R670" s="464"/>
      <c r="S670" s="461">
        <v>598551</v>
      </c>
      <c r="T670" s="462">
        <v>57809</v>
      </c>
      <c r="U670" s="462">
        <v>656360</v>
      </c>
      <c r="W670" s="464">
        <v>3610254</v>
      </c>
      <c r="X670" s="464">
        <v>827240</v>
      </c>
    </row>
    <row r="671" spans="1:24">
      <c r="A671" s="458">
        <v>97421</v>
      </c>
      <c r="B671" s="459" t="s">
        <v>1374</v>
      </c>
      <c r="C671" s="463">
        <v>3.7188E-4</v>
      </c>
      <c r="D671" s="463">
        <v>4.1780000000000002E-4</v>
      </c>
      <c r="E671" s="464">
        <v>2462994</v>
      </c>
      <c r="F671" s="464"/>
      <c r="G671" s="461">
        <v>274450</v>
      </c>
      <c r="H671" s="461">
        <v>659205</v>
      </c>
      <c r="I671" s="461">
        <v>104663</v>
      </c>
      <c r="J671" s="464">
        <v>2182</v>
      </c>
      <c r="K671" s="464">
        <v>1040500</v>
      </c>
      <c r="L671" s="464"/>
      <c r="M671" s="461">
        <v>5908</v>
      </c>
      <c r="N671" s="461">
        <v>0</v>
      </c>
      <c r="O671" s="461">
        <v>0</v>
      </c>
      <c r="P671" s="464">
        <v>157323</v>
      </c>
      <c r="Q671" s="464">
        <v>163231</v>
      </c>
      <c r="R671" s="464"/>
      <c r="S671" s="461">
        <v>707440</v>
      </c>
      <c r="T671" s="462">
        <v>-69907</v>
      </c>
      <c r="U671" s="462">
        <v>637533</v>
      </c>
      <c r="W671" s="464">
        <v>4267040</v>
      </c>
      <c r="X671" s="464">
        <v>977734</v>
      </c>
    </row>
    <row r="672" spans="1:24">
      <c r="A672" s="458">
        <v>97423</v>
      </c>
      <c r="B672" s="459" t="s">
        <v>1375</v>
      </c>
      <c r="C672" s="463">
        <v>3.6189999999999997E-5</v>
      </c>
      <c r="D672" s="463">
        <v>3.1399999999999998E-5</v>
      </c>
      <c r="E672" s="464">
        <v>239690</v>
      </c>
      <c r="F672" s="464"/>
      <c r="G672" s="461">
        <v>26709</v>
      </c>
      <c r="H672" s="461">
        <v>64151</v>
      </c>
      <c r="I672" s="461">
        <v>10185</v>
      </c>
      <c r="J672" s="464">
        <v>45695</v>
      </c>
      <c r="K672" s="464">
        <v>146740</v>
      </c>
      <c r="L672" s="464"/>
      <c r="M672" s="461">
        <v>575</v>
      </c>
      <c r="N672" s="461">
        <v>0</v>
      </c>
      <c r="O672" s="461">
        <v>0</v>
      </c>
      <c r="P672" s="464">
        <v>4433</v>
      </c>
      <c r="Q672" s="464">
        <v>5008</v>
      </c>
      <c r="R672" s="464"/>
      <c r="S672" s="461">
        <v>68846</v>
      </c>
      <c r="T672" s="462">
        <v>19770</v>
      </c>
      <c r="U672" s="462">
        <v>88616</v>
      </c>
      <c r="W672" s="464">
        <v>415253</v>
      </c>
      <c r="X672" s="464">
        <v>95149</v>
      </c>
    </row>
    <row r="673" spans="1:24">
      <c r="A673" s="458">
        <v>97431</v>
      </c>
      <c r="B673" s="459" t="s">
        <v>1376</v>
      </c>
      <c r="C673" s="463">
        <v>8.161E-5</v>
      </c>
      <c r="D673" s="463">
        <v>8.5400000000000002E-5</v>
      </c>
      <c r="E673" s="464">
        <v>540510</v>
      </c>
      <c r="F673" s="464"/>
      <c r="G673" s="461">
        <v>60229</v>
      </c>
      <c r="H673" s="461">
        <v>144664</v>
      </c>
      <c r="I673" s="461">
        <v>22969</v>
      </c>
      <c r="J673" s="464">
        <v>2806</v>
      </c>
      <c r="K673" s="464">
        <v>230668</v>
      </c>
      <c r="L673" s="464"/>
      <c r="M673" s="461">
        <v>1297</v>
      </c>
      <c r="N673" s="461">
        <v>0</v>
      </c>
      <c r="O673" s="461">
        <v>0</v>
      </c>
      <c r="P673" s="464">
        <v>17530</v>
      </c>
      <c r="Q673" s="464">
        <v>18827</v>
      </c>
      <c r="R673" s="464"/>
      <c r="S673" s="461">
        <v>155250</v>
      </c>
      <c r="T673" s="462">
        <v>-5639</v>
      </c>
      <c r="U673" s="462">
        <v>149611</v>
      </c>
      <c r="W673" s="464">
        <v>936413</v>
      </c>
      <c r="X673" s="464">
        <v>214566</v>
      </c>
    </row>
    <row r="674" spans="1:24">
      <c r="A674" s="458">
        <v>97441</v>
      </c>
      <c r="B674" s="459" t="s">
        <v>1377</v>
      </c>
      <c r="C674" s="463">
        <v>3.046E-5</v>
      </c>
      <c r="D674" s="463">
        <v>2.8E-5</v>
      </c>
      <c r="E674" s="464">
        <v>201739</v>
      </c>
      <c r="F674" s="464"/>
      <c r="G674" s="461">
        <v>22480</v>
      </c>
      <c r="H674" s="461">
        <v>53994</v>
      </c>
      <c r="I674" s="461">
        <v>8573</v>
      </c>
      <c r="J674" s="464">
        <v>1810</v>
      </c>
      <c r="K674" s="464">
        <v>86857</v>
      </c>
      <c r="L674" s="464"/>
      <c r="M674" s="461">
        <v>484</v>
      </c>
      <c r="N674" s="461">
        <v>0</v>
      </c>
      <c r="O674" s="461">
        <v>0</v>
      </c>
      <c r="P674" s="464">
        <v>38577</v>
      </c>
      <c r="Q674" s="464">
        <v>39061</v>
      </c>
      <c r="R674" s="464"/>
      <c r="S674" s="461">
        <v>57945</v>
      </c>
      <c r="T674" s="462">
        <v>-23726</v>
      </c>
      <c r="U674" s="462">
        <v>34219</v>
      </c>
      <c r="W674" s="464">
        <v>349505</v>
      </c>
      <c r="X674" s="464">
        <v>80084</v>
      </c>
    </row>
    <row r="675" spans="1:24">
      <c r="A675" s="458">
        <v>97451</v>
      </c>
      <c r="B675" s="459" t="s">
        <v>1378</v>
      </c>
      <c r="C675" s="463">
        <v>5.9739000000000005E-4</v>
      </c>
      <c r="D675" s="463">
        <v>6.2609999999999999E-4</v>
      </c>
      <c r="E675" s="464">
        <v>3956566</v>
      </c>
      <c r="F675" s="464"/>
      <c r="G675" s="461">
        <v>440879</v>
      </c>
      <c r="H675" s="461">
        <v>1058950</v>
      </c>
      <c r="I675" s="461">
        <v>168131</v>
      </c>
      <c r="J675" s="464">
        <v>0</v>
      </c>
      <c r="K675" s="464">
        <v>1667960</v>
      </c>
      <c r="L675" s="464"/>
      <c r="M675" s="461">
        <v>9491</v>
      </c>
      <c r="N675" s="461">
        <v>0</v>
      </c>
      <c r="O675" s="461">
        <v>0</v>
      </c>
      <c r="P675" s="464">
        <v>219176</v>
      </c>
      <c r="Q675" s="464">
        <v>228667</v>
      </c>
      <c r="R675" s="464"/>
      <c r="S675" s="461">
        <v>1136436</v>
      </c>
      <c r="T675" s="462">
        <v>-102656</v>
      </c>
      <c r="U675" s="462">
        <v>1033780</v>
      </c>
      <c r="W675" s="464">
        <v>6854595</v>
      </c>
      <c r="X675" s="464">
        <v>1570637</v>
      </c>
    </row>
    <row r="676" spans="1:24">
      <c r="A676" s="458">
        <v>97461</v>
      </c>
      <c r="B676" s="459" t="s">
        <v>1379</v>
      </c>
      <c r="C676" s="463">
        <v>4.4647000000000003E-4</v>
      </c>
      <c r="D676" s="463">
        <v>5.174E-4</v>
      </c>
      <c r="E676" s="464">
        <v>2957010</v>
      </c>
      <c r="F676" s="464"/>
      <c r="G676" s="461">
        <v>329498</v>
      </c>
      <c r="H676" s="461">
        <v>791425</v>
      </c>
      <c r="I676" s="461">
        <v>125656</v>
      </c>
      <c r="J676" s="464">
        <v>0</v>
      </c>
      <c r="K676" s="464">
        <v>1246579</v>
      </c>
      <c r="L676" s="464"/>
      <c r="M676" s="461">
        <v>7094</v>
      </c>
      <c r="N676" s="461">
        <v>0</v>
      </c>
      <c r="O676" s="461">
        <v>0</v>
      </c>
      <c r="P676" s="464">
        <v>241440</v>
      </c>
      <c r="Q676" s="464">
        <v>248534</v>
      </c>
      <c r="R676" s="464"/>
      <c r="S676" s="461">
        <v>849336</v>
      </c>
      <c r="T676" s="462">
        <v>-112062</v>
      </c>
      <c r="U676" s="462">
        <v>737274</v>
      </c>
      <c r="W676" s="464">
        <v>5122903</v>
      </c>
      <c r="X676" s="464">
        <v>1173843</v>
      </c>
    </row>
    <row r="677" spans="1:24" s="471" customFormat="1">
      <c r="A677" s="465">
        <v>97463</v>
      </c>
      <c r="B677" s="479" t="s">
        <v>180</v>
      </c>
      <c r="C677" s="467">
        <v>0</v>
      </c>
      <c r="D677" s="467">
        <v>0</v>
      </c>
      <c r="E677" s="468">
        <v>0</v>
      </c>
      <c r="F677" s="468"/>
      <c r="G677" s="469">
        <v>0</v>
      </c>
      <c r="H677" s="469">
        <v>0</v>
      </c>
      <c r="I677" s="469">
        <v>0</v>
      </c>
      <c r="J677" s="468">
        <v>0</v>
      </c>
      <c r="K677" s="468">
        <v>0</v>
      </c>
      <c r="L677" s="468"/>
      <c r="M677" s="469">
        <v>0</v>
      </c>
      <c r="N677" s="469">
        <v>0</v>
      </c>
      <c r="O677" s="469">
        <v>0</v>
      </c>
      <c r="P677" s="468">
        <v>0</v>
      </c>
      <c r="Q677" s="468">
        <v>0</v>
      </c>
      <c r="R677" s="468"/>
      <c r="S677" s="469">
        <v>0</v>
      </c>
      <c r="T677" s="470">
        <v>0</v>
      </c>
      <c r="U677" s="470">
        <v>0</v>
      </c>
      <c r="W677" s="468">
        <v>0</v>
      </c>
      <c r="X677" s="468">
        <v>0</v>
      </c>
    </row>
    <row r="678" spans="1:24">
      <c r="A678" s="458">
        <v>97471</v>
      </c>
      <c r="B678" s="459" t="s">
        <v>1381</v>
      </c>
      <c r="C678" s="463">
        <v>2.1630000000000001E-5</v>
      </c>
      <c r="D678" s="463">
        <v>2.5599999999999999E-5</v>
      </c>
      <c r="E678" s="464">
        <v>143257</v>
      </c>
      <c r="F678" s="464"/>
      <c r="G678" s="461">
        <v>15963</v>
      </c>
      <c r="H678" s="461">
        <v>38342</v>
      </c>
      <c r="I678" s="461">
        <v>6088</v>
      </c>
      <c r="J678" s="464">
        <v>9821</v>
      </c>
      <c r="K678" s="464">
        <v>70214</v>
      </c>
      <c r="L678" s="464"/>
      <c r="M678" s="461">
        <v>344</v>
      </c>
      <c r="N678" s="461">
        <v>0</v>
      </c>
      <c r="O678" s="461">
        <v>0</v>
      </c>
      <c r="P678" s="464">
        <v>9871</v>
      </c>
      <c r="Q678" s="464">
        <v>10215</v>
      </c>
      <c r="R678" s="464"/>
      <c r="S678" s="461">
        <v>41148</v>
      </c>
      <c r="T678" s="462">
        <v>5643</v>
      </c>
      <c r="U678" s="462">
        <v>46791</v>
      </c>
      <c r="W678" s="464">
        <v>248188</v>
      </c>
      <c r="X678" s="464">
        <v>56869</v>
      </c>
    </row>
    <row r="679" spans="1:24">
      <c r="A679" s="458">
        <v>97481</v>
      </c>
      <c r="B679" s="459" t="s">
        <v>1382</v>
      </c>
      <c r="C679" s="463">
        <v>1.95E-6</v>
      </c>
      <c r="D679" s="463">
        <v>2.3E-6</v>
      </c>
      <c r="E679" s="464">
        <v>12915</v>
      </c>
      <c r="F679" s="464"/>
      <c r="G679" s="461">
        <v>1439</v>
      </c>
      <c r="H679" s="461">
        <v>3457</v>
      </c>
      <c r="I679" s="461">
        <v>549</v>
      </c>
      <c r="J679" s="464">
        <v>1567</v>
      </c>
      <c r="K679" s="464">
        <v>7012</v>
      </c>
      <c r="L679" s="464"/>
      <c r="M679" s="461">
        <v>31</v>
      </c>
      <c r="N679" s="461">
        <v>0</v>
      </c>
      <c r="O679" s="461">
        <v>0</v>
      </c>
      <c r="P679" s="464">
        <v>0</v>
      </c>
      <c r="Q679" s="464">
        <v>31</v>
      </c>
      <c r="R679" s="464"/>
      <c r="S679" s="461">
        <v>3710</v>
      </c>
      <c r="T679" s="462">
        <v>-332</v>
      </c>
      <c r="U679" s="462">
        <v>3378</v>
      </c>
      <c r="W679" s="464">
        <v>22375</v>
      </c>
      <c r="X679" s="464">
        <v>5127</v>
      </c>
    </row>
    <row r="680" spans="1:24">
      <c r="A680" s="458">
        <v>97501</v>
      </c>
      <c r="B680" s="459" t="s">
        <v>1384</v>
      </c>
      <c r="C680" s="463">
        <v>1.34556E-3</v>
      </c>
      <c r="D680" s="463">
        <v>1.2251E-3</v>
      </c>
      <c r="E680" s="464">
        <v>8911761</v>
      </c>
      <c r="F680" s="464"/>
      <c r="G680" s="461">
        <v>993034</v>
      </c>
      <c r="H680" s="461">
        <v>2385177</v>
      </c>
      <c r="I680" s="461">
        <v>378698</v>
      </c>
      <c r="J680" s="464">
        <v>308957</v>
      </c>
      <c r="K680" s="464">
        <v>4065866</v>
      </c>
      <c r="L680" s="464"/>
      <c r="M680" s="461">
        <v>21378</v>
      </c>
      <c r="N680" s="461">
        <v>0</v>
      </c>
      <c r="O680" s="461">
        <v>0</v>
      </c>
      <c r="P680" s="464">
        <v>48534</v>
      </c>
      <c r="Q680" s="464">
        <v>69912</v>
      </c>
      <c r="R680" s="464"/>
      <c r="S680" s="461">
        <v>2559706</v>
      </c>
      <c r="T680" s="462">
        <v>139553</v>
      </c>
      <c r="U680" s="462">
        <v>2699259</v>
      </c>
      <c r="W680" s="464">
        <v>15439276</v>
      </c>
      <c r="X680" s="464">
        <v>3537699</v>
      </c>
    </row>
    <row r="681" spans="1:24">
      <c r="A681" s="458">
        <v>97511</v>
      </c>
      <c r="B681" s="459" t="s">
        <v>1385</v>
      </c>
      <c r="C681" s="463">
        <v>2.3028E-4</v>
      </c>
      <c r="D681" s="463">
        <v>2.4030000000000001E-4</v>
      </c>
      <c r="E681" s="464">
        <v>1525164</v>
      </c>
      <c r="F681" s="464"/>
      <c r="G681" s="461">
        <v>169948</v>
      </c>
      <c r="H681" s="461">
        <v>408201</v>
      </c>
      <c r="I681" s="461">
        <v>64811</v>
      </c>
      <c r="J681" s="464">
        <v>14417</v>
      </c>
      <c r="K681" s="464">
        <v>657377</v>
      </c>
      <c r="L681" s="464"/>
      <c r="M681" s="461">
        <v>3659</v>
      </c>
      <c r="N681" s="461">
        <v>0</v>
      </c>
      <c r="O681" s="461">
        <v>0</v>
      </c>
      <c r="P681" s="464">
        <v>39902</v>
      </c>
      <c r="Q681" s="464">
        <v>43561</v>
      </c>
      <c r="R681" s="464"/>
      <c r="S681" s="461">
        <v>438070</v>
      </c>
      <c r="T681" s="462">
        <v>18836</v>
      </c>
      <c r="U681" s="462">
        <v>456906</v>
      </c>
      <c r="W681" s="464">
        <v>2642288</v>
      </c>
      <c r="X681" s="464">
        <v>605444</v>
      </c>
    </row>
    <row r="682" spans="1:24">
      <c r="A682" s="458">
        <v>97517</v>
      </c>
      <c r="B682" s="459" t="s">
        <v>3733</v>
      </c>
      <c r="C682" s="463">
        <v>1.076E-5</v>
      </c>
      <c r="D682" s="463">
        <v>4.8999999999999997E-6</v>
      </c>
      <c r="E682" s="464">
        <v>71264</v>
      </c>
      <c r="F682" s="464"/>
      <c r="G682" s="461">
        <v>7941</v>
      </c>
      <c r="H682" s="461">
        <v>19073</v>
      </c>
      <c r="I682" s="461">
        <v>3028</v>
      </c>
      <c r="J682" s="464">
        <v>17266</v>
      </c>
      <c r="K682" s="464">
        <v>47308</v>
      </c>
      <c r="L682" s="464"/>
      <c r="M682" s="461">
        <v>171</v>
      </c>
      <c r="N682" s="461">
        <v>0</v>
      </c>
      <c r="O682" s="461">
        <v>0</v>
      </c>
      <c r="P682" s="464">
        <v>5</v>
      </c>
      <c r="Q682" s="464">
        <v>176</v>
      </c>
      <c r="R682" s="464"/>
      <c r="S682" s="461">
        <v>20469</v>
      </c>
      <c r="T682" s="462">
        <v>6921</v>
      </c>
      <c r="U682" s="462">
        <v>27390</v>
      </c>
      <c r="W682" s="464">
        <v>123463</v>
      </c>
      <c r="X682" s="464">
        <v>28290</v>
      </c>
    </row>
    <row r="683" spans="1:24">
      <c r="A683" s="458">
        <v>97521</v>
      </c>
      <c r="B683" s="459" t="s">
        <v>1386</v>
      </c>
      <c r="C683" s="463">
        <v>1.304E-4</v>
      </c>
      <c r="D683" s="463">
        <v>1.305E-4</v>
      </c>
      <c r="E683" s="464">
        <v>863651</v>
      </c>
      <c r="F683" s="464"/>
      <c r="G683" s="461">
        <v>96236</v>
      </c>
      <c r="H683" s="461">
        <v>231151</v>
      </c>
      <c r="I683" s="461">
        <v>36700</v>
      </c>
      <c r="J683" s="464">
        <v>0</v>
      </c>
      <c r="K683" s="464">
        <v>364087</v>
      </c>
      <c r="L683" s="464"/>
      <c r="M683" s="461">
        <v>2072</v>
      </c>
      <c r="N683" s="461">
        <v>0</v>
      </c>
      <c r="O683" s="461">
        <v>0</v>
      </c>
      <c r="P683" s="464">
        <v>15135</v>
      </c>
      <c r="Q683" s="464">
        <v>17207</v>
      </c>
      <c r="R683" s="464"/>
      <c r="S683" s="461">
        <v>248064</v>
      </c>
      <c r="T683" s="462">
        <v>-3940</v>
      </c>
      <c r="U683" s="462">
        <v>244124</v>
      </c>
      <c r="W683" s="464">
        <v>1496241</v>
      </c>
      <c r="X683" s="464">
        <v>342843</v>
      </c>
    </row>
    <row r="684" spans="1:24">
      <c r="A684" s="458">
        <v>97527</v>
      </c>
      <c r="B684" s="459" t="s">
        <v>1637</v>
      </c>
      <c r="C684" s="463">
        <v>3.9299999999999996E-6</v>
      </c>
      <c r="D684" s="463">
        <v>2.3E-6</v>
      </c>
      <c r="E684" s="464">
        <v>26029</v>
      </c>
      <c r="F684" s="464"/>
      <c r="G684" s="461">
        <v>2900</v>
      </c>
      <c r="H684" s="461">
        <v>6966</v>
      </c>
      <c r="I684" s="461">
        <v>1106</v>
      </c>
      <c r="J684" s="464">
        <v>10191</v>
      </c>
      <c r="K684" s="464">
        <v>21163</v>
      </c>
      <c r="L684" s="464"/>
      <c r="M684" s="461">
        <v>62</v>
      </c>
      <c r="N684" s="461">
        <v>0</v>
      </c>
      <c r="O684" s="461">
        <v>0</v>
      </c>
      <c r="P684" s="464">
        <v>4206</v>
      </c>
      <c r="Q684" s="464">
        <v>4268</v>
      </c>
      <c r="R684" s="464"/>
      <c r="S684" s="461">
        <v>7476</v>
      </c>
      <c r="T684" s="462">
        <v>479</v>
      </c>
      <c r="U684" s="462">
        <v>7955</v>
      </c>
      <c r="W684" s="464">
        <v>45094</v>
      </c>
      <c r="X684" s="464">
        <v>10333</v>
      </c>
    </row>
    <row r="685" spans="1:24">
      <c r="A685" s="458">
        <v>97531</v>
      </c>
      <c r="B685" s="459" t="s">
        <v>1387</v>
      </c>
      <c r="C685" s="463">
        <v>5.3329999999999999E-5</v>
      </c>
      <c r="D685" s="463">
        <v>5.91E-5</v>
      </c>
      <c r="E685" s="464">
        <v>353209</v>
      </c>
      <c r="F685" s="464"/>
      <c r="G685" s="461">
        <v>39358</v>
      </c>
      <c r="H685" s="461">
        <v>94534</v>
      </c>
      <c r="I685" s="461">
        <v>15009</v>
      </c>
      <c r="J685" s="464">
        <v>8778</v>
      </c>
      <c r="K685" s="464">
        <v>157679</v>
      </c>
      <c r="L685" s="464"/>
      <c r="M685" s="461">
        <v>847</v>
      </c>
      <c r="N685" s="461">
        <v>0</v>
      </c>
      <c r="O685" s="461">
        <v>0</v>
      </c>
      <c r="P685" s="464">
        <v>30881</v>
      </c>
      <c r="Q685" s="464">
        <v>31728</v>
      </c>
      <c r="R685" s="464"/>
      <c r="S685" s="461">
        <v>101452</v>
      </c>
      <c r="T685" s="462">
        <v>-8653</v>
      </c>
      <c r="U685" s="462">
        <v>92799</v>
      </c>
      <c r="W685" s="464">
        <v>611921</v>
      </c>
      <c r="X685" s="464">
        <v>140213</v>
      </c>
    </row>
    <row r="686" spans="1:24">
      <c r="A686" s="458">
        <v>97601</v>
      </c>
      <c r="B686" s="459" t="s">
        <v>1388</v>
      </c>
      <c r="C686" s="463">
        <v>5.2711499999999996E-3</v>
      </c>
      <c r="D686" s="463">
        <v>5.5599999999999998E-3</v>
      </c>
      <c r="E686" s="464">
        <v>34911285</v>
      </c>
      <c r="F686" s="464"/>
      <c r="G686" s="461">
        <v>3890151</v>
      </c>
      <c r="H686" s="461">
        <v>9343788</v>
      </c>
      <c r="I686" s="461">
        <v>1483528</v>
      </c>
      <c r="J686" s="464">
        <v>231740</v>
      </c>
      <c r="K686" s="464">
        <v>14949207</v>
      </c>
      <c r="L686" s="464"/>
      <c r="M686" s="461">
        <v>83748</v>
      </c>
      <c r="N686" s="461">
        <v>0</v>
      </c>
      <c r="O686" s="461">
        <v>0</v>
      </c>
      <c r="P686" s="464">
        <v>973447</v>
      </c>
      <c r="Q686" s="464">
        <v>1057195</v>
      </c>
      <c r="R686" s="464"/>
      <c r="S686" s="461">
        <v>10027493</v>
      </c>
      <c r="T686" s="462">
        <v>-272228</v>
      </c>
      <c r="U686" s="462">
        <v>9755265</v>
      </c>
      <c r="W686" s="464">
        <v>60482430</v>
      </c>
      <c r="X686" s="464">
        <v>13858723</v>
      </c>
    </row>
    <row r="687" spans="1:24">
      <c r="A687" s="458">
        <v>97607</v>
      </c>
      <c r="B687" s="459" t="s">
        <v>1389</v>
      </c>
      <c r="C687" s="463">
        <v>3.0589999999999997E-5</v>
      </c>
      <c r="D687" s="463">
        <v>2.9099999999999999E-5</v>
      </c>
      <c r="E687" s="464">
        <v>202600</v>
      </c>
      <c r="F687" s="464"/>
      <c r="G687" s="461">
        <v>22576</v>
      </c>
      <c r="H687" s="461">
        <v>54225</v>
      </c>
      <c r="I687" s="461">
        <v>8609</v>
      </c>
      <c r="J687" s="464">
        <v>24120</v>
      </c>
      <c r="K687" s="464">
        <v>109530</v>
      </c>
      <c r="L687" s="464"/>
      <c r="M687" s="461">
        <v>486</v>
      </c>
      <c r="N687" s="461">
        <v>0</v>
      </c>
      <c r="O687" s="461">
        <v>0</v>
      </c>
      <c r="P687" s="464">
        <v>0</v>
      </c>
      <c r="Q687" s="464">
        <v>486</v>
      </c>
      <c r="R687" s="464"/>
      <c r="S687" s="461">
        <v>58192</v>
      </c>
      <c r="T687" s="462">
        <v>16248</v>
      </c>
      <c r="U687" s="462">
        <v>74440</v>
      </c>
      <c r="W687" s="464">
        <v>350997</v>
      </c>
      <c r="X687" s="464">
        <v>80426</v>
      </c>
    </row>
    <row r="688" spans="1:24">
      <c r="A688" s="458">
        <v>97611</v>
      </c>
      <c r="B688" s="459" t="s">
        <v>1390</v>
      </c>
      <c r="C688" s="463">
        <v>2.3424800000000001E-3</v>
      </c>
      <c r="D688" s="463">
        <v>2.3846000000000002E-3</v>
      </c>
      <c r="E688" s="464">
        <v>15514449</v>
      </c>
      <c r="F688" s="464"/>
      <c r="G688" s="461">
        <v>1728769</v>
      </c>
      <c r="H688" s="461">
        <v>4152346</v>
      </c>
      <c r="I688" s="461">
        <v>659275</v>
      </c>
      <c r="J688" s="464">
        <v>1292</v>
      </c>
      <c r="K688" s="464">
        <v>6541682</v>
      </c>
      <c r="L688" s="464"/>
      <c r="M688" s="461">
        <v>37217</v>
      </c>
      <c r="N688" s="461">
        <v>0</v>
      </c>
      <c r="O688" s="461">
        <v>0</v>
      </c>
      <c r="P688" s="464">
        <v>69334</v>
      </c>
      <c r="Q688" s="464">
        <v>106551</v>
      </c>
      <c r="R688" s="464"/>
      <c r="S688" s="461">
        <v>4456182</v>
      </c>
      <c r="T688" s="462">
        <v>17069</v>
      </c>
      <c r="U688" s="462">
        <v>4473251</v>
      </c>
      <c r="W688" s="464">
        <v>26878173</v>
      </c>
      <c r="X688" s="464">
        <v>6158766</v>
      </c>
    </row>
    <row r="689" spans="1:24">
      <c r="A689" s="458">
        <v>97613</v>
      </c>
      <c r="B689" s="459" t="s">
        <v>1391</v>
      </c>
      <c r="C689" s="463">
        <v>8.9120000000000001E-5</v>
      </c>
      <c r="D689" s="463">
        <v>8.3100000000000001E-5</v>
      </c>
      <c r="E689" s="464">
        <v>590250</v>
      </c>
      <c r="F689" s="464"/>
      <c r="G689" s="461">
        <v>65771</v>
      </c>
      <c r="H689" s="461">
        <v>157977</v>
      </c>
      <c r="I689" s="461">
        <v>25082</v>
      </c>
      <c r="J689" s="464">
        <v>46510</v>
      </c>
      <c r="K689" s="464">
        <v>295340</v>
      </c>
      <c r="L689" s="464"/>
      <c r="M689" s="461">
        <v>1416</v>
      </c>
      <c r="N689" s="461">
        <v>0</v>
      </c>
      <c r="O689" s="461">
        <v>0</v>
      </c>
      <c r="P689" s="464">
        <v>18186</v>
      </c>
      <c r="Q689" s="464">
        <v>19602</v>
      </c>
      <c r="R689" s="464"/>
      <c r="S689" s="461">
        <v>169536</v>
      </c>
      <c r="T689" s="462">
        <v>18295</v>
      </c>
      <c r="U689" s="462">
        <v>187831</v>
      </c>
      <c r="W689" s="464">
        <v>1022584</v>
      </c>
      <c r="X689" s="464">
        <v>234311</v>
      </c>
    </row>
    <row r="690" spans="1:24">
      <c r="A690" s="458">
        <v>97621</v>
      </c>
      <c r="B690" s="459" t="s">
        <v>1392</v>
      </c>
      <c r="C690" s="463">
        <v>3.4103999999999997E-4</v>
      </c>
      <c r="D690" s="463">
        <v>3.8759999999999999E-4</v>
      </c>
      <c r="E690" s="464">
        <v>2258738</v>
      </c>
      <c r="F690" s="464"/>
      <c r="G690" s="461">
        <v>251690</v>
      </c>
      <c r="H690" s="461">
        <v>604537</v>
      </c>
      <c r="I690" s="461">
        <v>95983</v>
      </c>
      <c r="J690" s="464">
        <v>0</v>
      </c>
      <c r="K690" s="464">
        <v>952210</v>
      </c>
      <c r="L690" s="464"/>
      <c r="M690" s="461">
        <v>5418</v>
      </c>
      <c r="N690" s="461">
        <v>0</v>
      </c>
      <c r="O690" s="461">
        <v>0</v>
      </c>
      <c r="P690" s="464">
        <v>131913</v>
      </c>
      <c r="Q690" s="464">
        <v>137331</v>
      </c>
      <c r="R690" s="464"/>
      <c r="S690" s="461">
        <v>648772</v>
      </c>
      <c r="T690" s="462">
        <v>-80847</v>
      </c>
      <c r="U690" s="462">
        <v>567925</v>
      </c>
      <c r="W690" s="464">
        <v>3913174</v>
      </c>
      <c r="X690" s="464">
        <v>896650</v>
      </c>
    </row>
    <row r="691" spans="1:24">
      <c r="A691" s="458">
        <v>97623</v>
      </c>
      <c r="B691" s="459" t="s">
        <v>1393</v>
      </c>
      <c r="C691" s="463">
        <v>2.2940000000000001E-5</v>
      </c>
      <c r="D691" s="463">
        <v>2.5700000000000001E-5</v>
      </c>
      <c r="E691" s="464">
        <v>151934</v>
      </c>
      <c r="F691" s="464"/>
      <c r="G691" s="461">
        <v>16930</v>
      </c>
      <c r="H691" s="461">
        <v>40664</v>
      </c>
      <c r="I691" s="461">
        <v>6456</v>
      </c>
      <c r="J691" s="464">
        <v>1828</v>
      </c>
      <c r="K691" s="464">
        <v>65878</v>
      </c>
      <c r="L691" s="464"/>
      <c r="M691" s="461">
        <v>364</v>
      </c>
      <c r="N691" s="461">
        <v>0</v>
      </c>
      <c r="O691" s="461">
        <v>0</v>
      </c>
      <c r="P691" s="464">
        <v>6930</v>
      </c>
      <c r="Q691" s="464">
        <v>7294</v>
      </c>
      <c r="R691" s="464"/>
      <c r="S691" s="461">
        <v>43640</v>
      </c>
      <c r="T691" s="462">
        <v>-631</v>
      </c>
      <c r="U691" s="462">
        <v>43009</v>
      </c>
      <c r="W691" s="464">
        <v>263219</v>
      </c>
      <c r="X691" s="464">
        <v>60313</v>
      </c>
    </row>
    <row r="692" spans="1:24">
      <c r="A692" s="458">
        <v>97627</v>
      </c>
      <c r="B692" s="459" t="s">
        <v>1394</v>
      </c>
      <c r="C692" s="463">
        <v>5.5899999999999998E-6</v>
      </c>
      <c r="D692" s="463">
        <v>2.6000000000000001E-6</v>
      </c>
      <c r="E692" s="464">
        <v>37023</v>
      </c>
      <c r="F692" s="464"/>
      <c r="G692" s="461">
        <v>4125</v>
      </c>
      <c r="H692" s="461">
        <v>9909</v>
      </c>
      <c r="I692" s="461">
        <v>1573</v>
      </c>
      <c r="J692" s="464">
        <v>15540</v>
      </c>
      <c r="K692" s="464">
        <v>31147</v>
      </c>
      <c r="L692" s="464"/>
      <c r="M692" s="461">
        <v>89</v>
      </c>
      <c r="N692" s="461">
        <v>0</v>
      </c>
      <c r="O692" s="461">
        <v>0</v>
      </c>
      <c r="P692" s="464">
        <v>1164</v>
      </c>
      <c r="Q692" s="464">
        <v>1253</v>
      </c>
      <c r="R692" s="464"/>
      <c r="S692" s="461">
        <v>10634</v>
      </c>
      <c r="T692" s="462">
        <v>4143</v>
      </c>
      <c r="U692" s="462">
        <v>14777</v>
      </c>
      <c r="W692" s="464">
        <v>64141</v>
      </c>
      <c r="X692" s="464">
        <v>14697</v>
      </c>
    </row>
    <row r="693" spans="1:24">
      <c r="A693" s="458">
        <v>97631</v>
      </c>
      <c r="B693" s="459" t="s">
        <v>1395</v>
      </c>
      <c r="C693" s="463">
        <v>2.2893999999999999E-4</v>
      </c>
      <c r="D693" s="463">
        <v>2.042E-4</v>
      </c>
      <c r="E693" s="464">
        <v>1516290</v>
      </c>
      <c r="F693" s="464"/>
      <c r="G693" s="461">
        <v>168960</v>
      </c>
      <c r="H693" s="461">
        <v>405825</v>
      </c>
      <c r="I693" s="461">
        <v>64434</v>
      </c>
      <c r="J693" s="464">
        <v>74066</v>
      </c>
      <c r="K693" s="464">
        <v>713285</v>
      </c>
      <c r="L693" s="464"/>
      <c r="M693" s="461">
        <v>3637</v>
      </c>
      <c r="N693" s="461">
        <v>0</v>
      </c>
      <c r="O693" s="461">
        <v>0</v>
      </c>
      <c r="P693" s="464">
        <v>8346</v>
      </c>
      <c r="Q693" s="464">
        <v>11983</v>
      </c>
      <c r="R693" s="464"/>
      <c r="S693" s="461">
        <v>435521</v>
      </c>
      <c r="T693" s="462">
        <v>17520</v>
      </c>
      <c r="U693" s="462">
        <v>453041</v>
      </c>
      <c r="W693" s="464">
        <v>2626912</v>
      </c>
      <c r="X693" s="464">
        <v>601921</v>
      </c>
    </row>
    <row r="694" spans="1:24">
      <c r="A694" s="458">
        <v>97637</v>
      </c>
      <c r="B694" s="459" t="s">
        <v>1396</v>
      </c>
      <c r="C694" s="463">
        <v>4.0099999999999997E-6</v>
      </c>
      <c r="D694" s="463">
        <v>3.8E-6</v>
      </c>
      <c r="E694" s="464">
        <v>26559</v>
      </c>
      <c r="F694" s="464"/>
      <c r="G694" s="461">
        <v>2959</v>
      </c>
      <c r="H694" s="461">
        <v>7108</v>
      </c>
      <c r="I694" s="461">
        <v>1129</v>
      </c>
      <c r="J694" s="464">
        <v>4739</v>
      </c>
      <c r="K694" s="464">
        <v>15935</v>
      </c>
      <c r="L694" s="464"/>
      <c r="M694" s="461">
        <v>64</v>
      </c>
      <c r="N694" s="461">
        <v>0</v>
      </c>
      <c r="O694" s="461">
        <v>0</v>
      </c>
      <c r="P694" s="464">
        <v>133</v>
      </c>
      <c r="Q694" s="464">
        <v>197</v>
      </c>
      <c r="R694" s="464"/>
      <c r="S694" s="461">
        <v>7628</v>
      </c>
      <c r="T694" s="462">
        <v>1566</v>
      </c>
      <c r="U694" s="462">
        <v>9194</v>
      </c>
      <c r="W694" s="464">
        <v>46012</v>
      </c>
      <c r="X694" s="464">
        <v>10543</v>
      </c>
    </row>
    <row r="695" spans="1:24">
      <c r="A695" s="458">
        <v>97641</v>
      </c>
      <c r="B695" s="459" t="s">
        <v>1397</v>
      </c>
      <c r="C695" s="463">
        <v>9.2689999999999995E-5</v>
      </c>
      <c r="D695" s="463">
        <v>1.091E-4</v>
      </c>
      <c r="E695" s="464">
        <v>613894</v>
      </c>
      <c r="F695" s="464"/>
      <c r="G695" s="461">
        <v>68406</v>
      </c>
      <c r="H695" s="461">
        <v>164305</v>
      </c>
      <c r="I695" s="461">
        <v>26087</v>
      </c>
      <c r="J695" s="464">
        <v>52840</v>
      </c>
      <c r="K695" s="464">
        <v>311638</v>
      </c>
      <c r="L695" s="464"/>
      <c r="M695" s="461">
        <v>1473</v>
      </c>
      <c r="N695" s="461">
        <v>0</v>
      </c>
      <c r="O695" s="461">
        <v>0</v>
      </c>
      <c r="P695" s="464">
        <v>37824</v>
      </c>
      <c r="Q695" s="464">
        <v>39297</v>
      </c>
      <c r="R695" s="464"/>
      <c r="S695" s="461">
        <v>176327</v>
      </c>
      <c r="T695" s="462">
        <v>26349</v>
      </c>
      <c r="U695" s="462">
        <v>202676</v>
      </c>
      <c r="W695" s="464">
        <v>1063547</v>
      </c>
      <c r="X695" s="464">
        <v>243697</v>
      </c>
    </row>
    <row r="696" spans="1:24">
      <c r="A696" s="458">
        <v>97651</v>
      </c>
      <c r="B696" s="459" t="s">
        <v>1398</v>
      </c>
      <c r="C696" s="463">
        <v>4.8492000000000001E-4</v>
      </c>
      <c r="D696" s="463">
        <v>5.373E-4</v>
      </c>
      <c r="E696" s="464">
        <v>3211667</v>
      </c>
      <c r="F696" s="464"/>
      <c r="G696" s="461">
        <v>357875</v>
      </c>
      <c r="H696" s="461">
        <v>859583</v>
      </c>
      <c r="I696" s="461">
        <v>136477</v>
      </c>
      <c r="J696" s="464">
        <v>55127</v>
      </c>
      <c r="K696" s="464">
        <v>1409062</v>
      </c>
      <c r="L696" s="464"/>
      <c r="M696" s="461">
        <v>7704</v>
      </c>
      <c r="N696" s="461">
        <v>0</v>
      </c>
      <c r="O696" s="461">
        <v>0</v>
      </c>
      <c r="P696" s="464">
        <v>191375</v>
      </c>
      <c r="Q696" s="464">
        <v>199079</v>
      </c>
      <c r="R696" s="464"/>
      <c r="S696" s="461">
        <v>922480</v>
      </c>
      <c r="T696" s="462">
        <v>-65974</v>
      </c>
      <c r="U696" s="462">
        <v>856506</v>
      </c>
      <c r="W696" s="464">
        <v>5564087</v>
      </c>
      <c r="X696" s="464">
        <v>1274935</v>
      </c>
    </row>
    <row r="697" spans="1:24">
      <c r="A697" s="458">
        <v>97661</v>
      </c>
      <c r="B697" s="459" t="s">
        <v>1399</v>
      </c>
      <c r="C697" s="463">
        <v>5.4679999999999998E-5</v>
      </c>
      <c r="D697" s="463">
        <v>4.6699999999999997E-5</v>
      </c>
      <c r="E697" s="464">
        <v>362150</v>
      </c>
      <c r="F697" s="464"/>
      <c r="G697" s="461">
        <v>40354</v>
      </c>
      <c r="H697" s="461">
        <v>96927</v>
      </c>
      <c r="I697" s="461">
        <v>15389</v>
      </c>
      <c r="J697" s="464">
        <v>21267</v>
      </c>
      <c r="K697" s="464">
        <v>173937</v>
      </c>
      <c r="L697" s="464"/>
      <c r="M697" s="461">
        <v>869</v>
      </c>
      <c r="N697" s="461">
        <v>0</v>
      </c>
      <c r="O697" s="461">
        <v>0</v>
      </c>
      <c r="P697" s="464">
        <v>796</v>
      </c>
      <c r="Q697" s="464">
        <v>1665</v>
      </c>
      <c r="R697" s="464"/>
      <c r="S697" s="461">
        <v>104020</v>
      </c>
      <c r="T697" s="462">
        <v>7322</v>
      </c>
      <c r="U697" s="462">
        <v>111342</v>
      </c>
      <c r="W697" s="464">
        <v>627411</v>
      </c>
      <c r="X697" s="464">
        <v>143763</v>
      </c>
    </row>
    <row r="698" spans="1:24">
      <c r="A698" s="458">
        <v>97701</v>
      </c>
      <c r="B698" s="459" t="s">
        <v>1400</v>
      </c>
      <c r="C698" s="463">
        <v>2.30628E-3</v>
      </c>
      <c r="D698" s="463">
        <v>2.3465000000000001E-3</v>
      </c>
      <c r="E698" s="464">
        <v>15274693</v>
      </c>
      <c r="F698" s="464"/>
      <c r="G698" s="461">
        <v>1702053</v>
      </c>
      <c r="H698" s="461">
        <v>4088177</v>
      </c>
      <c r="I698" s="461">
        <v>649086</v>
      </c>
      <c r="J698" s="464">
        <v>81390</v>
      </c>
      <c r="K698" s="464">
        <v>6520706</v>
      </c>
      <c r="L698" s="464"/>
      <c r="M698" s="461">
        <v>36642</v>
      </c>
      <c r="N698" s="461">
        <v>0</v>
      </c>
      <c r="O698" s="461">
        <v>0</v>
      </c>
      <c r="P698" s="464">
        <v>207504</v>
      </c>
      <c r="Q698" s="464">
        <v>244146</v>
      </c>
      <c r="R698" s="464"/>
      <c r="S698" s="461">
        <v>4387317</v>
      </c>
      <c r="T698" s="462">
        <v>-77555</v>
      </c>
      <c r="U698" s="462">
        <v>4309762</v>
      </c>
      <c r="W698" s="464">
        <v>26462806</v>
      </c>
      <c r="X698" s="464">
        <v>6063591</v>
      </c>
    </row>
    <row r="699" spans="1:24">
      <c r="A699" s="458">
        <v>97705</v>
      </c>
      <c r="B699" s="459" t="s">
        <v>1401</v>
      </c>
      <c r="C699" s="463">
        <v>2.3349999999999998E-5</v>
      </c>
      <c r="D699" s="463">
        <v>2.6299999999999999E-5</v>
      </c>
      <c r="E699" s="464">
        <v>154649</v>
      </c>
      <c r="F699" s="464"/>
      <c r="G699" s="461">
        <v>17232</v>
      </c>
      <c r="H699" s="461">
        <v>41391</v>
      </c>
      <c r="I699" s="461">
        <v>6572</v>
      </c>
      <c r="J699" s="464">
        <v>40980</v>
      </c>
      <c r="K699" s="464">
        <v>106175</v>
      </c>
      <c r="L699" s="464"/>
      <c r="M699" s="461">
        <v>371</v>
      </c>
      <c r="N699" s="461">
        <v>0</v>
      </c>
      <c r="O699" s="461">
        <v>0</v>
      </c>
      <c r="P699" s="464">
        <v>3410</v>
      </c>
      <c r="Q699" s="464">
        <v>3781</v>
      </c>
      <c r="R699" s="464"/>
      <c r="S699" s="461">
        <v>44420</v>
      </c>
      <c r="T699" s="462">
        <v>14343</v>
      </c>
      <c r="U699" s="462">
        <v>58763</v>
      </c>
      <c r="W699" s="464">
        <v>267923</v>
      </c>
      <c r="X699" s="464">
        <v>61391</v>
      </c>
    </row>
    <row r="700" spans="1:24">
      <c r="A700" s="458">
        <v>97711</v>
      </c>
      <c r="B700" s="459" t="s">
        <v>1402</v>
      </c>
      <c r="C700" s="463">
        <v>7.7207999999999997E-4</v>
      </c>
      <c r="D700" s="463">
        <v>7.7510000000000003E-4</v>
      </c>
      <c r="E700" s="464">
        <v>5113553</v>
      </c>
      <c r="F700" s="464"/>
      <c r="G700" s="461">
        <v>569801</v>
      </c>
      <c r="H700" s="461">
        <v>1368611</v>
      </c>
      <c r="I700" s="461">
        <v>217297</v>
      </c>
      <c r="J700" s="464">
        <v>16457</v>
      </c>
      <c r="K700" s="464">
        <v>2172166</v>
      </c>
      <c r="L700" s="464"/>
      <c r="M700" s="461">
        <v>12267</v>
      </c>
      <c r="N700" s="461">
        <v>0</v>
      </c>
      <c r="O700" s="461">
        <v>0</v>
      </c>
      <c r="P700" s="464">
        <v>85415</v>
      </c>
      <c r="Q700" s="464">
        <v>97682</v>
      </c>
      <c r="R700" s="464"/>
      <c r="S700" s="461">
        <v>1468755</v>
      </c>
      <c r="T700" s="462">
        <v>-42231</v>
      </c>
      <c r="U700" s="462">
        <v>1426524</v>
      </c>
      <c r="W700" s="464">
        <v>8859030</v>
      </c>
      <c r="X700" s="464">
        <v>2029926</v>
      </c>
    </row>
    <row r="701" spans="1:24">
      <c r="A701" s="458">
        <v>97713</v>
      </c>
      <c r="B701" s="459" t="s">
        <v>1403</v>
      </c>
      <c r="C701" s="463">
        <v>6.6069999999999996E-5</v>
      </c>
      <c r="D701" s="463">
        <v>7.5400000000000003E-5</v>
      </c>
      <c r="E701" s="464">
        <v>437587</v>
      </c>
      <c r="F701" s="464"/>
      <c r="G701" s="461">
        <v>48760</v>
      </c>
      <c r="H701" s="461">
        <v>117118</v>
      </c>
      <c r="I701" s="461">
        <v>18595</v>
      </c>
      <c r="J701" s="464">
        <v>17478</v>
      </c>
      <c r="K701" s="464">
        <v>201951</v>
      </c>
      <c r="L701" s="464"/>
      <c r="M701" s="461">
        <v>1050</v>
      </c>
      <c r="N701" s="461">
        <v>0</v>
      </c>
      <c r="O701" s="461">
        <v>0</v>
      </c>
      <c r="P701" s="464">
        <v>35314</v>
      </c>
      <c r="Q701" s="464">
        <v>36364</v>
      </c>
      <c r="R701" s="464"/>
      <c r="S701" s="461">
        <v>125687</v>
      </c>
      <c r="T701" s="462">
        <v>-1466</v>
      </c>
      <c r="U701" s="462">
        <v>124221</v>
      </c>
      <c r="W701" s="464">
        <v>758103</v>
      </c>
      <c r="X701" s="464">
        <v>173709</v>
      </c>
    </row>
    <row r="702" spans="1:24">
      <c r="A702" s="458">
        <v>97717</v>
      </c>
      <c r="B702" s="459" t="s">
        <v>1404</v>
      </c>
      <c r="C702" s="463">
        <v>9.5899999999999997E-6</v>
      </c>
      <c r="D702" s="463">
        <v>1.0200000000000001E-5</v>
      </c>
      <c r="E702" s="464">
        <v>63515</v>
      </c>
      <c r="F702" s="464"/>
      <c r="G702" s="461">
        <v>7077</v>
      </c>
      <c r="H702" s="461">
        <v>17000</v>
      </c>
      <c r="I702" s="461">
        <v>2699</v>
      </c>
      <c r="J702" s="464">
        <v>6706</v>
      </c>
      <c r="K702" s="464">
        <v>33482</v>
      </c>
      <c r="L702" s="464"/>
      <c r="M702" s="461">
        <v>152</v>
      </c>
      <c r="N702" s="461">
        <v>0</v>
      </c>
      <c r="O702" s="461">
        <v>0</v>
      </c>
      <c r="P702" s="464">
        <v>7595</v>
      </c>
      <c r="Q702" s="464">
        <v>7747</v>
      </c>
      <c r="R702" s="464"/>
      <c r="S702" s="461">
        <v>18243</v>
      </c>
      <c r="T702" s="462">
        <v>3122</v>
      </c>
      <c r="U702" s="462">
        <v>21365</v>
      </c>
      <c r="W702" s="464">
        <v>110038</v>
      </c>
      <c r="X702" s="464">
        <v>25214</v>
      </c>
    </row>
    <row r="703" spans="1:24">
      <c r="A703" s="458">
        <v>97721</v>
      </c>
      <c r="B703" s="459" t="s">
        <v>1405</v>
      </c>
      <c r="C703" s="463">
        <v>4.6153999999999998E-4</v>
      </c>
      <c r="D703" s="463">
        <v>5.0299999999999997E-4</v>
      </c>
      <c r="E703" s="464">
        <v>3056820</v>
      </c>
      <c r="F703" s="464"/>
      <c r="G703" s="461">
        <v>340620</v>
      </c>
      <c r="H703" s="461">
        <v>818139</v>
      </c>
      <c r="I703" s="461">
        <v>129897</v>
      </c>
      <c r="J703" s="464">
        <v>27393</v>
      </c>
      <c r="K703" s="464">
        <v>1316049</v>
      </c>
      <c r="L703" s="464"/>
      <c r="M703" s="461">
        <v>7333</v>
      </c>
      <c r="N703" s="461">
        <v>0</v>
      </c>
      <c r="O703" s="461">
        <v>0</v>
      </c>
      <c r="P703" s="464">
        <v>145328</v>
      </c>
      <c r="Q703" s="464">
        <v>152661</v>
      </c>
      <c r="R703" s="464"/>
      <c r="S703" s="461">
        <v>878004</v>
      </c>
      <c r="T703" s="462">
        <v>-83380</v>
      </c>
      <c r="U703" s="462">
        <v>794624</v>
      </c>
      <c r="W703" s="464">
        <v>5295820</v>
      </c>
      <c r="X703" s="464">
        <v>1213465</v>
      </c>
    </row>
    <row r="704" spans="1:24">
      <c r="A704" s="458">
        <v>97727</v>
      </c>
      <c r="B704" s="459" t="s">
        <v>1406</v>
      </c>
      <c r="C704" s="463">
        <v>1.6799999999999998E-5</v>
      </c>
      <c r="D704" s="463">
        <v>2.1100000000000001E-5</v>
      </c>
      <c r="E704" s="464">
        <v>111268</v>
      </c>
      <c r="F704" s="464"/>
      <c r="G704" s="461">
        <v>12399</v>
      </c>
      <c r="H704" s="461">
        <v>29780</v>
      </c>
      <c r="I704" s="461">
        <v>4728</v>
      </c>
      <c r="J704" s="464">
        <v>4966</v>
      </c>
      <c r="K704" s="464">
        <v>51873</v>
      </c>
      <c r="L704" s="464"/>
      <c r="M704" s="461">
        <v>267</v>
      </c>
      <c r="N704" s="461">
        <v>0</v>
      </c>
      <c r="O704" s="461">
        <v>0</v>
      </c>
      <c r="P704" s="464">
        <v>8084</v>
      </c>
      <c r="Q704" s="464">
        <v>8351</v>
      </c>
      <c r="R704" s="464"/>
      <c r="S704" s="461">
        <v>31959</v>
      </c>
      <c r="T704" s="462">
        <v>1511</v>
      </c>
      <c r="U704" s="462">
        <v>33470</v>
      </c>
      <c r="W704" s="464">
        <v>192767</v>
      </c>
      <c r="X704" s="464">
        <v>44170</v>
      </c>
    </row>
    <row r="705" spans="1:24">
      <c r="A705" s="458">
        <v>97731</v>
      </c>
      <c r="B705" s="459" t="s">
        <v>1407</v>
      </c>
      <c r="C705" s="463">
        <v>2.8540000000000001E-5</v>
      </c>
      <c r="D705" s="463">
        <v>3.1900000000000003E-5</v>
      </c>
      <c r="E705" s="464">
        <v>189023</v>
      </c>
      <c r="F705" s="464"/>
      <c r="G705" s="461">
        <v>21063</v>
      </c>
      <c r="H705" s="461">
        <v>50591</v>
      </c>
      <c r="I705" s="461">
        <v>8032</v>
      </c>
      <c r="J705" s="464">
        <v>2357</v>
      </c>
      <c r="K705" s="464">
        <v>82043</v>
      </c>
      <c r="L705" s="464"/>
      <c r="M705" s="461">
        <v>453</v>
      </c>
      <c r="N705" s="461">
        <v>0</v>
      </c>
      <c r="O705" s="461">
        <v>0</v>
      </c>
      <c r="P705" s="464">
        <v>6419</v>
      </c>
      <c r="Q705" s="464">
        <v>6872</v>
      </c>
      <c r="R705" s="464"/>
      <c r="S705" s="461">
        <v>54293</v>
      </c>
      <c r="T705" s="462">
        <v>-857</v>
      </c>
      <c r="U705" s="462">
        <v>53436</v>
      </c>
      <c r="W705" s="464">
        <v>327475</v>
      </c>
      <c r="X705" s="464">
        <v>75036</v>
      </c>
    </row>
    <row r="706" spans="1:24">
      <c r="A706" s="458">
        <v>97801</v>
      </c>
      <c r="B706" s="459" t="s">
        <v>1408</v>
      </c>
      <c r="C706" s="463">
        <v>6.1058099999999997E-3</v>
      </c>
      <c r="D706" s="463">
        <v>6.2237000000000004E-3</v>
      </c>
      <c r="E706" s="464">
        <v>40439311</v>
      </c>
      <c r="F706" s="464"/>
      <c r="G706" s="461">
        <v>4506137</v>
      </c>
      <c r="H706" s="461">
        <v>10823330</v>
      </c>
      <c r="I706" s="461">
        <v>1718437</v>
      </c>
      <c r="J706" s="464">
        <v>373821</v>
      </c>
      <c r="K706" s="464">
        <v>17421725</v>
      </c>
      <c r="L706" s="464"/>
      <c r="M706" s="461">
        <v>97009</v>
      </c>
      <c r="N706" s="461">
        <v>0</v>
      </c>
      <c r="O706" s="461">
        <v>0</v>
      </c>
      <c r="P706" s="464">
        <v>60984</v>
      </c>
      <c r="Q706" s="464">
        <v>157993</v>
      </c>
      <c r="R706" s="464"/>
      <c r="S706" s="461">
        <v>11615296</v>
      </c>
      <c r="T706" s="462">
        <v>268324</v>
      </c>
      <c r="U706" s="462">
        <v>11883620</v>
      </c>
      <c r="W706" s="464">
        <v>70059517</v>
      </c>
      <c r="X706" s="464">
        <v>16053182</v>
      </c>
    </row>
    <row r="707" spans="1:24">
      <c r="A707" s="458">
        <v>97802</v>
      </c>
      <c r="B707" s="459" t="s">
        <v>1409</v>
      </c>
      <c r="C707" s="463">
        <v>1.1375E-4</v>
      </c>
      <c r="D707" s="463">
        <v>1.4200000000000001E-4</v>
      </c>
      <c r="E707" s="464">
        <v>753376</v>
      </c>
      <c r="F707" s="464"/>
      <c r="G707" s="461">
        <v>83948</v>
      </c>
      <c r="H707" s="461">
        <v>201636</v>
      </c>
      <c r="I707" s="461">
        <v>32014</v>
      </c>
      <c r="J707" s="464">
        <v>0</v>
      </c>
      <c r="K707" s="464">
        <v>317598</v>
      </c>
      <c r="L707" s="464"/>
      <c r="M707" s="461">
        <v>1807</v>
      </c>
      <c r="N707" s="461">
        <v>0</v>
      </c>
      <c r="O707" s="461">
        <v>0</v>
      </c>
      <c r="P707" s="464">
        <v>80278</v>
      </c>
      <c r="Q707" s="464">
        <v>82085</v>
      </c>
      <c r="R707" s="464"/>
      <c r="S707" s="461">
        <v>216391</v>
      </c>
      <c r="T707" s="462">
        <v>-40815</v>
      </c>
      <c r="U707" s="462">
        <v>175576</v>
      </c>
      <c r="W707" s="464">
        <v>1305195</v>
      </c>
      <c r="X707" s="464">
        <v>299068</v>
      </c>
    </row>
    <row r="708" spans="1:24">
      <c r="A708" s="458">
        <v>97803</v>
      </c>
      <c r="B708" s="459" t="s">
        <v>1410</v>
      </c>
      <c r="C708" s="463">
        <v>7.5900000000000002E-5</v>
      </c>
      <c r="D708" s="463">
        <v>7.6000000000000004E-5</v>
      </c>
      <c r="E708" s="464">
        <v>502692</v>
      </c>
      <c r="F708" s="464"/>
      <c r="G708" s="461">
        <v>56015</v>
      </c>
      <c r="H708" s="461">
        <v>134542</v>
      </c>
      <c r="I708" s="461">
        <v>21362</v>
      </c>
      <c r="J708" s="464">
        <v>7498</v>
      </c>
      <c r="K708" s="464">
        <v>219417</v>
      </c>
      <c r="L708" s="464"/>
      <c r="M708" s="461">
        <v>1206</v>
      </c>
      <c r="N708" s="461">
        <v>0</v>
      </c>
      <c r="O708" s="461">
        <v>0</v>
      </c>
      <c r="P708" s="464">
        <v>6382</v>
      </c>
      <c r="Q708" s="464">
        <v>7588</v>
      </c>
      <c r="R708" s="464"/>
      <c r="S708" s="461">
        <v>144387</v>
      </c>
      <c r="T708" s="462">
        <v>1104</v>
      </c>
      <c r="U708" s="462">
        <v>145491</v>
      </c>
      <c r="W708" s="464">
        <v>870895</v>
      </c>
      <c r="X708" s="464">
        <v>199554</v>
      </c>
    </row>
    <row r="709" spans="1:24">
      <c r="A709" s="458">
        <v>97805</v>
      </c>
      <c r="B709" s="459" t="s">
        <v>1411</v>
      </c>
      <c r="C709" s="463">
        <v>8.5489999999999996E-5</v>
      </c>
      <c r="D709" s="463">
        <v>8.0699999999999996E-5</v>
      </c>
      <c r="E709" s="464">
        <v>566208</v>
      </c>
      <c r="F709" s="464"/>
      <c r="G709" s="461">
        <v>63092</v>
      </c>
      <c r="H709" s="461">
        <v>151542</v>
      </c>
      <c r="I709" s="461">
        <v>24061</v>
      </c>
      <c r="J709" s="464">
        <v>5531</v>
      </c>
      <c r="K709" s="464">
        <v>244226</v>
      </c>
      <c r="L709" s="464"/>
      <c r="M709" s="461">
        <v>1358</v>
      </c>
      <c r="N709" s="461">
        <v>0</v>
      </c>
      <c r="O709" s="461">
        <v>0</v>
      </c>
      <c r="P709" s="464">
        <v>4571</v>
      </c>
      <c r="Q709" s="464">
        <v>5929</v>
      </c>
      <c r="R709" s="464"/>
      <c r="S709" s="461">
        <v>162631</v>
      </c>
      <c r="T709" s="462">
        <v>-1902</v>
      </c>
      <c r="U709" s="462">
        <v>160729</v>
      </c>
      <c r="W709" s="464">
        <v>980933</v>
      </c>
      <c r="X709" s="464">
        <v>224767</v>
      </c>
    </row>
    <row r="710" spans="1:24">
      <c r="A710" s="458">
        <v>97811</v>
      </c>
      <c r="B710" s="459" t="s">
        <v>1412</v>
      </c>
      <c r="C710" s="463">
        <v>2.0082699999999999E-3</v>
      </c>
      <c r="D710" s="463">
        <v>2.1681000000000001E-3</v>
      </c>
      <c r="E710" s="464">
        <v>13300947</v>
      </c>
      <c r="F710" s="464"/>
      <c r="G710" s="461">
        <v>1482119</v>
      </c>
      <c r="H710" s="461">
        <v>3559916</v>
      </c>
      <c r="I710" s="461">
        <v>565214</v>
      </c>
      <c r="J710" s="464">
        <v>5015</v>
      </c>
      <c r="K710" s="464">
        <v>5612264</v>
      </c>
      <c r="L710" s="464"/>
      <c r="M710" s="461">
        <v>31907</v>
      </c>
      <c r="N710" s="461">
        <v>0</v>
      </c>
      <c r="O710" s="461">
        <v>0</v>
      </c>
      <c r="P710" s="464">
        <v>410044</v>
      </c>
      <c r="Q710" s="464">
        <v>441951</v>
      </c>
      <c r="R710" s="464"/>
      <c r="S710" s="461">
        <v>3820402</v>
      </c>
      <c r="T710" s="462">
        <v>-215450</v>
      </c>
      <c r="U710" s="462">
        <v>3604952</v>
      </c>
      <c r="W710" s="464">
        <v>23043368</v>
      </c>
      <c r="X710" s="464">
        <v>5280073</v>
      </c>
    </row>
    <row r="711" spans="1:24">
      <c r="A711" s="458">
        <v>97817</v>
      </c>
      <c r="B711" s="459" t="s">
        <v>1413</v>
      </c>
      <c r="C711" s="463">
        <v>2.3419999999999999E-5</v>
      </c>
      <c r="D711" s="463">
        <v>2.27E-5</v>
      </c>
      <c r="E711" s="464">
        <v>155113</v>
      </c>
      <c r="F711" s="464"/>
      <c r="G711" s="461">
        <v>17284</v>
      </c>
      <c r="H711" s="461">
        <v>41515</v>
      </c>
      <c r="I711" s="461">
        <v>6591</v>
      </c>
      <c r="J711" s="464">
        <v>14383</v>
      </c>
      <c r="K711" s="464">
        <v>79773</v>
      </c>
      <c r="L711" s="464"/>
      <c r="M711" s="461">
        <v>372</v>
      </c>
      <c r="N711" s="461">
        <v>0</v>
      </c>
      <c r="O711" s="461">
        <v>0</v>
      </c>
      <c r="P711" s="464">
        <v>0</v>
      </c>
      <c r="Q711" s="464">
        <v>372</v>
      </c>
      <c r="R711" s="464"/>
      <c r="S711" s="461">
        <v>44553</v>
      </c>
      <c r="T711" s="462">
        <v>10033</v>
      </c>
      <c r="U711" s="462">
        <v>54586</v>
      </c>
      <c r="W711" s="464">
        <v>268727</v>
      </c>
      <c r="X711" s="464">
        <v>61575</v>
      </c>
    </row>
    <row r="712" spans="1:24">
      <c r="A712" s="458">
        <v>97818</v>
      </c>
      <c r="B712" s="459" t="s">
        <v>1414</v>
      </c>
      <c r="C712" s="463">
        <v>2.198E-5</v>
      </c>
      <c r="D712" s="463">
        <v>1.5500000000000001E-5</v>
      </c>
      <c r="E712" s="464">
        <v>145575</v>
      </c>
      <c r="F712" s="464"/>
      <c r="G712" s="461">
        <v>16221</v>
      </c>
      <c r="H712" s="461">
        <v>38962</v>
      </c>
      <c r="I712" s="461">
        <v>6186</v>
      </c>
      <c r="J712" s="464">
        <v>20390</v>
      </c>
      <c r="K712" s="464">
        <v>81759</v>
      </c>
      <c r="L712" s="464"/>
      <c r="M712" s="461">
        <v>349</v>
      </c>
      <c r="N712" s="461">
        <v>0</v>
      </c>
      <c r="O712" s="461">
        <v>0</v>
      </c>
      <c r="P712" s="464">
        <v>0</v>
      </c>
      <c r="Q712" s="464">
        <v>349</v>
      </c>
      <c r="R712" s="464"/>
      <c r="S712" s="461">
        <v>41813</v>
      </c>
      <c r="T712" s="462">
        <v>6574</v>
      </c>
      <c r="U712" s="462">
        <v>48387</v>
      </c>
      <c r="W712" s="464">
        <v>252204</v>
      </c>
      <c r="X712" s="464">
        <v>57789</v>
      </c>
    </row>
    <row r="713" spans="1:24">
      <c r="A713" s="458">
        <v>97821</v>
      </c>
      <c r="B713" s="459" t="s">
        <v>1415</v>
      </c>
      <c r="C713" s="463">
        <v>1.2491999999999999E-4</v>
      </c>
      <c r="D713" s="463">
        <v>1.4630000000000001E-4</v>
      </c>
      <c r="E713" s="464">
        <v>827356</v>
      </c>
      <c r="F713" s="464"/>
      <c r="G713" s="461">
        <v>92192</v>
      </c>
      <c r="H713" s="461">
        <v>221437</v>
      </c>
      <c r="I713" s="461">
        <v>35158</v>
      </c>
      <c r="J713" s="464">
        <v>36667</v>
      </c>
      <c r="K713" s="464">
        <v>385454</v>
      </c>
      <c r="L713" s="464"/>
      <c r="M713" s="461">
        <v>1985</v>
      </c>
      <c r="N713" s="461">
        <v>0</v>
      </c>
      <c r="O713" s="461">
        <v>0</v>
      </c>
      <c r="P713" s="464">
        <v>44301</v>
      </c>
      <c r="Q713" s="464">
        <v>46286</v>
      </c>
      <c r="R713" s="464"/>
      <c r="S713" s="461">
        <v>237640</v>
      </c>
      <c r="T713" s="462">
        <v>5629</v>
      </c>
      <c r="U713" s="462">
        <v>243269</v>
      </c>
      <c r="W713" s="464">
        <v>1433362</v>
      </c>
      <c r="X713" s="464">
        <v>328435</v>
      </c>
    </row>
    <row r="714" spans="1:24">
      <c r="A714" s="458">
        <v>97823</v>
      </c>
      <c r="B714" s="459" t="s">
        <v>1416</v>
      </c>
      <c r="C714" s="463">
        <v>1.5659999999999999E-5</v>
      </c>
      <c r="D714" s="463">
        <v>1.6799999999999998E-5</v>
      </c>
      <c r="E714" s="464">
        <v>103718</v>
      </c>
      <c r="F714" s="464"/>
      <c r="G714" s="461">
        <v>11557</v>
      </c>
      <c r="H714" s="461">
        <v>27759</v>
      </c>
      <c r="I714" s="461">
        <v>4407</v>
      </c>
      <c r="J714" s="464">
        <v>7990</v>
      </c>
      <c r="K714" s="464">
        <v>51713</v>
      </c>
      <c r="L714" s="464"/>
      <c r="M714" s="461">
        <v>249</v>
      </c>
      <c r="N714" s="461">
        <v>0</v>
      </c>
      <c r="O714" s="461">
        <v>0</v>
      </c>
      <c r="P714" s="464">
        <v>2501</v>
      </c>
      <c r="Q714" s="464">
        <v>2750</v>
      </c>
      <c r="R714" s="464"/>
      <c r="S714" s="461">
        <v>29791</v>
      </c>
      <c r="T714" s="462">
        <v>5612</v>
      </c>
      <c r="U714" s="462">
        <v>35403</v>
      </c>
      <c r="W714" s="464">
        <v>179687</v>
      </c>
      <c r="X714" s="464">
        <v>41173</v>
      </c>
    </row>
    <row r="715" spans="1:24">
      <c r="A715" s="458">
        <v>97831</v>
      </c>
      <c r="B715" s="459" t="s">
        <v>1417</v>
      </c>
      <c r="C715" s="463">
        <v>1.9196E-4</v>
      </c>
      <c r="D715" s="463">
        <v>1.8909999999999999E-4</v>
      </c>
      <c r="E715" s="464">
        <v>1271368</v>
      </c>
      <c r="F715" s="464"/>
      <c r="G715" s="461">
        <v>141668</v>
      </c>
      <c r="H715" s="461">
        <v>340274</v>
      </c>
      <c r="I715" s="461">
        <v>54026</v>
      </c>
      <c r="J715" s="464">
        <v>7469</v>
      </c>
      <c r="K715" s="464">
        <v>543437</v>
      </c>
      <c r="L715" s="464"/>
      <c r="M715" s="461">
        <v>3050</v>
      </c>
      <c r="N715" s="461">
        <v>0</v>
      </c>
      <c r="O715" s="461">
        <v>0</v>
      </c>
      <c r="P715" s="464">
        <v>10030</v>
      </c>
      <c r="Q715" s="464">
        <v>13080</v>
      </c>
      <c r="R715" s="464"/>
      <c r="S715" s="461">
        <v>365172</v>
      </c>
      <c r="T715" s="462">
        <v>17376</v>
      </c>
      <c r="U715" s="462">
        <v>382548</v>
      </c>
      <c r="W715" s="464">
        <v>2202595</v>
      </c>
      <c r="X715" s="464">
        <v>504695</v>
      </c>
    </row>
    <row r="716" spans="1:24">
      <c r="A716" s="458">
        <v>97837</v>
      </c>
      <c r="B716" s="459" t="s">
        <v>1418</v>
      </c>
      <c r="C716" s="463">
        <v>1.412E-5</v>
      </c>
      <c r="D716" s="463">
        <v>1.4399999999999999E-5</v>
      </c>
      <c r="E716" s="464">
        <v>93518</v>
      </c>
      <c r="F716" s="464"/>
      <c r="G716" s="461">
        <v>10421</v>
      </c>
      <c r="H716" s="461">
        <v>25030</v>
      </c>
      <c r="I716" s="461">
        <v>3974</v>
      </c>
      <c r="J716" s="464">
        <v>3337</v>
      </c>
      <c r="K716" s="464">
        <v>42762</v>
      </c>
      <c r="L716" s="464"/>
      <c r="M716" s="461">
        <v>224</v>
      </c>
      <c r="N716" s="461">
        <v>0</v>
      </c>
      <c r="O716" s="461">
        <v>0</v>
      </c>
      <c r="P716" s="464">
        <v>4620</v>
      </c>
      <c r="Q716" s="464">
        <v>4844</v>
      </c>
      <c r="R716" s="464"/>
      <c r="S716" s="461">
        <v>26861</v>
      </c>
      <c r="T716" s="462">
        <v>537</v>
      </c>
      <c r="U716" s="462">
        <v>27398</v>
      </c>
      <c r="W716" s="464">
        <v>162016</v>
      </c>
      <c r="X716" s="464">
        <v>37124</v>
      </c>
    </row>
    <row r="717" spans="1:24">
      <c r="A717" s="458">
        <v>97840</v>
      </c>
      <c r="B717" s="459" t="s">
        <v>1419</v>
      </c>
      <c r="C717" s="463">
        <v>1.4001000000000001E-4</v>
      </c>
      <c r="D717" s="463">
        <v>1.537E-4</v>
      </c>
      <c r="E717" s="464">
        <v>927298</v>
      </c>
      <c r="F717" s="464"/>
      <c r="G717" s="461">
        <v>103329</v>
      </c>
      <c r="H717" s="461">
        <v>248186</v>
      </c>
      <c r="I717" s="461">
        <v>39405</v>
      </c>
      <c r="J717" s="464">
        <v>77350</v>
      </c>
      <c r="K717" s="464">
        <v>468270</v>
      </c>
      <c r="L717" s="464"/>
      <c r="M717" s="461">
        <v>2224</v>
      </c>
      <c r="N717" s="461">
        <v>0</v>
      </c>
      <c r="O717" s="461">
        <v>0</v>
      </c>
      <c r="P717" s="464">
        <v>0</v>
      </c>
      <c r="Q717" s="464">
        <v>2224</v>
      </c>
      <c r="R717" s="464"/>
      <c r="S717" s="461">
        <v>266346</v>
      </c>
      <c r="T717" s="462">
        <v>62231</v>
      </c>
      <c r="U717" s="462">
        <v>328577</v>
      </c>
      <c r="W717" s="464">
        <v>1606508</v>
      </c>
      <c r="X717" s="464">
        <v>368109</v>
      </c>
    </row>
    <row r="718" spans="1:24">
      <c r="A718" s="458">
        <v>97841</v>
      </c>
      <c r="B718" s="459" t="s">
        <v>1420</v>
      </c>
      <c r="C718" s="463">
        <v>7.0500000000000003E-6</v>
      </c>
      <c r="D718" s="463">
        <v>1.3499999999999999E-5</v>
      </c>
      <c r="E718" s="464">
        <v>46693</v>
      </c>
      <c r="F718" s="464"/>
      <c r="G718" s="461">
        <v>5203</v>
      </c>
      <c r="H718" s="461">
        <v>12497</v>
      </c>
      <c r="I718" s="461">
        <v>1984</v>
      </c>
      <c r="J718" s="464">
        <v>1730</v>
      </c>
      <c r="K718" s="464">
        <v>21414</v>
      </c>
      <c r="L718" s="464"/>
      <c r="M718" s="461">
        <v>112</v>
      </c>
      <c r="N718" s="461">
        <v>0</v>
      </c>
      <c r="O718" s="461">
        <v>0</v>
      </c>
      <c r="P718" s="464">
        <v>11198</v>
      </c>
      <c r="Q718" s="464">
        <v>11310</v>
      </c>
      <c r="R718" s="464"/>
      <c r="S718" s="461">
        <v>13411</v>
      </c>
      <c r="T718" s="462">
        <v>-2212</v>
      </c>
      <c r="U718" s="462">
        <v>11199</v>
      </c>
      <c r="W718" s="464">
        <v>80893</v>
      </c>
      <c r="X718" s="464">
        <v>18536</v>
      </c>
    </row>
    <row r="719" spans="1:24">
      <c r="A719" s="458">
        <v>97847</v>
      </c>
      <c r="B719" s="459" t="s">
        <v>1421</v>
      </c>
      <c r="C719" s="463">
        <v>1.8500000000000001E-6</v>
      </c>
      <c r="D719" s="463">
        <v>1.9999999999999999E-6</v>
      </c>
      <c r="E719" s="464">
        <v>12253</v>
      </c>
      <c r="F719" s="464"/>
      <c r="G719" s="461">
        <v>1365</v>
      </c>
      <c r="H719" s="461">
        <v>3279</v>
      </c>
      <c r="I719" s="461">
        <v>521</v>
      </c>
      <c r="J719" s="464">
        <v>3422</v>
      </c>
      <c r="K719" s="464">
        <v>8587</v>
      </c>
      <c r="L719" s="464"/>
      <c r="M719" s="461">
        <v>29</v>
      </c>
      <c r="N719" s="461">
        <v>0</v>
      </c>
      <c r="O719" s="461">
        <v>0</v>
      </c>
      <c r="P719" s="464">
        <v>114</v>
      </c>
      <c r="Q719" s="464">
        <v>143</v>
      </c>
      <c r="R719" s="464"/>
      <c r="S719" s="461">
        <v>3519</v>
      </c>
      <c r="T719" s="462">
        <v>2614</v>
      </c>
      <c r="U719" s="462">
        <v>6133</v>
      </c>
      <c r="W719" s="464">
        <v>21227</v>
      </c>
      <c r="X719" s="464">
        <v>4864</v>
      </c>
    </row>
    <row r="720" spans="1:24">
      <c r="A720" s="458">
        <v>97851</v>
      </c>
      <c r="B720" s="459" t="s">
        <v>1422</v>
      </c>
      <c r="C720" s="463">
        <v>2.221E-4</v>
      </c>
      <c r="D720" s="463">
        <v>2.42E-4</v>
      </c>
      <c r="E720" s="464">
        <v>1470988</v>
      </c>
      <c r="F720" s="464"/>
      <c r="G720" s="461">
        <v>163912</v>
      </c>
      <c r="H720" s="461">
        <v>393701</v>
      </c>
      <c r="I720" s="461">
        <v>62508</v>
      </c>
      <c r="J720" s="464">
        <v>0</v>
      </c>
      <c r="K720" s="464">
        <v>620121</v>
      </c>
      <c r="L720" s="464"/>
      <c r="M720" s="461">
        <v>3529</v>
      </c>
      <c r="N720" s="461">
        <v>0</v>
      </c>
      <c r="O720" s="461">
        <v>0</v>
      </c>
      <c r="P720" s="464">
        <v>87588</v>
      </c>
      <c r="Q720" s="464">
        <v>91117</v>
      </c>
      <c r="R720" s="464"/>
      <c r="S720" s="461">
        <v>422509</v>
      </c>
      <c r="T720" s="462">
        <v>-50529</v>
      </c>
      <c r="U720" s="462">
        <v>371980</v>
      </c>
      <c r="W720" s="464">
        <v>2548428</v>
      </c>
      <c r="X720" s="464">
        <v>583938</v>
      </c>
    </row>
    <row r="721" spans="1:24">
      <c r="A721" s="458">
        <v>97853</v>
      </c>
      <c r="B721" s="459" t="s">
        <v>1423</v>
      </c>
      <c r="C721" s="463">
        <v>7.9129999999999996E-5</v>
      </c>
      <c r="D721" s="463">
        <v>8.0799999999999999E-5</v>
      </c>
      <c r="E721" s="464">
        <v>524085</v>
      </c>
      <c r="F721" s="464"/>
      <c r="G721" s="461">
        <v>58399</v>
      </c>
      <c r="H721" s="461">
        <v>140268</v>
      </c>
      <c r="I721" s="461">
        <v>22271</v>
      </c>
      <c r="J721" s="464">
        <v>3334</v>
      </c>
      <c r="K721" s="464">
        <v>224272</v>
      </c>
      <c r="L721" s="464"/>
      <c r="M721" s="461">
        <v>1257</v>
      </c>
      <c r="N721" s="461">
        <v>0</v>
      </c>
      <c r="O721" s="461">
        <v>0</v>
      </c>
      <c r="P721" s="464">
        <v>18381</v>
      </c>
      <c r="Q721" s="464">
        <v>19638</v>
      </c>
      <c r="R721" s="464"/>
      <c r="S721" s="461">
        <v>150532</v>
      </c>
      <c r="T721" s="462">
        <v>-9443</v>
      </c>
      <c r="U721" s="462">
        <v>141089</v>
      </c>
      <c r="W721" s="464">
        <v>907956</v>
      </c>
      <c r="X721" s="464">
        <v>208046</v>
      </c>
    </row>
    <row r="722" spans="1:24">
      <c r="A722" s="458">
        <v>97861</v>
      </c>
      <c r="B722" s="459" t="s">
        <v>1424</v>
      </c>
      <c r="C722" s="463">
        <v>6.8949999999999995E-5</v>
      </c>
      <c r="D722" s="463">
        <v>5.2099999999999999E-5</v>
      </c>
      <c r="E722" s="464">
        <v>456662</v>
      </c>
      <c r="F722" s="464"/>
      <c r="G722" s="461">
        <v>50886</v>
      </c>
      <c r="H722" s="461">
        <v>122223</v>
      </c>
      <c r="I722" s="461">
        <v>19405</v>
      </c>
      <c r="J722" s="464">
        <v>40795</v>
      </c>
      <c r="K722" s="464">
        <v>233309</v>
      </c>
      <c r="L722" s="464"/>
      <c r="M722" s="461">
        <v>1095</v>
      </c>
      <c r="N722" s="461">
        <v>0</v>
      </c>
      <c r="O722" s="461">
        <v>0</v>
      </c>
      <c r="P722" s="464">
        <v>341</v>
      </c>
      <c r="Q722" s="464">
        <v>1436</v>
      </c>
      <c r="R722" s="464"/>
      <c r="S722" s="461">
        <v>131166</v>
      </c>
      <c r="T722" s="462">
        <v>21774</v>
      </c>
      <c r="U722" s="462">
        <v>152940</v>
      </c>
      <c r="W722" s="464">
        <v>791149</v>
      </c>
      <c r="X722" s="464">
        <v>181281</v>
      </c>
    </row>
    <row r="723" spans="1:24">
      <c r="A723" s="458">
        <v>97871</v>
      </c>
      <c r="B723" s="459" t="s">
        <v>1425</v>
      </c>
      <c r="C723" s="463">
        <v>3.1116999999999999E-4</v>
      </c>
      <c r="D723" s="463">
        <v>3.1700000000000001E-4</v>
      </c>
      <c r="E723" s="464">
        <v>2060906</v>
      </c>
      <c r="F723" s="464"/>
      <c r="G723" s="461">
        <v>229646</v>
      </c>
      <c r="H723" s="461">
        <v>551589</v>
      </c>
      <c r="I723" s="461">
        <v>87577</v>
      </c>
      <c r="J723" s="464">
        <v>163393</v>
      </c>
      <c r="K723" s="464">
        <v>1032205</v>
      </c>
      <c r="L723" s="464"/>
      <c r="M723" s="461">
        <v>4944</v>
      </c>
      <c r="N723" s="461">
        <v>0</v>
      </c>
      <c r="O723" s="461">
        <v>0</v>
      </c>
      <c r="P723" s="464">
        <v>4529</v>
      </c>
      <c r="Q723" s="464">
        <v>9473</v>
      </c>
      <c r="R723" s="464"/>
      <c r="S723" s="461">
        <v>591950</v>
      </c>
      <c r="T723" s="462">
        <v>129987</v>
      </c>
      <c r="U723" s="462">
        <v>721937</v>
      </c>
      <c r="W723" s="464">
        <v>3570439</v>
      </c>
      <c r="X723" s="464">
        <v>818117</v>
      </c>
    </row>
    <row r="724" spans="1:24">
      <c r="A724" s="458">
        <v>97877</v>
      </c>
      <c r="B724" s="459" t="s">
        <v>1426</v>
      </c>
      <c r="C724" s="463">
        <v>9.5200000000000003E-6</v>
      </c>
      <c r="D724" s="463">
        <v>1.0000000000000001E-5</v>
      </c>
      <c r="E724" s="464">
        <v>63052</v>
      </c>
      <c r="F724" s="464"/>
      <c r="G724" s="461">
        <v>7026</v>
      </c>
      <c r="H724" s="461">
        <v>16875</v>
      </c>
      <c r="I724" s="461">
        <v>2679</v>
      </c>
      <c r="J724" s="464">
        <v>1124</v>
      </c>
      <c r="K724" s="464">
        <v>27704</v>
      </c>
      <c r="L724" s="464"/>
      <c r="M724" s="461">
        <v>151</v>
      </c>
      <c r="N724" s="461">
        <v>0</v>
      </c>
      <c r="O724" s="461">
        <v>0</v>
      </c>
      <c r="P724" s="464">
        <v>890</v>
      </c>
      <c r="Q724" s="464">
        <v>1041</v>
      </c>
      <c r="R724" s="464"/>
      <c r="S724" s="461">
        <v>18110</v>
      </c>
      <c r="T724" s="462">
        <v>2617</v>
      </c>
      <c r="U724" s="462">
        <v>20727</v>
      </c>
      <c r="W724" s="464">
        <v>109235</v>
      </c>
      <c r="X724" s="464">
        <v>25030</v>
      </c>
    </row>
    <row r="725" spans="1:24">
      <c r="A725" s="458">
        <v>97901</v>
      </c>
      <c r="B725" s="459" t="s">
        <v>1427</v>
      </c>
      <c r="C725" s="463">
        <v>3.4248899999999999E-3</v>
      </c>
      <c r="D725" s="463">
        <v>3.6172000000000001E-3</v>
      </c>
      <c r="E725" s="464">
        <v>22683344</v>
      </c>
      <c r="F725" s="464"/>
      <c r="G725" s="461">
        <v>2527596</v>
      </c>
      <c r="H725" s="461">
        <v>6071056</v>
      </c>
      <c r="I725" s="461">
        <v>963911</v>
      </c>
      <c r="J725" s="464">
        <v>14202</v>
      </c>
      <c r="K725" s="464">
        <v>9576765</v>
      </c>
      <c r="L725" s="464"/>
      <c r="M725" s="461">
        <v>54415</v>
      </c>
      <c r="N725" s="461">
        <v>0</v>
      </c>
      <c r="O725" s="461">
        <v>0</v>
      </c>
      <c r="P725" s="464">
        <v>490543</v>
      </c>
      <c r="Q725" s="464">
        <v>544958</v>
      </c>
      <c r="R725" s="464"/>
      <c r="S725" s="461">
        <v>6515288</v>
      </c>
      <c r="T725" s="462">
        <v>-326441</v>
      </c>
      <c r="U725" s="462">
        <v>6188847</v>
      </c>
      <c r="W725" s="464">
        <v>39298003</v>
      </c>
      <c r="X725" s="464">
        <v>9004601</v>
      </c>
    </row>
    <row r="726" spans="1:24">
      <c r="A726" s="458">
        <v>97911</v>
      </c>
      <c r="B726" s="459" t="s">
        <v>1428</v>
      </c>
      <c r="C726" s="463">
        <v>1.11943E-3</v>
      </c>
      <c r="D726" s="463">
        <v>1.1452000000000001E-3</v>
      </c>
      <c r="E726" s="464">
        <v>7414082</v>
      </c>
      <c r="F726" s="464"/>
      <c r="G726" s="461">
        <v>826148</v>
      </c>
      <c r="H726" s="461">
        <v>1984333</v>
      </c>
      <c r="I726" s="461">
        <v>315056</v>
      </c>
      <c r="J726" s="464">
        <v>60097</v>
      </c>
      <c r="K726" s="464">
        <v>3185634</v>
      </c>
      <c r="L726" s="464"/>
      <c r="M726" s="461">
        <v>17786</v>
      </c>
      <c r="N726" s="461">
        <v>0</v>
      </c>
      <c r="O726" s="461">
        <v>0</v>
      </c>
      <c r="P726" s="464">
        <v>29241</v>
      </c>
      <c r="Q726" s="464">
        <v>47027</v>
      </c>
      <c r="R726" s="464"/>
      <c r="S726" s="461">
        <v>2129531</v>
      </c>
      <c r="T726" s="462">
        <v>8269</v>
      </c>
      <c r="U726" s="462">
        <v>2137800</v>
      </c>
      <c r="W726" s="464">
        <v>12844606</v>
      </c>
      <c r="X726" s="464">
        <v>2943166</v>
      </c>
    </row>
    <row r="727" spans="1:24">
      <c r="A727" s="458">
        <v>97913</v>
      </c>
      <c r="B727" s="459" t="s">
        <v>1429</v>
      </c>
      <c r="C727" s="463">
        <v>3.5179999999999999E-5</v>
      </c>
      <c r="D727" s="463">
        <v>3.3000000000000003E-5</v>
      </c>
      <c r="E727" s="464">
        <v>233000</v>
      </c>
      <c r="F727" s="464"/>
      <c r="G727" s="461">
        <v>25963</v>
      </c>
      <c r="H727" s="461">
        <v>62361</v>
      </c>
      <c r="I727" s="461">
        <v>9901</v>
      </c>
      <c r="J727" s="464">
        <v>35174</v>
      </c>
      <c r="K727" s="464">
        <v>133399</v>
      </c>
      <c r="L727" s="464"/>
      <c r="M727" s="461">
        <v>559</v>
      </c>
      <c r="N727" s="461">
        <v>0</v>
      </c>
      <c r="O727" s="461">
        <v>0</v>
      </c>
      <c r="P727" s="464">
        <v>1591</v>
      </c>
      <c r="Q727" s="464">
        <v>2150</v>
      </c>
      <c r="R727" s="464"/>
      <c r="S727" s="461">
        <v>66924</v>
      </c>
      <c r="T727" s="462">
        <v>21147</v>
      </c>
      <c r="U727" s="462">
        <v>88071</v>
      </c>
      <c r="W727" s="464">
        <v>403664</v>
      </c>
      <c r="X727" s="464">
        <v>92494</v>
      </c>
    </row>
    <row r="728" spans="1:24">
      <c r="A728" s="458">
        <v>97917</v>
      </c>
      <c r="B728" s="459" t="s">
        <v>1430</v>
      </c>
      <c r="C728" s="463">
        <v>2.5729999999999999E-5</v>
      </c>
      <c r="D728" s="463">
        <v>2.5400000000000001E-5</v>
      </c>
      <c r="E728" s="464">
        <v>170412</v>
      </c>
      <c r="F728" s="464"/>
      <c r="G728" s="461">
        <v>18989</v>
      </c>
      <c r="H728" s="461">
        <v>45610</v>
      </c>
      <c r="I728" s="461">
        <v>7242</v>
      </c>
      <c r="J728" s="464">
        <v>21719</v>
      </c>
      <c r="K728" s="464">
        <v>93560</v>
      </c>
      <c r="L728" s="464"/>
      <c r="M728" s="461">
        <v>409</v>
      </c>
      <c r="N728" s="461">
        <v>0</v>
      </c>
      <c r="O728" s="461">
        <v>0</v>
      </c>
      <c r="P728" s="464">
        <v>0</v>
      </c>
      <c r="Q728" s="464">
        <v>409</v>
      </c>
      <c r="R728" s="464"/>
      <c r="S728" s="461">
        <v>48947</v>
      </c>
      <c r="T728" s="462">
        <v>13818</v>
      </c>
      <c r="U728" s="462">
        <v>62765</v>
      </c>
      <c r="W728" s="464">
        <v>295232</v>
      </c>
      <c r="X728" s="464">
        <v>67648</v>
      </c>
    </row>
    <row r="729" spans="1:24">
      <c r="A729" s="458">
        <v>97921</v>
      </c>
      <c r="B729" s="459" t="s">
        <v>1431</v>
      </c>
      <c r="C729" s="463">
        <v>2.0594999999999999E-4</v>
      </c>
      <c r="D729" s="463">
        <v>2.1210000000000001E-4</v>
      </c>
      <c r="E729" s="464">
        <v>1364025</v>
      </c>
      <c r="F729" s="464"/>
      <c r="G729" s="461">
        <v>151993</v>
      </c>
      <c r="H729" s="461">
        <v>365073</v>
      </c>
      <c r="I729" s="461">
        <v>57963</v>
      </c>
      <c r="J729" s="464">
        <v>2043</v>
      </c>
      <c r="K729" s="464">
        <v>577072</v>
      </c>
      <c r="L729" s="464"/>
      <c r="M729" s="461">
        <v>3272</v>
      </c>
      <c r="N729" s="461">
        <v>0</v>
      </c>
      <c r="O729" s="461">
        <v>0</v>
      </c>
      <c r="P729" s="464">
        <v>7150</v>
      </c>
      <c r="Q729" s="464">
        <v>10422</v>
      </c>
      <c r="R729" s="464"/>
      <c r="S729" s="461">
        <v>391786</v>
      </c>
      <c r="T729" s="462">
        <v>-1890</v>
      </c>
      <c r="U729" s="462">
        <v>389896</v>
      </c>
      <c r="W729" s="464">
        <v>2363119</v>
      </c>
      <c r="X729" s="464">
        <v>541477</v>
      </c>
    </row>
    <row r="730" spans="1:24">
      <c r="A730" s="458">
        <v>97931</v>
      </c>
      <c r="B730" s="459" t="s">
        <v>1432</v>
      </c>
      <c r="C730" s="463">
        <v>4.2169999999999998E-5</v>
      </c>
      <c r="D730" s="463">
        <v>5.8199999999999998E-5</v>
      </c>
      <c r="E730" s="464">
        <v>279296</v>
      </c>
      <c r="F730" s="464"/>
      <c r="G730" s="461">
        <v>31122</v>
      </c>
      <c r="H730" s="461">
        <v>74752</v>
      </c>
      <c r="I730" s="461">
        <v>11868</v>
      </c>
      <c r="J730" s="464">
        <v>0</v>
      </c>
      <c r="K730" s="464">
        <v>117742</v>
      </c>
      <c r="L730" s="464"/>
      <c r="M730" s="461">
        <v>670</v>
      </c>
      <c r="N730" s="461">
        <v>0</v>
      </c>
      <c r="O730" s="461">
        <v>0</v>
      </c>
      <c r="P730" s="464">
        <v>50960</v>
      </c>
      <c r="Q730" s="464">
        <v>51630</v>
      </c>
      <c r="R730" s="464"/>
      <c r="S730" s="461">
        <v>80221</v>
      </c>
      <c r="T730" s="462">
        <v>-18571</v>
      </c>
      <c r="U730" s="462">
        <v>61650</v>
      </c>
      <c r="W730" s="464">
        <v>483869</v>
      </c>
      <c r="X730" s="464">
        <v>110872</v>
      </c>
    </row>
    <row r="731" spans="1:24">
      <c r="A731" s="458">
        <v>97941</v>
      </c>
      <c r="B731" s="459" t="s">
        <v>1433</v>
      </c>
      <c r="C731" s="463">
        <v>1.8493000000000001E-4</v>
      </c>
      <c r="D731" s="463">
        <v>2.1450000000000001E-4</v>
      </c>
      <c r="E731" s="464">
        <v>1224807</v>
      </c>
      <c r="F731" s="464"/>
      <c r="G731" s="461">
        <v>136480</v>
      </c>
      <c r="H731" s="461">
        <v>327812</v>
      </c>
      <c r="I731" s="461">
        <v>52047</v>
      </c>
      <c r="J731" s="464">
        <v>4433</v>
      </c>
      <c r="K731" s="464">
        <v>520772</v>
      </c>
      <c r="L731" s="464"/>
      <c r="M731" s="461">
        <v>2938</v>
      </c>
      <c r="N731" s="461">
        <v>0</v>
      </c>
      <c r="O731" s="461">
        <v>0</v>
      </c>
      <c r="P731" s="464">
        <v>62879</v>
      </c>
      <c r="Q731" s="464">
        <v>65817</v>
      </c>
      <c r="R731" s="464"/>
      <c r="S731" s="461">
        <v>351799</v>
      </c>
      <c r="T731" s="462">
        <v>-15376</v>
      </c>
      <c r="U731" s="462">
        <v>336423</v>
      </c>
      <c r="W731" s="464">
        <v>2121931</v>
      </c>
      <c r="X731" s="464">
        <v>486211</v>
      </c>
    </row>
    <row r="732" spans="1:24">
      <c r="A732" s="458">
        <v>97947</v>
      </c>
      <c r="B732" s="459" t="s">
        <v>1434</v>
      </c>
      <c r="C732" s="463">
        <v>1.643E-5</v>
      </c>
      <c r="D732" s="463">
        <v>1.7900000000000001E-5</v>
      </c>
      <c r="E732" s="464">
        <v>108817</v>
      </c>
      <c r="F732" s="464"/>
      <c r="G732" s="461">
        <v>12125</v>
      </c>
      <c r="H732" s="461">
        <v>29124</v>
      </c>
      <c r="I732" s="461">
        <v>4624</v>
      </c>
      <c r="J732" s="464">
        <v>8990</v>
      </c>
      <c r="K732" s="464">
        <v>54863</v>
      </c>
      <c r="L732" s="464"/>
      <c r="M732" s="461">
        <v>261</v>
      </c>
      <c r="N732" s="461">
        <v>0</v>
      </c>
      <c r="O732" s="461">
        <v>0</v>
      </c>
      <c r="P732" s="464">
        <v>615</v>
      </c>
      <c r="Q732" s="464">
        <v>876</v>
      </c>
      <c r="R732" s="464"/>
      <c r="S732" s="461">
        <v>31255</v>
      </c>
      <c r="T732" s="462">
        <v>7453</v>
      </c>
      <c r="U732" s="462">
        <v>38708</v>
      </c>
      <c r="W732" s="464">
        <v>188522</v>
      </c>
      <c r="X732" s="464">
        <v>43197</v>
      </c>
    </row>
    <row r="733" spans="1:24">
      <c r="A733" s="458">
        <v>97948</v>
      </c>
      <c r="B733" s="459" t="s">
        <v>1435</v>
      </c>
      <c r="C733" s="463">
        <v>2.429E-5</v>
      </c>
      <c r="D733" s="463">
        <v>2.0400000000000001E-5</v>
      </c>
      <c r="E733" s="464">
        <v>160875</v>
      </c>
      <c r="F733" s="464"/>
      <c r="G733" s="461">
        <v>17926</v>
      </c>
      <c r="H733" s="461">
        <v>43057</v>
      </c>
      <c r="I733" s="461">
        <v>6836</v>
      </c>
      <c r="J733" s="464">
        <v>5590</v>
      </c>
      <c r="K733" s="464">
        <v>73409</v>
      </c>
      <c r="L733" s="464"/>
      <c r="M733" s="461">
        <v>386</v>
      </c>
      <c r="N733" s="461">
        <v>0</v>
      </c>
      <c r="O733" s="461">
        <v>0</v>
      </c>
      <c r="P733" s="464">
        <v>7742</v>
      </c>
      <c r="Q733" s="464">
        <v>8128</v>
      </c>
      <c r="R733" s="464"/>
      <c r="S733" s="461">
        <v>46208</v>
      </c>
      <c r="T733" s="462">
        <v>-1173</v>
      </c>
      <c r="U733" s="462">
        <v>45035</v>
      </c>
      <c r="W733" s="464">
        <v>278709</v>
      </c>
      <c r="X733" s="464">
        <v>63862</v>
      </c>
    </row>
    <row r="734" spans="1:24">
      <c r="A734" s="458">
        <v>97951</v>
      </c>
      <c r="B734" s="459" t="s">
        <v>1436</v>
      </c>
      <c r="C734" s="463">
        <v>1.0362800000000001E-3</v>
      </c>
      <c r="D734" s="463">
        <v>1.1325E-3</v>
      </c>
      <c r="E734" s="464">
        <v>6863373</v>
      </c>
      <c r="F734" s="464"/>
      <c r="G734" s="461">
        <v>764783</v>
      </c>
      <c r="H734" s="461">
        <v>1836939</v>
      </c>
      <c r="I734" s="461">
        <v>291654</v>
      </c>
      <c r="J734" s="464">
        <v>42395</v>
      </c>
      <c r="K734" s="464">
        <v>2935771</v>
      </c>
      <c r="L734" s="464"/>
      <c r="M734" s="461">
        <v>16464</v>
      </c>
      <c r="N734" s="461">
        <v>0</v>
      </c>
      <c r="O734" s="461">
        <v>0</v>
      </c>
      <c r="P734" s="464">
        <v>188136</v>
      </c>
      <c r="Q734" s="464">
        <v>204600</v>
      </c>
      <c r="R734" s="464"/>
      <c r="S734" s="461">
        <v>1971352</v>
      </c>
      <c r="T734" s="462">
        <v>-26914</v>
      </c>
      <c r="U734" s="462">
        <v>1944438</v>
      </c>
      <c r="W734" s="464">
        <v>11890523</v>
      </c>
      <c r="X734" s="464">
        <v>2724551</v>
      </c>
    </row>
    <row r="735" spans="1:24">
      <c r="A735" s="458">
        <v>97957</v>
      </c>
      <c r="B735" s="459" t="s">
        <v>1437</v>
      </c>
      <c r="C735" s="463">
        <v>1.224E-5</v>
      </c>
      <c r="D735" s="463">
        <v>1.2999999999999999E-5</v>
      </c>
      <c r="E735" s="464">
        <v>81067</v>
      </c>
      <c r="F735" s="464"/>
      <c r="G735" s="461">
        <v>9033</v>
      </c>
      <c r="H735" s="461">
        <v>21697</v>
      </c>
      <c r="I735" s="461">
        <v>3445</v>
      </c>
      <c r="J735" s="464">
        <v>18109</v>
      </c>
      <c r="K735" s="464">
        <v>52284</v>
      </c>
      <c r="L735" s="464"/>
      <c r="M735" s="461">
        <v>194</v>
      </c>
      <c r="N735" s="461">
        <v>0</v>
      </c>
      <c r="O735" s="461">
        <v>0</v>
      </c>
      <c r="P735" s="464">
        <v>0</v>
      </c>
      <c r="Q735" s="464">
        <v>194</v>
      </c>
      <c r="R735" s="464"/>
      <c r="S735" s="461">
        <v>23285</v>
      </c>
      <c r="T735" s="462">
        <v>10316</v>
      </c>
      <c r="U735" s="462">
        <v>33601</v>
      </c>
      <c r="W735" s="464">
        <v>140445</v>
      </c>
      <c r="X735" s="464">
        <v>32181</v>
      </c>
    </row>
    <row r="736" spans="1:24">
      <c r="A736" s="458">
        <v>98001</v>
      </c>
      <c r="B736" s="459" t="s">
        <v>1438</v>
      </c>
      <c r="C736" s="463">
        <v>5.4223600000000002E-3</v>
      </c>
      <c r="D736" s="463">
        <v>5.4911999999999999E-3</v>
      </c>
      <c r="E736" s="464">
        <v>35912762</v>
      </c>
      <c r="F736" s="464"/>
      <c r="G736" s="461">
        <v>4001745</v>
      </c>
      <c r="H736" s="461">
        <v>9611827</v>
      </c>
      <c r="I736" s="461">
        <v>1526085</v>
      </c>
      <c r="J736" s="464">
        <v>220665</v>
      </c>
      <c r="K736" s="464">
        <v>15360322</v>
      </c>
      <c r="L736" s="464"/>
      <c r="M736" s="461">
        <v>86150</v>
      </c>
      <c r="N736" s="461">
        <v>0</v>
      </c>
      <c r="O736" s="461">
        <v>0</v>
      </c>
      <c r="P736" s="464">
        <v>120483</v>
      </c>
      <c r="Q736" s="464">
        <v>206633</v>
      </c>
      <c r="R736" s="464"/>
      <c r="S736" s="461">
        <v>10315145</v>
      </c>
      <c r="T736" s="462">
        <v>120063</v>
      </c>
      <c r="U736" s="462">
        <v>10435208</v>
      </c>
      <c r="W736" s="464">
        <v>62217449</v>
      </c>
      <c r="X736" s="464">
        <v>14256279</v>
      </c>
    </row>
    <row r="737" spans="1:24">
      <c r="A737" s="458">
        <v>98002</v>
      </c>
      <c r="B737" s="459" t="s">
        <v>1439</v>
      </c>
      <c r="C737" s="463">
        <v>1.131E-5</v>
      </c>
      <c r="D737" s="463">
        <v>9.7999999999999993E-6</v>
      </c>
      <c r="E737" s="464">
        <v>74907</v>
      </c>
      <c r="F737" s="464"/>
      <c r="G737" s="461">
        <v>8347</v>
      </c>
      <c r="H737" s="461">
        <v>20048</v>
      </c>
      <c r="I737" s="461">
        <v>3183</v>
      </c>
      <c r="J737" s="464">
        <v>7575</v>
      </c>
      <c r="K737" s="464">
        <v>39153</v>
      </c>
      <c r="L737" s="464"/>
      <c r="M737" s="461">
        <v>180</v>
      </c>
      <c r="N737" s="461">
        <v>0</v>
      </c>
      <c r="O737" s="461">
        <v>0</v>
      </c>
      <c r="P737" s="464">
        <v>1890</v>
      </c>
      <c r="Q737" s="464">
        <v>2070</v>
      </c>
      <c r="R737" s="464"/>
      <c r="S737" s="461">
        <v>21515</v>
      </c>
      <c r="T737" s="462">
        <v>2816</v>
      </c>
      <c r="U737" s="462">
        <v>24331</v>
      </c>
      <c r="W737" s="464">
        <v>129774</v>
      </c>
      <c r="X737" s="464">
        <v>29736</v>
      </c>
    </row>
    <row r="738" spans="1:24">
      <c r="A738" s="458">
        <v>98003</v>
      </c>
      <c r="B738" s="459" t="s">
        <v>1440</v>
      </c>
      <c r="C738" s="463">
        <v>8.5959999999999997E-5</v>
      </c>
      <c r="D738" s="463">
        <v>8.8800000000000004E-5</v>
      </c>
      <c r="E738" s="464">
        <v>569321</v>
      </c>
      <c r="F738" s="464"/>
      <c r="G738" s="461">
        <v>63439</v>
      </c>
      <c r="H738" s="461">
        <v>152375</v>
      </c>
      <c r="I738" s="461">
        <v>24193</v>
      </c>
      <c r="J738" s="464">
        <v>24418</v>
      </c>
      <c r="K738" s="464">
        <v>264425</v>
      </c>
      <c r="L738" s="464"/>
      <c r="M738" s="461">
        <v>1366</v>
      </c>
      <c r="N738" s="461">
        <v>0</v>
      </c>
      <c r="O738" s="461">
        <v>0</v>
      </c>
      <c r="P738" s="464">
        <v>2612</v>
      </c>
      <c r="Q738" s="464">
        <v>3978</v>
      </c>
      <c r="R738" s="464"/>
      <c r="S738" s="461">
        <v>163525</v>
      </c>
      <c r="T738" s="462">
        <v>27940</v>
      </c>
      <c r="U738" s="462">
        <v>191465</v>
      </c>
      <c r="W738" s="464">
        <v>986325</v>
      </c>
      <c r="X738" s="464">
        <v>226003</v>
      </c>
    </row>
    <row r="739" spans="1:24">
      <c r="A739" s="458">
        <v>98004</v>
      </c>
      <c r="B739" s="459" t="s">
        <v>1441</v>
      </c>
      <c r="C739" s="463">
        <v>2.0824E-4</v>
      </c>
      <c r="D739" s="463">
        <v>2.0489999999999999E-4</v>
      </c>
      <c r="E739" s="464">
        <v>1379192</v>
      </c>
      <c r="F739" s="464"/>
      <c r="G739" s="461">
        <v>153683</v>
      </c>
      <c r="H739" s="461">
        <v>369132</v>
      </c>
      <c r="I739" s="461">
        <v>58608</v>
      </c>
      <c r="J739" s="464">
        <v>117010</v>
      </c>
      <c r="K739" s="464">
        <v>698433</v>
      </c>
      <c r="L739" s="464"/>
      <c r="M739" s="461">
        <v>3309</v>
      </c>
      <c r="N739" s="461">
        <v>0</v>
      </c>
      <c r="O739" s="461">
        <v>0</v>
      </c>
      <c r="P739" s="464">
        <v>0</v>
      </c>
      <c r="Q739" s="464">
        <v>3309</v>
      </c>
      <c r="R739" s="464"/>
      <c r="S739" s="461">
        <v>396142</v>
      </c>
      <c r="T739" s="462">
        <v>93359</v>
      </c>
      <c r="U739" s="462">
        <v>489501</v>
      </c>
      <c r="W739" s="464">
        <v>2389395</v>
      </c>
      <c r="X739" s="464">
        <v>547497</v>
      </c>
    </row>
    <row r="740" spans="1:24">
      <c r="A740" s="458">
        <v>98008</v>
      </c>
      <c r="B740" s="459" t="s">
        <v>1442</v>
      </c>
      <c r="C740" s="463">
        <v>6.3099999999999997E-6</v>
      </c>
      <c r="D740" s="463">
        <v>6.8000000000000001E-6</v>
      </c>
      <c r="E740" s="464">
        <v>41792</v>
      </c>
      <c r="F740" s="464"/>
      <c r="G740" s="461">
        <v>4657</v>
      </c>
      <c r="H740" s="461">
        <v>11185</v>
      </c>
      <c r="I740" s="461">
        <v>1776</v>
      </c>
      <c r="J740" s="464">
        <v>569</v>
      </c>
      <c r="K740" s="464">
        <v>18187</v>
      </c>
      <c r="L740" s="464"/>
      <c r="M740" s="461">
        <v>100</v>
      </c>
      <c r="N740" s="461">
        <v>0</v>
      </c>
      <c r="O740" s="461">
        <v>0</v>
      </c>
      <c r="P740" s="464">
        <v>114</v>
      </c>
      <c r="Q740" s="464">
        <v>214</v>
      </c>
      <c r="R740" s="464"/>
      <c r="S740" s="461">
        <v>12004</v>
      </c>
      <c r="T740" s="462">
        <v>1</v>
      </c>
      <c r="U740" s="462">
        <v>12005</v>
      </c>
      <c r="W740" s="464">
        <v>72402</v>
      </c>
      <c r="X740" s="464">
        <v>16590</v>
      </c>
    </row>
    <row r="741" spans="1:24">
      <c r="A741" s="458">
        <v>98011</v>
      </c>
      <c r="B741" s="459" t="s">
        <v>1443</v>
      </c>
      <c r="C741" s="463">
        <v>2.87397E-3</v>
      </c>
      <c r="D741" s="463">
        <v>3.2158E-3</v>
      </c>
      <c r="E741" s="464">
        <v>19034553</v>
      </c>
      <c r="F741" s="464"/>
      <c r="G741" s="461">
        <v>2121013</v>
      </c>
      <c r="H741" s="461">
        <v>5094480</v>
      </c>
      <c r="I741" s="461">
        <v>808859</v>
      </c>
      <c r="J741" s="464">
        <v>0</v>
      </c>
      <c r="K741" s="464">
        <v>8024352</v>
      </c>
      <c r="L741" s="464"/>
      <c r="M741" s="461">
        <v>45662</v>
      </c>
      <c r="N741" s="461">
        <v>0</v>
      </c>
      <c r="O741" s="461">
        <v>0</v>
      </c>
      <c r="P741" s="464">
        <v>1041816</v>
      </c>
      <c r="Q741" s="464">
        <v>1087478</v>
      </c>
      <c r="R741" s="464"/>
      <c r="S741" s="461">
        <v>5467254</v>
      </c>
      <c r="T741" s="462">
        <v>-498247</v>
      </c>
      <c r="U741" s="462">
        <v>4969007</v>
      </c>
      <c r="W741" s="464">
        <v>32976616</v>
      </c>
      <c r="X741" s="464">
        <v>7556141</v>
      </c>
    </row>
    <row r="742" spans="1:24">
      <c r="A742" s="458">
        <v>98013</v>
      </c>
      <c r="B742" s="459" t="s">
        <v>1444</v>
      </c>
      <c r="C742" s="463">
        <v>1.2269000000000001E-4</v>
      </c>
      <c r="D742" s="463">
        <v>1.2640000000000001E-4</v>
      </c>
      <c r="E742" s="464">
        <v>812587</v>
      </c>
      <c r="F742" s="464"/>
      <c r="G742" s="461">
        <v>90546</v>
      </c>
      <c r="H742" s="461">
        <v>217484</v>
      </c>
      <c r="I742" s="461">
        <v>34530</v>
      </c>
      <c r="J742" s="464">
        <v>3332</v>
      </c>
      <c r="K742" s="464">
        <v>345892</v>
      </c>
      <c r="L742" s="464"/>
      <c r="M742" s="461">
        <v>1949</v>
      </c>
      <c r="N742" s="461">
        <v>0</v>
      </c>
      <c r="O742" s="461">
        <v>0</v>
      </c>
      <c r="P742" s="464">
        <v>15670</v>
      </c>
      <c r="Q742" s="464">
        <v>17619</v>
      </c>
      <c r="R742" s="464"/>
      <c r="S742" s="461">
        <v>233397</v>
      </c>
      <c r="T742" s="462">
        <v>9887</v>
      </c>
      <c r="U742" s="462">
        <v>243284</v>
      </c>
      <c r="W742" s="464">
        <v>1407774</v>
      </c>
      <c r="X742" s="464">
        <v>322572</v>
      </c>
    </row>
    <row r="743" spans="1:24">
      <c r="A743" s="458">
        <v>98021</v>
      </c>
      <c r="B743" s="459" t="s">
        <v>1445</v>
      </c>
      <c r="C743" s="463">
        <v>4.5909999999999999E-5</v>
      </c>
      <c r="D743" s="463">
        <v>5.6499999999999998E-5</v>
      </c>
      <c r="E743" s="464">
        <v>304066</v>
      </c>
      <c r="F743" s="464"/>
      <c r="G743" s="461">
        <v>33882</v>
      </c>
      <c r="H743" s="461">
        <v>81381</v>
      </c>
      <c r="I743" s="461">
        <v>12921</v>
      </c>
      <c r="J743" s="464">
        <v>22620</v>
      </c>
      <c r="K743" s="464">
        <v>150804</v>
      </c>
      <c r="L743" s="464"/>
      <c r="M743" s="461">
        <v>729</v>
      </c>
      <c r="N743" s="461">
        <v>0</v>
      </c>
      <c r="O743" s="461">
        <v>0</v>
      </c>
      <c r="P743" s="464">
        <v>18942</v>
      </c>
      <c r="Q743" s="464">
        <v>19671</v>
      </c>
      <c r="R743" s="464"/>
      <c r="S743" s="461">
        <v>87336</v>
      </c>
      <c r="T743" s="462">
        <v>10287</v>
      </c>
      <c r="U743" s="462">
        <v>97623</v>
      </c>
      <c r="W743" s="464">
        <v>526782</v>
      </c>
      <c r="X743" s="464">
        <v>120705</v>
      </c>
    </row>
    <row r="744" spans="1:24">
      <c r="A744" s="458">
        <v>98023</v>
      </c>
      <c r="B744" s="459" t="s">
        <v>1446</v>
      </c>
      <c r="C744" s="463">
        <v>6.2099999999999998E-6</v>
      </c>
      <c r="D744" s="463">
        <v>6.6000000000000003E-6</v>
      </c>
      <c r="E744" s="464">
        <v>41129</v>
      </c>
      <c r="F744" s="464"/>
      <c r="G744" s="461">
        <v>4583</v>
      </c>
      <c r="H744" s="461">
        <v>11008</v>
      </c>
      <c r="I744" s="461">
        <v>1748</v>
      </c>
      <c r="J744" s="464">
        <v>227</v>
      </c>
      <c r="K744" s="464">
        <v>17566</v>
      </c>
      <c r="L744" s="464"/>
      <c r="M744" s="461">
        <v>99</v>
      </c>
      <c r="N744" s="461">
        <v>0</v>
      </c>
      <c r="O744" s="461">
        <v>0</v>
      </c>
      <c r="P744" s="464">
        <v>6164</v>
      </c>
      <c r="Q744" s="464">
        <v>6263</v>
      </c>
      <c r="R744" s="464"/>
      <c r="S744" s="461">
        <v>11814</v>
      </c>
      <c r="T744" s="462">
        <v>-5608</v>
      </c>
      <c r="U744" s="462">
        <v>6206</v>
      </c>
      <c r="W744" s="464">
        <v>71255</v>
      </c>
      <c r="X744" s="464">
        <v>16327</v>
      </c>
    </row>
    <row r="745" spans="1:24">
      <c r="A745" s="458">
        <v>98031</v>
      </c>
      <c r="B745" s="459" t="s">
        <v>1447</v>
      </c>
      <c r="C745" s="463">
        <v>1.9494E-4</v>
      </c>
      <c r="D745" s="463">
        <v>1.549E-4</v>
      </c>
      <c r="E745" s="464">
        <v>1291105</v>
      </c>
      <c r="F745" s="464"/>
      <c r="G745" s="461">
        <v>143867</v>
      </c>
      <c r="H745" s="461">
        <v>345556</v>
      </c>
      <c r="I745" s="461">
        <v>54864</v>
      </c>
      <c r="J745" s="464">
        <v>87001</v>
      </c>
      <c r="K745" s="464">
        <v>631288</v>
      </c>
      <c r="L745" s="464"/>
      <c r="M745" s="461">
        <v>3097</v>
      </c>
      <c r="N745" s="461">
        <v>0</v>
      </c>
      <c r="O745" s="461">
        <v>0</v>
      </c>
      <c r="P745" s="464">
        <v>5037</v>
      </c>
      <c r="Q745" s="464">
        <v>8134</v>
      </c>
      <c r="R745" s="464"/>
      <c r="S745" s="461">
        <v>370841</v>
      </c>
      <c r="T745" s="462">
        <v>21723</v>
      </c>
      <c r="U745" s="462">
        <v>392564</v>
      </c>
      <c r="W745" s="464">
        <v>2236788</v>
      </c>
      <c r="X745" s="464">
        <v>512529</v>
      </c>
    </row>
    <row r="746" spans="1:24">
      <c r="A746" s="458">
        <v>98041</v>
      </c>
      <c r="B746" s="459" t="s">
        <v>1448</v>
      </c>
      <c r="C746" s="463">
        <v>2.1232E-4</v>
      </c>
      <c r="D746" s="463">
        <v>2.1680000000000001E-4</v>
      </c>
      <c r="E746" s="464">
        <v>1406214</v>
      </c>
      <c r="F746" s="464"/>
      <c r="G746" s="461">
        <v>156694</v>
      </c>
      <c r="H746" s="461">
        <v>376364</v>
      </c>
      <c r="I746" s="461">
        <v>59756</v>
      </c>
      <c r="J746" s="464">
        <v>10229</v>
      </c>
      <c r="K746" s="464">
        <v>603043</v>
      </c>
      <c r="L746" s="464"/>
      <c r="M746" s="461">
        <v>3373</v>
      </c>
      <c r="N746" s="461">
        <v>0</v>
      </c>
      <c r="O746" s="461">
        <v>0</v>
      </c>
      <c r="P746" s="464">
        <v>57727</v>
      </c>
      <c r="Q746" s="464">
        <v>61100</v>
      </c>
      <c r="R746" s="464"/>
      <c r="S746" s="461">
        <v>403904</v>
      </c>
      <c r="T746" s="462">
        <v>-24542</v>
      </c>
      <c r="U746" s="462">
        <v>379362</v>
      </c>
      <c r="W746" s="464">
        <v>2436210</v>
      </c>
      <c r="X746" s="464">
        <v>558224</v>
      </c>
    </row>
    <row r="747" spans="1:24">
      <c r="A747" s="458">
        <v>98051</v>
      </c>
      <c r="B747" s="459" t="s">
        <v>1449</v>
      </c>
      <c r="C747" s="463">
        <v>3.2361E-4</v>
      </c>
      <c r="D747" s="463">
        <v>3.3930000000000001E-4</v>
      </c>
      <c r="E747" s="464">
        <v>2143297</v>
      </c>
      <c r="F747" s="464"/>
      <c r="G747" s="461">
        <v>238827</v>
      </c>
      <c r="H747" s="461">
        <v>573640</v>
      </c>
      <c r="I747" s="461">
        <v>91078</v>
      </c>
      <c r="J747" s="464">
        <v>111779</v>
      </c>
      <c r="K747" s="464">
        <v>1015324</v>
      </c>
      <c r="L747" s="464"/>
      <c r="M747" s="461">
        <v>5142</v>
      </c>
      <c r="N747" s="461">
        <v>0</v>
      </c>
      <c r="O747" s="461">
        <v>0</v>
      </c>
      <c r="P747" s="464">
        <v>67615</v>
      </c>
      <c r="Q747" s="464">
        <v>72757</v>
      </c>
      <c r="R747" s="464"/>
      <c r="S747" s="461">
        <v>615615</v>
      </c>
      <c r="T747" s="462">
        <v>14828</v>
      </c>
      <c r="U747" s="462">
        <v>630443</v>
      </c>
      <c r="W747" s="464">
        <v>3713178</v>
      </c>
      <c r="X747" s="464">
        <v>850824</v>
      </c>
    </row>
    <row r="748" spans="1:24">
      <c r="A748" s="458">
        <v>98061</v>
      </c>
      <c r="B748" s="459" t="s">
        <v>1450</v>
      </c>
      <c r="C748" s="463">
        <v>1.3184000000000001E-4</v>
      </c>
      <c r="D748" s="463">
        <v>1.325E-4</v>
      </c>
      <c r="E748" s="464">
        <v>873188</v>
      </c>
      <c r="F748" s="464"/>
      <c r="G748" s="461">
        <v>97299</v>
      </c>
      <c r="H748" s="461">
        <v>233703</v>
      </c>
      <c r="I748" s="461">
        <v>37105</v>
      </c>
      <c r="J748" s="464">
        <v>9548</v>
      </c>
      <c r="K748" s="464">
        <v>377655</v>
      </c>
      <c r="L748" s="464"/>
      <c r="M748" s="461">
        <v>2095</v>
      </c>
      <c r="N748" s="461">
        <v>0</v>
      </c>
      <c r="O748" s="461">
        <v>0</v>
      </c>
      <c r="P748" s="464">
        <v>13406</v>
      </c>
      <c r="Q748" s="464">
        <v>15501</v>
      </c>
      <c r="R748" s="464"/>
      <c r="S748" s="461">
        <v>250804</v>
      </c>
      <c r="T748" s="462">
        <v>-6449</v>
      </c>
      <c r="U748" s="462">
        <v>244355</v>
      </c>
      <c r="W748" s="464">
        <v>1512764</v>
      </c>
      <c r="X748" s="464">
        <v>346629</v>
      </c>
    </row>
    <row r="749" spans="1:24">
      <c r="A749" s="458">
        <v>98071</v>
      </c>
      <c r="B749" s="459" t="s">
        <v>1451</v>
      </c>
      <c r="C749" s="463">
        <v>7.0549999999999994E-5</v>
      </c>
      <c r="D749" s="463">
        <v>6.58E-5</v>
      </c>
      <c r="E749" s="464">
        <v>467259</v>
      </c>
      <c r="F749" s="464"/>
      <c r="G749" s="461">
        <v>52066</v>
      </c>
      <c r="H749" s="461">
        <v>125059</v>
      </c>
      <c r="I749" s="461">
        <v>19856</v>
      </c>
      <c r="J749" s="464">
        <v>22373</v>
      </c>
      <c r="K749" s="464">
        <v>219354</v>
      </c>
      <c r="L749" s="464"/>
      <c r="M749" s="461">
        <v>1121</v>
      </c>
      <c r="N749" s="461">
        <v>0</v>
      </c>
      <c r="O749" s="461">
        <v>0</v>
      </c>
      <c r="P749" s="464">
        <v>909</v>
      </c>
      <c r="Q749" s="464">
        <v>2030</v>
      </c>
      <c r="R749" s="464"/>
      <c r="S749" s="461">
        <v>134210</v>
      </c>
      <c r="T749" s="462">
        <v>23063</v>
      </c>
      <c r="U749" s="462">
        <v>157273</v>
      </c>
      <c r="W749" s="464">
        <v>809507</v>
      </c>
      <c r="X749" s="464">
        <v>185488</v>
      </c>
    </row>
    <row r="750" spans="1:24">
      <c r="A750" s="458">
        <v>98081</v>
      </c>
      <c r="B750" s="459" t="s">
        <v>1452</v>
      </c>
      <c r="C750" s="463">
        <v>6.0299999999999999E-6</v>
      </c>
      <c r="D750" s="463">
        <v>1.33E-5</v>
      </c>
      <c r="E750" s="464">
        <v>39937</v>
      </c>
      <c r="F750" s="464"/>
      <c r="G750" s="461">
        <v>4450</v>
      </c>
      <c r="H750" s="461">
        <v>10689</v>
      </c>
      <c r="I750" s="461">
        <v>1697</v>
      </c>
      <c r="J750" s="464">
        <v>532</v>
      </c>
      <c r="K750" s="464">
        <v>17368</v>
      </c>
      <c r="L750" s="464"/>
      <c r="M750" s="461">
        <v>96</v>
      </c>
      <c r="N750" s="461">
        <v>0</v>
      </c>
      <c r="O750" s="461">
        <v>0</v>
      </c>
      <c r="P750" s="464">
        <v>14097</v>
      </c>
      <c r="Q750" s="464">
        <v>14193</v>
      </c>
      <c r="R750" s="464"/>
      <c r="S750" s="461">
        <v>11471</v>
      </c>
      <c r="T750" s="462">
        <v>-5206</v>
      </c>
      <c r="U750" s="462">
        <v>6265</v>
      </c>
      <c r="W750" s="464">
        <v>69190</v>
      </c>
      <c r="X750" s="464">
        <v>15854</v>
      </c>
    </row>
    <row r="751" spans="1:24">
      <c r="A751" s="458">
        <v>98091</v>
      </c>
      <c r="B751" s="459" t="s">
        <v>1453</v>
      </c>
      <c r="C751" s="463">
        <v>6.7819999999999998E-5</v>
      </c>
      <c r="D751" s="463">
        <v>5.5999999999999999E-5</v>
      </c>
      <c r="E751" s="464">
        <v>449178</v>
      </c>
      <c r="F751" s="464"/>
      <c r="G751" s="461">
        <v>50052</v>
      </c>
      <c r="H751" s="461">
        <v>120220</v>
      </c>
      <c r="I751" s="461">
        <v>19087</v>
      </c>
      <c r="J751" s="464">
        <v>41846</v>
      </c>
      <c r="K751" s="464">
        <v>231205</v>
      </c>
      <c r="L751" s="464"/>
      <c r="M751" s="461">
        <v>1078</v>
      </c>
      <c r="N751" s="461">
        <v>0</v>
      </c>
      <c r="O751" s="461">
        <v>0</v>
      </c>
      <c r="P751" s="464">
        <v>0</v>
      </c>
      <c r="Q751" s="464">
        <v>1078</v>
      </c>
      <c r="R751" s="464"/>
      <c r="S751" s="461">
        <v>129016</v>
      </c>
      <c r="T751" s="462">
        <v>11162</v>
      </c>
      <c r="U751" s="462">
        <v>140178</v>
      </c>
      <c r="W751" s="464">
        <v>778183</v>
      </c>
      <c r="X751" s="464">
        <v>178310</v>
      </c>
    </row>
    <row r="752" spans="1:24">
      <c r="A752" s="458">
        <v>98101</v>
      </c>
      <c r="B752" s="459" t="s">
        <v>1454</v>
      </c>
      <c r="C752" s="463">
        <v>2.6692700000000001E-3</v>
      </c>
      <c r="D752" s="463">
        <v>2.6955E-3</v>
      </c>
      <c r="E752" s="464">
        <v>17678807</v>
      </c>
      <c r="F752" s="464"/>
      <c r="G752" s="461">
        <v>1969943</v>
      </c>
      <c r="H752" s="461">
        <v>4731623</v>
      </c>
      <c r="I752" s="461">
        <v>751247</v>
      </c>
      <c r="J752" s="464">
        <v>0</v>
      </c>
      <c r="K752" s="464">
        <v>7452813</v>
      </c>
      <c r="L752" s="464"/>
      <c r="M752" s="461">
        <v>42409</v>
      </c>
      <c r="N752" s="461">
        <v>0</v>
      </c>
      <c r="O752" s="461">
        <v>0</v>
      </c>
      <c r="P752" s="464">
        <v>284610</v>
      </c>
      <c r="Q752" s="464">
        <v>327019</v>
      </c>
      <c r="R752" s="464"/>
      <c r="S752" s="461">
        <v>5077846</v>
      </c>
      <c r="T752" s="462">
        <v>-93632</v>
      </c>
      <c r="U752" s="462">
        <v>4984214</v>
      </c>
      <c r="W752" s="464">
        <v>30627839</v>
      </c>
      <c r="X752" s="464">
        <v>7017951</v>
      </c>
    </row>
    <row r="753" spans="1:24">
      <c r="A753" s="458">
        <v>98102</v>
      </c>
      <c r="B753" s="459" t="s">
        <v>1455</v>
      </c>
      <c r="C753" s="463">
        <v>1.7514000000000001E-4</v>
      </c>
      <c r="D753" s="463">
        <v>1.7530000000000001E-4</v>
      </c>
      <c r="E753" s="464">
        <v>1159967</v>
      </c>
      <c r="F753" s="464"/>
      <c r="G753" s="461">
        <v>129255</v>
      </c>
      <c r="H753" s="461">
        <v>310458</v>
      </c>
      <c r="I753" s="461">
        <v>49292</v>
      </c>
      <c r="J753" s="464">
        <v>46963</v>
      </c>
      <c r="K753" s="464">
        <v>535968</v>
      </c>
      <c r="L753" s="464"/>
      <c r="M753" s="461">
        <v>2783</v>
      </c>
      <c r="N753" s="461">
        <v>0</v>
      </c>
      <c r="O753" s="461">
        <v>0</v>
      </c>
      <c r="P753" s="464">
        <v>1993</v>
      </c>
      <c r="Q753" s="464">
        <v>4776</v>
      </c>
      <c r="R753" s="464"/>
      <c r="S753" s="461">
        <v>333175</v>
      </c>
      <c r="T753" s="462">
        <v>20596</v>
      </c>
      <c r="U753" s="462">
        <v>353771</v>
      </c>
      <c r="W753" s="464">
        <v>2009598</v>
      </c>
      <c r="X753" s="464">
        <v>460472</v>
      </c>
    </row>
    <row r="754" spans="1:24">
      <c r="A754" s="458">
        <v>98103</v>
      </c>
      <c r="B754" s="459" t="s">
        <v>3725</v>
      </c>
      <c r="C754" s="463">
        <v>4.7814999999999999E-4</v>
      </c>
      <c r="D754" s="463">
        <v>4.9739999999999995E-4</v>
      </c>
      <c r="E754" s="464">
        <v>3166829</v>
      </c>
      <c r="F754" s="464"/>
      <c r="G754" s="461">
        <v>352879</v>
      </c>
      <c r="H754" s="461">
        <v>847582</v>
      </c>
      <c r="I754" s="461">
        <v>134572</v>
      </c>
      <c r="J754" s="464">
        <v>0</v>
      </c>
      <c r="K754" s="464">
        <v>1335033</v>
      </c>
      <c r="L754" s="464"/>
      <c r="M754" s="461">
        <v>7597</v>
      </c>
      <c r="N754" s="461">
        <v>0</v>
      </c>
      <c r="O754" s="461">
        <v>0</v>
      </c>
      <c r="P754" s="464">
        <v>87912</v>
      </c>
      <c r="Q754" s="464">
        <v>95509</v>
      </c>
      <c r="R754" s="464"/>
      <c r="S754" s="461">
        <v>909601</v>
      </c>
      <c r="T754" s="462">
        <v>-32361</v>
      </c>
      <c r="U754" s="462">
        <v>877240</v>
      </c>
      <c r="W754" s="464">
        <v>5486407</v>
      </c>
      <c r="X754" s="464">
        <v>1257135</v>
      </c>
    </row>
    <row r="755" spans="1:24">
      <c r="A755" s="458">
        <v>98107</v>
      </c>
      <c r="B755" s="459" t="s">
        <v>1457</v>
      </c>
      <c r="C755" s="463">
        <v>1.9910000000000001E-5</v>
      </c>
      <c r="D755" s="463">
        <v>1.9599999999999999E-5</v>
      </c>
      <c r="E755" s="464">
        <v>131866</v>
      </c>
      <c r="F755" s="464"/>
      <c r="G755" s="461">
        <v>14694</v>
      </c>
      <c r="H755" s="461">
        <v>35293</v>
      </c>
      <c r="I755" s="461">
        <v>5604</v>
      </c>
      <c r="J755" s="464">
        <v>19570</v>
      </c>
      <c r="K755" s="464">
        <v>75161</v>
      </c>
      <c r="L755" s="464"/>
      <c r="M755" s="461">
        <v>316</v>
      </c>
      <c r="N755" s="461">
        <v>0</v>
      </c>
      <c r="O755" s="461">
        <v>0</v>
      </c>
      <c r="P755" s="464">
        <v>5797</v>
      </c>
      <c r="Q755" s="464">
        <v>6113</v>
      </c>
      <c r="R755" s="464"/>
      <c r="S755" s="461">
        <v>37875</v>
      </c>
      <c r="T755" s="462">
        <v>13766</v>
      </c>
      <c r="U755" s="462">
        <v>51641</v>
      </c>
      <c r="W755" s="464">
        <v>228452</v>
      </c>
      <c r="X755" s="464">
        <v>52347</v>
      </c>
    </row>
    <row r="756" spans="1:24">
      <c r="A756" s="458">
        <v>98109</v>
      </c>
      <c r="B756" s="459" t="s">
        <v>1458</v>
      </c>
      <c r="C756" s="463">
        <v>1.4663E-4</v>
      </c>
      <c r="D756" s="463">
        <v>1.5799999999999999E-4</v>
      </c>
      <c r="E756" s="464">
        <v>971143</v>
      </c>
      <c r="F756" s="464"/>
      <c r="G756" s="461">
        <v>108214</v>
      </c>
      <c r="H756" s="461">
        <v>259920</v>
      </c>
      <c r="I756" s="461">
        <v>41268</v>
      </c>
      <c r="J756" s="464">
        <v>15573</v>
      </c>
      <c r="K756" s="464">
        <v>424975</v>
      </c>
      <c r="L756" s="464"/>
      <c r="M756" s="461">
        <v>2330</v>
      </c>
      <c r="N756" s="461">
        <v>0</v>
      </c>
      <c r="O756" s="461">
        <v>0</v>
      </c>
      <c r="P756" s="464">
        <v>27003</v>
      </c>
      <c r="Q756" s="464">
        <v>29333</v>
      </c>
      <c r="R756" s="464"/>
      <c r="S756" s="461">
        <v>278939</v>
      </c>
      <c r="T756" s="462">
        <v>9721</v>
      </c>
      <c r="U756" s="462">
        <v>288660</v>
      </c>
      <c r="W756" s="464">
        <v>1682468</v>
      </c>
      <c r="X756" s="464">
        <v>385514</v>
      </c>
    </row>
    <row r="757" spans="1:24">
      <c r="A757" s="458">
        <v>98111</v>
      </c>
      <c r="B757" s="459" t="s">
        <v>1459</v>
      </c>
      <c r="C757" s="463">
        <v>9.6783000000000004E-4</v>
      </c>
      <c r="D757" s="463">
        <v>1.0039999999999999E-3</v>
      </c>
      <c r="E757" s="464">
        <v>6410022</v>
      </c>
      <c r="F757" s="464"/>
      <c r="G757" s="461">
        <v>714266</v>
      </c>
      <c r="H757" s="461">
        <v>1715603</v>
      </c>
      <c r="I757" s="461">
        <v>272389</v>
      </c>
      <c r="J757" s="464">
        <v>11366</v>
      </c>
      <c r="K757" s="464">
        <v>2713624</v>
      </c>
      <c r="L757" s="464"/>
      <c r="M757" s="461">
        <v>15377</v>
      </c>
      <c r="N757" s="461">
        <v>0</v>
      </c>
      <c r="O757" s="461">
        <v>0</v>
      </c>
      <c r="P757" s="464">
        <v>157261</v>
      </c>
      <c r="Q757" s="464">
        <v>172638</v>
      </c>
      <c r="R757" s="464"/>
      <c r="S757" s="461">
        <v>1841137</v>
      </c>
      <c r="T757" s="462">
        <v>-90470</v>
      </c>
      <c r="U757" s="462">
        <v>1750667</v>
      </c>
      <c r="W757" s="464">
        <v>11105112</v>
      </c>
      <c r="X757" s="464">
        <v>2544585</v>
      </c>
    </row>
    <row r="758" spans="1:24">
      <c r="A758" s="458">
        <v>98113</v>
      </c>
      <c r="B758" s="459" t="s">
        <v>1460</v>
      </c>
      <c r="C758" s="463">
        <v>2.3180000000000002E-5</v>
      </c>
      <c r="D758" s="463">
        <v>2.62E-5</v>
      </c>
      <c r="E758" s="464">
        <v>153523</v>
      </c>
      <c r="F758" s="464"/>
      <c r="G758" s="461">
        <v>17107</v>
      </c>
      <c r="H758" s="461">
        <v>41090</v>
      </c>
      <c r="I758" s="461">
        <v>6524</v>
      </c>
      <c r="J758" s="464">
        <v>9381</v>
      </c>
      <c r="K758" s="464">
        <v>74102</v>
      </c>
      <c r="L758" s="464"/>
      <c r="M758" s="461">
        <v>368</v>
      </c>
      <c r="N758" s="461">
        <v>0</v>
      </c>
      <c r="O758" s="461">
        <v>0</v>
      </c>
      <c r="P758" s="464">
        <v>9262</v>
      </c>
      <c r="Q758" s="464">
        <v>9630</v>
      </c>
      <c r="R758" s="464"/>
      <c r="S758" s="461">
        <v>44096</v>
      </c>
      <c r="T758" s="462">
        <v>4149</v>
      </c>
      <c r="U758" s="462">
        <v>48245</v>
      </c>
      <c r="W758" s="464">
        <v>265973</v>
      </c>
      <c r="X758" s="464">
        <v>60944</v>
      </c>
    </row>
    <row r="759" spans="1:24">
      <c r="A759" s="458">
        <v>98121</v>
      </c>
      <c r="B759" s="459" t="s">
        <v>1461</v>
      </c>
      <c r="C759" s="463">
        <v>1.7309000000000001E-4</v>
      </c>
      <c r="D759" s="463">
        <v>2.0340000000000001E-4</v>
      </c>
      <c r="E759" s="464">
        <v>1146390</v>
      </c>
      <c r="F759" s="464"/>
      <c r="G759" s="461">
        <v>127742</v>
      </c>
      <c r="H759" s="461">
        <v>306824</v>
      </c>
      <c r="I759" s="461">
        <v>48715</v>
      </c>
      <c r="J759" s="464">
        <v>15203</v>
      </c>
      <c r="K759" s="464">
        <v>498484</v>
      </c>
      <c r="L759" s="464"/>
      <c r="M759" s="461">
        <v>2750</v>
      </c>
      <c r="N759" s="461">
        <v>0</v>
      </c>
      <c r="O759" s="461">
        <v>0</v>
      </c>
      <c r="P759" s="464">
        <v>36844</v>
      </c>
      <c r="Q759" s="464">
        <v>39594</v>
      </c>
      <c r="R759" s="464"/>
      <c r="S759" s="461">
        <v>329275</v>
      </c>
      <c r="T759" s="462">
        <v>-8620</v>
      </c>
      <c r="U759" s="462">
        <v>320655</v>
      </c>
      <c r="W759" s="464">
        <v>1986076</v>
      </c>
      <c r="X759" s="464">
        <v>455082</v>
      </c>
    </row>
    <row r="760" spans="1:24">
      <c r="A760" s="458">
        <v>98131</v>
      </c>
      <c r="B760" s="459" t="s">
        <v>1462</v>
      </c>
      <c r="C760" s="463">
        <v>2.7352000000000002E-4</v>
      </c>
      <c r="D760" s="463">
        <v>2.2719999999999999E-4</v>
      </c>
      <c r="E760" s="464">
        <v>1811547</v>
      </c>
      <c r="F760" s="464"/>
      <c r="G760" s="461">
        <v>201860</v>
      </c>
      <c r="H760" s="461">
        <v>484849</v>
      </c>
      <c r="I760" s="461">
        <v>76980</v>
      </c>
      <c r="J760" s="464">
        <v>158810</v>
      </c>
      <c r="K760" s="464">
        <v>922499</v>
      </c>
      <c r="L760" s="464"/>
      <c r="M760" s="461">
        <v>4346</v>
      </c>
      <c r="N760" s="461">
        <v>0</v>
      </c>
      <c r="O760" s="461">
        <v>0</v>
      </c>
      <c r="P760" s="464">
        <v>47284</v>
      </c>
      <c r="Q760" s="464">
        <v>51630</v>
      </c>
      <c r="R760" s="464"/>
      <c r="S760" s="461">
        <v>520327</v>
      </c>
      <c r="T760" s="462">
        <v>45901</v>
      </c>
      <c r="U760" s="462">
        <v>566228</v>
      </c>
      <c r="W760" s="464">
        <v>3138434</v>
      </c>
      <c r="X760" s="464">
        <v>719129</v>
      </c>
    </row>
    <row r="761" spans="1:24">
      <c r="A761" s="458">
        <v>98141</v>
      </c>
      <c r="B761" s="459" t="s">
        <v>1463</v>
      </c>
      <c r="C761" s="463">
        <v>2.8985000000000003E-4</v>
      </c>
      <c r="D761" s="463">
        <v>2.853E-4</v>
      </c>
      <c r="E761" s="464">
        <v>1919702</v>
      </c>
      <c r="F761" s="464"/>
      <c r="G761" s="461">
        <v>213912</v>
      </c>
      <c r="H761" s="461">
        <v>513796</v>
      </c>
      <c r="I761" s="461">
        <v>81576</v>
      </c>
      <c r="J761" s="464">
        <v>1478</v>
      </c>
      <c r="K761" s="464">
        <v>810762</v>
      </c>
      <c r="L761" s="464"/>
      <c r="M761" s="461">
        <v>4605</v>
      </c>
      <c r="N761" s="461">
        <v>0</v>
      </c>
      <c r="O761" s="461">
        <v>0</v>
      </c>
      <c r="P761" s="464">
        <v>28059</v>
      </c>
      <c r="Q761" s="464">
        <v>32664</v>
      </c>
      <c r="R761" s="464"/>
      <c r="S761" s="461">
        <v>551392</v>
      </c>
      <c r="T761" s="462">
        <v>-20760</v>
      </c>
      <c r="U761" s="462">
        <v>530632</v>
      </c>
      <c r="W761" s="464">
        <v>3325808</v>
      </c>
      <c r="X761" s="464">
        <v>762063</v>
      </c>
    </row>
    <row r="762" spans="1:24">
      <c r="A762" s="458">
        <v>98147</v>
      </c>
      <c r="B762" s="459" t="s">
        <v>1464</v>
      </c>
      <c r="C762" s="463">
        <v>1.0849999999999999E-5</v>
      </c>
      <c r="D762" s="463">
        <v>1.15E-5</v>
      </c>
      <c r="E762" s="464">
        <v>71860</v>
      </c>
      <c r="F762" s="464"/>
      <c r="G762" s="461">
        <v>8007</v>
      </c>
      <c r="H762" s="461">
        <v>19233</v>
      </c>
      <c r="I762" s="461">
        <v>3054</v>
      </c>
      <c r="J762" s="464">
        <v>11945</v>
      </c>
      <c r="K762" s="464">
        <v>42239</v>
      </c>
      <c r="L762" s="464"/>
      <c r="M762" s="461">
        <v>172</v>
      </c>
      <c r="N762" s="461">
        <v>0</v>
      </c>
      <c r="O762" s="461">
        <v>0</v>
      </c>
      <c r="P762" s="464">
        <v>0</v>
      </c>
      <c r="Q762" s="464">
        <v>172</v>
      </c>
      <c r="R762" s="464"/>
      <c r="S762" s="461">
        <v>20640</v>
      </c>
      <c r="T762" s="462">
        <v>8631</v>
      </c>
      <c r="U762" s="462">
        <v>29271</v>
      </c>
      <c r="W762" s="464">
        <v>124495</v>
      </c>
      <c r="X762" s="464">
        <v>28526</v>
      </c>
    </row>
    <row r="763" spans="1:24">
      <c r="A763" s="458">
        <v>98161</v>
      </c>
      <c r="B763" s="459" t="s">
        <v>1465</v>
      </c>
      <c r="C763" s="463">
        <v>7.4499999999999998E-6</v>
      </c>
      <c r="D763" s="463">
        <v>7.0999999999999998E-6</v>
      </c>
      <c r="E763" s="464">
        <v>49342</v>
      </c>
      <c r="F763" s="464"/>
      <c r="G763" s="461">
        <v>5498</v>
      </c>
      <c r="H763" s="461">
        <v>13206</v>
      </c>
      <c r="I763" s="461">
        <v>2097</v>
      </c>
      <c r="J763" s="464">
        <v>5363</v>
      </c>
      <c r="K763" s="464">
        <v>26164</v>
      </c>
      <c r="L763" s="464"/>
      <c r="M763" s="461">
        <v>118</v>
      </c>
      <c r="N763" s="461">
        <v>0</v>
      </c>
      <c r="O763" s="461">
        <v>0</v>
      </c>
      <c r="P763" s="464">
        <v>0</v>
      </c>
      <c r="Q763" s="464">
        <v>118</v>
      </c>
      <c r="R763" s="464"/>
      <c r="S763" s="461">
        <v>14172</v>
      </c>
      <c r="T763" s="462">
        <v>3728</v>
      </c>
      <c r="U763" s="462">
        <v>17900</v>
      </c>
      <c r="W763" s="464">
        <v>85483</v>
      </c>
      <c r="X763" s="464">
        <v>19587</v>
      </c>
    </row>
    <row r="764" spans="1:24">
      <c r="A764" s="458">
        <v>98201</v>
      </c>
      <c r="B764" s="459" t="s">
        <v>1466</v>
      </c>
      <c r="C764" s="463">
        <v>2.8777899999999999E-3</v>
      </c>
      <c r="D764" s="463">
        <v>3.2829000000000001E-3</v>
      </c>
      <c r="E764" s="464">
        <v>19059854</v>
      </c>
      <c r="F764" s="464"/>
      <c r="G764" s="461">
        <v>2123832</v>
      </c>
      <c r="H764" s="461">
        <v>5101251</v>
      </c>
      <c r="I764" s="461">
        <v>809934</v>
      </c>
      <c r="J764" s="464">
        <v>344854</v>
      </c>
      <c r="K764" s="464">
        <v>8379871</v>
      </c>
      <c r="L764" s="464"/>
      <c r="M764" s="461">
        <v>45722</v>
      </c>
      <c r="N764" s="461">
        <v>0</v>
      </c>
      <c r="O764" s="461">
        <v>0</v>
      </c>
      <c r="P764" s="464">
        <v>1076267</v>
      </c>
      <c r="Q764" s="464">
        <v>1121989</v>
      </c>
      <c r="R764" s="464"/>
      <c r="S764" s="461">
        <v>5474521</v>
      </c>
      <c r="T764" s="462">
        <v>-347777</v>
      </c>
      <c r="U764" s="462">
        <v>5126744</v>
      </c>
      <c r="W764" s="464">
        <v>33020447</v>
      </c>
      <c r="X764" s="464">
        <v>7566185</v>
      </c>
    </row>
    <row r="765" spans="1:24">
      <c r="A765" s="458">
        <v>98205</v>
      </c>
      <c r="B765" s="459" t="s">
        <v>1467</v>
      </c>
      <c r="C765" s="463">
        <v>4.3619999999999999E-5</v>
      </c>
      <c r="D765" s="463">
        <v>4.2200000000000003E-5</v>
      </c>
      <c r="E765" s="464">
        <v>288899</v>
      </c>
      <c r="F765" s="464"/>
      <c r="G765" s="461">
        <v>32192</v>
      </c>
      <c r="H765" s="461">
        <v>77322</v>
      </c>
      <c r="I765" s="461">
        <v>12277</v>
      </c>
      <c r="J765" s="464">
        <v>9734</v>
      </c>
      <c r="K765" s="464">
        <v>131525</v>
      </c>
      <c r="L765" s="464"/>
      <c r="M765" s="461">
        <v>693</v>
      </c>
      <c r="N765" s="461">
        <v>0</v>
      </c>
      <c r="O765" s="461">
        <v>0</v>
      </c>
      <c r="P765" s="464">
        <v>5509</v>
      </c>
      <c r="Q765" s="464">
        <v>6202</v>
      </c>
      <c r="R765" s="464"/>
      <c r="S765" s="461">
        <v>82980</v>
      </c>
      <c r="T765" s="462">
        <v>1631</v>
      </c>
      <c r="U765" s="462">
        <v>84611</v>
      </c>
      <c r="W765" s="464">
        <v>500506</v>
      </c>
      <c r="X765" s="464">
        <v>114684</v>
      </c>
    </row>
    <row r="766" spans="1:24">
      <c r="A766" s="458">
        <v>98211</v>
      </c>
      <c r="B766" s="459" t="s">
        <v>1468</v>
      </c>
      <c r="C766" s="463">
        <v>8.7982999999999996E-4</v>
      </c>
      <c r="D766" s="463">
        <v>8.2220000000000004E-4</v>
      </c>
      <c r="E766" s="464">
        <v>5827191</v>
      </c>
      <c r="F766" s="464"/>
      <c r="G766" s="461">
        <v>649322</v>
      </c>
      <c r="H766" s="461">
        <v>1559611</v>
      </c>
      <c r="I766" s="461">
        <v>247622</v>
      </c>
      <c r="J766" s="464">
        <v>16076</v>
      </c>
      <c r="K766" s="464">
        <v>2472631</v>
      </c>
      <c r="L766" s="464"/>
      <c r="M766" s="461">
        <v>13979</v>
      </c>
      <c r="N766" s="461">
        <v>0</v>
      </c>
      <c r="O766" s="461">
        <v>0</v>
      </c>
      <c r="P766" s="464">
        <v>75838</v>
      </c>
      <c r="Q766" s="464">
        <v>89817</v>
      </c>
      <c r="R766" s="464"/>
      <c r="S766" s="461">
        <v>1673731</v>
      </c>
      <c r="T766" s="462">
        <v>-58583</v>
      </c>
      <c r="U766" s="462">
        <v>1615148</v>
      </c>
      <c r="W766" s="464">
        <v>10095379</v>
      </c>
      <c r="X766" s="464">
        <v>2313218</v>
      </c>
    </row>
    <row r="767" spans="1:24">
      <c r="A767" s="458">
        <v>98218</v>
      </c>
      <c r="B767" s="459" t="s">
        <v>1469</v>
      </c>
      <c r="C767" s="463">
        <v>1.5849999999999999E-5</v>
      </c>
      <c r="D767" s="463">
        <v>1.5999999999999999E-5</v>
      </c>
      <c r="E767" s="464">
        <v>104976</v>
      </c>
      <c r="F767" s="464"/>
      <c r="G767" s="461">
        <v>11697</v>
      </c>
      <c r="H767" s="461">
        <v>28096</v>
      </c>
      <c r="I767" s="461">
        <v>4461</v>
      </c>
      <c r="J767" s="464">
        <v>4397</v>
      </c>
      <c r="K767" s="464">
        <v>48651</v>
      </c>
      <c r="L767" s="464"/>
      <c r="M767" s="461">
        <v>252</v>
      </c>
      <c r="N767" s="461">
        <v>0</v>
      </c>
      <c r="O767" s="461">
        <v>0</v>
      </c>
      <c r="P767" s="464">
        <v>3524</v>
      </c>
      <c r="Q767" s="464">
        <v>3776</v>
      </c>
      <c r="R767" s="464"/>
      <c r="S767" s="461">
        <v>30152</v>
      </c>
      <c r="T767" s="462">
        <v>807</v>
      </c>
      <c r="U767" s="462">
        <v>30959</v>
      </c>
      <c r="W767" s="464">
        <v>181867</v>
      </c>
      <c r="X767" s="464">
        <v>41672</v>
      </c>
    </row>
    <row r="768" spans="1:24">
      <c r="A768" s="458">
        <v>98221</v>
      </c>
      <c r="B768" s="459" t="s">
        <v>1470</v>
      </c>
      <c r="C768" s="463">
        <v>2.6169999999999998E-5</v>
      </c>
      <c r="D768" s="463">
        <v>2.4199999999999999E-5</v>
      </c>
      <c r="E768" s="464">
        <v>173326</v>
      </c>
      <c r="F768" s="464"/>
      <c r="G768" s="461">
        <v>19314</v>
      </c>
      <c r="H768" s="461">
        <v>46390</v>
      </c>
      <c r="I768" s="461">
        <v>7365</v>
      </c>
      <c r="J768" s="464">
        <v>1490</v>
      </c>
      <c r="K768" s="464">
        <v>74559</v>
      </c>
      <c r="L768" s="464"/>
      <c r="M768" s="461">
        <v>416</v>
      </c>
      <c r="N768" s="461">
        <v>0</v>
      </c>
      <c r="O768" s="461">
        <v>0</v>
      </c>
      <c r="P768" s="464">
        <v>2450</v>
      </c>
      <c r="Q768" s="464">
        <v>2866</v>
      </c>
      <c r="R768" s="464"/>
      <c r="S768" s="461">
        <v>49784</v>
      </c>
      <c r="T768" s="462">
        <v>-1402</v>
      </c>
      <c r="U768" s="462">
        <v>48382</v>
      </c>
      <c r="W768" s="464">
        <v>300281</v>
      </c>
      <c r="X768" s="464">
        <v>68805</v>
      </c>
    </row>
    <row r="769" spans="1:24">
      <c r="A769" s="458">
        <v>98231</v>
      </c>
      <c r="B769" s="459" t="s">
        <v>1471</v>
      </c>
      <c r="C769" s="463">
        <v>2.0129999999999999E-5</v>
      </c>
      <c r="D769" s="463">
        <v>2.5700000000000001E-5</v>
      </c>
      <c r="E769" s="464">
        <v>133323</v>
      </c>
      <c r="F769" s="464"/>
      <c r="G769" s="461">
        <v>14856</v>
      </c>
      <c r="H769" s="461">
        <v>35683</v>
      </c>
      <c r="I769" s="461">
        <v>5665</v>
      </c>
      <c r="J769" s="464">
        <v>7454</v>
      </c>
      <c r="K769" s="464">
        <v>63658</v>
      </c>
      <c r="L769" s="464"/>
      <c r="M769" s="461">
        <v>320</v>
      </c>
      <c r="N769" s="461">
        <v>0</v>
      </c>
      <c r="O769" s="461">
        <v>0</v>
      </c>
      <c r="P769" s="464">
        <v>30580</v>
      </c>
      <c r="Q769" s="464">
        <v>30900</v>
      </c>
      <c r="R769" s="464"/>
      <c r="S769" s="461">
        <v>38294</v>
      </c>
      <c r="T769" s="462">
        <v>-7053</v>
      </c>
      <c r="U769" s="462">
        <v>31241</v>
      </c>
      <c r="W769" s="464">
        <v>230976</v>
      </c>
      <c r="X769" s="464">
        <v>52925</v>
      </c>
    </row>
    <row r="770" spans="1:24">
      <c r="A770" s="458">
        <v>98237</v>
      </c>
      <c r="B770" s="459" t="s">
        <v>1472</v>
      </c>
      <c r="C770" s="463">
        <v>7.6000000000000001E-6</v>
      </c>
      <c r="D770" s="463">
        <v>6.1E-6</v>
      </c>
      <c r="E770" s="464">
        <v>50335</v>
      </c>
      <c r="F770" s="464"/>
      <c r="G770" s="461">
        <v>5609</v>
      </c>
      <c r="H770" s="461">
        <v>13472</v>
      </c>
      <c r="I770" s="461">
        <v>2139</v>
      </c>
      <c r="J770" s="464">
        <v>5266</v>
      </c>
      <c r="K770" s="464">
        <v>26486</v>
      </c>
      <c r="L770" s="464"/>
      <c r="M770" s="461">
        <v>121</v>
      </c>
      <c r="N770" s="461">
        <v>0</v>
      </c>
      <c r="O770" s="461">
        <v>0</v>
      </c>
      <c r="P770" s="464">
        <v>455</v>
      </c>
      <c r="Q770" s="464">
        <v>576</v>
      </c>
      <c r="R770" s="464"/>
      <c r="S770" s="461">
        <v>14458</v>
      </c>
      <c r="T770" s="462">
        <v>1974</v>
      </c>
      <c r="U770" s="462">
        <v>16432</v>
      </c>
      <c r="W770" s="464">
        <v>87204</v>
      </c>
      <c r="X770" s="464">
        <v>19982</v>
      </c>
    </row>
    <row r="771" spans="1:24">
      <c r="A771" s="458">
        <v>98241</v>
      </c>
      <c r="B771" s="459" t="s">
        <v>1473</v>
      </c>
      <c r="C771" s="463">
        <v>9.9399999999999997E-6</v>
      </c>
      <c r="D771" s="463">
        <v>8.3000000000000002E-6</v>
      </c>
      <c r="E771" s="464">
        <v>65833</v>
      </c>
      <c r="F771" s="464"/>
      <c r="G771" s="461">
        <v>7336</v>
      </c>
      <c r="H771" s="461">
        <v>17620</v>
      </c>
      <c r="I771" s="461">
        <v>2798</v>
      </c>
      <c r="J771" s="464">
        <v>11790</v>
      </c>
      <c r="K771" s="464">
        <v>39544</v>
      </c>
      <c r="L771" s="464"/>
      <c r="M771" s="461">
        <v>158</v>
      </c>
      <c r="N771" s="461">
        <v>0</v>
      </c>
      <c r="O771" s="461">
        <v>0</v>
      </c>
      <c r="P771" s="464">
        <v>1411</v>
      </c>
      <c r="Q771" s="464">
        <v>1569</v>
      </c>
      <c r="R771" s="464"/>
      <c r="S771" s="461">
        <v>18909</v>
      </c>
      <c r="T771" s="462">
        <v>1354</v>
      </c>
      <c r="U771" s="462">
        <v>20263</v>
      </c>
      <c r="W771" s="464">
        <v>114054</v>
      </c>
      <c r="X771" s="464">
        <v>26134</v>
      </c>
    </row>
    <row r="772" spans="1:24">
      <c r="A772" s="458">
        <v>98251</v>
      </c>
      <c r="B772" s="459" t="s">
        <v>1474</v>
      </c>
      <c r="C772" s="463">
        <v>1.9300000000000002E-6</v>
      </c>
      <c r="D772" s="463">
        <v>2.3E-6</v>
      </c>
      <c r="E772" s="464">
        <v>12783</v>
      </c>
      <c r="F772" s="464"/>
      <c r="G772" s="461">
        <v>1424</v>
      </c>
      <c r="H772" s="461">
        <v>3421</v>
      </c>
      <c r="I772" s="461">
        <v>543</v>
      </c>
      <c r="J772" s="464">
        <v>2766</v>
      </c>
      <c r="K772" s="464">
        <v>8154</v>
      </c>
      <c r="L772" s="464"/>
      <c r="M772" s="461">
        <v>31</v>
      </c>
      <c r="N772" s="461">
        <v>0</v>
      </c>
      <c r="O772" s="461">
        <v>0</v>
      </c>
      <c r="P772" s="464">
        <v>341</v>
      </c>
      <c r="Q772" s="464">
        <v>372</v>
      </c>
      <c r="R772" s="464"/>
      <c r="S772" s="461">
        <v>3672</v>
      </c>
      <c r="T772" s="462">
        <v>1960</v>
      </c>
      <c r="U772" s="462">
        <v>5632</v>
      </c>
      <c r="W772" s="464">
        <v>22145</v>
      </c>
      <c r="X772" s="464">
        <v>5074</v>
      </c>
    </row>
    <row r="773" spans="1:24">
      <c r="A773" s="458">
        <v>98261</v>
      </c>
      <c r="B773" s="459" t="s">
        <v>1475</v>
      </c>
      <c r="C773" s="463">
        <v>2.3370000000000002E-5</v>
      </c>
      <c r="D773" s="463">
        <v>2.7900000000000001E-5</v>
      </c>
      <c r="E773" s="464">
        <v>154782</v>
      </c>
      <c r="F773" s="464"/>
      <c r="G773" s="461">
        <v>17247</v>
      </c>
      <c r="H773" s="461">
        <v>41426</v>
      </c>
      <c r="I773" s="461">
        <v>6577</v>
      </c>
      <c r="J773" s="464">
        <v>1978</v>
      </c>
      <c r="K773" s="464">
        <v>67228</v>
      </c>
      <c r="L773" s="464"/>
      <c r="M773" s="461">
        <v>371</v>
      </c>
      <c r="N773" s="461">
        <v>0</v>
      </c>
      <c r="O773" s="461">
        <v>0</v>
      </c>
      <c r="P773" s="464">
        <v>15076</v>
      </c>
      <c r="Q773" s="464">
        <v>15447</v>
      </c>
      <c r="R773" s="464"/>
      <c r="S773" s="461">
        <v>44458</v>
      </c>
      <c r="T773" s="462">
        <v>-4258</v>
      </c>
      <c r="U773" s="462">
        <v>40200</v>
      </c>
      <c r="W773" s="464">
        <v>268153</v>
      </c>
      <c r="X773" s="464">
        <v>61444</v>
      </c>
    </row>
    <row r="774" spans="1:24">
      <c r="A774" s="458">
        <v>98271</v>
      </c>
      <c r="B774" s="459" t="s">
        <v>1476</v>
      </c>
      <c r="C774" s="463">
        <v>1.3740000000000001E-5</v>
      </c>
      <c r="D774" s="463">
        <v>8.8999999999999995E-6</v>
      </c>
      <c r="E774" s="464">
        <v>91001</v>
      </c>
      <c r="F774" s="464"/>
      <c r="G774" s="461">
        <v>10140</v>
      </c>
      <c r="H774" s="461">
        <v>24356</v>
      </c>
      <c r="I774" s="461">
        <v>3867</v>
      </c>
      <c r="J774" s="464">
        <v>9200</v>
      </c>
      <c r="K774" s="464">
        <v>47563</v>
      </c>
      <c r="L774" s="464"/>
      <c r="M774" s="461">
        <v>218</v>
      </c>
      <c r="N774" s="461">
        <v>0</v>
      </c>
      <c r="O774" s="461">
        <v>0</v>
      </c>
      <c r="P774" s="464">
        <v>998</v>
      </c>
      <c r="Q774" s="464">
        <v>1216</v>
      </c>
      <c r="R774" s="464"/>
      <c r="S774" s="461">
        <v>26138</v>
      </c>
      <c r="T774" s="462">
        <v>4004</v>
      </c>
      <c r="U774" s="462">
        <v>30142</v>
      </c>
      <c r="W774" s="464">
        <v>157656</v>
      </c>
      <c r="X774" s="464">
        <v>36125</v>
      </c>
    </row>
    <row r="775" spans="1:24">
      <c r="A775" s="458">
        <v>98301</v>
      </c>
      <c r="B775" s="459" t="s">
        <v>1477</v>
      </c>
      <c r="C775" s="463">
        <v>1.9664999999999999E-3</v>
      </c>
      <c r="D775" s="463">
        <v>1.921E-3</v>
      </c>
      <c r="E775" s="464">
        <v>13024301</v>
      </c>
      <c r="F775" s="464"/>
      <c r="G775" s="461">
        <v>1451293</v>
      </c>
      <c r="H775" s="461">
        <v>3485873</v>
      </c>
      <c r="I775" s="461">
        <v>553458</v>
      </c>
      <c r="J775" s="464">
        <v>96635</v>
      </c>
      <c r="K775" s="464">
        <v>5587259</v>
      </c>
      <c r="L775" s="464"/>
      <c r="M775" s="461">
        <v>31244</v>
      </c>
      <c r="N775" s="461">
        <v>0</v>
      </c>
      <c r="O775" s="461">
        <v>0</v>
      </c>
      <c r="P775" s="464">
        <v>25499</v>
      </c>
      <c r="Q775" s="464">
        <v>56743</v>
      </c>
      <c r="R775" s="464"/>
      <c r="S775" s="461">
        <v>3740942</v>
      </c>
      <c r="T775" s="462">
        <v>95511</v>
      </c>
      <c r="U775" s="462">
        <v>3836453</v>
      </c>
      <c r="W775" s="464">
        <v>22564089</v>
      </c>
      <c r="X775" s="464">
        <v>5170253</v>
      </c>
    </row>
    <row r="776" spans="1:24">
      <c r="A776" s="458">
        <v>98304</v>
      </c>
      <c r="B776" s="459" t="s">
        <v>1478</v>
      </c>
      <c r="C776" s="463">
        <v>1.5359999999999999E-5</v>
      </c>
      <c r="D776" s="463">
        <v>1.9300000000000002E-5</v>
      </c>
      <c r="E776" s="464">
        <v>101731</v>
      </c>
      <c r="F776" s="464"/>
      <c r="G776" s="461">
        <v>11336</v>
      </c>
      <c r="H776" s="461">
        <v>27228</v>
      </c>
      <c r="I776" s="461">
        <v>4323</v>
      </c>
      <c r="J776" s="464">
        <v>3113</v>
      </c>
      <c r="K776" s="464">
        <v>46000</v>
      </c>
      <c r="L776" s="464"/>
      <c r="M776" s="461">
        <v>244</v>
      </c>
      <c r="N776" s="461">
        <v>0</v>
      </c>
      <c r="O776" s="461">
        <v>0</v>
      </c>
      <c r="P776" s="464">
        <v>8835</v>
      </c>
      <c r="Q776" s="464">
        <v>9079</v>
      </c>
      <c r="R776" s="464"/>
      <c r="S776" s="461">
        <v>29220</v>
      </c>
      <c r="T776" s="462">
        <v>1343</v>
      </c>
      <c r="U776" s="462">
        <v>30563</v>
      </c>
      <c r="W776" s="464">
        <v>176244</v>
      </c>
      <c r="X776" s="464">
        <v>40384</v>
      </c>
    </row>
    <row r="777" spans="1:24">
      <c r="A777" s="458">
        <v>98308</v>
      </c>
      <c r="B777" s="459" t="s">
        <v>1479</v>
      </c>
      <c r="C777" s="463">
        <v>3.1529999999999998E-5</v>
      </c>
      <c r="D777" s="463">
        <v>3.2400000000000001E-5</v>
      </c>
      <c r="E777" s="464">
        <v>208826</v>
      </c>
      <c r="F777" s="464"/>
      <c r="G777" s="461">
        <v>23269</v>
      </c>
      <c r="H777" s="461">
        <v>55891</v>
      </c>
      <c r="I777" s="461">
        <v>8874</v>
      </c>
      <c r="J777" s="464">
        <v>32490</v>
      </c>
      <c r="K777" s="464">
        <v>120524</v>
      </c>
      <c r="L777" s="464"/>
      <c r="M777" s="461">
        <v>501</v>
      </c>
      <c r="N777" s="461">
        <v>0</v>
      </c>
      <c r="O777" s="461">
        <v>0</v>
      </c>
      <c r="P777" s="464">
        <v>0</v>
      </c>
      <c r="Q777" s="464">
        <v>501</v>
      </c>
      <c r="R777" s="464"/>
      <c r="S777" s="461">
        <v>59981</v>
      </c>
      <c r="T777" s="462">
        <v>21490</v>
      </c>
      <c r="U777" s="462">
        <v>81471</v>
      </c>
      <c r="W777" s="464">
        <v>361783</v>
      </c>
      <c r="X777" s="464">
        <v>82898</v>
      </c>
    </row>
    <row r="778" spans="1:24">
      <c r="A778" s="458">
        <v>98311</v>
      </c>
      <c r="B778" s="459" t="s">
        <v>1480</v>
      </c>
      <c r="C778" s="463">
        <v>8.9366000000000001E-4</v>
      </c>
      <c r="D778" s="463">
        <v>9.3440000000000005E-4</v>
      </c>
      <c r="E778" s="464">
        <v>5918788</v>
      </c>
      <c r="F778" s="464"/>
      <c r="G778" s="461">
        <v>659528</v>
      </c>
      <c r="H778" s="461">
        <v>1584127</v>
      </c>
      <c r="I778" s="461">
        <v>251514</v>
      </c>
      <c r="J778" s="464">
        <v>12769</v>
      </c>
      <c r="K778" s="464">
        <v>2507938</v>
      </c>
      <c r="L778" s="464"/>
      <c r="M778" s="461">
        <v>14198</v>
      </c>
      <c r="N778" s="461">
        <v>0</v>
      </c>
      <c r="O778" s="461">
        <v>0</v>
      </c>
      <c r="P778" s="464">
        <v>185543</v>
      </c>
      <c r="Q778" s="464">
        <v>199741</v>
      </c>
      <c r="R778" s="464"/>
      <c r="S778" s="461">
        <v>1700041</v>
      </c>
      <c r="T778" s="462">
        <v>-120709</v>
      </c>
      <c r="U778" s="462">
        <v>1579332</v>
      </c>
      <c r="W778" s="464">
        <v>10254068</v>
      </c>
      <c r="X778" s="464">
        <v>2349580</v>
      </c>
    </row>
    <row r="779" spans="1:24">
      <c r="A779" s="458">
        <v>98313</v>
      </c>
      <c r="B779" s="459" t="s">
        <v>1481</v>
      </c>
      <c r="C779" s="463">
        <v>1.6160999999999999E-4</v>
      </c>
      <c r="D779" s="463">
        <v>2.207E-4</v>
      </c>
      <c r="E779" s="464">
        <v>1070357</v>
      </c>
      <c r="F779" s="464"/>
      <c r="G779" s="461">
        <v>119269</v>
      </c>
      <c r="H779" s="461">
        <v>286474</v>
      </c>
      <c r="I779" s="461">
        <v>45484</v>
      </c>
      <c r="J779" s="464">
        <v>145141</v>
      </c>
      <c r="K779" s="464">
        <v>596368</v>
      </c>
      <c r="L779" s="464"/>
      <c r="M779" s="461">
        <v>2568</v>
      </c>
      <c r="N779" s="461">
        <v>0</v>
      </c>
      <c r="O779" s="461">
        <v>0</v>
      </c>
      <c r="P779" s="464">
        <v>14680</v>
      </c>
      <c r="Q779" s="464">
        <v>17248</v>
      </c>
      <c r="R779" s="464"/>
      <c r="S779" s="461">
        <v>307436</v>
      </c>
      <c r="T779" s="462">
        <v>117568</v>
      </c>
      <c r="U779" s="462">
        <v>425004</v>
      </c>
      <c r="W779" s="464">
        <v>1854352</v>
      </c>
      <c r="X779" s="464">
        <v>424899</v>
      </c>
    </row>
    <row r="780" spans="1:24">
      <c r="A780" s="458">
        <v>98321</v>
      </c>
      <c r="B780" s="459" t="s">
        <v>1482</v>
      </c>
      <c r="C780" s="463">
        <v>1.658E-5</v>
      </c>
      <c r="D780" s="463">
        <v>1.19E-5</v>
      </c>
      <c r="E780" s="464">
        <v>109811</v>
      </c>
      <c r="F780" s="464"/>
      <c r="G780" s="461">
        <v>12236</v>
      </c>
      <c r="H780" s="461">
        <v>29390</v>
      </c>
      <c r="I780" s="461">
        <v>4666</v>
      </c>
      <c r="J780" s="464">
        <v>14323</v>
      </c>
      <c r="K780" s="464">
        <v>60615</v>
      </c>
      <c r="L780" s="464"/>
      <c r="M780" s="461">
        <v>263</v>
      </c>
      <c r="N780" s="461">
        <v>0</v>
      </c>
      <c r="O780" s="461">
        <v>0</v>
      </c>
      <c r="P780" s="464">
        <v>796</v>
      </c>
      <c r="Q780" s="464">
        <v>1059</v>
      </c>
      <c r="R780" s="464"/>
      <c r="S780" s="461">
        <v>31541</v>
      </c>
      <c r="T780" s="462">
        <v>3577</v>
      </c>
      <c r="U780" s="462">
        <v>35118</v>
      </c>
      <c r="W780" s="464">
        <v>190243</v>
      </c>
      <c r="X780" s="464">
        <v>43592</v>
      </c>
    </row>
    <row r="781" spans="1:24">
      <c r="A781" s="458">
        <v>98331</v>
      </c>
      <c r="B781" s="459" t="s">
        <v>1483</v>
      </c>
      <c r="C781" s="463">
        <v>3.8099999999999999E-6</v>
      </c>
      <c r="D781" s="463">
        <v>6.3999999999999997E-6</v>
      </c>
      <c r="E781" s="464">
        <v>25234</v>
      </c>
      <c r="F781" s="464"/>
      <c r="G781" s="461">
        <v>2812</v>
      </c>
      <c r="H781" s="461">
        <v>6754</v>
      </c>
      <c r="I781" s="461">
        <v>1072</v>
      </c>
      <c r="J781" s="464">
        <v>3729</v>
      </c>
      <c r="K781" s="464">
        <v>14367</v>
      </c>
      <c r="L781" s="464"/>
      <c r="M781" s="461">
        <v>61</v>
      </c>
      <c r="N781" s="461">
        <v>0</v>
      </c>
      <c r="O781" s="461">
        <v>0</v>
      </c>
      <c r="P781" s="464">
        <v>5120</v>
      </c>
      <c r="Q781" s="464">
        <v>5181</v>
      </c>
      <c r="R781" s="464"/>
      <c r="S781" s="461">
        <v>7248</v>
      </c>
      <c r="T781" s="462">
        <v>-147</v>
      </c>
      <c r="U781" s="462">
        <v>7101</v>
      </c>
      <c r="W781" s="464">
        <v>43717</v>
      </c>
      <c r="X781" s="464">
        <v>10017</v>
      </c>
    </row>
    <row r="782" spans="1:24">
      <c r="A782" s="458">
        <v>98401</v>
      </c>
      <c r="B782" s="459" t="s">
        <v>1484</v>
      </c>
      <c r="C782" s="463">
        <v>2.7263999999999999E-3</v>
      </c>
      <c r="D782" s="463">
        <v>2.8084E-3</v>
      </c>
      <c r="E782" s="464">
        <v>18057184</v>
      </c>
      <c r="F782" s="464"/>
      <c r="G782" s="461">
        <v>2012105</v>
      </c>
      <c r="H782" s="461">
        <v>4832893</v>
      </c>
      <c r="I782" s="461">
        <v>767326</v>
      </c>
      <c r="J782" s="464">
        <v>49241</v>
      </c>
      <c r="K782" s="464">
        <v>7661565</v>
      </c>
      <c r="L782" s="464"/>
      <c r="M782" s="461">
        <v>43317</v>
      </c>
      <c r="N782" s="461">
        <v>0</v>
      </c>
      <c r="O782" s="461">
        <v>0</v>
      </c>
      <c r="P782" s="464">
        <v>226851</v>
      </c>
      <c r="Q782" s="464">
        <v>270168</v>
      </c>
      <c r="R782" s="464"/>
      <c r="S782" s="461">
        <v>5186526</v>
      </c>
      <c r="T782" s="462">
        <v>861</v>
      </c>
      <c r="U782" s="462">
        <v>5187387</v>
      </c>
      <c r="W782" s="464">
        <v>31283362</v>
      </c>
      <c r="X782" s="464">
        <v>7168155</v>
      </c>
    </row>
    <row r="783" spans="1:24">
      <c r="A783" s="458">
        <v>98404</v>
      </c>
      <c r="B783" s="459" t="s">
        <v>1485</v>
      </c>
      <c r="C783" s="463">
        <v>3.0349999999999999E-5</v>
      </c>
      <c r="D783" s="463">
        <v>3.54E-5</v>
      </c>
      <c r="E783" s="464">
        <v>201011</v>
      </c>
      <c r="F783" s="464"/>
      <c r="G783" s="461">
        <v>22399</v>
      </c>
      <c r="H783" s="461">
        <v>53799</v>
      </c>
      <c r="I783" s="461">
        <v>8542</v>
      </c>
      <c r="J783" s="464">
        <v>19128</v>
      </c>
      <c r="K783" s="464">
        <v>103868</v>
      </c>
      <c r="L783" s="464"/>
      <c r="M783" s="461">
        <v>482</v>
      </c>
      <c r="N783" s="461">
        <v>0</v>
      </c>
      <c r="O783" s="461">
        <v>0</v>
      </c>
      <c r="P783" s="464">
        <v>17147</v>
      </c>
      <c r="Q783" s="464">
        <v>17629</v>
      </c>
      <c r="R783" s="464"/>
      <c r="S783" s="461">
        <v>57736</v>
      </c>
      <c r="T783" s="462">
        <v>5939</v>
      </c>
      <c r="U783" s="462">
        <v>63675</v>
      </c>
      <c r="W783" s="464">
        <v>348243</v>
      </c>
      <c r="X783" s="464">
        <v>79795</v>
      </c>
    </row>
    <row r="784" spans="1:24">
      <c r="A784" s="458">
        <v>98411</v>
      </c>
      <c r="B784" s="459" t="s">
        <v>1486</v>
      </c>
      <c r="C784" s="463">
        <v>1.87682E-3</v>
      </c>
      <c r="D784" s="463">
        <v>1.8399E-3</v>
      </c>
      <c r="E784" s="464">
        <v>12430342</v>
      </c>
      <c r="F784" s="464"/>
      <c r="G784" s="461">
        <v>1385108</v>
      </c>
      <c r="H784" s="461">
        <v>3326904</v>
      </c>
      <c r="I784" s="461">
        <v>528218</v>
      </c>
      <c r="J784" s="464">
        <v>93566</v>
      </c>
      <c r="K784" s="464">
        <v>5333796</v>
      </c>
      <c r="L784" s="464"/>
      <c r="M784" s="461">
        <v>29819</v>
      </c>
      <c r="N784" s="461">
        <v>0</v>
      </c>
      <c r="O784" s="461">
        <v>0</v>
      </c>
      <c r="P784" s="464">
        <v>33576</v>
      </c>
      <c r="Q784" s="464">
        <v>63395</v>
      </c>
      <c r="R784" s="464"/>
      <c r="S784" s="461">
        <v>3570340</v>
      </c>
      <c r="T784" s="462">
        <v>-59068</v>
      </c>
      <c r="U784" s="462">
        <v>3511272</v>
      </c>
      <c r="W784" s="464">
        <v>21535079</v>
      </c>
      <c r="X784" s="464">
        <v>4934469</v>
      </c>
    </row>
    <row r="785" spans="1:24">
      <c r="A785" s="458">
        <v>98414</v>
      </c>
      <c r="B785" s="459" t="s">
        <v>1487</v>
      </c>
      <c r="C785" s="463">
        <v>3.7610000000000001E-5</v>
      </c>
      <c r="D785" s="463">
        <v>3.7599999999999999E-5</v>
      </c>
      <c r="E785" s="464">
        <v>249094</v>
      </c>
      <c r="F785" s="464"/>
      <c r="G785" s="461">
        <v>27756</v>
      </c>
      <c r="H785" s="461">
        <v>66669</v>
      </c>
      <c r="I785" s="461">
        <v>10585</v>
      </c>
      <c r="J785" s="464">
        <v>1831</v>
      </c>
      <c r="K785" s="464">
        <v>106841</v>
      </c>
      <c r="L785" s="464"/>
      <c r="M785" s="461">
        <v>598</v>
      </c>
      <c r="N785" s="461">
        <v>0</v>
      </c>
      <c r="O785" s="461">
        <v>0</v>
      </c>
      <c r="P785" s="464">
        <v>7025</v>
      </c>
      <c r="Q785" s="464">
        <v>7623</v>
      </c>
      <c r="R785" s="464"/>
      <c r="S785" s="461">
        <v>71547</v>
      </c>
      <c r="T785" s="462">
        <v>-749</v>
      </c>
      <c r="U785" s="462">
        <v>70798</v>
      </c>
      <c r="W785" s="464">
        <v>431546</v>
      </c>
      <c r="X785" s="464">
        <v>98883</v>
      </c>
    </row>
    <row r="786" spans="1:24">
      <c r="A786" s="458">
        <v>98417</v>
      </c>
      <c r="B786" s="459" t="s">
        <v>1488</v>
      </c>
      <c r="C786" s="463">
        <v>2.8549999999999999E-5</v>
      </c>
      <c r="D786" s="463">
        <v>2.0400000000000001E-5</v>
      </c>
      <c r="E786" s="464">
        <v>189089</v>
      </c>
      <c r="F786" s="464"/>
      <c r="G786" s="461">
        <v>21070</v>
      </c>
      <c r="H786" s="461">
        <v>50609</v>
      </c>
      <c r="I786" s="461">
        <v>8035</v>
      </c>
      <c r="J786" s="464">
        <v>34612</v>
      </c>
      <c r="K786" s="464">
        <v>114326</v>
      </c>
      <c r="L786" s="464"/>
      <c r="M786" s="461">
        <v>454</v>
      </c>
      <c r="N786" s="461">
        <v>0</v>
      </c>
      <c r="O786" s="461">
        <v>0</v>
      </c>
      <c r="P786" s="464">
        <v>1137</v>
      </c>
      <c r="Q786" s="464">
        <v>1591</v>
      </c>
      <c r="R786" s="464"/>
      <c r="S786" s="461">
        <v>54312</v>
      </c>
      <c r="T786" s="462">
        <v>15863</v>
      </c>
      <c r="U786" s="462">
        <v>70175</v>
      </c>
      <c r="W786" s="464">
        <v>327589</v>
      </c>
      <c r="X786" s="464">
        <v>75063</v>
      </c>
    </row>
    <row r="787" spans="1:24">
      <c r="A787" s="458">
        <v>98421</v>
      </c>
      <c r="B787" s="459" t="s">
        <v>1489</v>
      </c>
      <c r="C787" s="463">
        <v>1.4755000000000001E-4</v>
      </c>
      <c r="D787" s="463">
        <v>1.12E-4</v>
      </c>
      <c r="E787" s="464">
        <v>977236</v>
      </c>
      <c r="F787" s="464"/>
      <c r="G787" s="461">
        <v>108893</v>
      </c>
      <c r="H787" s="461">
        <v>261551</v>
      </c>
      <c r="I787" s="461">
        <v>41527</v>
      </c>
      <c r="J787" s="464">
        <v>76231</v>
      </c>
      <c r="K787" s="464">
        <v>488202</v>
      </c>
      <c r="L787" s="464"/>
      <c r="M787" s="461">
        <v>2344</v>
      </c>
      <c r="N787" s="461">
        <v>0</v>
      </c>
      <c r="O787" s="461">
        <v>0</v>
      </c>
      <c r="P787" s="464">
        <v>1651</v>
      </c>
      <c r="Q787" s="464">
        <v>3995</v>
      </c>
      <c r="R787" s="464"/>
      <c r="S787" s="461">
        <v>280690</v>
      </c>
      <c r="T787" s="462">
        <v>22270</v>
      </c>
      <c r="U787" s="462">
        <v>302960</v>
      </c>
      <c r="W787" s="464">
        <v>1693024</v>
      </c>
      <c r="X787" s="464">
        <v>387933</v>
      </c>
    </row>
    <row r="788" spans="1:24">
      <c r="A788" s="458">
        <v>98427</v>
      </c>
      <c r="B788" s="459" t="s">
        <v>1490</v>
      </c>
      <c r="C788" s="463">
        <v>7.4100000000000002E-6</v>
      </c>
      <c r="D788" s="463">
        <v>6.1999999999999999E-6</v>
      </c>
      <c r="E788" s="464">
        <v>49077</v>
      </c>
      <c r="F788" s="464"/>
      <c r="G788" s="461">
        <v>5469</v>
      </c>
      <c r="H788" s="461">
        <v>13135</v>
      </c>
      <c r="I788" s="461">
        <v>2085</v>
      </c>
      <c r="J788" s="464">
        <v>8335</v>
      </c>
      <c r="K788" s="464">
        <v>29024</v>
      </c>
      <c r="L788" s="464"/>
      <c r="M788" s="461">
        <v>118</v>
      </c>
      <c r="N788" s="461">
        <v>0</v>
      </c>
      <c r="O788" s="461">
        <v>0</v>
      </c>
      <c r="P788" s="464">
        <v>0</v>
      </c>
      <c r="Q788" s="464">
        <v>118</v>
      </c>
      <c r="R788" s="464"/>
      <c r="S788" s="461">
        <v>14096</v>
      </c>
      <c r="T788" s="462">
        <v>4631</v>
      </c>
      <c r="U788" s="462">
        <v>18727</v>
      </c>
      <c r="W788" s="464">
        <v>85024</v>
      </c>
      <c r="X788" s="464">
        <v>19482</v>
      </c>
    </row>
    <row r="789" spans="1:24">
      <c r="A789" s="458">
        <v>98431</v>
      </c>
      <c r="B789" s="459" t="s">
        <v>1491</v>
      </c>
      <c r="C789" s="463">
        <v>2.3403000000000001E-4</v>
      </c>
      <c r="D789" s="463">
        <v>2.565E-4</v>
      </c>
      <c r="E789" s="464">
        <v>1550001</v>
      </c>
      <c r="F789" s="464"/>
      <c r="G789" s="461">
        <v>172716</v>
      </c>
      <c r="H789" s="461">
        <v>414848</v>
      </c>
      <c r="I789" s="461">
        <v>65866</v>
      </c>
      <c r="J789" s="464">
        <v>19201</v>
      </c>
      <c r="K789" s="464">
        <v>672631</v>
      </c>
      <c r="L789" s="464"/>
      <c r="M789" s="461">
        <v>3718</v>
      </c>
      <c r="N789" s="461">
        <v>0</v>
      </c>
      <c r="O789" s="461">
        <v>0</v>
      </c>
      <c r="P789" s="464">
        <v>112830</v>
      </c>
      <c r="Q789" s="464">
        <v>116548</v>
      </c>
      <c r="R789" s="464"/>
      <c r="S789" s="461">
        <v>445203</v>
      </c>
      <c r="T789" s="462">
        <v>-23859</v>
      </c>
      <c r="U789" s="462">
        <v>421344</v>
      </c>
      <c r="W789" s="464">
        <v>2685316</v>
      </c>
      <c r="X789" s="464">
        <v>615303</v>
      </c>
    </row>
    <row r="790" spans="1:24">
      <c r="A790" s="458">
        <v>98441</v>
      </c>
      <c r="B790" s="459" t="s">
        <v>1492</v>
      </c>
      <c r="C790" s="463">
        <v>1.0679E-4</v>
      </c>
      <c r="D790" s="463">
        <v>1.2129999999999999E-4</v>
      </c>
      <c r="E790" s="464">
        <v>707279</v>
      </c>
      <c r="F790" s="464"/>
      <c r="G790" s="461">
        <v>78812</v>
      </c>
      <c r="H790" s="461">
        <v>189299</v>
      </c>
      <c r="I790" s="461">
        <v>30055</v>
      </c>
      <c r="J790" s="464">
        <v>0</v>
      </c>
      <c r="K790" s="464">
        <v>298166</v>
      </c>
      <c r="L790" s="464"/>
      <c r="M790" s="461">
        <v>1697</v>
      </c>
      <c r="N790" s="461">
        <v>0</v>
      </c>
      <c r="O790" s="461">
        <v>0</v>
      </c>
      <c r="P790" s="464">
        <v>42744</v>
      </c>
      <c r="Q790" s="464">
        <v>44441</v>
      </c>
      <c r="R790" s="464"/>
      <c r="S790" s="461">
        <v>203150</v>
      </c>
      <c r="T790" s="462">
        <v>-13744</v>
      </c>
      <c r="U790" s="462">
        <v>189406</v>
      </c>
      <c r="W790" s="464">
        <v>1225334</v>
      </c>
      <c r="X790" s="464">
        <v>280769</v>
      </c>
    </row>
    <row r="791" spans="1:24">
      <c r="A791" s="458">
        <v>98451</v>
      </c>
      <c r="B791" s="459" t="s">
        <v>1493</v>
      </c>
      <c r="C791" s="463">
        <v>4.1E-5</v>
      </c>
      <c r="D791" s="463">
        <v>5.1E-5</v>
      </c>
      <c r="E791" s="464">
        <v>271547</v>
      </c>
      <c r="F791" s="464"/>
      <c r="G791" s="461">
        <v>30258</v>
      </c>
      <c r="H791" s="461">
        <v>72678</v>
      </c>
      <c r="I791" s="461">
        <v>11539</v>
      </c>
      <c r="J791" s="464">
        <v>12518</v>
      </c>
      <c r="K791" s="464">
        <v>126993</v>
      </c>
      <c r="L791" s="464"/>
      <c r="M791" s="461">
        <v>651</v>
      </c>
      <c r="N791" s="461">
        <v>0</v>
      </c>
      <c r="O791" s="461">
        <v>0</v>
      </c>
      <c r="P791" s="464">
        <v>26738</v>
      </c>
      <c r="Q791" s="464">
        <v>27389</v>
      </c>
      <c r="R791" s="464"/>
      <c r="S791" s="461">
        <v>77996</v>
      </c>
      <c r="T791" s="462">
        <v>-2202</v>
      </c>
      <c r="U791" s="462">
        <v>75794</v>
      </c>
      <c r="W791" s="464">
        <v>470444</v>
      </c>
      <c r="X791" s="464">
        <v>107796</v>
      </c>
    </row>
    <row r="792" spans="1:24">
      <c r="A792" s="458">
        <v>98471</v>
      </c>
      <c r="B792" s="459" t="s">
        <v>1638</v>
      </c>
      <c r="C792" s="463">
        <v>1.3360000000000001E-5</v>
      </c>
      <c r="D792" s="463">
        <v>9.5000000000000005E-6</v>
      </c>
      <c r="E792" s="464">
        <v>88484</v>
      </c>
      <c r="F792" s="464"/>
      <c r="G792" s="461">
        <v>9860</v>
      </c>
      <c r="H792" s="461">
        <v>23682</v>
      </c>
      <c r="I792" s="461">
        <v>3760</v>
      </c>
      <c r="J792" s="464">
        <v>8274</v>
      </c>
      <c r="K792" s="464">
        <v>45576</v>
      </c>
      <c r="L792" s="464"/>
      <c r="M792" s="461">
        <v>212</v>
      </c>
      <c r="N792" s="461">
        <v>0</v>
      </c>
      <c r="O792" s="461">
        <v>0</v>
      </c>
      <c r="P792" s="464">
        <v>1280</v>
      </c>
      <c r="Q792" s="464">
        <v>1492</v>
      </c>
      <c r="R792" s="464"/>
      <c r="S792" s="461">
        <v>25415</v>
      </c>
      <c r="T792" s="462">
        <v>3387</v>
      </c>
      <c r="U792" s="462">
        <v>28802</v>
      </c>
      <c r="W792" s="464">
        <v>153296</v>
      </c>
      <c r="X792" s="464">
        <v>35126</v>
      </c>
    </row>
    <row r="793" spans="1:24">
      <c r="A793" s="458">
        <v>98481</v>
      </c>
      <c r="B793" s="459" t="s">
        <v>1494</v>
      </c>
      <c r="C793" s="463">
        <v>7.4939999999999997E-5</v>
      </c>
      <c r="D793" s="463">
        <v>7.5900000000000002E-5</v>
      </c>
      <c r="E793" s="464">
        <v>496334</v>
      </c>
      <c r="F793" s="464"/>
      <c r="G793" s="461">
        <v>55306</v>
      </c>
      <c r="H793" s="461">
        <v>132841</v>
      </c>
      <c r="I793" s="461">
        <v>21091</v>
      </c>
      <c r="J793" s="464">
        <v>11654</v>
      </c>
      <c r="K793" s="464">
        <v>220892</v>
      </c>
      <c r="L793" s="464"/>
      <c r="M793" s="461">
        <v>1191</v>
      </c>
      <c r="N793" s="461">
        <v>0</v>
      </c>
      <c r="O793" s="461">
        <v>0</v>
      </c>
      <c r="P793" s="464">
        <v>8816</v>
      </c>
      <c r="Q793" s="464">
        <v>10007</v>
      </c>
      <c r="R793" s="464"/>
      <c r="S793" s="461">
        <v>142561</v>
      </c>
      <c r="T793" s="462">
        <v>2399</v>
      </c>
      <c r="U793" s="462">
        <v>144960</v>
      </c>
      <c r="W793" s="464">
        <v>859879</v>
      </c>
      <c r="X793" s="464">
        <v>197030</v>
      </c>
    </row>
    <row r="794" spans="1:24">
      <c r="A794" s="458">
        <v>98501</v>
      </c>
      <c r="B794" s="459" t="s">
        <v>1495</v>
      </c>
      <c r="C794" s="463">
        <v>1.99154E-3</v>
      </c>
      <c r="D794" s="463">
        <v>2.0772E-3</v>
      </c>
      <c r="E794" s="464">
        <v>13190143</v>
      </c>
      <c r="F794" s="464"/>
      <c r="G794" s="461">
        <v>1469772</v>
      </c>
      <c r="H794" s="461">
        <v>3530260</v>
      </c>
      <c r="I794" s="461">
        <v>560505</v>
      </c>
      <c r="J794" s="464">
        <v>160793</v>
      </c>
      <c r="K794" s="464">
        <v>5721330</v>
      </c>
      <c r="L794" s="464"/>
      <c r="M794" s="461">
        <v>31642</v>
      </c>
      <c r="N794" s="461">
        <v>0</v>
      </c>
      <c r="O794" s="461">
        <v>0</v>
      </c>
      <c r="P794" s="464">
        <v>309570</v>
      </c>
      <c r="Q794" s="464">
        <v>341212</v>
      </c>
      <c r="R794" s="464"/>
      <c r="S794" s="461">
        <v>3788576</v>
      </c>
      <c r="T794" s="462">
        <v>151687</v>
      </c>
      <c r="U794" s="462">
        <v>3940263</v>
      </c>
      <c r="W794" s="464">
        <v>22851404</v>
      </c>
      <c r="X794" s="464">
        <v>5236087</v>
      </c>
    </row>
    <row r="795" spans="1:24">
      <c r="A795" s="458">
        <v>98511</v>
      </c>
      <c r="B795" s="459" t="s">
        <v>1496</v>
      </c>
      <c r="C795" s="463">
        <v>6.4839999999999996E-5</v>
      </c>
      <c r="D795" s="463">
        <v>6.9300000000000004E-5</v>
      </c>
      <c r="E795" s="464">
        <v>429441</v>
      </c>
      <c r="F795" s="464"/>
      <c r="G795" s="461">
        <v>47852</v>
      </c>
      <c r="H795" s="461">
        <v>114937</v>
      </c>
      <c r="I795" s="461">
        <v>18249</v>
      </c>
      <c r="J795" s="464">
        <v>26139</v>
      </c>
      <c r="K795" s="464">
        <v>207177</v>
      </c>
      <c r="L795" s="464"/>
      <c r="M795" s="461">
        <v>1030</v>
      </c>
      <c r="N795" s="461">
        <v>0</v>
      </c>
      <c r="O795" s="461">
        <v>0</v>
      </c>
      <c r="P795" s="464">
        <v>11527</v>
      </c>
      <c r="Q795" s="464">
        <v>12557</v>
      </c>
      <c r="R795" s="464"/>
      <c r="S795" s="461">
        <v>123347</v>
      </c>
      <c r="T795" s="462">
        <v>10602</v>
      </c>
      <c r="U795" s="462">
        <v>133949</v>
      </c>
      <c r="W795" s="464">
        <v>743990</v>
      </c>
      <c r="X795" s="464">
        <v>170475</v>
      </c>
    </row>
    <row r="796" spans="1:24">
      <c r="A796" s="458">
        <v>98517</v>
      </c>
      <c r="B796" s="459" t="s">
        <v>1497</v>
      </c>
      <c r="C796" s="463">
        <v>1.6160000000000001E-5</v>
      </c>
      <c r="D796" s="463">
        <v>1.95E-5</v>
      </c>
      <c r="E796" s="464">
        <v>107029</v>
      </c>
      <c r="F796" s="464"/>
      <c r="G796" s="461">
        <v>11926</v>
      </c>
      <c r="H796" s="461">
        <v>28646</v>
      </c>
      <c r="I796" s="461">
        <v>4548</v>
      </c>
      <c r="J796" s="464">
        <v>11350</v>
      </c>
      <c r="K796" s="464">
        <v>56470</v>
      </c>
      <c r="L796" s="464"/>
      <c r="M796" s="461">
        <v>257</v>
      </c>
      <c r="N796" s="461">
        <v>0</v>
      </c>
      <c r="O796" s="461">
        <v>0</v>
      </c>
      <c r="P796" s="464">
        <v>16803</v>
      </c>
      <c r="Q796" s="464">
        <v>17060</v>
      </c>
      <c r="R796" s="464"/>
      <c r="S796" s="461">
        <v>30742</v>
      </c>
      <c r="T796" s="462">
        <v>3121</v>
      </c>
      <c r="U796" s="462">
        <v>33863</v>
      </c>
      <c r="W796" s="464">
        <v>185424</v>
      </c>
      <c r="X796" s="464">
        <v>42487</v>
      </c>
    </row>
    <row r="797" spans="1:24">
      <c r="A797" s="458">
        <v>98521</v>
      </c>
      <c r="B797" s="459" t="s">
        <v>1498</v>
      </c>
      <c r="C797" s="463">
        <v>5.8965999999999999E-4</v>
      </c>
      <c r="D797" s="463">
        <v>6.4190000000000004E-4</v>
      </c>
      <c r="E797" s="464">
        <v>3905369</v>
      </c>
      <c r="F797" s="464"/>
      <c r="G797" s="461">
        <v>435174</v>
      </c>
      <c r="H797" s="461">
        <v>1045248</v>
      </c>
      <c r="I797" s="461">
        <v>165956</v>
      </c>
      <c r="J797" s="464">
        <v>0</v>
      </c>
      <c r="K797" s="464">
        <v>1646378</v>
      </c>
      <c r="L797" s="464"/>
      <c r="M797" s="461">
        <v>9369</v>
      </c>
      <c r="N797" s="461">
        <v>0</v>
      </c>
      <c r="O797" s="461">
        <v>0</v>
      </c>
      <c r="P797" s="464">
        <v>154132</v>
      </c>
      <c r="Q797" s="464">
        <v>163501</v>
      </c>
      <c r="R797" s="464"/>
      <c r="S797" s="461">
        <v>1121731</v>
      </c>
      <c r="T797" s="462">
        <v>-57080</v>
      </c>
      <c r="U797" s="462">
        <v>1064651</v>
      </c>
      <c r="W797" s="464">
        <v>6765899</v>
      </c>
      <c r="X797" s="464">
        <v>1550313</v>
      </c>
    </row>
    <row r="798" spans="1:24">
      <c r="A798" s="458">
        <v>98601</v>
      </c>
      <c r="B798" s="459" t="s">
        <v>1499</v>
      </c>
      <c r="C798" s="463">
        <v>3.4277399999999999E-3</v>
      </c>
      <c r="D798" s="463">
        <v>3.5021000000000002E-3</v>
      </c>
      <c r="E798" s="464">
        <v>22702220</v>
      </c>
      <c r="F798" s="464"/>
      <c r="G798" s="461">
        <v>2529700</v>
      </c>
      <c r="H798" s="461">
        <v>6076108</v>
      </c>
      <c r="I798" s="461">
        <v>964713</v>
      </c>
      <c r="J798" s="464">
        <v>0</v>
      </c>
      <c r="K798" s="464">
        <v>9570521</v>
      </c>
      <c r="L798" s="464"/>
      <c r="M798" s="461">
        <v>54460</v>
      </c>
      <c r="N798" s="461">
        <v>0</v>
      </c>
      <c r="O798" s="461">
        <v>0</v>
      </c>
      <c r="P798" s="464">
        <v>374305</v>
      </c>
      <c r="Q798" s="464">
        <v>428765</v>
      </c>
      <c r="R798" s="464"/>
      <c r="S798" s="461">
        <v>6520710</v>
      </c>
      <c r="T798" s="462">
        <v>-163586</v>
      </c>
      <c r="U798" s="462">
        <v>6357124</v>
      </c>
      <c r="W798" s="464">
        <v>39330705</v>
      </c>
      <c r="X798" s="464">
        <v>9012094</v>
      </c>
    </row>
    <row r="799" spans="1:24">
      <c r="A799" s="458">
        <v>98604</v>
      </c>
      <c r="B799" s="459" t="s">
        <v>1500</v>
      </c>
      <c r="C799" s="463">
        <v>1.501E-5</v>
      </c>
      <c r="D799" s="463">
        <v>1.7399999999999999E-5</v>
      </c>
      <c r="E799" s="464">
        <v>99413</v>
      </c>
      <c r="F799" s="464"/>
      <c r="G799" s="461">
        <v>11078</v>
      </c>
      <c r="H799" s="461">
        <v>26607</v>
      </c>
      <c r="I799" s="461">
        <v>4224</v>
      </c>
      <c r="J799" s="464">
        <v>4831</v>
      </c>
      <c r="K799" s="464">
        <v>46740</v>
      </c>
      <c r="L799" s="464"/>
      <c r="M799" s="461">
        <v>238</v>
      </c>
      <c r="N799" s="461">
        <v>0</v>
      </c>
      <c r="O799" s="461">
        <v>0</v>
      </c>
      <c r="P799" s="464">
        <v>2578</v>
      </c>
      <c r="Q799" s="464">
        <v>2816</v>
      </c>
      <c r="R799" s="464"/>
      <c r="S799" s="461">
        <v>28554</v>
      </c>
      <c r="T799" s="462">
        <v>4064</v>
      </c>
      <c r="U799" s="462">
        <v>32618</v>
      </c>
      <c r="W799" s="464">
        <v>172228</v>
      </c>
      <c r="X799" s="464">
        <v>39464</v>
      </c>
    </row>
    <row r="800" spans="1:24">
      <c r="A800" s="458">
        <v>98607</v>
      </c>
      <c r="B800" s="459" t="s">
        <v>1501</v>
      </c>
      <c r="C800" s="463">
        <v>6.72E-6</v>
      </c>
      <c r="D800" s="463">
        <v>1.29E-5</v>
      </c>
      <c r="E800" s="464">
        <v>44507</v>
      </c>
      <c r="F800" s="464"/>
      <c r="G800" s="461">
        <v>4959</v>
      </c>
      <c r="H800" s="461">
        <v>11912</v>
      </c>
      <c r="I800" s="461">
        <v>1891</v>
      </c>
      <c r="J800" s="464">
        <v>8994</v>
      </c>
      <c r="K800" s="464">
        <v>27756</v>
      </c>
      <c r="L800" s="464"/>
      <c r="M800" s="461">
        <v>107</v>
      </c>
      <c r="N800" s="461">
        <v>0</v>
      </c>
      <c r="O800" s="461">
        <v>0</v>
      </c>
      <c r="P800" s="464">
        <v>10587</v>
      </c>
      <c r="Q800" s="464">
        <v>10694</v>
      </c>
      <c r="R800" s="464"/>
      <c r="S800" s="461">
        <v>12784</v>
      </c>
      <c r="T800" s="462">
        <v>1096</v>
      </c>
      <c r="U800" s="462">
        <v>13880</v>
      </c>
      <c r="W800" s="464">
        <v>77107</v>
      </c>
      <c r="X800" s="464">
        <v>17668</v>
      </c>
    </row>
    <row r="801" spans="1:24">
      <c r="A801" s="458">
        <v>98608</v>
      </c>
      <c r="B801" s="459" t="s">
        <v>1502</v>
      </c>
      <c r="C801" s="463">
        <v>6.0229999999999998E-5</v>
      </c>
      <c r="D801" s="463">
        <v>6.3899999999999995E-5</v>
      </c>
      <c r="E801" s="464">
        <v>398909</v>
      </c>
      <c r="F801" s="464"/>
      <c r="G801" s="461">
        <v>44450</v>
      </c>
      <c r="H801" s="461">
        <v>106765</v>
      </c>
      <c r="I801" s="461">
        <v>16951</v>
      </c>
      <c r="J801" s="464">
        <v>6344</v>
      </c>
      <c r="K801" s="464">
        <v>174510</v>
      </c>
      <c r="L801" s="464"/>
      <c r="M801" s="461">
        <v>957</v>
      </c>
      <c r="N801" s="461">
        <v>0</v>
      </c>
      <c r="O801" s="461">
        <v>0</v>
      </c>
      <c r="P801" s="464">
        <v>9051</v>
      </c>
      <c r="Q801" s="464">
        <v>10008</v>
      </c>
      <c r="R801" s="464"/>
      <c r="S801" s="461">
        <v>114578</v>
      </c>
      <c r="T801" s="462">
        <v>9801</v>
      </c>
      <c r="U801" s="462">
        <v>124379</v>
      </c>
      <c r="W801" s="464">
        <v>691093</v>
      </c>
      <c r="X801" s="464">
        <v>158355</v>
      </c>
    </row>
    <row r="802" spans="1:24">
      <c r="A802" s="458">
        <v>98611</v>
      </c>
      <c r="B802" s="459" t="s">
        <v>1503</v>
      </c>
      <c r="C802" s="463">
        <v>1.2919E-4</v>
      </c>
      <c r="D802" s="463">
        <v>1.3009999999999999E-4</v>
      </c>
      <c r="E802" s="464">
        <v>855637</v>
      </c>
      <c r="F802" s="464"/>
      <c r="G802" s="461">
        <v>95343</v>
      </c>
      <c r="H802" s="461">
        <v>229006</v>
      </c>
      <c r="I802" s="461">
        <v>36360</v>
      </c>
      <c r="J802" s="464">
        <v>24647</v>
      </c>
      <c r="K802" s="464">
        <v>385356</v>
      </c>
      <c r="L802" s="464"/>
      <c r="M802" s="461">
        <v>2053</v>
      </c>
      <c r="N802" s="461">
        <v>0</v>
      </c>
      <c r="O802" s="461">
        <v>0</v>
      </c>
      <c r="P802" s="464">
        <v>16643</v>
      </c>
      <c r="Q802" s="464">
        <v>18696</v>
      </c>
      <c r="R802" s="464"/>
      <c r="S802" s="461">
        <v>245763</v>
      </c>
      <c r="T802" s="462">
        <v>3560</v>
      </c>
      <c r="U802" s="462">
        <v>249323</v>
      </c>
      <c r="W802" s="464">
        <v>1482357</v>
      </c>
      <c r="X802" s="464">
        <v>339662</v>
      </c>
    </row>
    <row r="803" spans="1:24">
      <c r="A803" s="458">
        <v>98621</v>
      </c>
      <c r="B803" s="459" t="s">
        <v>1504</v>
      </c>
      <c r="C803" s="463">
        <v>1.3966E-4</v>
      </c>
      <c r="D803" s="463">
        <v>1.371E-4</v>
      </c>
      <c r="E803" s="464">
        <v>924980</v>
      </c>
      <c r="F803" s="464"/>
      <c r="G803" s="461">
        <v>103070</v>
      </c>
      <c r="H803" s="461">
        <v>247565</v>
      </c>
      <c r="I803" s="461">
        <v>39306</v>
      </c>
      <c r="J803" s="464">
        <v>1590</v>
      </c>
      <c r="K803" s="464">
        <v>391531</v>
      </c>
      <c r="L803" s="464"/>
      <c r="M803" s="461">
        <v>2219</v>
      </c>
      <c r="N803" s="461">
        <v>0</v>
      </c>
      <c r="O803" s="461">
        <v>0</v>
      </c>
      <c r="P803" s="464">
        <v>5769</v>
      </c>
      <c r="Q803" s="464">
        <v>7988</v>
      </c>
      <c r="R803" s="464"/>
      <c r="S803" s="461">
        <v>265680</v>
      </c>
      <c r="T803" s="462">
        <v>-415</v>
      </c>
      <c r="U803" s="462">
        <v>265265</v>
      </c>
      <c r="W803" s="464">
        <v>1602492</v>
      </c>
      <c r="X803" s="464">
        <v>367189</v>
      </c>
    </row>
    <row r="804" spans="1:24">
      <c r="A804" s="458">
        <v>98627</v>
      </c>
      <c r="B804" s="459" t="s">
        <v>1505</v>
      </c>
      <c r="C804" s="463">
        <v>9.4299999999999995E-6</v>
      </c>
      <c r="D804" s="463">
        <v>1.0200000000000001E-5</v>
      </c>
      <c r="E804" s="464">
        <v>62456</v>
      </c>
      <c r="F804" s="464"/>
      <c r="G804" s="461">
        <v>6959</v>
      </c>
      <c r="H804" s="461">
        <v>16716</v>
      </c>
      <c r="I804" s="461">
        <v>2654</v>
      </c>
      <c r="J804" s="464">
        <v>1610</v>
      </c>
      <c r="K804" s="464">
        <v>27939</v>
      </c>
      <c r="L804" s="464"/>
      <c r="M804" s="461">
        <v>150</v>
      </c>
      <c r="N804" s="461">
        <v>0</v>
      </c>
      <c r="O804" s="461">
        <v>0</v>
      </c>
      <c r="P804" s="464">
        <v>1743</v>
      </c>
      <c r="Q804" s="464">
        <v>1893</v>
      </c>
      <c r="R804" s="464"/>
      <c r="S804" s="461">
        <v>17939</v>
      </c>
      <c r="T804" s="462">
        <v>680</v>
      </c>
      <c r="U804" s="462">
        <v>18619</v>
      </c>
      <c r="W804" s="464">
        <v>108202</v>
      </c>
      <c r="X804" s="464">
        <v>24793</v>
      </c>
    </row>
    <row r="805" spans="1:24">
      <c r="A805" s="458">
        <v>98631</v>
      </c>
      <c r="B805" s="459" t="s">
        <v>1506</v>
      </c>
      <c r="C805" s="463">
        <v>7.6785000000000004E-4</v>
      </c>
      <c r="D805" s="463">
        <v>8.3949999999999997E-4</v>
      </c>
      <c r="E805" s="464">
        <v>5085537</v>
      </c>
      <c r="F805" s="464"/>
      <c r="G805" s="461">
        <v>566679</v>
      </c>
      <c r="H805" s="461">
        <v>1361112</v>
      </c>
      <c r="I805" s="461">
        <v>216106</v>
      </c>
      <c r="J805" s="464">
        <v>29526</v>
      </c>
      <c r="K805" s="464">
        <v>2173423</v>
      </c>
      <c r="L805" s="464"/>
      <c r="M805" s="461">
        <v>12200</v>
      </c>
      <c r="N805" s="461">
        <v>0</v>
      </c>
      <c r="O805" s="461">
        <v>0</v>
      </c>
      <c r="P805" s="464">
        <v>176772</v>
      </c>
      <c r="Q805" s="464">
        <v>188972</v>
      </c>
      <c r="R805" s="464"/>
      <c r="S805" s="461">
        <v>1460708</v>
      </c>
      <c r="T805" s="462">
        <v>-106114</v>
      </c>
      <c r="U805" s="462">
        <v>1354594</v>
      </c>
      <c r="W805" s="464">
        <v>8810494</v>
      </c>
      <c r="X805" s="464">
        <v>2018804</v>
      </c>
    </row>
    <row r="806" spans="1:24">
      <c r="A806" s="458">
        <v>98637</v>
      </c>
      <c r="B806" s="459" t="s">
        <v>1507</v>
      </c>
      <c r="C806" s="463">
        <v>2.001E-5</v>
      </c>
      <c r="D806" s="463">
        <v>2.1500000000000001E-5</v>
      </c>
      <c r="E806" s="464">
        <v>132528</v>
      </c>
      <c r="F806" s="464"/>
      <c r="G806" s="461">
        <v>14768</v>
      </c>
      <c r="H806" s="461">
        <v>35470</v>
      </c>
      <c r="I806" s="461">
        <v>5632</v>
      </c>
      <c r="J806" s="464">
        <v>8472</v>
      </c>
      <c r="K806" s="464">
        <v>64342</v>
      </c>
      <c r="L806" s="464"/>
      <c r="M806" s="461">
        <v>318</v>
      </c>
      <c r="N806" s="461">
        <v>0</v>
      </c>
      <c r="O806" s="461">
        <v>0</v>
      </c>
      <c r="P806" s="464">
        <v>0</v>
      </c>
      <c r="Q806" s="464">
        <v>318</v>
      </c>
      <c r="R806" s="464"/>
      <c r="S806" s="461">
        <v>38066</v>
      </c>
      <c r="T806" s="462">
        <v>10377</v>
      </c>
      <c r="U806" s="462">
        <v>48443</v>
      </c>
      <c r="W806" s="464">
        <v>229600</v>
      </c>
      <c r="X806" s="464">
        <v>52610</v>
      </c>
    </row>
    <row r="807" spans="1:24">
      <c r="A807" s="458">
        <v>98641</v>
      </c>
      <c r="B807" s="459" t="s">
        <v>1508</v>
      </c>
      <c r="C807" s="463">
        <v>2.6713000000000003E-4</v>
      </c>
      <c r="D807" s="463">
        <v>2.9119999999999998E-4</v>
      </c>
      <c r="E807" s="464">
        <v>1769225</v>
      </c>
      <c r="F807" s="464"/>
      <c r="G807" s="461">
        <v>197144</v>
      </c>
      <c r="H807" s="461">
        <v>473522</v>
      </c>
      <c r="I807" s="461">
        <v>75182</v>
      </c>
      <c r="J807" s="464">
        <v>11651</v>
      </c>
      <c r="K807" s="464">
        <v>757499</v>
      </c>
      <c r="L807" s="464"/>
      <c r="M807" s="461">
        <v>4244</v>
      </c>
      <c r="N807" s="461">
        <v>0</v>
      </c>
      <c r="O807" s="461">
        <v>0</v>
      </c>
      <c r="P807" s="464">
        <v>66214</v>
      </c>
      <c r="Q807" s="464">
        <v>70458</v>
      </c>
      <c r="R807" s="464"/>
      <c r="S807" s="461">
        <v>508171</v>
      </c>
      <c r="T807" s="462">
        <v>-6637</v>
      </c>
      <c r="U807" s="462">
        <v>501534</v>
      </c>
      <c r="W807" s="464">
        <v>3065113</v>
      </c>
      <c r="X807" s="464">
        <v>702329</v>
      </c>
    </row>
    <row r="808" spans="1:24">
      <c r="A808" s="458">
        <v>98701</v>
      </c>
      <c r="B808" s="459" t="s">
        <v>1509</v>
      </c>
      <c r="C808" s="463">
        <v>1.06452E-3</v>
      </c>
      <c r="D808" s="463">
        <v>1.1123999999999999E-3</v>
      </c>
      <c r="E808" s="464">
        <v>7050409</v>
      </c>
      <c r="F808" s="464"/>
      <c r="G808" s="461">
        <v>785624</v>
      </c>
      <c r="H808" s="461">
        <v>1886998</v>
      </c>
      <c r="I808" s="461">
        <v>299602</v>
      </c>
      <c r="J808" s="464">
        <v>104703</v>
      </c>
      <c r="K808" s="464">
        <v>3076927</v>
      </c>
      <c r="L808" s="464"/>
      <c r="M808" s="461">
        <v>16913</v>
      </c>
      <c r="N808" s="461">
        <v>0</v>
      </c>
      <c r="O808" s="461">
        <v>0</v>
      </c>
      <c r="P808" s="464">
        <v>104272</v>
      </c>
      <c r="Q808" s="464">
        <v>121185</v>
      </c>
      <c r="R808" s="464"/>
      <c r="S808" s="461">
        <v>2025074</v>
      </c>
      <c r="T808" s="462">
        <v>32596</v>
      </c>
      <c r="U808" s="462">
        <v>2057670</v>
      </c>
      <c r="W808" s="464">
        <v>12214556</v>
      </c>
      <c r="X808" s="464">
        <v>2798799</v>
      </c>
    </row>
    <row r="809" spans="1:24">
      <c r="A809" s="458">
        <v>98711</v>
      </c>
      <c r="B809" s="459" t="s">
        <v>1510</v>
      </c>
      <c r="C809" s="463">
        <v>1.5754000000000001E-4</v>
      </c>
      <c r="D809" s="463">
        <v>1.7450000000000001E-4</v>
      </c>
      <c r="E809" s="464">
        <v>1043401</v>
      </c>
      <c r="F809" s="464"/>
      <c r="G809" s="461">
        <v>116266</v>
      </c>
      <c r="H809" s="461">
        <v>279260</v>
      </c>
      <c r="I809" s="461">
        <v>44339</v>
      </c>
      <c r="J809" s="464">
        <v>20440</v>
      </c>
      <c r="K809" s="464">
        <v>460305</v>
      </c>
      <c r="L809" s="464"/>
      <c r="M809" s="461">
        <v>2503</v>
      </c>
      <c r="N809" s="461">
        <v>0</v>
      </c>
      <c r="O809" s="461">
        <v>0</v>
      </c>
      <c r="P809" s="464">
        <v>48057</v>
      </c>
      <c r="Q809" s="464">
        <v>50560</v>
      </c>
      <c r="R809" s="464"/>
      <c r="S809" s="461">
        <v>299694</v>
      </c>
      <c r="T809" s="462">
        <v>-13890</v>
      </c>
      <c r="U809" s="462">
        <v>285804</v>
      </c>
      <c r="W809" s="464">
        <v>1807651</v>
      </c>
      <c r="X809" s="464">
        <v>414199</v>
      </c>
    </row>
    <row r="810" spans="1:24">
      <c r="A810" s="458">
        <v>98717</v>
      </c>
      <c r="B810" s="459" t="s">
        <v>1511</v>
      </c>
      <c r="C810" s="463">
        <v>1.9210000000000001E-5</v>
      </c>
      <c r="D810" s="463">
        <v>2.1299999999999999E-5</v>
      </c>
      <c r="E810" s="464">
        <v>127230</v>
      </c>
      <c r="F810" s="464"/>
      <c r="G810" s="461">
        <v>14177</v>
      </c>
      <c r="H810" s="461">
        <v>34052</v>
      </c>
      <c r="I810" s="461">
        <v>5407</v>
      </c>
      <c r="J810" s="464">
        <v>11025</v>
      </c>
      <c r="K810" s="464">
        <v>64661</v>
      </c>
      <c r="L810" s="464"/>
      <c r="M810" s="461">
        <v>305</v>
      </c>
      <c r="N810" s="461">
        <v>0</v>
      </c>
      <c r="O810" s="461">
        <v>0</v>
      </c>
      <c r="P810" s="464">
        <v>3265</v>
      </c>
      <c r="Q810" s="464">
        <v>3570</v>
      </c>
      <c r="R810" s="464"/>
      <c r="S810" s="461">
        <v>36544</v>
      </c>
      <c r="T810" s="462">
        <v>1240</v>
      </c>
      <c r="U810" s="462">
        <v>37784</v>
      </c>
      <c r="W810" s="464">
        <v>220420</v>
      </c>
      <c r="X810" s="464">
        <v>50506</v>
      </c>
    </row>
    <row r="811" spans="1:24">
      <c r="A811" s="458">
        <v>98801</v>
      </c>
      <c r="B811" s="459" t="s">
        <v>1512</v>
      </c>
      <c r="C811" s="463">
        <v>2.2014299999999999E-3</v>
      </c>
      <c r="D811" s="463">
        <v>2.4077E-3</v>
      </c>
      <c r="E811" s="464">
        <v>14580262</v>
      </c>
      <c r="F811" s="464"/>
      <c r="G811" s="461">
        <v>1624673</v>
      </c>
      <c r="H811" s="461">
        <v>3902316</v>
      </c>
      <c r="I811" s="461">
        <v>619577</v>
      </c>
      <c r="J811" s="464">
        <v>96737</v>
      </c>
      <c r="K811" s="464">
        <v>6243303</v>
      </c>
      <c r="L811" s="464"/>
      <c r="M811" s="461">
        <v>34976</v>
      </c>
      <c r="N811" s="461">
        <v>0</v>
      </c>
      <c r="O811" s="461">
        <v>0</v>
      </c>
      <c r="P811" s="464">
        <v>320522</v>
      </c>
      <c r="Q811" s="464">
        <v>355498</v>
      </c>
      <c r="R811" s="464"/>
      <c r="S811" s="461">
        <v>4187857</v>
      </c>
      <c r="T811" s="462">
        <v>90731</v>
      </c>
      <c r="U811" s="462">
        <v>4278588</v>
      </c>
      <c r="W811" s="464">
        <v>25259732</v>
      </c>
      <c r="X811" s="464">
        <v>5787923</v>
      </c>
    </row>
    <row r="812" spans="1:24">
      <c r="A812" s="458">
        <v>98811</v>
      </c>
      <c r="B812" s="459" t="s">
        <v>1513</v>
      </c>
      <c r="C812" s="463">
        <v>6.0041000000000001E-4</v>
      </c>
      <c r="D812" s="463">
        <v>6.0110000000000003E-4</v>
      </c>
      <c r="E812" s="464">
        <v>3976568</v>
      </c>
      <c r="F812" s="464"/>
      <c r="G812" s="461">
        <v>443107</v>
      </c>
      <c r="H812" s="461">
        <v>1064304</v>
      </c>
      <c r="I812" s="461">
        <v>168981</v>
      </c>
      <c r="J812" s="464">
        <v>102152</v>
      </c>
      <c r="K812" s="464">
        <v>1778544</v>
      </c>
      <c r="L812" s="464"/>
      <c r="M812" s="461">
        <v>9539</v>
      </c>
      <c r="N812" s="461">
        <v>0</v>
      </c>
      <c r="O812" s="461">
        <v>0</v>
      </c>
      <c r="P812" s="464">
        <v>41710</v>
      </c>
      <c r="Q812" s="464">
        <v>51249</v>
      </c>
      <c r="R812" s="464"/>
      <c r="S812" s="461">
        <v>1142181</v>
      </c>
      <c r="T812" s="462">
        <v>18708</v>
      </c>
      <c r="U812" s="462">
        <v>1160889</v>
      </c>
      <c r="W812" s="464">
        <v>6889247</v>
      </c>
      <c r="X812" s="464">
        <v>1578577</v>
      </c>
    </row>
    <row r="813" spans="1:24">
      <c r="A813" s="458">
        <v>98817</v>
      </c>
      <c r="B813" s="459" t="s">
        <v>1514</v>
      </c>
      <c r="C813" s="463">
        <v>1.131E-5</v>
      </c>
      <c r="D813" s="463">
        <v>1.31E-5</v>
      </c>
      <c r="E813" s="464">
        <v>74907</v>
      </c>
      <c r="F813" s="464"/>
      <c r="G813" s="461">
        <v>8347</v>
      </c>
      <c r="H813" s="461">
        <v>20048</v>
      </c>
      <c r="I813" s="461">
        <v>3183</v>
      </c>
      <c r="J813" s="464">
        <v>7062</v>
      </c>
      <c r="K813" s="464">
        <v>38640</v>
      </c>
      <c r="L813" s="464"/>
      <c r="M813" s="461">
        <v>180</v>
      </c>
      <c r="N813" s="461">
        <v>0</v>
      </c>
      <c r="O813" s="461">
        <v>0</v>
      </c>
      <c r="P813" s="464">
        <v>3296</v>
      </c>
      <c r="Q813" s="464">
        <v>3476</v>
      </c>
      <c r="R813" s="464"/>
      <c r="S813" s="461">
        <v>21515</v>
      </c>
      <c r="T813" s="462">
        <v>1265</v>
      </c>
      <c r="U813" s="462">
        <v>22780</v>
      </c>
      <c r="W813" s="464">
        <v>129774</v>
      </c>
      <c r="X813" s="464">
        <v>29736</v>
      </c>
    </row>
    <row r="814" spans="1:24">
      <c r="A814" s="458">
        <v>98901</v>
      </c>
      <c r="B814" s="459" t="s">
        <v>1515</v>
      </c>
      <c r="C814" s="463">
        <v>2.3363E-4</v>
      </c>
      <c r="D814" s="463">
        <v>2.6180000000000002E-4</v>
      </c>
      <c r="E814" s="464">
        <v>1547352</v>
      </c>
      <c r="F814" s="464"/>
      <c r="G814" s="461">
        <v>172421</v>
      </c>
      <c r="H814" s="461">
        <v>414139</v>
      </c>
      <c r="I814" s="461">
        <v>65754</v>
      </c>
      <c r="J814" s="464">
        <v>14094</v>
      </c>
      <c r="K814" s="464">
        <v>666408</v>
      </c>
      <c r="L814" s="464"/>
      <c r="M814" s="461">
        <v>3712</v>
      </c>
      <c r="N814" s="461">
        <v>0</v>
      </c>
      <c r="O814" s="461">
        <v>0</v>
      </c>
      <c r="P814" s="464">
        <v>44228</v>
      </c>
      <c r="Q814" s="464">
        <v>47940</v>
      </c>
      <c r="R814" s="464"/>
      <c r="S814" s="461">
        <v>444443</v>
      </c>
      <c r="T814" s="462">
        <v>-2615</v>
      </c>
      <c r="U814" s="462">
        <v>441828</v>
      </c>
      <c r="W814" s="464">
        <v>2680726</v>
      </c>
      <c r="X814" s="464">
        <v>614252</v>
      </c>
    </row>
    <row r="815" spans="1:24">
      <c r="A815" s="458">
        <v>98904</v>
      </c>
      <c r="B815" s="459" t="s">
        <v>1516</v>
      </c>
      <c r="C815" s="463">
        <v>3.05E-6</v>
      </c>
      <c r="D815" s="463">
        <v>2.9000000000000002E-6</v>
      </c>
      <c r="E815" s="464">
        <v>20200</v>
      </c>
      <c r="F815" s="464"/>
      <c r="G815" s="461">
        <v>2251</v>
      </c>
      <c r="H815" s="461">
        <v>5407</v>
      </c>
      <c r="I815" s="461">
        <v>858</v>
      </c>
      <c r="J815" s="464">
        <v>980</v>
      </c>
      <c r="K815" s="464">
        <v>9496</v>
      </c>
      <c r="L815" s="464"/>
      <c r="M815" s="461">
        <v>48</v>
      </c>
      <c r="N815" s="461">
        <v>0</v>
      </c>
      <c r="O815" s="461">
        <v>0</v>
      </c>
      <c r="P815" s="464">
        <v>678</v>
      </c>
      <c r="Q815" s="464">
        <v>726</v>
      </c>
      <c r="R815" s="464"/>
      <c r="S815" s="461">
        <v>5802</v>
      </c>
      <c r="T815" s="462">
        <v>-459</v>
      </c>
      <c r="U815" s="462">
        <v>5343</v>
      </c>
      <c r="W815" s="464">
        <v>34996</v>
      </c>
      <c r="X815" s="464">
        <v>8019</v>
      </c>
    </row>
    <row r="816" spans="1:24">
      <c r="A816" s="458">
        <v>98911</v>
      </c>
      <c r="B816" s="459" t="s">
        <v>1517</v>
      </c>
      <c r="C816" s="463">
        <v>2.7290000000000001E-5</v>
      </c>
      <c r="D816" s="463">
        <v>2.9799999999999999E-5</v>
      </c>
      <c r="E816" s="464">
        <v>180744</v>
      </c>
      <c r="F816" s="464"/>
      <c r="G816" s="461">
        <v>20140</v>
      </c>
      <c r="H816" s="461">
        <v>48375</v>
      </c>
      <c r="I816" s="461">
        <v>7681</v>
      </c>
      <c r="J816" s="464">
        <v>12771</v>
      </c>
      <c r="K816" s="464">
        <v>88967</v>
      </c>
      <c r="L816" s="464"/>
      <c r="M816" s="461">
        <v>434</v>
      </c>
      <c r="N816" s="461">
        <v>0</v>
      </c>
      <c r="O816" s="461">
        <v>0</v>
      </c>
      <c r="P816" s="464">
        <v>3922</v>
      </c>
      <c r="Q816" s="464">
        <v>4356</v>
      </c>
      <c r="R816" s="464"/>
      <c r="S816" s="461">
        <v>51915</v>
      </c>
      <c r="T816" s="462">
        <v>10019</v>
      </c>
      <c r="U816" s="462">
        <v>61934</v>
      </c>
      <c r="W816" s="464">
        <v>313132</v>
      </c>
      <c r="X816" s="464">
        <v>71750</v>
      </c>
    </row>
    <row r="817" spans="1:24">
      <c r="A817" s="458">
        <v>99001</v>
      </c>
      <c r="B817" s="459" t="s">
        <v>1518</v>
      </c>
      <c r="C817" s="463">
        <v>9.7854099999999996E-3</v>
      </c>
      <c r="D817" s="463">
        <v>9.8245999999999993E-3</v>
      </c>
      <c r="E817" s="464">
        <v>64809622</v>
      </c>
      <c r="F817" s="464"/>
      <c r="G817" s="461">
        <v>7221711</v>
      </c>
      <c r="H817" s="461">
        <v>17345892</v>
      </c>
      <c r="I817" s="461">
        <v>2754035</v>
      </c>
      <c r="J817" s="464">
        <v>461166</v>
      </c>
      <c r="K817" s="464">
        <v>27782804</v>
      </c>
      <c r="L817" s="464"/>
      <c r="M817" s="461">
        <v>155471</v>
      </c>
      <c r="N817" s="461">
        <v>0</v>
      </c>
      <c r="O817" s="461">
        <v>0</v>
      </c>
      <c r="P817" s="464">
        <v>525960</v>
      </c>
      <c r="Q817" s="464">
        <v>681431</v>
      </c>
      <c r="R817" s="464"/>
      <c r="S817" s="461">
        <v>18615128</v>
      </c>
      <c r="T817" s="462">
        <v>413774</v>
      </c>
      <c r="U817" s="462">
        <v>19028902</v>
      </c>
      <c r="W817" s="464">
        <v>112280123</v>
      </c>
      <c r="X817" s="464">
        <v>25727457</v>
      </c>
    </row>
    <row r="818" spans="1:24">
      <c r="A818" s="458">
        <v>99011</v>
      </c>
      <c r="B818" s="459" t="s">
        <v>1519</v>
      </c>
      <c r="C818" s="463">
        <v>3.8360099999999999E-3</v>
      </c>
      <c r="D818" s="463">
        <v>3.8389000000000001E-3</v>
      </c>
      <c r="E818" s="464">
        <v>25406228</v>
      </c>
      <c r="F818" s="464"/>
      <c r="G818" s="461">
        <v>2831006</v>
      </c>
      <c r="H818" s="461">
        <v>6799819</v>
      </c>
      <c r="I818" s="461">
        <v>1079618</v>
      </c>
      <c r="J818" s="464">
        <v>179680</v>
      </c>
      <c r="K818" s="464">
        <v>10890123</v>
      </c>
      <c r="L818" s="464"/>
      <c r="M818" s="461">
        <v>60947</v>
      </c>
      <c r="N818" s="461">
        <v>0</v>
      </c>
      <c r="O818" s="461">
        <v>0</v>
      </c>
      <c r="P818" s="464">
        <v>46829</v>
      </c>
      <c r="Q818" s="464">
        <v>107776</v>
      </c>
      <c r="R818" s="464"/>
      <c r="S818" s="461">
        <v>7297376</v>
      </c>
      <c r="T818" s="462">
        <v>76930</v>
      </c>
      <c r="U818" s="462">
        <v>7374306</v>
      </c>
      <c r="W818" s="464">
        <v>44015292</v>
      </c>
      <c r="X818" s="464">
        <v>10085503</v>
      </c>
    </row>
    <row r="819" spans="1:24">
      <c r="A819" s="458">
        <v>99013</v>
      </c>
      <c r="B819" s="459" t="s">
        <v>1520</v>
      </c>
      <c r="C819" s="463">
        <v>5.1E-5</v>
      </c>
      <c r="D819" s="463">
        <v>6.3299999999999994E-5</v>
      </c>
      <c r="E819" s="464">
        <v>337777</v>
      </c>
      <c r="F819" s="464"/>
      <c r="G819" s="461">
        <v>37638</v>
      </c>
      <c r="H819" s="461">
        <v>90404</v>
      </c>
      <c r="I819" s="461">
        <v>14354</v>
      </c>
      <c r="J819" s="464">
        <v>20869</v>
      </c>
      <c r="K819" s="464">
        <v>163265</v>
      </c>
      <c r="L819" s="464"/>
      <c r="M819" s="461">
        <v>810</v>
      </c>
      <c r="N819" s="461">
        <v>0</v>
      </c>
      <c r="O819" s="461">
        <v>0</v>
      </c>
      <c r="P819" s="464">
        <v>41084</v>
      </c>
      <c r="Q819" s="464">
        <v>41894</v>
      </c>
      <c r="R819" s="464"/>
      <c r="S819" s="461">
        <v>97019</v>
      </c>
      <c r="T819" s="462">
        <v>6611</v>
      </c>
      <c r="U819" s="462">
        <v>103630</v>
      </c>
      <c r="W819" s="464">
        <v>585186</v>
      </c>
      <c r="X819" s="464">
        <v>134087</v>
      </c>
    </row>
    <row r="820" spans="1:24">
      <c r="A820" s="458">
        <v>99014</v>
      </c>
      <c r="B820" s="459" t="s">
        <v>1521</v>
      </c>
      <c r="C820" s="463">
        <v>2.6120000000000001E-5</v>
      </c>
      <c r="D820" s="463">
        <v>1.8899999999999999E-5</v>
      </c>
      <c r="E820" s="464">
        <v>172995</v>
      </c>
      <c r="F820" s="464"/>
      <c r="G820" s="461">
        <v>19277</v>
      </c>
      <c r="H820" s="461">
        <v>46301</v>
      </c>
      <c r="I820" s="461">
        <v>7351</v>
      </c>
      <c r="J820" s="464">
        <v>18467</v>
      </c>
      <c r="K820" s="464">
        <v>91396</v>
      </c>
      <c r="L820" s="464"/>
      <c r="M820" s="461">
        <v>415</v>
      </c>
      <c r="N820" s="461">
        <v>0</v>
      </c>
      <c r="O820" s="461">
        <v>0</v>
      </c>
      <c r="P820" s="464">
        <v>1137</v>
      </c>
      <c r="Q820" s="464">
        <v>1552</v>
      </c>
      <c r="R820" s="464"/>
      <c r="S820" s="461">
        <v>49689</v>
      </c>
      <c r="T820" s="462">
        <v>8376</v>
      </c>
      <c r="U820" s="462">
        <v>58065</v>
      </c>
      <c r="W820" s="464">
        <v>299707</v>
      </c>
      <c r="X820" s="464">
        <v>68674</v>
      </c>
    </row>
    <row r="821" spans="1:24">
      <c r="A821" s="458">
        <v>99017</v>
      </c>
      <c r="B821" s="459" t="s">
        <v>1522</v>
      </c>
      <c r="C821" s="463">
        <v>3.6520000000000003E-5</v>
      </c>
      <c r="D821" s="463">
        <v>4.2700000000000001E-5</v>
      </c>
      <c r="E821" s="464">
        <v>241875</v>
      </c>
      <c r="F821" s="464"/>
      <c r="G821" s="461">
        <v>26952</v>
      </c>
      <c r="H821" s="461">
        <v>64736</v>
      </c>
      <c r="I821" s="461">
        <v>10278</v>
      </c>
      <c r="J821" s="464">
        <v>8858</v>
      </c>
      <c r="K821" s="464">
        <v>110824</v>
      </c>
      <c r="L821" s="464"/>
      <c r="M821" s="461">
        <v>580</v>
      </c>
      <c r="N821" s="461">
        <v>0</v>
      </c>
      <c r="O821" s="461">
        <v>0</v>
      </c>
      <c r="P821" s="464">
        <v>14397</v>
      </c>
      <c r="Q821" s="464">
        <v>14977</v>
      </c>
      <c r="R821" s="464"/>
      <c r="S821" s="461">
        <v>69473</v>
      </c>
      <c r="T821" s="462">
        <v>-1660</v>
      </c>
      <c r="U821" s="462">
        <v>67813</v>
      </c>
      <c r="W821" s="464">
        <v>419039</v>
      </c>
      <c r="X821" s="464">
        <v>96017</v>
      </c>
    </row>
    <row r="822" spans="1:24">
      <c r="A822" s="458">
        <v>99021</v>
      </c>
      <c r="B822" s="459" t="s">
        <v>1523</v>
      </c>
      <c r="C822" s="463">
        <v>1.1168E-4</v>
      </c>
      <c r="D822" s="463">
        <v>1.3420000000000001E-4</v>
      </c>
      <c r="E822" s="464">
        <v>739666</v>
      </c>
      <c r="F822" s="464"/>
      <c r="G822" s="461">
        <v>82421</v>
      </c>
      <c r="H822" s="461">
        <v>197967</v>
      </c>
      <c r="I822" s="461">
        <v>31432</v>
      </c>
      <c r="J822" s="464">
        <v>4547</v>
      </c>
      <c r="K822" s="464">
        <v>316367</v>
      </c>
      <c r="L822" s="464"/>
      <c r="M822" s="461">
        <v>1774</v>
      </c>
      <c r="N822" s="461">
        <v>0</v>
      </c>
      <c r="O822" s="461">
        <v>0</v>
      </c>
      <c r="P822" s="464">
        <v>46644</v>
      </c>
      <c r="Q822" s="464">
        <v>48418</v>
      </c>
      <c r="R822" s="464"/>
      <c r="S822" s="461">
        <v>212453</v>
      </c>
      <c r="T822" s="462">
        <v>-16684</v>
      </c>
      <c r="U822" s="462">
        <v>195769</v>
      </c>
      <c r="W822" s="464">
        <v>1281443</v>
      </c>
      <c r="X822" s="464">
        <v>293625</v>
      </c>
    </row>
    <row r="823" spans="1:24">
      <c r="A823" s="458">
        <v>99022</v>
      </c>
      <c r="B823" s="459" t="s">
        <v>211</v>
      </c>
      <c r="C823" s="463">
        <v>6.0000000000000002E-6</v>
      </c>
      <c r="D823" s="463">
        <v>7.1999999999999997E-6</v>
      </c>
      <c r="E823" s="464">
        <v>39739</v>
      </c>
      <c r="F823" s="464"/>
      <c r="G823" s="461">
        <v>4428</v>
      </c>
      <c r="H823" s="461">
        <v>10636</v>
      </c>
      <c r="I823" s="461">
        <v>1689</v>
      </c>
      <c r="J823" s="464">
        <v>15224</v>
      </c>
      <c r="K823" s="464">
        <v>31977</v>
      </c>
      <c r="L823" s="464"/>
      <c r="M823" s="461">
        <v>95</v>
      </c>
      <c r="N823" s="461">
        <v>0</v>
      </c>
      <c r="O823" s="461">
        <v>0</v>
      </c>
      <c r="P823" s="464">
        <v>682</v>
      </c>
      <c r="Q823" s="464">
        <v>777</v>
      </c>
      <c r="R823" s="464"/>
      <c r="S823" s="461">
        <v>11414</v>
      </c>
      <c r="T823" s="462">
        <v>9410</v>
      </c>
      <c r="U823" s="462">
        <v>20824</v>
      </c>
      <c r="W823" s="464">
        <v>68845</v>
      </c>
      <c r="X823" s="464">
        <v>15775</v>
      </c>
    </row>
    <row r="824" spans="1:24">
      <c r="A824" s="458">
        <v>99031</v>
      </c>
      <c r="B824" s="459" t="s">
        <v>1524</v>
      </c>
      <c r="C824" s="463">
        <v>1.0115000000000001E-4</v>
      </c>
      <c r="D824" s="463">
        <v>1.1290000000000001E-4</v>
      </c>
      <c r="E824" s="464">
        <v>669925</v>
      </c>
      <c r="F824" s="464"/>
      <c r="G824" s="461">
        <v>74650</v>
      </c>
      <c r="H824" s="461">
        <v>179301</v>
      </c>
      <c r="I824" s="461">
        <v>28468</v>
      </c>
      <c r="J824" s="464">
        <v>21169</v>
      </c>
      <c r="K824" s="464">
        <v>303588</v>
      </c>
      <c r="L824" s="464"/>
      <c r="M824" s="461">
        <v>1607</v>
      </c>
      <c r="N824" s="461">
        <v>0</v>
      </c>
      <c r="O824" s="461">
        <v>0</v>
      </c>
      <c r="P824" s="464">
        <v>25014</v>
      </c>
      <c r="Q824" s="464">
        <v>26621</v>
      </c>
      <c r="R824" s="464"/>
      <c r="S824" s="461">
        <v>192421</v>
      </c>
      <c r="T824" s="462">
        <v>-9565</v>
      </c>
      <c r="U824" s="462">
        <v>182856</v>
      </c>
      <c r="W824" s="464">
        <v>1160619</v>
      </c>
      <c r="X824" s="464">
        <v>265940</v>
      </c>
    </row>
    <row r="825" spans="1:24">
      <c r="A825" s="458">
        <v>99041</v>
      </c>
      <c r="B825" s="459" t="s">
        <v>1525</v>
      </c>
      <c r="C825" s="463">
        <v>6.7024999999999995E-4</v>
      </c>
      <c r="D825" s="463">
        <v>6.4639999999999999E-4</v>
      </c>
      <c r="E825" s="464">
        <v>4439124</v>
      </c>
      <c r="F825" s="464"/>
      <c r="G825" s="461">
        <v>494650</v>
      </c>
      <c r="H825" s="461">
        <v>1188104</v>
      </c>
      <c r="I825" s="461">
        <v>188637</v>
      </c>
      <c r="J825" s="464">
        <v>66246</v>
      </c>
      <c r="K825" s="464">
        <v>1937637</v>
      </c>
      <c r="L825" s="464"/>
      <c r="M825" s="461">
        <v>10649</v>
      </c>
      <c r="N825" s="461">
        <v>0</v>
      </c>
      <c r="O825" s="461">
        <v>0</v>
      </c>
      <c r="P825" s="464">
        <v>6970</v>
      </c>
      <c r="Q825" s="464">
        <v>17619</v>
      </c>
      <c r="R825" s="464"/>
      <c r="S825" s="461">
        <v>1275040</v>
      </c>
      <c r="T825" s="462">
        <v>12892</v>
      </c>
      <c r="U825" s="462">
        <v>1287932</v>
      </c>
      <c r="W825" s="464">
        <v>7690608</v>
      </c>
      <c r="X825" s="464">
        <v>1762198</v>
      </c>
    </row>
    <row r="826" spans="1:24">
      <c r="A826" s="458">
        <v>99047</v>
      </c>
      <c r="B826" s="459" t="s">
        <v>1526</v>
      </c>
      <c r="C826" s="463">
        <v>2.0319999999999999E-5</v>
      </c>
      <c r="D826" s="463">
        <v>1.66E-5</v>
      </c>
      <c r="E826" s="464">
        <v>134581</v>
      </c>
      <c r="F826" s="464"/>
      <c r="G826" s="461">
        <v>14996</v>
      </c>
      <c r="H826" s="461">
        <v>36020</v>
      </c>
      <c r="I826" s="461">
        <v>5719</v>
      </c>
      <c r="J826" s="464">
        <v>23532</v>
      </c>
      <c r="K826" s="464">
        <v>80267</v>
      </c>
      <c r="L826" s="464"/>
      <c r="M826" s="461">
        <v>323</v>
      </c>
      <c r="N826" s="461">
        <v>0</v>
      </c>
      <c r="O826" s="461">
        <v>0</v>
      </c>
      <c r="P826" s="464">
        <v>3637</v>
      </c>
      <c r="Q826" s="464">
        <v>3960</v>
      </c>
      <c r="R826" s="464"/>
      <c r="S826" s="461">
        <v>38655</v>
      </c>
      <c r="T826" s="462">
        <v>12257</v>
      </c>
      <c r="U826" s="462">
        <v>50912</v>
      </c>
      <c r="W826" s="464">
        <v>233157</v>
      </c>
      <c r="X826" s="464">
        <v>53425</v>
      </c>
    </row>
    <row r="827" spans="1:24">
      <c r="A827" s="458">
        <v>99051</v>
      </c>
      <c r="B827" s="459" t="s">
        <v>1527</v>
      </c>
      <c r="C827" s="463">
        <v>3.8573999999999998E-4</v>
      </c>
      <c r="D827" s="463">
        <v>3.8549999999999999E-4</v>
      </c>
      <c r="E827" s="464">
        <v>2554790</v>
      </c>
      <c r="F827" s="464"/>
      <c r="G827" s="461">
        <v>284679</v>
      </c>
      <c r="H827" s="461">
        <v>683774</v>
      </c>
      <c r="I827" s="461">
        <v>108564</v>
      </c>
      <c r="J827" s="464">
        <v>53422</v>
      </c>
      <c r="K827" s="464">
        <v>1130439</v>
      </c>
      <c r="L827" s="464"/>
      <c r="M827" s="461">
        <v>6129</v>
      </c>
      <c r="N827" s="461">
        <v>0</v>
      </c>
      <c r="O827" s="461">
        <v>0</v>
      </c>
      <c r="P827" s="464">
        <v>73440</v>
      </c>
      <c r="Q827" s="464">
        <v>79569</v>
      </c>
      <c r="R827" s="464"/>
      <c r="S827" s="461">
        <v>733807</v>
      </c>
      <c r="T827" s="462">
        <v>-12594</v>
      </c>
      <c r="U827" s="462">
        <v>721213</v>
      </c>
      <c r="W827" s="464">
        <v>4426073</v>
      </c>
      <c r="X827" s="464">
        <v>1014174</v>
      </c>
    </row>
    <row r="828" spans="1:24">
      <c r="A828" s="458">
        <v>99061</v>
      </c>
      <c r="B828" s="459" t="s">
        <v>1528</v>
      </c>
      <c r="C828" s="463">
        <v>3.6200000000000001E-6</v>
      </c>
      <c r="D828" s="463">
        <v>4.6E-6</v>
      </c>
      <c r="E828" s="464">
        <v>23976</v>
      </c>
      <c r="F828" s="464"/>
      <c r="G828" s="461">
        <v>2672</v>
      </c>
      <c r="H828" s="461">
        <v>6417</v>
      </c>
      <c r="I828" s="461">
        <v>1019</v>
      </c>
      <c r="J828" s="464">
        <v>3848</v>
      </c>
      <c r="K828" s="464">
        <v>13956</v>
      </c>
      <c r="L828" s="464"/>
      <c r="M828" s="461">
        <v>58</v>
      </c>
      <c r="N828" s="461">
        <v>0</v>
      </c>
      <c r="O828" s="461">
        <v>0</v>
      </c>
      <c r="P828" s="464">
        <v>909</v>
      </c>
      <c r="Q828" s="464">
        <v>967</v>
      </c>
      <c r="R828" s="464"/>
      <c r="S828" s="461">
        <v>6886</v>
      </c>
      <c r="T828" s="462">
        <v>1928</v>
      </c>
      <c r="U828" s="462">
        <v>8814</v>
      </c>
      <c r="W828" s="464">
        <v>41537</v>
      </c>
      <c r="X828" s="464">
        <v>9518</v>
      </c>
    </row>
    <row r="829" spans="1:24">
      <c r="A829" s="458">
        <v>99071</v>
      </c>
      <c r="B829" s="459" t="s">
        <v>1529</v>
      </c>
      <c r="C829" s="463">
        <v>2.1929999999999998E-5</v>
      </c>
      <c r="D829" s="463">
        <v>1.04E-5</v>
      </c>
      <c r="E829" s="464">
        <v>145244</v>
      </c>
      <c r="F829" s="464"/>
      <c r="G829" s="461">
        <v>16185</v>
      </c>
      <c r="H829" s="461">
        <v>38874</v>
      </c>
      <c r="I829" s="461">
        <v>6172</v>
      </c>
      <c r="J829" s="464">
        <v>36253</v>
      </c>
      <c r="K829" s="464">
        <v>97484</v>
      </c>
      <c r="L829" s="464"/>
      <c r="M829" s="461">
        <v>348</v>
      </c>
      <c r="N829" s="461">
        <v>0</v>
      </c>
      <c r="O829" s="461">
        <v>0</v>
      </c>
      <c r="P829" s="464">
        <v>16367</v>
      </c>
      <c r="Q829" s="464">
        <v>16715</v>
      </c>
      <c r="R829" s="464"/>
      <c r="S829" s="461">
        <v>41718</v>
      </c>
      <c r="T829" s="462">
        <v>6633</v>
      </c>
      <c r="U829" s="462">
        <v>48351</v>
      </c>
      <c r="W829" s="464">
        <v>251630</v>
      </c>
      <c r="X829" s="464">
        <v>57658</v>
      </c>
    </row>
    <row r="830" spans="1:24">
      <c r="A830" s="458">
        <v>99081</v>
      </c>
      <c r="B830" s="459" t="s">
        <v>1530</v>
      </c>
      <c r="C830" s="463">
        <v>6.7689999999999997E-5</v>
      </c>
      <c r="D830" s="463">
        <v>7.6100000000000007E-5</v>
      </c>
      <c r="E830" s="464">
        <v>448317</v>
      </c>
      <c r="F830" s="464"/>
      <c r="G830" s="461">
        <v>49956</v>
      </c>
      <c r="H830" s="461">
        <v>119989</v>
      </c>
      <c r="I830" s="461">
        <v>19051</v>
      </c>
      <c r="J830" s="464">
        <v>34609</v>
      </c>
      <c r="K830" s="464">
        <v>223605</v>
      </c>
      <c r="L830" s="464"/>
      <c r="M830" s="461">
        <v>1075</v>
      </c>
      <c r="N830" s="461">
        <v>0</v>
      </c>
      <c r="O830" s="461">
        <v>0</v>
      </c>
      <c r="P830" s="464">
        <v>40543</v>
      </c>
      <c r="Q830" s="464">
        <v>41618</v>
      </c>
      <c r="R830" s="464"/>
      <c r="S830" s="461">
        <v>128769</v>
      </c>
      <c r="T830" s="462">
        <v>8999</v>
      </c>
      <c r="U830" s="462">
        <v>137768</v>
      </c>
      <c r="W830" s="464">
        <v>776691</v>
      </c>
      <c r="X830" s="464">
        <v>177968</v>
      </c>
    </row>
    <row r="831" spans="1:24">
      <c r="A831" s="458">
        <v>99091</v>
      </c>
      <c r="B831" s="459" t="s">
        <v>1531</v>
      </c>
      <c r="C831" s="463">
        <v>7.8199999999999997E-6</v>
      </c>
      <c r="D831" s="463">
        <v>7.9000000000000006E-6</v>
      </c>
      <c r="E831" s="464">
        <v>51793</v>
      </c>
      <c r="F831" s="464"/>
      <c r="G831" s="461">
        <v>5771</v>
      </c>
      <c r="H831" s="461">
        <v>13862</v>
      </c>
      <c r="I831" s="461">
        <v>2201</v>
      </c>
      <c r="J831" s="464">
        <v>9611</v>
      </c>
      <c r="K831" s="464">
        <v>31445</v>
      </c>
      <c r="L831" s="464"/>
      <c r="M831" s="461">
        <v>124</v>
      </c>
      <c r="N831" s="461">
        <v>0</v>
      </c>
      <c r="O831" s="461">
        <v>0</v>
      </c>
      <c r="P831" s="464">
        <v>3636</v>
      </c>
      <c r="Q831" s="464">
        <v>3760</v>
      </c>
      <c r="R831" s="464"/>
      <c r="S831" s="461">
        <v>14876</v>
      </c>
      <c r="T831" s="462">
        <v>6883</v>
      </c>
      <c r="U831" s="462">
        <v>21759</v>
      </c>
      <c r="W831" s="464">
        <v>89729</v>
      </c>
      <c r="X831" s="464">
        <v>20560</v>
      </c>
    </row>
    <row r="832" spans="1:24">
      <c r="A832" s="458">
        <v>99101</v>
      </c>
      <c r="B832" s="459" t="s">
        <v>1532</v>
      </c>
      <c r="C832" s="463">
        <v>1.7205300000000001E-3</v>
      </c>
      <c r="D832" s="463">
        <v>1.6930000000000001E-3</v>
      </c>
      <c r="E832" s="464">
        <v>11395220</v>
      </c>
      <c r="F832" s="464"/>
      <c r="G832" s="461">
        <v>1269765</v>
      </c>
      <c r="H832" s="461">
        <v>3049860</v>
      </c>
      <c r="I832" s="461">
        <v>484231</v>
      </c>
      <c r="J832" s="464">
        <v>140037</v>
      </c>
      <c r="K832" s="464">
        <v>4943893</v>
      </c>
      <c r="L832" s="464"/>
      <c r="M832" s="461">
        <v>27336</v>
      </c>
      <c r="N832" s="461">
        <v>0</v>
      </c>
      <c r="O832" s="461">
        <v>0</v>
      </c>
      <c r="P832" s="464">
        <v>190124</v>
      </c>
      <c r="Q832" s="464">
        <v>217460</v>
      </c>
      <c r="R832" s="464"/>
      <c r="S832" s="461">
        <v>3273024</v>
      </c>
      <c r="T832" s="462">
        <v>-174696</v>
      </c>
      <c r="U832" s="462">
        <v>3098328</v>
      </c>
      <c r="W832" s="464">
        <v>19741771</v>
      </c>
      <c r="X832" s="464">
        <v>4523557</v>
      </c>
    </row>
    <row r="833" spans="1:24">
      <c r="A833" s="458">
        <v>99104</v>
      </c>
      <c r="B833" s="459" t="s">
        <v>1533</v>
      </c>
      <c r="C833" s="463">
        <v>3.6539999999999999E-5</v>
      </c>
      <c r="D833" s="463">
        <v>3.6399999999999997E-5</v>
      </c>
      <c r="E833" s="464">
        <v>242008</v>
      </c>
      <c r="F833" s="464"/>
      <c r="G833" s="461">
        <v>26967</v>
      </c>
      <c r="H833" s="461">
        <v>64772</v>
      </c>
      <c r="I833" s="461">
        <v>10284</v>
      </c>
      <c r="J833" s="464">
        <v>29888</v>
      </c>
      <c r="K833" s="464">
        <v>131911</v>
      </c>
      <c r="L833" s="464"/>
      <c r="M833" s="461">
        <v>581</v>
      </c>
      <c r="N833" s="461">
        <v>0</v>
      </c>
      <c r="O833" s="461">
        <v>0</v>
      </c>
      <c r="P833" s="464">
        <v>0</v>
      </c>
      <c r="Q833" s="464">
        <v>581</v>
      </c>
      <c r="R833" s="464"/>
      <c r="S833" s="461">
        <v>69511</v>
      </c>
      <c r="T833" s="462">
        <v>21625</v>
      </c>
      <c r="U833" s="462">
        <v>91136</v>
      </c>
      <c r="W833" s="464">
        <v>419269</v>
      </c>
      <c r="X833" s="464">
        <v>96070</v>
      </c>
    </row>
    <row r="834" spans="1:24">
      <c r="A834" s="458">
        <v>99109</v>
      </c>
      <c r="B834" s="459" t="s">
        <v>1534</v>
      </c>
      <c r="C834" s="463">
        <v>1.1144E-4</v>
      </c>
      <c r="D834" s="463">
        <v>1.293E-4</v>
      </c>
      <c r="E834" s="464">
        <v>738077</v>
      </c>
      <c r="F834" s="464"/>
      <c r="G834" s="461">
        <v>82244</v>
      </c>
      <c r="H834" s="461">
        <v>197542</v>
      </c>
      <c r="I834" s="461">
        <v>31364</v>
      </c>
      <c r="J834" s="464">
        <v>14982</v>
      </c>
      <c r="K834" s="464">
        <v>326132</v>
      </c>
      <c r="L834" s="464"/>
      <c r="M834" s="461">
        <v>1771</v>
      </c>
      <c r="N834" s="461">
        <v>0</v>
      </c>
      <c r="O834" s="461">
        <v>0</v>
      </c>
      <c r="P834" s="464">
        <v>43223</v>
      </c>
      <c r="Q834" s="464">
        <v>44994</v>
      </c>
      <c r="R834" s="464"/>
      <c r="S834" s="461">
        <v>211996</v>
      </c>
      <c r="T834" s="462">
        <v>-9231</v>
      </c>
      <c r="U834" s="462">
        <v>202765</v>
      </c>
      <c r="W834" s="464">
        <v>1278689</v>
      </c>
      <c r="X834" s="464">
        <v>292994</v>
      </c>
    </row>
    <row r="835" spans="1:24">
      <c r="A835" s="458">
        <v>99110</v>
      </c>
      <c r="B835" s="459" t="s">
        <v>1535</v>
      </c>
      <c r="C835" s="463">
        <v>1.6658999999999999E-4</v>
      </c>
      <c r="D835" s="463">
        <v>1.9149999999999999E-4</v>
      </c>
      <c r="E835" s="464">
        <v>1103340</v>
      </c>
      <c r="F835" s="464"/>
      <c r="G835" s="461">
        <v>122945</v>
      </c>
      <c r="H835" s="461">
        <v>295302</v>
      </c>
      <c r="I835" s="461">
        <v>46886</v>
      </c>
      <c r="J835" s="464">
        <v>44349</v>
      </c>
      <c r="K835" s="464">
        <v>509482</v>
      </c>
      <c r="L835" s="464"/>
      <c r="M835" s="461">
        <v>2647</v>
      </c>
      <c r="N835" s="461">
        <v>0</v>
      </c>
      <c r="O835" s="461">
        <v>0</v>
      </c>
      <c r="P835" s="464">
        <v>14044</v>
      </c>
      <c r="Q835" s="464">
        <v>16691</v>
      </c>
      <c r="R835" s="464"/>
      <c r="S835" s="461">
        <v>316910</v>
      </c>
      <c r="T835" s="462">
        <v>61620</v>
      </c>
      <c r="U835" s="462">
        <v>378530</v>
      </c>
      <c r="W835" s="464">
        <v>1911493</v>
      </c>
      <c r="X835" s="464">
        <v>437993</v>
      </c>
    </row>
    <row r="836" spans="1:24">
      <c r="A836" s="458">
        <v>99111</v>
      </c>
      <c r="B836" s="459" t="s">
        <v>1536</v>
      </c>
      <c r="C836" s="463">
        <v>1.21601E-3</v>
      </c>
      <c r="D836" s="463">
        <v>1.3125999999999999E-3</v>
      </c>
      <c r="E836" s="464">
        <v>8053740</v>
      </c>
      <c r="F836" s="464"/>
      <c r="G836" s="461">
        <v>897425</v>
      </c>
      <c r="H836" s="461">
        <v>2155533</v>
      </c>
      <c r="I836" s="461">
        <v>342238</v>
      </c>
      <c r="J836" s="464">
        <v>28188</v>
      </c>
      <c r="K836" s="464">
        <v>3423384</v>
      </c>
      <c r="L836" s="464"/>
      <c r="M836" s="461">
        <v>19320</v>
      </c>
      <c r="N836" s="461">
        <v>0</v>
      </c>
      <c r="O836" s="461">
        <v>0</v>
      </c>
      <c r="P836" s="464">
        <v>358612</v>
      </c>
      <c r="Q836" s="464">
        <v>377932</v>
      </c>
      <c r="R836" s="464"/>
      <c r="S836" s="461">
        <v>2313258</v>
      </c>
      <c r="T836" s="462">
        <v>-142844</v>
      </c>
      <c r="U836" s="462">
        <v>2170414</v>
      </c>
      <c r="W836" s="464">
        <v>13952788</v>
      </c>
      <c r="X836" s="464">
        <v>3197091</v>
      </c>
    </row>
    <row r="837" spans="1:24">
      <c r="A837" s="458">
        <v>99201</v>
      </c>
      <c r="B837" s="459" t="s">
        <v>3738</v>
      </c>
      <c r="C837" s="463">
        <v>3.8254789999999997E-2</v>
      </c>
      <c r="D837" s="463">
        <v>3.5933699999999999E-2</v>
      </c>
      <c r="E837" s="464">
        <v>253364802</v>
      </c>
      <c r="F837" s="464"/>
      <c r="G837" s="461">
        <v>28232341</v>
      </c>
      <c r="H837" s="461">
        <v>67811512</v>
      </c>
      <c r="I837" s="461">
        <v>10766543</v>
      </c>
      <c r="J837" s="464">
        <v>6277415</v>
      </c>
      <c r="K837" s="464">
        <v>113087811</v>
      </c>
      <c r="L837" s="464"/>
      <c r="M837" s="461">
        <v>607792</v>
      </c>
      <c r="N837" s="461">
        <v>0</v>
      </c>
      <c r="O837" s="461">
        <v>0</v>
      </c>
      <c r="P837" s="464">
        <v>1357251</v>
      </c>
      <c r="Q837" s="464">
        <v>1965043</v>
      </c>
      <c r="R837" s="464"/>
      <c r="S837" s="461">
        <v>72773426</v>
      </c>
      <c r="T837" s="462">
        <v>2318178</v>
      </c>
      <c r="U837" s="462">
        <v>75091604</v>
      </c>
      <c r="W837" s="464">
        <v>438944565</v>
      </c>
      <c r="X837" s="464">
        <v>100578155</v>
      </c>
    </row>
    <row r="838" spans="1:24">
      <c r="A838" s="458">
        <v>99202</v>
      </c>
      <c r="B838" s="459" t="s">
        <v>1538</v>
      </c>
      <c r="C838" s="463">
        <v>3.4394899999999999E-3</v>
      </c>
      <c r="D838" s="463">
        <v>3.0834999999999999E-3</v>
      </c>
      <c r="E838" s="464">
        <v>22780042</v>
      </c>
      <c r="F838" s="464"/>
      <c r="G838" s="461">
        <v>2538371</v>
      </c>
      <c r="H838" s="461">
        <v>6096936</v>
      </c>
      <c r="I838" s="461">
        <v>968020</v>
      </c>
      <c r="J838" s="464">
        <v>709745</v>
      </c>
      <c r="K838" s="464">
        <v>10313072</v>
      </c>
      <c r="L838" s="464"/>
      <c r="M838" s="461">
        <v>54647</v>
      </c>
      <c r="N838" s="461">
        <v>0</v>
      </c>
      <c r="O838" s="461">
        <v>0</v>
      </c>
      <c r="P838" s="464">
        <v>141506</v>
      </c>
      <c r="Q838" s="464">
        <v>196153</v>
      </c>
      <c r="R838" s="464"/>
      <c r="S838" s="461">
        <v>6543062</v>
      </c>
      <c r="T838" s="462">
        <v>184002</v>
      </c>
      <c r="U838" s="462">
        <v>6727064</v>
      </c>
      <c r="W838" s="464">
        <v>39465527</v>
      </c>
      <c r="X838" s="464">
        <v>9042987</v>
      </c>
    </row>
    <row r="839" spans="1:24">
      <c r="A839" s="458">
        <v>99203</v>
      </c>
      <c r="B839" s="459" t="s">
        <v>1539</v>
      </c>
      <c r="C839" s="463">
        <v>4.4331999999999998E-4</v>
      </c>
      <c r="D839" s="463">
        <v>4.104E-4</v>
      </c>
      <c r="E839" s="464">
        <v>2936147</v>
      </c>
      <c r="F839" s="464"/>
      <c r="G839" s="461">
        <v>327174</v>
      </c>
      <c r="H839" s="461">
        <v>785841</v>
      </c>
      <c r="I839" s="461">
        <v>124769</v>
      </c>
      <c r="J839" s="464">
        <v>76729</v>
      </c>
      <c r="K839" s="464">
        <v>1314513</v>
      </c>
      <c r="L839" s="464"/>
      <c r="M839" s="461">
        <v>7043</v>
      </c>
      <c r="N839" s="461">
        <v>0</v>
      </c>
      <c r="O839" s="461">
        <v>0</v>
      </c>
      <c r="P839" s="464">
        <v>19983</v>
      </c>
      <c r="Q839" s="464">
        <v>27026</v>
      </c>
      <c r="R839" s="464"/>
      <c r="S839" s="461">
        <v>843343</v>
      </c>
      <c r="T839" s="462">
        <v>37912</v>
      </c>
      <c r="U839" s="462">
        <v>881255</v>
      </c>
      <c r="W839" s="464">
        <v>5086759</v>
      </c>
      <c r="X839" s="464">
        <v>1165561</v>
      </c>
    </row>
    <row r="840" spans="1:24">
      <c r="A840" s="458">
        <v>99204</v>
      </c>
      <c r="B840" s="459" t="s">
        <v>1540</v>
      </c>
      <c r="C840" s="463">
        <v>1.3664300000000001E-3</v>
      </c>
      <c r="D840" s="463">
        <v>1.2049000000000001E-3</v>
      </c>
      <c r="E840" s="464">
        <v>9049985</v>
      </c>
      <c r="F840" s="464"/>
      <c r="G840" s="461">
        <v>1008436</v>
      </c>
      <c r="H840" s="461">
        <v>2422172</v>
      </c>
      <c r="I840" s="461">
        <v>384572</v>
      </c>
      <c r="J840" s="464">
        <v>488316</v>
      </c>
      <c r="K840" s="464">
        <v>4303496</v>
      </c>
      <c r="L840" s="464"/>
      <c r="M840" s="461">
        <v>21710</v>
      </c>
      <c r="N840" s="461">
        <v>0</v>
      </c>
      <c r="O840" s="461">
        <v>0</v>
      </c>
      <c r="P840" s="464">
        <v>30652</v>
      </c>
      <c r="Q840" s="464">
        <v>52362</v>
      </c>
      <c r="R840" s="464"/>
      <c r="S840" s="461">
        <v>2599408</v>
      </c>
      <c r="T840" s="462">
        <v>278471</v>
      </c>
      <c r="U840" s="462">
        <v>2877879</v>
      </c>
      <c r="W840" s="464">
        <v>15678743</v>
      </c>
      <c r="X840" s="464">
        <v>3592570</v>
      </c>
    </row>
    <row r="841" spans="1:24">
      <c r="A841" s="458">
        <v>99206</v>
      </c>
      <c r="B841" s="459" t="s">
        <v>1541</v>
      </c>
      <c r="C841" s="463">
        <v>2.0076999999999998E-3</v>
      </c>
      <c r="D841" s="463">
        <v>2.0604999999999998E-3</v>
      </c>
      <c r="E841" s="464">
        <v>13297172</v>
      </c>
      <c r="F841" s="464"/>
      <c r="G841" s="461">
        <v>1481699</v>
      </c>
      <c r="H841" s="461">
        <v>3558905</v>
      </c>
      <c r="I841" s="461">
        <v>565053</v>
      </c>
      <c r="J841" s="464">
        <v>191724</v>
      </c>
      <c r="K841" s="464">
        <v>5797381</v>
      </c>
      <c r="L841" s="464"/>
      <c r="M841" s="461">
        <v>31898</v>
      </c>
      <c r="N841" s="461">
        <v>0</v>
      </c>
      <c r="O841" s="461">
        <v>0</v>
      </c>
      <c r="P841" s="464">
        <v>181927</v>
      </c>
      <c r="Q841" s="464">
        <v>213825</v>
      </c>
      <c r="R841" s="464"/>
      <c r="S841" s="461">
        <v>3819318</v>
      </c>
      <c r="T841" s="462">
        <v>104659</v>
      </c>
      <c r="U841" s="462">
        <v>3923977</v>
      </c>
      <c r="W841" s="464">
        <v>23036828</v>
      </c>
      <c r="X841" s="464">
        <v>5278575</v>
      </c>
    </row>
    <row r="842" spans="1:24">
      <c r="A842" s="458">
        <v>99207</v>
      </c>
      <c r="B842" s="459" t="s">
        <v>1542</v>
      </c>
      <c r="C842" s="463">
        <v>1.3595E-4</v>
      </c>
      <c r="D842" s="463">
        <v>1.5469999999999999E-4</v>
      </c>
      <c r="E842" s="464">
        <v>900409</v>
      </c>
      <c r="F842" s="464"/>
      <c r="G842" s="461">
        <v>100332</v>
      </c>
      <c r="H842" s="461">
        <v>240989</v>
      </c>
      <c r="I842" s="461">
        <v>38262</v>
      </c>
      <c r="J842" s="464">
        <v>223063</v>
      </c>
      <c r="K842" s="464">
        <v>602646</v>
      </c>
      <c r="L842" s="464"/>
      <c r="M842" s="461">
        <v>2160</v>
      </c>
      <c r="N842" s="461">
        <v>0</v>
      </c>
      <c r="O842" s="461">
        <v>0</v>
      </c>
      <c r="P842" s="464">
        <v>0</v>
      </c>
      <c r="Q842" s="464">
        <v>2160</v>
      </c>
      <c r="R842" s="464"/>
      <c r="S842" s="461">
        <v>258622</v>
      </c>
      <c r="T842" s="462">
        <v>147114</v>
      </c>
      <c r="U842" s="462">
        <v>405736</v>
      </c>
      <c r="W842" s="464">
        <v>1559923</v>
      </c>
      <c r="X842" s="464">
        <v>357435</v>
      </c>
    </row>
    <row r="843" spans="1:24">
      <c r="A843" s="458">
        <v>99208</v>
      </c>
      <c r="B843" s="459" t="s">
        <v>1543</v>
      </c>
      <c r="C843" s="463">
        <v>3.3152000000000002E-4</v>
      </c>
      <c r="D843" s="463">
        <v>2.9169999999999999E-4</v>
      </c>
      <c r="E843" s="464">
        <v>2195686</v>
      </c>
      <c r="F843" s="464"/>
      <c r="G843" s="461">
        <v>244664</v>
      </c>
      <c r="H843" s="461">
        <v>587662</v>
      </c>
      <c r="I843" s="461">
        <v>93304</v>
      </c>
      <c r="J843" s="464">
        <v>69986</v>
      </c>
      <c r="K843" s="464">
        <v>995616</v>
      </c>
      <c r="L843" s="464"/>
      <c r="M843" s="461">
        <v>5267</v>
      </c>
      <c r="N843" s="461">
        <v>0</v>
      </c>
      <c r="O843" s="461">
        <v>0</v>
      </c>
      <c r="P843" s="464">
        <v>32602</v>
      </c>
      <c r="Q843" s="464">
        <v>37869</v>
      </c>
      <c r="R843" s="464"/>
      <c r="S843" s="461">
        <v>630662</v>
      </c>
      <c r="T843" s="462">
        <v>2719</v>
      </c>
      <c r="U843" s="462">
        <v>633381</v>
      </c>
      <c r="W843" s="464">
        <v>3803939</v>
      </c>
      <c r="X843" s="464">
        <v>871621</v>
      </c>
    </row>
    <row r="844" spans="1:24">
      <c r="A844" s="458">
        <v>99210</v>
      </c>
      <c r="B844" s="459" t="s">
        <v>1544</v>
      </c>
      <c r="C844" s="463">
        <v>1.9049900000000001E-3</v>
      </c>
      <c r="D844" s="463">
        <v>1.9639000000000002E-3</v>
      </c>
      <c r="E844" s="464">
        <v>12616915</v>
      </c>
      <c r="F844" s="464"/>
      <c r="G844" s="461">
        <v>1405898</v>
      </c>
      <c r="H844" s="461">
        <v>3376839</v>
      </c>
      <c r="I844" s="461">
        <v>536146</v>
      </c>
      <c r="J844" s="464">
        <v>111425</v>
      </c>
      <c r="K844" s="464">
        <v>5430308</v>
      </c>
      <c r="L844" s="464"/>
      <c r="M844" s="461">
        <v>30266</v>
      </c>
      <c r="N844" s="461">
        <v>0</v>
      </c>
      <c r="O844" s="461">
        <v>0</v>
      </c>
      <c r="P844" s="464">
        <v>83208</v>
      </c>
      <c r="Q844" s="464">
        <v>113474</v>
      </c>
      <c r="R844" s="464"/>
      <c r="S844" s="461">
        <v>3623929</v>
      </c>
      <c r="T844" s="462">
        <v>142870</v>
      </c>
      <c r="U844" s="462">
        <v>3766799</v>
      </c>
      <c r="W844" s="464">
        <v>21858309</v>
      </c>
      <c r="X844" s="464">
        <v>5008533</v>
      </c>
    </row>
    <row r="845" spans="1:24">
      <c r="A845" s="458">
        <v>99211</v>
      </c>
      <c r="B845" s="459" t="s">
        <v>1545</v>
      </c>
      <c r="C845" s="463">
        <v>3.2543789999999996E-2</v>
      </c>
      <c r="D845" s="463">
        <v>3.4845999999999995E-2</v>
      </c>
      <c r="E845" s="464">
        <v>215540352</v>
      </c>
      <c r="F845" s="464"/>
      <c r="G845" s="461">
        <v>24017577</v>
      </c>
      <c r="H845" s="461">
        <v>57688033</v>
      </c>
      <c r="I845" s="461">
        <v>9159222</v>
      </c>
      <c r="J845" s="464">
        <v>0</v>
      </c>
      <c r="K845" s="464">
        <v>90864832</v>
      </c>
      <c r="L845" s="464"/>
      <c r="M845" s="461">
        <v>517056</v>
      </c>
      <c r="N845" s="461">
        <v>0</v>
      </c>
      <c r="O845" s="461">
        <v>0</v>
      </c>
      <c r="P845" s="464">
        <v>8099721</v>
      </c>
      <c r="Q845" s="464">
        <v>8616777</v>
      </c>
      <c r="R845" s="464"/>
      <c r="S845" s="461">
        <v>61909191</v>
      </c>
      <c r="T845" s="462">
        <v>-4238209</v>
      </c>
      <c r="U845" s="462">
        <v>57670982</v>
      </c>
      <c r="W845" s="464">
        <v>373415192</v>
      </c>
      <c r="X845" s="464">
        <v>85562994</v>
      </c>
    </row>
    <row r="846" spans="1:24">
      <c r="A846" s="458">
        <v>99212</v>
      </c>
      <c r="B846" s="459" t="s">
        <v>1546</v>
      </c>
      <c r="C846" s="463">
        <v>9.488E-5</v>
      </c>
      <c r="D846" s="463">
        <v>6.8399999999999996E-5</v>
      </c>
      <c r="E846" s="464">
        <v>628398</v>
      </c>
      <c r="F846" s="464"/>
      <c r="G846" s="461">
        <v>70022</v>
      </c>
      <c r="H846" s="461">
        <v>168187</v>
      </c>
      <c r="I846" s="461">
        <v>26703</v>
      </c>
      <c r="J846" s="464">
        <v>36598</v>
      </c>
      <c r="K846" s="464">
        <v>301510</v>
      </c>
      <c r="L846" s="464"/>
      <c r="M846" s="461">
        <v>1507</v>
      </c>
      <c r="N846" s="461">
        <v>0</v>
      </c>
      <c r="O846" s="461">
        <v>0</v>
      </c>
      <c r="P846" s="464">
        <v>19371</v>
      </c>
      <c r="Q846" s="464">
        <v>20878</v>
      </c>
      <c r="R846" s="464"/>
      <c r="S846" s="461">
        <v>180494</v>
      </c>
      <c r="T846" s="462">
        <v>11</v>
      </c>
      <c r="U846" s="462">
        <v>180505</v>
      </c>
      <c r="W846" s="464">
        <v>1088676</v>
      </c>
      <c r="X846" s="464">
        <v>249455</v>
      </c>
    </row>
    <row r="847" spans="1:24">
      <c r="A847" s="458">
        <v>99213</v>
      </c>
      <c r="B847" s="459" t="s">
        <v>1547</v>
      </c>
      <c r="C847" s="463">
        <v>5.7908999999999999E-4</v>
      </c>
      <c r="D847" s="463">
        <v>5.842E-4</v>
      </c>
      <c r="E847" s="464">
        <v>3835363</v>
      </c>
      <c r="F847" s="464"/>
      <c r="G847" s="461">
        <v>427373</v>
      </c>
      <c r="H847" s="461">
        <v>1026511</v>
      </c>
      <c r="I847" s="461">
        <v>162981</v>
      </c>
      <c r="J847" s="464">
        <v>88839</v>
      </c>
      <c r="K847" s="464">
        <v>1705704</v>
      </c>
      <c r="L847" s="464"/>
      <c r="M847" s="461">
        <v>9201</v>
      </c>
      <c r="N847" s="461">
        <v>0</v>
      </c>
      <c r="O847" s="461">
        <v>0</v>
      </c>
      <c r="P847" s="464">
        <v>104343</v>
      </c>
      <c r="Q847" s="464">
        <v>113544</v>
      </c>
      <c r="R847" s="464"/>
      <c r="S847" s="461">
        <v>1101623</v>
      </c>
      <c r="T847" s="462">
        <v>-22776</v>
      </c>
      <c r="U847" s="462">
        <v>1078847</v>
      </c>
      <c r="W847" s="464">
        <v>6644616</v>
      </c>
      <c r="X847" s="464">
        <v>1522523</v>
      </c>
    </row>
    <row r="848" spans="1:24">
      <c r="A848" s="458">
        <v>99218</v>
      </c>
      <c r="B848" s="459" t="s">
        <v>1548</v>
      </c>
      <c r="C848" s="463">
        <v>3.7352399999999999E-3</v>
      </c>
      <c r="D848" s="463">
        <v>3.5201E-3</v>
      </c>
      <c r="E848" s="464">
        <v>24738819</v>
      </c>
      <c r="F848" s="464"/>
      <c r="G848" s="461">
        <v>2756637</v>
      </c>
      <c r="H848" s="461">
        <v>6621191</v>
      </c>
      <c r="I848" s="461">
        <v>1051257</v>
      </c>
      <c r="J848" s="464">
        <v>517288</v>
      </c>
      <c r="K848" s="464">
        <v>10946373</v>
      </c>
      <c r="L848" s="464"/>
      <c r="M848" s="461">
        <v>59345</v>
      </c>
      <c r="N848" s="461">
        <v>0</v>
      </c>
      <c r="O848" s="461">
        <v>0</v>
      </c>
      <c r="P848" s="464">
        <v>272526</v>
      </c>
      <c r="Q848" s="464">
        <v>331871</v>
      </c>
      <c r="R848" s="464"/>
      <c r="S848" s="461">
        <v>7105678</v>
      </c>
      <c r="T848" s="462">
        <v>229529</v>
      </c>
      <c r="U848" s="462">
        <v>7335207</v>
      </c>
      <c r="W848" s="464">
        <v>42859033</v>
      </c>
      <c r="X848" s="464">
        <v>9820562</v>
      </c>
    </row>
    <row r="849" spans="1:24">
      <c r="A849" s="458">
        <v>99219</v>
      </c>
      <c r="B849" s="459" t="s">
        <v>3758</v>
      </c>
      <c r="C849" s="463">
        <v>1.29E-5</v>
      </c>
      <c r="D849" s="463">
        <v>1.6099999999999998E-5</v>
      </c>
      <c r="E849" s="464">
        <v>85438</v>
      </c>
      <c r="F849" s="464"/>
      <c r="G849" s="461">
        <v>9520</v>
      </c>
      <c r="H849" s="461">
        <v>22867</v>
      </c>
      <c r="I849" s="461">
        <v>3631</v>
      </c>
      <c r="J849" s="464">
        <v>20434</v>
      </c>
      <c r="K849" s="464">
        <v>56452</v>
      </c>
      <c r="L849" s="464"/>
      <c r="M849" s="461">
        <v>205</v>
      </c>
      <c r="N849" s="461">
        <v>0</v>
      </c>
      <c r="O849" s="461">
        <v>0</v>
      </c>
      <c r="P849" s="464">
        <v>2622</v>
      </c>
      <c r="Q849" s="464">
        <v>2827</v>
      </c>
      <c r="R849" s="464"/>
      <c r="S849" s="461">
        <v>24540</v>
      </c>
      <c r="T849" s="462">
        <v>9343</v>
      </c>
      <c r="U849" s="462">
        <v>33883</v>
      </c>
      <c r="W849" s="464">
        <v>148018</v>
      </c>
      <c r="X849" s="464">
        <v>33916</v>
      </c>
    </row>
    <row r="850" spans="1:24">
      <c r="A850" s="458">
        <v>99221</v>
      </c>
      <c r="B850" s="459" t="s">
        <v>1549</v>
      </c>
      <c r="C850" s="463">
        <v>1.2537680000000001E-2</v>
      </c>
      <c r="D850" s="463">
        <v>1.1827799999999999E-2</v>
      </c>
      <c r="E850" s="464">
        <v>83038145</v>
      </c>
      <c r="F850" s="464"/>
      <c r="G850" s="461">
        <v>9252908</v>
      </c>
      <c r="H850" s="461">
        <v>22224643</v>
      </c>
      <c r="I850" s="461">
        <v>3528642</v>
      </c>
      <c r="J850" s="464">
        <v>1476448</v>
      </c>
      <c r="K850" s="464">
        <v>36482641</v>
      </c>
      <c r="L850" s="464"/>
      <c r="M850" s="461">
        <v>199199</v>
      </c>
      <c r="N850" s="461">
        <v>0</v>
      </c>
      <c r="O850" s="461">
        <v>0</v>
      </c>
      <c r="P850" s="464">
        <v>421315</v>
      </c>
      <c r="Q850" s="464">
        <v>620514</v>
      </c>
      <c r="R850" s="464"/>
      <c r="S850" s="461">
        <v>23850867</v>
      </c>
      <c r="T850" s="462">
        <v>155110</v>
      </c>
      <c r="U850" s="462">
        <v>24005977</v>
      </c>
      <c r="W850" s="464">
        <v>143860324</v>
      </c>
      <c r="X850" s="464">
        <v>32963629</v>
      </c>
    </row>
    <row r="851" spans="1:24">
      <c r="A851" s="458">
        <v>99222</v>
      </c>
      <c r="B851" s="459" t="s">
        <v>1550</v>
      </c>
      <c r="C851" s="463">
        <v>2.7820000000000001E-5</v>
      </c>
      <c r="D851" s="463">
        <v>3.1300000000000002E-5</v>
      </c>
      <c r="E851" s="464">
        <v>184254</v>
      </c>
      <c r="F851" s="464"/>
      <c r="G851" s="461">
        <v>20531</v>
      </c>
      <c r="H851" s="461">
        <v>49315</v>
      </c>
      <c r="I851" s="461">
        <v>7830</v>
      </c>
      <c r="J851" s="464">
        <v>715</v>
      </c>
      <c r="K851" s="464">
        <v>78391</v>
      </c>
      <c r="L851" s="464"/>
      <c r="M851" s="461">
        <v>442</v>
      </c>
      <c r="N851" s="461">
        <v>0</v>
      </c>
      <c r="O851" s="461">
        <v>0</v>
      </c>
      <c r="P851" s="464">
        <v>6709</v>
      </c>
      <c r="Q851" s="464">
        <v>7151</v>
      </c>
      <c r="R851" s="464"/>
      <c r="S851" s="461">
        <v>52923</v>
      </c>
      <c r="T851" s="462">
        <v>-3838</v>
      </c>
      <c r="U851" s="462">
        <v>49085</v>
      </c>
      <c r="W851" s="464">
        <v>319213</v>
      </c>
      <c r="X851" s="464">
        <v>73143</v>
      </c>
    </row>
    <row r="852" spans="1:24">
      <c r="A852" s="458">
        <v>99231</v>
      </c>
      <c r="B852" s="459" t="s">
        <v>1551</v>
      </c>
      <c r="C852" s="463">
        <v>5.8580000000000004E-4</v>
      </c>
      <c r="D852" s="463">
        <v>5.0819999999999999E-4</v>
      </c>
      <c r="E852" s="464">
        <v>3879804</v>
      </c>
      <c r="F852" s="464"/>
      <c r="G852" s="461">
        <v>432325</v>
      </c>
      <c r="H852" s="461">
        <v>1038405</v>
      </c>
      <c r="I852" s="461">
        <v>164869</v>
      </c>
      <c r="J852" s="464">
        <v>235396</v>
      </c>
      <c r="K852" s="464">
        <v>1870995</v>
      </c>
      <c r="L852" s="464"/>
      <c r="M852" s="461">
        <v>9307</v>
      </c>
      <c r="N852" s="461">
        <v>0</v>
      </c>
      <c r="O852" s="461">
        <v>0</v>
      </c>
      <c r="P852" s="464">
        <v>5871</v>
      </c>
      <c r="Q852" s="464">
        <v>15178</v>
      </c>
      <c r="R852" s="464"/>
      <c r="S852" s="461">
        <v>1114388</v>
      </c>
      <c r="T852" s="462">
        <v>125617</v>
      </c>
      <c r="U852" s="462">
        <v>1240005</v>
      </c>
      <c r="W852" s="464">
        <v>6721609</v>
      </c>
      <c r="X852" s="464">
        <v>1540165</v>
      </c>
    </row>
    <row r="853" spans="1:24">
      <c r="A853" s="458">
        <v>99241</v>
      </c>
      <c r="B853" s="459" t="s">
        <v>1552</v>
      </c>
      <c r="C853" s="463">
        <v>6.3152E-4</v>
      </c>
      <c r="D853" s="463">
        <v>5.6979999999999997E-4</v>
      </c>
      <c r="E853" s="464">
        <v>4182612</v>
      </c>
      <c r="F853" s="464"/>
      <c r="G853" s="461">
        <v>466067</v>
      </c>
      <c r="H853" s="461">
        <v>1119450</v>
      </c>
      <c r="I853" s="461">
        <v>177737</v>
      </c>
      <c r="J853" s="464">
        <v>135590</v>
      </c>
      <c r="K853" s="464">
        <v>1898844</v>
      </c>
      <c r="L853" s="464"/>
      <c r="M853" s="461">
        <v>10034</v>
      </c>
      <c r="N853" s="461">
        <v>0</v>
      </c>
      <c r="O853" s="461">
        <v>0</v>
      </c>
      <c r="P853" s="464">
        <v>35594</v>
      </c>
      <c r="Q853" s="464">
        <v>45628</v>
      </c>
      <c r="R853" s="464"/>
      <c r="S853" s="461">
        <v>1201363</v>
      </c>
      <c r="T853" s="462">
        <v>21793</v>
      </c>
      <c r="U853" s="462">
        <v>1223156</v>
      </c>
      <c r="W853" s="464">
        <v>7246211</v>
      </c>
      <c r="X853" s="464">
        <v>1660370</v>
      </c>
    </row>
    <row r="854" spans="1:24">
      <c r="A854" s="458">
        <v>99251</v>
      </c>
      <c r="B854" s="459" t="s">
        <v>1553</v>
      </c>
      <c r="C854" s="463">
        <v>1.8853699999999999E-3</v>
      </c>
      <c r="D854" s="463">
        <v>1.8194000000000001E-3</v>
      </c>
      <c r="E854" s="464">
        <v>12486970</v>
      </c>
      <c r="F854" s="464"/>
      <c r="G854" s="461">
        <v>1391418</v>
      </c>
      <c r="H854" s="461">
        <v>3342060</v>
      </c>
      <c r="I854" s="461">
        <v>530624</v>
      </c>
      <c r="J854" s="464">
        <v>212416</v>
      </c>
      <c r="K854" s="464">
        <v>5476518</v>
      </c>
      <c r="L854" s="464"/>
      <c r="M854" s="461">
        <v>29955</v>
      </c>
      <c r="N854" s="461">
        <v>0</v>
      </c>
      <c r="O854" s="461">
        <v>0</v>
      </c>
      <c r="P854" s="464">
        <v>50500</v>
      </c>
      <c r="Q854" s="464">
        <v>80455</v>
      </c>
      <c r="R854" s="464"/>
      <c r="S854" s="461">
        <v>3586605</v>
      </c>
      <c r="T854" s="462">
        <v>86288</v>
      </c>
      <c r="U854" s="462">
        <v>3672893</v>
      </c>
      <c r="W854" s="464">
        <v>21633184</v>
      </c>
      <c r="X854" s="464">
        <v>4956949</v>
      </c>
    </row>
    <row r="855" spans="1:24">
      <c r="A855" s="458">
        <v>99252</v>
      </c>
      <c r="B855" s="459" t="s">
        <v>1554</v>
      </c>
      <c r="C855" s="463">
        <v>7.7733000000000001E-4</v>
      </c>
      <c r="D855" s="463">
        <v>7.1779999999999999E-4</v>
      </c>
      <c r="E855" s="464">
        <v>5148324</v>
      </c>
      <c r="F855" s="464"/>
      <c r="G855" s="461">
        <v>573676</v>
      </c>
      <c r="H855" s="461">
        <v>1377917</v>
      </c>
      <c r="I855" s="461">
        <v>218774</v>
      </c>
      <c r="J855" s="464">
        <v>109989</v>
      </c>
      <c r="K855" s="464">
        <v>2280356</v>
      </c>
      <c r="L855" s="464"/>
      <c r="M855" s="461">
        <v>12350</v>
      </c>
      <c r="N855" s="461">
        <v>0</v>
      </c>
      <c r="O855" s="461">
        <v>0</v>
      </c>
      <c r="P855" s="464">
        <v>61697</v>
      </c>
      <c r="Q855" s="464">
        <v>74047</v>
      </c>
      <c r="R855" s="464"/>
      <c r="S855" s="461">
        <v>1478742</v>
      </c>
      <c r="T855" s="462">
        <v>-37765</v>
      </c>
      <c r="U855" s="462">
        <v>1440977</v>
      </c>
      <c r="W855" s="464">
        <v>8919269</v>
      </c>
      <c r="X855" s="464">
        <v>2043729</v>
      </c>
    </row>
    <row r="856" spans="1:24">
      <c r="A856" s="458">
        <v>99261</v>
      </c>
      <c r="B856" s="459" t="s">
        <v>1555</v>
      </c>
      <c r="C856" s="463">
        <v>2.8579399999999998E-3</v>
      </c>
      <c r="D856" s="463">
        <v>2.5084E-3</v>
      </c>
      <c r="E856" s="464">
        <v>18928385</v>
      </c>
      <c r="F856" s="464"/>
      <c r="G856" s="461">
        <v>2109183</v>
      </c>
      <c r="H856" s="461">
        <v>5066064</v>
      </c>
      <c r="I856" s="461">
        <v>804347</v>
      </c>
      <c r="J856" s="464">
        <v>836776</v>
      </c>
      <c r="K856" s="464">
        <v>8816370</v>
      </c>
      <c r="L856" s="464"/>
      <c r="M856" s="461">
        <v>45407</v>
      </c>
      <c r="N856" s="461">
        <v>0</v>
      </c>
      <c r="O856" s="461">
        <v>0</v>
      </c>
      <c r="P856" s="464">
        <v>137892</v>
      </c>
      <c r="Q856" s="464">
        <v>183299</v>
      </c>
      <c r="R856" s="464"/>
      <c r="S856" s="461">
        <v>5436759</v>
      </c>
      <c r="T856" s="462">
        <v>218144</v>
      </c>
      <c r="U856" s="462">
        <v>5654903</v>
      </c>
      <c r="W856" s="464">
        <v>32792684</v>
      </c>
      <c r="X856" s="464">
        <v>7513996</v>
      </c>
    </row>
    <row r="857" spans="1:24">
      <c r="A857" s="458">
        <v>99271</v>
      </c>
      <c r="B857" s="459" t="s">
        <v>1556</v>
      </c>
      <c r="C857" s="463">
        <v>5.3697299999999996E-3</v>
      </c>
      <c r="D857" s="463">
        <v>5.0365999999999996E-3</v>
      </c>
      <c r="E857" s="464">
        <v>35564189</v>
      </c>
      <c r="F857" s="464"/>
      <c r="G857" s="461">
        <v>3962904</v>
      </c>
      <c r="H857" s="461">
        <v>9518534</v>
      </c>
      <c r="I857" s="461">
        <v>1511273</v>
      </c>
      <c r="J857" s="464">
        <v>891636</v>
      </c>
      <c r="K857" s="464">
        <v>15884347</v>
      </c>
      <c r="L857" s="464"/>
      <c r="M857" s="461">
        <v>85314</v>
      </c>
      <c r="N857" s="461">
        <v>0</v>
      </c>
      <c r="O857" s="461">
        <v>0</v>
      </c>
      <c r="P857" s="464">
        <v>200173</v>
      </c>
      <c r="Q857" s="464">
        <v>285487</v>
      </c>
      <c r="R857" s="464"/>
      <c r="S857" s="461">
        <v>10215025</v>
      </c>
      <c r="T857" s="462">
        <v>421192</v>
      </c>
      <c r="U857" s="462">
        <v>10636217</v>
      </c>
      <c r="W857" s="464">
        <v>61613560</v>
      </c>
      <c r="X857" s="464">
        <v>14117906</v>
      </c>
    </row>
    <row r="858" spans="1:24">
      <c r="A858" s="458">
        <v>99281</v>
      </c>
      <c r="B858" s="459" t="s">
        <v>1557</v>
      </c>
      <c r="C858" s="463">
        <v>3.69251E-3</v>
      </c>
      <c r="D858" s="463">
        <v>3.6768999999999999E-3</v>
      </c>
      <c r="E858" s="464">
        <v>24455815</v>
      </c>
      <c r="F858" s="464"/>
      <c r="G858" s="461">
        <v>2725102</v>
      </c>
      <c r="H858" s="461">
        <v>6545447</v>
      </c>
      <c r="I858" s="461">
        <v>1039231</v>
      </c>
      <c r="J858" s="464">
        <v>714471</v>
      </c>
      <c r="K858" s="464">
        <v>11024251</v>
      </c>
      <c r="L858" s="464"/>
      <c r="M858" s="461">
        <v>58667</v>
      </c>
      <c r="N858" s="461">
        <v>0</v>
      </c>
      <c r="O858" s="461">
        <v>0</v>
      </c>
      <c r="P858" s="464">
        <v>335306</v>
      </c>
      <c r="Q858" s="464">
        <v>393973</v>
      </c>
      <c r="R858" s="464"/>
      <c r="S858" s="461">
        <v>7024391</v>
      </c>
      <c r="T858" s="462">
        <v>452164</v>
      </c>
      <c r="U858" s="462">
        <v>7476555</v>
      </c>
      <c r="W858" s="464">
        <v>42368739</v>
      </c>
      <c r="X858" s="464">
        <v>9708218</v>
      </c>
    </row>
    <row r="859" spans="1:24">
      <c r="A859" s="458">
        <v>99291</v>
      </c>
      <c r="B859" s="459" t="s">
        <v>1558</v>
      </c>
      <c r="C859" s="463">
        <v>1.2449099999999999E-3</v>
      </c>
      <c r="D859" s="463">
        <v>1.2277E-3</v>
      </c>
      <c r="E859" s="464">
        <v>8245147</v>
      </c>
      <c r="F859" s="464"/>
      <c r="G859" s="461">
        <v>918754</v>
      </c>
      <c r="H859" s="461">
        <v>2206762</v>
      </c>
      <c r="I859" s="461">
        <v>350371</v>
      </c>
      <c r="J859" s="464">
        <v>360624</v>
      </c>
      <c r="K859" s="464">
        <v>3836511</v>
      </c>
      <c r="L859" s="464"/>
      <c r="M859" s="461">
        <v>19779</v>
      </c>
      <c r="N859" s="461">
        <v>0</v>
      </c>
      <c r="O859" s="461">
        <v>0</v>
      </c>
      <c r="P859" s="464">
        <v>159599</v>
      </c>
      <c r="Q859" s="464">
        <v>179378</v>
      </c>
      <c r="R859" s="464"/>
      <c r="S859" s="461">
        <v>2368236</v>
      </c>
      <c r="T859" s="462">
        <v>117667</v>
      </c>
      <c r="U859" s="462">
        <v>2485903</v>
      </c>
      <c r="W859" s="464">
        <v>14284394</v>
      </c>
      <c r="X859" s="464">
        <v>3273074</v>
      </c>
    </row>
    <row r="860" spans="1:24">
      <c r="A860" s="458">
        <v>99301</v>
      </c>
      <c r="B860" s="459" t="s">
        <v>1559</v>
      </c>
      <c r="C860" s="463">
        <v>1.30272E-3</v>
      </c>
      <c r="D860" s="463">
        <v>1.4147999999999999E-3</v>
      </c>
      <c r="E860" s="464">
        <v>8628028</v>
      </c>
      <c r="F860" s="464"/>
      <c r="G860" s="461">
        <v>961418</v>
      </c>
      <c r="H860" s="461">
        <v>2309238</v>
      </c>
      <c r="I860" s="461">
        <v>366641</v>
      </c>
      <c r="J860" s="464">
        <v>0</v>
      </c>
      <c r="K860" s="464">
        <v>3637297</v>
      </c>
      <c r="L860" s="464"/>
      <c r="M860" s="461">
        <v>20698</v>
      </c>
      <c r="N860" s="461">
        <v>0</v>
      </c>
      <c r="O860" s="461">
        <v>0</v>
      </c>
      <c r="P860" s="464">
        <v>272699</v>
      </c>
      <c r="Q860" s="464">
        <v>293397</v>
      </c>
      <c r="R860" s="464"/>
      <c r="S860" s="461">
        <v>2478210</v>
      </c>
      <c r="T860" s="462">
        <v>-173826</v>
      </c>
      <c r="U860" s="462">
        <v>2304384</v>
      </c>
      <c r="W860" s="464">
        <v>14947719</v>
      </c>
      <c r="X860" s="464">
        <v>3425066</v>
      </c>
    </row>
    <row r="861" spans="1:24">
      <c r="A861" s="458">
        <v>99304</v>
      </c>
      <c r="B861" s="459" t="s">
        <v>1560</v>
      </c>
      <c r="C861" s="463">
        <v>1.9380000000000001E-5</v>
      </c>
      <c r="D861" s="463">
        <v>6.6000000000000003E-6</v>
      </c>
      <c r="E861" s="464">
        <v>128355</v>
      </c>
      <c r="F861" s="464"/>
      <c r="G861" s="461">
        <v>14303</v>
      </c>
      <c r="H861" s="461">
        <v>34354</v>
      </c>
      <c r="I861" s="461">
        <v>5454</v>
      </c>
      <c r="J861" s="464">
        <v>31731</v>
      </c>
      <c r="K861" s="464">
        <v>85842</v>
      </c>
      <c r="L861" s="464"/>
      <c r="M861" s="461">
        <v>308</v>
      </c>
      <c r="N861" s="461">
        <v>0</v>
      </c>
      <c r="O861" s="461">
        <v>0</v>
      </c>
      <c r="P861" s="464">
        <v>114</v>
      </c>
      <c r="Q861" s="464">
        <v>422</v>
      </c>
      <c r="R861" s="464"/>
      <c r="S861" s="461">
        <v>36867</v>
      </c>
      <c r="T861" s="462">
        <v>14086</v>
      </c>
      <c r="U861" s="462">
        <v>50953</v>
      </c>
      <c r="W861" s="464">
        <v>222371</v>
      </c>
      <c r="X861" s="464">
        <v>50953</v>
      </c>
    </row>
    <row r="862" spans="1:24">
      <c r="A862" s="458">
        <v>99311</v>
      </c>
      <c r="B862" s="459" t="s">
        <v>1561</v>
      </c>
      <c r="C862" s="463">
        <v>4.2120000000000003E-5</v>
      </c>
      <c r="D862" s="463">
        <v>5.7099999999999999E-5</v>
      </c>
      <c r="E862" s="464">
        <v>278964</v>
      </c>
      <c r="F862" s="464"/>
      <c r="G862" s="461">
        <v>31085</v>
      </c>
      <c r="H862" s="461">
        <v>74663</v>
      </c>
      <c r="I862" s="461">
        <v>11854</v>
      </c>
      <c r="J862" s="464">
        <v>530</v>
      </c>
      <c r="K862" s="464">
        <v>118132</v>
      </c>
      <c r="L862" s="464"/>
      <c r="M862" s="461">
        <v>669</v>
      </c>
      <c r="N862" s="461">
        <v>0</v>
      </c>
      <c r="O862" s="461">
        <v>0</v>
      </c>
      <c r="P862" s="464">
        <v>38784</v>
      </c>
      <c r="Q862" s="464">
        <v>39453</v>
      </c>
      <c r="R862" s="464"/>
      <c r="S862" s="461">
        <v>80126</v>
      </c>
      <c r="T862" s="462">
        <v>-16613</v>
      </c>
      <c r="U862" s="462">
        <v>63513</v>
      </c>
      <c r="W862" s="464">
        <v>483295</v>
      </c>
      <c r="X862" s="464">
        <v>110740</v>
      </c>
    </row>
    <row r="863" spans="1:24">
      <c r="A863" s="458">
        <v>99321</v>
      </c>
      <c r="B863" s="459" t="s">
        <v>1562</v>
      </c>
      <c r="C863" s="463">
        <v>9.8540000000000002E-5</v>
      </c>
      <c r="D863" s="463">
        <v>9.9199999999999999E-5</v>
      </c>
      <c r="E863" s="464">
        <v>652639</v>
      </c>
      <c r="F863" s="464"/>
      <c r="G863" s="461">
        <v>72723</v>
      </c>
      <c r="H863" s="461">
        <v>174675</v>
      </c>
      <c r="I863" s="461">
        <v>27733</v>
      </c>
      <c r="J863" s="464">
        <v>112000</v>
      </c>
      <c r="K863" s="464">
        <v>387131</v>
      </c>
      <c r="L863" s="464"/>
      <c r="M863" s="461">
        <v>1566</v>
      </c>
      <c r="N863" s="461">
        <v>0</v>
      </c>
      <c r="O863" s="461">
        <v>0</v>
      </c>
      <c r="P863" s="464">
        <v>3524</v>
      </c>
      <c r="Q863" s="464">
        <v>5090</v>
      </c>
      <c r="R863" s="464"/>
      <c r="S863" s="461">
        <v>187456</v>
      </c>
      <c r="T863" s="462">
        <v>69833</v>
      </c>
      <c r="U863" s="462">
        <v>257289</v>
      </c>
      <c r="W863" s="464">
        <v>1130671</v>
      </c>
      <c r="X863" s="464">
        <v>259078</v>
      </c>
    </row>
    <row r="864" spans="1:24">
      <c r="A864" s="458">
        <v>99401</v>
      </c>
      <c r="B864" s="459" t="s">
        <v>1563</v>
      </c>
      <c r="C864" s="463">
        <v>6.8079000000000002E-4</v>
      </c>
      <c r="D864" s="463">
        <v>7.9420000000000001E-4</v>
      </c>
      <c r="E864" s="464">
        <v>4508931</v>
      </c>
      <c r="F864" s="464"/>
      <c r="G864" s="461">
        <v>502428</v>
      </c>
      <c r="H864" s="461">
        <v>1206787</v>
      </c>
      <c r="I864" s="461">
        <v>191604</v>
      </c>
      <c r="J864" s="464">
        <v>63765</v>
      </c>
      <c r="K864" s="464">
        <v>1964584</v>
      </c>
      <c r="L864" s="464"/>
      <c r="M864" s="461">
        <v>10816</v>
      </c>
      <c r="N864" s="461">
        <v>0</v>
      </c>
      <c r="O864" s="461">
        <v>0</v>
      </c>
      <c r="P864" s="464">
        <v>233562</v>
      </c>
      <c r="Q864" s="464">
        <v>244378</v>
      </c>
      <c r="R864" s="464"/>
      <c r="S864" s="461">
        <v>1295091</v>
      </c>
      <c r="T864" s="462">
        <v>-53112</v>
      </c>
      <c r="U864" s="462">
        <v>1241979</v>
      </c>
      <c r="W864" s="464">
        <v>7811546</v>
      </c>
      <c r="X864" s="464">
        <v>1789909</v>
      </c>
    </row>
    <row r="865" spans="1:24">
      <c r="A865" s="458">
        <v>99404</v>
      </c>
      <c r="B865" s="459" t="s">
        <v>1564</v>
      </c>
      <c r="C865" s="463">
        <v>6.5400000000000001E-6</v>
      </c>
      <c r="D865" s="463">
        <v>7.1999999999999997E-6</v>
      </c>
      <c r="E865" s="464">
        <v>43315</v>
      </c>
      <c r="F865" s="464"/>
      <c r="G865" s="461">
        <v>4827</v>
      </c>
      <c r="H865" s="461">
        <v>11593</v>
      </c>
      <c r="I865" s="461">
        <v>1841</v>
      </c>
      <c r="J865" s="464">
        <v>3892</v>
      </c>
      <c r="K865" s="464">
        <v>22153</v>
      </c>
      <c r="L865" s="464"/>
      <c r="M865" s="461">
        <v>104</v>
      </c>
      <c r="N865" s="461">
        <v>0</v>
      </c>
      <c r="O865" s="461">
        <v>0</v>
      </c>
      <c r="P865" s="464">
        <v>227</v>
      </c>
      <c r="Q865" s="464">
        <v>331</v>
      </c>
      <c r="R865" s="464"/>
      <c r="S865" s="461">
        <v>12441</v>
      </c>
      <c r="T865" s="462">
        <v>2323</v>
      </c>
      <c r="U865" s="462">
        <v>14764</v>
      </c>
      <c r="W865" s="464">
        <v>75042</v>
      </c>
      <c r="X865" s="464">
        <v>17195</v>
      </c>
    </row>
    <row r="866" spans="1:24">
      <c r="A866" s="458">
        <v>99405</v>
      </c>
      <c r="B866" s="459" t="s">
        <v>1565</v>
      </c>
      <c r="C866" s="463">
        <v>5.9200000000000002E-5</v>
      </c>
      <c r="D866" s="463">
        <v>5.5999999999999999E-5</v>
      </c>
      <c r="E866" s="464">
        <v>392087</v>
      </c>
      <c r="F866" s="464"/>
      <c r="G866" s="461">
        <v>43690</v>
      </c>
      <c r="H866" s="461">
        <v>104940</v>
      </c>
      <c r="I866" s="461">
        <v>16661</v>
      </c>
      <c r="J866" s="464">
        <v>17124</v>
      </c>
      <c r="K866" s="464">
        <v>182415</v>
      </c>
      <c r="L866" s="464"/>
      <c r="M866" s="461">
        <v>941</v>
      </c>
      <c r="N866" s="461">
        <v>0</v>
      </c>
      <c r="O866" s="461">
        <v>0</v>
      </c>
      <c r="P866" s="464">
        <v>1156</v>
      </c>
      <c r="Q866" s="464">
        <v>2097</v>
      </c>
      <c r="R866" s="464"/>
      <c r="S866" s="461">
        <v>112618</v>
      </c>
      <c r="T866" s="462">
        <v>11366</v>
      </c>
      <c r="U866" s="462">
        <v>123984</v>
      </c>
      <c r="W866" s="464">
        <v>679275</v>
      </c>
      <c r="X866" s="464">
        <v>155647</v>
      </c>
    </row>
    <row r="867" spans="1:24">
      <c r="A867" s="458">
        <v>99411</v>
      </c>
      <c r="B867" s="459" t="s">
        <v>1566</v>
      </c>
      <c r="C867" s="463">
        <v>1.5092E-4</v>
      </c>
      <c r="D867" s="463">
        <v>1.448E-4</v>
      </c>
      <c r="E867" s="464">
        <v>999556</v>
      </c>
      <c r="F867" s="464"/>
      <c r="G867" s="461">
        <v>111380</v>
      </c>
      <c r="H867" s="461">
        <v>267525</v>
      </c>
      <c r="I867" s="461">
        <v>42475</v>
      </c>
      <c r="J867" s="464">
        <v>13483</v>
      </c>
      <c r="K867" s="464">
        <v>434863</v>
      </c>
      <c r="L867" s="464"/>
      <c r="M867" s="461">
        <v>2398</v>
      </c>
      <c r="N867" s="461">
        <v>0</v>
      </c>
      <c r="O867" s="461">
        <v>0</v>
      </c>
      <c r="P867" s="464">
        <v>25367</v>
      </c>
      <c r="Q867" s="464">
        <v>27765</v>
      </c>
      <c r="R867" s="464"/>
      <c r="S867" s="461">
        <v>287100</v>
      </c>
      <c r="T867" s="462">
        <v>-6275</v>
      </c>
      <c r="U867" s="462">
        <v>280825</v>
      </c>
      <c r="W867" s="464">
        <v>1731692</v>
      </c>
      <c r="X867" s="464">
        <v>396794</v>
      </c>
    </row>
    <row r="868" spans="1:24">
      <c r="A868" s="458">
        <v>99413</v>
      </c>
      <c r="B868" s="459" t="s">
        <v>1567</v>
      </c>
      <c r="C868" s="463">
        <v>3.913E-5</v>
      </c>
      <c r="D868" s="463">
        <v>4.2700000000000001E-5</v>
      </c>
      <c r="E868" s="464">
        <v>259161</v>
      </c>
      <c r="F868" s="464"/>
      <c r="G868" s="461">
        <v>28878</v>
      </c>
      <c r="H868" s="461">
        <v>69363</v>
      </c>
      <c r="I868" s="461">
        <v>11013</v>
      </c>
      <c r="J868" s="464">
        <v>16138</v>
      </c>
      <c r="K868" s="464">
        <v>125392</v>
      </c>
      <c r="L868" s="464"/>
      <c r="M868" s="461">
        <v>622</v>
      </c>
      <c r="N868" s="461">
        <v>0</v>
      </c>
      <c r="O868" s="461">
        <v>0</v>
      </c>
      <c r="P868" s="464">
        <v>1027</v>
      </c>
      <c r="Q868" s="464">
        <v>1649</v>
      </c>
      <c r="R868" s="464"/>
      <c r="S868" s="461">
        <v>74438</v>
      </c>
      <c r="T868" s="462">
        <v>19139</v>
      </c>
      <c r="U868" s="462">
        <v>93577</v>
      </c>
      <c r="W868" s="464">
        <v>448987</v>
      </c>
      <c r="X868" s="464">
        <v>102879</v>
      </c>
    </row>
    <row r="869" spans="1:24">
      <c r="A869" s="458">
        <v>99421</v>
      </c>
      <c r="B869" s="459" t="s">
        <v>1568</v>
      </c>
      <c r="C869" s="463">
        <v>1.08E-5</v>
      </c>
      <c r="D869" s="463">
        <v>1.06E-5</v>
      </c>
      <c r="E869" s="464">
        <v>71529</v>
      </c>
      <c r="F869" s="464"/>
      <c r="G869" s="461">
        <v>7970</v>
      </c>
      <c r="H869" s="461">
        <v>19144</v>
      </c>
      <c r="I869" s="461">
        <v>3040</v>
      </c>
      <c r="J869" s="464">
        <v>626</v>
      </c>
      <c r="K869" s="464">
        <v>30780</v>
      </c>
      <c r="L869" s="464"/>
      <c r="M869" s="461">
        <v>172</v>
      </c>
      <c r="N869" s="461">
        <v>0</v>
      </c>
      <c r="O869" s="461">
        <v>0</v>
      </c>
      <c r="P869" s="464">
        <v>4939</v>
      </c>
      <c r="Q869" s="464">
        <v>5111</v>
      </c>
      <c r="R869" s="464"/>
      <c r="S869" s="461">
        <v>20545</v>
      </c>
      <c r="T869" s="462">
        <v>-2684</v>
      </c>
      <c r="U869" s="462">
        <v>17861</v>
      </c>
      <c r="W869" s="464">
        <v>123922</v>
      </c>
      <c r="X869" s="464">
        <v>28395</v>
      </c>
    </row>
    <row r="870" spans="1:24">
      <c r="A870" s="458">
        <v>99431</v>
      </c>
      <c r="B870" s="459" t="s">
        <v>1569</v>
      </c>
      <c r="C870" s="463">
        <v>1.607E-5</v>
      </c>
      <c r="D870" s="463">
        <v>1.77E-5</v>
      </c>
      <c r="E870" s="464">
        <v>106433</v>
      </c>
      <c r="F870" s="464"/>
      <c r="G870" s="461">
        <v>11860</v>
      </c>
      <c r="H870" s="461">
        <v>28486</v>
      </c>
      <c r="I870" s="461">
        <v>4523</v>
      </c>
      <c r="J870" s="464">
        <v>0</v>
      </c>
      <c r="K870" s="464">
        <v>44869</v>
      </c>
      <c r="L870" s="464"/>
      <c r="M870" s="461">
        <v>255</v>
      </c>
      <c r="N870" s="461">
        <v>0</v>
      </c>
      <c r="O870" s="461">
        <v>0</v>
      </c>
      <c r="P870" s="464">
        <v>7339</v>
      </c>
      <c r="Q870" s="464">
        <v>7594</v>
      </c>
      <c r="R870" s="464"/>
      <c r="S870" s="461">
        <v>30571</v>
      </c>
      <c r="T870" s="462">
        <v>-3282</v>
      </c>
      <c r="U870" s="462">
        <v>27289</v>
      </c>
      <c r="W870" s="464">
        <v>184391</v>
      </c>
      <c r="X870" s="464">
        <v>42251</v>
      </c>
    </row>
    <row r="871" spans="1:24">
      <c r="A871" s="458">
        <v>99501</v>
      </c>
      <c r="B871" s="459" t="s">
        <v>1570</v>
      </c>
      <c r="C871" s="463">
        <v>1.63507E-3</v>
      </c>
      <c r="D871" s="463">
        <v>1.7076999999999999E-3</v>
      </c>
      <c r="E871" s="464">
        <v>10829211</v>
      </c>
      <c r="F871" s="464"/>
      <c r="G871" s="461">
        <v>1206695</v>
      </c>
      <c r="H871" s="461">
        <v>2898371</v>
      </c>
      <c r="I871" s="461">
        <v>460179</v>
      </c>
      <c r="J871" s="464">
        <v>115546</v>
      </c>
      <c r="K871" s="464">
        <v>4680791</v>
      </c>
      <c r="L871" s="464"/>
      <c r="M871" s="461">
        <v>25978</v>
      </c>
      <c r="N871" s="461">
        <v>0</v>
      </c>
      <c r="O871" s="461">
        <v>0</v>
      </c>
      <c r="P871" s="464">
        <v>55349</v>
      </c>
      <c r="Q871" s="464">
        <v>81327</v>
      </c>
      <c r="R871" s="464"/>
      <c r="S871" s="461">
        <v>3110451</v>
      </c>
      <c r="T871" s="462">
        <v>78506</v>
      </c>
      <c r="U871" s="462">
        <v>3188957</v>
      </c>
      <c r="W871" s="464">
        <v>18761182</v>
      </c>
      <c r="X871" s="464">
        <v>4298869</v>
      </c>
    </row>
    <row r="872" spans="1:24">
      <c r="A872" s="458">
        <v>99502</v>
      </c>
      <c r="B872" s="459" t="s">
        <v>1571</v>
      </c>
      <c r="C872" s="463">
        <v>1.5111000000000001E-4</v>
      </c>
      <c r="D872" s="463">
        <v>1.5009999999999999E-4</v>
      </c>
      <c r="E872" s="464">
        <v>1000815</v>
      </c>
      <c r="F872" s="464"/>
      <c r="G872" s="461">
        <v>111520</v>
      </c>
      <c r="H872" s="461">
        <v>267862</v>
      </c>
      <c r="I872" s="461">
        <v>42529</v>
      </c>
      <c r="J872" s="464">
        <v>1456</v>
      </c>
      <c r="K872" s="464">
        <v>423367</v>
      </c>
      <c r="L872" s="464"/>
      <c r="M872" s="461">
        <v>2401</v>
      </c>
      <c r="N872" s="461">
        <v>0</v>
      </c>
      <c r="O872" s="461">
        <v>0</v>
      </c>
      <c r="P872" s="464">
        <v>6138</v>
      </c>
      <c r="Q872" s="464">
        <v>8539</v>
      </c>
      <c r="R872" s="464"/>
      <c r="S872" s="461">
        <v>287462</v>
      </c>
      <c r="T872" s="462">
        <v>-3803</v>
      </c>
      <c r="U872" s="462">
        <v>283659</v>
      </c>
      <c r="W872" s="464">
        <v>1733872</v>
      </c>
      <c r="X872" s="464">
        <v>397293</v>
      </c>
    </row>
    <row r="873" spans="1:24">
      <c r="A873" s="458">
        <v>99508</v>
      </c>
      <c r="B873" s="459" t="s">
        <v>1572</v>
      </c>
      <c r="C873" s="463">
        <v>3.1699999999999998E-5</v>
      </c>
      <c r="D873" s="463">
        <v>1.8099999999999999E-5</v>
      </c>
      <c r="E873" s="464">
        <v>209952</v>
      </c>
      <c r="F873" s="464"/>
      <c r="G873" s="461">
        <v>23395</v>
      </c>
      <c r="H873" s="461">
        <v>56192</v>
      </c>
      <c r="I873" s="461">
        <v>8922</v>
      </c>
      <c r="J873" s="464">
        <v>31098</v>
      </c>
      <c r="K873" s="464">
        <v>119607</v>
      </c>
      <c r="L873" s="464"/>
      <c r="M873" s="461">
        <v>504</v>
      </c>
      <c r="N873" s="461">
        <v>0</v>
      </c>
      <c r="O873" s="461">
        <v>0</v>
      </c>
      <c r="P873" s="464">
        <v>3410</v>
      </c>
      <c r="Q873" s="464">
        <v>3914</v>
      </c>
      <c r="R873" s="464"/>
      <c r="S873" s="461">
        <v>60304</v>
      </c>
      <c r="T873" s="462">
        <v>8789</v>
      </c>
      <c r="U873" s="462">
        <v>69093</v>
      </c>
      <c r="W873" s="464">
        <v>363733</v>
      </c>
      <c r="X873" s="464">
        <v>83345</v>
      </c>
    </row>
    <row r="874" spans="1:24">
      <c r="A874" s="458">
        <v>99509</v>
      </c>
      <c r="B874" s="459" t="s">
        <v>1573</v>
      </c>
      <c r="C874" s="463">
        <v>2.376E-5</v>
      </c>
      <c r="D874" s="463">
        <v>2.4199999999999999E-5</v>
      </c>
      <c r="E874" s="464">
        <v>157365</v>
      </c>
      <c r="F874" s="464"/>
      <c r="G874" s="461">
        <v>17535</v>
      </c>
      <c r="H874" s="461">
        <v>42118</v>
      </c>
      <c r="I874" s="461">
        <v>6687</v>
      </c>
      <c r="J874" s="464">
        <v>3988</v>
      </c>
      <c r="K874" s="464">
        <v>70328</v>
      </c>
      <c r="L874" s="464"/>
      <c r="M874" s="461">
        <v>377</v>
      </c>
      <c r="N874" s="461">
        <v>0</v>
      </c>
      <c r="O874" s="461">
        <v>0</v>
      </c>
      <c r="P874" s="464">
        <v>583</v>
      </c>
      <c r="Q874" s="464">
        <v>960</v>
      </c>
      <c r="R874" s="464"/>
      <c r="S874" s="461">
        <v>45199</v>
      </c>
      <c r="T874" s="462">
        <v>829</v>
      </c>
      <c r="U874" s="462">
        <v>46028</v>
      </c>
      <c r="W874" s="464">
        <v>272628</v>
      </c>
      <c r="X874" s="464">
        <v>62469</v>
      </c>
    </row>
    <row r="875" spans="1:24">
      <c r="A875" s="458">
        <v>99511</v>
      </c>
      <c r="B875" s="459" t="s">
        <v>1574</v>
      </c>
      <c r="C875" s="463">
        <v>1.2949700000000001E-3</v>
      </c>
      <c r="D875" s="463">
        <v>1.3201E-3</v>
      </c>
      <c r="E875" s="464">
        <v>8576699</v>
      </c>
      <c r="F875" s="464"/>
      <c r="G875" s="461">
        <v>955698</v>
      </c>
      <c r="H875" s="461">
        <v>2295500</v>
      </c>
      <c r="I875" s="461">
        <v>364460</v>
      </c>
      <c r="J875" s="464">
        <v>18469</v>
      </c>
      <c r="K875" s="464">
        <v>3634127</v>
      </c>
      <c r="L875" s="464"/>
      <c r="M875" s="461">
        <v>20574</v>
      </c>
      <c r="N875" s="461">
        <v>0</v>
      </c>
      <c r="O875" s="461">
        <v>0</v>
      </c>
      <c r="P875" s="464">
        <v>114069</v>
      </c>
      <c r="Q875" s="464">
        <v>134643</v>
      </c>
      <c r="R875" s="464"/>
      <c r="S875" s="461">
        <v>2463467</v>
      </c>
      <c r="T875" s="462">
        <v>-78032</v>
      </c>
      <c r="U875" s="462">
        <v>2385435</v>
      </c>
      <c r="W875" s="464">
        <v>14858794</v>
      </c>
      <c r="X875" s="464">
        <v>3404690</v>
      </c>
    </row>
    <row r="876" spans="1:24">
      <c r="A876" s="458">
        <v>99521</v>
      </c>
      <c r="B876" s="459" t="s">
        <v>1575</v>
      </c>
      <c r="C876" s="463">
        <v>5.7490000000000004E-4</v>
      </c>
      <c r="D876" s="463">
        <v>5.1960000000000005E-4</v>
      </c>
      <c r="E876" s="464">
        <v>3807613</v>
      </c>
      <c r="F876" s="464"/>
      <c r="G876" s="461">
        <v>424281</v>
      </c>
      <c r="H876" s="461">
        <v>1019084</v>
      </c>
      <c r="I876" s="461">
        <v>161802</v>
      </c>
      <c r="J876" s="464">
        <v>60107</v>
      </c>
      <c r="K876" s="464">
        <v>1665274</v>
      </c>
      <c r="L876" s="464"/>
      <c r="M876" s="461">
        <v>9134</v>
      </c>
      <c r="N876" s="461">
        <v>0</v>
      </c>
      <c r="O876" s="461">
        <v>0</v>
      </c>
      <c r="P876" s="464">
        <v>22718</v>
      </c>
      <c r="Q876" s="464">
        <v>31852</v>
      </c>
      <c r="R876" s="464"/>
      <c r="S876" s="461">
        <v>1093652</v>
      </c>
      <c r="T876" s="462">
        <v>-8611</v>
      </c>
      <c r="U876" s="462">
        <v>1085041</v>
      </c>
      <c r="W876" s="464">
        <v>6596539</v>
      </c>
      <c r="X876" s="464">
        <v>1511507</v>
      </c>
    </row>
    <row r="877" spans="1:24">
      <c r="A877" s="458">
        <v>99527</v>
      </c>
      <c r="B877" s="459" t="s">
        <v>1576</v>
      </c>
      <c r="C877" s="463">
        <v>1.079E-5</v>
      </c>
      <c r="D877" s="463">
        <v>1.0499999999999999E-5</v>
      </c>
      <c r="E877" s="464">
        <v>71463</v>
      </c>
      <c r="F877" s="464"/>
      <c r="G877" s="461">
        <v>7963</v>
      </c>
      <c r="H877" s="461">
        <v>19127</v>
      </c>
      <c r="I877" s="461">
        <v>3037</v>
      </c>
      <c r="J877" s="464">
        <v>6421</v>
      </c>
      <c r="K877" s="464">
        <v>36548</v>
      </c>
      <c r="L877" s="464"/>
      <c r="M877" s="461">
        <v>171</v>
      </c>
      <c r="N877" s="461">
        <v>0</v>
      </c>
      <c r="O877" s="461">
        <v>0</v>
      </c>
      <c r="P877" s="464">
        <v>0</v>
      </c>
      <c r="Q877" s="464">
        <v>171</v>
      </c>
      <c r="R877" s="464"/>
      <c r="S877" s="461">
        <v>20526</v>
      </c>
      <c r="T877" s="462">
        <v>3618</v>
      </c>
      <c r="U877" s="462">
        <v>24144</v>
      </c>
      <c r="W877" s="464">
        <v>123807</v>
      </c>
      <c r="X877" s="464">
        <v>28369</v>
      </c>
    </row>
    <row r="878" spans="1:24">
      <c r="A878" s="458">
        <v>99531</v>
      </c>
      <c r="B878" s="459" t="s">
        <v>1577</v>
      </c>
      <c r="C878" s="463">
        <v>1.0409E-4</v>
      </c>
      <c r="D878" s="463">
        <v>9.2399999999999996E-5</v>
      </c>
      <c r="E878" s="464">
        <v>689397</v>
      </c>
      <c r="F878" s="464"/>
      <c r="G878" s="461">
        <v>76819</v>
      </c>
      <c r="H878" s="461">
        <v>184513</v>
      </c>
      <c r="I878" s="461">
        <v>29295</v>
      </c>
      <c r="J878" s="464">
        <v>84725</v>
      </c>
      <c r="K878" s="464">
        <v>375352</v>
      </c>
      <c r="L878" s="464"/>
      <c r="M878" s="461">
        <v>1654</v>
      </c>
      <c r="N878" s="461">
        <v>0</v>
      </c>
      <c r="O878" s="461">
        <v>0</v>
      </c>
      <c r="P878" s="464">
        <v>0</v>
      </c>
      <c r="Q878" s="464">
        <v>1654</v>
      </c>
      <c r="R878" s="464"/>
      <c r="S878" s="461">
        <v>198014</v>
      </c>
      <c r="T878" s="462">
        <v>46584</v>
      </c>
      <c r="U878" s="462">
        <v>244598</v>
      </c>
      <c r="W878" s="464">
        <v>1194353</v>
      </c>
      <c r="X878" s="464">
        <v>273670</v>
      </c>
    </row>
    <row r="879" spans="1:24">
      <c r="A879" s="458">
        <v>99601</v>
      </c>
      <c r="B879" s="459" t="s">
        <v>1578</v>
      </c>
      <c r="C879" s="463">
        <v>5.0571899999999996E-3</v>
      </c>
      <c r="D879" s="463">
        <v>5.0304E-3</v>
      </c>
      <c r="E879" s="464">
        <v>33494209</v>
      </c>
      <c r="F879" s="464"/>
      <c r="G879" s="461">
        <v>3732247</v>
      </c>
      <c r="H879" s="461">
        <v>8964517</v>
      </c>
      <c r="I879" s="461">
        <v>1423311</v>
      </c>
      <c r="J879" s="464">
        <v>0</v>
      </c>
      <c r="K879" s="464">
        <v>14120075</v>
      </c>
      <c r="L879" s="464"/>
      <c r="M879" s="461">
        <v>80349</v>
      </c>
      <c r="N879" s="461">
        <v>0</v>
      </c>
      <c r="O879" s="461">
        <v>0</v>
      </c>
      <c r="P879" s="464">
        <v>387912</v>
      </c>
      <c r="Q879" s="464">
        <v>468261</v>
      </c>
      <c r="R879" s="464"/>
      <c r="S879" s="461">
        <v>9620470</v>
      </c>
      <c r="T879" s="462">
        <v>-548906</v>
      </c>
      <c r="U879" s="462">
        <v>9071564</v>
      </c>
      <c r="W879" s="464">
        <v>58027402</v>
      </c>
      <c r="X879" s="464">
        <v>13296187</v>
      </c>
    </row>
    <row r="880" spans="1:24">
      <c r="A880" s="458">
        <v>99602</v>
      </c>
      <c r="B880" s="459" t="s">
        <v>1579</v>
      </c>
      <c r="C880" s="463">
        <v>5.4330000000000003E-5</v>
      </c>
      <c r="D880" s="463">
        <v>6.0900000000000003E-5</v>
      </c>
      <c r="E880" s="464">
        <v>359832</v>
      </c>
      <c r="F880" s="464"/>
      <c r="G880" s="461">
        <v>40096</v>
      </c>
      <c r="H880" s="461">
        <v>96307</v>
      </c>
      <c r="I880" s="461">
        <v>15291</v>
      </c>
      <c r="J880" s="464">
        <v>0</v>
      </c>
      <c r="K880" s="464">
        <v>151694</v>
      </c>
      <c r="L880" s="464"/>
      <c r="M880" s="461">
        <v>863</v>
      </c>
      <c r="N880" s="461">
        <v>0</v>
      </c>
      <c r="O880" s="461">
        <v>0</v>
      </c>
      <c r="P880" s="464">
        <v>21375</v>
      </c>
      <c r="Q880" s="464">
        <v>22238</v>
      </c>
      <c r="R880" s="464"/>
      <c r="S880" s="461">
        <v>103354</v>
      </c>
      <c r="T880" s="462">
        <v>-10576</v>
      </c>
      <c r="U880" s="462">
        <v>92778</v>
      </c>
      <c r="W880" s="464">
        <v>623395</v>
      </c>
      <c r="X880" s="464">
        <v>142843</v>
      </c>
    </row>
    <row r="881" spans="1:24">
      <c r="A881" s="458">
        <v>99603</v>
      </c>
      <c r="B881" s="459" t="s">
        <v>1580</v>
      </c>
      <c r="C881" s="463">
        <v>1.6312E-4</v>
      </c>
      <c r="D881" s="463">
        <v>1.6330000000000001E-4</v>
      </c>
      <c r="E881" s="464">
        <v>1080358</v>
      </c>
      <c r="F881" s="464"/>
      <c r="G881" s="461">
        <v>120384</v>
      </c>
      <c r="H881" s="461">
        <v>289151</v>
      </c>
      <c r="I881" s="461">
        <v>45909</v>
      </c>
      <c r="J881" s="464">
        <v>32575</v>
      </c>
      <c r="K881" s="464">
        <v>488019</v>
      </c>
      <c r="L881" s="464"/>
      <c r="M881" s="461">
        <v>2592</v>
      </c>
      <c r="N881" s="461">
        <v>0</v>
      </c>
      <c r="O881" s="461">
        <v>0</v>
      </c>
      <c r="P881" s="464">
        <v>0</v>
      </c>
      <c r="Q881" s="464">
        <v>2592</v>
      </c>
      <c r="R881" s="464"/>
      <c r="S881" s="461">
        <v>310309</v>
      </c>
      <c r="T881" s="462">
        <v>19618</v>
      </c>
      <c r="U881" s="462">
        <v>329927</v>
      </c>
      <c r="W881" s="464">
        <v>1871678</v>
      </c>
      <c r="X881" s="464">
        <v>428869</v>
      </c>
    </row>
    <row r="882" spans="1:24">
      <c r="A882" s="458">
        <v>99604</v>
      </c>
      <c r="B882" s="459" t="s">
        <v>1581</v>
      </c>
      <c r="C882" s="463">
        <v>1.1205999999999999E-4</v>
      </c>
      <c r="D882" s="463">
        <v>1.1510000000000001E-4</v>
      </c>
      <c r="E882" s="464">
        <v>742183</v>
      </c>
      <c r="F882" s="464"/>
      <c r="G882" s="461">
        <v>82701</v>
      </c>
      <c r="H882" s="461">
        <v>198641</v>
      </c>
      <c r="I882" s="461">
        <v>31539</v>
      </c>
      <c r="J882" s="464">
        <v>10895</v>
      </c>
      <c r="K882" s="464">
        <v>323776</v>
      </c>
      <c r="L882" s="464"/>
      <c r="M882" s="461">
        <v>1780</v>
      </c>
      <c r="N882" s="461">
        <v>0</v>
      </c>
      <c r="O882" s="461">
        <v>0</v>
      </c>
      <c r="P882" s="464">
        <v>1725</v>
      </c>
      <c r="Q882" s="464">
        <v>3505</v>
      </c>
      <c r="R882" s="464"/>
      <c r="S882" s="461">
        <v>213176</v>
      </c>
      <c r="T882" s="462">
        <v>16482</v>
      </c>
      <c r="U882" s="462">
        <v>229658</v>
      </c>
      <c r="W882" s="464">
        <v>1285803</v>
      </c>
      <c r="X882" s="464">
        <v>294624</v>
      </c>
    </row>
    <row r="883" spans="1:24">
      <c r="A883" s="458">
        <v>99609</v>
      </c>
      <c r="B883" s="459" t="s">
        <v>1582</v>
      </c>
      <c r="C883" s="463">
        <v>3.5769999999999998E-5</v>
      </c>
      <c r="D883" s="463">
        <v>3.4999999999999997E-5</v>
      </c>
      <c r="E883" s="464">
        <v>236908</v>
      </c>
      <c r="F883" s="464"/>
      <c r="G883" s="461">
        <v>26399</v>
      </c>
      <c r="H883" s="461">
        <v>63407</v>
      </c>
      <c r="I883" s="461">
        <v>10067</v>
      </c>
      <c r="J883" s="464">
        <v>5057</v>
      </c>
      <c r="K883" s="464">
        <v>104930</v>
      </c>
      <c r="L883" s="464"/>
      <c r="M883" s="461">
        <v>568</v>
      </c>
      <c r="N883" s="461">
        <v>0</v>
      </c>
      <c r="O883" s="461">
        <v>0</v>
      </c>
      <c r="P883" s="464">
        <v>10840</v>
      </c>
      <c r="Q883" s="464">
        <v>11408</v>
      </c>
      <c r="R883" s="464"/>
      <c r="S883" s="461">
        <v>68047</v>
      </c>
      <c r="T883" s="462">
        <v>-655</v>
      </c>
      <c r="U883" s="462">
        <v>67392</v>
      </c>
      <c r="W883" s="464">
        <v>410433</v>
      </c>
      <c r="X883" s="464">
        <v>94045</v>
      </c>
    </row>
    <row r="884" spans="1:24">
      <c r="A884" s="458">
        <v>99610</v>
      </c>
      <c r="B884" s="459" t="s">
        <v>1583</v>
      </c>
      <c r="C884" s="463">
        <v>1.8194000000000001E-4</v>
      </c>
      <c r="D884" s="463">
        <v>1.9129999999999999E-4</v>
      </c>
      <c r="E884" s="464">
        <v>1205004</v>
      </c>
      <c r="F884" s="464"/>
      <c r="G884" s="461">
        <v>134273</v>
      </c>
      <c r="H884" s="461">
        <v>322512</v>
      </c>
      <c r="I884" s="461">
        <v>51206</v>
      </c>
      <c r="J884" s="464">
        <v>24505</v>
      </c>
      <c r="K884" s="464">
        <v>532496</v>
      </c>
      <c r="L884" s="464"/>
      <c r="M884" s="461">
        <v>2891</v>
      </c>
      <c r="N884" s="461">
        <v>0</v>
      </c>
      <c r="O884" s="461">
        <v>0</v>
      </c>
      <c r="P884" s="464">
        <v>20826</v>
      </c>
      <c r="Q884" s="464">
        <v>23717</v>
      </c>
      <c r="R884" s="464"/>
      <c r="S884" s="461">
        <v>346111</v>
      </c>
      <c r="T884" s="462">
        <v>9407</v>
      </c>
      <c r="U884" s="462">
        <v>355518</v>
      </c>
      <c r="W884" s="464">
        <v>2087623</v>
      </c>
      <c r="X884" s="464">
        <v>478350</v>
      </c>
    </row>
    <row r="885" spans="1:24">
      <c r="A885" s="458">
        <v>99611</v>
      </c>
      <c r="B885" s="459" t="s">
        <v>1584</v>
      </c>
      <c r="C885" s="463">
        <v>2.6352900000000002E-3</v>
      </c>
      <c r="D885" s="463">
        <v>2.7542000000000001E-3</v>
      </c>
      <c r="E885" s="464">
        <v>17453755</v>
      </c>
      <c r="F885" s="464"/>
      <c r="G885" s="461">
        <v>1944865</v>
      </c>
      <c r="H885" s="461">
        <v>4671389</v>
      </c>
      <c r="I885" s="461">
        <v>741684</v>
      </c>
      <c r="J885" s="464">
        <v>0</v>
      </c>
      <c r="K885" s="464">
        <v>7357938</v>
      </c>
      <c r="L885" s="464"/>
      <c r="M885" s="461">
        <v>41869</v>
      </c>
      <c r="N885" s="461">
        <v>0</v>
      </c>
      <c r="O885" s="461">
        <v>0</v>
      </c>
      <c r="P885" s="464">
        <v>702986</v>
      </c>
      <c r="Q885" s="464">
        <v>744855</v>
      </c>
      <c r="R885" s="464"/>
      <c r="S885" s="461">
        <v>5013204</v>
      </c>
      <c r="T885" s="462">
        <v>-398038</v>
      </c>
      <c r="U885" s="462">
        <v>4615166</v>
      </c>
      <c r="W885" s="464">
        <v>30237945</v>
      </c>
      <c r="X885" s="464">
        <v>6928612</v>
      </c>
    </row>
    <row r="886" spans="1:24">
      <c r="A886" s="458">
        <v>99613</v>
      </c>
      <c r="B886" s="459" t="s">
        <v>1585</v>
      </c>
      <c r="C886" s="463">
        <v>3.7818999999999998E-4</v>
      </c>
      <c r="D886" s="463">
        <v>3.5349999999999997E-4</v>
      </c>
      <c r="E886" s="464">
        <v>2504785</v>
      </c>
      <c r="F886" s="464"/>
      <c r="G886" s="461">
        <v>279107</v>
      </c>
      <c r="H886" s="461">
        <v>670390</v>
      </c>
      <c r="I886" s="461">
        <v>106439</v>
      </c>
      <c r="J886" s="464">
        <v>34911</v>
      </c>
      <c r="K886" s="464">
        <v>1090847</v>
      </c>
      <c r="L886" s="464"/>
      <c r="M886" s="461">
        <v>6009</v>
      </c>
      <c r="N886" s="461">
        <v>0</v>
      </c>
      <c r="O886" s="461">
        <v>0</v>
      </c>
      <c r="P886" s="464">
        <v>0</v>
      </c>
      <c r="Q886" s="464">
        <v>6009</v>
      </c>
      <c r="R886" s="464"/>
      <c r="S886" s="461">
        <v>719444</v>
      </c>
      <c r="T886" s="462">
        <v>14392</v>
      </c>
      <c r="U886" s="462">
        <v>733836</v>
      </c>
      <c r="W886" s="464">
        <v>4339442</v>
      </c>
      <c r="X886" s="464">
        <v>994324</v>
      </c>
    </row>
    <row r="887" spans="1:24">
      <c r="A887" s="458">
        <v>99621</v>
      </c>
      <c r="B887" s="459" t="s">
        <v>1586</v>
      </c>
      <c r="C887" s="463">
        <v>3.4900000000000003E-4</v>
      </c>
      <c r="D887" s="463">
        <v>3.6200000000000002E-4</v>
      </c>
      <c r="E887" s="464">
        <v>2311457</v>
      </c>
      <c r="F887" s="464"/>
      <c r="G887" s="461">
        <v>257565</v>
      </c>
      <c r="H887" s="461">
        <v>618647</v>
      </c>
      <c r="I887" s="461">
        <v>98224</v>
      </c>
      <c r="J887" s="464">
        <v>36570</v>
      </c>
      <c r="K887" s="464">
        <v>1011006</v>
      </c>
      <c r="L887" s="464"/>
      <c r="M887" s="461">
        <v>5545</v>
      </c>
      <c r="N887" s="461">
        <v>0</v>
      </c>
      <c r="O887" s="461">
        <v>0</v>
      </c>
      <c r="P887" s="464">
        <v>60708</v>
      </c>
      <c r="Q887" s="464">
        <v>66253</v>
      </c>
      <c r="R887" s="464"/>
      <c r="S887" s="461">
        <v>663915</v>
      </c>
      <c r="T887" s="462">
        <v>-12893</v>
      </c>
      <c r="U887" s="462">
        <v>651022</v>
      </c>
      <c r="W887" s="464">
        <v>4004509</v>
      </c>
      <c r="X887" s="464">
        <v>917579</v>
      </c>
    </row>
    <row r="888" spans="1:24">
      <c r="A888" s="458">
        <v>99623</v>
      </c>
      <c r="B888" s="459" t="s">
        <v>1587</v>
      </c>
      <c r="C888" s="463">
        <v>3.45E-6</v>
      </c>
      <c r="D888" s="463">
        <v>1.52E-5</v>
      </c>
      <c r="E888" s="464">
        <v>22850</v>
      </c>
      <c r="F888" s="464"/>
      <c r="G888" s="461">
        <v>2546</v>
      </c>
      <c r="H888" s="461">
        <v>6116</v>
      </c>
      <c r="I888" s="461">
        <v>971</v>
      </c>
      <c r="J888" s="464">
        <v>0</v>
      </c>
      <c r="K888" s="464">
        <v>9633</v>
      </c>
      <c r="L888" s="464"/>
      <c r="M888" s="461">
        <v>55</v>
      </c>
      <c r="N888" s="461">
        <v>0</v>
      </c>
      <c r="O888" s="461">
        <v>0</v>
      </c>
      <c r="P888" s="464">
        <v>25466</v>
      </c>
      <c r="Q888" s="464">
        <v>25521</v>
      </c>
      <c r="R888" s="464"/>
      <c r="S888" s="461">
        <v>6563</v>
      </c>
      <c r="T888" s="462">
        <v>-11084</v>
      </c>
      <c r="U888" s="462">
        <v>-4521</v>
      </c>
      <c r="W888" s="464">
        <v>39586</v>
      </c>
      <c r="X888" s="464">
        <v>9071</v>
      </c>
    </row>
    <row r="889" spans="1:24">
      <c r="A889" s="458">
        <v>99624</v>
      </c>
      <c r="B889" s="459" t="s">
        <v>3759</v>
      </c>
      <c r="C889" s="463">
        <v>8.7680000000000001E-5</v>
      </c>
      <c r="D889" s="463">
        <v>7.8200000000000003E-5</v>
      </c>
      <c r="E889" s="464">
        <v>580712</v>
      </c>
      <c r="F889" s="464"/>
      <c r="G889" s="461">
        <v>64709</v>
      </c>
      <c r="H889" s="461">
        <v>155424</v>
      </c>
      <c r="I889" s="461">
        <v>24677</v>
      </c>
      <c r="J889" s="464">
        <v>111676</v>
      </c>
      <c r="K889" s="464">
        <v>356486</v>
      </c>
      <c r="L889" s="464"/>
      <c r="M889" s="461">
        <v>1393</v>
      </c>
      <c r="N889" s="461">
        <v>0</v>
      </c>
      <c r="O889" s="461">
        <v>0</v>
      </c>
      <c r="P889" s="464">
        <v>0</v>
      </c>
      <c r="Q889" s="464">
        <v>1393</v>
      </c>
      <c r="R889" s="464"/>
      <c r="S889" s="461">
        <v>166797</v>
      </c>
      <c r="T889" s="462">
        <v>52914</v>
      </c>
      <c r="U889" s="462">
        <v>219711</v>
      </c>
      <c r="W889" s="464">
        <v>1006061</v>
      </c>
      <c r="X889" s="464">
        <v>230525</v>
      </c>
    </row>
    <row r="890" spans="1:24">
      <c r="A890" s="458">
        <v>99631</v>
      </c>
      <c r="B890" s="459" t="s">
        <v>1588</v>
      </c>
      <c r="C890" s="463">
        <v>6.6730000000000007E-5</v>
      </c>
      <c r="D890" s="463">
        <v>6.4900000000000005E-5</v>
      </c>
      <c r="E890" s="464">
        <v>441959</v>
      </c>
      <c r="F890" s="464"/>
      <c r="G890" s="461">
        <v>49247</v>
      </c>
      <c r="H890" s="461">
        <v>118287</v>
      </c>
      <c r="I890" s="461">
        <v>18781</v>
      </c>
      <c r="J890" s="464">
        <v>29448</v>
      </c>
      <c r="K890" s="464">
        <v>215763</v>
      </c>
      <c r="L890" s="464"/>
      <c r="M890" s="461">
        <v>1060</v>
      </c>
      <c r="N890" s="461">
        <v>0</v>
      </c>
      <c r="O890" s="461">
        <v>0</v>
      </c>
      <c r="P890" s="464">
        <v>23642</v>
      </c>
      <c r="Q890" s="464">
        <v>24702</v>
      </c>
      <c r="R890" s="464"/>
      <c r="S890" s="461">
        <v>126943</v>
      </c>
      <c r="T890" s="462">
        <v>-12931</v>
      </c>
      <c r="U890" s="462">
        <v>114012</v>
      </c>
      <c r="W890" s="464">
        <v>765676</v>
      </c>
      <c r="X890" s="464">
        <v>175444</v>
      </c>
    </row>
    <row r="891" spans="1:24">
      <c r="A891" s="458">
        <v>99651</v>
      </c>
      <c r="B891" s="459" t="s">
        <v>1589</v>
      </c>
      <c r="C891" s="463">
        <v>4.8439999999999997E-5</v>
      </c>
      <c r="D891" s="463">
        <v>3.0000000000000001E-5</v>
      </c>
      <c r="E891" s="464">
        <v>320822</v>
      </c>
      <c r="F891" s="464"/>
      <c r="G891" s="461">
        <v>35749</v>
      </c>
      <c r="H891" s="461">
        <v>85866</v>
      </c>
      <c r="I891" s="461">
        <v>13633</v>
      </c>
      <c r="J891" s="464">
        <v>43753</v>
      </c>
      <c r="K891" s="464">
        <v>179001</v>
      </c>
      <c r="L891" s="464"/>
      <c r="M891" s="461">
        <v>770</v>
      </c>
      <c r="N891" s="461">
        <v>0</v>
      </c>
      <c r="O891" s="461">
        <v>0</v>
      </c>
      <c r="P891" s="464">
        <v>34142</v>
      </c>
      <c r="Q891" s="464">
        <v>34912</v>
      </c>
      <c r="R891" s="464"/>
      <c r="S891" s="461">
        <v>92149</v>
      </c>
      <c r="T891" s="462">
        <v>-4344</v>
      </c>
      <c r="U891" s="462">
        <v>87805</v>
      </c>
      <c r="W891" s="464">
        <v>555812</v>
      </c>
      <c r="X891" s="464">
        <v>127357</v>
      </c>
    </row>
    <row r="892" spans="1:24">
      <c r="A892" s="458">
        <v>99661</v>
      </c>
      <c r="B892" s="459" t="s">
        <v>1590</v>
      </c>
      <c r="C892" s="463">
        <v>3.7710000000000003E-5</v>
      </c>
      <c r="D892" s="463">
        <v>3.57E-5</v>
      </c>
      <c r="E892" s="464">
        <v>249757</v>
      </c>
      <c r="F892" s="464"/>
      <c r="G892" s="461">
        <v>27830</v>
      </c>
      <c r="H892" s="461">
        <v>66846</v>
      </c>
      <c r="I892" s="461">
        <v>10613</v>
      </c>
      <c r="J892" s="464">
        <v>17426</v>
      </c>
      <c r="K892" s="464">
        <v>122715</v>
      </c>
      <c r="L892" s="464"/>
      <c r="M892" s="461">
        <v>599</v>
      </c>
      <c r="N892" s="461">
        <v>0</v>
      </c>
      <c r="O892" s="461">
        <v>0</v>
      </c>
      <c r="P892" s="464">
        <v>0</v>
      </c>
      <c r="Q892" s="464">
        <v>599</v>
      </c>
      <c r="R892" s="464"/>
      <c r="S892" s="461">
        <v>71737</v>
      </c>
      <c r="T892" s="462">
        <v>18446</v>
      </c>
      <c r="U892" s="462">
        <v>90183</v>
      </c>
      <c r="W892" s="464">
        <v>432694</v>
      </c>
      <c r="X892" s="464">
        <v>99146</v>
      </c>
    </row>
    <row r="893" spans="1:24">
      <c r="A893" s="458">
        <v>99701</v>
      </c>
      <c r="B893" s="459" t="s">
        <v>1591</v>
      </c>
      <c r="C893" s="463">
        <v>2.89295E-3</v>
      </c>
      <c r="D893" s="463">
        <v>3.0403000000000001E-3</v>
      </c>
      <c r="E893" s="464">
        <v>19160260</v>
      </c>
      <c r="F893" s="464"/>
      <c r="G893" s="461">
        <v>2135020</v>
      </c>
      <c r="H893" s="461">
        <v>5128124</v>
      </c>
      <c r="I893" s="461">
        <v>814201</v>
      </c>
      <c r="J893" s="464">
        <v>9661</v>
      </c>
      <c r="K893" s="464">
        <v>8087006</v>
      </c>
      <c r="L893" s="464"/>
      <c r="M893" s="461">
        <v>45963</v>
      </c>
      <c r="N893" s="461">
        <v>0</v>
      </c>
      <c r="O893" s="461">
        <v>0</v>
      </c>
      <c r="P893" s="464">
        <v>577995</v>
      </c>
      <c r="Q893" s="464">
        <v>623958</v>
      </c>
      <c r="R893" s="464"/>
      <c r="S893" s="461">
        <v>5503360</v>
      </c>
      <c r="T893" s="462">
        <v>-218604</v>
      </c>
      <c r="U893" s="462">
        <v>5284756</v>
      </c>
      <c r="W893" s="464">
        <v>33194397</v>
      </c>
      <c r="X893" s="464">
        <v>7606043</v>
      </c>
    </row>
    <row r="894" spans="1:24">
      <c r="A894" s="458">
        <v>99705</v>
      </c>
      <c r="B894" s="459" t="s">
        <v>1592</v>
      </c>
      <c r="C894" s="463">
        <v>1.4037000000000001E-4</v>
      </c>
      <c r="D894" s="463">
        <v>1.4669999999999999E-4</v>
      </c>
      <c r="E894" s="464">
        <v>929683</v>
      </c>
      <c r="F894" s="464"/>
      <c r="G894" s="461">
        <v>103594</v>
      </c>
      <c r="H894" s="461">
        <v>248824</v>
      </c>
      <c r="I894" s="461">
        <v>39506</v>
      </c>
      <c r="J894" s="464">
        <v>32520</v>
      </c>
      <c r="K894" s="464">
        <v>424444</v>
      </c>
      <c r="L894" s="464"/>
      <c r="M894" s="461">
        <v>2230</v>
      </c>
      <c r="N894" s="461">
        <v>0</v>
      </c>
      <c r="O894" s="461">
        <v>0</v>
      </c>
      <c r="P894" s="464">
        <v>28302</v>
      </c>
      <c r="Q894" s="464">
        <v>30532</v>
      </c>
      <c r="R894" s="464"/>
      <c r="S894" s="461">
        <v>267031</v>
      </c>
      <c r="T894" s="462">
        <v>17733</v>
      </c>
      <c r="U894" s="462">
        <v>284764</v>
      </c>
      <c r="W894" s="464">
        <v>1610639</v>
      </c>
      <c r="X894" s="464">
        <v>369056</v>
      </c>
    </row>
    <row r="895" spans="1:24">
      <c r="A895" s="458">
        <v>99711</v>
      </c>
      <c r="B895" s="459" t="s">
        <v>1593</v>
      </c>
      <c r="C895" s="463">
        <v>3.6190000000000001E-4</v>
      </c>
      <c r="D895" s="463">
        <v>3.7399999999999998E-4</v>
      </c>
      <c r="E895" s="464">
        <v>2396895</v>
      </c>
      <c r="F895" s="464"/>
      <c r="G895" s="461">
        <v>267085</v>
      </c>
      <c r="H895" s="461">
        <v>641514</v>
      </c>
      <c r="I895" s="461">
        <v>101854</v>
      </c>
      <c r="J895" s="464">
        <v>11382</v>
      </c>
      <c r="K895" s="464">
        <v>1021835</v>
      </c>
      <c r="L895" s="464"/>
      <c r="M895" s="461">
        <v>5750</v>
      </c>
      <c r="N895" s="461">
        <v>0</v>
      </c>
      <c r="O895" s="461">
        <v>0</v>
      </c>
      <c r="P895" s="464">
        <v>42040</v>
      </c>
      <c r="Q895" s="464">
        <v>47790</v>
      </c>
      <c r="R895" s="464"/>
      <c r="S895" s="461">
        <v>688455</v>
      </c>
      <c r="T895" s="462">
        <v>-21892</v>
      </c>
      <c r="U895" s="462">
        <v>666563</v>
      </c>
      <c r="W895" s="464">
        <v>4152527</v>
      </c>
      <c r="X895" s="464">
        <v>951495</v>
      </c>
    </row>
    <row r="896" spans="1:24">
      <c r="A896" s="458">
        <v>99717</v>
      </c>
      <c r="B896" s="459" t="s">
        <v>1594</v>
      </c>
      <c r="C896" s="463">
        <v>1.9219999999999999E-5</v>
      </c>
      <c r="D896" s="463">
        <v>1.9599999999999999E-5</v>
      </c>
      <c r="E896" s="464">
        <v>127296</v>
      </c>
      <c r="F896" s="464"/>
      <c r="G896" s="461">
        <v>14185</v>
      </c>
      <c r="H896" s="461">
        <v>34070</v>
      </c>
      <c r="I896" s="461">
        <v>5409</v>
      </c>
      <c r="J896" s="464">
        <v>3560</v>
      </c>
      <c r="K896" s="464">
        <v>57224</v>
      </c>
      <c r="L896" s="464"/>
      <c r="M896" s="461">
        <v>305</v>
      </c>
      <c r="N896" s="461">
        <v>0</v>
      </c>
      <c r="O896" s="461">
        <v>0</v>
      </c>
      <c r="P896" s="464">
        <v>779</v>
      </c>
      <c r="Q896" s="464">
        <v>1084</v>
      </c>
      <c r="R896" s="464"/>
      <c r="S896" s="461">
        <v>36563</v>
      </c>
      <c r="T896" s="462">
        <v>-1999</v>
      </c>
      <c r="U896" s="462">
        <v>34564</v>
      </c>
      <c r="W896" s="464">
        <v>220535</v>
      </c>
      <c r="X896" s="464">
        <v>50533</v>
      </c>
    </row>
    <row r="897" spans="1:24">
      <c r="A897" s="458">
        <v>99721</v>
      </c>
      <c r="B897" s="459" t="s">
        <v>1595</v>
      </c>
      <c r="C897" s="463">
        <v>6.0446000000000002E-4</v>
      </c>
      <c r="D897" s="463">
        <v>6.1919999999999998E-4</v>
      </c>
      <c r="E897" s="464">
        <v>4003391</v>
      </c>
      <c r="F897" s="464"/>
      <c r="G897" s="461">
        <v>446096</v>
      </c>
      <c r="H897" s="461">
        <v>1071483</v>
      </c>
      <c r="I897" s="461">
        <v>170121</v>
      </c>
      <c r="J897" s="464">
        <v>40468</v>
      </c>
      <c r="K897" s="464">
        <v>1728168</v>
      </c>
      <c r="L897" s="464"/>
      <c r="M897" s="461">
        <v>9604</v>
      </c>
      <c r="N897" s="461">
        <v>0</v>
      </c>
      <c r="O897" s="461">
        <v>0</v>
      </c>
      <c r="P897" s="464">
        <v>42196</v>
      </c>
      <c r="Q897" s="464">
        <v>51800</v>
      </c>
      <c r="R897" s="464"/>
      <c r="S897" s="461">
        <v>1149885</v>
      </c>
      <c r="T897" s="462">
        <v>-7907</v>
      </c>
      <c r="U897" s="462">
        <v>1141978</v>
      </c>
      <c r="W897" s="464">
        <v>6935718</v>
      </c>
      <c r="X897" s="464">
        <v>1589225</v>
      </c>
    </row>
    <row r="898" spans="1:24">
      <c r="A898" s="458">
        <v>99727</v>
      </c>
      <c r="B898" s="459" t="s">
        <v>1596</v>
      </c>
      <c r="C898" s="463">
        <v>4.5290000000000002E-5</v>
      </c>
      <c r="D898" s="463">
        <v>2.3200000000000001E-5</v>
      </c>
      <c r="E898" s="464">
        <v>299960</v>
      </c>
      <c r="F898" s="464"/>
      <c r="G898" s="461">
        <v>33424</v>
      </c>
      <c r="H898" s="461">
        <v>80282</v>
      </c>
      <c r="I898" s="461">
        <v>12747</v>
      </c>
      <c r="J898" s="464">
        <v>57838</v>
      </c>
      <c r="K898" s="464">
        <v>184291</v>
      </c>
      <c r="L898" s="464"/>
      <c r="M898" s="461">
        <v>720</v>
      </c>
      <c r="N898" s="461">
        <v>0</v>
      </c>
      <c r="O898" s="461">
        <v>0</v>
      </c>
      <c r="P898" s="464">
        <v>0</v>
      </c>
      <c r="Q898" s="464">
        <v>720</v>
      </c>
      <c r="R898" s="464"/>
      <c r="S898" s="461">
        <v>86157</v>
      </c>
      <c r="T898" s="462">
        <v>29975</v>
      </c>
      <c r="U898" s="462">
        <v>116132</v>
      </c>
      <c r="W898" s="464">
        <v>519668</v>
      </c>
      <c r="X898" s="464">
        <v>119075</v>
      </c>
    </row>
    <row r="899" spans="1:24">
      <c r="A899" s="458">
        <v>99801</v>
      </c>
      <c r="B899" s="459" t="s">
        <v>1597</v>
      </c>
      <c r="C899" s="463">
        <v>4.2011799999999997E-3</v>
      </c>
      <c r="D899" s="463">
        <v>4.5713999999999998E-3</v>
      </c>
      <c r="E899" s="464">
        <v>27824781</v>
      </c>
      <c r="F899" s="464"/>
      <c r="G899" s="461">
        <v>3100504</v>
      </c>
      <c r="H899" s="461">
        <v>7447129</v>
      </c>
      <c r="I899" s="461">
        <v>1182393</v>
      </c>
      <c r="J899" s="464">
        <v>0</v>
      </c>
      <c r="K899" s="464">
        <v>11730026</v>
      </c>
      <c r="L899" s="464"/>
      <c r="M899" s="461">
        <v>66748</v>
      </c>
      <c r="N899" s="461">
        <v>0</v>
      </c>
      <c r="O899" s="461">
        <v>0</v>
      </c>
      <c r="P899" s="464">
        <v>877157</v>
      </c>
      <c r="Q899" s="464">
        <v>943905</v>
      </c>
      <c r="R899" s="464"/>
      <c r="S899" s="461">
        <v>7992052</v>
      </c>
      <c r="T899" s="462">
        <v>-482075</v>
      </c>
      <c r="U899" s="462">
        <v>7509977</v>
      </c>
      <c r="W899" s="464">
        <v>48205339</v>
      </c>
      <c r="X899" s="464">
        <v>11045595</v>
      </c>
    </row>
    <row r="900" spans="1:24">
      <c r="A900" s="458">
        <v>99802</v>
      </c>
      <c r="B900" s="459" t="s">
        <v>1598</v>
      </c>
      <c r="C900" s="463">
        <v>6.9299999999999997E-6</v>
      </c>
      <c r="D900" s="463">
        <v>3.3000000000000002E-6</v>
      </c>
      <c r="E900" s="464">
        <v>45898</v>
      </c>
      <c r="F900" s="464"/>
      <c r="G900" s="461">
        <v>5114</v>
      </c>
      <c r="H900" s="461">
        <v>12284</v>
      </c>
      <c r="I900" s="461">
        <v>1950</v>
      </c>
      <c r="J900" s="464">
        <v>13100</v>
      </c>
      <c r="K900" s="464">
        <v>32448</v>
      </c>
      <c r="L900" s="464"/>
      <c r="M900" s="461">
        <v>110</v>
      </c>
      <c r="N900" s="461">
        <v>0</v>
      </c>
      <c r="O900" s="461">
        <v>0</v>
      </c>
      <c r="P900" s="464">
        <v>9108</v>
      </c>
      <c r="Q900" s="464">
        <v>9218</v>
      </c>
      <c r="R900" s="464"/>
      <c r="S900" s="461">
        <v>13183</v>
      </c>
      <c r="T900" s="462">
        <v>800</v>
      </c>
      <c r="U900" s="462">
        <v>13983</v>
      </c>
      <c r="W900" s="464">
        <v>79516</v>
      </c>
      <c r="X900" s="464">
        <v>18220</v>
      </c>
    </row>
    <row r="901" spans="1:24">
      <c r="A901" s="458">
        <v>99804</v>
      </c>
      <c r="B901" s="459" t="s">
        <v>1599</v>
      </c>
      <c r="C901" s="463">
        <v>9.7579999999999997E-5</v>
      </c>
      <c r="D901" s="463">
        <v>1.022E-4</v>
      </c>
      <c r="E901" s="464">
        <v>646281</v>
      </c>
      <c r="F901" s="464"/>
      <c r="G901" s="461">
        <v>72015</v>
      </c>
      <c r="H901" s="461">
        <v>172973</v>
      </c>
      <c r="I901" s="461">
        <v>27463</v>
      </c>
      <c r="J901" s="464">
        <v>33690</v>
      </c>
      <c r="K901" s="464">
        <v>306141</v>
      </c>
      <c r="L901" s="464"/>
      <c r="M901" s="461">
        <v>1550</v>
      </c>
      <c r="N901" s="461">
        <v>0</v>
      </c>
      <c r="O901" s="461">
        <v>0</v>
      </c>
      <c r="P901" s="464">
        <v>2922</v>
      </c>
      <c r="Q901" s="464">
        <v>4472</v>
      </c>
      <c r="R901" s="464"/>
      <c r="S901" s="461">
        <v>185630</v>
      </c>
      <c r="T901" s="462">
        <v>27453</v>
      </c>
      <c r="U901" s="462">
        <v>213083</v>
      </c>
      <c r="W901" s="464">
        <v>1119656</v>
      </c>
      <c r="X901" s="464">
        <v>256554</v>
      </c>
    </row>
    <row r="902" spans="1:24">
      <c r="A902" s="458">
        <v>99811</v>
      </c>
      <c r="B902" s="459" t="s">
        <v>1600</v>
      </c>
      <c r="C902" s="463">
        <v>5.7056499999999996E-3</v>
      </c>
      <c r="D902" s="463">
        <v>5.9289E-3</v>
      </c>
      <c r="E902" s="464">
        <v>37789016</v>
      </c>
      <c r="F902" s="464"/>
      <c r="G902" s="461">
        <v>4210815</v>
      </c>
      <c r="H902" s="461">
        <v>10113995</v>
      </c>
      <c r="I902" s="461">
        <v>1605815</v>
      </c>
      <c r="J902" s="464">
        <v>0</v>
      </c>
      <c r="K902" s="464">
        <v>15930625</v>
      </c>
      <c r="L902" s="464"/>
      <c r="M902" s="461">
        <v>90651</v>
      </c>
      <c r="N902" s="461">
        <v>0</v>
      </c>
      <c r="O902" s="461">
        <v>0</v>
      </c>
      <c r="P902" s="464">
        <v>1039760</v>
      </c>
      <c r="Q902" s="464">
        <v>1130411</v>
      </c>
      <c r="R902" s="464"/>
      <c r="S902" s="461">
        <v>10854058</v>
      </c>
      <c r="T902" s="462">
        <v>-578481</v>
      </c>
      <c r="U902" s="462">
        <v>10275577</v>
      </c>
      <c r="W902" s="464">
        <v>65467986</v>
      </c>
      <c r="X902" s="464">
        <v>15001095</v>
      </c>
    </row>
    <row r="903" spans="1:24">
      <c r="A903" s="458">
        <v>99812</v>
      </c>
      <c r="B903" s="459" t="s">
        <v>1601</v>
      </c>
      <c r="C903" s="463">
        <v>1.562E-5</v>
      </c>
      <c r="D903" s="463">
        <v>1.7E-5</v>
      </c>
      <c r="E903" s="464">
        <v>103453</v>
      </c>
      <c r="F903" s="464"/>
      <c r="G903" s="461">
        <v>11528</v>
      </c>
      <c r="H903" s="461">
        <v>27688</v>
      </c>
      <c r="I903" s="461">
        <v>4396</v>
      </c>
      <c r="J903" s="464">
        <v>29285</v>
      </c>
      <c r="K903" s="464">
        <v>72897</v>
      </c>
      <c r="L903" s="464"/>
      <c r="M903" s="461">
        <v>248</v>
      </c>
      <c r="N903" s="461">
        <v>0</v>
      </c>
      <c r="O903" s="461">
        <v>0</v>
      </c>
      <c r="P903" s="464">
        <v>796</v>
      </c>
      <c r="Q903" s="464">
        <v>1044</v>
      </c>
      <c r="R903" s="464"/>
      <c r="S903" s="461">
        <v>29714</v>
      </c>
      <c r="T903" s="462">
        <v>20068</v>
      </c>
      <c r="U903" s="462">
        <v>49782</v>
      </c>
      <c r="W903" s="464">
        <v>179228</v>
      </c>
      <c r="X903" s="464">
        <v>41068</v>
      </c>
    </row>
    <row r="904" spans="1:24">
      <c r="A904" s="458">
        <v>99818</v>
      </c>
      <c r="B904" s="459" t="s">
        <v>1602</v>
      </c>
      <c r="C904" s="463">
        <v>4.2230000000000001E-5</v>
      </c>
      <c r="D904" s="463">
        <v>3.96E-5</v>
      </c>
      <c r="E904" s="464">
        <v>279693</v>
      </c>
      <c r="F904" s="464"/>
      <c r="G904" s="461">
        <v>31166</v>
      </c>
      <c r="H904" s="461">
        <v>74858</v>
      </c>
      <c r="I904" s="461">
        <v>11885</v>
      </c>
      <c r="J904" s="464">
        <v>18050</v>
      </c>
      <c r="K904" s="464">
        <v>135959</v>
      </c>
      <c r="L904" s="464"/>
      <c r="M904" s="461">
        <v>671</v>
      </c>
      <c r="N904" s="461">
        <v>0</v>
      </c>
      <c r="O904" s="461">
        <v>0</v>
      </c>
      <c r="P904" s="464">
        <v>14796</v>
      </c>
      <c r="Q904" s="464">
        <v>15467</v>
      </c>
      <c r="R904" s="464"/>
      <c r="S904" s="461">
        <v>80336</v>
      </c>
      <c r="T904" s="462">
        <v>-2542</v>
      </c>
      <c r="U904" s="462">
        <v>77794</v>
      </c>
      <c r="W904" s="464">
        <v>484557</v>
      </c>
      <c r="X904" s="464">
        <v>111030</v>
      </c>
    </row>
    <row r="905" spans="1:24">
      <c r="A905" s="458">
        <v>99821</v>
      </c>
      <c r="B905" s="459" t="s">
        <v>1603</v>
      </c>
      <c r="C905" s="463">
        <v>8.5560000000000001E-5</v>
      </c>
      <c r="D905" s="463">
        <v>9.8099999999999999E-5</v>
      </c>
      <c r="E905" s="464">
        <v>566671</v>
      </c>
      <c r="F905" s="464"/>
      <c r="G905" s="461">
        <v>63144</v>
      </c>
      <c r="H905" s="461">
        <v>151666</v>
      </c>
      <c r="I905" s="461">
        <v>24080</v>
      </c>
      <c r="J905" s="464">
        <v>11447</v>
      </c>
      <c r="K905" s="464">
        <v>250337</v>
      </c>
      <c r="L905" s="464"/>
      <c r="M905" s="461">
        <v>1359</v>
      </c>
      <c r="N905" s="461">
        <v>0</v>
      </c>
      <c r="O905" s="461">
        <v>0</v>
      </c>
      <c r="P905" s="464">
        <v>47993</v>
      </c>
      <c r="Q905" s="464">
        <v>49352</v>
      </c>
      <c r="R905" s="464"/>
      <c r="S905" s="461">
        <v>162764</v>
      </c>
      <c r="T905" s="462">
        <v>-7596</v>
      </c>
      <c r="U905" s="462">
        <v>155168</v>
      </c>
      <c r="W905" s="464">
        <v>981736</v>
      </c>
      <c r="X905" s="464">
        <v>224951</v>
      </c>
    </row>
    <row r="906" spans="1:24">
      <c r="A906" s="458">
        <v>99831</v>
      </c>
      <c r="B906" s="459" t="s">
        <v>1604</v>
      </c>
      <c r="C906" s="463">
        <v>3.5179999999999999E-5</v>
      </c>
      <c r="D906" s="463">
        <v>3.7100000000000001E-5</v>
      </c>
      <c r="E906" s="464">
        <v>233000</v>
      </c>
      <c r="F906" s="464"/>
      <c r="G906" s="461">
        <v>25963</v>
      </c>
      <c r="H906" s="461">
        <v>62361</v>
      </c>
      <c r="I906" s="461">
        <v>9901</v>
      </c>
      <c r="J906" s="464">
        <v>11068</v>
      </c>
      <c r="K906" s="464">
        <v>109293</v>
      </c>
      <c r="L906" s="464"/>
      <c r="M906" s="461">
        <v>559</v>
      </c>
      <c r="N906" s="461">
        <v>0</v>
      </c>
      <c r="O906" s="461">
        <v>0</v>
      </c>
      <c r="P906" s="464">
        <v>9950</v>
      </c>
      <c r="Q906" s="464">
        <v>10509</v>
      </c>
      <c r="R906" s="464"/>
      <c r="S906" s="461">
        <v>66924</v>
      </c>
      <c r="T906" s="462">
        <v>-1847</v>
      </c>
      <c r="U906" s="462">
        <v>65077</v>
      </c>
      <c r="W906" s="464">
        <v>403664</v>
      </c>
      <c r="X906" s="464">
        <v>92494</v>
      </c>
    </row>
    <row r="907" spans="1:24">
      <c r="A907" s="458">
        <v>99841</v>
      </c>
      <c r="B907" s="459" t="s">
        <v>1605</v>
      </c>
      <c r="C907" s="463">
        <v>5.0510000000000003E-5</v>
      </c>
      <c r="D907" s="463">
        <v>5.94E-5</v>
      </c>
      <c r="E907" s="464">
        <v>334532</v>
      </c>
      <c r="F907" s="464"/>
      <c r="G907" s="461">
        <v>37277</v>
      </c>
      <c r="H907" s="461">
        <v>89535</v>
      </c>
      <c r="I907" s="461">
        <v>14216</v>
      </c>
      <c r="J907" s="464">
        <v>7415</v>
      </c>
      <c r="K907" s="464">
        <v>148443</v>
      </c>
      <c r="L907" s="464"/>
      <c r="M907" s="461">
        <v>803</v>
      </c>
      <c r="N907" s="461">
        <v>0</v>
      </c>
      <c r="O907" s="461">
        <v>0</v>
      </c>
      <c r="P907" s="464">
        <v>20841</v>
      </c>
      <c r="Q907" s="464">
        <v>21644</v>
      </c>
      <c r="R907" s="464"/>
      <c r="S907" s="461">
        <v>96087</v>
      </c>
      <c r="T907" s="462">
        <v>9951</v>
      </c>
      <c r="U907" s="462">
        <v>106038</v>
      </c>
      <c r="W907" s="464">
        <v>579564</v>
      </c>
      <c r="X907" s="464">
        <v>132799</v>
      </c>
    </row>
    <row r="908" spans="1:24">
      <c r="A908" s="458">
        <v>99851</v>
      </c>
      <c r="B908" s="459" t="s">
        <v>1606</v>
      </c>
      <c r="C908" s="463">
        <v>1.3010000000000001E-5</v>
      </c>
      <c r="D908" s="463">
        <v>1.66E-5</v>
      </c>
      <c r="E908" s="464">
        <v>86166</v>
      </c>
      <c r="F908" s="464"/>
      <c r="G908" s="461">
        <v>9601</v>
      </c>
      <c r="H908" s="461">
        <v>23062</v>
      </c>
      <c r="I908" s="461">
        <v>3662</v>
      </c>
      <c r="J908" s="464">
        <v>10230</v>
      </c>
      <c r="K908" s="464">
        <v>46555</v>
      </c>
      <c r="L908" s="464"/>
      <c r="M908" s="461">
        <v>207</v>
      </c>
      <c r="N908" s="461">
        <v>0</v>
      </c>
      <c r="O908" s="461">
        <v>0</v>
      </c>
      <c r="P908" s="464">
        <v>8561</v>
      </c>
      <c r="Q908" s="464">
        <v>8768</v>
      </c>
      <c r="R908" s="464"/>
      <c r="S908" s="461">
        <v>24749</v>
      </c>
      <c r="T908" s="462">
        <v>-1276</v>
      </c>
      <c r="U908" s="462">
        <v>23473</v>
      </c>
      <c r="W908" s="464">
        <v>149280</v>
      </c>
      <c r="X908" s="464">
        <v>34205</v>
      </c>
    </row>
    <row r="909" spans="1:24">
      <c r="A909" s="458">
        <v>99901</v>
      </c>
      <c r="B909" s="459" t="s">
        <v>1607</v>
      </c>
      <c r="C909" s="463">
        <v>1.5423500000000001E-3</v>
      </c>
      <c r="D909" s="463">
        <v>1.5120999999999999E-3</v>
      </c>
      <c r="E909" s="464">
        <v>10215118</v>
      </c>
      <c r="F909" s="464"/>
      <c r="G909" s="461">
        <v>1138267</v>
      </c>
      <c r="H909" s="461">
        <v>2734013</v>
      </c>
      <c r="I909" s="461">
        <v>434084</v>
      </c>
      <c r="J909" s="464">
        <v>96108</v>
      </c>
      <c r="K909" s="464">
        <v>4402472</v>
      </c>
      <c r="L909" s="464"/>
      <c r="M909" s="461">
        <v>24505</v>
      </c>
      <c r="N909" s="461">
        <v>0</v>
      </c>
      <c r="O909" s="461">
        <v>0</v>
      </c>
      <c r="P909" s="464">
        <v>63462</v>
      </c>
      <c r="Q909" s="464">
        <v>87967</v>
      </c>
      <c r="R909" s="464"/>
      <c r="S909" s="461">
        <v>2934066</v>
      </c>
      <c r="T909" s="462">
        <v>-35617</v>
      </c>
      <c r="U909" s="462">
        <v>2898449</v>
      </c>
      <c r="W909" s="464">
        <v>17697291</v>
      </c>
      <c r="X909" s="464">
        <v>4055093</v>
      </c>
    </row>
    <row r="910" spans="1:24">
      <c r="A910" s="458">
        <v>99911</v>
      </c>
      <c r="B910" s="459" t="s">
        <v>1608</v>
      </c>
      <c r="C910" s="463">
        <v>2.3377000000000001E-4</v>
      </c>
      <c r="D910" s="463">
        <v>2.365E-4</v>
      </c>
      <c r="E910" s="464">
        <v>1548279</v>
      </c>
      <c r="F910" s="464"/>
      <c r="G910" s="461">
        <v>172524</v>
      </c>
      <c r="H910" s="461">
        <v>414387</v>
      </c>
      <c r="I910" s="461">
        <v>65793</v>
      </c>
      <c r="J910" s="464">
        <v>16399</v>
      </c>
      <c r="K910" s="464">
        <v>669103</v>
      </c>
      <c r="L910" s="464"/>
      <c r="M910" s="461">
        <v>3714</v>
      </c>
      <c r="N910" s="461">
        <v>0</v>
      </c>
      <c r="O910" s="461">
        <v>0</v>
      </c>
      <c r="P910" s="464">
        <v>12501</v>
      </c>
      <c r="Q910" s="464">
        <v>16215</v>
      </c>
      <c r="R910" s="464"/>
      <c r="S910" s="461">
        <v>444709</v>
      </c>
      <c r="T910" s="462">
        <v>20638</v>
      </c>
      <c r="U910" s="462">
        <v>465347</v>
      </c>
      <c r="W910" s="464">
        <v>2682333</v>
      </c>
      <c r="X910" s="464">
        <v>614620</v>
      </c>
    </row>
    <row r="911" spans="1:24">
      <c r="A911" s="458">
        <v>99921</v>
      </c>
      <c r="B911" s="459" t="s">
        <v>1609</v>
      </c>
      <c r="C911" s="463">
        <v>1.3522999999999999E-4</v>
      </c>
      <c r="D911" s="463">
        <v>1.395E-4</v>
      </c>
      <c r="E911" s="464">
        <v>895640</v>
      </c>
      <c r="F911" s="464"/>
      <c r="G911" s="461">
        <v>99801</v>
      </c>
      <c r="H911" s="461">
        <v>239712</v>
      </c>
      <c r="I911" s="461">
        <v>38060</v>
      </c>
      <c r="J911" s="464">
        <v>0</v>
      </c>
      <c r="K911" s="464">
        <v>377573</v>
      </c>
      <c r="L911" s="464"/>
      <c r="M911" s="461">
        <v>2149</v>
      </c>
      <c r="N911" s="461">
        <v>0</v>
      </c>
      <c r="O911" s="461">
        <v>0</v>
      </c>
      <c r="P911" s="464">
        <v>27925</v>
      </c>
      <c r="Q911" s="464">
        <v>30074</v>
      </c>
      <c r="R911" s="464"/>
      <c r="S911" s="461">
        <v>257253</v>
      </c>
      <c r="T911" s="462">
        <v>-6678</v>
      </c>
      <c r="U911" s="462">
        <v>250575</v>
      </c>
      <c r="W911" s="464">
        <v>1551661</v>
      </c>
      <c r="X911" s="464">
        <v>355542</v>
      </c>
    </row>
    <row r="912" spans="1:24">
      <c r="A912" s="458">
        <v>99931</v>
      </c>
      <c r="B912" s="459" t="s">
        <v>1610</v>
      </c>
      <c r="C912" s="463">
        <v>1.753E-5</v>
      </c>
      <c r="D912" s="463">
        <v>2.6100000000000001E-5</v>
      </c>
      <c r="E912" s="464">
        <v>116103</v>
      </c>
      <c r="F912" s="464"/>
      <c r="G912" s="461">
        <v>12937</v>
      </c>
      <c r="H912" s="461">
        <v>31074</v>
      </c>
      <c r="I912" s="461">
        <v>4934</v>
      </c>
      <c r="J912" s="464">
        <v>910</v>
      </c>
      <c r="K912" s="464">
        <v>49855</v>
      </c>
      <c r="L912" s="464"/>
      <c r="M912" s="461">
        <v>279</v>
      </c>
      <c r="N912" s="461">
        <v>0</v>
      </c>
      <c r="O912" s="461">
        <v>0</v>
      </c>
      <c r="P912" s="464">
        <v>19035</v>
      </c>
      <c r="Q912" s="464">
        <v>19314</v>
      </c>
      <c r="R912" s="464"/>
      <c r="S912" s="461">
        <v>33348</v>
      </c>
      <c r="T912" s="462">
        <v>-3225</v>
      </c>
      <c r="U912" s="462">
        <v>30123</v>
      </c>
      <c r="W912" s="464">
        <v>201143</v>
      </c>
      <c r="X912" s="464">
        <v>46089</v>
      </c>
    </row>
    <row r="913" spans="1:26" s="480" customFormat="1" ht="15">
      <c r="A913" s="458">
        <v>99941</v>
      </c>
      <c r="B913" s="459" t="s">
        <v>1611</v>
      </c>
      <c r="C913" s="463">
        <v>5.5970000000000001E-5</v>
      </c>
      <c r="D913" s="463">
        <v>5.66E-5</v>
      </c>
      <c r="E913" s="464">
        <v>370694</v>
      </c>
      <c r="F913" s="464"/>
      <c r="G913" s="461">
        <v>41306</v>
      </c>
      <c r="H913" s="461">
        <v>99214</v>
      </c>
      <c r="I913" s="461">
        <v>15752</v>
      </c>
      <c r="J913" s="464">
        <v>2125</v>
      </c>
      <c r="K913" s="464">
        <v>158397</v>
      </c>
      <c r="L913" s="464"/>
      <c r="M913" s="461">
        <v>889</v>
      </c>
      <c r="N913" s="461">
        <v>0</v>
      </c>
      <c r="O913" s="461">
        <v>0</v>
      </c>
      <c r="P913" s="464">
        <v>2675</v>
      </c>
      <c r="Q913" s="464">
        <v>3564</v>
      </c>
      <c r="R913" s="464"/>
      <c r="S913" s="461">
        <v>106474</v>
      </c>
      <c r="T913" s="462">
        <v>-11114</v>
      </c>
      <c r="U913" s="462">
        <v>95360</v>
      </c>
      <c r="V913" s="452"/>
      <c r="W913" s="464">
        <v>642213</v>
      </c>
      <c r="X913" s="464">
        <v>147154</v>
      </c>
      <c r="Z913" s="452"/>
    </row>
    <row r="914" spans="1:26">
      <c r="A914" s="458">
        <v>99991</v>
      </c>
      <c r="B914" s="459" t="s">
        <v>1612</v>
      </c>
      <c r="C914" s="463">
        <v>5.7872000000000002E-4</v>
      </c>
      <c r="D914" s="463">
        <v>4.0420000000000001E-4</v>
      </c>
      <c r="E914" s="464">
        <v>3832913</v>
      </c>
      <c r="F914" s="464"/>
      <c r="G914" s="461">
        <v>427100</v>
      </c>
      <c r="H914" s="461">
        <v>1025855</v>
      </c>
      <c r="I914" s="461">
        <v>162877</v>
      </c>
      <c r="J914" s="464">
        <v>469746</v>
      </c>
      <c r="K914" s="464">
        <v>2085578</v>
      </c>
      <c r="L914" s="464"/>
      <c r="M914" s="461">
        <v>9195</v>
      </c>
      <c r="N914" s="461">
        <v>0</v>
      </c>
      <c r="O914" s="461">
        <v>0</v>
      </c>
      <c r="P914" s="464">
        <v>51944</v>
      </c>
      <c r="Q914" s="464">
        <v>61139</v>
      </c>
      <c r="R914" s="464"/>
      <c r="S914" s="461">
        <v>1100919</v>
      </c>
      <c r="T914" s="462">
        <v>116496</v>
      </c>
      <c r="U914" s="462">
        <v>1217415</v>
      </c>
      <c r="W914" s="464">
        <v>6640371</v>
      </c>
      <c r="X914" s="464">
        <v>1521550</v>
      </c>
    </row>
    <row r="915" spans="1:26">
      <c r="A915" s="481">
        <v>99999</v>
      </c>
      <c r="B915" s="482" t="s">
        <v>1613</v>
      </c>
      <c r="C915" s="483">
        <v>1.10991E-3</v>
      </c>
      <c r="D915" s="483">
        <v>1.0696E-3</v>
      </c>
      <c r="E915" s="484">
        <v>7351030</v>
      </c>
      <c r="F915" s="484"/>
      <c r="G915" s="485">
        <v>819122</v>
      </c>
      <c r="H915" s="485">
        <v>1967458</v>
      </c>
      <c r="I915" s="485">
        <v>312376</v>
      </c>
      <c r="J915" s="484">
        <v>478973</v>
      </c>
      <c r="K915" s="484">
        <v>3577929</v>
      </c>
      <c r="L915" s="484"/>
      <c r="M915" s="485">
        <v>17634</v>
      </c>
      <c r="N915" s="485">
        <v>0</v>
      </c>
      <c r="O915" s="485">
        <v>0</v>
      </c>
      <c r="P915" s="484">
        <v>0</v>
      </c>
      <c r="Q915" s="484">
        <v>17634</v>
      </c>
      <c r="R915" s="484"/>
      <c r="S915" s="485">
        <v>2111421</v>
      </c>
      <c r="T915" s="486">
        <v>246566</v>
      </c>
      <c r="U915" s="486">
        <v>2357987</v>
      </c>
      <c r="V915" s="487"/>
      <c r="W915" s="484">
        <v>12735371</v>
      </c>
      <c r="X915" s="484">
        <v>2918137</v>
      </c>
    </row>
    <row r="916" spans="1:26">
      <c r="A916" s="488"/>
      <c r="B916" s="459"/>
      <c r="C916" s="460"/>
      <c r="D916" s="460"/>
      <c r="E916" s="454"/>
      <c r="F916" s="454"/>
      <c r="G916" s="461"/>
      <c r="H916" s="461"/>
      <c r="I916" s="461"/>
      <c r="J916" s="454"/>
      <c r="K916" s="454"/>
      <c r="L916" s="454"/>
      <c r="M916" s="461"/>
      <c r="N916" s="461"/>
      <c r="O916" s="461"/>
      <c r="P916" s="454"/>
      <c r="Q916" s="454"/>
      <c r="R916" s="454"/>
      <c r="S916" s="461"/>
      <c r="T916" s="462"/>
      <c r="U916" s="462"/>
    </row>
    <row r="917" spans="1:26" ht="15">
      <c r="A917" s="488"/>
      <c r="B917" s="489" t="s">
        <v>2818</v>
      </c>
      <c r="C917" s="455">
        <v>0.99999999999999989</v>
      </c>
      <c r="D917" s="455">
        <v>1.0000000000000002</v>
      </c>
      <c r="E917" s="456">
        <v>6623086993</v>
      </c>
      <c r="F917" s="456"/>
      <c r="G917" s="456">
        <v>738007993</v>
      </c>
      <c r="H917" s="456">
        <v>1772628005</v>
      </c>
      <c r="I917" s="456">
        <v>281443005</v>
      </c>
      <c r="J917" s="456">
        <v>109536513</v>
      </c>
      <c r="K917" s="456">
        <v>2901615516</v>
      </c>
      <c r="L917" s="456"/>
      <c r="M917" s="456">
        <v>15887998</v>
      </c>
      <c r="N917" s="456">
        <v>0</v>
      </c>
      <c r="O917" s="456">
        <v>0</v>
      </c>
      <c r="P917" s="456">
        <v>109536689</v>
      </c>
      <c r="Q917" s="456">
        <v>125424687</v>
      </c>
      <c r="R917" s="456"/>
      <c r="S917" s="456">
        <v>1902335006</v>
      </c>
      <c r="T917" s="456">
        <v>4</v>
      </c>
      <c r="U917" s="456">
        <v>1902335010</v>
      </c>
      <c r="W917" s="456">
        <v>11474237995</v>
      </c>
      <c r="X917" s="456">
        <v>2629164991</v>
      </c>
    </row>
    <row r="918" spans="1:26">
      <c r="A918" s="488"/>
      <c r="B918" s="459"/>
      <c r="C918" s="460"/>
      <c r="D918" s="460"/>
      <c r="E918" s="454"/>
      <c r="F918" s="454"/>
      <c r="G918" s="461"/>
      <c r="H918" s="461"/>
      <c r="I918" s="461"/>
      <c r="J918" s="454"/>
      <c r="K918" s="454"/>
      <c r="L918" s="454"/>
      <c r="M918" s="461"/>
      <c r="N918" s="461"/>
      <c r="O918" s="461"/>
      <c r="P918" s="454"/>
      <c r="Q918" s="454"/>
      <c r="R918" s="454"/>
      <c r="S918" s="461"/>
      <c r="T918" s="462"/>
      <c r="U918" s="462"/>
    </row>
    <row r="919" spans="1:26">
      <c r="A919" s="488"/>
      <c r="B919" s="459"/>
      <c r="C919" s="460"/>
      <c r="D919" s="460"/>
      <c r="E919" s="454"/>
      <c r="F919" s="454"/>
      <c r="G919" s="461"/>
      <c r="H919" s="461"/>
      <c r="I919" s="461"/>
      <c r="J919" s="454"/>
      <c r="K919" s="454"/>
      <c r="L919" s="454"/>
      <c r="M919" s="461"/>
      <c r="N919" s="461"/>
      <c r="O919" s="461"/>
      <c r="P919" s="454"/>
      <c r="Q919" s="454"/>
      <c r="R919" s="454"/>
      <c r="S919" s="461"/>
      <c r="T919" s="462"/>
      <c r="U919" s="462"/>
    </row>
    <row r="920" spans="1:26" ht="15">
      <c r="A920" s="488"/>
      <c r="B920" s="71"/>
      <c r="C920" s="460"/>
      <c r="D920" s="460"/>
      <c r="E920" s="454"/>
      <c r="F920" s="454"/>
      <c r="G920" s="461"/>
      <c r="H920" s="461"/>
      <c r="I920" s="461"/>
      <c r="J920" s="454"/>
      <c r="K920" s="454"/>
      <c r="L920" s="454"/>
      <c r="M920" s="461"/>
      <c r="N920" s="461"/>
      <c r="O920" s="461"/>
      <c r="P920" s="454"/>
      <c r="Q920" s="454"/>
      <c r="R920" s="454"/>
      <c r="S920" s="461"/>
      <c r="T920" s="462"/>
      <c r="U920" s="462"/>
    </row>
    <row r="921" spans="1:26">
      <c r="A921" s="488"/>
      <c r="B921" s="459"/>
      <c r="C921" s="460"/>
      <c r="D921" s="460"/>
      <c r="E921" s="454"/>
      <c r="F921" s="454"/>
      <c r="G921" s="461"/>
      <c r="H921" s="461"/>
      <c r="I921" s="461"/>
      <c r="J921" s="454"/>
      <c r="K921" s="454"/>
      <c r="L921" s="454"/>
      <c r="M921" s="461"/>
      <c r="N921" s="461"/>
      <c r="O921" s="461"/>
      <c r="P921" s="454"/>
      <c r="Q921" s="454"/>
      <c r="R921" s="454"/>
      <c r="S921" s="461"/>
      <c r="T921" s="462"/>
      <c r="U921" s="462"/>
    </row>
    <row r="922" spans="1:26">
      <c r="A922" s="488"/>
      <c r="B922" s="459"/>
      <c r="C922" s="460"/>
      <c r="D922" s="460"/>
      <c r="E922" s="454"/>
      <c r="F922" s="454"/>
      <c r="G922" s="461"/>
      <c r="H922" s="461"/>
      <c r="I922" s="461"/>
      <c r="J922" s="454"/>
      <c r="K922" s="454"/>
      <c r="L922" s="454"/>
      <c r="M922" s="461"/>
      <c r="N922" s="461"/>
      <c r="O922" s="461"/>
      <c r="P922" s="454"/>
      <c r="Q922" s="454"/>
      <c r="R922" s="454"/>
      <c r="S922" s="461"/>
      <c r="T922" s="462"/>
      <c r="U922" s="462"/>
    </row>
    <row r="923" spans="1:26">
      <c r="A923" s="488"/>
      <c r="B923" s="459"/>
      <c r="C923" s="460"/>
      <c r="D923" s="460"/>
      <c r="E923" s="454"/>
      <c r="F923" s="454"/>
      <c r="G923" s="461"/>
      <c r="H923" s="461"/>
      <c r="I923" s="461"/>
      <c r="J923" s="454"/>
      <c r="K923" s="454"/>
      <c r="L923" s="454"/>
      <c r="M923" s="461"/>
      <c r="N923" s="461"/>
      <c r="O923" s="461"/>
      <c r="P923" s="454"/>
      <c r="Q923" s="454"/>
      <c r="R923" s="454"/>
      <c r="S923" s="461"/>
      <c r="T923" s="462"/>
      <c r="U923" s="462"/>
    </row>
    <row r="924" spans="1:26">
      <c r="A924" s="458"/>
      <c r="B924" s="459"/>
      <c r="C924" s="460"/>
      <c r="D924" s="460"/>
      <c r="E924" s="454"/>
      <c r="F924" s="454"/>
      <c r="G924" s="461"/>
      <c r="H924" s="461"/>
      <c r="I924" s="461"/>
      <c r="J924" s="454"/>
      <c r="K924" s="454"/>
      <c r="L924" s="454"/>
      <c r="M924" s="461"/>
      <c r="N924" s="461"/>
      <c r="O924" s="461"/>
      <c r="P924" s="454"/>
      <c r="Q924" s="454"/>
      <c r="R924" s="454"/>
      <c r="S924" s="461"/>
      <c r="T924" s="462"/>
      <c r="U924" s="462"/>
    </row>
    <row r="925" spans="1:26">
      <c r="A925" s="458"/>
      <c r="B925" s="459"/>
      <c r="C925" s="460"/>
      <c r="D925" s="460"/>
      <c r="E925" s="454"/>
      <c r="F925" s="454"/>
      <c r="G925" s="461"/>
      <c r="H925" s="461"/>
      <c r="I925" s="461"/>
      <c r="J925" s="454"/>
      <c r="K925" s="454"/>
      <c r="L925" s="454"/>
      <c r="M925" s="461"/>
      <c r="N925" s="461"/>
      <c r="O925" s="461"/>
      <c r="P925" s="454"/>
      <c r="Q925" s="454"/>
      <c r="R925" s="454"/>
      <c r="S925" s="461"/>
      <c r="T925" s="462"/>
      <c r="U925" s="462"/>
    </row>
    <row r="932" spans="2:3" ht="15">
      <c r="B932" t="s">
        <v>690</v>
      </c>
      <c r="C932" s="253" t="s">
        <v>691</v>
      </c>
    </row>
    <row r="933" spans="2:3" ht="15">
      <c r="B933" t="s">
        <v>3755</v>
      </c>
      <c r="C933" s="253" t="s">
        <v>691</v>
      </c>
    </row>
    <row r="934" spans="2:3">
      <c r="B934" s="452" t="s">
        <v>1056</v>
      </c>
      <c r="C934" s="458">
        <v>93537</v>
      </c>
    </row>
    <row r="935" spans="2:3">
      <c r="B935" s="452" t="s">
        <v>1037</v>
      </c>
      <c r="C935" s="458">
        <v>93402</v>
      </c>
    </row>
    <row r="936" spans="2:3">
      <c r="B936" s="452" t="s">
        <v>1101</v>
      </c>
      <c r="C936" s="458">
        <v>94109</v>
      </c>
    </row>
    <row r="937" spans="2:3">
      <c r="B937" s="452" t="s">
        <v>734</v>
      </c>
      <c r="C937" s="458">
        <v>90101</v>
      </c>
    </row>
    <row r="938" spans="2:3">
      <c r="B938" s="452" t="s">
        <v>737</v>
      </c>
      <c r="C938" s="458">
        <v>90117</v>
      </c>
    </row>
    <row r="939" spans="2:3">
      <c r="B939" s="452" t="s">
        <v>1488</v>
      </c>
      <c r="C939" s="458">
        <v>98417</v>
      </c>
    </row>
    <row r="940" spans="2:3">
      <c r="B940" s="452" t="s">
        <v>1346</v>
      </c>
      <c r="C940" s="458">
        <v>97008</v>
      </c>
    </row>
    <row r="941" spans="2:3">
      <c r="B941" s="452" t="s">
        <v>731</v>
      </c>
      <c r="C941" s="458">
        <v>90096</v>
      </c>
    </row>
    <row r="942" spans="2:3">
      <c r="B942" s="452" t="s">
        <v>782</v>
      </c>
      <c r="C942" s="458">
        <v>90805</v>
      </c>
    </row>
    <row r="943" spans="2:3">
      <c r="B943" s="452" t="s">
        <v>925</v>
      </c>
      <c r="C943" s="458">
        <v>92109</v>
      </c>
    </row>
    <row r="944" spans="2:3">
      <c r="B944" s="452" t="s">
        <v>743</v>
      </c>
      <c r="C944" s="458">
        <v>90201</v>
      </c>
    </row>
    <row r="945" spans="2:3">
      <c r="B945" s="452" t="s">
        <v>746</v>
      </c>
      <c r="C945" s="465">
        <v>90206</v>
      </c>
    </row>
    <row r="946" spans="2:3">
      <c r="B946" s="452" t="s">
        <v>744</v>
      </c>
      <c r="C946" s="465">
        <v>90203</v>
      </c>
    </row>
    <row r="947" spans="2:3">
      <c r="B947" s="452" t="s">
        <v>745</v>
      </c>
      <c r="C947" s="465">
        <v>90205</v>
      </c>
    </row>
    <row r="948" spans="2:3">
      <c r="B948" s="452" t="s">
        <v>748</v>
      </c>
      <c r="C948" s="458">
        <v>90301</v>
      </c>
    </row>
    <row r="949" spans="2:3">
      <c r="B949" s="452" t="s">
        <v>3722</v>
      </c>
      <c r="C949" s="458">
        <v>93209</v>
      </c>
    </row>
    <row r="950" spans="2:3">
      <c r="B950" s="452" t="s">
        <v>751</v>
      </c>
      <c r="C950" s="458">
        <v>90401</v>
      </c>
    </row>
    <row r="951" spans="2:3">
      <c r="B951" s="452" t="s">
        <v>733</v>
      </c>
      <c r="C951" s="458">
        <v>90099</v>
      </c>
    </row>
    <row r="952" spans="2:3">
      <c r="B952" s="452" t="s">
        <v>1592</v>
      </c>
      <c r="C952" s="458">
        <v>99705</v>
      </c>
    </row>
    <row r="953" spans="2:3">
      <c r="B953" s="452" t="s">
        <v>760</v>
      </c>
      <c r="C953" s="458">
        <v>90501</v>
      </c>
    </row>
    <row r="954" spans="2:3">
      <c r="B954" s="452" t="s">
        <v>1389</v>
      </c>
      <c r="C954" s="458">
        <v>97607</v>
      </c>
    </row>
    <row r="955" spans="2:3">
      <c r="B955" s="452" t="s">
        <v>1391</v>
      </c>
      <c r="C955" s="458">
        <v>97613</v>
      </c>
    </row>
    <row r="956" spans="2:3">
      <c r="B956" s="452" t="s">
        <v>834</v>
      </c>
      <c r="C956" s="458">
        <v>91127</v>
      </c>
    </row>
    <row r="957" spans="2:3">
      <c r="B957" s="452" t="s">
        <v>835</v>
      </c>
      <c r="C957" s="458">
        <v>91128</v>
      </c>
    </row>
    <row r="958" spans="2:3">
      <c r="B958" s="452" t="s">
        <v>3756</v>
      </c>
      <c r="C958" s="458">
        <v>91107</v>
      </c>
    </row>
    <row r="959" spans="2:3">
      <c r="B959" s="452" t="s">
        <v>763</v>
      </c>
      <c r="C959" s="458">
        <v>90601</v>
      </c>
    </row>
    <row r="960" spans="2:3">
      <c r="B960" s="452" t="s">
        <v>259</v>
      </c>
      <c r="C960" s="458">
        <v>90602</v>
      </c>
    </row>
    <row r="961" spans="2:3">
      <c r="B961" s="452" t="s">
        <v>764</v>
      </c>
      <c r="C961" s="458">
        <v>90605</v>
      </c>
    </row>
    <row r="962" spans="2:3">
      <c r="B962" s="452" t="s">
        <v>180</v>
      </c>
      <c r="C962" s="465">
        <v>97463</v>
      </c>
    </row>
    <row r="963" spans="2:3">
      <c r="B963" s="452" t="s">
        <v>773</v>
      </c>
      <c r="C963" s="458">
        <v>90705</v>
      </c>
    </row>
    <row r="964" spans="2:3">
      <c r="B964" s="452" t="s">
        <v>1341</v>
      </c>
      <c r="C964" s="458">
        <v>96918</v>
      </c>
    </row>
    <row r="965" spans="2:3">
      <c r="B965" s="452" t="s">
        <v>1543</v>
      </c>
      <c r="C965" s="458">
        <v>99208</v>
      </c>
    </row>
    <row r="966" spans="2:3">
      <c r="B966" s="452" t="s">
        <v>771</v>
      </c>
      <c r="C966" s="458">
        <v>90701</v>
      </c>
    </row>
    <row r="967" spans="2:3">
      <c r="B967" s="452" t="s">
        <v>772</v>
      </c>
      <c r="C967" s="458">
        <v>90704</v>
      </c>
    </row>
    <row r="968" spans="2:3">
      <c r="B968" s="452" t="s">
        <v>886</v>
      </c>
      <c r="C968" s="458">
        <v>91633</v>
      </c>
    </row>
    <row r="969" spans="2:3">
      <c r="B969" s="452" t="s">
        <v>1066</v>
      </c>
      <c r="C969" s="458">
        <v>93623</v>
      </c>
    </row>
    <row r="970" spans="2:3">
      <c r="B970" s="452" t="s">
        <v>1186</v>
      </c>
      <c r="C970" s="458">
        <v>95103</v>
      </c>
    </row>
    <row r="971" spans="2:3">
      <c r="B971" s="452" t="s">
        <v>780</v>
      </c>
      <c r="C971" s="458">
        <v>90801</v>
      </c>
    </row>
    <row r="972" spans="2:3">
      <c r="B972" s="452" t="s">
        <v>781</v>
      </c>
      <c r="C972" s="458">
        <v>90804</v>
      </c>
    </row>
    <row r="973" spans="2:3">
      <c r="B973" s="452" t="s">
        <v>783</v>
      </c>
      <c r="C973" s="458">
        <v>90808</v>
      </c>
    </row>
    <row r="974" spans="2:3">
      <c r="B974" s="452" t="s">
        <v>1072</v>
      </c>
      <c r="C974" s="458">
        <v>93671</v>
      </c>
    </row>
    <row r="975" spans="2:3">
      <c r="B975" s="452" t="s">
        <v>840</v>
      </c>
      <c r="C975" s="458">
        <v>91154</v>
      </c>
    </row>
    <row r="976" spans="2:3">
      <c r="B976" s="452" t="s">
        <v>788</v>
      </c>
      <c r="C976" s="458">
        <v>90901</v>
      </c>
    </row>
    <row r="977" spans="2:3">
      <c r="B977" s="452" t="s">
        <v>1576</v>
      </c>
      <c r="C977" s="458">
        <v>99527</v>
      </c>
    </row>
    <row r="978" spans="2:3">
      <c r="B978" s="452" t="s">
        <v>1572</v>
      </c>
      <c r="C978" s="458">
        <v>99508</v>
      </c>
    </row>
    <row r="979" spans="2:3">
      <c r="B979" s="452" t="s">
        <v>1152</v>
      </c>
      <c r="C979" s="458">
        <v>94532</v>
      </c>
    </row>
    <row r="980" spans="2:3">
      <c r="B980" s="452" t="s">
        <v>822</v>
      </c>
      <c r="C980" s="458">
        <v>91077</v>
      </c>
    </row>
    <row r="981" spans="2:3">
      <c r="B981" s="452" t="s">
        <v>1294</v>
      </c>
      <c r="C981" s="458">
        <v>96405</v>
      </c>
    </row>
    <row r="982" spans="2:3">
      <c r="B982" s="452" t="s">
        <v>1514</v>
      </c>
      <c r="C982" s="458">
        <v>98817</v>
      </c>
    </row>
    <row r="983" spans="2:3">
      <c r="B983" s="452" t="s">
        <v>1455</v>
      </c>
      <c r="C983" s="458">
        <v>98102</v>
      </c>
    </row>
    <row r="984" spans="2:3">
      <c r="B984" s="452" t="s">
        <v>799</v>
      </c>
      <c r="C984" s="458">
        <v>91006</v>
      </c>
    </row>
    <row r="985" spans="2:3">
      <c r="B985" s="452" t="s">
        <v>797</v>
      </c>
      <c r="C985" s="458">
        <v>91003</v>
      </c>
    </row>
    <row r="986" spans="2:3">
      <c r="B986" s="452" t="s">
        <v>795</v>
      </c>
      <c r="C986" s="458">
        <v>91001</v>
      </c>
    </row>
    <row r="987" spans="2:3">
      <c r="B987" s="452" t="s">
        <v>798</v>
      </c>
      <c r="C987" s="458">
        <v>91004</v>
      </c>
    </row>
    <row r="988" spans="2:3">
      <c r="B988" s="452" t="s">
        <v>802</v>
      </c>
      <c r="C988" s="458">
        <v>91009</v>
      </c>
    </row>
    <row r="989" spans="2:3">
      <c r="B989" s="452" t="s">
        <v>815</v>
      </c>
      <c r="C989" s="458">
        <v>91042</v>
      </c>
    </row>
    <row r="990" spans="2:3">
      <c r="B990" s="452" t="s">
        <v>1511</v>
      </c>
      <c r="C990" s="458">
        <v>98717</v>
      </c>
    </row>
    <row r="991" spans="2:3">
      <c r="B991" s="452" t="s">
        <v>825</v>
      </c>
      <c r="C991" s="458">
        <v>91101</v>
      </c>
    </row>
    <row r="992" spans="2:3">
      <c r="B992" s="452" t="s">
        <v>846</v>
      </c>
      <c r="C992" s="458">
        <v>91206</v>
      </c>
    </row>
    <row r="993" spans="2:3">
      <c r="B993" s="452" t="s">
        <v>845</v>
      </c>
      <c r="C993" s="458">
        <v>91203</v>
      </c>
    </row>
    <row r="994" spans="2:3">
      <c r="B994" s="452" t="s">
        <v>843</v>
      </c>
      <c r="C994" s="458">
        <v>91201</v>
      </c>
    </row>
    <row r="995" spans="2:3">
      <c r="B995" s="452" t="s">
        <v>847</v>
      </c>
      <c r="C995" s="458">
        <v>91208</v>
      </c>
    </row>
    <row r="996" spans="2:3">
      <c r="B996" s="452" t="s">
        <v>844</v>
      </c>
      <c r="C996" s="458">
        <v>91202</v>
      </c>
    </row>
    <row r="997" spans="2:3">
      <c r="B997" s="452" t="s">
        <v>860</v>
      </c>
      <c r="C997" s="458">
        <v>91306</v>
      </c>
    </row>
    <row r="998" spans="2:3">
      <c r="B998" s="452" t="s">
        <v>858</v>
      </c>
      <c r="C998" s="458">
        <v>91301</v>
      </c>
    </row>
    <row r="999" spans="2:3">
      <c r="B999" s="452" t="s">
        <v>861</v>
      </c>
      <c r="C999" s="458">
        <v>91308</v>
      </c>
    </row>
    <row r="1000" spans="2:3">
      <c r="B1000" s="452" t="s">
        <v>800</v>
      </c>
      <c r="C1000" s="458">
        <v>91007</v>
      </c>
    </row>
    <row r="1001" spans="2:3">
      <c r="B1001" s="452" t="s">
        <v>868</v>
      </c>
      <c r="C1001" s="458">
        <v>91401</v>
      </c>
    </row>
    <row r="1002" spans="2:3">
      <c r="B1002" s="452" t="s">
        <v>878</v>
      </c>
      <c r="C1002" s="458">
        <v>91501</v>
      </c>
    </row>
    <row r="1003" spans="2:3">
      <c r="B1003" s="452" t="s">
        <v>879</v>
      </c>
      <c r="C1003" s="458">
        <v>91504</v>
      </c>
    </row>
    <row r="1004" spans="2:3">
      <c r="B1004" s="452" t="s">
        <v>1144</v>
      </c>
      <c r="C1004" s="458">
        <v>94437</v>
      </c>
    </row>
    <row r="1005" spans="2:3">
      <c r="B1005" s="452" t="s">
        <v>801</v>
      </c>
      <c r="C1005" s="458">
        <v>91008</v>
      </c>
    </row>
    <row r="1006" spans="2:3">
      <c r="B1006" s="452" t="s">
        <v>1308</v>
      </c>
      <c r="C1006" s="458">
        <v>96512</v>
      </c>
    </row>
    <row r="1007" spans="2:3">
      <c r="B1007" s="452" t="s">
        <v>1305</v>
      </c>
      <c r="C1007" s="458">
        <v>96507</v>
      </c>
    </row>
    <row r="1008" spans="2:3">
      <c r="B1008" s="452" t="s">
        <v>1636</v>
      </c>
      <c r="C1008" s="458">
        <v>91015</v>
      </c>
    </row>
    <row r="1009" spans="2:3">
      <c r="B1009" s="452" t="s">
        <v>880</v>
      </c>
      <c r="C1009" s="458">
        <v>91601</v>
      </c>
    </row>
    <row r="1010" spans="2:3">
      <c r="B1010" s="452" t="s">
        <v>881</v>
      </c>
      <c r="C1010" s="458">
        <v>91604</v>
      </c>
    </row>
    <row r="1011" spans="2:3">
      <c r="B1011" s="452" t="s">
        <v>895</v>
      </c>
      <c r="C1011" s="458">
        <v>91706</v>
      </c>
    </row>
    <row r="1012" spans="2:3">
      <c r="B1012" s="452" t="s">
        <v>893</v>
      </c>
      <c r="C1012" s="458">
        <v>91701</v>
      </c>
    </row>
    <row r="1013" spans="2:3">
      <c r="B1013" s="452" t="s">
        <v>894</v>
      </c>
      <c r="C1013" s="458">
        <v>91704</v>
      </c>
    </row>
    <row r="1014" spans="2:3">
      <c r="B1014" s="452" t="s">
        <v>897</v>
      </c>
      <c r="C1014" s="458">
        <v>91801</v>
      </c>
    </row>
    <row r="1015" spans="2:3">
      <c r="B1015" s="452" t="s">
        <v>898</v>
      </c>
      <c r="C1015" s="458">
        <v>91804</v>
      </c>
    </row>
    <row r="1016" spans="2:3">
      <c r="B1016" s="452" t="s">
        <v>1550</v>
      </c>
      <c r="C1016" s="458">
        <v>99222</v>
      </c>
    </row>
    <row r="1017" spans="2:3">
      <c r="B1017" s="452" t="s">
        <v>1254</v>
      </c>
      <c r="C1017" s="458">
        <v>96009</v>
      </c>
    </row>
    <row r="1018" spans="2:3">
      <c r="B1018" s="452" t="s">
        <v>1257</v>
      </c>
      <c r="C1018" s="458">
        <v>96018</v>
      </c>
    </row>
    <row r="1019" spans="2:3">
      <c r="B1019" s="452" t="s">
        <v>1252</v>
      </c>
      <c r="C1019" s="458">
        <v>96005</v>
      </c>
    </row>
    <row r="1020" spans="2:3">
      <c r="B1020" s="452" t="s">
        <v>3724</v>
      </c>
      <c r="C1020" s="458">
        <v>96012</v>
      </c>
    </row>
    <row r="1021" spans="2:3">
      <c r="B1021" s="452" t="s">
        <v>912</v>
      </c>
      <c r="C1021" s="458">
        <v>91903</v>
      </c>
    </row>
    <row r="1022" spans="2:3">
      <c r="B1022" s="452" t="s">
        <v>911</v>
      </c>
      <c r="C1022" s="458">
        <v>91901</v>
      </c>
    </row>
    <row r="1023" spans="2:3">
      <c r="B1023" s="452" t="s">
        <v>913</v>
      </c>
      <c r="C1023" s="458">
        <v>91904</v>
      </c>
    </row>
    <row r="1024" spans="2:3">
      <c r="B1024" s="452" t="s">
        <v>918</v>
      </c>
      <c r="C1024" s="458">
        <v>92001</v>
      </c>
    </row>
    <row r="1025" spans="2:3">
      <c r="B1025" s="452" t="s">
        <v>1069</v>
      </c>
      <c r="C1025" s="458">
        <v>93647</v>
      </c>
    </row>
    <row r="1026" spans="2:3">
      <c r="B1026" s="452" t="s">
        <v>1315</v>
      </c>
      <c r="C1026" s="458">
        <v>96612</v>
      </c>
    </row>
    <row r="1027" spans="2:3">
      <c r="B1027" s="452" t="s">
        <v>923</v>
      </c>
      <c r="C1027" s="458">
        <v>92101</v>
      </c>
    </row>
    <row r="1028" spans="2:3">
      <c r="B1028" s="452" t="s">
        <v>924</v>
      </c>
      <c r="C1028" s="458">
        <v>92104</v>
      </c>
    </row>
    <row r="1029" spans="2:3">
      <c r="B1029" s="452" t="s">
        <v>1486</v>
      </c>
      <c r="C1029" s="458">
        <v>98411</v>
      </c>
    </row>
    <row r="1030" spans="2:3">
      <c r="B1030" s="452" t="s">
        <v>1398</v>
      </c>
      <c r="C1030" s="458">
        <v>97651</v>
      </c>
    </row>
    <row r="1031" spans="2:3">
      <c r="B1031" s="452" t="s">
        <v>1390</v>
      </c>
      <c r="C1031" s="458">
        <v>97611</v>
      </c>
    </row>
    <row r="1032" spans="2:3">
      <c r="B1032" s="452" t="s">
        <v>833</v>
      </c>
      <c r="C1032" s="458">
        <v>91121</v>
      </c>
    </row>
    <row r="1033" spans="2:3">
      <c r="B1033" s="452" t="s">
        <v>1065</v>
      </c>
      <c r="C1033" s="458">
        <v>93621</v>
      </c>
    </row>
    <row r="1034" spans="2:3">
      <c r="B1034" s="452" t="s">
        <v>821</v>
      </c>
      <c r="C1034" s="458">
        <v>91071</v>
      </c>
    </row>
    <row r="1035" spans="2:3">
      <c r="B1035" s="452" t="s">
        <v>1513</v>
      </c>
      <c r="C1035" s="458">
        <v>98811</v>
      </c>
    </row>
    <row r="1036" spans="2:3">
      <c r="B1036" s="452" t="s">
        <v>735</v>
      </c>
      <c r="C1036" s="458">
        <v>90111</v>
      </c>
    </row>
    <row r="1037" spans="2:3">
      <c r="B1037" s="452" t="s">
        <v>1255</v>
      </c>
      <c r="C1037" s="458">
        <v>96011</v>
      </c>
    </row>
    <row r="1038" spans="2:3">
      <c r="B1038" s="452" t="s">
        <v>1068</v>
      </c>
      <c r="C1038" s="458">
        <v>93641</v>
      </c>
    </row>
    <row r="1039" spans="2:3">
      <c r="B1039" s="452" t="s">
        <v>904</v>
      </c>
      <c r="C1039" s="458">
        <v>91821</v>
      </c>
    </row>
    <row r="1040" spans="2:3">
      <c r="B1040" s="452" t="s">
        <v>1468</v>
      </c>
      <c r="C1040" s="458">
        <v>98211</v>
      </c>
    </row>
    <row r="1041" spans="2:3">
      <c r="B1041" s="452" t="s">
        <v>862</v>
      </c>
      <c r="C1041" s="458">
        <v>91311</v>
      </c>
    </row>
    <row r="1042" spans="2:3">
      <c r="B1042" s="452" t="s">
        <v>1089</v>
      </c>
      <c r="C1042" s="458">
        <v>93921</v>
      </c>
    </row>
    <row r="1043" spans="2:3">
      <c r="B1043" s="452" t="s">
        <v>1126</v>
      </c>
      <c r="C1043" s="458">
        <v>94311</v>
      </c>
    </row>
    <row r="1044" spans="2:3">
      <c r="B1044" s="452" t="s">
        <v>1021</v>
      </c>
      <c r="C1044" s="458">
        <v>93211</v>
      </c>
    </row>
    <row r="1045" spans="2:3">
      <c r="B1045" s="452" t="s">
        <v>1436</v>
      </c>
      <c r="C1045" s="458">
        <v>97951</v>
      </c>
    </row>
    <row r="1046" spans="2:3">
      <c r="B1046" s="452" t="s">
        <v>969</v>
      </c>
      <c r="C1046" s="458">
        <v>92611</v>
      </c>
    </row>
    <row r="1047" spans="2:3">
      <c r="B1047" s="452" t="s">
        <v>1062</v>
      </c>
      <c r="C1047" s="458">
        <v>93611</v>
      </c>
    </row>
    <row r="1048" spans="2:3">
      <c r="B1048" s="452" t="s">
        <v>1584</v>
      </c>
      <c r="C1048" s="458">
        <v>99611</v>
      </c>
    </row>
    <row r="1049" spans="2:3">
      <c r="B1049" s="452" t="s">
        <v>738</v>
      </c>
      <c r="C1049" s="458">
        <v>90121</v>
      </c>
    </row>
    <row r="1050" spans="2:3">
      <c r="B1050" s="452" t="s">
        <v>1102</v>
      </c>
      <c r="C1050" s="458">
        <v>94111</v>
      </c>
    </row>
    <row r="1051" spans="2:3">
      <c r="B1051" s="452" t="s">
        <v>1371</v>
      </c>
      <c r="C1051" s="458">
        <v>97411</v>
      </c>
    </row>
    <row r="1052" spans="2:3">
      <c r="B1052" s="452" t="s">
        <v>1405</v>
      </c>
      <c r="C1052" s="458">
        <v>97721</v>
      </c>
    </row>
    <row r="1053" spans="2:3">
      <c r="B1053" s="452" t="s">
        <v>959</v>
      </c>
      <c r="C1053" s="458">
        <v>92531</v>
      </c>
    </row>
    <row r="1054" spans="2:3">
      <c r="B1054" s="452" t="s">
        <v>1536</v>
      </c>
      <c r="C1054" s="458">
        <v>99111</v>
      </c>
    </row>
    <row r="1055" spans="2:3">
      <c r="B1055" s="452" t="s">
        <v>1146</v>
      </c>
      <c r="C1055" s="458">
        <v>94511</v>
      </c>
    </row>
    <row r="1056" spans="2:3">
      <c r="B1056" s="452" t="s">
        <v>899</v>
      </c>
      <c r="C1056" s="458">
        <v>91811</v>
      </c>
    </row>
    <row r="1057" spans="2:3">
      <c r="B1057" s="452" t="s">
        <v>1106</v>
      </c>
      <c r="C1057" s="458">
        <v>94121</v>
      </c>
    </row>
    <row r="1058" spans="2:3">
      <c r="B1058" s="452" t="s">
        <v>1326</v>
      </c>
      <c r="C1058" s="458">
        <v>96711</v>
      </c>
    </row>
    <row r="1059" spans="2:3">
      <c r="B1059" s="452" t="s">
        <v>866</v>
      </c>
      <c r="C1059" s="458">
        <v>91331</v>
      </c>
    </row>
    <row r="1060" spans="2:3">
      <c r="B1060" s="452" t="s">
        <v>1498</v>
      </c>
      <c r="C1060" s="458">
        <v>98521</v>
      </c>
    </row>
    <row r="1061" spans="2:3">
      <c r="B1061" s="452" t="s">
        <v>933</v>
      </c>
      <c r="C1061" s="458">
        <v>92321</v>
      </c>
    </row>
    <row r="1062" spans="2:3">
      <c r="B1062" s="452" t="s">
        <v>1215</v>
      </c>
      <c r="C1062" s="458">
        <v>95411</v>
      </c>
    </row>
    <row r="1063" spans="2:3">
      <c r="B1063" s="452" t="s">
        <v>1480</v>
      </c>
      <c r="C1063" s="458">
        <v>98311</v>
      </c>
    </row>
    <row r="1064" spans="2:3">
      <c r="B1064" s="452" t="s">
        <v>875</v>
      </c>
      <c r="C1064" s="458">
        <v>91451</v>
      </c>
    </row>
    <row r="1065" spans="2:3">
      <c r="B1065" s="452" t="s">
        <v>876</v>
      </c>
      <c r="C1065" s="458">
        <v>91457</v>
      </c>
    </row>
    <row r="1066" spans="2:3">
      <c r="B1066" s="452" t="s">
        <v>996</v>
      </c>
      <c r="C1066" s="458">
        <v>92931</v>
      </c>
    </row>
    <row r="1067" spans="2:3">
      <c r="B1067" s="452" t="s">
        <v>1223</v>
      </c>
      <c r="C1067" s="458">
        <v>95511</v>
      </c>
    </row>
    <row r="1068" spans="2:3">
      <c r="B1068" s="452" t="s">
        <v>1491</v>
      </c>
      <c r="C1068" s="458">
        <v>98431</v>
      </c>
    </row>
    <row r="1069" spans="2:3">
      <c r="B1069" s="452" t="s">
        <v>1071</v>
      </c>
      <c r="C1069" s="458">
        <v>93661</v>
      </c>
    </row>
    <row r="1070" spans="2:3">
      <c r="B1070" s="452" t="s">
        <v>1412</v>
      </c>
      <c r="C1070" s="458">
        <v>97811</v>
      </c>
    </row>
    <row r="1071" spans="2:3">
      <c r="B1071" s="452" t="s">
        <v>736</v>
      </c>
      <c r="C1071" s="458">
        <v>90114</v>
      </c>
    </row>
    <row r="1072" spans="2:3">
      <c r="B1072" s="452" t="s">
        <v>1519</v>
      </c>
      <c r="C1072" s="458">
        <v>99011</v>
      </c>
    </row>
    <row r="1073" spans="2:3">
      <c r="B1073" s="452" t="s">
        <v>1520</v>
      </c>
      <c r="C1073" s="458">
        <v>99013</v>
      </c>
    </row>
    <row r="1074" spans="2:3">
      <c r="B1074" s="452" t="s">
        <v>1173</v>
      </c>
      <c r="C1074" s="458">
        <v>94921</v>
      </c>
    </row>
    <row r="1075" spans="2:3">
      <c r="B1075" s="452" t="s">
        <v>853</v>
      </c>
      <c r="C1075" s="458">
        <v>91231</v>
      </c>
    </row>
    <row r="1076" spans="2:3">
      <c r="B1076" s="452" t="s">
        <v>1506</v>
      </c>
      <c r="C1076" s="458">
        <v>98631</v>
      </c>
    </row>
    <row r="1077" spans="2:3">
      <c r="B1077" s="452" t="s">
        <v>1074</v>
      </c>
      <c r="C1077" s="458">
        <v>93691</v>
      </c>
    </row>
    <row r="1078" spans="2:3">
      <c r="B1078" s="452" t="s">
        <v>956</v>
      </c>
      <c r="C1078" s="458">
        <v>92511</v>
      </c>
    </row>
    <row r="1079" spans="2:3">
      <c r="B1079" s="452" t="s">
        <v>909</v>
      </c>
      <c r="C1079" s="458">
        <v>91871</v>
      </c>
    </row>
    <row r="1080" spans="2:3">
      <c r="B1080" s="452" t="s">
        <v>805</v>
      </c>
      <c r="C1080" s="458">
        <v>91012</v>
      </c>
    </row>
    <row r="1081" spans="2:3">
      <c r="B1081" s="452" t="s">
        <v>1086</v>
      </c>
      <c r="C1081" s="458">
        <v>93911</v>
      </c>
    </row>
    <row r="1082" spans="2:3">
      <c r="B1082" s="452" t="s">
        <v>1545</v>
      </c>
      <c r="C1082" s="458">
        <v>99211</v>
      </c>
    </row>
    <row r="1083" spans="2:3">
      <c r="B1083" s="452" t="s">
        <v>1547</v>
      </c>
      <c r="C1083" s="458">
        <v>99213</v>
      </c>
    </row>
    <row r="1084" spans="2:3">
      <c r="B1084" s="452" t="s">
        <v>1392</v>
      </c>
      <c r="C1084" s="458">
        <v>97621</v>
      </c>
    </row>
    <row r="1085" spans="2:3">
      <c r="B1085" s="452" t="s">
        <v>1394</v>
      </c>
      <c r="C1085" s="458">
        <v>97627</v>
      </c>
    </row>
    <row r="1086" spans="2:3">
      <c r="B1086" s="452" t="s">
        <v>1393</v>
      </c>
      <c r="C1086" s="458">
        <v>97623</v>
      </c>
    </row>
    <row r="1087" spans="2:3">
      <c r="B1087" s="452" t="s">
        <v>1428</v>
      </c>
      <c r="C1087" s="458">
        <v>97911</v>
      </c>
    </row>
    <row r="1088" spans="2:3">
      <c r="B1088" s="452" t="s">
        <v>1120</v>
      </c>
      <c r="C1088" s="458">
        <v>94221</v>
      </c>
    </row>
    <row r="1089" spans="2:3">
      <c r="B1089" s="452" t="s">
        <v>1402</v>
      </c>
      <c r="C1089" s="458">
        <v>97711</v>
      </c>
    </row>
    <row r="1090" spans="2:3">
      <c r="B1090" s="452" t="s">
        <v>1406</v>
      </c>
      <c r="C1090" s="458">
        <v>97727</v>
      </c>
    </row>
    <row r="1091" spans="2:3">
      <c r="B1091" s="452" t="s">
        <v>1030</v>
      </c>
      <c r="C1091" s="458">
        <v>93321</v>
      </c>
    </row>
    <row r="1092" spans="2:3">
      <c r="B1092" s="452" t="s">
        <v>1365</v>
      </c>
      <c r="C1092" s="458">
        <v>97311</v>
      </c>
    </row>
    <row r="1093" spans="2:3">
      <c r="B1093" s="452" t="s">
        <v>1443</v>
      </c>
      <c r="C1093" s="458">
        <v>98011</v>
      </c>
    </row>
    <row r="1094" spans="2:3">
      <c r="B1094" s="452" t="s">
        <v>1387</v>
      </c>
      <c r="C1094" s="458">
        <v>97531</v>
      </c>
    </row>
    <row r="1095" spans="2:3">
      <c r="B1095" s="452" t="s">
        <v>1209</v>
      </c>
      <c r="C1095" s="458">
        <v>95311</v>
      </c>
    </row>
    <row r="1096" spans="2:3">
      <c r="B1096" s="452" t="s">
        <v>931</v>
      </c>
      <c r="C1096" s="458">
        <v>92311</v>
      </c>
    </row>
    <row r="1097" spans="2:3">
      <c r="B1097" s="452" t="s">
        <v>804</v>
      </c>
      <c r="C1097" s="458">
        <v>91011</v>
      </c>
    </row>
    <row r="1098" spans="2:3">
      <c r="B1098" s="452" t="s">
        <v>1171</v>
      </c>
      <c r="C1098" s="458">
        <v>94911</v>
      </c>
    </row>
    <row r="1099" spans="2:3">
      <c r="B1099" s="452" t="s">
        <v>991</v>
      </c>
      <c r="C1099" s="458">
        <v>92911</v>
      </c>
    </row>
    <row r="1100" spans="2:3">
      <c r="B1100" s="452" t="s">
        <v>1399</v>
      </c>
      <c r="C1100" s="458">
        <v>97661</v>
      </c>
    </row>
    <row r="1101" spans="2:3">
      <c r="B1101" s="452" t="s">
        <v>775</v>
      </c>
      <c r="C1101" s="458">
        <v>90711</v>
      </c>
    </row>
    <row r="1102" spans="2:3">
      <c r="B1102" s="452" t="s">
        <v>940</v>
      </c>
      <c r="C1102" s="458">
        <v>92411</v>
      </c>
    </row>
    <row r="1103" spans="2:3">
      <c r="B1103" s="452" t="s">
        <v>1310</v>
      </c>
      <c r="C1103" s="458">
        <v>96531</v>
      </c>
    </row>
    <row r="1104" spans="2:3">
      <c r="B1104" s="452" t="s">
        <v>1600</v>
      </c>
      <c r="C1104" s="458">
        <v>99811</v>
      </c>
    </row>
    <row r="1105" spans="2:3">
      <c r="B1105" s="452" t="s">
        <v>1602</v>
      </c>
      <c r="C1105" s="458">
        <v>99818</v>
      </c>
    </row>
    <row r="1106" spans="2:3">
      <c r="B1106" s="452" t="s">
        <v>1040</v>
      </c>
      <c r="C1106" s="458">
        <v>93411</v>
      </c>
    </row>
    <row r="1107" spans="2:3">
      <c r="B1107" s="452" t="s">
        <v>928</v>
      </c>
      <c r="C1107" s="458">
        <v>92201</v>
      </c>
    </row>
    <row r="1108" spans="2:3">
      <c r="B1108" s="452" t="s">
        <v>1925</v>
      </c>
      <c r="C1108" s="458">
        <v>92214</v>
      </c>
    </row>
    <row r="1109" spans="2:3">
      <c r="B1109" s="452" t="s">
        <v>1046</v>
      </c>
      <c r="C1109" s="458">
        <v>93442</v>
      </c>
    </row>
    <row r="1110" spans="2:3">
      <c r="B1110" s="452" t="s">
        <v>929</v>
      </c>
      <c r="C1110" s="458">
        <v>92301</v>
      </c>
    </row>
    <row r="1111" spans="2:3">
      <c r="B1111" s="452" t="s">
        <v>930</v>
      </c>
      <c r="C1111" s="458">
        <v>92302</v>
      </c>
    </row>
    <row r="1112" spans="2:3">
      <c r="B1112" s="452" t="s">
        <v>1469</v>
      </c>
      <c r="C1112" s="458">
        <v>98218</v>
      </c>
    </row>
    <row r="1113" spans="2:3">
      <c r="B1113" s="452" t="s">
        <v>953</v>
      </c>
      <c r="C1113" s="458">
        <v>92506</v>
      </c>
    </row>
    <row r="1114" spans="2:3">
      <c r="B1114" s="452" t="s">
        <v>955</v>
      </c>
      <c r="C1114" s="458">
        <v>92508</v>
      </c>
    </row>
    <row r="1115" spans="2:3">
      <c r="B1115" s="452" t="s">
        <v>1112</v>
      </c>
      <c r="C1115" s="458">
        <v>94168</v>
      </c>
    </row>
    <row r="1116" spans="2:3">
      <c r="B1116" s="452" t="s">
        <v>1637</v>
      </c>
      <c r="C1116" s="458">
        <v>97527</v>
      </c>
    </row>
    <row r="1117" spans="2:3">
      <c r="B1117" s="452" t="s">
        <v>938</v>
      </c>
      <c r="C1117" s="458">
        <v>92401</v>
      </c>
    </row>
    <row r="1118" spans="2:3">
      <c r="B1118" s="452" t="s">
        <v>863</v>
      </c>
      <c r="C1118" s="458">
        <v>91317</v>
      </c>
    </row>
    <row r="1119" spans="2:3">
      <c r="B1119" s="452" t="s">
        <v>1370</v>
      </c>
      <c r="C1119" s="458">
        <v>97408</v>
      </c>
    </row>
    <row r="1120" spans="2:3">
      <c r="B1120" s="452" t="s">
        <v>1001</v>
      </c>
      <c r="C1120" s="458">
        <v>93027</v>
      </c>
    </row>
    <row r="1121" spans="2:3">
      <c r="B1121" s="452" t="s">
        <v>1926</v>
      </c>
      <c r="C1121" s="458">
        <v>93604</v>
      </c>
    </row>
    <row r="1122" spans="2:3">
      <c r="B1122" s="452" t="s">
        <v>951</v>
      </c>
      <c r="C1122" s="458">
        <v>92504</v>
      </c>
    </row>
    <row r="1123" spans="2:3">
      <c r="B1123" s="452" t="s">
        <v>949</v>
      </c>
      <c r="C1123" s="458">
        <v>92501</v>
      </c>
    </row>
    <row r="1124" spans="2:3">
      <c r="B1124" s="452" t="s">
        <v>952</v>
      </c>
      <c r="C1124" s="458">
        <v>92505</v>
      </c>
    </row>
    <row r="1125" spans="2:3">
      <c r="B1125" s="452" t="s">
        <v>966</v>
      </c>
      <c r="C1125" s="458">
        <v>92604</v>
      </c>
    </row>
    <row r="1126" spans="2:3">
      <c r="B1126" s="452" t="s">
        <v>964</v>
      </c>
      <c r="C1126" s="458">
        <v>92601</v>
      </c>
    </row>
    <row r="1127" spans="2:3">
      <c r="B1127" s="452" t="s">
        <v>980</v>
      </c>
      <c r="C1127" s="458">
        <v>92704</v>
      </c>
    </row>
    <row r="1128" spans="2:3">
      <c r="B1128" s="452" t="s">
        <v>979</v>
      </c>
      <c r="C1128" s="458">
        <v>92701</v>
      </c>
    </row>
    <row r="1129" spans="2:3">
      <c r="B1129" s="452" t="s">
        <v>981</v>
      </c>
      <c r="C1129" s="458">
        <v>92801</v>
      </c>
    </row>
    <row r="1130" spans="2:3">
      <c r="B1130" s="452" t="s">
        <v>983</v>
      </c>
      <c r="C1130" s="458">
        <v>92804</v>
      </c>
    </row>
    <row r="1131" spans="2:3">
      <c r="B1131" s="452" t="s">
        <v>982</v>
      </c>
      <c r="C1131" s="458">
        <v>92802</v>
      </c>
    </row>
    <row r="1132" spans="2:3">
      <c r="B1132" s="452" t="s">
        <v>990</v>
      </c>
      <c r="C1132" s="458">
        <v>92901</v>
      </c>
    </row>
    <row r="1133" spans="2:3">
      <c r="B1133" s="452" t="s">
        <v>997</v>
      </c>
      <c r="C1133" s="458">
        <v>93001</v>
      </c>
    </row>
    <row r="1134" spans="2:3">
      <c r="B1134" s="452" t="s">
        <v>998</v>
      </c>
      <c r="C1134" s="458">
        <v>93009</v>
      </c>
    </row>
    <row r="1135" spans="2:3">
      <c r="B1135" s="452" t="s">
        <v>1505</v>
      </c>
      <c r="C1135" s="458">
        <v>98627</v>
      </c>
    </row>
    <row r="1136" spans="2:3">
      <c r="B1136" s="452" t="s">
        <v>1128</v>
      </c>
      <c r="C1136" s="458">
        <v>94317</v>
      </c>
    </row>
    <row r="1137" spans="2:3">
      <c r="B1137" s="452" t="s">
        <v>1127</v>
      </c>
      <c r="C1137" s="458">
        <v>94313</v>
      </c>
    </row>
    <row r="1138" spans="2:3">
      <c r="B1138" s="452" t="s">
        <v>1003</v>
      </c>
      <c r="C1138" s="458">
        <v>93101</v>
      </c>
    </row>
    <row r="1139" spans="2:3">
      <c r="B1139" s="452" t="s">
        <v>260</v>
      </c>
      <c r="C1139" s="458">
        <v>93103</v>
      </c>
    </row>
    <row r="1140" spans="2:3">
      <c r="B1140" s="452" t="s">
        <v>1022</v>
      </c>
      <c r="C1140" s="458">
        <v>93212</v>
      </c>
    </row>
    <row r="1141" spans="2:3">
      <c r="B1141" s="452" t="s">
        <v>1017</v>
      </c>
      <c r="C1141" s="458">
        <v>93201</v>
      </c>
    </row>
    <row r="1142" spans="2:3">
      <c r="B1142" s="452" t="s">
        <v>1019</v>
      </c>
      <c r="C1142" s="458">
        <v>93204</v>
      </c>
    </row>
    <row r="1143" spans="2:3">
      <c r="B1143" s="452" t="s">
        <v>1546</v>
      </c>
      <c r="C1143" s="458">
        <v>99212</v>
      </c>
    </row>
    <row r="1144" spans="2:3">
      <c r="B1144" s="452" t="s">
        <v>1345</v>
      </c>
      <c r="C1144" s="458">
        <v>97005</v>
      </c>
    </row>
    <row r="1145" spans="2:3">
      <c r="B1145" s="452" t="s">
        <v>1446</v>
      </c>
      <c r="C1145" s="458">
        <v>98023</v>
      </c>
    </row>
    <row r="1146" spans="2:3">
      <c r="B1146" s="452" t="s">
        <v>1580</v>
      </c>
      <c r="C1146" s="458">
        <v>99603</v>
      </c>
    </row>
    <row r="1147" spans="2:3">
      <c r="B1147" s="452" t="s">
        <v>1583</v>
      </c>
      <c r="C1147" s="458">
        <v>99610</v>
      </c>
    </row>
    <row r="1148" spans="2:3">
      <c r="B1148" s="452" t="s">
        <v>1004</v>
      </c>
      <c r="C1148" s="458">
        <v>93108</v>
      </c>
    </row>
    <row r="1149" spans="2:3">
      <c r="B1149" s="452" t="s">
        <v>1437</v>
      </c>
      <c r="C1149" s="458">
        <v>97957</v>
      </c>
    </row>
    <row r="1150" spans="2:3">
      <c r="B1150" s="452" t="s">
        <v>1024</v>
      </c>
      <c r="C1150" s="458">
        <v>93301</v>
      </c>
    </row>
    <row r="1151" spans="2:3">
      <c r="B1151" s="452" t="s">
        <v>1025</v>
      </c>
      <c r="C1151" s="458">
        <v>93304</v>
      </c>
    </row>
    <row r="1152" spans="2:3">
      <c r="B1152" s="452" t="s">
        <v>1026</v>
      </c>
      <c r="C1152" s="458">
        <v>93305</v>
      </c>
    </row>
    <row r="1153" spans="2:3">
      <c r="B1153" s="452" t="s">
        <v>1544</v>
      </c>
      <c r="C1153" s="458">
        <v>99210</v>
      </c>
    </row>
    <row r="1154" spans="2:3">
      <c r="B1154" s="452" t="s">
        <v>1348</v>
      </c>
      <c r="C1154" s="458">
        <v>97011</v>
      </c>
    </row>
    <row r="1155" spans="2:3">
      <c r="B1155" s="452" t="s">
        <v>1350</v>
      </c>
      <c r="C1155" s="458">
        <v>97013</v>
      </c>
    </row>
    <row r="1156" spans="2:3">
      <c r="B1156" s="452" t="s">
        <v>1349</v>
      </c>
      <c r="C1156" s="458">
        <v>97012</v>
      </c>
    </row>
    <row r="1157" spans="2:3">
      <c r="B1157" s="452" t="s">
        <v>1352</v>
      </c>
      <c r="C1157" s="458">
        <v>97018</v>
      </c>
    </row>
    <row r="1158" spans="2:3">
      <c r="B1158" s="452" t="s">
        <v>790</v>
      </c>
      <c r="C1158" s="458">
        <v>90917</v>
      </c>
    </row>
    <row r="1159" spans="2:3">
      <c r="B1159" s="452" t="s">
        <v>1416</v>
      </c>
      <c r="C1159" s="458">
        <v>97823</v>
      </c>
    </row>
    <row r="1160" spans="2:3">
      <c r="B1160" s="452" t="s">
        <v>1375</v>
      </c>
      <c r="C1160" s="458">
        <v>97423</v>
      </c>
    </row>
    <row r="1161" spans="2:3">
      <c r="B1161" s="452" t="s">
        <v>970</v>
      </c>
      <c r="C1161" s="458">
        <v>92613</v>
      </c>
    </row>
    <row r="1162" spans="2:3">
      <c r="B1162" s="452" t="s">
        <v>950</v>
      </c>
      <c r="C1162" s="458">
        <v>92502</v>
      </c>
    </row>
    <row r="1163" spans="2:3">
      <c r="B1163" s="452" t="s">
        <v>1154</v>
      </c>
      <c r="C1163" s="458">
        <v>94547</v>
      </c>
    </row>
    <row r="1164" spans="2:3">
      <c r="B1164" s="452" t="s">
        <v>1180</v>
      </c>
      <c r="C1164" s="458">
        <v>95005</v>
      </c>
    </row>
    <row r="1165" spans="2:3">
      <c r="B1165" s="452" t="s">
        <v>3725</v>
      </c>
      <c r="C1165" s="458">
        <v>98103</v>
      </c>
    </row>
    <row r="1166" spans="2:3">
      <c r="B1166" s="452" t="s">
        <v>3770</v>
      </c>
      <c r="C1166" s="472">
        <v>94415</v>
      </c>
    </row>
    <row r="1167" spans="2:3">
      <c r="B1167" s="452" t="s">
        <v>1457</v>
      </c>
      <c r="C1167" s="458">
        <v>98107</v>
      </c>
    </row>
    <row r="1168" spans="2:3">
      <c r="B1168" s="452" t="s">
        <v>1460</v>
      </c>
      <c r="C1168" s="458">
        <v>98113</v>
      </c>
    </row>
    <row r="1169" spans="2:3">
      <c r="B1169" s="452" t="s">
        <v>1579</v>
      </c>
      <c r="C1169" s="458">
        <v>99602</v>
      </c>
    </row>
    <row r="1170" spans="2:3">
      <c r="B1170" s="452" t="s">
        <v>1036</v>
      </c>
      <c r="C1170" s="458">
        <v>93401</v>
      </c>
    </row>
    <row r="1171" spans="2:3">
      <c r="B1171" s="452" t="s">
        <v>1290</v>
      </c>
      <c r="C1171" s="458">
        <v>96381</v>
      </c>
    </row>
    <row r="1172" spans="2:3">
      <c r="B1172" s="452" t="s">
        <v>1050</v>
      </c>
      <c r="C1172" s="458">
        <v>93501</v>
      </c>
    </row>
    <row r="1173" spans="2:3">
      <c r="B1173" s="452" t="s">
        <v>1052</v>
      </c>
      <c r="C1173" s="458">
        <v>93517</v>
      </c>
    </row>
    <row r="1174" spans="2:3">
      <c r="B1174" s="452" t="s">
        <v>1554</v>
      </c>
      <c r="C1174" s="458">
        <v>99252</v>
      </c>
    </row>
    <row r="1175" spans="2:3">
      <c r="B1175" s="452" t="s">
        <v>1058</v>
      </c>
      <c r="C1175" s="458">
        <v>93601</v>
      </c>
    </row>
    <row r="1176" spans="2:3">
      <c r="B1176" s="452" t="s">
        <v>1064</v>
      </c>
      <c r="C1176" s="458">
        <v>93618</v>
      </c>
    </row>
    <row r="1177" spans="2:3">
      <c r="B1177" s="452" t="s">
        <v>1063</v>
      </c>
      <c r="C1177" s="458">
        <v>93617</v>
      </c>
    </row>
    <row r="1178" spans="2:3">
      <c r="B1178" s="452" t="s">
        <v>1075</v>
      </c>
      <c r="C1178" s="458">
        <v>93701</v>
      </c>
    </row>
    <row r="1179" spans="2:3">
      <c r="B1179" s="452" t="s">
        <v>1076</v>
      </c>
      <c r="C1179" s="458">
        <v>93704</v>
      </c>
    </row>
    <row r="1180" spans="2:3">
      <c r="B1180" s="452" t="s">
        <v>1110</v>
      </c>
      <c r="C1180" s="458">
        <v>94157</v>
      </c>
    </row>
    <row r="1181" spans="2:3">
      <c r="B1181" s="452" t="s">
        <v>914</v>
      </c>
      <c r="C1181" s="458">
        <v>91908</v>
      </c>
    </row>
    <row r="1182" spans="2:3">
      <c r="B1182" s="452" t="s">
        <v>1078</v>
      </c>
      <c r="C1182" s="458">
        <v>93803</v>
      </c>
    </row>
    <row r="1183" spans="2:3">
      <c r="B1183" s="452" t="s">
        <v>1077</v>
      </c>
      <c r="C1183" s="458">
        <v>93801</v>
      </c>
    </row>
    <row r="1184" spans="2:3">
      <c r="B1184" s="452" t="s">
        <v>1079</v>
      </c>
      <c r="C1184" s="458">
        <v>93806</v>
      </c>
    </row>
    <row r="1185" spans="2:3">
      <c r="B1185" s="452" t="s">
        <v>870</v>
      </c>
      <c r="C1185" s="458">
        <v>91417</v>
      </c>
    </row>
    <row r="1186" spans="2:3">
      <c r="B1186" s="452" t="s">
        <v>1082</v>
      </c>
      <c r="C1186" s="458">
        <v>93904</v>
      </c>
    </row>
    <row r="1187" spans="2:3">
      <c r="B1187" s="452" t="s">
        <v>1081</v>
      </c>
      <c r="C1187" s="458">
        <v>93901</v>
      </c>
    </row>
    <row r="1188" spans="2:3">
      <c r="B1188" s="452" t="s">
        <v>1083</v>
      </c>
      <c r="C1188" s="458">
        <v>93906</v>
      </c>
    </row>
    <row r="1189" spans="2:3">
      <c r="B1189" s="452" t="s">
        <v>1084</v>
      </c>
      <c r="C1189" s="458">
        <v>93908</v>
      </c>
    </row>
    <row r="1190" spans="2:3">
      <c r="B1190" s="452" t="s">
        <v>1091</v>
      </c>
      <c r="C1190" s="458">
        <v>94001</v>
      </c>
    </row>
    <row r="1191" spans="2:3">
      <c r="B1191" s="452" t="s">
        <v>1093</v>
      </c>
      <c r="C1191" s="458">
        <v>94004</v>
      </c>
    </row>
    <row r="1192" spans="2:3">
      <c r="B1192" s="452" t="s">
        <v>1104</v>
      </c>
      <c r="C1192" s="458">
        <v>94117</v>
      </c>
    </row>
    <row r="1193" spans="2:3">
      <c r="B1193" s="452" t="s">
        <v>1373</v>
      </c>
      <c r="C1193" s="458">
        <v>97413</v>
      </c>
    </row>
    <row r="1194" spans="2:3">
      <c r="B1194" s="452" t="s">
        <v>1372</v>
      </c>
      <c r="C1194" s="458">
        <v>97412</v>
      </c>
    </row>
    <row r="1195" spans="2:3">
      <c r="B1195" s="452" t="s">
        <v>1098</v>
      </c>
      <c r="C1195" s="458">
        <v>94101</v>
      </c>
    </row>
    <row r="1196" spans="2:3">
      <c r="B1196" s="452" t="s">
        <v>1105</v>
      </c>
      <c r="C1196" s="458">
        <v>94118</v>
      </c>
    </row>
    <row r="1197" spans="2:3">
      <c r="B1197" s="452" t="s">
        <v>1099</v>
      </c>
      <c r="C1197" s="458">
        <v>94102</v>
      </c>
    </row>
    <row r="1198" spans="2:3">
      <c r="B1198" s="452" t="s">
        <v>1115</v>
      </c>
      <c r="C1198" s="458">
        <v>94201</v>
      </c>
    </row>
    <row r="1199" spans="2:3">
      <c r="B1199" s="452" t="s">
        <v>1116</v>
      </c>
      <c r="C1199" s="458">
        <v>94204</v>
      </c>
    </row>
    <row r="1200" spans="2:3">
      <c r="B1200" s="452" t="s">
        <v>1117</v>
      </c>
      <c r="C1200" s="458">
        <v>94205</v>
      </c>
    </row>
    <row r="1201" spans="2:3">
      <c r="B1201" s="452" t="s">
        <v>1404</v>
      </c>
      <c r="C1201" s="458">
        <v>97717</v>
      </c>
    </row>
    <row r="1202" spans="2:3">
      <c r="B1202" s="452" t="s">
        <v>1125</v>
      </c>
      <c r="C1202" s="458">
        <v>94301</v>
      </c>
    </row>
    <row r="1203" spans="2:3">
      <c r="B1203" s="452" t="s">
        <v>1134</v>
      </c>
      <c r="C1203" s="458">
        <v>94401</v>
      </c>
    </row>
    <row r="1204" spans="2:3">
      <c r="B1204" s="452" t="s">
        <v>1136</v>
      </c>
      <c r="C1204" s="458">
        <v>94403</v>
      </c>
    </row>
    <row r="1205" spans="2:3">
      <c r="B1205" s="452" t="s">
        <v>2019</v>
      </c>
      <c r="C1205" s="458">
        <v>94501</v>
      </c>
    </row>
    <row r="1206" spans="2:3">
      <c r="B1206" s="452" t="s">
        <v>1148</v>
      </c>
      <c r="C1206" s="458">
        <v>94517</v>
      </c>
    </row>
    <row r="1207" spans="2:3">
      <c r="B1207" s="452" t="s">
        <v>1156</v>
      </c>
      <c r="C1207" s="458">
        <v>94601</v>
      </c>
    </row>
    <row r="1208" spans="2:3">
      <c r="B1208" s="452" t="s">
        <v>1157</v>
      </c>
      <c r="C1208" s="458">
        <v>94604</v>
      </c>
    </row>
    <row r="1209" spans="2:3">
      <c r="B1209" s="452" t="s">
        <v>1158</v>
      </c>
      <c r="C1209" s="458">
        <v>94606</v>
      </c>
    </row>
    <row r="1210" spans="2:3">
      <c r="B1210" s="452" t="s">
        <v>1360</v>
      </c>
      <c r="C1210" s="458">
        <v>97213</v>
      </c>
    </row>
    <row r="1211" spans="2:3">
      <c r="B1211" s="452" t="s">
        <v>900</v>
      </c>
      <c r="C1211" s="458">
        <v>91812</v>
      </c>
    </row>
    <row r="1212" spans="2:3">
      <c r="B1212" s="452" t="s">
        <v>901</v>
      </c>
      <c r="C1212" s="458">
        <v>91813</v>
      </c>
    </row>
    <row r="1213" spans="2:3">
      <c r="B1213" s="452" t="s">
        <v>766</v>
      </c>
      <c r="C1213" s="458">
        <v>90617</v>
      </c>
    </row>
    <row r="1214" spans="2:3">
      <c r="B1214" s="452" t="s">
        <v>1107</v>
      </c>
      <c r="C1214" s="458">
        <v>94127</v>
      </c>
    </row>
    <row r="1215" spans="2:3">
      <c r="B1215" s="452" t="s">
        <v>1228</v>
      </c>
      <c r="C1215" s="458">
        <v>95617</v>
      </c>
    </row>
    <row r="1216" spans="2:3">
      <c r="B1216" s="452" t="s">
        <v>1163</v>
      </c>
      <c r="C1216" s="458">
        <v>94701</v>
      </c>
    </row>
    <row r="1217" spans="2:3">
      <c r="B1217" s="452" t="s">
        <v>1164</v>
      </c>
      <c r="C1217" s="458">
        <v>94704</v>
      </c>
    </row>
    <row r="1218" spans="2:3">
      <c r="B1218" s="452" t="s">
        <v>1329</v>
      </c>
      <c r="C1218" s="458">
        <v>96733</v>
      </c>
    </row>
    <row r="1219" spans="2:3">
      <c r="B1219" s="452" t="s">
        <v>1233</v>
      </c>
      <c r="C1219" s="458">
        <v>95733</v>
      </c>
    </row>
    <row r="1220" spans="2:3">
      <c r="B1220" s="452" t="s">
        <v>1217</v>
      </c>
      <c r="C1220" s="458">
        <v>95413</v>
      </c>
    </row>
    <row r="1221" spans="2:3">
      <c r="B1221" s="452" t="s">
        <v>1444</v>
      </c>
      <c r="C1221" s="458">
        <v>98013</v>
      </c>
    </row>
    <row r="1222" spans="2:3">
      <c r="B1222" s="452" t="s">
        <v>1585</v>
      </c>
      <c r="C1222" s="458">
        <v>99613</v>
      </c>
    </row>
    <row r="1223" spans="2:3">
      <c r="B1223" s="452" t="s">
        <v>1166</v>
      </c>
      <c r="C1223" s="458">
        <v>94801</v>
      </c>
    </row>
    <row r="1224" spans="2:3">
      <c r="B1224" s="452" t="s">
        <v>1167</v>
      </c>
      <c r="C1224" s="458">
        <v>94804</v>
      </c>
    </row>
    <row r="1225" spans="2:3">
      <c r="B1225" s="452" t="s">
        <v>1521</v>
      </c>
      <c r="C1225" s="458">
        <v>99014</v>
      </c>
    </row>
    <row r="1226" spans="2:3">
      <c r="B1226" s="452" t="s">
        <v>3723</v>
      </c>
      <c r="C1226" s="458">
        <v>96003</v>
      </c>
    </row>
    <row r="1227" spans="2:3">
      <c r="B1227" s="452" t="s">
        <v>1169</v>
      </c>
      <c r="C1227" s="458">
        <v>94901</v>
      </c>
    </row>
    <row r="1228" spans="2:3">
      <c r="B1228" s="452" t="s">
        <v>3610</v>
      </c>
      <c r="C1228" s="458">
        <v>94908</v>
      </c>
    </row>
    <row r="1229" spans="2:3">
      <c r="B1229" s="452" t="s">
        <v>1458</v>
      </c>
      <c r="C1229" s="458">
        <v>98109</v>
      </c>
    </row>
    <row r="1230" spans="2:3">
      <c r="B1230" s="452" t="s">
        <v>1467</v>
      </c>
      <c r="C1230" s="458">
        <v>98205</v>
      </c>
    </row>
    <row r="1231" spans="2:3">
      <c r="B1231" s="452" t="s">
        <v>1178</v>
      </c>
      <c r="C1231" s="458">
        <v>95001</v>
      </c>
    </row>
    <row r="1232" spans="2:3">
      <c r="B1232" s="452" t="s">
        <v>1184</v>
      </c>
      <c r="C1232" s="458">
        <v>95017</v>
      </c>
    </row>
    <row r="1233" spans="2:3">
      <c r="B1233" s="452" t="s">
        <v>3719</v>
      </c>
      <c r="C1233" s="458">
        <v>95010</v>
      </c>
    </row>
    <row r="1234" spans="2:3">
      <c r="B1234" s="452" t="s">
        <v>1185</v>
      </c>
      <c r="C1234" s="458">
        <v>95101</v>
      </c>
    </row>
    <row r="1235" spans="2:3">
      <c r="B1235" s="452" t="s">
        <v>1187</v>
      </c>
      <c r="C1235" s="458">
        <v>95104</v>
      </c>
    </row>
    <row r="1236" spans="2:3">
      <c r="B1236" s="452" t="s">
        <v>1190</v>
      </c>
      <c r="C1236" s="458">
        <v>95110</v>
      </c>
    </row>
    <row r="1237" spans="2:3">
      <c r="B1237" s="452" t="s">
        <v>1203</v>
      </c>
      <c r="C1237" s="458">
        <v>95201</v>
      </c>
    </row>
    <row r="1238" spans="2:3">
      <c r="B1238" s="452" t="s">
        <v>1204</v>
      </c>
      <c r="C1238" s="458">
        <v>95204</v>
      </c>
    </row>
    <row r="1239" spans="2:3">
      <c r="B1239" s="452" t="s">
        <v>1137</v>
      </c>
      <c r="C1239" s="458">
        <v>94408</v>
      </c>
    </row>
    <row r="1240" spans="2:3">
      <c r="B1240" s="452" t="s">
        <v>1007</v>
      </c>
      <c r="C1240" s="458">
        <v>93127</v>
      </c>
    </row>
    <row r="1241" spans="2:3">
      <c r="B1241" s="452" t="s">
        <v>1535</v>
      </c>
      <c r="C1241" s="458">
        <v>99110</v>
      </c>
    </row>
    <row r="1242" spans="2:3">
      <c r="B1242" s="452" t="s">
        <v>1534</v>
      </c>
      <c r="C1242" s="458">
        <v>99109</v>
      </c>
    </row>
    <row r="1243" spans="2:3">
      <c r="B1243" s="452" t="s">
        <v>934</v>
      </c>
      <c r="C1243" s="458">
        <v>92327</v>
      </c>
    </row>
    <row r="1244" spans="2:3">
      <c r="B1244" s="452" t="s">
        <v>1218</v>
      </c>
      <c r="C1244" s="458">
        <v>95415</v>
      </c>
    </row>
    <row r="1245" spans="2:3">
      <c r="B1245" s="452" t="s">
        <v>943</v>
      </c>
      <c r="C1245" s="458">
        <v>92427</v>
      </c>
    </row>
    <row r="1246" spans="2:3">
      <c r="B1246" s="452" t="s">
        <v>826</v>
      </c>
      <c r="C1246" s="458">
        <v>91102</v>
      </c>
    </row>
    <row r="1247" spans="2:3">
      <c r="B1247" s="452" t="s">
        <v>1150</v>
      </c>
      <c r="C1247" s="458">
        <v>94527</v>
      </c>
    </row>
    <row r="1248" spans="2:3">
      <c r="B1248" s="452" t="s">
        <v>1481</v>
      </c>
      <c r="C1248" s="458">
        <v>98313</v>
      </c>
    </row>
    <row r="1249" spans="2:3">
      <c r="B1249" s="452" t="s">
        <v>1479</v>
      </c>
      <c r="C1249" s="458">
        <v>98308</v>
      </c>
    </row>
    <row r="1250" spans="2:3">
      <c r="B1250" s="452" t="s">
        <v>1208</v>
      </c>
      <c r="C1250" s="458">
        <v>95301</v>
      </c>
    </row>
    <row r="1251" spans="2:3">
      <c r="B1251" s="452" t="s">
        <v>1212</v>
      </c>
      <c r="C1251" s="458">
        <v>95401</v>
      </c>
    </row>
    <row r="1252" spans="2:3">
      <c r="B1252" s="452" t="s">
        <v>1213</v>
      </c>
      <c r="C1252" s="458">
        <v>95404</v>
      </c>
    </row>
    <row r="1253" spans="2:3">
      <c r="B1253" s="452" t="s">
        <v>872</v>
      </c>
      <c r="C1253" s="458">
        <v>91423</v>
      </c>
    </row>
    <row r="1254" spans="2:3">
      <c r="B1254" s="452" t="s">
        <v>994</v>
      </c>
      <c r="C1254" s="458">
        <v>92917</v>
      </c>
    </row>
    <row r="1255" spans="2:3">
      <c r="B1255" s="452" t="s">
        <v>1396</v>
      </c>
      <c r="C1255" s="458">
        <v>97637</v>
      </c>
    </row>
    <row r="1256" spans="2:3">
      <c r="B1256" s="452" t="s">
        <v>1221</v>
      </c>
      <c r="C1256" s="458">
        <v>95501</v>
      </c>
    </row>
    <row r="1257" spans="2:3">
      <c r="B1257" s="452" t="s">
        <v>1222</v>
      </c>
      <c r="C1257" s="458">
        <v>95504</v>
      </c>
    </row>
    <row r="1258" spans="2:3">
      <c r="B1258" s="452" t="s">
        <v>1224</v>
      </c>
      <c r="C1258" s="458">
        <v>95513</v>
      </c>
    </row>
    <row r="1259" spans="2:3">
      <c r="B1259" s="452" t="s">
        <v>3758</v>
      </c>
      <c r="C1259" s="458">
        <v>99219</v>
      </c>
    </row>
    <row r="1260" spans="2:3">
      <c r="B1260" s="452" t="s">
        <v>1485</v>
      </c>
      <c r="C1260" s="458">
        <v>98404</v>
      </c>
    </row>
    <row r="1261" spans="2:3">
      <c r="B1261" s="452" t="s">
        <v>1054</v>
      </c>
      <c r="C1261" s="458">
        <v>93527</v>
      </c>
    </row>
    <row r="1262" spans="2:3">
      <c r="B1262" s="452" t="s">
        <v>1306</v>
      </c>
      <c r="C1262" s="458">
        <v>96508</v>
      </c>
    </row>
    <row r="1263" spans="2:3">
      <c r="B1263" s="452" t="s">
        <v>1409</v>
      </c>
      <c r="C1263" s="458">
        <v>97802</v>
      </c>
    </row>
    <row r="1264" spans="2:3">
      <c r="B1264" s="452" t="s">
        <v>1413</v>
      </c>
      <c r="C1264" s="458">
        <v>97817</v>
      </c>
    </row>
    <row r="1265" spans="2:3">
      <c r="B1265" s="452" t="s">
        <v>1414</v>
      </c>
      <c r="C1265" s="458">
        <v>97818</v>
      </c>
    </row>
    <row r="1266" spans="2:3">
      <c r="B1266" s="452" t="s">
        <v>1226</v>
      </c>
      <c r="C1266" s="458">
        <v>95601</v>
      </c>
    </row>
    <row r="1267" spans="2:3">
      <c r="B1267" s="452" t="s">
        <v>1434</v>
      </c>
      <c r="C1267" s="458">
        <v>97947</v>
      </c>
    </row>
    <row r="1268" spans="2:3">
      <c r="B1268" s="452" t="s">
        <v>1230</v>
      </c>
      <c r="C1268" s="458">
        <v>95701</v>
      </c>
    </row>
    <row r="1269" spans="2:3">
      <c r="B1269" s="452" t="s">
        <v>1435</v>
      </c>
      <c r="C1269" s="458">
        <v>97948</v>
      </c>
    </row>
    <row r="1270" spans="2:3">
      <c r="B1270" s="452" t="s">
        <v>1141</v>
      </c>
      <c r="C1270" s="458">
        <v>94427</v>
      </c>
    </row>
    <row r="1271" spans="2:3">
      <c r="B1271" s="452" t="s">
        <v>1142</v>
      </c>
      <c r="C1271" s="458">
        <v>94428</v>
      </c>
    </row>
    <row r="1272" spans="2:3">
      <c r="B1272" s="452" t="s">
        <v>1247</v>
      </c>
      <c r="C1272" s="458">
        <v>95917</v>
      </c>
    </row>
    <row r="1273" spans="2:3">
      <c r="B1273" s="452" t="s">
        <v>1235</v>
      </c>
      <c r="C1273" s="458">
        <v>95802</v>
      </c>
    </row>
    <row r="1274" spans="2:3">
      <c r="B1274" s="452" t="s">
        <v>1234</v>
      </c>
      <c r="C1274" s="458">
        <v>95801</v>
      </c>
    </row>
    <row r="1275" spans="2:3">
      <c r="B1275" s="452" t="s">
        <v>1236</v>
      </c>
      <c r="C1275" s="458">
        <v>95804</v>
      </c>
    </row>
    <row r="1276" spans="2:3">
      <c r="B1276" s="452" t="s">
        <v>730</v>
      </c>
      <c r="C1276" s="458">
        <v>90092</v>
      </c>
    </row>
    <row r="1277" spans="2:3">
      <c r="B1277" s="452" t="s">
        <v>1092</v>
      </c>
      <c r="C1277" s="458">
        <v>94002</v>
      </c>
    </row>
    <row r="1278" spans="2:3">
      <c r="B1278" s="452" t="s">
        <v>1421</v>
      </c>
      <c r="C1278" s="458">
        <v>97847</v>
      </c>
    </row>
    <row r="1279" spans="2:3">
      <c r="B1279" s="452" t="s">
        <v>1244</v>
      </c>
      <c r="C1279" s="458">
        <v>95901</v>
      </c>
    </row>
    <row r="1280" spans="2:3">
      <c r="B1280" s="452" t="s">
        <v>1249</v>
      </c>
      <c r="C1280" s="458">
        <v>96001</v>
      </c>
    </row>
    <row r="1281" spans="2:3">
      <c r="B1281" s="452" t="s">
        <v>1251</v>
      </c>
      <c r="C1281" s="458">
        <v>96004</v>
      </c>
    </row>
    <row r="1282" spans="2:3">
      <c r="B1282" s="452" t="s">
        <v>1253</v>
      </c>
      <c r="C1282" s="458">
        <v>96008</v>
      </c>
    </row>
    <row r="1283" spans="2:3">
      <c r="B1283" s="452" t="s">
        <v>829</v>
      </c>
      <c r="C1283" s="458">
        <v>91108</v>
      </c>
    </row>
    <row r="1284" spans="2:3">
      <c r="B1284" s="452" t="s">
        <v>1177</v>
      </c>
      <c r="C1284" s="458">
        <v>94941</v>
      </c>
    </row>
    <row r="1285" spans="2:3">
      <c r="B1285" s="452" t="s">
        <v>967</v>
      </c>
      <c r="C1285" s="458">
        <v>92607</v>
      </c>
    </row>
    <row r="1286" spans="2:3">
      <c r="B1286" s="452" t="s">
        <v>774</v>
      </c>
      <c r="C1286" s="458">
        <v>90709</v>
      </c>
    </row>
    <row r="1287" spans="2:3">
      <c r="B1287" s="452" t="s">
        <v>1265</v>
      </c>
      <c r="C1287" s="458">
        <v>96101</v>
      </c>
    </row>
    <row r="1288" spans="2:3">
      <c r="B1288" s="452" t="s">
        <v>1266</v>
      </c>
      <c r="C1288" s="458">
        <v>96102</v>
      </c>
    </row>
    <row r="1289" spans="2:3">
      <c r="B1289" s="452" t="s">
        <v>3609</v>
      </c>
      <c r="C1289" s="458">
        <v>93028</v>
      </c>
    </row>
    <row r="1290" spans="2:3">
      <c r="B1290" s="452" t="s">
        <v>1522</v>
      </c>
      <c r="C1290" s="458">
        <v>99017</v>
      </c>
    </row>
    <row r="1291" spans="2:3">
      <c r="B1291" s="452" t="s">
        <v>3771</v>
      </c>
      <c r="C1291" s="472">
        <v>94417</v>
      </c>
    </row>
    <row r="1292" spans="2:3">
      <c r="B1292" s="452" t="s">
        <v>1269</v>
      </c>
      <c r="C1292" s="458">
        <v>96201</v>
      </c>
    </row>
    <row r="1293" spans="2:3">
      <c r="B1293" s="452" t="s">
        <v>1270</v>
      </c>
      <c r="C1293" s="458">
        <v>96204</v>
      </c>
    </row>
    <row r="1294" spans="2:3">
      <c r="B1294" s="452" t="s">
        <v>1276</v>
      </c>
      <c r="C1294" s="458">
        <v>96301</v>
      </c>
    </row>
    <row r="1295" spans="2:3">
      <c r="B1295" s="452" t="s">
        <v>1278</v>
      </c>
      <c r="C1295" s="458">
        <v>96304</v>
      </c>
    </row>
    <row r="1296" spans="2:3">
      <c r="B1296" s="452" t="s">
        <v>1280</v>
      </c>
      <c r="C1296" s="458">
        <v>96310</v>
      </c>
    </row>
    <row r="1297" spans="2:3">
      <c r="B1297" s="452" t="s">
        <v>1279</v>
      </c>
      <c r="C1297" s="458">
        <v>96305</v>
      </c>
    </row>
    <row r="1298" spans="2:3">
      <c r="B1298" s="452" t="s">
        <v>1175</v>
      </c>
      <c r="C1298" s="458">
        <v>94927</v>
      </c>
    </row>
    <row r="1299" spans="2:3">
      <c r="B1299" s="452" t="s">
        <v>1174</v>
      </c>
      <c r="C1299" s="458">
        <v>94923</v>
      </c>
    </row>
    <row r="1300" spans="2:3">
      <c r="B1300" s="452" t="s">
        <v>851</v>
      </c>
      <c r="C1300" s="458">
        <v>91217</v>
      </c>
    </row>
    <row r="1301" spans="2:3">
      <c r="B1301" s="452" t="s">
        <v>854</v>
      </c>
      <c r="C1301" s="458">
        <v>91233</v>
      </c>
    </row>
    <row r="1302" spans="2:3">
      <c r="B1302" s="452" t="s">
        <v>1507</v>
      </c>
      <c r="C1302" s="458">
        <v>98637</v>
      </c>
    </row>
    <row r="1303" spans="2:3">
      <c r="B1303" s="452" t="s">
        <v>1587</v>
      </c>
      <c r="C1303" s="458">
        <v>99623</v>
      </c>
    </row>
    <row r="1304" spans="2:3">
      <c r="B1304" s="452" t="s">
        <v>865</v>
      </c>
      <c r="C1304" s="458">
        <v>91327</v>
      </c>
    </row>
    <row r="1305" spans="2:3">
      <c r="B1305" s="452" t="s">
        <v>921</v>
      </c>
      <c r="C1305" s="458">
        <v>92017</v>
      </c>
    </row>
    <row r="1306" spans="2:3">
      <c r="B1306" s="452" t="s">
        <v>1612</v>
      </c>
      <c r="C1306" s="458">
        <v>99991</v>
      </c>
    </row>
    <row r="1307" spans="2:3">
      <c r="B1307" s="452" t="s">
        <v>1613</v>
      </c>
      <c r="C1307" s="502">
        <v>99999</v>
      </c>
    </row>
    <row r="1308" spans="2:3">
      <c r="B1308" s="452" t="s">
        <v>919</v>
      </c>
      <c r="C1308" s="458">
        <v>92005</v>
      </c>
    </row>
    <row r="1309" spans="2:3">
      <c r="B1309" s="452" t="s">
        <v>1292</v>
      </c>
      <c r="C1309" s="458">
        <v>96401</v>
      </c>
    </row>
    <row r="1310" spans="2:3">
      <c r="B1310" s="452" t="s">
        <v>1293</v>
      </c>
      <c r="C1310" s="458">
        <v>96404</v>
      </c>
    </row>
    <row r="1311" spans="2:3">
      <c r="B1311" s="452" t="s">
        <v>1214</v>
      </c>
      <c r="C1311" s="458">
        <v>95405</v>
      </c>
    </row>
    <row r="1312" spans="2:3">
      <c r="B1312" s="452" t="s">
        <v>1094</v>
      </c>
      <c r="C1312" s="458">
        <v>94005</v>
      </c>
    </row>
    <row r="1313" spans="2:3">
      <c r="B1313" s="452" t="s">
        <v>1205</v>
      </c>
      <c r="C1313" s="458">
        <v>95205</v>
      </c>
    </row>
    <row r="1314" spans="2:3">
      <c r="B1314" s="452" t="s">
        <v>954</v>
      </c>
      <c r="C1314" s="458">
        <v>92507</v>
      </c>
    </row>
    <row r="1315" spans="2:3">
      <c r="B1315" s="452" t="s">
        <v>1302</v>
      </c>
      <c r="C1315" s="458">
        <v>96502</v>
      </c>
    </row>
    <row r="1316" spans="2:3">
      <c r="B1316" s="452" t="s">
        <v>1301</v>
      </c>
      <c r="C1316" s="458">
        <v>96501</v>
      </c>
    </row>
    <row r="1317" spans="2:3">
      <c r="B1317" s="452" t="s">
        <v>1304</v>
      </c>
      <c r="C1317" s="458">
        <v>96504</v>
      </c>
    </row>
    <row r="1318" spans="2:3">
      <c r="B1318" s="452" t="s">
        <v>1312</v>
      </c>
      <c r="C1318" s="458">
        <v>96601</v>
      </c>
    </row>
    <row r="1319" spans="2:3">
      <c r="B1319" s="452" t="s">
        <v>1313</v>
      </c>
      <c r="C1319" s="458">
        <v>96604</v>
      </c>
    </row>
    <row r="1320" spans="2:3">
      <c r="B1320" s="452" t="s">
        <v>749</v>
      </c>
      <c r="C1320" s="458">
        <v>90305</v>
      </c>
    </row>
    <row r="1321" spans="2:3">
      <c r="B1321" s="452" t="s">
        <v>1490</v>
      </c>
      <c r="C1321" s="458">
        <v>98427</v>
      </c>
    </row>
    <row r="1322" spans="2:3">
      <c r="B1322" s="452" t="s">
        <v>812</v>
      </c>
      <c r="C1322" s="458">
        <v>91027</v>
      </c>
    </row>
    <row r="1323" spans="2:3">
      <c r="B1323" s="452" t="s">
        <v>820</v>
      </c>
      <c r="C1323" s="458">
        <v>91067</v>
      </c>
    </row>
    <row r="1324" spans="2:3">
      <c r="B1324" s="452" t="s">
        <v>1168</v>
      </c>
      <c r="C1324" s="458">
        <v>94812</v>
      </c>
    </row>
    <row r="1325" spans="2:3">
      <c r="B1325" s="452" t="s">
        <v>1323</v>
      </c>
      <c r="C1325" s="458">
        <v>96701</v>
      </c>
    </row>
    <row r="1326" spans="2:3">
      <c r="B1326" s="452" t="s">
        <v>1324</v>
      </c>
      <c r="C1326" s="458">
        <v>96704</v>
      </c>
    </row>
    <row r="1327" spans="2:3">
      <c r="B1327" s="452" t="s">
        <v>1325</v>
      </c>
      <c r="C1327" s="458">
        <v>96708</v>
      </c>
    </row>
    <row r="1328" spans="2:3">
      <c r="B1328" s="452" t="s">
        <v>1332</v>
      </c>
      <c r="C1328" s="458">
        <v>96801</v>
      </c>
    </row>
    <row r="1329" spans="2:3">
      <c r="B1329" s="452" t="s">
        <v>1333</v>
      </c>
      <c r="C1329" s="458">
        <v>96804</v>
      </c>
    </row>
    <row r="1330" spans="2:3">
      <c r="B1330" s="452" t="s">
        <v>1334</v>
      </c>
      <c r="C1330" s="458">
        <v>96808</v>
      </c>
    </row>
    <row r="1331" spans="2:3">
      <c r="B1331" s="452" t="s">
        <v>1087</v>
      </c>
      <c r="C1331" s="458">
        <v>93913</v>
      </c>
    </row>
    <row r="1332" spans="2:3">
      <c r="B1332" s="452" t="s">
        <v>1338</v>
      </c>
      <c r="C1332" s="458">
        <v>96901</v>
      </c>
    </row>
    <row r="1333" spans="2:3">
      <c r="B1333" s="452" t="s">
        <v>1060</v>
      </c>
      <c r="C1333" s="458">
        <v>93609</v>
      </c>
    </row>
    <row r="1334" spans="2:3">
      <c r="B1334" s="452" t="s">
        <v>1344</v>
      </c>
      <c r="C1334" s="458">
        <v>97004</v>
      </c>
    </row>
    <row r="1335" spans="2:3">
      <c r="B1335" s="452" t="s">
        <v>1342</v>
      </c>
      <c r="C1335" s="458">
        <v>97001</v>
      </c>
    </row>
    <row r="1336" spans="2:3">
      <c r="B1336" s="452" t="s">
        <v>1343</v>
      </c>
      <c r="C1336" s="458">
        <v>97002</v>
      </c>
    </row>
    <row r="1337" spans="2:3">
      <c r="B1337" s="452" t="s">
        <v>1351</v>
      </c>
      <c r="C1337" s="458">
        <v>97015</v>
      </c>
    </row>
    <row r="1338" spans="2:3">
      <c r="B1338" s="452" t="s">
        <v>1423</v>
      </c>
      <c r="C1338" s="458">
        <v>97853</v>
      </c>
    </row>
    <row r="1339" spans="2:3">
      <c r="B1339" s="452" t="s">
        <v>1353</v>
      </c>
      <c r="C1339" s="458">
        <v>97101</v>
      </c>
    </row>
    <row r="1340" spans="2:3">
      <c r="B1340" s="452" t="s">
        <v>1354</v>
      </c>
      <c r="C1340" s="458">
        <v>97104</v>
      </c>
    </row>
    <row r="1341" spans="2:3">
      <c r="B1341" s="452" t="s">
        <v>1358</v>
      </c>
      <c r="C1341" s="458">
        <v>97201</v>
      </c>
    </row>
    <row r="1342" spans="2:3">
      <c r="B1342" s="452" t="s">
        <v>1364</v>
      </c>
      <c r="C1342" s="458">
        <v>97304</v>
      </c>
    </row>
    <row r="1343" spans="2:3">
      <c r="B1343" s="452" t="s">
        <v>1363</v>
      </c>
      <c r="C1343" s="458">
        <v>97301</v>
      </c>
    </row>
    <row r="1344" spans="2:3">
      <c r="B1344" s="452" t="s">
        <v>1565</v>
      </c>
      <c r="C1344" s="458">
        <v>99405</v>
      </c>
    </row>
    <row r="1345" spans="2:3">
      <c r="B1345" s="452" t="s">
        <v>724</v>
      </c>
      <c r="C1345" s="458">
        <v>72265</v>
      </c>
    </row>
    <row r="1346" spans="2:3">
      <c r="B1346" s="452" t="s">
        <v>1103</v>
      </c>
      <c r="C1346" s="458">
        <v>94112</v>
      </c>
    </row>
    <row r="1347" spans="2:3">
      <c r="B1347" s="452" t="s">
        <v>1038</v>
      </c>
      <c r="C1347" s="458">
        <v>93406</v>
      </c>
    </row>
    <row r="1348" spans="2:3">
      <c r="B1348" s="452" t="s">
        <v>1501</v>
      </c>
      <c r="C1348" s="458">
        <v>98607</v>
      </c>
    </row>
    <row r="1349" spans="2:3">
      <c r="B1349" s="452" t="s">
        <v>1100</v>
      </c>
      <c r="C1349" s="458">
        <v>94108</v>
      </c>
    </row>
    <row r="1350" spans="2:3">
      <c r="B1350" s="452" t="s">
        <v>1366</v>
      </c>
      <c r="C1350" s="458">
        <v>97401</v>
      </c>
    </row>
    <row r="1351" spans="2:3">
      <c r="B1351" s="452" t="s">
        <v>1368</v>
      </c>
      <c r="C1351" s="458">
        <v>97404</v>
      </c>
    </row>
    <row r="1352" spans="2:3">
      <c r="B1352" s="452" t="s">
        <v>1367</v>
      </c>
      <c r="C1352" s="458">
        <v>97402</v>
      </c>
    </row>
    <row r="1353" spans="2:3">
      <c r="B1353" s="452" t="s">
        <v>1245</v>
      </c>
      <c r="C1353" s="458">
        <v>95908</v>
      </c>
    </row>
    <row r="1354" spans="2:3">
      <c r="B1354" s="452" t="s">
        <v>1567</v>
      </c>
      <c r="C1354" s="458">
        <v>99413</v>
      </c>
    </row>
    <row r="1355" spans="2:3">
      <c r="B1355" s="452" t="s">
        <v>1384</v>
      </c>
      <c r="C1355" s="458">
        <v>97501</v>
      </c>
    </row>
    <row r="1356" spans="2:3">
      <c r="B1356" s="452" t="s">
        <v>1188</v>
      </c>
      <c r="C1356" s="458">
        <v>95105</v>
      </c>
    </row>
    <row r="1357" spans="2:3">
      <c r="B1357" s="452" t="s">
        <v>971</v>
      </c>
      <c r="C1357" s="458">
        <v>92614</v>
      </c>
    </row>
    <row r="1358" spans="2:3">
      <c r="B1358" s="452" t="s">
        <v>1548</v>
      </c>
      <c r="C1358" s="458">
        <v>99218</v>
      </c>
    </row>
    <row r="1359" spans="2:3">
      <c r="B1359" s="452" t="s">
        <v>1388</v>
      </c>
      <c r="C1359" s="458">
        <v>97601</v>
      </c>
    </row>
    <row r="1360" spans="2:3">
      <c r="B1360" s="452" t="s">
        <v>1426</v>
      </c>
      <c r="C1360" s="458">
        <v>97877</v>
      </c>
    </row>
    <row r="1361" spans="2:3">
      <c r="B1361" s="452" t="s">
        <v>1571</v>
      </c>
      <c r="C1361" s="458">
        <v>99502</v>
      </c>
    </row>
    <row r="1362" spans="2:3">
      <c r="B1362" s="452" t="s">
        <v>1430</v>
      </c>
      <c r="C1362" s="458">
        <v>97917</v>
      </c>
    </row>
    <row r="1363" spans="2:3">
      <c r="B1363" s="452" t="s">
        <v>1400</v>
      </c>
      <c r="C1363" s="458">
        <v>97701</v>
      </c>
    </row>
    <row r="1364" spans="2:3">
      <c r="B1364" s="452" t="s">
        <v>1118</v>
      </c>
      <c r="C1364" s="458">
        <v>94209</v>
      </c>
    </row>
    <row r="1365" spans="2:3">
      <c r="B1365" s="452" t="s">
        <v>1243</v>
      </c>
      <c r="C1365" s="458">
        <v>95853</v>
      </c>
    </row>
    <row r="1366" spans="2:3">
      <c r="B1366" s="452" t="s">
        <v>1408</v>
      </c>
      <c r="C1366" s="458">
        <v>97801</v>
      </c>
    </row>
    <row r="1367" spans="2:3">
      <c r="B1367" s="452" t="s">
        <v>1410</v>
      </c>
      <c r="C1367" s="458">
        <v>97803</v>
      </c>
    </row>
    <row r="1368" spans="2:3">
      <c r="B1368" s="452" t="s">
        <v>1411</v>
      </c>
      <c r="C1368" s="458">
        <v>97805</v>
      </c>
    </row>
    <row r="1369" spans="2:3">
      <c r="B1369" s="452" t="s">
        <v>1427</v>
      </c>
      <c r="C1369" s="458">
        <v>97901</v>
      </c>
    </row>
    <row r="1370" spans="2:3">
      <c r="B1370" s="452" t="s">
        <v>1403</v>
      </c>
      <c r="C1370" s="458">
        <v>97713</v>
      </c>
    </row>
    <row r="1371" spans="2:3">
      <c r="B1371" s="452" t="s">
        <v>1031</v>
      </c>
      <c r="C1371" s="458">
        <v>93323</v>
      </c>
    </row>
    <row r="1372" spans="2:3">
      <c r="B1372" s="452" t="s">
        <v>1033</v>
      </c>
      <c r="C1372" s="458">
        <v>93333</v>
      </c>
    </row>
    <row r="1373" spans="2:3">
      <c r="B1373" s="452" t="s">
        <v>1472</v>
      </c>
      <c r="C1373" s="458">
        <v>98237</v>
      </c>
    </row>
    <row r="1374" spans="2:3">
      <c r="B1374" s="452" t="s">
        <v>1440</v>
      </c>
      <c r="C1374" s="458">
        <v>98003</v>
      </c>
    </row>
    <row r="1375" spans="2:3">
      <c r="B1375" s="452" t="s">
        <v>1442</v>
      </c>
      <c r="C1375" s="458">
        <v>98008</v>
      </c>
    </row>
    <row r="1376" spans="2:3">
      <c r="B1376" s="452" t="s">
        <v>1439</v>
      </c>
      <c r="C1376" s="458">
        <v>98002</v>
      </c>
    </row>
    <row r="1377" spans="2:3">
      <c r="B1377" s="452" t="s">
        <v>1438</v>
      </c>
      <c r="C1377" s="458">
        <v>98001</v>
      </c>
    </row>
    <row r="1378" spans="2:3">
      <c r="B1378" s="452" t="s">
        <v>1441</v>
      </c>
      <c r="C1378" s="458">
        <v>98004</v>
      </c>
    </row>
    <row r="1379" spans="2:3">
      <c r="B1379" s="452" t="s">
        <v>3611</v>
      </c>
      <c r="C1379" s="458">
        <v>97302</v>
      </c>
    </row>
    <row r="1380" spans="2:3">
      <c r="B1380" s="452" t="s">
        <v>1454</v>
      </c>
      <c r="C1380" s="458">
        <v>98101</v>
      </c>
    </row>
    <row r="1381" spans="2:3">
      <c r="B1381" s="452" t="s">
        <v>1466</v>
      </c>
      <c r="C1381" s="458">
        <v>98201</v>
      </c>
    </row>
    <row r="1382" spans="2:3">
      <c r="B1382" s="452" t="s">
        <v>1401</v>
      </c>
      <c r="C1382" s="458">
        <v>97705</v>
      </c>
    </row>
    <row r="1383" spans="2:3">
      <c r="B1383" s="452" t="s">
        <v>1283</v>
      </c>
      <c r="C1383" s="458">
        <v>96318</v>
      </c>
    </row>
    <row r="1384" spans="2:3">
      <c r="B1384" s="452" t="s">
        <v>1210</v>
      </c>
      <c r="C1384" s="458">
        <v>95317</v>
      </c>
    </row>
    <row r="1385" spans="2:3">
      <c r="B1385" s="452" t="s">
        <v>1477</v>
      </c>
      <c r="C1385" s="458">
        <v>98301</v>
      </c>
    </row>
    <row r="1386" spans="2:3">
      <c r="B1386" s="452" t="s">
        <v>1478</v>
      </c>
      <c r="C1386" s="458">
        <v>98304</v>
      </c>
    </row>
    <row r="1387" spans="2:3">
      <c r="B1387" s="452" t="s">
        <v>1195</v>
      </c>
      <c r="C1387" s="458">
        <v>95123</v>
      </c>
    </row>
    <row r="1388" spans="2:3">
      <c r="B1388" s="452" t="s">
        <v>818</v>
      </c>
      <c r="C1388" s="458">
        <v>91057</v>
      </c>
    </row>
    <row r="1389" spans="2:3">
      <c r="B1389" s="452" t="s">
        <v>932</v>
      </c>
      <c r="C1389" s="458">
        <v>92317</v>
      </c>
    </row>
    <row r="1390" spans="2:3">
      <c r="B1390" s="452" t="s">
        <v>1369</v>
      </c>
      <c r="C1390" s="458">
        <v>97405</v>
      </c>
    </row>
    <row r="1391" spans="2:3">
      <c r="B1391" s="452" t="s">
        <v>916</v>
      </c>
      <c r="C1391" s="458">
        <v>91917</v>
      </c>
    </row>
    <row r="1392" spans="2:3">
      <c r="B1392" s="452" t="s">
        <v>836</v>
      </c>
      <c r="C1392" s="458">
        <v>91138</v>
      </c>
    </row>
    <row r="1393" spans="2:3">
      <c r="B1393" s="452" t="s">
        <v>1192</v>
      </c>
      <c r="C1393" s="458">
        <v>95113</v>
      </c>
    </row>
    <row r="1394" spans="2:3">
      <c r="B1394" s="452" t="s">
        <v>791</v>
      </c>
      <c r="C1394" s="458">
        <v>90918</v>
      </c>
    </row>
    <row r="1395" spans="2:3">
      <c r="B1395" s="452" t="s">
        <v>1085</v>
      </c>
      <c r="C1395" s="458">
        <v>93910</v>
      </c>
    </row>
    <row r="1396" spans="2:3">
      <c r="B1396" s="452" t="s">
        <v>806</v>
      </c>
      <c r="C1396" s="458">
        <v>91013</v>
      </c>
    </row>
    <row r="1397" spans="2:3">
      <c r="B1397" s="452" t="s">
        <v>1582</v>
      </c>
      <c r="C1397" s="458">
        <v>99609</v>
      </c>
    </row>
    <row r="1398" spans="2:3">
      <c r="B1398" s="452" t="s">
        <v>2009</v>
      </c>
      <c r="C1398" s="458">
        <v>91017</v>
      </c>
    </row>
    <row r="1399" spans="2:3">
      <c r="B1399" s="452" t="s">
        <v>1181</v>
      </c>
      <c r="C1399" s="458">
        <v>95008</v>
      </c>
    </row>
    <row r="1400" spans="2:3">
      <c r="B1400" s="452" t="s">
        <v>1418</v>
      </c>
      <c r="C1400" s="458">
        <v>97837</v>
      </c>
    </row>
    <row r="1401" spans="2:3">
      <c r="B1401" s="452" t="s">
        <v>1484</v>
      </c>
      <c r="C1401" s="458">
        <v>98401</v>
      </c>
    </row>
    <row r="1402" spans="2:3">
      <c r="B1402" s="452" t="s">
        <v>1172</v>
      </c>
      <c r="C1402" s="458">
        <v>94917</v>
      </c>
    </row>
    <row r="1403" spans="2:3">
      <c r="B1403" s="452" t="s">
        <v>1495</v>
      </c>
      <c r="C1403" s="458">
        <v>98501</v>
      </c>
    </row>
    <row r="1404" spans="2:3">
      <c r="B1404" s="452" t="s">
        <v>1114</v>
      </c>
      <c r="C1404" s="458">
        <v>94172</v>
      </c>
    </row>
    <row r="1405" spans="2:3">
      <c r="B1405" s="452" t="s">
        <v>1499</v>
      </c>
      <c r="C1405" s="458">
        <v>98601</v>
      </c>
    </row>
    <row r="1406" spans="2:3">
      <c r="B1406" s="452" t="s">
        <v>1509</v>
      </c>
      <c r="C1406" s="458">
        <v>98701</v>
      </c>
    </row>
    <row r="1407" spans="2:3">
      <c r="B1407" s="452" t="s">
        <v>1029</v>
      </c>
      <c r="C1407" s="458">
        <v>93317</v>
      </c>
    </row>
    <row r="1408" spans="2:3">
      <c r="B1408" s="452" t="s">
        <v>723</v>
      </c>
      <c r="C1408" s="458">
        <v>70505</v>
      </c>
    </row>
    <row r="1409" spans="2:3">
      <c r="B1409" s="452" t="s">
        <v>927</v>
      </c>
      <c r="C1409" s="458">
        <v>92113</v>
      </c>
    </row>
    <row r="1410" spans="2:3">
      <c r="B1410" s="452" t="s">
        <v>1429</v>
      </c>
      <c r="C1410" s="458">
        <v>97913</v>
      </c>
    </row>
    <row r="1411" spans="2:3">
      <c r="B1411" s="452" t="s">
        <v>906</v>
      </c>
      <c r="C1411" s="458">
        <v>91841</v>
      </c>
    </row>
    <row r="1412" spans="2:3">
      <c r="B1412" s="452" t="s">
        <v>1151</v>
      </c>
      <c r="C1412" s="458">
        <v>94531</v>
      </c>
    </row>
    <row r="1413" spans="2:3">
      <c r="B1413" s="452" t="s">
        <v>993</v>
      </c>
      <c r="C1413" s="458">
        <v>92914</v>
      </c>
    </row>
    <row r="1414" spans="2:3">
      <c r="B1414" s="452" t="s">
        <v>992</v>
      </c>
      <c r="C1414" s="458">
        <v>92913</v>
      </c>
    </row>
    <row r="1415" spans="2:3">
      <c r="B1415" s="452" t="s">
        <v>732</v>
      </c>
      <c r="C1415" s="458">
        <v>90098</v>
      </c>
    </row>
    <row r="1416" spans="2:3">
      <c r="B1416" s="452" t="s">
        <v>1285</v>
      </c>
      <c r="C1416" s="458">
        <v>96331</v>
      </c>
    </row>
    <row r="1417" spans="2:3">
      <c r="B1417" s="452" t="s">
        <v>1159</v>
      </c>
      <c r="C1417" s="458">
        <v>94611</v>
      </c>
    </row>
    <row r="1418" spans="2:3">
      <c r="B1418" s="452" t="s">
        <v>922</v>
      </c>
      <c r="C1418" s="458">
        <v>92021</v>
      </c>
    </row>
    <row r="1419" spans="2:3">
      <c r="B1419" s="452" t="s">
        <v>1133</v>
      </c>
      <c r="C1419" s="458">
        <v>94351</v>
      </c>
    </row>
    <row r="1420" spans="2:3">
      <c r="B1420" s="452" t="s">
        <v>1132</v>
      </c>
      <c r="C1420" s="458">
        <v>94347</v>
      </c>
    </row>
    <row r="1421" spans="2:3">
      <c r="B1421" s="452" t="s">
        <v>758</v>
      </c>
      <c r="C1421" s="458">
        <v>90451</v>
      </c>
    </row>
    <row r="1422" spans="2:3">
      <c r="B1422" s="452" t="s">
        <v>1556</v>
      </c>
      <c r="C1422" s="458">
        <v>99271</v>
      </c>
    </row>
    <row r="1423" spans="2:3">
      <c r="B1423" s="452" t="s">
        <v>1189</v>
      </c>
      <c r="C1423" s="458">
        <v>95106</v>
      </c>
    </row>
    <row r="1424" spans="2:3">
      <c r="B1424" s="452" t="s">
        <v>891</v>
      </c>
      <c r="C1424" s="458">
        <v>91681</v>
      </c>
    </row>
    <row r="1425" spans="2:3">
      <c r="B1425" s="452" t="s">
        <v>784</v>
      </c>
      <c r="C1425" s="458">
        <v>90811</v>
      </c>
    </row>
    <row r="1426" spans="2:3">
      <c r="B1426" s="452" t="s">
        <v>776</v>
      </c>
      <c r="C1426" s="458">
        <v>90721</v>
      </c>
    </row>
    <row r="1427" spans="2:3">
      <c r="B1427" s="452" t="s">
        <v>1476</v>
      </c>
      <c r="C1427" s="458">
        <v>98271</v>
      </c>
    </row>
    <row r="1428" spans="2:3">
      <c r="B1428" s="452" t="s">
        <v>1379</v>
      </c>
      <c r="C1428" s="458">
        <v>97461</v>
      </c>
    </row>
    <row r="1429" spans="2:3">
      <c r="B1429" s="452" t="s">
        <v>1493</v>
      </c>
      <c r="C1429" s="458">
        <v>98451</v>
      </c>
    </row>
    <row r="1430" spans="2:3">
      <c r="B1430" s="452" t="s">
        <v>1299</v>
      </c>
      <c r="C1430" s="458">
        <v>96451</v>
      </c>
    </row>
    <row r="1431" spans="2:3">
      <c r="B1431" s="452" t="s">
        <v>1268</v>
      </c>
      <c r="C1431" s="458">
        <v>96121</v>
      </c>
    </row>
    <row r="1432" spans="2:3">
      <c r="B1432" s="452" t="s">
        <v>765</v>
      </c>
      <c r="C1432" s="458">
        <v>90611</v>
      </c>
    </row>
    <row r="1433" spans="2:3">
      <c r="B1433" s="452" t="s">
        <v>1339</v>
      </c>
      <c r="C1433" s="458">
        <v>96911</v>
      </c>
    </row>
    <row r="1434" spans="2:3">
      <c r="B1434" s="452" t="s">
        <v>885</v>
      </c>
      <c r="C1434" s="458">
        <v>91631</v>
      </c>
    </row>
    <row r="1435" spans="2:3">
      <c r="B1435" s="452" t="s">
        <v>768</v>
      </c>
      <c r="C1435" s="458">
        <v>90631</v>
      </c>
    </row>
    <row r="1436" spans="2:3">
      <c r="B1436" s="452" t="s">
        <v>777</v>
      </c>
      <c r="C1436" s="458">
        <v>90731</v>
      </c>
    </row>
    <row r="1437" spans="2:3">
      <c r="B1437" s="452" t="s">
        <v>809</v>
      </c>
      <c r="C1437" s="458">
        <v>91020</v>
      </c>
    </row>
    <row r="1438" spans="2:3">
      <c r="B1438" s="452" t="s">
        <v>1197</v>
      </c>
      <c r="C1438" s="458">
        <v>95141</v>
      </c>
    </row>
    <row r="1439" spans="2:3">
      <c r="B1439" s="452" t="s">
        <v>1000</v>
      </c>
      <c r="C1439" s="458">
        <v>93021</v>
      </c>
    </row>
    <row r="1440" spans="2:3">
      <c r="B1440" s="452" t="s">
        <v>1377</v>
      </c>
      <c r="C1440" s="458">
        <v>97441</v>
      </c>
    </row>
    <row r="1441" spans="2:3">
      <c r="B1441" s="452" t="s">
        <v>1005</v>
      </c>
      <c r="C1441" s="458">
        <v>93111</v>
      </c>
    </row>
    <row r="1442" spans="2:3">
      <c r="B1442" s="452" t="s">
        <v>831</v>
      </c>
      <c r="C1442" s="458">
        <v>91111</v>
      </c>
    </row>
    <row r="1443" spans="2:3">
      <c r="B1443" s="452" t="s">
        <v>1273</v>
      </c>
      <c r="C1443" s="458">
        <v>96231</v>
      </c>
    </row>
    <row r="1444" spans="2:3">
      <c r="B1444" s="452" t="s">
        <v>1604</v>
      </c>
      <c r="C1444" s="458">
        <v>99831</v>
      </c>
    </row>
    <row r="1445" spans="2:3">
      <c r="B1445" s="452" t="s">
        <v>839</v>
      </c>
      <c r="C1445" s="458">
        <v>91151</v>
      </c>
    </row>
    <row r="1446" spans="2:3">
      <c r="B1446" s="452" t="s">
        <v>794</v>
      </c>
      <c r="C1446" s="458">
        <v>90941</v>
      </c>
    </row>
    <row r="1447" spans="2:3">
      <c r="B1447" s="452" t="s">
        <v>1575</v>
      </c>
      <c r="C1447" s="458">
        <v>99521</v>
      </c>
    </row>
    <row r="1448" spans="2:3">
      <c r="B1448" s="452" t="s">
        <v>935</v>
      </c>
      <c r="C1448" s="458">
        <v>92331</v>
      </c>
    </row>
    <row r="1449" spans="2:3">
      <c r="B1449" s="452" t="s">
        <v>1574</v>
      </c>
      <c r="C1449" s="458">
        <v>99511</v>
      </c>
    </row>
    <row r="1450" spans="2:3">
      <c r="B1450" s="452" t="s">
        <v>1611</v>
      </c>
      <c r="C1450" s="458">
        <v>99941</v>
      </c>
    </row>
    <row r="1451" spans="2:3">
      <c r="B1451" s="452" t="s">
        <v>962</v>
      </c>
      <c r="C1451" s="458">
        <v>92561</v>
      </c>
    </row>
    <row r="1452" spans="2:3">
      <c r="B1452" s="452" t="s">
        <v>1211</v>
      </c>
      <c r="C1452" s="458">
        <v>95321</v>
      </c>
    </row>
    <row r="1453" spans="2:3">
      <c r="B1453" s="452" t="s">
        <v>908</v>
      </c>
      <c r="C1453" s="458">
        <v>91861</v>
      </c>
    </row>
    <row r="1454" spans="2:3">
      <c r="B1454" s="452" t="s">
        <v>942</v>
      </c>
      <c r="C1454" s="458">
        <v>92421</v>
      </c>
    </row>
    <row r="1455" spans="2:3">
      <c r="B1455" s="452" t="s">
        <v>1510</v>
      </c>
      <c r="C1455" s="458">
        <v>98711</v>
      </c>
    </row>
    <row r="1456" spans="2:3">
      <c r="B1456" s="452" t="s">
        <v>1055</v>
      </c>
      <c r="C1456" s="458">
        <v>93531</v>
      </c>
    </row>
    <row r="1457" spans="2:3">
      <c r="B1457" s="452" t="s">
        <v>1355</v>
      </c>
      <c r="C1457" s="458">
        <v>97111</v>
      </c>
    </row>
    <row r="1458" spans="2:3">
      <c r="B1458" s="452" t="s">
        <v>729</v>
      </c>
      <c r="C1458" s="458">
        <v>90011</v>
      </c>
    </row>
    <row r="1459" spans="2:3">
      <c r="B1459" s="452" t="s">
        <v>1090</v>
      </c>
      <c r="C1459" s="458">
        <v>93931</v>
      </c>
    </row>
    <row r="1460" spans="2:3">
      <c r="B1460" s="452" t="s">
        <v>877</v>
      </c>
      <c r="C1460" s="458">
        <v>91461</v>
      </c>
    </row>
    <row r="1461" spans="2:3">
      <c r="B1461" s="452" t="s">
        <v>803</v>
      </c>
      <c r="C1461" s="458">
        <v>91010</v>
      </c>
    </row>
    <row r="1462" spans="2:3">
      <c r="B1462" s="452" t="s">
        <v>1014</v>
      </c>
      <c r="C1462" s="458">
        <v>93171</v>
      </c>
    </row>
    <row r="1463" spans="2:3">
      <c r="B1463" s="452" t="s">
        <v>1282</v>
      </c>
      <c r="C1463" s="458">
        <v>96312</v>
      </c>
    </row>
    <row r="1464" spans="2:3">
      <c r="B1464" s="452" t="s">
        <v>1274</v>
      </c>
      <c r="C1464" s="458">
        <v>96241</v>
      </c>
    </row>
    <row r="1465" spans="2:3">
      <c r="B1465" s="452" t="s">
        <v>1143</v>
      </c>
      <c r="C1465" s="458">
        <v>94431</v>
      </c>
    </row>
    <row r="1466" spans="2:3">
      <c r="B1466" s="452" t="s">
        <v>890</v>
      </c>
      <c r="C1466" s="458">
        <v>91671</v>
      </c>
    </row>
    <row r="1467" spans="2:3">
      <c r="B1467" s="452" t="s">
        <v>1309</v>
      </c>
      <c r="C1467" s="458">
        <v>96521</v>
      </c>
    </row>
    <row r="1468" spans="2:3">
      <c r="B1468" s="452" t="s">
        <v>811</v>
      </c>
      <c r="C1468" s="458">
        <v>91024</v>
      </c>
    </row>
    <row r="1469" spans="2:3">
      <c r="B1469" s="452" t="s">
        <v>1336</v>
      </c>
      <c r="C1469" s="458">
        <v>96821</v>
      </c>
    </row>
    <row r="1470" spans="2:3">
      <c r="B1470" s="452" t="s">
        <v>1291</v>
      </c>
      <c r="C1470" s="458">
        <v>96391</v>
      </c>
    </row>
    <row r="1471" spans="2:3">
      <c r="B1471" s="452" t="s">
        <v>1549</v>
      </c>
      <c r="C1471" s="458">
        <v>99221</v>
      </c>
    </row>
    <row r="1472" spans="2:3">
      <c r="B1472" s="452" t="s">
        <v>817</v>
      </c>
      <c r="C1472" s="458">
        <v>91051</v>
      </c>
    </row>
    <row r="1473" spans="2:3">
      <c r="B1473" s="452" t="s">
        <v>910</v>
      </c>
      <c r="C1473" s="458">
        <v>91881</v>
      </c>
    </row>
    <row r="1474" spans="2:3">
      <c r="B1474" s="452" t="s">
        <v>892</v>
      </c>
      <c r="C1474" s="458">
        <v>91691</v>
      </c>
    </row>
    <row r="1475" spans="2:3">
      <c r="B1475" s="452" t="s">
        <v>945</v>
      </c>
      <c r="C1475" s="458">
        <v>92441</v>
      </c>
    </row>
    <row r="1476" spans="2:3">
      <c r="B1476" s="452" t="s">
        <v>1335</v>
      </c>
      <c r="C1476" s="458">
        <v>96811</v>
      </c>
    </row>
    <row r="1477" spans="2:3">
      <c r="B1477" s="452" t="s">
        <v>1448</v>
      </c>
      <c r="C1477" s="458">
        <v>98041</v>
      </c>
    </row>
    <row r="1478" spans="2:3">
      <c r="B1478" s="452" t="s">
        <v>779</v>
      </c>
      <c r="C1478" s="458">
        <v>90751</v>
      </c>
    </row>
    <row r="1479" spans="2:3">
      <c r="B1479" s="452" t="s">
        <v>793</v>
      </c>
      <c r="C1479" s="458">
        <v>90931</v>
      </c>
    </row>
    <row r="1480" spans="2:3">
      <c r="B1480" s="452" t="s">
        <v>1196</v>
      </c>
      <c r="C1480" s="458">
        <v>95131</v>
      </c>
    </row>
    <row r="1481" spans="2:3">
      <c r="B1481" s="452" t="s">
        <v>1453</v>
      </c>
      <c r="C1481" s="458">
        <v>98091</v>
      </c>
    </row>
    <row r="1482" spans="2:3">
      <c r="B1482" s="452" t="s">
        <v>1131</v>
      </c>
      <c r="C1482" s="458">
        <v>94341</v>
      </c>
    </row>
    <row r="1483" spans="2:3">
      <c r="B1483" s="452" t="s">
        <v>1162</v>
      </c>
      <c r="C1483" s="458">
        <v>94641</v>
      </c>
    </row>
    <row r="1484" spans="2:3">
      <c r="B1484" s="452" t="s">
        <v>786</v>
      </c>
      <c r="C1484" s="458">
        <v>90813</v>
      </c>
    </row>
    <row r="1485" spans="2:3">
      <c r="B1485" s="452" t="s">
        <v>1517</v>
      </c>
      <c r="C1485" s="458">
        <v>98911</v>
      </c>
    </row>
    <row r="1486" spans="2:3">
      <c r="B1486" s="452" t="s">
        <v>1386</v>
      </c>
      <c r="C1486" s="458">
        <v>97521</v>
      </c>
    </row>
    <row r="1487" spans="2:3">
      <c r="B1487" s="452" t="s">
        <v>857</v>
      </c>
      <c r="C1487" s="458">
        <v>91261</v>
      </c>
    </row>
    <row r="1488" spans="2:3">
      <c r="B1488" s="452" t="s">
        <v>907</v>
      </c>
      <c r="C1488" s="458">
        <v>91851</v>
      </c>
    </row>
    <row r="1489" spans="2:3">
      <c r="B1489" s="452" t="s">
        <v>1318</v>
      </c>
      <c r="C1489" s="458">
        <v>96641</v>
      </c>
    </row>
    <row r="1490" spans="2:3">
      <c r="B1490" s="452" t="s">
        <v>1002</v>
      </c>
      <c r="C1490" s="458">
        <v>93031</v>
      </c>
    </row>
    <row r="1491" spans="2:3">
      <c r="B1491" s="452" t="s">
        <v>1261</v>
      </c>
      <c r="C1491" s="458">
        <v>96051</v>
      </c>
    </row>
    <row r="1492" spans="2:3">
      <c r="B1492" s="452" t="s">
        <v>963</v>
      </c>
      <c r="C1492" s="458">
        <v>92571</v>
      </c>
    </row>
    <row r="1493" spans="2:3">
      <c r="B1493" s="452" t="s">
        <v>1067</v>
      </c>
      <c r="C1493" s="458">
        <v>93631</v>
      </c>
    </row>
    <row r="1494" spans="2:3">
      <c r="B1494" s="452" t="s">
        <v>1569</v>
      </c>
      <c r="C1494" s="458">
        <v>99431</v>
      </c>
    </row>
    <row r="1495" spans="2:3">
      <c r="B1495" s="452" t="s">
        <v>1070</v>
      </c>
      <c r="C1495" s="458">
        <v>93651</v>
      </c>
    </row>
    <row r="1496" spans="2:3">
      <c r="B1496" s="452" t="s">
        <v>1264</v>
      </c>
      <c r="C1496" s="458">
        <v>96081</v>
      </c>
    </row>
    <row r="1497" spans="2:3">
      <c r="B1497" s="452" t="s">
        <v>995</v>
      </c>
      <c r="C1497" s="458">
        <v>92921</v>
      </c>
    </row>
    <row r="1498" spans="2:3">
      <c r="B1498" s="452" t="s">
        <v>1504</v>
      </c>
      <c r="C1498" s="458">
        <v>98621</v>
      </c>
    </row>
    <row r="1499" spans="2:3">
      <c r="B1499" s="452" t="s">
        <v>852</v>
      </c>
      <c r="C1499" s="458">
        <v>91221</v>
      </c>
    </row>
    <row r="1500" spans="2:3">
      <c r="B1500" s="452" t="s">
        <v>989</v>
      </c>
      <c r="C1500" s="458">
        <v>92861</v>
      </c>
    </row>
    <row r="1501" spans="2:3">
      <c r="B1501" s="452" t="s">
        <v>1610</v>
      </c>
      <c r="C1501" s="458">
        <v>99931</v>
      </c>
    </row>
    <row r="1502" spans="2:3">
      <c r="B1502" s="452" t="s">
        <v>1445</v>
      </c>
      <c r="C1502" s="458">
        <v>98021</v>
      </c>
    </row>
    <row r="1503" spans="2:3">
      <c r="B1503" s="452" t="s">
        <v>978</v>
      </c>
      <c r="C1503" s="458">
        <v>92681</v>
      </c>
    </row>
    <row r="1504" spans="2:3">
      <c r="B1504" s="452" t="s">
        <v>926</v>
      </c>
      <c r="C1504" s="458">
        <v>92111</v>
      </c>
    </row>
    <row r="1505" spans="2:3">
      <c r="B1505" s="452" t="s">
        <v>789</v>
      </c>
      <c r="C1505" s="458">
        <v>90911</v>
      </c>
    </row>
    <row r="1506" spans="2:3">
      <c r="B1506" s="452" t="s">
        <v>769</v>
      </c>
      <c r="C1506" s="458">
        <v>90641</v>
      </c>
    </row>
    <row r="1507" spans="2:3">
      <c r="B1507" s="452" t="s">
        <v>1508</v>
      </c>
      <c r="C1507" s="458">
        <v>98641</v>
      </c>
    </row>
    <row r="1508" spans="2:3">
      <c r="B1508" s="452" t="s">
        <v>1465</v>
      </c>
      <c r="C1508" s="458">
        <v>98161</v>
      </c>
    </row>
    <row r="1509" spans="2:3">
      <c r="B1509" s="452" t="s">
        <v>1407</v>
      </c>
      <c r="C1509" s="458">
        <v>97731</v>
      </c>
    </row>
    <row r="1510" spans="2:3">
      <c r="B1510" s="452" t="s">
        <v>1606</v>
      </c>
      <c r="C1510" s="458">
        <v>99851</v>
      </c>
    </row>
    <row r="1511" spans="2:3">
      <c r="B1511" s="452" t="s">
        <v>739</v>
      </c>
      <c r="C1511" s="458">
        <v>90131</v>
      </c>
    </row>
    <row r="1512" spans="2:3">
      <c r="B1512" s="452" t="s">
        <v>888</v>
      </c>
      <c r="C1512" s="458">
        <v>91651</v>
      </c>
    </row>
    <row r="1513" spans="2:3">
      <c r="B1513" s="452" t="s">
        <v>1119</v>
      </c>
      <c r="C1513" s="458">
        <v>94211</v>
      </c>
    </row>
    <row r="1514" spans="2:3">
      <c r="B1514" s="452" t="s">
        <v>1130</v>
      </c>
      <c r="C1514" s="458">
        <v>94331</v>
      </c>
    </row>
    <row r="1515" spans="2:3">
      <c r="B1515" s="452" t="s">
        <v>944</v>
      </c>
      <c r="C1515" s="458">
        <v>92431</v>
      </c>
    </row>
    <row r="1516" spans="2:3">
      <c r="B1516" s="452" t="s">
        <v>1415</v>
      </c>
      <c r="C1516" s="458">
        <v>97821</v>
      </c>
    </row>
    <row r="1517" spans="2:3">
      <c r="B1517" s="452" t="s">
        <v>1010</v>
      </c>
      <c r="C1517" s="458">
        <v>93141</v>
      </c>
    </row>
    <row r="1518" spans="2:3">
      <c r="B1518" s="452" t="s">
        <v>1452</v>
      </c>
      <c r="C1518" s="458">
        <v>98081</v>
      </c>
    </row>
    <row r="1519" spans="2:3">
      <c r="B1519" s="452" t="s">
        <v>977</v>
      </c>
      <c r="C1519" s="458">
        <v>92671</v>
      </c>
    </row>
    <row r="1520" spans="2:3">
      <c r="B1520" s="452" t="s">
        <v>1374</v>
      </c>
      <c r="C1520" s="458">
        <v>97421</v>
      </c>
    </row>
    <row r="1521" spans="2:3">
      <c r="B1521" s="452" t="s">
        <v>1153</v>
      </c>
      <c r="C1521" s="458">
        <v>94541</v>
      </c>
    </row>
    <row r="1522" spans="2:3">
      <c r="B1522" s="452" t="s">
        <v>1459</v>
      </c>
      <c r="C1522" s="458">
        <v>98111</v>
      </c>
    </row>
    <row r="1523" spans="2:3">
      <c r="B1523" s="452" t="s">
        <v>1198</v>
      </c>
      <c r="C1523" s="458">
        <v>95151</v>
      </c>
    </row>
    <row r="1524" spans="2:3">
      <c r="B1524" s="452" t="s">
        <v>1227</v>
      </c>
      <c r="C1524" s="458">
        <v>95611</v>
      </c>
    </row>
    <row r="1525" spans="2:3">
      <c r="B1525" s="452" t="s">
        <v>1051</v>
      </c>
      <c r="C1525" s="458">
        <v>93511</v>
      </c>
    </row>
    <row r="1526" spans="2:3">
      <c r="B1526" s="452" t="s">
        <v>1588</v>
      </c>
      <c r="C1526" s="458">
        <v>99631</v>
      </c>
    </row>
    <row r="1527" spans="2:3">
      <c r="B1527" s="452" t="s">
        <v>1555</v>
      </c>
      <c r="C1527" s="458">
        <v>99261</v>
      </c>
    </row>
    <row r="1528" spans="2:3">
      <c r="B1528" s="452" t="s">
        <v>1473</v>
      </c>
      <c r="C1528" s="458">
        <v>98241</v>
      </c>
    </row>
    <row r="1529" spans="2:3">
      <c r="B1529" s="452" t="s">
        <v>1553</v>
      </c>
      <c r="C1529" s="458">
        <v>99251</v>
      </c>
    </row>
    <row r="1530" spans="2:3">
      <c r="B1530" s="452" t="s">
        <v>1317</v>
      </c>
      <c r="C1530" s="458">
        <v>96631</v>
      </c>
    </row>
    <row r="1531" spans="2:3">
      <c r="B1531" s="452" t="s">
        <v>1319</v>
      </c>
      <c r="C1531" s="458">
        <v>96651</v>
      </c>
    </row>
    <row r="1532" spans="2:3">
      <c r="B1532" s="452" t="s">
        <v>1483</v>
      </c>
      <c r="C1532" s="458">
        <v>98331</v>
      </c>
    </row>
    <row r="1533" spans="2:3">
      <c r="B1533" s="452" t="s">
        <v>1109</v>
      </c>
      <c r="C1533" s="458">
        <v>94151</v>
      </c>
    </row>
    <row r="1534" spans="2:3">
      <c r="B1534" s="452" t="s">
        <v>855</v>
      </c>
      <c r="C1534" s="458">
        <v>91241</v>
      </c>
    </row>
    <row r="1535" spans="2:3">
      <c r="B1535" s="452" t="s">
        <v>869</v>
      </c>
      <c r="C1535" s="458">
        <v>91411</v>
      </c>
    </row>
    <row r="1536" spans="2:3">
      <c r="B1536" s="452" t="s">
        <v>1450</v>
      </c>
      <c r="C1536" s="458">
        <v>98061</v>
      </c>
    </row>
    <row r="1537" spans="2:3">
      <c r="B1537" s="452" t="s">
        <v>742</v>
      </c>
      <c r="C1537" s="458">
        <v>90161</v>
      </c>
    </row>
    <row r="1538" spans="2:3">
      <c r="B1538" s="452" t="s">
        <v>1376</v>
      </c>
      <c r="C1538" s="458">
        <v>97431</v>
      </c>
    </row>
    <row r="1539" spans="2:3">
      <c r="B1539" s="452" t="s">
        <v>1381</v>
      </c>
      <c r="C1539" s="458">
        <v>97471</v>
      </c>
    </row>
    <row r="1540" spans="2:3">
      <c r="B1540" s="452" t="s">
        <v>937</v>
      </c>
      <c r="C1540" s="458">
        <v>92351</v>
      </c>
    </row>
    <row r="1541" spans="2:3">
      <c r="B1541" s="452" t="s">
        <v>1240</v>
      </c>
      <c r="C1541" s="458">
        <v>95831</v>
      </c>
    </row>
    <row r="1542" spans="2:3">
      <c r="B1542" s="452" t="s">
        <v>874</v>
      </c>
      <c r="C1542" s="458">
        <v>91441</v>
      </c>
    </row>
    <row r="1543" spans="2:3">
      <c r="B1543" s="452" t="s">
        <v>740</v>
      </c>
      <c r="C1543" s="458">
        <v>90141</v>
      </c>
    </row>
    <row r="1544" spans="2:3">
      <c r="B1544" s="452" t="s">
        <v>1359</v>
      </c>
      <c r="C1544" s="458">
        <v>97211</v>
      </c>
    </row>
    <row r="1545" spans="2:3">
      <c r="B1545" s="452" t="s">
        <v>1361</v>
      </c>
      <c r="C1545" s="458">
        <v>97217</v>
      </c>
    </row>
    <row r="1546" spans="2:3">
      <c r="B1546" s="452" t="s">
        <v>1229</v>
      </c>
      <c r="C1546" s="458">
        <v>95621</v>
      </c>
    </row>
    <row r="1547" spans="2:3">
      <c r="B1547" s="452" t="s">
        <v>856</v>
      </c>
      <c r="C1547" s="458">
        <v>91251</v>
      </c>
    </row>
    <row r="1548" spans="2:3">
      <c r="B1548" s="452" t="s">
        <v>1337</v>
      </c>
      <c r="C1548" s="458">
        <v>96831</v>
      </c>
    </row>
    <row r="1549" spans="2:3">
      <c r="B1549" s="452" t="s">
        <v>1123</v>
      </c>
      <c r="C1549" s="458">
        <v>94251</v>
      </c>
    </row>
    <row r="1550" spans="2:3">
      <c r="B1550" s="452" t="s">
        <v>807</v>
      </c>
      <c r="C1550" s="458">
        <v>91014</v>
      </c>
    </row>
    <row r="1551" spans="2:3">
      <c r="B1551" s="452" t="s">
        <v>1328</v>
      </c>
      <c r="C1551" s="458">
        <v>96731</v>
      </c>
    </row>
    <row r="1552" spans="2:3">
      <c r="B1552" s="452" t="s">
        <v>1538</v>
      </c>
      <c r="C1552" s="458">
        <v>99202</v>
      </c>
    </row>
    <row r="1553" spans="2:3">
      <c r="B1553" s="452" t="s">
        <v>1095</v>
      </c>
      <c r="C1553" s="458">
        <v>94011</v>
      </c>
    </row>
    <row r="1554" spans="2:3">
      <c r="B1554" s="452" t="s">
        <v>973</v>
      </c>
      <c r="C1554" s="458">
        <v>92631</v>
      </c>
    </row>
    <row r="1555" spans="2:3">
      <c r="B1555" s="452" t="s">
        <v>873</v>
      </c>
      <c r="C1555" s="458">
        <v>91431</v>
      </c>
    </row>
    <row r="1556" spans="2:3">
      <c r="B1556" s="452" t="s">
        <v>1260</v>
      </c>
      <c r="C1556" s="458">
        <v>96041</v>
      </c>
    </row>
    <row r="1557" spans="2:3">
      <c r="B1557" s="452" t="s">
        <v>889</v>
      </c>
      <c r="C1557" s="458">
        <v>91661</v>
      </c>
    </row>
    <row r="1558" spans="2:3">
      <c r="B1558" s="452" t="s">
        <v>1527</v>
      </c>
      <c r="C1558" s="458">
        <v>99051</v>
      </c>
    </row>
    <row r="1559" spans="2:3">
      <c r="B1559" s="452" t="s">
        <v>1320</v>
      </c>
      <c r="C1559" s="458">
        <v>96661</v>
      </c>
    </row>
    <row r="1560" spans="2:3">
      <c r="B1560" s="452" t="s">
        <v>1108</v>
      </c>
      <c r="C1560" s="458">
        <v>94131</v>
      </c>
    </row>
    <row r="1561" spans="2:3">
      <c r="B1561" s="452" t="s">
        <v>1241</v>
      </c>
      <c r="C1561" s="458">
        <v>95841</v>
      </c>
    </row>
    <row r="1562" spans="2:3">
      <c r="B1562" s="452" t="s">
        <v>761</v>
      </c>
      <c r="C1562" s="458">
        <v>90511</v>
      </c>
    </row>
    <row r="1563" spans="2:3">
      <c r="B1563" s="452" t="s">
        <v>1609</v>
      </c>
      <c r="C1563" s="458">
        <v>99921</v>
      </c>
    </row>
    <row r="1564" spans="2:3">
      <c r="B1564" s="452" t="s">
        <v>1006</v>
      </c>
      <c r="C1564" s="458">
        <v>93121</v>
      </c>
    </row>
    <row r="1565" spans="2:3">
      <c r="B1565" s="452" t="s">
        <v>1200</v>
      </c>
      <c r="C1565" s="458">
        <v>95171</v>
      </c>
    </row>
    <row r="1566" spans="2:3">
      <c r="B1566" s="452" t="s">
        <v>1043</v>
      </c>
      <c r="C1566" s="458">
        <v>93421</v>
      </c>
    </row>
    <row r="1567" spans="2:3">
      <c r="B1567" s="452" t="s">
        <v>985</v>
      </c>
      <c r="C1567" s="458">
        <v>92821</v>
      </c>
    </row>
    <row r="1568" spans="2:3">
      <c r="B1568" s="452" t="s">
        <v>988</v>
      </c>
      <c r="C1568" s="458">
        <v>92851</v>
      </c>
    </row>
    <row r="1569" spans="2:3">
      <c r="B1569" s="452" t="s">
        <v>1558</v>
      </c>
      <c r="C1569" s="458">
        <v>99291</v>
      </c>
    </row>
    <row r="1570" spans="2:3">
      <c r="B1570" s="452" t="s">
        <v>1311</v>
      </c>
      <c r="C1570" s="458">
        <v>96541</v>
      </c>
    </row>
    <row r="1571" spans="2:3">
      <c r="B1571" s="452" t="s">
        <v>1220</v>
      </c>
      <c r="C1571" s="458">
        <v>95431</v>
      </c>
    </row>
    <row r="1572" spans="2:3">
      <c r="B1572" s="452" t="s">
        <v>1462</v>
      </c>
      <c r="C1572" s="458">
        <v>98131</v>
      </c>
    </row>
    <row r="1573" spans="2:3">
      <c r="B1573" s="452" t="s">
        <v>948</v>
      </c>
      <c r="C1573" s="458">
        <v>92461</v>
      </c>
    </row>
    <row r="1574" spans="2:3">
      <c r="B1574" s="452" t="s">
        <v>1449</v>
      </c>
      <c r="C1574" s="458">
        <v>98051</v>
      </c>
    </row>
    <row r="1575" spans="2:3">
      <c r="B1575" s="452" t="s">
        <v>1149</v>
      </c>
      <c r="C1575" s="458">
        <v>94521</v>
      </c>
    </row>
    <row r="1576" spans="2:3">
      <c r="B1576" s="452" t="s">
        <v>936</v>
      </c>
      <c r="C1576" s="458">
        <v>92341</v>
      </c>
    </row>
    <row r="1577" spans="2:3">
      <c r="B1577" s="452" t="s">
        <v>796</v>
      </c>
      <c r="C1577" s="458">
        <v>91002</v>
      </c>
    </row>
    <row r="1578" spans="2:3">
      <c r="B1578" s="452" t="s">
        <v>787</v>
      </c>
      <c r="C1578" s="458">
        <v>90861</v>
      </c>
    </row>
    <row r="1579" spans="2:3">
      <c r="B1579" s="452" t="s">
        <v>1047</v>
      </c>
      <c r="C1579" s="458">
        <v>93451</v>
      </c>
    </row>
    <row r="1580" spans="2:3">
      <c r="B1580" s="452" t="s">
        <v>1395</v>
      </c>
      <c r="C1580" s="458">
        <v>97631</v>
      </c>
    </row>
    <row r="1581" spans="2:3">
      <c r="B1581" s="452" t="s">
        <v>755</v>
      </c>
      <c r="C1581" s="458">
        <v>90421</v>
      </c>
    </row>
    <row r="1582" spans="2:3">
      <c r="B1582" s="452" t="s">
        <v>1129</v>
      </c>
      <c r="C1582" s="458">
        <v>94321</v>
      </c>
    </row>
    <row r="1583" spans="2:3">
      <c r="B1583" s="452" t="s">
        <v>1225</v>
      </c>
      <c r="C1583" s="458">
        <v>95517</v>
      </c>
    </row>
    <row r="1584" spans="2:3">
      <c r="B1584" s="452" t="s">
        <v>975</v>
      </c>
      <c r="C1584" s="458">
        <v>92651</v>
      </c>
    </row>
    <row r="1585" spans="2:3">
      <c r="B1585" s="452" t="s">
        <v>1124</v>
      </c>
      <c r="C1585" s="458">
        <v>94261</v>
      </c>
    </row>
    <row r="1586" spans="2:3">
      <c r="B1586" s="452" t="s">
        <v>1053</v>
      </c>
      <c r="C1586" s="458">
        <v>93521</v>
      </c>
    </row>
    <row r="1587" spans="2:3">
      <c r="B1587" s="452" t="s">
        <v>1605</v>
      </c>
      <c r="C1587" s="458">
        <v>99841</v>
      </c>
    </row>
    <row r="1588" spans="2:3">
      <c r="B1588" s="452" t="s">
        <v>1034</v>
      </c>
      <c r="C1588" s="458">
        <v>93341</v>
      </c>
    </row>
    <row r="1589" spans="2:3">
      <c r="B1589" s="452" t="s">
        <v>1433</v>
      </c>
      <c r="C1589" s="458">
        <v>97941</v>
      </c>
    </row>
    <row r="1590" spans="2:3">
      <c r="B1590" s="452" t="s">
        <v>1140</v>
      </c>
      <c r="C1590" s="458">
        <v>94421</v>
      </c>
    </row>
    <row r="1591" spans="2:3">
      <c r="B1591" s="452" t="s">
        <v>1016</v>
      </c>
      <c r="C1591" s="458">
        <v>93191</v>
      </c>
    </row>
    <row r="1592" spans="2:3">
      <c r="B1592" s="452" t="s">
        <v>905</v>
      </c>
      <c r="C1592" s="458">
        <v>91831</v>
      </c>
    </row>
    <row r="1593" spans="2:3">
      <c r="B1593" s="452" t="s">
        <v>986</v>
      </c>
      <c r="C1593" s="458">
        <v>92831</v>
      </c>
    </row>
    <row r="1594" spans="2:3">
      <c r="B1594" s="452" t="s">
        <v>1246</v>
      </c>
      <c r="C1594" s="458">
        <v>95911</v>
      </c>
    </row>
    <row r="1595" spans="2:3">
      <c r="B1595" s="452" t="s">
        <v>1231</v>
      </c>
      <c r="C1595" s="458">
        <v>95711</v>
      </c>
    </row>
    <row r="1596" spans="2:3">
      <c r="B1596" s="452" t="s">
        <v>1232</v>
      </c>
      <c r="C1596" s="458">
        <v>95721</v>
      </c>
    </row>
    <row r="1597" spans="2:3">
      <c r="B1597" s="452" t="s">
        <v>1523</v>
      </c>
      <c r="C1597" s="458">
        <v>99021</v>
      </c>
    </row>
    <row r="1598" spans="2:3">
      <c r="B1598" s="452" t="s">
        <v>1263</v>
      </c>
      <c r="C1598" s="458">
        <v>96071</v>
      </c>
    </row>
    <row r="1599" spans="2:3">
      <c r="B1599" s="452" t="s">
        <v>1419</v>
      </c>
      <c r="C1599" s="458">
        <v>97840</v>
      </c>
    </row>
    <row r="1600" spans="2:3">
      <c r="B1600" s="452" t="s">
        <v>1431</v>
      </c>
      <c r="C1600" s="458">
        <v>97921</v>
      </c>
    </row>
    <row r="1601" spans="2:3">
      <c r="B1601" s="452" t="s">
        <v>1207</v>
      </c>
      <c r="C1601" s="458">
        <v>95221</v>
      </c>
    </row>
    <row r="1602" spans="2:3">
      <c r="B1602" s="452" t="s">
        <v>1061</v>
      </c>
      <c r="C1602" s="458">
        <v>93610</v>
      </c>
    </row>
    <row r="1603" spans="2:3">
      <c r="B1603" s="452" t="s">
        <v>1194</v>
      </c>
      <c r="C1603" s="458">
        <v>95122</v>
      </c>
    </row>
    <row r="1604" spans="2:3">
      <c r="B1604" s="452" t="s">
        <v>1297</v>
      </c>
      <c r="C1604" s="458">
        <v>96431</v>
      </c>
    </row>
    <row r="1605" spans="2:3">
      <c r="B1605" s="452" t="s">
        <v>867</v>
      </c>
      <c r="C1605" s="458">
        <v>91341</v>
      </c>
    </row>
    <row r="1606" spans="2:3">
      <c r="B1606" s="452" t="s">
        <v>81</v>
      </c>
      <c r="C1606" s="458">
        <v>92941</v>
      </c>
    </row>
    <row r="1607" spans="2:3">
      <c r="B1607" s="452" t="s">
        <v>1155</v>
      </c>
      <c r="C1607" s="458">
        <v>94551</v>
      </c>
    </row>
    <row r="1608" spans="2:3">
      <c r="B1608" s="452" t="s">
        <v>211</v>
      </c>
      <c r="C1608" s="458">
        <v>99022</v>
      </c>
    </row>
    <row r="1609" spans="2:3">
      <c r="B1609" s="452" t="s">
        <v>1259</v>
      </c>
      <c r="C1609" s="458">
        <v>96031</v>
      </c>
    </row>
    <row r="1610" spans="2:3">
      <c r="B1610" s="452" t="s">
        <v>999</v>
      </c>
      <c r="C1610" s="458">
        <v>93011</v>
      </c>
    </row>
    <row r="1611" spans="2:3">
      <c r="B1611" s="452" t="s">
        <v>841</v>
      </c>
      <c r="C1611" s="458">
        <v>91161</v>
      </c>
    </row>
    <row r="1612" spans="2:3">
      <c r="B1612" s="452" t="s">
        <v>883</v>
      </c>
      <c r="C1612" s="458">
        <v>91611</v>
      </c>
    </row>
    <row r="1613" spans="2:3">
      <c r="B1613" s="452" t="s">
        <v>1541</v>
      </c>
      <c r="C1613" s="458">
        <v>99206</v>
      </c>
    </row>
    <row r="1614" spans="2:3">
      <c r="B1614" s="452" t="s">
        <v>759</v>
      </c>
      <c r="C1614" s="458">
        <v>90461</v>
      </c>
    </row>
    <row r="1615" spans="2:3">
      <c r="B1615" s="452" t="s">
        <v>1275</v>
      </c>
      <c r="C1615" s="458">
        <v>96251</v>
      </c>
    </row>
    <row r="1616" spans="2:3">
      <c r="B1616" s="452" t="s">
        <v>1586</v>
      </c>
      <c r="C1616" s="458">
        <v>99621</v>
      </c>
    </row>
    <row r="1617" spans="2:3">
      <c r="B1617" s="452" t="s">
        <v>864</v>
      </c>
      <c r="C1617" s="458">
        <v>91321</v>
      </c>
    </row>
    <row r="1618" spans="2:3">
      <c r="B1618" s="452" t="s">
        <v>1160</v>
      </c>
      <c r="C1618" s="458">
        <v>94621</v>
      </c>
    </row>
    <row r="1619" spans="2:3">
      <c r="B1619" s="452" t="s">
        <v>920</v>
      </c>
      <c r="C1619" s="458">
        <v>92011</v>
      </c>
    </row>
    <row r="1620" spans="2:3">
      <c r="B1620" s="452" t="s">
        <v>1331</v>
      </c>
      <c r="C1620" s="458">
        <v>96751</v>
      </c>
    </row>
    <row r="1621" spans="2:3">
      <c r="B1621" s="452" t="s">
        <v>1593</v>
      </c>
      <c r="C1621" s="458">
        <v>99711</v>
      </c>
    </row>
    <row r="1622" spans="2:3">
      <c r="B1622" s="452" t="s">
        <v>1594</v>
      </c>
      <c r="C1622" s="458">
        <v>99717</v>
      </c>
    </row>
    <row r="1623" spans="2:3">
      <c r="B1623" s="452" t="s">
        <v>984</v>
      </c>
      <c r="C1623" s="458">
        <v>92811</v>
      </c>
    </row>
    <row r="1624" spans="2:3">
      <c r="B1624" s="452" t="s">
        <v>1296</v>
      </c>
      <c r="C1624" s="458">
        <v>96421</v>
      </c>
    </row>
    <row r="1625" spans="2:3">
      <c r="B1625" s="452" t="s">
        <v>43</v>
      </c>
      <c r="C1625" s="458">
        <v>91026</v>
      </c>
    </row>
    <row r="1626" spans="2:3">
      <c r="B1626" s="452" t="s">
        <v>1638</v>
      </c>
      <c r="C1626" s="458">
        <v>98471</v>
      </c>
    </row>
    <row r="1627" spans="2:3">
      <c r="B1627" s="452" t="s">
        <v>767</v>
      </c>
      <c r="C1627" s="458">
        <v>90621</v>
      </c>
    </row>
    <row r="1628" spans="2:3">
      <c r="B1628" s="452" t="s">
        <v>884</v>
      </c>
      <c r="C1628" s="458">
        <v>91621</v>
      </c>
    </row>
    <row r="1629" spans="2:3">
      <c r="B1629" s="452" t="s">
        <v>1471</v>
      </c>
      <c r="C1629" s="458">
        <v>98231</v>
      </c>
    </row>
    <row r="1630" spans="2:3">
      <c r="B1630" s="452" t="s">
        <v>1561</v>
      </c>
      <c r="C1630" s="458">
        <v>99311</v>
      </c>
    </row>
    <row r="1631" spans="2:3">
      <c r="B1631" s="452" t="s">
        <v>1489</v>
      </c>
      <c r="C1631" s="458">
        <v>98421</v>
      </c>
    </row>
    <row r="1632" spans="2:3">
      <c r="B1632" s="452" t="s">
        <v>1239</v>
      </c>
      <c r="C1632" s="458">
        <v>95821</v>
      </c>
    </row>
    <row r="1633" spans="2:3">
      <c r="B1633" s="452" t="s">
        <v>810</v>
      </c>
      <c r="C1633" s="458">
        <v>91021</v>
      </c>
    </row>
    <row r="1634" spans="2:3">
      <c r="B1634" s="452" t="s">
        <v>1111</v>
      </c>
      <c r="C1634" s="458">
        <v>94161</v>
      </c>
    </row>
    <row r="1635" spans="2:3">
      <c r="B1635" s="452" t="s">
        <v>1492</v>
      </c>
      <c r="C1635" s="458">
        <v>98441</v>
      </c>
    </row>
    <row r="1636" spans="2:3">
      <c r="B1636" s="452" t="s">
        <v>819</v>
      </c>
      <c r="C1636" s="458">
        <v>91061</v>
      </c>
    </row>
    <row r="1637" spans="2:3">
      <c r="B1637" s="452" t="s">
        <v>1248</v>
      </c>
      <c r="C1637" s="458">
        <v>95921</v>
      </c>
    </row>
    <row r="1638" spans="2:3">
      <c r="B1638" s="452" t="s">
        <v>1340</v>
      </c>
      <c r="C1638" s="458">
        <v>96912</v>
      </c>
    </row>
    <row r="1639" spans="2:3">
      <c r="B1639" s="452" t="s">
        <v>1420</v>
      </c>
      <c r="C1639" s="458">
        <v>97841</v>
      </c>
    </row>
    <row r="1640" spans="2:3">
      <c r="B1640" s="452" t="s">
        <v>757</v>
      </c>
      <c r="C1640" s="458">
        <v>90441</v>
      </c>
    </row>
    <row r="1641" spans="2:3">
      <c r="B1641" s="452" t="s">
        <v>1422</v>
      </c>
      <c r="C1641" s="458">
        <v>97851</v>
      </c>
    </row>
    <row r="1642" spans="2:3">
      <c r="B1642" s="452" t="s">
        <v>1589</v>
      </c>
      <c r="C1642" s="458">
        <v>99651</v>
      </c>
    </row>
    <row r="1643" spans="2:3">
      <c r="B1643" s="452" t="s">
        <v>1503</v>
      </c>
      <c r="C1643" s="458">
        <v>98611</v>
      </c>
    </row>
    <row r="1644" spans="2:3">
      <c r="B1644" s="452" t="s">
        <v>887</v>
      </c>
      <c r="C1644" s="458">
        <v>91641</v>
      </c>
    </row>
    <row r="1645" spans="2:3">
      <c r="B1645" s="452" t="s">
        <v>1199</v>
      </c>
      <c r="C1645" s="458">
        <v>95161</v>
      </c>
    </row>
    <row r="1646" spans="2:3">
      <c r="B1646" s="452" t="s">
        <v>1288</v>
      </c>
      <c r="C1646" s="458">
        <v>96361</v>
      </c>
    </row>
    <row r="1647" spans="2:3">
      <c r="B1647" s="452" t="s">
        <v>1032</v>
      </c>
      <c r="C1647" s="458">
        <v>93331</v>
      </c>
    </row>
    <row r="1648" spans="2:3">
      <c r="B1648" s="452" t="s">
        <v>1258</v>
      </c>
      <c r="C1648" s="458">
        <v>96021</v>
      </c>
    </row>
    <row r="1649" spans="2:3">
      <c r="B1649" s="452" t="s">
        <v>1219</v>
      </c>
      <c r="C1649" s="458">
        <v>95421</v>
      </c>
    </row>
    <row r="1650" spans="2:3">
      <c r="B1650" s="452" t="s">
        <v>917</v>
      </c>
      <c r="C1650" s="458">
        <v>91921</v>
      </c>
    </row>
    <row r="1651" spans="2:3">
      <c r="B1651" s="452" t="s">
        <v>1566</v>
      </c>
      <c r="C1651" s="458">
        <v>99411</v>
      </c>
    </row>
    <row r="1652" spans="2:3">
      <c r="B1652" s="452" t="s">
        <v>756</v>
      </c>
      <c r="C1652" s="458">
        <v>90431</v>
      </c>
    </row>
    <row r="1653" spans="2:3">
      <c r="B1653" s="452" t="s">
        <v>1206</v>
      </c>
      <c r="C1653" s="458">
        <v>95211</v>
      </c>
    </row>
    <row r="1654" spans="2:3">
      <c r="B1654" s="452" t="s">
        <v>1201</v>
      </c>
      <c r="C1654" s="458">
        <v>95181</v>
      </c>
    </row>
    <row r="1655" spans="2:3">
      <c r="B1655" s="452" t="s">
        <v>1035</v>
      </c>
      <c r="C1655" s="458">
        <v>93351</v>
      </c>
    </row>
    <row r="1656" spans="2:3">
      <c r="B1656" s="452" t="s">
        <v>1165</v>
      </c>
      <c r="C1656" s="458">
        <v>94711</v>
      </c>
    </row>
    <row r="1657" spans="2:3">
      <c r="B1657" s="452" t="s">
        <v>1397</v>
      </c>
      <c r="C1657" s="458">
        <v>97641</v>
      </c>
    </row>
    <row r="1658" spans="2:3">
      <c r="B1658" s="452" t="s">
        <v>1073</v>
      </c>
      <c r="C1658" s="458">
        <v>93681</v>
      </c>
    </row>
    <row r="1659" spans="2:3">
      <c r="B1659" s="452" t="s">
        <v>1425</v>
      </c>
      <c r="C1659" s="458">
        <v>97871</v>
      </c>
    </row>
    <row r="1660" spans="2:3">
      <c r="B1660" s="452" t="s">
        <v>3608</v>
      </c>
      <c r="C1660" s="458">
        <v>91414</v>
      </c>
    </row>
    <row r="1661" spans="2:3">
      <c r="B1661" s="452" t="s">
        <v>1314</v>
      </c>
      <c r="C1661" s="458">
        <v>96611</v>
      </c>
    </row>
    <row r="1662" spans="2:3">
      <c r="B1662" s="452" t="s">
        <v>1330</v>
      </c>
      <c r="C1662" s="458">
        <v>96741</v>
      </c>
    </row>
    <row r="1663" spans="2:3">
      <c r="B1663" s="452" t="s">
        <v>960</v>
      </c>
      <c r="C1663" s="458">
        <v>92541</v>
      </c>
    </row>
    <row r="1664" spans="2:3">
      <c r="B1664" s="452" t="s">
        <v>1286</v>
      </c>
      <c r="C1664" s="458">
        <v>96341</v>
      </c>
    </row>
    <row r="1665" spans="2:3">
      <c r="B1665" s="452" t="s">
        <v>1080</v>
      </c>
      <c r="C1665" s="458">
        <v>93821</v>
      </c>
    </row>
    <row r="1666" spans="2:3">
      <c r="B1666" s="452" t="s">
        <v>1242</v>
      </c>
      <c r="C1666" s="458">
        <v>95851</v>
      </c>
    </row>
    <row r="1667" spans="2:3">
      <c r="B1667" s="452" t="s">
        <v>1451</v>
      </c>
      <c r="C1667" s="458">
        <v>98071</v>
      </c>
    </row>
    <row r="1668" spans="2:3">
      <c r="B1668" s="452" t="s">
        <v>1539</v>
      </c>
      <c r="C1668" s="458">
        <v>99203</v>
      </c>
    </row>
    <row r="1669" spans="2:3">
      <c r="B1669" s="452" t="s">
        <v>1568</v>
      </c>
      <c r="C1669" s="458">
        <v>99421</v>
      </c>
    </row>
    <row r="1670" spans="2:3">
      <c r="B1670" s="452" t="s">
        <v>1013</v>
      </c>
      <c r="C1670" s="458">
        <v>93161</v>
      </c>
    </row>
    <row r="1671" spans="2:3">
      <c r="B1671" s="452" t="s">
        <v>1475</v>
      </c>
      <c r="C1671" s="458">
        <v>98261</v>
      </c>
    </row>
    <row r="1672" spans="2:3">
      <c r="B1672" s="452" t="s">
        <v>1424</v>
      </c>
      <c r="C1672" s="458">
        <v>97861</v>
      </c>
    </row>
    <row r="1673" spans="2:3">
      <c r="B1673" s="452" t="s">
        <v>1044</v>
      </c>
      <c r="C1673" s="458">
        <v>93431</v>
      </c>
    </row>
    <row r="1674" spans="2:3">
      <c r="B1674" s="452" t="s">
        <v>850</v>
      </c>
      <c r="C1674" s="458">
        <v>91214</v>
      </c>
    </row>
    <row r="1675" spans="2:3">
      <c r="B1675" s="452" t="s">
        <v>1463</v>
      </c>
      <c r="C1675" s="458">
        <v>98141</v>
      </c>
    </row>
    <row r="1676" spans="2:3">
      <c r="B1676" s="452" t="s">
        <v>1464</v>
      </c>
      <c r="C1676" s="458">
        <v>98147</v>
      </c>
    </row>
    <row r="1677" spans="2:3">
      <c r="B1677" s="452" t="s">
        <v>1470</v>
      </c>
      <c r="C1677" s="458">
        <v>98221</v>
      </c>
    </row>
    <row r="1678" spans="2:3">
      <c r="B1678" s="452" t="s">
        <v>871</v>
      </c>
      <c r="C1678" s="458">
        <v>91421</v>
      </c>
    </row>
    <row r="1679" spans="2:3">
      <c r="B1679" s="452" t="s">
        <v>1122</v>
      </c>
      <c r="C1679" s="458">
        <v>94241</v>
      </c>
    </row>
    <row r="1680" spans="2:3">
      <c r="B1680" s="452" t="s">
        <v>1322</v>
      </c>
      <c r="C1680" s="458">
        <v>96681</v>
      </c>
    </row>
    <row r="1681" spans="2:3">
      <c r="B1681" s="452" t="s">
        <v>725</v>
      </c>
      <c r="C1681" s="458">
        <v>72593</v>
      </c>
    </row>
    <row r="1682" spans="2:3">
      <c r="B1682" s="452" t="s">
        <v>1193</v>
      </c>
      <c r="C1682" s="458">
        <v>95121</v>
      </c>
    </row>
    <row r="1683" spans="2:3">
      <c r="B1683" s="452" t="s">
        <v>1577</v>
      </c>
      <c r="C1683" s="458">
        <v>99531</v>
      </c>
    </row>
    <row r="1684" spans="2:3">
      <c r="B1684" s="452" t="s">
        <v>1321</v>
      </c>
      <c r="C1684" s="458">
        <v>96671</v>
      </c>
    </row>
    <row r="1685" spans="2:3">
      <c r="B1685" s="452" t="s">
        <v>823</v>
      </c>
      <c r="C1685" s="458">
        <v>91081</v>
      </c>
    </row>
    <row r="1686" spans="2:3">
      <c r="B1686" s="452" t="s">
        <v>1300</v>
      </c>
      <c r="C1686" s="458">
        <v>96461</v>
      </c>
    </row>
    <row r="1687" spans="2:3">
      <c r="B1687" s="452" t="s">
        <v>915</v>
      </c>
      <c r="C1687" s="458">
        <v>91911</v>
      </c>
    </row>
    <row r="1688" spans="2:3">
      <c r="B1688" s="452" t="s">
        <v>1191</v>
      </c>
      <c r="C1688" s="458">
        <v>95111</v>
      </c>
    </row>
    <row r="1689" spans="2:3">
      <c r="B1689" s="452" t="s">
        <v>1096</v>
      </c>
      <c r="C1689" s="458">
        <v>94021</v>
      </c>
    </row>
    <row r="1690" spans="2:3">
      <c r="B1690" s="452" t="s">
        <v>1281</v>
      </c>
      <c r="C1690" s="458">
        <v>96311</v>
      </c>
    </row>
    <row r="1691" spans="2:3">
      <c r="B1691" s="452" t="s">
        <v>987</v>
      </c>
      <c r="C1691" s="458">
        <v>92841</v>
      </c>
    </row>
    <row r="1692" spans="2:3">
      <c r="B1692" s="452" t="s">
        <v>726</v>
      </c>
      <c r="C1692" s="458">
        <v>72657</v>
      </c>
    </row>
    <row r="1693" spans="2:3">
      <c r="B1693" s="452" t="s">
        <v>750</v>
      </c>
      <c r="C1693" s="458">
        <v>90307</v>
      </c>
    </row>
    <row r="1694" spans="2:3">
      <c r="B1694" s="452" t="s">
        <v>1447</v>
      </c>
      <c r="C1694" s="458">
        <v>98031</v>
      </c>
    </row>
    <row r="1695" spans="2:3">
      <c r="B1695" s="452" t="s">
        <v>1461</v>
      </c>
      <c r="C1695" s="458">
        <v>98121</v>
      </c>
    </row>
    <row r="1696" spans="2:3">
      <c r="B1696" s="452" t="s">
        <v>1295</v>
      </c>
      <c r="C1696" s="458">
        <v>96411</v>
      </c>
    </row>
    <row r="1697" spans="2:3">
      <c r="B1697" s="452" t="s">
        <v>976</v>
      </c>
      <c r="C1697" s="458">
        <v>92661</v>
      </c>
    </row>
    <row r="1698" spans="2:3">
      <c r="B1698" s="452" t="s">
        <v>1267</v>
      </c>
      <c r="C1698" s="458">
        <v>96111</v>
      </c>
    </row>
    <row r="1699" spans="2:3">
      <c r="B1699" s="452" t="s">
        <v>813</v>
      </c>
      <c r="C1699" s="458">
        <v>91032</v>
      </c>
    </row>
    <row r="1700" spans="2:3">
      <c r="B1700" s="452" t="s">
        <v>1417</v>
      </c>
      <c r="C1700" s="458">
        <v>97831</v>
      </c>
    </row>
    <row r="1701" spans="2:3">
      <c r="B1701" s="452" t="s">
        <v>1262</v>
      </c>
      <c r="C1701" s="458">
        <v>96061</v>
      </c>
    </row>
    <row r="1702" spans="2:3">
      <c r="B1702" s="452" t="s">
        <v>1494</v>
      </c>
      <c r="C1702" s="458">
        <v>98481</v>
      </c>
    </row>
    <row r="1703" spans="2:3">
      <c r="B1703" s="452" t="s">
        <v>1059</v>
      </c>
      <c r="C1703" s="458">
        <v>93602</v>
      </c>
    </row>
    <row r="1704" spans="2:3">
      <c r="B1704" s="452" t="s">
        <v>1603</v>
      </c>
      <c r="C1704" s="458">
        <v>99821</v>
      </c>
    </row>
    <row r="1705" spans="2:3">
      <c r="B1705" s="452" t="s">
        <v>1271</v>
      </c>
      <c r="C1705" s="458">
        <v>96211</v>
      </c>
    </row>
    <row r="1706" spans="2:3">
      <c r="B1706" s="452" t="s">
        <v>972</v>
      </c>
      <c r="C1706" s="458">
        <v>92621</v>
      </c>
    </row>
    <row r="1707" spans="2:3">
      <c r="B1707" s="452" t="s">
        <v>3772</v>
      </c>
      <c r="C1707" s="472">
        <v>94537</v>
      </c>
    </row>
    <row r="1708" spans="2:3">
      <c r="B1708" s="452" t="s">
        <v>1432</v>
      </c>
      <c r="C1708" s="458">
        <v>97931</v>
      </c>
    </row>
    <row r="1709" spans="2:3">
      <c r="B1709" s="452" t="s">
        <v>1088</v>
      </c>
      <c r="C1709" s="458">
        <v>93914</v>
      </c>
    </row>
    <row r="1710" spans="2:3">
      <c r="B1710" s="452" t="s">
        <v>1113</v>
      </c>
      <c r="C1710" s="458">
        <v>94171</v>
      </c>
    </row>
    <row r="1711" spans="2:3">
      <c r="B1711" s="452" t="s">
        <v>814</v>
      </c>
      <c r="C1711" s="458">
        <v>91041</v>
      </c>
    </row>
    <row r="1712" spans="2:3">
      <c r="B1712" s="452" t="s">
        <v>816</v>
      </c>
      <c r="C1712" s="458">
        <v>91047</v>
      </c>
    </row>
    <row r="1713" spans="2:3">
      <c r="B1713" s="452" t="s">
        <v>1357</v>
      </c>
      <c r="C1713" s="458">
        <v>97131</v>
      </c>
    </row>
    <row r="1714" spans="2:3">
      <c r="B1714" s="452" t="s">
        <v>1327</v>
      </c>
      <c r="C1714" s="458">
        <v>96721</v>
      </c>
    </row>
    <row r="1715" spans="2:3">
      <c r="B1715" s="452" t="s">
        <v>3757</v>
      </c>
      <c r="C1715" s="458">
        <v>96722</v>
      </c>
    </row>
    <row r="1716" spans="2:3">
      <c r="B1716" s="452" t="s">
        <v>1183</v>
      </c>
      <c r="C1716" s="458">
        <v>95011</v>
      </c>
    </row>
    <row r="1717" spans="2:3">
      <c r="B1717" s="452" t="s">
        <v>947</v>
      </c>
      <c r="C1717" s="458">
        <v>92451</v>
      </c>
    </row>
    <row r="1718" spans="2:3">
      <c r="B1718" s="452" t="s">
        <v>1028</v>
      </c>
      <c r="C1718" s="458">
        <v>93311</v>
      </c>
    </row>
    <row r="1719" spans="2:3">
      <c r="B1719" s="452" t="s">
        <v>747</v>
      </c>
      <c r="C1719" s="458">
        <v>90211</v>
      </c>
    </row>
    <row r="1720" spans="2:3">
      <c r="B1720" s="452" t="s">
        <v>1277</v>
      </c>
      <c r="C1720" s="458">
        <v>96302</v>
      </c>
    </row>
    <row r="1721" spans="2:3">
      <c r="B1721" s="452" t="s">
        <v>1015</v>
      </c>
      <c r="C1721" s="458">
        <v>93181</v>
      </c>
    </row>
    <row r="1722" spans="2:3">
      <c r="B1722" s="452" t="s">
        <v>1356</v>
      </c>
      <c r="C1722" s="458">
        <v>97121</v>
      </c>
    </row>
    <row r="1723" spans="2:3">
      <c r="B1723" s="452" t="s">
        <v>958</v>
      </c>
      <c r="C1723" s="458">
        <v>92521</v>
      </c>
    </row>
    <row r="1724" spans="2:3">
      <c r="B1724" s="452" t="s">
        <v>1176</v>
      </c>
      <c r="C1724" s="458">
        <v>94931</v>
      </c>
    </row>
    <row r="1725" spans="2:3">
      <c r="B1725" s="452" t="s">
        <v>1927</v>
      </c>
      <c r="C1725" s="458">
        <v>94937</v>
      </c>
    </row>
    <row r="1726" spans="2:3">
      <c r="B1726" s="452" t="s">
        <v>1272</v>
      </c>
      <c r="C1726" s="458">
        <v>96221</v>
      </c>
    </row>
    <row r="1727" spans="2:3">
      <c r="B1727" s="452" t="s">
        <v>1385</v>
      </c>
      <c r="C1727" s="458">
        <v>97511</v>
      </c>
    </row>
    <row r="1728" spans="2:3">
      <c r="B1728" s="452" t="s">
        <v>1474</v>
      </c>
      <c r="C1728" s="458">
        <v>98251</v>
      </c>
    </row>
    <row r="1729" spans="2:3">
      <c r="B1729" s="452" t="s">
        <v>1528</v>
      </c>
      <c r="C1729" s="458">
        <v>99061</v>
      </c>
    </row>
    <row r="1730" spans="2:3">
      <c r="B1730" s="452" t="s">
        <v>848</v>
      </c>
      <c r="C1730" s="458">
        <v>91211</v>
      </c>
    </row>
    <row r="1731" spans="2:3">
      <c r="B1731" s="452" t="s">
        <v>961</v>
      </c>
      <c r="C1731" s="458">
        <v>92551</v>
      </c>
    </row>
    <row r="1732" spans="2:3">
      <c r="B1732" s="452" t="s">
        <v>1284</v>
      </c>
      <c r="C1732" s="458">
        <v>96321</v>
      </c>
    </row>
    <row r="1733" spans="2:3">
      <c r="B1733" s="452" t="s">
        <v>974</v>
      </c>
      <c r="C1733" s="458">
        <v>92641</v>
      </c>
    </row>
    <row r="1734" spans="2:3">
      <c r="B1734" s="452" t="s">
        <v>752</v>
      </c>
      <c r="C1734" s="458">
        <v>90411</v>
      </c>
    </row>
    <row r="1735" spans="2:3">
      <c r="B1735" s="452" t="s">
        <v>1482</v>
      </c>
      <c r="C1735" s="458">
        <v>98321</v>
      </c>
    </row>
    <row r="1736" spans="2:3">
      <c r="B1736" s="452" t="s">
        <v>1557</v>
      </c>
      <c r="C1736" s="458">
        <v>99281</v>
      </c>
    </row>
    <row r="1737" spans="2:3">
      <c r="B1737" s="452" t="s">
        <v>1048</v>
      </c>
      <c r="C1737" s="458">
        <v>93461</v>
      </c>
    </row>
    <row r="1738" spans="2:3">
      <c r="B1738" s="452" t="s">
        <v>1011</v>
      </c>
      <c r="C1738" s="458">
        <v>93151</v>
      </c>
    </row>
    <row r="1739" spans="2:3">
      <c r="B1739" s="452" t="s">
        <v>1496</v>
      </c>
      <c r="C1739" s="458">
        <v>98511</v>
      </c>
    </row>
    <row r="1740" spans="2:3">
      <c r="B1740" s="452" t="s">
        <v>1097</v>
      </c>
      <c r="C1740" s="458">
        <v>94031</v>
      </c>
    </row>
    <row r="1741" spans="2:3">
      <c r="B1741" s="452" t="s">
        <v>1562</v>
      </c>
      <c r="C1741" s="458">
        <v>99321</v>
      </c>
    </row>
    <row r="1742" spans="2:3">
      <c r="B1742" s="452" t="s">
        <v>1008</v>
      </c>
      <c r="C1742" s="458">
        <v>93131</v>
      </c>
    </row>
    <row r="1743" spans="2:3">
      <c r="B1743" s="452" t="s">
        <v>778</v>
      </c>
      <c r="C1743" s="458">
        <v>90741</v>
      </c>
    </row>
    <row r="1744" spans="2:3">
      <c r="B1744" s="452" t="s">
        <v>1525</v>
      </c>
      <c r="C1744" s="458">
        <v>99041</v>
      </c>
    </row>
    <row r="1745" spans="2:3">
      <c r="B1745" s="452" t="s">
        <v>1138</v>
      </c>
      <c r="C1745" s="458">
        <v>94411</v>
      </c>
    </row>
    <row r="1746" spans="2:3">
      <c r="B1746" s="452" t="s">
        <v>837</v>
      </c>
      <c r="C1746" s="458">
        <v>91141</v>
      </c>
    </row>
    <row r="1747" spans="2:3">
      <c r="B1747" s="452" t="s">
        <v>1529</v>
      </c>
      <c r="C1747" s="458">
        <v>99071</v>
      </c>
    </row>
    <row r="1748" spans="2:3">
      <c r="B1748" s="452" t="s">
        <v>1121</v>
      </c>
      <c r="C1748" s="458">
        <v>94231</v>
      </c>
    </row>
    <row r="1749" spans="2:3">
      <c r="B1749" s="452" t="s">
        <v>1551</v>
      </c>
      <c r="C1749" s="458">
        <v>99231</v>
      </c>
    </row>
    <row r="1750" spans="2:3">
      <c r="B1750" s="452" t="s">
        <v>762</v>
      </c>
      <c r="C1750" s="458">
        <v>90521</v>
      </c>
    </row>
    <row r="1751" spans="2:3">
      <c r="B1751" s="452" t="s">
        <v>1298</v>
      </c>
      <c r="C1751" s="458">
        <v>96441</v>
      </c>
    </row>
    <row r="1752" spans="2:3">
      <c r="B1752" s="452" t="s">
        <v>792</v>
      </c>
      <c r="C1752" s="458">
        <v>90921</v>
      </c>
    </row>
    <row r="1753" spans="2:3">
      <c r="B1753" s="452" t="s">
        <v>1595</v>
      </c>
      <c r="C1753" s="458">
        <v>99721</v>
      </c>
    </row>
    <row r="1754" spans="2:3">
      <c r="B1754" s="452" t="s">
        <v>1237</v>
      </c>
      <c r="C1754" s="458">
        <v>95811</v>
      </c>
    </row>
    <row r="1755" spans="2:3">
      <c r="B1755" s="452" t="s">
        <v>1202</v>
      </c>
      <c r="C1755" s="458">
        <v>95191</v>
      </c>
    </row>
    <row r="1756" spans="2:3">
      <c r="B1756" s="452" t="s">
        <v>785</v>
      </c>
      <c r="C1756" s="458">
        <v>90812</v>
      </c>
    </row>
    <row r="1757" spans="2:3">
      <c r="B1757" s="452" t="s">
        <v>1362</v>
      </c>
      <c r="C1757" s="458">
        <v>97221</v>
      </c>
    </row>
    <row r="1758" spans="2:3">
      <c r="B1758" s="452" t="s">
        <v>1524</v>
      </c>
      <c r="C1758" s="458">
        <v>99031</v>
      </c>
    </row>
    <row r="1759" spans="2:3">
      <c r="B1759" s="452" t="s">
        <v>1378</v>
      </c>
      <c r="C1759" s="458">
        <v>97451</v>
      </c>
    </row>
    <row r="1760" spans="2:3">
      <c r="B1760" s="452" t="s">
        <v>1161</v>
      </c>
      <c r="C1760" s="458">
        <v>94631</v>
      </c>
    </row>
    <row r="1761" spans="2:3">
      <c r="B1761" s="452" t="s">
        <v>842</v>
      </c>
      <c r="C1761" s="458">
        <v>91171</v>
      </c>
    </row>
    <row r="1762" spans="2:3">
      <c r="B1762" s="452" t="s">
        <v>1316</v>
      </c>
      <c r="C1762" s="458">
        <v>96621</v>
      </c>
    </row>
    <row r="1763" spans="2:3">
      <c r="B1763" s="452" t="s">
        <v>1307</v>
      </c>
      <c r="C1763" s="458">
        <v>96511</v>
      </c>
    </row>
    <row r="1764" spans="2:3">
      <c r="B1764" s="452" t="s">
        <v>1608</v>
      </c>
      <c r="C1764" s="458">
        <v>99911</v>
      </c>
    </row>
    <row r="1765" spans="2:3">
      <c r="B1765" s="452" t="s">
        <v>896</v>
      </c>
      <c r="C1765" s="458">
        <v>91719</v>
      </c>
    </row>
    <row r="1766" spans="2:3">
      <c r="B1766" s="452" t="s">
        <v>1057</v>
      </c>
      <c r="C1766" s="458">
        <v>93541</v>
      </c>
    </row>
    <row r="1767" spans="2:3">
      <c r="B1767" s="452" t="s">
        <v>1552</v>
      </c>
      <c r="C1767" s="458">
        <v>99241</v>
      </c>
    </row>
    <row r="1768" spans="2:3">
      <c r="B1768" s="452" t="s">
        <v>1512</v>
      </c>
      <c r="C1768" s="458">
        <v>98801</v>
      </c>
    </row>
    <row r="1769" spans="2:3">
      <c r="B1769" s="452" t="s">
        <v>1042</v>
      </c>
      <c r="C1769" s="458">
        <v>93417</v>
      </c>
    </row>
    <row r="1770" spans="2:3">
      <c r="B1770" s="452" t="s">
        <v>1023</v>
      </c>
      <c r="C1770" s="458">
        <v>93219</v>
      </c>
    </row>
    <row r="1771" spans="2:3">
      <c r="B1771" s="452" t="s">
        <v>957</v>
      </c>
      <c r="C1771" s="458">
        <v>92513</v>
      </c>
    </row>
    <row r="1772" spans="2:3">
      <c r="B1772" s="452" t="s">
        <v>3733</v>
      </c>
      <c r="C1772" s="458">
        <v>97517</v>
      </c>
    </row>
    <row r="1773" spans="2:3">
      <c r="B1773" s="452" t="s">
        <v>1179</v>
      </c>
      <c r="C1773" s="458">
        <v>95002</v>
      </c>
    </row>
    <row r="1774" spans="2:3">
      <c r="B1774" s="452" t="s">
        <v>1516</v>
      </c>
      <c r="C1774" s="458">
        <v>98904</v>
      </c>
    </row>
    <row r="1775" spans="2:3">
      <c r="B1775" s="452" t="s">
        <v>1515</v>
      </c>
      <c r="C1775" s="458">
        <v>98901</v>
      </c>
    </row>
    <row r="1776" spans="2:3">
      <c r="B1776" s="452" t="s">
        <v>1518</v>
      </c>
      <c r="C1776" s="458">
        <v>99001</v>
      </c>
    </row>
    <row r="1777" spans="2:3">
      <c r="B1777" s="452" t="s">
        <v>1027</v>
      </c>
      <c r="C1777" s="458">
        <v>93309</v>
      </c>
    </row>
    <row r="1778" spans="2:3">
      <c r="B1778" s="452" t="s">
        <v>1928</v>
      </c>
      <c r="C1778" s="458">
        <v>94947</v>
      </c>
    </row>
    <row r="1779" spans="2:3">
      <c r="B1779" s="452" t="s">
        <v>849</v>
      </c>
      <c r="C1779" s="458">
        <v>91213</v>
      </c>
    </row>
    <row r="1780" spans="2:3">
      <c r="B1780" s="452" t="s">
        <v>1532</v>
      </c>
      <c r="C1780" s="458">
        <v>99101</v>
      </c>
    </row>
    <row r="1781" spans="2:3">
      <c r="B1781" s="452" t="s">
        <v>1533</v>
      </c>
      <c r="C1781" s="458">
        <v>99104</v>
      </c>
    </row>
    <row r="1782" spans="2:3">
      <c r="B1782" s="452" t="s">
        <v>1182</v>
      </c>
      <c r="C1782" s="458">
        <v>95009</v>
      </c>
    </row>
    <row r="1783" spans="2:3">
      <c r="B1783" s="452" t="s">
        <v>741</v>
      </c>
      <c r="C1783" s="458">
        <v>90151</v>
      </c>
    </row>
    <row r="1784" spans="2:3">
      <c r="B1784" s="452" t="s">
        <v>824</v>
      </c>
      <c r="C1784" s="458">
        <v>91091</v>
      </c>
    </row>
    <row r="1785" spans="2:3">
      <c r="B1785" s="452" t="s">
        <v>1045</v>
      </c>
      <c r="C1785" s="458">
        <v>93441</v>
      </c>
    </row>
    <row r="1786" spans="2:3">
      <c r="B1786" s="452" t="s">
        <v>1530</v>
      </c>
      <c r="C1786" s="458">
        <v>99081</v>
      </c>
    </row>
    <row r="1787" spans="2:3">
      <c r="B1787" s="452" t="s">
        <v>1487</v>
      </c>
      <c r="C1787" s="458">
        <v>98414</v>
      </c>
    </row>
    <row r="1788" spans="2:3">
      <c r="B1788" s="452" t="s">
        <v>1287</v>
      </c>
      <c r="C1788" s="458">
        <v>96351</v>
      </c>
    </row>
    <row r="1789" spans="2:3">
      <c r="B1789" s="452" t="s">
        <v>1382</v>
      </c>
      <c r="C1789" s="458">
        <v>97481</v>
      </c>
    </row>
    <row r="1790" spans="2:3">
      <c r="B1790" s="452" t="s">
        <v>1930</v>
      </c>
      <c r="C1790" s="458">
        <v>90651</v>
      </c>
    </row>
    <row r="1791" spans="2:3">
      <c r="B1791" s="452" t="s">
        <v>1049</v>
      </c>
      <c r="C1791" s="458">
        <v>93471</v>
      </c>
    </row>
    <row r="1792" spans="2:3">
      <c r="B1792" s="452" t="s">
        <v>1590</v>
      </c>
      <c r="C1792" s="458">
        <v>99661</v>
      </c>
    </row>
    <row r="1793" spans="2:3">
      <c r="B1793" s="452" t="s">
        <v>1531</v>
      </c>
      <c r="C1793" s="458">
        <v>99091</v>
      </c>
    </row>
    <row r="1794" spans="2:3">
      <c r="B1794" s="452" t="s">
        <v>1289</v>
      </c>
      <c r="C1794" s="458">
        <v>96371</v>
      </c>
    </row>
    <row r="1795" spans="2:3">
      <c r="B1795" s="452" t="s">
        <v>754</v>
      </c>
      <c r="C1795" s="458">
        <v>90417</v>
      </c>
    </row>
    <row r="1796" spans="2:3">
      <c r="B1796" s="452" t="s">
        <v>753</v>
      </c>
      <c r="C1796" s="458">
        <v>90413</v>
      </c>
    </row>
    <row r="1797" spans="2:3">
      <c r="B1797" s="452" t="s">
        <v>1540</v>
      </c>
      <c r="C1797" s="458">
        <v>99204</v>
      </c>
    </row>
    <row r="1798" spans="2:3">
      <c r="B1798" s="452" t="s">
        <v>3738</v>
      </c>
      <c r="C1798" s="458">
        <v>99201</v>
      </c>
    </row>
    <row r="1799" spans="2:3">
      <c r="B1799" s="452" t="s">
        <v>1542</v>
      </c>
      <c r="C1799" s="458">
        <v>99207</v>
      </c>
    </row>
    <row r="1800" spans="2:3">
      <c r="B1800" s="452" t="s">
        <v>1012</v>
      </c>
      <c r="C1800" s="458">
        <v>93157</v>
      </c>
    </row>
    <row r="1801" spans="2:3">
      <c r="B1801" s="452" t="s">
        <v>1497</v>
      </c>
      <c r="C1801" s="458">
        <v>98517</v>
      </c>
    </row>
    <row r="1802" spans="2:3">
      <c r="B1802" s="452" t="s">
        <v>1559</v>
      </c>
      <c r="C1802" s="458">
        <v>99301</v>
      </c>
    </row>
    <row r="1803" spans="2:3">
      <c r="B1803" s="452" t="s">
        <v>1560</v>
      </c>
      <c r="C1803" s="458">
        <v>99304</v>
      </c>
    </row>
    <row r="1804" spans="2:3">
      <c r="B1804" s="452" t="s">
        <v>1009</v>
      </c>
      <c r="C1804" s="458">
        <v>93137</v>
      </c>
    </row>
    <row r="1805" spans="2:3">
      <c r="B1805" s="452" t="s">
        <v>1563</v>
      </c>
      <c r="C1805" s="458">
        <v>99401</v>
      </c>
    </row>
    <row r="1806" spans="2:3">
      <c r="B1806" s="452" t="s">
        <v>1564</v>
      </c>
      <c r="C1806" s="458">
        <v>99404</v>
      </c>
    </row>
    <row r="1807" spans="2:3">
      <c r="B1807" s="452" t="s">
        <v>3759</v>
      </c>
      <c r="C1807" s="458">
        <v>99624</v>
      </c>
    </row>
    <row r="1808" spans="2:3">
      <c r="B1808" s="452" t="s">
        <v>1570</v>
      </c>
      <c r="C1808" s="458">
        <v>99501</v>
      </c>
    </row>
    <row r="1809" spans="2:3">
      <c r="B1809" s="452" t="s">
        <v>1573</v>
      </c>
      <c r="C1809" s="458">
        <v>99509</v>
      </c>
    </row>
    <row r="1810" spans="2:3">
      <c r="B1810" s="452" t="s">
        <v>859</v>
      </c>
      <c r="C1810" s="458">
        <v>91302</v>
      </c>
    </row>
    <row r="1811" spans="2:3">
      <c r="B1811" s="452" t="s">
        <v>1526</v>
      </c>
      <c r="C1811" s="458">
        <v>99047</v>
      </c>
    </row>
    <row r="1812" spans="2:3">
      <c r="B1812" s="452" t="s">
        <v>1578</v>
      </c>
      <c r="C1812" s="458">
        <v>99601</v>
      </c>
    </row>
    <row r="1813" spans="2:3">
      <c r="B1813" s="452" t="s">
        <v>1581</v>
      </c>
      <c r="C1813" s="458">
        <v>99604</v>
      </c>
    </row>
    <row r="1814" spans="2:3">
      <c r="B1814" s="452" t="s">
        <v>1139</v>
      </c>
      <c r="C1814" s="458">
        <v>94412</v>
      </c>
    </row>
    <row r="1815" spans="2:3">
      <c r="B1815" s="452" t="s">
        <v>838</v>
      </c>
      <c r="C1815" s="458">
        <v>91147</v>
      </c>
    </row>
    <row r="1816" spans="2:3">
      <c r="B1816" s="452" t="s">
        <v>832</v>
      </c>
      <c r="C1816" s="458">
        <v>91120</v>
      </c>
    </row>
    <row r="1817" spans="2:3">
      <c r="B1817" s="452" t="s">
        <v>946</v>
      </c>
      <c r="C1817" s="458">
        <v>92444</v>
      </c>
    </row>
    <row r="1818" spans="2:3">
      <c r="B1818" s="452" t="s">
        <v>34</v>
      </c>
      <c r="C1818" s="458">
        <v>90507</v>
      </c>
    </row>
    <row r="1819" spans="2:3">
      <c r="B1819" s="452" t="s">
        <v>965</v>
      </c>
      <c r="C1819" s="458">
        <v>92602</v>
      </c>
    </row>
    <row r="1820" spans="2:3">
      <c r="B1820" s="452" t="s">
        <v>882</v>
      </c>
      <c r="C1820" s="458">
        <v>91608</v>
      </c>
    </row>
    <row r="1821" spans="2:3">
      <c r="B1821" s="452" t="s">
        <v>902</v>
      </c>
      <c r="C1821" s="458">
        <v>91818</v>
      </c>
    </row>
    <row r="1822" spans="2:3">
      <c r="B1822" s="452" t="s">
        <v>903</v>
      </c>
      <c r="C1822" s="458">
        <v>91819</v>
      </c>
    </row>
    <row r="1823" spans="2:3">
      <c r="B1823" s="452" t="s">
        <v>941</v>
      </c>
      <c r="C1823" s="458">
        <v>92417</v>
      </c>
    </row>
    <row r="1824" spans="2:3">
      <c r="B1824" s="452" t="s">
        <v>939</v>
      </c>
      <c r="C1824" s="458">
        <v>92403</v>
      </c>
    </row>
    <row r="1825" spans="2:3">
      <c r="B1825" s="452" t="s">
        <v>1591</v>
      </c>
      <c r="C1825" s="458">
        <v>99701</v>
      </c>
    </row>
    <row r="1826" spans="2:3">
      <c r="B1826" s="452" t="s">
        <v>1596</v>
      </c>
      <c r="C1826" s="458">
        <v>99727</v>
      </c>
    </row>
    <row r="1827" spans="2:3">
      <c r="B1827" s="452" t="s">
        <v>1238</v>
      </c>
      <c r="C1827" s="458">
        <v>95813</v>
      </c>
    </row>
    <row r="1828" spans="2:3">
      <c r="B1828" s="452" t="s">
        <v>1303</v>
      </c>
      <c r="C1828" s="458">
        <v>96503</v>
      </c>
    </row>
    <row r="1829" spans="2:3">
      <c r="B1829" s="452" t="s">
        <v>1597</v>
      </c>
      <c r="C1829" s="458">
        <v>99801</v>
      </c>
    </row>
    <row r="1830" spans="2:3">
      <c r="B1830" s="452" t="s">
        <v>1599</v>
      </c>
      <c r="C1830" s="458">
        <v>99804</v>
      </c>
    </row>
    <row r="1831" spans="2:3">
      <c r="B1831" s="452" t="s">
        <v>1598</v>
      </c>
      <c r="C1831" s="458">
        <v>99802</v>
      </c>
    </row>
    <row r="1832" spans="2:3">
      <c r="B1832" s="452" t="s">
        <v>1601</v>
      </c>
      <c r="C1832" s="458">
        <v>99812</v>
      </c>
    </row>
    <row r="1833" spans="2:3">
      <c r="B1833" s="452" t="s">
        <v>1041</v>
      </c>
      <c r="C1833" s="458">
        <v>93413</v>
      </c>
    </row>
    <row r="1834" spans="2:3">
      <c r="B1834" s="452" t="s">
        <v>827</v>
      </c>
      <c r="C1834" s="458">
        <v>91104</v>
      </c>
    </row>
    <row r="1835" spans="2:3">
      <c r="B1835" s="452" t="s">
        <v>830</v>
      </c>
      <c r="C1835" s="458">
        <v>91109</v>
      </c>
    </row>
    <row r="1836" spans="2:3">
      <c r="B1836" s="452" t="s">
        <v>1607</v>
      </c>
      <c r="C1836" s="458">
        <v>99901</v>
      </c>
    </row>
    <row r="1837" spans="2:3">
      <c r="B1837" s="452" t="s">
        <v>1500</v>
      </c>
      <c r="C1837" s="458">
        <v>98604</v>
      </c>
    </row>
    <row r="1838" spans="2:3">
      <c r="B1838" s="452" t="s">
        <v>1502</v>
      </c>
      <c r="C1838" s="458">
        <v>98608</v>
      </c>
    </row>
    <row r="1839" spans="2:3">
      <c r="B1839" s="452" t="s">
        <v>727</v>
      </c>
      <c r="C1839" s="458">
        <v>90001</v>
      </c>
    </row>
    <row r="1840" spans="2:3">
      <c r="B1840" s="452" t="s">
        <v>728</v>
      </c>
      <c r="C1840" s="481">
        <v>90002</v>
      </c>
    </row>
  </sheetData>
  <sortState xmlns:xlrd2="http://schemas.microsoft.com/office/spreadsheetml/2017/richdata2" ref="B934:C1840">
    <sortCondition ref="B934:B1840"/>
  </sortState>
  <mergeCells count="5">
    <mergeCell ref="A1:B1"/>
    <mergeCell ref="A6:A7"/>
    <mergeCell ref="G6:K6"/>
    <mergeCell ref="M6:Q6"/>
    <mergeCell ref="S6:U6"/>
  </mergeCells>
  <pageMargins left="0.25" right="0.25" top="0.75" bottom="0.75" header="0.3" footer="0.3"/>
  <pageSetup scale="35" fitToHeight="0" orientation="landscape" r:id="rId1"/>
  <headerFooter>
    <oddHeader>&amp;C&amp;"-,Bold"&amp;28Appendix B: Allocation of Pension Expense</oddHeader>
    <oddFooter>&amp;R&amp;G</oddFooter>
  </headerFooter>
  <rowBreaks count="1" manualBreakCount="1">
    <brk id="830" max="22"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918"/>
  <sheetViews>
    <sheetView zoomScale="90" zoomScaleNormal="90" workbookViewId="0">
      <pane xSplit="2" ySplit="7" topLeftCell="G8" activePane="bottomRight" state="frozen"/>
      <selection pane="topRight" activeCell="C1" sqref="C1"/>
      <selection pane="bottomLeft" activeCell="A8" sqref="A8"/>
      <selection pane="bottomRight" activeCell="E3" sqref="E3"/>
    </sheetView>
  </sheetViews>
  <sheetFormatPr defaultColWidth="9.140625" defaultRowHeight="15"/>
  <cols>
    <col min="1" max="1" width="10.5703125" style="300" customWidth="1"/>
    <col min="2" max="2" width="48.85546875" style="300" customWidth="1"/>
    <col min="3" max="3" width="13.85546875" style="300" customWidth="1"/>
    <col min="4" max="4" width="13.85546875" style="234" customWidth="1"/>
    <col min="5" max="5" width="30.140625" style="300" customWidth="1"/>
    <col min="6" max="6" width="3.85546875" style="300" customWidth="1"/>
    <col min="7" max="7" width="18.28515625" style="300" customWidth="1"/>
    <col min="8" max="8" width="20" style="89" customWidth="1"/>
    <col min="9" max="9" width="16.85546875" style="300" customWidth="1"/>
    <col min="10" max="10" width="19.42578125" style="300" customWidth="1"/>
    <col min="11" max="11" width="20" style="89" customWidth="1"/>
    <col min="12" max="12" width="3.85546875" style="300" customWidth="1"/>
    <col min="13" max="14" width="18.28515625" style="300" customWidth="1"/>
    <col min="15" max="15" width="14.28515625" style="300" customWidth="1"/>
    <col min="16" max="16" width="19.42578125" style="300" customWidth="1"/>
    <col min="17" max="17" width="20" style="89" customWidth="1"/>
    <col min="18" max="18" width="3.85546875" style="300" customWidth="1"/>
    <col min="19" max="19" width="21.140625" style="300" bestFit="1" customWidth="1"/>
    <col min="20" max="20" width="22.42578125" style="300" customWidth="1"/>
    <col min="21" max="21" width="19.140625" style="300" bestFit="1" customWidth="1"/>
    <col min="22" max="22" width="13.28515625" style="300" bestFit="1" customWidth="1"/>
    <col min="23" max="23" width="17.7109375" style="300" customWidth="1"/>
    <col min="24" max="24" width="18.28515625" style="300" customWidth="1"/>
    <col min="25" max="25" width="14.85546875" style="300" customWidth="1"/>
    <col min="26" max="26" width="17.140625" style="300" customWidth="1"/>
    <col min="27" max="16384" width="9.140625" style="300"/>
  </cols>
  <sheetData>
    <row r="1" spans="1:26" ht="30">
      <c r="A1" s="300" t="s">
        <v>3762</v>
      </c>
      <c r="C1" s="370" t="s">
        <v>3717</v>
      </c>
      <c r="D1" s="382" t="s">
        <v>3730</v>
      </c>
      <c r="H1" s="300"/>
    </row>
    <row r="2" spans="1:26">
      <c r="A2" s="300" t="s">
        <v>1920</v>
      </c>
      <c r="C2" s="397">
        <v>0</v>
      </c>
      <c r="D2" s="397">
        <v>0</v>
      </c>
      <c r="E2" s="392">
        <v>0</v>
      </c>
      <c r="G2" s="392">
        <v>0</v>
      </c>
      <c r="H2" s="392"/>
      <c r="I2" s="392">
        <v>0</v>
      </c>
      <c r="J2" s="392">
        <v>0</v>
      </c>
      <c r="K2" s="392">
        <v>0</v>
      </c>
      <c r="M2" s="392">
        <v>0</v>
      </c>
      <c r="N2" s="392">
        <v>0</v>
      </c>
      <c r="O2" s="392">
        <v>0</v>
      </c>
      <c r="P2" s="392">
        <v>0</v>
      </c>
      <c r="Q2" s="392">
        <v>0</v>
      </c>
      <c r="S2" s="392">
        <v>0</v>
      </c>
      <c r="T2" s="392">
        <v>0</v>
      </c>
      <c r="U2" s="392">
        <v>0</v>
      </c>
    </row>
    <row r="3" spans="1:26" s="400" customFormat="1">
      <c r="A3" s="398"/>
      <c r="B3" s="399" t="s">
        <v>711</v>
      </c>
      <c r="C3" s="341">
        <v>1.0000000000000004</v>
      </c>
      <c r="D3" s="341">
        <v>1.0000000000000002</v>
      </c>
      <c r="E3" s="392">
        <v>5641428011</v>
      </c>
      <c r="F3" s="392"/>
      <c r="G3" s="392">
        <v>243083983</v>
      </c>
      <c r="H3" s="392">
        <v>1864550994</v>
      </c>
      <c r="I3" s="392">
        <v>562887993</v>
      </c>
      <c r="J3" s="392">
        <v>74988605</v>
      </c>
      <c r="K3" s="392">
        <v>2745511575</v>
      </c>
      <c r="L3" s="392"/>
      <c r="M3" s="392">
        <v>23833003</v>
      </c>
      <c r="N3" s="392">
        <v>0</v>
      </c>
      <c r="O3" s="392">
        <v>0</v>
      </c>
      <c r="P3" s="392">
        <v>74988580</v>
      </c>
      <c r="Q3" s="392">
        <v>98821583</v>
      </c>
      <c r="R3" s="392"/>
      <c r="S3" s="392">
        <v>1597400996</v>
      </c>
      <c r="T3" s="392">
        <v>160</v>
      </c>
      <c r="U3" s="392">
        <v>1597401156</v>
      </c>
      <c r="V3" s="392">
        <v>0</v>
      </c>
      <c r="W3" s="392">
        <v>10182051019</v>
      </c>
      <c r="X3" s="392">
        <v>1899691002</v>
      </c>
    </row>
    <row r="4" spans="1:26" s="400" customFormat="1" ht="15.75" thickBot="1">
      <c r="A4" s="398"/>
      <c r="B4" s="399" t="s">
        <v>3513</v>
      </c>
      <c r="C4" s="341">
        <v>1</v>
      </c>
      <c r="D4" s="341">
        <v>1</v>
      </c>
      <c r="E4" s="422">
        <v>5641428011</v>
      </c>
      <c r="F4" s="92"/>
      <c r="G4" s="422">
        <v>243083983</v>
      </c>
      <c r="H4" s="384">
        <v>1864550994</v>
      </c>
      <c r="I4" s="422">
        <v>562887993</v>
      </c>
      <c r="J4" s="422">
        <v>74988605</v>
      </c>
      <c r="K4" s="422">
        <v>2745511575</v>
      </c>
      <c r="L4" s="386"/>
      <c r="M4" s="422">
        <v>23833003</v>
      </c>
      <c r="N4" s="389">
        <v>0</v>
      </c>
      <c r="O4" s="389">
        <v>0</v>
      </c>
      <c r="P4" s="422">
        <v>74988580</v>
      </c>
      <c r="Q4" s="422">
        <v>98821583</v>
      </c>
      <c r="R4" s="389"/>
      <c r="S4" s="422">
        <v>1597400996</v>
      </c>
      <c r="T4" s="422">
        <v>160</v>
      </c>
      <c r="U4" s="422">
        <v>1597401156</v>
      </c>
      <c r="W4" s="422">
        <v>10182051019</v>
      </c>
      <c r="X4" s="422">
        <v>1899691002</v>
      </c>
    </row>
    <row r="5" spans="1:26" ht="15.75" thickTop="1">
      <c r="B5">
        <v>0</v>
      </c>
      <c r="C5" s="397">
        <v>0</v>
      </c>
      <c r="D5" s="397">
        <v>0</v>
      </c>
      <c r="E5" s="392"/>
      <c r="H5" s="300"/>
    </row>
    <row r="6" spans="1:26">
      <c r="G6" s="401" t="s">
        <v>2</v>
      </c>
      <c r="H6" s="401"/>
      <c r="I6" s="401"/>
      <c r="J6" s="401"/>
      <c r="K6" s="84"/>
      <c r="M6" s="401" t="s">
        <v>3</v>
      </c>
      <c r="N6" s="401"/>
      <c r="O6" s="401"/>
      <c r="P6" s="401"/>
      <c r="Q6" s="84"/>
      <c r="S6" s="401" t="s">
        <v>4</v>
      </c>
      <c r="T6" s="401"/>
      <c r="U6" s="401"/>
    </row>
    <row r="7" spans="1:26" ht="120">
      <c r="A7" s="402" t="s">
        <v>0</v>
      </c>
      <c r="B7" s="402" t="s">
        <v>1</v>
      </c>
      <c r="C7" s="402" t="s">
        <v>262</v>
      </c>
      <c r="D7" s="402" t="s">
        <v>263</v>
      </c>
      <c r="E7" s="402" t="s">
        <v>720</v>
      </c>
      <c r="F7" s="402"/>
      <c r="G7" s="402" t="s">
        <v>5</v>
      </c>
      <c r="H7" s="429" t="s">
        <v>6</v>
      </c>
      <c r="I7" s="402" t="s">
        <v>7</v>
      </c>
      <c r="J7" s="402" t="s">
        <v>8</v>
      </c>
      <c r="K7" s="402" t="s">
        <v>721</v>
      </c>
      <c r="L7" s="402"/>
      <c r="M7" s="402" t="s">
        <v>5</v>
      </c>
      <c r="N7" s="429" t="s">
        <v>3734</v>
      </c>
      <c r="O7" s="402" t="s">
        <v>7</v>
      </c>
      <c r="P7" s="402" t="s">
        <v>8</v>
      </c>
      <c r="Q7" s="402" t="s">
        <v>722</v>
      </c>
      <c r="R7" s="402"/>
      <c r="S7" s="402" t="s">
        <v>9</v>
      </c>
      <c r="T7" s="402" t="s">
        <v>10</v>
      </c>
      <c r="U7" s="402" t="s">
        <v>11</v>
      </c>
      <c r="W7" s="402" t="s">
        <v>3744</v>
      </c>
      <c r="X7" s="402" t="s">
        <v>3745</v>
      </c>
    </row>
    <row r="8" spans="1:26">
      <c r="A8" s="424">
        <v>70505</v>
      </c>
      <c r="B8" s="423" t="s">
        <v>723</v>
      </c>
      <c r="C8" s="234">
        <v>1.8980000000000001E-4</v>
      </c>
      <c r="D8" s="234">
        <v>2.8729999999999999E-4</v>
      </c>
      <c r="E8" s="231">
        <v>1070743</v>
      </c>
      <c r="F8" s="231" t="s">
        <v>1924</v>
      </c>
      <c r="G8" s="392">
        <v>46137</v>
      </c>
      <c r="H8" s="392">
        <v>353892</v>
      </c>
      <c r="I8" s="392">
        <v>106836</v>
      </c>
      <c r="J8" s="231">
        <v>0</v>
      </c>
      <c r="K8" s="231">
        <v>506865</v>
      </c>
      <c r="L8" s="231"/>
      <c r="M8" s="300">
        <v>4524</v>
      </c>
      <c r="N8" s="300">
        <v>0</v>
      </c>
      <c r="O8" s="300">
        <v>0</v>
      </c>
      <c r="P8" s="231">
        <v>169685</v>
      </c>
      <c r="Q8" s="231">
        <v>174209</v>
      </c>
      <c r="R8" s="231"/>
      <c r="S8" s="392">
        <v>303187</v>
      </c>
      <c r="T8" s="231">
        <v>-70022</v>
      </c>
      <c r="U8" s="396">
        <v>233165</v>
      </c>
      <c r="V8" s="231"/>
      <c r="W8" s="396">
        <v>1932553</v>
      </c>
      <c r="X8" s="396">
        <v>360561</v>
      </c>
      <c r="Y8" s="396"/>
      <c r="Z8" s="396"/>
    </row>
    <row r="9" spans="1:26">
      <c r="A9" s="424">
        <v>72265</v>
      </c>
      <c r="B9" s="423" t="s">
        <v>724</v>
      </c>
      <c r="C9" s="234">
        <v>1.3229999999999999E-4</v>
      </c>
      <c r="D9" s="234">
        <v>1.5090000000000001E-4</v>
      </c>
      <c r="E9" s="231">
        <v>746361</v>
      </c>
      <c r="F9" s="231" t="s">
        <v>1924</v>
      </c>
      <c r="G9" s="392">
        <v>32160</v>
      </c>
      <c r="H9" s="392">
        <v>246680</v>
      </c>
      <c r="I9" s="392">
        <v>74470</v>
      </c>
      <c r="J9" s="231">
        <v>9460</v>
      </c>
      <c r="K9" s="231">
        <v>362770</v>
      </c>
      <c r="L9" s="231"/>
      <c r="M9" s="300">
        <v>3153</v>
      </c>
      <c r="N9" s="300">
        <v>0</v>
      </c>
      <c r="O9" s="300">
        <v>0</v>
      </c>
      <c r="P9" s="231">
        <v>29744</v>
      </c>
      <c r="Q9" s="231">
        <v>32897</v>
      </c>
      <c r="R9" s="231"/>
      <c r="S9" s="392">
        <v>211336</v>
      </c>
      <c r="T9" s="231">
        <v>-1413</v>
      </c>
      <c r="U9" s="396">
        <v>209923</v>
      </c>
      <c r="V9" s="231"/>
      <c r="W9" s="396">
        <v>1347085</v>
      </c>
      <c r="X9" s="396">
        <v>251329</v>
      </c>
      <c r="Y9" s="396"/>
      <c r="Z9" s="396"/>
    </row>
    <row r="10" spans="1:26">
      <c r="A10" s="424">
        <v>72593</v>
      </c>
      <c r="B10" s="423" t="s">
        <v>725</v>
      </c>
      <c r="C10" s="234">
        <v>6.7000000000000002E-6</v>
      </c>
      <c r="D10" s="234">
        <v>6.7000000000000002E-6</v>
      </c>
      <c r="E10" s="231">
        <v>37798</v>
      </c>
      <c r="F10" s="231" t="s">
        <v>1924</v>
      </c>
      <c r="G10" s="392">
        <v>1629</v>
      </c>
      <c r="H10" s="392">
        <v>12492</v>
      </c>
      <c r="I10" s="392">
        <v>3771</v>
      </c>
      <c r="J10" s="231">
        <v>55</v>
      </c>
      <c r="K10" s="231">
        <v>17947</v>
      </c>
      <c r="L10" s="231"/>
      <c r="M10" s="300">
        <v>160</v>
      </c>
      <c r="N10" s="300">
        <v>0</v>
      </c>
      <c r="O10" s="300">
        <v>0</v>
      </c>
      <c r="P10" s="231">
        <v>1876</v>
      </c>
      <c r="Q10" s="231">
        <v>2036</v>
      </c>
      <c r="R10" s="231"/>
      <c r="S10" s="392">
        <v>10703</v>
      </c>
      <c r="T10" s="231">
        <v>-887</v>
      </c>
      <c r="U10" s="396">
        <v>9816</v>
      </c>
      <c r="V10" s="231"/>
      <c r="W10" s="396">
        <v>68220</v>
      </c>
      <c r="X10" s="396">
        <v>12728</v>
      </c>
      <c r="Y10" s="396"/>
      <c r="Z10" s="396"/>
    </row>
    <row r="11" spans="1:26">
      <c r="A11" s="424">
        <v>72657</v>
      </c>
      <c r="B11" s="423" t="s">
        <v>726</v>
      </c>
      <c r="C11" s="234">
        <v>4.1699999999999997E-5</v>
      </c>
      <c r="D11" s="234">
        <v>3.0800000000000003E-5</v>
      </c>
      <c r="E11" s="231">
        <v>235248</v>
      </c>
      <c r="F11" s="231" t="s">
        <v>1924</v>
      </c>
      <c r="G11" s="392">
        <v>10137</v>
      </c>
      <c r="H11" s="392">
        <v>77752</v>
      </c>
      <c r="I11" s="392">
        <v>23472</v>
      </c>
      <c r="J11" s="231">
        <v>12124</v>
      </c>
      <c r="K11" s="231">
        <v>123485</v>
      </c>
      <c r="L11" s="231"/>
      <c r="M11" s="300">
        <v>994</v>
      </c>
      <c r="N11" s="300">
        <v>0</v>
      </c>
      <c r="O11" s="300">
        <v>0</v>
      </c>
      <c r="P11" s="231">
        <v>9982</v>
      </c>
      <c r="Q11" s="231">
        <v>10976</v>
      </c>
      <c r="R11" s="231"/>
      <c r="S11" s="392">
        <v>66612</v>
      </c>
      <c r="T11" s="231">
        <v>-2139</v>
      </c>
      <c r="U11" s="396">
        <v>64473</v>
      </c>
      <c r="V11" s="231"/>
      <c r="W11" s="396">
        <v>424592</v>
      </c>
      <c r="X11" s="396">
        <v>79217</v>
      </c>
      <c r="Y11" s="396"/>
      <c r="Z11" s="396"/>
    </row>
    <row r="12" spans="1:26">
      <c r="A12" s="424">
        <v>90001</v>
      </c>
      <c r="B12" s="423" t="s">
        <v>727</v>
      </c>
      <c r="C12" s="234">
        <v>1.0753E-3</v>
      </c>
      <c r="D12" s="234">
        <v>1.0636E-3</v>
      </c>
      <c r="E12" s="231">
        <v>6066228</v>
      </c>
      <c r="F12" s="231" t="s">
        <v>1924</v>
      </c>
      <c r="G12" s="392">
        <v>261388</v>
      </c>
      <c r="H12" s="392">
        <v>2004952</v>
      </c>
      <c r="I12" s="392">
        <v>605273</v>
      </c>
      <c r="J12" s="231">
        <v>238964</v>
      </c>
      <c r="K12" s="231">
        <v>3110577</v>
      </c>
      <c r="L12" s="231"/>
      <c r="M12" s="300">
        <v>25628</v>
      </c>
      <c r="N12" s="300">
        <v>0</v>
      </c>
      <c r="O12" s="300">
        <v>0</v>
      </c>
      <c r="P12" s="231">
        <v>0</v>
      </c>
      <c r="Q12" s="231">
        <v>25628</v>
      </c>
      <c r="R12" s="231"/>
      <c r="S12" s="392">
        <v>1717685</v>
      </c>
      <c r="T12" s="231">
        <v>127217</v>
      </c>
      <c r="U12" s="396">
        <v>1844902</v>
      </c>
      <c r="V12" s="231"/>
      <c r="W12" s="396">
        <v>10948759</v>
      </c>
      <c r="X12" s="396">
        <v>2042738</v>
      </c>
      <c r="Y12" s="396"/>
      <c r="Z12" s="396"/>
    </row>
    <row r="13" spans="1:26">
      <c r="A13" s="424">
        <v>90002</v>
      </c>
      <c r="B13" s="423" t="s">
        <v>728</v>
      </c>
      <c r="C13" s="234">
        <v>6.1999999999999999E-6</v>
      </c>
      <c r="D13" s="234">
        <v>6.9E-6</v>
      </c>
      <c r="E13" s="231">
        <v>34977</v>
      </c>
      <c r="F13" s="231" t="s">
        <v>1924</v>
      </c>
      <c r="G13" s="392">
        <v>1507</v>
      </c>
      <c r="H13" s="392">
        <v>11560</v>
      </c>
      <c r="I13" s="392">
        <v>3490</v>
      </c>
      <c r="J13" s="231">
        <v>4263</v>
      </c>
      <c r="K13" s="231">
        <v>20820</v>
      </c>
      <c r="L13" s="231"/>
      <c r="M13" s="300">
        <v>148</v>
      </c>
      <c r="N13" s="300">
        <v>0</v>
      </c>
      <c r="O13" s="300">
        <v>0</v>
      </c>
      <c r="P13" s="231">
        <v>0</v>
      </c>
      <c r="Q13" s="231">
        <v>148</v>
      </c>
      <c r="R13" s="231"/>
      <c r="S13" s="392">
        <v>9904</v>
      </c>
      <c r="T13" s="231">
        <v>2237</v>
      </c>
      <c r="U13" s="396">
        <v>12141</v>
      </c>
      <c r="V13" s="231"/>
      <c r="W13" s="396">
        <v>63129</v>
      </c>
      <c r="X13" s="396">
        <v>11778</v>
      </c>
      <c r="Y13" s="396"/>
      <c r="Z13" s="396"/>
    </row>
    <row r="14" spans="1:26">
      <c r="A14" s="424">
        <v>90011</v>
      </c>
      <c r="B14" s="423" t="s">
        <v>729</v>
      </c>
      <c r="C14" s="234">
        <v>1.64E-4</v>
      </c>
      <c r="D14" s="234">
        <v>1.7770000000000001E-4</v>
      </c>
      <c r="E14" s="231">
        <v>925194</v>
      </c>
      <c r="F14" s="231" t="s">
        <v>1924</v>
      </c>
      <c r="G14" s="392">
        <v>39866</v>
      </c>
      <c r="H14" s="392">
        <v>305786</v>
      </c>
      <c r="I14" s="392">
        <v>92314</v>
      </c>
      <c r="J14" s="231">
        <v>17040</v>
      </c>
      <c r="K14" s="231">
        <v>455006</v>
      </c>
      <c r="L14" s="231"/>
      <c r="M14" s="300">
        <v>3909</v>
      </c>
      <c r="N14" s="300">
        <v>0</v>
      </c>
      <c r="O14" s="300">
        <v>0</v>
      </c>
      <c r="P14" s="231">
        <v>16665</v>
      </c>
      <c r="Q14" s="231">
        <v>20574</v>
      </c>
      <c r="R14" s="231"/>
      <c r="S14" s="392">
        <v>261974</v>
      </c>
      <c r="T14" s="231">
        <v>-2367</v>
      </c>
      <c r="U14" s="396">
        <v>259607</v>
      </c>
      <c r="V14" s="231"/>
      <c r="W14" s="396">
        <v>1669856</v>
      </c>
      <c r="X14" s="396">
        <v>311549</v>
      </c>
      <c r="Y14" s="396"/>
      <c r="Z14" s="396"/>
    </row>
    <row r="15" spans="1:26">
      <c r="A15" s="424">
        <v>90092</v>
      </c>
      <c r="B15" s="423" t="s">
        <v>730</v>
      </c>
      <c r="C15" s="234">
        <v>3.949E-4</v>
      </c>
      <c r="D15" s="234">
        <v>3.882E-4</v>
      </c>
      <c r="E15" s="231">
        <v>2227800</v>
      </c>
      <c r="F15" s="231" t="s">
        <v>1924</v>
      </c>
      <c r="G15" s="392">
        <v>95994</v>
      </c>
      <c r="H15" s="392">
        <v>736311</v>
      </c>
      <c r="I15" s="392">
        <v>222284</v>
      </c>
      <c r="J15" s="231">
        <v>22484</v>
      </c>
      <c r="K15" s="231">
        <v>1077073</v>
      </c>
      <c r="L15" s="231"/>
      <c r="M15" s="300">
        <v>9412</v>
      </c>
      <c r="N15" s="300">
        <v>0</v>
      </c>
      <c r="O15" s="300">
        <v>0</v>
      </c>
      <c r="P15" s="231">
        <v>40823</v>
      </c>
      <c r="Q15" s="231">
        <v>50235</v>
      </c>
      <c r="R15" s="231"/>
      <c r="S15" s="392">
        <v>630814</v>
      </c>
      <c r="T15" s="231">
        <v>6766</v>
      </c>
      <c r="U15" s="396">
        <v>637580</v>
      </c>
      <c r="V15" s="231"/>
      <c r="W15" s="396">
        <v>4020892</v>
      </c>
      <c r="X15" s="396">
        <v>750188</v>
      </c>
      <c r="Y15" s="396"/>
      <c r="Z15" s="396"/>
    </row>
    <row r="16" spans="1:26">
      <c r="A16" s="424">
        <v>90096</v>
      </c>
      <c r="B16" s="423" t="s">
        <v>731</v>
      </c>
      <c r="C16" s="234">
        <v>9.9249999999999989E-4</v>
      </c>
      <c r="D16" s="234">
        <v>9.4720000000000004E-4</v>
      </c>
      <c r="E16" s="231">
        <v>5599117</v>
      </c>
      <c r="F16" s="231" t="s">
        <v>1924</v>
      </c>
      <c r="G16" s="392">
        <v>241261</v>
      </c>
      <c r="H16" s="392">
        <v>1850567</v>
      </c>
      <c r="I16" s="392">
        <v>558666</v>
      </c>
      <c r="J16" s="231">
        <v>369299</v>
      </c>
      <c r="K16" s="231">
        <v>3019793</v>
      </c>
      <c r="L16" s="231"/>
      <c r="M16" s="300">
        <v>23654</v>
      </c>
      <c r="N16" s="300">
        <v>0</v>
      </c>
      <c r="O16" s="300">
        <v>0</v>
      </c>
      <c r="P16" s="231">
        <v>0</v>
      </c>
      <c r="Q16" s="231">
        <v>23654</v>
      </c>
      <c r="R16" s="231"/>
      <c r="S16" s="392">
        <v>1585420</v>
      </c>
      <c r="T16" s="231">
        <v>181575</v>
      </c>
      <c r="U16" s="396">
        <v>1766995</v>
      </c>
      <c r="V16" s="231"/>
      <c r="W16" s="396">
        <v>10105686</v>
      </c>
      <c r="X16" s="396">
        <v>1885443</v>
      </c>
      <c r="Y16" s="396"/>
      <c r="Z16" s="396"/>
    </row>
    <row r="17" spans="1:26">
      <c r="A17" s="424">
        <v>90098</v>
      </c>
      <c r="B17" s="423" t="s">
        <v>732</v>
      </c>
      <c r="C17" s="234">
        <v>2.1680000000000001E-4</v>
      </c>
      <c r="D17" s="234">
        <v>2.4110000000000001E-4</v>
      </c>
      <c r="E17" s="231">
        <v>1223062</v>
      </c>
      <c r="F17" s="231" t="s">
        <v>1924</v>
      </c>
      <c r="G17" s="392">
        <v>52701</v>
      </c>
      <c r="H17" s="392">
        <v>404235</v>
      </c>
      <c r="I17" s="392">
        <v>122034</v>
      </c>
      <c r="J17" s="231">
        <v>5453</v>
      </c>
      <c r="K17" s="231">
        <v>584423</v>
      </c>
      <c r="L17" s="231"/>
      <c r="M17" s="300">
        <v>5167</v>
      </c>
      <c r="N17" s="300">
        <v>0</v>
      </c>
      <c r="O17" s="300">
        <v>0</v>
      </c>
      <c r="P17" s="231">
        <v>38280</v>
      </c>
      <c r="Q17" s="231">
        <v>43447</v>
      </c>
      <c r="R17" s="231"/>
      <c r="S17" s="392">
        <v>346317</v>
      </c>
      <c r="T17" s="231">
        <v>-13579</v>
      </c>
      <c r="U17" s="396">
        <v>332738</v>
      </c>
      <c r="V17" s="231"/>
      <c r="W17" s="396">
        <v>2207469</v>
      </c>
      <c r="X17" s="396">
        <v>411853</v>
      </c>
      <c r="Y17" s="396"/>
      <c r="Z17" s="396"/>
    </row>
    <row r="18" spans="1:26">
      <c r="A18" s="424">
        <v>90099</v>
      </c>
      <c r="B18" s="423" t="s">
        <v>733</v>
      </c>
      <c r="C18" s="234">
        <v>8.3799999999999999E-4</v>
      </c>
      <c r="D18" s="234">
        <v>7.6309999999999995E-4</v>
      </c>
      <c r="E18" s="231">
        <v>4727517</v>
      </c>
      <c r="F18" s="231" t="s">
        <v>1924</v>
      </c>
      <c r="G18" s="392">
        <v>203704</v>
      </c>
      <c r="H18" s="392">
        <v>1562494</v>
      </c>
      <c r="I18" s="392">
        <v>471700</v>
      </c>
      <c r="J18" s="231">
        <v>156808</v>
      </c>
      <c r="K18" s="231">
        <v>2394706</v>
      </c>
      <c r="L18" s="231"/>
      <c r="M18" s="300">
        <v>19972</v>
      </c>
      <c r="N18" s="300">
        <v>0</v>
      </c>
      <c r="O18" s="300">
        <v>0</v>
      </c>
      <c r="P18" s="231">
        <v>18509</v>
      </c>
      <c r="Q18" s="231">
        <v>38481</v>
      </c>
      <c r="R18" s="231"/>
      <c r="S18" s="392">
        <v>1338622</v>
      </c>
      <c r="T18" s="231">
        <v>45057</v>
      </c>
      <c r="U18" s="396">
        <v>1383679</v>
      </c>
      <c r="V18" s="231"/>
      <c r="W18" s="396">
        <v>8532559</v>
      </c>
      <c r="X18" s="396">
        <v>1591941</v>
      </c>
      <c r="Y18" s="396"/>
      <c r="Z18" s="396"/>
    </row>
    <row r="19" spans="1:26">
      <c r="A19" s="424">
        <v>90101</v>
      </c>
      <c r="B19" s="423" t="s">
        <v>734</v>
      </c>
      <c r="C19" s="234">
        <v>5.9889000000000001E-3</v>
      </c>
      <c r="D19" s="234">
        <v>6.2402999999999998E-3</v>
      </c>
      <c r="E19" s="231">
        <v>33785948</v>
      </c>
      <c r="F19" s="231" t="s">
        <v>1924</v>
      </c>
      <c r="G19" s="392">
        <v>1455806</v>
      </c>
      <c r="H19" s="392">
        <v>11166609</v>
      </c>
      <c r="I19" s="392">
        <v>3371080</v>
      </c>
      <c r="J19" s="231">
        <v>22620</v>
      </c>
      <c r="K19" s="231">
        <v>16016115</v>
      </c>
      <c r="L19" s="231"/>
      <c r="M19" s="300">
        <v>142733</v>
      </c>
      <c r="N19" s="300">
        <v>0</v>
      </c>
      <c r="O19" s="300">
        <v>0</v>
      </c>
      <c r="P19" s="231">
        <v>414983</v>
      </c>
      <c r="Q19" s="231">
        <v>557716</v>
      </c>
      <c r="R19" s="231"/>
      <c r="S19" s="392">
        <v>9566675</v>
      </c>
      <c r="T19" s="231">
        <v>-197712</v>
      </c>
      <c r="U19" s="396">
        <v>9368963</v>
      </c>
      <c r="V19" s="231"/>
      <c r="W19" s="396">
        <v>60979285</v>
      </c>
      <c r="X19" s="396">
        <v>11377059</v>
      </c>
      <c r="Y19" s="396"/>
      <c r="Z19" s="396"/>
    </row>
    <row r="20" spans="1:26">
      <c r="A20" s="424">
        <v>90111</v>
      </c>
      <c r="B20" s="423" t="s">
        <v>735</v>
      </c>
      <c r="C20" s="234">
        <v>4.6198999999999997E-3</v>
      </c>
      <c r="D20" s="234">
        <v>4.7771000000000003E-3</v>
      </c>
      <c r="E20" s="231">
        <v>26062833</v>
      </c>
      <c r="F20" s="231" t="s">
        <v>1924</v>
      </c>
      <c r="G20" s="392">
        <v>1123024</v>
      </c>
      <c r="H20" s="392">
        <v>8614039</v>
      </c>
      <c r="I20" s="392">
        <v>2600486</v>
      </c>
      <c r="J20" s="231">
        <v>0</v>
      </c>
      <c r="K20" s="231">
        <v>12337549</v>
      </c>
      <c r="L20" s="231"/>
      <c r="M20" s="300">
        <v>110106</v>
      </c>
      <c r="N20" s="300">
        <v>0</v>
      </c>
      <c r="O20" s="300">
        <v>0</v>
      </c>
      <c r="P20" s="231">
        <v>482218</v>
      </c>
      <c r="Q20" s="231">
        <v>592324</v>
      </c>
      <c r="R20" s="231"/>
      <c r="S20" s="392">
        <v>7379833</v>
      </c>
      <c r="T20" s="231">
        <v>-251674</v>
      </c>
      <c r="U20" s="396">
        <v>7128159</v>
      </c>
      <c r="V20" s="231"/>
      <c r="W20" s="396">
        <v>47040057</v>
      </c>
      <c r="X20" s="396">
        <v>8776382</v>
      </c>
      <c r="Y20" s="396"/>
      <c r="Z20" s="396"/>
    </row>
    <row r="21" spans="1:26">
      <c r="A21" s="424">
        <v>90114</v>
      </c>
      <c r="B21" s="423" t="s">
        <v>736</v>
      </c>
      <c r="C21" s="234">
        <v>1.1670000000000001E-3</v>
      </c>
      <c r="D21" s="234">
        <v>1.1787E-3</v>
      </c>
      <c r="E21" s="231">
        <v>6583546</v>
      </c>
      <c r="F21" s="231" t="s">
        <v>1924</v>
      </c>
      <c r="G21" s="392">
        <v>283679</v>
      </c>
      <c r="H21" s="392">
        <v>2175931</v>
      </c>
      <c r="I21" s="392">
        <v>656890</v>
      </c>
      <c r="J21" s="231">
        <v>1212752</v>
      </c>
      <c r="K21" s="231">
        <v>4329252</v>
      </c>
      <c r="L21" s="231"/>
      <c r="M21" s="300">
        <v>27813</v>
      </c>
      <c r="N21" s="300">
        <v>0</v>
      </c>
      <c r="O21" s="300">
        <v>0</v>
      </c>
      <c r="P21" s="231">
        <v>61</v>
      </c>
      <c r="Q21" s="231">
        <v>27874</v>
      </c>
      <c r="R21" s="231"/>
      <c r="S21" s="392">
        <v>1864167</v>
      </c>
      <c r="T21" s="231">
        <v>716269</v>
      </c>
      <c r="U21" s="396">
        <v>2580436</v>
      </c>
      <c r="V21" s="231"/>
      <c r="W21" s="396">
        <v>11882454</v>
      </c>
      <c r="X21" s="396">
        <v>2216939</v>
      </c>
      <c r="Y21" s="396"/>
      <c r="Z21" s="396"/>
    </row>
    <row r="22" spans="1:26">
      <c r="A22" s="424">
        <v>90117</v>
      </c>
      <c r="B22" s="423" t="s">
        <v>737</v>
      </c>
      <c r="C22" s="234">
        <v>1.4750000000000001E-4</v>
      </c>
      <c r="D22" s="234">
        <v>1.5009999999999999E-4</v>
      </c>
      <c r="E22" s="231">
        <v>832111</v>
      </c>
      <c r="F22" s="231" t="s">
        <v>1924</v>
      </c>
      <c r="G22" s="392">
        <v>35855</v>
      </c>
      <c r="H22" s="392">
        <v>275021</v>
      </c>
      <c r="I22" s="392">
        <v>83026</v>
      </c>
      <c r="J22" s="231">
        <v>50536</v>
      </c>
      <c r="K22" s="231">
        <v>444438</v>
      </c>
      <c r="L22" s="231"/>
      <c r="M22" s="300">
        <v>3515</v>
      </c>
      <c r="N22" s="300">
        <v>0</v>
      </c>
      <c r="O22" s="300">
        <v>0</v>
      </c>
      <c r="P22" s="231">
        <v>0</v>
      </c>
      <c r="Q22" s="231">
        <v>3515</v>
      </c>
      <c r="R22" s="231"/>
      <c r="S22" s="392">
        <v>235617</v>
      </c>
      <c r="T22" s="231">
        <v>32549</v>
      </c>
      <c r="U22" s="396">
        <v>268166</v>
      </c>
      <c r="V22" s="231"/>
      <c r="W22" s="396">
        <v>1501853</v>
      </c>
      <c r="X22" s="396">
        <v>280204</v>
      </c>
      <c r="Y22" s="396"/>
      <c r="Z22" s="396"/>
    </row>
    <row r="23" spans="1:26">
      <c r="A23" s="424">
        <v>90121</v>
      </c>
      <c r="B23" s="423" t="s">
        <v>738</v>
      </c>
      <c r="C23" s="234">
        <v>1.0448E-3</v>
      </c>
      <c r="D23" s="234">
        <v>1.016E-3</v>
      </c>
      <c r="E23" s="231">
        <v>5894164</v>
      </c>
      <c r="F23" s="231" t="s">
        <v>1924</v>
      </c>
      <c r="G23" s="392">
        <v>253974</v>
      </c>
      <c r="H23" s="392">
        <v>1948083</v>
      </c>
      <c r="I23" s="392">
        <v>588105</v>
      </c>
      <c r="J23" s="231">
        <v>16003</v>
      </c>
      <c r="K23" s="231">
        <v>2806165</v>
      </c>
      <c r="L23" s="231"/>
      <c r="M23" s="300">
        <v>24901</v>
      </c>
      <c r="N23" s="300">
        <v>0</v>
      </c>
      <c r="O23" s="300">
        <v>0</v>
      </c>
      <c r="P23" s="231">
        <v>111886</v>
      </c>
      <c r="Q23" s="231">
        <v>136787</v>
      </c>
      <c r="R23" s="231"/>
      <c r="S23" s="392">
        <v>1668965</v>
      </c>
      <c r="T23" s="231">
        <v>-79284</v>
      </c>
      <c r="U23" s="396">
        <v>1589681</v>
      </c>
      <c r="V23" s="231"/>
      <c r="W23" s="396">
        <v>10638207</v>
      </c>
      <c r="X23" s="396">
        <v>1984797</v>
      </c>
      <c r="Y23" s="396"/>
      <c r="Z23" s="396"/>
    </row>
    <row r="24" spans="1:26">
      <c r="A24" s="424">
        <v>90131</v>
      </c>
      <c r="B24" s="423" t="s">
        <v>739</v>
      </c>
      <c r="C24" s="234">
        <v>4.8010000000000001E-4</v>
      </c>
      <c r="D24" s="234">
        <v>4.8430000000000001E-4</v>
      </c>
      <c r="E24" s="231">
        <v>2708450</v>
      </c>
      <c r="F24" s="231" t="s">
        <v>1924</v>
      </c>
      <c r="G24" s="392">
        <v>116705</v>
      </c>
      <c r="H24" s="392">
        <v>895171</v>
      </c>
      <c r="I24" s="392">
        <v>270243</v>
      </c>
      <c r="J24" s="231">
        <v>1155</v>
      </c>
      <c r="K24" s="231">
        <v>1283274</v>
      </c>
      <c r="L24" s="231"/>
      <c r="M24" s="300">
        <v>11442</v>
      </c>
      <c r="N24" s="300">
        <v>0</v>
      </c>
      <c r="O24" s="300">
        <v>0</v>
      </c>
      <c r="P24" s="231">
        <v>28558</v>
      </c>
      <c r="Q24" s="231">
        <v>40000</v>
      </c>
      <c r="R24" s="231"/>
      <c r="S24" s="392">
        <v>766912</v>
      </c>
      <c r="T24" s="231">
        <v>-13597</v>
      </c>
      <c r="U24" s="396">
        <v>753315</v>
      </c>
      <c r="V24" s="231"/>
      <c r="W24" s="396">
        <v>4888403</v>
      </c>
      <c r="X24" s="396">
        <v>912042</v>
      </c>
      <c r="Y24" s="396"/>
      <c r="Z24" s="396"/>
    </row>
    <row r="25" spans="1:26">
      <c r="A25" s="424">
        <v>90141</v>
      </c>
      <c r="B25" s="423" t="s">
        <v>740</v>
      </c>
      <c r="C25" s="234">
        <v>1.3310000000000001E-4</v>
      </c>
      <c r="D25" s="234">
        <v>1.54E-4</v>
      </c>
      <c r="E25" s="231">
        <v>750874</v>
      </c>
      <c r="F25" s="231" t="s">
        <v>1924</v>
      </c>
      <c r="G25" s="392">
        <v>32354</v>
      </c>
      <c r="H25" s="392">
        <v>248172</v>
      </c>
      <c r="I25" s="392">
        <v>74920</v>
      </c>
      <c r="J25" s="231">
        <v>6694</v>
      </c>
      <c r="K25" s="231">
        <v>362140</v>
      </c>
      <c r="L25" s="231"/>
      <c r="M25" s="300">
        <v>3172</v>
      </c>
      <c r="N25" s="300">
        <v>0</v>
      </c>
      <c r="O25" s="300">
        <v>0</v>
      </c>
      <c r="P25" s="231">
        <v>52968</v>
      </c>
      <c r="Q25" s="231">
        <v>56140</v>
      </c>
      <c r="R25" s="231"/>
      <c r="S25" s="392">
        <v>212614</v>
      </c>
      <c r="T25" s="231">
        <v>-15295</v>
      </c>
      <c r="U25" s="396">
        <v>197319</v>
      </c>
      <c r="V25" s="231"/>
      <c r="W25" s="396">
        <v>1355231</v>
      </c>
      <c r="X25" s="396">
        <v>252849</v>
      </c>
      <c r="Y25" s="396"/>
      <c r="Z25" s="396"/>
    </row>
    <row r="26" spans="1:26">
      <c r="A26" s="424">
        <v>90151</v>
      </c>
      <c r="B26" s="423" t="s">
        <v>741</v>
      </c>
      <c r="C26" s="234">
        <v>8.3999999999999992E-6</v>
      </c>
      <c r="D26" s="234">
        <v>8.3999999999999992E-6</v>
      </c>
      <c r="E26" s="231">
        <v>47388</v>
      </c>
      <c r="F26" s="231" t="s">
        <v>1924</v>
      </c>
      <c r="G26" s="392">
        <v>2042</v>
      </c>
      <c r="H26" s="392">
        <v>15662</v>
      </c>
      <c r="I26" s="392">
        <v>4728</v>
      </c>
      <c r="J26" s="231">
        <v>0</v>
      </c>
      <c r="K26" s="231">
        <v>22432</v>
      </c>
      <c r="L26" s="231"/>
      <c r="M26" s="300">
        <v>200</v>
      </c>
      <c r="N26" s="300">
        <v>0</v>
      </c>
      <c r="O26" s="300">
        <v>0</v>
      </c>
      <c r="P26" s="231">
        <v>3470</v>
      </c>
      <c r="Q26" s="231">
        <v>3670</v>
      </c>
      <c r="R26" s="231"/>
      <c r="S26" s="392">
        <v>13418</v>
      </c>
      <c r="T26" s="231">
        <v>-2298</v>
      </c>
      <c r="U26" s="396">
        <v>11120</v>
      </c>
      <c r="V26" s="231"/>
      <c r="W26" s="396">
        <v>85529</v>
      </c>
      <c r="X26" s="396">
        <v>15957</v>
      </c>
      <c r="Y26" s="396"/>
      <c r="Z26" s="396"/>
    </row>
    <row r="27" spans="1:26">
      <c r="A27" s="424">
        <v>90161</v>
      </c>
      <c r="B27" s="423" t="s">
        <v>742</v>
      </c>
      <c r="C27" s="234">
        <v>1.22E-5</v>
      </c>
      <c r="D27" s="234">
        <v>2.26E-5</v>
      </c>
      <c r="E27" s="231">
        <v>68825</v>
      </c>
      <c r="F27" s="231" t="s">
        <v>1924</v>
      </c>
      <c r="G27" s="392">
        <v>2966</v>
      </c>
      <c r="H27" s="392">
        <v>22748</v>
      </c>
      <c r="I27" s="392">
        <v>6867</v>
      </c>
      <c r="J27" s="231">
        <v>0</v>
      </c>
      <c r="K27" s="231">
        <v>32581</v>
      </c>
      <c r="L27" s="231"/>
      <c r="M27" s="300">
        <v>291</v>
      </c>
      <c r="N27" s="300">
        <v>0</v>
      </c>
      <c r="O27" s="300">
        <v>0</v>
      </c>
      <c r="P27" s="231">
        <v>28335</v>
      </c>
      <c r="Q27" s="231">
        <v>28626</v>
      </c>
      <c r="R27" s="231"/>
      <c r="S27" s="392">
        <v>19488</v>
      </c>
      <c r="T27" s="231">
        <v>-13042</v>
      </c>
      <c r="U27" s="396">
        <v>6446</v>
      </c>
      <c r="V27" s="231"/>
      <c r="W27" s="396">
        <v>124221</v>
      </c>
      <c r="X27" s="396">
        <v>23176</v>
      </c>
      <c r="Y27" s="396"/>
      <c r="Z27" s="396"/>
    </row>
    <row r="28" spans="1:26">
      <c r="A28" s="424">
        <v>90201</v>
      </c>
      <c r="B28" s="423" t="s">
        <v>743</v>
      </c>
      <c r="C28" s="234">
        <v>1.2543999999999999E-3</v>
      </c>
      <c r="D28" s="234">
        <v>1.3133000000000001E-3</v>
      </c>
      <c r="E28" s="231">
        <v>7076607</v>
      </c>
      <c r="F28" s="231" t="s">
        <v>1924</v>
      </c>
      <c r="G28" s="392">
        <v>304925</v>
      </c>
      <c r="H28" s="392">
        <v>2338893</v>
      </c>
      <c r="I28" s="392">
        <v>706087</v>
      </c>
      <c r="J28" s="231">
        <v>38187</v>
      </c>
      <c r="K28" s="231">
        <v>3388092</v>
      </c>
      <c r="L28" s="231"/>
      <c r="M28" s="300">
        <v>29896</v>
      </c>
      <c r="N28" s="300">
        <v>0</v>
      </c>
      <c r="O28" s="300">
        <v>0</v>
      </c>
      <c r="P28" s="231">
        <v>161092</v>
      </c>
      <c r="Q28" s="231">
        <v>190988</v>
      </c>
      <c r="R28" s="231"/>
      <c r="S28" s="392">
        <v>2003780</v>
      </c>
      <c r="T28" s="231">
        <v>-30172</v>
      </c>
      <c r="U28" s="396">
        <v>1973608</v>
      </c>
      <c r="V28" s="231"/>
      <c r="W28" s="396">
        <v>12772365</v>
      </c>
      <c r="X28" s="396">
        <v>2382972</v>
      </c>
      <c r="Y28" s="396"/>
      <c r="Z28" s="396"/>
    </row>
    <row r="29" spans="1:26">
      <c r="A29" s="424">
        <v>90203</v>
      </c>
      <c r="B29" s="423" t="s">
        <v>744</v>
      </c>
      <c r="C29" s="234">
        <v>1.8819999999999999E-4</v>
      </c>
      <c r="D29" s="234">
        <v>1.8679999999999999E-4</v>
      </c>
      <c r="E29" s="231">
        <v>1061717</v>
      </c>
      <c r="F29" s="231" t="s">
        <v>1924</v>
      </c>
      <c r="G29" s="392">
        <v>45748</v>
      </c>
      <c r="H29" s="392">
        <v>350908</v>
      </c>
      <c r="I29" s="392">
        <v>105936</v>
      </c>
      <c r="J29" s="231">
        <v>14870</v>
      </c>
      <c r="K29" s="231">
        <v>517462</v>
      </c>
      <c r="L29" s="231"/>
      <c r="M29" s="300">
        <v>4485</v>
      </c>
      <c r="N29" s="300">
        <v>0</v>
      </c>
      <c r="O29" s="300">
        <v>0</v>
      </c>
      <c r="P29" s="231">
        <v>6236</v>
      </c>
      <c r="Q29" s="231">
        <v>10721</v>
      </c>
      <c r="R29" s="231"/>
      <c r="S29" s="392">
        <v>300631</v>
      </c>
      <c r="T29" s="231">
        <v>1367</v>
      </c>
      <c r="U29" s="396">
        <v>301998</v>
      </c>
      <c r="V29" s="231"/>
      <c r="W29" s="396">
        <v>1916262</v>
      </c>
      <c r="X29" s="396">
        <v>357522</v>
      </c>
      <c r="Y29" s="396"/>
      <c r="Z29" s="396"/>
    </row>
    <row r="30" spans="1:26">
      <c r="A30" s="424">
        <v>90205</v>
      </c>
      <c r="B30" s="423" t="s">
        <v>745</v>
      </c>
      <c r="C30" s="234">
        <v>3.3500000000000001E-5</v>
      </c>
      <c r="D30" s="234">
        <v>3.3800000000000002E-5</v>
      </c>
      <c r="E30" s="231">
        <v>188988</v>
      </c>
      <c r="F30" s="231" t="s">
        <v>1924</v>
      </c>
      <c r="G30" s="392">
        <v>8143</v>
      </c>
      <c r="H30" s="392">
        <v>62462</v>
      </c>
      <c r="I30" s="392">
        <v>18857</v>
      </c>
      <c r="J30" s="231">
        <v>2866</v>
      </c>
      <c r="K30" s="231">
        <v>92328</v>
      </c>
      <c r="L30" s="231"/>
      <c r="M30" s="300">
        <v>798</v>
      </c>
      <c r="N30" s="300">
        <v>0</v>
      </c>
      <c r="O30" s="300">
        <v>0</v>
      </c>
      <c r="P30" s="231">
        <v>3187</v>
      </c>
      <c r="Q30" s="231">
        <v>3985</v>
      </c>
      <c r="R30" s="231"/>
      <c r="S30" s="392">
        <v>53513</v>
      </c>
      <c r="T30" s="231">
        <v>1001</v>
      </c>
      <c r="U30" s="396">
        <v>54514</v>
      </c>
      <c r="V30" s="231"/>
      <c r="W30" s="396">
        <v>341099</v>
      </c>
      <c r="X30" s="396">
        <v>63640</v>
      </c>
      <c r="Y30" s="396"/>
      <c r="Z30" s="396"/>
    </row>
    <row r="31" spans="1:26">
      <c r="A31" s="424">
        <v>90206</v>
      </c>
      <c r="B31" s="423" t="s">
        <v>746</v>
      </c>
      <c r="C31" s="234">
        <v>3.8279999999999998E-4</v>
      </c>
      <c r="D31" s="234">
        <v>4.3609999999999998E-4</v>
      </c>
      <c r="E31" s="231">
        <v>2159539</v>
      </c>
      <c r="F31" s="231" t="s">
        <v>1924</v>
      </c>
      <c r="G31" s="392">
        <v>93053</v>
      </c>
      <c r="H31" s="392">
        <v>713750</v>
      </c>
      <c r="I31" s="392">
        <v>215474</v>
      </c>
      <c r="J31" s="231">
        <v>75438</v>
      </c>
      <c r="K31" s="231">
        <v>1097715</v>
      </c>
      <c r="L31" s="231"/>
      <c r="M31" s="300">
        <v>9123</v>
      </c>
      <c r="N31" s="300">
        <v>0</v>
      </c>
      <c r="O31" s="300">
        <v>0</v>
      </c>
      <c r="P31" s="231">
        <v>117862</v>
      </c>
      <c r="Q31" s="231">
        <v>126985</v>
      </c>
      <c r="R31" s="231"/>
      <c r="S31" s="392">
        <v>611485</v>
      </c>
      <c r="T31" s="231">
        <v>-5649</v>
      </c>
      <c r="U31" s="396">
        <v>605836</v>
      </c>
      <c r="V31" s="231"/>
      <c r="W31" s="396">
        <v>3897689</v>
      </c>
      <c r="X31" s="396">
        <v>727202</v>
      </c>
      <c r="Y31" s="396"/>
      <c r="Z31" s="396"/>
    </row>
    <row r="32" spans="1:26">
      <c r="A32" s="424">
        <v>90211</v>
      </c>
      <c r="B32" s="423" t="s">
        <v>747</v>
      </c>
      <c r="C32" s="234">
        <v>1.3459999999999999E-4</v>
      </c>
      <c r="D32" s="234">
        <v>1.2120000000000001E-4</v>
      </c>
      <c r="E32" s="231">
        <v>759336</v>
      </c>
      <c r="F32" s="231" t="s">
        <v>1924</v>
      </c>
      <c r="G32" s="392">
        <v>32719</v>
      </c>
      <c r="H32" s="392">
        <v>250969</v>
      </c>
      <c r="I32" s="392">
        <v>75765</v>
      </c>
      <c r="J32" s="231">
        <v>30932</v>
      </c>
      <c r="K32" s="231">
        <v>390385</v>
      </c>
      <c r="L32" s="231"/>
      <c r="M32" s="300">
        <v>3208</v>
      </c>
      <c r="N32" s="300">
        <v>0</v>
      </c>
      <c r="O32" s="300">
        <v>0</v>
      </c>
      <c r="P32" s="231">
        <v>25257</v>
      </c>
      <c r="Q32" s="231">
        <v>28465</v>
      </c>
      <c r="R32" s="231"/>
      <c r="S32" s="392">
        <v>215010</v>
      </c>
      <c r="T32" s="231">
        <v>-729</v>
      </c>
      <c r="U32" s="396">
        <v>214281</v>
      </c>
      <c r="V32" s="231"/>
      <c r="W32" s="396">
        <v>1370504</v>
      </c>
      <c r="X32" s="396">
        <v>255698</v>
      </c>
      <c r="Y32" s="396"/>
      <c r="Z32" s="396"/>
    </row>
    <row r="33" spans="1:26">
      <c r="A33" s="424">
        <v>90301</v>
      </c>
      <c r="B33" s="423" t="s">
        <v>748</v>
      </c>
      <c r="C33" s="234">
        <v>6.6390000000000004E-4</v>
      </c>
      <c r="D33" s="234">
        <v>6.4340000000000003E-4</v>
      </c>
      <c r="E33" s="231">
        <v>3745344</v>
      </c>
      <c r="F33" s="231" t="s">
        <v>1924</v>
      </c>
      <c r="G33" s="392">
        <v>161383</v>
      </c>
      <c r="H33" s="392">
        <v>1237875</v>
      </c>
      <c r="I33" s="392">
        <v>373701</v>
      </c>
      <c r="J33" s="231">
        <v>41692</v>
      </c>
      <c r="K33" s="231">
        <v>1814651</v>
      </c>
      <c r="L33" s="231"/>
      <c r="M33" s="300">
        <v>15823</v>
      </c>
      <c r="N33" s="300">
        <v>0</v>
      </c>
      <c r="O33" s="300">
        <v>0</v>
      </c>
      <c r="P33" s="231">
        <v>94440</v>
      </c>
      <c r="Q33" s="231">
        <v>110263</v>
      </c>
      <c r="R33" s="231"/>
      <c r="S33" s="392">
        <v>1060515</v>
      </c>
      <c r="T33" s="231">
        <v>-37274</v>
      </c>
      <c r="U33" s="396">
        <v>1023241</v>
      </c>
      <c r="V33" s="231"/>
      <c r="W33" s="396">
        <v>6759864</v>
      </c>
      <c r="X33" s="396">
        <v>1261205</v>
      </c>
      <c r="Y33" s="396"/>
      <c r="Z33" s="396"/>
    </row>
    <row r="34" spans="1:26">
      <c r="A34" s="424">
        <v>90305</v>
      </c>
      <c r="B34" s="423" t="s">
        <v>749</v>
      </c>
      <c r="C34" s="234">
        <v>1.5579999999999999E-4</v>
      </c>
      <c r="D34" s="234">
        <v>1.449E-4</v>
      </c>
      <c r="E34" s="231">
        <v>878934</v>
      </c>
      <c r="F34" s="231" t="s">
        <v>1924</v>
      </c>
      <c r="G34" s="392">
        <v>37872</v>
      </c>
      <c r="H34" s="392">
        <v>290497</v>
      </c>
      <c r="I34" s="392">
        <v>87698</v>
      </c>
      <c r="J34" s="231">
        <v>43062</v>
      </c>
      <c r="K34" s="231">
        <v>459129</v>
      </c>
      <c r="L34" s="231"/>
      <c r="M34" s="300">
        <v>3713</v>
      </c>
      <c r="N34" s="300">
        <v>0</v>
      </c>
      <c r="O34" s="300">
        <v>0</v>
      </c>
      <c r="P34" s="231">
        <v>0</v>
      </c>
      <c r="Q34" s="231">
        <v>3713</v>
      </c>
      <c r="R34" s="231"/>
      <c r="S34" s="392">
        <v>248875</v>
      </c>
      <c r="T34" s="231">
        <v>22023</v>
      </c>
      <c r="U34" s="396">
        <v>270898</v>
      </c>
      <c r="V34" s="231"/>
      <c r="W34" s="396">
        <v>1586364</v>
      </c>
      <c r="X34" s="396">
        <v>295972</v>
      </c>
      <c r="Y34" s="396"/>
      <c r="Z34" s="396"/>
    </row>
    <row r="35" spans="1:26">
      <c r="A35" s="424">
        <v>90307</v>
      </c>
      <c r="B35" s="423" t="s">
        <v>750</v>
      </c>
      <c r="C35" s="234">
        <v>2.5000000000000002E-6</v>
      </c>
      <c r="D35" s="234">
        <v>5.0000000000000004E-6</v>
      </c>
      <c r="E35" s="231">
        <v>14104</v>
      </c>
      <c r="F35" s="231" t="s">
        <v>1924</v>
      </c>
      <c r="G35" s="392">
        <v>608</v>
      </c>
      <c r="H35" s="392">
        <v>4661</v>
      </c>
      <c r="I35" s="392">
        <v>1407</v>
      </c>
      <c r="J35" s="231">
        <v>1004</v>
      </c>
      <c r="K35" s="231">
        <v>7680</v>
      </c>
      <c r="L35" s="231"/>
      <c r="M35" s="300">
        <v>60</v>
      </c>
      <c r="N35" s="300">
        <v>0</v>
      </c>
      <c r="O35" s="300">
        <v>0</v>
      </c>
      <c r="P35" s="231">
        <v>2744</v>
      </c>
      <c r="Q35" s="231">
        <v>2804</v>
      </c>
      <c r="R35" s="231"/>
      <c r="S35" s="392">
        <v>3994</v>
      </c>
      <c r="T35" s="231">
        <v>-273</v>
      </c>
      <c r="U35" s="396">
        <v>3721</v>
      </c>
      <c r="V35" s="231"/>
      <c r="W35" s="396">
        <v>25455</v>
      </c>
      <c r="X35" s="396">
        <v>4749</v>
      </c>
      <c r="Y35" s="396"/>
      <c r="Z35" s="396"/>
    </row>
    <row r="36" spans="1:26">
      <c r="A36" s="424">
        <v>90401</v>
      </c>
      <c r="B36" s="423" t="s">
        <v>751</v>
      </c>
      <c r="C36" s="234">
        <v>1.4053E-3</v>
      </c>
      <c r="D36" s="234">
        <v>1.4093E-3</v>
      </c>
      <c r="E36" s="231">
        <v>7927899</v>
      </c>
      <c r="F36" s="231" t="s">
        <v>1924</v>
      </c>
      <c r="G36" s="392">
        <v>341606</v>
      </c>
      <c r="H36" s="392">
        <v>2620254</v>
      </c>
      <c r="I36" s="392">
        <v>791027</v>
      </c>
      <c r="J36" s="231">
        <v>188078</v>
      </c>
      <c r="K36" s="231">
        <v>3940965</v>
      </c>
      <c r="L36" s="231"/>
      <c r="M36" s="300">
        <v>33493</v>
      </c>
      <c r="N36" s="300">
        <v>0</v>
      </c>
      <c r="O36" s="300">
        <v>0</v>
      </c>
      <c r="P36" s="231">
        <v>12265</v>
      </c>
      <c r="Q36" s="231">
        <v>45758</v>
      </c>
      <c r="R36" s="231"/>
      <c r="S36" s="392">
        <v>2244828</v>
      </c>
      <c r="T36" s="231">
        <v>116592</v>
      </c>
      <c r="U36" s="396">
        <v>2361420</v>
      </c>
      <c r="V36" s="231"/>
      <c r="W36" s="396">
        <v>14308836</v>
      </c>
      <c r="X36" s="396">
        <v>2669636</v>
      </c>
      <c r="Y36" s="396"/>
      <c r="Z36" s="396"/>
    </row>
    <row r="37" spans="1:26">
      <c r="A37" s="424">
        <v>90411</v>
      </c>
      <c r="B37" s="423" t="s">
        <v>752</v>
      </c>
      <c r="C37" s="234">
        <v>3.3550000000000002E-4</v>
      </c>
      <c r="D37" s="234">
        <v>3.3819999999999998E-4</v>
      </c>
      <c r="E37" s="231">
        <v>1892699</v>
      </c>
      <c r="F37" s="231" t="s">
        <v>1924</v>
      </c>
      <c r="G37" s="392">
        <v>81555</v>
      </c>
      <c r="H37" s="392">
        <v>625557</v>
      </c>
      <c r="I37" s="392">
        <v>188849</v>
      </c>
      <c r="J37" s="231">
        <v>6509</v>
      </c>
      <c r="K37" s="231">
        <v>902470</v>
      </c>
      <c r="L37" s="231"/>
      <c r="M37" s="300">
        <v>7996</v>
      </c>
      <c r="N37" s="300">
        <v>0</v>
      </c>
      <c r="O37" s="300">
        <v>0</v>
      </c>
      <c r="P37" s="231">
        <v>13376</v>
      </c>
      <c r="Q37" s="231">
        <v>21372</v>
      </c>
      <c r="R37" s="231"/>
      <c r="S37" s="392">
        <v>535928</v>
      </c>
      <c r="T37" s="231">
        <v>-4247</v>
      </c>
      <c r="U37" s="396">
        <v>531681</v>
      </c>
      <c r="V37" s="231"/>
      <c r="W37" s="396">
        <v>3416078</v>
      </c>
      <c r="X37" s="396">
        <v>637346</v>
      </c>
      <c r="Y37" s="396"/>
      <c r="Z37" s="396"/>
    </row>
    <row r="38" spans="1:26">
      <c r="A38" s="424">
        <v>90413</v>
      </c>
      <c r="B38" s="423" t="s">
        <v>753</v>
      </c>
      <c r="C38" s="234">
        <v>2.7399999999999999E-5</v>
      </c>
      <c r="D38" s="234">
        <v>3.4600000000000001E-5</v>
      </c>
      <c r="E38" s="231">
        <v>154575</v>
      </c>
      <c r="F38" s="231" t="s">
        <v>1924</v>
      </c>
      <c r="G38" s="392">
        <v>6661</v>
      </c>
      <c r="H38" s="392">
        <v>51089</v>
      </c>
      <c r="I38" s="392">
        <v>15423</v>
      </c>
      <c r="J38" s="231">
        <v>2880</v>
      </c>
      <c r="K38" s="231">
        <v>76053</v>
      </c>
      <c r="L38" s="231"/>
      <c r="M38" s="300">
        <v>653</v>
      </c>
      <c r="N38" s="300">
        <v>0</v>
      </c>
      <c r="O38" s="300">
        <v>0</v>
      </c>
      <c r="P38" s="231">
        <v>7782</v>
      </c>
      <c r="Q38" s="231">
        <v>8435</v>
      </c>
      <c r="R38" s="231"/>
      <c r="S38" s="392">
        <v>43769</v>
      </c>
      <c r="T38" s="231">
        <v>-358</v>
      </c>
      <c r="U38" s="396">
        <v>43411</v>
      </c>
      <c r="V38" s="231"/>
      <c r="W38" s="396">
        <v>278988</v>
      </c>
      <c r="X38" s="396">
        <v>52052</v>
      </c>
      <c r="Y38" s="396"/>
      <c r="Z38" s="396"/>
    </row>
    <row r="39" spans="1:26">
      <c r="A39" s="424">
        <v>90417</v>
      </c>
      <c r="B39" s="423" t="s">
        <v>754</v>
      </c>
      <c r="C39" s="234">
        <v>8.8000000000000004E-6</v>
      </c>
      <c r="D39" s="234">
        <v>1.0200000000000001E-5</v>
      </c>
      <c r="E39" s="231">
        <v>49645</v>
      </c>
      <c r="F39" s="231" t="s">
        <v>1924</v>
      </c>
      <c r="G39" s="392">
        <v>2139</v>
      </c>
      <c r="H39" s="392">
        <v>16408</v>
      </c>
      <c r="I39" s="392">
        <v>4953</v>
      </c>
      <c r="J39" s="231">
        <v>7650</v>
      </c>
      <c r="K39" s="231">
        <v>31150</v>
      </c>
      <c r="L39" s="231"/>
      <c r="M39" s="300">
        <v>210</v>
      </c>
      <c r="N39" s="300">
        <v>0</v>
      </c>
      <c r="O39" s="300">
        <v>0</v>
      </c>
      <c r="P39" s="231">
        <v>0</v>
      </c>
      <c r="Q39" s="231">
        <v>210</v>
      </c>
      <c r="R39" s="231"/>
      <c r="S39" s="392">
        <v>14057</v>
      </c>
      <c r="T39" s="231">
        <v>4531</v>
      </c>
      <c r="U39" s="396">
        <v>18588</v>
      </c>
      <c r="V39" s="231"/>
      <c r="W39" s="396">
        <v>89602</v>
      </c>
      <c r="X39" s="396">
        <v>16717</v>
      </c>
      <c r="Y39" s="396"/>
      <c r="Z39" s="396"/>
    </row>
    <row r="40" spans="1:26">
      <c r="A40" s="424">
        <v>90421</v>
      </c>
      <c r="B40" s="423" t="s">
        <v>755</v>
      </c>
      <c r="C40" s="234">
        <v>2.2200000000000001E-5</v>
      </c>
      <c r="D40" s="234">
        <v>2.6699999999999998E-5</v>
      </c>
      <c r="E40" s="231">
        <v>125240</v>
      </c>
      <c r="F40" s="231" t="s">
        <v>1924</v>
      </c>
      <c r="G40" s="392">
        <v>5396</v>
      </c>
      <c r="H40" s="392">
        <v>41393</v>
      </c>
      <c r="I40" s="392">
        <v>12496</v>
      </c>
      <c r="J40" s="231">
        <v>3962</v>
      </c>
      <c r="K40" s="231">
        <v>63247</v>
      </c>
      <c r="L40" s="231"/>
      <c r="M40" s="300">
        <v>529</v>
      </c>
      <c r="N40" s="300">
        <v>0</v>
      </c>
      <c r="O40" s="300">
        <v>0</v>
      </c>
      <c r="P40" s="231">
        <v>7623</v>
      </c>
      <c r="Q40" s="231">
        <v>8152</v>
      </c>
      <c r="R40" s="231"/>
      <c r="S40" s="392">
        <v>35462</v>
      </c>
      <c r="T40" s="231">
        <v>212</v>
      </c>
      <c r="U40" s="396">
        <v>35674</v>
      </c>
      <c r="V40" s="231"/>
      <c r="W40" s="396">
        <v>226042</v>
      </c>
      <c r="X40" s="396">
        <v>42173</v>
      </c>
      <c r="Y40" s="396"/>
      <c r="Z40" s="396"/>
    </row>
    <row r="41" spans="1:26">
      <c r="A41" s="424">
        <v>90431</v>
      </c>
      <c r="B41" s="423" t="s">
        <v>756</v>
      </c>
      <c r="C41" s="234">
        <v>2.8200000000000001E-5</v>
      </c>
      <c r="D41" s="234">
        <v>3.8000000000000002E-5</v>
      </c>
      <c r="E41" s="231">
        <v>159088</v>
      </c>
      <c r="F41" s="231" t="s">
        <v>1924</v>
      </c>
      <c r="G41" s="392">
        <v>6855</v>
      </c>
      <c r="H41" s="392">
        <v>52580</v>
      </c>
      <c r="I41" s="392">
        <v>15873</v>
      </c>
      <c r="J41" s="231">
        <v>649</v>
      </c>
      <c r="K41" s="231">
        <v>75957</v>
      </c>
      <c r="L41" s="231"/>
      <c r="M41" s="300">
        <v>672</v>
      </c>
      <c r="N41" s="300">
        <v>0</v>
      </c>
      <c r="O41" s="300">
        <v>0</v>
      </c>
      <c r="P41" s="231">
        <v>22125</v>
      </c>
      <c r="Q41" s="231">
        <v>22797</v>
      </c>
      <c r="R41" s="231"/>
      <c r="S41" s="392">
        <v>45047</v>
      </c>
      <c r="T41" s="231">
        <v>-8971</v>
      </c>
      <c r="U41" s="396">
        <v>36076</v>
      </c>
      <c r="V41" s="231"/>
      <c r="W41" s="396">
        <v>287134</v>
      </c>
      <c r="X41" s="396">
        <v>53571</v>
      </c>
      <c r="Y41" s="396"/>
      <c r="Z41" s="396"/>
    </row>
    <row r="42" spans="1:26">
      <c r="A42" s="424">
        <v>90441</v>
      </c>
      <c r="B42" s="423" t="s">
        <v>757</v>
      </c>
      <c r="C42" s="234">
        <v>1.0200000000000001E-5</v>
      </c>
      <c r="D42" s="234">
        <v>5.0000000000000004E-6</v>
      </c>
      <c r="E42" s="231">
        <v>57543</v>
      </c>
      <c r="F42" s="231" t="s">
        <v>1924</v>
      </c>
      <c r="G42" s="392">
        <v>2479</v>
      </c>
      <c r="H42" s="392">
        <v>19018</v>
      </c>
      <c r="I42" s="392">
        <v>5741</v>
      </c>
      <c r="J42" s="231">
        <v>11011</v>
      </c>
      <c r="K42" s="231">
        <v>38249</v>
      </c>
      <c r="L42" s="231"/>
      <c r="M42" s="300">
        <v>243</v>
      </c>
      <c r="N42" s="300">
        <v>0</v>
      </c>
      <c r="O42" s="300">
        <v>0</v>
      </c>
      <c r="P42" s="231">
        <v>0</v>
      </c>
      <c r="Q42" s="231">
        <v>243</v>
      </c>
      <c r="R42" s="231"/>
      <c r="S42" s="392">
        <v>16293</v>
      </c>
      <c r="T42" s="231">
        <v>4342</v>
      </c>
      <c r="U42" s="396">
        <v>20635</v>
      </c>
      <c r="V42" s="231"/>
      <c r="W42" s="396">
        <v>103857</v>
      </c>
      <c r="X42" s="396">
        <v>19377</v>
      </c>
      <c r="Y42" s="396"/>
      <c r="Z42" s="396"/>
    </row>
    <row r="43" spans="1:26">
      <c r="A43" s="424">
        <v>90451</v>
      </c>
      <c r="B43" s="423" t="s">
        <v>758</v>
      </c>
      <c r="C43" s="234">
        <v>2.3200000000000001E-5</v>
      </c>
      <c r="D43" s="234">
        <v>1.08E-5</v>
      </c>
      <c r="E43" s="231">
        <v>130881</v>
      </c>
      <c r="F43" s="231" t="s">
        <v>1924</v>
      </c>
      <c r="G43" s="392">
        <v>5640</v>
      </c>
      <c r="H43" s="392">
        <v>43258</v>
      </c>
      <c r="I43" s="392">
        <v>13059</v>
      </c>
      <c r="J43" s="231">
        <v>20078</v>
      </c>
      <c r="K43" s="231">
        <v>82035</v>
      </c>
      <c r="L43" s="231"/>
      <c r="M43" s="300">
        <v>553</v>
      </c>
      <c r="N43" s="300">
        <v>0</v>
      </c>
      <c r="O43" s="300">
        <v>0</v>
      </c>
      <c r="P43" s="231">
        <v>12369</v>
      </c>
      <c r="Q43" s="231">
        <v>12922</v>
      </c>
      <c r="R43" s="231"/>
      <c r="S43" s="392">
        <v>37060</v>
      </c>
      <c r="T43" s="231">
        <v>1207</v>
      </c>
      <c r="U43" s="396">
        <v>38267</v>
      </c>
      <c r="V43" s="231"/>
      <c r="W43" s="396">
        <v>236224</v>
      </c>
      <c r="X43" s="396">
        <v>44073</v>
      </c>
      <c r="Y43" s="396"/>
      <c r="Z43" s="396"/>
    </row>
    <row r="44" spans="1:26">
      <c r="A44" s="424">
        <v>90461</v>
      </c>
      <c r="B44" s="423" t="s">
        <v>759</v>
      </c>
      <c r="C44" s="234">
        <v>0</v>
      </c>
      <c r="D44" s="234">
        <v>1.1399999999999999E-5</v>
      </c>
      <c r="E44" s="231">
        <v>0</v>
      </c>
      <c r="F44" s="231" t="s">
        <v>1924</v>
      </c>
      <c r="G44" s="392">
        <v>0</v>
      </c>
      <c r="H44" s="392">
        <v>0</v>
      </c>
      <c r="I44" s="392">
        <v>0</v>
      </c>
      <c r="J44" s="231">
        <v>9522</v>
      </c>
      <c r="K44" s="231">
        <v>9522</v>
      </c>
      <c r="L44" s="231"/>
      <c r="M44" s="300">
        <v>0</v>
      </c>
      <c r="N44" s="300">
        <v>0</v>
      </c>
      <c r="O44" s="300">
        <v>0</v>
      </c>
      <c r="P44" s="231">
        <v>20092</v>
      </c>
      <c r="Q44" s="231">
        <v>20092</v>
      </c>
      <c r="R44" s="231"/>
      <c r="S44" s="392">
        <v>0</v>
      </c>
      <c r="T44" s="231">
        <v>-1511</v>
      </c>
      <c r="U44" s="396">
        <v>-1511</v>
      </c>
      <c r="V44" s="231"/>
      <c r="W44" s="396">
        <v>0</v>
      </c>
      <c r="X44" s="396">
        <v>0</v>
      </c>
      <c r="Y44" s="396"/>
      <c r="Z44" s="396"/>
    </row>
    <row r="45" spans="1:26">
      <c r="A45" s="424">
        <v>90501</v>
      </c>
      <c r="B45" s="423" t="s">
        <v>760</v>
      </c>
      <c r="C45" s="234">
        <v>1.5284000000000001E-3</v>
      </c>
      <c r="D45" s="234">
        <v>1.4752000000000001E-3</v>
      </c>
      <c r="E45" s="231">
        <v>8622359</v>
      </c>
      <c r="F45" s="231" t="s">
        <v>1924</v>
      </c>
      <c r="G45" s="392">
        <v>371530</v>
      </c>
      <c r="H45" s="392">
        <v>2849780</v>
      </c>
      <c r="I45" s="392">
        <v>860318</v>
      </c>
      <c r="J45" s="231">
        <v>114555</v>
      </c>
      <c r="K45" s="231">
        <v>4196183</v>
      </c>
      <c r="L45" s="231"/>
      <c r="M45" s="300">
        <v>36426</v>
      </c>
      <c r="N45" s="300">
        <v>0</v>
      </c>
      <c r="O45" s="300">
        <v>0</v>
      </c>
      <c r="P45" s="231">
        <v>30206</v>
      </c>
      <c r="Q45" s="231">
        <v>66632</v>
      </c>
      <c r="R45" s="231"/>
      <c r="S45" s="392">
        <v>2441468</v>
      </c>
      <c r="T45" s="231">
        <v>49306</v>
      </c>
      <c r="U45" s="396">
        <v>2490774</v>
      </c>
      <c r="V45" s="231"/>
      <c r="W45" s="396">
        <v>15562247</v>
      </c>
      <c r="X45" s="396">
        <v>2903488</v>
      </c>
      <c r="Y45" s="396"/>
      <c r="Z45" s="396"/>
    </row>
    <row r="46" spans="1:26">
      <c r="A46" s="424">
        <v>90507</v>
      </c>
      <c r="B46" s="423" t="s">
        <v>34</v>
      </c>
      <c r="C46" s="234">
        <v>2.1699999999999999E-5</v>
      </c>
      <c r="D46" s="234">
        <v>1.6099999999999998E-5</v>
      </c>
      <c r="E46" s="231">
        <v>122419</v>
      </c>
      <c r="F46" s="231" t="s">
        <v>1924</v>
      </c>
      <c r="G46" s="392">
        <v>5275</v>
      </c>
      <c r="H46" s="392">
        <v>40461</v>
      </c>
      <c r="I46" s="392">
        <v>12215</v>
      </c>
      <c r="J46" s="231">
        <v>31358</v>
      </c>
      <c r="K46" s="231">
        <v>89309</v>
      </c>
      <c r="L46" s="231"/>
      <c r="M46" s="300">
        <v>517</v>
      </c>
      <c r="N46" s="300">
        <v>0</v>
      </c>
      <c r="O46" s="300">
        <v>0</v>
      </c>
      <c r="P46" s="231">
        <v>0</v>
      </c>
      <c r="Q46" s="231">
        <v>517</v>
      </c>
      <c r="R46" s="231"/>
      <c r="S46" s="392">
        <v>34664</v>
      </c>
      <c r="T46" s="231">
        <v>17227</v>
      </c>
      <c r="U46" s="396">
        <v>51891</v>
      </c>
      <c r="V46" s="231"/>
      <c r="W46" s="396">
        <v>220951</v>
      </c>
      <c r="X46" s="396">
        <v>41223</v>
      </c>
      <c r="Y46" s="396"/>
      <c r="Z46" s="396"/>
    </row>
    <row r="47" spans="1:26">
      <c r="A47" s="424">
        <v>90511</v>
      </c>
      <c r="B47" s="423" t="s">
        <v>761</v>
      </c>
      <c r="C47" s="234">
        <v>1.2239999999999999E-4</v>
      </c>
      <c r="D47" s="234">
        <v>1.004E-4</v>
      </c>
      <c r="E47" s="231">
        <v>690511</v>
      </c>
      <c r="F47" s="231" t="s">
        <v>1924</v>
      </c>
      <c r="G47" s="392">
        <v>29753</v>
      </c>
      <c r="H47" s="392">
        <v>228221</v>
      </c>
      <c r="I47" s="392">
        <v>68897</v>
      </c>
      <c r="J47" s="231">
        <v>50797</v>
      </c>
      <c r="K47" s="231">
        <v>377668</v>
      </c>
      <c r="L47" s="231"/>
      <c r="M47" s="300">
        <v>2917</v>
      </c>
      <c r="N47" s="300">
        <v>0</v>
      </c>
      <c r="O47" s="300">
        <v>0</v>
      </c>
      <c r="P47" s="231">
        <v>884</v>
      </c>
      <c r="Q47" s="231">
        <v>3801</v>
      </c>
      <c r="R47" s="231"/>
      <c r="S47" s="392">
        <v>195522</v>
      </c>
      <c r="T47" s="231">
        <v>23825</v>
      </c>
      <c r="U47" s="396">
        <v>219347</v>
      </c>
      <c r="V47" s="231"/>
      <c r="W47" s="396">
        <v>1246283</v>
      </c>
      <c r="X47" s="396">
        <v>232522</v>
      </c>
      <c r="Y47" s="396"/>
      <c r="Z47" s="396"/>
    </row>
    <row r="48" spans="1:26">
      <c r="A48" s="424">
        <v>90521</v>
      </c>
      <c r="B48" s="423" t="s">
        <v>762</v>
      </c>
      <c r="C48" s="234">
        <v>1.415E-4</v>
      </c>
      <c r="D48" s="234">
        <v>1.451E-4</v>
      </c>
      <c r="E48" s="231">
        <v>798262</v>
      </c>
      <c r="F48" s="231" t="s">
        <v>1924</v>
      </c>
      <c r="G48" s="392">
        <v>34396</v>
      </c>
      <c r="H48" s="392">
        <v>263834</v>
      </c>
      <c r="I48" s="392">
        <v>79649</v>
      </c>
      <c r="J48" s="231">
        <v>0</v>
      </c>
      <c r="K48" s="231">
        <v>377879</v>
      </c>
      <c r="L48" s="231"/>
      <c r="M48" s="300">
        <v>3372</v>
      </c>
      <c r="N48" s="300">
        <v>0</v>
      </c>
      <c r="O48" s="300">
        <v>0</v>
      </c>
      <c r="P48" s="231">
        <v>24808</v>
      </c>
      <c r="Q48" s="231">
        <v>28180</v>
      </c>
      <c r="R48" s="231"/>
      <c r="S48" s="392">
        <v>226032</v>
      </c>
      <c r="T48" s="231">
        <v>-13325</v>
      </c>
      <c r="U48" s="396">
        <v>212707</v>
      </c>
      <c r="V48" s="231"/>
      <c r="W48" s="396">
        <v>1440760</v>
      </c>
      <c r="X48" s="396">
        <v>268806</v>
      </c>
      <c r="Y48" s="396"/>
      <c r="Z48" s="396"/>
    </row>
    <row r="49" spans="1:26">
      <c r="A49" s="424">
        <v>90601</v>
      </c>
      <c r="B49" s="423" t="s">
        <v>763</v>
      </c>
      <c r="C49" s="234">
        <v>1.1386E-3</v>
      </c>
      <c r="D49" s="234">
        <v>1.1405E-3</v>
      </c>
      <c r="E49" s="231">
        <v>6423330</v>
      </c>
      <c r="F49" s="231" t="s">
        <v>1924</v>
      </c>
      <c r="G49" s="392">
        <v>276775</v>
      </c>
      <c r="H49" s="392">
        <v>2122978</v>
      </c>
      <c r="I49" s="392">
        <v>640904</v>
      </c>
      <c r="J49" s="231">
        <v>53296</v>
      </c>
      <c r="K49" s="231">
        <v>3093953</v>
      </c>
      <c r="L49" s="231"/>
      <c r="M49" s="300">
        <v>27136</v>
      </c>
      <c r="N49" s="300">
        <v>0</v>
      </c>
      <c r="O49" s="300">
        <v>0</v>
      </c>
      <c r="P49" s="231">
        <v>111945</v>
      </c>
      <c r="Q49" s="231">
        <v>139081</v>
      </c>
      <c r="R49" s="231"/>
      <c r="S49" s="392">
        <v>1818801</v>
      </c>
      <c r="T49" s="231">
        <v>-7153</v>
      </c>
      <c r="U49" s="396">
        <v>1811648</v>
      </c>
      <c r="V49" s="231"/>
      <c r="W49" s="396">
        <v>11593283</v>
      </c>
      <c r="X49" s="396">
        <v>2162988</v>
      </c>
      <c r="Y49" s="396"/>
      <c r="Z49" s="396"/>
    </row>
    <row r="50" spans="1:26">
      <c r="A50" s="424">
        <v>90602</v>
      </c>
      <c r="B50" s="423" t="s">
        <v>259</v>
      </c>
      <c r="C50" s="234">
        <v>7.75E-5</v>
      </c>
      <c r="D50" s="234">
        <v>7.4999999999999993E-5</v>
      </c>
      <c r="E50" s="231">
        <v>437211</v>
      </c>
      <c r="F50" s="231" t="s">
        <v>1924</v>
      </c>
      <c r="G50" s="392">
        <v>18839</v>
      </c>
      <c r="H50" s="392">
        <v>144503</v>
      </c>
      <c r="I50" s="392">
        <v>43624</v>
      </c>
      <c r="J50" s="231">
        <v>17109</v>
      </c>
      <c r="K50" s="231">
        <v>224075</v>
      </c>
      <c r="L50" s="231"/>
      <c r="M50" s="300">
        <v>1847</v>
      </c>
      <c r="N50" s="300">
        <v>0</v>
      </c>
      <c r="O50" s="300">
        <v>0</v>
      </c>
      <c r="P50" s="231">
        <v>9576</v>
      </c>
      <c r="Q50" s="231">
        <v>11423</v>
      </c>
      <c r="R50" s="231"/>
      <c r="S50" s="392">
        <v>123799</v>
      </c>
      <c r="T50" s="231">
        <v>3761</v>
      </c>
      <c r="U50" s="396">
        <v>127560</v>
      </c>
      <c r="V50" s="231"/>
      <c r="W50" s="396">
        <v>789109</v>
      </c>
      <c r="X50" s="396">
        <v>147226</v>
      </c>
      <c r="Y50" s="396"/>
      <c r="Z50" s="396"/>
    </row>
    <row r="51" spans="1:26">
      <c r="A51" s="424">
        <v>90605</v>
      </c>
      <c r="B51" s="423" t="s">
        <v>764</v>
      </c>
      <c r="C51" s="234">
        <v>4.8600000000000002E-5</v>
      </c>
      <c r="D51" s="234">
        <v>4.6300000000000001E-5</v>
      </c>
      <c r="E51" s="231">
        <v>274173</v>
      </c>
      <c r="F51" s="231" t="s">
        <v>1924</v>
      </c>
      <c r="G51" s="392">
        <v>11814</v>
      </c>
      <c r="H51" s="392">
        <v>90617</v>
      </c>
      <c r="I51" s="392">
        <v>27356</v>
      </c>
      <c r="J51" s="231">
        <v>5487</v>
      </c>
      <c r="K51" s="231">
        <v>135274</v>
      </c>
      <c r="L51" s="231"/>
      <c r="M51" s="300">
        <v>1158</v>
      </c>
      <c r="N51" s="300">
        <v>0</v>
      </c>
      <c r="O51" s="300">
        <v>0</v>
      </c>
      <c r="P51" s="231">
        <v>1661</v>
      </c>
      <c r="Q51" s="231">
        <v>2819</v>
      </c>
      <c r="R51" s="231"/>
      <c r="S51" s="392">
        <v>77634</v>
      </c>
      <c r="T51" s="231">
        <v>3915</v>
      </c>
      <c r="U51" s="396">
        <v>81549</v>
      </c>
      <c r="V51" s="231"/>
      <c r="W51" s="396">
        <v>494848</v>
      </c>
      <c r="X51" s="396">
        <v>92325</v>
      </c>
      <c r="Y51" s="396"/>
      <c r="Z51" s="396"/>
    </row>
    <row r="52" spans="1:26">
      <c r="A52" s="424">
        <v>90611</v>
      </c>
      <c r="B52" s="423" t="s">
        <v>765</v>
      </c>
      <c r="C52" s="234">
        <v>1.338E-4</v>
      </c>
      <c r="D52" s="234">
        <v>1.429E-4</v>
      </c>
      <c r="E52" s="231">
        <v>754823</v>
      </c>
      <c r="F52" s="231" t="s">
        <v>1924</v>
      </c>
      <c r="G52" s="392">
        <v>32525</v>
      </c>
      <c r="H52" s="392">
        <v>249477</v>
      </c>
      <c r="I52" s="392">
        <v>75314</v>
      </c>
      <c r="J52" s="231">
        <v>1244</v>
      </c>
      <c r="K52" s="231">
        <v>358560</v>
      </c>
      <c r="L52" s="231"/>
      <c r="M52" s="300">
        <v>3189</v>
      </c>
      <c r="N52" s="300">
        <v>0</v>
      </c>
      <c r="O52" s="300">
        <v>0</v>
      </c>
      <c r="P52" s="231">
        <v>31681</v>
      </c>
      <c r="Q52" s="231">
        <v>34870</v>
      </c>
      <c r="R52" s="231"/>
      <c r="S52" s="392">
        <v>213732</v>
      </c>
      <c r="T52" s="231">
        <v>-15953</v>
      </c>
      <c r="U52" s="396">
        <v>197779</v>
      </c>
      <c r="V52" s="231"/>
      <c r="W52" s="396">
        <v>1362358</v>
      </c>
      <c r="X52" s="396">
        <v>254179</v>
      </c>
      <c r="Y52" s="396"/>
      <c r="Z52" s="396"/>
    </row>
    <row r="53" spans="1:26">
      <c r="A53" s="424">
        <v>90617</v>
      </c>
      <c r="B53" s="423" t="s">
        <v>766</v>
      </c>
      <c r="C53" s="234">
        <v>3.15E-5</v>
      </c>
      <c r="D53" s="234">
        <v>1.9599999999999999E-5</v>
      </c>
      <c r="E53" s="231">
        <v>177705</v>
      </c>
      <c r="F53" s="231" t="s">
        <v>1924</v>
      </c>
      <c r="G53" s="392">
        <v>7657</v>
      </c>
      <c r="H53" s="392">
        <v>58733</v>
      </c>
      <c r="I53" s="392">
        <v>17731</v>
      </c>
      <c r="J53" s="231">
        <v>21597</v>
      </c>
      <c r="K53" s="231">
        <v>105718</v>
      </c>
      <c r="L53" s="231"/>
      <c r="M53" s="300">
        <v>751</v>
      </c>
      <c r="N53" s="300">
        <v>0</v>
      </c>
      <c r="O53" s="300">
        <v>0</v>
      </c>
      <c r="P53" s="231">
        <v>8278</v>
      </c>
      <c r="Q53" s="231">
        <v>9029</v>
      </c>
      <c r="R53" s="231"/>
      <c r="S53" s="392">
        <v>50318</v>
      </c>
      <c r="T53" s="231">
        <v>4908</v>
      </c>
      <c r="U53" s="396">
        <v>55226</v>
      </c>
      <c r="V53" s="231"/>
      <c r="W53" s="396">
        <v>320735</v>
      </c>
      <c r="X53" s="396">
        <v>59840</v>
      </c>
      <c r="Y53" s="396"/>
      <c r="Z53" s="396"/>
    </row>
    <row r="54" spans="1:26">
      <c r="A54" s="424">
        <v>90621</v>
      </c>
      <c r="B54" s="423" t="s">
        <v>767</v>
      </c>
      <c r="C54" s="234">
        <v>6.7100000000000005E-5</v>
      </c>
      <c r="D54" s="234">
        <v>5.4299999999999998E-5</v>
      </c>
      <c r="E54" s="231">
        <v>378540</v>
      </c>
      <c r="F54" s="231" t="s">
        <v>1924</v>
      </c>
      <c r="G54" s="392">
        <v>16311</v>
      </c>
      <c r="H54" s="392">
        <v>125111</v>
      </c>
      <c r="I54" s="392">
        <v>37770</v>
      </c>
      <c r="J54" s="231">
        <v>19357</v>
      </c>
      <c r="K54" s="231">
        <v>198549</v>
      </c>
      <c r="L54" s="231"/>
      <c r="M54" s="300">
        <v>1599</v>
      </c>
      <c r="N54" s="300">
        <v>0</v>
      </c>
      <c r="O54" s="300">
        <v>0</v>
      </c>
      <c r="P54" s="231">
        <v>13839</v>
      </c>
      <c r="Q54" s="231">
        <v>15438</v>
      </c>
      <c r="R54" s="231"/>
      <c r="S54" s="392">
        <v>107186</v>
      </c>
      <c r="T54" s="231">
        <v>-874</v>
      </c>
      <c r="U54" s="396">
        <v>106312</v>
      </c>
      <c r="V54" s="231"/>
      <c r="W54" s="396">
        <v>683216</v>
      </c>
      <c r="X54" s="396">
        <v>127469</v>
      </c>
      <c r="Y54" s="396"/>
      <c r="Z54" s="396"/>
    </row>
    <row r="55" spans="1:26">
      <c r="A55" s="424">
        <v>90631</v>
      </c>
      <c r="B55" s="423" t="s">
        <v>768</v>
      </c>
      <c r="C55" s="234">
        <v>4.5459999999999999E-4</v>
      </c>
      <c r="D55" s="234">
        <v>3.9360000000000003E-4</v>
      </c>
      <c r="E55" s="231">
        <v>2564593</v>
      </c>
      <c r="F55" s="231" t="s">
        <v>1924</v>
      </c>
      <c r="G55" s="392">
        <v>110506</v>
      </c>
      <c r="H55" s="392">
        <v>847625</v>
      </c>
      <c r="I55" s="392">
        <v>255889</v>
      </c>
      <c r="J55" s="231">
        <v>126823</v>
      </c>
      <c r="K55" s="231">
        <v>1340843</v>
      </c>
      <c r="L55" s="231"/>
      <c r="M55" s="300">
        <v>10834</v>
      </c>
      <c r="N55" s="300">
        <v>0</v>
      </c>
      <c r="O55" s="300">
        <v>0</v>
      </c>
      <c r="P55" s="231">
        <v>0</v>
      </c>
      <c r="Q55" s="231">
        <v>10834</v>
      </c>
      <c r="R55" s="231"/>
      <c r="S55" s="392">
        <v>726178</v>
      </c>
      <c r="T55" s="231">
        <v>46633</v>
      </c>
      <c r="U55" s="396">
        <v>772811</v>
      </c>
      <c r="V55" s="231"/>
      <c r="W55" s="396">
        <v>4628760</v>
      </c>
      <c r="X55" s="396">
        <v>863600</v>
      </c>
      <c r="Y55" s="396"/>
      <c r="Z55" s="396"/>
    </row>
    <row r="56" spans="1:26">
      <c r="A56" s="424">
        <v>90641</v>
      </c>
      <c r="B56" s="423" t="s">
        <v>769</v>
      </c>
      <c r="C56" s="234">
        <v>1.4600000000000001E-5</v>
      </c>
      <c r="D56" s="234">
        <v>1.04E-5</v>
      </c>
      <c r="E56" s="231">
        <v>82365</v>
      </c>
      <c r="F56" s="231" t="s">
        <v>1924</v>
      </c>
      <c r="G56" s="392">
        <v>3549</v>
      </c>
      <c r="H56" s="392">
        <v>27222</v>
      </c>
      <c r="I56" s="392">
        <v>8218</v>
      </c>
      <c r="J56" s="231">
        <v>6643</v>
      </c>
      <c r="K56" s="231">
        <v>45632</v>
      </c>
      <c r="L56" s="231"/>
      <c r="M56" s="300">
        <v>348</v>
      </c>
      <c r="N56" s="300">
        <v>0</v>
      </c>
      <c r="O56" s="300">
        <v>0</v>
      </c>
      <c r="P56" s="231">
        <v>103</v>
      </c>
      <c r="Q56" s="231">
        <v>451</v>
      </c>
      <c r="R56" s="231"/>
      <c r="S56" s="392">
        <v>23322</v>
      </c>
      <c r="T56" s="231">
        <v>2156</v>
      </c>
      <c r="U56" s="396">
        <v>25478</v>
      </c>
      <c r="V56" s="231"/>
      <c r="W56" s="396">
        <v>148658</v>
      </c>
      <c r="X56" s="396">
        <v>27735</v>
      </c>
      <c r="Y56" s="396"/>
      <c r="Z56" s="396"/>
    </row>
    <row r="57" spans="1:26">
      <c r="A57" s="424">
        <v>90651</v>
      </c>
      <c r="B57" s="423" t="s">
        <v>1930</v>
      </c>
      <c r="C57" s="234">
        <v>1.1E-4</v>
      </c>
      <c r="D57" s="234">
        <v>8.9300000000000002E-5</v>
      </c>
      <c r="E57" s="231">
        <v>620557</v>
      </c>
      <c r="F57" s="231" t="s">
        <v>1924</v>
      </c>
      <c r="G57" s="392">
        <v>26739</v>
      </c>
      <c r="H57" s="392">
        <v>205101</v>
      </c>
      <c r="I57" s="392">
        <v>61918</v>
      </c>
      <c r="J57" s="231">
        <v>130206</v>
      </c>
      <c r="K57" s="231">
        <v>423964</v>
      </c>
      <c r="L57" s="231"/>
      <c r="M57" s="300">
        <v>2622</v>
      </c>
      <c r="N57" s="300">
        <v>0</v>
      </c>
      <c r="O57" s="300">
        <v>0</v>
      </c>
      <c r="P57" s="231">
        <v>782</v>
      </c>
      <c r="Q57" s="231">
        <v>3404</v>
      </c>
      <c r="R57" s="231"/>
      <c r="S57" s="392">
        <v>175714</v>
      </c>
      <c r="T57" s="231">
        <v>65900</v>
      </c>
      <c r="U57" s="396">
        <v>241614</v>
      </c>
      <c r="V57" s="231"/>
      <c r="W57" s="396">
        <v>1120026</v>
      </c>
      <c r="X57" s="396">
        <v>208966</v>
      </c>
      <c r="Y57" s="396"/>
      <c r="Z57" s="396"/>
    </row>
    <row r="58" spans="1:26">
      <c r="A58" s="424">
        <v>90701</v>
      </c>
      <c r="B58" s="423" t="s">
        <v>771</v>
      </c>
      <c r="C58" s="234">
        <v>2.4830999999999998E-3</v>
      </c>
      <c r="D58" s="234">
        <v>2.5387999999999999E-3</v>
      </c>
      <c r="E58" s="231">
        <v>14008230</v>
      </c>
      <c r="F58" s="231" t="s">
        <v>1924</v>
      </c>
      <c r="G58" s="392">
        <v>603602</v>
      </c>
      <c r="H58" s="392">
        <v>4629867</v>
      </c>
      <c r="I58" s="392">
        <v>1397707</v>
      </c>
      <c r="J58" s="231">
        <v>9432</v>
      </c>
      <c r="K58" s="231">
        <v>6640608</v>
      </c>
      <c r="L58" s="231"/>
      <c r="M58" s="300">
        <v>59180</v>
      </c>
      <c r="N58" s="300">
        <v>0</v>
      </c>
      <c r="O58" s="300">
        <v>0</v>
      </c>
      <c r="P58" s="231">
        <v>283327</v>
      </c>
      <c r="Q58" s="231">
        <v>342507</v>
      </c>
      <c r="R58" s="231"/>
      <c r="S58" s="392">
        <v>3966506</v>
      </c>
      <c r="T58" s="231">
        <v>-175665</v>
      </c>
      <c r="U58" s="396">
        <v>3790841</v>
      </c>
      <c r="V58" s="231"/>
      <c r="W58" s="396">
        <v>25283051</v>
      </c>
      <c r="X58" s="396">
        <v>4717123</v>
      </c>
      <c r="Y58" s="396"/>
      <c r="Z58" s="396"/>
    </row>
    <row r="59" spans="1:26">
      <c r="A59" s="424">
        <v>90704</v>
      </c>
      <c r="B59" s="423" t="s">
        <v>772</v>
      </c>
      <c r="C59" s="234">
        <v>7.36E-5</v>
      </c>
      <c r="D59" s="234">
        <v>6.97E-5</v>
      </c>
      <c r="E59" s="231">
        <v>415209</v>
      </c>
      <c r="F59" s="231" t="s">
        <v>1924</v>
      </c>
      <c r="G59" s="392">
        <v>17891</v>
      </c>
      <c r="H59" s="392">
        <v>137231</v>
      </c>
      <c r="I59" s="392">
        <v>41429</v>
      </c>
      <c r="J59" s="231">
        <v>44592</v>
      </c>
      <c r="K59" s="231">
        <v>241143</v>
      </c>
      <c r="L59" s="231"/>
      <c r="M59" s="300">
        <v>1754</v>
      </c>
      <c r="N59" s="300">
        <v>0</v>
      </c>
      <c r="O59" s="300">
        <v>0</v>
      </c>
      <c r="P59" s="231">
        <v>0</v>
      </c>
      <c r="Q59" s="231">
        <v>1754</v>
      </c>
      <c r="R59" s="231"/>
      <c r="S59" s="392">
        <v>117569</v>
      </c>
      <c r="T59" s="231">
        <v>26639</v>
      </c>
      <c r="U59" s="396">
        <v>144208</v>
      </c>
      <c r="V59" s="231"/>
      <c r="W59" s="396">
        <v>749399</v>
      </c>
      <c r="X59" s="396">
        <v>139817</v>
      </c>
      <c r="Y59" s="396"/>
      <c r="Z59" s="396"/>
    </row>
    <row r="60" spans="1:26">
      <c r="A60" s="424">
        <v>90705</v>
      </c>
      <c r="B60" s="423" t="s">
        <v>773</v>
      </c>
      <c r="C60" s="234">
        <v>4.7500000000000003E-5</v>
      </c>
      <c r="D60" s="234">
        <v>4.1E-5</v>
      </c>
      <c r="E60" s="231">
        <v>267968</v>
      </c>
      <c r="F60" s="231" t="s">
        <v>1924</v>
      </c>
      <c r="G60" s="392">
        <v>11546</v>
      </c>
      <c r="H60" s="392">
        <v>88566</v>
      </c>
      <c r="I60" s="392">
        <v>26737</v>
      </c>
      <c r="J60" s="231">
        <v>19335</v>
      </c>
      <c r="K60" s="231">
        <v>146184</v>
      </c>
      <c r="L60" s="231"/>
      <c r="M60" s="300">
        <v>1132</v>
      </c>
      <c r="N60" s="300">
        <v>0</v>
      </c>
      <c r="O60" s="300">
        <v>0</v>
      </c>
      <c r="P60" s="231">
        <v>1108</v>
      </c>
      <c r="Q60" s="231">
        <v>2240</v>
      </c>
      <c r="R60" s="231"/>
      <c r="S60" s="392">
        <v>75877</v>
      </c>
      <c r="T60" s="231">
        <v>6394</v>
      </c>
      <c r="U60" s="396">
        <v>82271</v>
      </c>
      <c r="V60" s="231"/>
      <c r="W60" s="396">
        <v>483647</v>
      </c>
      <c r="X60" s="396">
        <v>90235</v>
      </c>
      <c r="Y60" s="396"/>
      <c r="Z60" s="396"/>
    </row>
    <row r="61" spans="1:26">
      <c r="A61" s="424">
        <v>90709</v>
      </c>
      <c r="B61" s="423" t="s">
        <v>774</v>
      </c>
      <c r="C61" s="234">
        <v>1.236E-4</v>
      </c>
      <c r="D61" s="234">
        <v>1.416E-4</v>
      </c>
      <c r="E61" s="231">
        <v>697281</v>
      </c>
      <c r="F61" s="231" t="s">
        <v>1924</v>
      </c>
      <c r="G61" s="392">
        <v>30045</v>
      </c>
      <c r="H61" s="392">
        <v>230459</v>
      </c>
      <c r="I61" s="392">
        <v>69573</v>
      </c>
      <c r="J61" s="231">
        <v>6599</v>
      </c>
      <c r="K61" s="231">
        <v>336676</v>
      </c>
      <c r="L61" s="231"/>
      <c r="M61" s="300">
        <v>2946</v>
      </c>
      <c r="N61" s="300">
        <v>0</v>
      </c>
      <c r="O61" s="300">
        <v>0</v>
      </c>
      <c r="P61" s="231">
        <v>20147</v>
      </c>
      <c r="Q61" s="231">
        <v>23093</v>
      </c>
      <c r="R61" s="231"/>
      <c r="S61" s="392">
        <v>197439</v>
      </c>
      <c r="T61" s="231">
        <v>4056</v>
      </c>
      <c r="U61" s="396">
        <v>201495</v>
      </c>
      <c r="V61" s="231"/>
      <c r="W61" s="396">
        <v>1258502</v>
      </c>
      <c r="X61" s="396">
        <v>234802</v>
      </c>
      <c r="Y61" s="396"/>
      <c r="Z61" s="396"/>
    </row>
    <row r="62" spans="1:26">
      <c r="A62" s="424">
        <v>90711</v>
      </c>
      <c r="B62" s="423" t="s">
        <v>775</v>
      </c>
      <c r="C62" s="234">
        <v>1.5536E-3</v>
      </c>
      <c r="D62" s="234">
        <v>1.5356E-3</v>
      </c>
      <c r="E62" s="231">
        <v>8764523</v>
      </c>
      <c r="F62" s="231" t="s">
        <v>1924</v>
      </c>
      <c r="G62" s="392">
        <v>377655</v>
      </c>
      <c r="H62" s="392">
        <v>2896766</v>
      </c>
      <c r="I62" s="392">
        <v>874503</v>
      </c>
      <c r="J62" s="231">
        <v>33140</v>
      </c>
      <c r="K62" s="231">
        <v>4182064</v>
      </c>
      <c r="L62" s="231"/>
      <c r="M62" s="300">
        <v>37027</v>
      </c>
      <c r="N62" s="300">
        <v>0</v>
      </c>
      <c r="O62" s="300">
        <v>0</v>
      </c>
      <c r="P62" s="231">
        <v>63911</v>
      </c>
      <c r="Q62" s="231">
        <v>100938</v>
      </c>
      <c r="R62" s="231"/>
      <c r="S62" s="392">
        <v>2481722</v>
      </c>
      <c r="T62" s="231">
        <v>-34416</v>
      </c>
      <c r="U62" s="396">
        <v>2447306</v>
      </c>
      <c r="V62" s="231"/>
      <c r="W62" s="396">
        <v>15818834</v>
      </c>
      <c r="X62" s="396">
        <v>2951360</v>
      </c>
      <c r="Y62" s="396"/>
      <c r="Z62" s="396"/>
    </row>
    <row r="63" spans="1:26">
      <c r="A63" s="424">
        <v>90721</v>
      </c>
      <c r="B63" s="423" t="s">
        <v>776</v>
      </c>
      <c r="C63" s="234">
        <v>2.1699999999999999E-5</v>
      </c>
      <c r="D63" s="234">
        <v>2.27E-5</v>
      </c>
      <c r="E63" s="231">
        <v>122419</v>
      </c>
      <c r="F63" s="231" t="s">
        <v>1924</v>
      </c>
      <c r="G63" s="392">
        <v>5275</v>
      </c>
      <c r="H63" s="392">
        <v>40461</v>
      </c>
      <c r="I63" s="392">
        <v>12215</v>
      </c>
      <c r="J63" s="231">
        <v>7148</v>
      </c>
      <c r="K63" s="231">
        <v>65099</v>
      </c>
      <c r="L63" s="231"/>
      <c r="M63" s="300">
        <v>517</v>
      </c>
      <c r="N63" s="300">
        <v>0</v>
      </c>
      <c r="O63" s="300">
        <v>0</v>
      </c>
      <c r="P63" s="231">
        <v>1046</v>
      </c>
      <c r="Q63" s="231">
        <v>1563</v>
      </c>
      <c r="R63" s="231"/>
      <c r="S63" s="392">
        <v>34664</v>
      </c>
      <c r="T63" s="231">
        <v>2839</v>
      </c>
      <c r="U63" s="396">
        <v>37503</v>
      </c>
      <c r="V63" s="231"/>
      <c r="W63" s="396">
        <v>220951</v>
      </c>
      <c r="X63" s="396">
        <v>41223</v>
      </c>
      <c r="Y63" s="396"/>
      <c r="Z63" s="396"/>
    </row>
    <row r="64" spans="1:26">
      <c r="A64" s="424">
        <v>90731</v>
      </c>
      <c r="B64" s="423" t="s">
        <v>777</v>
      </c>
      <c r="C64" s="234">
        <v>1.6119999999999999E-4</v>
      </c>
      <c r="D64" s="234">
        <v>1.3540000000000001E-4</v>
      </c>
      <c r="E64" s="231">
        <v>909398</v>
      </c>
      <c r="F64" s="231" t="s">
        <v>1924</v>
      </c>
      <c r="G64" s="392">
        <v>39185</v>
      </c>
      <c r="H64" s="392">
        <v>300566</v>
      </c>
      <c r="I64" s="392">
        <v>90738</v>
      </c>
      <c r="J64" s="231">
        <v>52901</v>
      </c>
      <c r="K64" s="231">
        <v>483390</v>
      </c>
      <c r="L64" s="231"/>
      <c r="M64" s="300">
        <v>3842</v>
      </c>
      <c r="N64" s="300">
        <v>0</v>
      </c>
      <c r="O64" s="300">
        <v>0</v>
      </c>
      <c r="P64" s="231">
        <v>13434</v>
      </c>
      <c r="Q64" s="231">
        <v>17276</v>
      </c>
      <c r="R64" s="231"/>
      <c r="S64" s="392">
        <v>257501</v>
      </c>
      <c r="T64" s="231">
        <v>12639</v>
      </c>
      <c r="U64" s="396">
        <v>270140</v>
      </c>
      <c r="V64" s="231"/>
      <c r="W64" s="396">
        <v>1641347</v>
      </c>
      <c r="X64" s="396">
        <v>306230</v>
      </c>
      <c r="Y64" s="396"/>
      <c r="Z64" s="396"/>
    </row>
    <row r="65" spans="1:26">
      <c r="A65" s="424">
        <v>90741</v>
      </c>
      <c r="B65" s="423" t="s">
        <v>778</v>
      </c>
      <c r="C65" s="234">
        <v>1.29E-5</v>
      </c>
      <c r="D65" s="234">
        <v>1.3200000000000001E-5</v>
      </c>
      <c r="E65" s="231">
        <v>72774</v>
      </c>
      <c r="F65" s="231" t="s">
        <v>1924</v>
      </c>
      <c r="G65" s="392">
        <v>3136</v>
      </c>
      <c r="H65" s="392">
        <v>24053</v>
      </c>
      <c r="I65" s="392">
        <v>7261</v>
      </c>
      <c r="J65" s="231">
        <v>316</v>
      </c>
      <c r="K65" s="231">
        <v>34766</v>
      </c>
      <c r="L65" s="231"/>
      <c r="M65" s="300">
        <v>307</v>
      </c>
      <c r="N65" s="300">
        <v>0</v>
      </c>
      <c r="O65" s="300">
        <v>0</v>
      </c>
      <c r="P65" s="231">
        <v>450</v>
      </c>
      <c r="Q65" s="231">
        <v>757</v>
      </c>
      <c r="R65" s="231"/>
      <c r="S65" s="392">
        <v>20606</v>
      </c>
      <c r="T65" s="231">
        <v>813</v>
      </c>
      <c r="U65" s="396">
        <v>21419</v>
      </c>
      <c r="V65" s="231"/>
      <c r="W65" s="396">
        <v>131348</v>
      </c>
      <c r="X65" s="396">
        <v>24506</v>
      </c>
      <c r="Y65" s="396"/>
      <c r="Z65" s="396"/>
    </row>
    <row r="66" spans="1:26">
      <c r="A66" s="424">
        <v>90751</v>
      </c>
      <c r="B66" s="423" t="s">
        <v>779</v>
      </c>
      <c r="C66" s="234">
        <v>1.292E-4</v>
      </c>
      <c r="D66" s="234">
        <v>6.1199999999999997E-5</v>
      </c>
      <c r="E66" s="231">
        <v>728872</v>
      </c>
      <c r="F66" s="231" t="s">
        <v>1924</v>
      </c>
      <c r="G66" s="392">
        <v>31406</v>
      </c>
      <c r="H66" s="392">
        <v>240900</v>
      </c>
      <c r="I66" s="392">
        <v>72725</v>
      </c>
      <c r="J66" s="231">
        <v>122436</v>
      </c>
      <c r="K66" s="231">
        <v>467467</v>
      </c>
      <c r="L66" s="231"/>
      <c r="M66" s="300">
        <v>3079</v>
      </c>
      <c r="N66" s="300">
        <v>0</v>
      </c>
      <c r="O66" s="300">
        <v>0</v>
      </c>
      <c r="P66" s="231">
        <v>4194</v>
      </c>
      <c r="Q66" s="231">
        <v>7273</v>
      </c>
      <c r="R66" s="231"/>
      <c r="S66" s="392">
        <v>206384</v>
      </c>
      <c r="T66" s="231">
        <v>37300</v>
      </c>
      <c r="U66" s="396">
        <v>243684</v>
      </c>
      <c r="V66" s="231"/>
      <c r="W66" s="396">
        <v>1315521</v>
      </c>
      <c r="X66" s="396">
        <v>245440</v>
      </c>
      <c r="Y66" s="396"/>
      <c r="Z66" s="396"/>
    </row>
    <row r="67" spans="1:26">
      <c r="A67" s="424">
        <v>90801</v>
      </c>
      <c r="B67" s="423" t="s">
        <v>780</v>
      </c>
      <c r="C67" s="234">
        <v>1.2254E-3</v>
      </c>
      <c r="D67" s="234">
        <v>1.1333000000000001E-3</v>
      </c>
      <c r="E67" s="231">
        <v>6913006</v>
      </c>
      <c r="F67" s="231" t="s">
        <v>1924</v>
      </c>
      <c r="G67" s="392">
        <v>297875</v>
      </c>
      <c r="H67" s="392">
        <v>2284821</v>
      </c>
      <c r="I67" s="392">
        <v>689763</v>
      </c>
      <c r="J67" s="231">
        <v>69856</v>
      </c>
      <c r="K67" s="231">
        <v>3342315</v>
      </c>
      <c r="L67" s="231"/>
      <c r="M67" s="300">
        <v>29205</v>
      </c>
      <c r="N67" s="300">
        <v>0</v>
      </c>
      <c r="O67" s="300">
        <v>0</v>
      </c>
      <c r="P67" s="231">
        <v>207340</v>
      </c>
      <c r="Q67" s="231">
        <v>236545</v>
      </c>
      <c r="R67" s="231"/>
      <c r="S67" s="392">
        <v>1957455</v>
      </c>
      <c r="T67" s="231">
        <v>-120478</v>
      </c>
      <c r="U67" s="396">
        <v>1836977</v>
      </c>
      <c r="V67" s="231"/>
      <c r="W67" s="396">
        <v>12477085</v>
      </c>
      <c r="X67" s="396">
        <v>2327881</v>
      </c>
      <c r="Y67" s="396"/>
      <c r="Z67" s="396"/>
    </row>
    <row r="68" spans="1:26">
      <c r="A68" s="424">
        <v>90804</v>
      </c>
      <c r="B68" s="423" t="s">
        <v>781</v>
      </c>
      <c r="C68" s="234">
        <v>4.4000000000000002E-6</v>
      </c>
      <c r="D68" s="234">
        <v>5.0000000000000004E-6</v>
      </c>
      <c r="E68" s="231">
        <v>24822</v>
      </c>
      <c r="F68" s="231" t="s">
        <v>1924</v>
      </c>
      <c r="G68" s="392">
        <v>1070</v>
      </c>
      <c r="H68" s="392">
        <v>8204</v>
      </c>
      <c r="I68" s="392">
        <v>2477</v>
      </c>
      <c r="J68" s="231">
        <v>254</v>
      </c>
      <c r="K68" s="231">
        <v>12005</v>
      </c>
      <c r="L68" s="231"/>
      <c r="M68" s="300">
        <v>105</v>
      </c>
      <c r="N68" s="300">
        <v>0</v>
      </c>
      <c r="O68" s="300">
        <v>0</v>
      </c>
      <c r="P68" s="231">
        <v>566</v>
      </c>
      <c r="Q68" s="231">
        <v>671</v>
      </c>
      <c r="R68" s="231"/>
      <c r="S68" s="392">
        <v>7029</v>
      </c>
      <c r="T68" s="231">
        <v>-264</v>
      </c>
      <c r="U68" s="396">
        <v>6765</v>
      </c>
      <c r="V68" s="231"/>
      <c r="W68" s="396">
        <v>44801</v>
      </c>
      <c r="X68" s="396">
        <v>8359</v>
      </c>
      <c r="Y68" s="396"/>
      <c r="Z68" s="396"/>
    </row>
    <row r="69" spans="1:26">
      <c r="A69" s="424">
        <v>90805</v>
      </c>
      <c r="B69" s="423" t="s">
        <v>782</v>
      </c>
      <c r="C69" s="234">
        <v>5.9799999999999997E-5</v>
      </c>
      <c r="D69" s="234">
        <v>6.0800000000000001E-5</v>
      </c>
      <c r="E69" s="231">
        <v>337357</v>
      </c>
      <c r="F69" s="231" t="s">
        <v>1924</v>
      </c>
      <c r="G69" s="392">
        <v>14536</v>
      </c>
      <c r="H69" s="392">
        <v>111500</v>
      </c>
      <c r="I69" s="392">
        <v>33661</v>
      </c>
      <c r="J69" s="231">
        <v>17163</v>
      </c>
      <c r="K69" s="231">
        <v>176860</v>
      </c>
      <c r="L69" s="231"/>
      <c r="M69" s="300">
        <v>1425</v>
      </c>
      <c r="N69" s="300">
        <v>0</v>
      </c>
      <c r="O69" s="300">
        <v>0</v>
      </c>
      <c r="P69" s="231">
        <v>0</v>
      </c>
      <c r="Q69" s="231">
        <v>1425</v>
      </c>
      <c r="R69" s="231"/>
      <c r="S69" s="392">
        <v>95525</v>
      </c>
      <c r="T69" s="231">
        <v>13229</v>
      </c>
      <c r="U69" s="396">
        <v>108754</v>
      </c>
      <c r="V69" s="231"/>
      <c r="W69" s="396">
        <v>608887</v>
      </c>
      <c r="X69" s="396">
        <v>113602</v>
      </c>
      <c r="Y69" s="396"/>
      <c r="Z69" s="396"/>
    </row>
    <row r="70" spans="1:26">
      <c r="A70" s="424">
        <v>90808</v>
      </c>
      <c r="B70" s="423" t="s">
        <v>783</v>
      </c>
      <c r="C70" s="234">
        <v>1.164E-4</v>
      </c>
      <c r="D70" s="234">
        <v>1.2530000000000001E-4</v>
      </c>
      <c r="E70" s="231">
        <v>656662</v>
      </c>
      <c r="F70" s="231" t="s">
        <v>1924</v>
      </c>
      <c r="G70" s="392">
        <v>28295</v>
      </c>
      <c r="H70" s="392">
        <v>217034</v>
      </c>
      <c r="I70" s="392">
        <v>65520</v>
      </c>
      <c r="J70" s="231">
        <v>14218</v>
      </c>
      <c r="K70" s="231">
        <v>325067</v>
      </c>
      <c r="L70" s="231"/>
      <c r="M70" s="300">
        <v>2774</v>
      </c>
      <c r="N70" s="300">
        <v>0</v>
      </c>
      <c r="O70" s="300">
        <v>0</v>
      </c>
      <c r="P70" s="231">
        <v>34589</v>
      </c>
      <c r="Q70" s="231">
        <v>37363</v>
      </c>
      <c r="R70" s="231"/>
      <c r="S70" s="392">
        <v>185937</v>
      </c>
      <c r="T70" s="231">
        <v>-1017</v>
      </c>
      <c r="U70" s="396">
        <v>184920</v>
      </c>
      <c r="V70" s="231"/>
      <c r="W70" s="396">
        <v>1185191</v>
      </c>
      <c r="X70" s="396">
        <v>221124</v>
      </c>
      <c r="Y70" s="396"/>
      <c r="Z70" s="396"/>
    </row>
    <row r="71" spans="1:26">
      <c r="A71" s="424">
        <v>90811</v>
      </c>
      <c r="B71" s="423" t="s">
        <v>784</v>
      </c>
      <c r="C71" s="234">
        <v>3.3699999999999999E-5</v>
      </c>
      <c r="D71" s="234">
        <v>3.3099999999999998E-5</v>
      </c>
      <c r="E71" s="231">
        <v>190116</v>
      </c>
      <c r="F71" s="231" t="s">
        <v>1924</v>
      </c>
      <c r="G71" s="392">
        <v>8192</v>
      </c>
      <c r="H71" s="392">
        <v>62835</v>
      </c>
      <c r="I71" s="392">
        <v>18969</v>
      </c>
      <c r="J71" s="231">
        <v>3166</v>
      </c>
      <c r="K71" s="231">
        <v>93162</v>
      </c>
      <c r="L71" s="231"/>
      <c r="M71" s="300">
        <v>803</v>
      </c>
      <c r="N71" s="300">
        <v>0</v>
      </c>
      <c r="O71" s="300">
        <v>0</v>
      </c>
      <c r="P71" s="231">
        <v>8588</v>
      </c>
      <c r="Q71" s="231">
        <v>9391</v>
      </c>
      <c r="R71" s="231"/>
      <c r="S71" s="392">
        <v>53832</v>
      </c>
      <c r="T71" s="231">
        <v>-3780</v>
      </c>
      <c r="U71" s="396">
        <v>50052</v>
      </c>
      <c r="V71" s="231"/>
      <c r="W71" s="396">
        <v>343135</v>
      </c>
      <c r="X71" s="396">
        <v>64020</v>
      </c>
      <c r="Y71" s="396"/>
      <c r="Z71" s="396"/>
    </row>
    <row r="72" spans="1:26">
      <c r="A72" s="424">
        <v>90812</v>
      </c>
      <c r="B72" s="423" t="s">
        <v>785</v>
      </c>
      <c r="C72" s="234">
        <v>2.1780000000000001E-4</v>
      </c>
      <c r="D72" s="234">
        <v>2.22E-4</v>
      </c>
      <c r="E72" s="231">
        <v>1228703</v>
      </c>
      <c r="F72" s="231" t="s">
        <v>1924</v>
      </c>
      <c r="G72" s="392">
        <v>52944</v>
      </c>
      <c r="H72" s="392">
        <v>406099</v>
      </c>
      <c r="I72" s="392">
        <v>122597</v>
      </c>
      <c r="J72" s="231">
        <v>10938</v>
      </c>
      <c r="K72" s="231">
        <v>592578</v>
      </c>
      <c r="L72" s="231"/>
      <c r="M72" s="300">
        <v>5191</v>
      </c>
      <c r="N72" s="300">
        <v>0</v>
      </c>
      <c r="O72" s="300">
        <v>0</v>
      </c>
      <c r="P72" s="231">
        <v>21871</v>
      </c>
      <c r="Q72" s="231">
        <v>27062</v>
      </c>
      <c r="R72" s="231"/>
      <c r="S72" s="392">
        <v>347914</v>
      </c>
      <c r="T72" s="231">
        <v>-7422</v>
      </c>
      <c r="U72" s="396">
        <v>340492</v>
      </c>
      <c r="V72" s="231"/>
      <c r="W72" s="396">
        <v>2217651</v>
      </c>
      <c r="X72" s="396">
        <v>413753</v>
      </c>
      <c r="Y72" s="396"/>
      <c r="Z72" s="396"/>
    </row>
    <row r="73" spans="1:26">
      <c r="A73" s="424">
        <v>90813</v>
      </c>
      <c r="B73" s="423" t="s">
        <v>786</v>
      </c>
      <c r="C73" s="234">
        <v>3.8E-6</v>
      </c>
      <c r="D73" s="234">
        <v>0</v>
      </c>
      <c r="E73" s="231">
        <v>21437</v>
      </c>
      <c r="F73" s="231" t="s">
        <v>1924</v>
      </c>
      <c r="G73" s="392">
        <v>924</v>
      </c>
      <c r="H73" s="392">
        <v>7085</v>
      </c>
      <c r="I73" s="392">
        <v>2139</v>
      </c>
      <c r="J73" s="231">
        <v>6669</v>
      </c>
      <c r="K73" s="231">
        <v>16817</v>
      </c>
      <c r="L73" s="231"/>
      <c r="M73" s="300">
        <v>91</v>
      </c>
      <c r="N73" s="300">
        <v>0</v>
      </c>
      <c r="O73" s="300">
        <v>0</v>
      </c>
      <c r="P73" s="231">
        <v>3765</v>
      </c>
      <c r="Q73" s="231">
        <v>3856</v>
      </c>
      <c r="R73" s="231"/>
      <c r="S73" s="392">
        <v>6070</v>
      </c>
      <c r="T73" s="231">
        <v>58</v>
      </c>
      <c r="U73" s="396">
        <v>6128</v>
      </c>
      <c r="V73" s="231"/>
      <c r="W73" s="396">
        <v>38692</v>
      </c>
      <c r="X73" s="396">
        <v>7219</v>
      </c>
      <c r="Y73" s="396"/>
      <c r="Z73" s="396"/>
    </row>
    <row r="74" spans="1:26">
      <c r="A74" s="424">
        <v>90861</v>
      </c>
      <c r="B74" s="423" t="s">
        <v>787</v>
      </c>
      <c r="C74" s="234">
        <v>1.1999999999999999E-6</v>
      </c>
      <c r="D74" s="234">
        <v>3.5999999999999998E-6</v>
      </c>
      <c r="E74" s="231">
        <v>6770</v>
      </c>
      <c r="F74" s="231" t="s">
        <v>1924</v>
      </c>
      <c r="G74" s="392">
        <v>292</v>
      </c>
      <c r="H74" s="392">
        <v>2237</v>
      </c>
      <c r="I74" s="392">
        <v>675</v>
      </c>
      <c r="J74" s="231">
        <v>3784</v>
      </c>
      <c r="K74" s="231">
        <v>6988</v>
      </c>
      <c r="L74" s="231"/>
      <c r="M74" s="300">
        <v>29</v>
      </c>
      <c r="N74" s="300">
        <v>0</v>
      </c>
      <c r="O74" s="300">
        <v>0</v>
      </c>
      <c r="P74" s="231">
        <v>2149</v>
      </c>
      <c r="Q74" s="231">
        <v>2178</v>
      </c>
      <c r="R74" s="231"/>
      <c r="S74" s="392">
        <v>1917</v>
      </c>
      <c r="T74" s="231">
        <v>1522</v>
      </c>
      <c r="U74" s="396">
        <v>3439</v>
      </c>
      <c r="V74" s="231"/>
      <c r="W74" s="396">
        <v>12218</v>
      </c>
      <c r="X74" s="396">
        <v>2280</v>
      </c>
      <c r="Y74" s="396"/>
      <c r="Z74" s="396"/>
    </row>
    <row r="75" spans="1:26">
      <c r="A75" s="424">
        <v>90901</v>
      </c>
      <c r="B75" s="423" t="s">
        <v>788</v>
      </c>
      <c r="C75" s="234">
        <v>2.085E-3</v>
      </c>
      <c r="D75" s="234">
        <v>2.0815E-3</v>
      </c>
      <c r="E75" s="231">
        <v>11762377</v>
      </c>
      <c r="F75" s="231" t="s">
        <v>1924</v>
      </c>
      <c r="G75" s="392">
        <v>506830</v>
      </c>
      <c r="H75" s="392">
        <v>3887589</v>
      </c>
      <c r="I75" s="392">
        <v>1173621</v>
      </c>
      <c r="J75" s="231">
        <v>55395</v>
      </c>
      <c r="K75" s="231">
        <v>5623435</v>
      </c>
      <c r="L75" s="231"/>
      <c r="M75" s="300">
        <v>49692</v>
      </c>
      <c r="N75" s="300">
        <v>0</v>
      </c>
      <c r="O75" s="300">
        <v>0</v>
      </c>
      <c r="P75" s="231">
        <v>71581</v>
      </c>
      <c r="Q75" s="231">
        <v>121273</v>
      </c>
      <c r="R75" s="231"/>
      <c r="S75" s="392">
        <v>3330581</v>
      </c>
      <c r="T75" s="231">
        <v>-39522</v>
      </c>
      <c r="U75" s="396">
        <v>3291059</v>
      </c>
      <c r="V75" s="231"/>
      <c r="W75" s="396">
        <v>21229576</v>
      </c>
      <c r="X75" s="396">
        <v>3960856</v>
      </c>
      <c r="Y75" s="396"/>
      <c r="Z75" s="396"/>
    </row>
    <row r="76" spans="1:26">
      <c r="A76" s="424">
        <v>90911</v>
      </c>
      <c r="B76" s="423" t="s">
        <v>789</v>
      </c>
      <c r="C76" s="234">
        <v>3.191E-4</v>
      </c>
      <c r="D76" s="234">
        <v>3.5619999999999998E-4</v>
      </c>
      <c r="E76" s="231">
        <v>1800180</v>
      </c>
      <c r="F76" s="231" t="s">
        <v>1924</v>
      </c>
      <c r="G76" s="392">
        <v>77568</v>
      </c>
      <c r="H76" s="392">
        <v>594978</v>
      </c>
      <c r="I76" s="392">
        <v>179618</v>
      </c>
      <c r="J76" s="231">
        <v>0</v>
      </c>
      <c r="K76" s="231">
        <v>852164</v>
      </c>
      <c r="L76" s="231"/>
      <c r="M76" s="300">
        <v>7605</v>
      </c>
      <c r="N76" s="300">
        <v>0</v>
      </c>
      <c r="O76" s="300">
        <v>0</v>
      </c>
      <c r="P76" s="231">
        <v>109017</v>
      </c>
      <c r="Q76" s="231">
        <v>116622</v>
      </c>
      <c r="R76" s="231"/>
      <c r="S76" s="392">
        <v>509731</v>
      </c>
      <c r="T76" s="231">
        <v>-56561</v>
      </c>
      <c r="U76" s="396">
        <v>453170</v>
      </c>
      <c r="V76" s="231"/>
      <c r="W76" s="396">
        <v>3249092</v>
      </c>
      <c r="X76" s="396">
        <v>606191</v>
      </c>
      <c r="Y76" s="396"/>
      <c r="Z76" s="396"/>
    </row>
    <row r="77" spans="1:26">
      <c r="A77" s="424">
        <v>90917</v>
      </c>
      <c r="B77" s="423" t="s">
        <v>790</v>
      </c>
      <c r="C77" s="234">
        <v>1.01E-5</v>
      </c>
      <c r="D77" s="234">
        <v>9.5000000000000005E-6</v>
      </c>
      <c r="E77" s="231">
        <v>56978</v>
      </c>
      <c r="F77" s="231" t="s">
        <v>1924</v>
      </c>
      <c r="G77" s="392">
        <v>2455</v>
      </c>
      <c r="H77" s="392">
        <v>18832</v>
      </c>
      <c r="I77" s="392">
        <v>5685</v>
      </c>
      <c r="J77" s="231">
        <v>4339</v>
      </c>
      <c r="K77" s="231">
        <v>31311</v>
      </c>
      <c r="L77" s="231"/>
      <c r="M77" s="300">
        <v>241</v>
      </c>
      <c r="N77" s="300">
        <v>0</v>
      </c>
      <c r="O77" s="300">
        <v>0</v>
      </c>
      <c r="P77" s="231">
        <v>519</v>
      </c>
      <c r="Q77" s="231">
        <v>760</v>
      </c>
      <c r="R77" s="231"/>
      <c r="S77" s="392">
        <v>16134</v>
      </c>
      <c r="T77" s="231">
        <v>1507</v>
      </c>
      <c r="U77" s="396">
        <v>17641</v>
      </c>
      <c r="V77" s="231"/>
      <c r="W77" s="396">
        <v>102839</v>
      </c>
      <c r="X77" s="396">
        <v>19187</v>
      </c>
      <c r="Y77" s="396"/>
      <c r="Z77" s="396"/>
    </row>
    <row r="78" spans="1:26">
      <c r="A78" s="424">
        <v>90918</v>
      </c>
      <c r="B78" s="423" t="s">
        <v>791</v>
      </c>
      <c r="C78" s="234">
        <v>9.0000000000000002E-6</v>
      </c>
      <c r="D78" s="234">
        <v>9.3999999999999998E-6</v>
      </c>
      <c r="E78" s="231">
        <v>50773</v>
      </c>
      <c r="F78" s="231" t="s">
        <v>1924</v>
      </c>
      <c r="G78" s="392">
        <v>2188</v>
      </c>
      <c r="H78" s="392">
        <v>16781</v>
      </c>
      <c r="I78" s="392">
        <v>5066</v>
      </c>
      <c r="J78" s="231">
        <v>0</v>
      </c>
      <c r="K78" s="231">
        <v>24035</v>
      </c>
      <c r="L78" s="231"/>
      <c r="M78" s="300">
        <v>214</v>
      </c>
      <c r="N78" s="300">
        <v>0</v>
      </c>
      <c r="O78" s="300">
        <v>0</v>
      </c>
      <c r="P78" s="231">
        <v>1245</v>
      </c>
      <c r="Q78" s="231">
        <v>1459</v>
      </c>
      <c r="R78" s="231"/>
      <c r="S78" s="392">
        <v>14377</v>
      </c>
      <c r="T78" s="231">
        <v>-1017</v>
      </c>
      <c r="U78" s="396">
        <v>13360</v>
      </c>
      <c r="V78" s="231"/>
      <c r="W78" s="396">
        <v>91638</v>
      </c>
      <c r="X78" s="396">
        <v>17097</v>
      </c>
      <c r="Y78" s="396"/>
      <c r="Z78" s="396"/>
    </row>
    <row r="79" spans="1:26">
      <c r="A79" s="424">
        <v>90921</v>
      </c>
      <c r="B79" s="423" t="s">
        <v>792</v>
      </c>
      <c r="C79" s="234">
        <v>1.1909999999999999E-4</v>
      </c>
      <c r="D79" s="234">
        <v>1.145E-4</v>
      </c>
      <c r="E79" s="231">
        <v>671894</v>
      </c>
      <c r="F79" s="231" t="s">
        <v>1924</v>
      </c>
      <c r="G79" s="392">
        <v>28951</v>
      </c>
      <c r="H79" s="392">
        <v>222068</v>
      </c>
      <c r="I79" s="392">
        <v>67040</v>
      </c>
      <c r="J79" s="231">
        <v>24913</v>
      </c>
      <c r="K79" s="231">
        <v>342972</v>
      </c>
      <c r="L79" s="231"/>
      <c r="M79" s="300">
        <v>2839</v>
      </c>
      <c r="N79" s="300">
        <v>0</v>
      </c>
      <c r="O79" s="300">
        <v>0</v>
      </c>
      <c r="P79" s="231">
        <v>4380</v>
      </c>
      <c r="Q79" s="231">
        <v>7219</v>
      </c>
      <c r="R79" s="231"/>
      <c r="S79" s="392">
        <v>190250</v>
      </c>
      <c r="T79" s="231">
        <v>6709</v>
      </c>
      <c r="U79" s="396">
        <v>196959</v>
      </c>
      <c r="V79" s="231"/>
      <c r="W79" s="396">
        <v>1212682</v>
      </c>
      <c r="X79" s="396">
        <v>226253</v>
      </c>
      <c r="Y79" s="396"/>
      <c r="Z79" s="396"/>
    </row>
    <row r="80" spans="1:26">
      <c r="A80" s="424">
        <v>90931</v>
      </c>
      <c r="B80" s="423" t="s">
        <v>793</v>
      </c>
      <c r="C80" s="234">
        <v>2.4600000000000002E-5</v>
      </c>
      <c r="D80" s="234">
        <v>3.2199999999999997E-5</v>
      </c>
      <c r="E80" s="231">
        <v>138779</v>
      </c>
      <c r="F80" s="231" t="s">
        <v>1924</v>
      </c>
      <c r="G80" s="392">
        <v>5980</v>
      </c>
      <c r="H80" s="392">
        <v>45868</v>
      </c>
      <c r="I80" s="392">
        <v>13847</v>
      </c>
      <c r="J80" s="231">
        <v>174</v>
      </c>
      <c r="K80" s="231">
        <v>65869</v>
      </c>
      <c r="L80" s="231"/>
      <c r="M80" s="300">
        <v>586</v>
      </c>
      <c r="N80" s="300">
        <v>0</v>
      </c>
      <c r="O80" s="300">
        <v>0</v>
      </c>
      <c r="P80" s="231">
        <v>13255</v>
      </c>
      <c r="Q80" s="231">
        <v>13841</v>
      </c>
      <c r="R80" s="231"/>
      <c r="S80" s="392">
        <v>39296</v>
      </c>
      <c r="T80" s="231">
        <v>-7231</v>
      </c>
      <c r="U80" s="396">
        <v>32065</v>
      </c>
      <c r="V80" s="231"/>
      <c r="W80" s="396">
        <v>250478</v>
      </c>
      <c r="X80" s="396">
        <v>46732</v>
      </c>
      <c r="Y80" s="396"/>
      <c r="Z80" s="396"/>
    </row>
    <row r="81" spans="1:26">
      <c r="A81" s="424">
        <v>90941</v>
      </c>
      <c r="B81" s="423" t="s">
        <v>794</v>
      </c>
      <c r="C81" s="234">
        <v>8.1500000000000002E-5</v>
      </c>
      <c r="D81" s="234">
        <v>7.3800000000000005E-5</v>
      </c>
      <c r="E81" s="231">
        <v>459776</v>
      </c>
      <c r="F81" s="231" t="s">
        <v>1924</v>
      </c>
      <c r="G81" s="392">
        <v>19811</v>
      </c>
      <c r="H81" s="392">
        <v>151961</v>
      </c>
      <c r="I81" s="392">
        <v>45875</v>
      </c>
      <c r="J81" s="231">
        <v>10655</v>
      </c>
      <c r="K81" s="231">
        <v>228302</v>
      </c>
      <c r="L81" s="231"/>
      <c r="M81" s="300">
        <v>1942</v>
      </c>
      <c r="N81" s="300">
        <v>0</v>
      </c>
      <c r="O81" s="300">
        <v>0</v>
      </c>
      <c r="P81" s="231">
        <v>5233</v>
      </c>
      <c r="Q81" s="231">
        <v>7175</v>
      </c>
      <c r="R81" s="231"/>
      <c r="S81" s="392">
        <v>130188</v>
      </c>
      <c r="T81" s="231">
        <v>984</v>
      </c>
      <c r="U81" s="396">
        <v>131172</v>
      </c>
      <c r="V81" s="231"/>
      <c r="W81" s="396">
        <v>829837</v>
      </c>
      <c r="X81" s="396">
        <v>154825</v>
      </c>
      <c r="Y81" s="396"/>
      <c r="Z81" s="396"/>
    </row>
    <row r="82" spans="1:26">
      <c r="A82" s="424">
        <v>91001</v>
      </c>
      <c r="B82" s="423" t="s">
        <v>795</v>
      </c>
      <c r="C82" s="234">
        <v>7.2585000000000002E-3</v>
      </c>
      <c r="D82" s="234">
        <v>7.1763E-3</v>
      </c>
      <c r="E82" s="231">
        <v>40948305</v>
      </c>
      <c r="F82" s="231" t="s">
        <v>1924</v>
      </c>
      <c r="G82" s="392">
        <v>1764425</v>
      </c>
      <c r="H82" s="392">
        <v>13533843</v>
      </c>
      <c r="I82" s="392">
        <v>4085723</v>
      </c>
      <c r="J82" s="231">
        <v>175720</v>
      </c>
      <c r="K82" s="231">
        <v>19559711</v>
      </c>
      <c r="L82" s="231"/>
      <c r="M82" s="300">
        <v>172992</v>
      </c>
      <c r="N82" s="300">
        <v>0</v>
      </c>
      <c r="O82" s="300">
        <v>0</v>
      </c>
      <c r="P82" s="231">
        <v>261897</v>
      </c>
      <c r="Q82" s="231">
        <v>434889</v>
      </c>
      <c r="R82" s="231"/>
      <c r="S82" s="392">
        <v>11594735</v>
      </c>
      <c r="T82" s="231">
        <v>-115165</v>
      </c>
      <c r="U82" s="396">
        <v>11479570</v>
      </c>
      <c r="V82" s="231"/>
      <c r="W82" s="396">
        <v>73906417</v>
      </c>
      <c r="X82" s="396">
        <v>13788907</v>
      </c>
      <c r="Y82" s="396"/>
      <c r="Z82" s="396"/>
    </row>
    <row r="83" spans="1:26">
      <c r="A83" s="424">
        <v>91002</v>
      </c>
      <c r="B83" s="423" t="s">
        <v>796</v>
      </c>
      <c r="C83" s="234">
        <v>1.5610000000000001E-3</v>
      </c>
      <c r="D83" s="234">
        <v>1.2972000000000001E-3</v>
      </c>
      <c r="E83" s="231">
        <v>8806269</v>
      </c>
      <c r="F83" s="231" t="s">
        <v>1924</v>
      </c>
      <c r="G83" s="392">
        <v>379454</v>
      </c>
      <c r="H83" s="392">
        <v>2910564</v>
      </c>
      <c r="I83" s="392">
        <v>878668</v>
      </c>
      <c r="J83" s="231">
        <v>347492</v>
      </c>
      <c r="K83" s="231">
        <v>4516178</v>
      </c>
      <c r="L83" s="231"/>
      <c r="M83" s="300">
        <v>37203</v>
      </c>
      <c r="N83" s="300">
        <v>0</v>
      </c>
      <c r="O83" s="300">
        <v>0</v>
      </c>
      <c r="P83" s="231">
        <v>78399</v>
      </c>
      <c r="Q83" s="231">
        <v>115602</v>
      </c>
      <c r="R83" s="231"/>
      <c r="S83" s="392">
        <v>2493543</v>
      </c>
      <c r="T83" s="231">
        <v>114026</v>
      </c>
      <c r="U83" s="396">
        <v>2607569</v>
      </c>
      <c r="V83" s="231"/>
      <c r="W83" s="396">
        <v>15894182</v>
      </c>
      <c r="X83" s="396">
        <v>2965418</v>
      </c>
      <c r="Y83" s="396"/>
      <c r="Z83" s="396"/>
    </row>
    <row r="84" spans="1:26">
      <c r="A84" s="424">
        <v>91003</v>
      </c>
      <c r="B84" s="423" t="s">
        <v>797</v>
      </c>
      <c r="C84" s="234">
        <v>5.8900000000000001E-4</v>
      </c>
      <c r="D84" s="234">
        <v>6.0979999999999997E-4</v>
      </c>
      <c r="E84" s="231">
        <v>3322801</v>
      </c>
      <c r="F84" s="231" t="s">
        <v>1924</v>
      </c>
      <c r="G84" s="392">
        <v>143176</v>
      </c>
      <c r="H84" s="392">
        <v>1098221</v>
      </c>
      <c r="I84" s="392">
        <v>331541</v>
      </c>
      <c r="J84" s="231">
        <v>48756</v>
      </c>
      <c r="K84" s="231">
        <v>1621694</v>
      </c>
      <c r="L84" s="231"/>
      <c r="M84" s="300">
        <v>14038</v>
      </c>
      <c r="N84" s="300">
        <v>0</v>
      </c>
      <c r="O84" s="300">
        <v>0</v>
      </c>
      <c r="P84" s="231">
        <v>9918</v>
      </c>
      <c r="Q84" s="231">
        <v>23956</v>
      </c>
      <c r="R84" s="231"/>
      <c r="S84" s="392">
        <v>940869</v>
      </c>
      <c r="T84" s="231">
        <v>17214</v>
      </c>
      <c r="U84" s="396">
        <v>958083</v>
      </c>
      <c r="V84" s="231"/>
      <c r="W84" s="396">
        <v>5997228</v>
      </c>
      <c r="X84" s="396">
        <v>1118918</v>
      </c>
      <c r="Y84" s="396"/>
      <c r="Z84" s="396"/>
    </row>
    <row r="85" spans="1:26">
      <c r="A85" s="424">
        <v>91004</v>
      </c>
      <c r="B85" s="423" t="s">
        <v>798</v>
      </c>
      <c r="C85" s="234">
        <v>4.18E-5</v>
      </c>
      <c r="D85" s="234">
        <v>4.2299999999999998E-5</v>
      </c>
      <c r="E85" s="231">
        <v>235812</v>
      </c>
      <c r="F85" s="231" t="s">
        <v>1924</v>
      </c>
      <c r="G85" s="392">
        <v>10161</v>
      </c>
      <c r="H85" s="392">
        <v>77938</v>
      </c>
      <c r="I85" s="392">
        <v>23529</v>
      </c>
      <c r="J85" s="231">
        <v>5551</v>
      </c>
      <c r="K85" s="231">
        <v>117179</v>
      </c>
      <c r="L85" s="231"/>
      <c r="M85" s="300">
        <v>996</v>
      </c>
      <c r="N85" s="300">
        <v>0</v>
      </c>
      <c r="O85" s="300">
        <v>0</v>
      </c>
      <c r="P85" s="231">
        <v>3366</v>
      </c>
      <c r="Q85" s="231">
        <v>4362</v>
      </c>
      <c r="R85" s="231"/>
      <c r="S85" s="392">
        <v>66771</v>
      </c>
      <c r="T85" s="231">
        <v>3305</v>
      </c>
      <c r="U85" s="396">
        <v>70076</v>
      </c>
      <c r="V85" s="231"/>
      <c r="W85" s="396">
        <v>425610</v>
      </c>
      <c r="X85" s="396">
        <v>79407</v>
      </c>
      <c r="Y85" s="396"/>
      <c r="Z85" s="396"/>
    </row>
    <row r="86" spans="1:26">
      <c r="A86" s="424">
        <v>91006</v>
      </c>
      <c r="B86" s="423" t="s">
        <v>799</v>
      </c>
      <c r="C86" s="234">
        <v>1.0460999999999999E-3</v>
      </c>
      <c r="D86" s="234">
        <v>1.0070999999999999E-3</v>
      </c>
      <c r="E86" s="231">
        <v>5901498</v>
      </c>
      <c r="F86" s="231" t="s">
        <v>1924</v>
      </c>
      <c r="G86" s="392">
        <v>254290</v>
      </c>
      <c r="H86" s="392">
        <v>1950507</v>
      </c>
      <c r="I86" s="392">
        <v>588837</v>
      </c>
      <c r="J86" s="231">
        <v>62951</v>
      </c>
      <c r="K86" s="231">
        <v>2856585</v>
      </c>
      <c r="L86" s="231"/>
      <c r="M86" s="300">
        <v>24932</v>
      </c>
      <c r="N86" s="300">
        <v>0</v>
      </c>
      <c r="O86" s="300">
        <v>0</v>
      </c>
      <c r="P86" s="231">
        <v>64481</v>
      </c>
      <c r="Q86" s="231">
        <v>89413</v>
      </c>
      <c r="R86" s="231"/>
      <c r="S86" s="392">
        <v>1671041</v>
      </c>
      <c r="T86" s="231">
        <v>-29822</v>
      </c>
      <c r="U86" s="396">
        <v>1641219</v>
      </c>
      <c r="V86" s="231"/>
      <c r="W86" s="396">
        <v>10651444</v>
      </c>
      <c r="X86" s="396">
        <v>1987267</v>
      </c>
      <c r="Y86" s="396"/>
      <c r="Z86" s="396"/>
    </row>
    <row r="87" spans="1:26">
      <c r="A87" s="425">
        <v>91007</v>
      </c>
      <c r="B87" s="426" t="s">
        <v>800</v>
      </c>
      <c r="C87" s="234">
        <v>1.11E-5</v>
      </c>
      <c r="D87" s="234">
        <v>1.06E-5</v>
      </c>
      <c r="E87" s="231">
        <v>62620</v>
      </c>
      <c r="F87" s="231" t="s">
        <v>1924</v>
      </c>
      <c r="G87" s="392">
        <v>2698</v>
      </c>
      <c r="H87" s="392">
        <v>20697</v>
      </c>
      <c r="I87" s="392">
        <v>6248</v>
      </c>
      <c r="J87" s="231">
        <v>1728</v>
      </c>
      <c r="K87" s="231">
        <v>31371</v>
      </c>
      <c r="L87" s="231"/>
      <c r="M87" s="300">
        <v>265</v>
      </c>
      <c r="N87" s="300">
        <v>0</v>
      </c>
      <c r="O87" s="300">
        <v>0</v>
      </c>
      <c r="P87" s="231">
        <v>366</v>
      </c>
      <c r="Q87" s="231">
        <v>631</v>
      </c>
      <c r="R87" s="231"/>
      <c r="S87" s="392">
        <v>17731</v>
      </c>
      <c r="T87" s="231">
        <v>772</v>
      </c>
      <c r="U87" s="396">
        <v>18503</v>
      </c>
      <c r="V87" s="231"/>
      <c r="W87" s="396">
        <v>113021</v>
      </c>
      <c r="X87" s="396">
        <v>21087</v>
      </c>
      <c r="Y87" s="396"/>
      <c r="Z87" s="396"/>
    </row>
    <row r="88" spans="1:26">
      <c r="A88" s="424">
        <v>91008</v>
      </c>
      <c r="B88" s="423" t="s">
        <v>801</v>
      </c>
      <c r="C88" s="234">
        <v>1.6780000000000001E-4</v>
      </c>
      <c r="D88" s="234">
        <v>1.5679999999999999E-4</v>
      </c>
      <c r="E88" s="231">
        <v>946632</v>
      </c>
      <c r="F88" s="231" t="s">
        <v>1924</v>
      </c>
      <c r="G88" s="392">
        <v>40789</v>
      </c>
      <c r="H88" s="392">
        <v>312872</v>
      </c>
      <c r="I88" s="392">
        <v>94453</v>
      </c>
      <c r="J88" s="231">
        <v>25681</v>
      </c>
      <c r="K88" s="231">
        <v>473795</v>
      </c>
      <c r="L88" s="231"/>
      <c r="M88" s="300">
        <v>3999</v>
      </c>
      <c r="N88" s="300">
        <v>0</v>
      </c>
      <c r="O88" s="300">
        <v>0</v>
      </c>
      <c r="P88" s="231">
        <v>0</v>
      </c>
      <c r="Q88" s="231">
        <v>3999</v>
      </c>
      <c r="R88" s="231"/>
      <c r="S88" s="392">
        <v>268044</v>
      </c>
      <c r="T88" s="231">
        <v>16850</v>
      </c>
      <c r="U88" s="396">
        <v>284894</v>
      </c>
      <c r="V88" s="231"/>
      <c r="W88" s="396">
        <v>1708548</v>
      </c>
      <c r="X88" s="396">
        <v>318768</v>
      </c>
      <c r="Y88" s="396"/>
      <c r="Z88" s="396"/>
    </row>
    <row r="89" spans="1:26">
      <c r="A89" s="424">
        <v>91009</v>
      </c>
      <c r="B89" s="423" t="s">
        <v>802</v>
      </c>
      <c r="C89" s="234">
        <v>1.47E-5</v>
      </c>
      <c r="D89" s="234">
        <v>1.1199999999999999E-5</v>
      </c>
      <c r="E89" s="231">
        <v>82929</v>
      </c>
      <c r="F89" s="231" t="s">
        <v>1924</v>
      </c>
      <c r="G89" s="392">
        <v>3573</v>
      </c>
      <c r="H89" s="392">
        <v>27409</v>
      </c>
      <c r="I89" s="392">
        <v>8274</v>
      </c>
      <c r="J89" s="231">
        <v>18149</v>
      </c>
      <c r="K89" s="231">
        <v>57405</v>
      </c>
      <c r="L89" s="231"/>
      <c r="M89" s="300">
        <v>350</v>
      </c>
      <c r="N89" s="300">
        <v>0</v>
      </c>
      <c r="O89" s="300">
        <v>0</v>
      </c>
      <c r="P89" s="231">
        <v>162</v>
      </c>
      <c r="Q89" s="231">
        <v>512</v>
      </c>
      <c r="R89" s="231"/>
      <c r="S89" s="392">
        <v>23482</v>
      </c>
      <c r="T89" s="231">
        <v>8772</v>
      </c>
      <c r="U89" s="396">
        <v>32254</v>
      </c>
      <c r="V89" s="231"/>
      <c r="W89" s="396">
        <v>149676</v>
      </c>
      <c r="X89" s="396">
        <v>27925</v>
      </c>
      <c r="Y89" s="396"/>
      <c r="Z89" s="396"/>
    </row>
    <row r="90" spans="1:26">
      <c r="A90" s="424">
        <v>91010</v>
      </c>
      <c r="B90" s="423" t="s">
        <v>803</v>
      </c>
      <c r="C90" s="234">
        <v>4.9299999999999999E-5</v>
      </c>
      <c r="D90" s="234">
        <v>4.8999999999999998E-5</v>
      </c>
      <c r="E90" s="231">
        <v>278122</v>
      </c>
      <c r="F90" s="231" t="s">
        <v>1924</v>
      </c>
      <c r="G90" s="392">
        <v>11984</v>
      </c>
      <c r="H90" s="392">
        <v>91922</v>
      </c>
      <c r="I90" s="392">
        <v>27750</v>
      </c>
      <c r="J90" s="231">
        <v>15985</v>
      </c>
      <c r="K90" s="231">
        <v>147641</v>
      </c>
      <c r="L90" s="231"/>
      <c r="M90" s="300">
        <v>1175</v>
      </c>
      <c r="N90" s="300">
        <v>0</v>
      </c>
      <c r="O90" s="300">
        <v>0</v>
      </c>
      <c r="P90" s="231">
        <v>639</v>
      </c>
      <c r="Q90" s="231">
        <v>1814</v>
      </c>
      <c r="R90" s="231"/>
      <c r="S90" s="392">
        <v>78752</v>
      </c>
      <c r="T90" s="231">
        <v>4510</v>
      </c>
      <c r="U90" s="396">
        <v>83262</v>
      </c>
      <c r="V90" s="231"/>
      <c r="W90" s="396">
        <v>501975</v>
      </c>
      <c r="X90" s="396">
        <v>93655</v>
      </c>
      <c r="Y90" s="396"/>
      <c r="Z90" s="396"/>
    </row>
    <row r="91" spans="1:26">
      <c r="A91" s="424">
        <v>91011</v>
      </c>
      <c r="B91" s="423" t="s">
        <v>804</v>
      </c>
      <c r="C91" s="234">
        <v>4.261E-4</v>
      </c>
      <c r="D91" s="234">
        <v>4.0470000000000002E-4</v>
      </c>
      <c r="E91" s="231">
        <v>2403812</v>
      </c>
      <c r="F91" s="231" t="s">
        <v>1924</v>
      </c>
      <c r="G91" s="392">
        <v>103578</v>
      </c>
      <c r="H91" s="392">
        <v>794485</v>
      </c>
      <c r="I91" s="392">
        <v>239847</v>
      </c>
      <c r="J91" s="231">
        <v>100880</v>
      </c>
      <c r="K91" s="231">
        <v>1238790</v>
      </c>
      <c r="L91" s="231"/>
      <c r="M91" s="300">
        <v>10155</v>
      </c>
      <c r="N91" s="300">
        <v>0</v>
      </c>
      <c r="O91" s="300">
        <v>0</v>
      </c>
      <c r="P91" s="231">
        <v>6324</v>
      </c>
      <c r="Q91" s="231">
        <v>16479</v>
      </c>
      <c r="R91" s="231"/>
      <c r="S91" s="392">
        <v>680653</v>
      </c>
      <c r="T91" s="231">
        <v>53641</v>
      </c>
      <c r="U91" s="396">
        <v>734294</v>
      </c>
      <c r="V91" s="231"/>
      <c r="W91" s="396">
        <v>4338572</v>
      </c>
      <c r="X91" s="396">
        <v>809458</v>
      </c>
      <c r="Y91" s="396"/>
      <c r="Z91" s="396"/>
    </row>
    <row r="92" spans="1:26">
      <c r="A92" s="424">
        <v>91012</v>
      </c>
      <c r="B92" s="423" t="s">
        <v>805</v>
      </c>
      <c r="C92" s="234">
        <v>8.6000000000000007E-6</v>
      </c>
      <c r="D92" s="234">
        <v>1.3900000000000001E-5</v>
      </c>
      <c r="E92" s="231">
        <v>48516</v>
      </c>
      <c r="F92" s="231" t="s">
        <v>1924</v>
      </c>
      <c r="G92" s="392">
        <v>2091</v>
      </c>
      <c r="H92" s="392">
        <v>16035</v>
      </c>
      <c r="I92" s="392">
        <v>4841</v>
      </c>
      <c r="J92" s="231">
        <v>4418</v>
      </c>
      <c r="K92" s="231">
        <v>27385</v>
      </c>
      <c r="L92" s="231"/>
      <c r="M92" s="300">
        <v>205</v>
      </c>
      <c r="N92" s="300">
        <v>0</v>
      </c>
      <c r="O92" s="300">
        <v>0</v>
      </c>
      <c r="P92" s="231">
        <v>3522</v>
      </c>
      <c r="Q92" s="231">
        <v>3727</v>
      </c>
      <c r="R92" s="231"/>
      <c r="S92" s="392">
        <v>13738</v>
      </c>
      <c r="T92" s="231">
        <v>-182</v>
      </c>
      <c r="U92" s="396">
        <v>13556</v>
      </c>
      <c r="V92" s="231"/>
      <c r="W92" s="396">
        <v>87566</v>
      </c>
      <c r="X92" s="396">
        <v>16337</v>
      </c>
      <c r="Y92" s="396"/>
      <c r="Z92" s="396"/>
    </row>
    <row r="93" spans="1:26">
      <c r="A93" s="424">
        <v>91013</v>
      </c>
      <c r="B93" s="423" t="s">
        <v>806</v>
      </c>
      <c r="C93" s="234">
        <v>3.4900000000000001E-5</v>
      </c>
      <c r="D93" s="234">
        <v>3.6000000000000001E-5</v>
      </c>
      <c r="E93" s="231">
        <v>196886</v>
      </c>
      <c r="F93" s="231" t="s">
        <v>1924</v>
      </c>
      <c r="G93" s="392">
        <v>8484</v>
      </c>
      <c r="H93" s="392">
        <v>65073</v>
      </c>
      <c r="I93" s="392">
        <v>19645</v>
      </c>
      <c r="J93" s="231">
        <v>27521</v>
      </c>
      <c r="K93" s="231">
        <v>120723</v>
      </c>
      <c r="L93" s="231"/>
      <c r="M93" s="300">
        <v>832</v>
      </c>
      <c r="N93" s="300">
        <v>0</v>
      </c>
      <c r="O93" s="300">
        <v>0</v>
      </c>
      <c r="P93" s="231">
        <v>0</v>
      </c>
      <c r="Q93" s="231">
        <v>832</v>
      </c>
      <c r="R93" s="231"/>
      <c r="S93" s="392">
        <v>55749</v>
      </c>
      <c r="T93" s="231">
        <v>19417</v>
      </c>
      <c r="U93" s="396">
        <v>75166</v>
      </c>
      <c r="V93" s="231"/>
      <c r="W93" s="396">
        <v>355354</v>
      </c>
      <c r="X93" s="396">
        <v>66299</v>
      </c>
      <c r="Y93" s="396"/>
      <c r="Z93" s="396"/>
    </row>
    <row r="94" spans="1:26">
      <c r="A94" s="424">
        <v>91014</v>
      </c>
      <c r="B94" s="423" t="s">
        <v>807</v>
      </c>
      <c r="C94" s="234">
        <v>1.7330000000000001E-4</v>
      </c>
      <c r="D94" s="234">
        <v>1.8029999999999999E-4</v>
      </c>
      <c r="E94" s="231">
        <v>977659</v>
      </c>
      <c r="F94" s="231" t="s">
        <v>1924</v>
      </c>
      <c r="G94" s="392">
        <v>42126</v>
      </c>
      <c r="H94" s="392">
        <v>323127</v>
      </c>
      <c r="I94" s="392">
        <v>97548</v>
      </c>
      <c r="J94" s="231">
        <v>16362</v>
      </c>
      <c r="K94" s="231">
        <v>479163</v>
      </c>
      <c r="L94" s="231"/>
      <c r="M94" s="300">
        <v>4130</v>
      </c>
      <c r="N94" s="300">
        <v>0</v>
      </c>
      <c r="O94" s="300">
        <v>0</v>
      </c>
      <c r="P94" s="231">
        <v>3460</v>
      </c>
      <c r="Q94" s="231">
        <v>7590</v>
      </c>
      <c r="R94" s="231"/>
      <c r="S94" s="392">
        <v>276830</v>
      </c>
      <c r="T94" s="231">
        <v>1219</v>
      </c>
      <c r="U94" s="396">
        <v>278049</v>
      </c>
      <c r="V94" s="231"/>
      <c r="W94" s="396">
        <v>1764549</v>
      </c>
      <c r="X94" s="396">
        <v>329216</v>
      </c>
      <c r="Y94" s="396"/>
      <c r="Z94" s="396"/>
    </row>
    <row r="95" spans="1:26">
      <c r="A95" s="424">
        <v>91015</v>
      </c>
      <c r="B95" s="423" t="s">
        <v>1636</v>
      </c>
      <c r="C95" s="234">
        <v>2.3E-5</v>
      </c>
      <c r="D95" s="234">
        <v>2.1699999999999999E-5</v>
      </c>
      <c r="E95" s="231">
        <v>129753</v>
      </c>
      <c r="F95" s="231" t="s">
        <v>1924</v>
      </c>
      <c r="G95" s="392">
        <v>5591</v>
      </c>
      <c r="H95" s="392">
        <v>42885</v>
      </c>
      <c r="I95" s="392">
        <v>12946</v>
      </c>
      <c r="J95" s="231">
        <v>28796</v>
      </c>
      <c r="K95" s="231">
        <v>90218</v>
      </c>
      <c r="L95" s="231"/>
      <c r="M95" s="300">
        <v>548</v>
      </c>
      <c r="N95" s="300">
        <v>0</v>
      </c>
      <c r="O95" s="300">
        <v>0</v>
      </c>
      <c r="P95" s="231">
        <v>0</v>
      </c>
      <c r="Q95" s="231">
        <v>548</v>
      </c>
      <c r="R95" s="231"/>
      <c r="S95" s="392">
        <v>36740</v>
      </c>
      <c r="T95" s="231">
        <v>19485</v>
      </c>
      <c r="U95" s="396">
        <v>56225</v>
      </c>
      <c r="V95" s="231"/>
      <c r="W95" s="396">
        <v>234187</v>
      </c>
      <c r="X95" s="396">
        <v>43693</v>
      </c>
      <c r="Y95" s="396"/>
      <c r="Z95" s="396"/>
    </row>
    <row r="96" spans="1:26">
      <c r="A96" s="424">
        <v>91017</v>
      </c>
      <c r="B96" s="423" t="s">
        <v>2009</v>
      </c>
      <c r="C96" s="234">
        <v>3.26E-5</v>
      </c>
      <c r="D96" s="234">
        <v>2.7500000000000001E-5</v>
      </c>
      <c r="E96" s="231">
        <v>183911</v>
      </c>
      <c r="F96" s="231" t="s">
        <v>1924</v>
      </c>
      <c r="G96" s="392">
        <v>7925</v>
      </c>
      <c r="H96" s="392">
        <v>60784</v>
      </c>
      <c r="I96" s="392">
        <v>18350</v>
      </c>
      <c r="J96" s="231">
        <v>11243</v>
      </c>
      <c r="K96" s="231">
        <v>98302</v>
      </c>
      <c r="L96" s="231"/>
      <c r="M96" s="300">
        <v>777</v>
      </c>
      <c r="N96" s="300">
        <v>0</v>
      </c>
      <c r="O96" s="300">
        <v>0</v>
      </c>
      <c r="P96" s="231">
        <v>458</v>
      </c>
      <c r="Q96" s="231">
        <v>1235</v>
      </c>
      <c r="R96" s="231"/>
      <c r="S96" s="392">
        <v>52075</v>
      </c>
      <c r="T96" s="231">
        <v>5189</v>
      </c>
      <c r="U96" s="396">
        <v>57264</v>
      </c>
      <c r="V96" s="231"/>
      <c r="W96" s="396">
        <v>331935</v>
      </c>
      <c r="X96" s="396">
        <v>61930</v>
      </c>
      <c r="Y96" s="396"/>
      <c r="Z96" s="396"/>
    </row>
    <row r="97" spans="1:26">
      <c r="A97" s="424">
        <v>91020</v>
      </c>
      <c r="B97" s="423" t="s">
        <v>809</v>
      </c>
      <c r="C97" s="234">
        <v>2.76E-5</v>
      </c>
      <c r="D97" s="234">
        <v>2.5400000000000001E-5</v>
      </c>
      <c r="E97" s="231">
        <v>155703</v>
      </c>
      <c r="F97" s="231" t="s">
        <v>1924</v>
      </c>
      <c r="G97" s="392">
        <v>6709</v>
      </c>
      <c r="H97" s="392">
        <v>51462</v>
      </c>
      <c r="I97" s="392">
        <v>15536</v>
      </c>
      <c r="J97" s="231">
        <v>10496</v>
      </c>
      <c r="K97" s="231">
        <v>84203</v>
      </c>
      <c r="L97" s="231"/>
      <c r="M97" s="300">
        <v>658</v>
      </c>
      <c r="N97" s="300">
        <v>0</v>
      </c>
      <c r="O97" s="300">
        <v>0</v>
      </c>
      <c r="P97" s="231">
        <v>2045</v>
      </c>
      <c r="Q97" s="231">
        <v>2703</v>
      </c>
      <c r="R97" s="231"/>
      <c r="S97" s="392">
        <v>44088</v>
      </c>
      <c r="T97" s="231">
        <v>3374</v>
      </c>
      <c r="U97" s="396">
        <v>47462</v>
      </c>
      <c r="V97" s="231"/>
      <c r="W97" s="396">
        <v>281025</v>
      </c>
      <c r="X97" s="396">
        <v>52431</v>
      </c>
      <c r="Y97" s="396"/>
      <c r="Z97" s="396"/>
    </row>
    <row r="98" spans="1:26">
      <c r="A98" s="424">
        <v>91021</v>
      </c>
      <c r="B98" s="423" t="s">
        <v>810</v>
      </c>
      <c r="C98" s="234">
        <v>9.0700000000000004E-4</v>
      </c>
      <c r="D98" s="234">
        <v>9.3899999999999995E-4</v>
      </c>
      <c r="E98" s="231">
        <v>5116775</v>
      </c>
      <c r="F98" s="231" t="s">
        <v>1924</v>
      </c>
      <c r="G98" s="392">
        <v>220477</v>
      </c>
      <c r="H98" s="392">
        <v>1691148</v>
      </c>
      <c r="I98" s="392">
        <v>510539</v>
      </c>
      <c r="J98" s="231">
        <v>27788</v>
      </c>
      <c r="K98" s="231">
        <v>2449952</v>
      </c>
      <c r="L98" s="231"/>
      <c r="M98" s="300">
        <v>21617</v>
      </c>
      <c r="N98" s="300">
        <v>0</v>
      </c>
      <c r="O98" s="300">
        <v>0</v>
      </c>
      <c r="P98" s="231">
        <v>57127</v>
      </c>
      <c r="Q98" s="231">
        <v>78744</v>
      </c>
      <c r="R98" s="231"/>
      <c r="S98" s="392">
        <v>1448843</v>
      </c>
      <c r="T98" s="231">
        <v>10252</v>
      </c>
      <c r="U98" s="396">
        <v>1459095</v>
      </c>
      <c r="V98" s="231"/>
      <c r="W98" s="396">
        <v>9235120</v>
      </c>
      <c r="X98" s="396">
        <v>1723020</v>
      </c>
      <c r="Y98" s="396"/>
      <c r="Z98" s="396"/>
    </row>
    <row r="99" spans="1:26">
      <c r="A99" s="424">
        <v>91024</v>
      </c>
      <c r="B99" s="423" t="s">
        <v>811</v>
      </c>
      <c r="C99" s="234">
        <v>8.8800000000000004E-5</v>
      </c>
      <c r="D99" s="234">
        <v>8.0000000000000007E-5</v>
      </c>
      <c r="E99" s="231">
        <v>500959</v>
      </c>
      <c r="F99" s="231" t="s">
        <v>1924</v>
      </c>
      <c r="G99" s="392">
        <v>21586</v>
      </c>
      <c r="H99" s="392">
        <v>165572</v>
      </c>
      <c r="I99" s="392">
        <v>49984</v>
      </c>
      <c r="J99" s="231">
        <v>31932</v>
      </c>
      <c r="K99" s="231">
        <v>269074</v>
      </c>
      <c r="L99" s="231"/>
      <c r="M99" s="300">
        <v>2116</v>
      </c>
      <c r="N99" s="300">
        <v>0</v>
      </c>
      <c r="O99" s="300">
        <v>0</v>
      </c>
      <c r="P99" s="231">
        <v>18642</v>
      </c>
      <c r="Q99" s="231">
        <v>20758</v>
      </c>
      <c r="R99" s="231"/>
      <c r="S99" s="392">
        <v>141849</v>
      </c>
      <c r="T99" s="231">
        <v>8953</v>
      </c>
      <c r="U99" s="396">
        <v>150802</v>
      </c>
      <c r="V99" s="231"/>
      <c r="W99" s="396">
        <v>904166</v>
      </c>
      <c r="X99" s="396">
        <v>168693</v>
      </c>
      <c r="Y99" s="396"/>
      <c r="Z99" s="396"/>
    </row>
    <row r="100" spans="1:26">
      <c r="A100" s="424">
        <v>91026</v>
      </c>
      <c r="B100" s="423" t="s">
        <v>43</v>
      </c>
      <c r="C100" s="234">
        <v>9.9000000000000001E-6</v>
      </c>
      <c r="D100" s="234">
        <v>3.1300000000000002E-5</v>
      </c>
      <c r="E100" s="231">
        <v>55850</v>
      </c>
      <c r="F100" s="231" t="s">
        <v>1924</v>
      </c>
      <c r="G100" s="392">
        <v>2407</v>
      </c>
      <c r="H100" s="392">
        <v>18459</v>
      </c>
      <c r="I100" s="392">
        <v>5573</v>
      </c>
      <c r="J100" s="231">
        <v>14822</v>
      </c>
      <c r="K100" s="231">
        <v>41261</v>
      </c>
      <c r="L100" s="231"/>
      <c r="M100" s="300">
        <v>236</v>
      </c>
      <c r="N100" s="300">
        <v>0</v>
      </c>
      <c r="O100" s="300">
        <v>0</v>
      </c>
      <c r="P100" s="231">
        <v>14087</v>
      </c>
      <c r="Q100" s="231">
        <v>14323</v>
      </c>
      <c r="R100" s="231"/>
      <c r="S100" s="392">
        <v>15814</v>
      </c>
      <c r="T100" s="231">
        <v>10994</v>
      </c>
      <c r="U100" s="396">
        <v>26808</v>
      </c>
      <c r="V100" s="231"/>
      <c r="W100" s="396">
        <v>100802</v>
      </c>
      <c r="X100" s="396">
        <v>18807</v>
      </c>
      <c r="Y100" s="396"/>
      <c r="Z100" s="396"/>
    </row>
    <row r="101" spans="1:26">
      <c r="A101" s="424">
        <v>91027</v>
      </c>
      <c r="B101" s="423" t="s">
        <v>812</v>
      </c>
      <c r="C101" s="234">
        <v>1.4600000000000001E-5</v>
      </c>
      <c r="D101" s="234">
        <v>1.9599999999999999E-5</v>
      </c>
      <c r="E101" s="231">
        <v>82365</v>
      </c>
      <c r="F101" s="231" t="s">
        <v>1924</v>
      </c>
      <c r="G101" s="392">
        <v>3549</v>
      </c>
      <c r="H101" s="392">
        <v>27222</v>
      </c>
      <c r="I101" s="392">
        <v>8218</v>
      </c>
      <c r="J101" s="231">
        <v>10251</v>
      </c>
      <c r="K101" s="231">
        <v>49240</v>
      </c>
      <c r="L101" s="231"/>
      <c r="M101" s="300">
        <v>348</v>
      </c>
      <c r="N101" s="300">
        <v>0</v>
      </c>
      <c r="O101" s="300">
        <v>0</v>
      </c>
      <c r="P101" s="231">
        <v>269</v>
      </c>
      <c r="Q101" s="231">
        <v>617</v>
      </c>
      <c r="R101" s="231"/>
      <c r="S101" s="392">
        <v>23322</v>
      </c>
      <c r="T101" s="231">
        <v>8600</v>
      </c>
      <c r="U101" s="396">
        <v>31922</v>
      </c>
      <c r="V101" s="231"/>
      <c r="W101" s="396">
        <v>148658</v>
      </c>
      <c r="X101" s="396">
        <v>27735</v>
      </c>
      <c r="Y101" s="396"/>
      <c r="Z101" s="396"/>
    </row>
    <row r="102" spans="1:26">
      <c r="A102" s="424">
        <v>91032</v>
      </c>
      <c r="B102" s="423" t="s">
        <v>813</v>
      </c>
      <c r="C102" s="234">
        <v>3.82E-5</v>
      </c>
      <c r="D102" s="234">
        <v>3.3699999999999999E-5</v>
      </c>
      <c r="E102" s="231">
        <v>215503</v>
      </c>
      <c r="F102" s="231" t="s">
        <v>1924</v>
      </c>
      <c r="G102" s="392">
        <v>9286</v>
      </c>
      <c r="H102" s="392">
        <v>71226</v>
      </c>
      <c r="I102" s="392">
        <v>21502</v>
      </c>
      <c r="J102" s="231">
        <v>40075</v>
      </c>
      <c r="K102" s="231">
        <v>142089</v>
      </c>
      <c r="L102" s="231"/>
      <c r="M102" s="300">
        <v>910</v>
      </c>
      <c r="N102" s="300">
        <v>0</v>
      </c>
      <c r="O102" s="300">
        <v>0</v>
      </c>
      <c r="P102" s="231">
        <v>0</v>
      </c>
      <c r="Q102" s="231">
        <v>910</v>
      </c>
      <c r="R102" s="231"/>
      <c r="S102" s="392">
        <v>61021</v>
      </c>
      <c r="T102" s="231">
        <v>23844</v>
      </c>
      <c r="U102" s="396">
        <v>84865</v>
      </c>
      <c r="V102" s="231"/>
      <c r="W102" s="396">
        <v>388954</v>
      </c>
      <c r="X102" s="396">
        <v>72568</v>
      </c>
      <c r="Y102" s="396"/>
      <c r="Z102" s="396"/>
    </row>
    <row r="103" spans="1:26">
      <c r="A103" s="424">
        <v>91041</v>
      </c>
      <c r="B103" s="423" t="s">
        <v>814</v>
      </c>
      <c r="C103" s="234">
        <v>4.371E-4</v>
      </c>
      <c r="D103" s="234">
        <v>4.1340000000000002E-4</v>
      </c>
      <c r="E103" s="231">
        <v>2465868</v>
      </c>
      <c r="F103" s="231" t="s">
        <v>1924</v>
      </c>
      <c r="G103" s="392">
        <v>106252</v>
      </c>
      <c r="H103" s="392">
        <v>814995</v>
      </c>
      <c r="I103" s="392">
        <v>246038</v>
      </c>
      <c r="J103" s="231">
        <v>29731</v>
      </c>
      <c r="K103" s="231">
        <v>1197016</v>
      </c>
      <c r="L103" s="231"/>
      <c r="M103" s="300">
        <v>10417</v>
      </c>
      <c r="N103" s="300">
        <v>0</v>
      </c>
      <c r="O103" s="300">
        <v>0</v>
      </c>
      <c r="P103" s="231">
        <v>92553</v>
      </c>
      <c r="Q103" s="231">
        <v>102970</v>
      </c>
      <c r="R103" s="231"/>
      <c r="S103" s="392">
        <v>698224</v>
      </c>
      <c r="T103" s="231">
        <v>-35588</v>
      </c>
      <c r="U103" s="396">
        <v>662636</v>
      </c>
      <c r="V103" s="231"/>
      <c r="W103" s="396">
        <v>4450574</v>
      </c>
      <c r="X103" s="396">
        <v>830355</v>
      </c>
      <c r="Y103" s="396"/>
      <c r="Z103" s="396"/>
    </row>
    <row r="104" spans="1:26">
      <c r="A104" s="424">
        <v>91042</v>
      </c>
      <c r="B104" s="423" t="s">
        <v>815</v>
      </c>
      <c r="C104" s="234">
        <v>4.4799999999999999E-4</v>
      </c>
      <c r="D104" s="234">
        <v>2.9639999999999999E-4</v>
      </c>
      <c r="E104" s="231">
        <v>2527360</v>
      </c>
      <c r="F104" s="231" t="s">
        <v>1924</v>
      </c>
      <c r="G104" s="392">
        <v>108902</v>
      </c>
      <c r="H104" s="392">
        <v>835319</v>
      </c>
      <c r="I104" s="392">
        <v>252174</v>
      </c>
      <c r="J104" s="231">
        <v>245919</v>
      </c>
      <c r="K104" s="231">
        <v>1442314</v>
      </c>
      <c r="L104" s="231"/>
      <c r="M104" s="300">
        <v>10677</v>
      </c>
      <c r="N104" s="300">
        <v>0</v>
      </c>
      <c r="O104" s="300">
        <v>0</v>
      </c>
      <c r="P104" s="231">
        <v>3221</v>
      </c>
      <c r="Q104" s="231">
        <v>13898</v>
      </c>
      <c r="R104" s="231"/>
      <c r="S104" s="392">
        <v>715636</v>
      </c>
      <c r="T104" s="231">
        <v>86940</v>
      </c>
      <c r="U104" s="396">
        <v>802576</v>
      </c>
      <c r="V104" s="231"/>
      <c r="W104" s="396">
        <v>4561559</v>
      </c>
      <c r="X104" s="396">
        <v>851062</v>
      </c>
      <c r="Y104" s="396"/>
      <c r="Z104" s="396"/>
    </row>
    <row r="105" spans="1:26">
      <c r="A105" s="424">
        <v>91047</v>
      </c>
      <c r="B105" s="423" t="s">
        <v>816</v>
      </c>
      <c r="C105" s="234">
        <v>1.34E-5</v>
      </c>
      <c r="D105" s="234">
        <v>1.24E-5</v>
      </c>
      <c r="E105" s="231">
        <v>75595</v>
      </c>
      <c r="F105" s="231" t="s">
        <v>1924</v>
      </c>
      <c r="G105" s="392">
        <v>3257</v>
      </c>
      <c r="H105" s="392">
        <v>24985</v>
      </c>
      <c r="I105" s="392">
        <v>7543</v>
      </c>
      <c r="J105" s="231">
        <v>11336</v>
      </c>
      <c r="K105" s="231">
        <v>47121</v>
      </c>
      <c r="L105" s="231"/>
      <c r="M105" s="300">
        <v>319</v>
      </c>
      <c r="N105" s="300">
        <v>0</v>
      </c>
      <c r="O105" s="300">
        <v>0</v>
      </c>
      <c r="P105" s="231">
        <v>7</v>
      </c>
      <c r="Q105" s="231">
        <v>326</v>
      </c>
      <c r="R105" s="231"/>
      <c r="S105" s="392">
        <v>21405</v>
      </c>
      <c r="T105" s="231">
        <v>8284</v>
      </c>
      <c r="U105" s="396">
        <v>29689</v>
      </c>
      <c r="V105" s="231"/>
      <c r="W105" s="396">
        <v>136439</v>
      </c>
      <c r="X105" s="396">
        <v>25456</v>
      </c>
      <c r="Y105" s="396"/>
      <c r="Z105" s="396"/>
    </row>
    <row r="106" spans="1:26">
      <c r="A106" s="424">
        <v>91051</v>
      </c>
      <c r="B106" s="423" t="s">
        <v>817</v>
      </c>
      <c r="C106" s="234">
        <v>4.0000000000000003E-5</v>
      </c>
      <c r="D106" s="234">
        <v>4.7299999999999998E-5</v>
      </c>
      <c r="E106" s="231">
        <v>225657</v>
      </c>
      <c r="F106" s="231" t="s">
        <v>1924</v>
      </c>
      <c r="G106" s="392">
        <v>9723</v>
      </c>
      <c r="H106" s="392">
        <v>74582</v>
      </c>
      <c r="I106" s="392">
        <v>22516</v>
      </c>
      <c r="J106" s="231">
        <v>2465</v>
      </c>
      <c r="K106" s="231">
        <v>109286</v>
      </c>
      <c r="L106" s="231"/>
      <c r="M106" s="300">
        <v>953</v>
      </c>
      <c r="N106" s="300">
        <v>0</v>
      </c>
      <c r="O106" s="300">
        <v>0</v>
      </c>
      <c r="P106" s="231">
        <v>9490</v>
      </c>
      <c r="Q106" s="231">
        <v>10443</v>
      </c>
      <c r="R106" s="231"/>
      <c r="S106" s="392">
        <v>63896</v>
      </c>
      <c r="T106" s="231">
        <v>-3304</v>
      </c>
      <c r="U106" s="396">
        <v>60592</v>
      </c>
      <c r="V106" s="231"/>
      <c r="W106" s="396">
        <v>407282</v>
      </c>
      <c r="X106" s="396">
        <v>75988</v>
      </c>
      <c r="Y106" s="396"/>
      <c r="Z106" s="396"/>
    </row>
    <row r="107" spans="1:26">
      <c r="A107" s="424">
        <v>91057</v>
      </c>
      <c r="B107" s="423" t="s">
        <v>818</v>
      </c>
      <c r="C107" s="234">
        <v>1.0499999999999999E-5</v>
      </c>
      <c r="D107" s="234">
        <v>1.11E-5</v>
      </c>
      <c r="E107" s="231">
        <v>59235</v>
      </c>
      <c r="F107" s="231" t="s">
        <v>1924</v>
      </c>
      <c r="G107" s="392">
        <v>2552</v>
      </c>
      <c r="H107" s="392">
        <v>19578</v>
      </c>
      <c r="I107" s="392">
        <v>5910</v>
      </c>
      <c r="J107" s="231">
        <v>9037</v>
      </c>
      <c r="K107" s="231">
        <v>37077</v>
      </c>
      <c r="L107" s="231"/>
      <c r="M107" s="300">
        <v>250</v>
      </c>
      <c r="N107" s="300">
        <v>0</v>
      </c>
      <c r="O107" s="300">
        <v>0</v>
      </c>
      <c r="P107" s="231">
        <v>834</v>
      </c>
      <c r="Q107" s="231">
        <v>1084</v>
      </c>
      <c r="R107" s="231"/>
      <c r="S107" s="392">
        <v>16773</v>
      </c>
      <c r="T107" s="231">
        <v>4269</v>
      </c>
      <c r="U107" s="396">
        <v>21042</v>
      </c>
      <c r="V107" s="231"/>
      <c r="W107" s="396">
        <v>106912</v>
      </c>
      <c r="X107" s="396">
        <v>19947</v>
      </c>
      <c r="Y107" s="396"/>
      <c r="Z107" s="396"/>
    </row>
    <row r="108" spans="1:26">
      <c r="A108" s="424">
        <v>91061</v>
      </c>
      <c r="B108" s="423" t="s">
        <v>819</v>
      </c>
      <c r="C108" s="234">
        <v>3.7320000000000002E-4</v>
      </c>
      <c r="D108" s="234">
        <v>3.7439999999999999E-4</v>
      </c>
      <c r="E108" s="231">
        <v>2105381</v>
      </c>
      <c r="F108" s="231" t="s">
        <v>1924</v>
      </c>
      <c r="G108" s="392">
        <v>90719</v>
      </c>
      <c r="H108" s="392">
        <v>695850</v>
      </c>
      <c r="I108" s="392">
        <v>210070</v>
      </c>
      <c r="J108" s="231">
        <v>1004</v>
      </c>
      <c r="K108" s="231">
        <v>997643</v>
      </c>
      <c r="L108" s="231"/>
      <c r="M108" s="300">
        <v>8894</v>
      </c>
      <c r="N108" s="300">
        <v>0</v>
      </c>
      <c r="O108" s="300">
        <v>0</v>
      </c>
      <c r="P108" s="231">
        <v>11766</v>
      </c>
      <c r="Q108" s="231">
        <v>20660</v>
      </c>
      <c r="R108" s="231"/>
      <c r="S108" s="392">
        <v>596150</v>
      </c>
      <c r="T108" s="231">
        <v>-12567</v>
      </c>
      <c r="U108" s="396">
        <v>583583</v>
      </c>
      <c r="V108" s="231"/>
      <c r="W108" s="396">
        <v>3799941</v>
      </c>
      <c r="X108" s="396">
        <v>708965</v>
      </c>
      <c r="Y108" s="396"/>
      <c r="Z108" s="396"/>
    </row>
    <row r="109" spans="1:26">
      <c r="A109" s="424">
        <v>91067</v>
      </c>
      <c r="B109" s="423" t="s">
        <v>820</v>
      </c>
      <c r="C109" s="234">
        <v>1.5299999999999999E-5</v>
      </c>
      <c r="D109" s="234">
        <v>1.5800000000000001E-5</v>
      </c>
      <c r="E109" s="231">
        <v>86314</v>
      </c>
      <c r="F109" s="231" t="s">
        <v>1924</v>
      </c>
      <c r="G109" s="392">
        <v>3719</v>
      </c>
      <c r="H109" s="392">
        <v>28528</v>
      </c>
      <c r="I109" s="392">
        <v>8612</v>
      </c>
      <c r="J109" s="231">
        <v>4373</v>
      </c>
      <c r="K109" s="231">
        <v>45232</v>
      </c>
      <c r="L109" s="231"/>
      <c r="M109" s="300">
        <v>365</v>
      </c>
      <c r="N109" s="300">
        <v>0</v>
      </c>
      <c r="O109" s="300">
        <v>0</v>
      </c>
      <c r="P109" s="231">
        <v>0</v>
      </c>
      <c r="Q109" s="231">
        <v>365</v>
      </c>
      <c r="R109" s="231"/>
      <c r="S109" s="392">
        <v>24440</v>
      </c>
      <c r="T109" s="231">
        <v>2380</v>
      </c>
      <c r="U109" s="396">
        <v>26820</v>
      </c>
      <c r="V109" s="231"/>
      <c r="W109" s="396">
        <v>155785</v>
      </c>
      <c r="X109" s="396">
        <v>29065</v>
      </c>
      <c r="Y109" s="396"/>
      <c r="Z109" s="396"/>
    </row>
    <row r="110" spans="1:26">
      <c r="A110" s="424">
        <v>91071</v>
      </c>
      <c r="B110" s="423" t="s">
        <v>821</v>
      </c>
      <c r="C110" s="234">
        <v>2.5569999999999998E-4</v>
      </c>
      <c r="D110" s="234">
        <v>2.1359999999999999E-4</v>
      </c>
      <c r="E110" s="231">
        <v>1442513</v>
      </c>
      <c r="F110" s="231" t="s">
        <v>1924</v>
      </c>
      <c r="G110" s="392">
        <v>62157</v>
      </c>
      <c r="H110" s="392">
        <v>476766</v>
      </c>
      <c r="I110" s="392">
        <v>143930</v>
      </c>
      <c r="J110" s="231">
        <v>68943</v>
      </c>
      <c r="K110" s="231">
        <v>751796</v>
      </c>
      <c r="L110" s="231"/>
      <c r="M110" s="300">
        <v>6094</v>
      </c>
      <c r="N110" s="300">
        <v>0</v>
      </c>
      <c r="O110" s="300">
        <v>0</v>
      </c>
      <c r="P110" s="231">
        <v>11085</v>
      </c>
      <c r="Q110" s="231">
        <v>17179</v>
      </c>
      <c r="R110" s="231"/>
      <c r="S110" s="392">
        <v>408455</v>
      </c>
      <c r="T110" s="231">
        <v>12419</v>
      </c>
      <c r="U110" s="396">
        <v>420874</v>
      </c>
      <c r="V110" s="231"/>
      <c r="W110" s="396">
        <v>2603550</v>
      </c>
      <c r="X110" s="396">
        <v>485751</v>
      </c>
      <c r="Y110" s="396"/>
      <c r="Z110" s="396"/>
    </row>
    <row r="111" spans="1:26">
      <c r="A111" s="424">
        <v>91077</v>
      </c>
      <c r="B111" s="423" t="s">
        <v>822</v>
      </c>
      <c r="C111" s="234">
        <v>1.4600000000000001E-5</v>
      </c>
      <c r="D111" s="234">
        <v>1.31E-5</v>
      </c>
      <c r="E111" s="231">
        <v>82365</v>
      </c>
      <c r="F111" s="231" t="s">
        <v>1924</v>
      </c>
      <c r="G111" s="392">
        <v>3549</v>
      </c>
      <c r="H111" s="392">
        <v>27222</v>
      </c>
      <c r="I111" s="392">
        <v>8218</v>
      </c>
      <c r="J111" s="231">
        <v>8769</v>
      </c>
      <c r="K111" s="231">
        <v>47758</v>
      </c>
      <c r="L111" s="231"/>
      <c r="M111" s="300">
        <v>348</v>
      </c>
      <c r="N111" s="300">
        <v>0</v>
      </c>
      <c r="O111" s="300">
        <v>0</v>
      </c>
      <c r="P111" s="231">
        <v>0</v>
      </c>
      <c r="Q111" s="231">
        <v>348</v>
      </c>
      <c r="R111" s="231"/>
      <c r="S111" s="392">
        <v>23322</v>
      </c>
      <c r="T111" s="231">
        <v>5758</v>
      </c>
      <c r="U111" s="396">
        <v>29080</v>
      </c>
      <c r="V111" s="231"/>
      <c r="W111" s="396">
        <v>148658</v>
      </c>
      <c r="X111" s="396">
        <v>27735</v>
      </c>
      <c r="Y111" s="396"/>
      <c r="Z111" s="396"/>
    </row>
    <row r="112" spans="1:26">
      <c r="A112" s="424">
        <v>91081</v>
      </c>
      <c r="B112" s="423" t="s">
        <v>823</v>
      </c>
      <c r="C112" s="234">
        <v>4.7800000000000002E-4</v>
      </c>
      <c r="D112" s="234">
        <v>4.3070000000000001E-4</v>
      </c>
      <c r="E112" s="231">
        <v>2696603</v>
      </c>
      <c r="F112" s="231" t="s">
        <v>1924</v>
      </c>
      <c r="G112" s="392">
        <v>116194</v>
      </c>
      <c r="H112" s="392">
        <v>891255</v>
      </c>
      <c r="I112" s="392">
        <v>269060</v>
      </c>
      <c r="J112" s="231">
        <v>42717</v>
      </c>
      <c r="K112" s="231">
        <v>1319226</v>
      </c>
      <c r="L112" s="231"/>
      <c r="M112" s="300">
        <v>11392</v>
      </c>
      <c r="N112" s="300">
        <v>0</v>
      </c>
      <c r="O112" s="300">
        <v>0</v>
      </c>
      <c r="P112" s="231">
        <v>6723</v>
      </c>
      <c r="Q112" s="231">
        <v>18115</v>
      </c>
      <c r="R112" s="231"/>
      <c r="S112" s="392">
        <v>763558</v>
      </c>
      <c r="T112" s="231">
        <v>17379</v>
      </c>
      <c r="U112" s="396">
        <v>780937</v>
      </c>
      <c r="V112" s="231"/>
      <c r="W112" s="396">
        <v>4867020</v>
      </c>
      <c r="X112" s="396">
        <v>908052</v>
      </c>
      <c r="Y112" s="396"/>
      <c r="Z112" s="396"/>
    </row>
    <row r="113" spans="1:26">
      <c r="A113" s="424">
        <v>91091</v>
      </c>
      <c r="B113" s="423" t="s">
        <v>824</v>
      </c>
      <c r="C113" s="234">
        <v>5.6459999999999995E-4</v>
      </c>
      <c r="D113" s="234">
        <v>5.8279999999999996E-4</v>
      </c>
      <c r="E113" s="231">
        <v>3185150</v>
      </c>
      <c r="F113" s="231" t="s">
        <v>1924</v>
      </c>
      <c r="G113" s="392">
        <v>137245</v>
      </c>
      <c r="H113" s="392">
        <v>1052725</v>
      </c>
      <c r="I113" s="392">
        <v>317807</v>
      </c>
      <c r="J113" s="231">
        <v>24652</v>
      </c>
      <c r="K113" s="231">
        <v>1532429</v>
      </c>
      <c r="L113" s="231"/>
      <c r="M113" s="300">
        <v>13456</v>
      </c>
      <c r="N113" s="300">
        <v>0</v>
      </c>
      <c r="O113" s="300">
        <v>0</v>
      </c>
      <c r="P113" s="231">
        <v>44964</v>
      </c>
      <c r="Q113" s="231">
        <v>58420</v>
      </c>
      <c r="R113" s="231"/>
      <c r="S113" s="392">
        <v>901893</v>
      </c>
      <c r="T113" s="231">
        <v>-3149</v>
      </c>
      <c r="U113" s="396">
        <v>898744</v>
      </c>
      <c r="V113" s="231"/>
      <c r="W113" s="396">
        <v>5748786</v>
      </c>
      <c r="X113" s="396">
        <v>1072566</v>
      </c>
      <c r="Y113" s="396"/>
      <c r="Z113" s="396"/>
    </row>
    <row r="114" spans="1:26">
      <c r="A114" s="424">
        <v>91101</v>
      </c>
      <c r="B114" s="423" t="s">
        <v>825</v>
      </c>
      <c r="C114" s="234">
        <v>1.35043E-2</v>
      </c>
      <c r="D114" s="234">
        <v>1.38049E-2</v>
      </c>
      <c r="E114" s="231">
        <v>76183536</v>
      </c>
      <c r="F114" s="231" t="s">
        <v>1924</v>
      </c>
      <c r="G114" s="392">
        <v>3282679</v>
      </c>
      <c r="H114" s="392">
        <v>25179456</v>
      </c>
      <c r="I114" s="392">
        <v>7601408</v>
      </c>
      <c r="J114" s="231">
        <v>566274</v>
      </c>
      <c r="K114" s="231">
        <v>36629817</v>
      </c>
      <c r="L114" s="231"/>
      <c r="M114" s="300">
        <v>321848</v>
      </c>
      <c r="N114" s="300">
        <v>0</v>
      </c>
      <c r="O114" s="300">
        <v>0</v>
      </c>
      <c r="P114" s="231">
        <v>1406844</v>
      </c>
      <c r="Q114" s="231">
        <v>1728692</v>
      </c>
      <c r="R114" s="231"/>
      <c r="S114" s="392">
        <v>21571782</v>
      </c>
      <c r="T114" s="231">
        <v>-465297</v>
      </c>
      <c r="U114" s="396">
        <v>21106485</v>
      </c>
      <c r="V114" s="231"/>
      <c r="W114" s="396">
        <v>137501471</v>
      </c>
      <c r="X114" s="396">
        <v>25653997</v>
      </c>
      <c r="Y114" s="396"/>
      <c r="Z114" s="396"/>
    </row>
    <row r="115" spans="1:26">
      <c r="A115" s="424">
        <v>91102</v>
      </c>
      <c r="B115" s="423" t="s">
        <v>826</v>
      </c>
      <c r="C115" s="234">
        <v>3.5639999999999999E-4</v>
      </c>
      <c r="D115" s="234">
        <v>2.8889999999999997E-4</v>
      </c>
      <c r="E115" s="231">
        <v>2010605</v>
      </c>
      <c r="F115" s="231" t="s">
        <v>1924</v>
      </c>
      <c r="G115" s="392">
        <v>86635</v>
      </c>
      <c r="H115" s="392">
        <v>664526</v>
      </c>
      <c r="I115" s="392">
        <v>200613</v>
      </c>
      <c r="J115" s="231">
        <v>129433</v>
      </c>
      <c r="K115" s="231">
        <v>1081207</v>
      </c>
      <c r="L115" s="231"/>
      <c r="M115" s="300">
        <v>8494</v>
      </c>
      <c r="N115" s="300">
        <v>0</v>
      </c>
      <c r="O115" s="300">
        <v>0</v>
      </c>
      <c r="P115" s="231">
        <v>17359</v>
      </c>
      <c r="Q115" s="231">
        <v>25853</v>
      </c>
      <c r="R115" s="231"/>
      <c r="S115" s="392">
        <v>569314</v>
      </c>
      <c r="T115" s="231">
        <v>27945</v>
      </c>
      <c r="U115" s="396">
        <v>597259</v>
      </c>
      <c r="V115" s="231"/>
      <c r="W115" s="396">
        <v>3628883</v>
      </c>
      <c r="X115" s="396">
        <v>677050</v>
      </c>
      <c r="Y115" s="396"/>
      <c r="Z115" s="396"/>
    </row>
    <row r="116" spans="1:26">
      <c r="A116" s="424">
        <v>91104</v>
      </c>
      <c r="B116" s="423" t="s">
        <v>827</v>
      </c>
      <c r="C116" s="234">
        <v>2.62E-5</v>
      </c>
      <c r="D116" s="234">
        <v>1.95E-5</v>
      </c>
      <c r="E116" s="231">
        <v>147805</v>
      </c>
      <c r="F116" s="231" t="s">
        <v>1924</v>
      </c>
      <c r="G116" s="392">
        <v>6369</v>
      </c>
      <c r="H116" s="392">
        <v>48851</v>
      </c>
      <c r="I116" s="392">
        <v>14748</v>
      </c>
      <c r="J116" s="231">
        <v>22905</v>
      </c>
      <c r="K116" s="231">
        <v>92873</v>
      </c>
      <c r="L116" s="231"/>
      <c r="M116" s="300">
        <v>624</v>
      </c>
      <c r="N116" s="300">
        <v>0</v>
      </c>
      <c r="O116" s="300">
        <v>0</v>
      </c>
      <c r="P116" s="231">
        <v>0</v>
      </c>
      <c r="Q116" s="231">
        <v>624</v>
      </c>
      <c r="R116" s="231"/>
      <c r="S116" s="392">
        <v>41852</v>
      </c>
      <c r="T116" s="231">
        <v>11602</v>
      </c>
      <c r="U116" s="396">
        <v>53454</v>
      </c>
      <c r="V116" s="231"/>
      <c r="W116" s="396">
        <v>266770</v>
      </c>
      <c r="X116" s="396">
        <v>49772</v>
      </c>
      <c r="Y116" s="396"/>
      <c r="Z116" s="396"/>
    </row>
    <row r="117" spans="1:26">
      <c r="A117" s="424">
        <v>91107</v>
      </c>
      <c r="B117" s="423" t="s">
        <v>3756</v>
      </c>
      <c r="C117" s="234">
        <v>4.9100000000000001E-5</v>
      </c>
      <c r="D117" s="234">
        <v>4.2500000000000003E-5</v>
      </c>
      <c r="E117" s="231">
        <v>276994</v>
      </c>
      <c r="F117" s="231" t="s">
        <v>1924</v>
      </c>
      <c r="G117" s="392">
        <v>11935</v>
      </c>
      <c r="H117" s="392">
        <v>91549</v>
      </c>
      <c r="I117" s="392">
        <v>27638</v>
      </c>
      <c r="J117" s="231">
        <v>30714</v>
      </c>
      <c r="K117" s="231">
        <v>161836</v>
      </c>
      <c r="L117" s="231"/>
      <c r="M117" s="300">
        <v>1170</v>
      </c>
      <c r="N117" s="300">
        <v>0</v>
      </c>
      <c r="O117" s="300">
        <v>0</v>
      </c>
      <c r="P117" s="231">
        <v>2837</v>
      </c>
      <c r="Q117" s="231">
        <v>4007</v>
      </c>
      <c r="R117" s="231"/>
      <c r="S117" s="392">
        <v>78432</v>
      </c>
      <c r="T117" s="231">
        <v>9613</v>
      </c>
      <c r="U117" s="396">
        <v>88045</v>
      </c>
      <c r="V117" s="231"/>
      <c r="W117" s="396">
        <v>499939</v>
      </c>
      <c r="X117" s="396">
        <v>93275</v>
      </c>
      <c r="Y117" s="396"/>
      <c r="Z117" s="396"/>
    </row>
    <row r="118" spans="1:26">
      <c r="A118" s="424">
        <v>91108</v>
      </c>
      <c r="B118" s="423" t="s">
        <v>829</v>
      </c>
      <c r="C118" s="234">
        <v>1.1075E-3</v>
      </c>
      <c r="D118" s="234">
        <v>1.1758000000000001E-3</v>
      </c>
      <c r="E118" s="231">
        <v>6247882</v>
      </c>
      <c r="F118" s="231" t="s">
        <v>1924</v>
      </c>
      <c r="G118" s="392">
        <v>269216</v>
      </c>
      <c r="H118" s="392">
        <v>2064990</v>
      </c>
      <c r="I118" s="392">
        <v>623398</v>
      </c>
      <c r="J118" s="231">
        <v>45737</v>
      </c>
      <c r="K118" s="231">
        <v>3003341</v>
      </c>
      <c r="L118" s="231"/>
      <c r="M118" s="300">
        <v>26395</v>
      </c>
      <c r="N118" s="300">
        <v>0</v>
      </c>
      <c r="O118" s="300">
        <v>0</v>
      </c>
      <c r="P118" s="231">
        <v>81804</v>
      </c>
      <c r="Q118" s="231">
        <v>108199</v>
      </c>
      <c r="R118" s="231"/>
      <c r="S118" s="392">
        <v>1769122</v>
      </c>
      <c r="T118" s="231">
        <v>3685</v>
      </c>
      <c r="U118" s="396">
        <v>1772807</v>
      </c>
      <c r="V118" s="231"/>
      <c r="W118" s="396">
        <v>11276621</v>
      </c>
      <c r="X118" s="396">
        <v>2103908</v>
      </c>
      <c r="Y118" s="396"/>
      <c r="Z118" s="396"/>
    </row>
    <row r="119" spans="1:26">
      <c r="A119" s="424">
        <v>91109</v>
      </c>
      <c r="B119" s="423" t="s">
        <v>830</v>
      </c>
      <c r="C119" s="234">
        <v>9.4699999999999998E-5</v>
      </c>
      <c r="D119" s="234">
        <v>1.0069999999999999E-4</v>
      </c>
      <c r="E119" s="231">
        <v>534243</v>
      </c>
      <c r="F119" s="231" t="s">
        <v>1924</v>
      </c>
      <c r="G119" s="392">
        <v>23020</v>
      </c>
      <c r="H119" s="392">
        <v>176573</v>
      </c>
      <c r="I119" s="392">
        <v>53305</v>
      </c>
      <c r="J119" s="231">
        <v>2231</v>
      </c>
      <c r="K119" s="231">
        <v>255129</v>
      </c>
      <c r="L119" s="231"/>
      <c r="M119" s="300">
        <v>2257</v>
      </c>
      <c r="N119" s="300">
        <v>0</v>
      </c>
      <c r="O119" s="300">
        <v>0</v>
      </c>
      <c r="P119" s="231">
        <v>15518</v>
      </c>
      <c r="Q119" s="231">
        <v>17775</v>
      </c>
      <c r="R119" s="231"/>
      <c r="S119" s="392">
        <v>151274</v>
      </c>
      <c r="T119" s="231">
        <v>-3052</v>
      </c>
      <c r="U119" s="396">
        <v>148222</v>
      </c>
      <c r="V119" s="231"/>
      <c r="W119" s="396">
        <v>964240</v>
      </c>
      <c r="X119" s="396">
        <v>179901</v>
      </c>
      <c r="Y119" s="396"/>
      <c r="Z119" s="396"/>
    </row>
    <row r="120" spans="1:26">
      <c r="A120" s="424">
        <v>91111</v>
      </c>
      <c r="B120" s="423" t="s">
        <v>831</v>
      </c>
      <c r="C120" s="234">
        <v>1.962E-4</v>
      </c>
      <c r="D120" s="234">
        <v>2.0819999999999999E-4</v>
      </c>
      <c r="E120" s="231">
        <v>1106848</v>
      </c>
      <c r="F120" s="231" t="s">
        <v>1924</v>
      </c>
      <c r="G120" s="392">
        <v>47693</v>
      </c>
      <c r="H120" s="392">
        <v>365825</v>
      </c>
      <c r="I120" s="392">
        <v>110439</v>
      </c>
      <c r="J120" s="231">
        <v>18587</v>
      </c>
      <c r="K120" s="231">
        <v>542544</v>
      </c>
      <c r="L120" s="231"/>
      <c r="M120" s="300">
        <v>4676</v>
      </c>
      <c r="N120" s="300">
        <v>0</v>
      </c>
      <c r="O120" s="300">
        <v>0</v>
      </c>
      <c r="P120" s="231">
        <v>26401</v>
      </c>
      <c r="Q120" s="231">
        <v>31077</v>
      </c>
      <c r="R120" s="231"/>
      <c r="S120" s="392">
        <v>313410</v>
      </c>
      <c r="T120" s="231">
        <v>1566</v>
      </c>
      <c r="U120" s="396">
        <v>314976</v>
      </c>
      <c r="V120" s="231"/>
      <c r="W120" s="396">
        <v>1997718</v>
      </c>
      <c r="X120" s="396">
        <v>372719</v>
      </c>
      <c r="Y120" s="396"/>
      <c r="Z120" s="396"/>
    </row>
    <row r="121" spans="1:26">
      <c r="A121" s="424">
        <v>91120</v>
      </c>
      <c r="B121" s="423" t="s">
        <v>832</v>
      </c>
      <c r="C121" s="234">
        <v>2.5910000000000001E-4</v>
      </c>
      <c r="D121" s="234">
        <v>2.4020000000000001E-4</v>
      </c>
      <c r="E121" s="231">
        <v>1461694</v>
      </c>
      <c r="F121" s="231" t="s">
        <v>1924</v>
      </c>
      <c r="G121" s="392">
        <v>62983</v>
      </c>
      <c r="H121" s="392">
        <v>483105</v>
      </c>
      <c r="I121" s="392">
        <v>145844</v>
      </c>
      <c r="J121" s="231">
        <v>30832</v>
      </c>
      <c r="K121" s="231">
        <v>722764</v>
      </c>
      <c r="L121" s="231"/>
      <c r="M121" s="300">
        <v>6175</v>
      </c>
      <c r="N121" s="300">
        <v>0</v>
      </c>
      <c r="O121" s="300">
        <v>0</v>
      </c>
      <c r="P121" s="231">
        <v>61890</v>
      </c>
      <c r="Q121" s="231">
        <v>68065</v>
      </c>
      <c r="R121" s="231"/>
      <c r="S121" s="392">
        <v>413887</v>
      </c>
      <c r="T121" s="231">
        <v>-2344</v>
      </c>
      <c r="U121" s="396">
        <v>411543</v>
      </c>
      <c r="V121" s="231"/>
      <c r="W121" s="396">
        <v>2638169</v>
      </c>
      <c r="X121" s="396">
        <v>492210</v>
      </c>
      <c r="Y121" s="396"/>
      <c r="Z121" s="396"/>
    </row>
    <row r="122" spans="1:26">
      <c r="A122" s="424">
        <v>91121</v>
      </c>
      <c r="B122" s="423" t="s">
        <v>833</v>
      </c>
      <c r="C122" s="234">
        <v>1.0184199999999999E-2</v>
      </c>
      <c r="D122" s="234">
        <v>1.01818E-2</v>
      </c>
      <c r="E122" s="231">
        <v>57453431</v>
      </c>
      <c r="F122" s="231" t="s">
        <v>1924</v>
      </c>
      <c r="G122" s="392">
        <v>2475616</v>
      </c>
      <c r="H122" s="392">
        <v>18988960</v>
      </c>
      <c r="I122" s="392">
        <v>5732564</v>
      </c>
      <c r="J122" s="231">
        <v>0</v>
      </c>
      <c r="K122" s="231">
        <v>27197140</v>
      </c>
      <c r="L122" s="231"/>
      <c r="M122" s="300">
        <v>242720</v>
      </c>
      <c r="N122" s="300">
        <v>0</v>
      </c>
      <c r="O122" s="300">
        <v>0</v>
      </c>
      <c r="P122" s="231">
        <v>1125787</v>
      </c>
      <c r="Q122" s="231">
        <v>1368507</v>
      </c>
      <c r="R122" s="231"/>
      <c r="S122" s="392">
        <v>16268251</v>
      </c>
      <c r="T122" s="231">
        <v>-599184</v>
      </c>
      <c r="U122" s="396">
        <v>15669067</v>
      </c>
      <c r="V122" s="231"/>
      <c r="W122" s="396">
        <v>103696044</v>
      </c>
      <c r="X122" s="396">
        <v>19346833</v>
      </c>
      <c r="Y122" s="396"/>
      <c r="Z122" s="396"/>
    </row>
    <row r="123" spans="1:26">
      <c r="A123" s="424">
        <v>91127</v>
      </c>
      <c r="B123" s="423" t="s">
        <v>834</v>
      </c>
      <c r="C123" s="234">
        <v>3.2430000000000002E-4</v>
      </c>
      <c r="D123" s="234">
        <v>3.1520000000000002E-4</v>
      </c>
      <c r="E123" s="231">
        <v>1829515</v>
      </c>
      <c r="F123" s="231" t="s">
        <v>1924</v>
      </c>
      <c r="G123" s="392">
        <v>78832</v>
      </c>
      <c r="H123" s="392">
        <v>604674</v>
      </c>
      <c r="I123" s="392">
        <v>182545</v>
      </c>
      <c r="J123" s="231">
        <v>98286</v>
      </c>
      <c r="K123" s="231">
        <v>964337</v>
      </c>
      <c r="L123" s="231"/>
      <c r="M123" s="300">
        <v>7729</v>
      </c>
      <c r="N123" s="300">
        <v>0</v>
      </c>
      <c r="O123" s="300">
        <v>0</v>
      </c>
      <c r="P123" s="231">
        <v>0</v>
      </c>
      <c r="Q123" s="231">
        <v>7729</v>
      </c>
      <c r="R123" s="231"/>
      <c r="S123" s="392">
        <v>518037</v>
      </c>
      <c r="T123" s="231">
        <v>56025</v>
      </c>
      <c r="U123" s="396">
        <v>574062</v>
      </c>
      <c r="V123" s="231"/>
      <c r="W123" s="396">
        <v>3302039</v>
      </c>
      <c r="X123" s="396">
        <v>616070</v>
      </c>
      <c r="Y123" s="396"/>
      <c r="Z123" s="396"/>
    </row>
    <row r="124" spans="1:26">
      <c r="A124" s="424">
        <v>91128</v>
      </c>
      <c r="B124" s="423" t="s">
        <v>835</v>
      </c>
      <c r="C124" s="234">
        <v>5.109E-4</v>
      </c>
      <c r="D124" s="234">
        <v>5.6170000000000005E-4</v>
      </c>
      <c r="E124" s="231">
        <v>2882206</v>
      </c>
      <c r="F124" s="231" t="s">
        <v>1924</v>
      </c>
      <c r="G124" s="392">
        <v>124192</v>
      </c>
      <c r="H124" s="392">
        <v>952599</v>
      </c>
      <c r="I124" s="392">
        <v>287579</v>
      </c>
      <c r="J124" s="231">
        <v>65620</v>
      </c>
      <c r="K124" s="231">
        <v>1429990</v>
      </c>
      <c r="L124" s="231"/>
      <c r="M124" s="300">
        <v>12176</v>
      </c>
      <c r="N124" s="300">
        <v>0</v>
      </c>
      <c r="O124" s="300">
        <v>0</v>
      </c>
      <c r="P124" s="231">
        <v>66175</v>
      </c>
      <c r="Q124" s="231">
        <v>78351</v>
      </c>
      <c r="R124" s="231"/>
      <c r="S124" s="392">
        <v>816112</v>
      </c>
      <c r="T124" s="231">
        <v>16729</v>
      </c>
      <c r="U124" s="396">
        <v>832841</v>
      </c>
      <c r="V124" s="231"/>
      <c r="W124" s="396">
        <v>5202010</v>
      </c>
      <c r="X124" s="396">
        <v>970552</v>
      </c>
      <c r="Y124" s="396"/>
      <c r="Z124" s="396"/>
    </row>
    <row r="125" spans="1:26">
      <c r="A125" s="424">
        <v>91138</v>
      </c>
      <c r="B125" s="423" t="s">
        <v>836</v>
      </c>
      <c r="C125" s="234">
        <v>4.7259999999999999E-4</v>
      </c>
      <c r="D125" s="234">
        <v>4.4339999999999999E-4</v>
      </c>
      <c r="E125" s="231">
        <v>2666139</v>
      </c>
      <c r="F125" s="231" t="s">
        <v>1924</v>
      </c>
      <c r="G125" s="392">
        <v>114881</v>
      </c>
      <c r="H125" s="392">
        <v>881187</v>
      </c>
      <c r="I125" s="392">
        <v>266021</v>
      </c>
      <c r="J125" s="231">
        <v>21665</v>
      </c>
      <c r="K125" s="231">
        <v>1283754</v>
      </c>
      <c r="L125" s="231"/>
      <c r="M125" s="300">
        <v>11263</v>
      </c>
      <c r="N125" s="300">
        <v>0</v>
      </c>
      <c r="O125" s="300">
        <v>0</v>
      </c>
      <c r="P125" s="231">
        <v>34509</v>
      </c>
      <c r="Q125" s="231">
        <v>45772</v>
      </c>
      <c r="R125" s="231"/>
      <c r="S125" s="392">
        <v>754932</v>
      </c>
      <c r="T125" s="231">
        <v>-57488</v>
      </c>
      <c r="U125" s="396">
        <v>697444</v>
      </c>
      <c r="V125" s="231"/>
      <c r="W125" s="396">
        <v>4812037</v>
      </c>
      <c r="X125" s="396">
        <v>897794</v>
      </c>
      <c r="Y125" s="396"/>
      <c r="Z125" s="396"/>
    </row>
    <row r="126" spans="1:26">
      <c r="A126" s="424">
        <v>91141</v>
      </c>
      <c r="B126" s="423" t="s">
        <v>837</v>
      </c>
      <c r="C126" s="234">
        <v>6.2089999999999997E-4</v>
      </c>
      <c r="D126" s="234">
        <v>6.0269999999999996E-4</v>
      </c>
      <c r="E126" s="231">
        <v>3502763</v>
      </c>
      <c r="F126" s="231" t="s">
        <v>1924</v>
      </c>
      <c r="G126" s="392">
        <v>150931</v>
      </c>
      <c r="H126" s="392">
        <v>1157700</v>
      </c>
      <c r="I126" s="392">
        <v>349497</v>
      </c>
      <c r="J126" s="231">
        <v>10296</v>
      </c>
      <c r="K126" s="231">
        <v>1668424</v>
      </c>
      <c r="L126" s="231"/>
      <c r="M126" s="300">
        <v>14798</v>
      </c>
      <c r="N126" s="300">
        <v>0</v>
      </c>
      <c r="O126" s="300">
        <v>0</v>
      </c>
      <c r="P126" s="231">
        <v>70867</v>
      </c>
      <c r="Q126" s="231">
        <v>85665</v>
      </c>
      <c r="R126" s="231"/>
      <c r="S126" s="392">
        <v>991826</v>
      </c>
      <c r="T126" s="231">
        <v>-41174</v>
      </c>
      <c r="U126" s="396">
        <v>950652</v>
      </c>
      <c r="V126" s="231"/>
      <c r="W126" s="396">
        <v>6322035</v>
      </c>
      <c r="X126" s="396">
        <v>1179518</v>
      </c>
      <c r="Y126" s="396"/>
      <c r="Z126" s="396"/>
    </row>
    <row r="127" spans="1:26">
      <c r="A127" s="424">
        <v>91147</v>
      </c>
      <c r="B127" s="423" t="s">
        <v>838</v>
      </c>
      <c r="C127" s="234">
        <v>3.29E-5</v>
      </c>
      <c r="D127" s="234">
        <v>3.1600000000000002E-5</v>
      </c>
      <c r="E127" s="231">
        <v>185603</v>
      </c>
      <c r="F127" s="231" t="s">
        <v>1924</v>
      </c>
      <c r="G127" s="392">
        <v>7997</v>
      </c>
      <c r="H127" s="392">
        <v>61344</v>
      </c>
      <c r="I127" s="392">
        <v>18519</v>
      </c>
      <c r="J127" s="231">
        <v>8923</v>
      </c>
      <c r="K127" s="231">
        <v>96783</v>
      </c>
      <c r="L127" s="231"/>
      <c r="M127" s="300">
        <v>784</v>
      </c>
      <c r="N127" s="300">
        <v>0</v>
      </c>
      <c r="O127" s="300">
        <v>0</v>
      </c>
      <c r="P127" s="231">
        <v>136</v>
      </c>
      <c r="Q127" s="231">
        <v>920</v>
      </c>
      <c r="R127" s="231"/>
      <c r="S127" s="392">
        <v>52554</v>
      </c>
      <c r="T127" s="231">
        <v>5363</v>
      </c>
      <c r="U127" s="396">
        <v>57917</v>
      </c>
      <c r="V127" s="231"/>
      <c r="W127" s="396">
        <v>334989</v>
      </c>
      <c r="X127" s="396">
        <v>62500</v>
      </c>
      <c r="Y127" s="396"/>
      <c r="Z127" s="396"/>
    </row>
    <row r="128" spans="1:26">
      <c r="A128" s="424">
        <v>91151</v>
      </c>
      <c r="B128" s="423" t="s">
        <v>839</v>
      </c>
      <c r="C128" s="234">
        <v>6.3900000000000003E-4</v>
      </c>
      <c r="D128" s="234">
        <v>5.7740000000000005E-4</v>
      </c>
      <c r="E128" s="231">
        <v>3604872</v>
      </c>
      <c r="F128" s="231" t="s">
        <v>1924</v>
      </c>
      <c r="G128" s="392">
        <v>155331</v>
      </c>
      <c r="H128" s="392">
        <v>1191448</v>
      </c>
      <c r="I128" s="392">
        <v>359685</v>
      </c>
      <c r="J128" s="231">
        <v>54677</v>
      </c>
      <c r="K128" s="231">
        <v>1761141</v>
      </c>
      <c r="L128" s="231"/>
      <c r="M128" s="300">
        <v>15229</v>
      </c>
      <c r="N128" s="300">
        <v>0</v>
      </c>
      <c r="O128" s="300">
        <v>0</v>
      </c>
      <c r="P128" s="231">
        <v>60505</v>
      </c>
      <c r="Q128" s="231">
        <v>75734</v>
      </c>
      <c r="R128" s="231"/>
      <c r="S128" s="392">
        <v>1020739</v>
      </c>
      <c r="T128" s="231">
        <v>-29065</v>
      </c>
      <c r="U128" s="396">
        <v>991674</v>
      </c>
      <c r="V128" s="231"/>
      <c r="W128" s="396">
        <v>6506331</v>
      </c>
      <c r="X128" s="396">
        <v>1213903</v>
      </c>
      <c r="Y128" s="396"/>
      <c r="Z128" s="396"/>
    </row>
    <row r="129" spans="1:26">
      <c r="A129" s="424">
        <v>91154</v>
      </c>
      <c r="B129" s="423" t="s">
        <v>840</v>
      </c>
      <c r="C129" s="234">
        <v>2.44E-5</v>
      </c>
      <c r="D129" s="234">
        <v>1.9199999999999999E-5</v>
      </c>
      <c r="E129" s="231">
        <v>137651</v>
      </c>
      <c r="F129" s="231" t="s">
        <v>1924</v>
      </c>
      <c r="G129" s="392">
        <v>5931</v>
      </c>
      <c r="H129" s="392">
        <v>45495</v>
      </c>
      <c r="I129" s="392">
        <v>13734</v>
      </c>
      <c r="J129" s="231">
        <v>8088</v>
      </c>
      <c r="K129" s="231">
        <v>73248</v>
      </c>
      <c r="L129" s="231"/>
      <c r="M129" s="300">
        <v>582</v>
      </c>
      <c r="N129" s="300">
        <v>0</v>
      </c>
      <c r="O129" s="300">
        <v>0</v>
      </c>
      <c r="P129" s="231">
        <v>3772</v>
      </c>
      <c r="Q129" s="231">
        <v>4354</v>
      </c>
      <c r="R129" s="231"/>
      <c r="S129" s="392">
        <v>38977</v>
      </c>
      <c r="T129" s="231">
        <v>129</v>
      </c>
      <c r="U129" s="396">
        <v>39106</v>
      </c>
      <c r="V129" s="231"/>
      <c r="W129" s="396">
        <v>248442</v>
      </c>
      <c r="X129" s="396">
        <v>46352</v>
      </c>
      <c r="Y129" s="396"/>
      <c r="Z129" s="396"/>
    </row>
    <row r="130" spans="1:26">
      <c r="A130" s="424">
        <v>91161</v>
      </c>
      <c r="B130" s="423" t="s">
        <v>841</v>
      </c>
      <c r="C130" s="234">
        <v>9.5400000000000001E-5</v>
      </c>
      <c r="D130" s="234">
        <v>9.5199999999999997E-5</v>
      </c>
      <c r="E130" s="231">
        <v>538192</v>
      </c>
      <c r="F130" s="231" t="s">
        <v>1924</v>
      </c>
      <c r="G130" s="392">
        <v>23190</v>
      </c>
      <c r="H130" s="392">
        <v>177878</v>
      </c>
      <c r="I130" s="392">
        <v>53700</v>
      </c>
      <c r="J130" s="231">
        <v>3248</v>
      </c>
      <c r="K130" s="231">
        <v>258016</v>
      </c>
      <c r="L130" s="231"/>
      <c r="M130" s="300">
        <v>2274</v>
      </c>
      <c r="N130" s="300">
        <v>0</v>
      </c>
      <c r="O130" s="300">
        <v>0</v>
      </c>
      <c r="P130" s="231">
        <v>14852</v>
      </c>
      <c r="Q130" s="231">
        <v>17126</v>
      </c>
      <c r="R130" s="231"/>
      <c r="S130" s="392">
        <v>152392</v>
      </c>
      <c r="T130" s="231">
        <v>-7353</v>
      </c>
      <c r="U130" s="396">
        <v>145039</v>
      </c>
      <c r="V130" s="231"/>
      <c r="W130" s="396">
        <v>971368</v>
      </c>
      <c r="X130" s="396">
        <v>181231</v>
      </c>
      <c r="Y130" s="396"/>
      <c r="Z130" s="396"/>
    </row>
    <row r="131" spans="1:26">
      <c r="A131" s="424">
        <v>91171</v>
      </c>
      <c r="B131" s="423" t="s">
        <v>842</v>
      </c>
      <c r="C131" s="234">
        <v>3.2220000000000003E-4</v>
      </c>
      <c r="D131" s="234">
        <v>2.6140000000000001E-4</v>
      </c>
      <c r="E131" s="231">
        <v>1817668</v>
      </c>
      <c r="F131" s="231" t="s">
        <v>1924</v>
      </c>
      <c r="G131" s="392">
        <v>78322</v>
      </c>
      <c r="H131" s="392">
        <v>600758</v>
      </c>
      <c r="I131" s="392">
        <v>181363</v>
      </c>
      <c r="J131" s="231">
        <v>66149</v>
      </c>
      <c r="K131" s="231">
        <v>926592</v>
      </c>
      <c r="L131" s="231"/>
      <c r="M131" s="300">
        <v>7679</v>
      </c>
      <c r="N131" s="300">
        <v>0</v>
      </c>
      <c r="O131" s="300">
        <v>0</v>
      </c>
      <c r="P131" s="231">
        <v>21584</v>
      </c>
      <c r="Q131" s="231">
        <v>29263</v>
      </c>
      <c r="R131" s="231"/>
      <c r="S131" s="392">
        <v>514683</v>
      </c>
      <c r="T131" s="231">
        <v>16267</v>
      </c>
      <c r="U131" s="396">
        <v>530950</v>
      </c>
      <c r="V131" s="231"/>
      <c r="W131" s="396">
        <v>3280657</v>
      </c>
      <c r="X131" s="396">
        <v>612080</v>
      </c>
      <c r="Y131" s="396"/>
      <c r="Z131" s="396"/>
    </row>
    <row r="132" spans="1:26">
      <c r="A132" s="424">
        <v>91201</v>
      </c>
      <c r="B132" s="423" t="s">
        <v>843</v>
      </c>
      <c r="C132" s="234">
        <v>2.5163E-3</v>
      </c>
      <c r="D132" s="234">
        <v>2.5525999999999999E-3</v>
      </c>
      <c r="E132" s="231">
        <v>14195525</v>
      </c>
      <c r="F132" s="231" t="s">
        <v>1924</v>
      </c>
      <c r="G132" s="392">
        <v>611672</v>
      </c>
      <c r="H132" s="392">
        <v>4691770</v>
      </c>
      <c r="I132" s="392">
        <v>1416395</v>
      </c>
      <c r="J132" s="231">
        <v>93161</v>
      </c>
      <c r="K132" s="231">
        <v>6812998</v>
      </c>
      <c r="L132" s="231"/>
      <c r="M132" s="300">
        <v>59971</v>
      </c>
      <c r="N132" s="300">
        <v>0</v>
      </c>
      <c r="O132" s="300">
        <v>0</v>
      </c>
      <c r="P132" s="231">
        <v>189369</v>
      </c>
      <c r="Q132" s="231">
        <v>249340</v>
      </c>
      <c r="R132" s="231"/>
      <c r="S132" s="392">
        <v>4019540</v>
      </c>
      <c r="T132" s="231">
        <v>2145</v>
      </c>
      <c r="U132" s="396">
        <v>4021685</v>
      </c>
      <c r="V132" s="231"/>
      <c r="W132" s="396">
        <v>25621095</v>
      </c>
      <c r="X132" s="396">
        <v>4780192</v>
      </c>
      <c r="Y132" s="396"/>
      <c r="Z132" s="396"/>
    </row>
    <row r="133" spans="1:26">
      <c r="A133" s="424">
        <v>91202</v>
      </c>
      <c r="B133" s="423" t="s">
        <v>844</v>
      </c>
      <c r="C133" s="234">
        <v>0</v>
      </c>
      <c r="D133" s="234">
        <v>0</v>
      </c>
      <c r="E133" s="231">
        <v>0</v>
      </c>
      <c r="F133" s="231" t="s">
        <v>1924</v>
      </c>
      <c r="G133" s="392">
        <v>0</v>
      </c>
      <c r="H133" s="392">
        <v>0</v>
      </c>
      <c r="I133" s="392">
        <v>0</v>
      </c>
      <c r="J133" s="231">
        <v>0</v>
      </c>
      <c r="K133" s="231">
        <v>0</v>
      </c>
      <c r="L133" s="231"/>
      <c r="M133" s="300">
        <v>0</v>
      </c>
      <c r="N133" s="300">
        <v>0</v>
      </c>
      <c r="O133" s="300">
        <v>0</v>
      </c>
      <c r="P133" s="231">
        <v>128508</v>
      </c>
      <c r="Q133" s="231">
        <v>128508</v>
      </c>
      <c r="R133" s="231"/>
      <c r="S133" s="392">
        <v>0</v>
      </c>
      <c r="T133" s="231">
        <v>-85933</v>
      </c>
      <c r="U133" s="396">
        <v>-85933</v>
      </c>
      <c r="V133" s="231"/>
      <c r="W133" s="396">
        <v>0</v>
      </c>
      <c r="X133" s="396">
        <v>0</v>
      </c>
      <c r="Y133" s="396"/>
      <c r="Z133" s="396"/>
    </row>
    <row r="134" spans="1:26">
      <c r="A134" s="424">
        <v>91203</v>
      </c>
      <c r="B134" s="423" t="s">
        <v>845</v>
      </c>
      <c r="C134" s="234">
        <v>2.5139999999999999E-4</v>
      </c>
      <c r="D134" s="234">
        <v>2.453E-4</v>
      </c>
      <c r="E134" s="231">
        <v>1418255</v>
      </c>
      <c r="F134" s="231" t="s">
        <v>1924</v>
      </c>
      <c r="G134" s="392">
        <v>61111</v>
      </c>
      <c r="H134" s="392">
        <v>468748</v>
      </c>
      <c r="I134" s="392">
        <v>141510</v>
      </c>
      <c r="J134" s="231">
        <v>52512</v>
      </c>
      <c r="K134" s="231">
        <v>723881</v>
      </c>
      <c r="L134" s="231"/>
      <c r="M134" s="300">
        <v>5992</v>
      </c>
      <c r="N134" s="300">
        <v>0</v>
      </c>
      <c r="O134" s="300">
        <v>0</v>
      </c>
      <c r="P134" s="231">
        <v>0</v>
      </c>
      <c r="Q134" s="231">
        <v>5992</v>
      </c>
      <c r="R134" s="231"/>
      <c r="S134" s="392">
        <v>401587</v>
      </c>
      <c r="T134" s="231">
        <v>36287</v>
      </c>
      <c r="U134" s="396">
        <v>437874</v>
      </c>
      <c r="V134" s="231"/>
      <c r="W134" s="396">
        <v>2559768</v>
      </c>
      <c r="X134" s="396">
        <v>477582</v>
      </c>
      <c r="Y134" s="396"/>
      <c r="Z134" s="396"/>
    </row>
    <row r="135" spans="1:26">
      <c r="A135" s="424">
        <v>91206</v>
      </c>
      <c r="B135" s="423" t="s">
        <v>846</v>
      </c>
      <c r="C135" s="234">
        <v>1.0426999999999999E-3</v>
      </c>
      <c r="D135" s="234">
        <v>9.9869999999999994E-4</v>
      </c>
      <c r="E135" s="231">
        <v>5882317</v>
      </c>
      <c r="F135" s="231" t="s">
        <v>1924</v>
      </c>
      <c r="G135" s="392">
        <v>253464</v>
      </c>
      <c r="H135" s="392">
        <v>1944167</v>
      </c>
      <c r="I135" s="392">
        <v>586923</v>
      </c>
      <c r="J135" s="231">
        <v>89691</v>
      </c>
      <c r="K135" s="231">
        <v>2874245</v>
      </c>
      <c r="L135" s="231"/>
      <c r="M135" s="300">
        <v>24851</v>
      </c>
      <c r="N135" s="300">
        <v>0</v>
      </c>
      <c r="O135" s="300">
        <v>0</v>
      </c>
      <c r="P135" s="231">
        <v>20542</v>
      </c>
      <c r="Q135" s="231">
        <v>45393</v>
      </c>
      <c r="R135" s="231"/>
      <c r="S135" s="392">
        <v>1665610</v>
      </c>
      <c r="T135" s="231">
        <v>35354</v>
      </c>
      <c r="U135" s="396">
        <v>1700964</v>
      </c>
      <c r="V135" s="231"/>
      <c r="W135" s="396">
        <v>10616825</v>
      </c>
      <c r="X135" s="396">
        <v>1980808</v>
      </c>
      <c r="Y135" s="396"/>
      <c r="Z135" s="396"/>
    </row>
    <row r="136" spans="1:26" s="359" customFormat="1">
      <c r="A136" s="424">
        <v>91208</v>
      </c>
      <c r="B136" s="423" t="s">
        <v>847</v>
      </c>
      <c r="C136" s="234">
        <v>2.3900000000000002E-5</v>
      </c>
      <c r="D136" s="234">
        <v>1.5999999999999999E-5</v>
      </c>
      <c r="E136" s="231">
        <v>134830</v>
      </c>
      <c r="F136" s="231" t="s">
        <v>1924</v>
      </c>
      <c r="G136" s="392">
        <v>5810</v>
      </c>
      <c r="H136" s="392">
        <v>44563</v>
      </c>
      <c r="I136" s="392">
        <v>13453</v>
      </c>
      <c r="J136" s="231">
        <v>14940</v>
      </c>
      <c r="K136" s="231">
        <v>78766</v>
      </c>
      <c r="L136" s="231"/>
      <c r="M136" s="300">
        <v>570</v>
      </c>
      <c r="N136" s="300">
        <v>0</v>
      </c>
      <c r="O136" s="300">
        <v>0</v>
      </c>
      <c r="P136" s="231">
        <v>967</v>
      </c>
      <c r="Q136" s="231">
        <v>1537</v>
      </c>
      <c r="R136" s="231"/>
      <c r="S136" s="392">
        <v>38178</v>
      </c>
      <c r="T136" s="231">
        <v>4834</v>
      </c>
      <c r="U136" s="396">
        <v>43012</v>
      </c>
      <c r="V136" s="231"/>
      <c r="W136" s="396">
        <v>243351</v>
      </c>
      <c r="X136" s="396">
        <v>45403</v>
      </c>
      <c r="Y136" s="396"/>
      <c r="Z136" s="396"/>
    </row>
    <row r="137" spans="1:26">
      <c r="A137" s="424">
        <v>91211</v>
      </c>
      <c r="B137" s="423" t="s">
        <v>848</v>
      </c>
      <c r="C137" s="234">
        <v>4.2319999999999999E-4</v>
      </c>
      <c r="D137" s="234">
        <v>4.2250000000000002E-4</v>
      </c>
      <c r="E137" s="231">
        <v>2387452</v>
      </c>
      <c r="F137" s="231" t="s">
        <v>1924</v>
      </c>
      <c r="G137" s="392">
        <v>102873</v>
      </c>
      <c r="H137" s="392">
        <v>789078</v>
      </c>
      <c r="I137" s="392">
        <v>238214</v>
      </c>
      <c r="J137" s="231">
        <v>10993</v>
      </c>
      <c r="K137" s="231">
        <v>1141158</v>
      </c>
      <c r="L137" s="231"/>
      <c r="M137" s="300">
        <v>10086</v>
      </c>
      <c r="N137" s="300">
        <v>0</v>
      </c>
      <c r="O137" s="300">
        <v>0</v>
      </c>
      <c r="P137" s="231">
        <v>74046</v>
      </c>
      <c r="Q137" s="231">
        <v>84132</v>
      </c>
      <c r="R137" s="231"/>
      <c r="S137" s="392">
        <v>676020</v>
      </c>
      <c r="T137" s="231">
        <v>-31894</v>
      </c>
      <c r="U137" s="396">
        <v>644126</v>
      </c>
      <c r="V137" s="231"/>
      <c r="W137" s="396">
        <v>4309044</v>
      </c>
      <c r="X137" s="396">
        <v>803949</v>
      </c>
      <c r="Y137" s="396"/>
      <c r="Z137" s="396"/>
    </row>
    <row r="138" spans="1:26">
      <c r="A138" s="424">
        <v>91213</v>
      </c>
      <c r="B138" s="423" t="s">
        <v>849</v>
      </c>
      <c r="C138" s="234">
        <v>2.5899999999999999E-5</v>
      </c>
      <c r="D138" s="234">
        <v>2.2399999999999999E-5</v>
      </c>
      <c r="E138" s="231">
        <v>146113</v>
      </c>
      <c r="F138" s="231" t="s">
        <v>1924</v>
      </c>
      <c r="G138" s="392">
        <v>6296</v>
      </c>
      <c r="H138" s="392">
        <v>48292</v>
      </c>
      <c r="I138" s="392">
        <v>14579</v>
      </c>
      <c r="J138" s="231">
        <v>5581</v>
      </c>
      <c r="K138" s="231">
        <v>74748</v>
      </c>
      <c r="L138" s="231"/>
      <c r="M138" s="300">
        <v>617</v>
      </c>
      <c r="N138" s="300">
        <v>0</v>
      </c>
      <c r="O138" s="300">
        <v>0</v>
      </c>
      <c r="P138" s="231">
        <v>6545</v>
      </c>
      <c r="Q138" s="231">
        <v>7162</v>
      </c>
      <c r="R138" s="231"/>
      <c r="S138" s="392">
        <v>41373</v>
      </c>
      <c r="T138" s="231">
        <v>-2516</v>
      </c>
      <c r="U138" s="396">
        <v>38857</v>
      </c>
      <c r="V138" s="231"/>
      <c r="W138" s="396">
        <v>263715</v>
      </c>
      <c r="X138" s="396">
        <v>49202</v>
      </c>
      <c r="Y138" s="396"/>
      <c r="Z138" s="396"/>
    </row>
    <row r="139" spans="1:26">
      <c r="A139" s="424">
        <v>91214</v>
      </c>
      <c r="B139" s="423" t="s">
        <v>850</v>
      </c>
      <c r="C139" s="234">
        <v>3.4100000000000002E-5</v>
      </c>
      <c r="D139" s="234">
        <v>3.5200000000000002E-5</v>
      </c>
      <c r="E139" s="231">
        <v>192373</v>
      </c>
      <c r="F139" s="231" t="s">
        <v>1924</v>
      </c>
      <c r="G139" s="392">
        <v>8289</v>
      </c>
      <c r="H139" s="392">
        <v>63581</v>
      </c>
      <c r="I139" s="392">
        <v>19194</v>
      </c>
      <c r="J139" s="231">
        <v>154</v>
      </c>
      <c r="K139" s="231">
        <v>91218</v>
      </c>
      <c r="L139" s="231"/>
      <c r="M139" s="300">
        <v>813</v>
      </c>
      <c r="N139" s="300">
        <v>0</v>
      </c>
      <c r="O139" s="300">
        <v>0</v>
      </c>
      <c r="P139" s="231">
        <v>13429</v>
      </c>
      <c r="Q139" s="231">
        <v>14242</v>
      </c>
      <c r="R139" s="231"/>
      <c r="S139" s="392">
        <v>54471</v>
      </c>
      <c r="T139" s="231">
        <v>-6423</v>
      </c>
      <c r="U139" s="396">
        <v>48048</v>
      </c>
      <c r="V139" s="231"/>
      <c r="W139" s="396">
        <v>347208</v>
      </c>
      <c r="X139" s="396">
        <v>64779</v>
      </c>
      <c r="Y139" s="396"/>
      <c r="Z139" s="396"/>
    </row>
    <row r="140" spans="1:26">
      <c r="A140" s="424">
        <v>91217</v>
      </c>
      <c r="B140" s="423" t="s">
        <v>851</v>
      </c>
      <c r="C140" s="234">
        <v>2.5199999999999999E-5</v>
      </c>
      <c r="D140" s="234">
        <v>2.6699999999999998E-5</v>
      </c>
      <c r="E140" s="231">
        <v>142164</v>
      </c>
      <c r="F140" s="231" t="s">
        <v>1924</v>
      </c>
      <c r="G140" s="392">
        <v>6126</v>
      </c>
      <c r="H140" s="392">
        <v>46987</v>
      </c>
      <c r="I140" s="392">
        <v>14185</v>
      </c>
      <c r="J140" s="231">
        <v>14710</v>
      </c>
      <c r="K140" s="231">
        <v>82008</v>
      </c>
      <c r="L140" s="231"/>
      <c r="M140" s="300">
        <v>601</v>
      </c>
      <c r="N140" s="300">
        <v>0</v>
      </c>
      <c r="O140" s="300">
        <v>0</v>
      </c>
      <c r="P140" s="231">
        <v>0</v>
      </c>
      <c r="Q140" s="231">
        <v>601</v>
      </c>
      <c r="R140" s="231"/>
      <c r="S140" s="392">
        <v>40255</v>
      </c>
      <c r="T140" s="231">
        <v>8459</v>
      </c>
      <c r="U140" s="396">
        <v>48714</v>
      </c>
      <c r="V140" s="231"/>
      <c r="W140" s="396">
        <v>256588</v>
      </c>
      <c r="X140" s="396">
        <v>47872</v>
      </c>
      <c r="Y140" s="396"/>
      <c r="Z140" s="396"/>
    </row>
    <row r="141" spans="1:26">
      <c r="A141" s="424">
        <v>91221</v>
      </c>
      <c r="B141" s="423" t="s">
        <v>852</v>
      </c>
      <c r="C141" s="234">
        <v>7.7999999999999999E-5</v>
      </c>
      <c r="D141" s="234">
        <v>9.9099999999999996E-5</v>
      </c>
      <c r="E141" s="231">
        <v>440031</v>
      </c>
      <c r="F141" s="231" t="s">
        <v>1924</v>
      </c>
      <c r="G141" s="392">
        <v>18961</v>
      </c>
      <c r="H141" s="392">
        <v>145435</v>
      </c>
      <c r="I141" s="392">
        <v>43905</v>
      </c>
      <c r="J141" s="231">
        <v>0</v>
      </c>
      <c r="K141" s="231">
        <v>208301</v>
      </c>
      <c r="L141" s="231"/>
      <c r="M141" s="300">
        <v>1859</v>
      </c>
      <c r="N141" s="300">
        <v>0</v>
      </c>
      <c r="O141" s="300">
        <v>0</v>
      </c>
      <c r="P141" s="231">
        <v>28181</v>
      </c>
      <c r="Q141" s="231">
        <v>30040</v>
      </c>
      <c r="R141" s="231"/>
      <c r="S141" s="392">
        <v>124597</v>
      </c>
      <c r="T141" s="231">
        <v>-14961</v>
      </c>
      <c r="U141" s="396">
        <v>109636</v>
      </c>
      <c r="V141" s="231"/>
      <c r="W141" s="396">
        <v>794200</v>
      </c>
      <c r="X141" s="396">
        <v>148176</v>
      </c>
      <c r="Y141" s="396"/>
      <c r="Z141" s="396"/>
    </row>
    <row r="142" spans="1:26">
      <c r="A142" s="424">
        <v>91231</v>
      </c>
      <c r="B142" s="423" t="s">
        <v>853</v>
      </c>
      <c r="C142" s="234">
        <v>1.7933000000000001E-3</v>
      </c>
      <c r="D142" s="234">
        <v>1.8575E-3</v>
      </c>
      <c r="E142" s="231">
        <v>10116773</v>
      </c>
      <c r="F142" s="231" t="s">
        <v>1924</v>
      </c>
      <c r="G142" s="392">
        <v>435923</v>
      </c>
      <c r="H142" s="392">
        <v>3343699</v>
      </c>
      <c r="I142" s="392">
        <v>1009427</v>
      </c>
      <c r="J142" s="231">
        <v>23174</v>
      </c>
      <c r="K142" s="231">
        <v>4812223</v>
      </c>
      <c r="L142" s="231"/>
      <c r="M142" s="300">
        <v>42740</v>
      </c>
      <c r="N142" s="300">
        <v>0</v>
      </c>
      <c r="O142" s="300">
        <v>0</v>
      </c>
      <c r="P142" s="231">
        <v>200361</v>
      </c>
      <c r="Q142" s="231">
        <v>243101</v>
      </c>
      <c r="R142" s="231"/>
      <c r="S142" s="392">
        <v>2864619</v>
      </c>
      <c r="T142" s="231">
        <v>-60511</v>
      </c>
      <c r="U142" s="396">
        <v>2804108</v>
      </c>
      <c r="V142" s="231"/>
      <c r="W142" s="396">
        <v>18259472</v>
      </c>
      <c r="X142" s="396">
        <v>3406716</v>
      </c>
      <c r="Y142" s="396"/>
      <c r="Z142" s="396"/>
    </row>
    <row r="143" spans="1:26">
      <c r="A143" s="424">
        <v>91233</v>
      </c>
      <c r="B143" s="423" t="s">
        <v>854</v>
      </c>
      <c r="C143" s="234">
        <v>6.69E-5</v>
      </c>
      <c r="D143" s="234">
        <v>6.5199999999999999E-5</v>
      </c>
      <c r="E143" s="231">
        <v>377412</v>
      </c>
      <c r="F143" s="231" t="s">
        <v>1924</v>
      </c>
      <c r="G143" s="392">
        <v>16262</v>
      </c>
      <c r="H143" s="392">
        <v>124738</v>
      </c>
      <c r="I143" s="392">
        <v>37657</v>
      </c>
      <c r="J143" s="231">
        <v>2339</v>
      </c>
      <c r="K143" s="231">
        <v>180996</v>
      </c>
      <c r="L143" s="231"/>
      <c r="M143" s="300">
        <v>1594</v>
      </c>
      <c r="N143" s="300">
        <v>0</v>
      </c>
      <c r="O143" s="300">
        <v>0</v>
      </c>
      <c r="P143" s="231">
        <v>7475</v>
      </c>
      <c r="Q143" s="231">
        <v>9069</v>
      </c>
      <c r="R143" s="231"/>
      <c r="S143" s="392">
        <v>106866</v>
      </c>
      <c r="T143" s="231">
        <v>-2681</v>
      </c>
      <c r="U143" s="396">
        <v>104185</v>
      </c>
      <c r="V143" s="231"/>
      <c r="W143" s="396">
        <v>681179</v>
      </c>
      <c r="X143" s="396">
        <v>127089</v>
      </c>
      <c r="Y143" s="396"/>
      <c r="Z143" s="396"/>
    </row>
    <row r="144" spans="1:26">
      <c r="A144" s="424">
        <v>91241</v>
      </c>
      <c r="B144" s="423" t="s">
        <v>855</v>
      </c>
      <c r="C144" s="234">
        <v>3.5800000000000003E-5</v>
      </c>
      <c r="D144" s="234">
        <v>3.4999999999999997E-5</v>
      </c>
      <c r="E144" s="231">
        <v>201963</v>
      </c>
      <c r="F144" s="231" t="s">
        <v>1924</v>
      </c>
      <c r="G144" s="392">
        <v>8702</v>
      </c>
      <c r="H144" s="392">
        <v>66751</v>
      </c>
      <c r="I144" s="392">
        <v>20151</v>
      </c>
      <c r="J144" s="231">
        <v>4788</v>
      </c>
      <c r="K144" s="231">
        <v>100392</v>
      </c>
      <c r="L144" s="231"/>
      <c r="M144" s="300">
        <v>853</v>
      </c>
      <c r="N144" s="300">
        <v>0</v>
      </c>
      <c r="O144" s="300">
        <v>0</v>
      </c>
      <c r="P144" s="231">
        <v>8826</v>
      </c>
      <c r="Q144" s="231">
        <v>9679</v>
      </c>
      <c r="R144" s="231"/>
      <c r="S144" s="392">
        <v>57187</v>
      </c>
      <c r="T144" s="231">
        <v>-3318</v>
      </c>
      <c r="U144" s="396">
        <v>53869</v>
      </c>
      <c r="V144" s="231"/>
      <c r="W144" s="396">
        <v>364517</v>
      </c>
      <c r="X144" s="396">
        <v>68009</v>
      </c>
      <c r="Y144" s="396"/>
      <c r="Z144" s="396"/>
    </row>
    <row r="145" spans="1:26">
      <c r="A145" s="424">
        <v>91251</v>
      </c>
      <c r="B145" s="423" t="s">
        <v>856</v>
      </c>
      <c r="C145" s="234">
        <v>3.2100000000000001E-5</v>
      </c>
      <c r="D145" s="234">
        <v>2.6999999999999999E-5</v>
      </c>
      <c r="E145" s="231">
        <v>181090</v>
      </c>
      <c r="F145" s="231" t="s">
        <v>1924</v>
      </c>
      <c r="G145" s="392">
        <v>7803</v>
      </c>
      <c r="H145" s="392">
        <v>59852</v>
      </c>
      <c r="I145" s="392">
        <v>18069</v>
      </c>
      <c r="J145" s="231">
        <v>6467</v>
      </c>
      <c r="K145" s="231">
        <v>92191</v>
      </c>
      <c r="L145" s="231"/>
      <c r="M145" s="300">
        <v>765</v>
      </c>
      <c r="N145" s="300">
        <v>0</v>
      </c>
      <c r="O145" s="300">
        <v>0</v>
      </c>
      <c r="P145" s="231">
        <v>2146</v>
      </c>
      <c r="Q145" s="231">
        <v>2911</v>
      </c>
      <c r="R145" s="231"/>
      <c r="S145" s="392">
        <v>51277</v>
      </c>
      <c r="T145" s="231">
        <v>3861</v>
      </c>
      <c r="U145" s="396">
        <v>55138</v>
      </c>
      <c r="V145" s="231"/>
      <c r="W145" s="396">
        <v>326844</v>
      </c>
      <c r="X145" s="396">
        <v>60980</v>
      </c>
      <c r="Y145" s="396"/>
      <c r="Z145" s="396"/>
    </row>
    <row r="146" spans="1:26">
      <c r="A146" s="424">
        <v>91261</v>
      </c>
      <c r="B146" s="423" t="s">
        <v>857</v>
      </c>
      <c r="C146" s="234">
        <v>9.5000000000000005E-6</v>
      </c>
      <c r="D146" s="234">
        <v>9.7000000000000003E-6</v>
      </c>
      <c r="E146" s="231">
        <v>53594</v>
      </c>
      <c r="F146" s="231" t="s">
        <v>1924</v>
      </c>
      <c r="G146" s="392">
        <v>2309</v>
      </c>
      <c r="H146" s="392">
        <v>17713</v>
      </c>
      <c r="I146" s="392">
        <v>5347</v>
      </c>
      <c r="J146" s="231">
        <v>0</v>
      </c>
      <c r="K146" s="231">
        <v>25369</v>
      </c>
      <c r="L146" s="231"/>
      <c r="M146" s="300">
        <v>226</v>
      </c>
      <c r="N146" s="300">
        <v>0</v>
      </c>
      <c r="O146" s="300">
        <v>0</v>
      </c>
      <c r="P146" s="231">
        <v>2934</v>
      </c>
      <c r="Q146" s="231">
        <v>3160</v>
      </c>
      <c r="R146" s="231"/>
      <c r="S146" s="392">
        <v>15175</v>
      </c>
      <c r="T146" s="231">
        <v>-1608</v>
      </c>
      <c r="U146" s="396">
        <v>13567</v>
      </c>
      <c r="V146" s="231"/>
      <c r="W146" s="396">
        <v>96729</v>
      </c>
      <c r="X146" s="396">
        <v>18047</v>
      </c>
      <c r="Y146" s="396"/>
      <c r="Z146" s="396"/>
    </row>
    <row r="147" spans="1:26">
      <c r="A147" s="424">
        <v>91301</v>
      </c>
      <c r="B147" s="423" t="s">
        <v>858</v>
      </c>
      <c r="C147" s="234">
        <v>8.6893000000000005E-3</v>
      </c>
      <c r="D147" s="234">
        <v>8.3421999999999993E-3</v>
      </c>
      <c r="E147" s="231">
        <v>49020060</v>
      </c>
      <c r="F147" s="231" t="s">
        <v>1924</v>
      </c>
      <c r="G147" s="392">
        <v>2112230</v>
      </c>
      <c r="H147" s="392">
        <v>16201643</v>
      </c>
      <c r="I147" s="392">
        <v>4891103</v>
      </c>
      <c r="J147" s="231">
        <v>505078</v>
      </c>
      <c r="K147" s="231">
        <v>23710054</v>
      </c>
      <c r="L147" s="231"/>
      <c r="M147" s="300">
        <v>207092</v>
      </c>
      <c r="N147" s="300">
        <v>0</v>
      </c>
      <c r="O147" s="300">
        <v>0</v>
      </c>
      <c r="P147" s="231">
        <v>0</v>
      </c>
      <c r="Q147" s="231">
        <v>207092</v>
      </c>
      <c r="R147" s="231"/>
      <c r="S147" s="392">
        <v>13880297</v>
      </c>
      <c r="T147" s="231">
        <v>233379</v>
      </c>
      <c r="U147" s="396">
        <v>14113676</v>
      </c>
      <c r="V147" s="231"/>
      <c r="W147" s="396">
        <v>88474896</v>
      </c>
      <c r="X147" s="396">
        <v>16506985</v>
      </c>
      <c r="Y147" s="396"/>
      <c r="Z147" s="396"/>
    </row>
    <row r="148" spans="1:26">
      <c r="A148" s="424">
        <v>91302</v>
      </c>
      <c r="B148" s="423" t="s">
        <v>859</v>
      </c>
      <c r="C148" s="234">
        <v>5.3209999999999998E-4</v>
      </c>
      <c r="D148" s="234">
        <v>5.1170000000000002E-4</v>
      </c>
      <c r="E148" s="231">
        <v>3001804</v>
      </c>
      <c r="F148" s="231" t="s">
        <v>1924</v>
      </c>
      <c r="G148" s="392">
        <v>129345</v>
      </c>
      <c r="H148" s="392">
        <v>992128</v>
      </c>
      <c r="I148" s="392">
        <v>299513</v>
      </c>
      <c r="J148" s="231">
        <v>36291</v>
      </c>
      <c r="K148" s="231">
        <v>1457277</v>
      </c>
      <c r="L148" s="231"/>
      <c r="M148" s="300">
        <v>12682</v>
      </c>
      <c r="N148" s="300">
        <v>0</v>
      </c>
      <c r="O148" s="300">
        <v>0</v>
      </c>
      <c r="P148" s="231">
        <v>14675</v>
      </c>
      <c r="Q148" s="231">
        <v>27357</v>
      </c>
      <c r="R148" s="231"/>
      <c r="S148" s="392">
        <v>849977</v>
      </c>
      <c r="T148" s="231">
        <v>-12924</v>
      </c>
      <c r="U148" s="396">
        <v>837053</v>
      </c>
      <c r="V148" s="231"/>
      <c r="W148" s="396">
        <v>5417869</v>
      </c>
      <c r="X148" s="396">
        <v>1010826</v>
      </c>
      <c r="Y148" s="396"/>
      <c r="Z148" s="396"/>
    </row>
    <row r="149" spans="1:26">
      <c r="A149" s="424">
        <v>91306</v>
      </c>
      <c r="B149" s="423" t="s">
        <v>860</v>
      </c>
      <c r="C149" s="234">
        <v>2.1952999999999999E-3</v>
      </c>
      <c r="D149" s="234">
        <v>1.9042E-3</v>
      </c>
      <c r="E149" s="231">
        <v>12384627</v>
      </c>
      <c r="F149" s="231" t="s">
        <v>1924</v>
      </c>
      <c r="G149" s="392">
        <v>533642</v>
      </c>
      <c r="H149" s="392">
        <v>4093249</v>
      </c>
      <c r="I149" s="392">
        <v>1235708</v>
      </c>
      <c r="J149" s="231">
        <v>499156</v>
      </c>
      <c r="K149" s="231">
        <v>6361755</v>
      </c>
      <c r="L149" s="231"/>
      <c r="M149" s="300">
        <v>52321</v>
      </c>
      <c r="N149" s="300">
        <v>0</v>
      </c>
      <c r="O149" s="300">
        <v>0</v>
      </c>
      <c r="P149" s="231">
        <v>6770</v>
      </c>
      <c r="Q149" s="231">
        <v>59091</v>
      </c>
      <c r="R149" s="231"/>
      <c r="S149" s="392">
        <v>3506774</v>
      </c>
      <c r="T149" s="231">
        <v>212735</v>
      </c>
      <c r="U149" s="396">
        <v>3719509</v>
      </c>
      <c r="V149" s="231"/>
      <c r="W149" s="396">
        <v>22352657</v>
      </c>
      <c r="X149" s="396">
        <v>4170392</v>
      </c>
      <c r="Y149" s="396"/>
      <c r="Z149" s="396"/>
    </row>
    <row r="150" spans="1:26">
      <c r="A150" s="424">
        <v>91308</v>
      </c>
      <c r="B150" s="423" t="s">
        <v>861</v>
      </c>
      <c r="C150" s="234">
        <v>1.127E-4</v>
      </c>
      <c r="D150" s="234">
        <v>1.0340000000000001E-4</v>
      </c>
      <c r="E150" s="231">
        <v>635789</v>
      </c>
      <c r="F150" s="231" t="s">
        <v>1924</v>
      </c>
      <c r="G150" s="392">
        <v>27396</v>
      </c>
      <c r="H150" s="392">
        <v>210135</v>
      </c>
      <c r="I150" s="392">
        <v>63437</v>
      </c>
      <c r="J150" s="231">
        <v>22718</v>
      </c>
      <c r="K150" s="231">
        <v>323686</v>
      </c>
      <c r="L150" s="231"/>
      <c r="M150" s="300">
        <v>2686</v>
      </c>
      <c r="N150" s="300">
        <v>0</v>
      </c>
      <c r="O150" s="300">
        <v>0</v>
      </c>
      <c r="P150" s="231">
        <v>71734</v>
      </c>
      <c r="Q150" s="231">
        <v>74420</v>
      </c>
      <c r="R150" s="231"/>
      <c r="S150" s="392">
        <v>180027</v>
      </c>
      <c r="T150" s="231">
        <v>-33261</v>
      </c>
      <c r="U150" s="396">
        <v>146766</v>
      </c>
      <c r="V150" s="231"/>
      <c r="W150" s="396">
        <v>1147517</v>
      </c>
      <c r="X150" s="396">
        <v>214095</v>
      </c>
      <c r="Y150" s="396"/>
      <c r="Z150" s="396"/>
    </row>
    <row r="151" spans="1:26">
      <c r="A151" s="424">
        <v>91311</v>
      </c>
      <c r="B151" s="423" t="s">
        <v>862</v>
      </c>
      <c r="C151" s="234">
        <v>8.6487999999999999E-3</v>
      </c>
      <c r="D151" s="234">
        <v>8.6008000000000005E-3</v>
      </c>
      <c r="E151" s="231">
        <v>48791582</v>
      </c>
      <c r="F151" s="231" t="s">
        <v>1924</v>
      </c>
      <c r="G151" s="392">
        <v>2102385</v>
      </c>
      <c r="H151" s="392">
        <v>16126129</v>
      </c>
      <c r="I151" s="392">
        <v>4868306</v>
      </c>
      <c r="J151" s="231">
        <v>282803</v>
      </c>
      <c r="K151" s="231">
        <v>23379623</v>
      </c>
      <c r="L151" s="231"/>
      <c r="M151" s="300">
        <v>206127</v>
      </c>
      <c r="N151" s="300">
        <v>0</v>
      </c>
      <c r="O151" s="300">
        <v>0</v>
      </c>
      <c r="P151" s="231">
        <v>198461</v>
      </c>
      <c r="Q151" s="231">
        <v>404588</v>
      </c>
      <c r="R151" s="231"/>
      <c r="S151" s="392">
        <v>13815602</v>
      </c>
      <c r="T151" s="231">
        <v>160272</v>
      </c>
      <c r="U151" s="396">
        <v>13975874</v>
      </c>
      <c r="V151" s="231"/>
      <c r="W151" s="396">
        <v>88062523</v>
      </c>
      <c r="X151" s="396">
        <v>16430048</v>
      </c>
      <c r="Y151" s="396"/>
      <c r="Z151" s="396"/>
    </row>
    <row r="152" spans="1:26">
      <c r="A152" s="424">
        <v>91317</v>
      </c>
      <c r="B152" s="423" t="s">
        <v>863</v>
      </c>
      <c r="C152" s="234">
        <v>1.5779999999999999E-4</v>
      </c>
      <c r="D152" s="234">
        <v>1.416E-4</v>
      </c>
      <c r="E152" s="231">
        <v>890217</v>
      </c>
      <c r="F152" s="231" t="s">
        <v>1924</v>
      </c>
      <c r="G152" s="392">
        <v>38359</v>
      </c>
      <c r="H152" s="392">
        <v>294226</v>
      </c>
      <c r="I152" s="392">
        <v>88824</v>
      </c>
      <c r="J152" s="231">
        <v>65084</v>
      </c>
      <c r="K152" s="231">
        <v>486493</v>
      </c>
      <c r="L152" s="231"/>
      <c r="M152" s="300">
        <v>3761</v>
      </c>
      <c r="N152" s="300">
        <v>0</v>
      </c>
      <c r="O152" s="300">
        <v>0</v>
      </c>
      <c r="P152" s="231">
        <v>0</v>
      </c>
      <c r="Q152" s="231">
        <v>3761</v>
      </c>
      <c r="R152" s="231"/>
      <c r="S152" s="392">
        <v>252070</v>
      </c>
      <c r="T152" s="231">
        <v>37572</v>
      </c>
      <c r="U152" s="396">
        <v>289642</v>
      </c>
      <c r="V152" s="231"/>
      <c r="W152" s="396">
        <v>1606728</v>
      </c>
      <c r="X152" s="396">
        <v>299771</v>
      </c>
      <c r="Y152" s="396"/>
      <c r="Z152" s="396"/>
    </row>
    <row r="153" spans="1:26">
      <c r="A153" s="424">
        <v>91321</v>
      </c>
      <c r="B153" s="423" t="s">
        <v>864</v>
      </c>
      <c r="C153" s="234">
        <v>5.7599999999999997E-5</v>
      </c>
      <c r="D153" s="234">
        <v>6.6000000000000005E-5</v>
      </c>
      <c r="E153" s="231">
        <v>324946</v>
      </c>
      <c r="F153" s="231" t="s">
        <v>1924</v>
      </c>
      <c r="G153" s="392">
        <v>14002</v>
      </c>
      <c r="H153" s="392">
        <v>107398</v>
      </c>
      <c r="I153" s="392">
        <v>32422</v>
      </c>
      <c r="J153" s="231">
        <v>11559</v>
      </c>
      <c r="K153" s="231">
        <v>165381</v>
      </c>
      <c r="L153" s="231"/>
      <c r="M153" s="300">
        <v>1373</v>
      </c>
      <c r="N153" s="300">
        <v>0</v>
      </c>
      <c r="O153" s="300">
        <v>0</v>
      </c>
      <c r="P153" s="231">
        <v>18308</v>
      </c>
      <c r="Q153" s="231">
        <v>19681</v>
      </c>
      <c r="R153" s="231"/>
      <c r="S153" s="392">
        <v>92010</v>
      </c>
      <c r="T153" s="231">
        <v>10280</v>
      </c>
      <c r="U153" s="396">
        <v>102290</v>
      </c>
      <c r="V153" s="231"/>
      <c r="W153" s="396">
        <v>586486</v>
      </c>
      <c r="X153" s="396">
        <v>109422</v>
      </c>
      <c r="Y153" s="396"/>
      <c r="Z153" s="396"/>
    </row>
    <row r="154" spans="1:26">
      <c r="A154" s="424">
        <v>91327</v>
      </c>
      <c r="B154" s="423" t="s">
        <v>865</v>
      </c>
      <c r="C154" s="234">
        <v>9.3999999999999998E-6</v>
      </c>
      <c r="D154" s="234">
        <v>1.0499999999999999E-5</v>
      </c>
      <c r="E154" s="231">
        <v>53029</v>
      </c>
      <c r="F154" s="231" t="s">
        <v>1924</v>
      </c>
      <c r="G154" s="392">
        <v>2285</v>
      </c>
      <c r="H154" s="392">
        <v>17527</v>
      </c>
      <c r="I154" s="392">
        <v>5291</v>
      </c>
      <c r="J154" s="231">
        <v>12409</v>
      </c>
      <c r="K154" s="231">
        <v>37512</v>
      </c>
      <c r="L154" s="231"/>
      <c r="M154" s="300">
        <v>224</v>
      </c>
      <c r="N154" s="300">
        <v>0</v>
      </c>
      <c r="O154" s="300">
        <v>0</v>
      </c>
      <c r="P154" s="231">
        <v>6306</v>
      </c>
      <c r="Q154" s="231">
        <v>6530</v>
      </c>
      <c r="R154" s="231"/>
      <c r="S154" s="392">
        <v>15016</v>
      </c>
      <c r="T154" s="231">
        <v>1734</v>
      </c>
      <c r="U154" s="396">
        <v>16750</v>
      </c>
      <c r="V154" s="231"/>
      <c r="W154" s="396">
        <v>95711</v>
      </c>
      <c r="X154" s="396">
        <v>17857</v>
      </c>
      <c r="Y154" s="396"/>
      <c r="Z154" s="396"/>
    </row>
    <row r="155" spans="1:26">
      <c r="A155" s="424">
        <v>91331</v>
      </c>
      <c r="B155" s="423" t="s">
        <v>866</v>
      </c>
      <c r="C155" s="234">
        <v>3.1621000000000002E-3</v>
      </c>
      <c r="D155" s="234">
        <v>3.0428999999999999E-3</v>
      </c>
      <c r="E155" s="231">
        <v>17838759</v>
      </c>
      <c r="F155" s="231" t="s">
        <v>1924</v>
      </c>
      <c r="G155" s="392">
        <v>768656</v>
      </c>
      <c r="H155" s="392">
        <v>5895897</v>
      </c>
      <c r="I155" s="392">
        <v>1779908</v>
      </c>
      <c r="J155" s="231">
        <v>35090</v>
      </c>
      <c r="K155" s="231">
        <v>8479551</v>
      </c>
      <c r="L155" s="231"/>
      <c r="M155" s="300">
        <v>75362</v>
      </c>
      <c r="N155" s="300">
        <v>0</v>
      </c>
      <c r="O155" s="300">
        <v>0</v>
      </c>
      <c r="P155" s="231">
        <v>114688</v>
      </c>
      <c r="Q155" s="231">
        <v>190050</v>
      </c>
      <c r="R155" s="231"/>
      <c r="S155" s="392">
        <v>5051142</v>
      </c>
      <c r="T155" s="231">
        <v>-87428</v>
      </c>
      <c r="U155" s="396">
        <v>4963714</v>
      </c>
      <c r="V155" s="231"/>
      <c r="W155" s="396">
        <v>32196663</v>
      </c>
      <c r="X155" s="396">
        <v>6007013</v>
      </c>
      <c r="Y155" s="396"/>
      <c r="Z155" s="396"/>
    </row>
    <row r="156" spans="1:26">
      <c r="A156" s="424">
        <v>91341</v>
      </c>
      <c r="B156" s="423" t="s">
        <v>867</v>
      </c>
      <c r="C156" s="234">
        <v>3.3399999999999999E-5</v>
      </c>
      <c r="D156" s="234">
        <v>3.4499999999999998E-5</v>
      </c>
      <c r="E156" s="231">
        <v>188424</v>
      </c>
      <c r="F156" s="231" t="s">
        <v>1924</v>
      </c>
      <c r="G156" s="392">
        <v>8119</v>
      </c>
      <c r="H156" s="392">
        <v>62276</v>
      </c>
      <c r="I156" s="392">
        <v>18800</v>
      </c>
      <c r="J156" s="231">
        <v>2278</v>
      </c>
      <c r="K156" s="231">
        <v>91473</v>
      </c>
      <c r="L156" s="231"/>
      <c r="M156" s="300">
        <v>796</v>
      </c>
      <c r="N156" s="300">
        <v>0</v>
      </c>
      <c r="O156" s="300">
        <v>0</v>
      </c>
      <c r="P156" s="231">
        <v>10065</v>
      </c>
      <c r="Q156" s="231">
        <v>10861</v>
      </c>
      <c r="R156" s="231"/>
      <c r="S156" s="392">
        <v>53353</v>
      </c>
      <c r="T156" s="231">
        <v>-2336</v>
      </c>
      <c r="U156" s="396">
        <v>51017</v>
      </c>
      <c r="V156" s="231"/>
      <c r="W156" s="396">
        <v>340081</v>
      </c>
      <c r="X156" s="396">
        <v>63450</v>
      </c>
      <c r="Y156" s="396"/>
      <c r="Z156" s="396"/>
    </row>
    <row r="157" spans="1:26">
      <c r="A157" s="424">
        <v>91401</v>
      </c>
      <c r="B157" s="423" t="s">
        <v>868</v>
      </c>
      <c r="C157" s="234">
        <v>3.5915000000000001E-3</v>
      </c>
      <c r="D157" s="234">
        <v>3.6838000000000001E-3</v>
      </c>
      <c r="E157" s="231">
        <v>20261189</v>
      </c>
      <c r="F157" s="231" t="s">
        <v>1924</v>
      </c>
      <c r="G157" s="392">
        <v>873036</v>
      </c>
      <c r="H157" s="392">
        <v>6696535</v>
      </c>
      <c r="I157" s="392">
        <v>2021612</v>
      </c>
      <c r="J157" s="231">
        <v>152476</v>
      </c>
      <c r="K157" s="231">
        <v>9743659</v>
      </c>
      <c r="L157" s="231"/>
      <c r="M157" s="300">
        <v>85596</v>
      </c>
      <c r="N157" s="300">
        <v>0</v>
      </c>
      <c r="O157" s="300">
        <v>0</v>
      </c>
      <c r="P157" s="231">
        <v>280813</v>
      </c>
      <c r="Q157" s="231">
        <v>366409</v>
      </c>
      <c r="R157" s="231"/>
      <c r="S157" s="392">
        <v>5737066</v>
      </c>
      <c r="T157" s="231">
        <v>-206</v>
      </c>
      <c r="U157" s="396">
        <v>5736860</v>
      </c>
      <c r="V157" s="231"/>
      <c r="W157" s="396">
        <v>36568836</v>
      </c>
      <c r="X157" s="396">
        <v>6822740</v>
      </c>
      <c r="Y157" s="396"/>
      <c r="Z157" s="396"/>
    </row>
    <row r="158" spans="1:26">
      <c r="A158" s="424">
        <v>91411</v>
      </c>
      <c r="B158" s="423" t="s">
        <v>869</v>
      </c>
      <c r="C158" s="234">
        <v>3.7720000000000001E-4</v>
      </c>
      <c r="D158" s="234">
        <v>4.2220000000000002E-4</v>
      </c>
      <c r="E158" s="231">
        <v>2127947</v>
      </c>
      <c r="F158" s="231" t="s">
        <v>1924</v>
      </c>
      <c r="G158" s="392">
        <v>91691</v>
      </c>
      <c r="H158" s="392">
        <v>703309</v>
      </c>
      <c r="I158" s="392">
        <v>212321</v>
      </c>
      <c r="J158" s="231">
        <v>25624</v>
      </c>
      <c r="K158" s="231">
        <v>1032945</v>
      </c>
      <c r="L158" s="231"/>
      <c r="M158" s="300">
        <v>8990</v>
      </c>
      <c r="N158" s="300">
        <v>0</v>
      </c>
      <c r="O158" s="300">
        <v>0</v>
      </c>
      <c r="P158" s="231">
        <v>56595</v>
      </c>
      <c r="Q158" s="231">
        <v>65585</v>
      </c>
      <c r="R158" s="231"/>
      <c r="S158" s="392">
        <v>602540</v>
      </c>
      <c r="T158" s="231">
        <v>-4903</v>
      </c>
      <c r="U158" s="396">
        <v>597637</v>
      </c>
      <c r="V158" s="231"/>
      <c r="W158" s="396">
        <v>3840670</v>
      </c>
      <c r="X158" s="396">
        <v>716563</v>
      </c>
      <c r="Y158" s="396"/>
      <c r="Z158" s="396"/>
    </row>
    <row r="159" spans="1:26">
      <c r="A159" s="424">
        <v>91414</v>
      </c>
      <c r="B159" s="423" t="s">
        <v>3608</v>
      </c>
      <c r="C159" s="234">
        <v>3.0700000000000001E-5</v>
      </c>
      <c r="D159" s="234">
        <v>3.1199999999999999E-5</v>
      </c>
      <c r="E159" s="231">
        <v>173192</v>
      </c>
      <c r="F159" s="231"/>
      <c r="G159" s="392">
        <v>7463</v>
      </c>
      <c r="H159" s="392">
        <v>57242</v>
      </c>
      <c r="I159" s="392">
        <v>17281</v>
      </c>
      <c r="J159" s="231">
        <v>13819</v>
      </c>
      <c r="K159" s="231">
        <v>95805</v>
      </c>
      <c r="L159" s="231"/>
      <c r="M159" s="300">
        <v>732</v>
      </c>
      <c r="N159" s="300">
        <v>0</v>
      </c>
      <c r="O159" s="300">
        <v>0</v>
      </c>
      <c r="P159" s="231">
        <v>1539</v>
      </c>
      <c r="Q159" s="231">
        <v>2271</v>
      </c>
      <c r="R159" s="231"/>
      <c r="S159" s="392">
        <v>49040</v>
      </c>
      <c r="T159" s="231">
        <v>9489</v>
      </c>
      <c r="U159" s="396">
        <v>58529</v>
      </c>
      <c r="V159" s="231"/>
      <c r="W159" s="396">
        <v>312589</v>
      </c>
      <c r="X159" s="396">
        <v>58321</v>
      </c>
      <c r="Y159" s="396"/>
      <c r="Z159" s="396"/>
    </row>
    <row r="160" spans="1:26">
      <c r="A160" s="424">
        <v>91417</v>
      </c>
      <c r="B160" s="423" t="s">
        <v>870</v>
      </c>
      <c r="C160" s="234">
        <v>6.8000000000000001E-6</v>
      </c>
      <c r="D160" s="234">
        <v>7.5000000000000002E-6</v>
      </c>
      <c r="E160" s="231">
        <v>38362</v>
      </c>
      <c r="F160" s="231" t="s">
        <v>1924</v>
      </c>
      <c r="G160" s="392">
        <v>1653</v>
      </c>
      <c r="H160" s="392">
        <v>12679</v>
      </c>
      <c r="I160" s="392">
        <v>3828</v>
      </c>
      <c r="J160" s="231">
        <v>8056</v>
      </c>
      <c r="K160" s="231">
        <v>26216</v>
      </c>
      <c r="L160" s="231"/>
      <c r="M160" s="300">
        <v>162</v>
      </c>
      <c r="N160" s="300">
        <v>0</v>
      </c>
      <c r="O160" s="300">
        <v>0</v>
      </c>
      <c r="P160" s="231">
        <v>0</v>
      </c>
      <c r="Q160" s="231">
        <v>162</v>
      </c>
      <c r="R160" s="231"/>
      <c r="S160" s="392">
        <v>10862</v>
      </c>
      <c r="T160" s="231">
        <v>3896</v>
      </c>
      <c r="U160" s="396">
        <v>14758</v>
      </c>
      <c r="V160" s="231"/>
      <c r="W160" s="396">
        <v>69238</v>
      </c>
      <c r="X160" s="396">
        <v>12918</v>
      </c>
      <c r="Y160" s="396"/>
      <c r="Z160" s="396"/>
    </row>
    <row r="161" spans="1:26">
      <c r="A161" s="424">
        <v>91421</v>
      </c>
      <c r="B161" s="423" t="s">
        <v>871</v>
      </c>
      <c r="C161" s="234">
        <v>8.0099999999999995E-5</v>
      </c>
      <c r="D161" s="234">
        <v>6.4800000000000003E-5</v>
      </c>
      <c r="E161" s="231">
        <v>451878</v>
      </c>
      <c r="F161" s="231" t="s">
        <v>1924</v>
      </c>
      <c r="G161" s="392">
        <v>19471</v>
      </c>
      <c r="H161" s="392">
        <v>149351</v>
      </c>
      <c r="I161" s="392">
        <v>45087</v>
      </c>
      <c r="J161" s="231">
        <v>33459</v>
      </c>
      <c r="K161" s="231">
        <v>247368</v>
      </c>
      <c r="L161" s="231"/>
      <c r="M161" s="300">
        <v>1909</v>
      </c>
      <c r="N161" s="300">
        <v>0</v>
      </c>
      <c r="O161" s="300">
        <v>0</v>
      </c>
      <c r="P161" s="231">
        <v>2023</v>
      </c>
      <c r="Q161" s="231">
        <v>3932</v>
      </c>
      <c r="R161" s="231"/>
      <c r="S161" s="392">
        <v>127952</v>
      </c>
      <c r="T161" s="231">
        <v>12435</v>
      </c>
      <c r="U161" s="396">
        <v>140387</v>
      </c>
      <c r="V161" s="231"/>
      <c r="W161" s="396">
        <v>815582</v>
      </c>
      <c r="X161" s="396">
        <v>152165</v>
      </c>
      <c r="Y161" s="396"/>
      <c r="Z161" s="396"/>
    </row>
    <row r="162" spans="1:26">
      <c r="A162" s="424">
        <v>91423</v>
      </c>
      <c r="B162" s="423" t="s">
        <v>872</v>
      </c>
      <c r="C162" s="234">
        <v>5.6400000000000002E-5</v>
      </c>
      <c r="D162" s="234">
        <v>6.05E-5</v>
      </c>
      <c r="E162" s="231">
        <v>318177</v>
      </c>
      <c r="F162" s="231" t="s">
        <v>1924</v>
      </c>
      <c r="G162" s="392">
        <v>13710</v>
      </c>
      <c r="H162" s="392">
        <v>105161</v>
      </c>
      <c r="I162" s="392">
        <v>31747</v>
      </c>
      <c r="J162" s="231">
        <v>2659</v>
      </c>
      <c r="K162" s="231">
        <v>153277</v>
      </c>
      <c r="L162" s="231"/>
      <c r="M162" s="300">
        <v>1344</v>
      </c>
      <c r="N162" s="300">
        <v>0</v>
      </c>
      <c r="O162" s="300">
        <v>0</v>
      </c>
      <c r="P162" s="231">
        <v>11065</v>
      </c>
      <c r="Q162" s="231">
        <v>12409</v>
      </c>
      <c r="R162" s="231"/>
      <c r="S162" s="392">
        <v>90093</v>
      </c>
      <c r="T162" s="231">
        <v>-3609</v>
      </c>
      <c r="U162" s="396">
        <v>86484</v>
      </c>
      <c r="V162" s="231"/>
      <c r="W162" s="396">
        <v>574268</v>
      </c>
      <c r="X162" s="396">
        <v>107143</v>
      </c>
      <c r="Y162" s="396"/>
      <c r="Z162" s="396"/>
    </row>
    <row r="163" spans="1:26">
      <c r="A163" s="424">
        <v>91431</v>
      </c>
      <c r="B163" s="423" t="s">
        <v>873</v>
      </c>
      <c r="C163" s="234">
        <v>2.0049999999999999E-4</v>
      </c>
      <c r="D163" s="234">
        <v>1.8929999999999999E-4</v>
      </c>
      <c r="E163" s="231">
        <v>1131106</v>
      </c>
      <c r="F163" s="231" t="s">
        <v>1924</v>
      </c>
      <c r="G163" s="392">
        <v>48738</v>
      </c>
      <c r="H163" s="392">
        <v>373842</v>
      </c>
      <c r="I163" s="392">
        <v>112859</v>
      </c>
      <c r="J163" s="231">
        <v>22738</v>
      </c>
      <c r="K163" s="231">
        <v>558177</v>
      </c>
      <c r="L163" s="231"/>
      <c r="M163" s="300">
        <v>4779</v>
      </c>
      <c r="N163" s="300">
        <v>0</v>
      </c>
      <c r="O163" s="300">
        <v>0</v>
      </c>
      <c r="P163" s="231">
        <v>741</v>
      </c>
      <c r="Q163" s="231">
        <v>5520</v>
      </c>
      <c r="R163" s="231"/>
      <c r="S163" s="392">
        <v>320279</v>
      </c>
      <c r="T163" s="231">
        <v>14639</v>
      </c>
      <c r="U163" s="396">
        <v>334918</v>
      </c>
      <c r="V163" s="231"/>
      <c r="W163" s="396">
        <v>2041501</v>
      </c>
      <c r="X163" s="396">
        <v>380888</v>
      </c>
      <c r="Y163" s="396"/>
      <c r="Z163" s="396"/>
    </row>
    <row r="164" spans="1:26">
      <c r="A164" s="424">
        <v>91441</v>
      </c>
      <c r="B164" s="423" t="s">
        <v>874</v>
      </c>
      <c r="C164" s="234">
        <v>9.5799999999999998E-4</v>
      </c>
      <c r="D164" s="234">
        <v>9.4760000000000005E-4</v>
      </c>
      <c r="E164" s="231">
        <v>5404488</v>
      </c>
      <c r="F164" s="231" t="s">
        <v>1924</v>
      </c>
      <c r="G164" s="392">
        <v>232874</v>
      </c>
      <c r="H164" s="392">
        <v>1786240</v>
      </c>
      <c r="I164" s="392">
        <v>539247</v>
      </c>
      <c r="J164" s="231">
        <v>0</v>
      </c>
      <c r="K164" s="231">
        <v>2558361</v>
      </c>
      <c r="L164" s="231"/>
      <c r="M164" s="300">
        <v>22832</v>
      </c>
      <c r="N164" s="300">
        <v>0</v>
      </c>
      <c r="O164" s="300">
        <v>0</v>
      </c>
      <c r="P164" s="231">
        <v>156851</v>
      </c>
      <c r="Q164" s="231">
        <v>179683</v>
      </c>
      <c r="R164" s="231"/>
      <c r="S164" s="392">
        <v>1530310</v>
      </c>
      <c r="T164" s="231">
        <v>-122158</v>
      </c>
      <c r="U164" s="396">
        <v>1408152</v>
      </c>
      <c r="V164" s="231"/>
      <c r="W164" s="396">
        <v>9754405</v>
      </c>
      <c r="X164" s="396">
        <v>1819904</v>
      </c>
      <c r="Y164" s="396"/>
      <c r="Z164" s="396"/>
    </row>
    <row r="165" spans="1:26">
      <c r="A165" s="424">
        <v>91451</v>
      </c>
      <c r="B165" s="423" t="s">
        <v>875</v>
      </c>
      <c r="C165" s="234">
        <v>1.4751E-3</v>
      </c>
      <c r="D165" s="234">
        <v>1.4920000000000001E-3</v>
      </c>
      <c r="E165" s="231">
        <v>8321670</v>
      </c>
      <c r="F165" s="231" t="s">
        <v>1924</v>
      </c>
      <c r="G165" s="392">
        <v>358573</v>
      </c>
      <c r="H165" s="392">
        <v>2750399</v>
      </c>
      <c r="I165" s="392">
        <v>830316</v>
      </c>
      <c r="J165" s="231">
        <v>11219</v>
      </c>
      <c r="K165" s="231">
        <v>3950507</v>
      </c>
      <c r="L165" s="231"/>
      <c r="M165" s="300">
        <v>35156</v>
      </c>
      <c r="N165" s="300">
        <v>0</v>
      </c>
      <c r="O165" s="300">
        <v>0</v>
      </c>
      <c r="P165" s="231">
        <v>65536</v>
      </c>
      <c r="Q165" s="231">
        <v>100692</v>
      </c>
      <c r="R165" s="231"/>
      <c r="S165" s="392">
        <v>2356326</v>
      </c>
      <c r="T165" s="231">
        <v>-26380</v>
      </c>
      <c r="U165" s="396">
        <v>2329946</v>
      </c>
      <c r="V165" s="231"/>
      <c r="W165" s="396">
        <v>15019543</v>
      </c>
      <c r="X165" s="396">
        <v>2802234</v>
      </c>
      <c r="Y165" s="396"/>
      <c r="Z165" s="396"/>
    </row>
    <row r="166" spans="1:26">
      <c r="A166" s="424">
        <v>91457</v>
      </c>
      <c r="B166" s="423" t="s">
        <v>876</v>
      </c>
      <c r="C166" s="234">
        <v>1.8700000000000001E-5</v>
      </c>
      <c r="D166" s="234">
        <v>1.8300000000000001E-5</v>
      </c>
      <c r="E166" s="231">
        <v>105495</v>
      </c>
      <c r="F166" s="231" t="s">
        <v>1924</v>
      </c>
      <c r="G166" s="392">
        <v>4546</v>
      </c>
      <c r="H166" s="392">
        <v>34867</v>
      </c>
      <c r="I166" s="392">
        <v>10526</v>
      </c>
      <c r="J166" s="231">
        <v>37747</v>
      </c>
      <c r="K166" s="231">
        <v>87686</v>
      </c>
      <c r="L166" s="231"/>
      <c r="M166" s="300">
        <v>446</v>
      </c>
      <c r="N166" s="300">
        <v>0</v>
      </c>
      <c r="O166" s="300">
        <v>0</v>
      </c>
      <c r="P166" s="231">
        <v>0</v>
      </c>
      <c r="Q166" s="231">
        <v>446</v>
      </c>
      <c r="R166" s="231"/>
      <c r="S166" s="392">
        <v>29871</v>
      </c>
      <c r="T166" s="231">
        <v>22702</v>
      </c>
      <c r="U166" s="396">
        <v>52573</v>
      </c>
      <c r="V166" s="231"/>
      <c r="W166" s="396">
        <v>190404</v>
      </c>
      <c r="X166" s="396">
        <v>35524</v>
      </c>
      <c r="Y166" s="396"/>
      <c r="Z166" s="396"/>
    </row>
    <row r="167" spans="1:26">
      <c r="A167" s="425">
        <v>91461</v>
      </c>
      <c r="B167" s="426" t="s">
        <v>877</v>
      </c>
      <c r="C167" s="234">
        <v>0</v>
      </c>
      <c r="D167" s="234">
        <v>0</v>
      </c>
      <c r="E167" s="231">
        <v>0</v>
      </c>
      <c r="F167" s="231" t="s">
        <v>1924</v>
      </c>
      <c r="G167" s="392">
        <v>0</v>
      </c>
      <c r="H167" s="392">
        <v>0</v>
      </c>
      <c r="I167" s="392">
        <v>0</v>
      </c>
      <c r="J167" s="231">
        <v>0</v>
      </c>
      <c r="K167" s="231">
        <v>0</v>
      </c>
      <c r="L167" s="231"/>
      <c r="M167" s="300">
        <v>0</v>
      </c>
      <c r="N167" s="300">
        <v>0</v>
      </c>
      <c r="O167" s="300">
        <v>0</v>
      </c>
      <c r="P167" s="231">
        <v>4476</v>
      </c>
      <c r="Q167" s="231">
        <v>4476</v>
      </c>
      <c r="R167" s="231"/>
      <c r="S167" s="392">
        <v>0</v>
      </c>
      <c r="T167" s="231">
        <v>-4755</v>
      </c>
      <c r="U167" s="396">
        <v>-4755</v>
      </c>
      <c r="V167" s="231"/>
      <c r="W167" s="396">
        <v>0</v>
      </c>
      <c r="X167" s="396">
        <v>0</v>
      </c>
      <c r="Y167" s="396"/>
      <c r="Z167" s="396"/>
    </row>
    <row r="168" spans="1:26">
      <c r="A168" s="424">
        <v>91501</v>
      </c>
      <c r="B168" s="423" t="s">
        <v>878</v>
      </c>
      <c r="C168" s="234">
        <v>4.841E-4</v>
      </c>
      <c r="D168" s="234">
        <v>4.819E-4</v>
      </c>
      <c r="E168" s="231">
        <v>2731015</v>
      </c>
      <c r="F168" s="231" t="s">
        <v>1924</v>
      </c>
      <c r="G168" s="392">
        <v>117677</v>
      </c>
      <c r="H168" s="392">
        <v>902629</v>
      </c>
      <c r="I168" s="392">
        <v>272494</v>
      </c>
      <c r="J168" s="231">
        <v>18192</v>
      </c>
      <c r="K168" s="231">
        <v>1310992</v>
      </c>
      <c r="L168" s="231"/>
      <c r="M168" s="300">
        <v>11538</v>
      </c>
      <c r="N168" s="300">
        <v>0</v>
      </c>
      <c r="O168" s="300">
        <v>0</v>
      </c>
      <c r="P168" s="231">
        <v>14346</v>
      </c>
      <c r="Q168" s="231">
        <v>25884</v>
      </c>
      <c r="R168" s="231"/>
      <c r="S168" s="392">
        <v>773302</v>
      </c>
      <c r="T168" s="231">
        <v>-2911</v>
      </c>
      <c r="U168" s="396">
        <v>770391</v>
      </c>
      <c r="V168" s="231"/>
      <c r="W168" s="396">
        <v>4929131</v>
      </c>
      <c r="X168" s="396">
        <v>919640</v>
      </c>
      <c r="Y168" s="396"/>
      <c r="Z168" s="396"/>
    </row>
    <row r="169" spans="1:26">
      <c r="A169" s="424">
        <v>91504</v>
      </c>
      <c r="B169" s="423" t="s">
        <v>879</v>
      </c>
      <c r="C169" s="234">
        <v>9.5999999999999996E-6</v>
      </c>
      <c r="D169" s="234">
        <v>8.8999999999999995E-6</v>
      </c>
      <c r="E169" s="231">
        <v>54158</v>
      </c>
      <c r="F169" s="231" t="s">
        <v>1924</v>
      </c>
      <c r="G169" s="392">
        <v>2334</v>
      </c>
      <c r="H169" s="392">
        <v>17900</v>
      </c>
      <c r="I169" s="392">
        <v>5404</v>
      </c>
      <c r="J169" s="231">
        <v>9039</v>
      </c>
      <c r="K169" s="231">
        <v>34677</v>
      </c>
      <c r="L169" s="231"/>
      <c r="M169" s="300">
        <v>229</v>
      </c>
      <c r="N169" s="300">
        <v>0</v>
      </c>
      <c r="O169" s="300">
        <v>0</v>
      </c>
      <c r="P169" s="231">
        <v>0</v>
      </c>
      <c r="Q169" s="231">
        <v>229</v>
      </c>
      <c r="R169" s="231"/>
      <c r="S169" s="392">
        <v>15335</v>
      </c>
      <c r="T169" s="231">
        <v>4677</v>
      </c>
      <c r="U169" s="396">
        <v>20012</v>
      </c>
      <c r="V169" s="231"/>
      <c r="W169" s="396">
        <v>97748</v>
      </c>
      <c r="X169" s="396">
        <v>18237</v>
      </c>
      <c r="Y169" s="396"/>
      <c r="Z169" s="396"/>
    </row>
    <row r="170" spans="1:26">
      <c r="A170" s="424">
        <v>91601</v>
      </c>
      <c r="B170" s="423" t="s">
        <v>880</v>
      </c>
      <c r="C170" s="234">
        <v>2.9313E-3</v>
      </c>
      <c r="D170" s="234">
        <v>2.8359000000000001E-3</v>
      </c>
      <c r="E170" s="231">
        <v>16536718</v>
      </c>
      <c r="F170" s="231" t="s">
        <v>1924</v>
      </c>
      <c r="G170" s="392">
        <v>712552</v>
      </c>
      <c r="H170" s="392">
        <v>5465558</v>
      </c>
      <c r="I170" s="392">
        <v>1649994</v>
      </c>
      <c r="J170" s="231">
        <v>462327</v>
      </c>
      <c r="K170" s="231">
        <v>8290431</v>
      </c>
      <c r="L170" s="231"/>
      <c r="M170" s="300">
        <v>69862</v>
      </c>
      <c r="N170" s="300">
        <v>0</v>
      </c>
      <c r="O170" s="300">
        <v>0</v>
      </c>
      <c r="P170" s="231">
        <v>53361</v>
      </c>
      <c r="Q170" s="231">
        <v>123223</v>
      </c>
      <c r="R170" s="231"/>
      <c r="S170" s="392">
        <v>4682462</v>
      </c>
      <c r="T170" s="231">
        <v>158106</v>
      </c>
      <c r="U170" s="396">
        <v>4840568</v>
      </c>
      <c r="V170" s="231"/>
      <c r="W170" s="396">
        <v>29846646</v>
      </c>
      <c r="X170" s="396">
        <v>5568564</v>
      </c>
      <c r="Y170" s="396"/>
      <c r="Z170" s="396"/>
    </row>
    <row r="171" spans="1:26">
      <c r="A171" s="424">
        <v>91604</v>
      </c>
      <c r="B171" s="423" t="s">
        <v>881</v>
      </c>
      <c r="C171" s="234">
        <v>8.0099999999999995E-5</v>
      </c>
      <c r="D171" s="234">
        <v>7.3999999999999996E-5</v>
      </c>
      <c r="E171" s="231">
        <v>451878</v>
      </c>
      <c r="F171" s="231" t="s">
        <v>1924</v>
      </c>
      <c r="G171" s="392">
        <v>19471</v>
      </c>
      <c r="H171" s="392">
        <v>149351</v>
      </c>
      <c r="I171" s="392">
        <v>45087</v>
      </c>
      <c r="J171" s="231">
        <v>35249</v>
      </c>
      <c r="K171" s="231">
        <v>249158</v>
      </c>
      <c r="L171" s="231"/>
      <c r="M171" s="300">
        <v>1909</v>
      </c>
      <c r="N171" s="300">
        <v>0</v>
      </c>
      <c r="O171" s="300">
        <v>0</v>
      </c>
      <c r="P171" s="231">
        <v>0</v>
      </c>
      <c r="Q171" s="231">
        <v>1909</v>
      </c>
      <c r="R171" s="231"/>
      <c r="S171" s="392">
        <v>127952</v>
      </c>
      <c r="T171" s="231">
        <v>19159</v>
      </c>
      <c r="U171" s="396">
        <v>147111</v>
      </c>
      <c r="V171" s="231"/>
      <c r="W171" s="396">
        <v>815582</v>
      </c>
      <c r="X171" s="396">
        <v>152165</v>
      </c>
      <c r="Y171" s="396"/>
      <c r="Z171" s="396"/>
    </row>
    <row r="172" spans="1:26">
      <c r="A172" s="424">
        <v>91608</v>
      </c>
      <c r="B172" s="423" t="s">
        <v>882</v>
      </c>
      <c r="C172" s="234">
        <v>1.7569999999999999E-4</v>
      </c>
      <c r="D172" s="234">
        <v>1.594E-4</v>
      </c>
      <c r="E172" s="231">
        <v>991199</v>
      </c>
      <c r="F172" s="231" t="s">
        <v>1924</v>
      </c>
      <c r="G172" s="392">
        <v>42710</v>
      </c>
      <c r="H172" s="392">
        <v>327602</v>
      </c>
      <c r="I172" s="392">
        <v>98899</v>
      </c>
      <c r="J172" s="231">
        <v>10630</v>
      </c>
      <c r="K172" s="231">
        <v>479841</v>
      </c>
      <c r="L172" s="231"/>
      <c r="M172" s="300">
        <v>4187</v>
      </c>
      <c r="N172" s="300">
        <v>0</v>
      </c>
      <c r="O172" s="300">
        <v>0</v>
      </c>
      <c r="P172" s="231">
        <v>35070</v>
      </c>
      <c r="Q172" s="231">
        <v>39257</v>
      </c>
      <c r="R172" s="231"/>
      <c r="S172" s="392">
        <v>280663</v>
      </c>
      <c r="T172" s="231">
        <v>-20125</v>
      </c>
      <c r="U172" s="396">
        <v>260538</v>
      </c>
      <c r="V172" s="231"/>
      <c r="W172" s="396">
        <v>1788986</v>
      </c>
      <c r="X172" s="396">
        <v>333776</v>
      </c>
      <c r="Y172" s="396"/>
      <c r="Z172" s="396"/>
    </row>
    <row r="173" spans="1:26">
      <c r="A173" s="424">
        <v>91611</v>
      </c>
      <c r="B173" s="423" t="s">
        <v>883</v>
      </c>
      <c r="C173" s="234">
        <v>1.4395E-3</v>
      </c>
      <c r="D173" s="234">
        <v>1.3304E-3</v>
      </c>
      <c r="E173" s="231">
        <v>8120836</v>
      </c>
      <c r="F173" s="231" t="s">
        <v>1924</v>
      </c>
      <c r="G173" s="392">
        <v>349919</v>
      </c>
      <c r="H173" s="392">
        <v>2684021</v>
      </c>
      <c r="I173" s="392">
        <v>810277</v>
      </c>
      <c r="J173" s="231">
        <v>84547</v>
      </c>
      <c r="K173" s="231">
        <v>3928764</v>
      </c>
      <c r="L173" s="231"/>
      <c r="M173" s="300">
        <v>34308</v>
      </c>
      <c r="N173" s="300">
        <v>0</v>
      </c>
      <c r="O173" s="300">
        <v>0</v>
      </c>
      <c r="P173" s="231">
        <v>249906</v>
      </c>
      <c r="Q173" s="231">
        <v>284214</v>
      </c>
      <c r="R173" s="231"/>
      <c r="S173" s="392">
        <v>2299459</v>
      </c>
      <c r="T173" s="231">
        <v>-131575</v>
      </c>
      <c r="U173" s="396">
        <v>2167884</v>
      </c>
      <c r="V173" s="231"/>
      <c r="W173" s="396">
        <v>14657062</v>
      </c>
      <c r="X173" s="396">
        <v>2734605</v>
      </c>
      <c r="Y173" s="396"/>
      <c r="Z173" s="396"/>
    </row>
    <row r="174" spans="1:26">
      <c r="A174" s="424">
        <v>91621</v>
      </c>
      <c r="B174" s="423" t="s">
        <v>884</v>
      </c>
      <c r="C174" s="234">
        <v>3.4210000000000002E-4</v>
      </c>
      <c r="D174" s="234">
        <v>3.4180000000000001E-4</v>
      </c>
      <c r="E174" s="231">
        <v>1929933</v>
      </c>
      <c r="F174" s="231" t="s">
        <v>1924</v>
      </c>
      <c r="G174" s="392">
        <v>83159</v>
      </c>
      <c r="H174" s="392">
        <v>637863</v>
      </c>
      <c r="I174" s="392">
        <v>192564</v>
      </c>
      <c r="J174" s="231">
        <v>75611</v>
      </c>
      <c r="K174" s="231">
        <v>989197</v>
      </c>
      <c r="L174" s="231"/>
      <c r="M174" s="300">
        <v>8153</v>
      </c>
      <c r="N174" s="300">
        <v>0</v>
      </c>
      <c r="O174" s="300">
        <v>0</v>
      </c>
      <c r="P174" s="231">
        <v>38524</v>
      </c>
      <c r="Q174" s="231">
        <v>46677</v>
      </c>
      <c r="R174" s="231"/>
      <c r="S174" s="392">
        <v>546471</v>
      </c>
      <c r="T174" s="231">
        <v>26161</v>
      </c>
      <c r="U174" s="396">
        <v>572632</v>
      </c>
      <c r="V174" s="231"/>
      <c r="W174" s="396">
        <v>3483280</v>
      </c>
      <c r="X174" s="396">
        <v>649884</v>
      </c>
      <c r="Y174" s="396"/>
      <c r="Z174" s="396"/>
    </row>
    <row r="175" spans="1:26">
      <c r="A175" s="424">
        <v>91631</v>
      </c>
      <c r="B175" s="423" t="s">
        <v>885</v>
      </c>
      <c r="C175" s="234">
        <v>6.3690000000000003E-4</v>
      </c>
      <c r="D175" s="234">
        <v>6.3750000000000005E-4</v>
      </c>
      <c r="E175" s="231">
        <v>3593025</v>
      </c>
      <c r="F175" s="231" t="s">
        <v>1924</v>
      </c>
      <c r="G175" s="392">
        <v>154820</v>
      </c>
      <c r="H175" s="392">
        <v>1187533</v>
      </c>
      <c r="I175" s="392">
        <v>358503</v>
      </c>
      <c r="J175" s="231">
        <v>20637</v>
      </c>
      <c r="K175" s="231">
        <v>1721493</v>
      </c>
      <c r="L175" s="231"/>
      <c r="M175" s="300">
        <v>15179</v>
      </c>
      <c r="N175" s="300">
        <v>0</v>
      </c>
      <c r="O175" s="300">
        <v>0</v>
      </c>
      <c r="P175" s="231">
        <v>54061</v>
      </c>
      <c r="Q175" s="231">
        <v>69240</v>
      </c>
      <c r="R175" s="231"/>
      <c r="S175" s="392">
        <v>1017385</v>
      </c>
      <c r="T175" s="231">
        <v>-3015</v>
      </c>
      <c r="U175" s="396">
        <v>1014370</v>
      </c>
      <c r="V175" s="231"/>
      <c r="W175" s="396">
        <v>6484948</v>
      </c>
      <c r="X175" s="396">
        <v>1209913</v>
      </c>
      <c r="Y175" s="396"/>
      <c r="Z175" s="396"/>
    </row>
    <row r="176" spans="1:26">
      <c r="A176" s="424">
        <v>91633</v>
      </c>
      <c r="B176" s="423" t="s">
        <v>886</v>
      </c>
      <c r="C176" s="234">
        <v>3.6000000000000001E-5</v>
      </c>
      <c r="D176" s="234">
        <v>0</v>
      </c>
      <c r="E176" s="231">
        <v>203091</v>
      </c>
      <c r="F176" s="231" t="s">
        <v>1924</v>
      </c>
      <c r="G176" s="392">
        <v>8751</v>
      </c>
      <c r="H176" s="392">
        <v>67124</v>
      </c>
      <c r="I176" s="392">
        <v>20264</v>
      </c>
      <c r="J176" s="231">
        <v>55461</v>
      </c>
      <c r="K176" s="231">
        <v>151600</v>
      </c>
      <c r="L176" s="231"/>
      <c r="M176" s="300">
        <v>858</v>
      </c>
      <c r="N176" s="300">
        <v>0</v>
      </c>
      <c r="O176" s="300">
        <v>0</v>
      </c>
      <c r="P176" s="231">
        <v>27139</v>
      </c>
      <c r="Q176" s="231">
        <v>27997</v>
      </c>
      <c r="R176" s="231"/>
      <c r="S176" s="392">
        <v>57506</v>
      </c>
      <c r="T176" s="231">
        <v>4958</v>
      </c>
      <c r="U176" s="396">
        <v>62464</v>
      </c>
      <c r="V176" s="231"/>
      <c r="W176" s="396">
        <v>366554</v>
      </c>
      <c r="X176" s="396">
        <v>68389</v>
      </c>
      <c r="Y176" s="396"/>
      <c r="Z176" s="396"/>
    </row>
    <row r="177" spans="1:26">
      <c r="A177" s="424">
        <v>91641</v>
      </c>
      <c r="B177" s="423" t="s">
        <v>887</v>
      </c>
      <c r="C177" s="234">
        <v>3.2289999999999999E-4</v>
      </c>
      <c r="D177" s="234">
        <v>3.234E-4</v>
      </c>
      <c r="E177" s="231">
        <v>1821617</v>
      </c>
      <c r="F177" s="231" t="s">
        <v>1924</v>
      </c>
      <c r="G177" s="392">
        <v>78492</v>
      </c>
      <c r="H177" s="392">
        <v>602064</v>
      </c>
      <c r="I177" s="392">
        <v>181757</v>
      </c>
      <c r="J177" s="231">
        <v>8142</v>
      </c>
      <c r="K177" s="231">
        <v>870455</v>
      </c>
      <c r="L177" s="231"/>
      <c r="M177" s="300">
        <v>7696</v>
      </c>
      <c r="N177" s="300">
        <v>0</v>
      </c>
      <c r="O177" s="300">
        <v>0</v>
      </c>
      <c r="P177" s="231">
        <v>20406</v>
      </c>
      <c r="Q177" s="231">
        <v>28102</v>
      </c>
      <c r="R177" s="231"/>
      <c r="S177" s="392">
        <v>515801</v>
      </c>
      <c r="T177" s="231">
        <v>-13023</v>
      </c>
      <c r="U177" s="396">
        <v>502778</v>
      </c>
      <c r="V177" s="231"/>
      <c r="W177" s="396">
        <v>3287784</v>
      </c>
      <c r="X177" s="396">
        <v>613410</v>
      </c>
      <c r="Y177" s="396"/>
      <c r="Z177" s="396"/>
    </row>
    <row r="178" spans="1:26">
      <c r="A178" s="424">
        <v>91651</v>
      </c>
      <c r="B178" s="423" t="s">
        <v>888</v>
      </c>
      <c r="C178" s="234">
        <v>5.6240000000000001E-4</v>
      </c>
      <c r="D178" s="234">
        <v>5.5210000000000003E-4</v>
      </c>
      <c r="E178" s="231">
        <v>3172739</v>
      </c>
      <c r="F178" s="231" t="s">
        <v>1924</v>
      </c>
      <c r="G178" s="392">
        <v>136710</v>
      </c>
      <c r="H178" s="392">
        <v>1048623</v>
      </c>
      <c r="I178" s="392">
        <v>316568</v>
      </c>
      <c r="J178" s="231">
        <v>28892</v>
      </c>
      <c r="K178" s="231">
        <v>1530793</v>
      </c>
      <c r="L178" s="231"/>
      <c r="M178" s="300">
        <v>13404</v>
      </c>
      <c r="N178" s="300">
        <v>0</v>
      </c>
      <c r="O178" s="300">
        <v>0</v>
      </c>
      <c r="P178" s="231">
        <v>19326</v>
      </c>
      <c r="Q178" s="231">
        <v>32730</v>
      </c>
      <c r="R178" s="231"/>
      <c r="S178" s="392">
        <v>898378</v>
      </c>
      <c r="T178" s="231">
        <v>19478</v>
      </c>
      <c r="U178" s="396">
        <v>917856</v>
      </c>
      <c r="V178" s="231"/>
      <c r="W178" s="396">
        <v>5726385</v>
      </c>
      <c r="X178" s="396">
        <v>1068386</v>
      </c>
      <c r="Y178" s="396"/>
      <c r="Z178" s="396"/>
    </row>
    <row r="179" spans="1:26">
      <c r="A179" s="424">
        <v>91661</v>
      </c>
      <c r="B179" s="423" t="s">
        <v>889</v>
      </c>
      <c r="C179" s="234">
        <v>2.063E-4</v>
      </c>
      <c r="D179" s="234">
        <v>1.9269999999999999E-4</v>
      </c>
      <c r="E179" s="231">
        <v>1163827</v>
      </c>
      <c r="F179" s="231" t="s">
        <v>1924</v>
      </c>
      <c r="G179" s="392">
        <v>50148</v>
      </c>
      <c r="H179" s="392">
        <v>384657</v>
      </c>
      <c r="I179" s="392">
        <v>116124</v>
      </c>
      <c r="J179" s="231">
        <v>0</v>
      </c>
      <c r="K179" s="231">
        <v>550929</v>
      </c>
      <c r="L179" s="231"/>
      <c r="M179" s="300">
        <v>4917</v>
      </c>
      <c r="N179" s="300">
        <v>0</v>
      </c>
      <c r="O179" s="300">
        <v>0</v>
      </c>
      <c r="P179" s="231">
        <v>41306</v>
      </c>
      <c r="Q179" s="231">
        <v>46223</v>
      </c>
      <c r="R179" s="231"/>
      <c r="S179" s="392">
        <v>329544</v>
      </c>
      <c r="T179" s="231">
        <v>-23260</v>
      </c>
      <c r="U179" s="396">
        <v>306284</v>
      </c>
      <c r="V179" s="231"/>
      <c r="W179" s="396">
        <v>2100557</v>
      </c>
      <c r="X179" s="396">
        <v>391906</v>
      </c>
      <c r="Y179" s="396"/>
      <c r="Z179" s="396"/>
    </row>
    <row r="180" spans="1:26">
      <c r="A180" s="424">
        <v>91671</v>
      </c>
      <c r="B180" s="423" t="s">
        <v>890</v>
      </c>
      <c r="C180" s="234">
        <v>1.0069999999999999E-4</v>
      </c>
      <c r="D180" s="234">
        <v>1.013E-4</v>
      </c>
      <c r="E180" s="231">
        <v>568092</v>
      </c>
      <c r="F180" s="231" t="s">
        <v>1924</v>
      </c>
      <c r="G180" s="392">
        <v>24479</v>
      </c>
      <c r="H180" s="392">
        <v>187760</v>
      </c>
      <c r="I180" s="392">
        <v>56683</v>
      </c>
      <c r="J180" s="231">
        <v>4660</v>
      </c>
      <c r="K180" s="231">
        <v>273582</v>
      </c>
      <c r="L180" s="231"/>
      <c r="M180" s="300">
        <v>2400</v>
      </c>
      <c r="N180" s="300">
        <v>0</v>
      </c>
      <c r="O180" s="300">
        <v>0</v>
      </c>
      <c r="P180" s="231">
        <v>17916</v>
      </c>
      <c r="Q180" s="231">
        <v>20316</v>
      </c>
      <c r="R180" s="231"/>
      <c r="S180" s="392">
        <v>160858</v>
      </c>
      <c r="T180" s="231">
        <v>-9369</v>
      </c>
      <c r="U180" s="396">
        <v>151489</v>
      </c>
      <c r="V180" s="231"/>
      <c r="W180" s="396">
        <v>1025333</v>
      </c>
      <c r="X180" s="396">
        <v>191299</v>
      </c>
      <c r="Y180" s="396"/>
      <c r="Z180" s="396"/>
    </row>
    <row r="181" spans="1:26">
      <c r="A181" s="424">
        <v>91681</v>
      </c>
      <c r="B181" s="423" t="s">
        <v>891</v>
      </c>
      <c r="C181" s="234">
        <v>4.484E-4</v>
      </c>
      <c r="D181" s="234">
        <v>4.5239999999999999E-4</v>
      </c>
      <c r="E181" s="231">
        <v>2529616</v>
      </c>
      <c r="F181" s="231" t="s">
        <v>1924</v>
      </c>
      <c r="G181" s="392">
        <v>108999</v>
      </c>
      <c r="H181" s="392">
        <v>836065</v>
      </c>
      <c r="I181" s="392">
        <v>252399</v>
      </c>
      <c r="J181" s="231">
        <v>247391</v>
      </c>
      <c r="K181" s="231">
        <v>1444854</v>
      </c>
      <c r="L181" s="231"/>
      <c r="M181" s="300">
        <v>10687</v>
      </c>
      <c r="N181" s="300">
        <v>0</v>
      </c>
      <c r="O181" s="300">
        <v>0</v>
      </c>
      <c r="P181" s="231">
        <v>1385</v>
      </c>
      <c r="Q181" s="231">
        <v>12072</v>
      </c>
      <c r="R181" s="231"/>
      <c r="S181" s="392">
        <v>716275</v>
      </c>
      <c r="T181" s="231">
        <v>149598</v>
      </c>
      <c r="U181" s="396">
        <v>865873</v>
      </c>
      <c r="V181" s="231"/>
      <c r="W181" s="396">
        <v>4565632</v>
      </c>
      <c r="X181" s="396">
        <v>851821</v>
      </c>
      <c r="Y181" s="396"/>
      <c r="Z181" s="396"/>
    </row>
    <row r="182" spans="1:26">
      <c r="A182" s="424">
        <v>91691</v>
      </c>
      <c r="B182" s="423" t="s">
        <v>892</v>
      </c>
      <c r="C182" s="234">
        <v>3.5099999999999999E-5</v>
      </c>
      <c r="D182" s="234">
        <v>2.8500000000000002E-5</v>
      </c>
      <c r="E182" s="231">
        <v>198014</v>
      </c>
      <c r="F182" s="231" t="s">
        <v>1924</v>
      </c>
      <c r="G182" s="392">
        <v>8532</v>
      </c>
      <c r="H182" s="392">
        <v>65446</v>
      </c>
      <c r="I182" s="392">
        <v>19757</v>
      </c>
      <c r="J182" s="231">
        <v>27643</v>
      </c>
      <c r="K182" s="231">
        <v>121378</v>
      </c>
      <c r="L182" s="231"/>
      <c r="M182" s="300">
        <v>837</v>
      </c>
      <c r="N182" s="300">
        <v>0</v>
      </c>
      <c r="O182" s="300">
        <v>0</v>
      </c>
      <c r="P182" s="231">
        <v>1537</v>
      </c>
      <c r="Q182" s="231">
        <v>2374</v>
      </c>
      <c r="R182" s="231"/>
      <c r="S182" s="392">
        <v>56069</v>
      </c>
      <c r="T182" s="231">
        <v>10791</v>
      </c>
      <c r="U182" s="396">
        <v>66860</v>
      </c>
      <c r="V182" s="231"/>
      <c r="W182" s="396">
        <v>357390</v>
      </c>
      <c r="X182" s="396">
        <v>66679</v>
      </c>
      <c r="Y182" s="396"/>
      <c r="Z182" s="396"/>
    </row>
    <row r="183" spans="1:26">
      <c r="A183" s="424">
        <v>91701</v>
      </c>
      <c r="B183" s="423" t="s">
        <v>893</v>
      </c>
      <c r="C183" s="234">
        <v>1.2080000000000001E-3</v>
      </c>
      <c r="D183" s="234">
        <v>1.1352999999999999E-3</v>
      </c>
      <c r="E183" s="231">
        <v>6814845</v>
      </c>
      <c r="F183" s="231" t="s">
        <v>1924</v>
      </c>
      <c r="G183" s="392">
        <v>293645</v>
      </c>
      <c r="H183" s="392">
        <v>2252378</v>
      </c>
      <c r="I183" s="392">
        <v>679969</v>
      </c>
      <c r="J183" s="231">
        <v>25422</v>
      </c>
      <c r="K183" s="231">
        <v>3251414</v>
      </c>
      <c r="L183" s="231"/>
      <c r="M183" s="300">
        <v>28790</v>
      </c>
      <c r="N183" s="300">
        <v>0</v>
      </c>
      <c r="O183" s="300">
        <v>0</v>
      </c>
      <c r="P183" s="231">
        <v>447532</v>
      </c>
      <c r="Q183" s="231">
        <v>476322</v>
      </c>
      <c r="R183" s="231"/>
      <c r="S183" s="392">
        <v>1929660</v>
      </c>
      <c r="T183" s="231">
        <v>-163777</v>
      </c>
      <c r="U183" s="396">
        <v>1765883</v>
      </c>
      <c r="V183" s="231"/>
      <c r="W183" s="396">
        <v>12299918</v>
      </c>
      <c r="X183" s="396">
        <v>2294827</v>
      </c>
      <c r="Y183" s="396"/>
      <c r="Z183" s="396"/>
    </row>
    <row r="184" spans="1:26">
      <c r="A184" s="424">
        <v>91704</v>
      </c>
      <c r="B184" s="423" t="s">
        <v>894</v>
      </c>
      <c r="C184" s="234">
        <v>1.7799999999999999E-5</v>
      </c>
      <c r="D184" s="234">
        <v>1.7600000000000001E-5</v>
      </c>
      <c r="E184" s="231">
        <v>100417</v>
      </c>
      <c r="F184" s="231" t="s">
        <v>1924</v>
      </c>
      <c r="G184" s="392">
        <v>4327</v>
      </c>
      <c r="H184" s="392">
        <v>33189</v>
      </c>
      <c r="I184" s="392">
        <v>10019</v>
      </c>
      <c r="J184" s="231">
        <v>3920</v>
      </c>
      <c r="K184" s="231">
        <v>51455</v>
      </c>
      <c r="L184" s="231"/>
      <c r="M184" s="300">
        <v>424</v>
      </c>
      <c r="N184" s="300">
        <v>0</v>
      </c>
      <c r="O184" s="300">
        <v>0</v>
      </c>
      <c r="P184" s="231">
        <v>6</v>
      </c>
      <c r="Q184" s="231">
        <v>430</v>
      </c>
      <c r="R184" s="231"/>
      <c r="S184" s="392">
        <v>28434</v>
      </c>
      <c r="T184" s="231">
        <v>1790</v>
      </c>
      <c r="U184" s="396">
        <v>30224</v>
      </c>
      <c r="V184" s="231"/>
      <c r="W184" s="396">
        <v>181241</v>
      </c>
      <c r="X184" s="396">
        <v>33814</v>
      </c>
      <c r="Y184" s="396"/>
      <c r="Z184" s="396"/>
    </row>
    <row r="185" spans="1:26">
      <c r="A185" s="424">
        <v>91706</v>
      </c>
      <c r="B185" s="423" t="s">
        <v>895</v>
      </c>
      <c r="C185" s="234">
        <v>2.042E-4</v>
      </c>
      <c r="D185" s="234">
        <v>1.9760000000000001E-4</v>
      </c>
      <c r="E185" s="231">
        <v>1151980</v>
      </c>
      <c r="F185" s="231" t="s">
        <v>1924</v>
      </c>
      <c r="G185" s="392">
        <v>49638</v>
      </c>
      <c r="H185" s="392">
        <v>380741</v>
      </c>
      <c r="I185" s="392">
        <v>114942</v>
      </c>
      <c r="J185" s="231">
        <v>7657</v>
      </c>
      <c r="K185" s="231">
        <v>552978</v>
      </c>
      <c r="L185" s="231"/>
      <c r="M185" s="300">
        <v>4867</v>
      </c>
      <c r="N185" s="300">
        <v>0</v>
      </c>
      <c r="O185" s="300">
        <v>0</v>
      </c>
      <c r="P185" s="231">
        <v>69358</v>
      </c>
      <c r="Q185" s="231">
        <v>74225</v>
      </c>
      <c r="R185" s="231"/>
      <c r="S185" s="392">
        <v>326189</v>
      </c>
      <c r="T185" s="231">
        <v>-15997</v>
      </c>
      <c r="U185" s="396">
        <v>310192</v>
      </c>
      <c r="V185" s="231"/>
      <c r="W185" s="396">
        <v>2079175</v>
      </c>
      <c r="X185" s="396">
        <v>387917</v>
      </c>
      <c r="Y185" s="396"/>
      <c r="Z185" s="396"/>
    </row>
    <row r="186" spans="1:26">
      <c r="A186" s="424">
        <v>91719</v>
      </c>
      <c r="B186" s="423" t="s">
        <v>896</v>
      </c>
      <c r="C186" s="234">
        <v>3.7200000000000003E-5</v>
      </c>
      <c r="D186" s="234">
        <v>4.99E-5</v>
      </c>
      <c r="E186" s="231">
        <v>209861</v>
      </c>
      <c r="F186" s="231" t="s">
        <v>1924</v>
      </c>
      <c r="G186" s="392">
        <v>9043</v>
      </c>
      <c r="H186" s="392">
        <v>69361</v>
      </c>
      <c r="I186" s="392">
        <v>20939</v>
      </c>
      <c r="J186" s="231">
        <v>0</v>
      </c>
      <c r="K186" s="231">
        <v>99343</v>
      </c>
      <c r="L186" s="231"/>
      <c r="M186" s="300">
        <v>887</v>
      </c>
      <c r="N186" s="300">
        <v>0</v>
      </c>
      <c r="O186" s="300">
        <v>0</v>
      </c>
      <c r="P186" s="231">
        <v>34834</v>
      </c>
      <c r="Q186" s="231">
        <v>35721</v>
      </c>
      <c r="R186" s="231"/>
      <c r="S186" s="392">
        <v>59423</v>
      </c>
      <c r="T186" s="231">
        <v>-14972</v>
      </c>
      <c r="U186" s="396">
        <v>44451</v>
      </c>
      <c r="V186" s="231"/>
      <c r="W186" s="396">
        <v>378772</v>
      </c>
      <c r="X186" s="396">
        <v>70669</v>
      </c>
      <c r="Y186" s="396"/>
      <c r="Z186" s="396"/>
    </row>
    <row r="187" spans="1:26">
      <c r="A187" s="424">
        <v>91801</v>
      </c>
      <c r="B187" s="423" t="s">
        <v>897</v>
      </c>
      <c r="C187" s="234">
        <v>7.7625999999999997E-3</v>
      </c>
      <c r="D187" s="234">
        <v>7.6772999999999997E-3</v>
      </c>
      <c r="E187" s="231">
        <v>43792149</v>
      </c>
      <c r="F187" s="231" t="s">
        <v>1924</v>
      </c>
      <c r="G187" s="392">
        <v>1886964</v>
      </c>
      <c r="H187" s="392">
        <v>14473764</v>
      </c>
      <c r="I187" s="392">
        <v>4369474</v>
      </c>
      <c r="J187" s="231">
        <v>157685</v>
      </c>
      <c r="K187" s="231">
        <v>20887887</v>
      </c>
      <c r="L187" s="231"/>
      <c r="M187" s="300">
        <v>185006</v>
      </c>
      <c r="N187" s="300">
        <v>0</v>
      </c>
      <c r="O187" s="300">
        <v>0</v>
      </c>
      <c r="P187" s="231">
        <v>67459</v>
      </c>
      <c r="Q187" s="231">
        <v>252465</v>
      </c>
      <c r="R187" s="231"/>
      <c r="S187" s="392">
        <v>12399985</v>
      </c>
      <c r="T187" s="231">
        <v>-11367</v>
      </c>
      <c r="U187" s="396">
        <v>12388618</v>
      </c>
      <c r="V187" s="231"/>
      <c r="W187" s="396">
        <v>79039189</v>
      </c>
      <c r="X187" s="396">
        <v>14746541</v>
      </c>
      <c r="Y187" s="396"/>
      <c r="Z187" s="396"/>
    </row>
    <row r="188" spans="1:26">
      <c r="A188" s="424">
        <v>91804</v>
      </c>
      <c r="B188" s="423" t="s">
        <v>898</v>
      </c>
      <c r="C188" s="234">
        <v>1.85E-4</v>
      </c>
      <c r="D188" s="234">
        <v>1.4300000000000001E-4</v>
      </c>
      <c r="E188" s="231">
        <v>1043664</v>
      </c>
      <c r="F188" s="231" t="s">
        <v>1924</v>
      </c>
      <c r="G188" s="392">
        <v>44971</v>
      </c>
      <c r="H188" s="392">
        <v>344942</v>
      </c>
      <c r="I188" s="392">
        <v>104134</v>
      </c>
      <c r="J188" s="231">
        <v>158958</v>
      </c>
      <c r="K188" s="231">
        <v>653005</v>
      </c>
      <c r="L188" s="231"/>
      <c r="M188" s="300">
        <v>4409</v>
      </c>
      <c r="N188" s="300">
        <v>0</v>
      </c>
      <c r="O188" s="300">
        <v>0</v>
      </c>
      <c r="P188" s="231">
        <v>0</v>
      </c>
      <c r="Q188" s="231">
        <v>4409</v>
      </c>
      <c r="R188" s="231"/>
      <c r="S188" s="392">
        <v>295519</v>
      </c>
      <c r="T188" s="231">
        <v>81647</v>
      </c>
      <c r="U188" s="396">
        <v>377166</v>
      </c>
      <c r="V188" s="231"/>
      <c r="W188" s="396">
        <v>1883679</v>
      </c>
      <c r="X188" s="396">
        <v>351443</v>
      </c>
      <c r="Y188" s="396"/>
      <c r="Z188" s="396"/>
    </row>
    <row r="189" spans="1:26">
      <c r="A189" s="424">
        <v>91811</v>
      </c>
      <c r="B189" s="423" t="s">
        <v>899</v>
      </c>
      <c r="C189" s="234">
        <v>4.0623999999999999E-3</v>
      </c>
      <c r="D189" s="234">
        <v>4.2316999999999997E-3</v>
      </c>
      <c r="E189" s="231">
        <v>22917737</v>
      </c>
      <c r="F189" s="231" t="s">
        <v>1924</v>
      </c>
      <c r="G189" s="392">
        <v>987504</v>
      </c>
      <c r="H189" s="392">
        <v>7574552</v>
      </c>
      <c r="I189" s="392">
        <v>2286676</v>
      </c>
      <c r="J189" s="231">
        <v>37355</v>
      </c>
      <c r="K189" s="231">
        <v>10886087</v>
      </c>
      <c r="L189" s="231"/>
      <c r="M189" s="300">
        <v>96819</v>
      </c>
      <c r="N189" s="300">
        <v>0</v>
      </c>
      <c r="O189" s="300">
        <v>0</v>
      </c>
      <c r="P189" s="231">
        <v>410581</v>
      </c>
      <c r="Q189" s="231">
        <v>507400</v>
      </c>
      <c r="R189" s="231"/>
      <c r="S189" s="392">
        <v>6489282</v>
      </c>
      <c r="T189" s="231">
        <v>-207055</v>
      </c>
      <c r="U189" s="396">
        <v>6282227</v>
      </c>
      <c r="V189" s="231"/>
      <c r="W189" s="396">
        <v>41363564</v>
      </c>
      <c r="X189" s="396">
        <v>7717305</v>
      </c>
      <c r="Y189" s="396"/>
      <c r="Z189" s="396"/>
    </row>
    <row r="190" spans="1:26">
      <c r="A190" s="424">
        <v>91812</v>
      </c>
      <c r="B190" s="423" t="s">
        <v>900</v>
      </c>
      <c r="C190" s="234">
        <v>4.9400000000000001E-5</v>
      </c>
      <c r="D190" s="234">
        <v>5.41E-5</v>
      </c>
      <c r="E190" s="231">
        <v>278687</v>
      </c>
      <c r="F190" s="231" t="s">
        <v>1924</v>
      </c>
      <c r="G190" s="392">
        <v>12008</v>
      </c>
      <c r="H190" s="392">
        <v>92109</v>
      </c>
      <c r="I190" s="392">
        <v>27807</v>
      </c>
      <c r="J190" s="231">
        <v>6580</v>
      </c>
      <c r="K190" s="231">
        <v>138504</v>
      </c>
      <c r="L190" s="231"/>
      <c r="M190" s="300">
        <v>1177</v>
      </c>
      <c r="N190" s="300">
        <v>0</v>
      </c>
      <c r="O190" s="300">
        <v>0</v>
      </c>
      <c r="P190" s="231">
        <v>3642</v>
      </c>
      <c r="Q190" s="231">
        <v>4819</v>
      </c>
      <c r="R190" s="231"/>
      <c r="S190" s="392">
        <v>78912</v>
      </c>
      <c r="T190" s="231">
        <v>5585</v>
      </c>
      <c r="U190" s="396">
        <v>84497</v>
      </c>
      <c r="V190" s="231"/>
      <c r="W190" s="396">
        <v>502993</v>
      </c>
      <c r="X190" s="396">
        <v>93845</v>
      </c>
      <c r="Y190" s="396"/>
      <c r="Z190" s="396"/>
    </row>
    <row r="191" spans="1:26">
      <c r="A191" s="424">
        <v>91813</v>
      </c>
      <c r="B191" s="423" t="s">
        <v>901</v>
      </c>
      <c r="C191" s="234">
        <v>6.7799999999999995E-5</v>
      </c>
      <c r="D191" s="234">
        <v>7.1799999999999997E-5</v>
      </c>
      <c r="E191" s="231">
        <v>382489</v>
      </c>
      <c r="F191" s="231" t="s">
        <v>1924</v>
      </c>
      <c r="G191" s="392">
        <v>16481</v>
      </c>
      <c r="H191" s="392">
        <v>126417</v>
      </c>
      <c r="I191" s="392">
        <v>38164</v>
      </c>
      <c r="J191" s="231">
        <v>4270</v>
      </c>
      <c r="K191" s="231">
        <v>185332</v>
      </c>
      <c r="L191" s="231"/>
      <c r="M191" s="300">
        <v>1616</v>
      </c>
      <c r="N191" s="300">
        <v>0</v>
      </c>
      <c r="O191" s="300">
        <v>0</v>
      </c>
      <c r="P191" s="231">
        <v>10862</v>
      </c>
      <c r="Q191" s="231">
        <v>12478</v>
      </c>
      <c r="R191" s="231"/>
      <c r="S191" s="392">
        <v>108304</v>
      </c>
      <c r="T191" s="231">
        <v>-1645</v>
      </c>
      <c r="U191" s="396">
        <v>106659</v>
      </c>
      <c r="V191" s="231"/>
      <c r="W191" s="396">
        <v>690343</v>
      </c>
      <c r="X191" s="396">
        <v>128799</v>
      </c>
      <c r="Y191" s="396"/>
      <c r="Z191" s="396"/>
    </row>
    <row r="192" spans="1:26">
      <c r="A192" s="424">
        <v>91818</v>
      </c>
      <c r="B192" s="423" t="s">
        <v>902</v>
      </c>
      <c r="C192" s="234">
        <v>4.6949999999999997E-4</v>
      </c>
      <c r="D192" s="234">
        <v>4.683E-4</v>
      </c>
      <c r="E192" s="231">
        <v>2648650</v>
      </c>
      <c r="F192" s="231" t="s">
        <v>1924</v>
      </c>
      <c r="G192" s="392">
        <v>114128</v>
      </c>
      <c r="H192" s="392">
        <v>875407</v>
      </c>
      <c r="I192" s="392">
        <v>264276</v>
      </c>
      <c r="J192" s="231">
        <v>83782</v>
      </c>
      <c r="K192" s="231">
        <v>1337593</v>
      </c>
      <c r="L192" s="231"/>
      <c r="M192" s="300">
        <v>11190</v>
      </c>
      <c r="N192" s="300">
        <v>0</v>
      </c>
      <c r="O192" s="300">
        <v>0</v>
      </c>
      <c r="P192" s="231">
        <v>0</v>
      </c>
      <c r="Q192" s="231">
        <v>11190</v>
      </c>
      <c r="R192" s="231"/>
      <c r="S192" s="392">
        <v>749980</v>
      </c>
      <c r="T192" s="231">
        <v>102348</v>
      </c>
      <c r="U192" s="396">
        <v>852328</v>
      </c>
      <c r="V192" s="231"/>
      <c r="W192" s="396">
        <v>4780473</v>
      </c>
      <c r="X192" s="396">
        <v>891905</v>
      </c>
      <c r="Y192" s="396"/>
      <c r="Z192" s="396"/>
    </row>
    <row r="193" spans="1:26">
      <c r="A193" s="424">
        <v>91819</v>
      </c>
      <c r="B193" s="423" t="s">
        <v>903</v>
      </c>
      <c r="C193" s="234">
        <v>2.4169999999999999E-4</v>
      </c>
      <c r="D193" s="234">
        <v>2.6840000000000002E-4</v>
      </c>
      <c r="E193" s="231">
        <v>1363533</v>
      </c>
      <c r="F193" s="231" t="s">
        <v>1924</v>
      </c>
      <c r="G193" s="392">
        <v>58753</v>
      </c>
      <c r="H193" s="392">
        <v>450662</v>
      </c>
      <c r="I193" s="392">
        <v>136050</v>
      </c>
      <c r="J193" s="231">
        <v>4901</v>
      </c>
      <c r="K193" s="231">
        <v>650366</v>
      </c>
      <c r="L193" s="231"/>
      <c r="M193" s="300">
        <v>5760</v>
      </c>
      <c r="N193" s="300">
        <v>0</v>
      </c>
      <c r="O193" s="300">
        <v>0</v>
      </c>
      <c r="P193" s="231">
        <v>56827</v>
      </c>
      <c r="Q193" s="231">
        <v>62587</v>
      </c>
      <c r="R193" s="231"/>
      <c r="S193" s="392">
        <v>386092</v>
      </c>
      <c r="T193" s="231">
        <v>-18665</v>
      </c>
      <c r="U193" s="396">
        <v>367427</v>
      </c>
      <c r="V193" s="231"/>
      <c r="W193" s="396">
        <v>2461002</v>
      </c>
      <c r="X193" s="396">
        <v>459155</v>
      </c>
      <c r="Y193" s="396"/>
      <c r="Z193" s="396"/>
    </row>
    <row r="194" spans="1:26">
      <c r="A194" s="424">
        <v>91821</v>
      </c>
      <c r="B194" s="423" t="s">
        <v>904</v>
      </c>
      <c r="C194" s="234">
        <v>1.6799999999999999E-4</v>
      </c>
      <c r="D194" s="234">
        <v>1.617E-4</v>
      </c>
      <c r="E194" s="231">
        <v>947760</v>
      </c>
      <c r="F194" s="231" t="s">
        <v>1924</v>
      </c>
      <c r="G194" s="392">
        <v>40838</v>
      </c>
      <c r="H194" s="392">
        <v>313245</v>
      </c>
      <c r="I194" s="392">
        <v>94565</v>
      </c>
      <c r="J194" s="231">
        <v>32523</v>
      </c>
      <c r="K194" s="231">
        <v>481171</v>
      </c>
      <c r="L194" s="231"/>
      <c r="M194" s="300">
        <v>4004</v>
      </c>
      <c r="N194" s="300">
        <v>0</v>
      </c>
      <c r="O194" s="300">
        <v>0</v>
      </c>
      <c r="P194" s="231">
        <v>8324</v>
      </c>
      <c r="Q194" s="231">
        <v>12328</v>
      </c>
      <c r="R194" s="231"/>
      <c r="S194" s="392">
        <v>268363</v>
      </c>
      <c r="T194" s="231">
        <v>2817</v>
      </c>
      <c r="U194" s="396">
        <v>271180</v>
      </c>
      <c r="V194" s="231"/>
      <c r="W194" s="396">
        <v>1710585</v>
      </c>
      <c r="X194" s="396">
        <v>319148</v>
      </c>
      <c r="Y194" s="396"/>
      <c r="Z194" s="396"/>
    </row>
    <row r="195" spans="1:26">
      <c r="A195" s="424">
        <v>91831</v>
      </c>
      <c r="B195" s="423" t="s">
        <v>905</v>
      </c>
      <c r="C195" s="234">
        <v>4.3689999999999999E-4</v>
      </c>
      <c r="D195" s="234">
        <v>4.0200000000000001E-4</v>
      </c>
      <c r="E195" s="231">
        <v>2464740</v>
      </c>
      <c r="F195" s="231" t="s">
        <v>1924</v>
      </c>
      <c r="G195" s="392">
        <v>106203</v>
      </c>
      <c r="H195" s="392">
        <v>814622</v>
      </c>
      <c r="I195" s="392">
        <v>245926</v>
      </c>
      <c r="J195" s="231">
        <v>60934</v>
      </c>
      <c r="K195" s="231">
        <v>1227685</v>
      </c>
      <c r="L195" s="231"/>
      <c r="M195" s="300">
        <v>10413</v>
      </c>
      <c r="N195" s="300">
        <v>0</v>
      </c>
      <c r="O195" s="300">
        <v>0</v>
      </c>
      <c r="P195" s="231">
        <v>44266</v>
      </c>
      <c r="Q195" s="231">
        <v>54679</v>
      </c>
      <c r="R195" s="231"/>
      <c r="S195" s="392">
        <v>697904</v>
      </c>
      <c r="T195" s="231">
        <v>13990</v>
      </c>
      <c r="U195" s="396">
        <v>711894</v>
      </c>
      <c r="V195" s="231"/>
      <c r="W195" s="396">
        <v>4448538</v>
      </c>
      <c r="X195" s="396">
        <v>829975</v>
      </c>
      <c r="Y195" s="396"/>
      <c r="Z195" s="396"/>
    </row>
    <row r="196" spans="1:26">
      <c r="A196" s="424">
        <v>91841</v>
      </c>
      <c r="B196" s="423" t="s">
        <v>906</v>
      </c>
      <c r="C196" s="234">
        <v>2.8370000000000001E-4</v>
      </c>
      <c r="D196" s="234">
        <v>2.8810000000000001E-4</v>
      </c>
      <c r="E196" s="231">
        <v>1600473</v>
      </c>
      <c r="F196" s="231" t="s">
        <v>1924</v>
      </c>
      <c r="G196" s="392">
        <v>68963</v>
      </c>
      <c r="H196" s="392">
        <v>528973</v>
      </c>
      <c r="I196" s="392">
        <v>159691</v>
      </c>
      <c r="J196" s="231">
        <v>18170</v>
      </c>
      <c r="K196" s="231">
        <v>775797</v>
      </c>
      <c r="L196" s="231"/>
      <c r="M196" s="300">
        <v>6761</v>
      </c>
      <c r="N196" s="300">
        <v>0</v>
      </c>
      <c r="O196" s="300">
        <v>0</v>
      </c>
      <c r="P196" s="231">
        <v>17488</v>
      </c>
      <c r="Q196" s="231">
        <v>24249</v>
      </c>
      <c r="R196" s="231"/>
      <c r="S196" s="392">
        <v>453183</v>
      </c>
      <c r="T196" s="231">
        <v>8617</v>
      </c>
      <c r="U196" s="396">
        <v>461800</v>
      </c>
      <c r="V196" s="231"/>
      <c r="W196" s="396">
        <v>2888648</v>
      </c>
      <c r="X196" s="396">
        <v>538942</v>
      </c>
      <c r="Y196" s="396"/>
      <c r="Z196" s="396"/>
    </row>
    <row r="197" spans="1:26">
      <c r="A197" s="424">
        <v>91851</v>
      </c>
      <c r="B197" s="423" t="s">
        <v>907</v>
      </c>
      <c r="C197" s="234">
        <v>6.2330000000000003E-4</v>
      </c>
      <c r="D197" s="234">
        <v>6.7020000000000003E-4</v>
      </c>
      <c r="E197" s="231">
        <v>3516302</v>
      </c>
      <c r="F197" s="231" t="s">
        <v>1924</v>
      </c>
      <c r="G197" s="392">
        <v>151514</v>
      </c>
      <c r="H197" s="392">
        <v>1162175</v>
      </c>
      <c r="I197" s="392">
        <v>350848</v>
      </c>
      <c r="J197" s="231">
        <v>10292</v>
      </c>
      <c r="K197" s="231">
        <v>1674829</v>
      </c>
      <c r="L197" s="231"/>
      <c r="M197" s="300">
        <v>14855</v>
      </c>
      <c r="N197" s="300">
        <v>0</v>
      </c>
      <c r="O197" s="300">
        <v>0</v>
      </c>
      <c r="P197" s="231">
        <v>46334</v>
      </c>
      <c r="Q197" s="231">
        <v>61189</v>
      </c>
      <c r="R197" s="231"/>
      <c r="S197" s="392">
        <v>995660</v>
      </c>
      <c r="T197" s="231">
        <v>-17376</v>
      </c>
      <c r="U197" s="396">
        <v>978284</v>
      </c>
      <c r="V197" s="231"/>
      <c r="W197" s="396">
        <v>6346472</v>
      </c>
      <c r="X197" s="396">
        <v>1184077</v>
      </c>
      <c r="Y197" s="396"/>
      <c r="Z197" s="396"/>
    </row>
    <row r="198" spans="1:26">
      <c r="A198" s="424">
        <v>91861</v>
      </c>
      <c r="B198" s="423" t="s">
        <v>908</v>
      </c>
      <c r="C198" s="234">
        <v>6.1E-6</v>
      </c>
      <c r="D198" s="234">
        <v>6.4999999999999996E-6</v>
      </c>
      <c r="E198" s="231">
        <v>34413</v>
      </c>
      <c r="F198" s="231" t="s">
        <v>1924</v>
      </c>
      <c r="G198" s="392">
        <v>1483</v>
      </c>
      <c r="H198" s="392">
        <v>11374</v>
      </c>
      <c r="I198" s="392">
        <v>3434</v>
      </c>
      <c r="J198" s="231">
        <v>0</v>
      </c>
      <c r="K198" s="231">
        <v>16291</v>
      </c>
      <c r="L198" s="231"/>
      <c r="M198" s="300">
        <v>145</v>
      </c>
      <c r="N198" s="300">
        <v>0</v>
      </c>
      <c r="O198" s="300">
        <v>0</v>
      </c>
      <c r="P198" s="231">
        <v>1910</v>
      </c>
      <c r="Q198" s="231">
        <v>2055</v>
      </c>
      <c r="R198" s="231"/>
      <c r="S198" s="392">
        <v>9744</v>
      </c>
      <c r="T198" s="231">
        <v>-2664</v>
      </c>
      <c r="U198" s="396">
        <v>7080</v>
      </c>
      <c r="V198" s="231"/>
      <c r="W198" s="396">
        <v>62111</v>
      </c>
      <c r="X198" s="396">
        <v>11588</v>
      </c>
      <c r="Y198" s="396"/>
      <c r="Z198" s="396"/>
    </row>
    <row r="199" spans="1:26">
      <c r="A199" s="424">
        <v>91871</v>
      </c>
      <c r="B199" s="423" t="s">
        <v>909</v>
      </c>
      <c r="C199" s="234">
        <v>1.2505999999999999E-3</v>
      </c>
      <c r="D199" s="234">
        <v>1.2749E-3</v>
      </c>
      <c r="E199" s="231">
        <v>7055170</v>
      </c>
      <c r="F199" s="231" t="s">
        <v>1924</v>
      </c>
      <c r="G199" s="392">
        <v>304001</v>
      </c>
      <c r="H199" s="392">
        <v>2331807</v>
      </c>
      <c r="I199" s="392">
        <v>703948</v>
      </c>
      <c r="J199" s="231">
        <v>15139</v>
      </c>
      <c r="K199" s="231">
        <v>3354895</v>
      </c>
      <c r="L199" s="231"/>
      <c r="M199" s="300">
        <v>29806</v>
      </c>
      <c r="N199" s="300">
        <v>0</v>
      </c>
      <c r="O199" s="300">
        <v>0</v>
      </c>
      <c r="P199" s="231">
        <v>133580</v>
      </c>
      <c r="Q199" s="231">
        <v>163386</v>
      </c>
      <c r="R199" s="231"/>
      <c r="S199" s="392">
        <v>1997710</v>
      </c>
      <c r="T199" s="231">
        <v>-58292</v>
      </c>
      <c r="U199" s="396">
        <v>1939418</v>
      </c>
      <c r="V199" s="231"/>
      <c r="W199" s="396">
        <v>12733673</v>
      </c>
      <c r="X199" s="396">
        <v>2375754</v>
      </c>
      <c r="Y199" s="396"/>
      <c r="Z199" s="396"/>
    </row>
    <row r="200" spans="1:26">
      <c r="A200" s="424">
        <v>91881</v>
      </c>
      <c r="B200" s="423" t="s">
        <v>910</v>
      </c>
      <c r="C200" s="234">
        <v>2.4199999999999999E-5</v>
      </c>
      <c r="D200" s="234">
        <v>1.6900000000000001E-5</v>
      </c>
      <c r="E200" s="231">
        <v>136523</v>
      </c>
      <c r="F200" s="231" t="s">
        <v>1924</v>
      </c>
      <c r="G200" s="392">
        <v>5883</v>
      </c>
      <c r="H200" s="392">
        <v>45122</v>
      </c>
      <c r="I200" s="392">
        <v>13622</v>
      </c>
      <c r="J200" s="231">
        <v>14281</v>
      </c>
      <c r="K200" s="231">
        <v>78908</v>
      </c>
      <c r="L200" s="231"/>
      <c r="M200" s="300">
        <v>577</v>
      </c>
      <c r="N200" s="300">
        <v>0</v>
      </c>
      <c r="O200" s="300">
        <v>0</v>
      </c>
      <c r="P200" s="231">
        <v>2371</v>
      </c>
      <c r="Q200" s="231">
        <v>2948</v>
      </c>
      <c r="R200" s="231"/>
      <c r="S200" s="392">
        <v>38657</v>
      </c>
      <c r="T200" s="231">
        <v>4199</v>
      </c>
      <c r="U200" s="396">
        <v>42856</v>
      </c>
      <c r="V200" s="231"/>
      <c r="W200" s="396">
        <v>246406</v>
      </c>
      <c r="X200" s="396">
        <v>45973</v>
      </c>
      <c r="Y200" s="396"/>
      <c r="Z200" s="396"/>
    </row>
    <row r="201" spans="1:26">
      <c r="A201" s="424">
        <v>91901</v>
      </c>
      <c r="B201" s="423" t="s">
        <v>911</v>
      </c>
      <c r="C201" s="234">
        <v>3.6598999999999998E-3</v>
      </c>
      <c r="D201" s="234">
        <v>3.6871999999999999E-3</v>
      </c>
      <c r="E201" s="231">
        <v>20647062</v>
      </c>
      <c r="F201" s="231" t="s">
        <v>1924</v>
      </c>
      <c r="G201" s="392">
        <v>889663</v>
      </c>
      <c r="H201" s="392">
        <v>6824070</v>
      </c>
      <c r="I201" s="392">
        <v>2060114</v>
      </c>
      <c r="J201" s="231">
        <v>9307</v>
      </c>
      <c r="K201" s="231">
        <v>9783154</v>
      </c>
      <c r="L201" s="231"/>
      <c r="M201" s="300">
        <v>87226</v>
      </c>
      <c r="N201" s="300">
        <v>0</v>
      </c>
      <c r="O201" s="300">
        <v>0</v>
      </c>
      <c r="P201" s="231">
        <v>292330</v>
      </c>
      <c r="Q201" s="231">
        <v>379556</v>
      </c>
      <c r="R201" s="231"/>
      <c r="S201" s="392">
        <v>5846328</v>
      </c>
      <c r="T201" s="231">
        <v>-127101</v>
      </c>
      <c r="U201" s="396">
        <v>5719227</v>
      </c>
      <c r="V201" s="231"/>
      <c r="W201" s="396">
        <v>37265288</v>
      </c>
      <c r="X201" s="396">
        <v>6952679</v>
      </c>
      <c r="Y201" s="396"/>
      <c r="Z201" s="396"/>
    </row>
    <row r="202" spans="1:26">
      <c r="A202" s="424">
        <v>91903</v>
      </c>
      <c r="B202" s="423" t="s">
        <v>912</v>
      </c>
      <c r="C202" s="234">
        <v>5.9000000000000003E-6</v>
      </c>
      <c r="D202" s="234">
        <v>6.4999999999999996E-6</v>
      </c>
      <c r="E202" s="231">
        <v>33284</v>
      </c>
      <c r="F202" s="231" t="s">
        <v>1924</v>
      </c>
      <c r="G202" s="392">
        <v>1434</v>
      </c>
      <c r="H202" s="392">
        <v>11001</v>
      </c>
      <c r="I202" s="392">
        <v>3321</v>
      </c>
      <c r="J202" s="231">
        <v>5680</v>
      </c>
      <c r="K202" s="231">
        <v>21436</v>
      </c>
      <c r="L202" s="231"/>
      <c r="M202" s="300">
        <v>141</v>
      </c>
      <c r="N202" s="300">
        <v>0</v>
      </c>
      <c r="O202" s="300">
        <v>0</v>
      </c>
      <c r="P202" s="231">
        <v>0</v>
      </c>
      <c r="Q202" s="231">
        <v>141</v>
      </c>
      <c r="R202" s="231"/>
      <c r="S202" s="392">
        <v>9425</v>
      </c>
      <c r="T202" s="231">
        <v>3280</v>
      </c>
      <c r="U202" s="396">
        <v>12705</v>
      </c>
      <c r="V202" s="231"/>
      <c r="W202" s="396">
        <v>60074</v>
      </c>
      <c r="X202" s="396">
        <v>11208</v>
      </c>
      <c r="Y202" s="396"/>
      <c r="Z202" s="396"/>
    </row>
    <row r="203" spans="1:26">
      <c r="A203" s="424">
        <v>91904</v>
      </c>
      <c r="B203" s="423" t="s">
        <v>913</v>
      </c>
      <c r="C203" s="234">
        <v>8.0699999999999996E-5</v>
      </c>
      <c r="D203" s="234">
        <v>4.9599999999999999E-5</v>
      </c>
      <c r="E203" s="231">
        <v>455263</v>
      </c>
      <c r="F203" s="231" t="s">
        <v>1924</v>
      </c>
      <c r="G203" s="392">
        <v>19617</v>
      </c>
      <c r="H203" s="392">
        <v>150469</v>
      </c>
      <c r="I203" s="392">
        <v>45425</v>
      </c>
      <c r="J203" s="231">
        <v>67948</v>
      </c>
      <c r="K203" s="231">
        <v>283459</v>
      </c>
      <c r="L203" s="231"/>
      <c r="M203" s="300">
        <v>1923</v>
      </c>
      <c r="N203" s="300">
        <v>0</v>
      </c>
      <c r="O203" s="300">
        <v>0</v>
      </c>
      <c r="P203" s="231">
        <v>0</v>
      </c>
      <c r="Q203" s="231">
        <v>1923</v>
      </c>
      <c r="R203" s="231"/>
      <c r="S203" s="392">
        <v>128910</v>
      </c>
      <c r="T203" s="231">
        <v>28105</v>
      </c>
      <c r="U203" s="396">
        <v>157015</v>
      </c>
      <c r="V203" s="231"/>
      <c r="W203" s="396">
        <v>821692</v>
      </c>
      <c r="X203" s="396">
        <v>153305</v>
      </c>
      <c r="Y203" s="396"/>
      <c r="Z203" s="396"/>
    </row>
    <row r="204" spans="1:26">
      <c r="A204" s="424">
        <v>91908</v>
      </c>
      <c r="B204" s="423" t="s">
        <v>914</v>
      </c>
      <c r="C204" s="234">
        <v>1.43E-5</v>
      </c>
      <c r="D204" s="234">
        <v>1.4E-5</v>
      </c>
      <c r="E204" s="231">
        <v>80672</v>
      </c>
      <c r="F204" s="231" t="s">
        <v>1924</v>
      </c>
      <c r="G204" s="392">
        <v>3476</v>
      </c>
      <c r="H204" s="392">
        <v>26663</v>
      </c>
      <c r="I204" s="392">
        <v>8049</v>
      </c>
      <c r="J204" s="231">
        <v>0</v>
      </c>
      <c r="K204" s="231">
        <v>38188</v>
      </c>
      <c r="L204" s="231"/>
      <c r="M204" s="300">
        <v>341</v>
      </c>
      <c r="N204" s="300">
        <v>0</v>
      </c>
      <c r="O204" s="300">
        <v>0</v>
      </c>
      <c r="P204" s="231">
        <v>9422</v>
      </c>
      <c r="Q204" s="231">
        <v>9763</v>
      </c>
      <c r="R204" s="231"/>
      <c r="S204" s="392">
        <v>22843</v>
      </c>
      <c r="T204" s="231">
        <v>-5353</v>
      </c>
      <c r="U204" s="396">
        <v>17490</v>
      </c>
      <c r="V204" s="231"/>
      <c r="W204" s="396">
        <v>145603</v>
      </c>
      <c r="X204" s="396">
        <v>27166</v>
      </c>
      <c r="Y204" s="396"/>
      <c r="Z204" s="396"/>
    </row>
    <row r="205" spans="1:26">
      <c r="A205" s="424">
        <v>91911</v>
      </c>
      <c r="B205" s="423" t="s">
        <v>915</v>
      </c>
      <c r="C205" s="234">
        <v>6.2569999999999998E-4</v>
      </c>
      <c r="D205" s="234">
        <v>5.6570000000000004E-4</v>
      </c>
      <c r="E205" s="231">
        <v>3529841</v>
      </c>
      <c r="F205" s="231" t="s">
        <v>1924</v>
      </c>
      <c r="G205" s="392">
        <v>152098</v>
      </c>
      <c r="H205" s="392">
        <v>1166650</v>
      </c>
      <c r="I205" s="392">
        <v>352199</v>
      </c>
      <c r="J205" s="231">
        <v>130331</v>
      </c>
      <c r="K205" s="231">
        <v>1801278</v>
      </c>
      <c r="L205" s="231"/>
      <c r="M205" s="300">
        <v>14912</v>
      </c>
      <c r="N205" s="300">
        <v>0</v>
      </c>
      <c r="O205" s="300">
        <v>0</v>
      </c>
      <c r="P205" s="231">
        <v>7742</v>
      </c>
      <c r="Q205" s="231">
        <v>22654</v>
      </c>
      <c r="R205" s="231"/>
      <c r="S205" s="392">
        <v>999494</v>
      </c>
      <c r="T205" s="231">
        <v>69162</v>
      </c>
      <c r="U205" s="396">
        <v>1068656</v>
      </c>
      <c r="V205" s="231"/>
      <c r="W205" s="396">
        <v>6370909</v>
      </c>
      <c r="X205" s="396">
        <v>1188637</v>
      </c>
      <c r="Y205" s="396"/>
      <c r="Z205" s="396"/>
    </row>
    <row r="206" spans="1:26">
      <c r="A206" s="424">
        <v>91917</v>
      </c>
      <c r="B206" s="423" t="s">
        <v>916</v>
      </c>
      <c r="C206" s="234">
        <v>1.4399999999999999E-5</v>
      </c>
      <c r="D206" s="234">
        <v>1.4600000000000001E-5</v>
      </c>
      <c r="E206" s="231">
        <v>81237</v>
      </c>
      <c r="F206" s="231" t="s">
        <v>1924</v>
      </c>
      <c r="G206" s="392">
        <v>3500</v>
      </c>
      <c r="H206" s="392">
        <v>26850</v>
      </c>
      <c r="I206" s="392">
        <v>8106</v>
      </c>
      <c r="J206" s="231">
        <v>7840</v>
      </c>
      <c r="K206" s="231">
        <v>46296</v>
      </c>
      <c r="L206" s="231"/>
      <c r="M206" s="300">
        <v>343</v>
      </c>
      <c r="N206" s="300">
        <v>0</v>
      </c>
      <c r="O206" s="300">
        <v>0</v>
      </c>
      <c r="P206" s="231">
        <v>0</v>
      </c>
      <c r="Q206" s="231">
        <v>343</v>
      </c>
      <c r="R206" s="231"/>
      <c r="S206" s="392">
        <v>23003</v>
      </c>
      <c r="T206" s="231">
        <v>4030</v>
      </c>
      <c r="U206" s="396">
        <v>27033</v>
      </c>
      <c r="V206" s="231"/>
      <c r="W206" s="396">
        <v>146622</v>
      </c>
      <c r="X206" s="396">
        <v>27356</v>
      </c>
      <c r="Y206" s="396"/>
      <c r="Z206" s="396"/>
    </row>
    <row r="207" spans="1:26">
      <c r="A207" s="424">
        <v>91921</v>
      </c>
      <c r="B207" s="423" t="s">
        <v>917</v>
      </c>
      <c r="C207" s="234">
        <v>4.1159999999999998E-4</v>
      </c>
      <c r="D207" s="234">
        <v>3.7800000000000003E-4</v>
      </c>
      <c r="E207" s="231">
        <v>2322012</v>
      </c>
      <c r="F207" s="231" t="s">
        <v>1924</v>
      </c>
      <c r="G207" s="392">
        <v>100053</v>
      </c>
      <c r="H207" s="392">
        <v>767449</v>
      </c>
      <c r="I207" s="392">
        <v>231685</v>
      </c>
      <c r="J207" s="231">
        <v>38380</v>
      </c>
      <c r="K207" s="231">
        <v>1137567</v>
      </c>
      <c r="L207" s="231"/>
      <c r="M207" s="300">
        <v>9810</v>
      </c>
      <c r="N207" s="300">
        <v>0</v>
      </c>
      <c r="O207" s="300">
        <v>0</v>
      </c>
      <c r="P207" s="231">
        <v>32742</v>
      </c>
      <c r="Q207" s="231">
        <v>42552</v>
      </c>
      <c r="R207" s="231"/>
      <c r="S207" s="392">
        <v>657490</v>
      </c>
      <c r="T207" s="231">
        <v>-6399</v>
      </c>
      <c r="U207" s="396">
        <v>651091</v>
      </c>
      <c r="V207" s="231"/>
      <c r="W207" s="396">
        <v>4190932</v>
      </c>
      <c r="X207" s="396">
        <v>781913</v>
      </c>
      <c r="Y207" s="396"/>
      <c r="Z207" s="396"/>
    </row>
    <row r="208" spans="1:26" ht="14.25" customHeight="1">
      <c r="A208" s="424">
        <v>92001</v>
      </c>
      <c r="B208" s="423" t="s">
        <v>918</v>
      </c>
      <c r="C208" s="234">
        <v>1.9139000000000001E-3</v>
      </c>
      <c r="D208" s="234">
        <v>1.7407E-3</v>
      </c>
      <c r="E208" s="231">
        <v>10797129</v>
      </c>
      <c r="F208" s="231" t="s">
        <v>1924</v>
      </c>
      <c r="G208" s="392">
        <v>465238</v>
      </c>
      <c r="H208" s="392">
        <v>3568564</v>
      </c>
      <c r="I208" s="392">
        <v>1077311</v>
      </c>
      <c r="J208" s="231">
        <v>344745</v>
      </c>
      <c r="K208" s="231">
        <v>5455858</v>
      </c>
      <c r="L208" s="231"/>
      <c r="M208" s="300">
        <v>45614</v>
      </c>
      <c r="N208" s="300">
        <v>0</v>
      </c>
      <c r="O208" s="300">
        <v>0</v>
      </c>
      <c r="P208" s="231">
        <v>77490</v>
      </c>
      <c r="Q208" s="231">
        <v>123104</v>
      </c>
      <c r="R208" s="231"/>
      <c r="S208" s="392">
        <v>3057266</v>
      </c>
      <c r="T208" s="231">
        <v>71332</v>
      </c>
      <c r="U208" s="396">
        <v>3128598</v>
      </c>
      <c r="V208" s="231"/>
      <c r="W208" s="396">
        <v>19487427</v>
      </c>
      <c r="X208" s="396">
        <v>3635819</v>
      </c>
      <c r="Y208" s="396"/>
      <c r="Z208" s="396"/>
    </row>
    <row r="209" spans="1:26">
      <c r="A209" s="424">
        <v>92005</v>
      </c>
      <c r="B209" s="423" t="s">
        <v>919</v>
      </c>
      <c r="C209" s="234">
        <v>3.2299999999999999E-5</v>
      </c>
      <c r="D209" s="234">
        <v>3.43E-5</v>
      </c>
      <c r="E209" s="231">
        <v>182218</v>
      </c>
      <c r="F209" s="231" t="s">
        <v>1924</v>
      </c>
      <c r="G209" s="392">
        <v>7852</v>
      </c>
      <c r="H209" s="392">
        <v>60225</v>
      </c>
      <c r="I209" s="392">
        <v>18181</v>
      </c>
      <c r="J209" s="231">
        <v>3436</v>
      </c>
      <c r="K209" s="231">
        <v>89694</v>
      </c>
      <c r="L209" s="231"/>
      <c r="M209" s="300">
        <v>770</v>
      </c>
      <c r="N209" s="300">
        <v>0</v>
      </c>
      <c r="O209" s="300">
        <v>0</v>
      </c>
      <c r="P209" s="231">
        <v>664</v>
      </c>
      <c r="Q209" s="231">
        <v>1434</v>
      </c>
      <c r="R209" s="231"/>
      <c r="S209" s="392">
        <v>51596</v>
      </c>
      <c r="T209" s="231">
        <v>2091</v>
      </c>
      <c r="U209" s="396">
        <v>53687</v>
      </c>
      <c r="V209" s="231"/>
      <c r="W209" s="396">
        <v>328880</v>
      </c>
      <c r="X209" s="396">
        <v>61360</v>
      </c>
      <c r="Y209" s="396"/>
      <c r="Z209" s="396"/>
    </row>
    <row r="210" spans="1:26">
      <c r="A210" s="424">
        <v>92011</v>
      </c>
      <c r="B210" s="423" t="s">
        <v>920</v>
      </c>
      <c r="C210" s="234">
        <v>2.0589999999999999E-4</v>
      </c>
      <c r="D210" s="234">
        <v>1.996E-4</v>
      </c>
      <c r="E210" s="231">
        <v>1161570</v>
      </c>
      <c r="F210" s="231" t="s">
        <v>1924</v>
      </c>
      <c r="G210" s="392">
        <v>50051</v>
      </c>
      <c r="H210" s="392">
        <v>383911</v>
      </c>
      <c r="I210" s="392">
        <v>115899</v>
      </c>
      <c r="J210" s="231">
        <v>7550</v>
      </c>
      <c r="K210" s="231">
        <v>557411</v>
      </c>
      <c r="L210" s="231"/>
      <c r="M210" s="300">
        <v>4907</v>
      </c>
      <c r="N210" s="300">
        <v>0</v>
      </c>
      <c r="O210" s="300">
        <v>0</v>
      </c>
      <c r="P210" s="231">
        <v>17725</v>
      </c>
      <c r="Q210" s="231">
        <v>22632</v>
      </c>
      <c r="R210" s="231"/>
      <c r="S210" s="392">
        <v>328905</v>
      </c>
      <c r="T210" s="231">
        <v>-5126</v>
      </c>
      <c r="U210" s="396">
        <v>323779</v>
      </c>
      <c r="V210" s="231"/>
      <c r="W210" s="396">
        <v>2096484</v>
      </c>
      <c r="X210" s="396">
        <v>391146</v>
      </c>
      <c r="Y210" s="396"/>
      <c r="Z210" s="396"/>
    </row>
    <row r="211" spans="1:26">
      <c r="A211" s="424">
        <v>92017</v>
      </c>
      <c r="B211" s="423" t="s">
        <v>921</v>
      </c>
      <c r="C211" s="234">
        <v>3.26E-5</v>
      </c>
      <c r="D211" s="234">
        <v>2.9200000000000002E-5</v>
      </c>
      <c r="E211" s="231">
        <v>183911</v>
      </c>
      <c r="F211" s="231" t="s">
        <v>1924</v>
      </c>
      <c r="G211" s="392">
        <v>7925</v>
      </c>
      <c r="H211" s="392">
        <v>60784</v>
      </c>
      <c r="I211" s="392">
        <v>18350</v>
      </c>
      <c r="J211" s="231">
        <v>14510</v>
      </c>
      <c r="K211" s="231">
        <v>101569</v>
      </c>
      <c r="L211" s="231"/>
      <c r="M211" s="300">
        <v>777</v>
      </c>
      <c r="N211" s="300">
        <v>0</v>
      </c>
      <c r="O211" s="300">
        <v>0</v>
      </c>
      <c r="P211" s="231">
        <v>0</v>
      </c>
      <c r="Q211" s="231">
        <v>777</v>
      </c>
      <c r="R211" s="231"/>
      <c r="S211" s="392">
        <v>52075</v>
      </c>
      <c r="T211" s="231">
        <v>5998</v>
      </c>
      <c r="U211" s="396">
        <v>58073</v>
      </c>
      <c r="V211" s="231"/>
      <c r="W211" s="396">
        <v>331935</v>
      </c>
      <c r="X211" s="396">
        <v>61930</v>
      </c>
      <c r="Y211" s="396"/>
      <c r="Z211" s="396"/>
    </row>
    <row r="212" spans="1:26">
      <c r="A212" s="424">
        <v>92021</v>
      </c>
      <c r="B212" s="423" t="s">
        <v>922</v>
      </c>
      <c r="C212" s="234">
        <v>1.077E-4</v>
      </c>
      <c r="D212" s="234">
        <v>1.2799999999999999E-4</v>
      </c>
      <c r="E212" s="231">
        <v>607582</v>
      </c>
      <c r="F212" s="231" t="s">
        <v>1924</v>
      </c>
      <c r="G212" s="392">
        <v>26180</v>
      </c>
      <c r="H212" s="392">
        <v>200812</v>
      </c>
      <c r="I212" s="392">
        <v>60623</v>
      </c>
      <c r="J212" s="231">
        <v>8874</v>
      </c>
      <c r="K212" s="231">
        <v>296489</v>
      </c>
      <c r="L212" s="231"/>
      <c r="M212" s="300">
        <v>2567</v>
      </c>
      <c r="N212" s="300">
        <v>0</v>
      </c>
      <c r="O212" s="300">
        <v>0</v>
      </c>
      <c r="P212" s="231">
        <v>41328</v>
      </c>
      <c r="Q212" s="231">
        <v>43895</v>
      </c>
      <c r="R212" s="231"/>
      <c r="S212" s="392">
        <v>172040</v>
      </c>
      <c r="T212" s="231">
        <v>-19095</v>
      </c>
      <c r="U212" s="396">
        <v>152945</v>
      </c>
      <c r="V212" s="231"/>
      <c r="W212" s="396">
        <v>1096607</v>
      </c>
      <c r="X212" s="396">
        <v>204597</v>
      </c>
      <c r="Y212" s="396"/>
      <c r="Z212" s="396"/>
    </row>
    <row r="213" spans="1:26">
      <c r="A213" s="424">
        <v>92101</v>
      </c>
      <c r="B213" s="423" t="s">
        <v>923</v>
      </c>
      <c r="C213" s="234">
        <v>7.7729999999999997E-4</v>
      </c>
      <c r="D213" s="234">
        <v>7.0399999999999998E-4</v>
      </c>
      <c r="E213" s="231">
        <v>4385082</v>
      </c>
      <c r="F213" s="231" t="s">
        <v>1924</v>
      </c>
      <c r="G213" s="392">
        <v>188949</v>
      </c>
      <c r="H213" s="392">
        <v>1449315</v>
      </c>
      <c r="I213" s="392">
        <v>437533</v>
      </c>
      <c r="J213" s="231">
        <v>130723</v>
      </c>
      <c r="K213" s="231">
        <v>2206520</v>
      </c>
      <c r="L213" s="231"/>
      <c r="M213" s="300">
        <v>18525</v>
      </c>
      <c r="N213" s="300">
        <v>0</v>
      </c>
      <c r="O213" s="300">
        <v>0</v>
      </c>
      <c r="P213" s="231">
        <v>82382</v>
      </c>
      <c r="Q213" s="231">
        <v>100907</v>
      </c>
      <c r="R213" s="231"/>
      <c r="S213" s="392">
        <v>1241660</v>
      </c>
      <c r="T213" s="231">
        <v>-14005</v>
      </c>
      <c r="U213" s="396">
        <v>1227655</v>
      </c>
      <c r="V213" s="231"/>
      <c r="W213" s="396">
        <v>7914508</v>
      </c>
      <c r="X213" s="396">
        <v>1476630</v>
      </c>
      <c r="Y213" s="396"/>
      <c r="Z213" s="396"/>
    </row>
    <row r="214" spans="1:26">
      <c r="A214" s="424">
        <v>92104</v>
      </c>
      <c r="B214" s="423" t="s">
        <v>924</v>
      </c>
      <c r="C214" s="234">
        <v>7.7999999999999999E-6</v>
      </c>
      <c r="D214" s="234">
        <v>7.7999999999999999E-6</v>
      </c>
      <c r="E214" s="231">
        <v>44003</v>
      </c>
      <c r="F214" s="231" t="s">
        <v>1924</v>
      </c>
      <c r="G214" s="392">
        <v>1896</v>
      </c>
      <c r="H214" s="392">
        <v>14543</v>
      </c>
      <c r="I214" s="392">
        <v>4391</v>
      </c>
      <c r="J214" s="231">
        <v>4586</v>
      </c>
      <c r="K214" s="231">
        <v>25416</v>
      </c>
      <c r="L214" s="231"/>
      <c r="M214" s="300">
        <v>186</v>
      </c>
      <c r="N214" s="300">
        <v>0</v>
      </c>
      <c r="O214" s="300">
        <v>0</v>
      </c>
      <c r="P214" s="231">
        <v>0</v>
      </c>
      <c r="Q214" s="231">
        <v>186</v>
      </c>
      <c r="R214" s="231"/>
      <c r="S214" s="392">
        <v>12460</v>
      </c>
      <c r="T214" s="231">
        <v>2548</v>
      </c>
      <c r="U214" s="396">
        <v>15008</v>
      </c>
      <c r="V214" s="231"/>
      <c r="W214" s="396">
        <v>79420</v>
      </c>
      <c r="X214" s="396">
        <v>14818</v>
      </c>
      <c r="Y214" s="396"/>
      <c r="Z214" s="396"/>
    </row>
    <row r="215" spans="1:26">
      <c r="A215" s="424">
        <v>92109</v>
      </c>
      <c r="B215" s="423" t="s">
        <v>925</v>
      </c>
      <c r="C215" s="234">
        <v>1.9900000000000001E-4</v>
      </c>
      <c r="D215" s="234">
        <v>1.95E-4</v>
      </c>
      <c r="E215" s="231">
        <v>1122644</v>
      </c>
      <c r="F215" s="231" t="s">
        <v>1924</v>
      </c>
      <c r="G215" s="392">
        <v>48374</v>
      </c>
      <c r="H215" s="392">
        <v>371046</v>
      </c>
      <c r="I215" s="392">
        <v>112015</v>
      </c>
      <c r="J215" s="231">
        <v>23385</v>
      </c>
      <c r="K215" s="231">
        <v>554820</v>
      </c>
      <c r="L215" s="231"/>
      <c r="M215" s="300">
        <v>4743</v>
      </c>
      <c r="N215" s="300">
        <v>0</v>
      </c>
      <c r="O215" s="300">
        <v>0</v>
      </c>
      <c r="P215" s="231">
        <v>1236</v>
      </c>
      <c r="Q215" s="231">
        <v>5979</v>
      </c>
      <c r="R215" s="231"/>
      <c r="S215" s="392">
        <v>317883</v>
      </c>
      <c r="T215" s="231">
        <v>9574</v>
      </c>
      <c r="U215" s="396">
        <v>327457</v>
      </c>
      <c r="V215" s="231"/>
      <c r="W215" s="396">
        <v>2026228</v>
      </c>
      <c r="X215" s="396">
        <v>378039</v>
      </c>
      <c r="Y215" s="396"/>
      <c r="Z215" s="396"/>
    </row>
    <row r="216" spans="1:26">
      <c r="A216" s="424">
        <v>92111</v>
      </c>
      <c r="B216" s="423" t="s">
        <v>926</v>
      </c>
      <c r="C216" s="234">
        <v>5.3140000000000001E-4</v>
      </c>
      <c r="D216" s="234">
        <v>5.3620000000000002E-4</v>
      </c>
      <c r="E216" s="231">
        <v>2997855</v>
      </c>
      <c r="F216" s="231" t="s">
        <v>1924</v>
      </c>
      <c r="G216" s="392">
        <v>129175</v>
      </c>
      <c r="H216" s="392">
        <v>990822</v>
      </c>
      <c r="I216" s="392">
        <v>299119</v>
      </c>
      <c r="J216" s="231">
        <v>16680</v>
      </c>
      <c r="K216" s="231">
        <v>1435796</v>
      </c>
      <c r="L216" s="231"/>
      <c r="M216" s="300">
        <v>12665</v>
      </c>
      <c r="N216" s="300">
        <v>0</v>
      </c>
      <c r="O216" s="300">
        <v>0</v>
      </c>
      <c r="P216" s="231">
        <v>57187</v>
      </c>
      <c r="Q216" s="231">
        <v>69852</v>
      </c>
      <c r="R216" s="231"/>
      <c r="S216" s="392">
        <v>848859</v>
      </c>
      <c r="T216" s="231">
        <v>-9369</v>
      </c>
      <c r="U216" s="396">
        <v>839490</v>
      </c>
      <c r="V216" s="231"/>
      <c r="W216" s="396">
        <v>5410742</v>
      </c>
      <c r="X216" s="396">
        <v>1009496</v>
      </c>
      <c r="Y216" s="396"/>
      <c r="Z216" s="396"/>
    </row>
    <row r="217" spans="1:26">
      <c r="A217" s="424">
        <v>92113</v>
      </c>
      <c r="B217" s="423" t="s">
        <v>927</v>
      </c>
      <c r="C217" s="234">
        <v>1.6200000000000001E-5</v>
      </c>
      <c r="D217" s="234">
        <v>1.8899999999999999E-5</v>
      </c>
      <c r="E217" s="231">
        <v>91391</v>
      </c>
      <c r="F217" s="231" t="s">
        <v>1924</v>
      </c>
      <c r="G217" s="392">
        <v>3938</v>
      </c>
      <c r="H217" s="392">
        <v>30206</v>
      </c>
      <c r="I217" s="392">
        <v>9119</v>
      </c>
      <c r="J217" s="231">
        <v>6500</v>
      </c>
      <c r="K217" s="231">
        <v>49763</v>
      </c>
      <c r="L217" s="231"/>
      <c r="M217" s="300">
        <v>386</v>
      </c>
      <c r="N217" s="300">
        <v>0</v>
      </c>
      <c r="O217" s="300">
        <v>0</v>
      </c>
      <c r="P217" s="231">
        <v>1791</v>
      </c>
      <c r="Q217" s="231">
        <v>2177</v>
      </c>
      <c r="R217" s="231"/>
      <c r="S217" s="392">
        <v>25878</v>
      </c>
      <c r="T217" s="231">
        <v>5241</v>
      </c>
      <c r="U217" s="396">
        <v>31119</v>
      </c>
      <c r="V217" s="231"/>
      <c r="W217" s="396">
        <v>164949</v>
      </c>
      <c r="X217" s="396">
        <v>30775</v>
      </c>
      <c r="Y217" s="396"/>
      <c r="Z217" s="396"/>
    </row>
    <row r="218" spans="1:26">
      <c r="A218" s="424">
        <v>92201</v>
      </c>
      <c r="B218" s="423" t="s">
        <v>928</v>
      </c>
      <c r="C218" s="234">
        <v>1.0983E-3</v>
      </c>
      <c r="D218" s="234">
        <v>9.5560000000000003E-4</v>
      </c>
      <c r="E218" s="231">
        <v>6195980</v>
      </c>
      <c r="F218" s="231" t="s">
        <v>1924</v>
      </c>
      <c r="G218" s="392">
        <v>266979</v>
      </c>
      <c r="H218" s="392">
        <v>2047836</v>
      </c>
      <c r="I218" s="392">
        <v>618220</v>
      </c>
      <c r="J218" s="231">
        <v>322789</v>
      </c>
      <c r="K218" s="231">
        <v>3255824</v>
      </c>
      <c r="L218" s="231"/>
      <c r="M218" s="300">
        <v>26176</v>
      </c>
      <c r="N218" s="300">
        <v>0</v>
      </c>
      <c r="O218" s="300">
        <v>0</v>
      </c>
      <c r="P218" s="231">
        <v>9839</v>
      </c>
      <c r="Q218" s="231">
        <v>36015</v>
      </c>
      <c r="R218" s="231"/>
      <c r="S218" s="392">
        <v>1754426</v>
      </c>
      <c r="T218" s="231">
        <v>133066</v>
      </c>
      <c r="U218" s="396">
        <v>1887492</v>
      </c>
      <c r="V218" s="231"/>
      <c r="W218" s="396">
        <v>11182947</v>
      </c>
      <c r="X218" s="396">
        <v>2086431</v>
      </c>
      <c r="Y218" s="396"/>
      <c r="Z218" s="396"/>
    </row>
    <row r="219" spans="1:26">
      <c r="A219" s="424">
        <v>92214</v>
      </c>
      <c r="B219" s="423" t="s">
        <v>1925</v>
      </c>
      <c r="C219" s="234">
        <v>2.7900000000000001E-5</v>
      </c>
      <c r="D219" s="234">
        <v>2.0599999999999999E-5</v>
      </c>
      <c r="E219" s="231">
        <v>157396</v>
      </c>
      <c r="F219" s="231" t="s">
        <v>1924</v>
      </c>
      <c r="G219" s="392">
        <v>6782</v>
      </c>
      <c r="H219" s="392">
        <v>52021</v>
      </c>
      <c r="I219" s="392">
        <v>15705</v>
      </c>
      <c r="J219" s="231">
        <v>17057</v>
      </c>
      <c r="K219" s="231">
        <v>91565</v>
      </c>
      <c r="L219" s="231"/>
      <c r="M219" s="300">
        <v>665</v>
      </c>
      <c r="N219" s="300">
        <v>0</v>
      </c>
      <c r="O219" s="300">
        <v>0</v>
      </c>
      <c r="P219" s="231">
        <v>505</v>
      </c>
      <c r="Q219" s="231">
        <v>1170</v>
      </c>
      <c r="R219" s="231"/>
      <c r="S219" s="392">
        <v>44567</v>
      </c>
      <c r="T219" s="231">
        <v>9241</v>
      </c>
      <c r="U219" s="396">
        <v>53808</v>
      </c>
      <c r="V219" s="231"/>
      <c r="W219" s="396">
        <v>284079</v>
      </c>
      <c r="X219" s="396">
        <v>53001</v>
      </c>
      <c r="Y219" s="396"/>
      <c r="Z219" s="396"/>
    </row>
    <row r="220" spans="1:26">
      <c r="A220" s="424">
        <v>92301</v>
      </c>
      <c r="B220" s="423" t="s">
        <v>929</v>
      </c>
      <c r="C220" s="234">
        <v>5.3742E-3</v>
      </c>
      <c r="D220" s="234">
        <v>5.0848000000000004E-3</v>
      </c>
      <c r="E220" s="231">
        <v>30318162</v>
      </c>
      <c r="F220" s="231" t="s">
        <v>1924</v>
      </c>
      <c r="G220" s="392">
        <v>1306382</v>
      </c>
      <c r="H220" s="392">
        <v>10020470</v>
      </c>
      <c r="I220" s="392">
        <v>3025073</v>
      </c>
      <c r="J220" s="231">
        <v>367247</v>
      </c>
      <c r="K220" s="231">
        <v>14719172</v>
      </c>
      <c r="L220" s="231"/>
      <c r="M220" s="300">
        <v>128083</v>
      </c>
      <c r="N220" s="300">
        <v>0</v>
      </c>
      <c r="O220" s="300">
        <v>0</v>
      </c>
      <c r="P220" s="231">
        <v>494230</v>
      </c>
      <c r="Q220" s="231">
        <v>622313</v>
      </c>
      <c r="R220" s="231"/>
      <c r="S220" s="392">
        <v>8584752</v>
      </c>
      <c r="T220" s="231">
        <v>-169068</v>
      </c>
      <c r="U220" s="396">
        <v>8415684</v>
      </c>
      <c r="V220" s="231"/>
      <c r="W220" s="396">
        <v>54720378</v>
      </c>
      <c r="X220" s="396">
        <v>10209319</v>
      </c>
      <c r="Y220" s="396"/>
      <c r="Z220" s="396"/>
    </row>
    <row r="221" spans="1:26">
      <c r="A221" s="424">
        <v>92302</v>
      </c>
      <c r="B221" s="423" t="s">
        <v>930</v>
      </c>
      <c r="C221" s="234">
        <v>2.6069999999999999E-4</v>
      </c>
      <c r="D221" s="234">
        <v>2.8669999999999998E-4</v>
      </c>
      <c r="E221" s="231">
        <v>1470720</v>
      </c>
      <c r="F221" s="231" t="s">
        <v>1924</v>
      </c>
      <c r="G221" s="392">
        <v>63372</v>
      </c>
      <c r="H221" s="392">
        <v>486088</v>
      </c>
      <c r="I221" s="392">
        <v>146745</v>
      </c>
      <c r="J221" s="231">
        <v>0</v>
      </c>
      <c r="K221" s="231">
        <v>696205</v>
      </c>
      <c r="L221" s="231"/>
      <c r="M221" s="300">
        <v>6213</v>
      </c>
      <c r="N221" s="300">
        <v>0</v>
      </c>
      <c r="O221" s="300">
        <v>0</v>
      </c>
      <c r="P221" s="231">
        <v>50823</v>
      </c>
      <c r="Q221" s="231">
        <v>57036</v>
      </c>
      <c r="R221" s="231"/>
      <c r="S221" s="392">
        <v>416442</v>
      </c>
      <c r="T221" s="231">
        <v>-22780</v>
      </c>
      <c r="U221" s="396">
        <v>393662</v>
      </c>
      <c r="V221" s="231"/>
      <c r="W221" s="396">
        <v>2654461</v>
      </c>
      <c r="X221" s="396">
        <v>495249</v>
      </c>
      <c r="Y221" s="396"/>
      <c r="Z221" s="396"/>
    </row>
    <row r="222" spans="1:26">
      <c r="A222" s="424">
        <v>92311</v>
      </c>
      <c r="B222" s="423" t="s">
        <v>931</v>
      </c>
      <c r="C222" s="234">
        <v>2.1213E-3</v>
      </c>
      <c r="D222" s="234">
        <v>2.2017E-3</v>
      </c>
      <c r="E222" s="231">
        <v>11967161</v>
      </c>
      <c r="F222" s="231" t="s">
        <v>1924</v>
      </c>
      <c r="G222" s="392">
        <v>515654</v>
      </c>
      <c r="H222" s="392">
        <v>3955272</v>
      </c>
      <c r="I222" s="392">
        <v>1194054</v>
      </c>
      <c r="J222" s="231">
        <v>14068</v>
      </c>
      <c r="K222" s="231">
        <v>5679048</v>
      </c>
      <c r="L222" s="231"/>
      <c r="M222" s="300">
        <v>50557</v>
      </c>
      <c r="N222" s="300">
        <v>0</v>
      </c>
      <c r="O222" s="300">
        <v>0</v>
      </c>
      <c r="P222" s="231">
        <v>288570</v>
      </c>
      <c r="Q222" s="231">
        <v>339127</v>
      </c>
      <c r="R222" s="231"/>
      <c r="S222" s="392">
        <v>3388567</v>
      </c>
      <c r="T222" s="231">
        <v>-127195</v>
      </c>
      <c r="U222" s="396">
        <v>3261372</v>
      </c>
      <c r="V222" s="231"/>
      <c r="W222" s="396">
        <v>21599185</v>
      </c>
      <c r="X222" s="396">
        <v>4029815</v>
      </c>
      <c r="Y222" s="396"/>
      <c r="Z222" s="396"/>
    </row>
    <row r="223" spans="1:26">
      <c r="A223" s="424">
        <v>92317</v>
      </c>
      <c r="B223" s="423" t="s">
        <v>932</v>
      </c>
      <c r="C223" s="234">
        <v>3.3399999999999999E-5</v>
      </c>
      <c r="D223" s="234">
        <v>3.6399999999999997E-5</v>
      </c>
      <c r="E223" s="231">
        <v>188424</v>
      </c>
      <c r="F223" s="231" t="s">
        <v>1924</v>
      </c>
      <c r="G223" s="392">
        <v>8119</v>
      </c>
      <c r="H223" s="392">
        <v>62276</v>
      </c>
      <c r="I223" s="392">
        <v>18800</v>
      </c>
      <c r="J223" s="231">
        <v>19174</v>
      </c>
      <c r="K223" s="231">
        <v>108369</v>
      </c>
      <c r="L223" s="231"/>
      <c r="M223" s="300">
        <v>796</v>
      </c>
      <c r="N223" s="300">
        <v>0</v>
      </c>
      <c r="O223" s="300">
        <v>0</v>
      </c>
      <c r="P223" s="231">
        <v>0</v>
      </c>
      <c r="Q223" s="231">
        <v>796</v>
      </c>
      <c r="R223" s="231"/>
      <c r="S223" s="392">
        <v>53353</v>
      </c>
      <c r="T223" s="231">
        <v>13795</v>
      </c>
      <c r="U223" s="396">
        <v>67148</v>
      </c>
      <c r="V223" s="231"/>
      <c r="W223" s="396">
        <v>340081</v>
      </c>
      <c r="X223" s="396">
        <v>63450</v>
      </c>
      <c r="Y223" s="396"/>
      <c r="Z223" s="396"/>
    </row>
    <row r="224" spans="1:26">
      <c r="A224" s="424">
        <v>92321</v>
      </c>
      <c r="B224" s="423" t="s">
        <v>933</v>
      </c>
      <c r="C224" s="234">
        <v>1.2174E-3</v>
      </c>
      <c r="D224" s="234">
        <v>1.2914999999999999E-3</v>
      </c>
      <c r="E224" s="231">
        <v>6867874</v>
      </c>
      <c r="F224" s="231" t="s">
        <v>1924</v>
      </c>
      <c r="G224" s="392">
        <v>295930</v>
      </c>
      <c r="H224" s="392">
        <v>2269904</v>
      </c>
      <c r="I224" s="392">
        <v>685260</v>
      </c>
      <c r="J224" s="231">
        <v>52988</v>
      </c>
      <c r="K224" s="231">
        <v>3304082</v>
      </c>
      <c r="L224" s="231"/>
      <c r="M224" s="300">
        <v>29014</v>
      </c>
      <c r="N224" s="300">
        <v>0</v>
      </c>
      <c r="O224" s="300">
        <v>0</v>
      </c>
      <c r="P224" s="231">
        <v>191813</v>
      </c>
      <c r="Q224" s="231">
        <v>220827</v>
      </c>
      <c r="R224" s="231"/>
      <c r="S224" s="392">
        <v>1944676</v>
      </c>
      <c r="T224" s="231">
        <v>-11441</v>
      </c>
      <c r="U224" s="396">
        <v>1933235</v>
      </c>
      <c r="V224" s="231"/>
      <c r="W224" s="396">
        <v>12395629</v>
      </c>
      <c r="X224" s="396">
        <v>2312684</v>
      </c>
      <c r="Y224" s="396"/>
      <c r="Z224" s="396"/>
    </row>
    <row r="225" spans="1:26">
      <c r="A225" s="424">
        <v>92327</v>
      </c>
      <c r="B225" s="423" t="s">
        <v>934</v>
      </c>
      <c r="C225" s="234">
        <v>6.7000000000000002E-6</v>
      </c>
      <c r="D225" s="234">
        <v>6.8000000000000001E-6</v>
      </c>
      <c r="E225" s="231">
        <v>37798</v>
      </c>
      <c r="F225" s="231" t="s">
        <v>1924</v>
      </c>
      <c r="G225" s="392">
        <v>1629</v>
      </c>
      <c r="H225" s="392">
        <v>12492</v>
      </c>
      <c r="I225" s="392">
        <v>3771</v>
      </c>
      <c r="J225" s="231">
        <v>10426</v>
      </c>
      <c r="K225" s="231">
        <v>28318</v>
      </c>
      <c r="L225" s="231"/>
      <c r="M225" s="300">
        <v>160</v>
      </c>
      <c r="N225" s="300">
        <v>0</v>
      </c>
      <c r="O225" s="300">
        <v>0</v>
      </c>
      <c r="P225" s="231">
        <v>0</v>
      </c>
      <c r="Q225" s="231">
        <v>160</v>
      </c>
      <c r="R225" s="231"/>
      <c r="S225" s="392">
        <v>10703</v>
      </c>
      <c r="T225" s="231">
        <v>6282</v>
      </c>
      <c r="U225" s="396">
        <v>16985</v>
      </c>
      <c r="V225" s="231"/>
      <c r="W225" s="396">
        <v>68220</v>
      </c>
      <c r="X225" s="396">
        <v>12728</v>
      </c>
      <c r="Y225" s="396"/>
      <c r="Z225" s="396"/>
    </row>
    <row r="226" spans="1:26">
      <c r="A226" s="424">
        <v>92331</v>
      </c>
      <c r="B226" s="423" t="s">
        <v>935</v>
      </c>
      <c r="C226" s="234">
        <v>1.6469999999999999E-4</v>
      </c>
      <c r="D226" s="234">
        <v>1.6119999999999999E-4</v>
      </c>
      <c r="E226" s="231">
        <v>929143</v>
      </c>
      <c r="F226" s="231" t="s">
        <v>1924</v>
      </c>
      <c r="G226" s="392">
        <v>40036</v>
      </c>
      <c r="H226" s="392">
        <v>307092</v>
      </c>
      <c r="I226" s="392">
        <v>92708</v>
      </c>
      <c r="J226" s="231">
        <v>41563</v>
      </c>
      <c r="K226" s="231">
        <v>481399</v>
      </c>
      <c r="L226" s="231"/>
      <c r="M226" s="300">
        <v>3925</v>
      </c>
      <c r="N226" s="300">
        <v>0</v>
      </c>
      <c r="O226" s="300">
        <v>0</v>
      </c>
      <c r="P226" s="231">
        <v>0</v>
      </c>
      <c r="Q226" s="231">
        <v>3925</v>
      </c>
      <c r="R226" s="231"/>
      <c r="S226" s="392">
        <v>263092</v>
      </c>
      <c r="T226" s="231">
        <v>22860</v>
      </c>
      <c r="U226" s="396">
        <v>285952</v>
      </c>
      <c r="V226" s="231"/>
      <c r="W226" s="396">
        <v>1676984</v>
      </c>
      <c r="X226" s="396">
        <v>312879</v>
      </c>
      <c r="Y226" s="396"/>
      <c r="Z226" s="396"/>
    </row>
    <row r="227" spans="1:26">
      <c r="A227" s="424">
        <v>92341</v>
      </c>
      <c r="B227" s="423" t="s">
        <v>936</v>
      </c>
      <c r="C227" s="234">
        <v>7.0999999999999998E-6</v>
      </c>
      <c r="D227" s="234">
        <v>7.9999999999999996E-6</v>
      </c>
      <c r="E227" s="231">
        <v>40054</v>
      </c>
      <c r="F227" s="231" t="s">
        <v>1924</v>
      </c>
      <c r="G227" s="392">
        <v>1726</v>
      </c>
      <c r="H227" s="392">
        <v>13238</v>
      </c>
      <c r="I227" s="392">
        <v>3997</v>
      </c>
      <c r="J227" s="231">
        <v>0</v>
      </c>
      <c r="K227" s="231">
        <v>18961</v>
      </c>
      <c r="L227" s="231"/>
      <c r="M227" s="300">
        <v>169</v>
      </c>
      <c r="N227" s="300">
        <v>0</v>
      </c>
      <c r="O227" s="300">
        <v>0</v>
      </c>
      <c r="P227" s="231">
        <v>3657</v>
      </c>
      <c r="Q227" s="231">
        <v>3826</v>
      </c>
      <c r="R227" s="231"/>
      <c r="S227" s="392">
        <v>11342</v>
      </c>
      <c r="T227" s="231">
        <v>-2239</v>
      </c>
      <c r="U227" s="396">
        <v>9103</v>
      </c>
      <c r="V227" s="231"/>
      <c r="W227" s="396">
        <v>72293</v>
      </c>
      <c r="X227" s="396">
        <v>13488</v>
      </c>
      <c r="Y227" s="396"/>
      <c r="Z227" s="396"/>
    </row>
    <row r="228" spans="1:26">
      <c r="A228" s="424">
        <v>92351</v>
      </c>
      <c r="B228" s="423" t="s">
        <v>937</v>
      </c>
      <c r="C228" s="234">
        <v>3.01E-5</v>
      </c>
      <c r="D228" s="234">
        <v>2.55E-5</v>
      </c>
      <c r="E228" s="231">
        <v>169807</v>
      </c>
      <c r="F228" s="231" t="s">
        <v>1924</v>
      </c>
      <c r="G228" s="392">
        <v>7317</v>
      </c>
      <c r="H228" s="392">
        <v>56123</v>
      </c>
      <c r="I228" s="392">
        <v>16943</v>
      </c>
      <c r="J228" s="231">
        <v>13515</v>
      </c>
      <c r="K228" s="231">
        <v>93898</v>
      </c>
      <c r="L228" s="231"/>
      <c r="M228" s="300">
        <v>717</v>
      </c>
      <c r="N228" s="300">
        <v>0</v>
      </c>
      <c r="O228" s="300">
        <v>0</v>
      </c>
      <c r="P228" s="231">
        <v>181</v>
      </c>
      <c r="Q228" s="231">
        <v>898</v>
      </c>
      <c r="R228" s="231"/>
      <c r="S228" s="392">
        <v>48082</v>
      </c>
      <c r="T228" s="231">
        <v>7531</v>
      </c>
      <c r="U228" s="396">
        <v>55613</v>
      </c>
      <c r="V228" s="231"/>
      <c r="W228" s="396">
        <v>306480</v>
      </c>
      <c r="X228" s="396">
        <v>57181</v>
      </c>
      <c r="Y228" s="396"/>
      <c r="Z228" s="396"/>
    </row>
    <row r="229" spans="1:26">
      <c r="A229" s="424">
        <v>92401</v>
      </c>
      <c r="B229" s="423" t="s">
        <v>938</v>
      </c>
      <c r="C229" s="234">
        <v>2.6510000000000001E-3</v>
      </c>
      <c r="D229" s="234">
        <v>2.5695000000000002E-3</v>
      </c>
      <c r="E229" s="231">
        <v>14955426</v>
      </c>
      <c r="F229" s="231" t="s">
        <v>1924</v>
      </c>
      <c r="G229" s="392">
        <v>644416</v>
      </c>
      <c r="H229" s="392">
        <v>4942925</v>
      </c>
      <c r="I229" s="392">
        <v>1492216</v>
      </c>
      <c r="J229" s="231">
        <v>380708</v>
      </c>
      <c r="K229" s="231">
        <v>7460265</v>
      </c>
      <c r="L229" s="231"/>
      <c r="M229" s="300">
        <v>63181</v>
      </c>
      <c r="N229" s="300">
        <v>0</v>
      </c>
      <c r="O229" s="300">
        <v>0</v>
      </c>
      <c r="P229" s="231">
        <v>22470</v>
      </c>
      <c r="Q229" s="231">
        <v>85651</v>
      </c>
      <c r="R229" s="231"/>
      <c r="S229" s="392">
        <v>4234710</v>
      </c>
      <c r="T229" s="231">
        <v>135164</v>
      </c>
      <c r="U229" s="396">
        <v>4369874</v>
      </c>
      <c r="V229" s="231"/>
      <c r="W229" s="396">
        <v>26992617</v>
      </c>
      <c r="X229" s="396">
        <v>5036081</v>
      </c>
      <c r="Y229" s="396"/>
      <c r="Z229" s="396"/>
    </row>
    <row r="230" spans="1:26">
      <c r="A230" s="424">
        <v>92403</v>
      </c>
      <c r="B230" s="423" t="s">
        <v>939</v>
      </c>
      <c r="C230" s="234">
        <v>1.0699999999999999E-5</v>
      </c>
      <c r="D230" s="234">
        <v>1.45E-5</v>
      </c>
      <c r="E230" s="231">
        <v>60363</v>
      </c>
      <c r="F230" s="231" t="s">
        <v>1924</v>
      </c>
      <c r="G230" s="392">
        <v>2601</v>
      </c>
      <c r="H230" s="392">
        <v>19951</v>
      </c>
      <c r="I230" s="392">
        <v>6023</v>
      </c>
      <c r="J230" s="231">
        <v>10119</v>
      </c>
      <c r="K230" s="231">
        <v>38694</v>
      </c>
      <c r="L230" s="231"/>
      <c r="M230" s="300">
        <v>255</v>
      </c>
      <c r="N230" s="300">
        <v>0</v>
      </c>
      <c r="O230" s="300">
        <v>0</v>
      </c>
      <c r="P230" s="231">
        <v>2640</v>
      </c>
      <c r="Q230" s="231">
        <v>2895</v>
      </c>
      <c r="R230" s="231"/>
      <c r="S230" s="392">
        <v>17092</v>
      </c>
      <c r="T230" s="231">
        <v>4713</v>
      </c>
      <c r="U230" s="396">
        <v>21805</v>
      </c>
      <c r="V230" s="231"/>
      <c r="W230" s="396">
        <v>108948</v>
      </c>
      <c r="X230" s="396">
        <v>20327</v>
      </c>
      <c r="Y230" s="396"/>
      <c r="Z230" s="396"/>
    </row>
    <row r="231" spans="1:26">
      <c r="A231" s="424">
        <v>92411</v>
      </c>
      <c r="B231" s="423" t="s">
        <v>940</v>
      </c>
      <c r="C231" s="234">
        <v>4.0069999999999998E-4</v>
      </c>
      <c r="D231" s="234">
        <v>4.5340000000000002E-4</v>
      </c>
      <c r="E231" s="231">
        <v>2260520</v>
      </c>
      <c r="F231" s="231" t="s">
        <v>1924</v>
      </c>
      <c r="G231" s="392">
        <v>97404</v>
      </c>
      <c r="H231" s="392">
        <v>747126</v>
      </c>
      <c r="I231" s="392">
        <v>225549</v>
      </c>
      <c r="J231" s="231">
        <v>8746</v>
      </c>
      <c r="K231" s="231">
        <v>1078825</v>
      </c>
      <c r="L231" s="231"/>
      <c r="M231" s="300">
        <v>9550</v>
      </c>
      <c r="N231" s="300">
        <v>0</v>
      </c>
      <c r="O231" s="300">
        <v>0</v>
      </c>
      <c r="P231" s="231">
        <v>129551</v>
      </c>
      <c r="Q231" s="231">
        <v>139101</v>
      </c>
      <c r="R231" s="231"/>
      <c r="S231" s="392">
        <v>640079</v>
      </c>
      <c r="T231" s="231">
        <v>-52015</v>
      </c>
      <c r="U231" s="396">
        <v>588064</v>
      </c>
      <c r="V231" s="231"/>
      <c r="W231" s="396">
        <v>4079948</v>
      </c>
      <c r="X231" s="396">
        <v>761206</v>
      </c>
      <c r="Y231" s="396"/>
      <c r="Z231" s="396"/>
    </row>
    <row r="232" spans="1:26">
      <c r="A232" s="424">
        <v>92417</v>
      </c>
      <c r="B232" s="423" t="s">
        <v>941</v>
      </c>
      <c r="C232" s="234">
        <v>7.9000000000000006E-6</v>
      </c>
      <c r="D232" s="234">
        <v>7.9999999999999996E-6</v>
      </c>
      <c r="E232" s="231">
        <v>44567</v>
      </c>
      <c r="F232" s="231" t="s">
        <v>1924</v>
      </c>
      <c r="G232" s="392">
        <v>1920</v>
      </c>
      <c r="H232" s="392">
        <v>14730</v>
      </c>
      <c r="I232" s="392">
        <v>4447</v>
      </c>
      <c r="J232" s="231">
        <v>0</v>
      </c>
      <c r="K232" s="231">
        <v>21097</v>
      </c>
      <c r="L232" s="231"/>
      <c r="M232" s="300">
        <v>188</v>
      </c>
      <c r="N232" s="300">
        <v>0</v>
      </c>
      <c r="O232" s="300">
        <v>0</v>
      </c>
      <c r="P232" s="231">
        <v>9095</v>
      </c>
      <c r="Q232" s="231">
        <v>9283</v>
      </c>
      <c r="R232" s="231"/>
      <c r="S232" s="392">
        <v>12619</v>
      </c>
      <c r="T232" s="231">
        <v>-6669</v>
      </c>
      <c r="U232" s="396">
        <v>5950</v>
      </c>
      <c r="V232" s="231"/>
      <c r="W232" s="396">
        <v>80438</v>
      </c>
      <c r="X232" s="396">
        <v>15008</v>
      </c>
      <c r="Y232" s="396"/>
      <c r="Z232" s="396"/>
    </row>
    <row r="233" spans="1:26">
      <c r="A233" s="424">
        <v>92421</v>
      </c>
      <c r="B233" s="423" t="s">
        <v>942</v>
      </c>
      <c r="C233" s="234">
        <v>8.4999999999999999E-6</v>
      </c>
      <c r="D233" s="234">
        <v>1.45E-5</v>
      </c>
      <c r="E233" s="231">
        <v>47952</v>
      </c>
      <c r="F233" s="231" t="s">
        <v>1924</v>
      </c>
      <c r="G233" s="392">
        <v>2066</v>
      </c>
      <c r="H233" s="392">
        <v>15849</v>
      </c>
      <c r="I233" s="392">
        <v>4785</v>
      </c>
      <c r="J233" s="231">
        <v>2007</v>
      </c>
      <c r="K233" s="231">
        <v>24707</v>
      </c>
      <c r="L233" s="231"/>
      <c r="M233" s="300">
        <v>203</v>
      </c>
      <c r="N233" s="300">
        <v>0</v>
      </c>
      <c r="O233" s="300">
        <v>0</v>
      </c>
      <c r="P233" s="231">
        <v>9419</v>
      </c>
      <c r="Q233" s="231">
        <v>9622</v>
      </c>
      <c r="R233" s="231"/>
      <c r="S233" s="392">
        <v>13578</v>
      </c>
      <c r="T233" s="231">
        <v>-656</v>
      </c>
      <c r="U233" s="396">
        <v>12922</v>
      </c>
      <c r="V233" s="231"/>
      <c r="W233" s="396">
        <v>86547</v>
      </c>
      <c r="X233" s="396">
        <v>16147</v>
      </c>
      <c r="Y233" s="396"/>
      <c r="Z233" s="396"/>
    </row>
    <row r="234" spans="1:26">
      <c r="A234" s="424">
        <v>92427</v>
      </c>
      <c r="B234" s="423" t="s">
        <v>943</v>
      </c>
      <c r="C234" s="234">
        <v>1.5E-6</v>
      </c>
      <c r="D234" s="234">
        <v>1.7E-6</v>
      </c>
      <c r="E234" s="231">
        <v>8462</v>
      </c>
      <c r="F234" s="231" t="s">
        <v>1924</v>
      </c>
      <c r="G234" s="392">
        <v>365</v>
      </c>
      <c r="H234" s="392">
        <v>2797</v>
      </c>
      <c r="I234" s="392">
        <v>844</v>
      </c>
      <c r="J234" s="231">
        <v>1493</v>
      </c>
      <c r="K234" s="231">
        <v>5499</v>
      </c>
      <c r="L234" s="231"/>
      <c r="M234" s="300">
        <v>36</v>
      </c>
      <c r="N234" s="300">
        <v>0</v>
      </c>
      <c r="O234" s="300">
        <v>0</v>
      </c>
      <c r="P234" s="231">
        <v>0</v>
      </c>
      <c r="Q234" s="231">
        <v>36</v>
      </c>
      <c r="R234" s="231"/>
      <c r="S234" s="392">
        <v>2396</v>
      </c>
      <c r="T234" s="231">
        <v>1219</v>
      </c>
      <c r="U234" s="396">
        <v>3615</v>
      </c>
      <c r="V234" s="231"/>
      <c r="W234" s="396">
        <v>15273</v>
      </c>
      <c r="X234" s="396">
        <v>2850</v>
      </c>
      <c r="Y234" s="396"/>
      <c r="Z234" s="396"/>
    </row>
    <row r="235" spans="1:26" ht="14.25" customHeight="1">
      <c r="A235" s="424">
        <v>92431</v>
      </c>
      <c r="B235" s="423" t="s">
        <v>944</v>
      </c>
      <c r="C235" s="234">
        <v>1.9899999999999999E-5</v>
      </c>
      <c r="D235" s="234">
        <v>1.6500000000000001E-5</v>
      </c>
      <c r="E235" s="231">
        <v>112264</v>
      </c>
      <c r="F235" s="231" t="s">
        <v>1924</v>
      </c>
      <c r="G235" s="392">
        <v>4837</v>
      </c>
      <c r="H235" s="392">
        <v>37105</v>
      </c>
      <c r="I235" s="392">
        <v>11201</v>
      </c>
      <c r="J235" s="231">
        <v>11969</v>
      </c>
      <c r="K235" s="231">
        <v>65112</v>
      </c>
      <c r="L235" s="231"/>
      <c r="M235" s="300">
        <v>474</v>
      </c>
      <c r="N235" s="300">
        <v>0</v>
      </c>
      <c r="O235" s="300">
        <v>0</v>
      </c>
      <c r="P235" s="231">
        <v>1750</v>
      </c>
      <c r="Q235" s="231">
        <v>2224</v>
      </c>
      <c r="R235" s="231"/>
      <c r="S235" s="392">
        <v>31788</v>
      </c>
      <c r="T235" s="231">
        <v>4052</v>
      </c>
      <c r="U235" s="396">
        <v>35840</v>
      </c>
      <c r="V235" s="231"/>
      <c r="W235" s="396">
        <v>202623</v>
      </c>
      <c r="X235" s="396">
        <v>37804</v>
      </c>
      <c r="Y235" s="396"/>
      <c r="Z235" s="396"/>
    </row>
    <row r="236" spans="1:26">
      <c r="A236" s="424">
        <v>92441</v>
      </c>
      <c r="B236" s="423" t="s">
        <v>945</v>
      </c>
      <c r="C236" s="234">
        <v>1.089E-4</v>
      </c>
      <c r="D236" s="234">
        <v>1.004E-4</v>
      </c>
      <c r="E236" s="231">
        <v>614352</v>
      </c>
      <c r="F236" s="231" t="s">
        <v>1924</v>
      </c>
      <c r="G236" s="392">
        <v>26472</v>
      </c>
      <c r="H236" s="392">
        <v>203050</v>
      </c>
      <c r="I236" s="392">
        <v>61299</v>
      </c>
      <c r="J236" s="231">
        <v>18399</v>
      </c>
      <c r="K236" s="231">
        <v>309220</v>
      </c>
      <c r="L236" s="231"/>
      <c r="M236" s="300">
        <v>2595</v>
      </c>
      <c r="N236" s="300">
        <v>0</v>
      </c>
      <c r="O236" s="300">
        <v>0</v>
      </c>
      <c r="P236" s="231">
        <v>11683</v>
      </c>
      <c r="Q236" s="231">
        <v>14278</v>
      </c>
      <c r="R236" s="231"/>
      <c r="S236" s="392">
        <v>173957</v>
      </c>
      <c r="T236" s="231">
        <v>7118</v>
      </c>
      <c r="U236" s="396">
        <v>181075</v>
      </c>
      <c r="V236" s="231"/>
      <c r="W236" s="396">
        <v>1108825</v>
      </c>
      <c r="X236" s="396">
        <v>206876</v>
      </c>
      <c r="Y236" s="396"/>
      <c r="Z236" s="396"/>
    </row>
    <row r="237" spans="1:26">
      <c r="A237" s="424">
        <v>92444</v>
      </c>
      <c r="B237" s="423" t="s">
        <v>946</v>
      </c>
      <c r="C237" s="234">
        <v>1.0200000000000001E-5</v>
      </c>
      <c r="D237" s="234">
        <v>9.2E-6</v>
      </c>
      <c r="E237" s="231">
        <v>57543</v>
      </c>
      <c r="F237" s="231" t="s">
        <v>1924</v>
      </c>
      <c r="G237" s="392">
        <v>2479</v>
      </c>
      <c r="H237" s="392">
        <v>19018</v>
      </c>
      <c r="I237" s="392">
        <v>5741</v>
      </c>
      <c r="J237" s="231">
        <v>6447</v>
      </c>
      <c r="K237" s="231">
        <v>33685</v>
      </c>
      <c r="L237" s="231"/>
      <c r="M237" s="300">
        <v>243</v>
      </c>
      <c r="N237" s="300">
        <v>0</v>
      </c>
      <c r="O237" s="300">
        <v>0</v>
      </c>
      <c r="P237" s="231">
        <v>0</v>
      </c>
      <c r="Q237" s="231">
        <v>243</v>
      </c>
      <c r="R237" s="231"/>
      <c r="S237" s="392">
        <v>16293</v>
      </c>
      <c r="T237" s="231">
        <v>4448</v>
      </c>
      <c r="U237" s="396">
        <v>20741</v>
      </c>
      <c r="V237" s="231"/>
      <c r="W237" s="396">
        <v>103857</v>
      </c>
      <c r="X237" s="396">
        <v>19377</v>
      </c>
      <c r="Y237" s="396"/>
      <c r="Z237" s="396"/>
    </row>
    <row r="238" spans="1:26">
      <c r="A238" s="424">
        <v>92451</v>
      </c>
      <c r="B238" s="423" t="s">
        <v>947</v>
      </c>
      <c r="C238" s="234">
        <v>1.119E-4</v>
      </c>
      <c r="D238" s="234">
        <v>1.044E-4</v>
      </c>
      <c r="E238" s="231">
        <v>631276</v>
      </c>
      <c r="F238" s="231" t="s">
        <v>1924</v>
      </c>
      <c r="G238" s="392">
        <v>27201</v>
      </c>
      <c r="H238" s="392">
        <v>208643</v>
      </c>
      <c r="I238" s="392">
        <v>62987</v>
      </c>
      <c r="J238" s="231">
        <v>49026</v>
      </c>
      <c r="K238" s="231">
        <v>347857</v>
      </c>
      <c r="L238" s="231"/>
      <c r="M238" s="300">
        <v>2667</v>
      </c>
      <c r="N238" s="300">
        <v>0</v>
      </c>
      <c r="O238" s="300">
        <v>0</v>
      </c>
      <c r="P238" s="231">
        <v>0</v>
      </c>
      <c r="Q238" s="231">
        <v>2667</v>
      </c>
      <c r="R238" s="231"/>
      <c r="S238" s="392">
        <v>178749</v>
      </c>
      <c r="T238" s="231">
        <v>25311</v>
      </c>
      <c r="U238" s="396">
        <v>204060</v>
      </c>
      <c r="V238" s="231"/>
      <c r="W238" s="396">
        <v>1139372</v>
      </c>
      <c r="X238" s="396">
        <v>212575</v>
      </c>
      <c r="Y238" s="396"/>
      <c r="Z238" s="396"/>
    </row>
    <row r="239" spans="1:26">
      <c r="A239" s="424">
        <v>92461</v>
      </c>
      <c r="B239" s="423" t="s">
        <v>948</v>
      </c>
      <c r="C239" s="234">
        <v>9.7E-5</v>
      </c>
      <c r="D239" s="234">
        <v>8.1699999999999994E-5</v>
      </c>
      <c r="E239" s="231">
        <v>547219</v>
      </c>
      <c r="F239" s="231" t="s">
        <v>1924</v>
      </c>
      <c r="G239" s="392">
        <v>23579</v>
      </c>
      <c r="H239" s="392">
        <v>180861</v>
      </c>
      <c r="I239" s="392">
        <v>54600</v>
      </c>
      <c r="J239" s="231">
        <v>57605</v>
      </c>
      <c r="K239" s="231">
        <v>316645</v>
      </c>
      <c r="L239" s="231"/>
      <c r="M239" s="300">
        <v>2312</v>
      </c>
      <c r="N239" s="300">
        <v>0</v>
      </c>
      <c r="O239" s="300">
        <v>0</v>
      </c>
      <c r="P239" s="231">
        <v>0</v>
      </c>
      <c r="Q239" s="231">
        <v>2312</v>
      </c>
      <c r="R239" s="231"/>
      <c r="S239" s="392">
        <v>154948</v>
      </c>
      <c r="T239" s="231">
        <v>27704</v>
      </c>
      <c r="U239" s="396">
        <v>182652</v>
      </c>
      <c r="V239" s="231"/>
      <c r="W239" s="396">
        <v>987659</v>
      </c>
      <c r="X239" s="396">
        <v>184270</v>
      </c>
      <c r="Y239" s="396"/>
      <c r="Z239" s="396"/>
    </row>
    <row r="240" spans="1:26">
      <c r="A240" s="424">
        <v>92501</v>
      </c>
      <c r="B240" s="423" t="s">
        <v>949</v>
      </c>
      <c r="C240" s="234">
        <v>3.9979999999999998E-3</v>
      </c>
      <c r="D240" s="234">
        <v>3.9338999999999997E-3</v>
      </c>
      <c r="E240" s="231">
        <v>22554429</v>
      </c>
      <c r="F240" s="231" t="s">
        <v>1924</v>
      </c>
      <c r="G240" s="392">
        <v>971850</v>
      </c>
      <c r="H240" s="392">
        <v>7454475</v>
      </c>
      <c r="I240" s="392">
        <v>2250426</v>
      </c>
      <c r="J240" s="231">
        <v>386666</v>
      </c>
      <c r="K240" s="231">
        <v>11063417</v>
      </c>
      <c r="L240" s="231"/>
      <c r="M240" s="300">
        <v>95284</v>
      </c>
      <c r="N240" s="300">
        <v>0</v>
      </c>
      <c r="O240" s="300">
        <v>0</v>
      </c>
      <c r="P240" s="231">
        <v>39698</v>
      </c>
      <c r="Q240" s="231">
        <v>134982</v>
      </c>
      <c r="R240" s="231"/>
      <c r="S240" s="392">
        <v>6386409</v>
      </c>
      <c r="T240" s="231">
        <v>267260</v>
      </c>
      <c r="U240" s="396">
        <v>6653669</v>
      </c>
      <c r="V240" s="231"/>
      <c r="W240" s="396">
        <v>40707840</v>
      </c>
      <c r="X240" s="396">
        <v>7594965</v>
      </c>
      <c r="Y240" s="396"/>
      <c r="Z240" s="396"/>
    </row>
    <row r="241" spans="1:26">
      <c r="A241" s="424">
        <v>92502</v>
      </c>
      <c r="B241" s="423" t="s">
        <v>950</v>
      </c>
      <c r="C241" s="234">
        <v>2.3200000000000001E-5</v>
      </c>
      <c r="D241" s="234">
        <v>2.1100000000000001E-5</v>
      </c>
      <c r="E241" s="231">
        <v>130881</v>
      </c>
      <c r="F241" s="231" t="s">
        <v>1924</v>
      </c>
      <c r="G241" s="392">
        <v>5640</v>
      </c>
      <c r="H241" s="392">
        <v>43258</v>
      </c>
      <c r="I241" s="392">
        <v>13059</v>
      </c>
      <c r="J241" s="231">
        <v>12267</v>
      </c>
      <c r="K241" s="231">
        <v>74224</v>
      </c>
      <c r="L241" s="231"/>
      <c r="M241" s="300">
        <v>553</v>
      </c>
      <c r="N241" s="300">
        <v>0</v>
      </c>
      <c r="O241" s="300">
        <v>0</v>
      </c>
      <c r="P241" s="231">
        <v>0</v>
      </c>
      <c r="Q241" s="231">
        <v>553</v>
      </c>
      <c r="R241" s="231"/>
      <c r="S241" s="392">
        <v>37060</v>
      </c>
      <c r="T241" s="231">
        <v>5245</v>
      </c>
      <c r="U241" s="396">
        <v>42305</v>
      </c>
      <c r="V241" s="231"/>
      <c r="W241" s="396">
        <v>236224</v>
      </c>
      <c r="X241" s="396">
        <v>44073</v>
      </c>
      <c r="Y241" s="396"/>
      <c r="Z241" s="396"/>
    </row>
    <row r="242" spans="1:26">
      <c r="A242" s="424">
        <v>92504</v>
      </c>
      <c r="B242" s="423" t="s">
        <v>951</v>
      </c>
      <c r="C242" s="234">
        <v>9.3999999999999994E-5</v>
      </c>
      <c r="D242" s="234">
        <v>9.1100000000000005E-5</v>
      </c>
      <c r="E242" s="231">
        <v>530294</v>
      </c>
      <c r="F242" s="231" t="s">
        <v>1924</v>
      </c>
      <c r="G242" s="392">
        <v>22850</v>
      </c>
      <c r="H242" s="392">
        <v>175268</v>
      </c>
      <c r="I242" s="392">
        <v>52911</v>
      </c>
      <c r="J242" s="231">
        <v>38660</v>
      </c>
      <c r="K242" s="231">
        <v>289689</v>
      </c>
      <c r="L242" s="231"/>
      <c r="M242" s="300">
        <v>2240</v>
      </c>
      <c r="N242" s="300">
        <v>0</v>
      </c>
      <c r="O242" s="300">
        <v>0</v>
      </c>
      <c r="P242" s="231">
        <v>0</v>
      </c>
      <c r="Q242" s="231">
        <v>2240</v>
      </c>
      <c r="R242" s="231"/>
      <c r="S242" s="392">
        <v>150156</v>
      </c>
      <c r="T242" s="231">
        <v>23024</v>
      </c>
      <c r="U242" s="396">
        <v>173180</v>
      </c>
      <c r="V242" s="231"/>
      <c r="W242" s="396">
        <v>957113</v>
      </c>
      <c r="X242" s="396">
        <v>178571</v>
      </c>
      <c r="Y242" s="396"/>
      <c r="Z242" s="396"/>
    </row>
    <row r="243" spans="1:26">
      <c r="A243" s="424">
        <v>92505</v>
      </c>
      <c r="B243" s="423" t="s">
        <v>952</v>
      </c>
      <c r="C243" s="234">
        <v>1.103E-4</v>
      </c>
      <c r="D243" s="234">
        <v>9.9099999999999996E-5</v>
      </c>
      <c r="E243" s="231">
        <v>622250</v>
      </c>
      <c r="F243" s="231" t="s">
        <v>1924</v>
      </c>
      <c r="G243" s="392">
        <v>26812</v>
      </c>
      <c r="H243" s="392">
        <v>205660</v>
      </c>
      <c r="I243" s="392">
        <v>62087</v>
      </c>
      <c r="J243" s="231">
        <v>46039</v>
      </c>
      <c r="K243" s="231">
        <v>340598</v>
      </c>
      <c r="L243" s="231"/>
      <c r="M243" s="300">
        <v>2629</v>
      </c>
      <c r="N243" s="300">
        <v>0</v>
      </c>
      <c r="O243" s="300">
        <v>0</v>
      </c>
      <c r="P243" s="231">
        <v>73638</v>
      </c>
      <c r="Q243" s="231">
        <v>76267</v>
      </c>
      <c r="R243" s="231"/>
      <c r="S243" s="392">
        <v>176193</v>
      </c>
      <c r="T243" s="231">
        <v>-2724</v>
      </c>
      <c r="U243" s="396">
        <v>173469</v>
      </c>
      <c r="V243" s="231"/>
      <c r="W243" s="396">
        <v>1123080</v>
      </c>
      <c r="X243" s="396">
        <v>209536</v>
      </c>
      <c r="Y243" s="396"/>
      <c r="Z243" s="396"/>
    </row>
    <row r="244" spans="1:26">
      <c r="A244" s="424">
        <v>92506</v>
      </c>
      <c r="B244" s="423" t="s">
        <v>953</v>
      </c>
      <c r="C244" s="234">
        <v>6.3E-5</v>
      </c>
      <c r="D244" s="234">
        <v>6.4999999999999994E-5</v>
      </c>
      <c r="E244" s="231">
        <v>355410</v>
      </c>
      <c r="F244" s="231" t="s">
        <v>1924</v>
      </c>
      <c r="G244" s="392">
        <v>15314</v>
      </c>
      <c r="H244" s="392">
        <v>117467</v>
      </c>
      <c r="I244" s="392">
        <v>35462</v>
      </c>
      <c r="J244" s="231">
        <v>27479</v>
      </c>
      <c r="K244" s="231">
        <v>195722</v>
      </c>
      <c r="L244" s="231"/>
      <c r="M244" s="300">
        <v>1501</v>
      </c>
      <c r="N244" s="300">
        <v>0</v>
      </c>
      <c r="O244" s="300">
        <v>0</v>
      </c>
      <c r="P244" s="231">
        <v>334</v>
      </c>
      <c r="Q244" s="231">
        <v>1835</v>
      </c>
      <c r="R244" s="231"/>
      <c r="S244" s="392">
        <v>100636</v>
      </c>
      <c r="T244" s="231">
        <v>17704</v>
      </c>
      <c r="U244" s="396">
        <v>118340</v>
      </c>
      <c r="V244" s="231"/>
      <c r="W244" s="396">
        <v>641469</v>
      </c>
      <c r="X244" s="396">
        <v>119681</v>
      </c>
      <c r="Y244" s="396"/>
      <c r="Z244" s="396"/>
    </row>
    <row r="245" spans="1:26">
      <c r="A245" s="424">
        <v>92507</v>
      </c>
      <c r="B245" s="423" t="s">
        <v>954</v>
      </c>
      <c r="C245" s="234">
        <v>9.6700000000000006E-5</v>
      </c>
      <c r="D245" s="234">
        <v>1.033E-4</v>
      </c>
      <c r="E245" s="231">
        <v>545526</v>
      </c>
      <c r="F245" s="231" t="s">
        <v>1924</v>
      </c>
      <c r="G245" s="392">
        <v>23506</v>
      </c>
      <c r="H245" s="392">
        <v>180302</v>
      </c>
      <c r="I245" s="392">
        <v>54431</v>
      </c>
      <c r="J245" s="231">
        <v>12008</v>
      </c>
      <c r="K245" s="231">
        <v>270247</v>
      </c>
      <c r="L245" s="231"/>
      <c r="M245" s="300">
        <v>2305</v>
      </c>
      <c r="N245" s="300">
        <v>0</v>
      </c>
      <c r="O245" s="300">
        <v>0</v>
      </c>
      <c r="P245" s="231">
        <v>28478</v>
      </c>
      <c r="Q245" s="231">
        <v>30783</v>
      </c>
      <c r="R245" s="231"/>
      <c r="S245" s="392">
        <v>154469</v>
      </c>
      <c r="T245" s="231">
        <v>-7489</v>
      </c>
      <c r="U245" s="396">
        <v>146980</v>
      </c>
      <c r="V245" s="231"/>
      <c r="W245" s="396">
        <v>984604</v>
      </c>
      <c r="X245" s="396">
        <v>183700</v>
      </c>
      <c r="Y245" s="396"/>
      <c r="Z245" s="396"/>
    </row>
    <row r="246" spans="1:26">
      <c r="A246" s="424">
        <v>92508</v>
      </c>
      <c r="B246" s="423" t="s">
        <v>955</v>
      </c>
      <c r="C246" s="234">
        <v>2.8909999999999998E-4</v>
      </c>
      <c r="D246" s="234">
        <v>2.809E-4</v>
      </c>
      <c r="E246" s="231">
        <v>1630937</v>
      </c>
      <c r="F246" s="231" t="s">
        <v>1924</v>
      </c>
      <c r="G246" s="392">
        <v>70276</v>
      </c>
      <c r="H246" s="392">
        <v>539042</v>
      </c>
      <c r="I246" s="392">
        <v>162731</v>
      </c>
      <c r="J246" s="231">
        <v>48973</v>
      </c>
      <c r="K246" s="231">
        <v>821022</v>
      </c>
      <c r="L246" s="231"/>
      <c r="M246" s="300">
        <v>6890</v>
      </c>
      <c r="N246" s="300">
        <v>0</v>
      </c>
      <c r="O246" s="300">
        <v>0</v>
      </c>
      <c r="P246" s="231">
        <v>9816</v>
      </c>
      <c r="Q246" s="231">
        <v>16706</v>
      </c>
      <c r="R246" s="231"/>
      <c r="S246" s="392">
        <v>461809</v>
      </c>
      <c r="T246" s="231">
        <v>21698</v>
      </c>
      <c r="U246" s="396">
        <v>483507</v>
      </c>
      <c r="V246" s="231"/>
      <c r="W246" s="396">
        <v>2943631</v>
      </c>
      <c r="X246" s="396">
        <v>549201</v>
      </c>
      <c r="Y246" s="396"/>
      <c r="Z246" s="396"/>
    </row>
    <row r="247" spans="1:26">
      <c r="A247" s="425">
        <v>92511</v>
      </c>
      <c r="B247" s="426" t="s">
        <v>956</v>
      </c>
      <c r="C247" s="234">
        <v>3.2678999999999998E-3</v>
      </c>
      <c r="D247" s="234">
        <v>3.346E-3</v>
      </c>
      <c r="E247" s="231">
        <v>18435623</v>
      </c>
      <c r="F247" s="231" t="s">
        <v>1924</v>
      </c>
      <c r="G247" s="392">
        <v>794374</v>
      </c>
      <c r="H247" s="392">
        <v>6093166</v>
      </c>
      <c r="I247" s="392">
        <v>1839462</v>
      </c>
      <c r="J247" s="231">
        <v>43432</v>
      </c>
      <c r="K247" s="231">
        <v>8770434</v>
      </c>
      <c r="L247" s="231"/>
      <c r="M247" s="300">
        <v>77884</v>
      </c>
      <c r="N247" s="300">
        <v>0</v>
      </c>
      <c r="O247" s="300">
        <v>0</v>
      </c>
      <c r="P247" s="231">
        <v>310132</v>
      </c>
      <c r="Q247" s="231">
        <v>388016</v>
      </c>
      <c r="R247" s="231"/>
      <c r="S247" s="392">
        <v>5220147</v>
      </c>
      <c r="T247" s="231">
        <v>-129586</v>
      </c>
      <c r="U247" s="396">
        <v>5090561</v>
      </c>
      <c r="V247" s="231"/>
      <c r="W247" s="396">
        <v>33273924</v>
      </c>
      <c r="X247" s="396">
        <v>6208000</v>
      </c>
      <c r="Y247" s="396"/>
      <c r="Z247" s="396"/>
    </row>
    <row r="248" spans="1:26">
      <c r="A248" s="424">
        <v>92513</v>
      </c>
      <c r="B248" s="423" t="s">
        <v>957</v>
      </c>
      <c r="C248" s="234">
        <v>4.5151000000000002E-3</v>
      </c>
      <c r="D248" s="234">
        <v>4.0124000000000002E-3</v>
      </c>
      <c r="E248" s="231">
        <v>25471612</v>
      </c>
      <c r="F248" s="231" t="s">
        <v>1924</v>
      </c>
      <c r="G248" s="392">
        <v>1097549</v>
      </c>
      <c r="H248" s="392">
        <v>8418634</v>
      </c>
      <c r="I248" s="392">
        <v>2541496</v>
      </c>
      <c r="J248" s="231">
        <v>686810</v>
      </c>
      <c r="K248" s="231">
        <v>12744489</v>
      </c>
      <c r="L248" s="231"/>
      <c r="M248" s="300">
        <v>107608</v>
      </c>
      <c r="N248" s="300">
        <v>0</v>
      </c>
      <c r="O248" s="300">
        <v>0</v>
      </c>
      <c r="P248" s="231">
        <v>72089</v>
      </c>
      <c r="Q248" s="231">
        <v>179697</v>
      </c>
      <c r="R248" s="231"/>
      <c r="S248" s="392">
        <v>7212425</v>
      </c>
      <c r="T248" s="231">
        <v>114186</v>
      </c>
      <c r="U248" s="396">
        <v>7326611</v>
      </c>
      <c r="V248" s="231"/>
      <c r="W248" s="396">
        <v>45972978</v>
      </c>
      <c r="X248" s="396">
        <v>8577295</v>
      </c>
      <c r="Y248" s="396"/>
      <c r="Z248" s="396"/>
    </row>
    <row r="249" spans="1:26">
      <c r="A249" s="424">
        <v>92521</v>
      </c>
      <c r="B249" s="423" t="s">
        <v>958</v>
      </c>
      <c r="C249" s="234">
        <v>7.5300000000000001E-5</v>
      </c>
      <c r="D249" s="234">
        <v>6.9599999999999998E-5</v>
      </c>
      <c r="E249" s="231">
        <v>424800</v>
      </c>
      <c r="F249" s="231" t="s">
        <v>1924</v>
      </c>
      <c r="G249" s="392">
        <v>18304</v>
      </c>
      <c r="H249" s="392">
        <v>140401</v>
      </c>
      <c r="I249" s="392">
        <v>42385</v>
      </c>
      <c r="J249" s="231">
        <v>15212</v>
      </c>
      <c r="K249" s="231">
        <v>216302</v>
      </c>
      <c r="L249" s="231"/>
      <c r="M249" s="300">
        <v>1795</v>
      </c>
      <c r="N249" s="300">
        <v>0</v>
      </c>
      <c r="O249" s="300">
        <v>0</v>
      </c>
      <c r="P249" s="231">
        <v>4467</v>
      </c>
      <c r="Q249" s="231">
        <v>6262</v>
      </c>
      <c r="R249" s="231"/>
      <c r="S249" s="392">
        <v>120284</v>
      </c>
      <c r="T249" s="231">
        <v>1026</v>
      </c>
      <c r="U249" s="396">
        <v>121310</v>
      </c>
      <c r="V249" s="231"/>
      <c r="W249" s="396">
        <v>766708</v>
      </c>
      <c r="X249" s="396">
        <v>143047</v>
      </c>
      <c r="Y249" s="396"/>
      <c r="Z249" s="396"/>
    </row>
    <row r="250" spans="1:26">
      <c r="A250" s="424">
        <v>92531</v>
      </c>
      <c r="B250" s="423" t="s">
        <v>959</v>
      </c>
      <c r="C250" s="234">
        <v>7.9290000000000003E-4</v>
      </c>
      <c r="D250" s="234">
        <v>7.8069999999999995E-4</v>
      </c>
      <c r="E250" s="231">
        <v>4473088</v>
      </c>
      <c r="F250" s="231" t="s">
        <v>1924</v>
      </c>
      <c r="G250" s="392">
        <v>192741</v>
      </c>
      <c r="H250" s="392">
        <v>1478402</v>
      </c>
      <c r="I250" s="392">
        <v>446314</v>
      </c>
      <c r="J250" s="231">
        <v>0</v>
      </c>
      <c r="K250" s="231">
        <v>2117457</v>
      </c>
      <c r="L250" s="231"/>
      <c r="M250" s="300">
        <v>18897</v>
      </c>
      <c r="N250" s="300">
        <v>0</v>
      </c>
      <c r="O250" s="300">
        <v>0</v>
      </c>
      <c r="P250" s="231">
        <v>112522</v>
      </c>
      <c r="Q250" s="231">
        <v>131419</v>
      </c>
      <c r="R250" s="231"/>
      <c r="S250" s="392">
        <v>1266579</v>
      </c>
      <c r="T250" s="231">
        <v>-71252</v>
      </c>
      <c r="U250" s="396">
        <v>1195327</v>
      </c>
      <c r="V250" s="231"/>
      <c r="W250" s="396">
        <v>8073348</v>
      </c>
      <c r="X250" s="396">
        <v>1506265</v>
      </c>
      <c r="Y250" s="396"/>
      <c r="Z250" s="396"/>
    </row>
    <row r="251" spans="1:26">
      <c r="A251" s="424">
        <v>92541</v>
      </c>
      <c r="B251" s="423" t="s">
        <v>960</v>
      </c>
      <c r="C251" s="234">
        <v>1.449E-4</v>
      </c>
      <c r="D251" s="234">
        <v>1.4630000000000001E-4</v>
      </c>
      <c r="E251" s="231">
        <v>817443</v>
      </c>
      <c r="F251" s="231" t="s">
        <v>1924</v>
      </c>
      <c r="G251" s="392">
        <v>35223</v>
      </c>
      <c r="H251" s="392">
        <v>270173</v>
      </c>
      <c r="I251" s="392">
        <v>81562</v>
      </c>
      <c r="J251" s="231">
        <v>5818</v>
      </c>
      <c r="K251" s="231">
        <v>392776</v>
      </c>
      <c r="L251" s="231"/>
      <c r="M251" s="300">
        <v>3453</v>
      </c>
      <c r="N251" s="300">
        <v>0</v>
      </c>
      <c r="O251" s="300">
        <v>0</v>
      </c>
      <c r="P251" s="231">
        <v>17953</v>
      </c>
      <c r="Q251" s="231">
        <v>21406</v>
      </c>
      <c r="R251" s="231"/>
      <c r="S251" s="392">
        <v>231463</v>
      </c>
      <c r="T251" s="231">
        <v>-4103</v>
      </c>
      <c r="U251" s="396">
        <v>227360</v>
      </c>
      <c r="V251" s="231"/>
      <c r="W251" s="396">
        <v>1475379</v>
      </c>
      <c r="X251" s="396">
        <v>275265</v>
      </c>
      <c r="Y251" s="396"/>
      <c r="Z251" s="396"/>
    </row>
    <row r="252" spans="1:26">
      <c r="A252" s="424">
        <v>92551</v>
      </c>
      <c r="B252" s="423" t="s">
        <v>961</v>
      </c>
      <c r="C252" s="234">
        <v>6.2199999999999994E-5</v>
      </c>
      <c r="D252" s="234">
        <v>6.2199999999999994E-5</v>
      </c>
      <c r="E252" s="231">
        <v>350897</v>
      </c>
      <c r="F252" s="231" t="s">
        <v>1924</v>
      </c>
      <c r="G252" s="392">
        <v>15120</v>
      </c>
      <c r="H252" s="392">
        <v>115975</v>
      </c>
      <c r="I252" s="392">
        <v>35012</v>
      </c>
      <c r="J252" s="231">
        <v>5150</v>
      </c>
      <c r="K252" s="231">
        <v>171257</v>
      </c>
      <c r="L252" s="231"/>
      <c r="M252" s="300">
        <v>1482</v>
      </c>
      <c r="N252" s="300">
        <v>0</v>
      </c>
      <c r="O252" s="300">
        <v>0</v>
      </c>
      <c r="P252" s="231">
        <v>9690</v>
      </c>
      <c r="Q252" s="231">
        <v>11172</v>
      </c>
      <c r="R252" s="231"/>
      <c r="S252" s="392">
        <v>99358</v>
      </c>
      <c r="T252" s="231">
        <v>-2994</v>
      </c>
      <c r="U252" s="396">
        <v>96364</v>
      </c>
      <c r="V252" s="231"/>
      <c r="W252" s="396">
        <v>633324</v>
      </c>
      <c r="X252" s="396">
        <v>118161</v>
      </c>
      <c r="Y252" s="396"/>
      <c r="Z252" s="396"/>
    </row>
    <row r="253" spans="1:26">
      <c r="A253" s="424">
        <v>92561</v>
      </c>
      <c r="B253" s="423" t="s">
        <v>962</v>
      </c>
      <c r="C253" s="234">
        <v>1.2099999999999999E-5</v>
      </c>
      <c r="D253" s="234">
        <v>1.5699999999999999E-5</v>
      </c>
      <c r="E253" s="231">
        <v>68261</v>
      </c>
      <c r="F253" s="231" t="s">
        <v>1924</v>
      </c>
      <c r="G253" s="392">
        <v>2941</v>
      </c>
      <c r="H253" s="392">
        <v>22561</v>
      </c>
      <c r="I253" s="392">
        <v>6811</v>
      </c>
      <c r="J253" s="231">
        <v>4824</v>
      </c>
      <c r="K253" s="231">
        <v>37137</v>
      </c>
      <c r="L253" s="231"/>
      <c r="M253" s="300">
        <v>288</v>
      </c>
      <c r="N253" s="300">
        <v>0</v>
      </c>
      <c r="O253" s="300">
        <v>0</v>
      </c>
      <c r="P253" s="231">
        <v>6421</v>
      </c>
      <c r="Q253" s="231">
        <v>6709</v>
      </c>
      <c r="R253" s="231"/>
      <c r="S253" s="392">
        <v>19329</v>
      </c>
      <c r="T253" s="231">
        <v>-1238</v>
      </c>
      <c r="U253" s="396">
        <v>18091</v>
      </c>
      <c r="V253" s="231"/>
      <c r="W253" s="396">
        <v>123203</v>
      </c>
      <c r="X253" s="396">
        <v>22986</v>
      </c>
      <c r="Y253" s="396"/>
      <c r="Z253" s="396"/>
    </row>
    <row r="254" spans="1:26">
      <c r="A254" s="424">
        <v>92571</v>
      </c>
      <c r="B254" s="423" t="s">
        <v>963</v>
      </c>
      <c r="C254" s="234">
        <v>8.1999999999999994E-6</v>
      </c>
      <c r="D254" s="234">
        <v>5.3000000000000001E-6</v>
      </c>
      <c r="E254" s="231">
        <v>46260</v>
      </c>
      <c r="F254" s="231" t="s">
        <v>1924</v>
      </c>
      <c r="G254" s="392">
        <v>1993</v>
      </c>
      <c r="H254" s="392">
        <v>15289</v>
      </c>
      <c r="I254" s="392">
        <v>4616</v>
      </c>
      <c r="J254" s="231">
        <v>7295</v>
      </c>
      <c r="K254" s="231">
        <v>29193</v>
      </c>
      <c r="L254" s="231"/>
      <c r="M254" s="300">
        <v>195</v>
      </c>
      <c r="N254" s="300">
        <v>0</v>
      </c>
      <c r="O254" s="300">
        <v>0</v>
      </c>
      <c r="P254" s="231">
        <v>1095</v>
      </c>
      <c r="Q254" s="231">
        <v>1290</v>
      </c>
      <c r="R254" s="231"/>
      <c r="S254" s="392">
        <v>13099</v>
      </c>
      <c r="T254" s="231">
        <v>1979</v>
      </c>
      <c r="U254" s="396">
        <v>15078</v>
      </c>
      <c r="V254" s="231"/>
      <c r="W254" s="396">
        <v>83493</v>
      </c>
      <c r="X254" s="396">
        <v>15577</v>
      </c>
      <c r="Y254" s="396"/>
      <c r="Z254" s="396"/>
    </row>
    <row r="255" spans="1:26">
      <c r="A255" s="424">
        <v>92601</v>
      </c>
      <c r="B255" s="423" t="s">
        <v>964</v>
      </c>
      <c r="C255" s="234">
        <v>1.2269199999999999E-2</v>
      </c>
      <c r="D255" s="234">
        <v>1.2883E-2</v>
      </c>
      <c r="E255" s="231">
        <v>69215808</v>
      </c>
      <c r="F255" s="231" t="s">
        <v>1924</v>
      </c>
      <c r="G255" s="392">
        <v>2982446</v>
      </c>
      <c r="H255" s="392">
        <v>22876549</v>
      </c>
      <c r="I255" s="392">
        <v>6906185</v>
      </c>
      <c r="J255" s="231">
        <v>211250</v>
      </c>
      <c r="K255" s="231">
        <v>32976430</v>
      </c>
      <c r="L255" s="231"/>
      <c r="M255" s="300">
        <v>292412</v>
      </c>
      <c r="N255" s="300">
        <v>0</v>
      </c>
      <c r="O255" s="300">
        <v>0</v>
      </c>
      <c r="P255" s="231">
        <v>948403</v>
      </c>
      <c r="Q255" s="231">
        <v>1240815</v>
      </c>
      <c r="R255" s="231"/>
      <c r="S255" s="392">
        <v>19598832</v>
      </c>
      <c r="T255" s="231">
        <v>-594145</v>
      </c>
      <c r="U255" s="396">
        <v>19004687</v>
      </c>
      <c r="V255" s="231"/>
      <c r="W255" s="396">
        <v>124925620</v>
      </c>
      <c r="X255" s="396">
        <v>23307689</v>
      </c>
      <c r="Y255" s="396"/>
      <c r="Z255" s="396"/>
    </row>
    <row r="256" spans="1:26">
      <c r="A256" s="424">
        <v>92602</v>
      </c>
      <c r="B256" s="423" t="s">
        <v>965</v>
      </c>
      <c r="C256" s="234">
        <v>5.6999999999999996E-6</v>
      </c>
      <c r="D256" s="234">
        <v>5.2000000000000002E-6</v>
      </c>
      <c r="E256" s="231">
        <v>32156</v>
      </c>
      <c r="F256" s="231" t="s">
        <v>1924</v>
      </c>
      <c r="G256" s="392">
        <v>1386</v>
      </c>
      <c r="H256" s="392">
        <v>10628</v>
      </c>
      <c r="I256" s="392">
        <v>3208</v>
      </c>
      <c r="J256" s="231">
        <v>867</v>
      </c>
      <c r="K256" s="231">
        <v>16089</v>
      </c>
      <c r="L256" s="231"/>
      <c r="M256" s="300">
        <v>136</v>
      </c>
      <c r="N256" s="300">
        <v>0</v>
      </c>
      <c r="O256" s="300">
        <v>0</v>
      </c>
      <c r="P256" s="231">
        <v>620</v>
      </c>
      <c r="Q256" s="231">
        <v>756</v>
      </c>
      <c r="R256" s="231"/>
      <c r="S256" s="392">
        <v>9105</v>
      </c>
      <c r="T256" s="231">
        <v>-694</v>
      </c>
      <c r="U256" s="396">
        <v>8411</v>
      </c>
      <c r="V256" s="231"/>
      <c r="W256" s="396">
        <v>58038</v>
      </c>
      <c r="X256" s="396">
        <v>10828</v>
      </c>
      <c r="Y256" s="396"/>
      <c r="Z256" s="396"/>
    </row>
    <row r="257" spans="1:26">
      <c r="A257" s="424">
        <v>92604</v>
      </c>
      <c r="B257" s="423" t="s">
        <v>966</v>
      </c>
      <c r="C257" s="234">
        <v>3.2210000000000002E-4</v>
      </c>
      <c r="D257" s="234">
        <v>3.392E-4</v>
      </c>
      <c r="E257" s="231">
        <v>1817104</v>
      </c>
      <c r="F257" s="231" t="s">
        <v>1924</v>
      </c>
      <c r="G257" s="392">
        <v>78297</v>
      </c>
      <c r="H257" s="392">
        <v>600572</v>
      </c>
      <c r="I257" s="392">
        <v>181306</v>
      </c>
      <c r="J257" s="231">
        <v>18605</v>
      </c>
      <c r="K257" s="231">
        <v>878780</v>
      </c>
      <c r="L257" s="231"/>
      <c r="M257" s="300">
        <v>7677</v>
      </c>
      <c r="N257" s="300">
        <v>0</v>
      </c>
      <c r="O257" s="300">
        <v>0</v>
      </c>
      <c r="P257" s="231">
        <v>61310</v>
      </c>
      <c r="Q257" s="231">
        <v>68987</v>
      </c>
      <c r="R257" s="231"/>
      <c r="S257" s="392">
        <v>514523</v>
      </c>
      <c r="T257" s="231">
        <v>-1741</v>
      </c>
      <c r="U257" s="396">
        <v>512782</v>
      </c>
      <c r="V257" s="231"/>
      <c r="W257" s="396">
        <v>3279639</v>
      </c>
      <c r="X257" s="396">
        <v>611890</v>
      </c>
      <c r="Y257" s="396"/>
      <c r="Z257" s="396"/>
    </row>
    <row r="258" spans="1:26">
      <c r="A258" s="424">
        <v>92607</v>
      </c>
      <c r="B258" s="423" t="s">
        <v>967</v>
      </c>
      <c r="C258" s="234">
        <v>1.563E-4</v>
      </c>
      <c r="D258" s="234">
        <v>7.25E-5</v>
      </c>
      <c r="E258" s="231">
        <v>881755</v>
      </c>
      <c r="F258" s="231" t="s">
        <v>1924</v>
      </c>
      <c r="G258" s="392">
        <v>37994</v>
      </c>
      <c r="H258" s="392">
        <v>291429</v>
      </c>
      <c r="I258" s="392">
        <v>87979</v>
      </c>
      <c r="J258" s="231">
        <v>153285</v>
      </c>
      <c r="K258" s="231">
        <v>570687</v>
      </c>
      <c r="L258" s="231"/>
      <c r="M258" s="300">
        <v>3725</v>
      </c>
      <c r="N258" s="300">
        <v>0</v>
      </c>
      <c r="O258" s="300">
        <v>0</v>
      </c>
      <c r="P258" s="231">
        <v>191</v>
      </c>
      <c r="Q258" s="231">
        <v>3916</v>
      </c>
      <c r="R258" s="231"/>
      <c r="S258" s="392">
        <v>249674</v>
      </c>
      <c r="T258" s="231">
        <v>58124</v>
      </c>
      <c r="U258" s="396">
        <v>307798</v>
      </c>
      <c r="V258" s="231"/>
      <c r="W258" s="396">
        <v>1591455</v>
      </c>
      <c r="X258" s="396">
        <v>296922</v>
      </c>
      <c r="Y258" s="396"/>
      <c r="Z258" s="396"/>
    </row>
    <row r="259" spans="1:26">
      <c r="A259" s="424">
        <v>92611</v>
      </c>
      <c r="B259" s="423" t="s">
        <v>969</v>
      </c>
      <c r="C259" s="234">
        <v>1.1181E-2</v>
      </c>
      <c r="D259" s="234">
        <v>1.0895E-2</v>
      </c>
      <c r="E259" s="231">
        <v>63076806</v>
      </c>
      <c r="F259" s="231" t="s">
        <v>1924</v>
      </c>
      <c r="G259" s="392">
        <v>2717922</v>
      </c>
      <c r="H259" s="392">
        <v>20847545</v>
      </c>
      <c r="I259" s="392">
        <v>6293651</v>
      </c>
      <c r="J259" s="231">
        <v>491634</v>
      </c>
      <c r="K259" s="231">
        <v>30350752</v>
      </c>
      <c r="L259" s="231"/>
      <c r="M259" s="300">
        <v>266477</v>
      </c>
      <c r="N259" s="300">
        <v>0</v>
      </c>
      <c r="O259" s="300">
        <v>0</v>
      </c>
      <c r="P259" s="231">
        <v>1058232</v>
      </c>
      <c r="Q259" s="231">
        <v>1324709</v>
      </c>
      <c r="R259" s="231"/>
      <c r="S259" s="392">
        <v>17860541</v>
      </c>
      <c r="T259" s="231">
        <v>-769830</v>
      </c>
      <c r="U259" s="396">
        <v>17090711</v>
      </c>
      <c r="V259" s="231"/>
      <c r="W259" s="396">
        <v>113845512</v>
      </c>
      <c r="X259" s="396">
        <v>21240445</v>
      </c>
      <c r="Y259" s="396"/>
      <c r="Z259" s="396"/>
    </row>
    <row r="260" spans="1:26">
      <c r="A260" s="424">
        <v>92613</v>
      </c>
      <c r="B260" s="423" t="s">
        <v>970</v>
      </c>
      <c r="C260" s="234">
        <v>2.098E-4</v>
      </c>
      <c r="D260" s="234">
        <v>2.265E-4</v>
      </c>
      <c r="E260" s="231">
        <v>1183572</v>
      </c>
      <c r="F260" s="231" t="s">
        <v>1924</v>
      </c>
      <c r="G260" s="392">
        <v>50999</v>
      </c>
      <c r="H260" s="392">
        <v>391183</v>
      </c>
      <c r="I260" s="392">
        <v>118094</v>
      </c>
      <c r="J260" s="231">
        <v>34645</v>
      </c>
      <c r="K260" s="231">
        <v>594921</v>
      </c>
      <c r="L260" s="231"/>
      <c r="M260" s="300">
        <v>5000</v>
      </c>
      <c r="N260" s="300">
        <v>0</v>
      </c>
      <c r="O260" s="300">
        <v>0</v>
      </c>
      <c r="P260" s="231">
        <v>9196</v>
      </c>
      <c r="Q260" s="231">
        <v>14196</v>
      </c>
      <c r="R260" s="231"/>
      <c r="S260" s="392">
        <v>335135</v>
      </c>
      <c r="T260" s="231">
        <v>19471</v>
      </c>
      <c r="U260" s="396">
        <v>354606</v>
      </c>
      <c r="V260" s="231"/>
      <c r="W260" s="396">
        <v>2136194</v>
      </c>
      <c r="X260" s="396">
        <v>398555</v>
      </c>
      <c r="Y260" s="396"/>
      <c r="Z260" s="396"/>
    </row>
    <row r="261" spans="1:26">
      <c r="A261" s="424">
        <v>92614</v>
      </c>
      <c r="B261" s="423" t="s">
        <v>971</v>
      </c>
      <c r="C261" s="234">
        <v>6.071E-3</v>
      </c>
      <c r="D261" s="234">
        <v>6.1628999999999998E-3</v>
      </c>
      <c r="E261" s="231">
        <v>34249109</v>
      </c>
      <c r="F261" s="231" t="s">
        <v>1924</v>
      </c>
      <c r="G261" s="392">
        <v>1475763</v>
      </c>
      <c r="H261" s="392">
        <v>11319689</v>
      </c>
      <c r="I261" s="392">
        <v>3417293</v>
      </c>
      <c r="J261" s="231">
        <v>4251888</v>
      </c>
      <c r="K261" s="231">
        <v>20464633</v>
      </c>
      <c r="L261" s="231"/>
      <c r="M261" s="300">
        <v>144690</v>
      </c>
      <c r="N261" s="300">
        <v>0</v>
      </c>
      <c r="O261" s="300">
        <v>0</v>
      </c>
      <c r="P261" s="231">
        <v>0</v>
      </c>
      <c r="Q261" s="231">
        <v>144690</v>
      </c>
      <c r="R261" s="231"/>
      <c r="S261" s="392">
        <v>9697821</v>
      </c>
      <c r="T261" s="231">
        <v>2542603</v>
      </c>
      <c r="U261" s="396">
        <v>12240424</v>
      </c>
      <c r="V261" s="231"/>
      <c r="W261" s="396">
        <v>61815232</v>
      </c>
      <c r="X261" s="396">
        <v>11533024</v>
      </c>
      <c r="Y261" s="396"/>
      <c r="Z261" s="396"/>
    </row>
    <row r="262" spans="1:26">
      <c r="A262" s="424">
        <v>92621</v>
      </c>
      <c r="B262" s="423" t="s">
        <v>972</v>
      </c>
      <c r="C262" s="234">
        <v>2.65E-5</v>
      </c>
      <c r="D262" s="234">
        <v>2.7900000000000001E-5</v>
      </c>
      <c r="E262" s="231">
        <v>149498</v>
      </c>
      <c r="F262" s="231" t="s">
        <v>1924</v>
      </c>
      <c r="G262" s="392">
        <v>6442</v>
      </c>
      <c r="H262" s="392">
        <v>49411</v>
      </c>
      <c r="I262" s="392">
        <v>14917</v>
      </c>
      <c r="J262" s="231">
        <v>3040</v>
      </c>
      <c r="K262" s="231">
        <v>73810</v>
      </c>
      <c r="L262" s="231"/>
      <c r="M262" s="300">
        <v>632</v>
      </c>
      <c r="N262" s="300">
        <v>0</v>
      </c>
      <c r="O262" s="300">
        <v>0</v>
      </c>
      <c r="P262" s="231">
        <v>757</v>
      </c>
      <c r="Q262" s="231">
        <v>1389</v>
      </c>
      <c r="R262" s="231"/>
      <c r="S262" s="392">
        <v>42331</v>
      </c>
      <c r="T262" s="231">
        <v>1327</v>
      </c>
      <c r="U262" s="396">
        <v>43658</v>
      </c>
      <c r="V262" s="231"/>
      <c r="W262" s="396">
        <v>269824</v>
      </c>
      <c r="X262" s="396">
        <v>50342</v>
      </c>
      <c r="Y262" s="396"/>
      <c r="Z262" s="396"/>
    </row>
    <row r="263" spans="1:26">
      <c r="A263" s="424">
        <v>92631</v>
      </c>
      <c r="B263" s="423" t="s">
        <v>973</v>
      </c>
      <c r="C263" s="234">
        <v>8.8999999999999995E-4</v>
      </c>
      <c r="D263" s="234">
        <v>8.4230000000000004E-4</v>
      </c>
      <c r="E263" s="231">
        <v>5020871</v>
      </c>
      <c r="F263" s="231" t="s">
        <v>1924</v>
      </c>
      <c r="G263" s="392">
        <v>216345</v>
      </c>
      <c r="H263" s="392">
        <v>1659450</v>
      </c>
      <c r="I263" s="392">
        <v>500970</v>
      </c>
      <c r="J263" s="231">
        <v>167292</v>
      </c>
      <c r="K263" s="231">
        <v>2544057</v>
      </c>
      <c r="L263" s="231"/>
      <c r="M263" s="300">
        <v>21211</v>
      </c>
      <c r="N263" s="300">
        <v>0</v>
      </c>
      <c r="O263" s="300">
        <v>0</v>
      </c>
      <c r="P263" s="231">
        <v>101269</v>
      </c>
      <c r="Q263" s="231">
        <v>122480</v>
      </c>
      <c r="R263" s="231"/>
      <c r="S263" s="392">
        <v>1421687</v>
      </c>
      <c r="T263" s="231">
        <v>-15859</v>
      </c>
      <c r="U263" s="396">
        <v>1405828</v>
      </c>
      <c r="V263" s="231"/>
      <c r="W263" s="396">
        <v>9062025</v>
      </c>
      <c r="X263" s="396">
        <v>1690725</v>
      </c>
      <c r="Y263" s="396"/>
      <c r="Z263" s="396"/>
    </row>
    <row r="264" spans="1:26">
      <c r="A264" s="424">
        <v>92641</v>
      </c>
      <c r="B264" s="423" t="s">
        <v>974</v>
      </c>
      <c r="C264" s="234">
        <v>9.0000000000000002E-6</v>
      </c>
      <c r="D264" s="234">
        <v>9.5999999999999996E-6</v>
      </c>
      <c r="E264" s="231">
        <v>50773</v>
      </c>
      <c r="F264" s="231" t="s">
        <v>1924</v>
      </c>
      <c r="G264" s="392">
        <v>2188</v>
      </c>
      <c r="H264" s="392">
        <v>16781</v>
      </c>
      <c r="I264" s="392">
        <v>5066</v>
      </c>
      <c r="J264" s="231">
        <v>5924</v>
      </c>
      <c r="K264" s="231">
        <v>29959</v>
      </c>
      <c r="L264" s="231"/>
      <c r="M264" s="300">
        <v>214</v>
      </c>
      <c r="N264" s="300">
        <v>0</v>
      </c>
      <c r="O264" s="300">
        <v>0</v>
      </c>
      <c r="P264" s="231">
        <v>0</v>
      </c>
      <c r="Q264" s="231">
        <v>214</v>
      </c>
      <c r="R264" s="231"/>
      <c r="S264" s="392">
        <v>14377</v>
      </c>
      <c r="T264" s="231">
        <v>3347</v>
      </c>
      <c r="U264" s="396">
        <v>17724</v>
      </c>
      <c r="V264" s="231"/>
      <c r="W264" s="396">
        <v>91638</v>
      </c>
      <c r="X264" s="396">
        <v>17097</v>
      </c>
      <c r="Y264" s="396"/>
      <c r="Z264" s="396"/>
    </row>
    <row r="265" spans="1:26">
      <c r="A265" s="424">
        <v>92651</v>
      </c>
      <c r="B265" s="423" t="s">
        <v>975</v>
      </c>
      <c r="C265" s="234">
        <v>5.1000000000000003E-6</v>
      </c>
      <c r="D265" s="234">
        <v>4.7999999999999998E-6</v>
      </c>
      <c r="E265" s="231">
        <v>28771</v>
      </c>
      <c r="F265" s="231" t="s">
        <v>1924</v>
      </c>
      <c r="G265" s="392">
        <v>1240</v>
      </c>
      <c r="H265" s="392">
        <v>9509</v>
      </c>
      <c r="I265" s="392">
        <v>2871</v>
      </c>
      <c r="J265" s="231">
        <v>1622</v>
      </c>
      <c r="K265" s="231">
        <v>15242</v>
      </c>
      <c r="L265" s="231"/>
      <c r="M265" s="300">
        <v>122</v>
      </c>
      <c r="N265" s="300">
        <v>0</v>
      </c>
      <c r="O265" s="300">
        <v>0</v>
      </c>
      <c r="P265" s="231">
        <v>0</v>
      </c>
      <c r="Q265" s="231">
        <v>122</v>
      </c>
      <c r="R265" s="231"/>
      <c r="S265" s="392">
        <v>8147</v>
      </c>
      <c r="T265" s="231">
        <v>1192</v>
      </c>
      <c r="U265" s="396">
        <v>9339</v>
      </c>
      <c r="V265" s="231"/>
      <c r="W265" s="396">
        <v>51928</v>
      </c>
      <c r="X265" s="396">
        <v>9688</v>
      </c>
      <c r="Y265" s="396"/>
      <c r="Z265" s="396"/>
    </row>
    <row r="266" spans="1:26" ht="14.25" customHeight="1">
      <c r="A266" s="424">
        <v>92661</v>
      </c>
      <c r="B266" s="423" t="s">
        <v>976</v>
      </c>
      <c r="C266" s="234">
        <v>4.4010000000000002E-4</v>
      </c>
      <c r="D266" s="234">
        <v>6.3690000000000003E-4</v>
      </c>
      <c r="E266" s="231">
        <v>2482792</v>
      </c>
      <c r="F266" s="231" t="s">
        <v>1924</v>
      </c>
      <c r="G266" s="392">
        <v>106981</v>
      </c>
      <c r="H266" s="392">
        <v>820589</v>
      </c>
      <c r="I266" s="392">
        <v>247727</v>
      </c>
      <c r="J266" s="231">
        <v>160393</v>
      </c>
      <c r="K266" s="231">
        <v>1335690</v>
      </c>
      <c r="L266" s="231"/>
      <c r="M266" s="300">
        <v>10489</v>
      </c>
      <c r="N266" s="300">
        <v>0</v>
      </c>
      <c r="O266" s="300">
        <v>0</v>
      </c>
      <c r="P266" s="231">
        <v>184867</v>
      </c>
      <c r="Q266" s="231">
        <v>195356</v>
      </c>
      <c r="R266" s="231"/>
      <c r="S266" s="392">
        <v>703016</v>
      </c>
      <c r="T266" s="231">
        <v>80594</v>
      </c>
      <c r="U266" s="396">
        <v>783610</v>
      </c>
      <c r="V266" s="231"/>
      <c r="W266" s="396">
        <v>4481121</v>
      </c>
      <c r="X266" s="396">
        <v>836054</v>
      </c>
      <c r="Y266" s="396"/>
      <c r="Z266" s="396"/>
    </row>
    <row r="267" spans="1:26" s="362" customFormat="1" ht="14.25" customHeight="1">
      <c r="A267" s="424">
        <v>92671</v>
      </c>
      <c r="B267" s="423" t="s">
        <v>977</v>
      </c>
      <c r="C267" s="234">
        <v>2.3E-6</v>
      </c>
      <c r="D267" s="234">
        <v>1.9999999999999999E-6</v>
      </c>
      <c r="E267" s="231">
        <v>12975</v>
      </c>
      <c r="F267" s="231" t="s">
        <v>1924</v>
      </c>
      <c r="G267" s="392">
        <v>559</v>
      </c>
      <c r="H267" s="392">
        <v>4288</v>
      </c>
      <c r="I267" s="392">
        <v>1295</v>
      </c>
      <c r="J267" s="231">
        <v>9452</v>
      </c>
      <c r="K267" s="231">
        <v>15594</v>
      </c>
      <c r="L267" s="231"/>
      <c r="M267" s="300">
        <v>55</v>
      </c>
      <c r="N267" s="300">
        <v>0</v>
      </c>
      <c r="O267" s="300">
        <v>0</v>
      </c>
      <c r="P267" s="231">
        <v>0</v>
      </c>
      <c r="Q267" s="231">
        <v>55</v>
      </c>
      <c r="R267" s="231"/>
      <c r="S267" s="392">
        <v>3674</v>
      </c>
      <c r="T267" s="231">
        <v>5365</v>
      </c>
      <c r="U267" s="396">
        <v>9039</v>
      </c>
      <c r="V267" s="231"/>
      <c r="W267" s="396">
        <v>23419</v>
      </c>
      <c r="X267" s="396">
        <v>4369</v>
      </c>
      <c r="Y267" s="396"/>
      <c r="Z267" s="396"/>
    </row>
    <row r="268" spans="1:26" s="362" customFormat="1" ht="14.25" customHeight="1">
      <c r="A268" s="424">
        <v>92681</v>
      </c>
      <c r="B268" s="423" t="s">
        <v>978</v>
      </c>
      <c r="C268" s="234">
        <v>8.8000000000000004E-6</v>
      </c>
      <c r="D268" s="234">
        <v>9.5999999999999996E-6</v>
      </c>
      <c r="E268" s="231">
        <v>49645</v>
      </c>
      <c r="F268" s="231" t="s">
        <v>1924</v>
      </c>
      <c r="G268" s="392">
        <v>2139</v>
      </c>
      <c r="H268" s="392">
        <v>16408</v>
      </c>
      <c r="I268" s="392">
        <v>4953</v>
      </c>
      <c r="J268" s="231">
        <v>563</v>
      </c>
      <c r="K268" s="231">
        <v>24063</v>
      </c>
      <c r="L268" s="231"/>
      <c r="M268" s="300">
        <v>210</v>
      </c>
      <c r="N268" s="300">
        <v>0</v>
      </c>
      <c r="O268" s="300">
        <v>0</v>
      </c>
      <c r="P268" s="231">
        <v>4848</v>
      </c>
      <c r="Q268" s="231">
        <v>5058</v>
      </c>
      <c r="R268" s="231"/>
      <c r="S268" s="392">
        <v>14057</v>
      </c>
      <c r="T268" s="231">
        <v>-669</v>
      </c>
      <c r="U268" s="396">
        <v>13388</v>
      </c>
      <c r="V268" s="231"/>
      <c r="W268" s="396">
        <v>89602</v>
      </c>
      <c r="X268" s="396">
        <v>16717</v>
      </c>
      <c r="Y268" s="396"/>
      <c r="Z268" s="396"/>
    </row>
    <row r="269" spans="1:26">
      <c r="A269" s="424">
        <v>92701</v>
      </c>
      <c r="B269" s="423" t="s">
        <v>979</v>
      </c>
      <c r="C269" s="234">
        <v>3.1002E-3</v>
      </c>
      <c r="D269" s="234">
        <v>2.9215999999999999E-3</v>
      </c>
      <c r="E269" s="231">
        <v>17489555</v>
      </c>
      <c r="F269" s="231" t="s">
        <v>1924</v>
      </c>
      <c r="G269" s="392">
        <v>753609</v>
      </c>
      <c r="H269" s="392">
        <v>5780481</v>
      </c>
      <c r="I269" s="392">
        <v>1745065</v>
      </c>
      <c r="J269" s="231">
        <v>280363</v>
      </c>
      <c r="K269" s="231">
        <v>8559518</v>
      </c>
      <c r="L269" s="231"/>
      <c r="M269" s="300">
        <v>73887</v>
      </c>
      <c r="N269" s="300">
        <v>0</v>
      </c>
      <c r="O269" s="300">
        <v>0</v>
      </c>
      <c r="P269" s="231">
        <v>113687</v>
      </c>
      <c r="Q269" s="231">
        <v>187574</v>
      </c>
      <c r="R269" s="231"/>
      <c r="S269" s="392">
        <v>4952263</v>
      </c>
      <c r="T269" s="231">
        <v>-7162</v>
      </c>
      <c r="U269" s="396">
        <v>4945101</v>
      </c>
      <c r="V269" s="231"/>
      <c r="W269" s="396">
        <v>31566395</v>
      </c>
      <c r="X269" s="396">
        <v>5889422</v>
      </c>
      <c r="Y269" s="396"/>
      <c r="Z269" s="396"/>
    </row>
    <row r="270" spans="1:26">
      <c r="A270" s="424">
        <v>92704</v>
      </c>
      <c r="B270" s="423" t="s">
        <v>980</v>
      </c>
      <c r="C270" s="234">
        <v>4.1300000000000001E-5</v>
      </c>
      <c r="D270" s="234">
        <v>4.0299999999999997E-5</v>
      </c>
      <c r="E270" s="231">
        <v>232991</v>
      </c>
      <c r="F270" s="231" t="s">
        <v>1924</v>
      </c>
      <c r="G270" s="392">
        <v>10039</v>
      </c>
      <c r="H270" s="392">
        <v>77006</v>
      </c>
      <c r="I270" s="392">
        <v>23247</v>
      </c>
      <c r="J270" s="231">
        <v>5822</v>
      </c>
      <c r="K270" s="231">
        <v>116114</v>
      </c>
      <c r="L270" s="231"/>
      <c r="M270" s="300">
        <v>984</v>
      </c>
      <c r="N270" s="300">
        <v>0</v>
      </c>
      <c r="O270" s="300">
        <v>0</v>
      </c>
      <c r="P270" s="231">
        <v>384</v>
      </c>
      <c r="Q270" s="231">
        <v>1368</v>
      </c>
      <c r="R270" s="231"/>
      <c r="S270" s="392">
        <v>65973</v>
      </c>
      <c r="T270" s="231">
        <v>2269</v>
      </c>
      <c r="U270" s="396">
        <v>68242</v>
      </c>
      <c r="V270" s="231"/>
      <c r="W270" s="396">
        <v>420519</v>
      </c>
      <c r="X270" s="396">
        <v>78457</v>
      </c>
      <c r="Y270" s="396"/>
      <c r="Z270" s="396"/>
    </row>
    <row r="271" spans="1:26">
      <c r="A271" s="424">
        <v>92801</v>
      </c>
      <c r="B271" s="423" t="s">
        <v>981</v>
      </c>
      <c r="C271" s="234">
        <v>5.5872999999999999E-3</v>
      </c>
      <c r="D271" s="234">
        <v>5.1568999999999999E-3</v>
      </c>
      <c r="E271" s="231">
        <v>31520351</v>
      </c>
      <c r="F271" s="231" t="s">
        <v>1924</v>
      </c>
      <c r="G271" s="392">
        <v>1358183</v>
      </c>
      <c r="H271" s="392">
        <v>10417806</v>
      </c>
      <c r="I271" s="392">
        <v>3145024</v>
      </c>
      <c r="J271" s="231">
        <v>513203</v>
      </c>
      <c r="K271" s="231">
        <v>15434216</v>
      </c>
      <c r="L271" s="231"/>
      <c r="M271" s="300">
        <v>133162</v>
      </c>
      <c r="N271" s="300">
        <v>0</v>
      </c>
      <c r="O271" s="300">
        <v>0</v>
      </c>
      <c r="P271" s="231">
        <v>222058</v>
      </c>
      <c r="Q271" s="231">
        <v>355220</v>
      </c>
      <c r="R271" s="231"/>
      <c r="S271" s="392">
        <v>8925159</v>
      </c>
      <c r="T271" s="231">
        <v>162224</v>
      </c>
      <c r="U271" s="396">
        <v>9087383</v>
      </c>
      <c r="V271" s="231"/>
      <c r="W271" s="396">
        <v>56890174</v>
      </c>
      <c r="X271" s="396">
        <v>10614144</v>
      </c>
      <c r="Y271" s="396"/>
      <c r="Z271" s="396"/>
    </row>
    <row r="272" spans="1:26">
      <c r="A272" s="424">
        <v>92802</v>
      </c>
      <c r="B272" s="423" t="s">
        <v>982</v>
      </c>
      <c r="C272" s="234">
        <v>1.026E-4</v>
      </c>
      <c r="D272" s="234">
        <v>9.9099999999999996E-5</v>
      </c>
      <c r="E272" s="231">
        <v>578811</v>
      </c>
      <c r="F272" s="231" t="s">
        <v>1924</v>
      </c>
      <c r="G272" s="392">
        <v>24940</v>
      </c>
      <c r="H272" s="392">
        <v>191303</v>
      </c>
      <c r="I272" s="392">
        <v>57752</v>
      </c>
      <c r="J272" s="231">
        <v>3549</v>
      </c>
      <c r="K272" s="231">
        <v>277544</v>
      </c>
      <c r="L272" s="231"/>
      <c r="M272" s="300">
        <v>2445</v>
      </c>
      <c r="N272" s="300">
        <v>0</v>
      </c>
      <c r="O272" s="300">
        <v>0</v>
      </c>
      <c r="P272" s="231">
        <v>21488</v>
      </c>
      <c r="Q272" s="231">
        <v>23933</v>
      </c>
      <c r="R272" s="231"/>
      <c r="S272" s="392">
        <v>163893</v>
      </c>
      <c r="T272" s="231">
        <v>-13512</v>
      </c>
      <c r="U272" s="396">
        <v>150381</v>
      </c>
      <c r="V272" s="231"/>
      <c r="W272" s="396">
        <v>1044678</v>
      </c>
      <c r="X272" s="396">
        <v>194908</v>
      </c>
      <c r="Y272" s="396"/>
      <c r="Z272" s="396"/>
    </row>
    <row r="273" spans="1:26">
      <c r="A273" s="424">
        <v>92804</v>
      </c>
      <c r="B273" s="423" t="s">
        <v>983</v>
      </c>
      <c r="C273" s="234">
        <v>1.515E-4</v>
      </c>
      <c r="D273" s="234">
        <v>1.371E-4</v>
      </c>
      <c r="E273" s="231">
        <v>854676</v>
      </c>
      <c r="F273" s="231" t="s">
        <v>1924</v>
      </c>
      <c r="G273" s="392">
        <v>36827</v>
      </c>
      <c r="H273" s="392">
        <v>282479</v>
      </c>
      <c r="I273" s="392">
        <v>85278</v>
      </c>
      <c r="J273" s="231">
        <v>17485</v>
      </c>
      <c r="K273" s="231">
        <v>422069</v>
      </c>
      <c r="L273" s="231"/>
      <c r="M273" s="300">
        <v>3611</v>
      </c>
      <c r="N273" s="300">
        <v>0</v>
      </c>
      <c r="O273" s="300">
        <v>0</v>
      </c>
      <c r="P273" s="231">
        <v>19404</v>
      </c>
      <c r="Q273" s="231">
        <v>23015</v>
      </c>
      <c r="R273" s="231"/>
      <c r="S273" s="392">
        <v>242006</v>
      </c>
      <c r="T273" s="231">
        <v>-2975</v>
      </c>
      <c r="U273" s="396">
        <v>239031</v>
      </c>
      <c r="V273" s="231"/>
      <c r="W273" s="396">
        <v>1542581</v>
      </c>
      <c r="X273" s="396">
        <v>287803</v>
      </c>
      <c r="Y273" s="396"/>
      <c r="Z273" s="396"/>
    </row>
    <row r="274" spans="1:26">
      <c r="A274" s="424">
        <v>92811</v>
      </c>
      <c r="B274" s="423" t="s">
        <v>984</v>
      </c>
      <c r="C274" s="234">
        <v>9.6560000000000005E-4</v>
      </c>
      <c r="D274" s="234">
        <v>9.3099999999999997E-4</v>
      </c>
      <c r="E274" s="231">
        <v>5447363</v>
      </c>
      <c r="F274" s="231" t="s">
        <v>1924</v>
      </c>
      <c r="G274" s="392">
        <v>234722</v>
      </c>
      <c r="H274" s="392">
        <v>1800410</v>
      </c>
      <c r="I274" s="392">
        <v>543525</v>
      </c>
      <c r="J274" s="231">
        <v>77936</v>
      </c>
      <c r="K274" s="231">
        <v>2656593</v>
      </c>
      <c r="L274" s="231"/>
      <c r="M274" s="300">
        <v>23013</v>
      </c>
      <c r="N274" s="300">
        <v>0</v>
      </c>
      <c r="O274" s="300">
        <v>0</v>
      </c>
      <c r="P274" s="231">
        <v>37401</v>
      </c>
      <c r="Q274" s="231">
        <v>60414</v>
      </c>
      <c r="R274" s="231"/>
      <c r="S274" s="392">
        <v>1542450</v>
      </c>
      <c r="T274" s="231">
        <v>12900</v>
      </c>
      <c r="U274" s="396">
        <v>1555350</v>
      </c>
      <c r="V274" s="231"/>
      <c r="W274" s="396">
        <v>9831788</v>
      </c>
      <c r="X274" s="396">
        <v>1834342</v>
      </c>
      <c r="Y274" s="396"/>
      <c r="Z274" s="396"/>
    </row>
    <row r="275" spans="1:26">
      <c r="A275" s="424">
        <v>92821</v>
      </c>
      <c r="B275" s="423" t="s">
        <v>985</v>
      </c>
      <c r="C275" s="234">
        <v>1.0149E-3</v>
      </c>
      <c r="D275" s="234">
        <v>9.634E-4</v>
      </c>
      <c r="E275" s="231">
        <v>5725485</v>
      </c>
      <c r="F275" s="231" t="s">
        <v>1924</v>
      </c>
      <c r="G275" s="392">
        <v>246706</v>
      </c>
      <c r="H275" s="392">
        <v>1892333</v>
      </c>
      <c r="I275" s="392">
        <v>571275</v>
      </c>
      <c r="J275" s="231">
        <v>147135</v>
      </c>
      <c r="K275" s="231">
        <v>2857449</v>
      </c>
      <c r="L275" s="231"/>
      <c r="M275" s="300">
        <v>24188</v>
      </c>
      <c r="N275" s="300">
        <v>0</v>
      </c>
      <c r="O275" s="300">
        <v>0</v>
      </c>
      <c r="P275" s="231">
        <v>0</v>
      </c>
      <c r="Q275" s="231">
        <v>24188</v>
      </c>
      <c r="R275" s="231"/>
      <c r="S275" s="392">
        <v>1621202</v>
      </c>
      <c r="T275" s="231">
        <v>63640</v>
      </c>
      <c r="U275" s="396">
        <v>1684842</v>
      </c>
      <c r="V275" s="231"/>
      <c r="W275" s="396">
        <v>10333764</v>
      </c>
      <c r="X275" s="396">
        <v>1927996</v>
      </c>
      <c r="Y275" s="396"/>
      <c r="Z275" s="396"/>
    </row>
    <row r="276" spans="1:26">
      <c r="A276" s="424">
        <v>92831</v>
      </c>
      <c r="B276" s="423" t="s">
        <v>986</v>
      </c>
      <c r="C276" s="234">
        <v>2.6239999999999998E-4</v>
      </c>
      <c r="D276" s="234">
        <v>2.5819999999999999E-4</v>
      </c>
      <c r="E276" s="231">
        <v>1480311</v>
      </c>
      <c r="F276" s="231" t="s">
        <v>1924</v>
      </c>
      <c r="G276" s="392">
        <v>63785</v>
      </c>
      <c r="H276" s="392">
        <v>489258</v>
      </c>
      <c r="I276" s="392">
        <v>147702</v>
      </c>
      <c r="J276" s="231">
        <v>103501</v>
      </c>
      <c r="K276" s="231">
        <v>804246</v>
      </c>
      <c r="L276" s="231"/>
      <c r="M276" s="300">
        <v>6254</v>
      </c>
      <c r="N276" s="300">
        <v>0</v>
      </c>
      <c r="O276" s="300">
        <v>0</v>
      </c>
      <c r="P276" s="231">
        <v>0</v>
      </c>
      <c r="Q276" s="231">
        <v>6254</v>
      </c>
      <c r="R276" s="231"/>
      <c r="S276" s="392">
        <v>419158</v>
      </c>
      <c r="T276" s="231">
        <v>53049</v>
      </c>
      <c r="U276" s="396">
        <v>472207</v>
      </c>
      <c r="V276" s="231"/>
      <c r="W276" s="396">
        <v>2671770</v>
      </c>
      <c r="X276" s="396">
        <v>498479</v>
      </c>
      <c r="Y276" s="396"/>
      <c r="Z276" s="396"/>
    </row>
    <row r="277" spans="1:26">
      <c r="A277" s="424">
        <v>92841</v>
      </c>
      <c r="B277" s="423" t="s">
        <v>987</v>
      </c>
      <c r="C277" s="234">
        <v>2.4919999999999999E-4</v>
      </c>
      <c r="D277" s="234">
        <v>2.6180000000000002E-4</v>
      </c>
      <c r="E277" s="231">
        <v>1405844</v>
      </c>
      <c r="F277" s="231" t="s">
        <v>1924</v>
      </c>
      <c r="G277" s="392">
        <v>60577</v>
      </c>
      <c r="H277" s="392">
        <v>464646</v>
      </c>
      <c r="I277" s="392">
        <v>140272</v>
      </c>
      <c r="J277" s="231">
        <v>41020</v>
      </c>
      <c r="K277" s="231">
        <v>706515</v>
      </c>
      <c r="L277" s="231"/>
      <c r="M277" s="300">
        <v>5939</v>
      </c>
      <c r="N277" s="300">
        <v>0</v>
      </c>
      <c r="O277" s="300">
        <v>0</v>
      </c>
      <c r="P277" s="231">
        <v>34828</v>
      </c>
      <c r="Q277" s="231">
        <v>40767</v>
      </c>
      <c r="R277" s="231"/>
      <c r="S277" s="392">
        <v>398072</v>
      </c>
      <c r="T277" s="231">
        <v>-1903</v>
      </c>
      <c r="U277" s="396">
        <v>396169</v>
      </c>
      <c r="V277" s="231"/>
      <c r="W277" s="396">
        <v>2537367</v>
      </c>
      <c r="X277" s="396">
        <v>473403</v>
      </c>
      <c r="Y277" s="396"/>
      <c r="Z277" s="396"/>
    </row>
    <row r="278" spans="1:26">
      <c r="A278" s="424">
        <v>92851</v>
      </c>
      <c r="B278" s="423" t="s">
        <v>988</v>
      </c>
      <c r="C278" s="234">
        <v>3.9889999999999999E-4</v>
      </c>
      <c r="D278" s="234">
        <v>3.7429999999999999E-4</v>
      </c>
      <c r="E278" s="231">
        <v>2250366</v>
      </c>
      <c r="F278" s="231" t="s">
        <v>1924</v>
      </c>
      <c r="G278" s="392">
        <v>96966</v>
      </c>
      <c r="H278" s="392">
        <v>743769</v>
      </c>
      <c r="I278" s="392">
        <v>224536</v>
      </c>
      <c r="J278" s="231">
        <v>22882</v>
      </c>
      <c r="K278" s="231">
        <v>1088153</v>
      </c>
      <c r="L278" s="231"/>
      <c r="M278" s="300">
        <v>9507</v>
      </c>
      <c r="N278" s="300">
        <v>0</v>
      </c>
      <c r="O278" s="300">
        <v>0</v>
      </c>
      <c r="P278" s="231">
        <v>48906</v>
      </c>
      <c r="Q278" s="231">
        <v>58413</v>
      </c>
      <c r="R278" s="231"/>
      <c r="S278" s="392">
        <v>637203</v>
      </c>
      <c r="T278" s="231">
        <v>-38135</v>
      </c>
      <c r="U278" s="396">
        <v>599068</v>
      </c>
      <c r="V278" s="231"/>
      <c r="W278" s="396">
        <v>4061620</v>
      </c>
      <c r="X278" s="396">
        <v>757787</v>
      </c>
      <c r="Y278" s="396"/>
      <c r="Z278" s="396"/>
    </row>
    <row r="279" spans="1:26">
      <c r="A279" s="424">
        <v>92861</v>
      </c>
      <c r="B279" s="423" t="s">
        <v>989</v>
      </c>
      <c r="C279" s="234">
        <v>4.2049999999999998E-4</v>
      </c>
      <c r="D279" s="234">
        <v>3.4749999999999999E-4</v>
      </c>
      <c r="E279" s="231">
        <v>2372220</v>
      </c>
      <c r="F279" s="231" t="s">
        <v>1924</v>
      </c>
      <c r="G279" s="392">
        <v>102217</v>
      </c>
      <c r="H279" s="392">
        <v>784044</v>
      </c>
      <c r="I279" s="392">
        <v>236694</v>
      </c>
      <c r="J279" s="231">
        <v>80733</v>
      </c>
      <c r="K279" s="231">
        <v>1203688</v>
      </c>
      <c r="L279" s="231"/>
      <c r="M279" s="300">
        <v>10022</v>
      </c>
      <c r="N279" s="300">
        <v>0</v>
      </c>
      <c r="O279" s="300">
        <v>0</v>
      </c>
      <c r="P279" s="231">
        <v>59816</v>
      </c>
      <c r="Q279" s="231">
        <v>69838</v>
      </c>
      <c r="R279" s="231"/>
      <c r="S279" s="392">
        <v>671707</v>
      </c>
      <c r="T279" s="231">
        <v>-15368</v>
      </c>
      <c r="U279" s="396">
        <v>656339</v>
      </c>
      <c r="V279" s="231"/>
      <c r="W279" s="396">
        <v>4281552</v>
      </c>
      <c r="X279" s="396">
        <v>798820</v>
      </c>
      <c r="Y279" s="396"/>
      <c r="Z279" s="396"/>
    </row>
    <row r="280" spans="1:26">
      <c r="A280" s="424">
        <v>92901</v>
      </c>
      <c r="B280" s="423" t="s">
        <v>990</v>
      </c>
      <c r="C280" s="234">
        <v>5.3422000000000001E-3</v>
      </c>
      <c r="D280" s="234">
        <v>5.2097000000000003E-3</v>
      </c>
      <c r="E280" s="231">
        <v>30137637</v>
      </c>
      <c r="F280" s="231" t="s">
        <v>1924</v>
      </c>
      <c r="G280" s="392">
        <v>1298603</v>
      </c>
      <c r="H280" s="392">
        <v>9960804</v>
      </c>
      <c r="I280" s="392">
        <v>3007060</v>
      </c>
      <c r="J280" s="231">
        <v>316529</v>
      </c>
      <c r="K280" s="231">
        <v>14582996</v>
      </c>
      <c r="L280" s="231"/>
      <c r="M280" s="300">
        <v>127321</v>
      </c>
      <c r="N280" s="300">
        <v>0</v>
      </c>
      <c r="O280" s="300">
        <v>0</v>
      </c>
      <c r="P280" s="231">
        <v>168294</v>
      </c>
      <c r="Q280" s="231">
        <v>295615</v>
      </c>
      <c r="R280" s="231"/>
      <c r="S280" s="392">
        <v>8533636</v>
      </c>
      <c r="T280" s="231">
        <v>48163</v>
      </c>
      <c r="U280" s="396">
        <v>8581799</v>
      </c>
      <c r="V280" s="231"/>
      <c r="W280" s="396">
        <v>54394553</v>
      </c>
      <c r="X280" s="396">
        <v>10148529</v>
      </c>
      <c r="Y280" s="396"/>
      <c r="Z280" s="396"/>
    </row>
    <row r="281" spans="1:26">
      <c r="A281" s="424">
        <v>92911</v>
      </c>
      <c r="B281" s="423" t="s">
        <v>991</v>
      </c>
      <c r="C281" s="234">
        <v>1.8523999999999999E-3</v>
      </c>
      <c r="D281" s="234">
        <v>1.8693E-3</v>
      </c>
      <c r="E281" s="231">
        <v>10450181</v>
      </c>
      <c r="F281" s="231" t="s">
        <v>1924</v>
      </c>
      <c r="G281" s="392">
        <v>450289</v>
      </c>
      <c r="H281" s="392">
        <v>3453894</v>
      </c>
      <c r="I281" s="392">
        <v>1042694</v>
      </c>
      <c r="J281" s="231">
        <v>66997</v>
      </c>
      <c r="K281" s="231">
        <v>5013874</v>
      </c>
      <c r="L281" s="231"/>
      <c r="M281" s="300">
        <v>44148</v>
      </c>
      <c r="N281" s="300">
        <v>0</v>
      </c>
      <c r="O281" s="300">
        <v>0</v>
      </c>
      <c r="P281" s="231">
        <v>0</v>
      </c>
      <c r="Q281" s="231">
        <v>44148</v>
      </c>
      <c r="R281" s="231"/>
      <c r="S281" s="392">
        <v>2959026</v>
      </c>
      <c r="T281" s="231">
        <v>42325</v>
      </c>
      <c r="U281" s="396">
        <v>3001351</v>
      </c>
      <c r="V281" s="231"/>
      <c r="W281" s="396">
        <v>18861231</v>
      </c>
      <c r="X281" s="396">
        <v>3518988</v>
      </c>
      <c r="Y281" s="396"/>
      <c r="Z281" s="396"/>
    </row>
    <row r="282" spans="1:26">
      <c r="A282" s="424">
        <v>92913</v>
      </c>
      <c r="B282" s="423" t="s">
        <v>992</v>
      </c>
      <c r="C282" s="234">
        <v>2.1299999999999999E-5</v>
      </c>
      <c r="D282" s="234">
        <v>2.2099999999999998E-5</v>
      </c>
      <c r="E282" s="231">
        <v>120162</v>
      </c>
      <c r="F282" s="231" t="s">
        <v>1924</v>
      </c>
      <c r="G282" s="392">
        <v>5178</v>
      </c>
      <c r="H282" s="392">
        <v>39715</v>
      </c>
      <c r="I282" s="392">
        <v>11990</v>
      </c>
      <c r="J282" s="231">
        <v>83888</v>
      </c>
      <c r="K282" s="231">
        <v>140771</v>
      </c>
      <c r="L282" s="231"/>
      <c r="M282" s="300">
        <v>508</v>
      </c>
      <c r="N282" s="300">
        <v>0</v>
      </c>
      <c r="O282" s="300">
        <v>0</v>
      </c>
      <c r="P282" s="231">
        <v>0</v>
      </c>
      <c r="Q282" s="231">
        <v>508</v>
      </c>
      <c r="R282" s="231"/>
      <c r="S282" s="392">
        <v>34025</v>
      </c>
      <c r="T282" s="231">
        <v>50877</v>
      </c>
      <c r="U282" s="396">
        <v>84902</v>
      </c>
      <c r="V282" s="231"/>
      <c r="W282" s="396">
        <v>216878</v>
      </c>
      <c r="X282" s="396">
        <v>40463</v>
      </c>
      <c r="Y282" s="396"/>
      <c r="Z282" s="396"/>
    </row>
    <row r="283" spans="1:26">
      <c r="A283" s="424">
        <v>92914</v>
      </c>
      <c r="B283" s="423" t="s">
        <v>993</v>
      </c>
      <c r="C283" s="234">
        <v>3.7599999999999999E-5</v>
      </c>
      <c r="D283" s="234">
        <v>3.5500000000000002E-5</v>
      </c>
      <c r="E283" s="231">
        <v>212118</v>
      </c>
      <c r="F283" s="231" t="s">
        <v>1924</v>
      </c>
      <c r="G283" s="392">
        <v>9140</v>
      </c>
      <c r="H283" s="392">
        <v>70107</v>
      </c>
      <c r="I283" s="392">
        <v>21165</v>
      </c>
      <c r="J283" s="231">
        <v>16171</v>
      </c>
      <c r="K283" s="231">
        <v>116583</v>
      </c>
      <c r="L283" s="231"/>
      <c r="M283" s="300">
        <v>896</v>
      </c>
      <c r="N283" s="300">
        <v>0</v>
      </c>
      <c r="O283" s="300">
        <v>0</v>
      </c>
      <c r="P283" s="231">
        <v>0</v>
      </c>
      <c r="Q283" s="231">
        <v>896</v>
      </c>
      <c r="R283" s="231"/>
      <c r="S283" s="392">
        <v>60062</v>
      </c>
      <c r="T283" s="231">
        <v>8598</v>
      </c>
      <c r="U283" s="396">
        <v>68660</v>
      </c>
      <c r="V283" s="231"/>
      <c r="W283" s="396">
        <v>382845</v>
      </c>
      <c r="X283" s="396">
        <v>71428</v>
      </c>
      <c r="Y283" s="396"/>
      <c r="Z283" s="396"/>
    </row>
    <row r="284" spans="1:26">
      <c r="A284" s="424">
        <v>92917</v>
      </c>
      <c r="B284" s="423" t="s">
        <v>994</v>
      </c>
      <c r="C284" s="234">
        <v>3.2299999999999999E-5</v>
      </c>
      <c r="D284" s="234">
        <v>2.3E-5</v>
      </c>
      <c r="E284" s="231">
        <v>182218</v>
      </c>
      <c r="F284" s="231" t="s">
        <v>1924</v>
      </c>
      <c r="G284" s="392">
        <v>7852</v>
      </c>
      <c r="H284" s="392">
        <v>60225</v>
      </c>
      <c r="I284" s="392">
        <v>18181</v>
      </c>
      <c r="J284" s="231">
        <v>41156</v>
      </c>
      <c r="K284" s="231">
        <v>127414</v>
      </c>
      <c r="L284" s="231"/>
      <c r="M284" s="300">
        <v>770</v>
      </c>
      <c r="N284" s="300">
        <v>0</v>
      </c>
      <c r="O284" s="300">
        <v>0</v>
      </c>
      <c r="P284" s="231">
        <v>0</v>
      </c>
      <c r="Q284" s="231">
        <v>770</v>
      </c>
      <c r="R284" s="231"/>
      <c r="S284" s="392">
        <v>51596</v>
      </c>
      <c r="T284" s="231">
        <v>19585</v>
      </c>
      <c r="U284" s="396">
        <v>71181</v>
      </c>
      <c r="V284" s="231"/>
      <c r="W284" s="396">
        <v>328880</v>
      </c>
      <c r="X284" s="396">
        <v>61360</v>
      </c>
      <c r="Y284" s="396"/>
      <c r="Z284" s="396"/>
    </row>
    <row r="285" spans="1:26">
      <c r="A285" s="424">
        <v>92921</v>
      </c>
      <c r="B285" s="423" t="s">
        <v>995</v>
      </c>
      <c r="C285" s="234">
        <v>7.4400000000000006E-5</v>
      </c>
      <c r="D285" s="234">
        <v>8.8599999999999999E-5</v>
      </c>
      <c r="E285" s="231">
        <v>419722</v>
      </c>
      <c r="F285" s="231" t="s">
        <v>1924</v>
      </c>
      <c r="G285" s="392">
        <v>18085</v>
      </c>
      <c r="H285" s="392">
        <v>138723</v>
      </c>
      <c r="I285" s="392">
        <v>41879</v>
      </c>
      <c r="J285" s="231">
        <v>3188</v>
      </c>
      <c r="K285" s="231">
        <v>201875</v>
      </c>
      <c r="L285" s="231"/>
      <c r="M285" s="300">
        <v>1773</v>
      </c>
      <c r="N285" s="300">
        <v>0</v>
      </c>
      <c r="O285" s="300">
        <v>0</v>
      </c>
      <c r="P285" s="231">
        <v>21359</v>
      </c>
      <c r="Q285" s="231">
        <v>23132</v>
      </c>
      <c r="R285" s="231"/>
      <c r="S285" s="392">
        <v>118847</v>
      </c>
      <c r="T285" s="231">
        <v>-821</v>
      </c>
      <c r="U285" s="396">
        <v>118026</v>
      </c>
      <c r="V285" s="231"/>
      <c r="W285" s="396">
        <v>757545</v>
      </c>
      <c r="X285" s="396">
        <v>141337</v>
      </c>
      <c r="Y285" s="396"/>
      <c r="Z285" s="396"/>
    </row>
    <row r="286" spans="1:26" ht="14.25" customHeight="1">
      <c r="A286" s="424">
        <v>92931</v>
      </c>
      <c r="B286" s="423" t="s">
        <v>996</v>
      </c>
      <c r="C286" s="234">
        <v>2.2604000000000001E-3</v>
      </c>
      <c r="D286" s="234">
        <v>2.1461000000000002E-3</v>
      </c>
      <c r="E286" s="231">
        <v>12751884</v>
      </c>
      <c r="F286" s="231" t="s">
        <v>1924</v>
      </c>
      <c r="G286" s="392">
        <v>549467</v>
      </c>
      <c r="H286" s="392">
        <v>4214631</v>
      </c>
      <c r="I286" s="392">
        <v>1272352</v>
      </c>
      <c r="J286" s="231">
        <v>223437</v>
      </c>
      <c r="K286" s="231">
        <v>6259887</v>
      </c>
      <c r="L286" s="231"/>
      <c r="M286" s="300">
        <v>53872</v>
      </c>
      <c r="N286" s="300">
        <v>0</v>
      </c>
      <c r="O286" s="300">
        <v>0</v>
      </c>
      <c r="P286" s="231">
        <v>246796</v>
      </c>
      <c r="Q286" s="231">
        <v>300668</v>
      </c>
      <c r="R286" s="231"/>
      <c r="S286" s="392">
        <v>3610765</v>
      </c>
      <c r="T286" s="231">
        <v>-48926</v>
      </c>
      <c r="U286" s="396">
        <v>3561839</v>
      </c>
      <c r="V286" s="231"/>
      <c r="W286" s="396">
        <v>23015508</v>
      </c>
      <c r="X286" s="396">
        <v>4294062</v>
      </c>
      <c r="Y286" s="396"/>
      <c r="Z286" s="396"/>
    </row>
    <row r="287" spans="1:26">
      <c r="A287" s="424">
        <v>92941</v>
      </c>
      <c r="B287" s="423" t="s">
        <v>81</v>
      </c>
      <c r="C287" s="234">
        <v>4.3000000000000003E-6</v>
      </c>
      <c r="D287" s="234">
        <v>4.5000000000000001E-6</v>
      </c>
      <c r="E287" s="231">
        <v>24258</v>
      </c>
      <c r="F287" s="231" t="s">
        <v>1924</v>
      </c>
      <c r="G287" s="392">
        <v>1045</v>
      </c>
      <c r="H287" s="392">
        <v>8018</v>
      </c>
      <c r="I287" s="392">
        <v>2420</v>
      </c>
      <c r="J287" s="231">
        <v>2033</v>
      </c>
      <c r="K287" s="231">
        <v>13516</v>
      </c>
      <c r="L287" s="231"/>
      <c r="M287" s="300">
        <v>102</v>
      </c>
      <c r="N287" s="300">
        <v>0</v>
      </c>
      <c r="O287" s="300">
        <v>0</v>
      </c>
      <c r="P287" s="231">
        <v>0</v>
      </c>
      <c r="Q287" s="231">
        <v>102</v>
      </c>
      <c r="R287" s="231"/>
      <c r="S287" s="392">
        <v>6869</v>
      </c>
      <c r="T287" s="231">
        <v>458</v>
      </c>
      <c r="U287" s="396">
        <v>7327</v>
      </c>
      <c r="V287" s="231"/>
      <c r="W287" s="396">
        <v>43783</v>
      </c>
      <c r="X287" s="396">
        <v>8169</v>
      </c>
      <c r="Y287" s="396"/>
      <c r="Z287" s="396"/>
    </row>
    <row r="288" spans="1:26">
      <c r="A288" s="424">
        <v>93001</v>
      </c>
      <c r="B288" s="423" t="s">
        <v>997</v>
      </c>
      <c r="C288" s="234">
        <v>2.5124000000000001E-3</v>
      </c>
      <c r="D288" s="234">
        <v>2.2403000000000002E-3</v>
      </c>
      <c r="E288" s="231">
        <v>14173524</v>
      </c>
      <c r="F288" s="231" t="s">
        <v>1924</v>
      </c>
      <c r="G288" s="392">
        <v>610724</v>
      </c>
      <c r="H288" s="392">
        <v>4684498</v>
      </c>
      <c r="I288" s="392">
        <v>1414200</v>
      </c>
      <c r="J288" s="231">
        <v>480593</v>
      </c>
      <c r="K288" s="231">
        <v>7190015</v>
      </c>
      <c r="L288" s="231"/>
      <c r="M288" s="300">
        <v>59878</v>
      </c>
      <c r="N288" s="300">
        <v>0</v>
      </c>
      <c r="O288" s="300">
        <v>0</v>
      </c>
      <c r="P288" s="231">
        <v>33544</v>
      </c>
      <c r="Q288" s="231">
        <v>93422</v>
      </c>
      <c r="R288" s="231"/>
      <c r="S288" s="392">
        <v>4013310</v>
      </c>
      <c r="T288" s="231">
        <v>142689</v>
      </c>
      <c r="U288" s="396">
        <v>4155999</v>
      </c>
      <c r="V288" s="231"/>
      <c r="W288" s="396">
        <v>25581385</v>
      </c>
      <c r="X288" s="396">
        <v>4772784</v>
      </c>
      <c r="Y288" s="396"/>
      <c r="Z288" s="396"/>
    </row>
    <row r="289" spans="1:26">
      <c r="A289" s="424">
        <v>93009</v>
      </c>
      <c r="B289" s="423" t="s">
        <v>998</v>
      </c>
      <c r="C289" s="234">
        <v>5.2000000000000002E-6</v>
      </c>
      <c r="D289" s="234">
        <v>5.9000000000000003E-6</v>
      </c>
      <c r="E289" s="231">
        <v>29335</v>
      </c>
      <c r="F289" s="231" t="s">
        <v>1924</v>
      </c>
      <c r="G289" s="392">
        <v>1264</v>
      </c>
      <c r="H289" s="392">
        <v>9696</v>
      </c>
      <c r="I289" s="392">
        <v>2927</v>
      </c>
      <c r="J289" s="231">
        <v>0</v>
      </c>
      <c r="K289" s="231">
        <v>13887</v>
      </c>
      <c r="L289" s="231"/>
      <c r="M289" s="300">
        <v>124</v>
      </c>
      <c r="N289" s="300">
        <v>0</v>
      </c>
      <c r="O289" s="300">
        <v>0</v>
      </c>
      <c r="P289" s="231">
        <v>9139</v>
      </c>
      <c r="Q289" s="231">
        <v>9263</v>
      </c>
      <c r="R289" s="231"/>
      <c r="S289" s="392">
        <v>8306</v>
      </c>
      <c r="T289" s="231">
        <v>-5297</v>
      </c>
      <c r="U289" s="396">
        <v>3009</v>
      </c>
      <c r="V289" s="231"/>
      <c r="W289" s="396">
        <v>52947</v>
      </c>
      <c r="X289" s="396">
        <v>9878</v>
      </c>
      <c r="Y289" s="396"/>
      <c r="Z289" s="396"/>
    </row>
    <row r="290" spans="1:26">
      <c r="A290" s="424">
        <v>93011</v>
      </c>
      <c r="B290" s="423" t="s">
        <v>999</v>
      </c>
      <c r="C290" s="234">
        <v>1.694E-4</v>
      </c>
      <c r="D290" s="234">
        <v>2.809E-4</v>
      </c>
      <c r="E290" s="231">
        <v>955658</v>
      </c>
      <c r="F290" s="231" t="s">
        <v>1924</v>
      </c>
      <c r="G290" s="392">
        <v>41178</v>
      </c>
      <c r="H290" s="392">
        <v>315855</v>
      </c>
      <c r="I290" s="392">
        <v>95353</v>
      </c>
      <c r="J290" s="231">
        <v>6655</v>
      </c>
      <c r="K290" s="231">
        <v>459041</v>
      </c>
      <c r="L290" s="231"/>
      <c r="M290" s="300">
        <v>4037</v>
      </c>
      <c r="N290" s="300">
        <v>0</v>
      </c>
      <c r="O290" s="300">
        <v>0</v>
      </c>
      <c r="P290" s="231">
        <v>243072</v>
      </c>
      <c r="Q290" s="231">
        <v>247109</v>
      </c>
      <c r="R290" s="231"/>
      <c r="S290" s="392">
        <v>270600</v>
      </c>
      <c r="T290" s="231">
        <v>-68742</v>
      </c>
      <c r="U290" s="396">
        <v>201858</v>
      </c>
      <c r="V290" s="231"/>
      <c r="W290" s="396">
        <v>1724839</v>
      </c>
      <c r="X290" s="396">
        <v>321808</v>
      </c>
      <c r="Y290" s="396"/>
      <c r="Z290" s="396"/>
    </row>
    <row r="291" spans="1:26">
      <c r="A291" s="424">
        <v>93021</v>
      </c>
      <c r="B291" s="423" t="s">
        <v>1000</v>
      </c>
      <c r="C291" s="234">
        <v>2.5899999999999999E-5</v>
      </c>
      <c r="D291" s="234">
        <v>2.6299999999999999E-5</v>
      </c>
      <c r="E291" s="231">
        <v>146113</v>
      </c>
      <c r="F291" s="231" t="s">
        <v>1924</v>
      </c>
      <c r="G291" s="392">
        <v>6296</v>
      </c>
      <c r="H291" s="392">
        <v>48292</v>
      </c>
      <c r="I291" s="392">
        <v>14579</v>
      </c>
      <c r="J291" s="231">
        <v>196</v>
      </c>
      <c r="K291" s="231">
        <v>69363</v>
      </c>
      <c r="L291" s="231"/>
      <c r="M291" s="300">
        <v>617</v>
      </c>
      <c r="N291" s="300">
        <v>0</v>
      </c>
      <c r="O291" s="300">
        <v>0</v>
      </c>
      <c r="P291" s="231">
        <v>5456</v>
      </c>
      <c r="Q291" s="231">
        <v>6073</v>
      </c>
      <c r="R291" s="231"/>
      <c r="S291" s="392">
        <v>41373</v>
      </c>
      <c r="T291" s="231">
        <v>-3881</v>
      </c>
      <c r="U291" s="396">
        <v>37492</v>
      </c>
      <c r="V291" s="231"/>
      <c r="W291" s="396">
        <v>263715</v>
      </c>
      <c r="X291" s="396">
        <v>49202</v>
      </c>
      <c r="Y291" s="396"/>
      <c r="Z291" s="396"/>
    </row>
    <row r="292" spans="1:26">
      <c r="A292" s="424">
        <v>93027</v>
      </c>
      <c r="B292" s="423" t="s">
        <v>1001</v>
      </c>
      <c r="C292" s="234">
        <v>0</v>
      </c>
      <c r="D292" s="234">
        <v>0</v>
      </c>
      <c r="E292" s="231">
        <v>0</v>
      </c>
      <c r="F292" s="231" t="s">
        <v>1924</v>
      </c>
      <c r="G292" s="392">
        <v>0</v>
      </c>
      <c r="H292" s="392">
        <v>0</v>
      </c>
      <c r="I292" s="392">
        <v>0</v>
      </c>
      <c r="J292" s="231">
        <v>0</v>
      </c>
      <c r="K292" s="231">
        <v>0</v>
      </c>
      <c r="L292" s="231"/>
      <c r="M292" s="300">
        <v>0</v>
      </c>
      <c r="N292" s="300">
        <v>0</v>
      </c>
      <c r="O292" s="300">
        <v>0</v>
      </c>
      <c r="P292" s="231">
        <v>3192</v>
      </c>
      <c r="Q292" s="231">
        <v>3192</v>
      </c>
      <c r="R292" s="231"/>
      <c r="S292" s="392">
        <v>0</v>
      </c>
      <c r="T292" s="231">
        <v>-3720</v>
      </c>
      <c r="U292" s="396">
        <v>-3720</v>
      </c>
      <c r="V292" s="231"/>
      <c r="W292" s="396">
        <v>0</v>
      </c>
      <c r="X292" s="396">
        <v>0</v>
      </c>
      <c r="Y292" s="396"/>
      <c r="Z292" s="396"/>
    </row>
    <row r="293" spans="1:26">
      <c r="A293" s="424">
        <v>93028</v>
      </c>
      <c r="B293" s="423" t="s">
        <v>3609</v>
      </c>
      <c r="C293" s="234">
        <v>2.3499999999999999E-5</v>
      </c>
      <c r="D293" s="234">
        <v>1.9199999999999999E-5</v>
      </c>
      <c r="E293" s="231">
        <v>132574</v>
      </c>
      <c r="F293" s="231" t="s">
        <v>1924</v>
      </c>
      <c r="G293" s="392">
        <v>5712</v>
      </c>
      <c r="H293" s="392">
        <v>43817</v>
      </c>
      <c r="I293" s="392">
        <v>13228</v>
      </c>
      <c r="J293" s="231">
        <v>14742</v>
      </c>
      <c r="K293" s="231">
        <v>77499</v>
      </c>
      <c r="L293" s="231"/>
      <c r="M293" s="300">
        <v>560</v>
      </c>
      <c r="N293" s="300">
        <v>0</v>
      </c>
      <c r="O293" s="300">
        <v>0</v>
      </c>
      <c r="P293" s="231">
        <v>3980</v>
      </c>
      <c r="Q293" s="231">
        <v>4540</v>
      </c>
      <c r="R293" s="231"/>
      <c r="S293" s="392">
        <v>37539</v>
      </c>
      <c r="T293" s="231">
        <v>9471</v>
      </c>
      <c r="U293" s="396">
        <v>47010</v>
      </c>
      <c r="V293" s="231"/>
      <c r="W293" s="396">
        <v>239278</v>
      </c>
      <c r="X293" s="396">
        <v>44643</v>
      </c>
      <c r="Y293" s="396"/>
      <c r="Z293" s="396"/>
    </row>
    <row r="294" spans="1:26">
      <c r="A294" s="424">
        <v>93031</v>
      </c>
      <c r="B294" s="423" t="s">
        <v>1002</v>
      </c>
      <c r="C294" s="234">
        <v>1.31E-5</v>
      </c>
      <c r="D294" s="234">
        <v>3.8999999999999999E-6</v>
      </c>
      <c r="E294" s="231">
        <v>73903</v>
      </c>
      <c r="F294" s="231" t="s">
        <v>1924</v>
      </c>
      <c r="G294" s="392">
        <v>3184</v>
      </c>
      <c r="H294" s="392">
        <v>24426</v>
      </c>
      <c r="I294" s="392">
        <v>7374</v>
      </c>
      <c r="J294" s="231">
        <v>20192</v>
      </c>
      <c r="K294" s="231">
        <v>55176</v>
      </c>
      <c r="L294" s="231"/>
      <c r="M294" s="300">
        <v>312</v>
      </c>
      <c r="N294" s="300">
        <v>0</v>
      </c>
      <c r="O294" s="300">
        <v>0</v>
      </c>
      <c r="P294" s="231">
        <v>1211</v>
      </c>
      <c r="Q294" s="231">
        <v>1523</v>
      </c>
      <c r="R294" s="231"/>
      <c r="S294" s="392">
        <v>20926</v>
      </c>
      <c r="T294" s="231">
        <v>7826</v>
      </c>
      <c r="U294" s="396">
        <v>28752</v>
      </c>
      <c r="V294" s="231"/>
      <c r="W294" s="396">
        <v>133385</v>
      </c>
      <c r="X294" s="396">
        <v>24886</v>
      </c>
      <c r="Y294" s="396"/>
      <c r="Z294" s="396"/>
    </row>
    <row r="295" spans="1:26">
      <c r="A295" s="424">
        <v>93101</v>
      </c>
      <c r="B295" s="423" t="s">
        <v>1003</v>
      </c>
      <c r="C295" s="234">
        <v>2.9518999999999999E-3</v>
      </c>
      <c r="D295" s="234">
        <v>2.8521000000000002E-3</v>
      </c>
      <c r="E295" s="231">
        <v>16652931</v>
      </c>
      <c r="F295" s="231" t="s">
        <v>1924</v>
      </c>
      <c r="G295" s="392">
        <v>717560</v>
      </c>
      <c r="H295" s="392">
        <v>5503968</v>
      </c>
      <c r="I295" s="392">
        <v>1661589</v>
      </c>
      <c r="J295" s="231">
        <v>95256</v>
      </c>
      <c r="K295" s="231">
        <v>7978373</v>
      </c>
      <c r="L295" s="231"/>
      <c r="M295" s="300">
        <v>70353</v>
      </c>
      <c r="N295" s="300">
        <v>0</v>
      </c>
      <c r="O295" s="300">
        <v>0</v>
      </c>
      <c r="P295" s="231">
        <v>240268</v>
      </c>
      <c r="Q295" s="231">
        <v>310621</v>
      </c>
      <c r="R295" s="231"/>
      <c r="S295" s="392">
        <v>4715368</v>
      </c>
      <c r="T295" s="231">
        <v>-212939</v>
      </c>
      <c r="U295" s="396">
        <v>4502429</v>
      </c>
      <c r="V295" s="231"/>
      <c r="W295" s="396">
        <v>30056396</v>
      </c>
      <c r="X295" s="396">
        <v>5607698</v>
      </c>
      <c r="Y295" s="396"/>
      <c r="Z295" s="396"/>
    </row>
    <row r="296" spans="1:26">
      <c r="A296" s="424">
        <v>93103</v>
      </c>
      <c r="B296" s="423" t="s">
        <v>260</v>
      </c>
      <c r="C296" s="234">
        <v>0</v>
      </c>
      <c r="D296" s="234">
        <v>0</v>
      </c>
      <c r="E296" s="231">
        <v>0</v>
      </c>
      <c r="F296" s="231" t="s">
        <v>1924</v>
      </c>
      <c r="G296" s="392">
        <v>0</v>
      </c>
      <c r="H296" s="392">
        <v>0</v>
      </c>
      <c r="I296" s="392">
        <v>0</v>
      </c>
      <c r="J296" s="231">
        <v>0</v>
      </c>
      <c r="K296" s="231">
        <v>0</v>
      </c>
      <c r="L296" s="231"/>
      <c r="M296" s="300">
        <v>0</v>
      </c>
      <c r="N296" s="300">
        <v>0</v>
      </c>
      <c r="O296" s="300">
        <v>0</v>
      </c>
      <c r="P296" s="231">
        <v>20862</v>
      </c>
      <c r="Q296" s="231">
        <v>20862</v>
      </c>
      <c r="R296" s="231"/>
      <c r="S296" s="392">
        <v>0</v>
      </c>
      <c r="T296" s="231">
        <v>-11833</v>
      </c>
      <c r="U296" s="396">
        <v>-11833</v>
      </c>
      <c r="V296" s="231"/>
      <c r="W296" s="396">
        <v>0</v>
      </c>
      <c r="X296" s="396">
        <v>0</v>
      </c>
      <c r="Y296" s="396"/>
      <c r="Z296" s="396"/>
    </row>
    <row r="297" spans="1:26">
      <c r="A297" s="424">
        <v>93108</v>
      </c>
      <c r="B297" s="423" t="s">
        <v>1004</v>
      </c>
      <c r="C297" s="234">
        <v>2.6383000000000001E-3</v>
      </c>
      <c r="D297" s="234">
        <v>2.3987000000000001E-3</v>
      </c>
      <c r="E297" s="231">
        <v>14883779</v>
      </c>
      <c r="F297" s="231" t="s">
        <v>1924</v>
      </c>
      <c r="G297" s="392">
        <v>641329</v>
      </c>
      <c r="H297" s="392">
        <v>4919245</v>
      </c>
      <c r="I297" s="392">
        <v>1485067</v>
      </c>
      <c r="J297" s="231">
        <v>639844</v>
      </c>
      <c r="K297" s="231">
        <v>7685485</v>
      </c>
      <c r="L297" s="231"/>
      <c r="M297" s="300">
        <v>62879</v>
      </c>
      <c r="N297" s="300">
        <v>0</v>
      </c>
      <c r="O297" s="300">
        <v>0</v>
      </c>
      <c r="P297" s="231">
        <v>38944</v>
      </c>
      <c r="Q297" s="231">
        <v>101823</v>
      </c>
      <c r="R297" s="231"/>
      <c r="S297" s="392">
        <v>4214423</v>
      </c>
      <c r="T297" s="231">
        <v>170102</v>
      </c>
      <c r="U297" s="396">
        <v>4384525</v>
      </c>
      <c r="V297" s="231"/>
      <c r="W297" s="396">
        <v>26863305</v>
      </c>
      <c r="X297" s="396">
        <v>5011955</v>
      </c>
      <c r="Y297" s="396"/>
      <c r="Z297" s="396"/>
    </row>
    <row r="298" spans="1:26">
      <c r="A298" s="424">
        <v>93111</v>
      </c>
      <c r="B298" s="423" t="s">
        <v>1005</v>
      </c>
      <c r="C298" s="234">
        <v>6.4200000000000002E-5</v>
      </c>
      <c r="D298" s="234">
        <v>5.7899999999999998E-5</v>
      </c>
      <c r="E298" s="231">
        <v>362180</v>
      </c>
      <c r="F298" s="231" t="s">
        <v>1924</v>
      </c>
      <c r="G298" s="392">
        <v>15606</v>
      </c>
      <c r="H298" s="392">
        <v>119704</v>
      </c>
      <c r="I298" s="392">
        <v>36137</v>
      </c>
      <c r="J298" s="231">
        <v>20195</v>
      </c>
      <c r="K298" s="231">
        <v>191642</v>
      </c>
      <c r="L298" s="231"/>
      <c r="M298" s="300">
        <v>1530</v>
      </c>
      <c r="N298" s="300">
        <v>0</v>
      </c>
      <c r="O298" s="300">
        <v>0</v>
      </c>
      <c r="P298" s="231">
        <v>2348</v>
      </c>
      <c r="Q298" s="231">
        <v>3878</v>
      </c>
      <c r="R298" s="231"/>
      <c r="S298" s="392">
        <v>102553</v>
      </c>
      <c r="T298" s="231">
        <v>5393</v>
      </c>
      <c r="U298" s="396">
        <v>107946</v>
      </c>
      <c r="V298" s="231"/>
      <c r="W298" s="396">
        <v>653688</v>
      </c>
      <c r="X298" s="396">
        <v>121960</v>
      </c>
      <c r="Y298" s="396"/>
      <c r="Z298" s="396"/>
    </row>
    <row r="299" spans="1:26">
      <c r="A299" s="424">
        <v>93121</v>
      </c>
      <c r="B299" s="423" t="s">
        <v>1006</v>
      </c>
      <c r="C299" s="234">
        <v>4.9100000000000001E-5</v>
      </c>
      <c r="D299" s="234">
        <v>4.8000000000000001E-5</v>
      </c>
      <c r="E299" s="231">
        <v>276994</v>
      </c>
      <c r="F299" s="231" t="s">
        <v>1924</v>
      </c>
      <c r="G299" s="392">
        <v>11935</v>
      </c>
      <c r="H299" s="392">
        <v>91549</v>
      </c>
      <c r="I299" s="392">
        <v>27638</v>
      </c>
      <c r="J299" s="231">
        <v>10436</v>
      </c>
      <c r="K299" s="231">
        <v>141558</v>
      </c>
      <c r="L299" s="231"/>
      <c r="M299" s="300">
        <v>1170</v>
      </c>
      <c r="N299" s="300">
        <v>0</v>
      </c>
      <c r="O299" s="300">
        <v>0</v>
      </c>
      <c r="P299" s="231">
        <v>4134</v>
      </c>
      <c r="Q299" s="231">
        <v>5304</v>
      </c>
      <c r="R299" s="231"/>
      <c r="S299" s="392">
        <v>78432</v>
      </c>
      <c r="T299" s="231">
        <v>1195</v>
      </c>
      <c r="U299" s="396">
        <v>79627</v>
      </c>
      <c r="V299" s="231"/>
      <c r="W299" s="396">
        <v>499939</v>
      </c>
      <c r="X299" s="396">
        <v>93275</v>
      </c>
      <c r="Y299" s="396"/>
      <c r="Z299" s="396"/>
    </row>
    <row r="300" spans="1:26">
      <c r="A300" s="424">
        <v>93127</v>
      </c>
      <c r="B300" s="423" t="s">
        <v>1007</v>
      </c>
      <c r="C300" s="234">
        <v>3.4999999999999999E-6</v>
      </c>
      <c r="D300" s="234">
        <v>4.1999999999999996E-6</v>
      </c>
      <c r="E300" s="231">
        <v>19745</v>
      </c>
      <c r="F300" s="231" t="s">
        <v>1924</v>
      </c>
      <c r="G300" s="392">
        <v>851</v>
      </c>
      <c r="H300" s="392">
        <v>6526</v>
      </c>
      <c r="I300" s="392">
        <v>1970</v>
      </c>
      <c r="J300" s="231">
        <v>433</v>
      </c>
      <c r="K300" s="231">
        <v>9780</v>
      </c>
      <c r="L300" s="231"/>
      <c r="M300" s="300">
        <v>83</v>
      </c>
      <c r="N300" s="300">
        <v>0</v>
      </c>
      <c r="O300" s="300">
        <v>0</v>
      </c>
      <c r="P300" s="231">
        <v>1818</v>
      </c>
      <c r="Q300" s="231">
        <v>1901</v>
      </c>
      <c r="R300" s="231"/>
      <c r="S300" s="392">
        <v>5591</v>
      </c>
      <c r="T300" s="231">
        <v>-847</v>
      </c>
      <c r="U300" s="396">
        <v>4744</v>
      </c>
      <c r="V300" s="231"/>
      <c r="W300" s="396">
        <v>35637</v>
      </c>
      <c r="X300" s="396">
        <v>6649</v>
      </c>
      <c r="Y300" s="396"/>
      <c r="Z300" s="396"/>
    </row>
    <row r="301" spans="1:26">
      <c r="A301" s="424">
        <v>93131</v>
      </c>
      <c r="B301" s="423" t="s">
        <v>1008</v>
      </c>
      <c r="C301" s="234">
        <v>1.749E-4</v>
      </c>
      <c r="D301" s="234">
        <v>1.706E-4</v>
      </c>
      <c r="E301" s="231">
        <v>986686</v>
      </c>
      <c r="F301" s="231" t="s">
        <v>1924</v>
      </c>
      <c r="G301" s="392">
        <v>42515</v>
      </c>
      <c r="H301" s="392">
        <v>326110</v>
      </c>
      <c r="I301" s="392">
        <v>98449</v>
      </c>
      <c r="J301" s="231">
        <v>12180</v>
      </c>
      <c r="K301" s="231">
        <v>479254</v>
      </c>
      <c r="L301" s="231"/>
      <c r="M301" s="300">
        <v>4168</v>
      </c>
      <c r="N301" s="300">
        <v>0</v>
      </c>
      <c r="O301" s="300">
        <v>0</v>
      </c>
      <c r="P301" s="231">
        <v>3894</v>
      </c>
      <c r="Q301" s="231">
        <v>8062</v>
      </c>
      <c r="R301" s="231"/>
      <c r="S301" s="392">
        <v>279385</v>
      </c>
      <c r="T301" s="231">
        <v>-3772</v>
      </c>
      <c r="U301" s="396">
        <v>275613</v>
      </c>
      <c r="V301" s="231"/>
      <c r="W301" s="396">
        <v>1780841</v>
      </c>
      <c r="X301" s="396">
        <v>332256</v>
      </c>
      <c r="Y301" s="396"/>
      <c r="Z301" s="396"/>
    </row>
    <row r="302" spans="1:26">
      <c r="A302" s="424">
        <v>93137</v>
      </c>
      <c r="B302" s="423" t="s">
        <v>1009</v>
      </c>
      <c r="C302" s="234">
        <v>6.2999999999999998E-6</v>
      </c>
      <c r="D302" s="234">
        <v>6.1E-6</v>
      </c>
      <c r="E302" s="231">
        <v>35541</v>
      </c>
      <c r="F302" s="231" t="s">
        <v>1924</v>
      </c>
      <c r="G302" s="392">
        <v>1531</v>
      </c>
      <c r="H302" s="392">
        <v>11747</v>
      </c>
      <c r="I302" s="392">
        <v>3546</v>
      </c>
      <c r="J302" s="231">
        <v>3353</v>
      </c>
      <c r="K302" s="231">
        <v>20177</v>
      </c>
      <c r="L302" s="231"/>
      <c r="M302" s="300">
        <v>150</v>
      </c>
      <c r="N302" s="300">
        <v>0</v>
      </c>
      <c r="O302" s="300">
        <v>0</v>
      </c>
      <c r="P302" s="231">
        <v>0</v>
      </c>
      <c r="Q302" s="231">
        <v>150</v>
      </c>
      <c r="R302" s="231"/>
      <c r="S302" s="392">
        <v>10064</v>
      </c>
      <c r="T302" s="231">
        <v>2056</v>
      </c>
      <c r="U302" s="396">
        <v>12120</v>
      </c>
      <c r="V302" s="231"/>
      <c r="W302" s="396">
        <v>64147</v>
      </c>
      <c r="X302" s="396">
        <v>11968</v>
      </c>
      <c r="Y302" s="396"/>
      <c r="Z302" s="396"/>
    </row>
    <row r="303" spans="1:26">
      <c r="A303" s="424">
        <v>93141</v>
      </c>
      <c r="B303" s="423" t="s">
        <v>1010</v>
      </c>
      <c r="C303" s="234">
        <v>3.6900000000000002E-5</v>
      </c>
      <c r="D303" s="234">
        <v>3.26E-5</v>
      </c>
      <c r="E303" s="231">
        <v>208169</v>
      </c>
      <c r="F303" s="231" t="s">
        <v>1924</v>
      </c>
      <c r="G303" s="392">
        <v>8970</v>
      </c>
      <c r="H303" s="392">
        <v>68802</v>
      </c>
      <c r="I303" s="392">
        <v>20771</v>
      </c>
      <c r="J303" s="231">
        <v>10877</v>
      </c>
      <c r="K303" s="231">
        <v>109420</v>
      </c>
      <c r="L303" s="231"/>
      <c r="M303" s="300">
        <v>879</v>
      </c>
      <c r="N303" s="300">
        <v>0</v>
      </c>
      <c r="O303" s="300">
        <v>0</v>
      </c>
      <c r="P303" s="231">
        <v>5076</v>
      </c>
      <c r="Q303" s="231">
        <v>5955</v>
      </c>
      <c r="R303" s="231"/>
      <c r="S303" s="392">
        <v>58944</v>
      </c>
      <c r="T303" s="231">
        <v>859</v>
      </c>
      <c r="U303" s="396">
        <v>59803</v>
      </c>
      <c r="V303" s="231"/>
      <c r="W303" s="396">
        <v>375718</v>
      </c>
      <c r="X303" s="396">
        <v>70099</v>
      </c>
      <c r="Y303" s="396"/>
      <c r="Z303" s="396"/>
    </row>
    <row r="304" spans="1:26">
      <c r="A304" s="424">
        <v>93151</v>
      </c>
      <c r="B304" s="423" t="s">
        <v>1011</v>
      </c>
      <c r="C304" s="234">
        <v>3.8049999999999998E-4</v>
      </c>
      <c r="D304" s="234">
        <v>3.6019999999999997E-4</v>
      </c>
      <c r="E304" s="231">
        <v>2146563</v>
      </c>
      <c r="F304" s="231" t="s">
        <v>1924</v>
      </c>
      <c r="G304" s="392">
        <v>92493</v>
      </c>
      <c r="H304" s="392">
        <v>709462</v>
      </c>
      <c r="I304" s="392">
        <v>214179</v>
      </c>
      <c r="J304" s="231">
        <v>30755</v>
      </c>
      <c r="K304" s="231">
        <v>1046889</v>
      </c>
      <c r="L304" s="231"/>
      <c r="M304" s="300">
        <v>9068</v>
      </c>
      <c r="N304" s="300">
        <v>0</v>
      </c>
      <c r="O304" s="300">
        <v>0</v>
      </c>
      <c r="P304" s="231">
        <v>13027</v>
      </c>
      <c r="Q304" s="231">
        <v>22095</v>
      </c>
      <c r="R304" s="231"/>
      <c r="S304" s="392">
        <v>607811</v>
      </c>
      <c r="T304" s="231">
        <v>-2033</v>
      </c>
      <c r="U304" s="396">
        <v>605778</v>
      </c>
      <c r="V304" s="231"/>
      <c r="W304" s="396">
        <v>3874270</v>
      </c>
      <c r="X304" s="396">
        <v>722832</v>
      </c>
      <c r="Y304" s="396"/>
      <c r="Z304" s="396"/>
    </row>
    <row r="305" spans="1:26">
      <c r="A305" s="424">
        <v>93157</v>
      </c>
      <c r="B305" s="423" t="s">
        <v>1012</v>
      </c>
      <c r="C305" s="234">
        <v>2.05E-5</v>
      </c>
      <c r="D305" s="234">
        <v>8.8000000000000004E-6</v>
      </c>
      <c r="E305" s="231">
        <v>115649</v>
      </c>
      <c r="F305" s="231" t="s">
        <v>1924</v>
      </c>
      <c r="G305" s="392">
        <v>4983</v>
      </c>
      <c r="H305" s="392">
        <v>38223</v>
      </c>
      <c r="I305" s="392">
        <v>11539</v>
      </c>
      <c r="J305" s="231">
        <v>20864</v>
      </c>
      <c r="K305" s="231">
        <v>75609</v>
      </c>
      <c r="L305" s="231"/>
      <c r="M305" s="300">
        <v>489</v>
      </c>
      <c r="N305" s="300">
        <v>0</v>
      </c>
      <c r="O305" s="300">
        <v>0</v>
      </c>
      <c r="P305" s="231">
        <v>3796</v>
      </c>
      <c r="Q305" s="231">
        <v>4285</v>
      </c>
      <c r="R305" s="231"/>
      <c r="S305" s="392">
        <v>32747</v>
      </c>
      <c r="T305" s="231">
        <v>8332</v>
      </c>
      <c r="U305" s="396">
        <v>41079</v>
      </c>
      <c r="V305" s="231"/>
      <c r="W305" s="396">
        <v>208732</v>
      </c>
      <c r="X305" s="396">
        <v>38944</v>
      </c>
      <c r="Y305" s="396"/>
      <c r="Z305" s="396"/>
    </row>
    <row r="306" spans="1:26">
      <c r="A306" s="424">
        <v>93161</v>
      </c>
      <c r="B306" s="423" t="s">
        <v>1013</v>
      </c>
      <c r="C306" s="234">
        <v>8.1500000000000002E-5</v>
      </c>
      <c r="D306" s="234">
        <v>9.7800000000000006E-5</v>
      </c>
      <c r="E306" s="231">
        <v>459776</v>
      </c>
      <c r="F306" s="231" t="s">
        <v>1924</v>
      </c>
      <c r="G306" s="392">
        <v>19811</v>
      </c>
      <c r="H306" s="392">
        <v>151961</v>
      </c>
      <c r="I306" s="392">
        <v>45875</v>
      </c>
      <c r="J306" s="231">
        <v>1010</v>
      </c>
      <c r="K306" s="231">
        <v>218657</v>
      </c>
      <c r="L306" s="231"/>
      <c r="M306" s="300">
        <v>1942</v>
      </c>
      <c r="N306" s="300">
        <v>0</v>
      </c>
      <c r="O306" s="300">
        <v>0</v>
      </c>
      <c r="P306" s="231">
        <v>47093</v>
      </c>
      <c r="Q306" s="231">
        <v>49035</v>
      </c>
      <c r="R306" s="231"/>
      <c r="S306" s="392">
        <v>130188</v>
      </c>
      <c r="T306" s="231">
        <v>-21240</v>
      </c>
      <c r="U306" s="396">
        <v>108948</v>
      </c>
      <c r="V306" s="231"/>
      <c r="W306" s="396">
        <v>829837</v>
      </c>
      <c r="X306" s="396">
        <v>154825</v>
      </c>
      <c r="Y306" s="396"/>
      <c r="Z306" s="396"/>
    </row>
    <row r="307" spans="1:26" ht="14.25" customHeight="1">
      <c r="A307" s="424">
        <v>93171</v>
      </c>
      <c r="B307" s="423" t="s">
        <v>1014</v>
      </c>
      <c r="C307" s="234">
        <v>7.7000000000000008E-6</v>
      </c>
      <c r="D307" s="234">
        <v>1.03E-5</v>
      </c>
      <c r="E307" s="231">
        <v>43439</v>
      </c>
      <c r="F307" s="231" t="s">
        <v>1924</v>
      </c>
      <c r="G307" s="392">
        <v>1872</v>
      </c>
      <c r="H307" s="392">
        <v>14357</v>
      </c>
      <c r="I307" s="392">
        <v>4334</v>
      </c>
      <c r="J307" s="231">
        <v>4666</v>
      </c>
      <c r="K307" s="231">
        <v>25229</v>
      </c>
      <c r="L307" s="231"/>
      <c r="M307" s="300">
        <v>184</v>
      </c>
      <c r="N307" s="300">
        <v>0</v>
      </c>
      <c r="O307" s="300">
        <v>0</v>
      </c>
      <c r="P307" s="231">
        <v>4270</v>
      </c>
      <c r="Q307" s="231">
        <v>4454</v>
      </c>
      <c r="R307" s="231"/>
      <c r="S307" s="392">
        <v>12300</v>
      </c>
      <c r="T307" s="231">
        <v>2162</v>
      </c>
      <c r="U307" s="396">
        <v>14462</v>
      </c>
      <c r="V307" s="231"/>
      <c r="W307" s="396">
        <v>78402</v>
      </c>
      <c r="X307" s="396">
        <v>14628</v>
      </c>
      <c r="Y307" s="396"/>
      <c r="Z307" s="396"/>
    </row>
    <row r="308" spans="1:26">
      <c r="A308" s="424">
        <v>93181</v>
      </c>
      <c r="B308" s="423" t="s">
        <v>1015</v>
      </c>
      <c r="C308" s="234">
        <v>1.5E-5</v>
      </c>
      <c r="D308" s="234">
        <v>1.06E-5</v>
      </c>
      <c r="E308" s="231">
        <v>84621</v>
      </c>
      <c r="F308" s="231" t="s">
        <v>1924</v>
      </c>
      <c r="G308" s="392">
        <v>3646</v>
      </c>
      <c r="H308" s="392">
        <v>27968</v>
      </c>
      <c r="I308" s="392">
        <v>8443</v>
      </c>
      <c r="J308" s="231">
        <v>8586</v>
      </c>
      <c r="K308" s="231">
        <v>48643</v>
      </c>
      <c r="L308" s="231"/>
      <c r="M308" s="300">
        <v>357</v>
      </c>
      <c r="N308" s="300">
        <v>0</v>
      </c>
      <c r="O308" s="300">
        <v>0</v>
      </c>
      <c r="P308" s="231">
        <v>0</v>
      </c>
      <c r="Q308" s="231">
        <v>357</v>
      </c>
      <c r="R308" s="231"/>
      <c r="S308" s="392">
        <v>23961</v>
      </c>
      <c r="T308" s="231">
        <v>3288</v>
      </c>
      <c r="U308" s="396">
        <v>27249</v>
      </c>
      <c r="V308" s="231"/>
      <c r="W308" s="396">
        <v>152731</v>
      </c>
      <c r="X308" s="396">
        <v>28495</v>
      </c>
      <c r="Y308" s="396"/>
      <c r="Z308" s="396"/>
    </row>
    <row r="309" spans="1:26">
      <c r="A309" s="424">
        <v>93191</v>
      </c>
      <c r="B309" s="423" t="s">
        <v>1016</v>
      </c>
      <c r="C309" s="234">
        <v>3.1000000000000001E-5</v>
      </c>
      <c r="D309" s="234">
        <v>2.48E-5</v>
      </c>
      <c r="E309" s="231">
        <v>174884</v>
      </c>
      <c r="F309" s="231" t="s">
        <v>1924</v>
      </c>
      <c r="G309" s="392">
        <v>7536</v>
      </c>
      <c r="H309" s="392">
        <v>57801</v>
      </c>
      <c r="I309" s="392">
        <v>17450</v>
      </c>
      <c r="J309" s="231">
        <v>21026</v>
      </c>
      <c r="K309" s="231">
        <v>103813</v>
      </c>
      <c r="L309" s="231"/>
      <c r="M309" s="300">
        <v>739</v>
      </c>
      <c r="N309" s="300">
        <v>0</v>
      </c>
      <c r="O309" s="300">
        <v>0</v>
      </c>
      <c r="P309" s="231">
        <v>0</v>
      </c>
      <c r="Q309" s="231">
        <v>739</v>
      </c>
      <c r="R309" s="231"/>
      <c r="S309" s="392">
        <v>49519</v>
      </c>
      <c r="T309" s="231">
        <v>11194</v>
      </c>
      <c r="U309" s="396">
        <v>60713</v>
      </c>
      <c r="V309" s="231"/>
      <c r="W309" s="396">
        <v>315644</v>
      </c>
      <c r="X309" s="396">
        <v>58890</v>
      </c>
      <c r="Y309" s="396"/>
      <c r="Z309" s="396"/>
    </row>
    <row r="310" spans="1:26">
      <c r="A310" s="424">
        <v>93201</v>
      </c>
      <c r="B310" s="423" t="s">
        <v>1017</v>
      </c>
      <c r="C310" s="234">
        <v>1.48722E-2</v>
      </c>
      <c r="D310" s="234">
        <v>1.54521E-2</v>
      </c>
      <c r="E310" s="231">
        <v>83900446</v>
      </c>
      <c r="F310" s="231" t="s">
        <v>1924</v>
      </c>
      <c r="G310" s="392">
        <v>3615194</v>
      </c>
      <c r="H310" s="392">
        <v>27729975</v>
      </c>
      <c r="I310" s="392">
        <v>8371383</v>
      </c>
      <c r="J310" s="231">
        <v>385192</v>
      </c>
      <c r="K310" s="231">
        <v>40101744</v>
      </c>
      <c r="L310" s="231"/>
      <c r="M310" s="300">
        <v>354449</v>
      </c>
      <c r="N310" s="300">
        <v>0</v>
      </c>
      <c r="O310" s="300">
        <v>0</v>
      </c>
      <c r="P310" s="231">
        <v>857747</v>
      </c>
      <c r="Q310" s="231">
        <v>1212196</v>
      </c>
      <c r="R310" s="231"/>
      <c r="S310" s="392">
        <v>23756867</v>
      </c>
      <c r="T310" s="231">
        <v>-148232</v>
      </c>
      <c r="U310" s="396">
        <v>23608635</v>
      </c>
      <c r="V310" s="231"/>
      <c r="W310" s="396">
        <v>151429499</v>
      </c>
      <c r="X310" s="396">
        <v>28252584</v>
      </c>
      <c r="Y310" s="396"/>
      <c r="Z310" s="396"/>
    </row>
    <row r="311" spans="1:26">
      <c r="A311" s="424">
        <v>93204</v>
      </c>
      <c r="B311" s="423" t="s">
        <v>1019</v>
      </c>
      <c r="C311" s="234">
        <v>2.8830000000000001E-4</v>
      </c>
      <c r="D311" s="234">
        <v>3.0600000000000001E-4</v>
      </c>
      <c r="E311" s="231">
        <v>1626424</v>
      </c>
      <c r="F311" s="231" t="s">
        <v>1924</v>
      </c>
      <c r="G311" s="392">
        <v>70081</v>
      </c>
      <c r="H311" s="392">
        <v>537550</v>
      </c>
      <c r="I311" s="392">
        <v>162281</v>
      </c>
      <c r="J311" s="231">
        <v>60293</v>
      </c>
      <c r="K311" s="231">
        <v>830205</v>
      </c>
      <c r="L311" s="231"/>
      <c r="M311" s="300">
        <v>6871</v>
      </c>
      <c r="N311" s="300">
        <v>0</v>
      </c>
      <c r="O311" s="300">
        <v>0</v>
      </c>
      <c r="P311" s="231">
        <v>9929</v>
      </c>
      <c r="Q311" s="231">
        <v>16800</v>
      </c>
      <c r="R311" s="231"/>
      <c r="S311" s="392">
        <v>460531</v>
      </c>
      <c r="T311" s="231">
        <v>26227</v>
      </c>
      <c r="U311" s="396">
        <v>486758</v>
      </c>
      <c r="V311" s="231"/>
      <c r="W311" s="396">
        <v>2935485</v>
      </c>
      <c r="X311" s="396">
        <v>547681</v>
      </c>
      <c r="Y311" s="396"/>
      <c r="Z311" s="396"/>
    </row>
    <row r="312" spans="1:26">
      <c r="A312" s="424">
        <v>93209</v>
      </c>
      <c r="B312" s="423" t="s">
        <v>3722</v>
      </c>
      <c r="C312" s="234">
        <v>6.9506999999999998E-3</v>
      </c>
      <c r="D312" s="234">
        <v>5.6934999999999998E-3</v>
      </c>
      <c r="E312" s="231">
        <v>39211874</v>
      </c>
      <c r="F312" s="231" t="s">
        <v>1924</v>
      </c>
      <c r="G312" s="392">
        <v>1689604</v>
      </c>
      <c r="H312" s="392">
        <v>12959935</v>
      </c>
      <c r="I312" s="392">
        <v>3912466</v>
      </c>
      <c r="J312" s="231">
        <v>2509011</v>
      </c>
      <c r="K312" s="231">
        <v>21071016</v>
      </c>
      <c r="L312" s="231"/>
      <c r="M312" s="300">
        <v>165656</v>
      </c>
      <c r="N312" s="300">
        <v>0</v>
      </c>
      <c r="O312" s="300">
        <v>0</v>
      </c>
      <c r="P312" s="231">
        <v>173490</v>
      </c>
      <c r="Q312" s="231">
        <v>339146</v>
      </c>
      <c r="R312" s="231"/>
      <c r="S312" s="392">
        <v>11103055</v>
      </c>
      <c r="T312" s="231">
        <v>780162</v>
      </c>
      <c r="U312" s="396">
        <v>11883217</v>
      </c>
      <c r="V312" s="231"/>
      <c r="W312" s="396">
        <v>70772382</v>
      </c>
      <c r="X312" s="396">
        <v>13204182</v>
      </c>
      <c r="Y312" s="396"/>
      <c r="Z312" s="396"/>
    </row>
    <row r="313" spans="1:26">
      <c r="A313" s="424">
        <v>93211</v>
      </c>
      <c r="B313" s="423" t="s">
        <v>1021</v>
      </c>
      <c r="C313" s="234">
        <v>2.2072499999999998E-2</v>
      </c>
      <c r="D313" s="234">
        <v>2.2281100000000002E-2</v>
      </c>
      <c r="E313" s="231">
        <v>124520420</v>
      </c>
      <c r="F313" s="231" t="s">
        <v>1924</v>
      </c>
      <c r="G313" s="392">
        <v>5365472</v>
      </c>
      <c r="H313" s="392">
        <v>41155302</v>
      </c>
      <c r="I313" s="392">
        <v>12424345</v>
      </c>
      <c r="J313" s="231">
        <v>460343</v>
      </c>
      <c r="K313" s="231">
        <v>59405462</v>
      </c>
      <c r="L313" s="231"/>
      <c r="M313" s="300">
        <v>526054</v>
      </c>
      <c r="N313" s="300">
        <v>0</v>
      </c>
      <c r="O313" s="300">
        <v>0</v>
      </c>
      <c r="P313" s="231">
        <v>966879</v>
      </c>
      <c r="Q313" s="231">
        <v>1492933</v>
      </c>
      <c r="R313" s="231"/>
      <c r="S313" s="392">
        <v>35258634</v>
      </c>
      <c r="T313" s="231">
        <v>207952</v>
      </c>
      <c r="U313" s="396">
        <v>35466586</v>
      </c>
      <c r="V313" s="231"/>
      <c r="W313" s="396">
        <v>224743321</v>
      </c>
      <c r="X313" s="396">
        <v>41930930</v>
      </c>
      <c r="Y313" s="396"/>
      <c r="Z313" s="396"/>
    </row>
    <row r="314" spans="1:26">
      <c r="A314" s="424">
        <v>93212</v>
      </c>
      <c r="B314" s="423" t="s">
        <v>1022</v>
      </c>
      <c r="C314" s="234">
        <v>2.007E-4</v>
      </c>
      <c r="D314" s="234">
        <v>2.231E-4</v>
      </c>
      <c r="E314" s="231">
        <v>1132235</v>
      </c>
      <c r="F314" s="231" t="s">
        <v>1924</v>
      </c>
      <c r="G314" s="392">
        <v>48787</v>
      </c>
      <c r="H314" s="392">
        <v>374215</v>
      </c>
      <c r="I314" s="392">
        <v>112972</v>
      </c>
      <c r="J314" s="231">
        <v>40053</v>
      </c>
      <c r="K314" s="231">
        <v>576027</v>
      </c>
      <c r="L314" s="231"/>
      <c r="M314" s="300">
        <v>4783</v>
      </c>
      <c r="N314" s="300">
        <v>0</v>
      </c>
      <c r="O314" s="300">
        <v>0</v>
      </c>
      <c r="P314" s="231">
        <v>46518</v>
      </c>
      <c r="Q314" s="231">
        <v>51301</v>
      </c>
      <c r="R314" s="231"/>
      <c r="S314" s="392">
        <v>320598</v>
      </c>
      <c r="T314" s="231">
        <v>43659</v>
      </c>
      <c r="U314" s="396">
        <v>364257</v>
      </c>
      <c r="V314" s="231"/>
      <c r="W314" s="396">
        <v>2043538</v>
      </c>
      <c r="X314" s="396">
        <v>381268</v>
      </c>
      <c r="Y314" s="396"/>
      <c r="Z314" s="396"/>
    </row>
    <row r="315" spans="1:26">
      <c r="A315" s="424">
        <v>93219</v>
      </c>
      <c r="B315" s="423" t="s">
        <v>1023</v>
      </c>
      <c r="C315" s="234">
        <v>3.232E-4</v>
      </c>
      <c r="D315" s="234">
        <v>2.6029999999999998E-4</v>
      </c>
      <c r="E315" s="231">
        <v>1823310</v>
      </c>
      <c r="F315" s="231" t="s">
        <v>1924</v>
      </c>
      <c r="G315" s="392">
        <v>78565</v>
      </c>
      <c r="H315" s="392">
        <v>602623</v>
      </c>
      <c r="I315" s="392">
        <v>181925</v>
      </c>
      <c r="J315" s="231">
        <v>102286</v>
      </c>
      <c r="K315" s="231">
        <v>965399</v>
      </c>
      <c r="L315" s="231"/>
      <c r="M315" s="300">
        <v>7703</v>
      </c>
      <c r="N315" s="300">
        <v>0</v>
      </c>
      <c r="O315" s="300">
        <v>0</v>
      </c>
      <c r="P315" s="231">
        <v>0</v>
      </c>
      <c r="Q315" s="231">
        <v>7703</v>
      </c>
      <c r="R315" s="231"/>
      <c r="S315" s="392">
        <v>516280</v>
      </c>
      <c r="T315" s="231">
        <v>39192</v>
      </c>
      <c r="U315" s="396">
        <v>555472</v>
      </c>
      <c r="V315" s="231"/>
      <c r="W315" s="396">
        <v>3290839</v>
      </c>
      <c r="X315" s="396">
        <v>613980</v>
      </c>
      <c r="Y315" s="396"/>
      <c r="Z315" s="396"/>
    </row>
    <row r="316" spans="1:26">
      <c r="A316" s="424">
        <v>93301</v>
      </c>
      <c r="B316" s="423" t="s">
        <v>1024</v>
      </c>
      <c r="C316" s="234">
        <v>2.3389000000000001E-3</v>
      </c>
      <c r="D316" s="234">
        <v>2.1727000000000001E-3</v>
      </c>
      <c r="E316" s="231">
        <v>13194736</v>
      </c>
      <c r="F316" s="231" t="s">
        <v>1924</v>
      </c>
      <c r="G316" s="392">
        <v>568549</v>
      </c>
      <c r="H316" s="392">
        <v>4360998</v>
      </c>
      <c r="I316" s="392">
        <v>1316539</v>
      </c>
      <c r="J316" s="231">
        <v>480399</v>
      </c>
      <c r="K316" s="231">
        <v>6726485</v>
      </c>
      <c r="L316" s="231"/>
      <c r="M316" s="300">
        <v>55743</v>
      </c>
      <c r="N316" s="300">
        <v>0</v>
      </c>
      <c r="O316" s="300">
        <v>0</v>
      </c>
      <c r="P316" s="231">
        <v>15906</v>
      </c>
      <c r="Q316" s="231">
        <v>71649</v>
      </c>
      <c r="R316" s="231"/>
      <c r="S316" s="392">
        <v>3736161</v>
      </c>
      <c r="T316" s="231">
        <v>117452</v>
      </c>
      <c r="U316" s="396">
        <v>3853613</v>
      </c>
      <c r="V316" s="231"/>
      <c r="W316" s="396">
        <v>23814799</v>
      </c>
      <c r="X316" s="396">
        <v>4443187</v>
      </c>
      <c r="Y316" s="396"/>
      <c r="Z316" s="396"/>
    </row>
    <row r="317" spans="1:26">
      <c r="A317" s="424">
        <v>93304</v>
      </c>
      <c r="B317" s="423" t="s">
        <v>1025</v>
      </c>
      <c r="C317" s="234">
        <v>3.3500000000000001E-5</v>
      </c>
      <c r="D317" s="234">
        <v>4.5300000000000003E-5</v>
      </c>
      <c r="E317" s="231">
        <v>188988</v>
      </c>
      <c r="F317" s="231" t="s">
        <v>1924</v>
      </c>
      <c r="G317" s="392">
        <v>8143</v>
      </c>
      <c r="H317" s="392">
        <v>62462</v>
      </c>
      <c r="I317" s="392">
        <v>18857</v>
      </c>
      <c r="J317" s="231">
        <v>14947</v>
      </c>
      <c r="K317" s="231">
        <v>104409</v>
      </c>
      <c r="L317" s="231"/>
      <c r="M317" s="300">
        <v>798</v>
      </c>
      <c r="N317" s="300">
        <v>0</v>
      </c>
      <c r="O317" s="300">
        <v>0</v>
      </c>
      <c r="P317" s="231">
        <v>13649</v>
      </c>
      <c r="Q317" s="231">
        <v>14447</v>
      </c>
      <c r="R317" s="231"/>
      <c r="S317" s="392">
        <v>53513</v>
      </c>
      <c r="T317" s="231">
        <v>6245</v>
      </c>
      <c r="U317" s="396">
        <v>59758</v>
      </c>
      <c r="V317" s="231"/>
      <c r="W317" s="396">
        <v>341099</v>
      </c>
      <c r="X317" s="396">
        <v>63640</v>
      </c>
      <c r="Y317" s="396"/>
      <c r="Z317" s="396"/>
    </row>
    <row r="318" spans="1:26">
      <c r="A318" s="424">
        <v>93305</v>
      </c>
      <c r="B318" s="423" t="s">
        <v>1026</v>
      </c>
      <c r="C318" s="234">
        <v>2.8900000000000001E-5</v>
      </c>
      <c r="D318" s="234">
        <v>3.0199999999999999E-5</v>
      </c>
      <c r="E318" s="231">
        <v>163037</v>
      </c>
      <c r="F318" s="231" t="s">
        <v>1924</v>
      </c>
      <c r="G318" s="392">
        <v>7025</v>
      </c>
      <c r="H318" s="392">
        <v>53886</v>
      </c>
      <c r="I318" s="392">
        <v>16267</v>
      </c>
      <c r="J318" s="231">
        <v>0</v>
      </c>
      <c r="K318" s="231">
        <v>77178</v>
      </c>
      <c r="L318" s="231"/>
      <c r="M318" s="300">
        <v>689</v>
      </c>
      <c r="N318" s="300">
        <v>0</v>
      </c>
      <c r="O318" s="300">
        <v>0</v>
      </c>
      <c r="P318" s="231">
        <v>7477</v>
      </c>
      <c r="Q318" s="231">
        <v>8166</v>
      </c>
      <c r="R318" s="231"/>
      <c r="S318" s="392">
        <v>46165</v>
      </c>
      <c r="T318" s="231">
        <v>-5872</v>
      </c>
      <c r="U318" s="396">
        <v>40293</v>
      </c>
      <c r="V318" s="231"/>
      <c r="W318" s="396">
        <v>294261</v>
      </c>
      <c r="X318" s="396">
        <v>54901</v>
      </c>
      <c r="Y318" s="396"/>
      <c r="Z318" s="396"/>
    </row>
    <row r="319" spans="1:26">
      <c r="A319" s="424">
        <v>93309</v>
      </c>
      <c r="B319" s="423" t="s">
        <v>1027</v>
      </c>
      <c r="C319" s="234">
        <v>1.7540000000000001E-4</v>
      </c>
      <c r="D319" s="234">
        <v>1.6750000000000001E-4</v>
      </c>
      <c r="E319" s="231">
        <v>989506</v>
      </c>
      <c r="F319" s="231" t="s">
        <v>1924</v>
      </c>
      <c r="G319" s="392">
        <v>42637</v>
      </c>
      <c r="H319" s="392">
        <v>327042</v>
      </c>
      <c r="I319" s="392">
        <v>98731</v>
      </c>
      <c r="J319" s="231">
        <v>35007</v>
      </c>
      <c r="K319" s="231">
        <v>503417</v>
      </c>
      <c r="L319" s="231"/>
      <c r="M319" s="300">
        <v>4180</v>
      </c>
      <c r="N319" s="300">
        <v>0</v>
      </c>
      <c r="O319" s="300">
        <v>0</v>
      </c>
      <c r="P319" s="231">
        <v>0</v>
      </c>
      <c r="Q319" s="231">
        <v>4180</v>
      </c>
      <c r="R319" s="231"/>
      <c r="S319" s="392">
        <v>280184</v>
      </c>
      <c r="T319" s="231">
        <v>21914</v>
      </c>
      <c r="U319" s="396">
        <v>302098</v>
      </c>
      <c r="V319" s="231"/>
      <c r="W319" s="396">
        <v>1785932</v>
      </c>
      <c r="X319" s="396">
        <v>333206</v>
      </c>
      <c r="Y319" s="396"/>
      <c r="Z319" s="396"/>
    </row>
    <row r="320" spans="1:26">
      <c r="A320" s="424">
        <v>93311</v>
      </c>
      <c r="B320" s="423" t="s">
        <v>1028</v>
      </c>
      <c r="C320" s="234">
        <v>1.2187000000000001E-3</v>
      </c>
      <c r="D320" s="234">
        <v>1.1885000000000001E-3</v>
      </c>
      <c r="E320" s="231">
        <v>6875208</v>
      </c>
      <c r="F320" s="231" t="s">
        <v>1924</v>
      </c>
      <c r="G320" s="392">
        <v>296246</v>
      </c>
      <c r="H320" s="392">
        <v>2272328</v>
      </c>
      <c r="I320" s="392">
        <v>685992</v>
      </c>
      <c r="J320" s="231">
        <v>17162</v>
      </c>
      <c r="K320" s="231">
        <v>3271728</v>
      </c>
      <c r="L320" s="231"/>
      <c r="M320" s="300">
        <v>29045</v>
      </c>
      <c r="N320" s="300">
        <v>0</v>
      </c>
      <c r="O320" s="300">
        <v>0</v>
      </c>
      <c r="P320" s="231">
        <v>228688</v>
      </c>
      <c r="Q320" s="231">
        <v>257733</v>
      </c>
      <c r="R320" s="231"/>
      <c r="S320" s="392">
        <v>1946753</v>
      </c>
      <c r="T320" s="231">
        <v>-95521</v>
      </c>
      <c r="U320" s="396">
        <v>1851232</v>
      </c>
      <c r="V320" s="231"/>
      <c r="W320" s="396">
        <v>12408866</v>
      </c>
      <c r="X320" s="396">
        <v>2315153</v>
      </c>
      <c r="Y320" s="396"/>
      <c r="Z320" s="396"/>
    </row>
    <row r="321" spans="1:26">
      <c r="A321" s="424">
        <v>93317</v>
      </c>
      <c r="B321" s="423" t="s">
        <v>1029</v>
      </c>
      <c r="C321" s="234">
        <v>3.9400000000000002E-5</v>
      </c>
      <c r="D321" s="234">
        <v>4.0099999999999999E-5</v>
      </c>
      <c r="E321" s="231">
        <v>222272</v>
      </c>
      <c r="F321" s="231" t="s">
        <v>1924</v>
      </c>
      <c r="G321" s="392">
        <v>9578</v>
      </c>
      <c r="H321" s="392">
        <v>73463</v>
      </c>
      <c r="I321" s="392">
        <v>22178</v>
      </c>
      <c r="J321" s="231">
        <v>3112</v>
      </c>
      <c r="K321" s="231">
        <v>108331</v>
      </c>
      <c r="L321" s="231"/>
      <c r="M321" s="300">
        <v>939</v>
      </c>
      <c r="N321" s="300">
        <v>0</v>
      </c>
      <c r="O321" s="300">
        <v>0</v>
      </c>
      <c r="P321" s="231">
        <v>4130</v>
      </c>
      <c r="Q321" s="231">
        <v>5069</v>
      </c>
      <c r="R321" s="231"/>
      <c r="S321" s="392">
        <v>62938</v>
      </c>
      <c r="T321" s="231">
        <v>-636</v>
      </c>
      <c r="U321" s="396">
        <v>62302</v>
      </c>
      <c r="V321" s="231"/>
      <c r="W321" s="396">
        <v>401173</v>
      </c>
      <c r="X321" s="396">
        <v>74848</v>
      </c>
      <c r="Y321" s="396"/>
      <c r="Z321" s="396"/>
    </row>
    <row r="322" spans="1:26">
      <c r="A322" s="424">
        <v>93321</v>
      </c>
      <c r="B322" s="423" t="s">
        <v>1030</v>
      </c>
      <c r="C322" s="234">
        <v>6.1843000000000002E-3</v>
      </c>
      <c r="D322" s="234">
        <v>6.6814999999999999E-3</v>
      </c>
      <c r="E322" s="231">
        <v>34888283</v>
      </c>
      <c r="F322" s="231" t="s">
        <v>1924</v>
      </c>
      <c r="G322" s="392">
        <v>1503304</v>
      </c>
      <c r="H322" s="392">
        <v>11530943</v>
      </c>
      <c r="I322" s="392">
        <v>3481068</v>
      </c>
      <c r="J322" s="231">
        <v>0</v>
      </c>
      <c r="K322" s="231">
        <v>16515315</v>
      </c>
      <c r="L322" s="231"/>
      <c r="M322" s="300">
        <v>147390</v>
      </c>
      <c r="N322" s="300">
        <v>0</v>
      </c>
      <c r="O322" s="300">
        <v>0</v>
      </c>
      <c r="P322" s="231">
        <v>885544</v>
      </c>
      <c r="Q322" s="231">
        <v>1032934</v>
      </c>
      <c r="R322" s="231"/>
      <c r="S322" s="392">
        <v>9878807</v>
      </c>
      <c r="T322" s="231">
        <v>-446437</v>
      </c>
      <c r="U322" s="396">
        <v>9432370</v>
      </c>
      <c r="V322" s="231"/>
      <c r="W322" s="396">
        <v>62968858</v>
      </c>
      <c r="X322" s="396">
        <v>11748259</v>
      </c>
      <c r="Y322" s="396"/>
      <c r="Z322" s="396"/>
    </row>
    <row r="323" spans="1:26">
      <c r="A323" s="424">
        <v>93323</v>
      </c>
      <c r="B323" s="423" t="s">
        <v>1031</v>
      </c>
      <c r="C323" s="234">
        <v>5.2599999999999998E-5</v>
      </c>
      <c r="D323" s="234">
        <v>4.57E-5</v>
      </c>
      <c r="E323" s="231">
        <v>296739</v>
      </c>
      <c r="F323" s="231" t="s">
        <v>1924</v>
      </c>
      <c r="G323" s="392">
        <v>12786</v>
      </c>
      <c r="H323" s="392">
        <v>98075</v>
      </c>
      <c r="I323" s="392">
        <v>29608</v>
      </c>
      <c r="J323" s="231">
        <v>29216</v>
      </c>
      <c r="K323" s="231">
        <v>169685</v>
      </c>
      <c r="L323" s="231"/>
      <c r="M323" s="300">
        <v>1254</v>
      </c>
      <c r="N323" s="300">
        <v>0</v>
      </c>
      <c r="O323" s="300">
        <v>0</v>
      </c>
      <c r="P323" s="231">
        <v>165</v>
      </c>
      <c r="Q323" s="231">
        <v>1419</v>
      </c>
      <c r="R323" s="231"/>
      <c r="S323" s="392">
        <v>84023</v>
      </c>
      <c r="T323" s="231">
        <v>15468</v>
      </c>
      <c r="U323" s="396">
        <v>99491</v>
      </c>
      <c r="V323" s="231"/>
      <c r="W323" s="396">
        <v>535576</v>
      </c>
      <c r="X323" s="396">
        <v>99924</v>
      </c>
      <c r="Y323" s="396"/>
      <c r="Z323" s="396"/>
    </row>
    <row r="324" spans="1:26">
      <c r="A324" s="424">
        <v>93331</v>
      </c>
      <c r="B324" s="423" t="s">
        <v>1032</v>
      </c>
      <c r="C324" s="234">
        <v>1.0179999999999999E-4</v>
      </c>
      <c r="D324" s="234">
        <v>9.1700000000000006E-5</v>
      </c>
      <c r="E324" s="231">
        <v>574297</v>
      </c>
      <c r="F324" s="231" t="s">
        <v>1924</v>
      </c>
      <c r="G324" s="392">
        <v>24746</v>
      </c>
      <c r="H324" s="392">
        <v>189811</v>
      </c>
      <c r="I324" s="392">
        <v>57302</v>
      </c>
      <c r="J324" s="231">
        <v>29633</v>
      </c>
      <c r="K324" s="231">
        <v>301492</v>
      </c>
      <c r="L324" s="231"/>
      <c r="M324" s="300">
        <v>2426</v>
      </c>
      <c r="N324" s="300">
        <v>0</v>
      </c>
      <c r="O324" s="300">
        <v>0</v>
      </c>
      <c r="P324" s="231">
        <v>42467</v>
      </c>
      <c r="Q324" s="231">
        <v>44893</v>
      </c>
      <c r="R324" s="231"/>
      <c r="S324" s="392">
        <v>162615</v>
      </c>
      <c r="T324" s="231">
        <v>-5563</v>
      </c>
      <c r="U324" s="396">
        <v>157052</v>
      </c>
      <c r="V324" s="231"/>
      <c r="W324" s="396">
        <v>1036533</v>
      </c>
      <c r="X324" s="396">
        <v>193389</v>
      </c>
      <c r="Y324" s="396"/>
      <c r="Z324" s="396"/>
    </row>
    <row r="325" spans="1:26">
      <c r="A325" s="424">
        <v>93333</v>
      </c>
      <c r="B325" s="423" t="s">
        <v>1033</v>
      </c>
      <c r="C325" s="234">
        <v>1.8799999999999999E-4</v>
      </c>
      <c r="D325" s="234">
        <v>1.9090000000000001E-4</v>
      </c>
      <c r="E325" s="231">
        <v>1060588</v>
      </c>
      <c r="F325" s="231" t="s">
        <v>1924</v>
      </c>
      <c r="G325" s="392">
        <v>45700</v>
      </c>
      <c r="H325" s="392">
        <v>350536</v>
      </c>
      <c r="I325" s="392">
        <v>105823</v>
      </c>
      <c r="J325" s="231">
        <v>85714</v>
      </c>
      <c r="K325" s="231">
        <v>587773</v>
      </c>
      <c r="L325" s="231"/>
      <c r="M325" s="300">
        <v>4481</v>
      </c>
      <c r="N325" s="300">
        <v>0</v>
      </c>
      <c r="O325" s="300">
        <v>0</v>
      </c>
      <c r="P325" s="231">
        <v>0</v>
      </c>
      <c r="Q325" s="231">
        <v>4481</v>
      </c>
      <c r="R325" s="231"/>
      <c r="S325" s="392">
        <v>300311</v>
      </c>
      <c r="T325" s="231">
        <v>51958</v>
      </c>
      <c r="U325" s="396">
        <v>352269</v>
      </c>
      <c r="V325" s="231"/>
      <c r="W325" s="396">
        <v>1914226</v>
      </c>
      <c r="X325" s="396">
        <v>357142</v>
      </c>
      <c r="Y325" s="396"/>
      <c r="Z325" s="396"/>
    </row>
    <row r="326" spans="1:26">
      <c r="A326" s="424">
        <v>93341</v>
      </c>
      <c r="B326" s="423" t="s">
        <v>1034</v>
      </c>
      <c r="C326" s="234">
        <v>2.23E-5</v>
      </c>
      <c r="D326" s="234">
        <v>3.43E-5</v>
      </c>
      <c r="E326" s="231">
        <v>125804</v>
      </c>
      <c r="F326" s="231" t="s">
        <v>1924</v>
      </c>
      <c r="G326" s="392">
        <v>5421</v>
      </c>
      <c r="H326" s="392">
        <v>41579</v>
      </c>
      <c r="I326" s="392">
        <v>12552</v>
      </c>
      <c r="J326" s="231">
        <v>8818</v>
      </c>
      <c r="K326" s="231">
        <v>68370</v>
      </c>
      <c r="L326" s="231"/>
      <c r="M326" s="300">
        <v>531</v>
      </c>
      <c r="N326" s="300">
        <v>0</v>
      </c>
      <c r="O326" s="300">
        <v>0</v>
      </c>
      <c r="P326" s="231">
        <v>16835</v>
      </c>
      <c r="Q326" s="231">
        <v>17366</v>
      </c>
      <c r="R326" s="231"/>
      <c r="S326" s="392">
        <v>35622</v>
      </c>
      <c r="T326" s="231">
        <v>-753</v>
      </c>
      <c r="U326" s="396">
        <v>34869</v>
      </c>
      <c r="V326" s="231"/>
      <c r="W326" s="396">
        <v>227060</v>
      </c>
      <c r="X326" s="396">
        <v>42363</v>
      </c>
      <c r="Y326" s="396"/>
      <c r="Z326" s="396"/>
    </row>
    <row r="327" spans="1:26">
      <c r="A327" s="425">
        <v>93351</v>
      </c>
      <c r="B327" s="426" t="s">
        <v>1035</v>
      </c>
      <c r="C327" s="234">
        <v>3.1999999999999999E-5</v>
      </c>
      <c r="D327" s="234">
        <v>3.0000000000000001E-5</v>
      </c>
      <c r="E327" s="231">
        <v>180526</v>
      </c>
      <c r="F327" s="231" t="s">
        <v>1924</v>
      </c>
      <c r="G327" s="392">
        <v>7779</v>
      </c>
      <c r="H327" s="392">
        <v>59666</v>
      </c>
      <c r="I327" s="392">
        <v>18012</v>
      </c>
      <c r="J327" s="231">
        <v>3551</v>
      </c>
      <c r="K327" s="231">
        <v>89008</v>
      </c>
      <c r="L327" s="231"/>
      <c r="M327" s="300">
        <v>763</v>
      </c>
      <c r="N327" s="300">
        <v>0</v>
      </c>
      <c r="O327" s="300">
        <v>0</v>
      </c>
      <c r="P327" s="231">
        <v>3355</v>
      </c>
      <c r="Q327" s="231">
        <v>4118</v>
      </c>
      <c r="R327" s="231"/>
      <c r="S327" s="392">
        <v>51117</v>
      </c>
      <c r="T327" s="231">
        <v>-2372</v>
      </c>
      <c r="U327" s="396">
        <v>48745</v>
      </c>
      <c r="V327" s="231"/>
      <c r="W327" s="396">
        <v>325826</v>
      </c>
      <c r="X327" s="396">
        <v>60790</v>
      </c>
      <c r="Y327" s="396"/>
      <c r="Z327" s="396"/>
    </row>
    <row r="328" spans="1:26">
      <c r="A328" s="424">
        <v>93401</v>
      </c>
      <c r="B328" s="423" t="s">
        <v>1036</v>
      </c>
      <c r="C328" s="234">
        <v>1.3252999999999999E-2</v>
      </c>
      <c r="D328" s="234">
        <v>1.37733E-2</v>
      </c>
      <c r="E328" s="231">
        <v>74765845</v>
      </c>
      <c r="F328" s="231" t="s">
        <v>1924</v>
      </c>
      <c r="G328" s="392">
        <v>3221592</v>
      </c>
      <c r="H328" s="392">
        <v>24710894</v>
      </c>
      <c r="I328" s="392">
        <v>7459955</v>
      </c>
      <c r="J328" s="231">
        <v>64717</v>
      </c>
      <c r="K328" s="231">
        <v>35457158</v>
      </c>
      <c r="L328" s="231"/>
      <c r="M328" s="300">
        <v>315859</v>
      </c>
      <c r="N328" s="300">
        <v>0</v>
      </c>
      <c r="O328" s="300">
        <v>0</v>
      </c>
      <c r="P328" s="231">
        <v>1001807</v>
      </c>
      <c r="Q328" s="231">
        <v>1317666</v>
      </c>
      <c r="R328" s="231"/>
      <c r="S328" s="392">
        <v>21170355</v>
      </c>
      <c r="T328" s="231">
        <v>-305468</v>
      </c>
      <c r="U328" s="396">
        <v>20864887</v>
      </c>
      <c r="V328" s="231"/>
      <c r="W328" s="396">
        <v>134942722</v>
      </c>
      <c r="X328" s="396">
        <v>25176605</v>
      </c>
      <c r="Y328" s="396"/>
      <c r="Z328" s="396"/>
    </row>
    <row r="329" spans="1:26">
      <c r="A329" s="424">
        <v>93402</v>
      </c>
      <c r="B329" s="423" t="s">
        <v>1037</v>
      </c>
      <c r="C329" s="234">
        <v>0</v>
      </c>
      <c r="D329" s="234">
        <v>0</v>
      </c>
      <c r="E329" s="231">
        <v>0</v>
      </c>
      <c r="F329" s="231" t="s">
        <v>1924</v>
      </c>
      <c r="G329" s="392">
        <v>0</v>
      </c>
      <c r="H329" s="392">
        <v>0</v>
      </c>
      <c r="I329" s="392">
        <v>0</v>
      </c>
      <c r="J329" s="231">
        <v>0</v>
      </c>
      <c r="K329" s="231">
        <v>0</v>
      </c>
      <c r="L329" s="231"/>
      <c r="M329" s="300">
        <v>0</v>
      </c>
      <c r="N329" s="300">
        <v>0</v>
      </c>
      <c r="O329" s="300">
        <v>0</v>
      </c>
      <c r="P329" s="231">
        <v>16204</v>
      </c>
      <c r="Q329" s="231">
        <v>16204</v>
      </c>
      <c r="R329" s="231"/>
      <c r="S329" s="392">
        <v>0</v>
      </c>
      <c r="T329" s="231">
        <v>-18172</v>
      </c>
      <c r="U329" s="396">
        <v>-18172</v>
      </c>
      <c r="V329" s="231"/>
      <c r="W329" s="396">
        <v>0</v>
      </c>
      <c r="X329" s="396">
        <v>0</v>
      </c>
      <c r="Y329" s="396"/>
      <c r="Z329" s="396"/>
    </row>
    <row r="330" spans="1:26">
      <c r="A330" s="424">
        <v>93406</v>
      </c>
      <c r="B330" s="423" t="s">
        <v>1038</v>
      </c>
      <c r="C330" s="234">
        <v>5.9909999999999998E-4</v>
      </c>
      <c r="D330" s="234">
        <v>5.7970000000000005E-4</v>
      </c>
      <c r="E330" s="231">
        <v>3379780</v>
      </c>
      <c r="F330" s="231" t="s">
        <v>1924</v>
      </c>
      <c r="G330" s="392">
        <v>145632</v>
      </c>
      <c r="H330" s="392">
        <v>1117053</v>
      </c>
      <c r="I330" s="392">
        <v>337226</v>
      </c>
      <c r="J330" s="231">
        <v>145323</v>
      </c>
      <c r="K330" s="231">
        <v>1745234</v>
      </c>
      <c r="L330" s="231"/>
      <c r="M330" s="300">
        <v>14278</v>
      </c>
      <c r="N330" s="300">
        <v>0</v>
      </c>
      <c r="O330" s="300">
        <v>0</v>
      </c>
      <c r="P330" s="231">
        <v>0</v>
      </c>
      <c r="Q330" s="231">
        <v>14278</v>
      </c>
      <c r="R330" s="231"/>
      <c r="S330" s="392">
        <v>957003</v>
      </c>
      <c r="T330" s="231">
        <v>50454</v>
      </c>
      <c r="U330" s="396">
        <v>1007457</v>
      </c>
      <c r="V330" s="231"/>
      <c r="W330" s="396">
        <v>6100067</v>
      </c>
      <c r="X330" s="396">
        <v>1138105</v>
      </c>
      <c r="Y330" s="396"/>
      <c r="Z330" s="396"/>
    </row>
    <row r="331" spans="1:26">
      <c r="A331" s="424">
        <v>93411</v>
      </c>
      <c r="B331" s="423" t="s">
        <v>1040</v>
      </c>
      <c r="C331" s="234">
        <v>1.6267899999999998E-2</v>
      </c>
      <c r="D331" s="234">
        <v>1.7717E-2</v>
      </c>
      <c r="E331" s="231">
        <v>91774187</v>
      </c>
      <c r="F331" s="231" t="s">
        <v>1924</v>
      </c>
      <c r="G331" s="392">
        <v>3954466</v>
      </c>
      <c r="H331" s="392">
        <v>30332329</v>
      </c>
      <c r="I331" s="392">
        <v>9157006</v>
      </c>
      <c r="J331" s="231">
        <v>98058</v>
      </c>
      <c r="K331" s="231">
        <v>43541859</v>
      </c>
      <c r="L331" s="231"/>
      <c r="M331" s="300">
        <v>387713</v>
      </c>
      <c r="N331" s="300">
        <v>0</v>
      </c>
      <c r="O331" s="300">
        <v>0</v>
      </c>
      <c r="P331" s="231">
        <v>2950503</v>
      </c>
      <c r="Q331" s="231">
        <v>3338216</v>
      </c>
      <c r="R331" s="231"/>
      <c r="S331" s="392">
        <v>25986360</v>
      </c>
      <c r="T331" s="231">
        <v>-850357</v>
      </c>
      <c r="U331" s="396">
        <v>25136003</v>
      </c>
      <c r="V331" s="231"/>
      <c r="W331" s="396">
        <v>165640587</v>
      </c>
      <c r="X331" s="396">
        <v>30903983</v>
      </c>
      <c r="Y331" s="396"/>
      <c r="Z331" s="396"/>
    </row>
    <row r="332" spans="1:26">
      <c r="A332" s="424">
        <v>93413</v>
      </c>
      <c r="B332" s="423" t="s">
        <v>1041</v>
      </c>
      <c r="C332" s="234">
        <v>6.912E-4</v>
      </c>
      <c r="D332" s="234">
        <v>7.1159999999999995E-4</v>
      </c>
      <c r="E332" s="231">
        <v>3899355</v>
      </c>
      <c r="F332" s="231" t="s">
        <v>1924</v>
      </c>
      <c r="G332" s="392">
        <v>168020</v>
      </c>
      <c r="H332" s="392">
        <v>1288778</v>
      </c>
      <c r="I332" s="392">
        <v>389068</v>
      </c>
      <c r="J332" s="231">
        <v>34096</v>
      </c>
      <c r="K332" s="231">
        <v>1879962</v>
      </c>
      <c r="L332" s="231"/>
      <c r="M332" s="300">
        <v>16473</v>
      </c>
      <c r="N332" s="300">
        <v>0</v>
      </c>
      <c r="O332" s="300">
        <v>0</v>
      </c>
      <c r="P332" s="231">
        <v>28484</v>
      </c>
      <c r="Q332" s="231">
        <v>44957</v>
      </c>
      <c r="R332" s="231"/>
      <c r="S332" s="392">
        <v>1104124</v>
      </c>
      <c r="T332" s="231">
        <v>2087</v>
      </c>
      <c r="U332" s="396">
        <v>1106211</v>
      </c>
      <c r="V332" s="231"/>
      <c r="W332" s="396">
        <v>7037834</v>
      </c>
      <c r="X332" s="396">
        <v>1313066</v>
      </c>
      <c r="Y332" s="396"/>
      <c r="Z332" s="396"/>
    </row>
    <row r="333" spans="1:26">
      <c r="A333" s="424">
        <v>93417</v>
      </c>
      <c r="B333" s="423" t="s">
        <v>1042</v>
      </c>
      <c r="C333" s="234">
        <v>2.875E-4</v>
      </c>
      <c r="D333" s="234">
        <v>2.9250000000000001E-4</v>
      </c>
      <c r="E333" s="231">
        <v>1621911</v>
      </c>
      <c r="F333" s="231" t="s">
        <v>1924</v>
      </c>
      <c r="G333" s="392">
        <v>69887</v>
      </c>
      <c r="H333" s="392">
        <v>536058</v>
      </c>
      <c r="I333" s="392">
        <v>161830</v>
      </c>
      <c r="J333" s="231">
        <v>71699</v>
      </c>
      <c r="K333" s="231">
        <v>839474</v>
      </c>
      <c r="L333" s="231"/>
      <c r="M333" s="300">
        <v>6852</v>
      </c>
      <c r="N333" s="300">
        <v>0</v>
      </c>
      <c r="O333" s="300">
        <v>0</v>
      </c>
      <c r="P333" s="231">
        <v>765</v>
      </c>
      <c r="Q333" s="231">
        <v>7617</v>
      </c>
      <c r="R333" s="231"/>
      <c r="S333" s="392">
        <v>459253</v>
      </c>
      <c r="T333" s="231">
        <v>39194</v>
      </c>
      <c r="U333" s="396">
        <v>498447</v>
      </c>
      <c r="V333" s="231"/>
      <c r="W333" s="396">
        <v>2927340</v>
      </c>
      <c r="X333" s="396">
        <v>546161</v>
      </c>
      <c r="Y333" s="396"/>
      <c r="Z333" s="396"/>
    </row>
    <row r="334" spans="1:26">
      <c r="A334" s="424">
        <v>93421</v>
      </c>
      <c r="B334" s="423" t="s">
        <v>1043</v>
      </c>
      <c r="C334" s="234">
        <v>1.9032999999999999E-3</v>
      </c>
      <c r="D334" s="234">
        <v>1.8813E-3</v>
      </c>
      <c r="E334" s="231">
        <v>10737330</v>
      </c>
      <c r="F334" s="231" t="s">
        <v>1924</v>
      </c>
      <c r="G334" s="392">
        <v>462662</v>
      </c>
      <c r="H334" s="392">
        <v>3548800</v>
      </c>
      <c r="I334" s="392">
        <v>1071345</v>
      </c>
      <c r="J334" s="231">
        <v>0</v>
      </c>
      <c r="K334" s="231">
        <v>5082807</v>
      </c>
      <c r="L334" s="231"/>
      <c r="M334" s="300">
        <v>45361</v>
      </c>
      <c r="N334" s="300">
        <v>0</v>
      </c>
      <c r="O334" s="300">
        <v>0</v>
      </c>
      <c r="P334" s="231">
        <v>275612</v>
      </c>
      <c r="Q334" s="231">
        <v>320973</v>
      </c>
      <c r="R334" s="231"/>
      <c r="S334" s="392">
        <v>3040333</v>
      </c>
      <c r="T334" s="231">
        <v>-180759</v>
      </c>
      <c r="U334" s="396">
        <v>2859574</v>
      </c>
      <c r="V334" s="231"/>
      <c r="W334" s="396">
        <v>19379498</v>
      </c>
      <c r="X334" s="396">
        <v>3615682</v>
      </c>
      <c r="Y334" s="396"/>
      <c r="Z334" s="396"/>
    </row>
    <row r="335" spans="1:26">
      <c r="A335" s="424">
        <v>93431</v>
      </c>
      <c r="B335" s="423" t="s">
        <v>1044</v>
      </c>
      <c r="C335" s="234">
        <v>1.2899999999999999E-4</v>
      </c>
      <c r="D335" s="234">
        <v>1.5009999999999999E-4</v>
      </c>
      <c r="E335" s="231">
        <v>727744</v>
      </c>
      <c r="F335" s="231" t="s">
        <v>1924</v>
      </c>
      <c r="G335" s="392">
        <v>31358</v>
      </c>
      <c r="H335" s="392">
        <v>240527</v>
      </c>
      <c r="I335" s="392">
        <v>72613</v>
      </c>
      <c r="J335" s="231">
        <v>20958</v>
      </c>
      <c r="K335" s="231">
        <v>365456</v>
      </c>
      <c r="L335" s="231"/>
      <c r="M335" s="300">
        <v>3074</v>
      </c>
      <c r="N335" s="300">
        <v>0</v>
      </c>
      <c r="O335" s="300">
        <v>0</v>
      </c>
      <c r="P335" s="231">
        <v>33609</v>
      </c>
      <c r="Q335" s="231">
        <v>36683</v>
      </c>
      <c r="R335" s="231"/>
      <c r="S335" s="392">
        <v>206065</v>
      </c>
      <c r="T335" s="231">
        <v>567</v>
      </c>
      <c r="U335" s="396">
        <v>206632</v>
      </c>
      <c r="V335" s="231"/>
      <c r="W335" s="396">
        <v>1313485</v>
      </c>
      <c r="X335" s="396">
        <v>245060</v>
      </c>
      <c r="Y335" s="396"/>
      <c r="Z335" s="396"/>
    </row>
    <row r="336" spans="1:26">
      <c r="A336" s="424">
        <v>93441</v>
      </c>
      <c r="B336" s="423" t="s">
        <v>1045</v>
      </c>
      <c r="C336" s="234">
        <v>1.7890000000000001E-4</v>
      </c>
      <c r="D336" s="234">
        <v>1.573E-4</v>
      </c>
      <c r="E336" s="231">
        <v>1009251</v>
      </c>
      <c r="F336" s="231" t="s">
        <v>1924</v>
      </c>
      <c r="G336" s="392">
        <v>43488</v>
      </c>
      <c r="H336" s="392">
        <v>333568</v>
      </c>
      <c r="I336" s="392">
        <v>100701</v>
      </c>
      <c r="J336" s="231">
        <v>32318</v>
      </c>
      <c r="K336" s="231">
        <v>510075</v>
      </c>
      <c r="L336" s="231"/>
      <c r="M336" s="300">
        <v>4264</v>
      </c>
      <c r="N336" s="300">
        <v>0</v>
      </c>
      <c r="O336" s="300">
        <v>0</v>
      </c>
      <c r="P336" s="231">
        <v>11519</v>
      </c>
      <c r="Q336" s="231">
        <v>15783</v>
      </c>
      <c r="R336" s="231"/>
      <c r="S336" s="392">
        <v>285775</v>
      </c>
      <c r="T336" s="231">
        <v>6098</v>
      </c>
      <c r="U336" s="396">
        <v>291873</v>
      </c>
      <c r="V336" s="231"/>
      <c r="W336" s="396">
        <v>1821569</v>
      </c>
      <c r="X336" s="396">
        <v>339855</v>
      </c>
      <c r="Y336" s="396"/>
      <c r="Z336" s="396"/>
    </row>
    <row r="337" spans="1:26">
      <c r="A337" s="424">
        <v>93442</v>
      </c>
      <c r="B337" s="423" t="s">
        <v>1046</v>
      </c>
      <c r="C337" s="234">
        <v>1.5330000000000001E-4</v>
      </c>
      <c r="D337" s="234">
        <v>1.3750000000000001E-4</v>
      </c>
      <c r="E337" s="231">
        <v>864831</v>
      </c>
      <c r="F337" s="231" t="s">
        <v>1924</v>
      </c>
      <c r="G337" s="392">
        <v>37265</v>
      </c>
      <c r="H337" s="392">
        <v>285836</v>
      </c>
      <c r="I337" s="392">
        <v>86291</v>
      </c>
      <c r="J337" s="231">
        <v>17170</v>
      </c>
      <c r="K337" s="231">
        <v>426562</v>
      </c>
      <c r="L337" s="231"/>
      <c r="M337" s="300">
        <v>3654</v>
      </c>
      <c r="N337" s="300">
        <v>0</v>
      </c>
      <c r="O337" s="300">
        <v>0</v>
      </c>
      <c r="P337" s="231">
        <v>24079</v>
      </c>
      <c r="Q337" s="231">
        <v>27733</v>
      </c>
      <c r="R337" s="231"/>
      <c r="S337" s="392">
        <v>244882</v>
      </c>
      <c r="T337" s="231">
        <v>-11561</v>
      </c>
      <c r="U337" s="396">
        <v>233321</v>
      </c>
      <c r="V337" s="231"/>
      <c r="W337" s="396">
        <v>1560908</v>
      </c>
      <c r="X337" s="396">
        <v>291223</v>
      </c>
      <c r="Y337" s="396"/>
      <c r="Z337" s="396"/>
    </row>
    <row r="338" spans="1:26">
      <c r="A338" s="424">
        <v>93451</v>
      </c>
      <c r="B338" s="423" t="s">
        <v>1047</v>
      </c>
      <c r="C338" s="234">
        <v>7.6600000000000005E-5</v>
      </c>
      <c r="D338" s="234">
        <v>6.3E-5</v>
      </c>
      <c r="E338" s="231">
        <v>432133</v>
      </c>
      <c r="F338" s="231" t="s">
        <v>1924</v>
      </c>
      <c r="G338" s="392">
        <v>18620</v>
      </c>
      <c r="H338" s="392">
        <v>142825</v>
      </c>
      <c r="I338" s="392">
        <v>43117</v>
      </c>
      <c r="J338" s="231">
        <v>41046</v>
      </c>
      <c r="K338" s="231">
        <v>245608</v>
      </c>
      <c r="L338" s="231"/>
      <c r="M338" s="300">
        <v>1826</v>
      </c>
      <c r="N338" s="300">
        <v>0</v>
      </c>
      <c r="O338" s="300">
        <v>0</v>
      </c>
      <c r="P338" s="231">
        <v>248</v>
      </c>
      <c r="Q338" s="231">
        <v>2074</v>
      </c>
      <c r="R338" s="231"/>
      <c r="S338" s="392">
        <v>122361</v>
      </c>
      <c r="T338" s="231">
        <v>19070</v>
      </c>
      <c r="U338" s="396">
        <v>141431</v>
      </c>
      <c r="V338" s="231"/>
      <c r="W338" s="396">
        <v>779945</v>
      </c>
      <c r="X338" s="396">
        <v>145516</v>
      </c>
      <c r="Y338" s="396"/>
      <c r="Z338" s="396"/>
    </row>
    <row r="339" spans="1:26">
      <c r="A339" s="424">
        <v>93461</v>
      </c>
      <c r="B339" s="423" t="s">
        <v>1048</v>
      </c>
      <c r="C339" s="234">
        <v>1.5500000000000001E-5</v>
      </c>
      <c r="D339" s="234">
        <v>1.5699999999999999E-5</v>
      </c>
      <c r="E339" s="231">
        <v>87442</v>
      </c>
      <c r="F339" s="231" t="s">
        <v>1924</v>
      </c>
      <c r="G339" s="392">
        <v>3768</v>
      </c>
      <c r="H339" s="392">
        <v>28901</v>
      </c>
      <c r="I339" s="392">
        <v>8725</v>
      </c>
      <c r="J339" s="231">
        <v>732</v>
      </c>
      <c r="K339" s="231">
        <v>42126</v>
      </c>
      <c r="L339" s="231"/>
      <c r="M339" s="300">
        <v>369</v>
      </c>
      <c r="N339" s="300">
        <v>0</v>
      </c>
      <c r="O339" s="300">
        <v>0</v>
      </c>
      <c r="P339" s="231">
        <v>909</v>
      </c>
      <c r="Q339" s="231">
        <v>1278</v>
      </c>
      <c r="R339" s="231"/>
      <c r="S339" s="392">
        <v>24760</v>
      </c>
      <c r="T339" s="231">
        <v>-18</v>
      </c>
      <c r="U339" s="396">
        <v>24742</v>
      </c>
      <c r="V339" s="231"/>
      <c r="W339" s="396">
        <v>157822</v>
      </c>
      <c r="X339" s="396">
        <v>29445</v>
      </c>
      <c r="Y339" s="396"/>
      <c r="Z339" s="396"/>
    </row>
    <row r="340" spans="1:26">
      <c r="A340" s="424">
        <v>93471</v>
      </c>
      <c r="B340" s="423" t="s">
        <v>1049</v>
      </c>
      <c r="C340" s="234">
        <v>1.11E-5</v>
      </c>
      <c r="D340" s="234">
        <v>1.2099999999999999E-5</v>
      </c>
      <c r="E340" s="231">
        <v>62620</v>
      </c>
      <c r="F340" s="231" t="s">
        <v>1924</v>
      </c>
      <c r="G340" s="392">
        <v>2698</v>
      </c>
      <c r="H340" s="392">
        <v>20697</v>
      </c>
      <c r="I340" s="392">
        <v>6248</v>
      </c>
      <c r="J340" s="231">
        <v>8746</v>
      </c>
      <c r="K340" s="231">
        <v>38389</v>
      </c>
      <c r="L340" s="231"/>
      <c r="M340" s="300">
        <v>265</v>
      </c>
      <c r="N340" s="300">
        <v>0</v>
      </c>
      <c r="O340" s="300">
        <v>0</v>
      </c>
      <c r="P340" s="231">
        <v>0</v>
      </c>
      <c r="Q340" s="231">
        <v>265</v>
      </c>
      <c r="R340" s="231"/>
      <c r="S340" s="392">
        <v>17731</v>
      </c>
      <c r="T340" s="231">
        <v>5221</v>
      </c>
      <c r="U340" s="396">
        <v>22952</v>
      </c>
      <c r="V340" s="231"/>
      <c r="W340" s="396">
        <v>113021</v>
      </c>
      <c r="X340" s="396">
        <v>21087</v>
      </c>
      <c r="Y340" s="396"/>
      <c r="Z340" s="396"/>
    </row>
    <row r="341" spans="1:26">
      <c r="A341" s="424">
        <v>93501</v>
      </c>
      <c r="B341" s="423" t="s">
        <v>1050</v>
      </c>
      <c r="C341" s="234">
        <v>3.5991999999999999E-3</v>
      </c>
      <c r="D341" s="234">
        <v>3.5084999999999999E-3</v>
      </c>
      <c r="E341" s="231">
        <v>20304628</v>
      </c>
      <c r="F341" s="231" t="s">
        <v>1924</v>
      </c>
      <c r="G341" s="392">
        <v>874908</v>
      </c>
      <c r="H341" s="392">
        <v>6710892</v>
      </c>
      <c r="I341" s="392">
        <v>2025946</v>
      </c>
      <c r="J341" s="231">
        <v>236424</v>
      </c>
      <c r="K341" s="231">
        <v>9848170</v>
      </c>
      <c r="L341" s="231"/>
      <c r="M341" s="300">
        <v>85780</v>
      </c>
      <c r="N341" s="300">
        <v>0</v>
      </c>
      <c r="O341" s="300">
        <v>0</v>
      </c>
      <c r="P341" s="231">
        <v>276855</v>
      </c>
      <c r="Q341" s="231">
        <v>362635</v>
      </c>
      <c r="R341" s="231"/>
      <c r="S341" s="392">
        <v>5749366</v>
      </c>
      <c r="T341" s="231">
        <v>-58659</v>
      </c>
      <c r="U341" s="396">
        <v>5690707</v>
      </c>
      <c r="V341" s="231"/>
      <c r="W341" s="396">
        <v>36647238</v>
      </c>
      <c r="X341" s="396">
        <v>6837368</v>
      </c>
      <c r="Y341" s="396"/>
      <c r="Z341" s="396"/>
    </row>
    <row r="342" spans="1:26">
      <c r="A342" s="424">
        <v>93511</v>
      </c>
      <c r="B342" s="423" t="s">
        <v>1051</v>
      </c>
      <c r="C342" s="234">
        <v>1.272E-4</v>
      </c>
      <c r="D342" s="234">
        <v>8.2100000000000003E-5</v>
      </c>
      <c r="E342" s="231">
        <v>717590</v>
      </c>
      <c r="F342" s="231" t="s">
        <v>1924</v>
      </c>
      <c r="G342" s="392">
        <v>30920</v>
      </c>
      <c r="H342" s="392">
        <v>237171</v>
      </c>
      <c r="I342" s="392">
        <v>71599</v>
      </c>
      <c r="J342" s="231">
        <v>74667</v>
      </c>
      <c r="K342" s="231">
        <v>414357</v>
      </c>
      <c r="L342" s="231"/>
      <c r="M342" s="300">
        <v>3032</v>
      </c>
      <c r="N342" s="300">
        <v>0</v>
      </c>
      <c r="O342" s="300">
        <v>0</v>
      </c>
      <c r="P342" s="231">
        <v>607</v>
      </c>
      <c r="Q342" s="231">
        <v>3639</v>
      </c>
      <c r="R342" s="231"/>
      <c r="S342" s="392">
        <v>203189</v>
      </c>
      <c r="T342" s="231">
        <v>26942</v>
      </c>
      <c r="U342" s="396">
        <v>230131</v>
      </c>
      <c r="V342" s="231"/>
      <c r="W342" s="396">
        <v>1295157</v>
      </c>
      <c r="X342" s="396">
        <v>241641</v>
      </c>
      <c r="Y342" s="396"/>
      <c r="Z342" s="396"/>
    </row>
    <row r="343" spans="1:26">
      <c r="A343" s="424">
        <v>93517</v>
      </c>
      <c r="B343" s="423" t="s">
        <v>1052</v>
      </c>
      <c r="C343" s="234">
        <v>1.01E-5</v>
      </c>
      <c r="D343" s="234">
        <v>4.5000000000000001E-6</v>
      </c>
      <c r="E343" s="231">
        <v>56978</v>
      </c>
      <c r="F343" s="231" t="s">
        <v>1924</v>
      </c>
      <c r="G343" s="392">
        <v>2455</v>
      </c>
      <c r="H343" s="392">
        <v>18832</v>
      </c>
      <c r="I343" s="392">
        <v>5685</v>
      </c>
      <c r="J343" s="231">
        <v>15035</v>
      </c>
      <c r="K343" s="231">
        <v>42007</v>
      </c>
      <c r="L343" s="231"/>
      <c r="M343" s="300">
        <v>241</v>
      </c>
      <c r="N343" s="300">
        <v>0</v>
      </c>
      <c r="O343" s="300">
        <v>0</v>
      </c>
      <c r="P343" s="231">
        <v>0</v>
      </c>
      <c r="Q343" s="231">
        <v>241</v>
      </c>
      <c r="R343" s="231"/>
      <c r="S343" s="392">
        <v>16134</v>
      </c>
      <c r="T343" s="231">
        <v>6347</v>
      </c>
      <c r="U343" s="396">
        <v>22481</v>
      </c>
      <c r="V343" s="231"/>
      <c r="W343" s="396">
        <v>102839</v>
      </c>
      <c r="X343" s="396">
        <v>19187</v>
      </c>
      <c r="Y343" s="396"/>
      <c r="Z343" s="396"/>
    </row>
    <row r="344" spans="1:26">
      <c r="A344" s="424">
        <v>93521</v>
      </c>
      <c r="B344" s="423" t="s">
        <v>1053</v>
      </c>
      <c r="C344" s="234">
        <v>4.4040000000000003E-4</v>
      </c>
      <c r="D344" s="234">
        <v>4.5629999999999998E-4</v>
      </c>
      <c r="E344" s="231">
        <v>2484485</v>
      </c>
      <c r="F344" s="231" t="s">
        <v>1924</v>
      </c>
      <c r="G344" s="392">
        <v>107054</v>
      </c>
      <c r="H344" s="392">
        <v>821148</v>
      </c>
      <c r="I344" s="392">
        <v>247896</v>
      </c>
      <c r="J344" s="231">
        <v>4677</v>
      </c>
      <c r="K344" s="231">
        <v>1180775</v>
      </c>
      <c r="L344" s="231"/>
      <c r="M344" s="300">
        <v>10496</v>
      </c>
      <c r="N344" s="300">
        <v>0</v>
      </c>
      <c r="O344" s="300">
        <v>0</v>
      </c>
      <c r="P344" s="231">
        <v>14299</v>
      </c>
      <c r="Q344" s="231">
        <v>24795</v>
      </c>
      <c r="R344" s="231"/>
      <c r="S344" s="392">
        <v>703495</v>
      </c>
      <c r="T344" s="231">
        <v>-5133</v>
      </c>
      <c r="U344" s="396">
        <v>698362</v>
      </c>
      <c r="V344" s="231"/>
      <c r="W344" s="396">
        <v>4484175</v>
      </c>
      <c r="X344" s="396">
        <v>836624</v>
      </c>
      <c r="Y344" s="396"/>
      <c r="Z344" s="396"/>
    </row>
    <row r="345" spans="1:26">
      <c r="A345" s="424">
        <v>93527</v>
      </c>
      <c r="B345" s="423" t="s">
        <v>1054</v>
      </c>
      <c r="C345" s="234">
        <v>1.4800000000000001E-5</v>
      </c>
      <c r="D345" s="234">
        <v>1.4800000000000001E-5</v>
      </c>
      <c r="E345" s="231">
        <v>83493</v>
      </c>
      <c r="F345" s="231" t="s">
        <v>1924</v>
      </c>
      <c r="G345" s="392">
        <v>3598</v>
      </c>
      <c r="H345" s="392">
        <v>27595</v>
      </c>
      <c r="I345" s="392">
        <v>8331</v>
      </c>
      <c r="J345" s="231">
        <v>15329</v>
      </c>
      <c r="K345" s="231">
        <v>54853</v>
      </c>
      <c r="L345" s="231"/>
      <c r="M345" s="300">
        <v>353</v>
      </c>
      <c r="N345" s="300">
        <v>0</v>
      </c>
      <c r="O345" s="300">
        <v>0</v>
      </c>
      <c r="P345" s="231">
        <v>0</v>
      </c>
      <c r="Q345" s="231">
        <v>353</v>
      </c>
      <c r="R345" s="231"/>
      <c r="S345" s="392">
        <v>23642</v>
      </c>
      <c r="T345" s="231">
        <v>8882</v>
      </c>
      <c r="U345" s="396">
        <v>32524</v>
      </c>
      <c r="V345" s="231"/>
      <c r="W345" s="396">
        <v>150694</v>
      </c>
      <c r="X345" s="396">
        <v>28115</v>
      </c>
      <c r="Y345" s="396"/>
      <c r="Z345" s="396"/>
    </row>
    <row r="346" spans="1:26">
      <c r="A346" s="424">
        <v>93531</v>
      </c>
      <c r="B346" s="423" t="s">
        <v>1055</v>
      </c>
      <c r="C346" s="234">
        <v>2.6999999999999999E-5</v>
      </c>
      <c r="D346" s="234">
        <v>2.5400000000000001E-5</v>
      </c>
      <c r="E346" s="231">
        <v>152319</v>
      </c>
      <c r="F346" s="231" t="s">
        <v>1924</v>
      </c>
      <c r="G346" s="392">
        <v>6563</v>
      </c>
      <c r="H346" s="392">
        <v>50343</v>
      </c>
      <c r="I346" s="392">
        <v>15198</v>
      </c>
      <c r="J346" s="231">
        <v>9607</v>
      </c>
      <c r="K346" s="231">
        <v>81711</v>
      </c>
      <c r="L346" s="231"/>
      <c r="M346" s="300">
        <v>643</v>
      </c>
      <c r="N346" s="300">
        <v>0</v>
      </c>
      <c r="O346" s="300">
        <v>0</v>
      </c>
      <c r="P346" s="231">
        <v>1531</v>
      </c>
      <c r="Q346" s="231">
        <v>2174</v>
      </c>
      <c r="R346" s="231"/>
      <c r="S346" s="392">
        <v>43130</v>
      </c>
      <c r="T346" s="231">
        <v>4966</v>
      </c>
      <c r="U346" s="396">
        <v>48096</v>
      </c>
      <c r="V346" s="231"/>
      <c r="W346" s="396">
        <v>274915</v>
      </c>
      <c r="X346" s="396">
        <v>51292</v>
      </c>
      <c r="Y346" s="396"/>
      <c r="Z346" s="396"/>
    </row>
    <row r="347" spans="1:26">
      <c r="A347" s="424">
        <v>93537</v>
      </c>
      <c r="B347" s="423" t="s">
        <v>1056</v>
      </c>
      <c r="C347" s="234">
        <v>1.03E-5</v>
      </c>
      <c r="D347" s="234">
        <v>9.7999999999999993E-6</v>
      </c>
      <c r="E347" s="231">
        <v>58107</v>
      </c>
      <c r="F347" s="231" t="s">
        <v>1924</v>
      </c>
      <c r="G347" s="392">
        <v>2504</v>
      </c>
      <c r="H347" s="392">
        <v>19205</v>
      </c>
      <c r="I347" s="392">
        <v>5798</v>
      </c>
      <c r="J347" s="231">
        <v>0</v>
      </c>
      <c r="K347" s="231">
        <v>27507</v>
      </c>
      <c r="L347" s="231"/>
      <c r="M347" s="300">
        <v>245</v>
      </c>
      <c r="N347" s="300">
        <v>0</v>
      </c>
      <c r="O347" s="300">
        <v>0</v>
      </c>
      <c r="P347" s="231">
        <v>2835</v>
      </c>
      <c r="Q347" s="231">
        <v>3080</v>
      </c>
      <c r="R347" s="231"/>
      <c r="S347" s="392">
        <v>16453</v>
      </c>
      <c r="T347" s="231">
        <v>-1994</v>
      </c>
      <c r="U347" s="396">
        <v>14459</v>
      </c>
      <c r="V347" s="231"/>
      <c r="W347" s="396">
        <v>104875</v>
      </c>
      <c r="X347" s="396">
        <v>19567</v>
      </c>
      <c r="Y347" s="396"/>
      <c r="Z347" s="396"/>
    </row>
    <row r="348" spans="1:26">
      <c r="A348" s="424">
        <v>93541</v>
      </c>
      <c r="B348" s="423" t="s">
        <v>1057</v>
      </c>
      <c r="C348" s="234">
        <v>2.0019999999999999E-4</v>
      </c>
      <c r="D348" s="234">
        <v>1.8760000000000001E-4</v>
      </c>
      <c r="E348" s="231">
        <v>1129414</v>
      </c>
      <c r="F348" s="231" t="s">
        <v>1924</v>
      </c>
      <c r="G348" s="392">
        <v>48665</v>
      </c>
      <c r="H348" s="392">
        <v>373283</v>
      </c>
      <c r="I348" s="392">
        <v>112690</v>
      </c>
      <c r="J348" s="231">
        <v>49692</v>
      </c>
      <c r="K348" s="231">
        <v>584330</v>
      </c>
      <c r="L348" s="231"/>
      <c r="M348" s="300">
        <v>4771</v>
      </c>
      <c r="N348" s="300">
        <v>0</v>
      </c>
      <c r="O348" s="300">
        <v>0</v>
      </c>
      <c r="P348" s="231">
        <v>0</v>
      </c>
      <c r="Q348" s="231">
        <v>4771</v>
      </c>
      <c r="R348" s="231"/>
      <c r="S348" s="392">
        <v>319800</v>
      </c>
      <c r="T348" s="231">
        <v>36228</v>
      </c>
      <c r="U348" s="396">
        <v>356028</v>
      </c>
      <c r="V348" s="231"/>
      <c r="W348" s="396">
        <v>2038447</v>
      </c>
      <c r="X348" s="396">
        <v>380318</v>
      </c>
      <c r="Y348" s="396"/>
      <c r="Z348" s="396"/>
    </row>
    <row r="349" spans="1:26">
      <c r="A349" s="424">
        <v>93601</v>
      </c>
      <c r="B349" s="423" t="s">
        <v>1058</v>
      </c>
      <c r="C349" s="234">
        <v>1.13095E-2</v>
      </c>
      <c r="D349" s="234">
        <v>1.1387599999999999E-2</v>
      </c>
      <c r="E349" s="231">
        <v>63801730</v>
      </c>
      <c r="F349" s="231" t="s">
        <v>1924</v>
      </c>
      <c r="G349" s="392">
        <v>2749158</v>
      </c>
      <c r="H349" s="392">
        <v>21087140</v>
      </c>
      <c r="I349" s="392">
        <v>6365982</v>
      </c>
      <c r="J349" s="231">
        <v>672679</v>
      </c>
      <c r="K349" s="231">
        <v>30874959</v>
      </c>
      <c r="L349" s="231"/>
      <c r="M349" s="300">
        <v>269539</v>
      </c>
      <c r="N349" s="300">
        <v>0</v>
      </c>
      <c r="O349" s="300">
        <v>0</v>
      </c>
      <c r="P349" s="231">
        <v>56962</v>
      </c>
      <c r="Q349" s="231">
        <v>326501</v>
      </c>
      <c r="R349" s="231"/>
      <c r="S349" s="392">
        <v>18065807</v>
      </c>
      <c r="T349" s="231">
        <v>358854</v>
      </c>
      <c r="U349" s="396">
        <v>18424661</v>
      </c>
      <c r="V349" s="231"/>
      <c r="W349" s="396">
        <v>115153906</v>
      </c>
      <c r="X349" s="396">
        <v>21484555</v>
      </c>
      <c r="Y349" s="396"/>
      <c r="Z349" s="396"/>
    </row>
    <row r="350" spans="1:26">
      <c r="A350" s="424">
        <v>93602</v>
      </c>
      <c r="B350" s="423" t="s">
        <v>1059</v>
      </c>
      <c r="C350" s="234">
        <v>1.7789999999999999E-4</v>
      </c>
      <c r="D350" s="234">
        <v>1.7000000000000001E-4</v>
      </c>
      <c r="E350" s="231">
        <v>1003610</v>
      </c>
      <c r="F350" s="231" t="s">
        <v>1924</v>
      </c>
      <c r="G350" s="392">
        <v>43245</v>
      </c>
      <c r="H350" s="392">
        <v>331704</v>
      </c>
      <c r="I350" s="392">
        <v>100138</v>
      </c>
      <c r="J350" s="231">
        <v>59238</v>
      </c>
      <c r="K350" s="231">
        <v>534325</v>
      </c>
      <c r="L350" s="231"/>
      <c r="M350" s="300">
        <v>4240</v>
      </c>
      <c r="N350" s="300">
        <v>0</v>
      </c>
      <c r="O350" s="300">
        <v>0</v>
      </c>
      <c r="P350" s="231">
        <v>8374</v>
      </c>
      <c r="Q350" s="231">
        <v>12614</v>
      </c>
      <c r="R350" s="231"/>
      <c r="S350" s="392">
        <v>284178</v>
      </c>
      <c r="T350" s="231">
        <v>19434</v>
      </c>
      <c r="U350" s="396">
        <v>303612</v>
      </c>
      <c r="V350" s="231"/>
      <c r="W350" s="396">
        <v>1811387</v>
      </c>
      <c r="X350" s="396">
        <v>337955</v>
      </c>
      <c r="Y350" s="396"/>
      <c r="Z350" s="396"/>
    </row>
    <row r="351" spans="1:26">
      <c r="A351" s="424">
        <v>93604</v>
      </c>
      <c r="B351" s="423" t="s">
        <v>1926</v>
      </c>
      <c r="C351" s="234">
        <v>1.8700000000000001E-5</v>
      </c>
      <c r="D351" s="234">
        <v>1.3900000000000001E-5</v>
      </c>
      <c r="E351" s="231">
        <v>105495</v>
      </c>
      <c r="F351" s="231" t="s">
        <v>1924</v>
      </c>
      <c r="G351" s="392">
        <v>4546</v>
      </c>
      <c r="H351" s="392">
        <v>34867</v>
      </c>
      <c r="I351" s="392">
        <v>10526</v>
      </c>
      <c r="J351" s="231">
        <v>18506</v>
      </c>
      <c r="K351" s="231">
        <v>68445</v>
      </c>
      <c r="L351" s="231"/>
      <c r="M351" s="300">
        <v>446</v>
      </c>
      <c r="N351" s="300">
        <v>0</v>
      </c>
      <c r="O351" s="300">
        <v>0</v>
      </c>
      <c r="P351" s="231">
        <v>4549</v>
      </c>
      <c r="Q351" s="231">
        <v>4995</v>
      </c>
      <c r="R351" s="231"/>
      <c r="S351" s="392">
        <v>29871</v>
      </c>
      <c r="T351" s="231">
        <v>8316</v>
      </c>
      <c r="U351" s="396">
        <v>38187</v>
      </c>
      <c r="V351" s="231"/>
      <c r="W351" s="396">
        <v>190404</v>
      </c>
      <c r="X351" s="396">
        <v>35524</v>
      </c>
      <c r="Y351" s="396"/>
      <c r="Z351" s="396"/>
    </row>
    <row r="352" spans="1:26">
      <c r="A352" s="424">
        <v>93609</v>
      </c>
      <c r="B352" s="423" t="s">
        <v>1060</v>
      </c>
      <c r="C352" s="234">
        <v>4.8735999999999996E-3</v>
      </c>
      <c r="D352" s="234">
        <v>3.9456999999999999E-3</v>
      </c>
      <c r="E352" s="231">
        <v>27494064</v>
      </c>
      <c r="F352" s="231" t="s">
        <v>1924</v>
      </c>
      <c r="G352" s="392">
        <v>1184694</v>
      </c>
      <c r="H352" s="392">
        <v>9087076</v>
      </c>
      <c r="I352" s="392">
        <v>2743291</v>
      </c>
      <c r="J352" s="231">
        <v>1977611</v>
      </c>
      <c r="K352" s="231">
        <v>14992672</v>
      </c>
      <c r="L352" s="231"/>
      <c r="M352" s="300">
        <v>116153</v>
      </c>
      <c r="N352" s="300">
        <v>0</v>
      </c>
      <c r="O352" s="300">
        <v>0</v>
      </c>
      <c r="P352" s="231">
        <v>83372</v>
      </c>
      <c r="Q352" s="231">
        <v>199525</v>
      </c>
      <c r="R352" s="231"/>
      <c r="S352" s="392">
        <v>7785094</v>
      </c>
      <c r="T352" s="231">
        <v>634756</v>
      </c>
      <c r="U352" s="396">
        <v>8419850</v>
      </c>
      <c r="V352" s="231"/>
      <c r="W352" s="396">
        <v>49623244</v>
      </c>
      <c r="X352" s="396">
        <v>9258334</v>
      </c>
      <c r="Y352" s="396"/>
      <c r="Z352" s="396"/>
    </row>
    <row r="353" spans="1:26">
      <c r="A353" s="424">
        <v>93610</v>
      </c>
      <c r="B353" s="423" t="s">
        <v>1061</v>
      </c>
      <c r="C353" s="234">
        <v>1.5500000000000001E-5</v>
      </c>
      <c r="D353" s="234">
        <v>1.6099999999999998E-5</v>
      </c>
      <c r="E353" s="231">
        <v>87442</v>
      </c>
      <c r="F353" s="231" t="s">
        <v>1924</v>
      </c>
      <c r="G353" s="392">
        <v>3768</v>
      </c>
      <c r="H353" s="392">
        <v>28901</v>
      </c>
      <c r="I353" s="392">
        <v>8725</v>
      </c>
      <c r="J353" s="231">
        <v>0</v>
      </c>
      <c r="K353" s="231">
        <v>41394</v>
      </c>
      <c r="L353" s="231"/>
      <c r="M353" s="300">
        <v>369</v>
      </c>
      <c r="N353" s="300">
        <v>0</v>
      </c>
      <c r="O353" s="300">
        <v>0</v>
      </c>
      <c r="P353" s="231">
        <v>2912</v>
      </c>
      <c r="Q353" s="231">
        <v>3281</v>
      </c>
      <c r="R353" s="231"/>
      <c r="S353" s="392">
        <v>24760</v>
      </c>
      <c r="T353" s="231">
        <v>-1256</v>
      </c>
      <c r="U353" s="396">
        <v>23504</v>
      </c>
      <c r="V353" s="231"/>
      <c r="W353" s="396">
        <v>157822</v>
      </c>
      <c r="X353" s="396">
        <v>29445</v>
      </c>
      <c r="Y353" s="396"/>
      <c r="Z353" s="396"/>
    </row>
    <row r="354" spans="1:26">
      <c r="A354" s="424">
        <v>93611</v>
      </c>
      <c r="B354" s="423" t="s">
        <v>1062</v>
      </c>
      <c r="C354" s="234">
        <v>6.5487999999999996E-3</v>
      </c>
      <c r="D354" s="234">
        <v>6.4822999999999999E-3</v>
      </c>
      <c r="E354" s="231">
        <v>36944584</v>
      </c>
      <c r="F354" s="231" t="s">
        <v>1924</v>
      </c>
      <c r="G354" s="392">
        <v>1591908</v>
      </c>
      <c r="H354" s="392">
        <v>12210572</v>
      </c>
      <c r="I354" s="392">
        <v>3686241</v>
      </c>
      <c r="J354" s="231">
        <v>373320</v>
      </c>
      <c r="K354" s="231">
        <v>17862041</v>
      </c>
      <c r="L354" s="231"/>
      <c r="M354" s="300">
        <v>156078</v>
      </c>
      <c r="N354" s="300">
        <v>0</v>
      </c>
      <c r="O354" s="300">
        <v>0</v>
      </c>
      <c r="P354" s="231">
        <v>333239</v>
      </c>
      <c r="Q354" s="231">
        <v>489317</v>
      </c>
      <c r="R354" s="231"/>
      <c r="S354" s="392">
        <v>10461060</v>
      </c>
      <c r="T354" s="231">
        <v>-73337</v>
      </c>
      <c r="U354" s="396">
        <v>10387723</v>
      </c>
      <c r="V354" s="231"/>
      <c r="W354" s="396">
        <v>66680216</v>
      </c>
      <c r="X354" s="396">
        <v>12440696</v>
      </c>
      <c r="Y354" s="396"/>
      <c r="Z354" s="396"/>
    </row>
    <row r="355" spans="1:26">
      <c r="A355" s="424">
        <v>93617</v>
      </c>
      <c r="B355" s="423" t="s">
        <v>1063</v>
      </c>
      <c r="C355" s="234">
        <v>9.6000000000000002E-5</v>
      </c>
      <c r="D355" s="234">
        <v>9.7700000000000003E-5</v>
      </c>
      <c r="E355" s="231">
        <v>541577</v>
      </c>
      <c r="F355" s="231" t="s">
        <v>1924</v>
      </c>
      <c r="G355" s="392">
        <v>23336</v>
      </c>
      <c r="H355" s="392">
        <v>178997</v>
      </c>
      <c r="I355" s="392">
        <v>54037</v>
      </c>
      <c r="J355" s="231">
        <v>52864</v>
      </c>
      <c r="K355" s="231">
        <v>309234</v>
      </c>
      <c r="L355" s="231"/>
      <c r="M355" s="300">
        <v>2288</v>
      </c>
      <c r="N355" s="300">
        <v>0</v>
      </c>
      <c r="O355" s="300">
        <v>0</v>
      </c>
      <c r="P355" s="231">
        <v>0</v>
      </c>
      <c r="Q355" s="231">
        <v>2288</v>
      </c>
      <c r="R355" s="231"/>
      <c r="S355" s="392">
        <v>153350</v>
      </c>
      <c r="T355" s="231">
        <v>30012</v>
      </c>
      <c r="U355" s="396">
        <v>183362</v>
      </c>
      <c r="V355" s="231"/>
      <c r="W355" s="396">
        <v>977477</v>
      </c>
      <c r="X355" s="396">
        <v>182370</v>
      </c>
      <c r="Y355" s="396"/>
      <c r="Z355" s="396"/>
    </row>
    <row r="356" spans="1:26">
      <c r="A356" s="424">
        <v>93618</v>
      </c>
      <c r="B356" s="423" t="s">
        <v>1064</v>
      </c>
      <c r="C356" s="234">
        <v>7.5000000000000002E-6</v>
      </c>
      <c r="D356" s="234">
        <v>7.7999999999999999E-6</v>
      </c>
      <c r="E356" s="231">
        <v>42311</v>
      </c>
      <c r="F356" s="231" t="s">
        <v>1924</v>
      </c>
      <c r="G356" s="392">
        <v>1823</v>
      </c>
      <c r="H356" s="392">
        <v>13984</v>
      </c>
      <c r="I356" s="392">
        <v>4222</v>
      </c>
      <c r="J356" s="231">
        <v>39340</v>
      </c>
      <c r="K356" s="231">
        <v>59369</v>
      </c>
      <c r="L356" s="231"/>
      <c r="M356" s="300">
        <v>179</v>
      </c>
      <c r="N356" s="300">
        <v>0</v>
      </c>
      <c r="O356" s="300">
        <v>0</v>
      </c>
      <c r="P356" s="231">
        <v>0</v>
      </c>
      <c r="Q356" s="231">
        <v>179</v>
      </c>
      <c r="R356" s="231"/>
      <c r="S356" s="392">
        <v>11981</v>
      </c>
      <c r="T356" s="231">
        <v>22769</v>
      </c>
      <c r="U356" s="396">
        <v>34750</v>
      </c>
      <c r="V356" s="231"/>
      <c r="W356" s="396">
        <v>76365</v>
      </c>
      <c r="X356" s="396">
        <v>14248</v>
      </c>
      <c r="Y356" s="396"/>
      <c r="Z356" s="396"/>
    </row>
    <row r="357" spans="1:26">
      <c r="A357" s="424">
        <v>93621</v>
      </c>
      <c r="B357" s="423" t="s">
        <v>1065</v>
      </c>
      <c r="C357" s="234">
        <v>1.2574000000000001E-3</v>
      </c>
      <c r="D357" s="234">
        <v>1.1558E-3</v>
      </c>
      <c r="E357" s="231">
        <v>7093532</v>
      </c>
      <c r="F357" s="231" t="s">
        <v>1924</v>
      </c>
      <c r="G357" s="392">
        <v>305654</v>
      </c>
      <c r="H357" s="392">
        <v>2344486</v>
      </c>
      <c r="I357" s="392">
        <v>707775</v>
      </c>
      <c r="J357" s="231">
        <v>115830</v>
      </c>
      <c r="K357" s="231">
        <v>3473745</v>
      </c>
      <c r="L357" s="231"/>
      <c r="M357" s="300">
        <v>29968</v>
      </c>
      <c r="N357" s="300">
        <v>0</v>
      </c>
      <c r="O357" s="300">
        <v>0</v>
      </c>
      <c r="P357" s="231">
        <v>11659</v>
      </c>
      <c r="Q357" s="231">
        <v>41627</v>
      </c>
      <c r="R357" s="231"/>
      <c r="S357" s="392">
        <v>2008572</v>
      </c>
      <c r="T357" s="231">
        <v>52756</v>
      </c>
      <c r="U357" s="396">
        <v>2061328</v>
      </c>
      <c r="V357" s="231"/>
      <c r="W357" s="396">
        <v>12802911</v>
      </c>
      <c r="X357" s="396">
        <v>2388671</v>
      </c>
      <c r="Y357" s="396"/>
      <c r="Z357" s="396"/>
    </row>
    <row r="358" spans="1:26">
      <c r="A358" s="424">
        <v>93623</v>
      </c>
      <c r="B358" s="423" t="s">
        <v>1066</v>
      </c>
      <c r="C358" s="234">
        <v>1.0200000000000001E-5</v>
      </c>
      <c r="D358" s="234">
        <v>1.04E-5</v>
      </c>
      <c r="E358" s="231">
        <v>57543</v>
      </c>
      <c r="F358" s="231" t="s">
        <v>1924</v>
      </c>
      <c r="G358" s="392">
        <v>2479</v>
      </c>
      <c r="H358" s="392">
        <v>19018</v>
      </c>
      <c r="I358" s="392">
        <v>5741</v>
      </c>
      <c r="J358" s="231">
        <v>2133</v>
      </c>
      <c r="K358" s="231">
        <v>29371</v>
      </c>
      <c r="L358" s="231"/>
      <c r="M358" s="300">
        <v>243</v>
      </c>
      <c r="N358" s="300">
        <v>0</v>
      </c>
      <c r="O358" s="300">
        <v>0</v>
      </c>
      <c r="P358" s="231">
        <v>442</v>
      </c>
      <c r="Q358" s="231">
        <v>685</v>
      </c>
      <c r="R358" s="231"/>
      <c r="S358" s="392">
        <v>16293</v>
      </c>
      <c r="T358" s="231">
        <v>1234</v>
      </c>
      <c r="U358" s="396">
        <v>17527</v>
      </c>
      <c r="V358" s="231"/>
      <c r="W358" s="396">
        <v>103857</v>
      </c>
      <c r="X358" s="396">
        <v>19377</v>
      </c>
      <c r="Y358" s="396"/>
      <c r="Z358" s="396"/>
    </row>
    <row r="359" spans="1:26">
      <c r="A359" s="424">
        <v>93631</v>
      </c>
      <c r="B359" s="423" t="s">
        <v>1067</v>
      </c>
      <c r="C359" s="234">
        <v>2.7300000000000002E-4</v>
      </c>
      <c r="D359" s="234">
        <v>2.4949999999999999E-4</v>
      </c>
      <c r="E359" s="231">
        <v>1540110</v>
      </c>
      <c r="F359" s="231" t="s">
        <v>1924</v>
      </c>
      <c r="G359" s="392">
        <v>66362</v>
      </c>
      <c r="H359" s="392">
        <v>509022</v>
      </c>
      <c r="I359" s="392">
        <v>153668</v>
      </c>
      <c r="J359" s="231">
        <v>35301</v>
      </c>
      <c r="K359" s="231">
        <v>764353</v>
      </c>
      <c r="L359" s="231"/>
      <c r="M359" s="300">
        <v>6506</v>
      </c>
      <c r="N359" s="300">
        <v>0</v>
      </c>
      <c r="O359" s="300">
        <v>0</v>
      </c>
      <c r="P359" s="231">
        <v>47202</v>
      </c>
      <c r="Q359" s="231">
        <v>53708</v>
      </c>
      <c r="R359" s="231"/>
      <c r="S359" s="392">
        <v>436090</v>
      </c>
      <c r="T359" s="231">
        <v>-3734</v>
      </c>
      <c r="U359" s="396">
        <v>432356</v>
      </c>
      <c r="V359" s="231"/>
      <c r="W359" s="396">
        <v>2779700</v>
      </c>
      <c r="X359" s="396">
        <v>518616</v>
      </c>
      <c r="Y359" s="396"/>
      <c r="Z359" s="396"/>
    </row>
    <row r="360" spans="1:26">
      <c r="A360" s="424">
        <v>93641</v>
      </c>
      <c r="B360" s="423" t="s">
        <v>1068</v>
      </c>
      <c r="C360" s="234">
        <v>4.1280000000000001E-4</v>
      </c>
      <c r="D360" s="234">
        <v>3.881E-4</v>
      </c>
      <c r="E360" s="231">
        <v>2328781</v>
      </c>
      <c r="F360" s="231" t="s">
        <v>1924</v>
      </c>
      <c r="G360" s="392">
        <v>100345</v>
      </c>
      <c r="H360" s="392">
        <v>769687</v>
      </c>
      <c r="I360" s="392">
        <v>232360</v>
      </c>
      <c r="J360" s="231">
        <v>129635</v>
      </c>
      <c r="K360" s="231">
        <v>1232027</v>
      </c>
      <c r="L360" s="231"/>
      <c r="M360" s="300">
        <v>9838</v>
      </c>
      <c r="N360" s="300">
        <v>0</v>
      </c>
      <c r="O360" s="300">
        <v>0</v>
      </c>
      <c r="P360" s="231">
        <v>0</v>
      </c>
      <c r="Q360" s="231">
        <v>9838</v>
      </c>
      <c r="R360" s="231"/>
      <c r="S360" s="392">
        <v>659407</v>
      </c>
      <c r="T360" s="231">
        <v>58750</v>
      </c>
      <c r="U360" s="396">
        <v>718157</v>
      </c>
      <c r="V360" s="231"/>
      <c r="W360" s="396">
        <v>4203151</v>
      </c>
      <c r="X360" s="396">
        <v>784192</v>
      </c>
      <c r="Y360" s="396"/>
      <c r="Z360" s="396"/>
    </row>
    <row r="361" spans="1:26">
      <c r="A361" s="424">
        <v>93647</v>
      </c>
      <c r="B361" s="423" t="s">
        <v>1069</v>
      </c>
      <c r="C361" s="234">
        <v>4.4000000000000002E-6</v>
      </c>
      <c r="D361" s="234">
        <v>4.6999999999999999E-6</v>
      </c>
      <c r="E361" s="231">
        <v>24822</v>
      </c>
      <c r="F361" s="231" t="s">
        <v>1924</v>
      </c>
      <c r="G361" s="392">
        <v>1070</v>
      </c>
      <c r="H361" s="392">
        <v>8204</v>
      </c>
      <c r="I361" s="392">
        <v>2477</v>
      </c>
      <c r="J361" s="231">
        <v>13544</v>
      </c>
      <c r="K361" s="231">
        <v>25295</v>
      </c>
      <c r="L361" s="231"/>
      <c r="M361" s="300">
        <v>105</v>
      </c>
      <c r="N361" s="300">
        <v>0</v>
      </c>
      <c r="O361" s="300">
        <v>0</v>
      </c>
      <c r="P361" s="231">
        <v>0</v>
      </c>
      <c r="Q361" s="231">
        <v>105</v>
      </c>
      <c r="R361" s="231"/>
      <c r="S361" s="392">
        <v>7029</v>
      </c>
      <c r="T361" s="231">
        <v>7688</v>
      </c>
      <c r="U361" s="396">
        <v>14717</v>
      </c>
      <c r="V361" s="231"/>
      <c r="W361" s="396">
        <v>44801</v>
      </c>
      <c r="X361" s="396">
        <v>8359</v>
      </c>
      <c r="Y361" s="396"/>
      <c r="Z361" s="396"/>
    </row>
    <row r="362" spans="1:26">
      <c r="A362" s="424">
        <v>93651</v>
      </c>
      <c r="B362" s="423" t="s">
        <v>1070</v>
      </c>
      <c r="C362" s="234">
        <v>4.4480000000000002E-4</v>
      </c>
      <c r="D362" s="234">
        <v>4.462E-4</v>
      </c>
      <c r="E362" s="231">
        <v>2509307</v>
      </c>
      <c r="F362" s="231" t="s">
        <v>1924</v>
      </c>
      <c r="G362" s="392">
        <v>108124</v>
      </c>
      <c r="H362" s="392">
        <v>829352</v>
      </c>
      <c r="I362" s="392">
        <v>250373</v>
      </c>
      <c r="J362" s="231">
        <v>862</v>
      </c>
      <c r="K362" s="231">
        <v>1188711</v>
      </c>
      <c r="L362" s="231"/>
      <c r="M362" s="300">
        <v>10601</v>
      </c>
      <c r="N362" s="300">
        <v>0</v>
      </c>
      <c r="O362" s="300">
        <v>0</v>
      </c>
      <c r="P362" s="231">
        <v>39328</v>
      </c>
      <c r="Q362" s="231">
        <v>49929</v>
      </c>
      <c r="R362" s="231"/>
      <c r="S362" s="392">
        <v>710524</v>
      </c>
      <c r="T362" s="231">
        <v>-19978</v>
      </c>
      <c r="U362" s="396">
        <v>690546</v>
      </c>
      <c r="V362" s="231"/>
      <c r="W362" s="396">
        <v>4528976</v>
      </c>
      <c r="X362" s="396">
        <v>844983</v>
      </c>
      <c r="Y362" s="396"/>
      <c r="Z362" s="396"/>
    </row>
    <row r="363" spans="1:26">
      <c r="A363" s="424">
        <v>93661</v>
      </c>
      <c r="B363" s="423" t="s">
        <v>1071</v>
      </c>
      <c r="C363" s="234">
        <v>1.5550000000000001E-4</v>
      </c>
      <c r="D363" s="234">
        <v>1.3999999999999999E-4</v>
      </c>
      <c r="E363" s="231">
        <v>877242</v>
      </c>
      <c r="F363" s="231" t="s">
        <v>1924</v>
      </c>
      <c r="G363" s="392">
        <v>37800</v>
      </c>
      <c r="H363" s="392">
        <v>289938</v>
      </c>
      <c r="I363" s="392">
        <v>87529</v>
      </c>
      <c r="J363" s="231">
        <v>34971</v>
      </c>
      <c r="K363" s="231">
        <v>450238</v>
      </c>
      <c r="L363" s="231"/>
      <c r="M363" s="300">
        <v>3706</v>
      </c>
      <c r="N363" s="300">
        <v>0</v>
      </c>
      <c r="O363" s="300">
        <v>0</v>
      </c>
      <c r="P363" s="231">
        <v>8882</v>
      </c>
      <c r="Q363" s="231">
        <v>12588</v>
      </c>
      <c r="R363" s="231"/>
      <c r="S363" s="392">
        <v>248396</v>
      </c>
      <c r="T363" s="231">
        <v>13094</v>
      </c>
      <c r="U363" s="396">
        <v>261490</v>
      </c>
      <c r="V363" s="231"/>
      <c r="W363" s="396">
        <v>1583309</v>
      </c>
      <c r="X363" s="396">
        <v>295402</v>
      </c>
      <c r="Y363" s="396"/>
      <c r="Z363" s="396"/>
    </row>
    <row r="364" spans="1:26">
      <c r="A364" s="424">
        <v>93671</v>
      </c>
      <c r="B364" s="423" t="s">
        <v>1072</v>
      </c>
      <c r="C364" s="234">
        <v>3.4680000000000003E-4</v>
      </c>
      <c r="D364" s="234">
        <v>3.6230000000000002E-4</v>
      </c>
      <c r="E364" s="231">
        <v>1956447</v>
      </c>
      <c r="F364" s="231" t="s">
        <v>1924</v>
      </c>
      <c r="G364" s="392">
        <v>84302</v>
      </c>
      <c r="H364" s="392">
        <v>646626</v>
      </c>
      <c r="I364" s="392">
        <v>195210</v>
      </c>
      <c r="J364" s="231">
        <v>42373</v>
      </c>
      <c r="K364" s="231">
        <v>968511</v>
      </c>
      <c r="L364" s="231"/>
      <c r="M364" s="300">
        <v>8265</v>
      </c>
      <c r="N364" s="300">
        <v>0</v>
      </c>
      <c r="O364" s="300">
        <v>0</v>
      </c>
      <c r="P364" s="231">
        <v>0</v>
      </c>
      <c r="Q364" s="231">
        <v>8265</v>
      </c>
      <c r="R364" s="231"/>
      <c r="S364" s="392">
        <v>553979</v>
      </c>
      <c r="T364" s="231">
        <v>28457</v>
      </c>
      <c r="U364" s="396">
        <v>582436</v>
      </c>
      <c r="V364" s="231"/>
      <c r="W364" s="396">
        <v>3531135</v>
      </c>
      <c r="X364" s="396">
        <v>658813</v>
      </c>
      <c r="Y364" s="396"/>
      <c r="Z364" s="396"/>
    </row>
    <row r="365" spans="1:26">
      <c r="A365" s="424">
        <v>93681</v>
      </c>
      <c r="B365" s="423" t="s">
        <v>1073</v>
      </c>
      <c r="C365" s="234">
        <v>1.962E-4</v>
      </c>
      <c r="D365" s="234">
        <v>1.9430000000000001E-4</v>
      </c>
      <c r="E365" s="231">
        <v>1106848</v>
      </c>
      <c r="F365" s="231" t="s">
        <v>1924</v>
      </c>
      <c r="G365" s="392">
        <v>47693</v>
      </c>
      <c r="H365" s="392">
        <v>365825</v>
      </c>
      <c r="I365" s="392">
        <v>110439</v>
      </c>
      <c r="J365" s="231">
        <v>47548</v>
      </c>
      <c r="K365" s="231">
        <v>571505</v>
      </c>
      <c r="L365" s="231"/>
      <c r="M365" s="300">
        <v>4676</v>
      </c>
      <c r="N365" s="300">
        <v>0</v>
      </c>
      <c r="O365" s="300">
        <v>0</v>
      </c>
      <c r="P365" s="231">
        <v>13843</v>
      </c>
      <c r="Q365" s="231">
        <v>18519</v>
      </c>
      <c r="R365" s="231"/>
      <c r="S365" s="392">
        <v>313410</v>
      </c>
      <c r="T365" s="231">
        <v>27058</v>
      </c>
      <c r="U365" s="396">
        <v>340468</v>
      </c>
      <c r="V365" s="231"/>
      <c r="W365" s="396">
        <v>1997718</v>
      </c>
      <c r="X365" s="396">
        <v>372719</v>
      </c>
      <c r="Y365" s="396"/>
      <c r="Z365" s="396"/>
    </row>
    <row r="366" spans="1:26">
      <c r="A366" s="424">
        <v>93691</v>
      </c>
      <c r="B366" s="423" t="s">
        <v>1074</v>
      </c>
      <c r="C366" s="234">
        <v>1.0735E-3</v>
      </c>
      <c r="D366" s="234">
        <v>9.9149999999999998E-4</v>
      </c>
      <c r="E366" s="231">
        <v>6056073</v>
      </c>
      <c r="F366" s="231" t="s">
        <v>1924</v>
      </c>
      <c r="G366" s="392">
        <v>260951</v>
      </c>
      <c r="H366" s="392">
        <v>2001595</v>
      </c>
      <c r="I366" s="392">
        <v>604260</v>
      </c>
      <c r="J366" s="231">
        <v>75075</v>
      </c>
      <c r="K366" s="231">
        <v>2941881</v>
      </c>
      <c r="L366" s="231"/>
      <c r="M366" s="300">
        <v>25585</v>
      </c>
      <c r="N366" s="300">
        <v>0</v>
      </c>
      <c r="O366" s="300">
        <v>0</v>
      </c>
      <c r="P366" s="231">
        <v>146334</v>
      </c>
      <c r="Q366" s="231">
        <v>171919</v>
      </c>
      <c r="R366" s="231"/>
      <c r="S366" s="392">
        <v>1714810</v>
      </c>
      <c r="T366" s="231">
        <v>-59146</v>
      </c>
      <c r="U366" s="396">
        <v>1655664</v>
      </c>
      <c r="V366" s="231"/>
      <c r="W366" s="396">
        <v>10930432</v>
      </c>
      <c r="X366" s="396">
        <v>2039318</v>
      </c>
      <c r="Y366" s="396"/>
      <c r="Z366" s="396"/>
    </row>
    <row r="367" spans="1:26">
      <c r="A367" s="424">
        <v>93701</v>
      </c>
      <c r="B367" s="423" t="s">
        <v>1075</v>
      </c>
      <c r="C367" s="234">
        <v>4.348E-4</v>
      </c>
      <c r="D367" s="234">
        <v>4.0969999999999998E-4</v>
      </c>
      <c r="E367" s="231">
        <v>2452893</v>
      </c>
      <c r="F367" s="231" t="s">
        <v>1924</v>
      </c>
      <c r="G367" s="392">
        <v>105693</v>
      </c>
      <c r="H367" s="392">
        <v>810707</v>
      </c>
      <c r="I367" s="392">
        <v>244744</v>
      </c>
      <c r="J367" s="231">
        <v>30386</v>
      </c>
      <c r="K367" s="231">
        <v>1191530</v>
      </c>
      <c r="L367" s="231"/>
      <c r="M367" s="300">
        <v>10363</v>
      </c>
      <c r="N367" s="300">
        <v>0</v>
      </c>
      <c r="O367" s="300">
        <v>0</v>
      </c>
      <c r="P367" s="231">
        <v>29077</v>
      </c>
      <c r="Q367" s="231">
        <v>39440</v>
      </c>
      <c r="R367" s="231"/>
      <c r="S367" s="392">
        <v>694550</v>
      </c>
      <c r="T367" s="231">
        <v>-8915</v>
      </c>
      <c r="U367" s="396">
        <v>685635</v>
      </c>
      <c r="V367" s="231"/>
      <c r="W367" s="396">
        <v>4427156</v>
      </c>
      <c r="X367" s="396">
        <v>825986</v>
      </c>
      <c r="Y367" s="396"/>
      <c r="Z367" s="396"/>
    </row>
    <row r="368" spans="1:26">
      <c r="A368" s="424">
        <v>93704</v>
      </c>
      <c r="B368" s="423" t="s">
        <v>1076</v>
      </c>
      <c r="C368" s="234">
        <v>1.3999999999999999E-6</v>
      </c>
      <c r="D368" s="234">
        <v>1.7999999999999999E-6</v>
      </c>
      <c r="E368" s="231">
        <v>7898</v>
      </c>
      <c r="F368" s="231" t="s">
        <v>1924</v>
      </c>
      <c r="G368" s="392">
        <v>340</v>
      </c>
      <c r="H368" s="392">
        <v>2610</v>
      </c>
      <c r="I368" s="392">
        <v>788</v>
      </c>
      <c r="J368" s="231">
        <v>2080</v>
      </c>
      <c r="K368" s="231">
        <v>5818</v>
      </c>
      <c r="L368" s="231"/>
      <c r="M368" s="300">
        <v>33</v>
      </c>
      <c r="N368" s="300">
        <v>0</v>
      </c>
      <c r="O368" s="300">
        <v>0</v>
      </c>
      <c r="P368" s="231">
        <v>0</v>
      </c>
      <c r="Q368" s="231">
        <v>33</v>
      </c>
      <c r="R368" s="231"/>
      <c r="S368" s="392">
        <v>2236</v>
      </c>
      <c r="T368" s="231">
        <v>1131</v>
      </c>
      <c r="U368" s="396">
        <v>3367</v>
      </c>
      <c r="V368" s="231"/>
      <c r="W368" s="396">
        <v>14255</v>
      </c>
      <c r="X368" s="396">
        <v>2660</v>
      </c>
      <c r="Y368" s="396"/>
      <c r="Z368" s="396"/>
    </row>
    <row r="369" spans="1:26">
      <c r="A369" s="424">
        <v>93801</v>
      </c>
      <c r="B369" s="423" t="s">
        <v>1077</v>
      </c>
      <c r="C369" s="234">
        <v>6.9169999999999995E-4</v>
      </c>
      <c r="D369" s="234">
        <v>4.4470000000000002E-4</v>
      </c>
      <c r="E369" s="231">
        <v>3902176</v>
      </c>
      <c r="F369" s="231" t="s">
        <v>1924</v>
      </c>
      <c r="G369" s="392">
        <v>168141</v>
      </c>
      <c r="H369" s="392">
        <v>1289710</v>
      </c>
      <c r="I369" s="392">
        <v>389350</v>
      </c>
      <c r="J369" s="231">
        <v>383791</v>
      </c>
      <c r="K369" s="231">
        <v>2230992</v>
      </c>
      <c r="L369" s="231"/>
      <c r="M369" s="300">
        <v>16485</v>
      </c>
      <c r="N369" s="300">
        <v>0</v>
      </c>
      <c r="O369" s="300">
        <v>0</v>
      </c>
      <c r="P369" s="231">
        <v>1674</v>
      </c>
      <c r="Q369" s="231">
        <v>18159</v>
      </c>
      <c r="R369" s="231"/>
      <c r="S369" s="392">
        <v>1104922</v>
      </c>
      <c r="T369" s="231">
        <v>123071</v>
      </c>
      <c r="U369" s="396">
        <v>1227993</v>
      </c>
      <c r="V369" s="231"/>
      <c r="W369" s="396">
        <v>7042925</v>
      </c>
      <c r="X369" s="396">
        <v>1314016</v>
      </c>
      <c r="Y369" s="396"/>
      <c r="Z369" s="396"/>
    </row>
    <row r="370" spans="1:26">
      <c r="A370" s="424">
        <v>93803</v>
      </c>
      <c r="B370" s="423" t="s">
        <v>1078</v>
      </c>
      <c r="C370" s="234">
        <v>1.26E-4</v>
      </c>
      <c r="D370" s="234">
        <v>1.138E-4</v>
      </c>
      <c r="E370" s="231">
        <v>710820</v>
      </c>
      <c r="F370" s="231" t="s">
        <v>1924</v>
      </c>
      <c r="G370" s="392">
        <v>30629</v>
      </c>
      <c r="H370" s="392">
        <v>234933</v>
      </c>
      <c r="I370" s="392">
        <v>70924</v>
      </c>
      <c r="J370" s="231">
        <v>42575</v>
      </c>
      <c r="K370" s="231">
        <v>379061</v>
      </c>
      <c r="L370" s="231"/>
      <c r="M370" s="300">
        <v>3003</v>
      </c>
      <c r="N370" s="300">
        <v>0</v>
      </c>
      <c r="O370" s="300">
        <v>0</v>
      </c>
      <c r="P370" s="231">
        <v>4475</v>
      </c>
      <c r="Q370" s="231">
        <v>7478</v>
      </c>
      <c r="R370" s="231"/>
      <c r="S370" s="392">
        <v>201273</v>
      </c>
      <c r="T370" s="231">
        <v>12707</v>
      </c>
      <c r="U370" s="396">
        <v>213980</v>
      </c>
      <c r="V370" s="231"/>
      <c r="W370" s="396">
        <v>1282938</v>
      </c>
      <c r="X370" s="396">
        <v>239361</v>
      </c>
      <c r="Y370" s="396"/>
      <c r="Z370" s="396"/>
    </row>
    <row r="371" spans="1:26">
      <c r="A371" s="424">
        <v>93806</v>
      </c>
      <c r="B371" s="423" t="s">
        <v>1079</v>
      </c>
      <c r="C371" s="234">
        <v>1.3359999999999999E-4</v>
      </c>
      <c r="D371" s="234">
        <v>7.5599999999999994E-5</v>
      </c>
      <c r="E371" s="231">
        <v>753695</v>
      </c>
      <c r="F371" s="231" t="s">
        <v>1924</v>
      </c>
      <c r="G371" s="392">
        <v>32476</v>
      </c>
      <c r="H371" s="392">
        <v>249104</v>
      </c>
      <c r="I371" s="392">
        <v>75202</v>
      </c>
      <c r="J371" s="231">
        <v>94751</v>
      </c>
      <c r="K371" s="231">
        <v>451533</v>
      </c>
      <c r="L371" s="231"/>
      <c r="M371" s="300">
        <v>3184</v>
      </c>
      <c r="N371" s="300">
        <v>0</v>
      </c>
      <c r="O371" s="300">
        <v>0</v>
      </c>
      <c r="P371" s="231">
        <v>5166</v>
      </c>
      <c r="Q371" s="231">
        <v>8350</v>
      </c>
      <c r="R371" s="231"/>
      <c r="S371" s="392">
        <v>213413</v>
      </c>
      <c r="T371" s="231">
        <v>26027</v>
      </c>
      <c r="U371" s="396">
        <v>239440</v>
      </c>
      <c r="V371" s="231"/>
      <c r="W371" s="396">
        <v>1360322</v>
      </c>
      <c r="X371" s="396">
        <v>253799</v>
      </c>
      <c r="Y371" s="396"/>
      <c r="Z371" s="396"/>
    </row>
    <row r="372" spans="1:26">
      <c r="A372" s="424">
        <v>93821</v>
      </c>
      <c r="B372" s="423" t="s">
        <v>1080</v>
      </c>
      <c r="C372" s="234">
        <v>6.2600000000000004E-5</v>
      </c>
      <c r="D372" s="234">
        <v>6.8899999999999994E-5</v>
      </c>
      <c r="E372" s="231">
        <v>353153</v>
      </c>
      <c r="F372" s="231" t="s">
        <v>1924</v>
      </c>
      <c r="G372" s="392">
        <v>15217</v>
      </c>
      <c r="H372" s="392">
        <v>116721</v>
      </c>
      <c r="I372" s="392">
        <v>35237</v>
      </c>
      <c r="J372" s="231">
        <v>7818</v>
      </c>
      <c r="K372" s="231">
        <v>174993</v>
      </c>
      <c r="L372" s="231"/>
      <c r="M372" s="300">
        <v>1492</v>
      </c>
      <c r="N372" s="300">
        <v>0</v>
      </c>
      <c r="O372" s="300">
        <v>0</v>
      </c>
      <c r="P372" s="231">
        <v>11935</v>
      </c>
      <c r="Q372" s="231">
        <v>13427</v>
      </c>
      <c r="R372" s="231"/>
      <c r="S372" s="392">
        <v>99997</v>
      </c>
      <c r="T372" s="231">
        <v>9068</v>
      </c>
      <c r="U372" s="396">
        <v>109065</v>
      </c>
      <c r="V372" s="231"/>
      <c r="W372" s="396">
        <v>637396</v>
      </c>
      <c r="X372" s="396">
        <v>118921</v>
      </c>
      <c r="Y372" s="396"/>
      <c r="Z372" s="396"/>
    </row>
    <row r="373" spans="1:26">
      <c r="A373" s="424">
        <v>93901</v>
      </c>
      <c r="B373" s="423" t="s">
        <v>1081</v>
      </c>
      <c r="C373" s="234">
        <v>2.0314E-3</v>
      </c>
      <c r="D373" s="234">
        <v>1.8913999999999999E-3</v>
      </c>
      <c r="E373" s="231">
        <v>11459997</v>
      </c>
      <c r="F373" s="231" t="s">
        <v>1924</v>
      </c>
      <c r="G373" s="392">
        <v>493801</v>
      </c>
      <c r="H373" s="392">
        <v>3787649</v>
      </c>
      <c r="I373" s="392">
        <v>1143451</v>
      </c>
      <c r="J373" s="231">
        <v>451465</v>
      </c>
      <c r="K373" s="231">
        <v>5876366</v>
      </c>
      <c r="L373" s="231"/>
      <c r="M373" s="300">
        <v>48414</v>
      </c>
      <c r="N373" s="300">
        <v>0</v>
      </c>
      <c r="O373" s="300">
        <v>0</v>
      </c>
      <c r="P373" s="231">
        <v>0</v>
      </c>
      <c r="Q373" s="231">
        <v>48414</v>
      </c>
      <c r="R373" s="231"/>
      <c r="S373" s="392">
        <v>3244960</v>
      </c>
      <c r="T373" s="231">
        <v>232128</v>
      </c>
      <c r="U373" s="396">
        <v>3477088</v>
      </c>
      <c r="V373" s="231"/>
      <c r="W373" s="396">
        <v>20683818</v>
      </c>
      <c r="X373" s="396">
        <v>3859032</v>
      </c>
      <c r="Y373" s="396"/>
      <c r="Z373" s="396"/>
    </row>
    <row r="374" spans="1:26">
      <c r="A374" s="424">
        <v>93904</v>
      </c>
      <c r="B374" s="423" t="s">
        <v>1082</v>
      </c>
      <c r="C374" s="234">
        <v>3.15E-5</v>
      </c>
      <c r="D374" s="234">
        <v>3.2700000000000002E-5</v>
      </c>
      <c r="E374" s="231">
        <v>177705</v>
      </c>
      <c r="F374" s="231" t="s">
        <v>1924</v>
      </c>
      <c r="G374" s="392">
        <v>7657</v>
      </c>
      <c r="H374" s="392">
        <v>58733</v>
      </c>
      <c r="I374" s="392">
        <v>17731</v>
      </c>
      <c r="J374" s="231">
        <v>16856</v>
      </c>
      <c r="K374" s="231">
        <v>100977</v>
      </c>
      <c r="L374" s="231"/>
      <c r="M374" s="300">
        <v>751</v>
      </c>
      <c r="N374" s="300">
        <v>0</v>
      </c>
      <c r="O374" s="300">
        <v>0</v>
      </c>
      <c r="P374" s="231">
        <v>0</v>
      </c>
      <c r="Q374" s="231">
        <v>751</v>
      </c>
      <c r="R374" s="231"/>
      <c r="S374" s="392">
        <v>50318</v>
      </c>
      <c r="T374" s="231">
        <v>10300</v>
      </c>
      <c r="U374" s="396">
        <v>60618</v>
      </c>
      <c r="V374" s="231"/>
      <c r="W374" s="396">
        <v>320735</v>
      </c>
      <c r="X374" s="396">
        <v>59840</v>
      </c>
      <c r="Y374" s="396"/>
      <c r="Z374" s="396"/>
    </row>
    <row r="375" spans="1:26">
      <c r="A375" s="424">
        <v>93906</v>
      </c>
      <c r="B375" s="423" t="s">
        <v>1083</v>
      </c>
      <c r="C375" s="234">
        <v>3.4053999999999998E-3</v>
      </c>
      <c r="D375" s="234">
        <v>3.3013999999999999E-3</v>
      </c>
      <c r="E375" s="231">
        <v>19211319</v>
      </c>
      <c r="F375" s="231" t="s">
        <v>1924</v>
      </c>
      <c r="G375" s="392">
        <v>827798</v>
      </c>
      <c r="H375" s="392">
        <v>6349542</v>
      </c>
      <c r="I375" s="392">
        <v>1916859</v>
      </c>
      <c r="J375" s="231">
        <v>287856</v>
      </c>
      <c r="K375" s="231">
        <v>9382055</v>
      </c>
      <c r="L375" s="231"/>
      <c r="M375" s="300">
        <v>81161</v>
      </c>
      <c r="N375" s="300">
        <v>0</v>
      </c>
      <c r="O375" s="300">
        <v>0</v>
      </c>
      <c r="P375" s="231">
        <v>38706</v>
      </c>
      <c r="Q375" s="231">
        <v>119867</v>
      </c>
      <c r="R375" s="231"/>
      <c r="S375" s="392">
        <v>5439789</v>
      </c>
      <c r="T375" s="231">
        <v>47994</v>
      </c>
      <c r="U375" s="396">
        <v>5487783</v>
      </c>
      <c r="V375" s="231"/>
      <c r="W375" s="396">
        <v>34673956</v>
      </c>
      <c r="X375" s="396">
        <v>6469208</v>
      </c>
      <c r="Y375" s="396"/>
      <c r="Z375" s="396"/>
    </row>
    <row r="376" spans="1:26">
      <c r="A376" s="424">
        <v>93908</v>
      </c>
      <c r="B376" s="423" t="s">
        <v>1084</v>
      </c>
      <c r="C376" s="234">
        <v>6.332E-4</v>
      </c>
      <c r="D376" s="234">
        <v>6.1220000000000003E-4</v>
      </c>
      <c r="E376" s="231">
        <v>3572152</v>
      </c>
      <c r="F376" s="231" t="s">
        <v>1924</v>
      </c>
      <c r="G376" s="392">
        <v>153921</v>
      </c>
      <c r="H376" s="392">
        <v>1180634</v>
      </c>
      <c r="I376" s="392">
        <v>356421</v>
      </c>
      <c r="J376" s="231">
        <v>143384</v>
      </c>
      <c r="K376" s="231">
        <v>1834360</v>
      </c>
      <c r="L376" s="231"/>
      <c r="M376" s="300">
        <v>15091</v>
      </c>
      <c r="N376" s="300">
        <v>0</v>
      </c>
      <c r="O376" s="300">
        <v>0</v>
      </c>
      <c r="P376" s="231">
        <v>0</v>
      </c>
      <c r="Q376" s="231">
        <v>15091</v>
      </c>
      <c r="R376" s="231"/>
      <c r="S376" s="392">
        <v>1011474</v>
      </c>
      <c r="T376" s="231">
        <v>70047</v>
      </c>
      <c r="U376" s="396">
        <v>1081521</v>
      </c>
      <c r="V376" s="231"/>
      <c r="W376" s="396">
        <v>6447275</v>
      </c>
      <c r="X376" s="396">
        <v>1202884</v>
      </c>
      <c r="Y376" s="396"/>
      <c r="Z376" s="396"/>
    </row>
    <row r="377" spans="1:26">
      <c r="A377" s="424">
        <v>93910</v>
      </c>
      <c r="B377" s="423" t="s">
        <v>1085</v>
      </c>
      <c r="C377" s="234">
        <v>3.3E-4</v>
      </c>
      <c r="D377" s="234">
        <v>3.3369999999999998E-4</v>
      </c>
      <c r="E377" s="231">
        <v>1861671</v>
      </c>
      <c r="F377" s="231" t="s">
        <v>1924</v>
      </c>
      <c r="G377" s="392">
        <v>80218</v>
      </c>
      <c r="H377" s="392">
        <v>615302</v>
      </c>
      <c r="I377" s="392">
        <v>185753</v>
      </c>
      <c r="J377" s="231">
        <v>97833</v>
      </c>
      <c r="K377" s="231">
        <v>979106</v>
      </c>
      <c r="L377" s="231"/>
      <c r="M377" s="300">
        <v>7865</v>
      </c>
      <c r="N377" s="300">
        <v>0</v>
      </c>
      <c r="O377" s="300">
        <v>0</v>
      </c>
      <c r="P377" s="231">
        <v>22624</v>
      </c>
      <c r="Q377" s="231">
        <v>30489</v>
      </c>
      <c r="R377" s="231"/>
      <c r="S377" s="392">
        <v>527142</v>
      </c>
      <c r="T377" s="231">
        <v>43816</v>
      </c>
      <c r="U377" s="396">
        <v>570958</v>
      </c>
      <c r="V377" s="231"/>
      <c r="W377" s="396">
        <v>3360077</v>
      </c>
      <c r="X377" s="396">
        <v>626898</v>
      </c>
      <c r="Y377" s="396"/>
      <c r="Z377" s="396"/>
    </row>
    <row r="378" spans="1:26">
      <c r="A378" s="424">
        <v>93911</v>
      </c>
      <c r="B378" s="423" t="s">
        <v>1086</v>
      </c>
      <c r="C378" s="234">
        <v>5.3839999999999997E-4</v>
      </c>
      <c r="D378" s="234">
        <v>5.5719999999999999E-4</v>
      </c>
      <c r="E378" s="231">
        <v>3037345</v>
      </c>
      <c r="F378" s="231" t="s">
        <v>1924</v>
      </c>
      <c r="G378" s="392">
        <v>130876</v>
      </c>
      <c r="H378" s="392">
        <v>1003874</v>
      </c>
      <c r="I378" s="392">
        <v>303059</v>
      </c>
      <c r="J378" s="231">
        <v>0</v>
      </c>
      <c r="K378" s="231">
        <v>1437809</v>
      </c>
      <c r="L378" s="231"/>
      <c r="M378" s="300">
        <v>12832</v>
      </c>
      <c r="N378" s="300">
        <v>0</v>
      </c>
      <c r="O378" s="300">
        <v>0</v>
      </c>
      <c r="P378" s="231">
        <v>87750</v>
      </c>
      <c r="Q378" s="231">
        <v>100582</v>
      </c>
      <c r="R378" s="231"/>
      <c r="S378" s="392">
        <v>860041</v>
      </c>
      <c r="T378" s="231">
        <v>-41082</v>
      </c>
      <c r="U378" s="396">
        <v>818959</v>
      </c>
      <c r="V378" s="231"/>
      <c r="W378" s="396">
        <v>5482016</v>
      </c>
      <c r="X378" s="396">
        <v>1022794</v>
      </c>
      <c r="Y378" s="396"/>
      <c r="Z378" s="396"/>
    </row>
    <row r="379" spans="1:26">
      <c r="A379" s="424">
        <v>93913</v>
      </c>
      <c r="B379" s="423" t="s">
        <v>1087</v>
      </c>
      <c r="C379" s="234">
        <v>4.5000000000000003E-5</v>
      </c>
      <c r="D379" s="234">
        <v>4.07E-5</v>
      </c>
      <c r="E379" s="231">
        <v>253864</v>
      </c>
      <c r="F379" s="231" t="s">
        <v>1924</v>
      </c>
      <c r="G379" s="392">
        <v>10939</v>
      </c>
      <c r="H379" s="392">
        <v>83905</v>
      </c>
      <c r="I379" s="392">
        <v>25330</v>
      </c>
      <c r="J379" s="231">
        <v>20884</v>
      </c>
      <c r="K379" s="231">
        <v>141058</v>
      </c>
      <c r="L379" s="231"/>
      <c r="M379" s="300">
        <v>1072</v>
      </c>
      <c r="N379" s="300">
        <v>0</v>
      </c>
      <c r="O379" s="300">
        <v>0</v>
      </c>
      <c r="P379" s="231">
        <v>535</v>
      </c>
      <c r="Q379" s="231">
        <v>1607</v>
      </c>
      <c r="R379" s="231"/>
      <c r="S379" s="392">
        <v>71883</v>
      </c>
      <c r="T379" s="231">
        <v>7989</v>
      </c>
      <c r="U379" s="396">
        <v>79872</v>
      </c>
      <c r="V379" s="231"/>
      <c r="W379" s="396">
        <v>458192</v>
      </c>
      <c r="X379" s="396">
        <v>85486</v>
      </c>
      <c r="Y379" s="396"/>
      <c r="Z379" s="396"/>
    </row>
    <row r="380" spans="1:26">
      <c r="A380" s="424">
        <v>93914</v>
      </c>
      <c r="B380" s="423" t="s">
        <v>1088</v>
      </c>
      <c r="C380" s="234">
        <v>4.8999999999999997E-6</v>
      </c>
      <c r="D380" s="234">
        <v>5.1000000000000003E-6</v>
      </c>
      <c r="E380" s="231">
        <v>27643</v>
      </c>
      <c r="F380" s="231" t="s">
        <v>1924</v>
      </c>
      <c r="G380" s="392">
        <v>1191</v>
      </c>
      <c r="H380" s="392">
        <v>9136</v>
      </c>
      <c r="I380" s="392">
        <v>2758</v>
      </c>
      <c r="J380" s="231">
        <v>4543</v>
      </c>
      <c r="K380" s="231">
        <v>17628</v>
      </c>
      <c r="L380" s="231"/>
      <c r="M380" s="300">
        <v>117</v>
      </c>
      <c r="N380" s="300">
        <v>0</v>
      </c>
      <c r="O380" s="300">
        <v>0</v>
      </c>
      <c r="P380" s="231">
        <v>0</v>
      </c>
      <c r="Q380" s="231">
        <v>117</v>
      </c>
      <c r="R380" s="231"/>
      <c r="S380" s="392">
        <v>7827</v>
      </c>
      <c r="T380" s="231">
        <v>2883</v>
      </c>
      <c r="U380" s="396">
        <v>10710</v>
      </c>
      <c r="V380" s="231"/>
      <c r="W380" s="396">
        <v>49892</v>
      </c>
      <c r="X380" s="396">
        <v>9308</v>
      </c>
      <c r="Y380" s="396"/>
      <c r="Z380" s="396"/>
    </row>
    <row r="381" spans="1:26">
      <c r="A381" s="424">
        <v>93921</v>
      </c>
      <c r="B381" s="423" t="s">
        <v>1089</v>
      </c>
      <c r="C381" s="234">
        <v>2.9639999999999999E-4</v>
      </c>
      <c r="D381" s="234">
        <v>2.6479999999999999E-4</v>
      </c>
      <c r="E381" s="231">
        <v>1672119</v>
      </c>
      <c r="F381" s="231" t="s">
        <v>1924</v>
      </c>
      <c r="G381" s="392">
        <v>72050</v>
      </c>
      <c r="H381" s="392">
        <v>552653</v>
      </c>
      <c r="I381" s="392">
        <v>166840</v>
      </c>
      <c r="J381" s="231">
        <v>56087</v>
      </c>
      <c r="K381" s="231">
        <v>847630</v>
      </c>
      <c r="L381" s="231"/>
      <c r="M381" s="300">
        <v>7064</v>
      </c>
      <c r="N381" s="300">
        <v>0</v>
      </c>
      <c r="O381" s="300">
        <v>0</v>
      </c>
      <c r="P381" s="231">
        <v>15125</v>
      </c>
      <c r="Q381" s="231">
        <v>22189</v>
      </c>
      <c r="R381" s="231"/>
      <c r="S381" s="392">
        <v>473470</v>
      </c>
      <c r="T381" s="231">
        <v>16569</v>
      </c>
      <c r="U381" s="396">
        <v>490039</v>
      </c>
      <c r="V381" s="231"/>
      <c r="W381" s="396">
        <v>3017960</v>
      </c>
      <c r="X381" s="396">
        <v>563068</v>
      </c>
      <c r="Y381" s="396"/>
      <c r="Z381" s="396"/>
    </row>
    <row r="382" spans="1:26">
      <c r="A382" s="424">
        <v>93931</v>
      </c>
      <c r="B382" s="423" t="s">
        <v>1090</v>
      </c>
      <c r="C382" s="234">
        <v>5.3499999999999999E-4</v>
      </c>
      <c r="D382" s="234">
        <v>5.4149999999999999E-4</v>
      </c>
      <c r="E382" s="231">
        <v>3018164</v>
      </c>
      <c r="F382" s="231" t="s">
        <v>1924</v>
      </c>
      <c r="G382" s="392">
        <v>130050</v>
      </c>
      <c r="H382" s="392">
        <v>997535</v>
      </c>
      <c r="I382" s="392">
        <v>301145</v>
      </c>
      <c r="J382" s="231">
        <v>461</v>
      </c>
      <c r="K382" s="231">
        <v>1429191</v>
      </c>
      <c r="L382" s="231"/>
      <c r="M382" s="300">
        <v>12751</v>
      </c>
      <c r="N382" s="300">
        <v>0</v>
      </c>
      <c r="O382" s="300">
        <v>0</v>
      </c>
      <c r="P382" s="231">
        <v>76652</v>
      </c>
      <c r="Q382" s="231">
        <v>89403</v>
      </c>
      <c r="R382" s="231"/>
      <c r="S382" s="392">
        <v>854610</v>
      </c>
      <c r="T382" s="231">
        <v>-32025</v>
      </c>
      <c r="U382" s="396">
        <v>822585</v>
      </c>
      <c r="V382" s="231"/>
      <c r="W382" s="396">
        <v>5447397</v>
      </c>
      <c r="X382" s="396">
        <v>1016335</v>
      </c>
      <c r="Y382" s="396"/>
      <c r="Z382" s="396"/>
    </row>
    <row r="383" spans="1:26">
      <c r="A383" s="424">
        <v>94001</v>
      </c>
      <c r="B383" s="423" t="s">
        <v>1091</v>
      </c>
      <c r="C383" s="234">
        <v>9.6590000000000001E-4</v>
      </c>
      <c r="D383" s="234">
        <v>1.0621999999999999E-3</v>
      </c>
      <c r="E383" s="231">
        <v>5449055</v>
      </c>
      <c r="F383" s="231" t="s">
        <v>1924</v>
      </c>
      <c r="G383" s="392">
        <v>234795</v>
      </c>
      <c r="H383" s="392">
        <v>1800970</v>
      </c>
      <c r="I383" s="392">
        <v>543694</v>
      </c>
      <c r="J383" s="231">
        <v>51204</v>
      </c>
      <c r="K383" s="231">
        <v>2630663</v>
      </c>
      <c r="L383" s="231"/>
      <c r="M383" s="300">
        <v>23020</v>
      </c>
      <c r="N383" s="300">
        <v>0</v>
      </c>
      <c r="O383" s="300">
        <v>0</v>
      </c>
      <c r="P383" s="231">
        <v>167151</v>
      </c>
      <c r="Q383" s="231">
        <v>190171</v>
      </c>
      <c r="R383" s="231"/>
      <c r="S383" s="392">
        <v>1542930</v>
      </c>
      <c r="T383" s="231">
        <v>-1617</v>
      </c>
      <c r="U383" s="396">
        <v>1541313</v>
      </c>
      <c r="V383" s="231"/>
      <c r="W383" s="396">
        <v>9834843</v>
      </c>
      <c r="X383" s="396">
        <v>1834912</v>
      </c>
      <c r="Y383" s="396"/>
      <c r="Z383" s="396"/>
    </row>
    <row r="384" spans="1:26">
      <c r="A384" s="424">
        <v>94002</v>
      </c>
      <c r="B384" s="423" t="s">
        <v>1092</v>
      </c>
      <c r="C384" s="234">
        <v>3.5999999999999998E-6</v>
      </c>
      <c r="D384" s="234">
        <v>4.1999999999999996E-6</v>
      </c>
      <c r="E384" s="231">
        <v>20309</v>
      </c>
      <c r="F384" s="231" t="s">
        <v>1924</v>
      </c>
      <c r="G384" s="392">
        <v>875</v>
      </c>
      <c r="H384" s="392">
        <v>6712</v>
      </c>
      <c r="I384" s="392">
        <v>2026</v>
      </c>
      <c r="J384" s="231">
        <v>3693</v>
      </c>
      <c r="K384" s="231">
        <v>13306</v>
      </c>
      <c r="L384" s="231"/>
      <c r="M384" s="300">
        <v>86</v>
      </c>
      <c r="N384" s="300">
        <v>0</v>
      </c>
      <c r="O384" s="300">
        <v>0</v>
      </c>
      <c r="P384" s="231">
        <v>0</v>
      </c>
      <c r="Q384" s="231">
        <v>86</v>
      </c>
      <c r="R384" s="231"/>
      <c r="S384" s="392">
        <v>5751</v>
      </c>
      <c r="T384" s="231">
        <v>2002</v>
      </c>
      <c r="U384" s="396">
        <v>7753</v>
      </c>
      <c r="V384" s="231"/>
      <c r="W384" s="396">
        <v>36655</v>
      </c>
      <c r="X384" s="396">
        <v>6839</v>
      </c>
      <c r="Y384" s="396"/>
      <c r="Z384" s="396"/>
    </row>
    <row r="385" spans="1:26">
      <c r="A385" s="424">
        <v>94004</v>
      </c>
      <c r="B385" s="423" t="s">
        <v>1093</v>
      </c>
      <c r="C385" s="234">
        <v>9.5999999999999996E-6</v>
      </c>
      <c r="D385" s="234">
        <v>1.0200000000000001E-5</v>
      </c>
      <c r="E385" s="231">
        <v>54158</v>
      </c>
      <c r="F385" s="231" t="s">
        <v>1924</v>
      </c>
      <c r="G385" s="392">
        <v>2334</v>
      </c>
      <c r="H385" s="392">
        <v>17900</v>
      </c>
      <c r="I385" s="392">
        <v>5404</v>
      </c>
      <c r="J385" s="231">
        <v>6924</v>
      </c>
      <c r="K385" s="231">
        <v>32562</v>
      </c>
      <c r="L385" s="231"/>
      <c r="M385" s="300">
        <v>229</v>
      </c>
      <c r="N385" s="300">
        <v>0</v>
      </c>
      <c r="O385" s="300">
        <v>0</v>
      </c>
      <c r="P385" s="231">
        <v>0</v>
      </c>
      <c r="Q385" s="231">
        <v>229</v>
      </c>
      <c r="R385" s="231"/>
      <c r="S385" s="392">
        <v>15335</v>
      </c>
      <c r="T385" s="231">
        <v>3723</v>
      </c>
      <c r="U385" s="396">
        <v>19058</v>
      </c>
      <c r="V385" s="231"/>
      <c r="W385" s="396">
        <v>97748</v>
      </c>
      <c r="X385" s="396">
        <v>18237</v>
      </c>
      <c r="Y385" s="396"/>
      <c r="Z385" s="396"/>
    </row>
    <row r="386" spans="1:26">
      <c r="A386" s="424">
        <v>94005</v>
      </c>
      <c r="B386" s="423" t="s">
        <v>1094</v>
      </c>
      <c r="C386" s="234">
        <v>6.6000000000000003E-6</v>
      </c>
      <c r="D386" s="234">
        <v>6.2999999999999998E-6</v>
      </c>
      <c r="E386" s="231">
        <v>37233</v>
      </c>
      <c r="F386" s="231" t="s">
        <v>1924</v>
      </c>
      <c r="G386" s="392">
        <v>1604</v>
      </c>
      <c r="H386" s="392">
        <v>12306</v>
      </c>
      <c r="I386" s="392">
        <v>3715</v>
      </c>
      <c r="J386" s="231">
        <v>7058</v>
      </c>
      <c r="K386" s="231">
        <v>24683</v>
      </c>
      <c r="L386" s="231"/>
      <c r="M386" s="300">
        <v>157</v>
      </c>
      <c r="N386" s="300">
        <v>0</v>
      </c>
      <c r="O386" s="300">
        <v>0</v>
      </c>
      <c r="P386" s="231">
        <v>341</v>
      </c>
      <c r="Q386" s="231">
        <v>498</v>
      </c>
      <c r="R386" s="231"/>
      <c r="S386" s="392">
        <v>10543</v>
      </c>
      <c r="T386" s="231">
        <v>4111</v>
      </c>
      <c r="U386" s="396">
        <v>14654</v>
      </c>
      <c r="V386" s="231"/>
      <c r="W386" s="396">
        <v>67202</v>
      </c>
      <c r="X386" s="396">
        <v>12538</v>
      </c>
      <c r="Y386" s="396"/>
      <c r="Z386" s="396"/>
    </row>
    <row r="387" spans="1:26">
      <c r="A387" s="424">
        <v>94011</v>
      </c>
      <c r="B387" s="423" t="s">
        <v>1095</v>
      </c>
      <c r="C387" s="234">
        <v>3.18E-5</v>
      </c>
      <c r="D387" s="234">
        <v>2.8900000000000001E-5</v>
      </c>
      <c r="E387" s="231">
        <v>179397</v>
      </c>
      <c r="F387" s="231" t="s">
        <v>1924</v>
      </c>
      <c r="G387" s="392">
        <v>7730</v>
      </c>
      <c r="H387" s="392">
        <v>59293</v>
      </c>
      <c r="I387" s="392">
        <v>17900</v>
      </c>
      <c r="J387" s="231">
        <v>968</v>
      </c>
      <c r="K387" s="231">
        <v>85891</v>
      </c>
      <c r="L387" s="231"/>
      <c r="M387" s="300">
        <v>758</v>
      </c>
      <c r="N387" s="300">
        <v>0</v>
      </c>
      <c r="O387" s="300">
        <v>0</v>
      </c>
      <c r="P387" s="231">
        <v>1320</v>
      </c>
      <c r="Q387" s="231">
        <v>2078</v>
      </c>
      <c r="R387" s="231"/>
      <c r="S387" s="392">
        <v>50797</v>
      </c>
      <c r="T387" s="231">
        <v>-358</v>
      </c>
      <c r="U387" s="396">
        <v>50439</v>
      </c>
      <c r="V387" s="231"/>
      <c r="W387" s="396">
        <v>323789</v>
      </c>
      <c r="X387" s="396">
        <v>60410</v>
      </c>
      <c r="Y387" s="396"/>
      <c r="Z387" s="396"/>
    </row>
    <row r="388" spans="1:26">
      <c r="A388" s="424">
        <v>94021</v>
      </c>
      <c r="B388" s="423" t="s">
        <v>1096</v>
      </c>
      <c r="C388" s="234">
        <v>7.7600000000000002E-5</v>
      </c>
      <c r="D388" s="234">
        <v>8.6000000000000003E-5</v>
      </c>
      <c r="E388" s="231">
        <v>437775</v>
      </c>
      <c r="F388" s="231" t="s">
        <v>1924</v>
      </c>
      <c r="G388" s="392">
        <v>18863</v>
      </c>
      <c r="H388" s="392">
        <v>144689</v>
      </c>
      <c r="I388" s="392">
        <v>43680</v>
      </c>
      <c r="J388" s="231">
        <v>9286</v>
      </c>
      <c r="K388" s="231">
        <v>216518</v>
      </c>
      <c r="L388" s="231"/>
      <c r="M388" s="300">
        <v>1849</v>
      </c>
      <c r="N388" s="300">
        <v>0</v>
      </c>
      <c r="O388" s="300">
        <v>0</v>
      </c>
      <c r="P388" s="231">
        <v>29135</v>
      </c>
      <c r="Q388" s="231">
        <v>30984</v>
      </c>
      <c r="R388" s="231"/>
      <c r="S388" s="392">
        <v>123958</v>
      </c>
      <c r="T388" s="231">
        <v>-3231</v>
      </c>
      <c r="U388" s="396">
        <v>120727</v>
      </c>
      <c r="V388" s="231"/>
      <c r="W388" s="396">
        <v>790127</v>
      </c>
      <c r="X388" s="396">
        <v>147416</v>
      </c>
      <c r="Y388" s="396"/>
      <c r="Z388" s="396"/>
    </row>
    <row r="389" spans="1:26">
      <c r="A389" s="424">
        <v>94031</v>
      </c>
      <c r="B389" s="423" t="s">
        <v>1097</v>
      </c>
      <c r="C389" s="234">
        <v>4.6999999999999999E-6</v>
      </c>
      <c r="D389" s="234">
        <v>4.8999999999999997E-6</v>
      </c>
      <c r="E389" s="231">
        <v>26515</v>
      </c>
      <c r="F389" s="231" t="s">
        <v>1924</v>
      </c>
      <c r="G389" s="392">
        <v>1142</v>
      </c>
      <c r="H389" s="392">
        <v>8763</v>
      </c>
      <c r="I389" s="392">
        <v>2646</v>
      </c>
      <c r="J389" s="231">
        <v>9782</v>
      </c>
      <c r="K389" s="231">
        <v>22333</v>
      </c>
      <c r="L389" s="231"/>
      <c r="M389" s="300">
        <v>112</v>
      </c>
      <c r="N389" s="300">
        <v>0</v>
      </c>
      <c r="O389" s="300">
        <v>0</v>
      </c>
      <c r="P389" s="231">
        <v>0</v>
      </c>
      <c r="Q389" s="231">
        <v>112</v>
      </c>
      <c r="R389" s="231"/>
      <c r="S389" s="392">
        <v>7508</v>
      </c>
      <c r="T389" s="231">
        <v>5679</v>
      </c>
      <c r="U389" s="396">
        <v>13187</v>
      </c>
      <c r="V389" s="231"/>
      <c r="W389" s="396">
        <v>47856</v>
      </c>
      <c r="X389" s="396">
        <v>8929</v>
      </c>
      <c r="Y389" s="396"/>
      <c r="Z389" s="396"/>
    </row>
    <row r="390" spans="1:26">
      <c r="A390" s="424">
        <v>94101</v>
      </c>
      <c r="B390" s="423" t="s">
        <v>1098</v>
      </c>
      <c r="C390" s="234">
        <v>1.8343000000000002E-2</v>
      </c>
      <c r="D390" s="234">
        <v>1.7842E-2</v>
      </c>
      <c r="E390" s="231">
        <v>103480714</v>
      </c>
      <c r="F390" s="231" t="s">
        <v>1924</v>
      </c>
      <c r="G390" s="392">
        <v>4458890</v>
      </c>
      <c r="H390" s="392">
        <v>34201459</v>
      </c>
      <c r="I390" s="392">
        <v>10325055</v>
      </c>
      <c r="J390" s="231">
        <v>2012648</v>
      </c>
      <c r="K390" s="231">
        <v>50998052</v>
      </c>
      <c r="L390" s="231"/>
      <c r="M390" s="300">
        <v>437169</v>
      </c>
      <c r="N390" s="300">
        <v>0</v>
      </c>
      <c r="O390" s="300">
        <v>0</v>
      </c>
      <c r="P390" s="231">
        <v>101672</v>
      </c>
      <c r="Q390" s="231">
        <v>538841</v>
      </c>
      <c r="R390" s="231"/>
      <c r="S390" s="392">
        <v>29301127</v>
      </c>
      <c r="T390" s="231">
        <v>727535</v>
      </c>
      <c r="U390" s="396">
        <v>30028662</v>
      </c>
      <c r="V390" s="231"/>
      <c r="W390" s="396">
        <v>186769361</v>
      </c>
      <c r="X390" s="396">
        <v>34846032</v>
      </c>
      <c r="Y390" s="396"/>
      <c r="Z390" s="396"/>
    </row>
    <row r="391" spans="1:26">
      <c r="A391" s="424">
        <v>94102</v>
      </c>
      <c r="B391" s="423" t="s">
        <v>1099</v>
      </c>
      <c r="C391" s="234">
        <v>3.9130000000000002E-4</v>
      </c>
      <c r="D391" s="234">
        <v>3.4259999999999998E-4</v>
      </c>
      <c r="E391" s="231">
        <v>2207491</v>
      </c>
      <c r="F391" s="231" t="s">
        <v>1924</v>
      </c>
      <c r="G391" s="392">
        <v>95119</v>
      </c>
      <c r="H391" s="392">
        <v>729599</v>
      </c>
      <c r="I391" s="392">
        <v>220258</v>
      </c>
      <c r="J391" s="231">
        <v>18519</v>
      </c>
      <c r="K391" s="231">
        <v>1063495</v>
      </c>
      <c r="L391" s="231"/>
      <c r="M391" s="300">
        <v>9326</v>
      </c>
      <c r="N391" s="300">
        <v>0</v>
      </c>
      <c r="O391" s="300">
        <v>0</v>
      </c>
      <c r="P391" s="231">
        <v>70776</v>
      </c>
      <c r="Q391" s="231">
        <v>80102</v>
      </c>
      <c r="R391" s="231"/>
      <c r="S391" s="392">
        <v>625063</v>
      </c>
      <c r="T391" s="231">
        <v>-32678</v>
      </c>
      <c r="U391" s="396">
        <v>592385</v>
      </c>
      <c r="V391" s="231"/>
      <c r="W391" s="396">
        <v>3984237</v>
      </c>
      <c r="X391" s="396">
        <v>743349</v>
      </c>
      <c r="Y391" s="396"/>
      <c r="Z391" s="396"/>
    </row>
    <row r="392" spans="1:26">
      <c r="A392" s="424">
        <v>94108</v>
      </c>
      <c r="B392" s="423" t="s">
        <v>1100</v>
      </c>
      <c r="C392" s="234">
        <v>4.1730000000000001E-4</v>
      </c>
      <c r="D392" s="234">
        <v>3.9619999999999998E-4</v>
      </c>
      <c r="E392" s="231">
        <v>2354168</v>
      </c>
      <c r="F392" s="231" t="s">
        <v>1924</v>
      </c>
      <c r="G392" s="392">
        <v>101439</v>
      </c>
      <c r="H392" s="392">
        <v>778077</v>
      </c>
      <c r="I392" s="392">
        <v>234893</v>
      </c>
      <c r="J392" s="231">
        <v>0</v>
      </c>
      <c r="K392" s="231">
        <v>1114409</v>
      </c>
      <c r="L392" s="231"/>
      <c r="M392" s="300">
        <v>9946</v>
      </c>
      <c r="N392" s="300">
        <v>0</v>
      </c>
      <c r="O392" s="300">
        <v>0</v>
      </c>
      <c r="P392" s="231">
        <v>106183</v>
      </c>
      <c r="Q392" s="231">
        <v>116129</v>
      </c>
      <c r="R392" s="231"/>
      <c r="S392" s="392">
        <v>666595</v>
      </c>
      <c r="T392" s="231">
        <v>-50045</v>
      </c>
      <c r="U392" s="396">
        <v>616550</v>
      </c>
      <c r="V392" s="231"/>
      <c r="W392" s="396">
        <v>4248970</v>
      </c>
      <c r="X392" s="396">
        <v>792741</v>
      </c>
      <c r="Y392" s="396"/>
      <c r="Z392" s="396"/>
    </row>
    <row r="393" spans="1:26">
      <c r="A393" s="424">
        <v>94109</v>
      </c>
      <c r="B393" s="423" t="s">
        <v>1101</v>
      </c>
      <c r="C393" s="234">
        <v>1.132E-4</v>
      </c>
      <c r="D393" s="234">
        <v>9.7399999999999996E-5</v>
      </c>
      <c r="E393" s="231">
        <v>638610</v>
      </c>
      <c r="F393" s="231" t="s">
        <v>1924</v>
      </c>
      <c r="G393" s="392">
        <v>27517</v>
      </c>
      <c r="H393" s="392">
        <v>211067</v>
      </c>
      <c r="I393" s="392">
        <v>63719</v>
      </c>
      <c r="J393" s="231">
        <v>17411</v>
      </c>
      <c r="K393" s="231">
        <v>319714</v>
      </c>
      <c r="L393" s="231"/>
      <c r="M393" s="300">
        <v>2698</v>
      </c>
      <c r="N393" s="300">
        <v>0</v>
      </c>
      <c r="O393" s="300">
        <v>0</v>
      </c>
      <c r="P393" s="231">
        <v>20916</v>
      </c>
      <c r="Q393" s="231">
        <v>23614</v>
      </c>
      <c r="R393" s="231"/>
      <c r="S393" s="392">
        <v>180826</v>
      </c>
      <c r="T393" s="231">
        <v>-8607</v>
      </c>
      <c r="U393" s="396">
        <v>172219</v>
      </c>
      <c r="V393" s="231"/>
      <c r="W393" s="396">
        <v>1152608</v>
      </c>
      <c r="X393" s="396">
        <v>215045</v>
      </c>
      <c r="Y393" s="396"/>
      <c r="Z393" s="396"/>
    </row>
    <row r="394" spans="1:26">
      <c r="A394" s="424">
        <v>94111</v>
      </c>
      <c r="B394" s="423" t="s">
        <v>1102</v>
      </c>
      <c r="C394" s="234">
        <v>2.3378300000000001E-2</v>
      </c>
      <c r="D394" s="234">
        <v>2.33067E-2</v>
      </c>
      <c r="E394" s="231">
        <v>131886996</v>
      </c>
      <c r="F394" s="231" t="s">
        <v>1924</v>
      </c>
      <c r="G394" s="392">
        <v>5682891</v>
      </c>
      <c r="H394" s="392">
        <v>43590033</v>
      </c>
      <c r="I394" s="392">
        <v>13159365</v>
      </c>
      <c r="J394" s="231">
        <v>207160</v>
      </c>
      <c r="K394" s="231">
        <v>62639449</v>
      </c>
      <c r="L394" s="231"/>
      <c r="M394" s="300">
        <v>557175</v>
      </c>
      <c r="N394" s="300">
        <v>0</v>
      </c>
      <c r="O394" s="300">
        <v>0</v>
      </c>
      <c r="P394" s="231">
        <v>1259716</v>
      </c>
      <c r="Q394" s="231">
        <v>1816891</v>
      </c>
      <c r="R394" s="231"/>
      <c r="S394" s="392">
        <v>37344520</v>
      </c>
      <c r="T394" s="231">
        <v>-884545</v>
      </c>
      <c r="U394" s="396">
        <v>36459975</v>
      </c>
      <c r="V394" s="231"/>
      <c r="W394" s="396">
        <v>238039043</v>
      </c>
      <c r="X394" s="396">
        <v>44411546</v>
      </c>
      <c r="Y394" s="396"/>
      <c r="Z394" s="396"/>
    </row>
    <row r="395" spans="1:26">
      <c r="A395" s="424">
        <v>94112</v>
      </c>
      <c r="B395" s="423" t="s">
        <v>1103</v>
      </c>
      <c r="C395" s="234">
        <v>1.2439999999999999E-4</v>
      </c>
      <c r="D395" s="234">
        <v>1.429E-4</v>
      </c>
      <c r="E395" s="231">
        <v>701794</v>
      </c>
      <c r="F395" s="231" t="s">
        <v>1924</v>
      </c>
      <c r="G395" s="392">
        <v>30240</v>
      </c>
      <c r="H395" s="392">
        <v>231950</v>
      </c>
      <c r="I395" s="392">
        <v>70023</v>
      </c>
      <c r="J395" s="231">
        <v>0</v>
      </c>
      <c r="K395" s="231">
        <v>332213</v>
      </c>
      <c r="L395" s="231"/>
      <c r="M395" s="300">
        <v>2965</v>
      </c>
      <c r="N395" s="300">
        <v>0</v>
      </c>
      <c r="O395" s="300">
        <v>0</v>
      </c>
      <c r="P395" s="231">
        <v>34855</v>
      </c>
      <c r="Q395" s="231">
        <v>37820</v>
      </c>
      <c r="R395" s="231"/>
      <c r="S395" s="392">
        <v>198717</v>
      </c>
      <c r="T395" s="231">
        <v>-20377</v>
      </c>
      <c r="U395" s="396">
        <v>178340</v>
      </c>
      <c r="V395" s="231"/>
      <c r="W395" s="396">
        <v>1266647</v>
      </c>
      <c r="X395" s="396">
        <v>236322</v>
      </c>
      <c r="Y395" s="396"/>
      <c r="Z395" s="396"/>
    </row>
    <row r="396" spans="1:26">
      <c r="A396" s="424">
        <v>94117</v>
      </c>
      <c r="B396" s="423" t="s">
        <v>1104</v>
      </c>
      <c r="C396" s="234">
        <v>4.1829999999999998E-4</v>
      </c>
      <c r="D396" s="234">
        <v>3.5599999999999998E-4</v>
      </c>
      <c r="E396" s="231">
        <v>2359809</v>
      </c>
      <c r="F396" s="231" t="s">
        <v>1924</v>
      </c>
      <c r="G396" s="392">
        <v>101682</v>
      </c>
      <c r="H396" s="392">
        <v>779942</v>
      </c>
      <c r="I396" s="392">
        <v>235456</v>
      </c>
      <c r="J396" s="231">
        <v>200364</v>
      </c>
      <c r="K396" s="231">
        <v>1317444</v>
      </c>
      <c r="L396" s="231"/>
      <c r="M396" s="300">
        <v>9969</v>
      </c>
      <c r="N396" s="300">
        <v>0</v>
      </c>
      <c r="O396" s="300">
        <v>0</v>
      </c>
      <c r="P396" s="231">
        <v>1891</v>
      </c>
      <c r="Q396" s="231">
        <v>11860</v>
      </c>
      <c r="R396" s="231"/>
      <c r="S396" s="392">
        <v>668193</v>
      </c>
      <c r="T396" s="231">
        <v>76298</v>
      </c>
      <c r="U396" s="396">
        <v>744491</v>
      </c>
      <c r="V396" s="231"/>
      <c r="W396" s="396">
        <v>4259152</v>
      </c>
      <c r="X396" s="396">
        <v>794641</v>
      </c>
      <c r="Y396" s="396"/>
      <c r="Z396" s="396"/>
    </row>
    <row r="397" spans="1:26">
      <c r="A397" s="424">
        <v>94118</v>
      </c>
      <c r="B397" s="423" t="s">
        <v>1105</v>
      </c>
      <c r="C397" s="234">
        <v>1.55E-4</v>
      </c>
      <c r="D397" s="234">
        <v>1.5090000000000001E-4</v>
      </c>
      <c r="E397" s="231">
        <v>874421</v>
      </c>
      <c r="F397" s="231" t="s">
        <v>1924</v>
      </c>
      <c r="G397" s="392">
        <v>37678</v>
      </c>
      <c r="H397" s="392">
        <v>289005</v>
      </c>
      <c r="I397" s="392">
        <v>87248</v>
      </c>
      <c r="J397" s="231">
        <v>4894</v>
      </c>
      <c r="K397" s="231">
        <v>418825</v>
      </c>
      <c r="L397" s="231"/>
      <c r="M397" s="300">
        <v>3694</v>
      </c>
      <c r="N397" s="300">
        <v>0</v>
      </c>
      <c r="O397" s="300">
        <v>0</v>
      </c>
      <c r="P397" s="231">
        <v>17644</v>
      </c>
      <c r="Q397" s="231">
        <v>21338</v>
      </c>
      <c r="R397" s="231"/>
      <c r="S397" s="392">
        <v>247597</v>
      </c>
      <c r="T397" s="231">
        <v>-12549</v>
      </c>
      <c r="U397" s="396">
        <v>235048</v>
      </c>
      <c r="V397" s="231"/>
      <c r="W397" s="396">
        <v>1578218</v>
      </c>
      <c r="X397" s="396">
        <v>294452</v>
      </c>
      <c r="Y397" s="396"/>
      <c r="Z397" s="396"/>
    </row>
    <row r="398" spans="1:26">
      <c r="A398" s="424">
        <v>94121</v>
      </c>
      <c r="B398" s="423" t="s">
        <v>1106</v>
      </c>
      <c r="C398" s="234">
        <v>1.02808E-2</v>
      </c>
      <c r="D398" s="234">
        <v>1.06166E-2</v>
      </c>
      <c r="E398" s="231">
        <v>57998393</v>
      </c>
      <c r="F398" s="231" t="s">
        <v>1924</v>
      </c>
      <c r="G398" s="392">
        <v>2499098</v>
      </c>
      <c r="H398" s="392">
        <v>19169076</v>
      </c>
      <c r="I398" s="392">
        <v>5786939</v>
      </c>
      <c r="J398" s="231">
        <v>98474</v>
      </c>
      <c r="K398" s="231">
        <v>27553587</v>
      </c>
      <c r="L398" s="231"/>
      <c r="M398" s="300">
        <v>245022</v>
      </c>
      <c r="N398" s="300">
        <v>0</v>
      </c>
      <c r="O398" s="300">
        <v>0</v>
      </c>
      <c r="P398" s="231">
        <v>454430</v>
      </c>
      <c r="Q398" s="231">
        <v>699452</v>
      </c>
      <c r="R398" s="231"/>
      <c r="S398" s="392">
        <v>16422560</v>
      </c>
      <c r="T398" s="231">
        <v>-70460</v>
      </c>
      <c r="U398" s="396">
        <v>16352100</v>
      </c>
      <c r="V398" s="231"/>
      <c r="W398" s="396">
        <v>104679630</v>
      </c>
      <c r="X398" s="396">
        <v>19530343</v>
      </c>
      <c r="Y398" s="396"/>
      <c r="Z398" s="396"/>
    </row>
    <row r="399" spans="1:26">
      <c r="A399" s="424">
        <v>94127</v>
      </c>
      <c r="B399" s="423" t="s">
        <v>1107</v>
      </c>
      <c r="C399" s="234">
        <v>1.9379999999999999E-4</v>
      </c>
      <c r="D399" s="234">
        <v>1.9210000000000001E-4</v>
      </c>
      <c r="E399" s="231">
        <v>1093309</v>
      </c>
      <c r="F399" s="231" t="s">
        <v>1924</v>
      </c>
      <c r="G399" s="392">
        <v>47110</v>
      </c>
      <c r="H399" s="392">
        <v>361350</v>
      </c>
      <c r="I399" s="392">
        <v>109088</v>
      </c>
      <c r="J399" s="231">
        <v>61519</v>
      </c>
      <c r="K399" s="231">
        <v>579067</v>
      </c>
      <c r="L399" s="231"/>
      <c r="M399" s="300">
        <v>4619</v>
      </c>
      <c r="N399" s="300">
        <v>0</v>
      </c>
      <c r="O399" s="300">
        <v>0</v>
      </c>
      <c r="P399" s="231">
        <v>1481</v>
      </c>
      <c r="Q399" s="231">
        <v>6100</v>
      </c>
      <c r="R399" s="231"/>
      <c r="S399" s="392">
        <v>309576</v>
      </c>
      <c r="T399" s="231">
        <v>27848</v>
      </c>
      <c r="U399" s="396">
        <v>337424</v>
      </c>
      <c r="V399" s="231"/>
      <c r="W399" s="396">
        <v>1973281</v>
      </c>
      <c r="X399" s="396">
        <v>368160</v>
      </c>
      <c r="Y399" s="396"/>
      <c r="Z399" s="396"/>
    </row>
    <row r="400" spans="1:26">
      <c r="A400" s="424">
        <v>94131</v>
      </c>
      <c r="B400" s="423" t="s">
        <v>1108</v>
      </c>
      <c r="C400" s="234">
        <v>2.41E-4</v>
      </c>
      <c r="D400" s="234">
        <v>2.0560000000000001E-4</v>
      </c>
      <c r="E400" s="231">
        <v>1359584</v>
      </c>
      <c r="F400" s="231" t="s">
        <v>1924</v>
      </c>
      <c r="G400" s="392">
        <v>58583</v>
      </c>
      <c r="H400" s="392">
        <v>449357</v>
      </c>
      <c r="I400" s="392">
        <v>135656</v>
      </c>
      <c r="J400" s="231">
        <v>55051</v>
      </c>
      <c r="K400" s="231">
        <v>698647</v>
      </c>
      <c r="L400" s="231"/>
      <c r="M400" s="300">
        <v>5744</v>
      </c>
      <c r="N400" s="300">
        <v>0</v>
      </c>
      <c r="O400" s="300">
        <v>0</v>
      </c>
      <c r="P400" s="231">
        <v>5022</v>
      </c>
      <c r="Q400" s="231">
        <v>10766</v>
      </c>
      <c r="R400" s="231"/>
      <c r="S400" s="392">
        <v>384974</v>
      </c>
      <c r="T400" s="231">
        <v>23834</v>
      </c>
      <c r="U400" s="396">
        <v>408808</v>
      </c>
      <c r="V400" s="231"/>
      <c r="W400" s="396">
        <v>2453874</v>
      </c>
      <c r="X400" s="396">
        <v>457826</v>
      </c>
      <c r="Y400" s="396"/>
      <c r="Z400" s="396"/>
    </row>
    <row r="401" spans="1:26" ht="14.25" customHeight="1">
      <c r="A401" s="424">
        <v>94151</v>
      </c>
      <c r="B401" s="423" t="s">
        <v>1109</v>
      </c>
      <c r="C401" s="234">
        <v>5.1610000000000002E-4</v>
      </c>
      <c r="D401" s="234">
        <v>4.5780000000000001E-4</v>
      </c>
      <c r="E401" s="231">
        <v>2911541</v>
      </c>
      <c r="F401" s="231" t="s">
        <v>1924</v>
      </c>
      <c r="G401" s="392">
        <v>125456</v>
      </c>
      <c r="H401" s="392">
        <v>962295</v>
      </c>
      <c r="I401" s="392">
        <v>290506</v>
      </c>
      <c r="J401" s="231">
        <v>76307</v>
      </c>
      <c r="K401" s="231">
        <v>1454564</v>
      </c>
      <c r="L401" s="231"/>
      <c r="M401" s="300">
        <v>12300</v>
      </c>
      <c r="N401" s="300">
        <v>0</v>
      </c>
      <c r="O401" s="300">
        <v>0</v>
      </c>
      <c r="P401" s="231">
        <v>21385</v>
      </c>
      <c r="Q401" s="231">
        <v>33685</v>
      </c>
      <c r="R401" s="231"/>
      <c r="S401" s="392">
        <v>824419</v>
      </c>
      <c r="T401" s="231">
        <v>9968</v>
      </c>
      <c r="U401" s="396">
        <v>834387</v>
      </c>
      <c r="V401" s="231"/>
      <c r="W401" s="396">
        <v>5254957</v>
      </c>
      <c r="X401" s="396">
        <v>980431</v>
      </c>
      <c r="Y401" s="396"/>
      <c r="Z401" s="396"/>
    </row>
    <row r="402" spans="1:26">
      <c r="A402" s="424">
        <v>94157</v>
      </c>
      <c r="B402" s="423" t="s">
        <v>1110</v>
      </c>
      <c r="C402" s="234">
        <v>1.77E-5</v>
      </c>
      <c r="D402" s="234">
        <v>1.84E-5</v>
      </c>
      <c r="E402" s="231">
        <v>99853</v>
      </c>
      <c r="F402" s="231" t="s">
        <v>1924</v>
      </c>
      <c r="G402" s="392">
        <v>4303</v>
      </c>
      <c r="H402" s="392">
        <v>33003</v>
      </c>
      <c r="I402" s="392">
        <v>9963</v>
      </c>
      <c r="J402" s="231">
        <v>9207</v>
      </c>
      <c r="K402" s="231">
        <v>56476</v>
      </c>
      <c r="L402" s="231"/>
      <c r="M402" s="300">
        <v>422</v>
      </c>
      <c r="N402" s="300">
        <v>0</v>
      </c>
      <c r="O402" s="300">
        <v>0</v>
      </c>
      <c r="P402" s="231">
        <v>4818</v>
      </c>
      <c r="Q402" s="231">
        <v>5240</v>
      </c>
      <c r="R402" s="231"/>
      <c r="S402" s="392">
        <v>28274</v>
      </c>
      <c r="T402" s="231">
        <v>3654</v>
      </c>
      <c r="U402" s="396">
        <v>31928</v>
      </c>
      <c r="V402" s="231"/>
      <c r="W402" s="396">
        <v>180222</v>
      </c>
      <c r="X402" s="396">
        <v>33625</v>
      </c>
      <c r="Y402" s="396"/>
      <c r="Z402" s="396"/>
    </row>
    <row r="403" spans="1:26">
      <c r="A403" s="424">
        <v>94161</v>
      </c>
      <c r="B403" s="423" t="s">
        <v>1111</v>
      </c>
      <c r="C403" s="234">
        <v>5.3499999999999999E-5</v>
      </c>
      <c r="D403" s="234">
        <v>5.3900000000000002E-5</v>
      </c>
      <c r="E403" s="231">
        <v>301816</v>
      </c>
      <c r="F403" s="231" t="s">
        <v>1924</v>
      </c>
      <c r="G403" s="392">
        <v>13005</v>
      </c>
      <c r="H403" s="392">
        <v>99753</v>
      </c>
      <c r="I403" s="392">
        <v>30115</v>
      </c>
      <c r="J403" s="231">
        <v>14546</v>
      </c>
      <c r="K403" s="231">
        <v>157419</v>
      </c>
      <c r="L403" s="231"/>
      <c r="M403" s="300">
        <v>1275</v>
      </c>
      <c r="N403" s="300">
        <v>0</v>
      </c>
      <c r="O403" s="300">
        <v>0</v>
      </c>
      <c r="P403" s="231">
        <v>0</v>
      </c>
      <c r="Q403" s="231">
        <v>1275</v>
      </c>
      <c r="R403" s="231"/>
      <c r="S403" s="392">
        <v>85461</v>
      </c>
      <c r="T403" s="231">
        <v>7086</v>
      </c>
      <c r="U403" s="396">
        <v>92547</v>
      </c>
      <c r="V403" s="231"/>
      <c r="W403" s="396">
        <v>544740</v>
      </c>
      <c r="X403" s="396">
        <v>101633</v>
      </c>
      <c r="Y403" s="396"/>
      <c r="Z403" s="396"/>
    </row>
    <row r="404" spans="1:26">
      <c r="A404" s="424">
        <v>94168</v>
      </c>
      <c r="B404" s="423" t="s">
        <v>1112</v>
      </c>
      <c r="C404" s="234">
        <v>8.9400000000000005E-5</v>
      </c>
      <c r="D404" s="234">
        <v>7.7999999999999999E-5</v>
      </c>
      <c r="E404" s="231">
        <v>504344</v>
      </c>
      <c r="F404" s="231" t="s">
        <v>1924</v>
      </c>
      <c r="G404" s="392">
        <v>21732</v>
      </c>
      <c r="H404" s="392">
        <v>166691</v>
      </c>
      <c r="I404" s="392">
        <v>50322</v>
      </c>
      <c r="J404" s="231">
        <v>17564</v>
      </c>
      <c r="K404" s="231">
        <v>256309</v>
      </c>
      <c r="L404" s="231"/>
      <c r="M404" s="300">
        <v>2131</v>
      </c>
      <c r="N404" s="300">
        <v>0</v>
      </c>
      <c r="O404" s="300">
        <v>0</v>
      </c>
      <c r="P404" s="231">
        <v>0</v>
      </c>
      <c r="Q404" s="231">
        <v>2131</v>
      </c>
      <c r="R404" s="231"/>
      <c r="S404" s="392">
        <v>142808</v>
      </c>
      <c r="T404" s="231">
        <v>14152</v>
      </c>
      <c r="U404" s="396">
        <v>156960</v>
      </c>
      <c r="V404" s="231"/>
      <c r="W404" s="396">
        <v>910275</v>
      </c>
      <c r="X404" s="396">
        <v>169832</v>
      </c>
      <c r="Y404" s="396"/>
      <c r="Z404" s="396"/>
    </row>
    <row r="405" spans="1:26">
      <c r="A405" s="424">
        <v>94171</v>
      </c>
      <c r="B405" s="423" t="s">
        <v>1113</v>
      </c>
      <c r="C405" s="234">
        <v>6.4900000000000005E-5</v>
      </c>
      <c r="D405" s="234">
        <v>7.6500000000000003E-5</v>
      </c>
      <c r="E405" s="231">
        <v>366129</v>
      </c>
      <c r="F405" s="231" t="s">
        <v>1924</v>
      </c>
      <c r="G405" s="392">
        <v>15776</v>
      </c>
      <c r="H405" s="392">
        <v>121009</v>
      </c>
      <c r="I405" s="392">
        <v>36531</v>
      </c>
      <c r="J405" s="231">
        <v>5225</v>
      </c>
      <c r="K405" s="231">
        <v>178541</v>
      </c>
      <c r="L405" s="231"/>
      <c r="M405" s="300">
        <v>1547</v>
      </c>
      <c r="N405" s="300">
        <v>0</v>
      </c>
      <c r="O405" s="300">
        <v>0</v>
      </c>
      <c r="P405" s="231">
        <v>24828</v>
      </c>
      <c r="Q405" s="231">
        <v>26375</v>
      </c>
      <c r="R405" s="231"/>
      <c r="S405" s="392">
        <v>103671</v>
      </c>
      <c r="T405" s="231">
        <v>-6944</v>
      </c>
      <c r="U405" s="396">
        <v>96727</v>
      </c>
      <c r="V405" s="231"/>
      <c r="W405" s="396">
        <v>660815</v>
      </c>
      <c r="X405" s="396">
        <v>123290</v>
      </c>
      <c r="Y405" s="396"/>
      <c r="Z405" s="396"/>
    </row>
    <row r="406" spans="1:26">
      <c r="A406" s="424">
        <v>94172</v>
      </c>
      <c r="B406" s="423" t="s">
        <v>1114</v>
      </c>
      <c r="C406" s="234">
        <v>3.1629999999999999E-4</v>
      </c>
      <c r="D406" s="234">
        <v>2.9910000000000001E-4</v>
      </c>
      <c r="E406" s="231">
        <v>1784384</v>
      </c>
      <c r="F406" s="231" t="s">
        <v>1924</v>
      </c>
      <c r="G406" s="392">
        <v>76887</v>
      </c>
      <c r="H406" s="392">
        <v>589757</v>
      </c>
      <c r="I406" s="392">
        <v>178041</v>
      </c>
      <c r="J406" s="231">
        <v>13912</v>
      </c>
      <c r="K406" s="231">
        <v>858597</v>
      </c>
      <c r="L406" s="231"/>
      <c r="M406" s="300">
        <v>7538</v>
      </c>
      <c r="N406" s="300">
        <v>0</v>
      </c>
      <c r="O406" s="300">
        <v>0</v>
      </c>
      <c r="P406" s="231">
        <v>34078</v>
      </c>
      <c r="Q406" s="231">
        <v>41616</v>
      </c>
      <c r="R406" s="231"/>
      <c r="S406" s="392">
        <v>505258</v>
      </c>
      <c r="T406" s="231">
        <v>-21330</v>
      </c>
      <c r="U406" s="396">
        <v>483928</v>
      </c>
      <c r="V406" s="231"/>
      <c r="W406" s="396">
        <v>3220583</v>
      </c>
      <c r="X406" s="396">
        <v>600872</v>
      </c>
      <c r="Y406" s="396"/>
      <c r="Z406" s="396"/>
    </row>
    <row r="407" spans="1:26">
      <c r="A407" s="425">
        <v>94201</v>
      </c>
      <c r="B407" s="426" t="s">
        <v>1115</v>
      </c>
      <c r="C407" s="234">
        <v>2.8850999999999998E-3</v>
      </c>
      <c r="D407" s="234">
        <v>2.9031E-3</v>
      </c>
      <c r="E407" s="231">
        <v>16276084</v>
      </c>
      <c r="F407" s="231" t="s">
        <v>1924</v>
      </c>
      <c r="G407" s="392">
        <v>701322</v>
      </c>
      <c r="H407" s="392">
        <v>5379416</v>
      </c>
      <c r="I407" s="392">
        <v>1623988</v>
      </c>
      <c r="J407" s="231">
        <v>84772</v>
      </c>
      <c r="K407" s="231">
        <v>7789498</v>
      </c>
      <c r="L407" s="231"/>
      <c r="M407" s="300">
        <v>68761</v>
      </c>
      <c r="N407" s="300">
        <v>0</v>
      </c>
      <c r="O407" s="300">
        <v>0</v>
      </c>
      <c r="P407" s="231">
        <v>144320</v>
      </c>
      <c r="Q407" s="231">
        <v>213081</v>
      </c>
      <c r="R407" s="231"/>
      <c r="S407" s="392">
        <v>4608662</v>
      </c>
      <c r="T407" s="231">
        <v>-88148</v>
      </c>
      <c r="U407" s="396">
        <v>4520514</v>
      </c>
      <c r="V407" s="231"/>
      <c r="W407" s="396">
        <v>29376235</v>
      </c>
      <c r="X407" s="396">
        <v>5480799</v>
      </c>
      <c r="Y407" s="396"/>
      <c r="Z407" s="396"/>
    </row>
    <row r="408" spans="1:26">
      <c r="A408" s="424">
        <v>94204</v>
      </c>
      <c r="B408" s="423" t="s">
        <v>1116</v>
      </c>
      <c r="C408" s="234">
        <v>4.57E-5</v>
      </c>
      <c r="D408" s="234">
        <v>3.8999999999999999E-5</v>
      </c>
      <c r="E408" s="231">
        <v>257813</v>
      </c>
      <c r="F408" s="231" t="s">
        <v>1924</v>
      </c>
      <c r="G408" s="392">
        <v>11109</v>
      </c>
      <c r="H408" s="392">
        <v>85210</v>
      </c>
      <c r="I408" s="392">
        <v>25724</v>
      </c>
      <c r="J408" s="231">
        <v>20858</v>
      </c>
      <c r="K408" s="231">
        <v>142901</v>
      </c>
      <c r="L408" s="231"/>
      <c r="M408" s="300">
        <v>1089</v>
      </c>
      <c r="N408" s="300">
        <v>0</v>
      </c>
      <c r="O408" s="300">
        <v>0</v>
      </c>
      <c r="P408" s="231">
        <v>0</v>
      </c>
      <c r="Q408" s="231">
        <v>1089</v>
      </c>
      <c r="R408" s="231"/>
      <c r="S408" s="392">
        <v>73001</v>
      </c>
      <c r="T408" s="231">
        <v>12213</v>
      </c>
      <c r="U408" s="396">
        <v>85214</v>
      </c>
      <c r="V408" s="231"/>
      <c r="W408" s="396">
        <v>465320</v>
      </c>
      <c r="X408" s="396">
        <v>86816</v>
      </c>
      <c r="Y408" s="396"/>
      <c r="Z408" s="396"/>
    </row>
    <row r="409" spans="1:26">
      <c r="A409" s="424">
        <v>94205</v>
      </c>
      <c r="B409" s="423" t="s">
        <v>1117</v>
      </c>
      <c r="C409" s="234">
        <v>1.45E-5</v>
      </c>
      <c r="D409" s="234">
        <v>1.31E-5</v>
      </c>
      <c r="E409" s="231">
        <v>81801</v>
      </c>
      <c r="F409" s="231" t="s">
        <v>1924</v>
      </c>
      <c r="G409" s="392">
        <v>3525</v>
      </c>
      <c r="H409" s="392">
        <v>27036</v>
      </c>
      <c r="I409" s="392">
        <v>8162</v>
      </c>
      <c r="J409" s="231">
        <v>12403</v>
      </c>
      <c r="K409" s="231">
        <v>51126</v>
      </c>
      <c r="L409" s="231"/>
      <c r="M409" s="300">
        <v>346</v>
      </c>
      <c r="N409" s="300">
        <v>0</v>
      </c>
      <c r="O409" s="300">
        <v>0</v>
      </c>
      <c r="P409" s="231">
        <v>0</v>
      </c>
      <c r="Q409" s="231">
        <v>346</v>
      </c>
      <c r="R409" s="231"/>
      <c r="S409" s="392">
        <v>23162</v>
      </c>
      <c r="T409" s="231">
        <v>5100</v>
      </c>
      <c r="U409" s="396">
        <v>28262</v>
      </c>
      <c r="V409" s="231"/>
      <c r="W409" s="396">
        <v>147640</v>
      </c>
      <c r="X409" s="396">
        <v>27546</v>
      </c>
      <c r="Y409" s="396"/>
      <c r="Z409" s="396"/>
    </row>
    <row r="410" spans="1:26">
      <c r="A410" s="424">
        <v>94209</v>
      </c>
      <c r="B410" s="423" t="s">
        <v>1118</v>
      </c>
      <c r="C410" s="234">
        <v>2.7310000000000002E-4</v>
      </c>
      <c r="D410" s="234">
        <v>2.9789999999999998E-4</v>
      </c>
      <c r="E410" s="231">
        <v>1540674</v>
      </c>
      <c r="F410" s="231" t="s">
        <v>1924</v>
      </c>
      <c r="G410" s="392">
        <v>66386</v>
      </c>
      <c r="H410" s="392">
        <v>509209</v>
      </c>
      <c r="I410" s="392">
        <v>153725</v>
      </c>
      <c r="J410" s="231">
        <v>1781</v>
      </c>
      <c r="K410" s="231">
        <v>731101</v>
      </c>
      <c r="L410" s="231"/>
      <c r="M410" s="300">
        <v>6509</v>
      </c>
      <c r="N410" s="300">
        <v>0</v>
      </c>
      <c r="O410" s="300">
        <v>0</v>
      </c>
      <c r="P410" s="231">
        <v>32186</v>
      </c>
      <c r="Q410" s="231">
        <v>38695</v>
      </c>
      <c r="R410" s="231"/>
      <c r="S410" s="392">
        <v>436250</v>
      </c>
      <c r="T410" s="231">
        <v>-17549</v>
      </c>
      <c r="U410" s="396">
        <v>418701</v>
      </c>
      <c r="V410" s="231"/>
      <c r="W410" s="396">
        <v>2780718</v>
      </c>
      <c r="X410" s="396">
        <v>518806</v>
      </c>
      <c r="Y410" s="396"/>
      <c r="Z410" s="396"/>
    </row>
    <row r="411" spans="1:26">
      <c r="A411" s="424">
        <v>94211</v>
      </c>
      <c r="B411" s="423" t="s">
        <v>1119</v>
      </c>
      <c r="C411" s="234">
        <v>1.3449999999999999E-4</v>
      </c>
      <c r="D411" s="234">
        <v>1.225E-4</v>
      </c>
      <c r="E411" s="231">
        <v>758772</v>
      </c>
      <c r="F411" s="231" t="s">
        <v>1924</v>
      </c>
      <c r="G411" s="392">
        <v>32695</v>
      </c>
      <c r="H411" s="392">
        <v>250782</v>
      </c>
      <c r="I411" s="392">
        <v>75708</v>
      </c>
      <c r="J411" s="231">
        <v>23700</v>
      </c>
      <c r="K411" s="231">
        <v>382885</v>
      </c>
      <c r="L411" s="231"/>
      <c r="M411" s="300">
        <v>3206</v>
      </c>
      <c r="N411" s="300">
        <v>0</v>
      </c>
      <c r="O411" s="300">
        <v>0</v>
      </c>
      <c r="P411" s="231">
        <v>25269</v>
      </c>
      <c r="Q411" s="231">
        <v>28475</v>
      </c>
      <c r="R411" s="231"/>
      <c r="S411" s="392">
        <v>214850</v>
      </c>
      <c r="T411" s="231">
        <v>-5230</v>
      </c>
      <c r="U411" s="396">
        <v>209620</v>
      </c>
      <c r="V411" s="231"/>
      <c r="W411" s="396">
        <v>1369486</v>
      </c>
      <c r="X411" s="396">
        <v>255508</v>
      </c>
      <c r="Y411" s="396"/>
      <c r="Z411" s="396"/>
    </row>
    <row r="412" spans="1:26">
      <c r="A412" s="424">
        <v>94221</v>
      </c>
      <c r="B412" s="423" t="s">
        <v>1120</v>
      </c>
      <c r="C412" s="234">
        <v>8.5470000000000001E-4</v>
      </c>
      <c r="D412" s="234">
        <v>8.476E-4</v>
      </c>
      <c r="E412" s="231">
        <v>4821729</v>
      </c>
      <c r="F412" s="231" t="s">
        <v>1924</v>
      </c>
      <c r="G412" s="392">
        <v>207764</v>
      </c>
      <c r="H412" s="392">
        <v>1593632</v>
      </c>
      <c r="I412" s="392">
        <v>481100</v>
      </c>
      <c r="J412" s="231">
        <v>13125</v>
      </c>
      <c r="K412" s="231">
        <v>2295621</v>
      </c>
      <c r="L412" s="231"/>
      <c r="M412" s="300">
        <v>20370</v>
      </c>
      <c r="N412" s="300">
        <v>0</v>
      </c>
      <c r="O412" s="300">
        <v>0</v>
      </c>
      <c r="P412" s="231">
        <v>180590</v>
      </c>
      <c r="Q412" s="231">
        <v>200960</v>
      </c>
      <c r="R412" s="231"/>
      <c r="S412" s="392">
        <v>1365299</v>
      </c>
      <c r="T412" s="231">
        <v>-104265</v>
      </c>
      <c r="U412" s="396">
        <v>1261034</v>
      </c>
      <c r="V412" s="231"/>
      <c r="W412" s="396">
        <v>8702599</v>
      </c>
      <c r="X412" s="396">
        <v>1623666</v>
      </c>
      <c r="Y412" s="396"/>
      <c r="Z412" s="396"/>
    </row>
    <row r="413" spans="1:26" ht="14.25" customHeight="1">
      <c r="A413" s="424">
        <v>94231</v>
      </c>
      <c r="B413" s="423" t="s">
        <v>1121</v>
      </c>
      <c r="C413" s="234">
        <v>1.393E-4</v>
      </c>
      <c r="D413" s="234">
        <v>1.438E-4</v>
      </c>
      <c r="E413" s="231">
        <v>785851</v>
      </c>
      <c r="F413" s="231" t="s">
        <v>1924</v>
      </c>
      <c r="G413" s="392">
        <v>33862</v>
      </c>
      <c r="H413" s="392">
        <v>259732</v>
      </c>
      <c r="I413" s="392">
        <v>78410</v>
      </c>
      <c r="J413" s="231">
        <v>31558</v>
      </c>
      <c r="K413" s="231">
        <v>403562</v>
      </c>
      <c r="L413" s="231"/>
      <c r="M413" s="300">
        <v>3320</v>
      </c>
      <c r="N413" s="300">
        <v>0</v>
      </c>
      <c r="O413" s="300">
        <v>0</v>
      </c>
      <c r="P413" s="231">
        <v>15677</v>
      </c>
      <c r="Q413" s="231">
        <v>18997</v>
      </c>
      <c r="R413" s="231"/>
      <c r="S413" s="392">
        <v>222518</v>
      </c>
      <c r="T413" s="231">
        <v>-7148</v>
      </c>
      <c r="U413" s="396">
        <v>215370</v>
      </c>
      <c r="V413" s="231"/>
      <c r="W413" s="396">
        <v>1418360</v>
      </c>
      <c r="X413" s="396">
        <v>264627</v>
      </c>
      <c r="Y413" s="396"/>
      <c r="Z413" s="396"/>
    </row>
    <row r="414" spans="1:26">
      <c r="A414" s="424">
        <v>94241</v>
      </c>
      <c r="B414" s="423" t="s">
        <v>1122</v>
      </c>
      <c r="C414" s="234">
        <v>1.4899999999999999E-4</v>
      </c>
      <c r="D414" s="234">
        <v>1.6980000000000001E-4</v>
      </c>
      <c r="E414" s="231">
        <v>840573</v>
      </c>
      <c r="F414" s="231" t="s">
        <v>1924</v>
      </c>
      <c r="G414" s="392">
        <v>36220</v>
      </c>
      <c r="H414" s="392">
        <v>277818</v>
      </c>
      <c r="I414" s="392">
        <v>83870</v>
      </c>
      <c r="J414" s="231">
        <v>51755</v>
      </c>
      <c r="K414" s="231">
        <v>449663</v>
      </c>
      <c r="L414" s="231"/>
      <c r="M414" s="300">
        <v>3551</v>
      </c>
      <c r="N414" s="300">
        <v>0</v>
      </c>
      <c r="O414" s="300">
        <v>0</v>
      </c>
      <c r="P414" s="231">
        <v>48485</v>
      </c>
      <c r="Q414" s="231">
        <v>52036</v>
      </c>
      <c r="R414" s="231"/>
      <c r="S414" s="392">
        <v>238013</v>
      </c>
      <c r="T414" s="231">
        <v>13923</v>
      </c>
      <c r="U414" s="396">
        <v>251936</v>
      </c>
      <c r="V414" s="231"/>
      <c r="W414" s="396">
        <v>1517126</v>
      </c>
      <c r="X414" s="396">
        <v>283054</v>
      </c>
      <c r="Y414" s="396"/>
      <c r="Z414" s="396"/>
    </row>
    <row r="415" spans="1:26">
      <c r="A415" s="424">
        <v>94251</v>
      </c>
      <c r="B415" s="423" t="s">
        <v>1123</v>
      </c>
      <c r="C415" s="234">
        <v>2.5299999999999998E-5</v>
      </c>
      <c r="D415" s="234">
        <v>1.91E-5</v>
      </c>
      <c r="E415" s="231">
        <v>142728</v>
      </c>
      <c r="F415" s="231" t="s">
        <v>1924</v>
      </c>
      <c r="G415" s="392">
        <v>6150</v>
      </c>
      <c r="H415" s="392">
        <v>47173</v>
      </c>
      <c r="I415" s="392">
        <v>14241</v>
      </c>
      <c r="J415" s="231">
        <v>8989</v>
      </c>
      <c r="K415" s="231">
        <v>76553</v>
      </c>
      <c r="L415" s="231"/>
      <c r="M415" s="300">
        <v>603</v>
      </c>
      <c r="N415" s="300">
        <v>0</v>
      </c>
      <c r="O415" s="300">
        <v>0</v>
      </c>
      <c r="P415" s="231">
        <v>0</v>
      </c>
      <c r="Q415" s="231">
        <v>603</v>
      </c>
      <c r="R415" s="231"/>
      <c r="S415" s="392">
        <v>40414</v>
      </c>
      <c r="T415" s="231">
        <v>3240</v>
      </c>
      <c r="U415" s="396">
        <v>43654</v>
      </c>
      <c r="V415" s="231"/>
      <c r="W415" s="396">
        <v>257606</v>
      </c>
      <c r="X415" s="396">
        <v>48062</v>
      </c>
      <c r="Y415" s="396"/>
      <c r="Z415" s="396"/>
    </row>
    <row r="416" spans="1:26">
      <c r="A416" s="424">
        <v>94261</v>
      </c>
      <c r="B416" s="423" t="s">
        <v>1124</v>
      </c>
      <c r="C416" s="234">
        <v>3.7299999999999999E-5</v>
      </c>
      <c r="D416" s="234">
        <v>4.1E-5</v>
      </c>
      <c r="E416" s="231">
        <v>210425</v>
      </c>
      <c r="F416" s="231" t="s">
        <v>1924</v>
      </c>
      <c r="G416" s="392">
        <v>9067</v>
      </c>
      <c r="H416" s="392">
        <v>69548</v>
      </c>
      <c r="I416" s="392">
        <v>20996</v>
      </c>
      <c r="J416" s="231">
        <v>3711</v>
      </c>
      <c r="K416" s="231">
        <v>103322</v>
      </c>
      <c r="L416" s="231"/>
      <c r="M416" s="300">
        <v>889</v>
      </c>
      <c r="N416" s="300">
        <v>0</v>
      </c>
      <c r="O416" s="300">
        <v>0</v>
      </c>
      <c r="P416" s="231">
        <v>9991</v>
      </c>
      <c r="Q416" s="231">
        <v>10880</v>
      </c>
      <c r="R416" s="231"/>
      <c r="S416" s="392">
        <v>59583</v>
      </c>
      <c r="T416" s="231">
        <v>-3402</v>
      </c>
      <c r="U416" s="396">
        <v>56181</v>
      </c>
      <c r="V416" s="231"/>
      <c r="W416" s="396">
        <v>379791</v>
      </c>
      <c r="X416" s="396">
        <v>70858</v>
      </c>
      <c r="Y416" s="396"/>
      <c r="Z416" s="396"/>
    </row>
    <row r="417" spans="1:26">
      <c r="A417" s="424">
        <v>94301</v>
      </c>
      <c r="B417" s="423" t="s">
        <v>1125</v>
      </c>
      <c r="C417" s="234">
        <v>5.5992000000000004E-3</v>
      </c>
      <c r="D417" s="234">
        <v>5.8427000000000002E-3</v>
      </c>
      <c r="E417" s="231">
        <v>31587484</v>
      </c>
      <c r="F417" s="231" t="s">
        <v>1924</v>
      </c>
      <c r="G417" s="392">
        <v>1361076</v>
      </c>
      <c r="H417" s="392">
        <v>10439994</v>
      </c>
      <c r="I417" s="392">
        <v>3151722</v>
      </c>
      <c r="J417" s="231">
        <v>0</v>
      </c>
      <c r="K417" s="231">
        <v>14952792</v>
      </c>
      <c r="L417" s="231"/>
      <c r="M417" s="300">
        <v>133446</v>
      </c>
      <c r="N417" s="300">
        <v>0</v>
      </c>
      <c r="O417" s="300">
        <v>0</v>
      </c>
      <c r="P417" s="231">
        <v>564033</v>
      </c>
      <c r="Q417" s="231">
        <v>697479</v>
      </c>
      <c r="R417" s="231"/>
      <c r="S417" s="392">
        <v>8944168</v>
      </c>
      <c r="T417" s="231">
        <v>-319794</v>
      </c>
      <c r="U417" s="396">
        <v>8624374</v>
      </c>
      <c r="V417" s="231"/>
      <c r="W417" s="396">
        <v>57011340</v>
      </c>
      <c r="X417" s="396">
        <v>10636750</v>
      </c>
      <c r="Y417" s="396"/>
      <c r="Z417" s="396"/>
    </row>
    <row r="418" spans="1:26">
      <c r="A418" s="424">
        <v>94311</v>
      </c>
      <c r="B418" s="423" t="s">
        <v>1126</v>
      </c>
      <c r="C418" s="234">
        <v>8.2569999999999996E-4</v>
      </c>
      <c r="D418" s="234">
        <v>7.9109999999999998E-4</v>
      </c>
      <c r="E418" s="231">
        <v>4658127</v>
      </c>
      <c r="F418" s="231" t="s">
        <v>1924</v>
      </c>
      <c r="G418" s="392">
        <v>200714</v>
      </c>
      <c r="H418" s="392">
        <v>1539560</v>
      </c>
      <c r="I418" s="392">
        <v>464777</v>
      </c>
      <c r="J418" s="231">
        <v>56984</v>
      </c>
      <c r="K418" s="231">
        <v>2262035</v>
      </c>
      <c r="L418" s="231"/>
      <c r="M418" s="300">
        <v>19679</v>
      </c>
      <c r="N418" s="300">
        <v>0</v>
      </c>
      <c r="O418" s="300">
        <v>0</v>
      </c>
      <c r="P418" s="231">
        <v>0</v>
      </c>
      <c r="Q418" s="231">
        <v>19679</v>
      </c>
      <c r="R418" s="231"/>
      <c r="S418" s="392">
        <v>1318974</v>
      </c>
      <c r="T418" s="231">
        <v>23787</v>
      </c>
      <c r="U418" s="396">
        <v>1342761</v>
      </c>
      <c r="V418" s="231"/>
      <c r="W418" s="396">
        <v>8407320</v>
      </c>
      <c r="X418" s="396">
        <v>1568575</v>
      </c>
      <c r="Y418" s="396"/>
      <c r="Z418" s="396"/>
    </row>
    <row r="419" spans="1:26">
      <c r="A419" s="424">
        <v>94313</v>
      </c>
      <c r="B419" s="423" t="s">
        <v>1127</v>
      </c>
      <c r="C419" s="234">
        <v>2.0000000000000002E-5</v>
      </c>
      <c r="D419" s="234">
        <v>1.98E-5</v>
      </c>
      <c r="E419" s="231">
        <v>112829</v>
      </c>
      <c r="F419" s="231" t="s">
        <v>1924</v>
      </c>
      <c r="G419" s="392">
        <v>4862</v>
      </c>
      <c r="H419" s="392">
        <v>37291</v>
      </c>
      <c r="I419" s="392">
        <v>11258</v>
      </c>
      <c r="J419" s="231">
        <v>16292</v>
      </c>
      <c r="K419" s="231">
        <v>69703</v>
      </c>
      <c r="L419" s="231"/>
      <c r="M419" s="300">
        <v>477</v>
      </c>
      <c r="N419" s="300">
        <v>0</v>
      </c>
      <c r="O419" s="300">
        <v>0</v>
      </c>
      <c r="P419" s="231">
        <v>101</v>
      </c>
      <c r="Q419" s="231">
        <v>578</v>
      </c>
      <c r="R419" s="231"/>
      <c r="S419" s="392">
        <v>31948</v>
      </c>
      <c r="T419" s="231">
        <v>9333</v>
      </c>
      <c r="U419" s="396">
        <v>41281</v>
      </c>
      <c r="V419" s="231"/>
      <c r="W419" s="396">
        <v>203641</v>
      </c>
      <c r="X419" s="396">
        <v>37994</v>
      </c>
      <c r="Y419" s="396"/>
      <c r="Z419" s="396"/>
    </row>
    <row r="420" spans="1:26">
      <c r="A420" s="424">
        <v>94317</v>
      </c>
      <c r="B420" s="423" t="s">
        <v>1128</v>
      </c>
      <c r="C420" s="234">
        <v>1.7900000000000001E-5</v>
      </c>
      <c r="D420" s="234">
        <v>1.3200000000000001E-5</v>
      </c>
      <c r="E420" s="231">
        <v>100982</v>
      </c>
      <c r="F420" s="231" t="s">
        <v>1924</v>
      </c>
      <c r="G420" s="392">
        <v>4351</v>
      </c>
      <c r="H420" s="392">
        <v>33375</v>
      </c>
      <c r="I420" s="392">
        <v>10076</v>
      </c>
      <c r="J420" s="231">
        <v>25565</v>
      </c>
      <c r="K420" s="231">
        <v>73367</v>
      </c>
      <c r="L420" s="231"/>
      <c r="M420" s="300">
        <v>427</v>
      </c>
      <c r="N420" s="300">
        <v>0</v>
      </c>
      <c r="O420" s="300">
        <v>0</v>
      </c>
      <c r="P420" s="231">
        <v>484</v>
      </c>
      <c r="Q420" s="231">
        <v>911</v>
      </c>
      <c r="R420" s="231"/>
      <c r="S420" s="392">
        <v>28593</v>
      </c>
      <c r="T420" s="231">
        <v>11697</v>
      </c>
      <c r="U420" s="396">
        <v>40290</v>
      </c>
      <c r="V420" s="231"/>
      <c r="W420" s="396">
        <v>182259</v>
      </c>
      <c r="X420" s="396">
        <v>34004</v>
      </c>
      <c r="Y420" s="396"/>
      <c r="Z420" s="396"/>
    </row>
    <row r="421" spans="1:26">
      <c r="A421" s="424">
        <v>94321</v>
      </c>
      <c r="B421" s="423" t="s">
        <v>1129</v>
      </c>
      <c r="C421" s="234">
        <v>3.0160000000000001E-4</v>
      </c>
      <c r="D421" s="234">
        <v>3.0529999999999999E-4</v>
      </c>
      <c r="E421" s="231">
        <v>1701455</v>
      </c>
      <c r="F421" s="231" t="s">
        <v>1924</v>
      </c>
      <c r="G421" s="392">
        <v>73314</v>
      </c>
      <c r="H421" s="392">
        <v>562349</v>
      </c>
      <c r="I421" s="392">
        <v>169767</v>
      </c>
      <c r="J421" s="231">
        <v>22217</v>
      </c>
      <c r="K421" s="231">
        <v>827647</v>
      </c>
      <c r="L421" s="231"/>
      <c r="M421" s="300">
        <v>7188</v>
      </c>
      <c r="N421" s="300">
        <v>0</v>
      </c>
      <c r="O421" s="300">
        <v>0</v>
      </c>
      <c r="P421" s="231">
        <v>10656</v>
      </c>
      <c r="Q421" s="231">
        <v>17844</v>
      </c>
      <c r="R421" s="231"/>
      <c r="S421" s="392">
        <v>481776</v>
      </c>
      <c r="T421" s="231">
        <v>7409</v>
      </c>
      <c r="U421" s="396">
        <v>489185</v>
      </c>
      <c r="V421" s="231"/>
      <c r="W421" s="396">
        <v>3070907</v>
      </c>
      <c r="X421" s="396">
        <v>572947</v>
      </c>
      <c r="Y421" s="396"/>
      <c r="Z421" s="396"/>
    </row>
    <row r="422" spans="1:26">
      <c r="A422" s="424">
        <v>94331</v>
      </c>
      <c r="B422" s="423" t="s">
        <v>1130</v>
      </c>
      <c r="C422" s="234">
        <v>1.5589999999999999E-4</v>
      </c>
      <c r="D422" s="234">
        <v>1.392E-4</v>
      </c>
      <c r="E422" s="231">
        <v>879499</v>
      </c>
      <c r="F422" s="231" t="s">
        <v>1924</v>
      </c>
      <c r="G422" s="392">
        <v>37897</v>
      </c>
      <c r="H422" s="392">
        <v>290684</v>
      </c>
      <c r="I422" s="392">
        <v>87754</v>
      </c>
      <c r="J422" s="231">
        <v>15007</v>
      </c>
      <c r="K422" s="231">
        <v>431342</v>
      </c>
      <c r="L422" s="231"/>
      <c r="M422" s="300">
        <v>3716</v>
      </c>
      <c r="N422" s="300">
        <v>0</v>
      </c>
      <c r="O422" s="300">
        <v>0</v>
      </c>
      <c r="P422" s="231">
        <v>13541</v>
      </c>
      <c r="Q422" s="231">
        <v>17257</v>
      </c>
      <c r="R422" s="231"/>
      <c r="S422" s="392">
        <v>249035</v>
      </c>
      <c r="T422" s="231">
        <v>2332</v>
      </c>
      <c r="U422" s="396">
        <v>251367</v>
      </c>
      <c r="V422" s="231"/>
      <c r="W422" s="396">
        <v>1587382</v>
      </c>
      <c r="X422" s="396">
        <v>296162</v>
      </c>
      <c r="Y422" s="396"/>
      <c r="Z422" s="396"/>
    </row>
    <row r="423" spans="1:26">
      <c r="A423" s="424">
        <v>94341</v>
      </c>
      <c r="B423" s="423" t="s">
        <v>1131</v>
      </c>
      <c r="C423" s="234">
        <v>1.064E-4</v>
      </c>
      <c r="D423" s="234">
        <v>8.8499999999999996E-5</v>
      </c>
      <c r="E423" s="231">
        <v>600248</v>
      </c>
      <c r="F423" s="231" t="s">
        <v>1924</v>
      </c>
      <c r="G423" s="392">
        <v>25864</v>
      </c>
      <c r="H423" s="392">
        <v>198388</v>
      </c>
      <c r="I423" s="392">
        <v>59891</v>
      </c>
      <c r="J423" s="231">
        <v>17705</v>
      </c>
      <c r="K423" s="231">
        <v>301848</v>
      </c>
      <c r="L423" s="231"/>
      <c r="M423" s="300">
        <v>2536</v>
      </c>
      <c r="N423" s="300">
        <v>0</v>
      </c>
      <c r="O423" s="300">
        <v>0</v>
      </c>
      <c r="P423" s="231">
        <v>12233</v>
      </c>
      <c r="Q423" s="231">
        <v>14769</v>
      </c>
      <c r="R423" s="231"/>
      <c r="S423" s="392">
        <v>169963</v>
      </c>
      <c r="T423" s="231">
        <v>-3311</v>
      </c>
      <c r="U423" s="396">
        <v>166652</v>
      </c>
      <c r="V423" s="231"/>
      <c r="W423" s="396">
        <v>1083370</v>
      </c>
      <c r="X423" s="396">
        <v>202127</v>
      </c>
      <c r="Y423" s="396"/>
      <c r="Z423" s="396"/>
    </row>
    <row r="424" spans="1:26">
      <c r="A424" s="424">
        <v>94347</v>
      </c>
      <c r="B424" s="423" t="s">
        <v>1132</v>
      </c>
      <c r="C424" s="234">
        <v>1.3699999999999999E-5</v>
      </c>
      <c r="D424" s="234">
        <v>1.6099999999999998E-5</v>
      </c>
      <c r="E424" s="231">
        <v>77288</v>
      </c>
      <c r="F424" s="231" t="s">
        <v>1924</v>
      </c>
      <c r="G424" s="392">
        <v>3330</v>
      </c>
      <c r="H424" s="392">
        <v>25544</v>
      </c>
      <c r="I424" s="392">
        <v>7712</v>
      </c>
      <c r="J424" s="231">
        <v>5395</v>
      </c>
      <c r="K424" s="231">
        <v>41981</v>
      </c>
      <c r="L424" s="231"/>
      <c r="M424" s="300">
        <v>327</v>
      </c>
      <c r="N424" s="300">
        <v>0</v>
      </c>
      <c r="O424" s="300">
        <v>0</v>
      </c>
      <c r="P424" s="231">
        <v>3490</v>
      </c>
      <c r="Q424" s="231">
        <v>3817</v>
      </c>
      <c r="R424" s="231"/>
      <c r="S424" s="392">
        <v>21884</v>
      </c>
      <c r="T424" s="231">
        <v>3499</v>
      </c>
      <c r="U424" s="396">
        <v>25383</v>
      </c>
      <c r="V424" s="231"/>
      <c r="W424" s="396">
        <v>139494</v>
      </c>
      <c r="X424" s="396">
        <v>26026</v>
      </c>
      <c r="Y424" s="396"/>
      <c r="Z424" s="396"/>
    </row>
    <row r="425" spans="1:26">
      <c r="A425" s="424">
        <v>94351</v>
      </c>
      <c r="B425" s="423" t="s">
        <v>1133</v>
      </c>
      <c r="C425" s="234">
        <v>3.2600000000000001E-4</v>
      </c>
      <c r="D425" s="234">
        <v>3.1760000000000002E-4</v>
      </c>
      <c r="E425" s="231">
        <v>1839106</v>
      </c>
      <c r="F425" s="231" t="s">
        <v>1924</v>
      </c>
      <c r="G425" s="392">
        <v>79245</v>
      </c>
      <c r="H425" s="392">
        <v>607844</v>
      </c>
      <c r="I425" s="392">
        <v>183501</v>
      </c>
      <c r="J425" s="231">
        <v>47889</v>
      </c>
      <c r="K425" s="231">
        <v>918479</v>
      </c>
      <c r="L425" s="231"/>
      <c r="M425" s="300">
        <v>7770</v>
      </c>
      <c r="N425" s="300">
        <v>0</v>
      </c>
      <c r="O425" s="300">
        <v>0</v>
      </c>
      <c r="P425" s="231">
        <v>10139</v>
      </c>
      <c r="Q425" s="231">
        <v>17909</v>
      </c>
      <c r="R425" s="231"/>
      <c r="S425" s="392">
        <v>520753</v>
      </c>
      <c r="T425" s="231">
        <v>29874</v>
      </c>
      <c r="U425" s="396">
        <v>550627</v>
      </c>
      <c r="V425" s="231"/>
      <c r="W425" s="396">
        <v>3319349</v>
      </c>
      <c r="X425" s="396">
        <v>619299</v>
      </c>
      <c r="Y425" s="396"/>
      <c r="Z425" s="396"/>
    </row>
    <row r="426" spans="1:26">
      <c r="A426" s="424">
        <v>94401</v>
      </c>
      <c r="B426" s="423" t="s">
        <v>1134</v>
      </c>
      <c r="C426" s="234">
        <v>3.5634E-3</v>
      </c>
      <c r="D426" s="234">
        <v>3.2978999999999999E-3</v>
      </c>
      <c r="E426" s="231">
        <v>20102665</v>
      </c>
      <c r="F426" s="231" t="s">
        <v>1924</v>
      </c>
      <c r="G426" s="392">
        <v>866206</v>
      </c>
      <c r="H426" s="392">
        <v>6644141</v>
      </c>
      <c r="I426" s="392">
        <v>2005795</v>
      </c>
      <c r="J426" s="231">
        <v>454031</v>
      </c>
      <c r="K426" s="231">
        <v>9970173</v>
      </c>
      <c r="L426" s="231"/>
      <c r="M426" s="300">
        <v>84927</v>
      </c>
      <c r="N426" s="300">
        <v>0</v>
      </c>
      <c r="O426" s="300">
        <v>0</v>
      </c>
      <c r="P426" s="231">
        <v>296902</v>
      </c>
      <c r="Q426" s="231">
        <v>381829</v>
      </c>
      <c r="R426" s="231"/>
      <c r="S426" s="392">
        <v>5692179</v>
      </c>
      <c r="T426" s="231">
        <v>28515</v>
      </c>
      <c r="U426" s="396">
        <v>5720694</v>
      </c>
      <c r="V426" s="231"/>
      <c r="W426" s="396">
        <v>36282721</v>
      </c>
      <c r="X426" s="396">
        <v>6769359</v>
      </c>
      <c r="Y426" s="396"/>
      <c r="Z426" s="396"/>
    </row>
    <row r="427" spans="1:26">
      <c r="A427" s="424">
        <v>94403</v>
      </c>
      <c r="B427" s="423" t="s">
        <v>1136</v>
      </c>
      <c r="C427" s="234">
        <v>4.3699999999999998E-5</v>
      </c>
      <c r="D427" s="234">
        <v>4.46E-5</v>
      </c>
      <c r="E427" s="231">
        <v>246530</v>
      </c>
      <c r="F427" s="231" t="s">
        <v>1924</v>
      </c>
      <c r="G427" s="392">
        <v>10623</v>
      </c>
      <c r="H427" s="392">
        <v>81481</v>
      </c>
      <c r="I427" s="392">
        <v>24598</v>
      </c>
      <c r="J427" s="231">
        <v>9115</v>
      </c>
      <c r="K427" s="231">
        <v>125817</v>
      </c>
      <c r="L427" s="231"/>
      <c r="M427" s="300">
        <v>1042</v>
      </c>
      <c r="N427" s="300">
        <v>0</v>
      </c>
      <c r="O427" s="300">
        <v>0</v>
      </c>
      <c r="P427" s="231">
        <v>2779</v>
      </c>
      <c r="Q427" s="231">
        <v>3821</v>
      </c>
      <c r="R427" s="231"/>
      <c r="S427" s="392">
        <v>69806</v>
      </c>
      <c r="T427" s="231">
        <v>7309</v>
      </c>
      <c r="U427" s="396">
        <v>77115</v>
      </c>
      <c r="V427" s="231"/>
      <c r="W427" s="396">
        <v>444956</v>
      </c>
      <c r="X427" s="396">
        <v>83016</v>
      </c>
      <c r="Y427" s="396"/>
      <c r="Z427" s="396"/>
    </row>
    <row r="428" spans="1:26">
      <c r="A428" s="424">
        <v>94408</v>
      </c>
      <c r="B428" s="423" t="s">
        <v>1137</v>
      </c>
      <c r="C428" s="234">
        <v>6.5199999999999999E-5</v>
      </c>
      <c r="D428" s="234">
        <v>6.6799999999999997E-5</v>
      </c>
      <c r="E428" s="231">
        <v>367821</v>
      </c>
      <c r="F428" s="231" t="s">
        <v>1924</v>
      </c>
      <c r="G428" s="392">
        <v>15849</v>
      </c>
      <c r="H428" s="392">
        <v>121569</v>
      </c>
      <c r="I428" s="392">
        <v>36700</v>
      </c>
      <c r="J428" s="231">
        <v>13637</v>
      </c>
      <c r="K428" s="231">
        <v>187755</v>
      </c>
      <c r="L428" s="231"/>
      <c r="M428" s="300">
        <v>1554</v>
      </c>
      <c r="N428" s="300">
        <v>0</v>
      </c>
      <c r="O428" s="300">
        <v>0</v>
      </c>
      <c r="P428" s="231">
        <v>13581</v>
      </c>
      <c r="Q428" s="231">
        <v>15135</v>
      </c>
      <c r="R428" s="231"/>
      <c r="S428" s="392">
        <v>104151</v>
      </c>
      <c r="T428" s="231">
        <v>309</v>
      </c>
      <c r="U428" s="396">
        <v>104460</v>
      </c>
      <c r="V428" s="231"/>
      <c r="W428" s="396">
        <v>663870</v>
      </c>
      <c r="X428" s="396">
        <v>123860</v>
      </c>
      <c r="Y428" s="396"/>
      <c r="Z428" s="396"/>
    </row>
    <row r="429" spans="1:26">
      <c r="A429" s="424">
        <v>94411</v>
      </c>
      <c r="B429" s="423" t="s">
        <v>1138</v>
      </c>
      <c r="C429" s="234">
        <v>1.1031000000000001E-3</v>
      </c>
      <c r="D429" s="234">
        <v>1.0996000000000001E-3</v>
      </c>
      <c r="E429" s="231">
        <v>6223059</v>
      </c>
      <c r="F429" s="231" t="s">
        <v>1924</v>
      </c>
      <c r="G429" s="392">
        <v>268146</v>
      </c>
      <c r="H429" s="392">
        <v>2056786</v>
      </c>
      <c r="I429" s="392">
        <v>620922</v>
      </c>
      <c r="J429" s="231">
        <v>19108</v>
      </c>
      <c r="K429" s="231">
        <v>2964962</v>
      </c>
      <c r="L429" s="231"/>
      <c r="M429" s="300">
        <v>26290</v>
      </c>
      <c r="N429" s="300">
        <v>0</v>
      </c>
      <c r="O429" s="300">
        <v>0</v>
      </c>
      <c r="P429" s="231">
        <v>139791</v>
      </c>
      <c r="Q429" s="231">
        <v>166081</v>
      </c>
      <c r="R429" s="231"/>
      <c r="S429" s="392">
        <v>1762093</v>
      </c>
      <c r="T429" s="231">
        <v>-95107</v>
      </c>
      <c r="U429" s="396">
        <v>1666986</v>
      </c>
      <c r="V429" s="231"/>
      <c r="W429" s="396">
        <v>11231820</v>
      </c>
      <c r="X429" s="396">
        <v>2095549</v>
      </c>
      <c r="Y429" s="396"/>
      <c r="Z429" s="396"/>
    </row>
    <row r="430" spans="1:26">
      <c r="A430" s="424">
        <v>94412</v>
      </c>
      <c r="B430" s="423" t="s">
        <v>1139</v>
      </c>
      <c r="C430" s="234">
        <v>2.65E-5</v>
      </c>
      <c r="D430" s="234">
        <v>1.9899999999999999E-5</v>
      </c>
      <c r="E430" s="231">
        <v>149498</v>
      </c>
      <c r="F430" s="231" t="s">
        <v>1924</v>
      </c>
      <c r="G430" s="392">
        <v>6442</v>
      </c>
      <c r="H430" s="392">
        <v>49411</v>
      </c>
      <c r="I430" s="392">
        <v>14917</v>
      </c>
      <c r="J430" s="231">
        <v>23460</v>
      </c>
      <c r="K430" s="231">
        <v>94230</v>
      </c>
      <c r="L430" s="231"/>
      <c r="M430" s="300">
        <v>632</v>
      </c>
      <c r="N430" s="300">
        <v>0</v>
      </c>
      <c r="O430" s="300">
        <v>0</v>
      </c>
      <c r="P430" s="231">
        <v>0</v>
      </c>
      <c r="Q430" s="231">
        <v>632</v>
      </c>
      <c r="R430" s="231"/>
      <c r="S430" s="392">
        <v>42331</v>
      </c>
      <c r="T430" s="231">
        <v>12443</v>
      </c>
      <c r="U430" s="396">
        <v>54774</v>
      </c>
      <c r="V430" s="231"/>
      <c r="W430" s="396">
        <v>269824</v>
      </c>
      <c r="X430" s="396">
        <v>50342</v>
      </c>
      <c r="Y430" s="396"/>
      <c r="Z430" s="396"/>
    </row>
    <row r="431" spans="1:26">
      <c r="A431" s="424">
        <v>94421</v>
      </c>
      <c r="B431" s="423" t="s">
        <v>1140</v>
      </c>
      <c r="C431" s="234">
        <v>1.6789999999999999E-4</v>
      </c>
      <c r="D431" s="234">
        <v>1.56E-4</v>
      </c>
      <c r="E431" s="231">
        <v>947196</v>
      </c>
      <c r="F431" s="231" t="s">
        <v>1924</v>
      </c>
      <c r="G431" s="392">
        <v>40814</v>
      </c>
      <c r="H431" s="392">
        <v>313058</v>
      </c>
      <c r="I431" s="392">
        <v>94509</v>
      </c>
      <c r="J431" s="231">
        <v>66801</v>
      </c>
      <c r="K431" s="231">
        <v>515182</v>
      </c>
      <c r="L431" s="231"/>
      <c r="M431" s="300">
        <v>4002</v>
      </c>
      <c r="N431" s="300">
        <v>0</v>
      </c>
      <c r="O431" s="300">
        <v>0</v>
      </c>
      <c r="P431" s="231">
        <v>7289</v>
      </c>
      <c r="Q431" s="231">
        <v>11291</v>
      </c>
      <c r="R431" s="231"/>
      <c r="S431" s="392">
        <v>268204</v>
      </c>
      <c r="T431" s="231">
        <v>21591</v>
      </c>
      <c r="U431" s="396">
        <v>289795</v>
      </c>
      <c r="V431" s="231"/>
      <c r="W431" s="396">
        <v>1709566</v>
      </c>
      <c r="X431" s="396">
        <v>318958</v>
      </c>
      <c r="Y431" s="396"/>
      <c r="Z431" s="396"/>
    </row>
    <row r="432" spans="1:26">
      <c r="A432" s="424">
        <v>94427</v>
      </c>
      <c r="B432" s="423" t="s">
        <v>1141</v>
      </c>
      <c r="C432" s="234">
        <v>2.72E-5</v>
      </c>
      <c r="D432" s="234">
        <v>2.5899999999999999E-5</v>
      </c>
      <c r="E432" s="231">
        <v>153447</v>
      </c>
      <c r="F432" s="231" t="s">
        <v>1924</v>
      </c>
      <c r="G432" s="392">
        <v>6612</v>
      </c>
      <c r="H432" s="392">
        <v>50716</v>
      </c>
      <c r="I432" s="392">
        <v>15311</v>
      </c>
      <c r="J432" s="231">
        <v>13920</v>
      </c>
      <c r="K432" s="231">
        <v>86559</v>
      </c>
      <c r="L432" s="231"/>
      <c r="M432" s="300">
        <v>648</v>
      </c>
      <c r="N432" s="300">
        <v>0</v>
      </c>
      <c r="O432" s="300">
        <v>0</v>
      </c>
      <c r="P432" s="231">
        <v>0</v>
      </c>
      <c r="Q432" s="231">
        <v>648</v>
      </c>
      <c r="R432" s="231"/>
      <c r="S432" s="392">
        <v>43449</v>
      </c>
      <c r="T432" s="231">
        <v>7913</v>
      </c>
      <c r="U432" s="396">
        <v>51362</v>
      </c>
      <c r="V432" s="231"/>
      <c r="W432" s="396">
        <v>276952</v>
      </c>
      <c r="X432" s="396">
        <v>51672</v>
      </c>
      <c r="Y432" s="396"/>
      <c r="Z432" s="396"/>
    </row>
    <row r="433" spans="1:26">
      <c r="A433" s="424">
        <v>94428</v>
      </c>
      <c r="B433" s="423" t="s">
        <v>1142</v>
      </c>
      <c r="C433" s="234">
        <v>7.0199999999999999E-5</v>
      </c>
      <c r="D433" s="234">
        <v>7.5300000000000001E-5</v>
      </c>
      <c r="E433" s="231">
        <v>396028</v>
      </c>
      <c r="F433" s="231" t="s">
        <v>1924</v>
      </c>
      <c r="G433" s="392">
        <v>17064</v>
      </c>
      <c r="H433" s="392">
        <v>130891</v>
      </c>
      <c r="I433" s="392">
        <v>39515</v>
      </c>
      <c r="J433" s="231">
        <v>6192</v>
      </c>
      <c r="K433" s="231">
        <v>193662</v>
      </c>
      <c r="L433" s="231"/>
      <c r="M433" s="300">
        <v>1673</v>
      </c>
      <c r="N433" s="300">
        <v>0</v>
      </c>
      <c r="O433" s="300">
        <v>0</v>
      </c>
      <c r="P433" s="231">
        <v>8561</v>
      </c>
      <c r="Q433" s="231">
        <v>10234</v>
      </c>
      <c r="R433" s="231"/>
      <c r="S433" s="392">
        <v>112138</v>
      </c>
      <c r="T433" s="231">
        <v>2675</v>
      </c>
      <c r="U433" s="396">
        <v>114813</v>
      </c>
      <c r="V433" s="231"/>
      <c r="W433" s="396">
        <v>714780</v>
      </c>
      <c r="X433" s="396">
        <v>133358</v>
      </c>
      <c r="Y433" s="396"/>
      <c r="Z433" s="396"/>
    </row>
    <row r="434" spans="1:26">
      <c r="A434" s="424">
        <v>94431</v>
      </c>
      <c r="B434" s="423" t="s">
        <v>1143</v>
      </c>
      <c r="C434" s="234">
        <v>3.6969999999999999E-4</v>
      </c>
      <c r="D434" s="234">
        <v>3.6440000000000002E-4</v>
      </c>
      <c r="E434" s="231">
        <v>2085636</v>
      </c>
      <c r="F434" s="231" t="s">
        <v>1924</v>
      </c>
      <c r="G434" s="392">
        <v>89868</v>
      </c>
      <c r="H434" s="392">
        <v>689325</v>
      </c>
      <c r="I434" s="392">
        <v>208100</v>
      </c>
      <c r="J434" s="231">
        <v>28546</v>
      </c>
      <c r="K434" s="231">
        <v>1015839</v>
      </c>
      <c r="L434" s="231"/>
      <c r="M434" s="300">
        <v>8811</v>
      </c>
      <c r="N434" s="300">
        <v>0</v>
      </c>
      <c r="O434" s="300">
        <v>0</v>
      </c>
      <c r="P434" s="231">
        <v>33726</v>
      </c>
      <c r="Q434" s="231">
        <v>42537</v>
      </c>
      <c r="R434" s="231"/>
      <c r="S434" s="392">
        <v>590559</v>
      </c>
      <c r="T434" s="231">
        <v>18688</v>
      </c>
      <c r="U434" s="396">
        <v>609247</v>
      </c>
      <c r="V434" s="231"/>
      <c r="W434" s="396">
        <v>3764304</v>
      </c>
      <c r="X434" s="396">
        <v>702316</v>
      </c>
      <c r="Y434" s="396"/>
      <c r="Z434" s="396"/>
    </row>
    <row r="435" spans="1:26">
      <c r="A435" s="424">
        <v>94437</v>
      </c>
      <c r="B435" s="423" t="s">
        <v>1144</v>
      </c>
      <c r="C435" s="234">
        <v>1.59E-5</v>
      </c>
      <c r="D435" s="234">
        <v>1.5099999999999999E-5</v>
      </c>
      <c r="E435" s="231">
        <v>89699</v>
      </c>
      <c r="F435" s="231" t="s">
        <v>1924</v>
      </c>
      <c r="G435" s="392">
        <v>3865</v>
      </c>
      <c r="H435" s="392">
        <v>29646</v>
      </c>
      <c r="I435" s="392">
        <v>8950</v>
      </c>
      <c r="J435" s="231">
        <v>15987</v>
      </c>
      <c r="K435" s="231">
        <v>58448</v>
      </c>
      <c r="L435" s="231"/>
      <c r="M435" s="300">
        <v>379</v>
      </c>
      <c r="N435" s="300">
        <v>0</v>
      </c>
      <c r="O435" s="300">
        <v>0</v>
      </c>
      <c r="P435" s="231">
        <v>0</v>
      </c>
      <c r="Q435" s="231">
        <v>379</v>
      </c>
      <c r="R435" s="231"/>
      <c r="S435" s="392">
        <v>25399</v>
      </c>
      <c r="T435" s="231">
        <v>8151</v>
      </c>
      <c r="U435" s="396">
        <v>33550</v>
      </c>
      <c r="V435" s="231"/>
      <c r="W435" s="396">
        <v>161895</v>
      </c>
      <c r="X435" s="396">
        <v>30205</v>
      </c>
      <c r="Y435" s="396"/>
      <c r="Z435" s="396"/>
    </row>
    <row r="436" spans="1:26">
      <c r="A436" s="424">
        <v>94501</v>
      </c>
      <c r="B436" s="423" t="s">
        <v>2019</v>
      </c>
      <c r="C436" s="234">
        <v>5.9830999999999999E-3</v>
      </c>
      <c r="D436" s="234">
        <v>5.8125E-3</v>
      </c>
      <c r="E436" s="231">
        <v>33753228</v>
      </c>
      <c r="F436" s="231" t="s">
        <v>1924</v>
      </c>
      <c r="G436" s="392">
        <v>1454396</v>
      </c>
      <c r="H436" s="392">
        <v>11155795</v>
      </c>
      <c r="I436" s="392">
        <v>3367815</v>
      </c>
      <c r="J436" s="231">
        <v>303819</v>
      </c>
      <c r="K436" s="231">
        <v>16281825</v>
      </c>
      <c r="L436" s="231"/>
      <c r="M436" s="300">
        <v>142595</v>
      </c>
      <c r="N436" s="300">
        <v>0</v>
      </c>
      <c r="O436" s="300">
        <v>0</v>
      </c>
      <c r="P436" s="231">
        <v>111770</v>
      </c>
      <c r="Q436" s="231">
        <v>254365</v>
      </c>
      <c r="R436" s="231"/>
      <c r="S436" s="392">
        <v>9557410</v>
      </c>
      <c r="T436" s="231">
        <v>82215</v>
      </c>
      <c r="U436" s="396">
        <v>9639625</v>
      </c>
      <c r="V436" s="231"/>
      <c r="W436" s="396">
        <v>60920229</v>
      </c>
      <c r="X436" s="396">
        <v>11366041</v>
      </c>
      <c r="Y436" s="396"/>
      <c r="Z436" s="396"/>
    </row>
    <row r="437" spans="1:26">
      <c r="A437" s="424">
        <v>94511</v>
      </c>
      <c r="B437" s="423" t="s">
        <v>1146</v>
      </c>
      <c r="C437" s="234">
        <v>2.3241999999999998E-3</v>
      </c>
      <c r="D437" s="234">
        <v>1.9949999999999998E-3</v>
      </c>
      <c r="E437" s="231">
        <v>13111807</v>
      </c>
      <c r="F437" s="231" t="s">
        <v>1924</v>
      </c>
      <c r="G437" s="392">
        <v>564976</v>
      </c>
      <c r="H437" s="392">
        <v>4333589</v>
      </c>
      <c r="I437" s="392">
        <v>1308264</v>
      </c>
      <c r="J437" s="231">
        <v>406191</v>
      </c>
      <c r="K437" s="231">
        <v>6613020</v>
      </c>
      <c r="L437" s="231"/>
      <c r="M437" s="300">
        <v>55393</v>
      </c>
      <c r="N437" s="300">
        <v>0</v>
      </c>
      <c r="O437" s="300">
        <v>0</v>
      </c>
      <c r="P437" s="231">
        <v>123855</v>
      </c>
      <c r="Q437" s="231">
        <v>179248</v>
      </c>
      <c r="R437" s="231"/>
      <c r="S437" s="392">
        <v>3712679</v>
      </c>
      <c r="T437" s="231">
        <v>39918</v>
      </c>
      <c r="U437" s="396">
        <v>3752597</v>
      </c>
      <c r="V437" s="231"/>
      <c r="W437" s="396">
        <v>23665123</v>
      </c>
      <c r="X437" s="396">
        <v>4415262</v>
      </c>
      <c r="Y437" s="396"/>
      <c r="Z437" s="396"/>
    </row>
    <row r="438" spans="1:26">
      <c r="A438" s="424">
        <v>94517</v>
      </c>
      <c r="B438" s="423" t="s">
        <v>1148</v>
      </c>
      <c r="C438" s="234">
        <v>8.3700000000000002E-5</v>
      </c>
      <c r="D438" s="234">
        <v>6.3800000000000006E-5</v>
      </c>
      <c r="E438" s="231">
        <v>472188</v>
      </c>
      <c r="F438" s="231" t="s">
        <v>1924</v>
      </c>
      <c r="G438" s="392">
        <v>20346</v>
      </c>
      <c r="H438" s="392">
        <v>156063</v>
      </c>
      <c r="I438" s="392">
        <v>47114</v>
      </c>
      <c r="J438" s="231">
        <v>63615</v>
      </c>
      <c r="K438" s="231">
        <v>287138</v>
      </c>
      <c r="L438" s="231"/>
      <c r="M438" s="300">
        <v>1995</v>
      </c>
      <c r="N438" s="300">
        <v>0</v>
      </c>
      <c r="O438" s="300">
        <v>0</v>
      </c>
      <c r="P438" s="231">
        <v>0</v>
      </c>
      <c r="Q438" s="231">
        <v>1995</v>
      </c>
      <c r="R438" s="231"/>
      <c r="S438" s="392">
        <v>133702</v>
      </c>
      <c r="T438" s="231">
        <v>30913</v>
      </c>
      <c r="U438" s="396">
        <v>164615</v>
      </c>
      <c r="V438" s="231"/>
      <c r="W438" s="396">
        <v>852238</v>
      </c>
      <c r="X438" s="396">
        <v>159004</v>
      </c>
      <c r="Y438" s="396"/>
      <c r="Z438" s="396"/>
    </row>
    <row r="439" spans="1:26">
      <c r="A439" s="424">
        <v>94521</v>
      </c>
      <c r="B439" s="423" t="s">
        <v>1149</v>
      </c>
      <c r="C439" s="234">
        <v>1.2640000000000001E-4</v>
      </c>
      <c r="D439" s="234">
        <v>1.3880000000000001E-4</v>
      </c>
      <c r="E439" s="231">
        <v>713076</v>
      </c>
      <c r="F439" s="231" t="s">
        <v>1924</v>
      </c>
      <c r="G439" s="392">
        <v>30726</v>
      </c>
      <c r="H439" s="392">
        <v>235679</v>
      </c>
      <c r="I439" s="392">
        <v>71149</v>
      </c>
      <c r="J439" s="231">
        <v>0</v>
      </c>
      <c r="K439" s="231">
        <v>337554</v>
      </c>
      <c r="L439" s="231"/>
      <c r="M439" s="300">
        <v>3012</v>
      </c>
      <c r="N439" s="300">
        <v>0</v>
      </c>
      <c r="O439" s="300">
        <v>0</v>
      </c>
      <c r="P439" s="231">
        <v>48283</v>
      </c>
      <c r="Q439" s="231">
        <v>51295</v>
      </c>
      <c r="R439" s="231"/>
      <c r="S439" s="392">
        <v>201911</v>
      </c>
      <c r="T439" s="231">
        <v>-25750</v>
      </c>
      <c r="U439" s="396">
        <v>176161</v>
      </c>
      <c r="V439" s="231"/>
      <c r="W439" s="396">
        <v>1287011</v>
      </c>
      <c r="X439" s="396">
        <v>240121</v>
      </c>
      <c r="Y439" s="396"/>
      <c r="Z439" s="396"/>
    </row>
    <row r="440" spans="1:26">
      <c r="A440" s="424">
        <v>94527</v>
      </c>
      <c r="B440" s="423" t="s">
        <v>1150</v>
      </c>
      <c r="C440" s="234">
        <v>7.5000000000000002E-6</v>
      </c>
      <c r="D440" s="234">
        <v>7.4000000000000003E-6</v>
      </c>
      <c r="E440" s="231">
        <v>42311</v>
      </c>
      <c r="F440" s="231" t="s">
        <v>1924</v>
      </c>
      <c r="G440" s="392">
        <v>1823</v>
      </c>
      <c r="H440" s="392">
        <v>13984</v>
      </c>
      <c r="I440" s="392">
        <v>4222</v>
      </c>
      <c r="J440" s="231">
        <v>420</v>
      </c>
      <c r="K440" s="231">
        <v>20449</v>
      </c>
      <c r="L440" s="231"/>
      <c r="M440" s="300">
        <v>179</v>
      </c>
      <c r="N440" s="300">
        <v>0</v>
      </c>
      <c r="O440" s="300">
        <v>0</v>
      </c>
      <c r="P440" s="231">
        <v>338</v>
      </c>
      <c r="Q440" s="231">
        <v>517</v>
      </c>
      <c r="R440" s="231"/>
      <c r="S440" s="392">
        <v>11981</v>
      </c>
      <c r="T440" s="231">
        <v>304</v>
      </c>
      <c r="U440" s="396">
        <v>12285</v>
      </c>
      <c r="V440" s="231"/>
      <c r="W440" s="396">
        <v>76365</v>
      </c>
      <c r="X440" s="396">
        <v>14248</v>
      </c>
      <c r="Y440" s="396"/>
      <c r="Z440" s="396"/>
    </row>
    <row r="441" spans="1:26">
      <c r="A441" s="424">
        <v>94531</v>
      </c>
      <c r="B441" s="423" t="s">
        <v>1151</v>
      </c>
      <c r="C441" s="234">
        <v>2.1999999999999999E-5</v>
      </c>
      <c r="D441" s="234">
        <v>2.16E-5</v>
      </c>
      <c r="E441" s="231">
        <v>124111</v>
      </c>
      <c r="F441" s="231" t="s">
        <v>1924</v>
      </c>
      <c r="G441" s="392">
        <v>5348</v>
      </c>
      <c r="H441" s="392">
        <v>41020</v>
      </c>
      <c r="I441" s="392">
        <v>12384</v>
      </c>
      <c r="J441" s="231">
        <v>15374</v>
      </c>
      <c r="K441" s="231">
        <v>74126</v>
      </c>
      <c r="L441" s="231"/>
      <c r="M441" s="300">
        <v>524</v>
      </c>
      <c r="N441" s="300">
        <v>0</v>
      </c>
      <c r="O441" s="300">
        <v>0</v>
      </c>
      <c r="P441" s="231">
        <v>0</v>
      </c>
      <c r="Q441" s="231">
        <v>524</v>
      </c>
      <c r="R441" s="231"/>
      <c r="S441" s="392">
        <v>35143</v>
      </c>
      <c r="T441" s="231">
        <v>8881</v>
      </c>
      <c r="U441" s="396">
        <v>44024</v>
      </c>
      <c r="V441" s="231"/>
      <c r="W441" s="396">
        <v>224005</v>
      </c>
      <c r="X441" s="396">
        <v>41793</v>
      </c>
      <c r="Y441" s="396"/>
      <c r="Z441" s="396"/>
    </row>
    <row r="442" spans="1:26">
      <c r="A442" s="424">
        <v>94532</v>
      </c>
      <c r="B442" s="423" t="s">
        <v>1152</v>
      </c>
      <c r="C442" s="234">
        <v>1.133E-4</v>
      </c>
      <c r="D442" s="234">
        <v>1.1010000000000001E-4</v>
      </c>
      <c r="E442" s="231">
        <v>639174</v>
      </c>
      <c r="F442" s="231" t="s">
        <v>1924</v>
      </c>
      <c r="G442" s="392">
        <v>27541</v>
      </c>
      <c r="H442" s="392">
        <v>211254</v>
      </c>
      <c r="I442" s="392">
        <v>63775</v>
      </c>
      <c r="J442" s="231">
        <v>27711</v>
      </c>
      <c r="K442" s="231">
        <v>330281</v>
      </c>
      <c r="L442" s="231"/>
      <c r="M442" s="300">
        <v>2700</v>
      </c>
      <c r="N442" s="300">
        <v>0</v>
      </c>
      <c r="O442" s="300">
        <v>0</v>
      </c>
      <c r="P442" s="231">
        <v>26182</v>
      </c>
      <c r="Q442" s="231">
        <v>28882</v>
      </c>
      <c r="R442" s="231"/>
      <c r="S442" s="392">
        <v>180986</v>
      </c>
      <c r="T442" s="231">
        <v>6904</v>
      </c>
      <c r="U442" s="396">
        <v>187890</v>
      </c>
      <c r="V442" s="231"/>
      <c r="W442" s="396">
        <v>1153626</v>
      </c>
      <c r="X442" s="396">
        <v>215235</v>
      </c>
      <c r="Y442" s="396"/>
      <c r="Z442" s="396"/>
    </row>
    <row r="443" spans="1:26">
      <c r="A443" s="424">
        <v>94541</v>
      </c>
      <c r="B443" s="423" t="s">
        <v>1153</v>
      </c>
      <c r="C443" s="234">
        <v>2.7799999999999998E-4</v>
      </c>
      <c r="D443" s="234">
        <v>2.7490000000000001E-4</v>
      </c>
      <c r="E443" s="231">
        <v>1568317</v>
      </c>
      <c r="F443" s="231" t="s">
        <v>1924</v>
      </c>
      <c r="G443" s="392">
        <v>67577</v>
      </c>
      <c r="H443" s="392">
        <v>518345</v>
      </c>
      <c r="I443" s="392">
        <v>156483</v>
      </c>
      <c r="J443" s="231">
        <v>640</v>
      </c>
      <c r="K443" s="231">
        <v>743045</v>
      </c>
      <c r="L443" s="231"/>
      <c r="M443" s="300">
        <v>6626</v>
      </c>
      <c r="N443" s="300">
        <v>0</v>
      </c>
      <c r="O443" s="300">
        <v>0</v>
      </c>
      <c r="P443" s="231">
        <v>14078</v>
      </c>
      <c r="Q443" s="231">
        <v>20704</v>
      </c>
      <c r="R443" s="231"/>
      <c r="S443" s="392">
        <v>444077</v>
      </c>
      <c r="T443" s="231">
        <v>-10231</v>
      </c>
      <c r="U443" s="396">
        <v>433846</v>
      </c>
      <c r="V443" s="231"/>
      <c r="W443" s="396">
        <v>2830610</v>
      </c>
      <c r="X443" s="396">
        <v>528114</v>
      </c>
      <c r="Y443" s="396"/>
      <c r="Z443" s="396"/>
    </row>
    <row r="444" spans="1:26">
      <c r="A444" s="424">
        <v>94547</v>
      </c>
      <c r="B444" s="423" t="s">
        <v>1154</v>
      </c>
      <c r="C444" s="234">
        <v>1.73E-5</v>
      </c>
      <c r="D444" s="234">
        <v>1.7E-5</v>
      </c>
      <c r="E444" s="231">
        <v>97597</v>
      </c>
      <c r="F444" s="231" t="s">
        <v>1924</v>
      </c>
      <c r="G444" s="392">
        <v>4205</v>
      </c>
      <c r="H444" s="392">
        <v>32257</v>
      </c>
      <c r="I444" s="392">
        <v>9738</v>
      </c>
      <c r="J444" s="231">
        <v>17479</v>
      </c>
      <c r="K444" s="231">
        <v>63679</v>
      </c>
      <c r="L444" s="231"/>
      <c r="M444" s="300">
        <v>412</v>
      </c>
      <c r="N444" s="300">
        <v>0</v>
      </c>
      <c r="O444" s="300">
        <v>0</v>
      </c>
      <c r="P444" s="231">
        <v>0</v>
      </c>
      <c r="Q444" s="231">
        <v>412</v>
      </c>
      <c r="R444" s="231"/>
      <c r="S444" s="392">
        <v>27635</v>
      </c>
      <c r="T444" s="231">
        <v>10368</v>
      </c>
      <c r="U444" s="396">
        <v>38003</v>
      </c>
      <c r="V444" s="231"/>
      <c r="W444" s="396">
        <v>176149</v>
      </c>
      <c r="X444" s="396">
        <v>32865</v>
      </c>
      <c r="Y444" s="396"/>
      <c r="Z444" s="396"/>
    </row>
    <row r="445" spans="1:26">
      <c r="A445" s="424">
        <v>94551</v>
      </c>
      <c r="B445" s="423" t="s">
        <v>1155</v>
      </c>
      <c r="C445" s="234">
        <v>6.4700000000000001E-5</v>
      </c>
      <c r="D445" s="234">
        <v>5.0800000000000002E-5</v>
      </c>
      <c r="E445" s="231">
        <v>365000</v>
      </c>
      <c r="F445" s="231" t="s">
        <v>1924</v>
      </c>
      <c r="G445" s="392">
        <v>15728</v>
      </c>
      <c r="H445" s="392">
        <v>120636</v>
      </c>
      <c r="I445" s="392">
        <v>36419</v>
      </c>
      <c r="J445" s="231">
        <v>28187</v>
      </c>
      <c r="K445" s="231">
        <v>200970</v>
      </c>
      <c r="L445" s="231"/>
      <c r="M445" s="300">
        <v>1542</v>
      </c>
      <c r="N445" s="300">
        <v>0</v>
      </c>
      <c r="O445" s="300">
        <v>0</v>
      </c>
      <c r="P445" s="231">
        <v>5868</v>
      </c>
      <c r="Q445" s="231">
        <v>7410</v>
      </c>
      <c r="R445" s="231"/>
      <c r="S445" s="392">
        <v>103352</v>
      </c>
      <c r="T445" s="231">
        <v>10081</v>
      </c>
      <c r="U445" s="396">
        <v>113433</v>
      </c>
      <c r="V445" s="231"/>
      <c r="W445" s="396">
        <v>658779</v>
      </c>
      <c r="X445" s="396">
        <v>122910</v>
      </c>
      <c r="Y445" s="396"/>
      <c r="Z445" s="396"/>
    </row>
    <row r="446" spans="1:26">
      <c r="A446" s="424">
        <v>94601</v>
      </c>
      <c r="B446" s="423" t="s">
        <v>1156</v>
      </c>
      <c r="C446" s="234">
        <v>9.1759999999999997E-4</v>
      </c>
      <c r="D446" s="234">
        <v>9.6500000000000004E-4</v>
      </c>
      <c r="E446" s="231">
        <v>5176574</v>
      </c>
      <c r="F446" s="231" t="s">
        <v>1924</v>
      </c>
      <c r="G446" s="392">
        <v>223054</v>
      </c>
      <c r="H446" s="392">
        <v>1710912</v>
      </c>
      <c r="I446" s="392">
        <v>516506</v>
      </c>
      <c r="J446" s="231">
        <v>67095</v>
      </c>
      <c r="K446" s="231">
        <v>2517567</v>
      </c>
      <c r="L446" s="231"/>
      <c r="M446" s="300">
        <v>21869</v>
      </c>
      <c r="N446" s="300">
        <v>0</v>
      </c>
      <c r="O446" s="300">
        <v>0</v>
      </c>
      <c r="P446" s="231">
        <v>83976</v>
      </c>
      <c r="Q446" s="231">
        <v>105845</v>
      </c>
      <c r="R446" s="231"/>
      <c r="S446" s="392">
        <v>1465775</v>
      </c>
      <c r="T446" s="231">
        <v>-1651</v>
      </c>
      <c r="U446" s="396">
        <v>1464124</v>
      </c>
      <c r="V446" s="231"/>
      <c r="W446" s="396">
        <v>9343050</v>
      </c>
      <c r="X446" s="396">
        <v>1743156</v>
      </c>
      <c r="Y446" s="396"/>
      <c r="Z446" s="396"/>
    </row>
    <row r="447" spans="1:26">
      <c r="A447" s="424">
        <v>94604</v>
      </c>
      <c r="B447" s="423" t="s">
        <v>1157</v>
      </c>
      <c r="C447" s="234">
        <v>2.4000000000000001E-5</v>
      </c>
      <c r="D447" s="234">
        <v>2.65E-5</v>
      </c>
      <c r="E447" s="231">
        <v>135394</v>
      </c>
      <c r="F447" s="231" t="s">
        <v>1924</v>
      </c>
      <c r="G447" s="392">
        <v>5834</v>
      </c>
      <c r="H447" s="392">
        <v>44749</v>
      </c>
      <c r="I447" s="392">
        <v>13509</v>
      </c>
      <c r="J447" s="231">
        <v>8320</v>
      </c>
      <c r="K447" s="231">
        <v>72412</v>
      </c>
      <c r="L447" s="231"/>
      <c r="M447" s="300">
        <v>572</v>
      </c>
      <c r="N447" s="300">
        <v>0</v>
      </c>
      <c r="O447" s="300">
        <v>0</v>
      </c>
      <c r="P447" s="231">
        <v>2207</v>
      </c>
      <c r="Q447" s="231">
        <v>2779</v>
      </c>
      <c r="R447" s="231"/>
      <c r="S447" s="392">
        <v>38338</v>
      </c>
      <c r="T447" s="231">
        <v>3270</v>
      </c>
      <c r="U447" s="396">
        <v>41608</v>
      </c>
      <c r="V447" s="231"/>
      <c r="W447" s="396">
        <v>244369</v>
      </c>
      <c r="X447" s="396">
        <v>45593</v>
      </c>
      <c r="Y447" s="396"/>
      <c r="Z447" s="396"/>
    </row>
    <row r="448" spans="1:26">
      <c r="A448" s="424">
        <v>94606</v>
      </c>
      <c r="B448" s="423" t="s">
        <v>1158</v>
      </c>
      <c r="C448" s="234">
        <v>0</v>
      </c>
      <c r="D448" s="234">
        <v>0</v>
      </c>
      <c r="E448" s="231">
        <v>0</v>
      </c>
      <c r="F448" s="231" t="s">
        <v>1924</v>
      </c>
      <c r="G448" s="392">
        <v>0</v>
      </c>
      <c r="H448" s="392">
        <v>0</v>
      </c>
      <c r="I448" s="392">
        <v>0</v>
      </c>
      <c r="J448" s="231">
        <v>0</v>
      </c>
      <c r="K448" s="231">
        <v>0</v>
      </c>
      <c r="L448" s="231"/>
      <c r="M448" s="300">
        <v>0</v>
      </c>
      <c r="N448" s="300">
        <v>0</v>
      </c>
      <c r="O448" s="300">
        <v>0</v>
      </c>
      <c r="P448" s="231">
        <v>40452</v>
      </c>
      <c r="Q448" s="231">
        <v>40452</v>
      </c>
      <c r="R448" s="231"/>
      <c r="S448" s="392">
        <v>0</v>
      </c>
      <c r="T448" s="231">
        <v>-46761</v>
      </c>
      <c r="U448" s="396">
        <v>-46761</v>
      </c>
      <c r="V448" s="231"/>
      <c r="W448" s="396">
        <v>0</v>
      </c>
      <c r="X448" s="396">
        <v>0</v>
      </c>
      <c r="Y448" s="396"/>
      <c r="Z448" s="396"/>
    </row>
    <row r="449" spans="1:26">
      <c r="A449" s="424">
        <v>94611</v>
      </c>
      <c r="B449" s="423" t="s">
        <v>1159</v>
      </c>
      <c r="C449" s="234">
        <v>3.1839999999999999E-4</v>
      </c>
      <c r="D449" s="234">
        <v>2.8889999999999997E-4</v>
      </c>
      <c r="E449" s="231">
        <v>1796231</v>
      </c>
      <c r="F449" s="231" t="s">
        <v>1924</v>
      </c>
      <c r="G449" s="392">
        <v>77398</v>
      </c>
      <c r="H449" s="392">
        <v>593673</v>
      </c>
      <c r="I449" s="392">
        <v>179224</v>
      </c>
      <c r="J449" s="231">
        <v>54784</v>
      </c>
      <c r="K449" s="231">
        <v>905079</v>
      </c>
      <c r="L449" s="231"/>
      <c r="M449" s="300">
        <v>7588</v>
      </c>
      <c r="N449" s="300">
        <v>0</v>
      </c>
      <c r="O449" s="300">
        <v>0</v>
      </c>
      <c r="P449" s="231">
        <v>18558</v>
      </c>
      <c r="Q449" s="231">
        <v>26146</v>
      </c>
      <c r="R449" s="231"/>
      <c r="S449" s="392">
        <v>508612</v>
      </c>
      <c r="T449" s="231">
        <v>2963</v>
      </c>
      <c r="U449" s="396">
        <v>511575</v>
      </c>
      <c r="V449" s="231"/>
      <c r="W449" s="396">
        <v>3241965</v>
      </c>
      <c r="X449" s="396">
        <v>604862</v>
      </c>
      <c r="Y449" s="396"/>
      <c r="Z449" s="396"/>
    </row>
    <row r="450" spans="1:26">
      <c r="A450" s="424">
        <v>94621</v>
      </c>
      <c r="B450" s="423" t="s">
        <v>1160</v>
      </c>
      <c r="C450" s="234">
        <v>1.05E-4</v>
      </c>
      <c r="D450" s="234">
        <v>1.1120000000000001E-4</v>
      </c>
      <c r="E450" s="231">
        <v>592350</v>
      </c>
      <c r="F450" s="231" t="s">
        <v>1924</v>
      </c>
      <c r="G450" s="392">
        <v>25524</v>
      </c>
      <c r="H450" s="392">
        <v>195778</v>
      </c>
      <c r="I450" s="392">
        <v>59103</v>
      </c>
      <c r="J450" s="231">
        <v>7232</v>
      </c>
      <c r="K450" s="231">
        <v>287637</v>
      </c>
      <c r="L450" s="231"/>
      <c r="M450" s="300">
        <v>2502</v>
      </c>
      <c r="N450" s="300">
        <v>0</v>
      </c>
      <c r="O450" s="300">
        <v>0</v>
      </c>
      <c r="P450" s="231">
        <v>15321</v>
      </c>
      <c r="Q450" s="231">
        <v>17823</v>
      </c>
      <c r="R450" s="231"/>
      <c r="S450" s="392">
        <v>167727</v>
      </c>
      <c r="T450" s="231">
        <v>1053</v>
      </c>
      <c r="U450" s="396">
        <v>168780</v>
      </c>
      <c r="V450" s="231"/>
      <c r="W450" s="396">
        <v>1069115</v>
      </c>
      <c r="X450" s="396">
        <v>199468</v>
      </c>
      <c r="Y450" s="396"/>
      <c r="Z450" s="396"/>
    </row>
    <row r="451" spans="1:26">
      <c r="A451" s="424">
        <v>94631</v>
      </c>
      <c r="B451" s="423" t="s">
        <v>1161</v>
      </c>
      <c r="C451" s="234">
        <v>3.2400000000000001E-5</v>
      </c>
      <c r="D451" s="234">
        <v>4.0200000000000001E-5</v>
      </c>
      <c r="E451" s="231">
        <v>182782</v>
      </c>
      <c r="F451" s="231" t="s">
        <v>1924</v>
      </c>
      <c r="G451" s="392">
        <v>7876</v>
      </c>
      <c r="H451" s="392">
        <v>60411</v>
      </c>
      <c r="I451" s="392">
        <v>18238</v>
      </c>
      <c r="J451" s="231">
        <v>0</v>
      </c>
      <c r="K451" s="231">
        <v>86525</v>
      </c>
      <c r="L451" s="231"/>
      <c r="M451" s="300">
        <v>772</v>
      </c>
      <c r="N451" s="300">
        <v>0</v>
      </c>
      <c r="O451" s="300">
        <v>0</v>
      </c>
      <c r="P451" s="231">
        <v>13139</v>
      </c>
      <c r="Q451" s="231">
        <v>13911</v>
      </c>
      <c r="R451" s="231"/>
      <c r="S451" s="392">
        <v>51756</v>
      </c>
      <c r="T451" s="231">
        <v>-4428</v>
      </c>
      <c r="U451" s="396">
        <v>47328</v>
      </c>
      <c r="V451" s="231"/>
      <c r="W451" s="396">
        <v>329898</v>
      </c>
      <c r="X451" s="396">
        <v>61550</v>
      </c>
      <c r="Y451" s="396"/>
      <c r="Z451" s="396"/>
    </row>
    <row r="452" spans="1:26">
      <c r="A452" s="424">
        <v>94641</v>
      </c>
      <c r="B452" s="423" t="s">
        <v>1162</v>
      </c>
      <c r="C452" s="234">
        <v>2.2799999999999999E-5</v>
      </c>
      <c r="D452" s="234">
        <v>1.3499999999999999E-5</v>
      </c>
      <c r="E452" s="231">
        <v>128625</v>
      </c>
      <c r="F452" s="231" t="s">
        <v>1924</v>
      </c>
      <c r="G452" s="392">
        <v>5542</v>
      </c>
      <c r="H452" s="392">
        <v>42512</v>
      </c>
      <c r="I452" s="392">
        <v>12834</v>
      </c>
      <c r="J452" s="231">
        <v>17620</v>
      </c>
      <c r="K452" s="231">
        <v>78508</v>
      </c>
      <c r="L452" s="231"/>
      <c r="M452" s="300">
        <v>543</v>
      </c>
      <c r="N452" s="300">
        <v>0</v>
      </c>
      <c r="O452" s="300">
        <v>0</v>
      </c>
      <c r="P452" s="231">
        <v>0</v>
      </c>
      <c r="Q452" s="231">
        <v>543</v>
      </c>
      <c r="R452" s="231"/>
      <c r="S452" s="392">
        <v>36421</v>
      </c>
      <c r="T452" s="231">
        <v>9348</v>
      </c>
      <c r="U452" s="396">
        <v>45769</v>
      </c>
      <c r="V452" s="231"/>
      <c r="W452" s="396">
        <v>232151</v>
      </c>
      <c r="X452" s="396">
        <v>43313</v>
      </c>
      <c r="Y452" s="396"/>
      <c r="Z452" s="396"/>
    </row>
    <row r="453" spans="1:26">
      <c r="A453" s="424">
        <v>94701</v>
      </c>
      <c r="B453" s="423" t="s">
        <v>1163</v>
      </c>
      <c r="C453" s="234">
        <v>2.3885E-3</v>
      </c>
      <c r="D453" s="234">
        <v>2.3996999999999998E-3</v>
      </c>
      <c r="E453" s="231">
        <v>13474551</v>
      </c>
      <c r="F453" s="231" t="s">
        <v>1924</v>
      </c>
      <c r="G453" s="392">
        <v>580606</v>
      </c>
      <c r="H453" s="392">
        <v>4453480</v>
      </c>
      <c r="I453" s="392">
        <v>1344458</v>
      </c>
      <c r="J453" s="231">
        <v>62072</v>
      </c>
      <c r="K453" s="231">
        <v>6440616</v>
      </c>
      <c r="L453" s="231"/>
      <c r="M453" s="300">
        <v>56925</v>
      </c>
      <c r="N453" s="300">
        <v>0</v>
      </c>
      <c r="O453" s="300">
        <v>0</v>
      </c>
      <c r="P453" s="231">
        <v>75682</v>
      </c>
      <c r="Q453" s="231">
        <v>132607</v>
      </c>
      <c r="R453" s="231"/>
      <c r="S453" s="392">
        <v>3815392</v>
      </c>
      <c r="T453" s="231">
        <v>-16498</v>
      </c>
      <c r="U453" s="396">
        <v>3798894</v>
      </c>
      <c r="V453" s="231"/>
      <c r="W453" s="396">
        <v>24319829</v>
      </c>
      <c r="X453" s="396">
        <v>4537412</v>
      </c>
      <c r="Y453" s="396"/>
      <c r="Z453" s="396"/>
    </row>
    <row r="454" spans="1:26">
      <c r="A454" s="424">
        <v>94704</v>
      </c>
      <c r="B454" s="423" t="s">
        <v>1164</v>
      </c>
      <c r="C454" s="234">
        <v>2.0699999999999998E-5</v>
      </c>
      <c r="D454" s="234">
        <v>1.7099999999999999E-5</v>
      </c>
      <c r="E454" s="231">
        <v>116778</v>
      </c>
      <c r="F454" s="231" t="s">
        <v>1924</v>
      </c>
      <c r="G454" s="392">
        <v>5032</v>
      </c>
      <c r="H454" s="392">
        <v>38596</v>
      </c>
      <c r="I454" s="392">
        <v>11652</v>
      </c>
      <c r="J454" s="231">
        <v>11679</v>
      </c>
      <c r="K454" s="231">
        <v>66959</v>
      </c>
      <c r="L454" s="231"/>
      <c r="M454" s="300">
        <v>493</v>
      </c>
      <c r="N454" s="300">
        <v>0</v>
      </c>
      <c r="O454" s="300">
        <v>0</v>
      </c>
      <c r="P454" s="231">
        <v>11</v>
      </c>
      <c r="Q454" s="231">
        <v>504</v>
      </c>
      <c r="R454" s="231"/>
      <c r="S454" s="392">
        <v>33066</v>
      </c>
      <c r="T454" s="231">
        <v>6083</v>
      </c>
      <c r="U454" s="396">
        <v>39149</v>
      </c>
      <c r="V454" s="231"/>
      <c r="W454" s="396">
        <v>210768</v>
      </c>
      <c r="X454" s="396">
        <v>39324</v>
      </c>
      <c r="Y454" s="396"/>
      <c r="Z454" s="396"/>
    </row>
    <row r="455" spans="1:26">
      <c r="A455" s="424">
        <v>94711</v>
      </c>
      <c r="B455" s="423" t="s">
        <v>1165</v>
      </c>
      <c r="C455" s="234">
        <v>3.4610000000000001E-4</v>
      </c>
      <c r="D455" s="234">
        <v>3.344E-4</v>
      </c>
      <c r="E455" s="231">
        <v>1952498</v>
      </c>
      <c r="F455" s="231" t="s">
        <v>1924</v>
      </c>
      <c r="G455" s="392">
        <v>84131</v>
      </c>
      <c r="H455" s="392">
        <v>645321</v>
      </c>
      <c r="I455" s="392">
        <v>194816</v>
      </c>
      <c r="J455" s="231">
        <v>57295</v>
      </c>
      <c r="K455" s="231">
        <v>981563</v>
      </c>
      <c r="L455" s="231"/>
      <c r="M455" s="300">
        <v>8249</v>
      </c>
      <c r="N455" s="300">
        <v>0</v>
      </c>
      <c r="O455" s="300">
        <v>0</v>
      </c>
      <c r="P455" s="231">
        <v>6252</v>
      </c>
      <c r="Q455" s="231">
        <v>14501</v>
      </c>
      <c r="R455" s="231"/>
      <c r="S455" s="392">
        <v>552860</v>
      </c>
      <c r="T455" s="231">
        <v>21250</v>
      </c>
      <c r="U455" s="396">
        <v>574110</v>
      </c>
      <c r="V455" s="231"/>
      <c r="W455" s="396">
        <v>3524008</v>
      </c>
      <c r="X455" s="396">
        <v>657483</v>
      </c>
      <c r="Y455" s="396"/>
      <c r="Z455" s="396"/>
    </row>
    <row r="456" spans="1:26">
      <c r="A456" s="424">
        <v>94801</v>
      </c>
      <c r="B456" s="423" t="s">
        <v>1166</v>
      </c>
      <c r="C456" s="234">
        <v>6.5819999999999995E-4</v>
      </c>
      <c r="D456" s="234">
        <v>6.2790000000000003E-4</v>
      </c>
      <c r="E456" s="231">
        <v>3713188</v>
      </c>
      <c r="F456" s="231" t="s">
        <v>1924</v>
      </c>
      <c r="G456" s="392">
        <v>159998</v>
      </c>
      <c r="H456" s="392">
        <v>1227247</v>
      </c>
      <c r="I456" s="392">
        <v>370493</v>
      </c>
      <c r="J456" s="231">
        <v>89105</v>
      </c>
      <c r="K456" s="231">
        <v>1846843</v>
      </c>
      <c r="L456" s="231"/>
      <c r="M456" s="300">
        <v>15687</v>
      </c>
      <c r="N456" s="300">
        <v>0</v>
      </c>
      <c r="O456" s="300">
        <v>0</v>
      </c>
      <c r="P456" s="231">
        <v>55748</v>
      </c>
      <c r="Q456" s="231">
        <v>71435</v>
      </c>
      <c r="R456" s="231"/>
      <c r="S456" s="392">
        <v>1051409</v>
      </c>
      <c r="T456" s="231">
        <v>1391</v>
      </c>
      <c r="U456" s="396">
        <v>1052800</v>
      </c>
      <c r="V456" s="231"/>
      <c r="W456" s="396">
        <v>6701826</v>
      </c>
      <c r="X456" s="396">
        <v>1250377</v>
      </c>
      <c r="Y456" s="396"/>
      <c r="Z456" s="396"/>
    </row>
    <row r="457" spans="1:26">
      <c r="A457" s="424">
        <v>94804</v>
      </c>
      <c r="B457" s="423" t="s">
        <v>1167</v>
      </c>
      <c r="C457" s="234">
        <v>6.2999999999999998E-6</v>
      </c>
      <c r="D457" s="234">
        <v>2.7E-6</v>
      </c>
      <c r="E457" s="231">
        <v>35541</v>
      </c>
      <c r="F457" s="231" t="s">
        <v>1924</v>
      </c>
      <c r="G457" s="392">
        <v>1531</v>
      </c>
      <c r="H457" s="392">
        <v>11747</v>
      </c>
      <c r="I457" s="392">
        <v>3546</v>
      </c>
      <c r="J457" s="231">
        <v>9823</v>
      </c>
      <c r="K457" s="231">
        <v>26647</v>
      </c>
      <c r="L457" s="231"/>
      <c r="M457" s="300">
        <v>150</v>
      </c>
      <c r="N457" s="300">
        <v>0</v>
      </c>
      <c r="O457" s="300">
        <v>0</v>
      </c>
      <c r="P457" s="231">
        <v>0</v>
      </c>
      <c r="Q457" s="231">
        <v>150</v>
      </c>
      <c r="R457" s="231"/>
      <c r="S457" s="392">
        <v>10064</v>
      </c>
      <c r="T457" s="231">
        <v>4163</v>
      </c>
      <c r="U457" s="396">
        <v>14227</v>
      </c>
      <c r="V457" s="231"/>
      <c r="W457" s="396">
        <v>64147</v>
      </c>
      <c r="X457" s="396">
        <v>11968</v>
      </c>
      <c r="Y457" s="396"/>
      <c r="Z457" s="396"/>
    </row>
    <row r="458" spans="1:26">
      <c r="A458" s="424">
        <v>94812</v>
      </c>
      <c r="B458" s="423" t="s">
        <v>1168</v>
      </c>
      <c r="C458" s="234">
        <v>2.37E-5</v>
      </c>
      <c r="D458" s="234">
        <v>2.5599999999999999E-5</v>
      </c>
      <c r="E458" s="231">
        <v>133702</v>
      </c>
      <c r="F458" s="231" t="s">
        <v>1924</v>
      </c>
      <c r="G458" s="392">
        <v>5761</v>
      </c>
      <c r="H458" s="392">
        <v>44190</v>
      </c>
      <c r="I458" s="392">
        <v>13340</v>
      </c>
      <c r="J458" s="231">
        <v>4397</v>
      </c>
      <c r="K458" s="231">
        <v>67688</v>
      </c>
      <c r="L458" s="231"/>
      <c r="M458" s="300">
        <v>565</v>
      </c>
      <c r="N458" s="300">
        <v>0</v>
      </c>
      <c r="O458" s="300">
        <v>0</v>
      </c>
      <c r="P458" s="231">
        <v>324</v>
      </c>
      <c r="Q458" s="231">
        <v>889</v>
      </c>
      <c r="R458" s="231"/>
      <c r="S458" s="392">
        <v>37858</v>
      </c>
      <c r="T458" s="231">
        <v>3536</v>
      </c>
      <c r="U458" s="396">
        <v>41394</v>
      </c>
      <c r="V458" s="231"/>
      <c r="W458" s="396">
        <v>241315</v>
      </c>
      <c r="X458" s="396">
        <v>45023</v>
      </c>
      <c r="Y458" s="396"/>
      <c r="Z458" s="396"/>
    </row>
    <row r="459" spans="1:26">
      <c r="A459" s="424">
        <v>94901</v>
      </c>
      <c r="B459" s="423" t="s">
        <v>1169</v>
      </c>
      <c r="C459" s="234">
        <v>7.7378000000000004E-3</v>
      </c>
      <c r="D459" s="234">
        <v>7.1942000000000004E-3</v>
      </c>
      <c r="E459" s="231">
        <v>43652242</v>
      </c>
      <c r="F459" s="231" t="s">
        <v>1924</v>
      </c>
      <c r="G459" s="392">
        <v>1880935</v>
      </c>
      <c r="H459" s="392">
        <v>14427523</v>
      </c>
      <c r="I459" s="392">
        <v>4355515</v>
      </c>
      <c r="J459" s="231">
        <v>866885</v>
      </c>
      <c r="K459" s="231">
        <v>21530858</v>
      </c>
      <c r="L459" s="231"/>
      <c r="M459" s="300">
        <v>184415</v>
      </c>
      <c r="N459" s="300">
        <v>0</v>
      </c>
      <c r="O459" s="300">
        <v>0</v>
      </c>
      <c r="P459" s="231">
        <v>71282</v>
      </c>
      <c r="Q459" s="231">
        <v>255697</v>
      </c>
      <c r="R459" s="231"/>
      <c r="S459" s="392">
        <v>12360369</v>
      </c>
      <c r="T459" s="231">
        <v>342330</v>
      </c>
      <c r="U459" s="396">
        <v>12702699</v>
      </c>
      <c r="V459" s="231"/>
      <c r="W459" s="396">
        <v>78786674</v>
      </c>
      <c r="X459" s="396">
        <v>14699429</v>
      </c>
      <c r="Y459" s="396"/>
      <c r="Z459" s="396"/>
    </row>
    <row r="460" spans="1:26">
      <c r="A460" s="424">
        <v>94908</v>
      </c>
      <c r="B460" s="423" t="s">
        <v>3610</v>
      </c>
      <c r="C460" s="234">
        <v>6.1500000000000004E-5</v>
      </c>
      <c r="D460" s="234">
        <v>6.0999999999999999E-5</v>
      </c>
      <c r="E460" s="231">
        <v>346948</v>
      </c>
      <c r="F460" s="231" t="s">
        <v>1924</v>
      </c>
      <c r="G460" s="392">
        <v>14950</v>
      </c>
      <c r="H460" s="392">
        <v>114670</v>
      </c>
      <c r="I460" s="392">
        <v>34618</v>
      </c>
      <c r="J460" s="231">
        <v>27630</v>
      </c>
      <c r="K460" s="231">
        <v>191868</v>
      </c>
      <c r="L460" s="231"/>
      <c r="M460" s="300">
        <v>1466</v>
      </c>
      <c r="N460" s="300">
        <v>0</v>
      </c>
      <c r="O460" s="300">
        <v>0</v>
      </c>
      <c r="P460" s="231">
        <v>8729</v>
      </c>
      <c r="Q460" s="231">
        <v>10195</v>
      </c>
      <c r="R460" s="231"/>
      <c r="S460" s="392">
        <v>98240</v>
      </c>
      <c r="T460" s="231">
        <v>23574</v>
      </c>
      <c r="U460" s="396">
        <v>121814</v>
      </c>
      <c r="V460" s="231"/>
      <c r="W460" s="396">
        <v>626196</v>
      </c>
      <c r="X460" s="396">
        <v>116831</v>
      </c>
      <c r="Y460" s="396"/>
      <c r="Z460" s="396"/>
    </row>
    <row r="461" spans="1:26">
      <c r="A461" s="424">
        <v>94911</v>
      </c>
      <c r="B461" s="423" t="s">
        <v>1171</v>
      </c>
      <c r="C461" s="234">
        <v>3.0986999999999998E-3</v>
      </c>
      <c r="D461" s="234">
        <v>2.9751999999999999E-3</v>
      </c>
      <c r="E461" s="231">
        <v>17481093</v>
      </c>
      <c r="F461" s="231" t="s">
        <v>1924</v>
      </c>
      <c r="G461" s="392">
        <v>753244</v>
      </c>
      <c r="H461" s="392">
        <v>5777684</v>
      </c>
      <c r="I461" s="392">
        <v>1744221</v>
      </c>
      <c r="J461" s="231">
        <v>286853</v>
      </c>
      <c r="K461" s="231">
        <v>8562002</v>
      </c>
      <c r="L461" s="231"/>
      <c r="M461" s="300">
        <v>73851</v>
      </c>
      <c r="N461" s="300">
        <v>0</v>
      </c>
      <c r="O461" s="300">
        <v>0</v>
      </c>
      <c r="P461" s="231">
        <v>21598</v>
      </c>
      <c r="Q461" s="231">
        <v>95449</v>
      </c>
      <c r="R461" s="231"/>
      <c r="S461" s="392">
        <v>4949866</v>
      </c>
      <c r="T461" s="231">
        <v>116973</v>
      </c>
      <c r="U461" s="396">
        <v>5066839</v>
      </c>
      <c r="V461" s="231"/>
      <c r="W461" s="396">
        <v>31551121</v>
      </c>
      <c r="X461" s="396">
        <v>5886573</v>
      </c>
      <c r="Y461" s="396"/>
      <c r="Z461" s="396"/>
    </row>
    <row r="462" spans="1:26">
      <c r="A462" s="424">
        <v>94917</v>
      </c>
      <c r="B462" s="423" t="s">
        <v>1172</v>
      </c>
      <c r="C462" s="234">
        <v>3.5800000000000003E-5</v>
      </c>
      <c r="D462" s="234">
        <v>3.6900000000000002E-5</v>
      </c>
      <c r="E462" s="231">
        <v>201963</v>
      </c>
      <c r="F462" s="231" t="s">
        <v>1924</v>
      </c>
      <c r="G462" s="392">
        <v>8702</v>
      </c>
      <c r="H462" s="392">
        <v>66751</v>
      </c>
      <c r="I462" s="392">
        <v>20151</v>
      </c>
      <c r="J462" s="231">
        <v>30486</v>
      </c>
      <c r="K462" s="231">
        <v>126090</v>
      </c>
      <c r="L462" s="231"/>
      <c r="M462" s="300">
        <v>853</v>
      </c>
      <c r="N462" s="300">
        <v>0</v>
      </c>
      <c r="O462" s="300">
        <v>0</v>
      </c>
      <c r="P462" s="231">
        <v>0</v>
      </c>
      <c r="Q462" s="231">
        <v>853</v>
      </c>
      <c r="R462" s="231"/>
      <c r="S462" s="392">
        <v>57187</v>
      </c>
      <c r="T462" s="231">
        <v>18869</v>
      </c>
      <c r="U462" s="396">
        <v>76056</v>
      </c>
      <c r="V462" s="231"/>
      <c r="W462" s="396">
        <v>364517</v>
      </c>
      <c r="X462" s="396">
        <v>68009</v>
      </c>
      <c r="Y462" s="396"/>
      <c r="Z462" s="396"/>
    </row>
    <row r="463" spans="1:26">
      <c r="A463" s="424">
        <v>94921</v>
      </c>
      <c r="B463" s="423" t="s">
        <v>1173</v>
      </c>
      <c r="C463" s="234">
        <v>4.1305999999999999E-3</v>
      </c>
      <c r="D463" s="234">
        <v>4.0705999999999997E-3</v>
      </c>
      <c r="E463" s="231">
        <v>23302482</v>
      </c>
      <c r="F463" s="231" t="s">
        <v>1924</v>
      </c>
      <c r="G463" s="392">
        <v>1004083</v>
      </c>
      <c r="H463" s="392">
        <v>7701714</v>
      </c>
      <c r="I463" s="392">
        <v>2325065</v>
      </c>
      <c r="J463" s="231">
        <v>242724</v>
      </c>
      <c r="K463" s="231">
        <v>11273586</v>
      </c>
      <c r="L463" s="231"/>
      <c r="M463" s="300">
        <v>98445</v>
      </c>
      <c r="N463" s="300">
        <v>0</v>
      </c>
      <c r="O463" s="300">
        <v>0</v>
      </c>
      <c r="P463" s="231">
        <v>187623</v>
      </c>
      <c r="Q463" s="231">
        <v>286068</v>
      </c>
      <c r="R463" s="231"/>
      <c r="S463" s="392">
        <v>6598225</v>
      </c>
      <c r="T463" s="231">
        <v>-38394</v>
      </c>
      <c r="U463" s="396">
        <v>6559831</v>
      </c>
      <c r="V463" s="231"/>
      <c r="W463" s="396">
        <v>42057980</v>
      </c>
      <c r="X463" s="396">
        <v>7846864</v>
      </c>
      <c r="Y463" s="396"/>
      <c r="Z463" s="396"/>
    </row>
    <row r="464" spans="1:26">
      <c r="A464" s="424">
        <v>94923</v>
      </c>
      <c r="B464" s="423" t="s">
        <v>1174</v>
      </c>
      <c r="C464" s="234">
        <v>3.1600000000000002E-5</v>
      </c>
      <c r="D464" s="234">
        <v>2.41E-5</v>
      </c>
      <c r="E464" s="231">
        <v>178269</v>
      </c>
      <c r="F464" s="231" t="s">
        <v>1924</v>
      </c>
      <c r="G464" s="392">
        <v>7681</v>
      </c>
      <c r="H464" s="392">
        <v>58920</v>
      </c>
      <c r="I464" s="392">
        <v>17787</v>
      </c>
      <c r="J464" s="231">
        <v>16871</v>
      </c>
      <c r="K464" s="231">
        <v>101259</v>
      </c>
      <c r="L464" s="231"/>
      <c r="M464" s="300">
        <v>753</v>
      </c>
      <c r="N464" s="300">
        <v>0</v>
      </c>
      <c r="O464" s="300">
        <v>0</v>
      </c>
      <c r="P464" s="231">
        <v>0</v>
      </c>
      <c r="Q464" s="231">
        <v>753</v>
      </c>
      <c r="R464" s="231"/>
      <c r="S464" s="392">
        <v>50478</v>
      </c>
      <c r="T464" s="231">
        <v>6360</v>
      </c>
      <c r="U464" s="396">
        <v>56838</v>
      </c>
      <c r="V464" s="231"/>
      <c r="W464" s="396">
        <v>321753</v>
      </c>
      <c r="X464" s="396">
        <v>60030</v>
      </c>
      <c r="Y464" s="396"/>
      <c r="Z464" s="396"/>
    </row>
    <row r="465" spans="1:26">
      <c r="A465" s="424">
        <v>94927</v>
      </c>
      <c r="B465" s="423" t="s">
        <v>1175</v>
      </c>
      <c r="C465" s="234">
        <v>3.9400000000000002E-5</v>
      </c>
      <c r="D465" s="234">
        <v>2.3600000000000001E-5</v>
      </c>
      <c r="E465" s="231">
        <v>222272</v>
      </c>
      <c r="F465" s="231" t="s">
        <v>1924</v>
      </c>
      <c r="G465" s="392">
        <v>9578</v>
      </c>
      <c r="H465" s="392">
        <v>73463</v>
      </c>
      <c r="I465" s="392">
        <v>22178</v>
      </c>
      <c r="J465" s="231">
        <v>49466</v>
      </c>
      <c r="K465" s="231">
        <v>154685</v>
      </c>
      <c r="L465" s="231"/>
      <c r="M465" s="300">
        <v>939</v>
      </c>
      <c r="N465" s="300">
        <v>0</v>
      </c>
      <c r="O465" s="300">
        <v>0</v>
      </c>
      <c r="P465" s="231">
        <v>0</v>
      </c>
      <c r="Q465" s="231">
        <v>939</v>
      </c>
      <c r="R465" s="231"/>
      <c r="S465" s="392">
        <v>62938</v>
      </c>
      <c r="T465" s="231">
        <v>21350</v>
      </c>
      <c r="U465" s="396">
        <v>84288</v>
      </c>
      <c r="V465" s="231"/>
      <c r="W465" s="396">
        <v>401173</v>
      </c>
      <c r="X465" s="396">
        <v>74848</v>
      </c>
      <c r="Y465" s="396"/>
      <c r="Z465" s="396"/>
    </row>
    <row r="466" spans="1:26">
      <c r="A466" s="424">
        <v>94931</v>
      </c>
      <c r="B466" s="423" t="s">
        <v>1176</v>
      </c>
      <c r="C466" s="234">
        <v>2.6200000000000003E-4</v>
      </c>
      <c r="D466" s="234">
        <v>2.1660000000000001E-4</v>
      </c>
      <c r="E466" s="231">
        <v>1478054</v>
      </c>
      <c r="F466" s="231" t="s">
        <v>1924</v>
      </c>
      <c r="G466" s="392">
        <v>63688</v>
      </c>
      <c r="H466" s="392">
        <v>488512</v>
      </c>
      <c r="I466" s="392">
        <v>147477</v>
      </c>
      <c r="J466" s="231">
        <v>95086</v>
      </c>
      <c r="K466" s="231">
        <v>794763</v>
      </c>
      <c r="L466" s="231"/>
      <c r="M466" s="300">
        <v>6244</v>
      </c>
      <c r="N466" s="300">
        <v>0</v>
      </c>
      <c r="O466" s="300">
        <v>0</v>
      </c>
      <c r="P466" s="231">
        <v>5124</v>
      </c>
      <c r="Q466" s="231">
        <v>11368</v>
      </c>
      <c r="R466" s="231"/>
      <c r="S466" s="392">
        <v>418519</v>
      </c>
      <c r="T466" s="231">
        <v>29410</v>
      </c>
      <c r="U466" s="396">
        <v>447929</v>
      </c>
      <c r="V466" s="231"/>
      <c r="W466" s="396">
        <v>2667697</v>
      </c>
      <c r="X466" s="396">
        <v>497719</v>
      </c>
      <c r="Y466" s="396"/>
      <c r="Z466" s="396"/>
    </row>
    <row r="467" spans="1:26">
      <c r="A467" s="424">
        <v>94937</v>
      </c>
      <c r="B467" s="423" t="s">
        <v>1927</v>
      </c>
      <c r="C467" s="234">
        <v>8.3999999999999992E-6</v>
      </c>
      <c r="D467" s="234">
        <v>8.6999999999999997E-6</v>
      </c>
      <c r="E467" s="231">
        <v>47388</v>
      </c>
      <c r="F467" s="231" t="s">
        <v>1924</v>
      </c>
      <c r="G467" s="392">
        <v>2042</v>
      </c>
      <c r="H467" s="392">
        <v>15662</v>
      </c>
      <c r="I467" s="392">
        <v>4728</v>
      </c>
      <c r="J467" s="231">
        <v>2725</v>
      </c>
      <c r="K467" s="231">
        <v>25157</v>
      </c>
      <c r="L467" s="231"/>
      <c r="M467" s="300">
        <v>200</v>
      </c>
      <c r="N467" s="300">
        <v>0</v>
      </c>
      <c r="O467" s="300">
        <v>0</v>
      </c>
      <c r="P467" s="231">
        <v>1423</v>
      </c>
      <c r="Q467" s="231">
        <v>1623</v>
      </c>
      <c r="R467" s="231"/>
      <c r="S467" s="392">
        <v>13418</v>
      </c>
      <c r="T467" s="231">
        <v>1764</v>
      </c>
      <c r="U467" s="396">
        <v>15182</v>
      </c>
      <c r="V467" s="231"/>
      <c r="W467" s="396">
        <v>85529</v>
      </c>
      <c r="X467" s="396">
        <v>15957</v>
      </c>
      <c r="Y467" s="396"/>
      <c r="Z467" s="396"/>
    </row>
    <row r="468" spans="1:26">
      <c r="A468" s="424">
        <v>94941</v>
      </c>
      <c r="B468" s="423" t="s">
        <v>1177</v>
      </c>
      <c r="C468" s="234">
        <v>6.2999999999999998E-6</v>
      </c>
      <c r="D468" s="234">
        <v>7.9999999999999996E-6</v>
      </c>
      <c r="E468" s="231">
        <v>35541</v>
      </c>
      <c r="F468" s="231" t="s">
        <v>1924</v>
      </c>
      <c r="G468" s="392">
        <v>1531</v>
      </c>
      <c r="H468" s="392">
        <v>11747</v>
      </c>
      <c r="I468" s="392">
        <v>3546</v>
      </c>
      <c r="J468" s="231">
        <v>4433</v>
      </c>
      <c r="K468" s="231">
        <v>21257</v>
      </c>
      <c r="L468" s="231"/>
      <c r="M468" s="300">
        <v>150</v>
      </c>
      <c r="N468" s="300">
        <v>0</v>
      </c>
      <c r="O468" s="300">
        <v>0</v>
      </c>
      <c r="P468" s="231">
        <v>690671</v>
      </c>
      <c r="Q468" s="231">
        <v>690821</v>
      </c>
      <c r="R468" s="231"/>
      <c r="S468" s="392">
        <v>10064</v>
      </c>
      <c r="T468" s="231">
        <v>-378336</v>
      </c>
      <c r="U468" s="396">
        <v>-368272</v>
      </c>
      <c r="V468" s="231"/>
      <c r="W468" s="396">
        <v>64147</v>
      </c>
      <c r="X468" s="396">
        <v>11968</v>
      </c>
      <c r="Y468" s="396"/>
      <c r="Z468" s="396"/>
    </row>
    <row r="469" spans="1:26">
      <c r="A469" s="424">
        <v>94947</v>
      </c>
      <c r="B469" s="423" t="s">
        <v>1928</v>
      </c>
      <c r="C469" s="234">
        <v>3.7000000000000002E-6</v>
      </c>
      <c r="D469" s="234">
        <v>6.0000000000000002E-6</v>
      </c>
      <c r="E469" s="231">
        <v>20873</v>
      </c>
      <c r="F469" s="231" t="s">
        <v>1924</v>
      </c>
      <c r="G469" s="392">
        <v>899</v>
      </c>
      <c r="H469" s="392">
        <v>6899</v>
      </c>
      <c r="I469" s="392">
        <v>2083</v>
      </c>
      <c r="J469" s="231">
        <v>3649</v>
      </c>
      <c r="K469" s="231">
        <v>13530</v>
      </c>
      <c r="L469" s="231"/>
      <c r="M469" s="300">
        <v>88</v>
      </c>
      <c r="N469" s="300">
        <v>0</v>
      </c>
      <c r="O469" s="300">
        <v>0</v>
      </c>
      <c r="P469" s="231">
        <v>91</v>
      </c>
      <c r="Q469" s="231">
        <v>179</v>
      </c>
      <c r="R469" s="231"/>
      <c r="S469" s="392">
        <v>5910</v>
      </c>
      <c r="T469" s="231">
        <v>2753</v>
      </c>
      <c r="U469" s="396">
        <v>8663</v>
      </c>
      <c r="V469" s="231"/>
      <c r="W469" s="396">
        <v>37674</v>
      </c>
      <c r="X469" s="396">
        <v>7029</v>
      </c>
      <c r="Y469" s="396"/>
      <c r="Z469" s="396"/>
    </row>
    <row r="470" spans="1:26">
      <c r="A470" s="424">
        <v>95001</v>
      </c>
      <c r="B470" s="423" t="s">
        <v>1178</v>
      </c>
      <c r="C470" s="234">
        <v>2.1900000000000001E-3</v>
      </c>
      <c r="D470" s="234">
        <v>2.1762000000000001E-3</v>
      </c>
      <c r="E470" s="231">
        <v>12354727</v>
      </c>
      <c r="F470" s="231" t="s">
        <v>1924</v>
      </c>
      <c r="G470" s="392">
        <v>532354</v>
      </c>
      <c r="H470" s="392">
        <v>4083367</v>
      </c>
      <c r="I470" s="392">
        <v>1232725</v>
      </c>
      <c r="J470" s="231">
        <v>330384</v>
      </c>
      <c r="K470" s="231">
        <v>6178830</v>
      </c>
      <c r="L470" s="231"/>
      <c r="M470" s="300">
        <v>52194</v>
      </c>
      <c r="N470" s="300">
        <v>0</v>
      </c>
      <c r="O470" s="300">
        <v>0</v>
      </c>
      <c r="P470" s="231">
        <v>0</v>
      </c>
      <c r="Q470" s="231">
        <v>52194</v>
      </c>
      <c r="R470" s="231"/>
      <c r="S470" s="392">
        <v>3498308</v>
      </c>
      <c r="T470" s="231">
        <v>128158</v>
      </c>
      <c r="U470" s="396">
        <v>3626466</v>
      </c>
      <c r="V470" s="231"/>
      <c r="W470" s="396">
        <v>22298692</v>
      </c>
      <c r="X470" s="396">
        <v>4160323</v>
      </c>
      <c r="Y470" s="396"/>
      <c r="Z470" s="396"/>
    </row>
    <row r="471" spans="1:26">
      <c r="A471" s="424">
        <v>95002</v>
      </c>
      <c r="B471" s="423" t="s">
        <v>1179</v>
      </c>
      <c r="C471" s="234">
        <v>1.729E-4</v>
      </c>
      <c r="D471" s="234">
        <v>1.716E-4</v>
      </c>
      <c r="E471" s="231">
        <v>975403</v>
      </c>
      <c r="F471" s="231" t="s">
        <v>1924</v>
      </c>
      <c r="G471" s="392">
        <v>42029</v>
      </c>
      <c r="H471" s="392">
        <v>322381</v>
      </c>
      <c r="I471" s="392">
        <v>97323</v>
      </c>
      <c r="J471" s="231">
        <v>44243</v>
      </c>
      <c r="K471" s="231">
        <v>505976</v>
      </c>
      <c r="L471" s="231"/>
      <c r="M471" s="300">
        <v>4121</v>
      </c>
      <c r="N471" s="300">
        <v>0</v>
      </c>
      <c r="O471" s="300">
        <v>0</v>
      </c>
      <c r="P471" s="231">
        <v>0</v>
      </c>
      <c r="Q471" s="231">
        <v>4121</v>
      </c>
      <c r="R471" s="231"/>
      <c r="S471" s="392">
        <v>276191</v>
      </c>
      <c r="T471" s="231">
        <v>24349</v>
      </c>
      <c r="U471" s="396">
        <v>300540</v>
      </c>
      <c r="V471" s="231"/>
      <c r="W471" s="396">
        <v>1760477</v>
      </c>
      <c r="X471" s="396">
        <v>328457</v>
      </c>
      <c r="Y471" s="396"/>
      <c r="Z471" s="396"/>
    </row>
    <row r="472" spans="1:26">
      <c r="A472" s="424">
        <v>95005</v>
      </c>
      <c r="B472" s="423" t="s">
        <v>1180</v>
      </c>
      <c r="C472" s="234">
        <v>1.8709999999999999E-4</v>
      </c>
      <c r="D472" s="234">
        <v>1.874E-4</v>
      </c>
      <c r="E472" s="231">
        <v>1055511</v>
      </c>
      <c r="F472" s="231" t="s">
        <v>1924</v>
      </c>
      <c r="G472" s="392">
        <v>45481</v>
      </c>
      <c r="H472" s="392">
        <v>348857</v>
      </c>
      <c r="I472" s="392">
        <v>105316</v>
      </c>
      <c r="J472" s="231">
        <v>39274</v>
      </c>
      <c r="K472" s="231">
        <v>538928</v>
      </c>
      <c r="L472" s="231"/>
      <c r="M472" s="300">
        <v>4459</v>
      </c>
      <c r="N472" s="300">
        <v>0</v>
      </c>
      <c r="O472" s="300">
        <v>0</v>
      </c>
      <c r="P472" s="231">
        <v>5691</v>
      </c>
      <c r="Q472" s="231">
        <v>10150</v>
      </c>
      <c r="R472" s="231"/>
      <c r="S472" s="392">
        <v>298874</v>
      </c>
      <c r="T472" s="231">
        <v>12278</v>
      </c>
      <c r="U472" s="396">
        <v>311152</v>
      </c>
      <c r="V472" s="231"/>
      <c r="W472" s="396">
        <v>1905062</v>
      </c>
      <c r="X472" s="396">
        <v>355432</v>
      </c>
      <c r="Y472" s="396"/>
      <c r="Z472" s="396"/>
    </row>
    <row r="473" spans="1:26">
      <c r="A473" s="424">
        <v>95008</v>
      </c>
      <c r="B473" s="423" t="s">
        <v>1181</v>
      </c>
      <c r="C473" s="234">
        <v>1.0959999999999999E-4</v>
      </c>
      <c r="D473" s="234">
        <v>1.228E-4</v>
      </c>
      <c r="E473" s="231">
        <v>618301</v>
      </c>
      <c r="F473" s="231" t="s">
        <v>1924</v>
      </c>
      <c r="G473" s="392">
        <v>26642</v>
      </c>
      <c r="H473" s="392">
        <v>204355</v>
      </c>
      <c r="I473" s="392">
        <v>61693</v>
      </c>
      <c r="J473" s="231">
        <v>10867</v>
      </c>
      <c r="K473" s="231">
        <v>303557</v>
      </c>
      <c r="L473" s="231"/>
      <c r="M473" s="300">
        <v>2612</v>
      </c>
      <c r="N473" s="300">
        <v>0</v>
      </c>
      <c r="O473" s="300">
        <v>0</v>
      </c>
      <c r="P473" s="231">
        <v>10998</v>
      </c>
      <c r="Q473" s="231">
        <v>13610</v>
      </c>
      <c r="R473" s="231"/>
      <c r="S473" s="392">
        <v>175075</v>
      </c>
      <c r="T473" s="231">
        <v>7582</v>
      </c>
      <c r="U473" s="396">
        <v>182657</v>
      </c>
      <c r="V473" s="231"/>
      <c r="W473" s="396">
        <v>1115953</v>
      </c>
      <c r="X473" s="396">
        <v>208206</v>
      </c>
      <c r="Y473" s="396"/>
      <c r="Z473" s="396"/>
    </row>
    <row r="474" spans="1:26">
      <c r="A474" s="424">
        <v>95009</v>
      </c>
      <c r="B474" s="423" t="s">
        <v>1182</v>
      </c>
      <c r="C474" s="234">
        <v>4.2935999999999998E-3</v>
      </c>
      <c r="D474" s="234">
        <v>4.0679999999999996E-3</v>
      </c>
      <c r="E474" s="231">
        <v>24222035</v>
      </c>
      <c r="F474" s="231" t="s">
        <v>1924</v>
      </c>
      <c r="G474" s="392">
        <v>1043705</v>
      </c>
      <c r="H474" s="392">
        <v>8005636</v>
      </c>
      <c r="I474" s="392">
        <v>2416816</v>
      </c>
      <c r="J474" s="231">
        <v>1723998</v>
      </c>
      <c r="K474" s="231">
        <v>13190155</v>
      </c>
      <c r="L474" s="231"/>
      <c r="M474" s="300">
        <v>102329</v>
      </c>
      <c r="N474" s="300">
        <v>0</v>
      </c>
      <c r="O474" s="300">
        <v>0</v>
      </c>
      <c r="P474" s="231">
        <v>178683</v>
      </c>
      <c r="Q474" s="231">
        <v>281012</v>
      </c>
      <c r="R474" s="231"/>
      <c r="S474" s="392">
        <v>6858601</v>
      </c>
      <c r="T474" s="231">
        <v>408411</v>
      </c>
      <c r="U474" s="396">
        <v>7267012</v>
      </c>
      <c r="V474" s="231"/>
      <c r="W474" s="396">
        <v>43717654</v>
      </c>
      <c r="X474" s="396">
        <v>8156513</v>
      </c>
      <c r="Y474" s="396"/>
      <c r="Z474" s="396"/>
    </row>
    <row r="475" spans="1:26">
      <c r="A475" s="424">
        <v>95010</v>
      </c>
      <c r="B475" s="423" t="s">
        <v>3719</v>
      </c>
      <c r="C475" s="234">
        <v>2.34E-5</v>
      </c>
      <c r="D475" s="234">
        <v>2.2399999999999999E-5</v>
      </c>
      <c r="E475" s="231">
        <v>132009</v>
      </c>
      <c r="F475" s="231" t="s">
        <v>1924</v>
      </c>
      <c r="G475" s="392">
        <v>5688</v>
      </c>
      <c r="H475" s="392">
        <v>43630</v>
      </c>
      <c r="I475" s="392">
        <v>13172</v>
      </c>
      <c r="J475" s="231">
        <v>7895</v>
      </c>
      <c r="K475" s="231">
        <v>70385</v>
      </c>
      <c r="L475" s="231"/>
      <c r="M475" s="300">
        <v>558</v>
      </c>
      <c r="N475" s="300">
        <v>0</v>
      </c>
      <c r="O475" s="300">
        <v>0</v>
      </c>
      <c r="P475" s="231">
        <v>2257</v>
      </c>
      <c r="Q475" s="231">
        <v>2815</v>
      </c>
      <c r="R475" s="231"/>
      <c r="S475" s="392">
        <v>37379</v>
      </c>
      <c r="T475" s="231">
        <v>6991</v>
      </c>
      <c r="U475" s="396">
        <v>44370</v>
      </c>
      <c r="V475" s="231"/>
      <c r="W475" s="396">
        <v>238260</v>
      </c>
      <c r="X475" s="396">
        <v>44453</v>
      </c>
      <c r="Y475" s="396"/>
      <c r="Z475" s="396"/>
    </row>
    <row r="476" spans="1:26">
      <c r="A476" s="424">
        <v>95011</v>
      </c>
      <c r="B476" s="423" t="s">
        <v>1183</v>
      </c>
      <c r="C476" s="234">
        <v>1.9029999999999999E-4</v>
      </c>
      <c r="D476" s="234">
        <v>1.808E-4</v>
      </c>
      <c r="E476" s="231">
        <v>1073564</v>
      </c>
      <c r="F476" s="231" t="s">
        <v>1924</v>
      </c>
      <c r="G476" s="392">
        <v>46259</v>
      </c>
      <c r="H476" s="392">
        <v>354824</v>
      </c>
      <c r="I476" s="392">
        <v>107118</v>
      </c>
      <c r="J476" s="231">
        <v>8506</v>
      </c>
      <c r="K476" s="231">
        <v>516707</v>
      </c>
      <c r="L476" s="231"/>
      <c r="M476" s="300">
        <v>4535</v>
      </c>
      <c r="N476" s="300">
        <v>0</v>
      </c>
      <c r="O476" s="300">
        <v>0</v>
      </c>
      <c r="P476" s="231">
        <v>8044</v>
      </c>
      <c r="Q476" s="231">
        <v>12579</v>
      </c>
      <c r="R476" s="231"/>
      <c r="S476" s="392">
        <v>303985</v>
      </c>
      <c r="T476" s="231">
        <v>-3385</v>
      </c>
      <c r="U476" s="396">
        <v>300600</v>
      </c>
      <c r="V476" s="231"/>
      <c r="W476" s="396">
        <v>1937644</v>
      </c>
      <c r="X476" s="396">
        <v>361511</v>
      </c>
      <c r="Y476" s="396"/>
      <c r="Z476" s="396"/>
    </row>
    <row r="477" spans="1:26">
      <c r="A477" s="424">
        <v>95017</v>
      </c>
      <c r="B477" s="423" t="s">
        <v>1184</v>
      </c>
      <c r="C477" s="234">
        <v>3.9799999999999998E-5</v>
      </c>
      <c r="D477" s="234">
        <v>0</v>
      </c>
      <c r="E477" s="231">
        <v>224529</v>
      </c>
      <c r="F477" s="231" t="s">
        <v>1924</v>
      </c>
      <c r="G477" s="392">
        <v>9675</v>
      </c>
      <c r="H477" s="392">
        <v>74209</v>
      </c>
      <c r="I477" s="392">
        <v>22403</v>
      </c>
      <c r="J477" s="231">
        <v>63942</v>
      </c>
      <c r="K477" s="231">
        <v>170229</v>
      </c>
      <c r="L477" s="231"/>
      <c r="M477" s="300">
        <v>949</v>
      </c>
      <c r="N477" s="300">
        <v>0</v>
      </c>
      <c r="O477" s="300">
        <v>0</v>
      </c>
      <c r="P477" s="231">
        <v>40039</v>
      </c>
      <c r="Q477" s="231">
        <v>40988</v>
      </c>
      <c r="R477" s="231"/>
      <c r="S477" s="392">
        <v>63577</v>
      </c>
      <c r="T477" s="231">
        <v>-630</v>
      </c>
      <c r="U477" s="396">
        <v>62947</v>
      </c>
      <c r="V477" s="231"/>
      <c r="W477" s="396">
        <v>405246</v>
      </c>
      <c r="X477" s="396">
        <v>75608</v>
      </c>
      <c r="Y477" s="396"/>
      <c r="Z477" s="396"/>
    </row>
    <row r="478" spans="1:26">
      <c r="A478" s="424">
        <v>95101</v>
      </c>
      <c r="B478" s="423" t="s">
        <v>1185</v>
      </c>
      <c r="C478" s="234">
        <v>9.2426000000000001E-3</v>
      </c>
      <c r="D478" s="234">
        <v>8.7860999999999998E-3</v>
      </c>
      <c r="E478" s="231">
        <v>52141462</v>
      </c>
      <c r="F478" s="231" t="s">
        <v>1924</v>
      </c>
      <c r="G478" s="392">
        <v>2246728</v>
      </c>
      <c r="H478" s="392">
        <v>17233299</v>
      </c>
      <c r="I478" s="392">
        <v>5202549</v>
      </c>
      <c r="J478" s="231">
        <v>593026</v>
      </c>
      <c r="K478" s="231">
        <v>25275602</v>
      </c>
      <c r="L478" s="231"/>
      <c r="M478" s="300">
        <v>220279</v>
      </c>
      <c r="N478" s="300">
        <v>0</v>
      </c>
      <c r="O478" s="300">
        <v>0</v>
      </c>
      <c r="P478" s="231">
        <v>269233</v>
      </c>
      <c r="Q478" s="231">
        <v>489512</v>
      </c>
      <c r="R478" s="231"/>
      <c r="S478" s="392">
        <v>14764138</v>
      </c>
      <c r="T478" s="231">
        <v>48124</v>
      </c>
      <c r="U478" s="396">
        <v>14812262</v>
      </c>
      <c r="V478" s="231"/>
      <c r="W478" s="396">
        <v>94108625</v>
      </c>
      <c r="X478" s="396">
        <v>17558084</v>
      </c>
      <c r="Y478" s="396"/>
      <c r="Z478" s="396"/>
    </row>
    <row r="479" spans="1:26">
      <c r="A479" s="424">
        <v>95103</v>
      </c>
      <c r="B479" s="423" t="s">
        <v>1186</v>
      </c>
      <c r="C479" s="234">
        <v>5.1199999999999998E-5</v>
      </c>
      <c r="D479" s="234">
        <v>4.7700000000000001E-5</v>
      </c>
      <c r="E479" s="231">
        <v>288841</v>
      </c>
      <c r="F479" s="231" t="s">
        <v>1924</v>
      </c>
      <c r="G479" s="392">
        <v>12446</v>
      </c>
      <c r="H479" s="392">
        <v>95465</v>
      </c>
      <c r="I479" s="392">
        <v>28820</v>
      </c>
      <c r="J479" s="231">
        <v>17693</v>
      </c>
      <c r="K479" s="231">
        <v>154424</v>
      </c>
      <c r="L479" s="231"/>
      <c r="M479" s="300">
        <v>1220</v>
      </c>
      <c r="N479" s="300">
        <v>0</v>
      </c>
      <c r="O479" s="300">
        <v>0</v>
      </c>
      <c r="P479" s="231">
        <v>1172</v>
      </c>
      <c r="Q479" s="231">
        <v>2392</v>
      </c>
      <c r="R479" s="231"/>
      <c r="S479" s="392">
        <v>81787</v>
      </c>
      <c r="T479" s="231">
        <v>8082</v>
      </c>
      <c r="U479" s="396">
        <v>89869</v>
      </c>
      <c r="V479" s="231"/>
      <c r="W479" s="396">
        <v>521321</v>
      </c>
      <c r="X479" s="396">
        <v>97264</v>
      </c>
      <c r="Y479" s="396"/>
      <c r="Z479" s="396"/>
    </row>
    <row r="480" spans="1:26">
      <c r="A480" s="424">
        <v>95104</v>
      </c>
      <c r="B480" s="423" t="s">
        <v>1187</v>
      </c>
      <c r="C480" s="234">
        <v>1.605E-4</v>
      </c>
      <c r="D480" s="234">
        <v>1.271E-4</v>
      </c>
      <c r="E480" s="231">
        <v>905449</v>
      </c>
      <c r="F480" s="231" t="s">
        <v>1924</v>
      </c>
      <c r="G480" s="392">
        <v>39015</v>
      </c>
      <c r="H480" s="392">
        <v>299260</v>
      </c>
      <c r="I480" s="392">
        <v>90344</v>
      </c>
      <c r="J480" s="231">
        <v>128041</v>
      </c>
      <c r="K480" s="231">
        <v>556660</v>
      </c>
      <c r="L480" s="231"/>
      <c r="M480" s="300">
        <v>3825</v>
      </c>
      <c r="N480" s="300">
        <v>0</v>
      </c>
      <c r="O480" s="300">
        <v>0</v>
      </c>
      <c r="P480" s="231">
        <v>0</v>
      </c>
      <c r="Q480" s="231">
        <v>3825</v>
      </c>
      <c r="R480" s="231"/>
      <c r="S480" s="392">
        <v>256383</v>
      </c>
      <c r="T480" s="231">
        <v>59886</v>
      </c>
      <c r="U480" s="396">
        <v>316269</v>
      </c>
      <c r="V480" s="231"/>
      <c r="W480" s="396">
        <v>1634219</v>
      </c>
      <c r="X480" s="396">
        <v>304900</v>
      </c>
      <c r="Y480" s="396"/>
      <c r="Z480" s="396"/>
    </row>
    <row r="481" spans="1:26" ht="14.25" customHeight="1">
      <c r="A481" s="424">
        <v>95105</v>
      </c>
      <c r="B481" s="423" t="s">
        <v>1188</v>
      </c>
      <c r="C481" s="234">
        <v>6.8899999999999994E-5</v>
      </c>
      <c r="D481" s="234">
        <v>5.63E-5</v>
      </c>
      <c r="E481" s="231">
        <v>388694</v>
      </c>
      <c r="F481" s="231" t="s">
        <v>1924</v>
      </c>
      <c r="G481" s="392">
        <v>16748</v>
      </c>
      <c r="H481" s="392">
        <v>128468</v>
      </c>
      <c r="I481" s="392">
        <v>38783</v>
      </c>
      <c r="J481" s="231">
        <v>19086</v>
      </c>
      <c r="K481" s="231">
        <v>203085</v>
      </c>
      <c r="L481" s="231"/>
      <c r="M481" s="300">
        <v>1642</v>
      </c>
      <c r="N481" s="300">
        <v>0</v>
      </c>
      <c r="O481" s="300">
        <v>0</v>
      </c>
      <c r="P481" s="231">
        <v>28940</v>
      </c>
      <c r="Q481" s="231">
        <v>30582</v>
      </c>
      <c r="R481" s="231"/>
      <c r="S481" s="392">
        <v>110061</v>
      </c>
      <c r="T481" s="231">
        <v>-3444</v>
      </c>
      <c r="U481" s="396">
        <v>106617</v>
      </c>
      <c r="V481" s="231"/>
      <c r="W481" s="396">
        <v>701543</v>
      </c>
      <c r="X481" s="396">
        <v>130889</v>
      </c>
      <c r="Y481" s="396"/>
      <c r="Z481" s="396"/>
    </row>
    <row r="482" spans="1:26" ht="14.25" customHeight="1">
      <c r="A482" s="424">
        <v>95106</v>
      </c>
      <c r="B482" s="423" t="s">
        <v>1189</v>
      </c>
      <c r="C482" s="234">
        <v>1.5999999999999999E-5</v>
      </c>
      <c r="D482" s="234">
        <v>1.5800000000000001E-5</v>
      </c>
      <c r="E482" s="231">
        <v>90263</v>
      </c>
      <c r="F482" s="231" t="s">
        <v>1924</v>
      </c>
      <c r="G482" s="392">
        <v>3889</v>
      </c>
      <c r="H482" s="392">
        <v>29833</v>
      </c>
      <c r="I482" s="392">
        <v>9006</v>
      </c>
      <c r="J482" s="231">
        <v>13780</v>
      </c>
      <c r="K482" s="231">
        <v>56508</v>
      </c>
      <c r="L482" s="231"/>
      <c r="M482" s="300">
        <v>381</v>
      </c>
      <c r="N482" s="300">
        <v>0</v>
      </c>
      <c r="O482" s="300">
        <v>0</v>
      </c>
      <c r="P482" s="231">
        <v>0</v>
      </c>
      <c r="Q482" s="231">
        <v>381</v>
      </c>
      <c r="R482" s="231"/>
      <c r="S482" s="392">
        <v>25558</v>
      </c>
      <c r="T482" s="231">
        <v>6757</v>
      </c>
      <c r="U482" s="396">
        <v>32315</v>
      </c>
      <c r="V482" s="231"/>
      <c r="W482" s="396">
        <v>162913</v>
      </c>
      <c r="X482" s="396">
        <v>30395</v>
      </c>
      <c r="Y482" s="396"/>
      <c r="Z482" s="396"/>
    </row>
    <row r="483" spans="1:26">
      <c r="A483" s="424">
        <v>95110</v>
      </c>
      <c r="B483" s="423" t="s">
        <v>1190</v>
      </c>
      <c r="C483" s="234">
        <v>2.2951E-3</v>
      </c>
      <c r="D483" s="234">
        <v>2.4620000000000002E-3</v>
      </c>
      <c r="E483" s="231">
        <v>12947641</v>
      </c>
      <c r="F483" s="231" t="s">
        <v>1924</v>
      </c>
      <c r="G483" s="392">
        <v>557902</v>
      </c>
      <c r="H483" s="392">
        <v>4279331</v>
      </c>
      <c r="I483" s="392">
        <v>1291884</v>
      </c>
      <c r="J483" s="231">
        <v>1414</v>
      </c>
      <c r="K483" s="231">
        <v>6130531</v>
      </c>
      <c r="L483" s="231"/>
      <c r="M483" s="300">
        <v>54699</v>
      </c>
      <c r="N483" s="300">
        <v>0</v>
      </c>
      <c r="O483" s="300">
        <v>0</v>
      </c>
      <c r="P483" s="231">
        <v>333355</v>
      </c>
      <c r="Q483" s="231">
        <v>388054</v>
      </c>
      <c r="R483" s="231"/>
      <c r="S483" s="392">
        <v>3666195</v>
      </c>
      <c r="T483" s="231">
        <v>-324672</v>
      </c>
      <c r="U483" s="396">
        <v>3341523</v>
      </c>
      <c r="V483" s="231"/>
      <c r="W483" s="396">
        <v>23368825</v>
      </c>
      <c r="X483" s="396">
        <v>4359981</v>
      </c>
      <c r="Y483" s="396"/>
      <c r="Z483" s="396"/>
    </row>
    <row r="484" spans="1:26">
      <c r="A484" s="424">
        <v>95111</v>
      </c>
      <c r="B484" s="423" t="s">
        <v>1191</v>
      </c>
      <c r="C484" s="234">
        <v>9.9170000000000009E-4</v>
      </c>
      <c r="D484" s="234">
        <v>9.366E-4</v>
      </c>
      <c r="E484" s="231">
        <v>5594604</v>
      </c>
      <c r="F484" s="231" t="s">
        <v>1924</v>
      </c>
      <c r="G484" s="392">
        <v>241066</v>
      </c>
      <c r="H484" s="392">
        <v>1849075</v>
      </c>
      <c r="I484" s="392">
        <v>558216</v>
      </c>
      <c r="J484" s="231">
        <v>97218</v>
      </c>
      <c r="K484" s="231">
        <v>2745575</v>
      </c>
      <c r="L484" s="231"/>
      <c r="M484" s="300">
        <v>23635</v>
      </c>
      <c r="N484" s="300">
        <v>0</v>
      </c>
      <c r="O484" s="300">
        <v>0</v>
      </c>
      <c r="P484" s="231">
        <v>84578</v>
      </c>
      <c r="Q484" s="231">
        <v>108213</v>
      </c>
      <c r="R484" s="231"/>
      <c r="S484" s="392">
        <v>1584143</v>
      </c>
      <c r="T484" s="231">
        <v>-33628</v>
      </c>
      <c r="U484" s="396">
        <v>1550515</v>
      </c>
      <c r="V484" s="231"/>
      <c r="W484" s="396">
        <v>10097540</v>
      </c>
      <c r="X484" s="396">
        <v>1883924</v>
      </c>
      <c r="Y484" s="396"/>
      <c r="Z484" s="396"/>
    </row>
    <row r="485" spans="1:26">
      <c r="A485" s="424">
        <v>95113</v>
      </c>
      <c r="B485" s="423" t="s">
        <v>1192</v>
      </c>
      <c r="C485" s="234">
        <v>6.0099999999999997E-5</v>
      </c>
      <c r="D485" s="234">
        <v>4.9599999999999999E-5</v>
      </c>
      <c r="E485" s="231">
        <v>339050</v>
      </c>
      <c r="F485" s="231" t="s">
        <v>1924</v>
      </c>
      <c r="G485" s="392">
        <v>14609</v>
      </c>
      <c r="H485" s="392">
        <v>112060</v>
      </c>
      <c r="I485" s="392">
        <v>33830</v>
      </c>
      <c r="J485" s="231">
        <v>105807</v>
      </c>
      <c r="K485" s="231">
        <v>266306</v>
      </c>
      <c r="L485" s="231"/>
      <c r="M485" s="300">
        <v>1432</v>
      </c>
      <c r="N485" s="300">
        <v>0</v>
      </c>
      <c r="O485" s="300">
        <v>0</v>
      </c>
      <c r="P485" s="231">
        <v>0</v>
      </c>
      <c r="Q485" s="231">
        <v>1432</v>
      </c>
      <c r="R485" s="231"/>
      <c r="S485" s="392">
        <v>96004</v>
      </c>
      <c r="T485" s="231">
        <v>60201</v>
      </c>
      <c r="U485" s="396">
        <v>156205</v>
      </c>
      <c r="V485" s="231"/>
      <c r="W485" s="396">
        <v>611941</v>
      </c>
      <c r="X485" s="396">
        <v>114171</v>
      </c>
      <c r="Y485" s="396"/>
      <c r="Z485" s="396"/>
    </row>
    <row r="486" spans="1:26">
      <c r="A486" s="424">
        <v>95121</v>
      </c>
      <c r="B486" s="423" t="s">
        <v>1193</v>
      </c>
      <c r="C486" s="234">
        <v>4.996E-4</v>
      </c>
      <c r="D486" s="234">
        <v>5.1400000000000003E-4</v>
      </c>
      <c r="E486" s="231">
        <v>2818457</v>
      </c>
      <c r="F486" s="231" t="s">
        <v>1924</v>
      </c>
      <c r="G486" s="392">
        <v>121445</v>
      </c>
      <c r="H486" s="392">
        <v>931530</v>
      </c>
      <c r="I486" s="392">
        <v>281219</v>
      </c>
      <c r="J486" s="231">
        <v>14516</v>
      </c>
      <c r="K486" s="231">
        <v>1348710</v>
      </c>
      <c r="L486" s="231"/>
      <c r="M486" s="300">
        <v>11907</v>
      </c>
      <c r="N486" s="300">
        <v>0</v>
      </c>
      <c r="O486" s="300">
        <v>0</v>
      </c>
      <c r="P486" s="231">
        <v>55515</v>
      </c>
      <c r="Q486" s="231">
        <v>67422</v>
      </c>
      <c r="R486" s="231"/>
      <c r="S486" s="392">
        <v>798062</v>
      </c>
      <c r="T486" s="231">
        <v>-10277</v>
      </c>
      <c r="U486" s="396">
        <v>787785</v>
      </c>
      <c r="V486" s="231"/>
      <c r="W486" s="396">
        <v>5086953</v>
      </c>
      <c r="X486" s="396">
        <v>949086</v>
      </c>
      <c r="Y486" s="396"/>
      <c r="Z486" s="396"/>
    </row>
    <row r="487" spans="1:26">
      <c r="A487" s="425">
        <v>95122</v>
      </c>
      <c r="B487" s="426" t="s">
        <v>1194</v>
      </c>
      <c r="C487" s="234">
        <v>2.0599999999999999E-5</v>
      </c>
      <c r="D487" s="234">
        <v>2.34E-5</v>
      </c>
      <c r="E487" s="231">
        <v>116213</v>
      </c>
      <c r="F487" s="231" t="s">
        <v>1924</v>
      </c>
      <c r="G487" s="392">
        <v>5008</v>
      </c>
      <c r="H487" s="392">
        <v>38410</v>
      </c>
      <c r="I487" s="392">
        <v>11595</v>
      </c>
      <c r="J487" s="231">
        <v>14292</v>
      </c>
      <c r="K487" s="231">
        <v>69305</v>
      </c>
      <c r="L487" s="231"/>
      <c r="M487" s="300">
        <v>491</v>
      </c>
      <c r="N487" s="300">
        <v>0</v>
      </c>
      <c r="O487" s="300">
        <v>0</v>
      </c>
      <c r="P487" s="231">
        <v>0</v>
      </c>
      <c r="Q487" s="231">
        <v>491</v>
      </c>
      <c r="R487" s="231"/>
      <c r="S487" s="392">
        <v>32906</v>
      </c>
      <c r="T487" s="231">
        <v>9349</v>
      </c>
      <c r="U487" s="396">
        <v>42255</v>
      </c>
      <c r="V487" s="231"/>
      <c r="W487" s="396">
        <v>209750</v>
      </c>
      <c r="X487" s="396">
        <v>39134</v>
      </c>
      <c r="Y487" s="396"/>
      <c r="Z487" s="396"/>
    </row>
    <row r="488" spans="1:26">
      <c r="A488" s="424">
        <v>95123</v>
      </c>
      <c r="B488" s="423" t="s">
        <v>1195</v>
      </c>
      <c r="C488" s="234">
        <v>5.1900000000000001E-5</v>
      </c>
      <c r="D488" s="234">
        <v>5.6799999999999998E-5</v>
      </c>
      <c r="E488" s="231">
        <v>292790</v>
      </c>
      <c r="F488" s="231" t="s">
        <v>1924</v>
      </c>
      <c r="G488" s="392">
        <v>12616</v>
      </c>
      <c r="H488" s="392">
        <v>96770</v>
      </c>
      <c r="I488" s="392">
        <v>29214</v>
      </c>
      <c r="J488" s="231">
        <v>1149</v>
      </c>
      <c r="K488" s="231">
        <v>139749</v>
      </c>
      <c r="L488" s="231"/>
      <c r="M488" s="300">
        <v>1237</v>
      </c>
      <c r="N488" s="300">
        <v>0</v>
      </c>
      <c r="O488" s="300">
        <v>0</v>
      </c>
      <c r="P488" s="231">
        <v>13529</v>
      </c>
      <c r="Q488" s="231">
        <v>14766</v>
      </c>
      <c r="R488" s="231"/>
      <c r="S488" s="392">
        <v>82905</v>
      </c>
      <c r="T488" s="231">
        <v>-3613</v>
      </c>
      <c r="U488" s="396">
        <v>79292</v>
      </c>
      <c r="V488" s="231"/>
      <c r="W488" s="396">
        <v>528448</v>
      </c>
      <c r="X488" s="396">
        <v>98594</v>
      </c>
      <c r="Y488" s="396"/>
      <c r="Z488" s="396"/>
    </row>
    <row r="489" spans="1:26">
      <c r="A489" s="424">
        <v>95131</v>
      </c>
      <c r="B489" s="423" t="s">
        <v>1196</v>
      </c>
      <c r="C489" s="234">
        <v>2.0095E-3</v>
      </c>
      <c r="D489" s="234">
        <v>1.8209000000000001E-3</v>
      </c>
      <c r="E489" s="231">
        <v>11336450</v>
      </c>
      <c r="F489" s="231" t="s">
        <v>1924</v>
      </c>
      <c r="G489" s="392">
        <v>488477</v>
      </c>
      <c r="H489" s="392">
        <v>3746815</v>
      </c>
      <c r="I489" s="392">
        <v>1131123</v>
      </c>
      <c r="J489" s="231">
        <v>289303</v>
      </c>
      <c r="K489" s="231">
        <v>5655718</v>
      </c>
      <c r="L489" s="231"/>
      <c r="M489" s="300">
        <v>47892</v>
      </c>
      <c r="N489" s="300">
        <v>0</v>
      </c>
      <c r="O489" s="300">
        <v>0</v>
      </c>
      <c r="P489" s="231">
        <v>31726</v>
      </c>
      <c r="Q489" s="231">
        <v>79618</v>
      </c>
      <c r="R489" s="231"/>
      <c r="S489" s="392">
        <v>3209977</v>
      </c>
      <c r="T489" s="231">
        <v>107509</v>
      </c>
      <c r="U489" s="396">
        <v>3317486</v>
      </c>
      <c r="V489" s="231"/>
      <c r="W489" s="396">
        <v>20460831</v>
      </c>
      <c r="X489" s="396">
        <v>3817429</v>
      </c>
      <c r="Y489" s="396"/>
      <c r="Z489" s="396"/>
    </row>
    <row r="490" spans="1:26">
      <c r="A490" s="424">
        <v>95141</v>
      </c>
      <c r="B490" s="423" t="s">
        <v>1197</v>
      </c>
      <c r="C490" s="234">
        <v>4.438E-4</v>
      </c>
      <c r="D490" s="234">
        <v>4.2129999999999999E-4</v>
      </c>
      <c r="E490" s="231">
        <v>2503666</v>
      </c>
      <c r="F490" s="231" t="s">
        <v>1924</v>
      </c>
      <c r="G490" s="392">
        <v>107881</v>
      </c>
      <c r="H490" s="392">
        <v>827488</v>
      </c>
      <c r="I490" s="392">
        <v>249810</v>
      </c>
      <c r="J490" s="231">
        <v>26671</v>
      </c>
      <c r="K490" s="231">
        <v>1211850</v>
      </c>
      <c r="L490" s="231"/>
      <c r="M490" s="300">
        <v>10577</v>
      </c>
      <c r="N490" s="300">
        <v>0</v>
      </c>
      <c r="O490" s="300">
        <v>0</v>
      </c>
      <c r="P490" s="231">
        <v>0</v>
      </c>
      <c r="Q490" s="231">
        <v>10577</v>
      </c>
      <c r="R490" s="231"/>
      <c r="S490" s="392">
        <v>708927</v>
      </c>
      <c r="T490" s="231">
        <v>16625</v>
      </c>
      <c r="U490" s="396">
        <v>725552</v>
      </c>
      <c r="V490" s="231"/>
      <c r="W490" s="396">
        <v>4518794</v>
      </c>
      <c r="X490" s="396">
        <v>843083</v>
      </c>
      <c r="Y490" s="396"/>
      <c r="Z490" s="396"/>
    </row>
    <row r="491" spans="1:26">
      <c r="A491" s="424">
        <v>95151</v>
      </c>
      <c r="B491" s="423" t="s">
        <v>1198</v>
      </c>
      <c r="C491" s="234">
        <v>1.281E-4</v>
      </c>
      <c r="D491" s="234">
        <v>1.2540000000000001E-4</v>
      </c>
      <c r="E491" s="231">
        <v>722667</v>
      </c>
      <c r="F491" s="231" t="s">
        <v>1924</v>
      </c>
      <c r="G491" s="392">
        <v>31139</v>
      </c>
      <c r="H491" s="392">
        <v>238849</v>
      </c>
      <c r="I491" s="392">
        <v>72106</v>
      </c>
      <c r="J491" s="231">
        <v>3094</v>
      </c>
      <c r="K491" s="231">
        <v>345188</v>
      </c>
      <c r="L491" s="231"/>
      <c r="M491" s="300">
        <v>3053</v>
      </c>
      <c r="N491" s="300">
        <v>0</v>
      </c>
      <c r="O491" s="300">
        <v>0</v>
      </c>
      <c r="P491" s="231">
        <v>15192</v>
      </c>
      <c r="Q491" s="231">
        <v>18245</v>
      </c>
      <c r="R491" s="231"/>
      <c r="S491" s="392">
        <v>204627</v>
      </c>
      <c r="T491" s="231">
        <v>-3309</v>
      </c>
      <c r="U491" s="396">
        <v>201318</v>
      </c>
      <c r="V491" s="231"/>
      <c r="W491" s="396">
        <v>1304321</v>
      </c>
      <c r="X491" s="396">
        <v>243350</v>
      </c>
      <c r="Y491" s="396"/>
      <c r="Z491" s="396"/>
    </row>
    <row r="492" spans="1:26">
      <c r="A492" s="424">
        <v>95161</v>
      </c>
      <c r="B492" s="423" t="s">
        <v>1199</v>
      </c>
      <c r="C492" s="234">
        <v>7.6899999999999999E-5</v>
      </c>
      <c r="D492" s="234">
        <v>6.8200000000000004E-5</v>
      </c>
      <c r="E492" s="231">
        <v>433826</v>
      </c>
      <c r="F492" s="231" t="s">
        <v>1924</v>
      </c>
      <c r="G492" s="392">
        <v>18693</v>
      </c>
      <c r="H492" s="392">
        <v>143384</v>
      </c>
      <c r="I492" s="392">
        <v>43286</v>
      </c>
      <c r="J492" s="231">
        <v>18459</v>
      </c>
      <c r="K492" s="231">
        <v>223822</v>
      </c>
      <c r="L492" s="231"/>
      <c r="M492" s="300">
        <v>1833</v>
      </c>
      <c r="N492" s="300">
        <v>0</v>
      </c>
      <c r="O492" s="300">
        <v>0</v>
      </c>
      <c r="P492" s="231">
        <v>5152</v>
      </c>
      <c r="Q492" s="231">
        <v>6985</v>
      </c>
      <c r="R492" s="231"/>
      <c r="S492" s="392">
        <v>122840</v>
      </c>
      <c r="T492" s="231">
        <v>7207</v>
      </c>
      <c r="U492" s="396">
        <v>130047</v>
      </c>
      <c r="V492" s="231"/>
      <c r="W492" s="396">
        <v>783000</v>
      </c>
      <c r="X492" s="396">
        <v>146086</v>
      </c>
      <c r="Y492" s="396"/>
      <c r="Z492" s="396"/>
    </row>
    <row r="493" spans="1:26">
      <c r="A493" s="424">
        <v>95171</v>
      </c>
      <c r="B493" s="423" t="s">
        <v>1200</v>
      </c>
      <c r="C493" s="234">
        <v>1.216E-4</v>
      </c>
      <c r="D493" s="234">
        <v>1.0009999999999999E-4</v>
      </c>
      <c r="E493" s="231">
        <v>685998</v>
      </c>
      <c r="F493" s="231" t="s">
        <v>1924</v>
      </c>
      <c r="G493" s="392">
        <v>29559</v>
      </c>
      <c r="H493" s="392">
        <v>226729</v>
      </c>
      <c r="I493" s="392">
        <v>68447</v>
      </c>
      <c r="J493" s="231">
        <v>36934</v>
      </c>
      <c r="K493" s="231">
        <v>361669</v>
      </c>
      <c r="L493" s="231"/>
      <c r="M493" s="300">
        <v>2898</v>
      </c>
      <c r="N493" s="300">
        <v>0</v>
      </c>
      <c r="O493" s="300">
        <v>0</v>
      </c>
      <c r="P493" s="231">
        <v>24668</v>
      </c>
      <c r="Q493" s="231">
        <v>27566</v>
      </c>
      <c r="R493" s="231"/>
      <c r="S493" s="392">
        <v>194244</v>
      </c>
      <c r="T493" s="231">
        <v>5055</v>
      </c>
      <c r="U493" s="396">
        <v>199299</v>
      </c>
      <c r="V493" s="231"/>
      <c r="W493" s="396">
        <v>1238137</v>
      </c>
      <c r="X493" s="396">
        <v>231002</v>
      </c>
      <c r="Y493" s="396"/>
      <c r="Z493" s="396"/>
    </row>
    <row r="494" spans="1:26">
      <c r="A494" s="424">
        <v>95181</v>
      </c>
      <c r="B494" s="423" t="s">
        <v>1201</v>
      </c>
      <c r="C494" s="234">
        <v>7.7600000000000002E-5</v>
      </c>
      <c r="D494" s="234">
        <v>7.36E-5</v>
      </c>
      <c r="E494" s="231">
        <v>437775</v>
      </c>
      <c r="F494" s="231" t="s">
        <v>1924</v>
      </c>
      <c r="G494" s="392">
        <v>18863</v>
      </c>
      <c r="H494" s="392">
        <v>144689</v>
      </c>
      <c r="I494" s="392">
        <v>43680</v>
      </c>
      <c r="J494" s="231">
        <v>12750</v>
      </c>
      <c r="K494" s="231">
        <v>219982</v>
      </c>
      <c r="L494" s="231"/>
      <c r="M494" s="300">
        <v>1849</v>
      </c>
      <c r="N494" s="300">
        <v>0</v>
      </c>
      <c r="O494" s="300">
        <v>0</v>
      </c>
      <c r="P494" s="231">
        <v>3089</v>
      </c>
      <c r="Q494" s="231">
        <v>4938</v>
      </c>
      <c r="R494" s="231"/>
      <c r="S494" s="392">
        <v>123958</v>
      </c>
      <c r="T494" s="231">
        <v>3988</v>
      </c>
      <c r="U494" s="396">
        <v>127946</v>
      </c>
      <c r="V494" s="231"/>
      <c r="W494" s="396">
        <v>790127</v>
      </c>
      <c r="X494" s="396">
        <v>147416</v>
      </c>
      <c r="Y494" s="396"/>
      <c r="Z494" s="396"/>
    </row>
    <row r="495" spans="1:26">
      <c r="A495" s="424">
        <v>95191</v>
      </c>
      <c r="B495" s="423" t="s">
        <v>1202</v>
      </c>
      <c r="C495" s="234">
        <v>9.6299999999999996E-5</v>
      </c>
      <c r="D495" s="234">
        <v>7.0400000000000004E-5</v>
      </c>
      <c r="E495" s="231">
        <v>543270</v>
      </c>
      <c r="F495" s="231" t="s">
        <v>1924</v>
      </c>
      <c r="G495" s="392">
        <v>23409</v>
      </c>
      <c r="H495" s="392">
        <v>179556</v>
      </c>
      <c r="I495" s="392">
        <v>54206</v>
      </c>
      <c r="J495" s="231">
        <v>59898</v>
      </c>
      <c r="K495" s="231">
        <v>317069</v>
      </c>
      <c r="L495" s="231"/>
      <c r="M495" s="300">
        <v>2295</v>
      </c>
      <c r="N495" s="300">
        <v>0</v>
      </c>
      <c r="O495" s="300">
        <v>0</v>
      </c>
      <c r="P495" s="231">
        <v>0</v>
      </c>
      <c r="Q495" s="231">
        <v>2295</v>
      </c>
      <c r="R495" s="231"/>
      <c r="S495" s="392">
        <v>153830</v>
      </c>
      <c r="T495" s="231">
        <v>27309</v>
      </c>
      <c r="U495" s="396">
        <v>181139</v>
      </c>
      <c r="V495" s="231"/>
      <c r="W495" s="396">
        <v>980532</v>
      </c>
      <c r="X495" s="396">
        <v>182940</v>
      </c>
      <c r="Y495" s="396"/>
      <c r="Z495" s="396"/>
    </row>
    <row r="496" spans="1:26">
      <c r="A496" s="424">
        <v>95201</v>
      </c>
      <c r="B496" s="423" t="s">
        <v>1203</v>
      </c>
      <c r="C496" s="234">
        <v>7.4290000000000001E-4</v>
      </c>
      <c r="D496" s="234">
        <v>6.3869999999999997E-4</v>
      </c>
      <c r="E496" s="231">
        <v>4191017</v>
      </c>
      <c r="F496" s="231" t="s">
        <v>1924</v>
      </c>
      <c r="G496" s="392">
        <v>180587</v>
      </c>
      <c r="H496" s="392">
        <v>1385175</v>
      </c>
      <c r="I496" s="392">
        <v>418169</v>
      </c>
      <c r="J496" s="231">
        <v>138472</v>
      </c>
      <c r="K496" s="231">
        <v>2122403</v>
      </c>
      <c r="L496" s="231"/>
      <c r="M496" s="300">
        <v>17706</v>
      </c>
      <c r="N496" s="300">
        <v>0</v>
      </c>
      <c r="O496" s="300">
        <v>0</v>
      </c>
      <c r="P496" s="231">
        <v>92116</v>
      </c>
      <c r="Q496" s="231">
        <v>109822</v>
      </c>
      <c r="R496" s="231"/>
      <c r="S496" s="392">
        <v>1186709</v>
      </c>
      <c r="T496" s="231">
        <v>-652</v>
      </c>
      <c r="U496" s="396">
        <v>1186057</v>
      </c>
      <c r="V496" s="231"/>
      <c r="W496" s="396">
        <v>7564246</v>
      </c>
      <c r="X496" s="396">
        <v>1411280</v>
      </c>
      <c r="Y496" s="396"/>
      <c r="Z496" s="396"/>
    </row>
    <row r="497" spans="1:26">
      <c r="A497" s="424">
        <v>95204</v>
      </c>
      <c r="B497" s="423" t="s">
        <v>1204</v>
      </c>
      <c r="C497" s="234">
        <v>3.1E-6</v>
      </c>
      <c r="D497" s="234">
        <v>4.7999999999999998E-6</v>
      </c>
      <c r="E497" s="231">
        <v>17488</v>
      </c>
      <c r="F497" s="231" t="s">
        <v>1924</v>
      </c>
      <c r="G497" s="392">
        <v>754</v>
      </c>
      <c r="H497" s="392">
        <v>5780</v>
      </c>
      <c r="I497" s="392">
        <v>1745</v>
      </c>
      <c r="J497" s="231">
        <v>1643</v>
      </c>
      <c r="K497" s="231">
        <v>9922</v>
      </c>
      <c r="L497" s="231"/>
      <c r="M497" s="300">
        <v>74</v>
      </c>
      <c r="N497" s="300">
        <v>0</v>
      </c>
      <c r="O497" s="300">
        <v>0</v>
      </c>
      <c r="P497" s="231">
        <v>5375</v>
      </c>
      <c r="Q497" s="231">
        <v>5449</v>
      </c>
      <c r="R497" s="231"/>
      <c r="S497" s="392">
        <v>4952</v>
      </c>
      <c r="T497" s="231">
        <v>-1196</v>
      </c>
      <c r="U497" s="396">
        <v>3756</v>
      </c>
      <c r="V497" s="231"/>
      <c r="W497" s="396">
        <v>31564</v>
      </c>
      <c r="X497" s="396">
        <v>5889</v>
      </c>
      <c r="Y497" s="396"/>
      <c r="Z497" s="396"/>
    </row>
    <row r="498" spans="1:26">
      <c r="A498" s="424">
        <v>95205</v>
      </c>
      <c r="B498" s="423" t="s">
        <v>1205</v>
      </c>
      <c r="C498" s="234">
        <v>0</v>
      </c>
      <c r="D498" s="234">
        <v>3.8999999999999999E-6</v>
      </c>
      <c r="E498" s="231">
        <v>0</v>
      </c>
      <c r="F498" s="231" t="s">
        <v>1924</v>
      </c>
      <c r="G498" s="392">
        <v>0</v>
      </c>
      <c r="H498" s="392">
        <v>0</v>
      </c>
      <c r="I498" s="392">
        <v>0</v>
      </c>
      <c r="J498" s="231">
        <v>2383</v>
      </c>
      <c r="K498" s="231">
        <v>2383</v>
      </c>
      <c r="L498" s="231"/>
      <c r="M498" s="300">
        <v>0</v>
      </c>
      <c r="N498" s="300">
        <v>0</v>
      </c>
      <c r="O498" s="300">
        <v>0</v>
      </c>
      <c r="P498" s="231">
        <v>5356</v>
      </c>
      <c r="Q498" s="231">
        <v>5356</v>
      </c>
      <c r="R498" s="231"/>
      <c r="S498" s="392">
        <v>0</v>
      </c>
      <c r="T498" s="231">
        <v>-393</v>
      </c>
      <c r="U498" s="396">
        <v>-393</v>
      </c>
      <c r="V498" s="231"/>
      <c r="W498" s="396">
        <v>0</v>
      </c>
      <c r="X498" s="396">
        <v>0</v>
      </c>
      <c r="Y498" s="396"/>
      <c r="Z498" s="396"/>
    </row>
    <row r="499" spans="1:26">
      <c r="A499" s="424">
        <v>95211</v>
      </c>
      <c r="B499" s="423" t="s">
        <v>1206</v>
      </c>
      <c r="C499" s="234">
        <v>1.5999999999999999E-6</v>
      </c>
      <c r="D499" s="234">
        <v>1.7E-6</v>
      </c>
      <c r="E499" s="231">
        <v>9026</v>
      </c>
      <c r="F499" s="231" t="s">
        <v>1924</v>
      </c>
      <c r="G499" s="392">
        <v>389</v>
      </c>
      <c r="H499" s="392">
        <v>2983</v>
      </c>
      <c r="I499" s="392">
        <v>901</v>
      </c>
      <c r="J499" s="231">
        <v>1284</v>
      </c>
      <c r="K499" s="231">
        <v>5557</v>
      </c>
      <c r="L499" s="231"/>
      <c r="M499" s="300">
        <v>38</v>
      </c>
      <c r="N499" s="300">
        <v>0</v>
      </c>
      <c r="O499" s="300">
        <v>0</v>
      </c>
      <c r="P499" s="231">
        <v>1153</v>
      </c>
      <c r="Q499" s="231">
        <v>1191</v>
      </c>
      <c r="R499" s="231"/>
      <c r="S499" s="392">
        <v>2556</v>
      </c>
      <c r="T499" s="231">
        <v>-1015</v>
      </c>
      <c r="U499" s="396">
        <v>1541</v>
      </c>
      <c r="V499" s="231"/>
      <c r="W499" s="396">
        <v>16291</v>
      </c>
      <c r="X499" s="396">
        <v>3040</v>
      </c>
      <c r="Y499" s="396"/>
      <c r="Z499" s="396"/>
    </row>
    <row r="500" spans="1:26">
      <c r="A500" s="424">
        <v>95221</v>
      </c>
      <c r="B500" s="423" t="s">
        <v>1207</v>
      </c>
      <c r="C500" s="234">
        <v>4.6100000000000002E-5</v>
      </c>
      <c r="D500" s="234">
        <v>5.0599999999999997E-5</v>
      </c>
      <c r="E500" s="231">
        <v>260070</v>
      </c>
      <c r="F500" s="231" t="s">
        <v>1924</v>
      </c>
      <c r="G500" s="392">
        <v>11206</v>
      </c>
      <c r="H500" s="392">
        <v>85956</v>
      </c>
      <c r="I500" s="392">
        <v>25949</v>
      </c>
      <c r="J500" s="231">
        <v>7144</v>
      </c>
      <c r="K500" s="231">
        <v>130255</v>
      </c>
      <c r="L500" s="231"/>
      <c r="M500" s="300">
        <v>1099</v>
      </c>
      <c r="N500" s="300">
        <v>0</v>
      </c>
      <c r="O500" s="300">
        <v>0</v>
      </c>
      <c r="P500" s="231">
        <v>19459</v>
      </c>
      <c r="Q500" s="231">
        <v>20558</v>
      </c>
      <c r="R500" s="231"/>
      <c r="S500" s="392">
        <v>73640</v>
      </c>
      <c r="T500" s="231">
        <v>-6088</v>
      </c>
      <c r="U500" s="396">
        <v>67552</v>
      </c>
      <c r="V500" s="231"/>
      <c r="W500" s="396">
        <v>469393</v>
      </c>
      <c r="X500" s="396">
        <v>87576</v>
      </c>
      <c r="Y500" s="396"/>
      <c r="Z500" s="396"/>
    </row>
    <row r="501" spans="1:26">
      <c r="A501" s="424">
        <v>95301</v>
      </c>
      <c r="B501" s="423" t="s">
        <v>1208</v>
      </c>
      <c r="C501" s="234">
        <v>2.385E-3</v>
      </c>
      <c r="D501" s="234">
        <v>2.2288999999999998E-3</v>
      </c>
      <c r="E501" s="231">
        <v>13454806</v>
      </c>
      <c r="F501" s="231" t="s">
        <v>1924</v>
      </c>
      <c r="G501" s="392">
        <v>579755</v>
      </c>
      <c r="H501" s="392">
        <v>4446954</v>
      </c>
      <c r="I501" s="392">
        <v>1342488</v>
      </c>
      <c r="J501" s="231">
        <v>453967</v>
      </c>
      <c r="K501" s="231">
        <v>6823164</v>
      </c>
      <c r="L501" s="231"/>
      <c r="M501" s="300">
        <v>56842</v>
      </c>
      <c r="N501" s="300">
        <v>0</v>
      </c>
      <c r="O501" s="300">
        <v>0</v>
      </c>
      <c r="P501" s="231">
        <v>21340</v>
      </c>
      <c r="Q501" s="231">
        <v>78182</v>
      </c>
      <c r="R501" s="231"/>
      <c r="S501" s="392">
        <v>3809801</v>
      </c>
      <c r="T501" s="231">
        <v>169500</v>
      </c>
      <c r="U501" s="396">
        <v>3979301</v>
      </c>
      <c r="V501" s="231"/>
      <c r="W501" s="396">
        <v>24284192</v>
      </c>
      <c r="X501" s="396">
        <v>4530763</v>
      </c>
      <c r="Y501" s="396"/>
      <c r="Z501" s="396"/>
    </row>
    <row r="502" spans="1:26">
      <c r="A502" s="424">
        <v>95311</v>
      </c>
      <c r="B502" s="423" t="s">
        <v>1209</v>
      </c>
      <c r="C502" s="234">
        <v>2.3652E-3</v>
      </c>
      <c r="D502" s="234">
        <v>2.3481000000000001E-3</v>
      </c>
      <c r="E502" s="231">
        <v>13343106</v>
      </c>
      <c r="F502" s="231" t="s">
        <v>1924</v>
      </c>
      <c r="G502" s="392">
        <v>574942</v>
      </c>
      <c r="H502" s="392">
        <v>4410036</v>
      </c>
      <c r="I502" s="392">
        <v>1331343</v>
      </c>
      <c r="J502" s="231">
        <v>148308</v>
      </c>
      <c r="K502" s="231">
        <v>6464629</v>
      </c>
      <c r="L502" s="231"/>
      <c r="M502" s="300">
        <v>56370</v>
      </c>
      <c r="N502" s="300">
        <v>0</v>
      </c>
      <c r="O502" s="300">
        <v>0</v>
      </c>
      <c r="P502" s="231">
        <v>69609</v>
      </c>
      <c r="Q502" s="231">
        <v>125979</v>
      </c>
      <c r="R502" s="231"/>
      <c r="S502" s="392">
        <v>3778173</v>
      </c>
      <c r="T502" s="231">
        <v>2640</v>
      </c>
      <c r="U502" s="396">
        <v>3780813</v>
      </c>
      <c r="V502" s="231"/>
      <c r="W502" s="396">
        <v>24082587</v>
      </c>
      <c r="X502" s="396">
        <v>4493149</v>
      </c>
      <c r="Y502" s="396"/>
      <c r="Z502" s="396"/>
    </row>
    <row r="503" spans="1:26">
      <c r="A503" s="424">
        <v>95317</v>
      </c>
      <c r="B503" s="423" t="s">
        <v>1210</v>
      </c>
      <c r="C503" s="234">
        <v>4.5399999999999999E-5</v>
      </c>
      <c r="D503" s="234">
        <v>4.3699999999999998E-5</v>
      </c>
      <c r="E503" s="231">
        <v>256121</v>
      </c>
      <c r="F503" s="231" t="s">
        <v>1924</v>
      </c>
      <c r="G503" s="392">
        <v>11036</v>
      </c>
      <c r="H503" s="392">
        <v>84651</v>
      </c>
      <c r="I503" s="392">
        <v>25555</v>
      </c>
      <c r="J503" s="231">
        <v>31368</v>
      </c>
      <c r="K503" s="231">
        <v>152610</v>
      </c>
      <c r="L503" s="231"/>
      <c r="M503" s="300">
        <v>1082</v>
      </c>
      <c r="N503" s="300">
        <v>0</v>
      </c>
      <c r="O503" s="300">
        <v>0</v>
      </c>
      <c r="P503" s="231">
        <v>0</v>
      </c>
      <c r="Q503" s="231">
        <v>1082</v>
      </c>
      <c r="R503" s="231"/>
      <c r="S503" s="392">
        <v>72522</v>
      </c>
      <c r="T503" s="231">
        <v>15110</v>
      </c>
      <c r="U503" s="396">
        <v>87632</v>
      </c>
      <c r="V503" s="231"/>
      <c r="W503" s="396">
        <v>462265</v>
      </c>
      <c r="X503" s="396">
        <v>86246</v>
      </c>
      <c r="Y503" s="396"/>
      <c r="Z503" s="396"/>
    </row>
    <row r="504" spans="1:26">
      <c r="A504" s="424">
        <v>95321</v>
      </c>
      <c r="B504" s="423" t="s">
        <v>1211</v>
      </c>
      <c r="C504" s="234">
        <v>4.7800000000000003E-5</v>
      </c>
      <c r="D504" s="234">
        <v>3.65E-5</v>
      </c>
      <c r="E504" s="231">
        <v>269660</v>
      </c>
      <c r="F504" s="231" t="s">
        <v>1924</v>
      </c>
      <c r="G504" s="392">
        <v>11619</v>
      </c>
      <c r="H504" s="392">
        <v>89126</v>
      </c>
      <c r="I504" s="392">
        <v>26906</v>
      </c>
      <c r="J504" s="231">
        <v>25284</v>
      </c>
      <c r="K504" s="231">
        <v>152935</v>
      </c>
      <c r="L504" s="231"/>
      <c r="M504" s="300">
        <v>1139</v>
      </c>
      <c r="N504" s="300">
        <v>0</v>
      </c>
      <c r="O504" s="300">
        <v>0</v>
      </c>
      <c r="P504" s="231">
        <v>80</v>
      </c>
      <c r="Q504" s="231">
        <v>1219</v>
      </c>
      <c r="R504" s="231"/>
      <c r="S504" s="392">
        <v>76356</v>
      </c>
      <c r="T504" s="231">
        <v>9875</v>
      </c>
      <c r="U504" s="396">
        <v>86231</v>
      </c>
      <c r="V504" s="231"/>
      <c r="W504" s="396">
        <v>486702</v>
      </c>
      <c r="X504" s="396">
        <v>90805</v>
      </c>
      <c r="Y504" s="396"/>
      <c r="Z504" s="396"/>
    </row>
    <row r="505" spans="1:26">
      <c r="A505" s="424">
        <v>95401</v>
      </c>
      <c r="B505" s="423" t="s">
        <v>1212</v>
      </c>
      <c r="C505" s="234">
        <v>2.4250999999999999E-3</v>
      </c>
      <c r="D505" s="234">
        <v>2.5170000000000001E-3</v>
      </c>
      <c r="E505" s="231">
        <v>13681027</v>
      </c>
      <c r="F505" s="231" t="s">
        <v>1924</v>
      </c>
      <c r="G505" s="392">
        <v>589503</v>
      </c>
      <c r="H505" s="392">
        <v>4521723</v>
      </c>
      <c r="I505" s="392">
        <v>1365060</v>
      </c>
      <c r="J505" s="231">
        <v>0</v>
      </c>
      <c r="K505" s="231">
        <v>6476286</v>
      </c>
      <c r="L505" s="231"/>
      <c r="M505" s="300">
        <v>57797</v>
      </c>
      <c r="N505" s="300">
        <v>0</v>
      </c>
      <c r="O505" s="300">
        <v>0</v>
      </c>
      <c r="P505" s="231">
        <v>446384</v>
      </c>
      <c r="Q505" s="231">
        <v>504181</v>
      </c>
      <c r="R505" s="231"/>
      <c r="S505" s="392">
        <v>3873857</v>
      </c>
      <c r="T505" s="231">
        <v>-285386</v>
      </c>
      <c r="U505" s="396">
        <v>3588471</v>
      </c>
      <c r="V505" s="231"/>
      <c r="W505" s="396">
        <v>24692492</v>
      </c>
      <c r="X505" s="396">
        <v>4606941</v>
      </c>
      <c r="Y505" s="396"/>
      <c r="Z505" s="396"/>
    </row>
    <row r="506" spans="1:26">
      <c r="A506" s="424">
        <v>95404</v>
      </c>
      <c r="B506" s="423" t="s">
        <v>1213</v>
      </c>
      <c r="C506" s="234">
        <v>3.65E-5</v>
      </c>
      <c r="D506" s="234">
        <v>4.6900000000000002E-5</v>
      </c>
      <c r="E506" s="231">
        <v>205912</v>
      </c>
      <c r="F506" s="231" t="s">
        <v>1924</v>
      </c>
      <c r="G506" s="392">
        <v>8873</v>
      </c>
      <c r="H506" s="392">
        <v>68056</v>
      </c>
      <c r="I506" s="392">
        <v>20545</v>
      </c>
      <c r="J506" s="231">
        <v>1710</v>
      </c>
      <c r="K506" s="231">
        <v>99184</v>
      </c>
      <c r="L506" s="231"/>
      <c r="M506" s="300">
        <v>870</v>
      </c>
      <c r="N506" s="300">
        <v>0</v>
      </c>
      <c r="O506" s="300">
        <v>0</v>
      </c>
      <c r="P506" s="231">
        <v>20875</v>
      </c>
      <c r="Q506" s="231">
        <v>21745</v>
      </c>
      <c r="R506" s="231"/>
      <c r="S506" s="392">
        <v>58305</v>
      </c>
      <c r="T506" s="231">
        <v>-7144</v>
      </c>
      <c r="U506" s="396">
        <v>51161</v>
      </c>
      <c r="V506" s="231"/>
      <c r="W506" s="396">
        <v>371645</v>
      </c>
      <c r="X506" s="396">
        <v>69339</v>
      </c>
      <c r="Y506" s="396"/>
      <c r="Z506" s="396"/>
    </row>
    <row r="507" spans="1:26">
      <c r="A507" s="424">
        <v>95405</v>
      </c>
      <c r="B507" s="423" t="s">
        <v>1214</v>
      </c>
      <c r="C507" s="234">
        <v>4.7200000000000002E-5</v>
      </c>
      <c r="D507" s="234">
        <v>4.5300000000000003E-5</v>
      </c>
      <c r="E507" s="231">
        <v>266275</v>
      </c>
      <c r="F507" s="231" t="s">
        <v>1924</v>
      </c>
      <c r="G507" s="392">
        <v>11474</v>
      </c>
      <c r="H507" s="392">
        <v>88007</v>
      </c>
      <c r="I507" s="392">
        <v>26568</v>
      </c>
      <c r="J507" s="231">
        <v>7266</v>
      </c>
      <c r="K507" s="231">
        <v>133315</v>
      </c>
      <c r="L507" s="231"/>
      <c r="M507" s="300">
        <v>1125</v>
      </c>
      <c r="N507" s="300">
        <v>0</v>
      </c>
      <c r="O507" s="300">
        <v>0</v>
      </c>
      <c r="P507" s="231">
        <v>9947</v>
      </c>
      <c r="Q507" s="231">
        <v>11072</v>
      </c>
      <c r="R507" s="231"/>
      <c r="S507" s="392">
        <v>75397</v>
      </c>
      <c r="T507" s="231">
        <v>5211</v>
      </c>
      <c r="U507" s="396">
        <v>80608</v>
      </c>
      <c r="V507" s="231"/>
      <c r="W507" s="396">
        <v>480593</v>
      </c>
      <c r="X507" s="396">
        <v>89665</v>
      </c>
      <c r="Y507" s="396"/>
      <c r="Z507" s="396"/>
    </row>
    <row r="508" spans="1:26">
      <c r="A508" s="424">
        <v>95411</v>
      </c>
      <c r="B508" s="423" t="s">
        <v>1215</v>
      </c>
      <c r="C508" s="234">
        <v>1.9315999999999999E-3</v>
      </c>
      <c r="D508" s="234">
        <v>2.0901000000000001E-3</v>
      </c>
      <c r="E508" s="231">
        <v>10896982</v>
      </c>
      <c r="F508" s="231" t="s">
        <v>1924</v>
      </c>
      <c r="G508" s="392">
        <v>469541</v>
      </c>
      <c r="H508" s="392">
        <v>3601567</v>
      </c>
      <c r="I508" s="392">
        <v>1087274</v>
      </c>
      <c r="J508" s="231">
        <v>43730</v>
      </c>
      <c r="K508" s="231">
        <v>5202112</v>
      </c>
      <c r="L508" s="231"/>
      <c r="M508" s="300">
        <v>46036</v>
      </c>
      <c r="N508" s="300">
        <v>0</v>
      </c>
      <c r="O508" s="300">
        <v>0</v>
      </c>
      <c r="P508" s="231">
        <v>189682</v>
      </c>
      <c r="Q508" s="231">
        <v>235718</v>
      </c>
      <c r="R508" s="231"/>
      <c r="S508" s="392">
        <v>3085540</v>
      </c>
      <c r="T508" s="231">
        <v>-52837</v>
      </c>
      <c r="U508" s="396">
        <v>3032703</v>
      </c>
      <c r="V508" s="231"/>
      <c r="W508" s="396">
        <v>19667650</v>
      </c>
      <c r="X508" s="396">
        <v>3669443</v>
      </c>
      <c r="Y508" s="396"/>
      <c r="Z508" s="396"/>
    </row>
    <row r="509" spans="1:26">
      <c r="A509" s="424">
        <v>95413</v>
      </c>
      <c r="B509" s="423" t="s">
        <v>1217</v>
      </c>
      <c r="C509" s="234">
        <v>2.588E-4</v>
      </c>
      <c r="D509" s="234">
        <v>2.3369999999999999E-4</v>
      </c>
      <c r="E509" s="231">
        <v>1460002</v>
      </c>
      <c r="F509" s="231" t="s">
        <v>1924</v>
      </c>
      <c r="G509" s="392">
        <v>62910</v>
      </c>
      <c r="H509" s="392">
        <v>482546</v>
      </c>
      <c r="I509" s="392">
        <v>145675</v>
      </c>
      <c r="J509" s="231">
        <v>43497</v>
      </c>
      <c r="K509" s="231">
        <v>734628</v>
      </c>
      <c r="L509" s="231"/>
      <c r="M509" s="300">
        <v>6168</v>
      </c>
      <c r="N509" s="300">
        <v>0</v>
      </c>
      <c r="O509" s="300">
        <v>0</v>
      </c>
      <c r="P509" s="231">
        <v>23516</v>
      </c>
      <c r="Q509" s="231">
        <v>29684</v>
      </c>
      <c r="R509" s="231"/>
      <c r="S509" s="392">
        <v>413407</v>
      </c>
      <c r="T509" s="231">
        <v>5998</v>
      </c>
      <c r="U509" s="396">
        <v>419405</v>
      </c>
      <c r="V509" s="231"/>
      <c r="W509" s="396">
        <v>2635115</v>
      </c>
      <c r="X509" s="396">
        <v>491640</v>
      </c>
      <c r="Y509" s="396"/>
      <c r="Z509" s="396"/>
    </row>
    <row r="510" spans="1:26">
      <c r="A510" s="424">
        <v>95415</v>
      </c>
      <c r="B510" s="423" t="s">
        <v>1218</v>
      </c>
      <c r="C510" s="234">
        <v>7.2100000000000004E-5</v>
      </c>
      <c r="D510" s="234">
        <v>5.9500000000000003E-5</v>
      </c>
      <c r="E510" s="231">
        <v>406747</v>
      </c>
      <c r="F510" s="231" t="s">
        <v>1924</v>
      </c>
      <c r="G510" s="392">
        <v>17526</v>
      </c>
      <c r="H510" s="392">
        <v>134434</v>
      </c>
      <c r="I510" s="392">
        <v>40584</v>
      </c>
      <c r="J510" s="231">
        <v>17609</v>
      </c>
      <c r="K510" s="231">
        <v>210153</v>
      </c>
      <c r="L510" s="231"/>
      <c r="M510" s="300">
        <v>1718</v>
      </c>
      <c r="N510" s="300">
        <v>0</v>
      </c>
      <c r="O510" s="300">
        <v>0</v>
      </c>
      <c r="P510" s="231">
        <v>7394</v>
      </c>
      <c r="Q510" s="231">
        <v>9112</v>
      </c>
      <c r="R510" s="231"/>
      <c r="S510" s="392">
        <v>115173</v>
      </c>
      <c r="T510" s="231">
        <v>3190</v>
      </c>
      <c r="U510" s="396">
        <v>118363</v>
      </c>
      <c r="V510" s="231"/>
      <c r="W510" s="396">
        <v>734126</v>
      </c>
      <c r="X510" s="396">
        <v>136968</v>
      </c>
      <c r="Y510" s="396"/>
      <c r="Z510" s="396"/>
    </row>
    <row r="511" spans="1:26">
      <c r="A511" s="424">
        <v>95421</v>
      </c>
      <c r="B511" s="423" t="s">
        <v>1219</v>
      </c>
      <c r="C511" s="234">
        <v>4.0200000000000001E-5</v>
      </c>
      <c r="D511" s="234">
        <v>3.0899999999999999E-5</v>
      </c>
      <c r="E511" s="231">
        <v>226785</v>
      </c>
      <c r="F511" s="231" t="s">
        <v>1924</v>
      </c>
      <c r="G511" s="392">
        <v>9772</v>
      </c>
      <c r="H511" s="392">
        <v>74955</v>
      </c>
      <c r="I511" s="392">
        <v>22628</v>
      </c>
      <c r="J511" s="231">
        <v>16041</v>
      </c>
      <c r="K511" s="231">
        <v>123396</v>
      </c>
      <c r="L511" s="231"/>
      <c r="M511" s="300">
        <v>958</v>
      </c>
      <c r="N511" s="300">
        <v>0</v>
      </c>
      <c r="O511" s="300">
        <v>0</v>
      </c>
      <c r="P511" s="231">
        <v>4562</v>
      </c>
      <c r="Q511" s="231">
        <v>5520</v>
      </c>
      <c r="R511" s="231"/>
      <c r="S511" s="392">
        <v>64216</v>
      </c>
      <c r="T511" s="231">
        <v>1829</v>
      </c>
      <c r="U511" s="396">
        <v>66045</v>
      </c>
      <c r="V511" s="231"/>
      <c r="W511" s="396">
        <v>409318</v>
      </c>
      <c r="X511" s="396">
        <v>76368</v>
      </c>
      <c r="Y511" s="396"/>
      <c r="Z511" s="396"/>
    </row>
    <row r="512" spans="1:26">
      <c r="A512" s="424">
        <v>95431</v>
      </c>
      <c r="B512" s="423" t="s">
        <v>1220</v>
      </c>
      <c r="C512" s="234">
        <v>1.606E-4</v>
      </c>
      <c r="D512" s="234">
        <v>1.3229999999999999E-4</v>
      </c>
      <c r="E512" s="231">
        <v>906013</v>
      </c>
      <c r="F512" s="231" t="s">
        <v>1924</v>
      </c>
      <c r="G512" s="392">
        <v>39039</v>
      </c>
      <c r="H512" s="392">
        <v>299447</v>
      </c>
      <c r="I512" s="392">
        <v>90400</v>
      </c>
      <c r="J512" s="231">
        <v>50619</v>
      </c>
      <c r="K512" s="231">
        <v>479505</v>
      </c>
      <c r="L512" s="231"/>
      <c r="M512" s="300">
        <v>3828</v>
      </c>
      <c r="N512" s="300">
        <v>0</v>
      </c>
      <c r="O512" s="300">
        <v>0</v>
      </c>
      <c r="P512" s="231">
        <v>7716</v>
      </c>
      <c r="Q512" s="231">
        <v>11544</v>
      </c>
      <c r="R512" s="231"/>
      <c r="S512" s="392">
        <v>256543</v>
      </c>
      <c r="T512" s="231">
        <v>9959</v>
      </c>
      <c r="U512" s="396">
        <v>266502</v>
      </c>
      <c r="V512" s="231"/>
      <c r="W512" s="396">
        <v>1635237</v>
      </c>
      <c r="X512" s="396">
        <v>305090</v>
      </c>
      <c r="Y512" s="396"/>
      <c r="Z512" s="396"/>
    </row>
    <row r="513" spans="1:26">
      <c r="A513" s="424">
        <v>95501</v>
      </c>
      <c r="B513" s="423" t="s">
        <v>1221</v>
      </c>
      <c r="C513" s="234">
        <v>5.5094999999999996E-3</v>
      </c>
      <c r="D513" s="234">
        <v>5.1955999999999999E-3</v>
      </c>
      <c r="E513" s="231">
        <v>31081448</v>
      </c>
      <c r="F513" s="231" t="s">
        <v>1924</v>
      </c>
      <c r="G513" s="392">
        <v>1339271</v>
      </c>
      <c r="H513" s="392">
        <v>10272744</v>
      </c>
      <c r="I513" s="392">
        <v>3101231</v>
      </c>
      <c r="J513" s="231">
        <v>755434</v>
      </c>
      <c r="K513" s="231">
        <v>15468680</v>
      </c>
      <c r="L513" s="231"/>
      <c r="M513" s="300">
        <v>131308</v>
      </c>
      <c r="N513" s="300">
        <v>0</v>
      </c>
      <c r="O513" s="300">
        <v>0</v>
      </c>
      <c r="P513" s="231">
        <v>164672</v>
      </c>
      <c r="Q513" s="231">
        <v>295980</v>
      </c>
      <c r="R513" s="231"/>
      <c r="S513" s="392">
        <v>8800881</v>
      </c>
      <c r="T513" s="231">
        <v>247994</v>
      </c>
      <c r="U513" s="396">
        <v>9048875</v>
      </c>
      <c r="V513" s="231"/>
      <c r="W513" s="396">
        <v>56098010</v>
      </c>
      <c r="X513" s="396">
        <v>10466348</v>
      </c>
      <c r="Y513" s="396"/>
      <c r="Z513" s="396"/>
    </row>
    <row r="514" spans="1:26">
      <c r="A514" s="424">
        <v>95504</v>
      </c>
      <c r="B514" s="423" t="s">
        <v>1222</v>
      </c>
      <c r="C514" s="234">
        <v>3.1900000000000003E-5</v>
      </c>
      <c r="D514" s="234">
        <v>1.8099999999999999E-5</v>
      </c>
      <c r="E514" s="231">
        <v>179962</v>
      </c>
      <c r="F514" s="231" t="s">
        <v>1924</v>
      </c>
      <c r="G514" s="392">
        <v>7754</v>
      </c>
      <c r="H514" s="392">
        <v>59479</v>
      </c>
      <c r="I514" s="392">
        <v>17956</v>
      </c>
      <c r="J514" s="231">
        <v>38183</v>
      </c>
      <c r="K514" s="231">
        <v>123372</v>
      </c>
      <c r="L514" s="231"/>
      <c r="M514" s="300">
        <v>760</v>
      </c>
      <c r="N514" s="300">
        <v>0</v>
      </c>
      <c r="O514" s="300">
        <v>0</v>
      </c>
      <c r="P514" s="231">
        <v>0</v>
      </c>
      <c r="Q514" s="231">
        <v>760</v>
      </c>
      <c r="R514" s="231"/>
      <c r="S514" s="392">
        <v>50957</v>
      </c>
      <c r="T514" s="231">
        <v>18818</v>
      </c>
      <c r="U514" s="396">
        <v>69775</v>
      </c>
      <c r="V514" s="231"/>
      <c r="W514" s="396">
        <v>324807</v>
      </c>
      <c r="X514" s="396">
        <v>60600</v>
      </c>
      <c r="Y514" s="396"/>
      <c r="Z514" s="396"/>
    </row>
    <row r="515" spans="1:26">
      <c r="A515" s="424">
        <v>95511</v>
      </c>
      <c r="B515" s="423" t="s">
        <v>1223</v>
      </c>
      <c r="C515" s="234">
        <v>1.1253000000000001E-3</v>
      </c>
      <c r="D515" s="234">
        <v>1.0248E-3</v>
      </c>
      <c r="E515" s="231">
        <v>6348299</v>
      </c>
      <c r="F515" s="231" t="s">
        <v>1924</v>
      </c>
      <c r="G515" s="392">
        <v>273542</v>
      </c>
      <c r="H515" s="392">
        <v>2098179</v>
      </c>
      <c r="I515" s="392">
        <v>633418</v>
      </c>
      <c r="J515" s="231">
        <v>242382</v>
      </c>
      <c r="K515" s="231">
        <v>3247521</v>
      </c>
      <c r="L515" s="231"/>
      <c r="M515" s="300">
        <v>26819</v>
      </c>
      <c r="N515" s="300">
        <v>0</v>
      </c>
      <c r="O515" s="300">
        <v>0</v>
      </c>
      <c r="P515" s="231">
        <v>0</v>
      </c>
      <c r="Q515" s="231">
        <v>26819</v>
      </c>
      <c r="R515" s="231"/>
      <c r="S515" s="392">
        <v>1797555</v>
      </c>
      <c r="T515" s="231">
        <v>124266</v>
      </c>
      <c r="U515" s="396">
        <v>1921821</v>
      </c>
      <c r="V515" s="231"/>
      <c r="W515" s="396">
        <v>11457862</v>
      </c>
      <c r="X515" s="396">
        <v>2137722</v>
      </c>
      <c r="Y515" s="396"/>
      <c r="Z515" s="396"/>
    </row>
    <row r="516" spans="1:26">
      <c r="A516" s="424">
        <v>95513</v>
      </c>
      <c r="B516" s="423" t="s">
        <v>1224</v>
      </c>
      <c r="C516" s="234">
        <v>5.3000000000000001E-5</v>
      </c>
      <c r="D516" s="234">
        <v>5.0699999999999999E-5</v>
      </c>
      <c r="E516" s="231">
        <v>298996</v>
      </c>
      <c r="F516" s="231" t="s">
        <v>1924</v>
      </c>
      <c r="G516" s="392">
        <v>12883</v>
      </c>
      <c r="H516" s="392">
        <v>98821</v>
      </c>
      <c r="I516" s="392">
        <v>29833</v>
      </c>
      <c r="J516" s="231">
        <v>34522</v>
      </c>
      <c r="K516" s="231">
        <v>176059</v>
      </c>
      <c r="L516" s="231"/>
      <c r="M516" s="300">
        <v>1263</v>
      </c>
      <c r="N516" s="300">
        <v>0</v>
      </c>
      <c r="O516" s="300">
        <v>0</v>
      </c>
      <c r="P516" s="231">
        <v>0</v>
      </c>
      <c r="Q516" s="231">
        <v>1263</v>
      </c>
      <c r="R516" s="231"/>
      <c r="S516" s="392">
        <v>84662</v>
      </c>
      <c r="T516" s="231">
        <v>21386</v>
      </c>
      <c r="U516" s="396">
        <v>106048</v>
      </c>
      <c r="V516" s="231"/>
      <c r="W516" s="396">
        <v>539649</v>
      </c>
      <c r="X516" s="396">
        <v>100684</v>
      </c>
      <c r="Y516" s="396"/>
      <c r="Z516" s="396"/>
    </row>
    <row r="517" spans="1:26">
      <c r="A517" s="424">
        <v>95517</v>
      </c>
      <c r="B517" s="423" t="s">
        <v>1225</v>
      </c>
      <c r="C517" s="234">
        <v>1.6699999999999999E-5</v>
      </c>
      <c r="D517" s="234">
        <v>1.6200000000000001E-5</v>
      </c>
      <c r="E517" s="231">
        <v>94212</v>
      </c>
      <c r="F517" s="231" t="s">
        <v>1924</v>
      </c>
      <c r="G517" s="392">
        <v>4060</v>
      </c>
      <c r="H517" s="392">
        <v>31138</v>
      </c>
      <c r="I517" s="392">
        <v>9400</v>
      </c>
      <c r="J517" s="231">
        <v>4933</v>
      </c>
      <c r="K517" s="231">
        <v>49531</v>
      </c>
      <c r="L517" s="231"/>
      <c r="M517" s="300">
        <v>398</v>
      </c>
      <c r="N517" s="300">
        <v>0</v>
      </c>
      <c r="O517" s="300">
        <v>0</v>
      </c>
      <c r="P517" s="231">
        <v>2000</v>
      </c>
      <c r="Q517" s="231">
        <v>2398</v>
      </c>
      <c r="R517" s="231"/>
      <c r="S517" s="392">
        <v>26677</v>
      </c>
      <c r="T517" s="231">
        <v>220</v>
      </c>
      <c r="U517" s="396">
        <v>26897</v>
      </c>
      <c r="V517" s="231"/>
      <c r="W517" s="396">
        <v>170040</v>
      </c>
      <c r="X517" s="396">
        <v>31725</v>
      </c>
      <c r="Y517" s="396"/>
      <c r="Z517" s="396"/>
    </row>
    <row r="518" spans="1:26">
      <c r="A518" s="424">
        <v>95601</v>
      </c>
      <c r="B518" s="423" t="s">
        <v>1226</v>
      </c>
      <c r="C518" s="234">
        <v>2.2116000000000002E-3</v>
      </c>
      <c r="D518" s="234">
        <v>2.2501999999999999E-3</v>
      </c>
      <c r="E518" s="231">
        <v>12476582</v>
      </c>
      <c r="F518" s="231" t="s">
        <v>1924</v>
      </c>
      <c r="G518" s="392">
        <v>537605</v>
      </c>
      <c r="H518" s="392">
        <v>4123641</v>
      </c>
      <c r="I518" s="392">
        <v>1244883</v>
      </c>
      <c r="J518" s="231">
        <v>99776</v>
      </c>
      <c r="K518" s="231">
        <v>6005905</v>
      </c>
      <c r="L518" s="231"/>
      <c r="M518" s="300">
        <v>52709</v>
      </c>
      <c r="N518" s="300">
        <v>0</v>
      </c>
      <c r="O518" s="300">
        <v>0</v>
      </c>
      <c r="P518" s="231">
        <v>189717</v>
      </c>
      <c r="Q518" s="231">
        <v>242426</v>
      </c>
      <c r="R518" s="231"/>
      <c r="S518" s="392">
        <v>3532812</v>
      </c>
      <c r="T518" s="231">
        <v>-93086</v>
      </c>
      <c r="U518" s="396">
        <v>3439726</v>
      </c>
      <c r="V518" s="231"/>
      <c r="W518" s="396">
        <v>22518624</v>
      </c>
      <c r="X518" s="396">
        <v>4201357</v>
      </c>
      <c r="Y518" s="396"/>
      <c r="Z518" s="396"/>
    </row>
    <row r="519" spans="1:26">
      <c r="A519" s="424">
        <v>95611</v>
      </c>
      <c r="B519" s="423" t="s">
        <v>1227</v>
      </c>
      <c r="C519" s="234">
        <v>3.2840000000000001E-4</v>
      </c>
      <c r="D519" s="234">
        <v>3.4969999999999999E-4</v>
      </c>
      <c r="E519" s="231">
        <v>1852645</v>
      </c>
      <c r="F519" s="231" t="s">
        <v>1924</v>
      </c>
      <c r="G519" s="392">
        <v>79829</v>
      </c>
      <c r="H519" s="392">
        <v>612319</v>
      </c>
      <c r="I519" s="392">
        <v>184852</v>
      </c>
      <c r="J519" s="231">
        <v>19308</v>
      </c>
      <c r="K519" s="231">
        <v>896308</v>
      </c>
      <c r="L519" s="231"/>
      <c r="M519" s="300">
        <v>7827</v>
      </c>
      <c r="N519" s="300">
        <v>0</v>
      </c>
      <c r="O519" s="300">
        <v>0</v>
      </c>
      <c r="P519" s="231">
        <v>38322</v>
      </c>
      <c r="Q519" s="231">
        <v>46149</v>
      </c>
      <c r="R519" s="231"/>
      <c r="S519" s="392">
        <v>524586</v>
      </c>
      <c r="T519" s="231">
        <v>-12881</v>
      </c>
      <c r="U519" s="396">
        <v>511705</v>
      </c>
      <c r="V519" s="231"/>
      <c r="W519" s="396">
        <v>3343786</v>
      </c>
      <c r="X519" s="396">
        <v>623859</v>
      </c>
      <c r="Y519" s="396"/>
      <c r="Z519" s="396"/>
    </row>
    <row r="520" spans="1:26">
      <c r="A520" s="424">
        <v>95617</v>
      </c>
      <c r="B520" s="423" t="s">
        <v>1228</v>
      </c>
      <c r="C520" s="234">
        <v>1.8300000000000001E-5</v>
      </c>
      <c r="D520" s="234">
        <v>1.8199999999999999E-5</v>
      </c>
      <c r="E520" s="231">
        <v>103238</v>
      </c>
      <c r="F520" s="231" t="s">
        <v>1924</v>
      </c>
      <c r="G520" s="392">
        <v>4448</v>
      </c>
      <c r="H520" s="392">
        <v>34121</v>
      </c>
      <c r="I520" s="392">
        <v>10301</v>
      </c>
      <c r="J520" s="231">
        <v>8334</v>
      </c>
      <c r="K520" s="231">
        <v>57204</v>
      </c>
      <c r="L520" s="231"/>
      <c r="M520" s="300">
        <v>436</v>
      </c>
      <c r="N520" s="300">
        <v>0</v>
      </c>
      <c r="O520" s="300">
        <v>0</v>
      </c>
      <c r="P520" s="231">
        <v>0</v>
      </c>
      <c r="Q520" s="231">
        <v>436</v>
      </c>
      <c r="R520" s="231"/>
      <c r="S520" s="392">
        <v>29232</v>
      </c>
      <c r="T520" s="231">
        <v>4034</v>
      </c>
      <c r="U520" s="396">
        <v>33266</v>
      </c>
      <c r="V520" s="231"/>
      <c r="W520" s="396">
        <v>186332</v>
      </c>
      <c r="X520" s="396">
        <v>34764</v>
      </c>
      <c r="Y520" s="396"/>
      <c r="Z520" s="396"/>
    </row>
    <row r="521" spans="1:26">
      <c r="A521" s="424">
        <v>95621</v>
      </c>
      <c r="B521" s="423" t="s">
        <v>1229</v>
      </c>
      <c r="C521" s="234">
        <v>4.573E-4</v>
      </c>
      <c r="D521" s="234">
        <v>4.793E-4</v>
      </c>
      <c r="E521" s="231">
        <v>2579825</v>
      </c>
      <c r="F521" s="231" t="s">
        <v>1924</v>
      </c>
      <c r="G521" s="392">
        <v>111162</v>
      </c>
      <c r="H521" s="392">
        <v>852659</v>
      </c>
      <c r="I521" s="392">
        <v>257409</v>
      </c>
      <c r="J521" s="231">
        <v>34780</v>
      </c>
      <c r="K521" s="231">
        <v>1256010</v>
      </c>
      <c r="L521" s="231"/>
      <c r="M521" s="300">
        <v>10899</v>
      </c>
      <c r="N521" s="300">
        <v>0</v>
      </c>
      <c r="O521" s="300">
        <v>0</v>
      </c>
      <c r="P521" s="231">
        <v>14875</v>
      </c>
      <c r="Q521" s="231">
        <v>25774</v>
      </c>
      <c r="R521" s="231"/>
      <c r="S521" s="392">
        <v>730491</v>
      </c>
      <c r="T521" s="231">
        <v>24864</v>
      </c>
      <c r="U521" s="396">
        <v>755355</v>
      </c>
      <c r="V521" s="231"/>
      <c r="W521" s="396">
        <v>4656252</v>
      </c>
      <c r="X521" s="396">
        <v>868729</v>
      </c>
      <c r="Y521" s="396"/>
      <c r="Z521" s="396"/>
    </row>
    <row r="522" spans="1:26">
      <c r="A522" s="424">
        <v>95701</v>
      </c>
      <c r="B522" s="423" t="s">
        <v>1230</v>
      </c>
      <c r="C522" s="234">
        <v>1.1988000000000001E-3</v>
      </c>
      <c r="D522" s="234">
        <v>1.1892999999999999E-3</v>
      </c>
      <c r="E522" s="231">
        <v>6762944</v>
      </c>
      <c r="F522" s="231" t="s">
        <v>1924</v>
      </c>
      <c r="G522" s="392">
        <v>291409</v>
      </c>
      <c r="H522" s="392">
        <v>2235224</v>
      </c>
      <c r="I522" s="392">
        <v>674790</v>
      </c>
      <c r="J522" s="231">
        <v>575</v>
      </c>
      <c r="K522" s="231">
        <v>3201998</v>
      </c>
      <c r="L522" s="231"/>
      <c r="M522" s="300">
        <v>28571</v>
      </c>
      <c r="N522" s="300">
        <v>0</v>
      </c>
      <c r="O522" s="300">
        <v>0</v>
      </c>
      <c r="P522" s="231">
        <v>77246</v>
      </c>
      <c r="Q522" s="231">
        <v>105817</v>
      </c>
      <c r="R522" s="231"/>
      <c r="S522" s="392">
        <v>1914964</v>
      </c>
      <c r="T522" s="231">
        <v>-75413</v>
      </c>
      <c r="U522" s="396">
        <v>1839551</v>
      </c>
      <c r="V522" s="231"/>
      <c r="W522" s="396">
        <v>12206243</v>
      </c>
      <c r="X522" s="396">
        <v>2277350</v>
      </c>
      <c r="Y522" s="396"/>
      <c r="Z522" s="396"/>
    </row>
    <row r="523" spans="1:26">
      <c r="A523" s="424">
        <v>95711</v>
      </c>
      <c r="B523" s="423" t="s">
        <v>1231</v>
      </c>
      <c r="C523" s="234">
        <v>1.652E-4</v>
      </c>
      <c r="D523" s="234">
        <v>1.6249999999999999E-4</v>
      </c>
      <c r="E523" s="231">
        <v>931964</v>
      </c>
      <c r="F523" s="231" t="s">
        <v>1924</v>
      </c>
      <c r="G523" s="392">
        <v>40157</v>
      </c>
      <c r="H523" s="392">
        <v>308024</v>
      </c>
      <c r="I523" s="392">
        <v>92989</v>
      </c>
      <c r="J523" s="231">
        <v>8072</v>
      </c>
      <c r="K523" s="231">
        <v>449242</v>
      </c>
      <c r="L523" s="231"/>
      <c r="M523" s="300">
        <v>3937</v>
      </c>
      <c r="N523" s="300">
        <v>0</v>
      </c>
      <c r="O523" s="300">
        <v>0</v>
      </c>
      <c r="P523" s="231">
        <v>16591</v>
      </c>
      <c r="Q523" s="231">
        <v>20528</v>
      </c>
      <c r="R523" s="231"/>
      <c r="S523" s="392">
        <v>263891</v>
      </c>
      <c r="T523" s="231">
        <v>-4009</v>
      </c>
      <c r="U523" s="396">
        <v>259882</v>
      </c>
      <c r="V523" s="231"/>
      <c r="W523" s="396">
        <v>1682075</v>
      </c>
      <c r="X523" s="396">
        <v>313829</v>
      </c>
      <c r="Y523" s="396"/>
      <c r="Z523" s="396"/>
    </row>
    <row r="524" spans="1:26">
      <c r="A524" s="424">
        <v>95721</v>
      </c>
      <c r="B524" s="423" t="s">
        <v>1232</v>
      </c>
      <c r="C524" s="234">
        <v>5.52E-5</v>
      </c>
      <c r="D524" s="234">
        <v>6.1799999999999998E-5</v>
      </c>
      <c r="E524" s="231">
        <v>311407</v>
      </c>
      <c r="F524" s="231" t="s">
        <v>1924</v>
      </c>
      <c r="G524" s="392">
        <v>13418</v>
      </c>
      <c r="H524" s="392">
        <v>102923</v>
      </c>
      <c r="I524" s="392">
        <v>31071</v>
      </c>
      <c r="J524" s="231">
        <v>13732</v>
      </c>
      <c r="K524" s="231">
        <v>161144</v>
      </c>
      <c r="L524" s="231"/>
      <c r="M524" s="300">
        <v>1316</v>
      </c>
      <c r="N524" s="300">
        <v>0</v>
      </c>
      <c r="O524" s="300">
        <v>0</v>
      </c>
      <c r="P524" s="231">
        <v>11880</v>
      </c>
      <c r="Q524" s="231">
        <v>13196</v>
      </c>
      <c r="R524" s="231"/>
      <c r="S524" s="392">
        <v>88177</v>
      </c>
      <c r="T524" s="231">
        <v>-1240</v>
      </c>
      <c r="U524" s="396">
        <v>86937</v>
      </c>
      <c r="V524" s="231"/>
      <c r="W524" s="396">
        <v>562049</v>
      </c>
      <c r="X524" s="396">
        <v>104863</v>
      </c>
      <c r="Y524" s="396"/>
      <c r="Z524" s="396"/>
    </row>
    <row r="525" spans="1:26">
      <c r="A525" s="424">
        <v>95733</v>
      </c>
      <c r="B525" s="423" t="s">
        <v>1233</v>
      </c>
      <c r="C525" s="234">
        <v>1.2799999999999999E-5</v>
      </c>
      <c r="D525" s="234">
        <v>1.36E-5</v>
      </c>
      <c r="E525" s="231">
        <v>72210</v>
      </c>
      <c r="F525" s="231" t="s">
        <v>1924</v>
      </c>
      <c r="G525" s="392">
        <v>3111</v>
      </c>
      <c r="H525" s="392">
        <v>23866</v>
      </c>
      <c r="I525" s="392">
        <v>7205</v>
      </c>
      <c r="J525" s="231">
        <v>993</v>
      </c>
      <c r="K525" s="231">
        <v>35175</v>
      </c>
      <c r="L525" s="231"/>
      <c r="M525" s="300">
        <v>305</v>
      </c>
      <c r="N525" s="300">
        <v>0</v>
      </c>
      <c r="O525" s="300">
        <v>0</v>
      </c>
      <c r="P525" s="231">
        <v>343</v>
      </c>
      <c r="Q525" s="231">
        <v>648</v>
      </c>
      <c r="R525" s="231"/>
      <c r="S525" s="392">
        <v>20447</v>
      </c>
      <c r="T525" s="231">
        <v>153</v>
      </c>
      <c r="U525" s="396">
        <v>20600</v>
      </c>
      <c r="V525" s="231"/>
      <c r="W525" s="396">
        <v>130330</v>
      </c>
      <c r="X525" s="396">
        <v>24316</v>
      </c>
      <c r="Y525" s="396"/>
      <c r="Z525" s="396"/>
    </row>
    <row r="526" spans="1:26">
      <c r="A526" s="424">
        <v>95801</v>
      </c>
      <c r="B526" s="423" t="s">
        <v>1234</v>
      </c>
      <c r="C526" s="234">
        <v>9.0350000000000001E-4</v>
      </c>
      <c r="D526" s="234">
        <v>8.8820000000000001E-4</v>
      </c>
      <c r="E526" s="231">
        <v>5097030</v>
      </c>
      <c r="F526" s="231" t="s">
        <v>1924</v>
      </c>
      <c r="G526" s="392">
        <v>219626</v>
      </c>
      <c r="H526" s="392">
        <v>1684622</v>
      </c>
      <c r="I526" s="392">
        <v>508569</v>
      </c>
      <c r="J526" s="231">
        <v>64375</v>
      </c>
      <c r="K526" s="231">
        <v>2477192</v>
      </c>
      <c r="L526" s="231"/>
      <c r="M526" s="300">
        <v>21533</v>
      </c>
      <c r="N526" s="300">
        <v>0</v>
      </c>
      <c r="O526" s="300">
        <v>0</v>
      </c>
      <c r="P526" s="231">
        <v>15335</v>
      </c>
      <c r="Q526" s="231">
        <v>36868</v>
      </c>
      <c r="R526" s="231"/>
      <c r="S526" s="392">
        <v>1443252</v>
      </c>
      <c r="T526" s="231">
        <v>18883</v>
      </c>
      <c r="U526" s="396">
        <v>1462135</v>
      </c>
      <c r="V526" s="231"/>
      <c r="W526" s="396">
        <v>9199483</v>
      </c>
      <c r="X526" s="396">
        <v>1716371</v>
      </c>
      <c r="Y526" s="396"/>
      <c r="Z526" s="396"/>
    </row>
    <row r="527" spans="1:26">
      <c r="A527" s="424">
        <v>95802</v>
      </c>
      <c r="B527" s="423" t="s">
        <v>1235</v>
      </c>
      <c r="C527" s="234">
        <v>6.8000000000000001E-6</v>
      </c>
      <c r="D527" s="234">
        <v>6.9E-6</v>
      </c>
      <c r="E527" s="231">
        <v>38362</v>
      </c>
      <c r="F527" s="231" t="s">
        <v>1924</v>
      </c>
      <c r="G527" s="392">
        <v>1653</v>
      </c>
      <c r="H527" s="392">
        <v>12679</v>
      </c>
      <c r="I527" s="392">
        <v>3828</v>
      </c>
      <c r="J527" s="231">
        <v>8542</v>
      </c>
      <c r="K527" s="231">
        <v>26702</v>
      </c>
      <c r="L527" s="231"/>
      <c r="M527" s="300">
        <v>162</v>
      </c>
      <c r="N527" s="300">
        <v>0</v>
      </c>
      <c r="O527" s="300">
        <v>0</v>
      </c>
      <c r="P527" s="231">
        <v>0</v>
      </c>
      <c r="Q527" s="231">
        <v>162</v>
      </c>
      <c r="R527" s="231"/>
      <c r="S527" s="392">
        <v>10862</v>
      </c>
      <c r="T527" s="231">
        <v>5170</v>
      </c>
      <c r="U527" s="396">
        <v>16032</v>
      </c>
      <c r="V527" s="231"/>
      <c r="W527" s="396">
        <v>69238</v>
      </c>
      <c r="X527" s="396">
        <v>12918</v>
      </c>
      <c r="Y527" s="396"/>
      <c r="Z527" s="396"/>
    </row>
    <row r="528" spans="1:26">
      <c r="A528" s="424">
        <v>95804</v>
      </c>
      <c r="B528" s="423" t="s">
        <v>1236</v>
      </c>
      <c r="C528" s="234">
        <v>2.65E-5</v>
      </c>
      <c r="D528" s="234">
        <v>2.5299999999999998E-5</v>
      </c>
      <c r="E528" s="231">
        <v>149498</v>
      </c>
      <c r="F528" s="231" t="s">
        <v>1924</v>
      </c>
      <c r="G528" s="392">
        <v>6442</v>
      </c>
      <c r="H528" s="392">
        <v>49411</v>
      </c>
      <c r="I528" s="392">
        <v>14917</v>
      </c>
      <c r="J528" s="231">
        <v>220</v>
      </c>
      <c r="K528" s="231">
        <v>70990</v>
      </c>
      <c r="L528" s="231"/>
      <c r="M528" s="300">
        <v>632</v>
      </c>
      <c r="N528" s="300">
        <v>0</v>
      </c>
      <c r="O528" s="300">
        <v>0</v>
      </c>
      <c r="P528" s="231">
        <v>3070</v>
      </c>
      <c r="Q528" s="231">
        <v>3702</v>
      </c>
      <c r="R528" s="231"/>
      <c r="S528" s="392">
        <v>42331</v>
      </c>
      <c r="T528" s="231">
        <v>-2276</v>
      </c>
      <c r="U528" s="396">
        <v>40055</v>
      </c>
      <c r="V528" s="231"/>
      <c r="W528" s="396">
        <v>269824</v>
      </c>
      <c r="X528" s="396">
        <v>50342</v>
      </c>
      <c r="Y528" s="396"/>
      <c r="Z528" s="396"/>
    </row>
    <row r="529" spans="1:27">
      <c r="A529" s="424">
        <v>95811</v>
      </c>
      <c r="B529" s="423" t="s">
        <v>1237</v>
      </c>
      <c r="C529" s="234">
        <v>5.1659999999999998E-4</v>
      </c>
      <c r="D529" s="234">
        <v>5.2939999999999997E-4</v>
      </c>
      <c r="E529" s="231">
        <v>2914362</v>
      </c>
      <c r="F529" s="231" t="s">
        <v>1924</v>
      </c>
      <c r="G529" s="392">
        <v>125577</v>
      </c>
      <c r="H529" s="392">
        <v>963227</v>
      </c>
      <c r="I529" s="392">
        <v>290788</v>
      </c>
      <c r="J529" s="231">
        <v>7021</v>
      </c>
      <c r="K529" s="231">
        <v>1386613</v>
      </c>
      <c r="L529" s="231"/>
      <c r="M529" s="300">
        <v>12312</v>
      </c>
      <c r="N529" s="300">
        <v>0</v>
      </c>
      <c r="O529" s="300">
        <v>0</v>
      </c>
      <c r="P529" s="231">
        <v>64068</v>
      </c>
      <c r="Q529" s="231">
        <v>76380</v>
      </c>
      <c r="R529" s="231"/>
      <c r="S529" s="392">
        <v>825217</v>
      </c>
      <c r="T529" s="231">
        <v>-19761</v>
      </c>
      <c r="U529" s="396">
        <v>805456</v>
      </c>
      <c r="V529" s="231"/>
      <c r="W529" s="396">
        <v>5260048</v>
      </c>
      <c r="X529" s="396">
        <v>981380</v>
      </c>
      <c r="Y529" s="396"/>
      <c r="Z529" s="396"/>
    </row>
    <row r="530" spans="1:27">
      <c r="A530" s="424">
        <v>95813</v>
      </c>
      <c r="B530" s="423" t="s">
        <v>1238</v>
      </c>
      <c r="C530" s="234">
        <v>3.8399999999999998E-5</v>
      </c>
      <c r="D530" s="234">
        <v>4.6100000000000002E-5</v>
      </c>
      <c r="E530" s="231">
        <v>216631</v>
      </c>
      <c r="F530" s="231" t="s">
        <v>1924</v>
      </c>
      <c r="G530" s="392">
        <v>9334</v>
      </c>
      <c r="H530" s="392">
        <v>71599</v>
      </c>
      <c r="I530" s="392">
        <v>21615</v>
      </c>
      <c r="J530" s="231">
        <v>17660</v>
      </c>
      <c r="K530" s="231">
        <v>120208</v>
      </c>
      <c r="L530" s="231"/>
      <c r="M530" s="300">
        <v>915</v>
      </c>
      <c r="N530" s="300">
        <v>0</v>
      </c>
      <c r="O530" s="300">
        <v>0</v>
      </c>
      <c r="P530" s="231">
        <v>3024</v>
      </c>
      <c r="Q530" s="231">
        <v>3939</v>
      </c>
      <c r="R530" s="231"/>
      <c r="S530" s="392">
        <v>61340</v>
      </c>
      <c r="T530" s="231">
        <v>21375</v>
      </c>
      <c r="U530" s="396">
        <v>82715</v>
      </c>
      <c r="V530" s="231"/>
      <c r="W530" s="396">
        <v>390991</v>
      </c>
      <c r="X530" s="396">
        <v>72948</v>
      </c>
      <c r="Y530" s="396"/>
      <c r="Z530" s="396"/>
    </row>
    <row r="531" spans="1:27">
      <c r="A531" s="424">
        <v>95821</v>
      </c>
      <c r="B531" s="423" t="s">
        <v>1239</v>
      </c>
      <c r="C531" s="234">
        <v>8.1999999999999994E-6</v>
      </c>
      <c r="D531" s="234">
        <v>7.0999999999999998E-6</v>
      </c>
      <c r="E531" s="231">
        <v>46260</v>
      </c>
      <c r="F531" s="231" t="s">
        <v>1924</v>
      </c>
      <c r="G531" s="392">
        <v>1993</v>
      </c>
      <c r="H531" s="392">
        <v>15289</v>
      </c>
      <c r="I531" s="392">
        <v>4616</v>
      </c>
      <c r="J531" s="231">
        <v>2045</v>
      </c>
      <c r="K531" s="231">
        <v>23943</v>
      </c>
      <c r="L531" s="231"/>
      <c r="M531" s="300">
        <v>195</v>
      </c>
      <c r="N531" s="300">
        <v>0</v>
      </c>
      <c r="O531" s="300">
        <v>0</v>
      </c>
      <c r="P531" s="231">
        <v>735</v>
      </c>
      <c r="Q531" s="231">
        <v>930</v>
      </c>
      <c r="R531" s="231"/>
      <c r="S531" s="392">
        <v>13099</v>
      </c>
      <c r="T531" s="231">
        <v>1638</v>
      </c>
      <c r="U531" s="396">
        <v>14737</v>
      </c>
      <c r="V531" s="231"/>
      <c r="W531" s="396">
        <v>83493</v>
      </c>
      <c r="X531" s="396">
        <v>15577</v>
      </c>
      <c r="Y531" s="396"/>
      <c r="Z531" s="396"/>
    </row>
    <row r="532" spans="1:27">
      <c r="A532" s="424">
        <v>95831</v>
      </c>
      <c r="B532" s="423" t="s">
        <v>1240</v>
      </c>
      <c r="C532" s="234">
        <v>1.91E-5</v>
      </c>
      <c r="D532" s="234">
        <v>2.02E-5</v>
      </c>
      <c r="E532" s="231">
        <v>107751</v>
      </c>
      <c r="F532" s="231" t="s">
        <v>1924</v>
      </c>
      <c r="G532" s="392">
        <v>4643</v>
      </c>
      <c r="H532" s="392">
        <v>35613</v>
      </c>
      <c r="I532" s="392">
        <v>10751</v>
      </c>
      <c r="J532" s="231">
        <v>16179</v>
      </c>
      <c r="K532" s="231">
        <v>67186</v>
      </c>
      <c r="L532" s="231"/>
      <c r="M532" s="300">
        <v>455</v>
      </c>
      <c r="N532" s="300">
        <v>0</v>
      </c>
      <c r="O532" s="300">
        <v>0</v>
      </c>
      <c r="P532" s="231">
        <v>0</v>
      </c>
      <c r="Q532" s="231">
        <v>455</v>
      </c>
      <c r="R532" s="231"/>
      <c r="S532" s="392">
        <v>30510</v>
      </c>
      <c r="T532" s="231">
        <v>10922</v>
      </c>
      <c r="U532" s="396">
        <v>41432</v>
      </c>
      <c r="V532" s="231"/>
      <c r="W532" s="396">
        <v>194477</v>
      </c>
      <c r="X532" s="396">
        <v>36284</v>
      </c>
      <c r="Y532" s="396"/>
      <c r="Z532" s="396"/>
    </row>
    <row r="533" spans="1:27">
      <c r="A533" s="424">
        <v>95841</v>
      </c>
      <c r="B533" s="423" t="s">
        <v>1241</v>
      </c>
      <c r="C533" s="234">
        <v>2.1299999999999999E-5</v>
      </c>
      <c r="D533" s="234">
        <v>2.5299999999999998E-5</v>
      </c>
      <c r="E533" s="231">
        <v>120162</v>
      </c>
      <c r="F533" s="231" t="s">
        <v>1924</v>
      </c>
      <c r="G533" s="392">
        <v>5178</v>
      </c>
      <c r="H533" s="392">
        <v>39715</v>
      </c>
      <c r="I533" s="392">
        <v>11990</v>
      </c>
      <c r="J533" s="231">
        <v>1000</v>
      </c>
      <c r="K533" s="231">
        <v>57883</v>
      </c>
      <c r="L533" s="231"/>
      <c r="M533" s="300">
        <v>508</v>
      </c>
      <c r="N533" s="300">
        <v>0</v>
      </c>
      <c r="O533" s="300">
        <v>0</v>
      </c>
      <c r="P533" s="231">
        <v>8578</v>
      </c>
      <c r="Q533" s="231">
        <v>9086</v>
      </c>
      <c r="R533" s="231"/>
      <c r="S533" s="392">
        <v>34025</v>
      </c>
      <c r="T533" s="231">
        <v>-2039</v>
      </c>
      <c r="U533" s="396">
        <v>31986</v>
      </c>
      <c r="V533" s="231"/>
      <c r="W533" s="396">
        <v>216878</v>
      </c>
      <c r="X533" s="396">
        <v>40463</v>
      </c>
      <c r="Y533" s="396"/>
      <c r="Z533" s="396"/>
    </row>
    <row r="534" spans="1:27">
      <c r="A534" s="424">
        <v>95851</v>
      </c>
      <c r="B534" s="423" t="s">
        <v>1242</v>
      </c>
      <c r="C534" s="234">
        <v>9.1199999999999994E-5</v>
      </c>
      <c r="D534" s="234">
        <v>1.0840000000000001E-4</v>
      </c>
      <c r="E534" s="231">
        <v>514498</v>
      </c>
      <c r="F534" s="231" t="s">
        <v>1924</v>
      </c>
      <c r="G534" s="392">
        <v>22169</v>
      </c>
      <c r="H534" s="392">
        <v>170047</v>
      </c>
      <c r="I534" s="392">
        <v>51335</v>
      </c>
      <c r="J534" s="231">
        <v>11842</v>
      </c>
      <c r="K534" s="231">
        <v>255393</v>
      </c>
      <c r="L534" s="231"/>
      <c r="M534" s="300">
        <v>2174</v>
      </c>
      <c r="N534" s="300">
        <v>0</v>
      </c>
      <c r="O534" s="300">
        <v>0</v>
      </c>
      <c r="P534" s="231">
        <v>44864</v>
      </c>
      <c r="Q534" s="231">
        <v>47038</v>
      </c>
      <c r="R534" s="231"/>
      <c r="S534" s="392">
        <v>145683</v>
      </c>
      <c r="T534" s="231">
        <v>9219</v>
      </c>
      <c r="U534" s="396">
        <v>154902</v>
      </c>
      <c r="V534" s="231"/>
      <c r="W534" s="396">
        <v>928603</v>
      </c>
      <c r="X534" s="396">
        <v>173252</v>
      </c>
      <c r="Y534" s="396"/>
      <c r="Z534" s="396"/>
    </row>
    <row r="535" spans="1:27">
      <c r="A535" s="424">
        <v>95853</v>
      </c>
      <c r="B535" s="423" t="s">
        <v>1243</v>
      </c>
      <c r="C535" s="234">
        <v>2.6100000000000001E-5</v>
      </c>
      <c r="D535" s="234">
        <v>2.8E-5</v>
      </c>
      <c r="E535" s="231">
        <v>147241</v>
      </c>
      <c r="F535" s="231" t="s">
        <v>1924</v>
      </c>
      <c r="G535" s="392">
        <v>6344</v>
      </c>
      <c r="H535" s="392">
        <v>48665</v>
      </c>
      <c r="I535" s="392">
        <v>14691</v>
      </c>
      <c r="J535" s="231">
        <v>0</v>
      </c>
      <c r="K535" s="231">
        <v>69700</v>
      </c>
      <c r="L535" s="231"/>
      <c r="M535" s="300">
        <v>622</v>
      </c>
      <c r="N535" s="300">
        <v>0</v>
      </c>
      <c r="O535" s="225">
        <v>0</v>
      </c>
      <c r="P535" s="231">
        <v>3229</v>
      </c>
      <c r="Q535" s="231">
        <v>3851</v>
      </c>
      <c r="R535" s="231"/>
      <c r="S535" s="392">
        <v>41692</v>
      </c>
      <c r="T535" s="231">
        <v>-513</v>
      </c>
      <c r="U535" s="396">
        <v>41179</v>
      </c>
      <c r="V535" s="231"/>
      <c r="W535" s="396">
        <v>265752</v>
      </c>
      <c r="X535" s="396">
        <v>49582</v>
      </c>
      <c r="Y535" s="233"/>
      <c r="Z535" s="233"/>
      <c r="AA535" s="225"/>
    </row>
    <row r="536" spans="1:27">
      <c r="A536" s="424">
        <v>95901</v>
      </c>
      <c r="B536" s="423" t="s">
        <v>1244</v>
      </c>
      <c r="C536" s="234">
        <v>2.2539000000000001E-3</v>
      </c>
      <c r="D536" s="234">
        <v>2.0098999999999998E-3</v>
      </c>
      <c r="E536" s="231">
        <v>12715215</v>
      </c>
      <c r="F536" s="231" t="s">
        <v>1924</v>
      </c>
      <c r="G536" s="392">
        <v>547887</v>
      </c>
      <c r="H536" s="392">
        <v>4202511</v>
      </c>
      <c r="I536" s="392">
        <v>1268693</v>
      </c>
      <c r="J536" s="231">
        <v>308483</v>
      </c>
      <c r="K536" s="231">
        <v>6327574</v>
      </c>
      <c r="L536" s="231"/>
      <c r="M536" s="300">
        <v>53717</v>
      </c>
      <c r="N536" s="300">
        <v>0</v>
      </c>
      <c r="O536" s="300">
        <v>0</v>
      </c>
      <c r="P536" s="231">
        <v>10515</v>
      </c>
      <c r="Q536" s="231">
        <v>64232</v>
      </c>
      <c r="R536" s="231"/>
      <c r="S536" s="392">
        <v>3600382</v>
      </c>
      <c r="T536" s="231">
        <v>96384</v>
      </c>
      <c r="U536" s="396">
        <v>3696766</v>
      </c>
      <c r="V536" s="231"/>
      <c r="W536" s="396">
        <v>22949325</v>
      </c>
      <c r="X536" s="396">
        <v>4281714</v>
      </c>
      <c r="Y536" s="396"/>
      <c r="Z536" s="396"/>
    </row>
    <row r="537" spans="1:27">
      <c r="A537" s="424">
        <v>95908</v>
      </c>
      <c r="B537" s="423" t="s">
        <v>1245</v>
      </c>
      <c r="C537" s="234">
        <v>5.8699999999999997E-5</v>
      </c>
      <c r="D537" s="234">
        <v>5.8999999999999998E-5</v>
      </c>
      <c r="E537" s="231">
        <v>331152</v>
      </c>
      <c r="F537" s="231" t="s">
        <v>1924</v>
      </c>
      <c r="G537" s="392">
        <v>14269</v>
      </c>
      <c r="H537" s="392">
        <v>109449</v>
      </c>
      <c r="I537" s="392">
        <v>33042</v>
      </c>
      <c r="J537" s="231">
        <v>1362</v>
      </c>
      <c r="K537" s="231">
        <v>158122</v>
      </c>
      <c r="L537" s="231"/>
      <c r="M537" s="300">
        <v>1399</v>
      </c>
      <c r="N537" s="300">
        <v>0</v>
      </c>
      <c r="O537" s="300">
        <v>0</v>
      </c>
      <c r="P537" s="231">
        <v>6729</v>
      </c>
      <c r="Q537" s="231">
        <v>8128</v>
      </c>
      <c r="R537" s="231"/>
      <c r="S537" s="392">
        <v>93767</v>
      </c>
      <c r="T537" s="231">
        <v>-8486</v>
      </c>
      <c r="U537" s="396">
        <v>85281</v>
      </c>
      <c r="V537" s="231"/>
      <c r="W537" s="396">
        <v>597686</v>
      </c>
      <c r="X537" s="396">
        <v>111512</v>
      </c>
      <c r="Y537" s="396"/>
      <c r="Z537" s="396"/>
    </row>
    <row r="538" spans="1:27">
      <c r="A538" s="424">
        <v>95911</v>
      </c>
      <c r="B538" s="423" t="s">
        <v>1246</v>
      </c>
      <c r="C538" s="234">
        <v>6.068E-4</v>
      </c>
      <c r="D538" s="234">
        <v>5.1449999999999998E-4</v>
      </c>
      <c r="E538" s="231">
        <v>3423219</v>
      </c>
      <c r="F538" s="231" t="s">
        <v>1924</v>
      </c>
      <c r="G538" s="392">
        <v>147503</v>
      </c>
      <c r="H538" s="392">
        <v>1131410</v>
      </c>
      <c r="I538" s="392">
        <v>341560</v>
      </c>
      <c r="J538" s="231">
        <v>135386</v>
      </c>
      <c r="K538" s="231">
        <v>1755859</v>
      </c>
      <c r="L538" s="231"/>
      <c r="M538" s="300">
        <v>14462</v>
      </c>
      <c r="N538" s="300">
        <v>0</v>
      </c>
      <c r="O538" s="300">
        <v>0</v>
      </c>
      <c r="P538" s="231">
        <v>56031</v>
      </c>
      <c r="Q538" s="231">
        <v>70493</v>
      </c>
      <c r="R538" s="231"/>
      <c r="S538" s="392">
        <v>969303</v>
      </c>
      <c r="T538" s="231">
        <v>5469</v>
      </c>
      <c r="U538" s="396">
        <v>974772</v>
      </c>
      <c r="V538" s="231"/>
      <c r="W538" s="396">
        <v>6178469</v>
      </c>
      <c r="X538" s="396">
        <v>1152732</v>
      </c>
      <c r="Y538" s="396"/>
      <c r="Z538" s="396"/>
    </row>
    <row r="539" spans="1:27">
      <c r="A539" s="424">
        <v>95917</v>
      </c>
      <c r="B539" s="423" t="s">
        <v>1247</v>
      </c>
      <c r="C539" s="234">
        <v>3.0700000000000001E-5</v>
      </c>
      <c r="D539" s="234">
        <v>3.0899999999999999E-5</v>
      </c>
      <c r="E539" s="231">
        <v>173192</v>
      </c>
      <c r="F539" s="231" t="s">
        <v>1924</v>
      </c>
      <c r="G539" s="392">
        <v>7463</v>
      </c>
      <c r="H539" s="392">
        <v>57242</v>
      </c>
      <c r="I539" s="392">
        <v>17281</v>
      </c>
      <c r="J539" s="231">
        <v>11843</v>
      </c>
      <c r="K539" s="231">
        <v>93829</v>
      </c>
      <c r="L539" s="231"/>
      <c r="M539" s="300">
        <v>732</v>
      </c>
      <c r="N539" s="300">
        <v>0</v>
      </c>
      <c r="O539" s="300">
        <v>0</v>
      </c>
      <c r="P539" s="231">
        <v>1635</v>
      </c>
      <c r="Q539" s="231">
        <v>2367</v>
      </c>
      <c r="R539" s="231"/>
      <c r="S539" s="392">
        <v>49040</v>
      </c>
      <c r="T539" s="231">
        <v>5730</v>
      </c>
      <c r="U539" s="396">
        <v>54770</v>
      </c>
      <c r="V539" s="231"/>
      <c r="W539" s="396">
        <v>312589</v>
      </c>
      <c r="X539" s="396">
        <v>58321</v>
      </c>
      <c r="Y539" s="396"/>
      <c r="Z539" s="396"/>
    </row>
    <row r="540" spans="1:27">
      <c r="A540" s="424">
        <v>95921</v>
      </c>
      <c r="B540" s="423" t="s">
        <v>1248</v>
      </c>
      <c r="C540" s="234">
        <v>4.5200000000000001E-5</v>
      </c>
      <c r="D540" s="234">
        <v>3.7200000000000003E-5</v>
      </c>
      <c r="E540" s="231">
        <v>254993</v>
      </c>
      <c r="F540" s="231" t="s">
        <v>1924</v>
      </c>
      <c r="G540" s="392">
        <v>10987</v>
      </c>
      <c r="H540" s="392">
        <v>84278</v>
      </c>
      <c r="I540" s="392">
        <v>25443</v>
      </c>
      <c r="J540" s="231">
        <v>17077</v>
      </c>
      <c r="K540" s="231">
        <v>137785</v>
      </c>
      <c r="L540" s="231"/>
      <c r="M540" s="300">
        <v>1077</v>
      </c>
      <c r="N540" s="300">
        <v>0</v>
      </c>
      <c r="O540" s="300">
        <v>0</v>
      </c>
      <c r="P540" s="231">
        <v>11871</v>
      </c>
      <c r="Q540" s="231">
        <v>12948</v>
      </c>
      <c r="R540" s="231"/>
      <c r="S540" s="392">
        <v>72203</v>
      </c>
      <c r="T540" s="231">
        <v>780</v>
      </c>
      <c r="U540" s="396">
        <v>72983</v>
      </c>
      <c r="V540" s="231"/>
      <c r="W540" s="396">
        <v>460229</v>
      </c>
      <c r="X540" s="396">
        <v>85866</v>
      </c>
      <c r="Y540" s="396"/>
      <c r="Z540" s="396"/>
    </row>
    <row r="541" spans="1:27">
      <c r="A541" s="424">
        <v>96001</v>
      </c>
      <c r="B541" s="423" t="s">
        <v>1249</v>
      </c>
      <c r="C541" s="234">
        <v>4.4407499999999996E-2</v>
      </c>
      <c r="D541" s="234">
        <v>4.5452399999999997E-2</v>
      </c>
      <c r="E541" s="231">
        <v>250521714</v>
      </c>
      <c r="F541" s="231" t="s">
        <v>1924</v>
      </c>
      <c r="G541" s="392">
        <v>10794753</v>
      </c>
      <c r="H541" s="392">
        <v>82800049</v>
      </c>
      <c r="I541" s="392">
        <v>24996449</v>
      </c>
      <c r="J541" s="231">
        <v>698128</v>
      </c>
      <c r="K541" s="231">
        <v>119289379</v>
      </c>
      <c r="L541" s="231"/>
      <c r="M541" s="300">
        <v>1058364</v>
      </c>
      <c r="N541" s="300">
        <v>0</v>
      </c>
      <c r="O541" s="300">
        <v>0</v>
      </c>
      <c r="P541" s="231">
        <v>3858277</v>
      </c>
      <c r="Q541" s="231">
        <v>4916641</v>
      </c>
      <c r="R541" s="231"/>
      <c r="S541" s="392">
        <v>70936585</v>
      </c>
      <c r="T541" s="231">
        <v>-932745</v>
      </c>
      <c r="U541" s="396">
        <v>70003840</v>
      </c>
      <c r="V541" s="231"/>
      <c r="W541" s="396">
        <v>452159430</v>
      </c>
      <c r="X541" s="396">
        <v>84360528</v>
      </c>
      <c r="Y541" s="396"/>
      <c r="Z541" s="396"/>
    </row>
    <row r="542" spans="1:27">
      <c r="A542" s="424">
        <v>96003</v>
      </c>
      <c r="B542" s="423" t="s">
        <v>3723</v>
      </c>
      <c r="C542" s="234">
        <v>2.0127999999999999E-3</v>
      </c>
      <c r="D542" s="234">
        <v>2.0500000000000002E-3</v>
      </c>
      <c r="E542" s="231">
        <v>11355066</v>
      </c>
      <c r="F542" s="231" t="s">
        <v>1924</v>
      </c>
      <c r="G542" s="392">
        <v>489279</v>
      </c>
      <c r="H542" s="392">
        <v>3752968</v>
      </c>
      <c r="I542" s="392">
        <v>1132981</v>
      </c>
      <c r="J542" s="231">
        <v>320972</v>
      </c>
      <c r="K542" s="231">
        <v>5696200</v>
      </c>
      <c r="L542" s="231"/>
      <c r="M542" s="300">
        <v>47971</v>
      </c>
      <c r="N542" s="300">
        <v>0</v>
      </c>
      <c r="O542" s="300">
        <v>0</v>
      </c>
      <c r="P542" s="231">
        <v>185644</v>
      </c>
      <c r="Q542" s="231">
        <v>233615</v>
      </c>
      <c r="R542" s="231"/>
      <c r="S542" s="392">
        <v>3215249</v>
      </c>
      <c r="T542" s="231">
        <v>111814</v>
      </c>
      <c r="U542" s="396">
        <v>3327063</v>
      </c>
      <c r="V542" s="231"/>
      <c r="W542" s="396">
        <v>20494432</v>
      </c>
      <c r="X542" s="396">
        <v>3823698</v>
      </c>
      <c r="Y542" s="396"/>
      <c r="Z542" s="396"/>
    </row>
    <row r="543" spans="1:27">
      <c r="A543" s="424">
        <v>96004</v>
      </c>
      <c r="B543" s="423" t="s">
        <v>1251</v>
      </c>
      <c r="C543" s="234">
        <v>1.0905999999999999E-3</v>
      </c>
      <c r="D543" s="234">
        <v>1.0675999999999999E-3</v>
      </c>
      <c r="E543" s="231">
        <v>6152541</v>
      </c>
      <c r="F543" s="231" t="s">
        <v>1924</v>
      </c>
      <c r="G543" s="392">
        <v>265107</v>
      </c>
      <c r="H543" s="392">
        <v>2033479</v>
      </c>
      <c r="I543" s="392">
        <v>613886</v>
      </c>
      <c r="J543" s="231">
        <v>300805</v>
      </c>
      <c r="K543" s="231">
        <v>3213277</v>
      </c>
      <c r="L543" s="231"/>
      <c r="M543" s="300">
        <v>25992</v>
      </c>
      <c r="N543" s="300">
        <v>0</v>
      </c>
      <c r="O543" s="300">
        <v>0</v>
      </c>
      <c r="P543" s="231">
        <v>0</v>
      </c>
      <c r="Q543" s="231">
        <v>25992</v>
      </c>
      <c r="R543" s="231"/>
      <c r="S543" s="392">
        <v>1742126</v>
      </c>
      <c r="T543" s="231">
        <v>183139</v>
      </c>
      <c r="U543" s="396">
        <v>1925265</v>
      </c>
      <c r="V543" s="231"/>
      <c r="W543" s="396">
        <v>11104545</v>
      </c>
      <c r="X543" s="396">
        <v>2071803</v>
      </c>
      <c r="Y543" s="396"/>
      <c r="Z543" s="396"/>
    </row>
    <row r="544" spans="1:27">
      <c r="A544" s="424">
        <v>96005</v>
      </c>
      <c r="B544" s="423" t="s">
        <v>1252</v>
      </c>
      <c r="C544" s="234">
        <v>2.5607E-3</v>
      </c>
      <c r="D544" s="234">
        <v>2.6773999999999999E-3</v>
      </c>
      <c r="E544" s="231">
        <v>14446005</v>
      </c>
      <c r="F544" s="231" t="s">
        <v>1924</v>
      </c>
      <c r="G544" s="392">
        <v>622465</v>
      </c>
      <c r="H544" s="392">
        <v>4774556</v>
      </c>
      <c r="I544" s="392">
        <v>1441387</v>
      </c>
      <c r="J544" s="231">
        <v>223394</v>
      </c>
      <c r="K544" s="231">
        <v>7061802</v>
      </c>
      <c r="L544" s="231"/>
      <c r="M544" s="300">
        <v>61029</v>
      </c>
      <c r="N544" s="300">
        <v>0</v>
      </c>
      <c r="O544" s="300">
        <v>0</v>
      </c>
      <c r="P544" s="231">
        <v>268812</v>
      </c>
      <c r="Q544" s="231">
        <v>329841</v>
      </c>
      <c r="R544" s="231"/>
      <c r="S544" s="392">
        <v>4090465</v>
      </c>
      <c r="T544" s="231">
        <v>23492</v>
      </c>
      <c r="U544" s="396">
        <v>4113957</v>
      </c>
      <c r="V544" s="231"/>
      <c r="W544" s="396">
        <v>26073178</v>
      </c>
      <c r="X544" s="396">
        <v>4864539</v>
      </c>
      <c r="Y544" s="396"/>
      <c r="Z544" s="396"/>
    </row>
    <row r="545" spans="1:26">
      <c r="A545" s="424">
        <v>96008</v>
      </c>
      <c r="B545" s="423" t="s">
        <v>1253</v>
      </c>
      <c r="C545" s="234">
        <v>5.5640999999999998E-3</v>
      </c>
      <c r="D545" s="234">
        <v>5.5976000000000003E-3</v>
      </c>
      <c r="E545" s="231">
        <v>31389470</v>
      </c>
      <c r="F545" s="231" t="s">
        <v>1924</v>
      </c>
      <c r="G545" s="392">
        <v>1352544</v>
      </c>
      <c r="H545" s="392">
        <v>10374548</v>
      </c>
      <c r="I545" s="392">
        <v>3131965</v>
      </c>
      <c r="J545" s="231">
        <v>0</v>
      </c>
      <c r="K545" s="231">
        <v>14859057</v>
      </c>
      <c r="L545" s="231"/>
      <c r="M545" s="300">
        <v>132609</v>
      </c>
      <c r="N545" s="300">
        <v>0</v>
      </c>
      <c r="O545" s="300">
        <v>0</v>
      </c>
      <c r="P545" s="231">
        <v>2060397</v>
      </c>
      <c r="Q545" s="231">
        <v>2193006</v>
      </c>
      <c r="R545" s="231"/>
      <c r="S545" s="392">
        <v>8888099</v>
      </c>
      <c r="T545" s="231">
        <v>-1222541</v>
      </c>
      <c r="U545" s="396">
        <v>7665558</v>
      </c>
      <c r="V545" s="231"/>
      <c r="W545" s="396">
        <v>56653950</v>
      </c>
      <c r="X545" s="396">
        <v>10570071</v>
      </c>
      <c r="Y545" s="396"/>
      <c r="Z545" s="396"/>
    </row>
    <row r="546" spans="1:26">
      <c r="A546" s="424">
        <v>96009</v>
      </c>
      <c r="B546" s="423" t="s">
        <v>1254</v>
      </c>
      <c r="C546" s="234">
        <v>3.7889999999999999E-4</v>
      </c>
      <c r="D546" s="234">
        <v>3.8479999999999997E-4</v>
      </c>
      <c r="E546" s="231">
        <v>2137537</v>
      </c>
      <c r="F546" s="231" t="s">
        <v>1924</v>
      </c>
      <c r="G546" s="392">
        <v>92105</v>
      </c>
      <c r="H546" s="392">
        <v>706478</v>
      </c>
      <c r="I546" s="392">
        <v>213278</v>
      </c>
      <c r="J546" s="231">
        <v>21484</v>
      </c>
      <c r="K546" s="231">
        <v>1033345</v>
      </c>
      <c r="L546" s="231"/>
      <c r="M546" s="300">
        <v>9030</v>
      </c>
      <c r="N546" s="300">
        <v>0</v>
      </c>
      <c r="O546" s="300">
        <v>0</v>
      </c>
      <c r="P546" s="231">
        <v>14007</v>
      </c>
      <c r="Q546" s="231">
        <v>23037</v>
      </c>
      <c r="R546" s="231"/>
      <c r="S546" s="392">
        <v>605255</v>
      </c>
      <c r="T546" s="231">
        <v>19182</v>
      </c>
      <c r="U546" s="396">
        <v>624437</v>
      </c>
      <c r="V546" s="231"/>
      <c r="W546" s="396">
        <v>3857979</v>
      </c>
      <c r="X546" s="396">
        <v>719793</v>
      </c>
      <c r="Y546" s="396"/>
      <c r="Z546" s="396"/>
    </row>
    <row r="547" spans="1:26">
      <c r="A547" s="424">
        <v>96011</v>
      </c>
      <c r="B547" s="423" t="s">
        <v>1255</v>
      </c>
      <c r="C547" s="234">
        <v>6.4657300000000001E-2</v>
      </c>
      <c r="D547" s="234">
        <v>6.8435399999999993E-2</v>
      </c>
      <c r="E547" s="231">
        <v>364759503</v>
      </c>
      <c r="F547" s="231" t="s">
        <v>1924</v>
      </c>
      <c r="G547" s="392">
        <v>15717155</v>
      </c>
      <c r="H547" s="392">
        <v>120556833</v>
      </c>
      <c r="I547" s="392">
        <v>36394818</v>
      </c>
      <c r="J547" s="231">
        <v>4789516</v>
      </c>
      <c r="K547" s="231">
        <v>177458322</v>
      </c>
      <c r="L547" s="231"/>
      <c r="M547" s="300">
        <v>1540977</v>
      </c>
      <c r="N547" s="300">
        <v>0</v>
      </c>
      <c r="O547" s="300">
        <v>0</v>
      </c>
      <c r="P547" s="231">
        <v>6510309</v>
      </c>
      <c r="Q547" s="231">
        <v>8051286</v>
      </c>
      <c r="R547" s="231"/>
      <c r="S547" s="392">
        <v>103283636</v>
      </c>
      <c r="T547" s="231">
        <v>1025920</v>
      </c>
      <c r="U547" s="396">
        <v>104309556</v>
      </c>
      <c r="V547" s="231"/>
      <c r="W547" s="396">
        <v>658343926</v>
      </c>
      <c r="X547" s="396">
        <v>122828891</v>
      </c>
      <c r="Y547" s="396"/>
      <c r="Z547" s="396"/>
    </row>
    <row r="548" spans="1:26">
      <c r="A548" s="424">
        <v>96012</v>
      </c>
      <c r="B548" s="423" t="s">
        <v>3724</v>
      </c>
      <c r="C548" s="234">
        <v>2.1459000000000001E-3</v>
      </c>
      <c r="D548" s="234">
        <v>2.3944000000000001E-3</v>
      </c>
      <c r="E548" s="231">
        <v>12105940</v>
      </c>
      <c r="F548" s="231" t="s">
        <v>1924</v>
      </c>
      <c r="G548" s="392">
        <v>521634</v>
      </c>
      <c r="H548" s="392">
        <v>4001140</v>
      </c>
      <c r="I548" s="392">
        <v>1207901</v>
      </c>
      <c r="J548" s="231">
        <v>0</v>
      </c>
      <c r="K548" s="231">
        <v>5730675</v>
      </c>
      <c r="L548" s="231"/>
      <c r="M548" s="300">
        <v>51143</v>
      </c>
      <c r="N548" s="300">
        <v>0</v>
      </c>
      <c r="O548" s="300">
        <v>0</v>
      </c>
      <c r="P548" s="231">
        <v>590791</v>
      </c>
      <c r="Q548" s="231">
        <v>641934</v>
      </c>
      <c r="R548" s="231"/>
      <c r="S548" s="392">
        <v>3427863</v>
      </c>
      <c r="T548" s="231">
        <v>-234572</v>
      </c>
      <c r="U548" s="396">
        <v>3193291</v>
      </c>
      <c r="V548" s="231"/>
      <c r="W548" s="396">
        <v>21849663</v>
      </c>
      <c r="X548" s="396">
        <v>4076547</v>
      </c>
      <c r="Y548" s="396"/>
      <c r="Z548" s="396"/>
    </row>
    <row r="549" spans="1:26">
      <c r="A549" s="424">
        <v>96018</v>
      </c>
      <c r="B549" s="423" t="s">
        <v>1257</v>
      </c>
      <c r="C549" s="234">
        <v>3.8899999999999997E-5</v>
      </c>
      <c r="D549" s="234">
        <v>4.1100000000000003E-5</v>
      </c>
      <c r="E549" s="231">
        <v>219452</v>
      </c>
      <c r="F549" s="231" t="s">
        <v>1924</v>
      </c>
      <c r="G549" s="392">
        <v>9456</v>
      </c>
      <c r="H549" s="392">
        <v>72531</v>
      </c>
      <c r="I549" s="392">
        <v>21896</v>
      </c>
      <c r="J549" s="231">
        <v>9255</v>
      </c>
      <c r="K549" s="231">
        <v>113138</v>
      </c>
      <c r="L549" s="231"/>
      <c r="M549" s="300">
        <v>927</v>
      </c>
      <c r="N549" s="300">
        <v>0</v>
      </c>
      <c r="O549" s="300">
        <v>0</v>
      </c>
      <c r="P549" s="231">
        <v>2728</v>
      </c>
      <c r="Q549" s="231">
        <v>3655</v>
      </c>
      <c r="R549" s="231"/>
      <c r="S549" s="392">
        <v>62139</v>
      </c>
      <c r="T549" s="231">
        <v>3053</v>
      </c>
      <c r="U549" s="396">
        <v>65192</v>
      </c>
      <c r="V549" s="231"/>
      <c r="W549" s="396">
        <v>396082</v>
      </c>
      <c r="X549" s="396">
        <v>73898</v>
      </c>
      <c r="Y549" s="396"/>
      <c r="Z549" s="396"/>
    </row>
    <row r="550" spans="1:26">
      <c r="A550" s="424">
        <v>96021</v>
      </c>
      <c r="B550" s="423" t="s">
        <v>1258</v>
      </c>
      <c r="C550" s="234">
        <v>7.8459999999999999E-4</v>
      </c>
      <c r="D550" s="234">
        <v>7.0790000000000002E-4</v>
      </c>
      <c r="E550" s="231">
        <v>4426264</v>
      </c>
      <c r="F550" s="231" t="s">
        <v>1924</v>
      </c>
      <c r="G550" s="392">
        <v>190724</v>
      </c>
      <c r="H550" s="392">
        <v>1462927</v>
      </c>
      <c r="I550" s="392">
        <v>441642</v>
      </c>
      <c r="J550" s="231">
        <v>115867</v>
      </c>
      <c r="K550" s="231">
        <v>2211160</v>
      </c>
      <c r="L550" s="231"/>
      <c r="M550" s="300">
        <v>18699</v>
      </c>
      <c r="N550" s="300">
        <v>0</v>
      </c>
      <c r="O550" s="300">
        <v>0</v>
      </c>
      <c r="P550" s="231">
        <v>30833</v>
      </c>
      <c r="Q550" s="231">
        <v>49532</v>
      </c>
      <c r="R550" s="231"/>
      <c r="S550" s="392">
        <v>1253321</v>
      </c>
      <c r="T550" s="231">
        <v>11119</v>
      </c>
      <c r="U550" s="396">
        <v>1264440</v>
      </c>
      <c r="V550" s="231"/>
      <c r="W550" s="396">
        <v>7988837</v>
      </c>
      <c r="X550" s="396">
        <v>1490498</v>
      </c>
      <c r="Y550" s="396"/>
      <c r="Z550" s="396"/>
    </row>
    <row r="551" spans="1:26">
      <c r="A551" s="424">
        <v>96031</v>
      </c>
      <c r="B551" s="423" t="s">
        <v>1259</v>
      </c>
      <c r="C551" s="234">
        <v>8.3449999999999996E-4</v>
      </c>
      <c r="D551" s="234">
        <v>7.9569999999999999E-4</v>
      </c>
      <c r="E551" s="231">
        <v>4707772</v>
      </c>
      <c r="F551" s="231" t="s">
        <v>1924</v>
      </c>
      <c r="G551" s="392">
        <v>202854</v>
      </c>
      <c r="H551" s="392">
        <v>1555968</v>
      </c>
      <c r="I551" s="392">
        <v>469730</v>
      </c>
      <c r="J551" s="231">
        <v>15221</v>
      </c>
      <c r="K551" s="231">
        <v>2243773</v>
      </c>
      <c r="L551" s="231"/>
      <c r="M551" s="300">
        <v>19889</v>
      </c>
      <c r="N551" s="300">
        <v>0</v>
      </c>
      <c r="O551" s="300">
        <v>0</v>
      </c>
      <c r="P551" s="231">
        <v>100133</v>
      </c>
      <c r="Q551" s="231">
        <v>120022</v>
      </c>
      <c r="R551" s="231"/>
      <c r="S551" s="392">
        <v>1333031</v>
      </c>
      <c r="T551" s="231">
        <v>-74824</v>
      </c>
      <c r="U551" s="396">
        <v>1258207</v>
      </c>
      <c r="V551" s="231"/>
      <c r="W551" s="396">
        <v>8496922</v>
      </c>
      <c r="X551" s="396">
        <v>1585292</v>
      </c>
      <c r="Y551" s="396"/>
      <c r="Z551" s="396"/>
    </row>
    <row r="552" spans="1:26">
      <c r="A552" s="424">
        <v>96041</v>
      </c>
      <c r="B552" s="423" t="s">
        <v>1260</v>
      </c>
      <c r="C552" s="234">
        <v>1.9726000000000001E-3</v>
      </c>
      <c r="D552" s="234">
        <v>1.8835E-3</v>
      </c>
      <c r="E552" s="231">
        <v>11128281</v>
      </c>
      <c r="F552" s="231" t="s">
        <v>1924</v>
      </c>
      <c r="G552" s="392">
        <v>479507</v>
      </c>
      <c r="H552" s="392">
        <v>3678013</v>
      </c>
      <c r="I552" s="392">
        <v>1110353</v>
      </c>
      <c r="J552" s="231">
        <v>85500</v>
      </c>
      <c r="K552" s="231">
        <v>5353373</v>
      </c>
      <c r="L552" s="231"/>
      <c r="M552" s="300">
        <v>47013</v>
      </c>
      <c r="N552" s="300">
        <v>0</v>
      </c>
      <c r="O552" s="300">
        <v>0</v>
      </c>
      <c r="P552" s="231">
        <v>0</v>
      </c>
      <c r="Q552" s="231">
        <v>47013</v>
      </c>
      <c r="R552" s="231"/>
      <c r="S552" s="392">
        <v>3151033</v>
      </c>
      <c r="T552" s="231">
        <v>22977</v>
      </c>
      <c r="U552" s="396">
        <v>3174010</v>
      </c>
      <c r="V552" s="231"/>
      <c r="W552" s="396">
        <v>20085114</v>
      </c>
      <c r="X552" s="396">
        <v>3747330</v>
      </c>
      <c r="Y552" s="396"/>
      <c r="Z552" s="396"/>
    </row>
    <row r="553" spans="1:26">
      <c r="A553" s="424">
        <v>96051</v>
      </c>
      <c r="B553" s="423" t="s">
        <v>1261</v>
      </c>
      <c r="C553" s="234">
        <v>9.8710000000000009E-4</v>
      </c>
      <c r="D553" s="234">
        <v>1.0357000000000001E-3</v>
      </c>
      <c r="E553" s="231">
        <v>5568654</v>
      </c>
      <c r="F553" s="231" t="s">
        <v>1924</v>
      </c>
      <c r="G553" s="392">
        <v>239948</v>
      </c>
      <c r="H553" s="392">
        <v>1840498</v>
      </c>
      <c r="I553" s="392">
        <v>555627</v>
      </c>
      <c r="J553" s="231">
        <v>17176</v>
      </c>
      <c r="K553" s="231">
        <v>2653249</v>
      </c>
      <c r="L553" s="231"/>
      <c r="M553" s="300">
        <v>23526</v>
      </c>
      <c r="N553" s="300">
        <v>0</v>
      </c>
      <c r="O553" s="300">
        <v>0</v>
      </c>
      <c r="P553" s="231">
        <v>190191</v>
      </c>
      <c r="Q553" s="231">
        <v>213717</v>
      </c>
      <c r="R553" s="231"/>
      <c r="S553" s="392">
        <v>1576795</v>
      </c>
      <c r="T553" s="231">
        <v>-73481</v>
      </c>
      <c r="U553" s="396">
        <v>1503314</v>
      </c>
      <c r="V553" s="231"/>
      <c r="W553" s="396">
        <v>10050703</v>
      </c>
      <c r="X553" s="396">
        <v>1875185</v>
      </c>
      <c r="Y553" s="396"/>
      <c r="Z553" s="396"/>
    </row>
    <row r="554" spans="1:26">
      <c r="A554" s="424">
        <v>96061</v>
      </c>
      <c r="B554" s="423" t="s">
        <v>1262</v>
      </c>
      <c r="C554" s="234">
        <v>3.4769999999999999E-4</v>
      </c>
      <c r="D554" s="234">
        <v>3.411E-4</v>
      </c>
      <c r="E554" s="231">
        <v>1961525</v>
      </c>
      <c r="F554" s="231" t="s">
        <v>1924</v>
      </c>
      <c r="G554" s="392">
        <v>84520</v>
      </c>
      <c r="H554" s="392">
        <v>648304</v>
      </c>
      <c r="I554" s="392">
        <v>195716</v>
      </c>
      <c r="J554" s="231">
        <v>12537</v>
      </c>
      <c r="K554" s="231">
        <v>941077</v>
      </c>
      <c r="L554" s="231"/>
      <c r="M554" s="300">
        <v>8287</v>
      </c>
      <c r="N554" s="300">
        <v>0</v>
      </c>
      <c r="O554" s="300">
        <v>0</v>
      </c>
      <c r="P554" s="231">
        <v>26942</v>
      </c>
      <c r="Q554" s="231">
        <v>35229</v>
      </c>
      <c r="R554" s="231"/>
      <c r="S554" s="392">
        <v>555416</v>
      </c>
      <c r="T554" s="231">
        <v>-7709</v>
      </c>
      <c r="U554" s="396">
        <v>547707</v>
      </c>
      <c r="V554" s="231"/>
      <c r="W554" s="396">
        <v>3540299</v>
      </c>
      <c r="X554" s="396">
        <v>660523</v>
      </c>
      <c r="Y554" s="396"/>
      <c r="Z554" s="396"/>
    </row>
    <row r="555" spans="1:26">
      <c r="A555" s="424">
        <v>96071</v>
      </c>
      <c r="B555" s="423" t="s">
        <v>1263</v>
      </c>
      <c r="C555" s="234">
        <v>1.3378999999999999E-3</v>
      </c>
      <c r="D555" s="234">
        <v>1.3278000000000001E-3</v>
      </c>
      <c r="E555" s="231">
        <v>7547667</v>
      </c>
      <c r="F555" s="231" t="s">
        <v>1924</v>
      </c>
      <c r="G555" s="392">
        <v>325222</v>
      </c>
      <c r="H555" s="392">
        <v>2494583</v>
      </c>
      <c r="I555" s="392">
        <v>753088</v>
      </c>
      <c r="J555" s="231">
        <v>114963</v>
      </c>
      <c r="K555" s="231">
        <v>3687856</v>
      </c>
      <c r="L555" s="231"/>
      <c r="M555" s="300">
        <v>31886</v>
      </c>
      <c r="N555" s="300">
        <v>0</v>
      </c>
      <c r="O555" s="300">
        <v>0</v>
      </c>
      <c r="P555" s="231">
        <v>0</v>
      </c>
      <c r="Q555" s="231">
        <v>31886</v>
      </c>
      <c r="R555" s="231"/>
      <c r="S555" s="392">
        <v>2137163</v>
      </c>
      <c r="T555" s="231">
        <v>84258</v>
      </c>
      <c r="U555" s="396">
        <v>2221421</v>
      </c>
      <c r="V555" s="231"/>
      <c r="W555" s="396">
        <v>13622566</v>
      </c>
      <c r="X555" s="396">
        <v>2541597</v>
      </c>
      <c r="Y555" s="396"/>
      <c r="Z555" s="396"/>
    </row>
    <row r="556" spans="1:26">
      <c r="A556" s="424">
        <v>96081</v>
      </c>
      <c r="B556" s="423" t="s">
        <v>1264</v>
      </c>
      <c r="C556" s="234">
        <v>6.5799999999999995E-4</v>
      </c>
      <c r="D556" s="234">
        <v>6.2560000000000003E-4</v>
      </c>
      <c r="E556" s="231">
        <v>3712060</v>
      </c>
      <c r="F556" s="231" t="s">
        <v>1924</v>
      </c>
      <c r="G556" s="392">
        <v>159949</v>
      </c>
      <c r="H556" s="392">
        <v>1226875</v>
      </c>
      <c r="I556" s="392">
        <v>370380</v>
      </c>
      <c r="J556" s="231">
        <v>71213</v>
      </c>
      <c r="K556" s="231">
        <v>1828417</v>
      </c>
      <c r="L556" s="231"/>
      <c r="M556" s="300">
        <v>15682</v>
      </c>
      <c r="N556" s="300">
        <v>0</v>
      </c>
      <c r="O556" s="300">
        <v>0</v>
      </c>
      <c r="P556" s="231">
        <v>4788</v>
      </c>
      <c r="Q556" s="231">
        <v>20470</v>
      </c>
      <c r="R556" s="231"/>
      <c r="S556" s="392">
        <v>1051090</v>
      </c>
      <c r="T556" s="231">
        <v>32530</v>
      </c>
      <c r="U556" s="396">
        <v>1083620</v>
      </c>
      <c r="V556" s="231"/>
      <c r="W556" s="396">
        <v>6699790</v>
      </c>
      <c r="X556" s="396">
        <v>1249997</v>
      </c>
      <c r="Y556" s="396"/>
      <c r="Z556" s="396"/>
    </row>
    <row r="557" spans="1:26">
      <c r="A557" s="424">
        <v>96101</v>
      </c>
      <c r="B557" s="423" t="s">
        <v>1265</v>
      </c>
      <c r="C557" s="234">
        <v>6.9680000000000002E-4</v>
      </c>
      <c r="D557" s="234">
        <v>6.6339999999999997E-4</v>
      </c>
      <c r="E557" s="231">
        <v>3930947</v>
      </c>
      <c r="F557" s="231" t="s">
        <v>1924</v>
      </c>
      <c r="G557" s="392">
        <v>169381</v>
      </c>
      <c r="H557" s="392">
        <v>1299219</v>
      </c>
      <c r="I557" s="392">
        <v>392220</v>
      </c>
      <c r="J557" s="231">
        <v>141101</v>
      </c>
      <c r="K557" s="231">
        <v>2001921</v>
      </c>
      <c r="L557" s="231"/>
      <c r="M557" s="300">
        <v>16607</v>
      </c>
      <c r="N557" s="300">
        <v>0</v>
      </c>
      <c r="O557" s="300">
        <v>0</v>
      </c>
      <c r="P557" s="231">
        <v>25442</v>
      </c>
      <c r="Q557" s="231">
        <v>42049</v>
      </c>
      <c r="R557" s="231"/>
      <c r="S557" s="392">
        <v>1113069</v>
      </c>
      <c r="T557" s="231">
        <v>40821</v>
      </c>
      <c r="U557" s="396">
        <v>1153890</v>
      </c>
      <c r="V557" s="231"/>
      <c r="W557" s="396">
        <v>7094853</v>
      </c>
      <c r="X557" s="396">
        <v>1323705</v>
      </c>
      <c r="Y557" s="396"/>
      <c r="Z557" s="396"/>
    </row>
    <row r="558" spans="1:26">
      <c r="A558" s="424">
        <v>96102</v>
      </c>
      <c r="B558" s="423" t="s">
        <v>1266</v>
      </c>
      <c r="C558" s="234">
        <v>6.3999999999999997E-6</v>
      </c>
      <c r="D558" s="234">
        <v>1.0699999999999999E-5</v>
      </c>
      <c r="E558" s="231">
        <v>36105</v>
      </c>
      <c r="F558" s="231" t="s">
        <v>1924</v>
      </c>
      <c r="G558" s="392">
        <v>1556</v>
      </c>
      <c r="H558" s="392">
        <v>11933</v>
      </c>
      <c r="I558" s="392">
        <v>3602</v>
      </c>
      <c r="J558" s="231">
        <v>0</v>
      </c>
      <c r="K558" s="231">
        <v>17091</v>
      </c>
      <c r="L558" s="231"/>
      <c r="M558" s="300">
        <v>153</v>
      </c>
      <c r="N558" s="300">
        <v>0</v>
      </c>
      <c r="O558" s="300">
        <v>0</v>
      </c>
      <c r="P558" s="231">
        <v>7987</v>
      </c>
      <c r="Q558" s="231">
        <v>8140</v>
      </c>
      <c r="R558" s="231"/>
      <c r="S558" s="392">
        <v>10223</v>
      </c>
      <c r="T558" s="231">
        <v>-3816</v>
      </c>
      <c r="U558" s="396">
        <v>6407</v>
      </c>
      <c r="V558" s="231"/>
      <c r="W558" s="396">
        <v>65165</v>
      </c>
      <c r="X558" s="396">
        <v>12158</v>
      </c>
      <c r="Y558" s="396"/>
      <c r="Z558" s="396"/>
    </row>
    <row r="559" spans="1:26">
      <c r="A559" s="424">
        <v>96111</v>
      </c>
      <c r="B559" s="423" t="s">
        <v>1267</v>
      </c>
      <c r="C559" s="234">
        <v>1.7119999999999999E-4</v>
      </c>
      <c r="D559" s="234">
        <v>1.6789999999999999E-4</v>
      </c>
      <c r="E559" s="231">
        <v>965812</v>
      </c>
      <c r="F559" s="231" t="s">
        <v>1924</v>
      </c>
      <c r="G559" s="392">
        <v>41616</v>
      </c>
      <c r="H559" s="392">
        <v>319211</v>
      </c>
      <c r="I559" s="392">
        <v>96366</v>
      </c>
      <c r="J559" s="231">
        <v>31827</v>
      </c>
      <c r="K559" s="231">
        <v>489020</v>
      </c>
      <c r="L559" s="231"/>
      <c r="M559" s="300">
        <v>4080</v>
      </c>
      <c r="N559" s="300">
        <v>0</v>
      </c>
      <c r="O559" s="300">
        <v>0</v>
      </c>
      <c r="P559" s="231">
        <v>0</v>
      </c>
      <c r="Q559" s="231">
        <v>4080</v>
      </c>
      <c r="R559" s="231"/>
      <c r="S559" s="392">
        <v>273475</v>
      </c>
      <c r="T559" s="231">
        <v>21594</v>
      </c>
      <c r="U559" s="396">
        <v>295069</v>
      </c>
      <c r="V559" s="231"/>
      <c r="W559" s="396">
        <v>1743167</v>
      </c>
      <c r="X559" s="396">
        <v>325227</v>
      </c>
      <c r="Y559" s="396"/>
      <c r="Z559" s="396"/>
    </row>
    <row r="560" spans="1:26">
      <c r="A560" s="424">
        <v>96121</v>
      </c>
      <c r="B560" s="423" t="s">
        <v>1268</v>
      </c>
      <c r="C560" s="234">
        <v>1.5500000000000001E-5</v>
      </c>
      <c r="D560" s="234">
        <v>1.77E-5</v>
      </c>
      <c r="E560" s="231">
        <v>87442</v>
      </c>
      <c r="F560" s="231" t="s">
        <v>1924</v>
      </c>
      <c r="G560" s="392">
        <v>3768</v>
      </c>
      <c r="H560" s="392">
        <v>28901</v>
      </c>
      <c r="I560" s="392">
        <v>8725</v>
      </c>
      <c r="J560" s="231">
        <v>610</v>
      </c>
      <c r="K560" s="231">
        <v>42004</v>
      </c>
      <c r="L560" s="231"/>
      <c r="M560" s="300">
        <v>369</v>
      </c>
      <c r="N560" s="300">
        <v>0</v>
      </c>
      <c r="O560" s="300">
        <v>0</v>
      </c>
      <c r="P560" s="231">
        <v>6504</v>
      </c>
      <c r="Q560" s="231">
        <v>6873</v>
      </c>
      <c r="R560" s="231"/>
      <c r="S560" s="392">
        <v>24760</v>
      </c>
      <c r="T560" s="231">
        <v>-4360</v>
      </c>
      <c r="U560" s="396">
        <v>20400</v>
      </c>
      <c r="V560" s="231"/>
      <c r="W560" s="396">
        <v>157822</v>
      </c>
      <c r="X560" s="396">
        <v>29445</v>
      </c>
      <c r="Y560" s="396"/>
      <c r="Z560" s="396"/>
    </row>
    <row r="561" spans="1:26">
      <c r="A561" s="424">
        <v>96201</v>
      </c>
      <c r="B561" s="423" t="s">
        <v>1269</v>
      </c>
      <c r="C561" s="234">
        <v>1.1280999999999999E-3</v>
      </c>
      <c r="D561" s="234">
        <v>1.0398E-3</v>
      </c>
      <c r="E561" s="231">
        <v>6364095</v>
      </c>
      <c r="F561" s="231" t="s">
        <v>1924</v>
      </c>
      <c r="G561" s="392">
        <v>274223</v>
      </c>
      <c r="H561" s="392">
        <v>2103400</v>
      </c>
      <c r="I561" s="392">
        <v>634994</v>
      </c>
      <c r="J561" s="231">
        <v>243047</v>
      </c>
      <c r="K561" s="231">
        <v>3255664</v>
      </c>
      <c r="L561" s="231"/>
      <c r="M561" s="300">
        <v>26886</v>
      </c>
      <c r="N561" s="300">
        <v>0</v>
      </c>
      <c r="O561" s="300">
        <v>0</v>
      </c>
      <c r="P561" s="231">
        <v>29962</v>
      </c>
      <c r="Q561" s="231">
        <v>56848</v>
      </c>
      <c r="R561" s="231"/>
      <c r="S561" s="392">
        <v>1802028</v>
      </c>
      <c r="T561" s="231">
        <v>54563</v>
      </c>
      <c r="U561" s="396">
        <v>1856591</v>
      </c>
      <c r="V561" s="231"/>
      <c r="W561" s="396">
        <v>11486372</v>
      </c>
      <c r="X561" s="396">
        <v>2143041</v>
      </c>
      <c r="Y561" s="396"/>
      <c r="Z561" s="396"/>
    </row>
    <row r="562" spans="1:26">
      <c r="A562" s="424">
        <v>96204</v>
      </c>
      <c r="B562" s="423" t="s">
        <v>1270</v>
      </c>
      <c r="C562" s="234">
        <v>1.49E-5</v>
      </c>
      <c r="D562" s="234">
        <v>1.6200000000000001E-5</v>
      </c>
      <c r="E562" s="231">
        <v>84057</v>
      </c>
      <c r="F562" s="231" t="s">
        <v>1924</v>
      </c>
      <c r="G562" s="392">
        <v>3622</v>
      </c>
      <c r="H562" s="392">
        <v>27782</v>
      </c>
      <c r="I562" s="392">
        <v>8387</v>
      </c>
      <c r="J562" s="231">
        <v>6119</v>
      </c>
      <c r="K562" s="231">
        <v>45910</v>
      </c>
      <c r="L562" s="231"/>
      <c r="M562" s="300">
        <v>355</v>
      </c>
      <c r="N562" s="300">
        <v>0</v>
      </c>
      <c r="O562" s="300">
        <v>0</v>
      </c>
      <c r="P562" s="231">
        <v>0</v>
      </c>
      <c r="Q562" s="231">
        <v>355</v>
      </c>
      <c r="R562" s="231"/>
      <c r="S562" s="392">
        <v>23801</v>
      </c>
      <c r="T562" s="231">
        <v>4046</v>
      </c>
      <c r="U562" s="396">
        <v>27847</v>
      </c>
      <c r="V562" s="231"/>
      <c r="W562" s="396">
        <v>151713</v>
      </c>
      <c r="X562" s="396">
        <v>28305</v>
      </c>
      <c r="Y562" s="396"/>
      <c r="Z562" s="396"/>
    </row>
    <row r="563" spans="1:26">
      <c r="A563" s="424">
        <v>96211</v>
      </c>
      <c r="B563" s="423" t="s">
        <v>1271</v>
      </c>
      <c r="C563" s="234">
        <v>1.8899999999999999E-5</v>
      </c>
      <c r="D563" s="234">
        <v>2.0299999999999999E-5</v>
      </c>
      <c r="E563" s="231">
        <v>106623</v>
      </c>
      <c r="F563" s="231" t="s">
        <v>1924</v>
      </c>
      <c r="G563" s="392">
        <v>4594</v>
      </c>
      <c r="H563" s="392">
        <v>35240</v>
      </c>
      <c r="I563" s="392">
        <v>10639</v>
      </c>
      <c r="J563" s="231">
        <v>11455</v>
      </c>
      <c r="K563" s="231">
        <v>61928</v>
      </c>
      <c r="L563" s="231"/>
      <c r="M563" s="300">
        <v>450</v>
      </c>
      <c r="N563" s="300">
        <v>0</v>
      </c>
      <c r="O563" s="300">
        <v>0</v>
      </c>
      <c r="P563" s="231">
        <v>0</v>
      </c>
      <c r="Q563" s="231">
        <v>450</v>
      </c>
      <c r="R563" s="231"/>
      <c r="S563" s="392">
        <v>30191</v>
      </c>
      <c r="T563" s="231">
        <v>6290</v>
      </c>
      <c r="U563" s="396">
        <v>36481</v>
      </c>
      <c r="V563" s="231"/>
      <c r="W563" s="396">
        <v>192441</v>
      </c>
      <c r="X563" s="396">
        <v>35904</v>
      </c>
      <c r="Y563" s="396"/>
      <c r="Z563" s="396"/>
    </row>
    <row r="564" spans="1:26">
      <c r="A564" s="424">
        <v>96221</v>
      </c>
      <c r="B564" s="423" t="s">
        <v>1272</v>
      </c>
      <c r="C564" s="234">
        <v>1.931E-4</v>
      </c>
      <c r="D564" s="234">
        <v>1.8440000000000001E-4</v>
      </c>
      <c r="E564" s="231">
        <v>1089360</v>
      </c>
      <c r="F564" s="231" t="s">
        <v>1924</v>
      </c>
      <c r="G564" s="392">
        <v>46940</v>
      </c>
      <c r="H564" s="392">
        <v>360045</v>
      </c>
      <c r="I564" s="392">
        <v>108694</v>
      </c>
      <c r="J564" s="231">
        <v>16153</v>
      </c>
      <c r="K564" s="231">
        <v>531832</v>
      </c>
      <c r="L564" s="231"/>
      <c r="M564" s="300">
        <v>4602</v>
      </c>
      <c r="N564" s="300">
        <v>0</v>
      </c>
      <c r="O564" s="300">
        <v>0</v>
      </c>
      <c r="P564" s="231">
        <v>22710</v>
      </c>
      <c r="Q564" s="231">
        <v>27312</v>
      </c>
      <c r="R564" s="231"/>
      <c r="S564" s="392">
        <v>308458</v>
      </c>
      <c r="T564" s="231">
        <v>-13246</v>
      </c>
      <c r="U564" s="396">
        <v>295212</v>
      </c>
      <c r="V564" s="231"/>
      <c r="W564" s="396">
        <v>1966154</v>
      </c>
      <c r="X564" s="396">
        <v>366830</v>
      </c>
      <c r="Y564" s="396"/>
      <c r="Z564" s="396"/>
    </row>
    <row r="565" spans="1:26">
      <c r="A565" s="424">
        <v>96231</v>
      </c>
      <c r="B565" s="423" t="s">
        <v>1273</v>
      </c>
      <c r="C565" s="234">
        <v>1.147E-4</v>
      </c>
      <c r="D565" s="234">
        <v>1.086E-4</v>
      </c>
      <c r="E565" s="231">
        <v>647072</v>
      </c>
      <c r="F565" s="231" t="s">
        <v>1924</v>
      </c>
      <c r="G565" s="392">
        <v>27882</v>
      </c>
      <c r="H565" s="392">
        <v>213864</v>
      </c>
      <c r="I565" s="392">
        <v>64563</v>
      </c>
      <c r="J565" s="231">
        <v>6588</v>
      </c>
      <c r="K565" s="231">
        <v>312897</v>
      </c>
      <c r="L565" s="231"/>
      <c r="M565" s="300">
        <v>2734</v>
      </c>
      <c r="N565" s="300">
        <v>0</v>
      </c>
      <c r="O565" s="300">
        <v>0</v>
      </c>
      <c r="P565" s="231">
        <v>12432</v>
      </c>
      <c r="Q565" s="231">
        <v>15166</v>
      </c>
      <c r="R565" s="231"/>
      <c r="S565" s="392">
        <v>183222</v>
      </c>
      <c r="T565" s="231">
        <v>-13933</v>
      </c>
      <c r="U565" s="396">
        <v>169289</v>
      </c>
      <c r="V565" s="231"/>
      <c r="W565" s="396">
        <v>1167881</v>
      </c>
      <c r="X565" s="396">
        <v>217895</v>
      </c>
      <c r="Y565" s="396"/>
      <c r="Z565" s="396"/>
    </row>
    <row r="566" spans="1:26">
      <c r="A566" s="424">
        <v>96241</v>
      </c>
      <c r="B566" s="423" t="s">
        <v>1274</v>
      </c>
      <c r="C566" s="234">
        <v>5.8300000000000001E-5</v>
      </c>
      <c r="D566" s="234">
        <v>5.5600000000000003E-5</v>
      </c>
      <c r="E566" s="231">
        <v>328895</v>
      </c>
      <c r="F566" s="231" t="s">
        <v>1924</v>
      </c>
      <c r="G566" s="392">
        <v>14172</v>
      </c>
      <c r="H566" s="392">
        <v>108703</v>
      </c>
      <c r="I566" s="392">
        <v>32816</v>
      </c>
      <c r="J566" s="231">
        <v>819</v>
      </c>
      <c r="K566" s="231">
        <v>156510</v>
      </c>
      <c r="L566" s="231"/>
      <c r="M566" s="300">
        <v>1389</v>
      </c>
      <c r="N566" s="300">
        <v>0</v>
      </c>
      <c r="O566" s="300">
        <v>0</v>
      </c>
      <c r="P566" s="231">
        <v>15736</v>
      </c>
      <c r="Q566" s="231">
        <v>17125</v>
      </c>
      <c r="R566" s="231"/>
      <c r="S566" s="392">
        <v>93128</v>
      </c>
      <c r="T566" s="231">
        <v>-7441</v>
      </c>
      <c r="U566" s="396">
        <v>85687</v>
      </c>
      <c r="V566" s="231"/>
      <c r="W566" s="396">
        <v>593614</v>
      </c>
      <c r="X566" s="396">
        <v>110752</v>
      </c>
      <c r="Y566" s="396"/>
      <c r="Z566" s="396"/>
    </row>
    <row r="567" spans="1:26">
      <c r="A567" s="425">
        <v>96251</v>
      </c>
      <c r="B567" s="426" t="s">
        <v>1275</v>
      </c>
      <c r="C567" s="234">
        <v>9.9699999999999998E-5</v>
      </c>
      <c r="D567" s="234">
        <v>1.0340000000000001E-4</v>
      </c>
      <c r="E567" s="231">
        <v>562450</v>
      </c>
      <c r="F567" s="231" t="s">
        <v>1924</v>
      </c>
      <c r="G567" s="392">
        <v>24235</v>
      </c>
      <c r="H567" s="392">
        <v>185896</v>
      </c>
      <c r="I567" s="392">
        <v>56120</v>
      </c>
      <c r="J567" s="231">
        <v>11688</v>
      </c>
      <c r="K567" s="231">
        <v>277939</v>
      </c>
      <c r="L567" s="231"/>
      <c r="M567" s="300">
        <v>2376</v>
      </c>
      <c r="N567" s="300">
        <v>0</v>
      </c>
      <c r="O567" s="300">
        <v>0</v>
      </c>
      <c r="P567" s="231">
        <v>22038</v>
      </c>
      <c r="Q567" s="231">
        <v>24414</v>
      </c>
      <c r="R567" s="231"/>
      <c r="S567" s="392">
        <v>159261</v>
      </c>
      <c r="T567" s="231">
        <v>-8482</v>
      </c>
      <c r="U567" s="396">
        <v>150779</v>
      </c>
      <c r="V567" s="231"/>
      <c r="W567" s="396">
        <v>1015150</v>
      </c>
      <c r="X567" s="396">
        <v>189399</v>
      </c>
      <c r="Y567" s="396"/>
      <c r="Z567" s="396"/>
    </row>
    <row r="568" spans="1:26">
      <c r="A568" s="424">
        <v>96301</v>
      </c>
      <c r="B568" s="423" t="s">
        <v>1276</v>
      </c>
      <c r="C568" s="234">
        <v>4.6183999999999999E-3</v>
      </c>
      <c r="D568" s="234">
        <v>4.7479999999999996E-3</v>
      </c>
      <c r="E568" s="231">
        <v>26054371</v>
      </c>
      <c r="F568" s="231" t="s">
        <v>1924</v>
      </c>
      <c r="G568" s="392">
        <v>1122659</v>
      </c>
      <c r="H568" s="392">
        <v>8611242</v>
      </c>
      <c r="I568" s="392">
        <v>2599642</v>
      </c>
      <c r="J568" s="231">
        <v>74032</v>
      </c>
      <c r="K568" s="231">
        <v>12407575</v>
      </c>
      <c r="L568" s="231"/>
      <c r="M568" s="300">
        <v>110070</v>
      </c>
      <c r="N568" s="300">
        <v>0</v>
      </c>
      <c r="O568" s="300">
        <v>0</v>
      </c>
      <c r="P568" s="231">
        <v>414556</v>
      </c>
      <c r="Q568" s="231">
        <v>524626</v>
      </c>
      <c r="R568" s="231"/>
      <c r="S568" s="392">
        <v>7377437</v>
      </c>
      <c r="T568" s="231">
        <v>-88558</v>
      </c>
      <c r="U568" s="396">
        <v>7288879</v>
      </c>
      <c r="V568" s="231"/>
      <c r="W568" s="396">
        <v>47024784</v>
      </c>
      <c r="X568" s="396">
        <v>8773533</v>
      </c>
      <c r="Y568" s="396"/>
      <c r="Z568" s="396"/>
    </row>
    <row r="569" spans="1:26">
      <c r="A569" s="424">
        <v>96302</v>
      </c>
      <c r="B569" s="423" t="s">
        <v>1277</v>
      </c>
      <c r="C569" s="234">
        <v>3.04E-5</v>
      </c>
      <c r="D569" s="234">
        <v>2.2500000000000001E-5</v>
      </c>
      <c r="E569" s="231">
        <v>171499</v>
      </c>
      <c r="F569" s="231" t="s">
        <v>1924</v>
      </c>
      <c r="G569" s="392">
        <v>7390</v>
      </c>
      <c r="H569" s="392">
        <v>56682</v>
      </c>
      <c r="I569" s="392">
        <v>17112</v>
      </c>
      <c r="J569" s="231">
        <v>26110</v>
      </c>
      <c r="K569" s="231">
        <v>107294</v>
      </c>
      <c r="L569" s="231"/>
      <c r="M569" s="300">
        <v>725</v>
      </c>
      <c r="N569" s="300">
        <v>0</v>
      </c>
      <c r="O569" s="300">
        <v>0</v>
      </c>
      <c r="P569" s="231">
        <v>32086</v>
      </c>
      <c r="Q569" s="231">
        <v>32811</v>
      </c>
      <c r="R569" s="231"/>
      <c r="S569" s="392">
        <v>48561</v>
      </c>
      <c r="T569" s="231">
        <v>-1182</v>
      </c>
      <c r="U569" s="396">
        <v>47379</v>
      </c>
      <c r="V569" s="231"/>
      <c r="W569" s="396">
        <v>309534</v>
      </c>
      <c r="X569" s="396">
        <v>57751</v>
      </c>
      <c r="Y569" s="396"/>
      <c r="Z569" s="396"/>
    </row>
    <row r="570" spans="1:26">
      <c r="A570" s="424">
        <v>96304</v>
      </c>
      <c r="B570" s="423" t="s">
        <v>1278</v>
      </c>
      <c r="C570" s="234">
        <v>5.0399999999999999E-5</v>
      </c>
      <c r="D570" s="234">
        <v>5.1400000000000003E-5</v>
      </c>
      <c r="E570" s="231">
        <v>284328</v>
      </c>
      <c r="F570" s="231" t="s">
        <v>1924</v>
      </c>
      <c r="G570" s="392">
        <v>12251</v>
      </c>
      <c r="H570" s="392">
        <v>93973</v>
      </c>
      <c r="I570" s="392">
        <v>28370</v>
      </c>
      <c r="J570" s="231">
        <v>9304</v>
      </c>
      <c r="K570" s="231">
        <v>143898</v>
      </c>
      <c r="L570" s="231"/>
      <c r="M570" s="300">
        <v>1201</v>
      </c>
      <c r="N570" s="300">
        <v>0</v>
      </c>
      <c r="O570" s="300">
        <v>0</v>
      </c>
      <c r="P570" s="231">
        <v>0</v>
      </c>
      <c r="Q570" s="231">
        <v>1201</v>
      </c>
      <c r="R570" s="231"/>
      <c r="S570" s="392">
        <v>80509</v>
      </c>
      <c r="T570" s="231">
        <v>7594</v>
      </c>
      <c r="U570" s="396">
        <v>88103</v>
      </c>
      <c r="V570" s="231"/>
      <c r="W570" s="396">
        <v>513175</v>
      </c>
      <c r="X570" s="396">
        <v>95744</v>
      </c>
      <c r="Y570" s="396"/>
      <c r="Z570" s="396"/>
    </row>
    <row r="571" spans="1:26">
      <c r="A571" s="424">
        <v>96305</v>
      </c>
      <c r="B571" s="423" t="s">
        <v>1279</v>
      </c>
      <c r="C571" s="234">
        <v>3.8600000000000003E-5</v>
      </c>
      <c r="D571" s="234">
        <v>3.8699999999999999E-5</v>
      </c>
      <c r="E571" s="231">
        <v>217759</v>
      </c>
      <c r="F571" s="231" t="s">
        <v>1924</v>
      </c>
      <c r="G571" s="392">
        <v>9383</v>
      </c>
      <c r="H571" s="392">
        <v>71972</v>
      </c>
      <c r="I571" s="392">
        <v>21727</v>
      </c>
      <c r="J571" s="231">
        <v>9448</v>
      </c>
      <c r="K571" s="231">
        <v>112530</v>
      </c>
      <c r="L571" s="231"/>
      <c r="M571" s="300">
        <v>920</v>
      </c>
      <c r="N571" s="300">
        <v>0</v>
      </c>
      <c r="O571" s="300">
        <v>0</v>
      </c>
      <c r="P571" s="231">
        <v>0</v>
      </c>
      <c r="Q571" s="231">
        <v>920</v>
      </c>
      <c r="R571" s="231"/>
      <c r="S571" s="392">
        <v>61660</v>
      </c>
      <c r="T571" s="231">
        <v>8739</v>
      </c>
      <c r="U571" s="396">
        <v>70399</v>
      </c>
      <c r="V571" s="231"/>
      <c r="W571" s="396">
        <v>393027</v>
      </c>
      <c r="X571" s="396">
        <v>73328</v>
      </c>
      <c r="Y571" s="396"/>
      <c r="Z571" s="396"/>
    </row>
    <row r="572" spans="1:26">
      <c r="A572" s="424">
        <v>96310</v>
      </c>
      <c r="B572" s="423" t="s">
        <v>1280</v>
      </c>
      <c r="C572" s="234">
        <v>4.3900000000000003E-5</v>
      </c>
      <c r="D572" s="234">
        <v>5.6700000000000003E-5</v>
      </c>
      <c r="E572" s="231">
        <v>247659</v>
      </c>
      <c r="F572" s="231" t="s">
        <v>1924</v>
      </c>
      <c r="G572" s="392">
        <v>10671</v>
      </c>
      <c r="H572" s="392">
        <v>81854</v>
      </c>
      <c r="I572" s="392">
        <v>24711</v>
      </c>
      <c r="J572" s="231">
        <v>19598</v>
      </c>
      <c r="K572" s="231">
        <v>136834</v>
      </c>
      <c r="L572" s="231"/>
      <c r="M572" s="300">
        <v>1046</v>
      </c>
      <c r="N572" s="300">
        <v>0</v>
      </c>
      <c r="O572" s="300">
        <v>0</v>
      </c>
      <c r="P572" s="231">
        <v>9486</v>
      </c>
      <c r="Q572" s="231">
        <v>10532</v>
      </c>
      <c r="R572" s="231"/>
      <c r="S572" s="392">
        <v>70126</v>
      </c>
      <c r="T572" s="231">
        <v>6754</v>
      </c>
      <c r="U572" s="396">
        <v>76880</v>
      </c>
      <c r="V572" s="231"/>
      <c r="W572" s="396">
        <v>446992</v>
      </c>
      <c r="X572" s="396">
        <v>83396</v>
      </c>
      <c r="Y572" s="396"/>
      <c r="Z572" s="396"/>
    </row>
    <row r="573" spans="1:26">
      <c r="A573" s="424">
        <v>96311</v>
      </c>
      <c r="B573" s="423" t="s">
        <v>1281</v>
      </c>
      <c r="C573" s="234">
        <v>1.356E-3</v>
      </c>
      <c r="D573" s="234">
        <v>1.3083000000000001E-3</v>
      </c>
      <c r="E573" s="231">
        <v>7649776</v>
      </c>
      <c r="F573" s="231" t="s">
        <v>1924</v>
      </c>
      <c r="G573" s="392">
        <v>329622</v>
      </c>
      <c r="H573" s="392">
        <v>2528331</v>
      </c>
      <c r="I573" s="392">
        <v>763276</v>
      </c>
      <c r="J573" s="231">
        <v>38169</v>
      </c>
      <c r="K573" s="231">
        <v>3659398</v>
      </c>
      <c r="L573" s="231"/>
      <c r="M573" s="300">
        <v>32318</v>
      </c>
      <c r="N573" s="300">
        <v>0</v>
      </c>
      <c r="O573" s="300">
        <v>0</v>
      </c>
      <c r="P573" s="231">
        <v>109417</v>
      </c>
      <c r="Q573" s="231">
        <v>141735</v>
      </c>
      <c r="R573" s="231"/>
      <c r="S573" s="392">
        <v>2166076</v>
      </c>
      <c r="T573" s="231">
        <v>-36738</v>
      </c>
      <c r="U573" s="396">
        <v>2129338</v>
      </c>
      <c r="V573" s="231"/>
      <c r="W573" s="396">
        <v>13806861</v>
      </c>
      <c r="X573" s="396">
        <v>2575981</v>
      </c>
      <c r="Y573" s="396"/>
      <c r="Z573" s="396"/>
    </row>
    <row r="574" spans="1:26">
      <c r="A574" s="424">
        <v>96312</v>
      </c>
      <c r="B574" s="423" t="s">
        <v>1282</v>
      </c>
      <c r="C574" s="234">
        <v>1.34E-5</v>
      </c>
      <c r="D574" s="234">
        <v>8.6000000000000007E-6</v>
      </c>
      <c r="E574" s="231">
        <v>75595</v>
      </c>
      <c r="F574" s="231" t="s">
        <v>1924</v>
      </c>
      <c r="G574" s="392">
        <v>3257</v>
      </c>
      <c r="H574" s="392">
        <v>24985</v>
      </c>
      <c r="I574" s="392">
        <v>7543</v>
      </c>
      <c r="J574" s="231">
        <v>8795</v>
      </c>
      <c r="K574" s="231">
        <v>44580</v>
      </c>
      <c r="L574" s="231"/>
      <c r="M574" s="300">
        <v>319</v>
      </c>
      <c r="N574" s="300">
        <v>0</v>
      </c>
      <c r="O574" s="300">
        <v>0</v>
      </c>
      <c r="P574" s="231">
        <v>11174</v>
      </c>
      <c r="Q574" s="231">
        <v>11493</v>
      </c>
      <c r="R574" s="231"/>
      <c r="S574" s="392">
        <v>21405</v>
      </c>
      <c r="T574" s="231">
        <v>-1707</v>
      </c>
      <c r="U574" s="396">
        <v>19698</v>
      </c>
      <c r="V574" s="231"/>
      <c r="W574" s="396">
        <v>136439</v>
      </c>
      <c r="X574" s="396">
        <v>25456</v>
      </c>
      <c r="Y574" s="396"/>
      <c r="Z574" s="396"/>
    </row>
    <row r="575" spans="1:26">
      <c r="A575" s="424">
        <v>96318</v>
      </c>
      <c r="B575" s="423" t="s">
        <v>1283</v>
      </c>
      <c r="C575" s="234">
        <v>2.5845E-3</v>
      </c>
      <c r="D575" s="234">
        <v>2.3858E-3</v>
      </c>
      <c r="E575" s="231">
        <v>14580271</v>
      </c>
      <c r="F575" s="231" t="s">
        <v>1924</v>
      </c>
      <c r="G575" s="392">
        <v>628251</v>
      </c>
      <c r="H575" s="392">
        <v>4818932</v>
      </c>
      <c r="I575" s="392">
        <v>1454784</v>
      </c>
      <c r="J575" s="231">
        <v>536219</v>
      </c>
      <c r="K575" s="231">
        <v>7438186</v>
      </c>
      <c r="L575" s="231"/>
      <c r="M575" s="300">
        <v>61596</v>
      </c>
      <c r="N575" s="300">
        <v>0</v>
      </c>
      <c r="O575" s="300">
        <v>0</v>
      </c>
      <c r="P575" s="231">
        <v>0</v>
      </c>
      <c r="Q575" s="231">
        <v>61596</v>
      </c>
      <c r="R575" s="231"/>
      <c r="S575" s="392">
        <v>4128483</v>
      </c>
      <c r="T575" s="231">
        <v>294679</v>
      </c>
      <c r="U575" s="396">
        <v>4423162</v>
      </c>
      <c r="V575" s="231"/>
      <c r="W575" s="396">
        <v>26315511</v>
      </c>
      <c r="X575" s="396">
        <v>4909751</v>
      </c>
      <c r="Y575" s="396"/>
      <c r="Z575" s="396"/>
    </row>
    <row r="576" spans="1:26">
      <c r="A576" s="424">
        <v>96321</v>
      </c>
      <c r="B576" s="423" t="s">
        <v>1284</v>
      </c>
      <c r="C576" s="234">
        <v>4.5099999999999998E-5</v>
      </c>
      <c r="D576" s="234">
        <v>4.2299999999999998E-5</v>
      </c>
      <c r="E576" s="231">
        <v>254428</v>
      </c>
      <c r="F576" s="231" t="s">
        <v>1924</v>
      </c>
      <c r="G576" s="392">
        <v>10963</v>
      </c>
      <c r="H576" s="392">
        <v>84091</v>
      </c>
      <c r="I576" s="392">
        <v>25386</v>
      </c>
      <c r="J576" s="231">
        <v>5832</v>
      </c>
      <c r="K576" s="231">
        <v>126272</v>
      </c>
      <c r="L576" s="231"/>
      <c r="M576" s="300">
        <v>1075</v>
      </c>
      <c r="N576" s="300">
        <v>0</v>
      </c>
      <c r="O576" s="300">
        <v>0</v>
      </c>
      <c r="P576" s="231">
        <v>9870</v>
      </c>
      <c r="Q576" s="231">
        <v>10945</v>
      </c>
      <c r="R576" s="231"/>
      <c r="S576" s="392">
        <v>72043</v>
      </c>
      <c r="T576" s="231">
        <v>100</v>
      </c>
      <c r="U576" s="396">
        <v>72143</v>
      </c>
      <c r="V576" s="231"/>
      <c r="W576" s="396">
        <v>459211</v>
      </c>
      <c r="X576" s="396">
        <v>85676</v>
      </c>
      <c r="Y576" s="396"/>
      <c r="Z576" s="396"/>
    </row>
    <row r="577" spans="1:26">
      <c r="A577" s="424">
        <v>96331</v>
      </c>
      <c r="B577" s="423" t="s">
        <v>1285</v>
      </c>
      <c r="C577" s="234">
        <v>6.8970000000000001E-4</v>
      </c>
      <c r="D577" s="234">
        <v>6.6549999999999997E-4</v>
      </c>
      <c r="E577" s="231">
        <v>3890893</v>
      </c>
      <c r="F577" s="231" t="s">
        <v>1924</v>
      </c>
      <c r="G577" s="392">
        <v>167655</v>
      </c>
      <c r="H577" s="392">
        <v>1285981</v>
      </c>
      <c r="I577" s="392">
        <v>388224</v>
      </c>
      <c r="J577" s="231">
        <v>13381</v>
      </c>
      <c r="K577" s="231">
        <v>1855241</v>
      </c>
      <c r="L577" s="231"/>
      <c r="M577" s="300">
        <v>16438</v>
      </c>
      <c r="N577" s="300">
        <v>0</v>
      </c>
      <c r="O577" s="300">
        <v>0</v>
      </c>
      <c r="P577" s="231">
        <v>74957</v>
      </c>
      <c r="Q577" s="231">
        <v>91395</v>
      </c>
      <c r="R577" s="231"/>
      <c r="S577" s="392">
        <v>1101727</v>
      </c>
      <c r="T577" s="231">
        <v>-57532</v>
      </c>
      <c r="U577" s="396">
        <v>1044195</v>
      </c>
      <c r="V577" s="231"/>
      <c r="W577" s="396">
        <v>7022561</v>
      </c>
      <c r="X577" s="396">
        <v>1310217</v>
      </c>
      <c r="Y577" s="396"/>
      <c r="Z577" s="396"/>
    </row>
    <row r="578" spans="1:26">
      <c r="A578" s="424">
        <v>96341</v>
      </c>
      <c r="B578" s="423" t="s">
        <v>1286</v>
      </c>
      <c r="C578" s="234">
        <v>8.5099999999999995E-5</v>
      </c>
      <c r="D578" s="234">
        <v>7.8499999999999997E-5</v>
      </c>
      <c r="E578" s="231">
        <v>480086</v>
      </c>
      <c r="F578" s="231" t="s">
        <v>1924</v>
      </c>
      <c r="G578" s="392">
        <v>20686</v>
      </c>
      <c r="H578" s="392">
        <v>158673</v>
      </c>
      <c r="I578" s="392">
        <v>47902</v>
      </c>
      <c r="J578" s="231">
        <v>20754</v>
      </c>
      <c r="K578" s="231">
        <v>248015</v>
      </c>
      <c r="L578" s="231"/>
      <c r="M578" s="300">
        <v>2028</v>
      </c>
      <c r="N578" s="300">
        <v>0</v>
      </c>
      <c r="O578" s="300">
        <v>0</v>
      </c>
      <c r="P578" s="231">
        <v>9730</v>
      </c>
      <c r="Q578" s="231">
        <v>11758</v>
      </c>
      <c r="R578" s="231"/>
      <c r="S578" s="392">
        <v>135939</v>
      </c>
      <c r="T578" s="231">
        <v>797</v>
      </c>
      <c r="U578" s="396">
        <v>136736</v>
      </c>
      <c r="V578" s="231"/>
      <c r="W578" s="396">
        <v>866493</v>
      </c>
      <c r="X578" s="396">
        <v>161664</v>
      </c>
      <c r="Y578" s="396"/>
      <c r="Z578" s="396"/>
    </row>
    <row r="579" spans="1:26">
      <c r="A579" s="424">
        <v>96351</v>
      </c>
      <c r="B579" s="423" t="s">
        <v>1287</v>
      </c>
      <c r="C579" s="234">
        <v>1.0866999999999999E-3</v>
      </c>
      <c r="D579" s="234">
        <v>1.0480000000000001E-3</v>
      </c>
      <c r="E579" s="231">
        <v>6130540</v>
      </c>
      <c r="F579" s="231" t="s">
        <v>1924</v>
      </c>
      <c r="G579" s="392">
        <v>264159</v>
      </c>
      <c r="H579" s="392">
        <v>2026208</v>
      </c>
      <c r="I579" s="392">
        <v>611690</v>
      </c>
      <c r="J579" s="231">
        <v>36899</v>
      </c>
      <c r="K579" s="231">
        <v>2938956</v>
      </c>
      <c r="L579" s="231"/>
      <c r="M579" s="300">
        <v>25899</v>
      </c>
      <c r="N579" s="300">
        <v>0</v>
      </c>
      <c r="O579" s="300">
        <v>0</v>
      </c>
      <c r="P579" s="231">
        <v>8962</v>
      </c>
      <c r="Q579" s="231">
        <v>34861</v>
      </c>
      <c r="R579" s="231"/>
      <c r="S579" s="392">
        <v>1735896</v>
      </c>
      <c r="T579" s="231">
        <v>11784</v>
      </c>
      <c r="U579" s="396">
        <v>1747680</v>
      </c>
      <c r="V579" s="231"/>
      <c r="W579" s="396">
        <v>11064835</v>
      </c>
      <c r="X579" s="396">
        <v>2064394</v>
      </c>
      <c r="Y579" s="396"/>
      <c r="Z579" s="396"/>
    </row>
    <row r="580" spans="1:26">
      <c r="A580" s="424">
        <v>96361</v>
      </c>
      <c r="B580" s="423" t="s">
        <v>1288</v>
      </c>
      <c r="C580" s="234">
        <v>6.2000000000000003E-5</v>
      </c>
      <c r="D580" s="234">
        <v>4.5000000000000003E-5</v>
      </c>
      <c r="E580" s="231">
        <v>349769</v>
      </c>
      <c r="F580" s="231" t="s">
        <v>1924</v>
      </c>
      <c r="G580" s="392">
        <v>15071</v>
      </c>
      <c r="H580" s="392">
        <v>115602</v>
      </c>
      <c r="I580" s="392">
        <v>34899</v>
      </c>
      <c r="J580" s="231">
        <v>28382</v>
      </c>
      <c r="K580" s="231">
        <v>193954</v>
      </c>
      <c r="L580" s="231"/>
      <c r="M580" s="300">
        <v>1478</v>
      </c>
      <c r="N580" s="300">
        <v>0</v>
      </c>
      <c r="O580" s="300">
        <v>0</v>
      </c>
      <c r="P580" s="231">
        <v>2694</v>
      </c>
      <c r="Q580" s="231">
        <v>4172</v>
      </c>
      <c r="R580" s="231"/>
      <c r="S580" s="392">
        <v>99039</v>
      </c>
      <c r="T580" s="231">
        <v>8752</v>
      </c>
      <c r="U580" s="396">
        <v>107791</v>
      </c>
      <c r="V580" s="231"/>
      <c r="W580" s="396">
        <v>631287</v>
      </c>
      <c r="X580" s="396">
        <v>117781</v>
      </c>
      <c r="Y580" s="396"/>
      <c r="Z580" s="396"/>
    </row>
    <row r="581" spans="1:26">
      <c r="A581" s="424">
        <v>96371</v>
      </c>
      <c r="B581" s="423" t="s">
        <v>1289</v>
      </c>
      <c r="C581" s="234">
        <v>1.5440000000000001E-4</v>
      </c>
      <c r="D581" s="234">
        <v>1.384E-4</v>
      </c>
      <c r="E581" s="231">
        <v>871036</v>
      </c>
      <c r="F581" s="231" t="s">
        <v>1924</v>
      </c>
      <c r="G581" s="392">
        <v>37532</v>
      </c>
      <c r="H581" s="392">
        <v>287887</v>
      </c>
      <c r="I581" s="392">
        <v>86910</v>
      </c>
      <c r="J581" s="231">
        <v>37180</v>
      </c>
      <c r="K581" s="231">
        <v>449509</v>
      </c>
      <c r="L581" s="231"/>
      <c r="M581" s="300">
        <v>3680</v>
      </c>
      <c r="N581" s="300">
        <v>0</v>
      </c>
      <c r="O581" s="300">
        <v>0</v>
      </c>
      <c r="P581" s="231">
        <v>14528</v>
      </c>
      <c r="Q581" s="231">
        <v>18208</v>
      </c>
      <c r="R581" s="231"/>
      <c r="S581" s="392">
        <v>246639</v>
      </c>
      <c r="T581" s="231">
        <v>6293</v>
      </c>
      <c r="U581" s="396">
        <v>252932</v>
      </c>
      <c r="V581" s="231"/>
      <c r="W581" s="396">
        <v>1572109</v>
      </c>
      <c r="X581" s="396">
        <v>293312</v>
      </c>
      <c r="Y581" s="396"/>
      <c r="Z581" s="396"/>
    </row>
    <row r="582" spans="1:26">
      <c r="A582" s="424">
        <v>96381</v>
      </c>
      <c r="B582" s="423" t="s">
        <v>1290</v>
      </c>
      <c r="C582" s="234">
        <v>3.1000000000000001E-5</v>
      </c>
      <c r="D582" s="234">
        <v>2.4300000000000001E-5</v>
      </c>
      <c r="E582" s="231">
        <v>174884</v>
      </c>
      <c r="F582" s="231" t="s">
        <v>1924</v>
      </c>
      <c r="G582" s="392">
        <v>7536</v>
      </c>
      <c r="H582" s="392">
        <v>57801</v>
      </c>
      <c r="I582" s="392">
        <v>17450</v>
      </c>
      <c r="J582" s="231">
        <v>14482</v>
      </c>
      <c r="K582" s="231">
        <v>97269</v>
      </c>
      <c r="L582" s="231"/>
      <c r="M582" s="300">
        <v>739</v>
      </c>
      <c r="N582" s="300">
        <v>0</v>
      </c>
      <c r="O582" s="300">
        <v>0</v>
      </c>
      <c r="P582" s="231">
        <v>5561</v>
      </c>
      <c r="Q582" s="231">
        <v>6300</v>
      </c>
      <c r="R582" s="231"/>
      <c r="S582" s="392">
        <v>49519</v>
      </c>
      <c r="T582" s="231">
        <v>1921</v>
      </c>
      <c r="U582" s="396">
        <v>51440</v>
      </c>
      <c r="V582" s="231"/>
      <c r="W582" s="396">
        <v>315644</v>
      </c>
      <c r="X582" s="396">
        <v>58890</v>
      </c>
      <c r="Y582" s="396"/>
      <c r="Z582" s="396"/>
    </row>
    <row r="583" spans="1:26">
      <c r="A583" s="424">
        <v>96391</v>
      </c>
      <c r="B583" s="423" t="s">
        <v>1291</v>
      </c>
      <c r="C583" s="234">
        <v>1.8420000000000001E-4</v>
      </c>
      <c r="D583" s="234">
        <v>1.696E-4</v>
      </c>
      <c r="E583" s="231">
        <v>1039151</v>
      </c>
      <c r="F583" s="231" t="s">
        <v>1924</v>
      </c>
      <c r="G583" s="392">
        <v>44776</v>
      </c>
      <c r="H583" s="392">
        <v>343450</v>
      </c>
      <c r="I583" s="392">
        <v>103684</v>
      </c>
      <c r="J583" s="231">
        <v>11752</v>
      </c>
      <c r="K583" s="231">
        <v>503662</v>
      </c>
      <c r="L583" s="231"/>
      <c r="M583" s="300">
        <v>4390</v>
      </c>
      <c r="N583" s="300">
        <v>0</v>
      </c>
      <c r="O583" s="300">
        <v>0</v>
      </c>
      <c r="P583" s="231">
        <v>67149</v>
      </c>
      <c r="Q583" s="231">
        <v>71539</v>
      </c>
      <c r="R583" s="231"/>
      <c r="S583" s="392">
        <v>294241</v>
      </c>
      <c r="T583" s="231">
        <v>-37063</v>
      </c>
      <c r="U583" s="396">
        <v>257178</v>
      </c>
      <c r="V583" s="231"/>
      <c r="W583" s="396">
        <v>1875534</v>
      </c>
      <c r="X583" s="396">
        <v>349923</v>
      </c>
      <c r="Y583" s="396"/>
      <c r="Z583" s="396"/>
    </row>
    <row r="584" spans="1:26">
      <c r="A584" s="424">
        <v>96401</v>
      </c>
      <c r="B584" s="423" t="s">
        <v>1292</v>
      </c>
      <c r="C584" s="234">
        <v>4.2157000000000002E-3</v>
      </c>
      <c r="D584" s="234">
        <v>4.0784000000000003E-3</v>
      </c>
      <c r="E584" s="231">
        <v>23782568</v>
      </c>
      <c r="F584" s="231" t="s">
        <v>1924</v>
      </c>
      <c r="G584" s="392">
        <v>1024769</v>
      </c>
      <c r="H584" s="392">
        <v>7860388</v>
      </c>
      <c r="I584" s="392">
        <v>2372967</v>
      </c>
      <c r="J584" s="231">
        <v>306895</v>
      </c>
      <c r="K584" s="231">
        <v>11565019</v>
      </c>
      <c r="L584" s="231"/>
      <c r="M584" s="300">
        <v>100473</v>
      </c>
      <c r="N584" s="300">
        <v>0</v>
      </c>
      <c r="O584" s="300">
        <v>0</v>
      </c>
      <c r="P584" s="231">
        <v>236889</v>
      </c>
      <c r="Q584" s="231">
        <v>337362</v>
      </c>
      <c r="R584" s="231"/>
      <c r="S584" s="392">
        <v>6734163</v>
      </c>
      <c r="T584" s="231">
        <v>-55011</v>
      </c>
      <c r="U584" s="396">
        <v>6679152</v>
      </c>
      <c r="V584" s="231"/>
      <c r="W584" s="396">
        <v>42924472</v>
      </c>
      <c r="X584" s="396">
        <v>8008527</v>
      </c>
      <c r="Y584" s="396"/>
      <c r="Z584" s="396"/>
    </row>
    <row r="585" spans="1:26">
      <c r="A585" s="424">
        <v>96404</v>
      </c>
      <c r="B585" s="423" t="s">
        <v>1293</v>
      </c>
      <c r="C585" s="234">
        <v>1.094E-4</v>
      </c>
      <c r="D585" s="234">
        <v>1.032E-4</v>
      </c>
      <c r="E585" s="231">
        <v>617172</v>
      </c>
      <c r="F585" s="231" t="s">
        <v>1924</v>
      </c>
      <c r="G585" s="392">
        <v>26593</v>
      </c>
      <c r="H585" s="392">
        <v>203982</v>
      </c>
      <c r="I585" s="392">
        <v>61580</v>
      </c>
      <c r="J585" s="231">
        <v>54493</v>
      </c>
      <c r="K585" s="231">
        <v>346648</v>
      </c>
      <c r="L585" s="231"/>
      <c r="M585" s="300">
        <v>2607</v>
      </c>
      <c r="N585" s="300">
        <v>0</v>
      </c>
      <c r="O585" s="300">
        <v>0</v>
      </c>
      <c r="P585" s="231">
        <v>0</v>
      </c>
      <c r="Q585" s="231">
        <v>2607</v>
      </c>
      <c r="R585" s="231"/>
      <c r="S585" s="392">
        <v>174756</v>
      </c>
      <c r="T585" s="231">
        <v>27951</v>
      </c>
      <c r="U585" s="396">
        <v>202707</v>
      </c>
      <c r="V585" s="231"/>
      <c r="W585" s="396">
        <v>1113916</v>
      </c>
      <c r="X585" s="396">
        <v>207826</v>
      </c>
      <c r="Y585" s="396"/>
      <c r="Z585" s="396"/>
    </row>
    <row r="586" spans="1:26">
      <c r="A586" s="424">
        <v>96405</v>
      </c>
      <c r="B586" s="423" t="s">
        <v>1294</v>
      </c>
      <c r="C586" s="234">
        <v>1.2310000000000001E-4</v>
      </c>
      <c r="D586" s="234">
        <v>1.3880000000000001E-4</v>
      </c>
      <c r="E586" s="231">
        <v>694460</v>
      </c>
      <c r="F586" s="231" t="s">
        <v>1924</v>
      </c>
      <c r="G586" s="392">
        <v>29924</v>
      </c>
      <c r="H586" s="392">
        <v>229526</v>
      </c>
      <c r="I586" s="392">
        <v>69292</v>
      </c>
      <c r="J586" s="231">
        <v>26957</v>
      </c>
      <c r="K586" s="231">
        <v>355699</v>
      </c>
      <c r="L586" s="231"/>
      <c r="M586" s="300">
        <v>2934</v>
      </c>
      <c r="N586" s="300">
        <v>0</v>
      </c>
      <c r="O586" s="300">
        <v>0</v>
      </c>
      <c r="P586" s="231">
        <v>20930</v>
      </c>
      <c r="Q586" s="231">
        <v>23864</v>
      </c>
      <c r="R586" s="231"/>
      <c r="S586" s="392">
        <v>196640</v>
      </c>
      <c r="T586" s="231">
        <v>6275</v>
      </c>
      <c r="U586" s="396">
        <v>202915</v>
      </c>
      <c r="V586" s="231"/>
      <c r="W586" s="396">
        <v>1253410</v>
      </c>
      <c r="X586" s="396">
        <v>233852</v>
      </c>
      <c r="Y586" s="396"/>
      <c r="Z586" s="396"/>
    </row>
    <row r="587" spans="1:26">
      <c r="A587" s="424">
        <v>96411</v>
      </c>
      <c r="B587" s="423" t="s">
        <v>1295</v>
      </c>
      <c r="C587" s="234">
        <v>5.5399999999999998E-5</v>
      </c>
      <c r="D587" s="234">
        <v>6.8200000000000004E-5</v>
      </c>
      <c r="E587" s="231">
        <v>312535</v>
      </c>
      <c r="F587" s="231" t="s">
        <v>1924</v>
      </c>
      <c r="G587" s="392">
        <v>13467</v>
      </c>
      <c r="H587" s="392">
        <v>103296</v>
      </c>
      <c r="I587" s="392">
        <v>31184</v>
      </c>
      <c r="J587" s="231">
        <v>0</v>
      </c>
      <c r="K587" s="231">
        <v>147947</v>
      </c>
      <c r="L587" s="231"/>
      <c r="M587" s="300">
        <v>1320</v>
      </c>
      <c r="N587" s="300">
        <v>0</v>
      </c>
      <c r="O587" s="300">
        <v>0</v>
      </c>
      <c r="P587" s="231">
        <v>24841</v>
      </c>
      <c r="Q587" s="231">
        <v>26161</v>
      </c>
      <c r="R587" s="231"/>
      <c r="S587" s="392">
        <v>88496</v>
      </c>
      <c r="T587" s="231">
        <v>-11837</v>
      </c>
      <c r="U587" s="396">
        <v>76659</v>
      </c>
      <c r="V587" s="231"/>
      <c r="W587" s="396">
        <v>564086</v>
      </c>
      <c r="X587" s="396">
        <v>105243</v>
      </c>
      <c r="Y587" s="396"/>
      <c r="Z587" s="396"/>
    </row>
    <row r="588" spans="1:26">
      <c r="A588" s="424">
        <v>96421</v>
      </c>
      <c r="B588" s="423" t="s">
        <v>1296</v>
      </c>
      <c r="C588" s="234">
        <v>4.2279999999999998E-4</v>
      </c>
      <c r="D588" s="234">
        <v>4.5800000000000002E-4</v>
      </c>
      <c r="E588" s="231">
        <v>2385196</v>
      </c>
      <c r="F588" s="231" t="s">
        <v>1924</v>
      </c>
      <c r="G588" s="392">
        <v>102776</v>
      </c>
      <c r="H588" s="392">
        <v>788332</v>
      </c>
      <c r="I588" s="392">
        <v>237989</v>
      </c>
      <c r="J588" s="231">
        <v>20401</v>
      </c>
      <c r="K588" s="231">
        <v>1149498</v>
      </c>
      <c r="L588" s="231"/>
      <c r="M588" s="300">
        <v>10077</v>
      </c>
      <c r="N588" s="300">
        <v>0</v>
      </c>
      <c r="O588" s="300">
        <v>0</v>
      </c>
      <c r="P588" s="231">
        <v>81384</v>
      </c>
      <c r="Q588" s="231">
        <v>91461</v>
      </c>
      <c r="R588" s="231"/>
      <c r="S588" s="392">
        <v>675381</v>
      </c>
      <c r="T588" s="231">
        <v>-27703</v>
      </c>
      <c r="U588" s="396">
        <v>647678</v>
      </c>
      <c r="V588" s="231"/>
      <c r="W588" s="396">
        <v>4304971</v>
      </c>
      <c r="X588" s="396">
        <v>803189</v>
      </c>
      <c r="Y588" s="396"/>
      <c r="Z588" s="396"/>
    </row>
    <row r="589" spans="1:26">
      <c r="A589" s="424">
        <v>96431</v>
      </c>
      <c r="B589" s="423" t="s">
        <v>1297</v>
      </c>
      <c r="C589" s="234">
        <v>4.6199999999999998E-5</v>
      </c>
      <c r="D589" s="234">
        <v>4.4400000000000002E-5</v>
      </c>
      <c r="E589" s="231">
        <v>260634</v>
      </c>
      <c r="F589" s="231" t="s">
        <v>1924</v>
      </c>
      <c r="G589" s="392">
        <v>11230</v>
      </c>
      <c r="H589" s="392">
        <v>86142</v>
      </c>
      <c r="I589" s="392">
        <v>26005</v>
      </c>
      <c r="J589" s="231">
        <v>20470</v>
      </c>
      <c r="K589" s="231">
        <v>143847</v>
      </c>
      <c r="L589" s="231"/>
      <c r="M589" s="300">
        <v>1101</v>
      </c>
      <c r="N589" s="300">
        <v>0</v>
      </c>
      <c r="O589" s="300">
        <v>0</v>
      </c>
      <c r="P589" s="231">
        <v>848</v>
      </c>
      <c r="Q589" s="231">
        <v>1949</v>
      </c>
      <c r="R589" s="231"/>
      <c r="S589" s="392">
        <v>73800</v>
      </c>
      <c r="T589" s="231">
        <v>11874</v>
      </c>
      <c r="U589" s="396">
        <v>85674</v>
      </c>
      <c r="V589" s="231"/>
      <c r="W589" s="396">
        <v>470411</v>
      </c>
      <c r="X589" s="396">
        <v>87766</v>
      </c>
      <c r="Y589" s="396"/>
      <c r="Z589" s="396"/>
    </row>
    <row r="590" spans="1:26">
      <c r="A590" s="424">
        <v>96441</v>
      </c>
      <c r="B590" s="423" t="s">
        <v>1298</v>
      </c>
      <c r="C590" s="234">
        <v>3.1000000000000001E-5</v>
      </c>
      <c r="D590" s="234">
        <v>2.97E-5</v>
      </c>
      <c r="E590" s="231">
        <v>174884</v>
      </c>
      <c r="F590" s="231" t="s">
        <v>1924</v>
      </c>
      <c r="G590" s="392">
        <v>7536</v>
      </c>
      <c r="H590" s="392">
        <v>57801</v>
      </c>
      <c r="I590" s="392">
        <v>17450</v>
      </c>
      <c r="J590" s="231">
        <v>7432</v>
      </c>
      <c r="K590" s="231">
        <v>90219</v>
      </c>
      <c r="L590" s="231"/>
      <c r="M590" s="300">
        <v>739</v>
      </c>
      <c r="N590" s="300">
        <v>0</v>
      </c>
      <c r="O590" s="300">
        <v>0</v>
      </c>
      <c r="P590" s="231">
        <v>999</v>
      </c>
      <c r="Q590" s="231">
        <v>1738</v>
      </c>
      <c r="R590" s="231"/>
      <c r="S590" s="392">
        <v>49519</v>
      </c>
      <c r="T590" s="231">
        <v>4450</v>
      </c>
      <c r="U590" s="396">
        <v>53969</v>
      </c>
      <c r="V590" s="231"/>
      <c r="W590" s="396">
        <v>315644</v>
      </c>
      <c r="X590" s="396">
        <v>58890</v>
      </c>
      <c r="Y590" s="396"/>
      <c r="Z590" s="396"/>
    </row>
    <row r="591" spans="1:26">
      <c r="A591" s="424">
        <v>96451</v>
      </c>
      <c r="B591" s="423" t="s">
        <v>1299</v>
      </c>
      <c r="C591" s="234">
        <v>1.1199999999999999E-5</v>
      </c>
      <c r="D591" s="234">
        <v>1.2300000000000001E-5</v>
      </c>
      <c r="E591" s="231">
        <v>63184</v>
      </c>
      <c r="F591" s="231" t="s">
        <v>1924</v>
      </c>
      <c r="G591" s="392">
        <v>2723</v>
      </c>
      <c r="H591" s="392">
        <v>20883</v>
      </c>
      <c r="I591" s="392">
        <v>6304</v>
      </c>
      <c r="J591" s="231">
        <v>3455</v>
      </c>
      <c r="K591" s="231">
        <v>33365</v>
      </c>
      <c r="L591" s="231"/>
      <c r="M591" s="300">
        <v>267</v>
      </c>
      <c r="N591" s="300">
        <v>0</v>
      </c>
      <c r="O591" s="300">
        <v>0</v>
      </c>
      <c r="P591" s="231">
        <v>1784</v>
      </c>
      <c r="Q591" s="231">
        <v>2051</v>
      </c>
      <c r="R591" s="231"/>
      <c r="S591" s="392">
        <v>17891</v>
      </c>
      <c r="T591" s="231">
        <v>1318</v>
      </c>
      <c r="U591" s="396">
        <v>19209</v>
      </c>
      <c r="V591" s="231"/>
      <c r="W591" s="396">
        <v>114039</v>
      </c>
      <c r="X591" s="396">
        <v>21277</v>
      </c>
      <c r="Y591" s="396"/>
      <c r="Z591" s="396"/>
    </row>
    <row r="592" spans="1:26">
      <c r="A592" s="424">
        <v>96461</v>
      </c>
      <c r="B592" s="423" t="s">
        <v>1300</v>
      </c>
      <c r="C592" s="234">
        <v>1.527E-4</v>
      </c>
      <c r="D592" s="234">
        <v>1.5970000000000001E-4</v>
      </c>
      <c r="E592" s="231">
        <v>861446</v>
      </c>
      <c r="F592" s="231" t="s">
        <v>1924</v>
      </c>
      <c r="G592" s="392">
        <v>37119</v>
      </c>
      <c r="H592" s="392">
        <v>284717</v>
      </c>
      <c r="I592" s="392">
        <v>85953</v>
      </c>
      <c r="J592" s="231">
        <v>30128</v>
      </c>
      <c r="K592" s="231">
        <v>437917</v>
      </c>
      <c r="L592" s="231"/>
      <c r="M592" s="300">
        <v>3639</v>
      </c>
      <c r="N592" s="300">
        <v>0</v>
      </c>
      <c r="O592" s="300">
        <v>0</v>
      </c>
      <c r="P592" s="231">
        <v>34387</v>
      </c>
      <c r="Q592" s="231">
        <v>38026</v>
      </c>
      <c r="R592" s="231"/>
      <c r="S592" s="392">
        <v>243923</v>
      </c>
      <c r="T592" s="231">
        <v>197</v>
      </c>
      <c r="U592" s="396">
        <v>244120</v>
      </c>
      <c r="V592" s="231"/>
      <c r="W592" s="396">
        <v>1554799</v>
      </c>
      <c r="X592" s="396">
        <v>290083</v>
      </c>
      <c r="Y592" s="396"/>
      <c r="Z592" s="396"/>
    </row>
    <row r="593" spans="1:26">
      <c r="A593" s="424">
        <v>96501</v>
      </c>
      <c r="B593" s="423" t="s">
        <v>1301</v>
      </c>
      <c r="C593" s="234">
        <v>1.4519799999999999E-2</v>
      </c>
      <c r="D593" s="234">
        <v>1.42842E-2</v>
      </c>
      <c r="E593" s="231">
        <v>81912406</v>
      </c>
      <c r="F593" s="231" t="s">
        <v>1924</v>
      </c>
      <c r="G593" s="392">
        <v>3529531</v>
      </c>
      <c r="H593" s="392">
        <v>27072908</v>
      </c>
      <c r="I593" s="392">
        <v>8173021</v>
      </c>
      <c r="J593" s="231">
        <v>555402</v>
      </c>
      <c r="K593" s="231">
        <v>39330862</v>
      </c>
      <c r="L593" s="231"/>
      <c r="M593" s="300">
        <v>346050</v>
      </c>
      <c r="N593" s="300">
        <v>0</v>
      </c>
      <c r="O593" s="300">
        <v>0</v>
      </c>
      <c r="P593" s="231">
        <v>525320</v>
      </c>
      <c r="Q593" s="231">
        <v>871370</v>
      </c>
      <c r="R593" s="231"/>
      <c r="S593" s="392">
        <v>23193943</v>
      </c>
      <c r="T593" s="231">
        <v>-60974</v>
      </c>
      <c r="U593" s="396">
        <v>23132969</v>
      </c>
      <c r="V593" s="231"/>
      <c r="W593" s="396">
        <v>147841344</v>
      </c>
      <c r="X593" s="396">
        <v>27583133</v>
      </c>
      <c r="Y593" s="396"/>
      <c r="Z593" s="396"/>
    </row>
    <row r="594" spans="1:26">
      <c r="A594" s="424">
        <v>96502</v>
      </c>
      <c r="B594" s="423" t="s">
        <v>1302</v>
      </c>
      <c r="C594" s="234">
        <v>3.3349999999999997E-4</v>
      </c>
      <c r="D594" s="234">
        <v>3.366E-4</v>
      </c>
      <c r="E594" s="231">
        <v>1881416</v>
      </c>
      <c r="F594" s="231" t="s">
        <v>1924</v>
      </c>
      <c r="G594" s="392">
        <v>81069</v>
      </c>
      <c r="H594" s="392">
        <v>621828</v>
      </c>
      <c r="I594" s="392">
        <v>187723</v>
      </c>
      <c r="J594" s="231">
        <v>28577</v>
      </c>
      <c r="K594" s="231">
        <v>919197</v>
      </c>
      <c r="L594" s="231"/>
      <c r="M594" s="300">
        <v>7948</v>
      </c>
      <c r="N594" s="300">
        <v>0</v>
      </c>
      <c r="O594" s="300">
        <v>0</v>
      </c>
      <c r="P594" s="231">
        <v>24275</v>
      </c>
      <c r="Q594" s="231">
        <v>32223</v>
      </c>
      <c r="R594" s="231"/>
      <c r="S594" s="392">
        <v>532733</v>
      </c>
      <c r="T594" s="231">
        <v>-9266</v>
      </c>
      <c r="U594" s="396">
        <v>523467</v>
      </c>
      <c r="V594" s="231"/>
      <c r="W594" s="396">
        <v>3395714</v>
      </c>
      <c r="X594" s="396">
        <v>633547</v>
      </c>
      <c r="Y594" s="396"/>
      <c r="Z594" s="396"/>
    </row>
    <row r="595" spans="1:26">
      <c r="A595" s="424">
        <v>96503</v>
      </c>
      <c r="B595" s="423" t="s">
        <v>1303</v>
      </c>
      <c r="C595" s="234">
        <v>2.9169999999999999E-4</v>
      </c>
      <c r="D595" s="234">
        <v>2.9750000000000002E-4</v>
      </c>
      <c r="E595" s="231">
        <v>1645605</v>
      </c>
      <c r="F595" s="231" t="s">
        <v>1924</v>
      </c>
      <c r="G595" s="392">
        <v>70908</v>
      </c>
      <c r="H595" s="392">
        <v>543890</v>
      </c>
      <c r="I595" s="392">
        <v>164194</v>
      </c>
      <c r="J595" s="231">
        <v>384249</v>
      </c>
      <c r="K595" s="231">
        <v>1163241</v>
      </c>
      <c r="L595" s="231"/>
      <c r="M595" s="300">
        <v>6952</v>
      </c>
      <c r="N595" s="300">
        <v>0</v>
      </c>
      <c r="O595" s="300">
        <v>0</v>
      </c>
      <c r="P595" s="231">
        <v>3171</v>
      </c>
      <c r="Q595" s="231">
        <v>10123</v>
      </c>
      <c r="R595" s="231"/>
      <c r="S595" s="392">
        <v>465962</v>
      </c>
      <c r="T595" s="231">
        <v>216965</v>
      </c>
      <c r="U595" s="396">
        <v>682927</v>
      </c>
      <c r="V595" s="231"/>
      <c r="W595" s="396">
        <v>2970104</v>
      </c>
      <c r="X595" s="396">
        <v>554140</v>
      </c>
      <c r="Y595" s="396"/>
      <c r="Z595" s="396"/>
    </row>
    <row r="596" spans="1:26">
      <c r="A596" s="424">
        <v>96504</v>
      </c>
      <c r="B596" s="423" t="s">
        <v>1304</v>
      </c>
      <c r="C596" s="234">
        <v>3.5129999999999997E-4</v>
      </c>
      <c r="D596" s="234">
        <v>3.7270000000000001E-4</v>
      </c>
      <c r="E596" s="231">
        <v>1981834</v>
      </c>
      <c r="F596" s="231" t="s">
        <v>1924</v>
      </c>
      <c r="G596" s="392">
        <v>85395</v>
      </c>
      <c r="H596" s="392">
        <v>655017</v>
      </c>
      <c r="I596" s="392">
        <v>197743</v>
      </c>
      <c r="J596" s="231">
        <v>5117</v>
      </c>
      <c r="K596" s="231">
        <v>943272</v>
      </c>
      <c r="L596" s="231"/>
      <c r="M596" s="300">
        <v>8373</v>
      </c>
      <c r="N596" s="300">
        <v>0</v>
      </c>
      <c r="O596" s="300">
        <v>0</v>
      </c>
      <c r="P596" s="231">
        <v>54067</v>
      </c>
      <c r="Q596" s="231">
        <v>62440</v>
      </c>
      <c r="R596" s="231"/>
      <c r="S596" s="392">
        <v>561167</v>
      </c>
      <c r="T596" s="231">
        <v>-25531</v>
      </c>
      <c r="U596" s="396">
        <v>535636</v>
      </c>
      <c r="V596" s="231"/>
      <c r="W596" s="396">
        <v>3576955</v>
      </c>
      <c r="X596" s="396">
        <v>667361</v>
      </c>
      <c r="Y596" s="396"/>
      <c r="Z596" s="396"/>
    </row>
    <row r="597" spans="1:26">
      <c r="A597" s="424">
        <v>96507</v>
      </c>
      <c r="B597" s="423" t="s">
        <v>1305</v>
      </c>
      <c r="C597" s="234">
        <v>2.3941000000000001E-3</v>
      </c>
      <c r="D597" s="234">
        <v>2.418E-3</v>
      </c>
      <c r="E597" s="231">
        <v>13506143</v>
      </c>
      <c r="F597" s="231" t="s">
        <v>1924</v>
      </c>
      <c r="G597" s="392">
        <v>581967</v>
      </c>
      <c r="H597" s="392">
        <v>4463922</v>
      </c>
      <c r="I597" s="392">
        <v>1347610</v>
      </c>
      <c r="J597" s="231">
        <v>215466</v>
      </c>
      <c r="K597" s="231">
        <v>6608965</v>
      </c>
      <c r="L597" s="231"/>
      <c r="M597" s="300">
        <v>57059</v>
      </c>
      <c r="N597" s="300">
        <v>0</v>
      </c>
      <c r="O597" s="300">
        <v>0</v>
      </c>
      <c r="P597" s="231">
        <v>6294</v>
      </c>
      <c r="Q597" s="231">
        <v>63353</v>
      </c>
      <c r="R597" s="231"/>
      <c r="S597" s="392">
        <v>3824338</v>
      </c>
      <c r="T597" s="231">
        <v>132095</v>
      </c>
      <c r="U597" s="396">
        <v>3956433</v>
      </c>
      <c r="V597" s="231"/>
      <c r="W597" s="396">
        <v>24376848</v>
      </c>
      <c r="X597" s="396">
        <v>4548050</v>
      </c>
      <c r="Y597" s="396"/>
      <c r="Z597" s="396"/>
    </row>
    <row r="598" spans="1:26">
      <c r="A598" s="424">
        <v>96508</v>
      </c>
      <c r="B598" s="423" t="s">
        <v>1306</v>
      </c>
      <c r="C598" s="234">
        <v>1.2799999999999999E-5</v>
      </c>
      <c r="D598" s="234">
        <v>8.3000000000000002E-6</v>
      </c>
      <c r="E598" s="231">
        <v>72210</v>
      </c>
      <c r="F598" s="231" t="s">
        <v>1924</v>
      </c>
      <c r="G598" s="392">
        <v>3111</v>
      </c>
      <c r="H598" s="392">
        <v>23866</v>
      </c>
      <c r="I598" s="392">
        <v>7205</v>
      </c>
      <c r="J598" s="231">
        <v>27545</v>
      </c>
      <c r="K598" s="231">
        <v>61727</v>
      </c>
      <c r="L598" s="231"/>
      <c r="M598" s="300">
        <v>305</v>
      </c>
      <c r="N598" s="300">
        <v>0</v>
      </c>
      <c r="O598" s="300">
        <v>0</v>
      </c>
      <c r="P598" s="231">
        <v>0</v>
      </c>
      <c r="Q598" s="231">
        <v>305</v>
      </c>
      <c r="R598" s="231"/>
      <c r="S598" s="392">
        <v>20447</v>
      </c>
      <c r="T598" s="231">
        <v>14347</v>
      </c>
      <c r="U598" s="396">
        <v>34794</v>
      </c>
      <c r="V598" s="231"/>
      <c r="W598" s="396">
        <v>130330</v>
      </c>
      <c r="X598" s="396">
        <v>24316</v>
      </c>
      <c r="Y598" s="396"/>
      <c r="Z598" s="396"/>
    </row>
    <row r="599" spans="1:26">
      <c r="A599" s="424">
        <v>96511</v>
      </c>
      <c r="B599" s="423" t="s">
        <v>1307</v>
      </c>
      <c r="C599" s="234">
        <v>5.6559999999999998E-4</v>
      </c>
      <c r="D599" s="234">
        <v>5.6360000000000004E-4</v>
      </c>
      <c r="E599" s="231">
        <v>3190792</v>
      </c>
      <c r="F599" s="231" t="s">
        <v>1924</v>
      </c>
      <c r="G599" s="392">
        <v>137488</v>
      </c>
      <c r="H599" s="392">
        <v>1054590</v>
      </c>
      <c r="I599" s="392">
        <v>318369</v>
      </c>
      <c r="J599" s="231">
        <v>10872</v>
      </c>
      <c r="K599" s="231">
        <v>1521319</v>
      </c>
      <c r="L599" s="231"/>
      <c r="M599" s="300">
        <v>13480</v>
      </c>
      <c r="N599" s="300">
        <v>0</v>
      </c>
      <c r="O599" s="300">
        <v>0</v>
      </c>
      <c r="P599" s="231">
        <v>23164</v>
      </c>
      <c r="Q599" s="231">
        <v>36644</v>
      </c>
      <c r="R599" s="231"/>
      <c r="S599" s="392">
        <v>903490</v>
      </c>
      <c r="T599" s="231">
        <v>-20775</v>
      </c>
      <c r="U599" s="396">
        <v>882715</v>
      </c>
      <c r="V599" s="231"/>
      <c r="W599" s="396">
        <v>5758968</v>
      </c>
      <c r="X599" s="396">
        <v>1074465</v>
      </c>
      <c r="Y599" s="396"/>
      <c r="Z599" s="396"/>
    </row>
    <row r="600" spans="1:26">
      <c r="A600" s="424">
        <v>96512</v>
      </c>
      <c r="B600" s="423" t="s">
        <v>1308</v>
      </c>
      <c r="C600" s="234">
        <v>1.4339999999999999E-4</v>
      </c>
      <c r="D600" s="234">
        <v>1.3870000000000001E-4</v>
      </c>
      <c r="E600" s="231">
        <v>808981</v>
      </c>
      <c r="F600" s="231" t="s">
        <v>1924</v>
      </c>
      <c r="G600" s="392">
        <v>34858</v>
      </c>
      <c r="H600" s="392">
        <v>267377</v>
      </c>
      <c r="I600" s="392">
        <v>80718</v>
      </c>
      <c r="J600" s="231">
        <v>29176</v>
      </c>
      <c r="K600" s="231">
        <v>412129</v>
      </c>
      <c r="L600" s="231"/>
      <c r="M600" s="300">
        <v>3418</v>
      </c>
      <c r="N600" s="300">
        <v>0</v>
      </c>
      <c r="O600" s="300">
        <v>0</v>
      </c>
      <c r="P600" s="231">
        <v>4259</v>
      </c>
      <c r="Q600" s="231">
        <v>7677</v>
      </c>
      <c r="R600" s="231"/>
      <c r="S600" s="392">
        <v>229067</v>
      </c>
      <c r="T600" s="231">
        <v>8856</v>
      </c>
      <c r="U600" s="396">
        <v>237923</v>
      </c>
      <c r="V600" s="231"/>
      <c r="W600" s="396">
        <v>1460106</v>
      </c>
      <c r="X600" s="396">
        <v>272416</v>
      </c>
      <c r="Y600" s="396"/>
      <c r="Z600" s="396"/>
    </row>
    <row r="601" spans="1:26">
      <c r="A601" s="424">
        <v>96521</v>
      </c>
      <c r="B601" s="423" t="s">
        <v>1309</v>
      </c>
      <c r="C601" s="234">
        <v>9.6239999999999997E-4</v>
      </c>
      <c r="D601" s="234">
        <v>9.5069999999999996E-4</v>
      </c>
      <c r="E601" s="231">
        <v>5429310</v>
      </c>
      <c r="F601" s="231" t="s">
        <v>1924</v>
      </c>
      <c r="G601" s="392">
        <v>233944</v>
      </c>
      <c r="H601" s="392">
        <v>1794444</v>
      </c>
      <c r="I601" s="392">
        <v>541723</v>
      </c>
      <c r="J601" s="231">
        <v>42508</v>
      </c>
      <c r="K601" s="231">
        <v>2612619</v>
      </c>
      <c r="L601" s="231"/>
      <c r="M601" s="300">
        <v>22937</v>
      </c>
      <c r="N601" s="300">
        <v>0</v>
      </c>
      <c r="O601" s="300">
        <v>0</v>
      </c>
      <c r="P601" s="231">
        <v>40031</v>
      </c>
      <c r="Q601" s="231">
        <v>62968</v>
      </c>
      <c r="R601" s="231"/>
      <c r="S601" s="392">
        <v>1537339</v>
      </c>
      <c r="T601" s="231">
        <v>-30888</v>
      </c>
      <c r="U601" s="396">
        <v>1506451</v>
      </c>
      <c r="V601" s="231"/>
      <c r="W601" s="396">
        <v>9799206</v>
      </c>
      <c r="X601" s="396">
        <v>1828263</v>
      </c>
      <c r="Y601" s="396"/>
      <c r="Z601" s="396"/>
    </row>
    <row r="602" spans="1:26">
      <c r="A602" s="424">
        <v>96531</v>
      </c>
      <c r="B602" s="423" t="s">
        <v>1310</v>
      </c>
      <c r="C602" s="234">
        <v>8.2185000000000001E-3</v>
      </c>
      <c r="D602" s="234">
        <v>7.9558000000000007E-3</v>
      </c>
      <c r="E602" s="231">
        <v>46364076</v>
      </c>
      <c r="F602" s="231" t="s">
        <v>1924</v>
      </c>
      <c r="G602" s="392">
        <v>1997786</v>
      </c>
      <c r="H602" s="392">
        <v>15323812</v>
      </c>
      <c r="I602" s="392">
        <v>4626095</v>
      </c>
      <c r="J602" s="231">
        <v>238988</v>
      </c>
      <c r="K602" s="231">
        <v>22186681</v>
      </c>
      <c r="L602" s="231"/>
      <c r="M602" s="300">
        <v>195872</v>
      </c>
      <c r="N602" s="300">
        <v>0</v>
      </c>
      <c r="O602" s="300">
        <v>0</v>
      </c>
      <c r="P602" s="231">
        <v>584642</v>
      </c>
      <c r="Q602" s="231">
        <v>780514</v>
      </c>
      <c r="R602" s="231"/>
      <c r="S602" s="392">
        <v>13128240</v>
      </c>
      <c r="T602" s="231">
        <v>-338722</v>
      </c>
      <c r="U602" s="396">
        <v>12789518</v>
      </c>
      <c r="V602" s="231"/>
      <c r="W602" s="396">
        <v>83681186</v>
      </c>
      <c r="X602" s="396">
        <v>15612610</v>
      </c>
      <c r="Y602" s="396"/>
      <c r="Z602" s="396"/>
    </row>
    <row r="603" spans="1:26">
      <c r="A603" s="424">
        <v>96541</v>
      </c>
      <c r="B603" s="423" t="s">
        <v>1311</v>
      </c>
      <c r="C603" s="234">
        <v>4.2410000000000001E-4</v>
      </c>
      <c r="D603" s="234">
        <v>4.0220000000000002E-4</v>
      </c>
      <c r="E603" s="231">
        <v>2392530</v>
      </c>
      <c r="F603" s="231" t="s">
        <v>1924</v>
      </c>
      <c r="G603" s="392">
        <v>103092</v>
      </c>
      <c r="H603" s="392">
        <v>790756</v>
      </c>
      <c r="I603" s="392">
        <v>238721</v>
      </c>
      <c r="J603" s="231">
        <v>19393</v>
      </c>
      <c r="K603" s="231">
        <v>1151962</v>
      </c>
      <c r="L603" s="231"/>
      <c r="M603" s="300">
        <v>10108</v>
      </c>
      <c r="N603" s="300">
        <v>0</v>
      </c>
      <c r="O603" s="300">
        <v>0</v>
      </c>
      <c r="P603" s="231">
        <v>17028</v>
      </c>
      <c r="Q603" s="231">
        <v>27136</v>
      </c>
      <c r="R603" s="231"/>
      <c r="S603" s="392">
        <v>677458</v>
      </c>
      <c r="T603" s="231">
        <v>341</v>
      </c>
      <c r="U603" s="396">
        <v>677799</v>
      </c>
      <c r="V603" s="231"/>
      <c r="W603" s="396">
        <v>4318208</v>
      </c>
      <c r="X603" s="396">
        <v>805659</v>
      </c>
      <c r="Y603" s="396"/>
      <c r="Z603" s="396"/>
    </row>
    <row r="604" spans="1:26">
      <c r="A604" s="424">
        <v>96601</v>
      </c>
      <c r="B604" s="423" t="s">
        <v>1312</v>
      </c>
      <c r="C604" s="234">
        <v>1.5319999999999999E-3</v>
      </c>
      <c r="D604" s="234">
        <v>1.5223999999999999E-3</v>
      </c>
      <c r="E604" s="231">
        <v>8642668</v>
      </c>
      <c r="F604" s="231" t="s">
        <v>1924</v>
      </c>
      <c r="G604" s="392">
        <v>372405</v>
      </c>
      <c r="H604" s="392">
        <v>2856492</v>
      </c>
      <c r="I604" s="392">
        <v>862344</v>
      </c>
      <c r="J604" s="231">
        <v>50251</v>
      </c>
      <c r="K604" s="231">
        <v>4141492</v>
      </c>
      <c r="L604" s="231"/>
      <c r="M604" s="300">
        <v>36512</v>
      </c>
      <c r="N604" s="300">
        <v>0</v>
      </c>
      <c r="O604" s="300">
        <v>0</v>
      </c>
      <c r="P604" s="231">
        <v>103061</v>
      </c>
      <c r="Q604" s="231">
        <v>139573</v>
      </c>
      <c r="R604" s="231"/>
      <c r="S604" s="392">
        <v>2447218</v>
      </c>
      <c r="T604" s="231">
        <v>-75101</v>
      </c>
      <c r="U604" s="396">
        <v>2372117</v>
      </c>
      <c r="V604" s="231"/>
      <c r="W604" s="396">
        <v>15598902</v>
      </c>
      <c r="X604" s="396">
        <v>2910327</v>
      </c>
      <c r="Y604" s="396"/>
      <c r="Z604" s="396"/>
    </row>
    <row r="605" spans="1:26">
      <c r="A605" s="424">
        <v>96604</v>
      </c>
      <c r="B605" s="423" t="s">
        <v>1313</v>
      </c>
      <c r="C605" s="234">
        <v>5.1000000000000003E-6</v>
      </c>
      <c r="D605" s="234">
        <v>4.4000000000000002E-6</v>
      </c>
      <c r="E605" s="231">
        <v>28771</v>
      </c>
      <c r="F605" s="231" t="s">
        <v>1924</v>
      </c>
      <c r="G605" s="392">
        <v>1240</v>
      </c>
      <c r="H605" s="392">
        <v>9509</v>
      </c>
      <c r="I605" s="392">
        <v>2871</v>
      </c>
      <c r="J605" s="231">
        <v>5535</v>
      </c>
      <c r="K605" s="231">
        <v>19155</v>
      </c>
      <c r="L605" s="231"/>
      <c r="M605" s="300">
        <v>122</v>
      </c>
      <c r="N605" s="300">
        <v>0</v>
      </c>
      <c r="O605" s="300">
        <v>0</v>
      </c>
      <c r="P605" s="231">
        <v>0</v>
      </c>
      <c r="Q605" s="231">
        <v>122</v>
      </c>
      <c r="R605" s="231"/>
      <c r="S605" s="392">
        <v>8147</v>
      </c>
      <c r="T605" s="231">
        <v>2571</v>
      </c>
      <c r="U605" s="396">
        <v>10718</v>
      </c>
      <c r="V605" s="231"/>
      <c r="W605" s="396">
        <v>51928</v>
      </c>
      <c r="X605" s="396">
        <v>9688</v>
      </c>
      <c r="Y605" s="396"/>
      <c r="Z605" s="396"/>
    </row>
    <row r="606" spans="1:26">
      <c r="A606" s="424">
        <v>96611</v>
      </c>
      <c r="B606" s="423" t="s">
        <v>1314</v>
      </c>
      <c r="C606" s="234">
        <v>1.01E-5</v>
      </c>
      <c r="D606" s="234">
        <v>1.2799999999999999E-5</v>
      </c>
      <c r="E606" s="231">
        <v>56978</v>
      </c>
      <c r="F606" s="231" t="s">
        <v>1924</v>
      </c>
      <c r="G606" s="392">
        <v>2455</v>
      </c>
      <c r="H606" s="392">
        <v>18832</v>
      </c>
      <c r="I606" s="392">
        <v>5685</v>
      </c>
      <c r="J606" s="231">
        <v>3972</v>
      </c>
      <c r="K606" s="231">
        <v>30944</v>
      </c>
      <c r="L606" s="231"/>
      <c r="M606" s="300">
        <v>241</v>
      </c>
      <c r="N606" s="300">
        <v>0</v>
      </c>
      <c r="O606" s="300">
        <v>0</v>
      </c>
      <c r="P606" s="231">
        <v>7641</v>
      </c>
      <c r="Q606" s="231">
        <v>7882</v>
      </c>
      <c r="R606" s="231"/>
      <c r="S606" s="392">
        <v>16134</v>
      </c>
      <c r="T606" s="231">
        <v>-1734</v>
      </c>
      <c r="U606" s="396">
        <v>14400</v>
      </c>
      <c r="V606" s="231"/>
      <c r="W606" s="396">
        <v>102839</v>
      </c>
      <c r="X606" s="396">
        <v>19187</v>
      </c>
      <c r="Y606" s="396"/>
      <c r="Z606" s="396"/>
    </row>
    <row r="607" spans="1:26">
      <c r="A607" s="424">
        <v>96612</v>
      </c>
      <c r="B607" s="423" t="s">
        <v>1315</v>
      </c>
      <c r="C607" s="234">
        <v>3.4999999999999997E-5</v>
      </c>
      <c r="D607" s="234">
        <v>4.6300000000000001E-5</v>
      </c>
      <c r="E607" s="231">
        <v>197450</v>
      </c>
      <c r="F607" s="231" t="s">
        <v>1924</v>
      </c>
      <c r="G607" s="392">
        <v>8508</v>
      </c>
      <c r="H607" s="392">
        <v>65259</v>
      </c>
      <c r="I607" s="392">
        <v>19701</v>
      </c>
      <c r="J607" s="231">
        <v>9074</v>
      </c>
      <c r="K607" s="231">
        <v>102542</v>
      </c>
      <c r="L607" s="231"/>
      <c r="M607" s="300">
        <v>834</v>
      </c>
      <c r="N607" s="300">
        <v>0</v>
      </c>
      <c r="O607" s="300">
        <v>0</v>
      </c>
      <c r="P607" s="231">
        <v>10398</v>
      </c>
      <c r="Q607" s="231">
        <v>11232</v>
      </c>
      <c r="R607" s="231"/>
      <c r="S607" s="392">
        <v>55909</v>
      </c>
      <c r="T607" s="231">
        <v>941</v>
      </c>
      <c r="U607" s="396">
        <v>56850</v>
      </c>
      <c r="V607" s="231"/>
      <c r="W607" s="396">
        <v>356372</v>
      </c>
      <c r="X607" s="396">
        <v>66489</v>
      </c>
      <c r="Y607" s="396"/>
      <c r="Z607" s="396"/>
    </row>
    <row r="608" spans="1:26">
      <c r="A608" s="424">
        <v>96621</v>
      </c>
      <c r="B608" s="423" t="s">
        <v>1316</v>
      </c>
      <c r="C608" s="234">
        <v>2.4499999999999999E-5</v>
      </c>
      <c r="D608" s="234">
        <v>2.48E-5</v>
      </c>
      <c r="E608" s="231">
        <v>138215</v>
      </c>
      <c r="F608" s="231" t="s">
        <v>1924</v>
      </c>
      <c r="G608" s="392">
        <v>5956</v>
      </c>
      <c r="H608" s="392">
        <v>45681</v>
      </c>
      <c r="I608" s="392">
        <v>13791</v>
      </c>
      <c r="J608" s="231">
        <v>10934</v>
      </c>
      <c r="K608" s="231">
        <v>76362</v>
      </c>
      <c r="L608" s="231"/>
      <c r="M608" s="300">
        <v>584</v>
      </c>
      <c r="N608" s="300">
        <v>0</v>
      </c>
      <c r="O608" s="300">
        <v>0</v>
      </c>
      <c r="P608" s="231">
        <v>0</v>
      </c>
      <c r="Q608" s="231">
        <v>584</v>
      </c>
      <c r="R608" s="231"/>
      <c r="S608" s="392">
        <v>39136</v>
      </c>
      <c r="T608" s="231">
        <v>5025</v>
      </c>
      <c r="U608" s="396">
        <v>44161</v>
      </c>
      <c r="V608" s="231"/>
      <c r="W608" s="396">
        <v>249460</v>
      </c>
      <c r="X608" s="396">
        <v>46542</v>
      </c>
      <c r="Y608" s="396"/>
      <c r="Z608" s="396"/>
    </row>
    <row r="609" spans="1:26">
      <c r="A609" s="424">
        <v>96631</v>
      </c>
      <c r="B609" s="423" t="s">
        <v>1317</v>
      </c>
      <c r="C609" s="234">
        <v>2.5599999999999999E-5</v>
      </c>
      <c r="D609" s="234">
        <v>2.4700000000000001E-5</v>
      </c>
      <c r="E609" s="231">
        <v>144421</v>
      </c>
      <c r="F609" s="231" t="s">
        <v>1924</v>
      </c>
      <c r="G609" s="392">
        <v>6223</v>
      </c>
      <c r="H609" s="392">
        <v>47733</v>
      </c>
      <c r="I609" s="392">
        <v>14410</v>
      </c>
      <c r="J609" s="231">
        <v>5336</v>
      </c>
      <c r="K609" s="231">
        <v>73702</v>
      </c>
      <c r="L609" s="231"/>
      <c r="M609" s="300">
        <v>610</v>
      </c>
      <c r="N609" s="300">
        <v>0</v>
      </c>
      <c r="O609" s="300">
        <v>0</v>
      </c>
      <c r="P609" s="231">
        <v>133</v>
      </c>
      <c r="Q609" s="231">
        <v>743</v>
      </c>
      <c r="R609" s="231"/>
      <c r="S609" s="392">
        <v>40893</v>
      </c>
      <c r="T609" s="231">
        <v>2402</v>
      </c>
      <c r="U609" s="396">
        <v>43295</v>
      </c>
      <c r="V609" s="231"/>
      <c r="W609" s="396">
        <v>260661</v>
      </c>
      <c r="X609" s="396">
        <v>48632</v>
      </c>
      <c r="Y609" s="396"/>
      <c r="Z609" s="396"/>
    </row>
    <row r="610" spans="1:26" ht="14.25" customHeight="1">
      <c r="A610" s="424">
        <v>96641</v>
      </c>
      <c r="B610" s="423" t="s">
        <v>1318</v>
      </c>
      <c r="C610" s="234">
        <v>3.4600000000000001E-5</v>
      </c>
      <c r="D610" s="234">
        <v>4.1E-5</v>
      </c>
      <c r="E610" s="231">
        <v>195193</v>
      </c>
      <c r="F610" s="231" t="s">
        <v>1924</v>
      </c>
      <c r="G610" s="392">
        <v>8411</v>
      </c>
      <c r="H610" s="392">
        <v>64513</v>
      </c>
      <c r="I610" s="392">
        <v>19476</v>
      </c>
      <c r="J610" s="231">
        <v>16166</v>
      </c>
      <c r="K610" s="231">
        <v>108566</v>
      </c>
      <c r="L610" s="231"/>
      <c r="M610" s="300">
        <v>825</v>
      </c>
      <c r="N610" s="300">
        <v>0</v>
      </c>
      <c r="O610" s="300">
        <v>0</v>
      </c>
      <c r="P610" s="231">
        <v>5856</v>
      </c>
      <c r="Q610" s="231">
        <v>6681</v>
      </c>
      <c r="R610" s="231"/>
      <c r="S610" s="392">
        <v>55270</v>
      </c>
      <c r="T610" s="231">
        <v>8437</v>
      </c>
      <c r="U610" s="396">
        <v>63707</v>
      </c>
      <c r="V610" s="231"/>
      <c r="W610" s="396">
        <v>352299</v>
      </c>
      <c r="X610" s="396">
        <v>65729</v>
      </c>
      <c r="Y610" s="396"/>
      <c r="Z610" s="396"/>
    </row>
    <row r="611" spans="1:26" ht="14.25" customHeight="1">
      <c r="A611" s="424">
        <v>96651</v>
      </c>
      <c r="B611" s="423" t="s">
        <v>1319</v>
      </c>
      <c r="C611" s="234">
        <v>2.0000000000000002E-5</v>
      </c>
      <c r="D611" s="234">
        <v>2.23E-5</v>
      </c>
      <c r="E611" s="231">
        <v>112829</v>
      </c>
      <c r="F611" s="231" t="s">
        <v>1924</v>
      </c>
      <c r="G611" s="392">
        <v>4862</v>
      </c>
      <c r="H611" s="392">
        <v>37291</v>
      </c>
      <c r="I611" s="392">
        <v>11258</v>
      </c>
      <c r="J611" s="231">
        <v>7874</v>
      </c>
      <c r="K611" s="231">
        <v>61285</v>
      </c>
      <c r="L611" s="231"/>
      <c r="M611" s="300">
        <v>477</v>
      </c>
      <c r="N611" s="300">
        <v>0</v>
      </c>
      <c r="O611" s="300">
        <v>0</v>
      </c>
      <c r="P611" s="231">
        <v>4416</v>
      </c>
      <c r="Q611" s="231">
        <v>4893</v>
      </c>
      <c r="R611" s="231"/>
      <c r="S611" s="392">
        <v>31948</v>
      </c>
      <c r="T611" s="231">
        <v>1857</v>
      </c>
      <c r="U611" s="396">
        <v>33805</v>
      </c>
      <c r="V611" s="231"/>
      <c r="W611" s="396">
        <v>203641</v>
      </c>
      <c r="X611" s="396">
        <v>37994</v>
      </c>
      <c r="Y611" s="396"/>
      <c r="Z611" s="396"/>
    </row>
    <row r="612" spans="1:26">
      <c r="A612" s="424">
        <v>96661</v>
      </c>
      <c r="B612" s="423" t="s">
        <v>1320</v>
      </c>
      <c r="C612" s="234">
        <v>2.2399999999999999E-5</v>
      </c>
      <c r="D612" s="234">
        <v>2.23E-5</v>
      </c>
      <c r="E612" s="231">
        <v>126368</v>
      </c>
      <c r="F612" s="231" t="s">
        <v>1924</v>
      </c>
      <c r="G612" s="392">
        <v>5445</v>
      </c>
      <c r="H612" s="392">
        <v>41766</v>
      </c>
      <c r="I612" s="392">
        <v>12609</v>
      </c>
      <c r="J612" s="231">
        <v>2792</v>
      </c>
      <c r="K612" s="231">
        <v>62612</v>
      </c>
      <c r="L612" s="231"/>
      <c r="M612" s="300">
        <v>534</v>
      </c>
      <c r="N612" s="300">
        <v>0</v>
      </c>
      <c r="O612" s="300">
        <v>0</v>
      </c>
      <c r="P612" s="231">
        <v>7356</v>
      </c>
      <c r="Q612" s="231">
        <v>7890</v>
      </c>
      <c r="R612" s="231"/>
      <c r="S612" s="392">
        <v>35782</v>
      </c>
      <c r="T612" s="231">
        <v>-196</v>
      </c>
      <c r="U612" s="396">
        <v>35586</v>
      </c>
      <c r="V612" s="231"/>
      <c r="W612" s="396">
        <v>228078</v>
      </c>
      <c r="X612" s="396">
        <v>42553</v>
      </c>
      <c r="Y612" s="396"/>
      <c r="Z612" s="396"/>
    </row>
    <row r="613" spans="1:26">
      <c r="A613" s="424">
        <v>96671</v>
      </c>
      <c r="B613" s="423" t="s">
        <v>1321</v>
      </c>
      <c r="C613" s="234">
        <v>9.5000000000000005E-6</v>
      </c>
      <c r="D613" s="234">
        <v>1.42E-5</v>
      </c>
      <c r="E613" s="231">
        <v>53594</v>
      </c>
      <c r="F613" s="231" t="s">
        <v>1924</v>
      </c>
      <c r="G613" s="392">
        <v>2309</v>
      </c>
      <c r="H613" s="392">
        <v>17713</v>
      </c>
      <c r="I613" s="392">
        <v>5347</v>
      </c>
      <c r="J613" s="231">
        <v>4424</v>
      </c>
      <c r="K613" s="231">
        <v>29793</v>
      </c>
      <c r="L613" s="231"/>
      <c r="M613" s="300">
        <v>226</v>
      </c>
      <c r="N613" s="300">
        <v>0</v>
      </c>
      <c r="O613" s="300">
        <v>0</v>
      </c>
      <c r="P613" s="231">
        <v>2230</v>
      </c>
      <c r="Q613" s="231">
        <v>2456</v>
      </c>
      <c r="R613" s="231"/>
      <c r="S613" s="392">
        <v>15175</v>
      </c>
      <c r="T613" s="231">
        <v>2615</v>
      </c>
      <c r="U613" s="396">
        <v>17790</v>
      </c>
      <c r="V613" s="231"/>
      <c r="W613" s="396">
        <v>96729</v>
      </c>
      <c r="X613" s="396">
        <v>18047</v>
      </c>
      <c r="Y613" s="396"/>
      <c r="Z613" s="396"/>
    </row>
    <row r="614" spans="1:26">
      <c r="A614" s="424">
        <v>96681</v>
      </c>
      <c r="B614" s="423" t="s">
        <v>1322</v>
      </c>
      <c r="C614" s="234">
        <v>1.6799999999999998E-5</v>
      </c>
      <c r="D614" s="234">
        <v>2.0999999999999999E-5</v>
      </c>
      <c r="E614" s="231">
        <v>94776</v>
      </c>
      <c r="F614" s="231" t="s">
        <v>1924</v>
      </c>
      <c r="G614" s="392">
        <v>4084</v>
      </c>
      <c r="H614" s="392">
        <v>31324</v>
      </c>
      <c r="I614" s="392">
        <v>9457</v>
      </c>
      <c r="J614" s="231">
        <v>11881</v>
      </c>
      <c r="K614" s="231">
        <v>56746</v>
      </c>
      <c r="L614" s="231"/>
      <c r="M614" s="300">
        <v>400</v>
      </c>
      <c r="N614" s="300">
        <v>0</v>
      </c>
      <c r="O614" s="300">
        <v>0</v>
      </c>
      <c r="P614" s="231">
        <v>1863</v>
      </c>
      <c r="Q614" s="231">
        <v>2263</v>
      </c>
      <c r="R614" s="231"/>
      <c r="S614" s="392">
        <v>26836</v>
      </c>
      <c r="T614" s="231">
        <v>5859</v>
      </c>
      <c r="U614" s="396">
        <v>32695</v>
      </c>
      <c r="V614" s="231"/>
      <c r="W614" s="396">
        <v>171058</v>
      </c>
      <c r="X614" s="396">
        <v>31915</v>
      </c>
      <c r="Y614" s="396"/>
      <c r="Z614" s="396"/>
    </row>
    <row r="615" spans="1:26">
      <c r="A615" s="424">
        <v>96701</v>
      </c>
      <c r="B615" s="423" t="s">
        <v>1323</v>
      </c>
      <c r="C615" s="234">
        <v>8.0199999999999994E-3</v>
      </c>
      <c r="D615" s="234">
        <v>7.8210999999999992E-3</v>
      </c>
      <c r="E615" s="231">
        <v>45244253</v>
      </c>
      <c r="F615" s="231" t="s">
        <v>1924</v>
      </c>
      <c r="G615" s="392">
        <v>1949534</v>
      </c>
      <c r="H615" s="392">
        <v>14953699</v>
      </c>
      <c r="I615" s="392">
        <v>4514362</v>
      </c>
      <c r="J615" s="231">
        <v>0</v>
      </c>
      <c r="K615" s="231">
        <v>21417595</v>
      </c>
      <c r="L615" s="231"/>
      <c r="M615" s="300">
        <v>191141</v>
      </c>
      <c r="N615" s="300">
        <v>0</v>
      </c>
      <c r="O615" s="300">
        <v>0</v>
      </c>
      <c r="P615" s="231">
        <v>681360</v>
      </c>
      <c r="Q615" s="231">
        <v>872501</v>
      </c>
      <c r="R615" s="231"/>
      <c r="S615" s="392">
        <v>12811156</v>
      </c>
      <c r="T615" s="231">
        <v>-547027</v>
      </c>
      <c r="U615" s="396">
        <v>12264129</v>
      </c>
      <c r="V615" s="231"/>
      <c r="W615" s="396">
        <v>81660049</v>
      </c>
      <c r="X615" s="396">
        <v>15235522</v>
      </c>
      <c r="Y615" s="396"/>
      <c r="Z615" s="396"/>
    </row>
    <row r="616" spans="1:26">
      <c r="A616" s="424">
        <v>96704</v>
      </c>
      <c r="B616" s="423" t="s">
        <v>1324</v>
      </c>
      <c r="C616" s="234">
        <v>2.5599999999999999E-4</v>
      </c>
      <c r="D616" s="234">
        <v>2.2550000000000001E-4</v>
      </c>
      <c r="E616" s="231">
        <v>1444206</v>
      </c>
      <c r="F616" s="231" t="s">
        <v>1924</v>
      </c>
      <c r="G616" s="392">
        <v>62230</v>
      </c>
      <c r="H616" s="392">
        <v>477325</v>
      </c>
      <c r="I616" s="392">
        <v>144099</v>
      </c>
      <c r="J616" s="231">
        <v>151246</v>
      </c>
      <c r="K616" s="231">
        <v>834900</v>
      </c>
      <c r="L616" s="231"/>
      <c r="M616" s="300">
        <v>6101</v>
      </c>
      <c r="N616" s="300">
        <v>0</v>
      </c>
      <c r="O616" s="300">
        <v>0</v>
      </c>
      <c r="P616" s="231">
        <v>0</v>
      </c>
      <c r="Q616" s="231">
        <v>6101</v>
      </c>
      <c r="R616" s="231"/>
      <c r="S616" s="392">
        <v>408935</v>
      </c>
      <c r="T616" s="231">
        <v>76539</v>
      </c>
      <c r="U616" s="396">
        <v>485474</v>
      </c>
      <c r="V616" s="231"/>
      <c r="W616" s="396">
        <v>2606605</v>
      </c>
      <c r="X616" s="396">
        <v>486321</v>
      </c>
      <c r="Y616" s="396"/>
      <c r="Z616" s="396"/>
    </row>
    <row r="617" spans="1:26">
      <c r="A617" s="424">
        <v>96708</v>
      </c>
      <c r="B617" s="423" t="s">
        <v>1325</v>
      </c>
      <c r="C617" s="234">
        <v>7.7360000000000005E-4</v>
      </c>
      <c r="D617" s="234">
        <v>8.4489999999999999E-4</v>
      </c>
      <c r="E617" s="231">
        <v>4364209</v>
      </c>
      <c r="F617" s="231" t="s">
        <v>1924</v>
      </c>
      <c r="G617" s="392">
        <v>188050</v>
      </c>
      <c r="H617" s="392">
        <v>1442417</v>
      </c>
      <c r="I617" s="392">
        <v>435450</v>
      </c>
      <c r="J617" s="231">
        <v>17681</v>
      </c>
      <c r="K617" s="231">
        <v>2083598</v>
      </c>
      <c r="L617" s="231"/>
      <c r="M617" s="300">
        <v>18437</v>
      </c>
      <c r="N617" s="300">
        <v>0</v>
      </c>
      <c r="O617" s="300">
        <v>0</v>
      </c>
      <c r="P617" s="231">
        <v>86420</v>
      </c>
      <c r="Q617" s="231">
        <v>104857</v>
      </c>
      <c r="R617" s="231"/>
      <c r="S617" s="392">
        <v>1235749</v>
      </c>
      <c r="T617" s="231">
        <v>-17308</v>
      </c>
      <c r="U617" s="396">
        <v>1218441</v>
      </c>
      <c r="V617" s="231"/>
      <c r="W617" s="396">
        <v>7876835</v>
      </c>
      <c r="X617" s="396">
        <v>1469601</v>
      </c>
      <c r="Y617" s="396"/>
      <c r="Z617" s="396"/>
    </row>
    <row r="618" spans="1:26">
      <c r="A618" s="424">
        <v>96711</v>
      </c>
      <c r="B618" s="423" t="s">
        <v>1326</v>
      </c>
      <c r="C618" s="234">
        <v>3.6779999999999998E-3</v>
      </c>
      <c r="D618" s="234">
        <v>3.7699000000000001E-3</v>
      </c>
      <c r="E618" s="231">
        <v>20749172</v>
      </c>
      <c r="F618" s="231" t="s">
        <v>1924</v>
      </c>
      <c r="G618" s="392">
        <v>894063</v>
      </c>
      <c r="H618" s="392">
        <v>6857819</v>
      </c>
      <c r="I618" s="392">
        <v>2070302</v>
      </c>
      <c r="J618" s="231">
        <v>11630</v>
      </c>
      <c r="K618" s="231">
        <v>9833814</v>
      </c>
      <c r="L618" s="231"/>
      <c r="M618" s="300">
        <v>87658</v>
      </c>
      <c r="N618" s="300">
        <v>0</v>
      </c>
      <c r="O618" s="300">
        <v>0</v>
      </c>
      <c r="P618" s="231">
        <v>424484</v>
      </c>
      <c r="Q618" s="231">
        <v>512142</v>
      </c>
      <c r="R618" s="231"/>
      <c r="S618" s="392">
        <v>5875241</v>
      </c>
      <c r="T618" s="231">
        <v>-200928</v>
      </c>
      <c r="U618" s="396">
        <v>5674313</v>
      </c>
      <c r="V618" s="231"/>
      <c r="W618" s="396">
        <v>37449584</v>
      </c>
      <c r="X618" s="396">
        <v>6987063</v>
      </c>
      <c r="Y618" s="396"/>
      <c r="Z618" s="396"/>
    </row>
    <row r="619" spans="1:26">
      <c r="A619" s="424">
        <v>96721</v>
      </c>
      <c r="B619" s="423" t="s">
        <v>1327</v>
      </c>
      <c r="C619" s="234">
        <v>2.6279999999999999E-4</v>
      </c>
      <c r="D619" s="234">
        <v>2.5119999999999998E-4</v>
      </c>
      <c r="E619" s="231">
        <v>1482567</v>
      </c>
      <c r="F619" s="231" t="s">
        <v>1924</v>
      </c>
      <c r="G619" s="392">
        <v>63882</v>
      </c>
      <c r="H619" s="392">
        <v>490004</v>
      </c>
      <c r="I619" s="392">
        <v>147927</v>
      </c>
      <c r="J619" s="231">
        <v>24901</v>
      </c>
      <c r="K619" s="231">
        <v>726714</v>
      </c>
      <c r="L619" s="231"/>
      <c r="M619" s="300">
        <v>6263</v>
      </c>
      <c r="N619" s="300">
        <v>0</v>
      </c>
      <c r="O619" s="300">
        <v>0</v>
      </c>
      <c r="P619" s="231">
        <v>888</v>
      </c>
      <c r="Q619" s="231">
        <v>7151</v>
      </c>
      <c r="R619" s="231"/>
      <c r="S619" s="392">
        <v>419797</v>
      </c>
      <c r="T619" s="231">
        <v>15157</v>
      </c>
      <c r="U619" s="396">
        <v>434954</v>
      </c>
      <c r="V619" s="231"/>
      <c r="W619" s="396">
        <v>2675843</v>
      </c>
      <c r="X619" s="396">
        <v>499239</v>
      </c>
      <c r="Y619" s="396"/>
      <c r="Z619" s="396"/>
    </row>
    <row r="620" spans="1:26">
      <c r="A620" s="424">
        <v>96722</v>
      </c>
      <c r="B620" s="423" t="s">
        <v>3757</v>
      </c>
      <c r="C620" s="234">
        <v>1.8300000000000001E-5</v>
      </c>
      <c r="D620" s="234">
        <v>0</v>
      </c>
      <c r="E620" s="231">
        <v>103238</v>
      </c>
      <c r="F620" s="231" t="s">
        <v>1924</v>
      </c>
      <c r="G620" s="392">
        <v>4448</v>
      </c>
      <c r="H620" s="392">
        <v>34121</v>
      </c>
      <c r="I620" s="392">
        <v>10301</v>
      </c>
      <c r="J620" s="231">
        <v>34234</v>
      </c>
      <c r="K620" s="231">
        <v>83104</v>
      </c>
      <c r="L620" s="231"/>
      <c r="M620" s="300">
        <v>436</v>
      </c>
      <c r="N620" s="300">
        <v>0</v>
      </c>
      <c r="O620" s="300">
        <v>0</v>
      </c>
      <c r="P620" s="231">
        <v>0</v>
      </c>
      <c r="Q620" s="231">
        <v>436</v>
      </c>
      <c r="R620" s="231"/>
      <c r="S620" s="392">
        <v>29232</v>
      </c>
      <c r="T620" s="231">
        <v>11411</v>
      </c>
      <c r="U620" s="396">
        <v>40643</v>
      </c>
      <c r="V620" s="231"/>
      <c r="W620" s="396">
        <v>186332</v>
      </c>
      <c r="X620" s="396">
        <v>34764</v>
      </c>
      <c r="Y620" s="396"/>
      <c r="Z620" s="396"/>
    </row>
    <row r="621" spans="1:26">
      <c r="A621" s="424">
        <v>96731</v>
      </c>
      <c r="B621" s="423" t="s">
        <v>1328</v>
      </c>
      <c r="C621" s="234">
        <v>2.3330000000000001E-4</v>
      </c>
      <c r="D621" s="234">
        <v>2.008E-4</v>
      </c>
      <c r="E621" s="231">
        <v>1316145</v>
      </c>
      <c r="F621" s="231" t="s">
        <v>1924</v>
      </c>
      <c r="G621" s="392">
        <v>56711</v>
      </c>
      <c r="H621" s="392">
        <v>435000</v>
      </c>
      <c r="I621" s="392">
        <v>131322</v>
      </c>
      <c r="J621" s="231">
        <v>29620</v>
      </c>
      <c r="K621" s="231">
        <v>652653</v>
      </c>
      <c r="L621" s="231"/>
      <c r="M621" s="300">
        <v>5560</v>
      </c>
      <c r="N621" s="300">
        <v>0</v>
      </c>
      <c r="O621" s="300">
        <v>0</v>
      </c>
      <c r="P621" s="231">
        <v>1799</v>
      </c>
      <c r="Q621" s="231">
        <v>7359</v>
      </c>
      <c r="R621" s="231"/>
      <c r="S621" s="392">
        <v>372674</v>
      </c>
      <c r="T621" s="231">
        <v>10636</v>
      </c>
      <c r="U621" s="396">
        <v>383310</v>
      </c>
      <c r="V621" s="231"/>
      <c r="W621" s="396">
        <v>2375472</v>
      </c>
      <c r="X621" s="396">
        <v>443198</v>
      </c>
      <c r="Y621" s="396"/>
      <c r="Z621" s="396"/>
    </row>
    <row r="622" spans="1:26">
      <c r="A622" s="424">
        <v>96733</v>
      </c>
      <c r="B622" s="423" t="s">
        <v>1329</v>
      </c>
      <c r="C622" s="234">
        <v>0</v>
      </c>
      <c r="D622" s="234">
        <v>0</v>
      </c>
      <c r="E622" s="231">
        <v>0</v>
      </c>
      <c r="F622" s="231" t="s">
        <v>1924</v>
      </c>
      <c r="G622" s="392">
        <v>0</v>
      </c>
      <c r="H622" s="392">
        <v>0</v>
      </c>
      <c r="I622" s="392">
        <v>0</v>
      </c>
      <c r="J622" s="231">
        <v>0</v>
      </c>
      <c r="K622" s="231">
        <v>0</v>
      </c>
      <c r="L622" s="231"/>
      <c r="M622" s="300">
        <v>0</v>
      </c>
      <c r="N622" s="300">
        <v>0</v>
      </c>
      <c r="O622" s="300">
        <v>0</v>
      </c>
      <c r="P622" s="231">
        <v>4259</v>
      </c>
      <c r="Q622" s="231">
        <v>4259</v>
      </c>
      <c r="R622" s="231"/>
      <c r="S622" s="392">
        <v>0</v>
      </c>
      <c r="T622" s="231">
        <v>-3709</v>
      </c>
      <c r="U622" s="396">
        <v>-3709</v>
      </c>
      <c r="V622" s="231"/>
      <c r="W622" s="396">
        <v>0</v>
      </c>
      <c r="X622" s="396">
        <v>0</v>
      </c>
      <c r="Y622" s="396"/>
      <c r="Z622" s="396"/>
    </row>
    <row r="623" spans="1:26">
      <c r="A623" s="424">
        <v>96741</v>
      </c>
      <c r="B623" s="423" t="s">
        <v>1330</v>
      </c>
      <c r="C623" s="234">
        <v>7.86E-5</v>
      </c>
      <c r="D623" s="234">
        <v>8.81E-5</v>
      </c>
      <c r="E623" s="231">
        <v>443416</v>
      </c>
      <c r="F623" s="231" t="s">
        <v>1924</v>
      </c>
      <c r="G623" s="392">
        <v>19106</v>
      </c>
      <c r="H623" s="392">
        <v>146554</v>
      </c>
      <c r="I623" s="392">
        <v>44243</v>
      </c>
      <c r="J623" s="231">
        <v>0</v>
      </c>
      <c r="K623" s="231">
        <v>209903</v>
      </c>
      <c r="L623" s="231"/>
      <c r="M623" s="300">
        <v>1873</v>
      </c>
      <c r="N623" s="300">
        <v>0</v>
      </c>
      <c r="O623" s="300">
        <v>0</v>
      </c>
      <c r="P623" s="231">
        <v>20248</v>
      </c>
      <c r="Q623" s="231">
        <v>22121</v>
      </c>
      <c r="R623" s="231"/>
      <c r="S623" s="392">
        <v>125556</v>
      </c>
      <c r="T623" s="231">
        <v>-9962</v>
      </c>
      <c r="U623" s="396">
        <v>115594</v>
      </c>
      <c r="V623" s="231"/>
      <c r="W623" s="396">
        <v>800309</v>
      </c>
      <c r="X623" s="396">
        <v>149316</v>
      </c>
      <c r="Y623" s="396"/>
      <c r="Z623" s="396"/>
    </row>
    <row r="624" spans="1:26">
      <c r="A624" s="424">
        <v>96751</v>
      </c>
      <c r="B624" s="423" t="s">
        <v>1331</v>
      </c>
      <c r="C624" s="234">
        <v>3.3050000000000001E-4</v>
      </c>
      <c r="D624" s="234">
        <v>3.2870000000000002E-4</v>
      </c>
      <c r="E624" s="231">
        <v>1864492</v>
      </c>
      <c r="F624" s="231" t="s">
        <v>1924</v>
      </c>
      <c r="G624" s="392">
        <v>80339</v>
      </c>
      <c r="H624" s="392">
        <v>616234</v>
      </c>
      <c r="I624" s="392">
        <v>186034</v>
      </c>
      <c r="J624" s="231">
        <v>59650</v>
      </c>
      <c r="K624" s="231">
        <v>942257</v>
      </c>
      <c r="L624" s="231"/>
      <c r="M624" s="300">
        <v>7877</v>
      </c>
      <c r="N624" s="300">
        <v>0</v>
      </c>
      <c r="O624" s="300">
        <v>0</v>
      </c>
      <c r="P624" s="231">
        <v>36256</v>
      </c>
      <c r="Q624" s="231">
        <v>44133</v>
      </c>
      <c r="R624" s="231"/>
      <c r="S624" s="392">
        <v>527941</v>
      </c>
      <c r="T624" s="231">
        <v>13066</v>
      </c>
      <c r="U624" s="396">
        <v>541007</v>
      </c>
      <c r="V624" s="231"/>
      <c r="W624" s="396">
        <v>3365168</v>
      </c>
      <c r="X624" s="396">
        <v>627848</v>
      </c>
      <c r="Y624" s="396"/>
      <c r="Z624" s="396"/>
    </row>
    <row r="625" spans="1:26">
      <c r="A625" s="424">
        <v>96801</v>
      </c>
      <c r="B625" s="423" t="s">
        <v>1332</v>
      </c>
      <c r="C625" s="234">
        <v>6.9283000000000001E-3</v>
      </c>
      <c r="D625" s="234">
        <v>7.3797000000000003E-3</v>
      </c>
      <c r="E625" s="231">
        <v>39085506</v>
      </c>
      <c r="F625" s="231" t="s">
        <v>1924</v>
      </c>
      <c r="G625" s="392">
        <v>1684159</v>
      </c>
      <c r="H625" s="392">
        <v>12918169</v>
      </c>
      <c r="I625" s="392">
        <v>3899857</v>
      </c>
      <c r="J625" s="231">
        <v>42700</v>
      </c>
      <c r="K625" s="231">
        <v>18544885</v>
      </c>
      <c r="L625" s="231"/>
      <c r="M625" s="300">
        <v>165122</v>
      </c>
      <c r="N625" s="300">
        <v>0</v>
      </c>
      <c r="O625" s="300">
        <v>0</v>
      </c>
      <c r="P625" s="231">
        <v>691446</v>
      </c>
      <c r="Q625" s="231">
        <v>856568</v>
      </c>
      <c r="R625" s="231"/>
      <c r="S625" s="392">
        <v>11067273</v>
      </c>
      <c r="T625" s="231">
        <v>-233476</v>
      </c>
      <c r="U625" s="396">
        <v>10833797</v>
      </c>
      <c r="V625" s="231"/>
      <c r="W625" s="396">
        <v>70544304</v>
      </c>
      <c r="X625" s="396">
        <v>13161629</v>
      </c>
      <c r="Y625" s="396"/>
      <c r="Z625" s="396"/>
    </row>
    <row r="626" spans="1:26">
      <c r="A626" s="424">
        <v>96804</v>
      </c>
      <c r="B626" s="423" t="s">
        <v>1333</v>
      </c>
      <c r="C626" s="234">
        <v>2.5060000000000002E-4</v>
      </c>
      <c r="D626" s="234">
        <v>2.3699999999999999E-4</v>
      </c>
      <c r="E626" s="231">
        <v>1413742</v>
      </c>
      <c r="F626" s="231" t="s">
        <v>1924</v>
      </c>
      <c r="G626" s="392">
        <v>60917</v>
      </c>
      <c r="H626" s="392">
        <v>467256</v>
      </c>
      <c r="I626" s="392">
        <v>141060</v>
      </c>
      <c r="J626" s="231">
        <v>8375</v>
      </c>
      <c r="K626" s="231">
        <v>677608</v>
      </c>
      <c r="L626" s="231"/>
      <c r="M626" s="300">
        <v>5973</v>
      </c>
      <c r="N626" s="300">
        <v>0</v>
      </c>
      <c r="O626" s="300">
        <v>0</v>
      </c>
      <c r="P626" s="231">
        <v>13748</v>
      </c>
      <c r="Q626" s="231">
        <v>19721</v>
      </c>
      <c r="R626" s="231"/>
      <c r="S626" s="392">
        <v>400309</v>
      </c>
      <c r="T626" s="231">
        <v>-13818</v>
      </c>
      <c r="U626" s="396">
        <v>386491</v>
      </c>
      <c r="V626" s="231"/>
      <c r="W626" s="396">
        <v>2551622</v>
      </c>
      <c r="X626" s="396">
        <v>476063</v>
      </c>
      <c r="Y626" s="396"/>
      <c r="Z626" s="396"/>
    </row>
    <row r="627" spans="1:26">
      <c r="A627" s="424">
        <v>96808</v>
      </c>
      <c r="B627" s="423" t="s">
        <v>1334</v>
      </c>
      <c r="C627" s="234">
        <v>1.2224E-3</v>
      </c>
      <c r="D627" s="234">
        <v>1.2228E-3</v>
      </c>
      <c r="E627" s="231">
        <v>6896082</v>
      </c>
      <c r="F627" s="231" t="s">
        <v>1924</v>
      </c>
      <c r="G627" s="392">
        <v>297146</v>
      </c>
      <c r="H627" s="392">
        <v>2279227</v>
      </c>
      <c r="I627" s="392">
        <v>688074</v>
      </c>
      <c r="J627" s="231">
        <v>20486</v>
      </c>
      <c r="K627" s="231">
        <v>3284933</v>
      </c>
      <c r="L627" s="231"/>
      <c r="M627" s="300">
        <v>29133</v>
      </c>
      <c r="N627" s="300">
        <v>0</v>
      </c>
      <c r="O627" s="300">
        <v>0</v>
      </c>
      <c r="P627" s="231">
        <v>64099</v>
      </c>
      <c r="Q627" s="231">
        <v>93232</v>
      </c>
      <c r="R627" s="231"/>
      <c r="S627" s="392">
        <v>1952663</v>
      </c>
      <c r="T627" s="231">
        <v>-13953</v>
      </c>
      <c r="U627" s="396">
        <v>1938710</v>
      </c>
      <c r="V627" s="231"/>
      <c r="W627" s="396">
        <v>12446539</v>
      </c>
      <c r="X627" s="396">
        <v>2322182</v>
      </c>
      <c r="Y627" s="396"/>
      <c r="Z627" s="396"/>
    </row>
    <row r="628" spans="1:26">
      <c r="A628" s="424">
        <v>96811</v>
      </c>
      <c r="B628" s="423" t="s">
        <v>1335</v>
      </c>
      <c r="C628" s="234">
        <v>5.3463E-3</v>
      </c>
      <c r="D628" s="234">
        <v>5.5815999999999999E-3</v>
      </c>
      <c r="E628" s="231">
        <v>30160767</v>
      </c>
      <c r="F628" s="231" t="s">
        <v>1924</v>
      </c>
      <c r="G628" s="392">
        <v>1299600</v>
      </c>
      <c r="H628" s="392">
        <v>9968449</v>
      </c>
      <c r="I628" s="392">
        <v>3009368</v>
      </c>
      <c r="J628" s="231">
        <v>0</v>
      </c>
      <c r="K628" s="231">
        <v>14277417</v>
      </c>
      <c r="L628" s="231"/>
      <c r="M628" s="300">
        <v>127418</v>
      </c>
      <c r="N628" s="300">
        <v>0</v>
      </c>
      <c r="O628" s="300">
        <v>0</v>
      </c>
      <c r="P628" s="231">
        <v>686711</v>
      </c>
      <c r="Q628" s="231">
        <v>814129</v>
      </c>
      <c r="R628" s="231"/>
      <c r="S628" s="392">
        <v>8540185</v>
      </c>
      <c r="T628" s="231">
        <v>-316586</v>
      </c>
      <c r="U628" s="396">
        <v>8223599</v>
      </c>
      <c r="V628" s="231"/>
      <c r="W628" s="396">
        <v>54436299</v>
      </c>
      <c r="X628" s="396">
        <v>10156318</v>
      </c>
      <c r="Y628" s="396"/>
      <c r="Z628" s="396"/>
    </row>
    <row r="629" spans="1:26">
      <c r="A629" s="424">
        <v>96821</v>
      </c>
      <c r="B629" s="423" t="s">
        <v>1336</v>
      </c>
      <c r="C629" s="234">
        <v>1.1779E-3</v>
      </c>
      <c r="D629" s="234">
        <v>1.1953000000000001E-3</v>
      </c>
      <c r="E629" s="231">
        <v>6645038</v>
      </c>
      <c r="F629" s="231" t="s">
        <v>1924</v>
      </c>
      <c r="G629" s="392">
        <v>286329</v>
      </c>
      <c r="H629" s="392">
        <v>2196255</v>
      </c>
      <c r="I629" s="392">
        <v>663026</v>
      </c>
      <c r="J629" s="231">
        <v>32623</v>
      </c>
      <c r="K629" s="231">
        <v>3178233</v>
      </c>
      <c r="L629" s="231"/>
      <c r="M629" s="300">
        <v>28073</v>
      </c>
      <c r="N629" s="300">
        <v>0</v>
      </c>
      <c r="O629" s="300">
        <v>0</v>
      </c>
      <c r="P629" s="231">
        <v>2325</v>
      </c>
      <c r="Q629" s="231">
        <v>30398</v>
      </c>
      <c r="R629" s="231"/>
      <c r="S629" s="392">
        <v>1881579</v>
      </c>
      <c r="T629" s="231">
        <v>7778</v>
      </c>
      <c r="U629" s="396">
        <v>1889357</v>
      </c>
      <c r="V629" s="231"/>
      <c r="W629" s="396">
        <v>11993438</v>
      </c>
      <c r="X629" s="396">
        <v>2237646</v>
      </c>
      <c r="Y629" s="396"/>
      <c r="Z629" s="396"/>
    </row>
    <row r="630" spans="1:26">
      <c r="A630" s="424">
        <v>96831</v>
      </c>
      <c r="B630" s="423" t="s">
        <v>1337</v>
      </c>
      <c r="C630" s="234">
        <v>8.3469999999999996E-4</v>
      </c>
      <c r="D630" s="234">
        <v>7.9889999999999996E-4</v>
      </c>
      <c r="E630" s="231">
        <v>4708900</v>
      </c>
      <c r="F630" s="231" t="s">
        <v>1924</v>
      </c>
      <c r="G630" s="392">
        <v>202902</v>
      </c>
      <c r="H630" s="392">
        <v>1556341</v>
      </c>
      <c r="I630" s="392">
        <v>469843</v>
      </c>
      <c r="J630" s="231">
        <v>84994</v>
      </c>
      <c r="K630" s="231">
        <v>2314080</v>
      </c>
      <c r="L630" s="231"/>
      <c r="M630" s="300">
        <v>19893</v>
      </c>
      <c r="N630" s="300">
        <v>0</v>
      </c>
      <c r="O630" s="300">
        <v>0</v>
      </c>
      <c r="P630" s="231">
        <v>126304</v>
      </c>
      <c r="Q630" s="231">
        <v>146197</v>
      </c>
      <c r="R630" s="231"/>
      <c r="S630" s="392">
        <v>1333351</v>
      </c>
      <c r="T630" s="231">
        <v>-33948</v>
      </c>
      <c r="U630" s="396">
        <v>1299403</v>
      </c>
      <c r="V630" s="231"/>
      <c r="W630" s="396">
        <v>8498958</v>
      </c>
      <c r="X630" s="396">
        <v>1585672</v>
      </c>
      <c r="Y630" s="396"/>
      <c r="Z630" s="396"/>
    </row>
    <row r="631" spans="1:26">
      <c r="A631" s="424">
        <v>96901</v>
      </c>
      <c r="B631" s="423" t="s">
        <v>1338</v>
      </c>
      <c r="C631" s="234">
        <v>7.8609999999999997E-4</v>
      </c>
      <c r="D631" s="234">
        <v>8.2089999999999995E-4</v>
      </c>
      <c r="E631" s="231">
        <v>4434727</v>
      </c>
      <c r="F631" s="231" t="s">
        <v>1924</v>
      </c>
      <c r="G631" s="392">
        <v>191088</v>
      </c>
      <c r="H631" s="392">
        <v>1465724</v>
      </c>
      <c r="I631" s="392">
        <v>442486</v>
      </c>
      <c r="J631" s="231">
        <v>7306</v>
      </c>
      <c r="K631" s="231">
        <v>2106604</v>
      </c>
      <c r="L631" s="231"/>
      <c r="M631" s="300">
        <v>18735</v>
      </c>
      <c r="N631" s="300">
        <v>0</v>
      </c>
      <c r="O631" s="300">
        <v>0</v>
      </c>
      <c r="P631" s="231">
        <v>128326</v>
      </c>
      <c r="Q631" s="231">
        <v>147061</v>
      </c>
      <c r="R631" s="231"/>
      <c r="S631" s="392">
        <v>1255717</v>
      </c>
      <c r="T631" s="231">
        <v>-71251</v>
      </c>
      <c r="U631" s="396">
        <v>1184466</v>
      </c>
      <c r="V631" s="231"/>
      <c r="W631" s="396">
        <v>8004110</v>
      </c>
      <c r="X631" s="396">
        <v>1493347</v>
      </c>
      <c r="Y631" s="396"/>
      <c r="Z631" s="396"/>
    </row>
    <row r="632" spans="1:26" s="355" customFormat="1">
      <c r="A632" s="424">
        <v>96911</v>
      </c>
      <c r="B632" s="423" t="s">
        <v>1339</v>
      </c>
      <c r="C632" s="234">
        <v>3.3000000000000002E-6</v>
      </c>
      <c r="D632" s="234">
        <v>2.2000000000000001E-6</v>
      </c>
      <c r="E632" s="231">
        <v>18617</v>
      </c>
      <c r="F632" s="231" t="s">
        <v>1924</v>
      </c>
      <c r="G632" s="392">
        <v>802</v>
      </c>
      <c r="H632" s="392">
        <v>6153</v>
      </c>
      <c r="I632" s="392">
        <v>1858</v>
      </c>
      <c r="J632" s="231">
        <v>6366</v>
      </c>
      <c r="K632" s="231">
        <v>15179</v>
      </c>
      <c r="L632" s="231"/>
      <c r="M632" s="300">
        <v>79</v>
      </c>
      <c r="N632" s="300">
        <v>0</v>
      </c>
      <c r="O632" s="300">
        <v>0</v>
      </c>
      <c r="P632" s="231">
        <v>0</v>
      </c>
      <c r="Q632" s="231">
        <v>79</v>
      </c>
      <c r="R632" s="231"/>
      <c r="S632" s="392">
        <v>5271</v>
      </c>
      <c r="T632" s="231">
        <v>3121</v>
      </c>
      <c r="U632" s="396">
        <v>8392</v>
      </c>
      <c r="V632" s="231"/>
      <c r="W632" s="396">
        <v>33601</v>
      </c>
      <c r="X632" s="396">
        <v>6269</v>
      </c>
      <c r="Y632" s="396"/>
      <c r="Z632" s="396"/>
    </row>
    <row r="633" spans="1:26">
      <c r="A633" s="424">
        <v>96912</v>
      </c>
      <c r="B633" s="423" t="s">
        <v>1340</v>
      </c>
      <c r="C633" s="234">
        <v>7.1099999999999994E-5</v>
      </c>
      <c r="D633" s="234">
        <v>7.25E-5</v>
      </c>
      <c r="E633" s="231">
        <v>401106</v>
      </c>
      <c r="F633" s="231" t="s">
        <v>1924</v>
      </c>
      <c r="G633" s="392">
        <v>17283</v>
      </c>
      <c r="H633" s="392">
        <v>132570</v>
      </c>
      <c r="I633" s="392">
        <v>40021</v>
      </c>
      <c r="J633" s="231">
        <v>656</v>
      </c>
      <c r="K633" s="231">
        <v>190530</v>
      </c>
      <c r="L633" s="231"/>
      <c r="M633" s="300">
        <v>1695</v>
      </c>
      <c r="N633" s="300">
        <v>0</v>
      </c>
      <c r="O633" s="300">
        <v>0</v>
      </c>
      <c r="P633" s="231">
        <v>12729</v>
      </c>
      <c r="Q633" s="231">
        <v>14424</v>
      </c>
      <c r="R633" s="231"/>
      <c r="S633" s="392">
        <v>113575</v>
      </c>
      <c r="T633" s="231">
        <v>-4622</v>
      </c>
      <c r="U633" s="396">
        <v>108953</v>
      </c>
      <c r="V633" s="231"/>
      <c r="W633" s="396">
        <v>723944</v>
      </c>
      <c r="X633" s="396">
        <v>135068</v>
      </c>
      <c r="Y633" s="396"/>
      <c r="Z633" s="396"/>
    </row>
    <row r="634" spans="1:26">
      <c r="A634" s="424">
        <v>96918</v>
      </c>
      <c r="B634" s="423" t="s">
        <v>1341</v>
      </c>
      <c r="C634" s="234">
        <v>4.4499999999999997E-5</v>
      </c>
      <c r="D634" s="234">
        <v>2.9200000000000002E-5</v>
      </c>
      <c r="E634" s="231">
        <v>251044</v>
      </c>
      <c r="F634" s="231" t="s">
        <v>1924</v>
      </c>
      <c r="G634" s="392">
        <v>10817</v>
      </c>
      <c r="H634" s="392">
        <v>82973</v>
      </c>
      <c r="I634" s="392">
        <v>25049</v>
      </c>
      <c r="J634" s="231">
        <v>34394</v>
      </c>
      <c r="K634" s="231">
        <v>153233</v>
      </c>
      <c r="L634" s="231"/>
      <c r="M634" s="300">
        <v>1061</v>
      </c>
      <c r="N634" s="300">
        <v>0</v>
      </c>
      <c r="O634" s="300">
        <v>0</v>
      </c>
      <c r="P634" s="231">
        <v>99</v>
      </c>
      <c r="Q634" s="231">
        <v>1160</v>
      </c>
      <c r="R634" s="231"/>
      <c r="S634" s="392">
        <v>71084</v>
      </c>
      <c r="T634" s="231">
        <v>12704</v>
      </c>
      <c r="U634" s="396">
        <v>83788</v>
      </c>
      <c r="V634" s="231"/>
      <c r="W634" s="396">
        <v>453101</v>
      </c>
      <c r="X634" s="396">
        <v>84536</v>
      </c>
      <c r="Y634" s="396"/>
      <c r="Z634" s="396"/>
    </row>
    <row r="635" spans="1:26">
      <c r="A635" s="424">
        <v>97001</v>
      </c>
      <c r="B635" s="423" t="s">
        <v>1342</v>
      </c>
      <c r="C635" s="234">
        <v>1.4706999999999999E-3</v>
      </c>
      <c r="D635" s="234">
        <v>1.4491E-3</v>
      </c>
      <c r="E635" s="231">
        <v>8296848</v>
      </c>
      <c r="F635" s="231" t="s">
        <v>1924</v>
      </c>
      <c r="G635" s="392">
        <v>357504</v>
      </c>
      <c r="H635" s="392">
        <v>2742195</v>
      </c>
      <c r="I635" s="392">
        <v>827839</v>
      </c>
      <c r="J635" s="231">
        <v>240916</v>
      </c>
      <c r="K635" s="231">
        <v>4168454</v>
      </c>
      <c r="L635" s="231"/>
      <c r="M635" s="300">
        <v>35051</v>
      </c>
      <c r="N635" s="300">
        <v>0</v>
      </c>
      <c r="O635" s="300">
        <v>0</v>
      </c>
      <c r="P635" s="231">
        <v>0</v>
      </c>
      <c r="Q635" s="231">
        <v>35051</v>
      </c>
      <c r="R635" s="231"/>
      <c r="S635" s="392">
        <v>2349298</v>
      </c>
      <c r="T635" s="231">
        <v>139818</v>
      </c>
      <c r="U635" s="396">
        <v>2489116</v>
      </c>
      <c r="V635" s="231"/>
      <c r="W635" s="396">
        <v>14974742</v>
      </c>
      <c r="X635" s="396">
        <v>2793876</v>
      </c>
      <c r="Y635" s="396"/>
      <c r="Z635" s="396"/>
    </row>
    <row r="636" spans="1:26">
      <c r="A636" s="424">
        <v>97002</v>
      </c>
      <c r="B636" s="423" t="s">
        <v>1343</v>
      </c>
      <c r="C636" s="234">
        <v>3.9350000000000002E-4</v>
      </c>
      <c r="D636" s="234">
        <v>4.395E-4</v>
      </c>
      <c r="E636" s="231">
        <v>2219902</v>
      </c>
      <c r="F636" s="231" t="s">
        <v>1924</v>
      </c>
      <c r="G636" s="392">
        <v>95654</v>
      </c>
      <c r="H636" s="392">
        <v>733701</v>
      </c>
      <c r="I636" s="392">
        <v>221496</v>
      </c>
      <c r="J636" s="231">
        <v>0</v>
      </c>
      <c r="K636" s="231">
        <v>1050851</v>
      </c>
      <c r="L636" s="231"/>
      <c r="M636" s="300">
        <v>9378</v>
      </c>
      <c r="N636" s="300">
        <v>0</v>
      </c>
      <c r="O636" s="300">
        <v>0</v>
      </c>
      <c r="P636" s="231">
        <v>216234</v>
      </c>
      <c r="Q636" s="231">
        <v>225612</v>
      </c>
      <c r="R636" s="231"/>
      <c r="S636" s="392">
        <v>628577</v>
      </c>
      <c r="T636" s="231">
        <v>-125394</v>
      </c>
      <c r="U636" s="396">
        <v>503183</v>
      </c>
      <c r="V636" s="231"/>
      <c r="W636" s="396">
        <v>4006637</v>
      </c>
      <c r="X636" s="396">
        <v>747528</v>
      </c>
      <c r="Y636" s="396"/>
      <c r="Z636" s="396"/>
    </row>
    <row r="637" spans="1:26">
      <c r="A637" s="424">
        <v>97004</v>
      </c>
      <c r="B637" s="423" t="s">
        <v>1344</v>
      </c>
      <c r="C637" s="234">
        <v>1.6399999999999999E-5</v>
      </c>
      <c r="D637" s="234">
        <v>1.5999999999999999E-5</v>
      </c>
      <c r="E637" s="231">
        <v>92519</v>
      </c>
      <c r="F637" s="231" t="s">
        <v>1924</v>
      </c>
      <c r="G637" s="392">
        <v>3987</v>
      </c>
      <c r="H637" s="392">
        <v>30579</v>
      </c>
      <c r="I637" s="392">
        <v>9231</v>
      </c>
      <c r="J637" s="231">
        <v>7512</v>
      </c>
      <c r="K637" s="231">
        <v>51309</v>
      </c>
      <c r="L637" s="231"/>
      <c r="M637" s="300">
        <v>391</v>
      </c>
      <c r="N637" s="300">
        <v>0</v>
      </c>
      <c r="O637" s="300">
        <v>0</v>
      </c>
      <c r="P637" s="231">
        <v>304</v>
      </c>
      <c r="Q637" s="231">
        <v>695</v>
      </c>
      <c r="R637" s="231"/>
      <c r="S637" s="392">
        <v>26197</v>
      </c>
      <c r="T637" s="231">
        <v>4912</v>
      </c>
      <c r="U637" s="396">
        <v>31109</v>
      </c>
      <c r="V637" s="231"/>
      <c r="W637" s="396">
        <v>166986</v>
      </c>
      <c r="X637" s="396">
        <v>31155</v>
      </c>
      <c r="Y637" s="396"/>
      <c r="Z637" s="396"/>
    </row>
    <row r="638" spans="1:26">
      <c r="A638" s="424">
        <v>97005</v>
      </c>
      <c r="B638" s="423" t="s">
        <v>1345</v>
      </c>
      <c r="C638" s="234">
        <v>3.0700000000000001E-5</v>
      </c>
      <c r="D638" s="234">
        <v>3.04E-5</v>
      </c>
      <c r="E638" s="231">
        <v>173192</v>
      </c>
      <c r="F638" s="231" t="s">
        <v>1924</v>
      </c>
      <c r="G638" s="392">
        <v>7463</v>
      </c>
      <c r="H638" s="392">
        <v>57242</v>
      </c>
      <c r="I638" s="392">
        <v>17281</v>
      </c>
      <c r="J638" s="231">
        <v>12280</v>
      </c>
      <c r="K638" s="231">
        <v>94266</v>
      </c>
      <c r="L638" s="231"/>
      <c r="M638" s="300">
        <v>732</v>
      </c>
      <c r="N638" s="300">
        <v>0</v>
      </c>
      <c r="O638" s="300">
        <v>0</v>
      </c>
      <c r="P638" s="231">
        <v>451</v>
      </c>
      <c r="Q638" s="231">
        <v>1183</v>
      </c>
      <c r="R638" s="231"/>
      <c r="S638" s="392">
        <v>49040</v>
      </c>
      <c r="T638" s="231">
        <v>6830</v>
      </c>
      <c r="U638" s="396">
        <v>55870</v>
      </c>
      <c r="V638" s="231"/>
      <c r="W638" s="396">
        <v>312589</v>
      </c>
      <c r="X638" s="396">
        <v>58321</v>
      </c>
      <c r="Y638" s="396"/>
      <c r="Z638" s="396"/>
    </row>
    <row r="639" spans="1:26">
      <c r="A639" s="424">
        <v>97008</v>
      </c>
      <c r="B639" s="423" t="s">
        <v>1346</v>
      </c>
      <c r="C639" s="234">
        <v>3.5110000000000002E-4</v>
      </c>
      <c r="D639" s="234">
        <v>2.8479999999999998E-4</v>
      </c>
      <c r="E639" s="231">
        <v>1980705</v>
      </c>
      <c r="F639" s="231" t="s">
        <v>1924</v>
      </c>
      <c r="G639" s="392">
        <v>85347</v>
      </c>
      <c r="H639" s="392">
        <v>654644</v>
      </c>
      <c r="I639" s="392">
        <v>197630</v>
      </c>
      <c r="J639" s="231">
        <v>98516</v>
      </c>
      <c r="K639" s="231">
        <v>1036137</v>
      </c>
      <c r="L639" s="231"/>
      <c r="M639" s="300">
        <v>8368</v>
      </c>
      <c r="N639" s="300">
        <v>0</v>
      </c>
      <c r="O639" s="300">
        <v>0</v>
      </c>
      <c r="P639" s="231">
        <v>2386</v>
      </c>
      <c r="Q639" s="231">
        <v>10754</v>
      </c>
      <c r="R639" s="231"/>
      <c r="S639" s="392">
        <v>560847</v>
      </c>
      <c r="T639" s="231">
        <v>34442</v>
      </c>
      <c r="U639" s="396">
        <v>595289</v>
      </c>
      <c r="V639" s="231"/>
      <c r="W639" s="396">
        <v>3574918</v>
      </c>
      <c r="X639" s="396">
        <v>666982</v>
      </c>
      <c r="Y639" s="396"/>
      <c r="Z639" s="396"/>
    </row>
    <row r="640" spans="1:26">
      <c r="A640" s="424">
        <v>97011</v>
      </c>
      <c r="B640" s="423" t="s">
        <v>1348</v>
      </c>
      <c r="C640" s="234">
        <v>1.8959999999999999E-3</v>
      </c>
      <c r="D640" s="234">
        <v>1.8075999999999999E-3</v>
      </c>
      <c r="E640" s="231">
        <v>10696147</v>
      </c>
      <c r="F640" s="231" t="s">
        <v>1924</v>
      </c>
      <c r="G640" s="392">
        <v>460887</v>
      </c>
      <c r="H640" s="392">
        <v>3535189</v>
      </c>
      <c r="I640" s="392">
        <v>1067236</v>
      </c>
      <c r="J640" s="231">
        <v>109833</v>
      </c>
      <c r="K640" s="231">
        <v>5173145</v>
      </c>
      <c r="L640" s="231"/>
      <c r="M640" s="300">
        <v>45187</v>
      </c>
      <c r="N640" s="300">
        <v>0</v>
      </c>
      <c r="O640" s="300">
        <v>0</v>
      </c>
      <c r="P640" s="231">
        <v>43185</v>
      </c>
      <c r="Q640" s="231">
        <v>88372</v>
      </c>
      <c r="R640" s="231"/>
      <c r="S640" s="392">
        <v>3028672</v>
      </c>
      <c r="T640" s="231">
        <v>4892</v>
      </c>
      <c r="U640" s="396">
        <v>3033564</v>
      </c>
      <c r="V640" s="231"/>
      <c r="W640" s="396">
        <v>19305169</v>
      </c>
      <c r="X640" s="396">
        <v>3601814</v>
      </c>
      <c r="Y640" s="396"/>
      <c r="Z640" s="396"/>
    </row>
    <row r="641" spans="1:26">
      <c r="A641" s="424">
        <v>97012</v>
      </c>
      <c r="B641" s="423" t="s">
        <v>1349</v>
      </c>
      <c r="C641" s="234">
        <v>2.5400000000000001E-5</v>
      </c>
      <c r="D641" s="234">
        <v>2.1999999999999999E-5</v>
      </c>
      <c r="E641" s="231">
        <v>143292</v>
      </c>
      <c r="F641" s="231" t="s">
        <v>1924</v>
      </c>
      <c r="G641" s="392">
        <v>6174</v>
      </c>
      <c r="H641" s="392">
        <v>47360</v>
      </c>
      <c r="I641" s="392">
        <v>14297</v>
      </c>
      <c r="J641" s="231">
        <v>6290</v>
      </c>
      <c r="K641" s="231">
        <v>74121</v>
      </c>
      <c r="L641" s="231"/>
      <c r="M641" s="300">
        <v>605</v>
      </c>
      <c r="N641" s="300">
        <v>0</v>
      </c>
      <c r="O641" s="300">
        <v>0</v>
      </c>
      <c r="P641" s="231">
        <v>4832</v>
      </c>
      <c r="Q641" s="231">
        <v>5437</v>
      </c>
      <c r="R641" s="231"/>
      <c r="S641" s="392">
        <v>40574</v>
      </c>
      <c r="T641" s="231">
        <v>264</v>
      </c>
      <c r="U641" s="396">
        <v>40838</v>
      </c>
      <c r="V641" s="231"/>
      <c r="W641" s="396">
        <v>258624</v>
      </c>
      <c r="X641" s="396">
        <v>48252</v>
      </c>
      <c r="Y641" s="396"/>
      <c r="Z641" s="396"/>
    </row>
    <row r="642" spans="1:26">
      <c r="A642" s="424">
        <v>97013</v>
      </c>
      <c r="B642" s="423" t="s">
        <v>1350</v>
      </c>
      <c r="C642" s="234">
        <v>2.3600000000000001E-5</v>
      </c>
      <c r="D642" s="234">
        <v>2.0999999999999999E-5</v>
      </c>
      <c r="E642" s="231">
        <v>133138</v>
      </c>
      <c r="F642" s="231" t="s">
        <v>1924</v>
      </c>
      <c r="G642" s="392">
        <v>5737</v>
      </c>
      <c r="H642" s="392">
        <v>44003</v>
      </c>
      <c r="I642" s="392">
        <v>13284</v>
      </c>
      <c r="J642" s="231">
        <v>14079</v>
      </c>
      <c r="K642" s="231">
        <v>77103</v>
      </c>
      <c r="L642" s="231"/>
      <c r="M642" s="300">
        <v>562</v>
      </c>
      <c r="N642" s="300">
        <v>0</v>
      </c>
      <c r="O642" s="300">
        <v>0</v>
      </c>
      <c r="P642" s="231">
        <v>2111</v>
      </c>
      <c r="Q642" s="231">
        <v>2673</v>
      </c>
      <c r="R642" s="231"/>
      <c r="S642" s="392">
        <v>37699</v>
      </c>
      <c r="T642" s="231">
        <v>6955</v>
      </c>
      <c r="U642" s="396">
        <v>44654</v>
      </c>
      <c r="V642" s="231"/>
      <c r="W642" s="396">
        <v>240296</v>
      </c>
      <c r="X642" s="396">
        <v>44833</v>
      </c>
      <c r="Y642" s="396"/>
      <c r="Z642" s="396"/>
    </row>
    <row r="643" spans="1:26">
      <c r="A643" s="424">
        <v>97015</v>
      </c>
      <c r="B643" s="423" t="s">
        <v>1351</v>
      </c>
      <c r="C643" s="234">
        <v>4.6400000000000003E-5</v>
      </c>
      <c r="D643" s="234">
        <v>4.6799999999999999E-5</v>
      </c>
      <c r="E643" s="231">
        <v>261762</v>
      </c>
      <c r="F643" s="231" t="s">
        <v>1924</v>
      </c>
      <c r="G643" s="392">
        <v>11279</v>
      </c>
      <c r="H643" s="392">
        <v>86515</v>
      </c>
      <c r="I643" s="392">
        <v>26118</v>
      </c>
      <c r="J643" s="231">
        <v>4122</v>
      </c>
      <c r="K643" s="231">
        <v>128034</v>
      </c>
      <c r="L643" s="231"/>
      <c r="M643" s="300">
        <v>1106</v>
      </c>
      <c r="N643" s="300">
        <v>0</v>
      </c>
      <c r="O643" s="300">
        <v>0</v>
      </c>
      <c r="P643" s="231">
        <v>1150</v>
      </c>
      <c r="Q643" s="231">
        <v>2256</v>
      </c>
      <c r="R643" s="231"/>
      <c r="S643" s="392">
        <v>74119</v>
      </c>
      <c r="T643" s="231">
        <v>3837</v>
      </c>
      <c r="U643" s="396">
        <v>77956</v>
      </c>
      <c r="V643" s="231"/>
      <c r="W643" s="396">
        <v>472447</v>
      </c>
      <c r="X643" s="396">
        <v>88146</v>
      </c>
      <c r="Y643" s="396"/>
      <c r="Z643" s="396"/>
    </row>
    <row r="644" spans="1:26">
      <c r="A644" s="424">
        <v>97018</v>
      </c>
      <c r="B644" s="423" t="s">
        <v>1352</v>
      </c>
      <c r="C644" s="234">
        <v>9.0000000000000002E-6</v>
      </c>
      <c r="D644" s="234">
        <v>1.63E-5</v>
      </c>
      <c r="E644" s="231">
        <v>50773</v>
      </c>
      <c r="F644" s="231" t="s">
        <v>1924</v>
      </c>
      <c r="G644" s="392">
        <v>2188</v>
      </c>
      <c r="H644" s="392">
        <v>16781</v>
      </c>
      <c r="I644" s="392">
        <v>5066</v>
      </c>
      <c r="J644" s="231">
        <v>1798</v>
      </c>
      <c r="K644" s="231">
        <v>25833</v>
      </c>
      <c r="L644" s="231"/>
      <c r="M644" s="300">
        <v>214</v>
      </c>
      <c r="N644" s="300">
        <v>0</v>
      </c>
      <c r="O644" s="300">
        <v>0</v>
      </c>
      <c r="P644" s="231">
        <v>12064</v>
      </c>
      <c r="Q644" s="231">
        <v>12278</v>
      </c>
      <c r="R644" s="231"/>
      <c r="S644" s="392">
        <v>14377</v>
      </c>
      <c r="T644" s="231">
        <v>-1746</v>
      </c>
      <c r="U644" s="396">
        <v>12631</v>
      </c>
      <c r="V644" s="231"/>
      <c r="W644" s="396">
        <v>91638</v>
      </c>
      <c r="X644" s="396">
        <v>17097</v>
      </c>
      <c r="Y644" s="396"/>
      <c r="Z644" s="396"/>
    </row>
    <row r="645" spans="1:26">
      <c r="A645" s="424">
        <v>97101</v>
      </c>
      <c r="B645" s="423" t="s">
        <v>1353</v>
      </c>
      <c r="C645" s="234">
        <v>3.0308000000000002E-3</v>
      </c>
      <c r="D645" s="234">
        <v>2.9548999999999999E-3</v>
      </c>
      <c r="E645" s="231">
        <v>17098040</v>
      </c>
      <c r="F645" s="231" t="s">
        <v>1924</v>
      </c>
      <c r="G645" s="392">
        <v>736739</v>
      </c>
      <c r="H645" s="392">
        <v>5651081</v>
      </c>
      <c r="I645" s="392">
        <v>1706001</v>
      </c>
      <c r="J645" s="231">
        <v>385806</v>
      </c>
      <c r="K645" s="231">
        <v>8479627</v>
      </c>
      <c r="L645" s="231"/>
      <c r="M645" s="300">
        <v>72233</v>
      </c>
      <c r="N645" s="300">
        <v>0</v>
      </c>
      <c r="O645" s="300">
        <v>0</v>
      </c>
      <c r="P645" s="231">
        <v>0</v>
      </c>
      <c r="Q645" s="231">
        <v>72233</v>
      </c>
      <c r="R645" s="231"/>
      <c r="S645" s="392">
        <v>4841403</v>
      </c>
      <c r="T645" s="231">
        <v>229504</v>
      </c>
      <c r="U645" s="396">
        <v>5070907</v>
      </c>
      <c r="V645" s="231"/>
      <c r="W645" s="396">
        <v>30859760</v>
      </c>
      <c r="X645" s="396">
        <v>5757583</v>
      </c>
      <c r="Y645" s="396"/>
      <c r="Z645" s="396"/>
    </row>
    <row r="646" spans="1:26">
      <c r="A646" s="424">
        <v>97104</v>
      </c>
      <c r="B646" s="423" t="s">
        <v>1354</v>
      </c>
      <c r="C646" s="234">
        <v>6.41E-5</v>
      </c>
      <c r="D646" s="234">
        <v>6.2399999999999999E-5</v>
      </c>
      <c r="E646" s="231">
        <v>361616</v>
      </c>
      <c r="F646" s="231" t="s">
        <v>1924</v>
      </c>
      <c r="G646" s="392">
        <v>15582</v>
      </c>
      <c r="H646" s="392">
        <v>119518</v>
      </c>
      <c r="I646" s="392">
        <v>36081</v>
      </c>
      <c r="J646" s="231">
        <v>31947</v>
      </c>
      <c r="K646" s="231">
        <v>203128</v>
      </c>
      <c r="L646" s="231"/>
      <c r="M646" s="300">
        <v>1528</v>
      </c>
      <c r="N646" s="300">
        <v>0</v>
      </c>
      <c r="O646" s="300">
        <v>0</v>
      </c>
      <c r="P646" s="231">
        <v>0</v>
      </c>
      <c r="Q646" s="231">
        <v>1528</v>
      </c>
      <c r="R646" s="231"/>
      <c r="S646" s="392">
        <v>102393</v>
      </c>
      <c r="T646" s="231">
        <v>15420</v>
      </c>
      <c r="U646" s="396">
        <v>117813</v>
      </c>
      <c r="V646" s="231"/>
      <c r="W646" s="396">
        <v>652669</v>
      </c>
      <c r="X646" s="396">
        <v>121770</v>
      </c>
      <c r="Y646" s="396"/>
      <c r="Z646" s="396"/>
    </row>
    <row r="647" spans="1:26">
      <c r="A647" s="425">
        <v>97111</v>
      </c>
      <c r="B647" s="426" t="s">
        <v>1355</v>
      </c>
      <c r="C647" s="234">
        <v>3.522E-4</v>
      </c>
      <c r="D647" s="234">
        <v>3.057E-4</v>
      </c>
      <c r="E647" s="231">
        <v>1986911</v>
      </c>
      <c r="F647" s="231" t="s">
        <v>1924</v>
      </c>
      <c r="G647" s="392">
        <v>85614</v>
      </c>
      <c r="H647" s="392">
        <v>656695</v>
      </c>
      <c r="I647" s="392">
        <v>198249</v>
      </c>
      <c r="J647" s="231">
        <v>54729</v>
      </c>
      <c r="K647" s="231">
        <v>995287</v>
      </c>
      <c r="L647" s="231"/>
      <c r="M647" s="300">
        <v>8394</v>
      </c>
      <c r="N647" s="300">
        <v>0</v>
      </c>
      <c r="O647" s="300">
        <v>0</v>
      </c>
      <c r="P647" s="231">
        <v>30636</v>
      </c>
      <c r="Q647" s="231">
        <v>39030</v>
      </c>
      <c r="R647" s="231"/>
      <c r="S647" s="392">
        <v>562605</v>
      </c>
      <c r="T647" s="231">
        <v>5699</v>
      </c>
      <c r="U647" s="396">
        <v>568304</v>
      </c>
      <c r="V647" s="231"/>
      <c r="W647" s="396">
        <v>3586118</v>
      </c>
      <c r="X647" s="396">
        <v>669071</v>
      </c>
      <c r="Y647" s="396"/>
      <c r="Z647" s="396"/>
    </row>
    <row r="648" spans="1:26">
      <c r="A648" s="424">
        <v>97121</v>
      </c>
      <c r="B648" s="423" t="s">
        <v>1356</v>
      </c>
      <c r="C648" s="234">
        <v>1.8259999999999999E-4</v>
      </c>
      <c r="D648" s="234">
        <v>1.516E-4</v>
      </c>
      <c r="E648" s="231">
        <v>1030125</v>
      </c>
      <c r="F648" s="231" t="s">
        <v>1924</v>
      </c>
      <c r="G648" s="392">
        <v>44387</v>
      </c>
      <c r="H648" s="392">
        <v>340467</v>
      </c>
      <c r="I648" s="392">
        <v>102783</v>
      </c>
      <c r="J648" s="231">
        <v>102978</v>
      </c>
      <c r="K648" s="231">
        <v>590615</v>
      </c>
      <c r="L648" s="231"/>
      <c r="M648" s="300">
        <v>4352</v>
      </c>
      <c r="N648" s="300">
        <v>0</v>
      </c>
      <c r="O648" s="300">
        <v>0</v>
      </c>
      <c r="P648" s="231">
        <v>0</v>
      </c>
      <c r="Q648" s="231">
        <v>4352</v>
      </c>
      <c r="R648" s="231"/>
      <c r="S648" s="392">
        <v>291685</v>
      </c>
      <c r="T648" s="231">
        <v>46668</v>
      </c>
      <c r="U648" s="396">
        <v>338353</v>
      </c>
      <c r="V648" s="231"/>
      <c r="W648" s="396">
        <v>1859243</v>
      </c>
      <c r="X648" s="396">
        <v>346884</v>
      </c>
      <c r="Y648" s="396"/>
      <c r="Z648" s="396"/>
    </row>
    <row r="649" spans="1:26">
      <c r="A649" s="424">
        <v>97131</v>
      </c>
      <c r="B649" s="423" t="s">
        <v>1357</v>
      </c>
      <c r="C649" s="234">
        <v>7.2349999999999997E-4</v>
      </c>
      <c r="D649" s="234">
        <v>7.1290000000000004E-4</v>
      </c>
      <c r="E649" s="231">
        <v>4081573</v>
      </c>
      <c r="F649" s="231" t="s">
        <v>1924</v>
      </c>
      <c r="G649" s="392">
        <v>175871</v>
      </c>
      <c r="H649" s="392">
        <v>1349003</v>
      </c>
      <c r="I649" s="392">
        <v>407249</v>
      </c>
      <c r="J649" s="231">
        <v>10127</v>
      </c>
      <c r="K649" s="231">
        <v>1942250</v>
      </c>
      <c r="L649" s="231"/>
      <c r="M649" s="300">
        <v>17243</v>
      </c>
      <c r="N649" s="300">
        <v>0</v>
      </c>
      <c r="O649" s="300">
        <v>0</v>
      </c>
      <c r="P649" s="231">
        <v>72510</v>
      </c>
      <c r="Q649" s="231">
        <v>89753</v>
      </c>
      <c r="R649" s="231"/>
      <c r="S649" s="392">
        <v>1155720</v>
      </c>
      <c r="T649" s="231">
        <v>-49628</v>
      </c>
      <c r="U649" s="396">
        <v>1106092</v>
      </c>
      <c r="V649" s="231"/>
      <c r="W649" s="396">
        <v>7366714</v>
      </c>
      <c r="X649" s="396">
        <v>1374426</v>
      </c>
      <c r="Y649" s="396"/>
      <c r="Z649" s="396"/>
    </row>
    <row r="650" spans="1:26">
      <c r="A650" s="424">
        <v>97201</v>
      </c>
      <c r="B650" s="423" t="s">
        <v>1358</v>
      </c>
      <c r="C650" s="234">
        <v>6.6189999999999999E-4</v>
      </c>
      <c r="D650" s="234">
        <v>5.53E-4</v>
      </c>
      <c r="E650" s="231">
        <v>3734061</v>
      </c>
      <c r="F650" s="231" t="s">
        <v>1924</v>
      </c>
      <c r="G650" s="392">
        <v>160897</v>
      </c>
      <c r="H650" s="392">
        <v>1234146</v>
      </c>
      <c r="I650" s="392">
        <v>372576</v>
      </c>
      <c r="J650" s="231">
        <v>168991</v>
      </c>
      <c r="K650" s="231">
        <v>1936610</v>
      </c>
      <c r="L650" s="231"/>
      <c r="M650" s="300">
        <v>15775</v>
      </c>
      <c r="N650" s="300">
        <v>0</v>
      </c>
      <c r="O650" s="300">
        <v>0</v>
      </c>
      <c r="P650" s="231">
        <v>12558</v>
      </c>
      <c r="Q650" s="231">
        <v>28333</v>
      </c>
      <c r="R650" s="231"/>
      <c r="S650" s="392">
        <v>1057320</v>
      </c>
      <c r="T650" s="231">
        <v>53898</v>
      </c>
      <c r="U650" s="396">
        <v>1111218</v>
      </c>
      <c r="V650" s="231"/>
      <c r="W650" s="396">
        <v>6739500</v>
      </c>
      <c r="X650" s="396">
        <v>1257405</v>
      </c>
      <c r="Y650" s="396"/>
      <c r="Z650" s="396"/>
    </row>
    <row r="651" spans="1:26">
      <c r="A651" s="424">
        <v>97211</v>
      </c>
      <c r="B651" s="423" t="s">
        <v>1359</v>
      </c>
      <c r="C651" s="234">
        <v>9.1700000000000006E-5</v>
      </c>
      <c r="D651" s="234">
        <v>1.6420000000000001E-4</v>
      </c>
      <c r="E651" s="231">
        <v>517319</v>
      </c>
      <c r="F651" s="231" t="s">
        <v>1924</v>
      </c>
      <c r="G651" s="392">
        <v>22291</v>
      </c>
      <c r="H651" s="392">
        <v>170979</v>
      </c>
      <c r="I651" s="392">
        <v>51617</v>
      </c>
      <c r="J651" s="231">
        <v>54416</v>
      </c>
      <c r="K651" s="231">
        <v>299303</v>
      </c>
      <c r="L651" s="231"/>
      <c r="M651" s="300">
        <v>2185</v>
      </c>
      <c r="N651" s="300">
        <v>0</v>
      </c>
      <c r="O651" s="300">
        <v>0</v>
      </c>
      <c r="P651" s="231">
        <v>130447</v>
      </c>
      <c r="Q651" s="231">
        <v>132632</v>
      </c>
      <c r="R651" s="231"/>
      <c r="S651" s="392">
        <v>146482</v>
      </c>
      <c r="T651" s="231">
        <v>-8875</v>
      </c>
      <c r="U651" s="396">
        <v>137607</v>
      </c>
      <c r="V651" s="231"/>
      <c r="W651" s="396">
        <v>933694</v>
      </c>
      <c r="X651" s="396">
        <v>174202</v>
      </c>
      <c r="Y651" s="396"/>
      <c r="Z651" s="396"/>
    </row>
    <row r="652" spans="1:26">
      <c r="A652" s="424">
        <v>97213</v>
      </c>
      <c r="B652" s="423" t="s">
        <v>1360</v>
      </c>
      <c r="C652" s="234">
        <v>3.5099999999999999E-5</v>
      </c>
      <c r="D652" s="234">
        <v>3.5099999999999999E-5</v>
      </c>
      <c r="E652" s="231">
        <v>198014</v>
      </c>
      <c r="F652" s="231" t="s">
        <v>1924</v>
      </c>
      <c r="G652" s="392">
        <v>8532</v>
      </c>
      <c r="H652" s="392">
        <v>65446</v>
      </c>
      <c r="I652" s="392">
        <v>19757</v>
      </c>
      <c r="J652" s="231">
        <v>4108</v>
      </c>
      <c r="K652" s="231">
        <v>97843</v>
      </c>
      <c r="L652" s="231"/>
      <c r="M652" s="300">
        <v>837</v>
      </c>
      <c r="N652" s="300">
        <v>0</v>
      </c>
      <c r="O652" s="300">
        <v>0</v>
      </c>
      <c r="P652" s="231">
        <v>1237</v>
      </c>
      <c r="Q652" s="231">
        <v>2074</v>
      </c>
      <c r="R652" s="231"/>
      <c r="S652" s="392">
        <v>56069</v>
      </c>
      <c r="T652" s="231">
        <v>2106</v>
      </c>
      <c r="U652" s="396">
        <v>58175</v>
      </c>
      <c r="V652" s="231"/>
      <c r="W652" s="396">
        <v>357390</v>
      </c>
      <c r="X652" s="396">
        <v>66679</v>
      </c>
      <c r="Y652" s="396"/>
      <c r="Z652" s="396"/>
    </row>
    <row r="653" spans="1:26">
      <c r="A653" s="424">
        <v>97217</v>
      </c>
      <c r="B653" s="423" t="s">
        <v>1361</v>
      </c>
      <c r="C653" s="234">
        <v>8.1000000000000004E-6</v>
      </c>
      <c r="D653" s="234">
        <v>8.1999999999999994E-6</v>
      </c>
      <c r="E653" s="231">
        <v>45696</v>
      </c>
      <c r="F653" s="231" t="s">
        <v>1924</v>
      </c>
      <c r="G653" s="392">
        <v>1969</v>
      </c>
      <c r="H653" s="392">
        <v>15103</v>
      </c>
      <c r="I653" s="392">
        <v>4559</v>
      </c>
      <c r="J653" s="231">
        <v>6632</v>
      </c>
      <c r="K653" s="231">
        <v>28263</v>
      </c>
      <c r="L653" s="231"/>
      <c r="M653" s="300">
        <v>193</v>
      </c>
      <c r="N653" s="300">
        <v>0</v>
      </c>
      <c r="O653" s="300">
        <v>0</v>
      </c>
      <c r="P653" s="231">
        <v>0</v>
      </c>
      <c r="Q653" s="231">
        <v>193</v>
      </c>
      <c r="R653" s="231"/>
      <c r="S653" s="392">
        <v>12939</v>
      </c>
      <c r="T653" s="231">
        <v>4925</v>
      </c>
      <c r="U653" s="396">
        <v>17864</v>
      </c>
      <c r="V653" s="231"/>
      <c r="W653" s="396">
        <v>82475</v>
      </c>
      <c r="X653" s="396">
        <v>15387</v>
      </c>
      <c r="Y653" s="396"/>
      <c r="Z653" s="396"/>
    </row>
    <row r="654" spans="1:26">
      <c r="A654" s="424">
        <v>97221</v>
      </c>
      <c r="B654" s="423" t="s">
        <v>1362</v>
      </c>
      <c r="C654" s="234">
        <v>2.7999999999999999E-6</v>
      </c>
      <c r="D654" s="234">
        <v>1.26E-5</v>
      </c>
      <c r="E654" s="231">
        <v>15796</v>
      </c>
      <c r="F654" s="231" t="s">
        <v>1924</v>
      </c>
      <c r="G654" s="392">
        <v>681</v>
      </c>
      <c r="H654" s="392">
        <v>5221</v>
      </c>
      <c r="I654" s="392">
        <v>1576</v>
      </c>
      <c r="J654" s="231">
        <v>14067</v>
      </c>
      <c r="K654" s="231">
        <v>21545</v>
      </c>
      <c r="L654" s="231"/>
      <c r="M654" s="300">
        <v>67</v>
      </c>
      <c r="N654" s="300">
        <v>0</v>
      </c>
      <c r="O654" s="300">
        <v>0</v>
      </c>
      <c r="P654" s="231">
        <v>12771</v>
      </c>
      <c r="Q654" s="231">
        <v>12838</v>
      </c>
      <c r="R654" s="231"/>
      <c r="S654" s="392">
        <v>4473</v>
      </c>
      <c r="T654" s="231">
        <v>2168</v>
      </c>
      <c r="U654" s="396">
        <v>6641</v>
      </c>
      <c r="V654" s="231"/>
      <c r="W654" s="396">
        <v>28510</v>
      </c>
      <c r="X654" s="396">
        <v>5319</v>
      </c>
      <c r="Y654" s="396"/>
      <c r="Z654" s="396"/>
    </row>
    <row r="655" spans="1:26">
      <c r="A655" s="424">
        <v>97301</v>
      </c>
      <c r="B655" s="423" t="s">
        <v>1363</v>
      </c>
      <c r="C655" s="234">
        <v>2.2640999999999998E-3</v>
      </c>
      <c r="D655" s="234">
        <v>2.4133000000000002E-3</v>
      </c>
      <c r="E655" s="231">
        <v>12772757</v>
      </c>
      <c r="F655" s="231" t="s">
        <v>1924</v>
      </c>
      <c r="G655" s="392">
        <v>550366</v>
      </c>
      <c r="H655" s="392">
        <v>4221530</v>
      </c>
      <c r="I655" s="392">
        <v>1274435</v>
      </c>
      <c r="J655" s="231">
        <v>40292</v>
      </c>
      <c r="K655" s="231">
        <v>6086623</v>
      </c>
      <c r="L655" s="231"/>
      <c r="M655" s="300">
        <v>53960</v>
      </c>
      <c r="N655" s="300">
        <v>0</v>
      </c>
      <c r="O655" s="300">
        <v>0</v>
      </c>
      <c r="P655" s="231">
        <v>264400</v>
      </c>
      <c r="Q655" s="231">
        <v>318360</v>
      </c>
      <c r="R655" s="231"/>
      <c r="S655" s="392">
        <v>3616676</v>
      </c>
      <c r="T655" s="231">
        <v>-103181</v>
      </c>
      <c r="U655" s="396">
        <v>3513495</v>
      </c>
      <c r="V655" s="231"/>
      <c r="W655" s="396">
        <v>23053182</v>
      </c>
      <c r="X655" s="396">
        <v>4301090</v>
      </c>
      <c r="Y655" s="396"/>
      <c r="Z655" s="396"/>
    </row>
    <row r="656" spans="1:26">
      <c r="A656" s="424">
        <v>97302</v>
      </c>
      <c r="B656" s="423" t="s">
        <v>3611</v>
      </c>
      <c r="C656" s="234">
        <v>4.7200000000000002E-5</v>
      </c>
      <c r="D656" s="234">
        <v>4.6400000000000003E-5</v>
      </c>
      <c r="E656" s="231">
        <v>266275</v>
      </c>
      <c r="F656" s="231" t="s">
        <v>1924</v>
      </c>
      <c r="G656" s="392">
        <v>11474</v>
      </c>
      <c r="H656" s="392">
        <v>88007</v>
      </c>
      <c r="I656" s="392">
        <v>26568</v>
      </c>
      <c r="J656" s="231">
        <v>42626</v>
      </c>
      <c r="K656" s="231">
        <v>168675</v>
      </c>
      <c r="L656" s="231"/>
      <c r="M656" s="300">
        <v>1125</v>
      </c>
      <c r="N656" s="300">
        <v>0</v>
      </c>
      <c r="O656" s="300">
        <v>0</v>
      </c>
      <c r="P656" s="231">
        <v>0</v>
      </c>
      <c r="Q656" s="231">
        <v>1125</v>
      </c>
      <c r="R656" s="231"/>
      <c r="S656" s="392">
        <v>75397</v>
      </c>
      <c r="T656" s="231">
        <v>31432</v>
      </c>
      <c r="U656" s="396">
        <v>106829</v>
      </c>
      <c r="V656" s="231"/>
      <c r="W656" s="396">
        <v>480593</v>
      </c>
      <c r="X656" s="396">
        <v>89665</v>
      </c>
      <c r="Y656" s="396"/>
      <c r="Z656" s="396"/>
    </row>
    <row r="657" spans="1:26">
      <c r="A657" s="424">
        <v>97304</v>
      </c>
      <c r="B657" s="423" t="s">
        <v>1364</v>
      </c>
      <c r="C657" s="234">
        <v>2.1800000000000001E-5</v>
      </c>
      <c r="D657" s="234">
        <v>1.9599999999999999E-5</v>
      </c>
      <c r="E657" s="231">
        <v>122983</v>
      </c>
      <c r="F657" s="231" t="s">
        <v>1924</v>
      </c>
      <c r="G657" s="392">
        <v>5299</v>
      </c>
      <c r="H657" s="392">
        <v>40647</v>
      </c>
      <c r="I657" s="392">
        <v>12271</v>
      </c>
      <c r="J657" s="231">
        <v>32299</v>
      </c>
      <c r="K657" s="231">
        <v>90516</v>
      </c>
      <c r="L657" s="231"/>
      <c r="M657" s="300">
        <v>520</v>
      </c>
      <c r="N657" s="300">
        <v>0</v>
      </c>
      <c r="O657" s="300">
        <v>0</v>
      </c>
      <c r="P657" s="231">
        <v>0</v>
      </c>
      <c r="Q657" s="231">
        <v>520</v>
      </c>
      <c r="R657" s="231"/>
      <c r="S657" s="392">
        <v>34823</v>
      </c>
      <c r="T657" s="231">
        <v>16441</v>
      </c>
      <c r="U657" s="396">
        <v>51264</v>
      </c>
      <c r="V657" s="231"/>
      <c r="W657" s="396">
        <v>221969</v>
      </c>
      <c r="X657" s="396">
        <v>41413</v>
      </c>
      <c r="Y657" s="396"/>
      <c r="Z657" s="396"/>
    </row>
    <row r="658" spans="1:26">
      <c r="A658" s="424">
        <v>97311</v>
      </c>
      <c r="B658" s="423" t="s">
        <v>1365</v>
      </c>
      <c r="C658" s="234">
        <v>7.9830000000000005E-4</v>
      </c>
      <c r="D658" s="234">
        <v>8.6180000000000002E-4</v>
      </c>
      <c r="E658" s="231">
        <v>4503552</v>
      </c>
      <c r="F658" s="231" t="s">
        <v>1924</v>
      </c>
      <c r="G658" s="392">
        <v>194054</v>
      </c>
      <c r="H658" s="392">
        <v>1488471</v>
      </c>
      <c r="I658" s="392">
        <v>449353</v>
      </c>
      <c r="J658" s="231">
        <v>23590</v>
      </c>
      <c r="K658" s="231">
        <v>2155468</v>
      </c>
      <c r="L658" s="231"/>
      <c r="M658" s="300">
        <v>19026</v>
      </c>
      <c r="N658" s="300">
        <v>0</v>
      </c>
      <c r="O658" s="300">
        <v>0</v>
      </c>
      <c r="P658" s="231">
        <v>127281</v>
      </c>
      <c r="Q658" s="231">
        <v>146307</v>
      </c>
      <c r="R658" s="231"/>
      <c r="S658" s="392">
        <v>1275205</v>
      </c>
      <c r="T658" s="231">
        <v>-52714</v>
      </c>
      <c r="U658" s="396">
        <v>1222491</v>
      </c>
      <c r="V658" s="231"/>
      <c r="W658" s="396">
        <v>8128331</v>
      </c>
      <c r="X658" s="396">
        <v>1516523</v>
      </c>
      <c r="Y658" s="396"/>
      <c r="Z658" s="396"/>
    </row>
    <row r="659" spans="1:26">
      <c r="A659" s="424">
        <v>97401</v>
      </c>
      <c r="B659" s="423" t="s">
        <v>1366</v>
      </c>
      <c r="C659" s="234">
        <v>7.0102000000000003E-3</v>
      </c>
      <c r="D659" s="234">
        <v>7.1457999999999999E-3</v>
      </c>
      <c r="E659" s="231">
        <v>39547539</v>
      </c>
      <c r="F659" s="231" t="s">
        <v>1924</v>
      </c>
      <c r="G659" s="392">
        <v>1704067</v>
      </c>
      <c r="H659" s="392">
        <v>13070875</v>
      </c>
      <c r="I659" s="392">
        <v>3945957</v>
      </c>
      <c r="J659" s="231">
        <v>168792</v>
      </c>
      <c r="K659" s="231">
        <v>18889691</v>
      </c>
      <c r="L659" s="231"/>
      <c r="M659" s="300">
        <v>167074</v>
      </c>
      <c r="N659" s="300">
        <v>0</v>
      </c>
      <c r="O659" s="300">
        <v>0</v>
      </c>
      <c r="P659" s="231">
        <v>364514</v>
      </c>
      <c r="Q659" s="231">
        <v>531588</v>
      </c>
      <c r="R659" s="231"/>
      <c r="S659" s="392">
        <v>11198100</v>
      </c>
      <c r="T659" s="231">
        <v>-68311</v>
      </c>
      <c r="U659" s="396">
        <v>11129789</v>
      </c>
      <c r="V659" s="231"/>
      <c r="W659" s="396">
        <v>71378214</v>
      </c>
      <c r="X659" s="396">
        <v>13317214</v>
      </c>
      <c r="Y659" s="396"/>
      <c r="Z659" s="396"/>
    </row>
    <row r="660" spans="1:26">
      <c r="A660" s="424">
        <v>97402</v>
      </c>
      <c r="B660" s="423" t="s">
        <v>1367</v>
      </c>
      <c r="C660" s="234">
        <v>4.8399999999999997E-5</v>
      </c>
      <c r="D660" s="234">
        <v>5.0399999999999999E-5</v>
      </c>
      <c r="E660" s="231">
        <v>273045</v>
      </c>
      <c r="F660" s="231" t="s">
        <v>1924</v>
      </c>
      <c r="G660" s="392">
        <v>11765</v>
      </c>
      <c r="H660" s="392">
        <v>90244</v>
      </c>
      <c r="I660" s="392">
        <v>27244</v>
      </c>
      <c r="J660" s="231">
        <v>5551</v>
      </c>
      <c r="K660" s="231">
        <v>134804</v>
      </c>
      <c r="L660" s="231"/>
      <c r="M660" s="300">
        <v>1154</v>
      </c>
      <c r="N660" s="300">
        <v>0</v>
      </c>
      <c r="O660" s="300">
        <v>0</v>
      </c>
      <c r="P660" s="231">
        <v>10108</v>
      </c>
      <c r="Q660" s="231">
        <v>11262</v>
      </c>
      <c r="R660" s="231"/>
      <c r="S660" s="392">
        <v>77314</v>
      </c>
      <c r="T660" s="231">
        <v>2534</v>
      </c>
      <c r="U660" s="396">
        <v>79848</v>
      </c>
      <c r="V660" s="231"/>
      <c r="W660" s="396">
        <v>492811</v>
      </c>
      <c r="X660" s="396">
        <v>91945</v>
      </c>
      <c r="Y660" s="396"/>
      <c r="Z660" s="396"/>
    </row>
    <row r="661" spans="1:26">
      <c r="A661" s="424">
        <v>97404</v>
      </c>
      <c r="B661" s="423" t="s">
        <v>1368</v>
      </c>
      <c r="C661" s="234">
        <v>2.677E-4</v>
      </c>
      <c r="D661" s="234">
        <v>2.321E-4</v>
      </c>
      <c r="E661" s="231">
        <v>1510210</v>
      </c>
      <c r="F661" s="231" t="s">
        <v>1924</v>
      </c>
      <c r="G661" s="392">
        <v>65074</v>
      </c>
      <c r="H661" s="392">
        <v>499140</v>
      </c>
      <c r="I661" s="392">
        <v>150685</v>
      </c>
      <c r="J661" s="231">
        <v>62049</v>
      </c>
      <c r="K661" s="231">
        <v>776948</v>
      </c>
      <c r="L661" s="231"/>
      <c r="M661" s="300">
        <v>6380</v>
      </c>
      <c r="N661" s="300">
        <v>0</v>
      </c>
      <c r="O661" s="300">
        <v>0</v>
      </c>
      <c r="P661" s="231">
        <v>1952</v>
      </c>
      <c r="Q661" s="231">
        <v>8332</v>
      </c>
      <c r="R661" s="231"/>
      <c r="S661" s="392">
        <v>427624</v>
      </c>
      <c r="T661" s="231">
        <v>18836</v>
      </c>
      <c r="U661" s="396">
        <v>446460</v>
      </c>
      <c r="V661" s="231"/>
      <c r="W661" s="396">
        <v>2725735</v>
      </c>
      <c r="X661" s="396">
        <v>508547</v>
      </c>
      <c r="Y661" s="396"/>
      <c r="Z661" s="396"/>
    </row>
    <row r="662" spans="1:26">
      <c r="A662" s="424">
        <v>97405</v>
      </c>
      <c r="B662" s="423" t="s">
        <v>1369</v>
      </c>
      <c r="C662" s="234">
        <v>9.6299999999999996E-5</v>
      </c>
      <c r="D662" s="234">
        <v>9.7899999999999994E-5</v>
      </c>
      <c r="E662" s="231">
        <v>543270</v>
      </c>
      <c r="F662" s="231" t="s">
        <v>1924</v>
      </c>
      <c r="G662" s="392">
        <v>23409</v>
      </c>
      <c r="H662" s="392">
        <v>179556</v>
      </c>
      <c r="I662" s="392">
        <v>54206</v>
      </c>
      <c r="J662" s="231">
        <v>22652</v>
      </c>
      <c r="K662" s="231">
        <v>279823</v>
      </c>
      <c r="L662" s="231"/>
      <c r="M662" s="300">
        <v>2295</v>
      </c>
      <c r="N662" s="300">
        <v>0</v>
      </c>
      <c r="O662" s="300">
        <v>0</v>
      </c>
      <c r="P662" s="231">
        <v>0</v>
      </c>
      <c r="Q662" s="231">
        <v>2295</v>
      </c>
      <c r="R662" s="231"/>
      <c r="S662" s="392">
        <v>153830</v>
      </c>
      <c r="T662" s="231">
        <v>14475</v>
      </c>
      <c r="U662" s="396">
        <v>168305</v>
      </c>
      <c r="V662" s="231"/>
      <c r="W662" s="396">
        <v>980532</v>
      </c>
      <c r="X662" s="396">
        <v>182940</v>
      </c>
      <c r="Y662" s="396"/>
      <c r="Z662" s="396"/>
    </row>
    <row r="663" spans="1:26">
      <c r="A663" s="424">
        <v>97408</v>
      </c>
      <c r="B663" s="423" t="s">
        <v>1370</v>
      </c>
      <c r="C663" s="234">
        <v>3.7499999999999997E-5</v>
      </c>
      <c r="D663" s="234">
        <v>3.8099999999999998E-5</v>
      </c>
      <c r="E663" s="231">
        <v>211554</v>
      </c>
      <c r="F663" s="231" t="s">
        <v>1924</v>
      </c>
      <c r="G663" s="392">
        <v>9116</v>
      </c>
      <c r="H663" s="392">
        <v>69921</v>
      </c>
      <c r="I663" s="392">
        <v>21108</v>
      </c>
      <c r="J663" s="231">
        <v>14092</v>
      </c>
      <c r="K663" s="231">
        <v>114237</v>
      </c>
      <c r="L663" s="231"/>
      <c r="M663" s="300">
        <v>894</v>
      </c>
      <c r="N663" s="300">
        <v>0</v>
      </c>
      <c r="O663" s="300">
        <v>0</v>
      </c>
      <c r="P663" s="231">
        <v>0</v>
      </c>
      <c r="Q663" s="231">
        <v>894</v>
      </c>
      <c r="R663" s="231"/>
      <c r="S663" s="392">
        <v>59903</v>
      </c>
      <c r="T663" s="231">
        <v>7712</v>
      </c>
      <c r="U663" s="396">
        <v>67615</v>
      </c>
      <c r="V663" s="231"/>
      <c r="W663" s="396">
        <v>381827</v>
      </c>
      <c r="X663" s="396">
        <v>71238</v>
      </c>
      <c r="Y663" s="396"/>
      <c r="Z663" s="396"/>
    </row>
    <row r="664" spans="1:26">
      <c r="A664" s="424">
        <v>97411</v>
      </c>
      <c r="B664" s="423" t="s">
        <v>1371</v>
      </c>
      <c r="C664" s="234">
        <v>5.9007E-3</v>
      </c>
      <c r="D664" s="234">
        <v>5.8314999999999999E-3</v>
      </c>
      <c r="E664" s="231">
        <v>33288374</v>
      </c>
      <c r="F664" s="231" t="s">
        <v>1924</v>
      </c>
      <c r="G664" s="392">
        <v>1434366</v>
      </c>
      <c r="H664" s="392">
        <v>11002156</v>
      </c>
      <c r="I664" s="392">
        <v>3321433</v>
      </c>
      <c r="J664" s="231">
        <v>30588</v>
      </c>
      <c r="K664" s="231">
        <v>15788543</v>
      </c>
      <c r="L664" s="231"/>
      <c r="M664" s="300">
        <v>140631</v>
      </c>
      <c r="N664" s="300">
        <v>0</v>
      </c>
      <c r="O664" s="300">
        <v>0</v>
      </c>
      <c r="P664" s="231">
        <v>747099</v>
      </c>
      <c r="Q664" s="231">
        <v>887730</v>
      </c>
      <c r="R664" s="231"/>
      <c r="S664" s="392">
        <v>9425784</v>
      </c>
      <c r="T664" s="231">
        <v>-464967</v>
      </c>
      <c r="U664" s="396">
        <v>8960817</v>
      </c>
      <c r="V664" s="231"/>
      <c r="W664" s="396">
        <v>60081228</v>
      </c>
      <c r="X664" s="396">
        <v>11209507</v>
      </c>
      <c r="Y664" s="396"/>
      <c r="Z664" s="396"/>
    </row>
    <row r="665" spans="1:26">
      <c r="A665" s="424">
        <v>97412</v>
      </c>
      <c r="B665" s="423" t="s">
        <v>1372</v>
      </c>
      <c r="C665" s="234">
        <v>4.2015999999999998E-3</v>
      </c>
      <c r="D665" s="234">
        <v>4.1450999999999997E-3</v>
      </c>
      <c r="E665" s="231">
        <v>23703024</v>
      </c>
      <c r="F665" s="231" t="s">
        <v>1924</v>
      </c>
      <c r="G665" s="392">
        <v>1021342</v>
      </c>
      <c r="H665" s="392">
        <v>7834097</v>
      </c>
      <c r="I665" s="392">
        <v>2365030</v>
      </c>
      <c r="J665" s="231">
        <v>195296</v>
      </c>
      <c r="K665" s="231">
        <v>11415765</v>
      </c>
      <c r="L665" s="231"/>
      <c r="M665" s="300">
        <v>100137</v>
      </c>
      <c r="N665" s="300">
        <v>0</v>
      </c>
      <c r="O665" s="300">
        <v>0</v>
      </c>
      <c r="P665" s="231">
        <v>227401</v>
      </c>
      <c r="Q665" s="231">
        <v>327538</v>
      </c>
      <c r="R665" s="231"/>
      <c r="S665" s="392">
        <v>6711640</v>
      </c>
      <c r="T665" s="231">
        <v>-47119</v>
      </c>
      <c r="U665" s="396">
        <v>6664521</v>
      </c>
      <c r="V665" s="231"/>
      <c r="W665" s="396">
        <v>42780905</v>
      </c>
      <c r="X665" s="396">
        <v>7981742</v>
      </c>
      <c r="Y665" s="396"/>
      <c r="Z665" s="396"/>
    </row>
    <row r="666" spans="1:26">
      <c r="A666" s="424">
        <v>97413</v>
      </c>
      <c r="B666" s="423" t="s">
        <v>1373</v>
      </c>
      <c r="C666" s="234">
        <v>3.0210000000000002E-4</v>
      </c>
      <c r="D666" s="234">
        <v>3.165E-4</v>
      </c>
      <c r="E666" s="231">
        <v>1704275</v>
      </c>
      <c r="F666" s="231" t="s">
        <v>1924</v>
      </c>
      <c r="G666" s="392">
        <v>73436</v>
      </c>
      <c r="H666" s="392">
        <v>563281</v>
      </c>
      <c r="I666" s="392">
        <v>170048</v>
      </c>
      <c r="J666" s="231">
        <v>77871</v>
      </c>
      <c r="K666" s="231">
        <v>884636</v>
      </c>
      <c r="L666" s="231"/>
      <c r="M666" s="300">
        <v>7200</v>
      </c>
      <c r="N666" s="300">
        <v>0</v>
      </c>
      <c r="O666" s="300">
        <v>0</v>
      </c>
      <c r="P666" s="231">
        <v>684</v>
      </c>
      <c r="Q666" s="231">
        <v>7884</v>
      </c>
      <c r="R666" s="231"/>
      <c r="S666" s="392">
        <v>482575</v>
      </c>
      <c r="T666" s="231">
        <v>47668</v>
      </c>
      <c r="U666" s="396">
        <v>530243</v>
      </c>
      <c r="V666" s="231"/>
      <c r="W666" s="396">
        <v>3075998</v>
      </c>
      <c r="X666" s="396">
        <v>573897</v>
      </c>
      <c r="Y666" s="396"/>
      <c r="Z666" s="396"/>
    </row>
    <row r="667" spans="1:26">
      <c r="A667" s="424">
        <v>97421</v>
      </c>
      <c r="B667" s="423" t="s">
        <v>1374</v>
      </c>
      <c r="C667" s="234">
        <v>4.1780000000000002E-4</v>
      </c>
      <c r="D667" s="234">
        <v>4.3879999999999999E-4</v>
      </c>
      <c r="E667" s="231">
        <v>2356989</v>
      </c>
      <c r="F667" s="231" t="s">
        <v>1924</v>
      </c>
      <c r="G667" s="392">
        <v>101560</v>
      </c>
      <c r="H667" s="392">
        <v>779009</v>
      </c>
      <c r="I667" s="392">
        <v>235175</v>
      </c>
      <c r="J667" s="231">
        <v>4364</v>
      </c>
      <c r="K667" s="231">
        <v>1120108</v>
      </c>
      <c r="L667" s="231"/>
      <c r="M667" s="300">
        <v>9957</v>
      </c>
      <c r="N667" s="300">
        <v>0</v>
      </c>
      <c r="O667" s="300">
        <v>0</v>
      </c>
      <c r="P667" s="231">
        <v>74981</v>
      </c>
      <c r="Q667" s="231">
        <v>84938</v>
      </c>
      <c r="R667" s="231"/>
      <c r="S667" s="392">
        <v>667394</v>
      </c>
      <c r="T667" s="231">
        <v>-29660</v>
      </c>
      <c r="U667" s="396">
        <v>637734</v>
      </c>
      <c r="V667" s="231"/>
      <c r="W667" s="396">
        <v>4254061</v>
      </c>
      <c r="X667" s="396">
        <v>793691</v>
      </c>
      <c r="Y667" s="396"/>
      <c r="Z667" s="396"/>
    </row>
    <row r="668" spans="1:26">
      <c r="A668" s="424">
        <v>97423</v>
      </c>
      <c r="B668" s="423" t="s">
        <v>1375</v>
      </c>
      <c r="C668" s="234">
        <v>3.1399999999999998E-5</v>
      </c>
      <c r="D668" s="234">
        <v>3.5299999999999997E-5</v>
      </c>
      <c r="E668" s="231">
        <v>177141</v>
      </c>
      <c r="F668" s="231" t="s">
        <v>1924</v>
      </c>
      <c r="G668" s="392">
        <v>7633</v>
      </c>
      <c r="H668" s="392">
        <v>58547</v>
      </c>
      <c r="I668" s="392">
        <v>17675</v>
      </c>
      <c r="J668" s="231">
        <v>19028</v>
      </c>
      <c r="K668" s="231">
        <v>102883</v>
      </c>
      <c r="L668" s="231"/>
      <c r="M668" s="300">
        <v>748</v>
      </c>
      <c r="N668" s="300">
        <v>0</v>
      </c>
      <c r="O668" s="300">
        <v>0</v>
      </c>
      <c r="P668" s="231">
        <v>1467</v>
      </c>
      <c r="Q668" s="231">
        <v>2215</v>
      </c>
      <c r="R668" s="231"/>
      <c r="S668" s="392">
        <v>50158</v>
      </c>
      <c r="T668" s="231">
        <v>12390</v>
      </c>
      <c r="U668" s="396">
        <v>62548</v>
      </c>
      <c r="V668" s="231"/>
      <c r="W668" s="396">
        <v>319716</v>
      </c>
      <c r="X668" s="396">
        <v>59650</v>
      </c>
      <c r="Y668" s="396"/>
      <c r="Z668" s="396"/>
    </row>
    <row r="669" spans="1:26">
      <c r="A669" s="424">
        <v>97431</v>
      </c>
      <c r="B669" s="423" t="s">
        <v>1376</v>
      </c>
      <c r="C669" s="234">
        <v>8.5400000000000002E-5</v>
      </c>
      <c r="D669" s="234">
        <v>9.3900000000000006E-5</v>
      </c>
      <c r="E669" s="231">
        <v>481778</v>
      </c>
      <c r="F669" s="231" t="s">
        <v>1924</v>
      </c>
      <c r="G669" s="392">
        <v>20759</v>
      </c>
      <c r="H669" s="392">
        <v>159233</v>
      </c>
      <c r="I669" s="392">
        <v>48071</v>
      </c>
      <c r="J669" s="231">
        <v>2841</v>
      </c>
      <c r="K669" s="231">
        <v>230904</v>
      </c>
      <c r="L669" s="231"/>
      <c r="M669" s="300">
        <v>2035</v>
      </c>
      <c r="N669" s="300">
        <v>0</v>
      </c>
      <c r="O669" s="300">
        <v>0</v>
      </c>
      <c r="P669" s="231">
        <v>12712</v>
      </c>
      <c r="Q669" s="231">
        <v>14747</v>
      </c>
      <c r="R669" s="231"/>
      <c r="S669" s="392">
        <v>136418</v>
      </c>
      <c r="T669" s="231">
        <v>196</v>
      </c>
      <c r="U669" s="396">
        <v>136614</v>
      </c>
      <c r="V669" s="231"/>
      <c r="W669" s="396">
        <v>869547</v>
      </c>
      <c r="X669" s="396">
        <v>162234</v>
      </c>
      <c r="Y669" s="396"/>
      <c r="Z669" s="396"/>
    </row>
    <row r="670" spans="1:26">
      <c r="A670" s="424">
        <v>97441</v>
      </c>
      <c r="B670" s="423" t="s">
        <v>1377</v>
      </c>
      <c r="C670" s="234">
        <v>2.8E-5</v>
      </c>
      <c r="D670" s="234">
        <v>5.3300000000000001E-5</v>
      </c>
      <c r="E670" s="231">
        <v>157960</v>
      </c>
      <c r="F670" s="231" t="s">
        <v>1924</v>
      </c>
      <c r="G670" s="392">
        <v>6806</v>
      </c>
      <c r="H670" s="392">
        <v>52207</v>
      </c>
      <c r="I670" s="392">
        <v>15761</v>
      </c>
      <c r="J670" s="231">
        <v>0</v>
      </c>
      <c r="K670" s="231">
        <v>74774</v>
      </c>
      <c r="L670" s="231"/>
      <c r="M670" s="300">
        <v>667</v>
      </c>
      <c r="N670" s="300">
        <v>0</v>
      </c>
      <c r="O670" s="300">
        <v>0</v>
      </c>
      <c r="P670" s="231">
        <v>62906</v>
      </c>
      <c r="Q670" s="231">
        <v>63573</v>
      </c>
      <c r="R670" s="231"/>
      <c r="S670" s="392">
        <v>44727</v>
      </c>
      <c r="T670" s="231">
        <v>-29288</v>
      </c>
      <c r="U670" s="396">
        <v>15439</v>
      </c>
      <c r="V670" s="231"/>
      <c r="W670" s="396">
        <v>285097</v>
      </c>
      <c r="X670" s="396">
        <v>53191</v>
      </c>
      <c r="Y670" s="396"/>
      <c r="Z670" s="396"/>
    </row>
    <row r="671" spans="1:26">
      <c r="A671" s="424">
        <v>97451</v>
      </c>
      <c r="B671" s="423" t="s">
        <v>1378</v>
      </c>
      <c r="C671" s="234">
        <v>6.2609999999999999E-4</v>
      </c>
      <c r="D671" s="234">
        <v>6.6299999999999996E-4</v>
      </c>
      <c r="E671" s="231">
        <v>3532098</v>
      </c>
      <c r="F671" s="231" t="s">
        <v>1924</v>
      </c>
      <c r="G671" s="392">
        <v>152195</v>
      </c>
      <c r="H671" s="392">
        <v>1167395</v>
      </c>
      <c r="I671" s="392">
        <v>352424</v>
      </c>
      <c r="J671" s="231">
        <v>26266</v>
      </c>
      <c r="K671" s="231">
        <v>1698280</v>
      </c>
      <c r="L671" s="231"/>
      <c r="M671" s="300">
        <v>14922</v>
      </c>
      <c r="N671" s="300">
        <v>0</v>
      </c>
      <c r="O671" s="300">
        <v>0</v>
      </c>
      <c r="P671" s="231">
        <v>234856</v>
      </c>
      <c r="Q671" s="231">
        <v>249778</v>
      </c>
      <c r="R671" s="231"/>
      <c r="S671" s="392">
        <v>1000133</v>
      </c>
      <c r="T671" s="231">
        <v>-71441</v>
      </c>
      <c r="U671" s="396">
        <v>928692</v>
      </c>
      <c r="V671" s="231"/>
      <c r="W671" s="396">
        <v>6374982</v>
      </c>
      <c r="X671" s="396">
        <v>1189397</v>
      </c>
      <c r="Y671" s="396"/>
      <c r="Z671" s="396"/>
    </row>
    <row r="672" spans="1:26">
      <c r="A672" s="424">
        <v>97461</v>
      </c>
      <c r="B672" s="423" t="s">
        <v>1379</v>
      </c>
      <c r="C672" s="234">
        <v>5.174E-4</v>
      </c>
      <c r="D672" s="234">
        <v>5.3189999999999997E-4</v>
      </c>
      <c r="E672" s="231">
        <v>2918875</v>
      </c>
      <c r="F672" s="231" t="s">
        <v>1924</v>
      </c>
      <c r="G672" s="392">
        <v>125772</v>
      </c>
      <c r="H672" s="392">
        <v>964719</v>
      </c>
      <c r="I672" s="392">
        <v>291238</v>
      </c>
      <c r="J672" s="231">
        <v>3188</v>
      </c>
      <c r="K672" s="231">
        <v>1384917</v>
      </c>
      <c r="L672" s="231"/>
      <c r="M672" s="300">
        <v>12331</v>
      </c>
      <c r="N672" s="300">
        <v>0</v>
      </c>
      <c r="O672" s="300">
        <v>0</v>
      </c>
      <c r="P672" s="231">
        <v>117242</v>
      </c>
      <c r="Q672" s="231">
        <v>129573</v>
      </c>
      <c r="R672" s="231"/>
      <c r="S672" s="392">
        <v>826495</v>
      </c>
      <c r="T672" s="231">
        <v>-61890</v>
      </c>
      <c r="U672" s="396">
        <v>764605</v>
      </c>
      <c r="V672" s="231"/>
      <c r="W672" s="396">
        <v>5268193</v>
      </c>
      <c r="X672" s="396">
        <v>982900</v>
      </c>
      <c r="Y672" s="396"/>
      <c r="Z672" s="396"/>
    </row>
    <row r="673" spans="1:26">
      <c r="A673" s="424">
        <v>97463</v>
      </c>
      <c r="B673" s="423" t="s">
        <v>1380</v>
      </c>
      <c r="C673" s="234">
        <v>0</v>
      </c>
      <c r="D673" s="234">
        <v>0</v>
      </c>
      <c r="E673" s="231">
        <v>0</v>
      </c>
      <c r="F673" s="231" t="s">
        <v>1924</v>
      </c>
      <c r="G673" s="392">
        <v>0</v>
      </c>
      <c r="H673" s="392">
        <v>0</v>
      </c>
      <c r="I673" s="392">
        <v>0</v>
      </c>
      <c r="J673" s="231">
        <v>0</v>
      </c>
      <c r="K673" s="231">
        <v>0</v>
      </c>
      <c r="L673" s="231"/>
      <c r="M673" s="300">
        <v>0</v>
      </c>
      <c r="N673" s="300">
        <v>0</v>
      </c>
      <c r="O673" s="300">
        <v>0</v>
      </c>
      <c r="P673" s="231">
        <v>0</v>
      </c>
      <c r="Q673" s="231">
        <v>0</v>
      </c>
      <c r="R673" s="231"/>
      <c r="S673" s="392">
        <v>0</v>
      </c>
      <c r="T673" s="231">
        <v>-5607</v>
      </c>
      <c r="U673" s="396">
        <v>-5607</v>
      </c>
      <c r="V673" s="231"/>
      <c r="W673" s="396">
        <v>0</v>
      </c>
      <c r="X673" s="396">
        <v>0</v>
      </c>
      <c r="Y673" s="396"/>
      <c r="Z673" s="396"/>
    </row>
    <row r="674" spans="1:26">
      <c r="A674" s="424">
        <v>97471</v>
      </c>
      <c r="B674" s="423" t="s">
        <v>1381</v>
      </c>
      <c r="C674" s="234">
        <v>2.5599999999999999E-5</v>
      </c>
      <c r="D674" s="234">
        <v>2.0100000000000001E-5</v>
      </c>
      <c r="E674" s="231">
        <v>144421</v>
      </c>
      <c r="F674" s="231" t="s">
        <v>1924</v>
      </c>
      <c r="G674" s="392">
        <v>6223</v>
      </c>
      <c r="H674" s="392">
        <v>47733</v>
      </c>
      <c r="I674" s="392">
        <v>14410</v>
      </c>
      <c r="J674" s="231">
        <v>18754</v>
      </c>
      <c r="K674" s="231">
        <v>87120</v>
      </c>
      <c r="L674" s="231"/>
      <c r="M674" s="300">
        <v>610</v>
      </c>
      <c r="N674" s="300">
        <v>0</v>
      </c>
      <c r="O674" s="300">
        <v>0</v>
      </c>
      <c r="P674" s="231">
        <v>0</v>
      </c>
      <c r="Q674" s="231">
        <v>610</v>
      </c>
      <c r="R674" s="231"/>
      <c r="S674" s="392">
        <v>40893</v>
      </c>
      <c r="T674" s="231">
        <v>10559</v>
      </c>
      <c r="U674" s="396">
        <v>51452</v>
      </c>
      <c r="V674" s="231"/>
      <c r="W674" s="396">
        <v>260661</v>
      </c>
      <c r="X674" s="396">
        <v>48632</v>
      </c>
      <c r="Y674" s="396"/>
      <c r="Z674" s="396"/>
    </row>
    <row r="675" spans="1:26">
      <c r="A675" s="424">
        <v>97481</v>
      </c>
      <c r="B675" s="423" t="s">
        <v>1382</v>
      </c>
      <c r="C675" s="234">
        <v>2.3E-6</v>
      </c>
      <c r="D675" s="234">
        <v>2.0999999999999998E-6</v>
      </c>
      <c r="E675" s="231">
        <v>12975</v>
      </c>
      <c r="F675" s="231" t="s">
        <v>1924</v>
      </c>
      <c r="G675" s="392">
        <v>559</v>
      </c>
      <c r="H675" s="392">
        <v>4288</v>
      </c>
      <c r="I675" s="392">
        <v>1295</v>
      </c>
      <c r="J675" s="231">
        <v>3028</v>
      </c>
      <c r="K675" s="231">
        <v>9170</v>
      </c>
      <c r="L675" s="231"/>
      <c r="M675" s="300">
        <v>55</v>
      </c>
      <c r="N675" s="300">
        <v>0</v>
      </c>
      <c r="O675" s="300">
        <v>0</v>
      </c>
      <c r="P675" s="231">
        <v>2124</v>
      </c>
      <c r="Q675" s="231">
        <v>2179</v>
      </c>
      <c r="R675" s="231"/>
      <c r="S675" s="392">
        <v>3674</v>
      </c>
      <c r="T675" s="231">
        <v>-284</v>
      </c>
      <c r="U675" s="396">
        <v>3390</v>
      </c>
      <c r="V675" s="231"/>
      <c r="W675" s="396">
        <v>23419</v>
      </c>
      <c r="X675" s="396">
        <v>4369</v>
      </c>
      <c r="Y675" s="396"/>
      <c r="Z675" s="396"/>
    </row>
    <row r="676" spans="1:26">
      <c r="A676" s="424">
        <v>97501</v>
      </c>
      <c r="B676" s="423" t="s">
        <v>1384</v>
      </c>
      <c r="C676" s="234">
        <v>1.2251E-3</v>
      </c>
      <c r="D676" s="234">
        <v>1.2677999999999999E-3</v>
      </c>
      <c r="E676" s="231">
        <v>6911313</v>
      </c>
      <c r="F676" s="231" t="s">
        <v>1924</v>
      </c>
      <c r="G676" s="392">
        <v>297802</v>
      </c>
      <c r="H676" s="392">
        <v>2284261</v>
      </c>
      <c r="I676" s="392">
        <v>689594</v>
      </c>
      <c r="J676" s="231">
        <v>90979</v>
      </c>
      <c r="K676" s="231">
        <v>3362636</v>
      </c>
      <c r="L676" s="231"/>
      <c r="M676" s="300">
        <v>29198</v>
      </c>
      <c r="N676" s="300">
        <v>0</v>
      </c>
      <c r="O676" s="300">
        <v>0</v>
      </c>
      <c r="P676" s="231">
        <v>38758</v>
      </c>
      <c r="Q676" s="231">
        <v>67956</v>
      </c>
      <c r="R676" s="231"/>
      <c r="S676" s="392">
        <v>1956976</v>
      </c>
      <c r="T676" s="231">
        <v>51796</v>
      </c>
      <c r="U676" s="396">
        <v>2008772</v>
      </c>
      <c r="V676" s="231"/>
      <c r="W676" s="396">
        <v>12474031</v>
      </c>
      <c r="X676" s="396">
        <v>2327311</v>
      </c>
      <c r="Y676" s="396"/>
      <c r="Z676" s="396"/>
    </row>
    <row r="677" spans="1:26">
      <c r="A677" s="424">
        <v>97511</v>
      </c>
      <c r="B677" s="423" t="s">
        <v>1385</v>
      </c>
      <c r="C677" s="234">
        <v>2.4030000000000001E-4</v>
      </c>
      <c r="D677" s="234">
        <v>2.388E-4</v>
      </c>
      <c r="E677" s="231">
        <v>1355635</v>
      </c>
      <c r="F677" s="231"/>
      <c r="G677" s="392">
        <v>58413</v>
      </c>
      <c r="H677" s="392">
        <v>448052</v>
      </c>
      <c r="I677" s="392">
        <v>135262</v>
      </c>
      <c r="J677" s="231">
        <v>44438</v>
      </c>
      <c r="K677" s="231">
        <v>686165</v>
      </c>
      <c r="L677" s="231"/>
      <c r="M677" s="300">
        <v>5727</v>
      </c>
      <c r="N677" s="300">
        <v>0</v>
      </c>
      <c r="P677" s="231">
        <v>1418</v>
      </c>
      <c r="Q677" s="231">
        <v>7145</v>
      </c>
      <c r="R677" s="231"/>
      <c r="S677" s="392">
        <v>383855</v>
      </c>
      <c r="T677" s="231">
        <v>24379</v>
      </c>
      <c r="U677" s="396">
        <v>408234</v>
      </c>
      <c r="V677" s="231"/>
      <c r="W677" s="396">
        <v>2446747</v>
      </c>
      <c r="X677" s="396">
        <v>456496</v>
      </c>
      <c r="Y677" s="396"/>
      <c r="Z677" s="396"/>
    </row>
    <row r="678" spans="1:26">
      <c r="A678" s="424">
        <v>97517</v>
      </c>
      <c r="B678" s="423" t="s">
        <v>3733</v>
      </c>
      <c r="C678" s="234">
        <v>4.8999999999999997E-6</v>
      </c>
      <c r="D678" s="234">
        <v>0</v>
      </c>
      <c r="E678" s="231">
        <v>27643</v>
      </c>
      <c r="F678" s="231" t="s">
        <v>1924</v>
      </c>
      <c r="G678" s="392">
        <v>1191</v>
      </c>
      <c r="H678" s="392">
        <v>9136</v>
      </c>
      <c r="I678" s="392">
        <v>2758</v>
      </c>
      <c r="J678" s="231">
        <v>9067</v>
      </c>
      <c r="K678" s="231">
        <v>22152</v>
      </c>
      <c r="L678" s="231"/>
      <c r="M678" s="300">
        <v>117</v>
      </c>
      <c r="N678" s="300">
        <v>0</v>
      </c>
      <c r="O678" s="300">
        <v>0</v>
      </c>
      <c r="P678" s="231">
        <v>0</v>
      </c>
      <c r="Q678" s="231">
        <v>117</v>
      </c>
      <c r="R678" s="231"/>
      <c r="S678" s="392">
        <v>7827</v>
      </c>
      <c r="T678" s="231">
        <v>3142</v>
      </c>
      <c r="U678" s="396">
        <v>10969</v>
      </c>
      <c r="V678" s="231"/>
      <c r="W678" s="396">
        <v>49892</v>
      </c>
      <c r="X678" s="396">
        <v>9308</v>
      </c>
      <c r="Y678" s="396"/>
      <c r="Z678" s="396"/>
    </row>
    <row r="679" spans="1:26">
      <c r="A679" s="424">
        <v>97521</v>
      </c>
      <c r="B679" s="423" t="s">
        <v>1386</v>
      </c>
      <c r="C679" s="234">
        <v>1.305E-4</v>
      </c>
      <c r="D679" s="234">
        <v>1.3080000000000001E-4</v>
      </c>
      <c r="E679" s="231">
        <v>736206</v>
      </c>
      <c r="F679" s="231" t="s">
        <v>1924</v>
      </c>
      <c r="G679" s="392">
        <v>31722</v>
      </c>
      <c r="H679" s="392">
        <v>243324</v>
      </c>
      <c r="I679" s="392">
        <v>73457</v>
      </c>
      <c r="J679" s="231">
        <v>6139</v>
      </c>
      <c r="K679" s="231">
        <v>354642</v>
      </c>
      <c r="L679" s="231"/>
      <c r="M679" s="300">
        <v>3110</v>
      </c>
      <c r="N679" s="300">
        <v>0</v>
      </c>
      <c r="O679" s="300">
        <v>0</v>
      </c>
      <c r="P679" s="231">
        <v>14556</v>
      </c>
      <c r="Q679" s="231">
        <v>17666</v>
      </c>
      <c r="R679" s="231"/>
      <c r="S679" s="392">
        <v>208461</v>
      </c>
      <c r="T679" s="231">
        <v>-2390</v>
      </c>
      <c r="U679" s="396">
        <v>206071</v>
      </c>
      <c r="V679" s="231"/>
      <c r="W679" s="396">
        <v>1328758</v>
      </c>
      <c r="X679" s="396">
        <v>247910</v>
      </c>
      <c r="Y679" s="396"/>
      <c r="Z679" s="396"/>
    </row>
    <row r="680" spans="1:26">
      <c r="A680" s="424">
        <v>97527</v>
      </c>
      <c r="B680" s="423" t="s">
        <v>1637</v>
      </c>
      <c r="C680" s="234">
        <v>2.3E-6</v>
      </c>
      <c r="D680" s="234">
        <v>6.0000000000000002E-6</v>
      </c>
      <c r="E680" s="231">
        <v>12975</v>
      </c>
      <c r="F680" s="231" t="s">
        <v>1924</v>
      </c>
      <c r="G680" s="392">
        <v>559</v>
      </c>
      <c r="H680" s="392">
        <v>4288</v>
      </c>
      <c r="I680" s="392">
        <v>1295</v>
      </c>
      <c r="J680" s="231">
        <v>5296</v>
      </c>
      <c r="K680" s="231">
        <v>11438</v>
      </c>
      <c r="L680" s="231"/>
      <c r="M680" s="300">
        <v>55</v>
      </c>
      <c r="N680" s="300">
        <v>0</v>
      </c>
      <c r="O680" s="300">
        <v>0</v>
      </c>
      <c r="P680" s="231">
        <v>7834</v>
      </c>
      <c r="Q680" s="231">
        <v>7889</v>
      </c>
      <c r="R680" s="231"/>
      <c r="S680" s="392">
        <v>3674</v>
      </c>
      <c r="T680" s="231">
        <v>-906</v>
      </c>
      <c r="U680" s="396">
        <v>2768</v>
      </c>
      <c r="V680" s="231"/>
      <c r="W680" s="396">
        <v>23419</v>
      </c>
      <c r="X680" s="396">
        <v>4369</v>
      </c>
      <c r="Y680" s="396"/>
      <c r="Z680" s="396"/>
    </row>
    <row r="681" spans="1:26">
      <c r="A681" s="424">
        <v>97531</v>
      </c>
      <c r="B681" s="423" t="s">
        <v>1387</v>
      </c>
      <c r="C681" s="234">
        <v>5.91E-5</v>
      </c>
      <c r="D681" s="234">
        <v>8.2000000000000001E-5</v>
      </c>
      <c r="E681" s="231">
        <v>333408</v>
      </c>
      <c r="F681" s="231" t="s">
        <v>1924</v>
      </c>
      <c r="G681" s="392">
        <v>14366</v>
      </c>
      <c r="H681" s="392">
        <v>110195</v>
      </c>
      <c r="I681" s="392">
        <v>33267</v>
      </c>
      <c r="J681" s="231">
        <v>19040</v>
      </c>
      <c r="K681" s="231">
        <v>176868</v>
      </c>
      <c r="L681" s="231"/>
      <c r="M681" s="300">
        <v>1409</v>
      </c>
      <c r="N681" s="300">
        <v>0</v>
      </c>
      <c r="O681" s="300">
        <v>0</v>
      </c>
      <c r="P681" s="231">
        <v>43326</v>
      </c>
      <c r="Q681" s="231">
        <v>44735</v>
      </c>
      <c r="R681" s="231"/>
      <c r="S681" s="392">
        <v>94406</v>
      </c>
      <c r="T681" s="231">
        <v>-4496</v>
      </c>
      <c r="U681" s="396">
        <v>89910</v>
      </c>
      <c r="V681" s="231"/>
      <c r="W681" s="396">
        <v>601759</v>
      </c>
      <c r="X681" s="396">
        <v>112272</v>
      </c>
      <c r="Y681" s="396"/>
      <c r="Z681" s="396"/>
    </row>
    <row r="682" spans="1:26">
      <c r="A682" s="424">
        <v>97601</v>
      </c>
      <c r="B682" s="423" t="s">
        <v>1388</v>
      </c>
      <c r="C682" s="234">
        <v>5.5599999999999998E-3</v>
      </c>
      <c r="D682" s="234">
        <v>5.3641000000000001E-3</v>
      </c>
      <c r="E682" s="231">
        <v>31366340</v>
      </c>
      <c r="F682" s="231" t="s">
        <v>1924</v>
      </c>
      <c r="G682" s="392">
        <v>1351547</v>
      </c>
      <c r="H682" s="392">
        <v>10366904</v>
      </c>
      <c r="I682" s="392">
        <v>3129657</v>
      </c>
      <c r="J682" s="231">
        <v>66588</v>
      </c>
      <c r="K682" s="231">
        <v>14914696</v>
      </c>
      <c r="L682" s="231"/>
      <c r="M682" s="300">
        <v>132511</v>
      </c>
      <c r="N682" s="300">
        <v>0</v>
      </c>
      <c r="O682" s="300">
        <v>0</v>
      </c>
      <c r="P682" s="231">
        <v>36424</v>
      </c>
      <c r="Q682" s="231">
        <v>168935</v>
      </c>
      <c r="R682" s="231"/>
      <c r="S682" s="392">
        <v>8881550</v>
      </c>
      <c r="T682" s="231">
        <v>-13892</v>
      </c>
      <c r="U682" s="396">
        <v>8867658</v>
      </c>
      <c r="V682" s="231"/>
      <c r="W682" s="396">
        <v>56612204</v>
      </c>
      <c r="X682" s="396">
        <v>10562282</v>
      </c>
      <c r="Y682" s="396"/>
      <c r="Z682" s="396"/>
    </row>
    <row r="683" spans="1:26">
      <c r="A683" s="424">
        <v>97607</v>
      </c>
      <c r="B683" s="423" t="s">
        <v>1389</v>
      </c>
      <c r="C683" s="234">
        <v>2.9099999999999999E-5</v>
      </c>
      <c r="D683" s="234">
        <v>2.5599999999999999E-5</v>
      </c>
      <c r="E683" s="231">
        <v>164166</v>
      </c>
      <c r="F683" s="231" t="s">
        <v>1924</v>
      </c>
      <c r="G683" s="392">
        <v>7074</v>
      </c>
      <c r="H683" s="392">
        <v>54258</v>
      </c>
      <c r="I683" s="392">
        <v>16380</v>
      </c>
      <c r="J683" s="231">
        <v>25306</v>
      </c>
      <c r="K683" s="231">
        <v>103018</v>
      </c>
      <c r="L683" s="231"/>
      <c r="M683" s="300">
        <v>694</v>
      </c>
      <c r="N683" s="300">
        <v>0</v>
      </c>
      <c r="O683" s="300">
        <v>0</v>
      </c>
      <c r="P683" s="231">
        <v>0</v>
      </c>
      <c r="Q683" s="231">
        <v>694</v>
      </c>
      <c r="R683" s="231"/>
      <c r="S683" s="392">
        <v>46484</v>
      </c>
      <c r="T683" s="231">
        <v>13914</v>
      </c>
      <c r="U683" s="396">
        <v>60398</v>
      </c>
      <c r="V683" s="231"/>
      <c r="W683" s="396">
        <v>296298</v>
      </c>
      <c r="X683" s="396">
        <v>55281</v>
      </c>
      <c r="Y683" s="396"/>
      <c r="Z683" s="396"/>
    </row>
    <row r="684" spans="1:26">
      <c r="A684" s="424">
        <v>97611</v>
      </c>
      <c r="B684" s="423" t="s">
        <v>1390</v>
      </c>
      <c r="C684" s="234">
        <v>2.3846000000000002E-3</v>
      </c>
      <c r="D684" s="234">
        <v>2.4091999999999998E-3</v>
      </c>
      <c r="E684" s="231">
        <v>13452549</v>
      </c>
      <c r="F684" s="231" t="s">
        <v>1924</v>
      </c>
      <c r="G684" s="392">
        <v>579658</v>
      </c>
      <c r="H684" s="392">
        <v>4446208</v>
      </c>
      <c r="I684" s="392">
        <v>1342263</v>
      </c>
      <c r="J684" s="231">
        <v>49773</v>
      </c>
      <c r="K684" s="231">
        <v>6417902</v>
      </c>
      <c r="L684" s="231"/>
      <c r="M684" s="300">
        <v>56832</v>
      </c>
      <c r="N684" s="300">
        <v>0</v>
      </c>
      <c r="O684" s="300">
        <v>0</v>
      </c>
      <c r="P684" s="231">
        <v>52178</v>
      </c>
      <c r="Q684" s="231">
        <v>109010</v>
      </c>
      <c r="R684" s="231"/>
      <c r="S684" s="392">
        <v>3809162</v>
      </c>
      <c r="T684" s="231">
        <v>3682</v>
      </c>
      <c r="U684" s="396">
        <v>3812844</v>
      </c>
      <c r="V684" s="231"/>
      <c r="W684" s="396">
        <v>24280119</v>
      </c>
      <c r="X684" s="396">
        <v>4530003</v>
      </c>
      <c r="Y684" s="396"/>
      <c r="Z684" s="396"/>
    </row>
    <row r="685" spans="1:26">
      <c r="A685" s="424">
        <v>97613</v>
      </c>
      <c r="B685" s="423" t="s">
        <v>1391</v>
      </c>
      <c r="C685" s="234">
        <v>8.3100000000000001E-5</v>
      </c>
      <c r="D685" s="234">
        <v>9.9099999999999996E-5</v>
      </c>
      <c r="E685" s="231">
        <v>468803</v>
      </c>
      <c r="F685" s="231" t="s">
        <v>1924</v>
      </c>
      <c r="G685" s="392">
        <v>20200</v>
      </c>
      <c r="H685" s="392">
        <v>154944</v>
      </c>
      <c r="I685" s="392">
        <v>46776</v>
      </c>
      <c r="J685" s="231">
        <v>28531</v>
      </c>
      <c r="K685" s="231">
        <v>250451</v>
      </c>
      <c r="L685" s="231"/>
      <c r="M685" s="300">
        <v>1981</v>
      </c>
      <c r="N685" s="300">
        <v>0</v>
      </c>
      <c r="O685" s="300">
        <v>0</v>
      </c>
      <c r="P685" s="231">
        <v>13837</v>
      </c>
      <c r="Q685" s="231">
        <v>15818</v>
      </c>
      <c r="R685" s="231"/>
      <c r="S685" s="392">
        <v>132744</v>
      </c>
      <c r="T685" s="231">
        <v>11489</v>
      </c>
      <c r="U685" s="396">
        <v>144233</v>
      </c>
      <c r="V685" s="231"/>
      <c r="W685" s="396">
        <v>846128</v>
      </c>
      <c r="X685" s="396">
        <v>157864</v>
      </c>
      <c r="Y685" s="396"/>
      <c r="Z685" s="396"/>
    </row>
    <row r="686" spans="1:26">
      <c r="A686" s="424">
        <v>97621</v>
      </c>
      <c r="B686" s="423" t="s">
        <v>1392</v>
      </c>
      <c r="C686" s="234">
        <v>3.8759999999999999E-4</v>
      </c>
      <c r="D686" s="234">
        <v>4.1300000000000001E-4</v>
      </c>
      <c r="E686" s="231">
        <v>2186617</v>
      </c>
      <c r="F686" s="231" t="s">
        <v>1924</v>
      </c>
      <c r="G686" s="392">
        <v>94219</v>
      </c>
      <c r="H686" s="392">
        <v>722700</v>
      </c>
      <c r="I686" s="392">
        <v>218175</v>
      </c>
      <c r="J686" s="231">
        <v>0</v>
      </c>
      <c r="K686" s="231">
        <v>1035094</v>
      </c>
      <c r="L686" s="231"/>
      <c r="M686" s="300">
        <v>9238</v>
      </c>
      <c r="N686" s="300">
        <v>0</v>
      </c>
      <c r="O686" s="300">
        <v>0</v>
      </c>
      <c r="P686" s="231">
        <v>97889</v>
      </c>
      <c r="Q686" s="231">
        <v>107127</v>
      </c>
      <c r="R686" s="231"/>
      <c r="S686" s="392">
        <v>619153</v>
      </c>
      <c r="T686" s="231">
        <v>-59223</v>
      </c>
      <c r="U686" s="396">
        <v>559930</v>
      </c>
      <c r="V686" s="231"/>
      <c r="W686" s="396">
        <v>3946563</v>
      </c>
      <c r="X686" s="396">
        <v>736320</v>
      </c>
      <c r="Y686" s="396"/>
      <c r="Z686" s="396"/>
    </row>
    <row r="687" spans="1:26">
      <c r="A687" s="424">
        <v>97623</v>
      </c>
      <c r="B687" s="423" t="s">
        <v>1393</v>
      </c>
      <c r="C687" s="234">
        <v>2.5700000000000001E-5</v>
      </c>
      <c r="D687" s="234">
        <v>2.6599999999999999E-5</v>
      </c>
      <c r="E687" s="231">
        <v>144985</v>
      </c>
      <c r="F687" s="231" t="s">
        <v>1924</v>
      </c>
      <c r="G687" s="392">
        <v>6247</v>
      </c>
      <c r="H687" s="392">
        <v>47919</v>
      </c>
      <c r="I687" s="392">
        <v>14466</v>
      </c>
      <c r="J687" s="231">
        <v>3151</v>
      </c>
      <c r="K687" s="231">
        <v>71783</v>
      </c>
      <c r="L687" s="231"/>
      <c r="M687" s="300">
        <v>613</v>
      </c>
      <c r="N687" s="300">
        <v>0</v>
      </c>
      <c r="O687" s="300">
        <v>0</v>
      </c>
      <c r="P687" s="231">
        <v>1007</v>
      </c>
      <c r="Q687" s="231">
        <v>1620</v>
      </c>
      <c r="R687" s="231"/>
      <c r="S687" s="392">
        <v>41053</v>
      </c>
      <c r="T687" s="231">
        <v>286</v>
      </c>
      <c r="U687" s="396">
        <v>41339</v>
      </c>
      <c r="V687" s="231"/>
      <c r="W687" s="396">
        <v>261679</v>
      </c>
      <c r="X687" s="396">
        <v>48822</v>
      </c>
      <c r="Y687" s="396"/>
      <c r="Z687" s="396"/>
    </row>
    <row r="688" spans="1:26">
      <c r="A688" s="424">
        <v>97627</v>
      </c>
      <c r="B688" s="423" t="s">
        <v>1394</v>
      </c>
      <c r="C688" s="234">
        <v>2.6000000000000001E-6</v>
      </c>
      <c r="D688" s="234">
        <v>3.4999999999999999E-6</v>
      </c>
      <c r="E688" s="231">
        <v>14668</v>
      </c>
      <c r="F688" s="231" t="s">
        <v>1924</v>
      </c>
      <c r="G688" s="392">
        <v>632</v>
      </c>
      <c r="H688" s="392">
        <v>4848</v>
      </c>
      <c r="I688" s="392">
        <v>1464</v>
      </c>
      <c r="J688" s="231">
        <v>3342</v>
      </c>
      <c r="K688" s="231">
        <v>10286</v>
      </c>
      <c r="L688" s="231"/>
      <c r="M688" s="300">
        <v>62</v>
      </c>
      <c r="N688" s="300">
        <v>0</v>
      </c>
      <c r="O688" s="300">
        <v>0</v>
      </c>
      <c r="P688" s="231">
        <v>1339</v>
      </c>
      <c r="Q688" s="231">
        <v>1401</v>
      </c>
      <c r="R688" s="231"/>
      <c r="S688" s="392">
        <v>4153</v>
      </c>
      <c r="T688" s="231">
        <v>141</v>
      </c>
      <c r="U688" s="396">
        <v>4294</v>
      </c>
      <c r="V688" s="231"/>
      <c r="W688" s="396">
        <v>26473</v>
      </c>
      <c r="X688" s="396">
        <v>4939</v>
      </c>
      <c r="Y688" s="396"/>
      <c r="Z688" s="396"/>
    </row>
    <row r="689" spans="1:26">
      <c r="A689" s="424">
        <v>97631</v>
      </c>
      <c r="B689" s="423" t="s">
        <v>1395</v>
      </c>
      <c r="C689" s="234">
        <v>2.042E-4</v>
      </c>
      <c r="D689" s="234">
        <v>1.984E-4</v>
      </c>
      <c r="E689" s="231">
        <v>1151980</v>
      </c>
      <c r="F689" s="231" t="s">
        <v>1924</v>
      </c>
      <c r="G689" s="392">
        <v>49638</v>
      </c>
      <c r="H689" s="392">
        <v>380741</v>
      </c>
      <c r="I689" s="392">
        <v>114942</v>
      </c>
      <c r="J689" s="231">
        <v>13428</v>
      </c>
      <c r="K689" s="231">
        <v>558749</v>
      </c>
      <c r="L689" s="231"/>
      <c r="M689" s="300">
        <v>4867</v>
      </c>
      <c r="N689" s="300">
        <v>0</v>
      </c>
      <c r="O689" s="300">
        <v>0</v>
      </c>
      <c r="P689" s="231">
        <v>20138</v>
      </c>
      <c r="Q689" s="231">
        <v>25005</v>
      </c>
      <c r="R689" s="231"/>
      <c r="S689" s="392">
        <v>326189</v>
      </c>
      <c r="T689" s="231">
        <v>-6241</v>
      </c>
      <c r="U689" s="396">
        <v>319948</v>
      </c>
      <c r="V689" s="231"/>
      <c r="W689" s="396">
        <v>2079175</v>
      </c>
      <c r="X689" s="396">
        <v>387917</v>
      </c>
      <c r="Y689" s="396"/>
      <c r="Z689" s="396"/>
    </row>
    <row r="690" spans="1:26">
      <c r="A690" s="424">
        <v>97637</v>
      </c>
      <c r="B690" s="423" t="s">
        <v>1396</v>
      </c>
      <c r="C690" s="234">
        <v>3.8E-6</v>
      </c>
      <c r="D690" s="234">
        <v>0</v>
      </c>
      <c r="E690" s="231">
        <v>21437</v>
      </c>
      <c r="F690" s="231" t="s">
        <v>1924</v>
      </c>
      <c r="G690" s="392">
        <v>924</v>
      </c>
      <c r="H690" s="392">
        <v>7085</v>
      </c>
      <c r="I690" s="392">
        <v>2139</v>
      </c>
      <c r="J690" s="231">
        <v>6746</v>
      </c>
      <c r="K690" s="231">
        <v>16894</v>
      </c>
      <c r="L690" s="231"/>
      <c r="M690" s="300">
        <v>91</v>
      </c>
      <c r="N690" s="300">
        <v>0</v>
      </c>
      <c r="O690" s="300">
        <v>0</v>
      </c>
      <c r="P690" s="231">
        <v>982</v>
      </c>
      <c r="Q690" s="231">
        <v>1073</v>
      </c>
      <c r="R690" s="231"/>
      <c r="S690" s="392">
        <v>6070</v>
      </c>
      <c r="T690" s="231">
        <v>1657</v>
      </c>
      <c r="U690" s="396">
        <v>7727</v>
      </c>
      <c r="V690" s="231"/>
      <c r="W690" s="396">
        <v>38692</v>
      </c>
      <c r="X690" s="396">
        <v>7219</v>
      </c>
      <c r="Y690" s="396"/>
      <c r="Z690" s="396"/>
    </row>
    <row r="691" spans="1:26">
      <c r="A691" s="424">
        <v>97641</v>
      </c>
      <c r="B691" s="423" t="s">
        <v>1397</v>
      </c>
      <c r="C691" s="234">
        <v>1.091E-4</v>
      </c>
      <c r="D691" s="234">
        <v>7.7799999999999994E-5</v>
      </c>
      <c r="E691" s="231">
        <v>615480</v>
      </c>
      <c r="F691" s="231" t="s">
        <v>1924</v>
      </c>
      <c r="G691" s="392">
        <v>26520</v>
      </c>
      <c r="H691" s="392">
        <v>203423</v>
      </c>
      <c r="I691" s="392">
        <v>61411</v>
      </c>
      <c r="J691" s="231">
        <v>90081</v>
      </c>
      <c r="K691" s="231">
        <v>381435</v>
      </c>
      <c r="L691" s="231"/>
      <c r="M691" s="300">
        <v>2600</v>
      </c>
      <c r="N691" s="300">
        <v>0</v>
      </c>
      <c r="O691" s="300">
        <v>0</v>
      </c>
      <c r="P691" s="231">
        <v>0</v>
      </c>
      <c r="Q691" s="231">
        <v>2600</v>
      </c>
      <c r="R691" s="231"/>
      <c r="S691" s="392">
        <v>174276</v>
      </c>
      <c r="T691" s="231">
        <v>36455</v>
      </c>
      <c r="U691" s="396">
        <v>210731</v>
      </c>
      <c r="V691" s="231"/>
      <c r="W691" s="396">
        <v>1110862</v>
      </c>
      <c r="X691" s="396">
        <v>207256</v>
      </c>
      <c r="Y691" s="396"/>
      <c r="Z691" s="396"/>
    </row>
    <row r="692" spans="1:26">
      <c r="A692" s="424">
        <v>97651</v>
      </c>
      <c r="B692" s="423" t="s">
        <v>1398</v>
      </c>
      <c r="C692" s="234">
        <v>5.373E-4</v>
      </c>
      <c r="D692" s="234">
        <v>4.8879999999999996E-4</v>
      </c>
      <c r="E692" s="231">
        <v>3031139</v>
      </c>
      <c r="F692" s="231" t="s">
        <v>1924</v>
      </c>
      <c r="G692" s="392">
        <v>130609</v>
      </c>
      <c r="H692" s="392">
        <v>1001823</v>
      </c>
      <c r="I692" s="392">
        <v>302440</v>
      </c>
      <c r="J692" s="231">
        <v>62354</v>
      </c>
      <c r="K692" s="231">
        <v>1497226</v>
      </c>
      <c r="L692" s="231"/>
      <c r="M692" s="300">
        <v>12805</v>
      </c>
      <c r="N692" s="300">
        <v>0</v>
      </c>
      <c r="O692" s="300">
        <v>0</v>
      </c>
      <c r="P692" s="231">
        <v>62233</v>
      </c>
      <c r="Q692" s="231">
        <v>75038</v>
      </c>
      <c r="R692" s="231"/>
      <c r="S692" s="392">
        <v>858284</v>
      </c>
      <c r="T692" s="231">
        <v>-19765</v>
      </c>
      <c r="U692" s="396">
        <v>838519</v>
      </c>
      <c r="V692" s="231"/>
      <c r="W692" s="396">
        <v>5470816</v>
      </c>
      <c r="X692" s="396">
        <v>1020704</v>
      </c>
      <c r="Y692" s="396"/>
      <c r="Z692" s="396"/>
    </row>
    <row r="693" spans="1:26">
      <c r="A693" s="424">
        <v>97661</v>
      </c>
      <c r="B693" s="423" t="s">
        <v>1399</v>
      </c>
      <c r="C693" s="234">
        <v>4.6699999999999997E-5</v>
      </c>
      <c r="D693" s="234">
        <v>4.74E-5</v>
      </c>
      <c r="E693" s="231">
        <v>263455</v>
      </c>
      <c r="F693" s="231" t="s">
        <v>1924</v>
      </c>
      <c r="G693" s="392">
        <v>11352</v>
      </c>
      <c r="H693" s="392">
        <v>87075</v>
      </c>
      <c r="I693" s="392">
        <v>26287</v>
      </c>
      <c r="J693" s="231">
        <v>8088</v>
      </c>
      <c r="K693" s="231">
        <v>132802</v>
      </c>
      <c r="L693" s="231"/>
      <c r="M693" s="300">
        <v>1113</v>
      </c>
      <c r="N693" s="300">
        <v>0</v>
      </c>
      <c r="O693" s="300">
        <v>0</v>
      </c>
      <c r="P693" s="231">
        <v>3373</v>
      </c>
      <c r="Q693" s="231">
        <v>4486</v>
      </c>
      <c r="R693" s="231"/>
      <c r="S693" s="392">
        <v>74599</v>
      </c>
      <c r="T693" s="231">
        <v>1066</v>
      </c>
      <c r="U693" s="396">
        <v>75665</v>
      </c>
      <c r="V693" s="231"/>
      <c r="W693" s="396">
        <v>475502</v>
      </c>
      <c r="X693" s="396">
        <v>88716</v>
      </c>
      <c r="Y693" s="396"/>
      <c r="Z693" s="396"/>
    </row>
    <row r="694" spans="1:26">
      <c r="A694" s="424">
        <v>97701</v>
      </c>
      <c r="B694" s="423" t="s">
        <v>1400</v>
      </c>
      <c r="C694" s="234">
        <v>2.3465000000000001E-3</v>
      </c>
      <c r="D694" s="234">
        <v>2.4559E-3</v>
      </c>
      <c r="E694" s="231">
        <v>13237611</v>
      </c>
      <c r="F694" s="231" t="s">
        <v>1924</v>
      </c>
      <c r="G694" s="392">
        <v>570397</v>
      </c>
      <c r="H694" s="392">
        <v>4375169</v>
      </c>
      <c r="I694" s="392">
        <v>1320817</v>
      </c>
      <c r="J694" s="231">
        <v>53436</v>
      </c>
      <c r="K694" s="231">
        <v>6319819</v>
      </c>
      <c r="L694" s="231"/>
      <c r="M694" s="300">
        <v>55924</v>
      </c>
      <c r="N694" s="300">
        <v>0</v>
      </c>
      <c r="O694" s="300">
        <v>0</v>
      </c>
      <c r="P694" s="231">
        <v>146229</v>
      </c>
      <c r="Q694" s="231">
        <v>202153</v>
      </c>
      <c r="R694" s="231"/>
      <c r="S694" s="392">
        <v>3748301</v>
      </c>
      <c r="T694" s="231">
        <v>-40346</v>
      </c>
      <c r="U694" s="396">
        <v>3707955</v>
      </c>
      <c r="V694" s="231"/>
      <c r="W694" s="396">
        <v>23892183</v>
      </c>
      <c r="X694" s="396">
        <v>4457625</v>
      </c>
      <c r="Y694" s="396"/>
      <c r="Z694" s="396"/>
    </row>
    <row r="695" spans="1:26">
      <c r="A695" s="424">
        <v>97705</v>
      </c>
      <c r="B695" s="423" t="s">
        <v>1401</v>
      </c>
      <c r="C695" s="234">
        <v>2.6299999999999999E-5</v>
      </c>
      <c r="D695" s="234">
        <v>2.9300000000000001E-5</v>
      </c>
      <c r="E695" s="231">
        <v>148370</v>
      </c>
      <c r="F695" s="231" t="s">
        <v>1924</v>
      </c>
      <c r="G695" s="392">
        <v>6393</v>
      </c>
      <c r="H695" s="392">
        <v>49038</v>
      </c>
      <c r="I695" s="392">
        <v>14804</v>
      </c>
      <c r="J695" s="231">
        <v>8898</v>
      </c>
      <c r="K695" s="231">
        <v>79133</v>
      </c>
      <c r="L695" s="231"/>
      <c r="M695" s="300">
        <v>627</v>
      </c>
      <c r="N695" s="300">
        <v>0</v>
      </c>
      <c r="O695" s="300">
        <v>0</v>
      </c>
      <c r="P695" s="231">
        <v>1603</v>
      </c>
      <c r="Q695" s="231">
        <v>2230</v>
      </c>
      <c r="R695" s="231"/>
      <c r="S695" s="392">
        <v>42012</v>
      </c>
      <c r="T695" s="231">
        <v>3062</v>
      </c>
      <c r="U695" s="396">
        <v>45074</v>
      </c>
      <c r="V695" s="231"/>
      <c r="W695" s="396">
        <v>267788</v>
      </c>
      <c r="X695" s="396">
        <v>49962</v>
      </c>
      <c r="Y695" s="396"/>
      <c r="Z695" s="396"/>
    </row>
    <row r="696" spans="1:26">
      <c r="A696" s="424">
        <v>97711</v>
      </c>
      <c r="B696" s="423" t="s">
        <v>1402</v>
      </c>
      <c r="C696" s="234">
        <v>7.7510000000000003E-4</v>
      </c>
      <c r="D696" s="234">
        <v>8.1419999999999995E-4</v>
      </c>
      <c r="E696" s="231">
        <v>4372671</v>
      </c>
      <c r="F696" s="231" t="s">
        <v>1924</v>
      </c>
      <c r="G696" s="392">
        <v>188414</v>
      </c>
      <c r="H696" s="392">
        <v>1445213</v>
      </c>
      <c r="I696" s="392">
        <v>436294</v>
      </c>
      <c r="J696" s="231">
        <v>0</v>
      </c>
      <c r="K696" s="231">
        <v>2069921</v>
      </c>
      <c r="L696" s="231"/>
      <c r="M696" s="300">
        <v>18473</v>
      </c>
      <c r="N696" s="300">
        <v>0</v>
      </c>
      <c r="O696" s="300">
        <v>0</v>
      </c>
      <c r="P696" s="231">
        <v>63846</v>
      </c>
      <c r="Q696" s="231">
        <v>82319</v>
      </c>
      <c r="R696" s="231"/>
      <c r="S696" s="392">
        <v>1238146</v>
      </c>
      <c r="T696" s="231">
        <v>-27648</v>
      </c>
      <c r="U696" s="396">
        <v>1210498</v>
      </c>
      <c r="V696" s="231"/>
      <c r="W696" s="396">
        <v>7892108</v>
      </c>
      <c r="X696" s="396">
        <v>1472450</v>
      </c>
      <c r="Y696" s="396"/>
      <c r="Z696" s="396"/>
    </row>
    <row r="697" spans="1:26">
      <c r="A697" s="424">
        <v>97713</v>
      </c>
      <c r="B697" s="423" t="s">
        <v>1403</v>
      </c>
      <c r="C697" s="234">
        <v>7.5400000000000003E-5</v>
      </c>
      <c r="D697" s="234">
        <v>6.1199999999999997E-5</v>
      </c>
      <c r="E697" s="231">
        <v>425364</v>
      </c>
      <c r="F697" s="231" t="s">
        <v>1924</v>
      </c>
      <c r="G697" s="392">
        <v>18329</v>
      </c>
      <c r="H697" s="392">
        <v>140587</v>
      </c>
      <c r="I697" s="392">
        <v>42442</v>
      </c>
      <c r="J697" s="231">
        <v>18554</v>
      </c>
      <c r="K697" s="231">
        <v>219912</v>
      </c>
      <c r="L697" s="231"/>
      <c r="M697" s="300">
        <v>1797</v>
      </c>
      <c r="N697" s="300">
        <v>0</v>
      </c>
      <c r="O697" s="300">
        <v>0</v>
      </c>
      <c r="P697" s="231">
        <v>172</v>
      </c>
      <c r="Q697" s="231">
        <v>1969</v>
      </c>
      <c r="R697" s="231"/>
      <c r="S697" s="392">
        <v>120444</v>
      </c>
      <c r="T697" s="231">
        <v>9061</v>
      </c>
      <c r="U697" s="396">
        <v>129505</v>
      </c>
      <c r="V697" s="231"/>
      <c r="W697" s="396">
        <v>767727</v>
      </c>
      <c r="X697" s="396">
        <v>143237</v>
      </c>
      <c r="Y697" s="396"/>
      <c r="Z697" s="396"/>
    </row>
    <row r="698" spans="1:26">
      <c r="A698" s="424">
        <v>97717</v>
      </c>
      <c r="B698" s="423" t="s">
        <v>1404</v>
      </c>
      <c r="C698" s="234">
        <v>1.0200000000000001E-5</v>
      </c>
      <c r="D698" s="234">
        <v>1.6399999999999999E-5</v>
      </c>
      <c r="E698" s="231">
        <v>57543</v>
      </c>
      <c r="F698" s="231" t="s">
        <v>1924</v>
      </c>
      <c r="G698" s="392">
        <v>2479</v>
      </c>
      <c r="H698" s="392">
        <v>19018</v>
      </c>
      <c r="I698" s="392">
        <v>5741</v>
      </c>
      <c r="J698" s="231">
        <v>12677</v>
      </c>
      <c r="K698" s="231">
        <v>39915</v>
      </c>
      <c r="L698" s="231"/>
      <c r="M698" s="300">
        <v>243</v>
      </c>
      <c r="N698" s="300">
        <v>0</v>
      </c>
      <c r="O698" s="300">
        <v>0</v>
      </c>
      <c r="P698" s="231">
        <v>9713</v>
      </c>
      <c r="Q698" s="231">
        <v>9956</v>
      </c>
      <c r="R698" s="231"/>
      <c r="S698" s="392">
        <v>16293</v>
      </c>
      <c r="T698" s="231">
        <v>3389</v>
      </c>
      <c r="U698" s="396">
        <v>19682</v>
      </c>
      <c r="V698" s="231"/>
      <c r="W698" s="396">
        <v>103857</v>
      </c>
      <c r="X698" s="396">
        <v>19377</v>
      </c>
      <c r="Y698" s="396"/>
      <c r="Z698" s="396"/>
    </row>
    <row r="699" spans="1:26">
      <c r="A699" s="424">
        <v>97721</v>
      </c>
      <c r="B699" s="423" t="s">
        <v>1405</v>
      </c>
      <c r="C699" s="234">
        <v>5.0299999999999997E-4</v>
      </c>
      <c r="D699" s="234">
        <v>4.7889999999999999E-4</v>
      </c>
      <c r="E699" s="231">
        <v>2837638</v>
      </c>
      <c r="F699" s="231" t="s">
        <v>1924</v>
      </c>
      <c r="G699" s="392">
        <v>122271</v>
      </c>
      <c r="H699" s="392">
        <v>937869</v>
      </c>
      <c r="I699" s="392">
        <v>283133</v>
      </c>
      <c r="J699" s="231">
        <v>30734</v>
      </c>
      <c r="K699" s="231">
        <v>1374007</v>
      </c>
      <c r="L699" s="231"/>
      <c r="M699" s="300">
        <v>11988</v>
      </c>
      <c r="N699" s="300">
        <v>0</v>
      </c>
      <c r="O699" s="300">
        <v>0</v>
      </c>
      <c r="P699" s="231">
        <v>90168</v>
      </c>
      <c r="Q699" s="231">
        <v>102156</v>
      </c>
      <c r="R699" s="231"/>
      <c r="S699" s="392">
        <v>803493</v>
      </c>
      <c r="T699" s="231">
        <v>-47041</v>
      </c>
      <c r="U699" s="396">
        <v>756452</v>
      </c>
      <c r="V699" s="231"/>
      <c r="W699" s="396">
        <v>5121572</v>
      </c>
      <c r="X699" s="396">
        <v>955545</v>
      </c>
      <c r="Y699" s="396"/>
      <c r="Z699" s="396"/>
    </row>
    <row r="700" spans="1:26">
      <c r="A700" s="424">
        <v>97727</v>
      </c>
      <c r="B700" s="423" t="s">
        <v>1406</v>
      </c>
      <c r="C700" s="234">
        <v>2.1100000000000001E-5</v>
      </c>
      <c r="D700" s="234">
        <v>2.0699999999999998E-5</v>
      </c>
      <c r="E700" s="231">
        <v>119034</v>
      </c>
      <c r="F700" s="231" t="s">
        <v>1924</v>
      </c>
      <c r="G700" s="392">
        <v>5129</v>
      </c>
      <c r="H700" s="392">
        <v>39342</v>
      </c>
      <c r="I700" s="392">
        <v>11877</v>
      </c>
      <c r="J700" s="231">
        <v>9182</v>
      </c>
      <c r="K700" s="231">
        <v>65530</v>
      </c>
      <c r="L700" s="231"/>
      <c r="M700" s="300">
        <v>503</v>
      </c>
      <c r="N700" s="300">
        <v>0</v>
      </c>
      <c r="O700" s="300">
        <v>0</v>
      </c>
      <c r="P700" s="231">
        <v>10</v>
      </c>
      <c r="Q700" s="231">
        <v>513</v>
      </c>
      <c r="R700" s="231"/>
      <c r="S700" s="392">
        <v>33705</v>
      </c>
      <c r="T700" s="231">
        <v>4049</v>
      </c>
      <c r="U700" s="396">
        <v>37754</v>
      </c>
      <c r="V700" s="231"/>
      <c r="W700" s="396">
        <v>214841</v>
      </c>
      <c r="X700" s="396">
        <v>40083</v>
      </c>
      <c r="Y700" s="396"/>
      <c r="Z700" s="396"/>
    </row>
    <row r="701" spans="1:26">
      <c r="A701" s="424">
        <v>97731</v>
      </c>
      <c r="B701" s="423" t="s">
        <v>1407</v>
      </c>
      <c r="C701" s="234">
        <v>3.1900000000000003E-5</v>
      </c>
      <c r="D701" s="234">
        <v>3.2299999999999999E-5</v>
      </c>
      <c r="E701" s="231">
        <v>179962</v>
      </c>
      <c r="F701" s="231" t="s">
        <v>1924</v>
      </c>
      <c r="G701" s="392">
        <v>7754</v>
      </c>
      <c r="H701" s="392">
        <v>59479</v>
      </c>
      <c r="I701" s="392">
        <v>17956</v>
      </c>
      <c r="J701" s="231">
        <v>4592</v>
      </c>
      <c r="K701" s="231">
        <v>89781</v>
      </c>
      <c r="L701" s="231"/>
      <c r="M701" s="300">
        <v>760</v>
      </c>
      <c r="N701" s="300">
        <v>0</v>
      </c>
      <c r="O701" s="300">
        <v>0</v>
      </c>
      <c r="P701" s="231">
        <v>4676</v>
      </c>
      <c r="Q701" s="231">
        <v>5436</v>
      </c>
      <c r="R701" s="231"/>
      <c r="S701" s="392">
        <v>50957</v>
      </c>
      <c r="T701" s="231">
        <v>675</v>
      </c>
      <c r="U701" s="396">
        <v>51632</v>
      </c>
      <c r="V701" s="231"/>
      <c r="W701" s="396">
        <v>324807</v>
      </c>
      <c r="X701" s="396">
        <v>60600</v>
      </c>
      <c r="Y701" s="396"/>
      <c r="Z701" s="396"/>
    </row>
    <row r="702" spans="1:26">
      <c r="A702" s="424">
        <v>97801</v>
      </c>
      <c r="B702" s="423" t="s">
        <v>1408</v>
      </c>
      <c r="C702" s="234">
        <v>6.2237000000000004E-3</v>
      </c>
      <c r="D702" s="234">
        <v>6.0962000000000004E-3</v>
      </c>
      <c r="E702" s="231">
        <v>35110555</v>
      </c>
      <c r="F702" s="231" t="s">
        <v>1924</v>
      </c>
      <c r="G702" s="392">
        <v>1512882</v>
      </c>
      <c r="H702" s="392">
        <v>11604406</v>
      </c>
      <c r="I702" s="392">
        <v>3503246</v>
      </c>
      <c r="J702" s="231">
        <v>742598</v>
      </c>
      <c r="K702" s="231">
        <v>17363132</v>
      </c>
      <c r="L702" s="231"/>
      <c r="M702" s="300">
        <v>148329</v>
      </c>
      <c r="N702" s="300">
        <v>0</v>
      </c>
      <c r="O702" s="300">
        <v>0</v>
      </c>
      <c r="P702" s="231">
        <v>85043</v>
      </c>
      <c r="Q702" s="231">
        <v>233372</v>
      </c>
      <c r="R702" s="231"/>
      <c r="S702" s="392">
        <v>9941745</v>
      </c>
      <c r="T702" s="231">
        <v>230478</v>
      </c>
      <c r="U702" s="396">
        <v>10172223</v>
      </c>
      <c r="V702" s="231"/>
      <c r="W702" s="396">
        <v>63370031</v>
      </c>
      <c r="X702" s="396">
        <v>11823107</v>
      </c>
      <c r="Y702" s="396"/>
      <c r="Z702" s="396"/>
    </row>
    <row r="703" spans="1:26">
      <c r="A703" s="424">
        <v>97802</v>
      </c>
      <c r="B703" s="423" t="s">
        <v>1409</v>
      </c>
      <c r="C703" s="234">
        <v>1.4200000000000001E-4</v>
      </c>
      <c r="D703" s="234">
        <v>1.5919999999999999E-4</v>
      </c>
      <c r="E703" s="231">
        <v>801083</v>
      </c>
      <c r="F703" s="231" t="s">
        <v>1924</v>
      </c>
      <c r="G703" s="392">
        <v>34518</v>
      </c>
      <c r="H703" s="392">
        <v>264766</v>
      </c>
      <c r="I703" s="392">
        <v>79930</v>
      </c>
      <c r="J703" s="231">
        <v>3225</v>
      </c>
      <c r="K703" s="231">
        <v>382439</v>
      </c>
      <c r="L703" s="231"/>
      <c r="M703" s="300">
        <v>3384</v>
      </c>
      <c r="N703" s="300">
        <v>0</v>
      </c>
      <c r="O703" s="300">
        <v>0</v>
      </c>
      <c r="P703" s="231">
        <v>47167</v>
      </c>
      <c r="Q703" s="231">
        <v>50551</v>
      </c>
      <c r="R703" s="231"/>
      <c r="S703" s="392">
        <v>226831</v>
      </c>
      <c r="T703" s="231">
        <v>-18342</v>
      </c>
      <c r="U703" s="396">
        <v>208489</v>
      </c>
      <c r="V703" s="231"/>
      <c r="W703" s="396">
        <v>1445851</v>
      </c>
      <c r="X703" s="396">
        <v>269756</v>
      </c>
      <c r="Y703" s="396"/>
      <c r="Z703" s="396"/>
    </row>
    <row r="704" spans="1:26">
      <c r="A704" s="424">
        <v>97803</v>
      </c>
      <c r="B704" s="423" t="s">
        <v>1410</v>
      </c>
      <c r="C704" s="234">
        <v>7.6000000000000004E-5</v>
      </c>
      <c r="D704" s="234">
        <v>7.86E-5</v>
      </c>
      <c r="E704" s="231">
        <v>428749</v>
      </c>
      <c r="F704" s="231" t="s">
        <v>1924</v>
      </c>
      <c r="G704" s="392">
        <v>18474</v>
      </c>
      <c r="H704" s="392">
        <v>141706</v>
      </c>
      <c r="I704" s="392">
        <v>42779</v>
      </c>
      <c r="J704" s="231">
        <v>9019</v>
      </c>
      <c r="K704" s="231">
        <v>211978</v>
      </c>
      <c r="L704" s="231"/>
      <c r="M704" s="300">
        <v>1811</v>
      </c>
      <c r="N704" s="300">
        <v>0</v>
      </c>
      <c r="O704" s="300">
        <v>0</v>
      </c>
      <c r="P704" s="231">
        <v>2230</v>
      </c>
      <c r="Q704" s="231">
        <v>4041</v>
      </c>
      <c r="R704" s="231"/>
      <c r="S704" s="392">
        <v>121402</v>
      </c>
      <c r="T704" s="231">
        <v>3247</v>
      </c>
      <c r="U704" s="396">
        <v>124649</v>
      </c>
      <c r="V704" s="231"/>
      <c r="W704" s="396">
        <v>773836</v>
      </c>
      <c r="X704" s="396">
        <v>144377</v>
      </c>
      <c r="Y704" s="396"/>
      <c r="Z704" s="396"/>
    </row>
    <row r="705" spans="1:26">
      <c r="A705" s="424">
        <v>97805</v>
      </c>
      <c r="B705" s="423" t="s">
        <v>1411</v>
      </c>
      <c r="C705" s="234">
        <v>8.0699999999999996E-5</v>
      </c>
      <c r="D705" s="234">
        <v>8.0400000000000003E-5</v>
      </c>
      <c r="E705" s="231">
        <v>455263</v>
      </c>
      <c r="F705" s="231" t="s">
        <v>1924</v>
      </c>
      <c r="G705" s="392">
        <v>19617</v>
      </c>
      <c r="H705" s="392">
        <v>150469</v>
      </c>
      <c r="I705" s="392">
        <v>45425</v>
      </c>
      <c r="J705" s="231">
        <v>819</v>
      </c>
      <c r="K705" s="231">
        <v>216330</v>
      </c>
      <c r="L705" s="231"/>
      <c r="M705" s="300">
        <v>1923</v>
      </c>
      <c r="N705" s="300">
        <v>0</v>
      </c>
      <c r="O705" s="300">
        <v>0</v>
      </c>
      <c r="P705" s="231">
        <v>8681</v>
      </c>
      <c r="Q705" s="231">
        <v>10604</v>
      </c>
      <c r="R705" s="231"/>
      <c r="S705" s="392">
        <v>128910</v>
      </c>
      <c r="T705" s="231">
        <v>-2704</v>
      </c>
      <c r="U705" s="396">
        <v>126206</v>
      </c>
      <c r="V705" s="231"/>
      <c r="W705" s="396">
        <v>821692</v>
      </c>
      <c r="X705" s="396">
        <v>153305</v>
      </c>
      <c r="Y705" s="396"/>
      <c r="Z705" s="396"/>
    </row>
    <row r="706" spans="1:26">
      <c r="A706" s="424">
        <v>97811</v>
      </c>
      <c r="B706" s="423" t="s">
        <v>1412</v>
      </c>
      <c r="C706" s="234">
        <v>2.1681000000000001E-3</v>
      </c>
      <c r="D706" s="234">
        <v>2.2604000000000001E-3</v>
      </c>
      <c r="E706" s="231">
        <v>12231180</v>
      </c>
      <c r="F706" s="231" t="s">
        <v>1924</v>
      </c>
      <c r="G706" s="392">
        <v>527030</v>
      </c>
      <c r="H706" s="392">
        <v>4042533</v>
      </c>
      <c r="I706" s="392">
        <v>1220397</v>
      </c>
      <c r="J706" s="231">
        <v>0</v>
      </c>
      <c r="K706" s="231">
        <v>5789960</v>
      </c>
      <c r="L706" s="231"/>
      <c r="M706" s="300">
        <v>51672</v>
      </c>
      <c r="N706" s="300">
        <v>0</v>
      </c>
      <c r="O706" s="300">
        <v>0</v>
      </c>
      <c r="P706" s="231">
        <v>251476</v>
      </c>
      <c r="Q706" s="231">
        <v>303148</v>
      </c>
      <c r="R706" s="231"/>
      <c r="S706" s="392">
        <v>3463325</v>
      </c>
      <c r="T706" s="231">
        <v>-124335</v>
      </c>
      <c r="U706" s="396">
        <v>3338990</v>
      </c>
      <c r="V706" s="231"/>
      <c r="W706" s="396">
        <v>22075705</v>
      </c>
      <c r="X706" s="396">
        <v>4118720</v>
      </c>
      <c r="Y706" s="396"/>
      <c r="Z706" s="396"/>
    </row>
    <row r="707" spans="1:26">
      <c r="A707" s="424">
        <v>97817</v>
      </c>
      <c r="B707" s="423" t="s">
        <v>1413</v>
      </c>
      <c r="C707" s="234">
        <v>2.27E-5</v>
      </c>
      <c r="D707" s="234">
        <v>2.0400000000000001E-5</v>
      </c>
      <c r="E707" s="231">
        <v>128060</v>
      </c>
      <c r="F707" s="231" t="s">
        <v>1924</v>
      </c>
      <c r="G707" s="392">
        <v>5518</v>
      </c>
      <c r="H707" s="392">
        <v>42325</v>
      </c>
      <c r="I707" s="392">
        <v>12778</v>
      </c>
      <c r="J707" s="231">
        <v>15563</v>
      </c>
      <c r="K707" s="231">
        <v>76184</v>
      </c>
      <c r="L707" s="231"/>
      <c r="M707" s="300">
        <v>541</v>
      </c>
      <c r="N707" s="300">
        <v>0</v>
      </c>
      <c r="O707" s="300">
        <v>0</v>
      </c>
      <c r="P707" s="231">
        <v>0</v>
      </c>
      <c r="Q707" s="231">
        <v>541</v>
      </c>
      <c r="R707" s="231"/>
      <c r="S707" s="392">
        <v>36261</v>
      </c>
      <c r="T707" s="231">
        <v>8083</v>
      </c>
      <c r="U707" s="396">
        <v>44344</v>
      </c>
      <c r="V707" s="231"/>
      <c r="W707" s="396">
        <v>231133</v>
      </c>
      <c r="X707" s="396">
        <v>43123</v>
      </c>
      <c r="Y707" s="396"/>
      <c r="Z707" s="396"/>
    </row>
    <row r="708" spans="1:26">
      <c r="A708" s="424">
        <v>97818</v>
      </c>
      <c r="B708" s="423" t="s">
        <v>1414</v>
      </c>
      <c r="C708" s="234">
        <v>1.5500000000000001E-5</v>
      </c>
      <c r="D708" s="234">
        <v>1.49E-5</v>
      </c>
      <c r="E708" s="231">
        <v>87442</v>
      </c>
      <c r="F708" s="231" t="s">
        <v>1924</v>
      </c>
      <c r="G708" s="392">
        <v>3768</v>
      </c>
      <c r="H708" s="392">
        <v>28901</v>
      </c>
      <c r="I708" s="392">
        <v>8725</v>
      </c>
      <c r="J708" s="231">
        <v>8624</v>
      </c>
      <c r="K708" s="231">
        <v>50018</v>
      </c>
      <c r="L708" s="231"/>
      <c r="M708" s="300">
        <v>369</v>
      </c>
      <c r="N708" s="300">
        <v>0</v>
      </c>
      <c r="O708" s="300">
        <v>0</v>
      </c>
      <c r="P708" s="231">
        <v>2224</v>
      </c>
      <c r="Q708" s="231">
        <v>2593</v>
      </c>
      <c r="R708" s="231"/>
      <c r="S708" s="392">
        <v>24760</v>
      </c>
      <c r="T708" s="231">
        <v>1187</v>
      </c>
      <c r="U708" s="396">
        <v>25947</v>
      </c>
      <c r="V708" s="231"/>
      <c r="W708" s="396">
        <v>157822</v>
      </c>
      <c r="X708" s="396">
        <v>29445</v>
      </c>
      <c r="Y708" s="396"/>
      <c r="Z708" s="396"/>
    </row>
    <row r="709" spans="1:26">
      <c r="A709" s="424">
        <v>97821</v>
      </c>
      <c r="B709" s="423" t="s">
        <v>1415</v>
      </c>
      <c r="C709" s="234">
        <v>1.4630000000000001E-4</v>
      </c>
      <c r="D709" s="234">
        <v>1.2430000000000001E-4</v>
      </c>
      <c r="E709" s="231">
        <v>825341</v>
      </c>
      <c r="F709" s="231" t="s">
        <v>1924</v>
      </c>
      <c r="G709" s="392">
        <v>35563</v>
      </c>
      <c r="H709" s="392">
        <v>272784</v>
      </c>
      <c r="I709" s="392">
        <v>82351</v>
      </c>
      <c r="J709" s="231">
        <v>61941</v>
      </c>
      <c r="K709" s="231">
        <v>452639</v>
      </c>
      <c r="L709" s="231"/>
      <c r="M709" s="300">
        <v>3487</v>
      </c>
      <c r="N709" s="300">
        <v>0</v>
      </c>
      <c r="O709" s="300">
        <v>0</v>
      </c>
      <c r="P709" s="231">
        <v>9111</v>
      </c>
      <c r="Q709" s="231">
        <v>12598</v>
      </c>
      <c r="R709" s="231"/>
      <c r="S709" s="392">
        <v>233700</v>
      </c>
      <c r="T709" s="231">
        <v>21485</v>
      </c>
      <c r="U709" s="396">
        <v>255185</v>
      </c>
      <c r="V709" s="231"/>
      <c r="W709" s="396">
        <v>1489634</v>
      </c>
      <c r="X709" s="396">
        <v>277925</v>
      </c>
      <c r="Y709" s="396"/>
      <c r="Z709" s="396"/>
    </row>
    <row r="710" spans="1:26">
      <c r="A710" s="424">
        <v>97823</v>
      </c>
      <c r="B710" s="423" t="s">
        <v>1416</v>
      </c>
      <c r="C710" s="234">
        <v>1.6799999999999998E-5</v>
      </c>
      <c r="D710" s="234">
        <v>1.9000000000000001E-5</v>
      </c>
      <c r="E710" s="231">
        <v>94776</v>
      </c>
      <c r="F710" s="231" t="s">
        <v>1924</v>
      </c>
      <c r="G710" s="392">
        <v>4084</v>
      </c>
      <c r="H710" s="392">
        <v>31324</v>
      </c>
      <c r="I710" s="392">
        <v>9457</v>
      </c>
      <c r="J710" s="231">
        <v>6007</v>
      </c>
      <c r="K710" s="231">
        <v>50872</v>
      </c>
      <c r="L710" s="231"/>
      <c r="M710" s="300">
        <v>400</v>
      </c>
      <c r="N710" s="300">
        <v>0</v>
      </c>
      <c r="O710" s="300">
        <v>0</v>
      </c>
      <c r="P710" s="231">
        <v>0</v>
      </c>
      <c r="Q710" s="231">
        <v>400</v>
      </c>
      <c r="R710" s="231"/>
      <c r="S710" s="392">
        <v>26836</v>
      </c>
      <c r="T710" s="231">
        <v>3813</v>
      </c>
      <c r="U710" s="396">
        <v>30649</v>
      </c>
      <c r="V710" s="231"/>
      <c r="W710" s="396">
        <v>171058</v>
      </c>
      <c r="X710" s="396">
        <v>31915</v>
      </c>
      <c r="Y710" s="396"/>
      <c r="Z710" s="396"/>
    </row>
    <row r="711" spans="1:26">
      <c r="A711" s="424">
        <v>97831</v>
      </c>
      <c r="B711" s="423" t="s">
        <v>1417</v>
      </c>
      <c r="C711" s="234">
        <v>1.8909999999999999E-4</v>
      </c>
      <c r="D711" s="234">
        <v>1.9469999999999999E-4</v>
      </c>
      <c r="E711" s="231">
        <v>1066794</v>
      </c>
      <c r="F711" s="231" t="s">
        <v>1924</v>
      </c>
      <c r="G711" s="392">
        <v>45967</v>
      </c>
      <c r="H711" s="392">
        <v>352587</v>
      </c>
      <c r="I711" s="392">
        <v>106442</v>
      </c>
      <c r="J711" s="231">
        <v>23484</v>
      </c>
      <c r="K711" s="231">
        <v>528480</v>
      </c>
      <c r="L711" s="231"/>
      <c r="M711" s="300">
        <v>4507</v>
      </c>
      <c r="N711" s="300">
        <v>0</v>
      </c>
      <c r="O711" s="300">
        <v>0</v>
      </c>
      <c r="P711" s="231">
        <v>3783</v>
      </c>
      <c r="Q711" s="231">
        <v>8290</v>
      </c>
      <c r="R711" s="231"/>
      <c r="S711" s="392">
        <v>302069</v>
      </c>
      <c r="T711" s="231">
        <v>17771</v>
      </c>
      <c r="U711" s="396">
        <v>319840</v>
      </c>
      <c r="V711" s="231"/>
      <c r="W711" s="396">
        <v>1925426</v>
      </c>
      <c r="X711" s="396">
        <v>359232</v>
      </c>
      <c r="Y711" s="396"/>
      <c r="Z711" s="396"/>
    </row>
    <row r="712" spans="1:26">
      <c r="A712" s="424">
        <v>97837</v>
      </c>
      <c r="B712" s="423" t="s">
        <v>1418</v>
      </c>
      <c r="C712" s="234">
        <v>1.4399999999999999E-5</v>
      </c>
      <c r="D712" s="234">
        <v>1.3699999999999999E-5</v>
      </c>
      <c r="E712" s="231">
        <v>81237</v>
      </c>
      <c r="F712" s="231" t="s">
        <v>1924</v>
      </c>
      <c r="G712" s="392">
        <v>3500</v>
      </c>
      <c r="H712" s="392">
        <v>26850</v>
      </c>
      <c r="I712" s="392">
        <v>8106</v>
      </c>
      <c r="J712" s="231">
        <v>5230</v>
      </c>
      <c r="K712" s="231">
        <v>43686</v>
      </c>
      <c r="L712" s="231"/>
      <c r="M712" s="300">
        <v>343</v>
      </c>
      <c r="N712" s="300">
        <v>0</v>
      </c>
      <c r="O712" s="300">
        <v>0</v>
      </c>
      <c r="P712" s="231">
        <v>1487</v>
      </c>
      <c r="Q712" s="231">
        <v>1830</v>
      </c>
      <c r="R712" s="231"/>
      <c r="S712" s="392">
        <v>23003</v>
      </c>
      <c r="T712" s="231">
        <v>2010</v>
      </c>
      <c r="U712" s="396">
        <v>25013</v>
      </c>
      <c r="V712" s="231"/>
      <c r="W712" s="396">
        <v>146622</v>
      </c>
      <c r="X712" s="396">
        <v>27356</v>
      </c>
      <c r="Y712" s="396"/>
      <c r="Z712" s="396"/>
    </row>
    <row r="713" spans="1:26">
      <c r="A713" s="424">
        <v>97840</v>
      </c>
      <c r="B713" s="423" t="s">
        <v>1419</v>
      </c>
      <c r="C713" s="234">
        <v>1.537E-4</v>
      </c>
      <c r="D713" s="234">
        <v>1.3679999999999999E-4</v>
      </c>
      <c r="E713" s="231">
        <v>867087</v>
      </c>
      <c r="F713" s="231" t="s">
        <v>1924</v>
      </c>
      <c r="G713" s="392">
        <v>37362</v>
      </c>
      <c r="H713" s="392">
        <v>286581</v>
      </c>
      <c r="I713" s="392">
        <v>86516</v>
      </c>
      <c r="J713" s="231">
        <v>118249</v>
      </c>
      <c r="K713" s="231">
        <v>528708</v>
      </c>
      <c r="L713" s="231"/>
      <c r="M713" s="300">
        <v>3663</v>
      </c>
      <c r="N713" s="300">
        <v>0</v>
      </c>
      <c r="O713" s="300">
        <v>0</v>
      </c>
      <c r="P713" s="231">
        <v>0</v>
      </c>
      <c r="Q713" s="231">
        <v>3663</v>
      </c>
      <c r="R713" s="231"/>
      <c r="S713" s="392">
        <v>245521</v>
      </c>
      <c r="T713" s="231">
        <v>67485</v>
      </c>
      <c r="U713" s="396">
        <v>313006</v>
      </c>
      <c r="V713" s="231"/>
      <c r="W713" s="396">
        <v>1564981</v>
      </c>
      <c r="X713" s="396">
        <v>291983</v>
      </c>
      <c r="Y713" s="396"/>
      <c r="Z713" s="396"/>
    </row>
    <row r="714" spans="1:26">
      <c r="A714" s="424">
        <v>97841</v>
      </c>
      <c r="B714" s="423" t="s">
        <v>1420</v>
      </c>
      <c r="C714" s="234">
        <v>1.3499999999999999E-5</v>
      </c>
      <c r="D714" s="234">
        <v>1.3499999999999999E-5</v>
      </c>
      <c r="E714" s="231">
        <v>76159</v>
      </c>
      <c r="F714" s="231" t="s">
        <v>1924</v>
      </c>
      <c r="G714" s="392">
        <v>3282</v>
      </c>
      <c r="H714" s="392">
        <v>25171</v>
      </c>
      <c r="I714" s="392">
        <v>7599</v>
      </c>
      <c r="J714" s="231">
        <v>3251</v>
      </c>
      <c r="K714" s="231">
        <v>39303</v>
      </c>
      <c r="L714" s="231"/>
      <c r="M714" s="300">
        <v>322</v>
      </c>
      <c r="N714" s="300">
        <v>0</v>
      </c>
      <c r="O714" s="300">
        <v>0</v>
      </c>
      <c r="P714" s="231">
        <v>0</v>
      </c>
      <c r="Q714" s="231">
        <v>322</v>
      </c>
      <c r="R714" s="231"/>
      <c r="S714" s="392">
        <v>21565</v>
      </c>
      <c r="T714" s="231">
        <v>1505</v>
      </c>
      <c r="U714" s="396">
        <v>23070</v>
      </c>
      <c r="V714" s="231"/>
      <c r="W714" s="396">
        <v>137458</v>
      </c>
      <c r="X714" s="396">
        <v>25646</v>
      </c>
      <c r="Y714" s="396"/>
      <c r="Z714" s="396"/>
    </row>
    <row r="715" spans="1:26">
      <c r="A715" s="424">
        <v>97847</v>
      </c>
      <c r="B715" s="423" t="s">
        <v>1421</v>
      </c>
      <c r="C715" s="234">
        <v>1.9999999999999999E-6</v>
      </c>
      <c r="D715" s="234">
        <v>2.0999999999999998E-6</v>
      </c>
      <c r="E715" s="231">
        <v>11283</v>
      </c>
      <c r="F715" s="231" t="s">
        <v>1924</v>
      </c>
      <c r="G715" s="392">
        <v>486</v>
      </c>
      <c r="H715" s="392">
        <v>3729</v>
      </c>
      <c r="I715" s="392">
        <v>1126</v>
      </c>
      <c r="J715" s="231">
        <v>3902</v>
      </c>
      <c r="K715" s="231">
        <v>9243</v>
      </c>
      <c r="L715" s="231"/>
      <c r="M715" s="300">
        <v>48</v>
      </c>
      <c r="N715" s="300">
        <v>0</v>
      </c>
      <c r="O715" s="300">
        <v>0</v>
      </c>
      <c r="P715" s="231">
        <v>0</v>
      </c>
      <c r="Q715" s="231">
        <v>48</v>
      </c>
      <c r="R715" s="231"/>
      <c r="S715" s="392">
        <v>3195</v>
      </c>
      <c r="T715" s="231">
        <v>2363</v>
      </c>
      <c r="U715" s="396">
        <v>5558</v>
      </c>
      <c r="V715" s="231"/>
      <c r="W715" s="396">
        <v>20364</v>
      </c>
      <c r="X715" s="396">
        <v>3799</v>
      </c>
      <c r="Y715" s="396"/>
      <c r="Z715" s="396"/>
    </row>
    <row r="716" spans="1:26">
      <c r="A716" s="424">
        <v>97851</v>
      </c>
      <c r="B716" s="423" t="s">
        <v>1422</v>
      </c>
      <c r="C716" s="234">
        <v>2.42E-4</v>
      </c>
      <c r="D716" s="234">
        <v>2.6120000000000001E-4</v>
      </c>
      <c r="E716" s="231">
        <v>1365226</v>
      </c>
      <c r="F716" s="231" t="s">
        <v>1924</v>
      </c>
      <c r="G716" s="392">
        <v>58826</v>
      </c>
      <c r="H716" s="392">
        <v>451221</v>
      </c>
      <c r="I716" s="392">
        <v>136219</v>
      </c>
      <c r="J716" s="231">
        <v>0</v>
      </c>
      <c r="K716" s="231">
        <v>646266</v>
      </c>
      <c r="L716" s="231"/>
      <c r="M716" s="300">
        <v>5768</v>
      </c>
      <c r="N716" s="300">
        <v>0</v>
      </c>
      <c r="O716" s="300">
        <v>0</v>
      </c>
      <c r="P716" s="231">
        <v>55723</v>
      </c>
      <c r="Q716" s="231">
        <v>61491</v>
      </c>
      <c r="R716" s="231"/>
      <c r="S716" s="392">
        <v>386571</v>
      </c>
      <c r="T716" s="231">
        <v>-34078</v>
      </c>
      <c r="U716" s="396">
        <v>352493</v>
      </c>
      <c r="V716" s="231"/>
      <c r="W716" s="396">
        <v>2464056</v>
      </c>
      <c r="X716" s="396">
        <v>459725</v>
      </c>
      <c r="Y716" s="396"/>
      <c r="Z716" s="396"/>
    </row>
    <row r="717" spans="1:26">
      <c r="A717" s="424">
        <v>97853</v>
      </c>
      <c r="B717" s="423" t="s">
        <v>1423</v>
      </c>
      <c r="C717" s="234">
        <v>8.0799999999999999E-5</v>
      </c>
      <c r="D717" s="234">
        <v>8.53E-5</v>
      </c>
      <c r="E717" s="231">
        <v>455827</v>
      </c>
      <c r="F717" s="231" t="s">
        <v>1924</v>
      </c>
      <c r="G717" s="392">
        <v>19641</v>
      </c>
      <c r="H717" s="392">
        <v>150656</v>
      </c>
      <c r="I717" s="392">
        <v>45481</v>
      </c>
      <c r="J717" s="231">
        <v>6668</v>
      </c>
      <c r="K717" s="231">
        <v>222446</v>
      </c>
      <c r="L717" s="231"/>
      <c r="M717" s="300">
        <v>1926</v>
      </c>
      <c r="N717" s="300">
        <v>0</v>
      </c>
      <c r="O717" s="300">
        <v>0</v>
      </c>
      <c r="P717" s="231">
        <v>16650</v>
      </c>
      <c r="Q717" s="231">
        <v>18576</v>
      </c>
      <c r="R717" s="231"/>
      <c r="S717" s="392">
        <v>129070</v>
      </c>
      <c r="T717" s="231">
        <v>-8735</v>
      </c>
      <c r="U717" s="396">
        <v>120335</v>
      </c>
      <c r="V717" s="231"/>
      <c r="W717" s="396">
        <v>822710</v>
      </c>
      <c r="X717" s="396">
        <v>153495</v>
      </c>
      <c r="Y717" s="396"/>
      <c r="Z717" s="396"/>
    </row>
    <row r="718" spans="1:26">
      <c r="A718" s="424">
        <v>97861</v>
      </c>
      <c r="B718" s="423" t="s">
        <v>1424</v>
      </c>
      <c r="C718" s="234">
        <v>5.2099999999999999E-5</v>
      </c>
      <c r="D718" s="234">
        <v>5.24E-5</v>
      </c>
      <c r="E718" s="231">
        <v>293918</v>
      </c>
      <c r="F718" s="231" t="s">
        <v>1924</v>
      </c>
      <c r="G718" s="392">
        <v>12665</v>
      </c>
      <c r="H718" s="392">
        <v>97143</v>
      </c>
      <c r="I718" s="392">
        <v>29326</v>
      </c>
      <c r="J718" s="231">
        <v>17505</v>
      </c>
      <c r="K718" s="231">
        <v>156639</v>
      </c>
      <c r="L718" s="231"/>
      <c r="M718" s="300">
        <v>1242</v>
      </c>
      <c r="N718" s="300">
        <v>0</v>
      </c>
      <c r="O718" s="300">
        <v>0</v>
      </c>
      <c r="P718" s="231">
        <v>0</v>
      </c>
      <c r="Q718" s="231">
        <v>1242</v>
      </c>
      <c r="R718" s="231"/>
      <c r="S718" s="392">
        <v>83225</v>
      </c>
      <c r="T718" s="231">
        <v>7460</v>
      </c>
      <c r="U718" s="396">
        <v>90685</v>
      </c>
      <c r="V718" s="231"/>
      <c r="W718" s="396">
        <v>530485</v>
      </c>
      <c r="X718" s="396">
        <v>98974</v>
      </c>
      <c r="Y718" s="396"/>
      <c r="Z718" s="396"/>
    </row>
    <row r="719" spans="1:26">
      <c r="A719" s="424">
        <v>97871</v>
      </c>
      <c r="B719" s="423" t="s">
        <v>1425</v>
      </c>
      <c r="C719" s="234">
        <v>3.1700000000000001E-4</v>
      </c>
      <c r="D719" s="234">
        <v>3.1339999999999997E-4</v>
      </c>
      <c r="E719" s="231">
        <v>1788333</v>
      </c>
      <c r="F719" s="231" t="s">
        <v>1924</v>
      </c>
      <c r="G719" s="392">
        <v>77058</v>
      </c>
      <c r="H719" s="392">
        <v>591063</v>
      </c>
      <c r="I719" s="392">
        <v>178435</v>
      </c>
      <c r="J719" s="231">
        <v>305750</v>
      </c>
      <c r="K719" s="231">
        <v>1152306</v>
      </c>
      <c r="L719" s="231"/>
      <c r="M719" s="300">
        <v>7555</v>
      </c>
      <c r="N719" s="300">
        <v>0</v>
      </c>
      <c r="O719" s="300">
        <v>0</v>
      </c>
      <c r="P719" s="231">
        <v>10860</v>
      </c>
      <c r="Q719" s="231">
        <v>18415</v>
      </c>
      <c r="R719" s="231"/>
      <c r="S719" s="392">
        <v>506376</v>
      </c>
      <c r="T719" s="231">
        <v>162156</v>
      </c>
      <c r="U719" s="396">
        <v>668532</v>
      </c>
      <c r="V719" s="231"/>
      <c r="W719" s="396">
        <v>3227710</v>
      </c>
      <c r="X719" s="396">
        <v>602202</v>
      </c>
      <c r="Y719" s="396"/>
      <c r="Z719" s="396"/>
    </row>
    <row r="720" spans="1:26">
      <c r="A720" s="424">
        <v>97877</v>
      </c>
      <c r="B720" s="423" t="s">
        <v>1426</v>
      </c>
      <c r="C720" s="234">
        <v>1.0000000000000001E-5</v>
      </c>
      <c r="D720" s="234">
        <v>9.5000000000000005E-6</v>
      </c>
      <c r="E720" s="231">
        <v>56414</v>
      </c>
      <c r="F720" s="231" t="s">
        <v>1924</v>
      </c>
      <c r="G720" s="392">
        <v>2431</v>
      </c>
      <c r="H720" s="392">
        <v>18646</v>
      </c>
      <c r="I720" s="392">
        <v>5629</v>
      </c>
      <c r="J720" s="231">
        <v>3513</v>
      </c>
      <c r="K720" s="231">
        <v>30219</v>
      </c>
      <c r="L720" s="231"/>
      <c r="M720" s="300">
        <v>238</v>
      </c>
      <c r="N720" s="300">
        <v>0</v>
      </c>
      <c r="O720" s="300">
        <v>0</v>
      </c>
      <c r="P720" s="231">
        <v>0</v>
      </c>
      <c r="Q720" s="231">
        <v>238</v>
      </c>
      <c r="R720" s="231"/>
      <c r="S720" s="392">
        <v>15974</v>
      </c>
      <c r="T720" s="231">
        <v>3143</v>
      </c>
      <c r="U720" s="396">
        <v>19117</v>
      </c>
      <c r="V720" s="231"/>
      <c r="W720" s="396">
        <v>101821</v>
      </c>
      <c r="X720" s="396">
        <v>18997</v>
      </c>
      <c r="Y720" s="396"/>
      <c r="Z720" s="396"/>
    </row>
    <row r="721" spans="1:26">
      <c r="A721" s="424">
        <v>97901</v>
      </c>
      <c r="B721" s="423" t="s">
        <v>1427</v>
      </c>
      <c r="C721" s="234">
        <v>3.6172000000000001E-3</v>
      </c>
      <c r="D721" s="234">
        <v>3.7361E-3</v>
      </c>
      <c r="E721" s="231">
        <v>20406173</v>
      </c>
      <c r="F721" s="231" t="s">
        <v>1924</v>
      </c>
      <c r="G721" s="392">
        <v>879283</v>
      </c>
      <c r="H721" s="392">
        <v>6744454</v>
      </c>
      <c r="I721" s="392">
        <v>2036078</v>
      </c>
      <c r="J721" s="231">
        <v>0</v>
      </c>
      <c r="K721" s="231">
        <v>9659815</v>
      </c>
      <c r="L721" s="231"/>
      <c r="M721" s="300">
        <v>86209</v>
      </c>
      <c r="N721" s="300">
        <v>0</v>
      </c>
      <c r="O721" s="300">
        <v>0</v>
      </c>
      <c r="P721" s="231">
        <v>380846</v>
      </c>
      <c r="Q721" s="231">
        <v>467055</v>
      </c>
      <c r="R721" s="231"/>
      <c r="S721" s="392">
        <v>5778119</v>
      </c>
      <c r="T721" s="231">
        <v>-225617</v>
      </c>
      <c r="U721" s="396">
        <v>5552502</v>
      </c>
      <c r="V721" s="231"/>
      <c r="W721" s="396">
        <v>36830515</v>
      </c>
      <c r="X721" s="396">
        <v>6871562</v>
      </c>
      <c r="Y721" s="396"/>
      <c r="Z721" s="396"/>
    </row>
    <row r="722" spans="1:26">
      <c r="A722" s="424">
        <v>97911</v>
      </c>
      <c r="B722" s="423" t="s">
        <v>1428</v>
      </c>
      <c r="C722" s="234">
        <v>1.1452000000000001E-3</v>
      </c>
      <c r="D722" s="234">
        <v>1.1257999999999999E-3</v>
      </c>
      <c r="E722" s="231">
        <v>6460563</v>
      </c>
      <c r="F722" s="231" t="s">
        <v>1924</v>
      </c>
      <c r="G722" s="392">
        <v>278380</v>
      </c>
      <c r="H722" s="392">
        <v>2135284</v>
      </c>
      <c r="I722" s="392">
        <v>644619</v>
      </c>
      <c r="J722" s="231">
        <v>98931</v>
      </c>
      <c r="K722" s="231">
        <v>3157214</v>
      </c>
      <c r="L722" s="231"/>
      <c r="M722" s="300">
        <v>27294</v>
      </c>
      <c r="N722" s="300">
        <v>0</v>
      </c>
      <c r="O722" s="300">
        <v>0</v>
      </c>
      <c r="P722" s="231">
        <v>64436</v>
      </c>
      <c r="Q722" s="231">
        <v>91730</v>
      </c>
      <c r="R722" s="231"/>
      <c r="S722" s="392">
        <v>1829344</v>
      </c>
      <c r="T722" s="231">
        <v>7252</v>
      </c>
      <c r="U722" s="396">
        <v>1836596</v>
      </c>
      <c r="V722" s="231"/>
      <c r="W722" s="396">
        <v>11660485</v>
      </c>
      <c r="X722" s="396">
        <v>2175526</v>
      </c>
      <c r="Y722" s="396"/>
      <c r="Z722" s="396"/>
    </row>
    <row r="723" spans="1:26">
      <c r="A723" s="424">
        <v>97913</v>
      </c>
      <c r="B723" s="423" t="s">
        <v>1429</v>
      </c>
      <c r="C723" s="234">
        <v>3.3000000000000003E-5</v>
      </c>
      <c r="D723" s="234">
        <v>3.4400000000000003E-5</v>
      </c>
      <c r="E723" s="231">
        <v>186167</v>
      </c>
      <c r="F723" s="231" t="s">
        <v>1924</v>
      </c>
      <c r="G723" s="392">
        <v>8022</v>
      </c>
      <c r="H723" s="392">
        <v>61530</v>
      </c>
      <c r="I723" s="392">
        <v>18575</v>
      </c>
      <c r="J723" s="231">
        <v>33623</v>
      </c>
      <c r="K723" s="231">
        <v>121750</v>
      </c>
      <c r="L723" s="231"/>
      <c r="M723" s="300">
        <v>786</v>
      </c>
      <c r="N723" s="300">
        <v>0</v>
      </c>
      <c r="O723" s="300">
        <v>0</v>
      </c>
      <c r="P723" s="231">
        <v>0</v>
      </c>
      <c r="Q723" s="231">
        <v>786</v>
      </c>
      <c r="R723" s="231"/>
      <c r="S723" s="392">
        <v>52714</v>
      </c>
      <c r="T723" s="231">
        <v>17638</v>
      </c>
      <c r="U723" s="396">
        <v>70352</v>
      </c>
      <c r="V723" s="231"/>
      <c r="W723" s="396">
        <v>336008</v>
      </c>
      <c r="X723" s="396">
        <v>62690</v>
      </c>
      <c r="Y723" s="396"/>
      <c r="Z723" s="396"/>
    </row>
    <row r="724" spans="1:26">
      <c r="A724" s="424">
        <v>97917</v>
      </c>
      <c r="B724" s="423" t="s">
        <v>1430</v>
      </c>
      <c r="C724" s="234">
        <v>2.5400000000000001E-5</v>
      </c>
      <c r="D724" s="234">
        <v>2.2500000000000001E-5</v>
      </c>
      <c r="E724" s="231">
        <v>143292</v>
      </c>
      <c r="F724" s="231" t="s">
        <v>1924</v>
      </c>
      <c r="G724" s="392">
        <v>6174</v>
      </c>
      <c r="H724" s="392">
        <v>47360</v>
      </c>
      <c r="I724" s="392">
        <v>14297</v>
      </c>
      <c r="J724" s="231">
        <v>23356</v>
      </c>
      <c r="K724" s="231">
        <v>91187</v>
      </c>
      <c r="L724" s="231"/>
      <c r="M724" s="300">
        <v>605</v>
      </c>
      <c r="N724" s="300">
        <v>0</v>
      </c>
      <c r="O724" s="300">
        <v>0</v>
      </c>
      <c r="P724" s="231">
        <v>0</v>
      </c>
      <c r="Q724" s="231">
        <v>605</v>
      </c>
      <c r="R724" s="231"/>
      <c r="S724" s="392">
        <v>40574</v>
      </c>
      <c r="T724" s="231">
        <v>11369</v>
      </c>
      <c r="U724" s="396">
        <v>51943</v>
      </c>
      <c r="V724" s="231"/>
      <c r="W724" s="396">
        <v>258624</v>
      </c>
      <c r="X724" s="396">
        <v>48252</v>
      </c>
      <c r="Y724" s="396"/>
      <c r="Z724" s="396"/>
    </row>
    <row r="725" spans="1:26">
      <c r="A725" s="424">
        <v>97921</v>
      </c>
      <c r="B725" s="423" t="s">
        <v>1431</v>
      </c>
      <c r="C725" s="234">
        <v>2.1210000000000001E-4</v>
      </c>
      <c r="D725" s="234">
        <v>2.14E-4</v>
      </c>
      <c r="E725" s="231">
        <v>1196547</v>
      </c>
      <c r="F725" s="231" t="s">
        <v>1924</v>
      </c>
      <c r="G725" s="392">
        <v>51558</v>
      </c>
      <c r="H725" s="392">
        <v>395471</v>
      </c>
      <c r="I725" s="392">
        <v>119389</v>
      </c>
      <c r="J725" s="231">
        <v>3125</v>
      </c>
      <c r="K725" s="231">
        <v>569543</v>
      </c>
      <c r="L725" s="231"/>
      <c r="M725" s="300">
        <v>5055</v>
      </c>
      <c r="N725" s="300">
        <v>0</v>
      </c>
      <c r="O725" s="300">
        <v>0</v>
      </c>
      <c r="P725" s="231">
        <v>3468</v>
      </c>
      <c r="Q725" s="231">
        <v>8523</v>
      </c>
      <c r="R725" s="231"/>
      <c r="S725" s="392">
        <v>338809</v>
      </c>
      <c r="T725" s="231">
        <v>1672</v>
      </c>
      <c r="U725" s="396">
        <v>340481</v>
      </c>
      <c r="V725" s="231"/>
      <c r="W725" s="396">
        <v>2159613</v>
      </c>
      <c r="X725" s="396">
        <v>402924</v>
      </c>
      <c r="Y725" s="396"/>
      <c r="Z725" s="396"/>
    </row>
    <row r="726" spans="1:26">
      <c r="A726" s="424">
        <v>97931</v>
      </c>
      <c r="B726" s="423" t="s">
        <v>1432</v>
      </c>
      <c r="C726" s="234">
        <v>5.8199999999999998E-5</v>
      </c>
      <c r="D726" s="234">
        <v>6.9499999999999995E-5</v>
      </c>
      <c r="E726" s="231">
        <v>328331</v>
      </c>
      <c r="F726" s="231" t="s">
        <v>1924</v>
      </c>
      <c r="G726" s="392">
        <v>14147</v>
      </c>
      <c r="H726" s="392">
        <v>108517</v>
      </c>
      <c r="I726" s="392">
        <v>32760</v>
      </c>
      <c r="J726" s="231">
        <v>4186</v>
      </c>
      <c r="K726" s="231">
        <v>159610</v>
      </c>
      <c r="L726" s="231"/>
      <c r="M726" s="300">
        <v>1387</v>
      </c>
      <c r="N726" s="300">
        <v>0</v>
      </c>
      <c r="O726" s="300">
        <v>0</v>
      </c>
      <c r="P726" s="231">
        <v>32832</v>
      </c>
      <c r="Q726" s="231">
        <v>34219</v>
      </c>
      <c r="R726" s="231"/>
      <c r="S726" s="392">
        <v>92969</v>
      </c>
      <c r="T726" s="231">
        <v>-8790</v>
      </c>
      <c r="U726" s="396">
        <v>84179</v>
      </c>
      <c r="V726" s="231"/>
      <c r="W726" s="396">
        <v>592595</v>
      </c>
      <c r="X726" s="396">
        <v>110562</v>
      </c>
      <c r="Y726" s="396"/>
      <c r="Z726" s="396"/>
    </row>
    <row r="727" spans="1:26">
      <c r="A727" s="425">
        <v>97941</v>
      </c>
      <c r="B727" s="426" t="s">
        <v>1433</v>
      </c>
      <c r="C727" s="234">
        <v>2.1450000000000001E-4</v>
      </c>
      <c r="D727" s="234">
        <v>2.106E-4</v>
      </c>
      <c r="E727" s="231">
        <v>1210086</v>
      </c>
      <c r="F727" s="231" t="s">
        <v>1924</v>
      </c>
      <c r="G727" s="392">
        <v>52142</v>
      </c>
      <c r="H727" s="392">
        <v>399946</v>
      </c>
      <c r="I727" s="392">
        <v>120739</v>
      </c>
      <c r="J727" s="231">
        <v>14396</v>
      </c>
      <c r="K727" s="231">
        <v>587223</v>
      </c>
      <c r="L727" s="231"/>
      <c r="M727" s="300">
        <v>5112</v>
      </c>
      <c r="N727" s="300">
        <v>0</v>
      </c>
      <c r="O727" s="300">
        <v>0</v>
      </c>
      <c r="P727" s="231">
        <v>15456</v>
      </c>
      <c r="Q727" s="231">
        <v>20568</v>
      </c>
      <c r="R727" s="231"/>
      <c r="S727" s="392">
        <v>342643</v>
      </c>
      <c r="T727" s="231">
        <v>5529</v>
      </c>
      <c r="U727" s="396">
        <v>348172</v>
      </c>
      <c r="V727" s="231"/>
      <c r="W727" s="396">
        <v>2184050</v>
      </c>
      <c r="X727" s="396">
        <v>407484</v>
      </c>
      <c r="Y727" s="396"/>
      <c r="Z727" s="396"/>
    </row>
    <row r="728" spans="1:26">
      <c r="A728" s="424">
        <v>97947</v>
      </c>
      <c r="B728" s="423" t="s">
        <v>1434</v>
      </c>
      <c r="C728" s="234">
        <v>1.7900000000000001E-5</v>
      </c>
      <c r="D728" s="234">
        <v>1.63E-5</v>
      </c>
      <c r="E728" s="231">
        <v>100982</v>
      </c>
      <c r="F728" s="231" t="s">
        <v>1924</v>
      </c>
      <c r="G728" s="392">
        <v>4351</v>
      </c>
      <c r="H728" s="392">
        <v>33375</v>
      </c>
      <c r="I728" s="392">
        <v>10076</v>
      </c>
      <c r="J728" s="231">
        <v>16648</v>
      </c>
      <c r="K728" s="231">
        <v>64450</v>
      </c>
      <c r="L728" s="231"/>
      <c r="M728" s="300">
        <v>427</v>
      </c>
      <c r="N728" s="300">
        <v>0</v>
      </c>
      <c r="O728" s="300">
        <v>0</v>
      </c>
      <c r="P728" s="231">
        <v>0</v>
      </c>
      <c r="Q728" s="231">
        <v>427</v>
      </c>
      <c r="R728" s="231"/>
      <c r="S728" s="392">
        <v>28593</v>
      </c>
      <c r="T728" s="231">
        <v>8992</v>
      </c>
      <c r="U728" s="396">
        <v>37585</v>
      </c>
      <c r="V728" s="231"/>
      <c r="W728" s="396">
        <v>182259</v>
      </c>
      <c r="X728" s="396">
        <v>34004</v>
      </c>
      <c r="Y728" s="396"/>
      <c r="Z728" s="396"/>
    </row>
    <row r="729" spans="1:26">
      <c r="A729" s="424">
        <v>97948</v>
      </c>
      <c r="B729" s="423" t="s">
        <v>1435</v>
      </c>
      <c r="C729" s="234">
        <v>2.0400000000000001E-5</v>
      </c>
      <c r="D729" s="234">
        <v>2.6400000000000001E-5</v>
      </c>
      <c r="E729" s="231">
        <v>115085</v>
      </c>
      <c r="F729" s="231" t="s">
        <v>1924</v>
      </c>
      <c r="G729" s="392">
        <v>4959</v>
      </c>
      <c r="H729" s="392">
        <v>38037</v>
      </c>
      <c r="I729" s="392">
        <v>11483</v>
      </c>
      <c r="J729" s="231">
        <v>983</v>
      </c>
      <c r="K729" s="231">
        <v>55462</v>
      </c>
      <c r="L729" s="231"/>
      <c r="M729" s="300">
        <v>486</v>
      </c>
      <c r="N729" s="300">
        <v>0</v>
      </c>
      <c r="O729" s="300">
        <v>0</v>
      </c>
      <c r="P729" s="231">
        <v>9257</v>
      </c>
      <c r="Q729" s="231">
        <v>9743</v>
      </c>
      <c r="R729" s="231"/>
      <c r="S729" s="392">
        <v>32587</v>
      </c>
      <c r="T729" s="231">
        <v>-2315</v>
      </c>
      <c r="U729" s="396">
        <v>30272</v>
      </c>
      <c r="V729" s="231"/>
      <c r="W729" s="396">
        <v>207714</v>
      </c>
      <c r="X729" s="396">
        <v>38754</v>
      </c>
      <c r="Y729" s="396"/>
      <c r="Z729" s="396"/>
    </row>
    <row r="730" spans="1:26">
      <c r="A730" s="424">
        <v>97951</v>
      </c>
      <c r="B730" s="423" t="s">
        <v>1436</v>
      </c>
      <c r="C730" s="234">
        <v>1.1325E-3</v>
      </c>
      <c r="D730" s="234">
        <v>1.1387999999999999E-3</v>
      </c>
      <c r="E730" s="231">
        <v>6388917</v>
      </c>
      <c r="F730" s="231" t="s">
        <v>1924</v>
      </c>
      <c r="G730" s="392">
        <v>275293</v>
      </c>
      <c r="H730" s="392">
        <v>2111604</v>
      </c>
      <c r="I730" s="392">
        <v>637471</v>
      </c>
      <c r="J730" s="231">
        <v>68646</v>
      </c>
      <c r="K730" s="231">
        <v>3093014</v>
      </c>
      <c r="L730" s="231"/>
      <c r="M730" s="300">
        <v>26991</v>
      </c>
      <c r="N730" s="300">
        <v>0</v>
      </c>
      <c r="O730" s="300">
        <v>0</v>
      </c>
      <c r="P730" s="231">
        <v>0</v>
      </c>
      <c r="Q730" s="231">
        <v>26991</v>
      </c>
      <c r="R730" s="231"/>
      <c r="S730" s="392">
        <v>1809057</v>
      </c>
      <c r="T730" s="231">
        <v>33387</v>
      </c>
      <c r="U730" s="396">
        <v>1842444</v>
      </c>
      <c r="V730" s="231"/>
      <c r="W730" s="396">
        <v>11531173</v>
      </c>
      <c r="X730" s="396">
        <v>2151400</v>
      </c>
      <c r="Y730" s="396"/>
      <c r="Z730" s="396"/>
    </row>
    <row r="731" spans="1:26">
      <c r="A731" s="424">
        <v>97957</v>
      </c>
      <c r="B731" s="423" t="s">
        <v>1437</v>
      </c>
      <c r="C731" s="234">
        <v>1.2999999999999999E-5</v>
      </c>
      <c r="D731" s="234">
        <v>1.1800000000000001E-5</v>
      </c>
      <c r="E731" s="231">
        <v>73339</v>
      </c>
      <c r="F731" s="231" t="s">
        <v>1924</v>
      </c>
      <c r="G731" s="392">
        <v>3160</v>
      </c>
      <c r="H731" s="392">
        <v>24239</v>
      </c>
      <c r="I731" s="392">
        <v>7318</v>
      </c>
      <c r="J731" s="231">
        <v>16140</v>
      </c>
      <c r="K731" s="231">
        <v>50857</v>
      </c>
      <c r="L731" s="231"/>
      <c r="M731" s="300">
        <v>310</v>
      </c>
      <c r="N731" s="300">
        <v>0</v>
      </c>
      <c r="O731" s="300">
        <v>0</v>
      </c>
      <c r="P731" s="231">
        <v>0</v>
      </c>
      <c r="Q731" s="231">
        <v>310</v>
      </c>
      <c r="R731" s="231"/>
      <c r="S731" s="392">
        <v>20766</v>
      </c>
      <c r="T731" s="231">
        <v>7906</v>
      </c>
      <c r="U731" s="396">
        <v>28672</v>
      </c>
      <c r="V731" s="231"/>
      <c r="W731" s="396">
        <v>132367</v>
      </c>
      <c r="X731" s="396">
        <v>24696</v>
      </c>
      <c r="Y731" s="396"/>
      <c r="Z731" s="396"/>
    </row>
    <row r="732" spans="1:26">
      <c r="A732" s="424">
        <v>98001</v>
      </c>
      <c r="B732" s="423" t="s">
        <v>1438</v>
      </c>
      <c r="C732" s="234">
        <v>5.4911999999999999E-3</v>
      </c>
      <c r="D732" s="234">
        <v>5.5972000000000001E-3</v>
      </c>
      <c r="E732" s="231">
        <v>30978209</v>
      </c>
      <c r="F732" s="231" t="s">
        <v>1924</v>
      </c>
      <c r="G732" s="392">
        <v>1334823</v>
      </c>
      <c r="H732" s="392">
        <v>10238622</v>
      </c>
      <c r="I732" s="392">
        <v>3090931</v>
      </c>
      <c r="J732" s="231">
        <v>241709</v>
      </c>
      <c r="K732" s="231">
        <v>14906085</v>
      </c>
      <c r="L732" s="231"/>
      <c r="M732" s="300">
        <v>130872</v>
      </c>
      <c r="N732" s="300">
        <v>0</v>
      </c>
      <c r="O732" s="300">
        <v>0</v>
      </c>
      <c r="P732" s="231">
        <v>115892</v>
      </c>
      <c r="Q732" s="231">
        <v>246764</v>
      </c>
      <c r="R732" s="231"/>
      <c r="S732" s="392">
        <v>8771648</v>
      </c>
      <c r="T732" s="231">
        <v>140094</v>
      </c>
      <c r="U732" s="396">
        <v>8911742</v>
      </c>
      <c r="V732" s="231"/>
      <c r="W732" s="396">
        <v>55911678</v>
      </c>
      <c r="X732" s="396">
        <v>10431583</v>
      </c>
      <c r="Y732" s="396"/>
      <c r="Z732" s="396"/>
    </row>
    <row r="733" spans="1:26">
      <c r="A733" s="424">
        <v>98002</v>
      </c>
      <c r="B733" s="423" t="s">
        <v>1439</v>
      </c>
      <c r="C733" s="234">
        <v>9.7999999999999993E-6</v>
      </c>
      <c r="D733" s="234">
        <v>5.5999999999999997E-6</v>
      </c>
      <c r="E733" s="231">
        <v>55286</v>
      </c>
      <c r="F733" s="231" t="s">
        <v>1924</v>
      </c>
      <c r="G733" s="392">
        <v>2382</v>
      </c>
      <c r="H733" s="392">
        <v>18273</v>
      </c>
      <c r="I733" s="392">
        <v>5516</v>
      </c>
      <c r="J733" s="231">
        <v>5092</v>
      </c>
      <c r="K733" s="231">
        <v>31263</v>
      </c>
      <c r="L733" s="231"/>
      <c r="M733" s="300">
        <v>234</v>
      </c>
      <c r="N733" s="300">
        <v>0</v>
      </c>
      <c r="O733" s="300">
        <v>0</v>
      </c>
      <c r="P733" s="231">
        <v>326</v>
      </c>
      <c r="Q733" s="231">
        <v>560</v>
      </c>
      <c r="R733" s="231"/>
      <c r="S733" s="392">
        <v>15655</v>
      </c>
      <c r="T733" s="231">
        <v>2160</v>
      </c>
      <c r="U733" s="396">
        <v>17815</v>
      </c>
      <c r="V733" s="231"/>
      <c r="W733" s="396">
        <v>99784</v>
      </c>
      <c r="X733" s="396">
        <v>18617</v>
      </c>
      <c r="Y733" s="396"/>
      <c r="Z733" s="396"/>
    </row>
    <row r="734" spans="1:26">
      <c r="A734" s="424">
        <v>98003</v>
      </c>
      <c r="B734" s="423" t="s">
        <v>1440</v>
      </c>
      <c r="C734" s="234">
        <v>8.8800000000000004E-5</v>
      </c>
      <c r="D734" s="234">
        <v>8.2000000000000001E-5</v>
      </c>
      <c r="E734" s="231">
        <v>500959</v>
      </c>
      <c r="F734" s="231" t="s">
        <v>1924</v>
      </c>
      <c r="G734" s="392">
        <v>21586</v>
      </c>
      <c r="H734" s="392">
        <v>165572</v>
      </c>
      <c r="I734" s="392">
        <v>49984</v>
      </c>
      <c r="J734" s="231">
        <v>53229</v>
      </c>
      <c r="K734" s="231">
        <v>290371</v>
      </c>
      <c r="L734" s="231"/>
      <c r="M734" s="300">
        <v>2116</v>
      </c>
      <c r="N734" s="300">
        <v>0</v>
      </c>
      <c r="O734" s="300">
        <v>0</v>
      </c>
      <c r="P734" s="231">
        <v>0</v>
      </c>
      <c r="Q734" s="231">
        <v>2116</v>
      </c>
      <c r="R734" s="231"/>
      <c r="S734" s="392">
        <v>141849</v>
      </c>
      <c r="T734" s="231">
        <v>35385</v>
      </c>
      <c r="U734" s="396">
        <v>177234</v>
      </c>
      <c r="V734" s="231"/>
      <c r="W734" s="396">
        <v>904166</v>
      </c>
      <c r="X734" s="396">
        <v>168693</v>
      </c>
      <c r="Y734" s="396"/>
      <c r="Z734" s="396"/>
    </row>
    <row r="735" spans="1:26">
      <c r="A735" s="424">
        <v>98004</v>
      </c>
      <c r="B735" s="423" t="s">
        <v>1441</v>
      </c>
      <c r="C735" s="234">
        <v>2.0489999999999999E-4</v>
      </c>
      <c r="D735" s="234">
        <v>1.74E-4</v>
      </c>
      <c r="E735" s="231">
        <v>1155929</v>
      </c>
      <c r="F735" s="231" t="s">
        <v>1924</v>
      </c>
      <c r="G735" s="392">
        <v>49808</v>
      </c>
      <c r="H735" s="392">
        <v>382046</v>
      </c>
      <c r="I735" s="392">
        <v>115336</v>
      </c>
      <c r="J735" s="231">
        <v>166364</v>
      </c>
      <c r="K735" s="231">
        <v>713554</v>
      </c>
      <c r="L735" s="231"/>
      <c r="M735" s="300">
        <v>4883</v>
      </c>
      <c r="N735" s="300">
        <v>0</v>
      </c>
      <c r="O735" s="300">
        <v>0</v>
      </c>
      <c r="P735" s="231">
        <v>0</v>
      </c>
      <c r="Q735" s="231">
        <v>4883</v>
      </c>
      <c r="R735" s="231"/>
      <c r="S735" s="392">
        <v>327307</v>
      </c>
      <c r="T735" s="231">
        <v>87221</v>
      </c>
      <c r="U735" s="396">
        <v>414528</v>
      </c>
      <c r="V735" s="231"/>
      <c r="W735" s="396">
        <v>2086302</v>
      </c>
      <c r="X735" s="396">
        <v>389247</v>
      </c>
      <c r="Y735" s="396"/>
      <c r="Z735" s="396"/>
    </row>
    <row r="736" spans="1:26">
      <c r="A736" s="424">
        <v>98008</v>
      </c>
      <c r="B736" s="423" t="s">
        <v>1442</v>
      </c>
      <c r="C736" s="234">
        <v>6.8000000000000001E-6</v>
      </c>
      <c r="D736" s="234">
        <v>6.9E-6</v>
      </c>
      <c r="E736" s="231">
        <v>38362</v>
      </c>
      <c r="F736" s="231" t="s">
        <v>1924</v>
      </c>
      <c r="G736" s="392">
        <v>1653</v>
      </c>
      <c r="H736" s="392">
        <v>12679</v>
      </c>
      <c r="I736" s="392">
        <v>3828</v>
      </c>
      <c r="J736" s="231">
        <v>720</v>
      </c>
      <c r="K736" s="231">
        <v>18880</v>
      </c>
      <c r="L736" s="231"/>
      <c r="M736" s="300">
        <v>162</v>
      </c>
      <c r="N736" s="300">
        <v>0</v>
      </c>
      <c r="O736" s="300">
        <v>0</v>
      </c>
      <c r="P736" s="231">
        <v>276</v>
      </c>
      <c r="Q736" s="231">
        <v>438</v>
      </c>
      <c r="R736" s="231"/>
      <c r="S736" s="392">
        <v>10862</v>
      </c>
      <c r="T736" s="231">
        <v>-64</v>
      </c>
      <c r="U736" s="396">
        <v>10798</v>
      </c>
      <c r="V736" s="231"/>
      <c r="W736" s="396">
        <v>69238</v>
      </c>
      <c r="X736" s="396">
        <v>12918</v>
      </c>
      <c r="Y736" s="396"/>
      <c r="Z736" s="396"/>
    </row>
    <row r="737" spans="1:26">
      <c r="A737" s="424">
        <v>98011</v>
      </c>
      <c r="B737" s="423" t="s">
        <v>1443</v>
      </c>
      <c r="C737" s="234">
        <v>3.2158E-3</v>
      </c>
      <c r="D737" s="234">
        <v>3.2637999999999999E-3</v>
      </c>
      <c r="E737" s="231">
        <v>18141704</v>
      </c>
      <c r="F737" s="231" t="s">
        <v>1924</v>
      </c>
      <c r="G737" s="392">
        <v>781710</v>
      </c>
      <c r="H737" s="392">
        <v>5996023</v>
      </c>
      <c r="I737" s="392">
        <v>1810135</v>
      </c>
      <c r="J737" s="231">
        <v>8642</v>
      </c>
      <c r="K737" s="231">
        <v>8596510</v>
      </c>
      <c r="L737" s="231"/>
      <c r="M737" s="300">
        <v>76642</v>
      </c>
      <c r="N737" s="300">
        <v>0</v>
      </c>
      <c r="O737" s="300">
        <v>0</v>
      </c>
      <c r="P737" s="231">
        <v>475547</v>
      </c>
      <c r="Q737" s="231">
        <v>552189</v>
      </c>
      <c r="R737" s="231"/>
      <c r="S737" s="392">
        <v>5136922</v>
      </c>
      <c r="T737" s="231">
        <v>-209636</v>
      </c>
      <c r="U737" s="396">
        <v>4927286</v>
      </c>
      <c r="V737" s="231"/>
      <c r="W737" s="396">
        <v>32743440</v>
      </c>
      <c r="X737" s="396">
        <v>6109026</v>
      </c>
      <c r="Y737" s="396"/>
      <c r="Z737" s="396"/>
    </row>
    <row r="738" spans="1:26">
      <c r="A738" s="424">
        <v>98013</v>
      </c>
      <c r="B738" s="423" t="s">
        <v>1444</v>
      </c>
      <c r="C738" s="234">
        <v>1.2640000000000001E-4</v>
      </c>
      <c r="D738" s="234">
        <v>1.3109999999999999E-4</v>
      </c>
      <c r="E738" s="231">
        <v>713076</v>
      </c>
      <c r="F738" s="231" t="s">
        <v>1924</v>
      </c>
      <c r="G738" s="392">
        <v>30726</v>
      </c>
      <c r="H738" s="392">
        <v>235679</v>
      </c>
      <c r="I738" s="392">
        <v>71149</v>
      </c>
      <c r="J738" s="231">
        <v>18915</v>
      </c>
      <c r="K738" s="231">
        <v>356469</v>
      </c>
      <c r="L738" s="231"/>
      <c r="M738" s="300">
        <v>3012</v>
      </c>
      <c r="N738" s="300">
        <v>0</v>
      </c>
      <c r="O738" s="300">
        <v>0</v>
      </c>
      <c r="P738" s="231">
        <v>16757</v>
      </c>
      <c r="Q738" s="231">
        <v>19769</v>
      </c>
      <c r="R738" s="231"/>
      <c r="S738" s="392">
        <v>201911</v>
      </c>
      <c r="T738" s="231">
        <v>24967</v>
      </c>
      <c r="U738" s="396">
        <v>226878</v>
      </c>
      <c r="V738" s="231"/>
      <c r="W738" s="396">
        <v>1287011</v>
      </c>
      <c r="X738" s="396">
        <v>240121</v>
      </c>
      <c r="Y738" s="396"/>
      <c r="Z738" s="396"/>
    </row>
    <row r="739" spans="1:26">
      <c r="A739" s="424">
        <v>98021</v>
      </c>
      <c r="B739" s="423" t="s">
        <v>1445</v>
      </c>
      <c r="C739" s="234">
        <v>5.6499999999999998E-5</v>
      </c>
      <c r="D739" s="234">
        <v>3.8399999999999998E-5</v>
      </c>
      <c r="E739" s="231">
        <v>318741</v>
      </c>
      <c r="F739" s="231" t="s">
        <v>1924</v>
      </c>
      <c r="G739" s="392">
        <v>13734</v>
      </c>
      <c r="H739" s="392">
        <v>105347</v>
      </c>
      <c r="I739" s="392">
        <v>31803</v>
      </c>
      <c r="J739" s="231">
        <v>39220</v>
      </c>
      <c r="K739" s="231">
        <v>190104</v>
      </c>
      <c r="L739" s="231"/>
      <c r="M739" s="300">
        <v>1347</v>
      </c>
      <c r="N739" s="300">
        <v>0</v>
      </c>
      <c r="O739" s="300">
        <v>0</v>
      </c>
      <c r="P739" s="231">
        <v>0</v>
      </c>
      <c r="Q739" s="231">
        <v>1347</v>
      </c>
      <c r="R739" s="231"/>
      <c r="S739" s="392">
        <v>90253</v>
      </c>
      <c r="T739" s="231">
        <v>9562</v>
      </c>
      <c r="U739" s="396">
        <v>99815</v>
      </c>
      <c r="V739" s="231"/>
      <c r="W739" s="396">
        <v>575286</v>
      </c>
      <c r="X739" s="396">
        <v>107333</v>
      </c>
      <c r="Y739" s="396"/>
      <c r="Z739" s="396"/>
    </row>
    <row r="740" spans="1:26">
      <c r="A740" s="424">
        <v>98023</v>
      </c>
      <c r="B740" s="423" t="s">
        <v>1446</v>
      </c>
      <c r="C740" s="234">
        <v>6.6000000000000003E-6</v>
      </c>
      <c r="D740" s="234">
        <v>6.3999999999999997E-6</v>
      </c>
      <c r="E740" s="231">
        <v>37233</v>
      </c>
      <c r="F740" s="231" t="s">
        <v>1924</v>
      </c>
      <c r="G740" s="392">
        <v>1604</v>
      </c>
      <c r="H740" s="392">
        <v>12306</v>
      </c>
      <c r="I740" s="392">
        <v>3715</v>
      </c>
      <c r="J740" s="231">
        <v>825</v>
      </c>
      <c r="K740" s="231">
        <v>18450</v>
      </c>
      <c r="L740" s="231"/>
      <c r="M740" s="300">
        <v>157</v>
      </c>
      <c r="N740" s="300">
        <v>0</v>
      </c>
      <c r="O740" s="300">
        <v>0</v>
      </c>
      <c r="P740" s="231">
        <v>9479</v>
      </c>
      <c r="Q740" s="231">
        <v>9636</v>
      </c>
      <c r="R740" s="231"/>
      <c r="S740" s="392">
        <v>10543</v>
      </c>
      <c r="T740" s="231">
        <v>-4478</v>
      </c>
      <c r="U740" s="396">
        <v>6065</v>
      </c>
      <c r="V740" s="231"/>
      <c r="W740" s="396">
        <v>67202</v>
      </c>
      <c r="X740" s="396">
        <v>12538</v>
      </c>
      <c r="Y740" s="396"/>
      <c r="Z740" s="396"/>
    </row>
    <row r="741" spans="1:26">
      <c r="A741" s="424">
        <v>98031</v>
      </c>
      <c r="B741" s="423" t="s">
        <v>1447</v>
      </c>
      <c r="C741" s="234">
        <v>1.549E-4</v>
      </c>
      <c r="D741" s="234">
        <v>1.563E-4</v>
      </c>
      <c r="E741" s="231">
        <v>873857</v>
      </c>
      <c r="F741" s="231" t="s">
        <v>1924</v>
      </c>
      <c r="G741" s="392">
        <v>37654</v>
      </c>
      <c r="H741" s="392">
        <v>288819</v>
      </c>
      <c r="I741" s="392">
        <v>87191</v>
      </c>
      <c r="J741" s="231">
        <v>29010</v>
      </c>
      <c r="K741" s="231">
        <v>442674</v>
      </c>
      <c r="L741" s="231"/>
      <c r="M741" s="300">
        <v>3692</v>
      </c>
      <c r="N741" s="300">
        <v>0</v>
      </c>
      <c r="O741" s="300">
        <v>0</v>
      </c>
      <c r="P741" s="231">
        <v>21985</v>
      </c>
      <c r="Q741" s="231">
        <v>25677</v>
      </c>
      <c r="R741" s="231"/>
      <c r="S741" s="392">
        <v>247437</v>
      </c>
      <c r="T741" s="231">
        <v>-1151</v>
      </c>
      <c r="U741" s="396">
        <v>246286</v>
      </c>
      <c r="V741" s="231"/>
      <c r="W741" s="396">
        <v>1577200</v>
      </c>
      <c r="X741" s="396">
        <v>294262</v>
      </c>
      <c r="Y741" s="396"/>
      <c r="Z741" s="396"/>
    </row>
    <row r="742" spans="1:26">
      <c r="A742" s="424">
        <v>98041</v>
      </c>
      <c r="B742" s="423" t="s">
        <v>1448</v>
      </c>
      <c r="C742" s="234">
        <v>2.1680000000000001E-4</v>
      </c>
      <c r="D742" s="234">
        <v>2.4140000000000001E-4</v>
      </c>
      <c r="E742" s="231">
        <v>1223062</v>
      </c>
      <c r="F742" s="231" t="s">
        <v>1924</v>
      </c>
      <c r="G742" s="392">
        <v>52701</v>
      </c>
      <c r="H742" s="392">
        <v>404235</v>
      </c>
      <c r="I742" s="392">
        <v>122034</v>
      </c>
      <c r="J742" s="231">
        <v>20458</v>
      </c>
      <c r="K742" s="231">
        <v>599428</v>
      </c>
      <c r="L742" s="231"/>
      <c r="M742" s="300">
        <v>5167</v>
      </c>
      <c r="N742" s="300">
        <v>0</v>
      </c>
      <c r="O742" s="300">
        <v>0</v>
      </c>
      <c r="P742" s="231">
        <v>55873</v>
      </c>
      <c r="Q742" s="231">
        <v>61040</v>
      </c>
      <c r="R742" s="231"/>
      <c r="S742" s="392">
        <v>346317</v>
      </c>
      <c r="T742" s="231">
        <v>-12506</v>
      </c>
      <c r="U742" s="396">
        <v>333811</v>
      </c>
      <c r="V742" s="231"/>
      <c r="W742" s="396">
        <v>2207469</v>
      </c>
      <c r="X742" s="396">
        <v>411853</v>
      </c>
      <c r="Y742" s="396"/>
      <c r="Z742" s="396"/>
    </row>
    <row r="743" spans="1:26">
      <c r="A743" s="424">
        <v>98051</v>
      </c>
      <c r="B743" s="423" t="s">
        <v>1449</v>
      </c>
      <c r="C743" s="234">
        <v>3.3930000000000001E-4</v>
      </c>
      <c r="D743" s="234">
        <v>2.499E-4</v>
      </c>
      <c r="E743" s="231">
        <v>1914137</v>
      </c>
      <c r="F743" s="231" t="s">
        <v>1924</v>
      </c>
      <c r="G743" s="392">
        <v>82478</v>
      </c>
      <c r="H743" s="392">
        <v>632642</v>
      </c>
      <c r="I743" s="392">
        <v>190988</v>
      </c>
      <c r="J743" s="231">
        <v>143473</v>
      </c>
      <c r="K743" s="231">
        <v>1049581</v>
      </c>
      <c r="L743" s="231"/>
      <c r="M743" s="300">
        <v>8087</v>
      </c>
      <c r="N743" s="300">
        <v>0</v>
      </c>
      <c r="O743" s="300">
        <v>0</v>
      </c>
      <c r="P743" s="231">
        <v>24258</v>
      </c>
      <c r="Q743" s="231">
        <v>32345</v>
      </c>
      <c r="R743" s="231"/>
      <c r="S743" s="392">
        <v>541998</v>
      </c>
      <c r="T743" s="231">
        <v>29947</v>
      </c>
      <c r="U743" s="396">
        <v>571945</v>
      </c>
      <c r="V743" s="231"/>
      <c r="W743" s="396">
        <v>3454770</v>
      </c>
      <c r="X743" s="396">
        <v>644565</v>
      </c>
      <c r="Y743" s="396"/>
      <c r="Z743" s="396"/>
    </row>
    <row r="744" spans="1:26">
      <c r="A744" s="424">
        <v>98061</v>
      </c>
      <c r="B744" s="423" t="s">
        <v>1450</v>
      </c>
      <c r="C744" s="234">
        <v>1.325E-4</v>
      </c>
      <c r="D744" s="234">
        <v>1.2410000000000001E-4</v>
      </c>
      <c r="E744" s="231">
        <v>747489</v>
      </c>
      <c r="F744" s="231" t="s">
        <v>1924</v>
      </c>
      <c r="G744" s="392">
        <v>32209</v>
      </c>
      <c r="H744" s="392">
        <v>247053</v>
      </c>
      <c r="I744" s="392">
        <v>74583</v>
      </c>
      <c r="J744" s="231">
        <v>12752</v>
      </c>
      <c r="K744" s="231">
        <v>366597</v>
      </c>
      <c r="L744" s="231"/>
      <c r="M744" s="300">
        <v>3158</v>
      </c>
      <c r="N744" s="300">
        <v>0</v>
      </c>
      <c r="O744" s="300">
        <v>0</v>
      </c>
      <c r="P744" s="231">
        <v>11756</v>
      </c>
      <c r="Q744" s="231">
        <v>14914</v>
      </c>
      <c r="R744" s="231"/>
      <c r="S744" s="392">
        <v>211656</v>
      </c>
      <c r="T744" s="231">
        <v>-778</v>
      </c>
      <c r="U744" s="396">
        <v>210878</v>
      </c>
      <c r="V744" s="231"/>
      <c r="W744" s="396">
        <v>1349122</v>
      </c>
      <c r="X744" s="396">
        <v>251709</v>
      </c>
      <c r="Y744" s="396"/>
      <c r="Z744" s="396"/>
    </row>
    <row r="745" spans="1:26">
      <c r="A745" s="424">
        <v>98071</v>
      </c>
      <c r="B745" s="423" t="s">
        <v>1451</v>
      </c>
      <c r="C745" s="234">
        <v>6.58E-5</v>
      </c>
      <c r="D745" s="234">
        <v>6.6600000000000006E-5</v>
      </c>
      <c r="E745" s="231">
        <v>371206</v>
      </c>
      <c r="F745" s="231" t="s">
        <v>1924</v>
      </c>
      <c r="G745" s="392">
        <v>15995</v>
      </c>
      <c r="H745" s="392">
        <v>122687</v>
      </c>
      <c r="I745" s="392">
        <v>37038</v>
      </c>
      <c r="J745" s="231">
        <v>28476</v>
      </c>
      <c r="K745" s="231">
        <v>204196</v>
      </c>
      <c r="L745" s="231"/>
      <c r="M745" s="300">
        <v>1568</v>
      </c>
      <c r="N745" s="300">
        <v>0</v>
      </c>
      <c r="O745" s="300">
        <v>0</v>
      </c>
      <c r="P745" s="231">
        <v>0</v>
      </c>
      <c r="Q745" s="231">
        <v>1568</v>
      </c>
      <c r="R745" s="231"/>
      <c r="S745" s="392">
        <v>105109</v>
      </c>
      <c r="T745" s="231">
        <v>20873</v>
      </c>
      <c r="U745" s="396">
        <v>125982</v>
      </c>
      <c r="V745" s="231"/>
      <c r="W745" s="396">
        <v>669979</v>
      </c>
      <c r="X745" s="396">
        <v>125000</v>
      </c>
      <c r="Y745" s="396"/>
      <c r="Z745" s="396"/>
    </row>
    <row r="746" spans="1:26">
      <c r="A746" s="424">
        <v>98081</v>
      </c>
      <c r="B746" s="423" t="s">
        <v>1452</v>
      </c>
      <c r="C746" s="234">
        <v>1.33E-5</v>
      </c>
      <c r="D746" s="234">
        <v>1.42E-5</v>
      </c>
      <c r="E746" s="231">
        <v>75031</v>
      </c>
      <c r="F746" s="231" t="s">
        <v>1924</v>
      </c>
      <c r="G746" s="392">
        <v>3233</v>
      </c>
      <c r="H746" s="392">
        <v>24799</v>
      </c>
      <c r="I746" s="392">
        <v>7486</v>
      </c>
      <c r="J746" s="231">
        <v>148</v>
      </c>
      <c r="K746" s="231">
        <v>35666</v>
      </c>
      <c r="L746" s="231"/>
      <c r="M746" s="300">
        <v>317</v>
      </c>
      <c r="N746" s="300">
        <v>0</v>
      </c>
      <c r="O746" s="300">
        <v>0</v>
      </c>
      <c r="P746" s="231">
        <v>1487</v>
      </c>
      <c r="Q746" s="231">
        <v>1804</v>
      </c>
      <c r="R746" s="231"/>
      <c r="S746" s="392">
        <v>21245</v>
      </c>
      <c r="T746" s="231">
        <v>-1129</v>
      </c>
      <c r="U746" s="396">
        <v>20116</v>
      </c>
      <c r="V746" s="231"/>
      <c r="W746" s="396">
        <v>135421</v>
      </c>
      <c r="X746" s="396">
        <v>25266</v>
      </c>
      <c r="Y746" s="396"/>
      <c r="Z746" s="396"/>
    </row>
    <row r="747" spans="1:26">
      <c r="A747" s="424">
        <v>98091</v>
      </c>
      <c r="B747" s="423" t="s">
        <v>1453</v>
      </c>
      <c r="C747" s="234">
        <v>5.5999999999999999E-5</v>
      </c>
      <c r="D747" s="234">
        <v>4.8000000000000001E-5</v>
      </c>
      <c r="E747" s="231">
        <v>315920</v>
      </c>
      <c r="F747" s="231" t="s">
        <v>1924</v>
      </c>
      <c r="G747" s="392">
        <v>13613</v>
      </c>
      <c r="H747" s="392">
        <v>104415</v>
      </c>
      <c r="I747" s="392">
        <v>31522</v>
      </c>
      <c r="J747" s="231">
        <v>21283</v>
      </c>
      <c r="K747" s="231">
        <v>170833</v>
      </c>
      <c r="L747" s="231"/>
      <c r="M747" s="300">
        <v>1335</v>
      </c>
      <c r="N747" s="300">
        <v>0</v>
      </c>
      <c r="O747" s="300">
        <v>0</v>
      </c>
      <c r="P747" s="231">
        <v>7282</v>
      </c>
      <c r="Q747" s="231">
        <v>8617</v>
      </c>
      <c r="R747" s="231"/>
      <c r="S747" s="392">
        <v>89454</v>
      </c>
      <c r="T747" s="231">
        <v>2674</v>
      </c>
      <c r="U747" s="396">
        <v>92128</v>
      </c>
      <c r="V747" s="231"/>
      <c r="W747" s="396">
        <v>570195</v>
      </c>
      <c r="X747" s="396">
        <v>106383</v>
      </c>
      <c r="Y747" s="396"/>
      <c r="Z747" s="396"/>
    </row>
    <row r="748" spans="1:26">
      <c r="A748" s="424">
        <v>98101</v>
      </c>
      <c r="B748" s="423" t="s">
        <v>1454</v>
      </c>
      <c r="C748" s="234">
        <v>2.6955E-3</v>
      </c>
      <c r="D748" s="234">
        <v>2.7187000000000001E-3</v>
      </c>
      <c r="E748" s="231">
        <v>15206469</v>
      </c>
      <c r="F748" s="231" t="s">
        <v>1924</v>
      </c>
      <c r="G748" s="392">
        <v>655233</v>
      </c>
      <c r="H748" s="392">
        <v>5025897</v>
      </c>
      <c r="I748" s="392">
        <v>1517265</v>
      </c>
      <c r="J748" s="231">
        <v>43895</v>
      </c>
      <c r="K748" s="231">
        <v>7242290</v>
      </c>
      <c r="L748" s="231"/>
      <c r="M748" s="300">
        <v>64242</v>
      </c>
      <c r="N748" s="300">
        <v>0</v>
      </c>
      <c r="O748" s="300">
        <v>0</v>
      </c>
      <c r="P748" s="231">
        <v>221176</v>
      </c>
      <c r="Q748" s="231">
        <v>285418</v>
      </c>
      <c r="R748" s="231"/>
      <c r="S748" s="392">
        <v>4305794</v>
      </c>
      <c r="T748" s="231">
        <v>-89329</v>
      </c>
      <c r="U748" s="396">
        <v>4216465</v>
      </c>
      <c r="V748" s="231"/>
      <c r="W748" s="396">
        <v>27445718</v>
      </c>
      <c r="X748" s="396">
        <v>5120617</v>
      </c>
      <c r="Y748" s="396"/>
      <c r="Z748" s="396"/>
    </row>
    <row r="749" spans="1:26">
      <c r="A749" s="424">
        <v>98102</v>
      </c>
      <c r="B749" s="423" t="s">
        <v>1455</v>
      </c>
      <c r="C749" s="234">
        <v>1.7530000000000001E-4</v>
      </c>
      <c r="D749" s="234">
        <v>1.4760000000000001E-4</v>
      </c>
      <c r="E749" s="231">
        <v>988942</v>
      </c>
      <c r="F749" s="231" t="s">
        <v>1924</v>
      </c>
      <c r="G749" s="392">
        <v>42613</v>
      </c>
      <c r="H749" s="392">
        <v>326856</v>
      </c>
      <c r="I749" s="392">
        <v>98674</v>
      </c>
      <c r="J749" s="231">
        <v>55069</v>
      </c>
      <c r="K749" s="231">
        <v>523212</v>
      </c>
      <c r="L749" s="231"/>
      <c r="M749" s="300">
        <v>4178</v>
      </c>
      <c r="N749" s="300">
        <v>0</v>
      </c>
      <c r="O749" s="300">
        <v>0</v>
      </c>
      <c r="P749" s="231">
        <v>5126</v>
      </c>
      <c r="Q749" s="231">
        <v>9304</v>
      </c>
      <c r="R749" s="231"/>
      <c r="S749" s="392">
        <v>280024</v>
      </c>
      <c r="T749" s="231">
        <v>15588</v>
      </c>
      <c r="U749" s="396">
        <v>295612</v>
      </c>
      <c r="V749" s="231"/>
      <c r="W749" s="396">
        <v>1784914</v>
      </c>
      <c r="X749" s="396">
        <v>333016</v>
      </c>
      <c r="Y749" s="396"/>
      <c r="Z749" s="396"/>
    </row>
    <row r="750" spans="1:26">
      <c r="A750" s="424">
        <v>98103</v>
      </c>
      <c r="B750" s="423" t="s">
        <v>3725</v>
      </c>
      <c r="C750" s="234">
        <v>4.9739999999999995E-4</v>
      </c>
      <c r="D750" s="234">
        <v>4.9779999999999996E-4</v>
      </c>
      <c r="E750" s="231">
        <v>2806046</v>
      </c>
      <c r="F750" s="231" t="s">
        <v>1924</v>
      </c>
      <c r="G750" s="392">
        <v>120910</v>
      </c>
      <c r="H750" s="392">
        <v>927428</v>
      </c>
      <c r="I750" s="392">
        <v>279980</v>
      </c>
      <c r="J750" s="231">
        <v>6516</v>
      </c>
      <c r="K750" s="231">
        <v>1334834</v>
      </c>
      <c r="L750" s="231"/>
      <c r="M750" s="300">
        <v>11855</v>
      </c>
      <c r="N750" s="300">
        <v>0</v>
      </c>
      <c r="O750" s="300">
        <v>0</v>
      </c>
      <c r="P750" s="231">
        <v>27761</v>
      </c>
      <c r="Q750" s="231">
        <v>39616</v>
      </c>
      <c r="R750" s="231"/>
      <c r="S750" s="392">
        <v>794547</v>
      </c>
      <c r="T750" s="231">
        <v>-15597</v>
      </c>
      <c r="U750" s="396">
        <v>778950</v>
      </c>
      <c r="V750" s="231"/>
      <c r="W750" s="396">
        <v>5064552</v>
      </c>
      <c r="X750" s="396">
        <v>944906</v>
      </c>
      <c r="Y750" s="396"/>
      <c r="Z750" s="396"/>
    </row>
    <row r="751" spans="1:26">
      <c r="A751" s="424">
        <v>98107</v>
      </c>
      <c r="B751" s="423" t="s">
        <v>1457</v>
      </c>
      <c r="C751" s="234">
        <v>1.9599999999999999E-5</v>
      </c>
      <c r="D751" s="234">
        <v>2.4700000000000001E-5</v>
      </c>
      <c r="E751" s="231">
        <v>110572</v>
      </c>
      <c r="F751" s="231" t="s">
        <v>1924</v>
      </c>
      <c r="G751" s="392">
        <v>4764</v>
      </c>
      <c r="H751" s="392">
        <v>36545</v>
      </c>
      <c r="I751" s="392">
        <v>11033</v>
      </c>
      <c r="J751" s="231">
        <v>23920</v>
      </c>
      <c r="K751" s="231">
        <v>76262</v>
      </c>
      <c r="L751" s="231"/>
      <c r="M751" s="300">
        <v>467</v>
      </c>
      <c r="N751" s="300">
        <v>0</v>
      </c>
      <c r="O751" s="300">
        <v>0</v>
      </c>
      <c r="P751" s="231">
        <v>4604</v>
      </c>
      <c r="Q751" s="231">
        <v>5071</v>
      </c>
      <c r="R751" s="231"/>
      <c r="S751" s="392">
        <v>31309</v>
      </c>
      <c r="T751" s="231">
        <v>12481</v>
      </c>
      <c r="U751" s="396">
        <v>43790</v>
      </c>
      <c r="V751" s="231"/>
      <c r="W751" s="396">
        <v>199568</v>
      </c>
      <c r="X751" s="396">
        <v>37234</v>
      </c>
      <c r="Y751" s="396"/>
      <c r="Z751" s="396"/>
    </row>
    <row r="752" spans="1:26" s="355" customFormat="1">
      <c r="A752" s="424">
        <v>98109</v>
      </c>
      <c r="B752" s="423" t="s">
        <v>1458</v>
      </c>
      <c r="C752" s="234">
        <v>1.5799999999999999E-4</v>
      </c>
      <c r="D752" s="234">
        <v>1.6750000000000001E-4</v>
      </c>
      <c r="E752" s="231">
        <v>891346</v>
      </c>
      <c r="F752" s="231" t="s">
        <v>1924</v>
      </c>
      <c r="G752" s="392">
        <v>38407</v>
      </c>
      <c r="H752" s="392">
        <v>294599</v>
      </c>
      <c r="I752" s="392">
        <v>88936</v>
      </c>
      <c r="J752" s="231">
        <v>37050</v>
      </c>
      <c r="K752" s="231">
        <v>458992</v>
      </c>
      <c r="L752" s="231"/>
      <c r="M752" s="300">
        <v>3766</v>
      </c>
      <c r="N752" s="300">
        <v>0</v>
      </c>
      <c r="O752" s="300">
        <v>0</v>
      </c>
      <c r="P752" s="231">
        <v>18991</v>
      </c>
      <c r="Q752" s="231">
        <v>22757</v>
      </c>
      <c r="R752" s="231"/>
      <c r="S752" s="392">
        <v>252389</v>
      </c>
      <c r="T752" s="231">
        <v>14771</v>
      </c>
      <c r="U752" s="396">
        <v>267160</v>
      </c>
      <c r="V752" s="231"/>
      <c r="W752" s="396">
        <v>1608764</v>
      </c>
      <c r="X752" s="396">
        <v>300151</v>
      </c>
      <c r="Y752" s="396"/>
      <c r="Z752" s="396"/>
    </row>
    <row r="753" spans="1:26">
      <c r="A753" s="424">
        <v>98111</v>
      </c>
      <c r="B753" s="423" t="s">
        <v>1459</v>
      </c>
      <c r="C753" s="234">
        <v>1.0039999999999999E-3</v>
      </c>
      <c r="D753" s="234">
        <v>9.9400000000000009E-4</v>
      </c>
      <c r="E753" s="231">
        <v>5663994</v>
      </c>
      <c r="F753" s="231" t="s">
        <v>1924</v>
      </c>
      <c r="G753" s="392">
        <v>244056</v>
      </c>
      <c r="H753" s="392">
        <v>1872009</v>
      </c>
      <c r="I753" s="392">
        <v>565140</v>
      </c>
      <c r="J753" s="231">
        <v>0</v>
      </c>
      <c r="K753" s="231">
        <v>2681205</v>
      </c>
      <c r="L753" s="231"/>
      <c r="M753" s="300">
        <v>23928</v>
      </c>
      <c r="N753" s="300">
        <v>0</v>
      </c>
      <c r="O753" s="300">
        <v>0</v>
      </c>
      <c r="P753" s="231">
        <v>81589</v>
      </c>
      <c r="Q753" s="231">
        <v>105517</v>
      </c>
      <c r="R753" s="231"/>
      <c r="S753" s="392">
        <v>1603791</v>
      </c>
      <c r="T753" s="231">
        <v>-59549</v>
      </c>
      <c r="U753" s="396">
        <v>1544242</v>
      </c>
      <c r="V753" s="231"/>
      <c r="W753" s="396">
        <v>10222779</v>
      </c>
      <c r="X753" s="396">
        <v>1907290</v>
      </c>
      <c r="Y753" s="396"/>
      <c r="Z753" s="396"/>
    </row>
    <row r="754" spans="1:26">
      <c r="A754" s="424">
        <v>98113</v>
      </c>
      <c r="B754" s="423" t="s">
        <v>1460</v>
      </c>
      <c r="C754" s="234">
        <v>2.62E-5</v>
      </c>
      <c r="D754" s="234">
        <v>3.3099999999999998E-5</v>
      </c>
      <c r="E754" s="231">
        <v>147805</v>
      </c>
      <c r="F754" s="231" t="s">
        <v>1924</v>
      </c>
      <c r="G754" s="392">
        <v>6369</v>
      </c>
      <c r="H754" s="392">
        <v>48851</v>
      </c>
      <c r="I754" s="392">
        <v>14748</v>
      </c>
      <c r="J754" s="231">
        <v>10719</v>
      </c>
      <c r="K754" s="231">
        <v>80687</v>
      </c>
      <c r="L754" s="231"/>
      <c r="M754" s="300">
        <v>624</v>
      </c>
      <c r="N754" s="300">
        <v>0</v>
      </c>
      <c r="O754" s="300">
        <v>0</v>
      </c>
      <c r="P754" s="231">
        <v>4558</v>
      </c>
      <c r="Q754" s="231">
        <v>5182</v>
      </c>
      <c r="R754" s="231"/>
      <c r="S754" s="392">
        <v>41852</v>
      </c>
      <c r="T754" s="231">
        <v>4519</v>
      </c>
      <c r="U754" s="396">
        <v>46371</v>
      </c>
      <c r="V754" s="231"/>
      <c r="W754" s="396">
        <v>266770</v>
      </c>
      <c r="X754" s="396">
        <v>49772</v>
      </c>
      <c r="Y754" s="396"/>
      <c r="Z754" s="396"/>
    </row>
    <row r="755" spans="1:26">
      <c r="A755" s="424">
        <v>98121</v>
      </c>
      <c r="B755" s="423" t="s">
        <v>1461</v>
      </c>
      <c r="C755" s="234">
        <v>2.0340000000000001E-4</v>
      </c>
      <c r="D755" s="234">
        <v>2.0699999999999999E-4</v>
      </c>
      <c r="E755" s="231">
        <v>1147466</v>
      </c>
      <c r="F755" s="231" t="s">
        <v>1924</v>
      </c>
      <c r="G755" s="392">
        <v>49443</v>
      </c>
      <c r="H755" s="392">
        <v>379250</v>
      </c>
      <c r="I755" s="392">
        <v>114491</v>
      </c>
      <c r="J755" s="231">
        <v>18296</v>
      </c>
      <c r="K755" s="231">
        <v>561480</v>
      </c>
      <c r="L755" s="231"/>
      <c r="M755" s="300">
        <v>4848</v>
      </c>
      <c r="N755" s="300">
        <v>0</v>
      </c>
      <c r="O755" s="300">
        <v>0</v>
      </c>
      <c r="P755" s="231">
        <v>4888</v>
      </c>
      <c r="Q755" s="231">
        <v>9736</v>
      </c>
      <c r="R755" s="231"/>
      <c r="S755" s="392">
        <v>324911</v>
      </c>
      <c r="T755" s="231">
        <v>3601</v>
      </c>
      <c r="U755" s="396">
        <v>328512</v>
      </c>
      <c r="V755" s="231"/>
      <c r="W755" s="396">
        <v>2071029</v>
      </c>
      <c r="X755" s="396">
        <v>386397</v>
      </c>
      <c r="Y755" s="396"/>
      <c r="Z755" s="396"/>
    </row>
    <row r="756" spans="1:26">
      <c r="A756" s="424">
        <v>98131</v>
      </c>
      <c r="B756" s="423" t="s">
        <v>1462</v>
      </c>
      <c r="C756" s="234">
        <v>2.2719999999999999E-4</v>
      </c>
      <c r="D756" s="234">
        <v>2.6879999999999997E-4</v>
      </c>
      <c r="E756" s="231">
        <v>1281732</v>
      </c>
      <c r="F756" s="231" t="s">
        <v>1924</v>
      </c>
      <c r="G756" s="392">
        <v>55229</v>
      </c>
      <c r="H756" s="392">
        <v>423626</v>
      </c>
      <c r="I756" s="392">
        <v>127888</v>
      </c>
      <c r="J756" s="231">
        <v>20280</v>
      </c>
      <c r="K756" s="231">
        <v>627023</v>
      </c>
      <c r="L756" s="231"/>
      <c r="M756" s="300">
        <v>5415</v>
      </c>
      <c r="N756" s="300">
        <v>0</v>
      </c>
      <c r="O756" s="300">
        <v>0</v>
      </c>
      <c r="P756" s="231">
        <v>40783</v>
      </c>
      <c r="Q756" s="231">
        <v>46198</v>
      </c>
      <c r="R756" s="231"/>
      <c r="S756" s="392">
        <v>362930</v>
      </c>
      <c r="T756" s="231">
        <v>-1288</v>
      </c>
      <c r="U756" s="396">
        <v>361642</v>
      </c>
      <c r="V756" s="231"/>
      <c r="W756" s="396">
        <v>2313362</v>
      </c>
      <c r="X756" s="396">
        <v>431610</v>
      </c>
      <c r="Y756" s="396"/>
      <c r="Z756" s="396"/>
    </row>
    <row r="757" spans="1:26">
      <c r="A757" s="424">
        <v>98141</v>
      </c>
      <c r="B757" s="423" t="s">
        <v>1463</v>
      </c>
      <c r="C757" s="234">
        <v>2.853E-4</v>
      </c>
      <c r="D757" s="234">
        <v>2.8400000000000002E-4</v>
      </c>
      <c r="E757" s="231">
        <v>1609499</v>
      </c>
      <c r="F757" s="231" t="s">
        <v>1924</v>
      </c>
      <c r="G757" s="392">
        <v>69352</v>
      </c>
      <c r="H757" s="392">
        <v>531956</v>
      </c>
      <c r="I757" s="392">
        <v>160592</v>
      </c>
      <c r="J757" s="231">
        <v>0</v>
      </c>
      <c r="K757" s="231">
        <v>761900</v>
      </c>
      <c r="L757" s="231"/>
      <c r="M757" s="300">
        <v>6800</v>
      </c>
      <c r="N757" s="300">
        <v>0</v>
      </c>
      <c r="O757" s="300">
        <v>0</v>
      </c>
      <c r="P757" s="231">
        <v>32866</v>
      </c>
      <c r="Q757" s="231">
        <v>39666</v>
      </c>
      <c r="R757" s="231"/>
      <c r="S757" s="392">
        <v>455739</v>
      </c>
      <c r="T757" s="231">
        <v>-19957</v>
      </c>
      <c r="U757" s="396">
        <v>435782</v>
      </c>
      <c r="V757" s="231"/>
      <c r="W757" s="396">
        <v>2904939</v>
      </c>
      <c r="X757" s="396">
        <v>541982</v>
      </c>
      <c r="Y757" s="396"/>
      <c r="Z757" s="396"/>
    </row>
    <row r="758" spans="1:26">
      <c r="A758" s="424">
        <v>98147</v>
      </c>
      <c r="B758" s="423" t="s">
        <v>1464</v>
      </c>
      <c r="C758" s="234">
        <v>1.15E-5</v>
      </c>
      <c r="D758" s="234">
        <v>1.13E-5</v>
      </c>
      <c r="E758" s="231">
        <v>64876</v>
      </c>
      <c r="F758" s="231" t="s">
        <v>1924</v>
      </c>
      <c r="G758" s="392">
        <v>2795</v>
      </c>
      <c r="H758" s="392">
        <v>21442</v>
      </c>
      <c r="I758" s="392">
        <v>6473</v>
      </c>
      <c r="J758" s="231">
        <v>14470</v>
      </c>
      <c r="K758" s="231">
        <v>45180</v>
      </c>
      <c r="L758" s="231"/>
      <c r="M758" s="300">
        <v>274</v>
      </c>
      <c r="N758" s="300">
        <v>0</v>
      </c>
      <c r="O758" s="300">
        <v>0</v>
      </c>
      <c r="P758" s="231">
        <v>0</v>
      </c>
      <c r="Q758" s="231">
        <v>274</v>
      </c>
      <c r="R758" s="231"/>
      <c r="S758" s="392">
        <v>18370</v>
      </c>
      <c r="T758" s="231">
        <v>7867</v>
      </c>
      <c r="U758" s="396">
        <v>26237</v>
      </c>
      <c r="V758" s="231"/>
      <c r="W758" s="396">
        <v>117094</v>
      </c>
      <c r="X758" s="396">
        <v>21846</v>
      </c>
      <c r="Y758" s="396"/>
      <c r="Z758" s="396"/>
    </row>
    <row r="759" spans="1:26">
      <c r="A759" s="424">
        <v>98161</v>
      </c>
      <c r="B759" s="423" t="s">
        <v>1465</v>
      </c>
      <c r="C759" s="234">
        <v>7.0999999999999998E-6</v>
      </c>
      <c r="D759" s="234">
        <v>5.5999999999999997E-6</v>
      </c>
      <c r="E759" s="231">
        <v>40054</v>
      </c>
      <c r="F759" s="231" t="s">
        <v>1924</v>
      </c>
      <c r="G759" s="392">
        <v>1726</v>
      </c>
      <c r="H759" s="392">
        <v>13238</v>
      </c>
      <c r="I759" s="392">
        <v>3997</v>
      </c>
      <c r="J759" s="231">
        <v>6866</v>
      </c>
      <c r="K759" s="231">
        <v>25827</v>
      </c>
      <c r="L759" s="231"/>
      <c r="M759" s="300">
        <v>169</v>
      </c>
      <c r="N759" s="300">
        <v>0</v>
      </c>
      <c r="O759" s="300">
        <v>0</v>
      </c>
      <c r="P759" s="231">
        <v>0</v>
      </c>
      <c r="Q759" s="231">
        <v>169</v>
      </c>
      <c r="R759" s="231"/>
      <c r="S759" s="392">
        <v>11342</v>
      </c>
      <c r="T759" s="231">
        <v>3480</v>
      </c>
      <c r="U759" s="396">
        <v>14822</v>
      </c>
      <c r="V759" s="231"/>
      <c r="W759" s="396">
        <v>72293</v>
      </c>
      <c r="X759" s="396">
        <v>13488</v>
      </c>
      <c r="Y759" s="396"/>
      <c r="Z759" s="396"/>
    </row>
    <row r="760" spans="1:26">
      <c r="A760" s="424">
        <v>98201</v>
      </c>
      <c r="B760" s="423" t="s">
        <v>1466</v>
      </c>
      <c r="C760" s="234">
        <v>3.2829000000000001E-3</v>
      </c>
      <c r="D760" s="234">
        <v>2.9794999999999999E-3</v>
      </c>
      <c r="E760" s="231">
        <v>18520244</v>
      </c>
      <c r="F760" s="231" t="s">
        <v>1924</v>
      </c>
      <c r="G760" s="392">
        <v>798020</v>
      </c>
      <c r="H760" s="392">
        <v>6121134</v>
      </c>
      <c r="I760" s="392">
        <v>1847905</v>
      </c>
      <c r="J760" s="231">
        <v>338691</v>
      </c>
      <c r="K760" s="231">
        <v>9105750</v>
      </c>
      <c r="L760" s="231"/>
      <c r="M760" s="300">
        <v>78241</v>
      </c>
      <c r="N760" s="300">
        <v>0</v>
      </c>
      <c r="O760" s="300">
        <v>0</v>
      </c>
      <c r="P760" s="231">
        <v>330676</v>
      </c>
      <c r="Q760" s="231">
        <v>408917</v>
      </c>
      <c r="R760" s="231"/>
      <c r="S760" s="392">
        <v>5244108</v>
      </c>
      <c r="T760" s="231">
        <v>-83987</v>
      </c>
      <c r="U760" s="396">
        <v>5160121</v>
      </c>
      <c r="V760" s="231"/>
      <c r="W760" s="396">
        <v>33426655</v>
      </c>
      <c r="X760" s="396">
        <v>6236496</v>
      </c>
      <c r="Y760" s="396"/>
      <c r="Z760" s="396"/>
    </row>
    <row r="761" spans="1:26">
      <c r="A761" s="424">
        <v>98205</v>
      </c>
      <c r="B761" s="423" t="s">
        <v>1467</v>
      </c>
      <c r="C761" s="234">
        <v>4.2200000000000003E-5</v>
      </c>
      <c r="D761" s="234">
        <v>3.9700000000000003E-5</v>
      </c>
      <c r="E761" s="231">
        <v>238068</v>
      </c>
      <c r="F761" s="231" t="s">
        <v>1924</v>
      </c>
      <c r="G761" s="392">
        <v>10258</v>
      </c>
      <c r="H761" s="392">
        <v>78684</v>
      </c>
      <c r="I761" s="392">
        <v>23754</v>
      </c>
      <c r="J761" s="231">
        <v>14690</v>
      </c>
      <c r="K761" s="231">
        <v>127386</v>
      </c>
      <c r="L761" s="231"/>
      <c r="M761" s="300">
        <v>1006</v>
      </c>
      <c r="N761" s="300">
        <v>0</v>
      </c>
      <c r="O761" s="300">
        <v>0</v>
      </c>
      <c r="P761" s="231">
        <v>6042</v>
      </c>
      <c r="Q761" s="231">
        <v>7048</v>
      </c>
      <c r="R761" s="231"/>
      <c r="S761" s="392">
        <v>67410</v>
      </c>
      <c r="T761" s="231">
        <v>1213</v>
      </c>
      <c r="U761" s="396">
        <v>68623</v>
      </c>
      <c r="V761" s="231"/>
      <c r="W761" s="396">
        <v>429683</v>
      </c>
      <c r="X761" s="396">
        <v>80167</v>
      </c>
      <c r="Y761" s="396"/>
      <c r="Z761" s="396"/>
    </row>
    <row r="762" spans="1:26">
      <c r="A762" s="424">
        <v>98211</v>
      </c>
      <c r="B762" s="423" t="s">
        <v>1468</v>
      </c>
      <c r="C762" s="234">
        <v>8.2220000000000004E-4</v>
      </c>
      <c r="D762" s="234">
        <v>8.5130000000000004E-4</v>
      </c>
      <c r="E762" s="231">
        <v>4638382</v>
      </c>
      <c r="F762" s="231" t="s">
        <v>1924</v>
      </c>
      <c r="G762" s="392">
        <v>199864</v>
      </c>
      <c r="H762" s="392">
        <v>1533034</v>
      </c>
      <c r="I762" s="392">
        <v>462807</v>
      </c>
      <c r="J762" s="231">
        <v>6305</v>
      </c>
      <c r="K762" s="231">
        <v>2202010</v>
      </c>
      <c r="L762" s="231"/>
      <c r="M762" s="300">
        <v>19595</v>
      </c>
      <c r="N762" s="300">
        <v>0</v>
      </c>
      <c r="O762" s="300">
        <v>0</v>
      </c>
      <c r="P762" s="231">
        <v>146085</v>
      </c>
      <c r="Q762" s="231">
        <v>165680</v>
      </c>
      <c r="R762" s="231"/>
      <c r="S762" s="392">
        <v>1313383</v>
      </c>
      <c r="T762" s="231">
        <v>-70337</v>
      </c>
      <c r="U762" s="396">
        <v>1243046</v>
      </c>
      <c r="V762" s="231"/>
      <c r="W762" s="396">
        <v>8371682</v>
      </c>
      <c r="X762" s="396">
        <v>1561926</v>
      </c>
      <c r="Y762" s="396"/>
      <c r="Z762" s="396"/>
    </row>
    <row r="763" spans="1:26">
      <c r="A763" s="424">
        <v>98218</v>
      </c>
      <c r="B763" s="423" t="s">
        <v>1469</v>
      </c>
      <c r="C763" s="234">
        <v>1.5999999999999999E-5</v>
      </c>
      <c r="D763" s="234">
        <v>1.91E-5</v>
      </c>
      <c r="E763" s="231">
        <v>90263</v>
      </c>
      <c r="F763" s="231" t="s">
        <v>1924</v>
      </c>
      <c r="G763" s="392">
        <v>3889</v>
      </c>
      <c r="H763" s="392">
        <v>29833</v>
      </c>
      <c r="I763" s="392">
        <v>9006</v>
      </c>
      <c r="J763" s="231">
        <v>1858</v>
      </c>
      <c r="K763" s="231">
        <v>44586</v>
      </c>
      <c r="L763" s="231"/>
      <c r="M763" s="300">
        <v>381</v>
      </c>
      <c r="N763" s="300">
        <v>0</v>
      </c>
      <c r="O763" s="300">
        <v>0</v>
      </c>
      <c r="P763" s="231">
        <v>3103</v>
      </c>
      <c r="Q763" s="231">
        <v>3484</v>
      </c>
      <c r="R763" s="231"/>
      <c r="S763" s="392">
        <v>25558</v>
      </c>
      <c r="T763" s="231">
        <v>675</v>
      </c>
      <c r="U763" s="396">
        <v>26233</v>
      </c>
      <c r="V763" s="231"/>
      <c r="W763" s="396">
        <v>162913</v>
      </c>
      <c r="X763" s="396">
        <v>30395</v>
      </c>
      <c r="Y763" s="396"/>
      <c r="Z763" s="396"/>
    </row>
    <row r="764" spans="1:26">
      <c r="A764" s="424">
        <v>98221</v>
      </c>
      <c r="B764" s="423" t="s">
        <v>1470</v>
      </c>
      <c r="C764" s="234">
        <v>2.4199999999999999E-5</v>
      </c>
      <c r="D764" s="234">
        <v>2.44E-5</v>
      </c>
      <c r="E764" s="231">
        <v>136523</v>
      </c>
      <c r="F764" s="231" t="s">
        <v>1924</v>
      </c>
      <c r="G764" s="392">
        <v>5883</v>
      </c>
      <c r="H764" s="392">
        <v>45122</v>
      </c>
      <c r="I764" s="392">
        <v>13622</v>
      </c>
      <c r="J764" s="231">
        <v>1477</v>
      </c>
      <c r="K764" s="231">
        <v>66104</v>
      </c>
      <c r="L764" s="231"/>
      <c r="M764" s="300">
        <v>577</v>
      </c>
      <c r="N764" s="300">
        <v>0</v>
      </c>
      <c r="O764" s="300">
        <v>0</v>
      </c>
      <c r="P764" s="231">
        <v>5826</v>
      </c>
      <c r="Q764" s="231">
        <v>6403</v>
      </c>
      <c r="R764" s="231"/>
      <c r="S764" s="392">
        <v>38657</v>
      </c>
      <c r="T764" s="231">
        <v>-1560</v>
      </c>
      <c r="U764" s="396">
        <v>37097</v>
      </c>
      <c r="V764" s="231"/>
      <c r="W764" s="396">
        <v>246406</v>
      </c>
      <c r="X764" s="396">
        <v>45973</v>
      </c>
      <c r="Y764" s="396"/>
      <c r="Z764" s="396"/>
    </row>
    <row r="765" spans="1:26">
      <c r="A765" s="424">
        <v>98231</v>
      </c>
      <c r="B765" s="423" t="s">
        <v>1471</v>
      </c>
      <c r="C765" s="234">
        <v>2.5700000000000001E-5</v>
      </c>
      <c r="D765" s="234">
        <v>4.3099999999999997E-5</v>
      </c>
      <c r="E765" s="231">
        <v>144985</v>
      </c>
      <c r="F765" s="231" t="s">
        <v>1924</v>
      </c>
      <c r="G765" s="392">
        <v>6247</v>
      </c>
      <c r="H765" s="392">
        <v>47919</v>
      </c>
      <c r="I765" s="392">
        <v>14466</v>
      </c>
      <c r="J765" s="231">
        <v>13135</v>
      </c>
      <c r="K765" s="231">
        <v>81767</v>
      </c>
      <c r="L765" s="231"/>
      <c r="M765" s="300">
        <v>613</v>
      </c>
      <c r="N765" s="300">
        <v>0</v>
      </c>
      <c r="O765" s="300">
        <v>0</v>
      </c>
      <c r="P765" s="231">
        <v>28911</v>
      </c>
      <c r="Q765" s="231">
        <v>29524</v>
      </c>
      <c r="R765" s="231"/>
      <c r="S765" s="392">
        <v>41053</v>
      </c>
      <c r="T765" s="231">
        <v>-1707</v>
      </c>
      <c r="U765" s="396">
        <v>39346</v>
      </c>
      <c r="V765" s="231"/>
      <c r="W765" s="396">
        <v>261679</v>
      </c>
      <c r="X765" s="396">
        <v>48822</v>
      </c>
      <c r="Y765" s="396"/>
      <c r="Z765" s="396"/>
    </row>
    <row r="766" spans="1:26">
      <c r="A766" s="424">
        <v>98237</v>
      </c>
      <c r="B766" s="423" t="s">
        <v>1472</v>
      </c>
      <c r="C766" s="234">
        <v>6.1E-6</v>
      </c>
      <c r="D766" s="234">
        <v>6.4999999999999996E-6</v>
      </c>
      <c r="E766" s="231">
        <v>34413</v>
      </c>
      <c r="F766" s="231" t="s">
        <v>1924</v>
      </c>
      <c r="G766" s="392">
        <v>1483</v>
      </c>
      <c r="H766" s="392">
        <v>11374</v>
      </c>
      <c r="I766" s="392">
        <v>3434</v>
      </c>
      <c r="J766" s="231">
        <v>676</v>
      </c>
      <c r="K766" s="231">
        <v>16967</v>
      </c>
      <c r="L766" s="231"/>
      <c r="M766" s="300">
        <v>145</v>
      </c>
      <c r="N766" s="300">
        <v>0</v>
      </c>
      <c r="O766" s="300">
        <v>0</v>
      </c>
      <c r="P766" s="231">
        <v>218</v>
      </c>
      <c r="Q766" s="231">
        <v>363</v>
      </c>
      <c r="R766" s="231"/>
      <c r="S766" s="392">
        <v>9744</v>
      </c>
      <c r="T766" s="231">
        <v>554</v>
      </c>
      <c r="U766" s="396">
        <v>10298</v>
      </c>
      <c r="V766" s="231"/>
      <c r="W766" s="396">
        <v>62111</v>
      </c>
      <c r="X766" s="396">
        <v>11588</v>
      </c>
      <c r="Y766" s="396"/>
      <c r="Z766" s="396"/>
    </row>
    <row r="767" spans="1:26">
      <c r="A767" s="424">
        <v>98241</v>
      </c>
      <c r="B767" s="423" t="s">
        <v>1473</v>
      </c>
      <c r="C767" s="234">
        <v>8.3000000000000002E-6</v>
      </c>
      <c r="D767" s="234">
        <v>6.0000000000000002E-6</v>
      </c>
      <c r="E767" s="231">
        <v>46824</v>
      </c>
      <c r="F767" s="231" t="s">
        <v>1924</v>
      </c>
      <c r="G767" s="392">
        <v>2018</v>
      </c>
      <c r="H767" s="392">
        <v>15476</v>
      </c>
      <c r="I767" s="392">
        <v>4672</v>
      </c>
      <c r="J767" s="231">
        <v>7997</v>
      </c>
      <c r="K767" s="231">
        <v>30163</v>
      </c>
      <c r="L767" s="231"/>
      <c r="M767" s="300">
        <v>198</v>
      </c>
      <c r="N767" s="300">
        <v>0</v>
      </c>
      <c r="O767" s="300">
        <v>0</v>
      </c>
      <c r="P767" s="231">
        <v>6276</v>
      </c>
      <c r="Q767" s="231">
        <v>6474</v>
      </c>
      <c r="R767" s="231"/>
      <c r="S767" s="392">
        <v>13258</v>
      </c>
      <c r="T767" s="231">
        <v>-1367</v>
      </c>
      <c r="U767" s="396">
        <v>11891</v>
      </c>
      <c r="V767" s="231"/>
      <c r="W767" s="396">
        <v>84511</v>
      </c>
      <c r="X767" s="396">
        <v>15767</v>
      </c>
      <c r="Y767" s="396"/>
      <c r="Z767" s="396"/>
    </row>
    <row r="768" spans="1:26">
      <c r="A768" s="424">
        <v>98251</v>
      </c>
      <c r="B768" s="423" t="s">
        <v>1474</v>
      </c>
      <c r="C768" s="234">
        <v>2.3E-6</v>
      </c>
      <c r="D768" s="234">
        <v>2.6000000000000001E-6</v>
      </c>
      <c r="E768" s="231">
        <v>12975</v>
      </c>
      <c r="F768" s="231" t="s">
        <v>1924</v>
      </c>
      <c r="G768" s="392">
        <v>559</v>
      </c>
      <c r="H768" s="392">
        <v>4288</v>
      </c>
      <c r="I768" s="392">
        <v>1295</v>
      </c>
      <c r="J768" s="231">
        <v>2955</v>
      </c>
      <c r="K768" s="231">
        <v>9097</v>
      </c>
      <c r="L768" s="231"/>
      <c r="M768" s="300">
        <v>55</v>
      </c>
      <c r="N768" s="300">
        <v>0</v>
      </c>
      <c r="O768" s="300">
        <v>0</v>
      </c>
      <c r="P768" s="231">
        <v>0</v>
      </c>
      <c r="Q768" s="231">
        <v>55</v>
      </c>
      <c r="R768" s="231"/>
      <c r="S768" s="392">
        <v>3674</v>
      </c>
      <c r="T768" s="231">
        <v>1762</v>
      </c>
      <c r="U768" s="396">
        <v>5436</v>
      </c>
      <c r="V768" s="231"/>
      <c r="W768" s="396">
        <v>23419</v>
      </c>
      <c r="X768" s="396">
        <v>4369</v>
      </c>
      <c r="Y768" s="396"/>
      <c r="Z768" s="396"/>
    </row>
    <row r="769" spans="1:26">
      <c r="A769" s="424">
        <v>98261</v>
      </c>
      <c r="B769" s="423" t="s">
        <v>1475</v>
      </c>
      <c r="C769" s="234">
        <v>2.7900000000000001E-5</v>
      </c>
      <c r="D769" s="234">
        <v>3.4799999999999999E-5</v>
      </c>
      <c r="E769" s="231">
        <v>157396</v>
      </c>
      <c r="F769" s="231" t="s">
        <v>1924</v>
      </c>
      <c r="G769" s="392">
        <v>6782</v>
      </c>
      <c r="H769" s="392">
        <v>52021</v>
      </c>
      <c r="I769" s="392">
        <v>15705</v>
      </c>
      <c r="J769" s="231">
        <v>1265</v>
      </c>
      <c r="K769" s="231">
        <v>75773</v>
      </c>
      <c r="L769" s="231"/>
      <c r="M769" s="300">
        <v>665</v>
      </c>
      <c r="N769" s="300">
        <v>0</v>
      </c>
      <c r="O769" s="300">
        <v>0</v>
      </c>
      <c r="P769" s="231">
        <v>9337</v>
      </c>
      <c r="Q769" s="231">
        <v>10002</v>
      </c>
      <c r="R769" s="231"/>
      <c r="S769" s="392">
        <v>44567</v>
      </c>
      <c r="T769" s="231">
        <v>-1313</v>
      </c>
      <c r="U769" s="396">
        <v>43254</v>
      </c>
      <c r="V769" s="231"/>
      <c r="W769" s="396">
        <v>284079</v>
      </c>
      <c r="X769" s="396">
        <v>53001</v>
      </c>
      <c r="Y769" s="396"/>
      <c r="Z769" s="396"/>
    </row>
    <row r="770" spans="1:26">
      <c r="A770" s="424">
        <v>98271</v>
      </c>
      <c r="B770" s="423" t="s">
        <v>1476</v>
      </c>
      <c r="C770" s="234">
        <v>8.8999999999999995E-6</v>
      </c>
      <c r="D770" s="234">
        <v>7.9999999999999996E-6</v>
      </c>
      <c r="E770" s="231">
        <v>50209</v>
      </c>
      <c r="F770" s="231" t="s">
        <v>1924</v>
      </c>
      <c r="G770" s="392">
        <v>2163</v>
      </c>
      <c r="H770" s="392">
        <v>16595</v>
      </c>
      <c r="I770" s="392">
        <v>5010</v>
      </c>
      <c r="J770" s="231">
        <v>1863</v>
      </c>
      <c r="K770" s="231">
        <v>25631</v>
      </c>
      <c r="L770" s="231"/>
      <c r="M770" s="300">
        <v>212</v>
      </c>
      <c r="N770" s="300">
        <v>0</v>
      </c>
      <c r="O770" s="300">
        <v>0</v>
      </c>
      <c r="P770" s="231">
        <v>0</v>
      </c>
      <c r="Q770" s="231">
        <v>212</v>
      </c>
      <c r="R770" s="231"/>
      <c r="S770" s="392">
        <v>14217</v>
      </c>
      <c r="T770" s="231">
        <v>1721</v>
      </c>
      <c r="U770" s="396">
        <v>15938</v>
      </c>
      <c r="V770" s="231"/>
      <c r="W770" s="396">
        <v>90620</v>
      </c>
      <c r="X770" s="396">
        <v>16907</v>
      </c>
      <c r="Y770" s="396"/>
      <c r="Z770" s="396"/>
    </row>
    <row r="771" spans="1:26">
      <c r="A771" s="424">
        <v>98301</v>
      </c>
      <c r="B771" s="423" t="s">
        <v>1477</v>
      </c>
      <c r="C771" s="234">
        <v>1.921E-3</v>
      </c>
      <c r="D771" s="234">
        <v>1.8951E-3</v>
      </c>
      <c r="E771" s="231">
        <v>10837183</v>
      </c>
      <c r="F771" s="231" t="s">
        <v>1924</v>
      </c>
      <c r="G771" s="392">
        <v>466964</v>
      </c>
      <c r="H771" s="392">
        <v>3581802</v>
      </c>
      <c r="I771" s="392">
        <v>1081308</v>
      </c>
      <c r="J771" s="231">
        <v>127047</v>
      </c>
      <c r="K771" s="231">
        <v>5257121</v>
      </c>
      <c r="L771" s="231"/>
      <c r="M771" s="300">
        <v>45783</v>
      </c>
      <c r="N771" s="300">
        <v>0</v>
      </c>
      <c r="O771" s="300">
        <v>0</v>
      </c>
      <c r="P771" s="231">
        <v>0</v>
      </c>
      <c r="Q771" s="231">
        <v>45783</v>
      </c>
      <c r="R771" s="231"/>
      <c r="S771" s="392">
        <v>3068607</v>
      </c>
      <c r="T771" s="231">
        <v>93218</v>
      </c>
      <c r="U771" s="396">
        <v>3161825</v>
      </c>
      <c r="V771" s="231"/>
      <c r="W771" s="396">
        <v>19559720</v>
      </c>
      <c r="X771" s="396">
        <v>3649306</v>
      </c>
      <c r="Y771" s="396"/>
      <c r="Z771" s="396"/>
    </row>
    <row r="772" spans="1:26">
      <c r="A772" s="424">
        <v>98304</v>
      </c>
      <c r="B772" s="423" t="s">
        <v>1478</v>
      </c>
      <c r="C772" s="234">
        <v>1.9300000000000002E-5</v>
      </c>
      <c r="D772" s="234">
        <v>2.1699999999999999E-5</v>
      </c>
      <c r="E772" s="231">
        <v>108880</v>
      </c>
      <c r="F772" s="231" t="s">
        <v>1924</v>
      </c>
      <c r="G772" s="392">
        <v>4692</v>
      </c>
      <c r="H772" s="392">
        <v>35986</v>
      </c>
      <c r="I772" s="392">
        <v>10864</v>
      </c>
      <c r="J772" s="231">
        <v>6300</v>
      </c>
      <c r="K772" s="231">
        <v>57842</v>
      </c>
      <c r="L772" s="231"/>
      <c r="M772" s="300">
        <v>460</v>
      </c>
      <c r="N772" s="300">
        <v>0</v>
      </c>
      <c r="O772" s="300">
        <v>0</v>
      </c>
      <c r="P772" s="231">
        <v>2536</v>
      </c>
      <c r="Q772" s="231">
        <v>2996</v>
      </c>
      <c r="R772" s="231"/>
      <c r="S772" s="392">
        <v>30830</v>
      </c>
      <c r="T772" s="231">
        <v>3978</v>
      </c>
      <c r="U772" s="396">
        <v>34808</v>
      </c>
      <c r="V772" s="231"/>
      <c r="W772" s="396">
        <v>196514</v>
      </c>
      <c r="X772" s="396">
        <v>36664</v>
      </c>
      <c r="Y772" s="396"/>
      <c r="Z772" s="396"/>
    </row>
    <row r="773" spans="1:26">
      <c r="A773" s="424">
        <v>98308</v>
      </c>
      <c r="B773" s="423" t="s">
        <v>1479</v>
      </c>
      <c r="C773" s="234">
        <v>3.2400000000000001E-5</v>
      </c>
      <c r="D773" s="234">
        <v>2.4199999999999999E-5</v>
      </c>
      <c r="E773" s="231">
        <v>182782</v>
      </c>
      <c r="F773" s="231" t="s">
        <v>1924</v>
      </c>
      <c r="G773" s="392">
        <v>7876</v>
      </c>
      <c r="H773" s="392">
        <v>60411</v>
      </c>
      <c r="I773" s="392">
        <v>18238</v>
      </c>
      <c r="J773" s="231">
        <v>40781</v>
      </c>
      <c r="K773" s="231">
        <v>127306</v>
      </c>
      <c r="L773" s="231"/>
      <c r="M773" s="300">
        <v>772</v>
      </c>
      <c r="N773" s="300">
        <v>0</v>
      </c>
      <c r="O773" s="300">
        <v>0</v>
      </c>
      <c r="P773" s="231">
        <v>0</v>
      </c>
      <c r="Q773" s="231">
        <v>772</v>
      </c>
      <c r="R773" s="231"/>
      <c r="S773" s="392">
        <v>51756</v>
      </c>
      <c r="T773" s="231">
        <v>19076</v>
      </c>
      <c r="U773" s="396">
        <v>70832</v>
      </c>
      <c r="V773" s="231"/>
      <c r="W773" s="396">
        <v>329898</v>
      </c>
      <c r="X773" s="396">
        <v>61550</v>
      </c>
      <c r="Y773" s="396"/>
      <c r="Z773" s="396"/>
    </row>
    <row r="774" spans="1:26">
      <c r="A774" s="424">
        <v>98311</v>
      </c>
      <c r="B774" s="423" t="s">
        <v>1480</v>
      </c>
      <c r="C774" s="234">
        <v>9.3440000000000005E-4</v>
      </c>
      <c r="D774" s="234">
        <v>9.904E-4</v>
      </c>
      <c r="E774" s="231">
        <v>5271350</v>
      </c>
      <c r="F774" s="231" t="s">
        <v>1924</v>
      </c>
      <c r="G774" s="392">
        <v>227138</v>
      </c>
      <c r="H774" s="392">
        <v>1742236</v>
      </c>
      <c r="I774" s="392">
        <v>525963</v>
      </c>
      <c r="J774" s="231">
        <v>0</v>
      </c>
      <c r="K774" s="231">
        <v>2495337</v>
      </c>
      <c r="L774" s="231"/>
      <c r="M774" s="300">
        <v>22270</v>
      </c>
      <c r="N774" s="300">
        <v>0</v>
      </c>
      <c r="O774" s="300">
        <v>0</v>
      </c>
      <c r="P774" s="231">
        <v>170935</v>
      </c>
      <c r="Q774" s="231">
        <v>193205</v>
      </c>
      <c r="R774" s="231"/>
      <c r="S774" s="392">
        <v>1492611</v>
      </c>
      <c r="T774" s="231">
        <v>-111429</v>
      </c>
      <c r="U774" s="396">
        <v>1381182</v>
      </c>
      <c r="V774" s="231"/>
      <c r="W774" s="396">
        <v>9514108</v>
      </c>
      <c r="X774" s="396">
        <v>1775071</v>
      </c>
      <c r="Y774" s="396"/>
      <c r="Z774" s="396"/>
    </row>
    <row r="775" spans="1:26">
      <c r="A775" s="424">
        <v>98313</v>
      </c>
      <c r="B775" s="423" t="s">
        <v>1481</v>
      </c>
      <c r="C775" s="234">
        <v>2.207E-4</v>
      </c>
      <c r="D775" s="234">
        <v>1.9320000000000001E-4</v>
      </c>
      <c r="E775" s="231">
        <v>1245063</v>
      </c>
      <c r="F775" s="231" t="s">
        <v>1924</v>
      </c>
      <c r="G775" s="392">
        <v>53649</v>
      </c>
      <c r="H775" s="392">
        <v>411506</v>
      </c>
      <c r="I775" s="392">
        <v>124229</v>
      </c>
      <c r="J775" s="231">
        <v>267602</v>
      </c>
      <c r="K775" s="231">
        <v>856986</v>
      </c>
      <c r="L775" s="231"/>
      <c r="M775" s="300">
        <v>5260</v>
      </c>
      <c r="N775" s="300">
        <v>0</v>
      </c>
      <c r="O775" s="300">
        <v>0</v>
      </c>
      <c r="P775" s="231">
        <v>0</v>
      </c>
      <c r="Q775" s="231">
        <v>5260</v>
      </c>
      <c r="R775" s="231"/>
      <c r="S775" s="392">
        <v>352546</v>
      </c>
      <c r="T775" s="231">
        <v>154482</v>
      </c>
      <c r="U775" s="396">
        <v>507028</v>
      </c>
      <c r="V775" s="231"/>
      <c r="W775" s="396">
        <v>2247179</v>
      </c>
      <c r="X775" s="396">
        <v>419262</v>
      </c>
      <c r="Y775" s="396"/>
      <c r="Z775" s="396"/>
    </row>
    <row r="776" spans="1:26">
      <c r="A776" s="424">
        <v>98321</v>
      </c>
      <c r="B776" s="423" t="s">
        <v>1482</v>
      </c>
      <c r="C776" s="234">
        <v>1.19E-5</v>
      </c>
      <c r="D776" s="234">
        <v>1.26E-5</v>
      </c>
      <c r="E776" s="231">
        <v>67133</v>
      </c>
      <c r="F776" s="231" t="s">
        <v>1924</v>
      </c>
      <c r="G776" s="392">
        <v>2893</v>
      </c>
      <c r="H776" s="392">
        <v>22188</v>
      </c>
      <c r="I776" s="392">
        <v>6698</v>
      </c>
      <c r="J776" s="231">
        <v>2110</v>
      </c>
      <c r="K776" s="231">
        <v>33889</v>
      </c>
      <c r="L776" s="231"/>
      <c r="M776" s="300">
        <v>284</v>
      </c>
      <c r="N776" s="300">
        <v>0</v>
      </c>
      <c r="O776" s="300">
        <v>0</v>
      </c>
      <c r="P776" s="231">
        <v>1205</v>
      </c>
      <c r="Q776" s="231">
        <v>1489</v>
      </c>
      <c r="R776" s="231"/>
      <c r="S776" s="392">
        <v>19009</v>
      </c>
      <c r="T776" s="231">
        <v>-473</v>
      </c>
      <c r="U776" s="396">
        <v>18536</v>
      </c>
      <c r="V776" s="231"/>
      <c r="W776" s="396">
        <v>121166</v>
      </c>
      <c r="X776" s="396">
        <v>22606</v>
      </c>
      <c r="Y776" s="396"/>
      <c r="Z776" s="396"/>
    </row>
    <row r="777" spans="1:26">
      <c r="A777" s="424">
        <v>98331</v>
      </c>
      <c r="B777" s="423" t="s">
        <v>1483</v>
      </c>
      <c r="C777" s="234">
        <v>6.3999999999999997E-6</v>
      </c>
      <c r="D777" s="234">
        <v>6.1E-6</v>
      </c>
      <c r="E777" s="231">
        <v>36105</v>
      </c>
      <c r="F777" s="231" t="s">
        <v>1924</v>
      </c>
      <c r="G777" s="392">
        <v>1556</v>
      </c>
      <c r="H777" s="392">
        <v>11933</v>
      </c>
      <c r="I777" s="392">
        <v>3602</v>
      </c>
      <c r="J777" s="231">
        <v>7493</v>
      </c>
      <c r="K777" s="231">
        <v>24584</v>
      </c>
      <c r="L777" s="231"/>
      <c r="M777" s="300">
        <v>153</v>
      </c>
      <c r="N777" s="300">
        <v>0</v>
      </c>
      <c r="O777" s="300">
        <v>0</v>
      </c>
      <c r="P777" s="231">
        <v>2205</v>
      </c>
      <c r="Q777" s="231">
        <v>2358</v>
      </c>
      <c r="R777" s="231"/>
      <c r="S777" s="392">
        <v>10223</v>
      </c>
      <c r="T777" s="231">
        <v>1895</v>
      </c>
      <c r="U777" s="396">
        <v>12118</v>
      </c>
      <c r="V777" s="231"/>
      <c r="W777" s="396">
        <v>65165</v>
      </c>
      <c r="X777" s="396">
        <v>12158</v>
      </c>
      <c r="Y777" s="396"/>
      <c r="Z777" s="396"/>
    </row>
    <row r="778" spans="1:26">
      <c r="A778" s="424">
        <v>98401</v>
      </c>
      <c r="B778" s="423" t="s">
        <v>1484</v>
      </c>
      <c r="C778" s="234">
        <v>2.8084E-3</v>
      </c>
      <c r="D778" s="234">
        <v>2.8972999999999998E-3</v>
      </c>
      <c r="E778" s="231">
        <v>15843386</v>
      </c>
      <c r="F778" s="231" t="s">
        <v>1924</v>
      </c>
      <c r="G778" s="392">
        <v>682677</v>
      </c>
      <c r="H778" s="392">
        <v>5236405</v>
      </c>
      <c r="I778" s="392">
        <v>1580815</v>
      </c>
      <c r="J778" s="231">
        <v>76554</v>
      </c>
      <c r="K778" s="231">
        <v>7576451</v>
      </c>
      <c r="L778" s="231"/>
      <c r="M778" s="300">
        <v>66933</v>
      </c>
      <c r="N778" s="300">
        <v>0</v>
      </c>
      <c r="O778" s="300">
        <v>0</v>
      </c>
      <c r="P778" s="231">
        <v>85563</v>
      </c>
      <c r="Q778" s="231">
        <v>152496</v>
      </c>
      <c r="R778" s="231"/>
      <c r="S778" s="392">
        <v>4486141</v>
      </c>
      <c r="T778" s="231">
        <v>65600</v>
      </c>
      <c r="U778" s="396">
        <v>4551741</v>
      </c>
      <c r="V778" s="231"/>
      <c r="W778" s="396">
        <v>28595272</v>
      </c>
      <c r="X778" s="396">
        <v>5335092</v>
      </c>
      <c r="Y778" s="396"/>
      <c r="Z778" s="396"/>
    </row>
    <row r="779" spans="1:26">
      <c r="A779" s="424">
        <v>98404</v>
      </c>
      <c r="B779" s="423" t="s">
        <v>1485</v>
      </c>
      <c r="C779" s="234">
        <v>3.54E-5</v>
      </c>
      <c r="D779" s="234">
        <v>2.23E-5</v>
      </c>
      <c r="E779" s="231">
        <v>199707</v>
      </c>
      <c r="F779" s="231" t="s">
        <v>1924</v>
      </c>
      <c r="G779" s="392">
        <v>8605</v>
      </c>
      <c r="H779" s="392">
        <v>66005</v>
      </c>
      <c r="I779" s="392">
        <v>19926</v>
      </c>
      <c r="J779" s="231">
        <v>28002</v>
      </c>
      <c r="K779" s="231">
        <v>122538</v>
      </c>
      <c r="L779" s="231"/>
      <c r="M779" s="300">
        <v>844</v>
      </c>
      <c r="N779" s="300">
        <v>0</v>
      </c>
      <c r="O779" s="300">
        <v>0</v>
      </c>
      <c r="P779" s="231">
        <v>84</v>
      </c>
      <c r="Q779" s="231">
        <v>928</v>
      </c>
      <c r="R779" s="231"/>
      <c r="S779" s="392">
        <v>56548</v>
      </c>
      <c r="T779" s="231">
        <v>11120</v>
      </c>
      <c r="U779" s="396">
        <v>67668</v>
      </c>
      <c r="V779" s="231"/>
      <c r="W779" s="396">
        <v>360445</v>
      </c>
      <c r="X779" s="396">
        <v>67249</v>
      </c>
      <c r="Y779" s="396"/>
      <c r="Z779" s="396"/>
    </row>
    <row r="780" spans="1:26">
      <c r="A780" s="424">
        <v>98411</v>
      </c>
      <c r="B780" s="423" t="s">
        <v>1486</v>
      </c>
      <c r="C780" s="234">
        <v>1.8399E-3</v>
      </c>
      <c r="D780" s="234">
        <v>1.7966E-3</v>
      </c>
      <c r="E780" s="231">
        <v>10379663</v>
      </c>
      <c r="F780" s="231" t="s">
        <v>1924</v>
      </c>
      <c r="G780" s="392">
        <v>447250</v>
      </c>
      <c r="H780" s="392">
        <v>3430587</v>
      </c>
      <c r="I780" s="392">
        <v>1035658</v>
      </c>
      <c r="J780" s="231">
        <v>30682</v>
      </c>
      <c r="K780" s="231">
        <v>4944177</v>
      </c>
      <c r="L780" s="231"/>
      <c r="M780" s="300">
        <v>43850</v>
      </c>
      <c r="N780" s="300">
        <v>0</v>
      </c>
      <c r="O780" s="300">
        <v>0</v>
      </c>
      <c r="P780" s="231">
        <v>88894</v>
      </c>
      <c r="Q780" s="231">
        <v>132744</v>
      </c>
      <c r="R780" s="231"/>
      <c r="S780" s="392">
        <v>2939058</v>
      </c>
      <c r="T780" s="231">
        <v>-90329</v>
      </c>
      <c r="U780" s="396">
        <v>2848729</v>
      </c>
      <c r="V780" s="231"/>
      <c r="W780" s="396">
        <v>18733956</v>
      </c>
      <c r="X780" s="396">
        <v>3495241</v>
      </c>
      <c r="Y780" s="396"/>
      <c r="Z780" s="396"/>
    </row>
    <row r="781" spans="1:26">
      <c r="A781" s="424">
        <v>98414</v>
      </c>
      <c r="B781" s="423" t="s">
        <v>1487</v>
      </c>
      <c r="C781" s="234">
        <v>3.7599999999999999E-5</v>
      </c>
      <c r="D781" s="234">
        <v>3.9700000000000003E-5</v>
      </c>
      <c r="E781" s="231">
        <v>212118</v>
      </c>
      <c r="F781" s="231" t="s">
        <v>1924</v>
      </c>
      <c r="G781" s="392">
        <v>9140</v>
      </c>
      <c r="H781" s="392">
        <v>70107</v>
      </c>
      <c r="I781" s="392">
        <v>21165</v>
      </c>
      <c r="J781" s="231">
        <v>6146</v>
      </c>
      <c r="K781" s="231">
        <v>106558</v>
      </c>
      <c r="L781" s="231"/>
      <c r="M781" s="300">
        <v>896</v>
      </c>
      <c r="N781" s="300">
        <v>0</v>
      </c>
      <c r="O781" s="300">
        <v>0</v>
      </c>
      <c r="P781" s="231">
        <v>8305</v>
      </c>
      <c r="Q781" s="231">
        <v>9201</v>
      </c>
      <c r="R781" s="231"/>
      <c r="S781" s="392">
        <v>60062</v>
      </c>
      <c r="T781" s="231">
        <v>292</v>
      </c>
      <c r="U781" s="396">
        <v>60354</v>
      </c>
      <c r="V781" s="231"/>
      <c r="W781" s="396">
        <v>382845</v>
      </c>
      <c r="X781" s="396">
        <v>71428</v>
      </c>
      <c r="Y781" s="396"/>
      <c r="Z781" s="396"/>
    </row>
    <row r="782" spans="1:26">
      <c r="A782" s="424">
        <v>98417</v>
      </c>
      <c r="B782" s="423" t="s">
        <v>1488</v>
      </c>
      <c r="C782" s="234">
        <v>2.0400000000000001E-5</v>
      </c>
      <c r="D782" s="234">
        <v>2.1399999999999998E-5</v>
      </c>
      <c r="E782" s="231">
        <v>115085</v>
      </c>
      <c r="F782" s="231" t="s">
        <v>1924</v>
      </c>
      <c r="G782" s="392">
        <v>4959</v>
      </c>
      <c r="H782" s="392">
        <v>38037</v>
      </c>
      <c r="I782" s="392">
        <v>11483</v>
      </c>
      <c r="J782" s="231">
        <v>14334</v>
      </c>
      <c r="K782" s="231">
        <v>68813</v>
      </c>
      <c r="L782" s="231"/>
      <c r="M782" s="300">
        <v>486</v>
      </c>
      <c r="N782" s="300">
        <v>0</v>
      </c>
      <c r="O782" s="300">
        <v>0</v>
      </c>
      <c r="P782" s="231">
        <v>0</v>
      </c>
      <c r="Q782" s="231">
        <v>486</v>
      </c>
      <c r="R782" s="231"/>
      <c r="S782" s="392">
        <v>32587</v>
      </c>
      <c r="T782" s="231">
        <v>7846</v>
      </c>
      <c r="U782" s="396">
        <v>40433</v>
      </c>
      <c r="V782" s="231"/>
      <c r="W782" s="396">
        <v>207714</v>
      </c>
      <c r="X782" s="396">
        <v>38754</v>
      </c>
      <c r="Y782" s="396"/>
      <c r="Z782" s="396"/>
    </row>
    <row r="783" spans="1:26">
      <c r="A783" s="424">
        <v>98421</v>
      </c>
      <c r="B783" s="423" t="s">
        <v>1489</v>
      </c>
      <c r="C783" s="234">
        <v>1.12E-4</v>
      </c>
      <c r="D783" s="234">
        <v>1.053E-4</v>
      </c>
      <c r="E783" s="231">
        <v>631840</v>
      </c>
      <c r="F783" s="231" t="s">
        <v>1924</v>
      </c>
      <c r="G783" s="392">
        <v>27225</v>
      </c>
      <c r="H783" s="392">
        <v>208830</v>
      </c>
      <c r="I783" s="392">
        <v>63043</v>
      </c>
      <c r="J783" s="231">
        <v>13093</v>
      </c>
      <c r="K783" s="231">
        <v>312191</v>
      </c>
      <c r="L783" s="231"/>
      <c r="M783" s="300">
        <v>2669</v>
      </c>
      <c r="N783" s="300">
        <v>0</v>
      </c>
      <c r="O783" s="300">
        <v>0</v>
      </c>
      <c r="P783" s="231">
        <v>6620</v>
      </c>
      <c r="Q783" s="231">
        <v>9289</v>
      </c>
      <c r="R783" s="231"/>
      <c r="S783" s="392">
        <v>178909</v>
      </c>
      <c r="T783" s="231">
        <v>3557</v>
      </c>
      <c r="U783" s="396">
        <v>182466</v>
      </c>
      <c r="V783" s="231"/>
      <c r="W783" s="396">
        <v>1140390</v>
      </c>
      <c r="X783" s="396">
        <v>212765</v>
      </c>
      <c r="Y783" s="396"/>
      <c r="Z783" s="396"/>
    </row>
    <row r="784" spans="1:26">
      <c r="A784" s="424">
        <v>98427</v>
      </c>
      <c r="B784" s="423" t="s">
        <v>1490</v>
      </c>
      <c r="C784" s="234">
        <v>6.1999999999999999E-6</v>
      </c>
      <c r="D784" s="234">
        <v>1.9E-6</v>
      </c>
      <c r="E784" s="231">
        <v>34977</v>
      </c>
      <c r="F784" s="231" t="s">
        <v>1924</v>
      </c>
      <c r="G784" s="392">
        <v>1507</v>
      </c>
      <c r="H784" s="392">
        <v>11560</v>
      </c>
      <c r="I784" s="392">
        <v>3490</v>
      </c>
      <c r="J784" s="231">
        <v>9065</v>
      </c>
      <c r="K784" s="231">
        <v>25622</v>
      </c>
      <c r="L784" s="231"/>
      <c r="M784" s="300">
        <v>148</v>
      </c>
      <c r="N784" s="300">
        <v>0</v>
      </c>
      <c r="O784" s="300">
        <v>0</v>
      </c>
      <c r="P784" s="231">
        <v>0</v>
      </c>
      <c r="Q784" s="231">
        <v>148</v>
      </c>
      <c r="R784" s="231"/>
      <c r="S784" s="392">
        <v>9904</v>
      </c>
      <c r="T784" s="231">
        <v>3873</v>
      </c>
      <c r="U784" s="396">
        <v>13777</v>
      </c>
      <c r="V784" s="231"/>
      <c r="W784" s="396">
        <v>63129</v>
      </c>
      <c r="X784" s="396">
        <v>11778</v>
      </c>
      <c r="Y784" s="396"/>
      <c r="Z784" s="396"/>
    </row>
    <row r="785" spans="1:26">
      <c r="A785" s="424">
        <v>98431</v>
      </c>
      <c r="B785" s="423" t="s">
        <v>1491</v>
      </c>
      <c r="C785" s="234">
        <v>2.565E-4</v>
      </c>
      <c r="D785" s="234">
        <v>2.589E-4</v>
      </c>
      <c r="E785" s="231">
        <v>1447026</v>
      </c>
      <c r="F785" s="231" t="s">
        <v>1924</v>
      </c>
      <c r="G785" s="392">
        <v>62351</v>
      </c>
      <c r="H785" s="392">
        <v>478257</v>
      </c>
      <c r="I785" s="392">
        <v>144381</v>
      </c>
      <c r="J785" s="231">
        <v>39033</v>
      </c>
      <c r="K785" s="231">
        <v>724022</v>
      </c>
      <c r="L785" s="231"/>
      <c r="M785" s="300">
        <v>6113</v>
      </c>
      <c r="N785" s="300">
        <v>0</v>
      </c>
      <c r="O785" s="300">
        <v>0</v>
      </c>
      <c r="P785" s="231">
        <v>43597</v>
      </c>
      <c r="Q785" s="231">
        <v>49710</v>
      </c>
      <c r="R785" s="231"/>
      <c r="S785" s="392">
        <v>409733</v>
      </c>
      <c r="T785" s="231">
        <v>-12</v>
      </c>
      <c r="U785" s="396">
        <v>409721</v>
      </c>
      <c r="V785" s="231"/>
      <c r="W785" s="396">
        <v>2611696</v>
      </c>
      <c r="X785" s="396">
        <v>487271</v>
      </c>
      <c r="Y785" s="396"/>
      <c r="Z785" s="396"/>
    </row>
    <row r="786" spans="1:26">
      <c r="A786" s="424">
        <v>98441</v>
      </c>
      <c r="B786" s="423" t="s">
        <v>1492</v>
      </c>
      <c r="C786" s="234">
        <v>1.2129999999999999E-4</v>
      </c>
      <c r="D786" s="234">
        <v>1.2449999999999999E-4</v>
      </c>
      <c r="E786" s="231">
        <v>684305</v>
      </c>
      <c r="F786" s="231" t="s">
        <v>1924</v>
      </c>
      <c r="G786" s="392">
        <v>29486</v>
      </c>
      <c r="H786" s="392">
        <v>226170</v>
      </c>
      <c r="I786" s="392">
        <v>68278</v>
      </c>
      <c r="J786" s="231">
        <v>5149</v>
      </c>
      <c r="K786" s="231">
        <v>329083</v>
      </c>
      <c r="L786" s="231"/>
      <c r="M786" s="300">
        <v>2891</v>
      </c>
      <c r="N786" s="300">
        <v>0</v>
      </c>
      <c r="O786" s="300">
        <v>0</v>
      </c>
      <c r="P786" s="231">
        <v>21233</v>
      </c>
      <c r="Q786" s="231">
        <v>24124</v>
      </c>
      <c r="R786" s="231"/>
      <c r="S786" s="392">
        <v>193765</v>
      </c>
      <c r="T786" s="231">
        <v>-624</v>
      </c>
      <c r="U786" s="396">
        <v>193141</v>
      </c>
      <c r="V786" s="231"/>
      <c r="W786" s="396">
        <v>1235083</v>
      </c>
      <c r="X786" s="396">
        <v>230433</v>
      </c>
      <c r="Y786" s="396"/>
      <c r="Z786" s="396"/>
    </row>
    <row r="787" spans="1:26">
      <c r="A787" s="424">
        <v>98451</v>
      </c>
      <c r="B787" s="423" t="s">
        <v>1493</v>
      </c>
      <c r="C787" s="234">
        <v>5.1E-5</v>
      </c>
      <c r="D787" s="234">
        <v>4.9799999999999998E-5</v>
      </c>
      <c r="E787" s="231">
        <v>287713</v>
      </c>
      <c r="F787" s="231" t="s">
        <v>1924</v>
      </c>
      <c r="G787" s="392">
        <v>12397</v>
      </c>
      <c r="H787" s="392">
        <v>95092</v>
      </c>
      <c r="I787" s="392">
        <v>28707</v>
      </c>
      <c r="J787" s="231">
        <v>22348</v>
      </c>
      <c r="K787" s="231">
        <v>158544</v>
      </c>
      <c r="L787" s="231"/>
      <c r="M787" s="300">
        <v>1215</v>
      </c>
      <c r="N787" s="300">
        <v>0</v>
      </c>
      <c r="O787" s="300">
        <v>0</v>
      </c>
      <c r="P787" s="231">
        <v>5150</v>
      </c>
      <c r="Q787" s="231">
        <v>6365</v>
      </c>
      <c r="R787" s="231"/>
      <c r="S787" s="392">
        <v>81467</v>
      </c>
      <c r="T787" s="231">
        <v>5298</v>
      </c>
      <c r="U787" s="396">
        <v>86765</v>
      </c>
      <c r="V787" s="231"/>
      <c r="W787" s="396">
        <v>519285</v>
      </c>
      <c r="X787" s="396">
        <v>96884</v>
      </c>
      <c r="Y787" s="396"/>
      <c r="Z787" s="396"/>
    </row>
    <row r="788" spans="1:26">
      <c r="A788" s="424">
        <v>98471</v>
      </c>
      <c r="B788" s="423" t="s">
        <v>1638</v>
      </c>
      <c r="C788" s="234">
        <v>9.5000000000000005E-6</v>
      </c>
      <c r="D788" s="234">
        <v>8.3999999999999992E-6</v>
      </c>
      <c r="E788" s="231">
        <v>53594</v>
      </c>
      <c r="F788" s="231" t="s">
        <v>1924</v>
      </c>
      <c r="G788" s="392">
        <v>2309</v>
      </c>
      <c r="H788" s="392">
        <v>17713</v>
      </c>
      <c r="I788" s="392">
        <v>5347</v>
      </c>
      <c r="J788" s="231">
        <v>1998</v>
      </c>
      <c r="K788" s="231">
        <v>27367</v>
      </c>
      <c r="L788" s="231"/>
      <c r="M788" s="300">
        <v>226</v>
      </c>
      <c r="N788" s="300">
        <v>0</v>
      </c>
      <c r="O788" s="300">
        <v>0</v>
      </c>
      <c r="P788" s="231">
        <v>45</v>
      </c>
      <c r="Q788" s="231">
        <v>271</v>
      </c>
      <c r="R788" s="231"/>
      <c r="S788" s="392">
        <v>15175</v>
      </c>
      <c r="T788" s="231">
        <v>2565</v>
      </c>
      <c r="U788" s="396">
        <v>17740</v>
      </c>
      <c r="V788" s="231"/>
      <c r="W788" s="396">
        <v>96729</v>
      </c>
      <c r="X788" s="396">
        <v>18047</v>
      </c>
      <c r="Y788" s="396"/>
      <c r="Z788" s="396"/>
    </row>
    <row r="789" spans="1:26">
      <c r="A789" s="424">
        <v>98481</v>
      </c>
      <c r="B789" s="423" t="s">
        <v>1494</v>
      </c>
      <c r="C789" s="234">
        <v>7.5900000000000002E-5</v>
      </c>
      <c r="D789" s="234">
        <v>7.0199999999999999E-5</v>
      </c>
      <c r="E789" s="231">
        <v>428184</v>
      </c>
      <c r="F789" s="231" t="s">
        <v>1924</v>
      </c>
      <c r="G789" s="392">
        <v>18450</v>
      </c>
      <c r="H789" s="392">
        <v>141519</v>
      </c>
      <c r="I789" s="392">
        <v>42723</v>
      </c>
      <c r="J789" s="231">
        <v>12425</v>
      </c>
      <c r="K789" s="231">
        <v>215117</v>
      </c>
      <c r="L789" s="231"/>
      <c r="M789" s="300">
        <v>1809</v>
      </c>
      <c r="N789" s="300">
        <v>0</v>
      </c>
      <c r="O789" s="300">
        <v>0</v>
      </c>
      <c r="P789" s="231">
        <v>2227</v>
      </c>
      <c r="Q789" s="231">
        <v>4036</v>
      </c>
      <c r="R789" s="231"/>
      <c r="S789" s="392">
        <v>121243</v>
      </c>
      <c r="T789" s="231">
        <v>4187</v>
      </c>
      <c r="U789" s="396">
        <v>125430</v>
      </c>
      <c r="V789" s="231"/>
      <c r="W789" s="396">
        <v>772818</v>
      </c>
      <c r="X789" s="396">
        <v>144187</v>
      </c>
      <c r="Y789" s="396"/>
      <c r="Z789" s="396"/>
    </row>
    <row r="790" spans="1:26">
      <c r="A790" s="424">
        <v>98501</v>
      </c>
      <c r="B790" s="423" t="s">
        <v>1495</v>
      </c>
      <c r="C790" s="234">
        <v>2.0772E-3</v>
      </c>
      <c r="D790" s="234">
        <v>2.1158000000000001E-3</v>
      </c>
      <c r="E790" s="231">
        <v>11718374</v>
      </c>
      <c r="F790" s="231" t="s">
        <v>1924</v>
      </c>
      <c r="G790" s="392">
        <v>504934</v>
      </c>
      <c r="H790" s="392">
        <v>3873045</v>
      </c>
      <c r="I790" s="392">
        <v>1169231</v>
      </c>
      <c r="J790" s="231">
        <v>426520</v>
      </c>
      <c r="K790" s="231">
        <v>5973730</v>
      </c>
      <c r="L790" s="231"/>
      <c r="M790" s="300">
        <v>49506</v>
      </c>
      <c r="N790" s="300">
        <v>0</v>
      </c>
      <c r="O790" s="300">
        <v>0</v>
      </c>
      <c r="P790" s="231">
        <v>97652</v>
      </c>
      <c r="Q790" s="231">
        <v>147158</v>
      </c>
      <c r="R790" s="231"/>
      <c r="S790" s="392">
        <v>3318121</v>
      </c>
      <c r="T790" s="231">
        <v>245706</v>
      </c>
      <c r="U790" s="396">
        <v>3563827</v>
      </c>
      <c r="V790" s="231"/>
      <c r="W790" s="396">
        <v>21150156</v>
      </c>
      <c r="X790" s="396">
        <v>3946038</v>
      </c>
      <c r="Y790" s="396"/>
      <c r="Z790" s="396"/>
    </row>
    <row r="791" spans="1:26">
      <c r="A791" s="424">
        <v>98511</v>
      </c>
      <c r="B791" s="423" t="s">
        <v>1496</v>
      </c>
      <c r="C791" s="234">
        <v>6.9300000000000004E-5</v>
      </c>
      <c r="D791" s="234">
        <v>4.9599999999999999E-5</v>
      </c>
      <c r="E791" s="231">
        <v>390951</v>
      </c>
      <c r="F791" s="231" t="s">
        <v>1924</v>
      </c>
      <c r="G791" s="392">
        <v>16846</v>
      </c>
      <c r="H791" s="392">
        <v>129213</v>
      </c>
      <c r="I791" s="392">
        <v>39008</v>
      </c>
      <c r="J791" s="231">
        <v>38574</v>
      </c>
      <c r="K791" s="231">
        <v>223641</v>
      </c>
      <c r="L791" s="231"/>
      <c r="M791" s="300">
        <v>1652</v>
      </c>
      <c r="N791" s="300">
        <v>0</v>
      </c>
      <c r="O791" s="300">
        <v>0</v>
      </c>
      <c r="P791" s="231">
        <v>1605</v>
      </c>
      <c r="Q791" s="231">
        <v>3257</v>
      </c>
      <c r="R791" s="231"/>
      <c r="S791" s="392">
        <v>110700</v>
      </c>
      <c r="T791" s="231">
        <v>12862</v>
      </c>
      <c r="U791" s="396">
        <v>123562</v>
      </c>
      <c r="V791" s="231"/>
      <c r="W791" s="396">
        <v>705616</v>
      </c>
      <c r="X791" s="396">
        <v>131649</v>
      </c>
      <c r="Y791" s="396"/>
      <c r="Z791" s="396"/>
    </row>
    <row r="792" spans="1:26">
      <c r="A792" s="424">
        <v>98517</v>
      </c>
      <c r="B792" s="423" t="s">
        <v>1497</v>
      </c>
      <c r="C792" s="234">
        <v>1.95E-5</v>
      </c>
      <c r="D792" s="234">
        <v>1.5999999999999999E-5</v>
      </c>
      <c r="E792" s="231">
        <v>110008</v>
      </c>
      <c r="F792" s="231" t="s">
        <v>1924</v>
      </c>
      <c r="G792" s="392">
        <v>4740</v>
      </c>
      <c r="H792" s="392">
        <v>36359</v>
      </c>
      <c r="I792" s="392">
        <v>10976</v>
      </c>
      <c r="J792" s="231">
        <v>15205</v>
      </c>
      <c r="K792" s="231">
        <v>67280</v>
      </c>
      <c r="L792" s="231"/>
      <c r="M792" s="300">
        <v>465</v>
      </c>
      <c r="N792" s="300">
        <v>0</v>
      </c>
      <c r="O792" s="300">
        <v>0</v>
      </c>
      <c r="P792" s="231">
        <v>1329</v>
      </c>
      <c r="Q792" s="231">
        <v>1794</v>
      </c>
      <c r="R792" s="231"/>
      <c r="S792" s="392">
        <v>31149</v>
      </c>
      <c r="T792" s="231">
        <v>7603</v>
      </c>
      <c r="U792" s="396">
        <v>38752</v>
      </c>
      <c r="V792" s="231"/>
      <c r="W792" s="396">
        <v>198550</v>
      </c>
      <c r="X792" s="396">
        <v>37044</v>
      </c>
      <c r="Y792" s="396"/>
      <c r="Z792" s="396"/>
    </row>
    <row r="793" spans="1:26">
      <c r="A793" s="424">
        <v>98521</v>
      </c>
      <c r="B793" s="423" t="s">
        <v>1498</v>
      </c>
      <c r="C793" s="234">
        <v>6.4190000000000004E-4</v>
      </c>
      <c r="D793" s="234">
        <v>6.4740000000000002E-4</v>
      </c>
      <c r="E793" s="231">
        <v>3621233</v>
      </c>
      <c r="F793" s="231" t="s">
        <v>1924</v>
      </c>
      <c r="G793" s="392">
        <v>156036</v>
      </c>
      <c r="H793" s="392">
        <v>1196855</v>
      </c>
      <c r="I793" s="392">
        <v>361318</v>
      </c>
      <c r="J793" s="231">
        <v>9127</v>
      </c>
      <c r="K793" s="231">
        <v>1723336</v>
      </c>
      <c r="L793" s="231"/>
      <c r="M793" s="300">
        <v>15298</v>
      </c>
      <c r="N793" s="300">
        <v>0</v>
      </c>
      <c r="O793" s="300">
        <v>0</v>
      </c>
      <c r="P793" s="231">
        <v>51953</v>
      </c>
      <c r="Q793" s="231">
        <v>67251</v>
      </c>
      <c r="R793" s="231"/>
      <c r="S793" s="392">
        <v>1025372</v>
      </c>
      <c r="T793" s="231">
        <v>-21789</v>
      </c>
      <c r="U793" s="396">
        <v>1003583</v>
      </c>
      <c r="V793" s="231"/>
      <c r="W793" s="396">
        <v>6535859</v>
      </c>
      <c r="X793" s="396">
        <v>1219412</v>
      </c>
      <c r="Y793" s="396"/>
      <c r="Z793" s="396"/>
    </row>
    <row r="794" spans="1:26">
      <c r="A794" s="424">
        <v>98601</v>
      </c>
      <c r="B794" s="423" t="s">
        <v>1499</v>
      </c>
      <c r="C794" s="234">
        <v>3.5021000000000002E-3</v>
      </c>
      <c r="D794" s="234">
        <v>3.5036999999999998E-3</v>
      </c>
      <c r="E794" s="231">
        <v>19756845</v>
      </c>
      <c r="F794" s="231" t="s">
        <v>1924</v>
      </c>
      <c r="G794" s="392">
        <v>851304</v>
      </c>
      <c r="H794" s="392">
        <v>6529844</v>
      </c>
      <c r="I794" s="392">
        <v>1971290</v>
      </c>
      <c r="J794" s="231">
        <v>19580</v>
      </c>
      <c r="K794" s="231">
        <v>9372018</v>
      </c>
      <c r="L794" s="231"/>
      <c r="M794" s="300">
        <v>83466</v>
      </c>
      <c r="N794" s="300">
        <v>0</v>
      </c>
      <c r="O794" s="300">
        <v>0</v>
      </c>
      <c r="P794" s="231">
        <v>219321</v>
      </c>
      <c r="Q794" s="231">
        <v>302787</v>
      </c>
      <c r="R794" s="231"/>
      <c r="S794" s="392">
        <v>5594258</v>
      </c>
      <c r="T794" s="231">
        <v>-81299</v>
      </c>
      <c r="U794" s="396">
        <v>5512959</v>
      </c>
      <c r="V794" s="231"/>
      <c r="W794" s="396">
        <v>35658561</v>
      </c>
      <c r="X794" s="396">
        <v>6652908</v>
      </c>
      <c r="Y794" s="396"/>
      <c r="Z794" s="396"/>
    </row>
    <row r="795" spans="1:26">
      <c r="A795" s="424">
        <v>98604</v>
      </c>
      <c r="B795" s="423" t="s">
        <v>1500</v>
      </c>
      <c r="C795" s="234">
        <v>1.7399999999999999E-5</v>
      </c>
      <c r="D795" s="234">
        <v>1.5099999999999999E-5</v>
      </c>
      <c r="E795" s="231">
        <v>98161</v>
      </c>
      <c r="F795" s="231" t="s">
        <v>1924</v>
      </c>
      <c r="G795" s="392">
        <v>4230</v>
      </c>
      <c r="H795" s="392">
        <v>32443</v>
      </c>
      <c r="I795" s="392">
        <v>9794</v>
      </c>
      <c r="J795" s="231">
        <v>9755</v>
      </c>
      <c r="K795" s="231">
        <v>56222</v>
      </c>
      <c r="L795" s="231"/>
      <c r="M795" s="300">
        <v>415</v>
      </c>
      <c r="N795" s="300">
        <v>0</v>
      </c>
      <c r="O795" s="300">
        <v>0</v>
      </c>
      <c r="P795" s="231">
        <v>0</v>
      </c>
      <c r="Q795" s="231">
        <v>415</v>
      </c>
      <c r="R795" s="231"/>
      <c r="S795" s="392">
        <v>27795</v>
      </c>
      <c r="T795" s="231">
        <v>5145</v>
      </c>
      <c r="U795" s="396">
        <v>32940</v>
      </c>
      <c r="V795" s="231"/>
      <c r="W795" s="396">
        <v>177168</v>
      </c>
      <c r="X795" s="396">
        <v>33055</v>
      </c>
      <c r="Y795" s="396"/>
      <c r="Z795" s="396"/>
    </row>
    <row r="796" spans="1:26">
      <c r="A796" s="424">
        <v>98607</v>
      </c>
      <c r="B796" s="423" t="s">
        <v>1501</v>
      </c>
      <c r="C796" s="234">
        <v>1.29E-5</v>
      </c>
      <c r="D796" s="234">
        <v>5.4E-6</v>
      </c>
      <c r="E796" s="231">
        <v>72774</v>
      </c>
      <c r="F796" s="231" t="s">
        <v>1924</v>
      </c>
      <c r="G796" s="392">
        <v>3136</v>
      </c>
      <c r="H796" s="392">
        <v>24053</v>
      </c>
      <c r="I796" s="392">
        <v>7261</v>
      </c>
      <c r="J796" s="231">
        <v>12880</v>
      </c>
      <c r="K796" s="231">
        <v>47330</v>
      </c>
      <c r="L796" s="231"/>
      <c r="M796" s="300">
        <v>307</v>
      </c>
      <c r="N796" s="300">
        <v>0</v>
      </c>
      <c r="O796" s="300">
        <v>0</v>
      </c>
      <c r="P796" s="231">
        <v>189</v>
      </c>
      <c r="Q796" s="231">
        <v>496</v>
      </c>
      <c r="R796" s="231"/>
      <c r="S796" s="392">
        <v>20606</v>
      </c>
      <c r="T796" s="231">
        <v>4741</v>
      </c>
      <c r="U796" s="396">
        <v>25347</v>
      </c>
      <c r="V796" s="231"/>
      <c r="W796" s="396">
        <v>131348</v>
      </c>
      <c r="X796" s="396">
        <v>24506</v>
      </c>
      <c r="Y796" s="396"/>
      <c r="Z796" s="396"/>
    </row>
    <row r="797" spans="1:26">
      <c r="A797" s="424">
        <v>98608</v>
      </c>
      <c r="B797" s="423" t="s">
        <v>1502</v>
      </c>
      <c r="C797" s="234">
        <v>6.3899999999999995E-5</v>
      </c>
      <c r="D797" s="234">
        <v>6.9300000000000004E-5</v>
      </c>
      <c r="E797" s="231">
        <v>360487</v>
      </c>
      <c r="F797" s="231" t="s">
        <v>1924</v>
      </c>
      <c r="G797" s="392">
        <v>15533</v>
      </c>
      <c r="H797" s="392">
        <v>119145</v>
      </c>
      <c r="I797" s="392">
        <v>35969</v>
      </c>
      <c r="J797" s="231">
        <v>15864</v>
      </c>
      <c r="K797" s="231">
        <v>186511</v>
      </c>
      <c r="L797" s="231"/>
      <c r="M797" s="300">
        <v>1523</v>
      </c>
      <c r="N797" s="300">
        <v>0</v>
      </c>
      <c r="O797" s="300">
        <v>0</v>
      </c>
      <c r="P797" s="231">
        <v>4886</v>
      </c>
      <c r="Q797" s="231">
        <v>6409</v>
      </c>
      <c r="R797" s="231"/>
      <c r="S797" s="392">
        <v>102074</v>
      </c>
      <c r="T797" s="231">
        <v>10520</v>
      </c>
      <c r="U797" s="396">
        <v>112594</v>
      </c>
      <c r="V797" s="231"/>
      <c r="W797" s="396">
        <v>650633</v>
      </c>
      <c r="X797" s="396">
        <v>121390</v>
      </c>
      <c r="Y797" s="396"/>
      <c r="Z797" s="396"/>
    </row>
    <row r="798" spans="1:26">
      <c r="A798" s="424">
        <v>98611</v>
      </c>
      <c r="B798" s="423" t="s">
        <v>1503</v>
      </c>
      <c r="C798" s="234">
        <v>1.3009999999999999E-4</v>
      </c>
      <c r="D798" s="234">
        <v>1.1E-4</v>
      </c>
      <c r="E798" s="231">
        <v>733950</v>
      </c>
      <c r="F798" s="231" t="s">
        <v>1924</v>
      </c>
      <c r="G798" s="392">
        <v>31625</v>
      </c>
      <c r="H798" s="392">
        <v>242578</v>
      </c>
      <c r="I798" s="392">
        <v>73232</v>
      </c>
      <c r="J798" s="231">
        <v>27264</v>
      </c>
      <c r="K798" s="231">
        <v>374699</v>
      </c>
      <c r="L798" s="231"/>
      <c r="M798" s="300">
        <v>3101</v>
      </c>
      <c r="N798" s="300">
        <v>0</v>
      </c>
      <c r="O798" s="300">
        <v>0</v>
      </c>
      <c r="P798" s="231">
        <v>4316</v>
      </c>
      <c r="Q798" s="231">
        <v>7417</v>
      </c>
      <c r="R798" s="231"/>
      <c r="S798" s="392">
        <v>207822</v>
      </c>
      <c r="T798" s="231">
        <v>11677</v>
      </c>
      <c r="U798" s="396">
        <v>219499</v>
      </c>
      <c r="V798" s="231"/>
      <c r="W798" s="396">
        <v>1324685</v>
      </c>
      <c r="X798" s="396">
        <v>247150</v>
      </c>
      <c r="Y798" s="396"/>
      <c r="Z798" s="396"/>
    </row>
    <row r="799" spans="1:26">
      <c r="A799" s="424">
        <v>98621</v>
      </c>
      <c r="B799" s="423" t="s">
        <v>1504</v>
      </c>
      <c r="C799" s="234">
        <v>1.371E-4</v>
      </c>
      <c r="D799" s="234">
        <v>1.405E-4</v>
      </c>
      <c r="E799" s="231">
        <v>773440</v>
      </c>
      <c r="F799" s="231" t="s">
        <v>1924</v>
      </c>
      <c r="G799" s="392">
        <v>33327</v>
      </c>
      <c r="H799" s="392">
        <v>255630</v>
      </c>
      <c r="I799" s="392">
        <v>77172</v>
      </c>
      <c r="J799" s="231">
        <v>3734</v>
      </c>
      <c r="K799" s="231">
        <v>369863</v>
      </c>
      <c r="L799" s="231"/>
      <c r="M799" s="300">
        <v>3268</v>
      </c>
      <c r="N799" s="300">
        <v>0</v>
      </c>
      <c r="O799" s="300">
        <v>0</v>
      </c>
      <c r="P799" s="231">
        <v>10448</v>
      </c>
      <c r="Q799" s="231">
        <v>13716</v>
      </c>
      <c r="R799" s="231"/>
      <c r="S799" s="392">
        <v>219004</v>
      </c>
      <c r="T799" s="231">
        <v>-887</v>
      </c>
      <c r="U799" s="396">
        <v>218117</v>
      </c>
      <c r="V799" s="231"/>
      <c r="W799" s="396">
        <v>1395959</v>
      </c>
      <c r="X799" s="396">
        <v>260448</v>
      </c>
      <c r="Y799" s="396"/>
      <c r="Z799" s="396"/>
    </row>
    <row r="800" spans="1:26">
      <c r="A800" s="424">
        <v>98627</v>
      </c>
      <c r="B800" s="423" t="s">
        <v>1505</v>
      </c>
      <c r="C800" s="234">
        <v>1.0200000000000001E-5</v>
      </c>
      <c r="D800" s="234">
        <v>1.0200000000000001E-5</v>
      </c>
      <c r="E800" s="231">
        <v>57543</v>
      </c>
      <c r="F800" s="231" t="s">
        <v>1924</v>
      </c>
      <c r="G800" s="392">
        <v>2479</v>
      </c>
      <c r="H800" s="392">
        <v>19018</v>
      </c>
      <c r="I800" s="392">
        <v>5741</v>
      </c>
      <c r="J800" s="231">
        <v>3220</v>
      </c>
      <c r="K800" s="231">
        <v>30458</v>
      </c>
      <c r="L800" s="231"/>
      <c r="M800" s="300">
        <v>243</v>
      </c>
      <c r="N800" s="300">
        <v>0</v>
      </c>
      <c r="O800" s="300">
        <v>0</v>
      </c>
      <c r="P800" s="231">
        <v>423</v>
      </c>
      <c r="Q800" s="231">
        <v>666</v>
      </c>
      <c r="R800" s="231"/>
      <c r="S800" s="392">
        <v>16293</v>
      </c>
      <c r="T800" s="231">
        <v>1075</v>
      </c>
      <c r="U800" s="396">
        <v>17368</v>
      </c>
      <c r="V800" s="231"/>
      <c r="W800" s="396">
        <v>103857</v>
      </c>
      <c r="X800" s="396">
        <v>19377</v>
      </c>
      <c r="Y800" s="396"/>
      <c r="Z800" s="396"/>
    </row>
    <row r="801" spans="1:26">
      <c r="A801" s="424">
        <v>98631</v>
      </c>
      <c r="B801" s="423" t="s">
        <v>1506</v>
      </c>
      <c r="C801" s="234">
        <v>8.3949999999999997E-4</v>
      </c>
      <c r="D801" s="234">
        <v>8.5400000000000005E-4</v>
      </c>
      <c r="E801" s="231">
        <v>4735979</v>
      </c>
      <c r="F801" s="231" t="s">
        <v>1924</v>
      </c>
      <c r="G801" s="392">
        <v>204069</v>
      </c>
      <c r="H801" s="392">
        <v>1565291</v>
      </c>
      <c r="I801" s="392">
        <v>472544</v>
      </c>
      <c r="J801" s="231">
        <v>19567</v>
      </c>
      <c r="K801" s="231">
        <v>2261471</v>
      </c>
      <c r="L801" s="231"/>
      <c r="M801" s="300">
        <v>20008</v>
      </c>
      <c r="N801" s="300">
        <v>0</v>
      </c>
      <c r="O801" s="300">
        <v>0</v>
      </c>
      <c r="P801" s="231">
        <v>122033</v>
      </c>
      <c r="Q801" s="231">
        <v>142041</v>
      </c>
      <c r="R801" s="231"/>
      <c r="S801" s="392">
        <v>1341018</v>
      </c>
      <c r="T801" s="231">
        <v>-63644</v>
      </c>
      <c r="U801" s="396">
        <v>1277374</v>
      </c>
      <c r="V801" s="231"/>
      <c r="W801" s="396">
        <v>8547832</v>
      </c>
      <c r="X801" s="396">
        <v>1594791</v>
      </c>
      <c r="Y801" s="396"/>
      <c r="Z801" s="396"/>
    </row>
    <row r="802" spans="1:26">
      <c r="A802" s="424">
        <v>98637</v>
      </c>
      <c r="B802" s="423" t="s">
        <v>1507</v>
      </c>
      <c r="C802" s="234">
        <v>2.1500000000000001E-5</v>
      </c>
      <c r="D802" s="234">
        <v>2.1299999999999999E-5</v>
      </c>
      <c r="E802" s="231">
        <v>121291</v>
      </c>
      <c r="F802" s="231" t="s">
        <v>1924</v>
      </c>
      <c r="G802" s="392">
        <v>5226</v>
      </c>
      <c r="H802" s="392">
        <v>40088</v>
      </c>
      <c r="I802" s="392">
        <v>12102</v>
      </c>
      <c r="J802" s="231">
        <v>15969</v>
      </c>
      <c r="K802" s="231">
        <v>73385</v>
      </c>
      <c r="L802" s="231"/>
      <c r="M802" s="300">
        <v>512</v>
      </c>
      <c r="N802" s="300">
        <v>0</v>
      </c>
      <c r="O802" s="300">
        <v>0</v>
      </c>
      <c r="P802" s="231">
        <v>0</v>
      </c>
      <c r="Q802" s="231">
        <v>512</v>
      </c>
      <c r="R802" s="231"/>
      <c r="S802" s="392">
        <v>34344</v>
      </c>
      <c r="T802" s="231">
        <v>10810</v>
      </c>
      <c r="U802" s="396">
        <v>45154</v>
      </c>
      <c r="V802" s="231"/>
      <c r="W802" s="396">
        <v>218914</v>
      </c>
      <c r="X802" s="396">
        <v>40843</v>
      </c>
      <c r="Y802" s="396"/>
      <c r="Z802" s="396"/>
    </row>
    <row r="803" spans="1:26">
      <c r="A803" s="424">
        <v>98641</v>
      </c>
      <c r="B803" s="423" t="s">
        <v>1508</v>
      </c>
      <c r="C803" s="234">
        <v>2.9119999999999998E-4</v>
      </c>
      <c r="D803" s="234">
        <v>3.1060000000000001E-4</v>
      </c>
      <c r="E803" s="231">
        <v>1642784</v>
      </c>
      <c r="F803" s="231" t="s">
        <v>1924</v>
      </c>
      <c r="G803" s="392">
        <v>70786</v>
      </c>
      <c r="H803" s="392">
        <v>542957</v>
      </c>
      <c r="I803" s="392">
        <v>163913</v>
      </c>
      <c r="J803" s="231">
        <v>32730</v>
      </c>
      <c r="K803" s="231">
        <v>810386</v>
      </c>
      <c r="L803" s="231"/>
      <c r="M803" s="300">
        <v>6940</v>
      </c>
      <c r="N803" s="300">
        <v>0</v>
      </c>
      <c r="O803" s="300">
        <v>0</v>
      </c>
      <c r="P803" s="231">
        <v>37540</v>
      </c>
      <c r="Q803" s="231">
        <v>44480</v>
      </c>
      <c r="R803" s="231"/>
      <c r="S803" s="392">
        <v>465163</v>
      </c>
      <c r="T803" s="231">
        <v>7734</v>
      </c>
      <c r="U803" s="396">
        <v>472897</v>
      </c>
      <c r="V803" s="231"/>
      <c r="W803" s="396">
        <v>2965013</v>
      </c>
      <c r="X803" s="396">
        <v>553190</v>
      </c>
      <c r="Y803" s="396"/>
      <c r="Z803" s="396"/>
    </row>
    <row r="804" spans="1:26">
      <c r="A804" s="424">
        <v>98701</v>
      </c>
      <c r="B804" s="423" t="s">
        <v>1509</v>
      </c>
      <c r="C804" s="234">
        <v>1.1123999999999999E-3</v>
      </c>
      <c r="D804" s="234">
        <v>1.0554E-3</v>
      </c>
      <c r="E804" s="231">
        <v>6275525</v>
      </c>
      <c r="F804" s="231" t="s">
        <v>1924</v>
      </c>
      <c r="G804" s="392">
        <v>270407</v>
      </c>
      <c r="H804" s="392">
        <v>2074127</v>
      </c>
      <c r="I804" s="392">
        <v>626157</v>
      </c>
      <c r="J804" s="231">
        <v>169620</v>
      </c>
      <c r="K804" s="231">
        <v>3140311</v>
      </c>
      <c r="L804" s="231"/>
      <c r="M804" s="300">
        <v>26512</v>
      </c>
      <c r="N804" s="300">
        <v>0</v>
      </c>
      <c r="O804" s="300">
        <v>0</v>
      </c>
      <c r="P804" s="231">
        <v>19379</v>
      </c>
      <c r="Q804" s="231">
        <v>45891</v>
      </c>
      <c r="R804" s="231"/>
      <c r="S804" s="392">
        <v>1776949</v>
      </c>
      <c r="T804" s="231">
        <v>51999</v>
      </c>
      <c r="U804" s="396">
        <v>1828948</v>
      </c>
      <c r="V804" s="231"/>
      <c r="W804" s="396">
        <v>11326514</v>
      </c>
      <c r="X804" s="396">
        <v>2113216</v>
      </c>
      <c r="Y804" s="396"/>
      <c r="Z804" s="396"/>
    </row>
    <row r="805" spans="1:26">
      <c r="A805" s="428">
        <v>98711</v>
      </c>
      <c r="B805" s="427" t="s">
        <v>1510</v>
      </c>
      <c r="C805" s="234">
        <v>1.7450000000000001E-4</v>
      </c>
      <c r="D805" s="234">
        <v>1.6440000000000001E-4</v>
      </c>
      <c r="E805" s="231">
        <v>984429</v>
      </c>
      <c r="F805" s="231" t="s">
        <v>1924</v>
      </c>
      <c r="G805" s="392">
        <v>42418</v>
      </c>
      <c r="H805" s="392">
        <v>325364</v>
      </c>
      <c r="I805" s="392">
        <v>98224</v>
      </c>
      <c r="J805" s="231">
        <v>27672</v>
      </c>
      <c r="K805" s="231">
        <v>493678</v>
      </c>
      <c r="L805" s="231"/>
      <c r="M805" s="300">
        <v>4159</v>
      </c>
      <c r="N805" s="300">
        <v>0</v>
      </c>
      <c r="O805" s="300">
        <v>0</v>
      </c>
      <c r="P805" s="231">
        <v>11741</v>
      </c>
      <c r="Q805" s="231">
        <v>15900</v>
      </c>
      <c r="R805" s="231"/>
      <c r="S805" s="392">
        <v>278746</v>
      </c>
      <c r="T805" s="231">
        <v>-4560</v>
      </c>
      <c r="U805" s="396">
        <v>274186</v>
      </c>
      <c r="V805" s="231"/>
      <c r="W805" s="396">
        <v>1776768</v>
      </c>
      <c r="X805" s="396">
        <v>331496</v>
      </c>
      <c r="Y805" s="396"/>
      <c r="Z805" s="396"/>
    </row>
    <row r="806" spans="1:26">
      <c r="A806" s="428">
        <v>98717</v>
      </c>
      <c r="B806" s="427" t="s">
        <v>1511</v>
      </c>
      <c r="C806" s="234">
        <v>2.1299999999999999E-5</v>
      </c>
      <c r="D806" s="234">
        <v>1.1600000000000001E-5</v>
      </c>
      <c r="E806" s="231">
        <v>120162</v>
      </c>
      <c r="F806" s="231" t="s">
        <v>1924</v>
      </c>
      <c r="G806" s="392">
        <v>5178</v>
      </c>
      <c r="H806" s="392">
        <v>39715</v>
      </c>
      <c r="I806" s="392">
        <v>11990</v>
      </c>
      <c r="J806" s="231">
        <v>15970</v>
      </c>
      <c r="K806" s="231">
        <v>72853</v>
      </c>
      <c r="L806" s="231"/>
      <c r="M806" s="300">
        <v>508</v>
      </c>
      <c r="N806" s="300">
        <v>0</v>
      </c>
      <c r="O806" s="300">
        <v>0</v>
      </c>
      <c r="P806" s="231">
        <v>6104</v>
      </c>
      <c r="Q806" s="231">
        <v>6612</v>
      </c>
      <c r="R806" s="231"/>
      <c r="S806" s="392">
        <v>34025</v>
      </c>
      <c r="T806" s="231">
        <v>1024</v>
      </c>
      <c r="U806" s="396">
        <v>35049</v>
      </c>
      <c r="V806" s="231"/>
      <c r="W806" s="396">
        <v>216878</v>
      </c>
      <c r="X806" s="396">
        <v>40463</v>
      </c>
      <c r="Y806" s="396"/>
      <c r="Z806" s="396"/>
    </row>
    <row r="807" spans="1:26">
      <c r="A807" s="428">
        <v>98801</v>
      </c>
      <c r="B807" s="427" t="s">
        <v>1512</v>
      </c>
      <c r="C807" s="234">
        <v>2.4077E-3</v>
      </c>
      <c r="D807" s="234">
        <v>2.4087000000000002E-3</v>
      </c>
      <c r="E807" s="231">
        <v>13582866</v>
      </c>
      <c r="F807" s="231" t="s">
        <v>1924</v>
      </c>
      <c r="G807" s="392">
        <v>585273</v>
      </c>
      <c r="H807" s="392">
        <v>4489279</v>
      </c>
      <c r="I807" s="392">
        <v>1355265</v>
      </c>
      <c r="J807" s="231">
        <v>292793</v>
      </c>
      <c r="K807" s="231">
        <v>6722610</v>
      </c>
      <c r="L807" s="231"/>
      <c r="M807" s="300">
        <v>57383</v>
      </c>
      <c r="N807" s="300">
        <v>0</v>
      </c>
      <c r="O807" s="300">
        <v>0</v>
      </c>
      <c r="P807" s="231">
        <v>0</v>
      </c>
      <c r="Q807" s="231">
        <v>57383</v>
      </c>
      <c r="R807" s="231"/>
      <c r="S807" s="392">
        <v>3846062</v>
      </c>
      <c r="T807" s="231">
        <v>178172</v>
      </c>
      <c r="U807" s="396">
        <v>4024234</v>
      </c>
      <c r="V807" s="231"/>
      <c r="W807" s="396">
        <v>24515324</v>
      </c>
      <c r="X807" s="396">
        <v>4573886</v>
      </c>
      <c r="Y807" s="396"/>
      <c r="Z807" s="396"/>
    </row>
    <row r="808" spans="1:26">
      <c r="A808" s="428">
        <v>98811</v>
      </c>
      <c r="B808" s="427" t="s">
        <v>1513</v>
      </c>
      <c r="C808" s="234">
        <v>6.0110000000000003E-4</v>
      </c>
      <c r="D808" s="234">
        <v>5.6229999999999995E-4</v>
      </c>
      <c r="E808" s="231">
        <v>3391062</v>
      </c>
      <c r="F808" s="231" t="s">
        <v>1924</v>
      </c>
      <c r="G808" s="392">
        <v>146118</v>
      </c>
      <c r="H808" s="392">
        <v>1120782</v>
      </c>
      <c r="I808" s="392">
        <v>338352</v>
      </c>
      <c r="J808" s="231">
        <v>122554</v>
      </c>
      <c r="K808" s="231">
        <v>1727806</v>
      </c>
      <c r="L808" s="231"/>
      <c r="M808" s="300">
        <v>14326</v>
      </c>
      <c r="N808" s="300">
        <v>0</v>
      </c>
      <c r="O808" s="300">
        <v>0</v>
      </c>
      <c r="P808" s="231">
        <v>83420</v>
      </c>
      <c r="Q808" s="231">
        <v>97746</v>
      </c>
      <c r="R808" s="231"/>
      <c r="S808" s="392">
        <v>960198</v>
      </c>
      <c r="T808" s="231">
        <v>10539</v>
      </c>
      <c r="U808" s="396">
        <v>970737</v>
      </c>
      <c r="V808" s="231"/>
      <c r="W808" s="396">
        <v>6120431</v>
      </c>
      <c r="X808" s="396">
        <v>1141904</v>
      </c>
      <c r="Y808" s="396"/>
      <c r="Z808" s="396"/>
    </row>
    <row r="809" spans="1:26">
      <c r="A809" s="428">
        <v>98817</v>
      </c>
      <c r="B809" s="427" t="s">
        <v>1514</v>
      </c>
      <c r="C809" s="234">
        <v>1.31E-5</v>
      </c>
      <c r="D809" s="234">
        <v>1.5999999999999999E-5</v>
      </c>
      <c r="E809" s="231">
        <v>73903</v>
      </c>
      <c r="F809" s="231" t="s">
        <v>1924</v>
      </c>
      <c r="G809" s="392">
        <v>3184</v>
      </c>
      <c r="H809" s="392">
        <v>24426</v>
      </c>
      <c r="I809" s="392">
        <v>7374</v>
      </c>
      <c r="J809" s="231">
        <v>4250</v>
      </c>
      <c r="K809" s="231">
        <v>39234</v>
      </c>
      <c r="L809" s="231"/>
      <c r="M809" s="300">
        <v>312</v>
      </c>
      <c r="N809" s="300">
        <v>0</v>
      </c>
      <c r="O809" s="300">
        <v>0</v>
      </c>
      <c r="P809" s="231">
        <v>2149</v>
      </c>
      <c r="Q809" s="231">
        <v>2461</v>
      </c>
      <c r="R809" s="231"/>
      <c r="S809" s="392">
        <v>20926</v>
      </c>
      <c r="T809" s="231">
        <v>773</v>
      </c>
      <c r="U809" s="396">
        <v>21699</v>
      </c>
      <c r="V809" s="231"/>
      <c r="W809" s="396">
        <v>133385</v>
      </c>
      <c r="X809" s="396">
        <v>24886</v>
      </c>
      <c r="Y809" s="396"/>
      <c r="Z809" s="396"/>
    </row>
    <row r="810" spans="1:26">
      <c r="A810" s="428">
        <v>98901</v>
      </c>
      <c r="B810" s="427" t="s">
        <v>1515</v>
      </c>
      <c r="C810" s="234">
        <v>2.6180000000000002E-4</v>
      </c>
      <c r="D810" s="234">
        <v>2.7609999999999999E-4</v>
      </c>
      <c r="E810" s="231">
        <v>1476926</v>
      </c>
      <c r="F810" s="231" t="s">
        <v>1924</v>
      </c>
      <c r="G810" s="392">
        <v>63639</v>
      </c>
      <c r="H810" s="392">
        <v>488139</v>
      </c>
      <c r="I810" s="392">
        <v>147364</v>
      </c>
      <c r="J810" s="231">
        <v>8474</v>
      </c>
      <c r="K810" s="231">
        <v>707616</v>
      </c>
      <c r="L810" s="231"/>
      <c r="M810" s="300">
        <v>6239</v>
      </c>
      <c r="N810" s="300">
        <v>0</v>
      </c>
      <c r="O810" s="300">
        <v>0</v>
      </c>
      <c r="P810" s="231">
        <v>5292</v>
      </c>
      <c r="Q810" s="231">
        <v>11531</v>
      </c>
      <c r="R810" s="231"/>
      <c r="S810" s="392">
        <v>418200</v>
      </c>
      <c r="T810" s="231">
        <v>854</v>
      </c>
      <c r="U810" s="396">
        <v>419054</v>
      </c>
      <c r="V810" s="231"/>
      <c r="W810" s="396">
        <v>2665661</v>
      </c>
      <c r="X810" s="396">
        <v>497339</v>
      </c>
      <c r="Y810" s="396"/>
      <c r="Z810" s="396"/>
    </row>
    <row r="811" spans="1:26">
      <c r="A811" s="428">
        <v>98904</v>
      </c>
      <c r="B811" s="427" t="s">
        <v>1516</v>
      </c>
      <c r="C811" s="234">
        <v>2.9000000000000002E-6</v>
      </c>
      <c r="D811" s="234">
        <v>2.9000000000000002E-6</v>
      </c>
      <c r="E811" s="231">
        <v>16360</v>
      </c>
      <c r="F811" s="231" t="s">
        <v>1924</v>
      </c>
      <c r="G811" s="392">
        <v>705</v>
      </c>
      <c r="H811" s="392">
        <v>5407</v>
      </c>
      <c r="I811" s="392">
        <v>1632</v>
      </c>
      <c r="J811" s="231">
        <v>325</v>
      </c>
      <c r="K811" s="231">
        <v>8069</v>
      </c>
      <c r="L811" s="231"/>
      <c r="M811" s="300">
        <v>69</v>
      </c>
      <c r="N811" s="300">
        <v>0</v>
      </c>
      <c r="O811" s="300">
        <v>0</v>
      </c>
      <c r="P811" s="231">
        <v>1500</v>
      </c>
      <c r="Q811" s="231">
        <v>1569</v>
      </c>
      <c r="R811" s="231"/>
      <c r="S811" s="392">
        <v>4632</v>
      </c>
      <c r="T811" s="231">
        <v>-563</v>
      </c>
      <c r="U811" s="396">
        <v>4069</v>
      </c>
      <c r="V811" s="231"/>
      <c r="W811" s="396">
        <v>29528</v>
      </c>
      <c r="X811" s="396">
        <v>5509</v>
      </c>
      <c r="Y811" s="396"/>
      <c r="Z811" s="396"/>
    </row>
    <row r="812" spans="1:26">
      <c r="A812" s="424">
        <v>98911</v>
      </c>
      <c r="B812" s="423" t="s">
        <v>1517</v>
      </c>
      <c r="C812" s="234">
        <v>2.9799999999999999E-5</v>
      </c>
      <c r="D812" s="234">
        <v>2.2500000000000001E-5</v>
      </c>
      <c r="E812" s="231">
        <v>168115</v>
      </c>
      <c r="F812" s="231" t="s">
        <v>1924</v>
      </c>
      <c r="G812" s="392">
        <v>7244</v>
      </c>
      <c r="H812" s="392">
        <v>55564</v>
      </c>
      <c r="I812" s="392">
        <v>16774</v>
      </c>
      <c r="J812" s="231">
        <v>24387</v>
      </c>
      <c r="K812" s="231">
        <v>103969</v>
      </c>
      <c r="L812" s="231"/>
      <c r="M812" s="300">
        <v>710</v>
      </c>
      <c r="N812" s="300">
        <v>0</v>
      </c>
      <c r="O812" s="300">
        <v>0</v>
      </c>
      <c r="P812" s="231">
        <v>289</v>
      </c>
      <c r="Q812" s="231">
        <v>999</v>
      </c>
      <c r="R812" s="231"/>
      <c r="S812" s="392">
        <v>47603</v>
      </c>
      <c r="T812" s="231">
        <v>12684</v>
      </c>
      <c r="U812" s="396">
        <v>60287</v>
      </c>
      <c r="V812" s="231"/>
      <c r="W812" s="396">
        <v>303425</v>
      </c>
      <c r="X812" s="396">
        <v>56611</v>
      </c>
      <c r="Y812" s="396"/>
      <c r="Z812" s="396"/>
    </row>
    <row r="813" spans="1:26">
      <c r="A813" s="424">
        <v>99001</v>
      </c>
      <c r="B813" s="423" t="s">
        <v>1518</v>
      </c>
      <c r="C813" s="234">
        <v>9.8245999999999993E-3</v>
      </c>
      <c r="D813" s="234">
        <v>9.5493999999999996E-3</v>
      </c>
      <c r="E813" s="231">
        <v>55424774</v>
      </c>
      <c r="F813" s="231" t="s">
        <v>1924</v>
      </c>
      <c r="G813" s="392">
        <v>2388203</v>
      </c>
      <c r="H813" s="392">
        <v>18318468</v>
      </c>
      <c r="I813" s="392">
        <v>5530149</v>
      </c>
      <c r="J813" s="231">
        <v>873907</v>
      </c>
      <c r="K813" s="231">
        <v>27110727</v>
      </c>
      <c r="L813" s="231"/>
      <c r="M813" s="300">
        <v>234150</v>
      </c>
      <c r="N813" s="300">
        <v>0</v>
      </c>
      <c r="O813" s="300">
        <v>0</v>
      </c>
      <c r="P813" s="231">
        <v>0</v>
      </c>
      <c r="Q813" s="231">
        <v>234150</v>
      </c>
      <c r="R813" s="231"/>
      <c r="S813" s="392">
        <v>15693826</v>
      </c>
      <c r="T813" s="231">
        <v>554771</v>
      </c>
      <c r="U813" s="396">
        <v>16248597</v>
      </c>
      <c r="V813" s="231"/>
      <c r="W813" s="396">
        <v>100034578</v>
      </c>
      <c r="X813" s="396">
        <v>18663704</v>
      </c>
      <c r="Y813" s="396"/>
      <c r="Z813" s="396"/>
    </row>
    <row r="814" spans="1:26">
      <c r="A814" s="424">
        <v>99011</v>
      </c>
      <c r="B814" s="423" t="s">
        <v>1519</v>
      </c>
      <c r="C814" s="234">
        <v>3.8389000000000001E-3</v>
      </c>
      <c r="D814" s="234">
        <v>3.8801E-3</v>
      </c>
      <c r="E814" s="231">
        <v>21656878</v>
      </c>
      <c r="F814" s="231" t="s">
        <v>1924</v>
      </c>
      <c r="G814" s="392">
        <v>933175</v>
      </c>
      <c r="H814" s="392">
        <v>7157825</v>
      </c>
      <c r="I814" s="392">
        <v>2160871</v>
      </c>
      <c r="J814" s="231">
        <v>72888</v>
      </c>
      <c r="K814" s="231">
        <v>10324759</v>
      </c>
      <c r="L814" s="231"/>
      <c r="M814" s="300">
        <v>91493</v>
      </c>
      <c r="N814" s="300">
        <v>0</v>
      </c>
      <c r="O814" s="300">
        <v>0</v>
      </c>
      <c r="P814" s="231">
        <v>62664</v>
      </c>
      <c r="Q814" s="231">
        <v>154157</v>
      </c>
      <c r="R814" s="231"/>
      <c r="S814" s="392">
        <v>6132263</v>
      </c>
      <c r="T814" s="231">
        <v>27252</v>
      </c>
      <c r="U814" s="396">
        <v>6159515</v>
      </c>
      <c r="V814" s="231"/>
      <c r="W814" s="396">
        <v>39087876</v>
      </c>
      <c r="X814" s="396">
        <v>7292724</v>
      </c>
      <c r="Y814" s="396"/>
      <c r="Z814" s="396"/>
    </row>
    <row r="815" spans="1:26">
      <c r="A815" s="424">
        <v>99013</v>
      </c>
      <c r="B815" s="423" t="s">
        <v>1520</v>
      </c>
      <c r="C815" s="234">
        <v>6.3299999999999994E-5</v>
      </c>
      <c r="D815" s="234">
        <v>7.5599999999999994E-5</v>
      </c>
      <c r="E815" s="231">
        <v>357102</v>
      </c>
      <c r="F815" s="231" t="s">
        <v>1924</v>
      </c>
      <c r="G815" s="392">
        <v>15387</v>
      </c>
      <c r="H815" s="392">
        <v>118026</v>
      </c>
      <c r="I815" s="392">
        <v>35631</v>
      </c>
      <c r="J815" s="231">
        <v>43608</v>
      </c>
      <c r="K815" s="231">
        <v>212652</v>
      </c>
      <c r="L815" s="231"/>
      <c r="M815" s="300">
        <v>1509</v>
      </c>
      <c r="N815" s="300">
        <v>0</v>
      </c>
      <c r="O815" s="300">
        <v>0</v>
      </c>
      <c r="P815" s="231">
        <v>21900</v>
      </c>
      <c r="Q815" s="231">
        <v>23409</v>
      </c>
      <c r="R815" s="231"/>
      <c r="S815" s="392">
        <v>101115</v>
      </c>
      <c r="T815" s="231">
        <v>15080</v>
      </c>
      <c r="U815" s="396">
        <v>116195</v>
      </c>
      <c r="V815" s="231"/>
      <c r="W815" s="396">
        <v>644524</v>
      </c>
      <c r="X815" s="396">
        <v>120250</v>
      </c>
      <c r="Y815" s="396"/>
      <c r="Z815" s="396"/>
    </row>
    <row r="816" spans="1:26">
      <c r="A816" s="424">
        <v>99014</v>
      </c>
      <c r="B816" s="423" t="s">
        <v>1521</v>
      </c>
      <c r="C816" s="234">
        <v>1.8899999999999999E-5</v>
      </c>
      <c r="D816" s="234">
        <v>1.9899999999999999E-5</v>
      </c>
      <c r="E816" s="231">
        <v>106623</v>
      </c>
      <c r="F816" s="231" t="s">
        <v>1924</v>
      </c>
      <c r="G816" s="392">
        <v>4594</v>
      </c>
      <c r="H816" s="392">
        <v>35240</v>
      </c>
      <c r="I816" s="392">
        <v>10639</v>
      </c>
      <c r="J816" s="231">
        <v>3832</v>
      </c>
      <c r="K816" s="231">
        <v>54305</v>
      </c>
      <c r="L816" s="231"/>
      <c r="M816" s="300">
        <v>450</v>
      </c>
      <c r="N816" s="300">
        <v>0</v>
      </c>
      <c r="O816" s="300">
        <v>0</v>
      </c>
      <c r="P816" s="231">
        <v>1837</v>
      </c>
      <c r="Q816" s="231">
        <v>2287</v>
      </c>
      <c r="R816" s="231"/>
      <c r="S816" s="392">
        <v>30191</v>
      </c>
      <c r="T816" s="231">
        <v>2391</v>
      </c>
      <c r="U816" s="396">
        <v>32582</v>
      </c>
      <c r="V816" s="231"/>
      <c r="W816" s="396">
        <v>192441</v>
      </c>
      <c r="X816" s="396">
        <v>35904</v>
      </c>
      <c r="Y816" s="396"/>
      <c r="Z816" s="396"/>
    </row>
    <row r="817" spans="1:26">
      <c r="A817" s="424">
        <v>99017</v>
      </c>
      <c r="B817" s="423" t="s">
        <v>1522</v>
      </c>
      <c r="C817" s="234">
        <v>4.2700000000000001E-5</v>
      </c>
      <c r="D817" s="234">
        <v>4.8300000000000002E-5</v>
      </c>
      <c r="E817" s="231">
        <v>240889</v>
      </c>
      <c r="F817" s="231" t="s">
        <v>1924</v>
      </c>
      <c r="G817" s="392">
        <v>10380</v>
      </c>
      <c r="H817" s="392">
        <v>79616</v>
      </c>
      <c r="I817" s="392">
        <v>24035</v>
      </c>
      <c r="J817" s="231">
        <v>15866</v>
      </c>
      <c r="K817" s="231">
        <v>129897</v>
      </c>
      <c r="L817" s="231"/>
      <c r="M817" s="300">
        <v>1018</v>
      </c>
      <c r="N817" s="300">
        <v>0</v>
      </c>
      <c r="O817" s="300">
        <v>0</v>
      </c>
      <c r="P817" s="231">
        <v>12357</v>
      </c>
      <c r="Q817" s="231">
        <v>13375</v>
      </c>
      <c r="R817" s="231"/>
      <c r="S817" s="392">
        <v>68209</v>
      </c>
      <c r="T817" s="231">
        <v>192</v>
      </c>
      <c r="U817" s="396">
        <v>68401</v>
      </c>
      <c r="V817" s="231"/>
      <c r="W817" s="396">
        <v>434774</v>
      </c>
      <c r="X817" s="396">
        <v>81117</v>
      </c>
      <c r="Y817" s="396"/>
      <c r="Z817" s="396"/>
    </row>
    <row r="818" spans="1:26">
      <c r="A818" s="424">
        <v>99021</v>
      </c>
      <c r="B818" s="423" t="s">
        <v>1523</v>
      </c>
      <c r="C818" s="234">
        <v>1.3420000000000001E-4</v>
      </c>
      <c r="D818" s="234">
        <v>1.3019999999999999E-4</v>
      </c>
      <c r="E818" s="231">
        <v>757080</v>
      </c>
      <c r="F818" s="231" t="s">
        <v>1924</v>
      </c>
      <c r="G818" s="392">
        <v>32622</v>
      </c>
      <c r="H818" s="392">
        <v>250223</v>
      </c>
      <c r="I818" s="392">
        <v>75540</v>
      </c>
      <c r="J818" s="231">
        <v>2138</v>
      </c>
      <c r="K818" s="231">
        <v>360523</v>
      </c>
      <c r="L818" s="231"/>
      <c r="M818" s="300">
        <v>3198</v>
      </c>
      <c r="N818" s="300">
        <v>0</v>
      </c>
      <c r="O818" s="300">
        <v>0</v>
      </c>
      <c r="P818" s="231">
        <v>4003</v>
      </c>
      <c r="Q818" s="231">
        <v>7201</v>
      </c>
      <c r="R818" s="231"/>
      <c r="S818" s="392">
        <v>214371</v>
      </c>
      <c r="T818" s="231">
        <v>-5761</v>
      </c>
      <c r="U818" s="396">
        <v>208610</v>
      </c>
      <c r="V818" s="231"/>
      <c r="W818" s="396">
        <v>1366431</v>
      </c>
      <c r="X818" s="396">
        <v>254939</v>
      </c>
      <c r="Y818" s="396"/>
      <c r="Z818" s="396"/>
    </row>
    <row r="819" spans="1:26">
      <c r="A819" s="424">
        <v>99022</v>
      </c>
      <c r="B819" s="423" t="s">
        <v>211</v>
      </c>
      <c r="C819" s="234">
        <v>7.1999999999999997E-6</v>
      </c>
      <c r="D819" s="234">
        <v>7.7999999999999999E-6</v>
      </c>
      <c r="E819" s="231">
        <v>40618</v>
      </c>
      <c r="F819" s="231" t="s">
        <v>1924</v>
      </c>
      <c r="G819" s="392">
        <v>1750</v>
      </c>
      <c r="H819" s="392">
        <v>13425</v>
      </c>
      <c r="I819" s="392">
        <v>4053</v>
      </c>
      <c r="J819" s="231">
        <v>14728</v>
      </c>
      <c r="K819" s="231">
        <v>33956</v>
      </c>
      <c r="L819" s="231"/>
      <c r="M819" s="300">
        <v>172</v>
      </c>
      <c r="N819" s="300">
        <v>0</v>
      </c>
      <c r="O819" s="300">
        <v>0</v>
      </c>
      <c r="P819" s="231">
        <v>0</v>
      </c>
      <c r="Q819" s="231">
        <v>172</v>
      </c>
      <c r="R819" s="231"/>
      <c r="S819" s="392">
        <v>11501</v>
      </c>
      <c r="T819" s="231">
        <v>8367</v>
      </c>
      <c r="U819" s="396">
        <v>19868</v>
      </c>
      <c r="V819" s="231"/>
      <c r="W819" s="396">
        <v>73311</v>
      </c>
      <c r="X819" s="396">
        <v>13678</v>
      </c>
      <c r="Y819" s="396"/>
      <c r="Z819" s="396"/>
    </row>
    <row r="820" spans="1:26">
      <c r="A820" s="424">
        <v>99031</v>
      </c>
      <c r="B820" s="423" t="s">
        <v>1524</v>
      </c>
      <c r="C820" s="234">
        <v>1.1290000000000001E-4</v>
      </c>
      <c r="D820" s="234">
        <v>9.4400000000000004E-5</v>
      </c>
      <c r="E820" s="231">
        <v>636917</v>
      </c>
      <c r="F820" s="231" t="s">
        <v>1924</v>
      </c>
      <c r="G820" s="392">
        <v>27444</v>
      </c>
      <c r="H820" s="392">
        <v>210508</v>
      </c>
      <c r="I820" s="392">
        <v>63550</v>
      </c>
      <c r="J820" s="231">
        <v>31483</v>
      </c>
      <c r="K820" s="231">
        <v>332985</v>
      </c>
      <c r="L820" s="231"/>
      <c r="M820" s="300">
        <v>2691</v>
      </c>
      <c r="N820" s="300">
        <v>0</v>
      </c>
      <c r="O820" s="300">
        <v>0</v>
      </c>
      <c r="P820" s="231">
        <v>11844</v>
      </c>
      <c r="Q820" s="231">
        <v>14535</v>
      </c>
      <c r="R820" s="231"/>
      <c r="S820" s="392">
        <v>180347</v>
      </c>
      <c r="T820" s="231">
        <v>-5459</v>
      </c>
      <c r="U820" s="396">
        <v>174888</v>
      </c>
      <c r="V820" s="231"/>
      <c r="W820" s="396">
        <v>1149554</v>
      </c>
      <c r="X820" s="396">
        <v>214475</v>
      </c>
      <c r="Y820" s="396"/>
      <c r="Z820" s="396"/>
    </row>
    <row r="821" spans="1:26">
      <c r="A821" s="424">
        <v>99041</v>
      </c>
      <c r="B821" s="423" t="s">
        <v>1525</v>
      </c>
      <c r="C821" s="234">
        <v>6.4639999999999999E-4</v>
      </c>
      <c r="D821" s="234">
        <v>6.4740000000000002E-4</v>
      </c>
      <c r="E821" s="231">
        <v>3646619</v>
      </c>
      <c r="F821" s="231" t="s">
        <v>1924</v>
      </c>
      <c r="G821" s="392">
        <v>157129</v>
      </c>
      <c r="H821" s="392">
        <v>1205246</v>
      </c>
      <c r="I821" s="392">
        <v>363851</v>
      </c>
      <c r="J821" s="231">
        <v>28137</v>
      </c>
      <c r="K821" s="231">
        <v>1754363</v>
      </c>
      <c r="L821" s="231"/>
      <c r="M821" s="300">
        <v>15406</v>
      </c>
      <c r="N821" s="300">
        <v>0</v>
      </c>
      <c r="O821" s="300">
        <v>0</v>
      </c>
      <c r="P821" s="231">
        <v>20921</v>
      </c>
      <c r="Q821" s="231">
        <v>36327</v>
      </c>
      <c r="R821" s="231"/>
      <c r="S821" s="392">
        <v>1032560</v>
      </c>
      <c r="T821" s="231">
        <v>-6624</v>
      </c>
      <c r="U821" s="396">
        <v>1025936</v>
      </c>
      <c r="V821" s="231"/>
      <c r="W821" s="396">
        <v>6581678</v>
      </c>
      <c r="X821" s="396">
        <v>1227960</v>
      </c>
      <c r="Y821" s="396"/>
      <c r="Z821" s="396"/>
    </row>
    <row r="822" spans="1:26">
      <c r="A822" s="424">
        <v>99047</v>
      </c>
      <c r="B822" s="423" t="s">
        <v>1526</v>
      </c>
      <c r="C822" s="234">
        <v>1.66E-5</v>
      </c>
      <c r="D822" s="234">
        <v>1.98E-5</v>
      </c>
      <c r="E822" s="231">
        <v>93648</v>
      </c>
      <c r="F822" s="231" t="s">
        <v>1924</v>
      </c>
      <c r="G822" s="392">
        <v>4035</v>
      </c>
      <c r="H822" s="392">
        <v>30952</v>
      </c>
      <c r="I822" s="392">
        <v>9344</v>
      </c>
      <c r="J822" s="231">
        <v>12843</v>
      </c>
      <c r="K822" s="231">
        <v>57174</v>
      </c>
      <c r="L822" s="231"/>
      <c r="M822" s="300">
        <v>396</v>
      </c>
      <c r="N822" s="300">
        <v>0</v>
      </c>
      <c r="O822" s="300">
        <v>0</v>
      </c>
      <c r="P822" s="231">
        <v>0</v>
      </c>
      <c r="Q822" s="231">
        <v>396</v>
      </c>
      <c r="R822" s="231"/>
      <c r="S822" s="392">
        <v>26517</v>
      </c>
      <c r="T822" s="231">
        <v>8109</v>
      </c>
      <c r="U822" s="396">
        <v>34626</v>
      </c>
      <c r="V822" s="231"/>
      <c r="W822" s="396">
        <v>169022</v>
      </c>
      <c r="X822" s="396">
        <v>31535</v>
      </c>
      <c r="Y822" s="396"/>
      <c r="Z822" s="396"/>
    </row>
    <row r="823" spans="1:26">
      <c r="A823" s="424">
        <v>99051</v>
      </c>
      <c r="B823" s="423" t="s">
        <v>1527</v>
      </c>
      <c r="C823" s="234">
        <v>3.8549999999999999E-4</v>
      </c>
      <c r="D823" s="234">
        <v>3.3849999999999999E-4</v>
      </c>
      <c r="E823" s="231">
        <v>2174770</v>
      </c>
      <c r="F823" s="231" t="s">
        <v>1924</v>
      </c>
      <c r="G823" s="392">
        <v>93709</v>
      </c>
      <c r="H823" s="392">
        <v>718784</v>
      </c>
      <c r="I823" s="392">
        <v>216993</v>
      </c>
      <c r="J823" s="231">
        <v>47616</v>
      </c>
      <c r="K823" s="231">
        <v>1077102</v>
      </c>
      <c r="L823" s="231"/>
      <c r="M823" s="300">
        <v>9188</v>
      </c>
      <c r="N823" s="300">
        <v>0</v>
      </c>
      <c r="O823" s="300">
        <v>0</v>
      </c>
      <c r="P823" s="231">
        <v>33136</v>
      </c>
      <c r="Q823" s="231">
        <v>42324</v>
      </c>
      <c r="R823" s="231"/>
      <c r="S823" s="392">
        <v>615798</v>
      </c>
      <c r="T823" s="231">
        <v>-3694</v>
      </c>
      <c r="U823" s="396">
        <v>612104</v>
      </c>
      <c r="V823" s="231"/>
      <c r="W823" s="396">
        <v>3925181</v>
      </c>
      <c r="X823" s="396">
        <v>732331</v>
      </c>
      <c r="Y823" s="396"/>
      <c r="Z823" s="396"/>
    </row>
    <row r="824" spans="1:26">
      <c r="A824" s="424">
        <v>99061</v>
      </c>
      <c r="B824" s="423" t="s">
        <v>1528</v>
      </c>
      <c r="C824" s="234">
        <v>4.6E-6</v>
      </c>
      <c r="D824" s="234">
        <v>5.4E-6</v>
      </c>
      <c r="E824" s="231">
        <v>25951</v>
      </c>
      <c r="F824" s="231" t="s">
        <v>1924</v>
      </c>
      <c r="G824" s="392">
        <v>1118</v>
      </c>
      <c r="H824" s="392">
        <v>8577</v>
      </c>
      <c r="I824" s="392">
        <v>2589</v>
      </c>
      <c r="J824" s="231">
        <v>3133</v>
      </c>
      <c r="K824" s="231">
        <v>15417</v>
      </c>
      <c r="L824" s="231"/>
      <c r="M824" s="300">
        <v>110</v>
      </c>
      <c r="N824" s="300">
        <v>0</v>
      </c>
      <c r="O824" s="300">
        <v>0</v>
      </c>
      <c r="P824" s="231">
        <v>0</v>
      </c>
      <c r="Q824" s="231">
        <v>110</v>
      </c>
      <c r="R824" s="231"/>
      <c r="S824" s="392">
        <v>7348</v>
      </c>
      <c r="T824" s="231">
        <v>2337</v>
      </c>
      <c r="U824" s="396">
        <v>9685</v>
      </c>
      <c r="V824" s="231"/>
      <c r="W824" s="396">
        <v>46837</v>
      </c>
      <c r="X824" s="396">
        <v>8739</v>
      </c>
      <c r="Y824" s="396"/>
      <c r="Z824" s="396"/>
    </row>
    <row r="825" spans="1:26">
      <c r="A825" s="424">
        <v>99071</v>
      </c>
      <c r="B825" s="423" t="s">
        <v>1529</v>
      </c>
      <c r="C825" s="234">
        <v>1.04E-5</v>
      </c>
      <c r="D825" s="234">
        <v>2.48E-5</v>
      </c>
      <c r="E825" s="231">
        <v>58671</v>
      </c>
      <c r="F825" s="231" t="s">
        <v>1924</v>
      </c>
      <c r="G825" s="392">
        <v>2528</v>
      </c>
      <c r="H825" s="392">
        <v>19391</v>
      </c>
      <c r="I825" s="392">
        <v>5854</v>
      </c>
      <c r="J825" s="231">
        <v>4796</v>
      </c>
      <c r="K825" s="231">
        <v>32569</v>
      </c>
      <c r="L825" s="231"/>
      <c r="M825" s="300">
        <v>248</v>
      </c>
      <c r="N825" s="300">
        <v>0</v>
      </c>
      <c r="O825" s="300">
        <v>0</v>
      </c>
      <c r="P825" s="231">
        <v>18074</v>
      </c>
      <c r="Q825" s="231">
        <v>18322</v>
      </c>
      <c r="R825" s="231"/>
      <c r="S825" s="392">
        <v>16613</v>
      </c>
      <c r="T825" s="231">
        <v>-4164</v>
      </c>
      <c r="U825" s="396">
        <v>12449</v>
      </c>
      <c r="V825" s="231"/>
      <c r="W825" s="396">
        <v>105893</v>
      </c>
      <c r="X825" s="396">
        <v>19757</v>
      </c>
      <c r="Y825" s="396"/>
      <c r="Z825" s="396"/>
    </row>
    <row r="826" spans="1:26">
      <c r="A826" s="424">
        <v>99081</v>
      </c>
      <c r="B826" s="423" t="s">
        <v>1530</v>
      </c>
      <c r="C826" s="234">
        <v>7.6100000000000007E-5</v>
      </c>
      <c r="D826" s="234">
        <v>5.0699999999999999E-5</v>
      </c>
      <c r="E826" s="231">
        <v>429313</v>
      </c>
      <c r="F826" s="231" t="s">
        <v>1924</v>
      </c>
      <c r="G826" s="392">
        <v>18499</v>
      </c>
      <c r="H826" s="392">
        <v>141892</v>
      </c>
      <c r="I826" s="392">
        <v>42836</v>
      </c>
      <c r="J826" s="231">
        <v>44157</v>
      </c>
      <c r="K826" s="231">
        <v>247384</v>
      </c>
      <c r="L826" s="231"/>
      <c r="M826" s="300">
        <v>1814</v>
      </c>
      <c r="N826" s="300">
        <v>0</v>
      </c>
      <c r="O826" s="300">
        <v>0</v>
      </c>
      <c r="P826" s="231">
        <v>0</v>
      </c>
      <c r="Q826" s="231">
        <v>1814</v>
      </c>
      <c r="R826" s="231"/>
      <c r="S826" s="392">
        <v>121562</v>
      </c>
      <c r="T826" s="231">
        <v>20333</v>
      </c>
      <c r="U826" s="396">
        <v>141895</v>
      </c>
      <c r="V826" s="231"/>
      <c r="W826" s="396">
        <v>774854</v>
      </c>
      <c r="X826" s="396">
        <v>144566</v>
      </c>
      <c r="Y826" s="396"/>
      <c r="Z826" s="396"/>
    </row>
    <row r="827" spans="1:26">
      <c r="A827" s="424">
        <v>99091</v>
      </c>
      <c r="B827" s="423" t="s">
        <v>1531</v>
      </c>
      <c r="C827" s="234">
        <v>7.9000000000000006E-6</v>
      </c>
      <c r="D827" s="234">
        <v>7.4000000000000003E-6</v>
      </c>
      <c r="E827" s="231">
        <v>44567</v>
      </c>
      <c r="F827" s="231" t="s">
        <v>1924</v>
      </c>
      <c r="G827" s="392">
        <v>1920</v>
      </c>
      <c r="H827" s="392">
        <v>14730</v>
      </c>
      <c r="I827" s="392">
        <v>4447</v>
      </c>
      <c r="J827" s="231">
        <v>11004</v>
      </c>
      <c r="K827" s="231">
        <v>32101</v>
      </c>
      <c r="L827" s="231"/>
      <c r="M827" s="300">
        <v>188</v>
      </c>
      <c r="N827" s="300">
        <v>0</v>
      </c>
      <c r="O827" s="300">
        <v>0</v>
      </c>
      <c r="P827" s="231">
        <v>7272</v>
      </c>
      <c r="Q827" s="231">
        <v>7460</v>
      </c>
      <c r="R827" s="231"/>
      <c r="S827" s="392">
        <v>12619</v>
      </c>
      <c r="T827" s="231">
        <v>5166</v>
      </c>
      <c r="U827" s="396">
        <v>17785</v>
      </c>
      <c r="V827" s="231"/>
      <c r="W827" s="396">
        <v>80438</v>
      </c>
      <c r="X827" s="396">
        <v>15008</v>
      </c>
      <c r="Y827" s="396"/>
      <c r="Z827" s="396"/>
    </row>
    <row r="828" spans="1:26">
      <c r="A828" s="424">
        <v>99101</v>
      </c>
      <c r="B828" s="423" t="s">
        <v>1532</v>
      </c>
      <c r="C828" s="234">
        <v>1.6930000000000001E-3</v>
      </c>
      <c r="D828" s="234">
        <v>1.8289000000000001E-3</v>
      </c>
      <c r="E828" s="231">
        <v>9550938</v>
      </c>
      <c r="F828" s="231" t="s">
        <v>1924</v>
      </c>
      <c r="G828" s="392">
        <v>411541</v>
      </c>
      <c r="H828" s="392">
        <v>3156685</v>
      </c>
      <c r="I828" s="392">
        <v>952969</v>
      </c>
      <c r="J828" s="231">
        <v>0</v>
      </c>
      <c r="K828" s="231">
        <v>4521195</v>
      </c>
      <c r="L828" s="231"/>
      <c r="M828" s="300">
        <v>40349</v>
      </c>
      <c r="N828" s="300">
        <v>0</v>
      </c>
      <c r="O828" s="300">
        <v>0</v>
      </c>
      <c r="P828" s="231">
        <v>349221</v>
      </c>
      <c r="Q828" s="231">
        <v>389570</v>
      </c>
      <c r="R828" s="231"/>
      <c r="S828" s="392">
        <v>2704400</v>
      </c>
      <c r="T828" s="231">
        <v>-214994</v>
      </c>
      <c r="U828" s="396">
        <v>2489406</v>
      </c>
      <c r="V828" s="231"/>
      <c r="W828" s="396">
        <v>17238212</v>
      </c>
      <c r="X828" s="396">
        <v>3216177</v>
      </c>
      <c r="Y828" s="396"/>
      <c r="Z828" s="396"/>
    </row>
    <row r="829" spans="1:26">
      <c r="A829" s="424">
        <v>99104</v>
      </c>
      <c r="B829" s="423" t="s">
        <v>1533</v>
      </c>
      <c r="C829" s="234">
        <v>3.6399999999999997E-5</v>
      </c>
      <c r="D829" s="234">
        <v>3.6199999999999999E-5</v>
      </c>
      <c r="E829" s="231">
        <v>205348</v>
      </c>
      <c r="F829" s="231" t="s">
        <v>1924</v>
      </c>
      <c r="G829" s="392">
        <v>8848</v>
      </c>
      <c r="H829" s="392">
        <v>67870</v>
      </c>
      <c r="I829" s="392">
        <v>20489</v>
      </c>
      <c r="J829" s="231">
        <v>34612</v>
      </c>
      <c r="K829" s="231">
        <v>131819</v>
      </c>
      <c r="L829" s="231"/>
      <c r="M829" s="300">
        <v>868</v>
      </c>
      <c r="N829" s="300">
        <v>0</v>
      </c>
      <c r="O829" s="300">
        <v>0</v>
      </c>
      <c r="P829" s="231">
        <v>0</v>
      </c>
      <c r="Q829" s="231">
        <v>868</v>
      </c>
      <c r="R829" s="231"/>
      <c r="S829" s="392">
        <v>58145</v>
      </c>
      <c r="T829" s="231">
        <v>19272</v>
      </c>
      <c r="U829" s="396">
        <v>77417</v>
      </c>
      <c r="V829" s="231"/>
      <c r="W829" s="396">
        <v>370627</v>
      </c>
      <c r="X829" s="396">
        <v>69149</v>
      </c>
      <c r="Y829" s="396"/>
      <c r="Z829" s="396"/>
    </row>
    <row r="830" spans="1:26">
      <c r="A830" s="424">
        <v>99109</v>
      </c>
      <c r="B830" s="423" t="s">
        <v>1534</v>
      </c>
      <c r="C830" s="234">
        <v>1.293E-4</v>
      </c>
      <c r="D830" s="234">
        <v>1.18E-4</v>
      </c>
      <c r="E830" s="231">
        <v>729437</v>
      </c>
      <c r="F830" s="231" t="s">
        <v>1924</v>
      </c>
      <c r="G830" s="392">
        <v>31431</v>
      </c>
      <c r="H830" s="392">
        <v>241086</v>
      </c>
      <c r="I830" s="392">
        <v>72781</v>
      </c>
      <c r="J830" s="231">
        <v>20244</v>
      </c>
      <c r="K830" s="231">
        <v>365542</v>
      </c>
      <c r="L830" s="231"/>
      <c r="M830" s="300">
        <v>3082</v>
      </c>
      <c r="N830" s="300">
        <v>0</v>
      </c>
      <c r="O830" s="300">
        <v>0</v>
      </c>
      <c r="P830" s="231">
        <v>3017</v>
      </c>
      <c r="Q830" s="231">
        <v>6099</v>
      </c>
      <c r="R830" s="231"/>
      <c r="S830" s="392">
        <v>206544</v>
      </c>
      <c r="T830" s="231">
        <v>3763</v>
      </c>
      <c r="U830" s="396">
        <v>210307</v>
      </c>
      <c r="V830" s="231"/>
      <c r="W830" s="396">
        <v>1316539</v>
      </c>
      <c r="X830" s="396">
        <v>245630</v>
      </c>
      <c r="Y830" s="396"/>
      <c r="Z830" s="396"/>
    </row>
    <row r="831" spans="1:26">
      <c r="A831" s="424">
        <v>99110</v>
      </c>
      <c r="B831" s="423" t="s">
        <v>1535</v>
      </c>
      <c r="C831" s="234">
        <v>1.9149999999999999E-4</v>
      </c>
      <c r="D831" s="234">
        <v>2.02E-4</v>
      </c>
      <c r="E831" s="231">
        <v>1080333</v>
      </c>
      <c r="F831" s="231" t="s">
        <v>1924</v>
      </c>
      <c r="G831" s="392">
        <v>46551</v>
      </c>
      <c r="H831" s="392">
        <v>357062</v>
      </c>
      <c r="I831" s="392">
        <v>107793</v>
      </c>
      <c r="J831" s="231">
        <v>94738</v>
      </c>
      <c r="K831" s="231">
        <v>606144</v>
      </c>
      <c r="L831" s="231"/>
      <c r="M831" s="300">
        <v>4564</v>
      </c>
      <c r="N831" s="300">
        <v>0</v>
      </c>
      <c r="O831" s="300">
        <v>0</v>
      </c>
      <c r="P831" s="231">
        <v>0</v>
      </c>
      <c r="Q831" s="231">
        <v>4564</v>
      </c>
      <c r="R831" s="231"/>
      <c r="S831" s="392">
        <v>305902</v>
      </c>
      <c r="T831" s="231">
        <v>69686</v>
      </c>
      <c r="U831" s="396">
        <v>375588</v>
      </c>
      <c r="V831" s="231"/>
      <c r="W831" s="396">
        <v>1949863</v>
      </c>
      <c r="X831" s="396">
        <v>363791</v>
      </c>
      <c r="Y831" s="396"/>
      <c r="Z831" s="396"/>
    </row>
    <row r="832" spans="1:26">
      <c r="A832" s="424">
        <v>99111</v>
      </c>
      <c r="B832" s="423" t="s">
        <v>1536</v>
      </c>
      <c r="C832" s="234">
        <v>1.3125999999999999E-3</v>
      </c>
      <c r="D832" s="234">
        <v>1.2878E-3</v>
      </c>
      <c r="E832" s="231">
        <v>7404938</v>
      </c>
      <c r="F832" s="231" t="s">
        <v>1924</v>
      </c>
      <c r="G832" s="392">
        <v>319072</v>
      </c>
      <c r="H832" s="392">
        <v>2447410</v>
      </c>
      <c r="I832" s="392">
        <v>738847</v>
      </c>
      <c r="J832" s="231">
        <v>21347</v>
      </c>
      <c r="K832" s="231">
        <v>3526676</v>
      </c>
      <c r="L832" s="231"/>
      <c r="M832" s="300">
        <v>31283</v>
      </c>
      <c r="N832" s="300">
        <v>0</v>
      </c>
      <c r="O832" s="300">
        <v>0</v>
      </c>
      <c r="P832" s="231">
        <v>158286</v>
      </c>
      <c r="Q832" s="231">
        <v>189569</v>
      </c>
      <c r="R832" s="231"/>
      <c r="S832" s="392">
        <v>2096749</v>
      </c>
      <c r="T832" s="231">
        <v>-61213</v>
      </c>
      <c r="U832" s="396">
        <v>2035536</v>
      </c>
      <c r="V832" s="231"/>
      <c r="W832" s="396">
        <v>13364960</v>
      </c>
      <c r="X832" s="396">
        <v>2493534</v>
      </c>
      <c r="Y832" s="396"/>
      <c r="Z832" s="396"/>
    </row>
    <row r="833" spans="1:26">
      <c r="A833" s="424">
        <v>99201</v>
      </c>
      <c r="B833" s="423" t="s">
        <v>3738</v>
      </c>
      <c r="C833" s="234">
        <v>3.5933699999999999E-2</v>
      </c>
      <c r="D833" s="234">
        <v>3.7127800000000002E-2</v>
      </c>
      <c r="E833" s="231">
        <v>202717381</v>
      </c>
      <c r="F833" s="231" t="s">
        <v>1924</v>
      </c>
      <c r="G833" s="392">
        <v>8734908</v>
      </c>
      <c r="H833" s="392">
        <v>67000216</v>
      </c>
      <c r="I833" s="392">
        <v>20226649</v>
      </c>
      <c r="J833" s="231">
        <v>2077205</v>
      </c>
      <c r="K833" s="231">
        <v>98038978</v>
      </c>
      <c r="L833" s="231"/>
      <c r="M833" s="300">
        <v>856408</v>
      </c>
      <c r="N833" s="300">
        <v>0</v>
      </c>
      <c r="O833" s="300">
        <v>0</v>
      </c>
      <c r="P833" s="231">
        <v>1779493</v>
      </c>
      <c r="Q833" s="231">
        <v>2635901</v>
      </c>
      <c r="R833" s="231"/>
      <c r="S833" s="392">
        <v>57400528</v>
      </c>
      <c r="T833" s="231">
        <v>724686</v>
      </c>
      <c r="U833" s="396">
        <v>58125214</v>
      </c>
      <c r="V833" s="231"/>
      <c r="W833" s="396">
        <v>365878766</v>
      </c>
      <c r="X833" s="396">
        <v>68262926</v>
      </c>
      <c r="Y833" s="396"/>
      <c r="Z833" s="396"/>
    </row>
    <row r="834" spans="1:26">
      <c r="A834" s="424">
        <v>99202</v>
      </c>
      <c r="B834" s="423" t="s">
        <v>1538</v>
      </c>
      <c r="C834" s="234">
        <v>3.0834999999999999E-3</v>
      </c>
      <c r="D834" s="234">
        <v>3.0500000000000002E-3</v>
      </c>
      <c r="E834" s="231">
        <v>17395343</v>
      </c>
      <c r="F834" s="231" t="s">
        <v>1924</v>
      </c>
      <c r="G834" s="392">
        <v>749550</v>
      </c>
      <c r="H834" s="392">
        <v>5749343</v>
      </c>
      <c r="I834" s="392">
        <v>1735665</v>
      </c>
      <c r="J834" s="231">
        <v>71642</v>
      </c>
      <c r="K834" s="231">
        <v>8306200</v>
      </c>
      <c r="L834" s="231"/>
      <c r="M834" s="300">
        <v>73489</v>
      </c>
      <c r="N834" s="300">
        <v>0</v>
      </c>
      <c r="O834" s="300">
        <v>0</v>
      </c>
      <c r="P834" s="231">
        <v>167197</v>
      </c>
      <c r="Q834" s="231">
        <v>240686</v>
      </c>
      <c r="R834" s="231"/>
      <c r="S834" s="392">
        <v>4925586</v>
      </c>
      <c r="T834" s="231">
        <v>-30158</v>
      </c>
      <c r="U834" s="396">
        <v>4895428</v>
      </c>
      <c r="V834" s="231"/>
      <c r="W834" s="396">
        <v>31396354</v>
      </c>
      <c r="X834" s="396">
        <v>5857697</v>
      </c>
      <c r="Y834" s="396"/>
      <c r="Z834" s="396"/>
    </row>
    <row r="835" spans="1:26">
      <c r="A835" s="424">
        <v>99203</v>
      </c>
      <c r="B835" s="423" t="s">
        <v>1539</v>
      </c>
      <c r="C835" s="234">
        <v>4.104E-4</v>
      </c>
      <c r="D835" s="234">
        <v>3.7080000000000001E-4</v>
      </c>
      <c r="E835" s="231">
        <v>2315242</v>
      </c>
      <c r="F835" s="231" t="s">
        <v>1924</v>
      </c>
      <c r="G835" s="392">
        <v>99762</v>
      </c>
      <c r="H835" s="392">
        <v>765212</v>
      </c>
      <c r="I835" s="392">
        <v>231009</v>
      </c>
      <c r="J835" s="231">
        <v>71986</v>
      </c>
      <c r="K835" s="231">
        <v>1167969</v>
      </c>
      <c r="L835" s="231"/>
      <c r="M835" s="300">
        <v>9781</v>
      </c>
      <c r="N835" s="300">
        <v>0</v>
      </c>
      <c r="O835" s="300">
        <v>0</v>
      </c>
      <c r="P835" s="231">
        <v>19620</v>
      </c>
      <c r="Q835" s="231">
        <v>29401</v>
      </c>
      <c r="R835" s="231"/>
      <c r="S835" s="392">
        <v>655573</v>
      </c>
      <c r="T835" s="231">
        <v>24674</v>
      </c>
      <c r="U835" s="396">
        <v>680247</v>
      </c>
      <c r="V835" s="231"/>
      <c r="W835" s="396">
        <v>4178714</v>
      </c>
      <c r="X835" s="396">
        <v>779633</v>
      </c>
      <c r="Y835" s="396"/>
      <c r="Z835" s="396"/>
    </row>
    <row r="836" spans="1:26">
      <c r="A836" s="424">
        <v>99204</v>
      </c>
      <c r="B836" s="423" t="s">
        <v>1540</v>
      </c>
      <c r="C836" s="234">
        <v>1.2049000000000001E-3</v>
      </c>
      <c r="D836" s="234">
        <v>1.1161999999999999E-3</v>
      </c>
      <c r="E836" s="231">
        <v>6797357</v>
      </c>
      <c r="F836" s="231" t="s">
        <v>1924</v>
      </c>
      <c r="G836" s="392">
        <v>292892</v>
      </c>
      <c r="H836" s="392">
        <v>2246597</v>
      </c>
      <c r="I836" s="392">
        <v>678224</v>
      </c>
      <c r="J836" s="231">
        <v>383186</v>
      </c>
      <c r="K836" s="231">
        <v>3600899</v>
      </c>
      <c r="L836" s="231"/>
      <c r="M836" s="300">
        <v>28716</v>
      </c>
      <c r="N836" s="300">
        <v>0</v>
      </c>
      <c r="O836" s="300">
        <v>0</v>
      </c>
      <c r="P836" s="231">
        <v>0</v>
      </c>
      <c r="Q836" s="231">
        <v>28716</v>
      </c>
      <c r="R836" s="231"/>
      <c r="S836" s="392">
        <v>1924708</v>
      </c>
      <c r="T836" s="231">
        <v>204030</v>
      </c>
      <c r="U836" s="396">
        <v>2128738</v>
      </c>
      <c r="V836" s="231"/>
      <c r="W836" s="396">
        <v>12268353</v>
      </c>
      <c r="X836" s="396">
        <v>2288938</v>
      </c>
      <c r="Y836" s="396"/>
      <c r="Z836" s="396"/>
    </row>
    <row r="837" spans="1:26">
      <c r="A837" s="424">
        <v>99206</v>
      </c>
      <c r="B837" s="423" t="s">
        <v>1541</v>
      </c>
      <c r="C837" s="234">
        <v>2.0604999999999998E-3</v>
      </c>
      <c r="D837" s="234">
        <v>1.9970000000000001E-3</v>
      </c>
      <c r="E837" s="231">
        <v>11624162</v>
      </c>
      <c r="F837" s="231" t="s">
        <v>1924</v>
      </c>
      <c r="G837" s="392">
        <v>500875</v>
      </c>
      <c r="H837" s="392">
        <v>3841907</v>
      </c>
      <c r="I837" s="392">
        <v>1159831</v>
      </c>
      <c r="J837" s="231">
        <v>316610</v>
      </c>
      <c r="K837" s="231">
        <v>5819223</v>
      </c>
      <c r="L837" s="231"/>
      <c r="M837" s="300">
        <v>49108</v>
      </c>
      <c r="N837" s="300">
        <v>0</v>
      </c>
      <c r="O837" s="300">
        <v>0</v>
      </c>
      <c r="P837" s="231">
        <v>25229</v>
      </c>
      <c r="Q837" s="231">
        <v>74337</v>
      </c>
      <c r="R837" s="231"/>
      <c r="S837" s="392">
        <v>3291445</v>
      </c>
      <c r="T837" s="231">
        <v>252628</v>
      </c>
      <c r="U837" s="396">
        <v>3544073</v>
      </c>
      <c r="V837" s="231"/>
      <c r="W837" s="396">
        <v>20980116</v>
      </c>
      <c r="X837" s="396">
        <v>3914313</v>
      </c>
      <c r="Y837" s="396"/>
      <c r="Z837" s="396"/>
    </row>
    <row r="838" spans="1:26">
      <c r="A838" s="424">
        <v>99207</v>
      </c>
      <c r="B838" s="423" t="s">
        <v>1542</v>
      </c>
      <c r="C838" s="234">
        <v>1.5469999999999999E-4</v>
      </c>
      <c r="D838" s="234">
        <v>1.4200000000000001E-4</v>
      </c>
      <c r="E838" s="231">
        <v>872729</v>
      </c>
      <c r="F838" s="231" t="s">
        <v>1924</v>
      </c>
      <c r="G838" s="392">
        <v>37605</v>
      </c>
      <c r="H838" s="392">
        <v>288446</v>
      </c>
      <c r="I838" s="392">
        <v>87079</v>
      </c>
      <c r="J838" s="231">
        <v>252774</v>
      </c>
      <c r="K838" s="231">
        <v>665904</v>
      </c>
      <c r="L838" s="231"/>
      <c r="M838" s="300">
        <v>3687</v>
      </c>
      <c r="N838" s="300">
        <v>0</v>
      </c>
      <c r="O838" s="300">
        <v>0</v>
      </c>
      <c r="P838" s="231">
        <v>196</v>
      </c>
      <c r="Q838" s="231">
        <v>3883</v>
      </c>
      <c r="R838" s="231"/>
      <c r="S838" s="392">
        <v>247118</v>
      </c>
      <c r="T838" s="231">
        <v>140712</v>
      </c>
      <c r="U838" s="396">
        <v>387830</v>
      </c>
      <c r="V838" s="231"/>
      <c r="W838" s="396">
        <v>1575163</v>
      </c>
      <c r="X838" s="396">
        <v>293882</v>
      </c>
      <c r="Y838" s="396"/>
      <c r="Z838" s="396"/>
    </row>
    <row r="839" spans="1:26">
      <c r="A839" s="424">
        <v>99208</v>
      </c>
      <c r="B839" s="423" t="s">
        <v>1543</v>
      </c>
      <c r="C839" s="234">
        <v>2.9169999999999999E-4</v>
      </c>
      <c r="D839" s="234">
        <v>2.9770000000000003E-4</v>
      </c>
      <c r="E839" s="231">
        <v>1645605</v>
      </c>
      <c r="F839" s="231" t="s">
        <v>1924</v>
      </c>
      <c r="G839" s="392">
        <v>70908</v>
      </c>
      <c r="H839" s="392">
        <v>543890</v>
      </c>
      <c r="I839" s="392">
        <v>164194</v>
      </c>
      <c r="J839" s="231">
        <v>25048</v>
      </c>
      <c r="K839" s="231">
        <v>804040</v>
      </c>
      <c r="L839" s="231"/>
      <c r="M839" s="300">
        <v>6952</v>
      </c>
      <c r="N839" s="300">
        <v>0</v>
      </c>
      <c r="O839" s="300">
        <v>0</v>
      </c>
      <c r="P839" s="231">
        <v>53605</v>
      </c>
      <c r="Q839" s="231">
        <v>60557</v>
      </c>
      <c r="R839" s="231"/>
      <c r="S839" s="392">
        <v>465962</v>
      </c>
      <c r="T839" s="231">
        <v>-1932</v>
      </c>
      <c r="U839" s="396">
        <v>464030</v>
      </c>
      <c r="V839" s="231"/>
      <c r="W839" s="396">
        <v>2970104</v>
      </c>
      <c r="X839" s="396">
        <v>554140</v>
      </c>
      <c r="Y839" s="396"/>
      <c r="Z839" s="396"/>
    </row>
    <row r="840" spans="1:26">
      <c r="A840" s="424">
        <v>99210</v>
      </c>
      <c r="B840" s="423" t="s">
        <v>1544</v>
      </c>
      <c r="C840" s="234">
        <v>1.9639000000000002E-3</v>
      </c>
      <c r="D840" s="234">
        <v>1.9134E-3</v>
      </c>
      <c r="E840" s="231">
        <v>11079200</v>
      </c>
      <c r="F840" s="231" t="s">
        <v>1924</v>
      </c>
      <c r="G840" s="392">
        <v>477393</v>
      </c>
      <c r="H840" s="392">
        <v>3661792</v>
      </c>
      <c r="I840" s="392">
        <v>1105456</v>
      </c>
      <c r="J840" s="231">
        <v>282031</v>
      </c>
      <c r="K840" s="231">
        <v>5526672</v>
      </c>
      <c r="L840" s="231"/>
      <c r="M840" s="300">
        <v>46806</v>
      </c>
      <c r="N840" s="300">
        <v>0</v>
      </c>
      <c r="O840" s="300">
        <v>0</v>
      </c>
      <c r="P840" s="231">
        <v>0</v>
      </c>
      <c r="Q840" s="231">
        <v>46806</v>
      </c>
      <c r="R840" s="231"/>
      <c r="S840" s="392">
        <v>3137136</v>
      </c>
      <c r="T840" s="231">
        <v>193551</v>
      </c>
      <c r="U840" s="396">
        <v>3330687</v>
      </c>
      <c r="V840" s="231"/>
      <c r="W840" s="396">
        <v>19996530</v>
      </c>
      <c r="X840" s="396">
        <v>3730803</v>
      </c>
      <c r="Y840" s="396"/>
      <c r="Z840" s="396"/>
    </row>
    <row r="841" spans="1:26">
      <c r="A841" s="424">
        <v>99211</v>
      </c>
      <c r="B841" s="423" t="s">
        <v>1545</v>
      </c>
      <c r="C841" s="234">
        <v>3.4845999999999995E-2</v>
      </c>
      <c r="D841" s="234">
        <v>3.65305E-2</v>
      </c>
      <c r="E841" s="231">
        <v>196581200</v>
      </c>
      <c r="F841" s="231" t="s">
        <v>1924</v>
      </c>
      <c r="G841" s="392">
        <v>8470505</v>
      </c>
      <c r="H841" s="392">
        <v>64972144</v>
      </c>
      <c r="I841" s="392">
        <v>19614395</v>
      </c>
      <c r="J841" s="231">
        <v>0</v>
      </c>
      <c r="K841" s="231">
        <v>93057044</v>
      </c>
      <c r="L841" s="231"/>
      <c r="M841" s="300">
        <v>830485</v>
      </c>
      <c r="N841" s="300">
        <v>0</v>
      </c>
      <c r="O841" s="300">
        <v>0</v>
      </c>
      <c r="P841" s="231">
        <v>5302691</v>
      </c>
      <c r="Q841" s="231">
        <v>6133176</v>
      </c>
      <c r="R841" s="231"/>
      <c r="S841" s="392">
        <v>55663035</v>
      </c>
      <c r="T841" s="231">
        <v>-2316891</v>
      </c>
      <c r="U841" s="396">
        <v>53346144</v>
      </c>
      <c r="V841" s="231"/>
      <c r="W841" s="396">
        <v>354803749</v>
      </c>
      <c r="X841" s="396">
        <v>66196633</v>
      </c>
      <c r="Y841" s="396"/>
      <c r="Z841" s="396"/>
    </row>
    <row r="842" spans="1:26">
      <c r="A842" s="424">
        <v>99212</v>
      </c>
      <c r="B842" s="423" t="s">
        <v>1546</v>
      </c>
      <c r="C842" s="234">
        <v>6.8399999999999996E-5</v>
      </c>
      <c r="D842" s="234">
        <v>7.08E-5</v>
      </c>
      <c r="E842" s="231">
        <v>385874</v>
      </c>
      <c r="F842" s="231" t="s">
        <v>1924</v>
      </c>
      <c r="G842" s="392">
        <v>16627</v>
      </c>
      <c r="H842" s="392">
        <v>127535</v>
      </c>
      <c r="I842" s="392">
        <v>38502</v>
      </c>
      <c r="J842" s="231">
        <v>4683</v>
      </c>
      <c r="K842" s="231">
        <v>187347</v>
      </c>
      <c r="L842" s="231"/>
      <c r="M842" s="300">
        <v>1630</v>
      </c>
      <c r="N842" s="300">
        <v>0</v>
      </c>
      <c r="O842" s="300">
        <v>0</v>
      </c>
      <c r="P842" s="231">
        <v>36243</v>
      </c>
      <c r="Q842" s="231">
        <v>37873</v>
      </c>
      <c r="R842" s="231"/>
      <c r="S842" s="392">
        <v>109262</v>
      </c>
      <c r="T842" s="231">
        <v>-14491</v>
      </c>
      <c r="U842" s="396">
        <v>94771</v>
      </c>
      <c r="V842" s="231"/>
      <c r="W842" s="396">
        <v>696452</v>
      </c>
      <c r="X842" s="396">
        <v>129939</v>
      </c>
      <c r="Y842" s="396"/>
      <c r="Z842" s="396"/>
    </row>
    <row r="843" spans="1:26">
      <c r="A843" s="424">
        <v>99213</v>
      </c>
      <c r="B843" s="423" t="s">
        <v>1547</v>
      </c>
      <c r="C843" s="234">
        <v>5.842E-4</v>
      </c>
      <c r="D843" s="234">
        <v>6.7599999999999995E-4</v>
      </c>
      <c r="E843" s="231">
        <v>3295722</v>
      </c>
      <c r="F843" s="231" t="s">
        <v>1924</v>
      </c>
      <c r="G843" s="392">
        <v>142010</v>
      </c>
      <c r="H843" s="392">
        <v>1089271</v>
      </c>
      <c r="I843" s="392">
        <v>328839</v>
      </c>
      <c r="J843" s="231">
        <v>26803</v>
      </c>
      <c r="K843" s="231">
        <v>1586923</v>
      </c>
      <c r="L843" s="231"/>
      <c r="M843" s="300">
        <v>13923</v>
      </c>
      <c r="N843" s="300">
        <v>0</v>
      </c>
      <c r="O843" s="300">
        <v>0</v>
      </c>
      <c r="P843" s="231">
        <v>129877</v>
      </c>
      <c r="Q843" s="231">
        <v>143800</v>
      </c>
      <c r="R843" s="231"/>
      <c r="S843" s="392">
        <v>933202</v>
      </c>
      <c r="T843" s="231">
        <v>-35317</v>
      </c>
      <c r="U843" s="396">
        <v>897885</v>
      </c>
      <c r="V843" s="231"/>
      <c r="W843" s="396">
        <v>5948354</v>
      </c>
      <c r="X843" s="396">
        <v>1109799</v>
      </c>
      <c r="Y843" s="396"/>
      <c r="Z843" s="396"/>
    </row>
    <row r="844" spans="1:26">
      <c r="A844" s="424">
        <v>99218</v>
      </c>
      <c r="B844" s="423" t="s">
        <v>1548</v>
      </c>
      <c r="C844" s="234">
        <v>3.5201E-3</v>
      </c>
      <c r="D844" s="234">
        <v>3.7296999999999999E-3</v>
      </c>
      <c r="E844" s="231">
        <v>19858391</v>
      </c>
      <c r="F844" s="231" t="s">
        <v>1924</v>
      </c>
      <c r="G844" s="392">
        <v>855680</v>
      </c>
      <c r="H844" s="392">
        <v>6563406</v>
      </c>
      <c r="I844" s="392">
        <v>1981422</v>
      </c>
      <c r="J844" s="231">
        <v>210058</v>
      </c>
      <c r="K844" s="231">
        <v>9610566</v>
      </c>
      <c r="L844" s="231"/>
      <c r="M844" s="300">
        <v>83895</v>
      </c>
      <c r="N844" s="300">
        <v>0</v>
      </c>
      <c r="O844" s="300">
        <v>0</v>
      </c>
      <c r="P844" s="231">
        <v>421895</v>
      </c>
      <c r="Q844" s="231">
        <v>505790</v>
      </c>
      <c r="R844" s="231"/>
      <c r="S844" s="392">
        <v>5623011</v>
      </c>
      <c r="T844" s="231">
        <v>105044</v>
      </c>
      <c r="U844" s="396">
        <v>5728055</v>
      </c>
      <c r="V844" s="231"/>
      <c r="W844" s="396">
        <v>35841838</v>
      </c>
      <c r="X844" s="396">
        <v>6687102</v>
      </c>
      <c r="Y844" s="396"/>
      <c r="Z844" s="396"/>
    </row>
    <row r="845" spans="1:26">
      <c r="A845" s="424">
        <v>99219</v>
      </c>
      <c r="B845" s="423" t="s">
        <v>3758</v>
      </c>
      <c r="C845" s="234">
        <v>1.6099999999999998E-5</v>
      </c>
      <c r="D845" s="234">
        <v>0</v>
      </c>
      <c r="E845" s="231">
        <v>90827</v>
      </c>
      <c r="F845" s="231" t="s">
        <v>1924</v>
      </c>
      <c r="G845" s="392">
        <v>3914</v>
      </c>
      <c r="H845" s="392">
        <v>30019</v>
      </c>
      <c r="I845" s="392">
        <v>9062</v>
      </c>
      <c r="J845" s="231">
        <v>30650</v>
      </c>
      <c r="K845" s="231">
        <v>73645</v>
      </c>
      <c r="L845" s="231"/>
      <c r="M845" s="300">
        <v>384</v>
      </c>
      <c r="N845" s="300">
        <v>0</v>
      </c>
      <c r="O845" s="300">
        <v>0</v>
      </c>
      <c r="P845" s="231">
        <v>0</v>
      </c>
      <c r="Q845" s="231">
        <v>384</v>
      </c>
      <c r="R845" s="231"/>
      <c r="S845" s="392">
        <v>25718</v>
      </c>
      <c r="T845" s="231">
        <v>10217</v>
      </c>
      <c r="U845" s="396">
        <v>35935</v>
      </c>
      <c r="V845" s="231"/>
      <c r="W845" s="396">
        <v>163931</v>
      </c>
      <c r="X845" s="396">
        <v>30585</v>
      </c>
      <c r="Y845" s="396"/>
      <c r="Z845" s="396"/>
    </row>
    <row r="846" spans="1:26">
      <c r="A846" s="424">
        <v>99221</v>
      </c>
      <c r="B846" s="423" t="s">
        <v>1549</v>
      </c>
      <c r="C846" s="234">
        <v>1.1827799999999999E-2</v>
      </c>
      <c r="D846" s="234">
        <v>1.21263E-2</v>
      </c>
      <c r="E846" s="231">
        <v>66725682</v>
      </c>
      <c r="F846" s="231" t="s">
        <v>1924</v>
      </c>
      <c r="G846" s="392">
        <v>2875149</v>
      </c>
      <c r="H846" s="392">
        <v>22053536</v>
      </c>
      <c r="I846" s="392">
        <v>6657727</v>
      </c>
      <c r="J846" s="231">
        <v>0</v>
      </c>
      <c r="K846" s="231">
        <v>31586412</v>
      </c>
      <c r="L846" s="231"/>
      <c r="M846" s="300">
        <v>281892</v>
      </c>
      <c r="N846" s="300">
        <v>0</v>
      </c>
      <c r="O846" s="300">
        <v>0</v>
      </c>
      <c r="P846" s="231">
        <v>417458</v>
      </c>
      <c r="Q846" s="231">
        <v>699350</v>
      </c>
      <c r="R846" s="231"/>
      <c r="S846" s="392">
        <v>18893740</v>
      </c>
      <c r="T846" s="231">
        <v>-292349</v>
      </c>
      <c r="U846" s="396">
        <v>18601391</v>
      </c>
      <c r="V846" s="231"/>
      <c r="W846" s="396">
        <v>120431263</v>
      </c>
      <c r="X846" s="396">
        <v>22469165</v>
      </c>
      <c r="Y846" s="396"/>
      <c r="Z846" s="396"/>
    </row>
    <row r="847" spans="1:26">
      <c r="A847" s="424">
        <v>99222</v>
      </c>
      <c r="B847" s="423" t="s">
        <v>1550</v>
      </c>
      <c r="C847" s="234">
        <v>3.1300000000000002E-5</v>
      </c>
      <c r="D847" s="234">
        <v>3.3099999999999998E-5</v>
      </c>
      <c r="E847" s="231">
        <v>176577</v>
      </c>
      <c r="F847" s="231" t="s">
        <v>1924</v>
      </c>
      <c r="G847" s="392">
        <v>7609</v>
      </c>
      <c r="H847" s="392">
        <v>58360</v>
      </c>
      <c r="I847" s="392">
        <v>17618</v>
      </c>
      <c r="J847" s="231">
        <v>60</v>
      </c>
      <c r="K847" s="231">
        <v>83647</v>
      </c>
      <c r="L847" s="231"/>
      <c r="M847" s="300">
        <v>746</v>
      </c>
      <c r="N847" s="300">
        <v>0</v>
      </c>
      <c r="O847" s="300">
        <v>0</v>
      </c>
      <c r="P847" s="231">
        <v>3675</v>
      </c>
      <c r="Q847" s="231">
        <v>4421</v>
      </c>
      <c r="R847" s="231"/>
      <c r="S847" s="392">
        <v>49999</v>
      </c>
      <c r="T847" s="231">
        <v>-2953</v>
      </c>
      <c r="U847" s="396">
        <v>47046</v>
      </c>
      <c r="V847" s="231"/>
      <c r="W847" s="396">
        <v>318698</v>
      </c>
      <c r="X847" s="396">
        <v>59460</v>
      </c>
      <c r="Y847" s="396"/>
      <c r="Z847" s="396"/>
    </row>
    <row r="848" spans="1:26">
      <c r="A848" s="424">
        <v>99231</v>
      </c>
      <c r="B848" s="423" t="s">
        <v>1551</v>
      </c>
      <c r="C848" s="234">
        <v>5.0819999999999999E-4</v>
      </c>
      <c r="D848" s="234">
        <v>4.5189999999999998E-4</v>
      </c>
      <c r="E848" s="231">
        <v>2866974</v>
      </c>
      <c r="F848" s="231" t="s">
        <v>1924</v>
      </c>
      <c r="G848" s="392">
        <v>123535</v>
      </c>
      <c r="H848" s="392">
        <v>947565</v>
      </c>
      <c r="I848" s="392">
        <v>286060</v>
      </c>
      <c r="J848" s="231">
        <v>167652</v>
      </c>
      <c r="K848" s="231">
        <v>1524812</v>
      </c>
      <c r="L848" s="231"/>
      <c r="M848" s="300">
        <v>12112</v>
      </c>
      <c r="N848" s="300">
        <v>0</v>
      </c>
      <c r="O848" s="300">
        <v>0</v>
      </c>
      <c r="P848" s="231">
        <v>2100</v>
      </c>
      <c r="Q848" s="231">
        <v>14212</v>
      </c>
      <c r="R848" s="231"/>
      <c r="S848" s="392">
        <v>811799</v>
      </c>
      <c r="T848" s="231">
        <v>75278</v>
      </c>
      <c r="U848" s="396">
        <v>887077</v>
      </c>
      <c r="V848" s="231"/>
      <c r="W848" s="396">
        <v>5174518</v>
      </c>
      <c r="X848" s="396">
        <v>965423</v>
      </c>
      <c r="Y848" s="396"/>
      <c r="Z848" s="396"/>
    </row>
    <row r="849" spans="1:26">
      <c r="A849" s="424">
        <v>99241</v>
      </c>
      <c r="B849" s="423" t="s">
        <v>1552</v>
      </c>
      <c r="C849" s="234">
        <v>5.6979999999999997E-4</v>
      </c>
      <c r="D849" s="234">
        <v>5.4799999999999998E-4</v>
      </c>
      <c r="E849" s="231">
        <v>3214486</v>
      </c>
      <c r="F849" s="231" t="s">
        <v>1924</v>
      </c>
      <c r="G849" s="392">
        <v>138509</v>
      </c>
      <c r="H849" s="392">
        <v>1062421</v>
      </c>
      <c r="I849" s="392">
        <v>320734</v>
      </c>
      <c r="J849" s="231">
        <v>24848</v>
      </c>
      <c r="K849" s="231">
        <v>1546512</v>
      </c>
      <c r="L849" s="231"/>
      <c r="M849" s="300">
        <v>13580</v>
      </c>
      <c r="N849" s="300">
        <v>0</v>
      </c>
      <c r="O849" s="300">
        <v>0</v>
      </c>
      <c r="P849" s="231">
        <v>50808</v>
      </c>
      <c r="Q849" s="231">
        <v>64388</v>
      </c>
      <c r="R849" s="231"/>
      <c r="S849" s="392">
        <v>910199</v>
      </c>
      <c r="T849" s="231">
        <v>-18280</v>
      </c>
      <c r="U849" s="396">
        <v>891919</v>
      </c>
      <c r="V849" s="231"/>
      <c r="W849" s="396">
        <v>5801733</v>
      </c>
      <c r="X849" s="396">
        <v>1082444</v>
      </c>
      <c r="Y849" s="396"/>
      <c r="Z849" s="396"/>
    </row>
    <row r="850" spans="1:26">
      <c r="A850" s="424">
        <v>99251</v>
      </c>
      <c r="B850" s="423" t="s">
        <v>1553</v>
      </c>
      <c r="C850" s="234">
        <v>1.8194000000000001E-3</v>
      </c>
      <c r="D850" s="234">
        <v>1.6489E-3</v>
      </c>
      <c r="E850" s="231">
        <v>10264014</v>
      </c>
      <c r="F850" s="231" t="s">
        <v>1924</v>
      </c>
      <c r="G850" s="392">
        <v>442267</v>
      </c>
      <c r="H850" s="392">
        <v>3392364</v>
      </c>
      <c r="I850" s="392">
        <v>1024118</v>
      </c>
      <c r="J850" s="231">
        <v>231423</v>
      </c>
      <c r="K850" s="231">
        <v>5090172</v>
      </c>
      <c r="L850" s="231"/>
      <c r="M850" s="300">
        <v>43362</v>
      </c>
      <c r="N850" s="300">
        <v>0</v>
      </c>
      <c r="O850" s="300">
        <v>0</v>
      </c>
      <c r="P850" s="231">
        <v>0</v>
      </c>
      <c r="Q850" s="231">
        <v>43362</v>
      </c>
      <c r="R850" s="231"/>
      <c r="S850" s="392">
        <v>2906311</v>
      </c>
      <c r="T850" s="231">
        <v>78172</v>
      </c>
      <c r="U850" s="396">
        <v>2984483</v>
      </c>
      <c r="V850" s="231"/>
      <c r="W850" s="396">
        <v>18525224</v>
      </c>
      <c r="X850" s="396">
        <v>3456298</v>
      </c>
      <c r="Y850" s="396"/>
      <c r="Z850" s="396"/>
    </row>
    <row r="851" spans="1:26">
      <c r="A851" s="424">
        <v>99252</v>
      </c>
      <c r="B851" s="423" t="s">
        <v>1554</v>
      </c>
      <c r="C851" s="234">
        <v>7.1779999999999999E-4</v>
      </c>
      <c r="D851" s="234">
        <v>6.3929999999999998E-4</v>
      </c>
      <c r="E851" s="231">
        <v>4049417</v>
      </c>
      <c r="F851" s="231" t="s">
        <v>1924</v>
      </c>
      <c r="G851" s="392">
        <v>174486</v>
      </c>
      <c r="H851" s="392">
        <v>1338375</v>
      </c>
      <c r="I851" s="392">
        <v>404041</v>
      </c>
      <c r="J851" s="231">
        <v>60513</v>
      </c>
      <c r="K851" s="231">
        <v>1977415</v>
      </c>
      <c r="L851" s="231"/>
      <c r="M851" s="300">
        <v>17107</v>
      </c>
      <c r="N851" s="300">
        <v>0</v>
      </c>
      <c r="O851" s="300">
        <v>0</v>
      </c>
      <c r="P851" s="231">
        <v>77670</v>
      </c>
      <c r="Q851" s="231">
        <v>94777</v>
      </c>
      <c r="R851" s="231"/>
      <c r="S851" s="392">
        <v>1146614</v>
      </c>
      <c r="T851" s="231">
        <v>-52301</v>
      </c>
      <c r="U851" s="396">
        <v>1094313</v>
      </c>
      <c r="V851" s="231"/>
      <c r="W851" s="396">
        <v>7308676</v>
      </c>
      <c r="X851" s="396">
        <v>1363598</v>
      </c>
      <c r="Y851" s="396"/>
      <c r="Z851" s="396"/>
    </row>
    <row r="852" spans="1:26">
      <c r="A852" s="424">
        <v>99261</v>
      </c>
      <c r="B852" s="423" t="s">
        <v>1555</v>
      </c>
      <c r="C852" s="234">
        <v>2.5084E-3</v>
      </c>
      <c r="D852" s="234">
        <v>2.2912000000000002E-3</v>
      </c>
      <c r="E852" s="231">
        <v>14150958</v>
      </c>
      <c r="F852" s="231" t="s">
        <v>1924</v>
      </c>
      <c r="G852" s="392">
        <v>609752</v>
      </c>
      <c r="H852" s="392">
        <v>4677040</v>
      </c>
      <c r="I852" s="392">
        <v>1411948</v>
      </c>
      <c r="J852" s="231">
        <v>214669</v>
      </c>
      <c r="K852" s="231">
        <v>6913409</v>
      </c>
      <c r="L852" s="231"/>
      <c r="M852" s="300">
        <v>59783</v>
      </c>
      <c r="N852" s="300">
        <v>0</v>
      </c>
      <c r="O852" s="300">
        <v>0</v>
      </c>
      <c r="P852" s="231">
        <v>84174</v>
      </c>
      <c r="Q852" s="231">
        <v>143957</v>
      </c>
      <c r="R852" s="231"/>
      <c r="S852" s="392">
        <v>4006921</v>
      </c>
      <c r="T852" s="231">
        <v>15838</v>
      </c>
      <c r="U852" s="396">
        <v>4022759</v>
      </c>
      <c r="V852" s="231"/>
      <c r="W852" s="396">
        <v>25540657</v>
      </c>
      <c r="X852" s="396">
        <v>4765185</v>
      </c>
      <c r="Y852" s="396"/>
      <c r="Z852" s="396"/>
    </row>
    <row r="853" spans="1:26">
      <c r="A853" s="424">
        <v>99271</v>
      </c>
      <c r="B853" s="423" t="s">
        <v>1556</v>
      </c>
      <c r="C853" s="234">
        <v>5.0365999999999996E-3</v>
      </c>
      <c r="D853" s="234">
        <v>5.0762000000000003E-3</v>
      </c>
      <c r="E853" s="231">
        <v>28413616</v>
      </c>
      <c r="F853" s="231" t="s">
        <v>1924</v>
      </c>
      <c r="G853" s="392">
        <v>1224317</v>
      </c>
      <c r="H853" s="392">
        <v>9390998</v>
      </c>
      <c r="I853" s="392">
        <v>2835042</v>
      </c>
      <c r="J853" s="231">
        <v>514323</v>
      </c>
      <c r="K853" s="231">
        <v>13964680</v>
      </c>
      <c r="L853" s="231"/>
      <c r="M853" s="300">
        <v>120037</v>
      </c>
      <c r="N853" s="300">
        <v>0</v>
      </c>
      <c r="O853" s="300">
        <v>0</v>
      </c>
      <c r="P853" s="231">
        <v>321351</v>
      </c>
      <c r="Q853" s="231">
        <v>441388</v>
      </c>
      <c r="R853" s="231"/>
      <c r="S853" s="392">
        <v>8045470</v>
      </c>
      <c r="T853" s="231">
        <v>209877</v>
      </c>
      <c r="U853" s="396">
        <v>8255347</v>
      </c>
      <c r="V853" s="231"/>
      <c r="W853" s="396">
        <v>51282918</v>
      </c>
      <c r="X853" s="396">
        <v>9567984</v>
      </c>
      <c r="Y853" s="396"/>
      <c r="Z853" s="396"/>
    </row>
    <row r="854" spans="1:26">
      <c r="A854" s="424">
        <v>99281</v>
      </c>
      <c r="B854" s="423" t="s">
        <v>1557</v>
      </c>
      <c r="C854" s="234">
        <v>3.6768999999999999E-3</v>
      </c>
      <c r="D854" s="234">
        <v>3.4172E-3</v>
      </c>
      <c r="E854" s="231">
        <v>20742967</v>
      </c>
      <c r="F854" s="231" t="s">
        <v>1924</v>
      </c>
      <c r="G854" s="392">
        <v>893796</v>
      </c>
      <c r="H854" s="392">
        <v>6855768</v>
      </c>
      <c r="I854" s="392">
        <v>2069683</v>
      </c>
      <c r="J854" s="231">
        <v>1016615</v>
      </c>
      <c r="K854" s="231">
        <v>10835862</v>
      </c>
      <c r="L854" s="231"/>
      <c r="M854" s="300">
        <v>87632</v>
      </c>
      <c r="N854" s="300">
        <v>0</v>
      </c>
      <c r="O854" s="300">
        <v>0</v>
      </c>
      <c r="P854" s="231">
        <v>13</v>
      </c>
      <c r="Q854" s="231">
        <v>87645</v>
      </c>
      <c r="R854" s="231"/>
      <c r="S854" s="392">
        <v>5873484</v>
      </c>
      <c r="T854" s="231">
        <v>503245</v>
      </c>
      <c r="U854" s="396">
        <v>6376729</v>
      </c>
      <c r="V854" s="231"/>
      <c r="W854" s="396">
        <v>37438383</v>
      </c>
      <c r="X854" s="396">
        <v>6984974</v>
      </c>
      <c r="Y854" s="396"/>
      <c r="Z854" s="396"/>
    </row>
    <row r="855" spans="1:26">
      <c r="A855" s="424">
        <v>99291</v>
      </c>
      <c r="B855" s="423" t="s">
        <v>1558</v>
      </c>
      <c r="C855" s="234">
        <v>1.2277E-3</v>
      </c>
      <c r="D855" s="234">
        <v>9.6429999999999997E-4</v>
      </c>
      <c r="E855" s="231">
        <v>6925981</v>
      </c>
      <c r="F855" s="231" t="s">
        <v>1924</v>
      </c>
      <c r="G855" s="392">
        <v>298434</v>
      </c>
      <c r="H855" s="392">
        <v>2289109</v>
      </c>
      <c r="I855" s="392">
        <v>691058</v>
      </c>
      <c r="J855" s="231">
        <v>432146</v>
      </c>
      <c r="K855" s="231">
        <v>3710747</v>
      </c>
      <c r="L855" s="231"/>
      <c r="M855" s="300">
        <v>29260</v>
      </c>
      <c r="N855" s="300">
        <v>0</v>
      </c>
      <c r="O855" s="300">
        <v>0</v>
      </c>
      <c r="P855" s="231">
        <v>24573</v>
      </c>
      <c r="Q855" s="231">
        <v>53833</v>
      </c>
      <c r="R855" s="231"/>
      <c r="S855" s="392">
        <v>1961129</v>
      </c>
      <c r="T855" s="231">
        <v>143029</v>
      </c>
      <c r="U855" s="396">
        <v>2104158</v>
      </c>
      <c r="V855" s="231"/>
      <c r="W855" s="396">
        <v>12500504</v>
      </c>
      <c r="X855" s="396">
        <v>2332251</v>
      </c>
      <c r="Y855" s="396"/>
      <c r="Z855" s="396"/>
    </row>
    <row r="856" spans="1:26">
      <c r="A856" s="424">
        <v>99301</v>
      </c>
      <c r="B856" s="423" t="s">
        <v>1559</v>
      </c>
      <c r="C856" s="234">
        <v>1.4147999999999999E-3</v>
      </c>
      <c r="D856" s="234">
        <v>1.4434000000000001E-3</v>
      </c>
      <c r="E856" s="231">
        <v>7981492</v>
      </c>
      <c r="F856" s="231" t="s">
        <v>1924</v>
      </c>
      <c r="G856" s="392">
        <v>343915</v>
      </c>
      <c r="H856" s="392">
        <v>2637967</v>
      </c>
      <c r="I856" s="392">
        <v>796374</v>
      </c>
      <c r="J856" s="231">
        <v>0</v>
      </c>
      <c r="K856" s="231">
        <v>3778256</v>
      </c>
      <c r="L856" s="231"/>
      <c r="M856" s="300">
        <v>33719</v>
      </c>
      <c r="N856" s="300">
        <v>0</v>
      </c>
      <c r="O856" s="300">
        <v>0</v>
      </c>
      <c r="P856" s="231">
        <v>181182</v>
      </c>
      <c r="Q856" s="231">
        <v>214901</v>
      </c>
      <c r="R856" s="231"/>
      <c r="S856" s="392">
        <v>2260003</v>
      </c>
      <c r="T856" s="231">
        <v>-122876</v>
      </c>
      <c r="U856" s="396">
        <v>2137127</v>
      </c>
      <c r="V856" s="231"/>
      <c r="W856" s="396">
        <v>14405566</v>
      </c>
      <c r="X856" s="396">
        <v>2687683</v>
      </c>
      <c r="Y856" s="396"/>
      <c r="Z856" s="396"/>
    </row>
    <row r="857" spans="1:26">
      <c r="A857" s="424">
        <v>99304</v>
      </c>
      <c r="B857" s="423" t="s">
        <v>1560</v>
      </c>
      <c r="C857" s="234">
        <v>6.6000000000000003E-6</v>
      </c>
      <c r="D857" s="234">
        <v>6.7000000000000002E-6</v>
      </c>
      <c r="E857" s="231">
        <v>37233</v>
      </c>
      <c r="F857" s="231" t="s">
        <v>1924</v>
      </c>
      <c r="G857" s="392">
        <v>1604</v>
      </c>
      <c r="H857" s="392">
        <v>12306</v>
      </c>
      <c r="I857" s="392">
        <v>3715</v>
      </c>
      <c r="J857" s="231">
        <v>10742</v>
      </c>
      <c r="K857" s="231">
        <v>28367</v>
      </c>
      <c r="L857" s="231"/>
      <c r="M857" s="300">
        <v>157</v>
      </c>
      <c r="N857" s="300">
        <v>0</v>
      </c>
      <c r="O857" s="300">
        <v>0</v>
      </c>
      <c r="P857" s="231">
        <v>0</v>
      </c>
      <c r="Q857" s="231">
        <v>157</v>
      </c>
      <c r="R857" s="231"/>
      <c r="S857" s="392">
        <v>10543</v>
      </c>
      <c r="T857" s="231">
        <v>6035</v>
      </c>
      <c r="U857" s="396">
        <v>16578</v>
      </c>
      <c r="V857" s="231"/>
      <c r="W857" s="396">
        <v>67202</v>
      </c>
      <c r="X857" s="396">
        <v>12538</v>
      </c>
      <c r="Y857" s="396"/>
      <c r="Z857" s="396"/>
    </row>
    <row r="858" spans="1:26">
      <c r="A858" s="424">
        <v>99311</v>
      </c>
      <c r="B858" s="423" t="s">
        <v>1561</v>
      </c>
      <c r="C858" s="234">
        <v>5.7099999999999999E-5</v>
      </c>
      <c r="D858" s="234">
        <v>5.6799999999999998E-5</v>
      </c>
      <c r="E858" s="231">
        <v>322126</v>
      </c>
      <c r="F858" s="231" t="s">
        <v>1924</v>
      </c>
      <c r="G858" s="392">
        <v>13880</v>
      </c>
      <c r="H858" s="392">
        <v>106466</v>
      </c>
      <c r="I858" s="392">
        <v>32141</v>
      </c>
      <c r="J858" s="231">
        <v>378</v>
      </c>
      <c r="K858" s="231">
        <v>152865</v>
      </c>
      <c r="L858" s="231"/>
      <c r="M858" s="300">
        <v>1361</v>
      </c>
      <c r="N858" s="300">
        <v>0</v>
      </c>
      <c r="O858" s="300">
        <v>0</v>
      </c>
      <c r="P858" s="231">
        <v>7982</v>
      </c>
      <c r="Q858" s="231">
        <v>9343</v>
      </c>
      <c r="R858" s="231"/>
      <c r="S858" s="392">
        <v>91212</v>
      </c>
      <c r="T858" s="231">
        <v>-3776</v>
      </c>
      <c r="U858" s="396">
        <v>87436</v>
      </c>
      <c r="V858" s="231"/>
      <c r="W858" s="396">
        <v>581395</v>
      </c>
      <c r="X858" s="396">
        <v>108472</v>
      </c>
      <c r="Y858" s="396"/>
      <c r="Z858" s="396"/>
    </row>
    <row r="859" spans="1:26">
      <c r="A859" s="424">
        <v>99321</v>
      </c>
      <c r="B859" s="423" t="s">
        <v>1562</v>
      </c>
      <c r="C859" s="234">
        <v>9.9199999999999999E-5</v>
      </c>
      <c r="D859" s="234">
        <v>1.0230000000000001E-4</v>
      </c>
      <c r="E859" s="231">
        <v>559630</v>
      </c>
      <c r="F859" s="231" t="s">
        <v>1924</v>
      </c>
      <c r="G859" s="392">
        <v>24114</v>
      </c>
      <c r="H859" s="392">
        <v>184963</v>
      </c>
      <c r="I859" s="392">
        <v>55838</v>
      </c>
      <c r="J859" s="231">
        <v>92658</v>
      </c>
      <c r="K859" s="231">
        <v>357573</v>
      </c>
      <c r="L859" s="231"/>
      <c r="M859" s="300">
        <v>2364</v>
      </c>
      <c r="N859" s="300">
        <v>0</v>
      </c>
      <c r="O859" s="300">
        <v>0</v>
      </c>
      <c r="P859" s="231">
        <v>0</v>
      </c>
      <c r="Q859" s="231">
        <v>2364</v>
      </c>
      <c r="R859" s="231"/>
      <c r="S859" s="392">
        <v>158462</v>
      </c>
      <c r="T859" s="231">
        <v>54941</v>
      </c>
      <c r="U859" s="396">
        <v>213403</v>
      </c>
      <c r="V859" s="231"/>
      <c r="W859" s="396">
        <v>1010059</v>
      </c>
      <c r="X859" s="396">
        <v>188449</v>
      </c>
      <c r="Y859" s="396"/>
      <c r="Z859" s="396"/>
    </row>
    <row r="860" spans="1:26">
      <c r="A860" s="424">
        <v>99401</v>
      </c>
      <c r="B860" s="423" t="s">
        <v>1563</v>
      </c>
      <c r="C860" s="234">
        <v>7.9420000000000001E-4</v>
      </c>
      <c r="D860" s="234">
        <v>7.381E-4</v>
      </c>
      <c r="E860" s="231">
        <v>4480422</v>
      </c>
      <c r="F860" s="231" t="s">
        <v>1924</v>
      </c>
      <c r="G860" s="392">
        <v>193057</v>
      </c>
      <c r="H860" s="392">
        <v>1480826</v>
      </c>
      <c r="I860" s="392">
        <v>447046</v>
      </c>
      <c r="J860" s="231">
        <v>96993</v>
      </c>
      <c r="K860" s="231">
        <v>2217922</v>
      </c>
      <c r="L860" s="231"/>
      <c r="M860" s="300">
        <v>18928</v>
      </c>
      <c r="N860" s="300">
        <v>0</v>
      </c>
      <c r="O860" s="300">
        <v>0</v>
      </c>
      <c r="P860" s="231">
        <v>12949</v>
      </c>
      <c r="Q860" s="231">
        <v>31877</v>
      </c>
      <c r="R860" s="231"/>
      <c r="S860" s="392">
        <v>1268656</v>
      </c>
      <c r="T860" s="231">
        <v>9060</v>
      </c>
      <c r="U860" s="396">
        <v>1277716</v>
      </c>
      <c r="V860" s="231"/>
      <c r="W860" s="396">
        <v>8086585</v>
      </c>
      <c r="X860" s="396">
        <v>1508735</v>
      </c>
      <c r="Y860" s="396"/>
      <c r="Z860" s="396"/>
    </row>
    <row r="861" spans="1:26">
      <c r="A861" s="424">
        <v>99404</v>
      </c>
      <c r="B861" s="423" t="s">
        <v>1564</v>
      </c>
      <c r="C861" s="234">
        <v>7.1999999999999997E-6</v>
      </c>
      <c r="D861" s="234">
        <v>7.4000000000000003E-6</v>
      </c>
      <c r="E861" s="231">
        <v>40618</v>
      </c>
      <c r="F861" s="231" t="s">
        <v>1924</v>
      </c>
      <c r="G861" s="392">
        <v>1750</v>
      </c>
      <c r="H861" s="392">
        <v>13425</v>
      </c>
      <c r="I861" s="392">
        <v>4053</v>
      </c>
      <c r="J861" s="231">
        <v>3784</v>
      </c>
      <c r="K861" s="231">
        <v>23012</v>
      </c>
      <c r="L861" s="231"/>
      <c r="M861" s="300">
        <v>172</v>
      </c>
      <c r="N861" s="300">
        <v>0</v>
      </c>
      <c r="O861" s="300">
        <v>0</v>
      </c>
      <c r="P861" s="231">
        <v>0</v>
      </c>
      <c r="Q861" s="231">
        <v>172</v>
      </c>
      <c r="R861" s="231"/>
      <c r="S861" s="392">
        <v>11501</v>
      </c>
      <c r="T861" s="231">
        <v>1961</v>
      </c>
      <c r="U861" s="396">
        <v>13462</v>
      </c>
      <c r="V861" s="231"/>
      <c r="W861" s="396">
        <v>73311</v>
      </c>
      <c r="X861" s="396">
        <v>13678</v>
      </c>
      <c r="Y861" s="396"/>
      <c r="Z861" s="396"/>
    </row>
    <row r="862" spans="1:26">
      <c r="A862" s="424">
        <v>99405</v>
      </c>
      <c r="B862" s="423" t="s">
        <v>1565</v>
      </c>
      <c r="C862" s="234">
        <v>5.5999999999999999E-5</v>
      </c>
      <c r="D862" s="234">
        <v>5.27E-5</v>
      </c>
      <c r="E862" s="231">
        <v>315920</v>
      </c>
      <c r="F862" s="231" t="s">
        <v>1924</v>
      </c>
      <c r="G862" s="392">
        <v>13613</v>
      </c>
      <c r="H862" s="392">
        <v>104415</v>
      </c>
      <c r="I862" s="392">
        <v>31522</v>
      </c>
      <c r="J862" s="231">
        <v>16155</v>
      </c>
      <c r="K862" s="231">
        <v>165705</v>
      </c>
      <c r="L862" s="231"/>
      <c r="M862" s="300">
        <v>1335</v>
      </c>
      <c r="N862" s="300">
        <v>0</v>
      </c>
      <c r="O862" s="300">
        <v>0</v>
      </c>
      <c r="P862" s="231">
        <v>2312</v>
      </c>
      <c r="Q862" s="231">
        <v>3647</v>
      </c>
      <c r="R862" s="231"/>
      <c r="S862" s="392">
        <v>89454</v>
      </c>
      <c r="T862" s="231">
        <v>8558</v>
      </c>
      <c r="U862" s="396">
        <v>98012</v>
      </c>
      <c r="V862" s="231"/>
      <c r="W862" s="396">
        <v>570195</v>
      </c>
      <c r="X862" s="396">
        <v>106383</v>
      </c>
      <c r="Y862" s="396"/>
      <c r="Z862" s="396"/>
    </row>
    <row r="863" spans="1:26">
      <c r="A863" s="424">
        <v>99411</v>
      </c>
      <c r="B863" s="423" t="s">
        <v>1566</v>
      </c>
      <c r="C863" s="234">
        <v>1.448E-4</v>
      </c>
      <c r="D863" s="234">
        <v>1.64E-4</v>
      </c>
      <c r="E863" s="231">
        <v>816879</v>
      </c>
      <c r="F863" s="231" t="s">
        <v>1924</v>
      </c>
      <c r="G863" s="392">
        <v>35199</v>
      </c>
      <c r="H863" s="392">
        <v>269987</v>
      </c>
      <c r="I863" s="392">
        <v>81506</v>
      </c>
      <c r="J863" s="231">
        <v>2952</v>
      </c>
      <c r="K863" s="231">
        <v>389644</v>
      </c>
      <c r="L863" s="231"/>
      <c r="M863" s="300">
        <v>3451</v>
      </c>
      <c r="N863" s="300">
        <v>0</v>
      </c>
      <c r="O863" s="300">
        <v>0</v>
      </c>
      <c r="P863" s="231">
        <v>33213</v>
      </c>
      <c r="Q863" s="231">
        <v>36664</v>
      </c>
      <c r="R863" s="231"/>
      <c r="S863" s="392">
        <v>231304</v>
      </c>
      <c r="T863" s="231">
        <v>-6181</v>
      </c>
      <c r="U863" s="396">
        <v>225123</v>
      </c>
      <c r="V863" s="231"/>
      <c r="W863" s="396">
        <v>1474361</v>
      </c>
      <c r="X863" s="396">
        <v>275075</v>
      </c>
      <c r="Y863" s="396"/>
      <c r="Z863" s="396"/>
    </row>
    <row r="864" spans="1:26">
      <c r="A864" s="424">
        <v>99413</v>
      </c>
      <c r="B864" s="423" t="s">
        <v>1567</v>
      </c>
      <c r="C864" s="234">
        <v>4.2700000000000001E-5</v>
      </c>
      <c r="D864" s="234">
        <v>3.7299999999999999E-5</v>
      </c>
      <c r="E864" s="231">
        <v>240889</v>
      </c>
      <c r="F864" s="231" t="s">
        <v>1924</v>
      </c>
      <c r="G864" s="392">
        <v>10380</v>
      </c>
      <c r="H864" s="392">
        <v>79616</v>
      </c>
      <c r="I864" s="392">
        <v>24035</v>
      </c>
      <c r="J864" s="231">
        <v>35619</v>
      </c>
      <c r="K864" s="231">
        <v>149650</v>
      </c>
      <c r="L864" s="231"/>
      <c r="M864" s="300">
        <v>1018</v>
      </c>
      <c r="N864" s="300">
        <v>0</v>
      </c>
      <c r="O864" s="300">
        <v>0</v>
      </c>
      <c r="P864" s="231">
        <v>0</v>
      </c>
      <c r="Q864" s="231">
        <v>1018</v>
      </c>
      <c r="R864" s="231"/>
      <c r="S864" s="392">
        <v>68209</v>
      </c>
      <c r="T864" s="231">
        <v>18629</v>
      </c>
      <c r="U864" s="396">
        <v>86838</v>
      </c>
      <c r="V864" s="231"/>
      <c r="W864" s="396">
        <v>434774</v>
      </c>
      <c r="X864" s="396">
        <v>81117</v>
      </c>
      <c r="Y864" s="396"/>
      <c r="Z864" s="396"/>
    </row>
    <row r="865" spans="1:26" customFormat="1">
      <c r="A865" s="424">
        <v>99421</v>
      </c>
      <c r="B865" s="423" t="s">
        <v>1568</v>
      </c>
      <c r="C865" s="234">
        <v>1.06E-5</v>
      </c>
      <c r="D865" s="234">
        <v>1.2300000000000001E-5</v>
      </c>
      <c r="E865" s="231">
        <v>59799</v>
      </c>
      <c r="F865" s="231" t="s">
        <v>1924</v>
      </c>
      <c r="G865" s="392">
        <v>2577</v>
      </c>
      <c r="H865" s="392">
        <v>19764</v>
      </c>
      <c r="I865" s="392">
        <v>5967</v>
      </c>
      <c r="J865" s="231">
        <v>1326</v>
      </c>
      <c r="K865" s="231">
        <v>29634</v>
      </c>
      <c r="L865" s="231"/>
      <c r="M865" s="300">
        <v>253</v>
      </c>
      <c r="N865" s="300">
        <v>0</v>
      </c>
      <c r="O865" s="300">
        <v>0</v>
      </c>
      <c r="P865" s="231">
        <v>5770</v>
      </c>
      <c r="Q865" s="231">
        <v>6023</v>
      </c>
      <c r="R865" s="231"/>
      <c r="S865" s="392">
        <v>16932</v>
      </c>
      <c r="T865" s="231">
        <v>-1815</v>
      </c>
      <c r="U865" s="396">
        <v>15117</v>
      </c>
      <c r="V865" s="231"/>
      <c r="W865" s="396">
        <v>107930</v>
      </c>
      <c r="X865" s="396">
        <v>20137</v>
      </c>
      <c r="Y865" s="396"/>
      <c r="Z865" s="396"/>
    </row>
    <row r="866" spans="1:26" customFormat="1">
      <c r="A866" s="424">
        <v>99431</v>
      </c>
      <c r="B866" s="423" t="s">
        <v>1569</v>
      </c>
      <c r="C866" s="234">
        <v>1.77E-5</v>
      </c>
      <c r="D866" s="234">
        <v>1.8099999999999999E-5</v>
      </c>
      <c r="E866" s="231">
        <v>99853</v>
      </c>
      <c r="F866" s="231" t="s">
        <v>1924</v>
      </c>
      <c r="G866" s="392">
        <v>4303</v>
      </c>
      <c r="H866" s="392">
        <v>33003</v>
      </c>
      <c r="I866" s="392">
        <v>9963</v>
      </c>
      <c r="J866" s="231">
        <v>1461</v>
      </c>
      <c r="K866" s="231">
        <v>48730</v>
      </c>
      <c r="L866" s="231"/>
      <c r="M866" s="300">
        <v>422</v>
      </c>
      <c r="N866" s="300">
        <v>0</v>
      </c>
      <c r="O866" s="300">
        <v>0</v>
      </c>
      <c r="P866" s="231">
        <v>5346</v>
      </c>
      <c r="Q866" s="231">
        <v>5768</v>
      </c>
      <c r="R866" s="231"/>
      <c r="S866" s="392">
        <v>28274</v>
      </c>
      <c r="T866" s="231">
        <v>-2138</v>
      </c>
      <c r="U866" s="396">
        <v>26136</v>
      </c>
      <c r="V866" s="231"/>
      <c r="W866" s="396">
        <v>180222</v>
      </c>
      <c r="X866" s="396">
        <v>33625</v>
      </c>
      <c r="Y866" s="396"/>
      <c r="Z866" s="396"/>
    </row>
    <row r="867" spans="1:26" customFormat="1">
      <c r="A867" s="424">
        <v>99501</v>
      </c>
      <c r="B867" s="423" t="s">
        <v>1570</v>
      </c>
      <c r="C867" s="234">
        <v>1.7076999999999999E-3</v>
      </c>
      <c r="D867" s="234">
        <v>1.6647999999999999E-3</v>
      </c>
      <c r="E867" s="231">
        <v>9633867</v>
      </c>
      <c r="F867" s="231" t="s">
        <v>1924</v>
      </c>
      <c r="G867" s="392">
        <v>415115</v>
      </c>
      <c r="H867" s="392">
        <v>3184094</v>
      </c>
      <c r="I867" s="392">
        <v>961244</v>
      </c>
      <c r="J867" s="231">
        <v>212502</v>
      </c>
      <c r="K867" s="231">
        <v>4772955</v>
      </c>
      <c r="L867" s="231"/>
      <c r="M867" s="300">
        <v>40700</v>
      </c>
      <c r="N867" s="300">
        <v>0</v>
      </c>
      <c r="O867" s="300">
        <v>0</v>
      </c>
      <c r="P867" s="231">
        <v>0</v>
      </c>
      <c r="Q867" s="231">
        <v>40700</v>
      </c>
      <c r="R867" s="231"/>
      <c r="S867" s="392">
        <v>2727882</v>
      </c>
      <c r="T867" s="231">
        <v>103033</v>
      </c>
      <c r="U867" s="396">
        <v>2830915</v>
      </c>
      <c r="V867" s="231"/>
      <c r="W867" s="396">
        <v>17387888</v>
      </c>
      <c r="X867" s="396">
        <v>3244102</v>
      </c>
      <c r="Y867" s="396"/>
      <c r="Z867" s="396"/>
    </row>
    <row r="868" spans="1:26" customFormat="1">
      <c r="A868" s="424">
        <v>99502</v>
      </c>
      <c r="B868" s="423" t="s">
        <v>1571</v>
      </c>
      <c r="C868" s="234">
        <v>1.5009999999999999E-4</v>
      </c>
      <c r="D868" s="234">
        <v>1.5300000000000001E-4</v>
      </c>
      <c r="E868" s="231">
        <v>846778</v>
      </c>
      <c r="F868" s="231" t="s">
        <v>1924</v>
      </c>
      <c r="G868" s="392">
        <v>36487</v>
      </c>
      <c r="H868" s="392">
        <v>279869</v>
      </c>
      <c r="I868" s="392">
        <v>84489</v>
      </c>
      <c r="J868" s="231">
        <v>2034</v>
      </c>
      <c r="K868" s="231">
        <v>402879</v>
      </c>
      <c r="L868" s="231"/>
      <c r="M868" s="300">
        <v>3577</v>
      </c>
      <c r="N868" s="300">
        <v>0</v>
      </c>
      <c r="O868" s="300">
        <v>0</v>
      </c>
      <c r="P868" s="231">
        <v>12450</v>
      </c>
      <c r="Q868" s="231">
        <v>16027</v>
      </c>
      <c r="R868" s="231"/>
      <c r="S868" s="392">
        <v>239770</v>
      </c>
      <c r="T868" s="231">
        <v>-2004</v>
      </c>
      <c r="U868" s="396">
        <v>237766</v>
      </c>
      <c r="V868" s="231"/>
      <c r="W868" s="396">
        <v>1528326</v>
      </c>
      <c r="X868" s="396">
        <v>285144</v>
      </c>
      <c r="Y868" s="396"/>
      <c r="Z868" s="396"/>
    </row>
    <row r="869" spans="1:26" customFormat="1">
      <c r="A869" s="424">
        <v>99508</v>
      </c>
      <c r="B869" s="423" t="s">
        <v>1572</v>
      </c>
      <c r="C869" s="234">
        <v>1.8099999999999999E-5</v>
      </c>
      <c r="D869" s="234">
        <v>2.1100000000000001E-5</v>
      </c>
      <c r="E869" s="231">
        <v>102110</v>
      </c>
      <c r="F869" s="231" t="s">
        <v>1924</v>
      </c>
      <c r="G869" s="392">
        <v>4400</v>
      </c>
      <c r="H869" s="392">
        <v>33748</v>
      </c>
      <c r="I869" s="392">
        <v>10188</v>
      </c>
      <c r="J869" s="231">
        <v>760</v>
      </c>
      <c r="K869" s="231">
        <v>49096</v>
      </c>
      <c r="L869" s="231"/>
      <c r="M869" s="300">
        <v>431</v>
      </c>
      <c r="N869" s="300">
        <v>0</v>
      </c>
      <c r="O869" s="300">
        <v>0</v>
      </c>
      <c r="P869" s="231">
        <v>3632</v>
      </c>
      <c r="Q869" s="231">
        <v>4063</v>
      </c>
      <c r="R869" s="231"/>
      <c r="S869" s="392">
        <v>28913</v>
      </c>
      <c r="T869" s="231">
        <v>-1111</v>
      </c>
      <c r="U869" s="396">
        <v>27802</v>
      </c>
      <c r="V869" s="231"/>
      <c r="W869" s="396">
        <v>184295</v>
      </c>
      <c r="X869" s="396">
        <v>34384</v>
      </c>
      <c r="Y869" s="396"/>
      <c r="Z869" s="396"/>
    </row>
    <row r="870" spans="1:26" customFormat="1">
      <c r="A870" s="424">
        <v>99509</v>
      </c>
      <c r="B870" s="423" t="s">
        <v>1573</v>
      </c>
      <c r="C870" s="234">
        <v>2.4199999999999999E-5</v>
      </c>
      <c r="D870" s="234">
        <v>2.1699999999999999E-5</v>
      </c>
      <c r="E870" s="231">
        <v>136523</v>
      </c>
      <c r="F870" s="231" t="s">
        <v>1924</v>
      </c>
      <c r="G870" s="392">
        <v>5883</v>
      </c>
      <c r="H870" s="392">
        <v>45122</v>
      </c>
      <c r="I870" s="392">
        <v>13622</v>
      </c>
      <c r="J870" s="231">
        <v>6553</v>
      </c>
      <c r="K870" s="231">
        <v>71180</v>
      </c>
      <c r="L870" s="231"/>
      <c r="M870" s="300">
        <v>577</v>
      </c>
      <c r="N870" s="300">
        <v>0</v>
      </c>
      <c r="O870" s="300">
        <v>0</v>
      </c>
      <c r="P870" s="231">
        <v>1542</v>
      </c>
      <c r="Q870" s="231">
        <v>2119</v>
      </c>
      <c r="R870" s="231"/>
      <c r="S870" s="392">
        <v>38657</v>
      </c>
      <c r="T870" s="231">
        <v>648</v>
      </c>
      <c r="U870" s="396">
        <v>39305</v>
      </c>
      <c r="V870" s="231"/>
      <c r="W870" s="396">
        <v>246406</v>
      </c>
      <c r="X870" s="396">
        <v>45973</v>
      </c>
      <c r="Y870" s="396"/>
      <c r="Z870" s="396"/>
    </row>
    <row r="871" spans="1:26" customFormat="1">
      <c r="A871" s="424">
        <v>99511</v>
      </c>
      <c r="B871" s="423" t="s">
        <v>1574</v>
      </c>
      <c r="C871" s="234">
        <v>1.3201E-3</v>
      </c>
      <c r="D871" s="234">
        <v>1.3062E-3</v>
      </c>
      <c r="E871" s="231">
        <v>7447249</v>
      </c>
      <c r="F871" s="231" t="s">
        <v>1924</v>
      </c>
      <c r="G871" s="392">
        <v>320895</v>
      </c>
      <c r="H871" s="392">
        <v>2461394</v>
      </c>
      <c r="I871" s="392">
        <v>743068</v>
      </c>
      <c r="J871" s="231">
        <v>27703</v>
      </c>
      <c r="K871" s="231">
        <v>3553060</v>
      </c>
      <c r="L871" s="231"/>
      <c r="M871" s="300">
        <v>31462</v>
      </c>
      <c r="N871" s="300">
        <v>0</v>
      </c>
      <c r="O871" s="300">
        <v>0</v>
      </c>
      <c r="P871" s="231">
        <v>81293</v>
      </c>
      <c r="Q871" s="231">
        <v>112755</v>
      </c>
      <c r="R871" s="231"/>
      <c r="S871" s="392">
        <v>2108729</v>
      </c>
      <c r="T871" s="231">
        <v>-68541</v>
      </c>
      <c r="U871" s="396">
        <v>2040188</v>
      </c>
      <c r="V871" s="231"/>
      <c r="W871" s="396">
        <v>13441326</v>
      </c>
      <c r="X871" s="396">
        <v>2507782</v>
      </c>
      <c r="Y871" s="396"/>
      <c r="Z871" s="396"/>
    </row>
    <row r="872" spans="1:26" customFormat="1">
      <c r="A872" s="424">
        <v>99521</v>
      </c>
      <c r="B872" s="423" t="s">
        <v>1575</v>
      </c>
      <c r="C872" s="234">
        <v>5.1960000000000005E-4</v>
      </c>
      <c r="D872" s="234">
        <v>5.2010000000000001E-4</v>
      </c>
      <c r="E872" s="231">
        <v>2931286</v>
      </c>
      <c r="F872" s="231" t="s">
        <v>1924</v>
      </c>
      <c r="G872" s="392">
        <v>126306</v>
      </c>
      <c r="H872" s="392">
        <v>968821</v>
      </c>
      <c r="I872" s="392">
        <v>292477</v>
      </c>
      <c r="J872" s="231">
        <v>6602</v>
      </c>
      <c r="K872" s="231">
        <v>1394206</v>
      </c>
      <c r="L872" s="231"/>
      <c r="M872" s="300">
        <v>12384</v>
      </c>
      <c r="N872" s="300">
        <v>0</v>
      </c>
      <c r="O872" s="300">
        <v>0</v>
      </c>
      <c r="P872" s="231">
        <v>53565</v>
      </c>
      <c r="Q872" s="231">
        <v>65949</v>
      </c>
      <c r="R872" s="231"/>
      <c r="S872" s="392">
        <v>830010</v>
      </c>
      <c r="T872" s="231">
        <v>-22244</v>
      </c>
      <c r="U872" s="396">
        <v>807766</v>
      </c>
      <c r="V872" s="231"/>
      <c r="W872" s="396">
        <v>5290594</v>
      </c>
      <c r="X872" s="396">
        <v>987079</v>
      </c>
      <c r="Y872" s="396"/>
      <c r="Z872" s="396"/>
    </row>
    <row r="873" spans="1:26" customFormat="1">
      <c r="A873" s="424">
        <v>99527</v>
      </c>
      <c r="B873" s="423" t="s">
        <v>1576</v>
      </c>
      <c r="C873" s="234">
        <v>1.0499999999999999E-5</v>
      </c>
      <c r="D873" s="234">
        <v>1.04E-5</v>
      </c>
      <c r="E873" s="231">
        <v>59235</v>
      </c>
      <c r="F873" s="231" t="s">
        <v>1924</v>
      </c>
      <c r="G873" s="392">
        <v>2552</v>
      </c>
      <c r="H873" s="392">
        <v>19578</v>
      </c>
      <c r="I873" s="392">
        <v>5910</v>
      </c>
      <c r="J873" s="231">
        <v>5829</v>
      </c>
      <c r="K873" s="231">
        <v>33869</v>
      </c>
      <c r="L873" s="231"/>
      <c r="M873" s="300">
        <v>250</v>
      </c>
      <c r="N873" s="300">
        <v>0</v>
      </c>
      <c r="O873" s="300">
        <v>0</v>
      </c>
      <c r="P873" s="231">
        <v>0</v>
      </c>
      <c r="Q873" s="231">
        <v>250</v>
      </c>
      <c r="R873" s="231"/>
      <c r="S873" s="392">
        <v>16773</v>
      </c>
      <c r="T873" s="231">
        <v>2702</v>
      </c>
      <c r="U873" s="396">
        <v>19475</v>
      </c>
      <c r="V873" s="231"/>
      <c r="W873" s="396">
        <v>106912</v>
      </c>
      <c r="X873" s="396">
        <v>19947</v>
      </c>
      <c r="Y873" s="396"/>
      <c r="Z873" s="396"/>
    </row>
    <row r="874" spans="1:26" customFormat="1">
      <c r="A874" s="424">
        <v>99531</v>
      </c>
      <c r="B874" s="423" t="s">
        <v>1577</v>
      </c>
      <c r="C874" s="234">
        <v>9.2399999999999996E-5</v>
      </c>
      <c r="D874" s="234">
        <v>8.7800000000000006E-5</v>
      </c>
      <c r="E874" s="231">
        <v>521268</v>
      </c>
      <c r="F874" s="231" t="s">
        <v>1924</v>
      </c>
      <c r="G874" s="392">
        <v>22461</v>
      </c>
      <c r="H874" s="392">
        <v>172285</v>
      </c>
      <c r="I874" s="392">
        <v>52011</v>
      </c>
      <c r="J874" s="231">
        <v>63069</v>
      </c>
      <c r="K874" s="231">
        <v>309826</v>
      </c>
      <c r="L874" s="231"/>
      <c r="M874" s="300">
        <v>2202</v>
      </c>
      <c r="N874" s="300">
        <v>0</v>
      </c>
      <c r="O874" s="300">
        <v>0</v>
      </c>
      <c r="P874" s="231">
        <v>0</v>
      </c>
      <c r="Q874" s="231">
        <v>2202</v>
      </c>
      <c r="R874" s="231"/>
      <c r="S874" s="392">
        <v>147600</v>
      </c>
      <c r="T874" s="231">
        <v>35309</v>
      </c>
      <c r="U874" s="396">
        <v>182909</v>
      </c>
      <c r="V874" s="231"/>
      <c r="W874" s="396">
        <v>940822</v>
      </c>
      <c r="X874" s="396">
        <v>175531</v>
      </c>
      <c r="Y874" s="396"/>
      <c r="Z874" s="396"/>
    </row>
    <row r="875" spans="1:26" customFormat="1">
      <c r="A875" s="424">
        <v>99601</v>
      </c>
      <c r="B875" s="423" t="s">
        <v>1578</v>
      </c>
      <c r="C875" s="234">
        <v>5.0304E-3</v>
      </c>
      <c r="D875" s="234">
        <v>5.0832000000000004E-3</v>
      </c>
      <c r="E875" s="231">
        <v>28378639</v>
      </c>
      <c r="F875" s="231" t="s">
        <v>1924</v>
      </c>
      <c r="G875" s="392">
        <v>1222810</v>
      </c>
      <c r="H875" s="392">
        <v>9379437</v>
      </c>
      <c r="I875" s="392">
        <v>2831552</v>
      </c>
      <c r="J875" s="231">
        <v>0</v>
      </c>
      <c r="K875" s="231">
        <v>13433799</v>
      </c>
      <c r="L875" s="231"/>
      <c r="M875" s="300">
        <v>119890</v>
      </c>
      <c r="N875" s="300">
        <v>0</v>
      </c>
      <c r="O875" s="300">
        <v>0</v>
      </c>
      <c r="P875" s="231">
        <v>772767</v>
      </c>
      <c r="Q875" s="231">
        <v>892657</v>
      </c>
      <c r="R875" s="231"/>
      <c r="S875" s="392">
        <v>8035566</v>
      </c>
      <c r="T875" s="231">
        <v>-506554</v>
      </c>
      <c r="U875" s="396">
        <v>7529012</v>
      </c>
      <c r="V875" s="231"/>
      <c r="W875" s="396">
        <v>51219789</v>
      </c>
      <c r="X875" s="396">
        <v>9556206</v>
      </c>
      <c r="Y875" s="396"/>
      <c r="Z875" s="396"/>
    </row>
    <row r="876" spans="1:26" customFormat="1">
      <c r="A876" s="424">
        <v>99602</v>
      </c>
      <c r="B876" s="423" t="s">
        <v>1579</v>
      </c>
      <c r="C876" s="234">
        <v>6.0900000000000003E-5</v>
      </c>
      <c r="D876" s="234">
        <v>6.1600000000000007E-5</v>
      </c>
      <c r="E876" s="231">
        <v>343563</v>
      </c>
      <c r="F876" s="231" t="s">
        <v>1924</v>
      </c>
      <c r="G876" s="392">
        <v>14804</v>
      </c>
      <c r="H876" s="392">
        <v>113551</v>
      </c>
      <c r="I876" s="392">
        <v>34280</v>
      </c>
      <c r="J876" s="231">
        <v>0</v>
      </c>
      <c r="K876" s="231">
        <v>162635</v>
      </c>
      <c r="L876" s="231"/>
      <c r="M876" s="300">
        <v>1451</v>
      </c>
      <c r="N876" s="300">
        <v>0</v>
      </c>
      <c r="O876" s="300">
        <v>0</v>
      </c>
      <c r="P876" s="231">
        <v>10292</v>
      </c>
      <c r="Q876" s="231">
        <v>11743</v>
      </c>
      <c r="R876" s="231"/>
      <c r="S876" s="392">
        <v>97282</v>
      </c>
      <c r="T876" s="231">
        <v>-5266</v>
      </c>
      <c r="U876" s="396">
        <v>92016</v>
      </c>
      <c r="V876" s="231"/>
      <c r="W876" s="396">
        <v>620087</v>
      </c>
      <c r="X876" s="396">
        <v>115691</v>
      </c>
      <c r="Y876" s="396"/>
      <c r="Z876" s="396"/>
    </row>
    <row r="877" spans="1:26" customFormat="1">
      <c r="A877" s="424">
        <v>99603</v>
      </c>
      <c r="B877" s="423" t="s">
        <v>1580</v>
      </c>
      <c r="C877" s="234">
        <v>1.6330000000000001E-4</v>
      </c>
      <c r="D877" s="234">
        <v>1.6080000000000001E-4</v>
      </c>
      <c r="E877" s="231">
        <v>921245</v>
      </c>
      <c r="F877" s="231" t="s">
        <v>1924</v>
      </c>
      <c r="G877" s="392">
        <v>39696</v>
      </c>
      <c r="H877" s="392">
        <v>304481</v>
      </c>
      <c r="I877" s="392">
        <v>91920</v>
      </c>
      <c r="J877" s="231">
        <v>46082</v>
      </c>
      <c r="K877" s="231">
        <v>482179</v>
      </c>
      <c r="L877" s="231"/>
      <c r="M877" s="300">
        <v>3892</v>
      </c>
      <c r="N877" s="300">
        <v>0</v>
      </c>
      <c r="O877" s="300">
        <v>0</v>
      </c>
      <c r="P877" s="231">
        <v>2749</v>
      </c>
      <c r="Q877" s="231">
        <v>6641</v>
      </c>
      <c r="R877" s="231"/>
      <c r="S877" s="392">
        <v>260856</v>
      </c>
      <c r="T877" s="231">
        <v>21852</v>
      </c>
      <c r="U877" s="396">
        <v>282708</v>
      </c>
      <c r="V877" s="231"/>
      <c r="W877" s="396">
        <v>1662729</v>
      </c>
      <c r="X877" s="396">
        <v>310220</v>
      </c>
      <c r="Y877" s="396"/>
      <c r="Z877" s="396"/>
    </row>
    <row r="878" spans="1:26" customFormat="1">
      <c r="A878" s="424">
        <v>99604</v>
      </c>
      <c r="B878" s="423" t="s">
        <v>1581</v>
      </c>
      <c r="C878" s="234">
        <v>1.1510000000000001E-4</v>
      </c>
      <c r="D878" s="234">
        <v>1.142E-4</v>
      </c>
      <c r="E878" s="231">
        <v>649328</v>
      </c>
      <c r="F878" s="231" t="s">
        <v>1924</v>
      </c>
      <c r="G878" s="392">
        <v>27979</v>
      </c>
      <c r="H878" s="392">
        <v>214610</v>
      </c>
      <c r="I878" s="392">
        <v>64788</v>
      </c>
      <c r="J878" s="231">
        <v>27952</v>
      </c>
      <c r="K878" s="231">
        <v>335329</v>
      </c>
      <c r="L878" s="231"/>
      <c r="M878" s="300">
        <v>2743</v>
      </c>
      <c r="N878" s="300">
        <v>0</v>
      </c>
      <c r="O878" s="300">
        <v>0</v>
      </c>
      <c r="P878" s="231">
        <v>0</v>
      </c>
      <c r="Q878" s="231">
        <v>2743</v>
      </c>
      <c r="R878" s="231"/>
      <c r="S878" s="392">
        <v>183861</v>
      </c>
      <c r="T878" s="231">
        <v>19471</v>
      </c>
      <c r="U878" s="396">
        <v>203332</v>
      </c>
      <c r="V878" s="231"/>
      <c r="W878" s="396">
        <v>1171954</v>
      </c>
      <c r="X878" s="396">
        <v>218654</v>
      </c>
      <c r="Y878" s="396"/>
      <c r="Z878" s="396"/>
    </row>
    <row r="879" spans="1:26" customFormat="1">
      <c r="A879" s="424">
        <v>99609</v>
      </c>
      <c r="B879" s="423" t="s">
        <v>1582</v>
      </c>
      <c r="C879" s="234">
        <v>3.4999999999999997E-5</v>
      </c>
      <c r="D879" s="234">
        <v>3.0599999999999998E-5</v>
      </c>
      <c r="E879" s="231">
        <v>197450</v>
      </c>
      <c r="F879" s="231" t="s">
        <v>1924</v>
      </c>
      <c r="G879" s="392">
        <v>8508</v>
      </c>
      <c r="H879" s="392">
        <v>65259</v>
      </c>
      <c r="I879" s="392">
        <v>19701</v>
      </c>
      <c r="J879" s="231">
        <v>2312</v>
      </c>
      <c r="K879" s="231">
        <v>95780</v>
      </c>
      <c r="L879" s="231"/>
      <c r="M879" s="300">
        <v>834</v>
      </c>
      <c r="N879" s="300">
        <v>0</v>
      </c>
      <c r="O879" s="300">
        <v>0</v>
      </c>
      <c r="P879" s="231">
        <v>121</v>
      </c>
      <c r="Q879" s="231">
        <v>955</v>
      </c>
      <c r="R879" s="231"/>
      <c r="S879" s="392">
        <v>55909</v>
      </c>
      <c r="T879" s="231">
        <v>2538</v>
      </c>
      <c r="U879" s="396">
        <v>58447</v>
      </c>
      <c r="V879" s="231"/>
      <c r="W879" s="396">
        <v>356372</v>
      </c>
      <c r="X879" s="396">
        <v>66489</v>
      </c>
      <c r="Y879" s="396"/>
      <c r="Z879" s="396"/>
    </row>
    <row r="880" spans="1:26" customFormat="1">
      <c r="A880" s="424">
        <v>99610</v>
      </c>
      <c r="B880" s="423" t="s">
        <v>1583</v>
      </c>
      <c r="C880" s="234">
        <v>1.9129999999999999E-4</v>
      </c>
      <c r="D880" s="234">
        <v>1.7650000000000001E-4</v>
      </c>
      <c r="E880" s="231">
        <v>1079205</v>
      </c>
      <c r="F880" s="231" t="s">
        <v>1924</v>
      </c>
      <c r="G880" s="392">
        <v>46502</v>
      </c>
      <c r="H880" s="392">
        <v>356689</v>
      </c>
      <c r="I880" s="392">
        <v>107680</v>
      </c>
      <c r="J880" s="231">
        <v>42948</v>
      </c>
      <c r="K880" s="231">
        <v>553819</v>
      </c>
      <c r="L880" s="231"/>
      <c r="M880" s="300">
        <v>4559</v>
      </c>
      <c r="N880" s="300">
        <v>0</v>
      </c>
      <c r="O880" s="300">
        <v>0</v>
      </c>
      <c r="P880" s="231">
        <v>2422</v>
      </c>
      <c r="Q880" s="231">
        <v>6981</v>
      </c>
      <c r="R880" s="231"/>
      <c r="S880" s="392">
        <v>305583</v>
      </c>
      <c r="T880" s="231">
        <v>14969</v>
      </c>
      <c r="U880" s="396">
        <v>320552</v>
      </c>
      <c r="V880" s="231"/>
      <c r="W880" s="396">
        <v>1947826</v>
      </c>
      <c r="X880" s="396">
        <v>363411</v>
      </c>
      <c r="Y880" s="396"/>
      <c r="Z880" s="396"/>
    </row>
    <row r="881" spans="1:26" customFormat="1">
      <c r="A881" s="424">
        <v>99611</v>
      </c>
      <c r="B881" s="423" t="s">
        <v>1584</v>
      </c>
      <c r="C881" s="234">
        <v>2.7542000000000001E-3</v>
      </c>
      <c r="D881" s="234">
        <v>3.1145000000000001E-3</v>
      </c>
      <c r="E881" s="231">
        <v>15537621</v>
      </c>
      <c r="F881" s="231" t="s">
        <v>1924</v>
      </c>
      <c r="G881" s="392">
        <v>669502</v>
      </c>
      <c r="H881" s="392">
        <v>5135346</v>
      </c>
      <c r="I881" s="392">
        <v>1550306</v>
      </c>
      <c r="J881" s="231">
        <v>0</v>
      </c>
      <c r="K881" s="231">
        <v>7355154</v>
      </c>
      <c r="L881" s="231"/>
      <c r="M881" s="300">
        <v>65641</v>
      </c>
      <c r="N881" s="300">
        <v>0</v>
      </c>
      <c r="O881" s="300">
        <v>0</v>
      </c>
      <c r="P881" s="231">
        <v>813427</v>
      </c>
      <c r="Q881" s="231">
        <v>879068</v>
      </c>
      <c r="R881" s="231"/>
      <c r="S881" s="392">
        <v>4399562</v>
      </c>
      <c r="T881" s="231">
        <v>-317531</v>
      </c>
      <c r="U881" s="396">
        <v>4082031</v>
      </c>
      <c r="V881" s="231"/>
      <c r="W881" s="396">
        <v>28043405</v>
      </c>
      <c r="X881" s="396">
        <v>5232129</v>
      </c>
      <c r="Y881" s="396"/>
      <c r="Z881" s="396"/>
    </row>
    <row r="882" spans="1:26" customFormat="1">
      <c r="A882" s="424">
        <v>99613</v>
      </c>
      <c r="B882" s="423" t="s">
        <v>1585</v>
      </c>
      <c r="C882" s="234">
        <v>3.5349999999999997E-4</v>
      </c>
      <c r="D882" s="234">
        <v>3.5100000000000002E-4</v>
      </c>
      <c r="E882" s="231">
        <v>1994245</v>
      </c>
      <c r="F882" s="231" t="s">
        <v>1924</v>
      </c>
      <c r="G882" s="392">
        <v>85930</v>
      </c>
      <c r="H882" s="392">
        <v>659119</v>
      </c>
      <c r="I882" s="392">
        <v>198981</v>
      </c>
      <c r="J882" s="231">
        <v>41104</v>
      </c>
      <c r="K882" s="231">
        <v>985134</v>
      </c>
      <c r="L882" s="231"/>
      <c r="M882" s="300">
        <v>8425</v>
      </c>
      <c r="N882" s="300">
        <v>0</v>
      </c>
      <c r="O882" s="300">
        <v>0</v>
      </c>
      <c r="P882" s="231">
        <v>9484</v>
      </c>
      <c r="Q882" s="231">
        <v>17909</v>
      </c>
      <c r="R882" s="231"/>
      <c r="S882" s="392">
        <v>564681</v>
      </c>
      <c r="T882" s="231">
        <v>48803</v>
      </c>
      <c r="U882" s="396">
        <v>613484</v>
      </c>
      <c r="V882" s="231"/>
      <c r="W882" s="396">
        <v>3599355</v>
      </c>
      <c r="X882" s="396">
        <v>671541</v>
      </c>
      <c r="Y882" s="396"/>
      <c r="Z882" s="396"/>
    </row>
    <row r="883" spans="1:26" customFormat="1">
      <c r="A883" s="424">
        <v>99621</v>
      </c>
      <c r="B883" s="423" t="s">
        <v>1586</v>
      </c>
      <c r="C883" s="234">
        <v>3.6200000000000002E-4</v>
      </c>
      <c r="D883" s="234">
        <v>3.3369999999999998E-4</v>
      </c>
      <c r="E883" s="231">
        <v>2042197</v>
      </c>
      <c r="F883" s="231" t="s">
        <v>1924</v>
      </c>
      <c r="G883" s="392">
        <v>87996</v>
      </c>
      <c r="H883" s="392">
        <v>674967</v>
      </c>
      <c r="I883" s="392">
        <v>203765</v>
      </c>
      <c r="J883" s="231">
        <v>48209</v>
      </c>
      <c r="K883" s="231">
        <v>1014937</v>
      </c>
      <c r="L883" s="231"/>
      <c r="M883" s="300">
        <v>8628</v>
      </c>
      <c r="N883" s="300">
        <v>0</v>
      </c>
      <c r="O883" s="300">
        <v>0</v>
      </c>
      <c r="P883" s="231">
        <v>12160</v>
      </c>
      <c r="Q883" s="231">
        <v>20788</v>
      </c>
      <c r="R883" s="231"/>
      <c r="S883" s="392">
        <v>578259</v>
      </c>
      <c r="T883" s="231">
        <v>4943</v>
      </c>
      <c r="U883" s="396">
        <v>583202</v>
      </c>
      <c r="V883" s="231"/>
      <c r="W883" s="396">
        <v>3685902</v>
      </c>
      <c r="X883" s="396">
        <v>687688</v>
      </c>
      <c r="Y883" s="396"/>
      <c r="Z883" s="396"/>
    </row>
    <row r="884" spans="1:26" customFormat="1">
      <c r="A884" s="424">
        <v>99623</v>
      </c>
      <c r="B884" s="423" t="s">
        <v>1587</v>
      </c>
      <c r="C884" s="234">
        <v>1.52E-5</v>
      </c>
      <c r="D884" s="234">
        <v>1.6399999999999999E-5</v>
      </c>
      <c r="E884" s="231">
        <v>85750</v>
      </c>
      <c r="F884" s="231" t="s">
        <v>1924</v>
      </c>
      <c r="G884" s="392">
        <v>3695</v>
      </c>
      <c r="H884" s="392">
        <v>28341</v>
      </c>
      <c r="I884" s="392">
        <v>8556</v>
      </c>
      <c r="J884" s="231">
        <v>2727</v>
      </c>
      <c r="K884" s="231">
        <v>43319</v>
      </c>
      <c r="L884" s="231"/>
      <c r="M884" s="300">
        <v>362</v>
      </c>
      <c r="N884" s="300">
        <v>0</v>
      </c>
      <c r="O884" s="300">
        <v>0</v>
      </c>
      <c r="P884" s="231">
        <v>7930</v>
      </c>
      <c r="Q884" s="231">
        <v>8292</v>
      </c>
      <c r="R884" s="231"/>
      <c r="S884" s="392">
        <v>24280</v>
      </c>
      <c r="T884" s="231">
        <v>-3256</v>
      </c>
      <c r="U884" s="396">
        <v>21024</v>
      </c>
      <c r="V884" s="231"/>
      <c r="W884" s="396">
        <v>154767</v>
      </c>
      <c r="X884" s="396">
        <v>28875</v>
      </c>
      <c r="Y884" s="396"/>
      <c r="Z884" s="396"/>
    </row>
    <row r="885" spans="1:26" customFormat="1">
      <c r="A885" s="424">
        <v>99624</v>
      </c>
      <c r="B885" s="423" t="s">
        <v>3759</v>
      </c>
      <c r="C885" s="234">
        <v>7.8200000000000003E-5</v>
      </c>
      <c r="D885" s="234">
        <v>0</v>
      </c>
      <c r="E885" s="231">
        <v>441160</v>
      </c>
      <c r="F885" s="231" t="s">
        <v>1924</v>
      </c>
      <c r="G885" s="392">
        <v>19009</v>
      </c>
      <c r="H885" s="392">
        <v>145808</v>
      </c>
      <c r="I885" s="392">
        <v>44018</v>
      </c>
      <c r="J885" s="231">
        <v>141200</v>
      </c>
      <c r="K885" s="231">
        <v>350035</v>
      </c>
      <c r="L885" s="231"/>
      <c r="M885" s="300">
        <v>1864</v>
      </c>
      <c r="N885" s="300">
        <v>0</v>
      </c>
      <c r="O885" s="300">
        <v>0</v>
      </c>
      <c r="P885" s="231">
        <v>0</v>
      </c>
      <c r="Q885" s="231">
        <v>1864</v>
      </c>
      <c r="R885" s="231"/>
      <c r="S885" s="392">
        <v>124917</v>
      </c>
      <c r="T885" s="231">
        <v>47067</v>
      </c>
      <c r="U885" s="396">
        <v>171984</v>
      </c>
      <c r="V885" s="231"/>
      <c r="W885" s="396">
        <v>796236</v>
      </c>
      <c r="X885" s="396">
        <v>148556</v>
      </c>
      <c r="Y885" s="396"/>
      <c r="Z885" s="396"/>
    </row>
    <row r="886" spans="1:26" customFormat="1">
      <c r="A886" s="424">
        <v>99631</v>
      </c>
      <c r="B886" s="423" t="s">
        <v>1588</v>
      </c>
      <c r="C886" s="234">
        <v>6.4900000000000005E-5</v>
      </c>
      <c r="D886" s="234">
        <v>8.5699999999999996E-5</v>
      </c>
      <c r="E886" s="231">
        <v>366129</v>
      </c>
      <c r="F886" s="231" t="s">
        <v>1924</v>
      </c>
      <c r="G886" s="392">
        <v>15776</v>
      </c>
      <c r="H886" s="392">
        <v>121009</v>
      </c>
      <c r="I886" s="392">
        <v>36531</v>
      </c>
      <c r="J886" s="231">
        <v>9154</v>
      </c>
      <c r="K886" s="231">
        <v>182470</v>
      </c>
      <c r="L886" s="231"/>
      <c r="M886" s="300">
        <v>1547</v>
      </c>
      <c r="N886" s="300">
        <v>0</v>
      </c>
      <c r="O886" s="300">
        <v>0</v>
      </c>
      <c r="P886" s="231">
        <v>43140</v>
      </c>
      <c r="Q886" s="231">
        <v>44687</v>
      </c>
      <c r="R886" s="231"/>
      <c r="S886" s="392">
        <v>103671</v>
      </c>
      <c r="T886" s="231">
        <v>-20025</v>
      </c>
      <c r="U886" s="396">
        <v>83646</v>
      </c>
      <c r="V886" s="231"/>
      <c r="W886" s="396">
        <v>660815</v>
      </c>
      <c r="X886" s="396">
        <v>123290</v>
      </c>
      <c r="Y886" s="396"/>
      <c r="Z886" s="396"/>
    </row>
    <row r="887" spans="1:26" customFormat="1">
      <c r="A887" s="425">
        <v>99651</v>
      </c>
      <c r="B887" s="426" t="s">
        <v>1589</v>
      </c>
      <c r="C887" s="234">
        <v>3.0000000000000001E-5</v>
      </c>
      <c r="D887" s="234">
        <v>5.3699999999999997E-5</v>
      </c>
      <c r="E887" s="231">
        <v>169243</v>
      </c>
      <c r="F887" s="231" t="s">
        <v>1924</v>
      </c>
      <c r="G887" s="392">
        <v>7293</v>
      </c>
      <c r="H887" s="392">
        <v>55937</v>
      </c>
      <c r="I887" s="392">
        <v>16887</v>
      </c>
      <c r="J887" s="231">
        <v>1911</v>
      </c>
      <c r="K887" s="231">
        <v>82028</v>
      </c>
      <c r="L887" s="231"/>
      <c r="M887" s="300">
        <v>715</v>
      </c>
      <c r="N887" s="300">
        <v>0</v>
      </c>
      <c r="O887" s="300">
        <v>0</v>
      </c>
      <c r="P887" s="231">
        <v>47858</v>
      </c>
      <c r="Q887" s="231">
        <v>48573</v>
      </c>
      <c r="R887" s="231"/>
      <c r="S887" s="392">
        <v>47922</v>
      </c>
      <c r="T887" s="231">
        <v>-18704</v>
      </c>
      <c r="U887" s="396">
        <v>29218</v>
      </c>
      <c r="V887" s="231"/>
      <c r="W887" s="396">
        <v>305462</v>
      </c>
      <c r="X887" s="396">
        <v>56991</v>
      </c>
      <c r="Y887" s="396"/>
      <c r="Z887" s="396"/>
    </row>
    <row r="888" spans="1:26" customFormat="1">
      <c r="A888" s="424">
        <v>99661</v>
      </c>
      <c r="B888" s="423" t="s">
        <v>1590</v>
      </c>
      <c r="C888" s="234">
        <v>3.57E-5</v>
      </c>
      <c r="D888" s="234">
        <v>3.4199999999999998E-5</v>
      </c>
      <c r="E888" s="231">
        <v>201399</v>
      </c>
      <c r="F888" s="231" t="s">
        <v>1924</v>
      </c>
      <c r="G888" s="392">
        <v>8678</v>
      </c>
      <c r="H888" s="392">
        <v>66564</v>
      </c>
      <c r="I888" s="392">
        <v>20095</v>
      </c>
      <c r="J888" s="231">
        <v>23508</v>
      </c>
      <c r="K888" s="231">
        <v>118845</v>
      </c>
      <c r="L888" s="231"/>
      <c r="M888" s="300">
        <v>851</v>
      </c>
      <c r="N888" s="300">
        <v>0</v>
      </c>
      <c r="O888" s="300">
        <v>0</v>
      </c>
      <c r="P888" s="231">
        <v>0</v>
      </c>
      <c r="Q888" s="231">
        <v>851</v>
      </c>
      <c r="R888" s="231"/>
      <c r="S888" s="392">
        <v>57027</v>
      </c>
      <c r="T888" s="231">
        <v>20259</v>
      </c>
      <c r="U888" s="396">
        <v>77286</v>
      </c>
      <c r="V888" s="231"/>
      <c r="W888" s="396">
        <v>363499</v>
      </c>
      <c r="X888" s="396">
        <v>67819</v>
      </c>
      <c r="Y888" s="396"/>
      <c r="Z888" s="396"/>
    </row>
    <row r="889" spans="1:26" customFormat="1">
      <c r="A889" s="424">
        <v>99701</v>
      </c>
      <c r="B889" s="423" t="s">
        <v>1591</v>
      </c>
      <c r="C889" s="234">
        <v>3.0403000000000001E-3</v>
      </c>
      <c r="D889" s="234">
        <v>3.0317999999999999E-3</v>
      </c>
      <c r="E889" s="231">
        <v>17151634</v>
      </c>
      <c r="F889" s="231" t="s">
        <v>1924</v>
      </c>
      <c r="G889" s="392">
        <v>739048</v>
      </c>
      <c r="H889" s="392">
        <v>5668794</v>
      </c>
      <c r="I889" s="392">
        <v>1711348</v>
      </c>
      <c r="J889" s="231">
        <v>17246</v>
      </c>
      <c r="K889" s="231">
        <v>8136436</v>
      </c>
      <c r="L889" s="231"/>
      <c r="M889" s="300">
        <v>72459</v>
      </c>
      <c r="N889" s="300">
        <v>0</v>
      </c>
      <c r="O889" s="300">
        <v>0</v>
      </c>
      <c r="P889" s="231">
        <v>212398</v>
      </c>
      <c r="Q889" s="231">
        <v>284857</v>
      </c>
      <c r="R889" s="231"/>
      <c r="S889" s="392">
        <v>4856578</v>
      </c>
      <c r="T889" s="231">
        <v>-74305</v>
      </c>
      <c r="U889" s="396">
        <v>4782273</v>
      </c>
      <c r="V889" s="231"/>
      <c r="W889" s="396">
        <v>30956490</v>
      </c>
      <c r="X889" s="396">
        <v>5775631</v>
      </c>
      <c r="Y889" s="396"/>
      <c r="Z889" s="396"/>
    </row>
    <row r="890" spans="1:26" customFormat="1">
      <c r="A890" s="424">
        <v>99705</v>
      </c>
      <c r="B890" s="423" t="s">
        <v>1592</v>
      </c>
      <c r="C890" s="234">
        <v>1.4669999999999999E-4</v>
      </c>
      <c r="D890" s="234">
        <v>1.716E-4</v>
      </c>
      <c r="E890" s="231">
        <v>827597</v>
      </c>
      <c r="F890" s="231" t="s">
        <v>1924</v>
      </c>
      <c r="G890" s="392">
        <v>35660</v>
      </c>
      <c r="H890" s="392">
        <v>273530</v>
      </c>
      <c r="I890" s="392">
        <v>82576</v>
      </c>
      <c r="J890" s="231">
        <v>30740</v>
      </c>
      <c r="K890" s="231">
        <v>422506</v>
      </c>
      <c r="L890" s="231"/>
      <c r="M890" s="300">
        <v>3496</v>
      </c>
      <c r="N890" s="300">
        <v>0</v>
      </c>
      <c r="O890" s="300">
        <v>0</v>
      </c>
      <c r="P890" s="231">
        <v>20615</v>
      </c>
      <c r="Q890" s="231">
        <v>24111</v>
      </c>
      <c r="R890" s="231"/>
      <c r="S890" s="392">
        <v>234339</v>
      </c>
      <c r="T890" s="231">
        <v>15854</v>
      </c>
      <c r="U890" s="396">
        <v>250193</v>
      </c>
      <c r="V890" s="231"/>
      <c r="W890" s="396">
        <v>1493707</v>
      </c>
      <c r="X890" s="396">
        <v>278685</v>
      </c>
      <c r="Y890" s="396"/>
      <c r="Z890" s="396"/>
    </row>
    <row r="891" spans="1:26" customFormat="1">
      <c r="A891" s="424">
        <v>99711</v>
      </c>
      <c r="B891" s="423" t="s">
        <v>1593</v>
      </c>
      <c r="C891" s="234">
        <v>3.7399999999999998E-4</v>
      </c>
      <c r="D891" s="234">
        <v>3.9609999999999998E-4</v>
      </c>
      <c r="E891" s="231">
        <v>2109894</v>
      </c>
      <c r="F891" s="231" t="s">
        <v>1924</v>
      </c>
      <c r="G891" s="392">
        <v>90913</v>
      </c>
      <c r="H891" s="392">
        <v>697342</v>
      </c>
      <c r="I891" s="392">
        <v>210520</v>
      </c>
      <c r="J891" s="231">
        <v>3319</v>
      </c>
      <c r="K891" s="231">
        <v>1002094</v>
      </c>
      <c r="L891" s="231"/>
      <c r="M891" s="300">
        <v>8914</v>
      </c>
      <c r="N891" s="300">
        <v>0</v>
      </c>
      <c r="O891" s="300">
        <v>0</v>
      </c>
      <c r="P891" s="231">
        <v>54496</v>
      </c>
      <c r="Q891" s="231">
        <v>63410</v>
      </c>
      <c r="R891" s="231"/>
      <c r="S891" s="392">
        <v>597428</v>
      </c>
      <c r="T891" s="231">
        <v>-21582</v>
      </c>
      <c r="U891" s="396">
        <v>575846</v>
      </c>
      <c r="V891" s="231"/>
      <c r="W891" s="396">
        <v>3808087</v>
      </c>
      <c r="X891" s="396">
        <v>710484</v>
      </c>
      <c r="Y891" s="396"/>
      <c r="Z891" s="396"/>
    </row>
    <row r="892" spans="1:26" customFormat="1">
      <c r="A892" s="424">
        <v>99717</v>
      </c>
      <c r="B892" s="423" t="s">
        <v>1594</v>
      </c>
      <c r="C892" s="234">
        <v>1.9599999999999999E-5</v>
      </c>
      <c r="D892" s="234">
        <v>1.7900000000000001E-5</v>
      </c>
      <c r="E892" s="231">
        <v>110572</v>
      </c>
      <c r="F892" s="231" t="s">
        <v>1924</v>
      </c>
      <c r="G892" s="392">
        <v>4764</v>
      </c>
      <c r="H892" s="392">
        <v>36545</v>
      </c>
      <c r="I892" s="392">
        <v>11033</v>
      </c>
      <c r="J892" s="231">
        <v>6178</v>
      </c>
      <c r="K892" s="231">
        <v>58520</v>
      </c>
      <c r="L892" s="231"/>
      <c r="M892" s="300">
        <v>467</v>
      </c>
      <c r="N892" s="300">
        <v>0</v>
      </c>
      <c r="O892" s="300">
        <v>0</v>
      </c>
      <c r="P892" s="231">
        <v>4357</v>
      </c>
      <c r="Q892" s="231">
        <v>4824</v>
      </c>
      <c r="R892" s="231"/>
      <c r="S892" s="392">
        <v>31309</v>
      </c>
      <c r="T892" s="231">
        <v>-2093</v>
      </c>
      <c r="U892" s="396">
        <v>29216</v>
      </c>
      <c r="V892" s="231"/>
      <c r="W892" s="396">
        <v>199568</v>
      </c>
      <c r="X892" s="396">
        <v>37234</v>
      </c>
      <c r="Y892" s="396"/>
      <c r="Z892" s="396"/>
    </row>
    <row r="893" spans="1:26" customFormat="1">
      <c r="A893" s="424">
        <v>99721</v>
      </c>
      <c r="B893" s="423" t="s">
        <v>1595</v>
      </c>
      <c r="C893" s="234">
        <v>6.1919999999999998E-4</v>
      </c>
      <c r="D893" s="234">
        <v>5.8679999999999995E-4</v>
      </c>
      <c r="E893" s="231">
        <v>3493172</v>
      </c>
      <c r="F893" s="231" t="s">
        <v>1924</v>
      </c>
      <c r="G893" s="392">
        <v>150518</v>
      </c>
      <c r="H893" s="392">
        <v>1154530</v>
      </c>
      <c r="I893" s="392">
        <v>348540</v>
      </c>
      <c r="J893" s="231">
        <v>47068</v>
      </c>
      <c r="K893" s="231">
        <v>1700656</v>
      </c>
      <c r="L893" s="231"/>
      <c r="M893" s="300">
        <v>14757</v>
      </c>
      <c r="N893" s="300">
        <v>0</v>
      </c>
      <c r="O893" s="300">
        <v>0</v>
      </c>
      <c r="P893" s="231">
        <v>14696</v>
      </c>
      <c r="Q893" s="231">
        <v>29453</v>
      </c>
      <c r="R893" s="231"/>
      <c r="S893" s="392">
        <v>989111</v>
      </c>
      <c r="T893" s="231">
        <v>1115</v>
      </c>
      <c r="U893" s="396">
        <v>990226</v>
      </c>
      <c r="V893" s="231"/>
      <c r="W893" s="396">
        <v>6304726</v>
      </c>
      <c r="X893" s="396">
        <v>1176289</v>
      </c>
      <c r="Y893" s="396"/>
      <c r="Z893" s="396"/>
    </row>
    <row r="894" spans="1:26" customFormat="1">
      <c r="A894" s="424">
        <v>99727</v>
      </c>
      <c r="B894" s="423" t="s">
        <v>1596</v>
      </c>
      <c r="C894" s="234">
        <v>2.3200000000000001E-5</v>
      </c>
      <c r="D894" s="234">
        <v>1.84E-5</v>
      </c>
      <c r="E894" s="231">
        <v>130881</v>
      </c>
      <c r="F894" s="231" t="s">
        <v>1924</v>
      </c>
      <c r="G894" s="392">
        <v>5640</v>
      </c>
      <c r="H894" s="392">
        <v>43258</v>
      </c>
      <c r="I894" s="392">
        <v>13059</v>
      </c>
      <c r="J894" s="231">
        <v>26884</v>
      </c>
      <c r="K894" s="231">
        <v>88841</v>
      </c>
      <c r="L894" s="231"/>
      <c r="M894" s="300">
        <v>553</v>
      </c>
      <c r="N894" s="300">
        <v>0</v>
      </c>
      <c r="O894" s="300">
        <v>0</v>
      </c>
      <c r="P894" s="231">
        <v>0</v>
      </c>
      <c r="Q894" s="231">
        <v>553</v>
      </c>
      <c r="R894" s="231"/>
      <c r="S894" s="392">
        <v>37060</v>
      </c>
      <c r="T894" s="231">
        <v>22115</v>
      </c>
      <c r="U894" s="396">
        <v>59175</v>
      </c>
      <c r="V894" s="231"/>
      <c r="W894" s="396">
        <v>236224</v>
      </c>
      <c r="X894" s="396">
        <v>44073</v>
      </c>
      <c r="Y894" s="396"/>
      <c r="Z894" s="396"/>
    </row>
    <row r="895" spans="1:26" customFormat="1">
      <c r="A895" s="424">
        <v>99801</v>
      </c>
      <c r="B895" s="423" t="s">
        <v>1597</v>
      </c>
      <c r="C895" s="234">
        <v>4.5713999999999998E-3</v>
      </c>
      <c r="D895" s="234">
        <v>4.6610999999999996E-3</v>
      </c>
      <c r="E895" s="231">
        <v>25789224</v>
      </c>
      <c r="F895" s="231" t="s">
        <v>1924</v>
      </c>
      <c r="G895" s="392">
        <v>1111234</v>
      </c>
      <c r="H895" s="392">
        <v>8523608</v>
      </c>
      <c r="I895" s="392">
        <v>2573186</v>
      </c>
      <c r="J895" s="231">
        <v>0</v>
      </c>
      <c r="K895" s="231">
        <v>12208028</v>
      </c>
      <c r="L895" s="231"/>
      <c r="M895" s="300">
        <v>108950</v>
      </c>
      <c r="N895" s="300">
        <v>0</v>
      </c>
      <c r="O895" s="300">
        <v>0</v>
      </c>
      <c r="P895" s="231">
        <v>523676</v>
      </c>
      <c r="Q895" s="231">
        <v>632626</v>
      </c>
      <c r="R895" s="231"/>
      <c r="S895" s="392">
        <v>7302359</v>
      </c>
      <c r="T895" s="231">
        <v>-333231</v>
      </c>
      <c r="U895" s="396">
        <v>6969128</v>
      </c>
      <c r="V895" s="231"/>
      <c r="W895" s="396">
        <v>46546228</v>
      </c>
      <c r="X895" s="396">
        <v>8684247</v>
      </c>
      <c r="Y895" s="396"/>
      <c r="Z895" s="396"/>
    </row>
    <row r="896" spans="1:26" customFormat="1">
      <c r="A896" s="424">
        <v>99802</v>
      </c>
      <c r="B896" s="423" t="s">
        <v>1598</v>
      </c>
      <c r="C896" s="234">
        <v>3.3000000000000002E-6</v>
      </c>
      <c r="D896" s="234">
        <v>1.0900000000000001E-5</v>
      </c>
      <c r="E896" s="231">
        <v>18617</v>
      </c>
      <c r="F896" s="231" t="s">
        <v>1924</v>
      </c>
      <c r="G896" s="392">
        <v>802</v>
      </c>
      <c r="H896" s="392">
        <v>6153</v>
      </c>
      <c r="I896" s="392">
        <v>1858</v>
      </c>
      <c r="J896" s="231">
        <v>719</v>
      </c>
      <c r="K896" s="231">
        <v>9532</v>
      </c>
      <c r="L896" s="231"/>
      <c r="M896" s="300">
        <v>79</v>
      </c>
      <c r="N896" s="300">
        <v>0</v>
      </c>
      <c r="O896" s="300">
        <v>0</v>
      </c>
      <c r="P896" s="231">
        <v>9367</v>
      </c>
      <c r="Q896" s="231">
        <v>9446</v>
      </c>
      <c r="R896" s="231"/>
      <c r="S896" s="392">
        <v>5271</v>
      </c>
      <c r="T896" s="231">
        <v>-1320</v>
      </c>
      <c r="U896" s="396">
        <v>3951</v>
      </c>
      <c r="V896" s="231"/>
      <c r="W896" s="396">
        <v>33601</v>
      </c>
      <c r="X896" s="396">
        <v>6269</v>
      </c>
      <c r="Y896" s="396"/>
      <c r="Z896" s="396"/>
    </row>
    <row r="897" spans="1:26" customFormat="1">
      <c r="A897" s="424">
        <v>99804</v>
      </c>
      <c r="B897" s="423" t="s">
        <v>1599</v>
      </c>
      <c r="C897" s="234">
        <v>1.022E-4</v>
      </c>
      <c r="D897" s="234">
        <v>8.8300000000000005E-5</v>
      </c>
      <c r="E897" s="231">
        <v>576554</v>
      </c>
      <c r="F897" s="231" t="s">
        <v>1924</v>
      </c>
      <c r="G897" s="392">
        <v>24843</v>
      </c>
      <c r="H897" s="392">
        <v>190557</v>
      </c>
      <c r="I897" s="392">
        <v>57527</v>
      </c>
      <c r="J897" s="231">
        <v>62117</v>
      </c>
      <c r="K897" s="231">
        <v>335044</v>
      </c>
      <c r="L897" s="231"/>
      <c r="M897" s="300">
        <v>2436</v>
      </c>
      <c r="N897" s="300">
        <v>0</v>
      </c>
      <c r="O897" s="300">
        <v>0</v>
      </c>
      <c r="P897" s="231">
        <v>0</v>
      </c>
      <c r="Q897" s="231">
        <v>2436</v>
      </c>
      <c r="R897" s="231"/>
      <c r="S897" s="392">
        <v>163254</v>
      </c>
      <c r="T897" s="231">
        <v>28394</v>
      </c>
      <c r="U897" s="396">
        <v>191648</v>
      </c>
      <c r="V897" s="231"/>
      <c r="W897" s="396">
        <v>1040606</v>
      </c>
      <c r="X897" s="396">
        <v>194148</v>
      </c>
      <c r="Y897" s="396"/>
      <c r="Z897" s="396"/>
    </row>
    <row r="898" spans="1:26" customFormat="1">
      <c r="A898" s="424">
        <v>99811</v>
      </c>
      <c r="B898" s="423" t="s">
        <v>1600</v>
      </c>
      <c r="C898" s="234">
        <v>5.9289E-3</v>
      </c>
      <c r="D898" s="234">
        <v>6.2027999999999996E-3</v>
      </c>
      <c r="E898" s="231">
        <v>33447462</v>
      </c>
      <c r="F898" s="231" t="s">
        <v>1924</v>
      </c>
      <c r="G898" s="392">
        <v>1441221</v>
      </c>
      <c r="H898" s="392">
        <v>11054736</v>
      </c>
      <c r="I898" s="392">
        <v>3337307</v>
      </c>
      <c r="J898" s="231">
        <v>0</v>
      </c>
      <c r="K898" s="231">
        <v>15833264</v>
      </c>
      <c r="L898" s="231"/>
      <c r="M898" s="300">
        <v>141303</v>
      </c>
      <c r="N898" s="300">
        <v>0</v>
      </c>
      <c r="O898" s="300">
        <v>0</v>
      </c>
      <c r="P898" s="231">
        <v>886403</v>
      </c>
      <c r="Q898" s="231">
        <v>1027706</v>
      </c>
      <c r="R898" s="231"/>
      <c r="S898" s="392">
        <v>9470831</v>
      </c>
      <c r="T898" s="231">
        <v>-456342</v>
      </c>
      <c r="U898" s="396">
        <v>9014489</v>
      </c>
      <c r="V898" s="231"/>
      <c r="W898" s="396">
        <v>60368362</v>
      </c>
      <c r="X898" s="396">
        <v>11263078</v>
      </c>
      <c r="Y898" s="396"/>
      <c r="Z898" s="396"/>
    </row>
    <row r="899" spans="1:26" customFormat="1">
      <c r="A899" s="424">
        <v>99812</v>
      </c>
      <c r="B899" s="423" t="s">
        <v>1601</v>
      </c>
      <c r="C899" s="234">
        <v>1.7E-5</v>
      </c>
      <c r="D899" s="234">
        <v>1.77E-5</v>
      </c>
      <c r="E899" s="231">
        <v>95904</v>
      </c>
      <c r="F899" s="231" t="s">
        <v>1924</v>
      </c>
      <c r="G899" s="392">
        <v>4132</v>
      </c>
      <c r="H899" s="392">
        <v>31697</v>
      </c>
      <c r="I899" s="392">
        <v>9569</v>
      </c>
      <c r="J899" s="231">
        <v>30143</v>
      </c>
      <c r="K899" s="231">
        <v>75541</v>
      </c>
      <c r="L899" s="231"/>
      <c r="M899" s="300">
        <v>405</v>
      </c>
      <c r="N899" s="300">
        <v>0</v>
      </c>
      <c r="O899" s="300">
        <v>0</v>
      </c>
      <c r="P899" s="231">
        <v>0</v>
      </c>
      <c r="Q899" s="231">
        <v>405</v>
      </c>
      <c r="R899" s="231"/>
      <c r="S899" s="392">
        <v>27156</v>
      </c>
      <c r="T899" s="231">
        <v>17394</v>
      </c>
      <c r="U899" s="396">
        <v>44550</v>
      </c>
      <c r="V899" s="231"/>
      <c r="W899" s="396">
        <v>173095</v>
      </c>
      <c r="X899" s="396">
        <v>32295</v>
      </c>
      <c r="Y899" s="396"/>
      <c r="Z899" s="396"/>
    </row>
    <row r="900" spans="1:26" customFormat="1">
      <c r="A900" s="424">
        <v>99818</v>
      </c>
      <c r="B900" s="423" t="s">
        <v>1602</v>
      </c>
      <c r="C900" s="234">
        <v>3.96E-5</v>
      </c>
      <c r="D900" s="234">
        <v>2.4600000000000002E-5</v>
      </c>
      <c r="E900" s="231">
        <v>223401</v>
      </c>
      <c r="F900" s="231" t="s">
        <v>1924</v>
      </c>
      <c r="G900" s="392">
        <v>9626</v>
      </c>
      <c r="H900" s="392">
        <v>73836</v>
      </c>
      <c r="I900" s="392">
        <v>22290</v>
      </c>
      <c r="J900" s="231">
        <v>26269</v>
      </c>
      <c r="K900" s="231">
        <v>132021</v>
      </c>
      <c r="L900" s="231"/>
      <c r="M900" s="300">
        <v>944</v>
      </c>
      <c r="N900" s="300">
        <v>0</v>
      </c>
      <c r="O900" s="300">
        <v>0</v>
      </c>
      <c r="P900" s="231">
        <v>26891</v>
      </c>
      <c r="Q900" s="231">
        <v>27835</v>
      </c>
      <c r="R900" s="231"/>
      <c r="S900" s="392">
        <v>63257</v>
      </c>
      <c r="T900" s="231">
        <v>-3134</v>
      </c>
      <c r="U900" s="396">
        <v>60123</v>
      </c>
      <c r="V900" s="231"/>
      <c r="W900" s="396">
        <v>403209</v>
      </c>
      <c r="X900" s="396">
        <v>75228</v>
      </c>
      <c r="Y900" s="396"/>
      <c r="Z900" s="396"/>
    </row>
    <row r="901" spans="1:26" customFormat="1">
      <c r="A901" s="424">
        <v>99821</v>
      </c>
      <c r="B901" s="423" t="s">
        <v>1603</v>
      </c>
      <c r="C901" s="234">
        <v>9.8099999999999999E-5</v>
      </c>
      <c r="D901" s="234">
        <v>1.089E-4</v>
      </c>
      <c r="E901" s="231">
        <v>553424</v>
      </c>
      <c r="F901" s="231" t="s">
        <v>1924</v>
      </c>
      <c r="G901" s="392">
        <v>23847</v>
      </c>
      <c r="H901" s="392">
        <v>182912</v>
      </c>
      <c r="I901" s="392">
        <v>55219</v>
      </c>
      <c r="J901" s="231">
        <v>24522</v>
      </c>
      <c r="K901" s="231">
        <v>286500</v>
      </c>
      <c r="L901" s="231"/>
      <c r="M901" s="300">
        <v>2338</v>
      </c>
      <c r="N901" s="300">
        <v>0</v>
      </c>
      <c r="O901" s="300">
        <v>0</v>
      </c>
      <c r="P901" s="231">
        <v>25099</v>
      </c>
      <c r="Q901" s="231">
        <v>27437</v>
      </c>
      <c r="R901" s="231"/>
      <c r="S901" s="392">
        <v>156705</v>
      </c>
      <c r="T901" s="231">
        <v>4626</v>
      </c>
      <c r="U901" s="396">
        <v>161331</v>
      </c>
      <c r="V901" s="231"/>
      <c r="W901" s="396">
        <v>998859</v>
      </c>
      <c r="X901" s="396">
        <v>186360</v>
      </c>
      <c r="Y901" s="396"/>
      <c r="Z901" s="396"/>
    </row>
    <row r="902" spans="1:26" customFormat="1">
      <c r="A902" s="424">
        <v>99831</v>
      </c>
      <c r="B902" s="423" t="s">
        <v>1604</v>
      </c>
      <c r="C902" s="234">
        <v>3.7100000000000001E-5</v>
      </c>
      <c r="D902" s="234">
        <v>3.3500000000000001E-5</v>
      </c>
      <c r="E902" s="231">
        <v>209297</v>
      </c>
      <c r="F902" s="231" t="s">
        <v>1924</v>
      </c>
      <c r="G902" s="392">
        <v>9018</v>
      </c>
      <c r="H902" s="392">
        <v>69175</v>
      </c>
      <c r="I902" s="392">
        <v>20883</v>
      </c>
      <c r="J902" s="231">
        <v>17690</v>
      </c>
      <c r="K902" s="231">
        <v>116766</v>
      </c>
      <c r="L902" s="231"/>
      <c r="M902" s="300">
        <v>884</v>
      </c>
      <c r="N902" s="300">
        <v>0</v>
      </c>
      <c r="O902" s="300">
        <v>0</v>
      </c>
      <c r="P902" s="231">
        <v>19900</v>
      </c>
      <c r="Q902" s="231">
        <v>20784</v>
      </c>
      <c r="R902" s="231"/>
      <c r="S902" s="392">
        <v>59264</v>
      </c>
      <c r="T902" s="231">
        <v>-4017</v>
      </c>
      <c r="U902" s="396">
        <v>55247</v>
      </c>
      <c r="V902" s="231"/>
      <c r="W902" s="396">
        <v>377754</v>
      </c>
      <c r="X902" s="396">
        <v>70479</v>
      </c>
      <c r="Y902" s="396"/>
      <c r="Z902" s="396"/>
    </row>
    <row r="903" spans="1:26" customFormat="1">
      <c r="A903" s="424">
        <v>99841</v>
      </c>
      <c r="B903" s="423" t="s">
        <v>1605</v>
      </c>
      <c r="C903" s="234">
        <v>5.94E-5</v>
      </c>
      <c r="D903" s="234">
        <v>5.5099999999999998E-5</v>
      </c>
      <c r="E903" s="231">
        <v>335101</v>
      </c>
      <c r="F903" s="231" t="s">
        <v>1924</v>
      </c>
      <c r="G903" s="392">
        <v>14439</v>
      </c>
      <c r="H903" s="392">
        <v>110754</v>
      </c>
      <c r="I903" s="392">
        <v>33436</v>
      </c>
      <c r="J903" s="231">
        <v>20145</v>
      </c>
      <c r="K903" s="231">
        <v>178774</v>
      </c>
      <c r="L903" s="231"/>
      <c r="M903" s="300">
        <v>1416</v>
      </c>
      <c r="N903" s="300">
        <v>0</v>
      </c>
      <c r="O903" s="300">
        <v>0</v>
      </c>
      <c r="P903" s="231">
        <v>3837</v>
      </c>
      <c r="Q903" s="231">
        <v>5253</v>
      </c>
      <c r="R903" s="231"/>
      <c r="S903" s="392">
        <v>94886</v>
      </c>
      <c r="T903" s="231">
        <v>13219</v>
      </c>
      <c r="U903" s="396">
        <v>108105</v>
      </c>
      <c r="V903" s="231"/>
      <c r="W903" s="396">
        <v>604814</v>
      </c>
      <c r="X903" s="396">
        <v>112842</v>
      </c>
      <c r="Y903" s="396"/>
      <c r="Z903" s="396"/>
    </row>
    <row r="904" spans="1:26" customFormat="1" ht="32.25" customHeight="1">
      <c r="A904" s="424">
        <v>99851</v>
      </c>
      <c r="B904" s="423" t="s">
        <v>1606</v>
      </c>
      <c r="C904" s="234">
        <v>1.66E-5</v>
      </c>
      <c r="D904" s="234">
        <v>7.6000000000000001E-6</v>
      </c>
      <c r="E904" s="231">
        <v>93648</v>
      </c>
      <c r="F904" s="231" t="s">
        <v>1924</v>
      </c>
      <c r="G904" s="392">
        <v>4035</v>
      </c>
      <c r="H904" s="392">
        <v>30952</v>
      </c>
      <c r="I904" s="392">
        <v>9344</v>
      </c>
      <c r="J904" s="231">
        <v>14233</v>
      </c>
      <c r="K904" s="231">
        <v>58564</v>
      </c>
      <c r="L904" s="231"/>
      <c r="M904" s="300">
        <v>396</v>
      </c>
      <c r="N904" s="300">
        <v>0</v>
      </c>
      <c r="O904" s="300">
        <v>0</v>
      </c>
      <c r="P904" s="231">
        <v>3642</v>
      </c>
      <c r="Q904" s="231">
        <v>4038</v>
      </c>
      <c r="R904" s="231"/>
      <c r="S904" s="392">
        <v>26517</v>
      </c>
      <c r="T904" s="231">
        <v>785</v>
      </c>
      <c r="U904" s="396">
        <v>27302</v>
      </c>
      <c r="V904" s="231"/>
      <c r="W904" s="396">
        <v>169022</v>
      </c>
      <c r="X904" s="396">
        <v>31535</v>
      </c>
      <c r="Y904" s="396"/>
      <c r="Z904" s="396"/>
    </row>
    <row r="905" spans="1:26">
      <c r="A905" s="424">
        <v>99901</v>
      </c>
      <c r="B905" s="423" t="s">
        <v>1607</v>
      </c>
      <c r="C905" s="234">
        <v>1.5120999999999999E-3</v>
      </c>
      <c r="D905" s="234">
        <v>1.4748999999999999E-3</v>
      </c>
      <c r="E905" s="231">
        <v>8530403</v>
      </c>
      <c r="F905" s="231" t="s">
        <v>1924</v>
      </c>
      <c r="G905" s="392">
        <v>367567</v>
      </c>
      <c r="H905" s="392">
        <v>2819388</v>
      </c>
      <c r="I905" s="392">
        <v>851143</v>
      </c>
      <c r="J905" s="231">
        <v>98602</v>
      </c>
      <c r="K905" s="231">
        <v>4136700</v>
      </c>
      <c r="L905" s="231"/>
      <c r="M905" s="300">
        <v>36038</v>
      </c>
      <c r="N905" s="300">
        <v>0</v>
      </c>
      <c r="O905" s="300">
        <v>0</v>
      </c>
      <c r="P905" s="231">
        <v>142071</v>
      </c>
      <c r="Q905" s="231">
        <v>178109</v>
      </c>
      <c r="R905" s="231"/>
      <c r="S905" s="392">
        <v>2415430</v>
      </c>
      <c r="T905" s="231">
        <v>-65750</v>
      </c>
      <c r="U905" s="396">
        <v>2349680</v>
      </c>
      <c r="V905" s="231"/>
      <c r="W905" s="396">
        <v>15396279</v>
      </c>
      <c r="X905" s="396">
        <v>2872523</v>
      </c>
      <c r="Y905" s="396"/>
      <c r="Z905" s="396"/>
    </row>
    <row r="906" spans="1:26" customFormat="1">
      <c r="A906" s="424">
        <v>99911</v>
      </c>
      <c r="B906" s="423" t="s">
        <v>1608</v>
      </c>
      <c r="C906" s="234">
        <v>2.365E-4</v>
      </c>
      <c r="D906" s="234">
        <v>2.4499999999999999E-4</v>
      </c>
      <c r="E906" s="231">
        <v>1334198</v>
      </c>
      <c r="F906" s="231" t="s">
        <v>1924</v>
      </c>
      <c r="G906" s="392">
        <v>57489</v>
      </c>
      <c r="H906" s="392">
        <v>440966</v>
      </c>
      <c r="I906" s="392">
        <v>133123</v>
      </c>
      <c r="J906" s="231">
        <v>30030</v>
      </c>
      <c r="K906" s="231">
        <v>661608</v>
      </c>
      <c r="L906" s="231"/>
      <c r="M906" s="300">
        <v>5637</v>
      </c>
      <c r="N906" s="300">
        <v>0</v>
      </c>
      <c r="O906" s="300">
        <v>0</v>
      </c>
      <c r="P906" s="231">
        <v>1708</v>
      </c>
      <c r="Q906" s="231">
        <v>7345</v>
      </c>
      <c r="R906" s="231"/>
      <c r="S906" s="392">
        <v>377785</v>
      </c>
      <c r="T906" s="231">
        <v>19846</v>
      </c>
      <c r="U906" s="396">
        <v>397631</v>
      </c>
      <c r="V906" s="231"/>
      <c r="W906" s="396">
        <v>2408055</v>
      </c>
      <c r="X906" s="396">
        <v>449277</v>
      </c>
      <c r="Y906" s="396"/>
      <c r="Z906" s="396"/>
    </row>
    <row r="907" spans="1:26" customFormat="1">
      <c r="A907" s="424">
        <v>99921</v>
      </c>
      <c r="B907" s="423" t="s">
        <v>1609</v>
      </c>
      <c r="C907" s="234">
        <v>1.395E-4</v>
      </c>
      <c r="D907" s="234">
        <v>1.4080000000000001E-4</v>
      </c>
      <c r="E907" s="231">
        <v>786979</v>
      </c>
      <c r="F907" s="231" t="s">
        <v>1924</v>
      </c>
      <c r="G907" s="392">
        <v>33910</v>
      </c>
      <c r="H907" s="392">
        <v>260105</v>
      </c>
      <c r="I907" s="392">
        <v>78523</v>
      </c>
      <c r="J907" s="231">
        <v>7286</v>
      </c>
      <c r="K907" s="231">
        <v>379824</v>
      </c>
      <c r="L907" s="231"/>
      <c r="M907" s="300">
        <v>3325</v>
      </c>
      <c r="N907" s="300">
        <v>0</v>
      </c>
      <c r="O907" s="300">
        <v>0</v>
      </c>
      <c r="P907" s="231">
        <v>18644</v>
      </c>
      <c r="Q907" s="231">
        <v>21969</v>
      </c>
      <c r="R907" s="231"/>
      <c r="S907" s="392">
        <v>222837</v>
      </c>
      <c r="T907" s="231">
        <v>-5071</v>
      </c>
      <c r="U907" s="396">
        <v>217766</v>
      </c>
      <c r="V907" s="231"/>
      <c r="W907" s="396">
        <v>1420396</v>
      </c>
      <c r="X907" s="396">
        <v>265007</v>
      </c>
      <c r="Y907" s="396"/>
      <c r="Z907" s="396"/>
    </row>
    <row r="908" spans="1:26" customFormat="1">
      <c r="A908" s="424">
        <v>99931</v>
      </c>
      <c r="B908" s="423" t="s">
        <v>1610</v>
      </c>
      <c r="C908" s="234">
        <v>2.6100000000000001E-5</v>
      </c>
      <c r="D908" s="234">
        <v>2.7399999999999999E-5</v>
      </c>
      <c r="E908" s="231">
        <v>147241</v>
      </c>
      <c r="F908" t="s">
        <v>1924</v>
      </c>
      <c r="G908" s="392">
        <v>6344</v>
      </c>
      <c r="H908" s="392">
        <v>48665</v>
      </c>
      <c r="I908" s="392">
        <v>14691</v>
      </c>
      <c r="J908" s="231">
        <v>4426</v>
      </c>
      <c r="K908" s="231">
        <v>74126</v>
      </c>
      <c r="L908" s="231"/>
      <c r="M908" s="300">
        <v>622</v>
      </c>
      <c r="N908" s="300">
        <v>0</v>
      </c>
      <c r="O908" s="300">
        <v>0</v>
      </c>
      <c r="P908" s="231">
        <v>3563</v>
      </c>
      <c r="Q908" s="231">
        <v>4185</v>
      </c>
      <c r="R908" s="231"/>
      <c r="S908" s="392">
        <v>41692</v>
      </c>
      <c r="T908" s="231">
        <v>2729</v>
      </c>
      <c r="U908" s="396">
        <v>44421</v>
      </c>
      <c r="W908" s="396">
        <v>265752</v>
      </c>
      <c r="X908" s="396">
        <v>49582</v>
      </c>
    </row>
    <row r="909" spans="1:26" customFormat="1">
      <c r="A909" s="424">
        <v>99941</v>
      </c>
      <c r="B909" s="423" t="s">
        <v>1611</v>
      </c>
      <c r="C909" s="234">
        <v>5.66E-5</v>
      </c>
      <c r="D909" s="234">
        <v>5.52E-5</v>
      </c>
      <c r="E909" s="231">
        <v>319305</v>
      </c>
      <c r="F909" s="402"/>
      <c r="G909" s="392">
        <v>13759</v>
      </c>
      <c r="H909" s="392">
        <v>105534</v>
      </c>
      <c r="I909" s="392">
        <v>31859</v>
      </c>
      <c r="J909" s="231">
        <v>3188</v>
      </c>
      <c r="K909" s="231">
        <v>154340</v>
      </c>
      <c r="L909" s="402"/>
      <c r="M909" s="300">
        <v>1349</v>
      </c>
      <c r="N909" s="300">
        <v>0</v>
      </c>
      <c r="O909" s="300">
        <v>0</v>
      </c>
      <c r="P909" s="231">
        <v>14826</v>
      </c>
      <c r="Q909" s="231">
        <v>16175</v>
      </c>
      <c r="R909" s="402"/>
      <c r="S909" s="392">
        <v>90413</v>
      </c>
      <c r="T909" s="231">
        <v>-11610</v>
      </c>
      <c r="U909" s="396">
        <v>78803</v>
      </c>
      <c r="W909" s="396">
        <v>576304</v>
      </c>
      <c r="X909" s="396">
        <v>107523</v>
      </c>
    </row>
    <row r="910" spans="1:26" customFormat="1">
      <c r="A910" s="424">
        <v>99991</v>
      </c>
      <c r="B910" s="423" t="s">
        <v>1612</v>
      </c>
      <c r="C910" s="234">
        <v>4.0420000000000001E-4</v>
      </c>
      <c r="D910" s="234">
        <v>4.4989999999999999E-4</v>
      </c>
      <c r="E910" s="231">
        <v>2280265</v>
      </c>
      <c r="F910" s="402"/>
      <c r="G910" s="392">
        <v>98255</v>
      </c>
      <c r="H910" s="392">
        <v>753652</v>
      </c>
      <c r="I910" s="392">
        <v>227519</v>
      </c>
      <c r="J910" s="231">
        <v>16768</v>
      </c>
      <c r="K910" s="231">
        <v>1096194</v>
      </c>
      <c r="L910" s="402"/>
      <c r="M910" s="300">
        <v>9633</v>
      </c>
      <c r="N910" s="300">
        <v>0</v>
      </c>
      <c r="O910" s="300">
        <v>0</v>
      </c>
      <c r="P910" s="231">
        <v>46508</v>
      </c>
      <c r="Q910" s="231">
        <v>56141</v>
      </c>
      <c r="R910" s="402"/>
      <c r="S910" s="392">
        <v>645669</v>
      </c>
      <c r="T910" s="231">
        <v>-26129</v>
      </c>
      <c r="U910" s="396">
        <v>619540</v>
      </c>
      <c r="W910" s="396">
        <v>4115585</v>
      </c>
      <c r="X910" s="396">
        <v>767855</v>
      </c>
    </row>
    <row r="911" spans="1:26" customFormat="1">
      <c r="A911" s="425">
        <v>99999</v>
      </c>
      <c r="B911" s="426" t="s">
        <v>1613</v>
      </c>
      <c r="C911" s="234">
        <v>1.0696E-3</v>
      </c>
      <c r="D911" s="234">
        <v>9.9799999999999997E-4</v>
      </c>
      <c r="E911" s="231">
        <v>6034071</v>
      </c>
      <c r="F911" s="402"/>
      <c r="G911" s="392">
        <v>260003</v>
      </c>
      <c r="H911" s="392">
        <v>1994324</v>
      </c>
      <c r="I911" s="392">
        <v>602065</v>
      </c>
      <c r="J911" s="231">
        <v>280575</v>
      </c>
      <c r="K911" s="231">
        <v>3136967</v>
      </c>
      <c r="L911" s="402"/>
      <c r="M911" s="300">
        <v>25492</v>
      </c>
      <c r="N911" s="300">
        <v>0</v>
      </c>
      <c r="O911" s="300">
        <v>0</v>
      </c>
      <c r="P911" s="231">
        <v>0</v>
      </c>
      <c r="Q911" s="231">
        <v>25492</v>
      </c>
      <c r="R911" s="402"/>
      <c r="S911" s="392">
        <v>1708580</v>
      </c>
      <c r="T911" s="231">
        <v>159141</v>
      </c>
      <c r="U911" s="396">
        <v>1867721</v>
      </c>
      <c r="W911" s="396">
        <v>10890722</v>
      </c>
      <c r="X911" s="396">
        <v>2031909</v>
      </c>
    </row>
    <row r="912" spans="1:26" customFormat="1">
      <c r="A912" s="403" t="s">
        <v>691</v>
      </c>
      <c r="B912" s="404" t="s">
        <v>3760</v>
      </c>
      <c r="C912" s="234">
        <v>0</v>
      </c>
      <c r="D912" s="234">
        <v>0</v>
      </c>
      <c r="E912" s="231">
        <v>0</v>
      </c>
      <c r="F912" s="402"/>
      <c r="G912" s="392">
        <v>0</v>
      </c>
      <c r="H912" s="392">
        <v>0</v>
      </c>
      <c r="I912" s="392">
        <v>0</v>
      </c>
      <c r="J912" s="392">
        <v>0</v>
      </c>
      <c r="K912" s="392">
        <v>0</v>
      </c>
      <c r="L912" s="402"/>
      <c r="M912" s="392">
        <v>0</v>
      </c>
      <c r="N912" s="392">
        <v>0</v>
      </c>
      <c r="O912" s="392">
        <v>0</v>
      </c>
      <c r="P912" s="392">
        <v>0</v>
      </c>
      <c r="Q912" s="392">
        <v>0</v>
      </c>
      <c r="R912" s="402"/>
      <c r="S912" s="392">
        <v>0</v>
      </c>
      <c r="T912" s="392">
        <v>0</v>
      </c>
      <c r="U912" s="392">
        <v>0</v>
      </c>
      <c r="W912" s="392">
        <v>0</v>
      </c>
      <c r="X912" s="392">
        <v>0</v>
      </c>
    </row>
    <row r="913" spans="1:21" customFormat="1">
      <c r="A913" s="403"/>
      <c r="B913" s="404"/>
      <c r="C913" s="234"/>
      <c r="D913" s="234"/>
      <c r="E913" s="402"/>
      <c r="F913" s="402"/>
      <c r="G913" s="402"/>
      <c r="H913" s="402"/>
      <c r="I913" s="402"/>
      <c r="J913" s="402"/>
      <c r="K913" s="402"/>
      <c r="L913" s="402"/>
      <c r="M913" s="402"/>
      <c r="N913" s="398"/>
      <c r="O913" s="402"/>
      <c r="P913" s="402"/>
      <c r="Q913" s="402"/>
      <c r="R913" s="402"/>
      <c r="S913" s="402"/>
      <c r="T913" s="402"/>
      <c r="U913" s="402"/>
    </row>
    <row r="914" spans="1:21" customFormat="1">
      <c r="A914" s="403"/>
      <c r="B914" s="404"/>
      <c r="C914" s="234"/>
      <c r="D914" s="234"/>
      <c r="E914" s="402"/>
      <c r="F914" s="402"/>
      <c r="G914" s="402"/>
      <c r="H914" s="402"/>
      <c r="I914" s="402"/>
      <c r="J914" s="402"/>
      <c r="K914" s="402"/>
      <c r="L914" s="402"/>
      <c r="M914" s="402"/>
      <c r="N914" s="398"/>
      <c r="O914" s="402"/>
      <c r="P914" s="402"/>
      <c r="Q914" s="402"/>
      <c r="R914" s="402"/>
      <c r="S914" s="402"/>
      <c r="T914" s="402"/>
      <c r="U914" s="402"/>
    </row>
    <row r="915" spans="1:21" customFormat="1">
      <c r="A915" s="403"/>
      <c r="B915" s="404"/>
      <c r="C915" s="234"/>
      <c r="D915" s="234"/>
      <c r="E915" s="402"/>
      <c r="F915" s="402"/>
      <c r="G915" s="402"/>
      <c r="H915" s="402"/>
      <c r="I915" s="402"/>
      <c r="J915" s="402"/>
      <c r="K915" s="402"/>
      <c r="L915" s="402"/>
      <c r="M915" s="402"/>
      <c r="N915" s="398"/>
      <c r="O915" s="402"/>
      <c r="P915" s="402"/>
      <c r="Q915" s="402"/>
      <c r="R915" s="402"/>
      <c r="S915" s="402"/>
      <c r="T915" s="402"/>
      <c r="U915" s="402"/>
    </row>
    <row r="916" spans="1:21" customFormat="1">
      <c r="A916" s="403"/>
      <c r="B916" s="404"/>
      <c r="C916" s="234"/>
      <c r="D916" s="234"/>
      <c r="E916" s="402"/>
      <c r="F916" s="402"/>
      <c r="G916" s="402"/>
      <c r="H916" s="402"/>
      <c r="I916" s="402"/>
      <c r="J916" s="402"/>
      <c r="K916" s="402"/>
      <c r="L916" s="402"/>
      <c r="M916" s="402"/>
      <c r="N916" s="398"/>
      <c r="O916" s="402"/>
      <c r="P916" s="402"/>
      <c r="Q916" s="402"/>
      <c r="R916" s="402"/>
      <c r="S916" s="402"/>
      <c r="T916" s="402"/>
      <c r="U916" s="402"/>
    </row>
    <row r="917" spans="1:21" customFormat="1">
      <c r="A917" s="403"/>
      <c r="B917" s="404"/>
      <c r="C917" s="234"/>
      <c r="D917" s="234"/>
      <c r="E917" s="402"/>
      <c r="F917" s="402"/>
      <c r="G917" s="402"/>
      <c r="H917" s="402"/>
      <c r="I917" s="402"/>
      <c r="J917" s="402"/>
      <c r="K917" s="402"/>
      <c r="L917" s="402"/>
      <c r="M917" s="402"/>
      <c r="N917" s="398"/>
      <c r="O917" s="402"/>
      <c r="P917" s="402"/>
      <c r="Q917" s="402"/>
      <c r="R917" s="402"/>
      <c r="S917" s="402"/>
      <c r="T917" s="402"/>
      <c r="U917" s="402"/>
    </row>
    <row r="918" spans="1:21" customFormat="1">
      <c r="A918" s="403"/>
      <c r="B918" s="404"/>
      <c r="C918" s="234"/>
      <c r="D918" s="234"/>
      <c r="E918" s="402"/>
      <c r="F918" s="402"/>
      <c r="G918" s="402"/>
      <c r="H918" s="402"/>
      <c r="I918" s="402"/>
      <c r="J918" s="402"/>
      <c r="K918" s="402"/>
      <c r="L918" s="402"/>
      <c r="M918" s="402"/>
      <c r="N918" s="398"/>
      <c r="O918" s="402"/>
      <c r="P918" s="402"/>
      <c r="Q918" s="402"/>
      <c r="R918" s="402"/>
      <c r="S918" s="402"/>
      <c r="T918" s="402"/>
      <c r="U918" s="402"/>
    </row>
    <row r="919" spans="1:21" customFormat="1">
      <c r="A919" s="403"/>
      <c r="B919" s="404"/>
      <c r="C919" s="234"/>
      <c r="D919" s="234"/>
      <c r="E919" s="402"/>
      <c r="F919" s="402"/>
      <c r="G919" s="402"/>
      <c r="H919" s="402"/>
      <c r="I919" s="402"/>
      <c r="J919" s="402"/>
      <c r="K919" s="402"/>
      <c r="L919" s="402"/>
      <c r="M919" s="402"/>
      <c r="N919" s="398"/>
      <c r="O919" s="402"/>
      <c r="P919" s="402"/>
      <c r="Q919" s="402"/>
      <c r="R919" s="402"/>
      <c r="S919" s="402"/>
      <c r="T919" s="402"/>
      <c r="U919" s="402"/>
    </row>
    <row r="920" spans="1:21" customFormat="1">
      <c r="A920" s="403"/>
      <c r="B920" s="404"/>
      <c r="C920" s="234"/>
      <c r="D920" s="234"/>
      <c r="E920" s="402"/>
      <c r="F920" s="402"/>
      <c r="G920" s="402"/>
      <c r="H920" s="402"/>
      <c r="I920" s="402"/>
      <c r="J920" s="402"/>
      <c r="K920" s="402"/>
      <c r="L920" s="402"/>
      <c r="M920" s="402"/>
      <c r="N920" s="398"/>
      <c r="O920" s="402"/>
      <c r="P920" s="402"/>
      <c r="Q920" s="402"/>
      <c r="R920" s="402"/>
      <c r="S920" s="402"/>
      <c r="T920" s="402"/>
      <c r="U920" s="402"/>
    </row>
    <row r="921" spans="1:21" customFormat="1">
      <c r="A921" s="403"/>
      <c r="B921" s="404"/>
      <c r="C921" s="234"/>
      <c r="D921" s="234"/>
      <c r="E921" s="402"/>
      <c r="F921" s="402"/>
      <c r="G921" s="402"/>
      <c r="H921" s="402"/>
      <c r="I921" s="402"/>
      <c r="J921" s="402"/>
      <c r="K921" s="402"/>
      <c r="L921" s="402"/>
      <c r="M921" s="402"/>
      <c r="N921" s="398"/>
      <c r="O921" s="402"/>
      <c r="P921" s="402"/>
      <c r="Q921" s="402"/>
      <c r="R921" s="402"/>
      <c r="S921" s="402"/>
      <c r="T921" s="402"/>
      <c r="U921" s="402"/>
    </row>
    <row r="922" spans="1:21" customFormat="1">
      <c r="A922" s="403"/>
      <c r="B922" s="404"/>
      <c r="C922" s="234"/>
      <c r="D922" s="234"/>
      <c r="E922" s="402"/>
      <c r="F922" s="402"/>
      <c r="G922" s="402"/>
      <c r="H922" s="402"/>
      <c r="I922" s="402"/>
      <c r="J922" s="402"/>
      <c r="K922" s="402"/>
      <c r="L922" s="402"/>
      <c r="M922" s="402"/>
      <c r="N922" s="398"/>
      <c r="O922" s="402"/>
      <c r="P922" s="402"/>
      <c r="Q922" s="402"/>
      <c r="R922" s="402"/>
      <c r="S922" s="402"/>
      <c r="T922" s="402"/>
      <c r="U922" s="402"/>
    </row>
    <row r="923" spans="1:21" customFormat="1">
      <c r="A923" s="403"/>
      <c r="B923" s="404"/>
      <c r="C923" s="234"/>
      <c r="D923" s="234"/>
      <c r="E923" s="402"/>
      <c r="F923" s="402"/>
      <c r="G923" s="402"/>
      <c r="H923" s="402"/>
      <c r="I923" s="402"/>
      <c r="J923" s="402"/>
      <c r="K923" s="402"/>
      <c r="L923" s="402"/>
      <c r="M923" s="402"/>
      <c r="N923" s="398"/>
      <c r="O923" s="402"/>
      <c r="P923" s="402"/>
      <c r="Q923" s="402"/>
      <c r="R923" s="402"/>
      <c r="S923" s="402"/>
      <c r="T923" s="402"/>
      <c r="U923" s="402"/>
    </row>
    <row r="924" spans="1:21" customFormat="1">
      <c r="A924" s="403"/>
      <c r="B924" s="404"/>
      <c r="C924" s="234"/>
      <c r="D924" s="234"/>
      <c r="E924" s="402"/>
      <c r="F924" s="402"/>
      <c r="G924" s="402"/>
      <c r="H924" s="402"/>
      <c r="I924" s="402"/>
      <c r="J924" s="402"/>
      <c r="K924" s="402"/>
      <c r="L924" s="402"/>
      <c r="M924" s="402"/>
      <c r="N924" s="398"/>
      <c r="O924" s="402"/>
      <c r="P924" s="402"/>
      <c r="Q924" s="402"/>
      <c r="R924" s="402"/>
      <c r="S924" s="402"/>
      <c r="T924" s="402"/>
      <c r="U924" s="402"/>
    </row>
    <row r="925" spans="1:21" customFormat="1">
      <c r="A925" s="403"/>
      <c r="B925" s="404"/>
      <c r="C925" s="234"/>
      <c r="D925" s="234"/>
      <c r="E925" s="402"/>
      <c r="F925" s="402"/>
      <c r="G925" s="402"/>
      <c r="H925" s="402"/>
      <c r="I925" s="402"/>
      <c r="J925" s="402"/>
      <c r="K925" s="402"/>
      <c r="L925" s="402"/>
      <c r="M925" s="402"/>
      <c r="N925" s="398"/>
      <c r="O925" s="402"/>
      <c r="P925" s="402"/>
      <c r="Q925" s="402"/>
      <c r="R925" s="402"/>
      <c r="S925" s="402"/>
      <c r="T925" s="402"/>
      <c r="U925" s="402"/>
    </row>
    <row r="926" spans="1:21" customFormat="1">
      <c r="A926" s="403"/>
      <c r="B926" s="404"/>
      <c r="C926" s="234"/>
      <c r="D926" s="234"/>
      <c r="E926" s="402"/>
      <c r="F926" s="402"/>
      <c r="G926" s="402"/>
      <c r="H926" s="402"/>
      <c r="I926" s="402"/>
      <c r="J926" s="402"/>
      <c r="K926" s="402"/>
      <c r="L926" s="402"/>
      <c r="M926" s="402"/>
      <c r="N926" s="398"/>
      <c r="O926" s="402"/>
      <c r="P926" s="402"/>
      <c r="Q926" s="402"/>
      <c r="R926" s="402"/>
      <c r="S926" s="402"/>
      <c r="T926" s="402"/>
      <c r="U926" s="402"/>
    </row>
    <row r="927" spans="1:21" customFormat="1">
      <c r="A927" s="403"/>
      <c r="B927" s="404"/>
      <c r="C927" s="234"/>
      <c r="D927" s="234"/>
      <c r="E927" s="402"/>
      <c r="F927" s="402"/>
      <c r="G927" s="402"/>
      <c r="H927" s="402"/>
      <c r="I927" s="402"/>
      <c r="J927" s="402"/>
      <c r="K927" s="402"/>
      <c r="L927" s="402"/>
      <c r="M927" s="402"/>
      <c r="N927" s="398"/>
      <c r="O927" s="402"/>
      <c r="P927" s="402"/>
      <c r="Q927" s="402"/>
      <c r="R927" s="402"/>
      <c r="S927" s="402"/>
      <c r="T927" s="402"/>
      <c r="U927" s="402"/>
    </row>
    <row r="928" spans="1:21" customFormat="1">
      <c r="A928" s="403"/>
      <c r="B928" s="404"/>
      <c r="C928" s="234"/>
      <c r="D928" s="234"/>
      <c r="E928" s="402"/>
      <c r="F928" s="402"/>
      <c r="G928" s="402"/>
      <c r="H928" s="402"/>
      <c r="I928" s="402"/>
      <c r="J928" s="402"/>
      <c r="K928" s="402"/>
      <c r="L928" s="402"/>
      <c r="M928" s="402"/>
      <c r="N928" s="398"/>
      <c r="O928" s="402"/>
      <c r="P928" s="402"/>
      <c r="Q928" s="402"/>
      <c r="R928" s="402"/>
      <c r="S928" s="402"/>
      <c r="T928" s="402"/>
      <c r="U928" s="402"/>
    </row>
    <row r="929" spans="1:21" customFormat="1">
      <c r="A929" s="403"/>
      <c r="B929" s="404"/>
      <c r="C929" s="234"/>
      <c r="D929" s="234"/>
      <c r="E929" s="402"/>
      <c r="F929" s="402"/>
      <c r="G929" s="402"/>
      <c r="H929" s="402"/>
      <c r="I929" s="402"/>
      <c r="J929" s="402"/>
      <c r="K929" s="402"/>
      <c r="L929" s="402"/>
      <c r="M929" s="402"/>
      <c r="N929" s="398"/>
      <c r="O929" s="402"/>
      <c r="P929" s="402"/>
      <c r="Q929" s="402"/>
      <c r="R929" s="402"/>
      <c r="S929" s="402"/>
      <c r="T929" s="402"/>
      <c r="U929" s="402"/>
    </row>
    <row r="930" spans="1:21" customFormat="1">
      <c r="A930" s="403"/>
      <c r="B930" s="404"/>
      <c r="C930" s="234"/>
      <c r="D930" s="234"/>
      <c r="E930" s="402"/>
      <c r="F930" s="402"/>
      <c r="G930" s="402"/>
      <c r="H930" s="402"/>
      <c r="I930" s="402"/>
      <c r="J930" s="402"/>
      <c r="K930" s="402"/>
      <c r="L930" s="402"/>
      <c r="M930" s="402"/>
      <c r="N930" s="398"/>
      <c r="O930" s="402"/>
      <c r="P930" s="402"/>
      <c r="Q930" s="402"/>
      <c r="R930" s="402"/>
      <c r="S930" s="402"/>
      <c r="T930" s="402"/>
      <c r="U930" s="402"/>
    </row>
    <row r="931" spans="1:21" customFormat="1">
      <c r="A931" s="403"/>
      <c r="B931" s="404"/>
      <c r="C931" s="234"/>
      <c r="D931" s="234"/>
      <c r="E931" s="402"/>
      <c r="F931" s="402"/>
      <c r="G931" s="402"/>
      <c r="H931" s="402"/>
      <c r="I931" s="402"/>
      <c r="J931" s="402"/>
      <c r="K931" s="402"/>
      <c r="L931" s="402"/>
      <c r="M931" s="402"/>
      <c r="N931" s="398"/>
      <c r="O931" s="402"/>
      <c r="P931" s="402"/>
      <c r="Q931" s="402"/>
      <c r="R931" s="402"/>
      <c r="S931" s="402"/>
      <c r="T931" s="402"/>
      <c r="U931" s="402"/>
    </row>
    <row r="932" spans="1:21">
      <c r="A932" s="390"/>
      <c r="B932" s="391"/>
      <c r="C932" s="234"/>
      <c r="J932" s="387"/>
    </row>
    <row r="933" spans="1:21" s="400" customFormat="1">
      <c r="A933" s="398"/>
      <c r="B933" s="399" t="s">
        <v>3617</v>
      </c>
      <c r="C933" s="234"/>
      <c r="D933" s="234"/>
      <c r="E933" s="92"/>
      <c r="F933" s="92"/>
      <c r="G933" s="384"/>
      <c r="H933" s="94"/>
      <c r="I933" s="384"/>
      <c r="J933" s="387"/>
      <c r="K933" s="94"/>
      <c r="L933" s="384"/>
      <c r="M933" s="384"/>
      <c r="N933" s="384"/>
      <c r="O933" s="384"/>
      <c r="P933" s="384"/>
      <c r="Q933" s="94"/>
      <c r="R933" s="384"/>
      <c r="S933" s="384"/>
      <c r="T933" s="384"/>
      <c r="U933" s="384"/>
    </row>
    <row r="934" spans="1:21">
      <c r="B934" t="s">
        <v>690</v>
      </c>
      <c r="C934" s="253" t="s">
        <v>691</v>
      </c>
      <c r="J934" s="387"/>
    </row>
    <row r="935" spans="1:21">
      <c r="B935" t="s">
        <v>3755</v>
      </c>
      <c r="C935" s="253" t="s">
        <v>691</v>
      </c>
      <c r="J935" s="387"/>
    </row>
    <row r="936" spans="1:21">
      <c r="A936" s="390"/>
      <c r="B936" s="423" t="s">
        <v>1056</v>
      </c>
      <c r="C936" s="424">
        <v>93537</v>
      </c>
      <c r="D936" s="390"/>
      <c r="H936" s="300"/>
      <c r="J936" s="387"/>
      <c r="K936" s="300"/>
      <c r="Q936" s="300"/>
    </row>
    <row r="937" spans="1:21">
      <c r="A937" s="390"/>
      <c r="B937" s="423" t="s">
        <v>1037</v>
      </c>
      <c r="C937" s="424">
        <v>93402</v>
      </c>
      <c r="D937" s="390"/>
      <c r="H937" s="300"/>
      <c r="J937" s="388"/>
      <c r="K937" s="300"/>
      <c r="Q937" s="300"/>
    </row>
    <row r="938" spans="1:21">
      <c r="A938" s="390"/>
      <c r="B938" s="423" t="s">
        <v>1101</v>
      </c>
      <c r="C938" s="424">
        <v>94109</v>
      </c>
      <c r="D938" s="390"/>
      <c r="H938" s="300"/>
      <c r="J938" s="387"/>
      <c r="K938" s="300"/>
      <c r="Q938" s="300"/>
    </row>
    <row r="939" spans="1:21">
      <c r="A939" s="390"/>
      <c r="B939" s="423" t="s">
        <v>734</v>
      </c>
      <c r="C939" s="424">
        <v>90101</v>
      </c>
      <c r="D939" s="393"/>
      <c r="H939" s="300"/>
      <c r="J939" s="387"/>
      <c r="K939" s="300"/>
      <c r="Q939" s="300"/>
    </row>
    <row r="940" spans="1:21">
      <c r="A940" s="390"/>
      <c r="B940" s="423" t="s">
        <v>737</v>
      </c>
      <c r="C940" s="424">
        <v>90117</v>
      </c>
      <c r="D940" s="390"/>
      <c r="H940" s="300"/>
      <c r="J940" s="388"/>
      <c r="K940" s="300"/>
      <c r="Q940" s="300"/>
    </row>
    <row r="941" spans="1:21">
      <c r="A941" s="390"/>
      <c r="B941" s="423" t="s">
        <v>1488</v>
      </c>
      <c r="C941" s="424">
        <v>98417</v>
      </c>
      <c r="D941" s="390"/>
      <c r="H941" s="300"/>
      <c r="J941" s="387"/>
      <c r="K941" s="300"/>
      <c r="Q941" s="300"/>
    </row>
    <row r="942" spans="1:21">
      <c r="A942" s="390"/>
      <c r="B942" s="423" t="s">
        <v>1346</v>
      </c>
      <c r="C942" s="424">
        <v>97008</v>
      </c>
      <c r="D942" s="390"/>
      <c r="H942" s="300"/>
      <c r="J942" s="387"/>
      <c r="K942" s="300"/>
      <c r="Q942" s="300"/>
    </row>
    <row r="943" spans="1:21">
      <c r="A943" s="390"/>
      <c r="B943" s="423" t="s">
        <v>731</v>
      </c>
      <c r="C943" s="424">
        <v>90096</v>
      </c>
      <c r="D943" s="390"/>
      <c r="H943" s="300"/>
      <c r="J943" s="387"/>
      <c r="K943" s="300"/>
      <c r="Q943" s="300"/>
    </row>
    <row r="944" spans="1:21">
      <c r="A944" s="390"/>
      <c r="B944" s="423" t="s">
        <v>782</v>
      </c>
      <c r="C944" s="424">
        <v>90805</v>
      </c>
      <c r="D944" s="390"/>
      <c r="H944" s="300"/>
      <c r="J944" s="387"/>
      <c r="K944" s="300"/>
      <c r="Q944" s="300"/>
    </row>
    <row r="945" spans="1:17">
      <c r="A945" s="390"/>
      <c r="B945" s="423" t="s">
        <v>925</v>
      </c>
      <c r="C945" s="424">
        <v>92109</v>
      </c>
      <c r="D945" s="390"/>
      <c r="H945" s="300"/>
      <c r="J945" s="387"/>
      <c r="K945" s="300"/>
      <c r="Q945" s="300"/>
    </row>
    <row r="946" spans="1:17">
      <c r="A946" s="390"/>
      <c r="B946" s="423" t="s">
        <v>743</v>
      </c>
      <c r="C946" s="424">
        <v>90201</v>
      </c>
      <c r="D946" s="390"/>
      <c r="H946" s="300"/>
      <c r="J946" s="387"/>
      <c r="K946" s="300"/>
      <c r="Q946" s="300"/>
    </row>
    <row r="947" spans="1:17">
      <c r="A947" s="390"/>
      <c r="B947" s="423" t="s">
        <v>746</v>
      </c>
      <c r="C947" s="424">
        <v>90206</v>
      </c>
      <c r="D947" s="390"/>
      <c r="H947" s="300"/>
      <c r="J947" s="387"/>
      <c r="K947" s="300"/>
      <c r="Q947" s="300"/>
    </row>
    <row r="948" spans="1:17">
      <c r="A948" s="390"/>
      <c r="B948" s="423" t="s">
        <v>744</v>
      </c>
      <c r="C948" s="424">
        <v>90203</v>
      </c>
      <c r="D948" s="390"/>
      <c r="H948" s="300"/>
      <c r="J948" s="387"/>
      <c r="K948" s="300"/>
      <c r="Q948" s="300"/>
    </row>
    <row r="949" spans="1:17">
      <c r="A949" s="390"/>
      <c r="B949" s="423" t="s">
        <v>745</v>
      </c>
      <c r="C949" s="424">
        <v>90205</v>
      </c>
      <c r="D949" s="390"/>
      <c r="H949" s="300"/>
      <c r="J949" s="388"/>
      <c r="K949" s="300"/>
      <c r="Q949" s="300"/>
    </row>
    <row r="950" spans="1:17">
      <c r="A950" s="390"/>
      <c r="B950" s="423" t="s">
        <v>748</v>
      </c>
      <c r="C950" s="424">
        <v>90301</v>
      </c>
      <c r="D950" s="390"/>
      <c r="H950" s="300"/>
      <c r="J950" s="387"/>
      <c r="K950" s="300"/>
      <c r="Q950" s="300"/>
    </row>
    <row r="951" spans="1:17">
      <c r="A951" s="390"/>
      <c r="B951" s="423" t="s">
        <v>3722</v>
      </c>
      <c r="C951" s="424">
        <v>93209</v>
      </c>
      <c r="D951" s="390"/>
      <c r="H951" s="300"/>
      <c r="J951" s="387"/>
      <c r="K951" s="300"/>
      <c r="Q951" s="300"/>
    </row>
    <row r="952" spans="1:17">
      <c r="A952" s="390"/>
      <c r="B952" s="423" t="s">
        <v>751</v>
      </c>
      <c r="C952" s="424">
        <v>90401</v>
      </c>
      <c r="D952" s="390"/>
      <c r="H952" s="300"/>
      <c r="J952" s="388"/>
      <c r="K952" s="300"/>
      <c r="Q952" s="300"/>
    </row>
    <row r="953" spans="1:17">
      <c r="A953" s="390"/>
      <c r="B953" s="423" t="s">
        <v>733</v>
      </c>
      <c r="C953" s="424">
        <v>90099</v>
      </c>
      <c r="D953" s="390"/>
      <c r="H953" s="300"/>
      <c r="J953" s="387"/>
      <c r="K953" s="300"/>
      <c r="Q953" s="300"/>
    </row>
    <row r="954" spans="1:17">
      <c r="A954" s="390"/>
      <c r="B954" s="423" t="s">
        <v>1592</v>
      </c>
      <c r="C954" s="424">
        <v>99705</v>
      </c>
      <c r="D954" s="390"/>
      <c r="H954" s="300"/>
      <c r="J954" s="387"/>
      <c r="K954" s="300"/>
      <c r="Q954" s="300"/>
    </row>
    <row r="955" spans="1:17">
      <c r="A955" s="390"/>
      <c r="B955" s="423" t="s">
        <v>760</v>
      </c>
      <c r="C955" s="424">
        <v>90501</v>
      </c>
      <c r="D955" s="390"/>
      <c r="H955" s="300"/>
      <c r="J955" s="387"/>
      <c r="K955" s="300"/>
      <c r="Q955" s="300"/>
    </row>
    <row r="956" spans="1:17">
      <c r="A956" s="390"/>
      <c r="B956" s="423" t="s">
        <v>1389</v>
      </c>
      <c r="C956" s="424">
        <v>97607</v>
      </c>
      <c r="D956" s="390"/>
      <c r="H956" s="300"/>
      <c r="J956" s="387"/>
      <c r="K956" s="300"/>
      <c r="Q956" s="300"/>
    </row>
    <row r="957" spans="1:17">
      <c r="A957" s="390"/>
      <c r="B957" s="423" t="s">
        <v>1391</v>
      </c>
      <c r="C957" s="424">
        <v>97613</v>
      </c>
      <c r="D957" s="390"/>
      <c r="H957" s="300"/>
      <c r="J957" s="387"/>
      <c r="K957" s="300"/>
      <c r="Q957" s="300"/>
    </row>
    <row r="958" spans="1:17">
      <c r="A958" s="390"/>
      <c r="B958" s="423" t="s">
        <v>834</v>
      </c>
      <c r="C958" s="424">
        <v>91127</v>
      </c>
      <c r="D958" s="390"/>
      <c r="H958" s="300"/>
      <c r="J958" s="387"/>
      <c r="K958" s="300"/>
      <c r="Q958" s="300"/>
    </row>
    <row r="959" spans="1:17">
      <c r="A959" s="390"/>
      <c r="B959" s="423" t="s">
        <v>835</v>
      </c>
      <c r="C959" s="424">
        <v>91128</v>
      </c>
      <c r="D959" s="390"/>
      <c r="H959" s="300"/>
      <c r="J959" s="387"/>
      <c r="K959" s="300"/>
      <c r="Q959" s="300"/>
    </row>
    <row r="960" spans="1:17">
      <c r="A960" s="390"/>
      <c r="B960" s="423" t="s">
        <v>3756</v>
      </c>
      <c r="C960" s="424">
        <v>91107</v>
      </c>
      <c r="D960" s="390"/>
      <c r="H960" s="300"/>
      <c r="J960" s="387"/>
      <c r="K960" s="300"/>
      <c r="Q960" s="300"/>
    </row>
    <row r="961" spans="1:17">
      <c r="A961" s="390"/>
      <c r="B961" s="423" t="s">
        <v>763</v>
      </c>
      <c r="C961" s="424">
        <v>90601</v>
      </c>
      <c r="D961" s="390"/>
      <c r="H961" s="300"/>
      <c r="J961" s="388"/>
      <c r="K961" s="300"/>
      <c r="Q961" s="300"/>
    </row>
    <row r="962" spans="1:17">
      <c r="A962" s="390"/>
      <c r="B962" s="423" t="s">
        <v>259</v>
      </c>
      <c r="C962" s="424">
        <v>90602</v>
      </c>
      <c r="D962" s="390"/>
      <c r="H962" s="300"/>
      <c r="J962" s="387"/>
      <c r="K962" s="300"/>
      <c r="Q962" s="300"/>
    </row>
    <row r="963" spans="1:17">
      <c r="A963" s="390"/>
      <c r="B963" s="423" t="s">
        <v>764</v>
      </c>
      <c r="C963" s="424">
        <v>90605</v>
      </c>
      <c r="D963" s="390"/>
      <c r="H963" s="300"/>
      <c r="J963" s="387"/>
      <c r="K963" s="300"/>
      <c r="Q963" s="300"/>
    </row>
    <row r="964" spans="1:17">
      <c r="A964" s="390"/>
      <c r="B964" s="423" t="s">
        <v>1380</v>
      </c>
      <c r="C964" s="424">
        <v>97463</v>
      </c>
      <c r="D964" s="390"/>
      <c r="H964" s="300"/>
      <c r="J964" s="388"/>
      <c r="K964" s="300"/>
      <c r="Q964" s="300"/>
    </row>
    <row r="965" spans="1:17">
      <c r="A965" s="390"/>
      <c r="B965" s="423" t="s">
        <v>773</v>
      </c>
      <c r="C965" s="424">
        <v>90705</v>
      </c>
      <c r="D965" s="390"/>
      <c r="H965" s="300"/>
      <c r="J965" s="387"/>
      <c r="K965" s="300"/>
      <c r="Q965" s="300"/>
    </row>
    <row r="966" spans="1:17">
      <c r="A966" s="390"/>
      <c r="B966" s="423" t="s">
        <v>1341</v>
      </c>
      <c r="C966" s="424">
        <v>96918</v>
      </c>
      <c r="D966" s="390"/>
      <c r="H966" s="300"/>
      <c r="J966" s="387"/>
      <c r="K966" s="300"/>
      <c r="Q966" s="300"/>
    </row>
    <row r="967" spans="1:17">
      <c r="A967" s="390"/>
      <c r="B967" s="423" t="s">
        <v>1543</v>
      </c>
      <c r="C967" s="424">
        <v>99208</v>
      </c>
      <c r="D967" s="390"/>
      <c r="H967" s="300"/>
      <c r="J967" s="387"/>
      <c r="K967" s="300"/>
      <c r="Q967" s="300"/>
    </row>
    <row r="968" spans="1:17">
      <c r="A968" s="390"/>
      <c r="B968" s="423" t="s">
        <v>771</v>
      </c>
      <c r="C968" s="424">
        <v>90701</v>
      </c>
      <c r="D968" s="390"/>
      <c r="H968" s="300"/>
      <c r="J968" s="387"/>
      <c r="K968" s="300"/>
      <c r="Q968" s="300"/>
    </row>
    <row r="969" spans="1:17">
      <c r="A969" s="390"/>
      <c r="B969" s="423" t="s">
        <v>772</v>
      </c>
      <c r="C969" s="424">
        <v>90704</v>
      </c>
      <c r="D969" s="390"/>
      <c r="H969" s="300"/>
      <c r="J969" s="387"/>
      <c r="K969" s="300"/>
      <c r="Q969" s="300"/>
    </row>
    <row r="970" spans="1:17">
      <c r="A970" s="390"/>
      <c r="B970" s="423" t="s">
        <v>886</v>
      </c>
      <c r="C970" s="424">
        <v>91633</v>
      </c>
      <c r="D970" s="390"/>
      <c r="H970" s="300"/>
      <c r="J970" s="387"/>
      <c r="K970" s="300"/>
      <c r="Q970" s="300"/>
    </row>
    <row r="971" spans="1:17">
      <c r="A971" s="390"/>
      <c r="B971" s="423" t="s">
        <v>1066</v>
      </c>
      <c r="C971" s="424">
        <v>93623</v>
      </c>
      <c r="D971" s="390"/>
      <c r="H971" s="300"/>
      <c r="J971" s="387"/>
      <c r="K971" s="300"/>
      <c r="Q971" s="300"/>
    </row>
    <row r="972" spans="1:17">
      <c r="A972" s="390"/>
      <c r="B972" s="423" t="s">
        <v>1186</v>
      </c>
      <c r="C972" s="424">
        <v>95103</v>
      </c>
      <c r="D972" s="390"/>
      <c r="H972" s="300"/>
      <c r="J972" s="387"/>
      <c r="K972" s="300"/>
      <c r="Q972" s="300"/>
    </row>
    <row r="973" spans="1:17">
      <c r="A973" s="390"/>
      <c r="B973" s="423" t="s">
        <v>780</v>
      </c>
      <c r="C973" s="424">
        <v>90801</v>
      </c>
      <c r="D973" s="390"/>
      <c r="H973" s="300"/>
      <c r="J973" s="388"/>
      <c r="K973" s="300"/>
      <c r="Q973" s="300"/>
    </row>
    <row r="974" spans="1:17">
      <c r="A974" s="390"/>
      <c r="B974" s="423" t="s">
        <v>781</v>
      </c>
      <c r="C974" s="424">
        <v>90804</v>
      </c>
      <c r="D974" s="390"/>
      <c r="H974" s="300"/>
      <c r="J974" s="387"/>
      <c r="K974" s="300"/>
      <c r="Q974" s="300"/>
    </row>
    <row r="975" spans="1:17">
      <c r="A975" s="390"/>
      <c r="B975" s="423" t="s">
        <v>783</v>
      </c>
      <c r="C975" s="424">
        <v>90808</v>
      </c>
      <c r="D975" s="390"/>
      <c r="H975" s="300"/>
      <c r="J975" s="387"/>
      <c r="K975" s="300"/>
      <c r="Q975" s="300"/>
    </row>
    <row r="976" spans="1:17">
      <c r="A976" s="390"/>
      <c r="B976" s="423" t="s">
        <v>1072</v>
      </c>
      <c r="C976" s="424">
        <v>93671</v>
      </c>
      <c r="D976" s="390"/>
      <c r="H976" s="300"/>
      <c r="J976" s="388"/>
      <c r="K976" s="300"/>
      <c r="Q976" s="300"/>
    </row>
    <row r="977" spans="1:17">
      <c r="A977" s="390"/>
      <c r="B977" s="423" t="s">
        <v>840</v>
      </c>
      <c r="C977" s="424">
        <v>91154</v>
      </c>
      <c r="D977" s="390"/>
      <c r="H977" s="300"/>
      <c r="J977" s="387"/>
      <c r="K977" s="300"/>
      <c r="Q977" s="300"/>
    </row>
    <row r="978" spans="1:17">
      <c r="A978" s="390"/>
      <c r="B978" s="423" t="s">
        <v>788</v>
      </c>
      <c r="C978" s="424">
        <v>90901</v>
      </c>
      <c r="D978" s="390"/>
      <c r="H978" s="300"/>
      <c r="J978" s="387"/>
      <c r="K978" s="300"/>
      <c r="Q978" s="300"/>
    </row>
    <row r="979" spans="1:17">
      <c r="A979" s="390"/>
      <c r="B979" s="423" t="s">
        <v>1576</v>
      </c>
      <c r="C979" s="424">
        <v>99527</v>
      </c>
      <c r="D979" s="390"/>
      <c r="H979" s="300"/>
      <c r="J979" s="387"/>
      <c r="K979" s="300"/>
      <c r="Q979" s="300"/>
    </row>
    <row r="980" spans="1:17">
      <c r="A980" s="390"/>
      <c r="B980" s="423" t="s">
        <v>1572</v>
      </c>
      <c r="C980" s="424">
        <v>99508</v>
      </c>
      <c r="D980" s="390"/>
      <c r="H980" s="300"/>
      <c r="J980" s="387"/>
      <c r="K980" s="300"/>
      <c r="Q980" s="300"/>
    </row>
    <row r="981" spans="1:17">
      <c r="A981" s="390"/>
      <c r="B981" s="423" t="s">
        <v>1152</v>
      </c>
      <c r="C981" s="424">
        <v>94532</v>
      </c>
      <c r="D981" s="390"/>
      <c r="H981" s="300"/>
      <c r="J981" s="387"/>
      <c r="K981" s="300"/>
      <c r="Q981" s="300"/>
    </row>
    <row r="982" spans="1:17">
      <c r="A982" s="390"/>
      <c r="B982" s="423" t="s">
        <v>822</v>
      </c>
      <c r="C982" s="424">
        <v>91077</v>
      </c>
      <c r="D982" s="390"/>
      <c r="H982" s="300"/>
      <c r="J982" s="387"/>
      <c r="K982" s="300"/>
      <c r="Q982" s="300"/>
    </row>
    <row r="983" spans="1:17">
      <c r="A983" s="390"/>
      <c r="B983" s="423" t="s">
        <v>1294</v>
      </c>
      <c r="C983" s="424">
        <v>96405</v>
      </c>
      <c r="D983" s="390"/>
      <c r="H983" s="300"/>
      <c r="J983" s="387"/>
      <c r="K983" s="300"/>
      <c r="Q983" s="300"/>
    </row>
    <row r="984" spans="1:17">
      <c r="A984" s="390"/>
      <c r="B984" s="423" t="s">
        <v>1514</v>
      </c>
      <c r="C984" s="424">
        <v>98817</v>
      </c>
      <c r="D984" s="390"/>
      <c r="H984" s="300"/>
      <c r="J984" s="387"/>
      <c r="K984" s="300"/>
      <c r="Q984" s="300"/>
    </row>
    <row r="985" spans="1:17">
      <c r="A985" s="390"/>
      <c r="B985" s="423" t="s">
        <v>1455</v>
      </c>
      <c r="C985" s="424">
        <v>98102</v>
      </c>
      <c r="D985" s="390"/>
      <c r="H985" s="300"/>
      <c r="J985" s="388"/>
      <c r="K985" s="300"/>
      <c r="Q985" s="300"/>
    </row>
    <row r="986" spans="1:17">
      <c r="A986" s="390"/>
      <c r="B986" s="423" t="s">
        <v>799</v>
      </c>
      <c r="C986" s="424">
        <v>91006</v>
      </c>
      <c r="D986" s="390"/>
      <c r="H986" s="300"/>
      <c r="J986" s="387"/>
      <c r="K986" s="300"/>
      <c r="Q986" s="300"/>
    </row>
    <row r="987" spans="1:17">
      <c r="A987" s="390"/>
      <c r="B987" s="423" t="s">
        <v>797</v>
      </c>
      <c r="C987" s="424">
        <v>91003</v>
      </c>
      <c r="D987" s="390"/>
      <c r="H987" s="300"/>
      <c r="J987" s="387"/>
      <c r="K987" s="300"/>
      <c r="Q987" s="300"/>
    </row>
    <row r="988" spans="1:17">
      <c r="A988" s="390"/>
      <c r="B988" s="423" t="s">
        <v>795</v>
      </c>
      <c r="C988" s="424">
        <v>91001</v>
      </c>
      <c r="D988" s="390"/>
      <c r="H988" s="300"/>
      <c r="J988" s="388"/>
      <c r="K988" s="300"/>
      <c r="Q988" s="300"/>
    </row>
    <row r="989" spans="1:17">
      <c r="A989" s="390"/>
      <c r="B989" s="423" t="s">
        <v>798</v>
      </c>
      <c r="C989" s="424">
        <v>91004</v>
      </c>
      <c r="D989" s="390"/>
      <c r="H989" s="300"/>
      <c r="J989" s="387"/>
      <c r="K989" s="300"/>
      <c r="Q989" s="300"/>
    </row>
    <row r="990" spans="1:17">
      <c r="A990" s="390"/>
      <c r="B990" s="423" t="s">
        <v>802</v>
      </c>
      <c r="C990" s="424">
        <v>91009</v>
      </c>
      <c r="D990" s="390"/>
      <c r="H990" s="300"/>
      <c r="J990" s="387"/>
      <c r="K990" s="300"/>
      <c r="Q990" s="300"/>
    </row>
    <row r="991" spans="1:17">
      <c r="A991" s="390"/>
      <c r="B991" s="423" t="s">
        <v>815</v>
      </c>
      <c r="C991" s="424">
        <v>91042</v>
      </c>
      <c r="D991" s="390"/>
      <c r="H991" s="300"/>
      <c r="J991" s="387"/>
      <c r="K991" s="300"/>
      <c r="Q991" s="300"/>
    </row>
    <row r="992" spans="1:17">
      <c r="A992" s="390"/>
      <c r="B992" s="423" t="s">
        <v>1511</v>
      </c>
      <c r="C992" s="424">
        <v>98717</v>
      </c>
      <c r="D992" s="390"/>
      <c r="H992" s="300"/>
      <c r="J992" s="387"/>
      <c r="K992" s="300"/>
      <c r="Q992" s="300"/>
    </row>
    <row r="993" spans="1:17">
      <c r="A993" s="390"/>
      <c r="B993" s="423" t="s">
        <v>825</v>
      </c>
      <c r="C993" s="424">
        <v>91101</v>
      </c>
      <c r="D993" s="390"/>
      <c r="H993" s="300"/>
      <c r="J993" s="387"/>
      <c r="K993" s="300"/>
      <c r="Q993" s="300"/>
    </row>
    <row r="994" spans="1:17">
      <c r="A994" s="390"/>
      <c r="B994" s="423" t="s">
        <v>846</v>
      </c>
      <c r="C994" s="424">
        <v>91206</v>
      </c>
      <c r="D994" s="390"/>
      <c r="H994" s="300"/>
      <c r="J994" s="387"/>
      <c r="K994" s="300"/>
      <c r="Q994" s="300"/>
    </row>
    <row r="995" spans="1:17">
      <c r="A995" s="390"/>
      <c r="B995" s="423" t="s">
        <v>845</v>
      </c>
      <c r="C995" s="424">
        <v>91203</v>
      </c>
      <c r="D995" s="390"/>
      <c r="H995" s="300"/>
      <c r="J995" s="387"/>
      <c r="K995" s="300"/>
      <c r="Q995" s="300"/>
    </row>
    <row r="996" spans="1:17">
      <c r="A996" s="390"/>
      <c r="B996" s="423" t="s">
        <v>843</v>
      </c>
      <c r="C996" s="424">
        <v>91201</v>
      </c>
      <c r="D996" s="390"/>
      <c r="H996" s="300"/>
      <c r="J996" s="387"/>
      <c r="K996" s="300"/>
      <c r="Q996" s="300"/>
    </row>
    <row r="997" spans="1:17">
      <c r="A997" s="390"/>
      <c r="B997" s="423" t="s">
        <v>847</v>
      </c>
      <c r="C997" s="424">
        <v>91208</v>
      </c>
      <c r="D997" s="390"/>
      <c r="H997" s="300"/>
      <c r="J997" s="388"/>
      <c r="K997" s="300"/>
      <c r="Q997" s="300"/>
    </row>
    <row r="998" spans="1:17">
      <c r="A998" s="390"/>
      <c r="B998" s="423" t="s">
        <v>844</v>
      </c>
      <c r="C998" s="424">
        <v>91202</v>
      </c>
      <c r="D998" s="390"/>
      <c r="H998" s="300"/>
      <c r="J998" s="387"/>
      <c r="K998" s="300"/>
      <c r="Q998" s="300"/>
    </row>
    <row r="999" spans="1:17">
      <c r="A999" s="390"/>
      <c r="B999" s="423" t="s">
        <v>860</v>
      </c>
      <c r="C999" s="424">
        <v>91306</v>
      </c>
      <c r="D999" s="390"/>
      <c r="H999" s="300"/>
      <c r="J999" s="387"/>
      <c r="K999" s="300"/>
      <c r="Q999" s="300"/>
    </row>
    <row r="1000" spans="1:17">
      <c r="A1000" s="390"/>
      <c r="B1000" s="423" t="s">
        <v>858</v>
      </c>
      <c r="C1000" s="424">
        <v>91301</v>
      </c>
      <c r="D1000" s="390"/>
      <c r="H1000" s="300"/>
      <c r="J1000" s="388"/>
      <c r="K1000" s="300"/>
      <c r="Q1000" s="300"/>
    </row>
    <row r="1001" spans="1:17">
      <c r="A1001" s="390"/>
      <c r="B1001" s="423" t="s">
        <v>861</v>
      </c>
      <c r="C1001" s="424">
        <v>91308</v>
      </c>
      <c r="D1001" s="390"/>
      <c r="H1001" s="300"/>
      <c r="J1001" s="387"/>
      <c r="K1001" s="300"/>
      <c r="Q1001" s="300"/>
    </row>
    <row r="1002" spans="1:17">
      <c r="A1002" s="390"/>
      <c r="B1002" s="427" t="s">
        <v>800</v>
      </c>
      <c r="C1002" s="428">
        <v>91007</v>
      </c>
      <c r="D1002" s="390"/>
      <c r="H1002" s="300"/>
      <c r="J1002" s="387"/>
      <c r="K1002" s="300"/>
      <c r="Q1002" s="300"/>
    </row>
    <row r="1003" spans="1:17">
      <c r="A1003" s="390"/>
      <c r="B1003" s="423" t="s">
        <v>868</v>
      </c>
      <c r="C1003" s="424">
        <v>91401</v>
      </c>
      <c r="D1003" s="390"/>
      <c r="H1003" s="300"/>
      <c r="J1003" s="387"/>
      <c r="K1003" s="300"/>
      <c r="Q1003" s="300"/>
    </row>
    <row r="1004" spans="1:17">
      <c r="A1004" s="390"/>
      <c r="B1004" s="423" t="s">
        <v>878</v>
      </c>
      <c r="C1004" s="424">
        <v>91501</v>
      </c>
      <c r="D1004" s="390"/>
      <c r="H1004" s="300"/>
      <c r="J1004" s="387"/>
      <c r="K1004" s="300"/>
      <c r="Q1004" s="300"/>
    </row>
    <row r="1005" spans="1:17">
      <c r="A1005" s="390"/>
      <c r="B1005" s="423" t="s">
        <v>879</v>
      </c>
      <c r="C1005" s="424">
        <v>91504</v>
      </c>
      <c r="D1005" s="390"/>
      <c r="H1005" s="300"/>
      <c r="J1005" s="387"/>
      <c r="K1005" s="300"/>
      <c r="Q1005" s="300"/>
    </row>
    <row r="1006" spans="1:17">
      <c r="A1006" s="390"/>
      <c r="B1006" s="423" t="s">
        <v>1144</v>
      </c>
      <c r="C1006" s="424">
        <v>94437</v>
      </c>
      <c r="D1006" s="390"/>
      <c r="H1006" s="300"/>
      <c r="J1006" s="388"/>
      <c r="K1006" s="300"/>
      <c r="Q1006" s="300"/>
    </row>
    <row r="1007" spans="1:17">
      <c r="A1007" s="390"/>
      <c r="B1007" s="423" t="s">
        <v>801</v>
      </c>
      <c r="C1007" s="424">
        <v>91008</v>
      </c>
      <c r="D1007" s="390"/>
      <c r="H1007" s="300"/>
      <c r="J1007" s="387"/>
      <c r="K1007" s="300"/>
      <c r="Q1007" s="300"/>
    </row>
    <row r="1008" spans="1:17">
      <c r="A1008" s="390"/>
      <c r="B1008" s="423" t="s">
        <v>1308</v>
      </c>
      <c r="C1008" s="424">
        <v>96512</v>
      </c>
      <c r="D1008" s="390"/>
      <c r="H1008" s="300"/>
      <c r="J1008" s="387"/>
      <c r="K1008" s="300"/>
      <c r="Q1008" s="300"/>
    </row>
    <row r="1009" spans="1:17">
      <c r="A1009" s="390"/>
      <c r="B1009" s="423" t="s">
        <v>1305</v>
      </c>
      <c r="C1009" s="424">
        <v>96507</v>
      </c>
      <c r="D1009" s="390"/>
      <c r="H1009" s="300"/>
      <c r="J1009" s="387"/>
      <c r="K1009" s="300"/>
      <c r="Q1009" s="300"/>
    </row>
    <row r="1010" spans="1:17">
      <c r="A1010" s="390"/>
      <c r="B1010" s="423" t="s">
        <v>1636</v>
      </c>
      <c r="C1010" s="424">
        <v>91015</v>
      </c>
      <c r="D1010" s="390"/>
      <c r="H1010" s="300"/>
      <c r="J1010" s="387"/>
      <c r="K1010" s="300"/>
      <c r="Q1010" s="300"/>
    </row>
    <row r="1011" spans="1:17">
      <c r="A1011" s="390"/>
      <c r="B1011" s="423" t="s">
        <v>880</v>
      </c>
      <c r="C1011" s="424">
        <v>91601</v>
      </c>
      <c r="D1011" s="390"/>
      <c r="H1011" s="300"/>
      <c r="J1011" s="387"/>
      <c r="K1011" s="300"/>
      <c r="Q1011" s="300"/>
    </row>
    <row r="1012" spans="1:17">
      <c r="A1012" s="390"/>
      <c r="B1012" s="423" t="s">
        <v>881</v>
      </c>
      <c r="C1012" s="424">
        <v>91604</v>
      </c>
      <c r="D1012" s="390"/>
      <c r="H1012" s="300"/>
      <c r="J1012" s="387"/>
      <c r="K1012" s="300"/>
      <c r="Q1012" s="300"/>
    </row>
    <row r="1013" spans="1:17">
      <c r="A1013" s="390"/>
      <c r="B1013" s="423" t="s">
        <v>895</v>
      </c>
      <c r="C1013" s="424">
        <v>91706</v>
      </c>
      <c r="D1013" s="390"/>
      <c r="H1013" s="300"/>
      <c r="J1013" s="387"/>
      <c r="K1013" s="300"/>
      <c r="Q1013" s="300"/>
    </row>
    <row r="1014" spans="1:17">
      <c r="A1014" s="390"/>
      <c r="B1014" s="423" t="s">
        <v>893</v>
      </c>
      <c r="C1014" s="424">
        <v>91701</v>
      </c>
      <c r="D1014" s="390"/>
      <c r="H1014" s="300"/>
      <c r="J1014" s="387"/>
      <c r="K1014" s="300"/>
      <c r="Q1014" s="300"/>
    </row>
    <row r="1015" spans="1:17">
      <c r="A1015" s="390"/>
      <c r="B1015" s="426" t="s">
        <v>894</v>
      </c>
      <c r="C1015" s="425">
        <v>91704</v>
      </c>
      <c r="D1015" s="390"/>
      <c r="H1015" s="300"/>
      <c r="J1015" s="388"/>
      <c r="K1015" s="300"/>
      <c r="Q1015" s="300"/>
    </row>
    <row r="1016" spans="1:17">
      <c r="A1016" s="390"/>
      <c r="B1016" s="423" t="s">
        <v>897</v>
      </c>
      <c r="C1016" s="424">
        <v>91801</v>
      </c>
      <c r="D1016" s="390"/>
      <c r="H1016" s="300"/>
      <c r="J1016" s="387"/>
      <c r="K1016" s="300"/>
      <c r="Q1016" s="300"/>
    </row>
    <row r="1017" spans="1:17">
      <c r="A1017" s="390"/>
      <c r="B1017" s="423" t="s">
        <v>898</v>
      </c>
      <c r="C1017" s="424">
        <v>91804</v>
      </c>
      <c r="D1017" s="390"/>
      <c r="H1017" s="300"/>
      <c r="J1017" s="387"/>
      <c r="K1017" s="300"/>
      <c r="Q1017" s="300"/>
    </row>
    <row r="1018" spans="1:17">
      <c r="A1018" s="390"/>
      <c r="B1018" s="423" t="s">
        <v>1550</v>
      </c>
      <c r="C1018" s="424">
        <v>99222</v>
      </c>
      <c r="D1018" s="390"/>
      <c r="H1018" s="300"/>
      <c r="J1018" s="388"/>
      <c r="K1018" s="300"/>
      <c r="Q1018" s="300"/>
    </row>
    <row r="1019" spans="1:17">
      <c r="A1019" s="390"/>
      <c r="B1019" s="423" t="s">
        <v>1254</v>
      </c>
      <c r="C1019" s="424">
        <v>96009</v>
      </c>
      <c r="D1019" s="390"/>
      <c r="H1019" s="300"/>
      <c r="J1019" s="387"/>
      <c r="K1019" s="300"/>
      <c r="Q1019" s="300"/>
    </row>
    <row r="1020" spans="1:17">
      <c r="A1020" s="390"/>
      <c r="B1020" s="423" t="s">
        <v>1257</v>
      </c>
      <c r="C1020" s="424">
        <v>96018</v>
      </c>
      <c r="D1020" s="390"/>
      <c r="H1020" s="300"/>
      <c r="J1020" s="387"/>
      <c r="K1020" s="300"/>
      <c r="Q1020" s="300"/>
    </row>
    <row r="1021" spans="1:17">
      <c r="A1021" s="390"/>
      <c r="B1021" s="423" t="s">
        <v>1252</v>
      </c>
      <c r="C1021" s="424">
        <v>96005</v>
      </c>
      <c r="D1021" s="390"/>
      <c r="H1021" s="300"/>
      <c r="J1021" s="387"/>
      <c r="K1021" s="300"/>
      <c r="Q1021" s="300"/>
    </row>
    <row r="1022" spans="1:17">
      <c r="A1022" s="390"/>
      <c r="B1022" s="423" t="s">
        <v>3724</v>
      </c>
      <c r="C1022" s="424">
        <v>96012</v>
      </c>
      <c r="D1022" s="390"/>
      <c r="H1022" s="300"/>
      <c r="J1022" s="387"/>
      <c r="K1022" s="300"/>
      <c r="Q1022" s="300"/>
    </row>
    <row r="1023" spans="1:17">
      <c r="A1023" s="390"/>
      <c r="B1023" s="423" t="s">
        <v>912</v>
      </c>
      <c r="C1023" s="424">
        <v>91903</v>
      </c>
      <c r="D1023" s="390"/>
      <c r="H1023" s="300"/>
      <c r="J1023" s="387"/>
      <c r="K1023" s="300"/>
      <c r="Q1023" s="300"/>
    </row>
    <row r="1024" spans="1:17">
      <c r="A1024" s="390"/>
      <c r="B1024" s="423" t="s">
        <v>911</v>
      </c>
      <c r="C1024" s="424">
        <v>91901</v>
      </c>
      <c r="D1024" s="390"/>
      <c r="H1024" s="300"/>
      <c r="J1024" s="387"/>
      <c r="K1024" s="300"/>
      <c r="Q1024" s="300"/>
    </row>
    <row r="1025" spans="1:17">
      <c r="A1025" s="390"/>
      <c r="B1025" s="423" t="s">
        <v>913</v>
      </c>
      <c r="C1025" s="424">
        <v>91904</v>
      </c>
      <c r="D1025" s="390"/>
      <c r="H1025" s="300"/>
      <c r="J1025" s="387"/>
      <c r="K1025" s="300"/>
      <c r="Q1025" s="300"/>
    </row>
    <row r="1026" spans="1:17">
      <c r="A1026" s="390"/>
      <c r="B1026" s="423" t="s">
        <v>918</v>
      </c>
      <c r="C1026" s="424">
        <v>92001</v>
      </c>
      <c r="D1026" s="390"/>
      <c r="H1026" s="300"/>
      <c r="J1026" s="387"/>
      <c r="K1026" s="300"/>
      <c r="Q1026" s="300"/>
    </row>
    <row r="1027" spans="1:17">
      <c r="A1027" s="390"/>
      <c r="B1027" s="423" t="s">
        <v>1069</v>
      </c>
      <c r="C1027" s="424">
        <v>93647</v>
      </c>
      <c r="D1027" s="390"/>
      <c r="H1027" s="300"/>
      <c r="J1027" s="388"/>
      <c r="K1027" s="300"/>
      <c r="Q1027" s="300"/>
    </row>
    <row r="1028" spans="1:17">
      <c r="A1028" s="390"/>
      <c r="B1028" s="423" t="s">
        <v>1315</v>
      </c>
      <c r="C1028" s="424">
        <v>96612</v>
      </c>
      <c r="D1028" s="390"/>
      <c r="H1028" s="300"/>
      <c r="J1028" s="387"/>
      <c r="K1028" s="300"/>
      <c r="Q1028" s="300"/>
    </row>
    <row r="1029" spans="1:17">
      <c r="A1029" s="390"/>
      <c r="B1029" s="423" t="s">
        <v>923</v>
      </c>
      <c r="C1029" s="424">
        <v>92101</v>
      </c>
      <c r="D1029" s="390"/>
      <c r="H1029" s="300"/>
      <c r="J1029" s="387"/>
      <c r="K1029" s="300"/>
      <c r="Q1029" s="300"/>
    </row>
    <row r="1030" spans="1:17">
      <c r="A1030" s="390"/>
      <c r="B1030" s="423" t="s">
        <v>924</v>
      </c>
      <c r="C1030" s="424">
        <v>92104</v>
      </c>
      <c r="D1030" s="390"/>
      <c r="H1030" s="300"/>
      <c r="J1030" s="388"/>
      <c r="K1030" s="300"/>
      <c r="Q1030" s="300"/>
    </row>
    <row r="1031" spans="1:17">
      <c r="A1031" s="390"/>
      <c r="B1031" s="423" t="s">
        <v>1486</v>
      </c>
      <c r="C1031" s="424">
        <v>98411</v>
      </c>
      <c r="D1031" s="390"/>
      <c r="H1031" s="300"/>
      <c r="J1031" s="387"/>
      <c r="K1031" s="300"/>
      <c r="Q1031" s="300"/>
    </row>
    <row r="1032" spans="1:17">
      <c r="A1032" s="390"/>
      <c r="B1032" s="423" t="s">
        <v>1398</v>
      </c>
      <c r="C1032" s="424">
        <v>97651</v>
      </c>
      <c r="D1032" s="390"/>
      <c r="H1032" s="300"/>
      <c r="J1032" s="387"/>
      <c r="K1032" s="300"/>
      <c r="Q1032" s="300"/>
    </row>
    <row r="1033" spans="1:17">
      <c r="A1033" s="390"/>
      <c r="B1033" s="423" t="s">
        <v>1390</v>
      </c>
      <c r="C1033" s="424">
        <v>97611</v>
      </c>
      <c r="D1033" s="390"/>
      <c r="H1033" s="300"/>
      <c r="J1033" s="387"/>
      <c r="K1033" s="300"/>
      <c r="Q1033" s="300"/>
    </row>
    <row r="1034" spans="1:17">
      <c r="A1034" s="390"/>
      <c r="B1034" s="423" t="s">
        <v>833</v>
      </c>
      <c r="C1034" s="424">
        <v>91121</v>
      </c>
      <c r="D1034" s="390"/>
      <c r="H1034" s="300"/>
      <c r="J1034" s="387"/>
      <c r="K1034" s="300"/>
      <c r="Q1034" s="300"/>
    </row>
    <row r="1035" spans="1:17">
      <c r="A1035" s="390"/>
      <c r="B1035" s="423" t="s">
        <v>1065</v>
      </c>
      <c r="C1035" s="424">
        <v>93621</v>
      </c>
      <c r="D1035" s="390"/>
      <c r="H1035" s="300"/>
      <c r="J1035" s="387"/>
      <c r="K1035" s="300"/>
      <c r="Q1035" s="300"/>
    </row>
    <row r="1036" spans="1:17">
      <c r="A1036" s="390"/>
      <c r="B1036" s="423" t="s">
        <v>821</v>
      </c>
      <c r="C1036" s="424">
        <v>91071</v>
      </c>
      <c r="D1036" s="390"/>
      <c r="H1036" s="300"/>
      <c r="J1036" s="387"/>
      <c r="K1036" s="300"/>
      <c r="Q1036" s="300"/>
    </row>
    <row r="1037" spans="1:17">
      <c r="A1037" s="390"/>
      <c r="B1037" s="423" t="s">
        <v>1513</v>
      </c>
      <c r="C1037" s="424">
        <v>98811</v>
      </c>
      <c r="D1037" s="390"/>
      <c r="H1037" s="300"/>
      <c r="J1037" s="387"/>
      <c r="K1037" s="300"/>
      <c r="Q1037" s="300"/>
    </row>
    <row r="1038" spans="1:17">
      <c r="A1038" s="390"/>
      <c r="B1038" s="423" t="s">
        <v>735</v>
      </c>
      <c r="C1038" s="424">
        <v>90111</v>
      </c>
      <c r="D1038" s="390"/>
      <c r="H1038" s="300"/>
      <c r="J1038" s="387"/>
      <c r="K1038" s="300"/>
      <c r="Q1038" s="300"/>
    </row>
    <row r="1039" spans="1:17">
      <c r="A1039" s="390"/>
      <c r="B1039" s="423" t="s">
        <v>1255</v>
      </c>
      <c r="C1039" s="424">
        <v>96011</v>
      </c>
      <c r="D1039" s="390"/>
      <c r="H1039" s="300"/>
      <c r="J1039" s="388"/>
      <c r="K1039" s="300"/>
      <c r="Q1039" s="300"/>
    </row>
    <row r="1040" spans="1:17">
      <c r="A1040" s="390"/>
      <c r="B1040" s="423" t="s">
        <v>1068</v>
      </c>
      <c r="C1040" s="424">
        <v>93641</v>
      </c>
      <c r="D1040" s="390"/>
      <c r="H1040" s="300"/>
      <c r="J1040" s="387"/>
      <c r="K1040" s="300"/>
      <c r="Q1040" s="300"/>
    </row>
    <row r="1041" spans="1:17">
      <c r="A1041" s="390"/>
      <c r="B1041" s="423" t="s">
        <v>904</v>
      </c>
      <c r="C1041" s="424">
        <v>91821</v>
      </c>
      <c r="D1041" s="390"/>
      <c r="H1041" s="300"/>
      <c r="J1041" s="387"/>
      <c r="K1041" s="300"/>
      <c r="Q1041" s="300"/>
    </row>
    <row r="1042" spans="1:17">
      <c r="A1042" s="390"/>
      <c r="B1042" s="423" t="s">
        <v>1468</v>
      </c>
      <c r="C1042" s="424">
        <v>98211</v>
      </c>
      <c r="D1042" s="390"/>
      <c r="H1042" s="300"/>
      <c r="J1042" s="388"/>
      <c r="K1042" s="300"/>
      <c r="Q1042" s="300"/>
    </row>
    <row r="1043" spans="1:17">
      <c r="A1043" s="390"/>
      <c r="B1043" s="423" t="s">
        <v>862</v>
      </c>
      <c r="C1043" s="424">
        <v>91311</v>
      </c>
      <c r="D1043" s="390"/>
      <c r="H1043" s="300"/>
      <c r="J1043" s="387"/>
      <c r="K1043" s="300"/>
      <c r="Q1043" s="300"/>
    </row>
    <row r="1044" spans="1:17">
      <c r="A1044" s="390"/>
      <c r="B1044" s="423" t="s">
        <v>1089</v>
      </c>
      <c r="C1044" s="424">
        <v>93921</v>
      </c>
      <c r="D1044" s="390"/>
      <c r="H1044" s="300"/>
      <c r="J1044" s="387"/>
      <c r="K1044" s="300"/>
      <c r="Q1044" s="300"/>
    </row>
    <row r="1045" spans="1:17">
      <c r="A1045" s="390"/>
      <c r="B1045" s="423" t="s">
        <v>1126</v>
      </c>
      <c r="C1045" s="424">
        <v>94311</v>
      </c>
      <c r="D1045" s="390"/>
      <c r="H1045" s="300"/>
      <c r="J1045" s="387"/>
      <c r="K1045" s="300"/>
      <c r="Q1045" s="300"/>
    </row>
    <row r="1046" spans="1:17">
      <c r="A1046" s="390"/>
      <c r="B1046" s="423" t="s">
        <v>1021</v>
      </c>
      <c r="C1046" s="424">
        <v>93211</v>
      </c>
      <c r="D1046" s="390"/>
      <c r="H1046" s="300"/>
      <c r="J1046" s="387"/>
      <c r="K1046" s="300"/>
      <c r="Q1046" s="300"/>
    </row>
    <row r="1047" spans="1:17">
      <c r="A1047" s="390"/>
      <c r="B1047" s="423" t="s">
        <v>1436</v>
      </c>
      <c r="C1047" s="424">
        <v>97951</v>
      </c>
      <c r="D1047" s="390"/>
      <c r="H1047" s="300"/>
      <c r="J1047" s="387"/>
      <c r="K1047" s="300"/>
      <c r="Q1047" s="300"/>
    </row>
    <row r="1048" spans="1:17">
      <c r="A1048" s="390"/>
      <c r="B1048" s="423" t="s">
        <v>969</v>
      </c>
      <c r="C1048" s="424">
        <v>92611</v>
      </c>
      <c r="D1048" s="390"/>
      <c r="H1048" s="300"/>
      <c r="J1048" s="387"/>
      <c r="K1048" s="300"/>
      <c r="Q1048" s="300"/>
    </row>
    <row r="1049" spans="1:17">
      <c r="A1049" s="390"/>
      <c r="B1049" s="423" t="s">
        <v>1062</v>
      </c>
      <c r="C1049" s="424">
        <v>93611</v>
      </c>
      <c r="D1049" s="390"/>
      <c r="H1049" s="300"/>
      <c r="J1049" s="387"/>
      <c r="K1049" s="300"/>
      <c r="Q1049" s="300"/>
    </row>
    <row r="1050" spans="1:17">
      <c r="A1050" s="390"/>
      <c r="B1050" s="423" t="s">
        <v>1584</v>
      </c>
      <c r="C1050" s="424">
        <v>99611</v>
      </c>
      <c r="D1050" s="390"/>
      <c r="H1050" s="300"/>
      <c r="J1050" s="387"/>
      <c r="K1050" s="300"/>
      <c r="Q1050" s="300"/>
    </row>
    <row r="1051" spans="1:17">
      <c r="A1051" s="390"/>
      <c r="B1051" s="423" t="s">
        <v>738</v>
      </c>
      <c r="C1051" s="424">
        <v>90121</v>
      </c>
      <c r="D1051" s="390"/>
      <c r="H1051" s="300"/>
      <c r="J1051" s="388"/>
      <c r="K1051" s="300"/>
      <c r="Q1051" s="300"/>
    </row>
    <row r="1052" spans="1:17">
      <c r="A1052" s="390"/>
      <c r="B1052" s="423" t="s">
        <v>1102</v>
      </c>
      <c r="C1052" s="424">
        <v>94111</v>
      </c>
      <c r="D1052" s="390"/>
      <c r="H1052" s="300"/>
      <c r="J1052" s="387"/>
      <c r="K1052" s="300"/>
      <c r="Q1052" s="300"/>
    </row>
    <row r="1053" spans="1:17">
      <c r="A1053" s="390"/>
      <c r="B1053" s="423" t="s">
        <v>1371</v>
      </c>
      <c r="C1053" s="424">
        <v>97411</v>
      </c>
      <c r="D1053" s="390"/>
      <c r="H1053" s="300"/>
      <c r="J1053" s="387"/>
      <c r="K1053" s="300"/>
      <c r="Q1053" s="300"/>
    </row>
    <row r="1054" spans="1:17">
      <c r="A1054" s="390"/>
      <c r="B1054" s="423" t="s">
        <v>1405</v>
      </c>
      <c r="C1054" s="424">
        <v>97721</v>
      </c>
      <c r="D1054" s="390"/>
      <c r="H1054" s="300"/>
      <c r="J1054" s="388"/>
      <c r="K1054" s="300"/>
      <c r="Q1054" s="300"/>
    </row>
    <row r="1055" spans="1:17">
      <c r="A1055" s="390"/>
      <c r="B1055" s="423" t="s">
        <v>959</v>
      </c>
      <c r="C1055" s="424">
        <v>92531</v>
      </c>
      <c r="D1055" s="390"/>
      <c r="H1055" s="300"/>
      <c r="J1055" s="387"/>
      <c r="K1055" s="300"/>
      <c r="Q1055" s="300"/>
    </row>
    <row r="1056" spans="1:17">
      <c r="A1056" s="390"/>
      <c r="B1056" s="423" t="s">
        <v>1536</v>
      </c>
      <c r="C1056" s="424">
        <v>99111</v>
      </c>
      <c r="D1056" s="390"/>
      <c r="H1056" s="300"/>
      <c r="J1056" s="387"/>
      <c r="K1056" s="300"/>
      <c r="Q1056" s="300"/>
    </row>
    <row r="1057" spans="1:17">
      <c r="A1057" s="390"/>
      <c r="B1057" s="423" t="s">
        <v>1146</v>
      </c>
      <c r="C1057" s="424">
        <v>94511</v>
      </c>
      <c r="D1057" s="390"/>
      <c r="H1057" s="300"/>
      <c r="J1057" s="387"/>
      <c r="K1057" s="300"/>
      <c r="Q1057" s="300"/>
    </row>
    <row r="1058" spans="1:17">
      <c r="A1058" s="390"/>
      <c r="B1058" s="423" t="s">
        <v>899</v>
      </c>
      <c r="C1058" s="424">
        <v>91811</v>
      </c>
      <c r="D1058" s="390"/>
      <c r="H1058" s="300"/>
      <c r="J1058" s="387"/>
      <c r="K1058" s="300"/>
      <c r="Q1058" s="300"/>
    </row>
    <row r="1059" spans="1:17">
      <c r="A1059" s="390"/>
      <c r="B1059" s="423" t="s">
        <v>1106</v>
      </c>
      <c r="C1059" s="424">
        <v>94121</v>
      </c>
      <c r="D1059" s="390"/>
      <c r="H1059" s="300"/>
      <c r="J1059" s="387"/>
      <c r="K1059" s="300"/>
      <c r="Q1059" s="300"/>
    </row>
    <row r="1060" spans="1:17">
      <c r="A1060" s="390"/>
      <c r="B1060" s="423" t="s">
        <v>1326</v>
      </c>
      <c r="C1060" s="424">
        <v>96711</v>
      </c>
      <c r="D1060" s="390"/>
      <c r="H1060" s="300"/>
      <c r="J1060" s="387"/>
      <c r="K1060" s="300"/>
      <c r="Q1060" s="300"/>
    </row>
    <row r="1061" spans="1:17">
      <c r="A1061" s="390"/>
      <c r="B1061" s="423" t="s">
        <v>866</v>
      </c>
      <c r="C1061" s="424">
        <v>91331</v>
      </c>
      <c r="D1061" s="390"/>
      <c r="H1061" s="300"/>
      <c r="J1061" s="387"/>
      <c r="K1061" s="300"/>
      <c r="Q1061" s="300"/>
    </row>
    <row r="1062" spans="1:17">
      <c r="A1062" s="390"/>
      <c r="B1062" s="423" t="s">
        <v>1498</v>
      </c>
      <c r="C1062" s="424">
        <v>98521</v>
      </c>
      <c r="D1062" s="390"/>
      <c r="H1062" s="300"/>
      <c r="J1062" s="387"/>
      <c r="K1062" s="300"/>
      <c r="Q1062" s="300"/>
    </row>
    <row r="1063" spans="1:17">
      <c r="A1063" s="390"/>
      <c r="B1063" s="423" t="s">
        <v>933</v>
      </c>
      <c r="C1063" s="424">
        <v>92321</v>
      </c>
      <c r="D1063" s="390"/>
      <c r="H1063" s="300"/>
      <c r="J1063" s="388"/>
      <c r="K1063" s="300"/>
      <c r="Q1063" s="300"/>
    </row>
    <row r="1064" spans="1:17">
      <c r="A1064" s="390"/>
      <c r="B1064" s="423" t="s">
        <v>1215</v>
      </c>
      <c r="C1064" s="424">
        <v>95411</v>
      </c>
      <c r="D1064" s="390"/>
      <c r="H1064" s="300"/>
      <c r="J1064" s="387"/>
      <c r="K1064" s="300"/>
      <c r="Q1064" s="300"/>
    </row>
    <row r="1065" spans="1:17">
      <c r="A1065" s="390"/>
      <c r="B1065" s="423" t="s">
        <v>1480</v>
      </c>
      <c r="C1065" s="424">
        <v>98311</v>
      </c>
      <c r="D1065" s="390"/>
      <c r="H1065" s="300"/>
      <c r="J1065" s="387"/>
      <c r="K1065" s="300"/>
      <c r="Q1065" s="300"/>
    </row>
    <row r="1066" spans="1:17">
      <c r="A1066" s="390"/>
      <c r="B1066" s="423" t="s">
        <v>875</v>
      </c>
      <c r="C1066" s="424">
        <v>91451</v>
      </c>
      <c r="D1066" s="390"/>
      <c r="H1066" s="300"/>
      <c r="J1066" s="388"/>
      <c r="K1066" s="300"/>
      <c r="Q1066" s="300"/>
    </row>
    <row r="1067" spans="1:17">
      <c r="A1067" s="390"/>
      <c r="B1067" s="423" t="s">
        <v>876</v>
      </c>
      <c r="C1067" s="424">
        <v>91457</v>
      </c>
      <c r="D1067" s="390"/>
      <c r="H1067" s="300"/>
      <c r="J1067" s="387"/>
      <c r="K1067" s="300"/>
      <c r="Q1067" s="300"/>
    </row>
    <row r="1068" spans="1:17">
      <c r="A1068" s="390"/>
      <c r="B1068" s="423" t="s">
        <v>996</v>
      </c>
      <c r="C1068" s="424">
        <v>92931</v>
      </c>
      <c r="D1068" s="390"/>
      <c r="H1068" s="300"/>
      <c r="J1068" s="387"/>
      <c r="K1068" s="300"/>
      <c r="Q1068" s="300"/>
    </row>
    <row r="1069" spans="1:17">
      <c r="A1069" s="390"/>
      <c r="B1069" s="423" t="s">
        <v>1223</v>
      </c>
      <c r="C1069" s="424">
        <v>95511</v>
      </c>
      <c r="D1069" s="390"/>
      <c r="H1069" s="300"/>
      <c r="J1069" s="387"/>
      <c r="K1069" s="300"/>
      <c r="Q1069" s="300"/>
    </row>
    <row r="1070" spans="1:17">
      <c r="A1070" s="390"/>
      <c r="B1070" s="423" t="s">
        <v>1491</v>
      </c>
      <c r="C1070" s="424">
        <v>98431</v>
      </c>
      <c r="D1070" s="390"/>
      <c r="H1070" s="300"/>
      <c r="J1070" s="387"/>
      <c r="K1070" s="300"/>
      <c r="Q1070" s="300"/>
    </row>
    <row r="1071" spans="1:17">
      <c r="A1071" s="390"/>
      <c r="B1071" s="423" t="s">
        <v>1071</v>
      </c>
      <c r="C1071" s="424">
        <v>93661</v>
      </c>
      <c r="D1071" s="390"/>
      <c r="H1071" s="300"/>
      <c r="J1071" s="387"/>
      <c r="K1071" s="300"/>
      <c r="Q1071" s="300"/>
    </row>
    <row r="1072" spans="1:17">
      <c r="A1072" s="390"/>
      <c r="B1072" s="423" t="s">
        <v>1412</v>
      </c>
      <c r="C1072" s="424">
        <v>97811</v>
      </c>
      <c r="D1072" s="390"/>
      <c r="H1072" s="300"/>
      <c r="J1072" s="387"/>
      <c r="K1072" s="300"/>
      <c r="Q1072" s="300"/>
    </row>
    <row r="1073" spans="1:17">
      <c r="A1073" s="390"/>
      <c r="B1073" s="423" t="s">
        <v>736</v>
      </c>
      <c r="C1073" s="424">
        <v>90114</v>
      </c>
      <c r="D1073" s="390"/>
      <c r="H1073" s="300"/>
      <c r="J1073" s="387"/>
      <c r="K1073" s="300"/>
      <c r="Q1073" s="300"/>
    </row>
    <row r="1074" spans="1:17">
      <c r="A1074" s="390"/>
      <c r="B1074" s="423" t="s">
        <v>1519</v>
      </c>
      <c r="C1074" s="424">
        <v>99011</v>
      </c>
      <c r="D1074" s="390"/>
      <c r="H1074" s="300"/>
      <c r="J1074" s="387"/>
      <c r="K1074" s="300"/>
      <c r="Q1074" s="300"/>
    </row>
    <row r="1075" spans="1:17">
      <c r="A1075" s="390"/>
      <c r="B1075" s="423" t="s">
        <v>1520</v>
      </c>
      <c r="C1075" s="424">
        <v>99013</v>
      </c>
      <c r="D1075" s="390"/>
      <c r="H1075" s="300"/>
      <c r="J1075" s="388"/>
      <c r="K1075" s="300"/>
      <c r="Q1075" s="300"/>
    </row>
    <row r="1076" spans="1:17">
      <c r="A1076" s="390"/>
      <c r="B1076" s="423" t="s">
        <v>1173</v>
      </c>
      <c r="C1076" s="424">
        <v>94921</v>
      </c>
      <c r="D1076" s="390"/>
      <c r="H1076" s="300"/>
      <c r="J1076" s="387"/>
      <c r="K1076" s="300"/>
      <c r="Q1076" s="300"/>
    </row>
    <row r="1077" spans="1:17">
      <c r="A1077" s="390"/>
      <c r="B1077" s="423" t="s">
        <v>853</v>
      </c>
      <c r="C1077" s="424">
        <v>91231</v>
      </c>
      <c r="D1077" s="390"/>
      <c r="H1077" s="300"/>
      <c r="J1077" s="387"/>
      <c r="K1077" s="300"/>
      <c r="Q1077" s="300"/>
    </row>
    <row r="1078" spans="1:17">
      <c r="A1078" s="390"/>
      <c r="B1078" s="423" t="s">
        <v>1506</v>
      </c>
      <c r="C1078" s="424">
        <v>98631</v>
      </c>
      <c r="D1078" s="390"/>
      <c r="H1078" s="300"/>
      <c r="J1078" s="388"/>
      <c r="K1078" s="300"/>
      <c r="Q1078" s="300"/>
    </row>
    <row r="1079" spans="1:17">
      <c r="A1079" s="390"/>
      <c r="B1079" s="423" t="s">
        <v>1074</v>
      </c>
      <c r="C1079" s="424">
        <v>93691</v>
      </c>
      <c r="D1079" s="390"/>
      <c r="H1079" s="300"/>
      <c r="J1079" s="387"/>
      <c r="K1079" s="300"/>
      <c r="Q1079" s="300"/>
    </row>
    <row r="1080" spans="1:17">
      <c r="A1080" s="390"/>
      <c r="B1080" s="427" t="s">
        <v>956</v>
      </c>
      <c r="C1080" s="428">
        <v>92511</v>
      </c>
      <c r="D1080" s="390"/>
      <c r="H1080" s="300"/>
      <c r="J1080" s="387"/>
      <c r="K1080" s="300"/>
      <c r="Q1080" s="300"/>
    </row>
    <row r="1081" spans="1:17">
      <c r="A1081" s="390"/>
      <c r="B1081" s="423" t="s">
        <v>909</v>
      </c>
      <c r="C1081" s="424">
        <v>91871</v>
      </c>
      <c r="D1081" s="390"/>
      <c r="H1081" s="300"/>
      <c r="J1081" s="387"/>
      <c r="K1081" s="300"/>
      <c r="Q1081" s="300"/>
    </row>
    <row r="1082" spans="1:17">
      <c r="A1082" s="390"/>
      <c r="B1082" s="423" t="s">
        <v>805</v>
      </c>
      <c r="C1082" s="424">
        <v>91012</v>
      </c>
      <c r="D1082" s="390"/>
      <c r="H1082" s="300"/>
      <c r="J1082" s="387"/>
      <c r="K1082" s="300"/>
      <c r="Q1082" s="300"/>
    </row>
    <row r="1083" spans="1:17">
      <c r="A1083" s="390"/>
      <c r="B1083" s="423" t="s">
        <v>1086</v>
      </c>
      <c r="C1083" s="424">
        <v>93911</v>
      </c>
      <c r="D1083" s="390"/>
      <c r="H1083" s="300"/>
      <c r="J1083" s="387"/>
      <c r="K1083" s="300"/>
      <c r="Q1083" s="300"/>
    </row>
    <row r="1084" spans="1:17">
      <c r="A1084" s="390"/>
      <c r="B1084" s="423" t="s">
        <v>1545</v>
      </c>
      <c r="C1084" s="424">
        <v>99211</v>
      </c>
      <c r="D1084" s="390"/>
      <c r="H1084" s="300"/>
      <c r="J1084" s="388"/>
      <c r="K1084" s="300"/>
      <c r="Q1084" s="300"/>
    </row>
    <row r="1085" spans="1:17">
      <c r="A1085" s="390"/>
      <c r="B1085" s="423" t="s">
        <v>1547</v>
      </c>
      <c r="C1085" s="424">
        <v>99213</v>
      </c>
      <c r="D1085" s="390"/>
      <c r="H1085" s="300"/>
      <c r="J1085" s="387"/>
      <c r="K1085" s="300"/>
      <c r="Q1085" s="300"/>
    </row>
    <row r="1086" spans="1:17">
      <c r="A1086" s="390"/>
      <c r="B1086" s="423" t="s">
        <v>1392</v>
      </c>
      <c r="C1086" s="424">
        <v>97621</v>
      </c>
      <c r="D1086" s="390"/>
      <c r="H1086" s="300"/>
      <c r="J1086" s="387"/>
      <c r="K1086" s="300"/>
      <c r="Q1086" s="300"/>
    </row>
    <row r="1087" spans="1:17">
      <c r="A1087" s="390"/>
      <c r="B1087" s="423" t="s">
        <v>1394</v>
      </c>
      <c r="C1087" s="424">
        <v>97627</v>
      </c>
      <c r="D1087" s="390"/>
      <c r="H1087" s="300"/>
      <c r="J1087" s="387"/>
      <c r="K1087" s="300"/>
      <c r="Q1087" s="300"/>
    </row>
    <row r="1088" spans="1:17">
      <c r="A1088" s="390"/>
      <c r="B1088" s="423" t="s">
        <v>1393</v>
      </c>
      <c r="C1088" s="424">
        <v>97623</v>
      </c>
      <c r="D1088" s="390"/>
      <c r="H1088" s="300"/>
      <c r="J1088" s="387"/>
      <c r="K1088" s="300"/>
      <c r="Q1088" s="300"/>
    </row>
    <row r="1089" spans="1:17">
      <c r="A1089" s="390"/>
      <c r="B1089" s="423" t="s">
        <v>1428</v>
      </c>
      <c r="C1089" s="424">
        <v>97911</v>
      </c>
      <c r="D1089" s="390"/>
      <c r="H1089" s="300"/>
      <c r="J1089" s="387"/>
      <c r="K1089" s="300"/>
      <c r="Q1089" s="300"/>
    </row>
    <row r="1090" spans="1:17">
      <c r="A1090" s="390"/>
      <c r="B1090" s="423" t="s">
        <v>1120</v>
      </c>
      <c r="C1090" s="424">
        <v>94221</v>
      </c>
      <c r="D1090" s="390"/>
      <c r="H1090" s="300"/>
      <c r="J1090" s="387"/>
      <c r="K1090" s="300"/>
      <c r="Q1090" s="300"/>
    </row>
    <row r="1091" spans="1:17">
      <c r="A1091" s="390"/>
      <c r="B1091" s="423" t="s">
        <v>1402</v>
      </c>
      <c r="C1091" s="424">
        <v>97711</v>
      </c>
      <c r="D1091" s="390"/>
      <c r="H1091" s="300"/>
      <c r="J1091" s="387"/>
      <c r="K1091" s="300"/>
      <c r="Q1091" s="300"/>
    </row>
    <row r="1092" spans="1:17">
      <c r="A1092" s="390"/>
      <c r="B1092" s="423" t="s">
        <v>1406</v>
      </c>
      <c r="C1092" s="424">
        <v>97727</v>
      </c>
      <c r="D1092" s="390"/>
      <c r="H1092" s="300"/>
      <c r="J1092" s="387"/>
      <c r="K1092" s="300"/>
      <c r="Q1092" s="300"/>
    </row>
    <row r="1093" spans="1:17">
      <c r="A1093" s="390"/>
      <c r="B1093" s="423" t="s">
        <v>1030</v>
      </c>
      <c r="C1093" s="424">
        <v>93321</v>
      </c>
      <c r="D1093" s="390"/>
      <c r="H1093" s="300"/>
      <c r="J1093" s="388"/>
      <c r="K1093" s="300"/>
      <c r="Q1093" s="300"/>
    </row>
    <row r="1094" spans="1:17">
      <c r="A1094" s="390"/>
      <c r="B1094" s="423" t="s">
        <v>1365</v>
      </c>
      <c r="C1094" s="424">
        <v>97311</v>
      </c>
      <c r="D1094" s="390"/>
      <c r="H1094" s="300"/>
      <c r="J1094" s="387"/>
      <c r="K1094" s="300"/>
      <c r="Q1094" s="300"/>
    </row>
    <row r="1095" spans="1:17">
      <c r="A1095" s="390"/>
      <c r="B1095" s="426" t="s">
        <v>1443</v>
      </c>
      <c r="C1095" s="425">
        <v>98011</v>
      </c>
      <c r="D1095" s="390"/>
      <c r="H1095" s="300"/>
      <c r="J1095" s="387"/>
      <c r="K1095" s="300"/>
      <c r="Q1095" s="300"/>
    </row>
    <row r="1096" spans="1:17">
      <c r="A1096" s="390"/>
      <c r="B1096" s="423" t="s">
        <v>1387</v>
      </c>
      <c r="C1096" s="424">
        <v>97531</v>
      </c>
      <c r="D1096" s="390"/>
      <c r="H1096" s="300"/>
      <c r="J1096" s="388"/>
      <c r="K1096" s="300"/>
      <c r="Q1096" s="300"/>
    </row>
    <row r="1097" spans="1:17">
      <c r="A1097" s="390"/>
      <c r="B1097" s="423" t="s">
        <v>1209</v>
      </c>
      <c r="C1097" s="424">
        <v>95311</v>
      </c>
      <c r="D1097" s="390"/>
      <c r="H1097" s="300"/>
      <c r="J1097" s="387"/>
      <c r="K1097" s="300"/>
      <c r="Q1097" s="300"/>
    </row>
    <row r="1098" spans="1:17">
      <c r="A1098" s="390"/>
      <c r="B1098" s="423" t="s">
        <v>931</v>
      </c>
      <c r="C1098" s="424">
        <v>92311</v>
      </c>
      <c r="D1098" s="390"/>
      <c r="H1098" s="300"/>
      <c r="J1098" s="387"/>
      <c r="K1098" s="300"/>
      <c r="Q1098" s="300"/>
    </row>
    <row r="1099" spans="1:17">
      <c r="A1099" s="390"/>
      <c r="B1099" s="423" t="s">
        <v>804</v>
      </c>
      <c r="C1099" s="424">
        <v>91011</v>
      </c>
      <c r="D1099" s="390"/>
      <c r="H1099" s="300"/>
      <c r="J1099" s="387"/>
      <c r="K1099" s="300"/>
      <c r="Q1099" s="300"/>
    </row>
    <row r="1100" spans="1:17">
      <c r="A1100" s="390"/>
      <c r="B1100" s="423" t="s">
        <v>1171</v>
      </c>
      <c r="C1100" s="424">
        <v>94911</v>
      </c>
      <c r="D1100" s="390"/>
      <c r="H1100" s="300"/>
      <c r="J1100" s="387"/>
      <c r="K1100" s="300"/>
      <c r="Q1100" s="300"/>
    </row>
    <row r="1101" spans="1:17">
      <c r="A1101" s="390"/>
      <c r="B1101" s="423" t="s">
        <v>991</v>
      </c>
      <c r="C1101" s="424">
        <v>92911</v>
      </c>
      <c r="D1101" s="390"/>
      <c r="H1101" s="300"/>
      <c r="J1101" s="387"/>
      <c r="K1101" s="300"/>
      <c r="Q1101" s="300"/>
    </row>
    <row r="1102" spans="1:17">
      <c r="A1102" s="390"/>
      <c r="B1102" s="423" t="s">
        <v>1399</v>
      </c>
      <c r="C1102" s="424">
        <v>97661</v>
      </c>
      <c r="D1102" s="390"/>
      <c r="H1102" s="300"/>
      <c r="J1102" s="387"/>
      <c r="K1102" s="300"/>
      <c r="Q1102" s="300"/>
    </row>
    <row r="1103" spans="1:17">
      <c r="A1103" s="390"/>
      <c r="B1103" s="423" t="s">
        <v>775</v>
      </c>
      <c r="C1103" s="424">
        <v>90711</v>
      </c>
      <c r="D1103" s="390"/>
      <c r="H1103" s="300"/>
      <c r="J1103" s="387"/>
      <c r="K1103" s="300"/>
      <c r="Q1103" s="300"/>
    </row>
    <row r="1104" spans="1:17">
      <c r="A1104" s="390"/>
      <c r="B1104" s="423" t="s">
        <v>940</v>
      </c>
      <c r="C1104" s="424">
        <v>92411</v>
      </c>
      <c r="D1104" s="390"/>
      <c r="H1104" s="300"/>
      <c r="J1104" s="387"/>
      <c r="K1104" s="300"/>
      <c r="Q1104" s="300"/>
    </row>
    <row r="1105" spans="1:17">
      <c r="A1105" s="390"/>
      <c r="B1105" s="423" t="s">
        <v>1310</v>
      </c>
      <c r="C1105" s="424">
        <v>96531</v>
      </c>
      <c r="D1105" s="390"/>
      <c r="H1105" s="300"/>
      <c r="J1105" s="388"/>
      <c r="K1105" s="300"/>
      <c r="Q1105" s="300"/>
    </row>
    <row r="1106" spans="1:17">
      <c r="A1106" s="390"/>
      <c r="B1106" s="423" t="s">
        <v>1600</v>
      </c>
      <c r="C1106" s="424">
        <v>99811</v>
      </c>
      <c r="D1106" s="390"/>
      <c r="H1106" s="300"/>
      <c r="J1106" s="387"/>
      <c r="K1106" s="300"/>
      <c r="Q1106" s="300"/>
    </row>
    <row r="1107" spans="1:17">
      <c r="A1107" s="390"/>
      <c r="B1107" s="423" t="s">
        <v>1602</v>
      </c>
      <c r="C1107" s="424">
        <v>99818</v>
      </c>
      <c r="D1107" s="390"/>
      <c r="H1107" s="300"/>
      <c r="J1107" s="387"/>
      <c r="K1107" s="300"/>
      <c r="Q1107" s="300"/>
    </row>
    <row r="1108" spans="1:17">
      <c r="A1108" s="390"/>
      <c r="B1108" s="423" t="s">
        <v>1040</v>
      </c>
      <c r="C1108" s="424">
        <v>93411</v>
      </c>
      <c r="D1108" s="390"/>
      <c r="H1108" s="300"/>
      <c r="J1108" s="388"/>
      <c r="K1108" s="300"/>
      <c r="Q1108" s="300"/>
    </row>
    <row r="1109" spans="1:17">
      <c r="A1109" s="390"/>
      <c r="B1109" s="423" t="s">
        <v>928</v>
      </c>
      <c r="C1109" s="424">
        <v>92201</v>
      </c>
      <c r="D1109" s="390"/>
      <c r="H1109" s="300"/>
      <c r="J1109" s="387"/>
      <c r="K1109" s="300"/>
      <c r="Q1109" s="300"/>
    </row>
    <row r="1110" spans="1:17">
      <c r="A1110" s="390"/>
      <c r="B1110" s="423" t="s">
        <v>1925</v>
      </c>
      <c r="C1110" s="424">
        <v>92214</v>
      </c>
      <c r="D1110" s="390"/>
      <c r="H1110" s="300"/>
      <c r="J1110" s="387"/>
      <c r="K1110" s="300"/>
      <c r="Q1110" s="300"/>
    </row>
    <row r="1111" spans="1:17">
      <c r="A1111" s="390"/>
      <c r="B1111" s="423" t="s">
        <v>1046</v>
      </c>
      <c r="C1111" s="424">
        <v>93442</v>
      </c>
      <c r="D1111" s="390"/>
      <c r="H1111" s="300"/>
      <c r="J1111" s="387"/>
      <c r="K1111" s="300"/>
      <c r="Q1111" s="300"/>
    </row>
    <row r="1112" spans="1:17">
      <c r="A1112" s="390"/>
      <c r="B1112" s="423" t="s">
        <v>929</v>
      </c>
      <c r="C1112" s="424">
        <v>92301</v>
      </c>
      <c r="D1112" s="390"/>
      <c r="H1112" s="300"/>
      <c r="J1112" s="387"/>
      <c r="K1112" s="300"/>
      <c r="Q1112" s="300"/>
    </row>
    <row r="1113" spans="1:17">
      <c r="A1113" s="390"/>
      <c r="B1113" s="423" t="s">
        <v>930</v>
      </c>
      <c r="C1113" s="424">
        <v>92302</v>
      </c>
      <c r="D1113" s="390"/>
      <c r="H1113" s="300"/>
      <c r="J1113" s="387"/>
      <c r="K1113" s="300"/>
      <c r="Q1113" s="300"/>
    </row>
    <row r="1114" spans="1:17">
      <c r="A1114" s="390"/>
      <c r="B1114" s="423" t="s">
        <v>1469</v>
      </c>
      <c r="C1114" s="424">
        <v>98218</v>
      </c>
      <c r="D1114" s="390"/>
      <c r="H1114" s="300"/>
      <c r="J1114" s="387"/>
      <c r="K1114" s="300"/>
      <c r="Q1114" s="300"/>
    </row>
    <row r="1115" spans="1:17">
      <c r="A1115" s="390"/>
      <c r="B1115" s="423" t="s">
        <v>953</v>
      </c>
      <c r="C1115" s="424">
        <v>92506</v>
      </c>
      <c r="D1115" s="390"/>
      <c r="H1115" s="300"/>
      <c r="J1115" s="387"/>
      <c r="K1115" s="300"/>
      <c r="Q1115" s="300"/>
    </row>
    <row r="1116" spans="1:17">
      <c r="A1116" s="390"/>
      <c r="B1116" s="423" t="s">
        <v>955</v>
      </c>
      <c r="C1116" s="424">
        <v>92508</v>
      </c>
      <c r="D1116" s="390"/>
      <c r="H1116" s="300"/>
      <c r="J1116" s="387"/>
      <c r="K1116" s="300"/>
      <c r="Q1116" s="300"/>
    </row>
    <row r="1117" spans="1:17">
      <c r="A1117" s="390"/>
      <c r="B1117" s="423" t="s">
        <v>1112</v>
      </c>
      <c r="C1117" s="424">
        <v>94168</v>
      </c>
      <c r="D1117" s="390"/>
      <c r="H1117" s="300"/>
      <c r="J1117" s="388"/>
      <c r="K1117" s="300"/>
      <c r="Q1117" s="300"/>
    </row>
    <row r="1118" spans="1:17">
      <c r="A1118" s="390"/>
      <c r="B1118" s="423" t="s">
        <v>1637</v>
      </c>
      <c r="C1118" s="424">
        <v>97527</v>
      </c>
      <c r="D1118" s="390"/>
      <c r="H1118" s="300"/>
      <c r="J1118" s="387"/>
      <c r="K1118" s="300"/>
      <c r="Q1118" s="300"/>
    </row>
    <row r="1119" spans="1:17">
      <c r="A1119" s="390"/>
      <c r="B1119" s="423" t="s">
        <v>938</v>
      </c>
      <c r="C1119" s="424">
        <v>92401</v>
      </c>
      <c r="D1119" s="390"/>
      <c r="H1119" s="300"/>
      <c r="J1119" s="387"/>
      <c r="K1119" s="300"/>
      <c r="Q1119" s="300"/>
    </row>
    <row r="1120" spans="1:17">
      <c r="A1120" s="390"/>
      <c r="B1120" s="423" t="s">
        <v>863</v>
      </c>
      <c r="C1120" s="424">
        <v>91317</v>
      </c>
      <c r="D1120" s="390"/>
      <c r="H1120" s="300"/>
      <c r="J1120" s="388"/>
      <c r="K1120" s="300"/>
      <c r="Q1120" s="300"/>
    </row>
    <row r="1121" spans="1:17">
      <c r="A1121" s="390"/>
      <c r="B1121" s="423" t="s">
        <v>1370</v>
      </c>
      <c r="C1121" s="424">
        <v>97408</v>
      </c>
      <c r="D1121" s="390"/>
      <c r="H1121" s="300"/>
      <c r="J1121" s="387"/>
      <c r="K1121" s="300"/>
      <c r="Q1121" s="300"/>
    </row>
    <row r="1122" spans="1:17">
      <c r="A1122" s="390"/>
      <c r="B1122" s="423" t="s">
        <v>1001</v>
      </c>
      <c r="C1122" s="424">
        <v>93027</v>
      </c>
      <c r="D1122" s="390"/>
      <c r="H1122" s="300"/>
      <c r="J1122" s="387"/>
      <c r="K1122" s="300"/>
      <c r="Q1122" s="300"/>
    </row>
    <row r="1123" spans="1:17">
      <c r="A1123" s="390"/>
      <c r="B1123" s="423" t="s">
        <v>1926</v>
      </c>
      <c r="C1123" s="424">
        <v>93604</v>
      </c>
      <c r="D1123" s="390"/>
      <c r="H1123" s="300"/>
      <c r="J1123" s="387"/>
      <c r="K1123" s="300"/>
      <c r="Q1123" s="300"/>
    </row>
    <row r="1124" spans="1:17">
      <c r="A1124" s="390"/>
      <c r="B1124" s="423" t="s">
        <v>951</v>
      </c>
      <c r="C1124" s="424">
        <v>92504</v>
      </c>
      <c r="D1124" s="390"/>
      <c r="H1124" s="300"/>
      <c r="J1124" s="387"/>
      <c r="K1124" s="300"/>
      <c r="Q1124" s="300"/>
    </row>
    <row r="1125" spans="1:17">
      <c r="A1125" s="390"/>
      <c r="B1125" s="423" t="s">
        <v>949</v>
      </c>
      <c r="C1125" s="424">
        <v>92501</v>
      </c>
      <c r="D1125" s="390"/>
      <c r="H1125" s="300"/>
      <c r="J1125" s="387"/>
      <c r="K1125" s="300"/>
      <c r="Q1125" s="300"/>
    </row>
    <row r="1126" spans="1:17">
      <c r="A1126" s="390"/>
      <c r="B1126" s="423" t="s">
        <v>952</v>
      </c>
      <c r="C1126" s="424">
        <v>92505</v>
      </c>
      <c r="D1126" s="390"/>
      <c r="H1126" s="300"/>
      <c r="J1126" s="387"/>
      <c r="K1126" s="300"/>
      <c r="Q1126" s="300"/>
    </row>
    <row r="1127" spans="1:17">
      <c r="A1127" s="390"/>
      <c r="B1127" s="423" t="s">
        <v>966</v>
      </c>
      <c r="C1127" s="424">
        <v>92604</v>
      </c>
      <c r="D1127" s="390"/>
      <c r="H1127" s="300"/>
      <c r="J1127" s="387"/>
      <c r="K1127" s="300"/>
      <c r="Q1127" s="300"/>
    </row>
    <row r="1128" spans="1:17">
      <c r="A1128" s="390"/>
      <c r="B1128" s="423" t="s">
        <v>964</v>
      </c>
      <c r="C1128" s="424">
        <v>92601</v>
      </c>
      <c r="D1128" s="390"/>
      <c r="H1128" s="300"/>
      <c r="J1128" s="387"/>
      <c r="K1128" s="300"/>
      <c r="Q1128" s="300"/>
    </row>
    <row r="1129" spans="1:17">
      <c r="A1129" s="390"/>
      <c r="B1129" s="423" t="s">
        <v>980</v>
      </c>
      <c r="C1129" s="424">
        <v>92704</v>
      </c>
      <c r="D1129" s="390"/>
      <c r="H1129" s="300"/>
      <c r="J1129" s="388"/>
      <c r="K1129" s="300"/>
      <c r="Q1129" s="300"/>
    </row>
    <row r="1130" spans="1:17">
      <c r="A1130" s="390"/>
      <c r="B1130" s="423" t="s">
        <v>979</v>
      </c>
      <c r="C1130" s="424">
        <v>92701</v>
      </c>
      <c r="D1130" s="390"/>
      <c r="H1130" s="300"/>
      <c r="J1130" s="387"/>
      <c r="K1130" s="300"/>
      <c r="Q1130" s="300"/>
    </row>
    <row r="1131" spans="1:17">
      <c r="A1131" s="390"/>
      <c r="B1131" s="423" t="s">
        <v>981</v>
      </c>
      <c r="C1131" s="424">
        <v>92801</v>
      </c>
      <c r="D1131" s="390"/>
      <c r="H1131" s="300"/>
      <c r="J1131" s="387"/>
      <c r="K1131" s="300"/>
      <c r="Q1131" s="300"/>
    </row>
    <row r="1132" spans="1:17">
      <c r="A1132" s="390"/>
      <c r="B1132" s="423" t="s">
        <v>983</v>
      </c>
      <c r="C1132" s="424">
        <v>92804</v>
      </c>
      <c r="D1132" s="390"/>
      <c r="H1132" s="300"/>
      <c r="J1132" s="388"/>
      <c r="K1132" s="300"/>
      <c r="Q1132" s="300"/>
    </row>
    <row r="1133" spans="1:17">
      <c r="A1133" s="390"/>
      <c r="B1133" s="423" t="s">
        <v>982</v>
      </c>
      <c r="C1133" s="424">
        <v>92802</v>
      </c>
      <c r="D1133" s="390"/>
      <c r="H1133" s="300"/>
      <c r="J1133" s="387"/>
      <c r="K1133" s="300"/>
      <c r="Q1133" s="300"/>
    </row>
    <row r="1134" spans="1:17">
      <c r="A1134" s="390"/>
      <c r="B1134" s="423" t="s">
        <v>990</v>
      </c>
      <c r="C1134" s="424">
        <v>92901</v>
      </c>
      <c r="D1134" s="390"/>
      <c r="H1134" s="300"/>
      <c r="J1134" s="387"/>
      <c r="K1134" s="300"/>
      <c r="Q1134" s="300"/>
    </row>
    <row r="1135" spans="1:17">
      <c r="A1135" s="390"/>
      <c r="B1135" s="423" t="s">
        <v>997</v>
      </c>
      <c r="C1135" s="424">
        <v>93001</v>
      </c>
      <c r="D1135" s="390"/>
      <c r="H1135" s="300"/>
      <c r="J1135" s="387"/>
      <c r="K1135" s="300"/>
      <c r="Q1135" s="300"/>
    </row>
    <row r="1136" spans="1:17">
      <c r="A1136" s="390"/>
      <c r="B1136" s="423" t="s">
        <v>998</v>
      </c>
      <c r="C1136" s="424">
        <v>93009</v>
      </c>
      <c r="D1136" s="390"/>
      <c r="H1136" s="300"/>
      <c r="J1136" s="387"/>
      <c r="K1136" s="300"/>
      <c r="Q1136" s="300"/>
    </row>
    <row r="1137" spans="1:17">
      <c r="A1137" s="390"/>
      <c r="B1137" s="423" t="s">
        <v>1505</v>
      </c>
      <c r="C1137" s="424">
        <v>98627</v>
      </c>
      <c r="D1137" s="390"/>
      <c r="H1137" s="300"/>
      <c r="J1137" s="387"/>
      <c r="K1137" s="300"/>
      <c r="Q1137" s="300"/>
    </row>
    <row r="1138" spans="1:17">
      <c r="A1138" s="390"/>
      <c r="B1138" s="423" t="s">
        <v>1128</v>
      </c>
      <c r="C1138" s="424">
        <v>94317</v>
      </c>
      <c r="D1138" s="390"/>
      <c r="H1138" s="300"/>
      <c r="J1138" s="387"/>
      <c r="K1138" s="300"/>
      <c r="Q1138" s="300"/>
    </row>
    <row r="1139" spans="1:17">
      <c r="A1139" s="390"/>
      <c r="B1139" s="423" t="s">
        <v>1127</v>
      </c>
      <c r="C1139" s="424">
        <v>94313</v>
      </c>
      <c r="D1139" s="390"/>
      <c r="H1139" s="300"/>
      <c r="J1139" s="387"/>
      <c r="K1139" s="300"/>
      <c r="Q1139" s="300"/>
    </row>
    <row r="1140" spans="1:17">
      <c r="A1140" s="390"/>
      <c r="B1140" s="423" t="s">
        <v>1003</v>
      </c>
      <c r="C1140" s="424">
        <v>93101</v>
      </c>
      <c r="D1140" s="390"/>
      <c r="H1140" s="300"/>
      <c r="J1140" s="387"/>
      <c r="K1140" s="300"/>
      <c r="Q1140" s="300"/>
    </row>
    <row r="1141" spans="1:17">
      <c r="A1141" s="390"/>
      <c r="B1141" s="423" t="s">
        <v>260</v>
      </c>
      <c r="C1141" s="424">
        <v>93103</v>
      </c>
      <c r="D1141" s="390"/>
      <c r="H1141" s="300"/>
      <c r="J1141" s="388"/>
      <c r="K1141" s="300"/>
      <c r="Q1141" s="300"/>
    </row>
    <row r="1142" spans="1:17">
      <c r="A1142" s="390"/>
      <c r="B1142" s="423" t="s">
        <v>1022</v>
      </c>
      <c r="C1142" s="424">
        <v>93212</v>
      </c>
      <c r="D1142" s="390"/>
      <c r="H1142" s="300"/>
      <c r="J1142" s="387"/>
      <c r="K1142" s="300"/>
      <c r="Q1142" s="300"/>
    </row>
    <row r="1143" spans="1:17">
      <c r="A1143" s="390"/>
      <c r="B1143" s="423" t="s">
        <v>1017</v>
      </c>
      <c r="C1143" s="424">
        <v>93201</v>
      </c>
      <c r="D1143" s="390"/>
      <c r="H1143" s="300"/>
      <c r="J1143" s="387"/>
      <c r="K1143" s="300"/>
      <c r="Q1143" s="300"/>
    </row>
    <row r="1144" spans="1:17">
      <c r="A1144" s="390"/>
      <c r="B1144" s="423" t="s">
        <v>1019</v>
      </c>
      <c r="C1144" s="424">
        <v>93204</v>
      </c>
      <c r="D1144" s="390"/>
      <c r="H1144" s="300"/>
      <c r="J1144" s="388"/>
      <c r="K1144" s="300"/>
      <c r="Q1144" s="300"/>
    </row>
    <row r="1145" spans="1:17">
      <c r="A1145" s="390"/>
      <c r="B1145" s="423" t="s">
        <v>1546</v>
      </c>
      <c r="C1145" s="424">
        <v>99212</v>
      </c>
      <c r="D1145" s="390"/>
      <c r="H1145" s="300"/>
      <c r="J1145" s="387"/>
      <c r="K1145" s="300"/>
      <c r="Q1145" s="300"/>
    </row>
    <row r="1146" spans="1:17">
      <c r="A1146" s="390"/>
      <c r="B1146" s="423" t="s">
        <v>1345</v>
      </c>
      <c r="C1146" s="424">
        <v>97005</v>
      </c>
      <c r="D1146" s="390"/>
      <c r="H1146" s="300"/>
      <c r="J1146" s="387"/>
      <c r="K1146" s="300"/>
      <c r="Q1146" s="300"/>
    </row>
    <row r="1147" spans="1:17">
      <c r="A1147" s="390"/>
      <c r="B1147" s="423" t="s">
        <v>1446</v>
      </c>
      <c r="C1147" s="424">
        <v>98023</v>
      </c>
      <c r="D1147" s="390"/>
      <c r="H1147" s="300"/>
      <c r="J1147" s="387"/>
      <c r="K1147" s="300"/>
      <c r="Q1147" s="300"/>
    </row>
    <row r="1148" spans="1:17">
      <c r="A1148" s="390"/>
      <c r="B1148" s="423" t="s">
        <v>1580</v>
      </c>
      <c r="C1148" s="424">
        <v>99603</v>
      </c>
      <c r="D1148" s="390"/>
      <c r="H1148" s="300"/>
      <c r="J1148" s="387"/>
      <c r="K1148" s="300"/>
      <c r="Q1148" s="300"/>
    </row>
    <row r="1149" spans="1:17">
      <c r="A1149" s="390"/>
      <c r="B1149" s="423" t="s">
        <v>1583</v>
      </c>
      <c r="C1149" s="424">
        <v>99610</v>
      </c>
      <c r="D1149" s="390"/>
      <c r="H1149" s="300"/>
      <c r="J1149" s="387"/>
      <c r="K1149" s="300"/>
      <c r="Q1149" s="300"/>
    </row>
    <row r="1150" spans="1:17">
      <c r="A1150" s="390"/>
      <c r="B1150" s="423" t="s">
        <v>1004</v>
      </c>
      <c r="C1150" s="424">
        <v>93108</v>
      </c>
      <c r="D1150" s="390"/>
      <c r="H1150" s="300"/>
      <c r="J1150" s="387"/>
      <c r="K1150" s="300"/>
      <c r="Q1150" s="300"/>
    </row>
    <row r="1151" spans="1:17">
      <c r="A1151" s="390"/>
      <c r="B1151" s="423" t="s">
        <v>1437</v>
      </c>
      <c r="C1151" s="424">
        <v>97957</v>
      </c>
      <c r="D1151" s="390"/>
      <c r="H1151" s="300"/>
      <c r="J1151" s="387"/>
      <c r="K1151" s="300"/>
      <c r="Q1151" s="300"/>
    </row>
    <row r="1152" spans="1:17">
      <c r="A1152" s="390"/>
      <c r="B1152" s="423" t="s">
        <v>1024</v>
      </c>
      <c r="C1152" s="424">
        <v>93301</v>
      </c>
      <c r="D1152" s="390"/>
      <c r="H1152" s="300"/>
      <c r="J1152" s="387"/>
      <c r="K1152" s="300"/>
      <c r="Q1152" s="300"/>
    </row>
    <row r="1153" spans="1:17">
      <c r="A1153" s="390"/>
      <c r="B1153" s="423" t="s">
        <v>1025</v>
      </c>
      <c r="C1153" s="424">
        <v>93304</v>
      </c>
      <c r="D1153" s="390"/>
      <c r="H1153" s="300"/>
      <c r="J1153" s="388"/>
      <c r="K1153" s="300"/>
      <c r="Q1153" s="300"/>
    </row>
    <row r="1154" spans="1:17">
      <c r="A1154" s="390"/>
      <c r="B1154" s="423" t="s">
        <v>1026</v>
      </c>
      <c r="C1154" s="424">
        <v>93305</v>
      </c>
      <c r="D1154" s="390"/>
      <c r="H1154" s="300"/>
      <c r="J1154" s="387"/>
      <c r="K1154" s="300"/>
      <c r="Q1154" s="300"/>
    </row>
    <row r="1155" spans="1:17">
      <c r="A1155" s="390"/>
      <c r="B1155" s="423" t="s">
        <v>1544</v>
      </c>
      <c r="C1155" s="424">
        <v>99210</v>
      </c>
      <c r="D1155" s="390"/>
      <c r="H1155" s="300"/>
      <c r="J1155" s="387"/>
      <c r="K1155" s="300"/>
      <c r="Q1155" s="300"/>
    </row>
    <row r="1156" spans="1:17">
      <c r="A1156" s="390"/>
      <c r="B1156" s="423" t="s">
        <v>1348</v>
      </c>
      <c r="C1156" s="424">
        <v>97011</v>
      </c>
      <c r="D1156" s="390"/>
      <c r="H1156" s="300"/>
      <c r="J1156" s="388"/>
      <c r="K1156" s="300"/>
      <c r="Q1156" s="300"/>
    </row>
    <row r="1157" spans="1:17">
      <c r="A1157" s="390"/>
      <c r="B1157" s="423" t="s">
        <v>1350</v>
      </c>
      <c r="C1157" s="424">
        <v>97013</v>
      </c>
      <c r="D1157" s="390"/>
      <c r="H1157" s="300"/>
      <c r="J1157" s="387"/>
      <c r="K1157" s="300"/>
      <c r="Q1157" s="300"/>
    </row>
    <row r="1158" spans="1:17">
      <c r="A1158" s="390"/>
      <c r="B1158" s="423" t="s">
        <v>1349</v>
      </c>
      <c r="C1158" s="424">
        <v>97012</v>
      </c>
      <c r="D1158" s="390"/>
      <c r="H1158" s="300"/>
      <c r="J1158" s="387"/>
      <c r="K1158" s="300"/>
      <c r="Q1158" s="300"/>
    </row>
    <row r="1159" spans="1:17">
      <c r="A1159" s="390"/>
      <c r="B1159" s="423" t="s">
        <v>1352</v>
      </c>
      <c r="C1159" s="424">
        <v>97018</v>
      </c>
      <c r="D1159" s="390"/>
      <c r="H1159" s="300"/>
      <c r="J1159" s="387"/>
      <c r="K1159" s="300"/>
      <c r="Q1159" s="300"/>
    </row>
    <row r="1160" spans="1:17">
      <c r="A1160" s="390"/>
      <c r="B1160" s="423" t="s">
        <v>790</v>
      </c>
      <c r="C1160" s="424">
        <v>90917</v>
      </c>
      <c r="D1160" s="390"/>
      <c r="H1160" s="300"/>
      <c r="J1160" s="387"/>
      <c r="K1160" s="300"/>
      <c r="Q1160" s="300"/>
    </row>
    <row r="1161" spans="1:17">
      <c r="A1161" s="390"/>
      <c r="B1161" s="423" t="s">
        <v>1416</v>
      </c>
      <c r="C1161" s="424">
        <v>97823</v>
      </c>
      <c r="D1161" s="390"/>
      <c r="H1161" s="300"/>
      <c r="J1161" s="387"/>
      <c r="K1161" s="300"/>
      <c r="Q1161" s="300"/>
    </row>
    <row r="1162" spans="1:17">
      <c r="A1162" s="390"/>
      <c r="B1162" s="423" t="s">
        <v>1375</v>
      </c>
      <c r="C1162" s="424">
        <v>97423</v>
      </c>
      <c r="D1162" s="390"/>
      <c r="H1162" s="300"/>
      <c r="J1162" s="388"/>
      <c r="K1162" s="300"/>
      <c r="Q1162" s="300"/>
    </row>
    <row r="1163" spans="1:17">
      <c r="A1163" s="390"/>
      <c r="B1163" s="423" t="s">
        <v>970</v>
      </c>
      <c r="C1163" s="424">
        <v>92613</v>
      </c>
      <c r="D1163" s="390"/>
      <c r="H1163" s="300"/>
      <c r="J1163" s="387"/>
      <c r="K1163" s="300"/>
      <c r="Q1163" s="300"/>
    </row>
    <row r="1164" spans="1:17">
      <c r="A1164" s="390"/>
      <c r="B1164" s="423" t="s">
        <v>950</v>
      </c>
      <c r="C1164" s="424">
        <v>92502</v>
      </c>
      <c r="D1164" s="390"/>
      <c r="H1164" s="300"/>
      <c r="J1164" s="387"/>
      <c r="K1164" s="300"/>
      <c r="Q1164" s="300"/>
    </row>
    <row r="1165" spans="1:17">
      <c r="A1165" s="390"/>
      <c r="B1165" s="423" t="s">
        <v>1154</v>
      </c>
      <c r="C1165" s="424">
        <v>94547</v>
      </c>
      <c r="D1165" s="390"/>
      <c r="H1165" s="300"/>
      <c r="J1165" s="387"/>
      <c r="K1165" s="300"/>
      <c r="Q1165" s="300"/>
    </row>
    <row r="1166" spans="1:17">
      <c r="A1166" s="390"/>
      <c r="B1166" s="423" t="s">
        <v>1180</v>
      </c>
      <c r="C1166" s="424">
        <v>95005</v>
      </c>
      <c r="D1166" s="390"/>
      <c r="H1166" s="300"/>
      <c r="J1166" s="387"/>
      <c r="K1166" s="300"/>
      <c r="Q1166" s="300"/>
    </row>
    <row r="1167" spans="1:17">
      <c r="A1167" s="390"/>
      <c r="B1167" s="423" t="s">
        <v>3725</v>
      </c>
      <c r="C1167" s="424">
        <v>98103</v>
      </c>
      <c r="D1167" s="390"/>
      <c r="H1167" s="300"/>
      <c r="J1167" s="387"/>
      <c r="K1167" s="300"/>
      <c r="Q1167" s="300"/>
    </row>
    <row r="1168" spans="1:17">
      <c r="A1168" s="390"/>
      <c r="B1168" s="423" t="s">
        <v>1457</v>
      </c>
      <c r="C1168" s="424">
        <v>98107</v>
      </c>
      <c r="D1168" s="390"/>
      <c r="H1168" s="300"/>
      <c r="J1168" s="387"/>
      <c r="K1168" s="300"/>
      <c r="Q1168" s="300"/>
    </row>
    <row r="1169" spans="1:17">
      <c r="A1169" s="390"/>
      <c r="B1169" s="423" t="s">
        <v>1460</v>
      </c>
      <c r="C1169" s="424">
        <v>98113</v>
      </c>
      <c r="D1169" s="390"/>
      <c r="H1169" s="300"/>
      <c r="J1169" s="387"/>
      <c r="K1169" s="300"/>
      <c r="Q1169" s="300"/>
    </row>
    <row r="1170" spans="1:17">
      <c r="A1170" s="390"/>
      <c r="B1170" s="423" t="s">
        <v>1579</v>
      </c>
      <c r="C1170" s="424">
        <v>99602</v>
      </c>
      <c r="D1170" s="390"/>
      <c r="H1170" s="300"/>
      <c r="J1170" s="387"/>
      <c r="K1170" s="300"/>
      <c r="Q1170" s="300"/>
    </row>
    <row r="1171" spans="1:17">
      <c r="A1171" s="390"/>
      <c r="B1171" s="423" t="s">
        <v>1036</v>
      </c>
      <c r="C1171" s="424">
        <v>93401</v>
      </c>
      <c r="D1171" s="390"/>
      <c r="H1171" s="300"/>
      <c r="J1171" s="388"/>
      <c r="K1171" s="300"/>
      <c r="Q1171" s="300"/>
    </row>
    <row r="1172" spans="1:17">
      <c r="A1172" s="390"/>
      <c r="B1172" s="423" t="s">
        <v>1290</v>
      </c>
      <c r="C1172" s="424">
        <v>96381</v>
      </c>
      <c r="D1172" s="390"/>
      <c r="H1172" s="300"/>
      <c r="J1172" s="387"/>
      <c r="K1172" s="300"/>
      <c r="Q1172" s="300"/>
    </row>
    <row r="1173" spans="1:17">
      <c r="A1173" s="390"/>
      <c r="B1173" s="423" t="s">
        <v>1050</v>
      </c>
      <c r="C1173" s="424">
        <v>93501</v>
      </c>
      <c r="D1173" s="390"/>
      <c r="H1173" s="300"/>
      <c r="J1173" s="387"/>
      <c r="K1173" s="300"/>
      <c r="Q1173" s="300"/>
    </row>
    <row r="1174" spans="1:17">
      <c r="A1174" s="390"/>
      <c r="B1174" s="423" t="s">
        <v>1052</v>
      </c>
      <c r="C1174" s="424">
        <v>93517</v>
      </c>
      <c r="D1174" s="390"/>
      <c r="H1174" s="300"/>
      <c r="J1174" s="388"/>
      <c r="K1174" s="300"/>
      <c r="Q1174" s="300"/>
    </row>
    <row r="1175" spans="1:17">
      <c r="A1175" s="390"/>
      <c r="B1175" s="426" t="s">
        <v>1554</v>
      </c>
      <c r="C1175" s="425">
        <v>99252</v>
      </c>
      <c r="D1175" s="390"/>
      <c r="H1175" s="300"/>
      <c r="J1175" s="387"/>
      <c r="K1175" s="300"/>
      <c r="Q1175" s="300"/>
    </row>
    <row r="1176" spans="1:17">
      <c r="A1176" s="390"/>
      <c r="B1176" s="423" t="s">
        <v>1058</v>
      </c>
      <c r="C1176" s="424">
        <v>93601</v>
      </c>
      <c r="D1176" s="390"/>
      <c r="H1176" s="300"/>
      <c r="J1176" s="387"/>
      <c r="K1176" s="300"/>
      <c r="Q1176" s="300"/>
    </row>
    <row r="1177" spans="1:17">
      <c r="A1177" s="390"/>
      <c r="B1177" s="423" t="s">
        <v>1064</v>
      </c>
      <c r="C1177" s="424">
        <v>93618</v>
      </c>
      <c r="D1177" s="390"/>
      <c r="H1177" s="300"/>
      <c r="J1177" s="387"/>
      <c r="K1177" s="300"/>
      <c r="Q1177" s="300"/>
    </row>
    <row r="1178" spans="1:17">
      <c r="A1178" s="390"/>
      <c r="B1178" s="423" t="s">
        <v>1063</v>
      </c>
      <c r="C1178" s="424">
        <v>93617</v>
      </c>
      <c r="D1178" s="390"/>
      <c r="H1178" s="300"/>
      <c r="J1178" s="387"/>
      <c r="K1178" s="300"/>
      <c r="Q1178" s="300"/>
    </row>
    <row r="1179" spans="1:17">
      <c r="A1179" s="390"/>
      <c r="B1179" s="423" t="s">
        <v>1075</v>
      </c>
      <c r="C1179" s="424">
        <v>93701</v>
      </c>
      <c r="D1179" s="390"/>
      <c r="H1179" s="300"/>
      <c r="J1179" s="387"/>
      <c r="K1179" s="300"/>
      <c r="Q1179" s="300"/>
    </row>
    <row r="1180" spans="1:17">
      <c r="A1180" s="390"/>
      <c r="B1180" s="423" t="s">
        <v>1076</v>
      </c>
      <c r="C1180" s="424">
        <v>93704</v>
      </c>
      <c r="D1180" s="390"/>
      <c r="H1180" s="300"/>
      <c r="J1180" s="387"/>
      <c r="K1180" s="300"/>
      <c r="Q1180" s="300"/>
    </row>
    <row r="1181" spans="1:17">
      <c r="A1181" s="390"/>
      <c r="B1181" s="423" t="s">
        <v>1110</v>
      </c>
      <c r="C1181" s="424">
        <v>94157</v>
      </c>
      <c r="D1181" s="390"/>
      <c r="H1181" s="300"/>
      <c r="J1181" s="387"/>
      <c r="K1181" s="300"/>
      <c r="Q1181" s="300"/>
    </row>
    <row r="1182" spans="1:17">
      <c r="A1182" s="390"/>
      <c r="B1182" s="423" t="s">
        <v>914</v>
      </c>
      <c r="C1182" s="424">
        <v>91908</v>
      </c>
      <c r="D1182" s="390"/>
      <c r="H1182" s="300"/>
      <c r="J1182" s="387"/>
      <c r="K1182" s="300"/>
      <c r="Q1182" s="300"/>
    </row>
    <row r="1183" spans="1:17">
      <c r="A1183" s="390"/>
      <c r="B1183" s="423" t="s">
        <v>1078</v>
      </c>
      <c r="C1183" s="424">
        <v>93803</v>
      </c>
      <c r="D1183" s="390"/>
      <c r="H1183" s="300"/>
      <c r="J1183" s="388"/>
      <c r="K1183" s="300"/>
      <c r="Q1183" s="300"/>
    </row>
    <row r="1184" spans="1:17">
      <c r="A1184" s="390"/>
      <c r="B1184" s="423" t="s">
        <v>1077</v>
      </c>
      <c r="C1184" s="424">
        <v>93801</v>
      </c>
      <c r="D1184" s="390"/>
      <c r="H1184" s="300"/>
      <c r="J1184" s="387"/>
      <c r="K1184" s="300"/>
      <c r="Q1184" s="300"/>
    </row>
    <row r="1185" spans="1:17">
      <c r="A1185" s="390"/>
      <c r="B1185" s="423" t="s">
        <v>1079</v>
      </c>
      <c r="C1185" s="424">
        <v>93806</v>
      </c>
      <c r="D1185" s="390"/>
      <c r="H1185" s="300"/>
      <c r="J1185" s="387"/>
      <c r="K1185" s="300"/>
      <c r="Q1185" s="300"/>
    </row>
    <row r="1186" spans="1:17">
      <c r="A1186" s="390"/>
      <c r="B1186" s="423" t="s">
        <v>870</v>
      </c>
      <c r="C1186" s="424">
        <v>91417</v>
      </c>
      <c r="D1186" s="390"/>
      <c r="H1186" s="300"/>
      <c r="J1186" s="388"/>
      <c r="K1186" s="300"/>
      <c r="Q1186" s="300"/>
    </row>
    <row r="1187" spans="1:17">
      <c r="A1187" s="390"/>
      <c r="B1187" s="423" t="s">
        <v>1082</v>
      </c>
      <c r="C1187" s="424">
        <v>93904</v>
      </c>
      <c r="D1187" s="390"/>
      <c r="H1187" s="300"/>
      <c r="J1187" s="387"/>
      <c r="K1187" s="300"/>
      <c r="Q1187" s="300"/>
    </row>
    <row r="1188" spans="1:17">
      <c r="A1188" s="390"/>
      <c r="B1188" s="423" t="s">
        <v>1081</v>
      </c>
      <c r="C1188" s="424">
        <v>93901</v>
      </c>
      <c r="D1188" s="390"/>
      <c r="H1188" s="300"/>
      <c r="J1188" s="387"/>
      <c r="K1188" s="300"/>
      <c r="Q1188" s="300"/>
    </row>
    <row r="1189" spans="1:17">
      <c r="A1189" s="390"/>
      <c r="B1189" s="423" t="s">
        <v>1083</v>
      </c>
      <c r="C1189" s="424">
        <v>93906</v>
      </c>
      <c r="D1189" s="390"/>
      <c r="H1189" s="300"/>
      <c r="J1189" s="387"/>
      <c r="K1189" s="300"/>
      <c r="Q1189" s="300"/>
    </row>
    <row r="1190" spans="1:17">
      <c r="A1190" s="390"/>
      <c r="B1190" s="423" t="s">
        <v>1084</v>
      </c>
      <c r="C1190" s="424">
        <v>93908</v>
      </c>
      <c r="D1190" s="390"/>
      <c r="H1190" s="300"/>
      <c r="J1190" s="387"/>
      <c r="K1190" s="300"/>
      <c r="Q1190" s="300"/>
    </row>
    <row r="1191" spans="1:17">
      <c r="A1191" s="390"/>
      <c r="B1191" s="423" t="s">
        <v>1091</v>
      </c>
      <c r="C1191" s="424">
        <v>94001</v>
      </c>
      <c r="D1191" s="390"/>
      <c r="H1191" s="300"/>
      <c r="J1191" s="387"/>
      <c r="K1191" s="300"/>
      <c r="Q1191" s="300"/>
    </row>
    <row r="1192" spans="1:17">
      <c r="A1192" s="390"/>
      <c r="B1192" s="423" t="s">
        <v>1093</v>
      </c>
      <c r="C1192" s="424">
        <v>94004</v>
      </c>
      <c r="D1192" s="390"/>
      <c r="H1192" s="300"/>
      <c r="J1192" s="387"/>
      <c r="K1192" s="300"/>
      <c r="Q1192" s="300"/>
    </row>
    <row r="1193" spans="1:17">
      <c r="A1193" s="390"/>
      <c r="B1193" s="423" t="s">
        <v>1104</v>
      </c>
      <c r="C1193" s="424">
        <v>94117</v>
      </c>
      <c r="D1193" s="390"/>
      <c r="H1193" s="300"/>
      <c r="J1193" s="387"/>
      <c r="K1193" s="300"/>
      <c r="Q1193" s="300"/>
    </row>
    <row r="1194" spans="1:17">
      <c r="A1194" s="390"/>
      <c r="B1194" s="423" t="s">
        <v>1373</v>
      </c>
      <c r="C1194" s="424">
        <v>97413</v>
      </c>
      <c r="D1194" s="390"/>
      <c r="H1194" s="300"/>
      <c r="J1194" s="387"/>
      <c r="K1194" s="300"/>
      <c r="Q1194" s="300"/>
    </row>
    <row r="1195" spans="1:17">
      <c r="A1195" s="390"/>
      <c r="B1195" s="423" t="s">
        <v>1372</v>
      </c>
      <c r="C1195" s="424">
        <v>97412</v>
      </c>
      <c r="D1195" s="390"/>
      <c r="H1195" s="300"/>
      <c r="J1195" s="388"/>
      <c r="K1195" s="300"/>
      <c r="Q1195" s="300"/>
    </row>
    <row r="1196" spans="1:17">
      <c r="A1196" s="390"/>
      <c r="B1196" s="423" t="s">
        <v>1098</v>
      </c>
      <c r="C1196" s="424">
        <v>94101</v>
      </c>
      <c r="D1196" s="390"/>
      <c r="H1196" s="300"/>
      <c r="J1196" s="387"/>
      <c r="K1196" s="300"/>
      <c r="Q1196" s="300"/>
    </row>
    <row r="1197" spans="1:17">
      <c r="A1197" s="390"/>
      <c r="B1197" s="423" t="s">
        <v>1105</v>
      </c>
      <c r="C1197" s="424">
        <v>94118</v>
      </c>
      <c r="D1197" s="390"/>
      <c r="H1197" s="300"/>
      <c r="J1197" s="387"/>
      <c r="K1197" s="300"/>
      <c r="Q1197" s="300"/>
    </row>
    <row r="1198" spans="1:17">
      <c r="A1198" s="390"/>
      <c r="B1198" s="423" t="s">
        <v>1099</v>
      </c>
      <c r="C1198" s="424">
        <v>94102</v>
      </c>
      <c r="D1198" s="390"/>
      <c r="H1198" s="300"/>
      <c r="J1198" s="388"/>
      <c r="K1198" s="300"/>
      <c r="Q1198" s="300"/>
    </row>
    <row r="1199" spans="1:17">
      <c r="A1199" s="390"/>
      <c r="B1199" s="427" t="s">
        <v>1115</v>
      </c>
      <c r="C1199" s="428">
        <v>94201</v>
      </c>
      <c r="D1199" s="390"/>
      <c r="H1199" s="300"/>
      <c r="J1199" s="387"/>
      <c r="K1199" s="300"/>
      <c r="Q1199" s="300"/>
    </row>
    <row r="1200" spans="1:17">
      <c r="A1200" s="390"/>
      <c r="B1200" s="423" t="s">
        <v>1116</v>
      </c>
      <c r="C1200" s="424">
        <v>94204</v>
      </c>
      <c r="D1200" s="390"/>
      <c r="H1200" s="300"/>
      <c r="J1200" s="387"/>
      <c r="K1200" s="300"/>
      <c r="Q1200" s="300"/>
    </row>
    <row r="1201" spans="1:17">
      <c r="A1201" s="390"/>
      <c r="B1201" s="423" t="s">
        <v>1117</v>
      </c>
      <c r="C1201" s="424">
        <v>94205</v>
      </c>
      <c r="D1201" s="390"/>
      <c r="H1201" s="300"/>
      <c r="J1201" s="387"/>
      <c r="K1201" s="300"/>
      <c r="Q1201" s="300"/>
    </row>
    <row r="1202" spans="1:17">
      <c r="A1202" s="390"/>
      <c r="B1202" s="423" t="s">
        <v>1404</v>
      </c>
      <c r="C1202" s="424">
        <v>97717</v>
      </c>
      <c r="D1202" s="390"/>
      <c r="H1202" s="300"/>
      <c r="J1202" s="387"/>
      <c r="K1202" s="300"/>
      <c r="Q1202" s="300"/>
    </row>
    <row r="1203" spans="1:17">
      <c r="A1203" s="390"/>
      <c r="B1203" s="423" t="s">
        <v>1125</v>
      </c>
      <c r="C1203" s="424">
        <v>94301</v>
      </c>
      <c r="D1203" s="390"/>
      <c r="H1203" s="300"/>
      <c r="J1203" s="387"/>
      <c r="K1203" s="300"/>
      <c r="Q1203" s="300"/>
    </row>
    <row r="1204" spans="1:17">
      <c r="A1204" s="390"/>
      <c r="B1204" s="423" t="s">
        <v>1134</v>
      </c>
      <c r="C1204" s="424">
        <v>94401</v>
      </c>
      <c r="D1204" s="390"/>
      <c r="H1204" s="300"/>
      <c r="J1204" s="387"/>
      <c r="K1204" s="300"/>
      <c r="Q1204" s="300"/>
    </row>
    <row r="1205" spans="1:17">
      <c r="A1205" s="390"/>
      <c r="B1205" s="423" t="s">
        <v>1136</v>
      </c>
      <c r="C1205" s="424">
        <v>94403</v>
      </c>
      <c r="D1205" s="390"/>
      <c r="H1205" s="300"/>
      <c r="J1205" s="387"/>
      <c r="K1205" s="300"/>
      <c r="Q1205" s="300"/>
    </row>
    <row r="1206" spans="1:17">
      <c r="A1206" s="390"/>
      <c r="B1206" s="423" t="s">
        <v>2019</v>
      </c>
      <c r="C1206" s="424">
        <v>94501</v>
      </c>
      <c r="D1206" s="390"/>
      <c r="H1206" s="300"/>
      <c r="J1206" s="387"/>
      <c r="K1206" s="300"/>
      <c r="Q1206" s="300"/>
    </row>
    <row r="1207" spans="1:17">
      <c r="A1207" s="390"/>
      <c r="B1207" s="423" t="s">
        <v>1148</v>
      </c>
      <c r="C1207" s="424">
        <v>94517</v>
      </c>
      <c r="D1207" s="390"/>
      <c r="H1207" s="300"/>
      <c r="J1207" s="388"/>
      <c r="K1207" s="300"/>
      <c r="Q1207" s="300"/>
    </row>
    <row r="1208" spans="1:17">
      <c r="A1208" s="390"/>
      <c r="B1208" s="423" t="s">
        <v>1156</v>
      </c>
      <c r="C1208" s="424">
        <v>94601</v>
      </c>
      <c r="D1208" s="390"/>
      <c r="H1208" s="300"/>
      <c r="J1208" s="387"/>
      <c r="K1208" s="300"/>
      <c r="Q1208" s="300"/>
    </row>
    <row r="1209" spans="1:17">
      <c r="A1209" s="390"/>
      <c r="B1209" s="423" t="s">
        <v>1157</v>
      </c>
      <c r="C1209" s="424">
        <v>94604</v>
      </c>
      <c r="D1209" s="390"/>
      <c r="H1209" s="300"/>
      <c r="J1209" s="387"/>
      <c r="K1209" s="300"/>
      <c r="Q1209" s="300"/>
    </row>
    <row r="1210" spans="1:17">
      <c r="A1210" s="390"/>
      <c r="B1210" s="423" t="s">
        <v>1158</v>
      </c>
      <c r="C1210" s="424">
        <v>94606</v>
      </c>
      <c r="D1210" s="390"/>
      <c r="H1210" s="300"/>
      <c r="J1210" s="388"/>
      <c r="K1210" s="300"/>
      <c r="Q1210" s="300"/>
    </row>
    <row r="1211" spans="1:17">
      <c r="A1211" s="390"/>
      <c r="B1211" s="423" t="s">
        <v>1360</v>
      </c>
      <c r="C1211" s="424">
        <v>97213</v>
      </c>
      <c r="D1211" s="390"/>
      <c r="H1211" s="300"/>
      <c r="J1211" s="387"/>
      <c r="K1211" s="300"/>
      <c r="Q1211" s="300"/>
    </row>
    <row r="1212" spans="1:17">
      <c r="A1212" s="390"/>
      <c r="B1212" s="423" t="s">
        <v>900</v>
      </c>
      <c r="C1212" s="424">
        <v>91812</v>
      </c>
      <c r="D1212" s="390"/>
      <c r="H1212" s="300"/>
      <c r="J1212" s="387"/>
      <c r="K1212" s="300"/>
      <c r="Q1212" s="300"/>
    </row>
    <row r="1213" spans="1:17">
      <c r="A1213" s="390"/>
      <c r="B1213" s="423" t="s">
        <v>901</v>
      </c>
      <c r="C1213" s="424">
        <v>91813</v>
      </c>
      <c r="D1213" s="390"/>
      <c r="H1213" s="300"/>
      <c r="J1213" s="387"/>
      <c r="K1213" s="300"/>
      <c r="Q1213" s="300"/>
    </row>
    <row r="1214" spans="1:17">
      <c r="A1214" s="390"/>
      <c r="B1214" s="423" t="s">
        <v>766</v>
      </c>
      <c r="C1214" s="424">
        <v>90617</v>
      </c>
      <c r="D1214" s="390"/>
      <c r="H1214" s="300"/>
      <c r="J1214" s="387"/>
      <c r="K1214" s="300"/>
      <c r="Q1214" s="300"/>
    </row>
    <row r="1215" spans="1:17">
      <c r="A1215" s="390"/>
      <c r="B1215" s="423" t="s">
        <v>1107</v>
      </c>
      <c r="C1215" s="424">
        <v>94127</v>
      </c>
      <c r="D1215" s="390"/>
      <c r="H1215" s="300"/>
      <c r="J1215" s="387"/>
      <c r="K1215" s="300"/>
      <c r="Q1215" s="300"/>
    </row>
    <row r="1216" spans="1:17">
      <c r="A1216" s="390"/>
      <c r="B1216" s="423" t="s">
        <v>1228</v>
      </c>
      <c r="C1216" s="424">
        <v>95617</v>
      </c>
      <c r="D1216" s="390"/>
      <c r="H1216" s="300"/>
      <c r="J1216" s="387"/>
      <c r="K1216" s="300"/>
      <c r="Q1216" s="300"/>
    </row>
    <row r="1217" spans="1:17">
      <c r="A1217" s="390"/>
      <c r="B1217" s="423" t="s">
        <v>1163</v>
      </c>
      <c r="C1217" s="424">
        <v>94701</v>
      </c>
      <c r="D1217" s="390"/>
      <c r="H1217" s="300"/>
      <c r="J1217" s="387"/>
      <c r="K1217" s="300"/>
      <c r="Q1217" s="300"/>
    </row>
    <row r="1218" spans="1:17">
      <c r="A1218" s="390"/>
      <c r="B1218" s="423" t="s">
        <v>1164</v>
      </c>
      <c r="C1218" s="424">
        <v>94704</v>
      </c>
      <c r="D1218" s="390"/>
      <c r="H1218" s="300"/>
      <c r="J1218" s="387"/>
      <c r="K1218" s="300"/>
      <c r="Q1218" s="300"/>
    </row>
    <row r="1219" spans="1:17">
      <c r="A1219" s="390"/>
      <c r="B1219" s="423" t="s">
        <v>1329</v>
      </c>
      <c r="C1219" s="424">
        <v>96733</v>
      </c>
      <c r="D1219" s="390"/>
      <c r="H1219" s="300"/>
      <c r="J1219" s="388"/>
      <c r="K1219" s="300"/>
      <c r="Q1219" s="300"/>
    </row>
    <row r="1220" spans="1:17">
      <c r="A1220" s="390"/>
      <c r="B1220" s="423" t="s">
        <v>1233</v>
      </c>
      <c r="C1220" s="424">
        <v>95733</v>
      </c>
      <c r="D1220" s="390"/>
      <c r="H1220" s="300"/>
      <c r="J1220" s="387"/>
      <c r="K1220" s="300"/>
      <c r="Q1220" s="300"/>
    </row>
    <row r="1221" spans="1:17">
      <c r="A1221" s="390"/>
      <c r="B1221" s="423" t="s">
        <v>1217</v>
      </c>
      <c r="C1221" s="424">
        <v>95413</v>
      </c>
      <c r="D1221" s="390"/>
      <c r="H1221" s="300"/>
      <c r="J1221" s="387"/>
      <c r="K1221" s="300"/>
      <c r="Q1221" s="300"/>
    </row>
    <row r="1222" spans="1:17">
      <c r="A1222" s="390"/>
      <c r="B1222" s="423" t="s">
        <v>1444</v>
      </c>
      <c r="C1222" s="424">
        <v>98013</v>
      </c>
      <c r="D1222" s="390"/>
      <c r="H1222" s="300"/>
      <c r="J1222" s="388"/>
      <c r="K1222" s="300"/>
      <c r="Q1222" s="300"/>
    </row>
    <row r="1223" spans="1:17">
      <c r="A1223" s="390"/>
      <c r="B1223" s="423" t="s">
        <v>1585</v>
      </c>
      <c r="C1223" s="424">
        <v>99613</v>
      </c>
      <c r="D1223" s="390"/>
      <c r="H1223" s="300"/>
      <c r="J1223" s="387"/>
      <c r="K1223" s="300"/>
      <c r="Q1223" s="300"/>
    </row>
    <row r="1224" spans="1:17">
      <c r="A1224" s="390"/>
      <c r="B1224" s="423" t="s">
        <v>1166</v>
      </c>
      <c r="C1224" s="424">
        <v>94801</v>
      </c>
      <c r="D1224" s="390"/>
      <c r="H1224" s="300"/>
      <c r="J1224" s="387"/>
      <c r="K1224" s="300"/>
      <c r="Q1224" s="300"/>
    </row>
    <row r="1225" spans="1:17">
      <c r="A1225" s="390"/>
      <c r="B1225" s="423" t="s">
        <v>1167</v>
      </c>
      <c r="C1225" s="424">
        <v>94804</v>
      </c>
      <c r="D1225" s="390"/>
      <c r="H1225" s="300"/>
      <c r="J1225" s="387"/>
      <c r="K1225" s="300"/>
      <c r="Q1225" s="300"/>
    </row>
    <row r="1226" spans="1:17">
      <c r="A1226" s="390"/>
      <c r="B1226" s="423" t="s">
        <v>1521</v>
      </c>
      <c r="C1226" s="424">
        <v>99014</v>
      </c>
      <c r="D1226" s="390"/>
      <c r="H1226" s="300"/>
      <c r="J1226" s="387"/>
      <c r="K1226" s="300"/>
      <c r="Q1226" s="300"/>
    </row>
    <row r="1227" spans="1:17">
      <c r="A1227" s="390"/>
      <c r="B1227" s="423" t="s">
        <v>3723</v>
      </c>
      <c r="C1227" s="424">
        <v>96003</v>
      </c>
      <c r="D1227" s="390"/>
      <c r="H1227" s="300"/>
      <c r="J1227" s="387"/>
      <c r="K1227" s="300"/>
      <c r="Q1227" s="300"/>
    </row>
    <row r="1228" spans="1:17">
      <c r="A1228" s="390"/>
      <c r="B1228" s="423" t="s">
        <v>1169</v>
      </c>
      <c r="C1228" s="424">
        <v>94901</v>
      </c>
      <c r="D1228" s="390"/>
      <c r="H1228" s="300"/>
      <c r="J1228" s="387"/>
      <c r="K1228" s="300"/>
      <c r="Q1228" s="300"/>
    </row>
    <row r="1229" spans="1:17">
      <c r="A1229" s="390"/>
      <c r="B1229" s="423" t="s">
        <v>3610</v>
      </c>
      <c r="C1229" s="424">
        <v>94908</v>
      </c>
      <c r="D1229" s="390"/>
      <c r="H1229" s="300"/>
      <c r="J1229" s="387"/>
      <c r="K1229" s="300"/>
      <c r="Q1229" s="300"/>
    </row>
    <row r="1230" spans="1:17">
      <c r="A1230" s="390"/>
      <c r="B1230" s="423" t="s">
        <v>1458</v>
      </c>
      <c r="C1230" s="424">
        <v>98109</v>
      </c>
      <c r="D1230" s="390"/>
      <c r="H1230" s="300"/>
      <c r="J1230" s="387"/>
      <c r="K1230" s="300"/>
      <c r="Q1230" s="300"/>
    </row>
    <row r="1231" spans="1:17">
      <c r="A1231" s="390"/>
      <c r="B1231" s="423" t="s">
        <v>1467</v>
      </c>
      <c r="C1231" s="424">
        <v>98205</v>
      </c>
      <c r="D1231" s="390"/>
      <c r="H1231" s="300"/>
      <c r="J1231" s="388"/>
      <c r="K1231" s="300"/>
      <c r="Q1231" s="300"/>
    </row>
    <row r="1232" spans="1:17">
      <c r="A1232" s="390"/>
      <c r="B1232" s="423" t="s">
        <v>1178</v>
      </c>
      <c r="C1232" s="424">
        <v>95001</v>
      </c>
      <c r="D1232" s="390"/>
      <c r="H1232" s="300"/>
      <c r="J1232" s="387"/>
      <c r="K1232" s="300"/>
      <c r="Q1232" s="300"/>
    </row>
    <row r="1233" spans="1:17">
      <c r="A1233" s="390"/>
      <c r="B1233" s="423" t="s">
        <v>1184</v>
      </c>
      <c r="C1233" s="424">
        <v>95017</v>
      </c>
      <c r="D1233" s="390"/>
      <c r="H1233" s="300"/>
      <c r="J1233" s="387"/>
      <c r="K1233" s="300"/>
      <c r="Q1233" s="300"/>
    </row>
    <row r="1234" spans="1:17">
      <c r="A1234" s="390"/>
      <c r="B1234" s="423" t="s">
        <v>3719</v>
      </c>
      <c r="C1234" s="424">
        <v>95010</v>
      </c>
      <c r="D1234" s="390"/>
      <c r="H1234" s="300"/>
      <c r="J1234" s="388"/>
      <c r="K1234" s="300"/>
      <c r="Q1234" s="300"/>
    </row>
    <row r="1235" spans="1:17">
      <c r="A1235" s="390"/>
      <c r="B1235" s="423" t="s">
        <v>1185</v>
      </c>
      <c r="C1235" s="424">
        <v>95101</v>
      </c>
      <c r="D1235" s="390"/>
      <c r="H1235" s="300"/>
      <c r="J1235" s="387"/>
      <c r="K1235" s="300"/>
      <c r="Q1235" s="300"/>
    </row>
    <row r="1236" spans="1:17">
      <c r="A1236" s="390"/>
      <c r="B1236" s="423" t="s">
        <v>1187</v>
      </c>
      <c r="C1236" s="424">
        <v>95104</v>
      </c>
      <c r="D1236" s="390"/>
      <c r="H1236" s="300"/>
      <c r="J1236" s="387"/>
      <c r="K1236" s="300"/>
      <c r="Q1236" s="300"/>
    </row>
    <row r="1237" spans="1:17">
      <c r="A1237" s="390"/>
      <c r="B1237" s="423" t="s">
        <v>1190</v>
      </c>
      <c r="C1237" s="424">
        <v>95110</v>
      </c>
      <c r="D1237" s="390"/>
      <c r="H1237" s="300"/>
      <c r="J1237" s="387"/>
      <c r="K1237" s="300"/>
      <c r="Q1237" s="300"/>
    </row>
    <row r="1238" spans="1:17">
      <c r="A1238" s="390"/>
      <c r="B1238" s="423" t="s">
        <v>1203</v>
      </c>
      <c r="C1238" s="424">
        <v>95201</v>
      </c>
      <c r="D1238" s="390"/>
      <c r="H1238" s="300"/>
      <c r="J1238" s="387"/>
      <c r="K1238" s="300"/>
      <c r="Q1238" s="300"/>
    </row>
    <row r="1239" spans="1:17">
      <c r="A1239" s="390"/>
      <c r="B1239" s="423" t="s">
        <v>1204</v>
      </c>
      <c r="C1239" s="424">
        <v>95204</v>
      </c>
      <c r="D1239" s="390"/>
      <c r="H1239" s="300"/>
      <c r="J1239" s="387"/>
      <c r="K1239" s="300"/>
      <c r="Q1239" s="300"/>
    </row>
    <row r="1240" spans="1:17">
      <c r="A1240" s="390"/>
      <c r="B1240" s="423" t="s">
        <v>1137</v>
      </c>
      <c r="C1240" s="424">
        <v>94408</v>
      </c>
      <c r="D1240" s="390"/>
      <c r="H1240" s="300"/>
      <c r="J1240" s="388"/>
      <c r="K1240" s="300"/>
      <c r="Q1240" s="300"/>
    </row>
    <row r="1241" spans="1:17">
      <c r="A1241" s="390"/>
      <c r="B1241" s="423" t="s">
        <v>1007</v>
      </c>
      <c r="C1241" s="424">
        <v>93127</v>
      </c>
      <c r="D1241" s="390"/>
      <c r="H1241" s="300"/>
      <c r="J1241" s="387"/>
      <c r="K1241" s="300"/>
      <c r="Q1241" s="300"/>
    </row>
    <row r="1242" spans="1:17">
      <c r="A1242" s="390"/>
      <c r="B1242" s="423" t="s">
        <v>1535</v>
      </c>
      <c r="C1242" s="424">
        <v>99110</v>
      </c>
      <c r="D1242" s="390"/>
      <c r="H1242" s="300"/>
      <c r="J1242" s="387"/>
      <c r="K1242" s="300"/>
      <c r="Q1242" s="300"/>
    </row>
    <row r="1243" spans="1:17">
      <c r="A1243" s="390"/>
      <c r="B1243" s="423" t="s">
        <v>1534</v>
      </c>
      <c r="C1243" s="424">
        <v>99109</v>
      </c>
      <c r="D1243" s="390"/>
      <c r="H1243" s="300"/>
      <c r="J1243" s="387"/>
      <c r="K1243" s="300"/>
      <c r="Q1243" s="300"/>
    </row>
    <row r="1244" spans="1:17">
      <c r="A1244" s="390"/>
      <c r="B1244" s="423" t="s">
        <v>934</v>
      </c>
      <c r="C1244" s="424">
        <v>92327</v>
      </c>
      <c r="D1244" s="390"/>
      <c r="H1244" s="300"/>
      <c r="J1244" s="387"/>
      <c r="K1244" s="300"/>
      <c r="Q1244" s="300"/>
    </row>
    <row r="1245" spans="1:17">
      <c r="A1245" s="390"/>
      <c r="B1245" s="423" t="s">
        <v>1218</v>
      </c>
      <c r="C1245" s="424">
        <v>95415</v>
      </c>
      <c r="D1245" s="390"/>
      <c r="H1245" s="300"/>
      <c r="J1245" s="387"/>
      <c r="K1245" s="300"/>
      <c r="Q1245" s="300"/>
    </row>
    <row r="1246" spans="1:17">
      <c r="A1246" s="390"/>
      <c r="B1246" s="423" t="s">
        <v>943</v>
      </c>
      <c r="C1246" s="424">
        <v>92427</v>
      </c>
      <c r="D1246" s="390"/>
      <c r="H1246" s="300"/>
      <c r="J1246" s="387"/>
      <c r="K1246" s="300"/>
      <c r="Q1246" s="300"/>
    </row>
    <row r="1247" spans="1:17">
      <c r="A1247" s="390"/>
      <c r="B1247" s="423" t="s">
        <v>826</v>
      </c>
      <c r="C1247" s="424">
        <v>91102</v>
      </c>
      <c r="D1247" s="390"/>
      <c r="H1247" s="300"/>
      <c r="J1247" s="387"/>
      <c r="K1247" s="300"/>
      <c r="Q1247" s="300"/>
    </row>
    <row r="1248" spans="1:17">
      <c r="A1248" s="390"/>
      <c r="B1248" s="423" t="s">
        <v>1150</v>
      </c>
      <c r="C1248" s="424">
        <v>94527</v>
      </c>
      <c r="D1248" s="390"/>
      <c r="H1248" s="300"/>
      <c r="J1248" s="387"/>
      <c r="K1248" s="300"/>
      <c r="Q1248" s="300"/>
    </row>
    <row r="1249" spans="1:17">
      <c r="A1249" s="390"/>
      <c r="B1249" s="423" t="s">
        <v>1481</v>
      </c>
      <c r="C1249" s="424">
        <v>98313</v>
      </c>
      <c r="D1249" s="390"/>
      <c r="H1249" s="300"/>
      <c r="J1249" s="388"/>
      <c r="K1249" s="300"/>
      <c r="Q1249" s="300"/>
    </row>
    <row r="1250" spans="1:17">
      <c r="A1250" s="390"/>
      <c r="B1250" s="423" t="s">
        <v>1479</v>
      </c>
      <c r="C1250" s="424">
        <v>98308</v>
      </c>
      <c r="D1250" s="390"/>
      <c r="H1250" s="300"/>
      <c r="J1250" s="387"/>
      <c r="K1250" s="300"/>
      <c r="Q1250" s="300"/>
    </row>
    <row r="1251" spans="1:17">
      <c r="A1251" s="390"/>
      <c r="B1251" s="423" t="s">
        <v>1208</v>
      </c>
      <c r="C1251" s="424">
        <v>95301</v>
      </c>
      <c r="D1251" s="390"/>
      <c r="H1251" s="300"/>
      <c r="J1251" s="387"/>
      <c r="K1251" s="300"/>
      <c r="Q1251" s="300"/>
    </row>
    <row r="1252" spans="1:17">
      <c r="A1252" s="390"/>
      <c r="B1252" s="423" t="s">
        <v>1212</v>
      </c>
      <c r="C1252" s="424">
        <v>95401</v>
      </c>
      <c r="D1252" s="390"/>
      <c r="H1252" s="300"/>
      <c r="J1252" s="388"/>
      <c r="K1252" s="300"/>
      <c r="Q1252" s="300"/>
    </row>
    <row r="1253" spans="1:17">
      <c r="A1253" s="390"/>
      <c r="B1253" s="423" t="s">
        <v>1213</v>
      </c>
      <c r="C1253" s="424">
        <v>95404</v>
      </c>
      <c r="D1253" s="390"/>
      <c r="H1253" s="300"/>
      <c r="J1253" s="387"/>
      <c r="K1253" s="300"/>
      <c r="Q1253" s="300"/>
    </row>
    <row r="1254" spans="1:17">
      <c r="A1254" s="390"/>
      <c r="B1254" s="423" t="s">
        <v>872</v>
      </c>
      <c r="C1254" s="424">
        <v>91423</v>
      </c>
      <c r="D1254" s="390"/>
      <c r="H1254" s="300"/>
      <c r="J1254" s="387"/>
      <c r="K1254" s="300"/>
      <c r="Q1254" s="300"/>
    </row>
    <row r="1255" spans="1:17">
      <c r="A1255" s="390"/>
      <c r="B1255" s="426" t="s">
        <v>994</v>
      </c>
      <c r="C1255" s="425">
        <v>92917</v>
      </c>
      <c r="D1255" s="390"/>
      <c r="H1255" s="300"/>
      <c r="J1255" s="387"/>
      <c r="K1255" s="300"/>
      <c r="Q1255" s="300"/>
    </row>
    <row r="1256" spans="1:17">
      <c r="A1256" s="390"/>
      <c r="B1256" s="423" t="s">
        <v>1396</v>
      </c>
      <c r="C1256" s="424">
        <v>97637</v>
      </c>
      <c r="D1256" s="390"/>
      <c r="H1256" s="300"/>
      <c r="J1256" s="387"/>
      <c r="K1256" s="300"/>
      <c r="Q1256" s="300"/>
    </row>
    <row r="1257" spans="1:17">
      <c r="A1257" s="390"/>
      <c r="B1257" s="423" t="s">
        <v>1221</v>
      </c>
      <c r="C1257" s="424">
        <v>95501</v>
      </c>
      <c r="D1257" s="390"/>
      <c r="H1257" s="300"/>
      <c r="J1257" s="387"/>
      <c r="K1257" s="300"/>
      <c r="Q1257" s="300"/>
    </row>
    <row r="1258" spans="1:17">
      <c r="A1258" s="390"/>
      <c r="B1258" s="423" t="s">
        <v>1222</v>
      </c>
      <c r="C1258" s="424">
        <v>95504</v>
      </c>
      <c r="D1258" s="390"/>
      <c r="H1258" s="300"/>
      <c r="J1258" s="387"/>
      <c r="K1258" s="300"/>
      <c r="Q1258" s="300"/>
    </row>
    <row r="1259" spans="1:17">
      <c r="A1259" s="390"/>
      <c r="B1259" s="423" t="s">
        <v>1224</v>
      </c>
      <c r="C1259" s="424">
        <v>95513</v>
      </c>
      <c r="D1259" s="390"/>
      <c r="H1259" s="300"/>
      <c r="J1259" s="387"/>
      <c r="K1259" s="300"/>
      <c r="Q1259" s="300"/>
    </row>
    <row r="1260" spans="1:17">
      <c r="A1260" s="390"/>
      <c r="B1260" s="423" t="s">
        <v>3758</v>
      </c>
      <c r="C1260" s="424">
        <v>99219</v>
      </c>
      <c r="D1260" s="390"/>
      <c r="H1260" s="300"/>
      <c r="J1260" s="387"/>
      <c r="K1260" s="300"/>
      <c r="Q1260" s="300"/>
    </row>
    <row r="1261" spans="1:17">
      <c r="A1261" s="390"/>
      <c r="B1261" s="423" t="s">
        <v>1485</v>
      </c>
      <c r="C1261" s="424">
        <v>98404</v>
      </c>
      <c r="D1261" s="390"/>
      <c r="H1261" s="300"/>
      <c r="J1261" s="388"/>
      <c r="K1261" s="300"/>
      <c r="Q1261" s="300"/>
    </row>
    <row r="1262" spans="1:17">
      <c r="A1262" s="390"/>
      <c r="B1262" s="423" t="s">
        <v>1054</v>
      </c>
      <c r="C1262" s="424">
        <v>93527</v>
      </c>
      <c r="D1262" s="390"/>
      <c r="H1262" s="300"/>
      <c r="J1262" s="387"/>
      <c r="K1262" s="300"/>
      <c r="Q1262" s="300"/>
    </row>
    <row r="1263" spans="1:17">
      <c r="A1263" s="390"/>
      <c r="B1263" s="423" t="s">
        <v>1306</v>
      </c>
      <c r="C1263" s="424">
        <v>96508</v>
      </c>
      <c r="D1263" s="390"/>
      <c r="H1263" s="300"/>
      <c r="J1263" s="387"/>
      <c r="K1263" s="300"/>
      <c r="Q1263" s="300"/>
    </row>
    <row r="1264" spans="1:17">
      <c r="A1264" s="390"/>
      <c r="B1264" s="423" t="s">
        <v>1409</v>
      </c>
      <c r="C1264" s="424">
        <v>97802</v>
      </c>
      <c r="D1264" s="390"/>
      <c r="H1264" s="300"/>
      <c r="J1264" s="388"/>
      <c r="K1264" s="300"/>
      <c r="Q1264" s="300"/>
    </row>
    <row r="1265" spans="1:17">
      <c r="A1265" s="390"/>
      <c r="B1265" s="423" t="s">
        <v>1413</v>
      </c>
      <c r="C1265" s="424">
        <v>97817</v>
      </c>
      <c r="D1265" s="390"/>
      <c r="H1265" s="300"/>
      <c r="J1265" s="387"/>
      <c r="K1265" s="300"/>
      <c r="Q1265" s="300"/>
    </row>
    <row r="1266" spans="1:17">
      <c r="A1266" s="390"/>
      <c r="B1266" s="423" t="s">
        <v>1414</v>
      </c>
      <c r="C1266" s="424">
        <v>97818</v>
      </c>
      <c r="D1266" s="390"/>
      <c r="H1266" s="300"/>
      <c r="J1266" s="387"/>
      <c r="K1266" s="300"/>
      <c r="Q1266" s="300"/>
    </row>
    <row r="1267" spans="1:17">
      <c r="A1267" s="390"/>
      <c r="B1267" s="423" t="s">
        <v>1226</v>
      </c>
      <c r="C1267" s="424">
        <v>95601</v>
      </c>
      <c r="D1267" s="390"/>
      <c r="H1267" s="300"/>
      <c r="J1267" s="387"/>
      <c r="K1267" s="300"/>
      <c r="Q1267" s="300"/>
    </row>
    <row r="1268" spans="1:17">
      <c r="A1268" s="390"/>
      <c r="B1268" s="423" t="s">
        <v>1434</v>
      </c>
      <c r="C1268" s="424">
        <v>97947</v>
      </c>
      <c r="D1268" s="390"/>
      <c r="H1268" s="300"/>
      <c r="J1268" s="387"/>
      <c r="K1268" s="300"/>
      <c r="Q1268" s="300"/>
    </row>
    <row r="1269" spans="1:17">
      <c r="A1269" s="390"/>
      <c r="B1269" s="423" t="s">
        <v>1230</v>
      </c>
      <c r="C1269" s="424">
        <v>95701</v>
      </c>
      <c r="D1269" s="390"/>
      <c r="H1269" s="300"/>
      <c r="J1269" s="387"/>
      <c r="K1269" s="300"/>
      <c r="Q1269" s="300"/>
    </row>
    <row r="1270" spans="1:17">
      <c r="A1270" s="390"/>
      <c r="B1270" s="423" t="s">
        <v>1435</v>
      </c>
      <c r="C1270" s="424">
        <v>97948</v>
      </c>
      <c r="D1270" s="390"/>
      <c r="H1270" s="300"/>
      <c r="J1270" s="387"/>
      <c r="K1270" s="300"/>
      <c r="Q1270" s="300"/>
    </row>
    <row r="1271" spans="1:17">
      <c r="A1271" s="390"/>
      <c r="B1271" s="423" t="s">
        <v>1141</v>
      </c>
      <c r="C1271" s="424">
        <v>94427</v>
      </c>
      <c r="D1271" s="390"/>
      <c r="H1271" s="300"/>
      <c r="J1271" s="387"/>
      <c r="K1271" s="300"/>
      <c r="Q1271" s="300"/>
    </row>
    <row r="1272" spans="1:17">
      <c r="A1272" s="390"/>
      <c r="B1272" s="423" t="s">
        <v>1142</v>
      </c>
      <c r="C1272" s="424">
        <v>94428</v>
      </c>
      <c r="D1272" s="390"/>
      <c r="H1272" s="300"/>
      <c r="J1272" s="387"/>
      <c r="K1272" s="300"/>
      <c r="Q1272" s="300"/>
    </row>
    <row r="1273" spans="1:17">
      <c r="A1273" s="390"/>
      <c r="B1273" s="423" t="s">
        <v>1247</v>
      </c>
      <c r="C1273" s="424">
        <v>95917</v>
      </c>
      <c r="D1273" s="390"/>
      <c r="H1273" s="300"/>
      <c r="J1273" s="388"/>
      <c r="K1273" s="300"/>
      <c r="Q1273" s="300"/>
    </row>
    <row r="1274" spans="1:17">
      <c r="A1274" s="390"/>
      <c r="B1274" s="423" t="s">
        <v>1235</v>
      </c>
      <c r="C1274" s="424">
        <v>95802</v>
      </c>
      <c r="D1274" s="390"/>
      <c r="H1274" s="300"/>
      <c r="J1274" s="387"/>
      <c r="K1274" s="300"/>
      <c r="Q1274" s="300"/>
    </row>
    <row r="1275" spans="1:17">
      <c r="A1275" s="390"/>
      <c r="B1275" s="423" t="s">
        <v>1234</v>
      </c>
      <c r="C1275" s="424">
        <v>95801</v>
      </c>
      <c r="D1275" s="390"/>
      <c r="H1275" s="300"/>
      <c r="J1275" s="387"/>
      <c r="K1275" s="300"/>
      <c r="Q1275" s="300"/>
    </row>
    <row r="1276" spans="1:17">
      <c r="A1276" s="390"/>
      <c r="B1276" s="423" t="s">
        <v>1236</v>
      </c>
      <c r="C1276" s="424">
        <v>95804</v>
      </c>
      <c r="D1276" s="390"/>
      <c r="H1276" s="300"/>
      <c r="J1276" s="388"/>
      <c r="K1276" s="300"/>
      <c r="Q1276" s="300"/>
    </row>
    <row r="1277" spans="1:17">
      <c r="A1277" s="390"/>
      <c r="B1277" s="423" t="s">
        <v>730</v>
      </c>
      <c r="C1277" s="424">
        <v>90092</v>
      </c>
      <c r="D1277" s="390"/>
      <c r="H1277" s="300"/>
      <c r="J1277" s="387"/>
      <c r="K1277" s="300"/>
      <c r="Q1277" s="300"/>
    </row>
    <row r="1278" spans="1:17">
      <c r="A1278" s="390"/>
      <c r="B1278" s="423" t="s">
        <v>1092</v>
      </c>
      <c r="C1278" s="424">
        <v>94002</v>
      </c>
      <c r="D1278" s="390"/>
      <c r="H1278" s="300"/>
      <c r="J1278" s="387"/>
      <c r="K1278" s="300"/>
      <c r="Q1278" s="300"/>
    </row>
    <row r="1279" spans="1:17">
      <c r="A1279" s="390"/>
      <c r="B1279" s="423" t="s">
        <v>1421</v>
      </c>
      <c r="C1279" s="424">
        <v>97847</v>
      </c>
      <c r="D1279" s="390"/>
      <c r="H1279" s="300"/>
      <c r="J1279" s="387"/>
      <c r="K1279" s="300"/>
      <c r="Q1279" s="300"/>
    </row>
    <row r="1280" spans="1:17">
      <c r="A1280" s="390"/>
      <c r="B1280" s="423" t="s">
        <v>1244</v>
      </c>
      <c r="C1280" s="424">
        <v>95901</v>
      </c>
      <c r="D1280" s="390"/>
      <c r="H1280" s="300"/>
      <c r="J1280" s="387"/>
      <c r="K1280" s="300"/>
      <c r="Q1280" s="300"/>
    </row>
    <row r="1281" spans="1:17">
      <c r="A1281" s="390"/>
      <c r="B1281" s="423" t="s">
        <v>1249</v>
      </c>
      <c r="C1281" s="424">
        <v>96001</v>
      </c>
      <c r="D1281" s="390"/>
      <c r="H1281" s="300"/>
      <c r="J1281" s="387"/>
      <c r="K1281" s="300"/>
      <c r="Q1281" s="300"/>
    </row>
    <row r="1282" spans="1:17">
      <c r="A1282" s="390"/>
      <c r="B1282" s="423" t="s">
        <v>1251</v>
      </c>
      <c r="C1282" s="424">
        <v>96004</v>
      </c>
      <c r="D1282" s="390"/>
      <c r="H1282" s="300"/>
      <c r="J1282" s="387"/>
      <c r="K1282" s="300"/>
      <c r="Q1282" s="300"/>
    </row>
    <row r="1283" spans="1:17">
      <c r="A1283" s="390"/>
      <c r="B1283" s="423" t="s">
        <v>1253</v>
      </c>
      <c r="C1283" s="424">
        <v>96008</v>
      </c>
      <c r="D1283" s="390"/>
      <c r="H1283" s="300"/>
      <c r="J1283" s="387"/>
      <c r="K1283" s="300"/>
      <c r="Q1283" s="300"/>
    </row>
    <row r="1284" spans="1:17">
      <c r="A1284" s="390"/>
      <c r="B1284" s="423" t="s">
        <v>829</v>
      </c>
      <c r="C1284" s="424">
        <v>91108</v>
      </c>
      <c r="D1284" s="390"/>
      <c r="H1284" s="300"/>
      <c r="J1284" s="387"/>
      <c r="K1284" s="300"/>
      <c r="Q1284" s="300"/>
    </row>
    <row r="1285" spans="1:17">
      <c r="A1285" s="390"/>
      <c r="B1285" s="423" t="s">
        <v>1177</v>
      </c>
      <c r="C1285" s="424">
        <v>94941</v>
      </c>
      <c r="D1285" s="390"/>
      <c r="H1285" s="300"/>
      <c r="J1285" s="388"/>
      <c r="K1285" s="300"/>
      <c r="Q1285" s="300"/>
    </row>
    <row r="1286" spans="1:17">
      <c r="A1286" s="390"/>
      <c r="B1286" s="423" t="s">
        <v>967</v>
      </c>
      <c r="C1286" s="424">
        <v>92607</v>
      </c>
      <c r="D1286" s="390"/>
      <c r="H1286" s="300"/>
      <c r="J1286" s="387"/>
      <c r="K1286" s="300"/>
      <c r="Q1286" s="300"/>
    </row>
    <row r="1287" spans="1:17">
      <c r="A1287" s="390"/>
      <c r="B1287" s="423" t="s">
        <v>774</v>
      </c>
      <c r="C1287" s="424">
        <v>90709</v>
      </c>
      <c r="D1287" s="390"/>
      <c r="H1287" s="300"/>
      <c r="J1287" s="387"/>
      <c r="K1287" s="300"/>
      <c r="Q1287" s="300"/>
    </row>
    <row r="1288" spans="1:17">
      <c r="A1288" s="390"/>
      <c r="B1288" s="423" t="s">
        <v>1265</v>
      </c>
      <c r="C1288" s="424">
        <v>96101</v>
      </c>
      <c r="D1288" s="390"/>
      <c r="H1288" s="300"/>
      <c r="J1288" s="388"/>
      <c r="K1288" s="300"/>
      <c r="Q1288" s="300"/>
    </row>
    <row r="1289" spans="1:17">
      <c r="A1289" s="390"/>
      <c r="B1289" s="423" t="s">
        <v>1266</v>
      </c>
      <c r="C1289" s="424">
        <v>96102</v>
      </c>
      <c r="D1289" s="390"/>
      <c r="H1289" s="300"/>
      <c r="J1289" s="387"/>
      <c r="K1289" s="300"/>
      <c r="Q1289" s="300"/>
    </row>
    <row r="1290" spans="1:17">
      <c r="A1290" s="390"/>
      <c r="B1290" s="423" t="s">
        <v>3609</v>
      </c>
      <c r="C1290" s="424">
        <v>93028</v>
      </c>
      <c r="D1290" s="390"/>
      <c r="H1290" s="300"/>
      <c r="J1290" s="387"/>
      <c r="K1290" s="300"/>
      <c r="Q1290" s="300"/>
    </row>
    <row r="1291" spans="1:17">
      <c r="A1291" s="390"/>
      <c r="B1291" s="423" t="s">
        <v>1522</v>
      </c>
      <c r="C1291" s="424">
        <v>99017</v>
      </c>
      <c r="D1291" s="390"/>
      <c r="H1291" s="300"/>
      <c r="J1291" s="387"/>
      <c r="K1291" s="300"/>
      <c r="Q1291" s="300"/>
    </row>
    <row r="1292" spans="1:17">
      <c r="A1292" s="390"/>
      <c r="B1292" s="423" t="s">
        <v>1269</v>
      </c>
      <c r="C1292" s="424">
        <v>96201</v>
      </c>
      <c r="D1292" s="390"/>
      <c r="H1292" s="300"/>
      <c r="J1292" s="387"/>
      <c r="K1292" s="300"/>
      <c r="Q1292" s="300"/>
    </row>
    <row r="1293" spans="1:17">
      <c r="A1293" s="390"/>
      <c r="B1293" s="423" t="s">
        <v>1270</v>
      </c>
      <c r="C1293" s="424">
        <v>96204</v>
      </c>
      <c r="D1293" s="390"/>
      <c r="H1293" s="300"/>
      <c r="J1293" s="387"/>
      <c r="K1293" s="300"/>
      <c r="Q1293" s="300"/>
    </row>
    <row r="1294" spans="1:17">
      <c r="A1294" s="390"/>
      <c r="B1294" s="423" t="s">
        <v>1276</v>
      </c>
      <c r="C1294" s="424">
        <v>96301</v>
      </c>
      <c r="D1294" s="390"/>
      <c r="H1294" s="300"/>
      <c r="J1294" s="387"/>
      <c r="K1294" s="300"/>
      <c r="Q1294" s="300"/>
    </row>
    <row r="1295" spans="1:17">
      <c r="A1295" s="390"/>
      <c r="B1295" s="423" t="s">
        <v>1278</v>
      </c>
      <c r="C1295" s="424">
        <v>96304</v>
      </c>
      <c r="D1295" s="390"/>
      <c r="H1295" s="300"/>
      <c r="J1295" s="387"/>
      <c r="K1295" s="300"/>
      <c r="Q1295" s="300"/>
    </row>
    <row r="1296" spans="1:17">
      <c r="A1296" s="390"/>
      <c r="B1296" s="423" t="s">
        <v>1280</v>
      </c>
      <c r="C1296" s="424">
        <v>96310</v>
      </c>
      <c r="D1296" s="390"/>
      <c r="H1296" s="300"/>
      <c r="J1296" s="387"/>
      <c r="K1296" s="300"/>
      <c r="Q1296" s="300"/>
    </row>
    <row r="1297" spans="1:17">
      <c r="A1297" s="390"/>
      <c r="B1297" s="423" t="s">
        <v>1279</v>
      </c>
      <c r="C1297" s="424">
        <v>96305</v>
      </c>
      <c r="D1297" s="390"/>
      <c r="H1297" s="300"/>
      <c r="J1297" s="388"/>
      <c r="K1297" s="300"/>
      <c r="Q1297" s="300"/>
    </row>
    <row r="1298" spans="1:17">
      <c r="A1298" s="390"/>
      <c r="B1298" s="423" t="s">
        <v>1175</v>
      </c>
      <c r="C1298" s="424">
        <v>94927</v>
      </c>
      <c r="D1298" s="390"/>
      <c r="H1298" s="300"/>
      <c r="J1298" s="387"/>
      <c r="K1298" s="300"/>
      <c r="Q1298" s="300"/>
    </row>
    <row r="1299" spans="1:17">
      <c r="A1299" s="390"/>
      <c r="B1299" s="423" t="s">
        <v>1174</v>
      </c>
      <c r="C1299" s="424">
        <v>94923</v>
      </c>
      <c r="D1299" s="390"/>
      <c r="H1299" s="300"/>
      <c r="J1299" s="387"/>
      <c r="K1299" s="300"/>
      <c r="Q1299" s="300"/>
    </row>
    <row r="1300" spans="1:17">
      <c r="A1300" s="390"/>
      <c r="B1300" s="423" t="s">
        <v>851</v>
      </c>
      <c r="C1300" s="424">
        <v>91217</v>
      </c>
      <c r="D1300" s="390"/>
      <c r="H1300" s="300"/>
      <c r="J1300" s="388"/>
      <c r="K1300" s="300"/>
      <c r="Q1300" s="300"/>
    </row>
    <row r="1301" spans="1:17">
      <c r="A1301" s="390"/>
      <c r="B1301" s="423" t="s">
        <v>854</v>
      </c>
      <c r="C1301" s="424">
        <v>91233</v>
      </c>
      <c r="D1301" s="390"/>
      <c r="H1301" s="300"/>
      <c r="J1301" s="387"/>
      <c r="K1301" s="300"/>
      <c r="Q1301" s="300"/>
    </row>
    <row r="1302" spans="1:17">
      <c r="A1302" s="390"/>
      <c r="B1302" s="423" t="s">
        <v>1507</v>
      </c>
      <c r="C1302" s="424">
        <v>98637</v>
      </c>
      <c r="D1302" s="390"/>
      <c r="H1302" s="300"/>
      <c r="J1302" s="387"/>
      <c r="K1302" s="300"/>
      <c r="Q1302" s="300"/>
    </row>
    <row r="1303" spans="1:17">
      <c r="A1303" s="390"/>
      <c r="B1303" s="423" t="s">
        <v>1587</v>
      </c>
      <c r="C1303" s="424">
        <v>99623</v>
      </c>
      <c r="D1303" s="390"/>
      <c r="H1303" s="300"/>
      <c r="J1303" s="387"/>
      <c r="K1303" s="300"/>
      <c r="Q1303" s="300"/>
    </row>
    <row r="1304" spans="1:17">
      <c r="A1304" s="390"/>
      <c r="B1304" s="423" t="s">
        <v>865</v>
      </c>
      <c r="C1304" s="424">
        <v>91327</v>
      </c>
      <c r="D1304" s="390"/>
      <c r="H1304" s="300"/>
      <c r="J1304" s="387"/>
      <c r="K1304" s="300"/>
      <c r="Q1304" s="300"/>
    </row>
    <row r="1305" spans="1:17">
      <c r="A1305" s="390"/>
      <c r="B1305" s="423" t="s">
        <v>921</v>
      </c>
      <c r="C1305" s="424">
        <v>92017</v>
      </c>
      <c r="D1305" s="390"/>
      <c r="H1305" s="300"/>
      <c r="J1305" s="387"/>
      <c r="K1305" s="300"/>
      <c r="Q1305" s="300"/>
    </row>
    <row r="1306" spans="1:17">
      <c r="A1306" s="390"/>
      <c r="B1306" s="423" t="s">
        <v>1612</v>
      </c>
      <c r="C1306" s="424">
        <v>99991</v>
      </c>
      <c r="D1306" s="390"/>
      <c r="H1306" s="300"/>
      <c r="J1306" s="387"/>
      <c r="K1306" s="300"/>
      <c r="Q1306" s="300"/>
    </row>
    <row r="1307" spans="1:17">
      <c r="A1307" s="390"/>
      <c r="B1307" s="427" t="s">
        <v>1613</v>
      </c>
      <c r="C1307" s="428">
        <v>99999</v>
      </c>
      <c r="D1307" s="390"/>
      <c r="H1307" s="300"/>
      <c r="J1307" s="387"/>
      <c r="K1307" s="300"/>
      <c r="Q1307" s="300"/>
    </row>
    <row r="1308" spans="1:17">
      <c r="A1308" s="390"/>
      <c r="B1308" s="423" t="s">
        <v>919</v>
      </c>
      <c r="C1308" s="424">
        <v>92005</v>
      </c>
      <c r="D1308" s="390"/>
      <c r="H1308" s="300"/>
      <c r="J1308" s="387"/>
      <c r="K1308" s="300"/>
      <c r="Q1308" s="300"/>
    </row>
    <row r="1309" spans="1:17">
      <c r="A1309" s="390"/>
      <c r="B1309" s="423" t="s">
        <v>1292</v>
      </c>
      <c r="C1309" s="424">
        <v>96401</v>
      </c>
      <c r="D1309" s="390"/>
      <c r="H1309" s="300"/>
      <c r="J1309" s="388"/>
      <c r="K1309" s="300"/>
      <c r="Q1309" s="300"/>
    </row>
    <row r="1310" spans="1:17">
      <c r="A1310" s="390"/>
      <c r="B1310" s="423" t="s">
        <v>1293</v>
      </c>
      <c r="C1310" s="424">
        <v>96404</v>
      </c>
      <c r="D1310" s="390"/>
      <c r="H1310" s="300"/>
      <c r="J1310" s="387"/>
      <c r="K1310" s="300"/>
      <c r="Q1310" s="300"/>
    </row>
    <row r="1311" spans="1:17">
      <c r="A1311" s="390"/>
      <c r="B1311" s="423" t="s">
        <v>1214</v>
      </c>
      <c r="C1311" s="424">
        <v>95405</v>
      </c>
      <c r="D1311" s="390"/>
      <c r="H1311" s="300"/>
      <c r="J1311" s="387"/>
      <c r="K1311" s="300"/>
      <c r="Q1311" s="300"/>
    </row>
    <row r="1312" spans="1:17">
      <c r="A1312" s="390"/>
      <c r="B1312" s="423" t="s">
        <v>1094</v>
      </c>
      <c r="C1312" s="424">
        <v>94005</v>
      </c>
      <c r="D1312" s="390"/>
      <c r="H1312" s="300"/>
      <c r="J1312" s="388"/>
      <c r="K1312" s="300"/>
      <c r="Q1312" s="300"/>
    </row>
    <row r="1313" spans="1:17">
      <c r="A1313" s="390"/>
      <c r="B1313" s="423" t="s">
        <v>1205</v>
      </c>
      <c r="C1313" s="424">
        <v>95205</v>
      </c>
      <c r="D1313" s="390"/>
      <c r="H1313" s="300"/>
      <c r="J1313" s="387"/>
      <c r="K1313" s="300"/>
      <c r="Q1313" s="300"/>
    </row>
    <row r="1314" spans="1:17">
      <c r="A1314" s="390"/>
      <c r="B1314" s="423" t="s">
        <v>954</v>
      </c>
      <c r="C1314" s="424">
        <v>92507</v>
      </c>
      <c r="D1314" s="390"/>
      <c r="H1314" s="300"/>
      <c r="J1314" s="387"/>
      <c r="K1314" s="300"/>
      <c r="Q1314" s="300"/>
    </row>
    <row r="1315" spans="1:17">
      <c r="A1315" s="390"/>
      <c r="B1315" s="423" t="s">
        <v>1302</v>
      </c>
      <c r="C1315" s="424">
        <v>96502</v>
      </c>
      <c r="D1315" s="390"/>
      <c r="H1315" s="300"/>
      <c r="J1315" s="387"/>
      <c r="K1315" s="300"/>
      <c r="Q1315" s="300"/>
    </row>
    <row r="1316" spans="1:17">
      <c r="A1316" s="390"/>
      <c r="B1316" s="423" t="s">
        <v>1301</v>
      </c>
      <c r="C1316" s="424">
        <v>96501</v>
      </c>
      <c r="D1316" s="390"/>
      <c r="H1316" s="300"/>
      <c r="J1316" s="387"/>
      <c r="K1316" s="300"/>
      <c r="Q1316" s="300"/>
    </row>
    <row r="1317" spans="1:17">
      <c r="A1317" s="390"/>
      <c r="B1317" s="423" t="s">
        <v>1304</v>
      </c>
      <c r="C1317" s="424">
        <v>96504</v>
      </c>
      <c r="D1317" s="390"/>
      <c r="H1317" s="300"/>
      <c r="J1317" s="387"/>
      <c r="K1317" s="300"/>
      <c r="Q1317" s="300"/>
    </row>
    <row r="1318" spans="1:17">
      <c r="A1318" s="390"/>
      <c r="B1318" s="423" t="s">
        <v>1312</v>
      </c>
      <c r="C1318" s="424">
        <v>96601</v>
      </c>
      <c r="D1318" s="390"/>
      <c r="H1318" s="300"/>
      <c r="J1318" s="388"/>
      <c r="K1318" s="300"/>
      <c r="Q1318" s="300"/>
    </row>
    <row r="1319" spans="1:17">
      <c r="A1319" s="390"/>
      <c r="B1319" s="423" t="s">
        <v>1313</v>
      </c>
      <c r="C1319" s="424">
        <v>96604</v>
      </c>
      <c r="D1319" s="390"/>
      <c r="H1319" s="300"/>
      <c r="J1319" s="387"/>
      <c r="K1319" s="300"/>
      <c r="Q1319" s="300"/>
    </row>
    <row r="1320" spans="1:17">
      <c r="A1320" s="390"/>
      <c r="B1320" s="423" t="s">
        <v>749</v>
      </c>
      <c r="C1320" s="424">
        <v>90305</v>
      </c>
      <c r="D1320" s="390"/>
      <c r="H1320" s="300"/>
      <c r="J1320" s="387"/>
      <c r="K1320" s="300"/>
      <c r="Q1320" s="300"/>
    </row>
    <row r="1321" spans="1:17">
      <c r="A1321" s="390"/>
      <c r="B1321" s="423" t="s">
        <v>1490</v>
      </c>
      <c r="C1321" s="424">
        <v>98427</v>
      </c>
      <c r="D1321" s="390"/>
      <c r="H1321" s="300"/>
      <c r="J1321" s="387"/>
      <c r="K1321" s="300"/>
      <c r="Q1321" s="300"/>
    </row>
    <row r="1322" spans="1:17">
      <c r="A1322" s="390"/>
      <c r="B1322" s="423" t="s">
        <v>812</v>
      </c>
      <c r="C1322" s="424">
        <v>91027</v>
      </c>
      <c r="D1322" s="390"/>
      <c r="H1322" s="300"/>
      <c r="J1322" s="387"/>
      <c r="K1322" s="300"/>
      <c r="Q1322" s="300"/>
    </row>
    <row r="1323" spans="1:17">
      <c r="A1323" s="390"/>
      <c r="B1323" s="423" t="s">
        <v>820</v>
      </c>
      <c r="C1323" s="424">
        <v>91067</v>
      </c>
      <c r="D1323" s="390"/>
      <c r="H1323" s="300"/>
      <c r="J1323" s="387"/>
      <c r="K1323" s="300"/>
      <c r="Q1323" s="300"/>
    </row>
    <row r="1324" spans="1:17">
      <c r="A1324" s="390"/>
      <c r="B1324" s="423" t="s">
        <v>1168</v>
      </c>
      <c r="C1324" s="424">
        <v>94812</v>
      </c>
      <c r="D1324" s="390"/>
      <c r="H1324" s="300"/>
      <c r="J1324" s="387"/>
      <c r="K1324" s="300"/>
      <c r="Q1324" s="300"/>
    </row>
    <row r="1325" spans="1:17">
      <c r="A1325" s="390"/>
      <c r="B1325" s="423" t="s">
        <v>1323</v>
      </c>
      <c r="C1325" s="424">
        <v>96701</v>
      </c>
      <c r="D1325" s="390"/>
      <c r="H1325" s="300"/>
      <c r="J1325" s="387"/>
      <c r="K1325" s="300"/>
      <c r="Q1325" s="300"/>
    </row>
    <row r="1326" spans="1:17">
      <c r="A1326" s="390"/>
      <c r="B1326" s="423" t="s">
        <v>1324</v>
      </c>
      <c r="C1326" s="424">
        <v>96704</v>
      </c>
      <c r="D1326" s="390"/>
      <c r="H1326" s="300"/>
      <c r="J1326" s="387"/>
      <c r="K1326" s="300"/>
      <c r="Q1326" s="300"/>
    </row>
    <row r="1327" spans="1:17">
      <c r="A1327" s="390"/>
      <c r="B1327" s="423" t="s">
        <v>1325</v>
      </c>
      <c r="C1327" s="424">
        <v>96708</v>
      </c>
      <c r="D1327" s="390"/>
      <c r="H1327" s="300"/>
      <c r="J1327" s="388"/>
      <c r="K1327" s="300"/>
      <c r="Q1327" s="300"/>
    </row>
    <row r="1328" spans="1:17">
      <c r="A1328" s="390"/>
      <c r="B1328" s="423" t="s">
        <v>1332</v>
      </c>
      <c r="C1328" s="424">
        <v>96801</v>
      </c>
      <c r="D1328" s="390"/>
      <c r="H1328" s="300"/>
      <c r="J1328" s="387"/>
      <c r="K1328" s="300"/>
      <c r="Q1328" s="300"/>
    </row>
    <row r="1329" spans="1:17">
      <c r="A1329" s="390"/>
      <c r="B1329" s="423" t="s">
        <v>1333</v>
      </c>
      <c r="C1329" s="424">
        <v>96804</v>
      </c>
      <c r="D1329" s="390"/>
      <c r="H1329" s="300"/>
      <c r="J1329" s="387"/>
      <c r="K1329" s="300"/>
      <c r="Q1329" s="300"/>
    </row>
    <row r="1330" spans="1:17">
      <c r="A1330" s="390"/>
      <c r="B1330" s="423" t="s">
        <v>1334</v>
      </c>
      <c r="C1330" s="424">
        <v>96808</v>
      </c>
      <c r="D1330" s="390"/>
      <c r="H1330" s="300"/>
      <c r="J1330" s="388"/>
      <c r="K1330" s="300"/>
      <c r="Q1330" s="300"/>
    </row>
    <row r="1331" spans="1:17">
      <c r="A1331" s="390"/>
      <c r="B1331" s="423" t="s">
        <v>1087</v>
      </c>
      <c r="C1331" s="424">
        <v>93913</v>
      </c>
      <c r="D1331" s="390"/>
      <c r="H1331" s="300"/>
      <c r="J1331" s="387"/>
      <c r="K1331" s="300"/>
      <c r="Q1331" s="300"/>
    </row>
    <row r="1332" spans="1:17">
      <c r="A1332" s="390"/>
      <c r="B1332" s="423" t="s">
        <v>1338</v>
      </c>
      <c r="C1332" s="424">
        <v>96901</v>
      </c>
      <c r="D1332" s="390"/>
      <c r="H1332" s="300"/>
      <c r="J1332" s="387"/>
      <c r="K1332" s="300"/>
      <c r="Q1332" s="300"/>
    </row>
    <row r="1333" spans="1:17">
      <c r="A1333" s="390"/>
      <c r="B1333" s="423" t="s">
        <v>1060</v>
      </c>
      <c r="C1333" s="424">
        <v>93609</v>
      </c>
      <c r="D1333" s="390"/>
      <c r="H1333" s="300"/>
      <c r="J1333" s="387"/>
      <c r="K1333" s="300"/>
      <c r="Q1333" s="300"/>
    </row>
    <row r="1334" spans="1:17">
      <c r="A1334" s="390"/>
      <c r="B1334" s="423" t="s">
        <v>1344</v>
      </c>
      <c r="C1334" s="424">
        <v>97004</v>
      </c>
      <c r="D1334" s="390"/>
      <c r="H1334" s="300"/>
      <c r="J1334" s="387"/>
      <c r="K1334" s="300"/>
      <c r="Q1334" s="300"/>
    </row>
    <row r="1335" spans="1:17">
      <c r="A1335" s="390"/>
      <c r="B1335" s="426" t="s">
        <v>1342</v>
      </c>
      <c r="C1335" s="425">
        <v>97001</v>
      </c>
      <c r="D1335" s="390"/>
      <c r="H1335" s="300"/>
      <c r="J1335" s="387"/>
      <c r="K1335" s="300"/>
      <c r="Q1335" s="300"/>
    </row>
    <row r="1336" spans="1:17">
      <c r="A1336" s="390"/>
      <c r="B1336" s="423" t="s">
        <v>1343</v>
      </c>
      <c r="C1336" s="424">
        <v>97002</v>
      </c>
      <c r="D1336" s="390"/>
      <c r="H1336" s="300"/>
      <c r="J1336" s="387"/>
      <c r="K1336" s="300"/>
      <c r="Q1336" s="300"/>
    </row>
    <row r="1337" spans="1:17">
      <c r="A1337" s="390"/>
      <c r="B1337" s="423" t="s">
        <v>1351</v>
      </c>
      <c r="C1337" s="424">
        <v>97015</v>
      </c>
      <c r="D1337" s="390"/>
      <c r="H1337" s="300"/>
      <c r="J1337" s="387"/>
      <c r="K1337" s="300"/>
      <c r="Q1337" s="300"/>
    </row>
    <row r="1338" spans="1:17">
      <c r="A1338" s="390"/>
      <c r="B1338" s="423" t="s">
        <v>1423</v>
      </c>
      <c r="C1338" s="424">
        <v>97853</v>
      </c>
      <c r="D1338" s="390"/>
      <c r="H1338" s="300"/>
      <c r="J1338" s="387"/>
      <c r="K1338" s="300"/>
      <c r="Q1338" s="300"/>
    </row>
    <row r="1339" spans="1:17">
      <c r="A1339" s="390"/>
      <c r="B1339" s="423" t="s">
        <v>1353</v>
      </c>
      <c r="C1339" s="424">
        <v>97101</v>
      </c>
      <c r="D1339" s="390"/>
      <c r="H1339" s="300"/>
      <c r="J1339" s="388"/>
      <c r="K1339" s="300"/>
      <c r="Q1339" s="300"/>
    </row>
    <row r="1340" spans="1:17">
      <c r="A1340" s="390"/>
      <c r="B1340" s="423" t="s">
        <v>1354</v>
      </c>
      <c r="C1340" s="424">
        <v>97104</v>
      </c>
      <c r="D1340" s="390"/>
      <c r="H1340" s="300"/>
      <c r="J1340" s="387"/>
      <c r="K1340" s="300"/>
      <c r="Q1340" s="300"/>
    </row>
    <row r="1341" spans="1:17">
      <c r="A1341" s="390"/>
      <c r="B1341" s="423" t="s">
        <v>1358</v>
      </c>
      <c r="C1341" s="424">
        <v>97201</v>
      </c>
      <c r="D1341" s="390"/>
      <c r="H1341" s="300"/>
      <c r="J1341" s="387"/>
      <c r="K1341" s="300"/>
      <c r="Q1341" s="300"/>
    </row>
    <row r="1342" spans="1:17">
      <c r="A1342" s="390"/>
      <c r="B1342" s="423" t="s">
        <v>1364</v>
      </c>
      <c r="C1342" s="424">
        <v>97304</v>
      </c>
      <c r="D1342" s="390"/>
      <c r="H1342" s="300"/>
      <c r="J1342" s="388"/>
      <c r="K1342" s="300"/>
      <c r="Q1342" s="300"/>
    </row>
    <row r="1343" spans="1:17">
      <c r="A1343" s="390"/>
      <c r="B1343" s="423" t="s">
        <v>1363</v>
      </c>
      <c r="C1343" s="424">
        <v>97301</v>
      </c>
      <c r="D1343" s="390"/>
      <c r="H1343" s="300"/>
      <c r="J1343" s="387"/>
      <c r="K1343" s="300"/>
      <c r="Q1343" s="300"/>
    </row>
    <row r="1344" spans="1:17">
      <c r="A1344" s="390"/>
      <c r="B1344" s="423" t="s">
        <v>1565</v>
      </c>
      <c r="C1344" s="424">
        <v>99405</v>
      </c>
      <c r="D1344" s="390"/>
      <c r="H1344" s="300"/>
      <c r="J1344" s="387"/>
      <c r="K1344" s="300"/>
      <c r="Q1344" s="300"/>
    </row>
    <row r="1345" spans="1:17">
      <c r="A1345" s="390"/>
      <c r="B1345" s="423" t="s">
        <v>724</v>
      </c>
      <c r="C1345" s="424">
        <v>72265</v>
      </c>
      <c r="D1345" s="390"/>
      <c r="H1345" s="300"/>
      <c r="J1345" s="387"/>
      <c r="K1345" s="300"/>
      <c r="Q1345" s="300"/>
    </row>
    <row r="1346" spans="1:17">
      <c r="A1346" s="390"/>
      <c r="B1346" s="423" t="s">
        <v>1103</v>
      </c>
      <c r="C1346" s="424">
        <v>94112</v>
      </c>
      <c r="D1346" s="390"/>
      <c r="H1346" s="300"/>
      <c r="J1346" s="387"/>
      <c r="K1346" s="300"/>
      <c r="Q1346" s="300"/>
    </row>
    <row r="1347" spans="1:17">
      <c r="A1347" s="390"/>
      <c r="B1347" s="423" t="s">
        <v>1038</v>
      </c>
      <c r="C1347" s="424">
        <v>93406</v>
      </c>
      <c r="D1347" s="390"/>
      <c r="H1347" s="300"/>
      <c r="J1347" s="387"/>
      <c r="K1347" s="300"/>
      <c r="Q1347" s="300"/>
    </row>
    <row r="1348" spans="1:17">
      <c r="A1348" s="390"/>
      <c r="B1348" s="423" t="s">
        <v>1501</v>
      </c>
      <c r="C1348" s="424">
        <v>98607</v>
      </c>
      <c r="D1348" s="390"/>
      <c r="H1348" s="300"/>
      <c r="J1348" s="387"/>
      <c r="K1348" s="300"/>
      <c r="Q1348" s="300"/>
    </row>
    <row r="1349" spans="1:17">
      <c r="A1349" s="390"/>
      <c r="B1349" s="423" t="s">
        <v>1100</v>
      </c>
      <c r="C1349" s="424">
        <v>94108</v>
      </c>
      <c r="D1349" s="390"/>
      <c r="H1349" s="300"/>
      <c r="J1349" s="387"/>
      <c r="K1349" s="300"/>
      <c r="Q1349" s="300"/>
    </row>
    <row r="1350" spans="1:17">
      <c r="A1350" s="390"/>
      <c r="B1350" s="423" t="s">
        <v>1366</v>
      </c>
      <c r="C1350" s="424">
        <v>97401</v>
      </c>
      <c r="D1350" s="390"/>
      <c r="H1350" s="300"/>
      <c r="J1350" s="387"/>
      <c r="K1350" s="300"/>
      <c r="Q1350" s="300"/>
    </row>
    <row r="1351" spans="1:17">
      <c r="A1351" s="390"/>
      <c r="B1351" s="423" t="s">
        <v>1368</v>
      </c>
      <c r="C1351" s="424">
        <v>97404</v>
      </c>
      <c r="D1351" s="390"/>
      <c r="H1351" s="300"/>
      <c r="J1351" s="388"/>
      <c r="K1351" s="300"/>
      <c r="Q1351" s="300"/>
    </row>
    <row r="1352" spans="1:17">
      <c r="A1352" s="390"/>
      <c r="B1352" s="423" t="s">
        <v>1367</v>
      </c>
      <c r="C1352" s="424">
        <v>97402</v>
      </c>
      <c r="D1352" s="390"/>
      <c r="H1352" s="300"/>
      <c r="J1352" s="387"/>
      <c r="K1352" s="300"/>
      <c r="Q1352" s="300"/>
    </row>
    <row r="1353" spans="1:17">
      <c r="A1353" s="390"/>
      <c r="B1353" s="423" t="s">
        <v>1245</v>
      </c>
      <c r="C1353" s="424">
        <v>95908</v>
      </c>
      <c r="D1353" s="390"/>
      <c r="H1353" s="300"/>
      <c r="J1353" s="387"/>
      <c r="K1353" s="300"/>
      <c r="Q1353" s="300"/>
    </row>
    <row r="1354" spans="1:17">
      <c r="A1354" s="390"/>
      <c r="B1354" s="423" t="s">
        <v>1567</v>
      </c>
      <c r="C1354" s="424">
        <v>99413</v>
      </c>
      <c r="D1354" s="390"/>
      <c r="H1354" s="300"/>
      <c r="J1354" s="388"/>
      <c r="K1354" s="300"/>
      <c r="Q1354" s="300"/>
    </row>
    <row r="1355" spans="1:17">
      <c r="A1355" s="390"/>
      <c r="B1355" s="423" t="s">
        <v>1384</v>
      </c>
      <c r="C1355" s="424">
        <v>97501</v>
      </c>
      <c r="D1355" s="390"/>
      <c r="H1355" s="300"/>
      <c r="J1355" s="387"/>
      <c r="K1355" s="300"/>
      <c r="Q1355" s="300"/>
    </row>
    <row r="1356" spans="1:17">
      <c r="A1356" s="390"/>
      <c r="B1356" s="423" t="s">
        <v>1188</v>
      </c>
      <c r="C1356" s="424">
        <v>95105</v>
      </c>
      <c r="D1356" s="390"/>
      <c r="H1356" s="300"/>
      <c r="J1356" s="387"/>
      <c r="K1356" s="300"/>
      <c r="Q1356" s="300"/>
    </row>
    <row r="1357" spans="1:17">
      <c r="A1357" s="390"/>
      <c r="B1357" s="423" t="s">
        <v>971</v>
      </c>
      <c r="C1357" s="424">
        <v>92614</v>
      </c>
      <c r="D1357" s="390"/>
      <c r="H1357" s="300"/>
      <c r="J1357" s="387"/>
      <c r="K1357" s="300"/>
      <c r="Q1357" s="300"/>
    </row>
    <row r="1358" spans="1:17">
      <c r="A1358" s="390"/>
      <c r="B1358" s="423" t="s">
        <v>1548</v>
      </c>
      <c r="C1358" s="424">
        <v>99218</v>
      </c>
      <c r="D1358" s="390"/>
      <c r="H1358" s="300"/>
      <c r="J1358" s="387"/>
      <c r="K1358" s="300"/>
      <c r="Q1358" s="300"/>
    </row>
    <row r="1359" spans="1:17">
      <c r="A1359" s="390"/>
      <c r="B1359" s="423" t="s">
        <v>1388</v>
      </c>
      <c r="C1359" s="424">
        <v>97601</v>
      </c>
      <c r="D1359" s="390"/>
      <c r="H1359" s="300"/>
      <c r="J1359" s="387"/>
      <c r="K1359" s="300"/>
      <c r="Q1359" s="300"/>
    </row>
    <row r="1360" spans="1:17">
      <c r="A1360" s="390"/>
      <c r="B1360" s="423" t="s">
        <v>1426</v>
      </c>
      <c r="C1360" s="424">
        <v>97877</v>
      </c>
      <c r="D1360" s="390"/>
      <c r="H1360" s="300"/>
      <c r="J1360" s="387"/>
      <c r="K1360" s="300"/>
      <c r="Q1360" s="300"/>
    </row>
    <row r="1361" spans="1:17">
      <c r="A1361" s="390"/>
      <c r="B1361" s="423" t="s">
        <v>1571</v>
      </c>
      <c r="C1361" s="424">
        <v>99502</v>
      </c>
      <c r="D1361" s="390"/>
      <c r="H1361" s="300"/>
      <c r="J1361" s="387"/>
      <c r="K1361" s="300"/>
      <c r="Q1361" s="300"/>
    </row>
    <row r="1362" spans="1:17">
      <c r="A1362" s="390"/>
      <c r="B1362" s="423" t="s">
        <v>1430</v>
      </c>
      <c r="C1362" s="424">
        <v>97917</v>
      </c>
      <c r="D1362" s="390"/>
      <c r="H1362" s="300"/>
      <c r="J1362" s="387"/>
      <c r="K1362" s="300"/>
      <c r="Q1362" s="300"/>
    </row>
    <row r="1363" spans="1:17">
      <c r="A1363" s="390"/>
      <c r="B1363" s="423" t="s">
        <v>1400</v>
      </c>
      <c r="C1363" s="424">
        <v>97701</v>
      </c>
      <c r="D1363" s="390"/>
      <c r="H1363" s="300"/>
      <c r="J1363" s="388"/>
      <c r="K1363" s="300"/>
      <c r="Q1363" s="300"/>
    </row>
    <row r="1364" spans="1:17">
      <c r="A1364" s="390"/>
      <c r="B1364" s="423" t="s">
        <v>1118</v>
      </c>
      <c r="C1364" s="424">
        <v>94209</v>
      </c>
      <c r="D1364" s="393"/>
      <c r="H1364" s="300"/>
      <c r="J1364" s="387"/>
      <c r="K1364" s="300"/>
      <c r="Q1364" s="300"/>
    </row>
    <row r="1365" spans="1:17">
      <c r="A1365" s="390"/>
      <c r="B1365" s="423" t="s">
        <v>1243</v>
      </c>
      <c r="C1365" s="424">
        <v>95853</v>
      </c>
      <c r="D1365" s="390"/>
      <c r="H1365" s="300"/>
      <c r="J1365" s="387"/>
      <c r="K1365" s="300"/>
      <c r="Q1365" s="300"/>
    </row>
    <row r="1366" spans="1:17">
      <c r="A1366" s="390"/>
      <c r="B1366" s="423" t="s">
        <v>1408</v>
      </c>
      <c r="C1366" s="424">
        <v>97801</v>
      </c>
      <c r="D1366" s="390"/>
      <c r="H1366" s="300"/>
      <c r="J1366" s="388"/>
      <c r="K1366" s="300"/>
      <c r="Q1366" s="300"/>
    </row>
    <row r="1367" spans="1:17">
      <c r="A1367" s="390"/>
      <c r="B1367" s="423" t="s">
        <v>1410</v>
      </c>
      <c r="C1367" s="424">
        <v>97803</v>
      </c>
      <c r="D1367" s="390"/>
      <c r="H1367" s="300"/>
      <c r="J1367" s="387"/>
      <c r="K1367" s="300"/>
      <c r="Q1367" s="300"/>
    </row>
    <row r="1368" spans="1:17">
      <c r="A1368" s="390"/>
      <c r="B1368" s="423" t="s">
        <v>1411</v>
      </c>
      <c r="C1368" s="424">
        <v>97805</v>
      </c>
      <c r="D1368" s="390"/>
      <c r="H1368" s="300"/>
      <c r="J1368" s="387"/>
      <c r="K1368" s="300"/>
      <c r="Q1368" s="300"/>
    </row>
    <row r="1369" spans="1:17">
      <c r="A1369" s="390"/>
      <c r="B1369" s="423" t="s">
        <v>1427</v>
      </c>
      <c r="C1369" s="424">
        <v>97901</v>
      </c>
      <c r="D1369" s="390"/>
      <c r="H1369" s="300"/>
      <c r="J1369" s="387"/>
      <c r="K1369" s="300"/>
      <c r="Q1369" s="300"/>
    </row>
    <row r="1370" spans="1:17">
      <c r="A1370" s="390"/>
      <c r="B1370" s="423" t="s">
        <v>1403</v>
      </c>
      <c r="C1370" s="424">
        <v>97713</v>
      </c>
      <c r="D1370" s="390"/>
      <c r="H1370" s="300"/>
      <c r="J1370" s="387"/>
      <c r="K1370" s="300"/>
      <c r="Q1370" s="300"/>
    </row>
    <row r="1371" spans="1:17">
      <c r="A1371" s="390"/>
      <c r="B1371" s="423" t="s">
        <v>1031</v>
      </c>
      <c r="C1371" s="424">
        <v>93323</v>
      </c>
      <c r="D1371" s="390"/>
      <c r="H1371" s="300"/>
      <c r="J1371" s="387"/>
      <c r="K1371" s="300"/>
      <c r="Q1371" s="300"/>
    </row>
    <row r="1372" spans="1:17">
      <c r="A1372" s="390"/>
      <c r="B1372" s="423" t="s">
        <v>1033</v>
      </c>
      <c r="C1372" s="424">
        <v>93333</v>
      </c>
      <c r="D1372" s="390"/>
      <c r="H1372" s="300"/>
      <c r="J1372" s="387"/>
      <c r="K1372" s="300"/>
      <c r="Q1372" s="300"/>
    </row>
    <row r="1373" spans="1:17">
      <c r="A1373" s="390"/>
      <c r="B1373" s="423" t="s">
        <v>1472</v>
      </c>
      <c r="C1373" s="424">
        <v>98237</v>
      </c>
      <c r="D1373" s="390"/>
      <c r="H1373" s="300"/>
      <c r="J1373" s="387"/>
      <c r="K1373" s="300"/>
      <c r="Q1373" s="300"/>
    </row>
    <row r="1374" spans="1:17">
      <c r="A1374" s="390"/>
      <c r="B1374" s="423" t="s">
        <v>1440</v>
      </c>
      <c r="C1374" s="424">
        <v>98003</v>
      </c>
      <c r="D1374" s="390"/>
      <c r="H1374" s="300"/>
      <c r="J1374" s="387"/>
      <c r="K1374" s="300"/>
      <c r="Q1374" s="300"/>
    </row>
    <row r="1375" spans="1:17">
      <c r="A1375" s="390"/>
      <c r="B1375" s="423" t="s">
        <v>1442</v>
      </c>
      <c r="C1375" s="424">
        <v>98008</v>
      </c>
      <c r="D1375" s="390"/>
      <c r="H1375" s="300"/>
      <c r="J1375" s="388"/>
      <c r="K1375" s="300"/>
      <c r="Q1375" s="300"/>
    </row>
    <row r="1376" spans="1:17">
      <c r="A1376" s="390"/>
      <c r="B1376" s="423" t="s">
        <v>1439</v>
      </c>
      <c r="C1376" s="424">
        <v>98002</v>
      </c>
      <c r="D1376" s="390"/>
      <c r="H1376" s="300"/>
      <c r="J1376" s="387"/>
      <c r="K1376" s="300"/>
      <c r="Q1376" s="300"/>
    </row>
    <row r="1377" spans="1:17">
      <c r="A1377" s="390"/>
      <c r="B1377" s="423" t="s">
        <v>1438</v>
      </c>
      <c r="C1377" s="424">
        <v>98001</v>
      </c>
      <c r="D1377" s="390"/>
      <c r="H1377" s="300"/>
      <c r="J1377" s="387"/>
      <c r="K1377" s="300"/>
      <c r="Q1377" s="300"/>
    </row>
    <row r="1378" spans="1:17">
      <c r="A1378" s="390"/>
      <c r="B1378" s="423" t="s">
        <v>1441</v>
      </c>
      <c r="C1378" s="424">
        <v>98004</v>
      </c>
      <c r="D1378" s="390"/>
      <c r="H1378" s="300"/>
      <c r="J1378" s="388"/>
      <c r="K1378" s="300"/>
      <c r="Q1378" s="300"/>
    </row>
    <row r="1379" spans="1:17">
      <c r="A1379" s="390"/>
      <c r="B1379" s="423" t="s">
        <v>3611</v>
      </c>
      <c r="C1379" s="424">
        <v>97302</v>
      </c>
      <c r="D1379" s="390"/>
      <c r="H1379" s="300"/>
      <c r="J1379" s="387"/>
      <c r="K1379" s="300"/>
      <c r="Q1379" s="300"/>
    </row>
    <row r="1380" spans="1:17">
      <c r="A1380" s="390"/>
      <c r="B1380" s="423" t="s">
        <v>1454</v>
      </c>
      <c r="C1380" s="424">
        <v>98101</v>
      </c>
      <c r="D1380" s="390"/>
      <c r="H1380" s="300"/>
      <c r="J1380" s="387"/>
      <c r="K1380" s="300"/>
      <c r="Q1380" s="300"/>
    </row>
    <row r="1381" spans="1:17">
      <c r="A1381" s="390"/>
      <c r="B1381" s="423" t="s">
        <v>1466</v>
      </c>
      <c r="C1381" s="424">
        <v>98201</v>
      </c>
      <c r="D1381" s="390"/>
      <c r="H1381" s="300"/>
      <c r="J1381" s="387"/>
      <c r="K1381" s="300"/>
      <c r="Q1381" s="300"/>
    </row>
    <row r="1382" spans="1:17">
      <c r="A1382" s="390"/>
      <c r="B1382" s="423" t="s">
        <v>1401</v>
      </c>
      <c r="C1382" s="424">
        <v>97705</v>
      </c>
      <c r="D1382" s="390"/>
      <c r="H1382" s="300"/>
      <c r="J1382" s="387"/>
      <c r="K1382" s="300"/>
      <c r="Q1382" s="300"/>
    </row>
    <row r="1383" spans="1:17">
      <c r="A1383" s="390"/>
      <c r="B1383" s="423" t="s">
        <v>1283</v>
      </c>
      <c r="C1383" s="424">
        <v>96318</v>
      </c>
      <c r="D1383" s="390"/>
      <c r="H1383" s="300"/>
      <c r="J1383" s="387"/>
      <c r="K1383" s="300"/>
      <c r="Q1383" s="300"/>
    </row>
    <row r="1384" spans="1:17">
      <c r="A1384" s="390"/>
      <c r="B1384" s="423" t="s">
        <v>1210</v>
      </c>
      <c r="C1384" s="424">
        <v>95317</v>
      </c>
      <c r="D1384" s="390"/>
      <c r="H1384" s="300"/>
      <c r="J1384" s="387"/>
      <c r="K1384" s="300"/>
      <c r="Q1384" s="300"/>
    </row>
    <row r="1385" spans="1:17">
      <c r="A1385" s="390"/>
      <c r="B1385" s="423" t="s">
        <v>1477</v>
      </c>
      <c r="C1385" s="424">
        <v>98301</v>
      </c>
      <c r="D1385" s="390"/>
      <c r="H1385" s="300"/>
      <c r="J1385" s="387"/>
      <c r="K1385" s="300"/>
      <c r="Q1385" s="300"/>
    </row>
    <row r="1386" spans="1:17">
      <c r="A1386" s="390"/>
      <c r="B1386" s="423" t="s">
        <v>1478</v>
      </c>
      <c r="C1386" s="424">
        <v>98304</v>
      </c>
      <c r="D1386" s="390"/>
      <c r="H1386" s="300"/>
      <c r="J1386" s="387"/>
      <c r="K1386" s="300"/>
      <c r="Q1386" s="300"/>
    </row>
    <row r="1387" spans="1:17">
      <c r="A1387" s="390"/>
      <c r="B1387" s="423" t="s">
        <v>1195</v>
      </c>
      <c r="C1387" s="424">
        <v>95123</v>
      </c>
      <c r="D1387" s="390"/>
      <c r="H1387" s="300"/>
      <c r="J1387" s="388"/>
      <c r="K1387" s="300"/>
      <c r="Q1387" s="300"/>
    </row>
    <row r="1388" spans="1:17">
      <c r="A1388" s="390"/>
      <c r="B1388" s="423" t="s">
        <v>818</v>
      </c>
      <c r="C1388" s="424">
        <v>91057</v>
      </c>
      <c r="D1388" s="390"/>
      <c r="H1388" s="300"/>
      <c r="J1388" s="387"/>
      <c r="K1388" s="300"/>
      <c r="Q1388" s="300"/>
    </row>
    <row r="1389" spans="1:17">
      <c r="A1389" s="390"/>
      <c r="B1389" s="423" t="s">
        <v>932</v>
      </c>
      <c r="C1389" s="424">
        <v>92317</v>
      </c>
      <c r="D1389" s="390"/>
      <c r="H1389" s="300"/>
      <c r="J1389" s="387"/>
      <c r="K1389" s="300"/>
      <c r="Q1389" s="300"/>
    </row>
    <row r="1390" spans="1:17">
      <c r="A1390" s="390"/>
      <c r="B1390" s="423" t="s">
        <v>1369</v>
      </c>
      <c r="C1390" s="424">
        <v>97405</v>
      </c>
      <c r="D1390" s="390"/>
      <c r="H1390" s="300"/>
      <c r="J1390" s="388"/>
      <c r="K1390" s="300"/>
      <c r="Q1390" s="300"/>
    </row>
    <row r="1391" spans="1:17">
      <c r="A1391" s="390"/>
      <c r="B1391" s="423" t="s">
        <v>916</v>
      </c>
      <c r="C1391" s="424">
        <v>91917</v>
      </c>
      <c r="D1391" s="390"/>
      <c r="H1391" s="300"/>
      <c r="J1391" s="387"/>
      <c r="K1391" s="300"/>
      <c r="Q1391" s="300"/>
    </row>
    <row r="1392" spans="1:17">
      <c r="A1392" s="390"/>
      <c r="B1392" s="423" t="s">
        <v>836</v>
      </c>
      <c r="C1392" s="424">
        <v>91138</v>
      </c>
      <c r="D1392" s="390"/>
      <c r="H1392" s="300"/>
      <c r="J1392" s="387"/>
      <c r="K1392" s="300"/>
      <c r="Q1392" s="300"/>
    </row>
    <row r="1393" spans="1:17">
      <c r="A1393" s="390"/>
      <c r="B1393" s="423" t="s">
        <v>1192</v>
      </c>
      <c r="C1393" s="424">
        <v>95113</v>
      </c>
      <c r="D1393" s="390"/>
      <c r="H1393" s="300"/>
      <c r="J1393" s="387"/>
      <c r="K1393" s="300"/>
      <c r="Q1393" s="300"/>
    </row>
    <row r="1394" spans="1:17">
      <c r="A1394" s="390"/>
      <c r="B1394" s="423" t="s">
        <v>791</v>
      </c>
      <c r="C1394" s="424">
        <v>90918</v>
      </c>
      <c r="D1394" s="390"/>
      <c r="H1394" s="300"/>
      <c r="J1394" s="387"/>
      <c r="K1394" s="300"/>
      <c r="Q1394" s="300"/>
    </row>
    <row r="1395" spans="1:17">
      <c r="A1395" s="390"/>
      <c r="B1395" s="423" t="s">
        <v>1085</v>
      </c>
      <c r="C1395" s="424">
        <v>93910</v>
      </c>
      <c r="D1395" s="390"/>
      <c r="H1395" s="300"/>
      <c r="J1395" s="387"/>
      <c r="K1395" s="300"/>
      <c r="Q1395" s="300"/>
    </row>
    <row r="1396" spans="1:17">
      <c r="A1396" s="390"/>
      <c r="B1396" s="423" t="s">
        <v>806</v>
      </c>
      <c r="C1396" s="424">
        <v>91013</v>
      </c>
      <c r="D1396" s="390"/>
      <c r="H1396" s="300"/>
      <c r="J1396" s="388"/>
      <c r="K1396" s="300"/>
      <c r="Q1396" s="300"/>
    </row>
    <row r="1397" spans="1:17">
      <c r="A1397" s="390"/>
      <c r="B1397" s="423" t="s">
        <v>1582</v>
      </c>
      <c r="C1397" s="424">
        <v>99609</v>
      </c>
      <c r="D1397" s="390"/>
      <c r="H1397" s="300"/>
      <c r="J1397" s="387"/>
      <c r="K1397" s="300"/>
      <c r="Q1397" s="300"/>
    </row>
    <row r="1398" spans="1:17">
      <c r="A1398" s="390"/>
      <c r="B1398" s="423" t="s">
        <v>2009</v>
      </c>
      <c r="C1398" s="424">
        <v>91017</v>
      </c>
      <c r="D1398" s="390"/>
      <c r="H1398" s="300"/>
      <c r="J1398" s="387"/>
      <c r="K1398" s="300"/>
      <c r="Q1398" s="300"/>
    </row>
    <row r="1399" spans="1:17">
      <c r="A1399" s="390"/>
      <c r="B1399" s="423" t="s">
        <v>1181</v>
      </c>
      <c r="C1399" s="424">
        <v>95008</v>
      </c>
      <c r="D1399" s="390"/>
      <c r="H1399" s="300"/>
      <c r="J1399" s="387"/>
      <c r="K1399" s="300"/>
      <c r="Q1399" s="300"/>
    </row>
    <row r="1400" spans="1:17">
      <c r="A1400" s="390"/>
      <c r="B1400" s="423" t="s">
        <v>1418</v>
      </c>
      <c r="C1400" s="424">
        <v>97837</v>
      </c>
      <c r="D1400" s="390"/>
      <c r="H1400" s="300"/>
      <c r="J1400" s="387"/>
      <c r="K1400" s="300"/>
      <c r="Q1400" s="300"/>
    </row>
    <row r="1401" spans="1:17">
      <c r="A1401" s="390"/>
      <c r="B1401" s="423" t="s">
        <v>1484</v>
      </c>
      <c r="C1401" s="424">
        <v>98401</v>
      </c>
      <c r="D1401" s="390"/>
      <c r="H1401" s="300"/>
      <c r="J1401" s="387"/>
      <c r="K1401" s="300"/>
      <c r="Q1401" s="300"/>
    </row>
    <row r="1402" spans="1:17">
      <c r="A1402" s="390"/>
      <c r="B1402" s="423" t="s">
        <v>1172</v>
      </c>
      <c r="C1402" s="424">
        <v>94917</v>
      </c>
      <c r="D1402" s="390"/>
      <c r="H1402" s="300"/>
      <c r="J1402" s="387"/>
      <c r="K1402" s="300"/>
      <c r="Q1402" s="300"/>
    </row>
    <row r="1403" spans="1:17">
      <c r="A1403" s="390"/>
      <c r="B1403" s="423" t="s">
        <v>1495</v>
      </c>
      <c r="C1403" s="424">
        <v>98501</v>
      </c>
      <c r="D1403" s="390"/>
      <c r="H1403" s="300"/>
      <c r="J1403" s="387"/>
      <c r="K1403" s="300"/>
      <c r="Q1403" s="300"/>
    </row>
    <row r="1404" spans="1:17">
      <c r="A1404" s="390"/>
      <c r="B1404" s="423" t="s">
        <v>1114</v>
      </c>
      <c r="C1404" s="424">
        <v>94172</v>
      </c>
      <c r="D1404" s="390"/>
      <c r="H1404" s="300"/>
      <c r="J1404" s="387"/>
      <c r="K1404" s="300"/>
      <c r="Q1404" s="300"/>
    </row>
    <row r="1405" spans="1:17">
      <c r="A1405" s="390"/>
      <c r="B1405" s="423" t="s">
        <v>1499</v>
      </c>
      <c r="C1405" s="424">
        <v>98601</v>
      </c>
      <c r="D1405" s="390"/>
      <c r="H1405" s="300"/>
      <c r="J1405" s="388"/>
      <c r="K1405" s="300"/>
      <c r="Q1405" s="300"/>
    </row>
    <row r="1406" spans="1:17">
      <c r="A1406" s="390"/>
      <c r="B1406" s="423" t="s">
        <v>1509</v>
      </c>
      <c r="C1406" s="424">
        <v>98701</v>
      </c>
      <c r="D1406" s="390"/>
      <c r="H1406" s="300"/>
      <c r="J1406" s="387"/>
      <c r="K1406" s="300"/>
      <c r="Q1406" s="300"/>
    </row>
    <row r="1407" spans="1:17">
      <c r="A1407" s="390"/>
      <c r="B1407" s="423" t="s">
        <v>1029</v>
      </c>
      <c r="C1407" s="424">
        <v>93317</v>
      </c>
      <c r="D1407" s="390"/>
      <c r="H1407" s="300"/>
      <c r="J1407" s="387"/>
      <c r="K1407" s="300"/>
      <c r="Q1407" s="300"/>
    </row>
    <row r="1408" spans="1:17">
      <c r="A1408" s="390"/>
      <c r="B1408" s="423" t="s">
        <v>723</v>
      </c>
      <c r="C1408" s="424">
        <v>70505</v>
      </c>
      <c r="D1408" s="390"/>
      <c r="H1408" s="300"/>
      <c r="J1408" s="388"/>
      <c r="K1408" s="300"/>
      <c r="Q1408" s="300"/>
    </row>
    <row r="1409" spans="1:17">
      <c r="A1409" s="390"/>
      <c r="B1409" s="423" t="s">
        <v>927</v>
      </c>
      <c r="C1409" s="424">
        <v>92113</v>
      </c>
      <c r="D1409" s="390"/>
      <c r="H1409" s="300"/>
      <c r="J1409" s="387"/>
      <c r="K1409" s="300"/>
      <c r="Q1409" s="300"/>
    </row>
    <row r="1410" spans="1:17">
      <c r="A1410" s="390"/>
      <c r="B1410" s="423" t="s">
        <v>1429</v>
      </c>
      <c r="C1410" s="424">
        <v>97913</v>
      </c>
      <c r="D1410" s="390"/>
      <c r="H1410" s="300"/>
      <c r="J1410" s="387"/>
      <c r="K1410" s="300"/>
      <c r="Q1410" s="300"/>
    </row>
    <row r="1411" spans="1:17">
      <c r="A1411" s="390"/>
      <c r="B1411" s="423" t="s">
        <v>906</v>
      </c>
      <c r="C1411" s="424">
        <v>91841</v>
      </c>
      <c r="D1411" s="390"/>
      <c r="H1411" s="300"/>
      <c r="J1411" s="387"/>
      <c r="K1411" s="300"/>
      <c r="Q1411" s="300"/>
    </row>
    <row r="1412" spans="1:17">
      <c r="A1412" s="390"/>
      <c r="B1412" s="423" t="s">
        <v>1151</v>
      </c>
      <c r="C1412" s="424">
        <v>94531</v>
      </c>
      <c r="D1412" s="390"/>
      <c r="H1412" s="300"/>
      <c r="J1412" s="387"/>
      <c r="K1412" s="300"/>
      <c r="Q1412" s="300"/>
    </row>
    <row r="1413" spans="1:17">
      <c r="A1413" s="390"/>
      <c r="B1413" s="423" t="s">
        <v>993</v>
      </c>
      <c r="C1413" s="424">
        <v>92914</v>
      </c>
      <c r="D1413" s="390"/>
      <c r="H1413" s="300"/>
      <c r="J1413" s="387"/>
      <c r="K1413" s="300"/>
      <c r="Q1413" s="300"/>
    </row>
    <row r="1414" spans="1:17">
      <c r="A1414" s="390"/>
      <c r="B1414" s="423" t="s">
        <v>992</v>
      </c>
      <c r="C1414" s="424">
        <v>92913</v>
      </c>
      <c r="D1414" s="390"/>
      <c r="H1414" s="300"/>
      <c r="J1414" s="387"/>
      <c r="K1414" s="300"/>
      <c r="Q1414" s="300"/>
    </row>
    <row r="1415" spans="1:17">
      <c r="A1415" s="390"/>
      <c r="B1415" s="426" t="s">
        <v>732</v>
      </c>
      <c r="C1415" s="425">
        <v>90098</v>
      </c>
      <c r="D1415" s="390"/>
      <c r="H1415" s="300"/>
      <c r="J1415" s="387"/>
      <c r="K1415" s="300"/>
      <c r="Q1415" s="300"/>
    </row>
    <row r="1416" spans="1:17">
      <c r="A1416" s="390"/>
      <c r="B1416" s="423" t="s">
        <v>1285</v>
      </c>
      <c r="C1416" s="424">
        <v>96331</v>
      </c>
      <c r="D1416" s="390"/>
      <c r="H1416" s="300"/>
      <c r="J1416" s="387"/>
      <c r="K1416" s="300"/>
      <c r="Q1416" s="300"/>
    </row>
    <row r="1417" spans="1:17">
      <c r="A1417" s="390"/>
      <c r="B1417" s="423" t="s">
        <v>1159</v>
      </c>
      <c r="C1417" s="424">
        <v>94611</v>
      </c>
      <c r="D1417" s="390"/>
      <c r="H1417" s="300"/>
      <c r="J1417" s="388"/>
      <c r="K1417" s="300"/>
      <c r="Q1417" s="300"/>
    </row>
    <row r="1418" spans="1:17">
      <c r="A1418" s="390"/>
      <c r="B1418" s="423" t="s">
        <v>922</v>
      </c>
      <c r="C1418" s="424">
        <v>92021</v>
      </c>
      <c r="D1418" s="390"/>
      <c r="H1418" s="300"/>
      <c r="J1418" s="387"/>
      <c r="K1418" s="300"/>
      <c r="Q1418" s="300"/>
    </row>
    <row r="1419" spans="1:17">
      <c r="A1419" s="390"/>
      <c r="B1419" s="423" t="s">
        <v>1133</v>
      </c>
      <c r="C1419" s="424">
        <v>94351</v>
      </c>
      <c r="D1419" s="390"/>
      <c r="H1419" s="300"/>
      <c r="J1419" s="387"/>
      <c r="K1419" s="300"/>
      <c r="Q1419" s="300"/>
    </row>
    <row r="1420" spans="1:17">
      <c r="A1420" s="390"/>
      <c r="B1420" s="423" t="s">
        <v>1132</v>
      </c>
      <c r="C1420" s="424">
        <v>94347</v>
      </c>
      <c r="D1420" s="390"/>
      <c r="H1420" s="300"/>
      <c r="J1420" s="388"/>
      <c r="K1420" s="300"/>
      <c r="Q1420" s="300"/>
    </row>
    <row r="1421" spans="1:17">
      <c r="A1421" s="390"/>
      <c r="B1421" s="423" t="s">
        <v>758</v>
      </c>
      <c r="C1421" s="424">
        <v>90451</v>
      </c>
      <c r="D1421" s="390"/>
      <c r="H1421" s="300"/>
      <c r="J1421" s="387"/>
      <c r="K1421" s="300"/>
      <c r="Q1421" s="300"/>
    </row>
    <row r="1422" spans="1:17">
      <c r="A1422" s="390"/>
      <c r="B1422" s="423" t="s">
        <v>1556</v>
      </c>
      <c r="C1422" s="424">
        <v>99271</v>
      </c>
      <c r="D1422" s="390"/>
      <c r="H1422" s="300"/>
      <c r="J1422" s="387"/>
      <c r="K1422" s="300"/>
      <c r="Q1422" s="300"/>
    </row>
    <row r="1423" spans="1:17">
      <c r="A1423" s="390"/>
      <c r="B1423" s="423" t="s">
        <v>1189</v>
      </c>
      <c r="C1423" s="424">
        <v>95106</v>
      </c>
      <c r="D1423" s="390"/>
      <c r="H1423" s="300"/>
      <c r="J1423" s="387"/>
      <c r="K1423" s="300"/>
      <c r="Q1423" s="300"/>
    </row>
    <row r="1424" spans="1:17">
      <c r="A1424" s="390"/>
      <c r="B1424" s="423" t="s">
        <v>891</v>
      </c>
      <c r="C1424" s="424">
        <v>91681</v>
      </c>
      <c r="D1424" s="390"/>
      <c r="H1424" s="300"/>
      <c r="J1424" s="387"/>
      <c r="K1424" s="300"/>
      <c r="Q1424" s="300"/>
    </row>
    <row r="1425" spans="1:17">
      <c r="A1425" s="390"/>
      <c r="B1425" s="423" t="s">
        <v>784</v>
      </c>
      <c r="C1425" s="424">
        <v>90811</v>
      </c>
      <c r="D1425" s="390"/>
      <c r="H1425" s="300"/>
      <c r="J1425" s="387"/>
      <c r="K1425" s="300"/>
      <c r="Q1425" s="300"/>
    </row>
    <row r="1426" spans="1:17">
      <c r="A1426" s="390"/>
      <c r="B1426" s="423" t="s">
        <v>776</v>
      </c>
      <c r="C1426" s="424">
        <v>90721</v>
      </c>
      <c r="D1426" s="390"/>
      <c r="H1426" s="300"/>
      <c r="J1426" s="387"/>
      <c r="K1426" s="300"/>
      <c r="Q1426" s="300"/>
    </row>
    <row r="1427" spans="1:17">
      <c r="A1427" s="390"/>
      <c r="B1427" s="423" t="s">
        <v>1476</v>
      </c>
      <c r="C1427" s="424">
        <v>98271</v>
      </c>
      <c r="D1427" s="390"/>
      <c r="H1427" s="300"/>
      <c r="J1427" s="387"/>
      <c r="K1427" s="300"/>
      <c r="Q1427" s="300"/>
    </row>
    <row r="1428" spans="1:17">
      <c r="A1428" s="390"/>
      <c r="B1428" s="423" t="s">
        <v>1379</v>
      </c>
      <c r="C1428" s="424">
        <v>97461</v>
      </c>
      <c r="D1428" s="390"/>
      <c r="H1428" s="300"/>
      <c r="J1428" s="387"/>
      <c r="K1428" s="300"/>
      <c r="Q1428" s="300"/>
    </row>
    <row r="1429" spans="1:17">
      <c r="A1429" s="390"/>
      <c r="B1429" s="423" t="s">
        <v>1493</v>
      </c>
      <c r="C1429" s="424">
        <v>98451</v>
      </c>
      <c r="D1429" s="390"/>
      <c r="H1429" s="300"/>
      <c r="J1429" s="388"/>
      <c r="K1429" s="300"/>
      <c r="Q1429" s="300"/>
    </row>
    <row r="1430" spans="1:17">
      <c r="A1430" s="390"/>
      <c r="B1430" s="423" t="s">
        <v>1299</v>
      </c>
      <c r="C1430" s="424">
        <v>96451</v>
      </c>
      <c r="D1430" s="390"/>
      <c r="H1430" s="300"/>
      <c r="J1430" s="387"/>
      <c r="K1430" s="300"/>
      <c r="Q1430" s="300"/>
    </row>
    <row r="1431" spans="1:17">
      <c r="A1431" s="390"/>
      <c r="B1431" s="423" t="s">
        <v>1268</v>
      </c>
      <c r="C1431" s="424">
        <v>96121</v>
      </c>
      <c r="D1431" s="390"/>
      <c r="H1431" s="300"/>
      <c r="J1431" s="387"/>
      <c r="K1431" s="300"/>
      <c r="Q1431" s="300"/>
    </row>
    <row r="1432" spans="1:17">
      <c r="A1432" s="390"/>
      <c r="B1432" s="423" t="s">
        <v>765</v>
      </c>
      <c r="C1432" s="424">
        <v>90611</v>
      </c>
      <c r="D1432" s="390"/>
      <c r="H1432" s="300"/>
      <c r="J1432" s="388"/>
      <c r="K1432" s="300"/>
      <c r="Q1432" s="300"/>
    </row>
    <row r="1433" spans="1:17">
      <c r="A1433" s="390"/>
      <c r="B1433" s="423" t="s">
        <v>1339</v>
      </c>
      <c r="C1433" s="424">
        <v>96911</v>
      </c>
      <c r="D1433" s="390"/>
      <c r="H1433" s="300"/>
      <c r="J1433" s="387"/>
      <c r="K1433" s="300"/>
      <c r="Q1433" s="300"/>
    </row>
    <row r="1434" spans="1:17">
      <c r="A1434" s="390"/>
      <c r="B1434" s="423" t="s">
        <v>885</v>
      </c>
      <c r="C1434" s="424">
        <v>91631</v>
      </c>
      <c r="D1434" s="390"/>
      <c r="H1434" s="300"/>
      <c r="J1434" s="387"/>
      <c r="K1434" s="300"/>
      <c r="Q1434" s="300"/>
    </row>
    <row r="1435" spans="1:17">
      <c r="A1435" s="390"/>
      <c r="B1435" s="423" t="s">
        <v>768</v>
      </c>
      <c r="C1435" s="424">
        <v>90631</v>
      </c>
      <c r="D1435" s="390"/>
      <c r="H1435" s="300"/>
      <c r="J1435" s="387"/>
      <c r="K1435" s="300"/>
      <c r="Q1435" s="300"/>
    </row>
    <row r="1436" spans="1:17">
      <c r="A1436" s="390"/>
      <c r="B1436" s="423" t="s">
        <v>777</v>
      </c>
      <c r="C1436" s="424">
        <v>90731</v>
      </c>
      <c r="D1436" s="390"/>
      <c r="H1436" s="300"/>
      <c r="J1436" s="387"/>
      <c r="K1436" s="300"/>
      <c r="Q1436" s="300"/>
    </row>
    <row r="1437" spans="1:17">
      <c r="A1437" s="390"/>
      <c r="B1437" s="423" t="s">
        <v>809</v>
      </c>
      <c r="C1437" s="424">
        <v>91020</v>
      </c>
      <c r="D1437" s="390"/>
      <c r="H1437" s="300"/>
      <c r="J1437" s="387"/>
      <c r="K1437" s="300"/>
      <c r="Q1437" s="300"/>
    </row>
    <row r="1438" spans="1:17">
      <c r="A1438" s="390"/>
      <c r="B1438" s="423" t="s">
        <v>1197</v>
      </c>
      <c r="C1438" s="424">
        <v>95141</v>
      </c>
      <c r="D1438" s="390"/>
      <c r="H1438" s="300"/>
      <c r="J1438" s="387"/>
      <c r="K1438" s="300"/>
      <c r="Q1438" s="300"/>
    </row>
    <row r="1439" spans="1:17">
      <c r="A1439" s="390"/>
      <c r="B1439" s="423" t="s">
        <v>1000</v>
      </c>
      <c r="C1439" s="424">
        <v>93021</v>
      </c>
      <c r="D1439" s="390"/>
      <c r="H1439" s="300"/>
      <c r="J1439" s="387"/>
      <c r="K1439" s="300"/>
      <c r="Q1439" s="300"/>
    </row>
    <row r="1440" spans="1:17">
      <c r="A1440" s="390"/>
      <c r="B1440" s="423" t="s">
        <v>1377</v>
      </c>
      <c r="C1440" s="424">
        <v>97441</v>
      </c>
      <c r="D1440" s="390"/>
      <c r="H1440" s="300"/>
      <c r="J1440" s="387"/>
      <c r="K1440" s="300"/>
      <c r="Q1440" s="300"/>
    </row>
    <row r="1441" spans="1:17">
      <c r="A1441" s="390"/>
      <c r="B1441" s="423" t="s">
        <v>1005</v>
      </c>
      <c r="C1441" s="424">
        <v>93111</v>
      </c>
      <c r="D1441" s="390"/>
      <c r="H1441" s="300"/>
      <c r="J1441" s="388"/>
      <c r="K1441" s="300"/>
      <c r="Q1441" s="300"/>
    </row>
    <row r="1442" spans="1:17">
      <c r="A1442" s="390"/>
      <c r="B1442" s="423" t="s">
        <v>831</v>
      </c>
      <c r="C1442" s="424">
        <v>91111</v>
      </c>
      <c r="D1442" s="390"/>
      <c r="H1442" s="300"/>
      <c r="J1442" s="387"/>
      <c r="K1442" s="300"/>
      <c r="Q1442" s="300"/>
    </row>
    <row r="1443" spans="1:17">
      <c r="A1443" s="390"/>
      <c r="B1443" s="423" t="s">
        <v>1273</v>
      </c>
      <c r="C1443" s="424">
        <v>96231</v>
      </c>
      <c r="D1443" s="390"/>
      <c r="H1443" s="300"/>
      <c r="J1443" s="387"/>
      <c r="K1443" s="300"/>
      <c r="Q1443" s="300"/>
    </row>
    <row r="1444" spans="1:17">
      <c r="A1444" s="390"/>
      <c r="B1444" s="423" t="s">
        <v>1604</v>
      </c>
      <c r="C1444" s="424">
        <v>99831</v>
      </c>
      <c r="D1444" s="390"/>
      <c r="H1444" s="300"/>
      <c r="J1444" s="388"/>
      <c r="K1444" s="300"/>
      <c r="Q1444" s="300"/>
    </row>
    <row r="1445" spans="1:17">
      <c r="A1445" s="390"/>
      <c r="B1445" s="423" t="s">
        <v>839</v>
      </c>
      <c r="C1445" s="424">
        <v>91151</v>
      </c>
      <c r="D1445" s="390"/>
      <c r="H1445" s="300"/>
      <c r="J1445" s="387"/>
      <c r="K1445" s="300"/>
      <c r="Q1445" s="300"/>
    </row>
    <row r="1446" spans="1:17">
      <c r="A1446" s="390"/>
      <c r="B1446" s="423" t="s">
        <v>794</v>
      </c>
      <c r="C1446" s="424">
        <v>90941</v>
      </c>
      <c r="D1446" s="390"/>
      <c r="H1446" s="300"/>
      <c r="J1446" s="387"/>
      <c r="K1446" s="300"/>
      <c r="Q1446" s="300"/>
    </row>
    <row r="1447" spans="1:17">
      <c r="A1447" s="390"/>
      <c r="B1447" s="423" t="s">
        <v>1575</v>
      </c>
      <c r="C1447" s="424">
        <v>99521</v>
      </c>
      <c r="D1447" s="390"/>
      <c r="H1447" s="300"/>
      <c r="J1447" s="387"/>
      <c r="K1447" s="300"/>
      <c r="Q1447" s="300"/>
    </row>
    <row r="1448" spans="1:17">
      <c r="A1448" s="390"/>
      <c r="B1448" s="423" t="s">
        <v>935</v>
      </c>
      <c r="C1448" s="424">
        <v>92331</v>
      </c>
      <c r="D1448" s="390"/>
      <c r="H1448" s="300"/>
      <c r="J1448" s="387"/>
      <c r="K1448" s="300"/>
      <c r="Q1448" s="300"/>
    </row>
    <row r="1449" spans="1:17">
      <c r="A1449" s="390"/>
      <c r="B1449" s="423" t="s">
        <v>1574</v>
      </c>
      <c r="C1449" s="424">
        <v>99511</v>
      </c>
      <c r="D1449" s="390"/>
      <c r="H1449" s="300"/>
      <c r="J1449" s="387"/>
      <c r="K1449" s="300"/>
      <c r="Q1449" s="300"/>
    </row>
    <row r="1450" spans="1:17">
      <c r="A1450" s="390"/>
      <c r="B1450" s="423" t="s">
        <v>1611</v>
      </c>
      <c r="C1450" s="424">
        <v>99941</v>
      </c>
      <c r="D1450" s="390"/>
      <c r="H1450" s="300"/>
      <c r="J1450" s="387"/>
      <c r="K1450" s="300"/>
      <c r="Q1450" s="300"/>
    </row>
    <row r="1451" spans="1:17">
      <c r="A1451" s="390"/>
      <c r="B1451" s="423" t="s">
        <v>962</v>
      </c>
      <c r="C1451" s="424">
        <v>92561</v>
      </c>
      <c r="D1451" s="390"/>
      <c r="H1451" s="300"/>
      <c r="J1451" s="387"/>
      <c r="K1451" s="300"/>
      <c r="Q1451" s="300"/>
    </row>
    <row r="1452" spans="1:17">
      <c r="A1452" s="390"/>
      <c r="B1452" s="423" t="s">
        <v>1211</v>
      </c>
      <c r="C1452" s="424">
        <v>95321</v>
      </c>
      <c r="D1452" s="390"/>
      <c r="H1452" s="300"/>
      <c r="J1452" s="387"/>
      <c r="K1452" s="300"/>
      <c r="Q1452" s="300"/>
    </row>
    <row r="1453" spans="1:17">
      <c r="A1453" s="390"/>
      <c r="B1453" s="423" t="s">
        <v>908</v>
      </c>
      <c r="C1453" s="424">
        <v>91861</v>
      </c>
      <c r="D1453" s="390"/>
      <c r="H1453" s="300"/>
      <c r="J1453" s="388"/>
      <c r="K1453" s="300"/>
      <c r="Q1453" s="300"/>
    </row>
    <row r="1454" spans="1:17">
      <c r="A1454" s="390"/>
      <c r="B1454" s="423" t="s">
        <v>942</v>
      </c>
      <c r="C1454" s="424">
        <v>92421</v>
      </c>
      <c r="D1454" s="390"/>
      <c r="H1454" s="300"/>
      <c r="J1454" s="387"/>
      <c r="K1454" s="300"/>
      <c r="Q1454" s="300"/>
    </row>
    <row r="1455" spans="1:17">
      <c r="A1455" s="390"/>
      <c r="B1455" s="423" t="s">
        <v>1510</v>
      </c>
      <c r="C1455" s="424">
        <v>98711</v>
      </c>
      <c r="D1455" s="390"/>
      <c r="H1455" s="300"/>
      <c r="J1455" s="387"/>
      <c r="K1455" s="300"/>
      <c r="Q1455" s="300"/>
    </row>
    <row r="1456" spans="1:17">
      <c r="A1456" s="390"/>
      <c r="B1456" s="423" t="s">
        <v>1055</v>
      </c>
      <c r="C1456" s="424">
        <v>93531</v>
      </c>
      <c r="D1456" s="390"/>
      <c r="H1456" s="300"/>
      <c r="J1456" s="388"/>
      <c r="K1456" s="300"/>
      <c r="Q1456" s="300"/>
    </row>
    <row r="1457" spans="1:17">
      <c r="A1457" s="390"/>
      <c r="B1457" s="427" t="s">
        <v>1355</v>
      </c>
      <c r="C1457" s="428">
        <v>97111</v>
      </c>
      <c r="D1457" s="390"/>
      <c r="H1457" s="300"/>
      <c r="J1457" s="387"/>
      <c r="K1457" s="300"/>
      <c r="Q1457" s="300"/>
    </row>
    <row r="1458" spans="1:17">
      <c r="A1458" s="390"/>
      <c r="B1458" s="423" t="s">
        <v>729</v>
      </c>
      <c r="C1458" s="424">
        <v>90011</v>
      </c>
      <c r="D1458" s="390"/>
      <c r="H1458" s="300"/>
      <c r="J1458" s="387"/>
      <c r="K1458" s="300"/>
      <c r="Q1458" s="300"/>
    </row>
    <row r="1459" spans="1:17">
      <c r="A1459" s="390"/>
      <c r="B1459" s="423" t="s">
        <v>1090</v>
      </c>
      <c r="C1459" s="424">
        <v>93931</v>
      </c>
      <c r="D1459" s="390"/>
      <c r="H1459" s="300"/>
      <c r="J1459" s="387"/>
      <c r="K1459" s="300"/>
      <c r="Q1459" s="300"/>
    </row>
    <row r="1460" spans="1:17">
      <c r="A1460" s="390"/>
      <c r="B1460" s="427" t="s">
        <v>877</v>
      </c>
      <c r="C1460" s="428">
        <v>91461</v>
      </c>
      <c r="D1460" s="390"/>
      <c r="H1460" s="300"/>
      <c r="J1460" s="387"/>
      <c r="K1460" s="300"/>
      <c r="Q1460" s="300"/>
    </row>
    <row r="1461" spans="1:17">
      <c r="A1461" s="390"/>
      <c r="B1461" s="423" t="s">
        <v>803</v>
      </c>
      <c r="C1461" s="424">
        <v>91010</v>
      </c>
      <c r="D1461" s="390"/>
      <c r="H1461" s="300"/>
      <c r="J1461" s="387"/>
      <c r="K1461" s="300"/>
      <c r="Q1461" s="300"/>
    </row>
    <row r="1462" spans="1:17">
      <c r="A1462" s="390"/>
      <c r="B1462" s="423" t="s">
        <v>1014</v>
      </c>
      <c r="C1462" s="424">
        <v>93171</v>
      </c>
      <c r="D1462" s="390"/>
      <c r="H1462" s="300"/>
      <c r="J1462" s="387"/>
      <c r="K1462" s="300"/>
      <c r="Q1462" s="300"/>
    </row>
    <row r="1463" spans="1:17">
      <c r="A1463" s="390"/>
      <c r="B1463" s="423" t="s">
        <v>1282</v>
      </c>
      <c r="C1463" s="424">
        <v>96312</v>
      </c>
      <c r="D1463" s="390"/>
      <c r="H1463" s="300"/>
      <c r="J1463" s="387"/>
      <c r="K1463" s="300"/>
      <c r="Q1463" s="300"/>
    </row>
    <row r="1464" spans="1:17">
      <c r="A1464" s="390"/>
      <c r="B1464" s="423" t="s">
        <v>1274</v>
      </c>
      <c r="C1464" s="424">
        <v>96241</v>
      </c>
      <c r="D1464" s="390"/>
      <c r="H1464" s="300"/>
      <c r="J1464" s="387"/>
      <c r="K1464" s="300"/>
      <c r="Q1464" s="300"/>
    </row>
    <row r="1465" spans="1:17">
      <c r="A1465" s="390"/>
      <c r="B1465" s="423" t="s">
        <v>1143</v>
      </c>
      <c r="C1465" s="424">
        <v>94431</v>
      </c>
      <c r="D1465" s="390"/>
      <c r="H1465" s="300"/>
      <c r="J1465" s="388"/>
      <c r="K1465" s="300"/>
      <c r="Q1465" s="300"/>
    </row>
    <row r="1466" spans="1:17">
      <c r="A1466" s="390"/>
      <c r="B1466" s="423" t="s">
        <v>890</v>
      </c>
      <c r="C1466" s="424">
        <v>91671</v>
      </c>
      <c r="D1466" s="390"/>
      <c r="H1466" s="300"/>
      <c r="J1466" s="388"/>
      <c r="K1466" s="300"/>
      <c r="Q1466" s="300"/>
    </row>
    <row r="1467" spans="1:17">
      <c r="A1467" s="390"/>
      <c r="B1467" s="423" t="s">
        <v>1309</v>
      </c>
      <c r="C1467" s="424">
        <v>96521</v>
      </c>
      <c r="D1467" s="390"/>
      <c r="H1467" s="300"/>
      <c r="J1467" s="387"/>
      <c r="K1467" s="300"/>
      <c r="Q1467" s="300"/>
    </row>
    <row r="1468" spans="1:17">
      <c r="A1468" s="390"/>
      <c r="B1468" s="423" t="s">
        <v>811</v>
      </c>
      <c r="C1468" s="424">
        <v>91024</v>
      </c>
      <c r="D1468" s="390"/>
      <c r="H1468" s="300"/>
      <c r="J1468" s="387"/>
      <c r="K1468" s="300"/>
      <c r="Q1468" s="300"/>
    </row>
    <row r="1469" spans="1:17">
      <c r="A1469" s="390"/>
      <c r="B1469" s="423" t="s">
        <v>1336</v>
      </c>
      <c r="C1469" s="424">
        <v>96821</v>
      </c>
      <c r="D1469" s="390"/>
      <c r="H1469" s="300"/>
      <c r="J1469" s="388"/>
      <c r="K1469" s="300"/>
      <c r="Q1469" s="300"/>
    </row>
    <row r="1470" spans="1:17">
      <c r="A1470" s="390"/>
      <c r="B1470" s="423" t="s">
        <v>1291</v>
      </c>
      <c r="C1470" s="424">
        <v>96391</v>
      </c>
      <c r="D1470" s="390"/>
      <c r="H1470" s="300"/>
      <c r="J1470" s="387"/>
      <c r="K1470" s="300"/>
      <c r="Q1470" s="300"/>
    </row>
    <row r="1471" spans="1:17">
      <c r="A1471" s="390"/>
      <c r="B1471" s="423" t="s">
        <v>1549</v>
      </c>
      <c r="C1471" s="424">
        <v>99221</v>
      </c>
      <c r="D1471" s="390"/>
      <c r="H1471" s="300"/>
      <c r="J1471" s="387"/>
      <c r="K1471" s="300"/>
      <c r="Q1471" s="300"/>
    </row>
    <row r="1472" spans="1:17">
      <c r="A1472" s="390"/>
      <c r="B1472" s="423" t="s">
        <v>817</v>
      </c>
      <c r="C1472" s="424">
        <v>91051</v>
      </c>
      <c r="D1472" s="390"/>
      <c r="H1472" s="300"/>
      <c r="J1472" s="387"/>
      <c r="K1472" s="300"/>
      <c r="Q1472" s="300"/>
    </row>
    <row r="1473" spans="1:17">
      <c r="A1473" s="390"/>
      <c r="B1473" s="423" t="s">
        <v>910</v>
      </c>
      <c r="C1473" s="424">
        <v>91881</v>
      </c>
      <c r="D1473" s="390"/>
      <c r="H1473" s="300"/>
      <c r="J1473" s="387"/>
      <c r="K1473" s="300"/>
      <c r="Q1473" s="300"/>
    </row>
    <row r="1474" spans="1:17">
      <c r="A1474" s="390"/>
      <c r="B1474" s="423" t="s">
        <v>892</v>
      </c>
      <c r="C1474" s="424">
        <v>91691</v>
      </c>
      <c r="D1474" s="390"/>
      <c r="H1474" s="300"/>
      <c r="J1474" s="387"/>
      <c r="K1474" s="300"/>
      <c r="Q1474" s="300"/>
    </row>
    <row r="1475" spans="1:17">
      <c r="A1475" s="390"/>
      <c r="B1475" s="423" t="s">
        <v>945</v>
      </c>
      <c r="C1475" s="424">
        <v>92441</v>
      </c>
      <c r="D1475" s="390"/>
      <c r="H1475" s="300"/>
      <c r="J1475" s="388"/>
      <c r="K1475" s="300"/>
      <c r="Q1475" s="300"/>
    </row>
    <row r="1476" spans="1:17">
      <c r="A1476" s="390"/>
      <c r="B1476" s="423" t="s">
        <v>1335</v>
      </c>
      <c r="C1476" s="424">
        <v>96811</v>
      </c>
      <c r="D1476" s="390"/>
      <c r="H1476" s="300"/>
      <c r="J1476" s="387"/>
      <c r="K1476" s="300"/>
      <c r="Q1476" s="300"/>
    </row>
    <row r="1477" spans="1:17">
      <c r="A1477" s="390"/>
      <c r="B1477" s="423" t="s">
        <v>1448</v>
      </c>
      <c r="C1477" s="424">
        <v>98041</v>
      </c>
      <c r="D1477" s="390"/>
      <c r="H1477" s="300"/>
      <c r="J1477" s="387"/>
      <c r="K1477" s="300"/>
      <c r="Q1477" s="300"/>
    </row>
    <row r="1478" spans="1:17">
      <c r="A1478" s="390"/>
      <c r="B1478" s="423" t="s">
        <v>779</v>
      </c>
      <c r="C1478" s="424">
        <v>90751</v>
      </c>
      <c r="D1478" s="390"/>
      <c r="H1478" s="300"/>
      <c r="J1478" s="387"/>
      <c r="K1478" s="300"/>
      <c r="Q1478" s="300"/>
    </row>
    <row r="1479" spans="1:17">
      <c r="A1479" s="390"/>
      <c r="B1479" s="423" t="s">
        <v>793</v>
      </c>
      <c r="C1479" s="424">
        <v>90931</v>
      </c>
      <c r="D1479" s="390"/>
      <c r="H1479" s="300"/>
      <c r="J1479" s="387"/>
      <c r="K1479" s="300"/>
      <c r="Q1479" s="300"/>
    </row>
    <row r="1480" spans="1:17">
      <c r="A1480" s="390"/>
      <c r="B1480" s="423" t="s">
        <v>1196</v>
      </c>
      <c r="C1480" s="424">
        <v>95131</v>
      </c>
      <c r="D1480" s="390"/>
      <c r="H1480" s="300"/>
      <c r="J1480" s="387"/>
      <c r="K1480" s="300"/>
      <c r="Q1480" s="300"/>
    </row>
    <row r="1481" spans="1:17">
      <c r="A1481" s="390"/>
      <c r="B1481" s="423" t="s">
        <v>1453</v>
      </c>
      <c r="C1481" s="424">
        <v>98091</v>
      </c>
      <c r="D1481" s="390"/>
      <c r="H1481" s="300"/>
      <c r="J1481" s="387"/>
      <c r="K1481" s="300"/>
      <c r="Q1481" s="300"/>
    </row>
    <row r="1482" spans="1:17">
      <c r="A1482" s="390"/>
      <c r="B1482" s="423" t="s">
        <v>1131</v>
      </c>
      <c r="C1482" s="424">
        <v>94341</v>
      </c>
      <c r="D1482" s="390"/>
      <c r="H1482" s="300"/>
      <c r="J1482" s="387"/>
      <c r="K1482" s="300"/>
      <c r="Q1482" s="300"/>
    </row>
    <row r="1483" spans="1:17">
      <c r="A1483" s="390"/>
      <c r="B1483" s="423" t="s">
        <v>1162</v>
      </c>
      <c r="C1483" s="424">
        <v>94641</v>
      </c>
      <c r="D1483" s="390"/>
      <c r="H1483" s="300"/>
      <c r="J1483" s="387"/>
      <c r="K1483" s="300"/>
      <c r="Q1483" s="300"/>
    </row>
    <row r="1484" spans="1:17">
      <c r="A1484" s="390"/>
      <c r="B1484" s="423" t="s">
        <v>786</v>
      </c>
      <c r="C1484" s="424">
        <v>90813</v>
      </c>
      <c r="D1484" s="390"/>
      <c r="H1484" s="300"/>
      <c r="J1484" s="388"/>
      <c r="K1484" s="300"/>
      <c r="Q1484" s="300"/>
    </row>
    <row r="1485" spans="1:17">
      <c r="A1485" s="390"/>
      <c r="B1485" s="423" t="s">
        <v>1517</v>
      </c>
      <c r="C1485" s="424">
        <v>98911</v>
      </c>
      <c r="D1485" s="390"/>
      <c r="H1485" s="300"/>
      <c r="J1485" s="387"/>
      <c r="K1485" s="300"/>
      <c r="Q1485" s="300"/>
    </row>
    <row r="1486" spans="1:17">
      <c r="A1486" s="390"/>
      <c r="B1486" s="423" t="s">
        <v>1386</v>
      </c>
      <c r="C1486" s="424">
        <v>97521</v>
      </c>
      <c r="D1486" s="390"/>
      <c r="H1486" s="300"/>
      <c r="J1486" s="387"/>
      <c r="K1486" s="300"/>
      <c r="Q1486" s="300"/>
    </row>
    <row r="1487" spans="1:17">
      <c r="A1487" s="390"/>
      <c r="B1487" s="423" t="s">
        <v>857</v>
      </c>
      <c r="C1487" s="424">
        <v>91261</v>
      </c>
      <c r="D1487" s="390"/>
      <c r="H1487" s="300"/>
      <c r="J1487" s="388"/>
      <c r="K1487" s="300"/>
      <c r="Q1487" s="300"/>
    </row>
    <row r="1488" spans="1:17">
      <c r="A1488" s="390"/>
      <c r="B1488" s="423" t="s">
        <v>907</v>
      </c>
      <c r="C1488" s="424">
        <v>91851</v>
      </c>
      <c r="D1488" s="390"/>
      <c r="H1488" s="300"/>
      <c r="J1488" s="387"/>
      <c r="K1488" s="300"/>
      <c r="Q1488" s="300"/>
    </row>
    <row r="1489" spans="1:17">
      <c r="A1489" s="390"/>
      <c r="B1489" s="423" t="s">
        <v>1318</v>
      </c>
      <c r="C1489" s="424">
        <v>96641</v>
      </c>
      <c r="D1489" s="390"/>
      <c r="H1489" s="300"/>
      <c r="J1489" s="387"/>
      <c r="K1489" s="300"/>
      <c r="Q1489" s="300"/>
    </row>
    <row r="1490" spans="1:17">
      <c r="A1490" s="390"/>
      <c r="B1490" s="423" t="s">
        <v>1002</v>
      </c>
      <c r="C1490" s="424">
        <v>93031</v>
      </c>
      <c r="D1490" s="390"/>
      <c r="H1490" s="300"/>
      <c r="J1490" s="387"/>
      <c r="K1490" s="300"/>
      <c r="Q1490" s="300"/>
    </row>
    <row r="1491" spans="1:17">
      <c r="A1491" s="390"/>
      <c r="B1491" s="423" t="s">
        <v>1261</v>
      </c>
      <c r="C1491" s="424">
        <v>96051</v>
      </c>
      <c r="D1491" s="390"/>
      <c r="H1491" s="300"/>
      <c r="J1491" s="387"/>
      <c r="K1491" s="300"/>
      <c r="Q1491" s="300"/>
    </row>
    <row r="1492" spans="1:17">
      <c r="A1492" s="390"/>
      <c r="B1492" s="423" t="s">
        <v>963</v>
      </c>
      <c r="C1492" s="424">
        <v>92571</v>
      </c>
      <c r="D1492" s="390"/>
      <c r="H1492" s="300"/>
      <c r="J1492" s="387"/>
      <c r="K1492" s="300"/>
      <c r="Q1492" s="300"/>
    </row>
    <row r="1493" spans="1:17">
      <c r="A1493" s="390"/>
      <c r="B1493" s="423" t="s">
        <v>1067</v>
      </c>
      <c r="C1493" s="424">
        <v>93631</v>
      </c>
      <c r="D1493" s="390"/>
      <c r="H1493" s="300"/>
      <c r="J1493" s="387"/>
      <c r="K1493" s="300"/>
      <c r="Q1493" s="300"/>
    </row>
    <row r="1494" spans="1:17">
      <c r="A1494" s="390"/>
      <c r="B1494" s="423" t="s">
        <v>1569</v>
      </c>
      <c r="C1494" s="424">
        <v>99431</v>
      </c>
      <c r="D1494" s="390"/>
      <c r="H1494" s="300"/>
      <c r="J1494" s="387"/>
      <c r="K1494" s="300"/>
      <c r="Q1494" s="300"/>
    </row>
    <row r="1495" spans="1:17">
      <c r="A1495" s="390"/>
      <c r="B1495" s="426" t="s">
        <v>1070</v>
      </c>
      <c r="C1495" s="425">
        <v>93651</v>
      </c>
      <c r="D1495" s="390"/>
      <c r="H1495" s="300"/>
      <c r="J1495" s="387"/>
      <c r="K1495" s="300"/>
      <c r="Q1495" s="300"/>
    </row>
    <row r="1496" spans="1:17">
      <c r="A1496" s="390"/>
      <c r="B1496" s="423" t="s">
        <v>1264</v>
      </c>
      <c r="C1496" s="424">
        <v>96081</v>
      </c>
      <c r="D1496" s="390"/>
      <c r="H1496" s="300"/>
      <c r="J1496" s="388"/>
      <c r="K1496" s="300"/>
      <c r="Q1496" s="300"/>
    </row>
    <row r="1497" spans="1:17">
      <c r="A1497" s="390"/>
      <c r="B1497" s="423" t="s">
        <v>995</v>
      </c>
      <c r="C1497" s="424">
        <v>92921</v>
      </c>
      <c r="D1497" s="390"/>
      <c r="H1497" s="300"/>
      <c r="J1497" s="387"/>
      <c r="K1497" s="300"/>
      <c r="Q1497" s="300"/>
    </row>
    <row r="1498" spans="1:17">
      <c r="A1498" s="390"/>
      <c r="B1498" s="423" t="s">
        <v>1504</v>
      </c>
      <c r="C1498" s="424">
        <v>98621</v>
      </c>
      <c r="D1498" s="390"/>
      <c r="H1498" s="300"/>
      <c r="J1498" s="387"/>
      <c r="K1498" s="300"/>
      <c r="Q1498" s="300"/>
    </row>
    <row r="1499" spans="1:17">
      <c r="A1499" s="390"/>
      <c r="B1499" s="423" t="s">
        <v>852</v>
      </c>
      <c r="C1499" s="424">
        <v>91221</v>
      </c>
      <c r="D1499" s="390"/>
      <c r="H1499" s="300"/>
      <c r="J1499" s="388"/>
      <c r="K1499" s="300"/>
      <c r="Q1499" s="300"/>
    </row>
    <row r="1500" spans="1:17">
      <c r="A1500" s="390"/>
      <c r="B1500" s="423" t="s">
        <v>989</v>
      </c>
      <c r="C1500" s="424">
        <v>92861</v>
      </c>
      <c r="D1500" s="390"/>
      <c r="H1500" s="300"/>
      <c r="J1500" s="387"/>
      <c r="K1500" s="300"/>
      <c r="Q1500" s="300"/>
    </row>
    <row r="1501" spans="1:17">
      <c r="A1501" s="390"/>
      <c r="B1501" s="423" t="s">
        <v>1610</v>
      </c>
      <c r="C1501" s="424">
        <v>99931</v>
      </c>
      <c r="D1501" s="390"/>
      <c r="H1501" s="300"/>
      <c r="J1501" s="387"/>
      <c r="K1501" s="300"/>
      <c r="Q1501" s="300"/>
    </row>
    <row r="1502" spans="1:17">
      <c r="A1502" s="390"/>
      <c r="B1502" s="423" t="s">
        <v>1445</v>
      </c>
      <c r="C1502" s="424">
        <v>98021</v>
      </c>
      <c r="D1502" s="390"/>
      <c r="H1502" s="300"/>
      <c r="J1502" s="387"/>
      <c r="K1502" s="300"/>
      <c r="Q1502" s="300"/>
    </row>
    <row r="1503" spans="1:17">
      <c r="A1503" s="390"/>
      <c r="B1503" s="423" t="s">
        <v>978</v>
      </c>
      <c r="C1503" s="424">
        <v>92681</v>
      </c>
      <c r="D1503" s="390"/>
      <c r="H1503" s="300"/>
      <c r="J1503" s="387"/>
      <c r="K1503" s="300"/>
      <c r="Q1503" s="300"/>
    </row>
    <row r="1504" spans="1:17">
      <c r="A1504" s="390"/>
      <c r="B1504" s="423" t="s">
        <v>926</v>
      </c>
      <c r="C1504" s="424">
        <v>92111</v>
      </c>
      <c r="D1504" s="390"/>
      <c r="H1504" s="300"/>
      <c r="J1504" s="387"/>
      <c r="K1504" s="300"/>
      <c r="Q1504" s="300"/>
    </row>
    <row r="1505" spans="1:17">
      <c r="A1505" s="390"/>
      <c r="B1505" s="423" t="s">
        <v>789</v>
      </c>
      <c r="C1505" s="424">
        <v>90911</v>
      </c>
      <c r="D1505" s="390"/>
      <c r="H1505" s="300"/>
      <c r="J1505" s="387"/>
      <c r="K1505" s="300"/>
      <c r="Q1505" s="300"/>
    </row>
    <row r="1506" spans="1:17">
      <c r="A1506" s="390"/>
      <c r="B1506" s="423" t="s">
        <v>769</v>
      </c>
      <c r="C1506" s="424">
        <v>90641</v>
      </c>
      <c r="D1506" s="390"/>
      <c r="H1506" s="300"/>
      <c r="J1506" s="387"/>
      <c r="K1506" s="300"/>
      <c r="Q1506" s="300"/>
    </row>
    <row r="1507" spans="1:17">
      <c r="A1507" s="390"/>
      <c r="B1507" s="423" t="s">
        <v>1508</v>
      </c>
      <c r="C1507" s="424">
        <v>98641</v>
      </c>
      <c r="D1507" s="390"/>
      <c r="H1507" s="300"/>
      <c r="J1507" s="387"/>
      <c r="K1507" s="300"/>
      <c r="Q1507" s="300"/>
    </row>
    <row r="1508" spans="1:17">
      <c r="A1508" s="390"/>
      <c r="B1508" s="423" t="s">
        <v>1465</v>
      </c>
      <c r="C1508" s="424">
        <v>98161</v>
      </c>
      <c r="D1508" s="390"/>
      <c r="H1508" s="300"/>
      <c r="J1508" s="388"/>
      <c r="K1508" s="300"/>
      <c r="Q1508" s="300"/>
    </row>
    <row r="1509" spans="1:17">
      <c r="A1509" s="390"/>
      <c r="B1509" s="423" t="s">
        <v>1407</v>
      </c>
      <c r="C1509" s="424">
        <v>97731</v>
      </c>
      <c r="D1509" s="390"/>
      <c r="H1509" s="300"/>
      <c r="J1509" s="387"/>
      <c r="K1509" s="300"/>
      <c r="Q1509" s="300"/>
    </row>
    <row r="1510" spans="1:17">
      <c r="A1510" s="390"/>
      <c r="B1510" s="423" t="s">
        <v>1606</v>
      </c>
      <c r="C1510" s="424">
        <v>99851</v>
      </c>
      <c r="D1510" s="390"/>
      <c r="H1510" s="300"/>
      <c r="J1510" s="387"/>
      <c r="K1510" s="300"/>
      <c r="Q1510" s="300"/>
    </row>
    <row r="1511" spans="1:17">
      <c r="A1511" s="390"/>
      <c r="B1511" s="423" t="s">
        <v>739</v>
      </c>
      <c r="C1511" s="424">
        <v>90131</v>
      </c>
      <c r="D1511" s="390"/>
      <c r="H1511" s="300"/>
      <c r="J1511" s="388"/>
      <c r="K1511" s="300"/>
      <c r="Q1511" s="300"/>
    </row>
    <row r="1512" spans="1:17">
      <c r="A1512" s="390"/>
      <c r="B1512" s="423" t="s">
        <v>888</v>
      </c>
      <c r="C1512" s="424">
        <v>91651</v>
      </c>
      <c r="D1512" s="390"/>
      <c r="H1512" s="300"/>
      <c r="J1512" s="387"/>
      <c r="K1512" s="300"/>
      <c r="Q1512" s="300"/>
    </row>
    <row r="1513" spans="1:17">
      <c r="A1513" s="390"/>
      <c r="B1513" s="423" t="s">
        <v>1119</v>
      </c>
      <c r="C1513" s="424">
        <v>94211</v>
      </c>
      <c r="D1513" s="390"/>
      <c r="H1513" s="300"/>
      <c r="J1513" s="387"/>
      <c r="K1513" s="300"/>
      <c r="Q1513" s="300"/>
    </row>
    <row r="1514" spans="1:17">
      <c r="A1514" s="390"/>
      <c r="B1514" s="423" t="s">
        <v>1130</v>
      </c>
      <c r="C1514" s="424">
        <v>94331</v>
      </c>
      <c r="D1514" s="390"/>
      <c r="H1514" s="300"/>
      <c r="J1514" s="387"/>
      <c r="K1514" s="300"/>
      <c r="Q1514" s="300"/>
    </row>
    <row r="1515" spans="1:17">
      <c r="A1515" s="390"/>
      <c r="B1515" s="423" t="s">
        <v>944</v>
      </c>
      <c r="C1515" s="424">
        <v>92431</v>
      </c>
      <c r="D1515" s="390"/>
      <c r="H1515" s="300"/>
      <c r="J1515" s="387"/>
      <c r="K1515" s="300"/>
      <c r="Q1515" s="300"/>
    </row>
    <row r="1516" spans="1:17">
      <c r="A1516" s="390"/>
      <c r="B1516" s="423" t="s">
        <v>1415</v>
      </c>
      <c r="C1516" s="424">
        <v>97821</v>
      </c>
      <c r="D1516" s="390"/>
      <c r="H1516" s="300"/>
      <c r="J1516" s="387"/>
      <c r="K1516" s="300"/>
      <c r="Q1516" s="300"/>
    </row>
    <row r="1517" spans="1:17">
      <c r="A1517" s="390"/>
      <c r="B1517" s="423" t="s">
        <v>1010</v>
      </c>
      <c r="C1517" s="424">
        <v>93141</v>
      </c>
      <c r="D1517" s="390"/>
      <c r="H1517" s="300"/>
      <c r="J1517" s="387"/>
      <c r="K1517" s="300"/>
      <c r="Q1517" s="300"/>
    </row>
    <row r="1518" spans="1:17">
      <c r="A1518" s="390"/>
      <c r="B1518" s="423" t="s">
        <v>1452</v>
      </c>
      <c r="C1518" s="424">
        <v>98081</v>
      </c>
      <c r="D1518" s="390"/>
      <c r="H1518" s="300"/>
      <c r="J1518" s="387"/>
      <c r="K1518" s="300"/>
      <c r="Q1518" s="300"/>
    </row>
    <row r="1519" spans="1:17">
      <c r="A1519" s="390"/>
      <c r="B1519" s="423" t="s">
        <v>977</v>
      </c>
      <c r="C1519" s="424">
        <v>92671</v>
      </c>
      <c r="D1519" s="390"/>
      <c r="H1519" s="300"/>
      <c r="J1519" s="387"/>
      <c r="K1519" s="300"/>
      <c r="Q1519" s="300"/>
    </row>
    <row r="1520" spans="1:17">
      <c r="A1520" s="390"/>
      <c r="B1520" s="423" t="s">
        <v>1374</v>
      </c>
      <c r="C1520" s="424">
        <v>97421</v>
      </c>
      <c r="D1520" s="390"/>
      <c r="H1520" s="300"/>
      <c r="J1520" s="388"/>
      <c r="K1520" s="300"/>
      <c r="Q1520" s="300"/>
    </row>
    <row r="1521" spans="1:17">
      <c r="A1521" s="390"/>
      <c r="B1521" s="423" t="s">
        <v>1153</v>
      </c>
      <c r="C1521" s="424">
        <v>94541</v>
      </c>
      <c r="D1521" s="390"/>
      <c r="H1521" s="300"/>
      <c r="J1521" s="387"/>
      <c r="K1521" s="300"/>
      <c r="Q1521" s="300"/>
    </row>
    <row r="1522" spans="1:17">
      <c r="A1522" s="390"/>
      <c r="B1522" s="423" t="s">
        <v>1459</v>
      </c>
      <c r="C1522" s="424">
        <v>98111</v>
      </c>
      <c r="D1522" s="390"/>
      <c r="H1522" s="300"/>
      <c r="J1522" s="387"/>
      <c r="K1522" s="300"/>
      <c r="Q1522" s="300"/>
    </row>
    <row r="1523" spans="1:17">
      <c r="A1523" s="390"/>
      <c r="B1523" s="423" t="s">
        <v>1198</v>
      </c>
      <c r="C1523" s="424">
        <v>95151</v>
      </c>
      <c r="D1523" s="390"/>
      <c r="H1523" s="300"/>
      <c r="J1523" s="388"/>
      <c r="K1523" s="300"/>
      <c r="Q1523" s="300"/>
    </row>
    <row r="1524" spans="1:17">
      <c r="A1524" s="390"/>
      <c r="B1524" s="423" t="s">
        <v>1227</v>
      </c>
      <c r="C1524" s="424">
        <v>95611</v>
      </c>
      <c r="D1524" s="390"/>
      <c r="H1524" s="300"/>
      <c r="J1524" s="387"/>
      <c r="K1524" s="300"/>
      <c r="Q1524" s="300"/>
    </row>
    <row r="1525" spans="1:17">
      <c r="A1525" s="390"/>
      <c r="B1525" s="423" t="s">
        <v>1051</v>
      </c>
      <c r="C1525" s="424">
        <v>93511</v>
      </c>
      <c r="D1525" s="390"/>
      <c r="H1525" s="300"/>
      <c r="J1525" s="387"/>
      <c r="K1525" s="300"/>
      <c r="Q1525" s="300"/>
    </row>
    <row r="1526" spans="1:17">
      <c r="A1526" s="390"/>
      <c r="B1526" s="423" t="s">
        <v>1588</v>
      </c>
      <c r="C1526" s="424">
        <v>99631</v>
      </c>
      <c r="D1526" s="390"/>
      <c r="H1526" s="300"/>
      <c r="J1526" s="387"/>
      <c r="K1526" s="300"/>
      <c r="Q1526" s="300"/>
    </row>
    <row r="1527" spans="1:17">
      <c r="A1527" s="390"/>
      <c r="B1527" s="423" t="s">
        <v>1555</v>
      </c>
      <c r="C1527" s="424">
        <v>99261</v>
      </c>
      <c r="D1527" s="390"/>
      <c r="H1527" s="300"/>
      <c r="J1527" s="387"/>
      <c r="K1527" s="300"/>
      <c r="Q1527" s="300"/>
    </row>
    <row r="1528" spans="1:17">
      <c r="A1528" s="390"/>
      <c r="B1528" s="423" t="s">
        <v>1473</v>
      </c>
      <c r="C1528" s="424">
        <v>98241</v>
      </c>
      <c r="D1528" s="390"/>
      <c r="H1528" s="300"/>
      <c r="J1528" s="387"/>
      <c r="K1528" s="300"/>
      <c r="Q1528" s="300"/>
    </row>
    <row r="1529" spans="1:17">
      <c r="A1529" s="390"/>
      <c r="B1529" s="423" t="s">
        <v>1553</v>
      </c>
      <c r="C1529" s="424">
        <v>99251</v>
      </c>
      <c r="D1529" s="390"/>
      <c r="H1529" s="300"/>
      <c r="J1529" s="387"/>
      <c r="K1529" s="300"/>
      <c r="Q1529" s="300"/>
    </row>
    <row r="1530" spans="1:17">
      <c r="A1530" s="390"/>
      <c r="B1530" s="423" t="s">
        <v>1317</v>
      </c>
      <c r="C1530" s="424">
        <v>96631</v>
      </c>
      <c r="D1530" s="390"/>
      <c r="H1530" s="300"/>
      <c r="J1530" s="387"/>
      <c r="K1530" s="300"/>
      <c r="Q1530" s="300"/>
    </row>
    <row r="1531" spans="1:17">
      <c r="A1531" s="390"/>
      <c r="B1531" s="423" t="s">
        <v>1319</v>
      </c>
      <c r="C1531" s="424">
        <v>96651</v>
      </c>
      <c r="D1531" s="390"/>
      <c r="H1531" s="300"/>
      <c r="J1531" s="387"/>
      <c r="K1531" s="300"/>
      <c r="Q1531" s="300"/>
    </row>
    <row r="1532" spans="1:17">
      <c r="A1532" s="390"/>
      <c r="B1532" s="423" t="s">
        <v>1483</v>
      </c>
      <c r="C1532" s="424">
        <v>98331</v>
      </c>
      <c r="D1532" s="390"/>
      <c r="H1532" s="300"/>
      <c r="J1532" s="388"/>
      <c r="K1532" s="300"/>
      <c r="Q1532" s="300"/>
    </row>
    <row r="1533" spans="1:17">
      <c r="A1533" s="390"/>
      <c r="B1533" s="423" t="s">
        <v>1109</v>
      </c>
      <c r="C1533" s="424">
        <v>94151</v>
      </c>
      <c r="D1533" s="390"/>
      <c r="H1533" s="300"/>
      <c r="J1533" s="387"/>
      <c r="K1533" s="300"/>
      <c r="Q1533" s="300"/>
    </row>
    <row r="1534" spans="1:17">
      <c r="A1534" s="390"/>
      <c r="B1534" s="423" t="s">
        <v>855</v>
      </c>
      <c r="C1534" s="424">
        <v>91241</v>
      </c>
      <c r="D1534" s="390"/>
      <c r="H1534" s="300"/>
      <c r="J1534" s="387"/>
      <c r="K1534" s="300"/>
      <c r="Q1534" s="300"/>
    </row>
    <row r="1535" spans="1:17">
      <c r="A1535" s="390"/>
      <c r="B1535" s="423" t="s">
        <v>869</v>
      </c>
      <c r="C1535" s="424">
        <v>91411</v>
      </c>
      <c r="D1535" s="390"/>
      <c r="H1535" s="300"/>
      <c r="J1535" s="388"/>
      <c r="K1535" s="300"/>
      <c r="Q1535" s="300"/>
    </row>
    <row r="1536" spans="1:17">
      <c r="A1536" s="390"/>
      <c r="B1536" s="423" t="s">
        <v>1450</v>
      </c>
      <c r="C1536" s="424">
        <v>98061</v>
      </c>
      <c r="D1536" s="390"/>
      <c r="H1536" s="300"/>
      <c r="J1536" s="387"/>
      <c r="K1536" s="300"/>
      <c r="Q1536" s="300"/>
    </row>
    <row r="1537" spans="1:17">
      <c r="A1537" s="390"/>
      <c r="B1537" s="423" t="s">
        <v>742</v>
      </c>
      <c r="C1537" s="424">
        <v>90161</v>
      </c>
      <c r="D1537" s="390"/>
      <c r="H1537" s="300"/>
      <c r="J1537" s="387"/>
      <c r="K1537" s="300"/>
      <c r="Q1537" s="300"/>
    </row>
    <row r="1538" spans="1:17">
      <c r="A1538" s="390"/>
      <c r="B1538" s="423" t="s">
        <v>1376</v>
      </c>
      <c r="C1538" s="424">
        <v>97431</v>
      </c>
      <c r="D1538" s="390"/>
      <c r="H1538" s="300"/>
      <c r="J1538" s="387"/>
      <c r="K1538" s="300"/>
      <c r="Q1538" s="300"/>
    </row>
    <row r="1539" spans="1:17">
      <c r="A1539" s="390"/>
      <c r="B1539" s="423" t="s">
        <v>1381</v>
      </c>
      <c r="C1539" s="424">
        <v>97471</v>
      </c>
      <c r="D1539" s="390"/>
      <c r="H1539" s="300"/>
      <c r="J1539" s="387"/>
      <c r="K1539" s="300"/>
      <c r="Q1539" s="300"/>
    </row>
    <row r="1540" spans="1:17">
      <c r="A1540" s="390"/>
      <c r="B1540" s="423" t="s">
        <v>937</v>
      </c>
      <c r="C1540" s="424">
        <v>92351</v>
      </c>
      <c r="D1540" s="390"/>
      <c r="H1540" s="300"/>
      <c r="J1540" s="387"/>
      <c r="K1540" s="300"/>
      <c r="Q1540" s="300"/>
    </row>
    <row r="1541" spans="1:17">
      <c r="A1541" s="390"/>
      <c r="B1541" s="423" t="s">
        <v>1240</v>
      </c>
      <c r="C1541" s="424">
        <v>95831</v>
      </c>
      <c r="D1541" s="390"/>
      <c r="H1541" s="300"/>
      <c r="J1541" s="387"/>
      <c r="K1541" s="300"/>
      <c r="Q1541" s="300"/>
    </row>
    <row r="1542" spans="1:17">
      <c r="A1542" s="390"/>
      <c r="B1542" s="423" t="s">
        <v>874</v>
      </c>
      <c r="C1542" s="424">
        <v>91441</v>
      </c>
      <c r="D1542" s="390"/>
      <c r="H1542" s="300"/>
      <c r="J1542" s="387"/>
      <c r="K1542" s="300"/>
      <c r="Q1542" s="300"/>
    </row>
    <row r="1543" spans="1:17">
      <c r="A1543" s="390"/>
      <c r="B1543" s="423" t="s">
        <v>740</v>
      </c>
      <c r="C1543" s="424">
        <v>90141</v>
      </c>
      <c r="D1543" s="390"/>
      <c r="H1543" s="300"/>
      <c r="J1543" s="387"/>
      <c r="K1543" s="300"/>
      <c r="Q1543" s="300"/>
    </row>
    <row r="1544" spans="1:17">
      <c r="A1544" s="390"/>
      <c r="B1544" s="423" t="s">
        <v>1359</v>
      </c>
      <c r="C1544" s="424">
        <v>97211</v>
      </c>
      <c r="D1544" s="390"/>
      <c r="H1544" s="300"/>
      <c r="J1544" s="388"/>
      <c r="K1544" s="300"/>
      <c r="Q1544" s="300"/>
    </row>
    <row r="1545" spans="1:17">
      <c r="A1545" s="390"/>
      <c r="B1545" s="423" t="s">
        <v>1361</v>
      </c>
      <c r="C1545" s="424">
        <v>97217</v>
      </c>
      <c r="D1545" s="390"/>
      <c r="H1545" s="300"/>
      <c r="J1545" s="387"/>
      <c r="K1545" s="300"/>
      <c r="Q1545" s="300"/>
    </row>
    <row r="1546" spans="1:17">
      <c r="A1546" s="390"/>
      <c r="B1546" s="423" t="s">
        <v>1229</v>
      </c>
      <c r="C1546" s="424">
        <v>95621</v>
      </c>
      <c r="D1546" s="390"/>
      <c r="H1546" s="300"/>
      <c r="J1546" s="387"/>
      <c r="K1546" s="300"/>
      <c r="Q1546" s="300"/>
    </row>
    <row r="1547" spans="1:17">
      <c r="A1547" s="390"/>
      <c r="B1547" s="423" t="s">
        <v>856</v>
      </c>
      <c r="C1547" s="424">
        <v>91251</v>
      </c>
      <c r="D1547" s="390"/>
      <c r="H1547" s="300"/>
      <c r="J1547" s="388"/>
      <c r="K1547" s="300"/>
      <c r="Q1547" s="300"/>
    </row>
    <row r="1548" spans="1:17">
      <c r="A1548" s="390"/>
      <c r="B1548" s="423" t="s">
        <v>1337</v>
      </c>
      <c r="C1548" s="424">
        <v>96831</v>
      </c>
      <c r="D1548" s="390"/>
      <c r="H1548" s="300"/>
      <c r="J1548" s="387"/>
      <c r="K1548" s="300"/>
      <c r="Q1548" s="300"/>
    </row>
    <row r="1549" spans="1:17">
      <c r="A1549" s="390"/>
      <c r="B1549" s="423" t="s">
        <v>1123</v>
      </c>
      <c r="C1549" s="424">
        <v>94251</v>
      </c>
      <c r="D1549" s="390"/>
      <c r="H1549" s="300"/>
      <c r="J1549" s="387"/>
      <c r="K1549" s="300"/>
      <c r="Q1549" s="300"/>
    </row>
    <row r="1550" spans="1:17">
      <c r="A1550" s="390"/>
      <c r="B1550" s="423" t="s">
        <v>807</v>
      </c>
      <c r="C1550" s="424">
        <v>91014</v>
      </c>
      <c r="D1550" s="390"/>
      <c r="H1550" s="300"/>
      <c r="J1550" s="387"/>
      <c r="K1550" s="300"/>
      <c r="Q1550" s="300"/>
    </row>
    <row r="1551" spans="1:17">
      <c r="A1551" s="390"/>
      <c r="B1551" s="423" t="s">
        <v>1328</v>
      </c>
      <c r="C1551" s="424">
        <v>96731</v>
      </c>
      <c r="D1551" s="390"/>
      <c r="H1551" s="300"/>
      <c r="J1551" s="387"/>
      <c r="K1551" s="300"/>
      <c r="Q1551" s="300"/>
    </row>
    <row r="1552" spans="1:17">
      <c r="A1552" s="390"/>
      <c r="B1552" s="423" t="s">
        <v>1538</v>
      </c>
      <c r="C1552" s="424">
        <v>99202</v>
      </c>
      <c r="D1552" s="390"/>
      <c r="H1552" s="300"/>
      <c r="J1552" s="387"/>
      <c r="K1552" s="300"/>
      <c r="Q1552" s="300"/>
    </row>
    <row r="1553" spans="1:17">
      <c r="A1553" s="390"/>
      <c r="B1553" s="423" t="s">
        <v>1095</v>
      </c>
      <c r="C1553" s="424">
        <v>94011</v>
      </c>
      <c r="D1553" s="390"/>
      <c r="H1553" s="300"/>
      <c r="J1553" s="388"/>
      <c r="K1553" s="300"/>
      <c r="Q1553" s="300"/>
    </row>
    <row r="1554" spans="1:17">
      <c r="A1554" s="390"/>
      <c r="B1554" s="423" t="s">
        <v>973</v>
      </c>
      <c r="C1554" s="424">
        <v>92631</v>
      </c>
      <c r="D1554" s="390"/>
      <c r="H1554" s="300"/>
      <c r="J1554" s="387"/>
      <c r="K1554" s="300"/>
      <c r="Q1554" s="300"/>
    </row>
    <row r="1555" spans="1:17">
      <c r="A1555" s="390"/>
      <c r="B1555" s="423" t="s">
        <v>873</v>
      </c>
      <c r="C1555" s="424">
        <v>91431</v>
      </c>
      <c r="D1555" s="390"/>
      <c r="H1555" s="300"/>
      <c r="J1555" s="387"/>
      <c r="K1555" s="300"/>
      <c r="Q1555" s="300"/>
    </row>
    <row r="1556" spans="1:17">
      <c r="A1556" s="390"/>
      <c r="B1556" s="423" t="s">
        <v>1260</v>
      </c>
      <c r="C1556" s="424">
        <v>96041</v>
      </c>
      <c r="D1556" s="390"/>
      <c r="H1556" s="300"/>
      <c r="J1556" s="387"/>
      <c r="K1556" s="300"/>
      <c r="Q1556" s="300"/>
    </row>
    <row r="1557" spans="1:17">
      <c r="A1557" s="390"/>
      <c r="B1557" s="423" t="s">
        <v>889</v>
      </c>
      <c r="C1557" s="424">
        <v>91661</v>
      </c>
      <c r="D1557" s="390"/>
      <c r="H1557" s="300"/>
      <c r="J1557" s="387"/>
      <c r="K1557" s="300"/>
      <c r="Q1557" s="300"/>
    </row>
    <row r="1558" spans="1:17">
      <c r="A1558" s="390"/>
      <c r="B1558" s="423" t="s">
        <v>1527</v>
      </c>
      <c r="C1558" s="424">
        <v>99051</v>
      </c>
      <c r="D1558" s="390"/>
      <c r="H1558" s="300"/>
      <c r="J1558" s="387"/>
      <c r="K1558" s="300"/>
      <c r="Q1558" s="300"/>
    </row>
    <row r="1559" spans="1:17">
      <c r="A1559" s="390"/>
      <c r="B1559" s="423" t="s">
        <v>1320</v>
      </c>
      <c r="C1559" s="424">
        <v>96661</v>
      </c>
      <c r="D1559" s="390"/>
      <c r="H1559" s="300"/>
      <c r="J1559" s="387"/>
      <c r="K1559" s="300"/>
      <c r="Q1559" s="300"/>
    </row>
    <row r="1560" spans="1:17">
      <c r="A1560" s="390"/>
      <c r="B1560" s="423" t="s">
        <v>1108</v>
      </c>
      <c r="C1560" s="424">
        <v>94131</v>
      </c>
      <c r="D1560" s="390"/>
      <c r="H1560" s="300"/>
      <c r="J1560" s="387"/>
      <c r="K1560" s="300"/>
      <c r="Q1560" s="300"/>
    </row>
    <row r="1561" spans="1:17">
      <c r="A1561" s="390"/>
      <c r="B1561" s="423" t="s">
        <v>1241</v>
      </c>
      <c r="C1561" s="424">
        <v>95841</v>
      </c>
      <c r="D1561" s="390"/>
      <c r="H1561" s="300"/>
      <c r="J1561" s="387"/>
      <c r="K1561" s="300"/>
      <c r="Q1561" s="300"/>
    </row>
    <row r="1562" spans="1:17">
      <c r="A1562" s="390"/>
      <c r="B1562" s="423" t="s">
        <v>761</v>
      </c>
      <c r="C1562" s="424">
        <v>90511</v>
      </c>
      <c r="D1562" s="390"/>
      <c r="H1562" s="300"/>
      <c r="J1562" s="388"/>
      <c r="K1562" s="300"/>
      <c r="Q1562" s="300"/>
    </row>
    <row r="1563" spans="1:17">
      <c r="A1563" s="390"/>
      <c r="B1563" s="423" t="s">
        <v>1609</v>
      </c>
      <c r="C1563" s="424">
        <v>99921</v>
      </c>
      <c r="D1563" s="390"/>
      <c r="H1563" s="300"/>
      <c r="J1563" s="387"/>
      <c r="K1563" s="300"/>
      <c r="Q1563" s="300"/>
    </row>
    <row r="1564" spans="1:17">
      <c r="A1564" s="390"/>
      <c r="B1564" s="423" t="s">
        <v>1006</v>
      </c>
      <c r="C1564" s="424">
        <v>93121</v>
      </c>
      <c r="D1564" s="390"/>
      <c r="H1564" s="300"/>
      <c r="J1564" s="387"/>
      <c r="K1564" s="300"/>
      <c r="Q1564" s="300"/>
    </row>
    <row r="1565" spans="1:17">
      <c r="A1565" s="390"/>
      <c r="B1565" s="423" t="s">
        <v>1200</v>
      </c>
      <c r="C1565" s="424">
        <v>95171</v>
      </c>
      <c r="D1565" s="390"/>
      <c r="H1565" s="300"/>
      <c r="J1565" s="388"/>
      <c r="K1565" s="300"/>
      <c r="Q1565" s="300"/>
    </row>
    <row r="1566" spans="1:17">
      <c r="A1566" s="390"/>
      <c r="B1566" s="423" t="s">
        <v>1043</v>
      </c>
      <c r="C1566" s="424">
        <v>93421</v>
      </c>
      <c r="D1566" s="390"/>
      <c r="H1566" s="300"/>
      <c r="J1566" s="387"/>
      <c r="K1566" s="300"/>
      <c r="Q1566" s="300"/>
    </row>
    <row r="1567" spans="1:17">
      <c r="A1567" s="390"/>
      <c r="B1567" s="423" t="s">
        <v>985</v>
      </c>
      <c r="C1567" s="424">
        <v>92821</v>
      </c>
      <c r="D1567" s="390"/>
      <c r="H1567" s="300"/>
      <c r="J1567" s="387"/>
      <c r="K1567" s="300"/>
      <c r="Q1567" s="300"/>
    </row>
    <row r="1568" spans="1:17">
      <c r="A1568" s="390"/>
      <c r="B1568" s="423" t="s">
        <v>988</v>
      </c>
      <c r="C1568" s="424">
        <v>92851</v>
      </c>
      <c r="D1568" s="390"/>
      <c r="H1568" s="300"/>
      <c r="J1568" s="387"/>
      <c r="K1568" s="300"/>
      <c r="Q1568" s="300"/>
    </row>
    <row r="1569" spans="1:17">
      <c r="A1569" s="390"/>
      <c r="B1569" s="423" t="s">
        <v>1558</v>
      </c>
      <c r="C1569" s="424">
        <v>99291</v>
      </c>
      <c r="D1569" s="390"/>
      <c r="H1569" s="300"/>
      <c r="J1569" s="387"/>
      <c r="K1569" s="300"/>
      <c r="Q1569" s="300"/>
    </row>
    <row r="1570" spans="1:17">
      <c r="A1570" s="390"/>
      <c r="B1570" s="423" t="s">
        <v>1311</v>
      </c>
      <c r="C1570" s="424">
        <v>96541</v>
      </c>
      <c r="D1570" s="390"/>
      <c r="H1570" s="300"/>
      <c r="J1570" s="387"/>
      <c r="K1570" s="300"/>
      <c r="Q1570" s="300"/>
    </row>
    <row r="1571" spans="1:17">
      <c r="A1571" s="390"/>
      <c r="B1571" s="423" t="s">
        <v>1220</v>
      </c>
      <c r="C1571" s="424">
        <v>95431</v>
      </c>
      <c r="D1571" s="390"/>
      <c r="H1571" s="300"/>
      <c r="J1571" s="387"/>
      <c r="K1571" s="300"/>
      <c r="Q1571" s="300"/>
    </row>
    <row r="1572" spans="1:17">
      <c r="A1572" s="390"/>
      <c r="B1572" s="423" t="s">
        <v>1462</v>
      </c>
      <c r="C1572" s="424">
        <v>98131</v>
      </c>
      <c r="D1572" s="390"/>
      <c r="H1572" s="300"/>
      <c r="J1572" s="387"/>
      <c r="K1572" s="300"/>
      <c r="Q1572" s="300"/>
    </row>
    <row r="1573" spans="1:17">
      <c r="A1573" s="390"/>
      <c r="B1573" s="423" t="s">
        <v>948</v>
      </c>
      <c r="C1573" s="424">
        <v>92461</v>
      </c>
      <c r="D1573" s="390"/>
      <c r="H1573" s="300"/>
      <c r="J1573" s="387"/>
      <c r="K1573" s="300"/>
      <c r="Q1573" s="300"/>
    </row>
    <row r="1574" spans="1:17">
      <c r="A1574" s="390"/>
      <c r="B1574" s="423" t="s">
        <v>1449</v>
      </c>
      <c r="C1574" s="424">
        <v>98051</v>
      </c>
      <c r="D1574" s="390"/>
      <c r="H1574" s="300"/>
      <c r="J1574" s="388"/>
      <c r="K1574" s="300"/>
      <c r="Q1574" s="300"/>
    </row>
    <row r="1575" spans="1:17">
      <c r="A1575" s="390"/>
      <c r="B1575" s="426" t="s">
        <v>1149</v>
      </c>
      <c r="C1575" s="425">
        <v>94521</v>
      </c>
      <c r="D1575" s="390"/>
      <c r="H1575" s="300"/>
      <c r="J1575" s="387"/>
      <c r="K1575" s="300"/>
      <c r="Q1575" s="300"/>
    </row>
    <row r="1576" spans="1:17">
      <c r="A1576" s="390"/>
      <c r="B1576" s="423" t="s">
        <v>936</v>
      </c>
      <c r="C1576" s="424">
        <v>92341</v>
      </c>
      <c r="D1576" s="390"/>
      <c r="H1576" s="300"/>
      <c r="J1576" s="387"/>
      <c r="K1576" s="300"/>
      <c r="Q1576" s="300"/>
    </row>
    <row r="1577" spans="1:17">
      <c r="A1577" s="390"/>
      <c r="B1577" s="423" t="s">
        <v>796</v>
      </c>
      <c r="C1577" s="424">
        <v>91002</v>
      </c>
      <c r="D1577" s="390"/>
      <c r="H1577" s="300"/>
      <c r="J1577" s="388"/>
      <c r="K1577" s="300"/>
      <c r="Q1577" s="300"/>
    </row>
    <row r="1578" spans="1:17">
      <c r="A1578" s="390"/>
      <c r="B1578" s="423" t="s">
        <v>787</v>
      </c>
      <c r="C1578" s="424">
        <v>90861</v>
      </c>
      <c r="D1578" s="390"/>
      <c r="H1578" s="300"/>
      <c r="J1578" s="387"/>
      <c r="K1578" s="300"/>
      <c r="Q1578" s="300"/>
    </row>
    <row r="1579" spans="1:17">
      <c r="A1579" s="390"/>
      <c r="B1579" s="423" t="s">
        <v>1047</v>
      </c>
      <c r="C1579" s="424">
        <v>93451</v>
      </c>
      <c r="D1579" s="390"/>
      <c r="H1579" s="300"/>
      <c r="J1579" s="387"/>
      <c r="K1579" s="300"/>
      <c r="Q1579" s="300"/>
    </row>
    <row r="1580" spans="1:17">
      <c r="A1580" s="390"/>
      <c r="B1580" s="423" t="s">
        <v>1395</v>
      </c>
      <c r="C1580" s="424">
        <v>97631</v>
      </c>
      <c r="D1580" s="390"/>
      <c r="H1580" s="300"/>
      <c r="J1580" s="387"/>
      <c r="K1580" s="300"/>
      <c r="Q1580" s="300"/>
    </row>
    <row r="1581" spans="1:17">
      <c r="A1581" s="390"/>
      <c r="B1581" s="423" t="s">
        <v>755</v>
      </c>
      <c r="C1581" s="424">
        <v>90421</v>
      </c>
      <c r="D1581" s="390"/>
      <c r="H1581" s="300"/>
      <c r="J1581" s="387"/>
      <c r="K1581" s="300"/>
      <c r="Q1581" s="300"/>
    </row>
    <row r="1582" spans="1:17">
      <c r="A1582" s="390"/>
      <c r="B1582" s="423" t="s">
        <v>1129</v>
      </c>
      <c r="C1582" s="424">
        <v>94321</v>
      </c>
      <c r="D1582" s="390"/>
      <c r="H1582" s="300"/>
      <c r="J1582" s="387"/>
      <c r="K1582" s="300"/>
      <c r="Q1582" s="300"/>
    </row>
    <row r="1583" spans="1:17">
      <c r="A1583" s="390"/>
      <c r="B1583" s="423" t="s">
        <v>1225</v>
      </c>
      <c r="C1583" s="424">
        <v>95517</v>
      </c>
      <c r="D1583" s="390"/>
      <c r="H1583" s="300"/>
      <c r="J1583" s="387"/>
      <c r="K1583" s="300"/>
      <c r="Q1583" s="300"/>
    </row>
    <row r="1584" spans="1:17">
      <c r="A1584" s="390"/>
      <c r="B1584" s="423" t="s">
        <v>975</v>
      </c>
      <c r="C1584" s="424">
        <v>92651</v>
      </c>
      <c r="D1584" s="390"/>
      <c r="H1584" s="300"/>
      <c r="J1584" s="387"/>
      <c r="K1584" s="300"/>
      <c r="Q1584" s="300"/>
    </row>
    <row r="1585" spans="1:17">
      <c r="A1585" s="390"/>
      <c r="B1585" s="423" t="s">
        <v>1124</v>
      </c>
      <c r="C1585" s="424">
        <v>94261</v>
      </c>
      <c r="D1585" s="390"/>
      <c r="H1585" s="300"/>
      <c r="J1585" s="387"/>
      <c r="K1585" s="300"/>
      <c r="Q1585" s="300"/>
    </row>
    <row r="1586" spans="1:17">
      <c r="A1586" s="390"/>
      <c r="B1586" s="423" t="s">
        <v>1053</v>
      </c>
      <c r="C1586" s="424">
        <v>93521</v>
      </c>
      <c r="D1586" s="390"/>
      <c r="H1586" s="300"/>
      <c r="J1586" s="388"/>
      <c r="K1586" s="300"/>
      <c r="Q1586" s="300"/>
    </row>
    <row r="1587" spans="1:17">
      <c r="A1587" s="390"/>
      <c r="B1587" s="423" t="s">
        <v>1605</v>
      </c>
      <c r="C1587" s="424">
        <v>99841</v>
      </c>
      <c r="D1587" s="390"/>
      <c r="H1587" s="300"/>
      <c r="J1587" s="387"/>
      <c r="K1587" s="300"/>
      <c r="Q1587" s="300"/>
    </row>
    <row r="1588" spans="1:17">
      <c r="A1588" s="390"/>
      <c r="B1588" s="423" t="s">
        <v>1034</v>
      </c>
      <c r="C1588" s="424">
        <v>93341</v>
      </c>
      <c r="D1588" s="390"/>
      <c r="H1588" s="300"/>
      <c r="J1588" s="387"/>
      <c r="K1588" s="300"/>
      <c r="Q1588" s="300"/>
    </row>
    <row r="1589" spans="1:17">
      <c r="A1589" s="390"/>
      <c r="B1589" s="427" t="s">
        <v>1433</v>
      </c>
      <c r="C1589" s="428">
        <v>97941</v>
      </c>
      <c r="D1589" s="390"/>
      <c r="H1589" s="300"/>
      <c r="J1589" s="388"/>
      <c r="K1589" s="300"/>
      <c r="Q1589" s="300"/>
    </row>
    <row r="1590" spans="1:17">
      <c r="A1590" s="390"/>
      <c r="B1590" s="423" t="s">
        <v>1140</v>
      </c>
      <c r="C1590" s="424">
        <v>94421</v>
      </c>
      <c r="D1590" s="390"/>
      <c r="H1590" s="300"/>
      <c r="J1590" s="387"/>
      <c r="K1590" s="300"/>
      <c r="Q1590" s="300"/>
    </row>
    <row r="1591" spans="1:17">
      <c r="A1591" s="390"/>
      <c r="B1591" s="423" t="s">
        <v>1016</v>
      </c>
      <c r="C1591" s="424">
        <v>93191</v>
      </c>
      <c r="D1591" s="390"/>
      <c r="H1591" s="300"/>
      <c r="J1591" s="387"/>
      <c r="K1591" s="300"/>
      <c r="Q1591" s="300"/>
    </row>
    <row r="1592" spans="1:17">
      <c r="A1592" s="390"/>
      <c r="B1592" s="423" t="s">
        <v>905</v>
      </c>
      <c r="C1592" s="424">
        <v>91831</v>
      </c>
      <c r="D1592" s="390"/>
      <c r="H1592" s="300"/>
      <c r="J1592" s="387"/>
      <c r="K1592" s="300"/>
      <c r="Q1592" s="300"/>
    </row>
    <row r="1593" spans="1:17">
      <c r="A1593" s="390"/>
      <c r="B1593" s="423" t="s">
        <v>986</v>
      </c>
      <c r="C1593" s="424">
        <v>92831</v>
      </c>
      <c r="D1593" s="390"/>
      <c r="H1593" s="300"/>
      <c r="J1593" s="387"/>
      <c r="K1593" s="300"/>
      <c r="Q1593" s="300"/>
    </row>
    <row r="1594" spans="1:17">
      <c r="A1594" s="390"/>
      <c r="B1594" s="423" t="s">
        <v>1246</v>
      </c>
      <c r="C1594" s="424">
        <v>95911</v>
      </c>
      <c r="D1594" s="390"/>
      <c r="H1594" s="300"/>
      <c r="J1594" s="387"/>
      <c r="K1594" s="300"/>
      <c r="Q1594" s="300"/>
    </row>
    <row r="1595" spans="1:17">
      <c r="A1595" s="390"/>
      <c r="B1595" s="423" t="s">
        <v>1231</v>
      </c>
      <c r="C1595" s="424">
        <v>95711</v>
      </c>
      <c r="D1595" s="390"/>
      <c r="H1595" s="300"/>
      <c r="J1595" s="387"/>
      <c r="K1595" s="300"/>
      <c r="Q1595" s="300"/>
    </row>
    <row r="1596" spans="1:17">
      <c r="A1596" s="390"/>
      <c r="B1596" s="423" t="s">
        <v>1232</v>
      </c>
      <c r="C1596" s="424">
        <v>95721</v>
      </c>
      <c r="D1596" s="390"/>
      <c r="H1596" s="300"/>
      <c r="J1596" s="387"/>
      <c r="K1596" s="300"/>
      <c r="Q1596" s="300"/>
    </row>
    <row r="1597" spans="1:17">
      <c r="A1597" s="390"/>
      <c r="B1597" s="423" t="s">
        <v>1523</v>
      </c>
      <c r="C1597" s="424">
        <v>99021</v>
      </c>
      <c r="D1597" s="390"/>
      <c r="H1597" s="300"/>
      <c r="J1597" s="387"/>
      <c r="K1597" s="300"/>
      <c r="Q1597" s="300"/>
    </row>
    <row r="1598" spans="1:17">
      <c r="A1598" s="390"/>
      <c r="B1598" s="423" t="s">
        <v>1263</v>
      </c>
      <c r="C1598" s="424">
        <v>96071</v>
      </c>
      <c r="D1598" s="390"/>
      <c r="H1598" s="300"/>
      <c r="J1598" s="388"/>
      <c r="K1598" s="300"/>
      <c r="Q1598" s="300"/>
    </row>
    <row r="1599" spans="1:17">
      <c r="A1599" s="390"/>
      <c r="B1599" s="423" t="s">
        <v>1419</v>
      </c>
      <c r="C1599" s="424">
        <v>97840</v>
      </c>
      <c r="D1599" s="390"/>
      <c r="H1599" s="300"/>
      <c r="J1599" s="387"/>
      <c r="K1599" s="300"/>
      <c r="Q1599" s="300"/>
    </row>
    <row r="1600" spans="1:17">
      <c r="A1600" s="390"/>
      <c r="B1600" s="423" t="s">
        <v>1431</v>
      </c>
      <c r="C1600" s="424">
        <v>97921</v>
      </c>
      <c r="D1600" s="390"/>
      <c r="H1600" s="300"/>
      <c r="J1600" s="387"/>
      <c r="K1600" s="300"/>
      <c r="Q1600" s="300"/>
    </row>
    <row r="1601" spans="1:1023 1025:2047 2049:3071 3073:4095 4097:5119 5121:6143 6145:7167 7169:8191 8193:9215 9217:10239 10241:11263 11265:12287 12289:13311 13313:14335 14337:15359 15361:16383">
      <c r="A1601" s="390"/>
      <c r="B1601" s="423" t="s">
        <v>1207</v>
      </c>
      <c r="C1601" s="424">
        <v>95221</v>
      </c>
      <c r="D1601" s="390"/>
      <c r="H1601" s="300"/>
      <c r="J1601" s="388"/>
      <c r="K1601" s="300"/>
      <c r="Q1601" s="300"/>
    </row>
    <row r="1602" spans="1:1023 1025:2047 2049:3071 3073:4095 4097:5119 5121:6143 6145:7167 7169:8191 8193:9215 9217:10239 10241:11263 11265:12287 12289:13311 13313:14335 14337:15359 15361:16383">
      <c r="A1602" s="390"/>
      <c r="B1602" s="423" t="s">
        <v>1061</v>
      </c>
      <c r="C1602" s="424">
        <v>93610</v>
      </c>
      <c r="D1602" s="390"/>
      <c r="H1602" s="300"/>
      <c r="J1602" s="387"/>
      <c r="K1602" s="300"/>
      <c r="Q1602" s="300"/>
    </row>
    <row r="1603" spans="1:1023 1025:2047 2049:3071 3073:4095 4097:5119 5121:6143 6145:7167 7169:8191 8193:9215 9217:10239 10241:11263 11265:12287 12289:13311 13313:14335 14337:15359 15361:16383">
      <c r="A1603" s="390"/>
      <c r="B1603" s="427" t="s">
        <v>1194</v>
      </c>
      <c r="C1603" s="428">
        <v>95122</v>
      </c>
      <c r="D1603" s="390"/>
      <c r="H1603" s="300"/>
      <c r="J1603" s="387"/>
      <c r="K1603" s="300"/>
      <c r="Q1603" s="300"/>
    </row>
    <row r="1604" spans="1:1023 1025:2047 2049:3071 3073:4095 4097:5119 5121:6143 6145:7167 7169:8191 8193:9215 9217:10239 10241:11263 11265:12287 12289:13311 13313:14335 14337:15359 15361:16383">
      <c r="A1604" s="390"/>
      <c r="B1604" s="423" t="s">
        <v>1297</v>
      </c>
      <c r="C1604" s="424">
        <v>96431</v>
      </c>
      <c r="D1604" s="390"/>
      <c r="H1604" s="300"/>
      <c r="J1604" s="387"/>
      <c r="K1604" s="300"/>
      <c r="Q1604" s="300"/>
    </row>
    <row r="1605" spans="1:1023 1025:2047 2049:3071 3073:4095 4097:5119 5121:6143 6145:7167 7169:8191 8193:9215 9217:10239 10241:11263 11265:12287 12289:13311 13313:14335 14337:15359 15361:16383">
      <c r="A1605" s="390"/>
      <c r="B1605" s="423" t="s">
        <v>867</v>
      </c>
      <c r="C1605" s="424">
        <v>91341</v>
      </c>
      <c r="D1605" s="390"/>
      <c r="H1605" s="300"/>
      <c r="J1605" s="387"/>
      <c r="K1605" s="300"/>
      <c r="Q1605" s="300"/>
    </row>
    <row r="1606" spans="1:1023 1025:2047 2049:3071 3073:4095 4097:5119 5121:6143 6145:7167 7169:8191 8193:9215 9217:10239 10241:11263 11265:12287 12289:13311 13313:14335 14337:15359 15361:16383">
      <c r="A1606" s="390"/>
      <c r="B1606" s="423" t="s">
        <v>81</v>
      </c>
      <c r="C1606" s="424">
        <v>92941</v>
      </c>
      <c r="D1606" s="390"/>
      <c r="H1606" s="300"/>
      <c r="J1606" s="387"/>
      <c r="K1606" s="300"/>
      <c r="Q1606" s="300"/>
    </row>
    <row r="1607" spans="1:1023 1025:2047 2049:3071 3073:4095 4097:5119 5121:6143 6145:7167 7169:8191 8193:9215 9217:10239 10241:11263 11265:12287 12289:13311 13313:14335 14337:15359 15361:16383" s="390" customFormat="1">
      <c r="B1607" s="423" t="s">
        <v>1155</v>
      </c>
      <c r="C1607" s="424">
        <v>94551</v>
      </c>
      <c r="D1607" s="391"/>
      <c r="F1607" s="391"/>
      <c r="H1607" s="391"/>
      <c r="J1607" s="391"/>
      <c r="L1607" s="391"/>
      <c r="O1607" s="391"/>
      <c r="Q1607" s="391"/>
      <c r="S1607" s="391"/>
      <c r="U1607" s="391"/>
      <c r="W1607" s="391"/>
      <c r="Y1607" s="391"/>
      <c r="AA1607" s="391"/>
      <c r="AC1607" s="391"/>
      <c r="AE1607" s="391"/>
      <c r="AG1607" s="391"/>
      <c r="AI1607" s="391"/>
      <c r="AK1607" s="391"/>
      <c r="AM1607" s="391"/>
      <c r="AO1607" s="391"/>
      <c r="AQ1607" s="391"/>
      <c r="AS1607" s="391"/>
      <c r="AU1607" s="391"/>
      <c r="AW1607" s="391"/>
      <c r="AY1607" s="391"/>
      <c r="BA1607" s="391"/>
      <c r="BC1607" s="391"/>
      <c r="BE1607" s="391"/>
      <c r="BG1607" s="391"/>
      <c r="BI1607" s="391"/>
      <c r="BK1607" s="391"/>
      <c r="BM1607" s="391"/>
      <c r="BO1607" s="391"/>
      <c r="BQ1607" s="391"/>
      <c r="BS1607" s="391"/>
      <c r="BU1607" s="391"/>
      <c r="BW1607" s="391"/>
      <c r="BY1607" s="391"/>
      <c r="CA1607" s="391"/>
      <c r="CC1607" s="391"/>
      <c r="CE1607" s="391"/>
      <c r="CG1607" s="391"/>
      <c r="CI1607" s="391"/>
      <c r="CK1607" s="391"/>
      <c r="CM1607" s="391"/>
      <c r="CO1607" s="391"/>
      <c r="CQ1607" s="391"/>
      <c r="CS1607" s="391"/>
      <c r="CU1607" s="391"/>
      <c r="CW1607" s="391"/>
      <c r="CY1607" s="391"/>
      <c r="DA1607" s="391"/>
      <c r="DC1607" s="391"/>
      <c r="DE1607" s="391"/>
      <c r="DG1607" s="391"/>
      <c r="DI1607" s="391"/>
      <c r="DK1607" s="391"/>
      <c r="DM1607" s="391"/>
      <c r="DO1607" s="391"/>
      <c r="DQ1607" s="391"/>
      <c r="DS1607" s="391"/>
      <c r="DU1607" s="391"/>
      <c r="DW1607" s="391"/>
      <c r="DY1607" s="391"/>
      <c r="EA1607" s="391"/>
      <c r="EC1607" s="391"/>
      <c r="EE1607" s="391"/>
      <c r="EG1607" s="391"/>
      <c r="EI1607" s="391"/>
      <c r="EK1607" s="391"/>
      <c r="EM1607" s="391"/>
      <c r="EO1607" s="391"/>
      <c r="EQ1607" s="391"/>
      <c r="ES1607" s="391"/>
      <c r="EU1607" s="391"/>
      <c r="EW1607" s="391"/>
      <c r="EY1607" s="391"/>
      <c r="FA1607" s="391"/>
      <c r="FC1607" s="391"/>
      <c r="FE1607" s="391"/>
      <c r="FG1607" s="391"/>
      <c r="FI1607" s="391"/>
      <c r="FK1607" s="391"/>
      <c r="FM1607" s="391"/>
      <c r="FO1607" s="391"/>
      <c r="FQ1607" s="391"/>
      <c r="FS1607" s="391"/>
      <c r="FU1607" s="391"/>
      <c r="FW1607" s="391"/>
      <c r="FY1607" s="391"/>
      <c r="GA1607" s="391"/>
      <c r="GC1607" s="391"/>
      <c r="GE1607" s="391"/>
      <c r="GG1607" s="391"/>
      <c r="GI1607" s="391"/>
      <c r="GK1607" s="391"/>
      <c r="GM1607" s="391"/>
      <c r="GO1607" s="391"/>
      <c r="GQ1607" s="391"/>
      <c r="GS1607" s="391"/>
      <c r="GU1607" s="391"/>
      <c r="GW1607" s="391"/>
      <c r="GY1607" s="391"/>
      <c r="HA1607" s="391"/>
      <c r="HC1607" s="391"/>
      <c r="HE1607" s="391"/>
      <c r="HG1607" s="391"/>
      <c r="HI1607" s="391"/>
      <c r="HK1607" s="391"/>
      <c r="HM1607" s="391"/>
      <c r="HO1607" s="391"/>
      <c r="HQ1607" s="391"/>
      <c r="HS1607" s="391"/>
      <c r="HU1607" s="391"/>
      <c r="HW1607" s="391"/>
      <c r="HY1607" s="391"/>
      <c r="IA1607" s="391"/>
      <c r="IC1607" s="391"/>
      <c r="IE1607" s="391"/>
      <c r="IG1607" s="391"/>
      <c r="II1607" s="391"/>
      <c r="IK1607" s="391"/>
      <c r="IM1607" s="391"/>
      <c r="IO1607" s="391"/>
      <c r="IQ1607" s="391"/>
      <c r="IS1607" s="391"/>
      <c r="IU1607" s="391"/>
      <c r="IW1607" s="391"/>
      <c r="IY1607" s="391"/>
      <c r="JA1607" s="391"/>
      <c r="JC1607" s="391"/>
      <c r="JE1607" s="391"/>
      <c r="JG1607" s="391"/>
      <c r="JI1607" s="391"/>
      <c r="JK1607" s="391"/>
      <c r="JM1607" s="391"/>
      <c r="JO1607" s="391"/>
      <c r="JQ1607" s="391"/>
      <c r="JS1607" s="391"/>
      <c r="JU1607" s="391"/>
      <c r="JW1607" s="391"/>
      <c r="JY1607" s="391"/>
      <c r="KA1607" s="391"/>
      <c r="KC1607" s="391"/>
      <c r="KE1607" s="391"/>
      <c r="KG1607" s="391"/>
      <c r="KI1607" s="391"/>
      <c r="KK1607" s="391"/>
      <c r="KM1607" s="391"/>
      <c r="KO1607" s="391"/>
      <c r="KQ1607" s="391"/>
      <c r="KS1607" s="391"/>
      <c r="KU1607" s="391"/>
      <c r="KW1607" s="391"/>
      <c r="KY1607" s="391"/>
      <c r="LA1607" s="391"/>
      <c r="LC1607" s="391"/>
      <c r="LE1607" s="391"/>
      <c r="LG1607" s="391"/>
      <c r="LI1607" s="391"/>
      <c r="LK1607" s="391"/>
      <c r="LM1607" s="391"/>
      <c r="LO1607" s="391"/>
      <c r="LQ1607" s="391"/>
      <c r="LS1607" s="391"/>
      <c r="LU1607" s="391"/>
      <c r="LW1607" s="391"/>
      <c r="LY1607" s="391"/>
      <c r="MA1607" s="391"/>
      <c r="MC1607" s="391"/>
      <c r="ME1607" s="391"/>
      <c r="MG1607" s="391"/>
      <c r="MI1607" s="391"/>
      <c r="MK1607" s="391"/>
      <c r="MM1607" s="391"/>
      <c r="MO1607" s="391"/>
      <c r="MQ1607" s="391"/>
      <c r="MS1607" s="391"/>
      <c r="MU1607" s="391"/>
      <c r="MW1607" s="391"/>
      <c r="MY1607" s="391"/>
      <c r="NA1607" s="391"/>
      <c r="NC1607" s="391"/>
      <c r="NE1607" s="391"/>
      <c r="NG1607" s="391"/>
      <c r="NI1607" s="391"/>
      <c r="NK1607" s="391"/>
      <c r="NM1607" s="391"/>
      <c r="NO1607" s="391"/>
      <c r="NQ1607" s="391"/>
      <c r="NS1607" s="391"/>
      <c r="NU1607" s="391"/>
      <c r="NW1607" s="391"/>
      <c r="NY1607" s="391"/>
      <c r="OA1607" s="391"/>
      <c r="OC1607" s="391"/>
      <c r="OE1607" s="391"/>
      <c r="OG1607" s="391"/>
      <c r="OI1607" s="391"/>
      <c r="OK1607" s="391"/>
      <c r="OM1607" s="391"/>
      <c r="OO1607" s="391"/>
      <c r="OQ1607" s="391"/>
      <c r="OS1607" s="391"/>
      <c r="OU1607" s="391"/>
      <c r="OW1607" s="391"/>
      <c r="OY1607" s="391"/>
      <c r="PA1607" s="391"/>
      <c r="PC1607" s="391"/>
      <c r="PE1607" s="391"/>
      <c r="PG1607" s="391"/>
      <c r="PI1607" s="391"/>
      <c r="PK1607" s="391"/>
      <c r="PM1607" s="391"/>
      <c r="PO1607" s="391"/>
      <c r="PQ1607" s="391"/>
      <c r="PS1607" s="391"/>
      <c r="PU1607" s="391"/>
      <c r="PW1607" s="391"/>
      <c r="PY1607" s="391"/>
      <c r="QA1607" s="391"/>
      <c r="QC1607" s="391"/>
      <c r="QE1607" s="391"/>
      <c r="QG1607" s="391"/>
      <c r="QI1607" s="391"/>
      <c r="QK1607" s="391"/>
      <c r="QM1607" s="391"/>
      <c r="QO1607" s="391"/>
      <c r="QQ1607" s="391"/>
      <c r="QS1607" s="391"/>
      <c r="QU1607" s="391"/>
      <c r="QW1607" s="391"/>
      <c r="QY1607" s="391"/>
      <c r="RA1607" s="391"/>
      <c r="RC1607" s="391"/>
      <c r="RE1607" s="391"/>
      <c r="RG1607" s="391"/>
      <c r="RI1607" s="391"/>
      <c r="RK1607" s="391"/>
      <c r="RM1607" s="391"/>
      <c r="RO1607" s="391"/>
      <c r="RQ1607" s="391"/>
      <c r="RS1607" s="391"/>
      <c r="RU1607" s="391"/>
      <c r="RW1607" s="391"/>
      <c r="RY1607" s="391"/>
      <c r="SA1607" s="391"/>
      <c r="SC1607" s="391"/>
      <c r="SE1607" s="391"/>
      <c r="SG1607" s="391"/>
      <c r="SI1607" s="391"/>
      <c r="SK1607" s="391"/>
      <c r="SM1607" s="391"/>
      <c r="SO1607" s="391"/>
      <c r="SQ1607" s="391"/>
      <c r="SS1607" s="391"/>
      <c r="SU1607" s="391"/>
      <c r="SW1607" s="391"/>
      <c r="SY1607" s="391"/>
      <c r="TA1607" s="391"/>
      <c r="TC1607" s="391"/>
      <c r="TE1607" s="391"/>
      <c r="TG1607" s="391"/>
      <c r="TI1607" s="391"/>
      <c r="TK1607" s="391"/>
      <c r="TM1607" s="391"/>
      <c r="TO1607" s="391"/>
      <c r="TQ1607" s="391"/>
      <c r="TS1607" s="391"/>
      <c r="TU1607" s="391"/>
      <c r="TW1607" s="391"/>
      <c r="TY1607" s="391"/>
      <c r="UA1607" s="391"/>
      <c r="UC1607" s="391"/>
      <c r="UE1607" s="391"/>
      <c r="UG1607" s="391"/>
      <c r="UI1607" s="391"/>
      <c r="UK1607" s="391"/>
      <c r="UM1607" s="391"/>
      <c r="UO1607" s="391"/>
      <c r="UQ1607" s="391"/>
      <c r="US1607" s="391"/>
      <c r="UU1607" s="391"/>
      <c r="UW1607" s="391"/>
      <c r="UY1607" s="391"/>
      <c r="VA1607" s="391"/>
      <c r="VC1607" s="391"/>
      <c r="VE1607" s="391"/>
      <c r="VG1607" s="391"/>
      <c r="VI1607" s="391"/>
      <c r="VK1607" s="391"/>
      <c r="VM1607" s="391"/>
      <c r="VO1607" s="391"/>
      <c r="VQ1607" s="391"/>
      <c r="VS1607" s="391"/>
      <c r="VU1607" s="391"/>
      <c r="VW1607" s="391"/>
      <c r="VY1607" s="391"/>
      <c r="WA1607" s="391"/>
      <c r="WC1607" s="391"/>
      <c r="WE1607" s="391"/>
      <c r="WG1607" s="391"/>
      <c r="WI1607" s="391"/>
      <c r="WK1607" s="391"/>
      <c r="WM1607" s="391"/>
      <c r="WO1607" s="391"/>
      <c r="WQ1607" s="391"/>
      <c r="WS1607" s="391"/>
      <c r="WU1607" s="391"/>
      <c r="WW1607" s="391"/>
      <c r="WY1607" s="391"/>
      <c r="XA1607" s="391"/>
      <c r="XC1607" s="391"/>
      <c r="XE1607" s="391"/>
      <c r="XG1607" s="391"/>
      <c r="XI1607" s="391"/>
      <c r="XK1607" s="391"/>
      <c r="XM1607" s="391"/>
      <c r="XO1607" s="391"/>
      <c r="XQ1607" s="391"/>
      <c r="XS1607" s="391"/>
      <c r="XU1607" s="391"/>
      <c r="XW1607" s="391"/>
      <c r="XY1607" s="391"/>
      <c r="YA1607" s="391"/>
      <c r="YC1607" s="391"/>
      <c r="YE1607" s="391"/>
      <c r="YG1607" s="391"/>
      <c r="YI1607" s="391"/>
      <c r="YK1607" s="391"/>
      <c r="YM1607" s="391"/>
      <c r="YO1607" s="391"/>
      <c r="YQ1607" s="391"/>
      <c r="YS1607" s="391"/>
      <c r="YU1607" s="391"/>
      <c r="YW1607" s="391"/>
      <c r="YY1607" s="391"/>
      <c r="ZA1607" s="391"/>
      <c r="ZC1607" s="391"/>
      <c r="ZE1607" s="391"/>
      <c r="ZG1607" s="391"/>
      <c r="ZI1607" s="391"/>
      <c r="ZK1607" s="391"/>
      <c r="ZM1607" s="391"/>
      <c r="ZO1607" s="391"/>
      <c r="ZQ1607" s="391"/>
      <c r="ZS1607" s="391"/>
      <c r="ZU1607" s="391"/>
      <c r="ZW1607" s="391"/>
      <c r="ZY1607" s="391"/>
      <c r="AAA1607" s="391"/>
      <c r="AAC1607" s="391"/>
      <c r="AAE1607" s="391"/>
      <c r="AAG1607" s="391"/>
      <c r="AAI1607" s="391"/>
      <c r="AAK1607" s="391"/>
      <c r="AAM1607" s="391"/>
      <c r="AAO1607" s="391"/>
      <c r="AAQ1607" s="391"/>
      <c r="AAS1607" s="391"/>
      <c r="AAU1607" s="391"/>
      <c r="AAW1607" s="391"/>
      <c r="AAY1607" s="391"/>
      <c r="ABA1607" s="391"/>
      <c r="ABC1607" s="391"/>
      <c r="ABE1607" s="391"/>
      <c r="ABG1607" s="391"/>
      <c r="ABI1607" s="391"/>
      <c r="ABK1607" s="391"/>
      <c r="ABM1607" s="391"/>
      <c r="ABO1607" s="391"/>
      <c r="ABQ1607" s="391"/>
      <c r="ABS1607" s="391"/>
      <c r="ABU1607" s="391"/>
      <c r="ABW1607" s="391"/>
      <c r="ABY1607" s="391"/>
      <c r="ACA1607" s="391"/>
      <c r="ACC1607" s="391"/>
      <c r="ACE1607" s="391"/>
      <c r="ACG1607" s="391"/>
      <c r="ACI1607" s="391"/>
      <c r="ACK1607" s="391"/>
      <c r="ACM1607" s="391"/>
      <c r="ACO1607" s="391"/>
      <c r="ACQ1607" s="391"/>
      <c r="ACS1607" s="391"/>
      <c r="ACU1607" s="391"/>
      <c r="ACW1607" s="391"/>
      <c r="ACY1607" s="391"/>
      <c r="ADA1607" s="391"/>
      <c r="ADC1607" s="391"/>
      <c r="ADE1607" s="391"/>
      <c r="ADG1607" s="391"/>
      <c r="ADI1607" s="391"/>
      <c r="ADK1607" s="391"/>
      <c r="ADM1607" s="391"/>
      <c r="ADO1607" s="391"/>
      <c r="ADQ1607" s="391"/>
      <c r="ADS1607" s="391"/>
      <c r="ADU1607" s="391"/>
      <c r="ADW1607" s="391"/>
      <c r="ADY1607" s="391"/>
      <c r="AEA1607" s="391"/>
      <c r="AEC1607" s="391"/>
      <c r="AEE1607" s="391"/>
      <c r="AEG1607" s="391"/>
      <c r="AEI1607" s="391"/>
      <c r="AEK1607" s="391"/>
      <c r="AEM1607" s="391"/>
      <c r="AEO1607" s="391"/>
      <c r="AEQ1607" s="391"/>
      <c r="AES1607" s="391"/>
      <c r="AEU1607" s="391"/>
      <c r="AEW1607" s="391"/>
      <c r="AEY1607" s="391"/>
      <c r="AFA1607" s="391"/>
      <c r="AFC1607" s="391"/>
      <c r="AFE1607" s="391"/>
      <c r="AFG1607" s="391"/>
      <c r="AFI1607" s="391"/>
      <c r="AFK1607" s="391"/>
      <c r="AFM1607" s="391"/>
      <c r="AFO1607" s="391"/>
      <c r="AFQ1607" s="391"/>
      <c r="AFS1607" s="391"/>
      <c r="AFU1607" s="391"/>
      <c r="AFW1607" s="391"/>
      <c r="AFY1607" s="391"/>
      <c r="AGA1607" s="391"/>
      <c r="AGC1607" s="391"/>
      <c r="AGE1607" s="391"/>
      <c r="AGG1607" s="391"/>
      <c r="AGI1607" s="391"/>
      <c r="AGK1607" s="391"/>
      <c r="AGM1607" s="391"/>
      <c r="AGO1607" s="391"/>
      <c r="AGQ1607" s="391"/>
      <c r="AGS1607" s="391"/>
      <c r="AGU1607" s="391"/>
      <c r="AGW1607" s="391"/>
      <c r="AGY1607" s="391"/>
      <c r="AHA1607" s="391"/>
      <c r="AHC1607" s="391"/>
      <c r="AHE1607" s="391"/>
      <c r="AHG1607" s="391"/>
      <c r="AHI1607" s="391"/>
      <c r="AHK1607" s="391"/>
      <c r="AHM1607" s="391"/>
      <c r="AHO1607" s="391"/>
      <c r="AHQ1607" s="391"/>
      <c r="AHS1607" s="391"/>
      <c r="AHU1607" s="391"/>
      <c r="AHW1607" s="391"/>
      <c r="AHY1607" s="391"/>
      <c r="AIA1607" s="391"/>
      <c r="AIC1607" s="391"/>
      <c r="AIE1607" s="391"/>
      <c r="AIG1607" s="391"/>
      <c r="AII1607" s="391"/>
      <c r="AIK1607" s="391"/>
      <c r="AIM1607" s="391"/>
      <c r="AIO1607" s="391"/>
      <c r="AIQ1607" s="391"/>
      <c r="AIS1607" s="391"/>
      <c r="AIU1607" s="391"/>
      <c r="AIW1607" s="391"/>
      <c r="AIY1607" s="391"/>
      <c r="AJA1607" s="391"/>
      <c r="AJC1607" s="391"/>
      <c r="AJE1607" s="391"/>
      <c r="AJG1607" s="391"/>
      <c r="AJI1607" s="391"/>
      <c r="AJK1607" s="391"/>
      <c r="AJM1607" s="391"/>
      <c r="AJO1607" s="391"/>
      <c r="AJQ1607" s="391"/>
      <c r="AJS1607" s="391"/>
      <c r="AJU1607" s="391"/>
      <c r="AJW1607" s="391"/>
      <c r="AJY1607" s="391"/>
      <c r="AKA1607" s="391"/>
      <c r="AKC1607" s="391"/>
      <c r="AKE1607" s="391"/>
      <c r="AKG1607" s="391"/>
      <c r="AKI1607" s="391"/>
      <c r="AKK1607" s="391"/>
      <c r="AKM1607" s="391"/>
      <c r="AKO1607" s="391"/>
      <c r="AKQ1607" s="391"/>
      <c r="AKS1607" s="391"/>
      <c r="AKU1607" s="391"/>
      <c r="AKW1607" s="391"/>
      <c r="AKY1607" s="391"/>
      <c r="ALA1607" s="391"/>
      <c r="ALC1607" s="391"/>
      <c r="ALE1607" s="391"/>
      <c r="ALG1607" s="391"/>
      <c r="ALI1607" s="391"/>
      <c r="ALK1607" s="391"/>
      <c r="ALM1607" s="391"/>
      <c r="ALO1607" s="391"/>
      <c r="ALQ1607" s="391"/>
      <c r="ALS1607" s="391"/>
      <c r="ALU1607" s="391"/>
      <c r="ALW1607" s="391"/>
      <c r="ALY1607" s="391"/>
      <c r="AMA1607" s="391"/>
      <c r="AMC1607" s="391"/>
      <c r="AME1607" s="391"/>
      <c r="AMG1607" s="391"/>
      <c r="AMI1607" s="391"/>
      <c r="AMK1607" s="391"/>
      <c r="AMM1607" s="391"/>
      <c r="AMO1607" s="391"/>
      <c r="AMQ1607" s="391"/>
      <c r="AMS1607" s="391"/>
      <c r="AMU1607" s="391"/>
      <c r="AMW1607" s="391"/>
      <c r="AMY1607" s="391"/>
      <c r="ANA1607" s="391"/>
      <c r="ANC1607" s="391"/>
      <c r="ANE1607" s="391"/>
      <c r="ANG1607" s="391"/>
      <c r="ANI1607" s="391"/>
      <c r="ANK1607" s="391"/>
      <c r="ANM1607" s="391"/>
      <c r="ANO1607" s="391"/>
      <c r="ANQ1607" s="391"/>
      <c r="ANS1607" s="391"/>
      <c r="ANU1607" s="391"/>
      <c r="ANW1607" s="391"/>
      <c r="ANY1607" s="391"/>
      <c r="AOA1607" s="391"/>
      <c r="AOC1607" s="391"/>
      <c r="AOE1607" s="391"/>
      <c r="AOG1607" s="391"/>
      <c r="AOI1607" s="391"/>
      <c r="AOK1607" s="391"/>
      <c r="AOM1607" s="391"/>
      <c r="AOO1607" s="391"/>
      <c r="AOQ1607" s="391"/>
      <c r="AOS1607" s="391"/>
      <c r="AOU1607" s="391"/>
      <c r="AOW1607" s="391"/>
      <c r="AOY1607" s="391"/>
      <c r="APA1607" s="391"/>
      <c r="APC1607" s="391"/>
      <c r="APE1607" s="391"/>
      <c r="APG1607" s="391"/>
      <c r="API1607" s="391"/>
      <c r="APK1607" s="391"/>
      <c r="APM1607" s="391"/>
      <c r="APO1607" s="391"/>
      <c r="APQ1607" s="391"/>
      <c r="APS1607" s="391"/>
      <c r="APU1607" s="391"/>
      <c r="APW1607" s="391"/>
      <c r="APY1607" s="391"/>
      <c r="AQA1607" s="391"/>
      <c r="AQC1607" s="391"/>
      <c r="AQE1607" s="391"/>
      <c r="AQG1607" s="391"/>
      <c r="AQI1607" s="391"/>
      <c r="AQK1607" s="391"/>
      <c r="AQM1607" s="391"/>
      <c r="AQO1607" s="391"/>
      <c r="AQQ1607" s="391"/>
      <c r="AQS1607" s="391"/>
      <c r="AQU1607" s="391"/>
      <c r="AQW1607" s="391"/>
      <c r="AQY1607" s="391"/>
      <c r="ARA1607" s="391"/>
      <c r="ARC1607" s="391"/>
      <c r="ARE1607" s="391"/>
      <c r="ARG1607" s="391"/>
      <c r="ARI1607" s="391"/>
      <c r="ARK1607" s="391"/>
      <c r="ARM1607" s="391"/>
      <c r="ARO1607" s="391"/>
      <c r="ARQ1607" s="391"/>
      <c r="ARS1607" s="391"/>
      <c r="ARU1607" s="391"/>
      <c r="ARW1607" s="391"/>
      <c r="ARY1607" s="391"/>
      <c r="ASA1607" s="391"/>
      <c r="ASC1607" s="391"/>
      <c r="ASE1607" s="391"/>
      <c r="ASG1607" s="391"/>
      <c r="ASI1607" s="391"/>
      <c r="ASK1607" s="391"/>
      <c r="ASM1607" s="391"/>
      <c r="ASO1607" s="391"/>
      <c r="ASQ1607" s="391"/>
      <c r="ASS1607" s="391"/>
      <c r="ASU1607" s="391"/>
      <c r="ASW1607" s="391"/>
      <c r="ASY1607" s="391"/>
      <c r="ATA1607" s="391"/>
      <c r="ATC1607" s="391"/>
      <c r="ATE1607" s="391"/>
      <c r="ATG1607" s="391"/>
      <c r="ATI1607" s="391"/>
      <c r="ATK1607" s="391"/>
      <c r="ATM1607" s="391"/>
      <c r="ATO1607" s="391"/>
      <c r="ATQ1607" s="391"/>
      <c r="ATS1607" s="391"/>
      <c r="ATU1607" s="391"/>
      <c r="ATW1607" s="391"/>
      <c r="ATY1607" s="391"/>
      <c r="AUA1607" s="391"/>
      <c r="AUC1607" s="391"/>
      <c r="AUE1607" s="391"/>
      <c r="AUG1607" s="391"/>
      <c r="AUI1607" s="391"/>
      <c r="AUK1607" s="391"/>
      <c r="AUM1607" s="391"/>
      <c r="AUO1607" s="391"/>
      <c r="AUQ1607" s="391"/>
      <c r="AUS1607" s="391"/>
      <c r="AUU1607" s="391"/>
      <c r="AUW1607" s="391"/>
      <c r="AUY1607" s="391"/>
      <c r="AVA1607" s="391"/>
      <c r="AVC1607" s="391"/>
      <c r="AVE1607" s="391"/>
      <c r="AVG1607" s="391"/>
      <c r="AVI1607" s="391"/>
      <c r="AVK1607" s="391"/>
      <c r="AVM1607" s="391"/>
      <c r="AVO1607" s="391"/>
      <c r="AVQ1607" s="391"/>
      <c r="AVS1607" s="391"/>
      <c r="AVU1607" s="391"/>
      <c r="AVW1607" s="391"/>
      <c r="AVY1607" s="391"/>
      <c r="AWA1607" s="391"/>
      <c r="AWC1607" s="391"/>
      <c r="AWE1607" s="391"/>
      <c r="AWG1607" s="391"/>
      <c r="AWI1607" s="391"/>
      <c r="AWK1607" s="391"/>
      <c r="AWM1607" s="391"/>
      <c r="AWO1607" s="391"/>
      <c r="AWQ1607" s="391"/>
      <c r="AWS1607" s="391"/>
      <c r="AWU1607" s="391"/>
      <c r="AWW1607" s="391"/>
      <c r="AWY1607" s="391"/>
      <c r="AXA1607" s="391"/>
      <c r="AXC1607" s="391"/>
      <c r="AXE1607" s="391"/>
      <c r="AXG1607" s="391"/>
      <c r="AXI1607" s="391"/>
      <c r="AXK1607" s="391"/>
      <c r="AXM1607" s="391"/>
      <c r="AXO1607" s="391"/>
      <c r="AXQ1607" s="391"/>
      <c r="AXS1607" s="391"/>
      <c r="AXU1607" s="391"/>
      <c r="AXW1607" s="391"/>
      <c r="AXY1607" s="391"/>
      <c r="AYA1607" s="391"/>
      <c r="AYC1607" s="391"/>
      <c r="AYE1607" s="391"/>
      <c r="AYG1607" s="391"/>
      <c r="AYI1607" s="391"/>
      <c r="AYK1607" s="391"/>
      <c r="AYM1607" s="391"/>
      <c r="AYO1607" s="391"/>
      <c r="AYQ1607" s="391"/>
      <c r="AYS1607" s="391"/>
      <c r="AYU1607" s="391"/>
      <c r="AYW1607" s="391"/>
      <c r="AYY1607" s="391"/>
      <c r="AZA1607" s="391"/>
      <c r="AZC1607" s="391"/>
      <c r="AZE1607" s="391"/>
      <c r="AZG1607" s="391"/>
      <c r="AZI1607" s="391"/>
      <c r="AZK1607" s="391"/>
      <c r="AZM1607" s="391"/>
      <c r="AZO1607" s="391"/>
      <c r="AZQ1607" s="391"/>
      <c r="AZS1607" s="391"/>
      <c r="AZU1607" s="391"/>
      <c r="AZW1607" s="391"/>
      <c r="AZY1607" s="391"/>
      <c r="BAA1607" s="391"/>
      <c r="BAC1607" s="391"/>
      <c r="BAE1607" s="391"/>
      <c r="BAG1607" s="391"/>
      <c r="BAI1607" s="391"/>
      <c r="BAK1607" s="391"/>
      <c r="BAM1607" s="391"/>
      <c r="BAO1607" s="391"/>
      <c r="BAQ1607" s="391"/>
      <c r="BAS1607" s="391"/>
      <c r="BAU1607" s="391"/>
      <c r="BAW1607" s="391"/>
      <c r="BAY1607" s="391"/>
      <c r="BBA1607" s="391"/>
      <c r="BBC1607" s="391"/>
      <c r="BBE1607" s="391"/>
      <c r="BBG1607" s="391"/>
      <c r="BBI1607" s="391"/>
      <c r="BBK1607" s="391"/>
      <c r="BBM1607" s="391"/>
      <c r="BBO1607" s="391"/>
      <c r="BBQ1607" s="391"/>
      <c r="BBS1607" s="391"/>
      <c r="BBU1607" s="391"/>
      <c r="BBW1607" s="391"/>
      <c r="BBY1607" s="391"/>
      <c r="BCA1607" s="391"/>
      <c r="BCC1607" s="391"/>
      <c r="BCE1607" s="391"/>
      <c r="BCG1607" s="391"/>
      <c r="BCI1607" s="391"/>
      <c r="BCK1607" s="391"/>
      <c r="BCM1607" s="391"/>
      <c r="BCO1607" s="391"/>
      <c r="BCQ1607" s="391"/>
      <c r="BCS1607" s="391"/>
      <c r="BCU1607" s="391"/>
      <c r="BCW1607" s="391"/>
      <c r="BCY1607" s="391"/>
      <c r="BDA1607" s="391"/>
      <c r="BDC1607" s="391"/>
      <c r="BDE1607" s="391"/>
      <c r="BDG1607" s="391"/>
      <c r="BDI1607" s="391"/>
      <c r="BDK1607" s="391"/>
      <c r="BDM1607" s="391"/>
      <c r="BDO1607" s="391"/>
      <c r="BDQ1607" s="391"/>
      <c r="BDS1607" s="391"/>
      <c r="BDU1607" s="391"/>
      <c r="BDW1607" s="391"/>
      <c r="BDY1607" s="391"/>
      <c r="BEA1607" s="391"/>
      <c r="BEC1607" s="391"/>
      <c r="BEE1607" s="391"/>
      <c r="BEG1607" s="391"/>
      <c r="BEI1607" s="391"/>
      <c r="BEK1607" s="391"/>
      <c r="BEM1607" s="391"/>
      <c r="BEO1607" s="391"/>
      <c r="BEQ1607" s="391"/>
      <c r="BES1607" s="391"/>
      <c r="BEU1607" s="391"/>
      <c r="BEW1607" s="391"/>
      <c r="BEY1607" s="391"/>
      <c r="BFA1607" s="391"/>
      <c r="BFC1607" s="391"/>
      <c r="BFE1607" s="391"/>
      <c r="BFG1607" s="391"/>
      <c r="BFI1607" s="391"/>
      <c r="BFK1607" s="391"/>
      <c r="BFM1607" s="391"/>
      <c r="BFO1607" s="391"/>
      <c r="BFQ1607" s="391"/>
      <c r="BFS1607" s="391"/>
      <c r="BFU1607" s="391"/>
      <c r="BFW1607" s="391"/>
      <c r="BFY1607" s="391"/>
      <c r="BGA1607" s="391"/>
      <c r="BGC1607" s="391"/>
      <c r="BGE1607" s="391"/>
      <c r="BGG1607" s="391"/>
      <c r="BGI1607" s="391"/>
      <c r="BGK1607" s="391"/>
      <c r="BGM1607" s="391"/>
      <c r="BGO1607" s="391"/>
      <c r="BGQ1607" s="391"/>
      <c r="BGS1607" s="391"/>
      <c r="BGU1607" s="391"/>
      <c r="BGW1607" s="391"/>
      <c r="BGY1607" s="391"/>
      <c r="BHA1607" s="391"/>
      <c r="BHC1607" s="391"/>
      <c r="BHE1607" s="391"/>
      <c r="BHG1607" s="391"/>
      <c r="BHI1607" s="391"/>
      <c r="BHK1607" s="391"/>
      <c r="BHM1607" s="391"/>
      <c r="BHO1607" s="391"/>
      <c r="BHQ1607" s="391"/>
      <c r="BHS1607" s="391"/>
      <c r="BHU1607" s="391"/>
      <c r="BHW1607" s="391"/>
      <c r="BHY1607" s="391"/>
      <c r="BIA1607" s="391"/>
      <c r="BIC1607" s="391"/>
      <c r="BIE1607" s="391"/>
      <c r="BIG1607" s="391"/>
      <c r="BII1607" s="391"/>
      <c r="BIK1607" s="391"/>
      <c r="BIM1607" s="391"/>
      <c r="BIO1607" s="391"/>
      <c r="BIQ1607" s="391"/>
      <c r="BIS1607" s="391"/>
      <c r="BIU1607" s="391"/>
      <c r="BIW1607" s="391"/>
      <c r="BIY1607" s="391"/>
      <c r="BJA1607" s="391"/>
      <c r="BJC1607" s="391"/>
      <c r="BJE1607" s="391"/>
      <c r="BJG1607" s="391"/>
      <c r="BJI1607" s="391"/>
      <c r="BJK1607" s="391"/>
      <c r="BJM1607" s="391"/>
      <c r="BJO1607" s="391"/>
      <c r="BJQ1607" s="391"/>
      <c r="BJS1607" s="391"/>
      <c r="BJU1607" s="391"/>
      <c r="BJW1607" s="391"/>
      <c r="BJY1607" s="391"/>
      <c r="BKA1607" s="391"/>
      <c r="BKC1607" s="391"/>
      <c r="BKE1607" s="391"/>
      <c r="BKG1607" s="391"/>
      <c r="BKI1607" s="391"/>
      <c r="BKK1607" s="391"/>
      <c r="BKM1607" s="391"/>
      <c r="BKO1607" s="391"/>
      <c r="BKQ1607" s="391"/>
      <c r="BKS1607" s="391"/>
      <c r="BKU1607" s="391"/>
      <c r="BKW1607" s="391"/>
      <c r="BKY1607" s="391"/>
      <c r="BLA1607" s="391"/>
      <c r="BLC1607" s="391"/>
      <c r="BLE1607" s="391"/>
      <c r="BLG1607" s="391"/>
      <c r="BLI1607" s="391"/>
      <c r="BLK1607" s="391"/>
      <c r="BLM1607" s="391"/>
      <c r="BLO1607" s="391"/>
      <c r="BLQ1607" s="391"/>
      <c r="BLS1607" s="391"/>
      <c r="BLU1607" s="391"/>
      <c r="BLW1607" s="391"/>
      <c r="BLY1607" s="391"/>
      <c r="BMA1607" s="391"/>
      <c r="BMC1607" s="391"/>
      <c r="BME1607" s="391"/>
      <c r="BMG1607" s="391"/>
      <c r="BMI1607" s="391"/>
      <c r="BMK1607" s="391"/>
      <c r="BMM1607" s="391"/>
      <c r="BMO1607" s="391"/>
      <c r="BMQ1607" s="391"/>
      <c r="BMS1607" s="391"/>
      <c r="BMU1607" s="391"/>
      <c r="BMW1607" s="391"/>
      <c r="BMY1607" s="391"/>
      <c r="BNA1607" s="391"/>
      <c r="BNC1607" s="391"/>
      <c r="BNE1607" s="391"/>
      <c r="BNG1607" s="391"/>
      <c r="BNI1607" s="391"/>
      <c r="BNK1607" s="391"/>
      <c r="BNM1607" s="391"/>
      <c r="BNO1607" s="391"/>
      <c r="BNQ1607" s="391"/>
      <c r="BNS1607" s="391"/>
      <c r="BNU1607" s="391"/>
      <c r="BNW1607" s="391"/>
      <c r="BNY1607" s="391"/>
      <c r="BOA1607" s="391"/>
      <c r="BOC1607" s="391"/>
      <c r="BOE1607" s="391"/>
      <c r="BOG1607" s="391"/>
      <c r="BOI1607" s="391"/>
      <c r="BOK1607" s="391"/>
      <c r="BOM1607" s="391"/>
      <c r="BOO1607" s="391"/>
      <c r="BOQ1607" s="391"/>
      <c r="BOS1607" s="391"/>
      <c r="BOU1607" s="391"/>
      <c r="BOW1607" s="391"/>
      <c r="BOY1607" s="391"/>
      <c r="BPA1607" s="391"/>
      <c r="BPC1607" s="391"/>
      <c r="BPE1607" s="391"/>
      <c r="BPG1607" s="391"/>
      <c r="BPI1607" s="391"/>
      <c r="BPK1607" s="391"/>
      <c r="BPM1607" s="391"/>
      <c r="BPO1607" s="391"/>
      <c r="BPQ1607" s="391"/>
      <c r="BPS1607" s="391"/>
      <c r="BPU1607" s="391"/>
      <c r="BPW1607" s="391"/>
      <c r="BPY1607" s="391"/>
      <c r="BQA1607" s="391"/>
      <c r="BQC1607" s="391"/>
      <c r="BQE1607" s="391"/>
      <c r="BQG1607" s="391"/>
      <c r="BQI1607" s="391"/>
      <c r="BQK1607" s="391"/>
      <c r="BQM1607" s="391"/>
      <c r="BQO1607" s="391"/>
      <c r="BQQ1607" s="391"/>
      <c r="BQS1607" s="391"/>
      <c r="BQU1607" s="391"/>
      <c r="BQW1607" s="391"/>
      <c r="BQY1607" s="391"/>
      <c r="BRA1607" s="391"/>
      <c r="BRC1607" s="391"/>
      <c r="BRE1607" s="391"/>
      <c r="BRG1607" s="391"/>
      <c r="BRI1607" s="391"/>
      <c r="BRK1607" s="391"/>
      <c r="BRM1607" s="391"/>
      <c r="BRO1607" s="391"/>
      <c r="BRQ1607" s="391"/>
      <c r="BRS1607" s="391"/>
      <c r="BRU1607" s="391"/>
      <c r="BRW1607" s="391"/>
      <c r="BRY1607" s="391"/>
      <c r="BSA1607" s="391"/>
      <c r="BSC1607" s="391"/>
      <c r="BSE1607" s="391"/>
      <c r="BSG1607" s="391"/>
      <c r="BSI1607" s="391"/>
      <c r="BSK1607" s="391"/>
      <c r="BSM1607" s="391"/>
      <c r="BSO1607" s="391"/>
      <c r="BSQ1607" s="391"/>
      <c r="BSS1607" s="391"/>
      <c r="BSU1607" s="391"/>
      <c r="BSW1607" s="391"/>
      <c r="BSY1607" s="391"/>
      <c r="BTA1607" s="391"/>
      <c r="BTC1607" s="391"/>
      <c r="BTE1607" s="391"/>
      <c r="BTG1607" s="391"/>
      <c r="BTI1607" s="391"/>
      <c r="BTK1607" s="391"/>
      <c r="BTM1607" s="391"/>
      <c r="BTO1607" s="391"/>
      <c r="BTQ1607" s="391"/>
      <c r="BTS1607" s="391"/>
      <c r="BTU1607" s="391"/>
      <c r="BTW1607" s="391"/>
      <c r="BTY1607" s="391"/>
      <c r="BUA1607" s="391"/>
      <c r="BUC1607" s="391"/>
      <c r="BUE1607" s="391"/>
      <c r="BUG1607" s="391"/>
      <c r="BUI1607" s="391"/>
      <c r="BUK1607" s="391"/>
      <c r="BUM1607" s="391"/>
      <c r="BUO1607" s="391"/>
      <c r="BUQ1607" s="391"/>
      <c r="BUS1607" s="391"/>
      <c r="BUU1607" s="391"/>
      <c r="BUW1607" s="391"/>
      <c r="BUY1607" s="391"/>
      <c r="BVA1607" s="391"/>
      <c r="BVC1607" s="391"/>
      <c r="BVE1607" s="391"/>
      <c r="BVG1607" s="391"/>
      <c r="BVI1607" s="391"/>
      <c r="BVK1607" s="391"/>
      <c r="BVM1607" s="391"/>
      <c r="BVO1607" s="391"/>
      <c r="BVQ1607" s="391"/>
      <c r="BVS1607" s="391"/>
      <c r="BVU1607" s="391"/>
      <c r="BVW1607" s="391"/>
      <c r="BVY1607" s="391"/>
      <c r="BWA1607" s="391"/>
      <c r="BWC1607" s="391"/>
      <c r="BWE1607" s="391"/>
      <c r="BWG1607" s="391"/>
      <c r="BWI1607" s="391"/>
      <c r="BWK1607" s="391"/>
      <c r="BWM1607" s="391"/>
      <c r="BWO1607" s="391"/>
      <c r="BWQ1607" s="391"/>
      <c r="BWS1607" s="391"/>
      <c r="BWU1607" s="391"/>
      <c r="BWW1607" s="391"/>
      <c r="BWY1607" s="391"/>
      <c r="BXA1607" s="391"/>
      <c r="BXC1607" s="391"/>
      <c r="BXE1607" s="391"/>
      <c r="BXG1607" s="391"/>
      <c r="BXI1607" s="391"/>
      <c r="BXK1607" s="391"/>
      <c r="BXM1607" s="391"/>
      <c r="BXO1607" s="391"/>
      <c r="BXQ1607" s="391"/>
      <c r="BXS1607" s="391"/>
      <c r="BXU1607" s="391"/>
      <c r="BXW1607" s="391"/>
      <c r="BXY1607" s="391"/>
      <c r="BYA1607" s="391"/>
      <c r="BYC1607" s="391"/>
      <c r="BYE1607" s="391"/>
      <c r="BYG1607" s="391"/>
      <c r="BYI1607" s="391"/>
      <c r="BYK1607" s="391"/>
      <c r="BYM1607" s="391"/>
      <c r="BYO1607" s="391"/>
      <c r="BYQ1607" s="391"/>
      <c r="BYS1607" s="391"/>
      <c r="BYU1607" s="391"/>
      <c r="BYW1607" s="391"/>
      <c r="BYY1607" s="391"/>
      <c r="BZA1607" s="391"/>
      <c r="BZC1607" s="391"/>
      <c r="BZE1607" s="391"/>
      <c r="BZG1607" s="391"/>
      <c r="BZI1607" s="391"/>
      <c r="BZK1607" s="391"/>
      <c r="BZM1607" s="391"/>
      <c r="BZO1607" s="391"/>
      <c r="BZQ1607" s="391"/>
      <c r="BZS1607" s="391"/>
      <c r="BZU1607" s="391"/>
      <c r="BZW1607" s="391"/>
      <c r="BZY1607" s="391"/>
      <c r="CAA1607" s="391"/>
      <c r="CAC1607" s="391"/>
      <c r="CAE1607" s="391"/>
      <c r="CAG1607" s="391"/>
      <c r="CAI1607" s="391"/>
      <c r="CAK1607" s="391"/>
      <c r="CAM1607" s="391"/>
      <c r="CAO1607" s="391"/>
      <c r="CAQ1607" s="391"/>
      <c r="CAS1607" s="391"/>
      <c r="CAU1607" s="391"/>
      <c r="CAW1607" s="391"/>
      <c r="CAY1607" s="391"/>
      <c r="CBA1607" s="391"/>
      <c r="CBC1607" s="391"/>
      <c r="CBE1607" s="391"/>
      <c r="CBG1607" s="391"/>
      <c r="CBI1607" s="391"/>
      <c r="CBK1607" s="391"/>
      <c r="CBM1607" s="391"/>
      <c r="CBO1607" s="391"/>
      <c r="CBQ1607" s="391"/>
      <c r="CBS1607" s="391"/>
      <c r="CBU1607" s="391"/>
      <c r="CBW1607" s="391"/>
      <c r="CBY1607" s="391"/>
      <c r="CCA1607" s="391"/>
      <c r="CCC1607" s="391"/>
      <c r="CCE1607" s="391"/>
      <c r="CCG1607" s="391"/>
      <c r="CCI1607" s="391"/>
      <c r="CCK1607" s="391"/>
      <c r="CCM1607" s="391"/>
      <c r="CCO1607" s="391"/>
      <c r="CCQ1607" s="391"/>
      <c r="CCS1607" s="391"/>
      <c r="CCU1607" s="391"/>
      <c r="CCW1607" s="391"/>
      <c r="CCY1607" s="391"/>
      <c r="CDA1607" s="391"/>
      <c r="CDC1607" s="391"/>
      <c r="CDE1607" s="391"/>
      <c r="CDG1607" s="391"/>
      <c r="CDI1607" s="391"/>
      <c r="CDK1607" s="391"/>
      <c r="CDM1607" s="391"/>
      <c r="CDO1607" s="391"/>
      <c r="CDQ1607" s="391"/>
      <c r="CDS1607" s="391"/>
      <c r="CDU1607" s="391"/>
      <c r="CDW1607" s="391"/>
      <c r="CDY1607" s="391"/>
      <c r="CEA1607" s="391"/>
      <c r="CEC1607" s="391"/>
      <c r="CEE1607" s="391"/>
      <c r="CEG1607" s="391"/>
      <c r="CEI1607" s="391"/>
      <c r="CEK1607" s="391"/>
      <c r="CEM1607" s="391"/>
      <c r="CEO1607" s="391"/>
      <c r="CEQ1607" s="391"/>
      <c r="CES1607" s="391"/>
      <c r="CEU1607" s="391"/>
      <c r="CEW1607" s="391"/>
      <c r="CEY1607" s="391"/>
      <c r="CFA1607" s="391"/>
      <c r="CFC1607" s="391"/>
      <c r="CFE1607" s="391"/>
      <c r="CFG1607" s="391"/>
      <c r="CFI1607" s="391"/>
      <c r="CFK1607" s="391"/>
      <c r="CFM1607" s="391"/>
      <c r="CFO1607" s="391"/>
      <c r="CFQ1607" s="391"/>
      <c r="CFS1607" s="391"/>
      <c r="CFU1607" s="391"/>
      <c r="CFW1607" s="391"/>
      <c r="CFY1607" s="391"/>
      <c r="CGA1607" s="391"/>
      <c r="CGC1607" s="391"/>
      <c r="CGE1607" s="391"/>
      <c r="CGG1607" s="391"/>
      <c r="CGI1607" s="391"/>
      <c r="CGK1607" s="391"/>
      <c r="CGM1607" s="391"/>
      <c r="CGO1607" s="391"/>
      <c r="CGQ1607" s="391"/>
      <c r="CGS1607" s="391"/>
      <c r="CGU1607" s="391"/>
      <c r="CGW1607" s="391"/>
      <c r="CGY1607" s="391"/>
      <c r="CHA1607" s="391"/>
      <c r="CHC1607" s="391"/>
      <c r="CHE1607" s="391"/>
      <c r="CHG1607" s="391"/>
      <c r="CHI1607" s="391"/>
      <c r="CHK1607" s="391"/>
      <c r="CHM1607" s="391"/>
      <c r="CHO1607" s="391"/>
      <c r="CHQ1607" s="391"/>
      <c r="CHS1607" s="391"/>
      <c r="CHU1607" s="391"/>
      <c r="CHW1607" s="391"/>
      <c r="CHY1607" s="391"/>
      <c r="CIA1607" s="391"/>
      <c r="CIC1607" s="391"/>
      <c r="CIE1607" s="391"/>
      <c r="CIG1607" s="391"/>
      <c r="CII1607" s="391"/>
      <c r="CIK1607" s="391"/>
      <c r="CIM1607" s="391"/>
      <c r="CIO1607" s="391"/>
      <c r="CIQ1607" s="391"/>
      <c r="CIS1607" s="391"/>
      <c r="CIU1607" s="391"/>
      <c r="CIW1607" s="391"/>
      <c r="CIY1607" s="391"/>
      <c r="CJA1607" s="391"/>
      <c r="CJC1607" s="391"/>
      <c r="CJE1607" s="391"/>
      <c r="CJG1607" s="391"/>
      <c r="CJI1607" s="391"/>
      <c r="CJK1607" s="391"/>
      <c r="CJM1607" s="391"/>
      <c r="CJO1607" s="391"/>
      <c r="CJQ1607" s="391"/>
      <c r="CJS1607" s="391"/>
      <c r="CJU1607" s="391"/>
      <c r="CJW1607" s="391"/>
      <c r="CJY1607" s="391"/>
      <c r="CKA1607" s="391"/>
      <c r="CKC1607" s="391"/>
      <c r="CKE1607" s="391"/>
      <c r="CKG1607" s="391"/>
      <c r="CKI1607" s="391"/>
      <c r="CKK1607" s="391"/>
      <c r="CKM1607" s="391"/>
      <c r="CKO1607" s="391"/>
      <c r="CKQ1607" s="391"/>
      <c r="CKS1607" s="391"/>
      <c r="CKU1607" s="391"/>
      <c r="CKW1607" s="391"/>
      <c r="CKY1607" s="391"/>
      <c r="CLA1607" s="391"/>
      <c r="CLC1607" s="391"/>
      <c r="CLE1607" s="391"/>
      <c r="CLG1607" s="391"/>
      <c r="CLI1607" s="391"/>
      <c r="CLK1607" s="391"/>
      <c r="CLM1607" s="391"/>
      <c r="CLO1607" s="391"/>
      <c r="CLQ1607" s="391"/>
      <c r="CLS1607" s="391"/>
      <c r="CLU1607" s="391"/>
      <c r="CLW1607" s="391"/>
      <c r="CLY1607" s="391"/>
      <c r="CMA1607" s="391"/>
      <c r="CMC1607" s="391"/>
      <c r="CME1607" s="391"/>
      <c r="CMG1607" s="391"/>
      <c r="CMI1607" s="391"/>
      <c r="CMK1607" s="391"/>
      <c r="CMM1607" s="391"/>
      <c r="CMO1607" s="391"/>
      <c r="CMQ1607" s="391"/>
      <c r="CMS1607" s="391"/>
      <c r="CMU1607" s="391"/>
      <c r="CMW1607" s="391"/>
      <c r="CMY1607" s="391"/>
      <c r="CNA1607" s="391"/>
      <c r="CNC1607" s="391"/>
      <c r="CNE1607" s="391"/>
      <c r="CNG1607" s="391"/>
      <c r="CNI1607" s="391"/>
      <c r="CNK1607" s="391"/>
      <c r="CNM1607" s="391"/>
      <c r="CNO1607" s="391"/>
      <c r="CNQ1607" s="391"/>
      <c r="CNS1607" s="391"/>
      <c r="CNU1607" s="391"/>
      <c r="CNW1607" s="391"/>
      <c r="CNY1607" s="391"/>
      <c r="COA1607" s="391"/>
      <c r="COC1607" s="391"/>
      <c r="COE1607" s="391"/>
      <c r="COG1607" s="391"/>
      <c r="COI1607" s="391"/>
      <c r="COK1607" s="391"/>
      <c r="COM1607" s="391"/>
      <c r="COO1607" s="391"/>
      <c r="COQ1607" s="391"/>
      <c r="COS1607" s="391"/>
      <c r="COU1607" s="391"/>
      <c r="COW1607" s="391"/>
      <c r="COY1607" s="391"/>
      <c r="CPA1607" s="391"/>
      <c r="CPC1607" s="391"/>
      <c r="CPE1607" s="391"/>
      <c r="CPG1607" s="391"/>
      <c r="CPI1607" s="391"/>
      <c r="CPK1607" s="391"/>
      <c r="CPM1607" s="391"/>
      <c r="CPO1607" s="391"/>
      <c r="CPQ1607" s="391"/>
      <c r="CPS1607" s="391"/>
      <c r="CPU1607" s="391"/>
      <c r="CPW1607" s="391"/>
      <c r="CPY1607" s="391"/>
      <c r="CQA1607" s="391"/>
      <c r="CQC1607" s="391"/>
      <c r="CQE1607" s="391"/>
      <c r="CQG1607" s="391"/>
      <c r="CQI1607" s="391"/>
      <c r="CQK1607" s="391"/>
      <c r="CQM1607" s="391"/>
      <c r="CQO1607" s="391"/>
      <c r="CQQ1607" s="391"/>
      <c r="CQS1607" s="391"/>
      <c r="CQU1607" s="391"/>
      <c r="CQW1607" s="391"/>
      <c r="CQY1607" s="391"/>
      <c r="CRA1607" s="391"/>
      <c r="CRC1607" s="391"/>
      <c r="CRE1607" s="391"/>
      <c r="CRG1607" s="391"/>
      <c r="CRI1607" s="391"/>
      <c r="CRK1607" s="391"/>
      <c r="CRM1607" s="391"/>
      <c r="CRO1607" s="391"/>
      <c r="CRQ1607" s="391"/>
      <c r="CRS1607" s="391"/>
      <c r="CRU1607" s="391"/>
      <c r="CRW1607" s="391"/>
      <c r="CRY1607" s="391"/>
      <c r="CSA1607" s="391"/>
      <c r="CSC1607" s="391"/>
      <c r="CSE1607" s="391"/>
      <c r="CSG1607" s="391"/>
      <c r="CSI1607" s="391"/>
      <c r="CSK1607" s="391"/>
      <c r="CSM1607" s="391"/>
      <c r="CSO1607" s="391"/>
      <c r="CSQ1607" s="391"/>
      <c r="CSS1607" s="391"/>
      <c r="CSU1607" s="391"/>
      <c r="CSW1607" s="391"/>
      <c r="CSY1607" s="391"/>
      <c r="CTA1607" s="391"/>
      <c r="CTC1607" s="391"/>
      <c r="CTE1607" s="391"/>
      <c r="CTG1607" s="391"/>
      <c r="CTI1607" s="391"/>
      <c r="CTK1607" s="391"/>
      <c r="CTM1607" s="391"/>
      <c r="CTO1607" s="391"/>
      <c r="CTQ1607" s="391"/>
      <c r="CTS1607" s="391"/>
      <c r="CTU1607" s="391"/>
      <c r="CTW1607" s="391"/>
      <c r="CTY1607" s="391"/>
      <c r="CUA1607" s="391"/>
      <c r="CUC1607" s="391"/>
      <c r="CUE1607" s="391"/>
      <c r="CUG1607" s="391"/>
      <c r="CUI1607" s="391"/>
      <c r="CUK1607" s="391"/>
      <c r="CUM1607" s="391"/>
      <c r="CUO1607" s="391"/>
      <c r="CUQ1607" s="391"/>
      <c r="CUS1607" s="391"/>
      <c r="CUU1607" s="391"/>
      <c r="CUW1607" s="391"/>
      <c r="CUY1607" s="391"/>
      <c r="CVA1607" s="391"/>
      <c r="CVC1607" s="391"/>
      <c r="CVE1607" s="391"/>
      <c r="CVG1607" s="391"/>
      <c r="CVI1607" s="391"/>
      <c r="CVK1607" s="391"/>
      <c r="CVM1607" s="391"/>
      <c r="CVO1607" s="391"/>
      <c r="CVQ1607" s="391"/>
      <c r="CVS1607" s="391"/>
      <c r="CVU1607" s="391"/>
      <c r="CVW1607" s="391"/>
      <c r="CVY1607" s="391"/>
      <c r="CWA1607" s="391"/>
      <c r="CWC1607" s="391"/>
      <c r="CWE1607" s="391"/>
      <c r="CWG1607" s="391"/>
      <c r="CWI1607" s="391"/>
      <c r="CWK1607" s="391"/>
      <c r="CWM1607" s="391"/>
      <c r="CWO1607" s="391"/>
      <c r="CWQ1607" s="391"/>
      <c r="CWS1607" s="391"/>
      <c r="CWU1607" s="391"/>
      <c r="CWW1607" s="391"/>
      <c r="CWY1607" s="391"/>
      <c r="CXA1607" s="391"/>
      <c r="CXC1607" s="391"/>
      <c r="CXE1607" s="391"/>
      <c r="CXG1607" s="391"/>
      <c r="CXI1607" s="391"/>
      <c r="CXK1607" s="391"/>
      <c r="CXM1607" s="391"/>
      <c r="CXO1607" s="391"/>
      <c r="CXQ1607" s="391"/>
      <c r="CXS1607" s="391"/>
      <c r="CXU1607" s="391"/>
      <c r="CXW1607" s="391"/>
      <c r="CXY1607" s="391"/>
      <c r="CYA1607" s="391"/>
      <c r="CYC1607" s="391"/>
      <c r="CYE1607" s="391"/>
      <c r="CYG1607" s="391"/>
      <c r="CYI1607" s="391"/>
      <c r="CYK1607" s="391"/>
      <c r="CYM1607" s="391"/>
      <c r="CYO1607" s="391"/>
      <c r="CYQ1607" s="391"/>
      <c r="CYS1607" s="391"/>
      <c r="CYU1607" s="391"/>
      <c r="CYW1607" s="391"/>
      <c r="CYY1607" s="391"/>
      <c r="CZA1607" s="391"/>
      <c r="CZC1607" s="391"/>
      <c r="CZE1607" s="391"/>
      <c r="CZG1607" s="391"/>
      <c r="CZI1607" s="391"/>
      <c r="CZK1607" s="391"/>
      <c r="CZM1607" s="391"/>
      <c r="CZO1607" s="391"/>
      <c r="CZQ1607" s="391"/>
      <c r="CZS1607" s="391"/>
      <c r="CZU1607" s="391"/>
      <c r="CZW1607" s="391"/>
      <c r="CZY1607" s="391"/>
      <c r="DAA1607" s="391"/>
      <c r="DAC1607" s="391"/>
      <c r="DAE1607" s="391"/>
      <c r="DAG1607" s="391"/>
      <c r="DAI1607" s="391"/>
      <c r="DAK1607" s="391"/>
      <c r="DAM1607" s="391"/>
      <c r="DAO1607" s="391"/>
      <c r="DAQ1607" s="391"/>
      <c r="DAS1607" s="391"/>
      <c r="DAU1607" s="391"/>
      <c r="DAW1607" s="391"/>
      <c r="DAY1607" s="391"/>
      <c r="DBA1607" s="391"/>
      <c r="DBC1607" s="391"/>
      <c r="DBE1607" s="391"/>
      <c r="DBG1607" s="391"/>
      <c r="DBI1607" s="391"/>
      <c r="DBK1607" s="391"/>
      <c r="DBM1607" s="391"/>
      <c r="DBO1607" s="391"/>
      <c r="DBQ1607" s="391"/>
      <c r="DBS1607" s="391"/>
      <c r="DBU1607" s="391"/>
      <c r="DBW1607" s="391"/>
      <c r="DBY1607" s="391"/>
      <c r="DCA1607" s="391"/>
      <c r="DCC1607" s="391"/>
      <c r="DCE1607" s="391"/>
      <c r="DCG1607" s="391"/>
      <c r="DCI1607" s="391"/>
      <c r="DCK1607" s="391"/>
      <c r="DCM1607" s="391"/>
      <c r="DCO1607" s="391"/>
      <c r="DCQ1607" s="391"/>
      <c r="DCS1607" s="391"/>
      <c r="DCU1607" s="391"/>
      <c r="DCW1607" s="391"/>
      <c r="DCY1607" s="391"/>
      <c r="DDA1607" s="391"/>
      <c r="DDC1607" s="391"/>
      <c r="DDE1607" s="391"/>
      <c r="DDG1607" s="391"/>
      <c r="DDI1607" s="391"/>
      <c r="DDK1607" s="391"/>
      <c r="DDM1607" s="391"/>
      <c r="DDO1607" s="391"/>
      <c r="DDQ1607" s="391"/>
      <c r="DDS1607" s="391"/>
      <c r="DDU1607" s="391"/>
      <c r="DDW1607" s="391"/>
      <c r="DDY1607" s="391"/>
      <c r="DEA1607" s="391"/>
      <c r="DEC1607" s="391"/>
      <c r="DEE1607" s="391"/>
      <c r="DEG1607" s="391"/>
      <c r="DEI1607" s="391"/>
      <c r="DEK1607" s="391"/>
      <c r="DEM1607" s="391"/>
      <c r="DEO1607" s="391"/>
      <c r="DEQ1607" s="391"/>
      <c r="DES1607" s="391"/>
      <c r="DEU1607" s="391"/>
      <c r="DEW1607" s="391"/>
      <c r="DEY1607" s="391"/>
      <c r="DFA1607" s="391"/>
      <c r="DFC1607" s="391"/>
      <c r="DFE1607" s="391"/>
      <c r="DFG1607" s="391"/>
      <c r="DFI1607" s="391"/>
      <c r="DFK1607" s="391"/>
      <c r="DFM1607" s="391"/>
      <c r="DFO1607" s="391"/>
      <c r="DFQ1607" s="391"/>
      <c r="DFS1607" s="391"/>
      <c r="DFU1607" s="391"/>
      <c r="DFW1607" s="391"/>
      <c r="DFY1607" s="391"/>
      <c r="DGA1607" s="391"/>
      <c r="DGC1607" s="391"/>
      <c r="DGE1607" s="391"/>
      <c r="DGG1607" s="391"/>
      <c r="DGI1607" s="391"/>
      <c r="DGK1607" s="391"/>
      <c r="DGM1607" s="391"/>
      <c r="DGO1607" s="391"/>
      <c r="DGQ1607" s="391"/>
      <c r="DGS1607" s="391"/>
      <c r="DGU1607" s="391"/>
      <c r="DGW1607" s="391"/>
      <c r="DGY1607" s="391"/>
      <c r="DHA1607" s="391"/>
      <c r="DHC1607" s="391"/>
      <c r="DHE1607" s="391"/>
      <c r="DHG1607" s="391"/>
      <c r="DHI1607" s="391"/>
      <c r="DHK1607" s="391"/>
      <c r="DHM1607" s="391"/>
      <c r="DHO1607" s="391"/>
      <c r="DHQ1607" s="391"/>
      <c r="DHS1607" s="391"/>
      <c r="DHU1607" s="391"/>
      <c r="DHW1607" s="391"/>
      <c r="DHY1607" s="391"/>
      <c r="DIA1607" s="391"/>
      <c r="DIC1607" s="391"/>
      <c r="DIE1607" s="391"/>
      <c r="DIG1607" s="391"/>
      <c r="DII1607" s="391"/>
      <c r="DIK1607" s="391"/>
      <c r="DIM1607" s="391"/>
      <c r="DIO1607" s="391"/>
      <c r="DIQ1607" s="391"/>
      <c r="DIS1607" s="391"/>
      <c r="DIU1607" s="391"/>
      <c r="DIW1607" s="391"/>
      <c r="DIY1607" s="391"/>
      <c r="DJA1607" s="391"/>
      <c r="DJC1607" s="391"/>
      <c r="DJE1607" s="391"/>
      <c r="DJG1607" s="391"/>
      <c r="DJI1607" s="391"/>
      <c r="DJK1607" s="391"/>
      <c r="DJM1607" s="391"/>
      <c r="DJO1607" s="391"/>
      <c r="DJQ1607" s="391"/>
      <c r="DJS1607" s="391"/>
      <c r="DJU1607" s="391"/>
      <c r="DJW1607" s="391"/>
      <c r="DJY1607" s="391"/>
      <c r="DKA1607" s="391"/>
      <c r="DKC1607" s="391"/>
      <c r="DKE1607" s="391"/>
      <c r="DKG1607" s="391"/>
      <c r="DKI1607" s="391"/>
      <c r="DKK1607" s="391"/>
      <c r="DKM1607" s="391"/>
      <c r="DKO1607" s="391"/>
      <c r="DKQ1607" s="391"/>
      <c r="DKS1607" s="391"/>
      <c r="DKU1607" s="391"/>
      <c r="DKW1607" s="391"/>
      <c r="DKY1607" s="391"/>
      <c r="DLA1607" s="391"/>
      <c r="DLC1607" s="391"/>
      <c r="DLE1607" s="391"/>
      <c r="DLG1607" s="391"/>
      <c r="DLI1607" s="391"/>
      <c r="DLK1607" s="391"/>
      <c r="DLM1607" s="391"/>
      <c r="DLO1607" s="391"/>
      <c r="DLQ1607" s="391"/>
      <c r="DLS1607" s="391"/>
      <c r="DLU1607" s="391"/>
      <c r="DLW1607" s="391"/>
      <c r="DLY1607" s="391"/>
      <c r="DMA1607" s="391"/>
      <c r="DMC1607" s="391"/>
      <c r="DME1607" s="391"/>
      <c r="DMG1607" s="391"/>
      <c r="DMI1607" s="391"/>
      <c r="DMK1607" s="391"/>
      <c r="DMM1607" s="391"/>
      <c r="DMO1607" s="391"/>
      <c r="DMQ1607" s="391"/>
      <c r="DMS1607" s="391"/>
      <c r="DMU1607" s="391"/>
      <c r="DMW1607" s="391"/>
      <c r="DMY1607" s="391"/>
      <c r="DNA1607" s="391"/>
      <c r="DNC1607" s="391"/>
      <c r="DNE1607" s="391"/>
      <c r="DNG1607" s="391"/>
      <c r="DNI1607" s="391"/>
      <c r="DNK1607" s="391"/>
      <c r="DNM1607" s="391"/>
      <c r="DNO1607" s="391"/>
      <c r="DNQ1607" s="391"/>
      <c r="DNS1607" s="391"/>
      <c r="DNU1607" s="391"/>
      <c r="DNW1607" s="391"/>
      <c r="DNY1607" s="391"/>
      <c r="DOA1607" s="391"/>
      <c r="DOC1607" s="391"/>
      <c r="DOE1607" s="391"/>
      <c r="DOG1607" s="391"/>
      <c r="DOI1607" s="391"/>
      <c r="DOK1607" s="391"/>
      <c r="DOM1607" s="391"/>
      <c r="DOO1607" s="391"/>
      <c r="DOQ1607" s="391"/>
      <c r="DOS1607" s="391"/>
      <c r="DOU1607" s="391"/>
      <c r="DOW1607" s="391"/>
      <c r="DOY1607" s="391"/>
      <c r="DPA1607" s="391"/>
      <c r="DPC1607" s="391"/>
      <c r="DPE1607" s="391"/>
      <c r="DPG1607" s="391"/>
      <c r="DPI1607" s="391"/>
      <c r="DPK1607" s="391"/>
      <c r="DPM1607" s="391"/>
      <c r="DPO1607" s="391"/>
      <c r="DPQ1607" s="391"/>
      <c r="DPS1607" s="391"/>
      <c r="DPU1607" s="391"/>
      <c r="DPW1607" s="391"/>
      <c r="DPY1607" s="391"/>
      <c r="DQA1607" s="391"/>
      <c r="DQC1607" s="391"/>
      <c r="DQE1607" s="391"/>
      <c r="DQG1607" s="391"/>
      <c r="DQI1607" s="391"/>
      <c r="DQK1607" s="391"/>
      <c r="DQM1607" s="391"/>
      <c r="DQO1607" s="391"/>
      <c r="DQQ1607" s="391"/>
      <c r="DQS1607" s="391"/>
      <c r="DQU1607" s="391"/>
      <c r="DQW1607" s="391"/>
      <c r="DQY1607" s="391"/>
      <c r="DRA1607" s="391"/>
      <c r="DRC1607" s="391"/>
      <c r="DRE1607" s="391"/>
      <c r="DRG1607" s="391"/>
      <c r="DRI1607" s="391"/>
      <c r="DRK1607" s="391"/>
      <c r="DRM1607" s="391"/>
      <c r="DRO1607" s="391"/>
      <c r="DRQ1607" s="391"/>
      <c r="DRS1607" s="391"/>
      <c r="DRU1607" s="391"/>
      <c r="DRW1607" s="391"/>
      <c r="DRY1607" s="391"/>
      <c r="DSA1607" s="391"/>
      <c r="DSC1607" s="391"/>
      <c r="DSE1607" s="391"/>
      <c r="DSG1607" s="391"/>
      <c r="DSI1607" s="391"/>
      <c r="DSK1607" s="391"/>
      <c r="DSM1607" s="391"/>
      <c r="DSO1607" s="391"/>
      <c r="DSQ1607" s="391"/>
      <c r="DSS1607" s="391"/>
      <c r="DSU1607" s="391"/>
      <c r="DSW1607" s="391"/>
      <c r="DSY1607" s="391"/>
      <c r="DTA1607" s="391"/>
      <c r="DTC1607" s="391"/>
      <c r="DTE1607" s="391"/>
      <c r="DTG1607" s="391"/>
      <c r="DTI1607" s="391"/>
      <c r="DTK1607" s="391"/>
      <c r="DTM1607" s="391"/>
      <c r="DTO1607" s="391"/>
      <c r="DTQ1607" s="391"/>
      <c r="DTS1607" s="391"/>
      <c r="DTU1607" s="391"/>
      <c r="DTW1607" s="391"/>
      <c r="DTY1607" s="391"/>
      <c r="DUA1607" s="391"/>
      <c r="DUC1607" s="391"/>
      <c r="DUE1607" s="391"/>
      <c r="DUG1607" s="391"/>
      <c r="DUI1607" s="391"/>
      <c r="DUK1607" s="391"/>
      <c r="DUM1607" s="391"/>
      <c r="DUO1607" s="391"/>
      <c r="DUQ1607" s="391"/>
      <c r="DUS1607" s="391"/>
      <c r="DUU1607" s="391"/>
      <c r="DUW1607" s="391"/>
      <c r="DUY1607" s="391"/>
      <c r="DVA1607" s="391"/>
      <c r="DVC1607" s="391"/>
      <c r="DVE1607" s="391"/>
      <c r="DVG1607" s="391"/>
      <c r="DVI1607" s="391"/>
      <c r="DVK1607" s="391"/>
      <c r="DVM1607" s="391"/>
      <c r="DVO1607" s="391"/>
      <c r="DVQ1607" s="391"/>
      <c r="DVS1607" s="391"/>
      <c r="DVU1607" s="391"/>
      <c r="DVW1607" s="391"/>
      <c r="DVY1607" s="391"/>
      <c r="DWA1607" s="391"/>
      <c r="DWC1607" s="391"/>
      <c r="DWE1607" s="391"/>
      <c r="DWG1607" s="391"/>
      <c r="DWI1607" s="391"/>
      <c r="DWK1607" s="391"/>
      <c r="DWM1607" s="391"/>
      <c r="DWO1607" s="391"/>
      <c r="DWQ1607" s="391"/>
      <c r="DWS1607" s="391"/>
      <c r="DWU1607" s="391"/>
      <c r="DWW1607" s="391"/>
      <c r="DWY1607" s="391"/>
      <c r="DXA1607" s="391"/>
      <c r="DXC1607" s="391"/>
      <c r="DXE1607" s="391"/>
      <c r="DXG1607" s="391"/>
      <c r="DXI1607" s="391"/>
      <c r="DXK1607" s="391"/>
      <c r="DXM1607" s="391"/>
      <c r="DXO1607" s="391"/>
      <c r="DXQ1607" s="391"/>
      <c r="DXS1607" s="391"/>
      <c r="DXU1607" s="391"/>
      <c r="DXW1607" s="391"/>
      <c r="DXY1607" s="391"/>
      <c r="DYA1607" s="391"/>
      <c r="DYC1607" s="391"/>
      <c r="DYE1607" s="391"/>
      <c r="DYG1607" s="391"/>
      <c r="DYI1607" s="391"/>
      <c r="DYK1607" s="391"/>
      <c r="DYM1607" s="391"/>
      <c r="DYO1607" s="391"/>
      <c r="DYQ1607" s="391"/>
      <c r="DYS1607" s="391"/>
      <c r="DYU1607" s="391"/>
      <c r="DYW1607" s="391"/>
      <c r="DYY1607" s="391"/>
      <c r="DZA1607" s="391"/>
      <c r="DZC1607" s="391"/>
      <c r="DZE1607" s="391"/>
      <c r="DZG1607" s="391"/>
      <c r="DZI1607" s="391"/>
      <c r="DZK1607" s="391"/>
      <c r="DZM1607" s="391"/>
      <c r="DZO1607" s="391"/>
      <c r="DZQ1607" s="391"/>
      <c r="DZS1607" s="391"/>
      <c r="DZU1607" s="391"/>
      <c r="DZW1607" s="391"/>
      <c r="DZY1607" s="391"/>
      <c r="EAA1607" s="391"/>
      <c r="EAC1607" s="391"/>
      <c r="EAE1607" s="391"/>
      <c r="EAG1607" s="391"/>
      <c r="EAI1607" s="391"/>
      <c r="EAK1607" s="391"/>
      <c r="EAM1607" s="391"/>
      <c r="EAO1607" s="391"/>
      <c r="EAQ1607" s="391"/>
      <c r="EAS1607" s="391"/>
      <c r="EAU1607" s="391"/>
      <c r="EAW1607" s="391"/>
      <c r="EAY1607" s="391"/>
      <c r="EBA1607" s="391"/>
      <c r="EBC1607" s="391"/>
      <c r="EBE1607" s="391"/>
      <c r="EBG1607" s="391"/>
      <c r="EBI1607" s="391"/>
      <c r="EBK1607" s="391"/>
      <c r="EBM1607" s="391"/>
      <c r="EBO1607" s="391"/>
      <c r="EBQ1607" s="391"/>
      <c r="EBS1607" s="391"/>
      <c r="EBU1607" s="391"/>
      <c r="EBW1607" s="391"/>
      <c r="EBY1607" s="391"/>
      <c r="ECA1607" s="391"/>
      <c r="ECC1607" s="391"/>
      <c r="ECE1607" s="391"/>
      <c r="ECG1607" s="391"/>
      <c r="ECI1607" s="391"/>
      <c r="ECK1607" s="391"/>
      <c r="ECM1607" s="391"/>
      <c r="ECO1607" s="391"/>
      <c r="ECQ1607" s="391"/>
      <c r="ECS1607" s="391"/>
      <c r="ECU1607" s="391"/>
      <c r="ECW1607" s="391"/>
      <c r="ECY1607" s="391"/>
      <c r="EDA1607" s="391"/>
      <c r="EDC1607" s="391"/>
      <c r="EDE1607" s="391"/>
      <c r="EDG1607" s="391"/>
      <c r="EDI1607" s="391"/>
      <c r="EDK1607" s="391"/>
      <c r="EDM1607" s="391"/>
      <c r="EDO1607" s="391"/>
      <c r="EDQ1607" s="391"/>
      <c r="EDS1607" s="391"/>
      <c r="EDU1607" s="391"/>
      <c r="EDW1607" s="391"/>
      <c r="EDY1607" s="391"/>
      <c r="EEA1607" s="391"/>
      <c r="EEC1607" s="391"/>
      <c r="EEE1607" s="391"/>
      <c r="EEG1607" s="391"/>
      <c r="EEI1607" s="391"/>
      <c r="EEK1607" s="391"/>
      <c r="EEM1607" s="391"/>
      <c r="EEO1607" s="391"/>
      <c r="EEQ1607" s="391"/>
      <c r="EES1607" s="391"/>
      <c r="EEU1607" s="391"/>
      <c r="EEW1607" s="391"/>
      <c r="EEY1607" s="391"/>
      <c r="EFA1607" s="391"/>
      <c r="EFC1607" s="391"/>
      <c r="EFE1607" s="391"/>
      <c r="EFG1607" s="391"/>
      <c r="EFI1607" s="391"/>
      <c r="EFK1607" s="391"/>
      <c r="EFM1607" s="391"/>
      <c r="EFO1607" s="391"/>
      <c r="EFQ1607" s="391"/>
      <c r="EFS1607" s="391"/>
      <c r="EFU1607" s="391"/>
      <c r="EFW1607" s="391"/>
      <c r="EFY1607" s="391"/>
      <c r="EGA1607" s="391"/>
      <c r="EGC1607" s="391"/>
      <c r="EGE1607" s="391"/>
      <c r="EGG1607" s="391"/>
      <c r="EGI1607" s="391"/>
      <c r="EGK1607" s="391"/>
      <c r="EGM1607" s="391"/>
      <c r="EGO1607" s="391"/>
      <c r="EGQ1607" s="391"/>
      <c r="EGS1607" s="391"/>
      <c r="EGU1607" s="391"/>
      <c r="EGW1607" s="391"/>
      <c r="EGY1607" s="391"/>
      <c r="EHA1607" s="391"/>
      <c r="EHC1607" s="391"/>
      <c r="EHE1607" s="391"/>
      <c r="EHG1607" s="391"/>
      <c r="EHI1607" s="391"/>
      <c r="EHK1607" s="391"/>
      <c r="EHM1607" s="391"/>
      <c r="EHO1607" s="391"/>
      <c r="EHQ1607" s="391"/>
      <c r="EHS1607" s="391"/>
      <c r="EHU1607" s="391"/>
      <c r="EHW1607" s="391"/>
      <c r="EHY1607" s="391"/>
      <c r="EIA1607" s="391"/>
      <c r="EIC1607" s="391"/>
      <c r="EIE1607" s="391"/>
      <c r="EIG1607" s="391"/>
      <c r="EII1607" s="391"/>
      <c r="EIK1607" s="391"/>
      <c r="EIM1607" s="391"/>
      <c r="EIO1607" s="391"/>
      <c r="EIQ1607" s="391"/>
      <c r="EIS1607" s="391"/>
      <c r="EIU1607" s="391"/>
      <c r="EIW1607" s="391"/>
      <c r="EIY1607" s="391"/>
      <c r="EJA1607" s="391"/>
      <c r="EJC1607" s="391"/>
      <c r="EJE1607" s="391"/>
      <c r="EJG1607" s="391"/>
      <c r="EJI1607" s="391"/>
      <c r="EJK1607" s="391"/>
      <c r="EJM1607" s="391"/>
      <c r="EJO1607" s="391"/>
      <c r="EJQ1607" s="391"/>
      <c r="EJS1607" s="391"/>
      <c r="EJU1607" s="391"/>
      <c r="EJW1607" s="391"/>
      <c r="EJY1607" s="391"/>
      <c r="EKA1607" s="391"/>
      <c r="EKC1607" s="391"/>
      <c r="EKE1607" s="391"/>
      <c r="EKG1607" s="391"/>
      <c r="EKI1607" s="391"/>
      <c r="EKK1607" s="391"/>
      <c r="EKM1607" s="391"/>
      <c r="EKO1607" s="391"/>
      <c r="EKQ1607" s="391"/>
      <c r="EKS1607" s="391"/>
      <c r="EKU1607" s="391"/>
      <c r="EKW1607" s="391"/>
      <c r="EKY1607" s="391"/>
      <c r="ELA1607" s="391"/>
      <c r="ELC1607" s="391"/>
      <c r="ELE1607" s="391"/>
      <c r="ELG1607" s="391"/>
      <c r="ELI1607" s="391"/>
      <c r="ELK1607" s="391"/>
      <c r="ELM1607" s="391"/>
      <c r="ELO1607" s="391"/>
      <c r="ELQ1607" s="391"/>
      <c r="ELS1607" s="391"/>
      <c r="ELU1607" s="391"/>
      <c r="ELW1607" s="391"/>
      <c r="ELY1607" s="391"/>
      <c r="EMA1607" s="391"/>
      <c r="EMC1607" s="391"/>
      <c r="EME1607" s="391"/>
      <c r="EMG1607" s="391"/>
      <c r="EMI1607" s="391"/>
      <c r="EMK1607" s="391"/>
      <c r="EMM1607" s="391"/>
      <c r="EMO1607" s="391"/>
      <c r="EMQ1607" s="391"/>
      <c r="EMS1607" s="391"/>
      <c r="EMU1607" s="391"/>
      <c r="EMW1607" s="391"/>
      <c r="EMY1607" s="391"/>
      <c r="ENA1607" s="391"/>
      <c r="ENC1607" s="391"/>
      <c r="ENE1607" s="391"/>
      <c r="ENG1607" s="391"/>
      <c r="ENI1607" s="391"/>
      <c r="ENK1607" s="391"/>
      <c r="ENM1607" s="391"/>
      <c r="ENO1607" s="391"/>
      <c r="ENQ1607" s="391"/>
      <c r="ENS1607" s="391"/>
      <c r="ENU1607" s="391"/>
      <c r="ENW1607" s="391"/>
      <c r="ENY1607" s="391"/>
      <c r="EOA1607" s="391"/>
      <c r="EOC1607" s="391"/>
      <c r="EOE1607" s="391"/>
      <c r="EOG1607" s="391"/>
      <c r="EOI1607" s="391"/>
      <c r="EOK1607" s="391"/>
      <c r="EOM1607" s="391"/>
      <c r="EOO1607" s="391"/>
      <c r="EOQ1607" s="391"/>
      <c r="EOS1607" s="391"/>
      <c r="EOU1607" s="391"/>
      <c r="EOW1607" s="391"/>
      <c r="EOY1607" s="391"/>
      <c r="EPA1607" s="391"/>
      <c r="EPC1607" s="391"/>
      <c r="EPE1607" s="391"/>
      <c r="EPG1607" s="391"/>
      <c r="EPI1607" s="391"/>
      <c r="EPK1607" s="391"/>
      <c r="EPM1607" s="391"/>
      <c r="EPO1607" s="391"/>
      <c r="EPQ1607" s="391"/>
      <c r="EPS1607" s="391"/>
      <c r="EPU1607" s="391"/>
      <c r="EPW1607" s="391"/>
      <c r="EPY1607" s="391"/>
      <c r="EQA1607" s="391"/>
      <c r="EQC1607" s="391"/>
      <c r="EQE1607" s="391"/>
      <c r="EQG1607" s="391"/>
      <c r="EQI1607" s="391"/>
      <c r="EQK1607" s="391"/>
      <c r="EQM1607" s="391"/>
      <c r="EQO1607" s="391"/>
      <c r="EQQ1607" s="391"/>
      <c r="EQS1607" s="391"/>
      <c r="EQU1607" s="391"/>
      <c r="EQW1607" s="391"/>
      <c r="EQY1607" s="391"/>
      <c r="ERA1607" s="391"/>
      <c r="ERC1607" s="391"/>
      <c r="ERE1607" s="391"/>
      <c r="ERG1607" s="391"/>
      <c r="ERI1607" s="391"/>
      <c r="ERK1607" s="391"/>
      <c r="ERM1607" s="391"/>
      <c r="ERO1607" s="391"/>
      <c r="ERQ1607" s="391"/>
      <c r="ERS1607" s="391"/>
      <c r="ERU1607" s="391"/>
      <c r="ERW1607" s="391"/>
      <c r="ERY1607" s="391"/>
      <c r="ESA1607" s="391"/>
      <c r="ESC1607" s="391"/>
      <c r="ESE1607" s="391"/>
      <c r="ESG1607" s="391"/>
      <c r="ESI1607" s="391"/>
      <c r="ESK1607" s="391"/>
      <c r="ESM1607" s="391"/>
      <c r="ESO1607" s="391"/>
      <c r="ESQ1607" s="391"/>
      <c r="ESS1607" s="391"/>
      <c r="ESU1607" s="391"/>
      <c r="ESW1607" s="391"/>
      <c r="ESY1607" s="391"/>
      <c r="ETA1607" s="391"/>
      <c r="ETC1607" s="391"/>
      <c r="ETE1607" s="391"/>
      <c r="ETG1607" s="391"/>
      <c r="ETI1607" s="391"/>
      <c r="ETK1607" s="391"/>
      <c r="ETM1607" s="391"/>
      <c r="ETO1607" s="391"/>
      <c r="ETQ1607" s="391"/>
      <c r="ETS1607" s="391"/>
      <c r="ETU1607" s="391"/>
      <c r="ETW1607" s="391"/>
      <c r="ETY1607" s="391"/>
      <c r="EUA1607" s="391"/>
      <c r="EUC1607" s="391"/>
      <c r="EUE1607" s="391"/>
      <c r="EUG1607" s="391"/>
      <c r="EUI1607" s="391"/>
      <c r="EUK1607" s="391"/>
      <c r="EUM1607" s="391"/>
      <c r="EUO1607" s="391"/>
      <c r="EUQ1607" s="391"/>
      <c r="EUS1607" s="391"/>
      <c r="EUU1607" s="391"/>
      <c r="EUW1607" s="391"/>
      <c r="EUY1607" s="391"/>
      <c r="EVA1607" s="391"/>
      <c r="EVC1607" s="391"/>
      <c r="EVE1607" s="391"/>
      <c r="EVG1607" s="391"/>
      <c r="EVI1607" s="391"/>
      <c r="EVK1607" s="391"/>
      <c r="EVM1607" s="391"/>
      <c r="EVO1607" s="391"/>
      <c r="EVQ1607" s="391"/>
      <c r="EVS1607" s="391"/>
      <c r="EVU1607" s="391"/>
      <c r="EVW1607" s="391"/>
      <c r="EVY1607" s="391"/>
      <c r="EWA1607" s="391"/>
      <c r="EWC1607" s="391"/>
      <c r="EWE1607" s="391"/>
      <c r="EWG1607" s="391"/>
      <c r="EWI1607" s="391"/>
      <c r="EWK1607" s="391"/>
      <c r="EWM1607" s="391"/>
      <c r="EWO1607" s="391"/>
      <c r="EWQ1607" s="391"/>
      <c r="EWS1607" s="391"/>
      <c r="EWU1607" s="391"/>
      <c r="EWW1607" s="391"/>
      <c r="EWY1607" s="391"/>
      <c r="EXA1607" s="391"/>
      <c r="EXC1607" s="391"/>
      <c r="EXE1607" s="391"/>
      <c r="EXG1607" s="391"/>
      <c r="EXI1607" s="391"/>
      <c r="EXK1607" s="391"/>
      <c r="EXM1607" s="391"/>
      <c r="EXO1607" s="391"/>
      <c r="EXQ1607" s="391"/>
      <c r="EXS1607" s="391"/>
      <c r="EXU1607" s="391"/>
      <c r="EXW1607" s="391"/>
      <c r="EXY1607" s="391"/>
      <c r="EYA1607" s="391"/>
      <c r="EYC1607" s="391"/>
      <c r="EYE1607" s="391"/>
      <c r="EYG1607" s="391"/>
      <c r="EYI1607" s="391"/>
      <c r="EYK1607" s="391"/>
      <c r="EYM1607" s="391"/>
      <c r="EYO1607" s="391"/>
      <c r="EYQ1607" s="391"/>
      <c r="EYS1607" s="391"/>
      <c r="EYU1607" s="391"/>
      <c r="EYW1607" s="391"/>
      <c r="EYY1607" s="391"/>
      <c r="EZA1607" s="391"/>
      <c r="EZC1607" s="391"/>
      <c r="EZE1607" s="391"/>
      <c r="EZG1607" s="391"/>
      <c r="EZI1607" s="391"/>
      <c r="EZK1607" s="391"/>
      <c r="EZM1607" s="391"/>
      <c r="EZO1607" s="391"/>
      <c r="EZQ1607" s="391"/>
      <c r="EZS1607" s="391"/>
      <c r="EZU1607" s="391"/>
      <c r="EZW1607" s="391"/>
      <c r="EZY1607" s="391"/>
      <c r="FAA1607" s="391"/>
      <c r="FAC1607" s="391"/>
      <c r="FAE1607" s="391"/>
      <c r="FAG1607" s="391"/>
      <c r="FAI1607" s="391"/>
      <c r="FAK1607" s="391"/>
      <c r="FAM1607" s="391"/>
      <c r="FAO1607" s="391"/>
      <c r="FAQ1607" s="391"/>
      <c r="FAS1607" s="391"/>
      <c r="FAU1607" s="391"/>
      <c r="FAW1607" s="391"/>
      <c r="FAY1607" s="391"/>
      <c r="FBA1607" s="391"/>
      <c r="FBC1607" s="391"/>
      <c r="FBE1607" s="391"/>
      <c r="FBG1607" s="391"/>
      <c r="FBI1607" s="391"/>
      <c r="FBK1607" s="391"/>
      <c r="FBM1607" s="391"/>
      <c r="FBO1607" s="391"/>
      <c r="FBQ1607" s="391"/>
      <c r="FBS1607" s="391"/>
      <c r="FBU1607" s="391"/>
      <c r="FBW1607" s="391"/>
      <c r="FBY1607" s="391"/>
      <c r="FCA1607" s="391"/>
      <c r="FCC1607" s="391"/>
      <c r="FCE1607" s="391"/>
      <c r="FCG1607" s="391"/>
      <c r="FCI1607" s="391"/>
      <c r="FCK1607" s="391"/>
      <c r="FCM1607" s="391"/>
      <c r="FCO1607" s="391"/>
      <c r="FCQ1607" s="391"/>
      <c r="FCS1607" s="391"/>
      <c r="FCU1607" s="391"/>
      <c r="FCW1607" s="391"/>
      <c r="FCY1607" s="391"/>
      <c r="FDA1607" s="391"/>
      <c r="FDC1607" s="391"/>
      <c r="FDE1607" s="391"/>
      <c r="FDG1607" s="391"/>
      <c r="FDI1607" s="391"/>
      <c r="FDK1607" s="391"/>
      <c r="FDM1607" s="391"/>
      <c r="FDO1607" s="391"/>
      <c r="FDQ1607" s="391"/>
      <c r="FDS1607" s="391"/>
      <c r="FDU1607" s="391"/>
      <c r="FDW1607" s="391"/>
      <c r="FDY1607" s="391"/>
      <c r="FEA1607" s="391"/>
      <c r="FEC1607" s="391"/>
      <c r="FEE1607" s="391"/>
      <c r="FEG1607" s="391"/>
      <c r="FEI1607" s="391"/>
      <c r="FEK1607" s="391"/>
      <c r="FEM1607" s="391"/>
      <c r="FEO1607" s="391"/>
      <c r="FEQ1607" s="391"/>
      <c r="FES1607" s="391"/>
      <c r="FEU1607" s="391"/>
      <c r="FEW1607" s="391"/>
      <c r="FEY1607" s="391"/>
      <c r="FFA1607" s="391"/>
      <c r="FFC1607" s="391"/>
      <c r="FFE1607" s="391"/>
      <c r="FFG1607" s="391"/>
      <c r="FFI1607" s="391"/>
      <c r="FFK1607" s="391"/>
      <c r="FFM1607" s="391"/>
      <c r="FFO1607" s="391"/>
      <c r="FFQ1607" s="391"/>
      <c r="FFS1607" s="391"/>
      <c r="FFU1607" s="391"/>
      <c r="FFW1607" s="391"/>
      <c r="FFY1607" s="391"/>
      <c r="FGA1607" s="391"/>
      <c r="FGC1607" s="391"/>
      <c r="FGE1607" s="391"/>
      <c r="FGG1607" s="391"/>
      <c r="FGI1607" s="391"/>
      <c r="FGK1607" s="391"/>
      <c r="FGM1607" s="391"/>
      <c r="FGO1607" s="391"/>
      <c r="FGQ1607" s="391"/>
      <c r="FGS1607" s="391"/>
      <c r="FGU1607" s="391"/>
      <c r="FGW1607" s="391"/>
      <c r="FGY1607" s="391"/>
      <c r="FHA1607" s="391"/>
      <c r="FHC1607" s="391"/>
      <c r="FHE1607" s="391"/>
      <c r="FHG1607" s="391"/>
      <c r="FHI1607" s="391"/>
      <c r="FHK1607" s="391"/>
      <c r="FHM1607" s="391"/>
      <c r="FHO1607" s="391"/>
      <c r="FHQ1607" s="391"/>
      <c r="FHS1607" s="391"/>
      <c r="FHU1607" s="391"/>
      <c r="FHW1607" s="391"/>
      <c r="FHY1607" s="391"/>
      <c r="FIA1607" s="391"/>
      <c r="FIC1607" s="391"/>
      <c r="FIE1607" s="391"/>
      <c r="FIG1607" s="391"/>
      <c r="FII1607" s="391"/>
      <c r="FIK1607" s="391"/>
      <c r="FIM1607" s="391"/>
      <c r="FIO1607" s="391"/>
      <c r="FIQ1607" s="391"/>
      <c r="FIS1607" s="391"/>
      <c r="FIU1607" s="391"/>
      <c r="FIW1607" s="391"/>
      <c r="FIY1607" s="391"/>
      <c r="FJA1607" s="391"/>
      <c r="FJC1607" s="391"/>
      <c r="FJE1607" s="391"/>
      <c r="FJG1607" s="391"/>
      <c r="FJI1607" s="391"/>
      <c r="FJK1607" s="391"/>
      <c r="FJM1607" s="391"/>
      <c r="FJO1607" s="391"/>
      <c r="FJQ1607" s="391"/>
      <c r="FJS1607" s="391"/>
      <c r="FJU1607" s="391"/>
      <c r="FJW1607" s="391"/>
      <c r="FJY1607" s="391"/>
      <c r="FKA1607" s="391"/>
      <c r="FKC1607" s="391"/>
      <c r="FKE1607" s="391"/>
      <c r="FKG1607" s="391"/>
      <c r="FKI1607" s="391"/>
      <c r="FKK1607" s="391"/>
      <c r="FKM1607" s="391"/>
      <c r="FKO1607" s="391"/>
      <c r="FKQ1607" s="391"/>
      <c r="FKS1607" s="391"/>
      <c r="FKU1607" s="391"/>
      <c r="FKW1607" s="391"/>
      <c r="FKY1607" s="391"/>
      <c r="FLA1607" s="391"/>
      <c r="FLC1607" s="391"/>
      <c r="FLE1607" s="391"/>
      <c r="FLG1607" s="391"/>
      <c r="FLI1607" s="391"/>
      <c r="FLK1607" s="391"/>
      <c r="FLM1607" s="391"/>
      <c r="FLO1607" s="391"/>
      <c r="FLQ1607" s="391"/>
      <c r="FLS1607" s="391"/>
      <c r="FLU1607" s="391"/>
      <c r="FLW1607" s="391"/>
      <c r="FLY1607" s="391"/>
      <c r="FMA1607" s="391"/>
      <c r="FMC1607" s="391"/>
      <c r="FME1607" s="391"/>
      <c r="FMG1607" s="391"/>
      <c r="FMI1607" s="391"/>
      <c r="FMK1607" s="391"/>
      <c r="FMM1607" s="391"/>
      <c r="FMO1607" s="391"/>
      <c r="FMQ1607" s="391"/>
      <c r="FMS1607" s="391"/>
      <c r="FMU1607" s="391"/>
      <c r="FMW1607" s="391"/>
      <c r="FMY1607" s="391"/>
      <c r="FNA1607" s="391"/>
      <c r="FNC1607" s="391"/>
      <c r="FNE1607" s="391"/>
      <c r="FNG1607" s="391"/>
      <c r="FNI1607" s="391"/>
      <c r="FNK1607" s="391"/>
      <c r="FNM1607" s="391"/>
      <c r="FNO1607" s="391"/>
      <c r="FNQ1607" s="391"/>
      <c r="FNS1607" s="391"/>
      <c r="FNU1607" s="391"/>
      <c r="FNW1607" s="391"/>
      <c r="FNY1607" s="391"/>
      <c r="FOA1607" s="391"/>
      <c r="FOC1607" s="391"/>
      <c r="FOE1607" s="391"/>
      <c r="FOG1607" s="391"/>
      <c r="FOI1607" s="391"/>
      <c r="FOK1607" s="391"/>
      <c r="FOM1607" s="391"/>
      <c r="FOO1607" s="391"/>
      <c r="FOQ1607" s="391"/>
      <c r="FOS1607" s="391"/>
      <c r="FOU1607" s="391"/>
      <c r="FOW1607" s="391"/>
      <c r="FOY1607" s="391"/>
      <c r="FPA1607" s="391"/>
      <c r="FPC1607" s="391"/>
      <c r="FPE1607" s="391"/>
      <c r="FPG1607" s="391"/>
      <c r="FPI1607" s="391"/>
      <c r="FPK1607" s="391"/>
      <c r="FPM1607" s="391"/>
      <c r="FPO1607" s="391"/>
      <c r="FPQ1607" s="391"/>
      <c r="FPS1607" s="391"/>
      <c r="FPU1607" s="391"/>
      <c r="FPW1607" s="391"/>
      <c r="FPY1607" s="391"/>
      <c r="FQA1607" s="391"/>
      <c r="FQC1607" s="391"/>
      <c r="FQE1607" s="391"/>
      <c r="FQG1607" s="391"/>
      <c r="FQI1607" s="391"/>
      <c r="FQK1607" s="391"/>
      <c r="FQM1607" s="391"/>
      <c r="FQO1607" s="391"/>
      <c r="FQQ1607" s="391"/>
      <c r="FQS1607" s="391"/>
      <c r="FQU1607" s="391"/>
      <c r="FQW1607" s="391"/>
      <c r="FQY1607" s="391"/>
      <c r="FRA1607" s="391"/>
      <c r="FRC1607" s="391"/>
      <c r="FRE1607" s="391"/>
      <c r="FRG1607" s="391"/>
      <c r="FRI1607" s="391"/>
      <c r="FRK1607" s="391"/>
      <c r="FRM1607" s="391"/>
      <c r="FRO1607" s="391"/>
      <c r="FRQ1607" s="391"/>
      <c r="FRS1607" s="391"/>
      <c r="FRU1607" s="391"/>
      <c r="FRW1607" s="391"/>
      <c r="FRY1607" s="391"/>
      <c r="FSA1607" s="391"/>
      <c r="FSC1607" s="391"/>
      <c r="FSE1607" s="391"/>
      <c r="FSG1607" s="391"/>
      <c r="FSI1607" s="391"/>
      <c r="FSK1607" s="391"/>
      <c r="FSM1607" s="391"/>
      <c r="FSO1607" s="391"/>
      <c r="FSQ1607" s="391"/>
      <c r="FSS1607" s="391"/>
      <c r="FSU1607" s="391"/>
      <c r="FSW1607" s="391"/>
      <c r="FSY1607" s="391"/>
      <c r="FTA1607" s="391"/>
      <c r="FTC1607" s="391"/>
      <c r="FTE1607" s="391"/>
      <c r="FTG1607" s="391"/>
      <c r="FTI1607" s="391"/>
      <c r="FTK1607" s="391"/>
      <c r="FTM1607" s="391"/>
      <c r="FTO1607" s="391"/>
      <c r="FTQ1607" s="391"/>
      <c r="FTS1607" s="391"/>
      <c r="FTU1607" s="391"/>
      <c r="FTW1607" s="391"/>
      <c r="FTY1607" s="391"/>
      <c r="FUA1607" s="391"/>
      <c r="FUC1607" s="391"/>
      <c r="FUE1607" s="391"/>
      <c r="FUG1607" s="391"/>
      <c r="FUI1607" s="391"/>
      <c r="FUK1607" s="391"/>
      <c r="FUM1607" s="391"/>
      <c r="FUO1607" s="391"/>
      <c r="FUQ1607" s="391"/>
      <c r="FUS1607" s="391"/>
      <c r="FUU1607" s="391"/>
      <c r="FUW1607" s="391"/>
      <c r="FUY1607" s="391"/>
      <c r="FVA1607" s="391"/>
      <c r="FVC1607" s="391"/>
      <c r="FVE1607" s="391"/>
      <c r="FVG1607" s="391"/>
      <c r="FVI1607" s="391"/>
      <c r="FVK1607" s="391"/>
      <c r="FVM1607" s="391"/>
      <c r="FVO1607" s="391"/>
      <c r="FVQ1607" s="391"/>
      <c r="FVS1607" s="391"/>
      <c r="FVU1607" s="391"/>
      <c r="FVW1607" s="391"/>
      <c r="FVY1607" s="391"/>
      <c r="FWA1607" s="391"/>
      <c r="FWC1607" s="391"/>
      <c r="FWE1607" s="391"/>
      <c r="FWG1607" s="391"/>
      <c r="FWI1607" s="391"/>
      <c r="FWK1607" s="391"/>
      <c r="FWM1607" s="391"/>
      <c r="FWO1607" s="391"/>
      <c r="FWQ1607" s="391"/>
      <c r="FWS1607" s="391"/>
      <c r="FWU1607" s="391"/>
      <c r="FWW1607" s="391"/>
      <c r="FWY1607" s="391"/>
      <c r="FXA1607" s="391"/>
      <c r="FXC1607" s="391"/>
      <c r="FXE1607" s="391"/>
      <c r="FXG1607" s="391"/>
      <c r="FXI1607" s="391"/>
      <c r="FXK1607" s="391"/>
      <c r="FXM1607" s="391"/>
      <c r="FXO1607" s="391"/>
      <c r="FXQ1607" s="391"/>
      <c r="FXS1607" s="391"/>
      <c r="FXU1607" s="391"/>
      <c r="FXW1607" s="391"/>
      <c r="FXY1607" s="391"/>
      <c r="FYA1607" s="391"/>
      <c r="FYC1607" s="391"/>
      <c r="FYE1607" s="391"/>
      <c r="FYG1607" s="391"/>
      <c r="FYI1607" s="391"/>
      <c r="FYK1607" s="391"/>
      <c r="FYM1607" s="391"/>
      <c r="FYO1607" s="391"/>
      <c r="FYQ1607" s="391"/>
      <c r="FYS1607" s="391"/>
      <c r="FYU1607" s="391"/>
      <c r="FYW1607" s="391"/>
      <c r="FYY1607" s="391"/>
      <c r="FZA1607" s="391"/>
      <c r="FZC1607" s="391"/>
      <c r="FZE1607" s="391"/>
      <c r="FZG1607" s="391"/>
      <c r="FZI1607" s="391"/>
      <c r="FZK1607" s="391"/>
      <c r="FZM1607" s="391"/>
      <c r="FZO1607" s="391"/>
      <c r="FZQ1607" s="391"/>
      <c r="FZS1607" s="391"/>
      <c r="FZU1607" s="391"/>
      <c r="FZW1607" s="391"/>
      <c r="FZY1607" s="391"/>
      <c r="GAA1607" s="391"/>
      <c r="GAC1607" s="391"/>
      <c r="GAE1607" s="391"/>
      <c r="GAG1607" s="391"/>
      <c r="GAI1607" s="391"/>
      <c r="GAK1607" s="391"/>
      <c r="GAM1607" s="391"/>
      <c r="GAO1607" s="391"/>
      <c r="GAQ1607" s="391"/>
      <c r="GAS1607" s="391"/>
      <c r="GAU1607" s="391"/>
      <c r="GAW1607" s="391"/>
      <c r="GAY1607" s="391"/>
      <c r="GBA1607" s="391"/>
      <c r="GBC1607" s="391"/>
      <c r="GBE1607" s="391"/>
      <c r="GBG1607" s="391"/>
      <c r="GBI1607" s="391"/>
      <c r="GBK1607" s="391"/>
      <c r="GBM1607" s="391"/>
      <c r="GBO1607" s="391"/>
      <c r="GBQ1607" s="391"/>
      <c r="GBS1607" s="391"/>
      <c r="GBU1607" s="391"/>
      <c r="GBW1607" s="391"/>
      <c r="GBY1607" s="391"/>
      <c r="GCA1607" s="391"/>
      <c r="GCC1607" s="391"/>
      <c r="GCE1607" s="391"/>
      <c r="GCG1607" s="391"/>
      <c r="GCI1607" s="391"/>
      <c r="GCK1607" s="391"/>
      <c r="GCM1607" s="391"/>
      <c r="GCO1607" s="391"/>
      <c r="GCQ1607" s="391"/>
      <c r="GCS1607" s="391"/>
      <c r="GCU1607" s="391"/>
      <c r="GCW1607" s="391"/>
      <c r="GCY1607" s="391"/>
      <c r="GDA1607" s="391"/>
      <c r="GDC1607" s="391"/>
      <c r="GDE1607" s="391"/>
      <c r="GDG1607" s="391"/>
      <c r="GDI1607" s="391"/>
      <c r="GDK1607" s="391"/>
      <c r="GDM1607" s="391"/>
      <c r="GDO1607" s="391"/>
      <c r="GDQ1607" s="391"/>
      <c r="GDS1607" s="391"/>
      <c r="GDU1607" s="391"/>
      <c r="GDW1607" s="391"/>
      <c r="GDY1607" s="391"/>
      <c r="GEA1607" s="391"/>
      <c r="GEC1607" s="391"/>
      <c r="GEE1607" s="391"/>
      <c r="GEG1607" s="391"/>
      <c r="GEI1607" s="391"/>
      <c r="GEK1607" s="391"/>
      <c r="GEM1607" s="391"/>
      <c r="GEO1607" s="391"/>
      <c r="GEQ1607" s="391"/>
      <c r="GES1607" s="391"/>
      <c r="GEU1607" s="391"/>
      <c r="GEW1607" s="391"/>
      <c r="GEY1607" s="391"/>
      <c r="GFA1607" s="391"/>
      <c r="GFC1607" s="391"/>
      <c r="GFE1607" s="391"/>
      <c r="GFG1607" s="391"/>
      <c r="GFI1607" s="391"/>
      <c r="GFK1607" s="391"/>
      <c r="GFM1607" s="391"/>
      <c r="GFO1607" s="391"/>
      <c r="GFQ1607" s="391"/>
      <c r="GFS1607" s="391"/>
      <c r="GFU1607" s="391"/>
      <c r="GFW1607" s="391"/>
      <c r="GFY1607" s="391"/>
      <c r="GGA1607" s="391"/>
      <c r="GGC1607" s="391"/>
      <c r="GGE1607" s="391"/>
      <c r="GGG1607" s="391"/>
      <c r="GGI1607" s="391"/>
      <c r="GGK1607" s="391"/>
      <c r="GGM1607" s="391"/>
      <c r="GGO1607" s="391"/>
      <c r="GGQ1607" s="391"/>
      <c r="GGS1607" s="391"/>
      <c r="GGU1607" s="391"/>
      <c r="GGW1607" s="391"/>
      <c r="GGY1607" s="391"/>
      <c r="GHA1607" s="391"/>
      <c r="GHC1607" s="391"/>
      <c r="GHE1607" s="391"/>
      <c r="GHG1607" s="391"/>
      <c r="GHI1607" s="391"/>
      <c r="GHK1607" s="391"/>
      <c r="GHM1607" s="391"/>
      <c r="GHO1607" s="391"/>
      <c r="GHQ1607" s="391"/>
      <c r="GHS1607" s="391"/>
      <c r="GHU1607" s="391"/>
      <c r="GHW1607" s="391"/>
      <c r="GHY1607" s="391"/>
      <c r="GIA1607" s="391"/>
      <c r="GIC1607" s="391"/>
      <c r="GIE1607" s="391"/>
      <c r="GIG1607" s="391"/>
      <c r="GII1607" s="391"/>
      <c r="GIK1607" s="391"/>
      <c r="GIM1607" s="391"/>
      <c r="GIO1607" s="391"/>
      <c r="GIQ1607" s="391"/>
      <c r="GIS1607" s="391"/>
      <c r="GIU1607" s="391"/>
      <c r="GIW1607" s="391"/>
      <c r="GIY1607" s="391"/>
      <c r="GJA1607" s="391"/>
      <c r="GJC1607" s="391"/>
      <c r="GJE1607" s="391"/>
      <c r="GJG1607" s="391"/>
      <c r="GJI1607" s="391"/>
      <c r="GJK1607" s="391"/>
      <c r="GJM1607" s="391"/>
      <c r="GJO1607" s="391"/>
      <c r="GJQ1607" s="391"/>
      <c r="GJS1607" s="391"/>
      <c r="GJU1607" s="391"/>
      <c r="GJW1607" s="391"/>
      <c r="GJY1607" s="391"/>
      <c r="GKA1607" s="391"/>
      <c r="GKC1607" s="391"/>
      <c r="GKE1607" s="391"/>
      <c r="GKG1607" s="391"/>
      <c r="GKI1607" s="391"/>
      <c r="GKK1607" s="391"/>
      <c r="GKM1607" s="391"/>
      <c r="GKO1607" s="391"/>
      <c r="GKQ1607" s="391"/>
      <c r="GKS1607" s="391"/>
      <c r="GKU1607" s="391"/>
      <c r="GKW1607" s="391"/>
      <c r="GKY1607" s="391"/>
      <c r="GLA1607" s="391"/>
      <c r="GLC1607" s="391"/>
      <c r="GLE1607" s="391"/>
      <c r="GLG1607" s="391"/>
      <c r="GLI1607" s="391"/>
      <c r="GLK1607" s="391"/>
      <c r="GLM1607" s="391"/>
      <c r="GLO1607" s="391"/>
      <c r="GLQ1607" s="391"/>
      <c r="GLS1607" s="391"/>
      <c r="GLU1607" s="391"/>
      <c r="GLW1607" s="391"/>
      <c r="GLY1607" s="391"/>
      <c r="GMA1607" s="391"/>
      <c r="GMC1607" s="391"/>
      <c r="GME1607" s="391"/>
      <c r="GMG1607" s="391"/>
      <c r="GMI1607" s="391"/>
      <c r="GMK1607" s="391"/>
      <c r="GMM1607" s="391"/>
      <c r="GMO1607" s="391"/>
      <c r="GMQ1607" s="391"/>
      <c r="GMS1607" s="391"/>
      <c r="GMU1607" s="391"/>
      <c r="GMW1607" s="391"/>
      <c r="GMY1607" s="391"/>
      <c r="GNA1607" s="391"/>
      <c r="GNC1607" s="391"/>
      <c r="GNE1607" s="391"/>
      <c r="GNG1607" s="391"/>
      <c r="GNI1607" s="391"/>
      <c r="GNK1607" s="391"/>
      <c r="GNM1607" s="391"/>
      <c r="GNO1607" s="391"/>
      <c r="GNQ1607" s="391"/>
      <c r="GNS1607" s="391"/>
      <c r="GNU1607" s="391"/>
      <c r="GNW1607" s="391"/>
      <c r="GNY1607" s="391"/>
      <c r="GOA1607" s="391"/>
      <c r="GOC1607" s="391"/>
      <c r="GOE1607" s="391"/>
      <c r="GOG1607" s="391"/>
      <c r="GOI1607" s="391"/>
      <c r="GOK1607" s="391"/>
      <c r="GOM1607" s="391"/>
      <c r="GOO1607" s="391"/>
      <c r="GOQ1607" s="391"/>
      <c r="GOS1607" s="391"/>
      <c r="GOU1607" s="391"/>
      <c r="GOW1607" s="391"/>
      <c r="GOY1607" s="391"/>
      <c r="GPA1607" s="391"/>
      <c r="GPC1607" s="391"/>
      <c r="GPE1607" s="391"/>
      <c r="GPG1607" s="391"/>
      <c r="GPI1607" s="391"/>
      <c r="GPK1607" s="391"/>
      <c r="GPM1607" s="391"/>
      <c r="GPO1607" s="391"/>
      <c r="GPQ1607" s="391"/>
      <c r="GPS1607" s="391"/>
      <c r="GPU1607" s="391"/>
      <c r="GPW1607" s="391"/>
      <c r="GPY1607" s="391"/>
      <c r="GQA1607" s="391"/>
      <c r="GQC1607" s="391"/>
      <c r="GQE1607" s="391"/>
      <c r="GQG1607" s="391"/>
      <c r="GQI1607" s="391"/>
      <c r="GQK1607" s="391"/>
      <c r="GQM1607" s="391"/>
      <c r="GQO1607" s="391"/>
      <c r="GQQ1607" s="391"/>
      <c r="GQS1607" s="391"/>
      <c r="GQU1607" s="391"/>
      <c r="GQW1607" s="391"/>
      <c r="GQY1607" s="391"/>
      <c r="GRA1607" s="391"/>
      <c r="GRC1607" s="391"/>
      <c r="GRE1607" s="391"/>
      <c r="GRG1607" s="391"/>
      <c r="GRI1607" s="391"/>
      <c r="GRK1607" s="391"/>
      <c r="GRM1607" s="391"/>
      <c r="GRO1607" s="391"/>
      <c r="GRQ1607" s="391"/>
      <c r="GRS1607" s="391"/>
      <c r="GRU1607" s="391"/>
      <c r="GRW1607" s="391"/>
      <c r="GRY1607" s="391"/>
      <c r="GSA1607" s="391"/>
      <c r="GSC1607" s="391"/>
      <c r="GSE1607" s="391"/>
      <c r="GSG1607" s="391"/>
      <c r="GSI1607" s="391"/>
      <c r="GSK1607" s="391"/>
      <c r="GSM1607" s="391"/>
      <c r="GSO1607" s="391"/>
      <c r="GSQ1607" s="391"/>
      <c r="GSS1607" s="391"/>
      <c r="GSU1607" s="391"/>
      <c r="GSW1607" s="391"/>
      <c r="GSY1607" s="391"/>
      <c r="GTA1607" s="391"/>
      <c r="GTC1607" s="391"/>
      <c r="GTE1607" s="391"/>
      <c r="GTG1607" s="391"/>
      <c r="GTI1607" s="391"/>
      <c r="GTK1607" s="391"/>
      <c r="GTM1607" s="391"/>
      <c r="GTO1607" s="391"/>
      <c r="GTQ1607" s="391"/>
      <c r="GTS1607" s="391"/>
      <c r="GTU1607" s="391"/>
      <c r="GTW1607" s="391"/>
      <c r="GTY1607" s="391"/>
      <c r="GUA1607" s="391"/>
      <c r="GUC1607" s="391"/>
      <c r="GUE1607" s="391"/>
      <c r="GUG1607" s="391"/>
      <c r="GUI1607" s="391"/>
      <c r="GUK1607" s="391"/>
      <c r="GUM1607" s="391"/>
      <c r="GUO1607" s="391"/>
      <c r="GUQ1607" s="391"/>
      <c r="GUS1607" s="391"/>
      <c r="GUU1607" s="391"/>
      <c r="GUW1607" s="391"/>
      <c r="GUY1607" s="391"/>
      <c r="GVA1607" s="391"/>
      <c r="GVC1607" s="391"/>
      <c r="GVE1607" s="391"/>
      <c r="GVG1607" s="391"/>
      <c r="GVI1607" s="391"/>
      <c r="GVK1607" s="391"/>
      <c r="GVM1607" s="391"/>
      <c r="GVO1607" s="391"/>
      <c r="GVQ1607" s="391"/>
      <c r="GVS1607" s="391"/>
      <c r="GVU1607" s="391"/>
      <c r="GVW1607" s="391"/>
      <c r="GVY1607" s="391"/>
      <c r="GWA1607" s="391"/>
      <c r="GWC1607" s="391"/>
      <c r="GWE1607" s="391"/>
      <c r="GWG1607" s="391"/>
      <c r="GWI1607" s="391"/>
      <c r="GWK1607" s="391"/>
      <c r="GWM1607" s="391"/>
      <c r="GWO1607" s="391"/>
      <c r="GWQ1607" s="391"/>
      <c r="GWS1607" s="391"/>
      <c r="GWU1607" s="391"/>
      <c r="GWW1607" s="391"/>
      <c r="GWY1607" s="391"/>
      <c r="GXA1607" s="391"/>
      <c r="GXC1607" s="391"/>
      <c r="GXE1607" s="391"/>
      <c r="GXG1607" s="391"/>
      <c r="GXI1607" s="391"/>
      <c r="GXK1607" s="391"/>
      <c r="GXM1607" s="391"/>
      <c r="GXO1607" s="391"/>
      <c r="GXQ1607" s="391"/>
      <c r="GXS1607" s="391"/>
      <c r="GXU1607" s="391"/>
      <c r="GXW1607" s="391"/>
      <c r="GXY1607" s="391"/>
      <c r="GYA1607" s="391"/>
      <c r="GYC1607" s="391"/>
      <c r="GYE1607" s="391"/>
      <c r="GYG1607" s="391"/>
      <c r="GYI1607" s="391"/>
      <c r="GYK1607" s="391"/>
      <c r="GYM1607" s="391"/>
      <c r="GYO1607" s="391"/>
      <c r="GYQ1607" s="391"/>
      <c r="GYS1607" s="391"/>
      <c r="GYU1607" s="391"/>
      <c r="GYW1607" s="391"/>
      <c r="GYY1607" s="391"/>
      <c r="GZA1607" s="391"/>
      <c r="GZC1607" s="391"/>
      <c r="GZE1607" s="391"/>
      <c r="GZG1607" s="391"/>
      <c r="GZI1607" s="391"/>
      <c r="GZK1607" s="391"/>
      <c r="GZM1607" s="391"/>
      <c r="GZO1607" s="391"/>
      <c r="GZQ1607" s="391"/>
      <c r="GZS1607" s="391"/>
      <c r="GZU1607" s="391"/>
      <c r="GZW1607" s="391"/>
      <c r="GZY1607" s="391"/>
      <c r="HAA1607" s="391"/>
      <c r="HAC1607" s="391"/>
      <c r="HAE1607" s="391"/>
      <c r="HAG1607" s="391"/>
      <c r="HAI1607" s="391"/>
      <c r="HAK1607" s="391"/>
      <c r="HAM1607" s="391"/>
      <c r="HAO1607" s="391"/>
      <c r="HAQ1607" s="391"/>
      <c r="HAS1607" s="391"/>
      <c r="HAU1607" s="391"/>
      <c r="HAW1607" s="391"/>
      <c r="HAY1607" s="391"/>
      <c r="HBA1607" s="391"/>
      <c r="HBC1607" s="391"/>
      <c r="HBE1607" s="391"/>
      <c r="HBG1607" s="391"/>
      <c r="HBI1607" s="391"/>
      <c r="HBK1607" s="391"/>
      <c r="HBM1607" s="391"/>
      <c r="HBO1607" s="391"/>
      <c r="HBQ1607" s="391"/>
      <c r="HBS1607" s="391"/>
      <c r="HBU1607" s="391"/>
      <c r="HBW1607" s="391"/>
      <c r="HBY1607" s="391"/>
      <c r="HCA1607" s="391"/>
      <c r="HCC1607" s="391"/>
      <c r="HCE1607" s="391"/>
      <c r="HCG1607" s="391"/>
      <c r="HCI1607" s="391"/>
      <c r="HCK1607" s="391"/>
      <c r="HCM1607" s="391"/>
      <c r="HCO1607" s="391"/>
      <c r="HCQ1607" s="391"/>
      <c r="HCS1607" s="391"/>
      <c r="HCU1607" s="391"/>
      <c r="HCW1607" s="391"/>
      <c r="HCY1607" s="391"/>
      <c r="HDA1607" s="391"/>
      <c r="HDC1607" s="391"/>
      <c r="HDE1607" s="391"/>
      <c r="HDG1607" s="391"/>
      <c r="HDI1607" s="391"/>
      <c r="HDK1607" s="391"/>
      <c r="HDM1607" s="391"/>
      <c r="HDO1607" s="391"/>
      <c r="HDQ1607" s="391"/>
      <c r="HDS1607" s="391"/>
      <c r="HDU1607" s="391"/>
      <c r="HDW1607" s="391"/>
      <c r="HDY1607" s="391"/>
      <c r="HEA1607" s="391"/>
      <c r="HEC1607" s="391"/>
      <c r="HEE1607" s="391"/>
      <c r="HEG1607" s="391"/>
      <c r="HEI1607" s="391"/>
      <c r="HEK1607" s="391"/>
      <c r="HEM1607" s="391"/>
      <c r="HEO1607" s="391"/>
      <c r="HEQ1607" s="391"/>
      <c r="HES1607" s="391"/>
      <c r="HEU1607" s="391"/>
      <c r="HEW1607" s="391"/>
      <c r="HEY1607" s="391"/>
      <c r="HFA1607" s="391"/>
      <c r="HFC1607" s="391"/>
      <c r="HFE1607" s="391"/>
      <c r="HFG1607" s="391"/>
      <c r="HFI1607" s="391"/>
      <c r="HFK1607" s="391"/>
      <c r="HFM1607" s="391"/>
      <c r="HFO1607" s="391"/>
      <c r="HFQ1607" s="391"/>
      <c r="HFS1607" s="391"/>
      <c r="HFU1607" s="391"/>
      <c r="HFW1607" s="391"/>
      <c r="HFY1607" s="391"/>
      <c r="HGA1607" s="391"/>
      <c r="HGC1607" s="391"/>
      <c r="HGE1607" s="391"/>
      <c r="HGG1607" s="391"/>
      <c r="HGI1607" s="391"/>
      <c r="HGK1607" s="391"/>
      <c r="HGM1607" s="391"/>
      <c r="HGO1607" s="391"/>
      <c r="HGQ1607" s="391"/>
      <c r="HGS1607" s="391"/>
      <c r="HGU1607" s="391"/>
      <c r="HGW1607" s="391"/>
      <c r="HGY1607" s="391"/>
      <c r="HHA1607" s="391"/>
      <c r="HHC1607" s="391"/>
      <c r="HHE1607" s="391"/>
      <c r="HHG1607" s="391"/>
      <c r="HHI1607" s="391"/>
      <c r="HHK1607" s="391"/>
      <c r="HHM1607" s="391"/>
      <c r="HHO1607" s="391"/>
      <c r="HHQ1607" s="391"/>
      <c r="HHS1607" s="391"/>
      <c r="HHU1607" s="391"/>
      <c r="HHW1607" s="391"/>
      <c r="HHY1607" s="391"/>
      <c r="HIA1607" s="391"/>
      <c r="HIC1607" s="391"/>
      <c r="HIE1607" s="391"/>
      <c r="HIG1607" s="391"/>
      <c r="HII1607" s="391"/>
      <c r="HIK1607" s="391"/>
      <c r="HIM1607" s="391"/>
      <c r="HIO1607" s="391"/>
      <c r="HIQ1607" s="391"/>
      <c r="HIS1607" s="391"/>
      <c r="HIU1607" s="391"/>
      <c r="HIW1607" s="391"/>
      <c r="HIY1607" s="391"/>
      <c r="HJA1607" s="391"/>
      <c r="HJC1607" s="391"/>
      <c r="HJE1607" s="391"/>
      <c r="HJG1607" s="391"/>
      <c r="HJI1607" s="391"/>
      <c r="HJK1607" s="391"/>
      <c r="HJM1607" s="391"/>
      <c r="HJO1607" s="391"/>
      <c r="HJQ1607" s="391"/>
      <c r="HJS1607" s="391"/>
      <c r="HJU1607" s="391"/>
      <c r="HJW1607" s="391"/>
      <c r="HJY1607" s="391"/>
      <c r="HKA1607" s="391"/>
      <c r="HKC1607" s="391"/>
      <c r="HKE1607" s="391"/>
      <c r="HKG1607" s="391"/>
      <c r="HKI1607" s="391"/>
      <c r="HKK1607" s="391"/>
      <c r="HKM1607" s="391"/>
      <c r="HKO1607" s="391"/>
      <c r="HKQ1607" s="391"/>
      <c r="HKS1607" s="391"/>
      <c r="HKU1607" s="391"/>
      <c r="HKW1607" s="391"/>
      <c r="HKY1607" s="391"/>
      <c r="HLA1607" s="391"/>
      <c r="HLC1607" s="391"/>
      <c r="HLE1607" s="391"/>
      <c r="HLG1607" s="391"/>
      <c r="HLI1607" s="391"/>
      <c r="HLK1607" s="391"/>
      <c r="HLM1607" s="391"/>
      <c r="HLO1607" s="391"/>
      <c r="HLQ1607" s="391"/>
      <c r="HLS1607" s="391"/>
      <c r="HLU1607" s="391"/>
      <c r="HLW1607" s="391"/>
      <c r="HLY1607" s="391"/>
      <c r="HMA1607" s="391"/>
      <c r="HMC1607" s="391"/>
      <c r="HME1607" s="391"/>
      <c r="HMG1607" s="391"/>
      <c r="HMI1607" s="391"/>
      <c r="HMK1607" s="391"/>
      <c r="HMM1607" s="391"/>
      <c r="HMO1607" s="391"/>
      <c r="HMQ1607" s="391"/>
      <c r="HMS1607" s="391"/>
      <c r="HMU1607" s="391"/>
      <c r="HMW1607" s="391"/>
      <c r="HMY1607" s="391"/>
      <c r="HNA1607" s="391"/>
      <c r="HNC1607" s="391"/>
      <c r="HNE1607" s="391"/>
      <c r="HNG1607" s="391"/>
      <c r="HNI1607" s="391"/>
      <c r="HNK1607" s="391"/>
      <c r="HNM1607" s="391"/>
      <c r="HNO1607" s="391"/>
      <c r="HNQ1607" s="391"/>
      <c r="HNS1607" s="391"/>
      <c r="HNU1607" s="391"/>
      <c r="HNW1607" s="391"/>
      <c r="HNY1607" s="391"/>
      <c r="HOA1607" s="391"/>
      <c r="HOC1607" s="391"/>
      <c r="HOE1607" s="391"/>
      <c r="HOG1607" s="391"/>
      <c r="HOI1607" s="391"/>
      <c r="HOK1607" s="391"/>
      <c r="HOM1607" s="391"/>
      <c r="HOO1607" s="391"/>
      <c r="HOQ1607" s="391"/>
      <c r="HOS1607" s="391"/>
      <c r="HOU1607" s="391"/>
      <c r="HOW1607" s="391"/>
      <c r="HOY1607" s="391"/>
      <c r="HPA1607" s="391"/>
      <c r="HPC1607" s="391"/>
      <c r="HPE1607" s="391"/>
      <c r="HPG1607" s="391"/>
      <c r="HPI1607" s="391"/>
      <c r="HPK1607" s="391"/>
      <c r="HPM1607" s="391"/>
      <c r="HPO1607" s="391"/>
      <c r="HPQ1607" s="391"/>
      <c r="HPS1607" s="391"/>
      <c r="HPU1607" s="391"/>
      <c r="HPW1607" s="391"/>
      <c r="HPY1607" s="391"/>
      <c r="HQA1607" s="391"/>
      <c r="HQC1607" s="391"/>
      <c r="HQE1607" s="391"/>
      <c r="HQG1607" s="391"/>
      <c r="HQI1607" s="391"/>
      <c r="HQK1607" s="391"/>
      <c r="HQM1607" s="391"/>
      <c r="HQO1607" s="391"/>
      <c r="HQQ1607" s="391"/>
      <c r="HQS1607" s="391"/>
      <c r="HQU1607" s="391"/>
      <c r="HQW1607" s="391"/>
      <c r="HQY1607" s="391"/>
      <c r="HRA1607" s="391"/>
      <c r="HRC1607" s="391"/>
      <c r="HRE1607" s="391"/>
      <c r="HRG1607" s="391"/>
      <c r="HRI1607" s="391"/>
      <c r="HRK1607" s="391"/>
      <c r="HRM1607" s="391"/>
      <c r="HRO1607" s="391"/>
      <c r="HRQ1607" s="391"/>
      <c r="HRS1607" s="391"/>
      <c r="HRU1607" s="391"/>
      <c r="HRW1607" s="391"/>
      <c r="HRY1607" s="391"/>
      <c r="HSA1607" s="391"/>
      <c r="HSC1607" s="391"/>
      <c r="HSE1607" s="391"/>
      <c r="HSG1607" s="391"/>
      <c r="HSI1607" s="391"/>
      <c r="HSK1607" s="391"/>
      <c r="HSM1607" s="391"/>
      <c r="HSO1607" s="391"/>
      <c r="HSQ1607" s="391"/>
      <c r="HSS1607" s="391"/>
      <c r="HSU1607" s="391"/>
      <c r="HSW1607" s="391"/>
      <c r="HSY1607" s="391"/>
      <c r="HTA1607" s="391"/>
      <c r="HTC1607" s="391"/>
      <c r="HTE1607" s="391"/>
      <c r="HTG1607" s="391"/>
      <c r="HTI1607" s="391"/>
      <c r="HTK1607" s="391"/>
      <c r="HTM1607" s="391"/>
      <c r="HTO1607" s="391"/>
      <c r="HTQ1607" s="391"/>
      <c r="HTS1607" s="391"/>
      <c r="HTU1607" s="391"/>
      <c r="HTW1607" s="391"/>
      <c r="HTY1607" s="391"/>
      <c r="HUA1607" s="391"/>
      <c r="HUC1607" s="391"/>
      <c r="HUE1607" s="391"/>
      <c r="HUG1607" s="391"/>
      <c r="HUI1607" s="391"/>
      <c r="HUK1607" s="391"/>
      <c r="HUM1607" s="391"/>
      <c r="HUO1607" s="391"/>
      <c r="HUQ1607" s="391"/>
      <c r="HUS1607" s="391"/>
      <c r="HUU1607" s="391"/>
      <c r="HUW1607" s="391"/>
      <c r="HUY1607" s="391"/>
      <c r="HVA1607" s="391"/>
      <c r="HVC1607" s="391"/>
      <c r="HVE1607" s="391"/>
      <c r="HVG1607" s="391"/>
      <c r="HVI1607" s="391"/>
      <c r="HVK1607" s="391"/>
      <c r="HVM1607" s="391"/>
      <c r="HVO1607" s="391"/>
      <c r="HVQ1607" s="391"/>
      <c r="HVS1607" s="391"/>
      <c r="HVU1607" s="391"/>
      <c r="HVW1607" s="391"/>
      <c r="HVY1607" s="391"/>
      <c r="HWA1607" s="391"/>
      <c r="HWC1607" s="391"/>
      <c r="HWE1607" s="391"/>
      <c r="HWG1607" s="391"/>
      <c r="HWI1607" s="391"/>
      <c r="HWK1607" s="391"/>
      <c r="HWM1607" s="391"/>
      <c r="HWO1607" s="391"/>
      <c r="HWQ1607" s="391"/>
      <c r="HWS1607" s="391"/>
      <c r="HWU1607" s="391"/>
      <c r="HWW1607" s="391"/>
      <c r="HWY1607" s="391"/>
      <c r="HXA1607" s="391"/>
      <c r="HXC1607" s="391"/>
      <c r="HXE1607" s="391"/>
      <c r="HXG1607" s="391"/>
      <c r="HXI1607" s="391"/>
      <c r="HXK1607" s="391"/>
      <c r="HXM1607" s="391"/>
      <c r="HXO1607" s="391"/>
      <c r="HXQ1607" s="391"/>
      <c r="HXS1607" s="391"/>
      <c r="HXU1607" s="391"/>
      <c r="HXW1607" s="391"/>
      <c r="HXY1607" s="391"/>
      <c r="HYA1607" s="391"/>
      <c r="HYC1607" s="391"/>
      <c r="HYE1607" s="391"/>
      <c r="HYG1607" s="391"/>
      <c r="HYI1607" s="391"/>
      <c r="HYK1607" s="391"/>
      <c r="HYM1607" s="391"/>
      <c r="HYO1607" s="391"/>
      <c r="HYQ1607" s="391"/>
      <c r="HYS1607" s="391"/>
      <c r="HYU1607" s="391"/>
      <c r="HYW1607" s="391"/>
      <c r="HYY1607" s="391"/>
      <c r="HZA1607" s="391"/>
      <c r="HZC1607" s="391"/>
      <c r="HZE1607" s="391"/>
      <c r="HZG1607" s="391"/>
      <c r="HZI1607" s="391"/>
      <c r="HZK1607" s="391"/>
      <c r="HZM1607" s="391"/>
      <c r="HZO1607" s="391"/>
      <c r="HZQ1607" s="391"/>
      <c r="HZS1607" s="391"/>
      <c r="HZU1607" s="391"/>
      <c r="HZW1607" s="391"/>
      <c r="HZY1607" s="391"/>
      <c r="IAA1607" s="391"/>
      <c r="IAC1607" s="391"/>
      <c r="IAE1607" s="391"/>
      <c r="IAG1607" s="391"/>
      <c r="IAI1607" s="391"/>
      <c r="IAK1607" s="391"/>
      <c r="IAM1607" s="391"/>
      <c r="IAO1607" s="391"/>
      <c r="IAQ1607" s="391"/>
      <c r="IAS1607" s="391"/>
      <c r="IAU1607" s="391"/>
      <c r="IAW1607" s="391"/>
      <c r="IAY1607" s="391"/>
      <c r="IBA1607" s="391"/>
      <c r="IBC1607" s="391"/>
      <c r="IBE1607" s="391"/>
      <c r="IBG1607" s="391"/>
      <c r="IBI1607" s="391"/>
      <c r="IBK1607" s="391"/>
      <c r="IBM1607" s="391"/>
      <c r="IBO1607" s="391"/>
      <c r="IBQ1607" s="391"/>
      <c r="IBS1607" s="391"/>
      <c r="IBU1607" s="391"/>
      <c r="IBW1607" s="391"/>
      <c r="IBY1607" s="391"/>
      <c r="ICA1607" s="391"/>
      <c r="ICC1607" s="391"/>
      <c r="ICE1607" s="391"/>
      <c r="ICG1607" s="391"/>
      <c r="ICI1607" s="391"/>
      <c r="ICK1607" s="391"/>
      <c r="ICM1607" s="391"/>
      <c r="ICO1607" s="391"/>
      <c r="ICQ1607" s="391"/>
      <c r="ICS1607" s="391"/>
      <c r="ICU1607" s="391"/>
      <c r="ICW1607" s="391"/>
      <c r="ICY1607" s="391"/>
      <c r="IDA1607" s="391"/>
      <c r="IDC1607" s="391"/>
      <c r="IDE1607" s="391"/>
      <c r="IDG1607" s="391"/>
      <c r="IDI1607" s="391"/>
      <c r="IDK1607" s="391"/>
      <c r="IDM1607" s="391"/>
      <c r="IDO1607" s="391"/>
      <c r="IDQ1607" s="391"/>
      <c r="IDS1607" s="391"/>
      <c r="IDU1607" s="391"/>
      <c r="IDW1607" s="391"/>
      <c r="IDY1607" s="391"/>
      <c r="IEA1607" s="391"/>
      <c r="IEC1607" s="391"/>
      <c r="IEE1607" s="391"/>
      <c r="IEG1607" s="391"/>
      <c r="IEI1607" s="391"/>
      <c r="IEK1607" s="391"/>
      <c r="IEM1607" s="391"/>
      <c r="IEO1607" s="391"/>
      <c r="IEQ1607" s="391"/>
      <c r="IES1607" s="391"/>
      <c r="IEU1607" s="391"/>
      <c r="IEW1607" s="391"/>
      <c r="IEY1607" s="391"/>
      <c r="IFA1607" s="391"/>
      <c r="IFC1607" s="391"/>
      <c r="IFE1607" s="391"/>
      <c r="IFG1607" s="391"/>
      <c r="IFI1607" s="391"/>
      <c r="IFK1607" s="391"/>
      <c r="IFM1607" s="391"/>
      <c r="IFO1607" s="391"/>
      <c r="IFQ1607" s="391"/>
      <c r="IFS1607" s="391"/>
      <c r="IFU1607" s="391"/>
      <c r="IFW1607" s="391"/>
      <c r="IFY1607" s="391"/>
      <c r="IGA1607" s="391"/>
      <c r="IGC1607" s="391"/>
      <c r="IGE1607" s="391"/>
      <c r="IGG1607" s="391"/>
      <c r="IGI1607" s="391"/>
      <c r="IGK1607" s="391"/>
      <c r="IGM1607" s="391"/>
      <c r="IGO1607" s="391"/>
      <c r="IGQ1607" s="391"/>
      <c r="IGS1607" s="391"/>
      <c r="IGU1607" s="391"/>
      <c r="IGW1607" s="391"/>
      <c r="IGY1607" s="391"/>
      <c r="IHA1607" s="391"/>
      <c r="IHC1607" s="391"/>
      <c r="IHE1607" s="391"/>
      <c r="IHG1607" s="391"/>
      <c r="IHI1607" s="391"/>
      <c r="IHK1607" s="391"/>
      <c r="IHM1607" s="391"/>
      <c r="IHO1607" s="391"/>
      <c r="IHQ1607" s="391"/>
      <c r="IHS1607" s="391"/>
      <c r="IHU1607" s="391"/>
      <c r="IHW1607" s="391"/>
      <c r="IHY1607" s="391"/>
      <c r="IIA1607" s="391"/>
      <c r="IIC1607" s="391"/>
      <c r="IIE1607" s="391"/>
      <c r="IIG1607" s="391"/>
      <c r="III1607" s="391"/>
      <c r="IIK1607" s="391"/>
      <c r="IIM1607" s="391"/>
      <c r="IIO1607" s="391"/>
      <c r="IIQ1607" s="391"/>
      <c r="IIS1607" s="391"/>
      <c r="IIU1607" s="391"/>
      <c r="IIW1607" s="391"/>
      <c r="IIY1607" s="391"/>
      <c r="IJA1607" s="391"/>
      <c r="IJC1607" s="391"/>
      <c r="IJE1607" s="391"/>
      <c r="IJG1607" s="391"/>
      <c r="IJI1607" s="391"/>
      <c r="IJK1607" s="391"/>
      <c r="IJM1607" s="391"/>
      <c r="IJO1607" s="391"/>
      <c r="IJQ1607" s="391"/>
      <c r="IJS1607" s="391"/>
      <c r="IJU1607" s="391"/>
      <c r="IJW1607" s="391"/>
      <c r="IJY1607" s="391"/>
      <c r="IKA1607" s="391"/>
      <c r="IKC1607" s="391"/>
      <c r="IKE1607" s="391"/>
      <c r="IKG1607" s="391"/>
      <c r="IKI1607" s="391"/>
      <c r="IKK1607" s="391"/>
      <c r="IKM1607" s="391"/>
      <c r="IKO1607" s="391"/>
      <c r="IKQ1607" s="391"/>
      <c r="IKS1607" s="391"/>
      <c r="IKU1607" s="391"/>
      <c r="IKW1607" s="391"/>
      <c r="IKY1607" s="391"/>
      <c r="ILA1607" s="391"/>
      <c r="ILC1607" s="391"/>
      <c r="ILE1607" s="391"/>
      <c r="ILG1607" s="391"/>
      <c r="ILI1607" s="391"/>
      <c r="ILK1607" s="391"/>
      <c r="ILM1607" s="391"/>
      <c r="ILO1607" s="391"/>
      <c r="ILQ1607" s="391"/>
      <c r="ILS1607" s="391"/>
      <c r="ILU1607" s="391"/>
      <c r="ILW1607" s="391"/>
      <c r="ILY1607" s="391"/>
      <c r="IMA1607" s="391"/>
      <c r="IMC1607" s="391"/>
      <c r="IME1607" s="391"/>
      <c r="IMG1607" s="391"/>
      <c r="IMI1607" s="391"/>
      <c r="IMK1607" s="391"/>
      <c r="IMM1607" s="391"/>
      <c r="IMO1607" s="391"/>
      <c r="IMQ1607" s="391"/>
      <c r="IMS1607" s="391"/>
      <c r="IMU1607" s="391"/>
      <c r="IMW1607" s="391"/>
      <c r="IMY1607" s="391"/>
      <c r="INA1607" s="391"/>
      <c r="INC1607" s="391"/>
      <c r="INE1607" s="391"/>
      <c r="ING1607" s="391"/>
      <c r="INI1607" s="391"/>
      <c r="INK1607" s="391"/>
      <c r="INM1607" s="391"/>
      <c r="INO1607" s="391"/>
      <c r="INQ1607" s="391"/>
      <c r="INS1607" s="391"/>
      <c r="INU1607" s="391"/>
      <c r="INW1607" s="391"/>
      <c r="INY1607" s="391"/>
      <c r="IOA1607" s="391"/>
      <c r="IOC1607" s="391"/>
      <c r="IOE1607" s="391"/>
      <c r="IOG1607" s="391"/>
      <c r="IOI1607" s="391"/>
      <c r="IOK1607" s="391"/>
      <c r="IOM1607" s="391"/>
      <c r="IOO1607" s="391"/>
      <c r="IOQ1607" s="391"/>
      <c r="IOS1607" s="391"/>
      <c r="IOU1607" s="391"/>
      <c r="IOW1607" s="391"/>
      <c r="IOY1607" s="391"/>
      <c r="IPA1607" s="391"/>
      <c r="IPC1607" s="391"/>
      <c r="IPE1607" s="391"/>
      <c r="IPG1607" s="391"/>
      <c r="IPI1607" s="391"/>
      <c r="IPK1607" s="391"/>
      <c r="IPM1607" s="391"/>
      <c r="IPO1607" s="391"/>
      <c r="IPQ1607" s="391"/>
      <c r="IPS1607" s="391"/>
      <c r="IPU1607" s="391"/>
      <c r="IPW1607" s="391"/>
      <c r="IPY1607" s="391"/>
      <c r="IQA1607" s="391"/>
      <c r="IQC1607" s="391"/>
      <c r="IQE1607" s="391"/>
      <c r="IQG1607" s="391"/>
      <c r="IQI1607" s="391"/>
      <c r="IQK1607" s="391"/>
      <c r="IQM1607" s="391"/>
      <c r="IQO1607" s="391"/>
      <c r="IQQ1607" s="391"/>
      <c r="IQS1607" s="391"/>
      <c r="IQU1607" s="391"/>
      <c r="IQW1607" s="391"/>
      <c r="IQY1607" s="391"/>
      <c r="IRA1607" s="391"/>
      <c r="IRC1607" s="391"/>
      <c r="IRE1607" s="391"/>
      <c r="IRG1607" s="391"/>
      <c r="IRI1607" s="391"/>
      <c r="IRK1607" s="391"/>
      <c r="IRM1607" s="391"/>
      <c r="IRO1607" s="391"/>
      <c r="IRQ1607" s="391"/>
      <c r="IRS1607" s="391"/>
      <c r="IRU1607" s="391"/>
      <c r="IRW1607" s="391"/>
      <c r="IRY1607" s="391"/>
      <c r="ISA1607" s="391"/>
      <c r="ISC1607" s="391"/>
      <c r="ISE1607" s="391"/>
      <c r="ISG1607" s="391"/>
      <c r="ISI1607" s="391"/>
      <c r="ISK1607" s="391"/>
      <c r="ISM1607" s="391"/>
      <c r="ISO1607" s="391"/>
      <c r="ISQ1607" s="391"/>
      <c r="ISS1607" s="391"/>
      <c r="ISU1607" s="391"/>
      <c r="ISW1607" s="391"/>
      <c r="ISY1607" s="391"/>
      <c r="ITA1607" s="391"/>
      <c r="ITC1607" s="391"/>
      <c r="ITE1607" s="391"/>
      <c r="ITG1607" s="391"/>
      <c r="ITI1607" s="391"/>
      <c r="ITK1607" s="391"/>
      <c r="ITM1607" s="391"/>
      <c r="ITO1607" s="391"/>
      <c r="ITQ1607" s="391"/>
      <c r="ITS1607" s="391"/>
      <c r="ITU1607" s="391"/>
      <c r="ITW1607" s="391"/>
      <c r="ITY1607" s="391"/>
      <c r="IUA1607" s="391"/>
      <c r="IUC1607" s="391"/>
      <c r="IUE1607" s="391"/>
      <c r="IUG1607" s="391"/>
      <c r="IUI1607" s="391"/>
      <c r="IUK1607" s="391"/>
      <c r="IUM1607" s="391"/>
      <c r="IUO1607" s="391"/>
      <c r="IUQ1607" s="391"/>
      <c r="IUS1607" s="391"/>
      <c r="IUU1607" s="391"/>
      <c r="IUW1607" s="391"/>
      <c r="IUY1607" s="391"/>
      <c r="IVA1607" s="391"/>
      <c r="IVC1607" s="391"/>
      <c r="IVE1607" s="391"/>
      <c r="IVG1607" s="391"/>
      <c r="IVI1607" s="391"/>
      <c r="IVK1607" s="391"/>
      <c r="IVM1607" s="391"/>
      <c r="IVO1607" s="391"/>
      <c r="IVQ1607" s="391"/>
      <c r="IVS1607" s="391"/>
      <c r="IVU1607" s="391"/>
      <c r="IVW1607" s="391"/>
      <c r="IVY1607" s="391"/>
      <c r="IWA1607" s="391"/>
      <c r="IWC1607" s="391"/>
      <c r="IWE1607" s="391"/>
      <c r="IWG1607" s="391"/>
      <c r="IWI1607" s="391"/>
      <c r="IWK1607" s="391"/>
      <c r="IWM1607" s="391"/>
      <c r="IWO1607" s="391"/>
      <c r="IWQ1607" s="391"/>
      <c r="IWS1607" s="391"/>
      <c r="IWU1607" s="391"/>
      <c r="IWW1607" s="391"/>
      <c r="IWY1607" s="391"/>
      <c r="IXA1607" s="391"/>
      <c r="IXC1607" s="391"/>
      <c r="IXE1607" s="391"/>
      <c r="IXG1607" s="391"/>
      <c r="IXI1607" s="391"/>
      <c r="IXK1607" s="391"/>
      <c r="IXM1607" s="391"/>
      <c r="IXO1607" s="391"/>
      <c r="IXQ1607" s="391"/>
      <c r="IXS1607" s="391"/>
      <c r="IXU1607" s="391"/>
      <c r="IXW1607" s="391"/>
      <c r="IXY1607" s="391"/>
      <c r="IYA1607" s="391"/>
      <c r="IYC1607" s="391"/>
      <c r="IYE1607" s="391"/>
      <c r="IYG1607" s="391"/>
      <c r="IYI1607" s="391"/>
      <c r="IYK1607" s="391"/>
      <c r="IYM1607" s="391"/>
      <c r="IYO1607" s="391"/>
      <c r="IYQ1607" s="391"/>
      <c r="IYS1607" s="391"/>
      <c r="IYU1607" s="391"/>
      <c r="IYW1607" s="391"/>
      <c r="IYY1607" s="391"/>
      <c r="IZA1607" s="391"/>
      <c r="IZC1607" s="391"/>
      <c r="IZE1607" s="391"/>
      <c r="IZG1607" s="391"/>
      <c r="IZI1607" s="391"/>
      <c r="IZK1607" s="391"/>
      <c r="IZM1607" s="391"/>
      <c r="IZO1607" s="391"/>
      <c r="IZQ1607" s="391"/>
      <c r="IZS1607" s="391"/>
      <c r="IZU1607" s="391"/>
      <c r="IZW1607" s="391"/>
      <c r="IZY1607" s="391"/>
      <c r="JAA1607" s="391"/>
      <c r="JAC1607" s="391"/>
      <c r="JAE1607" s="391"/>
      <c r="JAG1607" s="391"/>
      <c r="JAI1607" s="391"/>
      <c r="JAK1607" s="391"/>
      <c r="JAM1607" s="391"/>
      <c r="JAO1607" s="391"/>
      <c r="JAQ1607" s="391"/>
      <c r="JAS1607" s="391"/>
      <c r="JAU1607" s="391"/>
      <c r="JAW1607" s="391"/>
      <c r="JAY1607" s="391"/>
      <c r="JBA1607" s="391"/>
      <c r="JBC1607" s="391"/>
      <c r="JBE1607" s="391"/>
      <c r="JBG1607" s="391"/>
      <c r="JBI1607" s="391"/>
      <c r="JBK1607" s="391"/>
      <c r="JBM1607" s="391"/>
      <c r="JBO1607" s="391"/>
      <c r="JBQ1607" s="391"/>
      <c r="JBS1607" s="391"/>
      <c r="JBU1607" s="391"/>
      <c r="JBW1607" s="391"/>
      <c r="JBY1607" s="391"/>
      <c r="JCA1607" s="391"/>
      <c r="JCC1607" s="391"/>
      <c r="JCE1607" s="391"/>
      <c r="JCG1607" s="391"/>
      <c r="JCI1607" s="391"/>
      <c r="JCK1607" s="391"/>
      <c r="JCM1607" s="391"/>
      <c r="JCO1607" s="391"/>
      <c r="JCQ1607" s="391"/>
      <c r="JCS1607" s="391"/>
      <c r="JCU1607" s="391"/>
      <c r="JCW1607" s="391"/>
      <c r="JCY1607" s="391"/>
      <c r="JDA1607" s="391"/>
      <c r="JDC1607" s="391"/>
      <c r="JDE1607" s="391"/>
      <c r="JDG1607" s="391"/>
      <c r="JDI1607" s="391"/>
      <c r="JDK1607" s="391"/>
      <c r="JDM1607" s="391"/>
      <c r="JDO1607" s="391"/>
      <c r="JDQ1607" s="391"/>
      <c r="JDS1607" s="391"/>
      <c r="JDU1607" s="391"/>
      <c r="JDW1607" s="391"/>
      <c r="JDY1607" s="391"/>
      <c r="JEA1607" s="391"/>
      <c r="JEC1607" s="391"/>
      <c r="JEE1607" s="391"/>
      <c r="JEG1607" s="391"/>
      <c r="JEI1607" s="391"/>
      <c r="JEK1607" s="391"/>
      <c r="JEM1607" s="391"/>
      <c r="JEO1607" s="391"/>
      <c r="JEQ1607" s="391"/>
      <c r="JES1607" s="391"/>
      <c r="JEU1607" s="391"/>
      <c r="JEW1607" s="391"/>
      <c r="JEY1607" s="391"/>
      <c r="JFA1607" s="391"/>
      <c r="JFC1607" s="391"/>
      <c r="JFE1607" s="391"/>
      <c r="JFG1607" s="391"/>
      <c r="JFI1607" s="391"/>
      <c r="JFK1607" s="391"/>
      <c r="JFM1607" s="391"/>
      <c r="JFO1607" s="391"/>
      <c r="JFQ1607" s="391"/>
      <c r="JFS1607" s="391"/>
      <c r="JFU1607" s="391"/>
      <c r="JFW1607" s="391"/>
      <c r="JFY1607" s="391"/>
      <c r="JGA1607" s="391"/>
      <c r="JGC1607" s="391"/>
      <c r="JGE1607" s="391"/>
      <c r="JGG1607" s="391"/>
      <c r="JGI1607" s="391"/>
      <c r="JGK1607" s="391"/>
      <c r="JGM1607" s="391"/>
      <c r="JGO1607" s="391"/>
      <c r="JGQ1607" s="391"/>
      <c r="JGS1607" s="391"/>
      <c r="JGU1607" s="391"/>
      <c r="JGW1607" s="391"/>
      <c r="JGY1607" s="391"/>
      <c r="JHA1607" s="391"/>
      <c r="JHC1607" s="391"/>
      <c r="JHE1607" s="391"/>
      <c r="JHG1607" s="391"/>
      <c r="JHI1607" s="391"/>
      <c r="JHK1607" s="391"/>
      <c r="JHM1607" s="391"/>
      <c r="JHO1607" s="391"/>
      <c r="JHQ1607" s="391"/>
      <c r="JHS1607" s="391"/>
      <c r="JHU1607" s="391"/>
      <c r="JHW1607" s="391"/>
      <c r="JHY1607" s="391"/>
      <c r="JIA1607" s="391"/>
      <c r="JIC1607" s="391"/>
      <c r="JIE1607" s="391"/>
      <c r="JIG1607" s="391"/>
      <c r="JII1607" s="391"/>
      <c r="JIK1607" s="391"/>
      <c r="JIM1607" s="391"/>
      <c r="JIO1607" s="391"/>
      <c r="JIQ1607" s="391"/>
      <c r="JIS1607" s="391"/>
      <c r="JIU1607" s="391"/>
      <c r="JIW1607" s="391"/>
      <c r="JIY1607" s="391"/>
      <c r="JJA1607" s="391"/>
      <c r="JJC1607" s="391"/>
      <c r="JJE1607" s="391"/>
      <c r="JJG1607" s="391"/>
      <c r="JJI1607" s="391"/>
      <c r="JJK1607" s="391"/>
      <c r="JJM1607" s="391"/>
      <c r="JJO1607" s="391"/>
      <c r="JJQ1607" s="391"/>
      <c r="JJS1607" s="391"/>
      <c r="JJU1607" s="391"/>
      <c r="JJW1607" s="391"/>
      <c r="JJY1607" s="391"/>
      <c r="JKA1607" s="391"/>
      <c r="JKC1607" s="391"/>
      <c r="JKE1607" s="391"/>
      <c r="JKG1607" s="391"/>
      <c r="JKI1607" s="391"/>
      <c r="JKK1607" s="391"/>
      <c r="JKM1607" s="391"/>
      <c r="JKO1607" s="391"/>
      <c r="JKQ1607" s="391"/>
      <c r="JKS1607" s="391"/>
      <c r="JKU1607" s="391"/>
      <c r="JKW1607" s="391"/>
      <c r="JKY1607" s="391"/>
      <c r="JLA1607" s="391"/>
      <c r="JLC1607" s="391"/>
      <c r="JLE1607" s="391"/>
      <c r="JLG1607" s="391"/>
      <c r="JLI1607" s="391"/>
      <c r="JLK1607" s="391"/>
      <c r="JLM1607" s="391"/>
      <c r="JLO1607" s="391"/>
      <c r="JLQ1607" s="391"/>
      <c r="JLS1607" s="391"/>
      <c r="JLU1607" s="391"/>
      <c r="JLW1607" s="391"/>
      <c r="JLY1607" s="391"/>
      <c r="JMA1607" s="391"/>
      <c r="JMC1607" s="391"/>
      <c r="JME1607" s="391"/>
      <c r="JMG1607" s="391"/>
      <c r="JMI1607" s="391"/>
      <c r="JMK1607" s="391"/>
      <c r="JMM1607" s="391"/>
      <c r="JMO1607" s="391"/>
      <c r="JMQ1607" s="391"/>
      <c r="JMS1607" s="391"/>
      <c r="JMU1607" s="391"/>
      <c r="JMW1607" s="391"/>
      <c r="JMY1607" s="391"/>
      <c r="JNA1607" s="391"/>
      <c r="JNC1607" s="391"/>
      <c r="JNE1607" s="391"/>
      <c r="JNG1607" s="391"/>
      <c r="JNI1607" s="391"/>
      <c r="JNK1607" s="391"/>
      <c r="JNM1607" s="391"/>
      <c r="JNO1607" s="391"/>
      <c r="JNQ1607" s="391"/>
      <c r="JNS1607" s="391"/>
      <c r="JNU1607" s="391"/>
      <c r="JNW1607" s="391"/>
      <c r="JNY1607" s="391"/>
      <c r="JOA1607" s="391"/>
      <c r="JOC1607" s="391"/>
      <c r="JOE1607" s="391"/>
      <c r="JOG1607" s="391"/>
      <c r="JOI1607" s="391"/>
      <c r="JOK1607" s="391"/>
      <c r="JOM1607" s="391"/>
      <c r="JOO1607" s="391"/>
      <c r="JOQ1607" s="391"/>
      <c r="JOS1607" s="391"/>
      <c r="JOU1607" s="391"/>
      <c r="JOW1607" s="391"/>
      <c r="JOY1607" s="391"/>
      <c r="JPA1607" s="391"/>
      <c r="JPC1607" s="391"/>
      <c r="JPE1607" s="391"/>
      <c r="JPG1607" s="391"/>
      <c r="JPI1607" s="391"/>
      <c r="JPK1607" s="391"/>
      <c r="JPM1607" s="391"/>
      <c r="JPO1607" s="391"/>
      <c r="JPQ1607" s="391"/>
      <c r="JPS1607" s="391"/>
      <c r="JPU1607" s="391"/>
      <c r="JPW1607" s="391"/>
      <c r="JPY1607" s="391"/>
      <c r="JQA1607" s="391"/>
      <c r="JQC1607" s="391"/>
      <c r="JQE1607" s="391"/>
      <c r="JQG1607" s="391"/>
      <c r="JQI1607" s="391"/>
      <c r="JQK1607" s="391"/>
      <c r="JQM1607" s="391"/>
      <c r="JQO1607" s="391"/>
      <c r="JQQ1607" s="391"/>
      <c r="JQS1607" s="391"/>
      <c r="JQU1607" s="391"/>
      <c r="JQW1607" s="391"/>
      <c r="JQY1607" s="391"/>
      <c r="JRA1607" s="391"/>
      <c r="JRC1607" s="391"/>
      <c r="JRE1607" s="391"/>
      <c r="JRG1607" s="391"/>
      <c r="JRI1607" s="391"/>
      <c r="JRK1607" s="391"/>
      <c r="JRM1607" s="391"/>
      <c r="JRO1607" s="391"/>
      <c r="JRQ1607" s="391"/>
      <c r="JRS1607" s="391"/>
      <c r="JRU1607" s="391"/>
      <c r="JRW1607" s="391"/>
      <c r="JRY1607" s="391"/>
      <c r="JSA1607" s="391"/>
      <c r="JSC1607" s="391"/>
      <c r="JSE1607" s="391"/>
      <c r="JSG1607" s="391"/>
      <c r="JSI1607" s="391"/>
      <c r="JSK1607" s="391"/>
      <c r="JSM1607" s="391"/>
      <c r="JSO1607" s="391"/>
      <c r="JSQ1607" s="391"/>
      <c r="JSS1607" s="391"/>
      <c r="JSU1607" s="391"/>
      <c r="JSW1607" s="391"/>
      <c r="JSY1607" s="391"/>
      <c r="JTA1607" s="391"/>
      <c r="JTC1607" s="391"/>
      <c r="JTE1607" s="391"/>
      <c r="JTG1607" s="391"/>
      <c r="JTI1607" s="391"/>
      <c r="JTK1607" s="391"/>
      <c r="JTM1607" s="391"/>
      <c r="JTO1607" s="391"/>
      <c r="JTQ1607" s="391"/>
      <c r="JTS1607" s="391"/>
      <c r="JTU1607" s="391"/>
      <c r="JTW1607" s="391"/>
      <c r="JTY1607" s="391"/>
      <c r="JUA1607" s="391"/>
      <c r="JUC1607" s="391"/>
      <c r="JUE1607" s="391"/>
      <c r="JUG1607" s="391"/>
      <c r="JUI1607" s="391"/>
      <c r="JUK1607" s="391"/>
      <c r="JUM1607" s="391"/>
      <c r="JUO1607" s="391"/>
      <c r="JUQ1607" s="391"/>
      <c r="JUS1607" s="391"/>
      <c r="JUU1607" s="391"/>
      <c r="JUW1607" s="391"/>
      <c r="JUY1607" s="391"/>
      <c r="JVA1607" s="391"/>
      <c r="JVC1607" s="391"/>
      <c r="JVE1607" s="391"/>
      <c r="JVG1607" s="391"/>
      <c r="JVI1607" s="391"/>
      <c r="JVK1607" s="391"/>
      <c r="JVM1607" s="391"/>
      <c r="JVO1607" s="391"/>
      <c r="JVQ1607" s="391"/>
      <c r="JVS1607" s="391"/>
      <c r="JVU1607" s="391"/>
      <c r="JVW1607" s="391"/>
      <c r="JVY1607" s="391"/>
      <c r="JWA1607" s="391"/>
      <c r="JWC1607" s="391"/>
      <c r="JWE1607" s="391"/>
      <c r="JWG1607" s="391"/>
      <c r="JWI1607" s="391"/>
      <c r="JWK1607" s="391"/>
      <c r="JWM1607" s="391"/>
      <c r="JWO1607" s="391"/>
      <c r="JWQ1607" s="391"/>
      <c r="JWS1607" s="391"/>
      <c r="JWU1607" s="391"/>
      <c r="JWW1607" s="391"/>
      <c r="JWY1607" s="391"/>
      <c r="JXA1607" s="391"/>
      <c r="JXC1607" s="391"/>
      <c r="JXE1607" s="391"/>
      <c r="JXG1607" s="391"/>
      <c r="JXI1607" s="391"/>
      <c r="JXK1607" s="391"/>
      <c r="JXM1607" s="391"/>
      <c r="JXO1607" s="391"/>
      <c r="JXQ1607" s="391"/>
      <c r="JXS1607" s="391"/>
      <c r="JXU1607" s="391"/>
      <c r="JXW1607" s="391"/>
      <c r="JXY1607" s="391"/>
      <c r="JYA1607" s="391"/>
      <c r="JYC1607" s="391"/>
      <c r="JYE1607" s="391"/>
      <c r="JYG1607" s="391"/>
      <c r="JYI1607" s="391"/>
      <c r="JYK1607" s="391"/>
      <c r="JYM1607" s="391"/>
      <c r="JYO1607" s="391"/>
      <c r="JYQ1607" s="391"/>
      <c r="JYS1607" s="391"/>
      <c r="JYU1607" s="391"/>
      <c r="JYW1607" s="391"/>
      <c r="JYY1607" s="391"/>
      <c r="JZA1607" s="391"/>
      <c r="JZC1607" s="391"/>
      <c r="JZE1607" s="391"/>
      <c r="JZG1607" s="391"/>
      <c r="JZI1607" s="391"/>
      <c r="JZK1607" s="391"/>
      <c r="JZM1607" s="391"/>
      <c r="JZO1607" s="391"/>
      <c r="JZQ1607" s="391"/>
      <c r="JZS1607" s="391"/>
      <c r="JZU1607" s="391"/>
      <c r="JZW1607" s="391"/>
      <c r="JZY1607" s="391"/>
      <c r="KAA1607" s="391"/>
      <c r="KAC1607" s="391"/>
      <c r="KAE1607" s="391"/>
      <c r="KAG1607" s="391"/>
      <c r="KAI1607" s="391"/>
      <c r="KAK1607" s="391"/>
      <c r="KAM1607" s="391"/>
      <c r="KAO1607" s="391"/>
      <c r="KAQ1607" s="391"/>
      <c r="KAS1607" s="391"/>
      <c r="KAU1607" s="391"/>
      <c r="KAW1607" s="391"/>
      <c r="KAY1607" s="391"/>
      <c r="KBA1607" s="391"/>
      <c r="KBC1607" s="391"/>
      <c r="KBE1607" s="391"/>
      <c r="KBG1607" s="391"/>
      <c r="KBI1607" s="391"/>
      <c r="KBK1607" s="391"/>
      <c r="KBM1607" s="391"/>
      <c r="KBO1607" s="391"/>
      <c r="KBQ1607" s="391"/>
      <c r="KBS1607" s="391"/>
      <c r="KBU1607" s="391"/>
      <c r="KBW1607" s="391"/>
      <c r="KBY1607" s="391"/>
      <c r="KCA1607" s="391"/>
      <c r="KCC1607" s="391"/>
      <c r="KCE1607" s="391"/>
      <c r="KCG1607" s="391"/>
      <c r="KCI1607" s="391"/>
      <c r="KCK1607" s="391"/>
      <c r="KCM1607" s="391"/>
      <c r="KCO1607" s="391"/>
      <c r="KCQ1607" s="391"/>
      <c r="KCS1607" s="391"/>
      <c r="KCU1607" s="391"/>
      <c r="KCW1607" s="391"/>
      <c r="KCY1607" s="391"/>
      <c r="KDA1607" s="391"/>
      <c r="KDC1607" s="391"/>
      <c r="KDE1607" s="391"/>
      <c r="KDG1607" s="391"/>
      <c r="KDI1607" s="391"/>
      <c r="KDK1607" s="391"/>
      <c r="KDM1607" s="391"/>
      <c r="KDO1607" s="391"/>
      <c r="KDQ1607" s="391"/>
      <c r="KDS1607" s="391"/>
      <c r="KDU1607" s="391"/>
      <c r="KDW1607" s="391"/>
      <c r="KDY1607" s="391"/>
      <c r="KEA1607" s="391"/>
      <c r="KEC1607" s="391"/>
      <c r="KEE1607" s="391"/>
      <c r="KEG1607" s="391"/>
      <c r="KEI1607" s="391"/>
      <c r="KEK1607" s="391"/>
      <c r="KEM1607" s="391"/>
      <c r="KEO1607" s="391"/>
      <c r="KEQ1607" s="391"/>
      <c r="KES1607" s="391"/>
      <c r="KEU1607" s="391"/>
      <c r="KEW1607" s="391"/>
      <c r="KEY1607" s="391"/>
      <c r="KFA1607" s="391"/>
      <c r="KFC1607" s="391"/>
      <c r="KFE1607" s="391"/>
      <c r="KFG1607" s="391"/>
      <c r="KFI1607" s="391"/>
      <c r="KFK1607" s="391"/>
      <c r="KFM1607" s="391"/>
      <c r="KFO1607" s="391"/>
      <c r="KFQ1607" s="391"/>
      <c r="KFS1607" s="391"/>
      <c r="KFU1607" s="391"/>
      <c r="KFW1607" s="391"/>
      <c r="KFY1607" s="391"/>
      <c r="KGA1607" s="391"/>
      <c r="KGC1607" s="391"/>
      <c r="KGE1607" s="391"/>
      <c r="KGG1607" s="391"/>
      <c r="KGI1607" s="391"/>
      <c r="KGK1607" s="391"/>
      <c r="KGM1607" s="391"/>
      <c r="KGO1607" s="391"/>
      <c r="KGQ1607" s="391"/>
      <c r="KGS1607" s="391"/>
      <c r="KGU1607" s="391"/>
      <c r="KGW1607" s="391"/>
      <c r="KGY1607" s="391"/>
      <c r="KHA1607" s="391"/>
      <c r="KHC1607" s="391"/>
      <c r="KHE1607" s="391"/>
      <c r="KHG1607" s="391"/>
      <c r="KHI1607" s="391"/>
      <c r="KHK1607" s="391"/>
      <c r="KHM1607" s="391"/>
      <c r="KHO1607" s="391"/>
      <c r="KHQ1607" s="391"/>
      <c r="KHS1607" s="391"/>
      <c r="KHU1607" s="391"/>
      <c r="KHW1607" s="391"/>
      <c r="KHY1607" s="391"/>
      <c r="KIA1607" s="391"/>
      <c r="KIC1607" s="391"/>
      <c r="KIE1607" s="391"/>
      <c r="KIG1607" s="391"/>
      <c r="KII1607" s="391"/>
      <c r="KIK1607" s="391"/>
      <c r="KIM1607" s="391"/>
      <c r="KIO1607" s="391"/>
      <c r="KIQ1607" s="391"/>
      <c r="KIS1607" s="391"/>
      <c r="KIU1607" s="391"/>
      <c r="KIW1607" s="391"/>
      <c r="KIY1607" s="391"/>
      <c r="KJA1607" s="391"/>
      <c r="KJC1607" s="391"/>
      <c r="KJE1607" s="391"/>
      <c r="KJG1607" s="391"/>
      <c r="KJI1607" s="391"/>
      <c r="KJK1607" s="391"/>
      <c r="KJM1607" s="391"/>
      <c r="KJO1607" s="391"/>
      <c r="KJQ1607" s="391"/>
      <c r="KJS1607" s="391"/>
      <c r="KJU1607" s="391"/>
      <c r="KJW1607" s="391"/>
      <c r="KJY1607" s="391"/>
      <c r="KKA1607" s="391"/>
      <c r="KKC1607" s="391"/>
      <c r="KKE1607" s="391"/>
      <c r="KKG1607" s="391"/>
      <c r="KKI1607" s="391"/>
      <c r="KKK1607" s="391"/>
      <c r="KKM1607" s="391"/>
      <c r="KKO1607" s="391"/>
      <c r="KKQ1607" s="391"/>
      <c r="KKS1607" s="391"/>
      <c r="KKU1607" s="391"/>
      <c r="KKW1607" s="391"/>
      <c r="KKY1607" s="391"/>
      <c r="KLA1607" s="391"/>
      <c r="KLC1607" s="391"/>
      <c r="KLE1607" s="391"/>
      <c r="KLG1607" s="391"/>
      <c r="KLI1607" s="391"/>
      <c r="KLK1607" s="391"/>
      <c r="KLM1607" s="391"/>
      <c r="KLO1607" s="391"/>
      <c r="KLQ1607" s="391"/>
      <c r="KLS1607" s="391"/>
      <c r="KLU1607" s="391"/>
      <c r="KLW1607" s="391"/>
      <c r="KLY1607" s="391"/>
      <c r="KMA1607" s="391"/>
      <c r="KMC1607" s="391"/>
      <c r="KME1607" s="391"/>
      <c r="KMG1607" s="391"/>
      <c r="KMI1607" s="391"/>
      <c r="KMK1607" s="391"/>
      <c r="KMM1607" s="391"/>
      <c r="KMO1607" s="391"/>
      <c r="KMQ1607" s="391"/>
      <c r="KMS1607" s="391"/>
      <c r="KMU1607" s="391"/>
      <c r="KMW1607" s="391"/>
      <c r="KMY1607" s="391"/>
      <c r="KNA1607" s="391"/>
      <c r="KNC1607" s="391"/>
      <c r="KNE1607" s="391"/>
      <c r="KNG1607" s="391"/>
      <c r="KNI1607" s="391"/>
      <c r="KNK1607" s="391"/>
      <c r="KNM1607" s="391"/>
      <c r="KNO1607" s="391"/>
      <c r="KNQ1607" s="391"/>
      <c r="KNS1607" s="391"/>
      <c r="KNU1607" s="391"/>
      <c r="KNW1607" s="391"/>
      <c r="KNY1607" s="391"/>
      <c r="KOA1607" s="391"/>
      <c r="KOC1607" s="391"/>
      <c r="KOE1607" s="391"/>
      <c r="KOG1607" s="391"/>
      <c r="KOI1607" s="391"/>
      <c r="KOK1607" s="391"/>
      <c r="KOM1607" s="391"/>
      <c r="KOO1607" s="391"/>
      <c r="KOQ1607" s="391"/>
      <c r="KOS1607" s="391"/>
      <c r="KOU1607" s="391"/>
      <c r="KOW1607" s="391"/>
      <c r="KOY1607" s="391"/>
      <c r="KPA1607" s="391"/>
      <c r="KPC1607" s="391"/>
      <c r="KPE1607" s="391"/>
      <c r="KPG1607" s="391"/>
      <c r="KPI1607" s="391"/>
      <c r="KPK1607" s="391"/>
      <c r="KPM1607" s="391"/>
      <c r="KPO1607" s="391"/>
      <c r="KPQ1607" s="391"/>
      <c r="KPS1607" s="391"/>
      <c r="KPU1607" s="391"/>
      <c r="KPW1607" s="391"/>
      <c r="KPY1607" s="391"/>
      <c r="KQA1607" s="391"/>
      <c r="KQC1607" s="391"/>
      <c r="KQE1607" s="391"/>
      <c r="KQG1607" s="391"/>
      <c r="KQI1607" s="391"/>
      <c r="KQK1607" s="391"/>
      <c r="KQM1607" s="391"/>
      <c r="KQO1607" s="391"/>
      <c r="KQQ1607" s="391"/>
      <c r="KQS1607" s="391"/>
      <c r="KQU1607" s="391"/>
      <c r="KQW1607" s="391"/>
      <c r="KQY1607" s="391"/>
      <c r="KRA1607" s="391"/>
      <c r="KRC1607" s="391"/>
      <c r="KRE1607" s="391"/>
      <c r="KRG1607" s="391"/>
      <c r="KRI1607" s="391"/>
      <c r="KRK1607" s="391"/>
      <c r="KRM1607" s="391"/>
      <c r="KRO1607" s="391"/>
      <c r="KRQ1607" s="391"/>
      <c r="KRS1607" s="391"/>
      <c r="KRU1607" s="391"/>
      <c r="KRW1607" s="391"/>
      <c r="KRY1607" s="391"/>
      <c r="KSA1607" s="391"/>
      <c r="KSC1607" s="391"/>
      <c r="KSE1607" s="391"/>
      <c r="KSG1607" s="391"/>
      <c r="KSI1607" s="391"/>
      <c r="KSK1607" s="391"/>
      <c r="KSM1607" s="391"/>
      <c r="KSO1607" s="391"/>
      <c r="KSQ1607" s="391"/>
      <c r="KSS1607" s="391"/>
      <c r="KSU1607" s="391"/>
      <c r="KSW1607" s="391"/>
      <c r="KSY1607" s="391"/>
      <c r="KTA1607" s="391"/>
      <c r="KTC1607" s="391"/>
      <c r="KTE1607" s="391"/>
      <c r="KTG1607" s="391"/>
      <c r="KTI1607" s="391"/>
      <c r="KTK1607" s="391"/>
      <c r="KTM1607" s="391"/>
      <c r="KTO1607" s="391"/>
      <c r="KTQ1607" s="391"/>
      <c r="KTS1607" s="391"/>
      <c r="KTU1607" s="391"/>
      <c r="KTW1607" s="391"/>
      <c r="KTY1607" s="391"/>
      <c r="KUA1607" s="391"/>
      <c r="KUC1607" s="391"/>
      <c r="KUE1607" s="391"/>
      <c r="KUG1607" s="391"/>
      <c r="KUI1607" s="391"/>
      <c r="KUK1607" s="391"/>
      <c r="KUM1607" s="391"/>
      <c r="KUO1607" s="391"/>
      <c r="KUQ1607" s="391"/>
      <c r="KUS1607" s="391"/>
      <c r="KUU1607" s="391"/>
      <c r="KUW1607" s="391"/>
      <c r="KUY1607" s="391"/>
      <c r="KVA1607" s="391"/>
      <c r="KVC1607" s="391"/>
      <c r="KVE1607" s="391"/>
      <c r="KVG1607" s="391"/>
      <c r="KVI1607" s="391"/>
      <c r="KVK1607" s="391"/>
      <c r="KVM1607" s="391"/>
      <c r="KVO1607" s="391"/>
      <c r="KVQ1607" s="391"/>
      <c r="KVS1607" s="391"/>
      <c r="KVU1607" s="391"/>
      <c r="KVW1607" s="391"/>
      <c r="KVY1607" s="391"/>
      <c r="KWA1607" s="391"/>
      <c r="KWC1607" s="391"/>
      <c r="KWE1607" s="391"/>
      <c r="KWG1607" s="391"/>
      <c r="KWI1607" s="391"/>
      <c r="KWK1607" s="391"/>
      <c r="KWM1607" s="391"/>
      <c r="KWO1607" s="391"/>
      <c r="KWQ1607" s="391"/>
      <c r="KWS1607" s="391"/>
      <c r="KWU1607" s="391"/>
      <c r="KWW1607" s="391"/>
      <c r="KWY1607" s="391"/>
      <c r="KXA1607" s="391"/>
      <c r="KXC1607" s="391"/>
      <c r="KXE1607" s="391"/>
      <c r="KXG1607" s="391"/>
      <c r="KXI1607" s="391"/>
      <c r="KXK1607" s="391"/>
      <c r="KXM1607" s="391"/>
      <c r="KXO1607" s="391"/>
      <c r="KXQ1607" s="391"/>
      <c r="KXS1607" s="391"/>
      <c r="KXU1607" s="391"/>
      <c r="KXW1607" s="391"/>
      <c r="KXY1607" s="391"/>
      <c r="KYA1607" s="391"/>
      <c r="KYC1607" s="391"/>
      <c r="KYE1607" s="391"/>
      <c r="KYG1607" s="391"/>
      <c r="KYI1607" s="391"/>
      <c r="KYK1607" s="391"/>
      <c r="KYM1607" s="391"/>
      <c r="KYO1607" s="391"/>
      <c r="KYQ1607" s="391"/>
      <c r="KYS1607" s="391"/>
      <c r="KYU1607" s="391"/>
      <c r="KYW1607" s="391"/>
      <c r="KYY1607" s="391"/>
      <c r="KZA1607" s="391"/>
      <c r="KZC1607" s="391"/>
      <c r="KZE1607" s="391"/>
      <c r="KZG1607" s="391"/>
      <c r="KZI1607" s="391"/>
      <c r="KZK1607" s="391"/>
      <c r="KZM1607" s="391"/>
      <c r="KZO1607" s="391"/>
      <c r="KZQ1607" s="391"/>
      <c r="KZS1607" s="391"/>
      <c r="KZU1607" s="391"/>
      <c r="KZW1607" s="391"/>
      <c r="KZY1607" s="391"/>
      <c r="LAA1607" s="391"/>
      <c r="LAC1607" s="391"/>
      <c r="LAE1607" s="391"/>
      <c r="LAG1607" s="391"/>
      <c r="LAI1607" s="391"/>
      <c r="LAK1607" s="391"/>
      <c r="LAM1607" s="391"/>
      <c r="LAO1607" s="391"/>
      <c r="LAQ1607" s="391"/>
      <c r="LAS1607" s="391"/>
      <c r="LAU1607" s="391"/>
      <c r="LAW1607" s="391"/>
      <c r="LAY1607" s="391"/>
      <c r="LBA1607" s="391"/>
      <c r="LBC1607" s="391"/>
      <c r="LBE1607" s="391"/>
      <c r="LBG1607" s="391"/>
      <c r="LBI1607" s="391"/>
      <c r="LBK1607" s="391"/>
      <c r="LBM1607" s="391"/>
      <c r="LBO1607" s="391"/>
      <c r="LBQ1607" s="391"/>
      <c r="LBS1607" s="391"/>
      <c r="LBU1607" s="391"/>
      <c r="LBW1607" s="391"/>
      <c r="LBY1607" s="391"/>
      <c r="LCA1607" s="391"/>
      <c r="LCC1607" s="391"/>
      <c r="LCE1607" s="391"/>
      <c r="LCG1607" s="391"/>
      <c r="LCI1607" s="391"/>
      <c r="LCK1607" s="391"/>
      <c r="LCM1607" s="391"/>
      <c r="LCO1607" s="391"/>
      <c r="LCQ1607" s="391"/>
      <c r="LCS1607" s="391"/>
      <c r="LCU1607" s="391"/>
      <c r="LCW1607" s="391"/>
      <c r="LCY1607" s="391"/>
      <c r="LDA1607" s="391"/>
      <c r="LDC1607" s="391"/>
      <c r="LDE1607" s="391"/>
      <c r="LDG1607" s="391"/>
      <c r="LDI1607" s="391"/>
      <c r="LDK1607" s="391"/>
      <c r="LDM1607" s="391"/>
      <c r="LDO1607" s="391"/>
      <c r="LDQ1607" s="391"/>
      <c r="LDS1607" s="391"/>
      <c r="LDU1607" s="391"/>
      <c r="LDW1607" s="391"/>
      <c r="LDY1607" s="391"/>
      <c r="LEA1607" s="391"/>
      <c r="LEC1607" s="391"/>
      <c r="LEE1607" s="391"/>
      <c r="LEG1607" s="391"/>
      <c r="LEI1607" s="391"/>
      <c r="LEK1607" s="391"/>
      <c r="LEM1607" s="391"/>
      <c r="LEO1607" s="391"/>
      <c r="LEQ1607" s="391"/>
      <c r="LES1607" s="391"/>
      <c r="LEU1607" s="391"/>
      <c r="LEW1607" s="391"/>
      <c r="LEY1607" s="391"/>
      <c r="LFA1607" s="391"/>
      <c r="LFC1607" s="391"/>
      <c r="LFE1607" s="391"/>
      <c r="LFG1607" s="391"/>
      <c r="LFI1607" s="391"/>
      <c r="LFK1607" s="391"/>
      <c r="LFM1607" s="391"/>
      <c r="LFO1607" s="391"/>
      <c r="LFQ1607" s="391"/>
      <c r="LFS1607" s="391"/>
      <c r="LFU1607" s="391"/>
      <c r="LFW1607" s="391"/>
      <c r="LFY1607" s="391"/>
      <c r="LGA1607" s="391"/>
      <c r="LGC1607" s="391"/>
      <c r="LGE1607" s="391"/>
      <c r="LGG1607" s="391"/>
      <c r="LGI1607" s="391"/>
      <c r="LGK1607" s="391"/>
      <c r="LGM1607" s="391"/>
      <c r="LGO1607" s="391"/>
      <c r="LGQ1607" s="391"/>
      <c r="LGS1607" s="391"/>
      <c r="LGU1607" s="391"/>
      <c r="LGW1607" s="391"/>
      <c r="LGY1607" s="391"/>
      <c r="LHA1607" s="391"/>
      <c r="LHC1607" s="391"/>
      <c r="LHE1607" s="391"/>
      <c r="LHG1607" s="391"/>
      <c r="LHI1607" s="391"/>
      <c r="LHK1607" s="391"/>
      <c r="LHM1607" s="391"/>
      <c r="LHO1607" s="391"/>
      <c r="LHQ1607" s="391"/>
      <c r="LHS1607" s="391"/>
      <c r="LHU1607" s="391"/>
      <c r="LHW1607" s="391"/>
      <c r="LHY1607" s="391"/>
      <c r="LIA1607" s="391"/>
      <c r="LIC1607" s="391"/>
      <c r="LIE1607" s="391"/>
      <c r="LIG1607" s="391"/>
      <c r="LII1607" s="391"/>
      <c r="LIK1607" s="391"/>
      <c r="LIM1607" s="391"/>
      <c r="LIO1607" s="391"/>
      <c r="LIQ1607" s="391"/>
      <c r="LIS1607" s="391"/>
      <c r="LIU1607" s="391"/>
      <c r="LIW1607" s="391"/>
      <c r="LIY1607" s="391"/>
      <c r="LJA1607" s="391"/>
      <c r="LJC1607" s="391"/>
      <c r="LJE1607" s="391"/>
      <c r="LJG1607" s="391"/>
      <c r="LJI1607" s="391"/>
      <c r="LJK1607" s="391"/>
      <c r="LJM1607" s="391"/>
      <c r="LJO1607" s="391"/>
      <c r="LJQ1607" s="391"/>
      <c r="LJS1607" s="391"/>
      <c r="LJU1607" s="391"/>
      <c r="LJW1607" s="391"/>
      <c r="LJY1607" s="391"/>
      <c r="LKA1607" s="391"/>
      <c r="LKC1607" s="391"/>
      <c r="LKE1607" s="391"/>
      <c r="LKG1607" s="391"/>
      <c r="LKI1607" s="391"/>
      <c r="LKK1607" s="391"/>
      <c r="LKM1607" s="391"/>
      <c r="LKO1607" s="391"/>
      <c r="LKQ1607" s="391"/>
      <c r="LKS1607" s="391"/>
      <c r="LKU1607" s="391"/>
      <c r="LKW1607" s="391"/>
      <c r="LKY1607" s="391"/>
      <c r="LLA1607" s="391"/>
      <c r="LLC1607" s="391"/>
      <c r="LLE1607" s="391"/>
      <c r="LLG1607" s="391"/>
      <c r="LLI1607" s="391"/>
      <c r="LLK1607" s="391"/>
      <c r="LLM1607" s="391"/>
      <c r="LLO1607" s="391"/>
      <c r="LLQ1607" s="391"/>
      <c r="LLS1607" s="391"/>
      <c r="LLU1607" s="391"/>
      <c r="LLW1607" s="391"/>
      <c r="LLY1607" s="391"/>
      <c r="LMA1607" s="391"/>
      <c r="LMC1607" s="391"/>
      <c r="LME1607" s="391"/>
      <c r="LMG1607" s="391"/>
      <c r="LMI1607" s="391"/>
      <c r="LMK1607" s="391"/>
      <c r="LMM1607" s="391"/>
      <c r="LMO1607" s="391"/>
      <c r="LMQ1607" s="391"/>
      <c r="LMS1607" s="391"/>
      <c r="LMU1607" s="391"/>
      <c r="LMW1607" s="391"/>
      <c r="LMY1607" s="391"/>
      <c r="LNA1607" s="391"/>
      <c r="LNC1607" s="391"/>
      <c r="LNE1607" s="391"/>
      <c r="LNG1607" s="391"/>
      <c r="LNI1607" s="391"/>
      <c r="LNK1607" s="391"/>
      <c r="LNM1607" s="391"/>
      <c r="LNO1607" s="391"/>
      <c r="LNQ1607" s="391"/>
      <c r="LNS1607" s="391"/>
      <c r="LNU1607" s="391"/>
      <c r="LNW1607" s="391"/>
      <c r="LNY1607" s="391"/>
      <c r="LOA1607" s="391"/>
      <c r="LOC1607" s="391"/>
      <c r="LOE1607" s="391"/>
      <c r="LOG1607" s="391"/>
      <c r="LOI1607" s="391"/>
      <c r="LOK1607" s="391"/>
      <c r="LOM1607" s="391"/>
      <c r="LOO1607" s="391"/>
      <c r="LOQ1607" s="391"/>
      <c r="LOS1607" s="391"/>
      <c r="LOU1607" s="391"/>
      <c r="LOW1607" s="391"/>
      <c r="LOY1607" s="391"/>
      <c r="LPA1607" s="391"/>
      <c r="LPC1607" s="391"/>
      <c r="LPE1607" s="391"/>
      <c r="LPG1607" s="391"/>
      <c r="LPI1607" s="391"/>
      <c r="LPK1607" s="391"/>
      <c r="LPM1607" s="391"/>
      <c r="LPO1607" s="391"/>
      <c r="LPQ1607" s="391"/>
      <c r="LPS1607" s="391"/>
      <c r="LPU1607" s="391"/>
      <c r="LPW1607" s="391"/>
      <c r="LPY1607" s="391"/>
      <c r="LQA1607" s="391"/>
      <c r="LQC1607" s="391"/>
      <c r="LQE1607" s="391"/>
      <c r="LQG1607" s="391"/>
      <c r="LQI1607" s="391"/>
      <c r="LQK1607" s="391"/>
      <c r="LQM1607" s="391"/>
      <c r="LQO1607" s="391"/>
      <c r="LQQ1607" s="391"/>
      <c r="LQS1607" s="391"/>
      <c r="LQU1607" s="391"/>
      <c r="LQW1607" s="391"/>
      <c r="LQY1607" s="391"/>
      <c r="LRA1607" s="391"/>
      <c r="LRC1607" s="391"/>
      <c r="LRE1607" s="391"/>
      <c r="LRG1607" s="391"/>
      <c r="LRI1607" s="391"/>
      <c r="LRK1607" s="391"/>
      <c r="LRM1607" s="391"/>
      <c r="LRO1607" s="391"/>
      <c r="LRQ1607" s="391"/>
      <c r="LRS1607" s="391"/>
      <c r="LRU1607" s="391"/>
      <c r="LRW1607" s="391"/>
      <c r="LRY1607" s="391"/>
      <c r="LSA1607" s="391"/>
      <c r="LSC1607" s="391"/>
      <c r="LSE1607" s="391"/>
      <c r="LSG1607" s="391"/>
      <c r="LSI1607" s="391"/>
      <c r="LSK1607" s="391"/>
      <c r="LSM1607" s="391"/>
      <c r="LSO1607" s="391"/>
      <c r="LSQ1607" s="391"/>
      <c r="LSS1607" s="391"/>
      <c r="LSU1607" s="391"/>
      <c r="LSW1607" s="391"/>
      <c r="LSY1607" s="391"/>
      <c r="LTA1607" s="391"/>
      <c r="LTC1607" s="391"/>
      <c r="LTE1607" s="391"/>
      <c r="LTG1607" s="391"/>
      <c r="LTI1607" s="391"/>
      <c r="LTK1607" s="391"/>
      <c r="LTM1607" s="391"/>
      <c r="LTO1607" s="391"/>
      <c r="LTQ1607" s="391"/>
      <c r="LTS1607" s="391"/>
      <c r="LTU1607" s="391"/>
      <c r="LTW1607" s="391"/>
      <c r="LTY1607" s="391"/>
      <c r="LUA1607" s="391"/>
      <c r="LUC1607" s="391"/>
      <c r="LUE1607" s="391"/>
      <c r="LUG1607" s="391"/>
      <c r="LUI1607" s="391"/>
      <c r="LUK1607" s="391"/>
      <c r="LUM1607" s="391"/>
      <c r="LUO1607" s="391"/>
      <c r="LUQ1607" s="391"/>
      <c r="LUS1607" s="391"/>
      <c r="LUU1607" s="391"/>
      <c r="LUW1607" s="391"/>
      <c r="LUY1607" s="391"/>
      <c r="LVA1607" s="391"/>
      <c r="LVC1607" s="391"/>
      <c r="LVE1607" s="391"/>
      <c r="LVG1607" s="391"/>
      <c r="LVI1607" s="391"/>
      <c r="LVK1607" s="391"/>
      <c r="LVM1607" s="391"/>
      <c r="LVO1607" s="391"/>
      <c r="LVQ1607" s="391"/>
      <c r="LVS1607" s="391"/>
      <c r="LVU1607" s="391"/>
      <c r="LVW1607" s="391"/>
      <c r="LVY1607" s="391"/>
      <c r="LWA1607" s="391"/>
      <c r="LWC1607" s="391"/>
      <c r="LWE1607" s="391"/>
      <c r="LWG1607" s="391"/>
      <c r="LWI1607" s="391"/>
      <c r="LWK1607" s="391"/>
      <c r="LWM1607" s="391"/>
      <c r="LWO1607" s="391"/>
      <c r="LWQ1607" s="391"/>
      <c r="LWS1607" s="391"/>
      <c r="LWU1607" s="391"/>
      <c r="LWW1607" s="391"/>
      <c r="LWY1607" s="391"/>
      <c r="LXA1607" s="391"/>
      <c r="LXC1607" s="391"/>
      <c r="LXE1607" s="391"/>
      <c r="LXG1607" s="391"/>
      <c r="LXI1607" s="391"/>
      <c r="LXK1607" s="391"/>
      <c r="LXM1607" s="391"/>
      <c r="LXO1607" s="391"/>
      <c r="LXQ1607" s="391"/>
      <c r="LXS1607" s="391"/>
      <c r="LXU1607" s="391"/>
      <c r="LXW1607" s="391"/>
      <c r="LXY1607" s="391"/>
      <c r="LYA1607" s="391"/>
      <c r="LYC1607" s="391"/>
      <c r="LYE1607" s="391"/>
      <c r="LYG1607" s="391"/>
      <c r="LYI1607" s="391"/>
      <c r="LYK1607" s="391"/>
      <c r="LYM1607" s="391"/>
      <c r="LYO1607" s="391"/>
      <c r="LYQ1607" s="391"/>
      <c r="LYS1607" s="391"/>
      <c r="LYU1607" s="391"/>
      <c r="LYW1607" s="391"/>
      <c r="LYY1607" s="391"/>
      <c r="LZA1607" s="391"/>
      <c r="LZC1607" s="391"/>
      <c r="LZE1607" s="391"/>
      <c r="LZG1607" s="391"/>
      <c r="LZI1607" s="391"/>
      <c r="LZK1607" s="391"/>
      <c r="LZM1607" s="391"/>
      <c r="LZO1607" s="391"/>
      <c r="LZQ1607" s="391"/>
      <c r="LZS1607" s="391"/>
      <c r="LZU1607" s="391"/>
      <c r="LZW1607" s="391"/>
      <c r="LZY1607" s="391"/>
      <c r="MAA1607" s="391"/>
      <c r="MAC1607" s="391"/>
      <c r="MAE1607" s="391"/>
      <c r="MAG1607" s="391"/>
      <c r="MAI1607" s="391"/>
      <c r="MAK1607" s="391"/>
      <c r="MAM1607" s="391"/>
      <c r="MAO1607" s="391"/>
      <c r="MAQ1607" s="391"/>
      <c r="MAS1607" s="391"/>
      <c r="MAU1607" s="391"/>
      <c r="MAW1607" s="391"/>
      <c r="MAY1607" s="391"/>
      <c r="MBA1607" s="391"/>
      <c r="MBC1607" s="391"/>
      <c r="MBE1607" s="391"/>
      <c r="MBG1607" s="391"/>
      <c r="MBI1607" s="391"/>
      <c r="MBK1607" s="391"/>
      <c r="MBM1607" s="391"/>
      <c r="MBO1607" s="391"/>
      <c r="MBQ1607" s="391"/>
      <c r="MBS1607" s="391"/>
      <c r="MBU1607" s="391"/>
      <c r="MBW1607" s="391"/>
      <c r="MBY1607" s="391"/>
      <c r="MCA1607" s="391"/>
      <c r="MCC1607" s="391"/>
      <c r="MCE1607" s="391"/>
      <c r="MCG1607" s="391"/>
      <c r="MCI1607" s="391"/>
      <c r="MCK1607" s="391"/>
      <c r="MCM1607" s="391"/>
      <c r="MCO1607" s="391"/>
      <c r="MCQ1607" s="391"/>
      <c r="MCS1607" s="391"/>
      <c r="MCU1607" s="391"/>
      <c r="MCW1607" s="391"/>
      <c r="MCY1607" s="391"/>
      <c r="MDA1607" s="391"/>
      <c r="MDC1607" s="391"/>
      <c r="MDE1607" s="391"/>
      <c r="MDG1607" s="391"/>
      <c r="MDI1607" s="391"/>
      <c r="MDK1607" s="391"/>
      <c r="MDM1607" s="391"/>
      <c r="MDO1607" s="391"/>
      <c r="MDQ1607" s="391"/>
      <c r="MDS1607" s="391"/>
      <c r="MDU1607" s="391"/>
      <c r="MDW1607" s="391"/>
      <c r="MDY1607" s="391"/>
      <c r="MEA1607" s="391"/>
      <c r="MEC1607" s="391"/>
      <c r="MEE1607" s="391"/>
      <c r="MEG1607" s="391"/>
      <c r="MEI1607" s="391"/>
      <c r="MEK1607" s="391"/>
      <c r="MEM1607" s="391"/>
      <c r="MEO1607" s="391"/>
      <c r="MEQ1607" s="391"/>
      <c r="MES1607" s="391"/>
      <c r="MEU1607" s="391"/>
      <c r="MEW1607" s="391"/>
      <c r="MEY1607" s="391"/>
      <c r="MFA1607" s="391"/>
      <c r="MFC1607" s="391"/>
      <c r="MFE1607" s="391"/>
      <c r="MFG1607" s="391"/>
      <c r="MFI1607" s="391"/>
      <c r="MFK1607" s="391"/>
      <c r="MFM1607" s="391"/>
      <c r="MFO1607" s="391"/>
      <c r="MFQ1607" s="391"/>
      <c r="MFS1607" s="391"/>
      <c r="MFU1607" s="391"/>
      <c r="MFW1607" s="391"/>
      <c r="MFY1607" s="391"/>
      <c r="MGA1607" s="391"/>
      <c r="MGC1607" s="391"/>
      <c r="MGE1607" s="391"/>
      <c r="MGG1607" s="391"/>
      <c r="MGI1607" s="391"/>
      <c r="MGK1607" s="391"/>
      <c r="MGM1607" s="391"/>
      <c r="MGO1607" s="391"/>
      <c r="MGQ1607" s="391"/>
      <c r="MGS1607" s="391"/>
      <c r="MGU1607" s="391"/>
      <c r="MGW1607" s="391"/>
      <c r="MGY1607" s="391"/>
      <c r="MHA1607" s="391"/>
      <c r="MHC1607" s="391"/>
      <c r="MHE1607" s="391"/>
      <c r="MHG1607" s="391"/>
      <c r="MHI1607" s="391"/>
      <c r="MHK1607" s="391"/>
      <c r="MHM1607" s="391"/>
      <c r="MHO1607" s="391"/>
      <c r="MHQ1607" s="391"/>
      <c r="MHS1607" s="391"/>
      <c r="MHU1607" s="391"/>
      <c r="MHW1607" s="391"/>
      <c r="MHY1607" s="391"/>
      <c r="MIA1607" s="391"/>
      <c r="MIC1607" s="391"/>
      <c r="MIE1607" s="391"/>
      <c r="MIG1607" s="391"/>
      <c r="MII1607" s="391"/>
      <c r="MIK1607" s="391"/>
      <c r="MIM1607" s="391"/>
      <c r="MIO1607" s="391"/>
      <c r="MIQ1607" s="391"/>
      <c r="MIS1607" s="391"/>
      <c r="MIU1607" s="391"/>
      <c r="MIW1607" s="391"/>
      <c r="MIY1607" s="391"/>
      <c r="MJA1607" s="391"/>
      <c r="MJC1607" s="391"/>
      <c r="MJE1607" s="391"/>
      <c r="MJG1607" s="391"/>
      <c r="MJI1607" s="391"/>
      <c r="MJK1607" s="391"/>
      <c r="MJM1607" s="391"/>
      <c r="MJO1607" s="391"/>
      <c r="MJQ1607" s="391"/>
      <c r="MJS1607" s="391"/>
      <c r="MJU1607" s="391"/>
      <c r="MJW1607" s="391"/>
      <c r="MJY1607" s="391"/>
      <c r="MKA1607" s="391"/>
      <c r="MKC1607" s="391"/>
      <c r="MKE1607" s="391"/>
      <c r="MKG1607" s="391"/>
      <c r="MKI1607" s="391"/>
      <c r="MKK1607" s="391"/>
      <c r="MKM1607" s="391"/>
      <c r="MKO1607" s="391"/>
      <c r="MKQ1607" s="391"/>
      <c r="MKS1607" s="391"/>
      <c r="MKU1607" s="391"/>
      <c r="MKW1607" s="391"/>
      <c r="MKY1607" s="391"/>
      <c r="MLA1607" s="391"/>
      <c r="MLC1607" s="391"/>
      <c r="MLE1607" s="391"/>
      <c r="MLG1607" s="391"/>
      <c r="MLI1607" s="391"/>
      <c r="MLK1607" s="391"/>
      <c r="MLM1607" s="391"/>
      <c r="MLO1607" s="391"/>
      <c r="MLQ1607" s="391"/>
      <c r="MLS1607" s="391"/>
      <c r="MLU1607" s="391"/>
      <c r="MLW1607" s="391"/>
      <c r="MLY1607" s="391"/>
      <c r="MMA1607" s="391"/>
      <c r="MMC1607" s="391"/>
      <c r="MME1607" s="391"/>
      <c r="MMG1607" s="391"/>
      <c r="MMI1607" s="391"/>
      <c r="MMK1607" s="391"/>
      <c r="MMM1607" s="391"/>
      <c r="MMO1607" s="391"/>
      <c r="MMQ1607" s="391"/>
      <c r="MMS1607" s="391"/>
      <c r="MMU1607" s="391"/>
      <c r="MMW1607" s="391"/>
      <c r="MMY1607" s="391"/>
      <c r="MNA1607" s="391"/>
      <c r="MNC1607" s="391"/>
      <c r="MNE1607" s="391"/>
      <c r="MNG1607" s="391"/>
      <c r="MNI1607" s="391"/>
      <c r="MNK1607" s="391"/>
      <c r="MNM1607" s="391"/>
      <c r="MNO1607" s="391"/>
      <c r="MNQ1607" s="391"/>
      <c r="MNS1607" s="391"/>
      <c r="MNU1607" s="391"/>
      <c r="MNW1607" s="391"/>
      <c r="MNY1607" s="391"/>
      <c r="MOA1607" s="391"/>
      <c r="MOC1607" s="391"/>
      <c r="MOE1607" s="391"/>
      <c r="MOG1607" s="391"/>
      <c r="MOI1607" s="391"/>
      <c r="MOK1607" s="391"/>
      <c r="MOM1607" s="391"/>
      <c r="MOO1607" s="391"/>
      <c r="MOQ1607" s="391"/>
      <c r="MOS1607" s="391"/>
      <c r="MOU1607" s="391"/>
      <c r="MOW1607" s="391"/>
      <c r="MOY1607" s="391"/>
      <c r="MPA1607" s="391"/>
      <c r="MPC1607" s="391"/>
      <c r="MPE1607" s="391"/>
      <c r="MPG1607" s="391"/>
      <c r="MPI1607" s="391"/>
      <c r="MPK1607" s="391"/>
      <c r="MPM1607" s="391"/>
      <c r="MPO1607" s="391"/>
      <c r="MPQ1607" s="391"/>
      <c r="MPS1607" s="391"/>
      <c r="MPU1607" s="391"/>
      <c r="MPW1607" s="391"/>
      <c r="MPY1607" s="391"/>
      <c r="MQA1607" s="391"/>
      <c r="MQC1607" s="391"/>
      <c r="MQE1607" s="391"/>
      <c r="MQG1607" s="391"/>
      <c r="MQI1607" s="391"/>
      <c r="MQK1607" s="391"/>
      <c r="MQM1607" s="391"/>
      <c r="MQO1607" s="391"/>
      <c r="MQQ1607" s="391"/>
      <c r="MQS1607" s="391"/>
      <c r="MQU1607" s="391"/>
      <c r="MQW1607" s="391"/>
      <c r="MQY1607" s="391"/>
      <c r="MRA1607" s="391"/>
      <c r="MRC1607" s="391"/>
      <c r="MRE1607" s="391"/>
      <c r="MRG1607" s="391"/>
      <c r="MRI1607" s="391"/>
      <c r="MRK1607" s="391"/>
      <c r="MRM1607" s="391"/>
      <c r="MRO1607" s="391"/>
      <c r="MRQ1607" s="391"/>
      <c r="MRS1607" s="391"/>
      <c r="MRU1607" s="391"/>
      <c r="MRW1607" s="391"/>
      <c r="MRY1607" s="391"/>
      <c r="MSA1607" s="391"/>
      <c r="MSC1607" s="391"/>
      <c r="MSE1607" s="391"/>
      <c r="MSG1607" s="391"/>
      <c r="MSI1607" s="391"/>
      <c r="MSK1607" s="391"/>
      <c r="MSM1607" s="391"/>
      <c r="MSO1607" s="391"/>
      <c r="MSQ1607" s="391"/>
      <c r="MSS1607" s="391"/>
      <c r="MSU1607" s="391"/>
      <c r="MSW1607" s="391"/>
      <c r="MSY1607" s="391"/>
      <c r="MTA1607" s="391"/>
      <c r="MTC1607" s="391"/>
      <c r="MTE1607" s="391"/>
      <c r="MTG1607" s="391"/>
      <c r="MTI1607" s="391"/>
      <c r="MTK1607" s="391"/>
      <c r="MTM1607" s="391"/>
      <c r="MTO1607" s="391"/>
      <c r="MTQ1607" s="391"/>
      <c r="MTS1607" s="391"/>
      <c r="MTU1607" s="391"/>
      <c r="MTW1607" s="391"/>
      <c r="MTY1607" s="391"/>
      <c r="MUA1607" s="391"/>
      <c r="MUC1607" s="391"/>
      <c r="MUE1607" s="391"/>
      <c r="MUG1607" s="391"/>
      <c r="MUI1607" s="391"/>
      <c r="MUK1607" s="391"/>
      <c r="MUM1607" s="391"/>
      <c r="MUO1607" s="391"/>
      <c r="MUQ1607" s="391"/>
      <c r="MUS1607" s="391"/>
      <c r="MUU1607" s="391"/>
      <c r="MUW1607" s="391"/>
      <c r="MUY1607" s="391"/>
      <c r="MVA1607" s="391"/>
      <c r="MVC1607" s="391"/>
      <c r="MVE1607" s="391"/>
      <c r="MVG1607" s="391"/>
      <c r="MVI1607" s="391"/>
      <c r="MVK1607" s="391"/>
      <c r="MVM1607" s="391"/>
      <c r="MVO1607" s="391"/>
      <c r="MVQ1607" s="391"/>
      <c r="MVS1607" s="391"/>
      <c r="MVU1607" s="391"/>
      <c r="MVW1607" s="391"/>
      <c r="MVY1607" s="391"/>
      <c r="MWA1607" s="391"/>
      <c r="MWC1607" s="391"/>
      <c r="MWE1607" s="391"/>
      <c r="MWG1607" s="391"/>
      <c r="MWI1607" s="391"/>
      <c r="MWK1607" s="391"/>
      <c r="MWM1607" s="391"/>
      <c r="MWO1607" s="391"/>
      <c r="MWQ1607" s="391"/>
      <c r="MWS1607" s="391"/>
      <c r="MWU1607" s="391"/>
      <c r="MWW1607" s="391"/>
      <c r="MWY1607" s="391"/>
      <c r="MXA1607" s="391"/>
      <c r="MXC1607" s="391"/>
      <c r="MXE1607" s="391"/>
      <c r="MXG1607" s="391"/>
      <c r="MXI1607" s="391"/>
      <c r="MXK1607" s="391"/>
      <c r="MXM1607" s="391"/>
      <c r="MXO1607" s="391"/>
      <c r="MXQ1607" s="391"/>
      <c r="MXS1607" s="391"/>
      <c r="MXU1607" s="391"/>
      <c r="MXW1607" s="391"/>
      <c r="MXY1607" s="391"/>
      <c r="MYA1607" s="391"/>
      <c r="MYC1607" s="391"/>
      <c r="MYE1607" s="391"/>
      <c r="MYG1607" s="391"/>
      <c r="MYI1607" s="391"/>
      <c r="MYK1607" s="391"/>
      <c r="MYM1607" s="391"/>
      <c r="MYO1607" s="391"/>
      <c r="MYQ1607" s="391"/>
      <c r="MYS1607" s="391"/>
      <c r="MYU1607" s="391"/>
      <c r="MYW1607" s="391"/>
      <c r="MYY1607" s="391"/>
      <c r="MZA1607" s="391"/>
      <c r="MZC1607" s="391"/>
      <c r="MZE1607" s="391"/>
      <c r="MZG1607" s="391"/>
      <c r="MZI1607" s="391"/>
      <c r="MZK1607" s="391"/>
      <c r="MZM1607" s="391"/>
      <c r="MZO1607" s="391"/>
      <c r="MZQ1607" s="391"/>
      <c r="MZS1607" s="391"/>
      <c r="MZU1607" s="391"/>
      <c r="MZW1607" s="391"/>
      <c r="MZY1607" s="391"/>
      <c r="NAA1607" s="391"/>
      <c r="NAC1607" s="391"/>
      <c r="NAE1607" s="391"/>
      <c r="NAG1607" s="391"/>
      <c r="NAI1607" s="391"/>
      <c r="NAK1607" s="391"/>
      <c r="NAM1607" s="391"/>
      <c r="NAO1607" s="391"/>
      <c r="NAQ1607" s="391"/>
      <c r="NAS1607" s="391"/>
      <c r="NAU1607" s="391"/>
      <c r="NAW1607" s="391"/>
      <c r="NAY1607" s="391"/>
      <c r="NBA1607" s="391"/>
      <c r="NBC1607" s="391"/>
      <c r="NBE1607" s="391"/>
      <c r="NBG1607" s="391"/>
      <c r="NBI1607" s="391"/>
      <c r="NBK1607" s="391"/>
      <c r="NBM1607" s="391"/>
      <c r="NBO1607" s="391"/>
      <c r="NBQ1607" s="391"/>
      <c r="NBS1607" s="391"/>
      <c r="NBU1607" s="391"/>
      <c r="NBW1607" s="391"/>
      <c r="NBY1607" s="391"/>
      <c r="NCA1607" s="391"/>
      <c r="NCC1607" s="391"/>
      <c r="NCE1607" s="391"/>
      <c r="NCG1607" s="391"/>
      <c r="NCI1607" s="391"/>
      <c r="NCK1607" s="391"/>
      <c r="NCM1607" s="391"/>
      <c r="NCO1607" s="391"/>
      <c r="NCQ1607" s="391"/>
      <c r="NCS1607" s="391"/>
      <c r="NCU1607" s="391"/>
      <c r="NCW1607" s="391"/>
      <c r="NCY1607" s="391"/>
      <c r="NDA1607" s="391"/>
      <c r="NDC1607" s="391"/>
      <c r="NDE1607" s="391"/>
      <c r="NDG1607" s="391"/>
      <c r="NDI1607" s="391"/>
      <c r="NDK1607" s="391"/>
      <c r="NDM1607" s="391"/>
      <c r="NDO1607" s="391"/>
      <c r="NDQ1607" s="391"/>
      <c r="NDS1607" s="391"/>
      <c r="NDU1607" s="391"/>
      <c r="NDW1607" s="391"/>
      <c r="NDY1607" s="391"/>
      <c r="NEA1607" s="391"/>
      <c r="NEC1607" s="391"/>
      <c r="NEE1607" s="391"/>
      <c r="NEG1607" s="391"/>
      <c r="NEI1607" s="391"/>
      <c r="NEK1607" s="391"/>
      <c r="NEM1607" s="391"/>
      <c r="NEO1607" s="391"/>
      <c r="NEQ1607" s="391"/>
      <c r="NES1607" s="391"/>
      <c r="NEU1607" s="391"/>
      <c r="NEW1607" s="391"/>
      <c r="NEY1607" s="391"/>
      <c r="NFA1607" s="391"/>
      <c r="NFC1607" s="391"/>
      <c r="NFE1607" s="391"/>
      <c r="NFG1607" s="391"/>
      <c r="NFI1607" s="391"/>
      <c r="NFK1607" s="391"/>
      <c r="NFM1607" s="391"/>
      <c r="NFO1607" s="391"/>
      <c r="NFQ1607" s="391"/>
      <c r="NFS1607" s="391"/>
      <c r="NFU1607" s="391"/>
      <c r="NFW1607" s="391"/>
      <c r="NFY1607" s="391"/>
      <c r="NGA1607" s="391"/>
      <c r="NGC1607" s="391"/>
      <c r="NGE1607" s="391"/>
      <c r="NGG1607" s="391"/>
      <c r="NGI1607" s="391"/>
      <c r="NGK1607" s="391"/>
      <c r="NGM1607" s="391"/>
      <c r="NGO1607" s="391"/>
      <c r="NGQ1607" s="391"/>
      <c r="NGS1607" s="391"/>
      <c r="NGU1607" s="391"/>
      <c r="NGW1607" s="391"/>
      <c r="NGY1607" s="391"/>
      <c r="NHA1607" s="391"/>
      <c r="NHC1607" s="391"/>
      <c r="NHE1607" s="391"/>
      <c r="NHG1607" s="391"/>
      <c r="NHI1607" s="391"/>
      <c r="NHK1607" s="391"/>
      <c r="NHM1607" s="391"/>
      <c r="NHO1607" s="391"/>
      <c r="NHQ1607" s="391"/>
      <c r="NHS1607" s="391"/>
      <c r="NHU1607" s="391"/>
      <c r="NHW1607" s="391"/>
      <c r="NHY1607" s="391"/>
      <c r="NIA1607" s="391"/>
      <c r="NIC1607" s="391"/>
      <c r="NIE1607" s="391"/>
      <c r="NIG1607" s="391"/>
      <c r="NII1607" s="391"/>
      <c r="NIK1607" s="391"/>
      <c r="NIM1607" s="391"/>
      <c r="NIO1607" s="391"/>
      <c r="NIQ1607" s="391"/>
      <c r="NIS1607" s="391"/>
      <c r="NIU1607" s="391"/>
      <c r="NIW1607" s="391"/>
      <c r="NIY1607" s="391"/>
      <c r="NJA1607" s="391"/>
      <c r="NJC1607" s="391"/>
      <c r="NJE1607" s="391"/>
      <c r="NJG1607" s="391"/>
      <c r="NJI1607" s="391"/>
      <c r="NJK1607" s="391"/>
      <c r="NJM1607" s="391"/>
      <c r="NJO1607" s="391"/>
      <c r="NJQ1607" s="391"/>
      <c r="NJS1607" s="391"/>
      <c r="NJU1607" s="391"/>
      <c r="NJW1607" s="391"/>
      <c r="NJY1607" s="391"/>
      <c r="NKA1607" s="391"/>
      <c r="NKC1607" s="391"/>
      <c r="NKE1607" s="391"/>
      <c r="NKG1607" s="391"/>
      <c r="NKI1607" s="391"/>
      <c r="NKK1607" s="391"/>
      <c r="NKM1607" s="391"/>
      <c r="NKO1607" s="391"/>
      <c r="NKQ1607" s="391"/>
      <c r="NKS1607" s="391"/>
      <c r="NKU1607" s="391"/>
      <c r="NKW1607" s="391"/>
      <c r="NKY1607" s="391"/>
      <c r="NLA1607" s="391"/>
      <c r="NLC1607" s="391"/>
      <c r="NLE1607" s="391"/>
      <c r="NLG1607" s="391"/>
      <c r="NLI1607" s="391"/>
      <c r="NLK1607" s="391"/>
      <c r="NLM1607" s="391"/>
      <c r="NLO1607" s="391"/>
      <c r="NLQ1607" s="391"/>
      <c r="NLS1607" s="391"/>
      <c r="NLU1607" s="391"/>
      <c r="NLW1607" s="391"/>
      <c r="NLY1607" s="391"/>
      <c r="NMA1607" s="391"/>
      <c r="NMC1607" s="391"/>
      <c r="NME1607" s="391"/>
      <c r="NMG1607" s="391"/>
      <c r="NMI1607" s="391"/>
      <c r="NMK1607" s="391"/>
      <c r="NMM1607" s="391"/>
      <c r="NMO1607" s="391"/>
      <c r="NMQ1607" s="391"/>
      <c r="NMS1607" s="391"/>
      <c r="NMU1607" s="391"/>
      <c r="NMW1607" s="391"/>
      <c r="NMY1607" s="391"/>
      <c r="NNA1607" s="391"/>
      <c r="NNC1607" s="391"/>
      <c r="NNE1607" s="391"/>
      <c r="NNG1607" s="391"/>
      <c r="NNI1607" s="391"/>
      <c r="NNK1607" s="391"/>
      <c r="NNM1607" s="391"/>
      <c r="NNO1607" s="391"/>
      <c r="NNQ1607" s="391"/>
      <c r="NNS1607" s="391"/>
      <c r="NNU1607" s="391"/>
      <c r="NNW1607" s="391"/>
      <c r="NNY1607" s="391"/>
      <c r="NOA1607" s="391"/>
      <c r="NOC1607" s="391"/>
      <c r="NOE1607" s="391"/>
      <c r="NOG1607" s="391"/>
      <c r="NOI1607" s="391"/>
      <c r="NOK1607" s="391"/>
      <c r="NOM1607" s="391"/>
      <c r="NOO1607" s="391"/>
      <c r="NOQ1607" s="391"/>
      <c r="NOS1607" s="391"/>
      <c r="NOU1607" s="391"/>
      <c r="NOW1607" s="391"/>
      <c r="NOY1607" s="391"/>
      <c r="NPA1607" s="391"/>
      <c r="NPC1607" s="391"/>
      <c r="NPE1607" s="391"/>
      <c r="NPG1607" s="391"/>
      <c r="NPI1607" s="391"/>
      <c r="NPK1607" s="391"/>
      <c r="NPM1607" s="391"/>
      <c r="NPO1607" s="391"/>
      <c r="NPQ1607" s="391"/>
      <c r="NPS1607" s="391"/>
      <c r="NPU1607" s="391"/>
      <c r="NPW1607" s="391"/>
      <c r="NPY1607" s="391"/>
      <c r="NQA1607" s="391"/>
      <c r="NQC1607" s="391"/>
      <c r="NQE1607" s="391"/>
      <c r="NQG1607" s="391"/>
      <c r="NQI1607" s="391"/>
      <c r="NQK1607" s="391"/>
      <c r="NQM1607" s="391"/>
      <c r="NQO1607" s="391"/>
      <c r="NQQ1607" s="391"/>
      <c r="NQS1607" s="391"/>
      <c r="NQU1607" s="391"/>
      <c r="NQW1607" s="391"/>
      <c r="NQY1607" s="391"/>
      <c r="NRA1607" s="391"/>
      <c r="NRC1607" s="391"/>
      <c r="NRE1607" s="391"/>
      <c r="NRG1607" s="391"/>
      <c r="NRI1607" s="391"/>
      <c r="NRK1607" s="391"/>
      <c r="NRM1607" s="391"/>
      <c r="NRO1607" s="391"/>
      <c r="NRQ1607" s="391"/>
      <c r="NRS1607" s="391"/>
      <c r="NRU1607" s="391"/>
      <c r="NRW1607" s="391"/>
      <c r="NRY1607" s="391"/>
      <c r="NSA1607" s="391"/>
      <c r="NSC1607" s="391"/>
      <c r="NSE1607" s="391"/>
      <c r="NSG1607" s="391"/>
      <c r="NSI1607" s="391"/>
      <c r="NSK1607" s="391"/>
      <c r="NSM1607" s="391"/>
      <c r="NSO1607" s="391"/>
      <c r="NSQ1607" s="391"/>
      <c r="NSS1607" s="391"/>
      <c r="NSU1607" s="391"/>
      <c r="NSW1607" s="391"/>
      <c r="NSY1607" s="391"/>
      <c r="NTA1607" s="391"/>
      <c r="NTC1607" s="391"/>
      <c r="NTE1607" s="391"/>
      <c r="NTG1607" s="391"/>
      <c r="NTI1607" s="391"/>
      <c r="NTK1607" s="391"/>
      <c r="NTM1607" s="391"/>
      <c r="NTO1607" s="391"/>
      <c r="NTQ1607" s="391"/>
      <c r="NTS1607" s="391"/>
      <c r="NTU1607" s="391"/>
      <c r="NTW1607" s="391"/>
      <c r="NTY1607" s="391"/>
      <c r="NUA1607" s="391"/>
      <c r="NUC1607" s="391"/>
      <c r="NUE1607" s="391"/>
      <c r="NUG1607" s="391"/>
      <c r="NUI1607" s="391"/>
      <c r="NUK1607" s="391"/>
      <c r="NUM1607" s="391"/>
      <c r="NUO1607" s="391"/>
      <c r="NUQ1607" s="391"/>
      <c r="NUS1607" s="391"/>
      <c r="NUU1607" s="391"/>
      <c r="NUW1607" s="391"/>
      <c r="NUY1607" s="391"/>
      <c r="NVA1607" s="391"/>
      <c r="NVC1607" s="391"/>
      <c r="NVE1607" s="391"/>
      <c r="NVG1607" s="391"/>
      <c r="NVI1607" s="391"/>
      <c r="NVK1607" s="391"/>
      <c r="NVM1607" s="391"/>
      <c r="NVO1607" s="391"/>
      <c r="NVQ1607" s="391"/>
      <c r="NVS1607" s="391"/>
      <c r="NVU1607" s="391"/>
      <c r="NVW1607" s="391"/>
      <c r="NVY1607" s="391"/>
      <c r="NWA1607" s="391"/>
      <c r="NWC1607" s="391"/>
      <c r="NWE1607" s="391"/>
      <c r="NWG1607" s="391"/>
      <c r="NWI1607" s="391"/>
      <c r="NWK1607" s="391"/>
      <c r="NWM1607" s="391"/>
      <c r="NWO1607" s="391"/>
      <c r="NWQ1607" s="391"/>
      <c r="NWS1607" s="391"/>
      <c r="NWU1607" s="391"/>
      <c r="NWW1607" s="391"/>
      <c r="NWY1607" s="391"/>
      <c r="NXA1607" s="391"/>
      <c r="NXC1607" s="391"/>
      <c r="NXE1607" s="391"/>
      <c r="NXG1607" s="391"/>
      <c r="NXI1607" s="391"/>
      <c r="NXK1607" s="391"/>
      <c r="NXM1607" s="391"/>
      <c r="NXO1607" s="391"/>
      <c r="NXQ1607" s="391"/>
      <c r="NXS1607" s="391"/>
      <c r="NXU1607" s="391"/>
      <c r="NXW1607" s="391"/>
      <c r="NXY1607" s="391"/>
      <c r="NYA1607" s="391"/>
      <c r="NYC1607" s="391"/>
      <c r="NYE1607" s="391"/>
      <c r="NYG1607" s="391"/>
      <c r="NYI1607" s="391"/>
      <c r="NYK1607" s="391"/>
      <c r="NYM1607" s="391"/>
      <c r="NYO1607" s="391"/>
      <c r="NYQ1607" s="391"/>
      <c r="NYS1607" s="391"/>
      <c r="NYU1607" s="391"/>
      <c r="NYW1607" s="391"/>
      <c r="NYY1607" s="391"/>
      <c r="NZA1607" s="391"/>
      <c r="NZC1607" s="391"/>
      <c r="NZE1607" s="391"/>
      <c r="NZG1607" s="391"/>
      <c r="NZI1607" s="391"/>
      <c r="NZK1607" s="391"/>
      <c r="NZM1607" s="391"/>
      <c r="NZO1607" s="391"/>
      <c r="NZQ1607" s="391"/>
      <c r="NZS1607" s="391"/>
      <c r="NZU1607" s="391"/>
      <c r="NZW1607" s="391"/>
      <c r="NZY1607" s="391"/>
      <c r="OAA1607" s="391"/>
      <c r="OAC1607" s="391"/>
      <c r="OAE1607" s="391"/>
      <c r="OAG1607" s="391"/>
      <c r="OAI1607" s="391"/>
      <c r="OAK1607" s="391"/>
      <c r="OAM1607" s="391"/>
      <c r="OAO1607" s="391"/>
      <c r="OAQ1607" s="391"/>
      <c r="OAS1607" s="391"/>
      <c r="OAU1607" s="391"/>
      <c r="OAW1607" s="391"/>
      <c r="OAY1607" s="391"/>
      <c r="OBA1607" s="391"/>
      <c r="OBC1607" s="391"/>
      <c r="OBE1607" s="391"/>
      <c r="OBG1607" s="391"/>
      <c r="OBI1607" s="391"/>
      <c r="OBK1607" s="391"/>
      <c r="OBM1607" s="391"/>
      <c r="OBO1607" s="391"/>
      <c r="OBQ1607" s="391"/>
      <c r="OBS1607" s="391"/>
      <c r="OBU1607" s="391"/>
      <c r="OBW1607" s="391"/>
      <c r="OBY1607" s="391"/>
      <c r="OCA1607" s="391"/>
      <c r="OCC1607" s="391"/>
      <c r="OCE1607" s="391"/>
      <c r="OCG1607" s="391"/>
      <c r="OCI1607" s="391"/>
      <c r="OCK1607" s="391"/>
      <c r="OCM1607" s="391"/>
      <c r="OCO1607" s="391"/>
      <c r="OCQ1607" s="391"/>
      <c r="OCS1607" s="391"/>
      <c r="OCU1607" s="391"/>
      <c r="OCW1607" s="391"/>
      <c r="OCY1607" s="391"/>
      <c r="ODA1607" s="391"/>
      <c r="ODC1607" s="391"/>
      <c r="ODE1607" s="391"/>
      <c r="ODG1607" s="391"/>
      <c r="ODI1607" s="391"/>
      <c r="ODK1607" s="391"/>
      <c r="ODM1607" s="391"/>
      <c r="ODO1607" s="391"/>
      <c r="ODQ1607" s="391"/>
      <c r="ODS1607" s="391"/>
      <c r="ODU1607" s="391"/>
      <c r="ODW1607" s="391"/>
      <c r="ODY1607" s="391"/>
      <c r="OEA1607" s="391"/>
      <c r="OEC1607" s="391"/>
      <c r="OEE1607" s="391"/>
      <c r="OEG1607" s="391"/>
      <c r="OEI1607" s="391"/>
      <c r="OEK1607" s="391"/>
      <c r="OEM1607" s="391"/>
      <c r="OEO1607" s="391"/>
      <c r="OEQ1607" s="391"/>
      <c r="OES1607" s="391"/>
      <c r="OEU1607" s="391"/>
      <c r="OEW1607" s="391"/>
      <c r="OEY1607" s="391"/>
      <c r="OFA1607" s="391"/>
      <c r="OFC1607" s="391"/>
      <c r="OFE1607" s="391"/>
      <c r="OFG1607" s="391"/>
      <c r="OFI1607" s="391"/>
      <c r="OFK1607" s="391"/>
      <c r="OFM1607" s="391"/>
      <c r="OFO1607" s="391"/>
      <c r="OFQ1607" s="391"/>
      <c r="OFS1607" s="391"/>
      <c r="OFU1607" s="391"/>
      <c r="OFW1607" s="391"/>
      <c r="OFY1607" s="391"/>
      <c r="OGA1607" s="391"/>
      <c r="OGC1607" s="391"/>
      <c r="OGE1607" s="391"/>
      <c r="OGG1607" s="391"/>
      <c r="OGI1607" s="391"/>
      <c r="OGK1607" s="391"/>
      <c r="OGM1607" s="391"/>
      <c r="OGO1607" s="391"/>
      <c r="OGQ1607" s="391"/>
      <c r="OGS1607" s="391"/>
      <c r="OGU1607" s="391"/>
      <c r="OGW1607" s="391"/>
      <c r="OGY1607" s="391"/>
      <c r="OHA1607" s="391"/>
      <c r="OHC1607" s="391"/>
      <c r="OHE1607" s="391"/>
      <c r="OHG1607" s="391"/>
      <c r="OHI1607" s="391"/>
      <c r="OHK1607" s="391"/>
      <c r="OHM1607" s="391"/>
      <c r="OHO1607" s="391"/>
      <c r="OHQ1607" s="391"/>
      <c r="OHS1607" s="391"/>
      <c r="OHU1607" s="391"/>
      <c r="OHW1607" s="391"/>
      <c r="OHY1607" s="391"/>
      <c r="OIA1607" s="391"/>
      <c r="OIC1607" s="391"/>
      <c r="OIE1607" s="391"/>
      <c r="OIG1607" s="391"/>
      <c r="OII1607" s="391"/>
      <c r="OIK1607" s="391"/>
      <c r="OIM1607" s="391"/>
      <c r="OIO1607" s="391"/>
      <c r="OIQ1607" s="391"/>
      <c r="OIS1607" s="391"/>
      <c r="OIU1607" s="391"/>
      <c r="OIW1607" s="391"/>
      <c r="OIY1607" s="391"/>
      <c r="OJA1607" s="391"/>
      <c r="OJC1607" s="391"/>
      <c r="OJE1607" s="391"/>
      <c r="OJG1607" s="391"/>
      <c r="OJI1607" s="391"/>
      <c r="OJK1607" s="391"/>
      <c r="OJM1607" s="391"/>
      <c r="OJO1607" s="391"/>
      <c r="OJQ1607" s="391"/>
      <c r="OJS1607" s="391"/>
      <c r="OJU1607" s="391"/>
      <c r="OJW1607" s="391"/>
      <c r="OJY1607" s="391"/>
      <c r="OKA1607" s="391"/>
      <c r="OKC1607" s="391"/>
      <c r="OKE1607" s="391"/>
      <c r="OKG1607" s="391"/>
      <c r="OKI1607" s="391"/>
      <c r="OKK1607" s="391"/>
      <c r="OKM1607" s="391"/>
      <c r="OKO1607" s="391"/>
      <c r="OKQ1607" s="391"/>
      <c r="OKS1607" s="391"/>
      <c r="OKU1607" s="391"/>
      <c r="OKW1607" s="391"/>
      <c r="OKY1607" s="391"/>
      <c r="OLA1607" s="391"/>
      <c r="OLC1607" s="391"/>
      <c r="OLE1607" s="391"/>
      <c r="OLG1607" s="391"/>
      <c r="OLI1607" s="391"/>
      <c r="OLK1607" s="391"/>
      <c r="OLM1607" s="391"/>
      <c r="OLO1607" s="391"/>
      <c r="OLQ1607" s="391"/>
      <c r="OLS1607" s="391"/>
      <c r="OLU1607" s="391"/>
      <c r="OLW1607" s="391"/>
      <c r="OLY1607" s="391"/>
      <c r="OMA1607" s="391"/>
      <c r="OMC1607" s="391"/>
      <c r="OME1607" s="391"/>
      <c r="OMG1607" s="391"/>
      <c r="OMI1607" s="391"/>
      <c r="OMK1607" s="391"/>
      <c r="OMM1607" s="391"/>
      <c r="OMO1607" s="391"/>
      <c r="OMQ1607" s="391"/>
      <c r="OMS1607" s="391"/>
      <c r="OMU1607" s="391"/>
      <c r="OMW1607" s="391"/>
      <c r="OMY1607" s="391"/>
      <c r="ONA1607" s="391"/>
      <c r="ONC1607" s="391"/>
      <c r="ONE1607" s="391"/>
      <c r="ONG1607" s="391"/>
      <c r="ONI1607" s="391"/>
      <c r="ONK1607" s="391"/>
      <c r="ONM1607" s="391"/>
      <c r="ONO1607" s="391"/>
      <c r="ONQ1607" s="391"/>
      <c r="ONS1607" s="391"/>
      <c r="ONU1607" s="391"/>
      <c r="ONW1607" s="391"/>
      <c r="ONY1607" s="391"/>
      <c r="OOA1607" s="391"/>
      <c r="OOC1607" s="391"/>
      <c r="OOE1607" s="391"/>
      <c r="OOG1607" s="391"/>
      <c r="OOI1607" s="391"/>
      <c r="OOK1607" s="391"/>
      <c r="OOM1607" s="391"/>
      <c r="OOO1607" s="391"/>
      <c r="OOQ1607" s="391"/>
      <c r="OOS1607" s="391"/>
      <c r="OOU1607" s="391"/>
      <c r="OOW1607" s="391"/>
      <c r="OOY1607" s="391"/>
      <c r="OPA1607" s="391"/>
      <c r="OPC1607" s="391"/>
      <c r="OPE1607" s="391"/>
      <c r="OPG1607" s="391"/>
      <c r="OPI1607" s="391"/>
      <c r="OPK1607" s="391"/>
      <c r="OPM1607" s="391"/>
      <c r="OPO1607" s="391"/>
      <c r="OPQ1607" s="391"/>
      <c r="OPS1607" s="391"/>
      <c r="OPU1607" s="391"/>
      <c r="OPW1607" s="391"/>
      <c r="OPY1607" s="391"/>
      <c r="OQA1607" s="391"/>
      <c r="OQC1607" s="391"/>
      <c r="OQE1607" s="391"/>
      <c r="OQG1607" s="391"/>
      <c r="OQI1607" s="391"/>
      <c r="OQK1607" s="391"/>
      <c r="OQM1607" s="391"/>
      <c r="OQO1607" s="391"/>
      <c r="OQQ1607" s="391"/>
      <c r="OQS1607" s="391"/>
      <c r="OQU1607" s="391"/>
      <c r="OQW1607" s="391"/>
      <c r="OQY1607" s="391"/>
      <c r="ORA1607" s="391"/>
      <c r="ORC1607" s="391"/>
      <c r="ORE1607" s="391"/>
      <c r="ORG1607" s="391"/>
      <c r="ORI1607" s="391"/>
      <c r="ORK1607" s="391"/>
      <c r="ORM1607" s="391"/>
      <c r="ORO1607" s="391"/>
      <c r="ORQ1607" s="391"/>
      <c r="ORS1607" s="391"/>
      <c r="ORU1607" s="391"/>
      <c r="ORW1607" s="391"/>
      <c r="ORY1607" s="391"/>
      <c r="OSA1607" s="391"/>
      <c r="OSC1607" s="391"/>
      <c r="OSE1607" s="391"/>
      <c r="OSG1607" s="391"/>
      <c r="OSI1607" s="391"/>
      <c r="OSK1607" s="391"/>
      <c r="OSM1607" s="391"/>
      <c r="OSO1607" s="391"/>
      <c r="OSQ1607" s="391"/>
      <c r="OSS1607" s="391"/>
      <c r="OSU1607" s="391"/>
      <c r="OSW1607" s="391"/>
      <c r="OSY1607" s="391"/>
      <c r="OTA1607" s="391"/>
      <c r="OTC1607" s="391"/>
      <c r="OTE1607" s="391"/>
      <c r="OTG1607" s="391"/>
      <c r="OTI1607" s="391"/>
      <c r="OTK1607" s="391"/>
      <c r="OTM1607" s="391"/>
      <c r="OTO1607" s="391"/>
      <c r="OTQ1607" s="391"/>
      <c r="OTS1607" s="391"/>
      <c r="OTU1607" s="391"/>
      <c r="OTW1607" s="391"/>
      <c r="OTY1607" s="391"/>
      <c r="OUA1607" s="391"/>
      <c r="OUC1607" s="391"/>
      <c r="OUE1607" s="391"/>
      <c r="OUG1607" s="391"/>
      <c r="OUI1607" s="391"/>
      <c r="OUK1607" s="391"/>
      <c r="OUM1607" s="391"/>
      <c r="OUO1607" s="391"/>
      <c r="OUQ1607" s="391"/>
      <c r="OUS1607" s="391"/>
      <c r="OUU1607" s="391"/>
      <c r="OUW1607" s="391"/>
      <c r="OUY1607" s="391"/>
      <c r="OVA1607" s="391"/>
      <c r="OVC1607" s="391"/>
      <c r="OVE1607" s="391"/>
      <c r="OVG1607" s="391"/>
      <c r="OVI1607" s="391"/>
      <c r="OVK1607" s="391"/>
      <c r="OVM1607" s="391"/>
      <c r="OVO1607" s="391"/>
      <c r="OVQ1607" s="391"/>
      <c r="OVS1607" s="391"/>
      <c r="OVU1607" s="391"/>
      <c r="OVW1607" s="391"/>
      <c r="OVY1607" s="391"/>
      <c r="OWA1607" s="391"/>
      <c r="OWC1607" s="391"/>
      <c r="OWE1607" s="391"/>
      <c r="OWG1607" s="391"/>
      <c r="OWI1607" s="391"/>
      <c r="OWK1607" s="391"/>
      <c r="OWM1607" s="391"/>
      <c r="OWO1607" s="391"/>
      <c r="OWQ1607" s="391"/>
      <c r="OWS1607" s="391"/>
      <c r="OWU1607" s="391"/>
      <c r="OWW1607" s="391"/>
      <c r="OWY1607" s="391"/>
      <c r="OXA1607" s="391"/>
      <c r="OXC1607" s="391"/>
      <c r="OXE1607" s="391"/>
      <c r="OXG1607" s="391"/>
      <c r="OXI1607" s="391"/>
      <c r="OXK1607" s="391"/>
      <c r="OXM1607" s="391"/>
      <c r="OXO1607" s="391"/>
      <c r="OXQ1607" s="391"/>
      <c r="OXS1607" s="391"/>
      <c r="OXU1607" s="391"/>
      <c r="OXW1607" s="391"/>
      <c r="OXY1607" s="391"/>
      <c r="OYA1607" s="391"/>
      <c r="OYC1607" s="391"/>
      <c r="OYE1607" s="391"/>
      <c r="OYG1607" s="391"/>
      <c r="OYI1607" s="391"/>
      <c r="OYK1607" s="391"/>
      <c r="OYM1607" s="391"/>
      <c r="OYO1607" s="391"/>
      <c r="OYQ1607" s="391"/>
      <c r="OYS1607" s="391"/>
      <c r="OYU1607" s="391"/>
      <c r="OYW1607" s="391"/>
      <c r="OYY1607" s="391"/>
      <c r="OZA1607" s="391"/>
      <c r="OZC1607" s="391"/>
      <c r="OZE1607" s="391"/>
      <c r="OZG1607" s="391"/>
      <c r="OZI1607" s="391"/>
      <c r="OZK1607" s="391"/>
      <c r="OZM1607" s="391"/>
      <c r="OZO1607" s="391"/>
      <c r="OZQ1607" s="391"/>
      <c r="OZS1607" s="391"/>
      <c r="OZU1607" s="391"/>
      <c r="OZW1607" s="391"/>
      <c r="OZY1607" s="391"/>
      <c r="PAA1607" s="391"/>
      <c r="PAC1607" s="391"/>
      <c r="PAE1607" s="391"/>
      <c r="PAG1607" s="391"/>
      <c r="PAI1607" s="391"/>
      <c r="PAK1607" s="391"/>
      <c r="PAM1607" s="391"/>
      <c r="PAO1607" s="391"/>
      <c r="PAQ1607" s="391"/>
      <c r="PAS1607" s="391"/>
      <c r="PAU1607" s="391"/>
      <c r="PAW1607" s="391"/>
      <c r="PAY1607" s="391"/>
      <c r="PBA1607" s="391"/>
      <c r="PBC1607" s="391"/>
      <c r="PBE1607" s="391"/>
      <c r="PBG1607" s="391"/>
      <c r="PBI1607" s="391"/>
      <c r="PBK1607" s="391"/>
      <c r="PBM1607" s="391"/>
      <c r="PBO1607" s="391"/>
      <c r="PBQ1607" s="391"/>
      <c r="PBS1607" s="391"/>
      <c r="PBU1607" s="391"/>
      <c r="PBW1607" s="391"/>
      <c r="PBY1607" s="391"/>
      <c r="PCA1607" s="391"/>
      <c r="PCC1607" s="391"/>
      <c r="PCE1607" s="391"/>
      <c r="PCG1607" s="391"/>
      <c r="PCI1607" s="391"/>
      <c r="PCK1607" s="391"/>
      <c r="PCM1607" s="391"/>
      <c r="PCO1607" s="391"/>
      <c r="PCQ1607" s="391"/>
      <c r="PCS1607" s="391"/>
      <c r="PCU1607" s="391"/>
      <c r="PCW1607" s="391"/>
      <c r="PCY1607" s="391"/>
      <c r="PDA1607" s="391"/>
      <c r="PDC1607" s="391"/>
      <c r="PDE1607" s="391"/>
      <c r="PDG1607" s="391"/>
      <c r="PDI1607" s="391"/>
      <c r="PDK1607" s="391"/>
      <c r="PDM1607" s="391"/>
      <c r="PDO1607" s="391"/>
      <c r="PDQ1607" s="391"/>
      <c r="PDS1607" s="391"/>
      <c r="PDU1607" s="391"/>
      <c r="PDW1607" s="391"/>
      <c r="PDY1607" s="391"/>
      <c r="PEA1607" s="391"/>
      <c r="PEC1607" s="391"/>
      <c r="PEE1607" s="391"/>
      <c r="PEG1607" s="391"/>
      <c r="PEI1607" s="391"/>
      <c r="PEK1607" s="391"/>
      <c r="PEM1607" s="391"/>
      <c r="PEO1607" s="391"/>
      <c r="PEQ1607" s="391"/>
      <c r="PES1607" s="391"/>
      <c r="PEU1607" s="391"/>
      <c r="PEW1607" s="391"/>
      <c r="PEY1607" s="391"/>
      <c r="PFA1607" s="391"/>
      <c r="PFC1607" s="391"/>
      <c r="PFE1607" s="391"/>
      <c r="PFG1607" s="391"/>
      <c r="PFI1607" s="391"/>
      <c r="PFK1607" s="391"/>
      <c r="PFM1607" s="391"/>
      <c r="PFO1607" s="391"/>
      <c r="PFQ1607" s="391"/>
      <c r="PFS1607" s="391"/>
      <c r="PFU1607" s="391"/>
      <c r="PFW1607" s="391"/>
      <c r="PFY1607" s="391"/>
      <c r="PGA1607" s="391"/>
      <c r="PGC1607" s="391"/>
      <c r="PGE1607" s="391"/>
      <c r="PGG1607" s="391"/>
      <c r="PGI1607" s="391"/>
      <c r="PGK1607" s="391"/>
      <c r="PGM1607" s="391"/>
      <c r="PGO1607" s="391"/>
      <c r="PGQ1607" s="391"/>
      <c r="PGS1607" s="391"/>
      <c r="PGU1607" s="391"/>
      <c r="PGW1607" s="391"/>
      <c r="PGY1607" s="391"/>
      <c r="PHA1607" s="391"/>
      <c r="PHC1607" s="391"/>
      <c r="PHE1607" s="391"/>
      <c r="PHG1607" s="391"/>
      <c r="PHI1607" s="391"/>
      <c r="PHK1607" s="391"/>
      <c r="PHM1607" s="391"/>
      <c r="PHO1607" s="391"/>
      <c r="PHQ1607" s="391"/>
      <c r="PHS1607" s="391"/>
      <c r="PHU1607" s="391"/>
      <c r="PHW1607" s="391"/>
      <c r="PHY1607" s="391"/>
      <c r="PIA1607" s="391"/>
      <c r="PIC1607" s="391"/>
      <c r="PIE1607" s="391"/>
      <c r="PIG1607" s="391"/>
      <c r="PII1607" s="391"/>
      <c r="PIK1607" s="391"/>
      <c r="PIM1607" s="391"/>
      <c r="PIO1607" s="391"/>
      <c r="PIQ1607" s="391"/>
      <c r="PIS1607" s="391"/>
      <c r="PIU1607" s="391"/>
      <c r="PIW1607" s="391"/>
      <c r="PIY1607" s="391"/>
      <c r="PJA1607" s="391"/>
      <c r="PJC1607" s="391"/>
      <c r="PJE1607" s="391"/>
      <c r="PJG1607" s="391"/>
      <c r="PJI1607" s="391"/>
      <c r="PJK1607" s="391"/>
      <c r="PJM1607" s="391"/>
      <c r="PJO1607" s="391"/>
      <c r="PJQ1607" s="391"/>
      <c r="PJS1607" s="391"/>
      <c r="PJU1607" s="391"/>
      <c r="PJW1607" s="391"/>
      <c r="PJY1607" s="391"/>
      <c r="PKA1607" s="391"/>
      <c r="PKC1607" s="391"/>
      <c r="PKE1607" s="391"/>
      <c r="PKG1607" s="391"/>
      <c r="PKI1607" s="391"/>
      <c r="PKK1607" s="391"/>
      <c r="PKM1607" s="391"/>
      <c r="PKO1607" s="391"/>
      <c r="PKQ1607" s="391"/>
      <c r="PKS1607" s="391"/>
      <c r="PKU1607" s="391"/>
      <c r="PKW1607" s="391"/>
      <c r="PKY1607" s="391"/>
      <c r="PLA1607" s="391"/>
      <c r="PLC1607" s="391"/>
      <c r="PLE1607" s="391"/>
      <c r="PLG1607" s="391"/>
      <c r="PLI1607" s="391"/>
      <c r="PLK1607" s="391"/>
      <c r="PLM1607" s="391"/>
      <c r="PLO1607" s="391"/>
      <c r="PLQ1607" s="391"/>
      <c r="PLS1607" s="391"/>
      <c r="PLU1607" s="391"/>
      <c r="PLW1607" s="391"/>
      <c r="PLY1607" s="391"/>
      <c r="PMA1607" s="391"/>
      <c r="PMC1607" s="391"/>
      <c r="PME1607" s="391"/>
      <c r="PMG1607" s="391"/>
      <c r="PMI1607" s="391"/>
      <c r="PMK1607" s="391"/>
      <c r="PMM1607" s="391"/>
      <c r="PMO1607" s="391"/>
      <c r="PMQ1607" s="391"/>
      <c r="PMS1607" s="391"/>
      <c r="PMU1607" s="391"/>
      <c r="PMW1607" s="391"/>
      <c r="PMY1607" s="391"/>
      <c r="PNA1607" s="391"/>
      <c r="PNC1607" s="391"/>
      <c r="PNE1607" s="391"/>
      <c r="PNG1607" s="391"/>
      <c r="PNI1607" s="391"/>
      <c r="PNK1607" s="391"/>
      <c r="PNM1607" s="391"/>
      <c r="PNO1607" s="391"/>
      <c r="PNQ1607" s="391"/>
      <c r="PNS1607" s="391"/>
      <c r="PNU1607" s="391"/>
      <c r="PNW1607" s="391"/>
      <c r="PNY1607" s="391"/>
      <c r="POA1607" s="391"/>
      <c r="POC1607" s="391"/>
      <c r="POE1607" s="391"/>
      <c r="POG1607" s="391"/>
      <c r="POI1607" s="391"/>
      <c r="POK1607" s="391"/>
      <c r="POM1607" s="391"/>
      <c r="POO1607" s="391"/>
      <c r="POQ1607" s="391"/>
      <c r="POS1607" s="391"/>
      <c r="POU1607" s="391"/>
      <c r="POW1607" s="391"/>
      <c r="POY1607" s="391"/>
      <c r="PPA1607" s="391"/>
      <c r="PPC1607" s="391"/>
      <c r="PPE1607" s="391"/>
      <c r="PPG1607" s="391"/>
      <c r="PPI1607" s="391"/>
      <c r="PPK1607" s="391"/>
      <c r="PPM1607" s="391"/>
      <c r="PPO1607" s="391"/>
      <c r="PPQ1607" s="391"/>
      <c r="PPS1607" s="391"/>
      <c r="PPU1607" s="391"/>
      <c r="PPW1607" s="391"/>
      <c r="PPY1607" s="391"/>
      <c r="PQA1607" s="391"/>
      <c r="PQC1607" s="391"/>
      <c r="PQE1607" s="391"/>
      <c r="PQG1607" s="391"/>
      <c r="PQI1607" s="391"/>
      <c r="PQK1607" s="391"/>
      <c r="PQM1607" s="391"/>
      <c r="PQO1607" s="391"/>
      <c r="PQQ1607" s="391"/>
      <c r="PQS1607" s="391"/>
      <c r="PQU1607" s="391"/>
      <c r="PQW1607" s="391"/>
      <c r="PQY1607" s="391"/>
      <c r="PRA1607" s="391"/>
      <c r="PRC1607" s="391"/>
      <c r="PRE1607" s="391"/>
      <c r="PRG1607" s="391"/>
      <c r="PRI1607" s="391"/>
      <c r="PRK1607" s="391"/>
      <c r="PRM1607" s="391"/>
      <c r="PRO1607" s="391"/>
      <c r="PRQ1607" s="391"/>
      <c r="PRS1607" s="391"/>
      <c r="PRU1607" s="391"/>
      <c r="PRW1607" s="391"/>
      <c r="PRY1607" s="391"/>
      <c r="PSA1607" s="391"/>
      <c r="PSC1607" s="391"/>
      <c r="PSE1607" s="391"/>
      <c r="PSG1607" s="391"/>
      <c r="PSI1607" s="391"/>
      <c r="PSK1607" s="391"/>
      <c r="PSM1607" s="391"/>
      <c r="PSO1607" s="391"/>
      <c r="PSQ1607" s="391"/>
      <c r="PSS1607" s="391"/>
      <c r="PSU1607" s="391"/>
      <c r="PSW1607" s="391"/>
      <c r="PSY1607" s="391"/>
      <c r="PTA1607" s="391"/>
      <c r="PTC1607" s="391"/>
      <c r="PTE1607" s="391"/>
      <c r="PTG1607" s="391"/>
      <c r="PTI1607" s="391"/>
      <c r="PTK1607" s="391"/>
      <c r="PTM1607" s="391"/>
      <c r="PTO1607" s="391"/>
      <c r="PTQ1607" s="391"/>
      <c r="PTS1607" s="391"/>
      <c r="PTU1607" s="391"/>
      <c r="PTW1607" s="391"/>
      <c r="PTY1607" s="391"/>
      <c r="PUA1607" s="391"/>
      <c r="PUC1607" s="391"/>
      <c r="PUE1607" s="391"/>
      <c r="PUG1607" s="391"/>
      <c r="PUI1607" s="391"/>
      <c r="PUK1607" s="391"/>
      <c r="PUM1607" s="391"/>
      <c r="PUO1607" s="391"/>
      <c r="PUQ1607" s="391"/>
      <c r="PUS1607" s="391"/>
      <c r="PUU1607" s="391"/>
      <c r="PUW1607" s="391"/>
      <c r="PUY1607" s="391"/>
      <c r="PVA1607" s="391"/>
      <c r="PVC1607" s="391"/>
      <c r="PVE1607" s="391"/>
      <c r="PVG1607" s="391"/>
      <c r="PVI1607" s="391"/>
      <c r="PVK1607" s="391"/>
      <c r="PVM1607" s="391"/>
      <c r="PVO1607" s="391"/>
      <c r="PVQ1607" s="391"/>
      <c r="PVS1607" s="391"/>
      <c r="PVU1607" s="391"/>
      <c r="PVW1607" s="391"/>
      <c r="PVY1607" s="391"/>
      <c r="PWA1607" s="391"/>
      <c r="PWC1607" s="391"/>
      <c r="PWE1607" s="391"/>
      <c r="PWG1607" s="391"/>
      <c r="PWI1607" s="391"/>
      <c r="PWK1607" s="391"/>
      <c r="PWM1607" s="391"/>
      <c r="PWO1607" s="391"/>
      <c r="PWQ1607" s="391"/>
      <c r="PWS1607" s="391"/>
      <c r="PWU1607" s="391"/>
      <c r="PWW1607" s="391"/>
      <c r="PWY1607" s="391"/>
      <c r="PXA1607" s="391"/>
      <c r="PXC1607" s="391"/>
      <c r="PXE1607" s="391"/>
      <c r="PXG1607" s="391"/>
      <c r="PXI1607" s="391"/>
      <c r="PXK1607" s="391"/>
      <c r="PXM1607" s="391"/>
      <c r="PXO1607" s="391"/>
      <c r="PXQ1607" s="391"/>
      <c r="PXS1607" s="391"/>
      <c r="PXU1607" s="391"/>
      <c r="PXW1607" s="391"/>
      <c r="PXY1607" s="391"/>
      <c r="PYA1607" s="391"/>
      <c r="PYC1607" s="391"/>
      <c r="PYE1607" s="391"/>
      <c r="PYG1607" s="391"/>
      <c r="PYI1607" s="391"/>
      <c r="PYK1607" s="391"/>
      <c r="PYM1607" s="391"/>
      <c r="PYO1607" s="391"/>
      <c r="PYQ1607" s="391"/>
      <c r="PYS1607" s="391"/>
      <c r="PYU1607" s="391"/>
      <c r="PYW1607" s="391"/>
      <c r="PYY1607" s="391"/>
      <c r="PZA1607" s="391"/>
      <c r="PZC1607" s="391"/>
      <c r="PZE1607" s="391"/>
      <c r="PZG1607" s="391"/>
      <c r="PZI1607" s="391"/>
      <c r="PZK1607" s="391"/>
      <c r="PZM1607" s="391"/>
      <c r="PZO1607" s="391"/>
      <c r="PZQ1607" s="391"/>
      <c r="PZS1607" s="391"/>
      <c r="PZU1607" s="391"/>
      <c r="PZW1607" s="391"/>
      <c r="PZY1607" s="391"/>
      <c r="QAA1607" s="391"/>
      <c r="QAC1607" s="391"/>
      <c r="QAE1607" s="391"/>
      <c r="QAG1607" s="391"/>
      <c r="QAI1607" s="391"/>
      <c r="QAK1607" s="391"/>
      <c r="QAM1607" s="391"/>
      <c r="QAO1607" s="391"/>
      <c r="QAQ1607" s="391"/>
      <c r="QAS1607" s="391"/>
      <c r="QAU1607" s="391"/>
      <c r="QAW1607" s="391"/>
      <c r="QAY1607" s="391"/>
      <c r="QBA1607" s="391"/>
      <c r="QBC1607" s="391"/>
      <c r="QBE1607" s="391"/>
      <c r="QBG1607" s="391"/>
      <c r="QBI1607" s="391"/>
      <c r="QBK1607" s="391"/>
      <c r="QBM1607" s="391"/>
      <c r="QBO1607" s="391"/>
      <c r="QBQ1607" s="391"/>
      <c r="QBS1607" s="391"/>
      <c r="QBU1607" s="391"/>
      <c r="QBW1607" s="391"/>
      <c r="QBY1607" s="391"/>
      <c r="QCA1607" s="391"/>
      <c r="QCC1607" s="391"/>
      <c r="QCE1607" s="391"/>
      <c r="QCG1607" s="391"/>
      <c r="QCI1607" s="391"/>
      <c r="QCK1607" s="391"/>
      <c r="QCM1607" s="391"/>
      <c r="QCO1607" s="391"/>
      <c r="QCQ1607" s="391"/>
      <c r="QCS1607" s="391"/>
      <c r="QCU1607" s="391"/>
      <c r="QCW1607" s="391"/>
      <c r="QCY1607" s="391"/>
      <c r="QDA1607" s="391"/>
      <c r="QDC1607" s="391"/>
      <c r="QDE1607" s="391"/>
      <c r="QDG1607" s="391"/>
      <c r="QDI1607" s="391"/>
      <c r="QDK1607" s="391"/>
      <c r="QDM1607" s="391"/>
      <c r="QDO1607" s="391"/>
      <c r="QDQ1607" s="391"/>
      <c r="QDS1607" s="391"/>
      <c r="QDU1607" s="391"/>
      <c r="QDW1607" s="391"/>
      <c r="QDY1607" s="391"/>
      <c r="QEA1607" s="391"/>
      <c r="QEC1607" s="391"/>
      <c r="QEE1607" s="391"/>
      <c r="QEG1607" s="391"/>
      <c r="QEI1607" s="391"/>
      <c r="QEK1607" s="391"/>
      <c r="QEM1607" s="391"/>
      <c r="QEO1607" s="391"/>
      <c r="QEQ1607" s="391"/>
      <c r="QES1607" s="391"/>
      <c r="QEU1607" s="391"/>
      <c r="QEW1607" s="391"/>
      <c r="QEY1607" s="391"/>
      <c r="QFA1607" s="391"/>
      <c r="QFC1607" s="391"/>
      <c r="QFE1607" s="391"/>
      <c r="QFG1607" s="391"/>
      <c r="QFI1607" s="391"/>
      <c r="QFK1607" s="391"/>
      <c r="QFM1607" s="391"/>
      <c r="QFO1607" s="391"/>
      <c r="QFQ1607" s="391"/>
      <c r="QFS1607" s="391"/>
      <c r="QFU1607" s="391"/>
      <c r="QFW1607" s="391"/>
      <c r="QFY1607" s="391"/>
      <c r="QGA1607" s="391"/>
      <c r="QGC1607" s="391"/>
      <c r="QGE1607" s="391"/>
      <c r="QGG1607" s="391"/>
      <c r="QGI1607" s="391"/>
      <c r="QGK1607" s="391"/>
      <c r="QGM1607" s="391"/>
      <c r="QGO1607" s="391"/>
      <c r="QGQ1607" s="391"/>
      <c r="QGS1607" s="391"/>
      <c r="QGU1607" s="391"/>
      <c r="QGW1607" s="391"/>
      <c r="QGY1607" s="391"/>
      <c r="QHA1607" s="391"/>
      <c r="QHC1607" s="391"/>
      <c r="QHE1607" s="391"/>
      <c r="QHG1607" s="391"/>
      <c r="QHI1607" s="391"/>
      <c r="QHK1607" s="391"/>
      <c r="QHM1607" s="391"/>
      <c r="QHO1607" s="391"/>
      <c r="QHQ1607" s="391"/>
      <c r="QHS1607" s="391"/>
      <c r="QHU1607" s="391"/>
      <c r="QHW1607" s="391"/>
      <c r="QHY1607" s="391"/>
      <c r="QIA1607" s="391"/>
      <c r="QIC1607" s="391"/>
      <c r="QIE1607" s="391"/>
      <c r="QIG1607" s="391"/>
      <c r="QII1607" s="391"/>
      <c r="QIK1607" s="391"/>
      <c r="QIM1607" s="391"/>
      <c r="QIO1607" s="391"/>
      <c r="QIQ1607" s="391"/>
      <c r="QIS1607" s="391"/>
      <c r="QIU1607" s="391"/>
      <c r="QIW1607" s="391"/>
      <c r="QIY1607" s="391"/>
      <c r="QJA1607" s="391"/>
      <c r="QJC1607" s="391"/>
      <c r="QJE1607" s="391"/>
      <c r="QJG1607" s="391"/>
      <c r="QJI1607" s="391"/>
      <c r="QJK1607" s="391"/>
      <c r="QJM1607" s="391"/>
      <c r="QJO1607" s="391"/>
      <c r="QJQ1607" s="391"/>
      <c r="QJS1607" s="391"/>
      <c r="QJU1607" s="391"/>
      <c r="QJW1607" s="391"/>
      <c r="QJY1607" s="391"/>
      <c r="QKA1607" s="391"/>
      <c r="QKC1607" s="391"/>
      <c r="QKE1607" s="391"/>
      <c r="QKG1607" s="391"/>
      <c r="QKI1607" s="391"/>
      <c r="QKK1607" s="391"/>
      <c r="QKM1607" s="391"/>
      <c r="QKO1607" s="391"/>
      <c r="QKQ1607" s="391"/>
      <c r="QKS1607" s="391"/>
      <c r="QKU1607" s="391"/>
      <c r="QKW1607" s="391"/>
      <c r="QKY1607" s="391"/>
      <c r="QLA1607" s="391"/>
      <c r="QLC1607" s="391"/>
      <c r="QLE1607" s="391"/>
      <c r="QLG1607" s="391"/>
      <c r="QLI1607" s="391"/>
      <c r="QLK1607" s="391"/>
      <c r="QLM1607" s="391"/>
      <c r="QLO1607" s="391"/>
      <c r="QLQ1607" s="391"/>
      <c r="QLS1607" s="391"/>
      <c r="QLU1607" s="391"/>
      <c r="QLW1607" s="391"/>
      <c r="QLY1607" s="391"/>
      <c r="QMA1607" s="391"/>
      <c r="QMC1607" s="391"/>
      <c r="QME1607" s="391"/>
      <c r="QMG1607" s="391"/>
      <c r="QMI1607" s="391"/>
      <c r="QMK1607" s="391"/>
      <c r="QMM1607" s="391"/>
      <c r="QMO1607" s="391"/>
      <c r="QMQ1607" s="391"/>
      <c r="QMS1607" s="391"/>
      <c r="QMU1607" s="391"/>
      <c r="QMW1607" s="391"/>
      <c r="QMY1607" s="391"/>
      <c r="QNA1607" s="391"/>
      <c r="QNC1607" s="391"/>
      <c r="QNE1607" s="391"/>
      <c r="QNG1607" s="391"/>
      <c r="QNI1607" s="391"/>
      <c r="QNK1607" s="391"/>
      <c r="QNM1607" s="391"/>
      <c r="QNO1607" s="391"/>
      <c r="QNQ1607" s="391"/>
      <c r="QNS1607" s="391"/>
      <c r="QNU1607" s="391"/>
      <c r="QNW1607" s="391"/>
      <c r="QNY1607" s="391"/>
      <c r="QOA1607" s="391"/>
      <c r="QOC1607" s="391"/>
      <c r="QOE1607" s="391"/>
      <c r="QOG1607" s="391"/>
      <c r="QOI1607" s="391"/>
      <c r="QOK1607" s="391"/>
      <c r="QOM1607" s="391"/>
      <c r="QOO1607" s="391"/>
      <c r="QOQ1607" s="391"/>
      <c r="QOS1607" s="391"/>
      <c r="QOU1607" s="391"/>
      <c r="QOW1607" s="391"/>
      <c r="QOY1607" s="391"/>
      <c r="QPA1607" s="391"/>
      <c r="QPC1607" s="391"/>
      <c r="QPE1607" s="391"/>
      <c r="QPG1607" s="391"/>
      <c r="QPI1607" s="391"/>
      <c r="QPK1607" s="391"/>
      <c r="QPM1607" s="391"/>
      <c r="QPO1607" s="391"/>
      <c r="QPQ1607" s="391"/>
      <c r="QPS1607" s="391"/>
      <c r="QPU1607" s="391"/>
      <c r="QPW1607" s="391"/>
      <c r="QPY1607" s="391"/>
      <c r="QQA1607" s="391"/>
      <c r="QQC1607" s="391"/>
      <c r="QQE1607" s="391"/>
      <c r="QQG1607" s="391"/>
      <c r="QQI1607" s="391"/>
      <c r="QQK1607" s="391"/>
      <c r="QQM1607" s="391"/>
      <c r="QQO1607" s="391"/>
      <c r="QQQ1607" s="391"/>
      <c r="QQS1607" s="391"/>
      <c r="QQU1607" s="391"/>
      <c r="QQW1607" s="391"/>
      <c r="QQY1607" s="391"/>
      <c r="QRA1607" s="391"/>
      <c r="QRC1607" s="391"/>
      <c r="QRE1607" s="391"/>
      <c r="QRG1607" s="391"/>
      <c r="QRI1607" s="391"/>
      <c r="QRK1607" s="391"/>
      <c r="QRM1607" s="391"/>
      <c r="QRO1607" s="391"/>
      <c r="QRQ1607" s="391"/>
      <c r="QRS1607" s="391"/>
      <c r="QRU1607" s="391"/>
      <c r="QRW1607" s="391"/>
      <c r="QRY1607" s="391"/>
      <c r="QSA1607" s="391"/>
      <c r="QSC1607" s="391"/>
      <c r="QSE1607" s="391"/>
      <c r="QSG1607" s="391"/>
      <c r="QSI1607" s="391"/>
      <c r="QSK1607" s="391"/>
      <c r="QSM1607" s="391"/>
      <c r="QSO1607" s="391"/>
      <c r="QSQ1607" s="391"/>
      <c r="QSS1607" s="391"/>
      <c r="QSU1607" s="391"/>
      <c r="QSW1607" s="391"/>
      <c r="QSY1607" s="391"/>
      <c r="QTA1607" s="391"/>
      <c r="QTC1607" s="391"/>
      <c r="QTE1607" s="391"/>
      <c r="QTG1607" s="391"/>
      <c r="QTI1607" s="391"/>
      <c r="QTK1607" s="391"/>
      <c r="QTM1607" s="391"/>
      <c r="QTO1607" s="391"/>
      <c r="QTQ1607" s="391"/>
      <c r="QTS1607" s="391"/>
      <c r="QTU1607" s="391"/>
      <c r="QTW1607" s="391"/>
      <c r="QTY1607" s="391"/>
      <c r="QUA1607" s="391"/>
      <c r="QUC1607" s="391"/>
      <c r="QUE1607" s="391"/>
      <c r="QUG1607" s="391"/>
      <c r="QUI1607" s="391"/>
      <c r="QUK1607" s="391"/>
      <c r="QUM1607" s="391"/>
      <c r="QUO1607" s="391"/>
      <c r="QUQ1607" s="391"/>
      <c r="QUS1607" s="391"/>
      <c r="QUU1607" s="391"/>
      <c r="QUW1607" s="391"/>
      <c r="QUY1607" s="391"/>
      <c r="QVA1607" s="391"/>
      <c r="QVC1607" s="391"/>
      <c r="QVE1607" s="391"/>
      <c r="QVG1607" s="391"/>
      <c r="QVI1607" s="391"/>
      <c r="QVK1607" s="391"/>
      <c r="QVM1607" s="391"/>
      <c r="QVO1607" s="391"/>
      <c r="QVQ1607" s="391"/>
      <c r="QVS1607" s="391"/>
      <c r="QVU1607" s="391"/>
      <c r="QVW1607" s="391"/>
      <c r="QVY1607" s="391"/>
      <c r="QWA1607" s="391"/>
      <c r="QWC1607" s="391"/>
      <c r="QWE1607" s="391"/>
      <c r="QWG1607" s="391"/>
      <c r="QWI1607" s="391"/>
      <c r="QWK1607" s="391"/>
      <c r="QWM1607" s="391"/>
      <c r="QWO1607" s="391"/>
      <c r="QWQ1607" s="391"/>
      <c r="QWS1607" s="391"/>
      <c r="QWU1607" s="391"/>
      <c r="QWW1607" s="391"/>
      <c r="QWY1607" s="391"/>
      <c r="QXA1607" s="391"/>
      <c r="QXC1607" s="391"/>
      <c r="QXE1607" s="391"/>
      <c r="QXG1607" s="391"/>
      <c r="QXI1607" s="391"/>
      <c r="QXK1607" s="391"/>
      <c r="QXM1607" s="391"/>
      <c r="QXO1607" s="391"/>
      <c r="QXQ1607" s="391"/>
      <c r="QXS1607" s="391"/>
      <c r="QXU1607" s="391"/>
      <c r="QXW1607" s="391"/>
      <c r="QXY1607" s="391"/>
      <c r="QYA1607" s="391"/>
      <c r="QYC1607" s="391"/>
      <c r="QYE1607" s="391"/>
      <c r="QYG1607" s="391"/>
      <c r="QYI1607" s="391"/>
      <c r="QYK1607" s="391"/>
      <c r="QYM1607" s="391"/>
      <c r="QYO1607" s="391"/>
      <c r="QYQ1607" s="391"/>
      <c r="QYS1607" s="391"/>
      <c r="QYU1607" s="391"/>
      <c r="QYW1607" s="391"/>
      <c r="QYY1607" s="391"/>
      <c r="QZA1607" s="391"/>
      <c r="QZC1607" s="391"/>
      <c r="QZE1607" s="391"/>
      <c r="QZG1607" s="391"/>
      <c r="QZI1607" s="391"/>
      <c r="QZK1607" s="391"/>
      <c r="QZM1607" s="391"/>
      <c r="QZO1607" s="391"/>
      <c r="QZQ1607" s="391"/>
      <c r="QZS1607" s="391"/>
      <c r="QZU1607" s="391"/>
      <c r="QZW1607" s="391"/>
      <c r="QZY1607" s="391"/>
      <c r="RAA1607" s="391"/>
      <c r="RAC1607" s="391"/>
      <c r="RAE1607" s="391"/>
      <c r="RAG1607" s="391"/>
      <c r="RAI1607" s="391"/>
      <c r="RAK1607" s="391"/>
      <c r="RAM1607" s="391"/>
      <c r="RAO1607" s="391"/>
      <c r="RAQ1607" s="391"/>
      <c r="RAS1607" s="391"/>
      <c r="RAU1607" s="391"/>
      <c r="RAW1607" s="391"/>
      <c r="RAY1607" s="391"/>
      <c r="RBA1607" s="391"/>
      <c r="RBC1607" s="391"/>
      <c r="RBE1607" s="391"/>
      <c r="RBG1607" s="391"/>
      <c r="RBI1607" s="391"/>
      <c r="RBK1607" s="391"/>
      <c r="RBM1607" s="391"/>
      <c r="RBO1607" s="391"/>
      <c r="RBQ1607" s="391"/>
      <c r="RBS1607" s="391"/>
      <c r="RBU1607" s="391"/>
      <c r="RBW1607" s="391"/>
      <c r="RBY1607" s="391"/>
      <c r="RCA1607" s="391"/>
      <c r="RCC1607" s="391"/>
      <c r="RCE1607" s="391"/>
      <c r="RCG1607" s="391"/>
      <c r="RCI1607" s="391"/>
      <c r="RCK1607" s="391"/>
      <c r="RCM1607" s="391"/>
      <c r="RCO1607" s="391"/>
      <c r="RCQ1607" s="391"/>
      <c r="RCS1607" s="391"/>
      <c r="RCU1607" s="391"/>
      <c r="RCW1607" s="391"/>
      <c r="RCY1607" s="391"/>
      <c r="RDA1607" s="391"/>
      <c r="RDC1607" s="391"/>
      <c r="RDE1607" s="391"/>
      <c r="RDG1607" s="391"/>
      <c r="RDI1607" s="391"/>
      <c r="RDK1607" s="391"/>
      <c r="RDM1607" s="391"/>
      <c r="RDO1607" s="391"/>
      <c r="RDQ1607" s="391"/>
      <c r="RDS1607" s="391"/>
      <c r="RDU1607" s="391"/>
      <c r="RDW1607" s="391"/>
      <c r="RDY1607" s="391"/>
      <c r="REA1607" s="391"/>
      <c r="REC1607" s="391"/>
      <c r="REE1607" s="391"/>
      <c r="REG1607" s="391"/>
      <c r="REI1607" s="391"/>
      <c r="REK1607" s="391"/>
      <c r="REM1607" s="391"/>
      <c r="REO1607" s="391"/>
      <c r="REQ1607" s="391"/>
      <c r="RES1607" s="391"/>
      <c r="REU1607" s="391"/>
      <c r="REW1607" s="391"/>
      <c r="REY1607" s="391"/>
      <c r="RFA1607" s="391"/>
      <c r="RFC1607" s="391"/>
      <c r="RFE1607" s="391"/>
      <c r="RFG1607" s="391"/>
      <c r="RFI1607" s="391"/>
      <c r="RFK1607" s="391"/>
      <c r="RFM1607" s="391"/>
      <c r="RFO1607" s="391"/>
      <c r="RFQ1607" s="391"/>
      <c r="RFS1607" s="391"/>
      <c r="RFU1607" s="391"/>
      <c r="RFW1607" s="391"/>
      <c r="RFY1607" s="391"/>
      <c r="RGA1607" s="391"/>
      <c r="RGC1607" s="391"/>
      <c r="RGE1607" s="391"/>
      <c r="RGG1607" s="391"/>
      <c r="RGI1607" s="391"/>
      <c r="RGK1607" s="391"/>
      <c r="RGM1607" s="391"/>
      <c r="RGO1607" s="391"/>
      <c r="RGQ1607" s="391"/>
      <c r="RGS1607" s="391"/>
      <c r="RGU1607" s="391"/>
      <c r="RGW1607" s="391"/>
      <c r="RGY1607" s="391"/>
      <c r="RHA1607" s="391"/>
      <c r="RHC1607" s="391"/>
      <c r="RHE1607" s="391"/>
      <c r="RHG1607" s="391"/>
      <c r="RHI1607" s="391"/>
      <c r="RHK1607" s="391"/>
      <c r="RHM1607" s="391"/>
      <c r="RHO1607" s="391"/>
      <c r="RHQ1607" s="391"/>
      <c r="RHS1607" s="391"/>
      <c r="RHU1607" s="391"/>
      <c r="RHW1607" s="391"/>
      <c r="RHY1607" s="391"/>
      <c r="RIA1607" s="391"/>
      <c r="RIC1607" s="391"/>
      <c r="RIE1607" s="391"/>
      <c r="RIG1607" s="391"/>
      <c r="RII1607" s="391"/>
      <c r="RIK1607" s="391"/>
      <c r="RIM1607" s="391"/>
      <c r="RIO1607" s="391"/>
      <c r="RIQ1607" s="391"/>
      <c r="RIS1607" s="391"/>
      <c r="RIU1607" s="391"/>
      <c r="RIW1607" s="391"/>
      <c r="RIY1607" s="391"/>
      <c r="RJA1607" s="391"/>
      <c r="RJC1607" s="391"/>
      <c r="RJE1607" s="391"/>
      <c r="RJG1607" s="391"/>
      <c r="RJI1607" s="391"/>
      <c r="RJK1607" s="391"/>
      <c r="RJM1607" s="391"/>
      <c r="RJO1607" s="391"/>
      <c r="RJQ1607" s="391"/>
      <c r="RJS1607" s="391"/>
      <c r="RJU1607" s="391"/>
      <c r="RJW1607" s="391"/>
      <c r="RJY1607" s="391"/>
      <c r="RKA1607" s="391"/>
      <c r="RKC1607" s="391"/>
      <c r="RKE1607" s="391"/>
      <c r="RKG1607" s="391"/>
      <c r="RKI1607" s="391"/>
      <c r="RKK1607" s="391"/>
      <c r="RKM1607" s="391"/>
      <c r="RKO1607" s="391"/>
      <c r="RKQ1607" s="391"/>
      <c r="RKS1607" s="391"/>
      <c r="RKU1607" s="391"/>
      <c r="RKW1607" s="391"/>
      <c r="RKY1607" s="391"/>
      <c r="RLA1607" s="391"/>
      <c r="RLC1607" s="391"/>
      <c r="RLE1607" s="391"/>
      <c r="RLG1607" s="391"/>
      <c r="RLI1607" s="391"/>
      <c r="RLK1607" s="391"/>
      <c r="RLM1607" s="391"/>
      <c r="RLO1607" s="391"/>
      <c r="RLQ1607" s="391"/>
      <c r="RLS1607" s="391"/>
      <c r="RLU1607" s="391"/>
      <c r="RLW1607" s="391"/>
      <c r="RLY1607" s="391"/>
      <c r="RMA1607" s="391"/>
      <c r="RMC1607" s="391"/>
      <c r="RME1607" s="391"/>
      <c r="RMG1607" s="391"/>
      <c r="RMI1607" s="391"/>
      <c r="RMK1607" s="391"/>
      <c r="RMM1607" s="391"/>
      <c r="RMO1607" s="391"/>
      <c r="RMQ1607" s="391"/>
      <c r="RMS1607" s="391"/>
      <c r="RMU1607" s="391"/>
      <c r="RMW1607" s="391"/>
      <c r="RMY1607" s="391"/>
      <c r="RNA1607" s="391"/>
      <c r="RNC1607" s="391"/>
      <c r="RNE1607" s="391"/>
      <c r="RNG1607" s="391"/>
      <c r="RNI1607" s="391"/>
      <c r="RNK1607" s="391"/>
      <c r="RNM1607" s="391"/>
      <c r="RNO1607" s="391"/>
      <c r="RNQ1607" s="391"/>
      <c r="RNS1607" s="391"/>
      <c r="RNU1607" s="391"/>
      <c r="RNW1607" s="391"/>
      <c r="RNY1607" s="391"/>
      <c r="ROA1607" s="391"/>
      <c r="ROC1607" s="391"/>
      <c r="ROE1607" s="391"/>
      <c r="ROG1607" s="391"/>
      <c r="ROI1607" s="391"/>
      <c r="ROK1607" s="391"/>
      <c r="ROM1607" s="391"/>
      <c r="ROO1607" s="391"/>
      <c r="ROQ1607" s="391"/>
      <c r="ROS1607" s="391"/>
      <c r="ROU1607" s="391"/>
      <c r="ROW1607" s="391"/>
      <c r="ROY1607" s="391"/>
      <c r="RPA1607" s="391"/>
      <c r="RPC1607" s="391"/>
      <c r="RPE1607" s="391"/>
      <c r="RPG1607" s="391"/>
      <c r="RPI1607" s="391"/>
      <c r="RPK1607" s="391"/>
      <c r="RPM1607" s="391"/>
      <c r="RPO1607" s="391"/>
      <c r="RPQ1607" s="391"/>
      <c r="RPS1607" s="391"/>
      <c r="RPU1607" s="391"/>
      <c r="RPW1607" s="391"/>
      <c r="RPY1607" s="391"/>
      <c r="RQA1607" s="391"/>
      <c r="RQC1607" s="391"/>
      <c r="RQE1607" s="391"/>
      <c r="RQG1607" s="391"/>
      <c r="RQI1607" s="391"/>
      <c r="RQK1607" s="391"/>
      <c r="RQM1607" s="391"/>
      <c r="RQO1607" s="391"/>
      <c r="RQQ1607" s="391"/>
      <c r="RQS1607" s="391"/>
      <c r="RQU1607" s="391"/>
      <c r="RQW1607" s="391"/>
      <c r="RQY1607" s="391"/>
      <c r="RRA1607" s="391"/>
      <c r="RRC1607" s="391"/>
      <c r="RRE1607" s="391"/>
      <c r="RRG1607" s="391"/>
      <c r="RRI1607" s="391"/>
      <c r="RRK1607" s="391"/>
      <c r="RRM1607" s="391"/>
      <c r="RRO1607" s="391"/>
      <c r="RRQ1607" s="391"/>
      <c r="RRS1607" s="391"/>
      <c r="RRU1607" s="391"/>
      <c r="RRW1607" s="391"/>
      <c r="RRY1607" s="391"/>
      <c r="RSA1607" s="391"/>
      <c r="RSC1607" s="391"/>
      <c r="RSE1607" s="391"/>
      <c r="RSG1607" s="391"/>
      <c r="RSI1607" s="391"/>
      <c r="RSK1607" s="391"/>
      <c r="RSM1607" s="391"/>
      <c r="RSO1607" s="391"/>
      <c r="RSQ1607" s="391"/>
      <c r="RSS1607" s="391"/>
      <c r="RSU1607" s="391"/>
      <c r="RSW1607" s="391"/>
      <c r="RSY1607" s="391"/>
      <c r="RTA1607" s="391"/>
      <c r="RTC1607" s="391"/>
      <c r="RTE1607" s="391"/>
      <c r="RTG1607" s="391"/>
      <c r="RTI1607" s="391"/>
      <c r="RTK1607" s="391"/>
      <c r="RTM1607" s="391"/>
      <c r="RTO1607" s="391"/>
      <c r="RTQ1607" s="391"/>
      <c r="RTS1607" s="391"/>
      <c r="RTU1607" s="391"/>
      <c r="RTW1607" s="391"/>
      <c r="RTY1607" s="391"/>
      <c r="RUA1607" s="391"/>
      <c r="RUC1607" s="391"/>
      <c r="RUE1607" s="391"/>
      <c r="RUG1607" s="391"/>
      <c r="RUI1607" s="391"/>
      <c r="RUK1607" s="391"/>
      <c r="RUM1607" s="391"/>
      <c r="RUO1607" s="391"/>
      <c r="RUQ1607" s="391"/>
      <c r="RUS1607" s="391"/>
      <c r="RUU1607" s="391"/>
      <c r="RUW1607" s="391"/>
      <c r="RUY1607" s="391"/>
      <c r="RVA1607" s="391"/>
      <c r="RVC1607" s="391"/>
      <c r="RVE1607" s="391"/>
      <c r="RVG1607" s="391"/>
      <c r="RVI1607" s="391"/>
      <c r="RVK1607" s="391"/>
      <c r="RVM1607" s="391"/>
      <c r="RVO1607" s="391"/>
      <c r="RVQ1607" s="391"/>
      <c r="RVS1607" s="391"/>
      <c r="RVU1607" s="391"/>
      <c r="RVW1607" s="391"/>
      <c r="RVY1607" s="391"/>
      <c r="RWA1607" s="391"/>
      <c r="RWC1607" s="391"/>
      <c r="RWE1607" s="391"/>
      <c r="RWG1607" s="391"/>
      <c r="RWI1607" s="391"/>
      <c r="RWK1607" s="391"/>
      <c r="RWM1607" s="391"/>
      <c r="RWO1607" s="391"/>
      <c r="RWQ1607" s="391"/>
      <c r="RWS1607" s="391"/>
      <c r="RWU1607" s="391"/>
      <c r="RWW1607" s="391"/>
      <c r="RWY1607" s="391"/>
      <c r="RXA1607" s="391"/>
      <c r="RXC1607" s="391"/>
      <c r="RXE1607" s="391"/>
      <c r="RXG1607" s="391"/>
      <c r="RXI1607" s="391"/>
      <c r="RXK1607" s="391"/>
      <c r="RXM1607" s="391"/>
      <c r="RXO1607" s="391"/>
      <c r="RXQ1607" s="391"/>
      <c r="RXS1607" s="391"/>
      <c r="RXU1607" s="391"/>
      <c r="RXW1607" s="391"/>
      <c r="RXY1607" s="391"/>
      <c r="RYA1607" s="391"/>
      <c r="RYC1607" s="391"/>
      <c r="RYE1607" s="391"/>
      <c r="RYG1607" s="391"/>
      <c r="RYI1607" s="391"/>
      <c r="RYK1607" s="391"/>
      <c r="RYM1607" s="391"/>
      <c r="RYO1607" s="391"/>
      <c r="RYQ1607" s="391"/>
      <c r="RYS1607" s="391"/>
      <c r="RYU1607" s="391"/>
      <c r="RYW1607" s="391"/>
      <c r="RYY1607" s="391"/>
      <c r="RZA1607" s="391"/>
      <c r="RZC1607" s="391"/>
      <c r="RZE1607" s="391"/>
      <c r="RZG1607" s="391"/>
      <c r="RZI1607" s="391"/>
      <c r="RZK1607" s="391"/>
      <c r="RZM1607" s="391"/>
      <c r="RZO1607" s="391"/>
      <c r="RZQ1607" s="391"/>
      <c r="RZS1607" s="391"/>
      <c r="RZU1607" s="391"/>
      <c r="RZW1607" s="391"/>
      <c r="RZY1607" s="391"/>
      <c r="SAA1607" s="391"/>
      <c r="SAC1607" s="391"/>
      <c r="SAE1607" s="391"/>
      <c r="SAG1607" s="391"/>
      <c r="SAI1607" s="391"/>
      <c r="SAK1607" s="391"/>
      <c r="SAM1607" s="391"/>
      <c r="SAO1607" s="391"/>
      <c r="SAQ1607" s="391"/>
      <c r="SAS1607" s="391"/>
      <c r="SAU1607" s="391"/>
      <c r="SAW1607" s="391"/>
      <c r="SAY1607" s="391"/>
      <c r="SBA1607" s="391"/>
      <c r="SBC1607" s="391"/>
      <c r="SBE1607" s="391"/>
      <c r="SBG1607" s="391"/>
      <c r="SBI1607" s="391"/>
      <c r="SBK1607" s="391"/>
      <c r="SBM1607" s="391"/>
      <c r="SBO1607" s="391"/>
      <c r="SBQ1607" s="391"/>
      <c r="SBS1607" s="391"/>
      <c r="SBU1607" s="391"/>
      <c r="SBW1607" s="391"/>
      <c r="SBY1607" s="391"/>
      <c r="SCA1607" s="391"/>
      <c r="SCC1607" s="391"/>
      <c r="SCE1607" s="391"/>
      <c r="SCG1607" s="391"/>
      <c r="SCI1607" s="391"/>
      <c r="SCK1607" s="391"/>
      <c r="SCM1607" s="391"/>
      <c r="SCO1607" s="391"/>
      <c r="SCQ1607" s="391"/>
      <c r="SCS1607" s="391"/>
      <c r="SCU1607" s="391"/>
      <c r="SCW1607" s="391"/>
      <c r="SCY1607" s="391"/>
      <c r="SDA1607" s="391"/>
      <c r="SDC1607" s="391"/>
      <c r="SDE1607" s="391"/>
      <c r="SDG1607" s="391"/>
      <c r="SDI1607" s="391"/>
      <c r="SDK1607" s="391"/>
      <c r="SDM1607" s="391"/>
      <c r="SDO1607" s="391"/>
      <c r="SDQ1607" s="391"/>
      <c r="SDS1607" s="391"/>
      <c r="SDU1607" s="391"/>
      <c r="SDW1607" s="391"/>
      <c r="SDY1607" s="391"/>
      <c r="SEA1607" s="391"/>
      <c r="SEC1607" s="391"/>
      <c r="SEE1607" s="391"/>
      <c r="SEG1607" s="391"/>
      <c r="SEI1607" s="391"/>
      <c r="SEK1607" s="391"/>
      <c r="SEM1607" s="391"/>
      <c r="SEO1607" s="391"/>
      <c r="SEQ1607" s="391"/>
      <c r="SES1607" s="391"/>
      <c r="SEU1607" s="391"/>
      <c r="SEW1607" s="391"/>
      <c r="SEY1607" s="391"/>
      <c r="SFA1607" s="391"/>
      <c r="SFC1607" s="391"/>
      <c r="SFE1607" s="391"/>
      <c r="SFG1607" s="391"/>
      <c r="SFI1607" s="391"/>
      <c r="SFK1607" s="391"/>
      <c r="SFM1607" s="391"/>
      <c r="SFO1607" s="391"/>
      <c r="SFQ1607" s="391"/>
      <c r="SFS1607" s="391"/>
      <c r="SFU1607" s="391"/>
      <c r="SFW1607" s="391"/>
      <c r="SFY1607" s="391"/>
      <c r="SGA1607" s="391"/>
      <c r="SGC1607" s="391"/>
      <c r="SGE1607" s="391"/>
      <c r="SGG1607" s="391"/>
      <c r="SGI1607" s="391"/>
      <c r="SGK1607" s="391"/>
      <c r="SGM1607" s="391"/>
      <c r="SGO1607" s="391"/>
      <c r="SGQ1607" s="391"/>
      <c r="SGS1607" s="391"/>
      <c r="SGU1607" s="391"/>
      <c r="SGW1607" s="391"/>
      <c r="SGY1607" s="391"/>
      <c r="SHA1607" s="391"/>
      <c r="SHC1607" s="391"/>
      <c r="SHE1607" s="391"/>
      <c r="SHG1607" s="391"/>
      <c r="SHI1607" s="391"/>
      <c r="SHK1607" s="391"/>
      <c r="SHM1607" s="391"/>
      <c r="SHO1607" s="391"/>
      <c r="SHQ1607" s="391"/>
      <c r="SHS1607" s="391"/>
      <c r="SHU1607" s="391"/>
      <c r="SHW1607" s="391"/>
      <c r="SHY1607" s="391"/>
      <c r="SIA1607" s="391"/>
      <c r="SIC1607" s="391"/>
      <c r="SIE1607" s="391"/>
      <c r="SIG1607" s="391"/>
      <c r="SII1607" s="391"/>
      <c r="SIK1607" s="391"/>
      <c r="SIM1607" s="391"/>
      <c r="SIO1607" s="391"/>
      <c r="SIQ1607" s="391"/>
      <c r="SIS1607" s="391"/>
      <c r="SIU1607" s="391"/>
      <c r="SIW1607" s="391"/>
      <c r="SIY1607" s="391"/>
      <c r="SJA1607" s="391"/>
      <c r="SJC1607" s="391"/>
      <c r="SJE1607" s="391"/>
      <c r="SJG1607" s="391"/>
      <c r="SJI1607" s="391"/>
      <c r="SJK1607" s="391"/>
      <c r="SJM1607" s="391"/>
      <c r="SJO1607" s="391"/>
      <c r="SJQ1607" s="391"/>
      <c r="SJS1607" s="391"/>
      <c r="SJU1607" s="391"/>
      <c r="SJW1607" s="391"/>
      <c r="SJY1607" s="391"/>
      <c r="SKA1607" s="391"/>
      <c r="SKC1607" s="391"/>
      <c r="SKE1607" s="391"/>
      <c r="SKG1607" s="391"/>
      <c r="SKI1607" s="391"/>
      <c r="SKK1607" s="391"/>
      <c r="SKM1607" s="391"/>
      <c r="SKO1607" s="391"/>
      <c r="SKQ1607" s="391"/>
      <c r="SKS1607" s="391"/>
      <c r="SKU1607" s="391"/>
      <c r="SKW1607" s="391"/>
      <c r="SKY1607" s="391"/>
      <c r="SLA1607" s="391"/>
      <c r="SLC1607" s="391"/>
      <c r="SLE1607" s="391"/>
      <c r="SLG1607" s="391"/>
      <c r="SLI1607" s="391"/>
      <c r="SLK1607" s="391"/>
      <c r="SLM1607" s="391"/>
      <c r="SLO1607" s="391"/>
      <c r="SLQ1607" s="391"/>
      <c r="SLS1607" s="391"/>
      <c r="SLU1607" s="391"/>
      <c r="SLW1607" s="391"/>
      <c r="SLY1607" s="391"/>
      <c r="SMA1607" s="391"/>
      <c r="SMC1607" s="391"/>
      <c r="SME1607" s="391"/>
      <c r="SMG1607" s="391"/>
      <c r="SMI1607" s="391"/>
      <c r="SMK1607" s="391"/>
      <c r="SMM1607" s="391"/>
      <c r="SMO1607" s="391"/>
      <c r="SMQ1607" s="391"/>
      <c r="SMS1607" s="391"/>
      <c r="SMU1607" s="391"/>
      <c r="SMW1607" s="391"/>
      <c r="SMY1607" s="391"/>
      <c r="SNA1607" s="391"/>
      <c r="SNC1607" s="391"/>
      <c r="SNE1607" s="391"/>
      <c r="SNG1607" s="391"/>
      <c r="SNI1607" s="391"/>
      <c r="SNK1607" s="391"/>
      <c r="SNM1607" s="391"/>
      <c r="SNO1607" s="391"/>
      <c r="SNQ1607" s="391"/>
      <c r="SNS1607" s="391"/>
      <c r="SNU1607" s="391"/>
      <c r="SNW1607" s="391"/>
      <c r="SNY1607" s="391"/>
      <c r="SOA1607" s="391"/>
      <c r="SOC1607" s="391"/>
      <c r="SOE1607" s="391"/>
      <c r="SOG1607" s="391"/>
      <c r="SOI1607" s="391"/>
      <c r="SOK1607" s="391"/>
      <c r="SOM1607" s="391"/>
      <c r="SOO1607" s="391"/>
      <c r="SOQ1607" s="391"/>
      <c r="SOS1607" s="391"/>
      <c r="SOU1607" s="391"/>
      <c r="SOW1607" s="391"/>
      <c r="SOY1607" s="391"/>
      <c r="SPA1607" s="391"/>
      <c r="SPC1607" s="391"/>
      <c r="SPE1607" s="391"/>
      <c r="SPG1607" s="391"/>
      <c r="SPI1607" s="391"/>
      <c r="SPK1607" s="391"/>
      <c r="SPM1607" s="391"/>
      <c r="SPO1607" s="391"/>
      <c r="SPQ1607" s="391"/>
      <c r="SPS1607" s="391"/>
      <c r="SPU1607" s="391"/>
      <c r="SPW1607" s="391"/>
      <c r="SPY1607" s="391"/>
      <c r="SQA1607" s="391"/>
      <c r="SQC1607" s="391"/>
      <c r="SQE1607" s="391"/>
      <c r="SQG1607" s="391"/>
      <c r="SQI1607" s="391"/>
      <c r="SQK1607" s="391"/>
      <c r="SQM1607" s="391"/>
      <c r="SQO1607" s="391"/>
      <c r="SQQ1607" s="391"/>
      <c r="SQS1607" s="391"/>
      <c r="SQU1607" s="391"/>
      <c r="SQW1607" s="391"/>
      <c r="SQY1607" s="391"/>
      <c r="SRA1607" s="391"/>
      <c r="SRC1607" s="391"/>
      <c r="SRE1607" s="391"/>
      <c r="SRG1607" s="391"/>
      <c r="SRI1607" s="391"/>
      <c r="SRK1607" s="391"/>
      <c r="SRM1607" s="391"/>
      <c r="SRO1607" s="391"/>
      <c r="SRQ1607" s="391"/>
      <c r="SRS1607" s="391"/>
      <c r="SRU1607" s="391"/>
      <c r="SRW1607" s="391"/>
      <c r="SRY1607" s="391"/>
      <c r="SSA1607" s="391"/>
      <c r="SSC1607" s="391"/>
      <c r="SSE1607" s="391"/>
      <c r="SSG1607" s="391"/>
      <c r="SSI1607" s="391"/>
      <c r="SSK1607" s="391"/>
      <c r="SSM1607" s="391"/>
      <c r="SSO1607" s="391"/>
      <c r="SSQ1607" s="391"/>
      <c r="SSS1607" s="391"/>
      <c r="SSU1607" s="391"/>
      <c r="SSW1607" s="391"/>
      <c r="SSY1607" s="391"/>
      <c r="STA1607" s="391"/>
      <c r="STC1607" s="391"/>
      <c r="STE1607" s="391"/>
      <c r="STG1607" s="391"/>
      <c r="STI1607" s="391"/>
      <c r="STK1607" s="391"/>
      <c r="STM1607" s="391"/>
      <c r="STO1607" s="391"/>
      <c r="STQ1607" s="391"/>
      <c r="STS1607" s="391"/>
      <c r="STU1607" s="391"/>
      <c r="STW1607" s="391"/>
      <c r="STY1607" s="391"/>
      <c r="SUA1607" s="391"/>
      <c r="SUC1607" s="391"/>
      <c r="SUE1607" s="391"/>
      <c r="SUG1607" s="391"/>
      <c r="SUI1607" s="391"/>
      <c r="SUK1607" s="391"/>
      <c r="SUM1607" s="391"/>
      <c r="SUO1607" s="391"/>
      <c r="SUQ1607" s="391"/>
      <c r="SUS1607" s="391"/>
      <c r="SUU1607" s="391"/>
      <c r="SUW1607" s="391"/>
      <c r="SUY1607" s="391"/>
      <c r="SVA1607" s="391"/>
      <c r="SVC1607" s="391"/>
      <c r="SVE1607" s="391"/>
      <c r="SVG1607" s="391"/>
      <c r="SVI1607" s="391"/>
      <c r="SVK1607" s="391"/>
      <c r="SVM1607" s="391"/>
      <c r="SVO1607" s="391"/>
      <c r="SVQ1607" s="391"/>
      <c r="SVS1607" s="391"/>
      <c r="SVU1607" s="391"/>
      <c r="SVW1607" s="391"/>
      <c r="SVY1607" s="391"/>
      <c r="SWA1607" s="391"/>
      <c r="SWC1607" s="391"/>
      <c r="SWE1607" s="391"/>
      <c r="SWG1607" s="391"/>
      <c r="SWI1607" s="391"/>
      <c r="SWK1607" s="391"/>
      <c r="SWM1607" s="391"/>
      <c r="SWO1607" s="391"/>
      <c r="SWQ1607" s="391"/>
      <c r="SWS1607" s="391"/>
      <c r="SWU1607" s="391"/>
      <c r="SWW1607" s="391"/>
      <c r="SWY1607" s="391"/>
      <c r="SXA1607" s="391"/>
      <c r="SXC1607" s="391"/>
      <c r="SXE1607" s="391"/>
      <c r="SXG1607" s="391"/>
      <c r="SXI1607" s="391"/>
      <c r="SXK1607" s="391"/>
      <c r="SXM1607" s="391"/>
      <c r="SXO1607" s="391"/>
      <c r="SXQ1607" s="391"/>
      <c r="SXS1607" s="391"/>
      <c r="SXU1607" s="391"/>
      <c r="SXW1607" s="391"/>
      <c r="SXY1607" s="391"/>
      <c r="SYA1607" s="391"/>
      <c r="SYC1607" s="391"/>
      <c r="SYE1607" s="391"/>
      <c r="SYG1607" s="391"/>
      <c r="SYI1607" s="391"/>
      <c r="SYK1607" s="391"/>
      <c r="SYM1607" s="391"/>
      <c r="SYO1607" s="391"/>
      <c r="SYQ1607" s="391"/>
      <c r="SYS1607" s="391"/>
      <c r="SYU1607" s="391"/>
      <c r="SYW1607" s="391"/>
      <c r="SYY1607" s="391"/>
      <c r="SZA1607" s="391"/>
      <c r="SZC1607" s="391"/>
      <c r="SZE1607" s="391"/>
      <c r="SZG1607" s="391"/>
      <c r="SZI1607" s="391"/>
      <c r="SZK1607" s="391"/>
      <c r="SZM1607" s="391"/>
      <c r="SZO1607" s="391"/>
      <c r="SZQ1607" s="391"/>
      <c r="SZS1607" s="391"/>
      <c r="SZU1607" s="391"/>
      <c r="SZW1607" s="391"/>
      <c r="SZY1607" s="391"/>
      <c r="TAA1607" s="391"/>
      <c r="TAC1607" s="391"/>
      <c r="TAE1607" s="391"/>
      <c r="TAG1607" s="391"/>
      <c r="TAI1607" s="391"/>
      <c r="TAK1607" s="391"/>
      <c r="TAM1607" s="391"/>
      <c r="TAO1607" s="391"/>
      <c r="TAQ1607" s="391"/>
      <c r="TAS1607" s="391"/>
      <c r="TAU1607" s="391"/>
      <c r="TAW1607" s="391"/>
      <c r="TAY1607" s="391"/>
      <c r="TBA1607" s="391"/>
      <c r="TBC1607" s="391"/>
      <c r="TBE1607" s="391"/>
      <c r="TBG1607" s="391"/>
      <c r="TBI1607" s="391"/>
      <c r="TBK1607" s="391"/>
      <c r="TBM1607" s="391"/>
      <c r="TBO1607" s="391"/>
      <c r="TBQ1607" s="391"/>
      <c r="TBS1607" s="391"/>
      <c r="TBU1607" s="391"/>
      <c r="TBW1607" s="391"/>
      <c r="TBY1607" s="391"/>
      <c r="TCA1607" s="391"/>
      <c r="TCC1607" s="391"/>
      <c r="TCE1607" s="391"/>
      <c r="TCG1607" s="391"/>
      <c r="TCI1607" s="391"/>
      <c r="TCK1607" s="391"/>
      <c r="TCM1607" s="391"/>
      <c r="TCO1607" s="391"/>
      <c r="TCQ1607" s="391"/>
      <c r="TCS1607" s="391"/>
      <c r="TCU1607" s="391"/>
      <c r="TCW1607" s="391"/>
      <c r="TCY1607" s="391"/>
      <c r="TDA1607" s="391"/>
      <c r="TDC1607" s="391"/>
      <c r="TDE1607" s="391"/>
      <c r="TDG1607" s="391"/>
      <c r="TDI1607" s="391"/>
      <c r="TDK1607" s="391"/>
      <c r="TDM1607" s="391"/>
      <c r="TDO1607" s="391"/>
      <c r="TDQ1607" s="391"/>
      <c r="TDS1607" s="391"/>
      <c r="TDU1607" s="391"/>
      <c r="TDW1607" s="391"/>
      <c r="TDY1607" s="391"/>
      <c r="TEA1607" s="391"/>
      <c r="TEC1607" s="391"/>
      <c r="TEE1607" s="391"/>
      <c r="TEG1607" s="391"/>
      <c r="TEI1607" s="391"/>
      <c r="TEK1607" s="391"/>
      <c r="TEM1607" s="391"/>
      <c r="TEO1607" s="391"/>
      <c r="TEQ1607" s="391"/>
      <c r="TES1607" s="391"/>
      <c r="TEU1607" s="391"/>
      <c r="TEW1607" s="391"/>
      <c r="TEY1607" s="391"/>
      <c r="TFA1607" s="391"/>
      <c r="TFC1607" s="391"/>
      <c r="TFE1607" s="391"/>
      <c r="TFG1607" s="391"/>
      <c r="TFI1607" s="391"/>
      <c r="TFK1607" s="391"/>
      <c r="TFM1607" s="391"/>
      <c r="TFO1607" s="391"/>
      <c r="TFQ1607" s="391"/>
      <c r="TFS1607" s="391"/>
      <c r="TFU1607" s="391"/>
      <c r="TFW1607" s="391"/>
      <c r="TFY1607" s="391"/>
      <c r="TGA1607" s="391"/>
      <c r="TGC1607" s="391"/>
      <c r="TGE1607" s="391"/>
      <c r="TGG1607" s="391"/>
      <c r="TGI1607" s="391"/>
      <c r="TGK1607" s="391"/>
      <c r="TGM1607" s="391"/>
      <c r="TGO1607" s="391"/>
      <c r="TGQ1607" s="391"/>
      <c r="TGS1607" s="391"/>
      <c r="TGU1607" s="391"/>
      <c r="TGW1607" s="391"/>
      <c r="TGY1607" s="391"/>
      <c r="THA1607" s="391"/>
      <c r="THC1607" s="391"/>
      <c r="THE1607" s="391"/>
      <c r="THG1607" s="391"/>
      <c r="THI1607" s="391"/>
      <c r="THK1607" s="391"/>
      <c r="THM1607" s="391"/>
      <c r="THO1607" s="391"/>
      <c r="THQ1607" s="391"/>
      <c r="THS1607" s="391"/>
      <c r="THU1607" s="391"/>
      <c r="THW1607" s="391"/>
      <c r="THY1607" s="391"/>
      <c r="TIA1607" s="391"/>
      <c r="TIC1607" s="391"/>
      <c r="TIE1607" s="391"/>
      <c r="TIG1607" s="391"/>
      <c r="TII1607" s="391"/>
      <c r="TIK1607" s="391"/>
      <c r="TIM1607" s="391"/>
      <c r="TIO1607" s="391"/>
      <c r="TIQ1607" s="391"/>
      <c r="TIS1607" s="391"/>
      <c r="TIU1607" s="391"/>
      <c r="TIW1607" s="391"/>
      <c r="TIY1607" s="391"/>
      <c r="TJA1607" s="391"/>
      <c r="TJC1607" s="391"/>
      <c r="TJE1607" s="391"/>
      <c r="TJG1607" s="391"/>
      <c r="TJI1607" s="391"/>
      <c r="TJK1607" s="391"/>
      <c r="TJM1607" s="391"/>
      <c r="TJO1607" s="391"/>
      <c r="TJQ1607" s="391"/>
      <c r="TJS1607" s="391"/>
      <c r="TJU1607" s="391"/>
      <c r="TJW1607" s="391"/>
      <c r="TJY1607" s="391"/>
      <c r="TKA1607" s="391"/>
      <c r="TKC1607" s="391"/>
      <c r="TKE1607" s="391"/>
      <c r="TKG1607" s="391"/>
      <c r="TKI1607" s="391"/>
      <c r="TKK1607" s="391"/>
      <c r="TKM1607" s="391"/>
      <c r="TKO1607" s="391"/>
      <c r="TKQ1607" s="391"/>
      <c r="TKS1607" s="391"/>
      <c r="TKU1607" s="391"/>
      <c r="TKW1607" s="391"/>
      <c r="TKY1607" s="391"/>
      <c r="TLA1607" s="391"/>
      <c r="TLC1607" s="391"/>
      <c r="TLE1607" s="391"/>
      <c r="TLG1607" s="391"/>
      <c r="TLI1607" s="391"/>
      <c r="TLK1607" s="391"/>
      <c r="TLM1607" s="391"/>
      <c r="TLO1607" s="391"/>
      <c r="TLQ1607" s="391"/>
      <c r="TLS1607" s="391"/>
      <c r="TLU1607" s="391"/>
      <c r="TLW1607" s="391"/>
      <c r="TLY1607" s="391"/>
      <c r="TMA1607" s="391"/>
      <c r="TMC1607" s="391"/>
      <c r="TME1607" s="391"/>
      <c r="TMG1607" s="391"/>
      <c r="TMI1607" s="391"/>
      <c r="TMK1607" s="391"/>
      <c r="TMM1607" s="391"/>
      <c r="TMO1607" s="391"/>
      <c r="TMQ1607" s="391"/>
      <c r="TMS1607" s="391"/>
      <c r="TMU1607" s="391"/>
      <c r="TMW1607" s="391"/>
      <c r="TMY1607" s="391"/>
      <c r="TNA1607" s="391"/>
      <c r="TNC1607" s="391"/>
      <c r="TNE1607" s="391"/>
      <c r="TNG1607" s="391"/>
      <c r="TNI1607" s="391"/>
      <c r="TNK1607" s="391"/>
      <c r="TNM1607" s="391"/>
      <c r="TNO1607" s="391"/>
      <c r="TNQ1607" s="391"/>
      <c r="TNS1607" s="391"/>
      <c r="TNU1607" s="391"/>
      <c r="TNW1607" s="391"/>
      <c r="TNY1607" s="391"/>
      <c r="TOA1607" s="391"/>
      <c r="TOC1607" s="391"/>
      <c r="TOE1607" s="391"/>
      <c r="TOG1607" s="391"/>
      <c r="TOI1607" s="391"/>
      <c r="TOK1607" s="391"/>
      <c r="TOM1607" s="391"/>
      <c r="TOO1607" s="391"/>
      <c r="TOQ1607" s="391"/>
      <c r="TOS1607" s="391"/>
      <c r="TOU1607" s="391"/>
      <c r="TOW1607" s="391"/>
      <c r="TOY1607" s="391"/>
      <c r="TPA1607" s="391"/>
      <c r="TPC1607" s="391"/>
      <c r="TPE1607" s="391"/>
      <c r="TPG1607" s="391"/>
      <c r="TPI1607" s="391"/>
      <c r="TPK1607" s="391"/>
      <c r="TPM1607" s="391"/>
      <c r="TPO1607" s="391"/>
      <c r="TPQ1607" s="391"/>
      <c r="TPS1607" s="391"/>
      <c r="TPU1607" s="391"/>
      <c r="TPW1607" s="391"/>
      <c r="TPY1607" s="391"/>
      <c r="TQA1607" s="391"/>
      <c r="TQC1607" s="391"/>
      <c r="TQE1607" s="391"/>
      <c r="TQG1607" s="391"/>
      <c r="TQI1607" s="391"/>
      <c r="TQK1607" s="391"/>
      <c r="TQM1607" s="391"/>
      <c r="TQO1607" s="391"/>
      <c r="TQQ1607" s="391"/>
      <c r="TQS1607" s="391"/>
      <c r="TQU1607" s="391"/>
      <c r="TQW1607" s="391"/>
      <c r="TQY1607" s="391"/>
      <c r="TRA1607" s="391"/>
      <c r="TRC1607" s="391"/>
      <c r="TRE1607" s="391"/>
      <c r="TRG1607" s="391"/>
      <c r="TRI1607" s="391"/>
      <c r="TRK1607" s="391"/>
      <c r="TRM1607" s="391"/>
      <c r="TRO1607" s="391"/>
      <c r="TRQ1607" s="391"/>
      <c r="TRS1607" s="391"/>
      <c r="TRU1607" s="391"/>
      <c r="TRW1607" s="391"/>
      <c r="TRY1607" s="391"/>
      <c r="TSA1607" s="391"/>
      <c r="TSC1607" s="391"/>
      <c r="TSE1607" s="391"/>
      <c r="TSG1607" s="391"/>
      <c r="TSI1607" s="391"/>
      <c r="TSK1607" s="391"/>
      <c r="TSM1607" s="391"/>
      <c r="TSO1607" s="391"/>
      <c r="TSQ1607" s="391"/>
      <c r="TSS1607" s="391"/>
      <c r="TSU1607" s="391"/>
      <c r="TSW1607" s="391"/>
      <c r="TSY1607" s="391"/>
      <c r="TTA1607" s="391"/>
      <c r="TTC1607" s="391"/>
      <c r="TTE1607" s="391"/>
      <c r="TTG1607" s="391"/>
      <c r="TTI1607" s="391"/>
      <c r="TTK1607" s="391"/>
      <c r="TTM1607" s="391"/>
      <c r="TTO1607" s="391"/>
      <c r="TTQ1607" s="391"/>
      <c r="TTS1607" s="391"/>
      <c r="TTU1607" s="391"/>
      <c r="TTW1607" s="391"/>
      <c r="TTY1607" s="391"/>
      <c r="TUA1607" s="391"/>
      <c r="TUC1607" s="391"/>
      <c r="TUE1607" s="391"/>
      <c r="TUG1607" s="391"/>
      <c r="TUI1607" s="391"/>
      <c r="TUK1607" s="391"/>
      <c r="TUM1607" s="391"/>
      <c r="TUO1607" s="391"/>
      <c r="TUQ1607" s="391"/>
      <c r="TUS1607" s="391"/>
      <c r="TUU1607" s="391"/>
      <c r="TUW1607" s="391"/>
      <c r="TUY1607" s="391"/>
      <c r="TVA1607" s="391"/>
      <c r="TVC1607" s="391"/>
      <c r="TVE1607" s="391"/>
      <c r="TVG1607" s="391"/>
      <c r="TVI1607" s="391"/>
      <c r="TVK1607" s="391"/>
      <c r="TVM1607" s="391"/>
      <c r="TVO1607" s="391"/>
      <c r="TVQ1607" s="391"/>
      <c r="TVS1607" s="391"/>
      <c r="TVU1607" s="391"/>
      <c r="TVW1607" s="391"/>
      <c r="TVY1607" s="391"/>
      <c r="TWA1607" s="391"/>
      <c r="TWC1607" s="391"/>
      <c r="TWE1607" s="391"/>
      <c r="TWG1607" s="391"/>
      <c r="TWI1607" s="391"/>
      <c r="TWK1607" s="391"/>
      <c r="TWM1607" s="391"/>
      <c r="TWO1607" s="391"/>
      <c r="TWQ1607" s="391"/>
      <c r="TWS1607" s="391"/>
      <c r="TWU1607" s="391"/>
      <c r="TWW1607" s="391"/>
      <c r="TWY1607" s="391"/>
      <c r="TXA1607" s="391"/>
      <c r="TXC1607" s="391"/>
      <c r="TXE1607" s="391"/>
      <c r="TXG1607" s="391"/>
      <c r="TXI1607" s="391"/>
      <c r="TXK1607" s="391"/>
      <c r="TXM1607" s="391"/>
      <c r="TXO1607" s="391"/>
      <c r="TXQ1607" s="391"/>
      <c r="TXS1607" s="391"/>
      <c r="TXU1607" s="391"/>
      <c r="TXW1607" s="391"/>
      <c r="TXY1607" s="391"/>
      <c r="TYA1607" s="391"/>
      <c r="TYC1607" s="391"/>
      <c r="TYE1607" s="391"/>
      <c r="TYG1607" s="391"/>
      <c r="TYI1607" s="391"/>
      <c r="TYK1607" s="391"/>
      <c r="TYM1607" s="391"/>
      <c r="TYO1607" s="391"/>
      <c r="TYQ1607" s="391"/>
      <c r="TYS1607" s="391"/>
      <c r="TYU1607" s="391"/>
      <c r="TYW1607" s="391"/>
      <c r="TYY1607" s="391"/>
      <c r="TZA1607" s="391"/>
      <c r="TZC1607" s="391"/>
      <c r="TZE1607" s="391"/>
      <c r="TZG1607" s="391"/>
      <c r="TZI1607" s="391"/>
      <c r="TZK1607" s="391"/>
      <c r="TZM1607" s="391"/>
      <c r="TZO1607" s="391"/>
      <c r="TZQ1607" s="391"/>
      <c r="TZS1607" s="391"/>
      <c r="TZU1607" s="391"/>
      <c r="TZW1607" s="391"/>
      <c r="TZY1607" s="391"/>
      <c r="UAA1607" s="391"/>
      <c r="UAC1607" s="391"/>
      <c r="UAE1607" s="391"/>
      <c r="UAG1607" s="391"/>
      <c r="UAI1607" s="391"/>
      <c r="UAK1607" s="391"/>
      <c r="UAM1607" s="391"/>
      <c r="UAO1607" s="391"/>
      <c r="UAQ1607" s="391"/>
      <c r="UAS1607" s="391"/>
      <c r="UAU1607" s="391"/>
      <c r="UAW1607" s="391"/>
      <c r="UAY1607" s="391"/>
      <c r="UBA1607" s="391"/>
      <c r="UBC1607" s="391"/>
      <c r="UBE1607" s="391"/>
      <c r="UBG1607" s="391"/>
      <c r="UBI1607" s="391"/>
      <c r="UBK1607" s="391"/>
      <c r="UBM1607" s="391"/>
      <c r="UBO1607" s="391"/>
      <c r="UBQ1607" s="391"/>
      <c r="UBS1607" s="391"/>
      <c r="UBU1607" s="391"/>
      <c r="UBW1607" s="391"/>
      <c r="UBY1607" s="391"/>
      <c r="UCA1607" s="391"/>
      <c r="UCC1607" s="391"/>
      <c r="UCE1607" s="391"/>
      <c r="UCG1607" s="391"/>
      <c r="UCI1607" s="391"/>
      <c r="UCK1607" s="391"/>
      <c r="UCM1607" s="391"/>
      <c r="UCO1607" s="391"/>
      <c r="UCQ1607" s="391"/>
      <c r="UCS1607" s="391"/>
      <c r="UCU1607" s="391"/>
      <c r="UCW1607" s="391"/>
      <c r="UCY1607" s="391"/>
      <c r="UDA1607" s="391"/>
      <c r="UDC1607" s="391"/>
      <c r="UDE1607" s="391"/>
      <c r="UDG1607" s="391"/>
      <c r="UDI1607" s="391"/>
      <c r="UDK1607" s="391"/>
      <c r="UDM1607" s="391"/>
      <c r="UDO1607" s="391"/>
      <c r="UDQ1607" s="391"/>
      <c r="UDS1607" s="391"/>
      <c r="UDU1607" s="391"/>
      <c r="UDW1607" s="391"/>
      <c r="UDY1607" s="391"/>
      <c r="UEA1607" s="391"/>
      <c r="UEC1607" s="391"/>
      <c r="UEE1607" s="391"/>
      <c r="UEG1607" s="391"/>
      <c r="UEI1607" s="391"/>
      <c r="UEK1607" s="391"/>
      <c r="UEM1607" s="391"/>
      <c r="UEO1607" s="391"/>
      <c r="UEQ1607" s="391"/>
      <c r="UES1607" s="391"/>
      <c r="UEU1607" s="391"/>
      <c r="UEW1607" s="391"/>
      <c r="UEY1607" s="391"/>
      <c r="UFA1607" s="391"/>
      <c r="UFC1607" s="391"/>
      <c r="UFE1607" s="391"/>
      <c r="UFG1607" s="391"/>
      <c r="UFI1607" s="391"/>
      <c r="UFK1607" s="391"/>
      <c r="UFM1607" s="391"/>
      <c r="UFO1607" s="391"/>
      <c r="UFQ1607" s="391"/>
      <c r="UFS1607" s="391"/>
      <c r="UFU1607" s="391"/>
      <c r="UFW1607" s="391"/>
      <c r="UFY1607" s="391"/>
      <c r="UGA1607" s="391"/>
      <c r="UGC1607" s="391"/>
      <c r="UGE1607" s="391"/>
      <c r="UGG1607" s="391"/>
      <c r="UGI1607" s="391"/>
      <c r="UGK1607" s="391"/>
      <c r="UGM1607" s="391"/>
      <c r="UGO1607" s="391"/>
      <c r="UGQ1607" s="391"/>
      <c r="UGS1607" s="391"/>
      <c r="UGU1607" s="391"/>
      <c r="UGW1607" s="391"/>
      <c r="UGY1607" s="391"/>
      <c r="UHA1607" s="391"/>
      <c r="UHC1607" s="391"/>
      <c r="UHE1607" s="391"/>
      <c r="UHG1607" s="391"/>
      <c r="UHI1607" s="391"/>
      <c r="UHK1607" s="391"/>
      <c r="UHM1607" s="391"/>
      <c r="UHO1607" s="391"/>
      <c r="UHQ1607" s="391"/>
      <c r="UHS1607" s="391"/>
      <c r="UHU1607" s="391"/>
      <c r="UHW1607" s="391"/>
      <c r="UHY1607" s="391"/>
      <c r="UIA1607" s="391"/>
      <c r="UIC1607" s="391"/>
      <c r="UIE1607" s="391"/>
      <c r="UIG1607" s="391"/>
      <c r="UII1607" s="391"/>
      <c r="UIK1607" s="391"/>
      <c r="UIM1607" s="391"/>
      <c r="UIO1607" s="391"/>
      <c r="UIQ1607" s="391"/>
      <c r="UIS1607" s="391"/>
      <c r="UIU1607" s="391"/>
      <c r="UIW1607" s="391"/>
      <c r="UIY1607" s="391"/>
      <c r="UJA1607" s="391"/>
      <c r="UJC1607" s="391"/>
      <c r="UJE1607" s="391"/>
      <c r="UJG1607" s="391"/>
      <c r="UJI1607" s="391"/>
      <c r="UJK1607" s="391"/>
      <c r="UJM1607" s="391"/>
      <c r="UJO1607" s="391"/>
      <c r="UJQ1607" s="391"/>
      <c r="UJS1607" s="391"/>
      <c r="UJU1607" s="391"/>
      <c r="UJW1607" s="391"/>
      <c r="UJY1607" s="391"/>
      <c r="UKA1607" s="391"/>
      <c r="UKC1607" s="391"/>
      <c r="UKE1607" s="391"/>
      <c r="UKG1607" s="391"/>
      <c r="UKI1607" s="391"/>
      <c r="UKK1607" s="391"/>
      <c r="UKM1607" s="391"/>
      <c r="UKO1607" s="391"/>
      <c r="UKQ1607" s="391"/>
      <c r="UKS1607" s="391"/>
      <c r="UKU1607" s="391"/>
      <c r="UKW1607" s="391"/>
      <c r="UKY1607" s="391"/>
      <c r="ULA1607" s="391"/>
      <c r="ULC1607" s="391"/>
      <c r="ULE1607" s="391"/>
      <c r="ULG1607" s="391"/>
      <c r="ULI1607" s="391"/>
      <c r="ULK1607" s="391"/>
      <c r="ULM1607" s="391"/>
      <c r="ULO1607" s="391"/>
      <c r="ULQ1607" s="391"/>
      <c r="ULS1607" s="391"/>
      <c r="ULU1607" s="391"/>
      <c r="ULW1607" s="391"/>
      <c r="ULY1607" s="391"/>
      <c r="UMA1607" s="391"/>
      <c r="UMC1607" s="391"/>
      <c r="UME1607" s="391"/>
      <c r="UMG1607" s="391"/>
      <c r="UMI1607" s="391"/>
      <c r="UMK1607" s="391"/>
      <c r="UMM1607" s="391"/>
      <c r="UMO1607" s="391"/>
      <c r="UMQ1607" s="391"/>
      <c r="UMS1607" s="391"/>
      <c r="UMU1607" s="391"/>
      <c r="UMW1607" s="391"/>
      <c r="UMY1607" s="391"/>
      <c r="UNA1607" s="391"/>
      <c r="UNC1607" s="391"/>
      <c r="UNE1607" s="391"/>
      <c r="UNG1607" s="391"/>
      <c r="UNI1607" s="391"/>
      <c r="UNK1607" s="391"/>
      <c r="UNM1607" s="391"/>
      <c r="UNO1607" s="391"/>
      <c r="UNQ1607" s="391"/>
      <c r="UNS1607" s="391"/>
      <c r="UNU1607" s="391"/>
      <c r="UNW1607" s="391"/>
      <c r="UNY1607" s="391"/>
      <c r="UOA1607" s="391"/>
      <c r="UOC1607" s="391"/>
      <c r="UOE1607" s="391"/>
      <c r="UOG1607" s="391"/>
      <c r="UOI1607" s="391"/>
      <c r="UOK1607" s="391"/>
      <c r="UOM1607" s="391"/>
      <c r="UOO1607" s="391"/>
      <c r="UOQ1607" s="391"/>
      <c r="UOS1607" s="391"/>
      <c r="UOU1607" s="391"/>
      <c r="UOW1607" s="391"/>
      <c r="UOY1607" s="391"/>
      <c r="UPA1607" s="391"/>
      <c r="UPC1607" s="391"/>
      <c r="UPE1607" s="391"/>
      <c r="UPG1607" s="391"/>
      <c r="UPI1607" s="391"/>
      <c r="UPK1607" s="391"/>
      <c r="UPM1607" s="391"/>
      <c r="UPO1607" s="391"/>
      <c r="UPQ1607" s="391"/>
      <c r="UPS1607" s="391"/>
      <c r="UPU1607" s="391"/>
      <c r="UPW1607" s="391"/>
      <c r="UPY1607" s="391"/>
      <c r="UQA1607" s="391"/>
      <c r="UQC1607" s="391"/>
      <c r="UQE1607" s="391"/>
      <c r="UQG1607" s="391"/>
      <c r="UQI1607" s="391"/>
      <c r="UQK1607" s="391"/>
      <c r="UQM1607" s="391"/>
      <c r="UQO1607" s="391"/>
      <c r="UQQ1607" s="391"/>
      <c r="UQS1607" s="391"/>
      <c r="UQU1607" s="391"/>
      <c r="UQW1607" s="391"/>
      <c r="UQY1607" s="391"/>
      <c r="URA1607" s="391"/>
      <c r="URC1607" s="391"/>
      <c r="URE1607" s="391"/>
      <c r="URG1607" s="391"/>
      <c r="URI1607" s="391"/>
      <c r="URK1607" s="391"/>
      <c r="URM1607" s="391"/>
      <c r="URO1607" s="391"/>
      <c r="URQ1607" s="391"/>
      <c r="URS1607" s="391"/>
      <c r="URU1607" s="391"/>
      <c r="URW1607" s="391"/>
      <c r="URY1607" s="391"/>
      <c r="USA1607" s="391"/>
      <c r="USC1607" s="391"/>
      <c r="USE1607" s="391"/>
      <c r="USG1607" s="391"/>
      <c r="USI1607" s="391"/>
      <c r="USK1607" s="391"/>
      <c r="USM1607" s="391"/>
      <c r="USO1607" s="391"/>
      <c r="USQ1607" s="391"/>
      <c r="USS1607" s="391"/>
      <c r="USU1607" s="391"/>
      <c r="USW1607" s="391"/>
      <c r="USY1607" s="391"/>
      <c r="UTA1607" s="391"/>
      <c r="UTC1607" s="391"/>
      <c r="UTE1607" s="391"/>
      <c r="UTG1607" s="391"/>
      <c r="UTI1607" s="391"/>
      <c r="UTK1607" s="391"/>
      <c r="UTM1607" s="391"/>
      <c r="UTO1607" s="391"/>
      <c r="UTQ1607" s="391"/>
      <c r="UTS1607" s="391"/>
      <c r="UTU1607" s="391"/>
      <c r="UTW1607" s="391"/>
      <c r="UTY1607" s="391"/>
      <c r="UUA1607" s="391"/>
      <c r="UUC1607" s="391"/>
      <c r="UUE1607" s="391"/>
      <c r="UUG1607" s="391"/>
      <c r="UUI1607" s="391"/>
      <c r="UUK1607" s="391"/>
      <c r="UUM1607" s="391"/>
      <c r="UUO1607" s="391"/>
      <c r="UUQ1607" s="391"/>
      <c r="UUS1607" s="391"/>
      <c r="UUU1607" s="391"/>
      <c r="UUW1607" s="391"/>
      <c r="UUY1607" s="391"/>
      <c r="UVA1607" s="391"/>
      <c r="UVC1607" s="391"/>
      <c r="UVE1607" s="391"/>
      <c r="UVG1607" s="391"/>
      <c r="UVI1607" s="391"/>
      <c r="UVK1607" s="391"/>
      <c r="UVM1607" s="391"/>
      <c r="UVO1607" s="391"/>
      <c r="UVQ1607" s="391"/>
      <c r="UVS1607" s="391"/>
      <c r="UVU1607" s="391"/>
      <c r="UVW1607" s="391"/>
      <c r="UVY1607" s="391"/>
      <c r="UWA1607" s="391"/>
      <c r="UWC1607" s="391"/>
      <c r="UWE1607" s="391"/>
      <c r="UWG1607" s="391"/>
      <c r="UWI1607" s="391"/>
      <c r="UWK1607" s="391"/>
      <c r="UWM1607" s="391"/>
      <c r="UWO1607" s="391"/>
      <c r="UWQ1607" s="391"/>
      <c r="UWS1607" s="391"/>
      <c r="UWU1607" s="391"/>
      <c r="UWW1607" s="391"/>
      <c r="UWY1607" s="391"/>
      <c r="UXA1607" s="391"/>
      <c r="UXC1607" s="391"/>
      <c r="UXE1607" s="391"/>
      <c r="UXG1607" s="391"/>
      <c r="UXI1607" s="391"/>
      <c r="UXK1607" s="391"/>
      <c r="UXM1607" s="391"/>
      <c r="UXO1607" s="391"/>
      <c r="UXQ1607" s="391"/>
      <c r="UXS1607" s="391"/>
      <c r="UXU1607" s="391"/>
      <c r="UXW1607" s="391"/>
      <c r="UXY1607" s="391"/>
      <c r="UYA1607" s="391"/>
      <c r="UYC1607" s="391"/>
      <c r="UYE1607" s="391"/>
      <c r="UYG1607" s="391"/>
      <c r="UYI1607" s="391"/>
      <c r="UYK1607" s="391"/>
      <c r="UYM1607" s="391"/>
      <c r="UYO1607" s="391"/>
      <c r="UYQ1607" s="391"/>
      <c r="UYS1607" s="391"/>
      <c r="UYU1607" s="391"/>
      <c r="UYW1607" s="391"/>
      <c r="UYY1607" s="391"/>
      <c r="UZA1607" s="391"/>
      <c r="UZC1607" s="391"/>
      <c r="UZE1607" s="391"/>
      <c r="UZG1607" s="391"/>
      <c r="UZI1607" s="391"/>
      <c r="UZK1607" s="391"/>
      <c r="UZM1607" s="391"/>
      <c r="UZO1607" s="391"/>
      <c r="UZQ1607" s="391"/>
      <c r="UZS1607" s="391"/>
      <c r="UZU1607" s="391"/>
      <c r="UZW1607" s="391"/>
      <c r="UZY1607" s="391"/>
      <c r="VAA1607" s="391"/>
      <c r="VAC1607" s="391"/>
      <c r="VAE1607" s="391"/>
      <c r="VAG1607" s="391"/>
      <c r="VAI1607" s="391"/>
      <c r="VAK1607" s="391"/>
      <c r="VAM1607" s="391"/>
      <c r="VAO1607" s="391"/>
      <c r="VAQ1607" s="391"/>
      <c r="VAS1607" s="391"/>
      <c r="VAU1607" s="391"/>
      <c r="VAW1607" s="391"/>
      <c r="VAY1607" s="391"/>
      <c r="VBA1607" s="391"/>
      <c r="VBC1607" s="391"/>
      <c r="VBE1607" s="391"/>
      <c r="VBG1607" s="391"/>
      <c r="VBI1607" s="391"/>
      <c r="VBK1607" s="391"/>
      <c r="VBM1607" s="391"/>
      <c r="VBO1607" s="391"/>
      <c r="VBQ1607" s="391"/>
      <c r="VBS1607" s="391"/>
      <c r="VBU1607" s="391"/>
      <c r="VBW1607" s="391"/>
      <c r="VBY1607" s="391"/>
      <c r="VCA1607" s="391"/>
      <c r="VCC1607" s="391"/>
      <c r="VCE1607" s="391"/>
      <c r="VCG1607" s="391"/>
      <c r="VCI1607" s="391"/>
      <c r="VCK1607" s="391"/>
      <c r="VCM1607" s="391"/>
      <c r="VCO1607" s="391"/>
      <c r="VCQ1607" s="391"/>
      <c r="VCS1607" s="391"/>
      <c r="VCU1607" s="391"/>
      <c r="VCW1607" s="391"/>
      <c r="VCY1607" s="391"/>
      <c r="VDA1607" s="391"/>
      <c r="VDC1607" s="391"/>
      <c r="VDE1607" s="391"/>
      <c r="VDG1607" s="391"/>
      <c r="VDI1607" s="391"/>
      <c r="VDK1607" s="391"/>
      <c r="VDM1607" s="391"/>
      <c r="VDO1607" s="391"/>
      <c r="VDQ1607" s="391"/>
      <c r="VDS1607" s="391"/>
      <c r="VDU1607" s="391"/>
      <c r="VDW1607" s="391"/>
      <c r="VDY1607" s="391"/>
      <c r="VEA1607" s="391"/>
      <c r="VEC1607" s="391"/>
      <c r="VEE1607" s="391"/>
      <c r="VEG1607" s="391"/>
      <c r="VEI1607" s="391"/>
      <c r="VEK1607" s="391"/>
      <c r="VEM1607" s="391"/>
      <c r="VEO1607" s="391"/>
      <c r="VEQ1607" s="391"/>
      <c r="VES1607" s="391"/>
      <c r="VEU1607" s="391"/>
      <c r="VEW1607" s="391"/>
      <c r="VEY1607" s="391"/>
      <c r="VFA1607" s="391"/>
      <c r="VFC1607" s="391"/>
      <c r="VFE1607" s="391"/>
      <c r="VFG1607" s="391"/>
      <c r="VFI1607" s="391"/>
      <c r="VFK1607" s="391"/>
      <c r="VFM1607" s="391"/>
      <c r="VFO1607" s="391"/>
      <c r="VFQ1607" s="391"/>
      <c r="VFS1607" s="391"/>
      <c r="VFU1607" s="391"/>
      <c r="VFW1607" s="391"/>
      <c r="VFY1607" s="391"/>
      <c r="VGA1607" s="391"/>
      <c r="VGC1607" s="391"/>
      <c r="VGE1607" s="391"/>
      <c r="VGG1607" s="391"/>
      <c r="VGI1607" s="391"/>
      <c r="VGK1607" s="391"/>
      <c r="VGM1607" s="391"/>
      <c r="VGO1607" s="391"/>
      <c r="VGQ1607" s="391"/>
      <c r="VGS1607" s="391"/>
      <c r="VGU1607" s="391"/>
      <c r="VGW1607" s="391"/>
      <c r="VGY1607" s="391"/>
      <c r="VHA1607" s="391"/>
      <c r="VHC1607" s="391"/>
      <c r="VHE1607" s="391"/>
      <c r="VHG1607" s="391"/>
      <c r="VHI1607" s="391"/>
      <c r="VHK1607" s="391"/>
      <c r="VHM1607" s="391"/>
      <c r="VHO1607" s="391"/>
      <c r="VHQ1607" s="391"/>
      <c r="VHS1607" s="391"/>
      <c r="VHU1607" s="391"/>
      <c r="VHW1607" s="391"/>
      <c r="VHY1607" s="391"/>
      <c r="VIA1607" s="391"/>
      <c r="VIC1607" s="391"/>
      <c r="VIE1607" s="391"/>
      <c r="VIG1607" s="391"/>
      <c r="VII1607" s="391"/>
      <c r="VIK1607" s="391"/>
      <c r="VIM1607" s="391"/>
      <c r="VIO1607" s="391"/>
      <c r="VIQ1607" s="391"/>
      <c r="VIS1607" s="391"/>
      <c r="VIU1607" s="391"/>
      <c r="VIW1607" s="391"/>
      <c r="VIY1607" s="391"/>
      <c r="VJA1607" s="391"/>
      <c r="VJC1607" s="391"/>
      <c r="VJE1607" s="391"/>
      <c r="VJG1607" s="391"/>
      <c r="VJI1607" s="391"/>
      <c r="VJK1607" s="391"/>
      <c r="VJM1607" s="391"/>
      <c r="VJO1607" s="391"/>
      <c r="VJQ1607" s="391"/>
      <c r="VJS1607" s="391"/>
      <c r="VJU1607" s="391"/>
      <c r="VJW1607" s="391"/>
      <c r="VJY1607" s="391"/>
      <c r="VKA1607" s="391"/>
      <c r="VKC1607" s="391"/>
      <c r="VKE1607" s="391"/>
      <c r="VKG1607" s="391"/>
      <c r="VKI1607" s="391"/>
      <c r="VKK1607" s="391"/>
      <c r="VKM1607" s="391"/>
      <c r="VKO1607" s="391"/>
      <c r="VKQ1607" s="391"/>
      <c r="VKS1607" s="391"/>
      <c r="VKU1607" s="391"/>
      <c r="VKW1607" s="391"/>
      <c r="VKY1607" s="391"/>
      <c r="VLA1607" s="391"/>
      <c r="VLC1607" s="391"/>
      <c r="VLE1607" s="391"/>
      <c r="VLG1607" s="391"/>
      <c r="VLI1607" s="391"/>
      <c r="VLK1607" s="391"/>
      <c r="VLM1607" s="391"/>
      <c r="VLO1607" s="391"/>
      <c r="VLQ1607" s="391"/>
      <c r="VLS1607" s="391"/>
      <c r="VLU1607" s="391"/>
      <c r="VLW1607" s="391"/>
      <c r="VLY1607" s="391"/>
      <c r="VMA1607" s="391"/>
      <c r="VMC1607" s="391"/>
      <c r="VME1607" s="391"/>
      <c r="VMG1607" s="391"/>
      <c r="VMI1607" s="391"/>
      <c r="VMK1607" s="391"/>
      <c r="VMM1607" s="391"/>
      <c r="VMO1607" s="391"/>
      <c r="VMQ1607" s="391"/>
      <c r="VMS1607" s="391"/>
      <c r="VMU1607" s="391"/>
      <c r="VMW1607" s="391"/>
      <c r="VMY1607" s="391"/>
      <c r="VNA1607" s="391"/>
      <c r="VNC1607" s="391"/>
      <c r="VNE1607" s="391"/>
      <c r="VNG1607" s="391"/>
      <c r="VNI1607" s="391"/>
      <c r="VNK1607" s="391"/>
      <c r="VNM1607" s="391"/>
      <c r="VNO1607" s="391"/>
      <c r="VNQ1607" s="391"/>
      <c r="VNS1607" s="391"/>
      <c r="VNU1607" s="391"/>
      <c r="VNW1607" s="391"/>
      <c r="VNY1607" s="391"/>
      <c r="VOA1607" s="391"/>
      <c r="VOC1607" s="391"/>
      <c r="VOE1607" s="391"/>
      <c r="VOG1607" s="391"/>
      <c r="VOI1607" s="391"/>
      <c r="VOK1607" s="391"/>
      <c r="VOM1607" s="391"/>
      <c r="VOO1607" s="391"/>
      <c r="VOQ1607" s="391"/>
      <c r="VOS1607" s="391"/>
      <c r="VOU1607" s="391"/>
      <c r="VOW1607" s="391"/>
      <c r="VOY1607" s="391"/>
      <c r="VPA1607" s="391"/>
      <c r="VPC1607" s="391"/>
      <c r="VPE1607" s="391"/>
      <c r="VPG1607" s="391"/>
      <c r="VPI1607" s="391"/>
      <c r="VPK1607" s="391"/>
      <c r="VPM1607" s="391"/>
      <c r="VPO1607" s="391"/>
      <c r="VPQ1607" s="391"/>
      <c r="VPS1607" s="391"/>
      <c r="VPU1607" s="391"/>
      <c r="VPW1607" s="391"/>
      <c r="VPY1607" s="391"/>
      <c r="VQA1607" s="391"/>
      <c r="VQC1607" s="391"/>
      <c r="VQE1607" s="391"/>
      <c r="VQG1607" s="391"/>
      <c r="VQI1607" s="391"/>
      <c r="VQK1607" s="391"/>
      <c r="VQM1607" s="391"/>
      <c r="VQO1607" s="391"/>
      <c r="VQQ1607" s="391"/>
      <c r="VQS1607" s="391"/>
      <c r="VQU1607" s="391"/>
      <c r="VQW1607" s="391"/>
      <c r="VQY1607" s="391"/>
      <c r="VRA1607" s="391"/>
      <c r="VRC1607" s="391"/>
      <c r="VRE1607" s="391"/>
      <c r="VRG1607" s="391"/>
      <c r="VRI1607" s="391"/>
      <c r="VRK1607" s="391"/>
      <c r="VRM1607" s="391"/>
      <c r="VRO1607" s="391"/>
      <c r="VRQ1607" s="391"/>
      <c r="VRS1607" s="391"/>
      <c r="VRU1607" s="391"/>
      <c r="VRW1607" s="391"/>
      <c r="VRY1607" s="391"/>
      <c r="VSA1607" s="391"/>
      <c r="VSC1607" s="391"/>
      <c r="VSE1607" s="391"/>
      <c r="VSG1607" s="391"/>
      <c r="VSI1607" s="391"/>
      <c r="VSK1607" s="391"/>
      <c r="VSM1607" s="391"/>
      <c r="VSO1607" s="391"/>
      <c r="VSQ1607" s="391"/>
      <c r="VSS1607" s="391"/>
      <c r="VSU1607" s="391"/>
      <c r="VSW1607" s="391"/>
      <c r="VSY1607" s="391"/>
      <c r="VTA1607" s="391"/>
      <c r="VTC1607" s="391"/>
      <c r="VTE1607" s="391"/>
      <c r="VTG1607" s="391"/>
      <c r="VTI1607" s="391"/>
      <c r="VTK1607" s="391"/>
      <c r="VTM1607" s="391"/>
      <c r="VTO1607" s="391"/>
      <c r="VTQ1607" s="391"/>
      <c r="VTS1607" s="391"/>
      <c r="VTU1607" s="391"/>
      <c r="VTW1607" s="391"/>
      <c r="VTY1607" s="391"/>
      <c r="VUA1607" s="391"/>
      <c r="VUC1607" s="391"/>
      <c r="VUE1607" s="391"/>
      <c r="VUG1607" s="391"/>
      <c r="VUI1607" s="391"/>
      <c r="VUK1607" s="391"/>
      <c r="VUM1607" s="391"/>
      <c r="VUO1607" s="391"/>
      <c r="VUQ1607" s="391"/>
      <c r="VUS1607" s="391"/>
      <c r="VUU1607" s="391"/>
      <c r="VUW1607" s="391"/>
      <c r="VUY1607" s="391"/>
      <c r="VVA1607" s="391"/>
      <c r="VVC1607" s="391"/>
      <c r="VVE1607" s="391"/>
      <c r="VVG1607" s="391"/>
      <c r="VVI1607" s="391"/>
      <c r="VVK1607" s="391"/>
      <c r="VVM1607" s="391"/>
      <c r="VVO1607" s="391"/>
      <c r="VVQ1607" s="391"/>
      <c r="VVS1607" s="391"/>
      <c r="VVU1607" s="391"/>
      <c r="VVW1607" s="391"/>
      <c r="VVY1607" s="391"/>
      <c r="VWA1607" s="391"/>
      <c r="VWC1607" s="391"/>
      <c r="VWE1607" s="391"/>
      <c r="VWG1607" s="391"/>
      <c r="VWI1607" s="391"/>
      <c r="VWK1607" s="391"/>
      <c r="VWM1607" s="391"/>
      <c r="VWO1607" s="391"/>
      <c r="VWQ1607" s="391"/>
      <c r="VWS1607" s="391"/>
      <c r="VWU1607" s="391"/>
      <c r="VWW1607" s="391"/>
      <c r="VWY1607" s="391"/>
      <c r="VXA1607" s="391"/>
      <c r="VXC1607" s="391"/>
      <c r="VXE1607" s="391"/>
      <c r="VXG1607" s="391"/>
      <c r="VXI1607" s="391"/>
      <c r="VXK1607" s="391"/>
      <c r="VXM1607" s="391"/>
      <c r="VXO1607" s="391"/>
      <c r="VXQ1607" s="391"/>
      <c r="VXS1607" s="391"/>
      <c r="VXU1607" s="391"/>
      <c r="VXW1607" s="391"/>
      <c r="VXY1607" s="391"/>
      <c r="VYA1607" s="391"/>
      <c r="VYC1607" s="391"/>
      <c r="VYE1607" s="391"/>
      <c r="VYG1607" s="391"/>
      <c r="VYI1607" s="391"/>
      <c r="VYK1607" s="391"/>
      <c r="VYM1607" s="391"/>
      <c r="VYO1607" s="391"/>
      <c r="VYQ1607" s="391"/>
      <c r="VYS1607" s="391"/>
      <c r="VYU1607" s="391"/>
      <c r="VYW1607" s="391"/>
      <c r="VYY1607" s="391"/>
      <c r="VZA1607" s="391"/>
      <c r="VZC1607" s="391"/>
      <c r="VZE1607" s="391"/>
      <c r="VZG1607" s="391"/>
      <c r="VZI1607" s="391"/>
      <c r="VZK1607" s="391"/>
      <c r="VZM1607" s="391"/>
      <c r="VZO1607" s="391"/>
      <c r="VZQ1607" s="391"/>
      <c r="VZS1607" s="391"/>
      <c r="VZU1607" s="391"/>
      <c r="VZW1607" s="391"/>
      <c r="VZY1607" s="391"/>
      <c r="WAA1607" s="391"/>
      <c r="WAC1607" s="391"/>
      <c r="WAE1607" s="391"/>
      <c r="WAG1607" s="391"/>
      <c r="WAI1607" s="391"/>
      <c r="WAK1607" s="391"/>
      <c r="WAM1607" s="391"/>
      <c r="WAO1607" s="391"/>
      <c r="WAQ1607" s="391"/>
      <c r="WAS1607" s="391"/>
      <c r="WAU1607" s="391"/>
      <c r="WAW1607" s="391"/>
      <c r="WAY1607" s="391"/>
      <c r="WBA1607" s="391"/>
      <c r="WBC1607" s="391"/>
      <c r="WBE1607" s="391"/>
      <c r="WBG1607" s="391"/>
      <c r="WBI1607" s="391"/>
      <c r="WBK1607" s="391"/>
      <c r="WBM1607" s="391"/>
      <c r="WBO1607" s="391"/>
      <c r="WBQ1607" s="391"/>
      <c r="WBS1607" s="391"/>
      <c r="WBU1607" s="391"/>
      <c r="WBW1607" s="391"/>
      <c r="WBY1607" s="391"/>
      <c r="WCA1607" s="391"/>
      <c r="WCC1607" s="391"/>
      <c r="WCE1607" s="391"/>
      <c r="WCG1607" s="391"/>
      <c r="WCI1607" s="391"/>
      <c r="WCK1607" s="391"/>
      <c r="WCM1607" s="391"/>
      <c r="WCO1607" s="391"/>
      <c r="WCQ1607" s="391"/>
      <c r="WCS1607" s="391"/>
      <c r="WCU1607" s="391"/>
      <c r="WCW1607" s="391"/>
      <c r="WCY1607" s="391"/>
      <c r="WDA1607" s="391"/>
      <c r="WDC1607" s="391"/>
      <c r="WDE1607" s="391"/>
      <c r="WDG1607" s="391"/>
      <c r="WDI1607" s="391"/>
      <c r="WDK1607" s="391"/>
      <c r="WDM1607" s="391"/>
      <c r="WDO1607" s="391"/>
      <c r="WDQ1607" s="391"/>
      <c r="WDS1607" s="391"/>
      <c r="WDU1607" s="391"/>
      <c r="WDW1607" s="391"/>
      <c r="WDY1607" s="391"/>
      <c r="WEA1607" s="391"/>
      <c r="WEC1607" s="391"/>
      <c r="WEE1607" s="391"/>
      <c r="WEG1607" s="391"/>
      <c r="WEI1607" s="391"/>
      <c r="WEK1607" s="391"/>
      <c r="WEM1607" s="391"/>
      <c r="WEO1607" s="391"/>
      <c r="WEQ1607" s="391"/>
      <c r="WES1607" s="391"/>
      <c r="WEU1607" s="391"/>
      <c r="WEW1607" s="391"/>
      <c r="WEY1607" s="391"/>
      <c r="WFA1607" s="391"/>
      <c r="WFC1607" s="391"/>
      <c r="WFE1607" s="391"/>
      <c r="WFG1607" s="391"/>
      <c r="WFI1607" s="391"/>
      <c r="WFK1607" s="391"/>
      <c r="WFM1607" s="391"/>
      <c r="WFO1607" s="391"/>
      <c r="WFQ1607" s="391"/>
      <c r="WFS1607" s="391"/>
      <c r="WFU1607" s="391"/>
      <c r="WFW1607" s="391"/>
      <c r="WFY1607" s="391"/>
      <c r="WGA1607" s="391"/>
      <c r="WGC1607" s="391"/>
      <c r="WGE1607" s="391"/>
      <c r="WGG1607" s="391"/>
      <c r="WGI1607" s="391"/>
      <c r="WGK1607" s="391"/>
      <c r="WGM1607" s="391"/>
      <c r="WGO1607" s="391"/>
      <c r="WGQ1607" s="391"/>
      <c r="WGS1607" s="391"/>
      <c r="WGU1607" s="391"/>
      <c r="WGW1607" s="391"/>
      <c r="WGY1607" s="391"/>
      <c r="WHA1607" s="391"/>
      <c r="WHC1607" s="391"/>
      <c r="WHE1607" s="391"/>
      <c r="WHG1607" s="391"/>
      <c r="WHI1607" s="391"/>
      <c r="WHK1607" s="391"/>
      <c r="WHM1607" s="391"/>
      <c r="WHO1607" s="391"/>
      <c r="WHQ1607" s="391"/>
      <c r="WHS1607" s="391"/>
      <c r="WHU1607" s="391"/>
      <c r="WHW1607" s="391"/>
      <c r="WHY1607" s="391"/>
      <c r="WIA1607" s="391"/>
      <c r="WIC1607" s="391"/>
      <c r="WIE1607" s="391"/>
      <c r="WIG1607" s="391"/>
      <c r="WII1607" s="391"/>
      <c r="WIK1607" s="391"/>
      <c r="WIM1607" s="391"/>
      <c r="WIO1607" s="391"/>
      <c r="WIQ1607" s="391"/>
      <c r="WIS1607" s="391"/>
      <c r="WIU1607" s="391"/>
      <c r="WIW1607" s="391"/>
      <c r="WIY1607" s="391"/>
      <c r="WJA1607" s="391"/>
      <c r="WJC1607" s="391"/>
      <c r="WJE1607" s="391"/>
      <c r="WJG1607" s="391"/>
      <c r="WJI1607" s="391"/>
      <c r="WJK1607" s="391"/>
      <c r="WJM1607" s="391"/>
      <c r="WJO1607" s="391"/>
      <c r="WJQ1607" s="391"/>
      <c r="WJS1607" s="391"/>
      <c r="WJU1607" s="391"/>
      <c r="WJW1607" s="391"/>
      <c r="WJY1607" s="391"/>
      <c r="WKA1607" s="391"/>
      <c r="WKC1607" s="391"/>
      <c r="WKE1607" s="391"/>
      <c r="WKG1607" s="391"/>
      <c r="WKI1607" s="391"/>
      <c r="WKK1607" s="391"/>
      <c r="WKM1607" s="391"/>
      <c r="WKO1607" s="391"/>
      <c r="WKQ1607" s="391"/>
      <c r="WKS1607" s="391"/>
      <c r="WKU1607" s="391"/>
      <c r="WKW1607" s="391"/>
      <c r="WKY1607" s="391"/>
      <c r="WLA1607" s="391"/>
      <c r="WLC1607" s="391"/>
      <c r="WLE1607" s="391"/>
      <c r="WLG1607" s="391"/>
      <c r="WLI1607" s="391"/>
      <c r="WLK1607" s="391"/>
      <c r="WLM1607" s="391"/>
      <c r="WLO1607" s="391"/>
      <c r="WLQ1607" s="391"/>
      <c r="WLS1607" s="391"/>
      <c r="WLU1607" s="391"/>
      <c r="WLW1607" s="391"/>
      <c r="WLY1607" s="391"/>
      <c r="WMA1607" s="391"/>
      <c r="WMC1607" s="391"/>
      <c r="WME1607" s="391"/>
      <c r="WMG1607" s="391"/>
      <c r="WMI1607" s="391"/>
      <c r="WMK1607" s="391"/>
      <c r="WMM1607" s="391"/>
      <c r="WMO1607" s="391"/>
      <c r="WMQ1607" s="391"/>
      <c r="WMS1607" s="391"/>
      <c r="WMU1607" s="391"/>
      <c r="WMW1607" s="391"/>
      <c r="WMY1607" s="391"/>
      <c r="WNA1607" s="391"/>
      <c r="WNC1607" s="391"/>
      <c r="WNE1607" s="391"/>
      <c r="WNG1607" s="391"/>
      <c r="WNI1607" s="391"/>
      <c r="WNK1607" s="391"/>
      <c r="WNM1607" s="391"/>
      <c r="WNO1607" s="391"/>
      <c r="WNQ1607" s="391"/>
      <c r="WNS1607" s="391"/>
      <c r="WNU1607" s="391"/>
      <c r="WNW1607" s="391"/>
      <c r="WNY1607" s="391"/>
      <c r="WOA1607" s="391"/>
      <c r="WOC1607" s="391"/>
      <c r="WOE1607" s="391"/>
      <c r="WOG1607" s="391"/>
      <c r="WOI1607" s="391"/>
      <c r="WOK1607" s="391"/>
      <c r="WOM1607" s="391"/>
      <c r="WOO1607" s="391"/>
      <c r="WOQ1607" s="391"/>
      <c r="WOS1607" s="391"/>
      <c r="WOU1607" s="391"/>
      <c r="WOW1607" s="391"/>
      <c r="WOY1607" s="391"/>
      <c r="WPA1607" s="391"/>
      <c r="WPC1607" s="391"/>
      <c r="WPE1607" s="391"/>
      <c r="WPG1607" s="391"/>
      <c r="WPI1607" s="391"/>
      <c r="WPK1607" s="391"/>
      <c r="WPM1607" s="391"/>
      <c r="WPO1607" s="391"/>
      <c r="WPQ1607" s="391"/>
      <c r="WPS1607" s="391"/>
      <c r="WPU1607" s="391"/>
      <c r="WPW1607" s="391"/>
      <c r="WPY1607" s="391"/>
      <c r="WQA1607" s="391"/>
      <c r="WQC1607" s="391"/>
      <c r="WQE1607" s="391"/>
      <c r="WQG1607" s="391"/>
      <c r="WQI1607" s="391"/>
      <c r="WQK1607" s="391"/>
      <c r="WQM1607" s="391"/>
      <c r="WQO1607" s="391"/>
      <c r="WQQ1607" s="391"/>
      <c r="WQS1607" s="391"/>
      <c r="WQU1607" s="391"/>
      <c r="WQW1607" s="391"/>
      <c r="WQY1607" s="391"/>
      <c r="WRA1607" s="391"/>
      <c r="WRC1607" s="391"/>
      <c r="WRE1607" s="391"/>
      <c r="WRG1607" s="391"/>
      <c r="WRI1607" s="391"/>
      <c r="WRK1607" s="391"/>
      <c r="WRM1607" s="391"/>
      <c r="WRO1607" s="391"/>
      <c r="WRQ1607" s="391"/>
      <c r="WRS1607" s="391"/>
      <c r="WRU1607" s="391"/>
      <c r="WRW1607" s="391"/>
      <c r="WRY1607" s="391"/>
      <c r="WSA1607" s="391"/>
      <c r="WSC1607" s="391"/>
      <c r="WSE1607" s="391"/>
      <c r="WSG1607" s="391"/>
      <c r="WSI1607" s="391"/>
      <c r="WSK1607" s="391"/>
      <c r="WSM1607" s="391"/>
      <c r="WSO1607" s="391"/>
      <c r="WSQ1607" s="391"/>
      <c r="WSS1607" s="391"/>
      <c r="WSU1607" s="391"/>
      <c r="WSW1607" s="391"/>
      <c r="WSY1607" s="391"/>
      <c r="WTA1607" s="391"/>
      <c r="WTC1607" s="391"/>
      <c r="WTE1607" s="391"/>
      <c r="WTG1607" s="391"/>
      <c r="WTI1607" s="391"/>
      <c r="WTK1607" s="391"/>
      <c r="WTM1607" s="391"/>
      <c r="WTO1607" s="391"/>
      <c r="WTQ1607" s="391"/>
      <c r="WTS1607" s="391"/>
      <c r="WTU1607" s="391"/>
      <c r="WTW1607" s="391"/>
      <c r="WTY1607" s="391"/>
      <c r="WUA1607" s="391"/>
      <c r="WUC1607" s="391"/>
      <c r="WUE1607" s="391"/>
      <c r="WUG1607" s="391"/>
      <c r="WUI1607" s="391"/>
      <c r="WUK1607" s="391"/>
      <c r="WUM1607" s="391"/>
      <c r="WUO1607" s="391"/>
      <c r="WUQ1607" s="391"/>
      <c r="WUS1607" s="391"/>
      <c r="WUU1607" s="391"/>
      <c r="WUW1607" s="391"/>
      <c r="WUY1607" s="391"/>
      <c r="WVA1607" s="391"/>
      <c r="WVC1607" s="391"/>
      <c r="WVE1607" s="391"/>
      <c r="WVG1607" s="391"/>
      <c r="WVI1607" s="391"/>
      <c r="WVK1607" s="391"/>
      <c r="WVM1607" s="391"/>
      <c r="WVO1607" s="391"/>
      <c r="WVQ1607" s="391"/>
      <c r="WVS1607" s="391"/>
      <c r="WVU1607" s="391"/>
      <c r="WVW1607" s="391"/>
      <c r="WVY1607" s="391"/>
      <c r="WWA1607" s="391"/>
      <c r="WWC1607" s="391"/>
      <c r="WWE1607" s="391"/>
      <c r="WWG1607" s="391"/>
      <c r="WWI1607" s="391"/>
      <c r="WWK1607" s="391"/>
      <c r="WWM1607" s="391"/>
      <c r="WWO1607" s="391"/>
      <c r="WWQ1607" s="391"/>
      <c r="WWS1607" s="391"/>
      <c r="WWU1607" s="391"/>
      <c r="WWW1607" s="391"/>
      <c r="WWY1607" s="391"/>
      <c r="WXA1607" s="391"/>
      <c r="WXC1607" s="391"/>
      <c r="WXE1607" s="391"/>
      <c r="WXG1607" s="391"/>
      <c r="WXI1607" s="391"/>
      <c r="WXK1607" s="391"/>
      <c r="WXM1607" s="391"/>
      <c r="WXO1607" s="391"/>
      <c r="WXQ1607" s="391"/>
      <c r="WXS1607" s="391"/>
      <c r="WXU1607" s="391"/>
      <c r="WXW1607" s="391"/>
      <c r="WXY1607" s="391"/>
      <c r="WYA1607" s="391"/>
      <c r="WYC1607" s="391"/>
      <c r="WYE1607" s="391"/>
      <c r="WYG1607" s="391"/>
      <c r="WYI1607" s="391"/>
      <c r="WYK1607" s="391"/>
      <c r="WYM1607" s="391"/>
      <c r="WYO1607" s="391"/>
      <c r="WYQ1607" s="391"/>
      <c r="WYS1607" s="391"/>
      <c r="WYU1607" s="391"/>
      <c r="WYW1607" s="391"/>
      <c r="WYY1607" s="391"/>
      <c r="WZA1607" s="391"/>
      <c r="WZC1607" s="391"/>
      <c r="WZE1607" s="391"/>
      <c r="WZG1607" s="391"/>
      <c r="WZI1607" s="391"/>
      <c r="WZK1607" s="391"/>
      <c r="WZM1607" s="391"/>
      <c r="WZO1607" s="391"/>
      <c r="WZQ1607" s="391"/>
      <c r="WZS1607" s="391"/>
      <c r="WZU1607" s="391"/>
      <c r="WZW1607" s="391"/>
      <c r="WZY1607" s="391"/>
      <c r="XAA1607" s="391"/>
      <c r="XAC1607" s="391"/>
      <c r="XAE1607" s="391"/>
      <c r="XAG1607" s="391"/>
      <c r="XAI1607" s="391"/>
      <c r="XAK1607" s="391"/>
      <c r="XAM1607" s="391"/>
      <c r="XAO1607" s="391"/>
      <c r="XAQ1607" s="391"/>
      <c r="XAS1607" s="391"/>
      <c r="XAU1607" s="391"/>
      <c r="XAW1607" s="391"/>
      <c r="XAY1607" s="391"/>
      <c r="XBA1607" s="391"/>
      <c r="XBC1607" s="391"/>
      <c r="XBE1607" s="391"/>
      <c r="XBG1607" s="391"/>
      <c r="XBI1607" s="391"/>
      <c r="XBK1607" s="391"/>
      <c r="XBM1607" s="391"/>
      <c r="XBO1607" s="391"/>
      <c r="XBQ1607" s="391"/>
      <c r="XBS1607" s="391"/>
      <c r="XBU1607" s="391"/>
      <c r="XBW1607" s="391"/>
      <c r="XBY1607" s="391"/>
      <c r="XCA1607" s="391"/>
      <c r="XCC1607" s="391"/>
      <c r="XCE1607" s="391"/>
      <c r="XCG1607" s="391"/>
      <c r="XCI1607" s="391"/>
      <c r="XCK1607" s="391"/>
      <c r="XCM1607" s="391"/>
      <c r="XCO1607" s="391"/>
      <c r="XCQ1607" s="391"/>
      <c r="XCS1607" s="391"/>
      <c r="XCU1607" s="391"/>
      <c r="XCW1607" s="391"/>
      <c r="XCY1607" s="391"/>
      <c r="XDA1607" s="391"/>
      <c r="XDC1607" s="391"/>
      <c r="XDE1607" s="391"/>
      <c r="XDG1607" s="391"/>
      <c r="XDI1607" s="391"/>
      <c r="XDK1607" s="391"/>
      <c r="XDM1607" s="391"/>
      <c r="XDO1607" s="391"/>
      <c r="XDQ1607" s="391"/>
      <c r="XDS1607" s="391"/>
      <c r="XDU1607" s="391"/>
      <c r="XDW1607" s="391"/>
      <c r="XDY1607" s="391"/>
      <c r="XEA1607" s="391"/>
      <c r="XEC1607" s="391"/>
      <c r="XEE1607" s="391"/>
      <c r="XEG1607" s="391"/>
      <c r="XEI1607" s="391"/>
      <c r="XEK1607" s="391"/>
      <c r="XEM1607" s="391"/>
      <c r="XEO1607" s="391"/>
      <c r="XEQ1607" s="391"/>
      <c r="XES1607" s="391"/>
      <c r="XEU1607" s="391"/>
      <c r="XEW1607" s="391"/>
      <c r="XEY1607" s="391"/>
      <c r="XFA1607" s="391"/>
      <c r="XFC1607" s="391"/>
    </row>
    <row r="1608" spans="1:1023 1025:2047 2049:3071 3073:4095 4097:5119 5121:6143 6145:7167 7169:8191 8193:9215 9217:10239 10241:11263 11265:12287 12289:13311 13313:14335 14337:15359 15361:16383">
      <c r="A1608" s="390"/>
      <c r="B1608" s="423" t="s">
        <v>211</v>
      </c>
      <c r="C1608" s="424">
        <v>99022</v>
      </c>
      <c r="D1608" s="390"/>
      <c r="H1608" s="300"/>
      <c r="J1608" s="387"/>
      <c r="K1608" s="300"/>
      <c r="Q1608" s="300"/>
    </row>
    <row r="1609" spans="1:1023 1025:2047 2049:3071 3073:4095 4097:5119 5121:6143 6145:7167 7169:8191 8193:9215 9217:10239 10241:11263 11265:12287 12289:13311 13313:14335 14337:15359 15361:16383">
      <c r="A1609" s="390"/>
      <c r="B1609" s="423" t="s">
        <v>1259</v>
      </c>
      <c r="C1609" s="424">
        <v>96031</v>
      </c>
      <c r="D1609" s="390"/>
      <c r="H1609" s="300"/>
      <c r="J1609" s="387"/>
      <c r="K1609" s="300"/>
      <c r="Q1609" s="300"/>
    </row>
    <row r="1610" spans="1:1023 1025:2047 2049:3071 3073:4095 4097:5119 5121:6143 6145:7167 7169:8191 8193:9215 9217:10239 10241:11263 11265:12287 12289:13311 13313:14335 14337:15359 15361:16383">
      <c r="A1610" s="390"/>
      <c r="B1610" s="423" t="s">
        <v>999</v>
      </c>
      <c r="C1610" s="424">
        <v>93011</v>
      </c>
      <c r="D1610" s="390"/>
      <c r="H1610" s="300"/>
      <c r="J1610" s="387"/>
      <c r="K1610" s="300"/>
      <c r="Q1610" s="300"/>
    </row>
    <row r="1611" spans="1:1023 1025:2047 2049:3071 3073:4095 4097:5119 5121:6143 6145:7167 7169:8191 8193:9215 9217:10239 10241:11263 11265:12287 12289:13311 13313:14335 14337:15359 15361:16383">
      <c r="A1611" s="390"/>
      <c r="B1611" s="423" t="s">
        <v>841</v>
      </c>
      <c r="C1611" s="424">
        <v>91161</v>
      </c>
      <c r="D1611" s="390"/>
      <c r="H1611" s="300"/>
      <c r="J1611" s="388"/>
      <c r="K1611" s="300"/>
      <c r="Q1611" s="300"/>
    </row>
    <row r="1612" spans="1:1023 1025:2047 2049:3071 3073:4095 4097:5119 5121:6143 6145:7167 7169:8191 8193:9215 9217:10239 10241:11263 11265:12287 12289:13311 13313:14335 14337:15359 15361:16383">
      <c r="A1612" s="390"/>
      <c r="B1612" s="423" t="s">
        <v>883</v>
      </c>
      <c r="C1612" s="424">
        <v>91611</v>
      </c>
      <c r="D1612" s="390"/>
      <c r="H1612" s="300"/>
      <c r="J1612" s="387"/>
      <c r="K1612" s="300"/>
      <c r="Q1612" s="300"/>
    </row>
    <row r="1613" spans="1:1023 1025:2047 2049:3071 3073:4095 4097:5119 5121:6143 6145:7167 7169:8191 8193:9215 9217:10239 10241:11263 11265:12287 12289:13311 13313:14335 14337:15359 15361:16383">
      <c r="A1613" s="390"/>
      <c r="B1613" s="423" t="s">
        <v>1541</v>
      </c>
      <c r="C1613" s="424">
        <v>99206</v>
      </c>
      <c r="D1613" s="390"/>
      <c r="H1613" s="300"/>
      <c r="J1613" s="387"/>
      <c r="K1613" s="300"/>
      <c r="Q1613" s="300"/>
    </row>
    <row r="1614" spans="1:1023 1025:2047 2049:3071 3073:4095 4097:5119 5121:6143 6145:7167 7169:8191 8193:9215 9217:10239 10241:11263 11265:12287 12289:13311 13313:14335 14337:15359 15361:16383">
      <c r="A1614" s="390"/>
      <c r="B1614" s="423" t="s">
        <v>759</v>
      </c>
      <c r="C1614" s="424">
        <v>90461</v>
      </c>
      <c r="D1614" s="390"/>
      <c r="H1614" s="300"/>
      <c r="J1614" s="388"/>
      <c r="K1614" s="300"/>
      <c r="Q1614" s="300"/>
    </row>
    <row r="1615" spans="1:1023 1025:2047 2049:3071 3073:4095 4097:5119 5121:6143 6145:7167 7169:8191 8193:9215 9217:10239 10241:11263 11265:12287 12289:13311 13313:14335 14337:15359 15361:16383">
      <c r="A1615" s="390"/>
      <c r="B1615" s="427" t="s">
        <v>1275</v>
      </c>
      <c r="C1615" s="428">
        <v>96251</v>
      </c>
      <c r="D1615" s="390"/>
      <c r="H1615" s="300"/>
      <c r="J1615" s="387"/>
      <c r="K1615" s="300"/>
      <c r="Q1615" s="300"/>
    </row>
    <row r="1616" spans="1:1023 1025:2047 2049:3071 3073:4095 4097:5119 5121:6143 6145:7167 7169:8191 8193:9215 9217:10239 10241:11263 11265:12287 12289:13311 13313:14335 14337:15359 15361:16383">
      <c r="A1616" s="390"/>
      <c r="B1616" s="423" t="s">
        <v>1586</v>
      </c>
      <c r="C1616" s="424">
        <v>99621</v>
      </c>
      <c r="D1616" s="390"/>
      <c r="H1616" s="300"/>
      <c r="J1616" s="387"/>
      <c r="K1616" s="300"/>
      <c r="Q1616" s="300"/>
    </row>
    <row r="1617" spans="1:17">
      <c r="A1617" s="390"/>
      <c r="B1617" s="423" t="s">
        <v>864</v>
      </c>
      <c r="C1617" s="424">
        <v>91321</v>
      </c>
      <c r="D1617" s="390"/>
      <c r="H1617" s="300"/>
      <c r="J1617" s="387"/>
      <c r="K1617" s="300"/>
      <c r="Q1617" s="300"/>
    </row>
    <row r="1618" spans="1:17">
      <c r="A1618" s="390"/>
      <c r="B1618" s="423" t="s">
        <v>1160</v>
      </c>
      <c r="C1618" s="424">
        <v>94621</v>
      </c>
      <c r="D1618" s="390"/>
      <c r="H1618" s="300"/>
      <c r="J1618" s="387"/>
      <c r="K1618" s="300"/>
      <c r="Q1618" s="300"/>
    </row>
    <row r="1619" spans="1:17">
      <c r="A1619" s="390"/>
      <c r="B1619" s="423" t="s">
        <v>920</v>
      </c>
      <c r="C1619" s="424">
        <v>92011</v>
      </c>
      <c r="D1619" s="390"/>
      <c r="H1619" s="300"/>
      <c r="J1619" s="387"/>
      <c r="K1619" s="300"/>
      <c r="Q1619" s="300"/>
    </row>
    <row r="1620" spans="1:17">
      <c r="A1620" s="390"/>
      <c r="B1620" s="423" t="s">
        <v>1331</v>
      </c>
      <c r="C1620" s="424">
        <v>96751</v>
      </c>
      <c r="D1620" s="390"/>
      <c r="H1620" s="300"/>
      <c r="J1620" s="387"/>
      <c r="K1620" s="300"/>
      <c r="Q1620" s="300"/>
    </row>
    <row r="1621" spans="1:17">
      <c r="A1621" s="390"/>
      <c r="B1621" s="423" t="s">
        <v>1593</v>
      </c>
      <c r="C1621" s="424">
        <v>99711</v>
      </c>
      <c r="D1621" s="390"/>
      <c r="H1621" s="300"/>
      <c r="J1621" s="387"/>
      <c r="K1621" s="300"/>
      <c r="Q1621" s="300"/>
    </row>
    <row r="1622" spans="1:17">
      <c r="A1622" s="390"/>
      <c r="B1622" s="423" t="s">
        <v>1594</v>
      </c>
      <c r="C1622" s="424">
        <v>99717</v>
      </c>
      <c r="D1622" s="390"/>
      <c r="H1622" s="300"/>
      <c r="J1622" s="387"/>
      <c r="K1622" s="300"/>
      <c r="Q1622" s="300"/>
    </row>
    <row r="1623" spans="1:17">
      <c r="A1623" s="390"/>
      <c r="B1623" s="423" t="s">
        <v>984</v>
      </c>
      <c r="C1623" s="424">
        <v>92811</v>
      </c>
      <c r="D1623" s="390"/>
      <c r="H1623" s="300"/>
      <c r="J1623" s="388"/>
      <c r="K1623" s="300"/>
      <c r="Q1623" s="300"/>
    </row>
    <row r="1624" spans="1:17">
      <c r="A1624" s="390"/>
      <c r="B1624" s="423" t="s">
        <v>1296</v>
      </c>
      <c r="C1624" s="424">
        <v>96421</v>
      </c>
      <c r="D1624" s="390"/>
      <c r="H1624" s="300"/>
      <c r="J1624" s="387"/>
      <c r="K1624" s="300"/>
      <c r="Q1624" s="300"/>
    </row>
    <row r="1625" spans="1:17">
      <c r="A1625" s="390"/>
      <c r="B1625" s="423" t="s">
        <v>43</v>
      </c>
      <c r="C1625" s="424">
        <v>91026</v>
      </c>
      <c r="D1625" s="390"/>
      <c r="H1625" s="300"/>
      <c r="J1625" s="387"/>
      <c r="K1625" s="300"/>
      <c r="Q1625" s="300"/>
    </row>
    <row r="1626" spans="1:17">
      <c r="A1626" s="390"/>
      <c r="B1626" s="423" t="s">
        <v>1638</v>
      </c>
      <c r="C1626" s="424">
        <v>98471</v>
      </c>
      <c r="D1626" s="390"/>
      <c r="H1626" s="300"/>
      <c r="J1626" s="388"/>
      <c r="K1626" s="300"/>
      <c r="Q1626" s="300"/>
    </row>
    <row r="1627" spans="1:17">
      <c r="A1627" s="390"/>
      <c r="B1627" s="423" t="s">
        <v>767</v>
      </c>
      <c r="C1627" s="424">
        <v>90621</v>
      </c>
      <c r="D1627" s="390"/>
      <c r="H1627" s="300"/>
      <c r="J1627" s="387"/>
      <c r="K1627" s="300"/>
      <c r="Q1627" s="300"/>
    </row>
    <row r="1628" spans="1:17">
      <c r="A1628" s="390"/>
      <c r="B1628" s="423" t="s">
        <v>884</v>
      </c>
      <c r="C1628" s="424">
        <v>91621</v>
      </c>
      <c r="D1628" s="390"/>
      <c r="H1628" s="300"/>
      <c r="J1628" s="387"/>
      <c r="K1628" s="300"/>
      <c r="Q1628" s="300"/>
    </row>
    <row r="1629" spans="1:17">
      <c r="A1629" s="390"/>
      <c r="B1629" s="423" t="s">
        <v>1471</v>
      </c>
      <c r="C1629" s="424">
        <v>98231</v>
      </c>
      <c r="D1629" s="390"/>
      <c r="H1629" s="300"/>
      <c r="J1629" s="387"/>
      <c r="K1629" s="300"/>
      <c r="Q1629" s="300"/>
    </row>
    <row r="1630" spans="1:17">
      <c r="A1630" s="390"/>
      <c r="B1630" s="423" t="s">
        <v>1561</v>
      </c>
      <c r="C1630" s="424">
        <v>99311</v>
      </c>
      <c r="D1630" s="390"/>
      <c r="H1630" s="300"/>
      <c r="J1630" s="387"/>
      <c r="K1630" s="300"/>
      <c r="Q1630" s="300"/>
    </row>
    <row r="1631" spans="1:17">
      <c r="A1631" s="390"/>
      <c r="B1631" s="423" t="s">
        <v>1489</v>
      </c>
      <c r="C1631" s="424">
        <v>98421</v>
      </c>
      <c r="D1631" s="390"/>
      <c r="H1631" s="300"/>
      <c r="J1631" s="387"/>
      <c r="K1631" s="300"/>
      <c r="Q1631" s="300"/>
    </row>
    <row r="1632" spans="1:17">
      <c r="A1632" s="390"/>
      <c r="B1632" s="423" t="s">
        <v>1239</v>
      </c>
      <c r="C1632" s="424">
        <v>95821</v>
      </c>
      <c r="D1632" s="390"/>
      <c r="H1632" s="300"/>
      <c r="J1632" s="388"/>
      <c r="K1632" s="300"/>
      <c r="Q1632" s="300"/>
    </row>
    <row r="1633" spans="1:17">
      <c r="A1633" s="390"/>
      <c r="B1633" s="423" t="s">
        <v>810</v>
      </c>
      <c r="C1633" s="424">
        <v>91021</v>
      </c>
      <c r="D1633" s="390"/>
      <c r="H1633" s="300"/>
      <c r="J1633" s="387"/>
      <c r="K1633" s="300"/>
      <c r="Q1633" s="300"/>
    </row>
    <row r="1634" spans="1:17">
      <c r="A1634" s="390"/>
      <c r="B1634" s="423" t="s">
        <v>1111</v>
      </c>
      <c r="C1634" s="424">
        <v>94161</v>
      </c>
      <c r="D1634" s="390"/>
      <c r="H1634" s="300"/>
      <c r="J1634" s="387"/>
      <c r="K1634" s="300"/>
      <c r="Q1634" s="300"/>
    </row>
    <row r="1635" spans="1:17">
      <c r="A1635" s="390"/>
      <c r="B1635" s="423" t="s">
        <v>1492</v>
      </c>
      <c r="C1635" s="424">
        <v>98441</v>
      </c>
      <c r="D1635" s="390"/>
      <c r="H1635" s="300"/>
      <c r="J1635" s="387"/>
      <c r="K1635" s="300"/>
      <c r="Q1635" s="300"/>
    </row>
    <row r="1636" spans="1:17">
      <c r="A1636" s="390"/>
      <c r="B1636" s="423" t="s">
        <v>819</v>
      </c>
      <c r="C1636" s="424">
        <v>91061</v>
      </c>
      <c r="D1636" s="390"/>
      <c r="H1636" s="300"/>
      <c r="J1636" s="387"/>
      <c r="K1636" s="300"/>
      <c r="Q1636" s="300"/>
    </row>
    <row r="1637" spans="1:17">
      <c r="A1637" s="390"/>
      <c r="B1637" s="423" t="s">
        <v>1248</v>
      </c>
      <c r="C1637" s="424">
        <v>95921</v>
      </c>
      <c r="D1637" s="390"/>
      <c r="H1637" s="300"/>
      <c r="J1637" s="387"/>
      <c r="K1637" s="300"/>
      <c r="Q1637" s="300"/>
    </row>
    <row r="1638" spans="1:17">
      <c r="A1638" s="390"/>
      <c r="B1638" s="423" t="s">
        <v>1340</v>
      </c>
      <c r="C1638" s="424">
        <v>96912</v>
      </c>
      <c r="D1638" s="390"/>
      <c r="H1638" s="300"/>
      <c r="J1638" s="387"/>
      <c r="K1638" s="300"/>
      <c r="Q1638" s="300"/>
    </row>
    <row r="1639" spans="1:17">
      <c r="A1639" s="390"/>
      <c r="B1639" s="423" t="s">
        <v>1420</v>
      </c>
      <c r="C1639" s="424">
        <v>97841</v>
      </c>
      <c r="D1639" s="390"/>
      <c r="H1639" s="300"/>
      <c r="J1639" s="387"/>
      <c r="K1639" s="300"/>
      <c r="Q1639" s="300"/>
    </row>
    <row r="1640" spans="1:17">
      <c r="A1640" s="390"/>
      <c r="B1640" s="423" t="s">
        <v>757</v>
      </c>
      <c r="C1640" s="424">
        <v>90441</v>
      </c>
      <c r="D1640" s="390"/>
      <c r="H1640" s="300"/>
      <c r="J1640" s="387"/>
      <c r="K1640" s="300"/>
      <c r="Q1640" s="300"/>
    </row>
    <row r="1641" spans="1:17">
      <c r="A1641" s="390"/>
      <c r="B1641" s="423" t="s">
        <v>1422</v>
      </c>
      <c r="C1641" s="424">
        <v>97851</v>
      </c>
      <c r="D1641" s="390"/>
      <c r="H1641" s="300"/>
      <c r="J1641" s="387"/>
      <c r="K1641" s="300"/>
      <c r="Q1641" s="300"/>
    </row>
    <row r="1642" spans="1:17">
      <c r="A1642" s="390"/>
      <c r="B1642" s="427" t="s">
        <v>1589</v>
      </c>
      <c r="C1642" s="428">
        <v>99651</v>
      </c>
      <c r="D1642" s="390"/>
      <c r="H1642" s="300"/>
      <c r="J1642" s="388"/>
      <c r="K1642" s="300"/>
      <c r="Q1642" s="300"/>
    </row>
    <row r="1643" spans="1:17">
      <c r="A1643" s="390"/>
      <c r="B1643" s="423" t="s">
        <v>1503</v>
      </c>
      <c r="C1643" s="424">
        <v>98611</v>
      </c>
      <c r="D1643" s="390"/>
      <c r="H1643" s="300"/>
      <c r="J1643" s="387"/>
      <c r="K1643" s="300"/>
      <c r="Q1643" s="300"/>
    </row>
    <row r="1644" spans="1:17">
      <c r="A1644" s="390"/>
      <c r="B1644" s="423" t="s">
        <v>887</v>
      </c>
      <c r="C1644" s="424">
        <v>91641</v>
      </c>
      <c r="D1644" s="390"/>
      <c r="H1644" s="300"/>
      <c r="J1644" s="387"/>
      <c r="K1644" s="300"/>
      <c r="Q1644" s="300"/>
    </row>
    <row r="1645" spans="1:17">
      <c r="A1645" s="390"/>
      <c r="B1645" s="423" t="s">
        <v>1199</v>
      </c>
      <c r="C1645" s="424">
        <v>95161</v>
      </c>
      <c r="D1645" s="390"/>
      <c r="H1645" s="300"/>
      <c r="J1645" s="388"/>
      <c r="K1645" s="300"/>
      <c r="Q1645" s="300"/>
    </row>
    <row r="1646" spans="1:17">
      <c r="A1646" s="390"/>
      <c r="B1646" s="423" t="s">
        <v>1288</v>
      </c>
      <c r="C1646" s="424">
        <v>96361</v>
      </c>
      <c r="D1646" s="390"/>
      <c r="H1646" s="300"/>
      <c r="J1646" s="387"/>
      <c r="K1646" s="300"/>
      <c r="Q1646" s="300"/>
    </row>
    <row r="1647" spans="1:17">
      <c r="A1647" s="390"/>
      <c r="B1647" s="423" t="s">
        <v>1032</v>
      </c>
      <c r="C1647" s="424">
        <v>93331</v>
      </c>
      <c r="D1647" s="390"/>
      <c r="H1647" s="300"/>
      <c r="J1647" s="387"/>
      <c r="K1647" s="300"/>
      <c r="Q1647" s="300"/>
    </row>
    <row r="1648" spans="1:17">
      <c r="A1648" s="390"/>
      <c r="B1648" s="423" t="s">
        <v>1258</v>
      </c>
      <c r="C1648" s="424">
        <v>96021</v>
      </c>
      <c r="D1648" s="390"/>
      <c r="H1648" s="300"/>
      <c r="J1648" s="387"/>
      <c r="K1648" s="300"/>
      <c r="Q1648" s="300"/>
    </row>
    <row r="1649" spans="1:17">
      <c r="A1649" s="390"/>
      <c r="B1649" s="423" t="s">
        <v>1219</v>
      </c>
      <c r="C1649" s="424">
        <v>95421</v>
      </c>
      <c r="D1649" s="390"/>
      <c r="H1649" s="300"/>
      <c r="J1649" s="387"/>
      <c r="K1649" s="300"/>
      <c r="Q1649" s="300"/>
    </row>
    <row r="1650" spans="1:17">
      <c r="A1650" s="390"/>
      <c r="B1650" s="423" t="s">
        <v>917</v>
      </c>
      <c r="C1650" s="424">
        <v>91921</v>
      </c>
      <c r="D1650" s="390"/>
      <c r="H1650" s="300"/>
      <c r="J1650" s="387"/>
      <c r="K1650" s="300"/>
      <c r="Q1650" s="300"/>
    </row>
    <row r="1651" spans="1:17">
      <c r="A1651" s="390"/>
      <c r="B1651" s="423" t="s">
        <v>1566</v>
      </c>
      <c r="C1651" s="424">
        <v>99411</v>
      </c>
      <c r="D1651" s="390"/>
      <c r="H1651" s="300"/>
      <c r="J1651" s="387"/>
      <c r="K1651" s="300"/>
      <c r="Q1651" s="300"/>
    </row>
    <row r="1652" spans="1:17">
      <c r="A1652" s="390"/>
      <c r="B1652" s="423" t="s">
        <v>756</v>
      </c>
      <c r="C1652" s="424">
        <v>90431</v>
      </c>
      <c r="D1652" s="390"/>
      <c r="H1652" s="300"/>
      <c r="J1652" s="387"/>
      <c r="K1652" s="300"/>
      <c r="Q1652" s="300"/>
    </row>
    <row r="1653" spans="1:17">
      <c r="A1653" s="390"/>
      <c r="B1653" s="423" t="s">
        <v>1206</v>
      </c>
      <c r="C1653" s="424">
        <v>95211</v>
      </c>
      <c r="D1653" s="390"/>
      <c r="H1653" s="300"/>
      <c r="J1653" s="387"/>
      <c r="K1653" s="300"/>
      <c r="Q1653" s="300"/>
    </row>
    <row r="1654" spans="1:17">
      <c r="A1654" s="390"/>
      <c r="B1654" s="423" t="s">
        <v>1201</v>
      </c>
      <c r="C1654" s="424">
        <v>95181</v>
      </c>
      <c r="D1654" s="390"/>
      <c r="H1654" s="300"/>
      <c r="J1654" s="388"/>
      <c r="K1654" s="300"/>
      <c r="Q1654" s="300"/>
    </row>
    <row r="1655" spans="1:17">
      <c r="A1655" s="390"/>
      <c r="B1655" s="426" t="s">
        <v>1035</v>
      </c>
      <c r="C1655" s="425">
        <v>93351</v>
      </c>
      <c r="D1655" s="390"/>
      <c r="H1655" s="300"/>
      <c r="J1655" s="387"/>
      <c r="K1655" s="300"/>
      <c r="Q1655" s="300"/>
    </row>
    <row r="1656" spans="1:17">
      <c r="A1656" s="390"/>
      <c r="B1656" s="423" t="s">
        <v>1165</v>
      </c>
      <c r="C1656" s="424">
        <v>94711</v>
      </c>
      <c r="D1656" s="390"/>
      <c r="H1656" s="300"/>
      <c r="J1656" s="387"/>
      <c r="K1656" s="300"/>
      <c r="Q1656" s="300"/>
    </row>
    <row r="1657" spans="1:17">
      <c r="A1657" s="390"/>
      <c r="B1657" s="423" t="s">
        <v>1397</v>
      </c>
      <c r="C1657" s="424">
        <v>97641</v>
      </c>
      <c r="D1657" s="390"/>
      <c r="H1657" s="300"/>
      <c r="J1657" s="388"/>
      <c r="K1657" s="300"/>
      <c r="Q1657" s="300"/>
    </row>
    <row r="1658" spans="1:17">
      <c r="A1658" s="390"/>
      <c r="B1658" s="423" t="s">
        <v>1073</v>
      </c>
      <c r="C1658" s="424">
        <v>93681</v>
      </c>
      <c r="D1658" s="390"/>
      <c r="H1658" s="300"/>
      <c r="J1658" s="387"/>
      <c r="K1658" s="300"/>
      <c r="Q1658" s="300"/>
    </row>
    <row r="1659" spans="1:17">
      <c r="A1659" s="390"/>
      <c r="B1659" s="423" t="s">
        <v>1425</v>
      </c>
      <c r="C1659" s="424">
        <v>97871</v>
      </c>
      <c r="D1659" s="390"/>
      <c r="H1659" s="300"/>
      <c r="J1659" s="387"/>
      <c r="K1659" s="300"/>
      <c r="Q1659" s="300"/>
    </row>
    <row r="1660" spans="1:17">
      <c r="A1660" s="390"/>
      <c r="B1660" s="423" t="s">
        <v>3608</v>
      </c>
      <c r="C1660" s="424">
        <v>91414</v>
      </c>
      <c r="D1660" s="390"/>
      <c r="H1660" s="300"/>
      <c r="J1660" s="387"/>
      <c r="K1660" s="300"/>
      <c r="Q1660" s="300"/>
    </row>
    <row r="1661" spans="1:17">
      <c r="A1661" s="390"/>
      <c r="B1661" s="423" t="s">
        <v>1314</v>
      </c>
      <c r="C1661" s="424">
        <v>96611</v>
      </c>
      <c r="D1661" s="390"/>
      <c r="H1661" s="300"/>
      <c r="J1661" s="387"/>
      <c r="K1661" s="300"/>
      <c r="Q1661" s="300"/>
    </row>
    <row r="1662" spans="1:17">
      <c r="A1662" s="390"/>
      <c r="B1662" s="423" t="s">
        <v>1330</v>
      </c>
      <c r="C1662" s="424">
        <v>96741</v>
      </c>
      <c r="D1662" s="390"/>
      <c r="H1662" s="300"/>
      <c r="J1662" s="387"/>
      <c r="K1662" s="300"/>
      <c r="Q1662" s="300"/>
    </row>
    <row r="1663" spans="1:17">
      <c r="A1663" s="390"/>
      <c r="B1663" s="423" t="s">
        <v>960</v>
      </c>
      <c r="C1663" s="424">
        <v>92541</v>
      </c>
      <c r="D1663" s="390"/>
      <c r="H1663" s="300"/>
      <c r="J1663" s="387"/>
      <c r="K1663" s="300"/>
      <c r="Q1663" s="300"/>
    </row>
    <row r="1664" spans="1:17">
      <c r="A1664" s="390"/>
      <c r="B1664" s="423" t="s">
        <v>1286</v>
      </c>
      <c r="C1664" s="424">
        <v>96341</v>
      </c>
      <c r="D1664" s="390"/>
      <c r="H1664" s="300"/>
      <c r="J1664" s="387"/>
      <c r="K1664" s="300"/>
      <c r="Q1664" s="300"/>
    </row>
    <row r="1665" spans="1:17">
      <c r="A1665" s="390"/>
      <c r="B1665" s="423" t="s">
        <v>1080</v>
      </c>
      <c r="C1665" s="424">
        <v>93821</v>
      </c>
      <c r="D1665" s="390"/>
      <c r="H1665" s="300"/>
      <c r="J1665" s="387"/>
      <c r="K1665" s="300"/>
      <c r="Q1665" s="300"/>
    </row>
    <row r="1666" spans="1:17">
      <c r="A1666" s="390"/>
      <c r="B1666" s="423" t="s">
        <v>1242</v>
      </c>
      <c r="C1666" s="424">
        <v>95851</v>
      </c>
      <c r="D1666" s="390"/>
      <c r="H1666" s="300"/>
      <c r="J1666" s="388"/>
      <c r="K1666" s="300"/>
      <c r="Q1666" s="300"/>
    </row>
    <row r="1667" spans="1:17">
      <c r="A1667" s="390"/>
      <c r="B1667" s="423" t="s">
        <v>1451</v>
      </c>
      <c r="C1667" s="424">
        <v>98071</v>
      </c>
      <c r="D1667" s="390"/>
      <c r="H1667" s="300"/>
      <c r="J1667" s="387"/>
      <c r="K1667" s="300"/>
      <c r="Q1667" s="300"/>
    </row>
    <row r="1668" spans="1:17">
      <c r="A1668" s="390"/>
      <c r="B1668" s="423" t="s">
        <v>1539</v>
      </c>
      <c r="C1668" s="424">
        <v>99203</v>
      </c>
      <c r="D1668" s="390"/>
      <c r="H1668" s="300"/>
      <c r="J1668" s="387"/>
      <c r="K1668" s="300"/>
      <c r="Q1668" s="300"/>
    </row>
    <row r="1669" spans="1:17">
      <c r="A1669" s="390"/>
      <c r="B1669" s="423" t="s">
        <v>1568</v>
      </c>
      <c r="C1669" s="424">
        <v>99421</v>
      </c>
      <c r="D1669" s="390"/>
      <c r="H1669" s="300"/>
      <c r="J1669" s="388"/>
      <c r="K1669" s="300"/>
      <c r="Q1669" s="300"/>
    </row>
    <row r="1670" spans="1:17">
      <c r="A1670" s="390"/>
      <c r="B1670" s="423" t="s">
        <v>1013</v>
      </c>
      <c r="C1670" s="424">
        <v>93161</v>
      </c>
      <c r="D1670" s="390"/>
      <c r="H1670" s="300"/>
      <c r="J1670" s="387"/>
      <c r="K1670" s="300"/>
      <c r="Q1670" s="300"/>
    </row>
    <row r="1671" spans="1:17">
      <c r="A1671" s="390"/>
      <c r="B1671" s="423" t="s">
        <v>1475</v>
      </c>
      <c r="C1671" s="424">
        <v>98261</v>
      </c>
      <c r="D1671" s="390"/>
      <c r="H1671" s="300"/>
      <c r="J1671" s="387"/>
      <c r="K1671" s="300"/>
      <c r="Q1671" s="300"/>
    </row>
    <row r="1672" spans="1:17">
      <c r="A1672" s="390"/>
      <c r="B1672" s="423" t="s">
        <v>1424</v>
      </c>
      <c r="C1672" s="424">
        <v>97861</v>
      </c>
      <c r="D1672" s="390"/>
      <c r="H1672" s="300"/>
      <c r="J1672" s="387"/>
      <c r="K1672" s="300"/>
      <c r="Q1672" s="300"/>
    </row>
    <row r="1673" spans="1:17">
      <c r="A1673" s="390"/>
      <c r="B1673" s="423" t="s">
        <v>1044</v>
      </c>
      <c r="C1673" s="424">
        <v>93431</v>
      </c>
      <c r="D1673" s="390"/>
      <c r="H1673" s="300"/>
      <c r="J1673" s="387"/>
      <c r="K1673" s="300"/>
      <c r="Q1673" s="300"/>
    </row>
    <row r="1674" spans="1:17">
      <c r="A1674" s="390"/>
      <c r="B1674" s="423" t="s">
        <v>850</v>
      </c>
      <c r="C1674" s="424">
        <v>91214</v>
      </c>
      <c r="D1674" s="390"/>
      <c r="H1674" s="300"/>
      <c r="J1674" s="387"/>
      <c r="K1674" s="300"/>
      <c r="Q1674" s="300"/>
    </row>
    <row r="1675" spans="1:17">
      <c r="A1675" s="390"/>
      <c r="B1675" s="423" t="s">
        <v>1463</v>
      </c>
      <c r="C1675" s="424">
        <v>98141</v>
      </c>
      <c r="D1675" s="390"/>
      <c r="H1675" s="300"/>
      <c r="J1675" s="387"/>
      <c r="K1675" s="300"/>
      <c r="Q1675" s="300"/>
    </row>
    <row r="1676" spans="1:17">
      <c r="A1676" s="390"/>
      <c r="B1676" s="423" t="s">
        <v>1464</v>
      </c>
      <c r="C1676" s="424">
        <v>98147</v>
      </c>
      <c r="D1676" s="390"/>
      <c r="H1676" s="300"/>
      <c r="J1676" s="387"/>
      <c r="K1676" s="300"/>
      <c r="Q1676" s="300"/>
    </row>
    <row r="1677" spans="1:17">
      <c r="A1677" s="390"/>
      <c r="B1677" s="423" t="s">
        <v>1470</v>
      </c>
      <c r="C1677" s="424">
        <v>98221</v>
      </c>
      <c r="D1677" s="390"/>
      <c r="H1677" s="300"/>
      <c r="J1677" s="387"/>
      <c r="K1677" s="300"/>
      <c r="Q1677" s="300"/>
    </row>
    <row r="1678" spans="1:17">
      <c r="A1678" s="390"/>
      <c r="B1678" s="423" t="s">
        <v>871</v>
      </c>
      <c r="C1678" s="424">
        <v>91421</v>
      </c>
      <c r="D1678" s="390"/>
      <c r="H1678" s="300"/>
      <c r="J1678" s="388"/>
      <c r="K1678" s="300"/>
      <c r="Q1678" s="300"/>
    </row>
    <row r="1679" spans="1:17">
      <c r="A1679" s="390"/>
      <c r="B1679" s="423" t="s">
        <v>1122</v>
      </c>
      <c r="C1679" s="424">
        <v>94241</v>
      </c>
      <c r="D1679" s="390"/>
      <c r="H1679" s="300"/>
      <c r="J1679" s="387"/>
      <c r="K1679" s="300"/>
      <c r="Q1679" s="300"/>
    </row>
    <row r="1680" spans="1:17">
      <c r="A1680" s="390"/>
      <c r="B1680" s="423" t="s">
        <v>1322</v>
      </c>
      <c r="C1680" s="424">
        <v>96681</v>
      </c>
      <c r="D1680" s="390"/>
      <c r="H1680" s="300"/>
      <c r="J1680" s="387"/>
      <c r="K1680" s="300"/>
      <c r="Q1680" s="300"/>
    </row>
    <row r="1681" spans="1:17">
      <c r="A1681" s="390"/>
      <c r="B1681" s="423" t="s">
        <v>725</v>
      </c>
      <c r="C1681" s="424">
        <v>72593</v>
      </c>
      <c r="D1681" s="390"/>
      <c r="H1681" s="300"/>
      <c r="J1681" s="388"/>
      <c r="K1681" s="300"/>
      <c r="Q1681" s="300"/>
    </row>
    <row r="1682" spans="1:17">
      <c r="A1682" s="390"/>
      <c r="B1682" s="423" t="s">
        <v>1193</v>
      </c>
      <c r="C1682" s="424">
        <v>95121</v>
      </c>
      <c r="D1682" s="390"/>
      <c r="H1682" s="300"/>
      <c r="J1682" s="387"/>
      <c r="K1682" s="300"/>
      <c r="Q1682" s="300"/>
    </row>
    <row r="1683" spans="1:17">
      <c r="A1683" s="390"/>
      <c r="B1683" s="423" t="s">
        <v>1577</v>
      </c>
      <c r="C1683" s="424">
        <v>99531</v>
      </c>
      <c r="D1683" s="390"/>
      <c r="H1683" s="300"/>
      <c r="J1683" s="387"/>
      <c r="K1683" s="300"/>
      <c r="Q1683" s="300"/>
    </row>
    <row r="1684" spans="1:17">
      <c r="A1684" s="390"/>
      <c r="B1684" s="423" t="s">
        <v>1321</v>
      </c>
      <c r="C1684" s="424">
        <v>96671</v>
      </c>
      <c r="D1684" s="390"/>
      <c r="H1684" s="300"/>
      <c r="J1684" s="387"/>
      <c r="K1684" s="300"/>
      <c r="Q1684" s="300"/>
    </row>
    <row r="1685" spans="1:17">
      <c r="A1685" s="390"/>
      <c r="B1685" s="423" t="s">
        <v>823</v>
      </c>
      <c r="C1685" s="424">
        <v>91081</v>
      </c>
      <c r="D1685" s="390"/>
      <c r="H1685" s="300"/>
      <c r="J1685" s="387"/>
      <c r="K1685" s="300"/>
      <c r="Q1685" s="300"/>
    </row>
    <row r="1686" spans="1:17">
      <c r="A1686" s="390"/>
      <c r="B1686" s="423" t="s">
        <v>1300</v>
      </c>
      <c r="C1686" s="424">
        <v>96461</v>
      </c>
      <c r="D1686" s="390"/>
      <c r="H1686" s="300"/>
      <c r="J1686" s="387"/>
      <c r="K1686" s="300"/>
      <c r="Q1686" s="300"/>
    </row>
    <row r="1687" spans="1:17">
      <c r="A1687" s="390"/>
      <c r="B1687" s="423" t="s">
        <v>915</v>
      </c>
      <c r="C1687" s="424">
        <v>91911</v>
      </c>
      <c r="D1687" s="390"/>
      <c r="H1687" s="300"/>
      <c r="J1687" s="387"/>
      <c r="K1687" s="300"/>
      <c r="Q1687" s="300"/>
    </row>
    <row r="1688" spans="1:17">
      <c r="A1688" s="390"/>
      <c r="B1688" s="423" t="s">
        <v>1191</v>
      </c>
      <c r="C1688" s="424">
        <v>95111</v>
      </c>
      <c r="D1688" s="390"/>
      <c r="H1688" s="300"/>
      <c r="J1688" s="387"/>
      <c r="K1688" s="300"/>
      <c r="Q1688" s="300"/>
    </row>
    <row r="1689" spans="1:17">
      <c r="A1689" s="390"/>
      <c r="B1689" s="423" t="s">
        <v>1096</v>
      </c>
      <c r="C1689" s="424">
        <v>94021</v>
      </c>
      <c r="D1689" s="390"/>
      <c r="H1689" s="300"/>
      <c r="J1689" s="387"/>
      <c r="K1689" s="300"/>
      <c r="Q1689" s="300"/>
    </row>
    <row r="1690" spans="1:17">
      <c r="A1690" s="390"/>
      <c r="B1690" s="423" t="s">
        <v>1281</v>
      </c>
      <c r="C1690" s="424">
        <v>96311</v>
      </c>
      <c r="D1690" s="390"/>
      <c r="H1690" s="300"/>
      <c r="J1690" s="388"/>
      <c r="K1690" s="300"/>
      <c r="Q1690" s="300"/>
    </row>
    <row r="1691" spans="1:17">
      <c r="A1691" s="390"/>
      <c r="B1691" s="423" t="s">
        <v>987</v>
      </c>
      <c r="C1691" s="424">
        <v>92841</v>
      </c>
      <c r="D1691" s="390"/>
      <c r="H1691" s="300"/>
      <c r="J1691" s="387"/>
      <c r="K1691" s="300"/>
      <c r="Q1691" s="300"/>
    </row>
    <row r="1692" spans="1:17">
      <c r="A1692" s="390"/>
      <c r="B1692" s="423" t="s">
        <v>726</v>
      </c>
      <c r="C1692" s="424">
        <v>72657</v>
      </c>
      <c r="D1692" s="390"/>
      <c r="H1692" s="300"/>
      <c r="J1692" s="387"/>
      <c r="K1692" s="300"/>
      <c r="Q1692" s="300"/>
    </row>
    <row r="1693" spans="1:17">
      <c r="A1693" s="390"/>
      <c r="B1693" s="423" t="s">
        <v>750</v>
      </c>
      <c r="C1693" s="424">
        <v>90307</v>
      </c>
      <c r="D1693" s="390"/>
      <c r="H1693" s="300"/>
      <c r="J1693" s="388"/>
      <c r="K1693" s="300"/>
      <c r="Q1693" s="300"/>
    </row>
    <row r="1694" spans="1:17">
      <c r="A1694" s="390"/>
      <c r="B1694" s="423" t="s">
        <v>1447</v>
      </c>
      <c r="C1694" s="424">
        <v>98031</v>
      </c>
      <c r="D1694" s="390"/>
      <c r="H1694" s="300"/>
      <c r="J1694" s="387"/>
      <c r="K1694" s="300"/>
      <c r="Q1694" s="300"/>
    </row>
    <row r="1695" spans="1:17">
      <c r="A1695" s="390"/>
      <c r="B1695" s="423" t="s">
        <v>1461</v>
      </c>
      <c r="C1695" s="424">
        <v>98121</v>
      </c>
      <c r="D1695" s="390"/>
      <c r="H1695" s="300"/>
      <c r="J1695" s="387"/>
      <c r="K1695" s="300"/>
      <c r="Q1695" s="300"/>
    </row>
    <row r="1696" spans="1:17">
      <c r="A1696" s="390"/>
      <c r="B1696" s="423" t="s">
        <v>1295</v>
      </c>
      <c r="C1696" s="424">
        <v>96411</v>
      </c>
      <c r="D1696" s="390"/>
      <c r="H1696" s="300"/>
      <c r="J1696" s="387"/>
      <c r="K1696" s="300"/>
      <c r="Q1696" s="300"/>
    </row>
    <row r="1697" spans="1:17">
      <c r="A1697" s="390"/>
      <c r="B1697" s="423" t="s">
        <v>976</v>
      </c>
      <c r="C1697" s="424">
        <v>92661</v>
      </c>
      <c r="D1697" s="390"/>
      <c r="H1697" s="300"/>
      <c r="J1697" s="387"/>
      <c r="K1697" s="300"/>
      <c r="Q1697" s="300"/>
    </row>
    <row r="1698" spans="1:17">
      <c r="A1698" s="390"/>
      <c r="B1698" s="423" t="s">
        <v>1267</v>
      </c>
      <c r="C1698" s="424">
        <v>96111</v>
      </c>
      <c r="D1698" s="390"/>
      <c r="H1698" s="300"/>
      <c r="J1698" s="387"/>
      <c r="K1698" s="300"/>
      <c r="Q1698" s="300"/>
    </row>
    <row r="1699" spans="1:17">
      <c r="A1699" s="390"/>
      <c r="B1699" s="423" t="s">
        <v>813</v>
      </c>
      <c r="C1699" s="424">
        <v>91032</v>
      </c>
      <c r="D1699" s="390"/>
      <c r="H1699" s="300"/>
      <c r="J1699" s="387"/>
      <c r="K1699" s="300"/>
      <c r="Q1699" s="300"/>
    </row>
    <row r="1700" spans="1:17">
      <c r="A1700" s="390"/>
      <c r="B1700" s="423" t="s">
        <v>1417</v>
      </c>
      <c r="C1700" s="424">
        <v>97831</v>
      </c>
      <c r="D1700" s="390"/>
      <c r="H1700" s="300"/>
      <c r="J1700" s="387"/>
      <c r="K1700" s="300"/>
      <c r="Q1700" s="300"/>
    </row>
    <row r="1701" spans="1:17">
      <c r="A1701" s="390"/>
      <c r="B1701" s="423" t="s">
        <v>1262</v>
      </c>
      <c r="C1701" s="424">
        <v>96061</v>
      </c>
      <c r="D1701" s="390"/>
      <c r="H1701" s="300"/>
      <c r="J1701" s="387"/>
      <c r="K1701" s="300"/>
      <c r="Q1701" s="300"/>
    </row>
    <row r="1702" spans="1:17">
      <c r="A1702" s="390"/>
      <c r="B1702" s="423" t="s">
        <v>1494</v>
      </c>
      <c r="C1702" s="424">
        <v>98481</v>
      </c>
      <c r="D1702" s="390"/>
      <c r="H1702" s="300"/>
      <c r="J1702" s="388"/>
      <c r="K1702" s="300"/>
      <c r="Q1702" s="300"/>
    </row>
    <row r="1703" spans="1:17">
      <c r="A1703" s="390"/>
      <c r="B1703" s="423" t="s">
        <v>1059</v>
      </c>
      <c r="C1703" s="424">
        <v>93602</v>
      </c>
      <c r="D1703" s="390"/>
      <c r="H1703" s="300"/>
      <c r="J1703" s="387"/>
      <c r="K1703" s="300"/>
      <c r="Q1703" s="300"/>
    </row>
    <row r="1704" spans="1:17">
      <c r="A1704" s="390"/>
      <c r="B1704" s="423" t="s">
        <v>1603</v>
      </c>
      <c r="C1704" s="424">
        <v>99821</v>
      </c>
      <c r="D1704" s="390"/>
      <c r="H1704" s="300"/>
      <c r="J1704" s="387"/>
      <c r="K1704" s="300"/>
      <c r="Q1704" s="300"/>
    </row>
    <row r="1705" spans="1:17">
      <c r="A1705" s="390"/>
      <c r="B1705" s="423" t="s">
        <v>1271</v>
      </c>
      <c r="C1705" s="424">
        <v>96211</v>
      </c>
      <c r="D1705" s="390"/>
      <c r="H1705" s="300"/>
      <c r="J1705" s="388"/>
      <c r="K1705" s="300"/>
      <c r="Q1705" s="300"/>
    </row>
    <row r="1706" spans="1:17">
      <c r="A1706" s="390"/>
      <c r="B1706" s="423" t="s">
        <v>972</v>
      </c>
      <c r="C1706" s="424">
        <v>92621</v>
      </c>
      <c r="D1706" s="390"/>
      <c r="H1706" s="300"/>
      <c r="J1706" s="387"/>
      <c r="K1706" s="300"/>
      <c r="Q1706" s="300"/>
    </row>
    <row r="1707" spans="1:17">
      <c r="A1707" s="390"/>
      <c r="B1707" s="423" t="s">
        <v>1432</v>
      </c>
      <c r="C1707" s="424">
        <v>97931</v>
      </c>
      <c r="D1707" s="390"/>
      <c r="H1707" s="300"/>
      <c r="J1707" s="387"/>
      <c r="K1707" s="300"/>
      <c r="Q1707" s="300"/>
    </row>
    <row r="1708" spans="1:17">
      <c r="A1708" s="390"/>
      <c r="B1708" s="423" t="s">
        <v>1088</v>
      </c>
      <c r="C1708" s="424">
        <v>93914</v>
      </c>
      <c r="D1708" s="390"/>
      <c r="H1708" s="300"/>
      <c r="J1708" s="387"/>
      <c r="K1708" s="300"/>
      <c r="Q1708" s="300"/>
    </row>
    <row r="1709" spans="1:17">
      <c r="A1709" s="390"/>
      <c r="B1709" s="423" t="s">
        <v>1113</v>
      </c>
      <c r="C1709" s="424">
        <v>94171</v>
      </c>
      <c r="D1709" s="390"/>
      <c r="H1709" s="300"/>
      <c r="J1709" s="387"/>
      <c r="K1709" s="300"/>
      <c r="Q1709" s="300"/>
    </row>
    <row r="1710" spans="1:17">
      <c r="A1710" s="390"/>
      <c r="B1710" s="423" t="s">
        <v>814</v>
      </c>
      <c r="C1710" s="424">
        <v>91041</v>
      </c>
      <c r="D1710" s="390"/>
      <c r="H1710" s="300"/>
      <c r="J1710" s="387"/>
      <c r="K1710" s="300"/>
      <c r="Q1710" s="300"/>
    </row>
    <row r="1711" spans="1:17">
      <c r="A1711" s="390"/>
      <c r="B1711" s="423" t="s">
        <v>816</v>
      </c>
      <c r="C1711" s="424">
        <v>91047</v>
      </c>
      <c r="D1711" s="390"/>
      <c r="H1711" s="300"/>
      <c r="J1711" s="388"/>
      <c r="K1711" s="300"/>
      <c r="Q1711" s="300"/>
    </row>
    <row r="1712" spans="1:17">
      <c r="A1712" s="390"/>
      <c r="B1712" s="423" t="s">
        <v>1357</v>
      </c>
      <c r="C1712" s="424">
        <v>97131</v>
      </c>
      <c r="D1712" s="390"/>
      <c r="H1712" s="300"/>
      <c r="J1712" s="387"/>
      <c r="K1712" s="300"/>
      <c r="Q1712" s="300"/>
    </row>
    <row r="1713" spans="1:17">
      <c r="A1713" s="390"/>
      <c r="B1713" s="423" t="s">
        <v>1327</v>
      </c>
      <c r="C1713" s="424">
        <v>96721</v>
      </c>
      <c r="D1713" s="390"/>
      <c r="H1713" s="300"/>
      <c r="J1713" s="387"/>
      <c r="K1713" s="300"/>
      <c r="Q1713" s="300"/>
    </row>
    <row r="1714" spans="1:17">
      <c r="A1714" s="390"/>
      <c r="B1714" s="423" t="s">
        <v>3757</v>
      </c>
      <c r="C1714" s="424">
        <v>96722</v>
      </c>
      <c r="D1714" s="390"/>
      <c r="H1714" s="300"/>
      <c r="J1714" s="387"/>
      <c r="K1714" s="300"/>
      <c r="Q1714" s="300"/>
    </row>
    <row r="1715" spans="1:17">
      <c r="A1715" s="390"/>
      <c r="B1715" s="423" t="s">
        <v>1183</v>
      </c>
      <c r="C1715" s="424">
        <v>95011</v>
      </c>
      <c r="D1715" s="390"/>
      <c r="H1715" s="300"/>
      <c r="J1715" s="387"/>
      <c r="K1715" s="300"/>
      <c r="Q1715" s="300"/>
    </row>
    <row r="1716" spans="1:17">
      <c r="A1716" s="390"/>
      <c r="B1716" s="423" t="s">
        <v>947</v>
      </c>
      <c r="C1716" s="424">
        <v>92451</v>
      </c>
      <c r="D1716" s="390"/>
      <c r="H1716" s="300"/>
      <c r="J1716" s="387"/>
      <c r="K1716" s="300"/>
      <c r="Q1716" s="300"/>
    </row>
    <row r="1717" spans="1:17">
      <c r="A1717" s="390"/>
      <c r="B1717" s="423" t="s">
        <v>1028</v>
      </c>
      <c r="C1717" s="424">
        <v>93311</v>
      </c>
      <c r="D1717" s="390"/>
      <c r="H1717" s="300"/>
      <c r="J1717" s="387"/>
      <c r="K1717" s="300"/>
      <c r="Q1717" s="300"/>
    </row>
    <row r="1718" spans="1:17">
      <c r="A1718" s="390"/>
      <c r="B1718" s="423" t="s">
        <v>747</v>
      </c>
      <c r="C1718" s="424">
        <v>90211</v>
      </c>
      <c r="D1718" s="390"/>
      <c r="H1718" s="300"/>
      <c r="J1718" s="387"/>
      <c r="K1718" s="300"/>
      <c r="Q1718" s="300"/>
    </row>
    <row r="1719" spans="1:17">
      <c r="A1719" s="390"/>
      <c r="B1719" s="423" t="s">
        <v>1277</v>
      </c>
      <c r="C1719" s="424">
        <v>96302</v>
      </c>
      <c r="D1719" s="390"/>
      <c r="H1719" s="300"/>
      <c r="J1719" s="387"/>
      <c r="K1719" s="300"/>
      <c r="Q1719" s="300"/>
    </row>
    <row r="1720" spans="1:17">
      <c r="A1720" s="390"/>
      <c r="B1720" s="423" t="s">
        <v>1015</v>
      </c>
      <c r="C1720" s="424">
        <v>93181</v>
      </c>
      <c r="D1720" s="390"/>
      <c r="H1720" s="300"/>
      <c r="J1720" s="388"/>
      <c r="K1720" s="300"/>
      <c r="Q1720" s="300"/>
    </row>
    <row r="1721" spans="1:17">
      <c r="A1721" s="390"/>
      <c r="B1721" s="423" t="s">
        <v>1356</v>
      </c>
      <c r="C1721" s="424">
        <v>97121</v>
      </c>
      <c r="D1721" s="390"/>
      <c r="H1721" s="300"/>
      <c r="J1721" s="387"/>
      <c r="K1721" s="300"/>
      <c r="Q1721" s="300"/>
    </row>
    <row r="1722" spans="1:17">
      <c r="A1722" s="390"/>
      <c r="B1722" s="423" t="s">
        <v>958</v>
      </c>
      <c r="C1722" s="424">
        <v>92521</v>
      </c>
      <c r="D1722" s="390"/>
      <c r="H1722" s="300"/>
      <c r="J1722" s="387"/>
      <c r="K1722" s="300"/>
      <c r="Q1722" s="300"/>
    </row>
    <row r="1723" spans="1:17">
      <c r="A1723" s="390"/>
      <c r="B1723" s="423" t="s">
        <v>1176</v>
      </c>
      <c r="C1723" s="424">
        <v>94931</v>
      </c>
      <c r="D1723" s="390"/>
      <c r="H1723" s="300"/>
      <c r="J1723" s="388"/>
      <c r="K1723" s="300"/>
      <c r="Q1723" s="300"/>
    </row>
    <row r="1724" spans="1:17">
      <c r="A1724" s="390"/>
      <c r="B1724" s="423" t="s">
        <v>1927</v>
      </c>
      <c r="C1724" s="424">
        <v>94937</v>
      </c>
      <c r="D1724" s="390"/>
      <c r="H1724" s="300"/>
      <c r="J1724" s="387"/>
      <c r="K1724" s="300"/>
      <c r="Q1724" s="300"/>
    </row>
    <row r="1725" spans="1:17">
      <c r="A1725" s="390"/>
      <c r="B1725" s="423" t="s">
        <v>1272</v>
      </c>
      <c r="C1725" s="424">
        <v>96221</v>
      </c>
      <c r="D1725" s="390"/>
      <c r="H1725" s="300"/>
      <c r="J1725" s="387"/>
      <c r="K1725" s="300"/>
      <c r="Q1725" s="300"/>
    </row>
    <row r="1726" spans="1:17">
      <c r="A1726" s="390"/>
      <c r="B1726" s="423" t="s">
        <v>1385</v>
      </c>
      <c r="C1726" s="424">
        <v>97511</v>
      </c>
      <c r="D1726" s="390"/>
      <c r="H1726" s="300"/>
      <c r="J1726" s="387"/>
      <c r="K1726" s="300"/>
      <c r="Q1726" s="300"/>
    </row>
    <row r="1727" spans="1:17">
      <c r="A1727" s="390"/>
      <c r="B1727" s="423" t="s">
        <v>1474</v>
      </c>
      <c r="C1727" s="424">
        <v>98251</v>
      </c>
      <c r="D1727" s="390"/>
      <c r="H1727" s="300"/>
      <c r="J1727" s="387"/>
      <c r="K1727" s="300"/>
      <c r="Q1727" s="300"/>
    </row>
    <row r="1728" spans="1:17">
      <c r="A1728" s="390"/>
      <c r="B1728" s="423" t="s">
        <v>1528</v>
      </c>
      <c r="C1728" s="424">
        <v>99061</v>
      </c>
      <c r="D1728" s="390"/>
      <c r="H1728" s="300"/>
      <c r="J1728" s="387"/>
      <c r="K1728" s="300"/>
      <c r="Q1728" s="300"/>
    </row>
    <row r="1729" spans="1:17">
      <c r="A1729" s="390"/>
      <c r="B1729" s="423" t="s">
        <v>848</v>
      </c>
      <c r="C1729" s="424">
        <v>91211</v>
      </c>
      <c r="D1729" s="390"/>
      <c r="H1729" s="300"/>
      <c r="J1729" s="387"/>
      <c r="K1729" s="300"/>
      <c r="Q1729" s="300"/>
    </row>
    <row r="1730" spans="1:17">
      <c r="A1730" s="390"/>
      <c r="B1730" s="423" t="s">
        <v>961</v>
      </c>
      <c r="C1730" s="424">
        <v>92551</v>
      </c>
      <c r="D1730" s="390"/>
      <c r="H1730" s="300"/>
      <c r="J1730" s="387"/>
      <c r="K1730" s="300"/>
      <c r="Q1730" s="300"/>
    </row>
    <row r="1731" spans="1:17">
      <c r="A1731" s="390"/>
      <c r="B1731" s="423" t="s">
        <v>1284</v>
      </c>
      <c r="C1731" s="424">
        <v>96321</v>
      </c>
      <c r="D1731" s="390"/>
      <c r="H1731" s="300"/>
      <c r="J1731" s="387"/>
      <c r="K1731" s="300"/>
      <c r="Q1731" s="300"/>
    </row>
    <row r="1732" spans="1:17">
      <c r="A1732" s="390"/>
      <c r="B1732" s="423" t="s">
        <v>974</v>
      </c>
      <c r="C1732" s="424">
        <v>92641</v>
      </c>
      <c r="D1732" s="390"/>
      <c r="H1732" s="300"/>
      <c r="J1732" s="388"/>
      <c r="K1732" s="300"/>
      <c r="Q1732" s="300"/>
    </row>
    <row r="1733" spans="1:17">
      <c r="A1733" s="390"/>
      <c r="B1733" s="423" t="s">
        <v>752</v>
      </c>
      <c r="C1733" s="424">
        <v>90411</v>
      </c>
      <c r="D1733" s="390"/>
      <c r="H1733" s="300"/>
      <c r="J1733" s="387"/>
      <c r="K1733" s="300"/>
      <c r="Q1733" s="300"/>
    </row>
    <row r="1734" spans="1:17">
      <c r="A1734" s="390"/>
      <c r="B1734" s="423" t="s">
        <v>1482</v>
      </c>
      <c r="C1734" s="424">
        <v>98321</v>
      </c>
      <c r="D1734" s="390"/>
      <c r="H1734" s="300"/>
      <c r="J1734" s="387"/>
      <c r="K1734" s="300"/>
      <c r="Q1734" s="300"/>
    </row>
    <row r="1735" spans="1:17">
      <c r="A1735" s="390"/>
      <c r="B1735" s="426" t="s">
        <v>1557</v>
      </c>
      <c r="C1735" s="425">
        <v>99281</v>
      </c>
      <c r="D1735" s="390"/>
      <c r="H1735" s="300"/>
      <c r="J1735" s="388"/>
      <c r="K1735" s="300"/>
      <c r="Q1735" s="300"/>
    </row>
    <row r="1736" spans="1:17">
      <c r="A1736" s="390"/>
      <c r="B1736" s="423" t="s">
        <v>1048</v>
      </c>
      <c r="C1736" s="424">
        <v>93461</v>
      </c>
      <c r="D1736" s="390"/>
      <c r="H1736" s="300"/>
      <c r="J1736" s="387"/>
      <c r="K1736" s="300"/>
      <c r="Q1736" s="300"/>
    </row>
    <row r="1737" spans="1:17">
      <c r="A1737" s="390"/>
      <c r="B1737" s="423" t="s">
        <v>1011</v>
      </c>
      <c r="C1737" s="424">
        <v>93151</v>
      </c>
      <c r="D1737" s="390"/>
      <c r="H1737" s="300"/>
      <c r="J1737" s="387"/>
      <c r="K1737" s="300"/>
      <c r="Q1737" s="300"/>
    </row>
    <row r="1738" spans="1:17">
      <c r="A1738" s="390"/>
      <c r="B1738" s="423" t="s">
        <v>1496</v>
      </c>
      <c r="C1738" s="424">
        <v>98511</v>
      </c>
      <c r="D1738" s="390"/>
      <c r="H1738" s="300"/>
      <c r="J1738" s="387"/>
      <c r="K1738" s="300"/>
      <c r="Q1738" s="300"/>
    </row>
    <row r="1739" spans="1:17">
      <c r="A1739" s="390"/>
      <c r="B1739" s="423" t="s">
        <v>1097</v>
      </c>
      <c r="C1739" s="424">
        <v>94031</v>
      </c>
      <c r="D1739" s="390"/>
      <c r="H1739" s="300"/>
      <c r="J1739" s="387"/>
      <c r="K1739" s="300"/>
      <c r="Q1739" s="300"/>
    </row>
    <row r="1740" spans="1:17">
      <c r="A1740" s="390"/>
      <c r="B1740" s="423" t="s">
        <v>1562</v>
      </c>
      <c r="C1740" s="424">
        <v>99321</v>
      </c>
      <c r="D1740" s="390"/>
      <c r="H1740" s="300"/>
      <c r="J1740" s="387"/>
      <c r="K1740" s="300"/>
      <c r="Q1740" s="300"/>
    </row>
    <row r="1741" spans="1:17">
      <c r="A1741" s="390"/>
      <c r="B1741" s="423" t="s">
        <v>1008</v>
      </c>
      <c r="C1741" s="424">
        <v>93131</v>
      </c>
      <c r="D1741" s="390"/>
      <c r="H1741" s="300"/>
      <c r="J1741" s="387"/>
      <c r="K1741" s="300"/>
      <c r="Q1741" s="300"/>
    </row>
    <row r="1742" spans="1:17">
      <c r="A1742" s="390"/>
      <c r="B1742" s="423" t="s">
        <v>778</v>
      </c>
      <c r="C1742" s="424">
        <v>90741</v>
      </c>
      <c r="D1742" s="390"/>
      <c r="H1742" s="300"/>
      <c r="J1742" s="387"/>
      <c r="K1742" s="300"/>
      <c r="Q1742" s="300"/>
    </row>
    <row r="1743" spans="1:17">
      <c r="A1743" s="390"/>
      <c r="B1743" s="423" t="s">
        <v>1525</v>
      </c>
      <c r="C1743" s="424">
        <v>99041</v>
      </c>
      <c r="D1743" s="390"/>
      <c r="H1743" s="300"/>
      <c r="J1743" s="387"/>
      <c r="K1743" s="300"/>
      <c r="Q1743" s="300"/>
    </row>
    <row r="1744" spans="1:17">
      <c r="A1744" s="390"/>
      <c r="B1744" s="423" t="s">
        <v>1138</v>
      </c>
      <c r="C1744" s="424">
        <v>94411</v>
      </c>
      <c r="D1744" s="390"/>
      <c r="H1744" s="300"/>
      <c r="J1744" s="388"/>
      <c r="K1744" s="300"/>
      <c r="Q1744" s="300"/>
    </row>
    <row r="1745" spans="1:17">
      <c r="A1745" s="390"/>
      <c r="B1745" s="423" t="s">
        <v>837</v>
      </c>
      <c r="C1745" s="424">
        <v>91141</v>
      </c>
      <c r="D1745" s="390"/>
      <c r="H1745" s="300"/>
      <c r="J1745" s="387"/>
      <c r="K1745" s="300"/>
      <c r="Q1745" s="300"/>
    </row>
    <row r="1746" spans="1:17">
      <c r="A1746" s="390"/>
      <c r="B1746" s="423" t="s">
        <v>1529</v>
      </c>
      <c r="C1746" s="424">
        <v>99071</v>
      </c>
      <c r="D1746" s="390"/>
      <c r="H1746" s="300"/>
      <c r="J1746" s="387"/>
      <c r="K1746" s="300"/>
      <c r="Q1746" s="300"/>
    </row>
    <row r="1747" spans="1:17">
      <c r="A1747" s="390"/>
      <c r="B1747" s="423" t="s">
        <v>1121</v>
      </c>
      <c r="C1747" s="424">
        <v>94231</v>
      </c>
      <c r="D1747" s="390"/>
      <c r="H1747" s="300"/>
      <c r="J1747" s="388"/>
      <c r="K1747" s="300"/>
      <c r="Q1747" s="300"/>
    </row>
    <row r="1748" spans="1:17">
      <c r="A1748" s="390"/>
      <c r="B1748" s="423" t="s">
        <v>1551</v>
      </c>
      <c r="C1748" s="424">
        <v>99231</v>
      </c>
      <c r="D1748" s="390"/>
      <c r="H1748" s="300"/>
      <c r="J1748" s="387"/>
      <c r="K1748" s="300"/>
      <c r="Q1748" s="300"/>
    </row>
    <row r="1749" spans="1:17">
      <c r="A1749" s="390"/>
      <c r="B1749" s="423" t="s">
        <v>762</v>
      </c>
      <c r="C1749" s="424">
        <v>90521</v>
      </c>
      <c r="D1749" s="390"/>
      <c r="H1749" s="300"/>
      <c r="J1749" s="387"/>
      <c r="K1749" s="300"/>
      <c r="Q1749" s="300"/>
    </row>
    <row r="1750" spans="1:17">
      <c r="A1750" s="390"/>
      <c r="B1750" s="423" t="s">
        <v>1298</v>
      </c>
      <c r="C1750" s="424">
        <v>96441</v>
      </c>
      <c r="D1750" s="390"/>
      <c r="H1750" s="300"/>
      <c r="J1750" s="387"/>
      <c r="K1750" s="300"/>
      <c r="Q1750" s="300"/>
    </row>
    <row r="1751" spans="1:17">
      <c r="A1751" s="390"/>
      <c r="B1751" s="423" t="s">
        <v>792</v>
      </c>
      <c r="C1751" s="424">
        <v>90921</v>
      </c>
      <c r="D1751" s="390"/>
      <c r="H1751" s="300"/>
      <c r="J1751" s="387"/>
      <c r="K1751" s="300"/>
      <c r="Q1751" s="300"/>
    </row>
    <row r="1752" spans="1:17">
      <c r="A1752" s="390"/>
      <c r="B1752" s="423" t="s">
        <v>1595</v>
      </c>
      <c r="C1752" s="424">
        <v>99721</v>
      </c>
      <c r="D1752" s="390"/>
      <c r="H1752" s="300"/>
      <c r="J1752" s="387"/>
      <c r="K1752" s="300"/>
      <c r="Q1752" s="300"/>
    </row>
    <row r="1753" spans="1:17">
      <c r="A1753" s="390"/>
      <c r="B1753" s="423" t="s">
        <v>1237</v>
      </c>
      <c r="C1753" s="424">
        <v>95811</v>
      </c>
      <c r="D1753" s="390"/>
      <c r="H1753" s="300"/>
      <c r="J1753" s="387"/>
      <c r="K1753" s="300"/>
      <c r="Q1753" s="300"/>
    </row>
    <row r="1754" spans="1:17">
      <c r="A1754" s="390"/>
      <c r="B1754" s="423" t="s">
        <v>1202</v>
      </c>
      <c r="C1754" s="424">
        <v>95191</v>
      </c>
      <c r="D1754" s="390"/>
      <c r="H1754" s="300"/>
      <c r="J1754" s="387"/>
      <c r="K1754" s="300"/>
      <c r="Q1754" s="300"/>
    </row>
    <row r="1755" spans="1:17">
      <c r="A1755" s="390"/>
      <c r="B1755" s="423" t="s">
        <v>785</v>
      </c>
      <c r="C1755" s="424">
        <v>90812</v>
      </c>
      <c r="D1755" s="390"/>
      <c r="H1755" s="300"/>
      <c r="J1755" s="387"/>
      <c r="K1755" s="300"/>
      <c r="Q1755" s="300"/>
    </row>
    <row r="1756" spans="1:17">
      <c r="A1756" s="390"/>
      <c r="B1756" s="423" t="s">
        <v>1362</v>
      </c>
      <c r="C1756" s="424">
        <v>97221</v>
      </c>
      <c r="D1756" s="390"/>
      <c r="H1756" s="300"/>
      <c r="J1756" s="388"/>
      <c r="K1756" s="300"/>
      <c r="Q1756" s="300"/>
    </row>
    <row r="1757" spans="1:17">
      <c r="A1757" s="390"/>
      <c r="B1757" s="423" t="s">
        <v>1524</v>
      </c>
      <c r="C1757" s="424">
        <v>99031</v>
      </c>
      <c r="D1757" s="390"/>
      <c r="H1757" s="300"/>
      <c r="J1757" s="387"/>
      <c r="K1757" s="300"/>
      <c r="Q1757" s="300"/>
    </row>
    <row r="1758" spans="1:17">
      <c r="A1758" s="390"/>
      <c r="B1758" s="423" t="s">
        <v>1378</v>
      </c>
      <c r="C1758" s="424">
        <v>97451</v>
      </c>
      <c r="D1758" s="390"/>
      <c r="H1758" s="300"/>
      <c r="J1758" s="387"/>
      <c r="K1758" s="300"/>
      <c r="Q1758" s="300"/>
    </row>
    <row r="1759" spans="1:17">
      <c r="A1759" s="390"/>
      <c r="B1759" s="423" t="s">
        <v>1161</v>
      </c>
      <c r="C1759" s="424">
        <v>94631</v>
      </c>
      <c r="D1759" s="390"/>
      <c r="H1759" s="300"/>
      <c r="J1759" s="388"/>
      <c r="K1759" s="300"/>
      <c r="Q1759" s="300"/>
    </row>
    <row r="1760" spans="1:17">
      <c r="A1760" s="390"/>
      <c r="B1760" s="423" t="s">
        <v>842</v>
      </c>
      <c r="C1760" s="424">
        <v>91171</v>
      </c>
      <c r="D1760" s="390"/>
      <c r="H1760" s="300"/>
      <c r="J1760" s="387"/>
      <c r="K1760" s="300"/>
      <c r="Q1760" s="300"/>
    </row>
    <row r="1761" spans="1:17">
      <c r="A1761" s="390"/>
      <c r="B1761" s="423" t="s">
        <v>1316</v>
      </c>
      <c r="C1761" s="424">
        <v>96621</v>
      </c>
      <c r="D1761" s="390"/>
      <c r="H1761" s="300"/>
      <c r="J1761" s="387"/>
      <c r="K1761" s="300"/>
      <c r="Q1761" s="300"/>
    </row>
    <row r="1762" spans="1:17">
      <c r="A1762" s="390"/>
      <c r="B1762" s="423" t="s">
        <v>1307</v>
      </c>
      <c r="C1762" s="424">
        <v>96511</v>
      </c>
      <c r="D1762" s="390"/>
      <c r="H1762" s="300"/>
      <c r="J1762" s="387"/>
      <c r="K1762" s="300"/>
      <c r="Q1762" s="300"/>
    </row>
    <row r="1763" spans="1:17">
      <c r="A1763" s="390"/>
      <c r="B1763" s="423" t="s">
        <v>1608</v>
      </c>
      <c r="C1763" s="424">
        <v>99911</v>
      </c>
      <c r="D1763" s="390"/>
      <c r="H1763" s="300"/>
      <c r="J1763" s="387"/>
      <c r="K1763" s="300"/>
      <c r="Q1763" s="300"/>
    </row>
    <row r="1764" spans="1:17">
      <c r="A1764" s="390"/>
      <c r="B1764" s="423" t="s">
        <v>896</v>
      </c>
      <c r="C1764" s="424">
        <v>91719</v>
      </c>
      <c r="D1764" s="390"/>
      <c r="H1764" s="300"/>
      <c r="J1764" s="387"/>
      <c r="K1764" s="300"/>
      <c r="Q1764" s="300"/>
    </row>
    <row r="1765" spans="1:17">
      <c r="A1765" s="390"/>
      <c r="B1765" s="423" t="s">
        <v>1057</v>
      </c>
      <c r="C1765" s="424">
        <v>93541</v>
      </c>
      <c r="D1765" s="390"/>
      <c r="H1765" s="300"/>
      <c r="J1765" s="387"/>
      <c r="K1765" s="300"/>
      <c r="Q1765" s="300"/>
    </row>
    <row r="1766" spans="1:17">
      <c r="A1766" s="390"/>
      <c r="B1766" s="423" t="s">
        <v>1552</v>
      </c>
      <c r="C1766" s="424">
        <v>99241</v>
      </c>
      <c r="D1766" s="390"/>
      <c r="H1766" s="300"/>
      <c r="J1766" s="387"/>
      <c r="K1766" s="300"/>
      <c r="Q1766" s="300"/>
    </row>
    <row r="1767" spans="1:17">
      <c r="A1767" s="390"/>
      <c r="B1767" s="427" t="s">
        <v>1512</v>
      </c>
      <c r="C1767" s="428">
        <v>98801</v>
      </c>
      <c r="D1767" s="390"/>
      <c r="H1767" s="300"/>
      <c r="J1767" s="387"/>
      <c r="K1767" s="300"/>
      <c r="Q1767" s="300"/>
    </row>
    <row r="1768" spans="1:17">
      <c r="A1768" s="390"/>
      <c r="B1768" s="423" t="s">
        <v>1042</v>
      </c>
      <c r="C1768" s="424">
        <v>93417</v>
      </c>
      <c r="D1768" s="390"/>
      <c r="H1768" s="300"/>
      <c r="J1768" s="388"/>
      <c r="K1768" s="300"/>
      <c r="Q1768" s="300"/>
    </row>
    <row r="1769" spans="1:17">
      <c r="A1769" s="390"/>
      <c r="B1769" s="423" t="s">
        <v>1023</v>
      </c>
      <c r="C1769" s="424">
        <v>93219</v>
      </c>
      <c r="D1769" s="390"/>
      <c r="H1769" s="300"/>
      <c r="J1769" s="387"/>
      <c r="K1769" s="300"/>
      <c r="Q1769" s="300"/>
    </row>
    <row r="1770" spans="1:17">
      <c r="A1770" s="390"/>
      <c r="B1770" s="423" t="s">
        <v>957</v>
      </c>
      <c r="C1770" s="424">
        <v>92513</v>
      </c>
      <c r="D1770" s="390"/>
      <c r="H1770" s="300"/>
      <c r="J1770" s="387"/>
      <c r="K1770" s="300"/>
      <c r="Q1770" s="300"/>
    </row>
    <row r="1771" spans="1:17">
      <c r="A1771" s="390"/>
      <c r="B1771" s="423" t="s">
        <v>3733</v>
      </c>
      <c r="C1771" s="424">
        <v>97517</v>
      </c>
      <c r="D1771" s="390"/>
      <c r="H1771" s="300"/>
      <c r="J1771" s="388"/>
      <c r="K1771" s="300"/>
      <c r="Q1771" s="300"/>
    </row>
    <row r="1772" spans="1:17">
      <c r="A1772" s="390"/>
      <c r="B1772" s="423" t="s">
        <v>1179</v>
      </c>
      <c r="C1772" s="424">
        <v>95002</v>
      </c>
      <c r="D1772" s="390"/>
      <c r="H1772" s="300"/>
      <c r="J1772" s="387"/>
      <c r="K1772" s="300"/>
      <c r="Q1772" s="300"/>
    </row>
    <row r="1773" spans="1:17">
      <c r="A1773" s="390"/>
      <c r="B1773" s="423" t="s">
        <v>1516</v>
      </c>
      <c r="C1773" s="424">
        <v>98904</v>
      </c>
      <c r="D1773" s="390"/>
      <c r="H1773" s="300"/>
      <c r="J1773" s="387"/>
      <c r="K1773" s="300"/>
      <c r="Q1773" s="300"/>
    </row>
    <row r="1774" spans="1:17">
      <c r="A1774" s="390"/>
      <c r="B1774" s="423" t="s">
        <v>1515</v>
      </c>
      <c r="C1774" s="424">
        <v>98901</v>
      </c>
      <c r="D1774" s="390"/>
      <c r="H1774" s="300"/>
      <c r="J1774" s="387"/>
      <c r="K1774" s="300"/>
      <c r="Q1774" s="300"/>
    </row>
    <row r="1775" spans="1:17">
      <c r="A1775" s="390"/>
      <c r="B1775" s="423" t="s">
        <v>1518</v>
      </c>
      <c r="C1775" s="424">
        <v>99001</v>
      </c>
      <c r="D1775" s="390"/>
      <c r="H1775" s="300"/>
      <c r="J1775" s="387"/>
      <c r="K1775" s="300"/>
      <c r="Q1775" s="300"/>
    </row>
    <row r="1776" spans="1:17">
      <c r="A1776" s="390"/>
      <c r="B1776" s="423" t="s">
        <v>1027</v>
      </c>
      <c r="C1776" s="424">
        <v>93309</v>
      </c>
      <c r="D1776" s="390"/>
      <c r="H1776" s="300"/>
      <c r="J1776" s="387"/>
      <c r="K1776" s="300"/>
      <c r="Q1776" s="300"/>
    </row>
    <row r="1777" spans="1:17">
      <c r="A1777" s="390"/>
      <c r="B1777" s="423" t="s">
        <v>1928</v>
      </c>
      <c r="C1777" s="424">
        <v>94947</v>
      </c>
      <c r="D1777" s="390"/>
      <c r="H1777" s="300"/>
      <c r="J1777" s="387"/>
      <c r="K1777" s="300"/>
      <c r="Q1777" s="300"/>
    </row>
    <row r="1778" spans="1:17">
      <c r="A1778" s="390"/>
      <c r="B1778" s="423" t="s">
        <v>849</v>
      </c>
      <c r="C1778" s="424">
        <v>91213</v>
      </c>
      <c r="D1778" s="390"/>
      <c r="H1778" s="300"/>
      <c r="J1778" s="387"/>
      <c r="K1778" s="300"/>
      <c r="Q1778" s="300"/>
    </row>
    <row r="1779" spans="1:17">
      <c r="A1779" s="390"/>
      <c r="B1779" s="423" t="s">
        <v>1532</v>
      </c>
      <c r="C1779" s="424">
        <v>99101</v>
      </c>
      <c r="D1779" s="390"/>
      <c r="H1779" s="300"/>
      <c r="J1779" s="387"/>
      <c r="K1779" s="300"/>
      <c r="Q1779" s="300"/>
    </row>
    <row r="1780" spans="1:17">
      <c r="A1780" s="390"/>
      <c r="B1780" s="423" t="s">
        <v>1533</v>
      </c>
      <c r="C1780" s="424">
        <v>99104</v>
      </c>
      <c r="D1780" s="390"/>
      <c r="H1780" s="300"/>
      <c r="J1780" s="388"/>
      <c r="K1780" s="300"/>
      <c r="Q1780" s="300"/>
    </row>
    <row r="1781" spans="1:17">
      <c r="A1781" s="390"/>
      <c r="B1781" s="423" t="s">
        <v>1182</v>
      </c>
      <c r="C1781" s="424">
        <v>95009</v>
      </c>
      <c r="D1781" s="390"/>
      <c r="H1781" s="300"/>
      <c r="J1781" s="387"/>
      <c r="K1781" s="300"/>
      <c r="Q1781" s="300"/>
    </row>
    <row r="1782" spans="1:17">
      <c r="A1782" s="390"/>
      <c r="B1782" s="423" t="s">
        <v>741</v>
      </c>
      <c r="C1782" s="424">
        <v>90151</v>
      </c>
      <c r="D1782" s="390"/>
      <c r="H1782" s="300"/>
      <c r="J1782" s="387"/>
      <c r="K1782" s="300"/>
      <c r="Q1782" s="300"/>
    </row>
    <row r="1783" spans="1:17">
      <c r="A1783" s="390"/>
      <c r="B1783" s="423" t="s">
        <v>824</v>
      </c>
      <c r="C1783" s="424">
        <v>91091</v>
      </c>
      <c r="D1783" s="390"/>
      <c r="H1783" s="300"/>
      <c r="J1783" s="388"/>
      <c r="K1783" s="300"/>
      <c r="Q1783" s="300"/>
    </row>
    <row r="1784" spans="1:17">
      <c r="A1784" s="390"/>
      <c r="B1784" s="423" t="s">
        <v>1045</v>
      </c>
      <c r="C1784" s="424">
        <v>93441</v>
      </c>
      <c r="D1784" s="390"/>
      <c r="H1784" s="300"/>
      <c r="J1784" s="387"/>
      <c r="K1784" s="300"/>
      <c r="Q1784" s="300"/>
    </row>
    <row r="1785" spans="1:17">
      <c r="A1785" s="390"/>
      <c r="B1785" s="423" t="s">
        <v>1530</v>
      </c>
      <c r="C1785" s="424">
        <v>99081</v>
      </c>
      <c r="D1785" s="390"/>
      <c r="H1785" s="300"/>
      <c r="J1785" s="387"/>
      <c r="K1785" s="300"/>
      <c r="Q1785" s="300"/>
    </row>
    <row r="1786" spans="1:17">
      <c r="A1786" s="390"/>
      <c r="B1786" s="423" t="s">
        <v>1487</v>
      </c>
      <c r="C1786" s="424">
        <v>98414</v>
      </c>
      <c r="D1786" s="390"/>
      <c r="H1786" s="300"/>
      <c r="J1786" s="387"/>
      <c r="K1786" s="300"/>
      <c r="Q1786" s="300"/>
    </row>
    <row r="1787" spans="1:17">
      <c r="A1787" s="390"/>
      <c r="B1787" s="423" t="s">
        <v>1287</v>
      </c>
      <c r="C1787" s="424">
        <v>96351</v>
      </c>
      <c r="D1787" s="390"/>
      <c r="H1787" s="300"/>
      <c r="J1787" s="387"/>
      <c r="K1787" s="300"/>
      <c r="Q1787" s="300"/>
    </row>
    <row r="1788" spans="1:17">
      <c r="A1788" s="390"/>
      <c r="B1788" s="423" t="s">
        <v>1382</v>
      </c>
      <c r="C1788" s="424">
        <v>97481</v>
      </c>
      <c r="D1788" s="390"/>
      <c r="H1788" s="300"/>
      <c r="J1788" s="387"/>
      <c r="K1788" s="300"/>
      <c r="Q1788" s="300"/>
    </row>
    <row r="1789" spans="1:17">
      <c r="A1789" s="390"/>
      <c r="B1789" s="423" t="s">
        <v>1930</v>
      </c>
      <c r="C1789" s="424">
        <v>90651</v>
      </c>
      <c r="D1789" s="390"/>
      <c r="H1789" s="300"/>
      <c r="J1789" s="388"/>
      <c r="K1789" s="300"/>
      <c r="Q1789" s="300"/>
    </row>
    <row r="1790" spans="1:17">
      <c r="A1790" s="390"/>
      <c r="B1790" s="423" t="s">
        <v>1049</v>
      </c>
      <c r="C1790" s="424">
        <v>93471</v>
      </c>
      <c r="D1790" s="390"/>
      <c r="H1790" s="300"/>
      <c r="J1790" s="387"/>
      <c r="K1790" s="300"/>
      <c r="Q1790" s="300"/>
    </row>
    <row r="1791" spans="1:17">
      <c r="A1791" s="390"/>
      <c r="B1791" s="423" t="s">
        <v>1590</v>
      </c>
      <c r="C1791" s="424">
        <v>99661</v>
      </c>
      <c r="D1791" s="390"/>
      <c r="H1791" s="300"/>
      <c r="J1791" s="387"/>
      <c r="K1791" s="300"/>
      <c r="Q1791" s="300"/>
    </row>
    <row r="1792" spans="1:17">
      <c r="A1792" s="390"/>
      <c r="B1792" s="423" t="s">
        <v>1531</v>
      </c>
      <c r="C1792" s="424">
        <v>99091</v>
      </c>
      <c r="D1792" s="390"/>
      <c r="H1792" s="300"/>
      <c r="J1792" s="387"/>
      <c r="K1792" s="300"/>
      <c r="Q1792" s="300"/>
    </row>
    <row r="1793" spans="1:17">
      <c r="A1793" s="390"/>
      <c r="B1793" s="423" t="s">
        <v>1289</v>
      </c>
      <c r="C1793" s="424">
        <v>96371</v>
      </c>
      <c r="D1793" s="390"/>
      <c r="H1793" s="300"/>
      <c r="J1793" s="387"/>
      <c r="K1793" s="300"/>
      <c r="Q1793" s="300"/>
    </row>
    <row r="1794" spans="1:17">
      <c r="A1794" s="390"/>
      <c r="B1794" s="423" t="s">
        <v>754</v>
      </c>
      <c r="C1794" s="424">
        <v>90417</v>
      </c>
      <c r="D1794" s="390"/>
      <c r="H1794" s="300"/>
      <c r="J1794" s="387"/>
      <c r="K1794" s="300"/>
      <c r="Q1794" s="300"/>
    </row>
    <row r="1795" spans="1:17">
      <c r="A1795" s="390"/>
      <c r="B1795" s="423" t="s">
        <v>753</v>
      </c>
      <c r="C1795" s="424">
        <v>90413</v>
      </c>
      <c r="D1795" s="390"/>
      <c r="H1795" s="300"/>
      <c r="J1795" s="387"/>
      <c r="K1795" s="300"/>
      <c r="Q1795" s="300"/>
    </row>
    <row r="1796" spans="1:17">
      <c r="A1796" s="390"/>
      <c r="B1796" s="423" t="s">
        <v>1540</v>
      </c>
      <c r="C1796" s="424">
        <v>99204</v>
      </c>
      <c r="D1796" s="390"/>
      <c r="H1796" s="300"/>
      <c r="J1796" s="387"/>
      <c r="K1796" s="300"/>
      <c r="Q1796" s="300"/>
    </row>
    <row r="1797" spans="1:17">
      <c r="A1797" s="390"/>
      <c r="B1797" s="423" t="s">
        <v>3738</v>
      </c>
      <c r="C1797" s="424">
        <v>99201</v>
      </c>
      <c r="D1797" s="390"/>
      <c r="H1797" s="300"/>
      <c r="J1797" s="387"/>
      <c r="K1797" s="300"/>
      <c r="Q1797" s="300"/>
    </row>
    <row r="1798" spans="1:17">
      <c r="A1798" s="390"/>
      <c r="B1798" s="423" t="s">
        <v>1542</v>
      </c>
      <c r="C1798" s="424">
        <v>99207</v>
      </c>
      <c r="D1798" s="390"/>
      <c r="H1798" s="300"/>
      <c r="J1798" s="388"/>
      <c r="K1798" s="300"/>
      <c r="Q1798" s="300"/>
    </row>
    <row r="1799" spans="1:17">
      <c r="A1799" s="390"/>
      <c r="B1799" s="423" t="s">
        <v>1012</v>
      </c>
      <c r="C1799" s="424">
        <v>93157</v>
      </c>
      <c r="D1799" s="390"/>
      <c r="H1799" s="300"/>
      <c r="J1799" s="387"/>
      <c r="K1799" s="300"/>
      <c r="Q1799" s="300"/>
    </row>
    <row r="1800" spans="1:17">
      <c r="A1800" s="390"/>
      <c r="B1800" s="423" t="s">
        <v>1497</v>
      </c>
      <c r="C1800" s="424">
        <v>98517</v>
      </c>
      <c r="D1800" s="390"/>
      <c r="H1800" s="300"/>
      <c r="J1800" s="387"/>
      <c r="K1800" s="300"/>
      <c r="Q1800" s="300"/>
    </row>
    <row r="1801" spans="1:17">
      <c r="A1801" s="390"/>
      <c r="B1801" s="423" t="s">
        <v>1559</v>
      </c>
      <c r="C1801" s="424">
        <v>99301</v>
      </c>
      <c r="D1801" s="390"/>
      <c r="H1801" s="300"/>
      <c r="J1801" s="388"/>
      <c r="K1801" s="300"/>
      <c r="Q1801" s="300"/>
    </row>
    <row r="1802" spans="1:17">
      <c r="A1802" s="390"/>
      <c r="B1802" s="423" t="s">
        <v>1560</v>
      </c>
      <c r="C1802" s="424">
        <v>99304</v>
      </c>
      <c r="D1802" s="390"/>
      <c r="H1802" s="300"/>
      <c r="J1802" s="387"/>
      <c r="K1802" s="300"/>
      <c r="Q1802" s="300"/>
    </row>
    <row r="1803" spans="1:17">
      <c r="A1803" s="390"/>
      <c r="B1803" s="423" t="s">
        <v>1009</v>
      </c>
      <c r="C1803" s="424">
        <v>93137</v>
      </c>
      <c r="D1803" s="390"/>
      <c r="H1803" s="300"/>
      <c r="J1803" s="387"/>
      <c r="K1803" s="300"/>
      <c r="Q1803" s="300"/>
    </row>
    <row r="1804" spans="1:17">
      <c r="A1804" s="390"/>
      <c r="B1804" s="423" t="s">
        <v>1563</v>
      </c>
      <c r="C1804" s="424">
        <v>99401</v>
      </c>
      <c r="D1804" s="390"/>
      <c r="H1804" s="300"/>
      <c r="J1804" s="387"/>
      <c r="K1804" s="300"/>
      <c r="Q1804" s="300"/>
    </row>
    <row r="1805" spans="1:17">
      <c r="A1805" s="390"/>
      <c r="B1805" s="423" t="s">
        <v>1564</v>
      </c>
      <c r="C1805" s="424">
        <v>99404</v>
      </c>
      <c r="D1805" s="390"/>
      <c r="H1805" s="300"/>
      <c r="J1805" s="387"/>
      <c r="K1805" s="300"/>
      <c r="Q1805" s="300"/>
    </row>
    <row r="1806" spans="1:17">
      <c r="A1806" s="390"/>
      <c r="B1806" s="423" t="s">
        <v>3759</v>
      </c>
      <c r="C1806" s="424">
        <v>99624</v>
      </c>
      <c r="D1806" s="390"/>
      <c r="H1806" s="300"/>
      <c r="J1806" s="387"/>
      <c r="K1806" s="300"/>
      <c r="Q1806" s="300"/>
    </row>
    <row r="1807" spans="1:17">
      <c r="A1807" s="390"/>
      <c r="B1807" s="423" t="s">
        <v>1570</v>
      </c>
      <c r="C1807" s="424">
        <v>99501</v>
      </c>
      <c r="D1807" s="390"/>
      <c r="H1807" s="300"/>
      <c r="J1807" s="387"/>
      <c r="K1807" s="300"/>
      <c r="Q1807" s="300"/>
    </row>
    <row r="1808" spans="1:17">
      <c r="A1808" s="390"/>
      <c r="B1808" s="423" t="s">
        <v>1573</v>
      </c>
      <c r="C1808" s="424">
        <v>99509</v>
      </c>
      <c r="D1808" s="390"/>
      <c r="H1808" s="300"/>
      <c r="J1808" s="387"/>
      <c r="K1808" s="300"/>
      <c r="Q1808" s="300"/>
    </row>
    <row r="1809" spans="1:17">
      <c r="A1809" s="390"/>
      <c r="B1809" s="423" t="s">
        <v>859</v>
      </c>
      <c r="C1809" s="424">
        <v>91302</v>
      </c>
      <c r="D1809" s="390"/>
      <c r="H1809" s="300"/>
      <c r="J1809" s="387"/>
      <c r="K1809" s="300"/>
      <c r="Q1809" s="300"/>
    </row>
    <row r="1810" spans="1:17">
      <c r="A1810" s="390"/>
      <c r="B1810" s="423" t="s">
        <v>1526</v>
      </c>
      <c r="C1810" s="424">
        <v>99047</v>
      </c>
      <c r="D1810" s="390"/>
      <c r="H1810" s="300"/>
      <c r="J1810" s="388"/>
      <c r="K1810" s="300"/>
      <c r="Q1810" s="300"/>
    </row>
    <row r="1811" spans="1:17">
      <c r="A1811" s="390"/>
      <c r="B1811" s="423" t="s">
        <v>1578</v>
      </c>
      <c r="C1811" s="424">
        <v>99601</v>
      </c>
      <c r="D1811" s="390"/>
      <c r="H1811" s="300"/>
      <c r="J1811" s="387"/>
      <c r="K1811" s="300"/>
      <c r="Q1811" s="300"/>
    </row>
    <row r="1812" spans="1:17">
      <c r="A1812" s="390"/>
      <c r="B1812" s="423" t="s">
        <v>1581</v>
      </c>
      <c r="C1812" s="424">
        <v>99604</v>
      </c>
      <c r="D1812" s="390"/>
      <c r="H1812" s="300"/>
      <c r="J1812" s="387"/>
      <c r="K1812" s="300"/>
      <c r="Q1812" s="300"/>
    </row>
    <row r="1813" spans="1:17">
      <c r="A1813" s="390"/>
      <c r="B1813" s="423" t="s">
        <v>1139</v>
      </c>
      <c r="C1813" s="424">
        <v>94412</v>
      </c>
      <c r="D1813" s="390"/>
      <c r="H1813" s="300"/>
      <c r="J1813" s="388"/>
      <c r="K1813" s="300"/>
      <c r="Q1813" s="300"/>
    </row>
    <row r="1814" spans="1:17">
      <c r="A1814" s="390"/>
      <c r="B1814" s="423" t="s">
        <v>838</v>
      </c>
      <c r="C1814" s="424">
        <v>91147</v>
      </c>
      <c r="D1814" s="390"/>
      <c r="H1814" s="300"/>
      <c r="J1814" s="387"/>
      <c r="K1814" s="300"/>
      <c r="Q1814" s="300"/>
    </row>
    <row r="1815" spans="1:17">
      <c r="A1815" s="390"/>
      <c r="B1815" s="426" t="s">
        <v>832</v>
      </c>
      <c r="C1815" s="425">
        <v>91120</v>
      </c>
      <c r="D1815" s="390"/>
      <c r="H1815" s="300"/>
      <c r="J1815" s="387"/>
      <c r="K1815" s="300"/>
      <c r="Q1815" s="300"/>
    </row>
    <row r="1816" spans="1:17">
      <c r="A1816" s="390"/>
      <c r="B1816" s="423" t="s">
        <v>946</v>
      </c>
      <c r="C1816" s="424">
        <v>92444</v>
      </c>
      <c r="D1816" s="390"/>
      <c r="H1816" s="300"/>
      <c r="J1816" s="387"/>
      <c r="K1816" s="300"/>
      <c r="Q1816" s="300"/>
    </row>
    <row r="1817" spans="1:17">
      <c r="A1817" s="390"/>
      <c r="B1817" s="423" t="s">
        <v>34</v>
      </c>
      <c r="C1817" s="424">
        <v>90507</v>
      </c>
      <c r="D1817" s="390"/>
      <c r="H1817" s="300"/>
      <c r="J1817" s="387"/>
      <c r="K1817" s="300"/>
      <c r="Q1817" s="300"/>
    </row>
    <row r="1818" spans="1:17">
      <c r="A1818" s="390"/>
      <c r="B1818" s="423" t="s">
        <v>965</v>
      </c>
      <c r="C1818" s="424">
        <v>92602</v>
      </c>
      <c r="D1818" s="390"/>
      <c r="H1818" s="300"/>
      <c r="J1818" s="387"/>
      <c r="K1818" s="300"/>
      <c r="Q1818" s="300"/>
    </row>
    <row r="1819" spans="1:17">
      <c r="A1819" s="390"/>
      <c r="B1819" s="423" t="s">
        <v>882</v>
      </c>
      <c r="C1819" s="424">
        <v>91608</v>
      </c>
      <c r="D1819" s="390"/>
      <c r="H1819" s="300"/>
      <c r="J1819" s="387"/>
      <c r="K1819" s="300"/>
      <c r="Q1819" s="300"/>
    </row>
    <row r="1820" spans="1:17">
      <c r="A1820" s="390"/>
      <c r="B1820" s="423" t="s">
        <v>902</v>
      </c>
      <c r="C1820" s="424">
        <v>91818</v>
      </c>
      <c r="D1820" s="390"/>
      <c r="H1820" s="300"/>
      <c r="J1820" s="387"/>
      <c r="K1820" s="300"/>
      <c r="Q1820" s="300"/>
    </row>
    <row r="1821" spans="1:17">
      <c r="A1821" s="390"/>
      <c r="B1821" s="423" t="s">
        <v>903</v>
      </c>
      <c r="C1821" s="424">
        <v>91819</v>
      </c>
      <c r="D1821" s="390"/>
      <c r="H1821" s="300"/>
      <c r="J1821" s="387"/>
      <c r="K1821" s="300"/>
      <c r="Q1821" s="300"/>
    </row>
    <row r="1822" spans="1:17">
      <c r="A1822" s="390"/>
      <c r="B1822" s="423" t="s">
        <v>941</v>
      </c>
      <c r="C1822" s="424">
        <v>92417</v>
      </c>
      <c r="D1822" s="390"/>
      <c r="H1822" s="300"/>
      <c r="J1822" s="388"/>
      <c r="K1822" s="300"/>
      <c r="Q1822" s="300"/>
    </row>
    <row r="1823" spans="1:17">
      <c r="A1823" s="390"/>
      <c r="B1823" s="423" t="s">
        <v>939</v>
      </c>
      <c r="C1823" s="424">
        <v>92403</v>
      </c>
      <c r="D1823" s="390"/>
      <c r="H1823" s="300"/>
      <c r="J1823" s="387"/>
      <c r="K1823" s="300"/>
      <c r="Q1823" s="300"/>
    </row>
    <row r="1824" spans="1:17">
      <c r="A1824" s="390"/>
      <c r="B1824" s="423" t="s">
        <v>1591</v>
      </c>
      <c r="C1824" s="424">
        <v>99701</v>
      </c>
      <c r="D1824" s="390"/>
      <c r="H1824" s="300"/>
      <c r="J1824" s="387"/>
      <c r="K1824" s="300"/>
      <c r="Q1824" s="300"/>
    </row>
    <row r="1825" spans="1:17">
      <c r="A1825" s="390"/>
      <c r="B1825" s="423" t="s">
        <v>1596</v>
      </c>
      <c r="C1825" s="424">
        <v>99727</v>
      </c>
      <c r="D1825" s="390"/>
      <c r="H1825" s="300"/>
      <c r="J1825" s="388"/>
      <c r="K1825" s="300"/>
      <c r="Q1825" s="300"/>
    </row>
    <row r="1826" spans="1:17">
      <c r="A1826" s="390"/>
      <c r="B1826" s="423" t="s">
        <v>1238</v>
      </c>
      <c r="C1826" s="424">
        <v>95813</v>
      </c>
      <c r="D1826" s="390"/>
      <c r="H1826" s="300"/>
      <c r="J1826" s="387"/>
      <c r="K1826" s="300"/>
      <c r="Q1826" s="300"/>
    </row>
    <row r="1827" spans="1:17">
      <c r="A1827" s="390"/>
      <c r="B1827" s="423" t="s">
        <v>1303</v>
      </c>
      <c r="C1827" s="424">
        <v>96503</v>
      </c>
      <c r="D1827" s="390"/>
      <c r="H1827" s="300"/>
      <c r="J1827" s="387"/>
      <c r="K1827" s="300"/>
      <c r="Q1827" s="300"/>
    </row>
    <row r="1828" spans="1:17">
      <c r="A1828" s="390"/>
      <c r="B1828" s="423" t="s">
        <v>1597</v>
      </c>
      <c r="C1828" s="424">
        <v>99801</v>
      </c>
      <c r="D1828" s="390"/>
      <c r="H1828" s="300"/>
      <c r="J1828" s="387"/>
      <c r="K1828" s="300"/>
      <c r="Q1828" s="300"/>
    </row>
    <row r="1829" spans="1:17">
      <c r="A1829" s="390"/>
      <c r="B1829" s="423" t="s">
        <v>1599</v>
      </c>
      <c r="C1829" s="424">
        <v>99804</v>
      </c>
      <c r="D1829" s="390"/>
      <c r="H1829" s="300"/>
      <c r="J1829" s="387"/>
      <c r="K1829" s="300"/>
      <c r="Q1829" s="300"/>
    </row>
    <row r="1830" spans="1:17">
      <c r="A1830" s="390"/>
      <c r="B1830" s="423" t="s">
        <v>1598</v>
      </c>
      <c r="C1830" s="424">
        <v>99802</v>
      </c>
      <c r="D1830" s="390"/>
      <c r="H1830" s="300"/>
      <c r="J1830" s="387"/>
      <c r="K1830" s="300"/>
      <c r="Q1830" s="300"/>
    </row>
    <row r="1831" spans="1:17">
      <c r="A1831" s="390"/>
      <c r="B1831" s="423" t="s">
        <v>1601</v>
      </c>
      <c r="C1831" s="424">
        <v>99812</v>
      </c>
      <c r="D1831" s="390"/>
      <c r="H1831" s="300"/>
      <c r="J1831" s="387"/>
      <c r="K1831" s="300"/>
      <c r="Q1831" s="300"/>
    </row>
    <row r="1832" spans="1:17">
      <c r="A1832" s="390"/>
      <c r="B1832" s="423" t="s">
        <v>1041</v>
      </c>
      <c r="C1832" s="424">
        <v>93413</v>
      </c>
      <c r="D1832" s="390"/>
      <c r="H1832" s="300"/>
      <c r="J1832" s="387"/>
      <c r="K1832" s="300"/>
      <c r="Q1832" s="300"/>
    </row>
    <row r="1833" spans="1:17">
      <c r="A1833" s="390"/>
      <c r="B1833" s="423" t="s">
        <v>827</v>
      </c>
      <c r="C1833" s="424">
        <v>91104</v>
      </c>
      <c r="D1833" s="390"/>
      <c r="H1833" s="300"/>
      <c r="J1833" s="387"/>
      <c r="K1833" s="300"/>
      <c r="Q1833" s="300"/>
    </row>
    <row r="1834" spans="1:17">
      <c r="A1834" s="390"/>
      <c r="B1834" s="423" t="s">
        <v>830</v>
      </c>
      <c r="C1834" s="424">
        <v>91109</v>
      </c>
      <c r="D1834" s="390"/>
      <c r="H1834" s="300"/>
      <c r="J1834" s="388"/>
      <c r="K1834" s="300"/>
      <c r="Q1834" s="300"/>
    </row>
    <row r="1835" spans="1:17">
      <c r="A1835" s="390"/>
      <c r="B1835" s="423" t="s">
        <v>1607</v>
      </c>
      <c r="C1835" s="424">
        <v>99901</v>
      </c>
      <c r="D1835" s="390"/>
      <c r="H1835" s="300"/>
      <c r="J1835" s="387"/>
      <c r="K1835" s="300"/>
      <c r="Q1835" s="300"/>
    </row>
    <row r="1836" spans="1:17">
      <c r="A1836" s="390"/>
      <c r="B1836" s="423" t="s">
        <v>1500</v>
      </c>
      <c r="C1836" s="424">
        <v>98604</v>
      </c>
      <c r="D1836" s="390"/>
      <c r="H1836" s="300"/>
      <c r="J1836" s="387"/>
      <c r="K1836" s="300"/>
      <c r="Q1836" s="300"/>
    </row>
    <row r="1837" spans="1:17">
      <c r="A1837" s="390"/>
      <c r="B1837" s="423" t="s">
        <v>1502</v>
      </c>
      <c r="C1837" s="424">
        <v>98608</v>
      </c>
      <c r="D1837" s="390"/>
      <c r="H1837" s="300"/>
      <c r="J1837" s="383"/>
      <c r="K1837" s="300"/>
      <c r="Q1837" s="300"/>
    </row>
    <row r="1838" spans="1:17">
      <c r="A1838" s="390"/>
      <c r="B1838" s="423" t="s">
        <v>727</v>
      </c>
      <c r="C1838" s="424">
        <v>90001</v>
      </c>
      <c r="D1838" s="390"/>
      <c r="H1838" s="300"/>
      <c r="K1838" s="300"/>
      <c r="Q1838" s="300"/>
    </row>
    <row r="1839" spans="1:17">
      <c r="A1839" s="390"/>
      <c r="B1839" s="426" t="s">
        <v>728</v>
      </c>
      <c r="C1839" s="425">
        <v>90002</v>
      </c>
      <c r="D1839" s="390"/>
      <c r="H1839" s="300"/>
      <c r="K1839" s="300"/>
      <c r="Q1839" s="300"/>
    </row>
    <row r="1840" spans="1:17">
      <c r="A1840" s="390"/>
      <c r="B1840" s="405"/>
      <c r="C1840" s="390"/>
      <c r="D1840" s="390"/>
      <c r="H1840" s="300"/>
      <c r="K1840" s="300"/>
      <c r="Q1840" s="300"/>
    </row>
    <row r="1841" spans="1:17">
      <c r="A1841" s="390"/>
      <c r="B1841" s="405"/>
      <c r="C1841" s="390"/>
      <c r="D1841" s="390"/>
      <c r="H1841" s="300"/>
      <c r="K1841" s="300"/>
      <c r="Q1841" s="300"/>
    </row>
    <row r="1842" spans="1:17">
      <c r="A1842" s="390"/>
      <c r="B1842" s="405"/>
      <c r="C1842" s="390"/>
      <c r="D1842" s="390"/>
      <c r="H1842" s="300"/>
      <c r="K1842" s="300"/>
      <c r="Q1842" s="300"/>
    </row>
    <row r="1843" spans="1:17">
      <c r="A1843" s="390"/>
      <c r="B1843" s="405"/>
      <c r="C1843" s="390"/>
      <c r="D1843" s="390"/>
      <c r="H1843" s="300"/>
      <c r="K1843" s="300"/>
      <c r="Q1843" s="300"/>
    </row>
    <row r="1844" spans="1:17">
      <c r="A1844" s="390"/>
      <c r="B1844" s="405"/>
      <c r="C1844" s="390"/>
      <c r="D1844" s="390"/>
      <c r="H1844" s="300"/>
      <c r="K1844" s="300"/>
      <c r="Q1844" s="300"/>
    </row>
    <row r="1845" spans="1:17">
      <c r="A1845" s="390"/>
      <c r="B1845" s="405"/>
      <c r="C1845" s="390"/>
      <c r="D1845" s="390"/>
      <c r="H1845" s="300"/>
      <c r="K1845" s="300"/>
      <c r="Q1845" s="300"/>
    </row>
    <row r="1846" spans="1:17">
      <c r="A1846" s="390"/>
      <c r="B1846" s="405"/>
      <c r="C1846" s="390"/>
      <c r="D1846" s="390"/>
      <c r="H1846" s="300"/>
      <c r="K1846" s="300"/>
      <c r="Q1846" s="300"/>
    </row>
    <row r="1847" spans="1:17">
      <c r="A1847" s="390"/>
      <c r="B1847" s="405"/>
      <c r="C1847" s="390"/>
      <c r="D1847" s="390"/>
      <c r="H1847" s="300"/>
      <c r="K1847" s="300"/>
      <c r="Q1847" s="300"/>
    </row>
    <row r="1848" spans="1:17">
      <c r="A1848" s="390"/>
      <c r="B1848" s="405"/>
      <c r="C1848" s="390"/>
      <c r="D1848" s="390"/>
      <c r="H1848" s="300"/>
      <c r="K1848" s="300"/>
      <c r="Q1848" s="300"/>
    </row>
    <row r="1849" spans="1:17">
      <c r="A1849" s="390"/>
      <c r="B1849" s="391"/>
      <c r="C1849" s="390"/>
      <c r="D1849" s="390"/>
      <c r="H1849" s="300"/>
      <c r="K1849" s="300"/>
      <c r="Q1849" s="300"/>
    </row>
    <row r="1850" spans="1:17">
      <c r="B1850" s="391"/>
      <c r="C1850" s="390"/>
      <c r="D1850" s="390"/>
      <c r="H1850" s="300"/>
      <c r="K1850" s="300"/>
      <c r="Q1850" s="300"/>
    </row>
    <row r="1851" spans="1:17">
      <c r="B1851" s="391"/>
      <c r="C1851" s="390"/>
      <c r="D1851" s="390"/>
      <c r="H1851" s="300"/>
      <c r="K1851" s="300"/>
      <c r="Q1851" s="300"/>
    </row>
    <row r="1852" spans="1:17">
      <c r="B1852" s="391"/>
      <c r="C1852" s="390"/>
      <c r="D1852" s="390"/>
      <c r="H1852" s="300"/>
      <c r="K1852" s="300"/>
      <c r="Q1852" s="300"/>
    </row>
    <row r="1853" spans="1:17">
      <c r="B1853" s="391"/>
      <c r="C1853" s="390"/>
      <c r="D1853"/>
      <c r="H1853" s="300"/>
      <c r="K1853" s="300"/>
      <c r="Q1853" s="300"/>
    </row>
    <row r="1854" spans="1:17">
      <c r="B1854" s="390"/>
      <c r="C1854" s="234"/>
      <c r="H1854" s="300"/>
      <c r="K1854" s="300"/>
      <c r="Q1854" s="300"/>
    </row>
    <row r="1855" spans="1:17">
      <c r="B1855" s="390"/>
      <c r="C1855" s="234"/>
      <c r="H1855" s="300"/>
      <c r="K1855" s="300"/>
      <c r="Q1855" s="300"/>
    </row>
    <row r="1856" spans="1:17">
      <c r="B1856" s="390"/>
      <c r="C1856" s="234"/>
      <c r="H1856" s="300"/>
      <c r="K1856" s="300"/>
      <c r="Q1856" s="300"/>
    </row>
    <row r="1857" spans="2:17">
      <c r="B1857" s="390"/>
      <c r="C1857" s="234"/>
      <c r="H1857" s="300"/>
      <c r="K1857" s="300"/>
      <c r="Q1857" s="300"/>
    </row>
    <row r="1858" spans="2:17">
      <c r="B1858" s="390"/>
      <c r="C1858" s="234"/>
      <c r="H1858" s="300"/>
      <c r="K1858" s="300"/>
      <c r="Q1858" s="300"/>
    </row>
    <row r="1859" spans="2:17">
      <c r="B1859" s="390"/>
      <c r="C1859" s="234"/>
      <c r="H1859" s="300"/>
      <c r="K1859" s="300"/>
      <c r="Q1859" s="300"/>
    </row>
    <row r="1860" spans="2:17">
      <c r="B1860" s="390"/>
      <c r="C1860" s="234"/>
      <c r="H1860" s="300"/>
      <c r="K1860" s="300"/>
      <c r="Q1860" s="300"/>
    </row>
    <row r="1861" spans="2:17">
      <c r="B1861" s="390"/>
      <c r="C1861" s="234"/>
      <c r="H1861" s="300"/>
      <c r="K1861" s="300"/>
      <c r="Q1861" s="300"/>
    </row>
    <row r="1862" spans="2:17">
      <c r="B1862" s="390"/>
      <c r="C1862" s="234"/>
      <c r="H1862" s="300"/>
      <c r="K1862" s="300"/>
      <c r="Q1862" s="300"/>
    </row>
    <row r="1863" spans="2:17">
      <c r="B1863" s="390"/>
      <c r="C1863" s="234"/>
      <c r="H1863" s="300"/>
      <c r="K1863" s="300"/>
      <c r="Q1863" s="300"/>
    </row>
    <row r="1864" spans="2:17">
      <c r="B1864" s="390"/>
      <c r="C1864" s="234"/>
      <c r="H1864" s="300"/>
      <c r="K1864" s="300"/>
      <c r="Q1864" s="300"/>
    </row>
    <row r="1865" spans="2:17">
      <c r="B1865" s="390"/>
      <c r="C1865" s="234"/>
      <c r="H1865" s="300"/>
      <c r="K1865" s="300"/>
      <c r="Q1865" s="300"/>
    </row>
    <row r="1866" spans="2:17">
      <c r="B1866" s="390"/>
      <c r="C1866" s="234"/>
      <c r="H1866" s="300"/>
      <c r="K1866" s="300"/>
      <c r="Q1866" s="300"/>
    </row>
    <row r="1867" spans="2:17">
      <c r="B1867" s="390"/>
      <c r="C1867" s="234"/>
      <c r="H1867" s="300"/>
      <c r="K1867" s="300"/>
      <c r="Q1867" s="300"/>
    </row>
    <row r="1868" spans="2:17">
      <c r="B1868" s="390"/>
      <c r="C1868" s="234"/>
      <c r="H1868" s="300"/>
      <c r="K1868" s="300"/>
      <c r="Q1868" s="300"/>
    </row>
    <row r="1869" spans="2:17">
      <c r="B1869" s="409"/>
      <c r="H1869" s="300"/>
      <c r="K1869" s="300"/>
      <c r="Q1869" s="300"/>
    </row>
    <row r="1870" spans="2:17">
      <c r="B1870" s="409"/>
      <c r="H1870" s="300"/>
      <c r="K1870" s="300"/>
      <c r="Q1870" s="300"/>
    </row>
    <row r="1871" spans="2:17">
      <c r="B1871" s="409"/>
      <c r="H1871" s="300"/>
      <c r="K1871" s="300"/>
      <c r="Q1871" s="300"/>
    </row>
    <row r="1872" spans="2:17">
      <c r="B1872" s="409"/>
      <c r="H1872" s="300"/>
      <c r="K1872" s="300"/>
      <c r="Q1872" s="300"/>
    </row>
    <row r="1873" spans="2:17">
      <c r="B1873" s="409"/>
      <c r="H1873" s="300"/>
      <c r="K1873" s="300"/>
      <c r="Q1873" s="300"/>
    </row>
    <row r="1874" spans="2:17">
      <c r="B1874" s="409"/>
      <c r="H1874" s="300"/>
      <c r="K1874" s="300"/>
      <c r="Q1874" s="300"/>
    </row>
    <row r="1875" spans="2:17">
      <c r="B1875" s="409"/>
      <c r="H1875" s="300"/>
      <c r="K1875" s="300"/>
      <c r="Q1875" s="300"/>
    </row>
    <row r="1876" spans="2:17">
      <c r="B1876" s="409"/>
      <c r="H1876" s="300"/>
      <c r="K1876" s="300"/>
      <c r="Q1876" s="300"/>
    </row>
    <row r="1877" spans="2:17">
      <c r="B1877" s="409"/>
      <c r="H1877" s="300"/>
      <c r="K1877" s="300"/>
      <c r="Q1877" s="300"/>
    </row>
    <row r="1878" spans="2:17">
      <c r="B1878" s="409"/>
      <c r="H1878" s="300"/>
      <c r="K1878" s="300"/>
      <c r="Q1878" s="300"/>
    </row>
    <row r="1879" spans="2:17">
      <c r="B1879" s="409"/>
      <c r="H1879" s="300"/>
      <c r="K1879" s="300"/>
      <c r="Q1879" s="300"/>
    </row>
    <row r="1880" spans="2:17">
      <c r="B1880" s="409"/>
      <c r="H1880" s="300"/>
      <c r="K1880" s="300"/>
      <c r="Q1880" s="300"/>
    </row>
    <row r="1881" spans="2:17">
      <c r="B1881" s="409"/>
      <c r="H1881" s="300"/>
      <c r="K1881" s="300"/>
      <c r="Q1881" s="300"/>
    </row>
    <row r="1882" spans="2:17">
      <c r="B1882" s="409"/>
      <c r="H1882" s="300"/>
      <c r="K1882" s="300"/>
      <c r="Q1882" s="300"/>
    </row>
    <row r="1883" spans="2:17">
      <c r="B1883" s="409"/>
      <c r="H1883" s="300"/>
      <c r="K1883" s="300"/>
      <c r="Q1883" s="300"/>
    </row>
    <row r="1884" spans="2:17">
      <c r="B1884" s="409"/>
      <c r="H1884" s="300"/>
      <c r="K1884" s="300"/>
      <c r="Q1884" s="300"/>
    </row>
    <row r="1885" spans="2:17">
      <c r="B1885" s="409"/>
      <c r="H1885" s="300"/>
      <c r="K1885" s="300"/>
      <c r="Q1885" s="300"/>
    </row>
    <row r="1886" spans="2:17">
      <c r="B1886" s="409"/>
      <c r="H1886" s="300"/>
      <c r="K1886" s="300"/>
      <c r="Q1886" s="300"/>
    </row>
    <row r="1887" spans="2:17">
      <c r="B1887" s="409"/>
      <c r="H1887" s="300"/>
      <c r="K1887" s="300"/>
      <c r="Q1887" s="300"/>
    </row>
    <row r="1888" spans="2:17">
      <c r="B1888" s="409"/>
      <c r="H1888" s="300"/>
      <c r="K1888" s="300"/>
      <c r="Q1888" s="300"/>
    </row>
    <row r="1889" spans="2:17">
      <c r="B1889" s="409"/>
      <c r="H1889" s="300"/>
      <c r="K1889" s="300"/>
      <c r="Q1889" s="300"/>
    </row>
    <row r="1890" spans="2:17">
      <c r="B1890" s="409"/>
      <c r="H1890" s="300"/>
      <c r="K1890" s="300"/>
      <c r="Q1890" s="300"/>
    </row>
    <row r="1891" spans="2:17">
      <c r="B1891" s="409"/>
      <c r="H1891" s="300"/>
      <c r="K1891" s="300"/>
      <c r="Q1891" s="300"/>
    </row>
    <row r="1892" spans="2:17">
      <c r="B1892" s="409"/>
      <c r="H1892" s="300"/>
      <c r="K1892" s="300"/>
      <c r="Q1892" s="300"/>
    </row>
    <row r="1893" spans="2:17">
      <c r="B1893" s="409"/>
      <c r="H1893" s="300"/>
      <c r="K1893" s="300"/>
      <c r="Q1893" s="300"/>
    </row>
    <row r="1894" spans="2:17">
      <c r="B1894" s="409"/>
      <c r="H1894" s="300"/>
      <c r="K1894" s="300"/>
      <c r="Q1894" s="300"/>
    </row>
    <row r="1895" spans="2:17">
      <c r="B1895" s="409"/>
      <c r="H1895" s="300"/>
      <c r="K1895" s="300"/>
      <c r="Q1895" s="300"/>
    </row>
    <row r="1896" spans="2:17">
      <c r="B1896" s="409"/>
      <c r="H1896" s="300"/>
      <c r="K1896" s="300"/>
      <c r="Q1896" s="300"/>
    </row>
    <row r="1897" spans="2:17">
      <c r="B1897" s="409"/>
      <c r="H1897" s="300"/>
      <c r="K1897" s="300"/>
      <c r="Q1897" s="300"/>
    </row>
    <row r="1898" spans="2:17">
      <c r="B1898" s="409"/>
      <c r="H1898" s="300"/>
      <c r="K1898" s="300"/>
      <c r="Q1898" s="300"/>
    </row>
    <row r="1899" spans="2:17">
      <c r="B1899" s="409"/>
      <c r="H1899" s="300"/>
      <c r="K1899" s="300"/>
      <c r="Q1899" s="300"/>
    </row>
    <row r="1900" spans="2:17">
      <c r="B1900" s="409"/>
      <c r="H1900" s="300"/>
      <c r="K1900" s="300"/>
      <c r="Q1900" s="300"/>
    </row>
    <row r="1901" spans="2:17">
      <c r="B1901" s="409"/>
      <c r="H1901" s="300"/>
      <c r="K1901" s="300"/>
      <c r="Q1901" s="300"/>
    </row>
    <row r="1902" spans="2:17">
      <c r="B1902" s="409"/>
      <c r="H1902" s="300"/>
      <c r="K1902" s="300"/>
      <c r="Q1902" s="300"/>
    </row>
    <row r="1903" spans="2:17">
      <c r="B1903" s="409"/>
      <c r="H1903" s="300"/>
      <c r="K1903" s="300"/>
      <c r="Q1903" s="300"/>
    </row>
    <row r="1904" spans="2:17">
      <c r="B1904" s="409"/>
      <c r="H1904" s="300"/>
      <c r="K1904" s="300"/>
      <c r="Q1904" s="300"/>
    </row>
    <row r="1905" spans="2:17">
      <c r="B1905" s="409"/>
      <c r="H1905" s="300"/>
      <c r="K1905" s="300"/>
      <c r="Q1905" s="300"/>
    </row>
    <row r="1906" spans="2:17">
      <c r="B1906" s="409"/>
      <c r="H1906" s="300"/>
      <c r="K1906" s="300"/>
      <c r="Q1906" s="300"/>
    </row>
    <row r="1907" spans="2:17">
      <c r="B1907" s="409"/>
      <c r="H1907" s="300"/>
      <c r="K1907" s="300"/>
      <c r="Q1907" s="300"/>
    </row>
    <row r="1908" spans="2:17">
      <c r="B1908" s="409"/>
      <c r="H1908" s="300"/>
      <c r="K1908" s="300"/>
      <c r="Q1908" s="300"/>
    </row>
    <row r="1909" spans="2:17">
      <c r="B1909" s="409"/>
      <c r="H1909" s="300"/>
      <c r="K1909" s="300"/>
      <c r="Q1909" s="300"/>
    </row>
    <row r="1910" spans="2:17">
      <c r="B1910" s="409"/>
      <c r="H1910" s="300"/>
      <c r="K1910" s="300"/>
      <c r="Q1910" s="300"/>
    </row>
    <row r="1911" spans="2:17">
      <c r="B1911" s="409"/>
      <c r="H1911" s="300"/>
      <c r="K1911" s="300"/>
      <c r="Q1911" s="300"/>
    </row>
    <row r="1912" spans="2:17">
      <c r="B1912" s="409"/>
      <c r="H1912" s="300"/>
      <c r="K1912" s="300"/>
      <c r="Q1912" s="300"/>
    </row>
    <row r="1913" spans="2:17">
      <c r="B1913" s="409"/>
      <c r="H1913" s="300"/>
      <c r="K1913" s="300"/>
      <c r="Q1913" s="300"/>
    </row>
    <row r="1914" spans="2:17">
      <c r="B1914" s="409"/>
      <c r="H1914" s="300"/>
      <c r="K1914" s="300"/>
      <c r="Q1914" s="300"/>
    </row>
    <row r="1915" spans="2:17">
      <c r="B1915" s="409"/>
      <c r="H1915" s="300"/>
      <c r="K1915" s="300"/>
      <c r="Q1915" s="300"/>
    </row>
    <row r="1916" spans="2:17">
      <c r="B1916" s="409"/>
      <c r="H1916" s="300"/>
      <c r="K1916" s="300"/>
      <c r="Q1916" s="300"/>
    </row>
    <row r="1917" spans="2:17">
      <c r="B1917" s="409"/>
      <c r="H1917" s="300"/>
      <c r="K1917" s="300"/>
      <c r="Q1917" s="300"/>
    </row>
    <row r="1918" spans="2:17">
      <c r="B1918" s="409"/>
      <c r="H1918" s="300"/>
      <c r="K1918" s="300"/>
      <c r="Q1918" s="300"/>
    </row>
  </sheetData>
  <autoFilter ref="A7:U1839" xr:uid="{00000000-0009-0000-0000-000003000000}">
    <sortState xmlns:xlrd2="http://schemas.microsoft.com/office/spreadsheetml/2017/richdata2" ref="A8:U946">
      <sortCondition descending="1" sortBy="cellColor" ref="A9:A946" dxfId="25"/>
    </sortState>
  </autoFilter>
  <sortState xmlns:xlrd2="http://schemas.microsoft.com/office/spreadsheetml/2017/richdata2" ref="B936:C1839">
    <sortCondition ref="B936:B1839"/>
  </sortState>
  <conditionalFormatting sqref="B1854:B1868">
    <cfRule type="duplicateValues" dxfId="16" priority="1"/>
    <cfRule type="duplicateValues" dxfId="15" priority="2"/>
  </conditionalFormatting>
  <conditionalFormatting sqref="C1854:C1868">
    <cfRule type="duplicateValues" dxfId="14" priority="3"/>
    <cfRule type="duplicateValues" dxfId="13" priority="4"/>
  </conditionalFormatting>
  <pageMargins left="0.7" right="0.7" top="0.75" bottom="0.75" header="0.3" footer="0.3"/>
  <pageSetup paperSize="5" scale="4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C1929"/>
  <sheetViews>
    <sheetView zoomScale="90" zoomScaleNormal="90" workbookViewId="0">
      <selection activeCell="E3" sqref="E3"/>
    </sheetView>
  </sheetViews>
  <sheetFormatPr defaultColWidth="9.140625" defaultRowHeight="15"/>
  <cols>
    <col min="1" max="1" width="10.5703125" style="300" customWidth="1"/>
    <col min="2" max="2" width="48.85546875" style="300" customWidth="1"/>
    <col min="3" max="3" width="13.85546875" style="300" customWidth="1"/>
    <col min="4" max="4" width="13.85546875" style="234" customWidth="1"/>
    <col min="5" max="5" width="30.140625" style="300" customWidth="1"/>
    <col min="6" max="6" width="3.85546875" style="300" customWidth="1"/>
    <col min="7" max="7" width="18.28515625" style="300" customWidth="1"/>
    <col min="8" max="8" width="20" style="89" customWidth="1"/>
    <col min="9" max="9" width="16.85546875" style="300" customWidth="1"/>
    <col min="10" max="10" width="19.42578125" style="300" customWidth="1"/>
    <col min="11" max="11" width="20" style="89" customWidth="1"/>
    <col min="12" max="12" width="3.85546875" style="300" customWidth="1"/>
    <col min="13" max="14" width="18.28515625" style="300" customWidth="1"/>
    <col min="15" max="15" width="14.28515625" style="300" customWidth="1"/>
    <col min="16" max="16" width="19.42578125" style="300" customWidth="1"/>
    <col min="17" max="17" width="20" style="89" customWidth="1"/>
    <col min="18" max="18" width="3.85546875" style="300" customWidth="1"/>
    <col min="19" max="19" width="21.140625" style="300" bestFit="1" customWidth="1"/>
    <col min="20" max="20" width="22.42578125" style="300" customWidth="1"/>
    <col min="21" max="21" width="19.140625" style="300" bestFit="1" customWidth="1"/>
    <col min="22" max="22" width="13.28515625" style="300" bestFit="1" customWidth="1"/>
    <col min="23" max="23" width="17.7109375" style="300" customWidth="1"/>
    <col min="24" max="24" width="18.28515625" style="300" customWidth="1"/>
    <col min="25" max="25" width="14.85546875" style="300" customWidth="1"/>
    <col min="26" max="26" width="17.140625" style="300" customWidth="1"/>
    <col min="27" max="16384" width="9.140625" style="300"/>
  </cols>
  <sheetData>
    <row r="1" spans="1:26" ht="30">
      <c r="A1" s="300" t="s">
        <v>3720</v>
      </c>
      <c r="C1" s="370" t="s">
        <v>3717</v>
      </c>
      <c r="D1" s="382" t="s">
        <v>3730</v>
      </c>
      <c r="H1" s="300"/>
    </row>
    <row r="2" spans="1:26">
      <c r="A2" s="300" t="s">
        <v>1920</v>
      </c>
      <c r="C2" s="397">
        <v>0</v>
      </c>
      <c r="D2" s="397">
        <v>0</v>
      </c>
      <c r="E2" s="392">
        <v>0</v>
      </c>
      <c r="G2" s="392">
        <v>0</v>
      </c>
      <c r="H2" s="392">
        <v>0</v>
      </c>
      <c r="I2" s="392">
        <v>0</v>
      </c>
      <c r="J2" s="392">
        <v>0</v>
      </c>
      <c r="K2" s="392">
        <v>0</v>
      </c>
      <c r="M2" s="392">
        <v>0</v>
      </c>
      <c r="N2" s="392">
        <v>0</v>
      </c>
      <c r="O2" s="392">
        <v>0</v>
      </c>
      <c r="P2" s="392">
        <v>0</v>
      </c>
      <c r="Q2" s="392">
        <v>0</v>
      </c>
      <c r="S2" s="392">
        <v>0</v>
      </c>
      <c r="T2" s="392">
        <v>0</v>
      </c>
      <c r="U2" s="392">
        <v>0</v>
      </c>
    </row>
    <row r="3" spans="1:26" s="400" customFormat="1">
      <c r="A3" s="398"/>
      <c r="B3" s="399" t="s">
        <v>711</v>
      </c>
      <c r="C3" s="341">
        <v>1.0000000000000004</v>
      </c>
      <c r="D3" s="341">
        <v>1.0000000000000002</v>
      </c>
      <c r="E3" s="392">
        <f>SUM(E8:E920)</f>
        <v>1533595994</v>
      </c>
      <c r="F3" s="392"/>
      <c r="G3" s="392">
        <f t="shared" ref="G3:X3" si="0">SUM(G8:G920)</f>
        <v>487891992</v>
      </c>
      <c r="H3" s="392">
        <f t="shared" si="0"/>
        <v>0</v>
      </c>
      <c r="I3" s="392">
        <f t="shared" si="0"/>
        <v>963490006</v>
      </c>
      <c r="J3" s="392">
        <f t="shared" si="0"/>
        <v>64371252</v>
      </c>
      <c r="K3" s="392">
        <f t="shared" si="0"/>
        <v>1515753250</v>
      </c>
      <c r="L3" s="392">
        <f t="shared" si="0"/>
        <v>0</v>
      </c>
      <c r="M3" s="392">
        <f t="shared" si="0"/>
        <v>0</v>
      </c>
      <c r="N3" s="392">
        <f t="shared" si="0"/>
        <v>2191047994</v>
      </c>
      <c r="O3" s="392">
        <f t="shared" si="0"/>
        <v>0</v>
      </c>
      <c r="P3" s="392">
        <f t="shared" si="0"/>
        <v>64371095</v>
      </c>
      <c r="Q3" s="392">
        <f t="shared" si="0"/>
        <v>2255419089</v>
      </c>
      <c r="R3" s="392">
        <f t="shared" si="0"/>
        <v>0</v>
      </c>
      <c r="S3" s="392">
        <f t="shared" si="0"/>
        <v>661642000</v>
      </c>
      <c r="T3" s="392">
        <f t="shared" si="0"/>
        <v>106</v>
      </c>
      <c r="U3" s="392">
        <f t="shared" si="0"/>
        <v>661642106</v>
      </c>
      <c r="V3" s="392">
        <f t="shared" si="0"/>
        <v>0</v>
      </c>
      <c r="W3" s="392">
        <f t="shared" si="0"/>
        <v>5953292006</v>
      </c>
      <c r="X3" s="392">
        <f t="shared" si="0"/>
        <v>-2103576987</v>
      </c>
    </row>
    <row r="4" spans="1:26" s="400" customFormat="1" ht="15.75" thickBot="1">
      <c r="A4" s="398"/>
      <c r="B4" s="399" t="s">
        <v>3513</v>
      </c>
      <c r="C4" s="341">
        <v>1</v>
      </c>
      <c r="D4" s="341">
        <v>1</v>
      </c>
      <c r="E4" s="302">
        <v>1533595994</v>
      </c>
      <c r="F4" s="92"/>
      <c r="G4" s="385">
        <v>487891992</v>
      </c>
      <c r="H4" s="384">
        <v>0</v>
      </c>
      <c r="I4" s="385">
        <v>963490006</v>
      </c>
      <c r="J4" s="385">
        <v>64371252</v>
      </c>
      <c r="K4" s="389">
        <v>1515753250</v>
      </c>
      <c r="L4" s="386"/>
      <c r="M4" s="389">
        <v>0</v>
      </c>
      <c r="N4" s="389">
        <v>2191047994</v>
      </c>
      <c r="O4" s="389">
        <v>0</v>
      </c>
      <c r="P4" s="386">
        <v>64371095</v>
      </c>
      <c r="Q4" s="389">
        <v>2255419089</v>
      </c>
      <c r="R4" s="389"/>
      <c r="S4" s="386">
        <v>661642000</v>
      </c>
      <c r="T4" s="385">
        <v>106</v>
      </c>
      <c r="U4" s="385">
        <v>661642106</v>
      </c>
      <c r="W4" s="400">
        <v>5953292006</v>
      </c>
      <c r="X4" s="400">
        <v>-2103576987</v>
      </c>
    </row>
    <row r="5" spans="1:26" ht="15.75" thickTop="1">
      <c r="B5">
        <v>0</v>
      </c>
      <c r="C5" s="397">
        <v>0</v>
      </c>
      <c r="D5" s="397">
        <v>0</v>
      </c>
      <c r="E5" s="392"/>
      <c r="H5" s="300"/>
    </row>
    <row r="6" spans="1:26">
      <c r="G6" s="401" t="s">
        <v>2</v>
      </c>
      <c r="H6" s="401"/>
      <c r="I6" s="401"/>
      <c r="J6" s="401"/>
      <c r="K6" s="84"/>
      <c r="M6" s="401" t="s">
        <v>3</v>
      </c>
      <c r="N6" s="401"/>
      <c r="O6" s="401"/>
      <c r="P6" s="401"/>
      <c r="Q6" s="84"/>
      <c r="S6" s="401" t="s">
        <v>4</v>
      </c>
      <c r="T6" s="401"/>
      <c r="U6" s="401"/>
    </row>
    <row r="7" spans="1:26" ht="120">
      <c r="A7" s="402" t="s">
        <v>0</v>
      </c>
      <c r="B7" s="402" t="s">
        <v>1</v>
      </c>
      <c r="C7" s="402" t="s">
        <v>262</v>
      </c>
      <c r="D7" s="402" t="s">
        <v>263</v>
      </c>
      <c r="E7" s="402" t="s">
        <v>720</v>
      </c>
      <c r="F7" s="402"/>
      <c r="G7" s="402" t="s">
        <v>5</v>
      </c>
      <c r="H7" s="416" t="s">
        <v>6</v>
      </c>
      <c r="I7" s="402" t="s">
        <v>7</v>
      </c>
      <c r="J7" s="402" t="s">
        <v>8</v>
      </c>
      <c r="K7" s="402" t="s">
        <v>721</v>
      </c>
      <c r="L7" s="402"/>
      <c r="M7" s="402" t="s">
        <v>5</v>
      </c>
      <c r="N7" s="416" t="s">
        <v>3734</v>
      </c>
      <c r="O7" s="402" t="s">
        <v>7</v>
      </c>
      <c r="P7" s="402" t="s">
        <v>8</v>
      </c>
      <c r="Q7" s="402" t="s">
        <v>722</v>
      </c>
      <c r="R7" s="402"/>
      <c r="S7" s="402" t="s">
        <v>9</v>
      </c>
      <c r="T7" s="402" t="s">
        <v>10</v>
      </c>
      <c r="U7" s="402" t="s">
        <v>11</v>
      </c>
      <c r="W7" s="402" t="s">
        <v>3744</v>
      </c>
      <c r="X7" s="402" t="s">
        <v>3745</v>
      </c>
    </row>
    <row r="8" spans="1:26">
      <c r="A8" s="390">
        <v>70505</v>
      </c>
      <c r="B8" s="391" t="s">
        <v>723</v>
      </c>
      <c r="C8" s="234">
        <v>2.8729999999999999E-4</v>
      </c>
      <c r="D8" s="234">
        <v>2.9159999999999999E-4</v>
      </c>
      <c r="E8" s="231">
        <v>440602</v>
      </c>
      <c r="F8" s="231" t="s">
        <v>1924</v>
      </c>
      <c r="G8" s="392">
        <v>140171</v>
      </c>
      <c r="H8" s="392">
        <v>0</v>
      </c>
      <c r="I8" s="392">
        <v>276811</v>
      </c>
      <c r="J8" s="231">
        <v>0</v>
      </c>
      <c r="K8" s="231">
        <v>416982</v>
      </c>
      <c r="L8" s="231"/>
      <c r="M8" s="300">
        <v>0</v>
      </c>
      <c r="N8" s="300">
        <v>629488</v>
      </c>
      <c r="O8" s="300">
        <v>0</v>
      </c>
      <c r="P8" s="231">
        <v>40638</v>
      </c>
      <c r="Q8" s="231">
        <v>670126</v>
      </c>
      <c r="R8" s="231"/>
      <c r="S8" s="392">
        <v>190090</v>
      </c>
      <c r="T8" s="231">
        <v>-28247</v>
      </c>
      <c r="U8" s="396">
        <v>161843</v>
      </c>
      <c r="V8" s="231"/>
      <c r="W8" s="396">
        <v>1710381</v>
      </c>
      <c r="X8" s="396">
        <v>-604358</v>
      </c>
      <c r="Y8" s="396"/>
      <c r="Z8" s="396"/>
    </row>
    <row r="9" spans="1:26">
      <c r="A9" s="390">
        <v>72265</v>
      </c>
      <c r="B9" s="391" t="s">
        <v>724</v>
      </c>
      <c r="C9" s="234">
        <v>1.5090000000000001E-4</v>
      </c>
      <c r="D9" s="234">
        <v>1.5550000000000001E-4</v>
      </c>
      <c r="E9" s="231">
        <v>231420</v>
      </c>
      <c r="F9" s="231" t="s">
        <v>1924</v>
      </c>
      <c r="G9" s="392">
        <v>73623</v>
      </c>
      <c r="H9" s="392">
        <v>0</v>
      </c>
      <c r="I9" s="392">
        <v>145391</v>
      </c>
      <c r="J9" s="231">
        <v>18922</v>
      </c>
      <c r="K9" s="231">
        <v>237936</v>
      </c>
      <c r="L9" s="231"/>
      <c r="M9" s="300">
        <v>0</v>
      </c>
      <c r="N9" s="300">
        <v>330629</v>
      </c>
      <c r="O9" s="300">
        <v>0</v>
      </c>
      <c r="P9" s="231">
        <v>2881</v>
      </c>
      <c r="Q9" s="231">
        <v>333510</v>
      </c>
      <c r="R9" s="231"/>
      <c r="S9" s="392">
        <v>99842</v>
      </c>
      <c r="T9" s="231">
        <v>8764</v>
      </c>
      <c r="U9" s="396">
        <v>108606</v>
      </c>
      <c r="V9" s="231"/>
      <c r="W9" s="396">
        <v>898352</v>
      </c>
      <c r="X9" s="396">
        <v>-317430</v>
      </c>
      <c r="Y9" s="396"/>
      <c r="Z9" s="396"/>
    </row>
    <row r="10" spans="1:26">
      <c r="A10" s="393">
        <v>72593</v>
      </c>
      <c r="B10" s="394" t="s">
        <v>725</v>
      </c>
      <c r="C10" s="234">
        <v>6.7000000000000002E-6</v>
      </c>
      <c r="D10" s="234">
        <v>6.7000000000000002E-6</v>
      </c>
      <c r="E10" s="231">
        <v>10275</v>
      </c>
      <c r="F10" s="231" t="s">
        <v>1924</v>
      </c>
      <c r="G10" s="392">
        <v>3269</v>
      </c>
      <c r="H10" s="392">
        <v>0</v>
      </c>
      <c r="I10" s="392">
        <v>6455</v>
      </c>
      <c r="J10" s="231">
        <v>109</v>
      </c>
      <c r="K10" s="231">
        <v>9833</v>
      </c>
      <c r="L10" s="231"/>
      <c r="M10" s="300">
        <v>0</v>
      </c>
      <c r="N10" s="300">
        <v>14680</v>
      </c>
      <c r="O10" s="300">
        <v>0</v>
      </c>
      <c r="P10" s="231">
        <v>1289</v>
      </c>
      <c r="Q10" s="231">
        <v>15969</v>
      </c>
      <c r="R10" s="231"/>
      <c r="S10" s="392">
        <v>4433</v>
      </c>
      <c r="T10" s="231">
        <v>247</v>
      </c>
      <c r="U10" s="396">
        <v>4680</v>
      </c>
      <c r="V10" s="231"/>
      <c r="W10" s="396">
        <v>39887</v>
      </c>
      <c r="X10" s="396">
        <v>-14094</v>
      </c>
      <c r="Y10" s="396"/>
      <c r="Z10" s="396"/>
    </row>
    <row r="11" spans="1:26">
      <c r="A11" s="390">
        <v>72657</v>
      </c>
      <c r="B11" s="391" t="s">
        <v>726</v>
      </c>
      <c r="C11" s="234">
        <v>3.0800000000000003E-5</v>
      </c>
      <c r="D11" s="234">
        <v>3.8000000000000002E-5</v>
      </c>
      <c r="E11" s="231">
        <v>47235</v>
      </c>
      <c r="F11" s="231" t="s">
        <v>1924</v>
      </c>
      <c r="G11" s="392">
        <v>15027</v>
      </c>
      <c r="H11" s="392">
        <v>0</v>
      </c>
      <c r="I11" s="392">
        <v>29675</v>
      </c>
      <c r="J11" s="231">
        <v>0</v>
      </c>
      <c r="K11" s="231">
        <v>44702</v>
      </c>
      <c r="L11" s="231"/>
      <c r="M11" s="300">
        <v>0</v>
      </c>
      <c r="N11" s="300">
        <v>67484</v>
      </c>
      <c r="O11" s="300">
        <v>0</v>
      </c>
      <c r="P11" s="231">
        <v>16162</v>
      </c>
      <c r="Q11" s="231">
        <v>83646</v>
      </c>
      <c r="R11" s="231"/>
      <c r="S11" s="392">
        <v>20379</v>
      </c>
      <c r="T11" s="231">
        <v>-7007</v>
      </c>
      <c r="U11" s="396">
        <v>13372</v>
      </c>
      <c r="V11" s="231"/>
      <c r="W11" s="396">
        <v>183361</v>
      </c>
      <c r="X11" s="396">
        <v>-64790</v>
      </c>
      <c r="Y11" s="396"/>
      <c r="Z11" s="396"/>
    </row>
    <row r="12" spans="1:26">
      <c r="A12" s="390">
        <v>90001</v>
      </c>
      <c r="B12" s="391" t="s">
        <v>727</v>
      </c>
      <c r="C12" s="234">
        <v>1.0636E-3</v>
      </c>
      <c r="D12" s="234">
        <v>8.8630000000000002E-4</v>
      </c>
      <c r="E12" s="231">
        <v>1631133</v>
      </c>
      <c r="F12" s="231" t="s">
        <v>1924</v>
      </c>
      <c r="G12" s="392">
        <v>518922</v>
      </c>
      <c r="H12" s="392">
        <v>0</v>
      </c>
      <c r="I12" s="392">
        <v>1024768</v>
      </c>
      <c r="J12" s="231">
        <v>359992</v>
      </c>
      <c r="K12" s="231">
        <v>1903682</v>
      </c>
      <c r="L12" s="231"/>
      <c r="M12" s="300">
        <v>0</v>
      </c>
      <c r="N12" s="300">
        <v>2330399</v>
      </c>
      <c r="O12" s="300">
        <v>0</v>
      </c>
      <c r="P12" s="231">
        <v>0</v>
      </c>
      <c r="Q12" s="231">
        <v>2330399</v>
      </c>
      <c r="R12" s="231"/>
      <c r="S12" s="392">
        <v>703722</v>
      </c>
      <c r="T12" s="231">
        <v>122539</v>
      </c>
      <c r="U12" s="396">
        <v>826261</v>
      </c>
      <c r="V12" s="231"/>
      <c r="W12" s="396">
        <v>6331921</v>
      </c>
      <c r="X12" s="396">
        <v>-2237364</v>
      </c>
      <c r="Y12" s="396"/>
      <c r="Z12" s="396"/>
    </row>
    <row r="13" spans="1:26">
      <c r="A13" s="390">
        <v>90002</v>
      </c>
      <c r="B13" s="391" t="s">
        <v>728</v>
      </c>
      <c r="C13" s="234">
        <v>6.9E-6</v>
      </c>
      <c r="D13" s="234">
        <v>7.7999999999999999E-6</v>
      </c>
      <c r="E13" s="231">
        <v>10582</v>
      </c>
      <c r="F13" s="231" t="s">
        <v>1924</v>
      </c>
      <c r="G13" s="392">
        <v>3366</v>
      </c>
      <c r="H13" s="392">
        <v>0</v>
      </c>
      <c r="I13" s="392">
        <v>6648</v>
      </c>
      <c r="J13" s="231">
        <v>3011</v>
      </c>
      <c r="K13" s="231">
        <v>13025</v>
      </c>
      <c r="L13" s="231"/>
      <c r="M13" s="300">
        <v>0</v>
      </c>
      <c r="N13" s="300">
        <v>15118</v>
      </c>
      <c r="O13" s="300">
        <v>0</v>
      </c>
      <c r="P13" s="231">
        <v>0</v>
      </c>
      <c r="Q13" s="231">
        <v>15118</v>
      </c>
      <c r="R13" s="231"/>
      <c r="S13" s="392">
        <v>4565</v>
      </c>
      <c r="T13" s="231">
        <v>1490</v>
      </c>
      <c r="U13" s="396">
        <v>6055</v>
      </c>
      <c r="V13" s="231"/>
      <c r="W13" s="396">
        <v>41078</v>
      </c>
      <c r="X13" s="396">
        <v>-14515</v>
      </c>
      <c r="Y13" s="396"/>
      <c r="Z13" s="396"/>
    </row>
    <row r="14" spans="1:26">
      <c r="A14" s="390">
        <v>90011</v>
      </c>
      <c r="B14" s="391" t="s">
        <v>729</v>
      </c>
      <c r="C14" s="234">
        <v>1.7770000000000001E-4</v>
      </c>
      <c r="D14" s="234">
        <v>1.6799999999999999E-4</v>
      </c>
      <c r="E14" s="231">
        <v>272520</v>
      </c>
      <c r="F14" s="231" t="s">
        <v>1924</v>
      </c>
      <c r="G14" s="392">
        <v>86698</v>
      </c>
      <c r="H14" s="392">
        <v>0</v>
      </c>
      <c r="I14" s="392">
        <v>171212</v>
      </c>
      <c r="J14" s="231">
        <v>25560</v>
      </c>
      <c r="K14" s="231">
        <v>283470</v>
      </c>
      <c r="L14" s="231"/>
      <c r="M14" s="300">
        <v>0</v>
      </c>
      <c r="N14" s="300">
        <v>389349</v>
      </c>
      <c r="O14" s="300">
        <v>0</v>
      </c>
      <c r="P14" s="231">
        <v>12209</v>
      </c>
      <c r="Q14" s="231">
        <v>401558</v>
      </c>
      <c r="R14" s="231"/>
      <c r="S14" s="392">
        <v>117574</v>
      </c>
      <c r="T14" s="231">
        <v>-1623</v>
      </c>
      <c r="U14" s="396">
        <v>115951</v>
      </c>
      <c r="V14" s="231"/>
      <c r="W14" s="396">
        <v>1057900</v>
      </c>
      <c r="X14" s="396">
        <v>-373806</v>
      </c>
      <c r="Y14" s="396"/>
      <c r="Z14" s="396"/>
    </row>
    <row r="15" spans="1:26">
      <c r="A15" s="390">
        <v>90092</v>
      </c>
      <c r="B15" s="391" t="s">
        <v>730</v>
      </c>
      <c r="C15" s="234">
        <v>3.882E-4</v>
      </c>
      <c r="D15" s="234">
        <v>4.2119999999999999E-4</v>
      </c>
      <c r="E15" s="231">
        <v>595342</v>
      </c>
      <c r="F15" s="231" t="s">
        <v>1924</v>
      </c>
      <c r="G15" s="392">
        <v>189400</v>
      </c>
      <c r="H15" s="392">
        <v>0</v>
      </c>
      <c r="I15" s="392">
        <v>374027</v>
      </c>
      <c r="J15" s="231">
        <v>48640</v>
      </c>
      <c r="K15" s="231">
        <v>612067</v>
      </c>
      <c r="L15" s="231"/>
      <c r="M15" s="300">
        <v>0</v>
      </c>
      <c r="N15" s="300">
        <v>850565</v>
      </c>
      <c r="O15" s="300">
        <v>0</v>
      </c>
      <c r="P15" s="231">
        <v>52042</v>
      </c>
      <c r="Q15" s="231">
        <v>902607</v>
      </c>
      <c r="R15" s="231"/>
      <c r="S15" s="392">
        <v>256849</v>
      </c>
      <c r="T15" s="231">
        <v>6791</v>
      </c>
      <c r="U15" s="396">
        <v>263640</v>
      </c>
      <c r="V15" s="231"/>
      <c r="W15" s="396">
        <v>2311068</v>
      </c>
      <c r="X15" s="396">
        <v>-816609</v>
      </c>
      <c r="Y15" s="396"/>
      <c r="Z15" s="396"/>
    </row>
    <row r="16" spans="1:26">
      <c r="A16" s="390">
        <v>90096</v>
      </c>
      <c r="B16" s="391" t="s">
        <v>731</v>
      </c>
      <c r="C16" s="234">
        <v>9.4720000000000004E-4</v>
      </c>
      <c r="D16" s="234">
        <v>9.6089999999999999E-4</v>
      </c>
      <c r="E16" s="231">
        <v>1452622</v>
      </c>
      <c r="F16" s="231" t="s">
        <v>1924</v>
      </c>
      <c r="G16" s="392">
        <v>462131</v>
      </c>
      <c r="H16" s="392">
        <v>0</v>
      </c>
      <c r="I16" s="392">
        <v>912618</v>
      </c>
      <c r="J16" s="231">
        <v>228274</v>
      </c>
      <c r="K16" s="231">
        <v>1603023</v>
      </c>
      <c r="L16" s="231"/>
      <c r="M16" s="300">
        <v>0</v>
      </c>
      <c r="N16" s="300">
        <v>2075361</v>
      </c>
      <c r="O16" s="300">
        <v>0</v>
      </c>
      <c r="P16" s="231">
        <v>0</v>
      </c>
      <c r="Q16" s="231">
        <v>2075361</v>
      </c>
      <c r="R16" s="231"/>
      <c r="S16" s="392">
        <v>626707</v>
      </c>
      <c r="T16" s="231">
        <v>49567</v>
      </c>
      <c r="U16" s="396">
        <v>676274</v>
      </c>
      <c r="V16" s="231"/>
      <c r="W16" s="396">
        <v>5638958</v>
      </c>
      <c r="X16" s="396">
        <v>-1992508</v>
      </c>
      <c r="Y16" s="396"/>
      <c r="Z16" s="396"/>
    </row>
    <row r="17" spans="1:26">
      <c r="A17" s="390">
        <v>90098</v>
      </c>
      <c r="B17" s="391" t="s">
        <v>732</v>
      </c>
      <c r="C17" s="234">
        <v>2.4110000000000001E-4</v>
      </c>
      <c r="D17" s="234">
        <v>2.5950000000000002E-4</v>
      </c>
      <c r="E17" s="231">
        <v>369750</v>
      </c>
      <c r="F17" s="231" t="s">
        <v>1924</v>
      </c>
      <c r="G17" s="392">
        <v>117631</v>
      </c>
      <c r="H17" s="392">
        <v>0</v>
      </c>
      <c r="I17" s="392">
        <v>232297</v>
      </c>
      <c r="J17" s="231">
        <v>14684</v>
      </c>
      <c r="K17" s="231">
        <v>364612</v>
      </c>
      <c r="L17" s="231"/>
      <c r="M17" s="300">
        <v>0</v>
      </c>
      <c r="N17" s="300">
        <v>528262</v>
      </c>
      <c r="O17" s="300">
        <v>0</v>
      </c>
      <c r="P17" s="231">
        <v>45389</v>
      </c>
      <c r="Q17" s="231">
        <v>573651</v>
      </c>
      <c r="R17" s="231"/>
      <c r="S17" s="392">
        <v>159522</v>
      </c>
      <c r="T17" s="231">
        <v>-8257</v>
      </c>
      <c r="U17" s="396">
        <v>151265</v>
      </c>
      <c r="V17" s="231"/>
      <c r="W17" s="396">
        <v>1435339</v>
      </c>
      <c r="X17" s="396">
        <v>-507172</v>
      </c>
      <c r="Y17" s="396"/>
      <c r="Z17" s="396"/>
    </row>
    <row r="18" spans="1:26">
      <c r="A18" s="390">
        <v>90099</v>
      </c>
      <c r="B18" s="391" t="s">
        <v>733</v>
      </c>
      <c r="C18" s="234">
        <v>7.6309999999999995E-4</v>
      </c>
      <c r="D18" s="234">
        <v>6.7920000000000003E-4</v>
      </c>
      <c r="E18" s="231">
        <v>1170287</v>
      </c>
      <c r="F18" s="231" t="s">
        <v>1924</v>
      </c>
      <c r="G18" s="392">
        <v>372310</v>
      </c>
      <c r="H18" s="392">
        <v>0</v>
      </c>
      <c r="I18" s="392">
        <v>735239</v>
      </c>
      <c r="J18" s="231">
        <v>110770</v>
      </c>
      <c r="K18" s="231">
        <v>1218319</v>
      </c>
      <c r="L18" s="231"/>
      <c r="M18" s="300">
        <v>0</v>
      </c>
      <c r="N18" s="300">
        <v>1671989</v>
      </c>
      <c r="O18" s="300">
        <v>0</v>
      </c>
      <c r="P18" s="231">
        <v>38029</v>
      </c>
      <c r="Q18" s="231">
        <v>1710018</v>
      </c>
      <c r="R18" s="231"/>
      <c r="S18" s="392">
        <v>504899</v>
      </c>
      <c r="T18" s="231">
        <v>39239</v>
      </c>
      <c r="U18" s="396">
        <v>544138</v>
      </c>
      <c r="V18" s="231"/>
      <c r="W18" s="396">
        <v>4542957</v>
      </c>
      <c r="X18" s="396">
        <v>-1605240</v>
      </c>
      <c r="Y18" s="396"/>
      <c r="Z18" s="396"/>
    </row>
    <row r="19" spans="1:26">
      <c r="A19" s="390">
        <v>90101</v>
      </c>
      <c r="B19" s="391" t="s">
        <v>734</v>
      </c>
      <c r="C19" s="234">
        <v>6.2402999999999998E-3</v>
      </c>
      <c r="D19" s="234">
        <v>6.2649999999999997E-3</v>
      </c>
      <c r="E19" s="231">
        <v>9570099</v>
      </c>
      <c r="F19" s="231" t="s">
        <v>1924</v>
      </c>
      <c r="G19" s="392">
        <v>3044592</v>
      </c>
      <c r="H19" s="392">
        <v>0</v>
      </c>
      <c r="I19" s="392">
        <v>6012467</v>
      </c>
      <c r="J19" s="231">
        <v>45239</v>
      </c>
      <c r="K19" s="231">
        <v>9102298</v>
      </c>
      <c r="L19" s="231"/>
      <c r="M19" s="300">
        <v>0</v>
      </c>
      <c r="N19" s="300">
        <v>13672797</v>
      </c>
      <c r="O19" s="300">
        <v>0</v>
      </c>
      <c r="P19" s="231">
        <v>224982</v>
      </c>
      <c r="Q19" s="231">
        <v>13897779</v>
      </c>
      <c r="R19" s="231"/>
      <c r="S19" s="392">
        <v>4128845</v>
      </c>
      <c r="T19" s="231">
        <v>-73020</v>
      </c>
      <c r="U19" s="396">
        <v>4055825</v>
      </c>
      <c r="V19" s="231"/>
      <c r="W19" s="396">
        <v>37150328</v>
      </c>
      <c r="X19" s="396">
        <v>-13126952</v>
      </c>
      <c r="Y19" s="396"/>
      <c r="Z19" s="396"/>
    </row>
    <row r="20" spans="1:26">
      <c r="A20" s="390">
        <v>90111</v>
      </c>
      <c r="B20" s="391" t="s">
        <v>735</v>
      </c>
      <c r="C20" s="234">
        <v>4.7771000000000003E-3</v>
      </c>
      <c r="D20" s="234">
        <v>4.9195999999999997E-3</v>
      </c>
      <c r="E20" s="231">
        <v>7326141</v>
      </c>
      <c r="F20" s="231" t="s">
        <v>1924</v>
      </c>
      <c r="G20" s="392">
        <v>2330709</v>
      </c>
      <c r="H20" s="392">
        <v>0</v>
      </c>
      <c r="I20" s="392">
        <v>4602688</v>
      </c>
      <c r="J20" s="231">
        <v>1750</v>
      </c>
      <c r="K20" s="231">
        <v>6935147</v>
      </c>
      <c r="L20" s="231"/>
      <c r="M20" s="300">
        <v>0</v>
      </c>
      <c r="N20" s="300">
        <v>10466855</v>
      </c>
      <c r="O20" s="300">
        <v>0</v>
      </c>
      <c r="P20" s="231">
        <v>527792</v>
      </c>
      <c r="Q20" s="231">
        <v>10994647</v>
      </c>
      <c r="R20" s="231"/>
      <c r="S20" s="392">
        <v>3160730</v>
      </c>
      <c r="T20" s="231">
        <v>-195940</v>
      </c>
      <c r="U20" s="396">
        <v>2964790</v>
      </c>
      <c r="V20" s="231"/>
      <c r="W20" s="396">
        <v>28439471</v>
      </c>
      <c r="X20" s="396">
        <v>-10048998</v>
      </c>
      <c r="Y20" s="396"/>
      <c r="Z20" s="396"/>
    </row>
    <row r="21" spans="1:26">
      <c r="A21" s="390">
        <v>90114</v>
      </c>
      <c r="B21" s="391" t="s">
        <v>736</v>
      </c>
      <c r="C21" s="234">
        <v>1.1787E-3</v>
      </c>
      <c r="D21" s="234">
        <v>1.1237E-3</v>
      </c>
      <c r="E21" s="231">
        <v>1807650</v>
      </c>
      <c r="F21" s="231" t="s">
        <v>1924</v>
      </c>
      <c r="G21" s="392">
        <v>575078</v>
      </c>
      <c r="H21" s="392">
        <v>0</v>
      </c>
      <c r="I21" s="392">
        <v>1135666</v>
      </c>
      <c r="J21" s="231">
        <v>1128407</v>
      </c>
      <c r="K21" s="231">
        <v>2839151</v>
      </c>
      <c r="L21" s="231"/>
      <c r="M21" s="300">
        <v>0</v>
      </c>
      <c r="N21" s="300">
        <v>2582588</v>
      </c>
      <c r="O21" s="300">
        <v>0</v>
      </c>
      <c r="P21" s="231">
        <v>123</v>
      </c>
      <c r="Q21" s="231">
        <v>2582711</v>
      </c>
      <c r="R21" s="231"/>
      <c r="S21" s="392">
        <v>779877</v>
      </c>
      <c r="T21" s="231">
        <v>641527</v>
      </c>
      <c r="U21" s="396">
        <v>1421404</v>
      </c>
      <c r="V21" s="231"/>
      <c r="W21" s="396">
        <v>7017145</v>
      </c>
      <c r="X21" s="396">
        <v>-2479486</v>
      </c>
      <c r="Y21" s="396"/>
      <c r="Z21" s="396"/>
    </row>
    <row r="22" spans="1:26">
      <c r="A22" s="390">
        <v>90117</v>
      </c>
      <c r="B22" s="391" t="s">
        <v>737</v>
      </c>
      <c r="C22" s="234">
        <v>1.5009999999999999E-4</v>
      </c>
      <c r="D22" s="234">
        <v>1.3799999999999999E-4</v>
      </c>
      <c r="E22" s="231">
        <v>230193</v>
      </c>
      <c r="F22" s="231" t="s">
        <v>1924</v>
      </c>
      <c r="G22" s="392">
        <v>73233</v>
      </c>
      <c r="H22" s="392">
        <v>0</v>
      </c>
      <c r="I22" s="392">
        <v>144620</v>
      </c>
      <c r="J22" s="231">
        <v>62386</v>
      </c>
      <c r="K22" s="231">
        <v>280239</v>
      </c>
      <c r="L22" s="231"/>
      <c r="M22" s="300">
        <v>0</v>
      </c>
      <c r="N22" s="300">
        <v>328876</v>
      </c>
      <c r="O22" s="300">
        <v>0</v>
      </c>
      <c r="P22" s="231">
        <v>0</v>
      </c>
      <c r="Q22" s="231">
        <v>328876</v>
      </c>
      <c r="R22" s="231"/>
      <c r="S22" s="392">
        <v>99312</v>
      </c>
      <c r="T22" s="231">
        <v>31441</v>
      </c>
      <c r="U22" s="396">
        <v>130753</v>
      </c>
      <c r="V22" s="231"/>
      <c r="W22" s="396">
        <v>893589</v>
      </c>
      <c r="X22" s="396">
        <v>-315747</v>
      </c>
      <c r="Y22" s="396"/>
      <c r="Z22" s="396"/>
    </row>
    <row r="23" spans="1:26">
      <c r="A23" s="390">
        <v>90121</v>
      </c>
      <c r="B23" s="391" t="s">
        <v>738</v>
      </c>
      <c r="C23" s="234">
        <v>1.016E-3</v>
      </c>
      <c r="D23" s="234">
        <v>1.0861E-3</v>
      </c>
      <c r="E23" s="231">
        <v>1558134</v>
      </c>
      <c r="F23" s="231" t="s">
        <v>1924</v>
      </c>
      <c r="G23" s="392">
        <v>495698</v>
      </c>
      <c r="H23" s="392">
        <v>0</v>
      </c>
      <c r="I23" s="392">
        <v>978906</v>
      </c>
      <c r="J23" s="231">
        <v>0</v>
      </c>
      <c r="K23" s="231">
        <v>1474604</v>
      </c>
      <c r="L23" s="231"/>
      <c r="M23" s="300">
        <v>0</v>
      </c>
      <c r="N23" s="300">
        <v>2226105</v>
      </c>
      <c r="O23" s="300">
        <v>0</v>
      </c>
      <c r="P23" s="231">
        <v>196504</v>
      </c>
      <c r="Q23" s="231">
        <v>2422609</v>
      </c>
      <c r="R23" s="231"/>
      <c r="S23" s="392">
        <v>672228</v>
      </c>
      <c r="T23" s="231">
        <v>-91718</v>
      </c>
      <c r="U23" s="396">
        <v>580510</v>
      </c>
      <c r="V23" s="231"/>
      <c r="W23" s="396">
        <v>6048545</v>
      </c>
      <c r="X23" s="396">
        <v>-2137234</v>
      </c>
      <c r="Y23" s="396"/>
      <c r="Z23" s="396"/>
    </row>
    <row r="24" spans="1:26">
      <c r="A24" s="390">
        <v>90131</v>
      </c>
      <c r="B24" s="391" t="s">
        <v>739</v>
      </c>
      <c r="C24" s="234">
        <v>4.8430000000000001E-4</v>
      </c>
      <c r="D24" s="234">
        <v>4.9819999999999997E-4</v>
      </c>
      <c r="E24" s="231">
        <v>742721</v>
      </c>
      <c r="F24" s="231" t="s">
        <v>1924</v>
      </c>
      <c r="G24" s="392">
        <v>236286</v>
      </c>
      <c r="H24" s="392">
        <v>0</v>
      </c>
      <c r="I24" s="392">
        <v>466618</v>
      </c>
      <c r="J24" s="231">
        <v>2313</v>
      </c>
      <c r="K24" s="231">
        <v>705217</v>
      </c>
      <c r="L24" s="231"/>
      <c r="M24" s="300">
        <v>0</v>
      </c>
      <c r="N24" s="300">
        <v>1061125</v>
      </c>
      <c r="O24" s="300">
        <v>0</v>
      </c>
      <c r="P24" s="231">
        <v>26681</v>
      </c>
      <c r="Q24" s="231">
        <v>1087806</v>
      </c>
      <c r="R24" s="231"/>
      <c r="S24" s="392">
        <v>320433</v>
      </c>
      <c r="T24" s="231">
        <v>-16422</v>
      </c>
      <c r="U24" s="396">
        <v>304011</v>
      </c>
      <c r="V24" s="231"/>
      <c r="W24" s="396">
        <v>2883179</v>
      </c>
      <c r="X24" s="396">
        <v>-1018762</v>
      </c>
      <c r="Y24" s="396"/>
      <c r="Z24" s="396"/>
    </row>
    <row r="25" spans="1:26">
      <c r="A25" s="390">
        <v>90141</v>
      </c>
      <c r="B25" s="391" t="s">
        <v>740</v>
      </c>
      <c r="C25" s="234">
        <v>1.54E-4</v>
      </c>
      <c r="D25" s="234">
        <v>1.6770000000000001E-4</v>
      </c>
      <c r="E25" s="231">
        <v>236174</v>
      </c>
      <c r="F25" s="231" t="s">
        <v>1924</v>
      </c>
      <c r="G25" s="392">
        <v>75135</v>
      </c>
      <c r="H25" s="392">
        <v>0</v>
      </c>
      <c r="I25" s="392">
        <v>148377</v>
      </c>
      <c r="J25" s="231">
        <v>13391</v>
      </c>
      <c r="K25" s="231">
        <v>236903</v>
      </c>
      <c r="L25" s="231"/>
      <c r="M25" s="300">
        <v>0</v>
      </c>
      <c r="N25" s="300">
        <v>337421</v>
      </c>
      <c r="O25" s="300">
        <v>0</v>
      </c>
      <c r="P25" s="231">
        <v>33382</v>
      </c>
      <c r="Q25" s="231">
        <v>370803</v>
      </c>
      <c r="R25" s="231"/>
      <c r="S25" s="392">
        <v>101893</v>
      </c>
      <c r="T25" s="231">
        <v>-3052</v>
      </c>
      <c r="U25" s="396">
        <v>98841</v>
      </c>
      <c r="V25" s="231"/>
      <c r="W25" s="396">
        <v>916807</v>
      </c>
      <c r="X25" s="396">
        <v>-323951</v>
      </c>
      <c r="Y25" s="396"/>
      <c r="Z25" s="396"/>
    </row>
    <row r="26" spans="1:26">
      <c r="A26" s="390">
        <v>90151</v>
      </c>
      <c r="B26" s="391" t="s">
        <v>741</v>
      </c>
      <c r="C26" s="234">
        <v>8.3999999999999992E-6</v>
      </c>
      <c r="D26" s="234">
        <v>8.8999999999999995E-6</v>
      </c>
      <c r="E26" s="231">
        <v>12882</v>
      </c>
      <c r="F26" s="231" t="s">
        <v>1924</v>
      </c>
      <c r="G26" s="392">
        <v>4098</v>
      </c>
      <c r="H26" s="392">
        <v>0</v>
      </c>
      <c r="I26" s="392">
        <v>8093</v>
      </c>
      <c r="J26" s="231">
        <v>0</v>
      </c>
      <c r="K26" s="231">
        <v>12191</v>
      </c>
      <c r="L26" s="231"/>
      <c r="M26" s="300">
        <v>0</v>
      </c>
      <c r="N26" s="300">
        <v>18405</v>
      </c>
      <c r="O26" s="300">
        <v>0</v>
      </c>
      <c r="P26" s="231">
        <v>4065</v>
      </c>
      <c r="Q26" s="231">
        <v>22470</v>
      </c>
      <c r="R26" s="231"/>
      <c r="S26" s="392">
        <v>5558</v>
      </c>
      <c r="T26" s="231">
        <v>-2182</v>
      </c>
      <c r="U26" s="396">
        <v>3376</v>
      </c>
      <c r="V26" s="231"/>
      <c r="W26" s="396">
        <v>50008</v>
      </c>
      <c r="X26" s="396">
        <v>-17670</v>
      </c>
      <c r="Y26" s="396"/>
      <c r="Z26" s="396"/>
    </row>
    <row r="27" spans="1:26">
      <c r="A27" s="390">
        <v>90161</v>
      </c>
      <c r="B27" s="391" t="s">
        <v>742</v>
      </c>
      <c r="C27" s="234">
        <v>2.26E-5</v>
      </c>
      <c r="D27" s="234">
        <v>2.73E-5</v>
      </c>
      <c r="E27" s="231">
        <v>34659</v>
      </c>
      <c r="F27" s="231" t="s">
        <v>1924</v>
      </c>
      <c r="G27" s="392">
        <v>11026</v>
      </c>
      <c r="H27" s="392">
        <v>0</v>
      </c>
      <c r="I27" s="392">
        <v>21775</v>
      </c>
      <c r="J27" s="231">
        <v>666</v>
      </c>
      <c r="K27" s="231">
        <v>33467</v>
      </c>
      <c r="L27" s="231"/>
      <c r="M27" s="300">
        <v>0</v>
      </c>
      <c r="N27" s="300">
        <v>49518</v>
      </c>
      <c r="O27" s="300">
        <v>0</v>
      </c>
      <c r="P27" s="231">
        <v>18097</v>
      </c>
      <c r="Q27" s="231">
        <v>67615</v>
      </c>
      <c r="R27" s="231"/>
      <c r="S27" s="392">
        <v>14953</v>
      </c>
      <c r="T27" s="231">
        <v>-7175</v>
      </c>
      <c r="U27" s="396">
        <v>7778</v>
      </c>
      <c r="V27" s="231"/>
      <c r="W27" s="396">
        <v>134544</v>
      </c>
      <c r="X27" s="396">
        <v>-47541</v>
      </c>
      <c r="Y27" s="396"/>
      <c r="Z27" s="396"/>
    </row>
    <row r="28" spans="1:26">
      <c r="A28" s="390">
        <v>90201</v>
      </c>
      <c r="B28" s="391" t="s">
        <v>743</v>
      </c>
      <c r="C28" s="234">
        <v>1.3133000000000001E-3</v>
      </c>
      <c r="D28" s="234">
        <v>1.3292E-3</v>
      </c>
      <c r="E28" s="231">
        <v>2014072</v>
      </c>
      <c r="F28" s="231" t="s">
        <v>1924</v>
      </c>
      <c r="G28" s="392">
        <v>640749</v>
      </c>
      <c r="H28" s="392">
        <v>0</v>
      </c>
      <c r="I28" s="392">
        <v>1265351</v>
      </c>
      <c r="J28" s="231">
        <v>76376</v>
      </c>
      <c r="K28" s="231">
        <v>1982476</v>
      </c>
      <c r="L28" s="231"/>
      <c r="M28" s="300">
        <v>0</v>
      </c>
      <c r="N28" s="300">
        <v>2877503</v>
      </c>
      <c r="O28" s="300">
        <v>0</v>
      </c>
      <c r="P28" s="231">
        <v>80484</v>
      </c>
      <c r="Q28" s="231">
        <v>2957987</v>
      </c>
      <c r="R28" s="231"/>
      <c r="S28" s="392">
        <v>868934</v>
      </c>
      <c r="T28" s="231">
        <v>-1943</v>
      </c>
      <c r="U28" s="396">
        <v>866991</v>
      </c>
      <c r="V28" s="231"/>
      <c r="W28" s="396">
        <v>7818458</v>
      </c>
      <c r="X28" s="396">
        <v>-2762628</v>
      </c>
      <c r="Y28" s="396"/>
      <c r="Z28" s="396"/>
    </row>
    <row r="29" spans="1:26">
      <c r="A29" s="390">
        <v>90203</v>
      </c>
      <c r="B29" s="391" t="s">
        <v>744</v>
      </c>
      <c r="C29" s="234">
        <v>1.8679999999999999E-4</v>
      </c>
      <c r="D29" s="234">
        <v>1.8110000000000001E-4</v>
      </c>
      <c r="E29" s="231">
        <v>286476</v>
      </c>
      <c r="F29" s="231" t="s">
        <v>1924</v>
      </c>
      <c r="G29" s="392">
        <v>91138</v>
      </c>
      <c r="H29" s="392">
        <v>0</v>
      </c>
      <c r="I29" s="392">
        <v>179980</v>
      </c>
      <c r="J29" s="231">
        <v>14644</v>
      </c>
      <c r="K29" s="231">
        <v>285762</v>
      </c>
      <c r="L29" s="231"/>
      <c r="M29" s="300">
        <v>0</v>
      </c>
      <c r="N29" s="300">
        <v>409288</v>
      </c>
      <c r="O29" s="300">
        <v>0</v>
      </c>
      <c r="P29" s="231">
        <v>12473</v>
      </c>
      <c r="Q29" s="231">
        <v>421761</v>
      </c>
      <c r="R29" s="231"/>
      <c r="S29" s="392">
        <v>123595</v>
      </c>
      <c r="T29" s="231">
        <v>-6957</v>
      </c>
      <c r="U29" s="396">
        <v>116638</v>
      </c>
      <c r="V29" s="231"/>
      <c r="W29" s="396">
        <v>1112075</v>
      </c>
      <c r="X29" s="396">
        <v>-392948</v>
      </c>
      <c r="Y29" s="396"/>
      <c r="Z29" s="396"/>
    </row>
    <row r="30" spans="1:26">
      <c r="A30" s="390">
        <v>90205</v>
      </c>
      <c r="B30" s="391" t="s">
        <v>745</v>
      </c>
      <c r="C30" s="234">
        <v>3.3800000000000002E-5</v>
      </c>
      <c r="D30" s="234">
        <v>3.0199999999999999E-5</v>
      </c>
      <c r="E30" s="231">
        <v>51836</v>
      </c>
      <c r="F30" s="231" t="s">
        <v>1924</v>
      </c>
      <c r="G30" s="392">
        <v>16491</v>
      </c>
      <c r="H30" s="392">
        <v>0</v>
      </c>
      <c r="I30" s="392">
        <v>32566</v>
      </c>
      <c r="J30" s="231">
        <v>5023</v>
      </c>
      <c r="K30" s="231">
        <v>54080</v>
      </c>
      <c r="L30" s="231"/>
      <c r="M30" s="300">
        <v>0</v>
      </c>
      <c r="N30" s="300">
        <v>74057</v>
      </c>
      <c r="O30" s="300">
        <v>0</v>
      </c>
      <c r="P30" s="231">
        <v>282</v>
      </c>
      <c r="Q30" s="231">
        <v>74339</v>
      </c>
      <c r="R30" s="231"/>
      <c r="S30" s="392">
        <v>22363</v>
      </c>
      <c r="T30" s="231">
        <v>1504</v>
      </c>
      <c r="U30" s="396">
        <v>23867</v>
      </c>
      <c r="V30" s="231"/>
      <c r="W30" s="396">
        <v>201221</v>
      </c>
      <c r="X30" s="396">
        <v>-71101</v>
      </c>
      <c r="Y30" s="396"/>
      <c r="Z30" s="396"/>
    </row>
    <row r="31" spans="1:26">
      <c r="A31" s="390">
        <v>90206</v>
      </c>
      <c r="B31" s="391" t="s">
        <v>746</v>
      </c>
      <c r="C31" s="234">
        <v>4.3609999999999998E-4</v>
      </c>
      <c r="D31" s="234">
        <v>3.6870000000000002E-4</v>
      </c>
      <c r="E31" s="231">
        <v>668801</v>
      </c>
      <c r="F31" s="231" t="s">
        <v>1924</v>
      </c>
      <c r="G31" s="392">
        <v>212770</v>
      </c>
      <c r="H31" s="392">
        <v>0</v>
      </c>
      <c r="I31" s="392">
        <v>420178</v>
      </c>
      <c r="J31" s="231">
        <v>117702</v>
      </c>
      <c r="K31" s="231">
        <v>750650</v>
      </c>
      <c r="L31" s="231"/>
      <c r="M31" s="300">
        <v>0</v>
      </c>
      <c r="N31" s="300">
        <v>955516</v>
      </c>
      <c r="O31" s="300">
        <v>0</v>
      </c>
      <c r="P31" s="231">
        <v>23001</v>
      </c>
      <c r="Q31" s="231">
        <v>978517</v>
      </c>
      <c r="R31" s="231"/>
      <c r="S31" s="392">
        <v>288542</v>
      </c>
      <c r="T31" s="231">
        <v>25921</v>
      </c>
      <c r="U31" s="396">
        <v>314463</v>
      </c>
      <c r="V31" s="231"/>
      <c r="W31" s="396">
        <v>2596231</v>
      </c>
      <c r="X31" s="396">
        <v>-917370</v>
      </c>
      <c r="Y31" s="396"/>
      <c r="Z31" s="396"/>
    </row>
    <row r="32" spans="1:26">
      <c r="A32" s="390">
        <v>90211</v>
      </c>
      <c r="B32" s="391" t="s">
        <v>747</v>
      </c>
      <c r="C32" s="234">
        <v>1.2120000000000001E-4</v>
      </c>
      <c r="D32" s="234">
        <v>1.473E-4</v>
      </c>
      <c r="E32" s="231">
        <v>185872</v>
      </c>
      <c r="F32" s="231" t="s">
        <v>1924</v>
      </c>
      <c r="G32" s="392">
        <v>59133</v>
      </c>
      <c r="H32" s="392">
        <v>0</v>
      </c>
      <c r="I32" s="392">
        <v>116775</v>
      </c>
      <c r="J32" s="231">
        <v>4141</v>
      </c>
      <c r="K32" s="231">
        <v>180049</v>
      </c>
      <c r="L32" s="231"/>
      <c r="M32" s="300">
        <v>0</v>
      </c>
      <c r="N32" s="300">
        <v>265555</v>
      </c>
      <c r="O32" s="300">
        <v>0</v>
      </c>
      <c r="P32" s="231">
        <v>38869</v>
      </c>
      <c r="Q32" s="231">
        <v>304424</v>
      </c>
      <c r="R32" s="231"/>
      <c r="S32" s="392">
        <v>80191</v>
      </c>
      <c r="T32" s="231">
        <v>-11477</v>
      </c>
      <c r="U32" s="396">
        <v>68714</v>
      </c>
      <c r="V32" s="231"/>
      <c r="W32" s="396">
        <v>721539</v>
      </c>
      <c r="X32" s="396">
        <v>-254954</v>
      </c>
      <c r="Y32" s="396"/>
      <c r="Z32" s="396"/>
    </row>
    <row r="33" spans="1:26">
      <c r="A33" s="390">
        <v>90301</v>
      </c>
      <c r="B33" s="391" t="s">
        <v>748</v>
      </c>
      <c r="C33" s="234">
        <v>6.4340000000000003E-4</v>
      </c>
      <c r="D33" s="234">
        <v>7.2150000000000003E-4</v>
      </c>
      <c r="E33" s="231">
        <v>986716</v>
      </c>
      <c r="F33" s="231" t="s">
        <v>1924</v>
      </c>
      <c r="G33" s="392">
        <v>313910</v>
      </c>
      <c r="H33" s="392">
        <v>0</v>
      </c>
      <c r="I33" s="392">
        <v>619909</v>
      </c>
      <c r="J33" s="231">
        <v>0</v>
      </c>
      <c r="K33" s="231">
        <v>933819</v>
      </c>
      <c r="L33" s="231"/>
      <c r="M33" s="300">
        <v>0</v>
      </c>
      <c r="N33" s="300">
        <v>1409720</v>
      </c>
      <c r="O33" s="300">
        <v>0</v>
      </c>
      <c r="P33" s="231">
        <v>145611</v>
      </c>
      <c r="Q33" s="231">
        <v>1555331</v>
      </c>
      <c r="R33" s="231"/>
      <c r="S33" s="392">
        <v>425700</v>
      </c>
      <c r="T33" s="231">
        <v>-51516</v>
      </c>
      <c r="U33" s="396">
        <v>374184</v>
      </c>
      <c r="V33" s="231"/>
      <c r="W33" s="396">
        <v>3830348</v>
      </c>
      <c r="X33" s="396">
        <v>-1353441</v>
      </c>
      <c r="Y33" s="396"/>
      <c r="Z33" s="396"/>
    </row>
    <row r="34" spans="1:26">
      <c r="A34" s="390">
        <v>90305</v>
      </c>
      <c r="B34" s="391" t="s">
        <v>749</v>
      </c>
      <c r="C34" s="234">
        <v>1.449E-4</v>
      </c>
      <c r="D34" s="234">
        <v>1.4750000000000001E-4</v>
      </c>
      <c r="E34" s="231">
        <v>222218</v>
      </c>
      <c r="F34" s="231" t="s">
        <v>1924</v>
      </c>
      <c r="G34" s="392">
        <v>70696</v>
      </c>
      <c r="H34" s="392">
        <v>0</v>
      </c>
      <c r="I34" s="392">
        <v>139610</v>
      </c>
      <c r="J34" s="231">
        <v>28824</v>
      </c>
      <c r="K34" s="231">
        <v>239130</v>
      </c>
      <c r="L34" s="231"/>
      <c r="M34" s="300">
        <v>0</v>
      </c>
      <c r="N34" s="300">
        <v>317483</v>
      </c>
      <c r="O34" s="300">
        <v>0</v>
      </c>
      <c r="P34" s="231">
        <v>0</v>
      </c>
      <c r="Q34" s="231">
        <v>317483</v>
      </c>
      <c r="R34" s="231"/>
      <c r="S34" s="392">
        <v>95872</v>
      </c>
      <c r="T34" s="231">
        <v>13882</v>
      </c>
      <c r="U34" s="396">
        <v>109754</v>
      </c>
      <c r="V34" s="231"/>
      <c r="W34" s="396">
        <v>862632</v>
      </c>
      <c r="X34" s="396">
        <v>-304808</v>
      </c>
      <c r="Y34" s="396"/>
      <c r="Z34" s="396"/>
    </row>
    <row r="35" spans="1:26">
      <c r="A35" s="390">
        <v>90307</v>
      </c>
      <c r="B35" s="391" t="s">
        <v>750</v>
      </c>
      <c r="C35" s="234">
        <v>5.0000000000000004E-6</v>
      </c>
      <c r="D35" s="234">
        <v>5.1000000000000003E-6</v>
      </c>
      <c r="E35" s="231">
        <v>7668</v>
      </c>
      <c r="F35" s="231" t="s">
        <v>1924</v>
      </c>
      <c r="G35" s="392">
        <v>2439</v>
      </c>
      <c r="H35" s="392">
        <v>0</v>
      </c>
      <c r="I35" s="392">
        <v>4817</v>
      </c>
      <c r="J35" s="231">
        <v>1653</v>
      </c>
      <c r="K35" s="231">
        <v>8909</v>
      </c>
      <c r="L35" s="231"/>
      <c r="M35" s="300">
        <v>0</v>
      </c>
      <c r="N35" s="300">
        <v>10955</v>
      </c>
      <c r="O35" s="300">
        <v>0</v>
      </c>
      <c r="P35" s="231">
        <v>8</v>
      </c>
      <c r="Q35" s="231">
        <v>10963</v>
      </c>
      <c r="R35" s="231"/>
      <c r="S35" s="392">
        <v>3308</v>
      </c>
      <c r="T35" s="231">
        <v>766</v>
      </c>
      <c r="U35" s="396">
        <v>4074</v>
      </c>
      <c r="V35" s="231"/>
      <c r="W35" s="396">
        <v>29766</v>
      </c>
      <c r="X35" s="396">
        <v>-10518</v>
      </c>
      <c r="Y35" s="396"/>
      <c r="Z35" s="396"/>
    </row>
    <row r="36" spans="1:26">
      <c r="A36" s="390">
        <v>90401</v>
      </c>
      <c r="B36" s="391" t="s">
        <v>751</v>
      </c>
      <c r="C36" s="234">
        <v>1.4093E-3</v>
      </c>
      <c r="D36" s="234">
        <v>1.3274000000000001E-3</v>
      </c>
      <c r="E36" s="231">
        <v>2161297</v>
      </c>
      <c r="F36" s="231" t="s">
        <v>1924</v>
      </c>
      <c r="G36" s="392">
        <v>687586</v>
      </c>
      <c r="H36" s="392">
        <v>0</v>
      </c>
      <c r="I36" s="392">
        <v>1357846</v>
      </c>
      <c r="J36" s="231">
        <v>311175</v>
      </c>
      <c r="K36" s="231">
        <v>2356607</v>
      </c>
      <c r="L36" s="231"/>
      <c r="M36" s="300">
        <v>0</v>
      </c>
      <c r="N36" s="300">
        <v>3087844</v>
      </c>
      <c r="O36" s="300">
        <v>0</v>
      </c>
      <c r="P36" s="231">
        <v>2416</v>
      </c>
      <c r="Q36" s="231">
        <v>3090260</v>
      </c>
      <c r="R36" s="231"/>
      <c r="S36" s="392">
        <v>932452</v>
      </c>
      <c r="T36" s="231">
        <v>117853</v>
      </c>
      <c r="U36" s="396">
        <v>1050305</v>
      </c>
      <c r="V36" s="231"/>
      <c r="W36" s="396">
        <v>8389974</v>
      </c>
      <c r="X36" s="396">
        <v>-2964571</v>
      </c>
      <c r="Y36" s="396"/>
      <c r="Z36" s="396"/>
    </row>
    <row r="37" spans="1:26">
      <c r="A37" s="390">
        <v>90411</v>
      </c>
      <c r="B37" s="391" t="s">
        <v>752</v>
      </c>
      <c r="C37" s="234">
        <v>3.3819999999999998E-4</v>
      </c>
      <c r="D37" s="234">
        <v>3.4289999999999999E-4</v>
      </c>
      <c r="E37" s="231">
        <v>518662</v>
      </c>
      <c r="F37" s="231" t="s">
        <v>1924</v>
      </c>
      <c r="G37" s="392">
        <v>165005</v>
      </c>
      <c r="H37" s="392">
        <v>0</v>
      </c>
      <c r="I37" s="392">
        <v>325852</v>
      </c>
      <c r="J37" s="231">
        <v>13017</v>
      </c>
      <c r="K37" s="231">
        <v>503874</v>
      </c>
      <c r="L37" s="231"/>
      <c r="M37" s="300">
        <v>0</v>
      </c>
      <c r="N37" s="300">
        <v>741012</v>
      </c>
      <c r="O37" s="300">
        <v>0</v>
      </c>
      <c r="P37" s="231">
        <v>16071</v>
      </c>
      <c r="Q37" s="231">
        <v>757083</v>
      </c>
      <c r="R37" s="231"/>
      <c r="S37" s="392">
        <v>223767</v>
      </c>
      <c r="T37" s="231">
        <v>-4649</v>
      </c>
      <c r="U37" s="396">
        <v>219118</v>
      </c>
      <c r="V37" s="231"/>
      <c r="W37" s="396">
        <v>2013403</v>
      </c>
      <c r="X37" s="396">
        <v>-711430</v>
      </c>
      <c r="Y37" s="396"/>
      <c r="Z37" s="396"/>
    </row>
    <row r="38" spans="1:26">
      <c r="A38" s="390">
        <v>90413</v>
      </c>
      <c r="B38" s="391" t="s">
        <v>753</v>
      </c>
      <c r="C38" s="234">
        <v>3.4600000000000001E-5</v>
      </c>
      <c r="D38" s="234">
        <v>3.3899999999999997E-5</v>
      </c>
      <c r="E38" s="231">
        <v>53062</v>
      </c>
      <c r="F38" s="231" t="s">
        <v>1924</v>
      </c>
      <c r="G38" s="392">
        <v>16881</v>
      </c>
      <c r="H38" s="392">
        <v>0</v>
      </c>
      <c r="I38" s="392">
        <v>33337</v>
      </c>
      <c r="J38" s="231">
        <v>5116</v>
      </c>
      <c r="K38" s="231">
        <v>55334</v>
      </c>
      <c r="L38" s="231"/>
      <c r="M38" s="300">
        <v>0</v>
      </c>
      <c r="N38" s="300">
        <v>75810</v>
      </c>
      <c r="O38" s="300">
        <v>0</v>
      </c>
      <c r="P38" s="231">
        <v>0</v>
      </c>
      <c r="Q38" s="231">
        <v>75810</v>
      </c>
      <c r="R38" s="231"/>
      <c r="S38" s="392">
        <v>22893</v>
      </c>
      <c r="T38" s="231">
        <v>2007</v>
      </c>
      <c r="U38" s="396">
        <v>24900</v>
      </c>
      <c r="V38" s="231"/>
      <c r="W38" s="396">
        <v>205984</v>
      </c>
      <c r="X38" s="396">
        <v>-72784</v>
      </c>
      <c r="Y38" s="396"/>
      <c r="Z38" s="396"/>
    </row>
    <row r="39" spans="1:26">
      <c r="A39" s="390">
        <v>90417</v>
      </c>
      <c r="B39" s="391" t="s">
        <v>754</v>
      </c>
      <c r="C39" s="234">
        <v>1.0200000000000001E-5</v>
      </c>
      <c r="D39" s="234">
        <v>9.5999999999999996E-6</v>
      </c>
      <c r="E39" s="231">
        <v>15643</v>
      </c>
      <c r="F39" s="231" t="s">
        <v>1924</v>
      </c>
      <c r="G39" s="392">
        <v>4976</v>
      </c>
      <c r="H39" s="392">
        <v>0</v>
      </c>
      <c r="I39" s="392">
        <v>9828</v>
      </c>
      <c r="J39" s="231">
        <v>8354</v>
      </c>
      <c r="K39" s="231">
        <v>23158</v>
      </c>
      <c r="L39" s="231"/>
      <c r="M39" s="300">
        <v>0</v>
      </c>
      <c r="N39" s="300">
        <v>22349</v>
      </c>
      <c r="O39" s="300">
        <v>0</v>
      </c>
      <c r="P39" s="231">
        <v>0</v>
      </c>
      <c r="Q39" s="231">
        <v>22349</v>
      </c>
      <c r="R39" s="231"/>
      <c r="S39" s="392">
        <v>6749</v>
      </c>
      <c r="T39" s="231">
        <v>4109</v>
      </c>
      <c r="U39" s="396">
        <v>10858</v>
      </c>
      <c r="V39" s="231"/>
      <c r="W39" s="396">
        <v>60724</v>
      </c>
      <c r="X39" s="396">
        <v>-21456</v>
      </c>
      <c r="Y39" s="396"/>
      <c r="Z39" s="396"/>
    </row>
    <row r="40" spans="1:26">
      <c r="A40" s="390">
        <v>90421</v>
      </c>
      <c r="B40" s="391" t="s">
        <v>755</v>
      </c>
      <c r="C40" s="234">
        <v>2.6699999999999998E-5</v>
      </c>
      <c r="D40" s="234">
        <v>2.5199999999999999E-5</v>
      </c>
      <c r="E40" s="231">
        <v>40947</v>
      </c>
      <c r="F40" s="231" t="s">
        <v>1924</v>
      </c>
      <c r="G40" s="392">
        <v>13027</v>
      </c>
      <c r="H40" s="392">
        <v>0</v>
      </c>
      <c r="I40" s="392">
        <v>25725</v>
      </c>
      <c r="J40" s="231">
        <v>7369</v>
      </c>
      <c r="K40" s="231">
        <v>46121</v>
      </c>
      <c r="L40" s="231"/>
      <c r="M40" s="300">
        <v>0</v>
      </c>
      <c r="N40" s="300">
        <v>58501</v>
      </c>
      <c r="O40" s="300">
        <v>0</v>
      </c>
      <c r="P40" s="231">
        <v>1109</v>
      </c>
      <c r="Q40" s="231">
        <v>59610</v>
      </c>
      <c r="R40" s="231"/>
      <c r="S40" s="392">
        <v>17666</v>
      </c>
      <c r="T40" s="231">
        <v>2053</v>
      </c>
      <c r="U40" s="396">
        <v>19719</v>
      </c>
      <c r="V40" s="231"/>
      <c r="W40" s="396">
        <v>158953</v>
      </c>
      <c r="X40" s="396">
        <v>-56166</v>
      </c>
      <c r="Y40" s="396"/>
      <c r="Z40" s="396"/>
    </row>
    <row r="41" spans="1:26">
      <c r="A41" s="390">
        <v>90431</v>
      </c>
      <c r="B41" s="391" t="s">
        <v>756</v>
      </c>
      <c r="C41" s="234">
        <v>3.8000000000000002E-5</v>
      </c>
      <c r="D41" s="234">
        <v>4.85E-5</v>
      </c>
      <c r="E41" s="231">
        <v>58277</v>
      </c>
      <c r="F41" s="231" t="s">
        <v>1924</v>
      </c>
      <c r="G41" s="392">
        <v>18540</v>
      </c>
      <c r="H41" s="392">
        <v>0</v>
      </c>
      <c r="I41" s="392">
        <v>36613</v>
      </c>
      <c r="J41" s="231">
        <v>1300</v>
      </c>
      <c r="K41" s="231">
        <v>56453</v>
      </c>
      <c r="L41" s="231"/>
      <c r="M41" s="300">
        <v>0</v>
      </c>
      <c r="N41" s="300">
        <v>83260</v>
      </c>
      <c r="O41" s="300">
        <v>0</v>
      </c>
      <c r="P41" s="231">
        <v>17196</v>
      </c>
      <c r="Q41" s="231">
        <v>100456</v>
      </c>
      <c r="R41" s="231"/>
      <c r="S41" s="392">
        <v>25142</v>
      </c>
      <c r="T41" s="231">
        <v>-4478</v>
      </c>
      <c r="U41" s="396">
        <v>20664</v>
      </c>
      <c r="V41" s="231"/>
      <c r="W41" s="396">
        <v>226225</v>
      </c>
      <c r="X41" s="396">
        <v>-79936</v>
      </c>
      <c r="Y41" s="396"/>
      <c r="Z41" s="396"/>
    </row>
    <row r="42" spans="1:26">
      <c r="A42" s="390">
        <v>90441</v>
      </c>
      <c r="B42" s="391" t="s">
        <v>757</v>
      </c>
      <c r="C42" s="234">
        <v>5.0000000000000004E-6</v>
      </c>
      <c r="D42" s="234">
        <v>5.8000000000000004E-6</v>
      </c>
      <c r="E42" s="231">
        <v>7668</v>
      </c>
      <c r="F42" s="231" t="s">
        <v>1924</v>
      </c>
      <c r="G42" s="392">
        <v>2439</v>
      </c>
      <c r="H42" s="392">
        <v>0</v>
      </c>
      <c r="I42" s="392">
        <v>4817</v>
      </c>
      <c r="J42" s="231">
        <v>2757</v>
      </c>
      <c r="K42" s="231">
        <v>10013</v>
      </c>
      <c r="L42" s="231"/>
      <c r="M42" s="300">
        <v>0</v>
      </c>
      <c r="N42" s="300">
        <v>10955</v>
      </c>
      <c r="O42" s="300">
        <v>0</v>
      </c>
      <c r="P42" s="231">
        <v>0</v>
      </c>
      <c r="Q42" s="231">
        <v>10955</v>
      </c>
      <c r="R42" s="231"/>
      <c r="S42" s="392">
        <v>3308</v>
      </c>
      <c r="T42" s="231">
        <v>1239</v>
      </c>
      <c r="U42" s="396">
        <v>4547</v>
      </c>
      <c r="V42" s="231"/>
      <c r="W42" s="396">
        <v>29766</v>
      </c>
      <c r="X42" s="396">
        <v>-10518</v>
      </c>
      <c r="Y42" s="396"/>
      <c r="Z42" s="396"/>
    </row>
    <row r="43" spans="1:26">
      <c r="A43" s="390">
        <v>90451</v>
      </c>
      <c r="B43" s="391" t="s">
        <v>758</v>
      </c>
      <c r="C43" s="234">
        <v>1.08E-5</v>
      </c>
      <c r="D43" s="234">
        <v>2.2399999999999999E-5</v>
      </c>
      <c r="E43" s="231">
        <v>16563</v>
      </c>
      <c r="F43" s="231" t="s">
        <v>1924</v>
      </c>
      <c r="G43" s="392">
        <v>5269</v>
      </c>
      <c r="H43" s="392">
        <v>0</v>
      </c>
      <c r="I43" s="392">
        <v>10406</v>
      </c>
      <c r="J43" s="231">
        <v>1573</v>
      </c>
      <c r="K43" s="231">
        <v>17248</v>
      </c>
      <c r="L43" s="231"/>
      <c r="M43" s="300">
        <v>0</v>
      </c>
      <c r="N43" s="300">
        <v>23663</v>
      </c>
      <c r="O43" s="300">
        <v>0</v>
      </c>
      <c r="P43" s="231">
        <v>18813</v>
      </c>
      <c r="Q43" s="231">
        <v>42476</v>
      </c>
      <c r="R43" s="231"/>
      <c r="S43" s="392">
        <v>7146</v>
      </c>
      <c r="T43" s="231">
        <v>-5515</v>
      </c>
      <c r="U43" s="396">
        <v>1631</v>
      </c>
      <c r="V43" s="231"/>
      <c r="W43" s="396">
        <v>64296</v>
      </c>
      <c r="X43" s="396">
        <v>-22719</v>
      </c>
      <c r="Y43" s="396"/>
      <c r="Z43" s="396"/>
    </row>
    <row r="44" spans="1:26">
      <c r="A44" s="390">
        <v>90461</v>
      </c>
      <c r="B44" s="391" t="s">
        <v>759</v>
      </c>
      <c r="C44" s="234">
        <v>1.1399999999999999E-5</v>
      </c>
      <c r="D44" s="234">
        <v>1.9E-6</v>
      </c>
      <c r="E44" s="231">
        <v>17483</v>
      </c>
      <c r="F44" s="231" t="s">
        <v>1924</v>
      </c>
      <c r="G44" s="392">
        <v>5562</v>
      </c>
      <c r="H44" s="392">
        <v>0</v>
      </c>
      <c r="I44" s="392">
        <v>10984</v>
      </c>
      <c r="J44" s="231">
        <v>15146</v>
      </c>
      <c r="K44" s="231">
        <v>31692</v>
      </c>
      <c r="L44" s="231"/>
      <c r="M44" s="300">
        <v>0</v>
      </c>
      <c r="N44" s="300">
        <v>24978</v>
      </c>
      <c r="O44" s="300">
        <v>0</v>
      </c>
      <c r="P44" s="231">
        <v>1311</v>
      </c>
      <c r="Q44" s="231">
        <v>26289</v>
      </c>
      <c r="R44" s="231"/>
      <c r="S44" s="392">
        <v>7543</v>
      </c>
      <c r="T44" s="231">
        <v>3388</v>
      </c>
      <c r="U44" s="396">
        <v>10931</v>
      </c>
      <c r="V44" s="231"/>
      <c r="W44" s="396">
        <v>67868</v>
      </c>
      <c r="X44" s="396">
        <v>-23981</v>
      </c>
      <c r="Y44" s="396"/>
      <c r="Z44" s="396"/>
    </row>
    <row r="45" spans="1:26">
      <c r="A45" s="390">
        <v>90501</v>
      </c>
      <c r="B45" s="391" t="s">
        <v>760</v>
      </c>
      <c r="C45" s="234">
        <v>1.4752000000000001E-3</v>
      </c>
      <c r="D45" s="234">
        <v>1.4997999999999999E-3</v>
      </c>
      <c r="E45" s="231">
        <v>2262361</v>
      </c>
      <c r="F45" s="231" t="s">
        <v>1924</v>
      </c>
      <c r="G45" s="392">
        <v>719738</v>
      </c>
      <c r="H45" s="392">
        <v>0</v>
      </c>
      <c r="I45" s="392">
        <v>1421340</v>
      </c>
      <c r="J45" s="231">
        <v>83136</v>
      </c>
      <c r="K45" s="231">
        <v>2224214</v>
      </c>
      <c r="L45" s="231"/>
      <c r="M45" s="300">
        <v>0</v>
      </c>
      <c r="N45" s="300">
        <v>3232234</v>
      </c>
      <c r="O45" s="300">
        <v>0</v>
      </c>
      <c r="P45" s="231">
        <v>46796</v>
      </c>
      <c r="Q45" s="231">
        <v>3279030</v>
      </c>
      <c r="R45" s="231"/>
      <c r="S45" s="392">
        <v>976054</v>
      </c>
      <c r="T45" s="231">
        <v>31794</v>
      </c>
      <c r="U45" s="396">
        <v>1007848</v>
      </c>
      <c r="V45" s="231"/>
      <c r="W45" s="396">
        <v>8782296</v>
      </c>
      <c r="X45" s="396">
        <v>-3103197</v>
      </c>
      <c r="Y45" s="396"/>
      <c r="Z45" s="396"/>
    </row>
    <row r="46" spans="1:26">
      <c r="A46" s="390">
        <v>90507</v>
      </c>
      <c r="B46" s="391" t="s">
        <v>34</v>
      </c>
      <c r="C46" s="234">
        <v>1.6099999999999998E-5</v>
      </c>
      <c r="D46" s="234">
        <v>1.1199999999999999E-5</v>
      </c>
      <c r="E46" s="231">
        <v>24691</v>
      </c>
      <c r="F46" s="231" t="s">
        <v>1924</v>
      </c>
      <c r="G46" s="392">
        <v>7855</v>
      </c>
      <c r="H46" s="392">
        <v>0</v>
      </c>
      <c r="I46" s="392">
        <v>15512</v>
      </c>
      <c r="J46" s="231">
        <v>28349</v>
      </c>
      <c r="K46" s="231">
        <v>51716</v>
      </c>
      <c r="L46" s="231"/>
      <c r="M46" s="300">
        <v>0</v>
      </c>
      <c r="N46" s="300">
        <v>35276</v>
      </c>
      <c r="O46" s="300">
        <v>0</v>
      </c>
      <c r="P46" s="231">
        <v>0</v>
      </c>
      <c r="Q46" s="231">
        <v>35276</v>
      </c>
      <c r="R46" s="231"/>
      <c r="S46" s="392">
        <v>10652</v>
      </c>
      <c r="T46" s="231">
        <v>13529</v>
      </c>
      <c r="U46" s="396">
        <v>24181</v>
      </c>
      <c r="V46" s="231"/>
      <c r="W46" s="396">
        <v>95848</v>
      </c>
      <c r="X46" s="396">
        <v>-33868</v>
      </c>
      <c r="Y46" s="396"/>
      <c r="Z46" s="396"/>
    </row>
    <row r="47" spans="1:26">
      <c r="A47" s="390">
        <v>90511</v>
      </c>
      <c r="B47" s="391" t="s">
        <v>761</v>
      </c>
      <c r="C47" s="234">
        <v>1.004E-4</v>
      </c>
      <c r="D47" s="234">
        <v>9.2200000000000005E-5</v>
      </c>
      <c r="E47" s="231">
        <v>153973</v>
      </c>
      <c r="F47" s="231" t="s">
        <v>1924</v>
      </c>
      <c r="G47" s="392">
        <v>48984</v>
      </c>
      <c r="H47" s="392">
        <v>0</v>
      </c>
      <c r="I47" s="392">
        <v>96734</v>
      </c>
      <c r="J47" s="231">
        <v>32045</v>
      </c>
      <c r="K47" s="231">
        <v>177763</v>
      </c>
      <c r="L47" s="231"/>
      <c r="M47" s="300">
        <v>0</v>
      </c>
      <c r="N47" s="300">
        <v>219981</v>
      </c>
      <c r="O47" s="300">
        <v>0</v>
      </c>
      <c r="P47" s="231">
        <v>1770</v>
      </c>
      <c r="Q47" s="231">
        <v>221751</v>
      </c>
      <c r="R47" s="231"/>
      <c r="S47" s="392">
        <v>66429</v>
      </c>
      <c r="T47" s="231">
        <v>14023</v>
      </c>
      <c r="U47" s="396">
        <v>80452</v>
      </c>
      <c r="V47" s="231"/>
      <c r="W47" s="396">
        <v>597711</v>
      </c>
      <c r="X47" s="396">
        <v>-211199</v>
      </c>
      <c r="Y47" s="396"/>
      <c r="Z47" s="396"/>
    </row>
    <row r="48" spans="1:26">
      <c r="A48" s="390">
        <v>90521</v>
      </c>
      <c r="B48" s="391" t="s">
        <v>762</v>
      </c>
      <c r="C48" s="234">
        <v>1.451E-4</v>
      </c>
      <c r="D48" s="234">
        <v>1.4129999999999999E-4</v>
      </c>
      <c r="E48" s="231">
        <v>222525</v>
      </c>
      <c r="F48" s="231" t="s">
        <v>1924</v>
      </c>
      <c r="G48" s="392">
        <v>70793</v>
      </c>
      <c r="H48" s="392">
        <v>0</v>
      </c>
      <c r="I48" s="392">
        <v>139802</v>
      </c>
      <c r="J48" s="231">
        <v>0</v>
      </c>
      <c r="K48" s="231">
        <v>210595</v>
      </c>
      <c r="L48" s="231"/>
      <c r="M48" s="300">
        <v>0</v>
      </c>
      <c r="N48" s="300">
        <v>317921</v>
      </c>
      <c r="O48" s="300">
        <v>0</v>
      </c>
      <c r="P48" s="231">
        <v>12656</v>
      </c>
      <c r="Q48" s="231">
        <v>330577</v>
      </c>
      <c r="R48" s="231"/>
      <c r="S48" s="392">
        <v>96004</v>
      </c>
      <c r="T48" s="231">
        <v>-8576</v>
      </c>
      <c r="U48" s="396">
        <v>87428</v>
      </c>
      <c r="V48" s="231"/>
      <c r="W48" s="396">
        <v>863823</v>
      </c>
      <c r="X48" s="396">
        <v>-305229</v>
      </c>
      <c r="Y48" s="396"/>
      <c r="Z48" s="396"/>
    </row>
    <row r="49" spans="1:26">
      <c r="A49" s="390">
        <v>90601</v>
      </c>
      <c r="B49" s="391" t="s">
        <v>763</v>
      </c>
      <c r="C49" s="234">
        <v>1.1405E-3</v>
      </c>
      <c r="D49" s="234">
        <v>1.242E-3</v>
      </c>
      <c r="E49" s="231">
        <v>1749066</v>
      </c>
      <c r="F49" s="231" t="s">
        <v>1924</v>
      </c>
      <c r="G49" s="392">
        <v>556441</v>
      </c>
      <c r="H49" s="392">
        <v>0</v>
      </c>
      <c r="I49" s="392">
        <v>1098860</v>
      </c>
      <c r="J49" s="231">
        <v>106589</v>
      </c>
      <c r="K49" s="231">
        <v>1761890</v>
      </c>
      <c r="L49" s="231"/>
      <c r="M49" s="300">
        <v>0</v>
      </c>
      <c r="N49" s="300">
        <v>2498890</v>
      </c>
      <c r="O49" s="300">
        <v>0</v>
      </c>
      <c r="P49" s="231">
        <v>156191</v>
      </c>
      <c r="Q49" s="231">
        <v>2655081</v>
      </c>
      <c r="R49" s="231"/>
      <c r="S49" s="392">
        <v>754603</v>
      </c>
      <c r="T49" s="231">
        <v>-2353</v>
      </c>
      <c r="U49" s="396">
        <v>752250</v>
      </c>
      <c r="V49" s="231"/>
      <c r="W49" s="396">
        <v>6789730</v>
      </c>
      <c r="X49" s="396">
        <v>-2399130</v>
      </c>
      <c r="Y49" s="396"/>
      <c r="Z49" s="396"/>
    </row>
    <row r="50" spans="1:26">
      <c r="A50" s="390">
        <v>90602</v>
      </c>
      <c r="B50" s="391" t="s">
        <v>259</v>
      </c>
      <c r="C50" s="234">
        <v>7.4999999999999993E-5</v>
      </c>
      <c r="D50" s="234">
        <v>8.0099999999999995E-5</v>
      </c>
      <c r="E50" s="231">
        <v>115020</v>
      </c>
      <c r="F50" s="231" t="s">
        <v>1924</v>
      </c>
      <c r="G50" s="392">
        <v>36592</v>
      </c>
      <c r="H50" s="392">
        <v>0</v>
      </c>
      <c r="I50" s="392">
        <v>72262</v>
      </c>
      <c r="J50" s="231">
        <v>18538</v>
      </c>
      <c r="K50" s="231">
        <v>127392</v>
      </c>
      <c r="L50" s="231"/>
      <c r="M50" s="300">
        <v>0</v>
      </c>
      <c r="N50" s="300">
        <v>164329</v>
      </c>
      <c r="O50" s="300">
        <v>0</v>
      </c>
      <c r="P50" s="231">
        <v>19151</v>
      </c>
      <c r="Q50" s="231">
        <v>183480</v>
      </c>
      <c r="R50" s="231"/>
      <c r="S50" s="392">
        <v>49623</v>
      </c>
      <c r="T50" s="231">
        <v>1986</v>
      </c>
      <c r="U50" s="396">
        <v>51609</v>
      </c>
      <c r="V50" s="231"/>
      <c r="W50" s="396">
        <v>446497</v>
      </c>
      <c r="X50" s="396">
        <v>-157768</v>
      </c>
      <c r="Y50" s="396"/>
      <c r="Z50" s="396"/>
    </row>
    <row r="51" spans="1:26">
      <c r="A51" s="390">
        <v>90605</v>
      </c>
      <c r="B51" s="391" t="s">
        <v>764</v>
      </c>
      <c r="C51" s="234">
        <v>4.6300000000000001E-5</v>
      </c>
      <c r="D51" s="234">
        <v>4.8399999999999997E-5</v>
      </c>
      <c r="E51" s="231">
        <v>71005</v>
      </c>
      <c r="F51" s="231" t="s">
        <v>1924</v>
      </c>
      <c r="G51" s="392">
        <v>22589</v>
      </c>
      <c r="H51" s="392">
        <v>0</v>
      </c>
      <c r="I51" s="392">
        <v>44610</v>
      </c>
      <c r="J51" s="231">
        <v>6655</v>
      </c>
      <c r="K51" s="231">
        <v>73854</v>
      </c>
      <c r="L51" s="231"/>
      <c r="M51" s="300">
        <v>0</v>
      </c>
      <c r="N51" s="300">
        <v>101446</v>
      </c>
      <c r="O51" s="300">
        <v>0</v>
      </c>
      <c r="P51" s="231">
        <v>2585</v>
      </c>
      <c r="Q51" s="231">
        <v>104031</v>
      </c>
      <c r="R51" s="231"/>
      <c r="S51" s="392">
        <v>30634</v>
      </c>
      <c r="T51" s="231">
        <v>4838</v>
      </c>
      <c r="U51" s="396">
        <v>35472</v>
      </c>
      <c r="V51" s="231"/>
      <c r="W51" s="396">
        <v>275637</v>
      </c>
      <c r="X51" s="396">
        <v>-97396</v>
      </c>
      <c r="Y51" s="396"/>
      <c r="Z51" s="396"/>
    </row>
    <row r="52" spans="1:26">
      <c r="A52" s="390">
        <v>90611</v>
      </c>
      <c r="B52" s="391" t="s">
        <v>765</v>
      </c>
      <c r="C52" s="234">
        <v>1.429E-4</v>
      </c>
      <c r="D52" s="234">
        <v>1.4320000000000001E-4</v>
      </c>
      <c r="E52" s="231">
        <v>219151</v>
      </c>
      <c r="F52" s="231" t="s">
        <v>1924</v>
      </c>
      <c r="G52" s="392">
        <v>69720</v>
      </c>
      <c r="H52" s="392">
        <v>0</v>
      </c>
      <c r="I52" s="392">
        <v>137683</v>
      </c>
      <c r="J52" s="231">
        <v>2486</v>
      </c>
      <c r="K52" s="231">
        <v>209889</v>
      </c>
      <c r="L52" s="231"/>
      <c r="M52" s="300">
        <v>0</v>
      </c>
      <c r="N52" s="300">
        <v>313101</v>
      </c>
      <c r="O52" s="300">
        <v>0</v>
      </c>
      <c r="P52" s="231">
        <v>19550</v>
      </c>
      <c r="Q52" s="231">
        <v>332651</v>
      </c>
      <c r="R52" s="231"/>
      <c r="S52" s="392">
        <v>94549</v>
      </c>
      <c r="T52" s="231">
        <v>-10739</v>
      </c>
      <c r="U52" s="396">
        <v>83810</v>
      </c>
      <c r="V52" s="231"/>
      <c r="W52" s="396">
        <v>850725</v>
      </c>
      <c r="X52" s="396">
        <v>-300601</v>
      </c>
      <c r="Y52" s="396"/>
      <c r="Z52" s="396"/>
    </row>
    <row r="53" spans="1:26">
      <c r="A53" s="390">
        <v>90617</v>
      </c>
      <c r="B53" s="391" t="s">
        <v>766</v>
      </c>
      <c r="C53" s="234">
        <v>1.9599999999999999E-5</v>
      </c>
      <c r="D53" s="234">
        <v>2.94E-5</v>
      </c>
      <c r="E53" s="231">
        <v>30058</v>
      </c>
      <c r="F53" s="231" t="s">
        <v>1924</v>
      </c>
      <c r="G53" s="392">
        <v>9563</v>
      </c>
      <c r="H53" s="392">
        <v>0</v>
      </c>
      <c r="I53" s="392">
        <v>18884</v>
      </c>
      <c r="J53" s="231">
        <v>4568</v>
      </c>
      <c r="K53" s="231">
        <v>33015</v>
      </c>
      <c r="L53" s="231"/>
      <c r="M53" s="300">
        <v>0</v>
      </c>
      <c r="N53" s="300">
        <v>42945</v>
      </c>
      <c r="O53" s="300">
        <v>0</v>
      </c>
      <c r="P53" s="231">
        <v>12415</v>
      </c>
      <c r="Q53" s="231">
        <v>55360</v>
      </c>
      <c r="R53" s="231"/>
      <c r="S53" s="392">
        <v>12968</v>
      </c>
      <c r="T53" s="231">
        <v>-967</v>
      </c>
      <c r="U53" s="396">
        <v>12001</v>
      </c>
      <c r="V53" s="231"/>
      <c r="W53" s="396">
        <v>116685</v>
      </c>
      <c r="X53" s="396">
        <v>-41230</v>
      </c>
      <c r="Y53" s="396"/>
      <c r="Z53" s="396"/>
    </row>
    <row r="54" spans="1:26">
      <c r="A54" s="390">
        <v>90621</v>
      </c>
      <c r="B54" s="391" t="s">
        <v>767</v>
      </c>
      <c r="C54" s="234">
        <v>5.4299999999999998E-5</v>
      </c>
      <c r="D54" s="234">
        <v>6.9300000000000004E-5</v>
      </c>
      <c r="E54" s="231">
        <v>83274</v>
      </c>
      <c r="F54" s="231" t="s">
        <v>1924</v>
      </c>
      <c r="G54" s="392">
        <v>26493</v>
      </c>
      <c r="H54" s="392">
        <v>0</v>
      </c>
      <c r="I54" s="392">
        <v>52318</v>
      </c>
      <c r="J54" s="231">
        <v>1104</v>
      </c>
      <c r="K54" s="231">
        <v>79915</v>
      </c>
      <c r="L54" s="231"/>
      <c r="M54" s="300">
        <v>0</v>
      </c>
      <c r="N54" s="300">
        <v>118974</v>
      </c>
      <c r="O54" s="300">
        <v>0</v>
      </c>
      <c r="P54" s="231">
        <v>21533</v>
      </c>
      <c r="Q54" s="231">
        <v>140507</v>
      </c>
      <c r="R54" s="231"/>
      <c r="S54" s="392">
        <v>35927</v>
      </c>
      <c r="T54" s="231">
        <v>-10544</v>
      </c>
      <c r="U54" s="396">
        <v>25383</v>
      </c>
      <c r="V54" s="231"/>
      <c r="W54" s="396">
        <v>323264</v>
      </c>
      <c r="X54" s="396">
        <v>-114224</v>
      </c>
      <c r="Y54" s="396"/>
      <c r="Z54" s="396"/>
    </row>
    <row r="55" spans="1:26">
      <c r="A55" s="390">
        <v>90631</v>
      </c>
      <c r="B55" s="391" t="s">
        <v>768</v>
      </c>
      <c r="C55" s="234">
        <v>3.9360000000000003E-4</v>
      </c>
      <c r="D55" s="234">
        <v>3.636E-4</v>
      </c>
      <c r="E55" s="231">
        <v>603623</v>
      </c>
      <c r="F55" s="231" t="s">
        <v>1924</v>
      </c>
      <c r="G55" s="392">
        <v>192034</v>
      </c>
      <c r="H55" s="392">
        <v>0</v>
      </c>
      <c r="I55" s="392">
        <v>379230</v>
      </c>
      <c r="J55" s="231">
        <v>62852</v>
      </c>
      <c r="K55" s="231">
        <v>634116</v>
      </c>
      <c r="L55" s="231"/>
      <c r="M55" s="300">
        <v>0</v>
      </c>
      <c r="N55" s="300">
        <v>862396</v>
      </c>
      <c r="O55" s="300">
        <v>0</v>
      </c>
      <c r="P55" s="231">
        <v>4056</v>
      </c>
      <c r="Q55" s="231">
        <v>866452</v>
      </c>
      <c r="R55" s="231"/>
      <c r="S55" s="392">
        <v>260422</v>
      </c>
      <c r="T55" s="231">
        <v>19342</v>
      </c>
      <c r="U55" s="396">
        <v>279764</v>
      </c>
      <c r="V55" s="231"/>
      <c r="W55" s="396">
        <v>2343216</v>
      </c>
      <c r="X55" s="396">
        <v>-827968</v>
      </c>
      <c r="Y55" s="396"/>
      <c r="Z55" s="396"/>
    </row>
    <row r="56" spans="1:26">
      <c r="A56" s="390">
        <v>90641</v>
      </c>
      <c r="B56" s="391" t="s">
        <v>769</v>
      </c>
      <c r="C56" s="234">
        <v>1.04E-5</v>
      </c>
      <c r="D56" s="234">
        <v>1.1E-5</v>
      </c>
      <c r="E56" s="231">
        <v>15949</v>
      </c>
      <c r="F56" s="231" t="s">
        <v>1924</v>
      </c>
      <c r="G56" s="392">
        <v>5074</v>
      </c>
      <c r="H56" s="392">
        <v>0</v>
      </c>
      <c r="I56" s="392">
        <v>10020</v>
      </c>
      <c r="J56" s="231">
        <v>113</v>
      </c>
      <c r="K56" s="231">
        <v>15207</v>
      </c>
      <c r="L56" s="231"/>
      <c r="M56" s="300">
        <v>0</v>
      </c>
      <c r="N56" s="300">
        <v>22787</v>
      </c>
      <c r="O56" s="300">
        <v>0</v>
      </c>
      <c r="P56" s="231">
        <v>208</v>
      </c>
      <c r="Q56" s="231">
        <v>22995</v>
      </c>
      <c r="R56" s="231"/>
      <c r="S56" s="392">
        <v>6881</v>
      </c>
      <c r="T56" s="231">
        <v>-23</v>
      </c>
      <c r="U56" s="396">
        <v>6858</v>
      </c>
      <c r="V56" s="231"/>
      <c r="W56" s="396">
        <v>61914</v>
      </c>
      <c r="X56" s="396">
        <v>-21877</v>
      </c>
      <c r="Y56" s="396"/>
      <c r="Z56" s="396"/>
    </row>
    <row r="57" spans="1:26">
      <c r="A57" s="390">
        <v>90651</v>
      </c>
      <c r="B57" s="391" t="s">
        <v>770</v>
      </c>
      <c r="C57" s="234">
        <v>8.9300000000000002E-5</v>
      </c>
      <c r="D57" s="234">
        <v>9.5199999999999997E-5</v>
      </c>
      <c r="E57" s="231">
        <v>136950</v>
      </c>
      <c r="F57" s="231" t="s">
        <v>1924</v>
      </c>
      <c r="G57" s="392">
        <v>43569</v>
      </c>
      <c r="H57" s="392">
        <v>0</v>
      </c>
      <c r="I57" s="392">
        <v>86040</v>
      </c>
      <c r="J57" s="231">
        <v>77083</v>
      </c>
      <c r="K57" s="231">
        <v>206692</v>
      </c>
      <c r="L57" s="231"/>
      <c r="M57" s="300">
        <v>0</v>
      </c>
      <c r="N57" s="300">
        <v>195661</v>
      </c>
      <c r="O57" s="300">
        <v>0</v>
      </c>
      <c r="P57" s="231">
        <v>1566</v>
      </c>
      <c r="Q57" s="231">
        <v>197227</v>
      </c>
      <c r="R57" s="231"/>
      <c r="S57" s="392">
        <v>59085</v>
      </c>
      <c r="T57" s="231">
        <v>44565</v>
      </c>
      <c r="U57" s="396">
        <v>103650</v>
      </c>
      <c r="V57" s="231"/>
      <c r="W57" s="396">
        <v>531629</v>
      </c>
      <c r="X57" s="396">
        <v>-187849</v>
      </c>
      <c r="Y57" s="396"/>
      <c r="Z57" s="396"/>
    </row>
    <row r="58" spans="1:26">
      <c r="A58" s="390">
        <v>90701</v>
      </c>
      <c r="B58" s="391" t="s">
        <v>1931</v>
      </c>
      <c r="C58" s="234">
        <v>2.5387999999999999E-3</v>
      </c>
      <c r="D58" s="234">
        <v>2.5049E-3</v>
      </c>
      <c r="E58" s="231">
        <v>3893494</v>
      </c>
      <c r="F58" s="231" t="s">
        <v>1924</v>
      </c>
      <c r="G58" s="392">
        <v>1238660</v>
      </c>
      <c r="H58" s="392">
        <v>0</v>
      </c>
      <c r="I58" s="392">
        <v>2446108</v>
      </c>
      <c r="J58" s="231">
        <v>14146</v>
      </c>
      <c r="K58" s="231">
        <v>3698914</v>
      </c>
      <c r="L58" s="231"/>
      <c r="M58" s="300">
        <v>0</v>
      </c>
      <c r="N58" s="300">
        <v>5562633</v>
      </c>
      <c r="O58" s="300">
        <v>0</v>
      </c>
      <c r="P58" s="231">
        <v>212596</v>
      </c>
      <c r="Q58" s="231">
        <v>5775229</v>
      </c>
      <c r="R58" s="231"/>
      <c r="S58" s="392">
        <v>1679777</v>
      </c>
      <c r="T58" s="231">
        <v>-84639</v>
      </c>
      <c r="U58" s="396">
        <v>1595138</v>
      </c>
      <c r="V58" s="231"/>
      <c r="W58" s="396">
        <v>15114218</v>
      </c>
      <c r="X58" s="396">
        <v>-5340561</v>
      </c>
      <c r="Y58" s="396"/>
      <c r="Z58" s="396"/>
    </row>
    <row r="59" spans="1:26">
      <c r="A59" s="390">
        <v>90704</v>
      </c>
      <c r="B59" s="391" t="s">
        <v>772</v>
      </c>
      <c r="C59" s="234">
        <v>6.97E-5</v>
      </c>
      <c r="D59" s="234">
        <v>4.1999999999999998E-5</v>
      </c>
      <c r="E59" s="231">
        <v>106892</v>
      </c>
      <c r="F59" s="231" t="s">
        <v>1924</v>
      </c>
      <c r="G59" s="392">
        <v>34006</v>
      </c>
      <c r="H59" s="392">
        <v>0</v>
      </c>
      <c r="I59" s="392">
        <v>67155</v>
      </c>
      <c r="J59" s="231">
        <v>64354</v>
      </c>
      <c r="K59" s="231">
        <v>165515</v>
      </c>
      <c r="L59" s="231"/>
      <c r="M59" s="300">
        <v>0</v>
      </c>
      <c r="N59" s="300">
        <v>152716</v>
      </c>
      <c r="O59" s="300">
        <v>0</v>
      </c>
      <c r="P59" s="231">
        <v>0</v>
      </c>
      <c r="Q59" s="231">
        <v>152716</v>
      </c>
      <c r="R59" s="231"/>
      <c r="S59" s="392">
        <v>46116</v>
      </c>
      <c r="T59" s="231">
        <v>26369</v>
      </c>
      <c r="U59" s="396">
        <v>72485</v>
      </c>
      <c r="V59" s="231"/>
      <c r="W59" s="396">
        <v>414944</v>
      </c>
      <c r="X59" s="396">
        <v>-146619</v>
      </c>
      <c r="Y59" s="396"/>
      <c r="Z59" s="396"/>
    </row>
    <row r="60" spans="1:26">
      <c r="A60" s="390">
        <v>90705</v>
      </c>
      <c r="B60" s="391" t="s">
        <v>773</v>
      </c>
      <c r="C60" s="234">
        <v>4.1E-5</v>
      </c>
      <c r="D60" s="234">
        <v>3.3800000000000002E-5</v>
      </c>
      <c r="E60" s="231">
        <v>62877</v>
      </c>
      <c r="F60" s="231" t="s">
        <v>1924</v>
      </c>
      <c r="G60" s="392">
        <v>20004</v>
      </c>
      <c r="H60" s="392">
        <v>0</v>
      </c>
      <c r="I60" s="392">
        <v>39503</v>
      </c>
      <c r="J60" s="231">
        <v>18370</v>
      </c>
      <c r="K60" s="231">
        <v>77877</v>
      </c>
      <c r="L60" s="231"/>
      <c r="M60" s="300">
        <v>0</v>
      </c>
      <c r="N60" s="300">
        <v>89833</v>
      </c>
      <c r="O60" s="300">
        <v>0</v>
      </c>
      <c r="P60" s="231">
        <v>4076</v>
      </c>
      <c r="Q60" s="231">
        <v>93909</v>
      </c>
      <c r="R60" s="231"/>
      <c r="S60" s="392">
        <v>27127</v>
      </c>
      <c r="T60" s="231">
        <v>6767</v>
      </c>
      <c r="U60" s="396">
        <v>33894</v>
      </c>
      <c r="V60" s="231"/>
      <c r="W60" s="396">
        <v>244085</v>
      </c>
      <c r="X60" s="396">
        <v>-86247</v>
      </c>
      <c r="Y60" s="396"/>
      <c r="Z60" s="396"/>
    </row>
    <row r="61" spans="1:26">
      <c r="A61" s="390">
        <v>90709</v>
      </c>
      <c r="B61" s="391" t="s">
        <v>774</v>
      </c>
      <c r="C61" s="234">
        <v>1.416E-4</v>
      </c>
      <c r="D61" s="234">
        <v>1.4219999999999999E-4</v>
      </c>
      <c r="E61" s="231">
        <v>217157</v>
      </c>
      <c r="F61" s="231" t="s">
        <v>1924</v>
      </c>
      <c r="G61" s="392">
        <v>69086</v>
      </c>
      <c r="H61" s="392">
        <v>0</v>
      </c>
      <c r="I61" s="392">
        <v>136430</v>
      </c>
      <c r="J61" s="231">
        <v>19816</v>
      </c>
      <c r="K61" s="231">
        <v>225332</v>
      </c>
      <c r="L61" s="231"/>
      <c r="M61" s="300">
        <v>0</v>
      </c>
      <c r="N61" s="300">
        <v>310252</v>
      </c>
      <c r="O61" s="300">
        <v>0</v>
      </c>
      <c r="P61" s="231">
        <v>7336</v>
      </c>
      <c r="Q61" s="231">
        <v>317588</v>
      </c>
      <c r="R61" s="231"/>
      <c r="S61" s="392">
        <v>93689</v>
      </c>
      <c r="T61" s="231">
        <v>7060</v>
      </c>
      <c r="U61" s="396">
        <v>100749</v>
      </c>
      <c r="V61" s="231"/>
      <c r="W61" s="396">
        <v>842986</v>
      </c>
      <c r="X61" s="396">
        <v>-297867</v>
      </c>
      <c r="Y61" s="396"/>
      <c r="Z61" s="396"/>
    </row>
    <row r="62" spans="1:26">
      <c r="A62" s="390">
        <v>90711</v>
      </c>
      <c r="B62" s="391" t="s">
        <v>775</v>
      </c>
      <c r="C62" s="234">
        <v>1.5356E-3</v>
      </c>
      <c r="D62" s="234">
        <v>1.5904000000000001E-3</v>
      </c>
      <c r="E62" s="231">
        <v>2354990</v>
      </c>
      <c r="F62" s="231" t="s">
        <v>1924</v>
      </c>
      <c r="G62" s="392">
        <v>749207</v>
      </c>
      <c r="H62" s="392">
        <v>0</v>
      </c>
      <c r="I62" s="392">
        <v>1479535</v>
      </c>
      <c r="J62" s="231">
        <v>25760</v>
      </c>
      <c r="K62" s="231">
        <v>2254502</v>
      </c>
      <c r="L62" s="231"/>
      <c r="M62" s="300">
        <v>0</v>
      </c>
      <c r="N62" s="300">
        <v>3364573</v>
      </c>
      <c r="O62" s="300">
        <v>0</v>
      </c>
      <c r="P62" s="231">
        <v>117960</v>
      </c>
      <c r="Q62" s="231">
        <v>3482533</v>
      </c>
      <c r="R62" s="231"/>
      <c r="S62" s="392">
        <v>1016017</v>
      </c>
      <c r="T62" s="231">
        <v>-48402</v>
      </c>
      <c r="U62" s="396">
        <v>967615</v>
      </c>
      <c r="V62" s="231"/>
      <c r="W62" s="396">
        <v>9141875</v>
      </c>
      <c r="X62" s="396">
        <v>-3230253</v>
      </c>
      <c r="Y62" s="396"/>
      <c r="Z62" s="396"/>
    </row>
    <row r="63" spans="1:26">
      <c r="A63" s="390">
        <v>90721</v>
      </c>
      <c r="B63" s="391" t="s">
        <v>776</v>
      </c>
      <c r="C63" s="234">
        <v>2.27E-5</v>
      </c>
      <c r="D63" s="234">
        <v>2.12E-5</v>
      </c>
      <c r="E63" s="231">
        <v>34813</v>
      </c>
      <c r="F63" s="231" t="s">
        <v>1924</v>
      </c>
      <c r="G63" s="392">
        <v>11075</v>
      </c>
      <c r="H63" s="392">
        <v>0</v>
      </c>
      <c r="I63" s="392">
        <v>21871</v>
      </c>
      <c r="J63" s="231">
        <v>8321</v>
      </c>
      <c r="K63" s="231">
        <v>41267</v>
      </c>
      <c r="L63" s="231"/>
      <c r="M63" s="300">
        <v>0</v>
      </c>
      <c r="N63" s="300">
        <v>49737</v>
      </c>
      <c r="O63" s="300">
        <v>0</v>
      </c>
      <c r="P63" s="231">
        <v>2091</v>
      </c>
      <c r="Q63" s="231">
        <v>51828</v>
      </c>
      <c r="R63" s="231"/>
      <c r="S63" s="392">
        <v>15019</v>
      </c>
      <c r="T63" s="231">
        <v>1136</v>
      </c>
      <c r="U63" s="396">
        <v>16155</v>
      </c>
      <c r="V63" s="231"/>
      <c r="W63" s="396">
        <v>135140</v>
      </c>
      <c r="X63" s="396">
        <v>-47751</v>
      </c>
      <c r="Y63" s="396"/>
      <c r="Z63" s="396"/>
    </row>
    <row r="64" spans="1:26">
      <c r="A64" s="390">
        <v>90731</v>
      </c>
      <c r="B64" s="391" t="s">
        <v>777</v>
      </c>
      <c r="C64" s="234">
        <v>1.3540000000000001E-4</v>
      </c>
      <c r="D64" s="234">
        <v>1.5310000000000001E-4</v>
      </c>
      <c r="E64" s="231">
        <v>207649</v>
      </c>
      <c r="F64" s="231" t="s">
        <v>1924</v>
      </c>
      <c r="G64" s="392">
        <v>66061</v>
      </c>
      <c r="H64" s="392">
        <v>0</v>
      </c>
      <c r="I64" s="392">
        <v>130457</v>
      </c>
      <c r="J64" s="231">
        <v>15149</v>
      </c>
      <c r="K64" s="231">
        <v>211667</v>
      </c>
      <c r="L64" s="231"/>
      <c r="M64" s="300">
        <v>0</v>
      </c>
      <c r="N64" s="300">
        <v>296668</v>
      </c>
      <c r="O64" s="300">
        <v>0</v>
      </c>
      <c r="P64" s="231">
        <v>23479</v>
      </c>
      <c r="Q64" s="231">
        <v>320147</v>
      </c>
      <c r="R64" s="231"/>
      <c r="S64" s="392">
        <v>89586</v>
      </c>
      <c r="T64" s="231">
        <v>-5499</v>
      </c>
      <c r="U64" s="396">
        <v>84087</v>
      </c>
      <c r="V64" s="231"/>
      <c r="W64" s="396">
        <v>806076</v>
      </c>
      <c r="X64" s="396">
        <v>-284824</v>
      </c>
      <c r="Y64" s="396"/>
      <c r="Z64" s="396"/>
    </row>
    <row r="65" spans="1:26">
      <c r="A65" s="390">
        <v>90741</v>
      </c>
      <c r="B65" s="391" t="s">
        <v>778</v>
      </c>
      <c r="C65" s="234">
        <v>1.3200000000000001E-5</v>
      </c>
      <c r="D65" s="234">
        <v>1.33E-5</v>
      </c>
      <c r="E65" s="231">
        <v>20243</v>
      </c>
      <c r="F65" s="231" t="s">
        <v>1924</v>
      </c>
      <c r="G65" s="392">
        <v>6440</v>
      </c>
      <c r="H65" s="392">
        <v>0</v>
      </c>
      <c r="I65" s="392">
        <v>12718</v>
      </c>
      <c r="J65" s="231">
        <v>1480</v>
      </c>
      <c r="K65" s="231">
        <v>20638</v>
      </c>
      <c r="L65" s="231"/>
      <c r="M65" s="300">
        <v>0</v>
      </c>
      <c r="N65" s="300">
        <v>28922</v>
      </c>
      <c r="O65" s="300">
        <v>0</v>
      </c>
      <c r="P65" s="231">
        <v>589</v>
      </c>
      <c r="Q65" s="231">
        <v>29511</v>
      </c>
      <c r="R65" s="231"/>
      <c r="S65" s="392">
        <v>8734</v>
      </c>
      <c r="T65" s="231">
        <v>818</v>
      </c>
      <c r="U65" s="396">
        <v>9552</v>
      </c>
      <c r="V65" s="231"/>
      <c r="W65" s="396">
        <v>78583</v>
      </c>
      <c r="X65" s="396">
        <v>-27767</v>
      </c>
      <c r="Y65" s="396"/>
      <c r="Z65" s="396"/>
    </row>
    <row r="66" spans="1:26">
      <c r="A66" s="390">
        <v>90751</v>
      </c>
      <c r="B66" s="391" t="s">
        <v>779</v>
      </c>
      <c r="C66" s="234">
        <v>6.1199999999999997E-5</v>
      </c>
      <c r="D66" s="234">
        <v>6.2600000000000004E-5</v>
      </c>
      <c r="E66" s="231">
        <v>93856</v>
      </c>
      <c r="F66" s="231" t="s">
        <v>1924</v>
      </c>
      <c r="G66" s="392">
        <v>29859</v>
      </c>
      <c r="H66" s="392">
        <v>0</v>
      </c>
      <c r="I66" s="392">
        <v>58966</v>
      </c>
      <c r="J66" s="231">
        <v>1194</v>
      </c>
      <c r="K66" s="231">
        <v>90019</v>
      </c>
      <c r="L66" s="231"/>
      <c r="M66" s="300">
        <v>0</v>
      </c>
      <c r="N66" s="300">
        <v>134092</v>
      </c>
      <c r="O66" s="300">
        <v>0</v>
      </c>
      <c r="P66" s="231">
        <v>8389</v>
      </c>
      <c r="Q66" s="231">
        <v>142481</v>
      </c>
      <c r="R66" s="231"/>
      <c r="S66" s="392">
        <v>40492</v>
      </c>
      <c r="T66" s="231">
        <v>-3656</v>
      </c>
      <c r="U66" s="396">
        <v>36836</v>
      </c>
      <c r="V66" s="231"/>
      <c r="W66" s="396">
        <v>364341</v>
      </c>
      <c r="X66" s="396">
        <v>-128739</v>
      </c>
      <c r="Y66" s="396"/>
      <c r="Z66" s="396"/>
    </row>
    <row r="67" spans="1:26">
      <c r="A67" s="390">
        <v>90801</v>
      </c>
      <c r="B67" s="391" t="s">
        <v>780</v>
      </c>
      <c r="C67" s="234">
        <v>1.1333000000000001E-3</v>
      </c>
      <c r="D67" s="234">
        <v>1.2543000000000001E-3</v>
      </c>
      <c r="E67" s="231">
        <v>1738024</v>
      </c>
      <c r="F67" s="231" t="s">
        <v>1924</v>
      </c>
      <c r="G67" s="392">
        <v>552928</v>
      </c>
      <c r="H67" s="392">
        <v>0</v>
      </c>
      <c r="I67" s="392">
        <v>1091923</v>
      </c>
      <c r="J67" s="231">
        <v>0</v>
      </c>
      <c r="K67" s="231">
        <v>1644851</v>
      </c>
      <c r="L67" s="231"/>
      <c r="M67" s="300">
        <v>0</v>
      </c>
      <c r="N67" s="300">
        <v>2483115</v>
      </c>
      <c r="O67" s="300">
        <v>0</v>
      </c>
      <c r="P67" s="231">
        <v>351103</v>
      </c>
      <c r="Q67" s="231">
        <v>2834218</v>
      </c>
      <c r="R67" s="231"/>
      <c r="S67" s="392">
        <v>749839</v>
      </c>
      <c r="T67" s="231">
        <v>-131656</v>
      </c>
      <c r="U67" s="396">
        <v>618183</v>
      </c>
      <c r="V67" s="231"/>
      <c r="W67" s="396">
        <v>6746866</v>
      </c>
      <c r="X67" s="396">
        <v>-2383984</v>
      </c>
      <c r="Y67" s="396"/>
      <c r="Z67" s="396"/>
    </row>
    <row r="68" spans="1:26">
      <c r="A68" s="390">
        <v>90804</v>
      </c>
      <c r="B68" s="391" t="s">
        <v>781</v>
      </c>
      <c r="C68" s="234">
        <v>5.0000000000000004E-6</v>
      </c>
      <c r="D68" s="234">
        <v>5.0000000000000004E-6</v>
      </c>
      <c r="E68" s="231">
        <v>7668</v>
      </c>
      <c r="F68" s="231" t="s">
        <v>1924</v>
      </c>
      <c r="G68" s="392">
        <v>2439</v>
      </c>
      <c r="H68" s="392">
        <v>0</v>
      </c>
      <c r="I68" s="392">
        <v>4817</v>
      </c>
      <c r="J68" s="231">
        <v>379</v>
      </c>
      <c r="K68" s="231">
        <v>7635</v>
      </c>
      <c r="L68" s="231"/>
      <c r="M68" s="300">
        <v>0</v>
      </c>
      <c r="N68" s="300">
        <v>10955</v>
      </c>
      <c r="O68" s="300">
        <v>0</v>
      </c>
      <c r="P68" s="231">
        <v>493</v>
      </c>
      <c r="Q68" s="231">
        <v>11448</v>
      </c>
      <c r="R68" s="231"/>
      <c r="S68" s="392">
        <v>3308</v>
      </c>
      <c r="T68" s="231">
        <v>-137</v>
      </c>
      <c r="U68" s="396">
        <v>3171</v>
      </c>
      <c r="V68" s="231"/>
      <c r="W68" s="396">
        <v>29766</v>
      </c>
      <c r="X68" s="396">
        <v>-10518</v>
      </c>
      <c r="Y68" s="396"/>
      <c r="Z68" s="396"/>
    </row>
    <row r="69" spans="1:26">
      <c r="A69" s="390">
        <v>90805</v>
      </c>
      <c r="B69" s="391" t="s">
        <v>782</v>
      </c>
      <c r="C69" s="234">
        <v>6.0800000000000001E-5</v>
      </c>
      <c r="D69" s="234">
        <v>6.3E-5</v>
      </c>
      <c r="E69" s="231">
        <v>93243</v>
      </c>
      <c r="F69" s="231" t="s">
        <v>1924</v>
      </c>
      <c r="G69" s="392">
        <v>29664</v>
      </c>
      <c r="H69" s="392">
        <v>0</v>
      </c>
      <c r="I69" s="392">
        <v>58580</v>
      </c>
      <c r="J69" s="231">
        <v>19192</v>
      </c>
      <c r="K69" s="231">
        <v>107436</v>
      </c>
      <c r="L69" s="231"/>
      <c r="M69" s="300">
        <v>0</v>
      </c>
      <c r="N69" s="300">
        <v>133216</v>
      </c>
      <c r="O69" s="300">
        <v>0</v>
      </c>
      <c r="P69" s="231">
        <v>0</v>
      </c>
      <c r="Q69" s="231">
        <v>133216</v>
      </c>
      <c r="R69" s="231"/>
      <c r="S69" s="392">
        <v>40228</v>
      </c>
      <c r="T69" s="231">
        <v>12251</v>
      </c>
      <c r="U69" s="396">
        <v>52479</v>
      </c>
      <c r="V69" s="231"/>
      <c r="W69" s="396">
        <v>361960</v>
      </c>
      <c r="X69" s="396">
        <v>-127897</v>
      </c>
      <c r="Y69" s="396"/>
      <c r="Z69" s="396"/>
    </row>
    <row r="70" spans="1:26">
      <c r="A70" s="390">
        <v>90808</v>
      </c>
      <c r="B70" s="391" t="s">
        <v>783</v>
      </c>
      <c r="C70" s="234">
        <v>1.2530000000000001E-4</v>
      </c>
      <c r="D70" s="234">
        <v>1.4809999999999999E-4</v>
      </c>
      <c r="E70" s="231">
        <v>192160</v>
      </c>
      <c r="F70" s="231" t="s">
        <v>1924</v>
      </c>
      <c r="G70" s="392">
        <v>61133</v>
      </c>
      <c r="H70" s="392">
        <v>0</v>
      </c>
      <c r="I70" s="392">
        <v>120725</v>
      </c>
      <c r="J70" s="231">
        <v>28438</v>
      </c>
      <c r="K70" s="231">
        <v>210296</v>
      </c>
      <c r="L70" s="231"/>
      <c r="M70" s="300">
        <v>0</v>
      </c>
      <c r="N70" s="300">
        <v>274538</v>
      </c>
      <c r="O70" s="300">
        <v>0</v>
      </c>
      <c r="P70" s="231">
        <v>32768</v>
      </c>
      <c r="Q70" s="231">
        <v>307306</v>
      </c>
      <c r="R70" s="231"/>
      <c r="S70" s="392">
        <v>82904</v>
      </c>
      <c r="T70" s="231">
        <v>4440</v>
      </c>
      <c r="U70" s="396">
        <v>87344</v>
      </c>
      <c r="V70" s="231"/>
      <c r="W70" s="396">
        <v>745947</v>
      </c>
      <c r="X70" s="396">
        <v>-263578</v>
      </c>
      <c r="Y70" s="396"/>
      <c r="Z70" s="396"/>
    </row>
    <row r="71" spans="1:26">
      <c r="A71" s="390">
        <v>90811</v>
      </c>
      <c r="B71" s="391" t="s">
        <v>784</v>
      </c>
      <c r="C71" s="234">
        <v>3.3099999999999998E-5</v>
      </c>
      <c r="D71" s="234">
        <v>3.8999999999999999E-5</v>
      </c>
      <c r="E71" s="231">
        <v>50762</v>
      </c>
      <c r="F71" s="231" t="s">
        <v>1924</v>
      </c>
      <c r="G71" s="392">
        <v>16149</v>
      </c>
      <c r="H71" s="392">
        <v>0</v>
      </c>
      <c r="I71" s="392">
        <v>31892</v>
      </c>
      <c r="J71" s="231">
        <v>1910</v>
      </c>
      <c r="K71" s="231">
        <v>49951</v>
      </c>
      <c r="L71" s="231"/>
      <c r="M71" s="300">
        <v>0</v>
      </c>
      <c r="N71" s="300">
        <v>72524</v>
      </c>
      <c r="O71" s="300">
        <v>0</v>
      </c>
      <c r="P71" s="231">
        <v>14060</v>
      </c>
      <c r="Q71" s="231">
        <v>86584</v>
      </c>
      <c r="R71" s="231"/>
      <c r="S71" s="392">
        <v>21900</v>
      </c>
      <c r="T71" s="231">
        <v>-6342</v>
      </c>
      <c r="U71" s="396">
        <v>15558</v>
      </c>
      <c r="V71" s="231"/>
      <c r="W71" s="396">
        <v>197054</v>
      </c>
      <c r="X71" s="396">
        <v>-69628</v>
      </c>
      <c r="Y71" s="396"/>
      <c r="Z71" s="396"/>
    </row>
    <row r="72" spans="1:26">
      <c r="A72" s="390">
        <v>90812</v>
      </c>
      <c r="B72" s="391" t="s">
        <v>785</v>
      </c>
      <c r="C72" s="234">
        <v>2.22E-4</v>
      </c>
      <c r="D72" s="234">
        <v>2.0900000000000001E-4</v>
      </c>
      <c r="E72" s="231">
        <v>340458</v>
      </c>
      <c r="F72" s="231" t="s">
        <v>1924</v>
      </c>
      <c r="G72" s="392">
        <v>108312</v>
      </c>
      <c r="H72" s="392">
        <v>0</v>
      </c>
      <c r="I72" s="392">
        <v>213895</v>
      </c>
      <c r="J72" s="231">
        <v>16407</v>
      </c>
      <c r="K72" s="231">
        <v>338614</v>
      </c>
      <c r="L72" s="231"/>
      <c r="M72" s="300">
        <v>0</v>
      </c>
      <c r="N72" s="300">
        <v>486413</v>
      </c>
      <c r="O72" s="300">
        <v>0</v>
      </c>
      <c r="P72" s="231">
        <v>14529</v>
      </c>
      <c r="Q72" s="231">
        <v>500942</v>
      </c>
      <c r="R72" s="231"/>
      <c r="S72" s="392">
        <v>146885</v>
      </c>
      <c r="T72" s="231">
        <v>299</v>
      </c>
      <c r="U72" s="396">
        <v>147184</v>
      </c>
      <c r="V72" s="231"/>
      <c r="W72" s="396">
        <v>1321631</v>
      </c>
      <c r="X72" s="396">
        <v>-466994</v>
      </c>
      <c r="Y72" s="396"/>
      <c r="Z72" s="396"/>
    </row>
    <row r="73" spans="1:26">
      <c r="A73" s="390">
        <v>90813</v>
      </c>
      <c r="B73" s="391" t="s">
        <v>786</v>
      </c>
      <c r="C73" s="234">
        <v>0</v>
      </c>
      <c r="D73" s="234">
        <v>4.0999999999999997E-6</v>
      </c>
      <c r="E73" s="231">
        <v>0</v>
      </c>
      <c r="F73" s="231" t="s">
        <v>1924</v>
      </c>
      <c r="G73" s="392">
        <v>0</v>
      </c>
      <c r="H73" s="392">
        <v>0</v>
      </c>
      <c r="I73" s="392">
        <v>0</v>
      </c>
      <c r="J73" s="231">
        <v>0</v>
      </c>
      <c r="K73" s="231">
        <v>0</v>
      </c>
      <c r="L73" s="231"/>
      <c r="M73" s="300">
        <v>0</v>
      </c>
      <c r="N73" s="300">
        <v>0</v>
      </c>
      <c r="O73" s="300">
        <v>0</v>
      </c>
      <c r="P73" s="231">
        <v>5930</v>
      </c>
      <c r="Q73" s="231">
        <v>5930</v>
      </c>
      <c r="R73" s="231"/>
      <c r="S73" s="392">
        <v>0</v>
      </c>
      <c r="T73" s="231">
        <v>-2271</v>
      </c>
      <c r="U73" s="396">
        <v>-2271</v>
      </c>
      <c r="V73" s="231"/>
      <c r="W73" s="396">
        <v>0</v>
      </c>
      <c r="X73" s="396">
        <v>0</v>
      </c>
      <c r="Y73" s="396"/>
      <c r="Z73" s="396"/>
    </row>
    <row r="74" spans="1:26">
      <c r="A74" s="390">
        <v>90861</v>
      </c>
      <c r="B74" s="391" t="s">
        <v>787</v>
      </c>
      <c r="C74" s="234">
        <v>3.5999999999999998E-6</v>
      </c>
      <c r="D74" s="234">
        <v>2.5000000000000002E-6</v>
      </c>
      <c r="E74" s="231">
        <v>5521</v>
      </c>
      <c r="F74" s="231" t="s">
        <v>1924</v>
      </c>
      <c r="G74" s="392">
        <v>1756</v>
      </c>
      <c r="H74" s="392">
        <v>0</v>
      </c>
      <c r="I74" s="392">
        <v>3469</v>
      </c>
      <c r="J74" s="231">
        <v>7258</v>
      </c>
      <c r="K74" s="231">
        <v>12483</v>
      </c>
      <c r="L74" s="231"/>
      <c r="M74" s="300">
        <v>0</v>
      </c>
      <c r="N74" s="300">
        <v>7888</v>
      </c>
      <c r="O74" s="300">
        <v>0</v>
      </c>
      <c r="P74" s="231">
        <v>3710</v>
      </c>
      <c r="Q74" s="231">
        <v>11598</v>
      </c>
      <c r="R74" s="231"/>
      <c r="S74" s="392">
        <v>2382</v>
      </c>
      <c r="T74" s="231">
        <v>1875</v>
      </c>
      <c r="U74" s="396">
        <v>4257</v>
      </c>
      <c r="V74" s="231"/>
      <c r="W74" s="396">
        <v>21432</v>
      </c>
      <c r="X74" s="396">
        <v>-7573</v>
      </c>
      <c r="Y74" s="396"/>
      <c r="Z74" s="396"/>
    </row>
    <row r="75" spans="1:26">
      <c r="A75" s="390">
        <v>90901</v>
      </c>
      <c r="B75" s="391" t="s">
        <v>788</v>
      </c>
      <c r="C75" s="234">
        <v>2.0815E-3</v>
      </c>
      <c r="D75" s="234">
        <v>2.0888E-3</v>
      </c>
      <c r="E75" s="231">
        <v>3192180</v>
      </c>
      <c r="F75" s="231" t="s">
        <v>1924</v>
      </c>
      <c r="G75" s="392">
        <v>1015547</v>
      </c>
      <c r="H75" s="392">
        <v>0</v>
      </c>
      <c r="I75" s="392">
        <v>2005504</v>
      </c>
      <c r="J75" s="231">
        <v>48281</v>
      </c>
      <c r="K75" s="231">
        <v>3069332</v>
      </c>
      <c r="L75" s="231"/>
      <c r="M75" s="300">
        <v>0</v>
      </c>
      <c r="N75" s="300">
        <v>4560666</v>
      </c>
      <c r="O75" s="300">
        <v>0</v>
      </c>
      <c r="P75" s="231">
        <v>144481</v>
      </c>
      <c r="Q75" s="231">
        <v>4705147</v>
      </c>
      <c r="R75" s="231"/>
      <c r="S75" s="392">
        <v>1377208</v>
      </c>
      <c r="T75" s="231">
        <v>-45179</v>
      </c>
      <c r="U75" s="396">
        <v>1332029</v>
      </c>
      <c r="V75" s="231"/>
      <c r="W75" s="396">
        <v>12391777</v>
      </c>
      <c r="X75" s="396">
        <v>-4378596</v>
      </c>
      <c r="Y75" s="396"/>
      <c r="Z75" s="396"/>
    </row>
    <row r="76" spans="1:26">
      <c r="A76" s="390">
        <v>90911</v>
      </c>
      <c r="B76" s="391" t="s">
        <v>789</v>
      </c>
      <c r="C76" s="234">
        <v>3.5619999999999998E-4</v>
      </c>
      <c r="D76" s="234">
        <v>3.7490000000000001E-4</v>
      </c>
      <c r="E76" s="231">
        <v>546267</v>
      </c>
      <c r="F76" s="231" t="s">
        <v>1924</v>
      </c>
      <c r="G76" s="392">
        <v>173787</v>
      </c>
      <c r="H76" s="392">
        <v>0</v>
      </c>
      <c r="I76" s="392">
        <v>343195</v>
      </c>
      <c r="J76" s="231">
        <v>0</v>
      </c>
      <c r="K76" s="231">
        <v>516982</v>
      </c>
      <c r="L76" s="231"/>
      <c r="M76" s="300">
        <v>0</v>
      </c>
      <c r="N76" s="300">
        <v>780451</v>
      </c>
      <c r="O76" s="300">
        <v>0</v>
      </c>
      <c r="P76" s="231">
        <v>86202</v>
      </c>
      <c r="Q76" s="231">
        <v>866653</v>
      </c>
      <c r="R76" s="231"/>
      <c r="S76" s="392">
        <v>235677</v>
      </c>
      <c r="T76" s="231">
        <v>-35016</v>
      </c>
      <c r="U76" s="396">
        <v>200661</v>
      </c>
      <c r="V76" s="231"/>
      <c r="W76" s="396">
        <v>2120563</v>
      </c>
      <c r="X76" s="396">
        <v>-749294</v>
      </c>
      <c r="Y76" s="396"/>
      <c r="Z76" s="396"/>
    </row>
    <row r="77" spans="1:26">
      <c r="A77" s="390">
        <v>90917</v>
      </c>
      <c r="B77" s="391" t="s">
        <v>790</v>
      </c>
      <c r="C77" s="234">
        <v>9.5000000000000005E-6</v>
      </c>
      <c r="D77" s="234">
        <v>9.7999999999999993E-6</v>
      </c>
      <c r="E77" s="231">
        <v>14569</v>
      </c>
      <c r="F77" s="231" t="s">
        <v>1924</v>
      </c>
      <c r="G77" s="392">
        <v>4635</v>
      </c>
      <c r="H77" s="392">
        <v>0</v>
      </c>
      <c r="I77" s="392">
        <v>9153</v>
      </c>
      <c r="J77" s="231">
        <v>3492</v>
      </c>
      <c r="K77" s="231">
        <v>17280</v>
      </c>
      <c r="L77" s="231"/>
      <c r="M77" s="300">
        <v>0</v>
      </c>
      <c r="N77" s="300">
        <v>20815</v>
      </c>
      <c r="O77" s="300">
        <v>0</v>
      </c>
      <c r="P77" s="231">
        <v>1382</v>
      </c>
      <c r="Q77" s="231">
        <v>22197</v>
      </c>
      <c r="R77" s="231"/>
      <c r="S77" s="392">
        <v>6286</v>
      </c>
      <c r="T77" s="231">
        <v>574</v>
      </c>
      <c r="U77" s="396">
        <v>6860</v>
      </c>
      <c r="V77" s="231"/>
      <c r="W77" s="396">
        <v>56556</v>
      </c>
      <c r="X77" s="396">
        <v>-19984</v>
      </c>
      <c r="Y77" s="396"/>
      <c r="Z77" s="396"/>
    </row>
    <row r="78" spans="1:26">
      <c r="A78" s="390">
        <v>90918</v>
      </c>
      <c r="B78" s="391" t="s">
        <v>791</v>
      </c>
      <c r="C78" s="234">
        <v>9.3999999999999998E-6</v>
      </c>
      <c r="D78" s="234">
        <v>9.9000000000000001E-6</v>
      </c>
      <c r="E78" s="231">
        <v>14416</v>
      </c>
      <c r="F78" s="231" t="s">
        <v>1924</v>
      </c>
      <c r="G78" s="392">
        <v>4586</v>
      </c>
      <c r="H78" s="392">
        <v>0</v>
      </c>
      <c r="I78" s="392">
        <v>9057</v>
      </c>
      <c r="J78" s="231">
        <v>0</v>
      </c>
      <c r="K78" s="231">
        <v>13643</v>
      </c>
      <c r="L78" s="231"/>
      <c r="M78" s="300">
        <v>0</v>
      </c>
      <c r="N78" s="300">
        <v>20596</v>
      </c>
      <c r="O78" s="300">
        <v>0</v>
      </c>
      <c r="P78" s="231">
        <v>1843</v>
      </c>
      <c r="Q78" s="231">
        <v>22439</v>
      </c>
      <c r="R78" s="231"/>
      <c r="S78" s="392">
        <v>6219</v>
      </c>
      <c r="T78" s="231">
        <v>-1133</v>
      </c>
      <c r="U78" s="396">
        <v>5086</v>
      </c>
      <c r="V78" s="231"/>
      <c r="W78" s="396">
        <v>55961</v>
      </c>
      <c r="X78" s="396">
        <v>-19774</v>
      </c>
      <c r="Y78" s="396"/>
      <c r="Z78" s="396"/>
    </row>
    <row r="79" spans="1:26">
      <c r="A79" s="390">
        <v>90921</v>
      </c>
      <c r="B79" s="391" t="s">
        <v>792</v>
      </c>
      <c r="C79" s="234">
        <v>1.145E-4</v>
      </c>
      <c r="D79" s="234">
        <v>1.027E-4</v>
      </c>
      <c r="E79" s="231">
        <v>175597</v>
      </c>
      <c r="F79" s="231" t="s">
        <v>1924</v>
      </c>
      <c r="G79" s="392">
        <v>55864</v>
      </c>
      <c r="H79" s="392">
        <v>0</v>
      </c>
      <c r="I79" s="392">
        <v>110320</v>
      </c>
      <c r="J79" s="231">
        <v>27376</v>
      </c>
      <c r="K79" s="231">
        <v>193560</v>
      </c>
      <c r="L79" s="231"/>
      <c r="M79" s="300">
        <v>0</v>
      </c>
      <c r="N79" s="300">
        <v>250875</v>
      </c>
      <c r="O79" s="300">
        <v>0</v>
      </c>
      <c r="P79" s="231">
        <v>9017</v>
      </c>
      <c r="Q79" s="231">
        <v>259892</v>
      </c>
      <c r="R79" s="231"/>
      <c r="S79" s="392">
        <v>75758</v>
      </c>
      <c r="T79" s="231">
        <v>11566</v>
      </c>
      <c r="U79" s="396">
        <v>87324</v>
      </c>
      <c r="V79" s="231"/>
      <c r="W79" s="396">
        <v>681652</v>
      </c>
      <c r="X79" s="396">
        <v>-240860</v>
      </c>
      <c r="Y79" s="396"/>
      <c r="Z79" s="396"/>
    </row>
    <row r="80" spans="1:26">
      <c r="A80" s="390">
        <v>90931</v>
      </c>
      <c r="B80" s="391" t="s">
        <v>793</v>
      </c>
      <c r="C80" s="234">
        <v>3.2199999999999997E-5</v>
      </c>
      <c r="D80" s="234">
        <v>3.18E-5</v>
      </c>
      <c r="E80" s="231">
        <v>49382</v>
      </c>
      <c r="F80" s="231" t="s">
        <v>1924</v>
      </c>
      <c r="G80" s="392">
        <v>15710</v>
      </c>
      <c r="H80" s="392">
        <v>0</v>
      </c>
      <c r="I80" s="392">
        <v>31024</v>
      </c>
      <c r="J80" s="231">
        <v>259</v>
      </c>
      <c r="K80" s="231">
        <v>46993</v>
      </c>
      <c r="L80" s="231"/>
      <c r="M80" s="300">
        <v>0</v>
      </c>
      <c r="N80" s="300">
        <v>70552</v>
      </c>
      <c r="O80" s="300">
        <v>0</v>
      </c>
      <c r="P80" s="231">
        <v>6852</v>
      </c>
      <c r="Q80" s="231">
        <v>77404</v>
      </c>
      <c r="R80" s="231"/>
      <c r="S80" s="392">
        <v>21305</v>
      </c>
      <c r="T80" s="231">
        <v>-6181</v>
      </c>
      <c r="U80" s="396">
        <v>15124</v>
      </c>
      <c r="V80" s="231"/>
      <c r="W80" s="396">
        <v>191696</v>
      </c>
      <c r="X80" s="396">
        <v>-67735</v>
      </c>
      <c r="Y80" s="396"/>
      <c r="Z80" s="396"/>
    </row>
    <row r="81" spans="1:26">
      <c r="A81" s="390">
        <v>90941</v>
      </c>
      <c r="B81" s="391" t="s">
        <v>794</v>
      </c>
      <c r="C81" s="234">
        <v>7.3800000000000005E-5</v>
      </c>
      <c r="D81" s="234">
        <v>6.9999999999999994E-5</v>
      </c>
      <c r="E81" s="231">
        <v>113179</v>
      </c>
      <c r="F81" s="231" t="s">
        <v>1924</v>
      </c>
      <c r="G81" s="392">
        <v>36006</v>
      </c>
      <c r="H81" s="392">
        <v>0</v>
      </c>
      <c r="I81" s="392">
        <v>71106</v>
      </c>
      <c r="J81" s="231">
        <v>8968</v>
      </c>
      <c r="K81" s="231">
        <v>116080</v>
      </c>
      <c r="L81" s="231"/>
      <c r="M81" s="300">
        <v>0</v>
      </c>
      <c r="N81" s="300">
        <v>161699</v>
      </c>
      <c r="O81" s="300">
        <v>0</v>
      </c>
      <c r="P81" s="231">
        <v>10466</v>
      </c>
      <c r="Q81" s="231">
        <v>172165</v>
      </c>
      <c r="R81" s="231"/>
      <c r="S81" s="392">
        <v>48829</v>
      </c>
      <c r="T81" s="231">
        <v>-3792</v>
      </c>
      <c r="U81" s="396">
        <v>45037</v>
      </c>
      <c r="V81" s="231"/>
      <c r="W81" s="396">
        <v>439353</v>
      </c>
      <c r="X81" s="396">
        <v>-155244</v>
      </c>
      <c r="Y81" s="396"/>
      <c r="Z81" s="396"/>
    </row>
    <row r="82" spans="1:26">
      <c r="A82" s="390">
        <v>91001</v>
      </c>
      <c r="B82" s="391" t="s">
        <v>795</v>
      </c>
      <c r="C82" s="234">
        <v>7.1763E-3</v>
      </c>
      <c r="D82" s="234">
        <v>7.1149000000000004E-3</v>
      </c>
      <c r="E82" s="231">
        <v>11005545</v>
      </c>
      <c r="F82" s="231" t="s">
        <v>1924</v>
      </c>
      <c r="G82" s="392">
        <v>3501259</v>
      </c>
      <c r="H82" s="392">
        <v>0</v>
      </c>
      <c r="I82" s="392">
        <v>6914293</v>
      </c>
      <c r="J82" s="231">
        <v>174425</v>
      </c>
      <c r="K82" s="231">
        <v>10589977</v>
      </c>
      <c r="L82" s="231"/>
      <c r="M82" s="300">
        <v>0</v>
      </c>
      <c r="N82" s="300">
        <v>15723618</v>
      </c>
      <c r="O82" s="300">
        <v>0</v>
      </c>
      <c r="P82" s="231">
        <v>493777</v>
      </c>
      <c r="Q82" s="231">
        <v>16217395</v>
      </c>
      <c r="R82" s="231"/>
      <c r="S82" s="392">
        <v>4748141</v>
      </c>
      <c r="T82" s="231">
        <v>-175071</v>
      </c>
      <c r="U82" s="396">
        <v>4573070</v>
      </c>
      <c r="V82" s="231"/>
      <c r="W82" s="396">
        <v>42722609</v>
      </c>
      <c r="X82" s="396">
        <v>-15095900</v>
      </c>
      <c r="Y82" s="396"/>
      <c r="Z82" s="396"/>
    </row>
    <row r="83" spans="1:26">
      <c r="A83" s="390">
        <v>91002</v>
      </c>
      <c r="B83" s="391" t="s">
        <v>796</v>
      </c>
      <c r="C83" s="234">
        <v>1.2972000000000001E-3</v>
      </c>
      <c r="D83" s="234">
        <v>1.1846999999999999E-3</v>
      </c>
      <c r="E83" s="231">
        <v>1989381</v>
      </c>
      <c r="F83" s="231" t="s">
        <v>1924</v>
      </c>
      <c r="G83" s="392">
        <v>632894</v>
      </c>
      <c r="H83" s="392">
        <v>0</v>
      </c>
      <c r="I83" s="392">
        <v>1249839</v>
      </c>
      <c r="J83" s="231">
        <v>228370</v>
      </c>
      <c r="K83" s="231">
        <v>2111103</v>
      </c>
      <c r="L83" s="231"/>
      <c r="M83" s="300">
        <v>0</v>
      </c>
      <c r="N83" s="300">
        <v>2842227</v>
      </c>
      <c r="O83" s="300">
        <v>0</v>
      </c>
      <c r="P83" s="231">
        <v>156798</v>
      </c>
      <c r="Q83" s="231">
        <v>2999025</v>
      </c>
      <c r="R83" s="231"/>
      <c r="S83" s="392">
        <v>858282</v>
      </c>
      <c r="T83" s="231">
        <v>45331</v>
      </c>
      <c r="U83" s="396">
        <v>903613</v>
      </c>
      <c r="V83" s="231"/>
      <c r="W83" s="396">
        <v>7722610</v>
      </c>
      <c r="X83" s="396">
        <v>-2728760</v>
      </c>
      <c r="Y83" s="396"/>
      <c r="Z83" s="396"/>
    </row>
    <row r="84" spans="1:26">
      <c r="A84" s="390">
        <v>91003</v>
      </c>
      <c r="B84" s="391" t="s">
        <v>797</v>
      </c>
      <c r="C84" s="234">
        <v>6.0979999999999997E-4</v>
      </c>
      <c r="D84" s="234">
        <v>5.7609999999999996E-4</v>
      </c>
      <c r="E84" s="231">
        <v>935187</v>
      </c>
      <c r="F84" s="231" t="s">
        <v>1924</v>
      </c>
      <c r="G84" s="392">
        <v>297517</v>
      </c>
      <c r="H84" s="392">
        <v>0</v>
      </c>
      <c r="I84" s="392">
        <v>587536</v>
      </c>
      <c r="J84" s="231">
        <v>79251</v>
      </c>
      <c r="K84" s="231">
        <v>964304</v>
      </c>
      <c r="L84" s="231"/>
      <c r="M84" s="300">
        <v>0</v>
      </c>
      <c r="N84" s="300">
        <v>1336101</v>
      </c>
      <c r="O84" s="300">
        <v>0</v>
      </c>
      <c r="P84" s="231">
        <v>20074</v>
      </c>
      <c r="Q84" s="231">
        <v>1356175</v>
      </c>
      <c r="R84" s="231"/>
      <c r="S84" s="392">
        <v>403469</v>
      </c>
      <c r="T84" s="231">
        <v>20364</v>
      </c>
      <c r="U84" s="396">
        <v>423833</v>
      </c>
      <c r="V84" s="231"/>
      <c r="W84" s="396">
        <v>3630317</v>
      </c>
      <c r="X84" s="396">
        <v>-1282761</v>
      </c>
      <c r="Y84" s="396"/>
      <c r="Z84" s="396"/>
    </row>
    <row r="85" spans="1:26">
      <c r="A85" s="390">
        <v>91004</v>
      </c>
      <c r="B85" s="391" t="s">
        <v>798</v>
      </c>
      <c r="C85" s="234">
        <v>4.2299999999999998E-5</v>
      </c>
      <c r="D85" s="234">
        <v>3.6600000000000002E-5</v>
      </c>
      <c r="E85" s="231">
        <v>64871</v>
      </c>
      <c r="F85" s="231" t="s">
        <v>1924</v>
      </c>
      <c r="G85" s="392">
        <v>20638</v>
      </c>
      <c r="H85" s="392">
        <v>0</v>
      </c>
      <c r="I85" s="392">
        <v>40756</v>
      </c>
      <c r="J85" s="231">
        <v>10539</v>
      </c>
      <c r="K85" s="231">
        <v>71933</v>
      </c>
      <c r="L85" s="231"/>
      <c r="M85" s="300">
        <v>0</v>
      </c>
      <c r="N85" s="300">
        <v>92681</v>
      </c>
      <c r="O85" s="300">
        <v>0</v>
      </c>
      <c r="P85" s="231">
        <v>1684</v>
      </c>
      <c r="Q85" s="231">
        <v>94365</v>
      </c>
      <c r="R85" s="231"/>
      <c r="S85" s="392">
        <v>27987</v>
      </c>
      <c r="T85" s="231">
        <v>5882</v>
      </c>
      <c r="U85" s="396">
        <v>33869</v>
      </c>
      <c r="V85" s="231"/>
      <c r="W85" s="396">
        <v>251824</v>
      </c>
      <c r="X85" s="396">
        <v>-88981</v>
      </c>
      <c r="Y85" s="396"/>
      <c r="Z85" s="396"/>
    </row>
    <row r="86" spans="1:26">
      <c r="A86" s="390">
        <v>91006</v>
      </c>
      <c r="B86" s="391" t="s">
        <v>799</v>
      </c>
      <c r="C86" s="234">
        <v>1.0070999999999999E-3</v>
      </c>
      <c r="D86" s="234">
        <v>1.0206E-3</v>
      </c>
      <c r="E86" s="231">
        <v>1544485</v>
      </c>
      <c r="F86" s="231" t="s">
        <v>1924</v>
      </c>
      <c r="G86" s="392">
        <v>491356</v>
      </c>
      <c r="H86" s="392">
        <v>0</v>
      </c>
      <c r="I86" s="392">
        <v>970331</v>
      </c>
      <c r="J86" s="231">
        <v>0</v>
      </c>
      <c r="K86" s="231">
        <v>1461687</v>
      </c>
      <c r="L86" s="231"/>
      <c r="M86" s="300">
        <v>0</v>
      </c>
      <c r="N86" s="300">
        <v>2206604</v>
      </c>
      <c r="O86" s="300">
        <v>0</v>
      </c>
      <c r="P86" s="231">
        <v>115287</v>
      </c>
      <c r="Q86" s="231">
        <v>2321891</v>
      </c>
      <c r="R86" s="231"/>
      <c r="S86" s="392">
        <v>666340</v>
      </c>
      <c r="T86" s="231">
        <v>-52503</v>
      </c>
      <c r="U86" s="396">
        <v>613837</v>
      </c>
      <c r="V86" s="231"/>
      <c r="W86" s="396">
        <v>5995560</v>
      </c>
      <c r="X86" s="396">
        <v>-2118512</v>
      </c>
      <c r="Y86" s="396"/>
      <c r="Z86" s="396"/>
    </row>
    <row r="87" spans="1:26">
      <c r="A87" s="390">
        <v>91007</v>
      </c>
      <c r="B87" s="391" t="s">
        <v>800</v>
      </c>
      <c r="C87" s="234">
        <v>1.06E-5</v>
      </c>
      <c r="D87" s="234">
        <v>9.5000000000000005E-6</v>
      </c>
      <c r="E87" s="231">
        <v>16256</v>
      </c>
      <c r="F87" s="231" t="s">
        <v>1924</v>
      </c>
      <c r="G87" s="392">
        <v>5172</v>
      </c>
      <c r="H87" s="392">
        <v>0</v>
      </c>
      <c r="I87" s="392">
        <v>10213</v>
      </c>
      <c r="J87" s="231">
        <v>2725</v>
      </c>
      <c r="K87" s="231">
        <v>18110</v>
      </c>
      <c r="L87" s="231"/>
      <c r="M87" s="300">
        <v>0</v>
      </c>
      <c r="N87" s="300">
        <v>23225</v>
      </c>
      <c r="O87" s="300">
        <v>0</v>
      </c>
      <c r="P87" s="231">
        <v>733</v>
      </c>
      <c r="Q87" s="231">
        <v>23958</v>
      </c>
      <c r="R87" s="231"/>
      <c r="S87" s="392">
        <v>7013</v>
      </c>
      <c r="T87" s="231">
        <v>1262</v>
      </c>
      <c r="U87" s="396">
        <v>8275</v>
      </c>
      <c r="V87" s="231"/>
      <c r="W87" s="396">
        <v>63105</v>
      </c>
      <c r="X87" s="396">
        <v>-22298</v>
      </c>
      <c r="Y87" s="396"/>
      <c r="Z87" s="396"/>
    </row>
    <row r="88" spans="1:26">
      <c r="A88" s="390">
        <v>91008</v>
      </c>
      <c r="B88" s="391" t="s">
        <v>801</v>
      </c>
      <c r="C88" s="234">
        <v>1.5679999999999999E-4</v>
      </c>
      <c r="D88" s="234">
        <v>1.5430000000000001E-4</v>
      </c>
      <c r="E88" s="231">
        <v>240468</v>
      </c>
      <c r="F88" s="231" t="s">
        <v>1924</v>
      </c>
      <c r="G88" s="392">
        <v>76501</v>
      </c>
      <c r="H88" s="392">
        <v>0</v>
      </c>
      <c r="I88" s="392">
        <v>151075</v>
      </c>
      <c r="J88" s="231">
        <v>21079</v>
      </c>
      <c r="K88" s="231">
        <v>248655</v>
      </c>
      <c r="L88" s="231"/>
      <c r="M88" s="300">
        <v>0</v>
      </c>
      <c r="N88" s="300">
        <v>343556</v>
      </c>
      <c r="O88" s="300">
        <v>0</v>
      </c>
      <c r="P88" s="231">
        <v>0</v>
      </c>
      <c r="Q88" s="231">
        <v>343556</v>
      </c>
      <c r="R88" s="231"/>
      <c r="S88" s="392">
        <v>103745</v>
      </c>
      <c r="T88" s="231">
        <v>13314</v>
      </c>
      <c r="U88" s="396">
        <v>117059</v>
      </c>
      <c r="V88" s="231"/>
      <c r="W88" s="396">
        <v>933476</v>
      </c>
      <c r="X88" s="396">
        <v>-329841</v>
      </c>
      <c r="Y88" s="396"/>
      <c r="Z88" s="396"/>
    </row>
    <row r="89" spans="1:26">
      <c r="A89" s="390">
        <v>91009</v>
      </c>
      <c r="B89" s="391" t="s">
        <v>802</v>
      </c>
      <c r="C89" s="234">
        <v>1.1199999999999999E-5</v>
      </c>
      <c r="D89" s="234">
        <v>1.22E-5</v>
      </c>
      <c r="E89" s="231">
        <v>17176</v>
      </c>
      <c r="F89" s="231" t="s">
        <v>1924</v>
      </c>
      <c r="G89" s="392">
        <v>5464</v>
      </c>
      <c r="H89" s="392">
        <v>0</v>
      </c>
      <c r="I89" s="392">
        <v>10791</v>
      </c>
      <c r="J89" s="231">
        <v>9808</v>
      </c>
      <c r="K89" s="231">
        <v>26063</v>
      </c>
      <c r="L89" s="231"/>
      <c r="M89" s="300">
        <v>0</v>
      </c>
      <c r="N89" s="300">
        <v>24540</v>
      </c>
      <c r="O89" s="300">
        <v>0</v>
      </c>
      <c r="P89" s="231">
        <v>322</v>
      </c>
      <c r="Q89" s="231">
        <v>24862</v>
      </c>
      <c r="R89" s="231"/>
      <c r="S89" s="392">
        <v>7410</v>
      </c>
      <c r="T89" s="231">
        <v>4927</v>
      </c>
      <c r="U89" s="396">
        <v>12337</v>
      </c>
      <c r="V89" s="231"/>
      <c r="W89" s="396">
        <v>66677</v>
      </c>
      <c r="X89" s="396">
        <v>-23560</v>
      </c>
      <c r="Y89" s="396"/>
      <c r="Z89" s="396"/>
    </row>
    <row r="90" spans="1:26">
      <c r="A90" s="390">
        <v>91010</v>
      </c>
      <c r="B90" s="391" t="s">
        <v>803</v>
      </c>
      <c r="C90" s="234">
        <v>4.8999999999999998E-5</v>
      </c>
      <c r="D90" s="234">
        <v>4.9400000000000001E-5</v>
      </c>
      <c r="E90" s="231">
        <v>75146</v>
      </c>
      <c r="F90" s="231" t="s">
        <v>1924</v>
      </c>
      <c r="G90" s="392">
        <v>23907</v>
      </c>
      <c r="H90" s="392">
        <v>0</v>
      </c>
      <c r="I90" s="392">
        <v>47211</v>
      </c>
      <c r="J90" s="231">
        <v>9229</v>
      </c>
      <c r="K90" s="231">
        <v>80347</v>
      </c>
      <c r="L90" s="231"/>
      <c r="M90" s="300">
        <v>0</v>
      </c>
      <c r="N90" s="300">
        <v>107361</v>
      </c>
      <c r="O90" s="300">
        <v>0</v>
      </c>
      <c r="P90" s="231">
        <v>2957</v>
      </c>
      <c r="Q90" s="231">
        <v>110318</v>
      </c>
      <c r="R90" s="231"/>
      <c r="S90" s="392">
        <v>32420</v>
      </c>
      <c r="T90" s="231">
        <v>1467</v>
      </c>
      <c r="U90" s="396">
        <v>33887</v>
      </c>
      <c r="V90" s="231"/>
      <c r="W90" s="396">
        <v>291711</v>
      </c>
      <c r="X90" s="396">
        <v>-103075</v>
      </c>
      <c r="Y90" s="396"/>
      <c r="Z90" s="396"/>
    </row>
    <row r="91" spans="1:26">
      <c r="A91" s="390">
        <v>91011</v>
      </c>
      <c r="B91" s="391" t="s">
        <v>804</v>
      </c>
      <c r="C91" s="234">
        <v>4.0470000000000002E-4</v>
      </c>
      <c r="D91" s="234">
        <v>3.701E-4</v>
      </c>
      <c r="E91" s="231">
        <v>620646</v>
      </c>
      <c r="F91" s="231" t="s">
        <v>1924</v>
      </c>
      <c r="G91" s="392">
        <v>197450</v>
      </c>
      <c r="H91" s="392">
        <v>0</v>
      </c>
      <c r="I91" s="392">
        <v>389924</v>
      </c>
      <c r="J91" s="231">
        <v>129871</v>
      </c>
      <c r="K91" s="231">
        <v>717245</v>
      </c>
      <c r="L91" s="231"/>
      <c r="M91" s="300">
        <v>0</v>
      </c>
      <c r="N91" s="300">
        <v>886717</v>
      </c>
      <c r="O91" s="300">
        <v>0</v>
      </c>
      <c r="P91" s="231">
        <v>13024</v>
      </c>
      <c r="Q91" s="231">
        <v>899741</v>
      </c>
      <c r="R91" s="231"/>
      <c r="S91" s="392">
        <v>267767</v>
      </c>
      <c r="T91" s="231">
        <v>51595</v>
      </c>
      <c r="U91" s="396">
        <v>319362</v>
      </c>
      <c r="V91" s="231"/>
      <c r="W91" s="396">
        <v>2409297</v>
      </c>
      <c r="X91" s="396">
        <v>-851318</v>
      </c>
      <c r="Y91" s="396"/>
      <c r="Z91" s="396"/>
    </row>
    <row r="92" spans="1:26">
      <c r="A92" s="390">
        <v>91012</v>
      </c>
      <c r="B92" s="391" t="s">
        <v>805</v>
      </c>
      <c r="C92" s="234">
        <v>1.3900000000000001E-5</v>
      </c>
      <c r="D92" s="234">
        <v>1.1600000000000001E-5</v>
      </c>
      <c r="E92" s="231">
        <v>21317</v>
      </c>
      <c r="F92" s="231" t="s">
        <v>1924</v>
      </c>
      <c r="G92" s="392">
        <v>6782</v>
      </c>
      <c r="H92" s="392">
        <v>0</v>
      </c>
      <c r="I92" s="392">
        <v>13393</v>
      </c>
      <c r="J92" s="231">
        <v>6880</v>
      </c>
      <c r="K92" s="231">
        <v>27055</v>
      </c>
      <c r="L92" s="231"/>
      <c r="M92" s="300">
        <v>0</v>
      </c>
      <c r="N92" s="300">
        <v>30456</v>
      </c>
      <c r="O92" s="300">
        <v>0</v>
      </c>
      <c r="P92" s="231">
        <v>2853</v>
      </c>
      <c r="Q92" s="231">
        <v>33309</v>
      </c>
      <c r="R92" s="231"/>
      <c r="S92" s="392">
        <v>9197</v>
      </c>
      <c r="T92" s="231">
        <v>1337</v>
      </c>
      <c r="U92" s="396">
        <v>10534</v>
      </c>
      <c r="V92" s="231"/>
      <c r="W92" s="396">
        <v>82751</v>
      </c>
      <c r="X92" s="396">
        <v>-29240</v>
      </c>
      <c r="Y92" s="396"/>
      <c r="Z92" s="396"/>
    </row>
    <row r="93" spans="1:26">
      <c r="A93" s="390">
        <v>91013</v>
      </c>
      <c r="B93" s="391" t="s">
        <v>806</v>
      </c>
      <c r="C93" s="234">
        <v>3.6000000000000001E-5</v>
      </c>
      <c r="D93" s="234">
        <v>3.7200000000000003E-5</v>
      </c>
      <c r="E93" s="231">
        <v>55209</v>
      </c>
      <c r="F93" s="231" t="s">
        <v>1924</v>
      </c>
      <c r="G93" s="392">
        <v>17564</v>
      </c>
      <c r="H93" s="392">
        <v>0</v>
      </c>
      <c r="I93" s="392">
        <v>34686</v>
      </c>
      <c r="J93" s="231">
        <v>30162</v>
      </c>
      <c r="K93" s="231">
        <v>82412</v>
      </c>
      <c r="L93" s="231"/>
      <c r="M93" s="300">
        <v>0</v>
      </c>
      <c r="N93" s="300">
        <v>78878</v>
      </c>
      <c r="O93" s="300">
        <v>0</v>
      </c>
      <c r="P93" s="231">
        <v>0</v>
      </c>
      <c r="Q93" s="231">
        <v>78878</v>
      </c>
      <c r="R93" s="231"/>
      <c r="S93" s="392">
        <v>23819</v>
      </c>
      <c r="T93" s="231">
        <v>19205</v>
      </c>
      <c r="U93" s="396">
        <v>43024</v>
      </c>
      <c r="V93" s="231"/>
      <c r="W93" s="396">
        <v>214319</v>
      </c>
      <c r="X93" s="396">
        <v>-75729</v>
      </c>
      <c r="Y93" s="396"/>
      <c r="Z93" s="396"/>
    </row>
    <row r="94" spans="1:26">
      <c r="A94" s="390">
        <v>91014</v>
      </c>
      <c r="B94" s="391" t="s">
        <v>807</v>
      </c>
      <c r="C94" s="234">
        <v>1.8029999999999999E-4</v>
      </c>
      <c r="D94" s="234">
        <v>1.762E-4</v>
      </c>
      <c r="E94" s="231">
        <v>276507</v>
      </c>
      <c r="F94" s="231" t="s">
        <v>1924</v>
      </c>
      <c r="G94" s="392">
        <v>87967</v>
      </c>
      <c r="H94" s="392">
        <v>0</v>
      </c>
      <c r="I94" s="392">
        <v>173717</v>
      </c>
      <c r="J94" s="231">
        <v>20052</v>
      </c>
      <c r="K94" s="231">
        <v>281736</v>
      </c>
      <c r="L94" s="231"/>
      <c r="M94" s="300">
        <v>0</v>
      </c>
      <c r="N94" s="300">
        <v>395046</v>
      </c>
      <c r="O94" s="300">
        <v>0</v>
      </c>
      <c r="P94" s="231">
        <v>10561</v>
      </c>
      <c r="Q94" s="231">
        <v>405607</v>
      </c>
      <c r="R94" s="231"/>
      <c r="S94" s="392">
        <v>119294</v>
      </c>
      <c r="T94" s="231">
        <v>392</v>
      </c>
      <c r="U94" s="396">
        <v>119686</v>
      </c>
      <c r="V94" s="231"/>
      <c r="W94" s="396">
        <v>1073379</v>
      </c>
      <c r="X94" s="396">
        <v>-379275</v>
      </c>
      <c r="Y94" s="396"/>
      <c r="Z94" s="396"/>
    </row>
    <row r="95" spans="1:26">
      <c r="A95" s="390">
        <v>91015</v>
      </c>
      <c r="B95" s="395" t="s">
        <v>1636</v>
      </c>
      <c r="C95" s="234">
        <v>2.1699999999999999E-5</v>
      </c>
      <c r="D95" s="234">
        <v>1.6699999999999999E-5</v>
      </c>
      <c r="E95" s="231">
        <v>33279</v>
      </c>
      <c r="F95" s="231" t="s">
        <v>1924</v>
      </c>
      <c r="G95" s="392">
        <v>10587</v>
      </c>
      <c r="H95" s="392">
        <v>0</v>
      </c>
      <c r="I95" s="392">
        <v>20908</v>
      </c>
      <c r="J95" s="231">
        <v>31378</v>
      </c>
      <c r="K95" s="231">
        <v>62873</v>
      </c>
      <c r="L95" s="231"/>
      <c r="M95" s="300">
        <v>0</v>
      </c>
      <c r="N95" s="300">
        <v>47546</v>
      </c>
      <c r="O95" s="300">
        <v>0</v>
      </c>
      <c r="P95" s="231">
        <v>0</v>
      </c>
      <c r="Q95" s="231">
        <v>47546</v>
      </c>
      <c r="R95" s="231"/>
      <c r="S95" s="392">
        <v>14358</v>
      </c>
      <c r="T95" s="231">
        <v>15257</v>
      </c>
      <c r="U95" s="396">
        <v>29615</v>
      </c>
      <c r="V95" s="231"/>
      <c r="W95" s="396">
        <v>129186</v>
      </c>
      <c r="X95" s="396">
        <v>-45648</v>
      </c>
      <c r="Y95" s="396"/>
      <c r="Z95" s="396"/>
    </row>
    <row r="96" spans="1:26">
      <c r="A96" s="390">
        <v>91017</v>
      </c>
      <c r="B96" s="391" t="s">
        <v>808</v>
      </c>
      <c r="C96" s="234">
        <v>2.7500000000000001E-5</v>
      </c>
      <c r="D96" s="234">
        <v>2.8500000000000002E-5</v>
      </c>
      <c r="E96" s="231">
        <v>42174</v>
      </c>
      <c r="F96" s="231" t="s">
        <v>1924</v>
      </c>
      <c r="G96" s="392">
        <v>13417</v>
      </c>
      <c r="H96" s="392">
        <v>0</v>
      </c>
      <c r="I96" s="392">
        <v>26496</v>
      </c>
      <c r="J96" s="231">
        <v>4652</v>
      </c>
      <c r="K96" s="231">
        <v>44565</v>
      </c>
      <c r="L96" s="231"/>
      <c r="M96" s="300">
        <v>0</v>
      </c>
      <c r="N96" s="300">
        <v>60254</v>
      </c>
      <c r="O96" s="300">
        <v>0</v>
      </c>
      <c r="P96" s="231">
        <v>691</v>
      </c>
      <c r="Q96" s="231">
        <v>60945</v>
      </c>
      <c r="R96" s="231"/>
      <c r="S96" s="392">
        <v>18195</v>
      </c>
      <c r="T96" s="231">
        <v>2667</v>
      </c>
      <c r="U96" s="396">
        <v>20862</v>
      </c>
      <c r="V96" s="231"/>
      <c r="W96" s="396">
        <v>163716</v>
      </c>
      <c r="X96" s="396">
        <v>-57848</v>
      </c>
      <c r="Y96" s="396"/>
      <c r="Z96" s="396"/>
    </row>
    <row r="97" spans="1:26">
      <c r="A97" s="390">
        <v>91020</v>
      </c>
      <c r="B97" s="391" t="s">
        <v>809</v>
      </c>
      <c r="C97" s="234">
        <v>2.5400000000000001E-5</v>
      </c>
      <c r="D97" s="234">
        <v>2.1399999999999998E-5</v>
      </c>
      <c r="E97" s="231">
        <v>38953</v>
      </c>
      <c r="F97" s="231" t="s">
        <v>1924</v>
      </c>
      <c r="G97" s="392">
        <v>12392</v>
      </c>
      <c r="H97" s="392">
        <v>0</v>
      </c>
      <c r="I97" s="392">
        <v>24473</v>
      </c>
      <c r="J97" s="231">
        <v>8908</v>
      </c>
      <c r="K97" s="231">
        <v>45773</v>
      </c>
      <c r="L97" s="231"/>
      <c r="M97" s="300">
        <v>0</v>
      </c>
      <c r="N97" s="300">
        <v>55653</v>
      </c>
      <c r="O97" s="300">
        <v>0</v>
      </c>
      <c r="P97" s="231">
        <v>4090</v>
      </c>
      <c r="Q97" s="231">
        <v>59743</v>
      </c>
      <c r="R97" s="231"/>
      <c r="S97" s="392">
        <v>16806</v>
      </c>
      <c r="T97" s="231">
        <v>2197</v>
      </c>
      <c r="U97" s="396">
        <v>19003</v>
      </c>
      <c r="V97" s="231"/>
      <c r="W97" s="396">
        <v>151214</v>
      </c>
      <c r="X97" s="396">
        <v>-53431</v>
      </c>
      <c r="Y97" s="396"/>
      <c r="Z97" s="396"/>
    </row>
    <row r="98" spans="1:26">
      <c r="A98" s="390">
        <v>91021</v>
      </c>
      <c r="B98" s="391" t="s">
        <v>810</v>
      </c>
      <c r="C98" s="234">
        <v>9.3899999999999995E-4</v>
      </c>
      <c r="D98" s="234">
        <v>9.5620000000000004E-4</v>
      </c>
      <c r="E98" s="231">
        <v>1440047</v>
      </c>
      <c r="F98" s="231" t="s">
        <v>1924</v>
      </c>
      <c r="G98" s="392">
        <v>458131</v>
      </c>
      <c r="H98" s="392">
        <v>0</v>
      </c>
      <c r="I98" s="392">
        <v>904717</v>
      </c>
      <c r="J98" s="231">
        <v>59683</v>
      </c>
      <c r="K98" s="231">
        <v>1422531</v>
      </c>
      <c r="L98" s="231"/>
      <c r="M98" s="300">
        <v>0</v>
      </c>
      <c r="N98" s="300">
        <v>2057394</v>
      </c>
      <c r="O98" s="300">
        <v>0</v>
      </c>
      <c r="P98" s="231">
        <v>23403</v>
      </c>
      <c r="Q98" s="231">
        <v>2080797</v>
      </c>
      <c r="R98" s="231"/>
      <c r="S98" s="392">
        <v>621282</v>
      </c>
      <c r="T98" s="231">
        <v>21369</v>
      </c>
      <c r="U98" s="396">
        <v>642651</v>
      </c>
      <c r="V98" s="231"/>
      <c r="W98" s="396">
        <v>5590141</v>
      </c>
      <c r="X98" s="396">
        <v>-1975259</v>
      </c>
      <c r="Y98" s="396"/>
      <c r="Z98" s="396"/>
    </row>
    <row r="99" spans="1:26">
      <c r="A99" s="390">
        <v>91024</v>
      </c>
      <c r="B99" s="391" t="s">
        <v>811</v>
      </c>
      <c r="C99" s="234">
        <v>8.0000000000000007E-5</v>
      </c>
      <c r="D99" s="234">
        <v>1.0170000000000001E-4</v>
      </c>
      <c r="E99" s="231">
        <v>122688</v>
      </c>
      <c r="F99" s="231" t="s">
        <v>1924</v>
      </c>
      <c r="G99" s="392">
        <v>39031</v>
      </c>
      <c r="H99" s="392">
        <v>0</v>
      </c>
      <c r="I99" s="392">
        <v>77079</v>
      </c>
      <c r="J99" s="231">
        <v>14935</v>
      </c>
      <c r="K99" s="231">
        <v>131045</v>
      </c>
      <c r="L99" s="231"/>
      <c r="M99" s="300">
        <v>0</v>
      </c>
      <c r="N99" s="300">
        <v>175284</v>
      </c>
      <c r="O99" s="300">
        <v>0</v>
      </c>
      <c r="P99" s="231">
        <v>27961</v>
      </c>
      <c r="Q99" s="231">
        <v>203245</v>
      </c>
      <c r="R99" s="231"/>
      <c r="S99" s="392">
        <v>52931</v>
      </c>
      <c r="T99" s="231">
        <v>1450</v>
      </c>
      <c r="U99" s="396">
        <v>54381</v>
      </c>
      <c r="V99" s="231"/>
      <c r="W99" s="396">
        <v>476263</v>
      </c>
      <c r="X99" s="396">
        <v>-168286</v>
      </c>
      <c r="Y99" s="396"/>
      <c r="Z99" s="396"/>
    </row>
    <row r="100" spans="1:26">
      <c r="A100" s="390">
        <v>91026</v>
      </c>
      <c r="B100" s="391" t="s">
        <v>43</v>
      </c>
      <c r="C100" s="234">
        <v>3.1300000000000002E-5</v>
      </c>
      <c r="D100" s="234">
        <v>3.5800000000000003E-5</v>
      </c>
      <c r="E100" s="231">
        <v>48002</v>
      </c>
      <c r="F100" s="231" t="s">
        <v>1924</v>
      </c>
      <c r="G100" s="392">
        <v>15271</v>
      </c>
      <c r="H100" s="392">
        <v>0</v>
      </c>
      <c r="I100" s="392">
        <v>30157</v>
      </c>
      <c r="J100" s="231">
        <v>30512</v>
      </c>
      <c r="K100" s="231">
        <v>75940</v>
      </c>
      <c r="L100" s="231"/>
      <c r="M100" s="300">
        <v>0</v>
      </c>
      <c r="N100" s="300">
        <v>68580</v>
      </c>
      <c r="O100" s="300">
        <v>0</v>
      </c>
      <c r="P100" s="231">
        <v>0</v>
      </c>
      <c r="Q100" s="231">
        <v>68580</v>
      </c>
      <c r="R100" s="231"/>
      <c r="S100" s="392">
        <v>20709</v>
      </c>
      <c r="T100" s="231">
        <v>16808</v>
      </c>
      <c r="U100" s="396">
        <v>37517</v>
      </c>
      <c r="V100" s="231"/>
      <c r="W100" s="396">
        <v>186338</v>
      </c>
      <c r="X100" s="396">
        <v>-65842</v>
      </c>
      <c r="Y100" s="396"/>
      <c r="Z100" s="396"/>
    </row>
    <row r="101" spans="1:26">
      <c r="A101" s="390">
        <v>91027</v>
      </c>
      <c r="B101" s="391" t="s">
        <v>812</v>
      </c>
      <c r="C101" s="234">
        <v>1.9599999999999999E-5</v>
      </c>
      <c r="D101" s="234">
        <v>1.7099999999999999E-5</v>
      </c>
      <c r="E101" s="231">
        <v>30058</v>
      </c>
      <c r="F101" s="231" t="s">
        <v>1924</v>
      </c>
      <c r="G101" s="392">
        <v>9563</v>
      </c>
      <c r="H101" s="392">
        <v>0</v>
      </c>
      <c r="I101" s="392">
        <v>18884</v>
      </c>
      <c r="J101" s="231">
        <v>18941</v>
      </c>
      <c r="K101" s="231">
        <v>47388</v>
      </c>
      <c r="L101" s="231"/>
      <c r="M101" s="300">
        <v>0</v>
      </c>
      <c r="N101" s="300">
        <v>42945</v>
      </c>
      <c r="O101" s="300">
        <v>0</v>
      </c>
      <c r="P101" s="231">
        <v>0</v>
      </c>
      <c r="Q101" s="231">
        <v>42945</v>
      </c>
      <c r="R101" s="231"/>
      <c r="S101" s="392">
        <v>12968</v>
      </c>
      <c r="T101" s="231">
        <v>10245</v>
      </c>
      <c r="U101" s="396">
        <v>23213</v>
      </c>
      <c r="V101" s="231"/>
      <c r="W101" s="396">
        <v>116685</v>
      </c>
      <c r="X101" s="396">
        <v>-41230</v>
      </c>
      <c r="Y101" s="396"/>
      <c r="Z101" s="396"/>
    </row>
    <row r="102" spans="1:26">
      <c r="A102" s="390">
        <v>91032</v>
      </c>
      <c r="B102" s="391" t="s">
        <v>813</v>
      </c>
      <c r="C102" s="234">
        <v>3.3699999999999999E-5</v>
      </c>
      <c r="D102" s="234">
        <v>2.02E-5</v>
      </c>
      <c r="E102" s="231">
        <v>51682</v>
      </c>
      <c r="F102" s="231" t="s">
        <v>1924</v>
      </c>
      <c r="G102" s="392">
        <v>16442</v>
      </c>
      <c r="H102" s="392">
        <v>0</v>
      </c>
      <c r="I102" s="392">
        <v>32470</v>
      </c>
      <c r="J102" s="231">
        <v>46028</v>
      </c>
      <c r="K102" s="231">
        <v>94940</v>
      </c>
      <c r="L102" s="231"/>
      <c r="M102" s="300">
        <v>0</v>
      </c>
      <c r="N102" s="300">
        <v>73838</v>
      </c>
      <c r="O102" s="300">
        <v>0</v>
      </c>
      <c r="P102" s="231">
        <v>0</v>
      </c>
      <c r="Q102" s="231">
        <v>73838</v>
      </c>
      <c r="R102" s="231"/>
      <c r="S102" s="392">
        <v>22297</v>
      </c>
      <c r="T102" s="231">
        <v>20853</v>
      </c>
      <c r="U102" s="396">
        <v>43150</v>
      </c>
      <c r="V102" s="231"/>
      <c r="W102" s="396">
        <v>200626</v>
      </c>
      <c r="X102" s="396">
        <v>-70891</v>
      </c>
      <c r="Y102" s="396"/>
      <c r="Z102" s="396"/>
    </row>
    <row r="103" spans="1:26">
      <c r="A103" s="390">
        <v>91041</v>
      </c>
      <c r="B103" s="391" t="s">
        <v>814</v>
      </c>
      <c r="C103" s="234">
        <v>4.1340000000000002E-4</v>
      </c>
      <c r="D103" s="234">
        <v>4.773E-4</v>
      </c>
      <c r="E103" s="231">
        <v>633989</v>
      </c>
      <c r="F103" s="231" t="s">
        <v>1924</v>
      </c>
      <c r="G103" s="392">
        <v>201695</v>
      </c>
      <c r="H103" s="392">
        <v>0</v>
      </c>
      <c r="I103" s="392">
        <v>398307</v>
      </c>
      <c r="J103" s="231">
        <v>14787</v>
      </c>
      <c r="K103" s="231">
        <v>614789</v>
      </c>
      <c r="L103" s="231"/>
      <c r="M103" s="300">
        <v>0</v>
      </c>
      <c r="N103" s="300">
        <v>905779</v>
      </c>
      <c r="O103" s="300">
        <v>0</v>
      </c>
      <c r="P103" s="231">
        <v>142980</v>
      </c>
      <c r="Q103" s="231">
        <v>1048759</v>
      </c>
      <c r="R103" s="231"/>
      <c r="S103" s="392">
        <v>273523</v>
      </c>
      <c r="T103" s="231">
        <v>-54005</v>
      </c>
      <c r="U103" s="396">
        <v>219518</v>
      </c>
      <c r="V103" s="231"/>
      <c r="W103" s="396">
        <v>2461091</v>
      </c>
      <c r="X103" s="396">
        <v>-869619</v>
      </c>
      <c r="Y103" s="396"/>
      <c r="Z103" s="396"/>
    </row>
    <row r="104" spans="1:26">
      <c r="A104" s="390">
        <v>91042</v>
      </c>
      <c r="B104" s="391" t="s">
        <v>815</v>
      </c>
      <c r="C104" s="234">
        <v>2.9639999999999999E-4</v>
      </c>
      <c r="D104" s="234">
        <v>2.7510000000000002E-4</v>
      </c>
      <c r="E104" s="231">
        <v>454558</v>
      </c>
      <c r="F104" s="231" t="s">
        <v>1924</v>
      </c>
      <c r="G104" s="392">
        <v>144611</v>
      </c>
      <c r="H104" s="392">
        <v>0</v>
      </c>
      <c r="I104" s="392">
        <v>285578</v>
      </c>
      <c r="J104" s="231">
        <v>40493</v>
      </c>
      <c r="K104" s="231">
        <v>470682</v>
      </c>
      <c r="L104" s="231"/>
      <c r="M104" s="300">
        <v>0</v>
      </c>
      <c r="N104" s="300">
        <v>649427</v>
      </c>
      <c r="O104" s="300">
        <v>0</v>
      </c>
      <c r="P104" s="231">
        <v>6442</v>
      </c>
      <c r="Q104" s="231">
        <v>655869</v>
      </c>
      <c r="R104" s="231"/>
      <c r="S104" s="392">
        <v>196111</v>
      </c>
      <c r="T104" s="231">
        <v>16098</v>
      </c>
      <c r="U104" s="396">
        <v>212209</v>
      </c>
      <c r="V104" s="231"/>
      <c r="W104" s="396">
        <v>1764556</v>
      </c>
      <c r="X104" s="396">
        <v>-623500</v>
      </c>
      <c r="Y104" s="396"/>
      <c r="Z104" s="396"/>
    </row>
    <row r="105" spans="1:26">
      <c r="A105" s="390">
        <v>91047</v>
      </c>
      <c r="B105" s="391" t="s">
        <v>816</v>
      </c>
      <c r="C105" s="234">
        <v>1.24E-5</v>
      </c>
      <c r="D105" s="234">
        <v>1.03E-5</v>
      </c>
      <c r="E105" s="231">
        <v>19017</v>
      </c>
      <c r="F105" s="231" t="s">
        <v>1924</v>
      </c>
      <c r="G105" s="392">
        <v>6050</v>
      </c>
      <c r="H105" s="392">
        <v>0</v>
      </c>
      <c r="I105" s="392">
        <v>11947</v>
      </c>
      <c r="J105" s="231">
        <v>12966</v>
      </c>
      <c r="K105" s="231">
        <v>30963</v>
      </c>
      <c r="L105" s="231"/>
      <c r="M105" s="300">
        <v>0</v>
      </c>
      <c r="N105" s="300">
        <v>27169</v>
      </c>
      <c r="O105" s="300">
        <v>0</v>
      </c>
      <c r="P105" s="231">
        <v>13</v>
      </c>
      <c r="Q105" s="231">
        <v>27182</v>
      </c>
      <c r="R105" s="231"/>
      <c r="S105" s="392">
        <v>8204</v>
      </c>
      <c r="T105" s="231">
        <v>8679</v>
      </c>
      <c r="U105" s="396">
        <v>16883</v>
      </c>
      <c r="V105" s="231"/>
      <c r="W105" s="396">
        <v>73821</v>
      </c>
      <c r="X105" s="396">
        <v>-26084</v>
      </c>
      <c r="Y105" s="396"/>
      <c r="Z105" s="396"/>
    </row>
    <row r="106" spans="1:26">
      <c r="A106" s="390">
        <v>91051</v>
      </c>
      <c r="B106" s="391" t="s">
        <v>817</v>
      </c>
      <c r="C106" s="234">
        <v>4.7299999999999998E-5</v>
      </c>
      <c r="D106" s="234">
        <v>6.2199999999999994E-5</v>
      </c>
      <c r="E106" s="231">
        <v>72539</v>
      </c>
      <c r="F106" s="231" t="s">
        <v>1924</v>
      </c>
      <c r="G106" s="392">
        <v>23077</v>
      </c>
      <c r="H106" s="392">
        <v>0</v>
      </c>
      <c r="I106" s="392">
        <v>45573</v>
      </c>
      <c r="J106" s="231">
        <v>1687</v>
      </c>
      <c r="K106" s="231">
        <v>70337</v>
      </c>
      <c r="L106" s="231"/>
      <c r="M106" s="300">
        <v>0</v>
      </c>
      <c r="N106" s="300">
        <v>103637</v>
      </c>
      <c r="O106" s="300">
        <v>0</v>
      </c>
      <c r="P106" s="231">
        <v>14374</v>
      </c>
      <c r="Q106" s="231">
        <v>118011</v>
      </c>
      <c r="R106" s="231"/>
      <c r="S106" s="392">
        <v>31296</v>
      </c>
      <c r="T106" s="231">
        <v>-5508</v>
      </c>
      <c r="U106" s="396">
        <v>25788</v>
      </c>
      <c r="V106" s="231"/>
      <c r="W106" s="396">
        <v>281591</v>
      </c>
      <c r="X106" s="396">
        <v>-99499</v>
      </c>
      <c r="Y106" s="396"/>
      <c r="Z106" s="396"/>
    </row>
    <row r="107" spans="1:26">
      <c r="A107" s="390">
        <v>91057</v>
      </c>
      <c r="B107" s="391" t="s">
        <v>818</v>
      </c>
      <c r="C107" s="234">
        <v>1.11E-5</v>
      </c>
      <c r="D107" s="234">
        <v>1.1E-5</v>
      </c>
      <c r="E107" s="231">
        <v>17023</v>
      </c>
      <c r="F107" s="231" t="s">
        <v>1924</v>
      </c>
      <c r="G107" s="392">
        <v>5416</v>
      </c>
      <c r="H107" s="392">
        <v>0</v>
      </c>
      <c r="I107" s="392">
        <v>10695</v>
      </c>
      <c r="J107" s="231">
        <v>8319</v>
      </c>
      <c r="K107" s="231">
        <v>24430</v>
      </c>
      <c r="L107" s="231"/>
      <c r="M107" s="300">
        <v>0</v>
      </c>
      <c r="N107" s="300">
        <v>24321</v>
      </c>
      <c r="O107" s="300">
        <v>0</v>
      </c>
      <c r="P107" s="231">
        <v>1670</v>
      </c>
      <c r="Q107" s="231">
        <v>25991</v>
      </c>
      <c r="R107" s="231"/>
      <c r="S107" s="392">
        <v>7344</v>
      </c>
      <c r="T107" s="231">
        <v>3313</v>
      </c>
      <c r="U107" s="396">
        <v>10657</v>
      </c>
      <c r="V107" s="231"/>
      <c r="W107" s="396">
        <v>66082</v>
      </c>
      <c r="X107" s="396">
        <v>-23350</v>
      </c>
      <c r="Y107" s="396"/>
      <c r="Z107" s="396"/>
    </row>
    <row r="108" spans="1:26">
      <c r="A108" s="390">
        <v>91061</v>
      </c>
      <c r="B108" s="391" t="s">
        <v>819</v>
      </c>
      <c r="C108" s="234">
        <v>3.7439999999999999E-4</v>
      </c>
      <c r="D108" s="234">
        <v>3.7950000000000001E-4</v>
      </c>
      <c r="E108" s="231">
        <v>574178</v>
      </c>
      <c r="F108" s="231" t="s">
        <v>1924</v>
      </c>
      <c r="G108" s="392">
        <v>182667</v>
      </c>
      <c r="H108" s="392">
        <v>0</v>
      </c>
      <c r="I108" s="392">
        <v>360731</v>
      </c>
      <c r="J108" s="231">
        <v>2006</v>
      </c>
      <c r="K108" s="231">
        <v>545404</v>
      </c>
      <c r="L108" s="231"/>
      <c r="M108" s="300">
        <v>0</v>
      </c>
      <c r="N108" s="300">
        <v>820328</v>
      </c>
      <c r="O108" s="300">
        <v>0</v>
      </c>
      <c r="P108" s="231">
        <v>17850</v>
      </c>
      <c r="Q108" s="231">
        <v>838178</v>
      </c>
      <c r="R108" s="231"/>
      <c r="S108" s="392">
        <v>247719</v>
      </c>
      <c r="T108" s="231">
        <v>-8328</v>
      </c>
      <c r="U108" s="396">
        <v>239391</v>
      </c>
      <c r="V108" s="231"/>
      <c r="W108" s="396">
        <v>2228913</v>
      </c>
      <c r="X108" s="396">
        <v>-787579</v>
      </c>
      <c r="Y108" s="396"/>
      <c r="Z108" s="396"/>
    </row>
    <row r="109" spans="1:26">
      <c r="A109" s="390">
        <v>91067</v>
      </c>
      <c r="B109" s="391" t="s">
        <v>820</v>
      </c>
      <c r="C109" s="234">
        <v>1.5800000000000001E-5</v>
      </c>
      <c r="D109" s="234">
        <v>1.5400000000000002E-5</v>
      </c>
      <c r="E109" s="231">
        <v>24231</v>
      </c>
      <c r="F109" s="231" t="s">
        <v>1924</v>
      </c>
      <c r="G109" s="392">
        <v>7709</v>
      </c>
      <c r="H109" s="392">
        <v>0</v>
      </c>
      <c r="I109" s="392">
        <v>15223</v>
      </c>
      <c r="J109" s="231">
        <v>3885</v>
      </c>
      <c r="K109" s="231">
        <v>26817</v>
      </c>
      <c r="L109" s="231"/>
      <c r="M109" s="300">
        <v>0</v>
      </c>
      <c r="N109" s="300">
        <v>34619</v>
      </c>
      <c r="O109" s="300">
        <v>0</v>
      </c>
      <c r="P109" s="231">
        <v>0</v>
      </c>
      <c r="Q109" s="231">
        <v>34619</v>
      </c>
      <c r="R109" s="231"/>
      <c r="S109" s="392">
        <v>10454</v>
      </c>
      <c r="T109" s="231">
        <v>1563</v>
      </c>
      <c r="U109" s="396">
        <v>12017</v>
      </c>
      <c r="V109" s="231"/>
      <c r="W109" s="396">
        <v>94062</v>
      </c>
      <c r="X109" s="396">
        <v>-33237</v>
      </c>
      <c r="Y109" s="396"/>
      <c r="Z109" s="396"/>
    </row>
    <row r="110" spans="1:26">
      <c r="A110" s="390">
        <v>91071</v>
      </c>
      <c r="B110" s="391" t="s">
        <v>821</v>
      </c>
      <c r="C110" s="234">
        <v>2.1359999999999999E-4</v>
      </c>
      <c r="D110" s="234">
        <v>2.186E-4</v>
      </c>
      <c r="E110" s="231">
        <v>327576</v>
      </c>
      <c r="F110" s="231" t="s">
        <v>1924</v>
      </c>
      <c r="G110" s="392">
        <v>104214</v>
      </c>
      <c r="H110" s="392">
        <v>0</v>
      </c>
      <c r="I110" s="392">
        <v>205801</v>
      </c>
      <c r="J110" s="231">
        <v>0</v>
      </c>
      <c r="K110" s="231">
        <v>310015</v>
      </c>
      <c r="L110" s="231"/>
      <c r="M110" s="300">
        <v>0</v>
      </c>
      <c r="N110" s="300">
        <v>468008</v>
      </c>
      <c r="O110" s="300">
        <v>0</v>
      </c>
      <c r="P110" s="231">
        <v>21647</v>
      </c>
      <c r="Q110" s="231">
        <v>489655</v>
      </c>
      <c r="R110" s="231"/>
      <c r="S110" s="392">
        <v>141327</v>
      </c>
      <c r="T110" s="231">
        <v>-15519</v>
      </c>
      <c r="U110" s="396">
        <v>125808</v>
      </c>
      <c r="V110" s="231"/>
      <c r="W110" s="396">
        <v>1271623</v>
      </c>
      <c r="X110" s="396">
        <v>-449324</v>
      </c>
      <c r="Y110" s="396"/>
      <c r="Z110" s="396"/>
    </row>
    <row r="111" spans="1:26">
      <c r="A111" s="390">
        <v>91077</v>
      </c>
      <c r="B111" s="391" t="s">
        <v>822</v>
      </c>
      <c r="C111" s="234">
        <v>1.31E-5</v>
      </c>
      <c r="D111" s="234">
        <v>1.1600000000000001E-5</v>
      </c>
      <c r="E111" s="231">
        <v>20090</v>
      </c>
      <c r="F111" s="231" t="s">
        <v>1924</v>
      </c>
      <c r="G111" s="392">
        <v>6391</v>
      </c>
      <c r="H111" s="392">
        <v>0</v>
      </c>
      <c r="I111" s="392">
        <v>12622</v>
      </c>
      <c r="J111" s="231">
        <v>10095</v>
      </c>
      <c r="K111" s="231">
        <v>29108</v>
      </c>
      <c r="L111" s="231"/>
      <c r="M111" s="300">
        <v>0</v>
      </c>
      <c r="N111" s="300">
        <v>28703</v>
      </c>
      <c r="O111" s="300">
        <v>0</v>
      </c>
      <c r="P111" s="231">
        <v>0</v>
      </c>
      <c r="Q111" s="231">
        <v>28703</v>
      </c>
      <c r="R111" s="231"/>
      <c r="S111" s="392">
        <v>8668</v>
      </c>
      <c r="T111" s="231">
        <v>4906</v>
      </c>
      <c r="U111" s="396">
        <v>13574</v>
      </c>
      <c r="V111" s="231"/>
      <c r="W111" s="396">
        <v>77988</v>
      </c>
      <c r="X111" s="396">
        <v>-27557</v>
      </c>
      <c r="Y111" s="396"/>
      <c r="Z111" s="396"/>
    </row>
    <row r="112" spans="1:26">
      <c r="A112" s="390">
        <v>91081</v>
      </c>
      <c r="B112" s="391" t="s">
        <v>823</v>
      </c>
      <c r="C112" s="234">
        <v>4.3070000000000001E-4</v>
      </c>
      <c r="D112" s="234">
        <v>4.2880000000000001E-4</v>
      </c>
      <c r="E112" s="231">
        <v>660520</v>
      </c>
      <c r="F112" s="231" t="s">
        <v>1924</v>
      </c>
      <c r="G112" s="392">
        <v>210135</v>
      </c>
      <c r="H112" s="392">
        <v>0</v>
      </c>
      <c r="I112" s="392">
        <v>414975</v>
      </c>
      <c r="J112" s="231">
        <v>12510</v>
      </c>
      <c r="K112" s="231">
        <v>637620</v>
      </c>
      <c r="L112" s="231"/>
      <c r="M112" s="300">
        <v>0</v>
      </c>
      <c r="N112" s="300">
        <v>943684</v>
      </c>
      <c r="O112" s="300">
        <v>0</v>
      </c>
      <c r="P112" s="231">
        <v>10939</v>
      </c>
      <c r="Q112" s="231">
        <v>954623</v>
      </c>
      <c r="R112" s="231"/>
      <c r="S112" s="392">
        <v>284969</v>
      </c>
      <c r="T112" s="231">
        <v>4544</v>
      </c>
      <c r="U112" s="396">
        <v>289513</v>
      </c>
      <c r="V112" s="231"/>
      <c r="W112" s="396">
        <v>2564083</v>
      </c>
      <c r="X112" s="396">
        <v>-906011</v>
      </c>
      <c r="Y112" s="396"/>
      <c r="Z112" s="396"/>
    </row>
    <row r="113" spans="1:26">
      <c r="A113" s="390">
        <v>91091</v>
      </c>
      <c r="B113" s="391" t="s">
        <v>824</v>
      </c>
      <c r="C113" s="234">
        <v>5.8279999999999996E-4</v>
      </c>
      <c r="D113" s="234">
        <v>5.6079999999999997E-4</v>
      </c>
      <c r="E113" s="231">
        <v>893780</v>
      </c>
      <c r="F113" s="231" t="s">
        <v>1924</v>
      </c>
      <c r="G113" s="392">
        <v>284343</v>
      </c>
      <c r="H113" s="392">
        <v>0</v>
      </c>
      <c r="I113" s="392">
        <v>561522</v>
      </c>
      <c r="J113" s="231">
        <v>43514</v>
      </c>
      <c r="K113" s="231">
        <v>889379</v>
      </c>
      <c r="L113" s="231"/>
      <c r="M113" s="300">
        <v>0</v>
      </c>
      <c r="N113" s="300">
        <v>1276943</v>
      </c>
      <c r="O113" s="300">
        <v>0</v>
      </c>
      <c r="P113" s="231">
        <v>7024</v>
      </c>
      <c r="Q113" s="231">
        <v>1283967</v>
      </c>
      <c r="R113" s="231"/>
      <c r="S113" s="392">
        <v>385605</v>
      </c>
      <c r="T113" s="231">
        <v>3260</v>
      </c>
      <c r="U113" s="396">
        <v>388865</v>
      </c>
      <c r="V113" s="231"/>
      <c r="W113" s="396">
        <v>3469579</v>
      </c>
      <c r="X113" s="396">
        <v>-1225965</v>
      </c>
      <c r="Y113" s="396"/>
      <c r="Z113" s="396"/>
    </row>
    <row r="114" spans="1:26">
      <c r="A114" s="390">
        <v>91101</v>
      </c>
      <c r="B114" s="391" t="s">
        <v>825</v>
      </c>
      <c r="C114" s="234">
        <v>1.38049E-2</v>
      </c>
      <c r="D114" s="234">
        <v>1.2932900000000001E-2</v>
      </c>
      <c r="E114" s="231">
        <v>21171139</v>
      </c>
      <c r="F114" s="231" t="s">
        <v>1924</v>
      </c>
      <c r="G114" s="392">
        <v>6735300</v>
      </c>
      <c r="H114" s="392">
        <v>0</v>
      </c>
      <c r="I114" s="392">
        <v>13300883</v>
      </c>
      <c r="J114" s="231">
        <v>849409</v>
      </c>
      <c r="K114" s="231">
        <v>20885592</v>
      </c>
      <c r="L114" s="231"/>
      <c r="M114" s="300">
        <v>0</v>
      </c>
      <c r="N114" s="300">
        <v>30247199</v>
      </c>
      <c r="O114" s="300">
        <v>0</v>
      </c>
      <c r="P114" s="231">
        <v>740481</v>
      </c>
      <c r="Q114" s="231">
        <v>30987680</v>
      </c>
      <c r="R114" s="231"/>
      <c r="S114" s="392">
        <v>9133902</v>
      </c>
      <c r="T114" s="231">
        <v>-196056</v>
      </c>
      <c r="U114" s="396">
        <v>8937846</v>
      </c>
      <c r="V114" s="231"/>
      <c r="W114" s="396">
        <v>82184601</v>
      </c>
      <c r="X114" s="396">
        <v>-29039670</v>
      </c>
      <c r="Y114" s="396"/>
      <c r="Z114" s="396"/>
    </row>
    <row r="115" spans="1:26">
      <c r="A115" s="390">
        <v>91102</v>
      </c>
      <c r="B115" s="391" t="s">
        <v>826</v>
      </c>
      <c r="C115" s="234">
        <v>2.8889999999999997E-4</v>
      </c>
      <c r="D115" s="234">
        <v>2.8190000000000002E-4</v>
      </c>
      <c r="E115" s="231">
        <v>443056</v>
      </c>
      <c r="F115" s="231" t="s">
        <v>1924</v>
      </c>
      <c r="G115" s="392">
        <v>140952</v>
      </c>
      <c r="H115" s="392">
        <v>0</v>
      </c>
      <c r="I115" s="392">
        <v>278352</v>
      </c>
      <c r="J115" s="231">
        <v>22045</v>
      </c>
      <c r="K115" s="231">
        <v>441349</v>
      </c>
      <c r="L115" s="231"/>
      <c r="M115" s="300">
        <v>0</v>
      </c>
      <c r="N115" s="300">
        <v>632994</v>
      </c>
      <c r="O115" s="300">
        <v>0</v>
      </c>
      <c r="P115" s="231">
        <v>35027</v>
      </c>
      <c r="Q115" s="231">
        <v>668021</v>
      </c>
      <c r="R115" s="231"/>
      <c r="S115" s="392">
        <v>191148</v>
      </c>
      <c r="T115" s="231">
        <v>-4895</v>
      </c>
      <c r="U115" s="396">
        <v>186253</v>
      </c>
      <c r="V115" s="231"/>
      <c r="W115" s="396">
        <v>1719906</v>
      </c>
      <c r="X115" s="396">
        <v>-607723</v>
      </c>
      <c r="Y115" s="396"/>
      <c r="Z115" s="396"/>
    </row>
    <row r="116" spans="1:26">
      <c r="A116" s="390">
        <v>91104</v>
      </c>
      <c r="B116" s="391" t="s">
        <v>827</v>
      </c>
      <c r="C116" s="234">
        <v>1.95E-5</v>
      </c>
      <c r="D116" s="234">
        <v>1.7499999999999998E-5</v>
      </c>
      <c r="E116" s="231">
        <v>29905</v>
      </c>
      <c r="F116" s="231" t="s">
        <v>1924</v>
      </c>
      <c r="G116" s="392">
        <v>9514</v>
      </c>
      <c r="H116" s="392">
        <v>0</v>
      </c>
      <c r="I116" s="392">
        <v>18788</v>
      </c>
      <c r="J116" s="231">
        <v>15920</v>
      </c>
      <c r="K116" s="231">
        <v>44222</v>
      </c>
      <c r="L116" s="231"/>
      <c r="M116" s="300">
        <v>0</v>
      </c>
      <c r="N116" s="300">
        <v>42725</v>
      </c>
      <c r="O116" s="300">
        <v>0</v>
      </c>
      <c r="P116" s="231">
        <v>0</v>
      </c>
      <c r="Q116" s="231">
        <v>42725</v>
      </c>
      <c r="R116" s="231"/>
      <c r="S116" s="392">
        <v>12902</v>
      </c>
      <c r="T116" s="231">
        <v>7303</v>
      </c>
      <c r="U116" s="396">
        <v>20205</v>
      </c>
      <c r="V116" s="231"/>
      <c r="W116" s="396">
        <v>116089</v>
      </c>
      <c r="X116" s="396">
        <v>-41020</v>
      </c>
      <c r="Y116" s="396"/>
      <c r="Z116" s="396"/>
    </row>
    <row r="117" spans="1:26">
      <c r="A117" s="390">
        <v>91107</v>
      </c>
      <c r="B117" s="391" t="s">
        <v>1932</v>
      </c>
      <c r="C117" s="234">
        <v>4.2500000000000003E-5</v>
      </c>
      <c r="D117" s="234">
        <v>3.8999999999999999E-5</v>
      </c>
      <c r="E117" s="231">
        <v>65178</v>
      </c>
      <c r="F117" s="231" t="s">
        <v>1924</v>
      </c>
      <c r="G117" s="392">
        <v>20735</v>
      </c>
      <c r="H117" s="392">
        <v>0</v>
      </c>
      <c r="I117" s="392">
        <v>40948</v>
      </c>
      <c r="J117" s="231">
        <v>18287</v>
      </c>
      <c r="K117" s="231">
        <v>79970</v>
      </c>
      <c r="L117" s="231"/>
      <c r="M117" s="300">
        <v>0</v>
      </c>
      <c r="N117" s="300">
        <v>93120</v>
      </c>
      <c r="O117" s="300">
        <v>0</v>
      </c>
      <c r="P117" s="231">
        <v>6424</v>
      </c>
      <c r="Q117" s="231">
        <v>99544</v>
      </c>
      <c r="R117" s="231"/>
      <c r="S117" s="392">
        <v>28120</v>
      </c>
      <c r="T117" s="231">
        <v>4512</v>
      </c>
      <c r="U117" s="396">
        <v>32632</v>
      </c>
      <c r="V117" s="231"/>
      <c r="W117" s="396">
        <v>253015</v>
      </c>
      <c r="X117" s="396">
        <v>-89402</v>
      </c>
      <c r="Y117" s="396"/>
      <c r="Z117" s="396"/>
    </row>
    <row r="118" spans="1:26">
      <c r="A118" s="390">
        <v>91108</v>
      </c>
      <c r="B118" s="391" t="s">
        <v>829</v>
      </c>
      <c r="C118" s="234">
        <v>1.1758000000000001E-3</v>
      </c>
      <c r="D118" s="234">
        <v>1.1678999999999999E-3</v>
      </c>
      <c r="E118" s="231">
        <v>1803202</v>
      </c>
      <c r="F118" s="231" t="s">
        <v>1924</v>
      </c>
      <c r="G118" s="392">
        <v>573663</v>
      </c>
      <c r="H118" s="392">
        <v>0</v>
      </c>
      <c r="I118" s="392">
        <v>1132872</v>
      </c>
      <c r="J118" s="231">
        <v>80423</v>
      </c>
      <c r="K118" s="231">
        <v>1786958</v>
      </c>
      <c r="L118" s="231"/>
      <c r="M118" s="300">
        <v>0</v>
      </c>
      <c r="N118" s="300">
        <v>2576234</v>
      </c>
      <c r="O118" s="300">
        <v>0</v>
      </c>
      <c r="P118" s="231">
        <v>11200</v>
      </c>
      <c r="Q118" s="231">
        <v>2587434</v>
      </c>
      <c r="R118" s="231"/>
      <c r="S118" s="392">
        <v>777959</v>
      </c>
      <c r="T118" s="231">
        <v>34309</v>
      </c>
      <c r="U118" s="396">
        <v>812268</v>
      </c>
      <c r="V118" s="231"/>
      <c r="W118" s="396">
        <v>6999881</v>
      </c>
      <c r="X118" s="396">
        <v>-2473386</v>
      </c>
      <c r="Y118" s="396"/>
      <c r="Z118" s="396"/>
    </row>
    <row r="119" spans="1:26">
      <c r="A119" s="390">
        <v>91109</v>
      </c>
      <c r="B119" s="391" t="s">
        <v>830</v>
      </c>
      <c r="C119" s="234">
        <v>1.0069999999999999E-4</v>
      </c>
      <c r="D119" s="234">
        <v>9.8599999999999998E-5</v>
      </c>
      <c r="E119" s="231">
        <v>154433</v>
      </c>
      <c r="F119" s="231" t="s">
        <v>1924</v>
      </c>
      <c r="G119" s="392">
        <v>49131</v>
      </c>
      <c r="H119" s="392">
        <v>0</v>
      </c>
      <c r="I119" s="392">
        <v>97023</v>
      </c>
      <c r="J119" s="231">
        <v>4352</v>
      </c>
      <c r="K119" s="231">
        <v>150506</v>
      </c>
      <c r="L119" s="231"/>
      <c r="M119" s="300">
        <v>0</v>
      </c>
      <c r="N119" s="300">
        <v>220639</v>
      </c>
      <c r="O119" s="300">
        <v>0</v>
      </c>
      <c r="P119" s="231">
        <v>0</v>
      </c>
      <c r="Q119" s="231">
        <v>220639</v>
      </c>
      <c r="R119" s="231"/>
      <c r="S119" s="392">
        <v>66627</v>
      </c>
      <c r="T119" s="231">
        <v>3246</v>
      </c>
      <c r="U119" s="396">
        <v>69873</v>
      </c>
      <c r="V119" s="231"/>
      <c r="W119" s="396">
        <v>599497</v>
      </c>
      <c r="X119" s="396">
        <v>-211830</v>
      </c>
      <c r="Y119" s="396"/>
      <c r="Z119" s="396"/>
    </row>
    <row r="120" spans="1:26">
      <c r="A120" s="390">
        <v>91111</v>
      </c>
      <c r="B120" s="391" t="s">
        <v>831</v>
      </c>
      <c r="C120" s="234">
        <v>2.0819999999999999E-4</v>
      </c>
      <c r="D120" s="234">
        <v>2.0149999999999999E-4</v>
      </c>
      <c r="E120" s="231">
        <v>319295</v>
      </c>
      <c r="F120" s="231" t="s">
        <v>1924</v>
      </c>
      <c r="G120" s="392">
        <v>101579</v>
      </c>
      <c r="H120" s="392">
        <v>0</v>
      </c>
      <c r="I120" s="392">
        <v>200599</v>
      </c>
      <c r="J120" s="231">
        <v>32168</v>
      </c>
      <c r="K120" s="231">
        <v>334346</v>
      </c>
      <c r="L120" s="231"/>
      <c r="M120" s="300">
        <v>0</v>
      </c>
      <c r="N120" s="300">
        <v>456176</v>
      </c>
      <c r="O120" s="300">
        <v>0</v>
      </c>
      <c r="P120" s="231">
        <v>9646</v>
      </c>
      <c r="Q120" s="231">
        <v>465822</v>
      </c>
      <c r="R120" s="231"/>
      <c r="S120" s="392">
        <v>137754</v>
      </c>
      <c r="T120" s="231">
        <v>10682</v>
      </c>
      <c r="U120" s="396">
        <v>148436</v>
      </c>
      <c r="V120" s="231"/>
      <c r="W120" s="396">
        <v>1239475</v>
      </c>
      <c r="X120" s="396">
        <v>-437965</v>
      </c>
      <c r="Y120" s="396"/>
      <c r="Z120" s="396"/>
    </row>
    <row r="121" spans="1:26">
      <c r="A121" s="390">
        <v>91120</v>
      </c>
      <c r="B121" s="391" t="s">
        <v>832</v>
      </c>
      <c r="C121" s="234">
        <v>2.4020000000000001E-4</v>
      </c>
      <c r="D121" s="234">
        <v>2.6830000000000002E-4</v>
      </c>
      <c r="E121" s="231">
        <v>368370</v>
      </c>
      <c r="F121" s="231" t="s">
        <v>1924</v>
      </c>
      <c r="G121" s="392">
        <v>117192</v>
      </c>
      <c r="H121" s="392">
        <v>0</v>
      </c>
      <c r="I121" s="392">
        <v>231430</v>
      </c>
      <c r="J121" s="231">
        <v>61664</v>
      </c>
      <c r="K121" s="231">
        <v>410286</v>
      </c>
      <c r="L121" s="231"/>
      <c r="M121" s="300">
        <v>0</v>
      </c>
      <c r="N121" s="300">
        <v>526290</v>
      </c>
      <c r="O121" s="300">
        <v>0</v>
      </c>
      <c r="P121" s="231">
        <v>91117</v>
      </c>
      <c r="Q121" s="231">
        <v>617407</v>
      </c>
      <c r="R121" s="231"/>
      <c r="S121" s="392">
        <v>158926</v>
      </c>
      <c r="T121" s="231">
        <v>-2244</v>
      </c>
      <c r="U121" s="396">
        <v>156682</v>
      </c>
      <c r="V121" s="231"/>
      <c r="W121" s="396">
        <v>1429981</v>
      </c>
      <c r="X121" s="396">
        <v>-505279</v>
      </c>
      <c r="Y121" s="396"/>
      <c r="Z121" s="396"/>
    </row>
    <row r="122" spans="1:26">
      <c r="A122" s="390">
        <v>91121</v>
      </c>
      <c r="B122" s="391" t="s">
        <v>833</v>
      </c>
      <c r="C122" s="234">
        <v>1.01818E-2</v>
      </c>
      <c r="D122" s="234">
        <v>1.04712E-2</v>
      </c>
      <c r="E122" s="231">
        <v>15614768</v>
      </c>
      <c r="F122" s="231" t="s">
        <v>1924</v>
      </c>
      <c r="G122" s="392">
        <v>4967619</v>
      </c>
      <c r="H122" s="392">
        <v>0</v>
      </c>
      <c r="I122" s="392">
        <v>9810062</v>
      </c>
      <c r="J122" s="231">
        <v>0</v>
      </c>
      <c r="K122" s="231">
        <v>14777681</v>
      </c>
      <c r="L122" s="231"/>
      <c r="M122" s="300">
        <v>0</v>
      </c>
      <c r="N122" s="300">
        <v>22308813</v>
      </c>
      <c r="O122" s="300">
        <v>0</v>
      </c>
      <c r="P122" s="231">
        <v>1289402</v>
      </c>
      <c r="Q122" s="231">
        <v>23598215</v>
      </c>
      <c r="R122" s="231"/>
      <c r="S122" s="392">
        <v>6736707</v>
      </c>
      <c r="T122" s="231">
        <v>-518440</v>
      </c>
      <c r="U122" s="396">
        <v>6218267</v>
      </c>
      <c r="V122" s="231"/>
      <c r="W122" s="396">
        <v>60615228</v>
      </c>
      <c r="X122" s="396">
        <v>-21418200</v>
      </c>
      <c r="Y122" s="396"/>
      <c r="Z122" s="396"/>
    </row>
    <row r="123" spans="1:26">
      <c r="A123" s="390">
        <v>91127</v>
      </c>
      <c r="B123" s="391" t="s">
        <v>834</v>
      </c>
      <c r="C123" s="234">
        <v>3.1520000000000002E-4</v>
      </c>
      <c r="D123" s="234">
        <v>2.8170000000000002E-4</v>
      </c>
      <c r="E123" s="231">
        <v>483389</v>
      </c>
      <c r="F123" s="231" t="s">
        <v>1924</v>
      </c>
      <c r="G123" s="392">
        <v>153784</v>
      </c>
      <c r="H123" s="392">
        <v>0</v>
      </c>
      <c r="I123" s="392">
        <v>303692</v>
      </c>
      <c r="J123" s="231">
        <v>105399</v>
      </c>
      <c r="K123" s="231">
        <v>562875</v>
      </c>
      <c r="L123" s="231"/>
      <c r="M123" s="300">
        <v>0</v>
      </c>
      <c r="N123" s="300">
        <v>690618</v>
      </c>
      <c r="O123" s="300">
        <v>0</v>
      </c>
      <c r="P123" s="231">
        <v>0</v>
      </c>
      <c r="Q123" s="231">
        <v>690618</v>
      </c>
      <c r="R123" s="231"/>
      <c r="S123" s="392">
        <v>208550</v>
      </c>
      <c r="T123" s="231">
        <v>46239</v>
      </c>
      <c r="U123" s="396">
        <v>254789</v>
      </c>
      <c r="V123" s="231"/>
      <c r="W123" s="396">
        <v>1876478</v>
      </c>
      <c r="X123" s="396">
        <v>-663047</v>
      </c>
      <c r="Y123" s="396"/>
      <c r="Z123" s="396"/>
    </row>
    <row r="124" spans="1:26">
      <c r="A124" s="390">
        <v>91128</v>
      </c>
      <c r="B124" s="391" t="s">
        <v>835</v>
      </c>
      <c r="C124" s="234">
        <v>5.6170000000000005E-4</v>
      </c>
      <c r="D124" s="234">
        <v>5.1889999999999998E-4</v>
      </c>
      <c r="E124" s="231">
        <v>861421</v>
      </c>
      <c r="F124" s="231" t="s">
        <v>1924</v>
      </c>
      <c r="G124" s="392">
        <v>274049</v>
      </c>
      <c r="H124" s="392">
        <v>0</v>
      </c>
      <c r="I124" s="392">
        <v>541192</v>
      </c>
      <c r="J124" s="231">
        <v>111087</v>
      </c>
      <c r="K124" s="231">
        <v>926328</v>
      </c>
      <c r="L124" s="231"/>
      <c r="M124" s="300">
        <v>0</v>
      </c>
      <c r="N124" s="300">
        <v>1230712</v>
      </c>
      <c r="O124" s="300">
        <v>0</v>
      </c>
      <c r="P124" s="231">
        <v>14429</v>
      </c>
      <c r="Q124" s="231">
        <v>1245141</v>
      </c>
      <c r="R124" s="231"/>
      <c r="S124" s="392">
        <v>371644</v>
      </c>
      <c r="T124" s="231">
        <v>38845</v>
      </c>
      <c r="U124" s="396">
        <v>410489</v>
      </c>
      <c r="V124" s="231"/>
      <c r="W124" s="396">
        <v>3343964</v>
      </c>
      <c r="X124" s="396">
        <v>-1181579</v>
      </c>
      <c r="Y124" s="396"/>
      <c r="Z124" s="396"/>
    </row>
    <row r="125" spans="1:26">
      <c r="A125" s="390">
        <v>91138</v>
      </c>
      <c r="B125" s="391" t="s">
        <v>836</v>
      </c>
      <c r="C125" s="234">
        <v>4.4339999999999999E-4</v>
      </c>
      <c r="D125" s="234">
        <v>4.5300000000000001E-4</v>
      </c>
      <c r="E125" s="231">
        <v>679996</v>
      </c>
      <c r="F125" s="231" t="s">
        <v>1924</v>
      </c>
      <c r="G125" s="392">
        <v>216331</v>
      </c>
      <c r="H125" s="392">
        <v>0</v>
      </c>
      <c r="I125" s="392">
        <v>427211</v>
      </c>
      <c r="J125" s="231">
        <v>0</v>
      </c>
      <c r="K125" s="231">
        <v>643542</v>
      </c>
      <c r="L125" s="231"/>
      <c r="M125" s="300">
        <v>0</v>
      </c>
      <c r="N125" s="300">
        <v>971511</v>
      </c>
      <c r="O125" s="300">
        <v>0</v>
      </c>
      <c r="P125" s="231">
        <v>99219</v>
      </c>
      <c r="Q125" s="231">
        <v>1070730</v>
      </c>
      <c r="R125" s="231"/>
      <c r="S125" s="392">
        <v>293372</v>
      </c>
      <c r="T125" s="231">
        <v>-77615</v>
      </c>
      <c r="U125" s="396">
        <v>215757</v>
      </c>
      <c r="V125" s="231"/>
      <c r="W125" s="396">
        <v>2639690</v>
      </c>
      <c r="X125" s="396">
        <v>-932726</v>
      </c>
      <c r="Y125" s="396"/>
      <c r="Z125" s="396"/>
    </row>
    <row r="126" spans="1:26">
      <c r="A126" s="390">
        <v>91141</v>
      </c>
      <c r="B126" s="391" t="s">
        <v>837</v>
      </c>
      <c r="C126" s="234">
        <v>6.0269999999999996E-4</v>
      </c>
      <c r="D126" s="234">
        <v>6.3380000000000001E-4</v>
      </c>
      <c r="E126" s="231">
        <v>924298</v>
      </c>
      <c r="F126" s="231" t="s">
        <v>1924</v>
      </c>
      <c r="G126" s="392">
        <v>294053</v>
      </c>
      <c r="H126" s="392">
        <v>0</v>
      </c>
      <c r="I126" s="392">
        <v>580695</v>
      </c>
      <c r="J126" s="231">
        <v>15469</v>
      </c>
      <c r="K126" s="231">
        <v>890217</v>
      </c>
      <c r="L126" s="231"/>
      <c r="M126" s="300">
        <v>0</v>
      </c>
      <c r="N126" s="300">
        <v>1320545</v>
      </c>
      <c r="O126" s="300">
        <v>0</v>
      </c>
      <c r="P126" s="231">
        <v>120630</v>
      </c>
      <c r="Q126" s="231">
        <v>1441175</v>
      </c>
      <c r="R126" s="231"/>
      <c r="S126" s="392">
        <v>398772</v>
      </c>
      <c r="T126" s="231">
        <v>-44458</v>
      </c>
      <c r="U126" s="396">
        <v>354314</v>
      </c>
      <c r="V126" s="231"/>
      <c r="W126" s="396">
        <v>3588049</v>
      </c>
      <c r="X126" s="396">
        <v>-1267826</v>
      </c>
      <c r="Y126" s="396"/>
      <c r="Z126" s="396"/>
    </row>
    <row r="127" spans="1:26">
      <c r="A127" s="390">
        <v>91147</v>
      </c>
      <c r="B127" s="391" t="s">
        <v>838</v>
      </c>
      <c r="C127" s="234">
        <v>3.1600000000000002E-5</v>
      </c>
      <c r="D127" s="234">
        <v>2.8399999999999999E-5</v>
      </c>
      <c r="E127" s="231">
        <v>48462</v>
      </c>
      <c r="F127" s="231" t="s">
        <v>1924</v>
      </c>
      <c r="G127" s="392">
        <v>15417</v>
      </c>
      <c r="H127" s="392">
        <v>0</v>
      </c>
      <c r="I127" s="392">
        <v>30446</v>
      </c>
      <c r="J127" s="231">
        <v>11939</v>
      </c>
      <c r="K127" s="231">
        <v>57802</v>
      </c>
      <c r="L127" s="231"/>
      <c r="M127" s="300">
        <v>0</v>
      </c>
      <c r="N127" s="300">
        <v>69237</v>
      </c>
      <c r="O127" s="300">
        <v>0</v>
      </c>
      <c r="P127" s="231">
        <v>271</v>
      </c>
      <c r="Q127" s="231">
        <v>69508</v>
      </c>
      <c r="R127" s="231"/>
      <c r="S127" s="392">
        <v>20908</v>
      </c>
      <c r="T127" s="231">
        <v>5135</v>
      </c>
      <c r="U127" s="396">
        <v>26043</v>
      </c>
      <c r="V127" s="231"/>
      <c r="W127" s="396">
        <v>188124</v>
      </c>
      <c r="X127" s="396">
        <v>-66473</v>
      </c>
      <c r="Y127" s="396"/>
      <c r="Z127" s="396"/>
    </row>
    <row r="128" spans="1:26">
      <c r="A128" s="390">
        <v>91151</v>
      </c>
      <c r="B128" s="391" t="s">
        <v>839</v>
      </c>
      <c r="C128" s="234">
        <v>5.7740000000000005E-4</v>
      </c>
      <c r="D128" s="234">
        <v>6.0360000000000003E-4</v>
      </c>
      <c r="E128" s="231">
        <v>885498</v>
      </c>
      <c r="F128" s="231" t="s">
        <v>1924</v>
      </c>
      <c r="G128" s="392">
        <v>281709</v>
      </c>
      <c r="H128" s="392">
        <v>0</v>
      </c>
      <c r="I128" s="392">
        <v>556319</v>
      </c>
      <c r="J128" s="231">
        <v>0</v>
      </c>
      <c r="K128" s="231">
        <v>838028</v>
      </c>
      <c r="L128" s="231"/>
      <c r="M128" s="300">
        <v>0</v>
      </c>
      <c r="N128" s="300">
        <v>1265111</v>
      </c>
      <c r="O128" s="300">
        <v>0</v>
      </c>
      <c r="P128" s="231">
        <v>107796</v>
      </c>
      <c r="Q128" s="231">
        <v>1372907</v>
      </c>
      <c r="R128" s="231"/>
      <c r="S128" s="392">
        <v>382032</v>
      </c>
      <c r="T128" s="231">
        <v>-50825</v>
      </c>
      <c r="U128" s="396">
        <v>331207</v>
      </c>
      <c r="V128" s="231"/>
      <c r="W128" s="396">
        <v>3437431</v>
      </c>
      <c r="X128" s="396">
        <v>-1214605</v>
      </c>
      <c r="Y128" s="396"/>
      <c r="Z128" s="396"/>
    </row>
    <row r="129" spans="1:26">
      <c r="A129" s="390">
        <v>91154</v>
      </c>
      <c r="B129" s="391" t="s">
        <v>840</v>
      </c>
      <c r="C129" s="234">
        <v>1.9199999999999999E-5</v>
      </c>
      <c r="D129" s="234">
        <v>2.1999999999999999E-5</v>
      </c>
      <c r="E129" s="231">
        <v>29445</v>
      </c>
      <c r="F129" s="231" t="s">
        <v>1924</v>
      </c>
      <c r="G129" s="392">
        <v>9368</v>
      </c>
      <c r="H129" s="392">
        <v>0</v>
      </c>
      <c r="I129" s="392">
        <v>18499</v>
      </c>
      <c r="J129" s="231">
        <v>979</v>
      </c>
      <c r="K129" s="231">
        <v>28846</v>
      </c>
      <c r="L129" s="231"/>
      <c r="M129" s="300">
        <v>0</v>
      </c>
      <c r="N129" s="300">
        <v>42068</v>
      </c>
      <c r="O129" s="300">
        <v>0</v>
      </c>
      <c r="P129" s="231">
        <v>6666</v>
      </c>
      <c r="Q129" s="231">
        <v>48734</v>
      </c>
      <c r="R129" s="231"/>
      <c r="S129" s="392">
        <v>12704</v>
      </c>
      <c r="T129" s="231">
        <v>-1520</v>
      </c>
      <c r="U129" s="396">
        <v>11184</v>
      </c>
      <c r="V129" s="231"/>
      <c r="W129" s="396">
        <v>114303</v>
      </c>
      <c r="X129" s="396">
        <v>-40389</v>
      </c>
      <c r="Y129" s="396"/>
      <c r="Z129" s="396"/>
    </row>
    <row r="130" spans="1:26">
      <c r="A130" s="390">
        <v>91161</v>
      </c>
      <c r="B130" s="391" t="s">
        <v>841</v>
      </c>
      <c r="C130" s="234">
        <v>9.5199999999999997E-5</v>
      </c>
      <c r="D130" s="234">
        <v>9.2499999999999999E-5</v>
      </c>
      <c r="E130" s="231">
        <v>145998</v>
      </c>
      <c r="F130" s="231" t="s">
        <v>1924</v>
      </c>
      <c r="G130" s="392">
        <v>46447</v>
      </c>
      <c r="H130" s="392">
        <v>0</v>
      </c>
      <c r="I130" s="392">
        <v>91724</v>
      </c>
      <c r="J130" s="231">
        <v>6296</v>
      </c>
      <c r="K130" s="231">
        <v>144467</v>
      </c>
      <c r="L130" s="231"/>
      <c r="M130" s="300">
        <v>0</v>
      </c>
      <c r="N130" s="300">
        <v>208588</v>
      </c>
      <c r="O130" s="300">
        <v>0</v>
      </c>
      <c r="P130" s="231">
        <v>11986</v>
      </c>
      <c r="Q130" s="231">
        <v>220574</v>
      </c>
      <c r="R130" s="231"/>
      <c r="S130" s="392">
        <v>62988</v>
      </c>
      <c r="T130" s="231">
        <v>-3983</v>
      </c>
      <c r="U130" s="396">
        <v>59005</v>
      </c>
      <c r="V130" s="231"/>
      <c r="W130" s="396">
        <v>566753</v>
      </c>
      <c r="X130" s="396">
        <v>-200261</v>
      </c>
      <c r="Y130" s="396"/>
      <c r="Z130" s="396"/>
    </row>
    <row r="131" spans="1:26">
      <c r="A131" s="390">
        <v>91171</v>
      </c>
      <c r="B131" s="391" t="s">
        <v>842</v>
      </c>
      <c r="C131" s="234">
        <v>2.6140000000000001E-4</v>
      </c>
      <c r="D131" s="234">
        <v>2.6679999999999998E-4</v>
      </c>
      <c r="E131" s="231">
        <v>400882</v>
      </c>
      <c r="F131" s="231" t="s">
        <v>1924</v>
      </c>
      <c r="G131" s="392">
        <v>127535</v>
      </c>
      <c r="H131" s="392">
        <v>0</v>
      </c>
      <c r="I131" s="392">
        <v>251856</v>
      </c>
      <c r="J131" s="231">
        <v>10475</v>
      </c>
      <c r="K131" s="231">
        <v>389866</v>
      </c>
      <c r="L131" s="231"/>
      <c r="M131" s="300">
        <v>0</v>
      </c>
      <c r="N131" s="300">
        <v>572740</v>
      </c>
      <c r="O131" s="300">
        <v>0</v>
      </c>
      <c r="P131" s="231">
        <v>34910</v>
      </c>
      <c r="Q131" s="231">
        <v>607650</v>
      </c>
      <c r="R131" s="231"/>
      <c r="S131" s="392">
        <v>172953</v>
      </c>
      <c r="T131" s="231">
        <v>-14432</v>
      </c>
      <c r="U131" s="396">
        <v>158521</v>
      </c>
      <c r="V131" s="231"/>
      <c r="W131" s="396">
        <v>1556191</v>
      </c>
      <c r="X131" s="396">
        <v>-549875</v>
      </c>
      <c r="Y131" s="396"/>
      <c r="Z131" s="396"/>
    </row>
    <row r="132" spans="1:26">
      <c r="A132" s="390">
        <v>91201</v>
      </c>
      <c r="B132" s="391" t="s">
        <v>843</v>
      </c>
      <c r="C132" s="234">
        <v>2.5525999999999999E-3</v>
      </c>
      <c r="D132" s="234">
        <v>2.5533000000000001E-3</v>
      </c>
      <c r="E132" s="231">
        <v>3914657</v>
      </c>
      <c r="F132" s="231" t="s">
        <v>1924</v>
      </c>
      <c r="G132" s="392">
        <v>1245393</v>
      </c>
      <c r="H132" s="392">
        <v>0</v>
      </c>
      <c r="I132" s="392">
        <v>2459405</v>
      </c>
      <c r="J132" s="231">
        <v>186324</v>
      </c>
      <c r="K132" s="231">
        <v>3891122</v>
      </c>
      <c r="L132" s="231"/>
      <c r="M132" s="300">
        <v>0</v>
      </c>
      <c r="N132" s="300">
        <v>5592869</v>
      </c>
      <c r="O132" s="300">
        <v>0</v>
      </c>
      <c r="P132" s="231">
        <v>100681</v>
      </c>
      <c r="Q132" s="231">
        <v>5693550</v>
      </c>
      <c r="R132" s="231"/>
      <c r="S132" s="392">
        <v>1688907</v>
      </c>
      <c r="T132" s="231">
        <v>26885</v>
      </c>
      <c r="U132" s="396">
        <v>1715792</v>
      </c>
      <c r="V132" s="231"/>
      <c r="W132" s="396">
        <v>15196373</v>
      </c>
      <c r="X132" s="396">
        <v>-5369591</v>
      </c>
      <c r="Y132" s="396"/>
      <c r="Z132" s="396"/>
    </row>
    <row r="133" spans="1:26">
      <c r="A133" s="390">
        <v>91202</v>
      </c>
      <c r="B133" s="391" t="s">
        <v>844</v>
      </c>
      <c r="C133" s="234">
        <v>0</v>
      </c>
      <c r="D133" s="234">
        <v>7.0699999999999997E-5</v>
      </c>
      <c r="E133" s="231">
        <v>0</v>
      </c>
      <c r="F133" s="231" t="s">
        <v>1924</v>
      </c>
      <c r="G133" s="392">
        <v>0</v>
      </c>
      <c r="H133" s="392">
        <v>0</v>
      </c>
      <c r="I133" s="392">
        <v>0</v>
      </c>
      <c r="J133" s="231">
        <v>980</v>
      </c>
      <c r="K133" s="231">
        <v>980</v>
      </c>
      <c r="L133" s="231"/>
      <c r="M133" s="300">
        <v>0</v>
      </c>
      <c r="N133" s="300">
        <v>0</v>
      </c>
      <c r="O133" s="300">
        <v>0</v>
      </c>
      <c r="P133" s="231">
        <v>215418</v>
      </c>
      <c r="Q133" s="231">
        <v>215418</v>
      </c>
      <c r="R133" s="231"/>
      <c r="S133" s="392">
        <v>0</v>
      </c>
      <c r="T133" s="231">
        <v>-83780</v>
      </c>
      <c r="U133" s="396">
        <v>-83780</v>
      </c>
      <c r="V133" s="231"/>
      <c r="W133" s="396">
        <v>0</v>
      </c>
      <c r="X133" s="396">
        <v>0</v>
      </c>
      <c r="Y133" s="396"/>
      <c r="Z133" s="396"/>
    </row>
    <row r="134" spans="1:26">
      <c r="A134" s="390">
        <v>91203</v>
      </c>
      <c r="B134" s="391" t="s">
        <v>845</v>
      </c>
      <c r="C134" s="234">
        <v>2.453E-4</v>
      </c>
      <c r="D134" s="234">
        <v>2.3599999999999999E-4</v>
      </c>
      <c r="E134" s="231">
        <v>376191</v>
      </c>
      <c r="F134" s="231" t="s">
        <v>1924</v>
      </c>
      <c r="G134" s="392">
        <v>119680</v>
      </c>
      <c r="H134" s="392">
        <v>0</v>
      </c>
      <c r="I134" s="392">
        <v>236344</v>
      </c>
      <c r="J134" s="231">
        <v>62507</v>
      </c>
      <c r="K134" s="231">
        <v>418531</v>
      </c>
      <c r="L134" s="231"/>
      <c r="M134" s="300">
        <v>0</v>
      </c>
      <c r="N134" s="300">
        <v>537464</v>
      </c>
      <c r="O134" s="300">
        <v>0</v>
      </c>
      <c r="P134" s="231">
        <v>0</v>
      </c>
      <c r="Q134" s="231">
        <v>537464</v>
      </c>
      <c r="R134" s="231"/>
      <c r="S134" s="392">
        <v>162301</v>
      </c>
      <c r="T134" s="231">
        <v>30762</v>
      </c>
      <c r="U134" s="396">
        <v>193063</v>
      </c>
      <c r="V134" s="231"/>
      <c r="W134" s="396">
        <v>1460343</v>
      </c>
      <c r="X134" s="396">
        <v>-516007</v>
      </c>
      <c r="Y134" s="396"/>
      <c r="Z134" s="396"/>
    </row>
    <row r="135" spans="1:26">
      <c r="A135" s="390">
        <v>91206</v>
      </c>
      <c r="B135" s="391" t="s">
        <v>846</v>
      </c>
      <c r="C135" s="234">
        <v>9.9869999999999994E-4</v>
      </c>
      <c r="D135" s="234">
        <v>9.0109999999999995E-4</v>
      </c>
      <c r="E135" s="231">
        <v>1531602</v>
      </c>
      <c r="F135" s="231" t="s">
        <v>1924</v>
      </c>
      <c r="G135" s="392">
        <v>487258</v>
      </c>
      <c r="H135" s="392">
        <v>0</v>
      </c>
      <c r="I135" s="392">
        <v>962237</v>
      </c>
      <c r="J135" s="231">
        <v>144834</v>
      </c>
      <c r="K135" s="231">
        <v>1594329</v>
      </c>
      <c r="L135" s="231"/>
      <c r="M135" s="300">
        <v>0</v>
      </c>
      <c r="N135" s="300">
        <v>2188200</v>
      </c>
      <c r="O135" s="300">
        <v>0</v>
      </c>
      <c r="P135" s="231">
        <v>38823</v>
      </c>
      <c r="Q135" s="231">
        <v>2227023</v>
      </c>
      <c r="R135" s="231"/>
      <c r="S135" s="392">
        <v>660782</v>
      </c>
      <c r="T135" s="231">
        <v>41241</v>
      </c>
      <c r="U135" s="396">
        <v>702023</v>
      </c>
      <c r="V135" s="231"/>
      <c r="W135" s="396">
        <v>5945553</v>
      </c>
      <c r="X135" s="396">
        <v>-2100842</v>
      </c>
      <c r="Y135" s="396"/>
      <c r="Z135" s="396"/>
    </row>
    <row r="136" spans="1:26" s="359" customFormat="1">
      <c r="A136" s="390">
        <v>91208</v>
      </c>
      <c r="B136" s="391" t="s">
        <v>847</v>
      </c>
      <c r="C136" s="234">
        <v>1.5999999999999999E-5</v>
      </c>
      <c r="D136" s="234">
        <v>1.6200000000000001E-5</v>
      </c>
      <c r="E136" s="231">
        <v>24538</v>
      </c>
      <c r="F136" s="231" t="s">
        <v>1924</v>
      </c>
      <c r="G136" s="392">
        <v>7806</v>
      </c>
      <c r="H136" s="392">
        <v>0</v>
      </c>
      <c r="I136" s="392">
        <v>15416</v>
      </c>
      <c r="J136" s="231">
        <v>3571</v>
      </c>
      <c r="K136" s="231">
        <v>26793</v>
      </c>
      <c r="L136" s="231"/>
      <c r="M136" s="300">
        <v>0</v>
      </c>
      <c r="N136" s="300">
        <v>35057</v>
      </c>
      <c r="O136" s="300">
        <v>0</v>
      </c>
      <c r="P136" s="231">
        <v>2062</v>
      </c>
      <c r="Q136" s="231">
        <v>37119</v>
      </c>
      <c r="R136" s="231"/>
      <c r="S136" s="392">
        <v>10586</v>
      </c>
      <c r="T136" s="231">
        <v>564</v>
      </c>
      <c r="U136" s="396">
        <v>11150</v>
      </c>
      <c r="V136" s="231"/>
      <c r="W136" s="396">
        <v>95253</v>
      </c>
      <c r="X136" s="396">
        <v>-33657</v>
      </c>
      <c r="Y136" s="396"/>
      <c r="Z136" s="396"/>
    </row>
    <row r="137" spans="1:26">
      <c r="A137" s="390">
        <v>91211</v>
      </c>
      <c r="B137" s="391" t="s">
        <v>848</v>
      </c>
      <c r="C137" s="234">
        <v>4.2250000000000002E-4</v>
      </c>
      <c r="D137" s="234">
        <v>4.817E-4</v>
      </c>
      <c r="E137" s="231">
        <v>647944</v>
      </c>
      <c r="F137" s="231" t="s">
        <v>1924</v>
      </c>
      <c r="G137" s="392">
        <v>206134</v>
      </c>
      <c r="H137" s="392">
        <v>0</v>
      </c>
      <c r="I137" s="392">
        <v>407075</v>
      </c>
      <c r="J137" s="231">
        <v>21986</v>
      </c>
      <c r="K137" s="231">
        <v>635195</v>
      </c>
      <c r="L137" s="231"/>
      <c r="M137" s="300">
        <v>0</v>
      </c>
      <c r="N137" s="300">
        <v>925718</v>
      </c>
      <c r="O137" s="300">
        <v>0</v>
      </c>
      <c r="P137" s="231">
        <v>114494</v>
      </c>
      <c r="Q137" s="231">
        <v>1040212</v>
      </c>
      <c r="R137" s="231"/>
      <c r="S137" s="392">
        <v>279544</v>
      </c>
      <c r="T137" s="231">
        <v>-30497</v>
      </c>
      <c r="U137" s="396">
        <v>249047</v>
      </c>
      <c r="V137" s="231"/>
      <c r="W137" s="396">
        <v>2515266</v>
      </c>
      <c r="X137" s="396">
        <v>-888761</v>
      </c>
      <c r="Y137" s="396"/>
      <c r="Z137" s="396"/>
    </row>
    <row r="138" spans="1:26">
      <c r="A138" s="390">
        <v>91213</v>
      </c>
      <c r="B138" s="391" t="s">
        <v>849</v>
      </c>
      <c r="C138" s="234">
        <v>2.2399999999999999E-5</v>
      </c>
      <c r="D138" s="234">
        <v>2.9E-5</v>
      </c>
      <c r="E138" s="231">
        <v>34353</v>
      </c>
      <c r="F138" s="231" t="s">
        <v>1924</v>
      </c>
      <c r="G138" s="392">
        <v>10929</v>
      </c>
      <c r="H138" s="392">
        <v>0</v>
      </c>
      <c r="I138" s="392">
        <v>21582</v>
      </c>
      <c r="J138" s="231">
        <v>1292</v>
      </c>
      <c r="K138" s="231">
        <v>33803</v>
      </c>
      <c r="L138" s="231"/>
      <c r="M138" s="300">
        <v>0</v>
      </c>
      <c r="N138" s="300">
        <v>49079</v>
      </c>
      <c r="O138" s="300">
        <v>0</v>
      </c>
      <c r="P138" s="231">
        <v>11353</v>
      </c>
      <c r="Q138" s="231">
        <v>60432</v>
      </c>
      <c r="R138" s="231"/>
      <c r="S138" s="392">
        <v>14821</v>
      </c>
      <c r="T138" s="231">
        <v>-5269</v>
      </c>
      <c r="U138" s="396">
        <v>9552</v>
      </c>
      <c r="V138" s="231"/>
      <c r="W138" s="396">
        <v>133354</v>
      </c>
      <c r="X138" s="396">
        <v>-47120</v>
      </c>
      <c r="Y138" s="396"/>
      <c r="Z138" s="396"/>
    </row>
    <row r="139" spans="1:26">
      <c r="A139" s="390">
        <v>91214</v>
      </c>
      <c r="B139" s="391" t="s">
        <v>850</v>
      </c>
      <c r="C139" s="234">
        <v>3.5200000000000002E-5</v>
      </c>
      <c r="D139" s="234">
        <v>3.5899999999999998E-5</v>
      </c>
      <c r="E139" s="231">
        <v>53983</v>
      </c>
      <c r="F139" s="231" t="s">
        <v>1924</v>
      </c>
      <c r="G139" s="392">
        <v>17174</v>
      </c>
      <c r="H139" s="392">
        <v>0</v>
      </c>
      <c r="I139" s="392">
        <v>33915</v>
      </c>
      <c r="J139" s="231">
        <v>308</v>
      </c>
      <c r="K139" s="231">
        <v>51397</v>
      </c>
      <c r="L139" s="231"/>
      <c r="M139" s="300">
        <v>0</v>
      </c>
      <c r="N139" s="300">
        <v>77125</v>
      </c>
      <c r="O139" s="300">
        <v>0</v>
      </c>
      <c r="P139" s="231">
        <v>9751</v>
      </c>
      <c r="Q139" s="231">
        <v>86876</v>
      </c>
      <c r="R139" s="231"/>
      <c r="S139" s="392">
        <v>23290</v>
      </c>
      <c r="T139" s="231">
        <v>-4430</v>
      </c>
      <c r="U139" s="396">
        <v>18860</v>
      </c>
      <c r="V139" s="231"/>
      <c r="W139" s="396">
        <v>209556</v>
      </c>
      <c r="X139" s="396">
        <v>-74046</v>
      </c>
      <c r="Y139" s="396"/>
      <c r="Z139" s="396"/>
    </row>
    <row r="140" spans="1:26">
      <c r="A140" s="390">
        <v>91217</v>
      </c>
      <c r="B140" s="391" t="s">
        <v>851</v>
      </c>
      <c r="C140" s="234">
        <v>2.6699999999999998E-5</v>
      </c>
      <c r="D140" s="234">
        <v>2.12E-5</v>
      </c>
      <c r="E140" s="231">
        <v>40947</v>
      </c>
      <c r="F140" s="231" t="s">
        <v>1924</v>
      </c>
      <c r="G140" s="392">
        <v>13027</v>
      </c>
      <c r="H140" s="392">
        <v>0</v>
      </c>
      <c r="I140" s="392">
        <v>25725</v>
      </c>
      <c r="J140" s="231">
        <v>21793</v>
      </c>
      <c r="K140" s="231">
        <v>60545</v>
      </c>
      <c r="L140" s="231"/>
      <c r="M140" s="300">
        <v>0</v>
      </c>
      <c r="N140" s="300">
        <v>58501</v>
      </c>
      <c r="O140" s="300">
        <v>0</v>
      </c>
      <c r="P140" s="231">
        <v>812</v>
      </c>
      <c r="Q140" s="231">
        <v>59313</v>
      </c>
      <c r="R140" s="231"/>
      <c r="S140" s="392">
        <v>17666</v>
      </c>
      <c r="T140" s="231">
        <v>8612</v>
      </c>
      <c r="U140" s="396">
        <v>26278</v>
      </c>
      <c r="V140" s="231"/>
      <c r="W140" s="396">
        <v>158953</v>
      </c>
      <c r="X140" s="396">
        <v>-56166</v>
      </c>
      <c r="Y140" s="396"/>
      <c r="Z140" s="396"/>
    </row>
    <row r="141" spans="1:26">
      <c r="A141" s="390">
        <v>91221</v>
      </c>
      <c r="B141" s="391" t="s">
        <v>852</v>
      </c>
      <c r="C141" s="234">
        <v>9.9099999999999996E-5</v>
      </c>
      <c r="D141" s="234">
        <v>1.037E-4</v>
      </c>
      <c r="E141" s="231">
        <v>151979</v>
      </c>
      <c r="F141" s="231" t="s">
        <v>1924</v>
      </c>
      <c r="G141" s="392">
        <v>48350</v>
      </c>
      <c r="H141" s="392">
        <v>0</v>
      </c>
      <c r="I141" s="392">
        <v>95482</v>
      </c>
      <c r="J141" s="231">
        <v>0</v>
      </c>
      <c r="K141" s="231">
        <v>143832</v>
      </c>
      <c r="L141" s="231"/>
      <c r="M141" s="300">
        <v>0</v>
      </c>
      <c r="N141" s="300">
        <v>217133</v>
      </c>
      <c r="O141" s="300">
        <v>0</v>
      </c>
      <c r="P141" s="231">
        <v>13703</v>
      </c>
      <c r="Q141" s="231">
        <v>230836</v>
      </c>
      <c r="R141" s="231"/>
      <c r="S141" s="392">
        <v>65569</v>
      </c>
      <c r="T141" s="231">
        <v>-7272</v>
      </c>
      <c r="U141" s="396">
        <v>58297</v>
      </c>
      <c r="V141" s="231"/>
      <c r="W141" s="396">
        <v>589971</v>
      </c>
      <c r="X141" s="396">
        <v>-208464</v>
      </c>
      <c r="Y141" s="396"/>
      <c r="Z141" s="396"/>
    </row>
    <row r="142" spans="1:26">
      <c r="A142" s="390">
        <v>91231</v>
      </c>
      <c r="B142" s="391" t="s">
        <v>853</v>
      </c>
      <c r="C142" s="234">
        <v>1.8575E-3</v>
      </c>
      <c r="D142" s="234">
        <v>1.9138E-3</v>
      </c>
      <c r="E142" s="231">
        <v>2848655</v>
      </c>
      <c r="F142" s="231" t="s">
        <v>1924</v>
      </c>
      <c r="G142" s="392">
        <v>906259</v>
      </c>
      <c r="H142" s="392">
        <v>0</v>
      </c>
      <c r="I142" s="392">
        <v>1789683</v>
      </c>
      <c r="J142" s="231">
        <v>46351</v>
      </c>
      <c r="K142" s="231">
        <v>2742293</v>
      </c>
      <c r="L142" s="231"/>
      <c r="M142" s="300">
        <v>0</v>
      </c>
      <c r="N142" s="300">
        <v>4069872</v>
      </c>
      <c r="O142" s="300">
        <v>0</v>
      </c>
      <c r="P142" s="231">
        <v>107103</v>
      </c>
      <c r="Q142" s="231">
        <v>4176975</v>
      </c>
      <c r="R142" s="231"/>
      <c r="S142" s="392">
        <v>1229000</v>
      </c>
      <c r="T142" s="231">
        <v>-34266</v>
      </c>
      <c r="U142" s="396">
        <v>1194734</v>
      </c>
      <c r="V142" s="231"/>
      <c r="W142" s="396">
        <v>11058240</v>
      </c>
      <c r="X142" s="396">
        <v>-3907394</v>
      </c>
      <c r="Y142" s="396"/>
      <c r="Z142" s="396"/>
    </row>
    <row r="143" spans="1:26">
      <c r="A143" s="390">
        <v>91233</v>
      </c>
      <c r="B143" s="391" t="s">
        <v>854</v>
      </c>
      <c r="C143" s="234">
        <v>6.5199999999999999E-5</v>
      </c>
      <c r="D143" s="234">
        <v>6.7899999999999997E-5</v>
      </c>
      <c r="E143" s="231">
        <v>99990</v>
      </c>
      <c r="F143" s="231" t="s">
        <v>1924</v>
      </c>
      <c r="G143" s="392">
        <v>31811</v>
      </c>
      <c r="H143" s="392">
        <v>0</v>
      </c>
      <c r="I143" s="392">
        <v>62820</v>
      </c>
      <c r="J143" s="231">
        <v>4679</v>
      </c>
      <c r="K143" s="231">
        <v>99310</v>
      </c>
      <c r="L143" s="231"/>
      <c r="M143" s="300">
        <v>0</v>
      </c>
      <c r="N143" s="300">
        <v>142856</v>
      </c>
      <c r="O143" s="300">
        <v>0</v>
      </c>
      <c r="P143" s="231">
        <v>10090</v>
      </c>
      <c r="Q143" s="231">
        <v>152946</v>
      </c>
      <c r="R143" s="231"/>
      <c r="S143" s="392">
        <v>43139</v>
      </c>
      <c r="T143" s="231">
        <v>-951</v>
      </c>
      <c r="U143" s="396">
        <v>42188</v>
      </c>
      <c r="V143" s="231"/>
      <c r="W143" s="396">
        <v>388155</v>
      </c>
      <c r="X143" s="396">
        <v>-137153</v>
      </c>
      <c r="Y143" s="396"/>
      <c r="Z143" s="396"/>
    </row>
    <row r="144" spans="1:26">
      <c r="A144" s="390">
        <v>91241</v>
      </c>
      <c r="B144" s="391" t="s">
        <v>855</v>
      </c>
      <c r="C144" s="234">
        <v>3.4999999999999997E-5</v>
      </c>
      <c r="D144" s="234">
        <v>3.18E-5</v>
      </c>
      <c r="E144" s="231">
        <v>53676</v>
      </c>
      <c r="F144" s="231" t="s">
        <v>1924</v>
      </c>
      <c r="G144" s="392">
        <v>17076</v>
      </c>
      <c r="H144" s="392">
        <v>0</v>
      </c>
      <c r="I144" s="392">
        <v>33722</v>
      </c>
      <c r="J144" s="231">
        <v>9755</v>
      </c>
      <c r="K144" s="231">
        <v>60553</v>
      </c>
      <c r="L144" s="231"/>
      <c r="M144" s="300">
        <v>0</v>
      </c>
      <c r="N144" s="300">
        <v>76687</v>
      </c>
      <c r="O144" s="300">
        <v>0</v>
      </c>
      <c r="P144" s="231">
        <v>17652</v>
      </c>
      <c r="Q144" s="231">
        <v>94339</v>
      </c>
      <c r="R144" s="231"/>
      <c r="S144" s="392">
        <v>23157</v>
      </c>
      <c r="T144" s="231">
        <v>-3489</v>
      </c>
      <c r="U144" s="396">
        <v>19668</v>
      </c>
      <c r="V144" s="231"/>
      <c r="W144" s="396">
        <v>208365</v>
      </c>
      <c r="X144" s="396">
        <v>-73625</v>
      </c>
      <c r="Y144" s="396"/>
      <c r="Z144" s="396"/>
    </row>
    <row r="145" spans="1:26">
      <c r="A145" s="390">
        <v>91251</v>
      </c>
      <c r="B145" s="391" t="s">
        <v>856</v>
      </c>
      <c r="C145" s="234">
        <v>2.6999999999999999E-5</v>
      </c>
      <c r="D145" s="234">
        <v>2.6599999999999999E-5</v>
      </c>
      <c r="E145" s="231">
        <v>41407</v>
      </c>
      <c r="F145" s="231" t="s">
        <v>1924</v>
      </c>
      <c r="G145" s="392">
        <v>13173</v>
      </c>
      <c r="H145" s="392">
        <v>0</v>
      </c>
      <c r="I145" s="392">
        <v>26014</v>
      </c>
      <c r="J145" s="231">
        <v>6508</v>
      </c>
      <c r="K145" s="231">
        <v>45695</v>
      </c>
      <c r="L145" s="231"/>
      <c r="M145" s="300">
        <v>0</v>
      </c>
      <c r="N145" s="300">
        <v>59158</v>
      </c>
      <c r="O145" s="300">
        <v>0</v>
      </c>
      <c r="P145" s="231">
        <v>4124</v>
      </c>
      <c r="Q145" s="231">
        <v>63282</v>
      </c>
      <c r="R145" s="231"/>
      <c r="S145" s="392">
        <v>17864</v>
      </c>
      <c r="T145" s="231">
        <v>1748</v>
      </c>
      <c r="U145" s="396">
        <v>19612</v>
      </c>
      <c r="V145" s="231"/>
      <c r="W145" s="396">
        <v>160739</v>
      </c>
      <c r="X145" s="396">
        <v>-56797</v>
      </c>
      <c r="Y145" s="396"/>
      <c r="Z145" s="396"/>
    </row>
    <row r="146" spans="1:26">
      <c r="A146" s="390">
        <v>91261</v>
      </c>
      <c r="B146" s="391" t="s">
        <v>857</v>
      </c>
      <c r="C146" s="234">
        <v>9.7000000000000003E-6</v>
      </c>
      <c r="D146" s="234">
        <v>9.7999999999999993E-6</v>
      </c>
      <c r="E146" s="231">
        <v>14876</v>
      </c>
      <c r="F146" s="231" t="s">
        <v>1924</v>
      </c>
      <c r="G146" s="392">
        <v>4733</v>
      </c>
      <c r="H146" s="392">
        <v>0</v>
      </c>
      <c r="I146" s="392">
        <v>9346</v>
      </c>
      <c r="J146" s="231">
        <v>0</v>
      </c>
      <c r="K146" s="231">
        <v>14079</v>
      </c>
      <c r="L146" s="231"/>
      <c r="M146" s="300">
        <v>0</v>
      </c>
      <c r="N146" s="300">
        <v>21253</v>
      </c>
      <c r="O146" s="300">
        <v>0</v>
      </c>
      <c r="P146" s="231">
        <v>2712</v>
      </c>
      <c r="Q146" s="231">
        <v>23965</v>
      </c>
      <c r="R146" s="231"/>
      <c r="S146" s="392">
        <v>6418</v>
      </c>
      <c r="T146" s="231">
        <v>-1026</v>
      </c>
      <c r="U146" s="396">
        <v>5392</v>
      </c>
      <c r="V146" s="231"/>
      <c r="W146" s="396">
        <v>57747</v>
      </c>
      <c r="X146" s="396">
        <v>-20405</v>
      </c>
      <c r="Y146" s="396"/>
      <c r="Z146" s="396"/>
    </row>
    <row r="147" spans="1:26">
      <c r="A147" s="390">
        <v>91301</v>
      </c>
      <c r="B147" s="391" t="s">
        <v>858</v>
      </c>
      <c r="C147" s="234">
        <v>8.3421999999999993E-3</v>
      </c>
      <c r="D147" s="234">
        <v>8.2746E-3</v>
      </c>
      <c r="E147" s="231">
        <v>12793565</v>
      </c>
      <c r="F147" s="231" t="s">
        <v>1924</v>
      </c>
      <c r="G147" s="392">
        <v>4070093</v>
      </c>
      <c r="H147" s="392">
        <v>0</v>
      </c>
      <c r="I147" s="392">
        <v>8037626</v>
      </c>
      <c r="J147" s="231">
        <v>293553</v>
      </c>
      <c r="K147" s="231">
        <v>12401272</v>
      </c>
      <c r="L147" s="231"/>
      <c r="M147" s="300">
        <v>0</v>
      </c>
      <c r="N147" s="300">
        <v>18278161</v>
      </c>
      <c r="O147" s="300">
        <v>0</v>
      </c>
      <c r="P147" s="231">
        <v>19953</v>
      </c>
      <c r="Q147" s="231">
        <v>18298114</v>
      </c>
      <c r="R147" s="231"/>
      <c r="S147" s="392">
        <v>5519550</v>
      </c>
      <c r="T147" s="231">
        <v>82965</v>
      </c>
      <c r="U147" s="396">
        <v>5602515</v>
      </c>
      <c r="V147" s="231"/>
      <c r="W147" s="396">
        <v>49663553</v>
      </c>
      <c r="X147" s="396">
        <v>-17548460</v>
      </c>
      <c r="Y147" s="396"/>
      <c r="Z147" s="396"/>
    </row>
    <row r="148" spans="1:26">
      <c r="A148" s="390">
        <v>91302</v>
      </c>
      <c r="B148" s="391" t="s">
        <v>1933</v>
      </c>
      <c r="C148" s="234">
        <v>5.1170000000000002E-4</v>
      </c>
      <c r="D148" s="234">
        <v>5.0199999999999995E-4</v>
      </c>
      <c r="E148" s="231">
        <v>784741</v>
      </c>
      <c r="F148" s="231" t="s">
        <v>1924</v>
      </c>
      <c r="G148" s="392">
        <v>249654</v>
      </c>
      <c r="H148" s="392">
        <v>0</v>
      </c>
      <c r="I148" s="392">
        <v>493018</v>
      </c>
      <c r="J148" s="231">
        <v>19855</v>
      </c>
      <c r="K148" s="231">
        <v>762527</v>
      </c>
      <c r="L148" s="231"/>
      <c r="M148" s="300">
        <v>0</v>
      </c>
      <c r="N148" s="300">
        <v>1121159</v>
      </c>
      <c r="O148" s="300">
        <v>0</v>
      </c>
      <c r="P148" s="231">
        <v>41902</v>
      </c>
      <c r="Q148" s="231">
        <v>1163061</v>
      </c>
      <c r="R148" s="231"/>
      <c r="S148" s="392">
        <v>338562</v>
      </c>
      <c r="T148" s="231">
        <v>-22276</v>
      </c>
      <c r="U148" s="396">
        <v>316286</v>
      </c>
      <c r="V148" s="231"/>
      <c r="W148" s="396">
        <v>3046300</v>
      </c>
      <c r="X148" s="396">
        <v>-1076400</v>
      </c>
      <c r="Y148" s="396"/>
      <c r="Z148" s="396"/>
    </row>
    <row r="149" spans="1:26">
      <c r="A149" s="390">
        <v>91306</v>
      </c>
      <c r="B149" s="391" t="s">
        <v>860</v>
      </c>
      <c r="C149" s="234">
        <v>1.9042E-3</v>
      </c>
      <c r="D149" s="234">
        <v>1.82E-3</v>
      </c>
      <c r="E149" s="231">
        <v>2920274</v>
      </c>
      <c r="F149" s="231" t="s">
        <v>1924</v>
      </c>
      <c r="G149" s="392">
        <v>929044</v>
      </c>
      <c r="H149" s="392">
        <v>0</v>
      </c>
      <c r="I149" s="392">
        <v>1834678</v>
      </c>
      <c r="J149" s="231">
        <v>175578</v>
      </c>
      <c r="K149" s="231">
        <v>2939300</v>
      </c>
      <c r="L149" s="231"/>
      <c r="M149" s="300">
        <v>0</v>
      </c>
      <c r="N149" s="300">
        <v>4172194</v>
      </c>
      <c r="O149" s="300">
        <v>0</v>
      </c>
      <c r="P149" s="231">
        <v>13540</v>
      </c>
      <c r="Q149" s="231">
        <v>4185734</v>
      </c>
      <c r="R149" s="231"/>
      <c r="S149" s="392">
        <v>1259899</v>
      </c>
      <c r="T149" s="231">
        <v>75188</v>
      </c>
      <c r="U149" s="396">
        <v>1335087</v>
      </c>
      <c r="V149" s="231"/>
      <c r="W149" s="396">
        <v>11336259</v>
      </c>
      <c r="X149" s="396">
        <v>-4005631</v>
      </c>
      <c r="Y149" s="396"/>
      <c r="Z149" s="396"/>
    </row>
    <row r="150" spans="1:26">
      <c r="A150" s="390">
        <v>91308</v>
      </c>
      <c r="B150" s="391" t="s">
        <v>861</v>
      </c>
      <c r="C150" s="234">
        <v>1.0340000000000001E-4</v>
      </c>
      <c r="D150" s="234">
        <v>1.6229999999999999E-4</v>
      </c>
      <c r="E150" s="231">
        <v>158574</v>
      </c>
      <c r="F150" s="231" t="s">
        <v>1924</v>
      </c>
      <c r="G150" s="392">
        <v>50448</v>
      </c>
      <c r="H150" s="392">
        <v>0</v>
      </c>
      <c r="I150" s="392">
        <v>99625</v>
      </c>
      <c r="J150" s="231">
        <v>0</v>
      </c>
      <c r="K150" s="231">
        <v>150073</v>
      </c>
      <c r="L150" s="231"/>
      <c r="M150" s="300">
        <v>0</v>
      </c>
      <c r="N150" s="300">
        <v>226554</v>
      </c>
      <c r="O150" s="300">
        <v>0</v>
      </c>
      <c r="P150" s="231">
        <v>112568</v>
      </c>
      <c r="Q150" s="231">
        <v>339122</v>
      </c>
      <c r="R150" s="231"/>
      <c r="S150" s="392">
        <v>68414</v>
      </c>
      <c r="T150" s="231">
        <v>-45501</v>
      </c>
      <c r="U150" s="396">
        <v>22913</v>
      </c>
      <c r="V150" s="231"/>
      <c r="W150" s="396">
        <v>615570</v>
      </c>
      <c r="X150" s="396">
        <v>-217510</v>
      </c>
      <c r="Y150" s="396"/>
      <c r="Z150" s="396"/>
    </row>
    <row r="151" spans="1:26">
      <c r="A151" s="390">
        <v>91311</v>
      </c>
      <c r="B151" s="391" t="s">
        <v>862</v>
      </c>
      <c r="C151" s="234">
        <v>8.6008000000000005E-3</v>
      </c>
      <c r="D151" s="234">
        <v>8.4355999999999997E-3</v>
      </c>
      <c r="E151" s="231">
        <v>13190152</v>
      </c>
      <c r="F151" s="231" t="s">
        <v>1924</v>
      </c>
      <c r="G151" s="392">
        <v>4196262</v>
      </c>
      <c r="H151" s="392">
        <v>0</v>
      </c>
      <c r="I151" s="392">
        <v>8286785</v>
      </c>
      <c r="J151" s="231">
        <v>528534</v>
      </c>
      <c r="K151" s="231">
        <v>13011581</v>
      </c>
      <c r="L151" s="231"/>
      <c r="M151" s="300">
        <v>0</v>
      </c>
      <c r="N151" s="300">
        <v>18844766</v>
      </c>
      <c r="O151" s="300">
        <v>0</v>
      </c>
      <c r="P151" s="231">
        <v>19303</v>
      </c>
      <c r="Q151" s="231">
        <v>18864069</v>
      </c>
      <c r="R151" s="231"/>
      <c r="S151" s="392">
        <v>5690651</v>
      </c>
      <c r="T151" s="231">
        <v>184069</v>
      </c>
      <c r="U151" s="396">
        <v>5874720</v>
      </c>
      <c r="V151" s="231"/>
      <c r="W151" s="396">
        <v>51203074</v>
      </c>
      <c r="X151" s="396">
        <v>-18092445</v>
      </c>
      <c r="Y151" s="396"/>
      <c r="Z151" s="396"/>
    </row>
    <row r="152" spans="1:26">
      <c r="A152" s="390">
        <v>91317</v>
      </c>
      <c r="B152" s="391" t="s">
        <v>863</v>
      </c>
      <c r="C152" s="234">
        <v>1.416E-4</v>
      </c>
      <c r="D152" s="234">
        <v>1.27E-4</v>
      </c>
      <c r="E152" s="231">
        <v>217157</v>
      </c>
      <c r="F152" s="231" t="s">
        <v>1924</v>
      </c>
      <c r="G152" s="392">
        <v>69086</v>
      </c>
      <c r="H152" s="392">
        <v>0</v>
      </c>
      <c r="I152" s="392">
        <v>136430</v>
      </c>
      <c r="J152" s="231">
        <v>66809</v>
      </c>
      <c r="K152" s="231">
        <v>272325</v>
      </c>
      <c r="L152" s="231"/>
      <c r="M152" s="300">
        <v>0</v>
      </c>
      <c r="N152" s="300">
        <v>310252</v>
      </c>
      <c r="O152" s="300">
        <v>0</v>
      </c>
      <c r="P152" s="231">
        <v>0</v>
      </c>
      <c r="Q152" s="231">
        <v>310252</v>
      </c>
      <c r="R152" s="231"/>
      <c r="S152" s="392">
        <v>93689</v>
      </c>
      <c r="T152" s="231">
        <v>31313</v>
      </c>
      <c r="U152" s="396">
        <v>125002</v>
      </c>
      <c r="V152" s="231"/>
      <c r="W152" s="396">
        <v>842986</v>
      </c>
      <c r="X152" s="396">
        <v>-297867</v>
      </c>
      <c r="Y152" s="396"/>
      <c r="Z152" s="396"/>
    </row>
    <row r="153" spans="1:26">
      <c r="A153" s="390">
        <v>91321</v>
      </c>
      <c r="B153" s="391" t="s">
        <v>864</v>
      </c>
      <c r="C153" s="234">
        <v>6.6000000000000005E-5</v>
      </c>
      <c r="D153" s="234">
        <v>6.9300000000000004E-5</v>
      </c>
      <c r="E153" s="231">
        <v>101217</v>
      </c>
      <c r="F153" s="231" t="s">
        <v>1924</v>
      </c>
      <c r="G153" s="392">
        <v>32201</v>
      </c>
      <c r="H153" s="392">
        <v>0</v>
      </c>
      <c r="I153" s="392">
        <v>63590</v>
      </c>
      <c r="J153" s="231">
        <v>28470</v>
      </c>
      <c r="K153" s="231">
        <v>124261</v>
      </c>
      <c r="L153" s="231"/>
      <c r="M153" s="300">
        <v>0</v>
      </c>
      <c r="N153" s="300">
        <v>144609</v>
      </c>
      <c r="O153" s="300">
        <v>0</v>
      </c>
      <c r="P153" s="231">
        <v>4754</v>
      </c>
      <c r="Q153" s="231">
        <v>149363</v>
      </c>
      <c r="R153" s="231"/>
      <c r="S153" s="392">
        <v>43668</v>
      </c>
      <c r="T153" s="231">
        <v>18972</v>
      </c>
      <c r="U153" s="396">
        <v>62640</v>
      </c>
      <c r="V153" s="231"/>
      <c r="W153" s="396">
        <v>392917</v>
      </c>
      <c r="X153" s="396">
        <v>-138836</v>
      </c>
      <c r="Y153" s="396"/>
      <c r="Z153" s="396"/>
    </row>
    <row r="154" spans="1:26">
      <c r="A154" s="390">
        <v>91327</v>
      </c>
      <c r="B154" s="391" t="s">
        <v>865</v>
      </c>
      <c r="C154" s="234">
        <v>1.0499999999999999E-5</v>
      </c>
      <c r="D154" s="234">
        <v>0</v>
      </c>
      <c r="E154" s="231">
        <v>16103</v>
      </c>
      <c r="F154" s="231" t="s">
        <v>1924</v>
      </c>
      <c r="G154" s="392">
        <v>5123</v>
      </c>
      <c r="H154" s="392">
        <v>0</v>
      </c>
      <c r="I154" s="392">
        <v>10117</v>
      </c>
      <c r="J154" s="231">
        <v>19089</v>
      </c>
      <c r="K154" s="231">
        <v>34329</v>
      </c>
      <c r="L154" s="231"/>
      <c r="M154" s="300">
        <v>0</v>
      </c>
      <c r="N154" s="300">
        <v>23006</v>
      </c>
      <c r="O154" s="300">
        <v>0</v>
      </c>
      <c r="P154" s="231">
        <v>8532</v>
      </c>
      <c r="Q154" s="231">
        <v>31538</v>
      </c>
      <c r="R154" s="231"/>
      <c r="S154" s="392">
        <v>6947</v>
      </c>
      <c r="T154" s="231">
        <v>2211</v>
      </c>
      <c r="U154" s="396">
        <v>9158</v>
      </c>
      <c r="V154" s="231"/>
      <c r="W154" s="396">
        <v>62510</v>
      </c>
      <c r="X154" s="396">
        <v>-22088</v>
      </c>
      <c r="Y154" s="396"/>
      <c r="Z154" s="396"/>
    </row>
    <row r="155" spans="1:26">
      <c r="A155" s="390">
        <v>91331</v>
      </c>
      <c r="B155" s="391" t="s">
        <v>866</v>
      </c>
      <c r="C155" s="234">
        <v>3.0428999999999999E-3</v>
      </c>
      <c r="D155" s="234">
        <v>3.0620999999999999E-3</v>
      </c>
      <c r="E155" s="231">
        <v>4666579</v>
      </c>
      <c r="F155" s="231" t="s">
        <v>1924</v>
      </c>
      <c r="G155" s="392">
        <v>1484607</v>
      </c>
      <c r="H155" s="392">
        <v>0</v>
      </c>
      <c r="I155" s="392">
        <v>2931804</v>
      </c>
      <c r="J155" s="231">
        <v>41761</v>
      </c>
      <c r="K155" s="231">
        <v>4458172</v>
      </c>
      <c r="L155" s="231"/>
      <c r="M155" s="300">
        <v>0</v>
      </c>
      <c r="N155" s="300">
        <v>6667140</v>
      </c>
      <c r="O155" s="300">
        <v>0</v>
      </c>
      <c r="P155" s="231">
        <v>227733</v>
      </c>
      <c r="Q155" s="231">
        <v>6894873</v>
      </c>
      <c r="R155" s="231"/>
      <c r="S155" s="392">
        <v>2013310</v>
      </c>
      <c r="T155" s="231">
        <v>-104213</v>
      </c>
      <c r="U155" s="396">
        <v>1909097</v>
      </c>
      <c r="V155" s="231"/>
      <c r="W155" s="396">
        <v>18115272</v>
      </c>
      <c r="X155" s="396">
        <v>-6400974</v>
      </c>
      <c r="Y155" s="396"/>
      <c r="Z155" s="396"/>
    </row>
    <row r="156" spans="1:26">
      <c r="A156" s="390">
        <v>91341</v>
      </c>
      <c r="B156" s="391" t="s">
        <v>867</v>
      </c>
      <c r="C156" s="234">
        <v>3.4499999999999998E-5</v>
      </c>
      <c r="D156" s="234">
        <v>3.6900000000000002E-5</v>
      </c>
      <c r="E156" s="231">
        <v>52909</v>
      </c>
      <c r="F156" s="231" t="s">
        <v>1924</v>
      </c>
      <c r="G156" s="392">
        <v>16832</v>
      </c>
      <c r="H156" s="392">
        <v>0</v>
      </c>
      <c r="I156" s="392">
        <v>33240</v>
      </c>
      <c r="J156" s="231">
        <v>4929</v>
      </c>
      <c r="K156" s="231">
        <v>55001</v>
      </c>
      <c r="L156" s="231"/>
      <c r="M156" s="300">
        <v>0</v>
      </c>
      <c r="N156" s="300">
        <v>75591</v>
      </c>
      <c r="O156" s="300">
        <v>0</v>
      </c>
      <c r="P156" s="231">
        <v>9394</v>
      </c>
      <c r="Q156" s="231">
        <v>84985</v>
      </c>
      <c r="R156" s="231"/>
      <c r="S156" s="392">
        <v>22827</v>
      </c>
      <c r="T156" s="231">
        <v>397</v>
      </c>
      <c r="U156" s="396">
        <v>23224</v>
      </c>
      <c r="V156" s="231"/>
      <c r="W156" s="396">
        <v>205389</v>
      </c>
      <c r="X156" s="396">
        <v>-72573</v>
      </c>
      <c r="Y156" s="396"/>
      <c r="Z156" s="396"/>
    </row>
    <row r="157" spans="1:26">
      <c r="A157" s="390">
        <v>91401</v>
      </c>
      <c r="B157" s="391" t="s">
        <v>868</v>
      </c>
      <c r="C157" s="234">
        <v>3.6838000000000001E-3</v>
      </c>
      <c r="D157" s="234">
        <v>3.7696000000000001E-3</v>
      </c>
      <c r="E157" s="231">
        <v>5649461</v>
      </c>
      <c r="F157" s="231" t="s">
        <v>1924</v>
      </c>
      <c r="G157" s="392">
        <v>1797297</v>
      </c>
      <c r="H157" s="392">
        <v>0</v>
      </c>
      <c r="I157" s="392">
        <v>3549304</v>
      </c>
      <c r="J157" s="231">
        <v>304954</v>
      </c>
      <c r="K157" s="231">
        <v>5651555</v>
      </c>
      <c r="L157" s="231"/>
      <c r="M157" s="300">
        <v>0</v>
      </c>
      <c r="N157" s="300">
        <v>8071383</v>
      </c>
      <c r="O157" s="300">
        <v>0</v>
      </c>
      <c r="P157" s="231">
        <v>270615</v>
      </c>
      <c r="Q157" s="231">
        <v>8341998</v>
      </c>
      <c r="R157" s="231"/>
      <c r="S157" s="392">
        <v>2437357</v>
      </c>
      <c r="T157" s="231">
        <v>6897</v>
      </c>
      <c r="U157" s="396">
        <v>2444254</v>
      </c>
      <c r="V157" s="231"/>
      <c r="W157" s="396">
        <v>21930737</v>
      </c>
      <c r="X157" s="396">
        <v>-7749157</v>
      </c>
      <c r="Y157" s="396"/>
      <c r="Z157" s="396"/>
    </row>
    <row r="158" spans="1:26">
      <c r="A158" s="390">
        <v>91411</v>
      </c>
      <c r="B158" s="391" t="s">
        <v>869</v>
      </c>
      <c r="C158" s="234">
        <v>4.2220000000000002E-4</v>
      </c>
      <c r="D158" s="234">
        <v>4.0089999999999999E-4</v>
      </c>
      <c r="E158" s="231">
        <v>647484</v>
      </c>
      <c r="F158" s="231" t="s">
        <v>1924</v>
      </c>
      <c r="G158" s="392">
        <v>205988</v>
      </c>
      <c r="H158" s="392">
        <v>0</v>
      </c>
      <c r="I158" s="392">
        <v>406785</v>
      </c>
      <c r="J158" s="231">
        <v>39586</v>
      </c>
      <c r="K158" s="231">
        <v>652359</v>
      </c>
      <c r="L158" s="231"/>
      <c r="M158" s="300">
        <v>0</v>
      </c>
      <c r="N158" s="300">
        <v>925060</v>
      </c>
      <c r="O158" s="300">
        <v>0</v>
      </c>
      <c r="P158" s="231">
        <v>0</v>
      </c>
      <c r="Q158" s="231">
        <v>925060</v>
      </c>
      <c r="R158" s="231"/>
      <c r="S158" s="392">
        <v>279345</v>
      </c>
      <c r="T158" s="231">
        <v>17009</v>
      </c>
      <c r="U158" s="396">
        <v>296354</v>
      </c>
      <c r="V158" s="231"/>
      <c r="W158" s="396">
        <v>2513480</v>
      </c>
      <c r="X158" s="396">
        <v>-888130</v>
      </c>
      <c r="Y158" s="396"/>
      <c r="Z158" s="396"/>
    </row>
    <row r="159" spans="1:26">
      <c r="A159" s="390">
        <v>91414</v>
      </c>
      <c r="B159" s="391" t="s">
        <v>3608</v>
      </c>
      <c r="C159" s="234">
        <v>3.1199999999999999E-5</v>
      </c>
      <c r="D159" s="234">
        <v>2.4499999999999999E-5</v>
      </c>
      <c r="E159" s="231">
        <v>47848</v>
      </c>
      <c r="F159" s="231"/>
      <c r="G159" s="392">
        <v>15222</v>
      </c>
      <c r="H159" s="392">
        <v>0</v>
      </c>
      <c r="I159" s="392">
        <v>30061</v>
      </c>
      <c r="J159" s="231">
        <v>23821</v>
      </c>
      <c r="K159" s="231">
        <v>69104</v>
      </c>
      <c r="L159" s="231"/>
      <c r="M159" s="300">
        <v>0</v>
      </c>
      <c r="N159" s="300">
        <v>68361</v>
      </c>
      <c r="O159" s="300">
        <v>0</v>
      </c>
      <c r="P159" s="231">
        <v>0</v>
      </c>
      <c r="Q159" s="231">
        <v>68361</v>
      </c>
      <c r="R159" s="231"/>
      <c r="S159" s="392">
        <v>20643</v>
      </c>
      <c r="T159" s="231">
        <v>10002</v>
      </c>
      <c r="U159" s="396">
        <v>30645</v>
      </c>
      <c r="V159" s="231"/>
      <c r="W159" s="396">
        <v>185743</v>
      </c>
      <c r="X159" s="396">
        <v>-65632</v>
      </c>
      <c r="Y159" s="396"/>
      <c r="Z159" s="396"/>
    </row>
    <row r="160" spans="1:26">
      <c r="A160" s="390">
        <v>91417</v>
      </c>
      <c r="B160" s="391" t="s">
        <v>870</v>
      </c>
      <c r="C160" s="234">
        <v>7.5000000000000002E-6</v>
      </c>
      <c r="D160" s="234">
        <v>6.1E-6</v>
      </c>
      <c r="E160" s="231">
        <v>11502</v>
      </c>
      <c r="F160" s="231" t="s">
        <v>1924</v>
      </c>
      <c r="G160" s="392">
        <v>3659</v>
      </c>
      <c r="H160" s="392">
        <v>0</v>
      </c>
      <c r="I160" s="392">
        <v>7226</v>
      </c>
      <c r="J160" s="231">
        <v>7865</v>
      </c>
      <c r="K160" s="231">
        <v>18750</v>
      </c>
      <c r="L160" s="231"/>
      <c r="M160" s="300">
        <v>0</v>
      </c>
      <c r="N160" s="300">
        <v>16433</v>
      </c>
      <c r="O160" s="300">
        <v>0</v>
      </c>
      <c r="P160" s="231">
        <v>0</v>
      </c>
      <c r="Q160" s="231">
        <v>16433</v>
      </c>
      <c r="R160" s="231"/>
      <c r="S160" s="392">
        <v>4962</v>
      </c>
      <c r="T160" s="231">
        <v>2980</v>
      </c>
      <c r="U160" s="396">
        <v>7942</v>
      </c>
      <c r="V160" s="231"/>
      <c r="W160" s="396">
        <v>44650</v>
      </c>
      <c r="X160" s="396">
        <v>-15777</v>
      </c>
      <c r="Y160" s="396"/>
      <c r="Z160" s="396"/>
    </row>
    <row r="161" spans="1:26">
      <c r="A161" s="390">
        <v>91421</v>
      </c>
      <c r="B161" s="391" t="s">
        <v>871</v>
      </c>
      <c r="C161" s="234">
        <v>6.4800000000000003E-5</v>
      </c>
      <c r="D161" s="234">
        <v>6.8300000000000007E-5</v>
      </c>
      <c r="E161" s="231">
        <v>99377</v>
      </c>
      <c r="F161" s="231" t="s">
        <v>1924</v>
      </c>
      <c r="G161" s="392">
        <v>31615</v>
      </c>
      <c r="H161" s="392">
        <v>0</v>
      </c>
      <c r="I161" s="392">
        <v>62434</v>
      </c>
      <c r="J161" s="231">
        <v>4720</v>
      </c>
      <c r="K161" s="231">
        <v>98769</v>
      </c>
      <c r="L161" s="231"/>
      <c r="M161" s="300">
        <v>0</v>
      </c>
      <c r="N161" s="300">
        <v>141980</v>
      </c>
      <c r="O161" s="300">
        <v>0</v>
      </c>
      <c r="P161" s="231">
        <v>3108</v>
      </c>
      <c r="Q161" s="231">
        <v>145088</v>
      </c>
      <c r="R161" s="231"/>
      <c r="S161" s="392">
        <v>42874</v>
      </c>
      <c r="T161" s="231">
        <v>2637</v>
      </c>
      <c r="U161" s="396">
        <v>45511</v>
      </c>
      <c r="V161" s="231"/>
      <c r="W161" s="396">
        <v>385773</v>
      </c>
      <c r="X161" s="396">
        <v>-136312</v>
      </c>
      <c r="Y161" s="396"/>
      <c r="Z161" s="396"/>
    </row>
    <row r="162" spans="1:26">
      <c r="A162" s="390">
        <v>91423</v>
      </c>
      <c r="B162" s="391" t="s">
        <v>872</v>
      </c>
      <c r="C162" s="234">
        <v>6.05E-5</v>
      </c>
      <c r="D162" s="234">
        <v>5.6199999999999997E-5</v>
      </c>
      <c r="E162" s="231">
        <v>92783</v>
      </c>
      <c r="F162" s="231" t="s">
        <v>1924</v>
      </c>
      <c r="G162" s="392">
        <v>29517</v>
      </c>
      <c r="H162" s="392">
        <v>0</v>
      </c>
      <c r="I162" s="392">
        <v>58291</v>
      </c>
      <c r="J162" s="231">
        <v>4449</v>
      </c>
      <c r="K162" s="231">
        <v>92257</v>
      </c>
      <c r="L162" s="231"/>
      <c r="M162" s="300">
        <v>0</v>
      </c>
      <c r="N162" s="300">
        <v>132558</v>
      </c>
      <c r="O162" s="300">
        <v>0</v>
      </c>
      <c r="P162" s="231">
        <v>1712</v>
      </c>
      <c r="Q162" s="231">
        <v>134270</v>
      </c>
      <c r="R162" s="231"/>
      <c r="S162" s="392">
        <v>40029</v>
      </c>
      <c r="T162" s="231">
        <v>1793</v>
      </c>
      <c r="U162" s="396">
        <v>41822</v>
      </c>
      <c r="V162" s="231"/>
      <c r="W162" s="396">
        <v>360174</v>
      </c>
      <c r="X162" s="396">
        <v>-127266</v>
      </c>
      <c r="Y162" s="396"/>
      <c r="Z162" s="396"/>
    </row>
    <row r="163" spans="1:26">
      <c r="A163" s="390">
        <v>91431</v>
      </c>
      <c r="B163" s="391" t="s">
        <v>873</v>
      </c>
      <c r="C163" s="234">
        <v>1.8929999999999999E-4</v>
      </c>
      <c r="D163" s="234">
        <v>1.7760000000000001E-4</v>
      </c>
      <c r="E163" s="231">
        <v>290310</v>
      </c>
      <c r="F163" s="231" t="s">
        <v>1924</v>
      </c>
      <c r="G163" s="392">
        <v>92358</v>
      </c>
      <c r="H163" s="392">
        <v>0</v>
      </c>
      <c r="I163" s="392">
        <v>182389</v>
      </c>
      <c r="J163" s="231">
        <v>28623</v>
      </c>
      <c r="K163" s="231">
        <v>303370</v>
      </c>
      <c r="L163" s="231"/>
      <c r="M163" s="300">
        <v>0</v>
      </c>
      <c r="N163" s="300">
        <v>414765</v>
      </c>
      <c r="O163" s="300">
        <v>0</v>
      </c>
      <c r="P163" s="231">
        <v>1483</v>
      </c>
      <c r="Q163" s="231">
        <v>416248</v>
      </c>
      <c r="R163" s="231"/>
      <c r="S163" s="392">
        <v>125249</v>
      </c>
      <c r="T163" s="231">
        <v>16407</v>
      </c>
      <c r="U163" s="396">
        <v>141656</v>
      </c>
      <c r="V163" s="231"/>
      <c r="W163" s="396">
        <v>1126958</v>
      </c>
      <c r="X163" s="396">
        <v>-398207</v>
      </c>
      <c r="Y163" s="396"/>
      <c r="Z163" s="396"/>
    </row>
    <row r="164" spans="1:26">
      <c r="A164" s="390">
        <v>91441</v>
      </c>
      <c r="B164" s="391" t="s">
        <v>874</v>
      </c>
      <c r="C164" s="234">
        <v>9.4760000000000005E-4</v>
      </c>
      <c r="D164" s="234">
        <v>9.5500000000000001E-4</v>
      </c>
      <c r="E164" s="231">
        <v>1453236</v>
      </c>
      <c r="F164" s="231" t="s">
        <v>1924</v>
      </c>
      <c r="G164" s="392">
        <v>462326</v>
      </c>
      <c r="H164" s="392">
        <v>0</v>
      </c>
      <c r="I164" s="392">
        <v>913003</v>
      </c>
      <c r="J164" s="231">
        <v>0</v>
      </c>
      <c r="K164" s="231">
        <v>1375329</v>
      </c>
      <c r="L164" s="231"/>
      <c r="M164" s="300">
        <v>0</v>
      </c>
      <c r="N164" s="300">
        <v>2076237</v>
      </c>
      <c r="O164" s="300">
        <v>0</v>
      </c>
      <c r="P164" s="231">
        <v>219880</v>
      </c>
      <c r="Q164" s="231">
        <v>2296117</v>
      </c>
      <c r="R164" s="231"/>
      <c r="S164" s="392">
        <v>626972</v>
      </c>
      <c r="T164" s="231">
        <v>-95640</v>
      </c>
      <c r="U164" s="396">
        <v>531332</v>
      </c>
      <c r="V164" s="231"/>
      <c r="W164" s="396">
        <v>5641339</v>
      </c>
      <c r="X164" s="396">
        <v>-1993350</v>
      </c>
      <c r="Y164" s="396"/>
      <c r="Z164" s="396"/>
    </row>
    <row r="165" spans="1:26">
      <c r="A165" s="390">
        <v>91451</v>
      </c>
      <c r="B165" s="391" t="s">
        <v>875</v>
      </c>
      <c r="C165" s="234">
        <v>1.4920000000000001E-3</v>
      </c>
      <c r="D165" s="234">
        <v>1.5448E-3</v>
      </c>
      <c r="E165" s="231">
        <v>2288125</v>
      </c>
      <c r="F165" s="231" t="s">
        <v>1924</v>
      </c>
      <c r="G165" s="392">
        <v>727935</v>
      </c>
      <c r="H165" s="392">
        <v>0</v>
      </c>
      <c r="I165" s="392">
        <v>1437527</v>
      </c>
      <c r="J165" s="231">
        <v>16538</v>
      </c>
      <c r="K165" s="231">
        <v>2182000</v>
      </c>
      <c r="L165" s="231"/>
      <c r="M165" s="300">
        <v>0</v>
      </c>
      <c r="N165" s="300">
        <v>3269044</v>
      </c>
      <c r="O165" s="300">
        <v>0</v>
      </c>
      <c r="P165" s="231">
        <v>101169</v>
      </c>
      <c r="Q165" s="231">
        <v>3370213</v>
      </c>
      <c r="R165" s="231"/>
      <c r="S165" s="392">
        <v>987170</v>
      </c>
      <c r="T165" s="231">
        <v>-43406</v>
      </c>
      <c r="U165" s="396">
        <v>943764</v>
      </c>
      <c r="V165" s="231"/>
      <c r="W165" s="396">
        <v>8882312</v>
      </c>
      <c r="X165" s="396">
        <v>-3138537</v>
      </c>
      <c r="Y165" s="396"/>
      <c r="Z165" s="396"/>
    </row>
    <row r="166" spans="1:26">
      <c r="A166" s="390">
        <v>91457</v>
      </c>
      <c r="B166" s="391" t="s">
        <v>876</v>
      </c>
      <c r="C166" s="234">
        <v>1.8300000000000001E-5</v>
      </c>
      <c r="D166" s="234">
        <v>1.4100000000000001E-5</v>
      </c>
      <c r="E166" s="231">
        <v>28065</v>
      </c>
      <c r="F166" s="231" t="s">
        <v>1924</v>
      </c>
      <c r="G166" s="392">
        <v>8928</v>
      </c>
      <c r="H166" s="392">
        <v>0</v>
      </c>
      <c r="I166" s="392">
        <v>17632</v>
      </c>
      <c r="J166" s="231">
        <v>42156</v>
      </c>
      <c r="K166" s="231">
        <v>68716</v>
      </c>
      <c r="L166" s="231"/>
      <c r="M166" s="300">
        <v>0</v>
      </c>
      <c r="N166" s="300">
        <v>40096</v>
      </c>
      <c r="O166" s="300">
        <v>0</v>
      </c>
      <c r="P166" s="231">
        <v>0</v>
      </c>
      <c r="Q166" s="231">
        <v>40096</v>
      </c>
      <c r="R166" s="231"/>
      <c r="S166" s="392">
        <v>12108</v>
      </c>
      <c r="T166" s="231">
        <v>21627</v>
      </c>
      <c r="U166" s="396">
        <v>33735</v>
      </c>
      <c r="V166" s="231"/>
      <c r="W166" s="396">
        <v>108945</v>
      </c>
      <c r="X166" s="396">
        <v>-38495</v>
      </c>
      <c r="Y166" s="396"/>
      <c r="Z166" s="396"/>
    </row>
    <row r="167" spans="1:26">
      <c r="A167" s="390">
        <v>91461</v>
      </c>
      <c r="B167" s="391" t="s">
        <v>877</v>
      </c>
      <c r="C167" s="234">
        <v>0</v>
      </c>
      <c r="D167" s="234">
        <v>0</v>
      </c>
      <c r="E167" s="231">
        <v>0</v>
      </c>
      <c r="F167" s="231" t="s">
        <v>1924</v>
      </c>
      <c r="G167" s="392">
        <v>0</v>
      </c>
      <c r="H167" s="392">
        <v>0</v>
      </c>
      <c r="I167" s="392">
        <v>0</v>
      </c>
      <c r="J167" s="231">
        <v>0</v>
      </c>
      <c r="K167" s="231">
        <v>0</v>
      </c>
      <c r="L167" s="231"/>
      <c r="M167" s="300">
        <v>0</v>
      </c>
      <c r="N167" s="300">
        <v>0</v>
      </c>
      <c r="O167" s="300">
        <v>0</v>
      </c>
      <c r="P167" s="231">
        <v>9231</v>
      </c>
      <c r="Q167" s="231">
        <v>9231</v>
      </c>
      <c r="R167" s="231"/>
      <c r="S167" s="392">
        <v>0</v>
      </c>
      <c r="T167" s="231">
        <v>-4915</v>
      </c>
      <c r="U167" s="396">
        <v>-4915</v>
      </c>
      <c r="V167" s="231"/>
      <c r="W167" s="396">
        <v>0</v>
      </c>
      <c r="X167" s="396">
        <v>0</v>
      </c>
      <c r="Y167" s="396"/>
      <c r="Z167" s="396"/>
    </row>
    <row r="168" spans="1:26">
      <c r="A168" s="390">
        <v>91501</v>
      </c>
      <c r="B168" s="391" t="s">
        <v>878</v>
      </c>
      <c r="C168" s="234">
        <v>4.819E-4</v>
      </c>
      <c r="D168" s="234">
        <v>4.9739999999999995E-4</v>
      </c>
      <c r="E168" s="231">
        <v>739040</v>
      </c>
      <c r="F168" s="231" t="s">
        <v>1924</v>
      </c>
      <c r="G168" s="392">
        <v>235115</v>
      </c>
      <c r="H168" s="392">
        <v>0</v>
      </c>
      <c r="I168" s="392">
        <v>464306</v>
      </c>
      <c r="J168" s="231">
        <v>14847</v>
      </c>
      <c r="K168" s="231">
        <v>714268</v>
      </c>
      <c r="L168" s="231"/>
      <c r="M168" s="300">
        <v>0</v>
      </c>
      <c r="N168" s="300">
        <v>1055866</v>
      </c>
      <c r="O168" s="300">
        <v>0</v>
      </c>
      <c r="P168" s="231">
        <v>28270</v>
      </c>
      <c r="Q168" s="231">
        <v>1084136</v>
      </c>
      <c r="R168" s="231"/>
      <c r="S168" s="392">
        <v>318845</v>
      </c>
      <c r="T168" s="231">
        <v>-8233</v>
      </c>
      <c r="U168" s="396">
        <v>310612</v>
      </c>
      <c r="V168" s="231"/>
      <c r="W168" s="396">
        <v>2868891</v>
      </c>
      <c r="X168" s="396">
        <v>-1013714</v>
      </c>
      <c r="Y168" s="396"/>
      <c r="Z168" s="396"/>
    </row>
    <row r="169" spans="1:26">
      <c r="A169" s="390">
        <v>91504</v>
      </c>
      <c r="B169" s="391" t="s">
        <v>879</v>
      </c>
      <c r="C169" s="234">
        <v>8.8999999999999995E-6</v>
      </c>
      <c r="D169" s="234">
        <v>8.1000000000000004E-6</v>
      </c>
      <c r="E169" s="231">
        <v>13649</v>
      </c>
      <c r="F169" s="231" t="s">
        <v>1924</v>
      </c>
      <c r="G169" s="392">
        <v>4342</v>
      </c>
      <c r="H169" s="392">
        <v>0</v>
      </c>
      <c r="I169" s="392">
        <v>8575</v>
      </c>
      <c r="J169" s="231">
        <v>7301</v>
      </c>
      <c r="K169" s="231">
        <v>20218</v>
      </c>
      <c r="L169" s="231"/>
      <c r="M169" s="300">
        <v>0</v>
      </c>
      <c r="N169" s="300">
        <v>19500</v>
      </c>
      <c r="O169" s="300">
        <v>0</v>
      </c>
      <c r="P169" s="231">
        <v>0</v>
      </c>
      <c r="Q169" s="231">
        <v>19500</v>
      </c>
      <c r="R169" s="231"/>
      <c r="S169" s="392">
        <v>5889</v>
      </c>
      <c r="T169" s="231">
        <v>3402</v>
      </c>
      <c r="U169" s="396">
        <v>9291</v>
      </c>
      <c r="V169" s="231"/>
      <c r="W169" s="396">
        <v>52984</v>
      </c>
      <c r="X169" s="396">
        <v>-18722</v>
      </c>
      <c r="Y169" s="396"/>
      <c r="Z169" s="396"/>
    </row>
    <row r="170" spans="1:26">
      <c r="A170" s="390">
        <v>91601</v>
      </c>
      <c r="B170" s="391" t="s">
        <v>880</v>
      </c>
      <c r="C170" s="234">
        <v>2.8359000000000001E-3</v>
      </c>
      <c r="D170" s="234">
        <v>2.8121999999999999E-3</v>
      </c>
      <c r="E170" s="231">
        <v>4349125</v>
      </c>
      <c r="F170" s="231" t="s">
        <v>1924</v>
      </c>
      <c r="G170" s="392">
        <v>1383613</v>
      </c>
      <c r="H170" s="392">
        <v>0</v>
      </c>
      <c r="I170" s="392">
        <v>2732361</v>
      </c>
      <c r="J170" s="231">
        <v>285639</v>
      </c>
      <c r="K170" s="231">
        <v>4401613</v>
      </c>
      <c r="L170" s="231"/>
      <c r="M170" s="300">
        <v>0</v>
      </c>
      <c r="N170" s="300">
        <v>6213593</v>
      </c>
      <c r="O170" s="300">
        <v>0</v>
      </c>
      <c r="P170" s="231">
        <v>106723</v>
      </c>
      <c r="Q170" s="231">
        <v>6320316</v>
      </c>
      <c r="R170" s="231"/>
      <c r="S170" s="392">
        <v>1876351</v>
      </c>
      <c r="T170" s="231">
        <v>50976</v>
      </c>
      <c r="U170" s="396">
        <v>1927327</v>
      </c>
      <c r="V170" s="231"/>
      <c r="W170" s="396">
        <v>16882941</v>
      </c>
      <c r="X170" s="396">
        <v>-5965534</v>
      </c>
      <c r="Y170" s="396"/>
      <c r="Z170" s="396"/>
    </row>
    <row r="171" spans="1:26">
      <c r="A171" s="390">
        <v>91604</v>
      </c>
      <c r="B171" s="391" t="s">
        <v>881</v>
      </c>
      <c r="C171" s="234">
        <v>7.3999999999999996E-5</v>
      </c>
      <c r="D171" s="234">
        <v>8.1600000000000005E-5</v>
      </c>
      <c r="E171" s="231">
        <v>113486</v>
      </c>
      <c r="F171" s="231" t="s">
        <v>1924</v>
      </c>
      <c r="G171" s="392">
        <v>36104</v>
      </c>
      <c r="H171" s="392">
        <v>0</v>
      </c>
      <c r="I171" s="392">
        <v>71298</v>
      </c>
      <c r="J171" s="231">
        <v>21937</v>
      </c>
      <c r="K171" s="231">
        <v>129339</v>
      </c>
      <c r="L171" s="231"/>
      <c r="M171" s="300">
        <v>0</v>
      </c>
      <c r="N171" s="300">
        <v>162138</v>
      </c>
      <c r="O171" s="300">
        <v>0</v>
      </c>
      <c r="P171" s="231">
        <v>0</v>
      </c>
      <c r="Q171" s="231">
        <v>162138</v>
      </c>
      <c r="R171" s="231"/>
      <c r="S171" s="392">
        <v>48962</v>
      </c>
      <c r="T171" s="231">
        <v>13300</v>
      </c>
      <c r="U171" s="396">
        <v>62262</v>
      </c>
      <c r="V171" s="231"/>
      <c r="W171" s="396">
        <v>440544</v>
      </c>
      <c r="X171" s="396">
        <v>-155665</v>
      </c>
      <c r="Y171" s="396"/>
      <c r="Z171" s="396"/>
    </row>
    <row r="172" spans="1:26">
      <c r="A172" s="390">
        <v>91608</v>
      </c>
      <c r="B172" s="391" t="s">
        <v>882</v>
      </c>
      <c r="C172" s="234">
        <v>1.594E-4</v>
      </c>
      <c r="D172" s="234">
        <v>1.7579999999999999E-4</v>
      </c>
      <c r="E172" s="231">
        <v>244455</v>
      </c>
      <c r="F172" s="231" t="s">
        <v>1924</v>
      </c>
      <c r="G172" s="392">
        <v>77770</v>
      </c>
      <c r="H172" s="392">
        <v>0</v>
      </c>
      <c r="I172" s="392">
        <v>153580</v>
      </c>
      <c r="J172" s="231">
        <v>2388</v>
      </c>
      <c r="K172" s="231">
        <v>233738</v>
      </c>
      <c r="L172" s="231"/>
      <c r="M172" s="300">
        <v>0</v>
      </c>
      <c r="N172" s="300">
        <v>349253</v>
      </c>
      <c r="O172" s="300">
        <v>0</v>
      </c>
      <c r="P172" s="231">
        <v>59534</v>
      </c>
      <c r="Q172" s="231">
        <v>408787</v>
      </c>
      <c r="R172" s="231"/>
      <c r="S172" s="392">
        <v>105466</v>
      </c>
      <c r="T172" s="231">
        <v>-22882</v>
      </c>
      <c r="U172" s="396">
        <v>82584</v>
      </c>
      <c r="V172" s="231"/>
      <c r="W172" s="396">
        <v>948955</v>
      </c>
      <c r="X172" s="396">
        <v>-335310</v>
      </c>
      <c r="Y172" s="396"/>
      <c r="Z172" s="396"/>
    </row>
    <row r="173" spans="1:26">
      <c r="A173" s="390">
        <v>91611</v>
      </c>
      <c r="B173" s="391" t="s">
        <v>883</v>
      </c>
      <c r="C173" s="234">
        <v>1.3304E-3</v>
      </c>
      <c r="D173" s="234">
        <v>1.4962E-3</v>
      </c>
      <c r="E173" s="231">
        <v>2040296</v>
      </c>
      <c r="F173" s="231" t="s">
        <v>1924</v>
      </c>
      <c r="G173" s="392">
        <v>649092</v>
      </c>
      <c r="H173" s="392">
        <v>0</v>
      </c>
      <c r="I173" s="392">
        <v>1281827</v>
      </c>
      <c r="J173" s="231">
        <v>0</v>
      </c>
      <c r="K173" s="231">
        <v>1930919</v>
      </c>
      <c r="L173" s="231"/>
      <c r="M173" s="300">
        <v>0</v>
      </c>
      <c r="N173" s="300">
        <v>2914970</v>
      </c>
      <c r="O173" s="300">
        <v>0</v>
      </c>
      <c r="P173" s="231">
        <v>409663</v>
      </c>
      <c r="Q173" s="231">
        <v>3324633</v>
      </c>
      <c r="R173" s="231"/>
      <c r="S173" s="392">
        <v>880249</v>
      </c>
      <c r="T173" s="231">
        <v>-169028</v>
      </c>
      <c r="U173" s="396">
        <v>711221</v>
      </c>
      <c r="V173" s="231"/>
      <c r="W173" s="396">
        <v>7920260</v>
      </c>
      <c r="X173" s="396">
        <v>-2798599</v>
      </c>
      <c r="Y173" s="396"/>
      <c r="Z173" s="396"/>
    </row>
    <row r="174" spans="1:26">
      <c r="A174" s="390">
        <v>91621</v>
      </c>
      <c r="B174" s="391" t="s">
        <v>884</v>
      </c>
      <c r="C174" s="234">
        <v>3.4180000000000001E-4</v>
      </c>
      <c r="D174" s="234">
        <v>2.7169999999999999E-4</v>
      </c>
      <c r="E174" s="231">
        <v>524183</v>
      </c>
      <c r="F174" s="231" t="s">
        <v>1924</v>
      </c>
      <c r="G174" s="392">
        <v>166761</v>
      </c>
      <c r="H174" s="392">
        <v>0</v>
      </c>
      <c r="I174" s="392">
        <v>329321</v>
      </c>
      <c r="J174" s="231">
        <v>119271</v>
      </c>
      <c r="K174" s="231">
        <v>615353</v>
      </c>
      <c r="L174" s="231"/>
      <c r="M174" s="300">
        <v>0</v>
      </c>
      <c r="N174" s="300">
        <v>748900</v>
      </c>
      <c r="O174" s="300">
        <v>0</v>
      </c>
      <c r="P174" s="231">
        <v>10332</v>
      </c>
      <c r="Q174" s="231">
        <v>759232</v>
      </c>
      <c r="R174" s="231"/>
      <c r="S174" s="392">
        <v>226149</v>
      </c>
      <c r="T174" s="231">
        <v>37483</v>
      </c>
      <c r="U174" s="396">
        <v>263632</v>
      </c>
      <c r="V174" s="231"/>
      <c r="W174" s="396">
        <v>2034835</v>
      </c>
      <c r="X174" s="396">
        <v>-719003</v>
      </c>
      <c r="Y174" s="396"/>
      <c r="Z174" s="396"/>
    </row>
    <row r="175" spans="1:26">
      <c r="A175" s="390">
        <v>91631</v>
      </c>
      <c r="B175" s="391" t="s">
        <v>885</v>
      </c>
      <c r="C175" s="234">
        <v>6.3750000000000005E-4</v>
      </c>
      <c r="D175" s="234">
        <v>6.4579999999999998E-4</v>
      </c>
      <c r="E175" s="231">
        <v>977667</v>
      </c>
      <c r="F175" s="231" t="s">
        <v>1924</v>
      </c>
      <c r="G175" s="392">
        <v>311031</v>
      </c>
      <c r="H175" s="392">
        <v>0</v>
      </c>
      <c r="I175" s="392">
        <v>614225</v>
      </c>
      <c r="J175" s="231">
        <v>41276</v>
      </c>
      <c r="K175" s="231">
        <v>966532</v>
      </c>
      <c r="L175" s="231"/>
      <c r="M175" s="300">
        <v>0</v>
      </c>
      <c r="N175" s="300">
        <v>1396793</v>
      </c>
      <c r="O175" s="300">
        <v>0</v>
      </c>
      <c r="P175" s="231">
        <v>43035</v>
      </c>
      <c r="Q175" s="231">
        <v>1439828</v>
      </c>
      <c r="R175" s="231"/>
      <c r="S175" s="392">
        <v>421797</v>
      </c>
      <c r="T175" s="231">
        <v>-1088</v>
      </c>
      <c r="U175" s="396">
        <v>420709</v>
      </c>
      <c r="V175" s="231"/>
      <c r="W175" s="396">
        <v>3795224</v>
      </c>
      <c r="X175" s="396">
        <v>-1341030</v>
      </c>
      <c r="Y175" s="396"/>
      <c r="Z175" s="396"/>
    </row>
    <row r="176" spans="1:26">
      <c r="A176" s="390">
        <v>91633</v>
      </c>
      <c r="B176" s="391" t="s">
        <v>886</v>
      </c>
      <c r="C176" s="234">
        <v>0</v>
      </c>
      <c r="D176" s="234">
        <v>3.0499999999999999E-5</v>
      </c>
      <c r="E176" s="231">
        <v>0</v>
      </c>
      <c r="F176" s="231" t="s">
        <v>1924</v>
      </c>
      <c r="G176" s="392">
        <v>0</v>
      </c>
      <c r="H176" s="392">
        <v>0</v>
      </c>
      <c r="I176" s="392">
        <v>0</v>
      </c>
      <c r="J176" s="231">
        <v>4304</v>
      </c>
      <c r="K176" s="231">
        <v>4304</v>
      </c>
      <c r="L176" s="231"/>
      <c r="M176" s="300">
        <v>0</v>
      </c>
      <c r="N176" s="300">
        <v>0</v>
      </c>
      <c r="O176" s="300">
        <v>0</v>
      </c>
      <c r="P176" s="231">
        <v>42103</v>
      </c>
      <c r="Q176" s="231">
        <v>42103</v>
      </c>
      <c r="R176" s="231"/>
      <c r="S176" s="392">
        <v>0</v>
      </c>
      <c r="T176" s="231">
        <v>-12698</v>
      </c>
      <c r="U176" s="396">
        <v>-12698</v>
      </c>
      <c r="V176" s="231"/>
      <c r="W176" s="396">
        <v>0</v>
      </c>
      <c r="X176" s="396">
        <v>0</v>
      </c>
      <c r="Y176" s="396"/>
      <c r="Z176" s="396"/>
    </row>
    <row r="177" spans="1:26">
      <c r="A177" s="390">
        <v>91641</v>
      </c>
      <c r="B177" s="391" t="s">
        <v>887</v>
      </c>
      <c r="C177" s="234">
        <v>3.234E-4</v>
      </c>
      <c r="D177" s="234">
        <v>3.0420000000000002E-4</v>
      </c>
      <c r="E177" s="231">
        <v>495965</v>
      </c>
      <c r="F177" s="231" t="s">
        <v>1924</v>
      </c>
      <c r="G177" s="392">
        <v>157784</v>
      </c>
      <c r="H177" s="392">
        <v>0</v>
      </c>
      <c r="I177" s="392">
        <v>311593</v>
      </c>
      <c r="J177" s="231">
        <v>13126</v>
      </c>
      <c r="K177" s="231">
        <v>482503</v>
      </c>
      <c r="L177" s="231"/>
      <c r="M177" s="300">
        <v>0</v>
      </c>
      <c r="N177" s="300">
        <v>708585</v>
      </c>
      <c r="O177" s="300">
        <v>0</v>
      </c>
      <c r="P177" s="231">
        <v>11204</v>
      </c>
      <c r="Q177" s="231">
        <v>719789</v>
      </c>
      <c r="R177" s="231"/>
      <c r="S177" s="392">
        <v>213975</v>
      </c>
      <c r="T177" s="231">
        <v>-7698</v>
      </c>
      <c r="U177" s="396">
        <v>206277</v>
      </c>
      <c r="V177" s="231"/>
      <c r="W177" s="396">
        <v>1925295</v>
      </c>
      <c r="X177" s="396">
        <v>-680297</v>
      </c>
      <c r="Y177" s="396"/>
      <c r="Z177" s="396"/>
    </row>
    <row r="178" spans="1:26">
      <c r="A178" s="390">
        <v>91651</v>
      </c>
      <c r="B178" s="391" t="s">
        <v>888</v>
      </c>
      <c r="C178" s="234">
        <v>5.5210000000000003E-4</v>
      </c>
      <c r="D178" s="234">
        <v>5.3629999999999997E-4</v>
      </c>
      <c r="E178" s="231">
        <v>846698</v>
      </c>
      <c r="F178" s="231" t="s">
        <v>1924</v>
      </c>
      <c r="G178" s="392">
        <v>269365</v>
      </c>
      <c r="H178" s="392">
        <v>0</v>
      </c>
      <c r="I178" s="392">
        <v>531943</v>
      </c>
      <c r="J178" s="231">
        <v>56386</v>
      </c>
      <c r="K178" s="231">
        <v>857694</v>
      </c>
      <c r="L178" s="231"/>
      <c r="M178" s="300">
        <v>0</v>
      </c>
      <c r="N178" s="300">
        <v>1209678</v>
      </c>
      <c r="O178" s="300">
        <v>0</v>
      </c>
      <c r="P178" s="231">
        <v>4724</v>
      </c>
      <c r="Q178" s="231">
        <v>1214402</v>
      </c>
      <c r="R178" s="231"/>
      <c r="S178" s="392">
        <v>365293</v>
      </c>
      <c r="T178" s="231">
        <v>22565</v>
      </c>
      <c r="U178" s="396">
        <v>387858</v>
      </c>
      <c r="V178" s="231"/>
      <c r="W178" s="396">
        <v>3286813</v>
      </c>
      <c r="X178" s="396">
        <v>-1161385</v>
      </c>
      <c r="Y178" s="396"/>
      <c r="Z178" s="396"/>
    </row>
    <row r="179" spans="1:26">
      <c r="A179" s="390">
        <v>91661</v>
      </c>
      <c r="B179" s="391" t="s">
        <v>889</v>
      </c>
      <c r="C179" s="234">
        <v>1.9269999999999999E-4</v>
      </c>
      <c r="D179" s="234">
        <v>1.985E-4</v>
      </c>
      <c r="E179" s="231">
        <v>295524</v>
      </c>
      <c r="F179" s="231" t="s">
        <v>1924</v>
      </c>
      <c r="G179" s="392">
        <v>94017</v>
      </c>
      <c r="H179" s="392">
        <v>0</v>
      </c>
      <c r="I179" s="392">
        <v>185665</v>
      </c>
      <c r="J179" s="231">
        <v>0</v>
      </c>
      <c r="K179" s="231">
        <v>279682</v>
      </c>
      <c r="L179" s="231"/>
      <c r="M179" s="300">
        <v>0</v>
      </c>
      <c r="N179" s="300">
        <v>422215</v>
      </c>
      <c r="O179" s="300">
        <v>0</v>
      </c>
      <c r="P179" s="231">
        <v>46389</v>
      </c>
      <c r="Q179" s="231">
        <v>468604</v>
      </c>
      <c r="R179" s="231"/>
      <c r="S179" s="392">
        <v>127498</v>
      </c>
      <c r="T179" s="231">
        <v>-22865</v>
      </c>
      <c r="U179" s="396">
        <v>104633</v>
      </c>
      <c r="V179" s="231"/>
      <c r="W179" s="396">
        <v>1147199</v>
      </c>
      <c r="X179" s="396">
        <v>-405359</v>
      </c>
      <c r="Y179" s="396"/>
      <c r="Z179" s="396"/>
    </row>
    <row r="180" spans="1:26">
      <c r="A180" s="390">
        <v>91671</v>
      </c>
      <c r="B180" s="391" t="s">
        <v>890</v>
      </c>
      <c r="C180" s="234">
        <v>1.013E-4</v>
      </c>
      <c r="D180" s="234">
        <v>9.3700000000000001E-5</v>
      </c>
      <c r="E180" s="231">
        <v>155353</v>
      </c>
      <c r="F180" s="231" t="s">
        <v>1924</v>
      </c>
      <c r="G180" s="392">
        <v>49423</v>
      </c>
      <c r="H180" s="392">
        <v>0</v>
      </c>
      <c r="I180" s="392">
        <v>97602</v>
      </c>
      <c r="J180" s="231">
        <v>8314</v>
      </c>
      <c r="K180" s="231">
        <v>155339</v>
      </c>
      <c r="L180" s="231"/>
      <c r="M180" s="300">
        <v>0</v>
      </c>
      <c r="N180" s="300">
        <v>221953</v>
      </c>
      <c r="O180" s="300">
        <v>0</v>
      </c>
      <c r="P180" s="231">
        <v>21141</v>
      </c>
      <c r="Q180" s="231">
        <v>243094</v>
      </c>
      <c r="R180" s="231"/>
      <c r="S180" s="392">
        <v>67024</v>
      </c>
      <c r="T180" s="231">
        <v>-7219</v>
      </c>
      <c r="U180" s="396">
        <v>59805</v>
      </c>
      <c r="V180" s="231"/>
      <c r="W180" s="396">
        <v>603068</v>
      </c>
      <c r="X180" s="396">
        <v>-213092</v>
      </c>
      <c r="Y180" s="396"/>
      <c r="Z180" s="396"/>
    </row>
    <row r="181" spans="1:26">
      <c r="A181" s="390">
        <v>91681</v>
      </c>
      <c r="B181" s="391" t="s">
        <v>891</v>
      </c>
      <c r="C181" s="234">
        <v>4.5239999999999999E-4</v>
      </c>
      <c r="D181" s="234">
        <v>4.6890000000000001E-4</v>
      </c>
      <c r="E181" s="231">
        <v>693799</v>
      </c>
      <c r="F181" s="231" t="s">
        <v>1924</v>
      </c>
      <c r="G181" s="392">
        <v>220722</v>
      </c>
      <c r="H181" s="392">
        <v>0</v>
      </c>
      <c r="I181" s="392">
        <v>435883</v>
      </c>
      <c r="J181" s="231">
        <v>214231</v>
      </c>
      <c r="K181" s="231">
        <v>870836</v>
      </c>
      <c r="L181" s="231"/>
      <c r="M181" s="300">
        <v>0</v>
      </c>
      <c r="N181" s="300">
        <v>991230</v>
      </c>
      <c r="O181" s="300">
        <v>0</v>
      </c>
      <c r="P181" s="231">
        <v>2771</v>
      </c>
      <c r="Q181" s="231">
        <v>994001</v>
      </c>
      <c r="R181" s="231"/>
      <c r="S181" s="392">
        <v>299327</v>
      </c>
      <c r="T181" s="231">
        <v>137966</v>
      </c>
      <c r="U181" s="396">
        <v>437293</v>
      </c>
      <c r="V181" s="231"/>
      <c r="W181" s="396">
        <v>2693269</v>
      </c>
      <c r="X181" s="396">
        <v>-951658</v>
      </c>
      <c r="Y181" s="396"/>
      <c r="Z181" s="396"/>
    </row>
    <row r="182" spans="1:26">
      <c r="A182" s="390">
        <v>91691</v>
      </c>
      <c r="B182" s="391" t="s">
        <v>892</v>
      </c>
      <c r="C182" s="234">
        <v>2.8500000000000002E-5</v>
      </c>
      <c r="D182" s="234">
        <v>1.42E-5</v>
      </c>
      <c r="E182" s="231">
        <v>43707</v>
      </c>
      <c r="F182" s="231" t="s">
        <v>1924</v>
      </c>
      <c r="G182" s="392">
        <v>13905</v>
      </c>
      <c r="H182" s="392">
        <v>0</v>
      </c>
      <c r="I182" s="392">
        <v>27459</v>
      </c>
      <c r="J182" s="231">
        <v>26872</v>
      </c>
      <c r="K182" s="231">
        <v>68236</v>
      </c>
      <c r="L182" s="231"/>
      <c r="M182" s="300">
        <v>0</v>
      </c>
      <c r="N182" s="300">
        <v>62445</v>
      </c>
      <c r="O182" s="300">
        <v>0</v>
      </c>
      <c r="P182" s="231">
        <v>3174</v>
      </c>
      <c r="Q182" s="231">
        <v>65619</v>
      </c>
      <c r="R182" s="231"/>
      <c r="S182" s="392">
        <v>18857</v>
      </c>
      <c r="T182" s="231">
        <v>7236</v>
      </c>
      <c r="U182" s="396">
        <v>26093</v>
      </c>
      <c r="V182" s="231"/>
      <c r="W182" s="396">
        <v>169669</v>
      </c>
      <c r="X182" s="396">
        <v>-59952</v>
      </c>
      <c r="Y182" s="396"/>
      <c r="Z182" s="396"/>
    </row>
    <row r="183" spans="1:26">
      <c r="A183" s="390">
        <v>91701</v>
      </c>
      <c r="B183" s="391" t="s">
        <v>893</v>
      </c>
      <c r="C183" s="234">
        <v>1.1352999999999999E-3</v>
      </c>
      <c r="D183" s="234">
        <v>1.1245999999999999E-3</v>
      </c>
      <c r="E183" s="231">
        <v>1741092</v>
      </c>
      <c r="F183" s="231" t="s">
        <v>1924</v>
      </c>
      <c r="G183" s="392">
        <v>553904</v>
      </c>
      <c r="H183" s="392">
        <v>0</v>
      </c>
      <c r="I183" s="392">
        <v>1093850</v>
      </c>
      <c r="J183" s="231">
        <v>38135</v>
      </c>
      <c r="K183" s="231">
        <v>1685889</v>
      </c>
      <c r="L183" s="231"/>
      <c r="M183" s="300">
        <v>0</v>
      </c>
      <c r="N183" s="300">
        <v>2487497</v>
      </c>
      <c r="O183" s="300">
        <v>0</v>
      </c>
      <c r="P183" s="231">
        <v>62297</v>
      </c>
      <c r="Q183" s="231">
        <v>2549794</v>
      </c>
      <c r="R183" s="231"/>
      <c r="S183" s="392">
        <v>751162</v>
      </c>
      <c r="T183" s="231">
        <v>-3030</v>
      </c>
      <c r="U183" s="396">
        <v>748132</v>
      </c>
      <c r="V183" s="231"/>
      <c r="W183" s="396">
        <v>6758772</v>
      </c>
      <c r="X183" s="396">
        <v>-2388191</v>
      </c>
      <c r="Y183" s="396"/>
      <c r="Z183" s="396"/>
    </row>
    <row r="184" spans="1:26">
      <c r="A184" s="390">
        <v>91704</v>
      </c>
      <c r="B184" s="391" t="s">
        <v>894</v>
      </c>
      <c r="C184" s="234">
        <v>1.7600000000000001E-5</v>
      </c>
      <c r="D184" s="234">
        <v>1.66E-5</v>
      </c>
      <c r="E184" s="231">
        <v>26991</v>
      </c>
      <c r="F184" s="231" t="s">
        <v>1924</v>
      </c>
      <c r="G184" s="392">
        <v>8587</v>
      </c>
      <c r="H184" s="392">
        <v>0</v>
      </c>
      <c r="I184" s="392">
        <v>16957</v>
      </c>
      <c r="J184" s="231">
        <v>3565</v>
      </c>
      <c r="K184" s="231">
        <v>29109</v>
      </c>
      <c r="L184" s="231"/>
      <c r="M184" s="300">
        <v>0</v>
      </c>
      <c r="N184" s="300">
        <v>38562</v>
      </c>
      <c r="O184" s="300">
        <v>0</v>
      </c>
      <c r="P184" s="231">
        <v>14</v>
      </c>
      <c r="Q184" s="231">
        <v>38576</v>
      </c>
      <c r="R184" s="231"/>
      <c r="S184" s="392">
        <v>11645</v>
      </c>
      <c r="T184" s="231">
        <v>1263</v>
      </c>
      <c r="U184" s="396">
        <v>12908</v>
      </c>
      <c r="V184" s="231"/>
      <c r="W184" s="396">
        <v>104778</v>
      </c>
      <c r="X184" s="396">
        <v>-37023</v>
      </c>
      <c r="Y184" s="396"/>
      <c r="Z184" s="396"/>
    </row>
    <row r="185" spans="1:26">
      <c r="A185" s="390">
        <v>91706</v>
      </c>
      <c r="B185" s="391" t="s">
        <v>895</v>
      </c>
      <c r="C185" s="234">
        <v>1.9760000000000001E-4</v>
      </c>
      <c r="D185" s="234">
        <v>2.231E-4</v>
      </c>
      <c r="E185" s="231">
        <v>303039</v>
      </c>
      <c r="F185" s="231" t="s">
        <v>1924</v>
      </c>
      <c r="G185" s="392">
        <v>96407</v>
      </c>
      <c r="H185" s="392">
        <v>0</v>
      </c>
      <c r="I185" s="392">
        <v>190386</v>
      </c>
      <c r="J185" s="231">
        <v>22911</v>
      </c>
      <c r="K185" s="231">
        <v>309704</v>
      </c>
      <c r="L185" s="231"/>
      <c r="M185" s="300">
        <v>0</v>
      </c>
      <c r="N185" s="300">
        <v>432951</v>
      </c>
      <c r="O185" s="300">
        <v>0</v>
      </c>
      <c r="P185" s="231">
        <v>38851</v>
      </c>
      <c r="Q185" s="231">
        <v>471802</v>
      </c>
      <c r="R185" s="231"/>
      <c r="S185" s="392">
        <v>130740</v>
      </c>
      <c r="T185" s="231">
        <v>1587</v>
      </c>
      <c r="U185" s="396">
        <v>132327</v>
      </c>
      <c r="V185" s="231"/>
      <c r="W185" s="396">
        <v>1176370</v>
      </c>
      <c r="X185" s="396">
        <v>-415667</v>
      </c>
      <c r="Y185" s="396"/>
      <c r="Z185" s="396"/>
    </row>
    <row r="186" spans="1:26">
      <c r="A186" s="390">
        <v>91719</v>
      </c>
      <c r="B186" s="391" t="s">
        <v>896</v>
      </c>
      <c r="C186" s="234">
        <v>4.99E-5</v>
      </c>
      <c r="D186" s="234">
        <v>5.5999999999999999E-5</v>
      </c>
      <c r="E186" s="231">
        <v>76526</v>
      </c>
      <c r="F186" s="231" t="s">
        <v>1924</v>
      </c>
      <c r="G186" s="392">
        <v>24346</v>
      </c>
      <c r="H186" s="392">
        <v>0</v>
      </c>
      <c r="I186" s="392">
        <v>48078</v>
      </c>
      <c r="J186" s="231">
        <v>134</v>
      </c>
      <c r="K186" s="231">
        <v>72558</v>
      </c>
      <c r="L186" s="231"/>
      <c r="M186" s="300">
        <v>0</v>
      </c>
      <c r="N186" s="300">
        <v>109333</v>
      </c>
      <c r="O186" s="300">
        <v>0</v>
      </c>
      <c r="P186" s="231">
        <v>18781</v>
      </c>
      <c r="Q186" s="231">
        <v>128114</v>
      </c>
      <c r="R186" s="231"/>
      <c r="S186" s="392">
        <v>33016</v>
      </c>
      <c r="T186" s="231">
        <v>-7749</v>
      </c>
      <c r="U186" s="396">
        <v>25267</v>
      </c>
      <c r="V186" s="231"/>
      <c r="W186" s="396">
        <v>297069</v>
      </c>
      <c r="X186" s="396">
        <v>-104968</v>
      </c>
      <c r="Y186" s="396"/>
      <c r="Z186" s="396"/>
    </row>
    <row r="187" spans="1:26">
      <c r="A187" s="390">
        <v>91801</v>
      </c>
      <c r="B187" s="391" t="s">
        <v>897</v>
      </c>
      <c r="C187" s="234">
        <v>7.6772999999999997E-3</v>
      </c>
      <c r="D187" s="234">
        <v>7.6594000000000002E-3</v>
      </c>
      <c r="E187" s="231">
        <v>11773877</v>
      </c>
      <c r="F187" s="231" t="s">
        <v>1924</v>
      </c>
      <c r="G187" s="392">
        <v>3745693</v>
      </c>
      <c r="H187" s="392">
        <v>0</v>
      </c>
      <c r="I187" s="392">
        <v>7397002</v>
      </c>
      <c r="J187" s="231">
        <v>168564</v>
      </c>
      <c r="K187" s="231">
        <v>11311259</v>
      </c>
      <c r="L187" s="231"/>
      <c r="M187" s="300">
        <v>0</v>
      </c>
      <c r="N187" s="300">
        <v>16821333</v>
      </c>
      <c r="O187" s="300">
        <v>0</v>
      </c>
      <c r="P187" s="231">
        <v>169024</v>
      </c>
      <c r="Q187" s="231">
        <v>16990357</v>
      </c>
      <c r="R187" s="231"/>
      <c r="S187" s="392">
        <v>5079624</v>
      </c>
      <c r="T187" s="231">
        <v>-72493</v>
      </c>
      <c r="U187" s="396">
        <v>5007131</v>
      </c>
      <c r="V187" s="231"/>
      <c r="W187" s="396">
        <v>45705209</v>
      </c>
      <c r="X187" s="396">
        <v>-16149792</v>
      </c>
      <c r="Y187" s="396"/>
      <c r="Z187" s="396"/>
    </row>
    <row r="188" spans="1:26">
      <c r="A188" s="390">
        <v>91804</v>
      </c>
      <c r="B188" s="391" t="s">
        <v>898</v>
      </c>
      <c r="C188" s="234">
        <v>1.4300000000000001E-4</v>
      </c>
      <c r="D188" s="234">
        <v>1.382E-4</v>
      </c>
      <c r="E188" s="231">
        <v>219304</v>
      </c>
      <c r="F188" s="231" t="s">
        <v>1924</v>
      </c>
      <c r="G188" s="392">
        <v>69769</v>
      </c>
      <c r="H188" s="392">
        <v>0</v>
      </c>
      <c r="I188" s="392">
        <v>137779</v>
      </c>
      <c r="J188" s="231">
        <v>100192</v>
      </c>
      <c r="K188" s="231">
        <v>307740</v>
      </c>
      <c r="L188" s="231"/>
      <c r="M188" s="300">
        <v>0</v>
      </c>
      <c r="N188" s="300">
        <v>313320</v>
      </c>
      <c r="O188" s="300">
        <v>0</v>
      </c>
      <c r="P188" s="231">
        <v>0</v>
      </c>
      <c r="Q188" s="231">
        <v>313320</v>
      </c>
      <c r="R188" s="231"/>
      <c r="S188" s="392">
        <v>94615</v>
      </c>
      <c r="T188" s="231">
        <v>51406</v>
      </c>
      <c r="U188" s="396">
        <v>146021</v>
      </c>
      <c r="V188" s="231"/>
      <c r="W188" s="396">
        <v>851321</v>
      </c>
      <c r="X188" s="396">
        <v>-300812</v>
      </c>
      <c r="Y188" s="396"/>
      <c r="Z188" s="396"/>
    </row>
    <row r="189" spans="1:26">
      <c r="A189" s="390">
        <v>91811</v>
      </c>
      <c r="B189" s="391" t="s">
        <v>899</v>
      </c>
      <c r="C189" s="234">
        <v>4.2316999999999997E-3</v>
      </c>
      <c r="D189" s="234">
        <v>4.3679000000000001E-3</v>
      </c>
      <c r="E189" s="231">
        <v>6489718</v>
      </c>
      <c r="F189" s="231" t="s">
        <v>1924</v>
      </c>
      <c r="G189" s="392">
        <v>2064613</v>
      </c>
      <c r="H189" s="392">
        <v>0</v>
      </c>
      <c r="I189" s="392">
        <v>4077201</v>
      </c>
      <c r="J189" s="231">
        <v>74710</v>
      </c>
      <c r="K189" s="231">
        <v>6216524</v>
      </c>
      <c r="L189" s="231"/>
      <c r="M189" s="300">
        <v>0</v>
      </c>
      <c r="N189" s="300">
        <v>9271858</v>
      </c>
      <c r="O189" s="300">
        <v>0</v>
      </c>
      <c r="P189" s="231">
        <v>425526</v>
      </c>
      <c r="Q189" s="231">
        <v>9697384</v>
      </c>
      <c r="R189" s="231"/>
      <c r="S189" s="392">
        <v>2799870</v>
      </c>
      <c r="T189" s="231">
        <v>-190188</v>
      </c>
      <c r="U189" s="396">
        <v>2609682</v>
      </c>
      <c r="V189" s="231"/>
      <c r="W189" s="396">
        <v>25192546</v>
      </c>
      <c r="X189" s="396">
        <v>-8901707</v>
      </c>
      <c r="Y189" s="396"/>
      <c r="Z189" s="396"/>
    </row>
    <row r="190" spans="1:26">
      <c r="A190" s="390">
        <v>91812</v>
      </c>
      <c r="B190" s="391" t="s">
        <v>900</v>
      </c>
      <c r="C190" s="234">
        <v>5.41E-5</v>
      </c>
      <c r="D190" s="234">
        <v>5.7299999999999997E-5</v>
      </c>
      <c r="E190" s="231">
        <v>82968</v>
      </c>
      <c r="F190" s="231" t="s">
        <v>1924</v>
      </c>
      <c r="G190" s="392">
        <v>26395</v>
      </c>
      <c r="H190" s="392">
        <v>0</v>
      </c>
      <c r="I190" s="392">
        <v>52125</v>
      </c>
      <c r="J190" s="231">
        <v>14089</v>
      </c>
      <c r="K190" s="231">
        <v>92609</v>
      </c>
      <c r="L190" s="231"/>
      <c r="M190" s="300">
        <v>0</v>
      </c>
      <c r="N190" s="300">
        <v>118536</v>
      </c>
      <c r="O190" s="300">
        <v>0</v>
      </c>
      <c r="P190" s="231">
        <v>3889</v>
      </c>
      <c r="Q190" s="231">
        <v>122425</v>
      </c>
      <c r="R190" s="231"/>
      <c r="S190" s="392">
        <v>35795</v>
      </c>
      <c r="T190" s="231">
        <v>5329</v>
      </c>
      <c r="U190" s="396">
        <v>41124</v>
      </c>
      <c r="V190" s="231"/>
      <c r="W190" s="396">
        <v>322073</v>
      </c>
      <c r="X190" s="396">
        <v>-113804</v>
      </c>
      <c r="Y190" s="396"/>
      <c r="Z190" s="396"/>
    </row>
    <row r="191" spans="1:26">
      <c r="A191" s="390">
        <v>91813</v>
      </c>
      <c r="B191" s="391" t="s">
        <v>901</v>
      </c>
      <c r="C191" s="234">
        <v>7.1799999999999997E-5</v>
      </c>
      <c r="D191" s="234">
        <v>7.7299999999999995E-5</v>
      </c>
      <c r="E191" s="231">
        <v>110112</v>
      </c>
      <c r="F191" s="231" t="s">
        <v>1924</v>
      </c>
      <c r="G191" s="392">
        <v>35031</v>
      </c>
      <c r="H191" s="392">
        <v>0</v>
      </c>
      <c r="I191" s="392">
        <v>69179</v>
      </c>
      <c r="J191" s="231">
        <v>8542</v>
      </c>
      <c r="K191" s="231">
        <v>112752</v>
      </c>
      <c r="L191" s="231"/>
      <c r="M191" s="300">
        <v>0</v>
      </c>
      <c r="N191" s="300">
        <v>157317</v>
      </c>
      <c r="O191" s="300">
        <v>0</v>
      </c>
      <c r="P191" s="231">
        <v>10448</v>
      </c>
      <c r="Q191" s="231">
        <v>167765</v>
      </c>
      <c r="R191" s="231"/>
      <c r="S191" s="392">
        <v>47506</v>
      </c>
      <c r="T191" s="231">
        <v>-2799</v>
      </c>
      <c r="U191" s="396">
        <v>44707</v>
      </c>
      <c r="V191" s="231"/>
      <c r="W191" s="396">
        <v>427446</v>
      </c>
      <c r="X191" s="396">
        <v>-151037</v>
      </c>
      <c r="Y191" s="396"/>
      <c r="Z191" s="396"/>
    </row>
    <row r="192" spans="1:26">
      <c r="A192" s="390">
        <v>91818</v>
      </c>
      <c r="B192" s="391" t="s">
        <v>902</v>
      </c>
      <c r="C192" s="234">
        <v>4.683E-4</v>
      </c>
      <c r="D192" s="234">
        <v>4.2240000000000002E-4</v>
      </c>
      <c r="E192" s="231">
        <v>718183</v>
      </c>
      <c r="F192" s="231" t="s">
        <v>1924</v>
      </c>
      <c r="G192" s="392">
        <v>228480</v>
      </c>
      <c r="H192" s="392">
        <v>0</v>
      </c>
      <c r="I192" s="392">
        <v>451202</v>
      </c>
      <c r="J192" s="231">
        <v>169773</v>
      </c>
      <c r="K192" s="231">
        <v>849455</v>
      </c>
      <c r="L192" s="231"/>
      <c r="M192" s="300">
        <v>0</v>
      </c>
      <c r="N192" s="300">
        <v>1026068</v>
      </c>
      <c r="O192" s="300">
        <v>0</v>
      </c>
      <c r="P192" s="231">
        <v>0</v>
      </c>
      <c r="Q192" s="231">
        <v>1026068</v>
      </c>
      <c r="R192" s="231"/>
      <c r="S192" s="392">
        <v>309847</v>
      </c>
      <c r="T192" s="231">
        <v>154692</v>
      </c>
      <c r="U192" s="396">
        <v>464539</v>
      </c>
      <c r="V192" s="231"/>
      <c r="W192" s="396">
        <v>2787927</v>
      </c>
      <c r="X192" s="396">
        <v>-985105</v>
      </c>
      <c r="Y192" s="396"/>
      <c r="Z192" s="396"/>
    </row>
    <row r="193" spans="1:26">
      <c r="A193" s="390">
        <v>91819</v>
      </c>
      <c r="B193" s="391" t="s">
        <v>903</v>
      </c>
      <c r="C193" s="234">
        <v>2.6840000000000002E-4</v>
      </c>
      <c r="D193" s="234">
        <v>2.8850000000000002E-4</v>
      </c>
      <c r="E193" s="231">
        <v>411617</v>
      </c>
      <c r="F193" s="231" t="s">
        <v>1924</v>
      </c>
      <c r="G193" s="392">
        <v>130950</v>
      </c>
      <c r="H193" s="392">
        <v>0</v>
      </c>
      <c r="I193" s="392">
        <v>258601</v>
      </c>
      <c r="J193" s="231">
        <v>14921</v>
      </c>
      <c r="K193" s="231">
        <v>404472</v>
      </c>
      <c r="L193" s="231"/>
      <c r="M193" s="300">
        <v>0</v>
      </c>
      <c r="N193" s="300">
        <v>588077</v>
      </c>
      <c r="O193" s="300">
        <v>0</v>
      </c>
      <c r="P193" s="231">
        <v>53119</v>
      </c>
      <c r="Q193" s="231">
        <v>641196</v>
      </c>
      <c r="R193" s="231"/>
      <c r="S193" s="392">
        <v>177585</v>
      </c>
      <c r="T193" s="231">
        <v>-8511</v>
      </c>
      <c r="U193" s="396">
        <v>169074</v>
      </c>
      <c r="V193" s="231"/>
      <c r="W193" s="396">
        <v>1597864</v>
      </c>
      <c r="X193" s="396">
        <v>-564600</v>
      </c>
      <c r="Y193" s="396"/>
      <c r="Z193" s="396"/>
    </row>
    <row r="194" spans="1:26">
      <c r="A194" s="390">
        <v>91821</v>
      </c>
      <c r="B194" s="391" t="s">
        <v>904</v>
      </c>
      <c r="C194" s="234">
        <v>1.617E-4</v>
      </c>
      <c r="D194" s="234">
        <v>1.4750000000000001E-4</v>
      </c>
      <c r="E194" s="231">
        <v>247982</v>
      </c>
      <c r="F194" s="231" t="s">
        <v>1924</v>
      </c>
      <c r="G194" s="392">
        <v>78892</v>
      </c>
      <c r="H194" s="392">
        <v>0</v>
      </c>
      <c r="I194" s="392">
        <v>155796</v>
      </c>
      <c r="J194" s="231">
        <v>23401</v>
      </c>
      <c r="K194" s="231">
        <v>258089</v>
      </c>
      <c r="L194" s="231"/>
      <c r="M194" s="300">
        <v>0</v>
      </c>
      <c r="N194" s="300">
        <v>354292</v>
      </c>
      <c r="O194" s="300">
        <v>0</v>
      </c>
      <c r="P194" s="231">
        <v>18948</v>
      </c>
      <c r="Q194" s="231">
        <v>373240</v>
      </c>
      <c r="R194" s="231"/>
      <c r="S194" s="392">
        <v>106988</v>
      </c>
      <c r="T194" s="231">
        <v>-2786</v>
      </c>
      <c r="U194" s="396">
        <v>104202</v>
      </c>
      <c r="V194" s="231"/>
      <c r="W194" s="396">
        <v>962647</v>
      </c>
      <c r="X194" s="396">
        <v>-340148</v>
      </c>
      <c r="Y194" s="396"/>
      <c r="Z194" s="396"/>
    </row>
    <row r="195" spans="1:26">
      <c r="A195" s="390">
        <v>91831</v>
      </c>
      <c r="B195" s="391" t="s">
        <v>905</v>
      </c>
      <c r="C195" s="234">
        <v>4.0200000000000001E-4</v>
      </c>
      <c r="D195" s="234">
        <v>4.3399999999999998E-4</v>
      </c>
      <c r="E195" s="231">
        <v>616506</v>
      </c>
      <c r="F195" s="231" t="s">
        <v>1924</v>
      </c>
      <c r="G195" s="392">
        <v>196133</v>
      </c>
      <c r="H195" s="392">
        <v>0</v>
      </c>
      <c r="I195" s="392">
        <v>387323</v>
      </c>
      <c r="J195" s="231">
        <v>41268</v>
      </c>
      <c r="K195" s="231">
        <v>624724</v>
      </c>
      <c r="L195" s="231"/>
      <c r="M195" s="300">
        <v>0</v>
      </c>
      <c r="N195" s="300">
        <v>880801</v>
      </c>
      <c r="O195" s="300">
        <v>0</v>
      </c>
      <c r="P195" s="231">
        <v>66646</v>
      </c>
      <c r="Q195" s="231">
        <v>947447</v>
      </c>
      <c r="R195" s="231"/>
      <c r="S195" s="392">
        <v>265980</v>
      </c>
      <c r="T195" s="231">
        <v>-1691</v>
      </c>
      <c r="U195" s="396">
        <v>264289</v>
      </c>
      <c r="V195" s="231"/>
      <c r="W195" s="396">
        <v>2393223</v>
      </c>
      <c r="X195" s="396">
        <v>-845638</v>
      </c>
      <c r="Y195" s="396"/>
      <c r="Z195" s="396"/>
    </row>
    <row r="196" spans="1:26">
      <c r="A196" s="390">
        <v>91841</v>
      </c>
      <c r="B196" s="391" t="s">
        <v>906</v>
      </c>
      <c r="C196" s="234">
        <v>2.8810000000000001E-4</v>
      </c>
      <c r="D196" s="234">
        <v>2.7809999999999998E-4</v>
      </c>
      <c r="E196" s="231">
        <v>441829</v>
      </c>
      <c r="F196" s="231" t="s">
        <v>1924</v>
      </c>
      <c r="G196" s="392">
        <v>140562</v>
      </c>
      <c r="H196" s="392">
        <v>0</v>
      </c>
      <c r="I196" s="392">
        <v>277581</v>
      </c>
      <c r="J196" s="231">
        <v>33856</v>
      </c>
      <c r="K196" s="231">
        <v>451999</v>
      </c>
      <c r="L196" s="231"/>
      <c r="M196" s="300">
        <v>0</v>
      </c>
      <c r="N196" s="300">
        <v>631241</v>
      </c>
      <c r="O196" s="300">
        <v>0</v>
      </c>
      <c r="P196" s="231">
        <v>3719</v>
      </c>
      <c r="Q196" s="231">
        <v>634960</v>
      </c>
      <c r="R196" s="231"/>
      <c r="S196" s="392">
        <v>190619</v>
      </c>
      <c r="T196" s="231">
        <v>14250</v>
      </c>
      <c r="U196" s="396">
        <v>204869</v>
      </c>
      <c r="V196" s="231"/>
      <c r="W196" s="396">
        <v>1715143</v>
      </c>
      <c r="X196" s="396">
        <v>-606041</v>
      </c>
      <c r="Y196" s="396"/>
      <c r="Z196" s="396"/>
    </row>
    <row r="197" spans="1:26">
      <c r="A197" s="390">
        <v>91851</v>
      </c>
      <c r="B197" s="391" t="s">
        <v>907</v>
      </c>
      <c r="C197" s="234">
        <v>6.7020000000000003E-4</v>
      </c>
      <c r="D197" s="234">
        <v>6.7429999999999996E-4</v>
      </c>
      <c r="E197" s="231">
        <v>1027816</v>
      </c>
      <c r="F197" s="231" t="s">
        <v>1924</v>
      </c>
      <c r="G197" s="392">
        <v>326985</v>
      </c>
      <c r="H197" s="392">
        <v>0</v>
      </c>
      <c r="I197" s="392">
        <v>645731</v>
      </c>
      <c r="J197" s="231">
        <v>15440</v>
      </c>
      <c r="K197" s="231">
        <v>988156</v>
      </c>
      <c r="L197" s="231"/>
      <c r="M197" s="300">
        <v>0</v>
      </c>
      <c r="N197" s="300">
        <v>1468440</v>
      </c>
      <c r="O197" s="300">
        <v>0</v>
      </c>
      <c r="P197" s="231">
        <v>16456</v>
      </c>
      <c r="Q197" s="231">
        <v>1484896</v>
      </c>
      <c r="R197" s="231"/>
      <c r="S197" s="392">
        <v>443432</v>
      </c>
      <c r="T197" s="231">
        <v>-2910</v>
      </c>
      <c r="U197" s="396">
        <v>440522</v>
      </c>
      <c r="V197" s="231"/>
      <c r="W197" s="396">
        <v>3989896</v>
      </c>
      <c r="X197" s="396">
        <v>-1409817</v>
      </c>
      <c r="Y197" s="396"/>
      <c r="Z197" s="396"/>
    </row>
    <row r="198" spans="1:26">
      <c r="A198" s="390">
        <v>91861</v>
      </c>
      <c r="B198" s="391" t="s">
        <v>908</v>
      </c>
      <c r="C198" s="234">
        <v>6.4999999999999996E-6</v>
      </c>
      <c r="D198" s="234">
        <v>6.9999999999999999E-6</v>
      </c>
      <c r="E198" s="231">
        <v>9968</v>
      </c>
      <c r="F198" s="231" t="s">
        <v>1924</v>
      </c>
      <c r="G198" s="392">
        <v>3171</v>
      </c>
      <c r="H198" s="392">
        <v>0</v>
      </c>
      <c r="I198" s="392">
        <v>6263</v>
      </c>
      <c r="J198" s="231">
        <v>0</v>
      </c>
      <c r="K198" s="231">
        <v>9434</v>
      </c>
      <c r="L198" s="231"/>
      <c r="M198" s="300">
        <v>0</v>
      </c>
      <c r="N198" s="300">
        <v>14242</v>
      </c>
      <c r="O198" s="300">
        <v>0</v>
      </c>
      <c r="P198" s="231">
        <v>4445</v>
      </c>
      <c r="Q198" s="231">
        <v>18687</v>
      </c>
      <c r="R198" s="231"/>
      <c r="S198" s="392">
        <v>4301</v>
      </c>
      <c r="T198" s="231">
        <v>-2871</v>
      </c>
      <c r="U198" s="396">
        <v>1430</v>
      </c>
      <c r="V198" s="231"/>
      <c r="W198" s="396">
        <v>38696</v>
      </c>
      <c r="X198" s="396">
        <v>-13673</v>
      </c>
      <c r="Y198" s="396"/>
      <c r="Z198" s="396"/>
    </row>
    <row r="199" spans="1:26">
      <c r="A199" s="390">
        <v>91871</v>
      </c>
      <c r="B199" s="391" t="s">
        <v>909</v>
      </c>
      <c r="C199" s="234">
        <v>1.2749E-3</v>
      </c>
      <c r="D199" s="234">
        <v>1.3648E-3</v>
      </c>
      <c r="E199" s="231">
        <v>1955182</v>
      </c>
      <c r="F199" s="231" t="s">
        <v>1924</v>
      </c>
      <c r="G199" s="392">
        <v>622014</v>
      </c>
      <c r="H199" s="392">
        <v>0</v>
      </c>
      <c r="I199" s="392">
        <v>1228353</v>
      </c>
      <c r="J199" s="231">
        <v>30277</v>
      </c>
      <c r="K199" s="231">
        <v>1880644</v>
      </c>
      <c r="L199" s="231"/>
      <c r="M199" s="300">
        <v>0</v>
      </c>
      <c r="N199" s="300">
        <v>2793367</v>
      </c>
      <c r="O199" s="300">
        <v>0</v>
      </c>
      <c r="P199" s="231">
        <v>178706</v>
      </c>
      <c r="Q199" s="231">
        <v>2972073</v>
      </c>
      <c r="R199" s="231"/>
      <c r="S199" s="392">
        <v>843527</v>
      </c>
      <c r="T199" s="231">
        <v>-45584</v>
      </c>
      <c r="U199" s="396">
        <v>797943</v>
      </c>
      <c r="V199" s="231"/>
      <c r="W199" s="396">
        <v>7589852</v>
      </c>
      <c r="X199" s="396">
        <v>-2681850</v>
      </c>
      <c r="Y199" s="396"/>
      <c r="Z199" s="396"/>
    </row>
    <row r="200" spans="1:26">
      <c r="A200" s="390">
        <v>91881</v>
      </c>
      <c r="B200" s="391" t="s">
        <v>910</v>
      </c>
      <c r="C200" s="234">
        <v>1.6900000000000001E-5</v>
      </c>
      <c r="D200" s="234">
        <v>1.5E-5</v>
      </c>
      <c r="E200" s="231">
        <v>25918</v>
      </c>
      <c r="F200" s="231" t="s">
        <v>1924</v>
      </c>
      <c r="G200" s="392">
        <v>8245</v>
      </c>
      <c r="H200" s="392">
        <v>0</v>
      </c>
      <c r="I200" s="392">
        <v>16283</v>
      </c>
      <c r="J200" s="231">
        <v>7078</v>
      </c>
      <c r="K200" s="231">
        <v>31606</v>
      </c>
      <c r="L200" s="231"/>
      <c r="M200" s="300">
        <v>0</v>
      </c>
      <c r="N200" s="300">
        <v>37029</v>
      </c>
      <c r="O200" s="300">
        <v>0</v>
      </c>
      <c r="P200" s="231">
        <v>4744</v>
      </c>
      <c r="Q200" s="231">
        <v>41773</v>
      </c>
      <c r="R200" s="231"/>
      <c r="S200" s="392">
        <v>11182</v>
      </c>
      <c r="T200" s="231">
        <v>1041</v>
      </c>
      <c r="U200" s="396">
        <v>12223</v>
      </c>
      <c r="V200" s="231"/>
      <c r="W200" s="396">
        <v>100611</v>
      </c>
      <c r="X200" s="396">
        <v>-35550</v>
      </c>
      <c r="Y200" s="396"/>
      <c r="Z200" s="396"/>
    </row>
    <row r="201" spans="1:26">
      <c r="A201" s="390">
        <v>91901</v>
      </c>
      <c r="B201" s="391" t="s">
        <v>911</v>
      </c>
      <c r="C201" s="234">
        <v>3.6871999999999999E-3</v>
      </c>
      <c r="D201" s="234">
        <v>3.7631000000000001E-3</v>
      </c>
      <c r="E201" s="231">
        <v>5654675</v>
      </c>
      <c r="F201" s="231" t="s">
        <v>1924</v>
      </c>
      <c r="G201" s="392">
        <v>1798955</v>
      </c>
      <c r="H201" s="392">
        <v>0</v>
      </c>
      <c r="I201" s="392">
        <v>3552580</v>
      </c>
      <c r="J201" s="231">
        <v>18614</v>
      </c>
      <c r="K201" s="231">
        <v>5370149</v>
      </c>
      <c r="L201" s="231"/>
      <c r="M201" s="300">
        <v>0</v>
      </c>
      <c r="N201" s="300">
        <v>8078832</v>
      </c>
      <c r="O201" s="300">
        <v>0</v>
      </c>
      <c r="P201" s="231">
        <v>235157</v>
      </c>
      <c r="Q201" s="231">
        <v>8313989</v>
      </c>
      <c r="R201" s="231"/>
      <c r="S201" s="392">
        <v>2439606</v>
      </c>
      <c r="T201" s="231">
        <v>-82843</v>
      </c>
      <c r="U201" s="396">
        <v>2356763</v>
      </c>
      <c r="V201" s="231"/>
      <c r="W201" s="396">
        <v>21950978</v>
      </c>
      <c r="X201" s="396">
        <v>-7756309</v>
      </c>
      <c r="Y201" s="396"/>
      <c r="Z201" s="396"/>
    </row>
    <row r="202" spans="1:26">
      <c r="A202" s="390">
        <v>91903</v>
      </c>
      <c r="B202" s="391" t="s">
        <v>912</v>
      </c>
      <c r="C202" s="234">
        <v>6.4999999999999996E-6</v>
      </c>
      <c r="D202" s="234">
        <v>6.1999999999999999E-6</v>
      </c>
      <c r="E202" s="231">
        <v>9968</v>
      </c>
      <c r="F202" s="231" t="s">
        <v>1924</v>
      </c>
      <c r="G202" s="392">
        <v>3171</v>
      </c>
      <c r="H202" s="392">
        <v>0</v>
      </c>
      <c r="I202" s="392">
        <v>6263</v>
      </c>
      <c r="J202" s="231">
        <v>5595</v>
      </c>
      <c r="K202" s="231">
        <v>15029</v>
      </c>
      <c r="L202" s="231"/>
      <c r="M202" s="300">
        <v>0</v>
      </c>
      <c r="N202" s="300">
        <v>14242</v>
      </c>
      <c r="O202" s="300">
        <v>0</v>
      </c>
      <c r="P202" s="231">
        <v>0</v>
      </c>
      <c r="Q202" s="231">
        <v>14242</v>
      </c>
      <c r="R202" s="231"/>
      <c r="S202" s="392">
        <v>4301</v>
      </c>
      <c r="T202" s="231">
        <v>2839</v>
      </c>
      <c r="U202" s="396">
        <v>7140</v>
      </c>
      <c r="V202" s="231"/>
      <c r="W202" s="396">
        <v>38696</v>
      </c>
      <c r="X202" s="396">
        <v>-13673</v>
      </c>
      <c r="Y202" s="396"/>
      <c r="Z202" s="396"/>
    </row>
    <row r="203" spans="1:26">
      <c r="A203" s="390">
        <v>91904</v>
      </c>
      <c r="B203" s="391" t="s">
        <v>913</v>
      </c>
      <c r="C203" s="234">
        <v>4.9599999999999999E-5</v>
      </c>
      <c r="D203" s="234">
        <v>4.1699999999999997E-5</v>
      </c>
      <c r="E203" s="231">
        <v>76066</v>
      </c>
      <c r="F203" s="231" t="s">
        <v>1924</v>
      </c>
      <c r="G203" s="392">
        <v>24199</v>
      </c>
      <c r="H203" s="392">
        <v>0</v>
      </c>
      <c r="I203" s="392">
        <v>47789</v>
      </c>
      <c r="J203" s="231">
        <v>29811</v>
      </c>
      <c r="K203" s="231">
        <v>101799</v>
      </c>
      <c r="L203" s="231"/>
      <c r="M203" s="300">
        <v>0</v>
      </c>
      <c r="N203" s="300">
        <v>108676</v>
      </c>
      <c r="O203" s="300">
        <v>0</v>
      </c>
      <c r="P203" s="231">
        <v>110</v>
      </c>
      <c r="Q203" s="231">
        <v>108786</v>
      </c>
      <c r="R203" s="231"/>
      <c r="S203" s="392">
        <v>32817</v>
      </c>
      <c r="T203" s="231">
        <v>12793</v>
      </c>
      <c r="U203" s="396">
        <v>45610</v>
      </c>
      <c r="V203" s="231"/>
      <c r="W203" s="396">
        <v>295283</v>
      </c>
      <c r="X203" s="396">
        <v>-104337</v>
      </c>
      <c r="Y203" s="396"/>
      <c r="Z203" s="396"/>
    </row>
    <row r="204" spans="1:26">
      <c r="A204" s="390">
        <v>91908</v>
      </c>
      <c r="B204" s="391" t="s">
        <v>914</v>
      </c>
      <c r="C204" s="234">
        <v>1.4E-5</v>
      </c>
      <c r="D204" s="234">
        <v>1.56E-5</v>
      </c>
      <c r="E204" s="231">
        <v>21470</v>
      </c>
      <c r="F204" s="231" t="s">
        <v>1924</v>
      </c>
      <c r="G204" s="392">
        <v>6830</v>
      </c>
      <c r="H204" s="392">
        <v>0</v>
      </c>
      <c r="I204" s="392">
        <v>13489</v>
      </c>
      <c r="J204" s="231">
        <v>0</v>
      </c>
      <c r="K204" s="231">
        <v>20319</v>
      </c>
      <c r="L204" s="231"/>
      <c r="M204" s="300">
        <v>0</v>
      </c>
      <c r="N204" s="300">
        <v>30675</v>
      </c>
      <c r="O204" s="300">
        <v>0</v>
      </c>
      <c r="P204" s="231">
        <v>8111</v>
      </c>
      <c r="Q204" s="231">
        <v>38786</v>
      </c>
      <c r="R204" s="231"/>
      <c r="S204" s="392">
        <v>9263</v>
      </c>
      <c r="T204" s="231">
        <v>-3661</v>
      </c>
      <c r="U204" s="396">
        <v>5602</v>
      </c>
      <c r="V204" s="231"/>
      <c r="W204" s="396">
        <v>83346</v>
      </c>
      <c r="X204" s="396">
        <v>-29450</v>
      </c>
      <c r="Y204" s="396"/>
      <c r="Z204" s="396"/>
    </row>
    <row r="205" spans="1:26">
      <c r="A205" s="390">
        <v>91911</v>
      </c>
      <c r="B205" s="391" t="s">
        <v>915</v>
      </c>
      <c r="C205" s="234">
        <v>5.6570000000000004E-4</v>
      </c>
      <c r="D205" s="234">
        <v>5.4620000000000005E-4</v>
      </c>
      <c r="E205" s="231">
        <v>867555</v>
      </c>
      <c r="F205" s="231" t="s">
        <v>1924</v>
      </c>
      <c r="G205" s="392">
        <v>276001</v>
      </c>
      <c r="H205" s="392">
        <v>0</v>
      </c>
      <c r="I205" s="392">
        <v>545046</v>
      </c>
      <c r="J205" s="231">
        <v>104318</v>
      </c>
      <c r="K205" s="231">
        <v>925365</v>
      </c>
      <c r="L205" s="231"/>
      <c r="M205" s="300">
        <v>0</v>
      </c>
      <c r="N205" s="300">
        <v>1239476</v>
      </c>
      <c r="O205" s="300">
        <v>0</v>
      </c>
      <c r="P205" s="231">
        <v>15485</v>
      </c>
      <c r="Q205" s="231">
        <v>1254961</v>
      </c>
      <c r="R205" s="231"/>
      <c r="S205" s="392">
        <v>374291</v>
      </c>
      <c r="T205" s="231">
        <v>45074</v>
      </c>
      <c r="U205" s="396">
        <v>419365</v>
      </c>
      <c r="V205" s="231"/>
      <c r="W205" s="396">
        <v>3367777</v>
      </c>
      <c r="X205" s="396">
        <v>-1189994</v>
      </c>
      <c r="Y205" s="396"/>
      <c r="Z205" s="396"/>
    </row>
    <row r="206" spans="1:26">
      <c r="A206" s="390">
        <v>91917</v>
      </c>
      <c r="B206" s="391" t="s">
        <v>916</v>
      </c>
      <c r="C206" s="234">
        <v>1.4600000000000001E-5</v>
      </c>
      <c r="D206" s="234">
        <v>1.22E-5</v>
      </c>
      <c r="E206" s="231">
        <v>22391</v>
      </c>
      <c r="F206" s="231" t="s">
        <v>1924</v>
      </c>
      <c r="G206" s="392">
        <v>7123</v>
      </c>
      <c r="H206" s="392">
        <v>0</v>
      </c>
      <c r="I206" s="392">
        <v>14067</v>
      </c>
      <c r="J206" s="231">
        <v>8390</v>
      </c>
      <c r="K206" s="231">
        <v>29580</v>
      </c>
      <c r="L206" s="231"/>
      <c r="M206" s="300">
        <v>0</v>
      </c>
      <c r="N206" s="300">
        <v>31989</v>
      </c>
      <c r="O206" s="300">
        <v>0</v>
      </c>
      <c r="P206" s="231">
        <v>0</v>
      </c>
      <c r="Q206" s="231">
        <v>31989</v>
      </c>
      <c r="R206" s="231"/>
      <c r="S206" s="392">
        <v>9660</v>
      </c>
      <c r="T206" s="231">
        <v>3079</v>
      </c>
      <c r="U206" s="396">
        <v>12739</v>
      </c>
      <c r="V206" s="231"/>
      <c r="W206" s="396">
        <v>86918</v>
      </c>
      <c r="X206" s="396">
        <v>-30712</v>
      </c>
      <c r="Y206" s="396"/>
      <c r="Z206" s="396"/>
    </row>
    <row r="207" spans="1:26">
      <c r="A207" s="390">
        <v>91921</v>
      </c>
      <c r="B207" s="391" t="s">
        <v>917</v>
      </c>
      <c r="C207" s="234">
        <v>3.7800000000000003E-4</v>
      </c>
      <c r="D207" s="234">
        <v>3.9310000000000001E-4</v>
      </c>
      <c r="E207" s="231">
        <v>579699</v>
      </c>
      <c r="F207" s="231" t="s">
        <v>1924</v>
      </c>
      <c r="G207" s="392">
        <v>184423</v>
      </c>
      <c r="H207" s="392">
        <v>0</v>
      </c>
      <c r="I207" s="392">
        <v>364199</v>
      </c>
      <c r="J207" s="231">
        <v>7604</v>
      </c>
      <c r="K207" s="231">
        <v>556226</v>
      </c>
      <c r="L207" s="231"/>
      <c r="M207" s="300">
        <v>0</v>
      </c>
      <c r="N207" s="300">
        <v>828216</v>
      </c>
      <c r="O207" s="300">
        <v>0</v>
      </c>
      <c r="P207" s="231">
        <v>54473</v>
      </c>
      <c r="Q207" s="231">
        <v>882689</v>
      </c>
      <c r="R207" s="231"/>
      <c r="S207" s="392">
        <v>250101</v>
      </c>
      <c r="T207" s="231">
        <v>-18606</v>
      </c>
      <c r="U207" s="396">
        <v>231495</v>
      </c>
      <c r="V207" s="231"/>
      <c r="W207" s="396">
        <v>2250344</v>
      </c>
      <c r="X207" s="396">
        <v>-795152</v>
      </c>
      <c r="Y207" s="396"/>
      <c r="Z207" s="396"/>
    </row>
    <row r="208" spans="1:26" ht="14.25" customHeight="1">
      <c r="A208" s="390">
        <v>92001</v>
      </c>
      <c r="B208" s="391" t="s">
        <v>918</v>
      </c>
      <c r="C208" s="234">
        <v>1.7407E-3</v>
      </c>
      <c r="D208" s="234">
        <v>1.8089E-3</v>
      </c>
      <c r="E208" s="231">
        <v>2669531</v>
      </c>
      <c r="F208" s="231" t="s">
        <v>1924</v>
      </c>
      <c r="G208" s="392">
        <v>849274</v>
      </c>
      <c r="H208" s="392">
        <v>0</v>
      </c>
      <c r="I208" s="392">
        <v>1677147</v>
      </c>
      <c r="J208" s="231">
        <v>16245</v>
      </c>
      <c r="K208" s="231">
        <v>2542666</v>
      </c>
      <c r="L208" s="231"/>
      <c r="M208" s="300">
        <v>0</v>
      </c>
      <c r="N208" s="300">
        <v>3813957</v>
      </c>
      <c r="O208" s="300">
        <v>0</v>
      </c>
      <c r="P208" s="231">
        <v>126488</v>
      </c>
      <c r="Q208" s="231">
        <v>3940445</v>
      </c>
      <c r="R208" s="231"/>
      <c r="S208" s="392">
        <v>1151720</v>
      </c>
      <c r="T208" s="231">
        <v>-73829</v>
      </c>
      <c r="U208" s="396">
        <v>1077891</v>
      </c>
      <c r="V208" s="231"/>
      <c r="W208" s="396">
        <v>10362895</v>
      </c>
      <c r="X208" s="396">
        <v>-3661696</v>
      </c>
      <c r="Y208" s="396"/>
      <c r="Z208" s="396"/>
    </row>
    <row r="209" spans="1:26">
      <c r="A209" s="390">
        <v>92005</v>
      </c>
      <c r="B209" s="391" t="s">
        <v>919</v>
      </c>
      <c r="C209" s="234">
        <v>3.43E-5</v>
      </c>
      <c r="D209" s="234">
        <v>3.43E-5</v>
      </c>
      <c r="E209" s="231">
        <v>52602</v>
      </c>
      <c r="F209" s="231" t="s">
        <v>1924</v>
      </c>
      <c r="G209" s="392">
        <v>16735</v>
      </c>
      <c r="H209" s="392">
        <v>0</v>
      </c>
      <c r="I209" s="392">
        <v>33048</v>
      </c>
      <c r="J209" s="231">
        <v>5467</v>
      </c>
      <c r="K209" s="231">
        <v>55250</v>
      </c>
      <c r="L209" s="231"/>
      <c r="M209" s="300">
        <v>0</v>
      </c>
      <c r="N209" s="300">
        <v>75153</v>
      </c>
      <c r="O209" s="300">
        <v>0</v>
      </c>
      <c r="P209" s="231">
        <v>1330</v>
      </c>
      <c r="Q209" s="231">
        <v>76483</v>
      </c>
      <c r="R209" s="231"/>
      <c r="S209" s="392">
        <v>22694</v>
      </c>
      <c r="T209" s="231">
        <v>1444</v>
      </c>
      <c r="U209" s="396">
        <v>24138</v>
      </c>
      <c r="V209" s="231"/>
      <c r="W209" s="396">
        <v>204198</v>
      </c>
      <c r="X209" s="396">
        <v>-72153</v>
      </c>
      <c r="Y209" s="396"/>
      <c r="Z209" s="396"/>
    </row>
    <row r="210" spans="1:26">
      <c r="A210" s="390">
        <v>92011</v>
      </c>
      <c r="B210" s="391" t="s">
        <v>920</v>
      </c>
      <c r="C210" s="234">
        <v>1.996E-4</v>
      </c>
      <c r="D210" s="234">
        <v>2.0900000000000001E-4</v>
      </c>
      <c r="E210" s="231">
        <v>306106</v>
      </c>
      <c r="F210" s="231" t="s">
        <v>1924</v>
      </c>
      <c r="G210" s="392">
        <v>97383</v>
      </c>
      <c r="H210" s="392">
        <v>0</v>
      </c>
      <c r="I210" s="392">
        <v>192313</v>
      </c>
      <c r="J210" s="231">
        <v>9942</v>
      </c>
      <c r="K210" s="231">
        <v>299638</v>
      </c>
      <c r="L210" s="231"/>
      <c r="M210" s="300">
        <v>0</v>
      </c>
      <c r="N210" s="300">
        <v>437333</v>
      </c>
      <c r="O210" s="300">
        <v>0</v>
      </c>
      <c r="P210" s="231">
        <v>28682</v>
      </c>
      <c r="Q210" s="231">
        <v>466015</v>
      </c>
      <c r="R210" s="231"/>
      <c r="S210" s="392">
        <v>132064</v>
      </c>
      <c r="T210" s="231">
        <v>-3987</v>
      </c>
      <c r="U210" s="396">
        <v>128077</v>
      </c>
      <c r="V210" s="231"/>
      <c r="W210" s="396">
        <v>1188277</v>
      </c>
      <c r="X210" s="396">
        <v>-419874</v>
      </c>
      <c r="Y210" s="396"/>
      <c r="Z210" s="396"/>
    </row>
    <row r="211" spans="1:26">
      <c r="A211" s="390">
        <v>92017</v>
      </c>
      <c r="B211" s="391" t="s">
        <v>921</v>
      </c>
      <c r="C211" s="234">
        <v>2.9200000000000002E-5</v>
      </c>
      <c r="D211" s="234">
        <v>3.0000000000000001E-5</v>
      </c>
      <c r="E211" s="231">
        <v>44781</v>
      </c>
      <c r="F211" s="231" t="s">
        <v>1924</v>
      </c>
      <c r="G211" s="392">
        <v>14246</v>
      </c>
      <c r="H211" s="392">
        <v>0</v>
      </c>
      <c r="I211" s="392">
        <v>28134</v>
      </c>
      <c r="J211" s="231">
        <v>5012</v>
      </c>
      <c r="K211" s="231">
        <v>47392</v>
      </c>
      <c r="L211" s="231"/>
      <c r="M211" s="300">
        <v>0</v>
      </c>
      <c r="N211" s="300">
        <v>63979</v>
      </c>
      <c r="O211" s="300">
        <v>0</v>
      </c>
      <c r="P211" s="231">
        <v>0</v>
      </c>
      <c r="Q211" s="231">
        <v>63979</v>
      </c>
      <c r="R211" s="231"/>
      <c r="S211" s="392">
        <v>19320</v>
      </c>
      <c r="T211" s="231">
        <v>2220</v>
      </c>
      <c r="U211" s="396">
        <v>21540</v>
      </c>
      <c r="V211" s="231"/>
      <c r="W211" s="396">
        <v>173836</v>
      </c>
      <c r="X211" s="396">
        <v>-61424</v>
      </c>
      <c r="Y211" s="396"/>
      <c r="Z211" s="396"/>
    </row>
    <row r="212" spans="1:26">
      <c r="A212" s="390">
        <v>92021</v>
      </c>
      <c r="B212" s="391" t="s">
        <v>922</v>
      </c>
      <c r="C212" s="234">
        <v>1.2799999999999999E-4</v>
      </c>
      <c r="D212" s="234">
        <v>1.1519999999999999E-4</v>
      </c>
      <c r="E212" s="231">
        <v>196300</v>
      </c>
      <c r="F212" s="231" t="s">
        <v>1924</v>
      </c>
      <c r="G212" s="392">
        <v>62450</v>
      </c>
      <c r="H212" s="392">
        <v>0</v>
      </c>
      <c r="I212" s="392">
        <v>123327</v>
      </c>
      <c r="J212" s="231">
        <v>14616</v>
      </c>
      <c r="K212" s="231">
        <v>200393</v>
      </c>
      <c r="L212" s="231"/>
      <c r="M212" s="300">
        <v>0</v>
      </c>
      <c r="N212" s="300">
        <v>280454</v>
      </c>
      <c r="O212" s="300">
        <v>0</v>
      </c>
      <c r="P212" s="231">
        <v>22960</v>
      </c>
      <c r="Q212" s="231">
        <v>303414</v>
      </c>
      <c r="R212" s="231"/>
      <c r="S212" s="392">
        <v>84690</v>
      </c>
      <c r="T212" s="231">
        <v>-5689</v>
      </c>
      <c r="U212" s="396">
        <v>79001</v>
      </c>
      <c r="V212" s="231"/>
      <c r="W212" s="396">
        <v>762021</v>
      </c>
      <c r="X212" s="396">
        <v>-269258</v>
      </c>
      <c r="Y212" s="396"/>
      <c r="Z212" s="396"/>
    </row>
    <row r="213" spans="1:26">
      <c r="A213" s="390">
        <v>92101</v>
      </c>
      <c r="B213" s="391" t="s">
        <v>923</v>
      </c>
      <c r="C213" s="234">
        <v>7.0399999999999998E-4</v>
      </c>
      <c r="D213" s="234">
        <v>7.6869999999999998E-4</v>
      </c>
      <c r="E213" s="231">
        <v>1079652</v>
      </c>
      <c r="F213" s="231" t="s">
        <v>1924</v>
      </c>
      <c r="G213" s="392">
        <v>343476</v>
      </c>
      <c r="H213" s="392">
        <v>0</v>
      </c>
      <c r="I213" s="392">
        <v>678297</v>
      </c>
      <c r="J213" s="231">
        <v>0</v>
      </c>
      <c r="K213" s="231">
        <v>1021773</v>
      </c>
      <c r="L213" s="231"/>
      <c r="M213" s="300">
        <v>0</v>
      </c>
      <c r="N213" s="300">
        <v>1542498</v>
      </c>
      <c r="O213" s="300">
        <v>0</v>
      </c>
      <c r="P213" s="231">
        <v>139961</v>
      </c>
      <c r="Q213" s="231">
        <v>1682459</v>
      </c>
      <c r="R213" s="231"/>
      <c r="S213" s="392">
        <v>465796</v>
      </c>
      <c r="T213" s="231">
        <v>-64893</v>
      </c>
      <c r="U213" s="396">
        <v>400903</v>
      </c>
      <c r="V213" s="231"/>
      <c r="W213" s="396">
        <v>4191118</v>
      </c>
      <c r="X213" s="396">
        <v>-1480918</v>
      </c>
      <c r="Y213" s="396"/>
      <c r="Z213" s="396"/>
    </row>
    <row r="214" spans="1:26">
      <c r="A214" s="390">
        <v>92104</v>
      </c>
      <c r="B214" s="391" t="s">
        <v>924</v>
      </c>
      <c r="C214" s="234">
        <v>7.7999999999999999E-6</v>
      </c>
      <c r="D214" s="234">
        <v>7.1999999999999997E-6</v>
      </c>
      <c r="E214" s="231">
        <v>11962</v>
      </c>
      <c r="F214" s="231" t="s">
        <v>1924</v>
      </c>
      <c r="G214" s="392">
        <v>3806</v>
      </c>
      <c r="H214" s="392">
        <v>0</v>
      </c>
      <c r="I214" s="392">
        <v>7515</v>
      </c>
      <c r="J214" s="231">
        <v>4423</v>
      </c>
      <c r="K214" s="231">
        <v>15744</v>
      </c>
      <c r="L214" s="231"/>
      <c r="M214" s="300">
        <v>0</v>
      </c>
      <c r="N214" s="300">
        <v>17090</v>
      </c>
      <c r="O214" s="300">
        <v>0</v>
      </c>
      <c r="P214" s="231">
        <v>0</v>
      </c>
      <c r="Q214" s="231">
        <v>17090</v>
      </c>
      <c r="R214" s="231"/>
      <c r="S214" s="392">
        <v>5161</v>
      </c>
      <c r="T214" s="231">
        <v>2084</v>
      </c>
      <c r="U214" s="396">
        <v>7245</v>
      </c>
      <c r="V214" s="231"/>
      <c r="W214" s="396">
        <v>46436</v>
      </c>
      <c r="X214" s="396">
        <v>-16408</v>
      </c>
      <c r="Y214" s="396"/>
      <c r="Z214" s="396"/>
    </row>
    <row r="215" spans="1:26">
      <c r="A215" s="390">
        <v>92109</v>
      </c>
      <c r="B215" s="391" t="s">
        <v>925</v>
      </c>
      <c r="C215" s="234">
        <v>1.95E-4</v>
      </c>
      <c r="D215" s="234">
        <v>1.8359999999999999E-4</v>
      </c>
      <c r="E215" s="231">
        <v>299051</v>
      </c>
      <c r="F215" s="231" t="s">
        <v>1924</v>
      </c>
      <c r="G215" s="392">
        <v>95139</v>
      </c>
      <c r="H215" s="392">
        <v>0</v>
      </c>
      <c r="I215" s="392">
        <v>187881</v>
      </c>
      <c r="J215" s="231">
        <v>32486</v>
      </c>
      <c r="K215" s="231">
        <v>315506</v>
      </c>
      <c r="L215" s="231"/>
      <c r="M215" s="300">
        <v>0</v>
      </c>
      <c r="N215" s="300">
        <v>427254</v>
      </c>
      <c r="O215" s="300">
        <v>0</v>
      </c>
      <c r="P215" s="231">
        <v>5818</v>
      </c>
      <c r="Q215" s="231">
        <v>433072</v>
      </c>
      <c r="R215" s="231"/>
      <c r="S215" s="392">
        <v>129020</v>
      </c>
      <c r="T215" s="231">
        <v>8396</v>
      </c>
      <c r="U215" s="396">
        <v>137416</v>
      </c>
      <c r="V215" s="231"/>
      <c r="W215" s="396">
        <v>1160892</v>
      </c>
      <c r="X215" s="396">
        <v>-410198</v>
      </c>
      <c r="Y215" s="396"/>
      <c r="Z215" s="396"/>
    </row>
    <row r="216" spans="1:26">
      <c r="A216" s="390">
        <v>92111</v>
      </c>
      <c r="B216" s="391" t="s">
        <v>926</v>
      </c>
      <c r="C216" s="234">
        <v>5.3620000000000002E-4</v>
      </c>
      <c r="D216" s="234">
        <v>5.4140000000000004E-4</v>
      </c>
      <c r="E216" s="231">
        <v>822314</v>
      </c>
      <c r="F216" s="231" t="s">
        <v>1924</v>
      </c>
      <c r="G216" s="392">
        <v>261608</v>
      </c>
      <c r="H216" s="392">
        <v>0</v>
      </c>
      <c r="I216" s="392">
        <v>516623</v>
      </c>
      <c r="J216" s="231">
        <v>33695</v>
      </c>
      <c r="K216" s="231">
        <v>811926</v>
      </c>
      <c r="L216" s="231"/>
      <c r="M216" s="300">
        <v>0</v>
      </c>
      <c r="N216" s="300">
        <v>1174840</v>
      </c>
      <c r="O216" s="300">
        <v>0</v>
      </c>
      <c r="P216" s="231">
        <v>37475</v>
      </c>
      <c r="Q216" s="231">
        <v>1212315</v>
      </c>
      <c r="R216" s="231"/>
      <c r="S216" s="392">
        <v>354772</v>
      </c>
      <c r="T216" s="231">
        <v>2787</v>
      </c>
      <c r="U216" s="396">
        <v>357559</v>
      </c>
      <c r="V216" s="231"/>
      <c r="W216" s="396">
        <v>3192155</v>
      </c>
      <c r="X216" s="396">
        <v>-1127938</v>
      </c>
      <c r="Y216" s="396"/>
      <c r="Z216" s="396"/>
    </row>
    <row r="217" spans="1:26">
      <c r="A217" s="390">
        <v>92113</v>
      </c>
      <c r="B217" s="391" t="s">
        <v>927</v>
      </c>
      <c r="C217" s="234">
        <v>1.8899999999999999E-5</v>
      </c>
      <c r="D217" s="234">
        <v>1.73E-5</v>
      </c>
      <c r="E217" s="231">
        <v>28985</v>
      </c>
      <c r="F217" s="231" t="s">
        <v>1924</v>
      </c>
      <c r="G217" s="392">
        <v>9221</v>
      </c>
      <c r="H217" s="392">
        <v>0</v>
      </c>
      <c r="I217" s="392">
        <v>18210</v>
      </c>
      <c r="J217" s="231">
        <v>12338</v>
      </c>
      <c r="K217" s="231">
        <v>39769</v>
      </c>
      <c r="L217" s="231"/>
      <c r="M217" s="300">
        <v>0</v>
      </c>
      <c r="N217" s="300">
        <v>41411</v>
      </c>
      <c r="O217" s="300">
        <v>0</v>
      </c>
      <c r="P217" s="231">
        <v>0</v>
      </c>
      <c r="Q217" s="231">
        <v>41411</v>
      </c>
      <c r="R217" s="231"/>
      <c r="S217" s="392">
        <v>12505</v>
      </c>
      <c r="T217" s="231">
        <v>5294</v>
      </c>
      <c r="U217" s="396">
        <v>17799</v>
      </c>
      <c r="V217" s="231"/>
      <c r="W217" s="396">
        <v>112517</v>
      </c>
      <c r="X217" s="396">
        <v>-39758</v>
      </c>
      <c r="Y217" s="396"/>
      <c r="Z217" s="396"/>
    </row>
    <row r="218" spans="1:26">
      <c r="A218" s="390">
        <v>92201</v>
      </c>
      <c r="B218" s="391" t="s">
        <v>928</v>
      </c>
      <c r="C218" s="234">
        <v>9.5560000000000003E-4</v>
      </c>
      <c r="D218" s="234">
        <v>9.3099999999999997E-4</v>
      </c>
      <c r="E218" s="231">
        <v>1465504</v>
      </c>
      <c r="F218" s="231" t="s">
        <v>1924</v>
      </c>
      <c r="G218" s="392">
        <v>466230</v>
      </c>
      <c r="H218" s="392">
        <v>0</v>
      </c>
      <c r="I218" s="392">
        <v>920711</v>
      </c>
      <c r="J218" s="231">
        <v>134189</v>
      </c>
      <c r="K218" s="231">
        <v>1521130</v>
      </c>
      <c r="L218" s="231"/>
      <c r="M218" s="300">
        <v>0</v>
      </c>
      <c r="N218" s="300">
        <v>2093765</v>
      </c>
      <c r="O218" s="300">
        <v>0</v>
      </c>
      <c r="P218" s="231">
        <v>19678</v>
      </c>
      <c r="Q218" s="231">
        <v>2113443</v>
      </c>
      <c r="R218" s="231"/>
      <c r="S218" s="392">
        <v>632265</v>
      </c>
      <c r="T218" s="231">
        <v>39351</v>
      </c>
      <c r="U218" s="396">
        <v>671616</v>
      </c>
      <c r="V218" s="231"/>
      <c r="W218" s="396">
        <v>5688966</v>
      </c>
      <c r="X218" s="396">
        <v>-2010178</v>
      </c>
      <c r="Y218" s="396"/>
      <c r="Z218" s="396"/>
    </row>
    <row r="219" spans="1:26">
      <c r="A219" s="390">
        <v>92214</v>
      </c>
      <c r="B219" t="s">
        <v>1925</v>
      </c>
      <c r="C219" s="234">
        <v>2.0599999999999999E-5</v>
      </c>
      <c r="D219" s="234">
        <v>1.9000000000000001E-5</v>
      </c>
      <c r="E219" s="231">
        <v>31592</v>
      </c>
      <c r="F219" s="231" t="s">
        <v>1924</v>
      </c>
      <c r="G219" s="392">
        <v>10051</v>
      </c>
      <c r="H219" s="392">
        <v>0</v>
      </c>
      <c r="I219" s="392">
        <v>19848</v>
      </c>
      <c r="J219" s="231">
        <v>7808</v>
      </c>
      <c r="K219" s="231">
        <v>37707</v>
      </c>
      <c r="L219" s="231"/>
      <c r="M219" s="300">
        <v>0</v>
      </c>
      <c r="N219" s="300">
        <v>45136</v>
      </c>
      <c r="O219" s="300">
        <v>0</v>
      </c>
      <c r="P219" s="231">
        <v>1009</v>
      </c>
      <c r="Q219" s="231">
        <v>46145</v>
      </c>
      <c r="R219" s="231"/>
      <c r="S219" s="392">
        <v>13630</v>
      </c>
      <c r="T219" s="231">
        <v>4494</v>
      </c>
      <c r="U219" s="396">
        <v>18124</v>
      </c>
      <c r="V219" s="231"/>
      <c r="W219" s="396">
        <v>122638</v>
      </c>
      <c r="X219" s="396">
        <v>-43334</v>
      </c>
      <c r="Y219" s="396"/>
      <c r="Z219" s="396"/>
    </row>
    <row r="220" spans="1:26">
      <c r="A220" s="390">
        <v>92301</v>
      </c>
      <c r="B220" s="391" t="s">
        <v>929</v>
      </c>
      <c r="C220" s="234">
        <v>5.0848000000000004E-3</v>
      </c>
      <c r="D220" s="234">
        <v>5.2855000000000003E-3</v>
      </c>
      <c r="E220" s="231">
        <v>7798029</v>
      </c>
      <c r="F220" s="231" t="s">
        <v>1924</v>
      </c>
      <c r="G220" s="392">
        <v>2480833</v>
      </c>
      <c r="H220" s="392">
        <v>0</v>
      </c>
      <c r="I220" s="392">
        <v>4899154</v>
      </c>
      <c r="J220" s="231">
        <v>65174</v>
      </c>
      <c r="K220" s="231">
        <v>7445161</v>
      </c>
      <c r="L220" s="231"/>
      <c r="M220" s="300">
        <v>0</v>
      </c>
      <c r="N220" s="300">
        <v>11141041</v>
      </c>
      <c r="O220" s="300">
        <v>0</v>
      </c>
      <c r="P220" s="231">
        <v>813379</v>
      </c>
      <c r="Q220" s="231">
        <v>11954420</v>
      </c>
      <c r="R220" s="231"/>
      <c r="S220" s="392">
        <v>3364317</v>
      </c>
      <c r="T220" s="231">
        <v>-290121</v>
      </c>
      <c r="U220" s="396">
        <v>3074196</v>
      </c>
      <c r="V220" s="231"/>
      <c r="W220" s="396">
        <v>30271299</v>
      </c>
      <c r="X220" s="396">
        <v>-10696268</v>
      </c>
      <c r="Y220" s="396"/>
      <c r="Z220" s="396"/>
    </row>
    <row r="221" spans="1:26">
      <c r="A221" s="390">
        <v>92302</v>
      </c>
      <c r="B221" s="391" t="s">
        <v>1934</v>
      </c>
      <c r="C221" s="234">
        <v>2.8669999999999998E-4</v>
      </c>
      <c r="D221" s="234">
        <v>2.9990000000000003E-4</v>
      </c>
      <c r="E221" s="231">
        <v>439682</v>
      </c>
      <c r="F221" s="231" t="s">
        <v>1924</v>
      </c>
      <c r="G221" s="392">
        <v>139879</v>
      </c>
      <c r="H221" s="392">
        <v>0</v>
      </c>
      <c r="I221" s="392">
        <v>276233</v>
      </c>
      <c r="J221" s="231">
        <v>1616</v>
      </c>
      <c r="K221" s="231">
        <v>417728</v>
      </c>
      <c r="L221" s="231"/>
      <c r="M221" s="300">
        <v>0</v>
      </c>
      <c r="N221" s="300">
        <v>628173</v>
      </c>
      <c r="O221" s="300">
        <v>0</v>
      </c>
      <c r="P221" s="231">
        <v>37618</v>
      </c>
      <c r="Q221" s="231">
        <v>665791</v>
      </c>
      <c r="R221" s="231"/>
      <c r="S221" s="392">
        <v>189693</v>
      </c>
      <c r="T221" s="231">
        <v>-19124</v>
      </c>
      <c r="U221" s="396">
        <v>170569</v>
      </c>
      <c r="V221" s="231"/>
      <c r="W221" s="396">
        <v>1706809</v>
      </c>
      <c r="X221" s="396">
        <v>-603096</v>
      </c>
      <c r="Y221" s="396"/>
      <c r="Z221" s="396"/>
    </row>
    <row r="222" spans="1:26">
      <c r="A222" s="390">
        <v>92311</v>
      </c>
      <c r="B222" s="391" t="s">
        <v>931</v>
      </c>
      <c r="C222" s="234">
        <v>2.2017E-3</v>
      </c>
      <c r="D222" s="234">
        <v>2.3205999999999999E-3</v>
      </c>
      <c r="E222" s="231">
        <v>3376518</v>
      </c>
      <c r="F222" s="231" t="s">
        <v>1924</v>
      </c>
      <c r="G222" s="392">
        <v>1074192</v>
      </c>
      <c r="H222" s="392">
        <v>0</v>
      </c>
      <c r="I222" s="392">
        <v>2121316</v>
      </c>
      <c r="J222" s="231">
        <v>28135</v>
      </c>
      <c r="K222" s="231">
        <v>3223643</v>
      </c>
      <c r="L222" s="231"/>
      <c r="M222" s="300">
        <v>0</v>
      </c>
      <c r="N222" s="300">
        <v>4824030</v>
      </c>
      <c r="O222" s="300">
        <v>0</v>
      </c>
      <c r="P222" s="231">
        <v>282210</v>
      </c>
      <c r="Q222" s="231">
        <v>5106240</v>
      </c>
      <c r="R222" s="231"/>
      <c r="S222" s="392">
        <v>1456737</v>
      </c>
      <c r="T222" s="231">
        <v>-88204</v>
      </c>
      <c r="U222" s="396">
        <v>1368533</v>
      </c>
      <c r="V222" s="231"/>
      <c r="W222" s="396">
        <v>13107363</v>
      </c>
      <c r="X222" s="396">
        <v>-4631445</v>
      </c>
      <c r="Y222" s="396"/>
      <c r="Z222" s="396"/>
    </row>
    <row r="223" spans="1:26">
      <c r="A223" s="390">
        <v>92317</v>
      </c>
      <c r="B223" s="391" t="s">
        <v>932</v>
      </c>
      <c r="C223" s="234">
        <v>3.6399999999999997E-5</v>
      </c>
      <c r="D223" s="234">
        <v>3.3800000000000002E-5</v>
      </c>
      <c r="E223" s="231">
        <v>55823</v>
      </c>
      <c r="F223" s="231" t="s">
        <v>1924</v>
      </c>
      <c r="G223" s="392">
        <v>17759</v>
      </c>
      <c r="H223" s="392">
        <v>0</v>
      </c>
      <c r="I223" s="392">
        <v>35071</v>
      </c>
      <c r="J223" s="231">
        <v>27738</v>
      </c>
      <c r="K223" s="231">
        <v>80568</v>
      </c>
      <c r="L223" s="231"/>
      <c r="M223" s="300">
        <v>0</v>
      </c>
      <c r="N223" s="300">
        <v>79754</v>
      </c>
      <c r="O223" s="300">
        <v>0</v>
      </c>
      <c r="P223" s="231">
        <v>0</v>
      </c>
      <c r="Q223" s="231">
        <v>79754</v>
      </c>
      <c r="R223" s="231"/>
      <c r="S223" s="392">
        <v>24084</v>
      </c>
      <c r="T223" s="231">
        <v>14305</v>
      </c>
      <c r="U223" s="396">
        <v>38389</v>
      </c>
      <c r="V223" s="231"/>
      <c r="W223" s="396">
        <v>216700</v>
      </c>
      <c r="X223" s="396">
        <v>-76570</v>
      </c>
      <c r="Y223" s="396"/>
      <c r="Z223" s="396"/>
    </row>
    <row r="224" spans="1:26">
      <c r="A224" s="390">
        <v>92321</v>
      </c>
      <c r="B224" s="391" t="s">
        <v>933</v>
      </c>
      <c r="C224" s="234">
        <v>1.2914999999999999E-3</v>
      </c>
      <c r="D224" s="234">
        <v>1.3334E-3</v>
      </c>
      <c r="E224" s="231">
        <v>1980639</v>
      </c>
      <c r="F224" s="231" t="s">
        <v>1924</v>
      </c>
      <c r="G224" s="392">
        <v>630113</v>
      </c>
      <c r="H224" s="392">
        <v>0</v>
      </c>
      <c r="I224" s="392">
        <v>1244347</v>
      </c>
      <c r="J224" s="231">
        <v>116256</v>
      </c>
      <c r="K224" s="231">
        <v>1990716</v>
      </c>
      <c r="L224" s="231"/>
      <c r="M224" s="300">
        <v>0</v>
      </c>
      <c r="N224" s="300">
        <v>2829738</v>
      </c>
      <c r="O224" s="300">
        <v>0</v>
      </c>
      <c r="P224" s="231">
        <v>87290</v>
      </c>
      <c r="Q224" s="231">
        <v>2917028</v>
      </c>
      <c r="R224" s="231"/>
      <c r="S224" s="392">
        <v>854511</v>
      </c>
      <c r="T224" s="231">
        <v>28446</v>
      </c>
      <c r="U224" s="396">
        <v>882957</v>
      </c>
      <c r="V224" s="231"/>
      <c r="W224" s="396">
        <v>7688677</v>
      </c>
      <c r="X224" s="396">
        <v>-2716770</v>
      </c>
      <c r="Y224" s="396"/>
      <c r="Z224" s="396"/>
    </row>
    <row r="225" spans="1:26">
      <c r="A225" s="390">
        <v>92327</v>
      </c>
      <c r="B225" s="391" t="s">
        <v>934</v>
      </c>
      <c r="C225" s="234">
        <v>6.8000000000000001E-6</v>
      </c>
      <c r="D225" s="234">
        <v>6.2999999999999998E-6</v>
      </c>
      <c r="E225" s="231">
        <v>10428</v>
      </c>
      <c r="F225" s="231" t="s">
        <v>1924</v>
      </c>
      <c r="G225" s="392">
        <v>3318</v>
      </c>
      <c r="H225" s="392">
        <v>0</v>
      </c>
      <c r="I225" s="392">
        <v>6552</v>
      </c>
      <c r="J225" s="231">
        <v>9721</v>
      </c>
      <c r="K225" s="231">
        <v>19591</v>
      </c>
      <c r="L225" s="231"/>
      <c r="M225" s="300">
        <v>0</v>
      </c>
      <c r="N225" s="300">
        <v>14899</v>
      </c>
      <c r="O225" s="300">
        <v>0</v>
      </c>
      <c r="P225" s="231">
        <v>0</v>
      </c>
      <c r="Q225" s="231">
        <v>14899</v>
      </c>
      <c r="R225" s="231"/>
      <c r="S225" s="392">
        <v>4499</v>
      </c>
      <c r="T225" s="231">
        <v>4821</v>
      </c>
      <c r="U225" s="396">
        <v>9320</v>
      </c>
      <c r="V225" s="231"/>
      <c r="W225" s="396">
        <v>40482</v>
      </c>
      <c r="X225" s="396">
        <v>-14304</v>
      </c>
      <c r="Y225" s="396"/>
      <c r="Z225" s="396"/>
    </row>
    <row r="226" spans="1:26">
      <c r="A226" s="390">
        <v>92331</v>
      </c>
      <c r="B226" s="391" t="s">
        <v>935</v>
      </c>
      <c r="C226" s="234">
        <v>1.6119999999999999E-4</v>
      </c>
      <c r="D226" s="234">
        <v>1.381E-4</v>
      </c>
      <c r="E226" s="231">
        <v>247216</v>
      </c>
      <c r="F226" s="231" t="s">
        <v>1924</v>
      </c>
      <c r="G226" s="392">
        <v>78648</v>
      </c>
      <c r="H226" s="392">
        <v>0</v>
      </c>
      <c r="I226" s="392">
        <v>155315</v>
      </c>
      <c r="J226" s="231">
        <v>58414</v>
      </c>
      <c r="K226" s="231">
        <v>292377</v>
      </c>
      <c r="L226" s="231"/>
      <c r="M226" s="300">
        <v>0</v>
      </c>
      <c r="N226" s="300">
        <v>353197</v>
      </c>
      <c r="O226" s="300">
        <v>0</v>
      </c>
      <c r="P226" s="231">
        <v>1091</v>
      </c>
      <c r="Q226" s="231">
        <v>354288</v>
      </c>
      <c r="R226" s="231"/>
      <c r="S226" s="392">
        <v>106657</v>
      </c>
      <c r="T226" s="231">
        <v>20503</v>
      </c>
      <c r="U226" s="396">
        <v>127160</v>
      </c>
      <c r="V226" s="231"/>
      <c r="W226" s="396">
        <v>959671</v>
      </c>
      <c r="X226" s="396">
        <v>-339097</v>
      </c>
      <c r="Y226" s="396"/>
      <c r="Z226" s="396"/>
    </row>
    <row r="227" spans="1:26">
      <c r="A227" s="390">
        <v>92341</v>
      </c>
      <c r="B227" s="391" t="s">
        <v>936</v>
      </c>
      <c r="C227" s="234">
        <v>7.9999999999999996E-6</v>
      </c>
      <c r="D227" s="234">
        <v>7.7999999999999999E-6</v>
      </c>
      <c r="E227" s="231">
        <v>12269</v>
      </c>
      <c r="F227" s="231" t="s">
        <v>1924</v>
      </c>
      <c r="G227" s="392">
        <v>3903</v>
      </c>
      <c r="H227" s="392">
        <v>0</v>
      </c>
      <c r="I227" s="392">
        <v>7708</v>
      </c>
      <c r="J227" s="231">
        <v>0</v>
      </c>
      <c r="K227" s="231">
        <v>11611</v>
      </c>
      <c r="L227" s="231"/>
      <c r="M227" s="300">
        <v>0</v>
      </c>
      <c r="N227" s="300">
        <v>17528</v>
      </c>
      <c r="O227" s="300">
        <v>0</v>
      </c>
      <c r="P227" s="231">
        <v>2727</v>
      </c>
      <c r="Q227" s="231">
        <v>20255</v>
      </c>
      <c r="R227" s="231"/>
      <c r="S227" s="392">
        <v>5293</v>
      </c>
      <c r="T227" s="231">
        <v>-1391</v>
      </c>
      <c r="U227" s="396">
        <v>3902</v>
      </c>
      <c r="V227" s="231"/>
      <c r="W227" s="396">
        <v>47626</v>
      </c>
      <c r="X227" s="396">
        <v>-16829</v>
      </c>
      <c r="Y227" s="396"/>
      <c r="Z227" s="396"/>
    </row>
    <row r="228" spans="1:26">
      <c r="A228" s="390">
        <v>92351</v>
      </c>
      <c r="B228" s="391" t="s">
        <v>937</v>
      </c>
      <c r="C228" s="234">
        <v>2.55E-5</v>
      </c>
      <c r="D228" s="234">
        <v>2.48E-5</v>
      </c>
      <c r="E228" s="231">
        <v>39107</v>
      </c>
      <c r="F228" s="231" t="s">
        <v>1924</v>
      </c>
      <c r="G228" s="392">
        <v>12441</v>
      </c>
      <c r="H228" s="392">
        <v>0</v>
      </c>
      <c r="I228" s="392">
        <v>24569</v>
      </c>
      <c r="J228" s="231">
        <v>8716</v>
      </c>
      <c r="K228" s="231">
        <v>45726</v>
      </c>
      <c r="L228" s="231"/>
      <c r="M228" s="300">
        <v>0</v>
      </c>
      <c r="N228" s="300">
        <v>55872</v>
      </c>
      <c r="O228" s="300">
        <v>0</v>
      </c>
      <c r="P228" s="231">
        <v>362</v>
      </c>
      <c r="Q228" s="231">
        <v>56234</v>
      </c>
      <c r="R228" s="231"/>
      <c r="S228" s="392">
        <v>16872</v>
      </c>
      <c r="T228" s="231">
        <v>4445</v>
      </c>
      <c r="U228" s="396">
        <v>21317</v>
      </c>
      <c r="V228" s="231"/>
      <c r="W228" s="396">
        <v>151809</v>
      </c>
      <c r="X228" s="396">
        <v>-53641</v>
      </c>
      <c r="Y228" s="396"/>
      <c r="Z228" s="396"/>
    </row>
    <row r="229" spans="1:26">
      <c r="A229" s="390">
        <v>92401</v>
      </c>
      <c r="B229" s="391" t="s">
        <v>938</v>
      </c>
      <c r="C229" s="234">
        <v>2.5695000000000002E-3</v>
      </c>
      <c r="D229" s="234">
        <v>2.5820999999999999E-3</v>
      </c>
      <c r="E229" s="231">
        <v>3940575</v>
      </c>
      <c r="F229" s="231" t="s">
        <v>1924</v>
      </c>
      <c r="G229" s="392">
        <v>1253638</v>
      </c>
      <c r="H229" s="392">
        <v>0</v>
      </c>
      <c r="I229" s="392">
        <v>2475688</v>
      </c>
      <c r="J229" s="231">
        <v>181138</v>
      </c>
      <c r="K229" s="231">
        <v>3910464</v>
      </c>
      <c r="L229" s="231"/>
      <c r="M229" s="300">
        <v>0</v>
      </c>
      <c r="N229" s="300">
        <v>5629898</v>
      </c>
      <c r="O229" s="300">
        <v>0</v>
      </c>
      <c r="P229" s="231">
        <v>58506</v>
      </c>
      <c r="Q229" s="231">
        <v>5688404</v>
      </c>
      <c r="R229" s="231"/>
      <c r="S229" s="392">
        <v>1700089</v>
      </c>
      <c r="T229" s="231">
        <v>46993</v>
      </c>
      <c r="U229" s="396">
        <v>1747082</v>
      </c>
      <c r="V229" s="231"/>
      <c r="W229" s="396">
        <v>15296984</v>
      </c>
      <c r="X229" s="396">
        <v>-5405141</v>
      </c>
      <c r="Y229" s="396"/>
      <c r="Z229" s="396"/>
    </row>
    <row r="230" spans="1:26">
      <c r="A230" s="390">
        <v>92403</v>
      </c>
      <c r="B230" s="391" t="s">
        <v>939</v>
      </c>
      <c r="C230" s="234">
        <v>1.45E-5</v>
      </c>
      <c r="D230" s="234">
        <v>8.3000000000000002E-6</v>
      </c>
      <c r="E230" s="231">
        <v>22237</v>
      </c>
      <c r="F230" s="231" t="s">
        <v>1924</v>
      </c>
      <c r="G230" s="392">
        <v>7074</v>
      </c>
      <c r="H230" s="392">
        <v>0</v>
      </c>
      <c r="I230" s="392">
        <v>13971</v>
      </c>
      <c r="J230" s="231">
        <v>15712</v>
      </c>
      <c r="K230" s="231">
        <v>36757</v>
      </c>
      <c r="L230" s="231"/>
      <c r="M230" s="300">
        <v>0</v>
      </c>
      <c r="N230" s="300">
        <v>31770</v>
      </c>
      <c r="O230" s="300">
        <v>0</v>
      </c>
      <c r="P230" s="231">
        <v>0</v>
      </c>
      <c r="Q230" s="231">
        <v>31770</v>
      </c>
      <c r="R230" s="231"/>
      <c r="S230" s="392">
        <v>9594</v>
      </c>
      <c r="T230" s="231">
        <v>5973</v>
      </c>
      <c r="U230" s="396">
        <v>15567</v>
      </c>
      <c r="V230" s="231"/>
      <c r="W230" s="396">
        <v>86323</v>
      </c>
      <c r="X230" s="396">
        <v>-30502</v>
      </c>
      <c r="Y230" s="396"/>
      <c r="Z230" s="396"/>
    </row>
    <row r="231" spans="1:26">
      <c r="A231" s="390">
        <v>92411</v>
      </c>
      <c r="B231" s="391" t="s">
        <v>940</v>
      </c>
      <c r="C231" s="234">
        <v>4.5340000000000002E-4</v>
      </c>
      <c r="D231" s="234">
        <v>4.8109999999999998E-4</v>
      </c>
      <c r="E231" s="231">
        <v>695332</v>
      </c>
      <c r="F231" s="231" t="s">
        <v>1924</v>
      </c>
      <c r="G231" s="392">
        <v>221210</v>
      </c>
      <c r="H231" s="392">
        <v>0</v>
      </c>
      <c r="I231" s="392">
        <v>436846</v>
      </c>
      <c r="J231" s="231">
        <v>17494</v>
      </c>
      <c r="K231" s="231">
        <v>675550</v>
      </c>
      <c r="L231" s="231"/>
      <c r="M231" s="300">
        <v>0</v>
      </c>
      <c r="N231" s="300">
        <v>993421</v>
      </c>
      <c r="O231" s="300">
        <v>0</v>
      </c>
      <c r="P231" s="231">
        <v>65275</v>
      </c>
      <c r="Q231" s="231">
        <v>1058696</v>
      </c>
      <c r="R231" s="231"/>
      <c r="S231" s="392">
        <v>299988</v>
      </c>
      <c r="T231" s="231">
        <v>-22259</v>
      </c>
      <c r="U231" s="396">
        <v>277729</v>
      </c>
      <c r="V231" s="231"/>
      <c r="W231" s="396">
        <v>2699223</v>
      </c>
      <c r="X231" s="396">
        <v>-953762</v>
      </c>
      <c r="Y231" s="396"/>
      <c r="Z231" s="396"/>
    </row>
    <row r="232" spans="1:26">
      <c r="A232" s="390">
        <v>92414</v>
      </c>
      <c r="B232" s="391" t="s">
        <v>70</v>
      </c>
      <c r="C232" s="234">
        <v>0</v>
      </c>
      <c r="D232" s="234">
        <v>0</v>
      </c>
      <c r="E232" s="231">
        <v>0</v>
      </c>
      <c r="F232" s="231"/>
      <c r="G232" s="231">
        <v>0</v>
      </c>
      <c r="H232" s="231">
        <v>0</v>
      </c>
      <c r="I232" s="231">
        <v>0</v>
      </c>
      <c r="J232" s="231">
        <v>0</v>
      </c>
      <c r="K232" s="231">
        <v>0</v>
      </c>
      <c r="L232" s="231">
        <v>0</v>
      </c>
      <c r="M232" s="231">
        <v>0</v>
      </c>
      <c r="N232" s="231">
        <v>0</v>
      </c>
      <c r="O232" s="231">
        <v>0</v>
      </c>
      <c r="P232" s="231">
        <v>0</v>
      </c>
      <c r="Q232" s="231">
        <v>0</v>
      </c>
      <c r="R232" s="231">
        <v>0</v>
      </c>
      <c r="S232" s="231">
        <v>0</v>
      </c>
      <c r="T232" s="231">
        <v>0</v>
      </c>
      <c r="U232" s="231">
        <v>0</v>
      </c>
      <c r="V232" s="231">
        <v>0</v>
      </c>
      <c r="W232" s="231">
        <v>0</v>
      </c>
      <c r="X232" s="231">
        <v>0</v>
      </c>
      <c r="Y232" s="396"/>
      <c r="Z232" s="396"/>
    </row>
    <row r="233" spans="1:26">
      <c r="A233" s="390">
        <v>92417</v>
      </c>
      <c r="B233" s="391" t="s">
        <v>941</v>
      </c>
      <c r="C233" s="234">
        <v>7.9999999999999996E-6</v>
      </c>
      <c r="D233" s="234">
        <v>1.15E-5</v>
      </c>
      <c r="E233" s="231">
        <v>12269</v>
      </c>
      <c r="F233" s="231" t="s">
        <v>1924</v>
      </c>
      <c r="G233" s="392">
        <v>3903</v>
      </c>
      <c r="H233" s="392">
        <v>0</v>
      </c>
      <c r="I233" s="392">
        <v>7708</v>
      </c>
      <c r="J233" s="231">
        <v>0</v>
      </c>
      <c r="K233" s="231">
        <v>11611</v>
      </c>
      <c r="L233" s="231"/>
      <c r="M233" s="300">
        <v>0</v>
      </c>
      <c r="N233" s="300">
        <v>17528</v>
      </c>
      <c r="O233" s="300">
        <v>0</v>
      </c>
      <c r="P233" s="231">
        <v>14529</v>
      </c>
      <c r="Q233" s="231">
        <v>32057</v>
      </c>
      <c r="R233" s="231"/>
      <c r="S233" s="392">
        <v>5293</v>
      </c>
      <c r="T233" s="231">
        <v>-6744</v>
      </c>
      <c r="U233" s="396">
        <v>-1451</v>
      </c>
      <c r="V233" s="231"/>
      <c r="W233" s="396">
        <v>47626</v>
      </c>
      <c r="X233" s="396">
        <v>-16829</v>
      </c>
      <c r="Y233" s="396"/>
      <c r="Z233" s="396"/>
    </row>
    <row r="234" spans="1:26">
      <c r="A234" s="390">
        <v>92421</v>
      </c>
      <c r="B234" s="391" t="s">
        <v>942</v>
      </c>
      <c r="C234" s="234">
        <v>1.45E-5</v>
      </c>
      <c r="D234" s="234">
        <v>1.7900000000000001E-5</v>
      </c>
      <c r="E234" s="231">
        <v>22237</v>
      </c>
      <c r="F234" s="231" t="s">
        <v>1924</v>
      </c>
      <c r="G234" s="392">
        <v>7074</v>
      </c>
      <c r="H234" s="392">
        <v>0</v>
      </c>
      <c r="I234" s="392">
        <v>13971</v>
      </c>
      <c r="J234" s="231">
        <v>5007</v>
      </c>
      <c r="K234" s="231">
        <v>26052</v>
      </c>
      <c r="L234" s="231"/>
      <c r="M234" s="300">
        <v>0</v>
      </c>
      <c r="N234" s="300">
        <v>31770</v>
      </c>
      <c r="O234" s="300">
        <v>0</v>
      </c>
      <c r="P234" s="231">
        <v>4654</v>
      </c>
      <c r="Q234" s="231">
        <v>36424</v>
      </c>
      <c r="R234" s="231"/>
      <c r="S234" s="392">
        <v>9594</v>
      </c>
      <c r="T234" s="231">
        <v>2126</v>
      </c>
      <c r="U234" s="396">
        <v>11720</v>
      </c>
      <c r="V234" s="231"/>
      <c r="W234" s="396">
        <v>86323</v>
      </c>
      <c r="X234" s="396">
        <v>-30502</v>
      </c>
      <c r="Y234" s="396"/>
      <c r="Z234" s="396"/>
    </row>
    <row r="235" spans="1:26">
      <c r="A235" s="390">
        <v>92427</v>
      </c>
      <c r="B235" s="391" t="s">
        <v>943</v>
      </c>
      <c r="C235" s="234">
        <v>1.7E-6</v>
      </c>
      <c r="D235" s="234">
        <v>1.7E-6</v>
      </c>
      <c r="E235" s="231">
        <v>2607</v>
      </c>
      <c r="F235" s="231" t="s">
        <v>1924</v>
      </c>
      <c r="G235" s="392">
        <v>829</v>
      </c>
      <c r="H235" s="392">
        <v>0</v>
      </c>
      <c r="I235" s="392">
        <v>1638</v>
      </c>
      <c r="J235" s="231">
        <v>1849</v>
      </c>
      <c r="K235" s="231">
        <v>4316</v>
      </c>
      <c r="L235" s="231"/>
      <c r="M235" s="300">
        <v>0</v>
      </c>
      <c r="N235" s="300">
        <v>3725</v>
      </c>
      <c r="O235" s="300">
        <v>0</v>
      </c>
      <c r="P235" s="231">
        <v>0</v>
      </c>
      <c r="Q235" s="231">
        <v>3725</v>
      </c>
      <c r="R235" s="231"/>
      <c r="S235" s="392">
        <v>1125</v>
      </c>
      <c r="T235" s="231">
        <v>1208</v>
      </c>
      <c r="U235" s="396">
        <v>2333</v>
      </c>
      <c r="V235" s="231"/>
      <c r="W235" s="396">
        <v>10121</v>
      </c>
      <c r="X235" s="396">
        <v>-3576</v>
      </c>
      <c r="Y235" s="396"/>
      <c r="Z235" s="396"/>
    </row>
    <row r="236" spans="1:26" ht="14.25" customHeight="1">
      <c r="A236" s="390">
        <v>92431</v>
      </c>
      <c r="B236" s="391" t="s">
        <v>944</v>
      </c>
      <c r="C236" s="234">
        <v>1.6500000000000001E-5</v>
      </c>
      <c r="D236" s="234">
        <v>2.34E-5</v>
      </c>
      <c r="E236" s="231">
        <v>25304</v>
      </c>
      <c r="F236" s="231" t="s">
        <v>1924</v>
      </c>
      <c r="G236" s="392">
        <v>8050</v>
      </c>
      <c r="H236" s="392">
        <v>0</v>
      </c>
      <c r="I236" s="392">
        <v>15898</v>
      </c>
      <c r="J236" s="231">
        <v>4071</v>
      </c>
      <c r="K236" s="231">
        <v>28019</v>
      </c>
      <c r="L236" s="231"/>
      <c r="M236" s="300">
        <v>0</v>
      </c>
      <c r="N236" s="300">
        <v>36152</v>
      </c>
      <c r="O236" s="300">
        <v>0</v>
      </c>
      <c r="P236" s="231">
        <v>3046</v>
      </c>
      <c r="Q236" s="231">
        <v>39198</v>
      </c>
      <c r="R236" s="231"/>
      <c r="S236" s="392">
        <v>10917</v>
      </c>
      <c r="T236" s="231">
        <v>4464</v>
      </c>
      <c r="U236" s="396">
        <v>15381</v>
      </c>
      <c r="V236" s="231"/>
      <c r="W236" s="396">
        <v>98229</v>
      </c>
      <c r="X236" s="396">
        <v>-34709</v>
      </c>
      <c r="Y236" s="396"/>
      <c r="Z236" s="396"/>
    </row>
    <row r="237" spans="1:26">
      <c r="A237" s="390">
        <v>92441</v>
      </c>
      <c r="B237" s="391" t="s">
        <v>945</v>
      </c>
      <c r="C237" s="234">
        <v>1.004E-4</v>
      </c>
      <c r="D237" s="234">
        <v>1.054E-4</v>
      </c>
      <c r="E237" s="231">
        <v>153973</v>
      </c>
      <c r="F237" s="231" t="s">
        <v>1924</v>
      </c>
      <c r="G237" s="392">
        <v>48984</v>
      </c>
      <c r="H237" s="392">
        <v>0</v>
      </c>
      <c r="I237" s="392">
        <v>96734</v>
      </c>
      <c r="J237" s="231">
        <v>17613</v>
      </c>
      <c r="K237" s="231">
        <v>163331</v>
      </c>
      <c r="L237" s="231"/>
      <c r="M237" s="300">
        <v>0</v>
      </c>
      <c r="N237" s="300">
        <v>219981</v>
      </c>
      <c r="O237" s="300">
        <v>0</v>
      </c>
      <c r="P237" s="231">
        <v>19126</v>
      </c>
      <c r="Q237" s="231">
        <v>239107</v>
      </c>
      <c r="R237" s="231"/>
      <c r="S237" s="392">
        <v>66429</v>
      </c>
      <c r="T237" s="231">
        <v>1357</v>
      </c>
      <c r="U237" s="396">
        <v>67786</v>
      </c>
      <c r="V237" s="231"/>
      <c r="W237" s="396">
        <v>597711</v>
      </c>
      <c r="X237" s="396">
        <v>-211199</v>
      </c>
      <c r="Y237" s="396"/>
      <c r="Z237" s="396"/>
    </row>
    <row r="238" spans="1:26">
      <c r="A238" s="390">
        <v>92444</v>
      </c>
      <c r="B238" s="391" t="s">
        <v>946</v>
      </c>
      <c r="C238" s="234">
        <v>9.2E-6</v>
      </c>
      <c r="D238" s="234">
        <v>5.2000000000000002E-6</v>
      </c>
      <c r="E238" s="231">
        <v>14109</v>
      </c>
      <c r="F238" s="231" t="s">
        <v>1924</v>
      </c>
      <c r="G238" s="392">
        <v>4489</v>
      </c>
      <c r="H238" s="392">
        <v>0</v>
      </c>
      <c r="I238" s="392">
        <v>8864</v>
      </c>
      <c r="J238" s="231">
        <v>10679</v>
      </c>
      <c r="K238" s="231">
        <v>24032</v>
      </c>
      <c r="L238" s="231"/>
      <c r="M238" s="300">
        <v>0</v>
      </c>
      <c r="N238" s="300">
        <v>20158</v>
      </c>
      <c r="O238" s="300">
        <v>0</v>
      </c>
      <c r="P238" s="231">
        <v>0</v>
      </c>
      <c r="Q238" s="231">
        <v>20158</v>
      </c>
      <c r="R238" s="231"/>
      <c r="S238" s="392">
        <v>6087</v>
      </c>
      <c r="T238" s="231">
        <v>4615</v>
      </c>
      <c r="U238" s="396">
        <v>10702</v>
      </c>
      <c r="V238" s="231"/>
      <c r="W238" s="396">
        <v>54770</v>
      </c>
      <c r="X238" s="396">
        <v>-19353</v>
      </c>
      <c r="Y238" s="396"/>
      <c r="Z238" s="396"/>
    </row>
    <row r="239" spans="1:26">
      <c r="A239" s="390">
        <v>92451</v>
      </c>
      <c r="B239" s="391" t="s">
        <v>947</v>
      </c>
      <c r="C239" s="234">
        <v>1.044E-4</v>
      </c>
      <c r="D239" s="234">
        <v>1.049E-4</v>
      </c>
      <c r="E239" s="231">
        <v>160107</v>
      </c>
      <c r="F239" s="231" t="s">
        <v>1924</v>
      </c>
      <c r="G239" s="392">
        <v>50936</v>
      </c>
      <c r="H239" s="392">
        <v>0</v>
      </c>
      <c r="I239" s="392">
        <v>100588</v>
      </c>
      <c r="J239" s="231">
        <v>36056</v>
      </c>
      <c r="K239" s="231">
        <v>187580</v>
      </c>
      <c r="L239" s="231"/>
      <c r="M239" s="300">
        <v>0</v>
      </c>
      <c r="N239" s="300">
        <v>228745</v>
      </c>
      <c r="O239" s="300">
        <v>0</v>
      </c>
      <c r="P239" s="231">
        <v>0</v>
      </c>
      <c r="Q239" s="231">
        <v>228745</v>
      </c>
      <c r="R239" s="231"/>
      <c r="S239" s="392">
        <v>69075</v>
      </c>
      <c r="T239" s="231">
        <v>16829</v>
      </c>
      <c r="U239" s="396">
        <v>85904</v>
      </c>
      <c r="V239" s="231"/>
      <c r="W239" s="396">
        <v>621524</v>
      </c>
      <c r="X239" s="396">
        <v>-219613</v>
      </c>
      <c r="Y239" s="396"/>
      <c r="Z239" s="396"/>
    </row>
    <row r="240" spans="1:26">
      <c r="A240" s="390">
        <v>92461</v>
      </c>
      <c r="B240" s="391" t="s">
        <v>948</v>
      </c>
      <c r="C240" s="234">
        <v>8.1699999999999994E-5</v>
      </c>
      <c r="D240" s="234">
        <v>5.3300000000000001E-5</v>
      </c>
      <c r="E240" s="231">
        <v>125295</v>
      </c>
      <c r="F240" s="231" t="s">
        <v>1924</v>
      </c>
      <c r="G240" s="392">
        <v>39861</v>
      </c>
      <c r="H240" s="392">
        <v>0</v>
      </c>
      <c r="I240" s="392">
        <v>78717</v>
      </c>
      <c r="J240" s="231">
        <v>57053</v>
      </c>
      <c r="K240" s="231">
        <v>175631</v>
      </c>
      <c r="L240" s="231"/>
      <c r="M240" s="300">
        <v>0</v>
      </c>
      <c r="N240" s="300">
        <v>179009</v>
      </c>
      <c r="O240" s="300">
        <v>0</v>
      </c>
      <c r="P240" s="231">
        <v>0</v>
      </c>
      <c r="Q240" s="231">
        <v>179009</v>
      </c>
      <c r="R240" s="231"/>
      <c r="S240" s="392">
        <v>54056</v>
      </c>
      <c r="T240" s="231">
        <v>21966</v>
      </c>
      <c r="U240" s="396">
        <v>76022</v>
      </c>
      <c r="V240" s="231"/>
      <c r="W240" s="396">
        <v>486384</v>
      </c>
      <c r="X240" s="396">
        <v>-171862</v>
      </c>
      <c r="Y240" s="396"/>
      <c r="Z240" s="396"/>
    </row>
    <row r="241" spans="1:26">
      <c r="A241" s="390">
        <v>92501</v>
      </c>
      <c r="B241" s="391" t="s">
        <v>949</v>
      </c>
      <c r="C241" s="234">
        <v>3.9338999999999997E-3</v>
      </c>
      <c r="D241" s="234">
        <v>4.0159999999999996E-3</v>
      </c>
      <c r="E241" s="231">
        <v>6033013</v>
      </c>
      <c r="F241" s="231" t="s">
        <v>1924</v>
      </c>
      <c r="G241" s="392">
        <v>1919318</v>
      </c>
      <c r="H241" s="392">
        <v>0</v>
      </c>
      <c r="I241" s="392">
        <v>3790273</v>
      </c>
      <c r="J241" s="231">
        <v>429923</v>
      </c>
      <c r="K241" s="231">
        <v>6139514</v>
      </c>
      <c r="L241" s="231"/>
      <c r="M241" s="300">
        <v>0</v>
      </c>
      <c r="N241" s="300">
        <v>8619364</v>
      </c>
      <c r="O241" s="300">
        <v>0</v>
      </c>
      <c r="P241" s="231">
        <v>59545</v>
      </c>
      <c r="Q241" s="231">
        <v>8678909</v>
      </c>
      <c r="R241" s="231"/>
      <c r="S241" s="392">
        <v>2602833</v>
      </c>
      <c r="T241" s="231">
        <v>230856</v>
      </c>
      <c r="U241" s="396">
        <v>2833689</v>
      </c>
      <c r="V241" s="231"/>
      <c r="W241" s="396">
        <v>23419655</v>
      </c>
      <c r="X241" s="396">
        <v>-8275262</v>
      </c>
      <c r="Y241" s="396"/>
      <c r="Z241" s="396"/>
    </row>
    <row r="242" spans="1:26">
      <c r="A242" s="390">
        <v>92502</v>
      </c>
      <c r="B242" s="391" t="s">
        <v>950</v>
      </c>
      <c r="C242" s="234">
        <v>2.1100000000000001E-5</v>
      </c>
      <c r="D242" s="234">
        <v>2.1299999999999999E-5</v>
      </c>
      <c r="E242" s="231">
        <v>32359</v>
      </c>
      <c r="F242" s="231" t="s">
        <v>1924</v>
      </c>
      <c r="G242" s="392">
        <v>10295</v>
      </c>
      <c r="H242" s="392">
        <v>0</v>
      </c>
      <c r="I242" s="392">
        <v>20330</v>
      </c>
      <c r="J242" s="231">
        <v>6791</v>
      </c>
      <c r="K242" s="231">
        <v>37416</v>
      </c>
      <c r="L242" s="231"/>
      <c r="M242" s="300">
        <v>0</v>
      </c>
      <c r="N242" s="300">
        <v>46231</v>
      </c>
      <c r="O242" s="300">
        <v>0</v>
      </c>
      <c r="P242" s="231">
        <v>0</v>
      </c>
      <c r="Q242" s="231">
        <v>46231</v>
      </c>
      <c r="R242" s="231"/>
      <c r="S242" s="392">
        <v>13961</v>
      </c>
      <c r="T242" s="231">
        <v>2656</v>
      </c>
      <c r="U242" s="396">
        <v>16617</v>
      </c>
      <c r="V242" s="231"/>
      <c r="W242" s="396">
        <v>125614</v>
      </c>
      <c r="X242" s="396">
        <v>-44385</v>
      </c>
      <c r="Y242" s="396"/>
      <c r="Z242" s="396"/>
    </row>
    <row r="243" spans="1:26">
      <c r="A243" s="390">
        <v>92504</v>
      </c>
      <c r="B243" s="391" t="s">
        <v>951</v>
      </c>
      <c r="C243" s="234">
        <v>9.1100000000000005E-5</v>
      </c>
      <c r="D243" s="234">
        <v>9.0799999999999998E-5</v>
      </c>
      <c r="E243" s="231">
        <v>139711</v>
      </c>
      <c r="F243" s="231" t="s">
        <v>1924</v>
      </c>
      <c r="G243" s="392">
        <v>44447</v>
      </c>
      <c r="H243" s="392">
        <v>0</v>
      </c>
      <c r="I243" s="392">
        <v>87774</v>
      </c>
      <c r="J243" s="231">
        <v>34173</v>
      </c>
      <c r="K243" s="231">
        <v>166394</v>
      </c>
      <c r="L243" s="231"/>
      <c r="M243" s="300">
        <v>0</v>
      </c>
      <c r="N243" s="300">
        <v>199604</v>
      </c>
      <c r="O243" s="300">
        <v>0</v>
      </c>
      <c r="P243" s="231">
        <v>0</v>
      </c>
      <c r="Q243" s="231">
        <v>199604</v>
      </c>
      <c r="R243" s="231"/>
      <c r="S243" s="392">
        <v>60276</v>
      </c>
      <c r="T243" s="231">
        <v>20266</v>
      </c>
      <c r="U243" s="396">
        <v>80542</v>
      </c>
      <c r="V243" s="231"/>
      <c r="W243" s="396">
        <v>542345</v>
      </c>
      <c r="X243" s="396">
        <v>-191636</v>
      </c>
      <c r="Y243" s="396"/>
      <c r="Z243" s="396"/>
    </row>
    <row r="244" spans="1:26">
      <c r="A244" s="390">
        <v>92505</v>
      </c>
      <c r="B244" s="391" t="s">
        <v>952</v>
      </c>
      <c r="C244" s="234">
        <v>9.9099999999999996E-5</v>
      </c>
      <c r="D244" s="234">
        <v>1.674E-4</v>
      </c>
      <c r="E244" s="231">
        <v>151979</v>
      </c>
      <c r="F244" s="231" t="s">
        <v>1924</v>
      </c>
      <c r="G244" s="392">
        <v>48350</v>
      </c>
      <c r="H244" s="392">
        <v>0</v>
      </c>
      <c r="I244" s="392">
        <v>95482</v>
      </c>
      <c r="J244" s="231">
        <v>44239</v>
      </c>
      <c r="K244" s="231">
        <v>188071</v>
      </c>
      <c r="L244" s="231"/>
      <c r="M244" s="300">
        <v>0</v>
      </c>
      <c r="N244" s="300">
        <v>217133</v>
      </c>
      <c r="O244" s="300">
        <v>0</v>
      </c>
      <c r="P244" s="231">
        <v>110457</v>
      </c>
      <c r="Q244" s="231">
        <v>327590</v>
      </c>
      <c r="R244" s="231"/>
      <c r="S244" s="392">
        <v>65569</v>
      </c>
      <c r="T244" s="231">
        <v>-4649</v>
      </c>
      <c r="U244" s="396">
        <v>60920</v>
      </c>
      <c r="V244" s="231"/>
      <c r="W244" s="396">
        <v>589971</v>
      </c>
      <c r="X244" s="396">
        <v>-208464</v>
      </c>
      <c r="Y244" s="396"/>
      <c r="Z244" s="396"/>
    </row>
    <row r="245" spans="1:26">
      <c r="A245" s="390">
        <v>92506</v>
      </c>
      <c r="B245" s="391" t="s">
        <v>953</v>
      </c>
      <c r="C245" s="234">
        <v>6.4999999999999994E-5</v>
      </c>
      <c r="D245" s="234">
        <v>6.0600000000000003E-5</v>
      </c>
      <c r="E245" s="231">
        <v>99684</v>
      </c>
      <c r="F245" s="231" t="s">
        <v>1924</v>
      </c>
      <c r="G245" s="392">
        <v>31713</v>
      </c>
      <c r="H245" s="392">
        <v>0</v>
      </c>
      <c r="I245" s="392">
        <v>62627</v>
      </c>
      <c r="J245" s="231">
        <v>31242</v>
      </c>
      <c r="K245" s="231">
        <v>125582</v>
      </c>
      <c r="L245" s="231"/>
      <c r="M245" s="300">
        <v>0</v>
      </c>
      <c r="N245" s="300">
        <v>142418</v>
      </c>
      <c r="O245" s="300">
        <v>0</v>
      </c>
      <c r="P245" s="231">
        <v>667</v>
      </c>
      <c r="Q245" s="231">
        <v>143085</v>
      </c>
      <c r="R245" s="231"/>
      <c r="S245" s="392">
        <v>43007</v>
      </c>
      <c r="T245" s="231">
        <v>15727</v>
      </c>
      <c r="U245" s="396">
        <v>58734</v>
      </c>
      <c r="V245" s="231"/>
      <c r="W245" s="396">
        <v>386964</v>
      </c>
      <c r="X245" s="396">
        <v>-136733</v>
      </c>
      <c r="Y245" s="396"/>
      <c r="Z245" s="396"/>
    </row>
    <row r="246" spans="1:26">
      <c r="A246" s="390">
        <v>92507</v>
      </c>
      <c r="B246" s="391" t="s">
        <v>954</v>
      </c>
      <c r="C246" s="234">
        <v>1.033E-4</v>
      </c>
      <c r="D246" s="234">
        <v>9.0799999999999998E-5</v>
      </c>
      <c r="E246" s="231">
        <v>158420</v>
      </c>
      <c r="F246" s="231" t="s">
        <v>1924</v>
      </c>
      <c r="G246" s="392">
        <v>50399</v>
      </c>
      <c r="H246" s="392">
        <v>0</v>
      </c>
      <c r="I246" s="392">
        <v>99529</v>
      </c>
      <c r="J246" s="231">
        <v>18241</v>
      </c>
      <c r="K246" s="231">
        <v>168169</v>
      </c>
      <c r="L246" s="231"/>
      <c r="M246" s="300">
        <v>0</v>
      </c>
      <c r="N246" s="300">
        <v>226335</v>
      </c>
      <c r="O246" s="300">
        <v>0</v>
      </c>
      <c r="P246" s="231">
        <v>8952</v>
      </c>
      <c r="Q246" s="231">
        <v>235287</v>
      </c>
      <c r="R246" s="231"/>
      <c r="S246" s="392">
        <v>68348</v>
      </c>
      <c r="T246" s="231">
        <v>3355</v>
      </c>
      <c r="U246" s="396">
        <v>71703</v>
      </c>
      <c r="V246" s="231"/>
      <c r="W246" s="396">
        <v>614975</v>
      </c>
      <c r="X246" s="396">
        <v>-217300</v>
      </c>
      <c r="Y246" s="396"/>
      <c r="Z246" s="396"/>
    </row>
    <row r="247" spans="1:26">
      <c r="A247" s="390">
        <v>92508</v>
      </c>
      <c r="B247" s="391" t="s">
        <v>955</v>
      </c>
      <c r="C247" s="234">
        <v>2.809E-4</v>
      </c>
      <c r="D247" s="234">
        <v>3.057E-4</v>
      </c>
      <c r="E247" s="231">
        <v>430787</v>
      </c>
      <c r="F247" s="231" t="s">
        <v>1924</v>
      </c>
      <c r="G247" s="392">
        <v>137049</v>
      </c>
      <c r="H247" s="392">
        <v>0</v>
      </c>
      <c r="I247" s="392">
        <v>270644</v>
      </c>
      <c r="J247" s="231">
        <v>27988</v>
      </c>
      <c r="K247" s="231">
        <v>435681</v>
      </c>
      <c r="L247" s="231"/>
      <c r="M247" s="300">
        <v>0</v>
      </c>
      <c r="N247" s="300">
        <v>615465</v>
      </c>
      <c r="O247" s="300">
        <v>0</v>
      </c>
      <c r="P247" s="231">
        <v>14726</v>
      </c>
      <c r="Q247" s="231">
        <v>630191</v>
      </c>
      <c r="R247" s="231"/>
      <c r="S247" s="392">
        <v>185855</v>
      </c>
      <c r="T247" s="231">
        <v>10181</v>
      </c>
      <c r="U247" s="396">
        <v>196036</v>
      </c>
      <c r="V247" s="231"/>
      <c r="W247" s="396">
        <v>1672280</v>
      </c>
      <c r="X247" s="396">
        <v>-590895</v>
      </c>
      <c r="Y247" s="396"/>
      <c r="Z247" s="396"/>
    </row>
    <row r="248" spans="1:26">
      <c r="A248" s="390">
        <v>92509</v>
      </c>
      <c r="B248" s="391" t="s">
        <v>1614</v>
      </c>
      <c r="C248" s="234">
        <v>0</v>
      </c>
      <c r="D248" s="234">
        <v>0</v>
      </c>
      <c r="E248" s="231">
        <v>0</v>
      </c>
      <c r="F248" s="231">
        <v>0</v>
      </c>
      <c r="G248" s="392">
        <v>0</v>
      </c>
      <c r="H248" s="392">
        <v>0</v>
      </c>
      <c r="I248" s="392">
        <v>0</v>
      </c>
      <c r="J248" s="231">
        <v>0</v>
      </c>
      <c r="K248" s="231">
        <v>0</v>
      </c>
      <c r="L248" s="231">
        <v>0</v>
      </c>
      <c r="M248" s="300">
        <v>0</v>
      </c>
      <c r="N248" s="300">
        <v>0</v>
      </c>
      <c r="O248" s="300">
        <v>0</v>
      </c>
      <c r="P248" s="231">
        <v>0</v>
      </c>
      <c r="Q248" s="231">
        <v>0</v>
      </c>
      <c r="R248" s="231">
        <v>0</v>
      </c>
      <c r="S248" s="392">
        <v>0</v>
      </c>
      <c r="T248" s="231">
        <v>0</v>
      </c>
      <c r="U248" s="396">
        <v>0</v>
      </c>
      <c r="V248" s="231">
        <v>0</v>
      </c>
      <c r="W248" s="396">
        <v>0</v>
      </c>
      <c r="X248" s="396">
        <v>0</v>
      </c>
      <c r="Y248" s="396">
        <v>0</v>
      </c>
      <c r="Z248" s="396">
        <v>0</v>
      </c>
    </row>
    <row r="249" spans="1:26">
      <c r="A249" s="390">
        <v>92511</v>
      </c>
      <c r="B249" s="391" t="s">
        <v>956</v>
      </c>
      <c r="C249" s="234">
        <v>3.346E-3</v>
      </c>
      <c r="D249" s="234">
        <v>3.3302000000000002E-3</v>
      </c>
      <c r="E249" s="231">
        <v>5131412</v>
      </c>
      <c r="F249" s="231" t="s">
        <v>1924</v>
      </c>
      <c r="G249" s="392">
        <v>1632487</v>
      </c>
      <c r="H249" s="392">
        <v>0</v>
      </c>
      <c r="I249" s="392">
        <v>3223838</v>
      </c>
      <c r="J249" s="231">
        <v>89809</v>
      </c>
      <c r="K249" s="231">
        <v>4946134</v>
      </c>
      <c r="L249" s="231"/>
      <c r="M249" s="300">
        <v>0</v>
      </c>
      <c r="N249" s="300">
        <v>7331247</v>
      </c>
      <c r="O249" s="300">
        <v>0</v>
      </c>
      <c r="P249" s="231">
        <v>244283</v>
      </c>
      <c r="Q249" s="231">
        <v>7575530</v>
      </c>
      <c r="R249" s="231"/>
      <c r="S249" s="392">
        <v>2213854</v>
      </c>
      <c r="T249" s="231">
        <v>-84918</v>
      </c>
      <c r="U249" s="396">
        <v>2128936</v>
      </c>
      <c r="V249" s="231"/>
      <c r="W249" s="396">
        <v>19919715</v>
      </c>
      <c r="X249" s="396">
        <v>-7038569</v>
      </c>
      <c r="Y249" s="396"/>
      <c r="Z249" s="396"/>
    </row>
    <row r="250" spans="1:26">
      <c r="A250" s="390">
        <v>92513</v>
      </c>
      <c r="B250" s="391" t="s">
        <v>957</v>
      </c>
      <c r="C250" s="234">
        <v>4.0124000000000002E-3</v>
      </c>
      <c r="D250" s="234">
        <v>3.8999999999999998E-3</v>
      </c>
      <c r="E250" s="231">
        <v>6153401</v>
      </c>
      <c r="F250" s="231" t="s">
        <v>1924</v>
      </c>
      <c r="G250" s="392">
        <v>1957618</v>
      </c>
      <c r="H250" s="392">
        <v>0</v>
      </c>
      <c r="I250" s="392">
        <v>3865907</v>
      </c>
      <c r="J250" s="231">
        <v>84951</v>
      </c>
      <c r="K250" s="231">
        <v>5908476</v>
      </c>
      <c r="L250" s="231"/>
      <c r="M250" s="300">
        <v>0</v>
      </c>
      <c r="N250" s="300">
        <v>8791361</v>
      </c>
      <c r="O250" s="300">
        <v>0</v>
      </c>
      <c r="P250" s="231">
        <v>196279</v>
      </c>
      <c r="Q250" s="231">
        <v>8987640</v>
      </c>
      <c r="R250" s="231"/>
      <c r="S250" s="392">
        <v>2654772</v>
      </c>
      <c r="T250" s="231">
        <v>-122515</v>
      </c>
      <c r="U250" s="396">
        <v>2532257</v>
      </c>
      <c r="V250" s="231"/>
      <c r="W250" s="396">
        <v>23886989</v>
      </c>
      <c r="X250" s="396">
        <v>-8440392</v>
      </c>
      <c r="Y250" s="396"/>
      <c r="Z250" s="396"/>
    </row>
    <row r="251" spans="1:26">
      <c r="A251" s="390">
        <v>92521</v>
      </c>
      <c r="B251" s="391" t="s">
        <v>958</v>
      </c>
      <c r="C251" s="234">
        <v>6.9599999999999998E-5</v>
      </c>
      <c r="D251" s="234">
        <v>6.7100000000000005E-5</v>
      </c>
      <c r="E251" s="231">
        <v>106738</v>
      </c>
      <c r="F251" s="231" t="s">
        <v>1924</v>
      </c>
      <c r="G251" s="392">
        <v>33957</v>
      </c>
      <c r="H251" s="392">
        <v>0</v>
      </c>
      <c r="I251" s="392">
        <v>67059</v>
      </c>
      <c r="J251" s="231">
        <v>7734</v>
      </c>
      <c r="K251" s="231">
        <v>108750</v>
      </c>
      <c r="L251" s="231"/>
      <c r="M251" s="300">
        <v>0</v>
      </c>
      <c r="N251" s="300">
        <v>152497</v>
      </c>
      <c r="O251" s="300">
        <v>0</v>
      </c>
      <c r="P251" s="231">
        <v>9371</v>
      </c>
      <c r="Q251" s="231">
        <v>161868</v>
      </c>
      <c r="R251" s="231"/>
      <c r="S251" s="392">
        <v>46050</v>
      </c>
      <c r="T251" s="231">
        <v>-3316</v>
      </c>
      <c r="U251" s="396">
        <v>42734</v>
      </c>
      <c r="V251" s="231"/>
      <c r="W251" s="396">
        <v>414349</v>
      </c>
      <c r="X251" s="396">
        <v>-146409</v>
      </c>
      <c r="Y251" s="396"/>
      <c r="Z251" s="396"/>
    </row>
    <row r="252" spans="1:26">
      <c r="A252" s="390">
        <v>92531</v>
      </c>
      <c r="B252" s="391" t="s">
        <v>959</v>
      </c>
      <c r="C252" s="234">
        <v>7.8069999999999995E-4</v>
      </c>
      <c r="D252" s="234">
        <v>8.4690000000000004E-4</v>
      </c>
      <c r="E252" s="231">
        <v>1197278</v>
      </c>
      <c r="F252" s="231" t="s">
        <v>1924</v>
      </c>
      <c r="G252" s="392">
        <v>380897</v>
      </c>
      <c r="H252" s="392">
        <v>0</v>
      </c>
      <c r="I252" s="392">
        <v>752197</v>
      </c>
      <c r="J252" s="231">
        <v>0</v>
      </c>
      <c r="K252" s="231">
        <v>1133094</v>
      </c>
      <c r="L252" s="231"/>
      <c r="M252" s="300">
        <v>0</v>
      </c>
      <c r="N252" s="300">
        <v>1710551</v>
      </c>
      <c r="O252" s="300">
        <v>0</v>
      </c>
      <c r="P252" s="231">
        <v>164835</v>
      </c>
      <c r="Q252" s="231">
        <v>1875386</v>
      </c>
      <c r="R252" s="231"/>
      <c r="S252" s="392">
        <v>516544</v>
      </c>
      <c r="T252" s="231">
        <v>-69695</v>
      </c>
      <c r="U252" s="396">
        <v>446849</v>
      </c>
      <c r="V252" s="231"/>
      <c r="W252" s="396">
        <v>4647735</v>
      </c>
      <c r="X252" s="396">
        <v>-1642263</v>
      </c>
      <c r="Y252" s="396"/>
      <c r="Z252" s="396"/>
    </row>
    <row r="253" spans="1:26">
      <c r="A253" s="390">
        <v>92541</v>
      </c>
      <c r="B253" s="391" t="s">
        <v>960</v>
      </c>
      <c r="C253" s="234">
        <v>1.4630000000000001E-4</v>
      </c>
      <c r="D253" s="234">
        <v>1.462E-4</v>
      </c>
      <c r="E253" s="231">
        <v>224365</v>
      </c>
      <c r="F253" s="231" t="s">
        <v>1924</v>
      </c>
      <c r="G253" s="392">
        <v>71379</v>
      </c>
      <c r="H253" s="392">
        <v>0</v>
      </c>
      <c r="I253" s="392">
        <v>140959</v>
      </c>
      <c r="J253" s="231">
        <v>11638</v>
      </c>
      <c r="K253" s="231">
        <v>223976</v>
      </c>
      <c r="L253" s="231"/>
      <c r="M253" s="300">
        <v>0</v>
      </c>
      <c r="N253" s="300">
        <v>320550</v>
      </c>
      <c r="O253" s="300">
        <v>0</v>
      </c>
      <c r="P253" s="231">
        <v>5368</v>
      </c>
      <c r="Q253" s="231">
        <v>325918</v>
      </c>
      <c r="R253" s="231"/>
      <c r="S253" s="392">
        <v>96798</v>
      </c>
      <c r="T253" s="231">
        <v>315</v>
      </c>
      <c r="U253" s="396">
        <v>97113</v>
      </c>
      <c r="V253" s="231"/>
      <c r="W253" s="396">
        <v>870967</v>
      </c>
      <c r="X253" s="396">
        <v>-307753</v>
      </c>
      <c r="Y253" s="396"/>
      <c r="Z253" s="396"/>
    </row>
    <row r="254" spans="1:26">
      <c r="A254" s="390">
        <v>92551</v>
      </c>
      <c r="B254" s="391" t="s">
        <v>961</v>
      </c>
      <c r="C254" s="234">
        <v>6.2199999999999994E-5</v>
      </c>
      <c r="D254" s="234">
        <v>5.49E-5</v>
      </c>
      <c r="E254" s="231">
        <v>95390</v>
      </c>
      <c r="F254" s="231" t="s">
        <v>1924</v>
      </c>
      <c r="G254" s="392">
        <v>30347</v>
      </c>
      <c r="H254" s="392">
        <v>0</v>
      </c>
      <c r="I254" s="392">
        <v>59929</v>
      </c>
      <c r="J254" s="231">
        <v>8626</v>
      </c>
      <c r="K254" s="231">
        <v>98902</v>
      </c>
      <c r="L254" s="231"/>
      <c r="M254" s="300">
        <v>0</v>
      </c>
      <c r="N254" s="300">
        <v>136283</v>
      </c>
      <c r="O254" s="300">
        <v>0</v>
      </c>
      <c r="P254" s="231">
        <v>6188</v>
      </c>
      <c r="Q254" s="231">
        <v>142471</v>
      </c>
      <c r="R254" s="231"/>
      <c r="S254" s="392">
        <v>41154</v>
      </c>
      <c r="T254" s="231">
        <v>530</v>
      </c>
      <c r="U254" s="396">
        <v>41684</v>
      </c>
      <c r="V254" s="231"/>
      <c r="W254" s="396">
        <v>370295</v>
      </c>
      <c r="X254" s="396">
        <v>-130842</v>
      </c>
      <c r="Y254" s="396"/>
      <c r="Z254" s="396"/>
    </row>
    <row r="255" spans="1:26">
      <c r="A255" s="390">
        <v>92561</v>
      </c>
      <c r="B255" s="391" t="s">
        <v>962</v>
      </c>
      <c r="C255" s="234">
        <v>1.5699999999999999E-5</v>
      </c>
      <c r="D255" s="234">
        <v>1.2999999999999999E-5</v>
      </c>
      <c r="E255" s="231">
        <v>24077</v>
      </c>
      <c r="F255" s="231" t="s">
        <v>1924</v>
      </c>
      <c r="G255" s="392">
        <v>7660</v>
      </c>
      <c r="H255" s="392">
        <v>0</v>
      </c>
      <c r="I255" s="392">
        <v>15127</v>
      </c>
      <c r="J255" s="231">
        <v>7236</v>
      </c>
      <c r="K255" s="231">
        <v>30023</v>
      </c>
      <c r="L255" s="231"/>
      <c r="M255" s="300">
        <v>0</v>
      </c>
      <c r="N255" s="300">
        <v>34399</v>
      </c>
      <c r="O255" s="300">
        <v>0</v>
      </c>
      <c r="P255" s="231">
        <v>4460</v>
      </c>
      <c r="Q255" s="231">
        <v>38859</v>
      </c>
      <c r="R255" s="231"/>
      <c r="S255" s="392">
        <v>10388</v>
      </c>
      <c r="T255" s="231">
        <v>353</v>
      </c>
      <c r="U255" s="396">
        <v>10741</v>
      </c>
      <c r="V255" s="231"/>
      <c r="W255" s="396">
        <v>93467</v>
      </c>
      <c r="X255" s="396">
        <v>-33026</v>
      </c>
      <c r="Y255" s="396"/>
      <c r="Z255" s="396"/>
    </row>
    <row r="256" spans="1:26">
      <c r="A256" s="390">
        <v>92571</v>
      </c>
      <c r="B256" s="391" t="s">
        <v>963</v>
      </c>
      <c r="C256" s="234">
        <v>5.3000000000000001E-6</v>
      </c>
      <c r="D256" s="234">
        <v>4.4000000000000002E-6</v>
      </c>
      <c r="E256" s="231">
        <v>8128</v>
      </c>
      <c r="F256" s="231" t="s">
        <v>1924</v>
      </c>
      <c r="G256" s="392">
        <v>2586</v>
      </c>
      <c r="H256" s="392">
        <v>0</v>
      </c>
      <c r="I256" s="392">
        <v>5106</v>
      </c>
      <c r="J256" s="231">
        <v>3434</v>
      </c>
      <c r="K256" s="231">
        <v>11126</v>
      </c>
      <c r="L256" s="231"/>
      <c r="M256" s="300">
        <v>0</v>
      </c>
      <c r="N256" s="300">
        <v>11613</v>
      </c>
      <c r="O256" s="300">
        <v>0</v>
      </c>
      <c r="P256" s="231">
        <v>2189</v>
      </c>
      <c r="Q256" s="231">
        <v>13802</v>
      </c>
      <c r="R256" s="231"/>
      <c r="S256" s="392">
        <v>3507</v>
      </c>
      <c r="T256" s="231">
        <v>1790</v>
      </c>
      <c r="U256" s="396">
        <v>5297</v>
      </c>
      <c r="V256" s="231"/>
      <c r="W256" s="396">
        <v>31552</v>
      </c>
      <c r="X256" s="396">
        <v>-11149</v>
      </c>
      <c r="Y256" s="396"/>
      <c r="Z256" s="396"/>
    </row>
    <row r="257" spans="1:26">
      <c r="A257" s="390">
        <v>92601</v>
      </c>
      <c r="B257" s="391" t="s">
        <v>964</v>
      </c>
      <c r="C257" s="234">
        <v>1.2883E-2</v>
      </c>
      <c r="D257" s="234">
        <v>1.27283E-2</v>
      </c>
      <c r="E257" s="231">
        <v>19757317</v>
      </c>
      <c r="F257" s="231" t="s">
        <v>1924</v>
      </c>
      <c r="G257" s="392">
        <v>6285513</v>
      </c>
      <c r="H257" s="392">
        <v>0</v>
      </c>
      <c r="I257" s="392">
        <v>12412642</v>
      </c>
      <c r="J257" s="231">
        <v>316873</v>
      </c>
      <c r="K257" s="231">
        <v>19015028</v>
      </c>
      <c r="L257" s="231"/>
      <c r="M257" s="300">
        <v>0</v>
      </c>
      <c r="N257" s="300">
        <v>28227271</v>
      </c>
      <c r="O257" s="300">
        <v>0</v>
      </c>
      <c r="P257" s="231">
        <v>572844</v>
      </c>
      <c r="Q257" s="231">
        <v>28800115</v>
      </c>
      <c r="R257" s="231"/>
      <c r="S257" s="392">
        <v>8523934</v>
      </c>
      <c r="T257" s="231">
        <v>-336826</v>
      </c>
      <c r="U257" s="396">
        <v>8187108</v>
      </c>
      <c r="V257" s="231"/>
      <c r="W257" s="396">
        <v>76696261</v>
      </c>
      <c r="X257" s="396">
        <v>-27100382</v>
      </c>
      <c r="Y257" s="396"/>
      <c r="Z257" s="396"/>
    </row>
    <row r="258" spans="1:26">
      <c r="A258" s="390">
        <v>92602</v>
      </c>
      <c r="B258" s="391" t="s">
        <v>965</v>
      </c>
      <c r="C258" s="234">
        <v>5.2000000000000002E-6</v>
      </c>
      <c r="D258" s="234">
        <v>4.5000000000000001E-6</v>
      </c>
      <c r="E258" s="231">
        <v>7975</v>
      </c>
      <c r="F258" s="231" t="s">
        <v>1924</v>
      </c>
      <c r="G258" s="392">
        <v>2537</v>
      </c>
      <c r="H258" s="392">
        <v>0</v>
      </c>
      <c r="I258" s="392">
        <v>5010</v>
      </c>
      <c r="J258" s="231">
        <v>1005</v>
      </c>
      <c r="K258" s="231">
        <v>8552</v>
      </c>
      <c r="L258" s="231"/>
      <c r="M258" s="300">
        <v>0</v>
      </c>
      <c r="N258" s="300">
        <v>11393</v>
      </c>
      <c r="O258" s="300">
        <v>0</v>
      </c>
      <c r="P258" s="231">
        <v>1715</v>
      </c>
      <c r="Q258" s="231">
        <v>13108</v>
      </c>
      <c r="R258" s="231"/>
      <c r="S258" s="392">
        <v>3441</v>
      </c>
      <c r="T258" s="231">
        <v>-786</v>
      </c>
      <c r="U258" s="396">
        <v>2655</v>
      </c>
      <c r="V258" s="231"/>
      <c r="W258" s="396">
        <v>30957</v>
      </c>
      <c r="X258" s="396">
        <v>-10939</v>
      </c>
      <c r="Y258" s="396"/>
      <c r="Z258" s="396"/>
    </row>
    <row r="259" spans="1:26">
      <c r="A259" s="390">
        <v>92604</v>
      </c>
      <c r="B259" s="391" t="s">
        <v>966</v>
      </c>
      <c r="C259" s="234">
        <v>3.392E-4</v>
      </c>
      <c r="D259" s="234">
        <v>3.6390000000000001E-4</v>
      </c>
      <c r="E259" s="231">
        <v>520196</v>
      </c>
      <c r="F259" s="231" t="s">
        <v>1924</v>
      </c>
      <c r="G259" s="392">
        <v>165493</v>
      </c>
      <c r="H259" s="392">
        <v>0</v>
      </c>
      <c r="I259" s="392">
        <v>326816</v>
      </c>
      <c r="J259" s="231">
        <v>42193</v>
      </c>
      <c r="K259" s="231">
        <v>534502</v>
      </c>
      <c r="L259" s="231"/>
      <c r="M259" s="300">
        <v>0</v>
      </c>
      <c r="N259" s="300">
        <v>743203</v>
      </c>
      <c r="O259" s="300">
        <v>0</v>
      </c>
      <c r="P259" s="231">
        <v>44026</v>
      </c>
      <c r="Q259" s="231">
        <v>787229</v>
      </c>
      <c r="R259" s="231"/>
      <c r="S259" s="392">
        <v>224429</v>
      </c>
      <c r="T259" s="231">
        <v>12874</v>
      </c>
      <c r="U259" s="396">
        <v>237303</v>
      </c>
      <c r="V259" s="231"/>
      <c r="W259" s="396">
        <v>2019357</v>
      </c>
      <c r="X259" s="396">
        <v>-713533</v>
      </c>
      <c r="Y259" s="396"/>
      <c r="Z259" s="396"/>
    </row>
    <row r="260" spans="1:26">
      <c r="A260" s="390">
        <v>92607</v>
      </c>
      <c r="B260" s="391" t="s">
        <v>967</v>
      </c>
      <c r="C260" s="234">
        <v>7.25E-5</v>
      </c>
      <c r="D260" s="234">
        <v>7.08E-5</v>
      </c>
      <c r="E260" s="231">
        <v>111186</v>
      </c>
      <c r="F260" s="231" t="s">
        <v>1924</v>
      </c>
      <c r="G260" s="392">
        <v>35372</v>
      </c>
      <c r="H260" s="392">
        <v>0</v>
      </c>
      <c r="I260" s="392">
        <v>69853</v>
      </c>
      <c r="J260" s="231">
        <v>26551</v>
      </c>
      <c r="K260" s="231">
        <v>131776</v>
      </c>
      <c r="L260" s="231"/>
      <c r="M260" s="300">
        <v>0</v>
      </c>
      <c r="N260" s="300">
        <v>158851</v>
      </c>
      <c r="O260" s="300">
        <v>0</v>
      </c>
      <c r="P260" s="231">
        <v>380</v>
      </c>
      <c r="Q260" s="231">
        <v>159231</v>
      </c>
      <c r="R260" s="231"/>
      <c r="S260" s="392">
        <v>47969</v>
      </c>
      <c r="T260" s="231">
        <v>12785</v>
      </c>
      <c r="U260" s="396">
        <v>60754</v>
      </c>
      <c r="V260" s="231"/>
      <c r="W260" s="396">
        <v>431614</v>
      </c>
      <c r="X260" s="396">
        <v>-152509</v>
      </c>
      <c r="Y260" s="396"/>
      <c r="Z260" s="396"/>
    </row>
    <row r="261" spans="1:26">
      <c r="A261" s="390">
        <v>92608</v>
      </c>
      <c r="B261" s="391" t="s">
        <v>3754</v>
      </c>
      <c r="C261" s="234">
        <v>0</v>
      </c>
      <c r="D261" s="234">
        <v>0</v>
      </c>
      <c r="E261" s="231">
        <v>0</v>
      </c>
      <c r="F261" s="231">
        <v>0</v>
      </c>
      <c r="G261" s="231">
        <v>0</v>
      </c>
      <c r="H261" s="231">
        <v>0</v>
      </c>
      <c r="I261" s="231">
        <v>0</v>
      </c>
      <c r="J261" s="231">
        <v>0</v>
      </c>
      <c r="K261" s="231">
        <v>0</v>
      </c>
      <c r="L261" s="231">
        <v>0</v>
      </c>
      <c r="M261" s="231">
        <v>0</v>
      </c>
      <c r="N261" s="231">
        <v>0</v>
      </c>
      <c r="O261" s="231">
        <v>0</v>
      </c>
      <c r="P261" s="231">
        <v>0</v>
      </c>
      <c r="Q261" s="231">
        <v>0</v>
      </c>
      <c r="R261" s="231">
        <v>0</v>
      </c>
      <c r="S261" s="231">
        <v>0</v>
      </c>
      <c r="T261" s="231">
        <v>0</v>
      </c>
      <c r="U261" s="231">
        <v>0</v>
      </c>
      <c r="V261" s="231">
        <v>0</v>
      </c>
      <c r="W261" s="231">
        <v>0</v>
      </c>
      <c r="X261" s="231">
        <v>0</v>
      </c>
      <c r="Y261" s="396"/>
      <c r="Z261" s="396"/>
    </row>
    <row r="262" spans="1:26">
      <c r="A262" s="390">
        <v>92611</v>
      </c>
      <c r="B262" s="391" t="s">
        <v>969</v>
      </c>
      <c r="C262" s="234">
        <v>1.0895E-2</v>
      </c>
      <c r="D262" s="234">
        <v>1.13896E-2</v>
      </c>
      <c r="E262" s="231">
        <v>16708528</v>
      </c>
      <c r="F262" s="231" t="s">
        <v>1924</v>
      </c>
      <c r="G262" s="392">
        <v>5315583</v>
      </c>
      <c r="H262" s="392">
        <v>0</v>
      </c>
      <c r="I262" s="392">
        <v>10497224</v>
      </c>
      <c r="J262" s="231">
        <v>0</v>
      </c>
      <c r="K262" s="231">
        <v>15812807</v>
      </c>
      <c r="L262" s="231"/>
      <c r="M262" s="300">
        <v>0</v>
      </c>
      <c r="N262" s="300">
        <v>23871468</v>
      </c>
      <c r="O262" s="300">
        <v>0</v>
      </c>
      <c r="P262" s="231">
        <v>1991940</v>
      </c>
      <c r="Q262" s="231">
        <v>25863408</v>
      </c>
      <c r="R262" s="231"/>
      <c r="S262" s="392">
        <v>7208590</v>
      </c>
      <c r="T262" s="231">
        <v>-1052199</v>
      </c>
      <c r="U262" s="396">
        <v>6156391</v>
      </c>
      <c r="V262" s="231"/>
      <c r="W262" s="396">
        <v>64861116</v>
      </c>
      <c r="X262" s="396">
        <v>-22918471</v>
      </c>
      <c r="Y262" s="396"/>
      <c r="Z262" s="396"/>
    </row>
    <row r="263" spans="1:26">
      <c r="A263" s="390">
        <v>92613</v>
      </c>
      <c r="B263" s="391" t="s">
        <v>970</v>
      </c>
      <c r="C263" s="234">
        <v>2.265E-4</v>
      </c>
      <c r="D263" s="234">
        <v>2.2249999999999999E-4</v>
      </c>
      <c r="E263" s="231">
        <v>347359</v>
      </c>
      <c r="F263" s="231" t="s">
        <v>1924</v>
      </c>
      <c r="G263" s="392">
        <v>110508</v>
      </c>
      <c r="H263" s="392">
        <v>0</v>
      </c>
      <c r="I263" s="392">
        <v>218230</v>
      </c>
      <c r="J263" s="231">
        <v>57453</v>
      </c>
      <c r="K263" s="231">
        <v>386191</v>
      </c>
      <c r="L263" s="231"/>
      <c r="M263" s="300">
        <v>0</v>
      </c>
      <c r="N263" s="300">
        <v>496272</v>
      </c>
      <c r="O263" s="300">
        <v>0</v>
      </c>
      <c r="P263" s="231">
        <v>273</v>
      </c>
      <c r="Q263" s="231">
        <v>496545</v>
      </c>
      <c r="R263" s="231"/>
      <c r="S263" s="392">
        <v>149862</v>
      </c>
      <c r="T263" s="231">
        <v>24104</v>
      </c>
      <c r="U263" s="396">
        <v>173966</v>
      </c>
      <c r="V263" s="231"/>
      <c r="W263" s="396">
        <v>1348421</v>
      </c>
      <c r="X263" s="396">
        <v>-476460</v>
      </c>
      <c r="Y263" s="396"/>
      <c r="Z263" s="396"/>
    </row>
    <row r="264" spans="1:26">
      <c r="A264" s="390">
        <v>92614</v>
      </c>
      <c r="B264" s="391" t="s">
        <v>971</v>
      </c>
      <c r="C264" s="234">
        <v>6.1628999999999998E-3</v>
      </c>
      <c r="D264" s="234">
        <v>5.7264000000000004E-3</v>
      </c>
      <c r="E264" s="231">
        <v>9451399</v>
      </c>
      <c r="F264" s="231" t="s">
        <v>1924</v>
      </c>
      <c r="G264" s="392">
        <v>3006830</v>
      </c>
      <c r="H264" s="392">
        <v>0</v>
      </c>
      <c r="I264" s="392">
        <v>5937893</v>
      </c>
      <c r="J264" s="231">
        <v>4358096</v>
      </c>
      <c r="K264" s="231">
        <v>13302819</v>
      </c>
      <c r="L264" s="231"/>
      <c r="M264" s="300">
        <v>0</v>
      </c>
      <c r="N264" s="300">
        <v>13503210</v>
      </c>
      <c r="O264" s="300">
        <v>0</v>
      </c>
      <c r="P264" s="231">
        <v>0</v>
      </c>
      <c r="Q264" s="231">
        <v>13503210</v>
      </c>
      <c r="R264" s="231"/>
      <c r="S264" s="392">
        <v>4077633</v>
      </c>
      <c r="T264" s="231">
        <v>2378737</v>
      </c>
      <c r="U264" s="396">
        <v>6456370</v>
      </c>
      <c r="V264" s="231"/>
      <c r="W264" s="396">
        <v>36689543</v>
      </c>
      <c r="X264" s="396">
        <v>-12964135</v>
      </c>
      <c r="Y264" s="396"/>
      <c r="Z264" s="396"/>
    </row>
    <row r="265" spans="1:26">
      <c r="A265" s="390">
        <v>92621</v>
      </c>
      <c r="B265" s="391" t="s">
        <v>972</v>
      </c>
      <c r="C265" s="234">
        <v>2.7900000000000001E-5</v>
      </c>
      <c r="D265" s="234">
        <v>2.6999999999999999E-5</v>
      </c>
      <c r="E265" s="231">
        <v>42787</v>
      </c>
      <c r="F265" s="231" t="s">
        <v>1924</v>
      </c>
      <c r="G265" s="392">
        <v>13612</v>
      </c>
      <c r="H265" s="392">
        <v>0</v>
      </c>
      <c r="I265" s="392">
        <v>26881</v>
      </c>
      <c r="J265" s="231">
        <v>4979</v>
      </c>
      <c r="K265" s="231">
        <v>45472</v>
      </c>
      <c r="L265" s="231"/>
      <c r="M265" s="300">
        <v>0</v>
      </c>
      <c r="N265" s="300">
        <v>61130</v>
      </c>
      <c r="O265" s="300">
        <v>0</v>
      </c>
      <c r="P265" s="231">
        <v>756</v>
      </c>
      <c r="Q265" s="231">
        <v>61886</v>
      </c>
      <c r="R265" s="231"/>
      <c r="S265" s="392">
        <v>18460</v>
      </c>
      <c r="T265" s="231">
        <v>290</v>
      </c>
      <c r="U265" s="396">
        <v>18750</v>
      </c>
      <c r="V265" s="231"/>
      <c r="W265" s="396">
        <v>166097</v>
      </c>
      <c r="X265" s="396">
        <v>-58690</v>
      </c>
      <c r="Y265" s="396"/>
      <c r="Z265" s="396"/>
    </row>
    <row r="266" spans="1:26">
      <c r="A266" s="390">
        <v>92631</v>
      </c>
      <c r="B266" s="391" t="s">
        <v>973</v>
      </c>
      <c r="C266" s="234">
        <v>8.4230000000000004E-4</v>
      </c>
      <c r="D266" s="234">
        <v>9.0229999999999998E-4</v>
      </c>
      <c r="E266" s="231">
        <v>1291748</v>
      </c>
      <c r="F266" s="231" t="s">
        <v>1924</v>
      </c>
      <c r="G266" s="392">
        <v>410951</v>
      </c>
      <c r="H266" s="392">
        <v>0</v>
      </c>
      <c r="I266" s="392">
        <v>811548</v>
      </c>
      <c r="J266" s="231">
        <v>0</v>
      </c>
      <c r="K266" s="231">
        <v>1222499</v>
      </c>
      <c r="L266" s="231"/>
      <c r="M266" s="300">
        <v>0</v>
      </c>
      <c r="N266" s="300">
        <v>1845520</v>
      </c>
      <c r="O266" s="300">
        <v>0</v>
      </c>
      <c r="P266" s="231">
        <v>172892</v>
      </c>
      <c r="Q266" s="231">
        <v>2018412</v>
      </c>
      <c r="R266" s="231"/>
      <c r="S266" s="392">
        <v>557301</v>
      </c>
      <c r="T266" s="231">
        <v>-90676</v>
      </c>
      <c r="U266" s="396">
        <v>466625</v>
      </c>
      <c r="V266" s="231"/>
      <c r="W266" s="396">
        <v>5014458</v>
      </c>
      <c r="X266" s="396">
        <v>-1771843</v>
      </c>
      <c r="Y266" s="396"/>
      <c r="Z266" s="396"/>
    </row>
    <row r="267" spans="1:26">
      <c r="A267" s="390">
        <v>92641</v>
      </c>
      <c r="B267" s="391" t="s">
        <v>974</v>
      </c>
      <c r="C267" s="234">
        <v>9.5999999999999996E-6</v>
      </c>
      <c r="D267" s="234">
        <v>9.9000000000000001E-6</v>
      </c>
      <c r="E267" s="231">
        <v>14723</v>
      </c>
      <c r="F267" s="231" t="s">
        <v>1924</v>
      </c>
      <c r="G267" s="392">
        <v>4684</v>
      </c>
      <c r="H267" s="392">
        <v>0</v>
      </c>
      <c r="I267" s="392">
        <v>9250</v>
      </c>
      <c r="J267" s="231">
        <v>5111</v>
      </c>
      <c r="K267" s="231">
        <v>19045</v>
      </c>
      <c r="L267" s="231"/>
      <c r="M267" s="300">
        <v>0</v>
      </c>
      <c r="N267" s="300">
        <v>21034</v>
      </c>
      <c r="O267" s="300">
        <v>0</v>
      </c>
      <c r="P267" s="231">
        <v>0</v>
      </c>
      <c r="Q267" s="231">
        <v>21034</v>
      </c>
      <c r="R267" s="231"/>
      <c r="S267" s="392">
        <v>6352</v>
      </c>
      <c r="T267" s="231">
        <v>2498</v>
      </c>
      <c r="U267" s="396">
        <v>8850</v>
      </c>
      <c r="V267" s="231"/>
      <c r="W267" s="396">
        <v>57152</v>
      </c>
      <c r="X267" s="396">
        <v>-20194</v>
      </c>
      <c r="Y267" s="396"/>
      <c r="Z267" s="396"/>
    </row>
    <row r="268" spans="1:26">
      <c r="A268" s="390">
        <v>92651</v>
      </c>
      <c r="B268" s="391" t="s">
        <v>975</v>
      </c>
      <c r="C268" s="234">
        <v>4.7999999999999998E-6</v>
      </c>
      <c r="D268" s="234">
        <v>4.3000000000000003E-6</v>
      </c>
      <c r="E268" s="231">
        <v>7361</v>
      </c>
      <c r="F268" s="231" t="s">
        <v>1924</v>
      </c>
      <c r="G268" s="392">
        <v>2342</v>
      </c>
      <c r="H268" s="392">
        <v>0</v>
      </c>
      <c r="I268" s="392">
        <v>4625</v>
      </c>
      <c r="J268" s="231">
        <v>1941</v>
      </c>
      <c r="K268" s="231">
        <v>8908</v>
      </c>
      <c r="L268" s="231"/>
      <c r="M268" s="300">
        <v>0</v>
      </c>
      <c r="N268" s="300">
        <v>10517</v>
      </c>
      <c r="O268" s="300">
        <v>0</v>
      </c>
      <c r="P268" s="231">
        <v>0</v>
      </c>
      <c r="Q268" s="231">
        <v>10517</v>
      </c>
      <c r="R268" s="231"/>
      <c r="S268" s="392">
        <v>3176</v>
      </c>
      <c r="T268" s="231">
        <v>1365</v>
      </c>
      <c r="U268" s="396">
        <v>4541</v>
      </c>
      <c r="V268" s="231"/>
      <c r="W268" s="396">
        <v>28576</v>
      </c>
      <c r="X268" s="396">
        <v>-10097</v>
      </c>
      <c r="Y268" s="396"/>
      <c r="Z268" s="396"/>
    </row>
    <row r="269" spans="1:26" ht="14.25" customHeight="1">
      <c r="A269" s="390">
        <v>92661</v>
      </c>
      <c r="B269" s="391" t="s">
        <v>976</v>
      </c>
      <c r="C269" s="234">
        <v>6.3690000000000003E-4</v>
      </c>
      <c r="D269" s="234">
        <v>6.4720000000000001E-4</v>
      </c>
      <c r="E269" s="231">
        <v>976747</v>
      </c>
      <c r="F269" s="231" t="s">
        <v>1924</v>
      </c>
      <c r="G269" s="392">
        <v>310738</v>
      </c>
      <c r="H269" s="392">
        <v>0</v>
      </c>
      <c r="I269" s="392">
        <v>613647</v>
      </c>
      <c r="J269" s="231">
        <v>302609</v>
      </c>
      <c r="K269" s="231">
        <v>1226994</v>
      </c>
      <c r="L269" s="231"/>
      <c r="M269" s="300">
        <v>0</v>
      </c>
      <c r="N269" s="300">
        <v>1395478</v>
      </c>
      <c r="O269" s="300">
        <v>0</v>
      </c>
      <c r="P269" s="231">
        <v>0</v>
      </c>
      <c r="Q269" s="231">
        <v>1395478</v>
      </c>
      <c r="R269" s="231"/>
      <c r="S269" s="392">
        <v>421400</v>
      </c>
      <c r="T269" s="231">
        <v>202378</v>
      </c>
      <c r="U269" s="396">
        <v>623778</v>
      </c>
      <c r="V269" s="231"/>
      <c r="W269" s="396">
        <v>3791652</v>
      </c>
      <c r="X269" s="396">
        <v>-1339768</v>
      </c>
      <c r="Y269" s="396"/>
      <c r="Z269" s="396"/>
    </row>
    <row r="270" spans="1:26" s="362" customFormat="1" ht="14.25" customHeight="1">
      <c r="A270" s="390">
        <v>92671</v>
      </c>
      <c r="B270" s="391" t="s">
        <v>977</v>
      </c>
      <c r="C270" s="234">
        <v>1.9999999999999999E-6</v>
      </c>
      <c r="D270" s="234">
        <v>1.9E-6</v>
      </c>
      <c r="E270" s="231">
        <v>3067</v>
      </c>
      <c r="F270" s="231" t="s">
        <v>1924</v>
      </c>
      <c r="G270" s="392">
        <v>976</v>
      </c>
      <c r="H270" s="392">
        <v>0</v>
      </c>
      <c r="I270" s="392">
        <v>1927</v>
      </c>
      <c r="J270" s="231">
        <v>7928</v>
      </c>
      <c r="K270" s="231">
        <v>10831</v>
      </c>
      <c r="L270" s="231"/>
      <c r="M270" s="300">
        <v>0</v>
      </c>
      <c r="N270" s="300">
        <v>4382</v>
      </c>
      <c r="O270" s="300">
        <v>0</v>
      </c>
      <c r="P270" s="231">
        <v>0</v>
      </c>
      <c r="Q270" s="231">
        <v>4382</v>
      </c>
      <c r="R270" s="231"/>
      <c r="S270" s="392">
        <v>1323</v>
      </c>
      <c r="T270" s="231">
        <v>4410</v>
      </c>
      <c r="U270" s="396">
        <v>5733</v>
      </c>
      <c r="V270" s="231"/>
      <c r="W270" s="396">
        <v>11907</v>
      </c>
      <c r="X270" s="396">
        <v>-4207</v>
      </c>
      <c r="Y270" s="396"/>
      <c r="Z270" s="396"/>
    </row>
    <row r="271" spans="1:26" s="362" customFormat="1" ht="14.25" customHeight="1">
      <c r="A271" s="390">
        <v>92681</v>
      </c>
      <c r="B271" s="391" t="s">
        <v>978</v>
      </c>
      <c r="C271" s="234">
        <v>9.5999999999999996E-6</v>
      </c>
      <c r="D271" s="234">
        <v>8.8000000000000004E-6</v>
      </c>
      <c r="E271" s="231">
        <v>14723</v>
      </c>
      <c r="F271" s="231" t="s">
        <v>1924</v>
      </c>
      <c r="G271" s="392">
        <v>4684</v>
      </c>
      <c r="H271" s="392">
        <v>0</v>
      </c>
      <c r="I271" s="392">
        <v>9250</v>
      </c>
      <c r="J271" s="231">
        <v>2419</v>
      </c>
      <c r="K271" s="231">
        <v>16353</v>
      </c>
      <c r="L271" s="231"/>
      <c r="M271" s="300">
        <v>0</v>
      </c>
      <c r="N271" s="300">
        <v>21034</v>
      </c>
      <c r="O271" s="300">
        <v>0</v>
      </c>
      <c r="P271" s="231">
        <v>3085</v>
      </c>
      <c r="Q271" s="231">
        <v>24119</v>
      </c>
      <c r="R271" s="231"/>
      <c r="S271" s="392">
        <v>6352</v>
      </c>
      <c r="T271" s="231">
        <v>1916</v>
      </c>
      <c r="U271" s="396">
        <v>8268</v>
      </c>
      <c r="V271" s="231"/>
      <c r="W271" s="396">
        <v>57152</v>
      </c>
      <c r="X271" s="396">
        <v>-20194</v>
      </c>
      <c r="Y271" s="396"/>
      <c r="Z271" s="396"/>
    </row>
    <row r="272" spans="1:26">
      <c r="A272" s="390">
        <v>92701</v>
      </c>
      <c r="B272" s="391" t="s">
        <v>979</v>
      </c>
      <c r="C272" s="234">
        <v>2.9215999999999999E-3</v>
      </c>
      <c r="D272" s="234">
        <v>3.0401E-3</v>
      </c>
      <c r="E272" s="231">
        <v>4480554</v>
      </c>
      <c r="F272" s="231" t="s">
        <v>1924</v>
      </c>
      <c r="G272" s="392">
        <v>1425425</v>
      </c>
      <c r="H272" s="392">
        <v>0</v>
      </c>
      <c r="I272" s="392">
        <v>2814932</v>
      </c>
      <c r="J272" s="231">
        <v>50540</v>
      </c>
      <c r="K272" s="231">
        <v>4290897</v>
      </c>
      <c r="L272" s="231"/>
      <c r="M272" s="300">
        <v>0</v>
      </c>
      <c r="N272" s="300">
        <v>6401366</v>
      </c>
      <c r="O272" s="300">
        <v>0</v>
      </c>
      <c r="P272" s="231">
        <v>231151</v>
      </c>
      <c r="Q272" s="231">
        <v>6632517</v>
      </c>
      <c r="R272" s="231"/>
      <c r="S272" s="392">
        <v>1933053</v>
      </c>
      <c r="T272" s="231">
        <v>-83132</v>
      </c>
      <c r="U272" s="396">
        <v>1849921</v>
      </c>
      <c r="V272" s="231"/>
      <c r="W272" s="396">
        <v>17393138</v>
      </c>
      <c r="X272" s="396">
        <v>-6145811</v>
      </c>
      <c r="Y272" s="396"/>
      <c r="Z272" s="396"/>
    </row>
    <row r="273" spans="1:26">
      <c r="A273" s="390">
        <v>92704</v>
      </c>
      <c r="B273" s="391" t="s">
        <v>980</v>
      </c>
      <c r="C273" s="234">
        <v>4.0299999999999997E-5</v>
      </c>
      <c r="D273" s="234">
        <v>3.6199999999999999E-5</v>
      </c>
      <c r="E273" s="231">
        <v>61804</v>
      </c>
      <c r="F273" s="231" t="s">
        <v>1924</v>
      </c>
      <c r="G273" s="392">
        <v>19662</v>
      </c>
      <c r="H273" s="392">
        <v>0</v>
      </c>
      <c r="I273" s="392">
        <v>38829</v>
      </c>
      <c r="J273" s="231">
        <v>8744</v>
      </c>
      <c r="K273" s="231">
        <v>67235</v>
      </c>
      <c r="L273" s="231"/>
      <c r="M273" s="300">
        <v>0</v>
      </c>
      <c r="N273" s="300">
        <v>88299</v>
      </c>
      <c r="O273" s="300">
        <v>0</v>
      </c>
      <c r="P273" s="231">
        <v>1097</v>
      </c>
      <c r="Q273" s="231">
        <v>89396</v>
      </c>
      <c r="R273" s="231"/>
      <c r="S273" s="392">
        <v>26664</v>
      </c>
      <c r="T273" s="231">
        <v>1191</v>
      </c>
      <c r="U273" s="396">
        <v>27855</v>
      </c>
      <c r="V273" s="231"/>
      <c r="W273" s="396">
        <v>239918</v>
      </c>
      <c r="X273" s="396">
        <v>-84774</v>
      </c>
      <c r="Y273" s="396"/>
      <c r="Z273" s="396"/>
    </row>
    <row r="274" spans="1:26">
      <c r="A274" s="390">
        <v>92801</v>
      </c>
      <c r="B274" s="391" t="s">
        <v>981</v>
      </c>
      <c r="C274" s="234">
        <v>5.1568999999999999E-3</v>
      </c>
      <c r="D274" s="234">
        <v>5.4752000000000004E-3</v>
      </c>
      <c r="E274" s="231">
        <v>7908601</v>
      </c>
      <c r="F274" s="231" t="s">
        <v>1924</v>
      </c>
      <c r="G274" s="392">
        <v>2516010</v>
      </c>
      <c r="H274" s="392">
        <v>0</v>
      </c>
      <c r="I274" s="392">
        <v>4968622</v>
      </c>
      <c r="J274" s="231">
        <v>223409</v>
      </c>
      <c r="K274" s="231">
        <v>7708041</v>
      </c>
      <c r="L274" s="231"/>
      <c r="M274" s="300">
        <v>0</v>
      </c>
      <c r="N274" s="300">
        <v>11299015</v>
      </c>
      <c r="O274" s="300">
        <v>0</v>
      </c>
      <c r="P274" s="231">
        <v>333091</v>
      </c>
      <c r="Q274" s="231">
        <v>11632106</v>
      </c>
      <c r="R274" s="231"/>
      <c r="S274" s="392">
        <v>3412022</v>
      </c>
      <c r="T274" s="231">
        <v>24478</v>
      </c>
      <c r="U274" s="396">
        <v>3436500</v>
      </c>
      <c r="V274" s="231"/>
      <c r="W274" s="396">
        <v>30700532</v>
      </c>
      <c r="X274" s="396">
        <v>-10847936</v>
      </c>
      <c r="Y274" s="396"/>
      <c r="Z274" s="396"/>
    </row>
    <row r="275" spans="1:26">
      <c r="A275" s="390">
        <v>92802</v>
      </c>
      <c r="B275" s="391" t="s">
        <v>982</v>
      </c>
      <c r="C275" s="234">
        <v>9.9099999999999996E-5</v>
      </c>
      <c r="D275" s="234">
        <v>1.133E-4</v>
      </c>
      <c r="E275" s="231">
        <v>151979</v>
      </c>
      <c r="F275" s="231" t="s">
        <v>1924</v>
      </c>
      <c r="G275" s="392">
        <v>48350</v>
      </c>
      <c r="H275" s="392">
        <v>0</v>
      </c>
      <c r="I275" s="392">
        <v>95482</v>
      </c>
      <c r="J275" s="231">
        <v>0</v>
      </c>
      <c r="K275" s="231">
        <v>143832</v>
      </c>
      <c r="L275" s="231"/>
      <c r="M275" s="300">
        <v>0</v>
      </c>
      <c r="N275" s="300">
        <v>217133</v>
      </c>
      <c r="O275" s="300">
        <v>0</v>
      </c>
      <c r="P275" s="231">
        <v>36183</v>
      </c>
      <c r="Q275" s="231">
        <v>253316</v>
      </c>
      <c r="R275" s="231"/>
      <c r="S275" s="392">
        <v>65569</v>
      </c>
      <c r="T275" s="231">
        <v>-16176</v>
      </c>
      <c r="U275" s="396">
        <v>49393</v>
      </c>
      <c r="V275" s="231"/>
      <c r="W275" s="396">
        <v>589971</v>
      </c>
      <c r="X275" s="396">
        <v>-208464</v>
      </c>
      <c r="Y275" s="396"/>
      <c r="Z275" s="396"/>
    </row>
    <row r="276" spans="1:26">
      <c r="A276" s="390">
        <v>92804</v>
      </c>
      <c r="B276" s="391" t="s">
        <v>983</v>
      </c>
      <c r="C276" s="234">
        <v>1.371E-4</v>
      </c>
      <c r="D276" s="234">
        <v>1.493E-4</v>
      </c>
      <c r="E276" s="231">
        <v>210256</v>
      </c>
      <c r="F276" s="231" t="s">
        <v>1924</v>
      </c>
      <c r="G276" s="392">
        <v>66890</v>
      </c>
      <c r="H276" s="392">
        <v>0</v>
      </c>
      <c r="I276" s="392">
        <v>132094</v>
      </c>
      <c r="J276" s="231">
        <v>4071</v>
      </c>
      <c r="K276" s="231">
        <v>203055</v>
      </c>
      <c r="L276" s="231"/>
      <c r="M276" s="300">
        <v>0</v>
      </c>
      <c r="N276" s="300">
        <v>300393</v>
      </c>
      <c r="O276" s="300">
        <v>0</v>
      </c>
      <c r="P276" s="231">
        <v>30317</v>
      </c>
      <c r="Q276" s="231">
        <v>330710</v>
      </c>
      <c r="R276" s="231"/>
      <c r="S276" s="392">
        <v>90711</v>
      </c>
      <c r="T276" s="231">
        <v>-11092</v>
      </c>
      <c r="U276" s="396">
        <v>79619</v>
      </c>
      <c r="V276" s="231"/>
      <c r="W276" s="396">
        <v>816196</v>
      </c>
      <c r="X276" s="396">
        <v>-288400</v>
      </c>
      <c r="Y276" s="396"/>
      <c r="Z276" s="396"/>
    </row>
    <row r="277" spans="1:26">
      <c r="A277" s="390">
        <v>92811</v>
      </c>
      <c r="B277" s="391" t="s">
        <v>984</v>
      </c>
      <c r="C277" s="234">
        <v>9.3099999999999997E-4</v>
      </c>
      <c r="D277" s="234">
        <v>9.6020000000000003E-4</v>
      </c>
      <c r="E277" s="231">
        <v>1427778</v>
      </c>
      <c r="F277" s="231" t="s">
        <v>1924</v>
      </c>
      <c r="G277" s="392">
        <v>454227</v>
      </c>
      <c r="H277" s="392">
        <v>0</v>
      </c>
      <c r="I277" s="392">
        <v>897009</v>
      </c>
      <c r="J277" s="231">
        <v>44384</v>
      </c>
      <c r="K277" s="231">
        <v>1395620</v>
      </c>
      <c r="L277" s="231"/>
      <c r="M277" s="300">
        <v>0</v>
      </c>
      <c r="N277" s="300">
        <v>2039866</v>
      </c>
      <c r="O277" s="300">
        <v>0</v>
      </c>
      <c r="P277" s="231">
        <v>65274</v>
      </c>
      <c r="Q277" s="231">
        <v>2105140</v>
      </c>
      <c r="R277" s="231"/>
      <c r="S277" s="392">
        <v>615989</v>
      </c>
      <c r="T277" s="231">
        <v>-6298</v>
      </c>
      <c r="U277" s="396">
        <v>609691</v>
      </c>
      <c r="V277" s="231"/>
      <c r="W277" s="396">
        <v>5542515</v>
      </c>
      <c r="X277" s="396">
        <v>-1958430</v>
      </c>
      <c r="Y277" s="396"/>
      <c r="Z277" s="396"/>
    </row>
    <row r="278" spans="1:26">
      <c r="A278" s="390">
        <v>92821</v>
      </c>
      <c r="B278" s="391" t="s">
        <v>985</v>
      </c>
      <c r="C278" s="234">
        <v>9.634E-4</v>
      </c>
      <c r="D278" s="234">
        <v>9.9109999999999997E-4</v>
      </c>
      <c r="E278" s="231">
        <v>1477466</v>
      </c>
      <c r="F278" s="231" t="s">
        <v>1924</v>
      </c>
      <c r="G278" s="392">
        <v>470035</v>
      </c>
      <c r="H278" s="392">
        <v>0</v>
      </c>
      <c r="I278" s="392">
        <v>928226</v>
      </c>
      <c r="J278" s="231">
        <v>43843</v>
      </c>
      <c r="K278" s="231">
        <v>1442104</v>
      </c>
      <c r="L278" s="231"/>
      <c r="M278" s="300">
        <v>0</v>
      </c>
      <c r="N278" s="300">
        <v>2110856</v>
      </c>
      <c r="O278" s="300">
        <v>0</v>
      </c>
      <c r="P278" s="231">
        <v>0</v>
      </c>
      <c r="Q278" s="231">
        <v>2110856</v>
      </c>
      <c r="R278" s="231"/>
      <c r="S278" s="392">
        <v>637426</v>
      </c>
      <c r="T278" s="231">
        <v>23499</v>
      </c>
      <c r="U278" s="396">
        <v>660925</v>
      </c>
      <c r="V278" s="231"/>
      <c r="W278" s="396">
        <v>5735402</v>
      </c>
      <c r="X278" s="396">
        <v>-2026586</v>
      </c>
      <c r="Y278" s="396"/>
      <c r="Z278" s="396"/>
    </row>
    <row r="279" spans="1:26">
      <c r="A279" s="390">
        <v>92831</v>
      </c>
      <c r="B279" s="391" t="s">
        <v>986</v>
      </c>
      <c r="C279" s="234">
        <v>2.5819999999999999E-4</v>
      </c>
      <c r="D279" s="234">
        <v>2.6449999999999998E-4</v>
      </c>
      <c r="E279" s="231">
        <v>395974</v>
      </c>
      <c r="F279" s="231" t="s">
        <v>1924</v>
      </c>
      <c r="G279" s="392">
        <v>125974</v>
      </c>
      <c r="H279" s="392">
        <v>0</v>
      </c>
      <c r="I279" s="392">
        <v>248773</v>
      </c>
      <c r="J279" s="231">
        <v>43529</v>
      </c>
      <c r="K279" s="231">
        <v>418276</v>
      </c>
      <c r="L279" s="231"/>
      <c r="M279" s="300">
        <v>0</v>
      </c>
      <c r="N279" s="300">
        <v>565729</v>
      </c>
      <c r="O279" s="300">
        <v>0</v>
      </c>
      <c r="P279" s="231">
        <v>0</v>
      </c>
      <c r="Q279" s="231">
        <v>565729</v>
      </c>
      <c r="R279" s="231"/>
      <c r="S279" s="392">
        <v>170836</v>
      </c>
      <c r="T279" s="231">
        <v>24254</v>
      </c>
      <c r="U279" s="396">
        <v>195090</v>
      </c>
      <c r="V279" s="231"/>
      <c r="W279" s="396">
        <v>1537140</v>
      </c>
      <c r="X279" s="396">
        <v>-543144</v>
      </c>
      <c r="Y279" s="396"/>
      <c r="Z279" s="396"/>
    </row>
    <row r="280" spans="1:26">
      <c r="A280" s="390">
        <v>92841</v>
      </c>
      <c r="B280" s="391" t="s">
        <v>987</v>
      </c>
      <c r="C280" s="234">
        <v>2.6180000000000002E-4</v>
      </c>
      <c r="D280" s="234">
        <v>2.2110000000000001E-4</v>
      </c>
      <c r="E280" s="231">
        <v>401495</v>
      </c>
      <c r="F280" s="231" t="s">
        <v>1924</v>
      </c>
      <c r="G280" s="392">
        <v>127730</v>
      </c>
      <c r="H280" s="392">
        <v>0</v>
      </c>
      <c r="I280" s="392">
        <v>252242</v>
      </c>
      <c r="J280" s="231">
        <v>61532</v>
      </c>
      <c r="K280" s="231">
        <v>441504</v>
      </c>
      <c r="L280" s="231"/>
      <c r="M280" s="300">
        <v>0</v>
      </c>
      <c r="N280" s="300">
        <v>573616</v>
      </c>
      <c r="O280" s="300">
        <v>0</v>
      </c>
      <c r="P280" s="231">
        <v>24704</v>
      </c>
      <c r="Q280" s="231">
        <v>598320</v>
      </c>
      <c r="R280" s="231"/>
      <c r="S280" s="392">
        <v>173218</v>
      </c>
      <c r="T280" s="231">
        <v>3505</v>
      </c>
      <c r="U280" s="396">
        <v>176723</v>
      </c>
      <c r="V280" s="231"/>
      <c r="W280" s="396">
        <v>1558572</v>
      </c>
      <c r="X280" s="396">
        <v>-550716</v>
      </c>
      <c r="Y280" s="396"/>
      <c r="Z280" s="396"/>
    </row>
    <row r="281" spans="1:26">
      <c r="A281" s="390">
        <v>92851</v>
      </c>
      <c r="B281" s="391" t="s">
        <v>988</v>
      </c>
      <c r="C281" s="234">
        <v>3.7429999999999999E-4</v>
      </c>
      <c r="D281" s="234">
        <v>3.9360000000000003E-4</v>
      </c>
      <c r="E281" s="231">
        <v>574025</v>
      </c>
      <c r="F281" s="231" t="s">
        <v>1924</v>
      </c>
      <c r="G281" s="392">
        <v>182618</v>
      </c>
      <c r="H281" s="392">
        <v>0</v>
      </c>
      <c r="I281" s="392">
        <v>360634</v>
      </c>
      <c r="J281" s="231">
        <v>0</v>
      </c>
      <c r="K281" s="231">
        <v>543252</v>
      </c>
      <c r="L281" s="231"/>
      <c r="M281" s="300">
        <v>0</v>
      </c>
      <c r="N281" s="300">
        <v>820109</v>
      </c>
      <c r="O281" s="300">
        <v>0</v>
      </c>
      <c r="P281" s="231">
        <v>94668</v>
      </c>
      <c r="Q281" s="231">
        <v>914777</v>
      </c>
      <c r="R281" s="231"/>
      <c r="S281" s="392">
        <v>247653</v>
      </c>
      <c r="T281" s="231">
        <v>-47004</v>
      </c>
      <c r="U281" s="396">
        <v>200649</v>
      </c>
      <c r="V281" s="231"/>
      <c r="W281" s="396">
        <v>2228317</v>
      </c>
      <c r="X281" s="396">
        <v>-787369</v>
      </c>
      <c r="Y281" s="396"/>
      <c r="Z281" s="396"/>
    </row>
    <row r="282" spans="1:26">
      <c r="A282" s="390">
        <v>92861</v>
      </c>
      <c r="B282" s="391" t="s">
        <v>989</v>
      </c>
      <c r="C282" s="234">
        <v>3.4749999999999999E-4</v>
      </c>
      <c r="D282" s="234">
        <v>3.7579999999999997E-4</v>
      </c>
      <c r="E282" s="231">
        <v>532925</v>
      </c>
      <c r="F282" s="231" t="s">
        <v>1924</v>
      </c>
      <c r="G282" s="392">
        <v>169542</v>
      </c>
      <c r="H282" s="392">
        <v>0</v>
      </c>
      <c r="I282" s="392">
        <v>334813</v>
      </c>
      <c r="J282" s="231">
        <v>0</v>
      </c>
      <c r="K282" s="231">
        <v>504355</v>
      </c>
      <c r="L282" s="231"/>
      <c r="M282" s="300">
        <v>0</v>
      </c>
      <c r="N282" s="300">
        <v>761389</v>
      </c>
      <c r="O282" s="300">
        <v>0</v>
      </c>
      <c r="P282" s="231">
        <v>102095</v>
      </c>
      <c r="Q282" s="231">
        <v>863484</v>
      </c>
      <c r="R282" s="231"/>
      <c r="S282" s="392">
        <v>229921</v>
      </c>
      <c r="T282" s="231">
        <v>-46962</v>
      </c>
      <c r="U282" s="396">
        <v>182959</v>
      </c>
      <c r="V282" s="231"/>
      <c r="W282" s="396">
        <v>2068769</v>
      </c>
      <c r="X282" s="396">
        <v>-730993</v>
      </c>
      <c r="Y282" s="396"/>
      <c r="Z282" s="396"/>
    </row>
    <row r="283" spans="1:26">
      <c r="A283" s="390">
        <v>92901</v>
      </c>
      <c r="B283" s="391" t="s">
        <v>990</v>
      </c>
      <c r="C283" s="234">
        <v>5.2097000000000003E-3</v>
      </c>
      <c r="D283" s="234">
        <v>5.4431999999999996E-3</v>
      </c>
      <c r="E283" s="231">
        <v>7989575</v>
      </c>
      <c r="F283" s="231" t="s">
        <v>1924</v>
      </c>
      <c r="G283" s="392">
        <v>2541771</v>
      </c>
      <c r="H283" s="392">
        <v>0</v>
      </c>
      <c r="I283" s="392">
        <v>5019494</v>
      </c>
      <c r="J283" s="231">
        <v>82643</v>
      </c>
      <c r="K283" s="231">
        <v>7643908</v>
      </c>
      <c r="L283" s="231"/>
      <c r="M283" s="300">
        <v>0</v>
      </c>
      <c r="N283" s="300">
        <v>11414703</v>
      </c>
      <c r="O283" s="300">
        <v>0</v>
      </c>
      <c r="P283" s="231">
        <v>253192</v>
      </c>
      <c r="Q283" s="231">
        <v>11667895</v>
      </c>
      <c r="R283" s="231"/>
      <c r="S283" s="392">
        <v>3446956</v>
      </c>
      <c r="T283" s="231">
        <v>-62007</v>
      </c>
      <c r="U283" s="396">
        <v>3384949</v>
      </c>
      <c r="V283" s="231"/>
      <c r="W283" s="396">
        <v>31014865</v>
      </c>
      <c r="X283" s="396">
        <v>-10959005</v>
      </c>
      <c r="Y283" s="396"/>
      <c r="Z283" s="396"/>
    </row>
    <row r="284" spans="1:26">
      <c r="A284" s="390">
        <v>92911</v>
      </c>
      <c r="B284" s="391" t="s">
        <v>991</v>
      </c>
      <c r="C284" s="234">
        <v>1.8693E-3</v>
      </c>
      <c r="D284" s="234">
        <v>1.8653000000000001E-3</v>
      </c>
      <c r="E284" s="231">
        <v>2866751</v>
      </c>
      <c r="F284" s="231" t="s">
        <v>1924</v>
      </c>
      <c r="G284" s="392">
        <v>912017</v>
      </c>
      <c r="H284" s="392">
        <v>0</v>
      </c>
      <c r="I284" s="392">
        <v>1801052</v>
      </c>
      <c r="J284" s="231">
        <v>101714</v>
      </c>
      <c r="K284" s="231">
        <v>2814783</v>
      </c>
      <c r="L284" s="231"/>
      <c r="M284" s="300">
        <v>0</v>
      </c>
      <c r="N284" s="300">
        <v>4095726</v>
      </c>
      <c r="O284" s="300">
        <v>0</v>
      </c>
      <c r="P284" s="231">
        <v>0</v>
      </c>
      <c r="Q284" s="231">
        <v>4095726</v>
      </c>
      <c r="R284" s="231"/>
      <c r="S284" s="392">
        <v>1236807</v>
      </c>
      <c r="T284" s="231">
        <v>47533</v>
      </c>
      <c r="U284" s="396">
        <v>1284340</v>
      </c>
      <c r="V284" s="231"/>
      <c r="W284" s="396">
        <v>11128489</v>
      </c>
      <c r="X284" s="396">
        <v>-3932216</v>
      </c>
      <c r="Y284" s="396"/>
      <c r="Z284" s="396"/>
    </row>
    <row r="285" spans="1:26">
      <c r="A285" s="390">
        <v>92913</v>
      </c>
      <c r="B285" s="391" t="s">
        <v>992</v>
      </c>
      <c r="C285" s="234">
        <v>2.2099999999999998E-5</v>
      </c>
      <c r="D285" s="234">
        <v>1.88E-5</v>
      </c>
      <c r="E285" s="231">
        <v>33892</v>
      </c>
      <c r="F285" s="231" t="s">
        <v>1924</v>
      </c>
      <c r="G285" s="392">
        <v>10782</v>
      </c>
      <c r="H285" s="392">
        <v>0</v>
      </c>
      <c r="I285" s="392">
        <v>21293</v>
      </c>
      <c r="J285" s="231">
        <v>82982</v>
      </c>
      <c r="K285" s="231">
        <v>115057</v>
      </c>
      <c r="L285" s="231"/>
      <c r="M285" s="300">
        <v>0</v>
      </c>
      <c r="N285" s="300">
        <v>48422</v>
      </c>
      <c r="O285" s="300">
        <v>0</v>
      </c>
      <c r="P285" s="231">
        <v>0</v>
      </c>
      <c r="Q285" s="231">
        <v>48422</v>
      </c>
      <c r="R285" s="231"/>
      <c r="S285" s="392">
        <v>14622</v>
      </c>
      <c r="T285" s="231">
        <v>47176</v>
      </c>
      <c r="U285" s="396">
        <v>61798</v>
      </c>
      <c r="V285" s="231"/>
      <c r="W285" s="396">
        <v>131568</v>
      </c>
      <c r="X285" s="396">
        <v>-46489</v>
      </c>
      <c r="Y285" s="396"/>
      <c r="Z285" s="396"/>
    </row>
    <row r="286" spans="1:26">
      <c r="A286" s="390">
        <v>92914</v>
      </c>
      <c r="B286" s="395" t="s">
        <v>993</v>
      </c>
      <c r="C286" s="234">
        <v>3.5500000000000002E-5</v>
      </c>
      <c r="D286" s="234">
        <v>2.6999999999999999E-5</v>
      </c>
      <c r="E286" s="231">
        <v>54443</v>
      </c>
      <c r="F286" s="231" t="s">
        <v>1924</v>
      </c>
      <c r="G286" s="392">
        <v>17320</v>
      </c>
      <c r="H286" s="392">
        <v>0</v>
      </c>
      <c r="I286" s="392">
        <v>34204</v>
      </c>
      <c r="J286" s="231">
        <v>22171</v>
      </c>
      <c r="K286" s="231">
        <v>73695</v>
      </c>
      <c r="L286" s="231"/>
      <c r="M286" s="300">
        <v>0</v>
      </c>
      <c r="N286" s="300">
        <v>77782</v>
      </c>
      <c r="O286" s="300">
        <v>0</v>
      </c>
      <c r="P286" s="231">
        <v>310</v>
      </c>
      <c r="Q286" s="231">
        <v>78092</v>
      </c>
      <c r="R286" s="231"/>
      <c r="S286" s="392">
        <v>23488</v>
      </c>
      <c r="T286" s="231">
        <v>12162</v>
      </c>
      <c r="U286" s="396">
        <v>35650</v>
      </c>
      <c r="V286" s="231"/>
      <c r="W286" s="396">
        <v>211342</v>
      </c>
      <c r="X286" s="396">
        <v>-74677</v>
      </c>
      <c r="Y286" s="396"/>
      <c r="Z286" s="396"/>
    </row>
    <row r="287" spans="1:26">
      <c r="A287" s="390">
        <v>92917</v>
      </c>
      <c r="B287" s="391" t="s">
        <v>994</v>
      </c>
      <c r="C287" s="234">
        <v>2.3E-5</v>
      </c>
      <c r="D287" s="234">
        <v>1.2999999999999999E-5</v>
      </c>
      <c r="E287" s="231">
        <v>35273</v>
      </c>
      <c r="F287" s="231" t="s">
        <v>1924</v>
      </c>
      <c r="G287" s="392">
        <v>11222</v>
      </c>
      <c r="H287" s="392">
        <v>0</v>
      </c>
      <c r="I287" s="392">
        <v>22160</v>
      </c>
      <c r="J287" s="231">
        <v>30193</v>
      </c>
      <c r="K287" s="231">
        <v>63575</v>
      </c>
      <c r="L287" s="231"/>
      <c r="M287" s="300">
        <v>0</v>
      </c>
      <c r="N287" s="300">
        <v>50394</v>
      </c>
      <c r="O287" s="300">
        <v>0</v>
      </c>
      <c r="P287" s="231">
        <v>0</v>
      </c>
      <c r="Q287" s="231">
        <v>50394</v>
      </c>
      <c r="R287" s="231"/>
      <c r="S287" s="392">
        <v>15218</v>
      </c>
      <c r="T287" s="231">
        <v>12932</v>
      </c>
      <c r="U287" s="396">
        <v>28150</v>
      </c>
      <c r="V287" s="231"/>
      <c r="W287" s="396">
        <v>136926</v>
      </c>
      <c r="X287" s="396">
        <v>-48382</v>
      </c>
      <c r="Y287" s="396"/>
      <c r="Z287" s="396"/>
    </row>
    <row r="288" spans="1:26">
      <c r="A288" s="390">
        <v>92921</v>
      </c>
      <c r="B288" s="391" t="s">
        <v>995</v>
      </c>
      <c r="C288" s="234">
        <v>8.8599999999999999E-5</v>
      </c>
      <c r="D288" s="234">
        <v>9.31E-5</v>
      </c>
      <c r="E288" s="231">
        <v>135877</v>
      </c>
      <c r="F288" s="231" t="s">
        <v>1924</v>
      </c>
      <c r="G288" s="392">
        <v>43227</v>
      </c>
      <c r="H288" s="392">
        <v>0</v>
      </c>
      <c r="I288" s="392">
        <v>85365</v>
      </c>
      <c r="J288" s="231">
        <v>10052</v>
      </c>
      <c r="K288" s="231">
        <v>138644</v>
      </c>
      <c r="L288" s="231"/>
      <c r="M288" s="300">
        <v>0</v>
      </c>
      <c r="N288" s="300">
        <v>194127</v>
      </c>
      <c r="O288" s="300">
        <v>0</v>
      </c>
      <c r="P288" s="231">
        <v>5090</v>
      </c>
      <c r="Q288" s="231">
        <v>199217</v>
      </c>
      <c r="R288" s="231"/>
      <c r="S288" s="392">
        <v>58621</v>
      </c>
      <c r="T288" s="231">
        <v>8480</v>
      </c>
      <c r="U288" s="396">
        <v>67101</v>
      </c>
      <c r="V288" s="231"/>
      <c r="W288" s="396">
        <v>527462</v>
      </c>
      <c r="X288" s="396">
        <v>-186377</v>
      </c>
      <c r="Y288" s="396"/>
      <c r="Z288" s="396"/>
    </row>
    <row r="289" spans="1:26" ht="14.25" customHeight="1">
      <c r="A289" s="390">
        <v>92931</v>
      </c>
      <c r="B289" s="391" t="s">
        <v>996</v>
      </c>
      <c r="C289" s="234">
        <v>2.1461000000000002E-3</v>
      </c>
      <c r="D289" s="234">
        <v>2.33E-3</v>
      </c>
      <c r="E289" s="231">
        <v>3291250</v>
      </c>
      <c r="F289" s="231" t="s">
        <v>1924</v>
      </c>
      <c r="G289" s="392">
        <v>1047065</v>
      </c>
      <c r="H289" s="392">
        <v>0</v>
      </c>
      <c r="I289" s="392">
        <v>2067746</v>
      </c>
      <c r="J289" s="231">
        <v>57542</v>
      </c>
      <c r="K289" s="231">
        <v>3172353</v>
      </c>
      <c r="L289" s="231"/>
      <c r="M289" s="300">
        <v>0</v>
      </c>
      <c r="N289" s="300">
        <v>4702208</v>
      </c>
      <c r="O289" s="300">
        <v>0</v>
      </c>
      <c r="P289" s="231">
        <v>394081</v>
      </c>
      <c r="Q289" s="231">
        <v>5096289</v>
      </c>
      <c r="R289" s="231"/>
      <c r="S289" s="392">
        <v>1419950</v>
      </c>
      <c r="T289" s="231">
        <v>-131079</v>
      </c>
      <c r="U289" s="396">
        <v>1288871</v>
      </c>
      <c r="V289" s="231"/>
      <c r="W289" s="396">
        <v>12776360</v>
      </c>
      <c r="X289" s="396">
        <v>-4514487</v>
      </c>
      <c r="Y289" s="396"/>
      <c r="Z289" s="396"/>
    </row>
    <row r="290" spans="1:26">
      <c r="A290" s="390">
        <v>92941</v>
      </c>
      <c r="B290" s="391" t="s">
        <v>81</v>
      </c>
      <c r="C290" s="234">
        <v>4.5000000000000001E-6</v>
      </c>
      <c r="D290" s="234">
        <v>4.3000000000000003E-6</v>
      </c>
      <c r="E290" s="231">
        <v>6901</v>
      </c>
      <c r="F290" s="231" t="s">
        <v>1924</v>
      </c>
      <c r="G290" s="392">
        <v>2196</v>
      </c>
      <c r="H290" s="392">
        <v>0</v>
      </c>
      <c r="I290" s="392">
        <v>4336</v>
      </c>
      <c r="J290" s="231">
        <v>2323</v>
      </c>
      <c r="K290" s="231">
        <v>8855</v>
      </c>
      <c r="L290" s="231"/>
      <c r="M290" s="300">
        <v>0</v>
      </c>
      <c r="N290" s="300">
        <v>9860</v>
      </c>
      <c r="O290" s="300">
        <v>0</v>
      </c>
      <c r="P290" s="231">
        <v>691</v>
      </c>
      <c r="Q290" s="231">
        <v>10551</v>
      </c>
      <c r="R290" s="231"/>
      <c r="S290" s="392">
        <v>2977</v>
      </c>
      <c r="T290" s="231">
        <v>-199</v>
      </c>
      <c r="U290" s="396">
        <v>2778</v>
      </c>
      <c r="V290" s="231"/>
      <c r="W290" s="396">
        <v>26790</v>
      </c>
      <c r="X290" s="396">
        <v>-9466</v>
      </c>
      <c r="Y290" s="396"/>
      <c r="Z290" s="396"/>
    </row>
    <row r="291" spans="1:26">
      <c r="A291" s="390">
        <v>93001</v>
      </c>
      <c r="B291" s="391" t="s">
        <v>997</v>
      </c>
      <c r="C291" s="234">
        <v>2.2403000000000002E-3</v>
      </c>
      <c r="D291" s="234">
        <v>2.1771E-3</v>
      </c>
      <c r="E291" s="231">
        <v>3435715</v>
      </c>
      <c r="F291" s="231" t="s">
        <v>1924</v>
      </c>
      <c r="G291" s="392">
        <v>1093024</v>
      </c>
      <c r="H291" s="392">
        <v>0</v>
      </c>
      <c r="I291" s="392">
        <v>2158507</v>
      </c>
      <c r="J291" s="231">
        <v>122800</v>
      </c>
      <c r="K291" s="231">
        <v>3374331</v>
      </c>
      <c r="L291" s="231"/>
      <c r="M291" s="300">
        <v>0</v>
      </c>
      <c r="N291" s="300">
        <v>4908605</v>
      </c>
      <c r="O291" s="300">
        <v>0</v>
      </c>
      <c r="P291" s="231">
        <v>67089</v>
      </c>
      <c r="Q291" s="231">
        <v>4975694</v>
      </c>
      <c r="R291" s="231"/>
      <c r="S291" s="392">
        <v>1482277</v>
      </c>
      <c r="T291" s="231">
        <v>-7268</v>
      </c>
      <c r="U291" s="396">
        <v>1475009</v>
      </c>
      <c r="V291" s="231"/>
      <c r="W291" s="396">
        <v>13337160</v>
      </c>
      <c r="X291" s="396">
        <v>-4712644</v>
      </c>
      <c r="Y291" s="396"/>
      <c r="Z291" s="396"/>
    </row>
    <row r="292" spans="1:26">
      <c r="A292" s="390">
        <v>93009</v>
      </c>
      <c r="B292" s="391" t="s">
        <v>998</v>
      </c>
      <c r="C292" s="234">
        <v>5.9000000000000003E-6</v>
      </c>
      <c r="D292" s="234">
        <v>1.19E-5</v>
      </c>
      <c r="E292" s="231">
        <v>9048</v>
      </c>
      <c r="F292" s="231" t="s">
        <v>1924</v>
      </c>
      <c r="G292" s="392">
        <v>2879</v>
      </c>
      <c r="H292" s="392">
        <v>0</v>
      </c>
      <c r="I292" s="392">
        <v>5685</v>
      </c>
      <c r="J292" s="231">
        <v>0</v>
      </c>
      <c r="K292" s="231">
        <v>8564</v>
      </c>
      <c r="L292" s="231"/>
      <c r="M292" s="300">
        <v>0</v>
      </c>
      <c r="N292" s="300">
        <v>12927</v>
      </c>
      <c r="O292" s="300">
        <v>0</v>
      </c>
      <c r="P292" s="231">
        <v>13119</v>
      </c>
      <c r="Q292" s="231">
        <v>26046</v>
      </c>
      <c r="R292" s="231"/>
      <c r="S292" s="392">
        <v>3904</v>
      </c>
      <c r="T292" s="231">
        <v>-5362</v>
      </c>
      <c r="U292" s="396">
        <v>-1458</v>
      </c>
      <c r="V292" s="231"/>
      <c r="W292" s="396">
        <v>35124</v>
      </c>
      <c r="X292" s="396">
        <v>-12411</v>
      </c>
      <c r="Y292" s="396"/>
      <c r="Z292" s="396"/>
    </row>
    <row r="293" spans="1:26">
      <c r="A293" s="390">
        <v>93011</v>
      </c>
      <c r="B293" s="391" t="s">
        <v>999</v>
      </c>
      <c r="C293" s="234">
        <v>2.809E-4</v>
      </c>
      <c r="D293" s="234">
        <v>3.121E-4</v>
      </c>
      <c r="E293" s="231">
        <v>430787</v>
      </c>
      <c r="F293" s="231" t="s">
        <v>1924</v>
      </c>
      <c r="G293" s="392">
        <v>137049</v>
      </c>
      <c r="H293" s="392">
        <v>0</v>
      </c>
      <c r="I293" s="392">
        <v>270644</v>
      </c>
      <c r="J293" s="231">
        <v>26050</v>
      </c>
      <c r="K293" s="231">
        <v>433743</v>
      </c>
      <c r="L293" s="231"/>
      <c r="M293" s="300">
        <v>0</v>
      </c>
      <c r="N293" s="300">
        <v>615465</v>
      </c>
      <c r="O293" s="300">
        <v>0</v>
      </c>
      <c r="P293" s="231">
        <v>58257</v>
      </c>
      <c r="Q293" s="231">
        <v>673722</v>
      </c>
      <c r="R293" s="231"/>
      <c r="S293" s="392">
        <v>185855</v>
      </c>
      <c r="T293" s="231">
        <v>-3442</v>
      </c>
      <c r="U293" s="396">
        <v>182413</v>
      </c>
      <c r="V293" s="231"/>
      <c r="W293" s="396">
        <v>1672280</v>
      </c>
      <c r="X293" s="396">
        <v>-590895</v>
      </c>
      <c r="Y293" s="396"/>
      <c r="Z293" s="396"/>
    </row>
    <row r="294" spans="1:26">
      <c r="A294" s="390">
        <v>93021</v>
      </c>
      <c r="B294" s="391" t="s">
        <v>1000</v>
      </c>
      <c r="C294" s="234">
        <v>2.6299999999999999E-5</v>
      </c>
      <c r="D294" s="234">
        <v>3.0300000000000001E-5</v>
      </c>
      <c r="E294" s="231">
        <v>40334</v>
      </c>
      <c r="F294" s="231" t="s">
        <v>1924</v>
      </c>
      <c r="G294" s="392">
        <v>12832</v>
      </c>
      <c r="H294" s="392">
        <v>0</v>
      </c>
      <c r="I294" s="392">
        <v>25340</v>
      </c>
      <c r="J294" s="231">
        <v>0</v>
      </c>
      <c r="K294" s="231">
        <v>38172</v>
      </c>
      <c r="L294" s="231"/>
      <c r="M294" s="300">
        <v>0</v>
      </c>
      <c r="N294" s="300">
        <v>57625</v>
      </c>
      <c r="O294" s="300">
        <v>0</v>
      </c>
      <c r="P294" s="231">
        <v>9402</v>
      </c>
      <c r="Q294" s="231">
        <v>67027</v>
      </c>
      <c r="R294" s="231"/>
      <c r="S294" s="392">
        <v>17401</v>
      </c>
      <c r="T294" s="231">
        <v>-3597</v>
      </c>
      <c r="U294" s="396">
        <v>13804</v>
      </c>
      <c r="V294" s="231"/>
      <c r="W294" s="396">
        <v>156572</v>
      </c>
      <c r="X294" s="396">
        <v>-55324</v>
      </c>
      <c r="Y294" s="396"/>
      <c r="Z294" s="396"/>
    </row>
    <row r="295" spans="1:26">
      <c r="A295" s="390">
        <v>93027</v>
      </c>
      <c r="B295" s="391" t="s">
        <v>1001</v>
      </c>
      <c r="C295" s="234">
        <v>0</v>
      </c>
      <c r="D295" s="234">
        <v>0</v>
      </c>
      <c r="E295" s="231">
        <v>0</v>
      </c>
      <c r="F295" s="231" t="s">
        <v>1924</v>
      </c>
      <c r="G295" s="392">
        <v>0</v>
      </c>
      <c r="H295" s="392">
        <v>0</v>
      </c>
      <c r="I295" s="392">
        <v>0</v>
      </c>
      <c r="J295" s="231">
        <v>0</v>
      </c>
      <c r="K295" s="231">
        <v>0</v>
      </c>
      <c r="L295" s="231"/>
      <c r="M295" s="300">
        <v>0</v>
      </c>
      <c r="N295" s="300">
        <v>0</v>
      </c>
      <c r="O295" s="300">
        <v>0</v>
      </c>
      <c r="P295" s="231">
        <v>6912</v>
      </c>
      <c r="Q295" s="231">
        <v>6912</v>
      </c>
      <c r="R295" s="231"/>
      <c r="S295" s="392">
        <v>0</v>
      </c>
      <c r="T295" s="231">
        <v>-3601</v>
      </c>
      <c r="U295" s="396">
        <v>-3601</v>
      </c>
      <c r="V295" s="231"/>
      <c r="W295" s="396">
        <v>0</v>
      </c>
      <c r="X295" s="396">
        <v>0</v>
      </c>
      <c r="Y295" s="396"/>
      <c r="Z295" s="396"/>
    </row>
    <row r="296" spans="1:26">
      <c r="A296" s="390">
        <v>93028</v>
      </c>
      <c r="B296" s="391" t="s">
        <v>3609</v>
      </c>
      <c r="C296" s="234">
        <v>1.9199999999999999E-5</v>
      </c>
      <c r="D296" s="234">
        <v>2.16E-5</v>
      </c>
      <c r="E296" s="231">
        <v>29445</v>
      </c>
      <c r="F296" s="231" t="s">
        <v>1924</v>
      </c>
      <c r="G296" s="392">
        <v>9368</v>
      </c>
      <c r="H296" s="392">
        <v>0</v>
      </c>
      <c r="I296" s="392">
        <v>18499</v>
      </c>
      <c r="J296" s="231">
        <v>19642</v>
      </c>
      <c r="K296" s="231">
        <v>47509</v>
      </c>
      <c r="L296" s="231"/>
      <c r="M296" s="300">
        <v>0</v>
      </c>
      <c r="N296" s="300">
        <v>42068</v>
      </c>
      <c r="O296" s="300">
        <v>0</v>
      </c>
      <c r="P296" s="231">
        <v>5968</v>
      </c>
      <c r="Q296" s="231">
        <v>48036</v>
      </c>
      <c r="R296" s="231"/>
      <c r="S296" s="392">
        <v>12704</v>
      </c>
      <c r="T296" s="231">
        <v>7832</v>
      </c>
      <c r="U296" s="396">
        <v>20536</v>
      </c>
      <c r="V296" s="231"/>
      <c r="W296" s="396">
        <v>114303</v>
      </c>
      <c r="X296" s="396">
        <v>-40389</v>
      </c>
      <c r="Y296" s="396"/>
      <c r="Z296" s="396"/>
    </row>
    <row r="297" spans="1:26">
      <c r="A297" s="390">
        <v>93031</v>
      </c>
      <c r="B297" s="391" t="s">
        <v>1002</v>
      </c>
      <c r="C297" s="234">
        <v>3.8999999999999999E-6</v>
      </c>
      <c r="D297" s="234">
        <v>4.6E-6</v>
      </c>
      <c r="E297" s="231">
        <v>5981</v>
      </c>
      <c r="F297" s="231" t="s">
        <v>1924</v>
      </c>
      <c r="G297" s="392">
        <v>1903</v>
      </c>
      <c r="H297" s="392">
        <v>0</v>
      </c>
      <c r="I297" s="392">
        <v>3758</v>
      </c>
      <c r="J297" s="231">
        <v>4338</v>
      </c>
      <c r="K297" s="231">
        <v>9999</v>
      </c>
      <c r="L297" s="231"/>
      <c r="M297" s="300">
        <v>0</v>
      </c>
      <c r="N297" s="300">
        <v>8545</v>
      </c>
      <c r="O297" s="300">
        <v>0</v>
      </c>
      <c r="P297" s="231">
        <v>2424</v>
      </c>
      <c r="Q297" s="231">
        <v>10969</v>
      </c>
      <c r="R297" s="231"/>
      <c r="S297" s="392">
        <v>2580</v>
      </c>
      <c r="T297" s="231">
        <v>3570</v>
      </c>
      <c r="U297" s="396">
        <v>6150</v>
      </c>
      <c r="V297" s="231"/>
      <c r="W297" s="396">
        <v>23218</v>
      </c>
      <c r="X297" s="396">
        <v>-8204</v>
      </c>
      <c r="Y297" s="396"/>
      <c r="Z297" s="396"/>
    </row>
    <row r="298" spans="1:26">
      <c r="A298" s="390">
        <v>93101</v>
      </c>
      <c r="B298" s="391" t="s">
        <v>1003</v>
      </c>
      <c r="C298" s="234">
        <v>2.8521000000000002E-3</v>
      </c>
      <c r="D298" s="234">
        <v>2.9229999999999998E-3</v>
      </c>
      <c r="E298" s="231">
        <v>4373969</v>
      </c>
      <c r="F298" s="231" t="s">
        <v>1924</v>
      </c>
      <c r="G298" s="392">
        <v>1391517</v>
      </c>
      <c r="H298" s="392">
        <v>0</v>
      </c>
      <c r="I298" s="392">
        <v>2747970</v>
      </c>
      <c r="J298" s="231">
        <v>0</v>
      </c>
      <c r="K298" s="231">
        <v>4139487</v>
      </c>
      <c r="L298" s="231"/>
      <c r="M298" s="300">
        <v>0</v>
      </c>
      <c r="N298" s="300">
        <v>6249088</v>
      </c>
      <c r="O298" s="300">
        <v>0</v>
      </c>
      <c r="P298" s="231">
        <v>484959</v>
      </c>
      <c r="Q298" s="231">
        <v>6734047</v>
      </c>
      <c r="R298" s="231"/>
      <c r="S298" s="392">
        <v>1887069</v>
      </c>
      <c r="T298" s="231">
        <v>-273525</v>
      </c>
      <c r="U298" s="396">
        <v>1613544</v>
      </c>
      <c r="V298" s="231"/>
      <c r="W298" s="396">
        <v>16979384</v>
      </c>
      <c r="X298" s="396">
        <v>-5999612</v>
      </c>
      <c r="Y298" s="396"/>
      <c r="Z298" s="396"/>
    </row>
    <row r="299" spans="1:26">
      <c r="A299" s="390">
        <v>93103</v>
      </c>
      <c r="B299" s="391" t="s">
        <v>260</v>
      </c>
      <c r="C299" s="234">
        <v>0</v>
      </c>
      <c r="D299" s="234">
        <v>1.6200000000000001E-5</v>
      </c>
      <c r="E299" s="231">
        <v>0</v>
      </c>
      <c r="F299" s="231" t="s">
        <v>1924</v>
      </c>
      <c r="G299" s="392">
        <v>0</v>
      </c>
      <c r="H299" s="392">
        <v>0</v>
      </c>
      <c r="I299" s="392">
        <v>0</v>
      </c>
      <c r="J299" s="231">
        <v>0</v>
      </c>
      <c r="K299" s="231">
        <v>0</v>
      </c>
      <c r="L299" s="231"/>
      <c r="M299" s="300">
        <v>0</v>
      </c>
      <c r="N299" s="300">
        <v>0</v>
      </c>
      <c r="O299" s="300">
        <v>0</v>
      </c>
      <c r="P299" s="231">
        <v>32695</v>
      </c>
      <c r="Q299" s="231">
        <v>32695</v>
      </c>
      <c r="R299" s="231"/>
      <c r="S299" s="392">
        <v>0</v>
      </c>
      <c r="T299" s="231">
        <v>-12283</v>
      </c>
      <c r="U299" s="396">
        <v>-12283</v>
      </c>
      <c r="V299" s="231"/>
      <c r="W299" s="396">
        <v>0</v>
      </c>
      <c r="X299" s="396">
        <v>0</v>
      </c>
      <c r="Y299" s="396"/>
      <c r="Z299" s="396"/>
    </row>
    <row r="300" spans="1:26">
      <c r="A300" s="390">
        <v>93108</v>
      </c>
      <c r="B300" s="391" t="s">
        <v>1004</v>
      </c>
      <c r="C300" s="234">
        <v>2.3987000000000001E-3</v>
      </c>
      <c r="D300" s="234">
        <v>2.1960999999999999E-3</v>
      </c>
      <c r="E300" s="231">
        <v>3678637</v>
      </c>
      <c r="F300" s="231" t="s">
        <v>1924</v>
      </c>
      <c r="G300" s="392">
        <v>1170307</v>
      </c>
      <c r="H300" s="392">
        <v>0</v>
      </c>
      <c r="I300" s="392">
        <v>2311123</v>
      </c>
      <c r="J300" s="231">
        <v>370558</v>
      </c>
      <c r="K300" s="231">
        <v>3851988</v>
      </c>
      <c r="L300" s="231"/>
      <c r="M300" s="300">
        <v>0</v>
      </c>
      <c r="N300" s="300">
        <v>5255667</v>
      </c>
      <c r="O300" s="300">
        <v>0</v>
      </c>
      <c r="P300" s="231">
        <v>123297</v>
      </c>
      <c r="Q300" s="231">
        <v>5378964</v>
      </c>
      <c r="R300" s="231"/>
      <c r="S300" s="392">
        <v>1587081</v>
      </c>
      <c r="T300" s="231">
        <v>48683</v>
      </c>
      <c r="U300" s="396">
        <v>1635764</v>
      </c>
      <c r="V300" s="231"/>
      <c r="W300" s="396">
        <v>14280162</v>
      </c>
      <c r="X300" s="396">
        <v>-5045850</v>
      </c>
      <c r="Y300" s="396"/>
      <c r="Z300" s="396"/>
    </row>
    <row r="301" spans="1:26">
      <c r="A301" s="390">
        <v>93111</v>
      </c>
      <c r="B301" s="391" t="s">
        <v>1005</v>
      </c>
      <c r="C301" s="234">
        <v>5.7899999999999998E-5</v>
      </c>
      <c r="D301" s="234">
        <v>5.4400000000000001E-5</v>
      </c>
      <c r="E301" s="231">
        <v>88795</v>
      </c>
      <c r="F301" s="231" t="s">
        <v>1924</v>
      </c>
      <c r="G301" s="392">
        <v>28249</v>
      </c>
      <c r="H301" s="392">
        <v>0</v>
      </c>
      <c r="I301" s="392">
        <v>55786</v>
      </c>
      <c r="J301" s="231">
        <v>7865</v>
      </c>
      <c r="K301" s="231">
        <v>91900</v>
      </c>
      <c r="L301" s="231"/>
      <c r="M301" s="300">
        <v>0</v>
      </c>
      <c r="N301" s="300">
        <v>126862</v>
      </c>
      <c r="O301" s="300">
        <v>0</v>
      </c>
      <c r="P301" s="231">
        <v>4699</v>
      </c>
      <c r="Q301" s="231">
        <v>131561</v>
      </c>
      <c r="R301" s="231"/>
      <c r="S301" s="392">
        <v>38309</v>
      </c>
      <c r="T301" s="231">
        <v>-1633</v>
      </c>
      <c r="U301" s="396">
        <v>36676</v>
      </c>
      <c r="V301" s="231"/>
      <c r="W301" s="396">
        <v>344696</v>
      </c>
      <c r="X301" s="396">
        <v>-121797</v>
      </c>
      <c r="Y301" s="396"/>
      <c r="Z301" s="396"/>
    </row>
    <row r="302" spans="1:26">
      <c r="A302" s="390">
        <v>93121</v>
      </c>
      <c r="B302" s="391" t="s">
        <v>1006</v>
      </c>
      <c r="C302" s="234">
        <v>4.8000000000000001E-5</v>
      </c>
      <c r="D302" s="234">
        <v>5.38E-5</v>
      </c>
      <c r="E302" s="231">
        <v>73613</v>
      </c>
      <c r="F302" s="231" t="s">
        <v>1924</v>
      </c>
      <c r="G302" s="392">
        <v>23419</v>
      </c>
      <c r="H302" s="392">
        <v>0</v>
      </c>
      <c r="I302" s="392">
        <v>46248</v>
      </c>
      <c r="J302" s="231">
        <v>4391</v>
      </c>
      <c r="K302" s="231">
        <v>74058</v>
      </c>
      <c r="L302" s="231"/>
      <c r="M302" s="300">
        <v>0</v>
      </c>
      <c r="N302" s="300">
        <v>105170</v>
      </c>
      <c r="O302" s="300">
        <v>0</v>
      </c>
      <c r="P302" s="231">
        <v>7881</v>
      </c>
      <c r="Q302" s="231">
        <v>113051</v>
      </c>
      <c r="R302" s="231"/>
      <c r="S302" s="392">
        <v>31759</v>
      </c>
      <c r="T302" s="231">
        <v>-1041</v>
      </c>
      <c r="U302" s="396">
        <v>30718</v>
      </c>
      <c r="V302" s="231"/>
      <c r="W302" s="396">
        <v>285758</v>
      </c>
      <c r="X302" s="396">
        <v>-100972</v>
      </c>
      <c r="Y302" s="396"/>
      <c r="Z302" s="396"/>
    </row>
    <row r="303" spans="1:26">
      <c r="A303" s="390">
        <v>93127</v>
      </c>
      <c r="B303" s="391" t="s">
        <v>1007</v>
      </c>
      <c r="C303" s="234">
        <v>4.1999999999999996E-6</v>
      </c>
      <c r="D303" s="234">
        <v>5.8000000000000004E-6</v>
      </c>
      <c r="E303" s="231">
        <v>6441</v>
      </c>
      <c r="F303" s="231" t="s">
        <v>1924</v>
      </c>
      <c r="G303" s="392">
        <v>2049</v>
      </c>
      <c r="H303" s="392">
        <v>0</v>
      </c>
      <c r="I303" s="392">
        <v>4047</v>
      </c>
      <c r="J303" s="231">
        <v>176</v>
      </c>
      <c r="K303" s="231">
        <v>6272</v>
      </c>
      <c r="L303" s="231"/>
      <c r="M303" s="300">
        <v>0</v>
      </c>
      <c r="N303" s="300">
        <v>9202</v>
      </c>
      <c r="O303" s="300">
        <v>0</v>
      </c>
      <c r="P303" s="231">
        <v>2867</v>
      </c>
      <c r="Q303" s="231">
        <v>12069</v>
      </c>
      <c r="R303" s="231"/>
      <c r="S303" s="392">
        <v>2779</v>
      </c>
      <c r="T303" s="231">
        <v>-927</v>
      </c>
      <c r="U303" s="396">
        <v>1852</v>
      </c>
      <c r="V303" s="231"/>
      <c r="W303" s="396">
        <v>25004</v>
      </c>
      <c r="X303" s="396">
        <v>-8835</v>
      </c>
      <c r="Y303" s="396"/>
      <c r="Z303" s="396"/>
    </row>
    <row r="304" spans="1:26">
      <c r="A304" s="390">
        <v>93131</v>
      </c>
      <c r="B304" s="391" t="s">
        <v>1008</v>
      </c>
      <c r="C304" s="234">
        <v>1.706E-4</v>
      </c>
      <c r="D304" s="234">
        <v>1.727E-4</v>
      </c>
      <c r="E304" s="231">
        <v>261631</v>
      </c>
      <c r="F304" s="231" t="s">
        <v>1924</v>
      </c>
      <c r="G304" s="392">
        <v>83234</v>
      </c>
      <c r="H304" s="392">
        <v>0</v>
      </c>
      <c r="I304" s="392">
        <v>164371</v>
      </c>
      <c r="J304" s="231">
        <v>4666</v>
      </c>
      <c r="K304" s="231">
        <v>252271</v>
      </c>
      <c r="L304" s="231"/>
      <c r="M304" s="300">
        <v>0</v>
      </c>
      <c r="N304" s="300">
        <v>373793</v>
      </c>
      <c r="O304" s="300">
        <v>0</v>
      </c>
      <c r="P304" s="231">
        <v>12392</v>
      </c>
      <c r="Q304" s="231">
        <v>386185</v>
      </c>
      <c r="R304" s="231"/>
      <c r="S304" s="392">
        <v>112876</v>
      </c>
      <c r="T304" s="231">
        <v>-11126</v>
      </c>
      <c r="U304" s="396">
        <v>101750</v>
      </c>
      <c r="V304" s="231"/>
      <c r="W304" s="396">
        <v>1015632</v>
      </c>
      <c r="X304" s="396">
        <v>-358870</v>
      </c>
      <c r="Y304" s="396"/>
      <c r="Z304" s="396"/>
    </row>
    <row r="305" spans="1:26">
      <c r="A305" s="390">
        <v>93137</v>
      </c>
      <c r="B305" s="391" t="s">
        <v>1009</v>
      </c>
      <c r="C305" s="234">
        <v>6.1E-6</v>
      </c>
      <c r="D305" s="234">
        <v>5.0000000000000004E-6</v>
      </c>
      <c r="E305" s="231">
        <v>9355</v>
      </c>
      <c r="F305" s="231" t="s">
        <v>1924</v>
      </c>
      <c r="G305" s="392">
        <v>2976</v>
      </c>
      <c r="H305" s="392">
        <v>0</v>
      </c>
      <c r="I305" s="392">
        <v>5877</v>
      </c>
      <c r="J305" s="231">
        <v>3812</v>
      </c>
      <c r="K305" s="231">
        <v>12665</v>
      </c>
      <c r="L305" s="231"/>
      <c r="M305" s="300">
        <v>0</v>
      </c>
      <c r="N305" s="300">
        <v>13365</v>
      </c>
      <c r="O305" s="300">
        <v>0</v>
      </c>
      <c r="P305" s="231">
        <v>0</v>
      </c>
      <c r="Q305" s="231">
        <v>13365</v>
      </c>
      <c r="R305" s="231"/>
      <c r="S305" s="392">
        <v>4036</v>
      </c>
      <c r="T305" s="231">
        <v>2093</v>
      </c>
      <c r="U305" s="396">
        <v>6129</v>
      </c>
      <c r="V305" s="231"/>
      <c r="W305" s="396">
        <v>36315</v>
      </c>
      <c r="X305" s="396">
        <v>-12832</v>
      </c>
      <c r="Y305" s="396"/>
      <c r="Z305" s="396"/>
    </row>
    <row r="306" spans="1:26">
      <c r="A306" s="390">
        <v>93141</v>
      </c>
      <c r="B306" s="391" t="s">
        <v>1010</v>
      </c>
      <c r="C306" s="234">
        <v>3.26E-5</v>
      </c>
      <c r="D306" s="234">
        <v>3.6900000000000002E-5</v>
      </c>
      <c r="E306" s="231">
        <v>49995</v>
      </c>
      <c r="F306" s="231" t="s">
        <v>1924</v>
      </c>
      <c r="G306" s="392">
        <v>15905</v>
      </c>
      <c r="H306" s="392">
        <v>0</v>
      </c>
      <c r="I306" s="392">
        <v>31410</v>
      </c>
      <c r="J306" s="231">
        <v>3868</v>
      </c>
      <c r="K306" s="231">
        <v>51183</v>
      </c>
      <c r="L306" s="231"/>
      <c r="M306" s="300">
        <v>0</v>
      </c>
      <c r="N306" s="300">
        <v>71428</v>
      </c>
      <c r="O306" s="300">
        <v>0</v>
      </c>
      <c r="P306" s="231">
        <v>9131</v>
      </c>
      <c r="Q306" s="231">
        <v>80559</v>
      </c>
      <c r="R306" s="231"/>
      <c r="S306" s="392">
        <v>21570</v>
      </c>
      <c r="T306" s="231">
        <v>-3392</v>
      </c>
      <c r="U306" s="396">
        <v>18178</v>
      </c>
      <c r="V306" s="231"/>
      <c r="W306" s="396">
        <v>194077</v>
      </c>
      <c r="X306" s="396">
        <v>-68577</v>
      </c>
      <c r="Y306" s="396"/>
      <c r="Z306" s="396"/>
    </row>
    <row r="307" spans="1:26">
      <c r="A307" s="390">
        <v>93151</v>
      </c>
      <c r="B307" s="391" t="s">
        <v>1011</v>
      </c>
      <c r="C307" s="234">
        <v>3.6019999999999997E-4</v>
      </c>
      <c r="D307" s="234">
        <v>3.5359999999999998E-4</v>
      </c>
      <c r="E307" s="231">
        <v>552401</v>
      </c>
      <c r="F307" s="231" t="s">
        <v>1924</v>
      </c>
      <c r="G307" s="392">
        <v>175739</v>
      </c>
      <c r="H307" s="392">
        <v>0</v>
      </c>
      <c r="I307" s="392">
        <v>347049</v>
      </c>
      <c r="J307" s="231">
        <v>14829</v>
      </c>
      <c r="K307" s="231">
        <v>537617</v>
      </c>
      <c r="L307" s="231"/>
      <c r="M307" s="300">
        <v>0</v>
      </c>
      <c r="N307" s="300">
        <v>789215</v>
      </c>
      <c r="O307" s="300">
        <v>0</v>
      </c>
      <c r="P307" s="231">
        <v>28963</v>
      </c>
      <c r="Q307" s="231">
        <v>818178</v>
      </c>
      <c r="R307" s="231"/>
      <c r="S307" s="392">
        <v>238323</v>
      </c>
      <c r="T307" s="231">
        <v>-13518</v>
      </c>
      <c r="U307" s="396">
        <v>224805</v>
      </c>
      <c r="V307" s="231"/>
      <c r="W307" s="396">
        <v>2144376</v>
      </c>
      <c r="X307" s="396">
        <v>-757708</v>
      </c>
      <c r="Y307" s="396"/>
      <c r="Z307" s="396"/>
    </row>
    <row r="308" spans="1:26">
      <c r="A308" s="390">
        <v>93157</v>
      </c>
      <c r="B308" s="391" t="s">
        <v>1012</v>
      </c>
      <c r="C308" s="234">
        <v>8.8000000000000004E-6</v>
      </c>
      <c r="D308" s="234">
        <v>1.2799999999999999E-5</v>
      </c>
      <c r="E308" s="231">
        <v>13496</v>
      </c>
      <c r="F308" s="231" t="s">
        <v>1924</v>
      </c>
      <c r="G308" s="392">
        <v>4293</v>
      </c>
      <c r="H308" s="392">
        <v>0</v>
      </c>
      <c r="I308" s="392">
        <v>8479</v>
      </c>
      <c r="J308" s="231">
        <v>7819</v>
      </c>
      <c r="K308" s="231">
        <v>20591</v>
      </c>
      <c r="L308" s="231"/>
      <c r="M308" s="300">
        <v>0</v>
      </c>
      <c r="N308" s="300">
        <v>19281</v>
      </c>
      <c r="O308" s="300">
        <v>0</v>
      </c>
      <c r="P308" s="231">
        <v>5692</v>
      </c>
      <c r="Q308" s="231">
        <v>24973</v>
      </c>
      <c r="R308" s="231"/>
      <c r="S308" s="392">
        <v>5822</v>
      </c>
      <c r="T308" s="231">
        <v>3357</v>
      </c>
      <c r="U308" s="396">
        <v>9179</v>
      </c>
      <c r="V308" s="231"/>
      <c r="W308" s="396">
        <v>52389</v>
      </c>
      <c r="X308" s="396">
        <v>-18511</v>
      </c>
      <c r="Y308" s="396"/>
      <c r="Z308" s="396"/>
    </row>
    <row r="309" spans="1:26">
      <c r="A309" s="390">
        <v>93161</v>
      </c>
      <c r="B309" s="391" t="s">
        <v>1013</v>
      </c>
      <c r="C309" s="234">
        <v>9.7800000000000006E-5</v>
      </c>
      <c r="D309" s="234">
        <v>1.037E-4</v>
      </c>
      <c r="E309" s="231">
        <v>149986</v>
      </c>
      <c r="F309" s="231" t="s">
        <v>1924</v>
      </c>
      <c r="G309" s="392">
        <v>47716</v>
      </c>
      <c r="H309" s="392">
        <v>0</v>
      </c>
      <c r="I309" s="392">
        <v>94229</v>
      </c>
      <c r="J309" s="231">
        <v>2757</v>
      </c>
      <c r="K309" s="231">
        <v>144702</v>
      </c>
      <c r="L309" s="231"/>
      <c r="M309" s="300">
        <v>0</v>
      </c>
      <c r="N309" s="300">
        <v>214284</v>
      </c>
      <c r="O309" s="300">
        <v>0</v>
      </c>
      <c r="P309" s="231">
        <v>32886</v>
      </c>
      <c r="Q309" s="231">
        <v>247170</v>
      </c>
      <c r="R309" s="231"/>
      <c r="S309" s="392">
        <v>64709</v>
      </c>
      <c r="T309" s="231">
        <v>-4959</v>
      </c>
      <c r="U309" s="396">
        <v>59750</v>
      </c>
      <c r="V309" s="231"/>
      <c r="W309" s="396">
        <v>582232</v>
      </c>
      <c r="X309" s="396">
        <v>-205730</v>
      </c>
      <c r="Y309" s="396"/>
      <c r="Z309" s="396"/>
    </row>
    <row r="310" spans="1:26" ht="14.25" customHeight="1">
      <c r="A310" s="390">
        <v>93171</v>
      </c>
      <c r="B310" s="391" t="s">
        <v>1014</v>
      </c>
      <c r="C310" s="234">
        <v>1.03E-5</v>
      </c>
      <c r="D310" s="234">
        <v>9.0999999999999993E-6</v>
      </c>
      <c r="E310" s="231">
        <v>15796</v>
      </c>
      <c r="F310" s="231" t="s">
        <v>1924</v>
      </c>
      <c r="G310" s="392">
        <v>5025</v>
      </c>
      <c r="H310" s="392">
        <v>0</v>
      </c>
      <c r="I310" s="392">
        <v>9924</v>
      </c>
      <c r="J310" s="231">
        <v>8496</v>
      </c>
      <c r="K310" s="231">
        <v>23445</v>
      </c>
      <c r="L310" s="231"/>
      <c r="M310" s="300">
        <v>0</v>
      </c>
      <c r="N310" s="300">
        <v>22568</v>
      </c>
      <c r="O310" s="300">
        <v>0</v>
      </c>
      <c r="P310" s="231">
        <v>246</v>
      </c>
      <c r="Q310" s="231">
        <v>22814</v>
      </c>
      <c r="R310" s="231"/>
      <c r="S310" s="392">
        <v>6815</v>
      </c>
      <c r="T310" s="231">
        <v>3782</v>
      </c>
      <c r="U310" s="396">
        <v>10597</v>
      </c>
      <c r="V310" s="231"/>
      <c r="W310" s="396">
        <v>61319</v>
      </c>
      <c r="X310" s="396">
        <v>-21667</v>
      </c>
      <c r="Y310" s="396"/>
      <c r="Z310" s="396"/>
    </row>
    <row r="311" spans="1:26">
      <c r="A311" s="390">
        <v>93181</v>
      </c>
      <c r="B311" s="391" t="s">
        <v>1015</v>
      </c>
      <c r="C311" s="234">
        <v>1.06E-5</v>
      </c>
      <c r="D311" s="234">
        <v>1.0000000000000001E-5</v>
      </c>
      <c r="E311" s="231">
        <v>16256</v>
      </c>
      <c r="F311" s="231" t="s">
        <v>1924</v>
      </c>
      <c r="G311" s="392">
        <v>5172</v>
      </c>
      <c r="H311" s="392">
        <v>0</v>
      </c>
      <c r="I311" s="392">
        <v>10213</v>
      </c>
      <c r="J311" s="231">
        <v>2863</v>
      </c>
      <c r="K311" s="231">
        <v>18248</v>
      </c>
      <c r="L311" s="231"/>
      <c r="M311" s="300">
        <v>0</v>
      </c>
      <c r="N311" s="300">
        <v>23225</v>
      </c>
      <c r="O311" s="300">
        <v>0</v>
      </c>
      <c r="P311" s="231">
        <v>0</v>
      </c>
      <c r="Q311" s="231">
        <v>23225</v>
      </c>
      <c r="R311" s="231"/>
      <c r="S311" s="392">
        <v>7013</v>
      </c>
      <c r="T311" s="231">
        <v>1126</v>
      </c>
      <c r="U311" s="396">
        <v>8139</v>
      </c>
      <c r="V311" s="231"/>
      <c r="W311" s="396">
        <v>63105</v>
      </c>
      <c r="X311" s="396">
        <v>-22298</v>
      </c>
      <c r="Y311" s="396"/>
      <c r="Z311" s="396"/>
    </row>
    <row r="312" spans="1:26">
      <c r="A312" s="390">
        <v>93191</v>
      </c>
      <c r="B312" s="391" t="s">
        <v>1016</v>
      </c>
      <c r="C312" s="234">
        <v>2.48E-5</v>
      </c>
      <c r="D312" s="234">
        <v>2.8900000000000001E-5</v>
      </c>
      <c r="E312" s="231">
        <v>38033</v>
      </c>
      <c r="F312" s="231" t="s">
        <v>1924</v>
      </c>
      <c r="G312" s="392">
        <v>12100</v>
      </c>
      <c r="H312" s="392">
        <v>0</v>
      </c>
      <c r="I312" s="392">
        <v>23895</v>
      </c>
      <c r="J312" s="231">
        <v>11807</v>
      </c>
      <c r="K312" s="231">
        <v>47802</v>
      </c>
      <c r="L312" s="231"/>
      <c r="M312" s="300">
        <v>0</v>
      </c>
      <c r="N312" s="300">
        <v>54338</v>
      </c>
      <c r="O312" s="300">
        <v>0</v>
      </c>
      <c r="P312" s="231">
        <v>0</v>
      </c>
      <c r="Q312" s="231">
        <v>54338</v>
      </c>
      <c r="R312" s="231"/>
      <c r="S312" s="392">
        <v>16409</v>
      </c>
      <c r="T312" s="231">
        <v>5641</v>
      </c>
      <c r="U312" s="396">
        <v>22050</v>
      </c>
      <c r="V312" s="231"/>
      <c r="W312" s="396">
        <v>147642</v>
      </c>
      <c r="X312" s="396">
        <v>-52169</v>
      </c>
      <c r="Y312" s="396"/>
      <c r="Z312" s="396"/>
    </row>
    <row r="313" spans="1:26">
      <c r="A313" s="390">
        <v>93201</v>
      </c>
      <c r="B313" s="391" t="s">
        <v>1017</v>
      </c>
      <c r="C313" s="234">
        <v>1.54521E-2</v>
      </c>
      <c r="D313" s="234">
        <v>1.5223E-2</v>
      </c>
      <c r="E313" s="231">
        <v>23697279</v>
      </c>
      <c r="F313" s="231" t="s">
        <v>1924</v>
      </c>
      <c r="G313" s="392">
        <v>7538956</v>
      </c>
      <c r="H313" s="392">
        <v>0</v>
      </c>
      <c r="I313" s="392">
        <v>14887944</v>
      </c>
      <c r="J313" s="231">
        <v>636726</v>
      </c>
      <c r="K313" s="231">
        <v>23063626</v>
      </c>
      <c r="L313" s="231"/>
      <c r="M313" s="300">
        <v>0</v>
      </c>
      <c r="N313" s="300">
        <v>33856293</v>
      </c>
      <c r="O313" s="300">
        <v>0</v>
      </c>
      <c r="P313" s="231">
        <v>341542</v>
      </c>
      <c r="Q313" s="231">
        <v>34197835</v>
      </c>
      <c r="R313" s="231"/>
      <c r="S313" s="392">
        <v>10223758</v>
      </c>
      <c r="T313" s="231">
        <v>29156</v>
      </c>
      <c r="U313" s="396">
        <v>10252914</v>
      </c>
      <c r="V313" s="231"/>
      <c r="W313" s="396">
        <v>91990863</v>
      </c>
      <c r="X313" s="396">
        <v>-32504682</v>
      </c>
      <c r="Y313" s="396"/>
      <c r="Z313" s="396"/>
    </row>
    <row r="314" spans="1:26">
      <c r="A314" s="390">
        <v>93202</v>
      </c>
      <c r="B314" s="391" t="s">
        <v>1018</v>
      </c>
      <c r="C314" s="234">
        <v>0</v>
      </c>
      <c r="D314" s="234">
        <v>0</v>
      </c>
      <c r="E314" s="231">
        <v>0</v>
      </c>
      <c r="F314" s="231">
        <v>0</v>
      </c>
      <c r="G314" s="231">
        <v>0</v>
      </c>
      <c r="H314" s="231">
        <v>0</v>
      </c>
      <c r="I314" s="231">
        <v>0</v>
      </c>
      <c r="J314" s="231">
        <v>0</v>
      </c>
      <c r="K314" s="231">
        <v>0</v>
      </c>
      <c r="L314" s="231">
        <v>0</v>
      </c>
      <c r="M314" s="231">
        <v>0</v>
      </c>
      <c r="N314" s="231">
        <v>0</v>
      </c>
      <c r="O314" s="231">
        <v>0</v>
      </c>
      <c r="P314" s="231">
        <v>0</v>
      </c>
      <c r="Q314" s="231">
        <v>0</v>
      </c>
      <c r="R314" s="231">
        <v>0</v>
      </c>
      <c r="S314" s="231">
        <v>0</v>
      </c>
      <c r="T314" s="231">
        <v>0</v>
      </c>
      <c r="U314" s="231">
        <v>0</v>
      </c>
      <c r="V314" s="231">
        <v>0</v>
      </c>
      <c r="W314" s="231">
        <v>0</v>
      </c>
      <c r="X314" s="231">
        <v>0</v>
      </c>
      <c r="Y314" s="396"/>
      <c r="Z314" s="396"/>
    </row>
    <row r="315" spans="1:26">
      <c r="A315" s="390">
        <v>93204</v>
      </c>
      <c r="B315" s="391" t="s">
        <v>1019</v>
      </c>
      <c r="C315" s="234">
        <v>3.0600000000000001E-4</v>
      </c>
      <c r="D315" s="234">
        <v>2.6400000000000002E-4</v>
      </c>
      <c r="E315" s="231">
        <v>469280</v>
      </c>
      <c r="F315" s="231" t="s">
        <v>1924</v>
      </c>
      <c r="G315" s="392">
        <v>149295</v>
      </c>
      <c r="H315" s="392">
        <v>0</v>
      </c>
      <c r="I315" s="392">
        <v>294828</v>
      </c>
      <c r="J315" s="231">
        <v>93611</v>
      </c>
      <c r="K315" s="231">
        <v>537734</v>
      </c>
      <c r="L315" s="231"/>
      <c r="M315" s="300">
        <v>0</v>
      </c>
      <c r="N315" s="300">
        <v>670461</v>
      </c>
      <c r="O315" s="300">
        <v>0</v>
      </c>
      <c r="P315" s="231">
        <v>19857</v>
      </c>
      <c r="Q315" s="231">
        <v>690318</v>
      </c>
      <c r="R315" s="231"/>
      <c r="S315" s="392">
        <v>202462</v>
      </c>
      <c r="T315" s="231">
        <v>30565</v>
      </c>
      <c r="U315" s="396">
        <v>233027</v>
      </c>
      <c r="V315" s="231"/>
      <c r="W315" s="396">
        <v>1821707</v>
      </c>
      <c r="X315" s="396">
        <v>-643695</v>
      </c>
      <c r="Y315" s="396"/>
      <c r="Z315" s="396"/>
    </row>
    <row r="316" spans="1:26">
      <c r="A316" s="390">
        <v>93209</v>
      </c>
      <c r="B316" s="391" t="s">
        <v>1020</v>
      </c>
      <c r="C316" s="234">
        <v>5.6934999999999998E-3</v>
      </c>
      <c r="D316" s="234">
        <v>5.2969000000000002E-3</v>
      </c>
      <c r="E316" s="231">
        <v>8731529</v>
      </c>
      <c r="F316" s="231" t="s">
        <v>1924</v>
      </c>
      <c r="G316" s="392">
        <v>2777813</v>
      </c>
      <c r="H316" s="392">
        <v>0</v>
      </c>
      <c r="I316" s="392">
        <v>5485630</v>
      </c>
      <c r="J316" s="231">
        <v>573315</v>
      </c>
      <c r="K316" s="231">
        <v>8836758</v>
      </c>
      <c r="L316" s="231"/>
      <c r="M316" s="300">
        <v>0</v>
      </c>
      <c r="N316" s="300">
        <v>12474732</v>
      </c>
      <c r="O316" s="300">
        <v>0</v>
      </c>
      <c r="P316" s="231">
        <v>346980</v>
      </c>
      <c r="Q316" s="231">
        <v>12821712</v>
      </c>
      <c r="R316" s="231"/>
      <c r="S316" s="392">
        <v>3767059</v>
      </c>
      <c r="T316" s="231">
        <v>74486</v>
      </c>
      <c r="U316" s="396">
        <v>3841545</v>
      </c>
      <c r="V316" s="231"/>
      <c r="W316" s="396">
        <v>33895068</v>
      </c>
      <c r="X316" s="396">
        <v>-11976716</v>
      </c>
      <c r="Y316" s="396"/>
      <c r="Z316" s="396"/>
    </row>
    <row r="317" spans="1:26">
      <c r="A317" s="390">
        <v>93211</v>
      </c>
      <c r="B317" s="391" t="s">
        <v>1021</v>
      </c>
      <c r="C317" s="234">
        <v>2.2281100000000002E-2</v>
      </c>
      <c r="D317" s="234">
        <v>2.2128599999999998E-2</v>
      </c>
      <c r="E317" s="231">
        <v>34170206</v>
      </c>
      <c r="F317" s="231" t="s">
        <v>1924</v>
      </c>
      <c r="G317" s="392">
        <v>10870770</v>
      </c>
      <c r="H317" s="392">
        <v>0</v>
      </c>
      <c r="I317" s="392">
        <v>21467617</v>
      </c>
      <c r="J317" s="231">
        <v>990588</v>
      </c>
      <c r="K317" s="231">
        <v>33328975</v>
      </c>
      <c r="L317" s="231"/>
      <c r="M317" s="300">
        <v>0</v>
      </c>
      <c r="N317" s="300">
        <v>48818960</v>
      </c>
      <c r="O317" s="300">
        <v>0</v>
      </c>
      <c r="P317" s="231">
        <v>0</v>
      </c>
      <c r="Q317" s="231">
        <v>48818960</v>
      </c>
      <c r="R317" s="231"/>
      <c r="S317" s="392">
        <v>14742112</v>
      </c>
      <c r="T317" s="231">
        <v>511714</v>
      </c>
      <c r="U317" s="396">
        <v>15253826</v>
      </c>
      <c r="V317" s="231"/>
      <c r="W317" s="396">
        <v>132645894</v>
      </c>
      <c r="X317" s="396">
        <v>-46870009</v>
      </c>
      <c r="Y317" s="396"/>
      <c r="Z317" s="396"/>
    </row>
    <row r="318" spans="1:26">
      <c r="A318" s="390">
        <v>93212</v>
      </c>
      <c r="B318" s="391" t="s">
        <v>1022</v>
      </c>
      <c r="C318" s="234">
        <v>2.231E-4</v>
      </c>
      <c r="D318" s="234">
        <v>2.8699999999999998E-4</v>
      </c>
      <c r="E318" s="231">
        <v>342145</v>
      </c>
      <c r="F318" s="231" t="s">
        <v>1924</v>
      </c>
      <c r="G318" s="392">
        <v>108849</v>
      </c>
      <c r="H318" s="392">
        <v>0</v>
      </c>
      <c r="I318" s="392">
        <v>214955</v>
      </c>
      <c r="J318" s="231">
        <v>97315</v>
      </c>
      <c r="K318" s="231">
        <v>421119</v>
      </c>
      <c r="L318" s="231"/>
      <c r="M318" s="300">
        <v>0</v>
      </c>
      <c r="N318" s="300">
        <v>488823</v>
      </c>
      <c r="O318" s="300">
        <v>0</v>
      </c>
      <c r="P318" s="231">
        <v>69779</v>
      </c>
      <c r="Q318" s="231">
        <v>558602</v>
      </c>
      <c r="R318" s="231"/>
      <c r="S318" s="392">
        <v>147612</v>
      </c>
      <c r="T318" s="231">
        <v>62340</v>
      </c>
      <c r="U318" s="396">
        <v>209952</v>
      </c>
      <c r="V318" s="231"/>
      <c r="W318" s="396">
        <v>1328179</v>
      </c>
      <c r="X318" s="396">
        <v>-469308</v>
      </c>
      <c r="Y318" s="396"/>
      <c r="Z318" s="396"/>
    </row>
    <row r="319" spans="1:26">
      <c r="A319" s="390">
        <v>93219</v>
      </c>
      <c r="B319" s="391" t="s">
        <v>1023</v>
      </c>
      <c r="C319" s="234">
        <v>2.6029999999999998E-4</v>
      </c>
      <c r="D319" s="234">
        <v>2.5789999999999998E-4</v>
      </c>
      <c r="E319" s="231">
        <v>399195</v>
      </c>
      <c r="F319" s="231" t="s">
        <v>1924</v>
      </c>
      <c r="G319" s="392">
        <v>126998</v>
      </c>
      <c r="H319" s="392">
        <v>0</v>
      </c>
      <c r="I319" s="392">
        <v>250796</v>
      </c>
      <c r="J319" s="231">
        <v>28160</v>
      </c>
      <c r="K319" s="231">
        <v>405954</v>
      </c>
      <c r="L319" s="231"/>
      <c r="M319" s="300">
        <v>0</v>
      </c>
      <c r="N319" s="300">
        <v>570330</v>
      </c>
      <c r="O319" s="300">
        <v>0</v>
      </c>
      <c r="P319" s="231">
        <v>615</v>
      </c>
      <c r="Q319" s="231">
        <v>570945</v>
      </c>
      <c r="R319" s="231"/>
      <c r="S319" s="392">
        <v>172225</v>
      </c>
      <c r="T319" s="231">
        <v>16361</v>
      </c>
      <c r="U319" s="396">
        <v>188586</v>
      </c>
      <c r="V319" s="231"/>
      <c r="W319" s="396">
        <v>1549642</v>
      </c>
      <c r="X319" s="396">
        <v>-547561</v>
      </c>
      <c r="Y319" s="396"/>
      <c r="Z319" s="396"/>
    </row>
    <row r="320" spans="1:26">
      <c r="A320" s="390">
        <v>93301</v>
      </c>
      <c r="B320" s="391" t="s">
        <v>1024</v>
      </c>
      <c r="C320" s="234">
        <v>2.1727000000000001E-3</v>
      </c>
      <c r="D320" s="234">
        <v>2.1819999999999999E-3</v>
      </c>
      <c r="E320" s="231">
        <v>3332044</v>
      </c>
      <c r="F320" s="231" t="s">
        <v>1924</v>
      </c>
      <c r="G320" s="392">
        <v>1060043</v>
      </c>
      <c r="H320" s="392">
        <v>0</v>
      </c>
      <c r="I320" s="392">
        <v>2093375</v>
      </c>
      <c r="J320" s="231">
        <v>131889</v>
      </c>
      <c r="K320" s="231">
        <v>3285307</v>
      </c>
      <c r="L320" s="231"/>
      <c r="M320" s="300">
        <v>0</v>
      </c>
      <c r="N320" s="300">
        <v>4760490</v>
      </c>
      <c r="O320" s="300">
        <v>0</v>
      </c>
      <c r="P320" s="231">
        <v>75087</v>
      </c>
      <c r="Q320" s="231">
        <v>4835577</v>
      </c>
      <c r="R320" s="231"/>
      <c r="S320" s="392">
        <v>1437550</v>
      </c>
      <c r="T320" s="231">
        <v>-16332</v>
      </c>
      <c r="U320" s="396">
        <v>1421218</v>
      </c>
      <c r="V320" s="231"/>
      <c r="W320" s="396">
        <v>12934718</v>
      </c>
      <c r="X320" s="396">
        <v>-4570442</v>
      </c>
      <c r="Y320" s="396"/>
      <c r="Z320" s="396"/>
    </row>
    <row r="321" spans="1:26">
      <c r="A321" s="390">
        <v>93304</v>
      </c>
      <c r="B321" s="391" t="s">
        <v>1025</v>
      </c>
      <c r="C321" s="234">
        <v>4.5300000000000003E-5</v>
      </c>
      <c r="D321" s="234">
        <v>3.8099999999999998E-5</v>
      </c>
      <c r="E321" s="231">
        <v>69472</v>
      </c>
      <c r="F321" s="231" t="s">
        <v>1924</v>
      </c>
      <c r="G321" s="392">
        <v>22102</v>
      </c>
      <c r="H321" s="392">
        <v>0</v>
      </c>
      <c r="I321" s="392">
        <v>43646</v>
      </c>
      <c r="J321" s="231">
        <v>25742</v>
      </c>
      <c r="K321" s="231">
        <v>91490</v>
      </c>
      <c r="L321" s="231"/>
      <c r="M321" s="300">
        <v>0</v>
      </c>
      <c r="N321" s="300">
        <v>99254</v>
      </c>
      <c r="O321" s="300">
        <v>0</v>
      </c>
      <c r="P321" s="231">
        <v>0</v>
      </c>
      <c r="Q321" s="231">
        <v>99254</v>
      </c>
      <c r="R321" s="231"/>
      <c r="S321" s="392">
        <v>29972</v>
      </c>
      <c r="T321" s="231">
        <v>10980</v>
      </c>
      <c r="U321" s="396">
        <v>40952</v>
      </c>
      <c r="V321" s="231"/>
      <c r="W321" s="396">
        <v>269684</v>
      </c>
      <c r="X321" s="396">
        <v>-95292</v>
      </c>
      <c r="Y321" s="396"/>
      <c r="Z321" s="396"/>
    </row>
    <row r="322" spans="1:26">
      <c r="A322" s="390">
        <v>93305</v>
      </c>
      <c r="B322" s="391" t="s">
        <v>1026</v>
      </c>
      <c r="C322" s="234">
        <v>3.0199999999999999E-5</v>
      </c>
      <c r="D322" s="234">
        <v>3.43E-5</v>
      </c>
      <c r="E322" s="231">
        <v>46315</v>
      </c>
      <c r="F322" s="231" t="s">
        <v>1924</v>
      </c>
      <c r="G322" s="392">
        <v>14734</v>
      </c>
      <c r="H322" s="392">
        <v>0</v>
      </c>
      <c r="I322" s="392">
        <v>29097</v>
      </c>
      <c r="J322" s="231">
        <v>0</v>
      </c>
      <c r="K322" s="231">
        <v>43831</v>
      </c>
      <c r="L322" s="231"/>
      <c r="M322" s="300">
        <v>0</v>
      </c>
      <c r="N322" s="300">
        <v>66170</v>
      </c>
      <c r="O322" s="300">
        <v>0</v>
      </c>
      <c r="P322" s="231">
        <v>12928</v>
      </c>
      <c r="Q322" s="231">
        <v>79098</v>
      </c>
      <c r="R322" s="231"/>
      <c r="S322" s="392">
        <v>19982</v>
      </c>
      <c r="T322" s="231">
        <v>-6568</v>
      </c>
      <c r="U322" s="396">
        <v>13414</v>
      </c>
      <c r="V322" s="231"/>
      <c r="W322" s="396">
        <v>179789</v>
      </c>
      <c r="X322" s="396">
        <v>-63528</v>
      </c>
      <c r="Y322" s="396"/>
      <c r="Z322" s="396"/>
    </row>
    <row r="323" spans="1:26">
      <c r="A323" s="390">
        <v>93309</v>
      </c>
      <c r="B323" s="391" t="s">
        <v>1027</v>
      </c>
      <c r="C323" s="234">
        <v>1.6750000000000001E-4</v>
      </c>
      <c r="D323" s="234">
        <v>1.6670000000000001E-4</v>
      </c>
      <c r="E323" s="231">
        <v>256877</v>
      </c>
      <c r="F323" s="231" t="s">
        <v>1924</v>
      </c>
      <c r="G323" s="392">
        <v>81722</v>
      </c>
      <c r="H323" s="392">
        <v>0</v>
      </c>
      <c r="I323" s="392">
        <v>161385</v>
      </c>
      <c r="J323" s="231">
        <v>28570</v>
      </c>
      <c r="K323" s="231">
        <v>271677</v>
      </c>
      <c r="L323" s="231"/>
      <c r="M323" s="300">
        <v>0</v>
      </c>
      <c r="N323" s="300">
        <v>367001</v>
      </c>
      <c r="O323" s="300">
        <v>0</v>
      </c>
      <c r="P323" s="231">
        <v>0</v>
      </c>
      <c r="Q323" s="231">
        <v>367001</v>
      </c>
      <c r="R323" s="231"/>
      <c r="S323" s="392">
        <v>110825</v>
      </c>
      <c r="T323" s="231">
        <v>16228</v>
      </c>
      <c r="U323" s="396">
        <v>127053</v>
      </c>
      <c r="V323" s="231"/>
      <c r="W323" s="396">
        <v>997176</v>
      </c>
      <c r="X323" s="396">
        <v>-352349</v>
      </c>
      <c r="Y323" s="396"/>
      <c r="Z323" s="396"/>
    </row>
    <row r="324" spans="1:26">
      <c r="A324" s="390">
        <v>93311</v>
      </c>
      <c r="B324" s="391" t="s">
        <v>1028</v>
      </c>
      <c r="C324" s="234">
        <v>1.1885000000000001E-3</v>
      </c>
      <c r="D324" s="234">
        <v>1.3213000000000001E-3</v>
      </c>
      <c r="E324" s="231">
        <v>1822679</v>
      </c>
      <c r="F324" s="231" t="s">
        <v>1924</v>
      </c>
      <c r="G324" s="392">
        <v>579860</v>
      </c>
      <c r="H324" s="392">
        <v>0</v>
      </c>
      <c r="I324" s="392">
        <v>1145108</v>
      </c>
      <c r="J324" s="231">
        <v>39697</v>
      </c>
      <c r="K324" s="231">
        <v>1764665</v>
      </c>
      <c r="L324" s="231"/>
      <c r="M324" s="300">
        <v>0</v>
      </c>
      <c r="N324" s="300">
        <v>2604061</v>
      </c>
      <c r="O324" s="300">
        <v>0</v>
      </c>
      <c r="P324" s="231">
        <v>319217</v>
      </c>
      <c r="Q324" s="231">
        <v>2923278</v>
      </c>
      <c r="R324" s="231"/>
      <c r="S324" s="392">
        <v>786362</v>
      </c>
      <c r="T324" s="231">
        <v>-88214</v>
      </c>
      <c r="U324" s="396">
        <v>698148</v>
      </c>
      <c r="V324" s="231"/>
      <c r="W324" s="396">
        <v>7075488</v>
      </c>
      <c r="X324" s="396">
        <v>-2500101</v>
      </c>
      <c r="Y324" s="396"/>
      <c r="Z324" s="396"/>
    </row>
    <row r="325" spans="1:26">
      <c r="A325" s="390">
        <v>93317</v>
      </c>
      <c r="B325" s="391" t="s">
        <v>1029</v>
      </c>
      <c r="C325" s="234">
        <v>4.0099999999999999E-5</v>
      </c>
      <c r="D325" s="234">
        <v>4.5300000000000003E-5</v>
      </c>
      <c r="E325" s="231">
        <v>61497</v>
      </c>
      <c r="F325" s="231" t="s">
        <v>1924</v>
      </c>
      <c r="G325" s="392">
        <v>19564</v>
      </c>
      <c r="H325" s="392">
        <v>0</v>
      </c>
      <c r="I325" s="392">
        <v>38636</v>
      </c>
      <c r="J325" s="231">
        <v>4789</v>
      </c>
      <c r="K325" s="231">
        <v>62989</v>
      </c>
      <c r="L325" s="231"/>
      <c r="M325" s="300">
        <v>0</v>
      </c>
      <c r="N325" s="300">
        <v>87861</v>
      </c>
      <c r="O325" s="300">
        <v>0</v>
      </c>
      <c r="P325" s="231">
        <v>7400</v>
      </c>
      <c r="Q325" s="231">
        <v>95261</v>
      </c>
      <c r="R325" s="231"/>
      <c r="S325" s="392">
        <v>26532</v>
      </c>
      <c r="T325" s="231">
        <v>-787</v>
      </c>
      <c r="U325" s="396">
        <v>25745</v>
      </c>
      <c r="V325" s="231"/>
      <c r="W325" s="396">
        <v>238727</v>
      </c>
      <c r="X325" s="396">
        <v>-84353</v>
      </c>
      <c r="Y325" s="396"/>
      <c r="Z325" s="396"/>
    </row>
    <row r="326" spans="1:26">
      <c r="A326" s="390">
        <v>93321</v>
      </c>
      <c r="B326" s="391" t="s">
        <v>1030</v>
      </c>
      <c r="C326" s="234">
        <v>6.6814999999999999E-3</v>
      </c>
      <c r="D326" s="234">
        <v>6.6553999999999997E-3</v>
      </c>
      <c r="E326" s="231">
        <v>10246722</v>
      </c>
      <c r="F326" s="231" t="s">
        <v>1924</v>
      </c>
      <c r="G326" s="392">
        <v>3259850</v>
      </c>
      <c r="H326" s="392">
        <v>0</v>
      </c>
      <c r="I326" s="392">
        <v>6437558</v>
      </c>
      <c r="J326" s="231">
        <v>0</v>
      </c>
      <c r="K326" s="231">
        <v>9697408</v>
      </c>
      <c r="L326" s="231"/>
      <c r="M326" s="300">
        <v>0</v>
      </c>
      <c r="N326" s="300">
        <v>14639487</v>
      </c>
      <c r="O326" s="300">
        <v>0</v>
      </c>
      <c r="P326" s="231">
        <v>322313</v>
      </c>
      <c r="Q326" s="231">
        <v>14961800</v>
      </c>
      <c r="R326" s="231"/>
      <c r="S326" s="392">
        <v>4420761</v>
      </c>
      <c r="T326" s="231">
        <v>-247151</v>
      </c>
      <c r="U326" s="396">
        <v>4173610</v>
      </c>
      <c r="V326" s="231"/>
      <c r="W326" s="396">
        <v>39776920</v>
      </c>
      <c r="X326" s="396">
        <v>-14055050</v>
      </c>
      <c r="Y326" s="396"/>
      <c r="Z326" s="396"/>
    </row>
    <row r="327" spans="1:26">
      <c r="A327" s="390">
        <v>93323</v>
      </c>
      <c r="B327" s="391" t="s">
        <v>1031</v>
      </c>
      <c r="C327" s="234">
        <v>4.57E-5</v>
      </c>
      <c r="D327" s="234">
        <v>3.2199999999999997E-5</v>
      </c>
      <c r="E327" s="231">
        <v>70085</v>
      </c>
      <c r="F327" s="231" t="s">
        <v>1924</v>
      </c>
      <c r="G327" s="392">
        <v>22297</v>
      </c>
      <c r="H327" s="392">
        <v>0</v>
      </c>
      <c r="I327" s="392">
        <v>44031</v>
      </c>
      <c r="J327" s="231">
        <v>34780</v>
      </c>
      <c r="K327" s="231">
        <v>101108</v>
      </c>
      <c r="L327" s="231"/>
      <c r="M327" s="300">
        <v>0</v>
      </c>
      <c r="N327" s="300">
        <v>100131</v>
      </c>
      <c r="O327" s="300">
        <v>0</v>
      </c>
      <c r="P327" s="231">
        <v>797</v>
      </c>
      <c r="Q327" s="231">
        <v>100928</v>
      </c>
      <c r="R327" s="231"/>
      <c r="S327" s="392">
        <v>30237</v>
      </c>
      <c r="T327" s="231">
        <v>14568</v>
      </c>
      <c r="U327" s="396">
        <v>44805</v>
      </c>
      <c r="V327" s="231"/>
      <c r="W327" s="396">
        <v>272065</v>
      </c>
      <c r="X327" s="396">
        <v>-96133</v>
      </c>
      <c r="Y327" s="396"/>
      <c r="Z327" s="396"/>
    </row>
    <row r="328" spans="1:26">
      <c r="A328" s="390">
        <v>93331</v>
      </c>
      <c r="B328" s="391" t="s">
        <v>1032</v>
      </c>
      <c r="C328" s="234">
        <v>9.1700000000000006E-5</v>
      </c>
      <c r="D328" s="234">
        <v>1.3310000000000001E-4</v>
      </c>
      <c r="E328" s="231">
        <v>140631</v>
      </c>
      <c r="F328" s="231" t="s">
        <v>1924</v>
      </c>
      <c r="G328" s="392">
        <v>44740</v>
      </c>
      <c r="H328" s="392">
        <v>0</v>
      </c>
      <c r="I328" s="392">
        <v>88352</v>
      </c>
      <c r="J328" s="231">
        <v>17170</v>
      </c>
      <c r="K328" s="231">
        <v>150262</v>
      </c>
      <c r="L328" s="231"/>
      <c r="M328" s="300">
        <v>0</v>
      </c>
      <c r="N328" s="300">
        <v>200919</v>
      </c>
      <c r="O328" s="300">
        <v>0</v>
      </c>
      <c r="P328" s="231">
        <v>64512</v>
      </c>
      <c r="Q328" s="231">
        <v>265431</v>
      </c>
      <c r="R328" s="231"/>
      <c r="S328" s="392">
        <v>60673</v>
      </c>
      <c r="T328" s="231">
        <v>-14197</v>
      </c>
      <c r="U328" s="396">
        <v>46476</v>
      </c>
      <c r="V328" s="231"/>
      <c r="W328" s="396">
        <v>545917</v>
      </c>
      <c r="X328" s="396">
        <v>-192898</v>
      </c>
      <c r="Y328" s="396"/>
      <c r="Z328" s="396"/>
    </row>
    <row r="329" spans="1:26">
      <c r="A329" s="390">
        <v>93333</v>
      </c>
      <c r="B329" s="391" t="s">
        <v>1033</v>
      </c>
      <c r="C329" s="234">
        <v>1.9090000000000001E-4</v>
      </c>
      <c r="D329" s="234">
        <v>1.7919999999999999E-4</v>
      </c>
      <c r="E329" s="231">
        <v>292763</v>
      </c>
      <c r="F329" s="231" t="s">
        <v>1924</v>
      </c>
      <c r="G329" s="392">
        <v>93139</v>
      </c>
      <c r="H329" s="392">
        <v>0</v>
      </c>
      <c r="I329" s="392">
        <v>183930</v>
      </c>
      <c r="J329" s="231">
        <v>99061</v>
      </c>
      <c r="K329" s="231">
        <v>376130</v>
      </c>
      <c r="L329" s="231"/>
      <c r="M329" s="300">
        <v>0</v>
      </c>
      <c r="N329" s="300">
        <v>418271</v>
      </c>
      <c r="O329" s="300">
        <v>0</v>
      </c>
      <c r="P329" s="231">
        <v>0</v>
      </c>
      <c r="Q329" s="231">
        <v>418271</v>
      </c>
      <c r="R329" s="231"/>
      <c r="S329" s="392">
        <v>126307</v>
      </c>
      <c r="T329" s="231">
        <v>60519</v>
      </c>
      <c r="U329" s="396">
        <v>186826</v>
      </c>
      <c r="V329" s="231"/>
      <c r="W329" s="396">
        <v>1136483</v>
      </c>
      <c r="X329" s="396">
        <v>-401573</v>
      </c>
      <c r="Y329" s="396"/>
      <c r="Z329" s="396"/>
    </row>
    <row r="330" spans="1:26">
      <c r="A330" s="390">
        <v>93341</v>
      </c>
      <c r="B330" s="391" t="s">
        <v>1034</v>
      </c>
      <c r="C330" s="234">
        <v>3.43E-5</v>
      </c>
      <c r="D330" s="234">
        <v>2.6100000000000001E-5</v>
      </c>
      <c r="E330" s="231">
        <v>52602</v>
      </c>
      <c r="F330" s="231" t="s">
        <v>1924</v>
      </c>
      <c r="G330" s="392">
        <v>16735</v>
      </c>
      <c r="H330" s="392">
        <v>0</v>
      </c>
      <c r="I330" s="392">
        <v>33048</v>
      </c>
      <c r="J330" s="231">
        <v>14367</v>
      </c>
      <c r="K330" s="231">
        <v>64150</v>
      </c>
      <c r="L330" s="231"/>
      <c r="M330" s="300">
        <v>0</v>
      </c>
      <c r="N330" s="300">
        <v>75153</v>
      </c>
      <c r="O330" s="300">
        <v>0</v>
      </c>
      <c r="P330" s="231">
        <v>2072</v>
      </c>
      <c r="Q330" s="231">
        <v>77225</v>
      </c>
      <c r="R330" s="231"/>
      <c r="S330" s="392">
        <v>22694</v>
      </c>
      <c r="T330" s="231">
        <v>4300</v>
      </c>
      <c r="U330" s="396">
        <v>26994</v>
      </c>
      <c r="V330" s="231"/>
      <c r="W330" s="396">
        <v>204198</v>
      </c>
      <c r="X330" s="396">
        <v>-72153</v>
      </c>
      <c r="Y330" s="396"/>
      <c r="Z330" s="396"/>
    </row>
    <row r="331" spans="1:26">
      <c r="A331" s="390">
        <v>93351</v>
      </c>
      <c r="B331" s="391" t="s">
        <v>1035</v>
      </c>
      <c r="C331" s="234">
        <v>3.0000000000000001E-5</v>
      </c>
      <c r="D331" s="234">
        <v>3.1000000000000001E-5</v>
      </c>
      <c r="E331" s="231">
        <v>46008</v>
      </c>
      <c r="F331" s="231" t="s">
        <v>1924</v>
      </c>
      <c r="G331" s="392">
        <v>14637</v>
      </c>
      <c r="H331" s="392">
        <v>0</v>
      </c>
      <c r="I331" s="392">
        <v>28905</v>
      </c>
      <c r="J331" s="231">
        <v>3218</v>
      </c>
      <c r="K331" s="231">
        <v>46760</v>
      </c>
      <c r="L331" s="231"/>
      <c r="M331" s="300">
        <v>0</v>
      </c>
      <c r="N331" s="300">
        <v>65731</v>
      </c>
      <c r="O331" s="300">
        <v>0</v>
      </c>
      <c r="P331" s="231">
        <v>7983</v>
      </c>
      <c r="Q331" s="231">
        <v>73714</v>
      </c>
      <c r="R331" s="231"/>
      <c r="S331" s="392">
        <v>19849</v>
      </c>
      <c r="T331" s="231">
        <v>141</v>
      </c>
      <c r="U331" s="396">
        <v>19990</v>
      </c>
      <c r="V331" s="231"/>
      <c r="W331" s="396">
        <v>178599</v>
      </c>
      <c r="X331" s="396">
        <v>-63107</v>
      </c>
      <c r="Y331" s="396"/>
      <c r="Z331" s="396"/>
    </row>
    <row r="332" spans="1:26">
      <c r="A332" s="390">
        <v>93401</v>
      </c>
      <c r="B332" s="391" t="s">
        <v>1036</v>
      </c>
      <c r="C332" s="234">
        <v>1.37733E-2</v>
      </c>
      <c r="D332" s="234">
        <v>1.37587E-2</v>
      </c>
      <c r="E332" s="231">
        <v>21122678</v>
      </c>
      <c r="F332" s="231" t="s">
        <v>1924</v>
      </c>
      <c r="G332" s="392">
        <v>6719883</v>
      </c>
      <c r="H332" s="392">
        <v>0</v>
      </c>
      <c r="I332" s="392">
        <v>13270437</v>
      </c>
      <c r="J332" s="231">
        <v>160925</v>
      </c>
      <c r="K332" s="231">
        <v>20151245</v>
      </c>
      <c r="L332" s="231"/>
      <c r="M332" s="300">
        <v>0</v>
      </c>
      <c r="N332" s="300">
        <v>30177961</v>
      </c>
      <c r="O332" s="300">
        <v>0</v>
      </c>
      <c r="P332" s="231">
        <v>338477</v>
      </c>
      <c r="Q332" s="231">
        <v>30516438</v>
      </c>
      <c r="R332" s="231"/>
      <c r="S332" s="392">
        <v>9112994</v>
      </c>
      <c r="T332" s="231">
        <v>-32221</v>
      </c>
      <c r="U332" s="396">
        <v>9080773</v>
      </c>
      <c r="V332" s="231"/>
      <c r="W332" s="396">
        <v>81996477</v>
      </c>
      <c r="X332" s="396">
        <v>-28973197</v>
      </c>
      <c r="Y332" s="396"/>
      <c r="Z332" s="396"/>
    </row>
    <row r="333" spans="1:26">
      <c r="A333" s="390">
        <v>93402</v>
      </c>
      <c r="B333" s="391" t="s">
        <v>1037</v>
      </c>
      <c r="C333" s="234">
        <v>0</v>
      </c>
      <c r="D333" s="234">
        <v>0</v>
      </c>
      <c r="E333" s="231">
        <v>0</v>
      </c>
      <c r="F333" s="231" t="s">
        <v>1924</v>
      </c>
      <c r="G333" s="392">
        <v>0</v>
      </c>
      <c r="H333" s="392">
        <v>0</v>
      </c>
      <c r="I333" s="392">
        <v>0</v>
      </c>
      <c r="J333" s="231">
        <v>0</v>
      </c>
      <c r="K333" s="231">
        <v>0</v>
      </c>
      <c r="L333" s="231"/>
      <c r="M333" s="300">
        <v>0</v>
      </c>
      <c r="N333" s="300">
        <v>0</v>
      </c>
      <c r="O333" s="300">
        <v>0</v>
      </c>
      <c r="P333" s="231">
        <v>34376</v>
      </c>
      <c r="Q333" s="231">
        <v>34376</v>
      </c>
      <c r="R333" s="231"/>
      <c r="S333" s="392">
        <v>0</v>
      </c>
      <c r="T333" s="231">
        <v>-18552</v>
      </c>
      <c r="U333" s="396">
        <v>-18552</v>
      </c>
      <c r="V333" s="231"/>
      <c r="W333" s="396">
        <v>0</v>
      </c>
      <c r="X333" s="396">
        <v>0</v>
      </c>
      <c r="Y333" s="396"/>
      <c r="Z333" s="396"/>
    </row>
    <row r="334" spans="1:26">
      <c r="A334" s="390">
        <v>93406</v>
      </c>
      <c r="B334" s="391" t="s">
        <v>1038</v>
      </c>
      <c r="C334" s="234">
        <v>5.7970000000000005E-4</v>
      </c>
      <c r="D334" s="234">
        <v>4.996E-4</v>
      </c>
      <c r="E334" s="231">
        <v>889026</v>
      </c>
      <c r="F334" s="231" t="s">
        <v>1924</v>
      </c>
      <c r="G334" s="392">
        <v>282831</v>
      </c>
      <c r="H334" s="392">
        <v>0</v>
      </c>
      <c r="I334" s="392">
        <v>558535</v>
      </c>
      <c r="J334" s="231">
        <v>175905</v>
      </c>
      <c r="K334" s="231">
        <v>1017271</v>
      </c>
      <c r="L334" s="231"/>
      <c r="M334" s="300">
        <v>0</v>
      </c>
      <c r="N334" s="300">
        <v>1270151</v>
      </c>
      <c r="O334" s="300">
        <v>0</v>
      </c>
      <c r="P334" s="231">
        <v>23432</v>
      </c>
      <c r="Q334" s="231">
        <v>1293583</v>
      </c>
      <c r="R334" s="231"/>
      <c r="S334" s="392">
        <v>383554</v>
      </c>
      <c r="T334" s="231">
        <v>27589</v>
      </c>
      <c r="U334" s="396">
        <v>411143</v>
      </c>
      <c r="V334" s="231"/>
      <c r="W334" s="396">
        <v>3451123</v>
      </c>
      <c r="X334" s="396">
        <v>-1219444</v>
      </c>
      <c r="Y334" s="396"/>
      <c r="Z334" s="396"/>
    </row>
    <row r="335" spans="1:26">
      <c r="A335" s="390">
        <v>93408</v>
      </c>
      <c r="B335" s="391" t="s">
        <v>1039</v>
      </c>
      <c r="C335" s="234">
        <v>0</v>
      </c>
      <c r="D335" s="234">
        <v>0</v>
      </c>
      <c r="E335" s="231">
        <v>0</v>
      </c>
      <c r="F335" s="231" t="s">
        <v>1924</v>
      </c>
      <c r="G335" s="392">
        <v>0</v>
      </c>
      <c r="H335" s="392">
        <v>0</v>
      </c>
      <c r="I335" s="392">
        <v>0</v>
      </c>
      <c r="J335" s="231">
        <v>0</v>
      </c>
      <c r="K335" s="231">
        <v>0</v>
      </c>
      <c r="L335" s="231"/>
      <c r="M335" s="300">
        <v>0</v>
      </c>
      <c r="N335" s="300">
        <v>0</v>
      </c>
      <c r="O335" s="300">
        <v>0</v>
      </c>
      <c r="P335" s="231">
        <v>0</v>
      </c>
      <c r="Q335" s="231">
        <v>0</v>
      </c>
      <c r="R335" s="231"/>
      <c r="S335" s="392">
        <v>0</v>
      </c>
      <c r="T335" s="231">
        <v>-303143</v>
      </c>
      <c r="U335" s="396">
        <v>-303143</v>
      </c>
      <c r="V335" s="231"/>
      <c r="W335" s="396">
        <v>0</v>
      </c>
      <c r="X335" s="396">
        <v>0</v>
      </c>
      <c r="Y335" s="396"/>
      <c r="Z335" s="396"/>
    </row>
    <row r="336" spans="1:26">
      <c r="A336" s="390">
        <v>93411</v>
      </c>
      <c r="B336" s="391" t="s">
        <v>1040</v>
      </c>
      <c r="C336" s="234">
        <v>1.7717E-2</v>
      </c>
      <c r="D336" s="234">
        <v>1.78316E-2</v>
      </c>
      <c r="E336" s="231">
        <v>27170720</v>
      </c>
      <c r="F336" s="231" t="s">
        <v>1924</v>
      </c>
      <c r="G336" s="392">
        <v>8643983</v>
      </c>
      <c r="H336" s="392">
        <v>0</v>
      </c>
      <c r="I336" s="392">
        <v>17070152</v>
      </c>
      <c r="J336" s="231">
        <v>334022</v>
      </c>
      <c r="K336" s="231">
        <v>26048157</v>
      </c>
      <c r="L336" s="231"/>
      <c r="M336" s="300">
        <v>0</v>
      </c>
      <c r="N336" s="300">
        <v>38818797</v>
      </c>
      <c r="O336" s="300">
        <v>0</v>
      </c>
      <c r="P336" s="231">
        <v>662914</v>
      </c>
      <c r="Q336" s="231">
        <v>39481711</v>
      </c>
      <c r="R336" s="231"/>
      <c r="S336" s="392">
        <v>11722311</v>
      </c>
      <c r="T336" s="231">
        <v>55796</v>
      </c>
      <c r="U336" s="396">
        <v>11778107</v>
      </c>
      <c r="V336" s="231"/>
      <c r="W336" s="396">
        <v>105474474</v>
      </c>
      <c r="X336" s="396">
        <v>-37269074</v>
      </c>
      <c r="Y336" s="396"/>
      <c r="Z336" s="396"/>
    </row>
    <row r="337" spans="1:26">
      <c r="A337" s="390">
        <v>93413</v>
      </c>
      <c r="B337" s="391" t="s">
        <v>1041</v>
      </c>
      <c r="C337" s="234">
        <v>7.1159999999999995E-4</v>
      </c>
      <c r="D337" s="234">
        <v>6.7969999999999999E-4</v>
      </c>
      <c r="E337" s="231">
        <v>1091307</v>
      </c>
      <c r="F337" s="231" t="s">
        <v>1924</v>
      </c>
      <c r="G337" s="392">
        <v>347184</v>
      </c>
      <c r="H337" s="392">
        <v>0</v>
      </c>
      <c r="I337" s="392">
        <v>685619</v>
      </c>
      <c r="J337" s="231">
        <v>51343</v>
      </c>
      <c r="K337" s="231">
        <v>1084146</v>
      </c>
      <c r="L337" s="231"/>
      <c r="M337" s="300">
        <v>0</v>
      </c>
      <c r="N337" s="300">
        <v>1559150</v>
      </c>
      <c r="O337" s="300">
        <v>0</v>
      </c>
      <c r="P337" s="231">
        <v>9798</v>
      </c>
      <c r="Q337" s="231">
        <v>1568948</v>
      </c>
      <c r="R337" s="231"/>
      <c r="S337" s="392">
        <v>470824</v>
      </c>
      <c r="T337" s="231">
        <v>10415</v>
      </c>
      <c r="U337" s="396">
        <v>481239</v>
      </c>
      <c r="V337" s="231"/>
      <c r="W337" s="396">
        <v>4236363</v>
      </c>
      <c r="X337" s="396">
        <v>-1496905</v>
      </c>
      <c r="Y337" s="396"/>
      <c r="Z337" s="396"/>
    </row>
    <row r="338" spans="1:26">
      <c r="A338" s="390">
        <v>93417</v>
      </c>
      <c r="B338" s="391" t="s">
        <v>1042</v>
      </c>
      <c r="C338" s="234">
        <v>2.9250000000000001E-4</v>
      </c>
      <c r="D338" s="234">
        <v>2.876E-4</v>
      </c>
      <c r="E338" s="231">
        <v>448577</v>
      </c>
      <c r="F338" s="231" t="s">
        <v>1924</v>
      </c>
      <c r="G338" s="392">
        <v>142708</v>
      </c>
      <c r="H338" s="392">
        <v>0</v>
      </c>
      <c r="I338" s="392">
        <v>281821</v>
      </c>
      <c r="J338" s="231">
        <v>72985</v>
      </c>
      <c r="K338" s="231">
        <v>497514</v>
      </c>
      <c r="L338" s="231"/>
      <c r="M338" s="300">
        <v>0</v>
      </c>
      <c r="N338" s="300">
        <v>640882</v>
      </c>
      <c r="O338" s="300">
        <v>0</v>
      </c>
      <c r="P338" s="231">
        <v>1530</v>
      </c>
      <c r="Q338" s="231">
        <v>642412</v>
      </c>
      <c r="R338" s="231"/>
      <c r="S338" s="392">
        <v>193530</v>
      </c>
      <c r="T338" s="231">
        <v>21259</v>
      </c>
      <c r="U338" s="396">
        <v>214789</v>
      </c>
      <c r="V338" s="231"/>
      <c r="W338" s="396">
        <v>1741338</v>
      </c>
      <c r="X338" s="396">
        <v>-615296</v>
      </c>
      <c r="Y338" s="396"/>
      <c r="Z338" s="396"/>
    </row>
    <row r="339" spans="1:26">
      <c r="A339" s="390">
        <v>93421</v>
      </c>
      <c r="B339" s="391" t="s">
        <v>1043</v>
      </c>
      <c r="C339" s="234">
        <v>1.8813E-3</v>
      </c>
      <c r="D339" s="234">
        <v>2.0282999999999998E-3</v>
      </c>
      <c r="E339" s="231">
        <v>2885154</v>
      </c>
      <c r="F339" s="231" t="s">
        <v>1924</v>
      </c>
      <c r="G339" s="392">
        <v>917871</v>
      </c>
      <c r="H339" s="392">
        <v>0</v>
      </c>
      <c r="I339" s="392">
        <v>1812614</v>
      </c>
      <c r="J339" s="231">
        <v>0</v>
      </c>
      <c r="K339" s="231">
        <v>2730485</v>
      </c>
      <c r="L339" s="231"/>
      <c r="M339" s="300">
        <v>0</v>
      </c>
      <c r="N339" s="300">
        <v>4122019</v>
      </c>
      <c r="O339" s="300">
        <v>0</v>
      </c>
      <c r="P339" s="231">
        <v>417431</v>
      </c>
      <c r="Q339" s="231">
        <v>4539450</v>
      </c>
      <c r="R339" s="231"/>
      <c r="S339" s="392">
        <v>1244747</v>
      </c>
      <c r="T339" s="231">
        <v>-193757</v>
      </c>
      <c r="U339" s="396">
        <v>1050990</v>
      </c>
      <c r="V339" s="231"/>
      <c r="W339" s="396">
        <v>11199928</v>
      </c>
      <c r="X339" s="396">
        <v>-3957459</v>
      </c>
      <c r="Y339" s="396"/>
      <c r="Z339" s="396"/>
    </row>
    <row r="340" spans="1:26">
      <c r="A340" s="390">
        <v>93431</v>
      </c>
      <c r="B340" s="391" t="s">
        <v>1044</v>
      </c>
      <c r="C340" s="234">
        <v>1.5009999999999999E-4</v>
      </c>
      <c r="D340" s="234">
        <v>1.349E-4</v>
      </c>
      <c r="E340" s="231">
        <v>230193</v>
      </c>
      <c r="F340" s="231" t="s">
        <v>1924</v>
      </c>
      <c r="G340" s="392">
        <v>73233</v>
      </c>
      <c r="H340" s="392">
        <v>0</v>
      </c>
      <c r="I340" s="392">
        <v>144620</v>
      </c>
      <c r="J340" s="231">
        <v>33641</v>
      </c>
      <c r="K340" s="231">
        <v>251494</v>
      </c>
      <c r="L340" s="231"/>
      <c r="M340" s="300">
        <v>0</v>
      </c>
      <c r="N340" s="300">
        <v>328876</v>
      </c>
      <c r="O340" s="300">
        <v>0</v>
      </c>
      <c r="P340" s="231">
        <v>2741</v>
      </c>
      <c r="Q340" s="231">
        <v>331617</v>
      </c>
      <c r="R340" s="231"/>
      <c r="S340" s="392">
        <v>99312</v>
      </c>
      <c r="T340" s="231">
        <v>14256</v>
      </c>
      <c r="U340" s="396">
        <v>113568</v>
      </c>
      <c r="V340" s="231"/>
      <c r="W340" s="396">
        <v>893589</v>
      </c>
      <c r="X340" s="396">
        <v>-315747</v>
      </c>
      <c r="Y340" s="396"/>
      <c r="Z340" s="396"/>
    </row>
    <row r="341" spans="1:26">
      <c r="A341" s="390">
        <v>93441</v>
      </c>
      <c r="B341" s="391" t="s">
        <v>1045</v>
      </c>
      <c r="C341" s="234">
        <v>1.573E-4</v>
      </c>
      <c r="D341" s="234">
        <v>1.6789999999999999E-4</v>
      </c>
      <c r="E341" s="231">
        <v>241235</v>
      </c>
      <c r="F341" s="231" t="s">
        <v>1924</v>
      </c>
      <c r="G341" s="392">
        <v>76745</v>
      </c>
      <c r="H341" s="392">
        <v>0</v>
      </c>
      <c r="I341" s="392">
        <v>151557</v>
      </c>
      <c r="J341" s="231">
        <v>1826</v>
      </c>
      <c r="K341" s="231">
        <v>230128</v>
      </c>
      <c r="L341" s="231"/>
      <c r="M341" s="300">
        <v>0</v>
      </c>
      <c r="N341" s="300">
        <v>344652</v>
      </c>
      <c r="O341" s="300">
        <v>0</v>
      </c>
      <c r="P341" s="231">
        <v>17788</v>
      </c>
      <c r="Q341" s="231">
        <v>362440</v>
      </c>
      <c r="R341" s="231"/>
      <c r="S341" s="392">
        <v>104076</v>
      </c>
      <c r="T341" s="231">
        <v>-2448</v>
      </c>
      <c r="U341" s="396">
        <v>101628</v>
      </c>
      <c r="V341" s="231"/>
      <c r="W341" s="396">
        <v>936453</v>
      </c>
      <c r="X341" s="396">
        <v>-330893</v>
      </c>
      <c r="Y341" s="396"/>
      <c r="Z341" s="396"/>
    </row>
    <row r="342" spans="1:26">
      <c r="A342" s="390">
        <v>93442</v>
      </c>
      <c r="B342" s="391" t="s">
        <v>1046</v>
      </c>
      <c r="C342" s="234">
        <v>1.3750000000000001E-4</v>
      </c>
      <c r="D342" s="234">
        <v>1.507E-4</v>
      </c>
      <c r="E342" s="231">
        <v>210869</v>
      </c>
      <c r="F342" s="231" t="s">
        <v>1924</v>
      </c>
      <c r="G342" s="392">
        <v>67085</v>
      </c>
      <c r="H342" s="392">
        <v>0</v>
      </c>
      <c r="I342" s="392">
        <v>132480</v>
      </c>
      <c r="J342" s="231">
        <v>0</v>
      </c>
      <c r="K342" s="231">
        <v>199565</v>
      </c>
      <c r="L342" s="231"/>
      <c r="M342" s="300">
        <v>0</v>
      </c>
      <c r="N342" s="300">
        <v>301269</v>
      </c>
      <c r="O342" s="300">
        <v>0</v>
      </c>
      <c r="P342" s="231">
        <v>41363</v>
      </c>
      <c r="Q342" s="231">
        <v>342632</v>
      </c>
      <c r="R342" s="231"/>
      <c r="S342" s="392">
        <v>90976</v>
      </c>
      <c r="T342" s="231">
        <v>-17072</v>
      </c>
      <c r="U342" s="396">
        <v>73904</v>
      </c>
      <c r="V342" s="231"/>
      <c r="W342" s="396">
        <v>818578</v>
      </c>
      <c r="X342" s="396">
        <v>-289242</v>
      </c>
      <c r="Y342" s="396"/>
      <c r="Z342" s="396"/>
    </row>
    <row r="343" spans="1:26">
      <c r="A343" s="390">
        <v>93451</v>
      </c>
      <c r="B343" s="391" t="s">
        <v>1047</v>
      </c>
      <c r="C343" s="234">
        <v>6.3E-5</v>
      </c>
      <c r="D343" s="234">
        <v>6.6299999999999999E-5</v>
      </c>
      <c r="E343" s="231">
        <v>96617</v>
      </c>
      <c r="F343" s="231" t="s">
        <v>1924</v>
      </c>
      <c r="G343" s="392">
        <v>30737</v>
      </c>
      <c r="H343" s="392">
        <v>0</v>
      </c>
      <c r="I343" s="392">
        <v>60700</v>
      </c>
      <c r="J343" s="231">
        <v>13731</v>
      </c>
      <c r="K343" s="231">
        <v>105168</v>
      </c>
      <c r="L343" s="231"/>
      <c r="M343" s="300">
        <v>0</v>
      </c>
      <c r="N343" s="300">
        <v>138036</v>
      </c>
      <c r="O343" s="300">
        <v>0</v>
      </c>
      <c r="P343" s="231">
        <v>496</v>
      </c>
      <c r="Q343" s="231">
        <v>138532</v>
      </c>
      <c r="R343" s="231"/>
      <c r="S343" s="392">
        <v>41683</v>
      </c>
      <c r="T343" s="231">
        <v>8255</v>
      </c>
      <c r="U343" s="396">
        <v>49938</v>
      </c>
      <c r="V343" s="231"/>
      <c r="W343" s="396">
        <v>375057</v>
      </c>
      <c r="X343" s="396">
        <v>-132525</v>
      </c>
      <c r="Y343" s="396"/>
      <c r="Z343" s="396"/>
    </row>
    <row r="344" spans="1:26">
      <c r="A344" s="390">
        <v>93461</v>
      </c>
      <c r="B344" s="391" t="s">
        <v>1048</v>
      </c>
      <c r="C344" s="234">
        <v>1.5699999999999999E-5</v>
      </c>
      <c r="D344" s="234">
        <v>1.49E-5</v>
      </c>
      <c r="E344" s="231">
        <v>24077</v>
      </c>
      <c r="F344" s="231" t="s">
        <v>1924</v>
      </c>
      <c r="G344" s="392">
        <v>7660</v>
      </c>
      <c r="H344" s="392">
        <v>0</v>
      </c>
      <c r="I344" s="392">
        <v>15127</v>
      </c>
      <c r="J344" s="231">
        <v>1196</v>
      </c>
      <c r="K344" s="231">
        <v>23983</v>
      </c>
      <c r="L344" s="231"/>
      <c r="M344" s="300">
        <v>0</v>
      </c>
      <c r="N344" s="300">
        <v>34399</v>
      </c>
      <c r="O344" s="300">
        <v>0</v>
      </c>
      <c r="P344" s="231">
        <v>522</v>
      </c>
      <c r="Q344" s="231">
        <v>34921</v>
      </c>
      <c r="R344" s="231"/>
      <c r="S344" s="392">
        <v>10388</v>
      </c>
      <c r="T344" s="231">
        <v>232</v>
      </c>
      <c r="U344" s="396">
        <v>10620</v>
      </c>
      <c r="V344" s="231"/>
      <c r="W344" s="396">
        <v>93467</v>
      </c>
      <c r="X344" s="396">
        <v>-33026</v>
      </c>
      <c r="Y344" s="396"/>
      <c r="Z344" s="396"/>
    </row>
    <row r="345" spans="1:26">
      <c r="A345" s="390">
        <v>93471</v>
      </c>
      <c r="B345" s="391" t="s">
        <v>1049</v>
      </c>
      <c r="C345" s="234">
        <v>1.2099999999999999E-5</v>
      </c>
      <c r="D345" s="234">
        <v>1.24E-5</v>
      </c>
      <c r="E345" s="231">
        <v>18557</v>
      </c>
      <c r="F345" s="231" t="s">
        <v>1924</v>
      </c>
      <c r="G345" s="392">
        <v>5903</v>
      </c>
      <c r="H345" s="392">
        <v>0</v>
      </c>
      <c r="I345" s="392">
        <v>11658</v>
      </c>
      <c r="J345" s="231">
        <v>8559</v>
      </c>
      <c r="K345" s="231">
        <v>26120</v>
      </c>
      <c r="L345" s="231"/>
      <c r="M345" s="300">
        <v>0</v>
      </c>
      <c r="N345" s="300">
        <v>26512</v>
      </c>
      <c r="O345" s="300">
        <v>0</v>
      </c>
      <c r="P345" s="231">
        <v>0</v>
      </c>
      <c r="Q345" s="231">
        <v>26512</v>
      </c>
      <c r="R345" s="231"/>
      <c r="S345" s="392">
        <v>8006</v>
      </c>
      <c r="T345" s="231">
        <v>4550</v>
      </c>
      <c r="U345" s="396">
        <v>12556</v>
      </c>
      <c r="V345" s="231"/>
      <c r="W345" s="396">
        <v>72035</v>
      </c>
      <c r="X345" s="396">
        <v>-25453</v>
      </c>
      <c r="Y345" s="396"/>
      <c r="Z345" s="396"/>
    </row>
    <row r="346" spans="1:26">
      <c r="A346" s="390">
        <v>93501</v>
      </c>
      <c r="B346" s="391" t="s">
        <v>1050</v>
      </c>
      <c r="C346" s="234">
        <v>3.5084999999999999E-3</v>
      </c>
      <c r="D346" s="234">
        <v>3.7423999999999999E-3</v>
      </c>
      <c r="E346" s="231">
        <v>5380622</v>
      </c>
      <c r="F346" s="231" t="s">
        <v>1924</v>
      </c>
      <c r="G346" s="392">
        <v>1711769</v>
      </c>
      <c r="H346" s="392">
        <v>0</v>
      </c>
      <c r="I346" s="392">
        <v>3380405</v>
      </c>
      <c r="J346" s="231">
        <v>55472</v>
      </c>
      <c r="K346" s="231">
        <v>5147646</v>
      </c>
      <c r="L346" s="231"/>
      <c r="M346" s="300">
        <v>0</v>
      </c>
      <c r="N346" s="300">
        <v>7687292</v>
      </c>
      <c r="O346" s="300">
        <v>0</v>
      </c>
      <c r="P346" s="231">
        <v>441439</v>
      </c>
      <c r="Q346" s="231">
        <v>8128731</v>
      </c>
      <c r="R346" s="231"/>
      <c r="S346" s="392">
        <v>2321371</v>
      </c>
      <c r="T346" s="231">
        <v>-94980</v>
      </c>
      <c r="U346" s="396">
        <v>2226391</v>
      </c>
      <c r="V346" s="231"/>
      <c r="W346" s="396">
        <v>20887125</v>
      </c>
      <c r="X346" s="396">
        <v>-7380400</v>
      </c>
      <c r="Y346" s="396"/>
      <c r="Z346" s="396"/>
    </row>
    <row r="347" spans="1:26">
      <c r="A347" s="390">
        <v>93511</v>
      </c>
      <c r="B347" s="391" t="s">
        <v>1051</v>
      </c>
      <c r="C347" s="234">
        <v>8.2100000000000003E-5</v>
      </c>
      <c r="D347" s="234">
        <v>8.6100000000000006E-5</v>
      </c>
      <c r="E347" s="231">
        <v>125908</v>
      </c>
      <c r="F347" s="231" t="s">
        <v>1924</v>
      </c>
      <c r="G347" s="392">
        <v>40056</v>
      </c>
      <c r="H347" s="392">
        <v>0</v>
      </c>
      <c r="I347" s="392">
        <v>79103</v>
      </c>
      <c r="J347" s="231">
        <v>6848</v>
      </c>
      <c r="K347" s="231">
        <v>126007</v>
      </c>
      <c r="L347" s="231"/>
      <c r="M347" s="300">
        <v>0</v>
      </c>
      <c r="N347" s="300">
        <v>179885</v>
      </c>
      <c r="O347" s="300">
        <v>0</v>
      </c>
      <c r="P347" s="231">
        <v>1215</v>
      </c>
      <c r="Q347" s="231">
        <v>181100</v>
      </c>
      <c r="R347" s="231"/>
      <c r="S347" s="392">
        <v>54321</v>
      </c>
      <c r="T347" s="231">
        <v>2208</v>
      </c>
      <c r="U347" s="396">
        <v>56529</v>
      </c>
      <c r="V347" s="231"/>
      <c r="W347" s="396">
        <v>488765</v>
      </c>
      <c r="X347" s="396">
        <v>-172704</v>
      </c>
      <c r="Y347" s="396"/>
      <c r="Z347" s="396"/>
    </row>
    <row r="348" spans="1:26">
      <c r="A348" s="390">
        <v>93517</v>
      </c>
      <c r="B348" s="391" t="s">
        <v>1052</v>
      </c>
      <c r="C348" s="234">
        <v>4.5000000000000001E-6</v>
      </c>
      <c r="D348" s="234">
        <v>3.7000000000000002E-6</v>
      </c>
      <c r="E348" s="231">
        <v>6901</v>
      </c>
      <c r="F348" s="231" t="s">
        <v>1924</v>
      </c>
      <c r="G348" s="392">
        <v>2196</v>
      </c>
      <c r="H348" s="392">
        <v>0</v>
      </c>
      <c r="I348" s="392">
        <v>4336</v>
      </c>
      <c r="J348" s="231">
        <v>6271</v>
      </c>
      <c r="K348" s="231">
        <v>12803</v>
      </c>
      <c r="L348" s="231"/>
      <c r="M348" s="300">
        <v>0</v>
      </c>
      <c r="N348" s="300">
        <v>9860</v>
      </c>
      <c r="O348" s="300">
        <v>0</v>
      </c>
      <c r="P348" s="231">
        <v>0</v>
      </c>
      <c r="Q348" s="231">
        <v>9860</v>
      </c>
      <c r="R348" s="231"/>
      <c r="S348" s="392">
        <v>2977</v>
      </c>
      <c r="T348" s="231">
        <v>2812</v>
      </c>
      <c r="U348" s="396">
        <v>5789</v>
      </c>
      <c r="V348" s="231"/>
      <c r="W348" s="396">
        <v>26790</v>
      </c>
      <c r="X348" s="396">
        <v>-9466</v>
      </c>
      <c r="Y348" s="396"/>
      <c r="Z348" s="396"/>
    </row>
    <row r="349" spans="1:26">
      <c r="A349" s="390">
        <v>93521</v>
      </c>
      <c r="B349" s="391" t="s">
        <v>1053</v>
      </c>
      <c r="C349" s="234">
        <v>4.5629999999999998E-4</v>
      </c>
      <c r="D349" s="234">
        <v>4.7459999999999999E-4</v>
      </c>
      <c r="E349" s="231">
        <v>699780</v>
      </c>
      <c r="F349" s="231" t="s">
        <v>1924</v>
      </c>
      <c r="G349" s="392">
        <v>222625</v>
      </c>
      <c r="H349" s="392">
        <v>0</v>
      </c>
      <c r="I349" s="392">
        <v>439640</v>
      </c>
      <c r="J349" s="231">
        <v>6522</v>
      </c>
      <c r="K349" s="231">
        <v>668787</v>
      </c>
      <c r="L349" s="231"/>
      <c r="M349" s="300">
        <v>0</v>
      </c>
      <c r="N349" s="300">
        <v>999775</v>
      </c>
      <c r="O349" s="300">
        <v>0</v>
      </c>
      <c r="P349" s="231">
        <v>23547</v>
      </c>
      <c r="Q349" s="231">
        <v>1023322</v>
      </c>
      <c r="R349" s="231"/>
      <c r="S349" s="392">
        <v>301907</v>
      </c>
      <c r="T349" s="231">
        <v>-22961</v>
      </c>
      <c r="U349" s="396">
        <v>278946</v>
      </c>
      <c r="V349" s="231"/>
      <c r="W349" s="396">
        <v>2716487</v>
      </c>
      <c r="X349" s="396">
        <v>-959862</v>
      </c>
      <c r="Y349" s="396"/>
      <c r="Z349" s="396"/>
    </row>
    <row r="350" spans="1:26">
      <c r="A350" s="390">
        <v>93527</v>
      </c>
      <c r="B350" s="391" t="s">
        <v>1054</v>
      </c>
      <c r="C350" s="234">
        <v>1.4800000000000001E-5</v>
      </c>
      <c r="D350" s="234">
        <v>8.8999999999999995E-6</v>
      </c>
      <c r="E350" s="231">
        <v>22697</v>
      </c>
      <c r="F350" s="231" t="s">
        <v>1924</v>
      </c>
      <c r="G350" s="392">
        <v>7221</v>
      </c>
      <c r="H350" s="392">
        <v>0</v>
      </c>
      <c r="I350" s="392">
        <v>14260</v>
      </c>
      <c r="J350" s="231">
        <v>19144</v>
      </c>
      <c r="K350" s="231">
        <v>40625</v>
      </c>
      <c r="L350" s="231"/>
      <c r="M350" s="300">
        <v>0</v>
      </c>
      <c r="N350" s="300">
        <v>32428</v>
      </c>
      <c r="O350" s="300">
        <v>0</v>
      </c>
      <c r="P350" s="231">
        <v>0</v>
      </c>
      <c r="Q350" s="231">
        <v>32428</v>
      </c>
      <c r="R350" s="231"/>
      <c r="S350" s="392">
        <v>9792</v>
      </c>
      <c r="T350" s="231">
        <v>9548</v>
      </c>
      <c r="U350" s="396">
        <v>19340</v>
      </c>
      <c r="V350" s="231"/>
      <c r="W350" s="396">
        <v>88109</v>
      </c>
      <c r="X350" s="396">
        <v>-31133</v>
      </c>
      <c r="Y350" s="396"/>
      <c r="Z350" s="396"/>
    </row>
    <row r="351" spans="1:26">
      <c r="A351" s="390">
        <v>93531</v>
      </c>
      <c r="B351" s="391" t="s">
        <v>1055</v>
      </c>
      <c r="C351" s="234">
        <v>2.5400000000000001E-5</v>
      </c>
      <c r="D351" s="234">
        <v>2.4899999999999999E-5</v>
      </c>
      <c r="E351" s="231">
        <v>38953</v>
      </c>
      <c r="F351" s="231" t="s">
        <v>1924</v>
      </c>
      <c r="G351" s="392">
        <v>12392</v>
      </c>
      <c r="H351" s="392">
        <v>0</v>
      </c>
      <c r="I351" s="392">
        <v>24473</v>
      </c>
      <c r="J351" s="231">
        <v>8317</v>
      </c>
      <c r="K351" s="231">
        <v>45182</v>
      </c>
      <c r="L351" s="231"/>
      <c r="M351" s="300">
        <v>0</v>
      </c>
      <c r="N351" s="300">
        <v>55653</v>
      </c>
      <c r="O351" s="300">
        <v>0</v>
      </c>
      <c r="P351" s="231">
        <v>3060</v>
      </c>
      <c r="Q351" s="231">
        <v>58713</v>
      </c>
      <c r="R351" s="231"/>
      <c r="S351" s="392">
        <v>16806</v>
      </c>
      <c r="T351" s="231">
        <v>2613</v>
      </c>
      <c r="U351" s="396">
        <v>19419</v>
      </c>
      <c r="V351" s="231"/>
      <c r="W351" s="396">
        <v>151214</v>
      </c>
      <c r="X351" s="396">
        <v>-53431</v>
      </c>
      <c r="Y351" s="396"/>
      <c r="Z351" s="396"/>
    </row>
    <row r="352" spans="1:26">
      <c r="A352" s="390">
        <v>93537</v>
      </c>
      <c r="B352" s="391" t="s">
        <v>1056</v>
      </c>
      <c r="C352" s="234">
        <v>9.7999999999999993E-6</v>
      </c>
      <c r="D352" s="234">
        <v>1.04E-5</v>
      </c>
      <c r="E352" s="231">
        <v>15029</v>
      </c>
      <c r="F352" s="231" t="s">
        <v>1924</v>
      </c>
      <c r="G352" s="392">
        <v>4781</v>
      </c>
      <c r="H352" s="392">
        <v>0</v>
      </c>
      <c r="I352" s="392">
        <v>9442</v>
      </c>
      <c r="J352" s="231">
        <v>0</v>
      </c>
      <c r="K352" s="231">
        <v>14223</v>
      </c>
      <c r="L352" s="231"/>
      <c r="M352" s="300">
        <v>0</v>
      </c>
      <c r="N352" s="300">
        <v>21472</v>
      </c>
      <c r="O352" s="300">
        <v>0</v>
      </c>
      <c r="P352" s="231">
        <v>3965</v>
      </c>
      <c r="Q352" s="231">
        <v>25437</v>
      </c>
      <c r="R352" s="231"/>
      <c r="S352" s="392">
        <v>6484</v>
      </c>
      <c r="T352" s="231">
        <v>-2079</v>
      </c>
      <c r="U352" s="396">
        <v>4405</v>
      </c>
      <c r="V352" s="231"/>
      <c r="W352" s="396">
        <v>58342</v>
      </c>
      <c r="X352" s="396">
        <v>-20615</v>
      </c>
      <c r="Y352" s="396"/>
      <c r="Z352" s="396"/>
    </row>
    <row r="353" spans="1:26">
      <c r="A353" s="390">
        <v>93541</v>
      </c>
      <c r="B353" s="391" t="s">
        <v>1057</v>
      </c>
      <c r="C353" s="234">
        <v>1.8760000000000001E-4</v>
      </c>
      <c r="D353" s="234">
        <v>1.6339999999999999E-4</v>
      </c>
      <c r="E353" s="231">
        <v>287703</v>
      </c>
      <c r="F353" s="231" t="s">
        <v>1924</v>
      </c>
      <c r="G353" s="392">
        <v>91529</v>
      </c>
      <c r="H353" s="392">
        <v>0</v>
      </c>
      <c r="I353" s="392">
        <v>180751</v>
      </c>
      <c r="J353" s="231">
        <v>81024</v>
      </c>
      <c r="K353" s="231">
        <v>353304</v>
      </c>
      <c r="L353" s="231"/>
      <c r="M353" s="300">
        <v>0</v>
      </c>
      <c r="N353" s="300">
        <v>411041</v>
      </c>
      <c r="O353" s="300">
        <v>0</v>
      </c>
      <c r="P353" s="231">
        <v>1186</v>
      </c>
      <c r="Q353" s="231">
        <v>412227</v>
      </c>
      <c r="R353" s="231"/>
      <c r="S353" s="392">
        <v>124124</v>
      </c>
      <c r="T353" s="231">
        <v>34784</v>
      </c>
      <c r="U353" s="396">
        <v>158908</v>
      </c>
      <c r="V353" s="231"/>
      <c r="W353" s="396">
        <v>1116838</v>
      </c>
      <c r="X353" s="396">
        <v>-394631</v>
      </c>
      <c r="Y353" s="396"/>
      <c r="Z353" s="396"/>
    </row>
    <row r="354" spans="1:26">
      <c r="A354" s="390">
        <v>93601</v>
      </c>
      <c r="B354" s="391" t="s">
        <v>1058</v>
      </c>
      <c r="C354" s="234">
        <v>1.1387599999999999E-2</v>
      </c>
      <c r="D354" s="234">
        <v>1.0955299999999999E-2</v>
      </c>
      <c r="E354" s="231">
        <v>17463978</v>
      </c>
      <c r="F354" s="231" t="s">
        <v>1924</v>
      </c>
      <c r="G354" s="392">
        <v>5555919</v>
      </c>
      <c r="H354" s="392">
        <v>0</v>
      </c>
      <c r="I354" s="392">
        <v>10971839</v>
      </c>
      <c r="J354" s="231">
        <v>836642</v>
      </c>
      <c r="K354" s="231">
        <v>17364400</v>
      </c>
      <c r="L354" s="231"/>
      <c r="M354" s="300">
        <v>0</v>
      </c>
      <c r="N354" s="300">
        <v>24950778</v>
      </c>
      <c r="O354" s="300">
        <v>0</v>
      </c>
      <c r="P354" s="231">
        <v>113925</v>
      </c>
      <c r="Q354" s="231">
        <v>25064703</v>
      </c>
      <c r="R354" s="231"/>
      <c r="S354" s="392">
        <v>7534514</v>
      </c>
      <c r="T354" s="231">
        <v>248989</v>
      </c>
      <c r="U354" s="396">
        <v>7783503</v>
      </c>
      <c r="V354" s="231"/>
      <c r="W354" s="396">
        <v>67793708</v>
      </c>
      <c r="X354" s="396">
        <v>-23954693</v>
      </c>
      <c r="Y354" s="396"/>
      <c r="Z354" s="396"/>
    </row>
    <row r="355" spans="1:26">
      <c r="A355" s="390">
        <v>93602</v>
      </c>
      <c r="B355" s="391" t="s">
        <v>1059</v>
      </c>
      <c r="C355" s="234">
        <v>1.7000000000000001E-4</v>
      </c>
      <c r="D355" s="234">
        <v>1.5779999999999999E-4</v>
      </c>
      <c r="E355" s="231">
        <v>260711</v>
      </c>
      <c r="F355" s="231" t="s">
        <v>1924</v>
      </c>
      <c r="G355" s="392">
        <v>82942</v>
      </c>
      <c r="H355" s="392">
        <v>0</v>
      </c>
      <c r="I355" s="392">
        <v>163793</v>
      </c>
      <c r="J355" s="231">
        <v>45247</v>
      </c>
      <c r="K355" s="231">
        <v>291982</v>
      </c>
      <c r="L355" s="231"/>
      <c r="M355" s="300">
        <v>0</v>
      </c>
      <c r="N355" s="300">
        <v>372478</v>
      </c>
      <c r="O355" s="300">
        <v>0</v>
      </c>
      <c r="P355" s="231">
        <v>16749</v>
      </c>
      <c r="Q355" s="231">
        <v>389227</v>
      </c>
      <c r="R355" s="231"/>
      <c r="S355" s="392">
        <v>112479</v>
      </c>
      <c r="T355" s="231">
        <v>9885</v>
      </c>
      <c r="U355" s="396">
        <v>122364</v>
      </c>
      <c r="V355" s="231"/>
      <c r="W355" s="396">
        <v>1012060</v>
      </c>
      <c r="X355" s="396">
        <v>-357608</v>
      </c>
      <c r="Y355" s="396"/>
      <c r="Z355" s="396"/>
    </row>
    <row r="356" spans="1:26">
      <c r="A356" s="390">
        <v>93604</v>
      </c>
      <c r="B356" t="s">
        <v>1926</v>
      </c>
      <c r="C356" s="234">
        <v>1.3900000000000001E-5</v>
      </c>
      <c r="D356" s="234">
        <v>1.31E-5</v>
      </c>
      <c r="E356" s="231">
        <v>21317</v>
      </c>
      <c r="F356" s="231" t="s">
        <v>1924</v>
      </c>
      <c r="G356" s="392">
        <v>6782</v>
      </c>
      <c r="H356" s="392">
        <v>0</v>
      </c>
      <c r="I356" s="392">
        <v>13393</v>
      </c>
      <c r="J356" s="231">
        <v>13787</v>
      </c>
      <c r="K356" s="231">
        <v>33962</v>
      </c>
      <c r="L356" s="231"/>
      <c r="M356" s="300">
        <v>0</v>
      </c>
      <c r="N356" s="300">
        <v>30456</v>
      </c>
      <c r="O356" s="300">
        <v>0</v>
      </c>
      <c r="P356" s="231">
        <v>9099</v>
      </c>
      <c r="Q356" s="231">
        <v>39555</v>
      </c>
      <c r="R356" s="231"/>
      <c r="S356" s="392">
        <v>9197</v>
      </c>
      <c r="T356" s="231">
        <v>3917</v>
      </c>
      <c r="U356" s="396">
        <v>13114</v>
      </c>
      <c r="V356" s="231"/>
      <c r="W356" s="396">
        <v>82751</v>
      </c>
      <c r="X356" s="396">
        <v>-29240</v>
      </c>
      <c r="Y356" s="396"/>
      <c r="Z356" s="396"/>
    </row>
    <row r="357" spans="1:26">
      <c r="A357" s="390">
        <v>93609</v>
      </c>
      <c r="B357" s="391" t="s">
        <v>1060</v>
      </c>
      <c r="C357" s="234">
        <v>3.9456999999999999E-3</v>
      </c>
      <c r="D357" s="234">
        <v>3.6703E-3</v>
      </c>
      <c r="E357" s="231">
        <v>6051110</v>
      </c>
      <c r="F357" s="231" t="s">
        <v>1924</v>
      </c>
      <c r="G357" s="392">
        <v>1925075</v>
      </c>
      <c r="H357" s="392">
        <v>0</v>
      </c>
      <c r="I357" s="392">
        <v>3801642</v>
      </c>
      <c r="J357" s="231">
        <v>455902</v>
      </c>
      <c r="K357" s="231">
        <v>6182619</v>
      </c>
      <c r="L357" s="231"/>
      <c r="M357" s="300">
        <v>0</v>
      </c>
      <c r="N357" s="300">
        <v>8645218</v>
      </c>
      <c r="O357" s="300">
        <v>0</v>
      </c>
      <c r="P357" s="231">
        <v>166744</v>
      </c>
      <c r="Q357" s="231">
        <v>8811962</v>
      </c>
      <c r="R357" s="231"/>
      <c r="S357" s="392">
        <v>2610641</v>
      </c>
      <c r="T357" s="231">
        <v>196431</v>
      </c>
      <c r="U357" s="396">
        <v>2807072</v>
      </c>
      <c r="V357" s="231"/>
      <c r="W357" s="396">
        <v>23489904</v>
      </c>
      <c r="X357" s="396">
        <v>-8300084</v>
      </c>
      <c r="Y357" s="396"/>
      <c r="Z357" s="396"/>
    </row>
    <row r="358" spans="1:26">
      <c r="A358" s="390">
        <v>93610</v>
      </c>
      <c r="B358" s="391" t="s">
        <v>1061</v>
      </c>
      <c r="C358" s="234">
        <v>1.6099999999999998E-5</v>
      </c>
      <c r="D358" s="234">
        <v>1.63E-5</v>
      </c>
      <c r="E358" s="231">
        <v>24691</v>
      </c>
      <c r="F358" s="231" t="s">
        <v>1924</v>
      </c>
      <c r="G358" s="392">
        <v>7855</v>
      </c>
      <c r="H358" s="392">
        <v>0</v>
      </c>
      <c r="I358" s="392">
        <v>15512</v>
      </c>
      <c r="J358" s="231">
        <v>168</v>
      </c>
      <c r="K358" s="231">
        <v>23535</v>
      </c>
      <c r="L358" s="231"/>
      <c r="M358" s="300">
        <v>0</v>
      </c>
      <c r="N358" s="300">
        <v>35276</v>
      </c>
      <c r="O358" s="300">
        <v>0</v>
      </c>
      <c r="P358" s="231">
        <v>2101</v>
      </c>
      <c r="Q358" s="231">
        <v>37377</v>
      </c>
      <c r="R358" s="231"/>
      <c r="S358" s="392">
        <v>10652</v>
      </c>
      <c r="T358" s="231">
        <v>390</v>
      </c>
      <c r="U358" s="396">
        <v>11042</v>
      </c>
      <c r="V358" s="231"/>
      <c r="W358" s="396">
        <v>95848</v>
      </c>
      <c r="X358" s="396">
        <v>-33868</v>
      </c>
      <c r="Y358" s="396"/>
      <c r="Z358" s="396"/>
    </row>
    <row r="359" spans="1:26">
      <c r="A359" s="390">
        <v>93611</v>
      </c>
      <c r="B359" s="391" t="s">
        <v>1062</v>
      </c>
      <c r="C359" s="234">
        <v>6.4822999999999999E-3</v>
      </c>
      <c r="D359" s="234">
        <v>6.7793000000000003E-3</v>
      </c>
      <c r="E359" s="231">
        <v>9941229</v>
      </c>
      <c r="F359" s="231" t="s">
        <v>1924</v>
      </c>
      <c r="G359" s="392">
        <v>3162662</v>
      </c>
      <c r="H359" s="392">
        <v>0</v>
      </c>
      <c r="I359" s="392">
        <v>6245631</v>
      </c>
      <c r="J359" s="231">
        <v>0</v>
      </c>
      <c r="K359" s="231">
        <v>9408293</v>
      </c>
      <c r="L359" s="231"/>
      <c r="M359" s="300">
        <v>0</v>
      </c>
      <c r="N359" s="300">
        <v>14203030</v>
      </c>
      <c r="O359" s="300">
        <v>0</v>
      </c>
      <c r="P359" s="231">
        <v>531016</v>
      </c>
      <c r="Q359" s="231">
        <v>14734046</v>
      </c>
      <c r="R359" s="231"/>
      <c r="S359" s="392">
        <v>4288962</v>
      </c>
      <c r="T359" s="231">
        <v>-182488</v>
      </c>
      <c r="U359" s="396">
        <v>4106474</v>
      </c>
      <c r="V359" s="231"/>
      <c r="W359" s="396">
        <v>38591025</v>
      </c>
      <c r="X359" s="396">
        <v>-13636017</v>
      </c>
      <c r="Y359" s="396"/>
      <c r="Z359" s="396"/>
    </row>
    <row r="360" spans="1:26">
      <c r="A360" s="390">
        <v>93617</v>
      </c>
      <c r="B360" s="391" t="s">
        <v>1063</v>
      </c>
      <c r="C360" s="234">
        <v>9.7700000000000003E-5</v>
      </c>
      <c r="D360" s="234">
        <v>7.64E-5</v>
      </c>
      <c r="E360" s="231">
        <v>149832</v>
      </c>
      <c r="F360" s="231" t="s">
        <v>1924</v>
      </c>
      <c r="G360" s="392">
        <v>47667</v>
      </c>
      <c r="H360" s="392">
        <v>0</v>
      </c>
      <c r="I360" s="392">
        <v>94133</v>
      </c>
      <c r="J360" s="231">
        <v>63953</v>
      </c>
      <c r="K360" s="231">
        <v>205753</v>
      </c>
      <c r="L360" s="231"/>
      <c r="M360" s="300">
        <v>0</v>
      </c>
      <c r="N360" s="300">
        <v>214065</v>
      </c>
      <c r="O360" s="300">
        <v>0</v>
      </c>
      <c r="P360" s="231">
        <v>0</v>
      </c>
      <c r="Q360" s="231">
        <v>214065</v>
      </c>
      <c r="R360" s="231"/>
      <c r="S360" s="392">
        <v>64642</v>
      </c>
      <c r="T360" s="231">
        <v>25453</v>
      </c>
      <c r="U360" s="396">
        <v>90095</v>
      </c>
      <c r="V360" s="231"/>
      <c r="W360" s="396">
        <v>581637</v>
      </c>
      <c r="X360" s="396">
        <v>-205519</v>
      </c>
      <c r="Y360" s="396"/>
      <c r="Z360" s="396"/>
    </row>
    <row r="361" spans="1:26">
      <c r="A361" s="390">
        <v>93618</v>
      </c>
      <c r="B361" s="391" t="s">
        <v>1064</v>
      </c>
      <c r="C361" s="234">
        <v>7.7999999999999999E-6</v>
      </c>
      <c r="D361" s="234">
        <v>8.3000000000000002E-6</v>
      </c>
      <c r="E361" s="231">
        <v>11962</v>
      </c>
      <c r="F361" s="231" t="s">
        <v>1924</v>
      </c>
      <c r="G361" s="392">
        <v>3806</v>
      </c>
      <c r="H361" s="392">
        <v>0</v>
      </c>
      <c r="I361" s="392">
        <v>7515</v>
      </c>
      <c r="J361" s="231">
        <v>33396</v>
      </c>
      <c r="K361" s="231">
        <v>44717</v>
      </c>
      <c r="L361" s="231"/>
      <c r="M361" s="300">
        <v>0</v>
      </c>
      <c r="N361" s="300">
        <v>17090</v>
      </c>
      <c r="O361" s="300">
        <v>0</v>
      </c>
      <c r="P361" s="231">
        <v>0</v>
      </c>
      <c r="Q361" s="231">
        <v>17090</v>
      </c>
      <c r="R361" s="231"/>
      <c r="S361" s="392">
        <v>5161</v>
      </c>
      <c r="T361" s="231">
        <v>19266</v>
      </c>
      <c r="U361" s="396">
        <v>24427</v>
      </c>
      <c r="V361" s="231"/>
      <c r="W361" s="396">
        <v>46436</v>
      </c>
      <c r="X361" s="396">
        <v>-16408</v>
      </c>
      <c r="Y361" s="396"/>
      <c r="Z361" s="396"/>
    </row>
    <row r="362" spans="1:26">
      <c r="A362" s="390">
        <v>93621</v>
      </c>
      <c r="B362" s="391" t="s">
        <v>1065</v>
      </c>
      <c r="C362" s="234">
        <v>1.1558E-3</v>
      </c>
      <c r="D362" s="234">
        <v>1.1447E-3</v>
      </c>
      <c r="E362" s="231">
        <v>1772530</v>
      </c>
      <c r="F362" s="231" t="s">
        <v>1924</v>
      </c>
      <c r="G362" s="392">
        <v>563906</v>
      </c>
      <c r="H362" s="392">
        <v>0</v>
      </c>
      <c r="I362" s="392">
        <v>1113602</v>
      </c>
      <c r="J362" s="231">
        <v>55010</v>
      </c>
      <c r="K362" s="231">
        <v>1732518</v>
      </c>
      <c r="L362" s="231"/>
      <c r="M362" s="300">
        <v>0</v>
      </c>
      <c r="N362" s="300">
        <v>2532413</v>
      </c>
      <c r="O362" s="300">
        <v>0</v>
      </c>
      <c r="P362" s="231">
        <v>18324</v>
      </c>
      <c r="Q362" s="231">
        <v>2550737</v>
      </c>
      <c r="R362" s="231"/>
      <c r="S362" s="392">
        <v>764726</v>
      </c>
      <c r="T362" s="231">
        <v>34771</v>
      </c>
      <c r="U362" s="396">
        <v>799497</v>
      </c>
      <c r="V362" s="231"/>
      <c r="W362" s="396">
        <v>6880815</v>
      </c>
      <c r="X362" s="396">
        <v>-2431314</v>
      </c>
      <c r="Y362" s="396"/>
      <c r="Z362" s="396"/>
    </row>
    <row r="363" spans="1:26">
      <c r="A363" s="390">
        <v>93623</v>
      </c>
      <c r="B363" s="391" t="s">
        <v>1066</v>
      </c>
      <c r="C363" s="234">
        <v>1.04E-5</v>
      </c>
      <c r="D363" s="234">
        <v>1.17E-5</v>
      </c>
      <c r="E363" s="231">
        <v>15949</v>
      </c>
      <c r="F363" s="231" t="s">
        <v>1924</v>
      </c>
      <c r="G363" s="392">
        <v>5074</v>
      </c>
      <c r="H363" s="392">
        <v>0</v>
      </c>
      <c r="I363" s="392">
        <v>10020</v>
      </c>
      <c r="J363" s="231">
        <v>1519</v>
      </c>
      <c r="K363" s="231">
        <v>16613</v>
      </c>
      <c r="L363" s="231"/>
      <c r="M363" s="300">
        <v>0</v>
      </c>
      <c r="N363" s="300">
        <v>22787</v>
      </c>
      <c r="O363" s="300">
        <v>0</v>
      </c>
      <c r="P363" s="231">
        <v>667</v>
      </c>
      <c r="Q363" s="231">
        <v>23454</v>
      </c>
      <c r="R363" s="231"/>
      <c r="S363" s="392">
        <v>6881</v>
      </c>
      <c r="T363" s="231">
        <v>1335</v>
      </c>
      <c r="U363" s="396">
        <v>8216</v>
      </c>
      <c r="V363" s="231"/>
      <c r="W363" s="396">
        <v>61914</v>
      </c>
      <c r="X363" s="396">
        <v>-21877</v>
      </c>
      <c r="Y363" s="396"/>
      <c r="Z363" s="396"/>
    </row>
    <row r="364" spans="1:26">
      <c r="A364" s="390">
        <v>93631</v>
      </c>
      <c r="B364" s="391" t="s">
        <v>1067</v>
      </c>
      <c r="C364" s="234">
        <v>2.4949999999999999E-4</v>
      </c>
      <c r="D364" s="234">
        <v>2.8699999999999998E-4</v>
      </c>
      <c r="E364" s="231">
        <v>382632</v>
      </c>
      <c r="F364" s="231" t="s">
        <v>1924</v>
      </c>
      <c r="G364" s="392">
        <v>121729</v>
      </c>
      <c r="H364" s="392">
        <v>0</v>
      </c>
      <c r="I364" s="392">
        <v>240391</v>
      </c>
      <c r="J364" s="231">
        <v>27452</v>
      </c>
      <c r="K364" s="231">
        <v>389572</v>
      </c>
      <c r="L364" s="231"/>
      <c r="M364" s="300">
        <v>0</v>
      </c>
      <c r="N364" s="300">
        <v>546666</v>
      </c>
      <c r="O364" s="300">
        <v>0</v>
      </c>
      <c r="P364" s="231">
        <v>71855</v>
      </c>
      <c r="Q364" s="231">
        <v>618521</v>
      </c>
      <c r="R364" s="231"/>
      <c r="S364" s="392">
        <v>165080</v>
      </c>
      <c r="T364" s="231">
        <v>-13046</v>
      </c>
      <c r="U364" s="396">
        <v>152034</v>
      </c>
      <c r="V364" s="231"/>
      <c r="W364" s="396">
        <v>1485346</v>
      </c>
      <c r="X364" s="396">
        <v>-524842</v>
      </c>
      <c r="Y364" s="396"/>
      <c r="Z364" s="396"/>
    </row>
    <row r="365" spans="1:26">
      <c r="A365" s="390">
        <v>93641</v>
      </c>
      <c r="B365" s="391" t="s">
        <v>1068</v>
      </c>
      <c r="C365" s="234">
        <v>3.881E-4</v>
      </c>
      <c r="D365" s="234">
        <v>3.724E-4</v>
      </c>
      <c r="E365" s="231">
        <v>595189</v>
      </c>
      <c r="F365" s="231" t="s">
        <v>1924</v>
      </c>
      <c r="G365" s="392">
        <v>189351</v>
      </c>
      <c r="H365" s="392">
        <v>0</v>
      </c>
      <c r="I365" s="392">
        <v>373930</v>
      </c>
      <c r="J365" s="231">
        <v>84679</v>
      </c>
      <c r="K365" s="231">
        <v>647960</v>
      </c>
      <c r="L365" s="231"/>
      <c r="M365" s="300">
        <v>0</v>
      </c>
      <c r="N365" s="300">
        <v>850346</v>
      </c>
      <c r="O365" s="300">
        <v>0</v>
      </c>
      <c r="P365" s="231">
        <v>545</v>
      </c>
      <c r="Q365" s="231">
        <v>850891</v>
      </c>
      <c r="R365" s="231"/>
      <c r="S365" s="392">
        <v>256783</v>
      </c>
      <c r="T365" s="231">
        <v>29923</v>
      </c>
      <c r="U365" s="396">
        <v>286706</v>
      </c>
      <c r="V365" s="231"/>
      <c r="W365" s="396">
        <v>2310473</v>
      </c>
      <c r="X365" s="396">
        <v>-816398</v>
      </c>
      <c r="Y365" s="396"/>
      <c r="Z365" s="396"/>
    </row>
    <row r="366" spans="1:26">
      <c r="A366" s="390">
        <v>93647</v>
      </c>
      <c r="B366" s="391" t="s">
        <v>1069</v>
      </c>
      <c r="C366" s="234">
        <v>4.6999999999999999E-6</v>
      </c>
      <c r="D366" s="234">
        <v>4.6E-6</v>
      </c>
      <c r="E366" s="231">
        <v>7208</v>
      </c>
      <c r="F366" s="231" t="s">
        <v>1924</v>
      </c>
      <c r="G366" s="392">
        <v>2293</v>
      </c>
      <c r="H366" s="392">
        <v>0</v>
      </c>
      <c r="I366" s="392">
        <v>4528</v>
      </c>
      <c r="J366" s="231">
        <v>11440</v>
      </c>
      <c r="K366" s="231">
        <v>18261</v>
      </c>
      <c r="L366" s="231"/>
      <c r="M366" s="300">
        <v>0</v>
      </c>
      <c r="N366" s="300">
        <v>10298</v>
      </c>
      <c r="O366" s="300">
        <v>0</v>
      </c>
      <c r="P366" s="231">
        <v>0</v>
      </c>
      <c r="Q366" s="231">
        <v>10298</v>
      </c>
      <c r="R366" s="231"/>
      <c r="S366" s="392">
        <v>3110</v>
      </c>
      <c r="T366" s="231">
        <v>6482</v>
      </c>
      <c r="U366" s="396">
        <v>9592</v>
      </c>
      <c r="V366" s="231"/>
      <c r="W366" s="396">
        <v>27980</v>
      </c>
      <c r="X366" s="396">
        <v>-9887</v>
      </c>
      <c r="Y366" s="396"/>
      <c r="Z366" s="396"/>
    </row>
    <row r="367" spans="1:26">
      <c r="A367" s="390">
        <v>93651</v>
      </c>
      <c r="B367" s="391" t="s">
        <v>1070</v>
      </c>
      <c r="C367" s="234">
        <v>4.462E-4</v>
      </c>
      <c r="D367" s="234">
        <v>4.4680000000000002E-4</v>
      </c>
      <c r="E367" s="231">
        <v>684291</v>
      </c>
      <c r="F367" s="231" t="s">
        <v>1924</v>
      </c>
      <c r="G367" s="392">
        <v>217697</v>
      </c>
      <c r="H367" s="392">
        <v>0</v>
      </c>
      <c r="I367" s="392">
        <v>429909</v>
      </c>
      <c r="J367" s="231">
        <v>1723</v>
      </c>
      <c r="K367" s="231">
        <v>649329</v>
      </c>
      <c r="L367" s="231"/>
      <c r="M367" s="300">
        <v>0</v>
      </c>
      <c r="N367" s="300">
        <v>977646</v>
      </c>
      <c r="O367" s="300">
        <v>0</v>
      </c>
      <c r="P367" s="231">
        <v>38771</v>
      </c>
      <c r="Q367" s="231">
        <v>1016417</v>
      </c>
      <c r="R367" s="231"/>
      <c r="S367" s="392">
        <v>295225</v>
      </c>
      <c r="T367" s="231">
        <v>-16011</v>
      </c>
      <c r="U367" s="396">
        <v>279214</v>
      </c>
      <c r="V367" s="231"/>
      <c r="W367" s="396">
        <v>2656359</v>
      </c>
      <c r="X367" s="396">
        <v>-938616</v>
      </c>
      <c r="Y367" s="396"/>
      <c r="Z367" s="396"/>
    </row>
    <row r="368" spans="1:26">
      <c r="A368" s="390">
        <v>93661</v>
      </c>
      <c r="B368" s="391" t="s">
        <v>1071</v>
      </c>
      <c r="C368" s="234">
        <v>1.3999999999999999E-4</v>
      </c>
      <c r="D368" s="234">
        <v>1.4679999999999999E-4</v>
      </c>
      <c r="E368" s="231">
        <v>214703</v>
      </c>
      <c r="F368" s="231" t="s">
        <v>1924</v>
      </c>
      <c r="G368" s="392">
        <v>68305</v>
      </c>
      <c r="H368" s="392">
        <v>0</v>
      </c>
      <c r="I368" s="392">
        <v>134889</v>
      </c>
      <c r="J368" s="231">
        <v>18979</v>
      </c>
      <c r="K368" s="231">
        <v>222173</v>
      </c>
      <c r="L368" s="231"/>
      <c r="M368" s="300">
        <v>0</v>
      </c>
      <c r="N368" s="300">
        <v>306747</v>
      </c>
      <c r="O368" s="300">
        <v>0</v>
      </c>
      <c r="P368" s="231">
        <v>14508</v>
      </c>
      <c r="Q368" s="231">
        <v>321255</v>
      </c>
      <c r="R368" s="231"/>
      <c r="S368" s="392">
        <v>92630</v>
      </c>
      <c r="T368" s="231">
        <v>5305</v>
      </c>
      <c r="U368" s="396">
        <v>97935</v>
      </c>
      <c r="V368" s="231"/>
      <c r="W368" s="396">
        <v>833461</v>
      </c>
      <c r="X368" s="396">
        <v>-294501</v>
      </c>
      <c r="Y368" s="396"/>
      <c r="Z368" s="396"/>
    </row>
    <row r="369" spans="1:26">
      <c r="A369" s="390">
        <v>93671</v>
      </c>
      <c r="B369" s="391" t="s">
        <v>1072</v>
      </c>
      <c r="C369" s="234">
        <v>3.6230000000000002E-4</v>
      </c>
      <c r="D369" s="234">
        <v>3.5520000000000001E-4</v>
      </c>
      <c r="E369" s="231">
        <v>555622</v>
      </c>
      <c r="F369" s="231" t="s">
        <v>1924</v>
      </c>
      <c r="G369" s="392">
        <v>176763</v>
      </c>
      <c r="H369" s="392">
        <v>0</v>
      </c>
      <c r="I369" s="392">
        <v>349072</v>
      </c>
      <c r="J369" s="231">
        <v>54371</v>
      </c>
      <c r="K369" s="231">
        <v>580206</v>
      </c>
      <c r="L369" s="231"/>
      <c r="M369" s="300">
        <v>0</v>
      </c>
      <c r="N369" s="300">
        <v>793817</v>
      </c>
      <c r="O369" s="300">
        <v>0</v>
      </c>
      <c r="P369" s="231">
        <v>0</v>
      </c>
      <c r="Q369" s="231">
        <v>793817</v>
      </c>
      <c r="R369" s="231"/>
      <c r="S369" s="392">
        <v>239713</v>
      </c>
      <c r="T369" s="231">
        <v>23960</v>
      </c>
      <c r="U369" s="396">
        <v>263673</v>
      </c>
      <c r="V369" s="231"/>
      <c r="W369" s="396">
        <v>2156878</v>
      </c>
      <c r="X369" s="396">
        <v>-762126</v>
      </c>
      <c r="Y369" s="396"/>
      <c r="Z369" s="396"/>
    </row>
    <row r="370" spans="1:26">
      <c r="A370" s="390">
        <v>93681</v>
      </c>
      <c r="B370" s="391" t="s">
        <v>1073</v>
      </c>
      <c r="C370" s="234">
        <v>1.9430000000000001E-4</v>
      </c>
      <c r="D370" s="234">
        <v>1.5789999999999999E-4</v>
      </c>
      <c r="E370" s="231">
        <v>297978</v>
      </c>
      <c r="F370" s="231" t="s">
        <v>1924</v>
      </c>
      <c r="G370" s="392">
        <v>94797</v>
      </c>
      <c r="H370" s="392">
        <v>0</v>
      </c>
      <c r="I370" s="392">
        <v>187206</v>
      </c>
      <c r="J370" s="231">
        <v>79220</v>
      </c>
      <c r="K370" s="231">
        <v>361223</v>
      </c>
      <c r="L370" s="231"/>
      <c r="M370" s="300">
        <v>0</v>
      </c>
      <c r="N370" s="300">
        <v>425721</v>
      </c>
      <c r="O370" s="300">
        <v>0</v>
      </c>
      <c r="P370" s="231">
        <v>0</v>
      </c>
      <c r="Q370" s="231">
        <v>425721</v>
      </c>
      <c r="R370" s="231"/>
      <c r="S370" s="392">
        <v>128557</v>
      </c>
      <c r="T370" s="231">
        <v>31313</v>
      </c>
      <c r="U370" s="396">
        <v>159870</v>
      </c>
      <c r="V370" s="231"/>
      <c r="W370" s="396">
        <v>1156725</v>
      </c>
      <c r="X370" s="396">
        <v>-408725</v>
      </c>
      <c r="Y370" s="396"/>
      <c r="Z370" s="396"/>
    </row>
    <row r="371" spans="1:26">
      <c r="A371" s="390">
        <v>93691</v>
      </c>
      <c r="B371" s="391" t="s">
        <v>1074</v>
      </c>
      <c r="C371" s="234">
        <v>9.9149999999999998E-4</v>
      </c>
      <c r="D371" s="234">
        <v>1.0933E-3</v>
      </c>
      <c r="E371" s="231">
        <v>1520560</v>
      </c>
      <c r="F371" s="231" t="s">
        <v>1924</v>
      </c>
      <c r="G371" s="392">
        <v>483745</v>
      </c>
      <c r="H371" s="392">
        <v>0</v>
      </c>
      <c r="I371" s="392">
        <v>955300</v>
      </c>
      <c r="J371" s="231">
        <v>11304</v>
      </c>
      <c r="K371" s="231">
        <v>1450349</v>
      </c>
      <c r="L371" s="231"/>
      <c r="M371" s="300">
        <v>0</v>
      </c>
      <c r="N371" s="300">
        <v>2172424</v>
      </c>
      <c r="O371" s="300">
        <v>0</v>
      </c>
      <c r="P371" s="231">
        <v>234272</v>
      </c>
      <c r="Q371" s="231">
        <v>2406696</v>
      </c>
      <c r="R371" s="231"/>
      <c r="S371" s="392">
        <v>656018</v>
      </c>
      <c r="T371" s="231">
        <v>-95728</v>
      </c>
      <c r="U371" s="396">
        <v>560290</v>
      </c>
      <c r="V371" s="231"/>
      <c r="W371" s="396">
        <v>5902689</v>
      </c>
      <c r="X371" s="396">
        <v>-2085697</v>
      </c>
      <c r="Y371" s="396"/>
      <c r="Z371" s="396"/>
    </row>
    <row r="372" spans="1:26">
      <c r="A372" s="390">
        <v>93701</v>
      </c>
      <c r="B372" s="391" t="s">
        <v>1935</v>
      </c>
      <c r="C372" s="234">
        <v>4.0969999999999998E-4</v>
      </c>
      <c r="D372" s="234">
        <v>4.2969999999999998E-4</v>
      </c>
      <c r="E372" s="231">
        <v>628314</v>
      </c>
      <c r="F372" s="231" t="s">
        <v>1924</v>
      </c>
      <c r="G372" s="392">
        <v>199889</v>
      </c>
      <c r="H372" s="392">
        <v>0</v>
      </c>
      <c r="I372" s="392">
        <v>394742</v>
      </c>
      <c r="J372" s="231">
        <v>0</v>
      </c>
      <c r="K372" s="231">
        <v>594631</v>
      </c>
      <c r="L372" s="231"/>
      <c r="M372" s="300">
        <v>0</v>
      </c>
      <c r="N372" s="300">
        <v>897672</v>
      </c>
      <c r="O372" s="300">
        <v>0</v>
      </c>
      <c r="P372" s="231">
        <v>48121</v>
      </c>
      <c r="Q372" s="231">
        <v>945793</v>
      </c>
      <c r="R372" s="231"/>
      <c r="S372" s="392">
        <v>271075</v>
      </c>
      <c r="T372" s="231">
        <v>-21403</v>
      </c>
      <c r="U372" s="396">
        <v>249672</v>
      </c>
      <c r="V372" s="231"/>
      <c r="W372" s="396">
        <v>2439064</v>
      </c>
      <c r="X372" s="396">
        <v>-861835</v>
      </c>
      <c r="Y372" s="396"/>
      <c r="Z372" s="396"/>
    </row>
    <row r="373" spans="1:26">
      <c r="A373" s="390">
        <v>93704</v>
      </c>
      <c r="B373" s="391" t="s">
        <v>1076</v>
      </c>
      <c r="C373" s="234">
        <v>1.7999999999999999E-6</v>
      </c>
      <c r="D373" s="234">
        <v>1.9999999999999999E-6</v>
      </c>
      <c r="E373" s="231">
        <v>2760</v>
      </c>
      <c r="F373" s="231" t="s">
        <v>1924</v>
      </c>
      <c r="G373" s="392">
        <v>878</v>
      </c>
      <c r="H373" s="392">
        <v>0</v>
      </c>
      <c r="I373" s="392">
        <v>1734</v>
      </c>
      <c r="J373" s="231">
        <v>1796</v>
      </c>
      <c r="K373" s="231">
        <v>4408</v>
      </c>
      <c r="L373" s="231"/>
      <c r="M373" s="300">
        <v>0</v>
      </c>
      <c r="N373" s="300">
        <v>3944</v>
      </c>
      <c r="O373" s="300">
        <v>0</v>
      </c>
      <c r="P373" s="231">
        <v>0</v>
      </c>
      <c r="Q373" s="231">
        <v>3944</v>
      </c>
      <c r="R373" s="231"/>
      <c r="S373" s="392">
        <v>1191</v>
      </c>
      <c r="T373" s="231">
        <v>842</v>
      </c>
      <c r="U373" s="396">
        <v>2033</v>
      </c>
      <c r="V373" s="231"/>
      <c r="W373" s="396">
        <v>10716</v>
      </c>
      <c r="X373" s="396">
        <v>-3786</v>
      </c>
      <c r="Y373" s="396"/>
      <c r="Z373" s="396"/>
    </row>
    <row r="374" spans="1:26">
      <c r="A374" s="390">
        <v>93801</v>
      </c>
      <c r="B374" s="391" t="s">
        <v>1077</v>
      </c>
      <c r="C374" s="234">
        <v>4.4470000000000002E-4</v>
      </c>
      <c r="D374" s="234">
        <v>4.3399999999999998E-4</v>
      </c>
      <c r="E374" s="231">
        <v>681990</v>
      </c>
      <c r="F374" s="231" t="s">
        <v>1924</v>
      </c>
      <c r="G374" s="392">
        <v>216966</v>
      </c>
      <c r="H374" s="392">
        <v>0</v>
      </c>
      <c r="I374" s="392">
        <v>428464</v>
      </c>
      <c r="J374" s="231">
        <v>31230</v>
      </c>
      <c r="K374" s="231">
        <v>676660</v>
      </c>
      <c r="L374" s="231"/>
      <c r="M374" s="300">
        <v>0</v>
      </c>
      <c r="N374" s="300">
        <v>974359</v>
      </c>
      <c r="O374" s="300">
        <v>0</v>
      </c>
      <c r="P374" s="231">
        <v>12577</v>
      </c>
      <c r="Q374" s="231">
        <v>986936</v>
      </c>
      <c r="R374" s="231"/>
      <c r="S374" s="392">
        <v>294232</v>
      </c>
      <c r="T374" s="231">
        <v>-11879</v>
      </c>
      <c r="U374" s="396">
        <v>282353</v>
      </c>
      <c r="V374" s="231"/>
      <c r="W374" s="396">
        <v>2647429</v>
      </c>
      <c r="X374" s="396">
        <v>-935461</v>
      </c>
      <c r="Y374" s="396"/>
      <c r="Z374" s="396"/>
    </row>
    <row r="375" spans="1:26">
      <c r="A375" s="390">
        <v>93803</v>
      </c>
      <c r="B375" s="391" t="s">
        <v>1078</v>
      </c>
      <c r="C375" s="234">
        <v>1.138E-4</v>
      </c>
      <c r="D375" s="234">
        <v>1.039E-4</v>
      </c>
      <c r="E375" s="231">
        <v>174523</v>
      </c>
      <c r="F375" s="231" t="s">
        <v>1924</v>
      </c>
      <c r="G375" s="392">
        <v>55522</v>
      </c>
      <c r="H375" s="392">
        <v>0</v>
      </c>
      <c r="I375" s="392">
        <v>109645</v>
      </c>
      <c r="J375" s="231">
        <v>28181</v>
      </c>
      <c r="K375" s="231">
        <v>193348</v>
      </c>
      <c r="L375" s="231"/>
      <c r="M375" s="300">
        <v>0</v>
      </c>
      <c r="N375" s="300">
        <v>249341</v>
      </c>
      <c r="O375" s="300">
        <v>0</v>
      </c>
      <c r="P375" s="231">
        <v>11453</v>
      </c>
      <c r="Q375" s="231">
        <v>260794</v>
      </c>
      <c r="R375" s="231"/>
      <c r="S375" s="392">
        <v>75295</v>
      </c>
      <c r="T375" s="231">
        <v>-936</v>
      </c>
      <c r="U375" s="396">
        <v>74359</v>
      </c>
      <c r="V375" s="231"/>
      <c r="W375" s="396">
        <v>677485</v>
      </c>
      <c r="X375" s="396">
        <v>-239387</v>
      </c>
      <c r="Y375" s="396"/>
      <c r="Z375" s="396"/>
    </row>
    <row r="376" spans="1:26">
      <c r="A376" s="390">
        <v>93806</v>
      </c>
      <c r="B376" s="391" t="s">
        <v>1079</v>
      </c>
      <c r="C376" s="234">
        <v>7.5599999999999994E-5</v>
      </c>
      <c r="D376" s="234">
        <v>7.0599999999999995E-5</v>
      </c>
      <c r="E376" s="231">
        <v>115940</v>
      </c>
      <c r="F376" s="231" t="s">
        <v>1924</v>
      </c>
      <c r="G376" s="392">
        <v>36885</v>
      </c>
      <c r="H376" s="392">
        <v>0</v>
      </c>
      <c r="I376" s="392">
        <v>72840</v>
      </c>
      <c r="J376" s="231">
        <v>13899</v>
      </c>
      <c r="K376" s="231">
        <v>123624</v>
      </c>
      <c r="L376" s="231"/>
      <c r="M376" s="300">
        <v>0</v>
      </c>
      <c r="N376" s="300">
        <v>165643</v>
      </c>
      <c r="O376" s="300">
        <v>0</v>
      </c>
      <c r="P376" s="231">
        <v>12452</v>
      </c>
      <c r="Q376" s="231">
        <v>178095</v>
      </c>
      <c r="R376" s="231"/>
      <c r="S376" s="392">
        <v>50020</v>
      </c>
      <c r="T376" s="231">
        <v>517</v>
      </c>
      <c r="U376" s="396">
        <v>50537</v>
      </c>
      <c r="V376" s="231"/>
      <c r="W376" s="396">
        <v>450069</v>
      </c>
      <c r="X376" s="396">
        <v>-159030</v>
      </c>
      <c r="Y376" s="396"/>
      <c r="Z376" s="396"/>
    </row>
    <row r="377" spans="1:26">
      <c r="A377" s="390">
        <v>93821</v>
      </c>
      <c r="B377" s="391" t="s">
        <v>1080</v>
      </c>
      <c r="C377" s="234">
        <v>6.8899999999999994E-5</v>
      </c>
      <c r="D377" s="234">
        <v>6.2199999999999994E-5</v>
      </c>
      <c r="E377" s="231">
        <v>105665</v>
      </c>
      <c r="F377" s="231" t="s">
        <v>1924</v>
      </c>
      <c r="G377" s="392">
        <v>33616</v>
      </c>
      <c r="H377" s="392">
        <v>0</v>
      </c>
      <c r="I377" s="392">
        <v>66384</v>
      </c>
      <c r="J377" s="231">
        <v>23000</v>
      </c>
      <c r="K377" s="231">
        <v>123000</v>
      </c>
      <c r="L377" s="231"/>
      <c r="M377" s="300">
        <v>0</v>
      </c>
      <c r="N377" s="300">
        <v>150963</v>
      </c>
      <c r="O377" s="300">
        <v>0</v>
      </c>
      <c r="P377" s="231">
        <v>6409</v>
      </c>
      <c r="Q377" s="231">
        <v>157372</v>
      </c>
      <c r="R377" s="231"/>
      <c r="S377" s="392">
        <v>45587</v>
      </c>
      <c r="T377" s="231">
        <v>11893</v>
      </c>
      <c r="U377" s="396">
        <v>57480</v>
      </c>
      <c r="V377" s="231"/>
      <c r="W377" s="396">
        <v>410182</v>
      </c>
      <c r="X377" s="396">
        <v>-144936</v>
      </c>
      <c r="Y377" s="396"/>
      <c r="Z377" s="396"/>
    </row>
    <row r="378" spans="1:26">
      <c r="A378" s="390">
        <v>93901</v>
      </c>
      <c r="B378" s="391" t="s">
        <v>1081</v>
      </c>
      <c r="C378" s="234">
        <v>1.8913999999999999E-3</v>
      </c>
      <c r="D378" s="234">
        <v>1.8209999999999999E-3</v>
      </c>
      <c r="E378" s="231">
        <v>2900643</v>
      </c>
      <c r="F378" s="231" t="s">
        <v>1924</v>
      </c>
      <c r="G378" s="392">
        <v>922799</v>
      </c>
      <c r="H378" s="392">
        <v>0</v>
      </c>
      <c r="I378" s="392">
        <v>1822345</v>
      </c>
      <c r="J378" s="231">
        <v>350997</v>
      </c>
      <c r="K378" s="231">
        <v>3096141</v>
      </c>
      <c r="L378" s="231"/>
      <c r="M378" s="300">
        <v>0</v>
      </c>
      <c r="N378" s="300">
        <v>4144148</v>
      </c>
      <c r="O378" s="300">
        <v>0</v>
      </c>
      <c r="P378" s="231">
        <v>0</v>
      </c>
      <c r="Q378" s="231">
        <v>4144148</v>
      </c>
      <c r="R378" s="231"/>
      <c r="S378" s="392">
        <v>1251430</v>
      </c>
      <c r="T378" s="231">
        <v>159956</v>
      </c>
      <c r="U378" s="396">
        <v>1411386</v>
      </c>
      <c r="V378" s="231"/>
      <c r="W378" s="396">
        <v>11260056</v>
      </c>
      <c r="X378" s="396">
        <v>-3978706</v>
      </c>
      <c r="Y378" s="396"/>
      <c r="Z378" s="396"/>
    </row>
    <row r="379" spans="1:26">
      <c r="A379" s="390">
        <v>93904</v>
      </c>
      <c r="B379" s="391" t="s">
        <v>1082</v>
      </c>
      <c r="C379" s="234">
        <v>3.2700000000000002E-5</v>
      </c>
      <c r="D379" s="234">
        <v>3.1900000000000003E-5</v>
      </c>
      <c r="E379" s="231">
        <v>50149</v>
      </c>
      <c r="F379" s="231" t="s">
        <v>1924</v>
      </c>
      <c r="G379" s="392">
        <v>15954</v>
      </c>
      <c r="H379" s="392">
        <v>0</v>
      </c>
      <c r="I379" s="392">
        <v>31506</v>
      </c>
      <c r="J379" s="231">
        <v>16439</v>
      </c>
      <c r="K379" s="231">
        <v>63899</v>
      </c>
      <c r="L379" s="231"/>
      <c r="M379" s="300">
        <v>0</v>
      </c>
      <c r="N379" s="300">
        <v>71647</v>
      </c>
      <c r="O379" s="300">
        <v>0</v>
      </c>
      <c r="P379" s="231">
        <v>0</v>
      </c>
      <c r="Q379" s="231">
        <v>71647</v>
      </c>
      <c r="R379" s="231"/>
      <c r="S379" s="392">
        <v>21636</v>
      </c>
      <c r="T379" s="231">
        <v>9214</v>
      </c>
      <c r="U379" s="396">
        <v>30850</v>
      </c>
      <c r="V379" s="231"/>
      <c r="W379" s="396">
        <v>194673</v>
      </c>
      <c r="X379" s="396">
        <v>-68787</v>
      </c>
      <c r="Y379" s="396"/>
      <c r="Z379" s="396"/>
    </row>
    <row r="380" spans="1:26">
      <c r="A380" s="390">
        <v>93906</v>
      </c>
      <c r="B380" s="391" t="s">
        <v>1083</v>
      </c>
      <c r="C380" s="234">
        <v>3.3013999999999999E-3</v>
      </c>
      <c r="D380" s="234">
        <v>3.0739999999999999E-3</v>
      </c>
      <c r="E380" s="231">
        <v>5063014</v>
      </c>
      <c r="F380" s="231" t="s">
        <v>1924</v>
      </c>
      <c r="G380" s="392">
        <v>1610727</v>
      </c>
      <c r="H380" s="392">
        <v>0</v>
      </c>
      <c r="I380" s="392">
        <v>3180866</v>
      </c>
      <c r="J380" s="231">
        <v>304924</v>
      </c>
      <c r="K380" s="231">
        <v>5096517</v>
      </c>
      <c r="L380" s="231"/>
      <c r="M380" s="300">
        <v>0</v>
      </c>
      <c r="N380" s="300">
        <v>7233526</v>
      </c>
      <c r="O380" s="300">
        <v>0</v>
      </c>
      <c r="P380" s="231">
        <v>120545</v>
      </c>
      <c r="Q380" s="231">
        <v>7354071</v>
      </c>
      <c r="R380" s="231"/>
      <c r="S380" s="392">
        <v>2184345</v>
      </c>
      <c r="T380" s="231">
        <v>-4655</v>
      </c>
      <c r="U380" s="396">
        <v>2179690</v>
      </c>
      <c r="V380" s="231"/>
      <c r="W380" s="396">
        <v>19654198</v>
      </c>
      <c r="X380" s="396">
        <v>-6944749</v>
      </c>
      <c r="Y380" s="396"/>
      <c r="Z380" s="396"/>
    </row>
    <row r="381" spans="1:26">
      <c r="A381" s="390">
        <v>93908</v>
      </c>
      <c r="B381" s="391" t="s">
        <v>1936</v>
      </c>
      <c r="C381" s="234">
        <v>6.1220000000000003E-4</v>
      </c>
      <c r="D381" s="234">
        <v>5.1579999999999996E-4</v>
      </c>
      <c r="E381" s="231">
        <v>938867</v>
      </c>
      <c r="F381" s="231" t="s">
        <v>1924</v>
      </c>
      <c r="G381" s="392">
        <v>298687</v>
      </c>
      <c r="H381" s="392">
        <v>0</v>
      </c>
      <c r="I381" s="392">
        <v>589849</v>
      </c>
      <c r="J381" s="231">
        <v>192598</v>
      </c>
      <c r="K381" s="231">
        <v>1081134</v>
      </c>
      <c r="L381" s="231"/>
      <c r="M381" s="300">
        <v>0</v>
      </c>
      <c r="N381" s="300">
        <v>1341360</v>
      </c>
      <c r="O381" s="300">
        <v>0</v>
      </c>
      <c r="P381" s="231">
        <v>4872</v>
      </c>
      <c r="Q381" s="231">
        <v>1346232</v>
      </c>
      <c r="R381" s="231"/>
      <c r="S381" s="392">
        <v>405057</v>
      </c>
      <c r="T381" s="231">
        <v>65655</v>
      </c>
      <c r="U381" s="396">
        <v>470712</v>
      </c>
      <c r="V381" s="231"/>
      <c r="W381" s="396">
        <v>3644605</v>
      </c>
      <c r="X381" s="396">
        <v>-1287810</v>
      </c>
      <c r="Y381" s="396"/>
      <c r="Z381" s="396"/>
    </row>
    <row r="382" spans="1:26">
      <c r="A382" s="390">
        <v>93910</v>
      </c>
      <c r="B382" s="391" t="s">
        <v>1085</v>
      </c>
      <c r="C382" s="234">
        <v>3.3369999999999998E-4</v>
      </c>
      <c r="D382" s="234">
        <v>2.6459999999999998E-4</v>
      </c>
      <c r="E382" s="231">
        <v>511761</v>
      </c>
      <c r="F382" s="231" t="s">
        <v>1924</v>
      </c>
      <c r="G382" s="392">
        <v>162810</v>
      </c>
      <c r="H382" s="392">
        <v>0</v>
      </c>
      <c r="I382" s="392">
        <v>321517</v>
      </c>
      <c r="J382" s="231">
        <v>156228</v>
      </c>
      <c r="K382" s="231">
        <v>640555</v>
      </c>
      <c r="L382" s="231"/>
      <c r="M382" s="300">
        <v>0</v>
      </c>
      <c r="N382" s="300">
        <v>731153</v>
      </c>
      <c r="O382" s="300">
        <v>0</v>
      </c>
      <c r="P382" s="231">
        <v>13176</v>
      </c>
      <c r="Q382" s="231">
        <v>744329</v>
      </c>
      <c r="R382" s="231"/>
      <c r="S382" s="392">
        <v>220790</v>
      </c>
      <c r="T382" s="231">
        <v>45625</v>
      </c>
      <c r="U382" s="396">
        <v>266415</v>
      </c>
      <c r="V382" s="231"/>
      <c r="W382" s="396">
        <v>1986614</v>
      </c>
      <c r="X382" s="396">
        <v>-701964</v>
      </c>
      <c r="Y382" s="396"/>
      <c r="Z382" s="396"/>
    </row>
    <row r="383" spans="1:26">
      <c r="A383" s="390">
        <v>93911</v>
      </c>
      <c r="B383" s="391" t="s">
        <v>1086</v>
      </c>
      <c r="C383" s="234">
        <v>5.5719999999999999E-4</v>
      </c>
      <c r="D383" s="234">
        <v>6.1660000000000003E-4</v>
      </c>
      <c r="E383" s="231">
        <v>854520</v>
      </c>
      <c r="F383" s="231" t="s">
        <v>1924</v>
      </c>
      <c r="G383" s="392">
        <v>271853</v>
      </c>
      <c r="H383" s="392">
        <v>0</v>
      </c>
      <c r="I383" s="392">
        <v>536857</v>
      </c>
      <c r="J383" s="231">
        <v>3569</v>
      </c>
      <c r="K383" s="231">
        <v>812279</v>
      </c>
      <c r="L383" s="231"/>
      <c r="M383" s="300">
        <v>0</v>
      </c>
      <c r="N383" s="300">
        <v>1220852</v>
      </c>
      <c r="O383" s="300">
        <v>0</v>
      </c>
      <c r="P383" s="231">
        <v>99930</v>
      </c>
      <c r="Q383" s="231">
        <v>1320782</v>
      </c>
      <c r="R383" s="231"/>
      <c r="S383" s="392">
        <v>368667</v>
      </c>
      <c r="T383" s="231">
        <v>-41636</v>
      </c>
      <c r="U383" s="396">
        <v>327031</v>
      </c>
      <c r="V383" s="231"/>
      <c r="W383" s="396">
        <v>3317174</v>
      </c>
      <c r="X383" s="396">
        <v>-1172113</v>
      </c>
      <c r="Y383" s="396"/>
      <c r="Z383" s="396"/>
    </row>
    <row r="384" spans="1:26">
      <c r="A384" s="390">
        <v>93913</v>
      </c>
      <c r="B384" s="391" t="s">
        <v>1087</v>
      </c>
      <c r="C384" s="234">
        <v>4.07E-5</v>
      </c>
      <c r="D384" s="234">
        <v>4.6699999999999997E-5</v>
      </c>
      <c r="E384" s="231">
        <v>62417</v>
      </c>
      <c r="F384" s="231" t="s">
        <v>1924</v>
      </c>
      <c r="G384" s="392">
        <v>19857</v>
      </c>
      <c r="H384" s="392">
        <v>0</v>
      </c>
      <c r="I384" s="392">
        <v>39214</v>
      </c>
      <c r="J384" s="231">
        <v>3647</v>
      </c>
      <c r="K384" s="231">
        <v>62718</v>
      </c>
      <c r="L384" s="231"/>
      <c r="M384" s="300">
        <v>0</v>
      </c>
      <c r="N384" s="300">
        <v>89176</v>
      </c>
      <c r="O384" s="300">
        <v>0</v>
      </c>
      <c r="P384" s="231">
        <v>1069</v>
      </c>
      <c r="Q384" s="231">
        <v>90245</v>
      </c>
      <c r="R384" s="231"/>
      <c r="S384" s="392">
        <v>26929</v>
      </c>
      <c r="T384" s="231">
        <v>1499</v>
      </c>
      <c r="U384" s="396">
        <v>28428</v>
      </c>
      <c r="V384" s="231"/>
      <c r="W384" s="396">
        <v>242299</v>
      </c>
      <c r="X384" s="396">
        <v>-85616</v>
      </c>
      <c r="Y384" s="396"/>
      <c r="Z384" s="396"/>
    </row>
    <row r="385" spans="1:26">
      <c r="A385" s="390">
        <v>93914</v>
      </c>
      <c r="B385" s="391" t="s">
        <v>1088</v>
      </c>
      <c r="C385" s="234">
        <v>5.1000000000000003E-6</v>
      </c>
      <c r="D385" s="234">
        <v>5.2000000000000002E-6</v>
      </c>
      <c r="E385" s="231">
        <v>7821</v>
      </c>
      <c r="F385" s="231" t="s">
        <v>1924</v>
      </c>
      <c r="G385" s="392">
        <v>2488</v>
      </c>
      <c r="H385" s="392">
        <v>0</v>
      </c>
      <c r="I385" s="392">
        <v>4914</v>
      </c>
      <c r="J385" s="231">
        <v>4466</v>
      </c>
      <c r="K385" s="231">
        <v>11868</v>
      </c>
      <c r="L385" s="231"/>
      <c r="M385" s="300">
        <v>0</v>
      </c>
      <c r="N385" s="300">
        <v>11174</v>
      </c>
      <c r="O385" s="300">
        <v>0</v>
      </c>
      <c r="P385" s="231">
        <v>0</v>
      </c>
      <c r="Q385" s="231">
        <v>11174</v>
      </c>
      <c r="R385" s="231"/>
      <c r="S385" s="392">
        <v>3374</v>
      </c>
      <c r="T385" s="231">
        <v>2538</v>
      </c>
      <c r="U385" s="396">
        <v>5912</v>
      </c>
      <c r="V385" s="231"/>
      <c r="W385" s="396">
        <v>30362</v>
      </c>
      <c r="X385" s="396">
        <v>-10728</v>
      </c>
      <c r="Y385" s="396"/>
      <c r="Z385" s="396"/>
    </row>
    <row r="386" spans="1:26">
      <c r="A386" s="390">
        <v>93921</v>
      </c>
      <c r="B386" s="391" t="s">
        <v>1089</v>
      </c>
      <c r="C386" s="234">
        <v>2.6479999999999999E-4</v>
      </c>
      <c r="D386" s="234">
        <v>2.7060000000000002E-4</v>
      </c>
      <c r="E386" s="231">
        <v>406096</v>
      </c>
      <c r="F386" s="231" t="s">
        <v>1924</v>
      </c>
      <c r="G386" s="392">
        <v>129194</v>
      </c>
      <c r="H386" s="392">
        <v>0</v>
      </c>
      <c r="I386" s="392">
        <v>255132</v>
      </c>
      <c r="J386" s="231">
        <v>34658</v>
      </c>
      <c r="K386" s="231">
        <v>418984</v>
      </c>
      <c r="L386" s="231"/>
      <c r="M386" s="300">
        <v>0</v>
      </c>
      <c r="N386" s="300">
        <v>580190</v>
      </c>
      <c r="O386" s="300">
        <v>0</v>
      </c>
      <c r="P386" s="231">
        <v>28804</v>
      </c>
      <c r="Q386" s="231">
        <v>608994</v>
      </c>
      <c r="R386" s="231"/>
      <c r="S386" s="392">
        <v>175203</v>
      </c>
      <c r="T386" s="231">
        <v>5533</v>
      </c>
      <c r="U386" s="396">
        <v>180736</v>
      </c>
      <c r="V386" s="231"/>
      <c r="W386" s="396">
        <v>1576432</v>
      </c>
      <c r="X386" s="396">
        <v>-557027</v>
      </c>
      <c r="Y386" s="396"/>
      <c r="Z386" s="396"/>
    </row>
    <row r="387" spans="1:26">
      <c r="A387" s="390">
        <v>93931</v>
      </c>
      <c r="B387" s="391" t="s">
        <v>1090</v>
      </c>
      <c r="C387" s="234">
        <v>5.4149999999999999E-4</v>
      </c>
      <c r="D387" s="234">
        <v>5.3470000000000004E-4</v>
      </c>
      <c r="E387" s="231">
        <v>830442</v>
      </c>
      <c r="F387" s="231" t="s">
        <v>1924</v>
      </c>
      <c r="G387" s="392">
        <v>264194</v>
      </c>
      <c r="H387" s="392">
        <v>0</v>
      </c>
      <c r="I387" s="392">
        <v>521730</v>
      </c>
      <c r="J387" s="231">
        <v>3239</v>
      </c>
      <c r="K387" s="231">
        <v>789163</v>
      </c>
      <c r="L387" s="231"/>
      <c r="M387" s="300">
        <v>0</v>
      </c>
      <c r="N387" s="300">
        <v>1186452</v>
      </c>
      <c r="O387" s="300">
        <v>0</v>
      </c>
      <c r="P387" s="231">
        <v>42280</v>
      </c>
      <c r="Q387" s="231">
        <v>1228732</v>
      </c>
      <c r="R387" s="231"/>
      <c r="S387" s="392">
        <v>358279</v>
      </c>
      <c r="T387" s="231">
        <v>-21880</v>
      </c>
      <c r="U387" s="396">
        <v>336399</v>
      </c>
      <c r="V387" s="231"/>
      <c r="W387" s="396">
        <v>3223708</v>
      </c>
      <c r="X387" s="396">
        <v>-1139087</v>
      </c>
      <c r="Y387" s="396"/>
      <c r="Z387" s="396"/>
    </row>
    <row r="388" spans="1:26">
      <c r="A388" s="390">
        <v>94001</v>
      </c>
      <c r="B388" s="391" t="s">
        <v>1091</v>
      </c>
      <c r="C388" s="234">
        <v>1.0621999999999999E-3</v>
      </c>
      <c r="D388" s="234">
        <v>1.0497E-3</v>
      </c>
      <c r="E388" s="231">
        <v>1628986</v>
      </c>
      <c r="F388" s="231" t="s">
        <v>1924</v>
      </c>
      <c r="G388" s="392">
        <v>518239</v>
      </c>
      <c r="H388" s="392">
        <v>0</v>
      </c>
      <c r="I388" s="392">
        <v>1023419</v>
      </c>
      <c r="J388" s="231">
        <v>105807</v>
      </c>
      <c r="K388" s="231">
        <v>1647465</v>
      </c>
      <c r="L388" s="231"/>
      <c r="M388" s="300">
        <v>0</v>
      </c>
      <c r="N388" s="300">
        <v>2327331</v>
      </c>
      <c r="O388" s="300">
        <v>0</v>
      </c>
      <c r="P388" s="231">
        <v>4531</v>
      </c>
      <c r="Q388" s="231">
        <v>2331862</v>
      </c>
      <c r="R388" s="231"/>
      <c r="S388" s="392">
        <v>702796</v>
      </c>
      <c r="T388" s="231">
        <v>57739</v>
      </c>
      <c r="U388" s="396">
        <v>760535</v>
      </c>
      <c r="V388" s="231"/>
      <c r="W388" s="396">
        <v>6323587</v>
      </c>
      <c r="X388" s="396">
        <v>-2234419</v>
      </c>
      <c r="Y388" s="396"/>
      <c r="Z388" s="396"/>
    </row>
    <row r="389" spans="1:26">
      <c r="A389" s="390">
        <v>94002</v>
      </c>
      <c r="B389" s="391" t="s">
        <v>1092</v>
      </c>
      <c r="C389" s="234">
        <v>4.1999999999999996E-6</v>
      </c>
      <c r="D389" s="234">
        <v>4.5000000000000001E-6</v>
      </c>
      <c r="E389" s="231">
        <v>6441</v>
      </c>
      <c r="F389" s="231" t="s">
        <v>1924</v>
      </c>
      <c r="G389" s="392">
        <v>2049</v>
      </c>
      <c r="H389" s="392">
        <v>0</v>
      </c>
      <c r="I389" s="392">
        <v>4047</v>
      </c>
      <c r="J389" s="231">
        <v>3139</v>
      </c>
      <c r="K389" s="231">
        <v>9235</v>
      </c>
      <c r="L389" s="231"/>
      <c r="M389" s="300">
        <v>0</v>
      </c>
      <c r="N389" s="300">
        <v>9202</v>
      </c>
      <c r="O389" s="300">
        <v>0</v>
      </c>
      <c r="P389" s="231">
        <v>0</v>
      </c>
      <c r="Q389" s="231">
        <v>9202</v>
      </c>
      <c r="R389" s="231"/>
      <c r="S389" s="392">
        <v>2779</v>
      </c>
      <c r="T389" s="231">
        <v>1565</v>
      </c>
      <c r="U389" s="396">
        <v>4344</v>
      </c>
      <c r="V389" s="231"/>
      <c r="W389" s="396">
        <v>25004</v>
      </c>
      <c r="X389" s="396">
        <v>-8835</v>
      </c>
      <c r="Y389" s="396"/>
      <c r="Z389" s="396"/>
    </row>
    <row r="390" spans="1:26">
      <c r="A390" s="390">
        <v>94004</v>
      </c>
      <c r="B390" s="391" t="s">
        <v>1093</v>
      </c>
      <c r="C390" s="234">
        <v>1.0200000000000001E-5</v>
      </c>
      <c r="D390" s="234">
        <v>6.8000000000000001E-6</v>
      </c>
      <c r="E390" s="231">
        <v>15643</v>
      </c>
      <c r="F390" s="231" t="s">
        <v>1924</v>
      </c>
      <c r="G390" s="392">
        <v>4976</v>
      </c>
      <c r="H390" s="392">
        <v>0</v>
      </c>
      <c r="I390" s="392">
        <v>9828</v>
      </c>
      <c r="J390" s="231">
        <v>8826</v>
      </c>
      <c r="K390" s="231">
        <v>23630</v>
      </c>
      <c r="L390" s="231"/>
      <c r="M390" s="300">
        <v>0</v>
      </c>
      <c r="N390" s="300">
        <v>22349</v>
      </c>
      <c r="O390" s="300">
        <v>0</v>
      </c>
      <c r="P390" s="231">
        <v>0</v>
      </c>
      <c r="Q390" s="231">
        <v>22349</v>
      </c>
      <c r="R390" s="231"/>
      <c r="S390" s="392">
        <v>6749</v>
      </c>
      <c r="T390" s="231">
        <v>4182</v>
      </c>
      <c r="U390" s="396">
        <v>10931</v>
      </c>
      <c r="V390" s="231"/>
      <c r="W390" s="396">
        <v>60724</v>
      </c>
      <c r="X390" s="396">
        <v>-21456</v>
      </c>
      <c r="Y390" s="396"/>
      <c r="Z390" s="396"/>
    </row>
    <row r="391" spans="1:26">
      <c r="A391" s="390">
        <v>94005</v>
      </c>
      <c r="B391" s="391" t="s">
        <v>1094</v>
      </c>
      <c r="C391" s="234">
        <v>6.2999999999999998E-6</v>
      </c>
      <c r="D391" s="234">
        <v>1.9E-6</v>
      </c>
      <c r="E391" s="231">
        <v>9662</v>
      </c>
      <c r="F391" s="231" t="s">
        <v>1924</v>
      </c>
      <c r="G391" s="392">
        <v>3074</v>
      </c>
      <c r="H391" s="392">
        <v>0</v>
      </c>
      <c r="I391" s="392">
        <v>6070</v>
      </c>
      <c r="J391" s="231">
        <v>10207</v>
      </c>
      <c r="K391" s="231">
        <v>19351</v>
      </c>
      <c r="L391" s="231"/>
      <c r="M391" s="300">
        <v>0</v>
      </c>
      <c r="N391" s="300">
        <v>13804</v>
      </c>
      <c r="O391" s="300">
        <v>0</v>
      </c>
      <c r="P391" s="231">
        <v>683</v>
      </c>
      <c r="Q391" s="231">
        <v>14487</v>
      </c>
      <c r="R391" s="231"/>
      <c r="S391" s="392">
        <v>4168</v>
      </c>
      <c r="T391" s="231">
        <v>2976</v>
      </c>
      <c r="U391" s="396">
        <v>7144</v>
      </c>
      <c r="V391" s="231"/>
      <c r="W391" s="396">
        <v>37506</v>
      </c>
      <c r="X391" s="396">
        <v>-13253</v>
      </c>
      <c r="Y391" s="396"/>
      <c r="Z391" s="396"/>
    </row>
    <row r="392" spans="1:26">
      <c r="A392" s="390">
        <v>94011</v>
      </c>
      <c r="B392" s="391" t="s">
        <v>1095</v>
      </c>
      <c r="C392" s="234">
        <v>2.8900000000000001E-5</v>
      </c>
      <c r="D392" s="234">
        <v>2.7900000000000001E-5</v>
      </c>
      <c r="E392" s="231">
        <v>44321</v>
      </c>
      <c r="F392" s="231" t="s">
        <v>1924</v>
      </c>
      <c r="G392" s="392">
        <v>14100</v>
      </c>
      <c r="H392" s="392">
        <v>0</v>
      </c>
      <c r="I392" s="392">
        <v>27845</v>
      </c>
      <c r="J392" s="231">
        <v>450</v>
      </c>
      <c r="K392" s="231">
        <v>42395</v>
      </c>
      <c r="L392" s="231"/>
      <c r="M392" s="300">
        <v>0</v>
      </c>
      <c r="N392" s="300">
        <v>63321</v>
      </c>
      <c r="O392" s="300">
        <v>0</v>
      </c>
      <c r="P392" s="231">
        <v>2455</v>
      </c>
      <c r="Q392" s="231">
        <v>65776</v>
      </c>
      <c r="R392" s="231"/>
      <c r="S392" s="392">
        <v>19121</v>
      </c>
      <c r="T392" s="231">
        <v>-1342</v>
      </c>
      <c r="U392" s="396">
        <v>17779</v>
      </c>
      <c r="V392" s="231"/>
      <c r="W392" s="396">
        <v>172050</v>
      </c>
      <c r="X392" s="396">
        <v>-60793</v>
      </c>
      <c r="Y392" s="396"/>
      <c r="Z392" s="396"/>
    </row>
    <row r="393" spans="1:26">
      <c r="A393" s="390">
        <v>94021</v>
      </c>
      <c r="B393" s="391" t="s">
        <v>1096</v>
      </c>
      <c r="C393" s="234">
        <v>8.6000000000000003E-5</v>
      </c>
      <c r="D393" s="234">
        <v>1.031E-4</v>
      </c>
      <c r="E393" s="231">
        <v>131889</v>
      </c>
      <c r="F393" s="231" t="s">
        <v>1924</v>
      </c>
      <c r="G393" s="392">
        <v>41959</v>
      </c>
      <c r="H393" s="392">
        <v>0</v>
      </c>
      <c r="I393" s="392">
        <v>82860</v>
      </c>
      <c r="J393" s="231">
        <v>18678</v>
      </c>
      <c r="K393" s="231">
        <v>143497</v>
      </c>
      <c r="L393" s="231"/>
      <c r="M393" s="300">
        <v>0</v>
      </c>
      <c r="N393" s="300">
        <v>188430</v>
      </c>
      <c r="O393" s="300">
        <v>0</v>
      </c>
      <c r="P393" s="231">
        <v>26202</v>
      </c>
      <c r="Q393" s="231">
        <v>214632</v>
      </c>
      <c r="R393" s="231"/>
      <c r="S393" s="392">
        <v>56901</v>
      </c>
      <c r="T393" s="231">
        <v>3510</v>
      </c>
      <c r="U393" s="396">
        <v>60411</v>
      </c>
      <c r="V393" s="231"/>
      <c r="W393" s="396">
        <v>511983</v>
      </c>
      <c r="X393" s="396">
        <v>-180908</v>
      </c>
      <c r="Y393" s="396"/>
      <c r="Z393" s="396"/>
    </row>
    <row r="394" spans="1:26">
      <c r="A394" s="390">
        <v>94031</v>
      </c>
      <c r="B394" s="391" t="s">
        <v>1097</v>
      </c>
      <c r="C394" s="234">
        <v>4.8999999999999997E-6</v>
      </c>
      <c r="D394" s="234">
        <v>4.4000000000000002E-6</v>
      </c>
      <c r="E394" s="231">
        <v>7515</v>
      </c>
      <c r="F394" s="231" t="s">
        <v>1924</v>
      </c>
      <c r="G394" s="392">
        <v>2391</v>
      </c>
      <c r="H394" s="392">
        <v>0</v>
      </c>
      <c r="I394" s="392">
        <v>4721</v>
      </c>
      <c r="J394" s="231">
        <v>9281</v>
      </c>
      <c r="K394" s="231">
        <v>16393</v>
      </c>
      <c r="L394" s="231"/>
      <c r="M394" s="300">
        <v>0</v>
      </c>
      <c r="N394" s="300">
        <v>10736</v>
      </c>
      <c r="O394" s="300">
        <v>0</v>
      </c>
      <c r="P394" s="231">
        <v>0</v>
      </c>
      <c r="Q394" s="231">
        <v>10736</v>
      </c>
      <c r="R394" s="231"/>
      <c r="S394" s="392">
        <v>3242</v>
      </c>
      <c r="T394" s="231">
        <v>4542</v>
      </c>
      <c r="U394" s="396">
        <v>7784</v>
      </c>
      <c r="V394" s="231"/>
      <c r="W394" s="396">
        <v>29171</v>
      </c>
      <c r="X394" s="396">
        <v>-10308</v>
      </c>
      <c r="Y394" s="396"/>
      <c r="Z394" s="396"/>
    </row>
    <row r="395" spans="1:26">
      <c r="A395" s="390">
        <v>94101</v>
      </c>
      <c r="B395" s="391" t="s">
        <v>1098</v>
      </c>
      <c r="C395" s="234">
        <v>1.7842E-2</v>
      </c>
      <c r="D395" s="234">
        <v>1.7262900000000001E-2</v>
      </c>
      <c r="E395" s="231">
        <v>27362420</v>
      </c>
      <c r="F395" s="231" t="s">
        <v>1924</v>
      </c>
      <c r="G395" s="392">
        <v>8704969</v>
      </c>
      <c r="H395" s="392">
        <v>0</v>
      </c>
      <c r="I395" s="392">
        <v>17190589</v>
      </c>
      <c r="J395" s="231">
        <v>1357604</v>
      </c>
      <c r="K395" s="231">
        <v>27253162</v>
      </c>
      <c r="L395" s="231"/>
      <c r="M395" s="300">
        <v>0</v>
      </c>
      <c r="N395" s="300">
        <v>39092678</v>
      </c>
      <c r="O395" s="300">
        <v>0</v>
      </c>
      <c r="P395" s="231">
        <v>203347</v>
      </c>
      <c r="Q395" s="231">
        <v>39296025</v>
      </c>
      <c r="R395" s="231"/>
      <c r="S395" s="392">
        <v>11805017</v>
      </c>
      <c r="T395" s="231">
        <v>347056</v>
      </c>
      <c r="U395" s="396">
        <v>12152073</v>
      </c>
      <c r="V395" s="231"/>
      <c r="W395" s="396">
        <v>106218636</v>
      </c>
      <c r="X395" s="396">
        <v>-37532021</v>
      </c>
      <c r="Y395" s="396"/>
      <c r="Z395" s="396"/>
    </row>
    <row r="396" spans="1:26">
      <c r="A396" s="390">
        <v>94102</v>
      </c>
      <c r="B396" s="391" t="s">
        <v>1099</v>
      </c>
      <c r="C396" s="234">
        <v>3.4259999999999998E-4</v>
      </c>
      <c r="D396" s="234">
        <v>3.8249999999999997E-4</v>
      </c>
      <c r="E396" s="231">
        <v>525410</v>
      </c>
      <c r="F396" s="231" t="s">
        <v>1924</v>
      </c>
      <c r="G396" s="392">
        <v>167152</v>
      </c>
      <c r="H396" s="392">
        <v>0</v>
      </c>
      <c r="I396" s="392">
        <v>330092</v>
      </c>
      <c r="J396" s="231">
        <v>12567</v>
      </c>
      <c r="K396" s="231">
        <v>509811</v>
      </c>
      <c r="L396" s="231"/>
      <c r="M396" s="300">
        <v>0</v>
      </c>
      <c r="N396" s="300">
        <v>750653</v>
      </c>
      <c r="O396" s="300">
        <v>0</v>
      </c>
      <c r="P396" s="231">
        <v>113818</v>
      </c>
      <c r="Q396" s="231">
        <v>864471</v>
      </c>
      <c r="R396" s="231"/>
      <c r="S396" s="392">
        <v>226679</v>
      </c>
      <c r="T396" s="231">
        <v>-39583</v>
      </c>
      <c r="U396" s="396">
        <v>187096</v>
      </c>
      <c r="V396" s="231"/>
      <c r="W396" s="396">
        <v>2039598</v>
      </c>
      <c r="X396" s="396">
        <v>-720685</v>
      </c>
      <c r="Y396" s="396"/>
      <c r="Z396" s="396"/>
    </row>
    <row r="397" spans="1:26">
      <c r="A397" s="390">
        <v>94108</v>
      </c>
      <c r="B397" s="391" t="s">
        <v>1100</v>
      </c>
      <c r="C397" s="234">
        <v>3.9619999999999998E-4</v>
      </c>
      <c r="D397" s="234">
        <v>4.2030000000000002E-4</v>
      </c>
      <c r="E397" s="231">
        <v>607611</v>
      </c>
      <c r="F397" s="231" t="s">
        <v>1924</v>
      </c>
      <c r="G397" s="392">
        <v>193303</v>
      </c>
      <c r="H397" s="392">
        <v>0</v>
      </c>
      <c r="I397" s="392">
        <v>381735</v>
      </c>
      <c r="J397" s="231">
        <v>3398</v>
      </c>
      <c r="K397" s="231">
        <v>578436</v>
      </c>
      <c r="L397" s="231"/>
      <c r="M397" s="300">
        <v>0</v>
      </c>
      <c r="N397" s="300">
        <v>868093</v>
      </c>
      <c r="O397" s="300">
        <v>0</v>
      </c>
      <c r="P397" s="231">
        <v>113350</v>
      </c>
      <c r="Q397" s="231">
        <v>981443</v>
      </c>
      <c r="R397" s="231"/>
      <c r="S397" s="392">
        <v>262143</v>
      </c>
      <c r="T397" s="231">
        <v>-45417</v>
      </c>
      <c r="U397" s="396">
        <v>216726</v>
      </c>
      <c r="V397" s="231"/>
      <c r="W397" s="396">
        <v>2358694</v>
      </c>
      <c r="X397" s="396">
        <v>-833437</v>
      </c>
      <c r="Y397" s="396"/>
      <c r="Z397" s="396"/>
    </row>
    <row r="398" spans="1:26">
      <c r="A398" s="390">
        <v>94109</v>
      </c>
      <c r="B398" s="391" t="s">
        <v>1101</v>
      </c>
      <c r="C398" s="234">
        <v>9.7399999999999996E-5</v>
      </c>
      <c r="D398" s="234">
        <v>1.059E-4</v>
      </c>
      <c r="E398" s="231">
        <v>149372</v>
      </c>
      <c r="F398" s="231" t="s">
        <v>1924</v>
      </c>
      <c r="G398" s="392">
        <v>47521</v>
      </c>
      <c r="H398" s="392">
        <v>0</v>
      </c>
      <c r="I398" s="392">
        <v>93844</v>
      </c>
      <c r="J398" s="231">
        <v>0</v>
      </c>
      <c r="K398" s="231">
        <v>141365</v>
      </c>
      <c r="L398" s="231"/>
      <c r="M398" s="300">
        <v>0</v>
      </c>
      <c r="N398" s="300">
        <v>213408</v>
      </c>
      <c r="O398" s="300">
        <v>0</v>
      </c>
      <c r="P398" s="231">
        <v>35327</v>
      </c>
      <c r="Q398" s="231">
        <v>248735</v>
      </c>
      <c r="R398" s="231"/>
      <c r="S398" s="392">
        <v>64444</v>
      </c>
      <c r="T398" s="231">
        <v>-18609</v>
      </c>
      <c r="U398" s="396">
        <v>45835</v>
      </c>
      <c r="V398" s="231"/>
      <c r="W398" s="396">
        <v>579851</v>
      </c>
      <c r="X398" s="396">
        <v>-204888</v>
      </c>
      <c r="Y398" s="396"/>
      <c r="Z398" s="396"/>
    </row>
    <row r="399" spans="1:26">
      <c r="A399" s="390">
        <v>94111</v>
      </c>
      <c r="B399" s="391" t="s">
        <v>1102</v>
      </c>
      <c r="C399" s="234">
        <v>2.33067E-2</v>
      </c>
      <c r="D399" s="234">
        <v>2.4351600000000001E-2</v>
      </c>
      <c r="E399" s="231">
        <v>35743062</v>
      </c>
      <c r="F399" s="231" t="s">
        <v>1924</v>
      </c>
      <c r="G399" s="392">
        <v>11371152</v>
      </c>
      <c r="H399" s="392">
        <v>0</v>
      </c>
      <c r="I399" s="392">
        <v>22455772</v>
      </c>
      <c r="J399" s="231">
        <v>0</v>
      </c>
      <c r="K399" s="231">
        <v>33826924</v>
      </c>
      <c r="L399" s="231"/>
      <c r="M399" s="300">
        <v>0</v>
      </c>
      <c r="N399" s="300">
        <v>51066098</v>
      </c>
      <c r="O399" s="300">
        <v>0</v>
      </c>
      <c r="P399" s="231">
        <v>2213314</v>
      </c>
      <c r="Q399" s="231">
        <v>53279412</v>
      </c>
      <c r="R399" s="231"/>
      <c r="S399" s="392">
        <v>15420692</v>
      </c>
      <c r="T399" s="231">
        <v>-1047764</v>
      </c>
      <c r="U399" s="396">
        <v>14372928</v>
      </c>
      <c r="V399" s="231"/>
      <c r="W399" s="396">
        <v>138751591</v>
      </c>
      <c r="X399" s="396">
        <v>-49027438</v>
      </c>
      <c r="Y399" s="396"/>
      <c r="Z399" s="396"/>
    </row>
    <row r="400" spans="1:26">
      <c r="A400" s="390">
        <v>94112</v>
      </c>
      <c r="B400" s="391" t="s">
        <v>1103</v>
      </c>
      <c r="C400" s="234">
        <v>1.429E-4</v>
      </c>
      <c r="D400" s="234">
        <v>1.4980000000000001E-4</v>
      </c>
      <c r="E400" s="231">
        <v>219151</v>
      </c>
      <c r="F400" s="231" t="s">
        <v>1924</v>
      </c>
      <c r="G400" s="392">
        <v>69720</v>
      </c>
      <c r="H400" s="392">
        <v>0</v>
      </c>
      <c r="I400" s="392">
        <v>137683</v>
      </c>
      <c r="J400" s="231">
        <v>0</v>
      </c>
      <c r="K400" s="231">
        <v>207403</v>
      </c>
      <c r="L400" s="231"/>
      <c r="M400" s="300">
        <v>0</v>
      </c>
      <c r="N400" s="300">
        <v>313101</v>
      </c>
      <c r="O400" s="300">
        <v>0</v>
      </c>
      <c r="P400" s="231">
        <v>35228</v>
      </c>
      <c r="Q400" s="231">
        <v>348329</v>
      </c>
      <c r="R400" s="231"/>
      <c r="S400" s="392">
        <v>94549</v>
      </c>
      <c r="T400" s="231">
        <v>-16696</v>
      </c>
      <c r="U400" s="396">
        <v>77853</v>
      </c>
      <c r="V400" s="231"/>
      <c r="W400" s="396">
        <v>850725</v>
      </c>
      <c r="X400" s="396">
        <v>-300601</v>
      </c>
      <c r="Y400" s="396"/>
      <c r="Z400" s="396"/>
    </row>
    <row r="401" spans="1:26">
      <c r="A401" s="390">
        <v>94117</v>
      </c>
      <c r="B401" s="391" t="s">
        <v>1104</v>
      </c>
      <c r="C401" s="234">
        <v>3.5599999999999998E-4</v>
      </c>
      <c r="D401" s="234">
        <v>3.1700000000000001E-4</v>
      </c>
      <c r="E401" s="231">
        <v>545960</v>
      </c>
      <c r="F401" s="231" t="s">
        <v>1924</v>
      </c>
      <c r="G401" s="392">
        <v>173690</v>
      </c>
      <c r="H401" s="392">
        <v>0</v>
      </c>
      <c r="I401" s="392">
        <v>343002</v>
      </c>
      <c r="J401" s="231">
        <v>116962</v>
      </c>
      <c r="K401" s="231">
        <v>633654</v>
      </c>
      <c r="L401" s="231"/>
      <c r="M401" s="300">
        <v>0</v>
      </c>
      <c r="N401" s="300">
        <v>780013</v>
      </c>
      <c r="O401" s="300">
        <v>0</v>
      </c>
      <c r="P401" s="231">
        <v>9736</v>
      </c>
      <c r="Q401" s="231">
        <v>789749</v>
      </c>
      <c r="R401" s="231"/>
      <c r="S401" s="392">
        <v>235545</v>
      </c>
      <c r="T401" s="231">
        <v>32302</v>
      </c>
      <c r="U401" s="396">
        <v>267847</v>
      </c>
      <c r="V401" s="231"/>
      <c r="W401" s="396">
        <v>2119372</v>
      </c>
      <c r="X401" s="396">
        <v>-748873</v>
      </c>
      <c r="Y401" s="396"/>
      <c r="Z401" s="396"/>
    </row>
    <row r="402" spans="1:26">
      <c r="A402" s="390">
        <v>94118</v>
      </c>
      <c r="B402" s="391" t="s">
        <v>1105</v>
      </c>
      <c r="C402" s="234">
        <v>1.5090000000000001E-4</v>
      </c>
      <c r="D402" s="234">
        <v>1.5530000000000001E-4</v>
      </c>
      <c r="E402" s="231">
        <v>231420</v>
      </c>
      <c r="F402" s="231" t="s">
        <v>1924</v>
      </c>
      <c r="G402" s="392">
        <v>73623</v>
      </c>
      <c r="H402" s="392">
        <v>0</v>
      </c>
      <c r="I402" s="392">
        <v>145391</v>
      </c>
      <c r="J402" s="231">
        <v>0</v>
      </c>
      <c r="K402" s="231">
        <v>219014</v>
      </c>
      <c r="L402" s="231"/>
      <c r="M402" s="300">
        <v>0</v>
      </c>
      <c r="N402" s="300">
        <v>330629</v>
      </c>
      <c r="O402" s="300">
        <v>0</v>
      </c>
      <c r="P402" s="231">
        <v>31824</v>
      </c>
      <c r="Q402" s="231">
        <v>362453</v>
      </c>
      <c r="R402" s="231"/>
      <c r="S402" s="392">
        <v>99842</v>
      </c>
      <c r="T402" s="231">
        <v>-18731</v>
      </c>
      <c r="U402" s="396">
        <v>81111</v>
      </c>
      <c r="V402" s="231"/>
      <c r="W402" s="396">
        <v>898352</v>
      </c>
      <c r="X402" s="396">
        <v>-317430</v>
      </c>
      <c r="Y402" s="396"/>
      <c r="Z402" s="396"/>
    </row>
    <row r="403" spans="1:26">
      <c r="A403" s="390">
        <v>94121</v>
      </c>
      <c r="B403" s="391" t="s">
        <v>1106</v>
      </c>
      <c r="C403" s="234">
        <v>1.06166E-2</v>
      </c>
      <c r="D403" s="234">
        <v>1.1174099999999999E-2</v>
      </c>
      <c r="E403" s="231">
        <v>16281575</v>
      </c>
      <c r="F403" s="231" t="s">
        <v>1924</v>
      </c>
      <c r="G403" s="392">
        <v>5179754</v>
      </c>
      <c r="H403" s="392">
        <v>0</v>
      </c>
      <c r="I403" s="392">
        <v>10228988</v>
      </c>
      <c r="J403" s="231">
        <v>231424</v>
      </c>
      <c r="K403" s="231">
        <v>15640166</v>
      </c>
      <c r="L403" s="231"/>
      <c r="M403" s="300">
        <v>0</v>
      </c>
      <c r="N403" s="300">
        <v>23261480</v>
      </c>
      <c r="O403" s="300">
        <v>0</v>
      </c>
      <c r="P403" s="231">
        <v>467401</v>
      </c>
      <c r="Q403" s="231">
        <v>23728881</v>
      </c>
      <c r="R403" s="231"/>
      <c r="S403" s="392">
        <v>7024388</v>
      </c>
      <c r="T403" s="231">
        <v>-13375</v>
      </c>
      <c r="U403" s="396">
        <v>7011013</v>
      </c>
      <c r="V403" s="231"/>
      <c r="W403" s="396">
        <v>63203720</v>
      </c>
      <c r="X403" s="396">
        <v>-22332836</v>
      </c>
      <c r="Y403" s="396"/>
      <c r="Z403" s="396"/>
    </row>
    <row r="404" spans="1:26">
      <c r="A404" s="390">
        <v>94127</v>
      </c>
      <c r="B404" s="391" t="s">
        <v>1107</v>
      </c>
      <c r="C404" s="234">
        <v>1.9210000000000001E-4</v>
      </c>
      <c r="D404" s="234">
        <v>1.46E-4</v>
      </c>
      <c r="E404" s="231">
        <v>294604</v>
      </c>
      <c r="F404" s="231" t="s">
        <v>1924</v>
      </c>
      <c r="G404" s="392">
        <v>93724</v>
      </c>
      <c r="H404" s="392">
        <v>0</v>
      </c>
      <c r="I404" s="392">
        <v>185086</v>
      </c>
      <c r="J404" s="231">
        <v>90216</v>
      </c>
      <c r="K404" s="231">
        <v>369026</v>
      </c>
      <c r="L404" s="231"/>
      <c r="M404" s="300">
        <v>0</v>
      </c>
      <c r="N404" s="300">
        <v>420900</v>
      </c>
      <c r="O404" s="300">
        <v>0</v>
      </c>
      <c r="P404" s="231">
        <v>6083</v>
      </c>
      <c r="Q404" s="231">
        <v>426983</v>
      </c>
      <c r="R404" s="231"/>
      <c r="S404" s="392">
        <v>127101</v>
      </c>
      <c r="T404" s="231">
        <v>28438</v>
      </c>
      <c r="U404" s="396">
        <v>155539</v>
      </c>
      <c r="V404" s="231"/>
      <c r="W404" s="396">
        <v>1143627</v>
      </c>
      <c r="X404" s="396">
        <v>-404097</v>
      </c>
      <c r="Y404" s="396"/>
      <c r="Z404" s="396"/>
    </row>
    <row r="405" spans="1:26">
      <c r="A405" s="390">
        <v>94131</v>
      </c>
      <c r="B405" s="391" t="s">
        <v>1108</v>
      </c>
      <c r="C405" s="234">
        <v>2.0560000000000001E-4</v>
      </c>
      <c r="D405" s="234">
        <v>2.1269999999999999E-4</v>
      </c>
      <c r="E405" s="231">
        <v>315307</v>
      </c>
      <c r="F405" s="231" t="s">
        <v>1924</v>
      </c>
      <c r="G405" s="392">
        <v>100311</v>
      </c>
      <c r="H405" s="392">
        <v>0</v>
      </c>
      <c r="I405" s="392">
        <v>198094</v>
      </c>
      <c r="J405" s="231">
        <v>11651</v>
      </c>
      <c r="K405" s="231">
        <v>310056</v>
      </c>
      <c r="L405" s="231"/>
      <c r="M405" s="300">
        <v>0</v>
      </c>
      <c r="N405" s="300">
        <v>450479</v>
      </c>
      <c r="O405" s="300">
        <v>0</v>
      </c>
      <c r="P405" s="231">
        <v>7537</v>
      </c>
      <c r="Q405" s="231">
        <v>458016</v>
      </c>
      <c r="R405" s="231"/>
      <c r="S405" s="392">
        <v>136034</v>
      </c>
      <c r="T405" s="231">
        <v>4271</v>
      </c>
      <c r="U405" s="396">
        <v>140305</v>
      </c>
      <c r="V405" s="231"/>
      <c r="W405" s="396">
        <v>1223997</v>
      </c>
      <c r="X405" s="396">
        <v>-432495</v>
      </c>
      <c r="Y405" s="396"/>
      <c r="Z405" s="396"/>
    </row>
    <row r="406" spans="1:26" ht="14.25" customHeight="1">
      <c r="A406" s="390">
        <v>94151</v>
      </c>
      <c r="B406" s="391" t="s">
        <v>1109</v>
      </c>
      <c r="C406" s="234">
        <v>4.5780000000000001E-4</v>
      </c>
      <c r="D406" s="234">
        <v>4.3360000000000002E-4</v>
      </c>
      <c r="E406" s="231">
        <v>702080</v>
      </c>
      <c r="F406" s="231" t="s">
        <v>1924</v>
      </c>
      <c r="G406" s="392">
        <v>223357</v>
      </c>
      <c r="H406" s="392">
        <v>0</v>
      </c>
      <c r="I406" s="392">
        <v>441086</v>
      </c>
      <c r="J406" s="231">
        <v>28967</v>
      </c>
      <c r="K406" s="231">
        <v>693410</v>
      </c>
      <c r="L406" s="231"/>
      <c r="M406" s="300">
        <v>0</v>
      </c>
      <c r="N406" s="300">
        <v>1003062</v>
      </c>
      <c r="O406" s="300">
        <v>0</v>
      </c>
      <c r="P406" s="231">
        <v>42770</v>
      </c>
      <c r="Q406" s="231">
        <v>1045832</v>
      </c>
      <c r="R406" s="231"/>
      <c r="S406" s="392">
        <v>302900</v>
      </c>
      <c r="T406" s="231">
        <v>-15791</v>
      </c>
      <c r="U406" s="396">
        <v>287109</v>
      </c>
      <c r="V406" s="231"/>
      <c r="W406" s="396">
        <v>2725417</v>
      </c>
      <c r="X406" s="396">
        <v>-963018</v>
      </c>
      <c r="Y406" s="396"/>
      <c r="Z406" s="396"/>
    </row>
    <row r="407" spans="1:26">
      <c r="A407" s="390">
        <v>94157</v>
      </c>
      <c r="B407" s="391" t="s">
        <v>1110</v>
      </c>
      <c r="C407" s="234">
        <v>1.84E-5</v>
      </c>
      <c r="D407" s="234">
        <v>9.7000000000000003E-6</v>
      </c>
      <c r="E407" s="231">
        <v>28218</v>
      </c>
      <c r="F407" s="231" t="s">
        <v>1924</v>
      </c>
      <c r="G407" s="392">
        <v>8977</v>
      </c>
      <c r="H407" s="392">
        <v>0</v>
      </c>
      <c r="I407" s="392">
        <v>17728</v>
      </c>
      <c r="J407" s="231">
        <v>14467</v>
      </c>
      <c r="K407" s="231">
        <v>41172</v>
      </c>
      <c r="L407" s="231"/>
      <c r="M407" s="300">
        <v>0</v>
      </c>
      <c r="N407" s="300">
        <v>40315</v>
      </c>
      <c r="O407" s="300">
        <v>0</v>
      </c>
      <c r="P407" s="231">
        <v>0</v>
      </c>
      <c r="Q407" s="231">
        <v>40315</v>
      </c>
      <c r="R407" s="231"/>
      <c r="S407" s="392">
        <v>12174</v>
      </c>
      <c r="T407" s="231">
        <v>5396</v>
      </c>
      <c r="U407" s="396">
        <v>17570</v>
      </c>
      <c r="V407" s="231"/>
      <c r="W407" s="396">
        <v>109541</v>
      </c>
      <c r="X407" s="396">
        <v>-38706</v>
      </c>
      <c r="Y407" s="396"/>
      <c r="Z407" s="396"/>
    </row>
    <row r="408" spans="1:26">
      <c r="A408" s="390">
        <v>94161</v>
      </c>
      <c r="B408" s="391" t="s">
        <v>1111</v>
      </c>
      <c r="C408" s="234">
        <v>5.3900000000000002E-5</v>
      </c>
      <c r="D408" s="234">
        <v>4.9200000000000003E-5</v>
      </c>
      <c r="E408" s="231">
        <v>82661</v>
      </c>
      <c r="F408" s="231" t="s">
        <v>1924</v>
      </c>
      <c r="G408" s="392">
        <v>26297</v>
      </c>
      <c r="H408" s="392">
        <v>0</v>
      </c>
      <c r="I408" s="392">
        <v>51932</v>
      </c>
      <c r="J408" s="231">
        <v>19406</v>
      </c>
      <c r="K408" s="231">
        <v>97635</v>
      </c>
      <c r="L408" s="231"/>
      <c r="M408" s="300">
        <v>0</v>
      </c>
      <c r="N408" s="300">
        <v>118097</v>
      </c>
      <c r="O408" s="300">
        <v>0</v>
      </c>
      <c r="P408" s="231">
        <v>1865</v>
      </c>
      <c r="Q408" s="231">
        <v>119962</v>
      </c>
      <c r="R408" s="231"/>
      <c r="S408" s="392">
        <v>35663</v>
      </c>
      <c r="T408" s="231">
        <v>5278</v>
      </c>
      <c r="U408" s="396">
        <v>40941</v>
      </c>
      <c r="V408" s="231"/>
      <c r="W408" s="396">
        <v>320882</v>
      </c>
      <c r="X408" s="396">
        <v>-113383</v>
      </c>
      <c r="Y408" s="396"/>
      <c r="Z408" s="396"/>
    </row>
    <row r="409" spans="1:26">
      <c r="A409" s="390">
        <v>94168</v>
      </c>
      <c r="B409" s="391" t="s">
        <v>1112</v>
      </c>
      <c r="C409" s="234">
        <v>7.7999999999999999E-5</v>
      </c>
      <c r="D409" s="234">
        <v>6.6600000000000006E-5</v>
      </c>
      <c r="E409" s="231">
        <v>119620</v>
      </c>
      <c r="F409" s="231" t="s">
        <v>1924</v>
      </c>
      <c r="G409" s="392">
        <v>38056</v>
      </c>
      <c r="H409" s="392">
        <v>0</v>
      </c>
      <c r="I409" s="392">
        <v>75152</v>
      </c>
      <c r="J409" s="231">
        <v>25325</v>
      </c>
      <c r="K409" s="231">
        <v>138533</v>
      </c>
      <c r="L409" s="231"/>
      <c r="M409" s="300">
        <v>0</v>
      </c>
      <c r="N409" s="300">
        <v>170902</v>
      </c>
      <c r="O409" s="300">
        <v>0</v>
      </c>
      <c r="P409" s="231">
        <v>0</v>
      </c>
      <c r="Q409" s="231">
        <v>170902</v>
      </c>
      <c r="R409" s="231"/>
      <c r="S409" s="392">
        <v>51608</v>
      </c>
      <c r="T409" s="231">
        <v>11752</v>
      </c>
      <c r="U409" s="396">
        <v>63360</v>
      </c>
      <c r="V409" s="231"/>
      <c r="W409" s="396">
        <v>464357</v>
      </c>
      <c r="X409" s="396">
        <v>-164079</v>
      </c>
      <c r="Y409" s="396"/>
      <c r="Z409" s="396"/>
    </row>
    <row r="410" spans="1:26">
      <c r="A410" s="390">
        <v>94171</v>
      </c>
      <c r="B410" s="391" t="s">
        <v>1113</v>
      </c>
      <c r="C410" s="234">
        <v>7.6500000000000003E-5</v>
      </c>
      <c r="D410" s="234">
        <v>6.9999999999999994E-5</v>
      </c>
      <c r="E410" s="231">
        <v>117320</v>
      </c>
      <c r="F410" s="231" t="s">
        <v>1924</v>
      </c>
      <c r="G410" s="392">
        <v>37324</v>
      </c>
      <c r="H410" s="392">
        <v>0</v>
      </c>
      <c r="I410" s="392">
        <v>73707</v>
      </c>
      <c r="J410" s="231">
        <v>9321</v>
      </c>
      <c r="K410" s="231">
        <v>120352</v>
      </c>
      <c r="L410" s="231"/>
      <c r="M410" s="300">
        <v>0</v>
      </c>
      <c r="N410" s="300">
        <v>167615</v>
      </c>
      <c r="O410" s="300">
        <v>0</v>
      </c>
      <c r="P410" s="231">
        <v>8293</v>
      </c>
      <c r="Q410" s="231">
        <v>175908</v>
      </c>
      <c r="R410" s="231"/>
      <c r="S410" s="392">
        <v>50616</v>
      </c>
      <c r="T410" s="231">
        <v>1383</v>
      </c>
      <c r="U410" s="396">
        <v>51999</v>
      </c>
      <c r="V410" s="231"/>
      <c r="W410" s="396">
        <v>455427</v>
      </c>
      <c r="X410" s="396">
        <v>-160924</v>
      </c>
      <c r="Y410" s="396"/>
      <c r="Z410" s="396"/>
    </row>
    <row r="411" spans="1:26">
      <c r="A411" s="390">
        <v>94172</v>
      </c>
      <c r="B411" s="391" t="s">
        <v>1114</v>
      </c>
      <c r="C411" s="234">
        <v>2.9910000000000001E-4</v>
      </c>
      <c r="D411" s="234">
        <v>2.7050000000000002E-4</v>
      </c>
      <c r="E411" s="231">
        <v>458699</v>
      </c>
      <c r="F411" s="231" t="s">
        <v>1924</v>
      </c>
      <c r="G411" s="392">
        <v>145928</v>
      </c>
      <c r="H411" s="392">
        <v>0</v>
      </c>
      <c r="I411" s="392">
        <v>288180</v>
      </c>
      <c r="J411" s="231">
        <v>20872</v>
      </c>
      <c r="K411" s="231">
        <v>454980</v>
      </c>
      <c r="L411" s="231"/>
      <c r="M411" s="300">
        <v>0</v>
      </c>
      <c r="N411" s="300">
        <v>655342</v>
      </c>
      <c r="O411" s="300">
        <v>0</v>
      </c>
      <c r="P411" s="231">
        <v>44319</v>
      </c>
      <c r="Q411" s="231">
        <v>699661</v>
      </c>
      <c r="R411" s="231"/>
      <c r="S411" s="392">
        <v>197897</v>
      </c>
      <c r="T411" s="231">
        <v>-23333</v>
      </c>
      <c r="U411" s="396">
        <v>174564</v>
      </c>
      <c r="V411" s="231"/>
      <c r="W411" s="396">
        <v>1780630</v>
      </c>
      <c r="X411" s="396">
        <v>-629180</v>
      </c>
      <c r="Y411" s="396"/>
      <c r="Z411" s="396"/>
    </row>
    <row r="412" spans="1:26">
      <c r="A412" s="390">
        <v>94201</v>
      </c>
      <c r="B412" s="391" t="s">
        <v>1115</v>
      </c>
      <c r="C412" s="234">
        <v>2.9031E-3</v>
      </c>
      <c r="D412" s="234">
        <v>3.0286000000000002E-3</v>
      </c>
      <c r="E412" s="231">
        <v>4452183</v>
      </c>
      <c r="F412" s="231" t="s">
        <v>1924</v>
      </c>
      <c r="G412" s="392">
        <v>1416399</v>
      </c>
      <c r="H412" s="392">
        <v>0</v>
      </c>
      <c r="I412" s="392">
        <v>2797108</v>
      </c>
      <c r="J412" s="231">
        <v>5230</v>
      </c>
      <c r="K412" s="231">
        <v>4218737</v>
      </c>
      <c r="L412" s="231"/>
      <c r="M412" s="300">
        <v>0</v>
      </c>
      <c r="N412" s="300">
        <v>6360831</v>
      </c>
      <c r="O412" s="300">
        <v>0</v>
      </c>
      <c r="P412" s="231">
        <v>262468</v>
      </c>
      <c r="Q412" s="231">
        <v>6623299</v>
      </c>
      <c r="R412" s="231"/>
      <c r="S412" s="392">
        <v>1920813</v>
      </c>
      <c r="T412" s="231">
        <v>-132699</v>
      </c>
      <c r="U412" s="396">
        <v>1788114</v>
      </c>
      <c r="V412" s="231"/>
      <c r="W412" s="396">
        <v>17283002</v>
      </c>
      <c r="X412" s="396">
        <v>-6106894</v>
      </c>
      <c r="Y412" s="396"/>
      <c r="Z412" s="396"/>
    </row>
    <row r="413" spans="1:26">
      <c r="A413" s="390">
        <v>94204</v>
      </c>
      <c r="B413" s="391" t="s">
        <v>1116</v>
      </c>
      <c r="C413" s="234">
        <v>3.8999999999999999E-5</v>
      </c>
      <c r="D413" s="234">
        <v>3.3500000000000001E-5</v>
      </c>
      <c r="E413" s="231">
        <v>59810</v>
      </c>
      <c r="F413" s="231" t="s">
        <v>1924</v>
      </c>
      <c r="G413" s="392">
        <v>19028</v>
      </c>
      <c r="H413" s="392">
        <v>0</v>
      </c>
      <c r="I413" s="392">
        <v>37576</v>
      </c>
      <c r="J413" s="231">
        <v>20914</v>
      </c>
      <c r="K413" s="231">
        <v>77518</v>
      </c>
      <c r="L413" s="231"/>
      <c r="M413" s="300">
        <v>0</v>
      </c>
      <c r="N413" s="300">
        <v>85451</v>
      </c>
      <c r="O413" s="300">
        <v>0</v>
      </c>
      <c r="P413" s="231">
        <v>0</v>
      </c>
      <c r="Q413" s="231">
        <v>85451</v>
      </c>
      <c r="R413" s="231"/>
      <c r="S413" s="392">
        <v>25804</v>
      </c>
      <c r="T413" s="231">
        <v>10448</v>
      </c>
      <c r="U413" s="396">
        <v>36252</v>
      </c>
      <c r="V413" s="231"/>
      <c r="W413" s="396">
        <v>232178</v>
      </c>
      <c r="X413" s="396">
        <v>-82040</v>
      </c>
      <c r="Y413" s="396"/>
      <c r="Z413" s="396"/>
    </row>
    <row r="414" spans="1:26">
      <c r="A414" s="390">
        <v>94205</v>
      </c>
      <c r="B414" s="391" t="s">
        <v>1117</v>
      </c>
      <c r="C414" s="234">
        <v>1.31E-5</v>
      </c>
      <c r="D414" s="234">
        <v>1.49E-5</v>
      </c>
      <c r="E414" s="231">
        <v>20090</v>
      </c>
      <c r="F414" s="231" t="s">
        <v>1924</v>
      </c>
      <c r="G414" s="392">
        <v>6391</v>
      </c>
      <c r="H414" s="392">
        <v>0</v>
      </c>
      <c r="I414" s="392">
        <v>12622</v>
      </c>
      <c r="J414" s="231">
        <v>3946</v>
      </c>
      <c r="K414" s="231">
        <v>22959</v>
      </c>
      <c r="L414" s="231"/>
      <c r="M414" s="300">
        <v>0</v>
      </c>
      <c r="N414" s="300">
        <v>28703</v>
      </c>
      <c r="O414" s="300">
        <v>0</v>
      </c>
      <c r="P414" s="231">
        <v>0</v>
      </c>
      <c r="Q414" s="231">
        <v>28703</v>
      </c>
      <c r="R414" s="231"/>
      <c r="S414" s="392">
        <v>8668</v>
      </c>
      <c r="T414" s="231">
        <v>1284</v>
      </c>
      <c r="U414" s="396">
        <v>9952</v>
      </c>
      <c r="V414" s="231"/>
      <c r="W414" s="396">
        <v>77988</v>
      </c>
      <c r="X414" s="396">
        <v>-27557</v>
      </c>
      <c r="Y414" s="396"/>
      <c r="Z414" s="396"/>
    </row>
    <row r="415" spans="1:26">
      <c r="A415" s="390">
        <v>94209</v>
      </c>
      <c r="B415" s="391" t="s">
        <v>1118</v>
      </c>
      <c r="C415" s="234">
        <v>2.9789999999999998E-4</v>
      </c>
      <c r="D415" s="234">
        <v>3.1399999999999999E-4</v>
      </c>
      <c r="E415" s="231">
        <v>456858</v>
      </c>
      <c r="F415" s="231" t="s">
        <v>1924</v>
      </c>
      <c r="G415" s="392">
        <v>145343</v>
      </c>
      <c r="H415" s="392">
        <v>0</v>
      </c>
      <c r="I415" s="392">
        <v>287024</v>
      </c>
      <c r="J415" s="231">
        <v>3561</v>
      </c>
      <c r="K415" s="231">
        <v>435928</v>
      </c>
      <c r="L415" s="231"/>
      <c r="M415" s="300">
        <v>0</v>
      </c>
      <c r="N415" s="300">
        <v>652713</v>
      </c>
      <c r="O415" s="300">
        <v>0</v>
      </c>
      <c r="P415" s="231">
        <v>30219</v>
      </c>
      <c r="Q415" s="231">
        <v>682932</v>
      </c>
      <c r="R415" s="231"/>
      <c r="S415" s="392">
        <v>197103</v>
      </c>
      <c r="T415" s="231">
        <v>-10072</v>
      </c>
      <c r="U415" s="396">
        <v>187031</v>
      </c>
      <c r="V415" s="231"/>
      <c r="W415" s="396">
        <v>1773486</v>
      </c>
      <c r="X415" s="396">
        <v>-626656</v>
      </c>
      <c r="Y415" s="396"/>
      <c r="Z415" s="396"/>
    </row>
    <row r="416" spans="1:26">
      <c r="A416" s="390">
        <v>94211</v>
      </c>
      <c r="B416" s="391" t="s">
        <v>1119</v>
      </c>
      <c r="C416" s="234">
        <v>1.225E-4</v>
      </c>
      <c r="D416" s="234">
        <v>1.4660000000000001E-4</v>
      </c>
      <c r="E416" s="231">
        <v>187866</v>
      </c>
      <c r="F416" s="231" t="s">
        <v>1924</v>
      </c>
      <c r="G416" s="392">
        <v>59767</v>
      </c>
      <c r="H416" s="392">
        <v>0</v>
      </c>
      <c r="I416" s="392">
        <v>118028</v>
      </c>
      <c r="J416" s="231">
        <v>1432</v>
      </c>
      <c r="K416" s="231">
        <v>179227</v>
      </c>
      <c r="L416" s="231"/>
      <c r="M416" s="300">
        <v>0</v>
      </c>
      <c r="N416" s="300">
        <v>268403</v>
      </c>
      <c r="O416" s="300">
        <v>0</v>
      </c>
      <c r="P416" s="231">
        <v>39832</v>
      </c>
      <c r="Q416" s="231">
        <v>308235</v>
      </c>
      <c r="R416" s="231"/>
      <c r="S416" s="392">
        <v>81051</v>
      </c>
      <c r="T416" s="231">
        <v>-11225</v>
      </c>
      <c r="U416" s="396">
        <v>69826</v>
      </c>
      <c r="V416" s="231"/>
      <c r="W416" s="396">
        <v>729278</v>
      </c>
      <c r="X416" s="396">
        <v>-257688</v>
      </c>
      <c r="Y416" s="396"/>
      <c r="Z416" s="396"/>
    </row>
    <row r="417" spans="1:26">
      <c r="A417" s="390">
        <v>94221</v>
      </c>
      <c r="B417" s="391" t="s">
        <v>1120</v>
      </c>
      <c r="C417" s="234">
        <v>8.476E-4</v>
      </c>
      <c r="D417" s="234">
        <v>9.7799999999999992E-4</v>
      </c>
      <c r="E417" s="231">
        <v>1299876</v>
      </c>
      <c r="F417" s="231" t="s">
        <v>1924</v>
      </c>
      <c r="G417" s="392">
        <v>413537</v>
      </c>
      <c r="H417" s="392">
        <v>0</v>
      </c>
      <c r="I417" s="392">
        <v>816654</v>
      </c>
      <c r="J417" s="231">
        <v>0</v>
      </c>
      <c r="K417" s="231">
        <v>1230191</v>
      </c>
      <c r="L417" s="231"/>
      <c r="M417" s="300">
        <v>0</v>
      </c>
      <c r="N417" s="300">
        <v>1857132</v>
      </c>
      <c r="O417" s="300">
        <v>0</v>
      </c>
      <c r="P417" s="231">
        <v>289230</v>
      </c>
      <c r="Q417" s="231">
        <v>2146362</v>
      </c>
      <c r="R417" s="231"/>
      <c r="S417" s="392">
        <v>560808</v>
      </c>
      <c r="T417" s="231">
        <v>-117120</v>
      </c>
      <c r="U417" s="396">
        <v>443688</v>
      </c>
      <c r="V417" s="231"/>
      <c r="W417" s="396">
        <v>5046010</v>
      </c>
      <c r="X417" s="396">
        <v>-1782992</v>
      </c>
      <c r="Y417" s="396"/>
      <c r="Z417" s="396"/>
    </row>
    <row r="418" spans="1:26" ht="14.25" customHeight="1">
      <c r="A418" s="390">
        <v>94231</v>
      </c>
      <c r="B418" s="391" t="s">
        <v>1121</v>
      </c>
      <c r="C418" s="234">
        <v>1.438E-4</v>
      </c>
      <c r="D418" s="234">
        <v>1.2640000000000001E-4</v>
      </c>
      <c r="E418" s="231">
        <v>220531</v>
      </c>
      <c r="F418" s="231" t="s">
        <v>1924</v>
      </c>
      <c r="G418" s="392">
        <v>70159</v>
      </c>
      <c r="H418" s="392">
        <v>0</v>
      </c>
      <c r="I418" s="392">
        <v>138550</v>
      </c>
      <c r="J418" s="231">
        <v>37807</v>
      </c>
      <c r="K418" s="231">
        <v>246516</v>
      </c>
      <c r="L418" s="231"/>
      <c r="M418" s="300">
        <v>0</v>
      </c>
      <c r="N418" s="300">
        <v>315073</v>
      </c>
      <c r="O418" s="300">
        <v>0</v>
      </c>
      <c r="P418" s="231">
        <v>37545</v>
      </c>
      <c r="Q418" s="231">
        <v>352618</v>
      </c>
      <c r="R418" s="231"/>
      <c r="S418" s="392">
        <v>95144</v>
      </c>
      <c r="T418" s="231">
        <v>-7541</v>
      </c>
      <c r="U418" s="396">
        <v>87603</v>
      </c>
      <c r="V418" s="231"/>
      <c r="W418" s="396">
        <v>856083</v>
      </c>
      <c r="X418" s="396">
        <v>-302494</v>
      </c>
      <c r="Y418" s="396"/>
      <c r="Z418" s="396"/>
    </row>
    <row r="419" spans="1:26">
      <c r="A419" s="390">
        <v>94241</v>
      </c>
      <c r="B419" s="391" t="s">
        <v>1122</v>
      </c>
      <c r="C419" s="234">
        <v>1.6980000000000001E-4</v>
      </c>
      <c r="D419" s="234">
        <v>1.3630000000000001E-4</v>
      </c>
      <c r="E419" s="231">
        <v>260405</v>
      </c>
      <c r="F419" s="231" t="s">
        <v>1924</v>
      </c>
      <c r="G419" s="392">
        <v>82844</v>
      </c>
      <c r="H419" s="392">
        <v>0</v>
      </c>
      <c r="I419" s="392">
        <v>163601</v>
      </c>
      <c r="J419" s="231">
        <v>85053</v>
      </c>
      <c r="K419" s="231">
        <v>331498</v>
      </c>
      <c r="L419" s="231"/>
      <c r="M419" s="300">
        <v>0</v>
      </c>
      <c r="N419" s="300">
        <v>372040</v>
      </c>
      <c r="O419" s="300">
        <v>0</v>
      </c>
      <c r="P419" s="231">
        <v>6236</v>
      </c>
      <c r="Q419" s="231">
        <v>378276</v>
      </c>
      <c r="R419" s="231"/>
      <c r="S419" s="392">
        <v>112347</v>
      </c>
      <c r="T419" s="231">
        <v>35502</v>
      </c>
      <c r="U419" s="396">
        <v>147849</v>
      </c>
      <c r="V419" s="231"/>
      <c r="W419" s="396">
        <v>1010869</v>
      </c>
      <c r="X419" s="396">
        <v>-357187</v>
      </c>
      <c r="Y419" s="396"/>
      <c r="Z419" s="396"/>
    </row>
    <row r="420" spans="1:26">
      <c r="A420" s="390">
        <v>94251</v>
      </c>
      <c r="B420" s="391" t="s">
        <v>1123</v>
      </c>
      <c r="C420" s="234">
        <v>1.91E-5</v>
      </c>
      <c r="D420" s="234">
        <v>1.7799999999999999E-5</v>
      </c>
      <c r="E420" s="231">
        <v>29292</v>
      </c>
      <c r="F420" s="231" t="s">
        <v>1924</v>
      </c>
      <c r="G420" s="392">
        <v>9319</v>
      </c>
      <c r="H420" s="392">
        <v>0</v>
      </c>
      <c r="I420" s="392">
        <v>18403</v>
      </c>
      <c r="J420" s="231">
        <v>2342</v>
      </c>
      <c r="K420" s="231">
        <v>30064</v>
      </c>
      <c r="L420" s="231"/>
      <c r="M420" s="300">
        <v>0</v>
      </c>
      <c r="N420" s="300">
        <v>41849</v>
      </c>
      <c r="O420" s="300">
        <v>0</v>
      </c>
      <c r="P420" s="231">
        <v>265</v>
      </c>
      <c r="Q420" s="231">
        <v>42114</v>
      </c>
      <c r="R420" s="231"/>
      <c r="S420" s="392">
        <v>12637</v>
      </c>
      <c r="T420" s="231">
        <v>1527</v>
      </c>
      <c r="U420" s="396">
        <v>14164</v>
      </c>
      <c r="V420" s="231"/>
      <c r="W420" s="396">
        <v>113708</v>
      </c>
      <c r="X420" s="396">
        <v>-40178</v>
      </c>
      <c r="Y420" s="396"/>
      <c r="Z420" s="396"/>
    </row>
    <row r="421" spans="1:26">
      <c r="A421" s="390">
        <v>94261</v>
      </c>
      <c r="B421" s="391" t="s">
        <v>1124</v>
      </c>
      <c r="C421" s="234">
        <v>4.1E-5</v>
      </c>
      <c r="D421" s="234">
        <v>3.7100000000000001E-5</v>
      </c>
      <c r="E421" s="231">
        <v>62877</v>
      </c>
      <c r="F421" s="231" t="s">
        <v>1924</v>
      </c>
      <c r="G421" s="392">
        <v>20004</v>
      </c>
      <c r="H421" s="392">
        <v>0</v>
      </c>
      <c r="I421" s="392">
        <v>39503</v>
      </c>
      <c r="J421" s="231">
        <v>6414</v>
      </c>
      <c r="K421" s="231">
        <v>65921</v>
      </c>
      <c r="L421" s="231"/>
      <c r="M421" s="300">
        <v>0</v>
      </c>
      <c r="N421" s="300">
        <v>89833</v>
      </c>
      <c r="O421" s="300">
        <v>0</v>
      </c>
      <c r="P421" s="231">
        <v>7929</v>
      </c>
      <c r="Q421" s="231">
        <v>97762</v>
      </c>
      <c r="R421" s="231"/>
      <c r="S421" s="392">
        <v>27127</v>
      </c>
      <c r="T421" s="231">
        <v>409</v>
      </c>
      <c r="U421" s="396">
        <v>27536</v>
      </c>
      <c r="V421" s="231"/>
      <c r="W421" s="396">
        <v>244085</v>
      </c>
      <c r="X421" s="396">
        <v>-86247</v>
      </c>
      <c r="Y421" s="396"/>
      <c r="Z421" s="396"/>
    </row>
    <row r="422" spans="1:26">
      <c r="A422" s="390">
        <v>94301</v>
      </c>
      <c r="B422" s="391" t="s">
        <v>1125</v>
      </c>
      <c r="C422" s="234">
        <v>5.8427000000000002E-3</v>
      </c>
      <c r="D422" s="234">
        <v>6.1066999999999996E-3</v>
      </c>
      <c r="E422" s="231">
        <v>8960341</v>
      </c>
      <c r="F422" s="231" t="s">
        <v>1924</v>
      </c>
      <c r="G422" s="392">
        <v>2850607</v>
      </c>
      <c r="H422" s="392">
        <v>0</v>
      </c>
      <c r="I422" s="392">
        <v>5629383</v>
      </c>
      <c r="J422" s="231">
        <v>1190</v>
      </c>
      <c r="K422" s="231">
        <v>8481180</v>
      </c>
      <c r="L422" s="231"/>
      <c r="M422" s="300">
        <v>0</v>
      </c>
      <c r="N422" s="300">
        <v>12801636</v>
      </c>
      <c r="O422" s="300">
        <v>0</v>
      </c>
      <c r="P422" s="231">
        <v>711159</v>
      </c>
      <c r="Q422" s="231">
        <v>13512795</v>
      </c>
      <c r="R422" s="231"/>
      <c r="S422" s="392">
        <v>3865776</v>
      </c>
      <c r="T422" s="231">
        <v>-257181</v>
      </c>
      <c r="U422" s="396">
        <v>3608595</v>
      </c>
      <c r="V422" s="231"/>
      <c r="W422" s="396">
        <v>34783299</v>
      </c>
      <c r="X422" s="396">
        <v>-12290569</v>
      </c>
      <c r="Y422" s="396"/>
      <c r="Z422" s="396"/>
    </row>
    <row r="423" spans="1:26">
      <c r="A423" s="390">
        <v>94311</v>
      </c>
      <c r="B423" s="391" t="s">
        <v>1126</v>
      </c>
      <c r="C423" s="234">
        <v>7.9109999999999998E-4</v>
      </c>
      <c r="D423" s="234">
        <v>7.85E-4</v>
      </c>
      <c r="E423" s="231">
        <v>1213228</v>
      </c>
      <c r="F423" s="231" t="s">
        <v>1924</v>
      </c>
      <c r="G423" s="392">
        <v>385971</v>
      </c>
      <c r="H423" s="392">
        <v>0</v>
      </c>
      <c r="I423" s="392">
        <v>762217</v>
      </c>
      <c r="J423" s="231">
        <v>36182</v>
      </c>
      <c r="K423" s="231">
        <v>1184370</v>
      </c>
      <c r="L423" s="231"/>
      <c r="M423" s="300">
        <v>0</v>
      </c>
      <c r="N423" s="300">
        <v>1733338</v>
      </c>
      <c r="O423" s="300">
        <v>0</v>
      </c>
      <c r="P423" s="231">
        <v>5939</v>
      </c>
      <c r="Q423" s="231">
        <v>1739277</v>
      </c>
      <c r="R423" s="231"/>
      <c r="S423" s="392">
        <v>523425</v>
      </c>
      <c r="T423" s="231">
        <v>17000</v>
      </c>
      <c r="U423" s="396">
        <v>540425</v>
      </c>
      <c r="V423" s="231"/>
      <c r="W423" s="396">
        <v>4709649</v>
      </c>
      <c r="X423" s="396">
        <v>-1664140</v>
      </c>
      <c r="Y423" s="396"/>
      <c r="Z423" s="396"/>
    </row>
    <row r="424" spans="1:26">
      <c r="A424" s="390">
        <v>94313</v>
      </c>
      <c r="B424" s="391" t="s">
        <v>1127</v>
      </c>
      <c r="C424" s="234">
        <v>1.98E-5</v>
      </c>
      <c r="D424" s="234">
        <v>1.7099999999999999E-5</v>
      </c>
      <c r="E424" s="231">
        <v>30365</v>
      </c>
      <c r="F424" s="231" t="s">
        <v>1924</v>
      </c>
      <c r="G424" s="392">
        <v>9660</v>
      </c>
      <c r="H424" s="392">
        <v>0</v>
      </c>
      <c r="I424" s="392">
        <v>19077</v>
      </c>
      <c r="J424" s="231">
        <v>16435</v>
      </c>
      <c r="K424" s="231">
        <v>45172</v>
      </c>
      <c r="L424" s="231"/>
      <c r="M424" s="300">
        <v>0</v>
      </c>
      <c r="N424" s="300">
        <v>43383</v>
      </c>
      <c r="O424" s="300">
        <v>0</v>
      </c>
      <c r="P424" s="231">
        <v>203</v>
      </c>
      <c r="Q424" s="231">
        <v>43586</v>
      </c>
      <c r="R424" s="231"/>
      <c r="S424" s="392">
        <v>13101</v>
      </c>
      <c r="T424" s="231">
        <v>7560</v>
      </c>
      <c r="U424" s="396">
        <v>20661</v>
      </c>
      <c r="V424" s="231"/>
      <c r="W424" s="396">
        <v>117875</v>
      </c>
      <c r="X424" s="396">
        <v>-41651</v>
      </c>
      <c r="Y424" s="396"/>
      <c r="Z424" s="396"/>
    </row>
    <row r="425" spans="1:26">
      <c r="A425" s="390">
        <v>94317</v>
      </c>
      <c r="B425" s="391" t="s">
        <v>1128</v>
      </c>
      <c r="C425" s="234">
        <v>1.3200000000000001E-5</v>
      </c>
      <c r="D425" s="234">
        <v>4.7999999999999998E-6</v>
      </c>
      <c r="E425" s="231">
        <v>20243</v>
      </c>
      <c r="F425" s="231" t="s">
        <v>1924</v>
      </c>
      <c r="G425" s="392">
        <v>6440</v>
      </c>
      <c r="H425" s="392">
        <v>0</v>
      </c>
      <c r="I425" s="392">
        <v>12718</v>
      </c>
      <c r="J425" s="231">
        <v>21811</v>
      </c>
      <c r="K425" s="231">
        <v>40969</v>
      </c>
      <c r="L425" s="231"/>
      <c r="M425" s="300">
        <v>0</v>
      </c>
      <c r="N425" s="300">
        <v>28922</v>
      </c>
      <c r="O425" s="300">
        <v>0</v>
      </c>
      <c r="P425" s="231">
        <v>968</v>
      </c>
      <c r="Q425" s="231">
        <v>29890</v>
      </c>
      <c r="R425" s="231"/>
      <c r="S425" s="392">
        <v>8734</v>
      </c>
      <c r="T425" s="231">
        <v>8519</v>
      </c>
      <c r="U425" s="396">
        <v>17253</v>
      </c>
      <c r="V425" s="231"/>
      <c r="W425" s="396">
        <v>78583</v>
      </c>
      <c r="X425" s="396">
        <v>-27767</v>
      </c>
      <c r="Y425" s="396"/>
      <c r="Z425" s="396"/>
    </row>
    <row r="426" spans="1:26">
      <c r="A426" s="390">
        <v>94321</v>
      </c>
      <c r="B426" s="391" t="s">
        <v>1129</v>
      </c>
      <c r="C426" s="234">
        <v>3.0529999999999999E-4</v>
      </c>
      <c r="D426" s="234">
        <v>3.1559999999999997E-4</v>
      </c>
      <c r="E426" s="231">
        <v>468207</v>
      </c>
      <c r="F426" s="231" t="s">
        <v>1924</v>
      </c>
      <c r="G426" s="392">
        <v>148953</v>
      </c>
      <c r="H426" s="392">
        <v>0</v>
      </c>
      <c r="I426" s="392">
        <v>294153</v>
      </c>
      <c r="J426" s="231">
        <v>25286</v>
      </c>
      <c r="K426" s="231">
        <v>468392</v>
      </c>
      <c r="L426" s="231"/>
      <c r="M426" s="300">
        <v>0</v>
      </c>
      <c r="N426" s="300">
        <v>668927</v>
      </c>
      <c r="O426" s="300">
        <v>0</v>
      </c>
      <c r="P426" s="231">
        <v>19081</v>
      </c>
      <c r="Q426" s="231">
        <v>688008</v>
      </c>
      <c r="R426" s="231"/>
      <c r="S426" s="392">
        <v>201999</v>
      </c>
      <c r="T426" s="231">
        <v>2968</v>
      </c>
      <c r="U426" s="396">
        <v>204967</v>
      </c>
      <c r="V426" s="231"/>
      <c r="W426" s="396">
        <v>1817540</v>
      </c>
      <c r="X426" s="396">
        <v>-642222</v>
      </c>
      <c r="Y426" s="396"/>
      <c r="Z426" s="396"/>
    </row>
    <row r="427" spans="1:26">
      <c r="A427" s="390">
        <v>94331</v>
      </c>
      <c r="B427" s="391" t="s">
        <v>1130</v>
      </c>
      <c r="C427" s="234">
        <v>1.392E-4</v>
      </c>
      <c r="D427" s="234">
        <v>1.5080000000000001E-4</v>
      </c>
      <c r="E427" s="231">
        <v>213477</v>
      </c>
      <c r="F427" s="231" t="s">
        <v>1924</v>
      </c>
      <c r="G427" s="392">
        <v>67915</v>
      </c>
      <c r="H427" s="392">
        <v>0</v>
      </c>
      <c r="I427" s="392">
        <v>134118</v>
      </c>
      <c r="J427" s="231">
        <v>5862</v>
      </c>
      <c r="K427" s="231">
        <v>207895</v>
      </c>
      <c r="L427" s="231"/>
      <c r="M427" s="300">
        <v>0</v>
      </c>
      <c r="N427" s="300">
        <v>304994</v>
      </c>
      <c r="O427" s="300">
        <v>0</v>
      </c>
      <c r="P427" s="231">
        <v>21226</v>
      </c>
      <c r="Q427" s="231">
        <v>326220</v>
      </c>
      <c r="R427" s="231"/>
      <c r="S427" s="392">
        <v>92101</v>
      </c>
      <c r="T427" s="231">
        <v>-3942</v>
      </c>
      <c r="U427" s="396">
        <v>88159</v>
      </c>
      <c r="V427" s="231"/>
      <c r="W427" s="396">
        <v>828698</v>
      </c>
      <c r="X427" s="396">
        <v>-292818</v>
      </c>
      <c r="Y427" s="396"/>
      <c r="Z427" s="396"/>
    </row>
    <row r="428" spans="1:26">
      <c r="A428" s="390">
        <v>94341</v>
      </c>
      <c r="B428" s="391" t="s">
        <v>1131</v>
      </c>
      <c r="C428" s="234">
        <v>8.8499999999999996E-5</v>
      </c>
      <c r="D428" s="234">
        <v>9.2700000000000004E-5</v>
      </c>
      <c r="E428" s="231">
        <v>135723</v>
      </c>
      <c r="F428" s="231" t="s">
        <v>1924</v>
      </c>
      <c r="G428" s="392">
        <v>43178</v>
      </c>
      <c r="H428" s="392">
        <v>0</v>
      </c>
      <c r="I428" s="392">
        <v>85269</v>
      </c>
      <c r="J428" s="231">
        <v>3300</v>
      </c>
      <c r="K428" s="231">
        <v>131747</v>
      </c>
      <c r="L428" s="231"/>
      <c r="M428" s="300">
        <v>0</v>
      </c>
      <c r="N428" s="300">
        <v>193908</v>
      </c>
      <c r="O428" s="300">
        <v>0</v>
      </c>
      <c r="P428" s="231">
        <v>22546</v>
      </c>
      <c r="Q428" s="231">
        <v>216454</v>
      </c>
      <c r="R428" s="231"/>
      <c r="S428" s="392">
        <v>58555</v>
      </c>
      <c r="T428" s="231">
        <v>-7354</v>
      </c>
      <c r="U428" s="396">
        <v>51201</v>
      </c>
      <c r="V428" s="231"/>
      <c r="W428" s="396">
        <v>526866</v>
      </c>
      <c r="X428" s="396">
        <v>-186167</v>
      </c>
      <c r="Y428" s="396"/>
      <c r="Z428" s="396"/>
    </row>
    <row r="429" spans="1:26">
      <c r="A429" s="390">
        <v>94347</v>
      </c>
      <c r="B429" s="391" t="s">
        <v>1132</v>
      </c>
      <c r="C429" s="234">
        <v>1.6099999999999998E-5</v>
      </c>
      <c r="D429" s="234">
        <v>1.5E-5</v>
      </c>
      <c r="E429" s="231">
        <v>24691</v>
      </c>
      <c r="F429" s="231" t="s">
        <v>1924</v>
      </c>
      <c r="G429" s="392">
        <v>7855</v>
      </c>
      <c r="H429" s="392">
        <v>0</v>
      </c>
      <c r="I429" s="392">
        <v>15512</v>
      </c>
      <c r="J429" s="231">
        <v>10296</v>
      </c>
      <c r="K429" s="231">
        <v>33663</v>
      </c>
      <c r="L429" s="231"/>
      <c r="M429" s="300">
        <v>0</v>
      </c>
      <c r="N429" s="300">
        <v>35276</v>
      </c>
      <c r="O429" s="300">
        <v>0</v>
      </c>
      <c r="P429" s="231">
        <v>237</v>
      </c>
      <c r="Q429" s="231">
        <v>35513</v>
      </c>
      <c r="R429" s="231"/>
      <c r="S429" s="392">
        <v>10652</v>
      </c>
      <c r="T429" s="231">
        <v>5266</v>
      </c>
      <c r="U429" s="396">
        <v>15918</v>
      </c>
      <c r="V429" s="231"/>
      <c r="W429" s="396">
        <v>95848</v>
      </c>
      <c r="X429" s="396">
        <v>-33868</v>
      </c>
      <c r="Y429" s="396"/>
      <c r="Z429" s="396"/>
    </row>
    <row r="430" spans="1:26">
      <c r="A430" s="390">
        <v>94351</v>
      </c>
      <c r="B430" s="391" t="s">
        <v>1133</v>
      </c>
      <c r="C430" s="234">
        <v>3.1760000000000002E-4</v>
      </c>
      <c r="D430" s="234">
        <v>2.9090000000000002E-4</v>
      </c>
      <c r="E430" s="231">
        <v>487070</v>
      </c>
      <c r="F430" s="231" t="s">
        <v>1924</v>
      </c>
      <c r="G430" s="392">
        <v>154954</v>
      </c>
      <c r="H430" s="392">
        <v>0</v>
      </c>
      <c r="I430" s="392">
        <v>306004</v>
      </c>
      <c r="J430" s="231">
        <v>85018</v>
      </c>
      <c r="K430" s="231">
        <v>545976</v>
      </c>
      <c r="L430" s="231"/>
      <c r="M430" s="300">
        <v>0</v>
      </c>
      <c r="N430" s="300">
        <v>695877</v>
      </c>
      <c r="O430" s="300">
        <v>0</v>
      </c>
      <c r="P430" s="231">
        <v>9429</v>
      </c>
      <c r="Q430" s="231">
        <v>705306</v>
      </c>
      <c r="R430" s="231"/>
      <c r="S430" s="392">
        <v>210137</v>
      </c>
      <c r="T430" s="231">
        <v>31393</v>
      </c>
      <c r="U430" s="396">
        <v>241530</v>
      </c>
      <c r="V430" s="231"/>
      <c r="W430" s="396">
        <v>1890766</v>
      </c>
      <c r="X430" s="396">
        <v>-668096</v>
      </c>
      <c r="Y430" s="396"/>
      <c r="Z430" s="396"/>
    </row>
    <row r="431" spans="1:26">
      <c r="A431" s="390">
        <v>94401</v>
      </c>
      <c r="B431" s="391" t="s">
        <v>1937</v>
      </c>
      <c r="C431" s="234">
        <v>3.2978999999999999E-3</v>
      </c>
      <c r="D431" s="234">
        <v>3.5389000000000002E-3</v>
      </c>
      <c r="E431" s="231">
        <v>5057646</v>
      </c>
      <c r="F431" s="231" t="s">
        <v>1924</v>
      </c>
      <c r="G431" s="392">
        <v>1609019</v>
      </c>
      <c r="H431" s="392">
        <v>0</v>
      </c>
      <c r="I431" s="392">
        <v>3177494</v>
      </c>
      <c r="J431" s="231">
        <v>72333</v>
      </c>
      <c r="K431" s="231">
        <v>4858846</v>
      </c>
      <c r="L431" s="231"/>
      <c r="M431" s="300">
        <v>0</v>
      </c>
      <c r="N431" s="300">
        <v>7225857</v>
      </c>
      <c r="O431" s="300">
        <v>0</v>
      </c>
      <c r="P431" s="231">
        <v>445355</v>
      </c>
      <c r="Q431" s="231">
        <v>7671212</v>
      </c>
      <c r="R431" s="231"/>
      <c r="S431" s="392">
        <v>2182029</v>
      </c>
      <c r="T431" s="231">
        <v>-132015</v>
      </c>
      <c r="U431" s="396">
        <v>2050014</v>
      </c>
      <c r="V431" s="231"/>
      <c r="W431" s="396">
        <v>19633362</v>
      </c>
      <c r="X431" s="396">
        <v>-6937387</v>
      </c>
      <c r="Y431" s="396"/>
      <c r="Z431" s="396"/>
    </row>
    <row r="432" spans="1:26">
      <c r="A432" s="390">
        <v>94402</v>
      </c>
      <c r="B432" s="391" t="s">
        <v>1135</v>
      </c>
      <c r="C432" s="234">
        <v>0</v>
      </c>
      <c r="D432" s="234">
        <v>0</v>
      </c>
      <c r="E432" s="231">
        <v>0</v>
      </c>
      <c r="F432" s="231"/>
      <c r="G432" s="231">
        <v>0</v>
      </c>
      <c r="H432" s="231">
        <v>0</v>
      </c>
      <c r="I432" s="231">
        <v>0</v>
      </c>
      <c r="J432" s="231">
        <v>0</v>
      </c>
      <c r="K432" s="231">
        <v>0</v>
      </c>
      <c r="L432" s="231">
        <v>0</v>
      </c>
      <c r="M432" s="231">
        <v>0</v>
      </c>
      <c r="N432" s="231">
        <v>0</v>
      </c>
      <c r="O432" s="231">
        <v>0</v>
      </c>
      <c r="P432" s="231">
        <v>0</v>
      </c>
      <c r="Q432" s="231">
        <v>0</v>
      </c>
      <c r="R432" s="231">
        <v>0</v>
      </c>
      <c r="S432" s="231">
        <v>0</v>
      </c>
      <c r="T432" s="231">
        <v>0</v>
      </c>
      <c r="U432" s="231">
        <v>0</v>
      </c>
      <c r="V432" s="231">
        <v>0</v>
      </c>
      <c r="W432" s="231">
        <v>0</v>
      </c>
      <c r="X432" s="231">
        <v>0</v>
      </c>
      <c r="Y432" s="396"/>
      <c r="Z432" s="396"/>
    </row>
    <row r="433" spans="1:26">
      <c r="A433" s="393">
        <v>94403</v>
      </c>
      <c r="B433" s="394" t="s">
        <v>1136</v>
      </c>
      <c r="C433" s="234">
        <v>4.46E-5</v>
      </c>
      <c r="D433" s="234">
        <v>3.9199999999999997E-5</v>
      </c>
      <c r="E433" s="231">
        <v>68398</v>
      </c>
      <c r="F433" s="231" t="s">
        <v>1924</v>
      </c>
      <c r="G433" s="392">
        <v>21760</v>
      </c>
      <c r="H433" s="392">
        <v>0</v>
      </c>
      <c r="I433" s="392">
        <v>42972</v>
      </c>
      <c r="J433" s="231">
        <v>17350</v>
      </c>
      <c r="K433" s="231">
        <v>82082</v>
      </c>
      <c r="L433" s="231"/>
      <c r="M433" s="300">
        <v>0</v>
      </c>
      <c r="N433" s="300">
        <v>97721</v>
      </c>
      <c r="O433" s="300">
        <v>0</v>
      </c>
      <c r="P433" s="231">
        <v>0</v>
      </c>
      <c r="Q433" s="231">
        <v>97721</v>
      </c>
      <c r="R433" s="231"/>
      <c r="S433" s="392">
        <v>29509</v>
      </c>
      <c r="T433" s="231">
        <v>11893</v>
      </c>
      <c r="U433" s="396">
        <v>41402</v>
      </c>
      <c r="V433" s="231"/>
      <c r="W433" s="396">
        <v>265517</v>
      </c>
      <c r="X433" s="396">
        <v>-93820</v>
      </c>
      <c r="Y433" s="396"/>
      <c r="Z433" s="396"/>
    </row>
    <row r="434" spans="1:26">
      <c r="A434" s="390">
        <v>94408</v>
      </c>
      <c r="B434" s="391" t="s">
        <v>1137</v>
      </c>
      <c r="C434" s="234">
        <v>6.6799999999999997E-5</v>
      </c>
      <c r="D434" s="234">
        <v>5.4400000000000001E-5</v>
      </c>
      <c r="E434" s="231">
        <v>102444</v>
      </c>
      <c r="F434" s="231" t="s">
        <v>1924</v>
      </c>
      <c r="G434" s="392">
        <v>32591</v>
      </c>
      <c r="H434" s="392">
        <v>0</v>
      </c>
      <c r="I434" s="392">
        <v>64361</v>
      </c>
      <c r="J434" s="231">
        <v>21578</v>
      </c>
      <c r="K434" s="231">
        <v>118530</v>
      </c>
      <c r="L434" s="231"/>
      <c r="M434" s="300">
        <v>0</v>
      </c>
      <c r="N434" s="300">
        <v>146362</v>
      </c>
      <c r="O434" s="300">
        <v>0</v>
      </c>
      <c r="P434" s="231">
        <v>8777</v>
      </c>
      <c r="Q434" s="231">
        <v>155139</v>
      </c>
      <c r="R434" s="231"/>
      <c r="S434" s="392">
        <v>44198</v>
      </c>
      <c r="T434" s="231">
        <v>2857</v>
      </c>
      <c r="U434" s="396">
        <v>47055</v>
      </c>
      <c r="V434" s="231"/>
      <c r="W434" s="396">
        <v>397680</v>
      </c>
      <c r="X434" s="396">
        <v>-140519</v>
      </c>
      <c r="Y434" s="396"/>
      <c r="Z434" s="396"/>
    </row>
    <row r="435" spans="1:26">
      <c r="A435" s="390">
        <v>94411</v>
      </c>
      <c r="B435" s="391" t="s">
        <v>1138</v>
      </c>
      <c r="C435" s="234">
        <v>1.0996000000000001E-3</v>
      </c>
      <c r="D435" s="234">
        <v>1.1728999999999999E-3</v>
      </c>
      <c r="E435" s="231">
        <v>1686342</v>
      </c>
      <c r="F435" s="231" t="s">
        <v>1924</v>
      </c>
      <c r="G435" s="392">
        <v>536486</v>
      </c>
      <c r="H435" s="392">
        <v>0</v>
      </c>
      <c r="I435" s="392">
        <v>1059454</v>
      </c>
      <c r="J435" s="231">
        <v>0</v>
      </c>
      <c r="K435" s="231">
        <v>1595940</v>
      </c>
      <c r="L435" s="231"/>
      <c r="M435" s="300">
        <v>0</v>
      </c>
      <c r="N435" s="300">
        <v>2409276</v>
      </c>
      <c r="O435" s="300">
        <v>0</v>
      </c>
      <c r="P435" s="231">
        <v>241267</v>
      </c>
      <c r="Q435" s="231">
        <v>2650543</v>
      </c>
      <c r="R435" s="231"/>
      <c r="S435" s="392">
        <v>727542</v>
      </c>
      <c r="T435" s="231">
        <v>-88702</v>
      </c>
      <c r="U435" s="396">
        <v>638840</v>
      </c>
      <c r="V435" s="231"/>
      <c r="W435" s="396">
        <v>6546240</v>
      </c>
      <c r="X435" s="396">
        <v>-2313093</v>
      </c>
      <c r="Y435" s="396"/>
      <c r="Z435" s="396"/>
    </row>
    <row r="436" spans="1:26">
      <c r="A436" s="390">
        <v>94412</v>
      </c>
      <c r="B436" s="391" t="s">
        <v>1139</v>
      </c>
      <c r="C436" s="234">
        <v>1.9899999999999999E-5</v>
      </c>
      <c r="D436" s="234">
        <v>1.6399999999999999E-5</v>
      </c>
      <c r="E436" s="231">
        <v>30519</v>
      </c>
      <c r="F436" s="231" t="s">
        <v>1924</v>
      </c>
      <c r="G436" s="392">
        <v>9709</v>
      </c>
      <c r="H436" s="392">
        <v>0</v>
      </c>
      <c r="I436" s="392">
        <v>19173</v>
      </c>
      <c r="J436" s="231">
        <v>17172</v>
      </c>
      <c r="K436" s="231">
        <v>46054</v>
      </c>
      <c r="L436" s="231"/>
      <c r="M436" s="300">
        <v>0</v>
      </c>
      <c r="N436" s="300">
        <v>43602</v>
      </c>
      <c r="O436" s="300">
        <v>0</v>
      </c>
      <c r="P436" s="231">
        <v>0</v>
      </c>
      <c r="Q436" s="231">
        <v>43602</v>
      </c>
      <c r="R436" s="231"/>
      <c r="S436" s="392">
        <v>13167</v>
      </c>
      <c r="T436" s="231">
        <v>8784</v>
      </c>
      <c r="U436" s="396">
        <v>21951</v>
      </c>
      <c r="V436" s="231"/>
      <c r="W436" s="396">
        <v>118471</v>
      </c>
      <c r="X436" s="396">
        <v>-41861</v>
      </c>
      <c r="Y436" s="396"/>
      <c r="Z436" s="396"/>
    </row>
    <row r="437" spans="1:26">
      <c r="A437" s="390">
        <v>94421</v>
      </c>
      <c r="B437" s="391" t="s">
        <v>1140</v>
      </c>
      <c r="C437" s="234">
        <v>1.56E-4</v>
      </c>
      <c r="D437" s="234">
        <v>1.172E-4</v>
      </c>
      <c r="E437" s="231">
        <v>239241</v>
      </c>
      <c r="F437" s="231" t="s">
        <v>1924</v>
      </c>
      <c r="G437" s="392">
        <v>76111</v>
      </c>
      <c r="H437" s="392">
        <v>0</v>
      </c>
      <c r="I437" s="392">
        <v>150304</v>
      </c>
      <c r="J437" s="231">
        <v>70908</v>
      </c>
      <c r="K437" s="231">
        <v>297323</v>
      </c>
      <c r="L437" s="231"/>
      <c r="M437" s="300">
        <v>0</v>
      </c>
      <c r="N437" s="300">
        <v>341803</v>
      </c>
      <c r="O437" s="300">
        <v>0</v>
      </c>
      <c r="P437" s="231">
        <v>15844</v>
      </c>
      <c r="Q437" s="231">
        <v>357647</v>
      </c>
      <c r="R437" s="231"/>
      <c r="S437" s="392">
        <v>103216</v>
      </c>
      <c r="T437" s="231">
        <v>15548</v>
      </c>
      <c r="U437" s="396">
        <v>118764</v>
      </c>
      <c r="V437" s="231"/>
      <c r="W437" s="396">
        <v>928714</v>
      </c>
      <c r="X437" s="396">
        <v>-328158</v>
      </c>
      <c r="Y437" s="396"/>
      <c r="Z437" s="396"/>
    </row>
    <row r="438" spans="1:26">
      <c r="A438" s="390">
        <v>94427</v>
      </c>
      <c r="B438" s="391" t="s">
        <v>1141</v>
      </c>
      <c r="C438" s="234">
        <v>2.5899999999999999E-5</v>
      </c>
      <c r="D438" s="234">
        <v>2.5999999999999998E-5</v>
      </c>
      <c r="E438" s="231">
        <v>39720</v>
      </c>
      <c r="F438" s="231" t="s">
        <v>1924</v>
      </c>
      <c r="G438" s="392">
        <v>12636</v>
      </c>
      <c r="H438" s="392">
        <v>0</v>
      </c>
      <c r="I438" s="392">
        <v>24954</v>
      </c>
      <c r="J438" s="231">
        <v>10900</v>
      </c>
      <c r="K438" s="231">
        <v>48490</v>
      </c>
      <c r="L438" s="231"/>
      <c r="M438" s="300">
        <v>0</v>
      </c>
      <c r="N438" s="300">
        <v>56748</v>
      </c>
      <c r="O438" s="300">
        <v>0</v>
      </c>
      <c r="P438" s="231">
        <v>0</v>
      </c>
      <c r="Q438" s="231">
        <v>56748</v>
      </c>
      <c r="R438" s="231"/>
      <c r="S438" s="392">
        <v>17137</v>
      </c>
      <c r="T438" s="231">
        <v>6073</v>
      </c>
      <c r="U438" s="396">
        <v>23210</v>
      </c>
      <c r="V438" s="231"/>
      <c r="W438" s="396">
        <v>154190</v>
      </c>
      <c r="X438" s="396">
        <v>-54483</v>
      </c>
      <c r="Y438" s="396"/>
      <c r="Z438" s="396"/>
    </row>
    <row r="439" spans="1:26">
      <c r="A439" s="390">
        <v>94428</v>
      </c>
      <c r="B439" s="391" t="s">
        <v>1142</v>
      </c>
      <c r="C439" s="234">
        <v>7.5300000000000001E-5</v>
      </c>
      <c r="D439" s="234">
        <v>7.2299999999999996E-5</v>
      </c>
      <c r="E439" s="231">
        <v>115480</v>
      </c>
      <c r="F439" s="231" t="s">
        <v>1924</v>
      </c>
      <c r="G439" s="392">
        <v>36738</v>
      </c>
      <c r="H439" s="392">
        <v>0</v>
      </c>
      <c r="I439" s="392">
        <v>72551</v>
      </c>
      <c r="J439" s="231">
        <v>11721</v>
      </c>
      <c r="K439" s="231">
        <v>121010</v>
      </c>
      <c r="L439" s="231"/>
      <c r="M439" s="300">
        <v>0</v>
      </c>
      <c r="N439" s="300">
        <v>164986</v>
      </c>
      <c r="O439" s="300">
        <v>0</v>
      </c>
      <c r="P439" s="231">
        <v>0</v>
      </c>
      <c r="Q439" s="231">
        <v>164986</v>
      </c>
      <c r="R439" s="231"/>
      <c r="S439" s="392">
        <v>49822</v>
      </c>
      <c r="T439" s="231">
        <v>4691</v>
      </c>
      <c r="U439" s="396">
        <v>54513</v>
      </c>
      <c r="V439" s="231"/>
      <c r="W439" s="396">
        <v>448283</v>
      </c>
      <c r="X439" s="396">
        <v>-158399</v>
      </c>
      <c r="Y439" s="396"/>
      <c r="Z439" s="396"/>
    </row>
    <row r="440" spans="1:26">
      <c r="A440" s="390">
        <v>94431</v>
      </c>
      <c r="B440" s="391" t="s">
        <v>1143</v>
      </c>
      <c r="C440" s="234">
        <v>3.6440000000000002E-4</v>
      </c>
      <c r="D440" s="234">
        <v>3.8200000000000002E-4</v>
      </c>
      <c r="E440" s="231">
        <v>558842</v>
      </c>
      <c r="F440" s="231" t="s">
        <v>1924</v>
      </c>
      <c r="G440" s="392">
        <v>177788</v>
      </c>
      <c r="H440" s="392">
        <v>0</v>
      </c>
      <c r="I440" s="392">
        <v>351096</v>
      </c>
      <c r="J440" s="231">
        <v>71110</v>
      </c>
      <c r="K440" s="231">
        <v>599994</v>
      </c>
      <c r="L440" s="231"/>
      <c r="M440" s="300">
        <v>0</v>
      </c>
      <c r="N440" s="300">
        <v>798418</v>
      </c>
      <c r="O440" s="300">
        <v>0</v>
      </c>
      <c r="P440" s="231">
        <v>59153</v>
      </c>
      <c r="Q440" s="231">
        <v>857571</v>
      </c>
      <c r="R440" s="231"/>
      <c r="S440" s="392">
        <v>241102</v>
      </c>
      <c r="T440" s="231">
        <v>46117</v>
      </c>
      <c r="U440" s="396">
        <v>287219</v>
      </c>
      <c r="V440" s="231"/>
      <c r="W440" s="396">
        <v>2169380</v>
      </c>
      <c r="X440" s="396">
        <v>-766543</v>
      </c>
      <c r="Y440" s="396"/>
      <c r="Z440" s="396"/>
    </row>
    <row r="441" spans="1:26">
      <c r="A441" s="390">
        <v>94437</v>
      </c>
      <c r="B441" s="391" t="s">
        <v>1144</v>
      </c>
      <c r="C441" s="234">
        <v>1.5099999999999999E-5</v>
      </c>
      <c r="D441" s="234">
        <v>1.4E-5</v>
      </c>
      <c r="E441" s="231">
        <v>23157</v>
      </c>
      <c r="F441" s="231" t="s">
        <v>1924</v>
      </c>
      <c r="G441" s="392">
        <v>7367</v>
      </c>
      <c r="H441" s="392">
        <v>0</v>
      </c>
      <c r="I441" s="392">
        <v>14549</v>
      </c>
      <c r="J441" s="231">
        <v>11598</v>
      </c>
      <c r="K441" s="231">
        <v>33514</v>
      </c>
      <c r="L441" s="231"/>
      <c r="M441" s="300">
        <v>0</v>
      </c>
      <c r="N441" s="300">
        <v>33085</v>
      </c>
      <c r="O441" s="300">
        <v>0</v>
      </c>
      <c r="P441" s="231">
        <v>0</v>
      </c>
      <c r="Q441" s="231">
        <v>33085</v>
      </c>
      <c r="R441" s="231"/>
      <c r="S441" s="392">
        <v>9991</v>
      </c>
      <c r="T441" s="231">
        <v>6500</v>
      </c>
      <c r="U441" s="396">
        <v>16491</v>
      </c>
      <c r="V441" s="231"/>
      <c r="W441" s="396">
        <v>89895</v>
      </c>
      <c r="X441" s="396">
        <v>-31764</v>
      </c>
      <c r="Y441" s="396"/>
      <c r="Z441" s="396"/>
    </row>
    <row r="442" spans="1:26">
      <c r="A442" s="390">
        <v>94501</v>
      </c>
      <c r="B442" s="391" t="s">
        <v>1145</v>
      </c>
      <c r="C442" s="234">
        <v>5.8125E-3</v>
      </c>
      <c r="D442" s="234">
        <v>5.9300000000000004E-3</v>
      </c>
      <c r="E442" s="231">
        <v>8914027</v>
      </c>
      <c r="F442" s="231" t="s">
        <v>1924</v>
      </c>
      <c r="G442" s="392">
        <v>2835872</v>
      </c>
      <c r="H442" s="392">
        <v>0</v>
      </c>
      <c r="I442" s="392">
        <v>5600286</v>
      </c>
      <c r="J442" s="231">
        <v>61751</v>
      </c>
      <c r="K442" s="231">
        <v>8497909</v>
      </c>
      <c r="L442" s="231"/>
      <c r="M442" s="300">
        <v>0</v>
      </c>
      <c r="N442" s="300">
        <v>12735467</v>
      </c>
      <c r="O442" s="300">
        <v>0</v>
      </c>
      <c r="P442" s="231">
        <v>168954</v>
      </c>
      <c r="Q442" s="231">
        <v>12904421</v>
      </c>
      <c r="R442" s="231"/>
      <c r="S442" s="392">
        <v>3845794</v>
      </c>
      <c r="T442" s="231">
        <v>-16045</v>
      </c>
      <c r="U442" s="396">
        <v>3829749</v>
      </c>
      <c r="V442" s="231"/>
      <c r="W442" s="396">
        <v>34603510</v>
      </c>
      <c r="X442" s="396">
        <v>-12227041</v>
      </c>
      <c r="Y442" s="396"/>
      <c r="Z442" s="396"/>
    </row>
    <row r="443" spans="1:26">
      <c r="A443" s="390">
        <v>94511</v>
      </c>
      <c r="B443" s="391" t="s">
        <v>1146</v>
      </c>
      <c r="C443" s="234">
        <v>1.9949999999999998E-3</v>
      </c>
      <c r="D443" s="234">
        <v>2.0052E-3</v>
      </c>
      <c r="E443" s="231">
        <v>3059524</v>
      </c>
      <c r="F443" s="231" t="s">
        <v>1924</v>
      </c>
      <c r="G443" s="392">
        <v>973345</v>
      </c>
      <c r="H443" s="392">
        <v>0</v>
      </c>
      <c r="I443" s="392">
        <v>1922163</v>
      </c>
      <c r="J443" s="231">
        <v>4788</v>
      </c>
      <c r="K443" s="231">
        <v>2900296</v>
      </c>
      <c r="L443" s="231"/>
      <c r="M443" s="300">
        <v>0</v>
      </c>
      <c r="N443" s="300">
        <v>4371141</v>
      </c>
      <c r="O443" s="300">
        <v>0</v>
      </c>
      <c r="P443" s="231">
        <v>224123</v>
      </c>
      <c r="Q443" s="231">
        <v>4595264</v>
      </c>
      <c r="R443" s="231"/>
      <c r="S443" s="392">
        <v>1319976</v>
      </c>
      <c r="T443" s="231">
        <v>-92540</v>
      </c>
      <c r="U443" s="396">
        <v>1227436</v>
      </c>
      <c r="V443" s="231"/>
      <c r="W443" s="396">
        <v>11876818</v>
      </c>
      <c r="X443" s="396">
        <v>-4196636</v>
      </c>
      <c r="Y443" s="396"/>
      <c r="Z443" s="396"/>
    </row>
    <row r="444" spans="1:26">
      <c r="A444" s="390">
        <v>94512</v>
      </c>
      <c r="B444" s="391" t="s">
        <v>3752</v>
      </c>
      <c r="C444" s="234">
        <v>0</v>
      </c>
      <c r="D444" s="234">
        <v>0</v>
      </c>
      <c r="E444" s="231">
        <v>0</v>
      </c>
      <c r="F444" s="231"/>
      <c r="G444" s="231">
        <v>0</v>
      </c>
      <c r="H444" s="231">
        <v>0</v>
      </c>
      <c r="I444" s="231">
        <v>0</v>
      </c>
      <c r="J444" s="231">
        <v>0</v>
      </c>
      <c r="K444" s="231">
        <v>0</v>
      </c>
      <c r="L444" s="231">
        <v>0</v>
      </c>
      <c r="M444" s="231">
        <v>0</v>
      </c>
      <c r="N444" s="231">
        <v>0</v>
      </c>
      <c r="O444" s="231">
        <v>0</v>
      </c>
      <c r="P444" s="231">
        <v>0</v>
      </c>
      <c r="Q444" s="231">
        <v>0</v>
      </c>
      <c r="R444" s="231">
        <v>0</v>
      </c>
      <c r="S444" s="231">
        <v>0</v>
      </c>
      <c r="T444" s="231">
        <v>0</v>
      </c>
      <c r="U444" s="231">
        <v>0</v>
      </c>
      <c r="V444" s="231">
        <v>0</v>
      </c>
      <c r="W444" s="231">
        <v>0</v>
      </c>
      <c r="X444" s="231">
        <v>0</v>
      </c>
      <c r="Y444" s="396"/>
      <c r="Z444" s="396"/>
    </row>
    <row r="445" spans="1:26">
      <c r="A445" s="390">
        <v>94517</v>
      </c>
      <c r="B445" s="391" t="s">
        <v>1148</v>
      </c>
      <c r="C445" s="234">
        <v>6.3800000000000006E-5</v>
      </c>
      <c r="D445" s="234">
        <v>5.8100000000000003E-5</v>
      </c>
      <c r="E445" s="231">
        <v>97843</v>
      </c>
      <c r="F445" s="231" t="s">
        <v>1924</v>
      </c>
      <c r="G445" s="392">
        <v>31128</v>
      </c>
      <c r="H445" s="392">
        <v>0</v>
      </c>
      <c r="I445" s="392">
        <v>61471</v>
      </c>
      <c r="J445" s="231">
        <v>40668</v>
      </c>
      <c r="K445" s="231">
        <v>133267</v>
      </c>
      <c r="L445" s="231"/>
      <c r="M445" s="300">
        <v>0</v>
      </c>
      <c r="N445" s="300">
        <v>139789</v>
      </c>
      <c r="O445" s="300">
        <v>0</v>
      </c>
      <c r="P445" s="231">
        <v>0</v>
      </c>
      <c r="Q445" s="231">
        <v>139789</v>
      </c>
      <c r="R445" s="231"/>
      <c r="S445" s="392">
        <v>42213</v>
      </c>
      <c r="T445" s="231">
        <v>19092</v>
      </c>
      <c r="U445" s="396">
        <v>61305</v>
      </c>
      <c r="V445" s="231"/>
      <c r="W445" s="396">
        <v>379820</v>
      </c>
      <c r="X445" s="396">
        <v>-134208</v>
      </c>
      <c r="Y445" s="396"/>
      <c r="Z445" s="396"/>
    </row>
    <row r="446" spans="1:26">
      <c r="A446" s="390">
        <v>94521</v>
      </c>
      <c r="B446" s="391" t="s">
        <v>1149</v>
      </c>
      <c r="C446" s="234">
        <v>1.3880000000000001E-4</v>
      </c>
      <c r="D446" s="234">
        <v>1.484E-4</v>
      </c>
      <c r="E446" s="231">
        <v>212863</v>
      </c>
      <c r="F446" s="231" t="s">
        <v>1924</v>
      </c>
      <c r="G446" s="392">
        <v>67719</v>
      </c>
      <c r="H446" s="392">
        <v>0</v>
      </c>
      <c r="I446" s="392">
        <v>133732</v>
      </c>
      <c r="J446" s="231">
        <v>0</v>
      </c>
      <c r="K446" s="231">
        <v>201451</v>
      </c>
      <c r="L446" s="231"/>
      <c r="M446" s="300">
        <v>0</v>
      </c>
      <c r="N446" s="300">
        <v>304117</v>
      </c>
      <c r="O446" s="300">
        <v>0</v>
      </c>
      <c r="P446" s="231">
        <v>43081</v>
      </c>
      <c r="Q446" s="231">
        <v>347198</v>
      </c>
      <c r="R446" s="231"/>
      <c r="S446" s="392">
        <v>91836</v>
      </c>
      <c r="T446" s="231">
        <v>-15053</v>
      </c>
      <c r="U446" s="396">
        <v>76783</v>
      </c>
      <c r="V446" s="231"/>
      <c r="W446" s="396">
        <v>826317</v>
      </c>
      <c r="X446" s="396">
        <v>-291976</v>
      </c>
      <c r="Y446" s="396"/>
      <c r="Z446" s="396"/>
    </row>
    <row r="447" spans="1:26">
      <c r="A447" s="390">
        <v>94527</v>
      </c>
      <c r="B447" s="391" t="s">
        <v>1150</v>
      </c>
      <c r="C447" s="234">
        <v>7.4000000000000003E-6</v>
      </c>
      <c r="D447" s="234">
        <v>6.9E-6</v>
      </c>
      <c r="E447" s="231">
        <v>11349</v>
      </c>
      <c r="F447" s="231" t="s">
        <v>1924</v>
      </c>
      <c r="G447" s="392">
        <v>3610</v>
      </c>
      <c r="H447" s="392">
        <v>0</v>
      </c>
      <c r="I447" s="392">
        <v>7130</v>
      </c>
      <c r="J447" s="231">
        <v>837</v>
      </c>
      <c r="K447" s="231">
        <v>11577</v>
      </c>
      <c r="L447" s="231"/>
      <c r="M447" s="300">
        <v>0</v>
      </c>
      <c r="N447" s="300">
        <v>16214</v>
      </c>
      <c r="O447" s="300">
        <v>0</v>
      </c>
      <c r="P447" s="231">
        <v>0</v>
      </c>
      <c r="Q447" s="231">
        <v>16214</v>
      </c>
      <c r="R447" s="231"/>
      <c r="S447" s="392">
        <v>4896</v>
      </c>
      <c r="T447" s="231">
        <v>230</v>
      </c>
      <c r="U447" s="396">
        <v>5126</v>
      </c>
      <c r="V447" s="231"/>
      <c r="W447" s="396">
        <v>44054</v>
      </c>
      <c r="X447" s="396">
        <v>-15566</v>
      </c>
      <c r="Y447" s="396"/>
      <c r="Z447" s="396"/>
    </row>
    <row r="448" spans="1:26">
      <c r="A448" s="390">
        <v>94531</v>
      </c>
      <c r="B448" s="391" t="s">
        <v>1151</v>
      </c>
      <c r="C448" s="234">
        <v>2.16E-5</v>
      </c>
      <c r="D448" s="234">
        <v>2.0999999999999999E-5</v>
      </c>
      <c r="E448" s="231">
        <v>33126</v>
      </c>
      <c r="F448" s="231" t="s">
        <v>1924</v>
      </c>
      <c r="G448" s="392">
        <v>10538</v>
      </c>
      <c r="H448" s="392">
        <v>0</v>
      </c>
      <c r="I448" s="392">
        <v>20811</v>
      </c>
      <c r="J448" s="231">
        <v>13036</v>
      </c>
      <c r="K448" s="231">
        <v>44385</v>
      </c>
      <c r="L448" s="231"/>
      <c r="M448" s="300">
        <v>0</v>
      </c>
      <c r="N448" s="300">
        <v>47327</v>
      </c>
      <c r="O448" s="300">
        <v>0</v>
      </c>
      <c r="P448" s="231">
        <v>0</v>
      </c>
      <c r="Q448" s="231">
        <v>47327</v>
      </c>
      <c r="R448" s="231"/>
      <c r="S448" s="392">
        <v>14291</v>
      </c>
      <c r="T448" s="231">
        <v>6896</v>
      </c>
      <c r="U448" s="396">
        <v>21187</v>
      </c>
      <c r="V448" s="231"/>
      <c r="W448" s="396">
        <v>128591</v>
      </c>
      <c r="X448" s="396">
        <v>-45437</v>
      </c>
      <c r="Y448" s="396"/>
      <c r="Z448" s="396"/>
    </row>
    <row r="449" spans="1:26">
      <c r="A449" s="390">
        <v>94532</v>
      </c>
      <c r="B449" s="391" t="s">
        <v>1152</v>
      </c>
      <c r="C449" s="234">
        <v>1.1010000000000001E-4</v>
      </c>
      <c r="D449" s="234">
        <v>1.339E-4</v>
      </c>
      <c r="E449" s="231">
        <v>168849</v>
      </c>
      <c r="F449" s="231" t="s">
        <v>1924</v>
      </c>
      <c r="G449" s="392">
        <v>53717</v>
      </c>
      <c r="H449" s="392">
        <v>0</v>
      </c>
      <c r="I449" s="392">
        <v>106080</v>
      </c>
      <c r="J449" s="231">
        <v>27490</v>
      </c>
      <c r="K449" s="231">
        <v>187287</v>
      </c>
      <c r="L449" s="231"/>
      <c r="M449" s="300">
        <v>0</v>
      </c>
      <c r="N449" s="300">
        <v>241234</v>
      </c>
      <c r="O449" s="300">
        <v>0</v>
      </c>
      <c r="P449" s="231">
        <v>39277</v>
      </c>
      <c r="Q449" s="231">
        <v>280511</v>
      </c>
      <c r="R449" s="231"/>
      <c r="S449" s="392">
        <v>72847</v>
      </c>
      <c r="T449" s="231">
        <v>1734</v>
      </c>
      <c r="U449" s="396">
        <v>74581</v>
      </c>
      <c r="V449" s="231"/>
      <c r="W449" s="396">
        <v>655457</v>
      </c>
      <c r="X449" s="396">
        <v>-231604</v>
      </c>
      <c r="Y449" s="396"/>
      <c r="Z449" s="396"/>
    </row>
    <row r="450" spans="1:26">
      <c r="A450" s="390">
        <v>94541</v>
      </c>
      <c r="B450" s="391" t="s">
        <v>1153</v>
      </c>
      <c r="C450" s="234">
        <v>2.7490000000000001E-4</v>
      </c>
      <c r="D450" s="234">
        <v>2.7849999999999999E-4</v>
      </c>
      <c r="E450" s="231">
        <v>421586</v>
      </c>
      <c r="F450" s="231" t="s">
        <v>1924</v>
      </c>
      <c r="G450" s="392">
        <v>134122</v>
      </c>
      <c r="H450" s="392">
        <v>0</v>
      </c>
      <c r="I450" s="392">
        <v>264863</v>
      </c>
      <c r="J450" s="231">
        <v>1280</v>
      </c>
      <c r="K450" s="231">
        <v>400265</v>
      </c>
      <c r="L450" s="231"/>
      <c r="M450" s="300">
        <v>0</v>
      </c>
      <c r="N450" s="300">
        <v>602319</v>
      </c>
      <c r="O450" s="300">
        <v>0</v>
      </c>
      <c r="P450" s="231">
        <v>16700</v>
      </c>
      <c r="Q450" s="231">
        <v>619019</v>
      </c>
      <c r="R450" s="231"/>
      <c r="S450" s="392">
        <v>181885</v>
      </c>
      <c r="T450" s="231">
        <v>-11101</v>
      </c>
      <c r="U450" s="396">
        <v>170784</v>
      </c>
      <c r="V450" s="231"/>
      <c r="W450" s="396">
        <v>1636560</v>
      </c>
      <c r="X450" s="396">
        <v>-578273</v>
      </c>
      <c r="Y450" s="396"/>
      <c r="Z450" s="396"/>
    </row>
    <row r="451" spans="1:26">
      <c r="A451" s="390">
        <v>94547</v>
      </c>
      <c r="B451" s="391" t="s">
        <v>1154</v>
      </c>
      <c r="C451" s="234">
        <v>1.7E-5</v>
      </c>
      <c r="D451" s="234">
        <v>1.2500000000000001E-5</v>
      </c>
      <c r="E451" s="231">
        <v>26071</v>
      </c>
      <c r="F451" s="231" t="s">
        <v>1924</v>
      </c>
      <c r="G451" s="392">
        <v>8294</v>
      </c>
      <c r="H451" s="392">
        <v>0</v>
      </c>
      <c r="I451" s="392">
        <v>16379</v>
      </c>
      <c r="J451" s="231">
        <v>21331</v>
      </c>
      <c r="K451" s="231">
        <v>46004</v>
      </c>
      <c r="L451" s="231"/>
      <c r="M451" s="300">
        <v>0</v>
      </c>
      <c r="N451" s="300">
        <v>37248</v>
      </c>
      <c r="O451" s="300">
        <v>0</v>
      </c>
      <c r="P451" s="231">
        <v>0</v>
      </c>
      <c r="Q451" s="231">
        <v>37248</v>
      </c>
      <c r="R451" s="231"/>
      <c r="S451" s="392">
        <v>11248</v>
      </c>
      <c r="T451" s="231">
        <v>9082</v>
      </c>
      <c r="U451" s="396">
        <v>20330</v>
      </c>
      <c r="V451" s="231"/>
      <c r="W451" s="396">
        <v>101206</v>
      </c>
      <c r="X451" s="396">
        <v>-35761</v>
      </c>
      <c r="Y451" s="396"/>
      <c r="Z451" s="396"/>
    </row>
    <row r="452" spans="1:26">
      <c r="A452" s="390">
        <v>94551</v>
      </c>
      <c r="B452" s="391" t="s">
        <v>1155</v>
      </c>
      <c r="C452" s="234">
        <v>5.0800000000000002E-5</v>
      </c>
      <c r="D452" s="234">
        <v>5.8199999999999998E-5</v>
      </c>
      <c r="E452" s="231">
        <v>77907</v>
      </c>
      <c r="F452" s="231" t="s">
        <v>1924</v>
      </c>
      <c r="G452" s="392">
        <v>24785</v>
      </c>
      <c r="H452" s="392">
        <v>0</v>
      </c>
      <c r="I452" s="392">
        <v>48945</v>
      </c>
      <c r="J452" s="231">
        <v>7585</v>
      </c>
      <c r="K452" s="231">
        <v>81315</v>
      </c>
      <c r="L452" s="231"/>
      <c r="M452" s="300">
        <v>0</v>
      </c>
      <c r="N452" s="300">
        <v>111305</v>
      </c>
      <c r="O452" s="300">
        <v>0</v>
      </c>
      <c r="P452" s="231">
        <v>8804</v>
      </c>
      <c r="Q452" s="231">
        <v>120109</v>
      </c>
      <c r="R452" s="231"/>
      <c r="S452" s="392">
        <v>33611</v>
      </c>
      <c r="T452" s="231">
        <v>2144</v>
      </c>
      <c r="U452" s="396">
        <v>35755</v>
      </c>
      <c r="V452" s="231"/>
      <c r="W452" s="396">
        <v>302427</v>
      </c>
      <c r="X452" s="396">
        <v>-106862</v>
      </c>
      <c r="Y452" s="396"/>
      <c r="Z452" s="396"/>
    </row>
    <row r="453" spans="1:26">
      <c r="A453" s="390">
        <v>94601</v>
      </c>
      <c r="B453" s="391" t="s">
        <v>1156</v>
      </c>
      <c r="C453" s="234">
        <v>9.6500000000000004E-4</v>
      </c>
      <c r="D453" s="234">
        <v>9.234E-4</v>
      </c>
      <c r="E453" s="231">
        <v>1479920</v>
      </c>
      <c r="F453" s="231" t="s">
        <v>1924</v>
      </c>
      <c r="G453" s="392">
        <v>470816</v>
      </c>
      <c r="H453" s="392">
        <v>0</v>
      </c>
      <c r="I453" s="392">
        <v>929768</v>
      </c>
      <c r="J453" s="231">
        <v>110764</v>
      </c>
      <c r="K453" s="231">
        <v>1511348</v>
      </c>
      <c r="L453" s="231"/>
      <c r="M453" s="300">
        <v>0</v>
      </c>
      <c r="N453" s="300">
        <v>2114361</v>
      </c>
      <c r="O453" s="300">
        <v>0</v>
      </c>
      <c r="P453" s="231">
        <v>51986</v>
      </c>
      <c r="Q453" s="231">
        <v>2166347</v>
      </c>
      <c r="R453" s="231"/>
      <c r="S453" s="392">
        <v>638485</v>
      </c>
      <c r="T453" s="231">
        <v>30528</v>
      </c>
      <c r="U453" s="396">
        <v>669013</v>
      </c>
      <c r="V453" s="231"/>
      <c r="W453" s="396">
        <v>5744927</v>
      </c>
      <c r="X453" s="396">
        <v>-2029952</v>
      </c>
      <c r="Y453" s="396"/>
      <c r="Z453" s="396"/>
    </row>
    <row r="454" spans="1:26">
      <c r="A454" s="390">
        <v>94604</v>
      </c>
      <c r="B454" s="391" t="s">
        <v>1157</v>
      </c>
      <c r="C454" s="234">
        <v>2.65E-5</v>
      </c>
      <c r="D454" s="234">
        <v>2.0299999999999999E-5</v>
      </c>
      <c r="E454" s="231">
        <v>40640</v>
      </c>
      <c r="F454" s="231" t="s">
        <v>1924</v>
      </c>
      <c r="G454" s="392">
        <v>12929</v>
      </c>
      <c r="H454" s="392">
        <v>0</v>
      </c>
      <c r="I454" s="392">
        <v>25532</v>
      </c>
      <c r="J454" s="231">
        <v>12944</v>
      </c>
      <c r="K454" s="231">
        <v>51405</v>
      </c>
      <c r="L454" s="231"/>
      <c r="M454" s="300">
        <v>0</v>
      </c>
      <c r="N454" s="300">
        <v>58063</v>
      </c>
      <c r="O454" s="300">
        <v>0</v>
      </c>
      <c r="P454" s="231">
        <v>1838</v>
      </c>
      <c r="Q454" s="231">
        <v>59901</v>
      </c>
      <c r="R454" s="231"/>
      <c r="S454" s="392">
        <v>17534</v>
      </c>
      <c r="T454" s="231">
        <v>4124</v>
      </c>
      <c r="U454" s="396">
        <v>21658</v>
      </c>
      <c r="V454" s="231"/>
      <c r="W454" s="396">
        <v>157762</v>
      </c>
      <c r="X454" s="396">
        <v>-55745</v>
      </c>
      <c r="Y454" s="396"/>
      <c r="Z454" s="396"/>
    </row>
    <row r="455" spans="1:26">
      <c r="A455" s="390">
        <v>94606</v>
      </c>
      <c r="B455" s="391" t="s">
        <v>1158</v>
      </c>
      <c r="C455" s="234">
        <v>0</v>
      </c>
      <c r="D455" s="234">
        <v>0</v>
      </c>
      <c r="E455" s="231">
        <v>0</v>
      </c>
      <c r="F455" s="231" t="s">
        <v>1924</v>
      </c>
      <c r="G455" s="392">
        <v>0</v>
      </c>
      <c r="H455" s="392">
        <v>0</v>
      </c>
      <c r="I455" s="392">
        <v>0</v>
      </c>
      <c r="J455" s="231">
        <v>0</v>
      </c>
      <c r="K455" s="231">
        <v>0</v>
      </c>
      <c r="L455" s="231"/>
      <c r="M455" s="300">
        <v>0</v>
      </c>
      <c r="N455" s="300">
        <v>0</v>
      </c>
      <c r="O455" s="300">
        <v>0</v>
      </c>
      <c r="P455" s="231">
        <v>87213</v>
      </c>
      <c r="Q455" s="231">
        <v>87213</v>
      </c>
      <c r="R455" s="231"/>
      <c r="S455" s="392">
        <v>0</v>
      </c>
      <c r="T455" s="231">
        <v>-51492</v>
      </c>
      <c r="U455" s="396">
        <v>-51492</v>
      </c>
      <c r="V455" s="231"/>
      <c r="W455" s="396">
        <v>0</v>
      </c>
      <c r="X455" s="396">
        <v>0</v>
      </c>
      <c r="Y455" s="396"/>
      <c r="Z455" s="396"/>
    </row>
    <row r="456" spans="1:26">
      <c r="A456" s="390">
        <v>94611</v>
      </c>
      <c r="B456" s="391" t="s">
        <v>1159</v>
      </c>
      <c r="C456" s="234">
        <v>2.8889999999999997E-4</v>
      </c>
      <c r="D456" s="234">
        <v>3.0679999999999998E-4</v>
      </c>
      <c r="E456" s="231">
        <v>443056</v>
      </c>
      <c r="F456" s="231" t="s">
        <v>1924</v>
      </c>
      <c r="G456" s="392">
        <v>140952</v>
      </c>
      <c r="H456" s="392">
        <v>0</v>
      </c>
      <c r="I456" s="392">
        <v>278352</v>
      </c>
      <c r="J456" s="231">
        <v>0</v>
      </c>
      <c r="K456" s="231">
        <v>419304</v>
      </c>
      <c r="L456" s="231"/>
      <c r="M456" s="300">
        <v>0</v>
      </c>
      <c r="N456" s="300">
        <v>632994</v>
      </c>
      <c r="O456" s="300">
        <v>0</v>
      </c>
      <c r="P456" s="231">
        <v>33856</v>
      </c>
      <c r="Q456" s="231">
        <v>666850</v>
      </c>
      <c r="R456" s="231"/>
      <c r="S456" s="392">
        <v>191148</v>
      </c>
      <c r="T456" s="231">
        <v>-23545</v>
      </c>
      <c r="U456" s="396">
        <v>167603</v>
      </c>
      <c r="V456" s="231"/>
      <c r="W456" s="396">
        <v>1719906</v>
      </c>
      <c r="X456" s="396">
        <v>-607723</v>
      </c>
      <c r="Y456" s="396"/>
      <c r="Z456" s="396"/>
    </row>
    <row r="457" spans="1:26">
      <c r="A457" s="390">
        <v>94621</v>
      </c>
      <c r="B457" s="391" t="s">
        <v>1160</v>
      </c>
      <c r="C457" s="234">
        <v>1.1120000000000001E-4</v>
      </c>
      <c r="D457" s="234">
        <v>1.104E-4</v>
      </c>
      <c r="E457" s="231">
        <v>170536</v>
      </c>
      <c r="F457" s="231" t="s">
        <v>1924</v>
      </c>
      <c r="G457" s="392">
        <v>54254</v>
      </c>
      <c r="H457" s="392">
        <v>0</v>
      </c>
      <c r="I457" s="392">
        <v>107140</v>
      </c>
      <c r="J457" s="231">
        <v>19038</v>
      </c>
      <c r="K457" s="231">
        <v>180432</v>
      </c>
      <c r="L457" s="231"/>
      <c r="M457" s="300">
        <v>0</v>
      </c>
      <c r="N457" s="300">
        <v>243645</v>
      </c>
      <c r="O457" s="300">
        <v>0</v>
      </c>
      <c r="P457" s="231">
        <v>16938</v>
      </c>
      <c r="Q457" s="231">
        <v>260583</v>
      </c>
      <c r="R457" s="231"/>
      <c r="S457" s="392">
        <v>73575</v>
      </c>
      <c r="T457" s="231">
        <v>2051</v>
      </c>
      <c r="U457" s="396">
        <v>75626</v>
      </c>
      <c r="V457" s="231"/>
      <c r="W457" s="396">
        <v>662006</v>
      </c>
      <c r="X457" s="396">
        <v>-233918</v>
      </c>
      <c r="Y457" s="396"/>
      <c r="Z457" s="396"/>
    </row>
    <row r="458" spans="1:26">
      <c r="A458" s="390">
        <v>94631</v>
      </c>
      <c r="B458" s="391" t="s">
        <v>1161</v>
      </c>
      <c r="C458" s="234">
        <v>4.0200000000000001E-5</v>
      </c>
      <c r="D458" s="234">
        <v>4.2899999999999999E-5</v>
      </c>
      <c r="E458" s="231">
        <v>61651</v>
      </c>
      <c r="F458" s="231" t="s">
        <v>1924</v>
      </c>
      <c r="G458" s="392">
        <v>19613</v>
      </c>
      <c r="H458" s="392">
        <v>0</v>
      </c>
      <c r="I458" s="392">
        <v>38732</v>
      </c>
      <c r="J458" s="231">
        <v>745</v>
      </c>
      <c r="K458" s="231">
        <v>59090</v>
      </c>
      <c r="L458" s="231"/>
      <c r="M458" s="300">
        <v>0</v>
      </c>
      <c r="N458" s="300">
        <v>88080</v>
      </c>
      <c r="O458" s="300">
        <v>0</v>
      </c>
      <c r="P458" s="231">
        <v>5047</v>
      </c>
      <c r="Q458" s="231">
        <v>93127</v>
      </c>
      <c r="R458" s="231"/>
      <c r="S458" s="392">
        <v>26598</v>
      </c>
      <c r="T458" s="231">
        <v>-329</v>
      </c>
      <c r="U458" s="396">
        <v>26269</v>
      </c>
      <c r="V458" s="231"/>
      <c r="W458" s="396">
        <v>239322</v>
      </c>
      <c r="X458" s="396">
        <v>-84564</v>
      </c>
      <c r="Y458" s="396"/>
      <c r="Z458" s="396"/>
    </row>
    <row r="459" spans="1:26">
      <c r="A459" s="390">
        <v>94641</v>
      </c>
      <c r="B459" s="391" t="s">
        <v>1162</v>
      </c>
      <c r="C459" s="234">
        <v>1.3499999999999999E-5</v>
      </c>
      <c r="D459" s="234">
        <v>1.4399999999999999E-5</v>
      </c>
      <c r="E459" s="231">
        <v>20704</v>
      </c>
      <c r="F459" s="231" t="s">
        <v>1924</v>
      </c>
      <c r="G459" s="392">
        <v>6587</v>
      </c>
      <c r="H459" s="392">
        <v>0</v>
      </c>
      <c r="I459" s="392">
        <v>13007</v>
      </c>
      <c r="J459" s="231">
        <v>10701</v>
      </c>
      <c r="K459" s="231">
        <v>30295</v>
      </c>
      <c r="L459" s="231"/>
      <c r="M459" s="300">
        <v>0</v>
      </c>
      <c r="N459" s="300">
        <v>29579</v>
      </c>
      <c r="O459" s="300">
        <v>0</v>
      </c>
      <c r="P459" s="231">
        <v>0</v>
      </c>
      <c r="Q459" s="231">
        <v>29579</v>
      </c>
      <c r="R459" s="231"/>
      <c r="S459" s="392">
        <v>8932</v>
      </c>
      <c r="T459" s="231">
        <v>5791</v>
      </c>
      <c r="U459" s="396">
        <v>14723</v>
      </c>
      <c r="V459" s="231"/>
      <c r="W459" s="396">
        <v>80369</v>
      </c>
      <c r="X459" s="396">
        <v>-28398</v>
      </c>
      <c r="Y459" s="396"/>
      <c r="Z459" s="396"/>
    </row>
    <row r="460" spans="1:26">
      <c r="A460" s="390">
        <v>94701</v>
      </c>
      <c r="B460" s="391" t="s">
        <v>1163</v>
      </c>
      <c r="C460" s="234">
        <v>2.3996999999999998E-3</v>
      </c>
      <c r="D460" s="234">
        <v>2.4697999999999999E-3</v>
      </c>
      <c r="E460" s="231">
        <v>3680170</v>
      </c>
      <c r="F460" s="231" t="s">
        <v>1924</v>
      </c>
      <c r="G460" s="392">
        <v>1170794</v>
      </c>
      <c r="H460" s="392">
        <v>0</v>
      </c>
      <c r="I460" s="392">
        <v>2312087</v>
      </c>
      <c r="J460" s="231">
        <v>90808</v>
      </c>
      <c r="K460" s="231">
        <v>3573689</v>
      </c>
      <c r="L460" s="231"/>
      <c r="M460" s="300">
        <v>0</v>
      </c>
      <c r="N460" s="300">
        <v>5257858</v>
      </c>
      <c r="O460" s="300">
        <v>0</v>
      </c>
      <c r="P460" s="231">
        <v>143141</v>
      </c>
      <c r="Q460" s="231">
        <v>5400999</v>
      </c>
      <c r="R460" s="231"/>
      <c r="S460" s="392">
        <v>1587742</v>
      </c>
      <c r="T460" s="231">
        <v>-29155</v>
      </c>
      <c r="U460" s="396">
        <v>1558587</v>
      </c>
      <c r="V460" s="231"/>
      <c r="W460" s="396">
        <v>14286115</v>
      </c>
      <c r="X460" s="396">
        <v>-5047954</v>
      </c>
      <c r="Y460" s="396"/>
      <c r="Z460" s="396"/>
    </row>
    <row r="461" spans="1:26">
      <c r="A461" s="390">
        <v>94704</v>
      </c>
      <c r="B461" s="391" t="s">
        <v>1164</v>
      </c>
      <c r="C461" s="234">
        <v>1.7099999999999999E-5</v>
      </c>
      <c r="D461" s="234">
        <v>1.5500000000000001E-5</v>
      </c>
      <c r="E461" s="231">
        <v>26224</v>
      </c>
      <c r="F461" s="231" t="s">
        <v>1924</v>
      </c>
      <c r="G461" s="392">
        <v>8343</v>
      </c>
      <c r="H461" s="392">
        <v>0</v>
      </c>
      <c r="I461" s="392">
        <v>16476</v>
      </c>
      <c r="J461" s="231">
        <v>7229</v>
      </c>
      <c r="K461" s="231">
        <v>32048</v>
      </c>
      <c r="L461" s="231"/>
      <c r="M461" s="300">
        <v>0</v>
      </c>
      <c r="N461" s="300">
        <v>37467</v>
      </c>
      <c r="O461" s="300">
        <v>0</v>
      </c>
      <c r="P461" s="231">
        <v>21</v>
      </c>
      <c r="Q461" s="231">
        <v>37488</v>
      </c>
      <c r="R461" s="231"/>
      <c r="S461" s="392">
        <v>11314</v>
      </c>
      <c r="T461" s="231">
        <v>3440</v>
      </c>
      <c r="U461" s="396">
        <v>14754</v>
      </c>
      <c r="V461" s="231"/>
      <c r="W461" s="396">
        <v>101801</v>
      </c>
      <c r="X461" s="396">
        <v>-35971</v>
      </c>
      <c r="Y461" s="396"/>
      <c r="Z461" s="396"/>
    </row>
    <row r="462" spans="1:26">
      <c r="A462" s="390">
        <v>94711</v>
      </c>
      <c r="B462" s="391" t="s">
        <v>1165</v>
      </c>
      <c r="C462" s="234">
        <v>3.344E-4</v>
      </c>
      <c r="D462" s="234">
        <v>3.1080000000000002E-4</v>
      </c>
      <c r="E462" s="231">
        <v>512835</v>
      </c>
      <c r="F462" s="231" t="s">
        <v>1924</v>
      </c>
      <c r="G462" s="392">
        <v>163151</v>
      </c>
      <c r="H462" s="392">
        <v>0</v>
      </c>
      <c r="I462" s="392">
        <v>322191</v>
      </c>
      <c r="J462" s="231">
        <v>61058</v>
      </c>
      <c r="K462" s="231">
        <v>546400</v>
      </c>
      <c r="L462" s="231"/>
      <c r="M462" s="300">
        <v>0</v>
      </c>
      <c r="N462" s="300">
        <v>732686</v>
      </c>
      <c r="O462" s="300">
        <v>0</v>
      </c>
      <c r="P462" s="231">
        <v>12506</v>
      </c>
      <c r="Q462" s="231">
        <v>745192</v>
      </c>
      <c r="R462" s="231"/>
      <c r="S462" s="392">
        <v>221253</v>
      </c>
      <c r="T462" s="231">
        <v>14995</v>
      </c>
      <c r="U462" s="396">
        <v>236248</v>
      </c>
      <c r="V462" s="231"/>
      <c r="W462" s="396">
        <v>1990781</v>
      </c>
      <c r="X462" s="396">
        <v>-703436</v>
      </c>
      <c r="Y462" s="396"/>
      <c r="Z462" s="396"/>
    </row>
    <row r="463" spans="1:26">
      <c r="A463" s="390">
        <v>94801</v>
      </c>
      <c r="B463" s="391" t="s">
        <v>1166</v>
      </c>
      <c r="C463" s="234">
        <v>6.2790000000000003E-4</v>
      </c>
      <c r="D463" s="234">
        <v>6.8409999999999999E-4</v>
      </c>
      <c r="E463" s="231">
        <v>962945</v>
      </c>
      <c r="F463" s="231" t="s">
        <v>1924</v>
      </c>
      <c r="G463" s="392">
        <v>306347</v>
      </c>
      <c r="H463" s="392">
        <v>0</v>
      </c>
      <c r="I463" s="392">
        <v>604975</v>
      </c>
      <c r="J463" s="231">
        <v>15384</v>
      </c>
      <c r="K463" s="231">
        <v>926706</v>
      </c>
      <c r="L463" s="231"/>
      <c r="M463" s="300">
        <v>0</v>
      </c>
      <c r="N463" s="300">
        <v>1375759</v>
      </c>
      <c r="O463" s="300">
        <v>0</v>
      </c>
      <c r="P463" s="231">
        <v>89189</v>
      </c>
      <c r="Q463" s="231">
        <v>1464948</v>
      </c>
      <c r="R463" s="231"/>
      <c r="S463" s="392">
        <v>415445</v>
      </c>
      <c r="T463" s="231">
        <v>-30651</v>
      </c>
      <c r="U463" s="396">
        <v>384794</v>
      </c>
      <c r="V463" s="231"/>
      <c r="W463" s="396">
        <v>3738072</v>
      </c>
      <c r="X463" s="396">
        <v>-1320836</v>
      </c>
      <c r="Y463" s="396"/>
      <c r="Z463" s="396"/>
    </row>
    <row r="464" spans="1:26">
      <c r="A464" s="390">
        <v>94804</v>
      </c>
      <c r="B464" s="391" t="s">
        <v>1167</v>
      </c>
      <c r="C464" s="234">
        <v>2.7E-6</v>
      </c>
      <c r="D464" s="234">
        <v>3.4000000000000001E-6</v>
      </c>
      <c r="E464" s="231">
        <v>4141</v>
      </c>
      <c r="F464" s="231" t="s">
        <v>1924</v>
      </c>
      <c r="G464" s="392">
        <v>1317</v>
      </c>
      <c r="H464" s="392">
        <v>0</v>
      </c>
      <c r="I464" s="392">
        <v>2601</v>
      </c>
      <c r="J464" s="231">
        <v>3381</v>
      </c>
      <c r="K464" s="231">
        <v>7299</v>
      </c>
      <c r="L464" s="231"/>
      <c r="M464" s="300">
        <v>0</v>
      </c>
      <c r="N464" s="300">
        <v>5916</v>
      </c>
      <c r="O464" s="300">
        <v>0</v>
      </c>
      <c r="P464" s="231">
        <v>0</v>
      </c>
      <c r="Q464" s="231">
        <v>5916</v>
      </c>
      <c r="R464" s="231"/>
      <c r="S464" s="392">
        <v>1786</v>
      </c>
      <c r="T464" s="231">
        <v>1709</v>
      </c>
      <c r="U464" s="396">
        <v>3495</v>
      </c>
      <c r="V464" s="231"/>
      <c r="W464" s="396">
        <v>16074</v>
      </c>
      <c r="X464" s="396">
        <v>-5680</v>
      </c>
      <c r="Y464" s="396"/>
      <c r="Z464" s="396"/>
    </row>
    <row r="465" spans="1:26">
      <c r="A465" s="390">
        <v>94812</v>
      </c>
      <c r="B465" s="391" t="s">
        <v>1168</v>
      </c>
      <c r="C465" s="234">
        <v>2.5599999999999999E-5</v>
      </c>
      <c r="D465" s="234">
        <v>2.8399999999999999E-5</v>
      </c>
      <c r="E465" s="231">
        <v>39260</v>
      </c>
      <c r="F465" s="231" t="s">
        <v>1924</v>
      </c>
      <c r="G465" s="392">
        <v>12490</v>
      </c>
      <c r="H465" s="392">
        <v>0</v>
      </c>
      <c r="I465" s="392">
        <v>24665</v>
      </c>
      <c r="J465" s="231">
        <v>5004</v>
      </c>
      <c r="K465" s="231">
        <v>42159</v>
      </c>
      <c r="L465" s="231"/>
      <c r="M465" s="300">
        <v>0</v>
      </c>
      <c r="N465" s="300">
        <v>56091</v>
      </c>
      <c r="O465" s="300">
        <v>0</v>
      </c>
      <c r="P465" s="231">
        <v>490</v>
      </c>
      <c r="Q465" s="231">
        <v>56581</v>
      </c>
      <c r="R465" s="231"/>
      <c r="S465" s="392">
        <v>16938</v>
      </c>
      <c r="T465" s="231">
        <v>3580</v>
      </c>
      <c r="U465" s="396">
        <v>20518</v>
      </c>
      <c r="V465" s="231"/>
      <c r="W465" s="396">
        <v>152404</v>
      </c>
      <c r="X465" s="396">
        <v>-53852</v>
      </c>
      <c r="Y465" s="396"/>
      <c r="Z465" s="396"/>
    </row>
    <row r="466" spans="1:26">
      <c r="A466" s="390">
        <v>94901</v>
      </c>
      <c r="B466" s="391" t="s">
        <v>1169</v>
      </c>
      <c r="C466" s="234">
        <v>7.1942000000000004E-3</v>
      </c>
      <c r="D466" s="234">
        <v>7.2741999999999998E-3</v>
      </c>
      <c r="E466" s="231">
        <v>11032996</v>
      </c>
      <c r="F466" s="231" t="s">
        <v>1924</v>
      </c>
      <c r="G466" s="392">
        <v>3509993</v>
      </c>
      <c r="H466" s="392">
        <v>0</v>
      </c>
      <c r="I466" s="392">
        <v>6931540</v>
      </c>
      <c r="J466" s="231">
        <v>156924</v>
      </c>
      <c r="K466" s="231">
        <v>10598457</v>
      </c>
      <c r="L466" s="231"/>
      <c r="M466" s="300">
        <v>0</v>
      </c>
      <c r="N466" s="300">
        <v>15762838</v>
      </c>
      <c r="O466" s="300">
        <v>0</v>
      </c>
      <c r="P466" s="231">
        <v>106923</v>
      </c>
      <c r="Q466" s="231">
        <v>15869761</v>
      </c>
      <c r="R466" s="231"/>
      <c r="S466" s="392">
        <v>4759985</v>
      </c>
      <c r="T466" s="231">
        <v>51243</v>
      </c>
      <c r="U466" s="396">
        <v>4811228</v>
      </c>
      <c r="V466" s="231"/>
      <c r="W466" s="396">
        <v>42829173</v>
      </c>
      <c r="X466" s="396">
        <v>-15133554</v>
      </c>
      <c r="Y466" s="396"/>
      <c r="Z466" s="396"/>
    </row>
    <row r="467" spans="1:26">
      <c r="A467" s="390">
        <v>94908</v>
      </c>
      <c r="B467" s="391" t="s">
        <v>1170</v>
      </c>
      <c r="C467" s="234">
        <v>6.0999999999999999E-5</v>
      </c>
      <c r="D467" s="234">
        <v>6.5400000000000004E-5</v>
      </c>
      <c r="E467" s="231">
        <v>93549</v>
      </c>
      <c r="F467" s="231" t="s">
        <v>1924</v>
      </c>
      <c r="G467" s="392">
        <v>29761</v>
      </c>
      <c r="H467" s="392">
        <v>0</v>
      </c>
      <c r="I467" s="392">
        <v>58773</v>
      </c>
      <c r="J467" s="231">
        <v>55264</v>
      </c>
      <c r="K467" s="231">
        <v>143798</v>
      </c>
      <c r="L467" s="231"/>
      <c r="M467" s="300">
        <v>0</v>
      </c>
      <c r="N467" s="300">
        <v>133654</v>
      </c>
      <c r="O467" s="300">
        <v>0</v>
      </c>
      <c r="P467" s="231">
        <v>9511</v>
      </c>
      <c r="Q467" s="231">
        <v>143165</v>
      </c>
      <c r="R467" s="231"/>
      <c r="S467" s="392">
        <v>40360</v>
      </c>
      <c r="T467" s="231">
        <v>19881</v>
      </c>
      <c r="U467" s="396">
        <v>60241</v>
      </c>
      <c r="V467" s="231"/>
      <c r="W467" s="396">
        <v>363151</v>
      </c>
      <c r="X467" s="396">
        <v>-128318</v>
      </c>
      <c r="Y467" s="396"/>
      <c r="Z467" s="396"/>
    </row>
    <row r="468" spans="1:26">
      <c r="A468" s="390">
        <v>94911</v>
      </c>
      <c r="B468" s="391" t="s">
        <v>1171</v>
      </c>
      <c r="C468" s="234">
        <v>2.9751999999999999E-3</v>
      </c>
      <c r="D468" s="234">
        <v>2.9137999999999998E-3</v>
      </c>
      <c r="E468" s="231">
        <v>4562755</v>
      </c>
      <c r="F468" s="231" t="s">
        <v>1924</v>
      </c>
      <c r="G468" s="392">
        <v>1451576</v>
      </c>
      <c r="H468" s="392">
        <v>0</v>
      </c>
      <c r="I468" s="392">
        <v>2866575</v>
      </c>
      <c r="J468" s="231">
        <v>121213</v>
      </c>
      <c r="K468" s="231">
        <v>4439364</v>
      </c>
      <c r="L468" s="231"/>
      <c r="M468" s="300">
        <v>0</v>
      </c>
      <c r="N468" s="300">
        <v>6518806</v>
      </c>
      <c r="O468" s="300">
        <v>0</v>
      </c>
      <c r="P468" s="231">
        <v>43198</v>
      </c>
      <c r="Q468" s="231">
        <v>6562004</v>
      </c>
      <c r="R468" s="231"/>
      <c r="S468" s="392">
        <v>1968517</v>
      </c>
      <c r="T468" s="231">
        <v>49644</v>
      </c>
      <c r="U468" s="396">
        <v>2018161</v>
      </c>
      <c r="V468" s="231"/>
      <c r="W468" s="396">
        <v>17712234</v>
      </c>
      <c r="X468" s="396">
        <v>-6258562</v>
      </c>
      <c r="Y468" s="396"/>
      <c r="Z468" s="396"/>
    </row>
    <row r="469" spans="1:26">
      <c r="A469" s="390">
        <v>94917</v>
      </c>
      <c r="B469" s="391" t="s">
        <v>1172</v>
      </c>
      <c r="C469" s="234">
        <v>3.6900000000000002E-5</v>
      </c>
      <c r="D469" s="234">
        <v>3.1099999999999997E-5</v>
      </c>
      <c r="E469" s="231">
        <v>56590</v>
      </c>
      <c r="F469" s="231" t="s">
        <v>1924</v>
      </c>
      <c r="G469" s="392">
        <v>18003</v>
      </c>
      <c r="H469" s="392">
        <v>0</v>
      </c>
      <c r="I469" s="392">
        <v>35553</v>
      </c>
      <c r="J469" s="231">
        <v>36764</v>
      </c>
      <c r="K469" s="231">
        <v>90320</v>
      </c>
      <c r="L469" s="231"/>
      <c r="M469" s="300">
        <v>0</v>
      </c>
      <c r="N469" s="300">
        <v>80850</v>
      </c>
      <c r="O469" s="300">
        <v>0</v>
      </c>
      <c r="P469" s="231">
        <v>0</v>
      </c>
      <c r="Q469" s="231">
        <v>80850</v>
      </c>
      <c r="R469" s="231"/>
      <c r="S469" s="392">
        <v>24415</v>
      </c>
      <c r="T469" s="231">
        <v>17538</v>
      </c>
      <c r="U469" s="396">
        <v>41953</v>
      </c>
      <c r="V469" s="231"/>
      <c r="W469" s="396">
        <v>219676</v>
      </c>
      <c r="X469" s="396">
        <v>-77622</v>
      </c>
      <c r="Y469" s="396"/>
      <c r="Z469" s="396"/>
    </row>
    <row r="470" spans="1:26">
      <c r="A470" s="390">
        <v>94921</v>
      </c>
      <c r="B470" s="391" t="s">
        <v>1173</v>
      </c>
      <c r="C470" s="234">
        <v>4.0705999999999997E-3</v>
      </c>
      <c r="D470" s="234">
        <v>3.7566000000000001E-3</v>
      </c>
      <c r="E470" s="231">
        <v>6242656</v>
      </c>
      <c r="F470" s="231" t="s">
        <v>1924</v>
      </c>
      <c r="G470" s="392">
        <v>1986013</v>
      </c>
      <c r="H470" s="392">
        <v>0</v>
      </c>
      <c r="I470" s="392">
        <v>3921982</v>
      </c>
      <c r="J470" s="231">
        <v>364084</v>
      </c>
      <c r="K470" s="231">
        <v>6272079</v>
      </c>
      <c r="L470" s="231"/>
      <c r="M470" s="300">
        <v>0</v>
      </c>
      <c r="N470" s="300">
        <v>8918880</v>
      </c>
      <c r="O470" s="300">
        <v>0</v>
      </c>
      <c r="P470" s="231">
        <v>219655</v>
      </c>
      <c r="Q470" s="231">
        <v>9138535</v>
      </c>
      <c r="R470" s="231"/>
      <c r="S470" s="392">
        <v>2693280</v>
      </c>
      <c r="T470" s="231">
        <v>-1663</v>
      </c>
      <c r="U470" s="396">
        <v>2691617</v>
      </c>
      <c r="V470" s="231"/>
      <c r="W470" s="396">
        <v>24233470</v>
      </c>
      <c r="X470" s="396">
        <v>-8562821</v>
      </c>
      <c r="Y470" s="396"/>
      <c r="Z470" s="396"/>
    </row>
    <row r="471" spans="1:26">
      <c r="A471" s="390">
        <v>94923</v>
      </c>
      <c r="B471" s="391" t="s">
        <v>1174</v>
      </c>
      <c r="C471" s="234">
        <v>2.41E-5</v>
      </c>
      <c r="D471" s="234">
        <v>2.6299999999999999E-5</v>
      </c>
      <c r="E471" s="231">
        <v>36960</v>
      </c>
      <c r="F471" s="231" t="s">
        <v>1924</v>
      </c>
      <c r="G471" s="392">
        <v>11758</v>
      </c>
      <c r="H471" s="392">
        <v>0</v>
      </c>
      <c r="I471" s="392">
        <v>23220</v>
      </c>
      <c r="J471" s="231">
        <v>3451</v>
      </c>
      <c r="K471" s="231">
        <v>38429</v>
      </c>
      <c r="L471" s="231"/>
      <c r="M471" s="300">
        <v>0</v>
      </c>
      <c r="N471" s="300">
        <v>52804</v>
      </c>
      <c r="O471" s="300">
        <v>0</v>
      </c>
      <c r="P471" s="231">
        <v>0</v>
      </c>
      <c r="Q471" s="231">
        <v>52804</v>
      </c>
      <c r="R471" s="231"/>
      <c r="S471" s="392">
        <v>15946</v>
      </c>
      <c r="T471" s="231">
        <v>2599</v>
      </c>
      <c r="U471" s="396">
        <v>18545</v>
      </c>
      <c r="V471" s="231"/>
      <c r="W471" s="396">
        <v>143474</v>
      </c>
      <c r="X471" s="396">
        <v>-50696</v>
      </c>
      <c r="Y471" s="396"/>
      <c r="Z471" s="396"/>
    </row>
    <row r="472" spans="1:26">
      <c r="A472" s="390">
        <v>94927</v>
      </c>
      <c r="B472" s="391" t="s">
        <v>1175</v>
      </c>
      <c r="C472" s="234">
        <v>2.3600000000000001E-5</v>
      </c>
      <c r="D472" s="234">
        <v>2.26E-5</v>
      </c>
      <c r="E472" s="231">
        <v>36193</v>
      </c>
      <c r="F472" s="231" t="s">
        <v>1924</v>
      </c>
      <c r="G472" s="392">
        <v>11514</v>
      </c>
      <c r="H472" s="392">
        <v>0</v>
      </c>
      <c r="I472" s="392">
        <v>22738</v>
      </c>
      <c r="J472" s="231">
        <v>24485</v>
      </c>
      <c r="K472" s="231">
        <v>58737</v>
      </c>
      <c r="L472" s="231"/>
      <c r="M472" s="300">
        <v>0</v>
      </c>
      <c r="N472" s="300">
        <v>51709</v>
      </c>
      <c r="O472" s="300">
        <v>0</v>
      </c>
      <c r="P472" s="231">
        <v>0</v>
      </c>
      <c r="Q472" s="231">
        <v>51709</v>
      </c>
      <c r="R472" s="231"/>
      <c r="S472" s="392">
        <v>15615</v>
      </c>
      <c r="T472" s="231">
        <v>9872</v>
      </c>
      <c r="U472" s="396">
        <v>25487</v>
      </c>
      <c r="V472" s="231"/>
      <c r="W472" s="396">
        <v>140498</v>
      </c>
      <c r="X472" s="396">
        <v>-49644</v>
      </c>
      <c r="Y472" s="396"/>
      <c r="Z472" s="396"/>
    </row>
    <row r="473" spans="1:26">
      <c r="A473" s="390">
        <v>94931</v>
      </c>
      <c r="B473" s="391" t="s">
        <v>1176</v>
      </c>
      <c r="C473" s="234">
        <v>2.1660000000000001E-4</v>
      </c>
      <c r="D473" s="234">
        <v>1.9909999999999999E-4</v>
      </c>
      <c r="E473" s="231">
        <v>332177</v>
      </c>
      <c r="F473" s="231" t="s">
        <v>1924</v>
      </c>
      <c r="G473" s="392">
        <v>105677</v>
      </c>
      <c r="H473" s="392">
        <v>0</v>
      </c>
      <c r="I473" s="392">
        <v>208692</v>
      </c>
      <c r="J473" s="231">
        <v>33711</v>
      </c>
      <c r="K473" s="231">
        <v>348080</v>
      </c>
      <c r="L473" s="231"/>
      <c r="M473" s="300">
        <v>0</v>
      </c>
      <c r="N473" s="300">
        <v>474581</v>
      </c>
      <c r="O473" s="300">
        <v>0</v>
      </c>
      <c r="P473" s="231">
        <v>12246</v>
      </c>
      <c r="Q473" s="231">
        <v>486827</v>
      </c>
      <c r="R473" s="231"/>
      <c r="S473" s="392">
        <v>143312</v>
      </c>
      <c r="T473" s="231">
        <v>5175</v>
      </c>
      <c r="U473" s="396">
        <v>148487</v>
      </c>
      <c r="V473" s="231"/>
      <c r="W473" s="396">
        <v>1289483</v>
      </c>
      <c r="X473" s="396">
        <v>-455635</v>
      </c>
      <c r="Y473" s="396"/>
      <c r="Z473" s="396"/>
    </row>
    <row r="474" spans="1:26">
      <c r="A474" s="390">
        <v>94937</v>
      </c>
      <c r="B474" t="s">
        <v>1927</v>
      </c>
      <c r="C474" s="234">
        <v>8.6999999999999997E-6</v>
      </c>
      <c r="D474" s="234">
        <v>7.5000000000000002E-6</v>
      </c>
      <c r="E474" s="231">
        <v>13342</v>
      </c>
      <c r="F474" s="231" t="s">
        <v>1924</v>
      </c>
      <c r="G474" s="392">
        <v>4245</v>
      </c>
      <c r="H474" s="392">
        <v>0</v>
      </c>
      <c r="I474" s="392">
        <v>8382</v>
      </c>
      <c r="J474" s="231">
        <v>4963</v>
      </c>
      <c r="K474" s="231">
        <v>17590</v>
      </c>
      <c r="L474" s="231"/>
      <c r="M474" s="300">
        <v>0</v>
      </c>
      <c r="N474" s="300">
        <v>19062</v>
      </c>
      <c r="O474" s="300">
        <v>0</v>
      </c>
      <c r="P474" s="231">
        <v>0</v>
      </c>
      <c r="Q474" s="231">
        <v>19062</v>
      </c>
      <c r="R474" s="231"/>
      <c r="S474" s="392">
        <v>5756</v>
      </c>
      <c r="T474" s="231">
        <v>2238</v>
      </c>
      <c r="U474" s="396">
        <v>7994</v>
      </c>
      <c r="V474" s="231"/>
      <c r="W474" s="396">
        <v>51794</v>
      </c>
      <c r="X474" s="396">
        <v>-18301</v>
      </c>
      <c r="Y474" s="396"/>
      <c r="Z474" s="396"/>
    </row>
    <row r="475" spans="1:26">
      <c r="A475" s="390">
        <v>94941</v>
      </c>
      <c r="B475" s="391" t="s">
        <v>1177</v>
      </c>
      <c r="C475" s="234">
        <v>7.9999999999999996E-6</v>
      </c>
      <c r="D475" s="234">
        <v>5.5029999999999999E-4</v>
      </c>
      <c r="E475" s="231">
        <v>12269</v>
      </c>
      <c r="F475" s="231" t="s">
        <v>1924</v>
      </c>
      <c r="G475" s="392">
        <v>3903</v>
      </c>
      <c r="H475" s="392">
        <v>0</v>
      </c>
      <c r="I475" s="392">
        <v>7708</v>
      </c>
      <c r="J475" s="231">
        <v>7399</v>
      </c>
      <c r="K475" s="231">
        <v>19010</v>
      </c>
      <c r="L475" s="231"/>
      <c r="M475" s="300">
        <v>0</v>
      </c>
      <c r="N475" s="300">
        <v>17528</v>
      </c>
      <c r="O475" s="300">
        <v>0</v>
      </c>
      <c r="P475" s="231">
        <v>1072951</v>
      </c>
      <c r="Q475" s="231">
        <v>1090479</v>
      </c>
      <c r="R475" s="231"/>
      <c r="S475" s="392">
        <v>5293</v>
      </c>
      <c r="T475" s="231">
        <v>-374887</v>
      </c>
      <c r="U475" s="396">
        <v>-369594</v>
      </c>
      <c r="V475" s="231"/>
      <c r="W475" s="396">
        <v>47626</v>
      </c>
      <c r="X475" s="396">
        <v>-16829</v>
      </c>
      <c r="Y475" s="396"/>
      <c r="Z475" s="396"/>
    </row>
    <row r="476" spans="1:26">
      <c r="A476" s="390">
        <v>94947</v>
      </c>
      <c r="B476" t="s">
        <v>1928</v>
      </c>
      <c r="C476" s="234">
        <v>6.0000000000000002E-6</v>
      </c>
      <c r="D476" s="234">
        <v>5.4E-6</v>
      </c>
      <c r="E476" s="231">
        <v>9202</v>
      </c>
      <c r="F476" s="231" t="s">
        <v>1924</v>
      </c>
      <c r="G476" s="392">
        <v>2927</v>
      </c>
      <c r="H476" s="392">
        <v>0</v>
      </c>
      <c r="I476" s="392">
        <v>5781</v>
      </c>
      <c r="J476" s="231">
        <v>6432</v>
      </c>
      <c r="K476" s="231">
        <v>15140</v>
      </c>
      <c r="L476" s="231"/>
      <c r="M476" s="300">
        <v>0</v>
      </c>
      <c r="N476" s="300">
        <v>13146</v>
      </c>
      <c r="O476" s="300">
        <v>0</v>
      </c>
      <c r="P476" s="231">
        <v>0</v>
      </c>
      <c r="Q476" s="231">
        <v>13146</v>
      </c>
      <c r="R476" s="231"/>
      <c r="S476" s="392">
        <v>3970</v>
      </c>
      <c r="T476" s="231">
        <v>2783</v>
      </c>
      <c r="U476" s="396">
        <v>6753</v>
      </c>
      <c r="V476" s="231"/>
      <c r="W476" s="396">
        <v>35720</v>
      </c>
      <c r="X476" s="396">
        <v>-12621</v>
      </c>
      <c r="Y476" s="396"/>
      <c r="Z476" s="396"/>
    </row>
    <row r="477" spans="1:26">
      <c r="A477" s="390">
        <v>95001</v>
      </c>
      <c r="B477" s="391" t="s">
        <v>1178</v>
      </c>
      <c r="C477" s="234">
        <v>2.1762000000000001E-3</v>
      </c>
      <c r="D477" s="234">
        <v>2.2097000000000002E-3</v>
      </c>
      <c r="E477" s="231">
        <v>3337412</v>
      </c>
      <c r="F477" s="231" t="s">
        <v>1924</v>
      </c>
      <c r="G477" s="392">
        <v>1061751</v>
      </c>
      <c r="H477" s="392">
        <v>0</v>
      </c>
      <c r="I477" s="392">
        <v>2096747</v>
      </c>
      <c r="J477" s="231">
        <v>143326</v>
      </c>
      <c r="K477" s="231">
        <v>3301824</v>
      </c>
      <c r="L477" s="231"/>
      <c r="M477" s="300">
        <v>0</v>
      </c>
      <c r="N477" s="300">
        <v>4768159</v>
      </c>
      <c r="O477" s="300">
        <v>0</v>
      </c>
      <c r="P477" s="231">
        <v>12366</v>
      </c>
      <c r="Q477" s="231">
        <v>4780525</v>
      </c>
      <c r="R477" s="231"/>
      <c r="S477" s="392">
        <v>1439865</v>
      </c>
      <c r="T477" s="231">
        <v>75407</v>
      </c>
      <c r="U477" s="396">
        <v>1515272</v>
      </c>
      <c r="V477" s="231"/>
      <c r="W477" s="396">
        <v>12955554</v>
      </c>
      <c r="X477" s="396">
        <v>-4577804</v>
      </c>
      <c r="Y477" s="396"/>
      <c r="Z477" s="396"/>
    </row>
    <row r="478" spans="1:26">
      <c r="A478" s="390">
        <v>95002</v>
      </c>
      <c r="B478" s="391" t="s">
        <v>1179</v>
      </c>
      <c r="C478" s="234">
        <v>1.716E-4</v>
      </c>
      <c r="D478" s="234">
        <v>1.6760000000000001E-4</v>
      </c>
      <c r="E478" s="231">
        <v>263165</v>
      </c>
      <c r="F478" s="231" t="s">
        <v>1924</v>
      </c>
      <c r="G478" s="392">
        <v>83722</v>
      </c>
      <c r="H478" s="392">
        <v>0</v>
      </c>
      <c r="I478" s="392">
        <v>165335</v>
      </c>
      <c r="J478" s="231">
        <v>43907</v>
      </c>
      <c r="K478" s="231">
        <v>292964</v>
      </c>
      <c r="L478" s="231"/>
      <c r="M478" s="300">
        <v>0</v>
      </c>
      <c r="N478" s="300">
        <v>375984</v>
      </c>
      <c r="O478" s="300">
        <v>0</v>
      </c>
      <c r="P478" s="231">
        <v>0</v>
      </c>
      <c r="Q478" s="231">
        <v>375984</v>
      </c>
      <c r="R478" s="231"/>
      <c r="S478" s="392">
        <v>113538</v>
      </c>
      <c r="T478" s="231">
        <v>19081</v>
      </c>
      <c r="U478" s="396">
        <v>132619</v>
      </c>
      <c r="V478" s="231"/>
      <c r="W478" s="396">
        <v>1021585</v>
      </c>
      <c r="X478" s="396">
        <v>-360974</v>
      </c>
      <c r="Y478" s="396"/>
      <c r="Z478" s="396"/>
    </row>
    <row r="479" spans="1:26">
      <c r="A479" s="390">
        <v>95005</v>
      </c>
      <c r="B479" s="391" t="s">
        <v>1180</v>
      </c>
      <c r="C479" s="234">
        <v>1.874E-4</v>
      </c>
      <c r="D479" s="234">
        <v>1.6770000000000001E-4</v>
      </c>
      <c r="E479" s="231">
        <v>287396</v>
      </c>
      <c r="F479" s="231" t="s">
        <v>1924</v>
      </c>
      <c r="G479" s="392">
        <v>91431</v>
      </c>
      <c r="H479" s="392">
        <v>0</v>
      </c>
      <c r="I479" s="392">
        <v>180558</v>
      </c>
      <c r="J479" s="231">
        <v>50254</v>
      </c>
      <c r="K479" s="231">
        <v>322243</v>
      </c>
      <c r="L479" s="231"/>
      <c r="M479" s="300">
        <v>0</v>
      </c>
      <c r="N479" s="300">
        <v>410602</v>
      </c>
      <c r="O479" s="300">
        <v>0</v>
      </c>
      <c r="P479" s="231">
        <v>12088</v>
      </c>
      <c r="Q479" s="231">
        <v>422690</v>
      </c>
      <c r="R479" s="231"/>
      <c r="S479" s="392">
        <v>123992</v>
      </c>
      <c r="T479" s="231">
        <v>10020</v>
      </c>
      <c r="U479" s="396">
        <v>134012</v>
      </c>
      <c r="V479" s="231"/>
      <c r="W479" s="396">
        <v>1115647</v>
      </c>
      <c r="X479" s="396">
        <v>-394210</v>
      </c>
      <c r="Y479" s="396"/>
      <c r="Z479" s="396"/>
    </row>
    <row r="480" spans="1:26">
      <c r="A480" s="390">
        <v>95008</v>
      </c>
      <c r="B480" s="391" t="s">
        <v>1181</v>
      </c>
      <c r="C480" s="234">
        <v>1.228E-4</v>
      </c>
      <c r="D480" s="234">
        <v>1.225E-4</v>
      </c>
      <c r="E480" s="231">
        <v>188326</v>
      </c>
      <c r="F480" s="231" t="s">
        <v>1924</v>
      </c>
      <c r="G480" s="392">
        <v>59913</v>
      </c>
      <c r="H480" s="392">
        <v>0</v>
      </c>
      <c r="I480" s="392">
        <v>118317</v>
      </c>
      <c r="J480" s="231">
        <v>22115</v>
      </c>
      <c r="K480" s="231">
        <v>200345</v>
      </c>
      <c r="L480" s="231"/>
      <c r="M480" s="300">
        <v>0</v>
      </c>
      <c r="N480" s="300">
        <v>269061</v>
      </c>
      <c r="O480" s="300">
        <v>0</v>
      </c>
      <c r="P480" s="231">
        <v>0</v>
      </c>
      <c r="Q480" s="231">
        <v>269061</v>
      </c>
      <c r="R480" s="231"/>
      <c r="S480" s="392">
        <v>81250</v>
      </c>
      <c r="T480" s="231">
        <v>12949</v>
      </c>
      <c r="U480" s="396">
        <v>94199</v>
      </c>
      <c r="V480" s="231"/>
      <c r="W480" s="396">
        <v>731064</v>
      </c>
      <c r="X480" s="396">
        <v>-258319</v>
      </c>
      <c r="Y480" s="396"/>
      <c r="Z480" s="396"/>
    </row>
    <row r="481" spans="1:26">
      <c r="A481" s="390">
        <v>95009</v>
      </c>
      <c r="B481" s="391" t="s">
        <v>1182</v>
      </c>
      <c r="C481" s="234">
        <v>4.0679999999999996E-3</v>
      </c>
      <c r="D481" s="234">
        <v>3.8095E-3</v>
      </c>
      <c r="E481" s="231">
        <v>6238669</v>
      </c>
      <c r="F481" s="231" t="s">
        <v>1924</v>
      </c>
      <c r="G481" s="392">
        <v>1984745</v>
      </c>
      <c r="H481" s="392">
        <v>0</v>
      </c>
      <c r="I481" s="392">
        <v>3919477</v>
      </c>
      <c r="J481" s="231">
        <v>366382</v>
      </c>
      <c r="K481" s="231">
        <v>6270604</v>
      </c>
      <c r="L481" s="231"/>
      <c r="M481" s="300">
        <v>0</v>
      </c>
      <c r="N481" s="300">
        <v>8913183</v>
      </c>
      <c r="O481" s="300">
        <v>0</v>
      </c>
      <c r="P481" s="231">
        <v>385647</v>
      </c>
      <c r="Q481" s="231">
        <v>9298830</v>
      </c>
      <c r="R481" s="231"/>
      <c r="S481" s="392">
        <v>2691560</v>
      </c>
      <c r="T481" s="231">
        <v>-50144</v>
      </c>
      <c r="U481" s="396">
        <v>2641416</v>
      </c>
      <c r="V481" s="231"/>
      <c r="W481" s="396">
        <v>24217992</v>
      </c>
      <c r="X481" s="396">
        <v>-8557351</v>
      </c>
      <c r="Y481" s="396"/>
      <c r="Z481" s="396"/>
    </row>
    <row r="482" spans="1:26">
      <c r="A482" s="390">
        <v>95010</v>
      </c>
      <c r="B482" s="391" t="s">
        <v>3719</v>
      </c>
      <c r="C482" s="234">
        <v>2.2399999999999999E-5</v>
      </c>
      <c r="D482" s="234">
        <v>2.1299999999999999E-5</v>
      </c>
      <c r="E482" s="231">
        <v>34353</v>
      </c>
      <c r="F482" s="231" t="s">
        <v>1924</v>
      </c>
      <c r="G482" s="392">
        <v>10929</v>
      </c>
      <c r="H482" s="392">
        <v>0</v>
      </c>
      <c r="I482" s="392">
        <v>21582</v>
      </c>
      <c r="J482" s="231">
        <v>15790</v>
      </c>
      <c r="K482" s="231">
        <v>48301</v>
      </c>
      <c r="L482" s="231"/>
      <c r="M482" s="300">
        <v>0</v>
      </c>
      <c r="N482" s="300">
        <v>49079</v>
      </c>
      <c r="O482" s="300">
        <v>0</v>
      </c>
      <c r="P482" s="231">
        <v>1365</v>
      </c>
      <c r="Q482" s="231">
        <v>50444</v>
      </c>
      <c r="R482" s="231"/>
      <c r="S482" s="392">
        <v>14821</v>
      </c>
      <c r="T482" s="231">
        <v>7440</v>
      </c>
      <c r="U482" s="396">
        <v>22261</v>
      </c>
      <c r="V482" s="231"/>
      <c r="W482" s="396">
        <v>133354</v>
      </c>
      <c r="X482" s="396">
        <v>-47120</v>
      </c>
      <c r="Y482" s="396"/>
      <c r="Z482" s="396"/>
    </row>
    <row r="483" spans="1:26">
      <c r="A483" s="390">
        <v>95011</v>
      </c>
      <c r="B483" s="391" t="s">
        <v>1183</v>
      </c>
      <c r="C483" s="234">
        <v>1.808E-4</v>
      </c>
      <c r="D483" s="234">
        <v>1.7430000000000001E-4</v>
      </c>
      <c r="E483" s="231">
        <v>277274</v>
      </c>
      <c r="F483" s="231" t="s">
        <v>1924</v>
      </c>
      <c r="G483" s="392">
        <v>88211</v>
      </c>
      <c r="H483" s="392">
        <v>0</v>
      </c>
      <c r="I483" s="392">
        <v>174199</v>
      </c>
      <c r="J483" s="231">
        <v>8841</v>
      </c>
      <c r="K483" s="231">
        <v>271251</v>
      </c>
      <c r="L483" s="231"/>
      <c r="M483" s="300">
        <v>0</v>
      </c>
      <c r="N483" s="300">
        <v>396141</v>
      </c>
      <c r="O483" s="300">
        <v>0</v>
      </c>
      <c r="P483" s="231">
        <v>16087</v>
      </c>
      <c r="Q483" s="231">
        <v>412228</v>
      </c>
      <c r="R483" s="231"/>
      <c r="S483" s="392">
        <v>119625</v>
      </c>
      <c r="T483" s="231">
        <v>-3648</v>
      </c>
      <c r="U483" s="396">
        <v>115977</v>
      </c>
      <c r="V483" s="231"/>
      <c r="W483" s="396">
        <v>1076355</v>
      </c>
      <c r="X483" s="396">
        <v>-380327</v>
      </c>
      <c r="Y483" s="396"/>
      <c r="Z483" s="396"/>
    </row>
    <row r="484" spans="1:26">
      <c r="A484" s="390">
        <v>95017</v>
      </c>
      <c r="B484" s="391" t="s">
        <v>1184</v>
      </c>
      <c r="C484" s="234">
        <v>0</v>
      </c>
      <c r="D484" s="234">
        <v>4.2599999999999999E-5</v>
      </c>
      <c r="E484" s="231">
        <v>0</v>
      </c>
      <c r="F484" s="231" t="s">
        <v>1924</v>
      </c>
      <c r="G484" s="392">
        <v>0</v>
      </c>
      <c r="H484" s="392">
        <v>0</v>
      </c>
      <c r="I484" s="392">
        <v>0</v>
      </c>
      <c r="J484" s="231">
        <v>283</v>
      </c>
      <c r="K484" s="231">
        <v>283</v>
      </c>
      <c r="L484" s="231"/>
      <c r="M484" s="300">
        <v>0</v>
      </c>
      <c r="N484" s="300">
        <v>0</v>
      </c>
      <c r="O484" s="300">
        <v>0</v>
      </c>
      <c r="P484" s="231">
        <v>62258</v>
      </c>
      <c r="Q484" s="231">
        <v>62258</v>
      </c>
      <c r="R484" s="231"/>
      <c r="S484" s="392">
        <v>0</v>
      </c>
      <c r="T484" s="231">
        <v>-21934</v>
      </c>
      <c r="U484" s="396">
        <v>-21934</v>
      </c>
      <c r="V484" s="231"/>
      <c r="W484" s="396">
        <v>0</v>
      </c>
      <c r="X484" s="396">
        <v>0</v>
      </c>
      <c r="Y484" s="396"/>
      <c r="Z484" s="396"/>
    </row>
    <row r="485" spans="1:26">
      <c r="A485" s="390">
        <v>95101</v>
      </c>
      <c r="B485" s="391" t="s">
        <v>1185</v>
      </c>
      <c r="C485" s="234">
        <v>8.7860999999999998E-3</v>
      </c>
      <c r="D485" s="234">
        <v>8.9332000000000005E-3</v>
      </c>
      <c r="E485" s="231">
        <v>13474328</v>
      </c>
      <c r="F485" s="231" t="s">
        <v>1924</v>
      </c>
      <c r="G485" s="392">
        <v>4286668</v>
      </c>
      <c r="H485" s="392">
        <v>0</v>
      </c>
      <c r="I485" s="392">
        <v>8465319</v>
      </c>
      <c r="J485" s="231">
        <v>21360</v>
      </c>
      <c r="K485" s="231">
        <v>12773347</v>
      </c>
      <c r="L485" s="231"/>
      <c r="M485" s="300">
        <v>0</v>
      </c>
      <c r="N485" s="300">
        <v>19250767</v>
      </c>
      <c r="O485" s="300">
        <v>0</v>
      </c>
      <c r="P485" s="231">
        <v>425904</v>
      </c>
      <c r="Q485" s="231">
        <v>19676671</v>
      </c>
      <c r="R485" s="231"/>
      <c r="S485" s="392">
        <v>5813253</v>
      </c>
      <c r="T485" s="231">
        <v>-157097</v>
      </c>
      <c r="U485" s="396">
        <v>5656156</v>
      </c>
      <c r="V485" s="231"/>
      <c r="W485" s="396">
        <v>52306219</v>
      </c>
      <c r="X485" s="396">
        <v>-18482238</v>
      </c>
      <c r="Y485" s="396"/>
      <c r="Z485" s="396"/>
    </row>
    <row r="486" spans="1:26">
      <c r="A486" s="390">
        <v>95103</v>
      </c>
      <c r="B486" s="391" t="s">
        <v>1186</v>
      </c>
      <c r="C486" s="234">
        <v>4.7700000000000001E-5</v>
      </c>
      <c r="D486" s="234">
        <v>5.0000000000000002E-5</v>
      </c>
      <c r="E486" s="231">
        <v>73153</v>
      </c>
      <c r="F486" s="231" t="s">
        <v>1924</v>
      </c>
      <c r="G486" s="392">
        <v>23272</v>
      </c>
      <c r="H486" s="392">
        <v>0</v>
      </c>
      <c r="I486" s="392">
        <v>45958</v>
      </c>
      <c r="J486" s="231">
        <v>10986</v>
      </c>
      <c r="K486" s="231">
        <v>80216</v>
      </c>
      <c r="L486" s="231"/>
      <c r="M486" s="300">
        <v>0</v>
      </c>
      <c r="N486" s="300">
        <v>104513</v>
      </c>
      <c r="O486" s="300">
        <v>0</v>
      </c>
      <c r="P486" s="231">
        <v>2345</v>
      </c>
      <c r="Q486" s="231">
        <v>106858</v>
      </c>
      <c r="R486" s="231"/>
      <c r="S486" s="392">
        <v>31560</v>
      </c>
      <c r="T486" s="231">
        <v>4329</v>
      </c>
      <c r="U486" s="396">
        <v>35889</v>
      </c>
      <c r="V486" s="231"/>
      <c r="W486" s="396">
        <v>283972</v>
      </c>
      <c r="X486" s="396">
        <v>-100341</v>
      </c>
      <c r="Y486" s="396"/>
      <c r="Z486" s="396"/>
    </row>
    <row r="487" spans="1:26">
      <c r="A487" s="390">
        <v>95104</v>
      </c>
      <c r="B487" s="391" t="s">
        <v>1187</v>
      </c>
      <c r="C487" s="234">
        <v>1.271E-4</v>
      </c>
      <c r="D487" s="234">
        <v>1.1400000000000001E-4</v>
      </c>
      <c r="E487" s="231">
        <v>194920</v>
      </c>
      <c r="F487" s="231" t="s">
        <v>1924</v>
      </c>
      <c r="G487" s="392">
        <v>62011</v>
      </c>
      <c r="H487" s="392">
        <v>0</v>
      </c>
      <c r="I487" s="392">
        <v>122460</v>
      </c>
      <c r="J487" s="231">
        <v>82255</v>
      </c>
      <c r="K487" s="231">
        <v>266726</v>
      </c>
      <c r="L487" s="231"/>
      <c r="M487" s="300">
        <v>0</v>
      </c>
      <c r="N487" s="300">
        <v>278482</v>
      </c>
      <c r="O487" s="300">
        <v>0</v>
      </c>
      <c r="P487" s="231">
        <v>0</v>
      </c>
      <c r="Q487" s="231">
        <v>278482</v>
      </c>
      <c r="R487" s="231"/>
      <c r="S487" s="392">
        <v>84095</v>
      </c>
      <c r="T487" s="231">
        <v>35421</v>
      </c>
      <c r="U487" s="396">
        <v>119516</v>
      </c>
      <c r="V487" s="231"/>
      <c r="W487" s="396">
        <v>756663</v>
      </c>
      <c r="X487" s="396">
        <v>-267365</v>
      </c>
      <c r="Y487" s="396"/>
      <c r="Z487" s="396"/>
    </row>
    <row r="488" spans="1:26" ht="14.25" customHeight="1">
      <c r="A488" s="390">
        <v>95105</v>
      </c>
      <c r="B488" s="391" t="s">
        <v>1188</v>
      </c>
      <c r="C488" s="234">
        <v>5.63E-5</v>
      </c>
      <c r="D488" s="234">
        <v>8.0900000000000001E-5</v>
      </c>
      <c r="E488" s="231">
        <v>86341</v>
      </c>
      <c r="F488" s="231" t="s">
        <v>1924</v>
      </c>
      <c r="G488" s="392">
        <v>27468</v>
      </c>
      <c r="H488" s="392">
        <v>0</v>
      </c>
      <c r="I488" s="392">
        <v>54244</v>
      </c>
      <c r="J488" s="231">
        <v>10885</v>
      </c>
      <c r="K488" s="231">
        <v>92597</v>
      </c>
      <c r="L488" s="231"/>
      <c r="M488" s="300">
        <v>0</v>
      </c>
      <c r="N488" s="300">
        <v>123356</v>
      </c>
      <c r="O488" s="300">
        <v>0</v>
      </c>
      <c r="P488" s="231">
        <v>43414</v>
      </c>
      <c r="Q488" s="231">
        <v>166770</v>
      </c>
      <c r="R488" s="231"/>
      <c r="S488" s="392">
        <v>37250</v>
      </c>
      <c r="T488" s="231">
        <v>-7628</v>
      </c>
      <c r="U488" s="396">
        <v>29622</v>
      </c>
      <c r="V488" s="231"/>
      <c r="W488" s="396">
        <v>335170</v>
      </c>
      <c r="X488" s="396">
        <v>-118431</v>
      </c>
      <c r="Y488" s="396"/>
      <c r="Z488" s="396"/>
    </row>
    <row r="489" spans="1:26" ht="14.25" customHeight="1">
      <c r="A489" s="390">
        <v>95106</v>
      </c>
      <c r="B489" s="391" t="s">
        <v>1189</v>
      </c>
      <c r="C489" s="234">
        <v>1.5800000000000001E-5</v>
      </c>
      <c r="D489" s="234">
        <v>1.1800000000000001E-5</v>
      </c>
      <c r="E489" s="231">
        <v>24231</v>
      </c>
      <c r="F489" s="231" t="s">
        <v>1924</v>
      </c>
      <c r="G489" s="392">
        <v>7709</v>
      </c>
      <c r="H489" s="392">
        <v>0</v>
      </c>
      <c r="I489" s="392">
        <v>15223</v>
      </c>
      <c r="J489" s="231">
        <v>12820</v>
      </c>
      <c r="K489" s="231">
        <v>35752</v>
      </c>
      <c r="L489" s="231"/>
      <c r="M489" s="300">
        <v>0</v>
      </c>
      <c r="N489" s="300">
        <v>34619</v>
      </c>
      <c r="O489" s="300">
        <v>0</v>
      </c>
      <c r="P489" s="231">
        <v>0</v>
      </c>
      <c r="Q489" s="231">
        <v>34619</v>
      </c>
      <c r="R489" s="231"/>
      <c r="S489" s="392">
        <v>10454</v>
      </c>
      <c r="T489" s="231">
        <v>4468</v>
      </c>
      <c r="U489" s="396">
        <v>14922</v>
      </c>
      <c r="V489" s="231"/>
      <c r="W489" s="396">
        <v>94062</v>
      </c>
      <c r="X489" s="396">
        <v>-33237</v>
      </c>
      <c r="Y489" s="396"/>
      <c r="Z489" s="396"/>
    </row>
    <row r="490" spans="1:26">
      <c r="A490" s="390">
        <v>95110</v>
      </c>
      <c r="B490" s="391" t="s">
        <v>1190</v>
      </c>
      <c r="C490" s="234">
        <v>2.4620000000000002E-3</v>
      </c>
      <c r="D490" s="234">
        <v>2.7829999999999999E-3</v>
      </c>
      <c r="E490" s="231">
        <v>3775713</v>
      </c>
      <c r="F490" s="231" t="s">
        <v>1924</v>
      </c>
      <c r="G490" s="392">
        <v>1201190</v>
      </c>
      <c r="H490" s="392">
        <v>0</v>
      </c>
      <c r="I490" s="392">
        <v>2372112</v>
      </c>
      <c r="J490" s="231">
        <v>0</v>
      </c>
      <c r="K490" s="231">
        <v>3573302</v>
      </c>
      <c r="L490" s="231"/>
      <c r="M490" s="300">
        <v>0</v>
      </c>
      <c r="N490" s="300">
        <v>5394360</v>
      </c>
      <c r="O490" s="300">
        <v>0</v>
      </c>
      <c r="P490" s="231">
        <v>658498</v>
      </c>
      <c r="Q490" s="231">
        <v>6052858</v>
      </c>
      <c r="R490" s="231"/>
      <c r="S490" s="392">
        <v>1628963</v>
      </c>
      <c r="T490" s="231">
        <v>-354566</v>
      </c>
      <c r="U490" s="396">
        <v>1274397</v>
      </c>
      <c r="V490" s="231"/>
      <c r="W490" s="396">
        <v>14657005</v>
      </c>
      <c r="X490" s="396">
        <v>-5179007</v>
      </c>
      <c r="Y490" s="396"/>
      <c r="Z490" s="396"/>
    </row>
    <row r="491" spans="1:26">
      <c r="A491" s="390">
        <v>95111</v>
      </c>
      <c r="B491" s="391" t="s">
        <v>1191</v>
      </c>
      <c r="C491" s="234">
        <v>9.366E-4</v>
      </c>
      <c r="D491" s="234">
        <v>9.9339999999999997E-4</v>
      </c>
      <c r="E491" s="231">
        <v>1436366</v>
      </c>
      <c r="F491" s="231" t="s">
        <v>1924</v>
      </c>
      <c r="G491" s="392">
        <v>456960</v>
      </c>
      <c r="H491" s="392">
        <v>0</v>
      </c>
      <c r="I491" s="392">
        <v>902405</v>
      </c>
      <c r="J491" s="231">
        <v>0</v>
      </c>
      <c r="K491" s="231">
        <v>1359365</v>
      </c>
      <c r="L491" s="231"/>
      <c r="M491" s="300">
        <v>0</v>
      </c>
      <c r="N491" s="300">
        <v>2052136</v>
      </c>
      <c r="O491" s="300">
        <v>0</v>
      </c>
      <c r="P491" s="231">
        <v>150612</v>
      </c>
      <c r="Q491" s="231">
        <v>2202748</v>
      </c>
      <c r="R491" s="231"/>
      <c r="S491" s="392">
        <v>619694</v>
      </c>
      <c r="T491" s="231">
        <v>-69831</v>
      </c>
      <c r="U491" s="396">
        <v>549863</v>
      </c>
      <c r="V491" s="231"/>
      <c r="W491" s="396">
        <v>5575853</v>
      </c>
      <c r="X491" s="396">
        <v>-1970210</v>
      </c>
      <c r="Y491" s="396"/>
      <c r="Z491" s="396"/>
    </row>
    <row r="492" spans="1:26">
      <c r="A492" s="390">
        <v>95113</v>
      </c>
      <c r="B492" s="391" t="s">
        <v>1192</v>
      </c>
      <c r="C492" s="234">
        <v>4.9599999999999999E-5</v>
      </c>
      <c r="D492" s="234">
        <v>4.4799999999999998E-5</v>
      </c>
      <c r="E492" s="231">
        <v>76066</v>
      </c>
      <c r="F492" s="231" t="s">
        <v>1924</v>
      </c>
      <c r="G492" s="392">
        <v>24199</v>
      </c>
      <c r="H492" s="392">
        <v>0</v>
      </c>
      <c r="I492" s="392">
        <v>47789</v>
      </c>
      <c r="J492" s="231">
        <v>89831</v>
      </c>
      <c r="K492" s="231">
        <v>161819</v>
      </c>
      <c r="L492" s="231"/>
      <c r="M492" s="300">
        <v>0</v>
      </c>
      <c r="N492" s="300">
        <v>108676</v>
      </c>
      <c r="O492" s="300">
        <v>0</v>
      </c>
      <c r="P492" s="231">
        <v>0</v>
      </c>
      <c r="Q492" s="231">
        <v>108676</v>
      </c>
      <c r="R492" s="231"/>
      <c r="S492" s="392">
        <v>32817</v>
      </c>
      <c r="T492" s="231">
        <v>49971</v>
      </c>
      <c r="U492" s="396">
        <v>82788</v>
      </c>
      <c r="V492" s="231"/>
      <c r="W492" s="396">
        <v>295283</v>
      </c>
      <c r="X492" s="396">
        <v>-104337</v>
      </c>
      <c r="Y492" s="396"/>
      <c r="Z492" s="396"/>
    </row>
    <row r="493" spans="1:26">
      <c r="A493" s="390">
        <v>95121</v>
      </c>
      <c r="B493" s="391" t="s">
        <v>1193</v>
      </c>
      <c r="C493" s="234">
        <v>5.1400000000000003E-4</v>
      </c>
      <c r="D493" s="234">
        <v>5.107E-4</v>
      </c>
      <c r="E493" s="231">
        <v>788268</v>
      </c>
      <c r="F493" s="231" t="s">
        <v>1924</v>
      </c>
      <c r="G493" s="392">
        <v>250776</v>
      </c>
      <c r="H493" s="392">
        <v>0</v>
      </c>
      <c r="I493" s="392">
        <v>495234</v>
      </c>
      <c r="J493" s="231">
        <v>30633</v>
      </c>
      <c r="K493" s="231">
        <v>776643</v>
      </c>
      <c r="L493" s="231"/>
      <c r="M493" s="300">
        <v>0</v>
      </c>
      <c r="N493" s="300">
        <v>1126199</v>
      </c>
      <c r="O493" s="300">
        <v>0</v>
      </c>
      <c r="P493" s="231">
        <v>29802</v>
      </c>
      <c r="Q493" s="231">
        <v>1156001</v>
      </c>
      <c r="R493" s="231"/>
      <c r="S493" s="392">
        <v>340084</v>
      </c>
      <c r="T493" s="231">
        <v>2321</v>
      </c>
      <c r="U493" s="396">
        <v>342405</v>
      </c>
      <c r="V493" s="231"/>
      <c r="W493" s="396">
        <v>3059992</v>
      </c>
      <c r="X493" s="396">
        <v>-1081239</v>
      </c>
      <c r="Y493" s="396"/>
      <c r="Z493" s="396"/>
    </row>
    <row r="494" spans="1:26">
      <c r="A494" s="390">
        <v>95122</v>
      </c>
      <c r="B494" s="391" t="s">
        <v>1194</v>
      </c>
      <c r="C494" s="234">
        <v>2.34E-5</v>
      </c>
      <c r="D494" s="234">
        <v>1.73E-5</v>
      </c>
      <c r="E494" s="231">
        <v>35886</v>
      </c>
      <c r="F494" s="231" t="s">
        <v>1924</v>
      </c>
      <c r="G494" s="392">
        <v>11417</v>
      </c>
      <c r="H494" s="392">
        <v>0</v>
      </c>
      <c r="I494" s="392">
        <v>22546</v>
      </c>
      <c r="J494" s="231">
        <v>22693</v>
      </c>
      <c r="K494" s="231">
        <v>56656</v>
      </c>
      <c r="L494" s="231"/>
      <c r="M494" s="300">
        <v>0</v>
      </c>
      <c r="N494" s="300">
        <v>51271</v>
      </c>
      <c r="O494" s="300">
        <v>0</v>
      </c>
      <c r="P494" s="231">
        <v>0</v>
      </c>
      <c r="Q494" s="231">
        <v>51271</v>
      </c>
      <c r="R494" s="231"/>
      <c r="S494" s="392">
        <v>15482</v>
      </c>
      <c r="T494" s="231">
        <v>9755</v>
      </c>
      <c r="U494" s="396">
        <v>25237</v>
      </c>
      <c r="V494" s="231"/>
      <c r="W494" s="396">
        <v>139307</v>
      </c>
      <c r="X494" s="396">
        <v>-49224</v>
      </c>
      <c r="Y494" s="396"/>
      <c r="Z494" s="396"/>
    </row>
    <row r="495" spans="1:26">
      <c r="A495" s="390">
        <v>95123</v>
      </c>
      <c r="B495" s="391" t="s">
        <v>1195</v>
      </c>
      <c r="C495" s="234">
        <v>5.6799999999999998E-5</v>
      </c>
      <c r="D495" s="234">
        <v>5.3399999999999997E-5</v>
      </c>
      <c r="E495" s="231">
        <v>87108</v>
      </c>
      <c r="F495" s="231" t="s">
        <v>1924</v>
      </c>
      <c r="G495" s="392">
        <v>27712</v>
      </c>
      <c r="H495" s="392">
        <v>0</v>
      </c>
      <c r="I495" s="392">
        <v>54726</v>
      </c>
      <c r="J495" s="231">
        <v>2320</v>
      </c>
      <c r="K495" s="231">
        <v>84758</v>
      </c>
      <c r="L495" s="231"/>
      <c r="M495" s="300">
        <v>0</v>
      </c>
      <c r="N495" s="300">
        <v>124452</v>
      </c>
      <c r="O495" s="300">
        <v>0</v>
      </c>
      <c r="P495" s="231">
        <v>825</v>
      </c>
      <c r="Q495" s="231">
        <v>125277</v>
      </c>
      <c r="R495" s="231"/>
      <c r="S495" s="392">
        <v>37581</v>
      </c>
      <c r="T495" s="231">
        <v>1444</v>
      </c>
      <c r="U495" s="396">
        <v>39025</v>
      </c>
      <c r="V495" s="231"/>
      <c r="W495" s="396">
        <v>338147</v>
      </c>
      <c r="X495" s="396">
        <v>-119483</v>
      </c>
      <c r="Y495" s="396"/>
      <c r="Z495" s="396"/>
    </row>
    <row r="496" spans="1:26">
      <c r="A496" s="390">
        <v>95131</v>
      </c>
      <c r="B496" s="391" t="s">
        <v>1196</v>
      </c>
      <c r="C496" s="234">
        <v>1.8209000000000001E-3</v>
      </c>
      <c r="D496" s="234">
        <v>1.8569999999999999E-3</v>
      </c>
      <c r="E496" s="231">
        <v>2792525</v>
      </c>
      <c r="F496" s="231" t="s">
        <v>1924</v>
      </c>
      <c r="G496" s="392">
        <v>888403</v>
      </c>
      <c r="H496" s="392">
        <v>0</v>
      </c>
      <c r="I496" s="392">
        <v>1754419</v>
      </c>
      <c r="J496" s="231">
        <v>68438</v>
      </c>
      <c r="K496" s="231">
        <v>2711260</v>
      </c>
      <c r="L496" s="231"/>
      <c r="M496" s="300">
        <v>0</v>
      </c>
      <c r="N496" s="300">
        <v>3989679</v>
      </c>
      <c r="O496" s="300">
        <v>0</v>
      </c>
      <c r="P496" s="231">
        <v>47591</v>
      </c>
      <c r="Q496" s="231">
        <v>4037270</v>
      </c>
      <c r="R496" s="231"/>
      <c r="S496" s="392">
        <v>1204784</v>
      </c>
      <c r="T496" s="231">
        <v>38863</v>
      </c>
      <c r="U496" s="396">
        <v>1243647</v>
      </c>
      <c r="V496" s="231"/>
      <c r="W496" s="396">
        <v>10840349</v>
      </c>
      <c r="X496" s="396">
        <v>-3830403</v>
      </c>
      <c r="Y496" s="396"/>
      <c r="Z496" s="396"/>
    </row>
    <row r="497" spans="1:26">
      <c r="A497" s="390">
        <v>95141</v>
      </c>
      <c r="B497" s="391" t="s">
        <v>1197</v>
      </c>
      <c r="C497" s="234">
        <v>4.2129999999999999E-4</v>
      </c>
      <c r="D497" s="234">
        <v>3.8630000000000001E-4</v>
      </c>
      <c r="E497" s="231">
        <v>646104</v>
      </c>
      <c r="F497" s="231" t="s">
        <v>1924</v>
      </c>
      <c r="G497" s="392">
        <v>205549</v>
      </c>
      <c r="H497" s="392">
        <v>0</v>
      </c>
      <c r="I497" s="392">
        <v>405918</v>
      </c>
      <c r="J497" s="231">
        <v>41617</v>
      </c>
      <c r="K497" s="231">
        <v>653084</v>
      </c>
      <c r="L497" s="231"/>
      <c r="M497" s="300">
        <v>0</v>
      </c>
      <c r="N497" s="300">
        <v>923089</v>
      </c>
      <c r="O497" s="300">
        <v>0</v>
      </c>
      <c r="P497" s="231">
        <v>1719</v>
      </c>
      <c r="Q497" s="231">
        <v>924808</v>
      </c>
      <c r="R497" s="231"/>
      <c r="S497" s="392">
        <v>278750</v>
      </c>
      <c r="T497" s="231">
        <v>13075</v>
      </c>
      <c r="U497" s="396">
        <v>291825</v>
      </c>
      <c r="V497" s="231"/>
      <c r="W497" s="396">
        <v>2508122</v>
      </c>
      <c r="X497" s="396">
        <v>-886237</v>
      </c>
      <c r="Y497" s="396"/>
      <c r="Z497" s="396"/>
    </row>
    <row r="498" spans="1:26">
      <c r="A498" s="390">
        <v>95151</v>
      </c>
      <c r="B498" s="391" t="s">
        <v>1198</v>
      </c>
      <c r="C498" s="234">
        <v>1.2540000000000001E-4</v>
      </c>
      <c r="D498" s="234">
        <v>1.197E-4</v>
      </c>
      <c r="E498" s="231">
        <v>192313</v>
      </c>
      <c r="F498" s="231" t="s">
        <v>1924</v>
      </c>
      <c r="G498" s="392">
        <v>61182</v>
      </c>
      <c r="H498" s="392">
        <v>0</v>
      </c>
      <c r="I498" s="392">
        <v>120822</v>
      </c>
      <c r="J498" s="231">
        <v>5934</v>
      </c>
      <c r="K498" s="231">
        <v>187938</v>
      </c>
      <c r="L498" s="231"/>
      <c r="M498" s="300">
        <v>0</v>
      </c>
      <c r="N498" s="300">
        <v>274757</v>
      </c>
      <c r="O498" s="300">
        <v>0</v>
      </c>
      <c r="P498" s="231">
        <v>3255</v>
      </c>
      <c r="Q498" s="231">
        <v>278012</v>
      </c>
      <c r="R498" s="231"/>
      <c r="S498" s="392">
        <v>82970</v>
      </c>
      <c r="T498" s="231">
        <v>-589</v>
      </c>
      <c r="U498" s="396">
        <v>82381</v>
      </c>
      <c r="V498" s="231"/>
      <c r="W498" s="396">
        <v>746543</v>
      </c>
      <c r="X498" s="396">
        <v>-263789</v>
      </c>
      <c r="Y498" s="396"/>
      <c r="Z498" s="396"/>
    </row>
    <row r="499" spans="1:26">
      <c r="A499" s="390">
        <v>95161</v>
      </c>
      <c r="B499" s="391" t="s">
        <v>1199</v>
      </c>
      <c r="C499" s="234">
        <v>6.8200000000000004E-5</v>
      </c>
      <c r="D499" s="234">
        <v>7.36E-5</v>
      </c>
      <c r="E499" s="231">
        <v>104591</v>
      </c>
      <c r="F499" s="231" t="s">
        <v>1924</v>
      </c>
      <c r="G499" s="392">
        <v>33274</v>
      </c>
      <c r="H499" s="392">
        <v>0</v>
      </c>
      <c r="I499" s="392">
        <v>65710</v>
      </c>
      <c r="J499" s="231">
        <v>7570</v>
      </c>
      <c r="K499" s="231">
        <v>106554</v>
      </c>
      <c r="L499" s="231"/>
      <c r="M499" s="300">
        <v>0</v>
      </c>
      <c r="N499" s="300">
        <v>149429</v>
      </c>
      <c r="O499" s="300">
        <v>0</v>
      </c>
      <c r="P499" s="231">
        <v>7730</v>
      </c>
      <c r="Q499" s="231">
        <v>157159</v>
      </c>
      <c r="R499" s="231"/>
      <c r="S499" s="392">
        <v>45124</v>
      </c>
      <c r="T499" s="231">
        <v>2277</v>
      </c>
      <c r="U499" s="396">
        <v>47401</v>
      </c>
      <c r="V499" s="231"/>
      <c r="W499" s="396">
        <v>406015</v>
      </c>
      <c r="X499" s="396">
        <v>-143464</v>
      </c>
      <c r="Y499" s="396"/>
      <c r="Z499" s="396"/>
    </row>
    <row r="500" spans="1:26">
      <c r="A500" s="390">
        <v>95171</v>
      </c>
      <c r="B500" s="391" t="s">
        <v>1200</v>
      </c>
      <c r="C500" s="234">
        <v>1.0009999999999999E-4</v>
      </c>
      <c r="D500" s="234">
        <v>1.2229999999999999E-4</v>
      </c>
      <c r="E500" s="231">
        <v>153513</v>
      </c>
      <c r="F500" s="231" t="s">
        <v>1924</v>
      </c>
      <c r="G500" s="392">
        <v>48838</v>
      </c>
      <c r="H500" s="392">
        <v>0</v>
      </c>
      <c r="I500" s="392">
        <v>96445</v>
      </c>
      <c r="J500" s="231">
        <v>21422</v>
      </c>
      <c r="K500" s="231">
        <v>166705</v>
      </c>
      <c r="L500" s="231"/>
      <c r="M500" s="300">
        <v>0</v>
      </c>
      <c r="N500" s="300">
        <v>219324</v>
      </c>
      <c r="O500" s="300">
        <v>0</v>
      </c>
      <c r="P500" s="231">
        <v>39069</v>
      </c>
      <c r="Q500" s="231">
        <v>258393</v>
      </c>
      <c r="R500" s="231"/>
      <c r="S500" s="392">
        <v>66230</v>
      </c>
      <c r="T500" s="231">
        <v>-5590</v>
      </c>
      <c r="U500" s="396">
        <v>60640</v>
      </c>
      <c r="V500" s="231"/>
      <c r="W500" s="396">
        <v>595925</v>
      </c>
      <c r="X500" s="396">
        <v>-210568</v>
      </c>
      <c r="Y500" s="396"/>
      <c r="Z500" s="396"/>
    </row>
    <row r="501" spans="1:26">
      <c r="A501" s="390">
        <v>95181</v>
      </c>
      <c r="B501" s="391" t="s">
        <v>1201</v>
      </c>
      <c r="C501" s="234">
        <v>7.36E-5</v>
      </c>
      <c r="D501" s="234">
        <v>7.2100000000000004E-5</v>
      </c>
      <c r="E501" s="231">
        <v>112873</v>
      </c>
      <c r="F501" s="231" t="s">
        <v>1924</v>
      </c>
      <c r="G501" s="392">
        <v>35909</v>
      </c>
      <c r="H501" s="392">
        <v>0</v>
      </c>
      <c r="I501" s="392">
        <v>70913</v>
      </c>
      <c r="J501" s="231">
        <v>13247</v>
      </c>
      <c r="K501" s="231">
        <v>120069</v>
      </c>
      <c r="L501" s="231"/>
      <c r="M501" s="300">
        <v>0</v>
      </c>
      <c r="N501" s="300">
        <v>161261</v>
      </c>
      <c r="O501" s="300">
        <v>0</v>
      </c>
      <c r="P501" s="231">
        <v>7111</v>
      </c>
      <c r="Q501" s="231">
        <v>168372</v>
      </c>
      <c r="R501" s="231"/>
      <c r="S501" s="392">
        <v>48697</v>
      </c>
      <c r="T501" s="231">
        <v>915</v>
      </c>
      <c r="U501" s="396">
        <v>49612</v>
      </c>
      <c r="V501" s="231"/>
      <c r="W501" s="396">
        <v>438162</v>
      </c>
      <c r="X501" s="396">
        <v>-154823</v>
      </c>
      <c r="Y501" s="396"/>
      <c r="Z501" s="396"/>
    </row>
    <row r="502" spans="1:26">
      <c r="A502" s="390">
        <v>95191</v>
      </c>
      <c r="B502" s="391" t="s">
        <v>1202</v>
      </c>
      <c r="C502" s="234">
        <v>7.0400000000000004E-5</v>
      </c>
      <c r="D502" s="234">
        <v>7.36E-5</v>
      </c>
      <c r="E502" s="231">
        <v>107965</v>
      </c>
      <c r="F502" s="231" t="s">
        <v>1924</v>
      </c>
      <c r="G502" s="392">
        <v>34348</v>
      </c>
      <c r="H502" s="392">
        <v>0</v>
      </c>
      <c r="I502" s="392">
        <v>67830</v>
      </c>
      <c r="J502" s="231">
        <v>25508</v>
      </c>
      <c r="K502" s="231">
        <v>127686</v>
      </c>
      <c r="L502" s="231"/>
      <c r="M502" s="300">
        <v>0</v>
      </c>
      <c r="N502" s="300">
        <v>154250</v>
      </c>
      <c r="O502" s="300">
        <v>0</v>
      </c>
      <c r="P502" s="231">
        <v>0</v>
      </c>
      <c r="Q502" s="231">
        <v>154250</v>
      </c>
      <c r="R502" s="231"/>
      <c r="S502" s="392">
        <v>46580</v>
      </c>
      <c r="T502" s="231">
        <v>13190</v>
      </c>
      <c r="U502" s="396">
        <v>59770</v>
      </c>
      <c r="V502" s="231"/>
      <c r="W502" s="396">
        <v>419112</v>
      </c>
      <c r="X502" s="396">
        <v>-148092</v>
      </c>
      <c r="Y502" s="396"/>
      <c r="Z502" s="396"/>
    </row>
    <row r="503" spans="1:26">
      <c r="A503" s="390">
        <v>95201</v>
      </c>
      <c r="B503" s="391" t="s">
        <v>1203</v>
      </c>
      <c r="C503" s="234">
        <v>6.3869999999999997E-4</v>
      </c>
      <c r="D503" s="234">
        <v>7.048E-4</v>
      </c>
      <c r="E503" s="231">
        <v>979508</v>
      </c>
      <c r="F503" s="231" t="s">
        <v>1924</v>
      </c>
      <c r="G503" s="392">
        <v>311617</v>
      </c>
      <c r="H503" s="392">
        <v>0</v>
      </c>
      <c r="I503" s="392">
        <v>615381</v>
      </c>
      <c r="J503" s="231">
        <v>28834</v>
      </c>
      <c r="K503" s="231">
        <v>955832</v>
      </c>
      <c r="L503" s="231"/>
      <c r="M503" s="300">
        <v>0</v>
      </c>
      <c r="N503" s="300">
        <v>1399422</v>
      </c>
      <c r="O503" s="300">
        <v>0</v>
      </c>
      <c r="P503" s="231">
        <v>148537</v>
      </c>
      <c r="Q503" s="231">
        <v>1547959</v>
      </c>
      <c r="R503" s="231"/>
      <c r="S503" s="392">
        <v>422591</v>
      </c>
      <c r="T503" s="231">
        <v>-41950</v>
      </c>
      <c r="U503" s="396">
        <v>380641</v>
      </c>
      <c r="V503" s="231"/>
      <c r="W503" s="396">
        <v>3802368</v>
      </c>
      <c r="X503" s="396">
        <v>-1343555</v>
      </c>
      <c r="Y503" s="396"/>
      <c r="Z503" s="396"/>
    </row>
    <row r="504" spans="1:26">
      <c r="A504" s="390">
        <v>95204</v>
      </c>
      <c r="B504" s="391" t="s">
        <v>1204</v>
      </c>
      <c r="C504" s="234">
        <v>4.7999999999999998E-6</v>
      </c>
      <c r="D504" s="234">
        <v>8.6000000000000007E-6</v>
      </c>
      <c r="E504" s="231">
        <v>7361</v>
      </c>
      <c r="F504" s="231" t="s">
        <v>1924</v>
      </c>
      <c r="G504" s="392">
        <v>2342</v>
      </c>
      <c r="H504" s="392">
        <v>0</v>
      </c>
      <c r="I504" s="392">
        <v>4625</v>
      </c>
      <c r="J504" s="231">
        <v>3285</v>
      </c>
      <c r="K504" s="231">
        <v>10252</v>
      </c>
      <c r="L504" s="231"/>
      <c r="M504" s="300">
        <v>0</v>
      </c>
      <c r="N504" s="300">
        <v>10517</v>
      </c>
      <c r="O504" s="300">
        <v>0</v>
      </c>
      <c r="P504" s="231">
        <v>7002</v>
      </c>
      <c r="Q504" s="231">
        <v>17519</v>
      </c>
      <c r="R504" s="231"/>
      <c r="S504" s="392">
        <v>3176</v>
      </c>
      <c r="T504" s="231">
        <v>-440</v>
      </c>
      <c r="U504" s="396">
        <v>2736</v>
      </c>
      <c r="V504" s="231"/>
      <c r="W504" s="396">
        <v>28576</v>
      </c>
      <c r="X504" s="396">
        <v>-10097</v>
      </c>
      <c r="Y504" s="396"/>
      <c r="Z504" s="396"/>
    </row>
    <row r="505" spans="1:26">
      <c r="A505" s="390">
        <v>95205</v>
      </c>
      <c r="B505" s="391" t="s">
        <v>1205</v>
      </c>
      <c r="C505" s="234">
        <v>3.8999999999999999E-6</v>
      </c>
      <c r="D505" s="234">
        <v>2.6000000000000001E-6</v>
      </c>
      <c r="E505" s="231">
        <v>5981</v>
      </c>
      <c r="F505" s="231" t="s">
        <v>1924</v>
      </c>
      <c r="G505" s="392">
        <v>1903</v>
      </c>
      <c r="H505" s="392">
        <v>0</v>
      </c>
      <c r="I505" s="392">
        <v>3758</v>
      </c>
      <c r="J505" s="231">
        <v>4012</v>
      </c>
      <c r="K505" s="231">
        <v>9673</v>
      </c>
      <c r="L505" s="231"/>
      <c r="M505" s="300">
        <v>0</v>
      </c>
      <c r="N505" s="300">
        <v>8545</v>
      </c>
      <c r="O505" s="300">
        <v>0</v>
      </c>
      <c r="P505" s="231">
        <v>238</v>
      </c>
      <c r="Q505" s="231">
        <v>8783</v>
      </c>
      <c r="R505" s="231"/>
      <c r="S505" s="392">
        <v>2580</v>
      </c>
      <c r="T505" s="231">
        <v>1418</v>
      </c>
      <c r="U505" s="396">
        <v>3998</v>
      </c>
      <c r="V505" s="231"/>
      <c r="W505" s="396">
        <v>23218</v>
      </c>
      <c r="X505" s="396">
        <v>-8204</v>
      </c>
      <c r="Y505" s="396"/>
      <c r="Z505" s="396"/>
    </row>
    <row r="506" spans="1:26">
      <c r="A506" s="390">
        <v>95211</v>
      </c>
      <c r="B506" s="391" t="s">
        <v>1206</v>
      </c>
      <c r="C506" s="234">
        <v>1.7E-6</v>
      </c>
      <c r="D506" s="234">
        <v>1.7E-6</v>
      </c>
      <c r="E506" s="231">
        <v>2607</v>
      </c>
      <c r="F506" s="231" t="s">
        <v>1924</v>
      </c>
      <c r="G506" s="392">
        <v>829</v>
      </c>
      <c r="H506" s="392">
        <v>0</v>
      </c>
      <c r="I506" s="392">
        <v>1638</v>
      </c>
      <c r="J506" s="231">
        <v>801</v>
      </c>
      <c r="K506" s="231">
        <v>3268</v>
      </c>
      <c r="L506" s="231"/>
      <c r="M506" s="300">
        <v>0</v>
      </c>
      <c r="N506" s="300">
        <v>3725</v>
      </c>
      <c r="O506" s="300">
        <v>0</v>
      </c>
      <c r="P506" s="231">
        <v>2693</v>
      </c>
      <c r="Q506" s="231">
        <v>6418</v>
      </c>
      <c r="R506" s="231"/>
      <c r="S506" s="392">
        <v>1125</v>
      </c>
      <c r="T506" s="231">
        <v>-1329</v>
      </c>
      <c r="U506" s="396">
        <v>-204</v>
      </c>
      <c r="V506" s="231"/>
      <c r="W506" s="396">
        <v>10121</v>
      </c>
      <c r="X506" s="396">
        <v>-3576</v>
      </c>
      <c r="Y506" s="396"/>
      <c r="Z506" s="396"/>
    </row>
    <row r="507" spans="1:26">
      <c r="A507" s="390">
        <v>95221</v>
      </c>
      <c r="B507" s="391" t="s">
        <v>1207</v>
      </c>
      <c r="C507" s="234">
        <v>5.0599999999999997E-5</v>
      </c>
      <c r="D507" s="234">
        <v>4.2599999999999999E-5</v>
      </c>
      <c r="E507" s="231">
        <v>77600</v>
      </c>
      <c r="F507" s="231" t="s">
        <v>1924</v>
      </c>
      <c r="G507" s="392">
        <v>24687</v>
      </c>
      <c r="H507" s="392">
        <v>0</v>
      </c>
      <c r="I507" s="392">
        <v>48753</v>
      </c>
      <c r="J507" s="231">
        <v>12329</v>
      </c>
      <c r="K507" s="231">
        <v>85769</v>
      </c>
      <c r="L507" s="231"/>
      <c r="M507" s="300">
        <v>0</v>
      </c>
      <c r="N507" s="300">
        <v>110867</v>
      </c>
      <c r="O507" s="300">
        <v>0</v>
      </c>
      <c r="P507" s="231">
        <v>14366</v>
      </c>
      <c r="Q507" s="231">
        <v>125233</v>
      </c>
      <c r="R507" s="231"/>
      <c r="S507" s="392">
        <v>33479</v>
      </c>
      <c r="T507" s="231">
        <v>2585</v>
      </c>
      <c r="U507" s="396">
        <v>36064</v>
      </c>
      <c r="V507" s="231"/>
      <c r="W507" s="396">
        <v>301237</v>
      </c>
      <c r="X507" s="396">
        <v>-106441</v>
      </c>
      <c r="Y507" s="396"/>
      <c r="Z507" s="396"/>
    </row>
    <row r="508" spans="1:26">
      <c r="A508" s="390">
        <v>95301</v>
      </c>
      <c r="B508" s="391" t="s">
        <v>1208</v>
      </c>
      <c r="C508" s="234">
        <v>2.2288999999999998E-3</v>
      </c>
      <c r="D508" s="234">
        <v>2.2263999999999999E-3</v>
      </c>
      <c r="E508" s="231">
        <v>3418232</v>
      </c>
      <c r="F508" s="231" t="s">
        <v>1924</v>
      </c>
      <c r="G508" s="392">
        <v>1087462</v>
      </c>
      <c r="H508" s="392">
        <v>0</v>
      </c>
      <c r="I508" s="392">
        <v>2147523</v>
      </c>
      <c r="J508" s="231">
        <v>212865</v>
      </c>
      <c r="K508" s="231">
        <v>3447850</v>
      </c>
      <c r="L508" s="231"/>
      <c r="M508" s="300">
        <v>0</v>
      </c>
      <c r="N508" s="300">
        <v>4883627</v>
      </c>
      <c r="O508" s="300">
        <v>0</v>
      </c>
      <c r="P508" s="231">
        <v>48997</v>
      </c>
      <c r="Q508" s="231">
        <v>4932624</v>
      </c>
      <c r="R508" s="231"/>
      <c r="S508" s="392">
        <v>1474734</v>
      </c>
      <c r="T508" s="231">
        <v>66212</v>
      </c>
      <c r="U508" s="396">
        <v>1540946</v>
      </c>
      <c r="V508" s="231"/>
      <c r="W508" s="396">
        <v>13269293</v>
      </c>
      <c r="X508" s="396">
        <v>-4688663</v>
      </c>
      <c r="Y508" s="396"/>
      <c r="Z508" s="396"/>
    </row>
    <row r="509" spans="1:26">
      <c r="A509" s="390">
        <v>95311</v>
      </c>
      <c r="B509" s="391" t="s">
        <v>1209</v>
      </c>
      <c r="C509" s="234">
        <v>2.3481000000000001E-3</v>
      </c>
      <c r="D509" s="234">
        <v>2.4442000000000001E-3</v>
      </c>
      <c r="E509" s="231">
        <v>3601037</v>
      </c>
      <c r="F509" s="231" t="s">
        <v>1924</v>
      </c>
      <c r="G509" s="392">
        <v>1145619</v>
      </c>
      <c r="H509" s="392">
        <v>0</v>
      </c>
      <c r="I509" s="392">
        <v>2262371</v>
      </c>
      <c r="J509" s="231">
        <v>3113</v>
      </c>
      <c r="K509" s="231">
        <v>3411103</v>
      </c>
      <c r="L509" s="231"/>
      <c r="M509" s="300">
        <v>0</v>
      </c>
      <c r="N509" s="300">
        <v>5144800</v>
      </c>
      <c r="O509" s="300">
        <v>0</v>
      </c>
      <c r="P509" s="231">
        <v>119493</v>
      </c>
      <c r="Q509" s="231">
        <v>5264293</v>
      </c>
      <c r="R509" s="231"/>
      <c r="S509" s="392">
        <v>1553602</v>
      </c>
      <c r="T509" s="231">
        <v>-37872</v>
      </c>
      <c r="U509" s="396">
        <v>1515730</v>
      </c>
      <c r="V509" s="231"/>
      <c r="W509" s="396">
        <v>13978925</v>
      </c>
      <c r="X509" s="396">
        <v>-4939409</v>
      </c>
      <c r="Y509" s="396"/>
      <c r="Z509" s="396"/>
    </row>
    <row r="510" spans="1:26">
      <c r="A510" s="390">
        <v>95317</v>
      </c>
      <c r="B510" s="391" t="s">
        <v>1210</v>
      </c>
      <c r="C510" s="234">
        <v>4.3699999999999998E-5</v>
      </c>
      <c r="D510" s="234">
        <v>4.1699999999999997E-5</v>
      </c>
      <c r="E510" s="231">
        <v>67018</v>
      </c>
      <c r="F510" s="231" t="s">
        <v>1924</v>
      </c>
      <c r="G510" s="392">
        <v>21321</v>
      </c>
      <c r="H510" s="392">
        <v>0</v>
      </c>
      <c r="I510" s="392">
        <v>42105</v>
      </c>
      <c r="J510" s="231">
        <v>23819</v>
      </c>
      <c r="K510" s="231">
        <v>87245</v>
      </c>
      <c r="L510" s="231"/>
      <c r="M510" s="300">
        <v>0</v>
      </c>
      <c r="N510" s="300">
        <v>95749</v>
      </c>
      <c r="O510" s="300">
        <v>0</v>
      </c>
      <c r="P510" s="231">
        <v>0</v>
      </c>
      <c r="Q510" s="231">
        <v>95749</v>
      </c>
      <c r="R510" s="231"/>
      <c r="S510" s="392">
        <v>28914</v>
      </c>
      <c r="T510" s="231">
        <v>10040</v>
      </c>
      <c r="U510" s="396">
        <v>38954</v>
      </c>
      <c r="V510" s="231"/>
      <c r="W510" s="396">
        <v>260159</v>
      </c>
      <c r="X510" s="396">
        <v>-91926</v>
      </c>
      <c r="Y510" s="396"/>
      <c r="Z510" s="396"/>
    </row>
    <row r="511" spans="1:26">
      <c r="A511" s="390">
        <v>95321</v>
      </c>
      <c r="B511" s="391" t="s">
        <v>1211</v>
      </c>
      <c r="C511" s="234">
        <v>3.65E-5</v>
      </c>
      <c r="D511" s="234">
        <v>4.4199999999999997E-5</v>
      </c>
      <c r="E511" s="231">
        <v>55976</v>
      </c>
      <c r="F511" s="231" t="s">
        <v>1924</v>
      </c>
      <c r="G511" s="392">
        <v>17808</v>
      </c>
      <c r="H511" s="392">
        <v>0</v>
      </c>
      <c r="I511" s="392">
        <v>35167</v>
      </c>
      <c r="J511" s="231">
        <v>1900</v>
      </c>
      <c r="K511" s="231">
        <v>54875</v>
      </c>
      <c r="L511" s="231"/>
      <c r="M511" s="300">
        <v>0</v>
      </c>
      <c r="N511" s="300">
        <v>79973</v>
      </c>
      <c r="O511" s="300">
        <v>0</v>
      </c>
      <c r="P511" s="231">
        <v>118</v>
      </c>
      <c r="Q511" s="231">
        <v>80091</v>
      </c>
      <c r="R511" s="231"/>
      <c r="S511" s="392">
        <v>24150</v>
      </c>
      <c r="T511" s="231">
        <v>1014</v>
      </c>
      <c r="U511" s="396">
        <v>25164</v>
      </c>
      <c r="V511" s="231"/>
      <c r="W511" s="396">
        <v>217295</v>
      </c>
      <c r="X511" s="396">
        <v>-76781</v>
      </c>
      <c r="Y511" s="396"/>
      <c r="Z511" s="396"/>
    </row>
    <row r="512" spans="1:26">
      <c r="A512" s="390">
        <v>95401</v>
      </c>
      <c r="B512" s="391" t="s">
        <v>1212</v>
      </c>
      <c r="C512" s="234">
        <v>2.5170000000000001E-3</v>
      </c>
      <c r="D512" s="234">
        <v>2.6316999999999998E-3</v>
      </c>
      <c r="E512" s="231">
        <v>3860061</v>
      </c>
      <c r="F512" s="231" t="s">
        <v>1924</v>
      </c>
      <c r="G512" s="392">
        <v>1228024</v>
      </c>
      <c r="H512" s="392">
        <v>0</v>
      </c>
      <c r="I512" s="392">
        <v>2425104</v>
      </c>
      <c r="J512" s="231">
        <v>0</v>
      </c>
      <c r="K512" s="231">
        <v>3653128</v>
      </c>
      <c r="L512" s="231"/>
      <c r="M512" s="300">
        <v>0</v>
      </c>
      <c r="N512" s="300">
        <v>5514868</v>
      </c>
      <c r="O512" s="300">
        <v>0</v>
      </c>
      <c r="P512" s="231">
        <v>527826</v>
      </c>
      <c r="Q512" s="231">
        <v>6042694</v>
      </c>
      <c r="R512" s="231"/>
      <c r="S512" s="392">
        <v>1665353</v>
      </c>
      <c r="T512" s="231">
        <v>-239377</v>
      </c>
      <c r="U512" s="396">
        <v>1425976</v>
      </c>
      <c r="V512" s="231"/>
      <c r="W512" s="396">
        <v>14984436</v>
      </c>
      <c r="X512" s="396">
        <v>-5294703</v>
      </c>
      <c r="Y512" s="396"/>
      <c r="Z512" s="396"/>
    </row>
    <row r="513" spans="1:26">
      <c r="A513" s="390">
        <v>95404</v>
      </c>
      <c r="B513" s="391" t="s">
        <v>1213</v>
      </c>
      <c r="C513" s="234">
        <v>4.6900000000000002E-5</v>
      </c>
      <c r="D513" s="234">
        <v>4.8699999999999998E-5</v>
      </c>
      <c r="E513" s="231">
        <v>71926</v>
      </c>
      <c r="F513" s="231" t="s">
        <v>1924</v>
      </c>
      <c r="G513" s="392">
        <v>22882</v>
      </c>
      <c r="H513" s="392">
        <v>0</v>
      </c>
      <c r="I513" s="392">
        <v>45188</v>
      </c>
      <c r="J513" s="231">
        <v>3419</v>
      </c>
      <c r="K513" s="231">
        <v>71489</v>
      </c>
      <c r="L513" s="231"/>
      <c r="M513" s="300">
        <v>0</v>
      </c>
      <c r="N513" s="300">
        <v>102760</v>
      </c>
      <c r="O513" s="300">
        <v>0</v>
      </c>
      <c r="P513" s="231">
        <v>6388</v>
      </c>
      <c r="Q513" s="231">
        <v>109148</v>
      </c>
      <c r="R513" s="231"/>
      <c r="S513" s="392">
        <v>31031</v>
      </c>
      <c r="T513" s="231">
        <v>-1206</v>
      </c>
      <c r="U513" s="396">
        <v>29825</v>
      </c>
      <c r="V513" s="231"/>
      <c r="W513" s="396">
        <v>279209</v>
      </c>
      <c r="X513" s="396">
        <v>-98658</v>
      </c>
      <c r="Y513" s="396"/>
      <c r="Z513" s="396"/>
    </row>
    <row r="514" spans="1:26">
      <c r="A514" s="390">
        <v>95405</v>
      </c>
      <c r="B514" s="391" t="s">
        <v>1214</v>
      </c>
      <c r="C514" s="234">
        <v>4.5300000000000003E-5</v>
      </c>
      <c r="D514" s="234">
        <v>4.5500000000000001E-5</v>
      </c>
      <c r="E514" s="231">
        <v>69472</v>
      </c>
      <c r="F514" s="231" t="s">
        <v>1924</v>
      </c>
      <c r="G514" s="392">
        <v>22102</v>
      </c>
      <c r="H514" s="392">
        <v>0</v>
      </c>
      <c r="I514" s="392">
        <v>43646</v>
      </c>
      <c r="J514" s="231">
        <v>16573</v>
      </c>
      <c r="K514" s="231">
        <v>82321</v>
      </c>
      <c r="L514" s="231"/>
      <c r="M514" s="300">
        <v>0</v>
      </c>
      <c r="N514" s="300">
        <v>99254</v>
      </c>
      <c r="O514" s="300">
        <v>0</v>
      </c>
      <c r="P514" s="231">
        <v>7020</v>
      </c>
      <c r="Q514" s="231">
        <v>106274</v>
      </c>
      <c r="R514" s="231"/>
      <c r="S514" s="392">
        <v>29972</v>
      </c>
      <c r="T514" s="231">
        <v>8690</v>
      </c>
      <c r="U514" s="396">
        <v>38662</v>
      </c>
      <c r="V514" s="231"/>
      <c r="W514" s="396">
        <v>269684</v>
      </c>
      <c r="X514" s="396">
        <v>-95292</v>
      </c>
      <c r="Y514" s="396"/>
      <c r="Z514" s="396"/>
    </row>
    <row r="515" spans="1:26">
      <c r="A515" s="390">
        <v>95411</v>
      </c>
      <c r="B515" s="391" t="s">
        <v>1215</v>
      </c>
      <c r="C515" s="234">
        <v>2.0901000000000001E-3</v>
      </c>
      <c r="D515" s="234">
        <v>2.0525999999999999E-3</v>
      </c>
      <c r="E515" s="231">
        <v>3205369</v>
      </c>
      <c r="F515" s="231" t="s">
        <v>1924</v>
      </c>
      <c r="G515" s="392">
        <v>1019743</v>
      </c>
      <c r="H515" s="392">
        <v>0</v>
      </c>
      <c r="I515" s="392">
        <v>2013790</v>
      </c>
      <c r="J515" s="231">
        <v>65597</v>
      </c>
      <c r="K515" s="231">
        <v>3099130</v>
      </c>
      <c r="L515" s="231"/>
      <c r="M515" s="300">
        <v>0</v>
      </c>
      <c r="N515" s="300">
        <v>4579509</v>
      </c>
      <c r="O515" s="300">
        <v>0</v>
      </c>
      <c r="P515" s="231">
        <v>31164</v>
      </c>
      <c r="Q515" s="231">
        <v>4610673</v>
      </c>
      <c r="R515" s="231"/>
      <c r="S515" s="392">
        <v>1382898</v>
      </c>
      <c r="T515" s="231">
        <v>-4935</v>
      </c>
      <c r="U515" s="396">
        <v>1377963</v>
      </c>
      <c r="V515" s="231"/>
      <c r="W515" s="396">
        <v>12442976</v>
      </c>
      <c r="X515" s="396">
        <v>-4396686</v>
      </c>
      <c r="Y515" s="396"/>
      <c r="Z515" s="396"/>
    </row>
    <row r="516" spans="1:26">
      <c r="A516" s="390">
        <v>95412</v>
      </c>
      <c r="B516" s="391" t="s">
        <v>3713</v>
      </c>
      <c r="C516" s="234">
        <v>0</v>
      </c>
      <c r="D516" s="234">
        <v>0</v>
      </c>
      <c r="E516" s="231">
        <v>0</v>
      </c>
      <c r="F516" s="231">
        <v>0</v>
      </c>
      <c r="G516" s="392">
        <v>0</v>
      </c>
      <c r="H516" s="392">
        <v>0</v>
      </c>
      <c r="I516" s="392">
        <v>0</v>
      </c>
      <c r="J516" s="231">
        <v>0</v>
      </c>
      <c r="K516" s="231">
        <v>0</v>
      </c>
      <c r="L516" s="231">
        <v>0</v>
      </c>
      <c r="M516" s="300">
        <v>0</v>
      </c>
      <c r="N516" s="300">
        <v>0</v>
      </c>
      <c r="O516" s="300">
        <v>0</v>
      </c>
      <c r="P516" s="231">
        <v>0</v>
      </c>
      <c r="Q516" s="231">
        <v>0</v>
      </c>
      <c r="R516" s="231">
        <v>0</v>
      </c>
      <c r="S516" s="392">
        <v>0</v>
      </c>
      <c r="T516" s="231">
        <v>0</v>
      </c>
      <c r="U516" s="396">
        <v>0</v>
      </c>
      <c r="V516" s="231">
        <v>0</v>
      </c>
      <c r="W516" s="396">
        <v>0</v>
      </c>
      <c r="X516" s="396">
        <v>0</v>
      </c>
      <c r="Y516" s="396"/>
      <c r="Z516" s="396"/>
    </row>
    <row r="517" spans="1:26">
      <c r="A517" s="390">
        <v>95413</v>
      </c>
      <c r="B517" s="391" t="s">
        <v>1217</v>
      </c>
      <c r="C517" s="234">
        <v>2.3369999999999999E-4</v>
      </c>
      <c r="D517" s="234">
        <v>2.5369999999999999E-4</v>
      </c>
      <c r="E517" s="231">
        <v>358401</v>
      </c>
      <c r="F517" s="231" t="s">
        <v>1924</v>
      </c>
      <c r="G517" s="392">
        <v>114020</v>
      </c>
      <c r="H517" s="392">
        <v>0</v>
      </c>
      <c r="I517" s="392">
        <v>225168</v>
      </c>
      <c r="J517" s="231">
        <v>11389</v>
      </c>
      <c r="K517" s="231">
        <v>350577</v>
      </c>
      <c r="L517" s="231"/>
      <c r="M517" s="300">
        <v>0</v>
      </c>
      <c r="N517" s="300">
        <v>512048</v>
      </c>
      <c r="O517" s="300">
        <v>0</v>
      </c>
      <c r="P517" s="231">
        <v>36989</v>
      </c>
      <c r="Q517" s="231">
        <v>549037</v>
      </c>
      <c r="R517" s="231"/>
      <c r="S517" s="392">
        <v>154626</v>
      </c>
      <c r="T517" s="231">
        <v>20381</v>
      </c>
      <c r="U517" s="396">
        <v>175007</v>
      </c>
      <c r="V517" s="231"/>
      <c r="W517" s="396">
        <v>1391284</v>
      </c>
      <c r="X517" s="396">
        <v>-491606</v>
      </c>
      <c r="Y517" s="396"/>
      <c r="Z517" s="396"/>
    </row>
    <row r="518" spans="1:26">
      <c r="A518" s="390">
        <v>95415</v>
      </c>
      <c r="B518" s="391" t="s">
        <v>1218</v>
      </c>
      <c r="C518" s="234">
        <v>5.9500000000000003E-5</v>
      </c>
      <c r="D518" s="234">
        <v>6.2700000000000006E-5</v>
      </c>
      <c r="E518" s="231">
        <v>91249</v>
      </c>
      <c r="F518" s="231" t="s">
        <v>1924</v>
      </c>
      <c r="G518" s="392">
        <v>29030</v>
      </c>
      <c r="H518" s="392">
        <v>0</v>
      </c>
      <c r="I518" s="392">
        <v>57328</v>
      </c>
      <c r="J518" s="231">
        <v>5222</v>
      </c>
      <c r="K518" s="231">
        <v>91580</v>
      </c>
      <c r="L518" s="231"/>
      <c r="M518" s="300">
        <v>0</v>
      </c>
      <c r="N518" s="300">
        <v>130367</v>
      </c>
      <c r="O518" s="300">
        <v>0</v>
      </c>
      <c r="P518" s="231">
        <v>12339</v>
      </c>
      <c r="Q518" s="231">
        <v>142706</v>
      </c>
      <c r="R518" s="231"/>
      <c r="S518" s="392">
        <v>39368</v>
      </c>
      <c r="T518" s="231">
        <v>-4869</v>
      </c>
      <c r="U518" s="396">
        <v>34499</v>
      </c>
      <c r="V518" s="231"/>
      <c r="W518" s="396">
        <v>354221</v>
      </c>
      <c r="X518" s="396">
        <v>-125163</v>
      </c>
      <c r="Y518" s="396"/>
      <c r="Z518" s="396"/>
    </row>
    <row r="519" spans="1:26">
      <c r="A519" s="390">
        <v>95421</v>
      </c>
      <c r="B519" s="391" t="s">
        <v>1219</v>
      </c>
      <c r="C519" s="234">
        <v>3.0899999999999999E-5</v>
      </c>
      <c r="D519" s="234">
        <v>2.5199999999999999E-5</v>
      </c>
      <c r="E519" s="231">
        <v>47388</v>
      </c>
      <c r="F519" s="231" t="s">
        <v>1924</v>
      </c>
      <c r="G519" s="392">
        <v>15076</v>
      </c>
      <c r="H519" s="392">
        <v>0</v>
      </c>
      <c r="I519" s="392">
        <v>29772</v>
      </c>
      <c r="J519" s="231">
        <v>8233</v>
      </c>
      <c r="K519" s="231">
        <v>53081</v>
      </c>
      <c r="L519" s="231"/>
      <c r="M519" s="300">
        <v>0</v>
      </c>
      <c r="N519" s="300">
        <v>67703</v>
      </c>
      <c r="O519" s="300">
        <v>0</v>
      </c>
      <c r="P519" s="231">
        <v>9123</v>
      </c>
      <c r="Q519" s="231">
        <v>76826</v>
      </c>
      <c r="R519" s="231"/>
      <c r="S519" s="392">
        <v>20445</v>
      </c>
      <c r="T519" s="231">
        <v>-1664</v>
      </c>
      <c r="U519" s="396">
        <v>18781</v>
      </c>
      <c r="V519" s="231"/>
      <c r="W519" s="396">
        <v>183957</v>
      </c>
      <c r="X519" s="396">
        <v>-65001</v>
      </c>
      <c r="Y519" s="396"/>
      <c r="Z519" s="396"/>
    </row>
    <row r="520" spans="1:26">
      <c r="A520" s="390">
        <v>95431</v>
      </c>
      <c r="B520" s="391" t="s">
        <v>1220</v>
      </c>
      <c r="C520" s="234">
        <v>1.3229999999999999E-4</v>
      </c>
      <c r="D520" s="234">
        <v>1.2349999999999999E-4</v>
      </c>
      <c r="E520" s="231">
        <v>202895</v>
      </c>
      <c r="F520" s="231" t="s">
        <v>1924</v>
      </c>
      <c r="G520" s="392">
        <v>64548</v>
      </c>
      <c r="H520" s="392">
        <v>0</v>
      </c>
      <c r="I520" s="392">
        <v>127470</v>
      </c>
      <c r="J520" s="231">
        <v>27874</v>
      </c>
      <c r="K520" s="231">
        <v>219892</v>
      </c>
      <c r="L520" s="231"/>
      <c r="M520" s="300">
        <v>0</v>
      </c>
      <c r="N520" s="300">
        <v>289876</v>
      </c>
      <c r="O520" s="300">
        <v>0</v>
      </c>
      <c r="P520" s="231">
        <v>17727</v>
      </c>
      <c r="Q520" s="231">
        <v>307603</v>
      </c>
      <c r="R520" s="231"/>
      <c r="S520" s="392">
        <v>87535</v>
      </c>
      <c r="T520" s="231">
        <v>-6934</v>
      </c>
      <c r="U520" s="396">
        <v>80601</v>
      </c>
      <c r="V520" s="231"/>
      <c r="W520" s="396">
        <v>787621</v>
      </c>
      <c r="X520" s="396">
        <v>-278303</v>
      </c>
      <c r="Y520" s="396"/>
      <c r="Z520" s="396"/>
    </row>
    <row r="521" spans="1:26">
      <c r="A521" s="390">
        <v>95501</v>
      </c>
      <c r="B521" s="391" t="s">
        <v>1221</v>
      </c>
      <c r="C521" s="234">
        <v>5.1955999999999999E-3</v>
      </c>
      <c r="D521" s="234">
        <v>5.3182000000000004E-3</v>
      </c>
      <c r="E521" s="231">
        <v>7967951</v>
      </c>
      <c r="F521" s="231" t="s">
        <v>1924</v>
      </c>
      <c r="G521" s="392">
        <v>2534892</v>
      </c>
      <c r="H521" s="392">
        <v>0</v>
      </c>
      <c r="I521" s="392">
        <v>5005909</v>
      </c>
      <c r="J521" s="231">
        <v>278548</v>
      </c>
      <c r="K521" s="231">
        <v>7819349</v>
      </c>
      <c r="L521" s="231"/>
      <c r="M521" s="300">
        <v>0</v>
      </c>
      <c r="N521" s="300">
        <v>11383809</v>
      </c>
      <c r="O521" s="300">
        <v>0</v>
      </c>
      <c r="P521" s="231">
        <v>261337</v>
      </c>
      <c r="Q521" s="231">
        <v>11645146</v>
      </c>
      <c r="R521" s="231"/>
      <c r="S521" s="392">
        <v>3437627</v>
      </c>
      <c r="T521" s="231">
        <v>30022</v>
      </c>
      <c r="U521" s="396">
        <v>3467649</v>
      </c>
      <c r="V521" s="231"/>
      <c r="W521" s="396">
        <v>30930924</v>
      </c>
      <c r="X521" s="396">
        <v>-10929345</v>
      </c>
      <c r="Y521" s="396"/>
      <c r="Z521" s="396"/>
    </row>
    <row r="522" spans="1:26">
      <c r="A522" s="390">
        <v>95504</v>
      </c>
      <c r="B522" s="391" t="s">
        <v>1222</v>
      </c>
      <c r="C522" s="234">
        <v>1.8099999999999999E-5</v>
      </c>
      <c r="D522" s="234">
        <v>1.7399999999999999E-5</v>
      </c>
      <c r="E522" s="231">
        <v>27758</v>
      </c>
      <c r="F522" s="231" t="s">
        <v>1924</v>
      </c>
      <c r="G522" s="392">
        <v>8831</v>
      </c>
      <c r="H522" s="392">
        <v>0</v>
      </c>
      <c r="I522" s="392">
        <v>17439</v>
      </c>
      <c r="J522" s="231">
        <v>22349</v>
      </c>
      <c r="K522" s="231">
        <v>48619</v>
      </c>
      <c r="L522" s="231"/>
      <c r="M522" s="300">
        <v>0</v>
      </c>
      <c r="N522" s="300">
        <v>39658</v>
      </c>
      <c r="O522" s="300">
        <v>0</v>
      </c>
      <c r="P522" s="231">
        <v>0</v>
      </c>
      <c r="Q522" s="231">
        <v>39658</v>
      </c>
      <c r="R522" s="231"/>
      <c r="S522" s="392">
        <v>11976</v>
      </c>
      <c r="T522" s="231">
        <v>11236</v>
      </c>
      <c r="U522" s="396">
        <v>23212</v>
      </c>
      <c r="V522" s="231"/>
      <c r="W522" s="396">
        <v>107755</v>
      </c>
      <c r="X522" s="396">
        <v>-38075</v>
      </c>
      <c r="Y522" s="396"/>
      <c r="Z522" s="396"/>
    </row>
    <row r="523" spans="1:26">
      <c r="A523" s="390">
        <v>95511</v>
      </c>
      <c r="B523" s="391" t="s">
        <v>1223</v>
      </c>
      <c r="C523" s="234">
        <v>1.0248E-3</v>
      </c>
      <c r="D523" s="234">
        <v>1.0361000000000001E-3</v>
      </c>
      <c r="E523" s="231">
        <v>1571629</v>
      </c>
      <c r="F523" s="231" t="s">
        <v>1924</v>
      </c>
      <c r="G523" s="392">
        <v>499992</v>
      </c>
      <c r="H523" s="392">
        <v>0</v>
      </c>
      <c r="I523" s="392">
        <v>987385</v>
      </c>
      <c r="J523" s="231">
        <v>132724</v>
      </c>
      <c r="K523" s="231">
        <v>1620101</v>
      </c>
      <c r="L523" s="231"/>
      <c r="M523" s="300">
        <v>0</v>
      </c>
      <c r="N523" s="300">
        <v>2245386</v>
      </c>
      <c r="O523" s="300">
        <v>0</v>
      </c>
      <c r="P523" s="231">
        <v>0</v>
      </c>
      <c r="Q523" s="231">
        <v>2245386</v>
      </c>
      <c r="R523" s="231"/>
      <c r="S523" s="392">
        <v>678051</v>
      </c>
      <c r="T523" s="231">
        <v>75502</v>
      </c>
      <c r="U523" s="396">
        <v>753553</v>
      </c>
      <c r="V523" s="231"/>
      <c r="W523" s="396">
        <v>6100934</v>
      </c>
      <c r="X523" s="396">
        <v>-2155746</v>
      </c>
      <c r="Y523" s="396"/>
      <c r="Z523" s="396"/>
    </row>
    <row r="524" spans="1:26">
      <c r="A524" s="390">
        <v>95513</v>
      </c>
      <c r="B524" s="391" t="s">
        <v>1224</v>
      </c>
      <c r="C524" s="234">
        <v>5.0699999999999999E-5</v>
      </c>
      <c r="D524" s="234">
        <v>4.6900000000000002E-5</v>
      </c>
      <c r="E524" s="231">
        <v>77753</v>
      </c>
      <c r="F524" s="231" t="s">
        <v>1924</v>
      </c>
      <c r="G524" s="392">
        <v>24736</v>
      </c>
      <c r="H524" s="392">
        <v>0</v>
      </c>
      <c r="I524" s="392">
        <v>48849</v>
      </c>
      <c r="J524" s="231">
        <v>36253</v>
      </c>
      <c r="K524" s="231">
        <v>109838</v>
      </c>
      <c r="L524" s="231"/>
      <c r="M524" s="300">
        <v>0</v>
      </c>
      <c r="N524" s="300">
        <v>111086</v>
      </c>
      <c r="O524" s="300">
        <v>0</v>
      </c>
      <c r="P524" s="231">
        <v>0</v>
      </c>
      <c r="Q524" s="231">
        <v>111086</v>
      </c>
      <c r="R524" s="231"/>
      <c r="S524" s="392">
        <v>33545</v>
      </c>
      <c r="T524" s="231">
        <v>18743</v>
      </c>
      <c r="U524" s="396">
        <v>52288</v>
      </c>
      <c r="V524" s="231"/>
      <c r="W524" s="396">
        <v>301832</v>
      </c>
      <c r="X524" s="396">
        <v>-106651</v>
      </c>
      <c r="Y524" s="396"/>
      <c r="Z524" s="396"/>
    </row>
    <row r="525" spans="1:26">
      <c r="A525" s="390">
        <v>95517</v>
      </c>
      <c r="B525" s="391" t="s">
        <v>1225</v>
      </c>
      <c r="C525" s="234">
        <v>1.6200000000000001E-5</v>
      </c>
      <c r="D525" s="234">
        <v>1.84E-5</v>
      </c>
      <c r="E525" s="231">
        <v>24844</v>
      </c>
      <c r="F525" s="231" t="s">
        <v>1924</v>
      </c>
      <c r="G525" s="392">
        <v>7904</v>
      </c>
      <c r="H525" s="392">
        <v>0</v>
      </c>
      <c r="I525" s="392">
        <v>15609</v>
      </c>
      <c r="J525" s="231">
        <v>648</v>
      </c>
      <c r="K525" s="231">
        <v>24161</v>
      </c>
      <c r="L525" s="231"/>
      <c r="M525" s="300">
        <v>0</v>
      </c>
      <c r="N525" s="300">
        <v>35495</v>
      </c>
      <c r="O525" s="300">
        <v>0</v>
      </c>
      <c r="P525" s="231">
        <v>3640</v>
      </c>
      <c r="Q525" s="231">
        <v>39135</v>
      </c>
      <c r="R525" s="231"/>
      <c r="S525" s="392">
        <v>10719</v>
      </c>
      <c r="T525" s="231">
        <v>896</v>
      </c>
      <c r="U525" s="396">
        <v>11615</v>
      </c>
      <c r="V525" s="231"/>
      <c r="W525" s="396">
        <v>96443</v>
      </c>
      <c r="X525" s="396">
        <v>-34078</v>
      </c>
      <c r="Y525" s="396"/>
      <c r="Z525" s="396"/>
    </row>
    <row r="526" spans="1:26">
      <c r="A526" s="390">
        <v>95601</v>
      </c>
      <c r="B526" s="391" t="s">
        <v>1226</v>
      </c>
      <c r="C526" s="234">
        <v>2.2501999999999999E-3</v>
      </c>
      <c r="D526" s="234">
        <v>2.3888999999999998E-3</v>
      </c>
      <c r="E526" s="231">
        <v>3450898</v>
      </c>
      <c r="F526" s="231" t="s">
        <v>1924</v>
      </c>
      <c r="G526" s="392">
        <v>1097855</v>
      </c>
      <c r="H526" s="392">
        <v>0</v>
      </c>
      <c r="I526" s="392">
        <v>2168045</v>
      </c>
      <c r="J526" s="231">
        <v>0</v>
      </c>
      <c r="K526" s="231">
        <v>3265900</v>
      </c>
      <c r="L526" s="231"/>
      <c r="M526" s="300">
        <v>0</v>
      </c>
      <c r="N526" s="300">
        <v>4930296</v>
      </c>
      <c r="O526" s="300">
        <v>0</v>
      </c>
      <c r="P526" s="231">
        <v>316062</v>
      </c>
      <c r="Q526" s="231">
        <v>5246358</v>
      </c>
      <c r="R526" s="231"/>
      <c r="S526" s="392">
        <v>1488827</v>
      </c>
      <c r="T526" s="231">
        <v>-131117</v>
      </c>
      <c r="U526" s="396">
        <v>1357710</v>
      </c>
      <c r="V526" s="231"/>
      <c r="W526" s="396">
        <v>13396098</v>
      </c>
      <c r="X526" s="396">
        <v>-4733469</v>
      </c>
      <c r="Y526" s="396"/>
      <c r="Z526" s="396"/>
    </row>
    <row r="527" spans="1:26">
      <c r="A527" s="390">
        <v>95611</v>
      </c>
      <c r="B527" s="391" t="s">
        <v>1227</v>
      </c>
      <c r="C527" s="234">
        <v>3.4969999999999999E-4</v>
      </c>
      <c r="D527" s="234">
        <v>3.3310000000000002E-4</v>
      </c>
      <c r="E527" s="231">
        <v>536299</v>
      </c>
      <c r="F527" s="231" t="s">
        <v>1924</v>
      </c>
      <c r="G527" s="392">
        <v>170616</v>
      </c>
      <c r="H527" s="392">
        <v>0</v>
      </c>
      <c r="I527" s="392">
        <v>336932</v>
      </c>
      <c r="J527" s="231">
        <v>29381</v>
      </c>
      <c r="K527" s="231">
        <v>536929</v>
      </c>
      <c r="L527" s="231"/>
      <c r="M527" s="300">
        <v>0</v>
      </c>
      <c r="N527" s="300">
        <v>766209</v>
      </c>
      <c r="O527" s="300">
        <v>0</v>
      </c>
      <c r="P527" s="231">
        <v>29203</v>
      </c>
      <c r="Q527" s="231">
        <v>795412</v>
      </c>
      <c r="R527" s="231"/>
      <c r="S527" s="392">
        <v>231376</v>
      </c>
      <c r="T527" s="231">
        <v>-3040</v>
      </c>
      <c r="U527" s="396">
        <v>228336</v>
      </c>
      <c r="V527" s="231"/>
      <c r="W527" s="396">
        <v>2081866</v>
      </c>
      <c r="X527" s="396">
        <v>-735621</v>
      </c>
      <c r="Y527" s="396"/>
      <c r="Z527" s="396"/>
    </row>
    <row r="528" spans="1:26">
      <c r="A528" s="390">
        <v>95617</v>
      </c>
      <c r="B528" s="391" t="s">
        <v>1228</v>
      </c>
      <c r="C528" s="234">
        <v>1.8199999999999999E-5</v>
      </c>
      <c r="D528" s="234">
        <v>1.3900000000000001E-5</v>
      </c>
      <c r="E528" s="231">
        <v>27911</v>
      </c>
      <c r="F528" s="231" t="s">
        <v>1924</v>
      </c>
      <c r="G528" s="392">
        <v>8880</v>
      </c>
      <c r="H528" s="392">
        <v>0</v>
      </c>
      <c r="I528" s="392">
        <v>17536</v>
      </c>
      <c r="J528" s="231">
        <v>9219</v>
      </c>
      <c r="K528" s="231">
        <v>35635</v>
      </c>
      <c r="L528" s="231"/>
      <c r="M528" s="300">
        <v>0</v>
      </c>
      <c r="N528" s="300">
        <v>39877</v>
      </c>
      <c r="O528" s="300">
        <v>0</v>
      </c>
      <c r="P528" s="231">
        <v>0</v>
      </c>
      <c r="Q528" s="231">
        <v>39877</v>
      </c>
      <c r="R528" s="231"/>
      <c r="S528" s="392">
        <v>12042</v>
      </c>
      <c r="T528" s="231">
        <v>3361</v>
      </c>
      <c r="U528" s="396">
        <v>15403</v>
      </c>
      <c r="V528" s="231"/>
      <c r="W528" s="396">
        <v>108350</v>
      </c>
      <c r="X528" s="396">
        <v>-38285</v>
      </c>
      <c r="Y528" s="396"/>
      <c r="Z528" s="396"/>
    </row>
    <row r="529" spans="1:27">
      <c r="A529" s="390">
        <v>95621</v>
      </c>
      <c r="B529" s="391" t="s">
        <v>1229</v>
      </c>
      <c r="C529" s="234">
        <v>4.793E-4</v>
      </c>
      <c r="D529" s="234">
        <v>4.6490000000000002E-4</v>
      </c>
      <c r="E529" s="231">
        <v>735053</v>
      </c>
      <c r="F529" s="231" t="s">
        <v>1924</v>
      </c>
      <c r="G529" s="392">
        <v>233847</v>
      </c>
      <c r="H529" s="392">
        <v>0</v>
      </c>
      <c r="I529" s="392">
        <v>461801</v>
      </c>
      <c r="J529" s="231">
        <v>68244</v>
      </c>
      <c r="K529" s="231">
        <v>763892</v>
      </c>
      <c r="L529" s="231"/>
      <c r="M529" s="300">
        <v>0</v>
      </c>
      <c r="N529" s="300">
        <v>1050169</v>
      </c>
      <c r="O529" s="300">
        <v>0</v>
      </c>
      <c r="P529" s="231">
        <v>10925</v>
      </c>
      <c r="Q529" s="231">
        <v>1061094</v>
      </c>
      <c r="R529" s="231"/>
      <c r="S529" s="392">
        <v>317125</v>
      </c>
      <c r="T529" s="231">
        <v>27462</v>
      </c>
      <c r="U529" s="396">
        <v>344587</v>
      </c>
      <c r="V529" s="231"/>
      <c r="W529" s="396">
        <v>2853413</v>
      </c>
      <c r="X529" s="396">
        <v>-1008244</v>
      </c>
      <c r="Y529" s="396"/>
      <c r="Z529" s="396"/>
    </row>
    <row r="530" spans="1:27">
      <c r="A530" s="390">
        <v>95701</v>
      </c>
      <c r="B530" s="391" t="s">
        <v>1230</v>
      </c>
      <c r="C530" s="234">
        <v>1.1892999999999999E-3</v>
      </c>
      <c r="D530" s="234">
        <v>1.2185E-3</v>
      </c>
      <c r="E530" s="231">
        <v>1823906</v>
      </c>
      <c r="F530" s="231" t="s">
        <v>1924</v>
      </c>
      <c r="G530" s="392">
        <v>580250</v>
      </c>
      <c r="H530" s="392">
        <v>0</v>
      </c>
      <c r="I530" s="392">
        <v>1145879</v>
      </c>
      <c r="J530" s="231">
        <v>0</v>
      </c>
      <c r="K530" s="231">
        <v>1726129</v>
      </c>
      <c r="L530" s="231"/>
      <c r="M530" s="300">
        <v>0</v>
      </c>
      <c r="N530" s="300">
        <v>2605813</v>
      </c>
      <c r="O530" s="300">
        <v>0</v>
      </c>
      <c r="P530" s="231">
        <v>152851</v>
      </c>
      <c r="Q530" s="231">
        <v>2758664</v>
      </c>
      <c r="R530" s="231"/>
      <c r="S530" s="392">
        <v>786891</v>
      </c>
      <c r="T530" s="231">
        <v>-67675</v>
      </c>
      <c r="U530" s="396">
        <v>719216</v>
      </c>
      <c r="V530" s="231"/>
      <c r="W530" s="396">
        <v>7080250</v>
      </c>
      <c r="X530" s="396">
        <v>-2501784</v>
      </c>
      <c r="Y530" s="396"/>
      <c r="Z530" s="396"/>
    </row>
    <row r="531" spans="1:27">
      <c r="A531" s="390">
        <v>95711</v>
      </c>
      <c r="B531" s="391" t="s">
        <v>1231</v>
      </c>
      <c r="C531" s="234">
        <v>1.6249999999999999E-4</v>
      </c>
      <c r="D531" s="234">
        <v>1.4889999999999999E-4</v>
      </c>
      <c r="E531" s="231">
        <v>249209</v>
      </c>
      <c r="F531" s="231" t="s">
        <v>1924</v>
      </c>
      <c r="G531" s="392">
        <v>79282</v>
      </c>
      <c r="H531" s="392">
        <v>0</v>
      </c>
      <c r="I531" s="392">
        <v>156567</v>
      </c>
      <c r="J531" s="231">
        <v>12106</v>
      </c>
      <c r="K531" s="231">
        <v>247955</v>
      </c>
      <c r="L531" s="231"/>
      <c r="M531" s="300">
        <v>0</v>
      </c>
      <c r="N531" s="300">
        <v>356045</v>
      </c>
      <c r="O531" s="300">
        <v>0</v>
      </c>
      <c r="P531" s="231">
        <v>5149</v>
      </c>
      <c r="Q531" s="231">
        <v>361194</v>
      </c>
      <c r="R531" s="231"/>
      <c r="S531" s="392">
        <v>107517</v>
      </c>
      <c r="T531" s="231">
        <v>-580</v>
      </c>
      <c r="U531" s="396">
        <v>106937</v>
      </c>
      <c r="V531" s="231"/>
      <c r="W531" s="396">
        <v>967410</v>
      </c>
      <c r="X531" s="396">
        <v>-341831</v>
      </c>
      <c r="Y531" s="396"/>
      <c r="Z531" s="396"/>
    </row>
    <row r="532" spans="1:27">
      <c r="A532" s="390">
        <v>95721</v>
      </c>
      <c r="B532" s="391" t="s">
        <v>1232</v>
      </c>
      <c r="C532" s="234">
        <v>6.1799999999999998E-5</v>
      </c>
      <c r="D532" s="234">
        <v>5.1400000000000003E-5</v>
      </c>
      <c r="E532" s="231">
        <v>94776</v>
      </c>
      <c r="F532" s="231" t="s">
        <v>1924</v>
      </c>
      <c r="G532" s="392">
        <v>30152</v>
      </c>
      <c r="H532" s="392">
        <v>0</v>
      </c>
      <c r="I532" s="392">
        <v>59544</v>
      </c>
      <c r="J532" s="231">
        <v>20596</v>
      </c>
      <c r="K532" s="231">
        <v>110292</v>
      </c>
      <c r="L532" s="231"/>
      <c r="M532" s="300">
        <v>0</v>
      </c>
      <c r="N532" s="300">
        <v>135407</v>
      </c>
      <c r="O532" s="300">
        <v>0</v>
      </c>
      <c r="P532" s="231">
        <v>11651</v>
      </c>
      <c r="Q532" s="231">
        <v>147058</v>
      </c>
      <c r="R532" s="231"/>
      <c r="S532" s="392">
        <v>40889</v>
      </c>
      <c r="T532" s="231">
        <v>-107</v>
      </c>
      <c r="U532" s="396">
        <v>40782</v>
      </c>
      <c r="V532" s="231"/>
      <c r="W532" s="396">
        <v>367913</v>
      </c>
      <c r="X532" s="396">
        <v>-130001</v>
      </c>
      <c r="Y532" s="396"/>
      <c r="Z532" s="396"/>
    </row>
    <row r="533" spans="1:27">
      <c r="A533" s="390">
        <v>95733</v>
      </c>
      <c r="B533" s="391" t="s">
        <v>1233</v>
      </c>
      <c r="C533" s="234">
        <v>1.36E-5</v>
      </c>
      <c r="D533" s="234">
        <v>1.33E-5</v>
      </c>
      <c r="E533" s="231">
        <v>20857</v>
      </c>
      <c r="F533" s="231" t="s">
        <v>1924</v>
      </c>
      <c r="G533" s="392">
        <v>6635</v>
      </c>
      <c r="H533" s="392">
        <v>0</v>
      </c>
      <c r="I533" s="392">
        <v>13103</v>
      </c>
      <c r="J533" s="231">
        <v>1382</v>
      </c>
      <c r="K533" s="231">
        <v>21120</v>
      </c>
      <c r="L533" s="231"/>
      <c r="M533" s="300">
        <v>0</v>
      </c>
      <c r="N533" s="300">
        <v>29798</v>
      </c>
      <c r="O533" s="300">
        <v>0</v>
      </c>
      <c r="P533" s="231">
        <v>688</v>
      </c>
      <c r="Q533" s="231">
        <v>30486</v>
      </c>
      <c r="R533" s="231"/>
      <c r="S533" s="392">
        <v>8998</v>
      </c>
      <c r="T533" s="231">
        <v>58</v>
      </c>
      <c r="U533" s="396">
        <v>9056</v>
      </c>
      <c r="V533" s="231"/>
      <c r="W533" s="396">
        <v>80965</v>
      </c>
      <c r="X533" s="396">
        <v>-28609</v>
      </c>
      <c r="Y533" s="396"/>
      <c r="Z533" s="396"/>
    </row>
    <row r="534" spans="1:27">
      <c r="A534" s="390">
        <v>95801</v>
      </c>
      <c r="B534" s="391" t="s">
        <v>1234</v>
      </c>
      <c r="C534" s="234">
        <v>8.8820000000000001E-4</v>
      </c>
      <c r="D534" s="234">
        <v>9.2270000000000004E-4</v>
      </c>
      <c r="E534" s="231">
        <v>1362140</v>
      </c>
      <c r="F534" s="231" t="s">
        <v>1924</v>
      </c>
      <c r="G534" s="392">
        <v>433346</v>
      </c>
      <c r="H534" s="392">
        <v>0</v>
      </c>
      <c r="I534" s="392">
        <v>855772</v>
      </c>
      <c r="J534" s="231">
        <v>5634</v>
      </c>
      <c r="K534" s="231">
        <v>1294752</v>
      </c>
      <c r="L534" s="231"/>
      <c r="M534" s="300">
        <v>0</v>
      </c>
      <c r="N534" s="300">
        <v>1946089</v>
      </c>
      <c r="O534" s="300">
        <v>0</v>
      </c>
      <c r="P534" s="231">
        <v>23547</v>
      </c>
      <c r="Q534" s="231">
        <v>1969636</v>
      </c>
      <c r="R534" s="231"/>
      <c r="S534" s="392">
        <v>587670</v>
      </c>
      <c r="T534" s="231">
        <v>10615</v>
      </c>
      <c r="U534" s="396">
        <v>598285</v>
      </c>
      <c r="V534" s="231"/>
      <c r="W534" s="396">
        <v>5287714</v>
      </c>
      <c r="X534" s="396">
        <v>-1868397</v>
      </c>
      <c r="Y534" s="396"/>
      <c r="Z534" s="396"/>
    </row>
    <row r="535" spans="1:27">
      <c r="A535" s="390">
        <v>95802</v>
      </c>
      <c r="B535" s="391" t="s">
        <v>1235</v>
      </c>
      <c r="C535" s="234">
        <v>6.9E-6</v>
      </c>
      <c r="D535" s="234">
        <v>4.6999999999999999E-6</v>
      </c>
      <c r="E535" s="231">
        <v>10582</v>
      </c>
      <c r="F535" s="231" t="s">
        <v>1924</v>
      </c>
      <c r="G535" s="392">
        <v>3366</v>
      </c>
      <c r="H535" s="392">
        <v>0</v>
      </c>
      <c r="I535" s="392">
        <v>6648</v>
      </c>
      <c r="J535" s="231">
        <v>10100</v>
      </c>
      <c r="K535" s="231">
        <v>20114</v>
      </c>
      <c r="L535" s="231"/>
      <c r="M535" s="300">
        <v>0</v>
      </c>
      <c r="N535" s="300">
        <v>15118</v>
      </c>
      <c r="O535" s="300">
        <v>0</v>
      </c>
      <c r="P535" s="231">
        <v>0</v>
      </c>
      <c r="Q535" s="231">
        <v>15118</v>
      </c>
      <c r="R535" s="231"/>
      <c r="S535" s="392">
        <v>4565</v>
      </c>
      <c r="T535" s="231">
        <v>4618</v>
      </c>
      <c r="U535" s="396">
        <v>9183</v>
      </c>
      <c r="V535" s="231"/>
      <c r="W535" s="396">
        <v>41078</v>
      </c>
      <c r="X535" s="396">
        <v>-14515</v>
      </c>
      <c r="Y535" s="396"/>
      <c r="Z535" s="396"/>
    </row>
    <row r="536" spans="1:27">
      <c r="A536" s="390">
        <v>95804</v>
      </c>
      <c r="B536" s="391" t="s">
        <v>1236</v>
      </c>
      <c r="C536" s="234">
        <v>2.5299999999999998E-5</v>
      </c>
      <c r="D536" s="234">
        <v>2.6100000000000001E-5</v>
      </c>
      <c r="E536" s="231">
        <v>38800</v>
      </c>
      <c r="F536" s="231" t="s">
        <v>1924</v>
      </c>
      <c r="G536" s="392">
        <v>12344</v>
      </c>
      <c r="H536" s="392">
        <v>0</v>
      </c>
      <c r="I536" s="392">
        <v>24376</v>
      </c>
      <c r="J536" s="231">
        <v>426</v>
      </c>
      <c r="K536" s="231">
        <v>37146</v>
      </c>
      <c r="L536" s="231"/>
      <c r="M536" s="300">
        <v>0</v>
      </c>
      <c r="N536" s="300">
        <v>55434</v>
      </c>
      <c r="O536" s="300">
        <v>0</v>
      </c>
      <c r="P536" s="231">
        <v>5562</v>
      </c>
      <c r="Q536" s="231">
        <v>60996</v>
      </c>
      <c r="R536" s="231"/>
      <c r="S536" s="392">
        <v>16740</v>
      </c>
      <c r="T536" s="231">
        <v>-1838</v>
      </c>
      <c r="U536" s="396">
        <v>14902</v>
      </c>
      <c r="V536" s="231"/>
      <c r="W536" s="396">
        <v>150618</v>
      </c>
      <c r="X536" s="396">
        <v>-53220</v>
      </c>
      <c r="Y536" s="396"/>
      <c r="Z536" s="396"/>
    </row>
    <row r="537" spans="1:27">
      <c r="A537" s="390">
        <v>95811</v>
      </c>
      <c r="B537" s="391" t="s">
        <v>1237</v>
      </c>
      <c r="C537" s="234">
        <v>5.2939999999999997E-4</v>
      </c>
      <c r="D537" s="234">
        <v>5.5400000000000002E-4</v>
      </c>
      <c r="E537" s="231">
        <v>811886</v>
      </c>
      <c r="F537" s="231" t="s">
        <v>1924</v>
      </c>
      <c r="G537" s="392">
        <v>258290</v>
      </c>
      <c r="H537" s="392">
        <v>0</v>
      </c>
      <c r="I537" s="392">
        <v>510072</v>
      </c>
      <c r="J537" s="231">
        <v>14243</v>
      </c>
      <c r="K537" s="231">
        <v>782605</v>
      </c>
      <c r="L537" s="231"/>
      <c r="M537" s="300">
        <v>0</v>
      </c>
      <c r="N537" s="300">
        <v>1159941</v>
      </c>
      <c r="O537" s="300">
        <v>0</v>
      </c>
      <c r="P537" s="231">
        <v>50647</v>
      </c>
      <c r="Q537" s="231">
        <v>1210588</v>
      </c>
      <c r="R537" s="231"/>
      <c r="S537" s="392">
        <v>350273</v>
      </c>
      <c r="T537" s="231">
        <v>-10132</v>
      </c>
      <c r="U537" s="396">
        <v>340141</v>
      </c>
      <c r="V537" s="231"/>
      <c r="W537" s="396">
        <v>3151673</v>
      </c>
      <c r="X537" s="396">
        <v>-1113634</v>
      </c>
      <c r="Y537" s="396"/>
      <c r="Z537" s="396"/>
    </row>
    <row r="538" spans="1:27">
      <c r="A538" s="390">
        <v>95813</v>
      </c>
      <c r="B538" s="391" t="s">
        <v>1238</v>
      </c>
      <c r="C538" s="234">
        <v>4.6100000000000002E-5</v>
      </c>
      <c r="D538" s="234">
        <v>4.21E-5</v>
      </c>
      <c r="E538" s="231">
        <v>70699</v>
      </c>
      <c r="F538" s="231" t="s">
        <v>1924</v>
      </c>
      <c r="G538" s="392">
        <v>22492</v>
      </c>
      <c r="H538" s="392">
        <v>0</v>
      </c>
      <c r="I538" s="392">
        <v>44417</v>
      </c>
      <c r="J538" s="231">
        <v>40043</v>
      </c>
      <c r="K538" s="231">
        <v>106952</v>
      </c>
      <c r="L538" s="231"/>
      <c r="M538" s="300">
        <v>0</v>
      </c>
      <c r="N538" s="300">
        <v>101007</v>
      </c>
      <c r="O538" s="300">
        <v>0</v>
      </c>
      <c r="P538" s="231">
        <v>0</v>
      </c>
      <c r="Q538" s="231">
        <v>101007</v>
      </c>
      <c r="R538" s="231"/>
      <c r="S538" s="392">
        <v>30502</v>
      </c>
      <c r="T538" s="231">
        <v>31298</v>
      </c>
      <c r="U538" s="396">
        <v>61800</v>
      </c>
      <c r="V538" s="231"/>
      <c r="W538" s="396">
        <v>274447</v>
      </c>
      <c r="X538" s="396">
        <v>-96975</v>
      </c>
      <c r="Y538" s="396"/>
      <c r="Z538" s="396"/>
    </row>
    <row r="539" spans="1:27">
      <c r="A539" s="390">
        <v>95821</v>
      </c>
      <c r="B539" s="391" t="s">
        <v>1239</v>
      </c>
      <c r="C539" s="234">
        <v>7.0999999999999998E-6</v>
      </c>
      <c r="D539" s="234">
        <v>5.9000000000000003E-6</v>
      </c>
      <c r="E539" s="231">
        <v>10889</v>
      </c>
      <c r="F539" s="231" t="s">
        <v>1924</v>
      </c>
      <c r="G539" s="392">
        <v>3464</v>
      </c>
      <c r="H539" s="392">
        <v>0</v>
      </c>
      <c r="I539" s="392">
        <v>6841</v>
      </c>
      <c r="J539" s="231">
        <v>4082</v>
      </c>
      <c r="K539" s="231">
        <v>14387</v>
      </c>
      <c r="L539" s="231"/>
      <c r="M539" s="300">
        <v>0</v>
      </c>
      <c r="N539" s="300">
        <v>15556</v>
      </c>
      <c r="O539" s="300">
        <v>0</v>
      </c>
      <c r="P539" s="231">
        <v>461</v>
      </c>
      <c r="Q539" s="231">
        <v>16017</v>
      </c>
      <c r="R539" s="231"/>
      <c r="S539" s="392">
        <v>4698</v>
      </c>
      <c r="T539" s="231">
        <v>1642</v>
      </c>
      <c r="U539" s="396">
        <v>6340</v>
      </c>
      <c r="V539" s="231"/>
      <c r="W539" s="396">
        <v>42268</v>
      </c>
      <c r="X539" s="396">
        <v>-14935</v>
      </c>
      <c r="Y539" s="396"/>
      <c r="Z539" s="396"/>
    </row>
    <row r="540" spans="1:27">
      <c r="A540" s="390">
        <v>95831</v>
      </c>
      <c r="B540" s="391" t="s">
        <v>1240</v>
      </c>
      <c r="C540" s="234">
        <v>2.02E-5</v>
      </c>
      <c r="D540" s="234">
        <v>1.3699999999999999E-5</v>
      </c>
      <c r="E540" s="231">
        <v>30979</v>
      </c>
      <c r="F540" s="231" t="s">
        <v>1924</v>
      </c>
      <c r="G540" s="392">
        <v>9855</v>
      </c>
      <c r="H540" s="392">
        <v>0</v>
      </c>
      <c r="I540" s="392">
        <v>19462</v>
      </c>
      <c r="J540" s="231">
        <v>21668</v>
      </c>
      <c r="K540" s="231">
        <v>50985</v>
      </c>
      <c r="L540" s="231"/>
      <c r="M540" s="300">
        <v>0</v>
      </c>
      <c r="N540" s="300">
        <v>44259</v>
      </c>
      <c r="O540" s="300">
        <v>0</v>
      </c>
      <c r="P540" s="231">
        <v>0</v>
      </c>
      <c r="Q540" s="231">
        <v>44259</v>
      </c>
      <c r="R540" s="231"/>
      <c r="S540" s="392">
        <v>13365</v>
      </c>
      <c r="T540" s="231">
        <v>12964</v>
      </c>
      <c r="U540" s="396">
        <v>26329</v>
      </c>
      <c r="V540" s="231"/>
      <c r="W540" s="396">
        <v>120256</v>
      </c>
      <c r="X540" s="396">
        <v>-42492</v>
      </c>
      <c r="Y540" s="396"/>
      <c r="Z540" s="396"/>
    </row>
    <row r="541" spans="1:27">
      <c r="A541" s="390">
        <v>95841</v>
      </c>
      <c r="B541" s="391" t="s">
        <v>1241</v>
      </c>
      <c r="C541" s="234">
        <v>2.5299999999999998E-5</v>
      </c>
      <c r="D541" s="234">
        <v>2.6400000000000001E-5</v>
      </c>
      <c r="E541" s="231">
        <v>38800</v>
      </c>
      <c r="F541" s="231" t="s">
        <v>1924</v>
      </c>
      <c r="G541" s="392">
        <v>12344</v>
      </c>
      <c r="H541" s="392">
        <v>0</v>
      </c>
      <c r="I541" s="392">
        <v>24376</v>
      </c>
      <c r="J541" s="231">
        <v>2430</v>
      </c>
      <c r="K541" s="231">
        <v>39150</v>
      </c>
      <c r="L541" s="231"/>
      <c r="M541" s="300">
        <v>0</v>
      </c>
      <c r="N541" s="300">
        <v>55434</v>
      </c>
      <c r="O541" s="300">
        <v>0</v>
      </c>
      <c r="P541" s="231">
        <v>4327</v>
      </c>
      <c r="Q541" s="231">
        <v>59761</v>
      </c>
      <c r="R541" s="231"/>
      <c r="S541" s="392">
        <v>16740</v>
      </c>
      <c r="T541" s="231">
        <v>109</v>
      </c>
      <c r="U541" s="396">
        <v>16849</v>
      </c>
      <c r="V541" s="231"/>
      <c r="W541" s="396">
        <v>150618</v>
      </c>
      <c r="X541" s="396">
        <v>-53220</v>
      </c>
      <c r="Y541" s="396"/>
      <c r="Z541" s="396"/>
    </row>
    <row r="542" spans="1:27">
      <c r="A542" s="390">
        <v>95851</v>
      </c>
      <c r="B542" s="391" t="s">
        <v>1242</v>
      </c>
      <c r="C542" s="234">
        <v>1.0840000000000001E-4</v>
      </c>
      <c r="D542" s="234">
        <v>1.261E-4</v>
      </c>
      <c r="E542" s="231">
        <v>166242</v>
      </c>
      <c r="F542" s="231" t="s">
        <v>1924</v>
      </c>
      <c r="G542" s="392">
        <v>52887</v>
      </c>
      <c r="H542" s="392">
        <v>0</v>
      </c>
      <c r="I542" s="392">
        <v>104442</v>
      </c>
      <c r="J542" s="231">
        <v>39909</v>
      </c>
      <c r="K542" s="231">
        <v>197238</v>
      </c>
      <c r="L542" s="231"/>
      <c r="M542" s="300">
        <v>0</v>
      </c>
      <c r="N542" s="300">
        <v>237510</v>
      </c>
      <c r="O542" s="300">
        <v>0</v>
      </c>
      <c r="P542" s="231">
        <v>33144</v>
      </c>
      <c r="Q542" s="231">
        <v>270654</v>
      </c>
      <c r="R542" s="231"/>
      <c r="S542" s="392">
        <v>71722</v>
      </c>
      <c r="T542" s="231">
        <v>33603</v>
      </c>
      <c r="U542" s="396">
        <v>105325</v>
      </c>
      <c r="V542" s="231"/>
      <c r="W542" s="396">
        <v>645337</v>
      </c>
      <c r="X542" s="396">
        <v>-228028</v>
      </c>
      <c r="Y542" s="396"/>
      <c r="Z542" s="396"/>
    </row>
    <row r="543" spans="1:27">
      <c r="A543" s="51">
        <v>95853</v>
      </c>
      <c r="B543" s="294" t="s">
        <v>1243</v>
      </c>
      <c r="C543" s="234">
        <v>2.8E-5</v>
      </c>
      <c r="D543" s="234">
        <v>2.97E-5</v>
      </c>
      <c r="E543" s="231">
        <v>42941</v>
      </c>
      <c r="F543" s="231" t="s">
        <v>1924</v>
      </c>
      <c r="G543" s="232">
        <v>13661</v>
      </c>
      <c r="H543" s="232">
        <v>0</v>
      </c>
      <c r="I543" s="232">
        <v>26978</v>
      </c>
      <c r="J543" s="231">
        <v>913</v>
      </c>
      <c r="K543" s="231">
        <v>41552</v>
      </c>
      <c r="L543" s="231"/>
      <c r="M543" s="225">
        <v>0</v>
      </c>
      <c r="N543" s="225">
        <v>61349</v>
      </c>
      <c r="O543" s="225">
        <v>0</v>
      </c>
      <c r="P543" s="231">
        <v>2349</v>
      </c>
      <c r="Q543" s="231">
        <v>63698</v>
      </c>
      <c r="R543" s="231"/>
      <c r="S543" s="232">
        <v>18526</v>
      </c>
      <c r="T543" s="231">
        <v>950</v>
      </c>
      <c r="U543" s="233">
        <v>19476</v>
      </c>
      <c r="V543" s="231"/>
      <c r="W543" s="233">
        <v>166692</v>
      </c>
      <c r="X543" s="233">
        <v>-58900</v>
      </c>
      <c r="Y543" s="233"/>
      <c r="Z543" s="233"/>
      <c r="AA543" s="225"/>
    </row>
    <row r="544" spans="1:27">
      <c r="A544" s="390">
        <v>95901</v>
      </c>
      <c r="B544" s="391" t="s">
        <v>1244</v>
      </c>
      <c r="C544" s="234">
        <v>2.0098999999999998E-3</v>
      </c>
      <c r="D544" s="234">
        <v>1.9843999999999999E-3</v>
      </c>
      <c r="E544" s="231">
        <v>3082375</v>
      </c>
      <c r="F544" s="231" t="s">
        <v>1924</v>
      </c>
      <c r="G544" s="392">
        <v>980614</v>
      </c>
      <c r="H544" s="392">
        <v>0</v>
      </c>
      <c r="I544" s="392">
        <v>1936519</v>
      </c>
      <c r="J544" s="231">
        <v>42318</v>
      </c>
      <c r="K544" s="231">
        <v>2959451</v>
      </c>
      <c r="L544" s="231"/>
      <c r="M544" s="300">
        <v>0</v>
      </c>
      <c r="N544" s="300">
        <v>4403787</v>
      </c>
      <c r="O544" s="300">
        <v>0</v>
      </c>
      <c r="P544" s="231">
        <v>21661</v>
      </c>
      <c r="Q544" s="231">
        <v>4425448</v>
      </c>
      <c r="R544" s="231"/>
      <c r="S544" s="392">
        <v>1329834</v>
      </c>
      <c r="T544" s="231">
        <v>1771</v>
      </c>
      <c r="U544" s="396">
        <v>1331605</v>
      </c>
      <c r="V544" s="231"/>
      <c r="W544" s="396">
        <v>11965522</v>
      </c>
      <c r="X544" s="396">
        <v>-4227979</v>
      </c>
      <c r="Y544" s="396"/>
      <c r="Z544" s="396"/>
    </row>
    <row r="545" spans="1:26">
      <c r="A545" s="390">
        <v>95908</v>
      </c>
      <c r="B545" s="391" t="s">
        <v>1245</v>
      </c>
      <c r="C545" s="234">
        <v>5.8999999999999998E-5</v>
      </c>
      <c r="D545" s="234">
        <v>5.7399999999999999E-5</v>
      </c>
      <c r="E545" s="231">
        <v>90482</v>
      </c>
      <c r="F545" s="231" t="s">
        <v>1924</v>
      </c>
      <c r="G545" s="392">
        <v>28786</v>
      </c>
      <c r="H545" s="392">
        <v>0</v>
      </c>
      <c r="I545" s="392">
        <v>56846</v>
      </c>
      <c r="J545" s="231">
        <v>1554</v>
      </c>
      <c r="K545" s="231">
        <v>87186</v>
      </c>
      <c r="L545" s="231"/>
      <c r="M545" s="300">
        <v>0</v>
      </c>
      <c r="N545" s="300">
        <v>129272</v>
      </c>
      <c r="O545" s="300">
        <v>0</v>
      </c>
      <c r="P545" s="231">
        <v>16080</v>
      </c>
      <c r="Q545" s="231">
        <v>145352</v>
      </c>
      <c r="R545" s="231"/>
      <c r="S545" s="392">
        <v>39037</v>
      </c>
      <c r="T545" s="231">
        <v>-10334</v>
      </c>
      <c r="U545" s="396">
        <v>28703</v>
      </c>
      <c r="V545" s="231"/>
      <c r="W545" s="396">
        <v>351244</v>
      </c>
      <c r="X545" s="396">
        <v>-124111</v>
      </c>
      <c r="Y545" s="396"/>
      <c r="Z545" s="396"/>
    </row>
    <row r="546" spans="1:26">
      <c r="A546" s="390">
        <v>95911</v>
      </c>
      <c r="B546" s="391" t="s">
        <v>1246</v>
      </c>
      <c r="C546" s="234">
        <v>5.1449999999999998E-4</v>
      </c>
      <c r="D546" s="234">
        <v>5.5429999999999998E-4</v>
      </c>
      <c r="E546" s="231">
        <v>789035</v>
      </c>
      <c r="F546" s="231" t="s">
        <v>1924</v>
      </c>
      <c r="G546" s="392">
        <v>251020</v>
      </c>
      <c r="H546" s="392">
        <v>0</v>
      </c>
      <c r="I546" s="392">
        <v>495716</v>
      </c>
      <c r="J546" s="231">
        <v>0</v>
      </c>
      <c r="K546" s="231">
        <v>746736</v>
      </c>
      <c r="L546" s="231"/>
      <c r="M546" s="300">
        <v>0</v>
      </c>
      <c r="N546" s="300">
        <v>1127294</v>
      </c>
      <c r="O546" s="300">
        <v>0</v>
      </c>
      <c r="P546" s="231">
        <v>95691</v>
      </c>
      <c r="Q546" s="231">
        <v>1222985</v>
      </c>
      <c r="R546" s="231"/>
      <c r="S546" s="392">
        <v>340415</v>
      </c>
      <c r="T546" s="231">
        <v>-42651</v>
      </c>
      <c r="U546" s="396">
        <v>297764</v>
      </c>
      <c r="V546" s="231"/>
      <c r="W546" s="396">
        <v>3062969</v>
      </c>
      <c r="X546" s="396">
        <v>-1082290</v>
      </c>
      <c r="Y546" s="396"/>
      <c r="Z546" s="396"/>
    </row>
    <row r="547" spans="1:26">
      <c r="A547" s="390">
        <v>95917</v>
      </c>
      <c r="B547" s="391" t="s">
        <v>1247</v>
      </c>
      <c r="C547" s="234">
        <v>3.0899999999999999E-5</v>
      </c>
      <c r="D547" s="234">
        <v>2.2099999999999998E-5</v>
      </c>
      <c r="E547" s="231">
        <v>47388</v>
      </c>
      <c r="F547" s="231" t="s">
        <v>1924</v>
      </c>
      <c r="G547" s="392">
        <v>15076</v>
      </c>
      <c r="H547" s="392">
        <v>0</v>
      </c>
      <c r="I547" s="392">
        <v>29772</v>
      </c>
      <c r="J547" s="231">
        <v>18912</v>
      </c>
      <c r="K547" s="231">
        <v>63760</v>
      </c>
      <c r="L547" s="231"/>
      <c r="M547" s="300">
        <v>0</v>
      </c>
      <c r="N547" s="300">
        <v>67703</v>
      </c>
      <c r="O547" s="300">
        <v>0</v>
      </c>
      <c r="P547" s="231">
        <v>795</v>
      </c>
      <c r="Q547" s="231">
        <v>68498</v>
      </c>
      <c r="R547" s="231"/>
      <c r="S547" s="392">
        <v>20445</v>
      </c>
      <c r="T547" s="231">
        <v>6743</v>
      </c>
      <c r="U547" s="396">
        <v>27188</v>
      </c>
      <c r="V547" s="231"/>
      <c r="W547" s="396">
        <v>183957</v>
      </c>
      <c r="X547" s="396">
        <v>-65001</v>
      </c>
      <c r="Y547" s="396"/>
      <c r="Z547" s="396"/>
    </row>
    <row r="548" spans="1:26">
      <c r="A548" s="390">
        <v>95921</v>
      </c>
      <c r="B548" s="391" t="s">
        <v>1248</v>
      </c>
      <c r="C548" s="234">
        <v>3.7200000000000003E-5</v>
      </c>
      <c r="D548" s="234">
        <v>5.0099999999999998E-5</v>
      </c>
      <c r="E548" s="231">
        <v>57050</v>
      </c>
      <c r="F548" s="231" t="s">
        <v>1924</v>
      </c>
      <c r="G548" s="392">
        <v>18150</v>
      </c>
      <c r="H548" s="392">
        <v>0</v>
      </c>
      <c r="I548" s="392">
        <v>35842</v>
      </c>
      <c r="J548" s="231">
        <v>2900</v>
      </c>
      <c r="K548" s="231">
        <v>56892</v>
      </c>
      <c r="L548" s="231"/>
      <c r="M548" s="300">
        <v>0</v>
      </c>
      <c r="N548" s="300">
        <v>81507</v>
      </c>
      <c r="O548" s="300">
        <v>0</v>
      </c>
      <c r="P548" s="231">
        <v>18108</v>
      </c>
      <c r="Q548" s="231">
        <v>99615</v>
      </c>
      <c r="R548" s="231"/>
      <c r="S548" s="392">
        <v>24613</v>
      </c>
      <c r="T548" s="231">
        <v>-4456</v>
      </c>
      <c r="U548" s="396">
        <v>20157</v>
      </c>
      <c r="V548" s="231"/>
      <c r="W548" s="396">
        <v>221462</v>
      </c>
      <c r="X548" s="396">
        <v>-78253</v>
      </c>
      <c r="Y548" s="396"/>
      <c r="Z548" s="396"/>
    </row>
    <row r="549" spans="1:26">
      <c r="A549" s="390">
        <v>96001</v>
      </c>
      <c r="B549" s="391" t="s">
        <v>1249</v>
      </c>
      <c r="C549" s="234">
        <v>4.5452399999999997E-2</v>
      </c>
      <c r="D549" s="234">
        <v>4.6503500000000003E-2</v>
      </c>
      <c r="E549" s="231">
        <v>69705619</v>
      </c>
      <c r="F549" s="231" t="s">
        <v>1924</v>
      </c>
      <c r="G549" s="392">
        <v>22175862</v>
      </c>
      <c r="H549" s="392">
        <v>0</v>
      </c>
      <c r="I549" s="392">
        <v>43792933</v>
      </c>
      <c r="J549" s="231">
        <v>1396255</v>
      </c>
      <c r="K549" s="231">
        <v>67365050</v>
      </c>
      <c r="L549" s="231"/>
      <c r="M549" s="300">
        <v>0</v>
      </c>
      <c r="N549" s="300">
        <v>99588390</v>
      </c>
      <c r="O549" s="300">
        <v>0</v>
      </c>
      <c r="P549" s="231">
        <v>2179254</v>
      </c>
      <c r="Q549" s="231">
        <v>101767644</v>
      </c>
      <c r="R549" s="231"/>
      <c r="S549" s="392">
        <v>30073217</v>
      </c>
      <c r="T549" s="231">
        <v>-172381</v>
      </c>
      <c r="U549" s="396">
        <v>29900836</v>
      </c>
      <c r="V549" s="231"/>
      <c r="W549" s="396">
        <v>270591409</v>
      </c>
      <c r="X549" s="396">
        <v>-95612623</v>
      </c>
      <c r="Y549" s="396"/>
      <c r="Z549" s="396"/>
    </row>
    <row r="550" spans="1:26">
      <c r="A550" s="390">
        <v>96003</v>
      </c>
      <c r="B550" s="391" t="s">
        <v>1250</v>
      </c>
      <c r="C550" s="234">
        <v>2.0500000000000002E-3</v>
      </c>
      <c r="D550" s="234">
        <v>1.781E-3</v>
      </c>
      <c r="E550" s="231">
        <v>3143872</v>
      </c>
      <c r="F550" s="231" t="s">
        <v>1924</v>
      </c>
      <c r="G550" s="392">
        <v>1000179</v>
      </c>
      <c r="H550" s="392">
        <v>0</v>
      </c>
      <c r="I550" s="392">
        <v>1975155</v>
      </c>
      <c r="J550" s="231">
        <v>515550</v>
      </c>
      <c r="K550" s="231">
        <v>3490884</v>
      </c>
      <c r="L550" s="231"/>
      <c r="M550" s="300">
        <v>0</v>
      </c>
      <c r="N550" s="300">
        <v>4491648</v>
      </c>
      <c r="O550" s="300">
        <v>0</v>
      </c>
      <c r="P550" s="231">
        <v>20883</v>
      </c>
      <c r="Q550" s="231">
        <v>4512531</v>
      </c>
      <c r="R550" s="231"/>
      <c r="S550" s="392">
        <v>1356366</v>
      </c>
      <c r="T550" s="231">
        <v>157487</v>
      </c>
      <c r="U550" s="396">
        <v>1513853</v>
      </c>
      <c r="V550" s="231"/>
      <c r="W550" s="396">
        <v>12204249</v>
      </c>
      <c r="X550" s="396">
        <v>-4312333</v>
      </c>
      <c r="Y550" s="396"/>
      <c r="Z550" s="396"/>
    </row>
    <row r="551" spans="1:26">
      <c r="A551" s="390">
        <v>96004</v>
      </c>
      <c r="B551" s="391" t="s">
        <v>1251</v>
      </c>
      <c r="C551" s="234">
        <v>1.0675999999999999E-3</v>
      </c>
      <c r="D551" s="234">
        <v>9.8489999999999992E-4</v>
      </c>
      <c r="E551" s="231">
        <v>1637267</v>
      </c>
      <c r="F551" s="231" t="s">
        <v>1924</v>
      </c>
      <c r="G551" s="392">
        <v>520873</v>
      </c>
      <c r="H551" s="392">
        <v>0</v>
      </c>
      <c r="I551" s="392">
        <v>1028622</v>
      </c>
      <c r="J551" s="231">
        <v>399177</v>
      </c>
      <c r="K551" s="231">
        <v>1948672</v>
      </c>
      <c r="L551" s="231"/>
      <c r="M551" s="300">
        <v>0</v>
      </c>
      <c r="N551" s="300">
        <v>2339163</v>
      </c>
      <c r="O551" s="300">
        <v>0</v>
      </c>
      <c r="P551" s="231">
        <v>0</v>
      </c>
      <c r="Q551" s="231">
        <v>2339163</v>
      </c>
      <c r="R551" s="231"/>
      <c r="S551" s="392">
        <v>706369</v>
      </c>
      <c r="T551" s="231">
        <v>175216</v>
      </c>
      <c r="U551" s="396">
        <v>881585</v>
      </c>
      <c r="V551" s="231"/>
      <c r="W551" s="396">
        <v>6355735</v>
      </c>
      <c r="X551" s="396">
        <v>-2245779</v>
      </c>
      <c r="Y551" s="396"/>
      <c r="Z551" s="396"/>
    </row>
    <row r="552" spans="1:26">
      <c r="A552" s="390">
        <v>96005</v>
      </c>
      <c r="B552" s="391" t="s">
        <v>1252</v>
      </c>
      <c r="C552" s="234">
        <v>2.6773999999999999E-3</v>
      </c>
      <c r="D552" s="234">
        <v>2.4903999999999998E-3</v>
      </c>
      <c r="E552" s="231">
        <v>4106050</v>
      </c>
      <c r="F552" s="231" t="s">
        <v>1924</v>
      </c>
      <c r="G552" s="392">
        <v>1306282</v>
      </c>
      <c r="H552" s="392">
        <v>0</v>
      </c>
      <c r="I552" s="392">
        <v>2579648</v>
      </c>
      <c r="J552" s="231">
        <v>354737</v>
      </c>
      <c r="K552" s="231">
        <v>4240667</v>
      </c>
      <c r="L552" s="231"/>
      <c r="M552" s="300">
        <v>0</v>
      </c>
      <c r="N552" s="300">
        <v>5866312</v>
      </c>
      <c r="O552" s="300">
        <v>0</v>
      </c>
      <c r="P552" s="231">
        <v>50310</v>
      </c>
      <c r="Q552" s="231">
        <v>5916622</v>
      </c>
      <c r="R552" s="231"/>
      <c r="S552" s="392">
        <v>1771480</v>
      </c>
      <c r="T552" s="231">
        <v>112317</v>
      </c>
      <c r="U552" s="396">
        <v>1883797</v>
      </c>
      <c r="V552" s="231"/>
      <c r="W552" s="396">
        <v>15939344</v>
      </c>
      <c r="X552" s="396">
        <v>-5632117</v>
      </c>
      <c r="Y552" s="396"/>
      <c r="Z552" s="396"/>
    </row>
    <row r="553" spans="1:26">
      <c r="A553" s="390">
        <v>96008</v>
      </c>
      <c r="B553" s="391" t="s">
        <v>1253</v>
      </c>
      <c r="C553" s="234">
        <v>5.5976000000000003E-3</v>
      </c>
      <c r="D553" s="234">
        <v>6.1444999999999998E-3</v>
      </c>
      <c r="E553" s="231">
        <v>8584457</v>
      </c>
      <c r="F553" s="231" t="s">
        <v>1924</v>
      </c>
      <c r="G553" s="392">
        <v>2731024</v>
      </c>
      <c r="H553" s="392">
        <v>0</v>
      </c>
      <c r="I553" s="392">
        <v>5393232</v>
      </c>
      <c r="J553" s="231">
        <v>0</v>
      </c>
      <c r="K553" s="231">
        <v>8124256</v>
      </c>
      <c r="L553" s="231"/>
      <c r="M553" s="300">
        <v>0</v>
      </c>
      <c r="N553" s="300">
        <v>12264610</v>
      </c>
      <c r="O553" s="300">
        <v>0</v>
      </c>
      <c r="P553" s="231">
        <v>2426673</v>
      </c>
      <c r="Q553" s="231">
        <v>14691283</v>
      </c>
      <c r="R553" s="231"/>
      <c r="S553" s="392">
        <v>3703607</v>
      </c>
      <c r="T553" s="231">
        <v>-1134445</v>
      </c>
      <c r="U553" s="396">
        <v>2569162</v>
      </c>
      <c r="V553" s="231"/>
      <c r="W553" s="396">
        <v>33324147</v>
      </c>
      <c r="X553" s="396">
        <v>-11774983</v>
      </c>
      <c r="Y553" s="396"/>
      <c r="Z553" s="396"/>
    </row>
    <row r="554" spans="1:26">
      <c r="A554" s="390">
        <v>96009</v>
      </c>
      <c r="B554" s="391" t="s">
        <v>1254</v>
      </c>
      <c r="C554" s="234">
        <v>3.8479999999999997E-4</v>
      </c>
      <c r="D554" s="234">
        <v>3.814E-4</v>
      </c>
      <c r="E554" s="231">
        <v>590128</v>
      </c>
      <c r="F554" s="231" t="s">
        <v>1924</v>
      </c>
      <c r="G554" s="392">
        <v>187741</v>
      </c>
      <c r="H554" s="392">
        <v>0</v>
      </c>
      <c r="I554" s="392">
        <v>370751</v>
      </c>
      <c r="J554" s="231">
        <v>46237</v>
      </c>
      <c r="K554" s="231">
        <v>604729</v>
      </c>
      <c r="L554" s="231"/>
      <c r="M554" s="300">
        <v>0</v>
      </c>
      <c r="N554" s="300">
        <v>843115</v>
      </c>
      <c r="O554" s="300">
        <v>0</v>
      </c>
      <c r="P554" s="231">
        <v>2708</v>
      </c>
      <c r="Q554" s="231">
        <v>845823</v>
      </c>
      <c r="R554" s="231"/>
      <c r="S554" s="392">
        <v>254600</v>
      </c>
      <c r="T554" s="231">
        <v>30007</v>
      </c>
      <c r="U554" s="396">
        <v>284607</v>
      </c>
      <c r="V554" s="231"/>
      <c r="W554" s="396">
        <v>2290827</v>
      </c>
      <c r="X554" s="396">
        <v>-809456</v>
      </c>
      <c r="Y554" s="396"/>
      <c r="Z554" s="396"/>
    </row>
    <row r="555" spans="1:26">
      <c r="A555" s="390">
        <v>96011</v>
      </c>
      <c r="B555" s="391" t="s">
        <v>1255</v>
      </c>
      <c r="C555" s="234">
        <v>6.8435399999999993E-2</v>
      </c>
      <c r="D555" s="234">
        <v>6.4782000000000006E-2</v>
      </c>
      <c r="E555" s="231">
        <v>104952256</v>
      </c>
      <c r="F555" s="231" t="s">
        <v>1924</v>
      </c>
      <c r="G555" s="392">
        <v>33389084</v>
      </c>
      <c r="H555" s="392">
        <v>0</v>
      </c>
      <c r="I555" s="392">
        <v>65936824</v>
      </c>
      <c r="J555" s="231">
        <v>7985539</v>
      </c>
      <c r="K555" s="231">
        <v>107311447</v>
      </c>
      <c r="L555" s="231"/>
      <c r="M555" s="300">
        <v>0</v>
      </c>
      <c r="N555" s="300">
        <v>149945246</v>
      </c>
      <c r="O555" s="300">
        <v>0</v>
      </c>
      <c r="P555" s="231">
        <v>0</v>
      </c>
      <c r="Q555" s="231">
        <v>149945246</v>
      </c>
      <c r="R555" s="231"/>
      <c r="S555" s="392">
        <v>45279735</v>
      </c>
      <c r="T555" s="231">
        <v>3368098</v>
      </c>
      <c r="U555" s="396">
        <v>48647833</v>
      </c>
      <c r="V555" s="231"/>
      <c r="W555" s="396">
        <v>407415919</v>
      </c>
      <c r="X555" s="396">
        <v>-143959133</v>
      </c>
      <c r="Y555" s="396"/>
      <c r="Z555" s="396"/>
    </row>
    <row r="556" spans="1:26">
      <c r="A556" s="390">
        <v>96012</v>
      </c>
      <c r="B556" s="391" t="s">
        <v>1256</v>
      </c>
      <c r="C556" s="234">
        <v>2.3944000000000001E-3</v>
      </c>
      <c r="D556" s="234">
        <v>2.4705999999999999E-3</v>
      </c>
      <c r="E556" s="231">
        <v>3672042</v>
      </c>
      <c r="F556" s="231" t="s">
        <v>1924</v>
      </c>
      <c r="G556" s="392">
        <v>1168209</v>
      </c>
      <c r="H556" s="392">
        <v>0</v>
      </c>
      <c r="I556" s="392">
        <v>2306980</v>
      </c>
      <c r="J556" s="231">
        <v>13644</v>
      </c>
      <c r="K556" s="231">
        <v>3488833</v>
      </c>
      <c r="L556" s="231"/>
      <c r="M556" s="300">
        <v>0</v>
      </c>
      <c r="N556" s="300">
        <v>5246245</v>
      </c>
      <c r="O556" s="300">
        <v>0</v>
      </c>
      <c r="P556" s="231">
        <v>312979</v>
      </c>
      <c r="Q556" s="231">
        <v>5559224</v>
      </c>
      <c r="R556" s="231"/>
      <c r="S556" s="392">
        <v>1584236</v>
      </c>
      <c r="T556" s="231">
        <v>-103298</v>
      </c>
      <c r="U556" s="396">
        <v>1480938</v>
      </c>
      <c r="V556" s="231"/>
      <c r="W556" s="396">
        <v>14254562</v>
      </c>
      <c r="X556" s="396">
        <v>-5036805</v>
      </c>
      <c r="Y556" s="396"/>
      <c r="Z556" s="396"/>
    </row>
    <row r="557" spans="1:26">
      <c r="A557" s="390">
        <v>96018</v>
      </c>
      <c r="B557" s="391" t="s">
        <v>1257</v>
      </c>
      <c r="C557" s="234">
        <v>4.1100000000000003E-5</v>
      </c>
      <c r="D557" s="234">
        <v>3.57E-5</v>
      </c>
      <c r="E557" s="231">
        <v>63031</v>
      </c>
      <c r="F557" s="231" t="s">
        <v>1924</v>
      </c>
      <c r="G557" s="392">
        <v>20052</v>
      </c>
      <c r="H557" s="392">
        <v>0</v>
      </c>
      <c r="I557" s="392">
        <v>39599</v>
      </c>
      <c r="J557" s="231">
        <v>14688</v>
      </c>
      <c r="K557" s="231">
        <v>74339</v>
      </c>
      <c r="L557" s="231"/>
      <c r="M557" s="300">
        <v>0</v>
      </c>
      <c r="N557" s="300">
        <v>90052</v>
      </c>
      <c r="O557" s="300">
        <v>0</v>
      </c>
      <c r="P557" s="231">
        <v>4411</v>
      </c>
      <c r="Q557" s="231">
        <v>94463</v>
      </c>
      <c r="R557" s="231"/>
      <c r="S557" s="392">
        <v>27193</v>
      </c>
      <c r="T557" s="231">
        <v>4072</v>
      </c>
      <c r="U557" s="396">
        <v>31265</v>
      </c>
      <c r="V557" s="231"/>
      <c r="W557" s="396">
        <v>244680</v>
      </c>
      <c r="X557" s="396">
        <v>-86457</v>
      </c>
      <c r="Y557" s="396"/>
      <c r="Z557" s="396"/>
    </row>
    <row r="558" spans="1:26">
      <c r="A558" s="390">
        <v>96021</v>
      </c>
      <c r="B558" s="391" t="s">
        <v>1258</v>
      </c>
      <c r="C558" s="234">
        <v>7.0790000000000002E-4</v>
      </c>
      <c r="D558" s="234">
        <v>7.0450000000000005E-4</v>
      </c>
      <c r="E558" s="231">
        <v>1085633</v>
      </c>
      <c r="F558" s="231" t="s">
        <v>1924</v>
      </c>
      <c r="G558" s="392">
        <v>345379</v>
      </c>
      <c r="H558" s="392">
        <v>0</v>
      </c>
      <c r="I558" s="392">
        <v>682055</v>
      </c>
      <c r="J558" s="231">
        <v>4446</v>
      </c>
      <c r="K558" s="231">
        <v>1031880</v>
      </c>
      <c r="L558" s="231"/>
      <c r="M558" s="300">
        <v>0</v>
      </c>
      <c r="N558" s="300">
        <v>1551043</v>
      </c>
      <c r="O558" s="300">
        <v>0</v>
      </c>
      <c r="P558" s="231">
        <v>60090</v>
      </c>
      <c r="Q558" s="231">
        <v>1611133</v>
      </c>
      <c r="R558" s="231"/>
      <c r="S558" s="392">
        <v>468376</v>
      </c>
      <c r="T558" s="231">
        <v>-50515</v>
      </c>
      <c r="U558" s="396">
        <v>417861</v>
      </c>
      <c r="V558" s="231"/>
      <c r="W558" s="396">
        <v>4214335</v>
      </c>
      <c r="X558" s="396">
        <v>-1489122</v>
      </c>
      <c r="Y558" s="396"/>
      <c r="Z558" s="396"/>
    </row>
    <row r="559" spans="1:26">
      <c r="A559" s="390">
        <v>96031</v>
      </c>
      <c r="B559" s="391" t="s">
        <v>1259</v>
      </c>
      <c r="C559" s="234">
        <v>7.9569999999999999E-4</v>
      </c>
      <c r="D559" s="234">
        <v>8.2890000000000004E-4</v>
      </c>
      <c r="E559" s="231">
        <v>1220282</v>
      </c>
      <c r="F559" s="231" t="s">
        <v>1924</v>
      </c>
      <c r="G559" s="392">
        <v>388216</v>
      </c>
      <c r="H559" s="392">
        <v>0</v>
      </c>
      <c r="I559" s="392">
        <v>766649</v>
      </c>
      <c r="J559" s="231">
        <v>0</v>
      </c>
      <c r="K559" s="231">
        <v>1154865</v>
      </c>
      <c r="L559" s="231"/>
      <c r="M559" s="300">
        <v>0</v>
      </c>
      <c r="N559" s="300">
        <v>1743417</v>
      </c>
      <c r="O559" s="300">
        <v>0</v>
      </c>
      <c r="P559" s="231">
        <v>180031</v>
      </c>
      <c r="Q559" s="231">
        <v>1923448</v>
      </c>
      <c r="R559" s="231"/>
      <c r="S559" s="392">
        <v>526469</v>
      </c>
      <c r="T559" s="231">
        <v>-103378</v>
      </c>
      <c r="U559" s="396">
        <v>423091</v>
      </c>
      <c r="V559" s="231"/>
      <c r="W559" s="396">
        <v>4737034</v>
      </c>
      <c r="X559" s="396">
        <v>-1673816</v>
      </c>
      <c r="Y559" s="396"/>
      <c r="Z559" s="396"/>
    </row>
    <row r="560" spans="1:26">
      <c r="A560" s="390">
        <v>96041</v>
      </c>
      <c r="B560" s="391" t="s">
        <v>1260</v>
      </c>
      <c r="C560" s="234">
        <v>1.8835E-3</v>
      </c>
      <c r="D560" s="234">
        <v>1.7784000000000001E-3</v>
      </c>
      <c r="E560" s="231">
        <v>2888528</v>
      </c>
      <c r="F560" s="231" t="s">
        <v>1924</v>
      </c>
      <c r="G560" s="392">
        <v>918945</v>
      </c>
      <c r="H560" s="392">
        <v>0</v>
      </c>
      <c r="I560" s="392">
        <v>1814733</v>
      </c>
      <c r="J560" s="231">
        <v>109427</v>
      </c>
      <c r="K560" s="231">
        <v>2843105</v>
      </c>
      <c r="L560" s="231"/>
      <c r="M560" s="300">
        <v>0</v>
      </c>
      <c r="N560" s="300">
        <v>4126839</v>
      </c>
      <c r="O560" s="300">
        <v>0</v>
      </c>
      <c r="P560" s="231">
        <v>20740</v>
      </c>
      <c r="Q560" s="231">
        <v>4147579</v>
      </c>
      <c r="R560" s="231"/>
      <c r="S560" s="392">
        <v>1246203</v>
      </c>
      <c r="T560" s="231">
        <v>3569</v>
      </c>
      <c r="U560" s="396">
        <v>1249772</v>
      </c>
      <c r="V560" s="231"/>
      <c r="W560" s="396">
        <v>11213025</v>
      </c>
      <c r="X560" s="396">
        <v>-3962087</v>
      </c>
      <c r="Y560" s="396"/>
      <c r="Z560" s="396"/>
    </row>
    <row r="561" spans="1:26">
      <c r="A561" s="390">
        <v>96051</v>
      </c>
      <c r="B561" s="391" t="s">
        <v>1261</v>
      </c>
      <c r="C561" s="234">
        <v>1.0357000000000001E-3</v>
      </c>
      <c r="D561" s="234">
        <v>1.0357000000000001E-3</v>
      </c>
      <c r="E561" s="231">
        <v>1588345</v>
      </c>
      <c r="F561" s="231" t="s">
        <v>1924</v>
      </c>
      <c r="G561" s="392">
        <v>505310</v>
      </c>
      <c r="H561" s="392">
        <v>0</v>
      </c>
      <c r="I561" s="392">
        <v>997887</v>
      </c>
      <c r="J561" s="231">
        <v>34354</v>
      </c>
      <c r="K561" s="231">
        <v>1537551</v>
      </c>
      <c r="L561" s="231"/>
      <c r="M561" s="300">
        <v>0</v>
      </c>
      <c r="N561" s="300">
        <v>2269268</v>
      </c>
      <c r="O561" s="300">
        <v>0</v>
      </c>
      <c r="P561" s="231">
        <v>103043</v>
      </c>
      <c r="Q561" s="231">
        <v>2372311</v>
      </c>
      <c r="R561" s="231"/>
      <c r="S561" s="392">
        <v>685263</v>
      </c>
      <c r="T561" s="231">
        <v>-41028</v>
      </c>
      <c r="U561" s="396">
        <v>644235</v>
      </c>
      <c r="V561" s="231"/>
      <c r="W561" s="396">
        <v>6165825</v>
      </c>
      <c r="X561" s="396">
        <v>-2178675</v>
      </c>
      <c r="Y561" s="396"/>
      <c r="Z561" s="396"/>
    </row>
    <row r="562" spans="1:26">
      <c r="A562" s="390">
        <v>96061</v>
      </c>
      <c r="B562" s="391" t="s">
        <v>1262</v>
      </c>
      <c r="C562" s="234">
        <v>3.411E-4</v>
      </c>
      <c r="D562" s="234">
        <v>3.2640000000000002E-4</v>
      </c>
      <c r="E562" s="231">
        <v>523110</v>
      </c>
      <c r="F562" s="231" t="s">
        <v>1924</v>
      </c>
      <c r="G562" s="392">
        <v>166420</v>
      </c>
      <c r="H562" s="392">
        <v>0</v>
      </c>
      <c r="I562" s="392">
        <v>328646</v>
      </c>
      <c r="J562" s="231">
        <v>21290</v>
      </c>
      <c r="K562" s="231">
        <v>516356</v>
      </c>
      <c r="L562" s="231"/>
      <c r="M562" s="300">
        <v>0</v>
      </c>
      <c r="N562" s="300">
        <v>747366</v>
      </c>
      <c r="O562" s="300">
        <v>0</v>
      </c>
      <c r="P562" s="231">
        <v>17442</v>
      </c>
      <c r="Q562" s="231">
        <v>764808</v>
      </c>
      <c r="R562" s="231"/>
      <c r="S562" s="392">
        <v>225686</v>
      </c>
      <c r="T562" s="231">
        <v>3884</v>
      </c>
      <c r="U562" s="396">
        <v>229570</v>
      </c>
      <c r="V562" s="231"/>
      <c r="W562" s="396">
        <v>2030668</v>
      </c>
      <c r="X562" s="396">
        <v>-717530</v>
      </c>
      <c r="Y562" s="396"/>
      <c r="Z562" s="396"/>
    </row>
    <row r="563" spans="1:26">
      <c r="A563" s="390">
        <v>96071</v>
      </c>
      <c r="B563" s="391" t="s">
        <v>1263</v>
      </c>
      <c r="C563" s="234">
        <v>1.3278000000000001E-3</v>
      </c>
      <c r="D563" s="234">
        <v>1.3179000000000001E-3</v>
      </c>
      <c r="E563" s="231">
        <v>2036309</v>
      </c>
      <c r="F563" s="231" t="s">
        <v>1924</v>
      </c>
      <c r="G563" s="392">
        <v>647823</v>
      </c>
      <c r="H563" s="392">
        <v>0</v>
      </c>
      <c r="I563" s="392">
        <v>1279322</v>
      </c>
      <c r="J563" s="231">
        <v>121237</v>
      </c>
      <c r="K563" s="231">
        <v>2048382</v>
      </c>
      <c r="L563" s="231"/>
      <c r="M563" s="300">
        <v>0</v>
      </c>
      <c r="N563" s="300">
        <v>2909274</v>
      </c>
      <c r="O563" s="300">
        <v>0</v>
      </c>
      <c r="P563" s="231">
        <v>0</v>
      </c>
      <c r="Q563" s="231">
        <v>2909274</v>
      </c>
      <c r="R563" s="231"/>
      <c r="S563" s="392">
        <v>878528</v>
      </c>
      <c r="T563" s="231">
        <v>72641</v>
      </c>
      <c r="U563" s="396">
        <v>951169</v>
      </c>
      <c r="V563" s="231"/>
      <c r="W563" s="396">
        <v>7904781</v>
      </c>
      <c r="X563" s="396">
        <v>-2793130</v>
      </c>
      <c r="Y563" s="396"/>
      <c r="Z563" s="396"/>
    </row>
    <row r="564" spans="1:26">
      <c r="A564" s="390">
        <v>96081</v>
      </c>
      <c r="B564" s="391" t="s">
        <v>1264</v>
      </c>
      <c r="C564" s="234">
        <v>6.2560000000000003E-4</v>
      </c>
      <c r="D564" s="234">
        <v>5.5960000000000005E-4</v>
      </c>
      <c r="E564" s="231">
        <v>959418</v>
      </c>
      <c r="F564" s="231" t="s">
        <v>1924</v>
      </c>
      <c r="G564" s="392">
        <v>305225</v>
      </c>
      <c r="H564" s="392">
        <v>0</v>
      </c>
      <c r="I564" s="392">
        <v>602759</v>
      </c>
      <c r="J564" s="231">
        <v>91230</v>
      </c>
      <c r="K564" s="231">
        <v>999214</v>
      </c>
      <c r="L564" s="231"/>
      <c r="M564" s="300">
        <v>0</v>
      </c>
      <c r="N564" s="300">
        <v>1370720</v>
      </c>
      <c r="O564" s="300">
        <v>0</v>
      </c>
      <c r="P564" s="231">
        <v>9575</v>
      </c>
      <c r="Q564" s="231">
        <v>1380295</v>
      </c>
      <c r="R564" s="231"/>
      <c r="S564" s="392">
        <v>413923</v>
      </c>
      <c r="T564" s="231">
        <v>28939</v>
      </c>
      <c r="U564" s="396">
        <v>442862</v>
      </c>
      <c r="V564" s="231"/>
      <c r="W564" s="396">
        <v>3724379</v>
      </c>
      <c r="X564" s="396">
        <v>-1315998</v>
      </c>
      <c r="Y564" s="396"/>
      <c r="Z564" s="396"/>
    </row>
    <row r="565" spans="1:26">
      <c r="A565" s="390">
        <v>96101</v>
      </c>
      <c r="B565" s="391" t="s">
        <v>1265</v>
      </c>
      <c r="C565" s="234">
        <v>6.6339999999999997E-4</v>
      </c>
      <c r="D565" s="234">
        <v>6.2960000000000002E-4</v>
      </c>
      <c r="E565" s="231">
        <v>1017388</v>
      </c>
      <c r="F565" s="231" t="s">
        <v>1924</v>
      </c>
      <c r="G565" s="392">
        <v>323668</v>
      </c>
      <c r="H565" s="392">
        <v>0</v>
      </c>
      <c r="I565" s="392">
        <v>639179</v>
      </c>
      <c r="J565" s="231">
        <v>104967</v>
      </c>
      <c r="K565" s="231">
        <v>1067814</v>
      </c>
      <c r="L565" s="231"/>
      <c r="M565" s="300">
        <v>0</v>
      </c>
      <c r="N565" s="300">
        <v>1453541</v>
      </c>
      <c r="O565" s="300">
        <v>0</v>
      </c>
      <c r="P565" s="231">
        <v>50885</v>
      </c>
      <c r="Q565" s="231">
        <v>1504426</v>
      </c>
      <c r="R565" s="231"/>
      <c r="S565" s="392">
        <v>438933</v>
      </c>
      <c r="T565" s="231">
        <v>20551</v>
      </c>
      <c r="U565" s="396">
        <v>459484</v>
      </c>
      <c r="V565" s="231"/>
      <c r="W565" s="396">
        <v>3949414</v>
      </c>
      <c r="X565" s="396">
        <v>-1395513</v>
      </c>
      <c r="Y565" s="396"/>
      <c r="Z565" s="396"/>
    </row>
    <row r="566" spans="1:26">
      <c r="A566" s="390">
        <v>96102</v>
      </c>
      <c r="B566" s="391" t="s">
        <v>1266</v>
      </c>
      <c r="C566" s="234">
        <v>1.0699999999999999E-5</v>
      </c>
      <c r="D566" s="234">
        <v>1.1399999999999999E-5</v>
      </c>
      <c r="E566" s="231">
        <v>16409</v>
      </c>
      <c r="F566" s="231" t="s">
        <v>1924</v>
      </c>
      <c r="G566" s="392">
        <v>5220</v>
      </c>
      <c r="H566" s="392">
        <v>0</v>
      </c>
      <c r="I566" s="392">
        <v>10309</v>
      </c>
      <c r="J566" s="231">
        <v>0</v>
      </c>
      <c r="K566" s="231">
        <v>15529</v>
      </c>
      <c r="L566" s="231"/>
      <c r="M566" s="300">
        <v>0</v>
      </c>
      <c r="N566" s="300">
        <v>23444</v>
      </c>
      <c r="O566" s="300">
        <v>0</v>
      </c>
      <c r="P566" s="231">
        <v>3135</v>
      </c>
      <c r="Q566" s="231">
        <v>26579</v>
      </c>
      <c r="R566" s="231"/>
      <c r="S566" s="392">
        <v>7080</v>
      </c>
      <c r="T566" s="231">
        <v>-1982</v>
      </c>
      <c r="U566" s="396">
        <v>5098</v>
      </c>
      <c r="V566" s="231"/>
      <c r="W566" s="396">
        <v>63700</v>
      </c>
      <c r="X566" s="396">
        <v>-22508</v>
      </c>
      <c r="Y566" s="396"/>
      <c r="Z566" s="396"/>
    </row>
    <row r="567" spans="1:26">
      <c r="A567" s="390">
        <v>96111</v>
      </c>
      <c r="B567" s="391" t="s">
        <v>1267</v>
      </c>
      <c r="C567" s="234">
        <v>1.6789999999999999E-4</v>
      </c>
      <c r="D567" s="234">
        <v>1.6689999999999999E-4</v>
      </c>
      <c r="E567" s="231">
        <v>257491</v>
      </c>
      <c r="F567" s="231" t="s">
        <v>1924</v>
      </c>
      <c r="G567" s="392">
        <v>81917</v>
      </c>
      <c r="H567" s="392">
        <v>0</v>
      </c>
      <c r="I567" s="392">
        <v>161770</v>
      </c>
      <c r="J567" s="231">
        <v>36958</v>
      </c>
      <c r="K567" s="231">
        <v>280645</v>
      </c>
      <c r="L567" s="231"/>
      <c r="M567" s="300">
        <v>0</v>
      </c>
      <c r="N567" s="300">
        <v>367877</v>
      </c>
      <c r="O567" s="300">
        <v>0</v>
      </c>
      <c r="P567" s="231">
        <v>0</v>
      </c>
      <c r="Q567" s="231">
        <v>367877</v>
      </c>
      <c r="R567" s="231"/>
      <c r="S567" s="392">
        <v>111090</v>
      </c>
      <c r="T567" s="231">
        <v>17061</v>
      </c>
      <c r="U567" s="396">
        <v>128151</v>
      </c>
      <c r="V567" s="231"/>
      <c r="W567" s="396">
        <v>999558</v>
      </c>
      <c r="X567" s="396">
        <v>-353191</v>
      </c>
      <c r="Y567" s="396"/>
      <c r="Z567" s="396"/>
    </row>
    <row r="568" spans="1:26">
      <c r="A568" s="390">
        <v>96121</v>
      </c>
      <c r="B568" s="391" t="s">
        <v>1268</v>
      </c>
      <c r="C568" s="234">
        <v>1.77E-5</v>
      </c>
      <c r="D568" s="234">
        <v>1.6699999999999999E-5</v>
      </c>
      <c r="E568" s="231">
        <v>27145</v>
      </c>
      <c r="F568" s="231" t="s">
        <v>1924</v>
      </c>
      <c r="G568" s="392">
        <v>8636</v>
      </c>
      <c r="H568" s="392">
        <v>0</v>
      </c>
      <c r="I568" s="392">
        <v>17054</v>
      </c>
      <c r="J568" s="231">
        <v>960</v>
      </c>
      <c r="K568" s="231">
        <v>26650</v>
      </c>
      <c r="L568" s="231"/>
      <c r="M568" s="300">
        <v>0</v>
      </c>
      <c r="N568" s="300">
        <v>38782</v>
      </c>
      <c r="O568" s="300">
        <v>0</v>
      </c>
      <c r="P568" s="231">
        <v>6919</v>
      </c>
      <c r="Q568" s="231">
        <v>45701</v>
      </c>
      <c r="R568" s="231"/>
      <c r="S568" s="392">
        <v>11711</v>
      </c>
      <c r="T568" s="231">
        <v>-3479</v>
      </c>
      <c r="U568" s="396">
        <v>8232</v>
      </c>
      <c r="V568" s="231"/>
      <c r="W568" s="396">
        <v>105373</v>
      </c>
      <c r="X568" s="396">
        <v>-37233</v>
      </c>
      <c r="Y568" s="396"/>
      <c r="Z568" s="396"/>
    </row>
    <row r="569" spans="1:26">
      <c r="A569" s="390">
        <v>96201</v>
      </c>
      <c r="B569" s="391" t="s">
        <v>1269</v>
      </c>
      <c r="C569" s="234">
        <v>1.0398E-3</v>
      </c>
      <c r="D569" s="234">
        <v>9.7280000000000001E-4</v>
      </c>
      <c r="E569" s="231">
        <v>1594633</v>
      </c>
      <c r="F569" s="231" t="s">
        <v>1924</v>
      </c>
      <c r="G569" s="392">
        <v>507310</v>
      </c>
      <c r="H569" s="392">
        <v>0</v>
      </c>
      <c r="I569" s="392">
        <v>1001837</v>
      </c>
      <c r="J569" s="231">
        <v>145540</v>
      </c>
      <c r="K569" s="231">
        <v>1654687</v>
      </c>
      <c r="L569" s="231"/>
      <c r="M569" s="300">
        <v>0</v>
      </c>
      <c r="N569" s="300">
        <v>2278252</v>
      </c>
      <c r="O569" s="300">
        <v>0</v>
      </c>
      <c r="P569" s="231">
        <v>72585</v>
      </c>
      <c r="Q569" s="231">
        <v>2350837</v>
      </c>
      <c r="R569" s="231"/>
      <c r="S569" s="392">
        <v>687975</v>
      </c>
      <c r="T569" s="231">
        <v>-5445</v>
      </c>
      <c r="U569" s="396">
        <v>682530</v>
      </c>
      <c r="V569" s="231"/>
      <c r="W569" s="396">
        <v>6190233</v>
      </c>
      <c r="X569" s="396">
        <v>-2187299</v>
      </c>
      <c r="Y569" s="396"/>
      <c r="Z569" s="396"/>
    </row>
    <row r="570" spans="1:26">
      <c r="A570" s="390">
        <v>96204</v>
      </c>
      <c r="B570" s="391" t="s">
        <v>1270</v>
      </c>
      <c r="C570" s="234">
        <v>1.6200000000000001E-5</v>
      </c>
      <c r="D570" s="234">
        <v>1.3699999999999999E-5</v>
      </c>
      <c r="E570" s="231">
        <v>24844</v>
      </c>
      <c r="F570" s="231" t="s">
        <v>1924</v>
      </c>
      <c r="G570" s="392">
        <v>7904</v>
      </c>
      <c r="H570" s="392">
        <v>0</v>
      </c>
      <c r="I570" s="392">
        <v>15609</v>
      </c>
      <c r="J570" s="231">
        <v>9630</v>
      </c>
      <c r="K570" s="231">
        <v>33143</v>
      </c>
      <c r="L570" s="231"/>
      <c r="M570" s="300">
        <v>0</v>
      </c>
      <c r="N570" s="300">
        <v>35495</v>
      </c>
      <c r="O570" s="300">
        <v>0</v>
      </c>
      <c r="P570" s="231">
        <v>0</v>
      </c>
      <c r="Q570" s="231">
        <v>35495</v>
      </c>
      <c r="R570" s="231"/>
      <c r="S570" s="392">
        <v>10719</v>
      </c>
      <c r="T570" s="231">
        <v>4174</v>
      </c>
      <c r="U570" s="396">
        <v>14893</v>
      </c>
      <c r="V570" s="231"/>
      <c r="W570" s="396">
        <v>96443</v>
      </c>
      <c r="X570" s="396">
        <v>-34078</v>
      </c>
      <c r="Y570" s="396"/>
      <c r="Z570" s="396"/>
    </row>
    <row r="571" spans="1:26">
      <c r="A571" s="390">
        <v>96211</v>
      </c>
      <c r="B571" s="391" t="s">
        <v>1271</v>
      </c>
      <c r="C571" s="234">
        <v>2.0299999999999999E-5</v>
      </c>
      <c r="D571" s="234">
        <v>2.1999999999999999E-5</v>
      </c>
      <c r="E571" s="231">
        <v>31132</v>
      </c>
      <c r="F571" s="231" t="s">
        <v>1924</v>
      </c>
      <c r="G571" s="392">
        <v>9904</v>
      </c>
      <c r="H571" s="392">
        <v>0</v>
      </c>
      <c r="I571" s="392">
        <v>19559</v>
      </c>
      <c r="J571" s="231">
        <v>8150</v>
      </c>
      <c r="K571" s="231">
        <v>37613</v>
      </c>
      <c r="L571" s="231"/>
      <c r="M571" s="300">
        <v>0</v>
      </c>
      <c r="N571" s="300">
        <v>44478</v>
      </c>
      <c r="O571" s="300">
        <v>0</v>
      </c>
      <c r="P571" s="231">
        <v>0</v>
      </c>
      <c r="Q571" s="231">
        <v>44478</v>
      </c>
      <c r="R571" s="231"/>
      <c r="S571" s="392">
        <v>13431</v>
      </c>
      <c r="T571" s="231">
        <v>4068</v>
      </c>
      <c r="U571" s="396">
        <v>17499</v>
      </c>
      <c r="V571" s="231"/>
      <c r="W571" s="396">
        <v>120852</v>
      </c>
      <c r="X571" s="396">
        <v>-42703</v>
      </c>
      <c r="Y571" s="396"/>
      <c r="Z571" s="396"/>
    </row>
    <row r="572" spans="1:26">
      <c r="A572" s="390">
        <v>96221</v>
      </c>
      <c r="B572" s="391" t="s">
        <v>1272</v>
      </c>
      <c r="C572" s="234">
        <v>1.8440000000000001E-4</v>
      </c>
      <c r="D572" s="234">
        <v>1.964E-4</v>
      </c>
      <c r="E572" s="231">
        <v>282795</v>
      </c>
      <c r="F572" s="231" t="s">
        <v>1924</v>
      </c>
      <c r="G572" s="392">
        <v>89967</v>
      </c>
      <c r="H572" s="392">
        <v>0</v>
      </c>
      <c r="I572" s="392">
        <v>177668</v>
      </c>
      <c r="J572" s="231">
        <v>0</v>
      </c>
      <c r="K572" s="231">
        <v>267635</v>
      </c>
      <c r="L572" s="231"/>
      <c r="M572" s="300">
        <v>0</v>
      </c>
      <c r="N572" s="300">
        <v>404029</v>
      </c>
      <c r="O572" s="300">
        <v>0</v>
      </c>
      <c r="P572" s="231">
        <v>41340</v>
      </c>
      <c r="Q572" s="231">
        <v>445369</v>
      </c>
      <c r="R572" s="231"/>
      <c r="S572" s="392">
        <v>122007</v>
      </c>
      <c r="T572" s="231">
        <v>-19581</v>
      </c>
      <c r="U572" s="396">
        <v>102426</v>
      </c>
      <c r="V572" s="231"/>
      <c r="W572" s="396">
        <v>1097787</v>
      </c>
      <c r="X572" s="396">
        <v>-387900</v>
      </c>
      <c r="Y572" s="396"/>
      <c r="Z572" s="396"/>
    </row>
    <row r="573" spans="1:26">
      <c r="A573" s="390">
        <v>96231</v>
      </c>
      <c r="B573" s="391" t="s">
        <v>1273</v>
      </c>
      <c r="C573" s="234">
        <v>1.086E-4</v>
      </c>
      <c r="D573" s="234">
        <v>1.058E-4</v>
      </c>
      <c r="E573" s="231">
        <v>166549</v>
      </c>
      <c r="F573" s="231" t="s">
        <v>1924</v>
      </c>
      <c r="G573" s="392">
        <v>52985</v>
      </c>
      <c r="H573" s="392">
        <v>0</v>
      </c>
      <c r="I573" s="392">
        <v>104635</v>
      </c>
      <c r="J573" s="231">
        <v>653</v>
      </c>
      <c r="K573" s="231">
        <v>158273</v>
      </c>
      <c r="L573" s="231"/>
      <c r="M573" s="300">
        <v>0</v>
      </c>
      <c r="N573" s="300">
        <v>237948</v>
      </c>
      <c r="O573" s="300">
        <v>0</v>
      </c>
      <c r="P573" s="231">
        <v>28633</v>
      </c>
      <c r="Q573" s="231">
        <v>266581</v>
      </c>
      <c r="R573" s="231"/>
      <c r="S573" s="392">
        <v>71854</v>
      </c>
      <c r="T573" s="231">
        <v>-15345</v>
      </c>
      <c r="U573" s="396">
        <v>56509</v>
      </c>
      <c r="V573" s="231"/>
      <c r="W573" s="396">
        <v>646528</v>
      </c>
      <c r="X573" s="396">
        <v>-228448</v>
      </c>
      <c r="Y573" s="396"/>
      <c r="Z573" s="396"/>
    </row>
    <row r="574" spans="1:26">
      <c r="A574" s="390">
        <v>96241</v>
      </c>
      <c r="B574" s="391" t="s">
        <v>1274</v>
      </c>
      <c r="C574" s="234">
        <v>5.5600000000000003E-5</v>
      </c>
      <c r="D574" s="234">
        <v>5.9599999999999999E-5</v>
      </c>
      <c r="E574" s="231">
        <v>85268</v>
      </c>
      <c r="F574" s="231" t="s">
        <v>1924</v>
      </c>
      <c r="G574" s="392">
        <v>27127</v>
      </c>
      <c r="H574" s="392">
        <v>0</v>
      </c>
      <c r="I574" s="392">
        <v>53570</v>
      </c>
      <c r="J574" s="231">
        <v>2705</v>
      </c>
      <c r="K574" s="231">
        <v>83402</v>
      </c>
      <c r="L574" s="231"/>
      <c r="M574" s="300">
        <v>0</v>
      </c>
      <c r="N574" s="300">
        <v>121822</v>
      </c>
      <c r="O574" s="300">
        <v>0</v>
      </c>
      <c r="P574" s="231">
        <v>21006</v>
      </c>
      <c r="Q574" s="231">
        <v>142828</v>
      </c>
      <c r="R574" s="231"/>
      <c r="S574" s="392">
        <v>36787</v>
      </c>
      <c r="T574" s="231">
        <v>-6208</v>
      </c>
      <c r="U574" s="396">
        <v>30579</v>
      </c>
      <c r="V574" s="231"/>
      <c r="W574" s="396">
        <v>331003</v>
      </c>
      <c r="X574" s="396">
        <v>-116959</v>
      </c>
      <c r="Y574" s="396"/>
      <c r="Z574" s="396"/>
    </row>
    <row r="575" spans="1:26">
      <c r="A575" s="390">
        <v>96251</v>
      </c>
      <c r="B575" s="391" t="s">
        <v>1275</v>
      </c>
      <c r="C575" s="234">
        <v>1.0340000000000001E-4</v>
      </c>
      <c r="D575" s="234">
        <v>8.8399999999999994E-5</v>
      </c>
      <c r="E575" s="231">
        <v>158574</v>
      </c>
      <c r="F575" s="231" t="s">
        <v>1924</v>
      </c>
      <c r="G575" s="392">
        <v>50448</v>
      </c>
      <c r="H575" s="392">
        <v>0</v>
      </c>
      <c r="I575" s="392">
        <v>99625</v>
      </c>
      <c r="J575" s="231">
        <v>17534</v>
      </c>
      <c r="K575" s="231">
        <v>167607</v>
      </c>
      <c r="L575" s="231"/>
      <c r="M575" s="300">
        <v>0</v>
      </c>
      <c r="N575" s="300">
        <v>226554</v>
      </c>
      <c r="O575" s="300">
        <v>0</v>
      </c>
      <c r="P575" s="231">
        <v>19859</v>
      </c>
      <c r="Q575" s="231">
        <v>246413</v>
      </c>
      <c r="R575" s="231"/>
      <c r="S575" s="392">
        <v>68414</v>
      </c>
      <c r="T575" s="231">
        <v>-2806</v>
      </c>
      <c r="U575" s="396">
        <v>65608</v>
      </c>
      <c r="V575" s="231"/>
      <c r="W575" s="396">
        <v>615570</v>
      </c>
      <c r="X575" s="396">
        <v>-217510</v>
      </c>
      <c r="Y575" s="396"/>
      <c r="Z575" s="396"/>
    </row>
    <row r="576" spans="1:26">
      <c r="A576" s="390">
        <v>96301</v>
      </c>
      <c r="B576" s="391" t="s">
        <v>1276</v>
      </c>
      <c r="C576" s="234">
        <v>4.7479999999999996E-3</v>
      </c>
      <c r="D576" s="234">
        <v>4.7971999999999997E-3</v>
      </c>
      <c r="E576" s="231">
        <v>7281514</v>
      </c>
      <c r="F576" s="231" t="s">
        <v>1924</v>
      </c>
      <c r="G576" s="392">
        <v>2316511</v>
      </c>
      <c r="H576" s="392">
        <v>0</v>
      </c>
      <c r="I576" s="392">
        <v>4574651</v>
      </c>
      <c r="J576" s="231">
        <v>148066</v>
      </c>
      <c r="K576" s="231">
        <v>7039228</v>
      </c>
      <c r="L576" s="231"/>
      <c r="M576" s="300">
        <v>0</v>
      </c>
      <c r="N576" s="300">
        <v>10403096</v>
      </c>
      <c r="O576" s="300">
        <v>0</v>
      </c>
      <c r="P576" s="231">
        <v>163949</v>
      </c>
      <c r="Q576" s="231">
        <v>10567045</v>
      </c>
      <c r="R576" s="231"/>
      <c r="S576" s="392">
        <v>3141476</v>
      </c>
      <c r="T576" s="231">
        <v>-170</v>
      </c>
      <c r="U576" s="396">
        <v>3141306</v>
      </c>
      <c r="V576" s="231"/>
      <c r="W576" s="396">
        <v>28266230</v>
      </c>
      <c r="X576" s="396">
        <v>-9987784</v>
      </c>
      <c r="Y576" s="396"/>
      <c r="Z576" s="396"/>
    </row>
    <row r="577" spans="1:26">
      <c r="A577" s="390">
        <v>96302</v>
      </c>
      <c r="B577" s="391" t="s">
        <v>1277</v>
      </c>
      <c r="C577" s="234">
        <v>2.2500000000000001E-5</v>
      </c>
      <c r="D577" s="234">
        <v>5.2200000000000002E-5</v>
      </c>
      <c r="E577" s="231">
        <v>34506</v>
      </c>
      <c r="F577" s="231" t="s">
        <v>1924</v>
      </c>
      <c r="G577" s="392">
        <v>10978</v>
      </c>
      <c r="H577" s="392">
        <v>0</v>
      </c>
      <c r="I577" s="392">
        <v>21679</v>
      </c>
      <c r="J577" s="231">
        <v>19033</v>
      </c>
      <c r="K577" s="231">
        <v>51690</v>
      </c>
      <c r="L577" s="231"/>
      <c r="M577" s="300">
        <v>0</v>
      </c>
      <c r="N577" s="300">
        <v>49299</v>
      </c>
      <c r="O577" s="300">
        <v>0</v>
      </c>
      <c r="P577" s="231">
        <v>48321</v>
      </c>
      <c r="Q577" s="231">
        <v>97620</v>
      </c>
      <c r="R577" s="231"/>
      <c r="S577" s="392">
        <v>14887</v>
      </c>
      <c r="T577" s="231">
        <v>-5599</v>
      </c>
      <c r="U577" s="396">
        <v>9288</v>
      </c>
      <c r="V577" s="231"/>
      <c r="W577" s="396">
        <v>133949</v>
      </c>
      <c r="X577" s="396">
        <v>-47330</v>
      </c>
      <c r="Y577" s="396"/>
      <c r="Z577" s="396"/>
    </row>
    <row r="578" spans="1:26">
      <c r="A578" s="390">
        <v>96304</v>
      </c>
      <c r="B578" s="391" t="s">
        <v>1278</v>
      </c>
      <c r="C578" s="234">
        <v>5.1400000000000003E-5</v>
      </c>
      <c r="D578" s="234">
        <v>4.6400000000000003E-5</v>
      </c>
      <c r="E578" s="231">
        <v>78827</v>
      </c>
      <c r="F578" s="231" t="s">
        <v>1924</v>
      </c>
      <c r="G578" s="392">
        <v>25078</v>
      </c>
      <c r="H578" s="392">
        <v>0</v>
      </c>
      <c r="I578" s="392">
        <v>49523</v>
      </c>
      <c r="J578" s="231">
        <v>16209</v>
      </c>
      <c r="K578" s="231">
        <v>90810</v>
      </c>
      <c r="L578" s="231"/>
      <c r="M578" s="300">
        <v>0</v>
      </c>
      <c r="N578" s="300">
        <v>112620</v>
      </c>
      <c r="O578" s="300">
        <v>0</v>
      </c>
      <c r="P578" s="231">
        <v>0</v>
      </c>
      <c r="Q578" s="231">
        <v>112620</v>
      </c>
      <c r="R578" s="231"/>
      <c r="S578" s="392">
        <v>34008</v>
      </c>
      <c r="T578" s="231">
        <v>7178</v>
      </c>
      <c r="U578" s="396">
        <v>41186</v>
      </c>
      <c r="V578" s="231"/>
      <c r="W578" s="396">
        <v>305999</v>
      </c>
      <c r="X578" s="396">
        <v>-108124</v>
      </c>
      <c r="Y578" s="396"/>
      <c r="Z578" s="396"/>
    </row>
    <row r="579" spans="1:26">
      <c r="A579" s="390">
        <v>96305</v>
      </c>
      <c r="B579" s="391" t="s">
        <v>1279</v>
      </c>
      <c r="C579" s="234">
        <v>3.8699999999999999E-5</v>
      </c>
      <c r="D579" s="234">
        <v>4.2799999999999997E-5</v>
      </c>
      <c r="E579" s="231">
        <v>59350</v>
      </c>
      <c r="F579" s="231" t="s">
        <v>1924</v>
      </c>
      <c r="G579" s="392">
        <v>18881</v>
      </c>
      <c r="H579" s="392">
        <v>0</v>
      </c>
      <c r="I579" s="392">
        <v>37287</v>
      </c>
      <c r="J579" s="231">
        <v>14100</v>
      </c>
      <c r="K579" s="231">
        <v>70268</v>
      </c>
      <c r="L579" s="231"/>
      <c r="M579" s="300">
        <v>0</v>
      </c>
      <c r="N579" s="300">
        <v>84794</v>
      </c>
      <c r="O579" s="300">
        <v>0</v>
      </c>
      <c r="P579" s="231">
        <v>0</v>
      </c>
      <c r="Q579" s="231">
        <v>84794</v>
      </c>
      <c r="R579" s="231"/>
      <c r="S579" s="392">
        <v>25606</v>
      </c>
      <c r="T579" s="231">
        <v>9192</v>
      </c>
      <c r="U579" s="396">
        <v>34798</v>
      </c>
      <c r="V579" s="231"/>
      <c r="W579" s="396">
        <v>230392</v>
      </c>
      <c r="X579" s="396">
        <v>-81408</v>
      </c>
      <c r="Y579" s="396"/>
      <c r="Z579" s="396"/>
    </row>
    <row r="580" spans="1:26">
      <c r="A580" s="390">
        <v>96310</v>
      </c>
      <c r="B580" s="391" t="s">
        <v>1280</v>
      </c>
      <c r="C580" s="234">
        <v>5.6700000000000003E-5</v>
      </c>
      <c r="D580" s="234">
        <v>4.5300000000000003E-5</v>
      </c>
      <c r="E580" s="231">
        <v>86955</v>
      </c>
      <c r="F580" s="231" t="s">
        <v>1924</v>
      </c>
      <c r="G580" s="392">
        <v>27663</v>
      </c>
      <c r="H580" s="392">
        <v>0</v>
      </c>
      <c r="I580" s="392">
        <v>54630</v>
      </c>
      <c r="J580" s="231">
        <v>30613</v>
      </c>
      <c r="K580" s="231">
        <v>112906</v>
      </c>
      <c r="L580" s="231"/>
      <c r="M580" s="300">
        <v>0</v>
      </c>
      <c r="N580" s="300">
        <v>124232</v>
      </c>
      <c r="O580" s="300">
        <v>0</v>
      </c>
      <c r="P580" s="231">
        <v>1309</v>
      </c>
      <c r="Q580" s="231">
        <v>125541</v>
      </c>
      <c r="R580" s="231"/>
      <c r="S580" s="392">
        <v>37515</v>
      </c>
      <c r="T580" s="231">
        <v>11672</v>
      </c>
      <c r="U580" s="396">
        <v>49187</v>
      </c>
      <c r="V580" s="231"/>
      <c r="W580" s="396">
        <v>337552</v>
      </c>
      <c r="X580" s="396">
        <v>-119273</v>
      </c>
      <c r="Y580" s="396"/>
      <c r="Z580" s="396"/>
    </row>
    <row r="581" spans="1:26">
      <c r="A581" s="390">
        <v>96311</v>
      </c>
      <c r="B581" s="391" t="s">
        <v>1281</v>
      </c>
      <c r="C581" s="234">
        <v>1.3083000000000001E-3</v>
      </c>
      <c r="D581" s="234">
        <v>1.3810000000000001E-3</v>
      </c>
      <c r="E581" s="231">
        <v>2006404</v>
      </c>
      <c r="F581" s="231" t="s">
        <v>1924</v>
      </c>
      <c r="G581" s="392">
        <v>638309</v>
      </c>
      <c r="H581" s="392">
        <v>0</v>
      </c>
      <c r="I581" s="392">
        <v>1260534</v>
      </c>
      <c r="J581" s="231">
        <v>45287</v>
      </c>
      <c r="K581" s="231">
        <v>1944130</v>
      </c>
      <c r="L581" s="231"/>
      <c r="M581" s="300">
        <v>0</v>
      </c>
      <c r="N581" s="300">
        <v>2866548</v>
      </c>
      <c r="O581" s="300">
        <v>0</v>
      </c>
      <c r="P581" s="231">
        <v>173973</v>
      </c>
      <c r="Q581" s="231">
        <v>3040521</v>
      </c>
      <c r="R581" s="231"/>
      <c r="S581" s="392">
        <v>865626</v>
      </c>
      <c r="T581" s="231">
        <v>-59544</v>
      </c>
      <c r="U581" s="396">
        <v>806082</v>
      </c>
      <c r="V581" s="231"/>
      <c r="W581" s="396">
        <v>7788692</v>
      </c>
      <c r="X581" s="396">
        <v>-2752110</v>
      </c>
      <c r="Y581" s="396"/>
      <c r="Z581" s="396"/>
    </row>
    <row r="582" spans="1:26">
      <c r="A582" s="390">
        <v>96312</v>
      </c>
      <c r="B582" s="391" t="s">
        <v>1282</v>
      </c>
      <c r="C582" s="234">
        <v>8.6000000000000007E-6</v>
      </c>
      <c r="D582" s="234">
        <v>1.7799999999999999E-5</v>
      </c>
      <c r="E582" s="231">
        <v>13189</v>
      </c>
      <c r="F582" s="231" t="s">
        <v>1924</v>
      </c>
      <c r="G582" s="392">
        <v>4196</v>
      </c>
      <c r="H582" s="392">
        <v>0</v>
      </c>
      <c r="I582" s="392">
        <v>8286</v>
      </c>
      <c r="J582" s="231">
        <v>7864</v>
      </c>
      <c r="K582" s="231">
        <v>20346</v>
      </c>
      <c r="L582" s="231"/>
      <c r="M582" s="300">
        <v>0</v>
      </c>
      <c r="N582" s="300">
        <v>18843</v>
      </c>
      <c r="O582" s="300">
        <v>0</v>
      </c>
      <c r="P582" s="231">
        <v>18439</v>
      </c>
      <c r="Q582" s="231">
        <v>37282</v>
      </c>
      <c r="R582" s="231"/>
      <c r="S582" s="392">
        <v>5690</v>
      </c>
      <c r="T582" s="231">
        <v>-1422</v>
      </c>
      <c r="U582" s="396">
        <v>4268</v>
      </c>
      <c r="V582" s="231"/>
      <c r="W582" s="396">
        <v>51198</v>
      </c>
      <c r="X582" s="396">
        <v>-18091</v>
      </c>
      <c r="Y582" s="396"/>
      <c r="Z582" s="396"/>
    </row>
    <row r="583" spans="1:26">
      <c r="A583" s="390">
        <v>96318</v>
      </c>
      <c r="B583" s="391" t="s">
        <v>1283</v>
      </c>
      <c r="C583" s="234">
        <v>2.3858E-3</v>
      </c>
      <c r="D583" s="234">
        <v>2.3511999999999999E-3</v>
      </c>
      <c r="E583" s="231">
        <v>3658853</v>
      </c>
      <c r="F583" s="231" t="s">
        <v>1924</v>
      </c>
      <c r="G583" s="392">
        <v>1164013</v>
      </c>
      <c r="H583" s="392">
        <v>0</v>
      </c>
      <c r="I583" s="392">
        <v>2298694</v>
      </c>
      <c r="J583" s="231">
        <v>373702</v>
      </c>
      <c r="K583" s="231">
        <v>3836409</v>
      </c>
      <c r="L583" s="231"/>
      <c r="M583" s="300">
        <v>0</v>
      </c>
      <c r="N583" s="300">
        <v>5227402</v>
      </c>
      <c r="O583" s="300">
        <v>0</v>
      </c>
      <c r="P583" s="231">
        <v>0</v>
      </c>
      <c r="Q583" s="231">
        <v>5227402</v>
      </c>
      <c r="R583" s="231"/>
      <c r="S583" s="392">
        <v>1578545</v>
      </c>
      <c r="T583" s="231">
        <v>258942</v>
      </c>
      <c r="U583" s="396">
        <v>1837487</v>
      </c>
      <c r="V583" s="231"/>
      <c r="W583" s="396">
        <v>14203364</v>
      </c>
      <c r="X583" s="396">
        <v>-5018714</v>
      </c>
      <c r="Y583" s="396"/>
      <c r="Z583" s="396"/>
    </row>
    <row r="584" spans="1:26">
      <c r="A584" s="390">
        <v>96321</v>
      </c>
      <c r="B584" s="391" t="s">
        <v>1284</v>
      </c>
      <c r="C584" s="234">
        <v>4.2299999999999998E-5</v>
      </c>
      <c r="D584" s="234">
        <v>5.0000000000000002E-5</v>
      </c>
      <c r="E584" s="231">
        <v>64871</v>
      </c>
      <c r="F584" s="231" t="s">
        <v>1924</v>
      </c>
      <c r="G584" s="392">
        <v>20638</v>
      </c>
      <c r="H584" s="392">
        <v>0</v>
      </c>
      <c r="I584" s="392">
        <v>40756</v>
      </c>
      <c r="J584" s="231">
        <v>8788</v>
      </c>
      <c r="K584" s="231">
        <v>70182</v>
      </c>
      <c r="L584" s="231"/>
      <c r="M584" s="300">
        <v>0</v>
      </c>
      <c r="N584" s="300">
        <v>92681</v>
      </c>
      <c r="O584" s="300">
        <v>0</v>
      </c>
      <c r="P584" s="231">
        <v>14809</v>
      </c>
      <c r="Q584" s="231">
        <v>107490</v>
      </c>
      <c r="R584" s="231"/>
      <c r="S584" s="392">
        <v>27987</v>
      </c>
      <c r="T584" s="231">
        <v>-148</v>
      </c>
      <c r="U584" s="396">
        <v>27839</v>
      </c>
      <c r="V584" s="231"/>
      <c r="W584" s="396">
        <v>251824</v>
      </c>
      <c r="X584" s="396">
        <v>-88981</v>
      </c>
      <c r="Y584" s="396"/>
      <c r="Z584" s="396"/>
    </row>
    <row r="585" spans="1:26">
      <c r="A585" s="390">
        <v>96331</v>
      </c>
      <c r="B585" s="391" t="s">
        <v>1285</v>
      </c>
      <c r="C585" s="234">
        <v>6.6549999999999997E-4</v>
      </c>
      <c r="D585" s="234">
        <v>6.9510000000000004E-4</v>
      </c>
      <c r="E585" s="231">
        <v>1020608</v>
      </c>
      <c r="F585" s="231" t="s">
        <v>1924</v>
      </c>
      <c r="G585" s="392">
        <v>324692</v>
      </c>
      <c r="H585" s="392">
        <v>0</v>
      </c>
      <c r="I585" s="392">
        <v>641203</v>
      </c>
      <c r="J585" s="231">
        <v>0</v>
      </c>
      <c r="K585" s="231">
        <v>965895</v>
      </c>
      <c r="L585" s="231"/>
      <c r="M585" s="300">
        <v>0</v>
      </c>
      <c r="N585" s="300">
        <v>1458142</v>
      </c>
      <c r="O585" s="300">
        <v>0</v>
      </c>
      <c r="P585" s="231">
        <v>136949</v>
      </c>
      <c r="Q585" s="231">
        <v>1595091</v>
      </c>
      <c r="R585" s="231"/>
      <c r="S585" s="392">
        <v>440323</v>
      </c>
      <c r="T585" s="231">
        <v>-64233</v>
      </c>
      <c r="U585" s="396">
        <v>376090</v>
      </c>
      <c r="V585" s="231"/>
      <c r="W585" s="396">
        <v>3961916</v>
      </c>
      <c r="X585" s="396">
        <v>-1399930</v>
      </c>
      <c r="Y585" s="396"/>
      <c r="Z585" s="396"/>
    </row>
    <row r="586" spans="1:26">
      <c r="A586" s="390">
        <v>96341</v>
      </c>
      <c r="B586" s="391" t="s">
        <v>1286</v>
      </c>
      <c r="C586" s="234">
        <v>7.8499999999999997E-5</v>
      </c>
      <c r="D586" s="234">
        <v>5.9599999999999999E-5</v>
      </c>
      <c r="E586" s="231">
        <v>120387</v>
      </c>
      <c r="F586" s="231" t="s">
        <v>1924</v>
      </c>
      <c r="G586" s="392">
        <v>38300</v>
      </c>
      <c r="H586" s="392">
        <v>0</v>
      </c>
      <c r="I586" s="392">
        <v>75634</v>
      </c>
      <c r="J586" s="231">
        <v>26130</v>
      </c>
      <c r="K586" s="231">
        <v>140064</v>
      </c>
      <c r="L586" s="231"/>
      <c r="M586" s="300">
        <v>0</v>
      </c>
      <c r="N586" s="300">
        <v>171997</v>
      </c>
      <c r="O586" s="300">
        <v>0</v>
      </c>
      <c r="P586" s="231">
        <v>19457</v>
      </c>
      <c r="Q586" s="231">
        <v>191454</v>
      </c>
      <c r="R586" s="231"/>
      <c r="S586" s="392">
        <v>51939</v>
      </c>
      <c r="T586" s="231">
        <v>-2483</v>
      </c>
      <c r="U586" s="396">
        <v>49456</v>
      </c>
      <c r="V586" s="231"/>
      <c r="W586" s="396">
        <v>467333</v>
      </c>
      <c r="X586" s="396">
        <v>-165131</v>
      </c>
      <c r="Y586" s="396"/>
      <c r="Z586" s="396"/>
    </row>
    <row r="587" spans="1:26">
      <c r="A587" s="390">
        <v>96351</v>
      </c>
      <c r="B587" s="391" t="s">
        <v>1287</v>
      </c>
      <c r="C587" s="234">
        <v>1.0480000000000001E-3</v>
      </c>
      <c r="D587" s="234">
        <v>1.0456E-3</v>
      </c>
      <c r="E587" s="231">
        <v>1607209</v>
      </c>
      <c r="F587" s="231" t="s">
        <v>1924</v>
      </c>
      <c r="G587" s="392">
        <v>511311</v>
      </c>
      <c r="H587" s="392">
        <v>0</v>
      </c>
      <c r="I587" s="392">
        <v>1009738</v>
      </c>
      <c r="J587" s="231">
        <v>32597</v>
      </c>
      <c r="K587" s="231">
        <v>1553646</v>
      </c>
      <c r="L587" s="231"/>
      <c r="M587" s="300">
        <v>0</v>
      </c>
      <c r="N587" s="300">
        <v>2296218</v>
      </c>
      <c r="O587" s="300">
        <v>0</v>
      </c>
      <c r="P587" s="231">
        <v>20343</v>
      </c>
      <c r="Q587" s="231">
        <v>2316561</v>
      </c>
      <c r="R587" s="231"/>
      <c r="S587" s="392">
        <v>693401</v>
      </c>
      <c r="T587" s="231">
        <v>3125</v>
      </c>
      <c r="U587" s="396">
        <v>696526</v>
      </c>
      <c r="V587" s="231"/>
      <c r="W587" s="396">
        <v>6239050</v>
      </c>
      <c r="X587" s="396">
        <v>-2204549</v>
      </c>
      <c r="Y587" s="396"/>
      <c r="Z587" s="396"/>
    </row>
    <row r="588" spans="1:26">
      <c r="A588" s="390">
        <v>96361</v>
      </c>
      <c r="B588" s="391" t="s">
        <v>1288</v>
      </c>
      <c r="C588" s="234">
        <v>4.5000000000000003E-5</v>
      </c>
      <c r="D588" s="234">
        <v>4.7299999999999998E-5</v>
      </c>
      <c r="E588" s="231">
        <v>69012</v>
      </c>
      <c r="F588" s="231" t="s">
        <v>1924</v>
      </c>
      <c r="G588" s="392">
        <v>21955</v>
      </c>
      <c r="H588" s="392">
        <v>0</v>
      </c>
      <c r="I588" s="392">
        <v>43357</v>
      </c>
      <c r="J588" s="231">
        <v>5803</v>
      </c>
      <c r="K588" s="231">
        <v>71115</v>
      </c>
      <c r="L588" s="231"/>
      <c r="M588" s="300">
        <v>0</v>
      </c>
      <c r="N588" s="300">
        <v>98597</v>
      </c>
      <c r="O588" s="300">
        <v>0</v>
      </c>
      <c r="P588" s="231">
        <v>5337</v>
      </c>
      <c r="Q588" s="231">
        <v>103934</v>
      </c>
      <c r="R588" s="231"/>
      <c r="S588" s="392">
        <v>29774</v>
      </c>
      <c r="T588" s="231">
        <v>-531</v>
      </c>
      <c r="U588" s="396">
        <v>29243</v>
      </c>
      <c r="V588" s="231"/>
      <c r="W588" s="396">
        <v>267898</v>
      </c>
      <c r="X588" s="396">
        <v>-94661</v>
      </c>
      <c r="Y588" s="396"/>
      <c r="Z588" s="396"/>
    </row>
    <row r="589" spans="1:26">
      <c r="A589" s="390">
        <v>96371</v>
      </c>
      <c r="B589" s="391" t="s">
        <v>1289</v>
      </c>
      <c r="C589" s="234">
        <v>1.384E-4</v>
      </c>
      <c r="D589" s="234">
        <v>1.5330000000000001E-4</v>
      </c>
      <c r="E589" s="231">
        <v>212250</v>
      </c>
      <c r="F589" s="231" t="s">
        <v>1924</v>
      </c>
      <c r="G589" s="392">
        <v>67524</v>
      </c>
      <c r="H589" s="392">
        <v>0</v>
      </c>
      <c r="I589" s="392">
        <v>133347</v>
      </c>
      <c r="J589" s="231">
        <v>7700</v>
      </c>
      <c r="K589" s="231">
        <v>208571</v>
      </c>
      <c r="L589" s="231"/>
      <c r="M589" s="300">
        <v>0</v>
      </c>
      <c r="N589" s="300">
        <v>303241</v>
      </c>
      <c r="O589" s="300">
        <v>0</v>
      </c>
      <c r="P589" s="231">
        <v>23194</v>
      </c>
      <c r="Q589" s="231">
        <v>326435</v>
      </c>
      <c r="R589" s="231"/>
      <c r="S589" s="392">
        <v>91571</v>
      </c>
      <c r="T589" s="231">
        <v>-7225</v>
      </c>
      <c r="U589" s="396">
        <v>84346</v>
      </c>
      <c r="V589" s="231"/>
      <c r="W589" s="396">
        <v>823936</v>
      </c>
      <c r="X589" s="396">
        <v>-291135</v>
      </c>
      <c r="Y589" s="396"/>
      <c r="Z589" s="396"/>
    </row>
    <row r="590" spans="1:26">
      <c r="A590" s="390">
        <v>96381</v>
      </c>
      <c r="B590" s="391" t="s">
        <v>1290</v>
      </c>
      <c r="C590" s="234">
        <v>2.4300000000000001E-5</v>
      </c>
      <c r="D590" s="234">
        <v>3.0700000000000001E-5</v>
      </c>
      <c r="E590" s="231">
        <v>37266</v>
      </c>
      <c r="F590" s="231" t="s">
        <v>1924</v>
      </c>
      <c r="G590" s="392">
        <v>11856</v>
      </c>
      <c r="H590" s="392">
        <v>0</v>
      </c>
      <c r="I590" s="392">
        <v>23413</v>
      </c>
      <c r="J590" s="231">
        <v>386</v>
      </c>
      <c r="K590" s="231">
        <v>35655</v>
      </c>
      <c r="L590" s="231"/>
      <c r="M590" s="300">
        <v>0</v>
      </c>
      <c r="N590" s="300">
        <v>53242</v>
      </c>
      <c r="O590" s="300">
        <v>0</v>
      </c>
      <c r="P590" s="231">
        <v>8854</v>
      </c>
      <c r="Q590" s="231">
        <v>62096</v>
      </c>
      <c r="R590" s="231"/>
      <c r="S590" s="392">
        <v>16078</v>
      </c>
      <c r="T590" s="231">
        <v>-2867</v>
      </c>
      <c r="U590" s="396">
        <v>13211</v>
      </c>
      <c r="V590" s="231"/>
      <c r="W590" s="396">
        <v>144665</v>
      </c>
      <c r="X590" s="396">
        <v>-51117</v>
      </c>
      <c r="Y590" s="396"/>
      <c r="Z590" s="396"/>
    </row>
    <row r="591" spans="1:26">
      <c r="A591" s="390">
        <v>96391</v>
      </c>
      <c r="B591" s="391" t="s">
        <v>1291</v>
      </c>
      <c r="C591" s="234">
        <v>1.696E-4</v>
      </c>
      <c r="D591" s="234">
        <v>2.14E-4</v>
      </c>
      <c r="E591" s="231">
        <v>260098</v>
      </c>
      <c r="F591" s="231" t="s">
        <v>1924</v>
      </c>
      <c r="G591" s="392">
        <v>82746</v>
      </c>
      <c r="H591" s="392">
        <v>0</v>
      </c>
      <c r="I591" s="392">
        <v>163408</v>
      </c>
      <c r="J591" s="231">
        <v>0</v>
      </c>
      <c r="K591" s="231">
        <v>246154</v>
      </c>
      <c r="L591" s="231"/>
      <c r="M591" s="300">
        <v>0</v>
      </c>
      <c r="N591" s="300">
        <v>371602</v>
      </c>
      <c r="O591" s="300">
        <v>0</v>
      </c>
      <c r="P591" s="231">
        <v>108129</v>
      </c>
      <c r="Q591" s="231">
        <v>479731</v>
      </c>
      <c r="R591" s="231"/>
      <c r="S591" s="392">
        <v>112214</v>
      </c>
      <c r="T591" s="231">
        <v>-40985</v>
      </c>
      <c r="U591" s="396">
        <v>71229</v>
      </c>
      <c r="V591" s="231"/>
      <c r="W591" s="396">
        <v>1009678</v>
      </c>
      <c r="X591" s="396">
        <v>-356767</v>
      </c>
      <c r="Y591" s="396"/>
      <c r="Z591" s="396"/>
    </row>
    <row r="592" spans="1:26">
      <c r="A592" s="390">
        <v>96401</v>
      </c>
      <c r="B592" s="391" t="s">
        <v>1292</v>
      </c>
      <c r="C592" s="234">
        <v>4.0784000000000003E-3</v>
      </c>
      <c r="D592" s="234">
        <v>4.3227999999999999E-3</v>
      </c>
      <c r="E592" s="231">
        <v>6254618</v>
      </c>
      <c r="F592" s="231" t="s">
        <v>1924</v>
      </c>
      <c r="G592" s="392">
        <v>1989819</v>
      </c>
      <c r="H592" s="392">
        <v>0</v>
      </c>
      <c r="I592" s="392">
        <v>3929498</v>
      </c>
      <c r="J592" s="231">
        <v>0</v>
      </c>
      <c r="K592" s="231">
        <v>5919317</v>
      </c>
      <c r="L592" s="231"/>
      <c r="M592" s="300">
        <v>0</v>
      </c>
      <c r="N592" s="300">
        <v>8935970</v>
      </c>
      <c r="O592" s="300">
        <v>0</v>
      </c>
      <c r="P592" s="231">
        <v>394198</v>
      </c>
      <c r="Q592" s="231">
        <v>9330168</v>
      </c>
      <c r="R592" s="231"/>
      <c r="S592" s="392">
        <v>2698441</v>
      </c>
      <c r="T592" s="231">
        <v>-172456</v>
      </c>
      <c r="U592" s="396">
        <v>2525985</v>
      </c>
      <c r="V592" s="231"/>
      <c r="W592" s="396">
        <v>24279906</v>
      </c>
      <c r="X592" s="396">
        <v>-8579228</v>
      </c>
      <c r="Y592" s="396"/>
      <c r="Z592" s="396"/>
    </row>
    <row r="593" spans="1:26">
      <c r="A593" s="390">
        <v>96404</v>
      </c>
      <c r="B593" s="391" t="s">
        <v>1293</v>
      </c>
      <c r="C593" s="234">
        <v>1.032E-4</v>
      </c>
      <c r="D593" s="234">
        <v>9.4300000000000002E-5</v>
      </c>
      <c r="E593" s="231">
        <v>158267</v>
      </c>
      <c r="F593" s="231" t="s">
        <v>1924</v>
      </c>
      <c r="G593" s="392">
        <v>50350</v>
      </c>
      <c r="H593" s="392">
        <v>0</v>
      </c>
      <c r="I593" s="392">
        <v>99432</v>
      </c>
      <c r="J593" s="231">
        <v>45633</v>
      </c>
      <c r="K593" s="231">
        <v>195415</v>
      </c>
      <c r="L593" s="231"/>
      <c r="M593" s="300">
        <v>0</v>
      </c>
      <c r="N593" s="300">
        <v>226116</v>
      </c>
      <c r="O593" s="300">
        <v>0</v>
      </c>
      <c r="P593" s="231">
        <v>0</v>
      </c>
      <c r="Q593" s="231">
        <v>226116</v>
      </c>
      <c r="R593" s="231"/>
      <c r="S593" s="392">
        <v>68281</v>
      </c>
      <c r="T593" s="231">
        <v>21535</v>
      </c>
      <c r="U593" s="396">
        <v>89816</v>
      </c>
      <c r="V593" s="231"/>
      <c r="W593" s="396">
        <v>614380</v>
      </c>
      <c r="X593" s="396">
        <v>-217089</v>
      </c>
      <c r="Y593" s="396"/>
      <c r="Z593" s="396"/>
    </row>
    <row r="594" spans="1:26">
      <c r="A594" s="390">
        <v>96405</v>
      </c>
      <c r="B594" s="391" t="s">
        <v>1294</v>
      </c>
      <c r="C594" s="234">
        <v>1.3880000000000001E-4</v>
      </c>
      <c r="D594" s="234">
        <v>1.2889999999999999E-4</v>
      </c>
      <c r="E594" s="231">
        <v>212863</v>
      </c>
      <c r="F594" s="231" t="s">
        <v>1924</v>
      </c>
      <c r="G594" s="392">
        <v>67719</v>
      </c>
      <c r="H594" s="392">
        <v>0</v>
      </c>
      <c r="I594" s="392">
        <v>133732</v>
      </c>
      <c r="J594" s="231">
        <v>43598</v>
      </c>
      <c r="K594" s="231">
        <v>245049</v>
      </c>
      <c r="L594" s="231"/>
      <c r="M594" s="300">
        <v>0</v>
      </c>
      <c r="N594" s="300">
        <v>304117</v>
      </c>
      <c r="O594" s="300">
        <v>0</v>
      </c>
      <c r="P594" s="231">
        <v>9856</v>
      </c>
      <c r="Q594" s="231">
        <v>313973</v>
      </c>
      <c r="R594" s="231"/>
      <c r="S594" s="392">
        <v>91836</v>
      </c>
      <c r="T594" s="231">
        <v>11422</v>
      </c>
      <c r="U594" s="396">
        <v>103258</v>
      </c>
      <c r="V594" s="231"/>
      <c r="W594" s="396">
        <v>826317</v>
      </c>
      <c r="X594" s="396">
        <v>-291976</v>
      </c>
      <c r="Y594" s="396"/>
      <c r="Z594" s="396"/>
    </row>
    <row r="595" spans="1:26">
      <c r="A595" s="390">
        <v>96411</v>
      </c>
      <c r="B595" s="391" t="s">
        <v>1295</v>
      </c>
      <c r="C595" s="234">
        <v>6.8200000000000004E-5</v>
      </c>
      <c r="D595" s="234">
        <v>6.8200000000000004E-5</v>
      </c>
      <c r="E595" s="231">
        <v>104591</v>
      </c>
      <c r="F595" s="231" t="s">
        <v>1924</v>
      </c>
      <c r="G595" s="392">
        <v>33274</v>
      </c>
      <c r="H595" s="392">
        <v>0</v>
      </c>
      <c r="I595" s="392">
        <v>65710</v>
      </c>
      <c r="J595" s="231">
        <v>0</v>
      </c>
      <c r="K595" s="231">
        <v>98984</v>
      </c>
      <c r="L595" s="231"/>
      <c r="M595" s="300">
        <v>0</v>
      </c>
      <c r="N595" s="300">
        <v>149429</v>
      </c>
      <c r="O595" s="300">
        <v>0</v>
      </c>
      <c r="P595" s="231">
        <v>11814</v>
      </c>
      <c r="Q595" s="231">
        <v>161243</v>
      </c>
      <c r="R595" s="231"/>
      <c r="S595" s="392">
        <v>45124</v>
      </c>
      <c r="T595" s="231">
        <v>-3869</v>
      </c>
      <c r="U595" s="396">
        <v>41255</v>
      </c>
      <c r="V595" s="231"/>
      <c r="W595" s="396">
        <v>406015</v>
      </c>
      <c r="X595" s="396">
        <v>-143464</v>
      </c>
      <c r="Y595" s="396"/>
      <c r="Z595" s="396"/>
    </row>
    <row r="596" spans="1:26">
      <c r="A596" s="390">
        <v>96421</v>
      </c>
      <c r="B596" s="391" t="s">
        <v>1296</v>
      </c>
      <c r="C596" s="234">
        <v>4.5800000000000002E-4</v>
      </c>
      <c r="D596" s="234">
        <v>4.2299999999999998E-4</v>
      </c>
      <c r="E596" s="231">
        <v>702387</v>
      </c>
      <c r="F596" s="231" t="s">
        <v>1924</v>
      </c>
      <c r="G596" s="392">
        <v>223455</v>
      </c>
      <c r="H596" s="392">
        <v>0</v>
      </c>
      <c r="I596" s="392">
        <v>441278</v>
      </c>
      <c r="J596" s="231">
        <v>33645</v>
      </c>
      <c r="K596" s="231">
        <v>698378</v>
      </c>
      <c r="L596" s="231"/>
      <c r="M596" s="300">
        <v>0</v>
      </c>
      <c r="N596" s="300">
        <v>1003500</v>
      </c>
      <c r="O596" s="300">
        <v>0</v>
      </c>
      <c r="P596" s="231">
        <v>32957</v>
      </c>
      <c r="Q596" s="231">
        <v>1036457</v>
      </c>
      <c r="R596" s="231"/>
      <c r="S596" s="392">
        <v>303032</v>
      </c>
      <c r="T596" s="231">
        <v>-10878</v>
      </c>
      <c r="U596" s="396">
        <v>292154</v>
      </c>
      <c r="V596" s="231"/>
      <c r="W596" s="396">
        <v>2726608</v>
      </c>
      <c r="X596" s="396">
        <v>-963438</v>
      </c>
      <c r="Y596" s="396"/>
      <c r="Z596" s="396"/>
    </row>
    <row r="597" spans="1:26">
      <c r="A597" s="390">
        <v>96431</v>
      </c>
      <c r="B597" s="391" t="s">
        <v>1297</v>
      </c>
      <c r="C597" s="234">
        <v>4.4400000000000002E-5</v>
      </c>
      <c r="D597" s="234">
        <v>4.85E-5</v>
      </c>
      <c r="E597" s="231">
        <v>68092</v>
      </c>
      <c r="F597" s="231" t="s">
        <v>1924</v>
      </c>
      <c r="G597" s="392">
        <v>21662</v>
      </c>
      <c r="H597" s="392">
        <v>0</v>
      </c>
      <c r="I597" s="392">
        <v>42779</v>
      </c>
      <c r="J597" s="231">
        <v>18843</v>
      </c>
      <c r="K597" s="231">
        <v>83284</v>
      </c>
      <c r="L597" s="231"/>
      <c r="M597" s="300">
        <v>0</v>
      </c>
      <c r="N597" s="300">
        <v>97283</v>
      </c>
      <c r="O597" s="300">
        <v>0</v>
      </c>
      <c r="P597" s="231">
        <v>2077</v>
      </c>
      <c r="Q597" s="231">
        <v>99360</v>
      </c>
      <c r="R597" s="231"/>
      <c r="S597" s="392">
        <v>29377</v>
      </c>
      <c r="T597" s="231">
        <v>6289</v>
      </c>
      <c r="U597" s="396">
        <v>35666</v>
      </c>
      <c r="V597" s="231"/>
      <c r="W597" s="396">
        <v>264326</v>
      </c>
      <c r="X597" s="396">
        <v>-93399</v>
      </c>
      <c r="Y597" s="396"/>
      <c r="Z597" s="396"/>
    </row>
    <row r="598" spans="1:26">
      <c r="A598" s="390">
        <v>96441</v>
      </c>
      <c r="B598" s="391" t="s">
        <v>1298</v>
      </c>
      <c r="C598" s="234">
        <v>2.97E-5</v>
      </c>
      <c r="D598" s="234">
        <v>2.9300000000000001E-5</v>
      </c>
      <c r="E598" s="231">
        <v>45548</v>
      </c>
      <c r="F598" s="231" t="s">
        <v>1924</v>
      </c>
      <c r="G598" s="392">
        <v>14490</v>
      </c>
      <c r="H598" s="392">
        <v>0</v>
      </c>
      <c r="I598" s="392">
        <v>28616</v>
      </c>
      <c r="J598" s="231">
        <v>9105</v>
      </c>
      <c r="K598" s="231">
        <v>52211</v>
      </c>
      <c r="L598" s="231"/>
      <c r="M598" s="300">
        <v>0</v>
      </c>
      <c r="N598" s="300">
        <v>65074</v>
      </c>
      <c r="O598" s="300">
        <v>0</v>
      </c>
      <c r="P598" s="231">
        <v>1999</v>
      </c>
      <c r="Q598" s="231">
        <v>67073</v>
      </c>
      <c r="R598" s="231"/>
      <c r="S598" s="392">
        <v>19651</v>
      </c>
      <c r="T598" s="231">
        <v>4268</v>
      </c>
      <c r="U598" s="396">
        <v>23919</v>
      </c>
      <c r="V598" s="231"/>
      <c r="W598" s="396">
        <v>176813</v>
      </c>
      <c r="X598" s="396">
        <v>-62476</v>
      </c>
      <c r="Y598" s="396"/>
      <c r="Z598" s="396"/>
    </row>
    <row r="599" spans="1:26">
      <c r="A599" s="390">
        <v>96451</v>
      </c>
      <c r="B599" s="391" t="s">
        <v>1299</v>
      </c>
      <c r="C599" s="234">
        <v>1.2300000000000001E-5</v>
      </c>
      <c r="D599" s="234">
        <v>1.31E-5</v>
      </c>
      <c r="E599" s="231">
        <v>18863</v>
      </c>
      <c r="F599" s="231" t="s">
        <v>1924</v>
      </c>
      <c r="G599" s="392">
        <v>6001</v>
      </c>
      <c r="H599" s="392">
        <v>0</v>
      </c>
      <c r="I599" s="392">
        <v>11851</v>
      </c>
      <c r="J599" s="231">
        <v>6747</v>
      </c>
      <c r="K599" s="231">
        <v>24599</v>
      </c>
      <c r="L599" s="231"/>
      <c r="M599" s="300">
        <v>0</v>
      </c>
      <c r="N599" s="300">
        <v>26950</v>
      </c>
      <c r="O599" s="300">
        <v>0</v>
      </c>
      <c r="P599" s="231">
        <v>3867</v>
      </c>
      <c r="Q599" s="231">
        <v>30817</v>
      </c>
      <c r="R599" s="231"/>
      <c r="S599" s="392">
        <v>8138</v>
      </c>
      <c r="T599" s="231">
        <v>2229</v>
      </c>
      <c r="U599" s="396">
        <v>10367</v>
      </c>
      <c r="V599" s="231"/>
      <c r="W599" s="396">
        <v>73225</v>
      </c>
      <c r="X599" s="396">
        <v>-25874</v>
      </c>
      <c r="Y599" s="396"/>
      <c r="Z599" s="396"/>
    </row>
    <row r="600" spans="1:26">
      <c r="A600" s="390">
        <v>96461</v>
      </c>
      <c r="B600" s="391" t="s">
        <v>1300</v>
      </c>
      <c r="C600" s="234">
        <v>1.5970000000000001E-4</v>
      </c>
      <c r="D600" s="234">
        <v>1.294E-4</v>
      </c>
      <c r="E600" s="231">
        <v>244915</v>
      </c>
      <c r="F600" s="231" t="s">
        <v>1924</v>
      </c>
      <c r="G600" s="392">
        <v>77916</v>
      </c>
      <c r="H600" s="392">
        <v>0</v>
      </c>
      <c r="I600" s="392">
        <v>153869</v>
      </c>
      <c r="J600" s="231">
        <v>47715</v>
      </c>
      <c r="K600" s="231">
        <v>279500</v>
      </c>
      <c r="L600" s="231"/>
      <c r="M600" s="300">
        <v>0</v>
      </c>
      <c r="N600" s="300">
        <v>349910</v>
      </c>
      <c r="O600" s="300">
        <v>0</v>
      </c>
      <c r="P600" s="231">
        <v>17768</v>
      </c>
      <c r="Q600" s="231">
        <v>367678</v>
      </c>
      <c r="R600" s="231"/>
      <c r="S600" s="392">
        <v>105664</v>
      </c>
      <c r="T600" s="231">
        <v>9327</v>
      </c>
      <c r="U600" s="396">
        <v>114991</v>
      </c>
      <c r="V600" s="231"/>
      <c r="W600" s="396">
        <v>950741</v>
      </c>
      <c r="X600" s="396">
        <v>-335941</v>
      </c>
      <c r="Y600" s="396"/>
      <c r="Z600" s="396"/>
    </row>
    <row r="601" spans="1:26">
      <c r="A601" s="390">
        <v>96501</v>
      </c>
      <c r="B601" s="391" t="s">
        <v>1301</v>
      </c>
      <c r="C601" s="234">
        <v>1.42842E-2</v>
      </c>
      <c r="D601" s="234">
        <v>1.4739800000000001E-2</v>
      </c>
      <c r="E601" s="231">
        <v>21906192</v>
      </c>
      <c r="F601" s="231" t="s">
        <v>1924</v>
      </c>
      <c r="G601" s="392">
        <v>6969147</v>
      </c>
      <c r="H601" s="392">
        <v>0</v>
      </c>
      <c r="I601" s="392">
        <v>13762684</v>
      </c>
      <c r="J601" s="231">
        <v>117426</v>
      </c>
      <c r="K601" s="231">
        <v>20849257</v>
      </c>
      <c r="L601" s="231"/>
      <c r="M601" s="300">
        <v>0</v>
      </c>
      <c r="N601" s="300">
        <v>31297368</v>
      </c>
      <c r="O601" s="300">
        <v>0</v>
      </c>
      <c r="P601" s="231">
        <v>810571</v>
      </c>
      <c r="Q601" s="231">
        <v>32107939</v>
      </c>
      <c r="R601" s="231"/>
      <c r="S601" s="392">
        <v>9451027</v>
      </c>
      <c r="T601" s="231">
        <v>-222453</v>
      </c>
      <c r="U601" s="396">
        <v>9228574</v>
      </c>
      <c r="V601" s="231"/>
      <c r="W601" s="396">
        <v>85038014</v>
      </c>
      <c r="X601" s="396">
        <v>-30047915</v>
      </c>
      <c r="Y601" s="396"/>
      <c r="Z601" s="396"/>
    </row>
    <row r="602" spans="1:26">
      <c r="A602" s="390">
        <v>96502</v>
      </c>
      <c r="B602" s="391" t="s">
        <v>1302</v>
      </c>
      <c r="C602" s="234">
        <v>3.366E-4</v>
      </c>
      <c r="D602" s="234">
        <v>3.3369999999999998E-4</v>
      </c>
      <c r="E602" s="231">
        <v>516208</v>
      </c>
      <c r="F602" s="231" t="s">
        <v>1924</v>
      </c>
      <c r="G602" s="392">
        <v>164224</v>
      </c>
      <c r="H602" s="392">
        <v>0</v>
      </c>
      <c r="I602" s="392">
        <v>324311</v>
      </c>
      <c r="J602" s="231">
        <v>35271</v>
      </c>
      <c r="K602" s="231">
        <v>523806</v>
      </c>
      <c r="L602" s="231"/>
      <c r="M602" s="300">
        <v>0</v>
      </c>
      <c r="N602" s="300">
        <v>737507</v>
      </c>
      <c r="O602" s="300">
        <v>0</v>
      </c>
      <c r="P602" s="231">
        <v>48551</v>
      </c>
      <c r="Q602" s="231">
        <v>786058</v>
      </c>
      <c r="R602" s="231"/>
      <c r="S602" s="392">
        <v>222709</v>
      </c>
      <c r="T602" s="231">
        <v>-10474</v>
      </c>
      <c r="U602" s="396">
        <v>212235</v>
      </c>
      <c r="V602" s="231"/>
      <c r="W602" s="396">
        <v>2003878</v>
      </c>
      <c r="X602" s="396">
        <v>-708064</v>
      </c>
      <c r="Y602" s="396"/>
      <c r="Z602" s="396"/>
    </row>
    <row r="603" spans="1:26">
      <c r="A603" s="390">
        <v>96503</v>
      </c>
      <c r="B603" s="391" t="s">
        <v>1939</v>
      </c>
      <c r="C603" s="234">
        <v>2.9750000000000002E-4</v>
      </c>
      <c r="D603" s="234">
        <v>2.81E-4</v>
      </c>
      <c r="E603" s="231">
        <v>456245</v>
      </c>
      <c r="F603" s="231" t="s">
        <v>1924</v>
      </c>
      <c r="G603" s="392">
        <v>145148</v>
      </c>
      <c r="H603" s="392">
        <v>0</v>
      </c>
      <c r="I603" s="392">
        <v>286638</v>
      </c>
      <c r="J603" s="231">
        <v>366514</v>
      </c>
      <c r="K603" s="231">
        <v>798300</v>
      </c>
      <c r="L603" s="231"/>
      <c r="M603" s="300">
        <v>0</v>
      </c>
      <c r="N603" s="300">
        <v>651837</v>
      </c>
      <c r="O603" s="300">
        <v>0</v>
      </c>
      <c r="P603" s="231">
        <v>6344</v>
      </c>
      <c r="Q603" s="231">
        <v>658181</v>
      </c>
      <c r="R603" s="231"/>
      <c r="S603" s="392">
        <v>196838</v>
      </c>
      <c r="T603" s="231">
        <v>182551</v>
      </c>
      <c r="U603" s="396">
        <v>379389</v>
      </c>
      <c r="V603" s="231"/>
      <c r="W603" s="396">
        <v>1771104</v>
      </c>
      <c r="X603" s="396">
        <v>-625814</v>
      </c>
      <c r="Y603" s="396"/>
      <c r="Z603" s="396"/>
    </row>
    <row r="604" spans="1:26">
      <c r="A604" s="390">
        <v>96504</v>
      </c>
      <c r="B604" s="391" t="s">
        <v>1304</v>
      </c>
      <c r="C604" s="234">
        <v>3.7270000000000001E-4</v>
      </c>
      <c r="D604" s="234">
        <v>3.8099999999999999E-4</v>
      </c>
      <c r="E604" s="231">
        <v>571571</v>
      </c>
      <c r="F604" s="231" t="s">
        <v>1924</v>
      </c>
      <c r="G604" s="392">
        <v>181837</v>
      </c>
      <c r="H604" s="392">
        <v>0</v>
      </c>
      <c r="I604" s="392">
        <v>359093</v>
      </c>
      <c r="J604" s="231">
        <v>10232</v>
      </c>
      <c r="K604" s="231">
        <v>551162</v>
      </c>
      <c r="L604" s="231"/>
      <c r="M604" s="300">
        <v>0</v>
      </c>
      <c r="N604" s="300">
        <v>816604</v>
      </c>
      <c r="O604" s="300">
        <v>0</v>
      </c>
      <c r="P604" s="231">
        <v>41903</v>
      </c>
      <c r="Q604" s="231">
        <v>858507</v>
      </c>
      <c r="R604" s="231"/>
      <c r="S604" s="392">
        <v>246594</v>
      </c>
      <c r="T604" s="231">
        <v>-5605</v>
      </c>
      <c r="U604" s="396">
        <v>240989</v>
      </c>
      <c r="V604" s="231"/>
      <c r="W604" s="396">
        <v>2218792</v>
      </c>
      <c r="X604" s="396">
        <v>-784003</v>
      </c>
      <c r="Y604" s="396"/>
      <c r="Z604" s="396"/>
    </row>
    <row r="605" spans="1:26">
      <c r="A605" s="390">
        <v>96507</v>
      </c>
      <c r="B605" s="391" t="s">
        <v>1305</v>
      </c>
      <c r="C605" s="234">
        <v>2.418E-3</v>
      </c>
      <c r="D605" s="234">
        <v>2.2848999999999999E-3</v>
      </c>
      <c r="E605" s="231">
        <v>3708235</v>
      </c>
      <c r="F605" s="231" t="s">
        <v>1924</v>
      </c>
      <c r="G605" s="392">
        <v>1179723</v>
      </c>
      <c r="H605" s="392">
        <v>0</v>
      </c>
      <c r="I605" s="392">
        <v>2329719</v>
      </c>
      <c r="J605" s="231">
        <v>349659</v>
      </c>
      <c r="K605" s="231">
        <v>3859101</v>
      </c>
      <c r="L605" s="231"/>
      <c r="M605" s="300">
        <v>0</v>
      </c>
      <c r="N605" s="300">
        <v>5297954</v>
      </c>
      <c r="O605" s="300">
        <v>0</v>
      </c>
      <c r="P605" s="231">
        <v>0</v>
      </c>
      <c r="Q605" s="231">
        <v>5297954</v>
      </c>
      <c r="R605" s="231"/>
      <c r="S605" s="392">
        <v>1599850</v>
      </c>
      <c r="T605" s="231">
        <v>128496</v>
      </c>
      <c r="U605" s="396">
        <v>1728346</v>
      </c>
      <c r="V605" s="231"/>
      <c r="W605" s="396">
        <v>14395060</v>
      </c>
      <c r="X605" s="396">
        <v>-5086449</v>
      </c>
      <c r="Y605" s="396"/>
      <c r="Z605" s="396"/>
    </row>
    <row r="606" spans="1:26">
      <c r="A606" s="390">
        <v>96508</v>
      </c>
      <c r="B606" s="391" t="s">
        <v>1306</v>
      </c>
      <c r="C606" s="234">
        <v>8.3000000000000002E-6</v>
      </c>
      <c r="D606" s="234">
        <v>2.3999999999999999E-6</v>
      </c>
      <c r="E606" s="231">
        <v>12729</v>
      </c>
      <c r="F606" s="231" t="s">
        <v>1924</v>
      </c>
      <c r="G606" s="392">
        <v>4050</v>
      </c>
      <c r="H606" s="392">
        <v>0</v>
      </c>
      <c r="I606" s="392">
        <v>7997</v>
      </c>
      <c r="J606" s="231">
        <v>24735</v>
      </c>
      <c r="K606" s="231">
        <v>36782</v>
      </c>
      <c r="L606" s="231"/>
      <c r="M606" s="300">
        <v>0</v>
      </c>
      <c r="N606" s="300">
        <v>18186</v>
      </c>
      <c r="O606" s="300">
        <v>0</v>
      </c>
      <c r="P606" s="231">
        <v>0</v>
      </c>
      <c r="Q606" s="231">
        <v>18186</v>
      </c>
      <c r="R606" s="231"/>
      <c r="S606" s="392">
        <v>5492</v>
      </c>
      <c r="T606" s="231">
        <v>11286</v>
      </c>
      <c r="U606" s="396">
        <v>16778</v>
      </c>
      <c r="V606" s="231"/>
      <c r="W606" s="396">
        <v>49412</v>
      </c>
      <c r="X606" s="396">
        <v>-17460</v>
      </c>
      <c r="Y606" s="396"/>
      <c r="Z606" s="396"/>
    </row>
    <row r="607" spans="1:26">
      <c r="A607" s="390">
        <v>96511</v>
      </c>
      <c r="B607" s="391" t="s">
        <v>1307</v>
      </c>
      <c r="C607" s="234">
        <v>5.6360000000000004E-4</v>
      </c>
      <c r="D607" s="234">
        <v>5.5500000000000005E-4</v>
      </c>
      <c r="E607" s="231">
        <v>864335</v>
      </c>
      <c r="F607" s="231" t="s">
        <v>1924</v>
      </c>
      <c r="G607" s="392">
        <v>274976</v>
      </c>
      <c r="H607" s="392">
        <v>0</v>
      </c>
      <c r="I607" s="392">
        <v>543023</v>
      </c>
      <c r="J607" s="231">
        <v>9470</v>
      </c>
      <c r="K607" s="231">
        <v>827469</v>
      </c>
      <c r="L607" s="231"/>
      <c r="M607" s="300">
        <v>0</v>
      </c>
      <c r="N607" s="300">
        <v>1234875</v>
      </c>
      <c r="O607" s="300">
        <v>0</v>
      </c>
      <c r="P607" s="231">
        <v>48615</v>
      </c>
      <c r="Q607" s="231">
        <v>1283490</v>
      </c>
      <c r="R607" s="231"/>
      <c r="S607" s="392">
        <v>372901</v>
      </c>
      <c r="T607" s="231">
        <v>-24307</v>
      </c>
      <c r="U607" s="396">
        <v>348594</v>
      </c>
      <c r="V607" s="231"/>
      <c r="W607" s="396">
        <v>3355275</v>
      </c>
      <c r="X607" s="396">
        <v>-1185576</v>
      </c>
      <c r="Y607" s="396"/>
      <c r="Z607" s="396"/>
    </row>
    <row r="608" spans="1:26">
      <c r="A608" s="390">
        <v>96512</v>
      </c>
      <c r="B608" s="391" t="s">
        <v>1308</v>
      </c>
      <c r="C608" s="234">
        <v>1.3870000000000001E-4</v>
      </c>
      <c r="D608" s="234">
        <v>1.3689999999999999E-4</v>
      </c>
      <c r="E608" s="231">
        <v>212710</v>
      </c>
      <c r="F608" s="231" t="s">
        <v>1924</v>
      </c>
      <c r="G608" s="392">
        <v>67671</v>
      </c>
      <c r="H608" s="392">
        <v>0</v>
      </c>
      <c r="I608" s="392">
        <v>133636</v>
      </c>
      <c r="J608" s="231">
        <v>16270</v>
      </c>
      <c r="K608" s="231">
        <v>217577</v>
      </c>
      <c r="L608" s="231"/>
      <c r="M608" s="300">
        <v>0</v>
      </c>
      <c r="N608" s="300">
        <v>303898</v>
      </c>
      <c r="O608" s="300">
        <v>0</v>
      </c>
      <c r="P608" s="231">
        <v>8517</v>
      </c>
      <c r="Q608" s="231">
        <v>312415</v>
      </c>
      <c r="R608" s="231"/>
      <c r="S608" s="392">
        <v>91770</v>
      </c>
      <c r="T608" s="231">
        <v>-141</v>
      </c>
      <c r="U608" s="396">
        <v>91629</v>
      </c>
      <c r="V608" s="231"/>
      <c r="W608" s="396">
        <v>825722</v>
      </c>
      <c r="X608" s="396">
        <v>-291766</v>
      </c>
      <c r="Y608" s="396"/>
      <c r="Z608" s="396"/>
    </row>
    <row r="609" spans="1:26">
      <c r="A609" s="390">
        <v>96519</v>
      </c>
      <c r="B609" s="391" t="s">
        <v>1615</v>
      </c>
      <c r="C609" s="234">
        <v>0</v>
      </c>
      <c r="D609" s="234">
        <v>0</v>
      </c>
      <c r="E609" s="231">
        <v>0</v>
      </c>
      <c r="F609" s="231">
        <v>0</v>
      </c>
      <c r="G609" s="392">
        <v>0</v>
      </c>
      <c r="H609" s="392">
        <v>0</v>
      </c>
      <c r="I609" s="392">
        <v>0</v>
      </c>
      <c r="J609" s="231">
        <v>0</v>
      </c>
      <c r="K609" s="231">
        <v>0</v>
      </c>
      <c r="L609" s="231">
        <v>0</v>
      </c>
      <c r="M609" s="300">
        <v>0</v>
      </c>
      <c r="N609" s="300">
        <v>0</v>
      </c>
      <c r="O609" s="300">
        <v>0</v>
      </c>
      <c r="P609" s="231">
        <v>0</v>
      </c>
      <c r="Q609" s="231">
        <v>0</v>
      </c>
      <c r="R609" s="231"/>
      <c r="S609" s="231">
        <v>0</v>
      </c>
      <c r="T609" s="231">
        <v>0</v>
      </c>
      <c r="U609" s="231">
        <v>0</v>
      </c>
      <c r="V609" s="231">
        <v>0</v>
      </c>
      <c r="W609" s="231">
        <v>0</v>
      </c>
      <c r="X609" s="231">
        <v>0</v>
      </c>
      <c r="Y609" s="396"/>
      <c r="Z609" s="396"/>
    </row>
    <row r="610" spans="1:26">
      <c r="A610" s="390">
        <v>96521</v>
      </c>
      <c r="B610" s="391" t="s">
        <v>1309</v>
      </c>
      <c r="C610" s="234">
        <v>9.5069999999999996E-4</v>
      </c>
      <c r="D610" s="234">
        <v>8.9309999999999997E-4</v>
      </c>
      <c r="E610" s="231">
        <v>1457990</v>
      </c>
      <c r="F610" s="231" t="s">
        <v>1924</v>
      </c>
      <c r="G610" s="392">
        <v>463839</v>
      </c>
      <c r="H610" s="392">
        <v>0</v>
      </c>
      <c r="I610" s="392">
        <v>915990</v>
      </c>
      <c r="J610" s="231">
        <v>63766</v>
      </c>
      <c r="K610" s="231">
        <v>1443595</v>
      </c>
      <c r="L610" s="231"/>
      <c r="M610" s="300">
        <v>0</v>
      </c>
      <c r="N610" s="300">
        <v>2083029</v>
      </c>
      <c r="O610" s="300">
        <v>0</v>
      </c>
      <c r="P610" s="231">
        <v>90752</v>
      </c>
      <c r="Q610" s="231">
        <v>2173781</v>
      </c>
      <c r="R610" s="231"/>
      <c r="S610" s="392">
        <v>629023</v>
      </c>
      <c r="T610" s="231">
        <v>-31958</v>
      </c>
      <c r="U610" s="396">
        <v>597065</v>
      </c>
      <c r="V610" s="231"/>
      <c r="W610" s="396">
        <v>5659795</v>
      </c>
      <c r="X610" s="396">
        <v>-1999871</v>
      </c>
      <c r="Y610" s="396"/>
      <c r="Z610" s="396"/>
    </row>
    <row r="611" spans="1:26">
      <c r="A611" s="390">
        <v>96531</v>
      </c>
      <c r="B611" s="391" t="s">
        <v>1310</v>
      </c>
      <c r="C611" s="234">
        <v>7.9558000000000007E-3</v>
      </c>
      <c r="D611" s="234">
        <v>8.2658999999999996E-3</v>
      </c>
      <c r="E611" s="231">
        <v>12200983</v>
      </c>
      <c r="F611" s="231" t="s">
        <v>1924</v>
      </c>
      <c r="G611" s="392">
        <v>3881571</v>
      </c>
      <c r="H611" s="392">
        <v>0</v>
      </c>
      <c r="I611" s="392">
        <v>7665334</v>
      </c>
      <c r="J611" s="231">
        <v>0</v>
      </c>
      <c r="K611" s="231">
        <v>11546905</v>
      </c>
      <c r="L611" s="231"/>
      <c r="M611" s="300">
        <v>0</v>
      </c>
      <c r="N611" s="300">
        <v>17431540</v>
      </c>
      <c r="O611" s="300">
        <v>0</v>
      </c>
      <c r="P611" s="231">
        <v>1003027</v>
      </c>
      <c r="Q611" s="231">
        <v>18434567</v>
      </c>
      <c r="R611" s="231"/>
      <c r="S611" s="392">
        <v>5263891</v>
      </c>
      <c r="T611" s="231">
        <v>-454700</v>
      </c>
      <c r="U611" s="396">
        <v>4809191</v>
      </c>
      <c r="V611" s="231"/>
      <c r="W611" s="396">
        <v>47363200</v>
      </c>
      <c r="X611" s="396">
        <v>-16735638</v>
      </c>
      <c r="Y611" s="396"/>
      <c r="Z611" s="396"/>
    </row>
    <row r="612" spans="1:26">
      <c r="A612" s="390">
        <v>96541</v>
      </c>
      <c r="B612" s="391" t="s">
        <v>1311</v>
      </c>
      <c r="C612" s="234">
        <v>4.0220000000000002E-4</v>
      </c>
      <c r="D612" s="234">
        <v>4.06E-4</v>
      </c>
      <c r="E612" s="231">
        <v>616812</v>
      </c>
      <c r="F612" s="231" t="s">
        <v>1924</v>
      </c>
      <c r="G612" s="392">
        <v>196230</v>
      </c>
      <c r="H612" s="392">
        <v>0</v>
      </c>
      <c r="I612" s="392">
        <v>387516</v>
      </c>
      <c r="J612" s="231">
        <v>11043</v>
      </c>
      <c r="K612" s="231">
        <v>594789</v>
      </c>
      <c r="L612" s="231"/>
      <c r="M612" s="300">
        <v>0</v>
      </c>
      <c r="N612" s="300">
        <v>881240</v>
      </c>
      <c r="O612" s="300">
        <v>0</v>
      </c>
      <c r="P612" s="231">
        <v>26835</v>
      </c>
      <c r="Q612" s="231">
        <v>908075</v>
      </c>
      <c r="R612" s="231"/>
      <c r="S612" s="392">
        <v>266112</v>
      </c>
      <c r="T612" s="231">
        <v>-1270</v>
      </c>
      <c r="U612" s="396">
        <v>264842</v>
      </c>
      <c r="V612" s="231"/>
      <c r="W612" s="396">
        <v>2394414</v>
      </c>
      <c r="X612" s="396">
        <v>-846059</v>
      </c>
      <c r="Y612" s="396"/>
      <c r="Z612" s="396"/>
    </row>
    <row r="613" spans="1:26">
      <c r="A613" s="390">
        <v>96601</v>
      </c>
      <c r="B613" s="391" t="s">
        <v>1312</v>
      </c>
      <c r="C613" s="234">
        <v>1.5223999999999999E-3</v>
      </c>
      <c r="D613" s="234">
        <v>1.5973000000000001E-3</v>
      </c>
      <c r="E613" s="231">
        <v>2334747</v>
      </c>
      <c r="F613" s="231" t="s">
        <v>1924</v>
      </c>
      <c r="G613" s="392">
        <v>742767</v>
      </c>
      <c r="H613" s="392">
        <v>0</v>
      </c>
      <c r="I613" s="392">
        <v>1466817</v>
      </c>
      <c r="J613" s="231">
        <v>7368</v>
      </c>
      <c r="K613" s="231">
        <v>2216952</v>
      </c>
      <c r="L613" s="231"/>
      <c r="M613" s="300">
        <v>0</v>
      </c>
      <c r="N613" s="300">
        <v>3335651</v>
      </c>
      <c r="O613" s="300">
        <v>0</v>
      </c>
      <c r="P613" s="231">
        <v>197369</v>
      </c>
      <c r="Q613" s="231">
        <v>3533020</v>
      </c>
      <c r="R613" s="231"/>
      <c r="S613" s="392">
        <v>1007284</v>
      </c>
      <c r="T613" s="231">
        <v>-85810</v>
      </c>
      <c r="U613" s="396">
        <v>921474</v>
      </c>
      <c r="V613" s="231"/>
      <c r="W613" s="396">
        <v>9063292</v>
      </c>
      <c r="X613" s="396">
        <v>-3202486</v>
      </c>
      <c r="Y613" s="396"/>
      <c r="Z613" s="396"/>
    </row>
    <row r="614" spans="1:26">
      <c r="A614" s="390">
        <v>96604</v>
      </c>
      <c r="B614" s="391" t="s">
        <v>1313</v>
      </c>
      <c r="C614" s="234">
        <v>4.4000000000000002E-6</v>
      </c>
      <c r="D614" s="234">
        <v>4.6E-6</v>
      </c>
      <c r="E614" s="231">
        <v>6748</v>
      </c>
      <c r="F614" s="231" t="s">
        <v>1924</v>
      </c>
      <c r="G614" s="392">
        <v>2147</v>
      </c>
      <c r="H614" s="392">
        <v>0</v>
      </c>
      <c r="I614" s="392">
        <v>4239</v>
      </c>
      <c r="J614" s="231">
        <v>3393</v>
      </c>
      <c r="K614" s="231">
        <v>9779</v>
      </c>
      <c r="L614" s="231"/>
      <c r="M614" s="300">
        <v>0</v>
      </c>
      <c r="N614" s="300">
        <v>9641</v>
      </c>
      <c r="O614" s="300">
        <v>0</v>
      </c>
      <c r="P614" s="231">
        <v>0</v>
      </c>
      <c r="Q614" s="231">
        <v>9641</v>
      </c>
      <c r="R614" s="231"/>
      <c r="S614" s="392">
        <v>2911</v>
      </c>
      <c r="T614" s="231">
        <v>1650</v>
      </c>
      <c r="U614" s="396">
        <v>4561</v>
      </c>
      <c r="V614" s="231"/>
      <c r="W614" s="396">
        <v>26194</v>
      </c>
      <c r="X614" s="396">
        <v>-9256</v>
      </c>
      <c r="Y614" s="396"/>
      <c r="Z614" s="396"/>
    </row>
    <row r="615" spans="1:26">
      <c r="A615" s="390">
        <v>96611</v>
      </c>
      <c r="B615" s="391" t="s">
        <v>1314</v>
      </c>
      <c r="C615" s="234">
        <v>1.2799999999999999E-5</v>
      </c>
      <c r="D615" s="234">
        <v>1.95E-5</v>
      </c>
      <c r="E615" s="231">
        <v>19630</v>
      </c>
      <c r="F615" s="231" t="s">
        <v>1924</v>
      </c>
      <c r="G615" s="392">
        <v>6245</v>
      </c>
      <c r="H615" s="392">
        <v>0</v>
      </c>
      <c r="I615" s="392">
        <v>12333</v>
      </c>
      <c r="J615" s="231">
        <v>5458</v>
      </c>
      <c r="K615" s="231">
        <v>24036</v>
      </c>
      <c r="L615" s="231"/>
      <c r="M615" s="300">
        <v>0</v>
      </c>
      <c r="N615" s="300">
        <v>28045</v>
      </c>
      <c r="O615" s="300">
        <v>0</v>
      </c>
      <c r="P615" s="231">
        <v>12518</v>
      </c>
      <c r="Q615" s="231">
        <v>40563</v>
      </c>
      <c r="R615" s="231"/>
      <c r="S615" s="392">
        <v>8469</v>
      </c>
      <c r="T615" s="231">
        <v>-3113</v>
      </c>
      <c r="U615" s="396">
        <v>5356</v>
      </c>
      <c r="V615" s="231"/>
      <c r="W615" s="396">
        <v>76202</v>
      </c>
      <c r="X615" s="396">
        <v>-26926</v>
      </c>
      <c r="Y615" s="396"/>
      <c r="Z615" s="396"/>
    </row>
    <row r="616" spans="1:26">
      <c r="A616" s="390">
        <v>96612</v>
      </c>
      <c r="B616" s="391" t="s">
        <v>1315</v>
      </c>
      <c r="C616" s="234">
        <v>4.6300000000000001E-5</v>
      </c>
      <c r="D616" s="234">
        <v>4.4199999999999997E-5</v>
      </c>
      <c r="E616" s="231">
        <v>71005</v>
      </c>
      <c r="F616" s="231" t="s">
        <v>1924</v>
      </c>
      <c r="G616" s="392">
        <v>22589</v>
      </c>
      <c r="H616" s="392">
        <v>0</v>
      </c>
      <c r="I616" s="392">
        <v>44610</v>
      </c>
      <c r="J616" s="231">
        <v>14543</v>
      </c>
      <c r="K616" s="231">
        <v>81742</v>
      </c>
      <c r="L616" s="231"/>
      <c r="M616" s="300">
        <v>0</v>
      </c>
      <c r="N616" s="300">
        <v>101446</v>
      </c>
      <c r="O616" s="300">
        <v>0</v>
      </c>
      <c r="P616" s="231">
        <v>2055</v>
      </c>
      <c r="Q616" s="231">
        <v>103501</v>
      </c>
      <c r="R616" s="231"/>
      <c r="S616" s="392">
        <v>30634</v>
      </c>
      <c r="T616" s="231">
        <v>4814</v>
      </c>
      <c r="U616" s="396">
        <v>35448</v>
      </c>
      <c r="V616" s="231"/>
      <c r="W616" s="396">
        <v>275637</v>
      </c>
      <c r="X616" s="396">
        <v>-97396</v>
      </c>
      <c r="Y616" s="396"/>
      <c r="Z616" s="396"/>
    </row>
    <row r="617" spans="1:26">
      <c r="A617" s="390">
        <v>96621</v>
      </c>
      <c r="B617" s="391" t="s">
        <v>1316</v>
      </c>
      <c r="C617" s="234">
        <v>2.48E-5</v>
      </c>
      <c r="D617" s="234">
        <v>1.8600000000000001E-5</v>
      </c>
      <c r="E617" s="231">
        <v>38033</v>
      </c>
      <c r="F617" s="231" t="s">
        <v>1924</v>
      </c>
      <c r="G617" s="392">
        <v>12100</v>
      </c>
      <c r="H617" s="392">
        <v>0</v>
      </c>
      <c r="I617" s="392">
        <v>23895</v>
      </c>
      <c r="J617" s="231">
        <v>15128</v>
      </c>
      <c r="K617" s="231">
        <v>51123</v>
      </c>
      <c r="L617" s="231"/>
      <c r="M617" s="300">
        <v>0</v>
      </c>
      <c r="N617" s="300">
        <v>54338</v>
      </c>
      <c r="O617" s="300">
        <v>0</v>
      </c>
      <c r="P617" s="231">
        <v>573</v>
      </c>
      <c r="Q617" s="231">
        <v>54911</v>
      </c>
      <c r="R617" s="231"/>
      <c r="S617" s="392">
        <v>16409</v>
      </c>
      <c r="T617" s="231">
        <v>4849</v>
      </c>
      <c r="U617" s="396">
        <v>21258</v>
      </c>
      <c r="V617" s="231"/>
      <c r="W617" s="396">
        <v>147642</v>
      </c>
      <c r="X617" s="396">
        <v>-52169</v>
      </c>
      <c r="Y617" s="396"/>
      <c r="Z617" s="396"/>
    </row>
    <row r="618" spans="1:26">
      <c r="A618" s="390">
        <v>96631</v>
      </c>
      <c r="B618" s="391" t="s">
        <v>1317</v>
      </c>
      <c r="C618" s="234">
        <v>2.4700000000000001E-5</v>
      </c>
      <c r="D618" s="234">
        <v>2.3099999999999999E-5</v>
      </c>
      <c r="E618" s="231">
        <v>37880</v>
      </c>
      <c r="F618" s="231" t="s">
        <v>1924</v>
      </c>
      <c r="G618" s="392">
        <v>12051</v>
      </c>
      <c r="H618" s="392">
        <v>0</v>
      </c>
      <c r="I618" s="392">
        <v>23798</v>
      </c>
      <c r="J618" s="231">
        <v>4761</v>
      </c>
      <c r="K618" s="231">
        <v>40610</v>
      </c>
      <c r="L618" s="231"/>
      <c r="M618" s="300">
        <v>0</v>
      </c>
      <c r="N618" s="300">
        <v>54119</v>
      </c>
      <c r="O618" s="300">
        <v>0</v>
      </c>
      <c r="P618" s="231">
        <v>338</v>
      </c>
      <c r="Q618" s="231">
        <v>54457</v>
      </c>
      <c r="R618" s="231"/>
      <c r="S618" s="392">
        <v>16343</v>
      </c>
      <c r="T618" s="231">
        <v>1552</v>
      </c>
      <c r="U618" s="396">
        <v>17895</v>
      </c>
      <c r="V618" s="231"/>
      <c r="W618" s="396">
        <v>147046</v>
      </c>
      <c r="X618" s="396">
        <v>-51958</v>
      </c>
      <c r="Y618" s="396"/>
      <c r="Z618" s="396"/>
    </row>
    <row r="619" spans="1:26" ht="14.25" customHeight="1">
      <c r="A619" s="390">
        <v>96641</v>
      </c>
      <c r="B619" s="391" t="s">
        <v>1318</v>
      </c>
      <c r="C619" s="234">
        <v>4.1E-5</v>
      </c>
      <c r="D619" s="234">
        <v>2.9499999999999999E-5</v>
      </c>
      <c r="E619" s="231">
        <v>62877</v>
      </c>
      <c r="F619" s="231" t="s">
        <v>1924</v>
      </c>
      <c r="G619" s="392">
        <v>20004</v>
      </c>
      <c r="H619" s="392">
        <v>0</v>
      </c>
      <c r="I619" s="392">
        <v>39503</v>
      </c>
      <c r="J619" s="231">
        <v>26555</v>
      </c>
      <c r="K619" s="231">
        <v>86062</v>
      </c>
      <c r="L619" s="231"/>
      <c r="M619" s="300">
        <v>0</v>
      </c>
      <c r="N619" s="300">
        <v>89833</v>
      </c>
      <c r="O619" s="300">
        <v>0</v>
      </c>
      <c r="P619" s="231">
        <v>0</v>
      </c>
      <c r="Q619" s="231">
        <v>89833</v>
      </c>
      <c r="R619" s="231"/>
      <c r="S619" s="392">
        <v>27127</v>
      </c>
      <c r="T619" s="231">
        <v>12476</v>
      </c>
      <c r="U619" s="396">
        <v>39603</v>
      </c>
      <c r="V619" s="231"/>
      <c r="W619" s="396">
        <v>244085</v>
      </c>
      <c r="X619" s="396">
        <v>-86247</v>
      </c>
      <c r="Y619" s="396"/>
      <c r="Z619" s="396"/>
    </row>
    <row r="620" spans="1:26" ht="14.25" customHeight="1">
      <c r="A620" s="390">
        <v>96651</v>
      </c>
      <c r="B620" s="391" t="s">
        <v>1319</v>
      </c>
      <c r="C620" s="234">
        <v>2.23E-5</v>
      </c>
      <c r="D620" s="234">
        <v>1.5999999999999999E-5</v>
      </c>
      <c r="E620" s="231">
        <v>34199</v>
      </c>
      <c r="F620" s="231" t="s">
        <v>1924</v>
      </c>
      <c r="G620" s="392">
        <v>10880</v>
      </c>
      <c r="H620" s="392">
        <v>0</v>
      </c>
      <c r="I620" s="392">
        <v>21486</v>
      </c>
      <c r="J620" s="231">
        <v>12181</v>
      </c>
      <c r="K620" s="231">
        <v>44547</v>
      </c>
      <c r="L620" s="231"/>
      <c r="M620" s="300">
        <v>0</v>
      </c>
      <c r="N620" s="300">
        <v>48860</v>
      </c>
      <c r="O620" s="300">
        <v>0</v>
      </c>
      <c r="P620" s="231">
        <v>2942</v>
      </c>
      <c r="Q620" s="231">
        <v>51802</v>
      </c>
      <c r="R620" s="231"/>
      <c r="S620" s="392">
        <v>14755</v>
      </c>
      <c r="T620" s="231">
        <v>3187</v>
      </c>
      <c r="U620" s="396">
        <v>17942</v>
      </c>
      <c r="V620" s="231"/>
      <c r="W620" s="396">
        <v>132758</v>
      </c>
      <c r="X620" s="396">
        <v>-46910</v>
      </c>
      <c r="Y620" s="396"/>
      <c r="Z620" s="396"/>
    </row>
    <row r="621" spans="1:26">
      <c r="A621" s="390">
        <v>96661</v>
      </c>
      <c r="B621" s="391" t="s">
        <v>1320</v>
      </c>
      <c r="C621" s="234">
        <v>2.23E-5</v>
      </c>
      <c r="D621" s="234">
        <v>2.4899999999999999E-5</v>
      </c>
      <c r="E621" s="231">
        <v>34199</v>
      </c>
      <c r="F621" s="231" t="s">
        <v>1924</v>
      </c>
      <c r="G621" s="392">
        <v>10880</v>
      </c>
      <c r="H621" s="392">
        <v>0</v>
      </c>
      <c r="I621" s="392">
        <v>21486</v>
      </c>
      <c r="J621" s="231">
        <v>5774</v>
      </c>
      <c r="K621" s="231">
        <v>38140</v>
      </c>
      <c r="L621" s="231"/>
      <c r="M621" s="300">
        <v>0</v>
      </c>
      <c r="N621" s="300">
        <v>48860</v>
      </c>
      <c r="O621" s="300">
        <v>0</v>
      </c>
      <c r="P621" s="231">
        <v>6357</v>
      </c>
      <c r="Q621" s="231">
        <v>55217</v>
      </c>
      <c r="R621" s="231"/>
      <c r="S621" s="392">
        <v>14755</v>
      </c>
      <c r="T621" s="231">
        <v>1239</v>
      </c>
      <c r="U621" s="396">
        <v>15994</v>
      </c>
      <c r="V621" s="231"/>
      <c r="W621" s="396">
        <v>132758</v>
      </c>
      <c r="X621" s="396">
        <v>-46910</v>
      </c>
      <c r="Y621" s="396"/>
      <c r="Z621" s="396"/>
    </row>
    <row r="622" spans="1:26">
      <c r="A622" s="390">
        <v>96671</v>
      </c>
      <c r="B622" s="391" t="s">
        <v>1321</v>
      </c>
      <c r="C622" s="234">
        <v>1.42E-5</v>
      </c>
      <c r="D622" s="234">
        <v>1.4E-5</v>
      </c>
      <c r="E622" s="231">
        <v>21777</v>
      </c>
      <c r="F622" s="231" t="s">
        <v>1924</v>
      </c>
      <c r="G622" s="392">
        <v>6928</v>
      </c>
      <c r="H622" s="392">
        <v>0</v>
      </c>
      <c r="I622" s="392">
        <v>13682</v>
      </c>
      <c r="J622" s="231">
        <v>7782</v>
      </c>
      <c r="K622" s="231">
        <v>28392</v>
      </c>
      <c r="L622" s="231"/>
      <c r="M622" s="300">
        <v>0</v>
      </c>
      <c r="N622" s="300">
        <v>31113</v>
      </c>
      <c r="O622" s="300">
        <v>0</v>
      </c>
      <c r="P622" s="231">
        <v>0</v>
      </c>
      <c r="Q622" s="231">
        <v>31113</v>
      </c>
      <c r="R622" s="231"/>
      <c r="S622" s="392">
        <v>9395</v>
      </c>
      <c r="T622" s="231">
        <v>3570</v>
      </c>
      <c r="U622" s="396">
        <v>12965</v>
      </c>
      <c r="V622" s="231"/>
      <c r="W622" s="396">
        <v>84537</v>
      </c>
      <c r="X622" s="396">
        <v>-29871</v>
      </c>
      <c r="Y622" s="396"/>
      <c r="Z622" s="396"/>
    </row>
    <row r="623" spans="1:26">
      <c r="A623" s="390">
        <v>96681</v>
      </c>
      <c r="B623" s="391" t="s">
        <v>1322</v>
      </c>
      <c r="C623" s="234">
        <v>2.0999999999999999E-5</v>
      </c>
      <c r="D623" s="234">
        <v>1.7600000000000001E-5</v>
      </c>
      <c r="E623" s="231">
        <v>32206</v>
      </c>
      <c r="F623" s="231" t="s">
        <v>1924</v>
      </c>
      <c r="G623" s="392">
        <v>10246</v>
      </c>
      <c r="H623" s="392">
        <v>0</v>
      </c>
      <c r="I623" s="392">
        <v>20233</v>
      </c>
      <c r="J623" s="231">
        <v>15038</v>
      </c>
      <c r="K623" s="231">
        <v>45517</v>
      </c>
      <c r="L623" s="231"/>
      <c r="M623" s="300">
        <v>0</v>
      </c>
      <c r="N623" s="300">
        <v>46012</v>
      </c>
      <c r="O623" s="300">
        <v>0</v>
      </c>
      <c r="P623" s="231">
        <v>3728</v>
      </c>
      <c r="Q623" s="231">
        <v>49740</v>
      </c>
      <c r="R623" s="231"/>
      <c r="S623" s="392">
        <v>13894</v>
      </c>
      <c r="T623" s="231">
        <v>2644</v>
      </c>
      <c r="U623" s="396">
        <v>16538</v>
      </c>
      <c r="V623" s="231"/>
      <c r="W623" s="396">
        <v>125019</v>
      </c>
      <c r="X623" s="396">
        <v>-44175</v>
      </c>
      <c r="Y623" s="396"/>
      <c r="Z623" s="396"/>
    </row>
    <row r="624" spans="1:26">
      <c r="A624" s="390">
        <v>96701</v>
      </c>
      <c r="B624" s="391" t="s">
        <v>1323</v>
      </c>
      <c r="C624" s="234">
        <v>7.8210999999999992E-3</v>
      </c>
      <c r="D624" s="234">
        <v>7.9334000000000002E-3</v>
      </c>
      <c r="E624" s="231">
        <v>11994408</v>
      </c>
      <c r="F624" s="231" t="s">
        <v>1924</v>
      </c>
      <c r="G624" s="392">
        <v>3815852</v>
      </c>
      <c r="H624" s="392">
        <v>0</v>
      </c>
      <c r="I624" s="392">
        <v>7535552</v>
      </c>
      <c r="J624" s="231">
        <v>0</v>
      </c>
      <c r="K624" s="231">
        <v>11351404</v>
      </c>
      <c r="L624" s="231"/>
      <c r="M624" s="300">
        <v>0</v>
      </c>
      <c r="N624" s="300">
        <v>17136406</v>
      </c>
      <c r="O624" s="300">
        <v>0</v>
      </c>
      <c r="P624" s="231">
        <v>1213540</v>
      </c>
      <c r="Q624" s="231">
        <v>18349946</v>
      </c>
      <c r="R624" s="231"/>
      <c r="S624" s="392">
        <v>5174768</v>
      </c>
      <c r="T624" s="231">
        <v>-478491</v>
      </c>
      <c r="U624" s="396">
        <v>4696277</v>
      </c>
      <c r="V624" s="231"/>
      <c r="W624" s="396">
        <v>46561292</v>
      </c>
      <c r="X624" s="396">
        <v>-16452286</v>
      </c>
      <c r="Y624" s="396"/>
      <c r="Z624" s="396"/>
    </row>
    <row r="625" spans="1:26">
      <c r="A625" s="390">
        <v>96704</v>
      </c>
      <c r="B625" s="391" t="s">
        <v>1324</v>
      </c>
      <c r="C625" s="234">
        <v>2.2550000000000001E-4</v>
      </c>
      <c r="D625" s="234">
        <v>1.9349999999999999E-4</v>
      </c>
      <c r="E625" s="231">
        <v>345826</v>
      </c>
      <c r="F625" s="231" t="s">
        <v>1924</v>
      </c>
      <c r="G625" s="392">
        <v>110020</v>
      </c>
      <c r="H625" s="392">
        <v>0</v>
      </c>
      <c r="I625" s="392">
        <v>217267</v>
      </c>
      <c r="J625" s="231">
        <v>117517</v>
      </c>
      <c r="K625" s="231">
        <v>444804</v>
      </c>
      <c r="L625" s="231"/>
      <c r="M625" s="300">
        <v>0</v>
      </c>
      <c r="N625" s="300">
        <v>494081</v>
      </c>
      <c r="O625" s="300">
        <v>0</v>
      </c>
      <c r="P625" s="231">
        <v>0</v>
      </c>
      <c r="Q625" s="231">
        <v>494081</v>
      </c>
      <c r="R625" s="231"/>
      <c r="S625" s="392">
        <v>149200</v>
      </c>
      <c r="T625" s="231">
        <v>54826</v>
      </c>
      <c r="U625" s="396">
        <v>204026</v>
      </c>
      <c r="V625" s="231"/>
      <c r="W625" s="396">
        <v>1342467</v>
      </c>
      <c r="X625" s="396">
        <v>-474357</v>
      </c>
      <c r="Y625" s="396"/>
      <c r="Z625" s="396"/>
    </row>
    <row r="626" spans="1:26">
      <c r="A626" s="390">
        <v>96708</v>
      </c>
      <c r="B626" s="391" t="s">
        <v>1325</v>
      </c>
      <c r="C626" s="234">
        <v>8.4489999999999999E-4</v>
      </c>
      <c r="D626" s="234">
        <v>8.5760000000000003E-4</v>
      </c>
      <c r="E626" s="231">
        <v>1295735</v>
      </c>
      <c r="F626" s="231" t="s">
        <v>1924</v>
      </c>
      <c r="G626" s="392">
        <v>412220</v>
      </c>
      <c r="H626" s="392">
        <v>0</v>
      </c>
      <c r="I626" s="392">
        <v>814053</v>
      </c>
      <c r="J626" s="231">
        <v>37129</v>
      </c>
      <c r="K626" s="231">
        <v>1263402</v>
      </c>
      <c r="L626" s="231"/>
      <c r="M626" s="300">
        <v>0</v>
      </c>
      <c r="N626" s="300">
        <v>1851216</v>
      </c>
      <c r="O626" s="300">
        <v>0</v>
      </c>
      <c r="P626" s="231">
        <v>23848</v>
      </c>
      <c r="Q626" s="231">
        <v>1875064</v>
      </c>
      <c r="R626" s="231"/>
      <c r="S626" s="392">
        <v>559021</v>
      </c>
      <c r="T626" s="231">
        <v>22539</v>
      </c>
      <c r="U626" s="396">
        <v>581560</v>
      </c>
      <c r="V626" s="231"/>
      <c r="W626" s="396">
        <v>5029936</v>
      </c>
      <c r="X626" s="396">
        <v>-1777312</v>
      </c>
      <c r="Y626" s="396"/>
      <c r="Z626" s="396"/>
    </row>
    <row r="627" spans="1:26">
      <c r="A627" s="390">
        <v>96711</v>
      </c>
      <c r="B627" s="391" t="s">
        <v>1326</v>
      </c>
      <c r="C627" s="234">
        <v>3.7699000000000001E-3</v>
      </c>
      <c r="D627" s="234">
        <v>3.8658999999999998E-3</v>
      </c>
      <c r="E627" s="231">
        <v>5781504</v>
      </c>
      <c r="F627" s="231" t="s">
        <v>1924</v>
      </c>
      <c r="G627" s="392">
        <v>1839304</v>
      </c>
      <c r="H627" s="392">
        <v>0</v>
      </c>
      <c r="I627" s="392">
        <v>3632261</v>
      </c>
      <c r="J627" s="231">
        <v>23261</v>
      </c>
      <c r="K627" s="231">
        <v>5494826</v>
      </c>
      <c r="L627" s="231"/>
      <c r="M627" s="300">
        <v>0</v>
      </c>
      <c r="N627" s="300">
        <v>8260032</v>
      </c>
      <c r="O627" s="300">
        <v>0</v>
      </c>
      <c r="P627" s="231">
        <v>327735</v>
      </c>
      <c r="Q627" s="231">
        <v>8587767</v>
      </c>
      <c r="R627" s="231"/>
      <c r="S627" s="392">
        <v>2494324</v>
      </c>
      <c r="T627" s="231">
        <v>-182757</v>
      </c>
      <c r="U627" s="396">
        <v>2311567</v>
      </c>
      <c r="V627" s="231"/>
      <c r="W627" s="396">
        <v>22443316</v>
      </c>
      <c r="X627" s="396">
        <v>-7930275</v>
      </c>
      <c r="Y627" s="396"/>
      <c r="Z627" s="396"/>
    </row>
    <row r="628" spans="1:26">
      <c r="A628" s="390">
        <v>96721</v>
      </c>
      <c r="B628" s="391" t="s">
        <v>1327</v>
      </c>
      <c r="C628" s="234">
        <v>2.5119999999999998E-4</v>
      </c>
      <c r="D628" s="234">
        <v>2.3929999999999999E-4</v>
      </c>
      <c r="E628" s="231">
        <v>385239</v>
      </c>
      <c r="F628" s="231" t="s">
        <v>1924</v>
      </c>
      <c r="G628" s="392">
        <v>122558</v>
      </c>
      <c r="H628" s="392">
        <v>0</v>
      </c>
      <c r="I628" s="392">
        <v>242029</v>
      </c>
      <c r="J628" s="231">
        <v>29322</v>
      </c>
      <c r="K628" s="231">
        <v>393909</v>
      </c>
      <c r="L628" s="231"/>
      <c r="M628" s="300">
        <v>0</v>
      </c>
      <c r="N628" s="300">
        <v>550391</v>
      </c>
      <c r="O628" s="300">
        <v>0</v>
      </c>
      <c r="P628" s="231">
        <v>1777</v>
      </c>
      <c r="Q628" s="231">
        <v>552168</v>
      </c>
      <c r="R628" s="231"/>
      <c r="S628" s="392">
        <v>166204</v>
      </c>
      <c r="T628" s="231">
        <v>14532</v>
      </c>
      <c r="U628" s="396">
        <v>180736</v>
      </c>
      <c r="V628" s="231"/>
      <c r="W628" s="396">
        <v>1495467</v>
      </c>
      <c r="X628" s="396">
        <v>-528419</v>
      </c>
      <c r="Y628" s="396"/>
      <c r="Z628" s="396"/>
    </row>
    <row r="629" spans="1:26">
      <c r="A629" s="390">
        <v>96731</v>
      </c>
      <c r="B629" s="391" t="s">
        <v>1328</v>
      </c>
      <c r="C629" s="234">
        <v>2.008E-4</v>
      </c>
      <c r="D629" s="234">
        <v>1.741E-4</v>
      </c>
      <c r="E629" s="231">
        <v>307946</v>
      </c>
      <c r="F629" s="231" t="s">
        <v>1924</v>
      </c>
      <c r="G629" s="392">
        <v>97969</v>
      </c>
      <c r="H629" s="392">
        <v>0</v>
      </c>
      <c r="I629" s="392">
        <v>193469</v>
      </c>
      <c r="J629" s="231">
        <v>26373</v>
      </c>
      <c r="K629" s="231">
        <v>317811</v>
      </c>
      <c r="L629" s="231"/>
      <c r="M629" s="300">
        <v>0</v>
      </c>
      <c r="N629" s="300">
        <v>439962</v>
      </c>
      <c r="O629" s="300">
        <v>0</v>
      </c>
      <c r="P629" s="231">
        <v>4041</v>
      </c>
      <c r="Q629" s="231">
        <v>444003</v>
      </c>
      <c r="R629" s="231"/>
      <c r="S629" s="392">
        <v>132858</v>
      </c>
      <c r="T629" s="231">
        <v>8647</v>
      </c>
      <c r="U629" s="396">
        <v>141505</v>
      </c>
      <c r="V629" s="231"/>
      <c r="W629" s="396">
        <v>1195421</v>
      </c>
      <c r="X629" s="396">
        <v>-422398</v>
      </c>
      <c r="Y629" s="396"/>
      <c r="Z629" s="396"/>
    </row>
    <row r="630" spans="1:26">
      <c r="A630" s="390">
        <v>96733</v>
      </c>
      <c r="B630" s="391" t="s">
        <v>1329</v>
      </c>
      <c r="C630" s="234">
        <v>0</v>
      </c>
      <c r="D630" s="234">
        <v>0</v>
      </c>
      <c r="E630" s="231">
        <v>0</v>
      </c>
      <c r="F630" s="231" t="s">
        <v>1924</v>
      </c>
      <c r="G630" s="392">
        <v>0</v>
      </c>
      <c r="H630" s="392">
        <v>0</v>
      </c>
      <c r="I630" s="392">
        <v>0</v>
      </c>
      <c r="J630" s="231">
        <v>550</v>
      </c>
      <c r="K630" s="231">
        <v>550</v>
      </c>
      <c r="L630" s="231"/>
      <c r="M630" s="300">
        <v>0</v>
      </c>
      <c r="N630" s="300">
        <v>0</v>
      </c>
      <c r="O630" s="300">
        <v>0</v>
      </c>
      <c r="P630" s="231">
        <v>8519</v>
      </c>
      <c r="Q630" s="231">
        <v>8519</v>
      </c>
      <c r="R630" s="231"/>
      <c r="S630" s="392">
        <v>0</v>
      </c>
      <c r="T630" s="231">
        <v>-3844</v>
      </c>
      <c r="U630" s="396">
        <v>-3844</v>
      </c>
      <c r="V630" s="231"/>
      <c r="W630" s="396">
        <v>0</v>
      </c>
      <c r="X630" s="396">
        <v>0</v>
      </c>
      <c r="Y630" s="396"/>
      <c r="Z630" s="396"/>
    </row>
    <row r="631" spans="1:26">
      <c r="A631" s="390">
        <v>96741</v>
      </c>
      <c r="B631" s="391" t="s">
        <v>1330</v>
      </c>
      <c r="C631" s="234">
        <v>8.81E-5</v>
      </c>
      <c r="D631" s="234">
        <v>8.6799999999999996E-5</v>
      </c>
      <c r="E631" s="231">
        <v>135110</v>
      </c>
      <c r="F631" s="231" t="s">
        <v>1924</v>
      </c>
      <c r="G631" s="392">
        <v>42983</v>
      </c>
      <c r="H631" s="392">
        <v>0</v>
      </c>
      <c r="I631" s="392">
        <v>84883</v>
      </c>
      <c r="J631" s="231">
        <v>701</v>
      </c>
      <c r="K631" s="231">
        <v>128567</v>
      </c>
      <c r="L631" s="231"/>
      <c r="M631" s="300">
        <v>0</v>
      </c>
      <c r="N631" s="300">
        <v>193031</v>
      </c>
      <c r="O631" s="300">
        <v>0</v>
      </c>
      <c r="P631" s="231">
        <v>12538</v>
      </c>
      <c r="Q631" s="231">
        <v>205569</v>
      </c>
      <c r="R631" s="231"/>
      <c r="S631" s="392">
        <v>58291</v>
      </c>
      <c r="T631" s="231">
        <v>-5684</v>
      </c>
      <c r="U631" s="396">
        <v>52607</v>
      </c>
      <c r="V631" s="231"/>
      <c r="W631" s="396">
        <v>524485</v>
      </c>
      <c r="X631" s="396">
        <v>-185325</v>
      </c>
      <c r="Y631" s="396"/>
      <c r="Z631" s="396"/>
    </row>
    <row r="632" spans="1:26">
      <c r="A632" s="390">
        <v>96751</v>
      </c>
      <c r="B632" s="391" t="s">
        <v>1331</v>
      </c>
      <c r="C632" s="234">
        <v>3.2870000000000002E-4</v>
      </c>
      <c r="D632" s="234">
        <v>2.7139999999999998E-4</v>
      </c>
      <c r="E632" s="231">
        <v>504093</v>
      </c>
      <c r="F632" s="231" t="s">
        <v>1924</v>
      </c>
      <c r="G632" s="392">
        <v>160370</v>
      </c>
      <c r="H632" s="392">
        <v>0</v>
      </c>
      <c r="I632" s="392">
        <v>316699</v>
      </c>
      <c r="J632" s="231">
        <v>92699</v>
      </c>
      <c r="K632" s="231">
        <v>569768</v>
      </c>
      <c r="L632" s="231"/>
      <c r="M632" s="300">
        <v>0</v>
      </c>
      <c r="N632" s="300">
        <v>720197</v>
      </c>
      <c r="O632" s="300">
        <v>0</v>
      </c>
      <c r="P632" s="231">
        <v>23692</v>
      </c>
      <c r="Q632" s="231">
        <v>743889</v>
      </c>
      <c r="R632" s="231"/>
      <c r="S632" s="392">
        <v>217482</v>
      </c>
      <c r="T632" s="231">
        <v>20114</v>
      </c>
      <c r="U632" s="396">
        <v>237596</v>
      </c>
      <c r="V632" s="231"/>
      <c r="W632" s="396">
        <v>1956847</v>
      </c>
      <c r="X632" s="396">
        <v>-691446</v>
      </c>
      <c r="Y632" s="396"/>
      <c r="Z632" s="396"/>
    </row>
    <row r="633" spans="1:26">
      <c r="A633" s="390">
        <v>96801</v>
      </c>
      <c r="B633" s="391" t="s">
        <v>1332</v>
      </c>
      <c r="C633" s="234">
        <v>7.3797000000000003E-3</v>
      </c>
      <c r="D633" s="234">
        <v>7.3815E-3</v>
      </c>
      <c r="E633" s="231">
        <v>11317478</v>
      </c>
      <c r="F633" s="231" t="s">
        <v>1924</v>
      </c>
      <c r="G633" s="392">
        <v>3600497</v>
      </c>
      <c r="H633" s="392">
        <v>0</v>
      </c>
      <c r="I633" s="392">
        <v>7110267</v>
      </c>
      <c r="J633" s="231">
        <v>82064</v>
      </c>
      <c r="K633" s="231">
        <v>10792828</v>
      </c>
      <c r="L633" s="231"/>
      <c r="M633" s="300">
        <v>0</v>
      </c>
      <c r="N633" s="300">
        <v>16169277</v>
      </c>
      <c r="O633" s="300">
        <v>0</v>
      </c>
      <c r="P633" s="231">
        <v>127077</v>
      </c>
      <c r="Q633" s="231">
        <v>16296354</v>
      </c>
      <c r="R633" s="231"/>
      <c r="S633" s="392">
        <v>4882719</v>
      </c>
      <c r="T633" s="231">
        <v>-42467</v>
      </c>
      <c r="U633" s="396">
        <v>4840252</v>
      </c>
      <c r="V633" s="231"/>
      <c r="W633" s="396">
        <v>43933509</v>
      </c>
      <c r="X633" s="396">
        <v>-15523767</v>
      </c>
      <c r="Y633" s="396"/>
      <c r="Z633" s="396"/>
    </row>
    <row r="634" spans="1:26">
      <c r="A634" s="390">
        <v>96804</v>
      </c>
      <c r="B634" s="391" t="s">
        <v>1333</v>
      </c>
      <c r="C634" s="234">
        <v>2.3699999999999999E-4</v>
      </c>
      <c r="D634" s="234">
        <v>2.3499999999999999E-4</v>
      </c>
      <c r="E634" s="231">
        <v>363462</v>
      </c>
      <c r="F634" s="231" t="s">
        <v>1924</v>
      </c>
      <c r="G634" s="392">
        <v>115630</v>
      </c>
      <c r="H634" s="392">
        <v>0</v>
      </c>
      <c r="I634" s="392">
        <v>228347</v>
      </c>
      <c r="J634" s="231">
        <v>0</v>
      </c>
      <c r="K634" s="231">
        <v>343977</v>
      </c>
      <c r="L634" s="231"/>
      <c r="M634" s="300">
        <v>0</v>
      </c>
      <c r="N634" s="300">
        <v>519278</v>
      </c>
      <c r="O634" s="300">
        <v>0</v>
      </c>
      <c r="P634" s="231">
        <v>30358</v>
      </c>
      <c r="Q634" s="231">
        <v>549636</v>
      </c>
      <c r="R634" s="231"/>
      <c r="S634" s="392">
        <v>156809</v>
      </c>
      <c r="T634" s="231">
        <v>-15272</v>
      </c>
      <c r="U634" s="396">
        <v>141537</v>
      </c>
      <c r="V634" s="231"/>
      <c r="W634" s="396">
        <v>1410930</v>
      </c>
      <c r="X634" s="396">
        <v>-498548</v>
      </c>
      <c r="Y634" s="396"/>
      <c r="Z634" s="396"/>
    </row>
    <row r="635" spans="1:26">
      <c r="A635" s="390">
        <v>96808</v>
      </c>
      <c r="B635" s="391" t="s">
        <v>1334</v>
      </c>
      <c r="C635" s="234">
        <v>1.2228E-3</v>
      </c>
      <c r="D635" s="234">
        <v>1.2712999999999999E-3</v>
      </c>
      <c r="E635" s="231">
        <v>1875281</v>
      </c>
      <c r="F635" s="231" t="s">
        <v>1924</v>
      </c>
      <c r="G635" s="392">
        <v>596594</v>
      </c>
      <c r="H635" s="392">
        <v>0</v>
      </c>
      <c r="I635" s="392">
        <v>1178156</v>
      </c>
      <c r="J635" s="231">
        <v>40971</v>
      </c>
      <c r="K635" s="231">
        <v>1815721</v>
      </c>
      <c r="L635" s="231"/>
      <c r="M635" s="300">
        <v>0</v>
      </c>
      <c r="N635" s="300">
        <v>2679213</v>
      </c>
      <c r="O635" s="300">
        <v>0</v>
      </c>
      <c r="P635" s="231">
        <v>64355</v>
      </c>
      <c r="Q635" s="231">
        <v>2743568</v>
      </c>
      <c r="R635" s="231"/>
      <c r="S635" s="392">
        <v>809056</v>
      </c>
      <c r="T635" s="231">
        <v>-6330</v>
      </c>
      <c r="U635" s="396">
        <v>802726</v>
      </c>
      <c r="V635" s="231"/>
      <c r="W635" s="396">
        <v>7279685</v>
      </c>
      <c r="X635" s="396">
        <v>-2572254</v>
      </c>
      <c r="Y635" s="396"/>
      <c r="Z635" s="396"/>
    </row>
    <row r="636" spans="1:26">
      <c r="A636" s="390">
        <v>96811</v>
      </c>
      <c r="B636" s="391" t="s">
        <v>1335</v>
      </c>
      <c r="C636" s="234">
        <v>5.5815999999999999E-3</v>
      </c>
      <c r="D636" s="234">
        <v>5.7375999999999998E-3</v>
      </c>
      <c r="E636" s="231">
        <v>8559919</v>
      </c>
      <c r="F636" s="231" t="s">
        <v>1924</v>
      </c>
      <c r="G636" s="392">
        <v>2723218</v>
      </c>
      <c r="H636" s="392">
        <v>0</v>
      </c>
      <c r="I636" s="392">
        <v>5377816</v>
      </c>
      <c r="J636" s="231">
        <v>0</v>
      </c>
      <c r="K636" s="231">
        <v>8101034</v>
      </c>
      <c r="L636" s="231"/>
      <c r="M636" s="300">
        <v>0</v>
      </c>
      <c r="N636" s="300">
        <v>12229554</v>
      </c>
      <c r="O636" s="300">
        <v>0</v>
      </c>
      <c r="P636" s="231">
        <v>448746</v>
      </c>
      <c r="Q636" s="231">
        <v>12678300</v>
      </c>
      <c r="R636" s="231"/>
      <c r="S636" s="392">
        <v>3693021</v>
      </c>
      <c r="T636" s="231">
        <v>-168594</v>
      </c>
      <c r="U636" s="396">
        <v>3524427</v>
      </c>
      <c r="V636" s="231"/>
      <c r="W636" s="396">
        <v>33228895</v>
      </c>
      <c r="X636" s="396">
        <v>-11741325</v>
      </c>
      <c r="Y636" s="396"/>
      <c r="Z636" s="396"/>
    </row>
    <row r="637" spans="1:26">
      <c r="A637" s="390">
        <v>96821</v>
      </c>
      <c r="B637" s="391" t="s">
        <v>1336</v>
      </c>
      <c r="C637" s="234">
        <v>1.1953000000000001E-3</v>
      </c>
      <c r="D637" s="234">
        <v>1.2259E-3</v>
      </c>
      <c r="E637" s="231">
        <v>1833107</v>
      </c>
      <c r="F637" s="231" t="s">
        <v>1924</v>
      </c>
      <c r="G637" s="392">
        <v>583177</v>
      </c>
      <c r="H637" s="392">
        <v>0</v>
      </c>
      <c r="I637" s="392">
        <v>1151660</v>
      </c>
      <c r="J637" s="231">
        <v>63505</v>
      </c>
      <c r="K637" s="231">
        <v>1798342</v>
      </c>
      <c r="L637" s="231"/>
      <c r="M637" s="300">
        <v>0</v>
      </c>
      <c r="N637" s="300">
        <v>2618960</v>
      </c>
      <c r="O637" s="300">
        <v>0</v>
      </c>
      <c r="P637" s="231">
        <v>22329</v>
      </c>
      <c r="Q637" s="231">
        <v>2641289</v>
      </c>
      <c r="R637" s="231"/>
      <c r="S637" s="392">
        <v>790861</v>
      </c>
      <c r="T637" s="231">
        <v>1280</v>
      </c>
      <c r="U637" s="396">
        <v>792141</v>
      </c>
      <c r="V637" s="231"/>
      <c r="W637" s="396">
        <v>7115970</v>
      </c>
      <c r="X637" s="396">
        <v>-2514406</v>
      </c>
      <c r="Y637" s="396"/>
      <c r="Z637" s="396"/>
    </row>
    <row r="638" spans="1:26">
      <c r="A638" s="390">
        <v>96831</v>
      </c>
      <c r="B638" s="391" t="s">
        <v>1337</v>
      </c>
      <c r="C638" s="234">
        <v>7.9889999999999996E-4</v>
      </c>
      <c r="D638" s="234">
        <v>9.2150000000000001E-4</v>
      </c>
      <c r="E638" s="231">
        <v>1225190</v>
      </c>
      <c r="F638" s="231" t="s">
        <v>1924</v>
      </c>
      <c r="G638" s="392">
        <v>389777</v>
      </c>
      <c r="H638" s="392">
        <v>0</v>
      </c>
      <c r="I638" s="392">
        <v>769732</v>
      </c>
      <c r="J638" s="231">
        <v>17518</v>
      </c>
      <c r="K638" s="231">
        <v>1177027</v>
      </c>
      <c r="L638" s="231"/>
      <c r="M638" s="300">
        <v>0</v>
      </c>
      <c r="N638" s="300">
        <v>1750428</v>
      </c>
      <c r="O638" s="300">
        <v>0</v>
      </c>
      <c r="P638" s="231">
        <v>194422</v>
      </c>
      <c r="Q638" s="231">
        <v>1944850</v>
      </c>
      <c r="R638" s="231"/>
      <c r="S638" s="392">
        <v>528586</v>
      </c>
      <c r="T638" s="231">
        <v>-59234</v>
      </c>
      <c r="U638" s="396">
        <v>469352</v>
      </c>
      <c r="V638" s="231"/>
      <c r="W638" s="396">
        <v>4756085</v>
      </c>
      <c r="X638" s="396">
        <v>-1680548</v>
      </c>
      <c r="Y638" s="396"/>
      <c r="Z638" s="396"/>
    </row>
    <row r="639" spans="1:26">
      <c r="A639" s="390">
        <v>96901</v>
      </c>
      <c r="B639" s="391" t="s">
        <v>1338</v>
      </c>
      <c r="C639" s="234">
        <v>8.2089999999999995E-4</v>
      </c>
      <c r="D639" s="234">
        <v>8.6399999999999997E-4</v>
      </c>
      <c r="E639" s="231">
        <v>1258929</v>
      </c>
      <c r="F639" s="231" t="s">
        <v>1924</v>
      </c>
      <c r="G639" s="392">
        <v>400511</v>
      </c>
      <c r="H639" s="392">
        <v>0</v>
      </c>
      <c r="I639" s="392">
        <v>790929</v>
      </c>
      <c r="J639" s="231">
        <v>17611</v>
      </c>
      <c r="K639" s="231">
        <v>1209051</v>
      </c>
      <c r="L639" s="231"/>
      <c r="M639" s="300">
        <v>0</v>
      </c>
      <c r="N639" s="300">
        <v>1798631</v>
      </c>
      <c r="O639" s="300">
        <v>0</v>
      </c>
      <c r="P639" s="231">
        <v>152876</v>
      </c>
      <c r="Q639" s="231">
        <v>1951507</v>
      </c>
      <c r="R639" s="231"/>
      <c r="S639" s="392">
        <v>543142</v>
      </c>
      <c r="T639" s="231">
        <v>-43357</v>
      </c>
      <c r="U639" s="396">
        <v>499785</v>
      </c>
      <c r="V639" s="231"/>
      <c r="W639" s="396">
        <v>4887057</v>
      </c>
      <c r="X639" s="396">
        <v>-1726826</v>
      </c>
      <c r="Y639" s="396"/>
      <c r="Z639" s="396"/>
    </row>
    <row r="640" spans="1:26">
      <c r="A640" s="390">
        <v>96911</v>
      </c>
      <c r="B640" s="391" t="s">
        <v>1339</v>
      </c>
      <c r="C640" s="234">
        <v>2.2000000000000001E-6</v>
      </c>
      <c r="D640" s="234">
        <v>2.3E-6</v>
      </c>
      <c r="E640" s="231">
        <v>3374</v>
      </c>
      <c r="F640" s="231" t="s">
        <v>1924</v>
      </c>
      <c r="G640" s="392">
        <v>1073</v>
      </c>
      <c r="H640" s="392">
        <v>0</v>
      </c>
      <c r="I640" s="392">
        <v>2120</v>
      </c>
      <c r="J640" s="231">
        <v>3572</v>
      </c>
      <c r="K640" s="231">
        <v>6765</v>
      </c>
      <c r="L640" s="231"/>
      <c r="M640" s="300">
        <v>0</v>
      </c>
      <c r="N640" s="300">
        <v>4820</v>
      </c>
      <c r="O640" s="300">
        <v>0</v>
      </c>
      <c r="P640" s="231">
        <v>0</v>
      </c>
      <c r="Q640" s="231">
        <v>4820</v>
      </c>
      <c r="R640" s="231"/>
      <c r="S640" s="392">
        <v>1456</v>
      </c>
      <c r="T640" s="231">
        <v>1590</v>
      </c>
      <c r="U640" s="396">
        <v>3046</v>
      </c>
      <c r="V640" s="231"/>
      <c r="W640" s="396">
        <v>13097</v>
      </c>
      <c r="X640" s="396">
        <v>-4628</v>
      </c>
      <c r="Y640" s="396"/>
      <c r="Z640" s="396"/>
    </row>
    <row r="641" spans="1:26" s="355" customFormat="1">
      <c r="A641" s="390">
        <v>96912</v>
      </c>
      <c r="B641" s="391" t="s">
        <v>1340</v>
      </c>
      <c r="C641" s="234">
        <v>7.25E-5</v>
      </c>
      <c r="D641" s="234">
        <v>7.5400000000000003E-5</v>
      </c>
      <c r="E641" s="231">
        <v>111186</v>
      </c>
      <c r="F641" s="231" t="s">
        <v>1924</v>
      </c>
      <c r="G641" s="392">
        <v>35372</v>
      </c>
      <c r="H641" s="392">
        <v>0</v>
      </c>
      <c r="I641" s="392">
        <v>69853</v>
      </c>
      <c r="J641" s="231">
        <v>1421</v>
      </c>
      <c r="K641" s="231">
        <v>106646</v>
      </c>
      <c r="L641" s="231"/>
      <c r="M641" s="300">
        <v>0</v>
      </c>
      <c r="N641" s="300">
        <v>158851</v>
      </c>
      <c r="O641" s="300">
        <v>0</v>
      </c>
      <c r="P641" s="231">
        <v>9287</v>
      </c>
      <c r="Q641" s="231">
        <v>168138</v>
      </c>
      <c r="R641" s="231"/>
      <c r="S641" s="392">
        <v>47969</v>
      </c>
      <c r="T641" s="231">
        <v>-3160</v>
      </c>
      <c r="U641" s="396">
        <v>44809</v>
      </c>
      <c r="V641" s="231"/>
      <c r="W641" s="396">
        <v>431614</v>
      </c>
      <c r="X641" s="396">
        <v>-152509</v>
      </c>
      <c r="Y641" s="396"/>
      <c r="Z641" s="396"/>
    </row>
    <row r="642" spans="1:26">
      <c r="A642" s="390">
        <v>96918</v>
      </c>
      <c r="B642" s="391" t="s">
        <v>1341</v>
      </c>
      <c r="C642" s="234">
        <v>2.9200000000000002E-5</v>
      </c>
      <c r="D642" s="234">
        <v>3.1300000000000002E-5</v>
      </c>
      <c r="E642" s="231">
        <v>44781</v>
      </c>
      <c r="F642" s="231" t="s">
        <v>1924</v>
      </c>
      <c r="G642" s="392">
        <v>14246</v>
      </c>
      <c r="H642" s="392">
        <v>0</v>
      </c>
      <c r="I642" s="392">
        <v>28134</v>
      </c>
      <c r="J642" s="231">
        <v>9105</v>
      </c>
      <c r="K642" s="231">
        <v>51485</v>
      </c>
      <c r="L642" s="231"/>
      <c r="M642" s="300">
        <v>0</v>
      </c>
      <c r="N642" s="300">
        <v>63979</v>
      </c>
      <c r="O642" s="300">
        <v>0</v>
      </c>
      <c r="P642" s="231">
        <v>1029</v>
      </c>
      <c r="Q642" s="231">
        <v>65008</v>
      </c>
      <c r="R642" s="231"/>
      <c r="S642" s="392">
        <v>19320</v>
      </c>
      <c r="T642" s="231">
        <v>3125</v>
      </c>
      <c r="U642" s="396">
        <v>22445</v>
      </c>
      <c r="V642" s="231"/>
      <c r="W642" s="396">
        <v>173836</v>
      </c>
      <c r="X642" s="396">
        <v>-61424</v>
      </c>
      <c r="Y642" s="396"/>
      <c r="Z642" s="396"/>
    </row>
    <row r="643" spans="1:26">
      <c r="A643" s="390">
        <v>97001</v>
      </c>
      <c r="B643" s="391" t="s">
        <v>1342</v>
      </c>
      <c r="C643" s="234">
        <v>1.4491E-3</v>
      </c>
      <c r="D643" s="234">
        <v>1.4051999999999999E-3</v>
      </c>
      <c r="E643" s="231">
        <v>2222334</v>
      </c>
      <c r="F643" s="231" t="s">
        <v>1924</v>
      </c>
      <c r="G643" s="392">
        <v>707004</v>
      </c>
      <c r="H643" s="392">
        <v>0</v>
      </c>
      <c r="I643" s="392">
        <v>1396193</v>
      </c>
      <c r="J643" s="231">
        <v>272371</v>
      </c>
      <c r="K643" s="231">
        <v>2375568</v>
      </c>
      <c r="L643" s="231"/>
      <c r="M643" s="300">
        <v>0</v>
      </c>
      <c r="N643" s="300">
        <v>3175048</v>
      </c>
      <c r="O643" s="300">
        <v>0</v>
      </c>
      <c r="P643" s="231">
        <v>0</v>
      </c>
      <c r="Q643" s="231">
        <v>3175048</v>
      </c>
      <c r="R643" s="231"/>
      <c r="S643" s="392">
        <v>958785</v>
      </c>
      <c r="T643" s="231">
        <v>130656</v>
      </c>
      <c r="U643" s="396">
        <v>1089441</v>
      </c>
      <c r="V643" s="231"/>
      <c r="W643" s="396">
        <v>8626915</v>
      </c>
      <c r="X643" s="396">
        <v>-3048293</v>
      </c>
      <c r="Y643" s="396"/>
      <c r="Z643" s="396"/>
    </row>
    <row r="644" spans="1:26">
      <c r="A644" s="390">
        <v>97002</v>
      </c>
      <c r="B644" s="391" t="s">
        <v>1343</v>
      </c>
      <c r="C644" s="234">
        <v>4.395E-4</v>
      </c>
      <c r="D644" s="234">
        <v>4.7550000000000001E-4</v>
      </c>
      <c r="E644" s="231">
        <v>674015</v>
      </c>
      <c r="F644" s="231" t="s">
        <v>1924</v>
      </c>
      <c r="G644" s="392">
        <v>214429</v>
      </c>
      <c r="H644" s="392">
        <v>0</v>
      </c>
      <c r="I644" s="392">
        <v>423454</v>
      </c>
      <c r="J644" s="231">
        <v>0</v>
      </c>
      <c r="K644" s="231">
        <v>637883</v>
      </c>
      <c r="L644" s="231"/>
      <c r="M644" s="300">
        <v>0</v>
      </c>
      <c r="N644" s="300">
        <v>962966</v>
      </c>
      <c r="O644" s="300">
        <v>0</v>
      </c>
      <c r="P644" s="231">
        <v>192259</v>
      </c>
      <c r="Q644" s="231">
        <v>1155225</v>
      </c>
      <c r="R644" s="231"/>
      <c r="S644" s="392">
        <v>290792</v>
      </c>
      <c r="T644" s="231">
        <v>-89804</v>
      </c>
      <c r="U644" s="396">
        <v>200988</v>
      </c>
      <c r="V644" s="231"/>
      <c r="W644" s="396">
        <v>2616472</v>
      </c>
      <c r="X644" s="396">
        <v>-924522</v>
      </c>
      <c r="Y644" s="396"/>
      <c r="Z644" s="396"/>
    </row>
    <row r="645" spans="1:26">
      <c r="A645" s="390">
        <v>97004</v>
      </c>
      <c r="B645" s="391" t="s">
        <v>1344</v>
      </c>
      <c r="C645" s="234">
        <v>1.5999999999999999E-5</v>
      </c>
      <c r="D645" s="234">
        <v>1.27E-5</v>
      </c>
      <c r="E645" s="231">
        <v>24538</v>
      </c>
      <c r="F645" s="231" t="s">
        <v>1924</v>
      </c>
      <c r="G645" s="392">
        <v>7806</v>
      </c>
      <c r="H645" s="392">
        <v>0</v>
      </c>
      <c r="I645" s="392">
        <v>15416</v>
      </c>
      <c r="J645" s="231">
        <v>11155</v>
      </c>
      <c r="K645" s="231">
        <v>34377</v>
      </c>
      <c r="L645" s="231"/>
      <c r="M645" s="300">
        <v>0</v>
      </c>
      <c r="N645" s="300">
        <v>35057</v>
      </c>
      <c r="O645" s="300">
        <v>0</v>
      </c>
      <c r="P645" s="231">
        <v>609</v>
      </c>
      <c r="Q645" s="231">
        <v>35666</v>
      </c>
      <c r="R645" s="231"/>
      <c r="S645" s="392">
        <v>10586</v>
      </c>
      <c r="T645" s="231">
        <v>5087</v>
      </c>
      <c r="U645" s="396">
        <v>15673</v>
      </c>
      <c r="V645" s="231"/>
      <c r="W645" s="396">
        <v>95253</v>
      </c>
      <c r="X645" s="396">
        <v>-33657</v>
      </c>
      <c r="Y645" s="396"/>
      <c r="Z645" s="396"/>
    </row>
    <row r="646" spans="1:26">
      <c r="A646" s="390">
        <v>97005</v>
      </c>
      <c r="B646" s="391" t="s">
        <v>1345</v>
      </c>
      <c r="C646" s="234">
        <v>3.04E-5</v>
      </c>
      <c r="D646" s="234">
        <v>2.2500000000000001E-5</v>
      </c>
      <c r="E646" s="231">
        <v>46621</v>
      </c>
      <c r="F646" s="231" t="s">
        <v>1924</v>
      </c>
      <c r="G646" s="392">
        <v>14832</v>
      </c>
      <c r="H646" s="392">
        <v>0</v>
      </c>
      <c r="I646" s="392">
        <v>29290</v>
      </c>
      <c r="J646" s="231">
        <v>18906</v>
      </c>
      <c r="K646" s="231">
        <v>63028</v>
      </c>
      <c r="L646" s="231"/>
      <c r="M646" s="300">
        <v>0</v>
      </c>
      <c r="N646" s="300">
        <v>66608</v>
      </c>
      <c r="O646" s="300">
        <v>0</v>
      </c>
      <c r="P646" s="231">
        <v>901</v>
      </c>
      <c r="Q646" s="231">
        <v>67509</v>
      </c>
      <c r="R646" s="231"/>
      <c r="S646" s="392">
        <v>20114</v>
      </c>
      <c r="T646" s="231">
        <v>9452</v>
      </c>
      <c r="U646" s="396">
        <v>29566</v>
      </c>
      <c r="V646" s="231"/>
      <c r="W646" s="396">
        <v>180980</v>
      </c>
      <c r="X646" s="396">
        <v>-63949</v>
      </c>
      <c r="Y646" s="396"/>
      <c r="Z646" s="396"/>
    </row>
    <row r="647" spans="1:26">
      <c r="A647" s="390">
        <v>97008</v>
      </c>
      <c r="B647" s="391" t="s">
        <v>1346</v>
      </c>
      <c r="C647" s="234">
        <v>2.8479999999999998E-4</v>
      </c>
      <c r="D647" s="234">
        <v>2.7549999999999997E-4</v>
      </c>
      <c r="E647" s="231">
        <v>436768</v>
      </c>
      <c r="F647" s="231" t="s">
        <v>1924</v>
      </c>
      <c r="G647" s="392">
        <v>138952</v>
      </c>
      <c r="H647" s="392">
        <v>0</v>
      </c>
      <c r="I647" s="392">
        <v>274402</v>
      </c>
      <c r="J647" s="231">
        <v>32474</v>
      </c>
      <c r="K647" s="231">
        <v>445828</v>
      </c>
      <c r="L647" s="231"/>
      <c r="M647" s="300">
        <v>0</v>
      </c>
      <c r="N647" s="300">
        <v>624010</v>
      </c>
      <c r="O647" s="300">
        <v>0</v>
      </c>
      <c r="P647" s="231">
        <v>5686</v>
      </c>
      <c r="Q647" s="231">
        <v>629696</v>
      </c>
      <c r="R647" s="231"/>
      <c r="S647" s="392">
        <v>188436</v>
      </c>
      <c r="T647" s="231">
        <v>9769</v>
      </c>
      <c r="U647" s="396">
        <v>198205</v>
      </c>
      <c r="V647" s="231"/>
      <c r="W647" s="396">
        <v>1695498</v>
      </c>
      <c r="X647" s="396">
        <v>-599099</v>
      </c>
      <c r="Y647" s="396"/>
      <c r="Z647" s="396"/>
    </row>
    <row r="648" spans="1:26">
      <c r="A648" s="390">
        <v>97010</v>
      </c>
      <c r="B648" s="391" t="s">
        <v>1347</v>
      </c>
      <c r="C648" s="234">
        <v>0</v>
      </c>
      <c r="D648" s="234">
        <v>0</v>
      </c>
      <c r="E648" s="231">
        <v>0</v>
      </c>
      <c r="F648" s="231">
        <v>0</v>
      </c>
      <c r="G648" s="392">
        <v>0</v>
      </c>
      <c r="H648" s="392">
        <v>0</v>
      </c>
      <c r="I648" s="392">
        <v>0</v>
      </c>
      <c r="J648" s="231">
        <v>0</v>
      </c>
      <c r="K648" s="231">
        <v>0</v>
      </c>
      <c r="L648" s="231">
        <v>0</v>
      </c>
      <c r="M648" s="300">
        <v>0</v>
      </c>
      <c r="N648" s="300">
        <v>0</v>
      </c>
      <c r="O648" s="300">
        <v>0</v>
      </c>
      <c r="P648" s="231">
        <v>0</v>
      </c>
      <c r="Q648" s="231">
        <v>0</v>
      </c>
      <c r="R648" s="231">
        <v>0</v>
      </c>
      <c r="S648" s="392">
        <v>0</v>
      </c>
      <c r="T648" s="231">
        <v>0</v>
      </c>
      <c r="U648" s="396">
        <v>0</v>
      </c>
      <c r="V648" s="231">
        <v>0</v>
      </c>
      <c r="W648" s="396">
        <v>0</v>
      </c>
      <c r="X648" s="396">
        <v>0</v>
      </c>
      <c r="Y648" s="396">
        <v>0</v>
      </c>
      <c r="Z648" s="396">
        <v>0</v>
      </c>
    </row>
    <row r="649" spans="1:26">
      <c r="A649" s="390">
        <v>97011</v>
      </c>
      <c r="B649" s="391" t="s">
        <v>1348</v>
      </c>
      <c r="C649" s="234">
        <v>1.8075999999999999E-3</v>
      </c>
      <c r="D649" s="234">
        <v>1.8404000000000001E-3</v>
      </c>
      <c r="E649" s="231">
        <v>2772128</v>
      </c>
      <c r="F649" s="231" t="s">
        <v>1924</v>
      </c>
      <c r="G649" s="392">
        <v>881914</v>
      </c>
      <c r="H649" s="392">
        <v>0</v>
      </c>
      <c r="I649" s="392">
        <v>1741605</v>
      </c>
      <c r="J649" s="231">
        <v>11373</v>
      </c>
      <c r="K649" s="231">
        <v>2634892</v>
      </c>
      <c r="L649" s="231"/>
      <c r="M649" s="300">
        <v>0</v>
      </c>
      <c r="N649" s="300">
        <v>3960538</v>
      </c>
      <c r="O649" s="300">
        <v>0</v>
      </c>
      <c r="P649" s="231">
        <v>78695</v>
      </c>
      <c r="Q649" s="231">
        <v>4039233</v>
      </c>
      <c r="R649" s="231"/>
      <c r="S649" s="392">
        <v>1195984</v>
      </c>
      <c r="T649" s="231">
        <v>-30282</v>
      </c>
      <c r="U649" s="396">
        <v>1165702</v>
      </c>
      <c r="V649" s="231"/>
      <c r="W649" s="396">
        <v>10761171</v>
      </c>
      <c r="X649" s="396">
        <v>-3802426</v>
      </c>
      <c r="Y649" s="396"/>
      <c r="Z649" s="396"/>
    </row>
    <row r="650" spans="1:26">
      <c r="A650" s="390">
        <v>97012</v>
      </c>
      <c r="B650" s="391" t="s">
        <v>1349</v>
      </c>
      <c r="C650" s="234">
        <v>2.1999999999999999E-5</v>
      </c>
      <c r="D650" s="234">
        <v>2.8399999999999999E-5</v>
      </c>
      <c r="E650" s="231">
        <v>33739</v>
      </c>
      <c r="F650" s="231" t="s">
        <v>1924</v>
      </c>
      <c r="G650" s="392">
        <v>10734</v>
      </c>
      <c r="H650" s="392">
        <v>0</v>
      </c>
      <c r="I650" s="392">
        <v>21197</v>
      </c>
      <c r="J650" s="231">
        <v>1623</v>
      </c>
      <c r="K650" s="231">
        <v>33554</v>
      </c>
      <c r="L650" s="231"/>
      <c r="M650" s="300">
        <v>0</v>
      </c>
      <c r="N650" s="300">
        <v>48203</v>
      </c>
      <c r="O650" s="300">
        <v>0</v>
      </c>
      <c r="P650" s="231">
        <v>7751</v>
      </c>
      <c r="Q650" s="231">
        <v>55954</v>
      </c>
      <c r="R650" s="231"/>
      <c r="S650" s="392">
        <v>14556</v>
      </c>
      <c r="T650" s="231">
        <v>-1093</v>
      </c>
      <c r="U650" s="396">
        <v>13463</v>
      </c>
      <c r="V650" s="231"/>
      <c r="W650" s="396">
        <v>130972</v>
      </c>
      <c r="X650" s="396">
        <v>-46279</v>
      </c>
      <c r="Y650" s="396"/>
      <c r="Z650" s="396"/>
    </row>
    <row r="651" spans="1:26">
      <c r="A651" s="390">
        <v>97013</v>
      </c>
      <c r="B651" s="391" t="s">
        <v>1350</v>
      </c>
      <c r="C651" s="234">
        <v>2.0999999999999999E-5</v>
      </c>
      <c r="D651" s="234">
        <v>1.8899999999999999E-5</v>
      </c>
      <c r="E651" s="231">
        <v>32206</v>
      </c>
      <c r="F651" s="231" t="s">
        <v>1924</v>
      </c>
      <c r="G651" s="392">
        <v>10246</v>
      </c>
      <c r="H651" s="392">
        <v>0</v>
      </c>
      <c r="I651" s="392">
        <v>20233</v>
      </c>
      <c r="J651" s="231">
        <v>15142</v>
      </c>
      <c r="K651" s="231">
        <v>45621</v>
      </c>
      <c r="L651" s="231"/>
      <c r="M651" s="300">
        <v>0</v>
      </c>
      <c r="N651" s="300">
        <v>46012</v>
      </c>
      <c r="O651" s="300">
        <v>0</v>
      </c>
      <c r="P651" s="231">
        <v>4224</v>
      </c>
      <c r="Q651" s="231">
        <v>50236</v>
      </c>
      <c r="R651" s="231"/>
      <c r="S651" s="392">
        <v>13894</v>
      </c>
      <c r="T651" s="231">
        <v>5151</v>
      </c>
      <c r="U651" s="396">
        <v>19045</v>
      </c>
      <c r="V651" s="231"/>
      <c r="W651" s="396">
        <v>125019</v>
      </c>
      <c r="X651" s="396">
        <v>-44175</v>
      </c>
      <c r="Y651" s="396"/>
      <c r="Z651" s="396"/>
    </row>
    <row r="652" spans="1:26">
      <c r="A652" s="390">
        <v>97015</v>
      </c>
      <c r="B652" s="391" t="s">
        <v>1351</v>
      </c>
      <c r="C652" s="234">
        <v>4.6799999999999999E-5</v>
      </c>
      <c r="D652" s="234">
        <v>4.71E-5</v>
      </c>
      <c r="E652" s="231">
        <v>71772</v>
      </c>
      <c r="F652" s="231" t="s">
        <v>1924</v>
      </c>
      <c r="G652" s="392">
        <v>22833</v>
      </c>
      <c r="H652" s="392">
        <v>0</v>
      </c>
      <c r="I652" s="392">
        <v>45091</v>
      </c>
      <c r="J652" s="231">
        <v>8136</v>
      </c>
      <c r="K652" s="231">
        <v>76060</v>
      </c>
      <c r="L652" s="231"/>
      <c r="M652" s="300">
        <v>0</v>
      </c>
      <c r="N652" s="300">
        <v>102541</v>
      </c>
      <c r="O652" s="300">
        <v>0</v>
      </c>
      <c r="P652" s="231">
        <v>2300</v>
      </c>
      <c r="Q652" s="231">
        <v>104841</v>
      </c>
      <c r="R652" s="231"/>
      <c r="S652" s="392">
        <v>30965</v>
      </c>
      <c r="T652" s="231">
        <v>2345</v>
      </c>
      <c r="U652" s="396">
        <v>33310</v>
      </c>
      <c r="V652" s="231"/>
      <c r="W652" s="396">
        <v>278614</v>
      </c>
      <c r="X652" s="396">
        <v>-98447</v>
      </c>
      <c r="Y652" s="396"/>
      <c r="Z652" s="396"/>
    </row>
    <row r="653" spans="1:26">
      <c r="A653" s="390">
        <v>97018</v>
      </c>
      <c r="B653" s="391" t="s">
        <v>1352</v>
      </c>
      <c r="C653" s="234">
        <v>1.63E-5</v>
      </c>
      <c r="D653" s="234">
        <v>1.63E-5</v>
      </c>
      <c r="E653" s="231">
        <v>24998</v>
      </c>
      <c r="F653" s="231" t="s">
        <v>1924</v>
      </c>
      <c r="G653" s="392">
        <v>7953</v>
      </c>
      <c r="H653" s="392">
        <v>0</v>
      </c>
      <c r="I653" s="392">
        <v>15705</v>
      </c>
      <c r="J653" s="231">
        <v>4375</v>
      </c>
      <c r="K653" s="231">
        <v>28033</v>
      </c>
      <c r="L653" s="231"/>
      <c r="M653" s="300">
        <v>0</v>
      </c>
      <c r="N653" s="300">
        <v>35714</v>
      </c>
      <c r="O653" s="300">
        <v>0</v>
      </c>
      <c r="P653" s="231">
        <v>2719</v>
      </c>
      <c r="Q653" s="231">
        <v>38433</v>
      </c>
      <c r="R653" s="231"/>
      <c r="S653" s="392">
        <v>10785</v>
      </c>
      <c r="T653" s="231">
        <v>2375</v>
      </c>
      <c r="U653" s="396">
        <v>13160</v>
      </c>
      <c r="V653" s="231"/>
      <c r="W653" s="396">
        <v>97039</v>
      </c>
      <c r="X653" s="396">
        <v>-34288</v>
      </c>
      <c r="Y653" s="396"/>
      <c r="Z653" s="396"/>
    </row>
    <row r="654" spans="1:26">
      <c r="A654" s="390">
        <v>97101</v>
      </c>
      <c r="B654" s="391" t="s">
        <v>1353</v>
      </c>
      <c r="C654" s="234">
        <v>2.9548999999999999E-3</v>
      </c>
      <c r="D654" s="234">
        <v>2.7287000000000001E-3</v>
      </c>
      <c r="E654" s="231">
        <v>4531623</v>
      </c>
      <c r="F654" s="231" t="s">
        <v>1924</v>
      </c>
      <c r="G654" s="392">
        <v>1441672</v>
      </c>
      <c r="H654" s="392">
        <v>0</v>
      </c>
      <c r="I654" s="392">
        <v>2847017</v>
      </c>
      <c r="J654" s="231">
        <v>519777</v>
      </c>
      <c r="K654" s="231">
        <v>4808466</v>
      </c>
      <c r="L654" s="231"/>
      <c r="M654" s="300">
        <v>0</v>
      </c>
      <c r="N654" s="300">
        <v>6474328</v>
      </c>
      <c r="O654" s="300">
        <v>0</v>
      </c>
      <c r="P654" s="231">
        <v>0</v>
      </c>
      <c r="Q654" s="231">
        <v>6474328</v>
      </c>
      <c r="R654" s="231"/>
      <c r="S654" s="392">
        <v>1955086</v>
      </c>
      <c r="T654" s="231">
        <v>206520</v>
      </c>
      <c r="U654" s="396">
        <v>2161606</v>
      </c>
      <c r="V654" s="231"/>
      <c r="W654" s="396">
        <v>17591383</v>
      </c>
      <c r="X654" s="396">
        <v>-6215860</v>
      </c>
      <c r="Y654" s="396"/>
      <c r="Z654" s="396"/>
    </row>
    <row r="655" spans="1:26">
      <c r="A655" s="390">
        <v>97104</v>
      </c>
      <c r="B655" s="391" t="s">
        <v>1354</v>
      </c>
      <c r="C655" s="234">
        <v>6.2399999999999999E-5</v>
      </c>
      <c r="D655" s="234">
        <v>5.3199999999999999E-5</v>
      </c>
      <c r="E655" s="231">
        <v>95696</v>
      </c>
      <c r="F655" s="231" t="s">
        <v>1924</v>
      </c>
      <c r="G655" s="392">
        <v>30444</v>
      </c>
      <c r="H655" s="392">
        <v>0</v>
      </c>
      <c r="I655" s="392">
        <v>60122</v>
      </c>
      <c r="J655" s="231">
        <v>25775</v>
      </c>
      <c r="K655" s="231">
        <v>116341</v>
      </c>
      <c r="L655" s="231"/>
      <c r="M655" s="300">
        <v>0</v>
      </c>
      <c r="N655" s="300">
        <v>136721</v>
      </c>
      <c r="O655" s="300">
        <v>0</v>
      </c>
      <c r="P655" s="231">
        <v>0</v>
      </c>
      <c r="Q655" s="231">
        <v>136721</v>
      </c>
      <c r="R655" s="231"/>
      <c r="S655" s="392">
        <v>41286</v>
      </c>
      <c r="T655" s="231">
        <v>10444</v>
      </c>
      <c r="U655" s="396">
        <v>51730</v>
      </c>
      <c r="V655" s="231"/>
      <c r="W655" s="396">
        <v>371485</v>
      </c>
      <c r="X655" s="396">
        <v>-131263</v>
      </c>
      <c r="Y655" s="396"/>
      <c r="Z655" s="396"/>
    </row>
    <row r="656" spans="1:26">
      <c r="A656" s="390">
        <v>97111</v>
      </c>
      <c r="B656" s="391" t="s">
        <v>1355</v>
      </c>
      <c r="C656" s="234">
        <v>3.057E-4</v>
      </c>
      <c r="D656" s="234">
        <v>3.1780000000000003E-4</v>
      </c>
      <c r="E656" s="231">
        <v>468820</v>
      </c>
      <c r="F656" s="231" t="s">
        <v>1924</v>
      </c>
      <c r="G656" s="392">
        <v>149149</v>
      </c>
      <c r="H656" s="392">
        <v>0</v>
      </c>
      <c r="I656" s="392">
        <v>294539</v>
      </c>
      <c r="J656" s="231">
        <v>20058</v>
      </c>
      <c r="K656" s="231">
        <v>463746</v>
      </c>
      <c r="L656" s="231"/>
      <c r="M656" s="300">
        <v>0</v>
      </c>
      <c r="N656" s="300">
        <v>669803</v>
      </c>
      <c r="O656" s="300">
        <v>0</v>
      </c>
      <c r="P656" s="231">
        <v>49866</v>
      </c>
      <c r="Q656" s="231">
        <v>719669</v>
      </c>
      <c r="R656" s="231"/>
      <c r="S656" s="392">
        <v>202264</v>
      </c>
      <c r="T656" s="231">
        <v>-11474</v>
      </c>
      <c r="U656" s="396">
        <v>190790</v>
      </c>
      <c r="V656" s="231"/>
      <c r="W656" s="396">
        <v>1819921</v>
      </c>
      <c r="X656" s="396">
        <v>-643063</v>
      </c>
      <c r="Y656" s="396"/>
      <c r="Z656" s="396"/>
    </row>
    <row r="657" spans="1:26">
      <c r="A657" s="390">
        <v>97121</v>
      </c>
      <c r="B657" s="391" t="s">
        <v>1356</v>
      </c>
      <c r="C657" s="234">
        <v>1.516E-4</v>
      </c>
      <c r="D657" s="234">
        <v>1.4660000000000001E-4</v>
      </c>
      <c r="E657" s="231">
        <v>232493</v>
      </c>
      <c r="F657" s="231" t="s">
        <v>1924</v>
      </c>
      <c r="G657" s="392">
        <v>73964</v>
      </c>
      <c r="H657" s="392">
        <v>0</v>
      </c>
      <c r="I657" s="392">
        <v>146065</v>
      </c>
      <c r="J657" s="231">
        <v>54537</v>
      </c>
      <c r="K657" s="231">
        <v>274566</v>
      </c>
      <c r="L657" s="231"/>
      <c r="M657" s="300">
        <v>0</v>
      </c>
      <c r="N657" s="300">
        <v>332163</v>
      </c>
      <c r="O657" s="300">
        <v>0</v>
      </c>
      <c r="P657" s="231">
        <v>0</v>
      </c>
      <c r="Q657" s="231">
        <v>332163</v>
      </c>
      <c r="R657" s="231"/>
      <c r="S657" s="392">
        <v>100305</v>
      </c>
      <c r="T657" s="231">
        <v>26302</v>
      </c>
      <c r="U657" s="396">
        <v>126607</v>
      </c>
      <c r="V657" s="231"/>
      <c r="W657" s="396">
        <v>902519</v>
      </c>
      <c r="X657" s="396">
        <v>-318902</v>
      </c>
      <c r="Y657" s="396"/>
      <c r="Z657" s="396"/>
    </row>
    <row r="658" spans="1:26">
      <c r="A658" s="390">
        <v>97131</v>
      </c>
      <c r="B658" s="391" t="s">
        <v>1357</v>
      </c>
      <c r="C658" s="234">
        <v>7.1290000000000004E-4</v>
      </c>
      <c r="D658" s="234">
        <v>7.1219999999999996E-4</v>
      </c>
      <c r="E658" s="231">
        <v>1093301</v>
      </c>
      <c r="F658" s="231" t="s">
        <v>1924</v>
      </c>
      <c r="G658" s="392">
        <v>347818</v>
      </c>
      <c r="H658" s="392">
        <v>0</v>
      </c>
      <c r="I658" s="392">
        <v>686872</v>
      </c>
      <c r="J658" s="231">
        <v>20255</v>
      </c>
      <c r="K658" s="231">
        <v>1054945</v>
      </c>
      <c r="L658" s="231"/>
      <c r="M658" s="300">
        <v>0</v>
      </c>
      <c r="N658" s="300">
        <v>1561998</v>
      </c>
      <c r="O658" s="300">
        <v>0</v>
      </c>
      <c r="P658" s="231">
        <v>85766</v>
      </c>
      <c r="Q658" s="231">
        <v>1647764</v>
      </c>
      <c r="R658" s="231"/>
      <c r="S658" s="392">
        <v>471685</v>
      </c>
      <c r="T658" s="231">
        <v>-31680</v>
      </c>
      <c r="U658" s="396">
        <v>440005</v>
      </c>
      <c r="V658" s="231"/>
      <c r="W658" s="396">
        <v>4244102</v>
      </c>
      <c r="X658" s="396">
        <v>-1499640</v>
      </c>
      <c r="Y658" s="396"/>
      <c r="Z658" s="396"/>
    </row>
    <row r="659" spans="1:26">
      <c r="A659" s="390">
        <v>97201</v>
      </c>
      <c r="B659" s="391" t="s">
        <v>1358</v>
      </c>
      <c r="C659" s="234">
        <v>5.53E-4</v>
      </c>
      <c r="D659" s="234">
        <v>5.5250000000000004E-4</v>
      </c>
      <c r="E659" s="231">
        <v>848079</v>
      </c>
      <c r="F659" s="231" t="s">
        <v>1924</v>
      </c>
      <c r="G659" s="392">
        <v>269804</v>
      </c>
      <c r="H659" s="392">
        <v>0</v>
      </c>
      <c r="I659" s="392">
        <v>532810</v>
      </c>
      <c r="J659" s="231">
        <v>35618</v>
      </c>
      <c r="K659" s="231">
        <v>838232</v>
      </c>
      <c r="L659" s="231"/>
      <c r="M659" s="300">
        <v>0</v>
      </c>
      <c r="N659" s="300">
        <v>1211650</v>
      </c>
      <c r="O659" s="300">
        <v>0</v>
      </c>
      <c r="P659" s="231">
        <v>25426</v>
      </c>
      <c r="Q659" s="231">
        <v>1237076</v>
      </c>
      <c r="R659" s="231"/>
      <c r="S659" s="392">
        <v>365888</v>
      </c>
      <c r="T659" s="231">
        <v>10577</v>
      </c>
      <c r="U659" s="396">
        <v>376465</v>
      </c>
      <c r="V659" s="231"/>
      <c r="W659" s="396">
        <v>3292170</v>
      </c>
      <c r="X659" s="396">
        <v>-1163278</v>
      </c>
      <c r="Y659" s="396"/>
      <c r="Z659" s="396"/>
    </row>
    <row r="660" spans="1:26">
      <c r="A660" s="390">
        <v>97211</v>
      </c>
      <c r="B660" s="391" t="s">
        <v>1359</v>
      </c>
      <c r="C660" s="234">
        <v>1.6420000000000001E-4</v>
      </c>
      <c r="D660" s="234">
        <v>1.403E-4</v>
      </c>
      <c r="E660" s="231">
        <v>251816</v>
      </c>
      <c r="F660" s="231" t="s">
        <v>1924</v>
      </c>
      <c r="G660" s="392">
        <v>80112</v>
      </c>
      <c r="H660" s="392">
        <v>0</v>
      </c>
      <c r="I660" s="392">
        <v>158205</v>
      </c>
      <c r="J660" s="231">
        <v>95715</v>
      </c>
      <c r="K660" s="231">
        <v>334032</v>
      </c>
      <c r="L660" s="231"/>
      <c r="M660" s="300">
        <v>0</v>
      </c>
      <c r="N660" s="300">
        <v>359770</v>
      </c>
      <c r="O660" s="300">
        <v>0</v>
      </c>
      <c r="P660" s="231">
        <v>17656</v>
      </c>
      <c r="Q660" s="231">
        <v>377426</v>
      </c>
      <c r="R660" s="231"/>
      <c r="S660" s="392">
        <v>108642</v>
      </c>
      <c r="T660" s="231">
        <v>35289</v>
      </c>
      <c r="U660" s="396">
        <v>143931</v>
      </c>
      <c r="V660" s="231"/>
      <c r="W660" s="396">
        <v>977531</v>
      </c>
      <c r="X660" s="396">
        <v>-345407</v>
      </c>
      <c r="Y660" s="396"/>
      <c r="Z660" s="396"/>
    </row>
    <row r="661" spans="1:26">
      <c r="A661" s="390">
        <v>97213</v>
      </c>
      <c r="B661" s="391" t="s">
        <v>1360</v>
      </c>
      <c r="C661" s="234">
        <v>3.5099999999999999E-5</v>
      </c>
      <c r="D661" s="234">
        <v>3.5299999999999997E-5</v>
      </c>
      <c r="E661" s="231">
        <v>53829</v>
      </c>
      <c r="F661" s="231" t="s">
        <v>1924</v>
      </c>
      <c r="G661" s="392">
        <v>17125</v>
      </c>
      <c r="H661" s="392">
        <v>0</v>
      </c>
      <c r="I661" s="392">
        <v>33818</v>
      </c>
      <c r="J661" s="231">
        <v>4751</v>
      </c>
      <c r="K661" s="231">
        <v>55694</v>
      </c>
      <c r="L661" s="231"/>
      <c r="M661" s="300">
        <v>0</v>
      </c>
      <c r="N661" s="300">
        <v>76906</v>
      </c>
      <c r="O661" s="300">
        <v>0</v>
      </c>
      <c r="P661" s="231">
        <v>2476</v>
      </c>
      <c r="Q661" s="231">
        <v>79382</v>
      </c>
      <c r="R661" s="231"/>
      <c r="S661" s="392">
        <v>23224</v>
      </c>
      <c r="T661" s="231">
        <v>2907</v>
      </c>
      <c r="U661" s="396">
        <v>26131</v>
      </c>
      <c r="V661" s="231"/>
      <c r="W661" s="396">
        <v>208961</v>
      </c>
      <c r="X661" s="396">
        <v>-73836</v>
      </c>
      <c r="Y661" s="396"/>
      <c r="Z661" s="396"/>
    </row>
    <row r="662" spans="1:26">
      <c r="A662" s="390">
        <v>97217</v>
      </c>
      <c r="B662" s="391" t="s">
        <v>1361</v>
      </c>
      <c r="C662" s="234">
        <v>8.1999999999999994E-6</v>
      </c>
      <c r="D662" s="234">
        <v>5.3000000000000001E-6</v>
      </c>
      <c r="E662" s="231">
        <v>12575</v>
      </c>
      <c r="F662" s="231" t="s">
        <v>1924</v>
      </c>
      <c r="G662" s="392">
        <v>4001</v>
      </c>
      <c r="H662" s="392">
        <v>0</v>
      </c>
      <c r="I662" s="392">
        <v>7901</v>
      </c>
      <c r="J662" s="231">
        <v>10096</v>
      </c>
      <c r="K662" s="231">
        <v>21998</v>
      </c>
      <c r="L662" s="231"/>
      <c r="M662" s="300">
        <v>0</v>
      </c>
      <c r="N662" s="300">
        <v>17967</v>
      </c>
      <c r="O662" s="300">
        <v>0</v>
      </c>
      <c r="P662" s="231">
        <v>0</v>
      </c>
      <c r="Q662" s="231">
        <v>17967</v>
      </c>
      <c r="R662" s="231"/>
      <c r="S662" s="392">
        <v>5425</v>
      </c>
      <c r="T662" s="231">
        <v>5467</v>
      </c>
      <c r="U662" s="396">
        <v>10892</v>
      </c>
      <c r="V662" s="231"/>
      <c r="W662" s="396">
        <v>48817</v>
      </c>
      <c r="X662" s="396">
        <v>-17249</v>
      </c>
      <c r="Y662" s="396"/>
      <c r="Z662" s="396"/>
    </row>
    <row r="663" spans="1:26">
      <c r="A663" s="390">
        <v>97221</v>
      </c>
      <c r="B663" s="391" t="s">
        <v>1362</v>
      </c>
      <c r="C663" s="234">
        <v>1.26E-5</v>
      </c>
      <c r="D663" s="234">
        <v>2.2000000000000001E-6</v>
      </c>
      <c r="E663" s="231">
        <v>19323</v>
      </c>
      <c r="F663" s="231" t="s">
        <v>1924</v>
      </c>
      <c r="G663" s="392">
        <v>6147</v>
      </c>
      <c r="H663" s="392">
        <v>0</v>
      </c>
      <c r="I663" s="392">
        <v>12140</v>
      </c>
      <c r="J663" s="231">
        <v>22267</v>
      </c>
      <c r="K663" s="231">
        <v>40554</v>
      </c>
      <c r="L663" s="231"/>
      <c r="M663" s="300">
        <v>0</v>
      </c>
      <c r="N663" s="300">
        <v>27607</v>
      </c>
      <c r="O663" s="300">
        <v>0</v>
      </c>
      <c r="P663" s="231">
        <v>5325</v>
      </c>
      <c r="Q663" s="231">
        <v>32932</v>
      </c>
      <c r="R663" s="231"/>
      <c r="S663" s="392">
        <v>8337</v>
      </c>
      <c r="T663" s="231">
        <v>6601</v>
      </c>
      <c r="U663" s="396">
        <v>14938</v>
      </c>
      <c r="V663" s="231"/>
      <c r="W663" s="396">
        <v>75011</v>
      </c>
      <c r="X663" s="396">
        <v>-26505</v>
      </c>
      <c r="Y663" s="396"/>
      <c r="Z663" s="396"/>
    </row>
    <row r="664" spans="1:26">
      <c r="A664" s="390">
        <v>97301</v>
      </c>
      <c r="B664" s="391" t="s">
        <v>1363</v>
      </c>
      <c r="C664" s="234">
        <v>2.4133000000000002E-3</v>
      </c>
      <c r="D664" s="234">
        <v>2.4283999999999998E-3</v>
      </c>
      <c r="E664" s="231">
        <v>3701027</v>
      </c>
      <c r="F664" s="231" t="s">
        <v>1924</v>
      </c>
      <c r="G664" s="392">
        <v>1177430</v>
      </c>
      <c r="H664" s="392">
        <v>0</v>
      </c>
      <c r="I664" s="392">
        <v>2325190</v>
      </c>
      <c r="J664" s="231">
        <v>60438</v>
      </c>
      <c r="K664" s="231">
        <v>3563058</v>
      </c>
      <c r="L664" s="231"/>
      <c r="M664" s="300">
        <v>0</v>
      </c>
      <c r="N664" s="300">
        <v>5287656</v>
      </c>
      <c r="O664" s="300">
        <v>0</v>
      </c>
      <c r="P664" s="231">
        <v>97550</v>
      </c>
      <c r="Q664" s="231">
        <v>5385206</v>
      </c>
      <c r="R664" s="231"/>
      <c r="S664" s="392">
        <v>1596741</v>
      </c>
      <c r="T664" s="231">
        <v>-34198</v>
      </c>
      <c r="U664" s="396">
        <v>1562543</v>
      </c>
      <c r="V664" s="231"/>
      <c r="W664" s="396">
        <v>14367080</v>
      </c>
      <c r="X664" s="396">
        <v>-5076562</v>
      </c>
      <c r="Y664" s="396"/>
      <c r="Z664" s="396"/>
    </row>
    <row r="665" spans="1:26">
      <c r="A665" s="390">
        <v>97302</v>
      </c>
      <c r="B665" s="391" t="s">
        <v>3611</v>
      </c>
      <c r="C665" s="234">
        <v>4.6400000000000003E-5</v>
      </c>
      <c r="D665" s="234">
        <v>4.1300000000000001E-5</v>
      </c>
      <c r="E665" s="231">
        <v>71159</v>
      </c>
      <c r="F665" s="231" t="s">
        <v>1924</v>
      </c>
      <c r="G665" s="392">
        <v>22638</v>
      </c>
      <c r="H665" s="392">
        <v>0</v>
      </c>
      <c r="I665" s="392">
        <v>44706</v>
      </c>
      <c r="J665" s="231">
        <v>61757</v>
      </c>
      <c r="K665" s="231">
        <v>129101</v>
      </c>
      <c r="L665" s="231"/>
      <c r="M665" s="300">
        <v>0</v>
      </c>
      <c r="N665" s="300">
        <v>101665</v>
      </c>
      <c r="O665" s="300">
        <v>0</v>
      </c>
      <c r="P665" s="231">
        <v>0</v>
      </c>
      <c r="Q665" s="231">
        <v>101665</v>
      </c>
      <c r="R665" s="231"/>
      <c r="S665" s="392">
        <v>30700</v>
      </c>
      <c r="T665" s="231">
        <v>28357</v>
      </c>
      <c r="U665" s="396">
        <v>59057</v>
      </c>
      <c r="V665" s="231"/>
      <c r="W665" s="396">
        <v>276233</v>
      </c>
      <c r="X665" s="396">
        <v>-97606</v>
      </c>
      <c r="Y665" s="396"/>
      <c r="Z665" s="396"/>
    </row>
    <row r="666" spans="1:26">
      <c r="A666" s="390">
        <v>97304</v>
      </c>
      <c r="B666" s="391" t="s">
        <v>1364</v>
      </c>
      <c r="C666" s="234">
        <v>1.9599999999999999E-5</v>
      </c>
      <c r="D666" s="234">
        <v>1.4100000000000001E-5</v>
      </c>
      <c r="E666" s="231">
        <v>30058</v>
      </c>
      <c r="F666" s="231" t="s">
        <v>1924</v>
      </c>
      <c r="G666" s="392">
        <v>9563</v>
      </c>
      <c r="H666" s="392">
        <v>0</v>
      </c>
      <c r="I666" s="392">
        <v>18884</v>
      </c>
      <c r="J666" s="231">
        <v>28075</v>
      </c>
      <c r="K666" s="231">
        <v>56522</v>
      </c>
      <c r="L666" s="231"/>
      <c r="M666" s="300">
        <v>0</v>
      </c>
      <c r="N666" s="300">
        <v>42945</v>
      </c>
      <c r="O666" s="300">
        <v>0</v>
      </c>
      <c r="P666" s="231">
        <v>0</v>
      </c>
      <c r="Q666" s="231">
        <v>42945</v>
      </c>
      <c r="R666" s="231"/>
      <c r="S666" s="392">
        <v>12968</v>
      </c>
      <c r="T666" s="231">
        <v>12275</v>
      </c>
      <c r="U666" s="396">
        <v>25243</v>
      </c>
      <c r="V666" s="231"/>
      <c r="W666" s="396">
        <v>116685</v>
      </c>
      <c r="X666" s="396">
        <v>-41230</v>
      </c>
      <c r="Y666" s="396"/>
      <c r="Z666" s="396"/>
    </row>
    <row r="667" spans="1:26">
      <c r="A667" s="390">
        <v>97311</v>
      </c>
      <c r="B667" s="391" t="s">
        <v>1365</v>
      </c>
      <c r="C667" s="234">
        <v>8.6180000000000002E-4</v>
      </c>
      <c r="D667" s="234">
        <v>8.4060000000000005E-4</v>
      </c>
      <c r="E667" s="231">
        <v>1321653</v>
      </c>
      <c r="F667" s="231" t="s">
        <v>1924</v>
      </c>
      <c r="G667" s="392">
        <v>420465</v>
      </c>
      <c r="H667" s="392">
        <v>0</v>
      </c>
      <c r="I667" s="392">
        <v>830336</v>
      </c>
      <c r="J667" s="231">
        <v>35387</v>
      </c>
      <c r="K667" s="231">
        <v>1286188</v>
      </c>
      <c r="L667" s="231"/>
      <c r="M667" s="300">
        <v>0</v>
      </c>
      <c r="N667" s="300">
        <v>1888245</v>
      </c>
      <c r="O667" s="300">
        <v>0</v>
      </c>
      <c r="P667" s="231">
        <v>52274</v>
      </c>
      <c r="Q667" s="231">
        <v>1940519</v>
      </c>
      <c r="R667" s="231"/>
      <c r="S667" s="392">
        <v>570203</v>
      </c>
      <c r="T667" s="231">
        <v>-26059</v>
      </c>
      <c r="U667" s="396">
        <v>544144</v>
      </c>
      <c r="V667" s="231"/>
      <c r="W667" s="396">
        <v>5130547</v>
      </c>
      <c r="X667" s="396">
        <v>-1812863</v>
      </c>
      <c r="Y667" s="396"/>
      <c r="Z667" s="396"/>
    </row>
    <row r="668" spans="1:26">
      <c r="A668" s="390">
        <v>97401</v>
      </c>
      <c r="B668" s="391" t="s">
        <v>1366</v>
      </c>
      <c r="C668" s="234">
        <v>7.1457999999999999E-3</v>
      </c>
      <c r="D668" s="234">
        <v>6.9747999999999998E-3</v>
      </c>
      <c r="E668" s="231">
        <v>10958770</v>
      </c>
      <c r="F668" s="231" t="s">
        <v>1924</v>
      </c>
      <c r="G668" s="392">
        <v>3486379</v>
      </c>
      <c r="H668" s="392">
        <v>0</v>
      </c>
      <c r="I668" s="392">
        <v>6884907</v>
      </c>
      <c r="J668" s="231">
        <v>273478</v>
      </c>
      <c r="K668" s="231">
        <v>10644764</v>
      </c>
      <c r="L668" s="231"/>
      <c r="M668" s="300">
        <v>0</v>
      </c>
      <c r="N668" s="300">
        <v>15656791</v>
      </c>
      <c r="O668" s="300">
        <v>0</v>
      </c>
      <c r="P668" s="231">
        <v>154470</v>
      </c>
      <c r="Q668" s="231">
        <v>15811261</v>
      </c>
      <c r="R668" s="231"/>
      <c r="S668" s="392">
        <v>4727961</v>
      </c>
      <c r="T668" s="231">
        <v>65295</v>
      </c>
      <c r="U668" s="396">
        <v>4793256</v>
      </c>
      <c r="V668" s="231"/>
      <c r="W668" s="396">
        <v>42541034</v>
      </c>
      <c r="X668" s="396">
        <v>-15031741</v>
      </c>
      <c r="Y668" s="396"/>
      <c r="Z668" s="396"/>
    </row>
    <row r="669" spans="1:26">
      <c r="A669" s="390">
        <v>97402</v>
      </c>
      <c r="B669" s="391" t="s">
        <v>1367</v>
      </c>
      <c r="C669" s="234">
        <v>5.0399999999999999E-5</v>
      </c>
      <c r="D669" s="234">
        <v>5.1999999999999997E-5</v>
      </c>
      <c r="E669" s="231">
        <v>77293</v>
      </c>
      <c r="F669" s="231" t="s">
        <v>1924</v>
      </c>
      <c r="G669" s="392">
        <v>24590</v>
      </c>
      <c r="H669" s="392">
        <v>0</v>
      </c>
      <c r="I669" s="392">
        <v>48560</v>
      </c>
      <c r="J669" s="231">
        <v>11723</v>
      </c>
      <c r="K669" s="231">
        <v>84873</v>
      </c>
      <c r="L669" s="231"/>
      <c r="M669" s="300">
        <v>0</v>
      </c>
      <c r="N669" s="300">
        <v>110429</v>
      </c>
      <c r="O669" s="300">
        <v>0</v>
      </c>
      <c r="P669" s="231">
        <v>2369</v>
      </c>
      <c r="Q669" s="231">
        <v>112798</v>
      </c>
      <c r="R669" s="231"/>
      <c r="S669" s="392">
        <v>33347</v>
      </c>
      <c r="T669" s="231">
        <v>6569</v>
      </c>
      <c r="U669" s="396">
        <v>39916</v>
      </c>
      <c r="V669" s="231"/>
      <c r="W669" s="396">
        <v>300046</v>
      </c>
      <c r="X669" s="396">
        <v>-106020</v>
      </c>
      <c r="Y669" s="396"/>
      <c r="Z669" s="396"/>
    </row>
    <row r="670" spans="1:26">
      <c r="A670" s="390">
        <v>97404</v>
      </c>
      <c r="B670" s="391" t="s">
        <v>1368</v>
      </c>
      <c r="C670" s="234">
        <v>2.321E-4</v>
      </c>
      <c r="D670" s="234">
        <v>2.128E-4</v>
      </c>
      <c r="E670" s="231">
        <v>355948</v>
      </c>
      <c r="F670" s="231" t="s">
        <v>1924</v>
      </c>
      <c r="G670" s="392">
        <v>113240</v>
      </c>
      <c r="H670" s="392">
        <v>0</v>
      </c>
      <c r="I670" s="392">
        <v>223626</v>
      </c>
      <c r="J670" s="231">
        <v>27031</v>
      </c>
      <c r="K670" s="231">
        <v>363897</v>
      </c>
      <c r="L670" s="231"/>
      <c r="M670" s="300">
        <v>0</v>
      </c>
      <c r="N670" s="300">
        <v>508542</v>
      </c>
      <c r="O670" s="300">
        <v>0</v>
      </c>
      <c r="P670" s="231">
        <v>6893</v>
      </c>
      <c r="Q670" s="231">
        <v>515435</v>
      </c>
      <c r="R670" s="231"/>
      <c r="S670" s="392">
        <v>153567</v>
      </c>
      <c r="T670" s="231">
        <v>1710</v>
      </c>
      <c r="U670" s="396">
        <v>155277</v>
      </c>
      <c r="V670" s="231"/>
      <c r="W670" s="396">
        <v>1381759</v>
      </c>
      <c r="X670" s="396">
        <v>-488240</v>
      </c>
      <c r="Y670" s="396"/>
      <c r="Z670" s="396"/>
    </row>
    <row r="671" spans="1:26">
      <c r="A671" s="390">
        <v>97405</v>
      </c>
      <c r="B671" s="391" t="s">
        <v>1369</v>
      </c>
      <c r="C671" s="234">
        <v>9.7899999999999994E-5</v>
      </c>
      <c r="D671" s="234">
        <v>1.014E-4</v>
      </c>
      <c r="E671" s="231">
        <v>150139</v>
      </c>
      <c r="F671" s="231" t="s">
        <v>1924</v>
      </c>
      <c r="G671" s="392">
        <v>47765</v>
      </c>
      <c r="H671" s="392">
        <v>0</v>
      </c>
      <c r="I671" s="392">
        <v>94326</v>
      </c>
      <c r="J671" s="231">
        <v>18130</v>
      </c>
      <c r="K671" s="231">
        <v>160221</v>
      </c>
      <c r="L671" s="231"/>
      <c r="M671" s="300">
        <v>0</v>
      </c>
      <c r="N671" s="300">
        <v>214504</v>
      </c>
      <c r="O671" s="300">
        <v>0</v>
      </c>
      <c r="P671" s="231">
        <v>0</v>
      </c>
      <c r="Q671" s="231">
        <v>214504</v>
      </c>
      <c r="R671" s="231"/>
      <c r="S671" s="392">
        <v>64775</v>
      </c>
      <c r="T671" s="231">
        <v>12918</v>
      </c>
      <c r="U671" s="396">
        <v>77693</v>
      </c>
      <c r="V671" s="231"/>
      <c r="W671" s="396">
        <v>582827</v>
      </c>
      <c r="X671" s="396">
        <v>-205940</v>
      </c>
      <c r="Y671" s="396"/>
      <c r="Z671" s="396"/>
    </row>
    <row r="672" spans="1:26">
      <c r="A672" s="390">
        <v>97408</v>
      </c>
      <c r="B672" s="391" t="s">
        <v>1370</v>
      </c>
      <c r="C672" s="234">
        <v>3.8099999999999998E-5</v>
      </c>
      <c r="D672" s="234">
        <v>4.18E-5</v>
      </c>
      <c r="E672" s="231">
        <v>58430</v>
      </c>
      <c r="F672" s="231" t="s">
        <v>1924</v>
      </c>
      <c r="G672" s="392">
        <v>18589</v>
      </c>
      <c r="H672" s="392">
        <v>0</v>
      </c>
      <c r="I672" s="392">
        <v>36709</v>
      </c>
      <c r="J672" s="231">
        <v>8820</v>
      </c>
      <c r="K672" s="231">
        <v>64118</v>
      </c>
      <c r="L672" s="231"/>
      <c r="M672" s="300">
        <v>0</v>
      </c>
      <c r="N672" s="300">
        <v>83479</v>
      </c>
      <c r="O672" s="300">
        <v>0</v>
      </c>
      <c r="P672" s="231">
        <v>0</v>
      </c>
      <c r="Q672" s="231">
        <v>83479</v>
      </c>
      <c r="R672" s="231"/>
      <c r="S672" s="392">
        <v>25209</v>
      </c>
      <c r="T672" s="231">
        <v>5076</v>
      </c>
      <c r="U672" s="396">
        <v>30285</v>
      </c>
      <c r="V672" s="231"/>
      <c r="W672" s="396">
        <v>226820</v>
      </c>
      <c r="X672" s="396">
        <v>-80146</v>
      </c>
      <c r="Y672" s="396"/>
      <c r="Z672" s="396"/>
    </row>
    <row r="673" spans="1:26">
      <c r="A673" s="390">
        <v>97411</v>
      </c>
      <c r="B673" s="391" t="s">
        <v>1371</v>
      </c>
      <c r="C673" s="234">
        <v>5.8314999999999999E-3</v>
      </c>
      <c r="D673" s="234">
        <v>6.3677999999999998E-3</v>
      </c>
      <c r="E673" s="231">
        <v>8943165</v>
      </c>
      <c r="F673" s="231" t="s">
        <v>1924</v>
      </c>
      <c r="G673" s="392">
        <v>2845142</v>
      </c>
      <c r="H673" s="392">
        <v>0</v>
      </c>
      <c r="I673" s="392">
        <v>5618592</v>
      </c>
      <c r="J673" s="231">
        <v>16880</v>
      </c>
      <c r="K673" s="231">
        <v>8480614</v>
      </c>
      <c r="L673" s="231"/>
      <c r="M673" s="300">
        <v>0</v>
      </c>
      <c r="N673" s="300">
        <v>12777096</v>
      </c>
      <c r="O673" s="300">
        <v>0</v>
      </c>
      <c r="P673" s="231">
        <v>1227889</v>
      </c>
      <c r="Q673" s="231">
        <v>14004985</v>
      </c>
      <c r="R673" s="231"/>
      <c r="S673" s="392">
        <v>3858365</v>
      </c>
      <c r="T673" s="231">
        <v>-500900</v>
      </c>
      <c r="U673" s="396">
        <v>3357465</v>
      </c>
      <c r="V673" s="231"/>
      <c r="W673" s="396">
        <v>34716622</v>
      </c>
      <c r="X673" s="396">
        <v>-12267009</v>
      </c>
      <c r="Y673" s="396"/>
      <c r="Z673" s="396"/>
    </row>
    <row r="674" spans="1:26">
      <c r="A674" s="390">
        <v>97412</v>
      </c>
      <c r="B674" s="391" t="s">
        <v>1372</v>
      </c>
      <c r="C674" s="234">
        <v>4.1450999999999997E-3</v>
      </c>
      <c r="D674" s="234">
        <v>4.3990000000000001E-3</v>
      </c>
      <c r="E674" s="231">
        <v>6356909</v>
      </c>
      <c r="F674" s="231" t="s">
        <v>1924</v>
      </c>
      <c r="G674" s="392">
        <v>2022361</v>
      </c>
      <c r="H674" s="392">
        <v>0</v>
      </c>
      <c r="I674" s="392">
        <v>3993762</v>
      </c>
      <c r="J674" s="231">
        <v>22254</v>
      </c>
      <c r="K674" s="231">
        <v>6038377</v>
      </c>
      <c r="L674" s="231"/>
      <c r="M674" s="300">
        <v>0</v>
      </c>
      <c r="N674" s="300">
        <v>9082113</v>
      </c>
      <c r="O674" s="300">
        <v>0</v>
      </c>
      <c r="P674" s="231">
        <v>361871</v>
      </c>
      <c r="Q674" s="231">
        <v>9443984</v>
      </c>
      <c r="R674" s="231"/>
      <c r="S674" s="392">
        <v>2742572</v>
      </c>
      <c r="T674" s="231">
        <v>-80902</v>
      </c>
      <c r="U674" s="396">
        <v>2661670</v>
      </c>
      <c r="V674" s="231"/>
      <c r="W674" s="396">
        <v>24676991</v>
      </c>
      <c r="X674" s="396">
        <v>-8719537</v>
      </c>
      <c r="Y674" s="396"/>
      <c r="Z674" s="396"/>
    </row>
    <row r="675" spans="1:26">
      <c r="A675" s="390">
        <v>97413</v>
      </c>
      <c r="B675" s="391" t="s">
        <v>1373</v>
      </c>
      <c r="C675" s="234">
        <v>3.165E-4</v>
      </c>
      <c r="D675" s="234">
        <v>2.6689999999999998E-4</v>
      </c>
      <c r="E675" s="231">
        <v>485383</v>
      </c>
      <c r="F675" s="231" t="s">
        <v>1924</v>
      </c>
      <c r="G675" s="392">
        <v>154418</v>
      </c>
      <c r="H675" s="392">
        <v>0</v>
      </c>
      <c r="I675" s="392">
        <v>304945</v>
      </c>
      <c r="J675" s="231">
        <v>125767</v>
      </c>
      <c r="K675" s="231">
        <v>585130</v>
      </c>
      <c r="L675" s="231"/>
      <c r="M675" s="300">
        <v>0</v>
      </c>
      <c r="N675" s="300">
        <v>693467</v>
      </c>
      <c r="O675" s="300">
        <v>0</v>
      </c>
      <c r="P675" s="231">
        <v>0</v>
      </c>
      <c r="Q675" s="231">
        <v>693467</v>
      </c>
      <c r="R675" s="231"/>
      <c r="S675" s="392">
        <v>209410</v>
      </c>
      <c r="T675" s="231">
        <v>49417</v>
      </c>
      <c r="U675" s="396">
        <v>258827</v>
      </c>
      <c r="V675" s="231"/>
      <c r="W675" s="396">
        <v>1884217</v>
      </c>
      <c r="X675" s="396">
        <v>-665782</v>
      </c>
      <c r="Y675" s="396"/>
      <c r="Z675" s="396"/>
    </row>
    <row r="676" spans="1:26">
      <c r="A676" s="390">
        <v>97421</v>
      </c>
      <c r="B676" s="391" t="s">
        <v>1374</v>
      </c>
      <c r="C676" s="234">
        <v>4.3879999999999999E-4</v>
      </c>
      <c r="D676" s="234">
        <v>4.239E-4</v>
      </c>
      <c r="E676" s="231">
        <v>672942</v>
      </c>
      <c r="F676" s="231" t="s">
        <v>1924</v>
      </c>
      <c r="G676" s="392">
        <v>214087</v>
      </c>
      <c r="H676" s="392">
        <v>0</v>
      </c>
      <c r="I676" s="392">
        <v>422779</v>
      </c>
      <c r="J676" s="231">
        <v>8187</v>
      </c>
      <c r="K676" s="231">
        <v>645053</v>
      </c>
      <c r="L676" s="231"/>
      <c r="M676" s="300">
        <v>0</v>
      </c>
      <c r="N676" s="300">
        <v>961432</v>
      </c>
      <c r="O676" s="300">
        <v>0</v>
      </c>
      <c r="P676" s="231">
        <v>25462</v>
      </c>
      <c r="Q676" s="231">
        <v>986894</v>
      </c>
      <c r="R676" s="231"/>
      <c r="S676" s="392">
        <v>290329</v>
      </c>
      <c r="T676" s="231">
        <v>-6869</v>
      </c>
      <c r="U676" s="396">
        <v>283460</v>
      </c>
      <c r="V676" s="231"/>
      <c r="W676" s="396">
        <v>2612305</v>
      </c>
      <c r="X676" s="396">
        <v>-923050</v>
      </c>
      <c r="Y676" s="396"/>
      <c r="Z676" s="396"/>
    </row>
    <row r="677" spans="1:26">
      <c r="A677" s="390">
        <v>97423</v>
      </c>
      <c r="B677" s="391" t="s">
        <v>1375</v>
      </c>
      <c r="C677" s="234">
        <v>3.5299999999999997E-5</v>
      </c>
      <c r="D677" s="234">
        <v>4.0000000000000003E-5</v>
      </c>
      <c r="E677" s="231">
        <v>54136</v>
      </c>
      <c r="F677" s="231" t="s">
        <v>1924</v>
      </c>
      <c r="G677" s="392">
        <v>17223</v>
      </c>
      <c r="H677" s="392">
        <v>0</v>
      </c>
      <c r="I677" s="392">
        <v>34011</v>
      </c>
      <c r="J677" s="231">
        <v>17425</v>
      </c>
      <c r="K677" s="231">
        <v>68659</v>
      </c>
      <c r="L677" s="231"/>
      <c r="M677" s="300">
        <v>0</v>
      </c>
      <c r="N677" s="300">
        <v>77344</v>
      </c>
      <c r="O677" s="300">
        <v>0</v>
      </c>
      <c r="P677" s="231">
        <v>2934</v>
      </c>
      <c r="Q677" s="231">
        <v>80278</v>
      </c>
      <c r="R677" s="231"/>
      <c r="S677" s="392">
        <v>23356</v>
      </c>
      <c r="T677" s="231">
        <v>12750</v>
      </c>
      <c r="U677" s="396">
        <v>36106</v>
      </c>
      <c r="V677" s="231"/>
      <c r="W677" s="396">
        <v>210151</v>
      </c>
      <c r="X677" s="396">
        <v>-74256</v>
      </c>
      <c r="Y677" s="396"/>
      <c r="Z677" s="396"/>
    </row>
    <row r="678" spans="1:26">
      <c r="A678" s="390">
        <v>97431</v>
      </c>
      <c r="B678" s="391" t="s">
        <v>1376</v>
      </c>
      <c r="C678" s="234">
        <v>9.3900000000000006E-5</v>
      </c>
      <c r="D678" s="234">
        <v>9.2999999999999997E-5</v>
      </c>
      <c r="E678" s="231">
        <v>144005</v>
      </c>
      <c r="F678" s="231" t="s">
        <v>1924</v>
      </c>
      <c r="G678" s="392">
        <v>45813</v>
      </c>
      <c r="H678" s="392">
        <v>0</v>
      </c>
      <c r="I678" s="392">
        <v>90472</v>
      </c>
      <c r="J678" s="231">
        <v>8460</v>
      </c>
      <c r="K678" s="231">
        <v>144745</v>
      </c>
      <c r="L678" s="231"/>
      <c r="M678" s="300">
        <v>0</v>
      </c>
      <c r="N678" s="300">
        <v>205739</v>
      </c>
      <c r="O678" s="300">
        <v>0</v>
      </c>
      <c r="P678" s="231">
        <v>3554</v>
      </c>
      <c r="Q678" s="231">
        <v>209293</v>
      </c>
      <c r="R678" s="231"/>
      <c r="S678" s="392">
        <v>62128</v>
      </c>
      <c r="T678" s="231">
        <v>4958</v>
      </c>
      <c r="U678" s="396">
        <v>67086</v>
      </c>
      <c r="V678" s="231"/>
      <c r="W678" s="396">
        <v>559014</v>
      </c>
      <c r="X678" s="396">
        <v>-197526</v>
      </c>
      <c r="Y678" s="396"/>
      <c r="Z678" s="396"/>
    </row>
    <row r="679" spans="1:26">
      <c r="A679" s="390">
        <v>97441</v>
      </c>
      <c r="B679" s="391" t="s">
        <v>1377</v>
      </c>
      <c r="C679" s="234">
        <v>5.3300000000000001E-5</v>
      </c>
      <c r="D679" s="234">
        <v>6.2199999999999994E-5</v>
      </c>
      <c r="E679" s="231">
        <v>81741</v>
      </c>
      <c r="F679" s="231" t="s">
        <v>1924</v>
      </c>
      <c r="G679" s="392">
        <v>26005</v>
      </c>
      <c r="H679" s="392">
        <v>0</v>
      </c>
      <c r="I679" s="392">
        <v>51354</v>
      </c>
      <c r="J679" s="231">
        <v>0</v>
      </c>
      <c r="K679" s="231">
        <v>77359</v>
      </c>
      <c r="L679" s="231"/>
      <c r="M679" s="300">
        <v>0</v>
      </c>
      <c r="N679" s="300">
        <v>116783</v>
      </c>
      <c r="O679" s="300">
        <v>0</v>
      </c>
      <c r="P679" s="231">
        <v>28466</v>
      </c>
      <c r="Q679" s="231">
        <v>145249</v>
      </c>
      <c r="R679" s="231"/>
      <c r="S679" s="392">
        <v>35266</v>
      </c>
      <c r="T679" s="231">
        <v>-14377</v>
      </c>
      <c r="U679" s="396">
        <v>20889</v>
      </c>
      <c r="V679" s="231"/>
      <c r="W679" s="396">
        <v>317310</v>
      </c>
      <c r="X679" s="396">
        <v>-112121</v>
      </c>
      <c r="Y679" s="396"/>
      <c r="Z679" s="396"/>
    </row>
    <row r="680" spans="1:26">
      <c r="A680" s="390">
        <v>97451</v>
      </c>
      <c r="B680" s="391" t="s">
        <v>1378</v>
      </c>
      <c r="C680" s="234">
        <v>6.6299999999999996E-4</v>
      </c>
      <c r="D680" s="234">
        <v>7.5849999999999995E-4</v>
      </c>
      <c r="E680" s="231">
        <v>1016774</v>
      </c>
      <c r="F680" s="231" t="s">
        <v>1924</v>
      </c>
      <c r="G680" s="392">
        <v>323472</v>
      </c>
      <c r="H680" s="392">
        <v>0</v>
      </c>
      <c r="I680" s="392">
        <v>638794</v>
      </c>
      <c r="J680" s="231">
        <v>55436</v>
      </c>
      <c r="K680" s="231">
        <v>1017702</v>
      </c>
      <c r="L680" s="231"/>
      <c r="M680" s="300">
        <v>0</v>
      </c>
      <c r="N680" s="300">
        <v>1452665</v>
      </c>
      <c r="O680" s="300">
        <v>0</v>
      </c>
      <c r="P680" s="231">
        <v>199050</v>
      </c>
      <c r="Q680" s="231">
        <v>1651715</v>
      </c>
      <c r="R680" s="231"/>
      <c r="S680" s="392">
        <v>438669</v>
      </c>
      <c r="T680" s="231">
        <v>-48296</v>
      </c>
      <c r="U680" s="396">
        <v>390373</v>
      </c>
      <c r="V680" s="231"/>
      <c r="W680" s="396">
        <v>3947033</v>
      </c>
      <c r="X680" s="396">
        <v>-1394672</v>
      </c>
      <c r="Y680" s="396"/>
      <c r="Z680" s="396"/>
    </row>
    <row r="681" spans="1:26">
      <c r="A681" s="390">
        <v>97461</v>
      </c>
      <c r="B681" s="391" t="s">
        <v>1379</v>
      </c>
      <c r="C681" s="234">
        <v>5.3189999999999997E-4</v>
      </c>
      <c r="D681" s="234">
        <v>5.7600000000000001E-4</v>
      </c>
      <c r="E681" s="231">
        <v>815720</v>
      </c>
      <c r="F681" s="231" t="s">
        <v>1924</v>
      </c>
      <c r="G681" s="392">
        <v>259510</v>
      </c>
      <c r="H681" s="392">
        <v>0</v>
      </c>
      <c r="I681" s="392">
        <v>512480</v>
      </c>
      <c r="J681" s="231">
        <v>6376</v>
      </c>
      <c r="K681" s="231">
        <v>778366</v>
      </c>
      <c r="L681" s="231"/>
      <c r="M681" s="300">
        <v>0</v>
      </c>
      <c r="N681" s="300">
        <v>1165418</v>
      </c>
      <c r="O681" s="300">
        <v>0</v>
      </c>
      <c r="P681" s="231">
        <v>121988</v>
      </c>
      <c r="Q681" s="231">
        <v>1287406</v>
      </c>
      <c r="R681" s="231"/>
      <c r="S681" s="392">
        <v>351927</v>
      </c>
      <c r="T681" s="231">
        <v>-45899</v>
      </c>
      <c r="U681" s="396">
        <v>306028</v>
      </c>
      <c r="V681" s="231"/>
      <c r="W681" s="396">
        <v>3166556</v>
      </c>
      <c r="X681" s="396">
        <v>-1118893</v>
      </c>
      <c r="Y681" s="396"/>
      <c r="Z681" s="396"/>
    </row>
    <row r="682" spans="1:26">
      <c r="A682" s="390">
        <v>97463</v>
      </c>
      <c r="B682" s="391" t="s">
        <v>1380</v>
      </c>
      <c r="C682" s="234">
        <v>0</v>
      </c>
      <c r="D682" s="234">
        <v>0</v>
      </c>
      <c r="E682" s="231">
        <v>0</v>
      </c>
      <c r="F682" s="231" t="s">
        <v>1924</v>
      </c>
      <c r="G682" s="392">
        <v>0</v>
      </c>
      <c r="H682" s="392">
        <v>0</v>
      </c>
      <c r="I682" s="392">
        <v>0</v>
      </c>
      <c r="J682" s="231">
        <v>0</v>
      </c>
      <c r="K682" s="231">
        <v>0</v>
      </c>
      <c r="L682" s="231"/>
      <c r="M682" s="300">
        <v>0</v>
      </c>
      <c r="N682" s="300">
        <v>0</v>
      </c>
      <c r="O682" s="300">
        <v>0</v>
      </c>
      <c r="P682" s="231">
        <v>5607</v>
      </c>
      <c r="Q682" s="231">
        <v>5607</v>
      </c>
      <c r="R682" s="231"/>
      <c r="S682" s="392">
        <v>0</v>
      </c>
      <c r="T682" s="231">
        <v>-7626</v>
      </c>
      <c r="U682" s="396">
        <v>-7626</v>
      </c>
      <c r="V682" s="231"/>
      <c r="W682" s="396">
        <v>0</v>
      </c>
      <c r="X682" s="396">
        <v>0</v>
      </c>
      <c r="Y682" s="396"/>
      <c r="Z682" s="396"/>
    </row>
    <row r="683" spans="1:26">
      <c r="A683" s="390">
        <v>97471</v>
      </c>
      <c r="B683" s="391" t="s">
        <v>1381</v>
      </c>
      <c r="C683" s="234">
        <v>2.0100000000000001E-5</v>
      </c>
      <c r="D683" s="234">
        <v>1.63E-5</v>
      </c>
      <c r="E683" s="231">
        <v>30825</v>
      </c>
      <c r="F683" s="231" t="s">
        <v>1924</v>
      </c>
      <c r="G683" s="392">
        <v>9807</v>
      </c>
      <c r="H683" s="392">
        <v>0</v>
      </c>
      <c r="I683" s="392">
        <v>19366</v>
      </c>
      <c r="J683" s="231">
        <v>15877</v>
      </c>
      <c r="K683" s="231">
        <v>45050</v>
      </c>
      <c r="L683" s="231"/>
      <c r="M683" s="300">
        <v>0</v>
      </c>
      <c r="N683" s="300">
        <v>44040</v>
      </c>
      <c r="O683" s="300">
        <v>0</v>
      </c>
      <c r="P683" s="231">
        <v>0</v>
      </c>
      <c r="Q683" s="231">
        <v>44040</v>
      </c>
      <c r="R683" s="231"/>
      <c r="S683" s="392">
        <v>13299</v>
      </c>
      <c r="T683" s="231">
        <v>8046</v>
      </c>
      <c r="U683" s="396">
        <v>21345</v>
      </c>
      <c r="V683" s="231"/>
      <c r="W683" s="396">
        <v>119661</v>
      </c>
      <c r="X683" s="396">
        <v>-42282</v>
      </c>
      <c r="Y683" s="396"/>
      <c r="Z683" s="396"/>
    </row>
    <row r="684" spans="1:26">
      <c r="A684" s="390">
        <v>97481</v>
      </c>
      <c r="B684" s="391" t="s">
        <v>1382</v>
      </c>
      <c r="C684" s="234">
        <v>2.0999999999999998E-6</v>
      </c>
      <c r="D684" s="234">
        <v>1.7E-6</v>
      </c>
      <c r="E684" s="231">
        <v>3221</v>
      </c>
      <c r="F684" s="231" t="s">
        <v>1924</v>
      </c>
      <c r="G684" s="392">
        <v>1025</v>
      </c>
      <c r="H684" s="392">
        <v>0</v>
      </c>
      <c r="I684" s="392">
        <v>2023</v>
      </c>
      <c r="J684" s="231">
        <v>3231</v>
      </c>
      <c r="K684" s="231">
        <v>6279</v>
      </c>
      <c r="L684" s="231"/>
      <c r="M684" s="300">
        <v>0</v>
      </c>
      <c r="N684" s="300">
        <v>4601</v>
      </c>
      <c r="O684" s="300">
        <v>0</v>
      </c>
      <c r="P684" s="231">
        <v>4249</v>
      </c>
      <c r="Q684" s="231">
        <v>8850</v>
      </c>
      <c r="R684" s="231"/>
      <c r="S684" s="392">
        <v>1389</v>
      </c>
      <c r="T684" s="231">
        <v>-1472</v>
      </c>
      <c r="U684" s="396">
        <v>-83</v>
      </c>
      <c r="V684" s="231"/>
      <c r="W684" s="396">
        <v>12502</v>
      </c>
      <c r="X684" s="396">
        <v>-4418</v>
      </c>
      <c r="Y684" s="396"/>
      <c r="Z684" s="396"/>
    </row>
    <row r="685" spans="1:26">
      <c r="A685" s="390">
        <v>97491</v>
      </c>
      <c r="B685" s="391" t="s">
        <v>3714</v>
      </c>
      <c r="C685" s="234">
        <v>0</v>
      </c>
      <c r="D685" s="234">
        <v>0</v>
      </c>
      <c r="E685" s="231">
        <v>0</v>
      </c>
      <c r="F685" s="231">
        <v>0</v>
      </c>
      <c r="G685" s="392">
        <v>0</v>
      </c>
      <c r="H685" s="392">
        <v>0</v>
      </c>
      <c r="I685" s="392">
        <v>0</v>
      </c>
      <c r="J685" s="231">
        <v>0</v>
      </c>
      <c r="K685" s="231">
        <v>0</v>
      </c>
      <c r="L685" s="231">
        <v>0</v>
      </c>
      <c r="M685" s="300">
        <v>0</v>
      </c>
      <c r="N685" s="300">
        <v>0</v>
      </c>
      <c r="O685" s="300">
        <v>0</v>
      </c>
      <c r="P685" s="231">
        <v>0</v>
      </c>
      <c r="Q685" s="231">
        <v>0</v>
      </c>
      <c r="R685" s="231">
        <v>0</v>
      </c>
      <c r="S685" s="392">
        <v>0</v>
      </c>
      <c r="T685" s="231">
        <v>0</v>
      </c>
      <c r="U685" s="396">
        <v>0</v>
      </c>
      <c r="V685" s="231">
        <v>0</v>
      </c>
      <c r="W685" s="396">
        <v>0</v>
      </c>
      <c r="X685" s="396">
        <v>0</v>
      </c>
      <c r="Y685" s="396">
        <v>0</v>
      </c>
      <c r="Z685" s="396">
        <v>0</v>
      </c>
    </row>
    <row r="686" spans="1:26">
      <c r="A686" s="390">
        <v>97501</v>
      </c>
      <c r="B686" s="391" t="s">
        <v>1384</v>
      </c>
      <c r="C686" s="234">
        <v>1.2677999999999999E-3</v>
      </c>
      <c r="D686" s="234">
        <v>1.2210999999999999E-3</v>
      </c>
      <c r="E686" s="231">
        <v>1944293</v>
      </c>
      <c r="F686" s="231" t="s">
        <v>1924</v>
      </c>
      <c r="G686" s="392">
        <v>618549</v>
      </c>
      <c r="H686" s="392">
        <v>0</v>
      </c>
      <c r="I686" s="392">
        <v>1221513</v>
      </c>
      <c r="J686" s="231">
        <v>156512</v>
      </c>
      <c r="K686" s="231">
        <v>1996574</v>
      </c>
      <c r="L686" s="231"/>
      <c r="M686" s="300">
        <v>0</v>
      </c>
      <c r="N686" s="300">
        <v>2777811</v>
      </c>
      <c r="O686" s="300">
        <v>0</v>
      </c>
      <c r="P686" s="231">
        <v>819</v>
      </c>
      <c r="Q686" s="231">
        <v>2778630</v>
      </c>
      <c r="R686" s="231"/>
      <c r="S686" s="392">
        <v>838830</v>
      </c>
      <c r="T686" s="231">
        <v>89470</v>
      </c>
      <c r="U686" s="396">
        <v>928300</v>
      </c>
      <c r="V686" s="231"/>
      <c r="W686" s="396">
        <v>7547584</v>
      </c>
      <c r="X686" s="396">
        <v>-2666915</v>
      </c>
      <c r="Y686" s="396"/>
      <c r="Z686" s="396"/>
    </row>
    <row r="687" spans="1:26">
      <c r="A687" s="390">
        <v>97511</v>
      </c>
      <c r="B687" s="391" t="s">
        <v>1385</v>
      </c>
      <c r="C687" s="234">
        <v>2.388E-4</v>
      </c>
      <c r="D687" s="234">
        <v>2.2149999999999999E-4</v>
      </c>
      <c r="E687" s="231">
        <v>366223</v>
      </c>
      <c r="F687" s="231" t="s">
        <v>1924</v>
      </c>
      <c r="G687" s="392">
        <v>116509</v>
      </c>
      <c r="H687" s="392">
        <v>0</v>
      </c>
      <c r="I687" s="392">
        <v>230081</v>
      </c>
      <c r="J687" s="231">
        <v>76166</v>
      </c>
      <c r="K687" s="231">
        <v>422756</v>
      </c>
      <c r="L687" s="231"/>
      <c r="M687" s="300">
        <v>0</v>
      </c>
      <c r="N687" s="300">
        <v>523222</v>
      </c>
      <c r="O687" s="300">
        <v>0</v>
      </c>
      <c r="P687" s="231">
        <v>6874</v>
      </c>
      <c r="Q687" s="231">
        <v>530096</v>
      </c>
      <c r="R687" s="231"/>
      <c r="S687" s="392">
        <v>158000</v>
      </c>
      <c r="T687" s="231">
        <v>26117</v>
      </c>
      <c r="U687" s="396">
        <v>184117</v>
      </c>
      <c r="V687" s="231"/>
      <c r="W687" s="396">
        <v>1421646</v>
      </c>
      <c r="X687" s="396">
        <v>-502334</v>
      </c>
      <c r="Y687" s="396"/>
      <c r="Z687" s="396"/>
    </row>
    <row r="688" spans="1:26">
      <c r="A688" s="390">
        <v>97517</v>
      </c>
      <c r="B688" s="391" t="s">
        <v>3733</v>
      </c>
      <c r="C688" s="234">
        <v>0</v>
      </c>
      <c r="D688" s="234">
        <v>0</v>
      </c>
      <c r="E688" s="231">
        <v>0</v>
      </c>
      <c r="F688" s="231"/>
      <c r="G688" s="392">
        <v>0</v>
      </c>
      <c r="H688" s="392">
        <v>0</v>
      </c>
      <c r="I688" s="392">
        <v>0</v>
      </c>
      <c r="J688" s="231">
        <v>1078</v>
      </c>
      <c r="K688" s="231">
        <v>1078</v>
      </c>
      <c r="L688" s="231"/>
      <c r="N688" s="300">
        <v>0</v>
      </c>
      <c r="P688" s="231">
        <v>0</v>
      </c>
      <c r="Q688" s="231">
        <v>0</v>
      </c>
      <c r="R688" s="231"/>
      <c r="S688" s="392">
        <v>0</v>
      </c>
      <c r="T688" s="231">
        <v>359</v>
      </c>
      <c r="U688" s="396">
        <v>359</v>
      </c>
      <c r="V688" s="231"/>
      <c r="W688" s="396">
        <v>0</v>
      </c>
      <c r="X688" s="396">
        <v>0</v>
      </c>
      <c r="Y688" s="396"/>
      <c r="Z688" s="396"/>
    </row>
    <row r="689" spans="1:26">
      <c r="A689" s="390">
        <v>97521</v>
      </c>
      <c r="B689" s="395" t="s">
        <v>1386</v>
      </c>
      <c r="C689" s="234">
        <v>1.3080000000000001E-4</v>
      </c>
      <c r="D689" s="234">
        <v>1.295E-4</v>
      </c>
      <c r="E689" s="231">
        <v>200594</v>
      </c>
      <c r="F689" s="231" t="s">
        <v>1924</v>
      </c>
      <c r="G689" s="392">
        <v>63816</v>
      </c>
      <c r="H689" s="392">
        <v>0</v>
      </c>
      <c r="I689" s="392">
        <v>126024</v>
      </c>
      <c r="J689" s="231">
        <v>12278</v>
      </c>
      <c r="K689" s="231">
        <v>202118</v>
      </c>
      <c r="L689" s="231"/>
      <c r="M689" s="300">
        <v>0</v>
      </c>
      <c r="N689" s="300">
        <v>286589</v>
      </c>
      <c r="O689" s="300">
        <v>0</v>
      </c>
      <c r="P689" s="231">
        <v>12324</v>
      </c>
      <c r="Q689" s="231">
        <v>298913</v>
      </c>
      <c r="R689" s="231"/>
      <c r="S689" s="392">
        <v>86543</v>
      </c>
      <c r="T689" s="231">
        <v>-279</v>
      </c>
      <c r="U689" s="396">
        <v>86264</v>
      </c>
      <c r="V689" s="231"/>
      <c r="W689" s="396">
        <v>778691</v>
      </c>
      <c r="X689" s="396">
        <v>-275148</v>
      </c>
      <c r="Y689" s="396"/>
      <c r="Z689" s="396"/>
    </row>
    <row r="690" spans="1:26">
      <c r="A690" s="390">
        <v>97527</v>
      </c>
      <c r="B690" s="391" t="s">
        <v>1637</v>
      </c>
      <c r="C690" s="234">
        <v>6.0000000000000002E-6</v>
      </c>
      <c r="D690" s="234">
        <v>5.0000000000000004E-6</v>
      </c>
      <c r="E690" s="231">
        <v>9202</v>
      </c>
      <c r="F690" s="231" t="s">
        <v>1924</v>
      </c>
      <c r="G690" s="392">
        <v>2927</v>
      </c>
      <c r="H690" s="392">
        <v>0</v>
      </c>
      <c r="I690" s="392">
        <v>5781</v>
      </c>
      <c r="J690" s="231">
        <v>10091</v>
      </c>
      <c r="K690" s="231">
        <v>18799</v>
      </c>
      <c r="L690" s="231"/>
      <c r="M690" s="300">
        <v>0</v>
      </c>
      <c r="N690" s="300">
        <v>13146</v>
      </c>
      <c r="O690" s="300">
        <v>0</v>
      </c>
      <c r="P690" s="231">
        <v>9271</v>
      </c>
      <c r="Q690" s="231">
        <v>22417</v>
      </c>
      <c r="R690" s="231"/>
      <c r="S690" s="392">
        <v>3970</v>
      </c>
      <c r="T690" s="231">
        <v>161</v>
      </c>
      <c r="U690" s="396">
        <v>4131</v>
      </c>
      <c r="V690" s="231"/>
      <c r="W690" s="396">
        <v>35720</v>
      </c>
      <c r="X690" s="396">
        <v>-12621</v>
      </c>
      <c r="Y690" s="396"/>
      <c r="Z690" s="396"/>
    </row>
    <row r="691" spans="1:26">
      <c r="A691" s="390">
        <v>97531</v>
      </c>
      <c r="B691" s="391" t="s">
        <v>1387</v>
      </c>
      <c r="C691" s="234">
        <v>8.2000000000000001E-5</v>
      </c>
      <c r="D691" s="234">
        <v>6.5699999999999998E-5</v>
      </c>
      <c r="E691" s="231">
        <v>125755</v>
      </c>
      <c r="F691" s="231" t="s">
        <v>1924</v>
      </c>
      <c r="G691" s="392">
        <v>40007</v>
      </c>
      <c r="H691" s="392">
        <v>0</v>
      </c>
      <c r="I691" s="392">
        <v>79006</v>
      </c>
      <c r="J691" s="231">
        <v>33529</v>
      </c>
      <c r="K691" s="231">
        <v>152542</v>
      </c>
      <c r="L691" s="231"/>
      <c r="M691" s="300">
        <v>0</v>
      </c>
      <c r="N691" s="300">
        <v>179666</v>
      </c>
      <c r="O691" s="300">
        <v>0</v>
      </c>
      <c r="P691" s="231">
        <v>13631</v>
      </c>
      <c r="Q691" s="231">
        <v>193297</v>
      </c>
      <c r="R691" s="231"/>
      <c r="S691" s="392">
        <v>54255</v>
      </c>
      <c r="T691" s="231">
        <v>9870</v>
      </c>
      <c r="U691" s="396">
        <v>64125</v>
      </c>
      <c r="V691" s="231"/>
      <c r="W691" s="396">
        <v>488170</v>
      </c>
      <c r="X691" s="396">
        <v>-172493</v>
      </c>
      <c r="Y691" s="396"/>
      <c r="Z691" s="396"/>
    </row>
    <row r="692" spans="1:26">
      <c r="A692" s="390">
        <v>97601</v>
      </c>
      <c r="B692" s="391" t="s">
        <v>1388</v>
      </c>
      <c r="C692" s="234">
        <v>5.3641000000000001E-3</v>
      </c>
      <c r="D692" s="234">
        <v>5.2855999999999997E-3</v>
      </c>
      <c r="E692" s="231">
        <v>8226362</v>
      </c>
      <c r="F692" s="231" t="s">
        <v>1924</v>
      </c>
      <c r="G692" s="392">
        <v>2617101</v>
      </c>
      <c r="H692" s="392">
        <v>0</v>
      </c>
      <c r="I692" s="392">
        <v>5168257</v>
      </c>
      <c r="J692" s="231">
        <v>27226</v>
      </c>
      <c r="K692" s="231">
        <v>7812584</v>
      </c>
      <c r="L692" s="231"/>
      <c r="M692" s="300">
        <v>0</v>
      </c>
      <c r="N692" s="300">
        <v>11753001</v>
      </c>
      <c r="O692" s="300">
        <v>0</v>
      </c>
      <c r="P692" s="231">
        <v>75537</v>
      </c>
      <c r="Q692" s="231">
        <v>11828538</v>
      </c>
      <c r="R692" s="231"/>
      <c r="S692" s="392">
        <v>3549114</v>
      </c>
      <c r="T692" s="231">
        <v>17696</v>
      </c>
      <c r="U692" s="396">
        <v>3566810</v>
      </c>
      <c r="V692" s="231"/>
      <c r="W692" s="396">
        <v>31934054</v>
      </c>
      <c r="X692" s="396">
        <v>-11283797</v>
      </c>
      <c r="Y692" s="396"/>
      <c r="Z692" s="396"/>
    </row>
    <row r="693" spans="1:26">
      <c r="A693" s="390">
        <v>97607</v>
      </c>
      <c r="B693" s="391" t="s">
        <v>1389</v>
      </c>
      <c r="C693" s="234">
        <v>2.5599999999999999E-5</v>
      </c>
      <c r="D693" s="234">
        <v>1.6699999999999999E-5</v>
      </c>
      <c r="E693" s="231">
        <v>39260</v>
      </c>
      <c r="F693" s="231" t="s">
        <v>1924</v>
      </c>
      <c r="G693" s="392">
        <v>12490</v>
      </c>
      <c r="H693" s="392">
        <v>0</v>
      </c>
      <c r="I693" s="392">
        <v>24665</v>
      </c>
      <c r="J693" s="231">
        <v>26007</v>
      </c>
      <c r="K693" s="231">
        <v>63162</v>
      </c>
      <c r="L693" s="231"/>
      <c r="M693" s="300">
        <v>0</v>
      </c>
      <c r="N693" s="300">
        <v>56091</v>
      </c>
      <c r="O693" s="300">
        <v>0</v>
      </c>
      <c r="P693" s="231">
        <v>0</v>
      </c>
      <c r="Q693" s="231">
        <v>56091</v>
      </c>
      <c r="R693" s="231"/>
      <c r="S693" s="392">
        <v>16938</v>
      </c>
      <c r="T693" s="231">
        <v>12603</v>
      </c>
      <c r="U693" s="396">
        <v>29541</v>
      </c>
      <c r="V693" s="231"/>
      <c r="W693" s="396">
        <v>152404</v>
      </c>
      <c r="X693" s="396">
        <v>-53852</v>
      </c>
      <c r="Y693" s="396"/>
      <c r="Z693" s="396"/>
    </row>
    <row r="694" spans="1:26">
      <c r="A694" s="390">
        <v>97611</v>
      </c>
      <c r="B694" s="391" t="s">
        <v>1390</v>
      </c>
      <c r="C694" s="234">
        <v>2.4091999999999998E-3</v>
      </c>
      <c r="D694" s="234">
        <v>2.4239999999999999E-3</v>
      </c>
      <c r="E694" s="231">
        <v>3694739</v>
      </c>
      <c r="F694" s="231" t="s">
        <v>1924</v>
      </c>
      <c r="G694" s="392">
        <v>1175429</v>
      </c>
      <c r="H694" s="392">
        <v>0</v>
      </c>
      <c r="I694" s="392">
        <v>2321240</v>
      </c>
      <c r="J694" s="231">
        <v>99547</v>
      </c>
      <c r="K694" s="231">
        <v>3596216</v>
      </c>
      <c r="L694" s="231"/>
      <c r="M694" s="300">
        <v>0</v>
      </c>
      <c r="N694" s="300">
        <v>5278673</v>
      </c>
      <c r="O694" s="300">
        <v>0</v>
      </c>
      <c r="P694" s="231">
        <v>44930</v>
      </c>
      <c r="Q694" s="231">
        <v>5323603</v>
      </c>
      <c r="R694" s="231"/>
      <c r="S694" s="392">
        <v>1594028</v>
      </c>
      <c r="T694" s="231">
        <v>-5172</v>
      </c>
      <c r="U694" s="396">
        <v>1588856</v>
      </c>
      <c r="V694" s="231"/>
      <c r="W694" s="396">
        <v>14342671</v>
      </c>
      <c r="X694" s="396">
        <v>-5067938</v>
      </c>
      <c r="Y694" s="396"/>
      <c r="Z694" s="396"/>
    </row>
    <row r="695" spans="1:26">
      <c r="A695" s="390">
        <v>97613</v>
      </c>
      <c r="B695" s="391" t="s">
        <v>1391</v>
      </c>
      <c r="C695" s="234">
        <v>9.9099999999999996E-5</v>
      </c>
      <c r="D695" s="234">
        <v>8.7100000000000003E-5</v>
      </c>
      <c r="E695" s="231">
        <v>151979</v>
      </c>
      <c r="F695" s="231" t="s">
        <v>1924</v>
      </c>
      <c r="G695" s="392">
        <v>48350</v>
      </c>
      <c r="H695" s="392">
        <v>0</v>
      </c>
      <c r="I695" s="392">
        <v>95482</v>
      </c>
      <c r="J695" s="231">
        <v>46272</v>
      </c>
      <c r="K695" s="231">
        <v>190104</v>
      </c>
      <c r="L695" s="231"/>
      <c r="M695" s="300">
        <v>0</v>
      </c>
      <c r="N695" s="300">
        <v>217133</v>
      </c>
      <c r="O695" s="300">
        <v>0</v>
      </c>
      <c r="P695" s="231">
        <v>4921</v>
      </c>
      <c r="Q695" s="231">
        <v>222054</v>
      </c>
      <c r="R695" s="231"/>
      <c r="S695" s="392">
        <v>65569</v>
      </c>
      <c r="T695" s="231">
        <v>15243</v>
      </c>
      <c r="U695" s="396">
        <v>80812</v>
      </c>
      <c r="V695" s="231"/>
      <c r="W695" s="396">
        <v>589971</v>
      </c>
      <c r="X695" s="396">
        <v>-208464</v>
      </c>
      <c r="Y695" s="396"/>
      <c r="Z695" s="396"/>
    </row>
    <row r="696" spans="1:26">
      <c r="A696" s="390">
        <v>97621</v>
      </c>
      <c r="B696" s="391" t="s">
        <v>1392</v>
      </c>
      <c r="C696" s="234">
        <v>4.1300000000000001E-4</v>
      </c>
      <c r="D696" s="234">
        <v>4.2010000000000002E-4</v>
      </c>
      <c r="E696" s="231">
        <v>633375</v>
      </c>
      <c r="F696" s="231" t="s">
        <v>1924</v>
      </c>
      <c r="G696" s="392">
        <v>201499</v>
      </c>
      <c r="H696" s="392">
        <v>0</v>
      </c>
      <c r="I696" s="392">
        <v>397921</v>
      </c>
      <c r="J696" s="231">
        <v>0</v>
      </c>
      <c r="K696" s="231">
        <v>599420</v>
      </c>
      <c r="L696" s="231"/>
      <c r="M696" s="300">
        <v>0</v>
      </c>
      <c r="N696" s="300">
        <v>904903</v>
      </c>
      <c r="O696" s="300">
        <v>0</v>
      </c>
      <c r="P696" s="231">
        <v>82092</v>
      </c>
      <c r="Q696" s="231">
        <v>986995</v>
      </c>
      <c r="R696" s="231"/>
      <c r="S696" s="392">
        <v>273258</v>
      </c>
      <c r="T696" s="231">
        <v>-49912</v>
      </c>
      <c r="U696" s="396">
        <v>223346</v>
      </c>
      <c r="V696" s="231"/>
      <c r="W696" s="396">
        <v>2458710</v>
      </c>
      <c r="X696" s="396">
        <v>-868777</v>
      </c>
      <c r="Y696" s="396"/>
      <c r="Z696" s="396"/>
    </row>
    <row r="697" spans="1:26">
      <c r="A697" s="390">
        <v>97623</v>
      </c>
      <c r="B697" s="391" t="s">
        <v>1393</v>
      </c>
      <c r="C697" s="234">
        <v>2.6599999999999999E-5</v>
      </c>
      <c r="D697" s="234">
        <v>2.4499999999999999E-5</v>
      </c>
      <c r="E697" s="231">
        <v>40794</v>
      </c>
      <c r="F697" s="231" t="s">
        <v>1924</v>
      </c>
      <c r="G697" s="392">
        <v>12978</v>
      </c>
      <c r="H697" s="392">
        <v>0</v>
      </c>
      <c r="I697" s="392">
        <v>25629</v>
      </c>
      <c r="J697" s="231">
        <v>4826</v>
      </c>
      <c r="K697" s="231">
        <v>43433</v>
      </c>
      <c r="L697" s="231"/>
      <c r="M697" s="300">
        <v>0</v>
      </c>
      <c r="N697" s="300">
        <v>58282</v>
      </c>
      <c r="O697" s="300">
        <v>0</v>
      </c>
      <c r="P697" s="231">
        <v>1052</v>
      </c>
      <c r="Q697" s="231">
        <v>59334</v>
      </c>
      <c r="R697" s="231"/>
      <c r="S697" s="392">
        <v>17600</v>
      </c>
      <c r="T697" s="231">
        <v>190</v>
      </c>
      <c r="U697" s="396">
        <v>17790</v>
      </c>
      <c r="V697" s="231"/>
      <c r="W697" s="396">
        <v>158358</v>
      </c>
      <c r="X697" s="396">
        <v>-55955</v>
      </c>
      <c r="Y697" s="396"/>
      <c r="Z697" s="396"/>
    </row>
    <row r="698" spans="1:26">
      <c r="A698" s="390">
        <v>97627</v>
      </c>
      <c r="B698" s="391" t="s">
        <v>1394</v>
      </c>
      <c r="C698" s="234">
        <v>3.4999999999999999E-6</v>
      </c>
      <c r="D698" s="234">
        <v>5.4999999999999999E-6</v>
      </c>
      <c r="E698" s="231">
        <v>5368</v>
      </c>
      <c r="F698" s="231" t="s">
        <v>1924</v>
      </c>
      <c r="G698" s="392">
        <v>1708</v>
      </c>
      <c r="H698" s="392">
        <v>0</v>
      </c>
      <c r="I698" s="392">
        <v>3372</v>
      </c>
      <c r="J698" s="231">
        <v>421</v>
      </c>
      <c r="K698" s="231">
        <v>5501</v>
      </c>
      <c r="L698" s="231"/>
      <c r="M698" s="300">
        <v>0</v>
      </c>
      <c r="N698" s="300">
        <v>7669</v>
      </c>
      <c r="O698" s="300">
        <v>0</v>
      </c>
      <c r="P698" s="231">
        <v>2537</v>
      </c>
      <c r="Q698" s="231">
        <v>10206</v>
      </c>
      <c r="R698" s="231"/>
      <c r="S698" s="392">
        <v>2316</v>
      </c>
      <c r="T698" s="231">
        <v>-896</v>
      </c>
      <c r="U698" s="396">
        <v>1420</v>
      </c>
      <c r="V698" s="231"/>
      <c r="W698" s="396">
        <v>20837</v>
      </c>
      <c r="X698" s="396">
        <v>-7363</v>
      </c>
      <c r="Y698" s="396"/>
      <c r="Z698" s="396"/>
    </row>
    <row r="699" spans="1:26">
      <c r="A699" s="390">
        <v>97631</v>
      </c>
      <c r="B699" s="391" t="s">
        <v>1395</v>
      </c>
      <c r="C699" s="234">
        <v>1.984E-4</v>
      </c>
      <c r="D699" s="234">
        <v>2.118E-4</v>
      </c>
      <c r="E699" s="231">
        <v>304265</v>
      </c>
      <c r="F699" s="231" t="s">
        <v>1924</v>
      </c>
      <c r="G699" s="392">
        <v>96798</v>
      </c>
      <c r="H699" s="392">
        <v>0</v>
      </c>
      <c r="I699" s="392">
        <v>191156</v>
      </c>
      <c r="J699" s="231">
        <v>7045</v>
      </c>
      <c r="K699" s="231">
        <v>294999</v>
      </c>
      <c r="L699" s="231"/>
      <c r="M699" s="300">
        <v>0</v>
      </c>
      <c r="N699" s="300">
        <v>434704</v>
      </c>
      <c r="O699" s="300">
        <v>0</v>
      </c>
      <c r="P699" s="231">
        <v>33204</v>
      </c>
      <c r="Q699" s="231">
        <v>467908</v>
      </c>
      <c r="R699" s="231"/>
      <c r="S699" s="392">
        <v>131270</v>
      </c>
      <c r="T699" s="231">
        <v>-10472</v>
      </c>
      <c r="U699" s="396">
        <v>120798</v>
      </c>
      <c r="V699" s="231"/>
      <c r="W699" s="396">
        <v>1181133</v>
      </c>
      <c r="X699" s="396">
        <v>-417350</v>
      </c>
      <c r="Y699" s="396"/>
      <c r="Z699" s="396"/>
    </row>
    <row r="700" spans="1:26">
      <c r="A700" s="390">
        <v>97637</v>
      </c>
      <c r="B700" s="391" t="s">
        <v>1396</v>
      </c>
      <c r="C700" s="234">
        <v>0</v>
      </c>
      <c r="D700" s="234">
        <v>0</v>
      </c>
      <c r="E700" s="231">
        <v>0</v>
      </c>
      <c r="F700" s="231" t="s">
        <v>1924</v>
      </c>
      <c r="G700" s="392">
        <v>0</v>
      </c>
      <c r="H700" s="392">
        <v>0</v>
      </c>
      <c r="I700" s="392">
        <v>0</v>
      </c>
      <c r="J700" s="231">
        <v>1013</v>
      </c>
      <c r="K700" s="231">
        <v>1013</v>
      </c>
      <c r="L700" s="231"/>
      <c r="M700" s="300">
        <v>0</v>
      </c>
      <c r="N700" s="300">
        <v>0</v>
      </c>
      <c r="O700" s="300">
        <v>0</v>
      </c>
      <c r="P700" s="231">
        <v>1964</v>
      </c>
      <c r="Q700" s="231">
        <v>1964</v>
      </c>
      <c r="R700" s="231"/>
      <c r="S700" s="392">
        <v>0</v>
      </c>
      <c r="T700" s="231">
        <v>-302</v>
      </c>
      <c r="U700" s="396">
        <v>-302</v>
      </c>
      <c r="V700" s="231"/>
      <c r="W700" s="396">
        <v>0</v>
      </c>
      <c r="X700" s="396">
        <v>0</v>
      </c>
      <c r="Y700" s="396"/>
      <c r="Z700" s="396"/>
    </row>
    <row r="701" spans="1:26">
      <c r="A701" s="390">
        <v>97641</v>
      </c>
      <c r="B701" s="391" t="s">
        <v>1397</v>
      </c>
      <c r="C701" s="234">
        <v>7.7799999999999994E-5</v>
      </c>
      <c r="D701" s="234">
        <v>5.1199999999999998E-5</v>
      </c>
      <c r="E701" s="231">
        <v>119314</v>
      </c>
      <c r="F701" s="231" t="s">
        <v>1924</v>
      </c>
      <c r="G701" s="392">
        <v>37958</v>
      </c>
      <c r="H701" s="392">
        <v>0</v>
      </c>
      <c r="I701" s="392">
        <v>74960</v>
      </c>
      <c r="J701" s="231">
        <v>60032</v>
      </c>
      <c r="K701" s="231">
        <v>172950</v>
      </c>
      <c r="L701" s="231"/>
      <c r="M701" s="300">
        <v>0</v>
      </c>
      <c r="N701" s="300">
        <v>170464</v>
      </c>
      <c r="O701" s="300">
        <v>0</v>
      </c>
      <c r="P701" s="231">
        <v>2073</v>
      </c>
      <c r="Q701" s="231">
        <v>172537</v>
      </c>
      <c r="R701" s="231"/>
      <c r="S701" s="392">
        <v>51476</v>
      </c>
      <c r="T701" s="231">
        <v>19808</v>
      </c>
      <c r="U701" s="396">
        <v>71284</v>
      </c>
      <c r="V701" s="231"/>
      <c r="W701" s="396">
        <v>463166</v>
      </c>
      <c r="X701" s="396">
        <v>-163658</v>
      </c>
      <c r="Y701" s="396"/>
      <c r="Z701" s="396"/>
    </row>
    <row r="702" spans="1:26">
      <c r="A702" s="390">
        <v>97651</v>
      </c>
      <c r="B702" s="391" t="s">
        <v>1398</v>
      </c>
      <c r="C702" s="234">
        <v>4.8879999999999996E-4</v>
      </c>
      <c r="D702" s="234">
        <v>5.2769999999999998E-4</v>
      </c>
      <c r="E702" s="231">
        <v>749622</v>
      </c>
      <c r="F702" s="231" t="s">
        <v>1924</v>
      </c>
      <c r="G702" s="392">
        <v>238482</v>
      </c>
      <c r="H702" s="392">
        <v>0</v>
      </c>
      <c r="I702" s="392">
        <v>470954</v>
      </c>
      <c r="J702" s="231">
        <v>0</v>
      </c>
      <c r="K702" s="231">
        <v>709436</v>
      </c>
      <c r="L702" s="231"/>
      <c r="M702" s="300">
        <v>0</v>
      </c>
      <c r="N702" s="300">
        <v>1070984</v>
      </c>
      <c r="O702" s="300">
        <v>0</v>
      </c>
      <c r="P702" s="231">
        <v>102783</v>
      </c>
      <c r="Q702" s="231">
        <v>1173767</v>
      </c>
      <c r="R702" s="231"/>
      <c r="S702" s="392">
        <v>323411</v>
      </c>
      <c r="T702" s="231">
        <v>-43114</v>
      </c>
      <c r="U702" s="396">
        <v>280297</v>
      </c>
      <c r="V702" s="231"/>
      <c r="W702" s="396">
        <v>2909969</v>
      </c>
      <c r="X702" s="396">
        <v>-1028228</v>
      </c>
      <c r="Y702" s="396"/>
      <c r="Z702" s="396"/>
    </row>
    <row r="703" spans="1:26">
      <c r="A703" s="390">
        <v>97661</v>
      </c>
      <c r="B703" s="391" t="s">
        <v>1399</v>
      </c>
      <c r="C703" s="234">
        <v>4.74E-5</v>
      </c>
      <c r="D703" s="234">
        <v>4.2400000000000001E-5</v>
      </c>
      <c r="E703" s="231">
        <v>72692</v>
      </c>
      <c r="F703" s="231" t="s">
        <v>1924</v>
      </c>
      <c r="G703" s="392">
        <v>23126</v>
      </c>
      <c r="H703" s="392">
        <v>0</v>
      </c>
      <c r="I703" s="392">
        <v>45669</v>
      </c>
      <c r="J703" s="231">
        <v>12736</v>
      </c>
      <c r="K703" s="231">
        <v>81531</v>
      </c>
      <c r="L703" s="231"/>
      <c r="M703" s="300">
        <v>0</v>
      </c>
      <c r="N703" s="300">
        <v>103856</v>
      </c>
      <c r="O703" s="300">
        <v>0</v>
      </c>
      <c r="P703" s="231">
        <v>7233</v>
      </c>
      <c r="Q703" s="231">
        <v>111089</v>
      </c>
      <c r="R703" s="231"/>
      <c r="S703" s="392">
        <v>31362</v>
      </c>
      <c r="T703" s="231">
        <v>2423</v>
      </c>
      <c r="U703" s="396">
        <v>33785</v>
      </c>
      <c r="V703" s="231"/>
      <c r="W703" s="396">
        <v>282186</v>
      </c>
      <c r="X703" s="396">
        <v>-99710</v>
      </c>
      <c r="Y703" s="396"/>
      <c r="Z703" s="396"/>
    </row>
    <row r="704" spans="1:26">
      <c r="A704" s="390">
        <v>97701</v>
      </c>
      <c r="B704" s="391" t="s">
        <v>1400</v>
      </c>
      <c r="C704" s="234">
        <v>2.4559E-3</v>
      </c>
      <c r="D704" s="234">
        <v>2.392E-3</v>
      </c>
      <c r="E704" s="231">
        <v>3766358</v>
      </c>
      <c r="F704" s="231" t="s">
        <v>1924</v>
      </c>
      <c r="G704" s="392">
        <v>1198214</v>
      </c>
      <c r="H704" s="392">
        <v>0</v>
      </c>
      <c r="I704" s="392">
        <v>2366235</v>
      </c>
      <c r="J704" s="231">
        <v>89642</v>
      </c>
      <c r="K704" s="231">
        <v>3654091</v>
      </c>
      <c r="L704" s="231"/>
      <c r="M704" s="300">
        <v>0</v>
      </c>
      <c r="N704" s="300">
        <v>5380995</v>
      </c>
      <c r="O704" s="300">
        <v>0</v>
      </c>
      <c r="P704" s="231">
        <v>83430</v>
      </c>
      <c r="Q704" s="231">
        <v>5464425</v>
      </c>
      <c r="R704" s="231"/>
      <c r="S704" s="392">
        <v>1624927</v>
      </c>
      <c r="T704" s="231">
        <v>-5363</v>
      </c>
      <c r="U704" s="396">
        <v>1619564</v>
      </c>
      <c r="V704" s="231"/>
      <c r="W704" s="396">
        <v>14620690</v>
      </c>
      <c r="X704" s="396">
        <v>-5166175</v>
      </c>
      <c r="Y704" s="396"/>
      <c r="Z704" s="396"/>
    </row>
    <row r="705" spans="1:26">
      <c r="A705" s="390">
        <v>97705</v>
      </c>
      <c r="B705" s="391" t="s">
        <v>1401</v>
      </c>
      <c r="C705" s="234">
        <v>2.9300000000000001E-5</v>
      </c>
      <c r="D705" s="234">
        <v>3.1099999999999997E-5</v>
      </c>
      <c r="E705" s="231">
        <v>44934</v>
      </c>
      <c r="F705" s="231" t="s">
        <v>1924</v>
      </c>
      <c r="G705" s="392">
        <v>14295</v>
      </c>
      <c r="H705" s="392">
        <v>0</v>
      </c>
      <c r="I705" s="392">
        <v>28230</v>
      </c>
      <c r="J705" s="231">
        <v>8292</v>
      </c>
      <c r="K705" s="231">
        <v>50817</v>
      </c>
      <c r="L705" s="231"/>
      <c r="M705" s="300">
        <v>0</v>
      </c>
      <c r="N705" s="300">
        <v>64198</v>
      </c>
      <c r="O705" s="300">
        <v>0</v>
      </c>
      <c r="P705" s="231">
        <v>3333</v>
      </c>
      <c r="Q705" s="231">
        <v>67531</v>
      </c>
      <c r="R705" s="231"/>
      <c r="S705" s="392">
        <v>19386</v>
      </c>
      <c r="T705" s="231">
        <v>-975</v>
      </c>
      <c r="U705" s="396">
        <v>18411</v>
      </c>
      <c r="V705" s="231"/>
      <c r="W705" s="396">
        <v>174431</v>
      </c>
      <c r="X705" s="396">
        <v>-61635</v>
      </c>
      <c r="Y705" s="396"/>
      <c r="Z705" s="396"/>
    </row>
    <row r="706" spans="1:26">
      <c r="A706" s="390">
        <v>97711</v>
      </c>
      <c r="B706" s="391" t="s">
        <v>1402</v>
      </c>
      <c r="C706" s="234">
        <v>8.1419999999999995E-4</v>
      </c>
      <c r="D706" s="234">
        <v>8.3679999999999996E-4</v>
      </c>
      <c r="E706" s="231">
        <v>1248654</v>
      </c>
      <c r="F706" s="231" t="s">
        <v>1924</v>
      </c>
      <c r="G706" s="392">
        <v>397242</v>
      </c>
      <c r="H706" s="392">
        <v>0</v>
      </c>
      <c r="I706" s="392">
        <v>784474</v>
      </c>
      <c r="J706" s="231">
        <v>2747</v>
      </c>
      <c r="K706" s="231">
        <v>1184463</v>
      </c>
      <c r="L706" s="231"/>
      <c r="M706" s="300">
        <v>0</v>
      </c>
      <c r="N706" s="300">
        <v>1783951</v>
      </c>
      <c r="O706" s="300">
        <v>0</v>
      </c>
      <c r="P706" s="231">
        <v>38275</v>
      </c>
      <c r="Q706" s="231">
        <v>1822226</v>
      </c>
      <c r="R706" s="231"/>
      <c r="S706" s="392">
        <v>538709</v>
      </c>
      <c r="T706" s="231">
        <v>-17116</v>
      </c>
      <c r="U706" s="396">
        <v>521593</v>
      </c>
      <c r="V706" s="231"/>
      <c r="W706" s="396">
        <v>4847170</v>
      </c>
      <c r="X706" s="396">
        <v>-1712732</v>
      </c>
      <c r="Y706" s="396"/>
      <c r="Z706" s="396"/>
    </row>
    <row r="707" spans="1:26">
      <c r="A707" s="390">
        <v>97713</v>
      </c>
      <c r="B707" s="391" t="s">
        <v>1403</v>
      </c>
      <c r="C707" s="234">
        <v>6.1199999999999997E-5</v>
      </c>
      <c r="D707" s="234">
        <v>5.7899999999999998E-5</v>
      </c>
      <c r="E707" s="231">
        <v>93856</v>
      </c>
      <c r="F707" s="231" t="s">
        <v>1924</v>
      </c>
      <c r="G707" s="392">
        <v>29859</v>
      </c>
      <c r="H707" s="392">
        <v>0</v>
      </c>
      <c r="I707" s="392">
        <v>58966</v>
      </c>
      <c r="J707" s="231">
        <v>9610</v>
      </c>
      <c r="K707" s="231">
        <v>98435</v>
      </c>
      <c r="L707" s="231"/>
      <c r="M707" s="300">
        <v>0</v>
      </c>
      <c r="N707" s="300">
        <v>134092</v>
      </c>
      <c r="O707" s="300">
        <v>0</v>
      </c>
      <c r="P707" s="231">
        <v>344</v>
      </c>
      <c r="Q707" s="231">
        <v>134436</v>
      </c>
      <c r="R707" s="231"/>
      <c r="S707" s="392">
        <v>40492</v>
      </c>
      <c r="T707" s="231">
        <v>2105</v>
      </c>
      <c r="U707" s="396">
        <v>42597</v>
      </c>
      <c r="V707" s="231"/>
      <c r="W707" s="396">
        <v>364341</v>
      </c>
      <c r="X707" s="396">
        <v>-128739</v>
      </c>
      <c r="Y707" s="396"/>
      <c r="Z707" s="396"/>
    </row>
    <row r="708" spans="1:26">
      <c r="A708" s="390">
        <v>97717</v>
      </c>
      <c r="B708" s="391" t="s">
        <v>1404</v>
      </c>
      <c r="C708" s="234">
        <v>1.6399999999999999E-5</v>
      </c>
      <c r="D708" s="234">
        <v>5.5999999999999997E-6</v>
      </c>
      <c r="E708" s="231">
        <v>25151</v>
      </c>
      <c r="F708" s="231" t="s">
        <v>1924</v>
      </c>
      <c r="G708" s="392">
        <v>8001</v>
      </c>
      <c r="H708" s="392">
        <v>0</v>
      </c>
      <c r="I708" s="392">
        <v>15801</v>
      </c>
      <c r="J708" s="231">
        <v>19317</v>
      </c>
      <c r="K708" s="231">
        <v>43119</v>
      </c>
      <c r="L708" s="231"/>
      <c r="M708" s="300">
        <v>0</v>
      </c>
      <c r="N708" s="300">
        <v>35933</v>
      </c>
      <c r="O708" s="300">
        <v>0</v>
      </c>
      <c r="P708" s="231">
        <v>38</v>
      </c>
      <c r="Q708" s="231">
        <v>35971</v>
      </c>
      <c r="R708" s="231"/>
      <c r="S708" s="392">
        <v>10851</v>
      </c>
      <c r="T708" s="231">
        <v>6215</v>
      </c>
      <c r="U708" s="396">
        <v>17066</v>
      </c>
      <c r="V708" s="231"/>
      <c r="W708" s="396">
        <v>97634</v>
      </c>
      <c r="X708" s="396">
        <v>-34499</v>
      </c>
      <c r="Y708" s="396"/>
      <c r="Z708" s="396"/>
    </row>
    <row r="709" spans="1:26">
      <c r="A709" s="390">
        <v>97721</v>
      </c>
      <c r="B709" s="391" t="s">
        <v>1405</v>
      </c>
      <c r="C709" s="234">
        <v>4.7889999999999999E-4</v>
      </c>
      <c r="D709" s="234">
        <v>5.2959999999999997E-4</v>
      </c>
      <c r="E709" s="231">
        <v>734439</v>
      </c>
      <c r="F709" s="231" t="s">
        <v>1924</v>
      </c>
      <c r="G709" s="392">
        <v>233651</v>
      </c>
      <c r="H709" s="392">
        <v>0</v>
      </c>
      <c r="I709" s="392">
        <v>461415</v>
      </c>
      <c r="J709" s="231">
        <v>868</v>
      </c>
      <c r="K709" s="231">
        <v>695934</v>
      </c>
      <c r="L709" s="231"/>
      <c r="M709" s="300">
        <v>0</v>
      </c>
      <c r="N709" s="300">
        <v>1049293</v>
      </c>
      <c r="O709" s="300">
        <v>0</v>
      </c>
      <c r="P709" s="231">
        <v>148325</v>
      </c>
      <c r="Q709" s="231">
        <v>1197618</v>
      </c>
      <c r="R709" s="231"/>
      <c r="S709" s="392">
        <v>316860</v>
      </c>
      <c r="T709" s="231">
        <v>-59191</v>
      </c>
      <c r="U709" s="396">
        <v>257669</v>
      </c>
      <c r="V709" s="231"/>
      <c r="W709" s="396">
        <v>2851032</v>
      </c>
      <c r="X709" s="396">
        <v>-1007403</v>
      </c>
      <c r="Y709" s="396"/>
      <c r="Z709" s="396"/>
    </row>
    <row r="710" spans="1:26">
      <c r="A710" s="390">
        <v>97727</v>
      </c>
      <c r="B710" s="391" t="s">
        <v>1406</v>
      </c>
      <c r="C710" s="234">
        <v>2.0699999999999998E-5</v>
      </c>
      <c r="D710" s="234">
        <v>1.6900000000000001E-5</v>
      </c>
      <c r="E710" s="231">
        <v>31745</v>
      </c>
      <c r="F710" s="231" t="s">
        <v>1924</v>
      </c>
      <c r="G710" s="392">
        <v>10099</v>
      </c>
      <c r="H710" s="392">
        <v>0</v>
      </c>
      <c r="I710" s="392">
        <v>19944</v>
      </c>
      <c r="J710" s="231">
        <v>9762</v>
      </c>
      <c r="K710" s="231">
        <v>39805</v>
      </c>
      <c r="L710" s="231"/>
      <c r="M710" s="300">
        <v>0</v>
      </c>
      <c r="N710" s="300">
        <v>45355</v>
      </c>
      <c r="O710" s="300">
        <v>0</v>
      </c>
      <c r="P710" s="231">
        <v>177</v>
      </c>
      <c r="Q710" s="231">
        <v>45532</v>
      </c>
      <c r="R710" s="231"/>
      <c r="S710" s="392">
        <v>13696</v>
      </c>
      <c r="T710" s="231">
        <v>3083</v>
      </c>
      <c r="U710" s="396">
        <v>16779</v>
      </c>
      <c r="V710" s="231"/>
      <c r="W710" s="396">
        <v>123233</v>
      </c>
      <c r="X710" s="396">
        <v>-43544</v>
      </c>
      <c r="Y710" s="396"/>
      <c r="Z710" s="396"/>
    </row>
    <row r="711" spans="1:26">
      <c r="A711" s="390">
        <v>97731</v>
      </c>
      <c r="B711" s="391" t="s">
        <v>1407</v>
      </c>
      <c r="C711" s="234">
        <v>3.2299999999999999E-5</v>
      </c>
      <c r="D711" s="234">
        <v>3.8300000000000003E-5</v>
      </c>
      <c r="E711" s="231">
        <v>49535</v>
      </c>
      <c r="F711" s="231" t="s">
        <v>1924</v>
      </c>
      <c r="G711" s="392">
        <v>15759</v>
      </c>
      <c r="H711" s="392">
        <v>0</v>
      </c>
      <c r="I711" s="392">
        <v>31121</v>
      </c>
      <c r="J711" s="231">
        <v>3801</v>
      </c>
      <c r="K711" s="231">
        <v>50681</v>
      </c>
      <c r="L711" s="231"/>
      <c r="M711" s="300">
        <v>0</v>
      </c>
      <c r="N711" s="300">
        <v>70771</v>
      </c>
      <c r="O711" s="300">
        <v>0</v>
      </c>
      <c r="P711" s="231">
        <v>7014</v>
      </c>
      <c r="Q711" s="231">
        <v>77785</v>
      </c>
      <c r="R711" s="231"/>
      <c r="S711" s="392">
        <v>21371</v>
      </c>
      <c r="T711" s="231">
        <v>-108</v>
      </c>
      <c r="U711" s="396">
        <v>21263</v>
      </c>
      <c r="V711" s="231"/>
      <c r="W711" s="396">
        <v>192291</v>
      </c>
      <c r="X711" s="396">
        <v>-67946</v>
      </c>
      <c r="Y711" s="396"/>
      <c r="Z711" s="396"/>
    </row>
    <row r="712" spans="1:26">
      <c r="A712" s="390">
        <v>97801</v>
      </c>
      <c r="B712" s="391" t="s">
        <v>1940</v>
      </c>
      <c r="C712" s="234">
        <v>6.0962000000000004E-3</v>
      </c>
      <c r="D712" s="234">
        <v>6.2462999999999998E-3</v>
      </c>
      <c r="E712" s="231">
        <v>9349108</v>
      </c>
      <c r="F712" s="231" t="s">
        <v>1924</v>
      </c>
      <c r="G712" s="392">
        <v>2974287</v>
      </c>
      <c r="H712" s="392">
        <v>0</v>
      </c>
      <c r="I712" s="392">
        <v>5873628</v>
      </c>
      <c r="J712" s="231">
        <v>363734</v>
      </c>
      <c r="K712" s="231">
        <v>9211649</v>
      </c>
      <c r="L712" s="231"/>
      <c r="M712" s="300">
        <v>0</v>
      </c>
      <c r="N712" s="300">
        <v>13357067</v>
      </c>
      <c r="O712" s="300">
        <v>0</v>
      </c>
      <c r="P712" s="231">
        <v>223342</v>
      </c>
      <c r="Q712" s="231">
        <v>13580409</v>
      </c>
      <c r="R712" s="231"/>
      <c r="S712" s="392">
        <v>4033502</v>
      </c>
      <c r="T712" s="231">
        <v>-24543</v>
      </c>
      <c r="U712" s="396">
        <v>4008959</v>
      </c>
      <c r="V712" s="231"/>
      <c r="W712" s="396">
        <v>36292459</v>
      </c>
      <c r="X712" s="396">
        <v>-12823826</v>
      </c>
      <c r="Y712" s="396"/>
      <c r="Z712" s="396"/>
    </row>
    <row r="713" spans="1:26">
      <c r="A713" s="390">
        <v>97802</v>
      </c>
      <c r="B713" s="391" t="s">
        <v>1409</v>
      </c>
      <c r="C713" s="234">
        <v>1.5919999999999999E-4</v>
      </c>
      <c r="D713" s="234">
        <v>1.5880000000000001E-4</v>
      </c>
      <c r="E713" s="231">
        <v>244148</v>
      </c>
      <c r="F713" s="231" t="s">
        <v>1924</v>
      </c>
      <c r="G713" s="392">
        <v>77672</v>
      </c>
      <c r="H713" s="392">
        <v>0</v>
      </c>
      <c r="I713" s="392">
        <v>153388</v>
      </c>
      <c r="J713" s="231">
        <v>9635</v>
      </c>
      <c r="K713" s="231">
        <v>240695</v>
      </c>
      <c r="L713" s="231"/>
      <c r="M713" s="300">
        <v>0</v>
      </c>
      <c r="N713" s="300">
        <v>348815</v>
      </c>
      <c r="O713" s="300">
        <v>0</v>
      </c>
      <c r="P713" s="231">
        <v>27900</v>
      </c>
      <c r="Q713" s="231">
        <v>376715</v>
      </c>
      <c r="R713" s="231"/>
      <c r="S713" s="392">
        <v>105333</v>
      </c>
      <c r="T713" s="231">
        <v>-10767</v>
      </c>
      <c r="U713" s="396">
        <v>94566</v>
      </c>
      <c r="V713" s="231"/>
      <c r="W713" s="396">
        <v>947764</v>
      </c>
      <c r="X713" s="396">
        <v>-334889</v>
      </c>
      <c r="Y713" s="396"/>
      <c r="Z713" s="396"/>
    </row>
    <row r="714" spans="1:26">
      <c r="A714" s="390">
        <v>97803</v>
      </c>
      <c r="B714" s="391" t="s">
        <v>1410</v>
      </c>
      <c r="C714" s="234">
        <v>7.86E-5</v>
      </c>
      <c r="D714" s="234">
        <v>7.2999999999999999E-5</v>
      </c>
      <c r="E714" s="231">
        <v>120541</v>
      </c>
      <c r="F714" s="231" t="s">
        <v>1924</v>
      </c>
      <c r="G714" s="392">
        <v>38348</v>
      </c>
      <c r="H714" s="392">
        <v>0</v>
      </c>
      <c r="I714" s="392">
        <v>75730</v>
      </c>
      <c r="J714" s="231">
        <v>14233</v>
      </c>
      <c r="K714" s="231">
        <v>128311</v>
      </c>
      <c r="L714" s="231"/>
      <c r="M714" s="300">
        <v>0</v>
      </c>
      <c r="N714" s="300">
        <v>172216</v>
      </c>
      <c r="O714" s="300">
        <v>0</v>
      </c>
      <c r="P714" s="231">
        <v>4459</v>
      </c>
      <c r="Q714" s="231">
        <v>176675</v>
      </c>
      <c r="R714" s="231"/>
      <c r="S714" s="392">
        <v>52005</v>
      </c>
      <c r="T714" s="231">
        <v>3282</v>
      </c>
      <c r="U714" s="396">
        <v>55287</v>
      </c>
      <c r="V714" s="231"/>
      <c r="W714" s="396">
        <v>467929</v>
      </c>
      <c r="X714" s="396">
        <v>-165341</v>
      </c>
      <c r="Y714" s="396"/>
      <c r="Z714" s="396"/>
    </row>
    <row r="715" spans="1:26">
      <c r="A715" s="390">
        <v>97805</v>
      </c>
      <c r="B715" s="391" t="s">
        <v>1411</v>
      </c>
      <c r="C715" s="234">
        <v>8.0400000000000003E-5</v>
      </c>
      <c r="D715" s="234">
        <v>8.6299999999999997E-5</v>
      </c>
      <c r="E715" s="231">
        <v>123301</v>
      </c>
      <c r="F715" s="231" t="s">
        <v>1924</v>
      </c>
      <c r="G715" s="392">
        <v>39227</v>
      </c>
      <c r="H715" s="392">
        <v>0</v>
      </c>
      <c r="I715" s="392">
        <v>77465</v>
      </c>
      <c r="J715" s="231">
        <v>2566</v>
      </c>
      <c r="K715" s="231">
        <v>119258</v>
      </c>
      <c r="L715" s="231"/>
      <c r="M715" s="300">
        <v>0</v>
      </c>
      <c r="N715" s="300">
        <v>176160</v>
      </c>
      <c r="O715" s="300">
        <v>0</v>
      </c>
      <c r="P715" s="231">
        <v>12149</v>
      </c>
      <c r="Q715" s="231">
        <v>188309</v>
      </c>
      <c r="R715" s="231"/>
      <c r="S715" s="392">
        <v>53196</v>
      </c>
      <c r="T715" s="231">
        <v>-2392</v>
      </c>
      <c r="U715" s="396">
        <v>50804</v>
      </c>
      <c r="V715" s="231"/>
      <c r="W715" s="396">
        <v>478645</v>
      </c>
      <c r="X715" s="396">
        <v>-169128</v>
      </c>
      <c r="Y715" s="396"/>
      <c r="Z715" s="396"/>
    </row>
    <row r="716" spans="1:26">
      <c r="A716" s="390">
        <v>97811</v>
      </c>
      <c r="B716" s="391" t="s">
        <v>1412</v>
      </c>
      <c r="C716" s="234">
        <v>2.2604000000000001E-3</v>
      </c>
      <c r="D716" s="234">
        <v>2.2964000000000001E-3</v>
      </c>
      <c r="E716" s="231">
        <v>3466540</v>
      </c>
      <c r="F716" s="231" t="s">
        <v>1924</v>
      </c>
      <c r="G716" s="392">
        <v>1102831</v>
      </c>
      <c r="H716" s="392">
        <v>0</v>
      </c>
      <c r="I716" s="392">
        <v>2177873</v>
      </c>
      <c r="J716" s="231">
        <v>0</v>
      </c>
      <c r="K716" s="231">
        <v>3280704</v>
      </c>
      <c r="L716" s="231"/>
      <c r="M716" s="300">
        <v>0</v>
      </c>
      <c r="N716" s="300">
        <v>4952645</v>
      </c>
      <c r="O716" s="300">
        <v>0</v>
      </c>
      <c r="P716" s="231">
        <v>176018</v>
      </c>
      <c r="Q716" s="231">
        <v>5128663</v>
      </c>
      <c r="R716" s="231"/>
      <c r="S716" s="392">
        <v>1495576</v>
      </c>
      <c r="T716" s="231">
        <v>-74667</v>
      </c>
      <c r="U716" s="396">
        <v>1420909</v>
      </c>
      <c r="V716" s="231"/>
      <c r="W716" s="396">
        <v>13456821</v>
      </c>
      <c r="X716" s="396">
        <v>-4754925</v>
      </c>
      <c r="Y716" s="396"/>
      <c r="Z716" s="396"/>
    </row>
    <row r="717" spans="1:26">
      <c r="A717" s="390">
        <v>97817</v>
      </c>
      <c r="B717" s="391" t="s">
        <v>1413</v>
      </c>
      <c r="C717" s="234">
        <v>2.0400000000000001E-5</v>
      </c>
      <c r="D717" s="234">
        <v>1.9300000000000002E-5</v>
      </c>
      <c r="E717" s="231">
        <v>31285</v>
      </c>
      <c r="F717" s="231" t="s">
        <v>1924</v>
      </c>
      <c r="G717" s="392">
        <v>9953</v>
      </c>
      <c r="H717" s="392">
        <v>0</v>
      </c>
      <c r="I717" s="392">
        <v>19655</v>
      </c>
      <c r="J717" s="231">
        <v>12047</v>
      </c>
      <c r="K717" s="231">
        <v>41655</v>
      </c>
      <c r="L717" s="231"/>
      <c r="M717" s="300">
        <v>0</v>
      </c>
      <c r="N717" s="300">
        <v>44697</v>
      </c>
      <c r="O717" s="300">
        <v>0</v>
      </c>
      <c r="P717" s="231">
        <v>0</v>
      </c>
      <c r="Q717" s="231">
        <v>44697</v>
      </c>
      <c r="R717" s="231"/>
      <c r="S717" s="392">
        <v>13497</v>
      </c>
      <c r="T717" s="231">
        <v>9021</v>
      </c>
      <c r="U717" s="396">
        <v>22518</v>
      </c>
      <c r="V717" s="231"/>
      <c r="W717" s="396">
        <v>121447</v>
      </c>
      <c r="X717" s="396">
        <v>-42913</v>
      </c>
      <c r="Y717" s="396"/>
      <c r="Z717" s="396"/>
    </row>
    <row r="718" spans="1:26">
      <c r="A718" s="390">
        <v>97818</v>
      </c>
      <c r="B718" s="391" t="s">
        <v>1414</v>
      </c>
      <c r="C718" s="234">
        <v>1.49E-5</v>
      </c>
      <c r="D718" s="234">
        <v>1.6500000000000001E-5</v>
      </c>
      <c r="E718" s="231">
        <v>22851</v>
      </c>
      <c r="F718" s="231" t="s">
        <v>1924</v>
      </c>
      <c r="G718" s="392">
        <v>7270</v>
      </c>
      <c r="H718" s="392">
        <v>0</v>
      </c>
      <c r="I718" s="392">
        <v>14356</v>
      </c>
      <c r="J718" s="231">
        <v>3251</v>
      </c>
      <c r="K718" s="231">
        <v>24877</v>
      </c>
      <c r="L718" s="231"/>
      <c r="M718" s="300">
        <v>0</v>
      </c>
      <c r="N718" s="300">
        <v>32647</v>
      </c>
      <c r="O718" s="300">
        <v>0</v>
      </c>
      <c r="P718" s="231">
        <v>4694</v>
      </c>
      <c r="Q718" s="231">
        <v>37341</v>
      </c>
      <c r="R718" s="231"/>
      <c r="S718" s="392">
        <v>9858</v>
      </c>
      <c r="T718" s="231">
        <v>-998</v>
      </c>
      <c r="U718" s="396">
        <v>8860</v>
      </c>
      <c r="V718" s="231"/>
      <c r="W718" s="396">
        <v>88704</v>
      </c>
      <c r="X718" s="396">
        <v>-31343</v>
      </c>
      <c r="Y718" s="396"/>
      <c r="Z718" s="396"/>
    </row>
    <row r="719" spans="1:26">
      <c r="A719" s="390">
        <v>97821</v>
      </c>
      <c r="B719" s="391" t="s">
        <v>1415</v>
      </c>
      <c r="C719" s="234">
        <v>1.2430000000000001E-4</v>
      </c>
      <c r="D719" s="234">
        <v>1.038E-4</v>
      </c>
      <c r="E719" s="231">
        <v>190626</v>
      </c>
      <c r="F719" s="231" t="s">
        <v>1924</v>
      </c>
      <c r="G719" s="392">
        <v>60645</v>
      </c>
      <c r="H719" s="392">
        <v>0</v>
      </c>
      <c r="I719" s="392">
        <v>119762</v>
      </c>
      <c r="J719" s="231">
        <v>48874</v>
      </c>
      <c r="K719" s="231">
        <v>229281</v>
      </c>
      <c r="L719" s="231"/>
      <c r="M719" s="300">
        <v>0</v>
      </c>
      <c r="N719" s="300">
        <v>272347</v>
      </c>
      <c r="O719" s="300">
        <v>0</v>
      </c>
      <c r="P719" s="231">
        <v>18224</v>
      </c>
      <c r="Q719" s="231">
        <v>290571</v>
      </c>
      <c r="R719" s="231"/>
      <c r="S719" s="392">
        <v>82242</v>
      </c>
      <c r="T719" s="231">
        <v>11903</v>
      </c>
      <c r="U719" s="396">
        <v>94145</v>
      </c>
      <c r="V719" s="231"/>
      <c r="W719" s="396">
        <v>739994</v>
      </c>
      <c r="X719" s="396">
        <v>-261475</v>
      </c>
      <c r="Y719" s="396"/>
      <c r="Z719" s="396"/>
    </row>
    <row r="720" spans="1:26">
      <c r="A720" s="390">
        <v>97823</v>
      </c>
      <c r="B720" s="391" t="s">
        <v>1416</v>
      </c>
      <c r="C720" s="234">
        <v>1.9000000000000001E-5</v>
      </c>
      <c r="D720" s="234">
        <v>1.91E-5</v>
      </c>
      <c r="E720" s="231">
        <v>29138</v>
      </c>
      <c r="F720" s="231" t="s">
        <v>1924</v>
      </c>
      <c r="G720" s="392">
        <v>9270</v>
      </c>
      <c r="H720" s="392">
        <v>0</v>
      </c>
      <c r="I720" s="392">
        <v>18306</v>
      </c>
      <c r="J720" s="231">
        <v>8397</v>
      </c>
      <c r="K720" s="231">
        <v>35973</v>
      </c>
      <c r="L720" s="231"/>
      <c r="M720" s="300">
        <v>0</v>
      </c>
      <c r="N720" s="300">
        <v>41630</v>
      </c>
      <c r="O720" s="300">
        <v>0</v>
      </c>
      <c r="P720" s="231">
        <v>525</v>
      </c>
      <c r="Q720" s="231">
        <v>42155</v>
      </c>
      <c r="R720" s="231"/>
      <c r="S720" s="392">
        <v>12571</v>
      </c>
      <c r="T720" s="231">
        <v>3586</v>
      </c>
      <c r="U720" s="396">
        <v>16157</v>
      </c>
      <c r="V720" s="231"/>
      <c r="W720" s="396">
        <v>113113</v>
      </c>
      <c r="X720" s="396">
        <v>-39968</v>
      </c>
      <c r="Y720" s="396"/>
      <c r="Z720" s="396"/>
    </row>
    <row r="721" spans="1:26">
      <c r="A721" s="390">
        <v>97831</v>
      </c>
      <c r="B721" s="391" t="s">
        <v>1417</v>
      </c>
      <c r="C721" s="234">
        <v>1.9469999999999999E-4</v>
      </c>
      <c r="D721" s="234">
        <v>1.8760000000000001E-4</v>
      </c>
      <c r="E721" s="231">
        <v>298591</v>
      </c>
      <c r="F721" s="231" t="s">
        <v>1924</v>
      </c>
      <c r="G721" s="392">
        <v>94993</v>
      </c>
      <c r="H721" s="392">
        <v>0</v>
      </c>
      <c r="I721" s="392">
        <v>187592</v>
      </c>
      <c r="J721" s="231">
        <v>43343</v>
      </c>
      <c r="K721" s="231">
        <v>325928</v>
      </c>
      <c r="L721" s="231"/>
      <c r="M721" s="300">
        <v>0</v>
      </c>
      <c r="N721" s="300">
        <v>426597</v>
      </c>
      <c r="O721" s="300">
        <v>0</v>
      </c>
      <c r="P721" s="231">
        <v>826</v>
      </c>
      <c r="Q721" s="231">
        <v>427423</v>
      </c>
      <c r="R721" s="231"/>
      <c r="S721" s="392">
        <v>128822</v>
      </c>
      <c r="T721" s="231">
        <v>22850</v>
      </c>
      <c r="U721" s="396">
        <v>151672</v>
      </c>
      <c r="V721" s="231"/>
      <c r="W721" s="396">
        <v>1159106</v>
      </c>
      <c r="X721" s="396">
        <v>-409566</v>
      </c>
      <c r="Y721" s="396"/>
      <c r="Z721" s="396"/>
    </row>
    <row r="722" spans="1:26">
      <c r="A722" s="390">
        <v>97837</v>
      </c>
      <c r="B722" s="391" t="s">
        <v>1418</v>
      </c>
      <c r="C722" s="234">
        <v>1.3699999999999999E-5</v>
      </c>
      <c r="D722" s="234">
        <v>8.4999999999999999E-6</v>
      </c>
      <c r="E722" s="231">
        <v>21010</v>
      </c>
      <c r="F722" s="231" t="s">
        <v>1924</v>
      </c>
      <c r="G722" s="392">
        <v>6684</v>
      </c>
      <c r="H722" s="392">
        <v>0</v>
      </c>
      <c r="I722" s="392">
        <v>13200</v>
      </c>
      <c r="J722" s="231">
        <v>8270</v>
      </c>
      <c r="K722" s="231">
        <v>28154</v>
      </c>
      <c r="L722" s="231"/>
      <c r="M722" s="300">
        <v>0</v>
      </c>
      <c r="N722" s="300">
        <v>30017</v>
      </c>
      <c r="O722" s="300">
        <v>0</v>
      </c>
      <c r="P722" s="231">
        <v>1602</v>
      </c>
      <c r="Q722" s="231">
        <v>31619</v>
      </c>
      <c r="R722" s="231"/>
      <c r="S722" s="392">
        <v>9064</v>
      </c>
      <c r="T722" s="231">
        <v>2748</v>
      </c>
      <c r="U722" s="396">
        <v>11812</v>
      </c>
      <c r="V722" s="231"/>
      <c r="W722" s="396">
        <v>81560</v>
      </c>
      <c r="X722" s="396">
        <v>-28819</v>
      </c>
      <c r="Y722" s="396"/>
      <c r="Z722" s="396"/>
    </row>
    <row r="723" spans="1:26">
      <c r="A723" s="390">
        <v>97840</v>
      </c>
      <c r="B723" s="391" t="s">
        <v>1419</v>
      </c>
      <c r="C723" s="234">
        <v>1.3679999999999999E-4</v>
      </c>
      <c r="D723" s="234">
        <v>1.3219999999999999E-4</v>
      </c>
      <c r="E723" s="231">
        <v>209796</v>
      </c>
      <c r="F723" s="231" t="s">
        <v>1924</v>
      </c>
      <c r="G723" s="392">
        <v>66744</v>
      </c>
      <c r="H723" s="392">
        <v>0</v>
      </c>
      <c r="I723" s="392">
        <v>131805</v>
      </c>
      <c r="J723" s="231">
        <v>98629</v>
      </c>
      <c r="K723" s="231">
        <v>297178</v>
      </c>
      <c r="L723" s="231"/>
      <c r="M723" s="300">
        <v>0</v>
      </c>
      <c r="N723" s="300">
        <v>299735</v>
      </c>
      <c r="O723" s="300">
        <v>0</v>
      </c>
      <c r="P723" s="231">
        <v>0</v>
      </c>
      <c r="Q723" s="231">
        <v>299735</v>
      </c>
      <c r="R723" s="231"/>
      <c r="S723" s="392">
        <v>90513</v>
      </c>
      <c r="T723" s="231">
        <v>53750</v>
      </c>
      <c r="U723" s="396">
        <v>144263</v>
      </c>
      <c r="V723" s="231"/>
      <c r="W723" s="396">
        <v>814410</v>
      </c>
      <c r="X723" s="396">
        <v>-287769</v>
      </c>
      <c r="Y723" s="396"/>
      <c r="Z723" s="396"/>
    </row>
    <row r="724" spans="1:26">
      <c r="A724" s="390">
        <v>97841</v>
      </c>
      <c r="B724" s="391" t="s">
        <v>1420</v>
      </c>
      <c r="C724" s="234">
        <v>1.3499999999999999E-5</v>
      </c>
      <c r="D724" s="234">
        <v>1.4100000000000001E-5</v>
      </c>
      <c r="E724" s="231">
        <v>20704</v>
      </c>
      <c r="F724" s="231" t="s">
        <v>1924</v>
      </c>
      <c r="G724" s="392">
        <v>6587</v>
      </c>
      <c r="H724" s="392">
        <v>0</v>
      </c>
      <c r="I724" s="392">
        <v>13007</v>
      </c>
      <c r="J724" s="231">
        <v>1883</v>
      </c>
      <c r="K724" s="231">
        <v>21477</v>
      </c>
      <c r="L724" s="231"/>
      <c r="M724" s="300">
        <v>0</v>
      </c>
      <c r="N724" s="300">
        <v>29579</v>
      </c>
      <c r="O724" s="300">
        <v>0</v>
      </c>
      <c r="P724" s="231">
        <v>16</v>
      </c>
      <c r="Q724" s="231">
        <v>29595</v>
      </c>
      <c r="R724" s="231"/>
      <c r="S724" s="392">
        <v>8932</v>
      </c>
      <c r="T724" s="231">
        <v>629</v>
      </c>
      <c r="U724" s="396">
        <v>9561</v>
      </c>
      <c r="V724" s="231"/>
      <c r="W724" s="396">
        <v>80369</v>
      </c>
      <c r="X724" s="396">
        <v>-28398</v>
      </c>
      <c r="Y724" s="396"/>
      <c r="Z724" s="396"/>
    </row>
    <row r="725" spans="1:26">
      <c r="A725" s="390">
        <v>97847</v>
      </c>
      <c r="B725" s="391" t="s">
        <v>1421</v>
      </c>
      <c r="C725" s="234">
        <v>2.0999999999999998E-6</v>
      </c>
      <c r="D725" s="234">
        <v>1.7999999999999999E-6</v>
      </c>
      <c r="E725" s="231">
        <v>3221</v>
      </c>
      <c r="F725" s="231" t="s">
        <v>1924</v>
      </c>
      <c r="G725" s="392">
        <v>1025</v>
      </c>
      <c r="H725" s="392">
        <v>0</v>
      </c>
      <c r="I725" s="392">
        <v>2023</v>
      </c>
      <c r="J725" s="231">
        <v>4105</v>
      </c>
      <c r="K725" s="231">
        <v>7153</v>
      </c>
      <c r="L725" s="231"/>
      <c r="M725" s="300">
        <v>0</v>
      </c>
      <c r="N725" s="300">
        <v>4601</v>
      </c>
      <c r="O725" s="300">
        <v>0</v>
      </c>
      <c r="P725" s="231">
        <v>0</v>
      </c>
      <c r="Q725" s="231">
        <v>4601</v>
      </c>
      <c r="R725" s="231"/>
      <c r="S725" s="392">
        <v>1389</v>
      </c>
      <c r="T725" s="231">
        <v>2067</v>
      </c>
      <c r="U725" s="396">
        <v>3456</v>
      </c>
      <c r="V725" s="231"/>
      <c r="W725" s="396">
        <v>12502</v>
      </c>
      <c r="X725" s="396">
        <v>-4418</v>
      </c>
      <c r="Y725" s="396"/>
      <c r="Z725" s="396"/>
    </row>
    <row r="726" spans="1:26">
      <c r="A726" s="390">
        <v>97851</v>
      </c>
      <c r="B726" s="391" t="s">
        <v>1422</v>
      </c>
      <c r="C726" s="234">
        <v>2.6120000000000001E-4</v>
      </c>
      <c r="D726" s="234">
        <v>2.5589999999999999E-4</v>
      </c>
      <c r="E726" s="231">
        <v>400575</v>
      </c>
      <c r="F726" s="231" t="s">
        <v>1924</v>
      </c>
      <c r="G726" s="392">
        <v>127437</v>
      </c>
      <c r="H726" s="392">
        <v>0</v>
      </c>
      <c r="I726" s="392">
        <v>251664</v>
      </c>
      <c r="J726" s="231">
        <v>0</v>
      </c>
      <c r="K726" s="231">
        <v>379101</v>
      </c>
      <c r="L726" s="231"/>
      <c r="M726" s="300">
        <v>0</v>
      </c>
      <c r="N726" s="300">
        <v>572302</v>
      </c>
      <c r="O726" s="300">
        <v>0</v>
      </c>
      <c r="P726" s="231">
        <v>41328</v>
      </c>
      <c r="Q726" s="231">
        <v>613630</v>
      </c>
      <c r="R726" s="231"/>
      <c r="S726" s="392">
        <v>172821</v>
      </c>
      <c r="T726" s="231">
        <v>-23632</v>
      </c>
      <c r="U726" s="396">
        <v>149189</v>
      </c>
      <c r="V726" s="231"/>
      <c r="W726" s="396">
        <v>1555000</v>
      </c>
      <c r="X726" s="396">
        <v>-549454</v>
      </c>
      <c r="Y726" s="396"/>
      <c r="Z726" s="396"/>
    </row>
    <row r="727" spans="1:26">
      <c r="A727" s="390">
        <v>97853</v>
      </c>
      <c r="B727" s="391" t="s">
        <v>1423</v>
      </c>
      <c r="C727" s="234">
        <v>8.53E-5</v>
      </c>
      <c r="D727" s="234">
        <v>7.6600000000000005E-5</v>
      </c>
      <c r="E727" s="231">
        <v>130816</v>
      </c>
      <c r="F727" s="231" t="s">
        <v>1924</v>
      </c>
      <c r="G727" s="392">
        <v>41617</v>
      </c>
      <c r="H727" s="392">
        <v>0</v>
      </c>
      <c r="I727" s="392">
        <v>82186</v>
      </c>
      <c r="J727" s="231">
        <v>10004</v>
      </c>
      <c r="K727" s="231">
        <v>133807</v>
      </c>
      <c r="L727" s="231"/>
      <c r="M727" s="300">
        <v>0</v>
      </c>
      <c r="N727" s="300">
        <v>186896</v>
      </c>
      <c r="O727" s="300">
        <v>0</v>
      </c>
      <c r="P727" s="231">
        <v>13719</v>
      </c>
      <c r="Q727" s="231">
        <v>200615</v>
      </c>
      <c r="R727" s="231"/>
      <c r="S727" s="392">
        <v>56438</v>
      </c>
      <c r="T727" s="231">
        <v>-3730</v>
      </c>
      <c r="U727" s="396">
        <v>52708</v>
      </c>
      <c r="V727" s="231"/>
      <c r="W727" s="396">
        <v>507816</v>
      </c>
      <c r="X727" s="396">
        <v>-179435</v>
      </c>
      <c r="Y727" s="396"/>
      <c r="Z727" s="396"/>
    </row>
    <row r="728" spans="1:26">
      <c r="A728" s="390">
        <v>97861</v>
      </c>
      <c r="B728" s="391" t="s">
        <v>1424</v>
      </c>
      <c r="C728" s="234">
        <v>5.24E-5</v>
      </c>
      <c r="D728" s="234">
        <v>4.4700000000000002E-5</v>
      </c>
      <c r="E728" s="231">
        <v>80360</v>
      </c>
      <c r="F728" s="231" t="s">
        <v>1924</v>
      </c>
      <c r="G728" s="392">
        <v>25566</v>
      </c>
      <c r="H728" s="392">
        <v>0</v>
      </c>
      <c r="I728" s="392">
        <v>50487</v>
      </c>
      <c r="J728" s="231">
        <v>26180</v>
      </c>
      <c r="K728" s="231">
        <v>102233</v>
      </c>
      <c r="L728" s="231"/>
      <c r="M728" s="300">
        <v>0</v>
      </c>
      <c r="N728" s="300">
        <v>114811</v>
      </c>
      <c r="O728" s="300">
        <v>0</v>
      </c>
      <c r="P728" s="231">
        <v>3133</v>
      </c>
      <c r="Q728" s="231">
        <v>117944</v>
      </c>
      <c r="R728" s="231"/>
      <c r="S728" s="392">
        <v>34670</v>
      </c>
      <c r="T728" s="231">
        <v>6085</v>
      </c>
      <c r="U728" s="396">
        <v>40755</v>
      </c>
      <c r="V728" s="231"/>
      <c r="W728" s="396">
        <v>311953</v>
      </c>
      <c r="X728" s="396">
        <v>-110227</v>
      </c>
      <c r="Y728" s="396"/>
      <c r="Z728" s="396"/>
    </row>
    <row r="729" spans="1:26">
      <c r="A729" s="390">
        <v>97871</v>
      </c>
      <c r="B729" s="391" t="s">
        <v>1425</v>
      </c>
      <c r="C729" s="234">
        <v>3.1339999999999997E-4</v>
      </c>
      <c r="D729" s="234">
        <v>2.6209999999999997E-4</v>
      </c>
      <c r="E729" s="231">
        <v>480629</v>
      </c>
      <c r="F729" s="231" t="s">
        <v>1924</v>
      </c>
      <c r="G729" s="392">
        <v>152905</v>
      </c>
      <c r="H729" s="392">
        <v>0</v>
      </c>
      <c r="I729" s="392">
        <v>301958</v>
      </c>
      <c r="J729" s="231">
        <v>286619</v>
      </c>
      <c r="K729" s="231">
        <v>741482</v>
      </c>
      <c r="L729" s="231"/>
      <c r="M729" s="300">
        <v>0</v>
      </c>
      <c r="N729" s="300">
        <v>686674</v>
      </c>
      <c r="O729" s="300">
        <v>0</v>
      </c>
      <c r="P729" s="231">
        <v>21720</v>
      </c>
      <c r="Q729" s="231">
        <v>708394</v>
      </c>
      <c r="R729" s="231"/>
      <c r="S729" s="392">
        <v>207359</v>
      </c>
      <c r="T729" s="231">
        <v>138740</v>
      </c>
      <c r="U729" s="396">
        <v>346099</v>
      </c>
      <c r="V729" s="231"/>
      <c r="W729" s="396">
        <v>1865762</v>
      </c>
      <c r="X729" s="396">
        <v>-659261</v>
      </c>
      <c r="Y729" s="396"/>
      <c r="Z729" s="396"/>
    </row>
    <row r="730" spans="1:26">
      <c r="A730" s="390">
        <v>97877</v>
      </c>
      <c r="B730" s="391" t="s">
        <v>1426</v>
      </c>
      <c r="C730" s="234">
        <v>9.5000000000000005E-6</v>
      </c>
      <c r="D730" s="234">
        <v>8.8999999999999995E-6</v>
      </c>
      <c r="E730" s="231">
        <v>14569</v>
      </c>
      <c r="F730" s="231" t="s">
        <v>1924</v>
      </c>
      <c r="G730" s="392">
        <v>4635</v>
      </c>
      <c r="H730" s="392">
        <v>0</v>
      </c>
      <c r="I730" s="392">
        <v>9153</v>
      </c>
      <c r="J730" s="231">
        <v>6307</v>
      </c>
      <c r="K730" s="231">
        <v>20095</v>
      </c>
      <c r="L730" s="231"/>
      <c r="M730" s="300">
        <v>0</v>
      </c>
      <c r="N730" s="300">
        <v>20815</v>
      </c>
      <c r="O730" s="300">
        <v>0</v>
      </c>
      <c r="P730" s="231">
        <v>0</v>
      </c>
      <c r="Q730" s="231">
        <v>20815</v>
      </c>
      <c r="R730" s="231"/>
      <c r="S730" s="392">
        <v>6286</v>
      </c>
      <c r="T730" s="231">
        <v>3253</v>
      </c>
      <c r="U730" s="396">
        <v>9539</v>
      </c>
      <c r="V730" s="231"/>
      <c r="W730" s="396">
        <v>56556</v>
      </c>
      <c r="X730" s="396">
        <v>-19984</v>
      </c>
      <c r="Y730" s="396"/>
      <c r="Z730" s="396"/>
    </row>
    <row r="731" spans="1:26">
      <c r="A731" s="390">
        <v>97901</v>
      </c>
      <c r="B731" s="391" t="s">
        <v>1427</v>
      </c>
      <c r="C731" s="234">
        <v>3.7361E-3</v>
      </c>
      <c r="D731" s="234">
        <v>3.8295999999999998E-3</v>
      </c>
      <c r="E731" s="231">
        <v>5729668</v>
      </c>
      <c r="F731" s="231" t="s">
        <v>1924</v>
      </c>
      <c r="G731" s="392">
        <v>1822813</v>
      </c>
      <c r="H731" s="392">
        <v>0</v>
      </c>
      <c r="I731" s="392">
        <v>3599695</v>
      </c>
      <c r="J731" s="231">
        <v>0</v>
      </c>
      <c r="K731" s="231">
        <v>5422508</v>
      </c>
      <c r="L731" s="231"/>
      <c r="M731" s="300">
        <v>0</v>
      </c>
      <c r="N731" s="300">
        <v>8185974</v>
      </c>
      <c r="O731" s="300">
        <v>0</v>
      </c>
      <c r="P731" s="231">
        <v>364576</v>
      </c>
      <c r="Q731" s="231">
        <v>8550550</v>
      </c>
      <c r="R731" s="231"/>
      <c r="S731" s="392">
        <v>2471961</v>
      </c>
      <c r="T731" s="231">
        <v>-154685</v>
      </c>
      <c r="U731" s="396">
        <v>2317276</v>
      </c>
      <c r="V731" s="231"/>
      <c r="W731" s="396">
        <v>22242094</v>
      </c>
      <c r="X731" s="396">
        <v>-7859174</v>
      </c>
      <c r="Y731" s="396"/>
      <c r="Z731" s="396"/>
    </row>
    <row r="732" spans="1:26">
      <c r="A732" s="390">
        <v>97911</v>
      </c>
      <c r="B732" s="391" t="s">
        <v>1428</v>
      </c>
      <c r="C732" s="234">
        <v>1.1257999999999999E-3</v>
      </c>
      <c r="D732" s="234">
        <v>1.2029E-3</v>
      </c>
      <c r="E732" s="231">
        <v>1726522</v>
      </c>
      <c r="F732" s="231" t="s">
        <v>1924</v>
      </c>
      <c r="G732" s="392">
        <v>549269</v>
      </c>
      <c r="H732" s="392">
        <v>0</v>
      </c>
      <c r="I732" s="392">
        <v>1084697</v>
      </c>
      <c r="J732" s="231">
        <v>28129</v>
      </c>
      <c r="K732" s="231">
        <v>1662095</v>
      </c>
      <c r="L732" s="231"/>
      <c r="M732" s="300">
        <v>0</v>
      </c>
      <c r="N732" s="300">
        <v>2466682</v>
      </c>
      <c r="O732" s="300">
        <v>0</v>
      </c>
      <c r="P732" s="231">
        <v>99632</v>
      </c>
      <c r="Q732" s="231">
        <v>2566314</v>
      </c>
      <c r="R732" s="231"/>
      <c r="S732" s="392">
        <v>744877</v>
      </c>
      <c r="T732" s="231">
        <v>-20916</v>
      </c>
      <c r="U732" s="396">
        <v>723961</v>
      </c>
      <c r="V732" s="231"/>
      <c r="W732" s="396">
        <v>6702216</v>
      </c>
      <c r="X732" s="396">
        <v>-2368207</v>
      </c>
      <c r="Y732" s="396"/>
      <c r="Z732" s="396"/>
    </row>
    <row r="733" spans="1:26">
      <c r="A733" s="390">
        <v>97913</v>
      </c>
      <c r="B733" s="391" t="s">
        <v>1429</v>
      </c>
      <c r="C733" s="234">
        <v>3.4400000000000003E-5</v>
      </c>
      <c r="D733" s="234">
        <v>2.2900000000000001E-5</v>
      </c>
      <c r="E733" s="231">
        <v>52756</v>
      </c>
      <c r="F733" s="231" t="s">
        <v>1924</v>
      </c>
      <c r="G733" s="392">
        <v>16783</v>
      </c>
      <c r="H733" s="392">
        <v>0</v>
      </c>
      <c r="I733" s="392">
        <v>33144</v>
      </c>
      <c r="J733" s="231">
        <v>36021</v>
      </c>
      <c r="K733" s="231">
        <v>85948</v>
      </c>
      <c r="L733" s="231"/>
      <c r="M733" s="300">
        <v>0</v>
      </c>
      <c r="N733" s="300">
        <v>75372</v>
      </c>
      <c r="O733" s="300">
        <v>0</v>
      </c>
      <c r="P733" s="231">
        <v>0</v>
      </c>
      <c r="Q733" s="231">
        <v>75372</v>
      </c>
      <c r="R733" s="231"/>
      <c r="S733" s="392">
        <v>22760</v>
      </c>
      <c r="T733" s="231">
        <v>15792</v>
      </c>
      <c r="U733" s="396">
        <v>38552</v>
      </c>
      <c r="V733" s="231"/>
      <c r="W733" s="396">
        <v>204793</v>
      </c>
      <c r="X733" s="396">
        <v>-72363</v>
      </c>
      <c r="Y733" s="396"/>
      <c r="Z733" s="396"/>
    </row>
    <row r="734" spans="1:26">
      <c r="A734" s="390">
        <v>97917</v>
      </c>
      <c r="B734" s="391" t="s">
        <v>1430</v>
      </c>
      <c r="C734" s="234">
        <v>2.2500000000000001E-5</v>
      </c>
      <c r="D734" s="234">
        <v>1.7799999999999999E-5</v>
      </c>
      <c r="E734" s="231">
        <v>34506</v>
      </c>
      <c r="F734" s="231" t="s">
        <v>1924</v>
      </c>
      <c r="G734" s="392">
        <v>10978</v>
      </c>
      <c r="H734" s="392">
        <v>0</v>
      </c>
      <c r="I734" s="392">
        <v>21679</v>
      </c>
      <c r="J734" s="231">
        <v>18557</v>
      </c>
      <c r="K734" s="231">
        <v>51214</v>
      </c>
      <c r="L734" s="231"/>
      <c r="M734" s="300">
        <v>0</v>
      </c>
      <c r="N734" s="300">
        <v>49299</v>
      </c>
      <c r="O734" s="300">
        <v>0</v>
      </c>
      <c r="P734" s="231">
        <v>0</v>
      </c>
      <c r="Q734" s="231">
        <v>49299</v>
      </c>
      <c r="R734" s="231"/>
      <c r="S734" s="392">
        <v>14887</v>
      </c>
      <c r="T734" s="231">
        <v>8282</v>
      </c>
      <c r="U734" s="396">
        <v>23169</v>
      </c>
      <c r="V734" s="231"/>
      <c r="W734" s="396">
        <v>133949</v>
      </c>
      <c r="X734" s="396">
        <v>-47330</v>
      </c>
      <c r="Y734" s="396"/>
      <c r="Z734" s="396"/>
    </row>
    <row r="735" spans="1:26">
      <c r="A735" s="390">
        <v>97921</v>
      </c>
      <c r="B735" s="391" t="s">
        <v>1431</v>
      </c>
      <c r="C735" s="234">
        <v>2.14E-4</v>
      </c>
      <c r="D735" s="234">
        <v>2.14E-4</v>
      </c>
      <c r="E735" s="231">
        <v>328190</v>
      </c>
      <c r="F735" s="231" t="s">
        <v>1924</v>
      </c>
      <c r="G735" s="392">
        <v>104409</v>
      </c>
      <c r="H735" s="392">
        <v>0</v>
      </c>
      <c r="I735" s="392">
        <v>206187</v>
      </c>
      <c r="J735" s="231">
        <v>8144</v>
      </c>
      <c r="K735" s="231">
        <v>318740</v>
      </c>
      <c r="L735" s="231"/>
      <c r="M735" s="300">
        <v>0</v>
      </c>
      <c r="N735" s="300">
        <v>468884</v>
      </c>
      <c r="O735" s="300">
        <v>0</v>
      </c>
      <c r="P735" s="231">
        <v>6570</v>
      </c>
      <c r="Q735" s="231">
        <v>475454</v>
      </c>
      <c r="R735" s="231"/>
      <c r="S735" s="392">
        <v>141591</v>
      </c>
      <c r="T735" s="231">
        <v>1656</v>
      </c>
      <c r="U735" s="396">
        <v>143247</v>
      </c>
      <c r="V735" s="231"/>
      <c r="W735" s="396">
        <v>1274004</v>
      </c>
      <c r="X735" s="396">
        <v>-450165</v>
      </c>
      <c r="Y735" s="396"/>
      <c r="Z735" s="396"/>
    </row>
    <row r="736" spans="1:26">
      <c r="A736" s="390">
        <v>97931</v>
      </c>
      <c r="B736" s="391" t="s">
        <v>1432</v>
      </c>
      <c r="C736" s="234">
        <v>6.9499999999999995E-5</v>
      </c>
      <c r="D736" s="234">
        <v>7.7700000000000005E-5</v>
      </c>
      <c r="E736" s="231">
        <v>106585</v>
      </c>
      <c r="F736" s="231" t="s">
        <v>1924</v>
      </c>
      <c r="G736" s="392">
        <v>33908</v>
      </c>
      <c r="H736" s="392">
        <v>0</v>
      </c>
      <c r="I736" s="392">
        <v>66963</v>
      </c>
      <c r="J736" s="231">
        <v>8373</v>
      </c>
      <c r="K736" s="231">
        <v>109244</v>
      </c>
      <c r="L736" s="231"/>
      <c r="M736" s="300">
        <v>0</v>
      </c>
      <c r="N736" s="300">
        <v>152278</v>
      </c>
      <c r="O736" s="300">
        <v>0</v>
      </c>
      <c r="P736" s="231">
        <v>14765</v>
      </c>
      <c r="Q736" s="231">
        <v>167043</v>
      </c>
      <c r="R736" s="231"/>
      <c r="S736" s="392">
        <v>45984</v>
      </c>
      <c r="T736" s="231">
        <v>353</v>
      </c>
      <c r="U736" s="396">
        <v>46337</v>
      </c>
      <c r="V736" s="231"/>
      <c r="W736" s="396">
        <v>413754</v>
      </c>
      <c r="X736" s="396">
        <v>-146199</v>
      </c>
      <c r="Y736" s="396"/>
      <c r="Z736" s="396"/>
    </row>
    <row r="737" spans="1:26">
      <c r="A737" s="390">
        <v>97941</v>
      </c>
      <c r="B737" s="391" t="s">
        <v>1433</v>
      </c>
      <c r="C737" s="234">
        <v>2.106E-4</v>
      </c>
      <c r="D737" s="234">
        <v>2.195E-4</v>
      </c>
      <c r="E737" s="231">
        <v>322975</v>
      </c>
      <c r="F737" s="231" t="s">
        <v>1924</v>
      </c>
      <c r="G737" s="392">
        <v>102750</v>
      </c>
      <c r="H737" s="392">
        <v>0</v>
      </c>
      <c r="I737" s="392">
        <v>202911</v>
      </c>
      <c r="J737" s="231">
        <v>19946</v>
      </c>
      <c r="K737" s="231">
        <v>325607</v>
      </c>
      <c r="L737" s="231"/>
      <c r="M737" s="300">
        <v>0</v>
      </c>
      <c r="N737" s="300">
        <v>461435</v>
      </c>
      <c r="O737" s="300">
        <v>0</v>
      </c>
      <c r="P737" s="231">
        <v>23188</v>
      </c>
      <c r="Q737" s="231">
        <v>484623</v>
      </c>
      <c r="R737" s="231"/>
      <c r="S737" s="392">
        <v>139342</v>
      </c>
      <c r="T737" s="231">
        <v>1411</v>
      </c>
      <c r="U737" s="396">
        <v>140753</v>
      </c>
      <c r="V737" s="231"/>
      <c r="W737" s="396">
        <v>1253763</v>
      </c>
      <c r="X737" s="396">
        <v>-443013</v>
      </c>
      <c r="Y737" s="396"/>
      <c r="Z737" s="396"/>
    </row>
    <row r="738" spans="1:26">
      <c r="A738" s="390">
        <v>97947</v>
      </c>
      <c r="B738" s="391" t="s">
        <v>1434</v>
      </c>
      <c r="C738" s="234">
        <v>1.63E-5</v>
      </c>
      <c r="D738" s="234">
        <v>1.5E-5</v>
      </c>
      <c r="E738" s="231">
        <v>24998</v>
      </c>
      <c r="F738" s="231" t="s">
        <v>1924</v>
      </c>
      <c r="G738" s="392">
        <v>7953</v>
      </c>
      <c r="H738" s="392">
        <v>0</v>
      </c>
      <c r="I738" s="392">
        <v>15705</v>
      </c>
      <c r="J738" s="231">
        <v>13211</v>
      </c>
      <c r="K738" s="231">
        <v>36869</v>
      </c>
      <c r="L738" s="231"/>
      <c r="M738" s="300">
        <v>0</v>
      </c>
      <c r="N738" s="300">
        <v>35714</v>
      </c>
      <c r="O738" s="300">
        <v>0</v>
      </c>
      <c r="P738" s="231">
        <v>0</v>
      </c>
      <c r="Q738" s="231">
        <v>35714</v>
      </c>
      <c r="R738" s="231"/>
      <c r="S738" s="392">
        <v>10785</v>
      </c>
      <c r="T738" s="231">
        <v>6634</v>
      </c>
      <c r="U738" s="396">
        <v>17419</v>
      </c>
      <c r="V738" s="231"/>
      <c r="W738" s="396">
        <v>97039</v>
      </c>
      <c r="X738" s="396">
        <v>-34288</v>
      </c>
      <c r="Y738" s="396"/>
      <c r="Z738" s="396"/>
    </row>
    <row r="739" spans="1:26">
      <c r="A739" s="390">
        <v>97948</v>
      </c>
      <c r="B739" s="391" t="s">
        <v>1435</v>
      </c>
      <c r="C739" s="234">
        <v>2.6400000000000001E-5</v>
      </c>
      <c r="D739" s="234">
        <v>2.65E-5</v>
      </c>
      <c r="E739" s="231">
        <v>40487</v>
      </c>
      <c r="F739" s="231" t="s">
        <v>1924</v>
      </c>
      <c r="G739" s="392">
        <v>12880</v>
      </c>
      <c r="H739" s="392">
        <v>0</v>
      </c>
      <c r="I739" s="392">
        <v>25436</v>
      </c>
      <c r="J739" s="231">
        <v>2061</v>
      </c>
      <c r="K739" s="231">
        <v>40377</v>
      </c>
      <c r="L739" s="231"/>
      <c r="M739" s="300">
        <v>0</v>
      </c>
      <c r="N739" s="300">
        <v>57844</v>
      </c>
      <c r="O739" s="300">
        <v>0</v>
      </c>
      <c r="P739" s="231">
        <v>2764</v>
      </c>
      <c r="Q739" s="231">
        <v>60608</v>
      </c>
      <c r="R739" s="231"/>
      <c r="S739" s="392">
        <v>17467</v>
      </c>
      <c r="T739" s="231">
        <v>-1898</v>
      </c>
      <c r="U739" s="396">
        <v>15569</v>
      </c>
      <c r="V739" s="231"/>
      <c r="W739" s="396">
        <v>157167</v>
      </c>
      <c r="X739" s="396">
        <v>-55534</v>
      </c>
      <c r="Y739" s="396"/>
      <c r="Z739" s="396"/>
    </row>
    <row r="740" spans="1:26">
      <c r="A740" s="390">
        <v>97951</v>
      </c>
      <c r="B740" s="391" t="s">
        <v>1436</v>
      </c>
      <c r="C740" s="234">
        <v>1.1387999999999999E-3</v>
      </c>
      <c r="D740" s="234">
        <v>1.1284000000000001E-3</v>
      </c>
      <c r="E740" s="231">
        <v>1746459</v>
      </c>
      <c r="F740" s="231" t="s">
        <v>1924</v>
      </c>
      <c r="G740" s="392">
        <v>555611</v>
      </c>
      <c r="H740" s="392">
        <v>0</v>
      </c>
      <c r="I740" s="392">
        <v>1097222</v>
      </c>
      <c r="J740" s="231">
        <v>55381</v>
      </c>
      <c r="K740" s="231">
        <v>1708214</v>
      </c>
      <c r="L740" s="231"/>
      <c r="M740" s="300">
        <v>0</v>
      </c>
      <c r="N740" s="300">
        <v>2495165</v>
      </c>
      <c r="O740" s="300">
        <v>0</v>
      </c>
      <c r="P740" s="231">
        <v>25</v>
      </c>
      <c r="Q740" s="231">
        <v>2495190</v>
      </c>
      <c r="R740" s="231"/>
      <c r="S740" s="392">
        <v>753478</v>
      </c>
      <c r="T740" s="231">
        <v>26113</v>
      </c>
      <c r="U740" s="396">
        <v>779591</v>
      </c>
      <c r="V740" s="231"/>
      <c r="W740" s="396">
        <v>6779609</v>
      </c>
      <c r="X740" s="396">
        <v>-2395553</v>
      </c>
      <c r="Y740" s="396"/>
      <c r="Z740" s="396"/>
    </row>
    <row r="741" spans="1:26">
      <c r="A741" s="390">
        <v>97957</v>
      </c>
      <c r="B741" s="391" t="s">
        <v>1437</v>
      </c>
      <c r="C741" s="234">
        <v>1.1800000000000001E-5</v>
      </c>
      <c r="D741" s="234">
        <v>1.3900000000000001E-5</v>
      </c>
      <c r="E741" s="231">
        <v>18096</v>
      </c>
      <c r="F741" s="231" t="s">
        <v>1924</v>
      </c>
      <c r="G741" s="392">
        <v>5757</v>
      </c>
      <c r="H741" s="392">
        <v>0</v>
      </c>
      <c r="I741" s="392">
        <v>11369</v>
      </c>
      <c r="J741" s="231">
        <v>8895</v>
      </c>
      <c r="K741" s="231">
        <v>26021</v>
      </c>
      <c r="L741" s="231"/>
      <c r="M741" s="300">
        <v>0</v>
      </c>
      <c r="N741" s="300">
        <v>25854</v>
      </c>
      <c r="O741" s="300">
        <v>0</v>
      </c>
      <c r="P741" s="231">
        <v>0</v>
      </c>
      <c r="Q741" s="231">
        <v>25854</v>
      </c>
      <c r="R741" s="231"/>
      <c r="S741" s="392">
        <v>7807</v>
      </c>
      <c r="T741" s="231">
        <v>4820</v>
      </c>
      <c r="U741" s="396">
        <v>12627</v>
      </c>
      <c r="V741" s="231"/>
      <c r="W741" s="396">
        <v>70249</v>
      </c>
      <c r="X741" s="396">
        <v>-24822</v>
      </c>
      <c r="Y741" s="396"/>
      <c r="Z741" s="396"/>
    </row>
    <row r="742" spans="1:26">
      <c r="A742" s="390">
        <v>98001</v>
      </c>
      <c r="B742" s="391" t="s">
        <v>1438</v>
      </c>
      <c r="C742" s="234">
        <v>5.5972000000000001E-3</v>
      </c>
      <c r="D742" s="234">
        <v>5.3790000000000001E-3</v>
      </c>
      <c r="E742" s="231">
        <v>8583844</v>
      </c>
      <c r="F742" s="231" t="s">
        <v>1924</v>
      </c>
      <c r="G742" s="392">
        <v>2730829</v>
      </c>
      <c r="H742" s="392">
        <v>0</v>
      </c>
      <c r="I742" s="392">
        <v>5392846</v>
      </c>
      <c r="J742" s="231">
        <v>429566</v>
      </c>
      <c r="K742" s="231">
        <v>8553241</v>
      </c>
      <c r="L742" s="231"/>
      <c r="M742" s="300">
        <v>0</v>
      </c>
      <c r="N742" s="300">
        <v>12263734</v>
      </c>
      <c r="O742" s="300">
        <v>0</v>
      </c>
      <c r="P742" s="231">
        <v>27394</v>
      </c>
      <c r="Q742" s="231">
        <v>12291128</v>
      </c>
      <c r="R742" s="231"/>
      <c r="S742" s="392">
        <v>3703343</v>
      </c>
      <c r="T742" s="231">
        <v>202884</v>
      </c>
      <c r="U742" s="396">
        <v>3906227</v>
      </c>
      <c r="V742" s="231"/>
      <c r="W742" s="396">
        <v>33321766</v>
      </c>
      <c r="X742" s="396">
        <v>-11774141</v>
      </c>
      <c r="Y742" s="396"/>
      <c r="Z742" s="396"/>
    </row>
    <row r="743" spans="1:26">
      <c r="A743" s="390">
        <v>98002</v>
      </c>
      <c r="B743" s="391" t="s">
        <v>1439</v>
      </c>
      <c r="C743" s="234">
        <v>5.5999999999999997E-6</v>
      </c>
      <c r="D743" s="234">
        <v>5.5999999999999997E-6</v>
      </c>
      <c r="E743" s="231">
        <v>8588</v>
      </c>
      <c r="F743" s="231" t="s">
        <v>1924</v>
      </c>
      <c r="G743" s="392">
        <v>2732</v>
      </c>
      <c r="H743" s="392">
        <v>0</v>
      </c>
      <c r="I743" s="392">
        <v>5396</v>
      </c>
      <c r="J743" s="231">
        <v>1322</v>
      </c>
      <c r="K743" s="231">
        <v>9450</v>
      </c>
      <c r="L743" s="231"/>
      <c r="M743" s="300">
        <v>0</v>
      </c>
      <c r="N743" s="300">
        <v>12270</v>
      </c>
      <c r="O743" s="300">
        <v>0</v>
      </c>
      <c r="P743" s="231">
        <v>491</v>
      </c>
      <c r="Q743" s="231">
        <v>12761</v>
      </c>
      <c r="R743" s="231"/>
      <c r="S743" s="392">
        <v>3705</v>
      </c>
      <c r="T743" s="231">
        <v>745</v>
      </c>
      <c r="U743" s="396">
        <v>4450</v>
      </c>
      <c r="V743" s="231"/>
      <c r="W743" s="396">
        <v>33338</v>
      </c>
      <c r="X743" s="396">
        <v>-11780</v>
      </c>
      <c r="Y743" s="396"/>
      <c r="Z743" s="396"/>
    </row>
    <row r="744" spans="1:26">
      <c r="A744" s="390">
        <v>98003</v>
      </c>
      <c r="B744" s="391" t="s">
        <v>1440</v>
      </c>
      <c r="C744" s="234">
        <v>8.2000000000000001E-5</v>
      </c>
      <c r="D744" s="234">
        <v>6.9999999999999994E-5</v>
      </c>
      <c r="E744" s="231">
        <v>125755</v>
      </c>
      <c r="F744" s="231" t="s">
        <v>1924</v>
      </c>
      <c r="G744" s="392">
        <v>40007</v>
      </c>
      <c r="H744" s="392">
        <v>0</v>
      </c>
      <c r="I744" s="392">
        <v>79006</v>
      </c>
      <c r="J744" s="231">
        <v>70174</v>
      </c>
      <c r="K744" s="231">
        <v>189187</v>
      </c>
      <c r="L744" s="231"/>
      <c r="M744" s="300">
        <v>0</v>
      </c>
      <c r="N744" s="300">
        <v>179666</v>
      </c>
      <c r="O744" s="300">
        <v>0</v>
      </c>
      <c r="P744" s="231">
        <v>0</v>
      </c>
      <c r="Q744" s="231">
        <v>179666</v>
      </c>
      <c r="R744" s="231"/>
      <c r="S744" s="392">
        <v>54255</v>
      </c>
      <c r="T744" s="231">
        <v>37184</v>
      </c>
      <c r="U744" s="396">
        <v>91439</v>
      </c>
      <c r="V744" s="231"/>
      <c r="W744" s="396">
        <v>488170</v>
      </c>
      <c r="X744" s="396">
        <v>-172493</v>
      </c>
      <c r="Y744" s="396"/>
      <c r="Z744" s="396"/>
    </row>
    <row r="745" spans="1:26">
      <c r="A745" s="390">
        <v>98004</v>
      </c>
      <c r="B745" s="391" t="s">
        <v>1441</v>
      </c>
      <c r="C745" s="234">
        <v>1.74E-4</v>
      </c>
      <c r="D745" s="234">
        <v>1.3569999999999999E-4</v>
      </c>
      <c r="E745" s="231">
        <v>266846</v>
      </c>
      <c r="F745" s="231" t="s">
        <v>1924</v>
      </c>
      <c r="G745" s="392">
        <v>84893</v>
      </c>
      <c r="H745" s="392">
        <v>0</v>
      </c>
      <c r="I745" s="392">
        <v>167647</v>
      </c>
      <c r="J745" s="231">
        <v>154724</v>
      </c>
      <c r="K745" s="231">
        <v>407264</v>
      </c>
      <c r="L745" s="231"/>
      <c r="M745" s="300">
        <v>0</v>
      </c>
      <c r="N745" s="300">
        <v>381242</v>
      </c>
      <c r="O745" s="300">
        <v>0</v>
      </c>
      <c r="P745" s="231">
        <v>0</v>
      </c>
      <c r="Q745" s="231">
        <v>381242</v>
      </c>
      <c r="R745" s="231"/>
      <c r="S745" s="392">
        <v>115126</v>
      </c>
      <c r="T745" s="231">
        <v>66809</v>
      </c>
      <c r="U745" s="396">
        <v>181935</v>
      </c>
      <c r="V745" s="231"/>
      <c r="W745" s="396">
        <v>1035873</v>
      </c>
      <c r="X745" s="396">
        <v>-366022</v>
      </c>
      <c r="Y745" s="396"/>
      <c r="Z745" s="396"/>
    </row>
    <row r="746" spans="1:26">
      <c r="A746" s="390">
        <v>98008</v>
      </c>
      <c r="B746" s="391" t="s">
        <v>1442</v>
      </c>
      <c r="C746" s="234">
        <v>6.9E-6</v>
      </c>
      <c r="D746" s="234">
        <v>6.8000000000000001E-6</v>
      </c>
      <c r="E746" s="231">
        <v>10582</v>
      </c>
      <c r="F746" s="231" t="s">
        <v>1924</v>
      </c>
      <c r="G746" s="392">
        <v>3366</v>
      </c>
      <c r="H746" s="392">
        <v>0</v>
      </c>
      <c r="I746" s="392">
        <v>6648</v>
      </c>
      <c r="J746" s="231">
        <v>308</v>
      </c>
      <c r="K746" s="231">
        <v>10322</v>
      </c>
      <c r="L746" s="231"/>
      <c r="M746" s="300">
        <v>0</v>
      </c>
      <c r="N746" s="300">
        <v>15118</v>
      </c>
      <c r="O746" s="300">
        <v>0</v>
      </c>
      <c r="P746" s="231">
        <v>614</v>
      </c>
      <c r="Q746" s="231">
        <v>15732</v>
      </c>
      <c r="R746" s="231"/>
      <c r="S746" s="392">
        <v>4565</v>
      </c>
      <c r="T746" s="231">
        <v>-227</v>
      </c>
      <c r="U746" s="396">
        <v>4338</v>
      </c>
      <c r="V746" s="231"/>
      <c r="W746" s="396">
        <v>41078</v>
      </c>
      <c r="X746" s="396">
        <v>-14515</v>
      </c>
      <c r="Y746" s="396"/>
      <c r="Z746" s="396"/>
    </row>
    <row r="747" spans="1:26">
      <c r="A747" s="390">
        <v>98011</v>
      </c>
      <c r="B747" s="391" t="s">
        <v>1443</v>
      </c>
      <c r="C747" s="234">
        <v>3.2637999999999999E-3</v>
      </c>
      <c r="D747" s="234">
        <v>3.4218999999999999E-3</v>
      </c>
      <c r="E747" s="231">
        <v>5005351</v>
      </c>
      <c r="F747" s="231" t="s">
        <v>1924</v>
      </c>
      <c r="G747" s="392">
        <v>1592382</v>
      </c>
      <c r="H747" s="392">
        <v>0</v>
      </c>
      <c r="I747" s="392">
        <v>3144639</v>
      </c>
      <c r="J747" s="231">
        <v>37606</v>
      </c>
      <c r="K747" s="231">
        <v>4774627</v>
      </c>
      <c r="L747" s="231"/>
      <c r="M747" s="300">
        <v>0</v>
      </c>
      <c r="N747" s="300">
        <v>7151142</v>
      </c>
      <c r="O747" s="300">
        <v>0</v>
      </c>
      <c r="P747" s="231">
        <v>530665</v>
      </c>
      <c r="Q747" s="231">
        <v>7681807</v>
      </c>
      <c r="R747" s="231"/>
      <c r="S747" s="392">
        <v>2159467</v>
      </c>
      <c r="T747" s="231">
        <v>-171321</v>
      </c>
      <c r="U747" s="396">
        <v>1988146</v>
      </c>
      <c r="V747" s="231"/>
      <c r="W747" s="396">
        <v>19430354</v>
      </c>
      <c r="X747" s="396">
        <v>-6865655</v>
      </c>
      <c r="Y747" s="396"/>
      <c r="Z747" s="396"/>
    </row>
    <row r="748" spans="1:26">
      <c r="A748" s="390">
        <v>98013</v>
      </c>
      <c r="B748" s="391" t="s">
        <v>1444</v>
      </c>
      <c r="C748" s="234">
        <v>1.3109999999999999E-4</v>
      </c>
      <c r="D748" s="234">
        <v>1.4520000000000001E-4</v>
      </c>
      <c r="E748" s="231">
        <v>201054</v>
      </c>
      <c r="F748" s="231" t="s">
        <v>1924</v>
      </c>
      <c r="G748" s="392">
        <v>63963</v>
      </c>
      <c r="H748" s="392">
        <v>0</v>
      </c>
      <c r="I748" s="392">
        <v>126314</v>
      </c>
      <c r="J748" s="231">
        <v>51758</v>
      </c>
      <c r="K748" s="231">
        <v>242035</v>
      </c>
      <c r="L748" s="231"/>
      <c r="M748" s="300">
        <v>0</v>
      </c>
      <c r="N748" s="300">
        <v>287246</v>
      </c>
      <c r="O748" s="300">
        <v>0</v>
      </c>
      <c r="P748" s="231">
        <v>20611</v>
      </c>
      <c r="Q748" s="231">
        <v>307857</v>
      </c>
      <c r="R748" s="231"/>
      <c r="S748" s="392">
        <v>86741</v>
      </c>
      <c r="T748" s="231">
        <v>40500</v>
      </c>
      <c r="U748" s="396">
        <v>127241</v>
      </c>
      <c r="V748" s="231"/>
      <c r="W748" s="396">
        <v>780477</v>
      </c>
      <c r="X748" s="396">
        <v>-275779</v>
      </c>
      <c r="Y748" s="396"/>
      <c r="Z748" s="396"/>
    </row>
    <row r="749" spans="1:26">
      <c r="A749" s="390">
        <v>98021</v>
      </c>
      <c r="B749" s="391" t="s">
        <v>1445</v>
      </c>
      <c r="C749" s="234">
        <v>3.8399999999999998E-5</v>
      </c>
      <c r="D749" s="234">
        <v>4.0899999999999998E-5</v>
      </c>
      <c r="E749" s="231">
        <v>58890</v>
      </c>
      <c r="F749" s="231" t="s">
        <v>1924</v>
      </c>
      <c r="G749" s="392">
        <v>18735</v>
      </c>
      <c r="H749" s="392">
        <v>0</v>
      </c>
      <c r="I749" s="392">
        <v>36998</v>
      </c>
      <c r="J749" s="231">
        <v>14383</v>
      </c>
      <c r="K749" s="231">
        <v>70116</v>
      </c>
      <c r="L749" s="231"/>
      <c r="M749" s="300">
        <v>0</v>
      </c>
      <c r="N749" s="300">
        <v>84136</v>
      </c>
      <c r="O749" s="300">
        <v>0</v>
      </c>
      <c r="P749" s="231">
        <v>7039</v>
      </c>
      <c r="Q749" s="231">
        <v>91175</v>
      </c>
      <c r="R749" s="231"/>
      <c r="S749" s="392">
        <v>25407</v>
      </c>
      <c r="T749" s="231">
        <v>-1145</v>
      </c>
      <c r="U749" s="396">
        <v>24262</v>
      </c>
      <c r="V749" s="231"/>
      <c r="W749" s="396">
        <v>228606</v>
      </c>
      <c r="X749" s="396">
        <v>-80777</v>
      </c>
      <c r="Y749" s="396"/>
      <c r="Z749" s="396"/>
    </row>
    <row r="750" spans="1:26">
      <c r="A750" s="390">
        <v>98023</v>
      </c>
      <c r="B750" s="391" t="s">
        <v>1446</v>
      </c>
      <c r="C750" s="234">
        <v>6.3999999999999997E-6</v>
      </c>
      <c r="D750" s="234">
        <v>1.1800000000000001E-5</v>
      </c>
      <c r="E750" s="231">
        <v>9815</v>
      </c>
      <c r="F750" s="231" t="s">
        <v>1924</v>
      </c>
      <c r="G750" s="392">
        <v>3123</v>
      </c>
      <c r="H750" s="392">
        <v>0</v>
      </c>
      <c r="I750" s="392">
        <v>6166</v>
      </c>
      <c r="J750" s="231">
        <v>2057</v>
      </c>
      <c r="K750" s="231">
        <v>11346</v>
      </c>
      <c r="L750" s="231"/>
      <c r="M750" s="300">
        <v>0</v>
      </c>
      <c r="N750" s="300">
        <v>14023</v>
      </c>
      <c r="O750" s="300">
        <v>0</v>
      </c>
      <c r="P750" s="231">
        <v>14362</v>
      </c>
      <c r="Q750" s="231">
        <v>28385</v>
      </c>
      <c r="R750" s="231"/>
      <c r="S750" s="392">
        <v>4235</v>
      </c>
      <c r="T750" s="231">
        <v>-4244</v>
      </c>
      <c r="U750" s="396">
        <v>-9</v>
      </c>
      <c r="V750" s="231"/>
      <c r="W750" s="396">
        <v>38101</v>
      </c>
      <c r="X750" s="396">
        <v>-13463</v>
      </c>
      <c r="Y750" s="396"/>
      <c r="Z750" s="396"/>
    </row>
    <row r="751" spans="1:26">
      <c r="A751" s="390">
        <v>98031</v>
      </c>
      <c r="B751" s="391" t="s">
        <v>1447</v>
      </c>
      <c r="C751" s="234">
        <v>1.563E-4</v>
      </c>
      <c r="D751" s="234">
        <v>1.3129999999999999E-4</v>
      </c>
      <c r="E751" s="231">
        <v>239701</v>
      </c>
      <c r="F751" s="231" t="s">
        <v>1924</v>
      </c>
      <c r="G751" s="392">
        <v>76258</v>
      </c>
      <c r="H751" s="392">
        <v>0</v>
      </c>
      <c r="I751" s="392">
        <v>150593</v>
      </c>
      <c r="J751" s="231">
        <v>44807</v>
      </c>
      <c r="K751" s="231">
        <v>271658</v>
      </c>
      <c r="L751" s="231"/>
      <c r="M751" s="300">
        <v>0</v>
      </c>
      <c r="N751" s="300">
        <v>342461</v>
      </c>
      <c r="O751" s="300">
        <v>0</v>
      </c>
      <c r="P751" s="231">
        <v>28858</v>
      </c>
      <c r="Q751" s="231">
        <v>371319</v>
      </c>
      <c r="R751" s="231"/>
      <c r="S751" s="392">
        <v>103415</v>
      </c>
      <c r="T751" s="231">
        <v>535</v>
      </c>
      <c r="U751" s="396">
        <v>103950</v>
      </c>
      <c r="V751" s="231"/>
      <c r="W751" s="396">
        <v>930500</v>
      </c>
      <c r="X751" s="396">
        <v>-328789</v>
      </c>
      <c r="Y751" s="396"/>
      <c r="Z751" s="396"/>
    </row>
    <row r="752" spans="1:26">
      <c r="A752" s="390">
        <v>98041</v>
      </c>
      <c r="B752" s="391" t="s">
        <v>1448</v>
      </c>
      <c r="C752" s="234">
        <v>2.4140000000000001E-4</v>
      </c>
      <c r="D752" s="234">
        <v>2.1320000000000001E-4</v>
      </c>
      <c r="E752" s="231">
        <v>370210</v>
      </c>
      <c r="F752" s="231" t="s">
        <v>1924</v>
      </c>
      <c r="G752" s="392">
        <v>117777</v>
      </c>
      <c r="H752" s="392">
        <v>0</v>
      </c>
      <c r="I752" s="392">
        <v>232586</v>
      </c>
      <c r="J752" s="231">
        <v>33567</v>
      </c>
      <c r="K752" s="231">
        <v>383930</v>
      </c>
      <c r="L752" s="231"/>
      <c r="M752" s="300">
        <v>0</v>
      </c>
      <c r="N752" s="300">
        <v>528919</v>
      </c>
      <c r="O752" s="300">
        <v>0</v>
      </c>
      <c r="P752" s="231">
        <v>20971</v>
      </c>
      <c r="Q752" s="231">
        <v>549890</v>
      </c>
      <c r="R752" s="231"/>
      <c r="S752" s="392">
        <v>159720</v>
      </c>
      <c r="T752" s="231">
        <v>5537</v>
      </c>
      <c r="U752" s="396">
        <v>165257</v>
      </c>
      <c r="V752" s="231"/>
      <c r="W752" s="396">
        <v>1437125</v>
      </c>
      <c r="X752" s="396">
        <v>-507803</v>
      </c>
      <c r="Y752" s="396"/>
      <c r="Z752" s="396"/>
    </row>
    <row r="753" spans="1:26">
      <c r="A753" s="390">
        <v>98051</v>
      </c>
      <c r="B753" s="391" t="s">
        <v>1449</v>
      </c>
      <c r="C753" s="234">
        <v>2.499E-4</v>
      </c>
      <c r="D753" s="234">
        <v>2.4059999999999999E-4</v>
      </c>
      <c r="E753" s="231">
        <v>383246</v>
      </c>
      <c r="F753" s="231" t="s">
        <v>1924</v>
      </c>
      <c r="G753" s="392">
        <v>121924</v>
      </c>
      <c r="H753" s="392">
        <v>0</v>
      </c>
      <c r="I753" s="392">
        <v>240776</v>
      </c>
      <c r="J753" s="231">
        <v>39343</v>
      </c>
      <c r="K753" s="231">
        <v>402043</v>
      </c>
      <c r="L753" s="231"/>
      <c r="M753" s="300">
        <v>0</v>
      </c>
      <c r="N753" s="300">
        <v>547543</v>
      </c>
      <c r="O753" s="300">
        <v>0</v>
      </c>
      <c r="P753" s="231">
        <v>48517</v>
      </c>
      <c r="Q753" s="231">
        <v>596060</v>
      </c>
      <c r="R753" s="231"/>
      <c r="S753" s="392">
        <v>165344</v>
      </c>
      <c r="T753" s="231">
        <v>-11489</v>
      </c>
      <c r="U753" s="396">
        <v>153855</v>
      </c>
      <c r="V753" s="231"/>
      <c r="W753" s="396">
        <v>1487728</v>
      </c>
      <c r="X753" s="396">
        <v>-525684</v>
      </c>
      <c r="Y753" s="396"/>
      <c r="Z753" s="396"/>
    </row>
    <row r="754" spans="1:26">
      <c r="A754" s="390">
        <v>98061</v>
      </c>
      <c r="B754" s="391" t="s">
        <v>1450</v>
      </c>
      <c r="C754" s="234">
        <v>1.2410000000000001E-4</v>
      </c>
      <c r="D754" s="234">
        <v>1.2799999999999999E-4</v>
      </c>
      <c r="E754" s="231">
        <v>190319</v>
      </c>
      <c r="F754" s="231" t="s">
        <v>1924</v>
      </c>
      <c r="G754" s="392">
        <v>60547</v>
      </c>
      <c r="H754" s="392">
        <v>0</v>
      </c>
      <c r="I754" s="392">
        <v>119569</v>
      </c>
      <c r="J754" s="231">
        <v>2885</v>
      </c>
      <c r="K754" s="231">
        <v>183001</v>
      </c>
      <c r="L754" s="231"/>
      <c r="M754" s="300">
        <v>0</v>
      </c>
      <c r="N754" s="300">
        <v>271909</v>
      </c>
      <c r="O754" s="300">
        <v>0</v>
      </c>
      <c r="P754" s="231">
        <v>19645</v>
      </c>
      <c r="Q754" s="231">
        <v>291554</v>
      </c>
      <c r="R754" s="231"/>
      <c r="S754" s="392">
        <v>82110</v>
      </c>
      <c r="T754" s="231">
        <v>-4070</v>
      </c>
      <c r="U754" s="396">
        <v>78040</v>
      </c>
      <c r="V754" s="231"/>
      <c r="W754" s="396">
        <v>738804</v>
      </c>
      <c r="X754" s="396">
        <v>-261054</v>
      </c>
      <c r="Y754" s="396"/>
      <c r="Z754" s="396"/>
    </row>
    <row r="755" spans="1:26">
      <c r="A755" s="390">
        <v>98071</v>
      </c>
      <c r="B755" s="391" t="s">
        <v>1451</v>
      </c>
      <c r="C755" s="234">
        <v>6.6600000000000006E-5</v>
      </c>
      <c r="D755" s="234">
        <v>5.2899999999999998E-5</v>
      </c>
      <c r="E755" s="231">
        <v>102137</v>
      </c>
      <c r="F755" s="231" t="s">
        <v>1924</v>
      </c>
      <c r="G755" s="392">
        <v>32494</v>
      </c>
      <c r="H755" s="392">
        <v>0</v>
      </c>
      <c r="I755" s="392">
        <v>64168</v>
      </c>
      <c r="J755" s="231">
        <v>48484</v>
      </c>
      <c r="K755" s="231">
        <v>145146</v>
      </c>
      <c r="L755" s="231"/>
      <c r="M755" s="300">
        <v>0</v>
      </c>
      <c r="N755" s="300">
        <v>145924</v>
      </c>
      <c r="O755" s="300">
        <v>0</v>
      </c>
      <c r="P755" s="231">
        <v>0</v>
      </c>
      <c r="Q755" s="231">
        <v>145924</v>
      </c>
      <c r="R755" s="231"/>
      <c r="S755" s="392">
        <v>44065</v>
      </c>
      <c r="T755" s="231">
        <v>23577</v>
      </c>
      <c r="U755" s="396">
        <v>67642</v>
      </c>
      <c r="V755" s="231"/>
      <c r="W755" s="396">
        <v>396489</v>
      </c>
      <c r="X755" s="396">
        <v>-140098</v>
      </c>
      <c r="Y755" s="396"/>
      <c r="Z755" s="396"/>
    </row>
    <row r="756" spans="1:26">
      <c r="A756" s="390">
        <v>98081</v>
      </c>
      <c r="B756" s="391" t="s">
        <v>1452</v>
      </c>
      <c r="C756" s="234">
        <v>1.42E-5</v>
      </c>
      <c r="D756" s="234">
        <v>1.45E-5</v>
      </c>
      <c r="E756" s="231">
        <v>21777</v>
      </c>
      <c r="F756" s="231" t="s">
        <v>1924</v>
      </c>
      <c r="G756" s="392">
        <v>6928</v>
      </c>
      <c r="H756" s="392">
        <v>0</v>
      </c>
      <c r="I756" s="392">
        <v>13682</v>
      </c>
      <c r="J756" s="231">
        <v>226</v>
      </c>
      <c r="K756" s="231">
        <v>20836</v>
      </c>
      <c r="L756" s="231"/>
      <c r="M756" s="300">
        <v>0</v>
      </c>
      <c r="N756" s="300">
        <v>31113</v>
      </c>
      <c r="O756" s="300">
        <v>0</v>
      </c>
      <c r="P756" s="231">
        <v>1561</v>
      </c>
      <c r="Q756" s="231">
        <v>32674</v>
      </c>
      <c r="R756" s="231"/>
      <c r="S756" s="392">
        <v>9395</v>
      </c>
      <c r="T756" s="231">
        <v>-1199</v>
      </c>
      <c r="U756" s="396">
        <v>8196</v>
      </c>
      <c r="V756" s="231"/>
      <c r="W756" s="396">
        <v>84537</v>
      </c>
      <c r="X756" s="396">
        <v>-29871</v>
      </c>
      <c r="Y756" s="396"/>
      <c r="Z756" s="396"/>
    </row>
    <row r="757" spans="1:26">
      <c r="A757" s="390">
        <v>98091</v>
      </c>
      <c r="B757" s="391" t="s">
        <v>1453</v>
      </c>
      <c r="C757" s="234">
        <v>4.8000000000000001E-5</v>
      </c>
      <c r="D757" s="234">
        <v>4.8099999999999997E-5</v>
      </c>
      <c r="E757" s="231">
        <v>73613</v>
      </c>
      <c r="F757" s="231" t="s">
        <v>1924</v>
      </c>
      <c r="G757" s="392">
        <v>23419</v>
      </c>
      <c r="H757" s="392">
        <v>0</v>
      </c>
      <c r="I757" s="392">
        <v>46248</v>
      </c>
      <c r="J757" s="231">
        <v>8378</v>
      </c>
      <c r="K757" s="231">
        <v>78045</v>
      </c>
      <c r="L757" s="231"/>
      <c r="M757" s="300">
        <v>0</v>
      </c>
      <c r="N757" s="300">
        <v>105170</v>
      </c>
      <c r="O757" s="300">
        <v>0</v>
      </c>
      <c r="P757" s="231">
        <v>14565</v>
      </c>
      <c r="Q757" s="231">
        <v>119735</v>
      </c>
      <c r="R757" s="231"/>
      <c r="S757" s="392">
        <v>31759</v>
      </c>
      <c r="T757" s="231">
        <v>-2926</v>
      </c>
      <c r="U757" s="396">
        <v>28833</v>
      </c>
      <c r="V757" s="231"/>
      <c r="W757" s="396">
        <v>285758</v>
      </c>
      <c r="X757" s="396">
        <v>-100972</v>
      </c>
      <c r="Y757" s="396"/>
      <c r="Z757" s="396"/>
    </row>
    <row r="758" spans="1:26">
      <c r="A758" s="390">
        <v>98101</v>
      </c>
      <c r="B758" s="391" t="s">
        <v>1454</v>
      </c>
      <c r="C758" s="234">
        <v>2.7187000000000001E-3</v>
      </c>
      <c r="D758" s="234">
        <v>2.7560000000000002E-3</v>
      </c>
      <c r="E758" s="231">
        <v>4169387</v>
      </c>
      <c r="F758" s="231" t="s">
        <v>1924</v>
      </c>
      <c r="G758" s="392">
        <v>1326432</v>
      </c>
      <c r="H758" s="392">
        <v>0</v>
      </c>
      <c r="I758" s="392">
        <v>2619440</v>
      </c>
      <c r="J758" s="231">
        <v>87790</v>
      </c>
      <c r="K758" s="231">
        <v>4033662</v>
      </c>
      <c r="L758" s="231"/>
      <c r="M758" s="300">
        <v>0</v>
      </c>
      <c r="N758" s="300">
        <v>5956802</v>
      </c>
      <c r="O758" s="300">
        <v>0</v>
      </c>
      <c r="P758" s="231">
        <v>167987</v>
      </c>
      <c r="Q758" s="231">
        <v>6124789</v>
      </c>
      <c r="R758" s="231"/>
      <c r="S758" s="392">
        <v>1798806</v>
      </c>
      <c r="T758" s="231">
        <v>-46421</v>
      </c>
      <c r="U758" s="396">
        <v>1752385</v>
      </c>
      <c r="V758" s="231"/>
      <c r="W758" s="396">
        <v>16185215</v>
      </c>
      <c r="X758" s="396">
        <v>-5718995</v>
      </c>
      <c r="Y758" s="396"/>
      <c r="Z758" s="396"/>
    </row>
    <row r="759" spans="1:26">
      <c r="A759" s="390">
        <v>98102</v>
      </c>
      <c r="B759" s="391" t="s">
        <v>1455</v>
      </c>
      <c r="C759" s="234">
        <v>1.4760000000000001E-4</v>
      </c>
      <c r="D759" s="234">
        <v>1.56E-4</v>
      </c>
      <c r="E759" s="231">
        <v>226359</v>
      </c>
      <c r="F759" s="231" t="s">
        <v>1924</v>
      </c>
      <c r="G759" s="392">
        <v>72013</v>
      </c>
      <c r="H759" s="392">
        <v>0</v>
      </c>
      <c r="I759" s="392">
        <v>142211</v>
      </c>
      <c r="J759" s="231">
        <v>4399</v>
      </c>
      <c r="K759" s="231">
        <v>218623</v>
      </c>
      <c r="L759" s="231"/>
      <c r="M759" s="300">
        <v>0</v>
      </c>
      <c r="N759" s="300">
        <v>323399</v>
      </c>
      <c r="O759" s="300">
        <v>0</v>
      </c>
      <c r="P759" s="231">
        <v>9361</v>
      </c>
      <c r="Q759" s="231">
        <v>332760</v>
      </c>
      <c r="R759" s="231"/>
      <c r="S759" s="392">
        <v>97658</v>
      </c>
      <c r="T759" s="231">
        <v>-3934</v>
      </c>
      <c r="U759" s="396">
        <v>93724</v>
      </c>
      <c r="V759" s="231"/>
      <c r="W759" s="396">
        <v>878706</v>
      </c>
      <c r="X759" s="396">
        <v>-310488</v>
      </c>
      <c r="Y759" s="396"/>
      <c r="Z759" s="396"/>
    </row>
    <row r="760" spans="1:26">
      <c r="A760" s="390">
        <v>98103</v>
      </c>
      <c r="B760" s="391" t="s">
        <v>1456</v>
      </c>
      <c r="C760" s="234">
        <v>4.9779999999999996E-4</v>
      </c>
      <c r="D760" s="234">
        <v>5.0699999999999996E-4</v>
      </c>
      <c r="E760" s="231">
        <v>763424</v>
      </c>
      <c r="F760" s="231" t="s">
        <v>1924</v>
      </c>
      <c r="G760" s="392">
        <v>242873</v>
      </c>
      <c r="H760" s="392">
        <v>0</v>
      </c>
      <c r="I760" s="392">
        <v>479625</v>
      </c>
      <c r="J760" s="231">
        <v>13032</v>
      </c>
      <c r="K760" s="231">
        <v>735530</v>
      </c>
      <c r="L760" s="231"/>
      <c r="M760" s="300">
        <v>0</v>
      </c>
      <c r="N760" s="300">
        <v>1090704</v>
      </c>
      <c r="O760" s="300">
        <v>0</v>
      </c>
      <c r="P760" s="231">
        <v>35557</v>
      </c>
      <c r="Q760" s="231">
        <v>1126261</v>
      </c>
      <c r="R760" s="231"/>
      <c r="S760" s="392">
        <v>329365</v>
      </c>
      <c r="T760" s="231">
        <v>-9583</v>
      </c>
      <c r="U760" s="396">
        <v>319782</v>
      </c>
      <c r="V760" s="231"/>
      <c r="W760" s="396">
        <v>2963549</v>
      </c>
      <c r="X760" s="396">
        <v>-1047161</v>
      </c>
      <c r="Y760" s="396"/>
      <c r="Z760" s="396"/>
    </row>
    <row r="761" spans="1:26">
      <c r="A761" s="390">
        <v>98107</v>
      </c>
      <c r="B761" s="391" t="s">
        <v>1457</v>
      </c>
      <c r="C761" s="234">
        <v>2.4700000000000001E-5</v>
      </c>
      <c r="D761" s="234">
        <v>7.9000000000000006E-6</v>
      </c>
      <c r="E761" s="231">
        <v>37880</v>
      </c>
      <c r="F761" s="231" t="s">
        <v>1924</v>
      </c>
      <c r="G761" s="392">
        <v>12051</v>
      </c>
      <c r="H761" s="392">
        <v>0</v>
      </c>
      <c r="I761" s="392">
        <v>23798</v>
      </c>
      <c r="J761" s="231">
        <v>37936</v>
      </c>
      <c r="K761" s="231">
        <v>73785</v>
      </c>
      <c r="L761" s="231"/>
      <c r="M761" s="300">
        <v>0</v>
      </c>
      <c r="N761" s="300">
        <v>54119</v>
      </c>
      <c r="O761" s="300">
        <v>0</v>
      </c>
      <c r="P761" s="231">
        <v>0</v>
      </c>
      <c r="Q761" s="231">
        <v>54119</v>
      </c>
      <c r="R761" s="231"/>
      <c r="S761" s="392">
        <v>16343</v>
      </c>
      <c r="T761" s="231">
        <v>14873</v>
      </c>
      <c r="U761" s="396">
        <v>31216</v>
      </c>
      <c r="V761" s="231"/>
      <c r="W761" s="396">
        <v>147046</v>
      </c>
      <c r="X761" s="396">
        <v>-51958</v>
      </c>
      <c r="Y761" s="396"/>
      <c r="Z761" s="396"/>
    </row>
    <row r="762" spans="1:26">
      <c r="A762" s="390">
        <v>98109</v>
      </c>
      <c r="B762" s="391" t="s">
        <v>1458</v>
      </c>
      <c r="C762" s="234">
        <v>1.6750000000000001E-4</v>
      </c>
      <c r="D762" s="234">
        <v>1.4339999999999999E-4</v>
      </c>
      <c r="E762" s="231">
        <v>256877</v>
      </c>
      <c r="F762" s="231" t="s">
        <v>1924</v>
      </c>
      <c r="G762" s="392">
        <v>81722</v>
      </c>
      <c r="H762" s="392">
        <v>0</v>
      </c>
      <c r="I762" s="392">
        <v>161385</v>
      </c>
      <c r="J762" s="231">
        <v>58635</v>
      </c>
      <c r="K762" s="231">
        <v>301742</v>
      </c>
      <c r="L762" s="231"/>
      <c r="M762" s="300">
        <v>0</v>
      </c>
      <c r="N762" s="300">
        <v>367001</v>
      </c>
      <c r="O762" s="300">
        <v>0</v>
      </c>
      <c r="P762" s="231">
        <v>1452</v>
      </c>
      <c r="Q762" s="231">
        <v>368453</v>
      </c>
      <c r="R762" s="231"/>
      <c r="S762" s="392">
        <v>110825</v>
      </c>
      <c r="T762" s="231">
        <v>23413</v>
      </c>
      <c r="U762" s="396">
        <v>134238</v>
      </c>
      <c r="V762" s="231"/>
      <c r="W762" s="396">
        <v>997176</v>
      </c>
      <c r="X762" s="396">
        <v>-352349</v>
      </c>
      <c r="Y762" s="396"/>
      <c r="Z762" s="396"/>
    </row>
    <row r="763" spans="1:26" s="355" customFormat="1">
      <c r="A763" s="390">
        <v>98111</v>
      </c>
      <c r="B763" s="391" t="s">
        <v>1459</v>
      </c>
      <c r="C763" s="234">
        <v>9.9400000000000009E-4</v>
      </c>
      <c r="D763" s="234">
        <v>9.8539999999999999E-4</v>
      </c>
      <c r="E763" s="231">
        <v>1524394</v>
      </c>
      <c r="F763" s="231" t="s">
        <v>1924</v>
      </c>
      <c r="G763" s="392">
        <v>484965</v>
      </c>
      <c r="H763" s="392">
        <v>0</v>
      </c>
      <c r="I763" s="392">
        <v>957709</v>
      </c>
      <c r="J763" s="231">
        <v>0</v>
      </c>
      <c r="K763" s="231">
        <v>1442674</v>
      </c>
      <c r="L763" s="231"/>
      <c r="M763" s="300">
        <v>0</v>
      </c>
      <c r="N763" s="300">
        <v>2177902</v>
      </c>
      <c r="O763" s="300">
        <v>0</v>
      </c>
      <c r="P763" s="231">
        <v>98865</v>
      </c>
      <c r="Q763" s="231">
        <v>2276767</v>
      </c>
      <c r="R763" s="231"/>
      <c r="S763" s="392">
        <v>657672</v>
      </c>
      <c r="T763" s="231">
        <v>-56411</v>
      </c>
      <c r="U763" s="396">
        <v>601261</v>
      </c>
      <c r="V763" s="231"/>
      <c r="W763" s="396">
        <v>5917572</v>
      </c>
      <c r="X763" s="396">
        <v>-2090956</v>
      </c>
      <c r="Y763" s="396"/>
      <c r="Z763" s="396"/>
    </row>
    <row r="764" spans="1:26">
      <c r="A764" s="390">
        <v>98113</v>
      </c>
      <c r="B764" s="391" t="s">
        <v>1460</v>
      </c>
      <c r="C764" s="234">
        <v>3.3099999999999998E-5</v>
      </c>
      <c r="D764" s="234">
        <v>2.9099999999999999E-5</v>
      </c>
      <c r="E764" s="231">
        <v>50762</v>
      </c>
      <c r="F764" s="231" t="s">
        <v>1924</v>
      </c>
      <c r="G764" s="392">
        <v>16149</v>
      </c>
      <c r="H764" s="392">
        <v>0</v>
      </c>
      <c r="I764" s="392">
        <v>31892</v>
      </c>
      <c r="J764" s="231">
        <v>16859</v>
      </c>
      <c r="K764" s="231">
        <v>64900</v>
      </c>
      <c r="L764" s="231"/>
      <c r="M764" s="300">
        <v>0</v>
      </c>
      <c r="N764" s="300">
        <v>72524</v>
      </c>
      <c r="O764" s="300">
        <v>0</v>
      </c>
      <c r="P764" s="231">
        <v>104</v>
      </c>
      <c r="Q764" s="231">
        <v>72628</v>
      </c>
      <c r="R764" s="231"/>
      <c r="S764" s="392">
        <v>21900</v>
      </c>
      <c r="T764" s="231">
        <v>7700</v>
      </c>
      <c r="U764" s="396">
        <v>29600</v>
      </c>
      <c r="V764" s="231"/>
      <c r="W764" s="396">
        <v>197054</v>
      </c>
      <c r="X764" s="396">
        <v>-69628</v>
      </c>
      <c r="Y764" s="396"/>
      <c r="Z764" s="396"/>
    </row>
    <row r="765" spans="1:26">
      <c r="A765" s="390">
        <v>98121</v>
      </c>
      <c r="B765" s="391" t="s">
        <v>1461</v>
      </c>
      <c r="C765" s="234">
        <v>2.0699999999999999E-4</v>
      </c>
      <c r="D765" s="234">
        <v>2.0430000000000001E-4</v>
      </c>
      <c r="E765" s="231">
        <v>317454</v>
      </c>
      <c r="F765" s="231" t="s">
        <v>1924</v>
      </c>
      <c r="G765" s="392">
        <v>100994</v>
      </c>
      <c r="H765" s="392">
        <v>0</v>
      </c>
      <c r="I765" s="392">
        <v>199442</v>
      </c>
      <c r="J765" s="231">
        <v>11081</v>
      </c>
      <c r="K765" s="231">
        <v>311517</v>
      </c>
      <c r="L765" s="231"/>
      <c r="M765" s="300">
        <v>0</v>
      </c>
      <c r="N765" s="300">
        <v>453547</v>
      </c>
      <c r="O765" s="300">
        <v>0</v>
      </c>
      <c r="P765" s="231">
        <v>9777</v>
      </c>
      <c r="Q765" s="231">
        <v>463324</v>
      </c>
      <c r="R765" s="231"/>
      <c r="S765" s="392">
        <v>136960</v>
      </c>
      <c r="T765" s="231">
        <v>-5616</v>
      </c>
      <c r="U765" s="396">
        <v>131344</v>
      </c>
      <c r="V765" s="231"/>
      <c r="W765" s="396">
        <v>1232331</v>
      </c>
      <c r="X765" s="396">
        <v>-435440</v>
      </c>
      <c r="Y765" s="396"/>
      <c r="Z765" s="396"/>
    </row>
    <row r="766" spans="1:26">
      <c r="A766" s="390">
        <v>98131</v>
      </c>
      <c r="B766" s="391" t="s">
        <v>1462</v>
      </c>
      <c r="C766" s="234">
        <v>2.6879999999999997E-4</v>
      </c>
      <c r="D766" s="234">
        <v>2.5710000000000002E-4</v>
      </c>
      <c r="E766" s="231">
        <v>412231</v>
      </c>
      <c r="F766" s="231" t="s">
        <v>1924</v>
      </c>
      <c r="G766" s="392">
        <v>131145</v>
      </c>
      <c r="H766" s="392">
        <v>0</v>
      </c>
      <c r="I766" s="392">
        <v>258986</v>
      </c>
      <c r="J766" s="231">
        <v>35291</v>
      </c>
      <c r="K766" s="231">
        <v>425422</v>
      </c>
      <c r="L766" s="231"/>
      <c r="M766" s="300">
        <v>0</v>
      </c>
      <c r="N766" s="300">
        <v>588954</v>
      </c>
      <c r="O766" s="300">
        <v>0</v>
      </c>
      <c r="P766" s="231">
        <v>2707</v>
      </c>
      <c r="Q766" s="231">
        <v>591661</v>
      </c>
      <c r="R766" s="231"/>
      <c r="S766" s="392">
        <v>177849</v>
      </c>
      <c r="T766" s="231">
        <v>5805</v>
      </c>
      <c r="U766" s="396">
        <v>183654</v>
      </c>
      <c r="V766" s="231"/>
      <c r="W766" s="396">
        <v>1600245</v>
      </c>
      <c r="X766" s="396">
        <v>-565441</v>
      </c>
      <c r="Y766" s="396"/>
      <c r="Z766" s="396"/>
    </row>
    <row r="767" spans="1:26">
      <c r="A767" s="390">
        <v>98141</v>
      </c>
      <c r="B767" s="391" t="s">
        <v>1463</v>
      </c>
      <c r="C767" s="234">
        <v>2.8400000000000002E-4</v>
      </c>
      <c r="D767" s="234">
        <v>2.8600000000000001E-4</v>
      </c>
      <c r="E767" s="231">
        <v>435541</v>
      </c>
      <c r="F767" s="231" t="s">
        <v>1924</v>
      </c>
      <c r="G767" s="392">
        <v>138561</v>
      </c>
      <c r="H767" s="392">
        <v>0</v>
      </c>
      <c r="I767" s="392">
        <v>273631</v>
      </c>
      <c r="J767" s="231">
        <v>0</v>
      </c>
      <c r="K767" s="231">
        <v>412192</v>
      </c>
      <c r="L767" s="231"/>
      <c r="M767" s="300">
        <v>0</v>
      </c>
      <c r="N767" s="300">
        <v>622258</v>
      </c>
      <c r="O767" s="300">
        <v>0</v>
      </c>
      <c r="P767" s="231">
        <v>36738</v>
      </c>
      <c r="Q767" s="231">
        <v>658996</v>
      </c>
      <c r="R767" s="231"/>
      <c r="S767" s="392">
        <v>187906</v>
      </c>
      <c r="T767" s="231">
        <v>-14869</v>
      </c>
      <c r="U767" s="396">
        <v>173037</v>
      </c>
      <c r="V767" s="231"/>
      <c r="W767" s="396">
        <v>1690735</v>
      </c>
      <c r="X767" s="396">
        <v>-597416</v>
      </c>
      <c r="Y767" s="396"/>
      <c r="Z767" s="396"/>
    </row>
    <row r="768" spans="1:26">
      <c r="A768" s="390">
        <v>98147</v>
      </c>
      <c r="B768" s="391" t="s">
        <v>1464</v>
      </c>
      <c r="C768" s="234">
        <v>1.13E-5</v>
      </c>
      <c r="D768" s="234">
        <v>1.03E-5</v>
      </c>
      <c r="E768" s="231">
        <v>17330</v>
      </c>
      <c r="F768" s="231" t="s">
        <v>1924</v>
      </c>
      <c r="G768" s="392">
        <v>5513</v>
      </c>
      <c r="H768" s="392">
        <v>0</v>
      </c>
      <c r="I768" s="392">
        <v>10887</v>
      </c>
      <c r="J768" s="231">
        <v>11846</v>
      </c>
      <c r="K768" s="231">
        <v>28246</v>
      </c>
      <c r="L768" s="231"/>
      <c r="M768" s="300">
        <v>0</v>
      </c>
      <c r="N768" s="300">
        <v>24759</v>
      </c>
      <c r="O768" s="300">
        <v>0</v>
      </c>
      <c r="P768" s="231">
        <v>0</v>
      </c>
      <c r="Q768" s="231">
        <v>24759</v>
      </c>
      <c r="R768" s="231"/>
      <c r="S768" s="392">
        <v>7477</v>
      </c>
      <c r="T768" s="231">
        <v>6041</v>
      </c>
      <c r="U768" s="396">
        <v>13518</v>
      </c>
      <c r="V768" s="231"/>
      <c r="W768" s="396">
        <v>67272</v>
      </c>
      <c r="X768" s="396">
        <v>-23770</v>
      </c>
      <c r="Y768" s="396"/>
      <c r="Z768" s="396"/>
    </row>
    <row r="769" spans="1:26">
      <c r="A769" s="390">
        <v>98161</v>
      </c>
      <c r="B769" s="391" t="s">
        <v>1465</v>
      </c>
      <c r="C769" s="234">
        <v>5.5999999999999997E-6</v>
      </c>
      <c r="D769" s="234">
        <v>5.6999999999999996E-6</v>
      </c>
      <c r="E769" s="231">
        <v>8588</v>
      </c>
      <c r="F769" s="231" t="s">
        <v>1924</v>
      </c>
      <c r="G769" s="392">
        <v>2732</v>
      </c>
      <c r="H769" s="392">
        <v>0</v>
      </c>
      <c r="I769" s="392">
        <v>5396</v>
      </c>
      <c r="J769" s="231">
        <v>4414</v>
      </c>
      <c r="K769" s="231">
        <v>12542</v>
      </c>
      <c r="L769" s="231"/>
      <c r="M769" s="300">
        <v>0</v>
      </c>
      <c r="N769" s="300">
        <v>12270</v>
      </c>
      <c r="O769" s="300">
        <v>0</v>
      </c>
      <c r="P769" s="231">
        <v>0</v>
      </c>
      <c r="Q769" s="231">
        <v>12270</v>
      </c>
      <c r="R769" s="231"/>
      <c r="S769" s="392">
        <v>3705</v>
      </c>
      <c r="T769" s="231">
        <v>2322</v>
      </c>
      <c r="U769" s="396">
        <v>6027</v>
      </c>
      <c r="V769" s="231"/>
      <c r="W769" s="396">
        <v>33338</v>
      </c>
      <c r="X769" s="396">
        <v>-11780</v>
      </c>
      <c r="Y769" s="396"/>
      <c r="Z769" s="396"/>
    </row>
    <row r="770" spans="1:26">
      <c r="A770" s="390">
        <v>98201</v>
      </c>
      <c r="B770" s="391" t="s">
        <v>1466</v>
      </c>
      <c r="C770" s="234">
        <v>2.9794999999999999E-3</v>
      </c>
      <c r="D770" s="234">
        <v>3.1876000000000001E-3</v>
      </c>
      <c r="E770" s="231">
        <v>4569349</v>
      </c>
      <c r="F770" s="231" t="s">
        <v>1924</v>
      </c>
      <c r="G770" s="392">
        <v>1453674</v>
      </c>
      <c r="H770" s="392">
        <v>0</v>
      </c>
      <c r="I770" s="392">
        <v>2870718</v>
      </c>
      <c r="J770" s="231">
        <v>49114</v>
      </c>
      <c r="K770" s="231">
        <v>4373506</v>
      </c>
      <c r="L770" s="231"/>
      <c r="M770" s="300">
        <v>0</v>
      </c>
      <c r="N770" s="300">
        <v>6528228</v>
      </c>
      <c r="O770" s="300">
        <v>0</v>
      </c>
      <c r="P770" s="231">
        <v>543931</v>
      </c>
      <c r="Q770" s="231">
        <v>7072159</v>
      </c>
      <c r="R770" s="231"/>
      <c r="S770" s="392">
        <v>1971362</v>
      </c>
      <c r="T770" s="231">
        <v>-172803</v>
      </c>
      <c r="U770" s="396">
        <v>1798559</v>
      </c>
      <c r="V770" s="231"/>
      <c r="W770" s="396">
        <v>17737834</v>
      </c>
      <c r="X770" s="396">
        <v>-6267608</v>
      </c>
      <c r="Y770" s="396"/>
      <c r="Z770" s="396"/>
    </row>
    <row r="771" spans="1:26">
      <c r="A771" s="390">
        <v>98205</v>
      </c>
      <c r="B771" s="391" t="s">
        <v>1467</v>
      </c>
      <c r="C771" s="234">
        <v>3.9700000000000003E-5</v>
      </c>
      <c r="D771" s="234">
        <v>2.62E-5</v>
      </c>
      <c r="E771" s="231">
        <v>60884</v>
      </c>
      <c r="F771" s="231" t="s">
        <v>1924</v>
      </c>
      <c r="G771" s="392">
        <v>19369</v>
      </c>
      <c r="H771" s="392">
        <v>0</v>
      </c>
      <c r="I771" s="392">
        <v>38251</v>
      </c>
      <c r="J771" s="231">
        <v>22487</v>
      </c>
      <c r="K771" s="231">
        <v>80107</v>
      </c>
      <c r="L771" s="231"/>
      <c r="M771" s="300">
        <v>0</v>
      </c>
      <c r="N771" s="300">
        <v>86985</v>
      </c>
      <c r="O771" s="300">
        <v>0</v>
      </c>
      <c r="P771" s="231">
        <v>11482</v>
      </c>
      <c r="Q771" s="231">
        <v>98467</v>
      </c>
      <c r="R771" s="231"/>
      <c r="S771" s="392">
        <v>26267</v>
      </c>
      <c r="T771" s="231">
        <v>1146</v>
      </c>
      <c r="U771" s="396">
        <v>27413</v>
      </c>
      <c r="V771" s="231"/>
      <c r="W771" s="396">
        <v>236346</v>
      </c>
      <c r="X771" s="396">
        <v>-83512</v>
      </c>
      <c r="Y771" s="396"/>
      <c r="Z771" s="396"/>
    </row>
    <row r="772" spans="1:26">
      <c r="A772" s="390">
        <v>98211</v>
      </c>
      <c r="B772" s="391" t="s">
        <v>1468</v>
      </c>
      <c r="C772" s="234">
        <v>8.5130000000000004E-4</v>
      </c>
      <c r="D772" s="234">
        <v>8.8690000000000004E-4</v>
      </c>
      <c r="E772" s="231">
        <v>1305550</v>
      </c>
      <c r="F772" s="231" t="s">
        <v>1924</v>
      </c>
      <c r="G772" s="392">
        <v>415342</v>
      </c>
      <c r="H772" s="392">
        <v>0</v>
      </c>
      <c r="I772" s="392">
        <v>820219</v>
      </c>
      <c r="J772" s="231">
        <v>12610</v>
      </c>
      <c r="K772" s="231">
        <v>1248171</v>
      </c>
      <c r="L772" s="231"/>
      <c r="M772" s="300">
        <v>0</v>
      </c>
      <c r="N772" s="300">
        <v>1865239</v>
      </c>
      <c r="O772" s="300">
        <v>0</v>
      </c>
      <c r="P772" s="231">
        <v>125159</v>
      </c>
      <c r="Q772" s="231">
        <v>1990398</v>
      </c>
      <c r="R772" s="231"/>
      <c r="S772" s="392">
        <v>563256</v>
      </c>
      <c r="T772" s="231">
        <v>-60745</v>
      </c>
      <c r="U772" s="396">
        <v>502511</v>
      </c>
      <c r="V772" s="231"/>
      <c r="W772" s="396">
        <v>5068037</v>
      </c>
      <c r="X772" s="396">
        <v>-1790775</v>
      </c>
      <c r="Y772" s="396"/>
      <c r="Z772" s="396"/>
    </row>
    <row r="773" spans="1:26">
      <c r="A773" s="390">
        <v>98218</v>
      </c>
      <c r="B773" s="391" t="s">
        <v>1469</v>
      </c>
      <c r="C773" s="234">
        <v>1.91E-5</v>
      </c>
      <c r="D773" s="234">
        <v>1.77E-5</v>
      </c>
      <c r="E773" s="231">
        <v>29292</v>
      </c>
      <c r="F773" s="231" t="s">
        <v>1924</v>
      </c>
      <c r="G773" s="392">
        <v>9319</v>
      </c>
      <c r="H773" s="392">
        <v>0</v>
      </c>
      <c r="I773" s="392">
        <v>18403</v>
      </c>
      <c r="J773" s="231">
        <v>3657</v>
      </c>
      <c r="K773" s="231">
        <v>31379</v>
      </c>
      <c r="L773" s="231"/>
      <c r="M773" s="300">
        <v>0</v>
      </c>
      <c r="N773" s="300">
        <v>41849</v>
      </c>
      <c r="O773" s="300">
        <v>0</v>
      </c>
      <c r="P773" s="231">
        <v>268</v>
      </c>
      <c r="Q773" s="231">
        <v>42117</v>
      </c>
      <c r="R773" s="231"/>
      <c r="S773" s="392">
        <v>12637</v>
      </c>
      <c r="T773" s="231">
        <v>2118</v>
      </c>
      <c r="U773" s="396">
        <v>14755</v>
      </c>
      <c r="V773" s="231"/>
      <c r="W773" s="396">
        <v>113708</v>
      </c>
      <c r="X773" s="396">
        <v>-40178</v>
      </c>
      <c r="Y773" s="396"/>
      <c r="Z773" s="396"/>
    </row>
    <row r="774" spans="1:26">
      <c r="A774" s="390">
        <v>98221</v>
      </c>
      <c r="B774" s="391" t="s">
        <v>1470</v>
      </c>
      <c r="C774" s="234">
        <v>2.44E-5</v>
      </c>
      <c r="D774" s="234">
        <v>2.51E-5</v>
      </c>
      <c r="E774" s="231">
        <v>37420</v>
      </c>
      <c r="F774" s="231" t="s">
        <v>1924</v>
      </c>
      <c r="G774" s="392">
        <v>11905</v>
      </c>
      <c r="H774" s="392">
        <v>0</v>
      </c>
      <c r="I774" s="392">
        <v>23509</v>
      </c>
      <c r="J774" s="231">
        <v>3293</v>
      </c>
      <c r="K774" s="231">
        <v>38707</v>
      </c>
      <c r="L774" s="231"/>
      <c r="M774" s="300">
        <v>0</v>
      </c>
      <c r="N774" s="300">
        <v>53462</v>
      </c>
      <c r="O774" s="300">
        <v>0</v>
      </c>
      <c r="P774" s="231">
        <v>6306</v>
      </c>
      <c r="Q774" s="231">
        <v>59768</v>
      </c>
      <c r="R774" s="231"/>
      <c r="S774" s="392">
        <v>16144</v>
      </c>
      <c r="T774" s="231">
        <v>-270</v>
      </c>
      <c r="U774" s="396">
        <v>15874</v>
      </c>
      <c r="V774" s="231"/>
      <c r="W774" s="396">
        <v>145260</v>
      </c>
      <c r="X774" s="396">
        <v>-51327</v>
      </c>
      <c r="Y774" s="396"/>
      <c r="Z774" s="396"/>
    </row>
    <row r="775" spans="1:26">
      <c r="A775" s="390">
        <v>98231</v>
      </c>
      <c r="B775" s="391" t="s">
        <v>1471</v>
      </c>
      <c r="C775" s="234">
        <v>4.3099999999999997E-5</v>
      </c>
      <c r="D775" s="234">
        <v>2.9200000000000002E-5</v>
      </c>
      <c r="E775" s="231">
        <v>66098</v>
      </c>
      <c r="F775" s="231" t="s">
        <v>1924</v>
      </c>
      <c r="G775" s="392">
        <v>21028</v>
      </c>
      <c r="H775" s="392">
        <v>0</v>
      </c>
      <c r="I775" s="392">
        <v>41526</v>
      </c>
      <c r="J775" s="231">
        <v>21552</v>
      </c>
      <c r="K775" s="231">
        <v>84106</v>
      </c>
      <c r="L775" s="231"/>
      <c r="M775" s="300">
        <v>0</v>
      </c>
      <c r="N775" s="300">
        <v>94434</v>
      </c>
      <c r="O775" s="300">
        <v>0</v>
      </c>
      <c r="P775" s="231">
        <v>1461</v>
      </c>
      <c r="Q775" s="231">
        <v>95895</v>
      </c>
      <c r="R775" s="231"/>
      <c r="S775" s="392">
        <v>28517</v>
      </c>
      <c r="T775" s="231">
        <v>6348</v>
      </c>
      <c r="U775" s="396">
        <v>34865</v>
      </c>
      <c r="V775" s="231"/>
      <c r="W775" s="396">
        <v>256587</v>
      </c>
      <c r="X775" s="396">
        <v>-90664</v>
      </c>
      <c r="Y775" s="396"/>
      <c r="Z775" s="396"/>
    </row>
    <row r="776" spans="1:26">
      <c r="A776" s="390">
        <v>98237</v>
      </c>
      <c r="B776" s="391" t="s">
        <v>1472</v>
      </c>
      <c r="C776" s="234">
        <v>6.4999999999999996E-6</v>
      </c>
      <c r="D776" s="234">
        <v>6.2999999999999998E-6</v>
      </c>
      <c r="E776" s="231">
        <v>9968</v>
      </c>
      <c r="F776" s="231" t="s">
        <v>1924</v>
      </c>
      <c r="G776" s="392">
        <v>3171</v>
      </c>
      <c r="H776" s="392">
        <v>0</v>
      </c>
      <c r="I776" s="392">
        <v>6263</v>
      </c>
      <c r="J776" s="231">
        <v>1329</v>
      </c>
      <c r="K776" s="231">
        <v>10763</v>
      </c>
      <c r="L776" s="231"/>
      <c r="M776" s="300">
        <v>0</v>
      </c>
      <c r="N776" s="300">
        <v>14242</v>
      </c>
      <c r="O776" s="300">
        <v>0</v>
      </c>
      <c r="P776" s="231">
        <v>79</v>
      </c>
      <c r="Q776" s="231">
        <v>14321</v>
      </c>
      <c r="R776" s="231"/>
      <c r="S776" s="392">
        <v>4301</v>
      </c>
      <c r="T776" s="231">
        <v>1483</v>
      </c>
      <c r="U776" s="396">
        <v>5784</v>
      </c>
      <c r="V776" s="231"/>
      <c r="W776" s="396">
        <v>38696</v>
      </c>
      <c r="X776" s="396">
        <v>-13673</v>
      </c>
      <c r="Y776" s="396"/>
      <c r="Z776" s="396"/>
    </row>
    <row r="777" spans="1:26">
      <c r="A777" s="390">
        <v>98241</v>
      </c>
      <c r="B777" s="391" t="s">
        <v>1473</v>
      </c>
      <c r="C777" s="234">
        <v>6.0000000000000002E-6</v>
      </c>
      <c r="D777" s="234">
        <v>9.0999999999999993E-6</v>
      </c>
      <c r="E777" s="231">
        <v>9202</v>
      </c>
      <c r="F777" s="231" t="s">
        <v>1924</v>
      </c>
      <c r="G777" s="392">
        <v>2927</v>
      </c>
      <c r="H777" s="392">
        <v>0</v>
      </c>
      <c r="I777" s="392">
        <v>5781</v>
      </c>
      <c r="J777" s="231">
        <v>3151</v>
      </c>
      <c r="K777" s="231">
        <v>11859</v>
      </c>
      <c r="L777" s="231"/>
      <c r="M777" s="300">
        <v>0</v>
      </c>
      <c r="N777" s="300">
        <v>13146</v>
      </c>
      <c r="O777" s="300">
        <v>0</v>
      </c>
      <c r="P777" s="231">
        <v>11359</v>
      </c>
      <c r="Q777" s="231">
        <v>24505</v>
      </c>
      <c r="R777" s="231"/>
      <c r="S777" s="392">
        <v>3970</v>
      </c>
      <c r="T777" s="231">
        <v>-4003</v>
      </c>
      <c r="U777" s="396">
        <v>-33</v>
      </c>
      <c r="V777" s="231"/>
      <c r="W777" s="396">
        <v>35720</v>
      </c>
      <c r="X777" s="396">
        <v>-12621</v>
      </c>
      <c r="Y777" s="396"/>
      <c r="Z777" s="396"/>
    </row>
    <row r="778" spans="1:26">
      <c r="A778" s="390">
        <v>98251</v>
      </c>
      <c r="B778" s="391" t="s">
        <v>1474</v>
      </c>
      <c r="C778" s="234">
        <v>2.6000000000000001E-6</v>
      </c>
      <c r="D778" s="234">
        <v>2.3E-6</v>
      </c>
      <c r="E778" s="231">
        <v>3987</v>
      </c>
      <c r="F778" s="231" t="s">
        <v>1924</v>
      </c>
      <c r="G778" s="392">
        <v>1269</v>
      </c>
      <c r="H778" s="392">
        <v>0</v>
      </c>
      <c r="I778" s="392">
        <v>2505</v>
      </c>
      <c r="J778" s="231">
        <v>3256</v>
      </c>
      <c r="K778" s="231">
        <v>7030</v>
      </c>
      <c r="L778" s="231"/>
      <c r="M778" s="300">
        <v>0</v>
      </c>
      <c r="N778" s="300">
        <v>5697</v>
      </c>
      <c r="O778" s="300">
        <v>0</v>
      </c>
      <c r="P778" s="231">
        <v>0</v>
      </c>
      <c r="Q778" s="231">
        <v>5697</v>
      </c>
      <c r="R778" s="231"/>
      <c r="S778" s="392">
        <v>1720</v>
      </c>
      <c r="T778" s="231">
        <v>1545</v>
      </c>
      <c r="U778" s="396">
        <v>3265</v>
      </c>
      <c r="V778" s="231"/>
      <c r="W778" s="396">
        <v>15479</v>
      </c>
      <c r="X778" s="396">
        <v>-5469</v>
      </c>
      <c r="Y778" s="396"/>
      <c r="Z778" s="396"/>
    </row>
    <row r="779" spans="1:26">
      <c r="A779" s="390">
        <v>98261</v>
      </c>
      <c r="B779" s="391" t="s">
        <v>1475</v>
      </c>
      <c r="C779" s="234">
        <v>3.4799999999999999E-5</v>
      </c>
      <c r="D779" s="234">
        <v>3.54E-5</v>
      </c>
      <c r="E779" s="231">
        <v>53369</v>
      </c>
      <c r="F779" s="231" t="s">
        <v>1924</v>
      </c>
      <c r="G779" s="392">
        <v>16979</v>
      </c>
      <c r="H779" s="392">
        <v>0</v>
      </c>
      <c r="I779" s="392">
        <v>33529</v>
      </c>
      <c r="J779" s="231">
        <v>3154</v>
      </c>
      <c r="K779" s="231">
        <v>53662</v>
      </c>
      <c r="L779" s="231"/>
      <c r="M779" s="300">
        <v>0</v>
      </c>
      <c r="N779" s="300">
        <v>76248</v>
      </c>
      <c r="O779" s="300">
        <v>0</v>
      </c>
      <c r="P779" s="231">
        <v>810</v>
      </c>
      <c r="Q779" s="231">
        <v>77058</v>
      </c>
      <c r="R779" s="231"/>
      <c r="S779" s="392">
        <v>23025</v>
      </c>
      <c r="T779" s="231">
        <v>2530</v>
      </c>
      <c r="U779" s="396">
        <v>25555</v>
      </c>
      <c r="V779" s="231"/>
      <c r="W779" s="396">
        <v>207175</v>
      </c>
      <c r="X779" s="396">
        <v>-73204</v>
      </c>
      <c r="Y779" s="396"/>
      <c r="Z779" s="396"/>
    </row>
    <row r="780" spans="1:26">
      <c r="A780" s="390">
        <v>98271</v>
      </c>
      <c r="B780" s="391" t="s">
        <v>1476</v>
      </c>
      <c r="C780" s="234">
        <v>7.9999999999999996E-6</v>
      </c>
      <c r="D780" s="234">
        <v>6.9E-6</v>
      </c>
      <c r="E780" s="231">
        <v>12269</v>
      </c>
      <c r="F780" s="231" t="s">
        <v>1924</v>
      </c>
      <c r="G780" s="392">
        <v>3903</v>
      </c>
      <c r="H780" s="392">
        <v>0</v>
      </c>
      <c r="I780" s="392">
        <v>7708</v>
      </c>
      <c r="J780" s="231">
        <v>3533</v>
      </c>
      <c r="K780" s="231">
        <v>15144</v>
      </c>
      <c r="L780" s="231"/>
      <c r="M780" s="300">
        <v>0</v>
      </c>
      <c r="N780" s="300">
        <v>17528</v>
      </c>
      <c r="O780" s="300">
        <v>0</v>
      </c>
      <c r="P780" s="231">
        <v>0</v>
      </c>
      <c r="Q780" s="231">
        <v>17528</v>
      </c>
      <c r="R780" s="231"/>
      <c r="S780" s="392">
        <v>5293</v>
      </c>
      <c r="T780" s="231">
        <v>1876</v>
      </c>
      <c r="U780" s="396">
        <v>7169</v>
      </c>
      <c r="V780" s="231"/>
      <c r="W780" s="396">
        <v>47626</v>
      </c>
      <c r="X780" s="396">
        <v>-16829</v>
      </c>
      <c r="Y780" s="396"/>
      <c r="Z780" s="396"/>
    </row>
    <row r="781" spans="1:26">
      <c r="A781" s="390">
        <v>98301</v>
      </c>
      <c r="B781" s="391" t="s">
        <v>1477</v>
      </c>
      <c r="C781" s="234">
        <v>1.8951E-3</v>
      </c>
      <c r="D781" s="234">
        <v>1.8286999999999999E-3</v>
      </c>
      <c r="E781" s="231">
        <v>2906318</v>
      </c>
      <c r="F781" s="231" t="s">
        <v>1924</v>
      </c>
      <c r="G781" s="392">
        <v>924604</v>
      </c>
      <c r="H781" s="392">
        <v>0</v>
      </c>
      <c r="I781" s="392">
        <v>1825910</v>
      </c>
      <c r="J781" s="231">
        <v>212385</v>
      </c>
      <c r="K781" s="231">
        <v>2962899</v>
      </c>
      <c r="L781" s="231"/>
      <c r="M781" s="300">
        <v>0</v>
      </c>
      <c r="N781" s="300">
        <v>4152255</v>
      </c>
      <c r="O781" s="300">
        <v>0</v>
      </c>
      <c r="P781" s="231">
        <v>0</v>
      </c>
      <c r="Q781" s="231">
        <v>4152255</v>
      </c>
      <c r="R781" s="231"/>
      <c r="S781" s="392">
        <v>1253878</v>
      </c>
      <c r="T781" s="231">
        <v>91418</v>
      </c>
      <c r="U781" s="396">
        <v>1345296</v>
      </c>
      <c r="V781" s="231"/>
      <c r="W781" s="396">
        <v>11282084</v>
      </c>
      <c r="X781" s="396">
        <v>-3986489</v>
      </c>
      <c r="Y781" s="396"/>
      <c r="Z781" s="396"/>
    </row>
    <row r="782" spans="1:26">
      <c r="A782" s="390">
        <v>98304</v>
      </c>
      <c r="B782" s="391" t="s">
        <v>1478</v>
      </c>
      <c r="C782" s="234">
        <v>2.1699999999999999E-5</v>
      </c>
      <c r="D782" s="234">
        <v>2.02E-5</v>
      </c>
      <c r="E782" s="231">
        <v>33279</v>
      </c>
      <c r="F782" s="231" t="s">
        <v>1924</v>
      </c>
      <c r="G782" s="392">
        <v>10587</v>
      </c>
      <c r="H782" s="392">
        <v>0</v>
      </c>
      <c r="I782" s="392">
        <v>20908</v>
      </c>
      <c r="J782" s="231">
        <v>11123</v>
      </c>
      <c r="K782" s="231">
        <v>42618</v>
      </c>
      <c r="L782" s="231"/>
      <c r="M782" s="300">
        <v>0</v>
      </c>
      <c r="N782" s="300">
        <v>47546</v>
      </c>
      <c r="O782" s="300">
        <v>0</v>
      </c>
      <c r="P782" s="231">
        <v>0</v>
      </c>
      <c r="Q782" s="231">
        <v>47546</v>
      </c>
      <c r="R782" s="231"/>
      <c r="S782" s="392">
        <v>14358</v>
      </c>
      <c r="T782" s="231">
        <v>5127</v>
      </c>
      <c r="U782" s="396">
        <v>19485</v>
      </c>
      <c r="V782" s="231"/>
      <c r="W782" s="396">
        <v>129186</v>
      </c>
      <c r="X782" s="396">
        <v>-45648</v>
      </c>
      <c r="Y782" s="396"/>
      <c r="Z782" s="396"/>
    </row>
    <row r="783" spans="1:26">
      <c r="A783" s="390">
        <v>98308</v>
      </c>
      <c r="B783" s="391" t="s">
        <v>1479</v>
      </c>
      <c r="C783" s="234">
        <v>2.4199999999999999E-5</v>
      </c>
      <c r="D783" s="234">
        <v>1.56E-5</v>
      </c>
      <c r="E783" s="231">
        <v>37113</v>
      </c>
      <c r="F783" s="231" t="s">
        <v>1924</v>
      </c>
      <c r="G783" s="392">
        <v>11807</v>
      </c>
      <c r="H783" s="392">
        <v>0</v>
      </c>
      <c r="I783" s="392">
        <v>23316</v>
      </c>
      <c r="J783" s="231">
        <v>31082</v>
      </c>
      <c r="K783" s="231">
        <v>66205</v>
      </c>
      <c r="L783" s="231"/>
      <c r="M783" s="300">
        <v>0</v>
      </c>
      <c r="N783" s="300">
        <v>53023</v>
      </c>
      <c r="O783" s="300">
        <v>0</v>
      </c>
      <c r="P783" s="231">
        <v>0</v>
      </c>
      <c r="Q783" s="231">
        <v>53023</v>
      </c>
      <c r="R783" s="231"/>
      <c r="S783" s="392">
        <v>16012</v>
      </c>
      <c r="T783" s="231">
        <v>12474</v>
      </c>
      <c r="U783" s="396">
        <v>28486</v>
      </c>
      <c r="V783" s="231"/>
      <c r="W783" s="396">
        <v>144070</v>
      </c>
      <c r="X783" s="396">
        <v>-50907</v>
      </c>
      <c r="Y783" s="396"/>
      <c r="Z783" s="396"/>
    </row>
    <row r="784" spans="1:26">
      <c r="A784" s="390">
        <v>98311</v>
      </c>
      <c r="B784" s="391" t="s">
        <v>1480</v>
      </c>
      <c r="C784" s="234">
        <v>9.904E-4</v>
      </c>
      <c r="D784" s="234">
        <v>1.036E-3</v>
      </c>
      <c r="E784" s="231">
        <v>1518873</v>
      </c>
      <c r="F784" s="231" t="s">
        <v>1924</v>
      </c>
      <c r="G784" s="392">
        <v>483208</v>
      </c>
      <c r="H784" s="392">
        <v>0</v>
      </c>
      <c r="I784" s="392">
        <v>954240</v>
      </c>
      <c r="J784" s="231">
        <v>0</v>
      </c>
      <c r="K784" s="231">
        <v>1437448</v>
      </c>
      <c r="L784" s="231"/>
      <c r="M784" s="300">
        <v>0</v>
      </c>
      <c r="N784" s="300">
        <v>2170014</v>
      </c>
      <c r="O784" s="300">
        <v>0</v>
      </c>
      <c r="P784" s="231">
        <v>180599</v>
      </c>
      <c r="Q784" s="231">
        <v>2350613</v>
      </c>
      <c r="R784" s="231"/>
      <c r="S784" s="392">
        <v>655290</v>
      </c>
      <c r="T784" s="231">
        <v>-97887</v>
      </c>
      <c r="U784" s="396">
        <v>557403</v>
      </c>
      <c r="V784" s="231"/>
      <c r="W784" s="396">
        <v>5896140</v>
      </c>
      <c r="X784" s="396">
        <v>-2083383</v>
      </c>
      <c r="Y784" s="396"/>
      <c r="Z784" s="396"/>
    </row>
    <row r="785" spans="1:26">
      <c r="A785" s="390">
        <v>98313</v>
      </c>
      <c r="B785" s="391" t="s">
        <v>1481</v>
      </c>
      <c r="C785" s="234">
        <v>1.9320000000000001E-4</v>
      </c>
      <c r="D785" s="234">
        <v>1.951E-4</v>
      </c>
      <c r="E785" s="231">
        <v>296291</v>
      </c>
      <c r="F785" s="231" t="s">
        <v>1924</v>
      </c>
      <c r="G785" s="392">
        <v>94261</v>
      </c>
      <c r="H785" s="392">
        <v>0</v>
      </c>
      <c r="I785" s="392">
        <v>186146</v>
      </c>
      <c r="J785" s="231">
        <v>216464</v>
      </c>
      <c r="K785" s="231">
        <v>496871</v>
      </c>
      <c r="L785" s="231"/>
      <c r="M785" s="300">
        <v>0</v>
      </c>
      <c r="N785" s="300">
        <v>423310</v>
      </c>
      <c r="O785" s="300">
        <v>0</v>
      </c>
      <c r="P785" s="231">
        <v>0</v>
      </c>
      <c r="Q785" s="231">
        <v>423310</v>
      </c>
      <c r="R785" s="231"/>
      <c r="S785" s="392">
        <v>127829</v>
      </c>
      <c r="T785" s="231">
        <v>132135</v>
      </c>
      <c r="U785" s="396">
        <v>259964</v>
      </c>
      <c r="V785" s="231"/>
      <c r="W785" s="396">
        <v>1150176</v>
      </c>
      <c r="X785" s="396">
        <v>-406411</v>
      </c>
      <c r="Y785" s="396"/>
      <c r="Z785" s="396"/>
    </row>
    <row r="786" spans="1:26">
      <c r="A786" s="390">
        <v>98321</v>
      </c>
      <c r="B786" s="391" t="s">
        <v>1482</v>
      </c>
      <c r="C786" s="234">
        <v>1.26E-5</v>
      </c>
      <c r="D786" s="234">
        <v>1.3499999999999999E-5</v>
      </c>
      <c r="E786" s="231">
        <v>19323</v>
      </c>
      <c r="F786" s="231" t="s">
        <v>1924</v>
      </c>
      <c r="G786" s="392">
        <v>6147</v>
      </c>
      <c r="H786" s="392">
        <v>0</v>
      </c>
      <c r="I786" s="392">
        <v>12140</v>
      </c>
      <c r="J786" s="231">
        <v>262</v>
      </c>
      <c r="K786" s="231">
        <v>18549</v>
      </c>
      <c r="L786" s="231"/>
      <c r="M786" s="300">
        <v>0</v>
      </c>
      <c r="N786" s="300">
        <v>27607</v>
      </c>
      <c r="O786" s="300">
        <v>0</v>
      </c>
      <c r="P786" s="231">
        <v>2411</v>
      </c>
      <c r="Q786" s="231">
        <v>30018</v>
      </c>
      <c r="R786" s="231"/>
      <c r="S786" s="392">
        <v>8337</v>
      </c>
      <c r="T786" s="231">
        <v>-1098</v>
      </c>
      <c r="U786" s="396">
        <v>7239</v>
      </c>
      <c r="V786" s="231"/>
      <c r="W786" s="396">
        <v>75011</v>
      </c>
      <c r="X786" s="396">
        <v>-26505</v>
      </c>
      <c r="Y786" s="396"/>
      <c r="Z786" s="396"/>
    </row>
    <row r="787" spans="1:26">
      <c r="A787" s="390">
        <v>98331</v>
      </c>
      <c r="B787" s="391" t="s">
        <v>1483</v>
      </c>
      <c r="C787" s="234">
        <v>6.1E-6</v>
      </c>
      <c r="D787" s="234">
        <v>1.7E-6</v>
      </c>
      <c r="E787" s="231">
        <v>9355</v>
      </c>
      <c r="F787" s="231" t="s">
        <v>1924</v>
      </c>
      <c r="G787" s="392">
        <v>2976</v>
      </c>
      <c r="H787" s="392">
        <v>0</v>
      </c>
      <c r="I787" s="392">
        <v>5877</v>
      </c>
      <c r="J787" s="231">
        <v>10528</v>
      </c>
      <c r="K787" s="231">
        <v>19381</v>
      </c>
      <c r="L787" s="231"/>
      <c r="M787" s="300">
        <v>0</v>
      </c>
      <c r="N787" s="300">
        <v>13365</v>
      </c>
      <c r="O787" s="300">
        <v>0</v>
      </c>
      <c r="P787" s="231">
        <v>4410</v>
      </c>
      <c r="Q787" s="231">
        <v>17775</v>
      </c>
      <c r="R787" s="231"/>
      <c r="S787" s="392">
        <v>4036</v>
      </c>
      <c r="T787" s="231">
        <v>1900</v>
      </c>
      <c r="U787" s="396">
        <v>5936</v>
      </c>
      <c r="V787" s="231"/>
      <c r="W787" s="396">
        <v>36315</v>
      </c>
      <c r="X787" s="396">
        <v>-12832</v>
      </c>
      <c r="Y787" s="396"/>
      <c r="Z787" s="396"/>
    </row>
    <row r="788" spans="1:26">
      <c r="A788" s="390">
        <v>98401</v>
      </c>
      <c r="B788" s="395" t="s">
        <v>1484</v>
      </c>
      <c r="C788" s="234">
        <v>2.8972999999999998E-3</v>
      </c>
      <c r="D788" s="234">
        <v>2.9325000000000002E-3</v>
      </c>
      <c r="E788" s="231">
        <v>4443288</v>
      </c>
      <c r="F788" s="231" t="s">
        <v>1924</v>
      </c>
      <c r="G788" s="392">
        <v>1413569</v>
      </c>
      <c r="H788" s="392">
        <v>0</v>
      </c>
      <c r="I788" s="392">
        <v>2791520</v>
      </c>
      <c r="J788" s="231">
        <v>170675</v>
      </c>
      <c r="K788" s="231">
        <v>4375764</v>
      </c>
      <c r="L788" s="231"/>
      <c r="M788" s="300">
        <v>0</v>
      </c>
      <c r="N788" s="300">
        <v>6348123</v>
      </c>
      <c r="O788" s="300">
        <v>0</v>
      </c>
      <c r="P788" s="231">
        <v>0</v>
      </c>
      <c r="Q788" s="231">
        <v>6348123</v>
      </c>
      <c r="R788" s="231"/>
      <c r="S788" s="392">
        <v>1916975</v>
      </c>
      <c r="T788" s="231">
        <v>121525</v>
      </c>
      <c r="U788" s="396">
        <v>2038500</v>
      </c>
      <c r="V788" s="231"/>
      <c r="W788" s="396">
        <v>17248473</v>
      </c>
      <c r="X788" s="396">
        <v>-6094694</v>
      </c>
      <c r="Y788" s="396"/>
      <c r="Z788" s="396"/>
    </row>
    <row r="789" spans="1:26">
      <c r="A789" s="390">
        <v>98404</v>
      </c>
      <c r="B789" s="391" t="s">
        <v>1485</v>
      </c>
      <c r="C789" s="234">
        <v>2.23E-5</v>
      </c>
      <c r="D789" s="234">
        <v>1.5E-5</v>
      </c>
      <c r="E789" s="231">
        <v>34199</v>
      </c>
      <c r="F789" s="231" t="s">
        <v>1924</v>
      </c>
      <c r="G789" s="392">
        <v>10880</v>
      </c>
      <c r="H789" s="392">
        <v>0</v>
      </c>
      <c r="I789" s="392">
        <v>21486</v>
      </c>
      <c r="J789" s="231">
        <v>13723</v>
      </c>
      <c r="K789" s="231">
        <v>46089</v>
      </c>
      <c r="L789" s="231"/>
      <c r="M789" s="300">
        <v>0</v>
      </c>
      <c r="N789" s="300">
        <v>48860</v>
      </c>
      <c r="O789" s="300">
        <v>0</v>
      </c>
      <c r="P789" s="231">
        <v>168</v>
      </c>
      <c r="Q789" s="231">
        <v>49028</v>
      </c>
      <c r="R789" s="231"/>
      <c r="S789" s="392">
        <v>14755</v>
      </c>
      <c r="T789" s="231">
        <v>7071</v>
      </c>
      <c r="U789" s="396">
        <v>21826</v>
      </c>
      <c r="V789" s="231"/>
      <c r="W789" s="396">
        <v>132758</v>
      </c>
      <c r="X789" s="396">
        <v>-46910</v>
      </c>
      <c r="Y789" s="396"/>
      <c r="Z789" s="396"/>
    </row>
    <row r="790" spans="1:26">
      <c r="A790" s="390">
        <v>98411</v>
      </c>
      <c r="B790" s="395" t="s">
        <v>1486</v>
      </c>
      <c r="C790" s="234">
        <v>1.7966E-3</v>
      </c>
      <c r="D790" s="234">
        <v>1.7830999999999999E-3</v>
      </c>
      <c r="E790" s="231">
        <v>2755259</v>
      </c>
      <c r="F790" s="231" t="s">
        <v>1924</v>
      </c>
      <c r="G790" s="392">
        <v>876547</v>
      </c>
      <c r="H790" s="392">
        <v>0</v>
      </c>
      <c r="I790" s="392">
        <v>1731006</v>
      </c>
      <c r="J790" s="231">
        <v>0</v>
      </c>
      <c r="K790" s="231">
        <v>2607553</v>
      </c>
      <c r="L790" s="231"/>
      <c r="M790" s="300">
        <v>0</v>
      </c>
      <c r="N790" s="300">
        <v>3936437</v>
      </c>
      <c r="O790" s="300">
        <v>0</v>
      </c>
      <c r="P790" s="231">
        <v>189450</v>
      </c>
      <c r="Q790" s="231">
        <v>4125887</v>
      </c>
      <c r="R790" s="231"/>
      <c r="S790" s="392">
        <v>1188706</v>
      </c>
      <c r="T790" s="231">
        <v>-112882</v>
      </c>
      <c r="U790" s="396">
        <v>1075824</v>
      </c>
      <c r="V790" s="231"/>
      <c r="W790" s="396">
        <v>10695684</v>
      </c>
      <c r="X790" s="396">
        <v>-3779286</v>
      </c>
      <c r="Y790" s="396"/>
      <c r="Z790" s="396"/>
    </row>
    <row r="791" spans="1:26">
      <c r="A791" s="390">
        <v>98414</v>
      </c>
      <c r="B791" s="391" t="s">
        <v>1487</v>
      </c>
      <c r="C791" s="234">
        <v>3.9700000000000003E-5</v>
      </c>
      <c r="D791" s="234">
        <v>3.5099999999999999E-5</v>
      </c>
      <c r="E791" s="231">
        <v>60884</v>
      </c>
      <c r="F791" s="231" t="s">
        <v>1924</v>
      </c>
      <c r="G791" s="392">
        <v>19369</v>
      </c>
      <c r="H791" s="392">
        <v>0</v>
      </c>
      <c r="I791" s="392">
        <v>38251</v>
      </c>
      <c r="J791" s="231">
        <v>12382</v>
      </c>
      <c r="K791" s="231">
        <v>70002</v>
      </c>
      <c r="L791" s="231"/>
      <c r="M791" s="300">
        <v>0</v>
      </c>
      <c r="N791" s="300">
        <v>86985</v>
      </c>
      <c r="O791" s="300">
        <v>0</v>
      </c>
      <c r="P791" s="231">
        <v>5874</v>
      </c>
      <c r="Q791" s="231">
        <v>92859</v>
      </c>
      <c r="R791" s="231"/>
      <c r="S791" s="392">
        <v>26267</v>
      </c>
      <c r="T791" s="231">
        <v>880</v>
      </c>
      <c r="U791" s="396">
        <v>27147</v>
      </c>
      <c r="V791" s="231"/>
      <c r="W791" s="396">
        <v>236346</v>
      </c>
      <c r="X791" s="396">
        <v>-83512</v>
      </c>
      <c r="Y791" s="396"/>
      <c r="Z791" s="396"/>
    </row>
    <row r="792" spans="1:26">
      <c r="A792" s="390">
        <v>98417</v>
      </c>
      <c r="B792" s="391" t="s">
        <v>1488</v>
      </c>
      <c r="C792" s="234">
        <v>2.1399999999999998E-5</v>
      </c>
      <c r="D792" s="234">
        <v>2.1699999999999999E-5</v>
      </c>
      <c r="E792" s="231">
        <v>32819</v>
      </c>
      <c r="F792" s="231" t="s">
        <v>1924</v>
      </c>
      <c r="G792" s="392">
        <v>10441</v>
      </c>
      <c r="H792" s="392">
        <v>0</v>
      </c>
      <c r="I792" s="392">
        <v>20619</v>
      </c>
      <c r="J792" s="231">
        <v>12921</v>
      </c>
      <c r="K792" s="231">
        <v>43981</v>
      </c>
      <c r="L792" s="231"/>
      <c r="M792" s="300">
        <v>0</v>
      </c>
      <c r="N792" s="300">
        <v>46888</v>
      </c>
      <c r="O792" s="300">
        <v>0</v>
      </c>
      <c r="P792" s="231">
        <v>0</v>
      </c>
      <c r="Q792" s="231">
        <v>46888</v>
      </c>
      <c r="R792" s="231"/>
      <c r="S792" s="392">
        <v>14159</v>
      </c>
      <c r="T792" s="231">
        <v>5918</v>
      </c>
      <c r="U792" s="396">
        <v>20077</v>
      </c>
      <c r="V792" s="231"/>
      <c r="W792" s="396">
        <v>127400</v>
      </c>
      <c r="X792" s="396">
        <v>-45017</v>
      </c>
      <c r="Y792" s="396"/>
      <c r="Z792" s="396"/>
    </row>
    <row r="793" spans="1:26">
      <c r="A793" s="390">
        <v>98421</v>
      </c>
      <c r="B793" s="391" t="s">
        <v>1489</v>
      </c>
      <c r="C793" s="234">
        <v>1.053E-4</v>
      </c>
      <c r="D793" s="234">
        <v>1.081E-4</v>
      </c>
      <c r="E793" s="231">
        <v>161488</v>
      </c>
      <c r="F793" s="231" t="s">
        <v>1924</v>
      </c>
      <c r="G793" s="392">
        <v>51375</v>
      </c>
      <c r="H793" s="392">
        <v>0</v>
      </c>
      <c r="I793" s="392">
        <v>101455</v>
      </c>
      <c r="J793" s="231">
        <v>4722</v>
      </c>
      <c r="K793" s="231">
        <v>157552</v>
      </c>
      <c r="L793" s="231"/>
      <c r="M793" s="300">
        <v>0</v>
      </c>
      <c r="N793" s="300">
        <v>230717</v>
      </c>
      <c r="O793" s="300">
        <v>0</v>
      </c>
      <c r="P793" s="231">
        <v>11591</v>
      </c>
      <c r="Q793" s="231">
        <v>242308</v>
      </c>
      <c r="R793" s="231"/>
      <c r="S793" s="392">
        <v>69671</v>
      </c>
      <c r="T793" s="231">
        <v>-3692</v>
      </c>
      <c r="U793" s="396">
        <v>65979</v>
      </c>
      <c r="V793" s="231"/>
      <c r="W793" s="396">
        <v>626882</v>
      </c>
      <c r="X793" s="396">
        <v>-221507</v>
      </c>
      <c r="Y793" s="396"/>
      <c r="Z793" s="396"/>
    </row>
    <row r="794" spans="1:26">
      <c r="A794" s="390">
        <v>98427</v>
      </c>
      <c r="B794" s="391" t="s">
        <v>1490</v>
      </c>
      <c r="C794" s="234">
        <v>1.9E-6</v>
      </c>
      <c r="D794" s="234">
        <v>2.9000000000000002E-6</v>
      </c>
      <c r="E794" s="231">
        <v>2914</v>
      </c>
      <c r="F794" s="231" t="s">
        <v>1924</v>
      </c>
      <c r="G794" s="392">
        <v>927</v>
      </c>
      <c r="H794" s="392">
        <v>0</v>
      </c>
      <c r="I794" s="392">
        <v>1831</v>
      </c>
      <c r="J794" s="231">
        <v>2447</v>
      </c>
      <c r="K794" s="231">
        <v>5205</v>
      </c>
      <c r="L794" s="231"/>
      <c r="M794" s="300">
        <v>0</v>
      </c>
      <c r="N794" s="300">
        <v>4163</v>
      </c>
      <c r="O794" s="300">
        <v>0</v>
      </c>
      <c r="P794" s="231">
        <v>0</v>
      </c>
      <c r="Q794" s="231">
        <v>4163</v>
      </c>
      <c r="R794" s="231"/>
      <c r="S794" s="392">
        <v>1257</v>
      </c>
      <c r="T794" s="231">
        <v>1431</v>
      </c>
      <c r="U794" s="396">
        <v>2688</v>
      </c>
      <c r="V794" s="231"/>
      <c r="W794" s="396">
        <v>11311</v>
      </c>
      <c r="X794" s="396">
        <v>-3997</v>
      </c>
      <c r="Y794" s="396"/>
      <c r="Z794" s="396"/>
    </row>
    <row r="795" spans="1:26">
      <c r="A795" s="390">
        <v>98431</v>
      </c>
      <c r="B795" s="391" t="s">
        <v>1491</v>
      </c>
      <c r="C795" s="234">
        <v>2.589E-4</v>
      </c>
      <c r="D795" s="234">
        <v>2.062E-4</v>
      </c>
      <c r="E795" s="231">
        <v>397048</v>
      </c>
      <c r="F795" s="231" t="s">
        <v>1924</v>
      </c>
      <c r="G795" s="392">
        <v>126315</v>
      </c>
      <c r="H795" s="392">
        <v>0</v>
      </c>
      <c r="I795" s="392">
        <v>249448</v>
      </c>
      <c r="J795" s="231">
        <v>58864</v>
      </c>
      <c r="K795" s="231">
        <v>434627</v>
      </c>
      <c r="L795" s="231"/>
      <c r="M795" s="300">
        <v>0</v>
      </c>
      <c r="N795" s="300">
        <v>567262</v>
      </c>
      <c r="O795" s="300">
        <v>0</v>
      </c>
      <c r="P795" s="231">
        <v>7168</v>
      </c>
      <c r="Q795" s="231">
        <v>574430</v>
      </c>
      <c r="R795" s="231"/>
      <c r="S795" s="392">
        <v>171299</v>
      </c>
      <c r="T795" s="231">
        <v>11818</v>
      </c>
      <c r="U795" s="396">
        <v>183117</v>
      </c>
      <c r="V795" s="231"/>
      <c r="W795" s="396">
        <v>1541307</v>
      </c>
      <c r="X795" s="396">
        <v>-544616</v>
      </c>
      <c r="Y795" s="396"/>
      <c r="Z795" s="396"/>
    </row>
    <row r="796" spans="1:26">
      <c r="A796" s="390">
        <v>98441</v>
      </c>
      <c r="B796" s="391" t="s">
        <v>1492</v>
      </c>
      <c r="C796" s="234">
        <v>1.2449999999999999E-4</v>
      </c>
      <c r="D796" s="234">
        <v>1.1959999999999999E-4</v>
      </c>
      <c r="E796" s="231">
        <v>190933</v>
      </c>
      <c r="F796" s="231" t="s">
        <v>1924</v>
      </c>
      <c r="G796" s="392">
        <v>60743</v>
      </c>
      <c r="H796" s="392">
        <v>0</v>
      </c>
      <c r="I796" s="392">
        <v>119955</v>
      </c>
      <c r="J796" s="231">
        <v>13317</v>
      </c>
      <c r="K796" s="231">
        <v>194015</v>
      </c>
      <c r="L796" s="231"/>
      <c r="M796" s="300">
        <v>0</v>
      </c>
      <c r="N796" s="300">
        <v>272785</v>
      </c>
      <c r="O796" s="300">
        <v>0</v>
      </c>
      <c r="P796" s="231">
        <v>5779</v>
      </c>
      <c r="Q796" s="231">
        <v>278564</v>
      </c>
      <c r="R796" s="231"/>
      <c r="S796" s="392">
        <v>82374</v>
      </c>
      <c r="T796" s="231">
        <v>3567</v>
      </c>
      <c r="U796" s="396">
        <v>85941</v>
      </c>
      <c r="V796" s="231"/>
      <c r="W796" s="396">
        <v>741185</v>
      </c>
      <c r="X796" s="396">
        <v>-261895</v>
      </c>
      <c r="Y796" s="396"/>
      <c r="Z796" s="396"/>
    </row>
    <row r="797" spans="1:26">
      <c r="A797" s="390">
        <v>98451</v>
      </c>
      <c r="B797" s="395" t="s">
        <v>1493</v>
      </c>
      <c r="C797" s="234">
        <v>4.9799999999999998E-5</v>
      </c>
      <c r="D797" s="234">
        <v>3.2100000000000001E-5</v>
      </c>
      <c r="E797" s="231">
        <v>76373</v>
      </c>
      <c r="F797" s="231" t="s">
        <v>1924</v>
      </c>
      <c r="G797" s="392">
        <v>24297</v>
      </c>
      <c r="H797" s="392">
        <v>0</v>
      </c>
      <c r="I797" s="392">
        <v>47982</v>
      </c>
      <c r="J797" s="231">
        <v>33541</v>
      </c>
      <c r="K797" s="231">
        <v>105820</v>
      </c>
      <c r="L797" s="231"/>
      <c r="M797" s="300">
        <v>0</v>
      </c>
      <c r="N797" s="300">
        <v>109114</v>
      </c>
      <c r="O797" s="300">
        <v>0</v>
      </c>
      <c r="P797" s="231">
        <v>10729</v>
      </c>
      <c r="Q797" s="231">
        <v>119843</v>
      </c>
      <c r="R797" s="231"/>
      <c r="S797" s="392">
        <v>32950</v>
      </c>
      <c r="T797" s="231">
        <v>5502</v>
      </c>
      <c r="U797" s="396">
        <v>38452</v>
      </c>
      <c r="V797" s="231"/>
      <c r="W797" s="396">
        <v>296474</v>
      </c>
      <c r="X797" s="396">
        <v>-104758</v>
      </c>
      <c r="Y797" s="396"/>
      <c r="Z797" s="396"/>
    </row>
    <row r="798" spans="1:26">
      <c r="A798" s="390">
        <v>98471</v>
      </c>
      <c r="B798" s="391" t="s">
        <v>1638</v>
      </c>
      <c r="C798" s="234">
        <v>8.3999999999999992E-6</v>
      </c>
      <c r="D798" s="234">
        <v>6.7000000000000002E-6</v>
      </c>
      <c r="E798" s="231">
        <v>12882</v>
      </c>
      <c r="F798" s="231" t="s">
        <v>1924</v>
      </c>
      <c r="G798" s="392">
        <v>4098</v>
      </c>
      <c r="H798" s="392">
        <v>0</v>
      </c>
      <c r="I798" s="392">
        <v>8093</v>
      </c>
      <c r="J798" s="231">
        <v>4578</v>
      </c>
      <c r="K798" s="231">
        <v>16769</v>
      </c>
      <c r="L798" s="231"/>
      <c r="M798" s="300">
        <v>0</v>
      </c>
      <c r="N798" s="300">
        <v>18405</v>
      </c>
      <c r="O798" s="300">
        <v>0</v>
      </c>
      <c r="P798" s="231">
        <v>0</v>
      </c>
      <c r="Q798" s="231">
        <v>18405</v>
      </c>
      <c r="R798" s="231"/>
      <c r="S798" s="392">
        <v>5558</v>
      </c>
      <c r="T798" s="231">
        <v>2579</v>
      </c>
      <c r="U798" s="396">
        <v>8137</v>
      </c>
      <c r="V798" s="231"/>
      <c r="W798" s="396">
        <v>50008</v>
      </c>
      <c r="X798" s="396">
        <v>-17670</v>
      </c>
      <c r="Y798" s="396"/>
      <c r="Z798" s="396"/>
    </row>
    <row r="799" spans="1:26">
      <c r="A799" s="390">
        <v>98481</v>
      </c>
      <c r="B799" s="391" t="s">
        <v>1494</v>
      </c>
      <c r="C799" s="234">
        <v>7.0199999999999999E-5</v>
      </c>
      <c r="D799" s="234">
        <v>5.9799999999999997E-5</v>
      </c>
      <c r="E799" s="231">
        <v>107658</v>
      </c>
      <c r="F799" s="231" t="s">
        <v>1924</v>
      </c>
      <c r="G799" s="392">
        <v>34250</v>
      </c>
      <c r="H799" s="392">
        <v>0</v>
      </c>
      <c r="I799" s="392">
        <v>67637</v>
      </c>
      <c r="J799" s="231">
        <v>16074</v>
      </c>
      <c r="K799" s="231">
        <v>117961</v>
      </c>
      <c r="L799" s="231"/>
      <c r="M799" s="300">
        <v>0</v>
      </c>
      <c r="N799" s="300">
        <v>153812</v>
      </c>
      <c r="O799" s="300">
        <v>0</v>
      </c>
      <c r="P799" s="231">
        <v>4457</v>
      </c>
      <c r="Q799" s="231">
        <v>158269</v>
      </c>
      <c r="R799" s="231"/>
      <c r="S799" s="392">
        <v>46447</v>
      </c>
      <c r="T799" s="231">
        <v>2426</v>
      </c>
      <c r="U799" s="396">
        <v>48873</v>
      </c>
      <c r="V799" s="231"/>
      <c r="W799" s="396">
        <v>417921</v>
      </c>
      <c r="X799" s="396">
        <v>-147671</v>
      </c>
      <c r="Y799" s="396"/>
      <c r="Z799" s="396"/>
    </row>
    <row r="800" spans="1:26">
      <c r="A800" s="390">
        <v>98501</v>
      </c>
      <c r="B800" s="391" t="s">
        <v>1495</v>
      </c>
      <c r="C800" s="234">
        <v>2.1158000000000001E-3</v>
      </c>
      <c r="D800" s="234">
        <v>1.8075999999999999E-3</v>
      </c>
      <c r="E800" s="231">
        <v>3244782</v>
      </c>
      <c r="F800" s="231" t="s">
        <v>1924</v>
      </c>
      <c r="G800" s="392">
        <v>1032282</v>
      </c>
      <c r="H800" s="392">
        <v>0</v>
      </c>
      <c r="I800" s="392">
        <v>2038552</v>
      </c>
      <c r="J800" s="231">
        <v>704777</v>
      </c>
      <c r="K800" s="231">
        <v>3775611</v>
      </c>
      <c r="L800" s="231"/>
      <c r="M800" s="300">
        <v>0</v>
      </c>
      <c r="N800" s="300">
        <v>4635819</v>
      </c>
      <c r="O800" s="300">
        <v>0</v>
      </c>
      <c r="P800" s="231">
        <v>0</v>
      </c>
      <c r="Q800" s="231">
        <v>4635819</v>
      </c>
      <c r="R800" s="231"/>
      <c r="S800" s="392">
        <v>1399902</v>
      </c>
      <c r="T800" s="231">
        <v>288864</v>
      </c>
      <c r="U800" s="396">
        <v>1688766</v>
      </c>
      <c r="V800" s="231"/>
      <c r="W800" s="396">
        <v>12595975</v>
      </c>
      <c r="X800" s="396">
        <v>-4450748</v>
      </c>
      <c r="Y800" s="396"/>
      <c r="Z800" s="396"/>
    </row>
    <row r="801" spans="1:26">
      <c r="A801" s="390">
        <v>98511</v>
      </c>
      <c r="B801" s="391" t="s">
        <v>1496</v>
      </c>
      <c r="C801" s="234">
        <v>4.9599999999999999E-5</v>
      </c>
      <c r="D801" s="234">
        <v>4.4400000000000002E-5</v>
      </c>
      <c r="E801" s="231">
        <v>76066</v>
      </c>
      <c r="F801" s="231" t="s">
        <v>1924</v>
      </c>
      <c r="G801" s="392">
        <v>24199</v>
      </c>
      <c r="H801" s="392">
        <v>0</v>
      </c>
      <c r="I801" s="392">
        <v>47789</v>
      </c>
      <c r="J801" s="231">
        <v>14357</v>
      </c>
      <c r="K801" s="231">
        <v>86345</v>
      </c>
      <c r="L801" s="231"/>
      <c r="M801" s="300">
        <v>0</v>
      </c>
      <c r="N801" s="300">
        <v>108676</v>
      </c>
      <c r="O801" s="300">
        <v>0</v>
      </c>
      <c r="P801" s="231">
        <v>3889</v>
      </c>
      <c r="Q801" s="231">
        <v>112565</v>
      </c>
      <c r="R801" s="231"/>
      <c r="S801" s="392">
        <v>32817</v>
      </c>
      <c r="T801" s="231">
        <v>3668</v>
      </c>
      <c r="U801" s="396">
        <v>36485</v>
      </c>
      <c r="V801" s="231"/>
      <c r="W801" s="396">
        <v>295283</v>
      </c>
      <c r="X801" s="396">
        <v>-104337</v>
      </c>
      <c r="Y801" s="396"/>
      <c r="Z801" s="396"/>
    </row>
    <row r="802" spans="1:26">
      <c r="A802" s="390">
        <v>98517</v>
      </c>
      <c r="B802" s="391" t="s">
        <v>1497</v>
      </c>
      <c r="C802" s="234">
        <v>1.5999999999999999E-5</v>
      </c>
      <c r="D802" s="234">
        <v>0</v>
      </c>
      <c r="E802" s="231">
        <v>24538</v>
      </c>
      <c r="F802" s="231" t="s">
        <v>1924</v>
      </c>
      <c r="G802" s="392">
        <v>7806</v>
      </c>
      <c r="H802" s="392">
        <v>0</v>
      </c>
      <c r="I802" s="392">
        <v>15416</v>
      </c>
      <c r="J802" s="231">
        <v>23468</v>
      </c>
      <c r="K802" s="231">
        <v>46690</v>
      </c>
      <c r="L802" s="231"/>
      <c r="M802" s="300">
        <v>0</v>
      </c>
      <c r="N802" s="300">
        <v>35057</v>
      </c>
      <c r="O802" s="300">
        <v>0</v>
      </c>
      <c r="P802" s="231">
        <v>654</v>
      </c>
      <c r="Q802" s="231">
        <v>35711</v>
      </c>
      <c r="R802" s="231"/>
      <c r="S802" s="392">
        <v>10586</v>
      </c>
      <c r="T802" s="231">
        <v>8174</v>
      </c>
      <c r="U802" s="396">
        <v>18760</v>
      </c>
      <c r="V802" s="231"/>
      <c r="W802" s="396">
        <v>95253</v>
      </c>
      <c r="X802" s="396">
        <v>-33657</v>
      </c>
      <c r="Y802" s="396"/>
      <c r="Z802" s="396"/>
    </row>
    <row r="803" spans="1:26">
      <c r="A803" s="390">
        <v>98521</v>
      </c>
      <c r="B803" s="391" t="s">
        <v>1498</v>
      </c>
      <c r="C803" s="234">
        <v>6.4740000000000002E-4</v>
      </c>
      <c r="D803" s="234">
        <v>6.581E-4</v>
      </c>
      <c r="E803" s="231">
        <v>992850</v>
      </c>
      <c r="F803" s="231" t="s">
        <v>1924</v>
      </c>
      <c r="G803" s="392">
        <v>315861</v>
      </c>
      <c r="H803" s="392">
        <v>0</v>
      </c>
      <c r="I803" s="392">
        <v>623763</v>
      </c>
      <c r="J803" s="231">
        <v>18256</v>
      </c>
      <c r="K803" s="231">
        <v>957880</v>
      </c>
      <c r="L803" s="231"/>
      <c r="M803" s="300">
        <v>0</v>
      </c>
      <c r="N803" s="300">
        <v>1418484</v>
      </c>
      <c r="O803" s="300">
        <v>0</v>
      </c>
      <c r="P803" s="231">
        <v>49392</v>
      </c>
      <c r="Q803" s="231">
        <v>1467876</v>
      </c>
      <c r="R803" s="231"/>
      <c r="S803" s="392">
        <v>428347</v>
      </c>
      <c r="T803" s="231">
        <v>-4723</v>
      </c>
      <c r="U803" s="396">
        <v>423624</v>
      </c>
      <c r="V803" s="231"/>
      <c r="W803" s="396">
        <v>3854161</v>
      </c>
      <c r="X803" s="396">
        <v>-1361856</v>
      </c>
      <c r="Y803" s="396"/>
      <c r="Z803" s="396"/>
    </row>
    <row r="804" spans="1:26">
      <c r="A804" s="390">
        <v>98601</v>
      </c>
      <c r="B804" s="391" t="s">
        <v>1499</v>
      </c>
      <c r="C804" s="234">
        <v>3.5036999999999998E-3</v>
      </c>
      <c r="D804" s="234">
        <v>3.6321000000000001E-3</v>
      </c>
      <c r="E804" s="231">
        <v>5373260</v>
      </c>
      <c r="F804" s="231" t="s">
        <v>1924</v>
      </c>
      <c r="G804" s="392">
        <v>1709427</v>
      </c>
      <c r="H804" s="392">
        <v>0</v>
      </c>
      <c r="I804" s="392">
        <v>3375780</v>
      </c>
      <c r="J804" s="231">
        <v>39162</v>
      </c>
      <c r="K804" s="231">
        <v>5124369</v>
      </c>
      <c r="L804" s="231"/>
      <c r="M804" s="300">
        <v>0</v>
      </c>
      <c r="N804" s="300">
        <v>7676775</v>
      </c>
      <c r="O804" s="300">
        <v>0</v>
      </c>
      <c r="P804" s="231">
        <v>231949</v>
      </c>
      <c r="Q804" s="231">
        <v>7908724</v>
      </c>
      <c r="R804" s="231"/>
      <c r="S804" s="392">
        <v>2318195</v>
      </c>
      <c r="T804" s="231">
        <v>-89244</v>
      </c>
      <c r="U804" s="396">
        <v>2228951</v>
      </c>
      <c r="V804" s="231"/>
      <c r="W804" s="396">
        <v>20858549</v>
      </c>
      <c r="X804" s="396">
        <v>-7370303</v>
      </c>
      <c r="Y804" s="396"/>
      <c r="Z804" s="396"/>
    </row>
    <row r="805" spans="1:26">
      <c r="A805" s="390">
        <v>98604</v>
      </c>
      <c r="B805" s="391" t="s">
        <v>1500</v>
      </c>
      <c r="C805" s="234">
        <v>1.5099999999999999E-5</v>
      </c>
      <c r="D805" s="234">
        <v>1.45E-5</v>
      </c>
      <c r="E805" s="231">
        <v>23157</v>
      </c>
      <c r="F805" s="231" t="s">
        <v>1924</v>
      </c>
      <c r="G805" s="392">
        <v>7367</v>
      </c>
      <c r="H805" s="392">
        <v>0</v>
      </c>
      <c r="I805" s="392">
        <v>14549</v>
      </c>
      <c r="J805" s="231">
        <v>7011</v>
      </c>
      <c r="K805" s="231">
        <v>28927</v>
      </c>
      <c r="L805" s="231"/>
      <c r="M805" s="300">
        <v>0</v>
      </c>
      <c r="N805" s="300">
        <v>33085</v>
      </c>
      <c r="O805" s="300">
        <v>0</v>
      </c>
      <c r="P805" s="231">
        <v>0</v>
      </c>
      <c r="Q805" s="231">
        <v>33085</v>
      </c>
      <c r="R805" s="231"/>
      <c r="S805" s="392">
        <v>9991</v>
      </c>
      <c r="T805" s="231">
        <v>3043</v>
      </c>
      <c r="U805" s="396">
        <v>13034</v>
      </c>
      <c r="V805" s="231"/>
      <c r="W805" s="396">
        <v>89895</v>
      </c>
      <c r="X805" s="396">
        <v>-31764</v>
      </c>
      <c r="Y805" s="396"/>
      <c r="Z805" s="396"/>
    </row>
    <row r="806" spans="1:26">
      <c r="A806" s="390">
        <v>98607</v>
      </c>
      <c r="B806" s="391" t="s">
        <v>1501</v>
      </c>
      <c r="C806" s="234">
        <v>5.4E-6</v>
      </c>
      <c r="D806" s="234">
        <v>5.2000000000000002E-6</v>
      </c>
      <c r="E806" s="231">
        <v>8281</v>
      </c>
      <c r="F806" s="231" t="s">
        <v>1924</v>
      </c>
      <c r="G806" s="392">
        <v>2635</v>
      </c>
      <c r="H806" s="392">
        <v>0</v>
      </c>
      <c r="I806" s="392">
        <v>5203</v>
      </c>
      <c r="J806" s="231">
        <v>2151</v>
      </c>
      <c r="K806" s="231">
        <v>9989</v>
      </c>
      <c r="L806" s="231"/>
      <c r="M806" s="300">
        <v>0</v>
      </c>
      <c r="N806" s="300">
        <v>11832</v>
      </c>
      <c r="O806" s="300">
        <v>0</v>
      </c>
      <c r="P806" s="231">
        <v>380</v>
      </c>
      <c r="Q806" s="231">
        <v>12212</v>
      </c>
      <c r="R806" s="231"/>
      <c r="S806" s="392">
        <v>3573</v>
      </c>
      <c r="T806" s="231">
        <v>836</v>
      </c>
      <c r="U806" s="396">
        <v>4409</v>
      </c>
      <c r="V806" s="231"/>
      <c r="W806" s="396">
        <v>32148</v>
      </c>
      <c r="X806" s="396">
        <v>-11359</v>
      </c>
      <c r="Y806" s="396"/>
      <c r="Z806" s="396"/>
    </row>
    <row r="807" spans="1:26">
      <c r="A807" s="390">
        <v>98608</v>
      </c>
      <c r="B807" s="391" t="s">
        <v>1502</v>
      </c>
      <c r="C807" s="234">
        <v>6.9300000000000004E-5</v>
      </c>
      <c r="D807" s="234">
        <v>6.3899999999999995E-5</v>
      </c>
      <c r="E807" s="231">
        <v>106278</v>
      </c>
      <c r="F807" s="231" t="s">
        <v>1924</v>
      </c>
      <c r="G807" s="392">
        <v>33811</v>
      </c>
      <c r="H807" s="392">
        <v>0</v>
      </c>
      <c r="I807" s="392">
        <v>66770</v>
      </c>
      <c r="J807" s="231">
        <v>28263</v>
      </c>
      <c r="K807" s="231">
        <v>128844</v>
      </c>
      <c r="L807" s="231"/>
      <c r="M807" s="300">
        <v>0</v>
      </c>
      <c r="N807" s="300">
        <v>151840</v>
      </c>
      <c r="O807" s="300">
        <v>0</v>
      </c>
      <c r="P807" s="231">
        <v>252</v>
      </c>
      <c r="Q807" s="231">
        <v>152092</v>
      </c>
      <c r="R807" s="231"/>
      <c r="S807" s="392">
        <v>45852</v>
      </c>
      <c r="T807" s="231">
        <v>12799</v>
      </c>
      <c r="U807" s="396">
        <v>58651</v>
      </c>
      <c r="V807" s="231"/>
      <c r="W807" s="396">
        <v>412563</v>
      </c>
      <c r="X807" s="396">
        <v>-145778</v>
      </c>
      <c r="Y807" s="396"/>
      <c r="Z807" s="396"/>
    </row>
    <row r="808" spans="1:26">
      <c r="A808" s="390">
        <v>98611</v>
      </c>
      <c r="B808" s="391" t="s">
        <v>1503</v>
      </c>
      <c r="C808" s="234">
        <v>1.1E-4</v>
      </c>
      <c r="D808" s="234">
        <v>1.0620000000000001E-4</v>
      </c>
      <c r="E808" s="231">
        <v>168696</v>
      </c>
      <c r="F808" s="231" t="s">
        <v>1924</v>
      </c>
      <c r="G808" s="392">
        <v>53668</v>
      </c>
      <c r="H808" s="392">
        <v>0</v>
      </c>
      <c r="I808" s="392">
        <v>105984</v>
      </c>
      <c r="J808" s="231">
        <v>13774</v>
      </c>
      <c r="K808" s="231">
        <v>173426</v>
      </c>
      <c r="L808" s="231"/>
      <c r="M808" s="300">
        <v>0</v>
      </c>
      <c r="N808" s="300">
        <v>241015</v>
      </c>
      <c r="O808" s="300">
        <v>0</v>
      </c>
      <c r="P808" s="231">
        <v>8633</v>
      </c>
      <c r="Q808" s="231">
        <v>249648</v>
      </c>
      <c r="R808" s="231"/>
      <c r="S808" s="392">
        <v>72781</v>
      </c>
      <c r="T808" s="231">
        <v>6348</v>
      </c>
      <c r="U808" s="396">
        <v>79129</v>
      </c>
      <c r="V808" s="231"/>
      <c r="W808" s="396">
        <v>654862</v>
      </c>
      <c r="X808" s="396">
        <v>-231393</v>
      </c>
      <c r="Y808" s="396"/>
      <c r="Z808" s="396"/>
    </row>
    <row r="809" spans="1:26">
      <c r="A809" s="390">
        <v>98621</v>
      </c>
      <c r="B809" s="391" t="s">
        <v>1504</v>
      </c>
      <c r="C809" s="234">
        <v>1.405E-4</v>
      </c>
      <c r="D809" s="234">
        <v>1.3870000000000001E-4</v>
      </c>
      <c r="E809" s="231">
        <v>215470</v>
      </c>
      <c r="F809" s="231" t="s">
        <v>1924</v>
      </c>
      <c r="G809" s="392">
        <v>68549</v>
      </c>
      <c r="H809" s="392">
        <v>0</v>
      </c>
      <c r="I809" s="392">
        <v>135370</v>
      </c>
      <c r="J809" s="231">
        <v>7526</v>
      </c>
      <c r="K809" s="231">
        <v>211445</v>
      </c>
      <c r="L809" s="231"/>
      <c r="M809" s="300">
        <v>0</v>
      </c>
      <c r="N809" s="300">
        <v>307842</v>
      </c>
      <c r="O809" s="300">
        <v>0</v>
      </c>
      <c r="P809" s="231">
        <v>4532</v>
      </c>
      <c r="Q809" s="231">
        <v>312374</v>
      </c>
      <c r="R809" s="231"/>
      <c r="S809" s="392">
        <v>92961</v>
      </c>
      <c r="T809" s="231">
        <v>706</v>
      </c>
      <c r="U809" s="396">
        <v>93667</v>
      </c>
      <c r="V809" s="231"/>
      <c r="W809" s="396">
        <v>836438</v>
      </c>
      <c r="X809" s="396">
        <v>-295553</v>
      </c>
      <c r="Y809" s="396"/>
      <c r="Z809" s="396"/>
    </row>
    <row r="810" spans="1:26">
      <c r="A810" s="390">
        <v>98627</v>
      </c>
      <c r="B810" s="391" t="s">
        <v>1505</v>
      </c>
      <c r="C810" s="234">
        <v>1.0200000000000001E-5</v>
      </c>
      <c r="D810" s="234">
        <v>7.4000000000000003E-6</v>
      </c>
      <c r="E810" s="231">
        <v>15643</v>
      </c>
      <c r="F810" s="231" t="s">
        <v>1924</v>
      </c>
      <c r="G810" s="392">
        <v>4976</v>
      </c>
      <c r="H810" s="392">
        <v>0</v>
      </c>
      <c r="I810" s="392">
        <v>9828</v>
      </c>
      <c r="J810" s="231">
        <v>4830</v>
      </c>
      <c r="K810" s="231">
        <v>19634</v>
      </c>
      <c r="L810" s="231"/>
      <c r="M810" s="300">
        <v>0</v>
      </c>
      <c r="N810" s="300">
        <v>22349</v>
      </c>
      <c r="O810" s="300">
        <v>0</v>
      </c>
      <c r="P810" s="231">
        <v>847</v>
      </c>
      <c r="Q810" s="231">
        <v>23196</v>
      </c>
      <c r="R810" s="231"/>
      <c r="S810" s="392">
        <v>6749</v>
      </c>
      <c r="T810" s="231">
        <v>855</v>
      </c>
      <c r="U810" s="396">
        <v>7604</v>
      </c>
      <c r="V810" s="231"/>
      <c r="W810" s="396">
        <v>60724</v>
      </c>
      <c r="X810" s="396">
        <v>-21456</v>
      </c>
      <c r="Y810" s="396"/>
      <c r="Z810" s="396"/>
    </row>
    <row r="811" spans="1:26">
      <c r="A811" s="390">
        <v>98631</v>
      </c>
      <c r="B811" s="391" t="s">
        <v>1506</v>
      </c>
      <c r="C811" s="234">
        <v>8.5400000000000005E-4</v>
      </c>
      <c r="D811" s="234">
        <v>9.3860000000000005E-4</v>
      </c>
      <c r="E811" s="231">
        <v>1309691</v>
      </c>
      <c r="F811" s="231" t="s">
        <v>1924</v>
      </c>
      <c r="G811" s="392">
        <v>416660</v>
      </c>
      <c r="H811" s="392">
        <v>0</v>
      </c>
      <c r="I811" s="392">
        <v>822820</v>
      </c>
      <c r="J811" s="231">
        <v>4747</v>
      </c>
      <c r="K811" s="231">
        <v>1244227</v>
      </c>
      <c r="L811" s="231"/>
      <c r="M811" s="300">
        <v>0</v>
      </c>
      <c r="N811" s="300">
        <v>1871155</v>
      </c>
      <c r="O811" s="300">
        <v>0</v>
      </c>
      <c r="P811" s="231">
        <v>196949</v>
      </c>
      <c r="Q811" s="231">
        <v>2068104</v>
      </c>
      <c r="R811" s="231"/>
      <c r="S811" s="392">
        <v>565042</v>
      </c>
      <c r="T811" s="231">
        <v>-75223</v>
      </c>
      <c r="U811" s="396">
        <v>489819</v>
      </c>
      <c r="V811" s="231"/>
      <c r="W811" s="396">
        <v>5084111</v>
      </c>
      <c r="X811" s="396">
        <v>-1796455</v>
      </c>
      <c r="Y811" s="396"/>
      <c r="Z811" s="396"/>
    </row>
    <row r="812" spans="1:26">
      <c r="A812" s="390">
        <v>98637</v>
      </c>
      <c r="B812" s="391" t="s">
        <v>1507</v>
      </c>
      <c r="C812" s="234">
        <v>2.1299999999999999E-5</v>
      </c>
      <c r="D812" s="234">
        <v>2.3499999999999999E-5</v>
      </c>
      <c r="E812" s="231">
        <v>32666</v>
      </c>
      <c r="F812" s="231" t="s">
        <v>1924</v>
      </c>
      <c r="G812" s="392">
        <v>10392</v>
      </c>
      <c r="H812" s="392">
        <v>0</v>
      </c>
      <c r="I812" s="392">
        <v>20522</v>
      </c>
      <c r="J812" s="231">
        <v>15996</v>
      </c>
      <c r="K812" s="231">
        <v>46910</v>
      </c>
      <c r="L812" s="231"/>
      <c r="M812" s="300">
        <v>0</v>
      </c>
      <c r="N812" s="300">
        <v>46669</v>
      </c>
      <c r="O812" s="300">
        <v>0</v>
      </c>
      <c r="P812" s="231">
        <v>0</v>
      </c>
      <c r="Q812" s="231">
        <v>46669</v>
      </c>
      <c r="R812" s="231"/>
      <c r="S812" s="392">
        <v>14093</v>
      </c>
      <c r="T812" s="231">
        <v>9116</v>
      </c>
      <c r="U812" s="396">
        <v>23209</v>
      </c>
      <c r="V812" s="231"/>
      <c r="W812" s="396">
        <v>126805</v>
      </c>
      <c r="X812" s="396">
        <v>-44806</v>
      </c>
      <c r="Y812" s="396"/>
      <c r="Z812" s="396"/>
    </row>
    <row r="813" spans="1:26">
      <c r="A813" s="390">
        <v>98641</v>
      </c>
      <c r="B813" s="391" t="s">
        <v>1508</v>
      </c>
      <c r="C813" s="234">
        <v>3.1060000000000001E-4</v>
      </c>
      <c r="D813" s="234">
        <v>2.8739999999999999E-4</v>
      </c>
      <c r="E813" s="231">
        <v>476335</v>
      </c>
      <c r="F813" s="231" t="s">
        <v>1924</v>
      </c>
      <c r="G813" s="392">
        <v>151539</v>
      </c>
      <c r="H813" s="392">
        <v>0</v>
      </c>
      <c r="I813" s="392">
        <v>299260</v>
      </c>
      <c r="J813" s="231">
        <v>54083</v>
      </c>
      <c r="K813" s="231">
        <v>504882</v>
      </c>
      <c r="L813" s="231"/>
      <c r="M813" s="300">
        <v>0</v>
      </c>
      <c r="N813" s="300">
        <v>680540</v>
      </c>
      <c r="O813" s="300">
        <v>0</v>
      </c>
      <c r="P813" s="231">
        <v>3318</v>
      </c>
      <c r="Q813" s="231">
        <v>683858</v>
      </c>
      <c r="R813" s="231"/>
      <c r="S813" s="392">
        <v>205506</v>
      </c>
      <c r="T813" s="231">
        <v>19985</v>
      </c>
      <c r="U813" s="396">
        <v>225491</v>
      </c>
      <c r="V813" s="231"/>
      <c r="W813" s="396">
        <v>1849092</v>
      </c>
      <c r="X813" s="396">
        <v>-653371</v>
      </c>
      <c r="Y813" s="396"/>
      <c r="Z813" s="396"/>
    </row>
    <row r="814" spans="1:26">
      <c r="A814" s="390">
        <v>98701</v>
      </c>
      <c r="B814" s="391" t="s">
        <v>1509</v>
      </c>
      <c r="C814" s="234">
        <v>1.0554E-3</v>
      </c>
      <c r="D814" s="234">
        <v>9.9500000000000001E-4</v>
      </c>
      <c r="E814" s="231">
        <v>1618557</v>
      </c>
      <c r="F814" s="231" t="s">
        <v>1924</v>
      </c>
      <c r="G814" s="392">
        <v>514921</v>
      </c>
      <c r="H814" s="392">
        <v>0</v>
      </c>
      <c r="I814" s="392">
        <v>1016867</v>
      </c>
      <c r="J814" s="231">
        <v>154046</v>
      </c>
      <c r="K814" s="231">
        <v>1685834</v>
      </c>
      <c r="L814" s="231"/>
      <c r="M814" s="300">
        <v>0</v>
      </c>
      <c r="N814" s="300">
        <v>2312432</v>
      </c>
      <c r="O814" s="300">
        <v>0</v>
      </c>
      <c r="P814" s="231">
        <v>48658</v>
      </c>
      <c r="Q814" s="231">
        <v>2361090</v>
      </c>
      <c r="R814" s="231"/>
      <c r="S814" s="392">
        <v>698297</v>
      </c>
      <c r="T814" s="231">
        <v>18852</v>
      </c>
      <c r="U814" s="396">
        <v>717149</v>
      </c>
      <c r="V814" s="231"/>
      <c r="W814" s="396">
        <v>6283104</v>
      </c>
      <c r="X814" s="396">
        <v>-2220115</v>
      </c>
      <c r="Y814" s="396"/>
      <c r="Z814" s="396"/>
    </row>
    <row r="815" spans="1:26">
      <c r="A815" s="390">
        <v>98711</v>
      </c>
      <c r="B815" s="391" t="s">
        <v>1510</v>
      </c>
      <c r="C815" s="234">
        <v>1.6440000000000001E-4</v>
      </c>
      <c r="D815" s="234">
        <v>1.4550000000000001E-4</v>
      </c>
      <c r="E815" s="231">
        <v>252123</v>
      </c>
      <c r="F815" s="231" t="s">
        <v>1924</v>
      </c>
      <c r="G815" s="392">
        <v>80209</v>
      </c>
      <c r="H815" s="392">
        <v>0</v>
      </c>
      <c r="I815" s="392">
        <v>158398</v>
      </c>
      <c r="J815" s="231">
        <v>26882</v>
      </c>
      <c r="K815" s="231">
        <v>265489</v>
      </c>
      <c r="L815" s="231"/>
      <c r="M815" s="300">
        <v>0</v>
      </c>
      <c r="N815" s="300">
        <v>360208</v>
      </c>
      <c r="O815" s="300">
        <v>0</v>
      </c>
      <c r="P815" s="231">
        <v>28512</v>
      </c>
      <c r="Q815" s="231">
        <v>388720</v>
      </c>
      <c r="R815" s="231"/>
      <c r="S815" s="392">
        <v>108774</v>
      </c>
      <c r="T815" s="231">
        <v>-10056</v>
      </c>
      <c r="U815" s="396">
        <v>98718</v>
      </c>
      <c r="V815" s="231"/>
      <c r="W815" s="396">
        <v>978721</v>
      </c>
      <c r="X815" s="396">
        <v>-345828</v>
      </c>
      <c r="Y815" s="396"/>
      <c r="Z815" s="396"/>
    </row>
    <row r="816" spans="1:26">
      <c r="A816" s="390">
        <v>98717</v>
      </c>
      <c r="B816" s="391" t="s">
        <v>1511</v>
      </c>
      <c r="C816" s="234">
        <v>1.1600000000000001E-5</v>
      </c>
      <c r="D816" s="234">
        <v>1.6500000000000001E-5</v>
      </c>
      <c r="E816" s="231">
        <v>17790</v>
      </c>
      <c r="F816" s="231" t="s">
        <v>1924</v>
      </c>
      <c r="G816" s="392">
        <v>5660</v>
      </c>
      <c r="H816" s="392">
        <v>0</v>
      </c>
      <c r="I816" s="392">
        <v>11176</v>
      </c>
      <c r="J816" s="231">
        <v>743</v>
      </c>
      <c r="K816" s="231">
        <v>17579</v>
      </c>
      <c r="L816" s="231"/>
      <c r="M816" s="300">
        <v>0</v>
      </c>
      <c r="N816" s="300">
        <v>25416</v>
      </c>
      <c r="O816" s="300">
        <v>0</v>
      </c>
      <c r="P816" s="231">
        <v>10651</v>
      </c>
      <c r="Q816" s="231">
        <v>36067</v>
      </c>
      <c r="R816" s="231"/>
      <c r="S816" s="392">
        <v>7675</v>
      </c>
      <c r="T816" s="231">
        <v>-3940</v>
      </c>
      <c r="U816" s="396">
        <v>3735</v>
      </c>
      <c r="V816" s="231"/>
      <c r="W816" s="396">
        <v>69058</v>
      </c>
      <c r="X816" s="396">
        <v>-24401</v>
      </c>
      <c r="Y816" s="396"/>
      <c r="Z816" s="396"/>
    </row>
    <row r="817" spans="1:26">
      <c r="A817" s="390">
        <v>98801</v>
      </c>
      <c r="B817" s="391" t="s">
        <v>1512</v>
      </c>
      <c r="C817" s="234">
        <v>2.4087000000000002E-3</v>
      </c>
      <c r="D817" s="234">
        <v>2.3004000000000002E-3</v>
      </c>
      <c r="E817" s="231">
        <v>3693973</v>
      </c>
      <c r="F817" s="231" t="s">
        <v>1924</v>
      </c>
      <c r="G817" s="392">
        <v>1175185</v>
      </c>
      <c r="H817" s="392">
        <v>0</v>
      </c>
      <c r="I817" s="392">
        <v>2320758</v>
      </c>
      <c r="J817" s="231">
        <v>462048</v>
      </c>
      <c r="K817" s="231">
        <v>3957991</v>
      </c>
      <c r="L817" s="231"/>
      <c r="M817" s="300">
        <v>0</v>
      </c>
      <c r="N817" s="300">
        <v>5277577</v>
      </c>
      <c r="O817" s="300">
        <v>0</v>
      </c>
      <c r="P817" s="231">
        <v>19021</v>
      </c>
      <c r="Q817" s="231">
        <v>5296598</v>
      </c>
      <c r="R817" s="231"/>
      <c r="S817" s="392">
        <v>1593697</v>
      </c>
      <c r="T817" s="231">
        <v>192934</v>
      </c>
      <c r="U817" s="396">
        <v>1786631</v>
      </c>
      <c r="V817" s="231"/>
      <c r="W817" s="396">
        <v>14339694</v>
      </c>
      <c r="X817" s="396">
        <v>-5066886</v>
      </c>
      <c r="Y817" s="396"/>
      <c r="Z817" s="396"/>
    </row>
    <row r="818" spans="1:26">
      <c r="A818" s="390">
        <v>98811</v>
      </c>
      <c r="B818" s="391" t="s">
        <v>1513</v>
      </c>
      <c r="C818" s="234">
        <v>5.6229999999999995E-4</v>
      </c>
      <c r="D818" s="234">
        <v>6.6279999999999996E-4</v>
      </c>
      <c r="E818" s="231">
        <v>862341</v>
      </c>
      <c r="F818" s="231" t="s">
        <v>1924</v>
      </c>
      <c r="G818" s="392">
        <v>274342</v>
      </c>
      <c r="H818" s="392">
        <v>0</v>
      </c>
      <c r="I818" s="392">
        <v>541770</v>
      </c>
      <c r="J818" s="231">
        <v>30523</v>
      </c>
      <c r="K818" s="231">
        <v>846635</v>
      </c>
      <c r="L818" s="231"/>
      <c r="M818" s="300">
        <v>0</v>
      </c>
      <c r="N818" s="300">
        <v>1232026</v>
      </c>
      <c r="O818" s="300">
        <v>0</v>
      </c>
      <c r="P818" s="231">
        <v>125128</v>
      </c>
      <c r="Q818" s="231">
        <v>1357154</v>
      </c>
      <c r="R818" s="231"/>
      <c r="S818" s="392">
        <v>372041</v>
      </c>
      <c r="T818" s="231">
        <v>-30697</v>
      </c>
      <c r="U818" s="396">
        <v>341344</v>
      </c>
      <c r="V818" s="231"/>
      <c r="W818" s="396">
        <v>3347536</v>
      </c>
      <c r="X818" s="396">
        <v>-1182841</v>
      </c>
      <c r="Y818" s="396"/>
      <c r="Z818" s="396"/>
    </row>
    <row r="819" spans="1:26">
      <c r="A819" s="390">
        <v>98817</v>
      </c>
      <c r="B819" s="391" t="s">
        <v>1514</v>
      </c>
      <c r="C819" s="234">
        <v>1.5999999999999999E-5</v>
      </c>
      <c r="D819" s="234">
        <v>1.3900000000000001E-5</v>
      </c>
      <c r="E819" s="231">
        <v>24538</v>
      </c>
      <c r="F819" s="231" t="s">
        <v>1924</v>
      </c>
      <c r="G819" s="392">
        <v>7806</v>
      </c>
      <c r="H819" s="392">
        <v>0</v>
      </c>
      <c r="I819" s="392">
        <v>15416</v>
      </c>
      <c r="J819" s="231">
        <v>6613</v>
      </c>
      <c r="K819" s="231">
        <v>29835</v>
      </c>
      <c r="L819" s="231"/>
      <c r="M819" s="300">
        <v>0</v>
      </c>
      <c r="N819" s="300">
        <v>35057</v>
      </c>
      <c r="O819" s="300">
        <v>0</v>
      </c>
      <c r="P819" s="231">
        <v>2629</v>
      </c>
      <c r="Q819" s="231">
        <v>37686</v>
      </c>
      <c r="R819" s="231"/>
      <c r="S819" s="392">
        <v>10586</v>
      </c>
      <c r="T819" s="231">
        <v>1966</v>
      </c>
      <c r="U819" s="396">
        <v>12552</v>
      </c>
      <c r="V819" s="231"/>
      <c r="W819" s="396">
        <v>95253</v>
      </c>
      <c r="X819" s="396">
        <v>-33657</v>
      </c>
      <c r="Y819" s="396"/>
      <c r="Z819" s="396"/>
    </row>
    <row r="820" spans="1:26">
      <c r="A820" s="390">
        <v>98901</v>
      </c>
      <c r="B820" s="391" t="s">
        <v>1515</v>
      </c>
      <c r="C820" s="234">
        <v>2.7609999999999999E-4</v>
      </c>
      <c r="D820" s="234">
        <v>2.8689999999999998E-4</v>
      </c>
      <c r="E820" s="231">
        <v>423426</v>
      </c>
      <c r="F820" s="231" t="s">
        <v>1924</v>
      </c>
      <c r="G820" s="392">
        <v>134707</v>
      </c>
      <c r="H820" s="392">
        <v>0</v>
      </c>
      <c r="I820" s="392">
        <v>266020</v>
      </c>
      <c r="J820" s="231">
        <v>16952</v>
      </c>
      <c r="K820" s="231">
        <v>417679</v>
      </c>
      <c r="L820" s="231"/>
      <c r="M820" s="300">
        <v>0</v>
      </c>
      <c r="N820" s="300">
        <v>604948</v>
      </c>
      <c r="O820" s="300">
        <v>0</v>
      </c>
      <c r="P820" s="231">
        <v>8596</v>
      </c>
      <c r="Q820" s="231">
        <v>613544</v>
      </c>
      <c r="R820" s="231"/>
      <c r="S820" s="392">
        <v>182679</v>
      </c>
      <c r="T820" s="231">
        <v>3477</v>
      </c>
      <c r="U820" s="396">
        <v>186156</v>
      </c>
      <c r="V820" s="231"/>
      <c r="W820" s="396">
        <v>1643704</v>
      </c>
      <c r="X820" s="396">
        <v>-580798</v>
      </c>
      <c r="Y820" s="396"/>
      <c r="Z820" s="396"/>
    </row>
    <row r="821" spans="1:26">
      <c r="A821" s="390">
        <v>98904</v>
      </c>
      <c r="B821" s="391" t="s">
        <v>1516</v>
      </c>
      <c r="C821" s="234">
        <v>2.9000000000000002E-6</v>
      </c>
      <c r="D821" s="234">
        <v>4.0999999999999997E-6</v>
      </c>
      <c r="E821" s="231">
        <v>4447</v>
      </c>
      <c r="F821" s="231" t="s">
        <v>1924</v>
      </c>
      <c r="G821" s="392">
        <v>1415</v>
      </c>
      <c r="H821" s="392">
        <v>0</v>
      </c>
      <c r="I821" s="392">
        <v>2794</v>
      </c>
      <c r="J821" s="231">
        <v>151</v>
      </c>
      <c r="K821" s="231">
        <v>4360</v>
      </c>
      <c r="L821" s="231"/>
      <c r="M821" s="300">
        <v>0</v>
      </c>
      <c r="N821" s="300">
        <v>6354</v>
      </c>
      <c r="O821" s="300">
        <v>0</v>
      </c>
      <c r="P821" s="231">
        <v>2324</v>
      </c>
      <c r="Q821" s="231">
        <v>8678</v>
      </c>
      <c r="R821" s="231"/>
      <c r="S821" s="392">
        <v>1919</v>
      </c>
      <c r="T821" s="231">
        <v>-1008</v>
      </c>
      <c r="U821" s="396">
        <v>911</v>
      </c>
      <c r="V821" s="231"/>
      <c r="W821" s="396">
        <v>17265</v>
      </c>
      <c r="X821" s="396">
        <v>-6100</v>
      </c>
      <c r="Y821" s="396"/>
      <c r="Z821" s="396"/>
    </row>
    <row r="822" spans="1:26">
      <c r="A822" s="390">
        <v>98911</v>
      </c>
      <c r="B822" s="391" t="s">
        <v>1517</v>
      </c>
      <c r="C822" s="234">
        <v>2.2500000000000001E-5</v>
      </c>
      <c r="D822" s="234">
        <v>2.16E-5</v>
      </c>
      <c r="E822" s="231">
        <v>34506</v>
      </c>
      <c r="F822" s="231" t="s">
        <v>1924</v>
      </c>
      <c r="G822" s="392">
        <v>10978</v>
      </c>
      <c r="H822" s="392">
        <v>0</v>
      </c>
      <c r="I822" s="392">
        <v>21679</v>
      </c>
      <c r="J822" s="231">
        <v>16257</v>
      </c>
      <c r="K822" s="231">
        <v>48914</v>
      </c>
      <c r="L822" s="231"/>
      <c r="M822" s="300">
        <v>0</v>
      </c>
      <c r="N822" s="300">
        <v>49299</v>
      </c>
      <c r="O822" s="300">
        <v>0</v>
      </c>
      <c r="P822" s="231">
        <v>579</v>
      </c>
      <c r="Q822" s="231">
        <v>49878</v>
      </c>
      <c r="R822" s="231"/>
      <c r="S822" s="392">
        <v>14887</v>
      </c>
      <c r="T822" s="231">
        <v>8316</v>
      </c>
      <c r="U822" s="396">
        <v>23203</v>
      </c>
      <c r="V822" s="231"/>
      <c r="W822" s="396">
        <v>133949</v>
      </c>
      <c r="X822" s="396">
        <v>-47330</v>
      </c>
      <c r="Y822" s="396"/>
      <c r="Z822" s="396"/>
    </row>
    <row r="823" spans="1:26">
      <c r="A823" s="390">
        <v>99001</v>
      </c>
      <c r="B823" s="391" t="s">
        <v>1518</v>
      </c>
      <c r="C823" s="234">
        <v>9.5493999999999996E-3</v>
      </c>
      <c r="D823" s="234">
        <v>9.2741000000000004E-3</v>
      </c>
      <c r="E823" s="231">
        <v>14644922</v>
      </c>
      <c r="F823" s="231" t="s">
        <v>1924</v>
      </c>
      <c r="G823" s="392">
        <v>4659076</v>
      </c>
      <c r="H823" s="392">
        <v>0</v>
      </c>
      <c r="I823" s="392">
        <v>9200751</v>
      </c>
      <c r="J823" s="231">
        <v>1067606</v>
      </c>
      <c r="K823" s="231">
        <v>14927433</v>
      </c>
      <c r="L823" s="231"/>
      <c r="M823" s="300">
        <v>0</v>
      </c>
      <c r="N823" s="300">
        <v>20923194</v>
      </c>
      <c r="O823" s="300">
        <v>0</v>
      </c>
      <c r="P823" s="231">
        <v>0</v>
      </c>
      <c r="Q823" s="231">
        <v>20923194</v>
      </c>
      <c r="R823" s="231"/>
      <c r="S823" s="392">
        <v>6318284</v>
      </c>
      <c r="T823" s="231">
        <v>483969</v>
      </c>
      <c r="U823" s="396">
        <v>6802253</v>
      </c>
      <c r="V823" s="231"/>
      <c r="W823" s="396">
        <v>56850367</v>
      </c>
      <c r="X823" s="396">
        <v>-20087898</v>
      </c>
      <c r="Y823" s="396"/>
      <c r="Z823" s="396"/>
    </row>
    <row r="824" spans="1:26">
      <c r="A824" s="390">
        <v>99011</v>
      </c>
      <c r="B824" s="391" t="s">
        <v>1519</v>
      </c>
      <c r="C824" s="234">
        <v>3.8801E-3</v>
      </c>
      <c r="D824" s="234">
        <v>3.8425E-3</v>
      </c>
      <c r="E824" s="231">
        <v>5950506</v>
      </c>
      <c r="F824" s="231" t="s">
        <v>1924</v>
      </c>
      <c r="G824" s="392">
        <v>1893070</v>
      </c>
      <c r="H824" s="392">
        <v>0</v>
      </c>
      <c r="I824" s="392">
        <v>3738438</v>
      </c>
      <c r="J824" s="231">
        <v>121028</v>
      </c>
      <c r="K824" s="231">
        <v>5752536</v>
      </c>
      <c r="L824" s="231"/>
      <c r="M824" s="300">
        <v>0</v>
      </c>
      <c r="N824" s="300">
        <v>8501485</v>
      </c>
      <c r="O824" s="300">
        <v>0</v>
      </c>
      <c r="P824" s="231">
        <v>0</v>
      </c>
      <c r="Q824" s="231">
        <v>8501485</v>
      </c>
      <c r="R824" s="231"/>
      <c r="S824" s="392">
        <v>2567237</v>
      </c>
      <c r="T824" s="231">
        <v>40965</v>
      </c>
      <c r="U824" s="396">
        <v>2608202</v>
      </c>
      <c r="V824" s="231"/>
      <c r="W824" s="396">
        <v>23099368</v>
      </c>
      <c r="X824" s="396">
        <v>-8162089</v>
      </c>
      <c r="Y824" s="396"/>
      <c r="Z824" s="396"/>
    </row>
    <row r="825" spans="1:26">
      <c r="A825" s="390">
        <v>99013</v>
      </c>
      <c r="B825" s="391" t="s">
        <v>1520</v>
      </c>
      <c r="C825" s="234">
        <v>7.5599999999999994E-5</v>
      </c>
      <c r="D825" s="234">
        <v>4.07E-5</v>
      </c>
      <c r="E825" s="231">
        <v>115940</v>
      </c>
      <c r="F825" s="231" t="s">
        <v>1924</v>
      </c>
      <c r="G825" s="392">
        <v>36885</v>
      </c>
      <c r="H825" s="392">
        <v>0</v>
      </c>
      <c r="I825" s="392">
        <v>72840</v>
      </c>
      <c r="J825" s="231">
        <v>66351</v>
      </c>
      <c r="K825" s="231">
        <v>176076</v>
      </c>
      <c r="L825" s="231"/>
      <c r="M825" s="300">
        <v>0</v>
      </c>
      <c r="N825" s="300">
        <v>165643</v>
      </c>
      <c r="O825" s="300">
        <v>0</v>
      </c>
      <c r="P825" s="231">
        <v>359</v>
      </c>
      <c r="Q825" s="231">
        <v>166002</v>
      </c>
      <c r="R825" s="231"/>
      <c r="S825" s="392">
        <v>50020</v>
      </c>
      <c r="T825" s="231">
        <v>21963</v>
      </c>
      <c r="U825" s="396">
        <v>71983</v>
      </c>
      <c r="V825" s="231"/>
      <c r="W825" s="396">
        <v>450069</v>
      </c>
      <c r="X825" s="396">
        <v>-159030</v>
      </c>
      <c r="Y825" s="396"/>
      <c r="Z825" s="396"/>
    </row>
    <row r="826" spans="1:26">
      <c r="A826" s="390">
        <v>99014</v>
      </c>
      <c r="B826" s="391" t="s">
        <v>1521</v>
      </c>
      <c r="C826" s="234">
        <v>1.9899999999999999E-5</v>
      </c>
      <c r="D826" s="234">
        <v>2.0400000000000001E-5</v>
      </c>
      <c r="E826" s="231">
        <v>30519</v>
      </c>
      <c r="F826" s="231" t="s">
        <v>1924</v>
      </c>
      <c r="G826" s="392">
        <v>9709</v>
      </c>
      <c r="H826" s="392">
        <v>0</v>
      </c>
      <c r="I826" s="392">
        <v>19173</v>
      </c>
      <c r="J826" s="231">
        <v>7087</v>
      </c>
      <c r="K826" s="231">
        <v>35969</v>
      </c>
      <c r="L826" s="231"/>
      <c r="M826" s="300">
        <v>0</v>
      </c>
      <c r="N826" s="300">
        <v>43602</v>
      </c>
      <c r="O826" s="300">
        <v>0</v>
      </c>
      <c r="P826" s="231">
        <v>637</v>
      </c>
      <c r="Q826" s="231">
        <v>44239</v>
      </c>
      <c r="R826" s="231"/>
      <c r="S826" s="392">
        <v>13167</v>
      </c>
      <c r="T826" s="231">
        <v>3176</v>
      </c>
      <c r="U826" s="396">
        <v>16343</v>
      </c>
      <c r="V826" s="231"/>
      <c r="W826" s="396">
        <v>118471</v>
      </c>
      <c r="X826" s="396">
        <v>-41861</v>
      </c>
      <c r="Y826" s="396"/>
      <c r="Z826" s="396"/>
    </row>
    <row r="827" spans="1:26">
      <c r="A827" s="390">
        <v>99017</v>
      </c>
      <c r="B827" s="391" t="s">
        <v>1522</v>
      </c>
      <c r="C827" s="234">
        <v>4.8300000000000002E-5</v>
      </c>
      <c r="D827" s="234">
        <v>3.6199999999999999E-5</v>
      </c>
      <c r="E827" s="231">
        <v>74073</v>
      </c>
      <c r="F827" s="231" t="s">
        <v>1924</v>
      </c>
      <c r="G827" s="392">
        <v>23565</v>
      </c>
      <c r="H827" s="392">
        <v>0</v>
      </c>
      <c r="I827" s="392">
        <v>46537</v>
      </c>
      <c r="J827" s="231">
        <v>23981</v>
      </c>
      <c r="K827" s="231">
        <v>94083</v>
      </c>
      <c r="L827" s="231"/>
      <c r="M827" s="300">
        <v>0</v>
      </c>
      <c r="N827" s="300">
        <v>105828</v>
      </c>
      <c r="O827" s="300">
        <v>0</v>
      </c>
      <c r="P827" s="231">
        <v>9769</v>
      </c>
      <c r="Q827" s="231">
        <v>115597</v>
      </c>
      <c r="R827" s="231"/>
      <c r="S827" s="392">
        <v>31957</v>
      </c>
      <c r="T827" s="231">
        <v>3839</v>
      </c>
      <c r="U827" s="396">
        <v>35796</v>
      </c>
      <c r="V827" s="231"/>
      <c r="W827" s="396">
        <v>287544</v>
      </c>
      <c r="X827" s="396">
        <v>-101603</v>
      </c>
      <c r="Y827" s="396"/>
      <c r="Z827" s="396"/>
    </row>
    <row r="828" spans="1:26">
      <c r="A828" s="390">
        <v>99021</v>
      </c>
      <c r="B828" s="391" t="s">
        <v>1523</v>
      </c>
      <c r="C828" s="234">
        <v>1.3019999999999999E-4</v>
      </c>
      <c r="D828" s="234">
        <v>1.3100000000000001E-4</v>
      </c>
      <c r="E828" s="231">
        <v>199674</v>
      </c>
      <c r="F828" s="231" t="s">
        <v>1924</v>
      </c>
      <c r="G828" s="392">
        <v>63524</v>
      </c>
      <c r="H828" s="392">
        <v>0</v>
      </c>
      <c r="I828" s="392">
        <v>125446</v>
      </c>
      <c r="J828" s="231">
        <v>1846</v>
      </c>
      <c r="K828" s="231">
        <v>190816</v>
      </c>
      <c r="L828" s="231"/>
      <c r="M828" s="300">
        <v>0</v>
      </c>
      <c r="N828" s="300">
        <v>285274</v>
      </c>
      <c r="O828" s="300">
        <v>0</v>
      </c>
      <c r="P828" s="231">
        <v>11092</v>
      </c>
      <c r="Q828" s="231">
        <v>296366</v>
      </c>
      <c r="R828" s="231"/>
      <c r="S828" s="392">
        <v>86146</v>
      </c>
      <c r="T828" s="231">
        <v>-4181</v>
      </c>
      <c r="U828" s="396">
        <v>81965</v>
      </c>
      <c r="V828" s="231"/>
      <c r="W828" s="396">
        <v>775119</v>
      </c>
      <c r="X828" s="396">
        <v>-273886</v>
      </c>
      <c r="Y828" s="396"/>
      <c r="Z828" s="396"/>
    </row>
    <row r="829" spans="1:26">
      <c r="A829" s="390">
        <v>99022</v>
      </c>
      <c r="B829" s="391" t="s">
        <v>211</v>
      </c>
      <c r="C829" s="234">
        <v>7.7999999999999999E-6</v>
      </c>
      <c r="D829" s="234">
        <v>7.7000000000000008E-6</v>
      </c>
      <c r="E829" s="231">
        <v>11962</v>
      </c>
      <c r="F829" s="231" t="s">
        <v>1924</v>
      </c>
      <c r="G829" s="392">
        <v>3806</v>
      </c>
      <c r="H829" s="392">
        <v>0</v>
      </c>
      <c r="I829" s="392">
        <v>7515</v>
      </c>
      <c r="J829" s="231">
        <v>13035</v>
      </c>
      <c r="K829" s="231">
        <v>24356</v>
      </c>
      <c r="L829" s="231"/>
      <c r="M829" s="300">
        <v>0</v>
      </c>
      <c r="N829" s="300">
        <v>17090</v>
      </c>
      <c r="O829" s="300">
        <v>0</v>
      </c>
      <c r="P829" s="231">
        <v>0</v>
      </c>
      <c r="Q829" s="231">
        <v>17090</v>
      </c>
      <c r="R829" s="231"/>
      <c r="S829" s="392">
        <v>5161</v>
      </c>
      <c r="T829" s="231">
        <v>6970</v>
      </c>
      <c r="U829" s="396">
        <v>12131</v>
      </c>
      <c r="V829" s="231"/>
      <c r="W829" s="396">
        <v>46436</v>
      </c>
      <c r="X829" s="396">
        <v>-16408</v>
      </c>
      <c r="Y829" s="396"/>
      <c r="Z829" s="396"/>
    </row>
    <row r="830" spans="1:26">
      <c r="A830" s="390">
        <v>99031</v>
      </c>
      <c r="B830" s="391" t="s">
        <v>1524</v>
      </c>
      <c r="C830" s="234">
        <v>9.4400000000000004E-5</v>
      </c>
      <c r="D830" s="234">
        <v>9.7499999999999998E-5</v>
      </c>
      <c r="E830" s="231">
        <v>144771</v>
      </c>
      <c r="F830" s="231" t="s">
        <v>1924</v>
      </c>
      <c r="G830" s="392">
        <v>46057</v>
      </c>
      <c r="H830" s="392">
        <v>0</v>
      </c>
      <c r="I830" s="392">
        <v>90953</v>
      </c>
      <c r="J830" s="231">
        <v>425</v>
      </c>
      <c r="K830" s="231">
        <v>137435</v>
      </c>
      <c r="L830" s="231"/>
      <c r="M830" s="300">
        <v>0</v>
      </c>
      <c r="N830" s="300">
        <v>206835</v>
      </c>
      <c r="O830" s="300">
        <v>0</v>
      </c>
      <c r="P830" s="231">
        <v>27844</v>
      </c>
      <c r="Q830" s="231">
        <v>234679</v>
      </c>
      <c r="R830" s="231"/>
      <c r="S830" s="392">
        <v>62459</v>
      </c>
      <c r="T830" s="231">
        <v>-19154</v>
      </c>
      <c r="U830" s="396">
        <v>43305</v>
      </c>
      <c r="V830" s="231"/>
      <c r="W830" s="396">
        <v>561991</v>
      </c>
      <c r="X830" s="396">
        <v>-198578</v>
      </c>
      <c r="Y830" s="396"/>
      <c r="Z830" s="396"/>
    </row>
    <row r="831" spans="1:26">
      <c r="A831" s="390">
        <v>99041</v>
      </c>
      <c r="B831" s="391" t="s">
        <v>1525</v>
      </c>
      <c r="C831" s="234">
        <v>6.4740000000000002E-4</v>
      </c>
      <c r="D831" s="234">
        <v>6.4840000000000004E-4</v>
      </c>
      <c r="E831" s="231">
        <v>992850</v>
      </c>
      <c r="F831" s="231" t="s">
        <v>1924</v>
      </c>
      <c r="G831" s="392">
        <v>315861</v>
      </c>
      <c r="H831" s="392">
        <v>0</v>
      </c>
      <c r="I831" s="392">
        <v>623763</v>
      </c>
      <c r="J831" s="231">
        <v>7089</v>
      </c>
      <c r="K831" s="231">
        <v>946713</v>
      </c>
      <c r="L831" s="231"/>
      <c r="M831" s="300">
        <v>0</v>
      </c>
      <c r="N831" s="300">
        <v>1418484</v>
      </c>
      <c r="O831" s="300">
        <v>0</v>
      </c>
      <c r="P831" s="231">
        <v>39287</v>
      </c>
      <c r="Q831" s="231">
        <v>1457771</v>
      </c>
      <c r="R831" s="231"/>
      <c r="S831" s="392">
        <v>428347</v>
      </c>
      <c r="T831" s="231">
        <v>-10244</v>
      </c>
      <c r="U831" s="396">
        <v>418103</v>
      </c>
      <c r="V831" s="231"/>
      <c r="W831" s="396">
        <v>3854161</v>
      </c>
      <c r="X831" s="396">
        <v>-1361856</v>
      </c>
      <c r="Y831" s="396"/>
      <c r="Z831" s="396"/>
    </row>
    <row r="832" spans="1:26">
      <c r="A832" s="390">
        <v>99047</v>
      </c>
      <c r="B832" s="391" t="s">
        <v>1526</v>
      </c>
      <c r="C832" s="234">
        <v>1.98E-5</v>
      </c>
      <c r="D832" s="234">
        <v>1.38E-5</v>
      </c>
      <c r="E832" s="231">
        <v>30365</v>
      </c>
      <c r="F832" s="231" t="s">
        <v>1924</v>
      </c>
      <c r="G832" s="392">
        <v>9660</v>
      </c>
      <c r="H832" s="392">
        <v>0</v>
      </c>
      <c r="I832" s="392">
        <v>19077</v>
      </c>
      <c r="J832" s="231">
        <v>19876</v>
      </c>
      <c r="K832" s="231">
        <v>48613</v>
      </c>
      <c r="L832" s="231"/>
      <c r="M832" s="300">
        <v>0</v>
      </c>
      <c r="N832" s="300">
        <v>43383</v>
      </c>
      <c r="O832" s="300">
        <v>0</v>
      </c>
      <c r="P832" s="231">
        <v>0</v>
      </c>
      <c r="Q832" s="231">
        <v>43383</v>
      </c>
      <c r="R832" s="231"/>
      <c r="S832" s="392">
        <v>13101</v>
      </c>
      <c r="T832" s="231">
        <v>8927</v>
      </c>
      <c r="U832" s="396">
        <v>22028</v>
      </c>
      <c r="V832" s="231"/>
      <c r="W832" s="396">
        <v>117875</v>
      </c>
      <c r="X832" s="396">
        <v>-41651</v>
      </c>
      <c r="Y832" s="396"/>
      <c r="Z832" s="396"/>
    </row>
    <row r="833" spans="1:26">
      <c r="A833" s="390">
        <v>99051</v>
      </c>
      <c r="B833" s="391" t="s">
        <v>1527</v>
      </c>
      <c r="C833" s="234">
        <v>3.3849999999999999E-4</v>
      </c>
      <c r="D833" s="234">
        <v>3.592E-4</v>
      </c>
      <c r="E833" s="231">
        <v>519122</v>
      </c>
      <c r="F833" s="231" t="s">
        <v>1924</v>
      </c>
      <c r="G833" s="392">
        <v>165151</v>
      </c>
      <c r="H833" s="392">
        <v>0</v>
      </c>
      <c r="I833" s="392">
        <v>326141</v>
      </c>
      <c r="J833" s="231">
        <v>5901</v>
      </c>
      <c r="K833" s="231">
        <v>497193</v>
      </c>
      <c r="L833" s="231"/>
      <c r="M833" s="300">
        <v>0</v>
      </c>
      <c r="N833" s="300">
        <v>741670</v>
      </c>
      <c r="O833" s="300">
        <v>0</v>
      </c>
      <c r="P833" s="231">
        <v>54669</v>
      </c>
      <c r="Q833" s="231">
        <v>796339</v>
      </c>
      <c r="R833" s="231"/>
      <c r="S833" s="392">
        <v>223966</v>
      </c>
      <c r="T833" s="231">
        <v>-19218</v>
      </c>
      <c r="U833" s="396">
        <v>204748</v>
      </c>
      <c r="V833" s="231"/>
      <c r="W833" s="396">
        <v>2015189</v>
      </c>
      <c r="X833" s="396">
        <v>-712061</v>
      </c>
      <c r="Y833" s="396"/>
      <c r="Z833" s="396"/>
    </row>
    <row r="834" spans="1:26">
      <c r="A834" s="390">
        <v>99061</v>
      </c>
      <c r="B834" s="391" t="s">
        <v>1528</v>
      </c>
      <c r="C834" s="234">
        <v>5.4E-6</v>
      </c>
      <c r="D834" s="234">
        <v>5.4999999999999999E-6</v>
      </c>
      <c r="E834" s="231">
        <v>8281</v>
      </c>
      <c r="F834" s="231" t="s">
        <v>1924</v>
      </c>
      <c r="G834" s="392">
        <v>2635</v>
      </c>
      <c r="H834" s="392">
        <v>0</v>
      </c>
      <c r="I834" s="392">
        <v>5203</v>
      </c>
      <c r="J834" s="231">
        <v>3595</v>
      </c>
      <c r="K834" s="231">
        <v>11433</v>
      </c>
      <c r="L834" s="231"/>
      <c r="M834" s="300">
        <v>0</v>
      </c>
      <c r="N834" s="300">
        <v>11832</v>
      </c>
      <c r="O834" s="300">
        <v>0</v>
      </c>
      <c r="P834" s="231">
        <v>0</v>
      </c>
      <c r="Q834" s="231">
        <v>11832</v>
      </c>
      <c r="R834" s="231"/>
      <c r="S834" s="392">
        <v>3573</v>
      </c>
      <c r="T834" s="231">
        <v>2655</v>
      </c>
      <c r="U834" s="396">
        <v>6228</v>
      </c>
      <c r="V834" s="231"/>
      <c r="W834" s="396">
        <v>32148</v>
      </c>
      <c r="X834" s="396">
        <v>-11359</v>
      </c>
      <c r="Y834" s="396"/>
      <c r="Z834" s="396"/>
    </row>
    <row r="835" spans="1:26">
      <c r="A835" s="390">
        <v>99071</v>
      </c>
      <c r="B835" s="391" t="s">
        <v>1529</v>
      </c>
      <c r="C835" s="234">
        <v>2.48E-5</v>
      </c>
      <c r="D835" s="234">
        <v>2.3799999999999999E-5</v>
      </c>
      <c r="E835" s="231">
        <v>38033</v>
      </c>
      <c r="F835" s="231" t="s">
        <v>1924</v>
      </c>
      <c r="G835" s="392">
        <v>12100</v>
      </c>
      <c r="H835" s="392">
        <v>0</v>
      </c>
      <c r="I835" s="392">
        <v>23895</v>
      </c>
      <c r="J835" s="231">
        <v>7762</v>
      </c>
      <c r="K835" s="231">
        <v>43757</v>
      </c>
      <c r="L835" s="231"/>
      <c r="M835" s="300">
        <v>0</v>
      </c>
      <c r="N835" s="300">
        <v>54338</v>
      </c>
      <c r="O835" s="300">
        <v>0</v>
      </c>
      <c r="P835" s="231">
        <v>1620</v>
      </c>
      <c r="Q835" s="231">
        <v>55958</v>
      </c>
      <c r="R835" s="231"/>
      <c r="S835" s="392">
        <v>16409</v>
      </c>
      <c r="T835" s="231">
        <v>1938</v>
      </c>
      <c r="U835" s="396">
        <v>18347</v>
      </c>
      <c r="V835" s="231"/>
      <c r="W835" s="396">
        <v>147642</v>
      </c>
      <c r="X835" s="396">
        <v>-52169</v>
      </c>
      <c r="Y835" s="396"/>
      <c r="Z835" s="396"/>
    </row>
    <row r="836" spans="1:26">
      <c r="A836" s="390">
        <v>99081</v>
      </c>
      <c r="B836" s="391" t="s">
        <v>1530</v>
      </c>
      <c r="C836" s="234">
        <v>5.0699999999999999E-5</v>
      </c>
      <c r="D836" s="234">
        <v>3.8800000000000001E-5</v>
      </c>
      <c r="E836" s="231">
        <v>77753</v>
      </c>
      <c r="F836" s="231" t="s">
        <v>1924</v>
      </c>
      <c r="G836" s="392">
        <v>24736</v>
      </c>
      <c r="H836" s="392">
        <v>0</v>
      </c>
      <c r="I836" s="392">
        <v>48849</v>
      </c>
      <c r="J836" s="231">
        <v>26198</v>
      </c>
      <c r="K836" s="231">
        <v>99783</v>
      </c>
      <c r="L836" s="231"/>
      <c r="M836" s="300">
        <v>0</v>
      </c>
      <c r="N836" s="300">
        <v>111086</v>
      </c>
      <c r="O836" s="300">
        <v>0</v>
      </c>
      <c r="P836" s="231">
        <v>0</v>
      </c>
      <c r="Q836" s="231">
        <v>111086</v>
      </c>
      <c r="R836" s="231"/>
      <c r="S836" s="392">
        <v>33545</v>
      </c>
      <c r="T836" s="231">
        <v>8675</v>
      </c>
      <c r="U836" s="396">
        <v>42220</v>
      </c>
      <c r="V836" s="231"/>
      <c r="W836" s="396">
        <v>301832</v>
      </c>
      <c r="X836" s="396">
        <v>-106651</v>
      </c>
      <c r="Y836" s="396"/>
      <c r="Z836" s="396"/>
    </row>
    <row r="837" spans="1:26">
      <c r="A837" s="390">
        <v>99091</v>
      </c>
      <c r="B837" s="391" t="s">
        <v>1531</v>
      </c>
      <c r="C837" s="234">
        <v>7.4000000000000003E-6</v>
      </c>
      <c r="D837" s="234">
        <v>1.5800000000000001E-5</v>
      </c>
      <c r="E837" s="231">
        <v>11349</v>
      </c>
      <c r="F837" s="231" t="s">
        <v>1924</v>
      </c>
      <c r="G837" s="392">
        <v>3610</v>
      </c>
      <c r="H837" s="392">
        <v>0</v>
      </c>
      <c r="I837" s="392">
        <v>7130</v>
      </c>
      <c r="J837" s="231">
        <v>14273</v>
      </c>
      <c r="K837" s="231">
        <v>25013</v>
      </c>
      <c r="L837" s="231"/>
      <c r="M837" s="300">
        <v>0</v>
      </c>
      <c r="N837" s="300">
        <v>16214</v>
      </c>
      <c r="O837" s="300">
        <v>0</v>
      </c>
      <c r="P837" s="231">
        <v>10908</v>
      </c>
      <c r="Q837" s="231">
        <v>27122</v>
      </c>
      <c r="R837" s="231"/>
      <c r="S837" s="392">
        <v>4896</v>
      </c>
      <c r="T837" s="231">
        <v>4351</v>
      </c>
      <c r="U837" s="396">
        <v>9247</v>
      </c>
      <c r="V837" s="231"/>
      <c r="W837" s="396">
        <v>44054</v>
      </c>
      <c r="X837" s="396">
        <v>-15566</v>
      </c>
      <c r="Y837" s="396"/>
      <c r="Z837" s="396"/>
    </row>
    <row r="838" spans="1:26">
      <c r="A838" s="390">
        <v>99101</v>
      </c>
      <c r="B838" s="391" t="s">
        <v>1532</v>
      </c>
      <c r="C838" s="234">
        <v>1.8289000000000001E-3</v>
      </c>
      <c r="D838" s="234">
        <v>1.9082999999999999E-3</v>
      </c>
      <c r="E838" s="231">
        <v>2804794</v>
      </c>
      <c r="F838" s="231" t="s">
        <v>1924</v>
      </c>
      <c r="G838" s="392">
        <v>892306</v>
      </c>
      <c r="H838" s="392">
        <v>0</v>
      </c>
      <c r="I838" s="392">
        <v>1762127</v>
      </c>
      <c r="J838" s="231">
        <v>0</v>
      </c>
      <c r="K838" s="231">
        <v>2654433</v>
      </c>
      <c r="L838" s="231"/>
      <c r="M838" s="300">
        <v>0</v>
      </c>
      <c r="N838" s="300">
        <v>4007208</v>
      </c>
      <c r="O838" s="300">
        <v>0</v>
      </c>
      <c r="P838" s="231">
        <v>348695</v>
      </c>
      <c r="Q838" s="231">
        <v>4355903</v>
      </c>
      <c r="R838" s="231"/>
      <c r="S838" s="392">
        <v>1210077</v>
      </c>
      <c r="T838" s="231">
        <v>-150299</v>
      </c>
      <c r="U838" s="396">
        <v>1059778</v>
      </c>
      <c r="V838" s="231"/>
      <c r="W838" s="396">
        <v>10887976</v>
      </c>
      <c r="X838" s="396">
        <v>-3847232</v>
      </c>
      <c r="Y838" s="396"/>
      <c r="Z838" s="396"/>
    </row>
    <row r="839" spans="1:26">
      <c r="A839" s="390">
        <v>99104</v>
      </c>
      <c r="B839" s="391" t="s">
        <v>1533</v>
      </c>
      <c r="C839" s="234">
        <v>3.6199999999999999E-5</v>
      </c>
      <c r="D839" s="234">
        <v>3.1999999999999999E-5</v>
      </c>
      <c r="E839" s="231">
        <v>55516</v>
      </c>
      <c r="F839" s="231" t="s">
        <v>1924</v>
      </c>
      <c r="G839" s="392">
        <v>17662</v>
      </c>
      <c r="H839" s="392">
        <v>0</v>
      </c>
      <c r="I839" s="392">
        <v>34878</v>
      </c>
      <c r="J839" s="231">
        <v>32904</v>
      </c>
      <c r="K839" s="231">
        <v>85444</v>
      </c>
      <c r="L839" s="231"/>
      <c r="M839" s="300">
        <v>0</v>
      </c>
      <c r="N839" s="300">
        <v>79316</v>
      </c>
      <c r="O839" s="300">
        <v>0</v>
      </c>
      <c r="P839" s="231">
        <v>0</v>
      </c>
      <c r="Q839" s="231">
        <v>79316</v>
      </c>
      <c r="R839" s="231"/>
      <c r="S839" s="392">
        <v>23951</v>
      </c>
      <c r="T839" s="231">
        <v>15306</v>
      </c>
      <c r="U839" s="396">
        <v>39257</v>
      </c>
      <c r="V839" s="231"/>
      <c r="W839" s="396">
        <v>215509</v>
      </c>
      <c r="X839" s="396">
        <v>-76149</v>
      </c>
      <c r="Y839" s="396"/>
      <c r="Z839" s="396"/>
    </row>
    <row r="840" spans="1:26">
      <c r="A840" s="390">
        <v>99109</v>
      </c>
      <c r="B840" s="391" t="s">
        <v>1534</v>
      </c>
      <c r="C840" s="234">
        <v>1.18E-4</v>
      </c>
      <c r="D840" s="234">
        <v>1.139E-4</v>
      </c>
      <c r="E840" s="231">
        <v>180964</v>
      </c>
      <c r="F840" s="231" t="s">
        <v>1924</v>
      </c>
      <c r="G840" s="392">
        <v>57571</v>
      </c>
      <c r="H840" s="392">
        <v>0</v>
      </c>
      <c r="I840" s="392">
        <v>113692</v>
      </c>
      <c r="J840" s="231">
        <v>6418</v>
      </c>
      <c r="K840" s="231">
        <v>177681</v>
      </c>
      <c r="L840" s="231"/>
      <c r="M840" s="300">
        <v>0</v>
      </c>
      <c r="N840" s="300">
        <v>258544</v>
      </c>
      <c r="O840" s="300">
        <v>0</v>
      </c>
      <c r="P840" s="231">
        <v>6715</v>
      </c>
      <c r="Q840" s="231">
        <v>265259</v>
      </c>
      <c r="R840" s="231"/>
      <c r="S840" s="392">
        <v>78074</v>
      </c>
      <c r="T840" s="231">
        <v>-802</v>
      </c>
      <c r="U840" s="396">
        <v>77272</v>
      </c>
      <c r="V840" s="231"/>
      <c r="W840" s="396">
        <v>702488</v>
      </c>
      <c r="X840" s="396">
        <v>-248222</v>
      </c>
      <c r="Y840" s="396"/>
      <c r="Z840" s="396"/>
    </row>
    <row r="841" spans="1:26">
      <c r="A841" s="390">
        <v>99110</v>
      </c>
      <c r="B841" s="391" t="s">
        <v>1535</v>
      </c>
      <c r="C841" s="234">
        <v>2.02E-4</v>
      </c>
      <c r="D841" s="234">
        <v>1.9249999999999999E-4</v>
      </c>
      <c r="E841" s="231">
        <v>309786</v>
      </c>
      <c r="F841" s="231" t="s">
        <v>1924</v>
      </c>
      <c r="G841" s="392">
        <v>98554</v>
      </c>
      <c r="H841" s="392">
        <v>0</v>
      </c>
      <c r="I841" s="392">
        <v>194625</v>
      </c>
      <c r="J841" s="231">
        <v>130063</v>
      </c>
      <c r="K841" s="231">
        <v>423242</v>
      </c>
      <c r="L841" s="231"/>
      <c r="M841" s="300">
        <v>0</v>
      </c>
      <c r="N841" s="300">
        <v>442592</v>
      </c>
      <c r="O841" s="300">
        <v>0</v>
      </c>
      <c r="P841" s="231">
        <v>0</v>
      </c>
      <c r="Q841" s="231">
        <v>442592</v>
      </c>
      <c r="R841" s="231"/>
      <c r="S841" s="392">
        <v>133652</v>
      </c>
      <c r="T841" s="231">
        <v>67694</v>
      </c>
      <c r="U841" s="396">
        <v>201346</v>
      </c>
      <c r="V841" s="231"/>
      <c r="W841" s="396">
        <v>1202565</v>
      </c>
      <c r="X841" s="396">
        <v>-424923</v>
      </c>
      <c r="Y841" s="396"/>
      <c r="Z841" s="396"/>
    </row>
    <row r="842" spans="1:26">
      <c r="A842" s="390">
        <v>99111</v>
      </c>
      <c r="B842" s="391" t="s">
        <v>1536</v>
      </c>
      <c r="C842" s="234">
        <v>1.2878E-3</v>
      </c>
      <c r="D842" s="234">
        <v>1.3797E-3</v>
      </c>
      <c r="E842" s="231">
        <v>1974965</v>
      </c>
      <c r="F842" s="231" t="s">
        <v>1924</v>
      </c>
      <c r="G842" s="392">
        <v>628307</v>
      </c>
      <c r="H842" s="392">
        <v>0</v>
      </c>
      <c r="I842" s="392">
        <v>1240782</v>
      </c>
      <c r="J842" s="231">
        <v>42695</v>
      </c>
      <c r="K842" s="231">
        <v>1911784</v>
      </c>
      <c r="L842" s="231"/>
      <c r="M842" s="300">
        <v>0</v>
      </c>
      <c r="N842" s="300">
        <v>2821632</v>
      </c>
      <c r="O842" s="300">
        <v>0</v>
      </c>
      <c r="P842" s="231">
        <v>222639</v>
      </c>
      <c r="Q842" s="231">
        <v>3044271</v>
      </c>
      <c r="R842" s="231"/>
      <c r="S842" s="392">
        <v>852063</v>
      </c>
      <c r="T842" s="231">
        <v>-66128</v>
      </c>
      <c r="U842" s="396">
        <v>785935</v>
      </c>
      <c r="V842" s="231"/>
      <c r="W842" s="396">
        <v>7666649</v>
      </c>
      <c r="X842" s="396">
        <v>-2708986</v>
      </c>
      <c r="Y842" s="396"/>
      <c r="Z842" s="396"/>
    </row>
    <row r="843" spans="1:26">
      <c r="A843" s="390">
        <v>99201</v>
      </c>
      <c r="B843" s="391" t="s">
        <v>1537</v>
      </c>
      <c r="C843" s="234">
        <v>3.7127800000000002E-2</v>
      </c>
      <c r="D843" s="234">
        <v>3.5152000000000003E-2</v>
      </c>
      <c r="E843" s="231">
        <v>56939046</v>
      </c>
      <c r="F843" s="231" t="s">
        <v>1924</v>
      </c>
      <c r="G843" s="392">
        <v>18114357</v>
      </c>
      <c r="H843" s="392">
        <v>0</v>
      </c>
      <c r="I843" s="392">
        <v>35772264</v>
      </c>
      <c r="J843" s="231">
        <v>3395055</v>
      </c>
      <c r="K843" s="231">
        <v>57281676</v>
      </c>
      <c r="L843" s="231"/>
      <c r="M843" s="300">
        <v>0</v>
      </c>
      <c r="N843" s="300">
        <v>81348792</v>
      </c>
      <c r="O843" s="300">
        <v>0</v>
      </c>
      <c r="P843" s="231">
        <v>0</v>
      </c>
      <c r="Q843" s="231">
        <v>81348792</v>
      </c>
      <c r="R843" s="231"/>
      <c r="S843" s="392">
        <v>24565312</v>
      </c>
      <c r="T843" s="231">
        <v>1458986</v>
      </c>
      <c r="U843" s="396">
        <v>26024298</v>
      </c>
      <c r="V843" s="231"/>
      <c r="W843" s="396">
        <v>221032635</v>
      </c>
      <c r="X843" s="396">
        <v>-78101186</v>
      </c>
      <c r="Y843" s="396"/>
      <c r="Z843" s="396"/>
    </row>
    <row r="844" spans="1:26">
      <c r="A844" s="390">
        <v>99202</v>
      </c>
      <c r="B844" s="391" t="s">
        <v>1538</v>
      </c>
      <c r="C844" s="234">
        <v>3.0500000000000002E-3</v>
      </c>
      <c r="D844" s="234">
        <v>2.8838000000000002E-3</v>
      </c>
      <c r="E844" s="231">
        <v>4677468</v>
      </c>
      <c r="F844" s="231" t="s">
        <v>1924</v>
      </c>
      <c r="G844" s="392">
        <v>1488071</v>
      </c>
      <c r="H844" s="392">
        <v>0</v>
      </c>
      <c r="I844" s="392">
        <v>2938645</v>
      </c>
      <c r="J844" s="231">
        <v>107465</v>
      </c>
      <c r="K844" s="231">
        <v>4534181</v>
      </c>
      <c r="L844" s="231"/>
      <c r="M844" s="300">
        <v>0</v>
      </c>
      <c r="N844" s="300">
        <v>6682696</v>
      </c>
      <c r="O844" s="300">
        <v>0</v>
      </c>
      <c r="P844" s="231">
        <v>26319</v>
      </c>
      <c r="Q844" s="231">
        <v>6709015</v>
      </c>
      <c r="R844" s="231"/>
      <c r="S844" s="392">
        <v>2018008</v>
      </c>
      <c r="T844" s="231">
        <v>10597</v>
      </c>
      <c r="U844" s="396">
        <v>2028605</v>
      </c>
      <c r="V844" s="231"/>
      <c r="W844" s="396">
        <v>18157541</v>
      </c>
      <c r="X844" s="396">
        <v>-6415910</v>
      </c>
      <c r="Y844" s="396"/>
      <c r="Z844" s="396"/>
    </row>
    <row r="845" spans="1:26">
      <c r="A845" s="390">
        <v>99203</v>
      </c>
      <c r="B845" s="391" t="s">
        <v>1539</v>
      </c>
      <c r="C845" s="234">
        <v>3.7080000000000001E-4</v>
      </c>
      <c r="D845" s="234">
        <v>3.8450000000000002E-4</v>
      </c>
      <c r="E845" s="231">
        <v>568657</v>
      </c>
      <c r="F845" s="231" t="s">
        <v>1924</v>
      </c>
      <c r="G845" s="392">
        <v>180910</v>
      </c>
      <c r="H845" s="392">
        <v>0</v>
      </c>
      <c r="I845" s="392">
        <v>357262</v>
      </c>
      <c r="J845" s="231">
        <v>39460</v>
      </c>
      <c r="K845" s="231">
        <v>577632</v>
      </c>
      <c r="L845" s="231"/>
      <c r="M845" s="300">
        <v>0</v>
      </c>
      <c r="N845" s="300">
        <v>812441</v>
      </c>
      <c r="O845" s="300">
        <v>0</v>
      </c>
      <c r="P845" s="231">
        <v>32095</v>
      </c>
      <c r="Q845" s="231">
        <v>844536</v>
      </c>
      <c r="R845" s="231"/>
      <c r="S845" s="392">
        <v>245337</v>
      </c>
      <c r="T845" s="231">
        <v>2076</v>
      </c>
      <c r="U845" s="396">
        <v>247413</v>
      </c>
      <c r="V845" s="231"/>
      <c r="W845" s="396">
        <v>2207481</v>
      </c>
      <c r="X845" s="396">
        <v>-780006</v>
      </c>
      <c r="Y845" s="396"/>
      <c r="Z845" s="396"/>
    </row>
    <row r="846" spans="1:26">
      <c r="A846" s="390">
        <v>99204</v>
      </c>
      <c r="B846" s="391" t="s">
        <v>1540</v>
      </c>
      <c r="C846" s="234">
        <v>1.1161999999999999E-3</v>
      </c>
      <c r="D846" s="234">
        <v>1.0219999999999999E-3</v>
      </c>
      <c r="E846" s="231">
        <v>1711800</v>
      </c>
      <c r="F846" s="231" t="s">
        <v>1924</v>
      </c>
      <c r="G846" s="392">
        <v>544585</v>
      </c>
      <c r="H846" s="392">
        <v>0</v>
      </c>
      <c r="I846" s="392">
        <v>1075448</v>
      </c>
      <c r="J846" s="231">
        <v>446881</v>
      </c>
      <c r="K846" s="231">
        <v>2066914</v>
      </c>
      <c r="L846" s="231"/>
      <c r="M846" s="300">
        <v>0</v>
      </c>
      <c r="N846" s="300">
        <v>2445648</v>
      </c>
      <c r="O846" s="300">
        <v>0</v>
      </c>
      <c r="P846" s="231">
        <v>0</v>
      </c>
      <c r="Q846" s="231">
        <v>2445648</v>
      </c>
      <c r="R846" s="231"/>
      <c r="S846" s="392">
        <v>738525</v>
      </c>
      <c r="T846" s="231">
        <v>181768</v>
      </c>
      <c r="U846" s="396">
        <v>920293</v>
      </c>
      <c r="V846" s="231"/>
      <c r="W846" s="396">
        <v>6645065</v>
      </c>
      <c r="X846" s="396">
        <v>-2348013</v>
      </c>
      <c r="Y846" s="396"/>
      <c r="Z846" s="396"/>
    </row>
    <row r="847" spans="1:26">
      <c r="A847" s="390">
        <v>99206</v>
      </c>
      <c r="B847" s="391" t="s">
        <v>1541</v>
      </c>
      <c r="C847" s="234">
        <v>1.9970000000000001E-3</v>
      </c>
      <c r="D847" s="234">
        <v>1.7485999999999999E-3</v>
      </c>
      <c r="E847" s="231">
        <v>3062591</v>
      </c>
      <c r="F847" s="231" t="s">
        <v>1924</v>
      </c>
      <c r="G847" s="392">
        <v>974320</v>
      </c>
      <c r="H847" s="392">
        <v>0</v>
      </c>
      <c r="I847" s="392">
        <v>1924090</v>
      </c>
      <c r="J847" s="231">
        <v>548582</v>
      </c>
      <c r="K847" s="231">
        <v>3446992</v>
      </c>
      <c r="L847" s="231"/>
      <c r="M847" s="300">
        <v>0</v>
      </c>
      <c r="N847" s="300">
        <v>4375523</v>
      </c>
      <c r="O847" s="300">
        <v>0</v>
      </c>
      <c r="P847" s="231">
        <v>50456</v>
      </c>
      <c r="Q847" s="231">
        <v>4425979</v>
      </c>
      <c r="R847" s="231"/>
      <c r="S847" s="392">
        <v>1321299</v>
      </c>
      <c r="T847" s="231">
        <v>332412</v>
      </c>
      <c r="U847" s="396">
        <v>1653711</v>
      </c>
      <c r="V847" s="231"/>
      <c r="W847" s="396">
        <v>11888724</v>
      </c>
      <c r="X847" s="396">
        <v>-4200843</v>
      </c>
      <c r="Y847" s="396"/>
      <c r="Z847" s="396"/>
    </row>
    <row r="848" spans="1:26">
      <c r="A848" s="390">
        <v>99207</v>
      </c>
      <c r="B848" s="391" t="s">
        <v>1941</v>
      </c>
      <c r="C848" s="234">
        <v>1.4200000000000001E-4</v>
      </c>
      <c r="D848" s="234">
        <v>1.111E-4</v>
      </c>
      <c r="E848" s="231">
        <v>217771</v>
      </c>
      <c r="F848" s="231" t="s">
        <v>1924</v>
      </c>
      <c r="G848" s="392">
        <v>69281</v>
      </c>
      <c r="H848" s="392">
        <v>0</v>
      </c>
      <c r="I848" s="392">
        <v>136816</v>
      </c>
      <c r="J848" s="231">
        <v>232229</v>
      </c>
      <c r="K848" s="231">
        <v>438326</v>
      </c>
      <c r="L848" s="231"/>
      <c r="M848" s="300">
        <v>0</v>
      </c>
      <c r="N848" s="300">
        <v>311129</v>
      </c>
      <c r="O848" s="300">
        <v>0</v>
      </c>
      <c r="P848" s="231">
        <v>391</v>
      </c>
      <c r="Q848" s="231">
        <v>311520</v>
      </c>
      <c r="R848" s="231"/>
      <c r="S848" s="392">
        <v>93953</v>
      </c>
      <c r="T848" s="231">
        <v>122958</v>
      </c>
      <c r="U848" s="396">
        <v>216911</v>
      </c>
      <c r="V848" s="231"/>
      <c r="W848" s="396">
        <v>845367</v>
      </c>
      <c r="X848" s="396">
        <v>-298708</v>
      </c>
      <c r="Y848" s="396"/>
      <c r="Z848" s="396"/>
    </row>
    <row r="849" spans="1:26">
      <c r="A849" s="390">
        <v>99208</v>
      </c>
      <c r="B849" s="391" t="s">
        <v>1543</v>
      </c>
      <c r="C849" s="234">
        <v>2.9770000000000003E-4</v>
      </c>
      <c r="D849" s="234">
        <v>3.2929999999999998E-4</v>
      </c>
      <c r="E849" s="231">
        <v>456552</v>
      </c>
      <c r="F849" s="231" t="s">
        <v>1924</v>
      </c>
      <c r="G849" s="392">
        <v>145245</v>
      </c>
      <c r="H849" s="392">
        <v>0</v>
      </c>
      <c r="I849" s="392">
        <v>286831</v>
      </c>
      <c r="J849" s="231">
        <v>27596</v>
      </c>
      <c r="K849" s="231">
        <v>459672</v>
      </c>
      <c r="L849" s="231"/>
      <c r="M849" s="300">
        <v>0</v>
      </c>
      <c r="N849" s="300">
        <v>652275</v>
      </c>
      <c r="O849" s="300">
        <v>0</v>
      </c>
      <c r="P849" s="231">
        <v>81427</v>
      </c>
      <c r="Q849" s="231">
        <v>733702</v>
      </c>
      <c r="R849" s="231"/>
      <c r="S849" s="392">
        <v>196971</v>
      </c>
      <c r="T849" s="231">
        <v>-8076</v>
      </c>
      <c r="U849" s="396">
        <v>188895</v>
      </c>
      <c r="V849" s="231"/>
      <c r="W849" s="396">
        <v>1772295</v>
      </c>
      <c r="X849" s="396">
        <v>-626235</v>
      </c>
      <c r="Y849" s="396"/>
      <c r="Z849" s="396"/>
    </row>
    <row r="850" spans="1:26">
      <c r="A850" s="390">
        <v>99210</v>
      </c>
      <c r="B850" s="391" t="s">
        <v>1544</v>
      </c>
      <c r="C850" s="234">
        <v>1.9134E-3</v>
      </c>
      <c r="D850" s="234">
        <v>1.8843E-3</v>
      </c>
      <c r="E850" s="231">
        <v>2934383</v>
      </c>
      <c r="F850" s="231" t="s">
        <v>1924</v>
      </c>
      <c r="G850" s="392">
        <v>933533</v>
      </c>
      <c r="H850" s="392">
        <v>0</v>
      </c>
      <c r="I850" s="392">
        <v>1843542</v>
      </c>
      <c r="J850" s="231">
        <v>309799</v>
      </c>
      <c r="K850" s="231">
        <v>3086874</v>
      </c>
      <c r="L850" s="231"/>
      <c r="M850" s="300">
        <v>0</v>
      </c>
      <c r="N850" s="300">
        <v>4192351</v>
      </c>
      <c r="O850" s="300">
        <v>0</v>
      </c>
      <c r="P850" s="231">
        <v>0</v>
      </c>
      <c r="Q850" s="231">
        <v>4192351</v>
      </c>
      <c r="R850" s="231"/>
      <c r="S850" s="392">
        <v>1265986</v>
      </c>
      <c r="T850" s="231">
        <v>163601</v>
      </c>
      <c r="U850" s="396">
        <v>1429587</v>
      </c>
      <c r="V850" s="231"/>
      <c r="W850" s="396">
        <v>11391029</v>
      </c>
      <c r="X850" s="396">
        <v>-4024984</v>
      </c>
      <c r="Y850" s="396"/>
      <c r="Z850" s="396"/>
    </row>
    <row r="851" spans="1:26">
      <c r="A851" s="390">
        <v>99211</v>
      </c>
      <c r="B851" s="391" t="s">
        <v>1545</v>
      </c>
      <c r="C851" s="234">
        <v>3.65305E-2</v>
      </c>
      <c r="D851" s="234">
        <v>3.7671200000000002E-2</v>
      </c>
      <c r="E851" s="231">
        <v>56023029</v>
      </c>
      <c r="F851" s="231" t="s">
        <v>1924</v>
      </c>
      <c r="G851" s="392">
        <v>17822939</v>
      </c>
      <c r="H851" s="392">
        <v>0</v>
      </c>
      <c r="I851" s="392">
        <v>35196771</v>
      </c>
      <c r="J851" s="231">
        <v>162508</v>
      </c>
      <c r="K851" s="231">
        <v>53182218</v>
      </c>
      <c r="L851" s="231"/>
      <c r="M851" s="300">
        <v>0</v>
      </c>
      <c r="N851" s="300">
        <v>80040079</v>
      </c>
      <c r="O851" s="300">
        <v>0</v>
      </c>
      <c r="P851" s="231">
        <v>3671899</v>
      </c>
      <c r="Q851" s="231">
        <v>83711978</v>
      </c>
      <c r="R851" s="231"/>
      <c r="S851" s="392">
        <v>24170113</v>
      </c>
      <c r="T851" s="231">
        <v>-1494270</v>
      </c>
      <c r="U851" s="396">
        <v>22675843</v>
      </c>
      <c r="V851" s="231"/>
      <c r="W851" s="396">
        <v>217476733</v>
      </c>
      <c r="X851" s="396">
        <v>-76844720</v>
      </c>
      <c r="Y851" s="396"/>
      <c r="Z851" s="396"/>
    </row>
    <row r="852" spans="1:26">
      <c r="A852" s="390">
        <v>99212</v>
      </c>
      <c r="B852" s="391" t="s">
        <v>1546</v>
      </c>
      <c r="C852" s="234">
        <v>7.08E-5</v>
      </c>
      <c r="D852" s="234">
        <v>8.7200000000000005E-5</v>
      </c>
      <c r="E852" s="231">
        <v>108579</v>
      </c>
      <c r="F852" s="231" t="s">
        <v>1924</v>
      </c>
      <c r="G852" s="392">
        <v>34543</v>
      </c>
      <c r="H852" s="392">
        <v>0</v>
      </c>
      <c r="I852" s="392">
        <v>68215</v>
      </c>
      <c r="J852" s="231">
        <v>9366</v>
      </c>
      <c r="K852" s="231">
        <v>112124</v>
      </c>
      <c r="L852" s="231"/>
      <c r="M852" s="300">
        <v>0</v>
      </c>
      <c r="N852" s="300">
        <v>155126</v>
      </c>
      <c r="O852" s="300">
        <v>0</v>
      </c>
      <c r="P852" s="231">
        <v>40804</v>
      </c>
      <c r="Q852" s="231">
        <v>195930</v>
      </c>
      <c r="R852" s="231"/>
      <c r="S852" s="392">
        <v>46844</v>
      </c>
      <c r="T852" s="231">
        <v>-10781</v>
      </c>
      <c r="U852" s="396">
        <v>36063</v>
      </c>
      <c r="V852" s="231"/>
      <c r="W852" s="396">
        <v>421493</v>
      </c>
      <c r="X852" s="396">
        <v>-148933</v>
      </c>
      <c r="Y852" s="396"/>
      <c r="Z852" s="396"/>
    </row>
    <row r="853" spans="1:26">
      <c r="A853" s="390">
        <v>99213</v>
      </c>
      <c r="B853" s="391" t="s">
        <v>1547</v>
      </c>
      <c r="C853" s="234">
        <v>6.7599999999999995E-4</v>
      </c>
      <c r="D853" s="234">
        <v>6.6209999999999999E-4</v>
      </c>
      <c r="E853" s="231">
        <v>1036711</v>
      </c>
      <c r="F853" s="231" t="s">
        <v>1924</v>
      </c>
      <c r="G853" s="392">
        <v>329815</v>
      </c>
      <c r="H853" s="392">
        <v>0</v>
      </c>
      <c r="I853" s="392">
        <v>651319</v>
      </c>
      <c r="J853" s="231">
        <v>45702</v>
      </c>
      <c r="K853" s="231">
        <v>1026836</v>
      </c>
      <c r="L853" s="231"/>
      <c r="M853" s="300">
        <v>0</v>
      </c>
      <c r="N853" s="300">
        <v>1481148</v>
      </c>
      <c r="O853" s="300">
        <v>0</v>
      </c>
      <c r="P853" s="231">
        <v>32768</v>
      </c>
      <c r="Q853" s="231">
        <v>1513916</v>
      </c>
      <c r="R853" s="231"/>
      <c r="S853" s="392">
        <v>447270</v>
      </c>
      <c r="T853" s="231">
        <v>-5069</v>
      </c>
      <c r="U853" s="396">
        <v>442201</v>
      </c>
      <c r="V853" s="231"/>
      <c r="W853" s="396">
        <v>4024425</v>
      </c>
      <c r="X853" s="396">
        <v>-1422018</v>
      </c>
      <c r="Y853" s="396"/>
      <c r="Z853" s="396"/>
    </row>
    <row r="854" spans="1:26">
      <c r="A854" s="390">
        <v>99218</v>
      </c>
      <c r="B854" s="391" t="s">
        <v>1548</v>
      </c>
      <c r="C854" s="234">
        <v>3.7296999999999999E-3</v>
      </c>
      <c r="D854" s="234">
        <v>3.7810000000000001E-3</v>
      </c>
      <c r="E854" s="231">
        <v>5719853</v>
      </c>
      <c r="F854" s="231" t="s">
        <v>1924</v>
      </c>
      <c r="G854" s="392">
        <v>1819691</v>
      </c>
      <c r="H854" s="392">
        <v>0</v>
      </c>
      <c r="I854" s="392">
        <v>3593529</v>
      </c>
      <c r="J854" s="231">
        <v>467163</v>
      </c>
      <c r="K854" s="231">
        <v>5880383</v>
      </c>
      <c r="L854" s="231"/>
      <c r="M854" s="300">
        <v>0</v>
      </c>
      <c r="N854" s="300">
        <v>8171952</v>
      </c>
      <c r="O854" s="300">
        <v>0</v>
      </c>
      <c r="P854" s="231">
        <v>102868</v>
      </c>
      <c r="Q854" s="231">
        <v>8274820</v>
      </c>
      <c r="R854" s="231"/>
      <c r="S854" s="392">
        <v>2467726</v>
      </c>
      <c r="T854" s="231">
        <v>234194</v>
      </c>
      <c r="U854" s="396">
        <v>2701920</v>
      </c>
      <c r="V854" s="231"/>
      <c r="W854" s="396">
        <v>22203993</v>
      </c>
      <c r="X854" s="396">
        <v>-7845711</v>
      </c>
      <c r="Y854" s="396"/>
      <c r="Z854" s="396"/>
    </row>
    <row r="855" spans="1:26">
      <c r="A855" s="390">
        <v>99221</v>
      </c>
      <c r="B855" s="391" t="s">
        <v>1549</v>
      </c>
      <c r="C855" s="234">
        <v>1.21263E-2</v>
      </c>
      <c r="D855" s="234">
        <v>1.2297799999999999E-2</v>
      </c>
      <c r="E855" s="231">
        <v>18596845</v>
      </c>
      <c r="F855" s="231" t="s">
        <v>1924</v>
      </c>
      <c r="G855" s="392">
        <v>5916325</v>
      </c>
      <c r="H855" s="392">
        <v>0</v>
      </c>
      <c r="I855" s="392">
        <v>11683569</v>
      </c>
      <c r="J855" s="231">
        <v>0</v>
      </c>
      <c r="K855" s="231">
        <v>17599894</v>
      </c>
      <c r="L855" s="231"/>
      <c r="M855" s="300">
        <v>0</v>
      </c>
      <c r="N855" s="300">
        <v>26569305</v>
      </c>
      <c r="O855" s="300">
        <v>0</v>
      </c>
      <c r="P855" s="231">
        <v>542584</v>
      </c>
      <c r="Q855" s="231">
        <v>27111889</v>
      </c>
      <c r="R855" s="231"/>
      <c r="S855" s="392">
        <v>8023269</v>
      </c>
      <c r="T855" s="231">
        <v>-301762</v>
      </c>
      <c r="U855" s="396">
        <v>7721507</v>
      </c>
      <c r="V855" s="231"/>
      <c r="W855" s="396">
        <v>72191405</v>
      </c>
      <c r="X855" s="396">
        <v>-25508606</v>
      </c>
      <c r="Y855" s="396"/>
      <c r="Z855" s="396"/>
    </row>
    <row r="856" spans="1:26">
      <c r="A856" s="390">
        <v>99222</v>
      </c>
      <c r="B856" s="391" t="s">
        <v>1550</v>
      </c>
      <c r="C856" s="234">
        <v>3.3099999999999998E-5</v>
      </c>
      <c r="D856" s="234">
        <v>3.3200000000000001E-5</v>
      </c>
      <c r="E856" s="231">
        <v>50762</v>
      </c>
      <c r="F856" s="231" t="s">
        <v>1924</v>
      </c>
      <c r="G856" s="392">
        <v>16149</v>
      </c>
      <c r="H856" s="392">
        <v>0</v>
      </c>
      <c r="I856" s="392">
        <v>31892</v>
      </c>
      <c r="J856" s="231">
        <v>88</v>
      </c>
      <c r="K856" s="231">
        <v>48129</v>
      </c>
      <c r="L856" s="231"/>
      <c r="M856" s="300">
        <v>0</v>
      </c>
      <c r="N856" s="300">
        <v>72524</v>
      </c>
      <c r="O856" s="300">
        <v>0</v>
      </c>
      <c r="P856" s="231">
        <v>3935</v>
      </c>
      <c r="Q856" s="231">
        <v>76459</v>
      </c>
      <c r="R856" s="231"/>
      <c r="S856" s="392">
        <v>21900</v>
      </c>
      <c r="T856" s="231">
        <v>-2941</v>
      </c>
      <c r="U856" s="396">
        <v>18959</v>
      </c>
      <c r="V856" s="231"/>
      <c r="W856" s="396">
        <v>197054</v>
      </c>
      <c r="X856" s="396">
        <v>-69628</v>
      </c>
      <c r="Y856" s="396"/>
      <c r="Z856" s="396"/>
    </row>
    <row r="857" spans="1:26">
      <c r="A857" s="390">
        <v>99231</v>
      </c>
      <c r="B857" s="391" t="s">
        <v>1551</v>
      </c>
      <c r="C857" s="234">
        <v>4.5189999999999998E-4</v>
      </c>
      <c r="D857" s="234">
        <v>4.0339999999999999E-4</v>
      </c>
      <c r="E857" s="231">
        <v>693032</v>
      </c>
      <c r="F857" s="231" t="s">
        <v>1924</v>
      </c>
      <c r="G857" s="392">
        <v>220478</v>
      </c>
      <c r="H857" s="392">
        <v>0</v>
      </c>
      <c r="I857" s="392">
        <v>435401</v>
      </c>
      <c r="J857" s="231">
        <v>131732</v>
      </c>
      <c r="K857" s="231">
        <v>787611</v>
      </c>
      <c r="L857" s="231"/>
      <c r="M857" s="300">
        <v>0</v>
      </c>
      <c r="N857" s="300">
        <v>990135</v>
      </c>
      <c r="O857" s="300">
        <v>0</v>
      </c>
      <c r="P857" s="231">
        <v>7141</v>
      </c>
      <c r="Q857" s="231">
        <v>997276</v>
      </c>
      <c r="R857" s="231"/>
      <c r="S857" s="392">
        <v>298996</v>
      </c>
      <c r="T857" s="231">
        <v>42307</v>
      </c>
      <c r="U857" s="396">
        <v>341303</v>
      </c>
      <c r="V857" s="231"/>
      <c r="W857" s="396">
        <v>2690293</v>
      </c>
      <c r="X857" s="396">
        <v>-950606</v>
      </c>
      <c r="Y857" s="396"/>
      <c r="Z857" s="396"/>
    </row>
    <row r="858" spans="1:26">
      <c r="A858" s="390">
        <v>99241</v>
      </c>
      <c r="B858" s="391" t="s">
        <v>1552</v>
      </c>
      <c r="C858" s="234">
        <v>5.4799999999999998E-4</v>
      </c>
      <c r="D858" s="234">
        <v>5.8560000000000003E-4</v>
      </c>
      <c r="E858" s="231">
        <v>840411</v>
      </c>
      <c r="F858" s="231" t="s">
        <v>1924</v>
      </c>
      <c r="G858" s="392">
        <v>267365</v>
      </c>
      <c r="H858" s="392">
        <v>0</v>
      </c>
      <c r="I858" s="392">
        <v>527993</v>
      </c>
      <c r="J858" s="231">
        <v>7876</v>
      </c>
      <c r="K858" s="231">
        <v>803234</v>
      </c>
      <c r="L858" s="231"/>
      <c r="M858" s="300">
        <v>0</v>
      </c>
      <c r="N858" s="300">
        <v>1200694</v>
      </c>
      <c r="O858" s="300">
        <v>0</v>
      </c>
      <c r="P858" s="231">
        <v>79996</v>
      </c>
      <c r="Q858" s="231">
        <v>1280690</v>
      </c>
      <c r="R858" s="231"/>
      <c r="S858" s="392">
        <v>362580</v>
      </c>
      <c r="T858" s="231">
        <v>-32033</v>
      </c>
      <c r="U858" s="396">
        <v>330547</v>
      </c>
      <c r="V858" s="231"/>
      <c r="W858" s="396">
        <v>3262404</v>
      </c>
      <c r="X858" s="396">
        <v>-1152760</v>
      </c>
      <c r="Y858" s="396"/>
      <c r="Z858" s="396"/>
    </row>
    <row r="859" spans="1:26">
      <c r="A859" s="390">
        <v>99251</v>
      </c>
      <c r="B859" s="391" t="s">
        <v>1553</v>
      </c>
      <c r="C859" s="234">
        <v>1.6489E-3</v>
      </c>
      <c r="D859" s="234">
        <v>1.6408E-3</v>
      </c>
      <c r="E859" s="231">
        <v>2528746</v>
      </c>
      <c r="F859" s="231" t="s">
        <v>1924</v>
      </c>
      <c r="G859" s="392">
        <v>804485</v>
      </c>
      <c r="H859" s="392">
        <v>0</v>
      </c>
      <c r="I859" s="392">
        <v>1588699</v>
      </c>
      <c r="J859" s="231">
        <v>26927</v>
      </c>
      <c r="K859" s="231">
        <v>2420111</v>
      </c>
      <c r="L859" s="231"/>
      <c r="M859" s="300">
        <v>0</v>
      </c>
      <c r="N859" s="300">
        <v>3612819</v>
      </c>
      <c r="O859" s="300">
        <v>0</v>
      </c>
      <c r="P859" s="231">
        <v>3921</v>
      </c>
      <c r="Q859" s="231">
        <v>3616740</v>
      </c>
      <c r="R859" s="231"/>
      <c r="S859" s="392">
        <v>1090981</v>
      </c>
      <c r="T859" s="231">
        <v>491</v>
      </c>
      <c r="U859" s="396">
        <v>1091472</v>
      </c>
      <c r="V859" s="231"/>
      <c r="W859" s="396">
        <v>9816383</v>
      </c>
      <c r="X859" s="396">
        <v>-3468588</v>
      </c>
      <c r="Y859" s="396"/>
      <c r="Z859" s="396"/>
    </row>
    <row r="860" spans="1:26">
      <c r="A860" s="390">
        <v>99252</v>
      </c>
      <c r="B860" s="391" t="s">
        <v>1554</v>
      </c>
      <c r="C860" s="234">
        <v>6.3929999999999998E-4</v>
      </c>
      <c r="D860" s="234">
        <v>6.4139999999999998E-4</v>
      </c>
      <c r="E860" s="231">
        <v>980428</v>
      </c>
      <c r="F860" s="231" t="s">
        <v>1924</v>
      </c>
      <c r="G860" s="392">
        <v>311909</v>
      </c>
      <c r="H860" s="392">
        <v>0</v>
      </c>
      <c r="I860" s="392">
        <v>615959</v>
      </c>
      <c r="J860" s="231">
        <v>0</v>
      </c>
      <c r="K860" s="231">
        <v>927868</v>
      </c>
      <c r="L860" s="231"/>
      <c r="M860" s="300">
        <v>0</v>
      </c>
      <c r="N860" s="300">
        <v>1400737</v>
      </c>
      <c r="O860" s="300">
        <v>0</v>
      </c>
      <c r="P860" s="231">
        <v>150142</v>
      </c>
      <c r="Q860" s="231">
        <v>1550879</v>
      </c>
      <c r="R860" s="231"/>
      <c r="S860" s="392">
        <v>422988</v>
      </c>
      <c r="T860" s="231">
        <v>-81242</v>
      </c>
      <c r="U860" s="396">
        <v>341746</v>
      </c>
      <c r="V860" s="231"/>
      <c r="W860" s="396">
        <v>3805940</v>
      </c>
      <c r="X860" s="396">
        <v>-1344817</v>
      </c>
      <c r="Y860" s="396"/>
      <c r="Z860" s="396"/>
    </row>
    <row r="861" spans="1:26">
      <c r="A861" s="390">
        <v>99261</v>
      </c>
      <c r="B861" s="391" t="s">
        <v>1555</v>
      </c>
      <c r="C861" s="234">
        <v>2.2912000000000002E-3</v>
      </c>
      <c r="D861" s="234">
        <v>2.3002999999999999E-3</v>
      </c>
      <c r="E861" s="231">
        <v>3513775</v>
      </c>
      <c r="F861" s="231" t="s">
        <v>1924</v>
      </c>
      <c r="G861" s="392">
        <v>1117858</v>
      </c>
      <c r="H861" s="392">
        <v>0</v>
      </c>
      <c r="I861" s="392">
        <v>2207548</v>
      </c>
      <c r="J861" s="231">
        <v>942</v>
      </c>
      <c r="K861" s="231">
        <v>3326348</v>
      </c>
      <c r="L861" s="231"/>
      <c r="M861" s="300">
        <v>0</v>
      </c>
      <c r="N861" s="300">
        <v>5020129</v>
      </c>
      <c r="O861" s="300">
        <v>0</v>
      </c>
      <c r="P861" s="231">
        <v>140207</v>
      </c>
      <c r="Q861" s="231">
        <v>5160336</v>
      </c>
      <c r="R861" s="231"/>
      <c r="S861" s="392">
        <v>1515954</v>
      </c>
      <c r="T861" s="231">
        <v>-63570</v>
      </c>
      <c r="U861" s="396">
        <v>1452384</v>
      </c>
      <c r="V861" s="231"/>
      <c r="W861" s="396">
        <v>13640183</v>
      </c>
      <c r="X861" s="396">
        <v>-4819716</v>
      </c>
      <c r="Y861" s="396"/>
      <c r="Z861" s="396"/>
    </row>
    <row r="862" spans="1:26">
      <c r="A862" s="390">
        <v>99271</v>
      </c>
      <c r="B862" s="391" t="s">
        <v>1556</v>
      </c>
      <c r="C862" s="234">
        <v>5.0762000000000003E-3</v>
      </c>
      <c r="D862" s="234">
        <v>4.6093000000000002E-3</v>
      </c>
      <c r="E862" s="231">
        <v>7784840</v>
      </c>
      <c r="F862" s="231" t="s">
        <v>1924</v>
      </c>
      <c r="G862" s="392">
        <v>2476637</v>
      </c>
      <c r="H862" s="392">
        <v>0</v>
      </c>
      <c r="I862" s="392">
        <v>4890868</v>
      </c>
      <c r="J862" s="231">
        <v>845378</v>
      </c>
      <c r="K862" s="231">
        <v>8212883</v>
      </c>
      <c r="L862" s="231"/>
      <c r="M862" s="300">
        <v>0</v>
      </c>
      <c r="N862" s="300">
        <v>11122198</v>
      </c>
      <c r="O862" s="300">
        <v>0</v>
      </c>
      <c r="P862" s="231">
        <v>42184</v>
      </c>
      <c r="Q862" s="231">
        <v>11164382</v>
      </c>
      <c r="R862" s="231"/>
      <c r="S862" s="392">
        <v>3358627</v>
      </c>
      <c r="T862" s="231">
        <v>306674</v>
      </c>
      <c r="U862" s="396">
        <v>3665301</v>
      </c>
      <c r="V862" s="231"/>
      <c r="W862" s="396">
        <v>30220101</v>
      </c>
      <c r="X862" s="396">
        <v>-10678178</v>
      </c>
      <c r="Y862" s="396"/>
      <c r="Z862" s="396"/>
    </row>
    <row r="863" spans="1:26">
      <c r="A863" s="390">
        <v>99281</v>
      </c>
      <c r="B863" s="391" t="s">
        <v>1557</v>
      </c>
      <c r="C863" s="234">
        <v>3.4172E-3</v>
      </c>
      <c r="D863" s="234">
        <v>2.6021999999999998E-3</v>
      </c>
      <c r="E863" s="231">
        <v>5240604</v>
      </c>
      <c r="F863" s="231" t="s">
        <v>1924</v>
      </c>
      <c r="G863" s="392">
        <v>1667225</v>
      </c>
      <c r="H863" s="392">
        <v>0</v>
      </c>
      <c r="I863" s="392">
        <v>3292438</v>
      </c>
      <c r="J863" s="231">
        <v>1322209</v>
      </c>
      <c r="K863" s="231">
        <v>6281872</v>
      </c>
      <c r="L863" s="231"/>
      <c r="M863" s="300">
        <v>0</v>
      </c>
      <c r="N863" s="300">
        <v>7487249</v>
      </c>
      <c r="O863" s="300">
        <v>0</v>
      </c>
      <c r="P863" s="231">
        <v>24</v>
      </c>
      <c r="Q863" s="231">
        <v>7487273</v>
      </c>
      <c r="R863" s="231"/>
      <c r="S863" s="392">
        <v>2260963</v>
      </c>
      <c r="T863" s="231">
        <v>441943</v>
      </c>
      <c r="U863" s="396">
        <v>2702906</v>
      </c>
      <c r="V863" s="231"/>
      <c r="W863" s="396">
        <v>20343589</v>
      </c>
      <c r="X863" s="396">
        <v>-7188343</v>
      </c>
      <c r="Y863" s="396"/>
      <c r="Z863" s="396"/>
    </row>
    <row r="864" spans="1:26">
      <c r="A864" s="390">
        <v>99291</v>
      </c>
      <c r="B864" s="391" t="s">
        <v>1558</v>
      </c>
      <c r="C864" s="234">
        <v>9.6429999999999997E-4</v>
      </c>
      <c r="D864" s="234">
        <v>8.4670000000000004E-4</v>
      </c>
      <c r="E864" s="231">
        <v>1478847</v>
      </c>
      <c r="F864" s="231" t="s">
        <v>1924</v>
      </c>
      <c r="G864" s="392">
        <v>470474</v>
      </c>
      <c r="H864" s="392">
        <v>0</v>
      </c>
      <c r="I864" s="392">
        <v>929093</v>
      </c>
      <c r="J864" s="231">
        <v>186849</v>
      </c>
      <c r="K864" s="231">
        <v>1586416</v>
      </c>
      <c r="L864" s="231"/>
      <c r="M864" s="300">
        <v>0</v>
      </c>
      <c r="N864" s="300">
        <v>2112828</v>
      </c>
      <c r="O864" s="300">
        <v>0</v>
      </c>
      <c r="P864" s="231">
        <v>49146</v>
      </c>
      <c r="Q864" s="231">
        <v>2161974</v>
      </c>
      <c r="R864" s="231"/>
      <c r="S864" s="392">
        <v>638021</v>
      </c>
      <c r="T864" s="231">
        <v>25932</v>
      </c>
      <c r="U864" s="396">
        <v>663953</v>
      </c>
      <c r="V864" s="231"/>
      <c r="W864" s="396">
        <v>5740759</v>
      </c>
      <c r="X864" s="396">
        <v>-2028479</v>
      </c>
      <c r="Y864" s="396"/>
      <c r="Z864" s="396"/>
    </row>
    <row r="865" spans="1:26">
      <c r="A865" s="390">
        <v>99301</v>
      </c>
      <c r="B865" s="391" t="s">
        <v>1559</v>
      </c>
      <c r="C865" s="234">
        <v>1.4434000000000001E-3</v>
      </c>
      <c r="D865" s="234">
        <v>1.5418000000000001E-3</v>
      </c>
      <c r="E865" s="231">
        <v>2213592</v>
      </c>
      <c r="F865" s="231" t="s">
        <v>1924</v>
      </c>
      <c r="G865" s="392">
        <v>704223</v>
      </c>
      <c r="H865" s="392">
        <v>0</v>
      </c>
      <c r="I865" s="392">
        <v>1390701</v>
      </c>
      <c r="J865" s="231">
        <v>0</v>
      </c>
      <c r="K865" s="231">
        <v>2094924</v>
      </c>
      <c r="L865" s="231"/>
      <c r="M865" s="300">
        <v>0</v>
      </c>
      <c r="N865" s="300">
        <v>3162559</v>
      </c>
      <c r="O865" s="300">
        <v>0</v>
      </c>
      <c r="P865" s="231">
        <v>236785</v>
      </c>
      <c r="Q865" s="231">
        <v>3399344</v>
      </c>
      <c r="R865" s="231"/>
      <c r="S865" s="392">
        <v>955014</v>
      </c>
      <c r="T865" s="231">
        <v>-122147</v>
      </c>
      <c r="U865" s="396">
        <v>832867</v>
      </c>
      <c r="V865" s="231"/>
      <c r="W865" s="396">
        <v>8592982</v>
      </c>
      <c r="X865" s="396">
        <v>-3036303</v>
      </c>
      <c r="Y865" s="396"/>
      <c r="Z865" s="396"/>
    </row>
    <row r="866" spans="1:26">
      <c r="A866" s="390">
        <v>99304</v>
      </c>
      <c r="B866" s="391" t="s">
        <v>1560</v>
      </c>
      <c r="C866" s="234">
        <v>6.7000000000000002E-6</v>
      </c>
      <c r="D866" s="234">
        <v>6.8000000000000001E-6</v>
      </c>
      <c r="E866" s="231">
        <v>10275</v>
      </c>
      <c r="F866" s="231" t="s">
        <v>1924</v>
      </c>
      <c r="G866" s="392">
        <v>3269</v>
      </c>
      <c r="H866" s="392">
        <v>0</v>
      </c>
      <c r="I866" s="392">
        <v>6455</v>
      </c>
      <c r="J866" s="231">
        <v>9444</v>
      </c>
      <c r="K866" s="231">
        <v>19168</v>
      </c>
      <c r="L866" s="231"/>
      <c r="M866" s="300">
        <v>0</v>
      </c>
      <c r="N866" s="300">
        <v>14680</v>
      </c>
      <c r="O866" s="300">
        <v>0</v>
      </c>
      <c r="P866" s="231">
        <v>0</v>
      </c>
      <c r="Q866" s="231">
        <v>14680</v>
      </c>
      <c r="R866" s="231"/>
      <c r="S866" s="392">
        <v>4433</v>
      </c>
      <c r="T866" s="231">
        <v>4749</v>
      </c>
      <c r="U866" s="396">
        <v>9182</v>
      </c>
      <c r="V866" s="231"/>
      <c r="W866" s="396">
        <v>39887</v>
      </c>
      <c r="X866" s="396">
        <v>-14094</v>
      </c>
      <c r="Y866" s="396"/>
      <c r="Z866" s="396"/>
    </row>
    <row r="867" spans="1:26">
      <c r="A867" s="390">
        <v>99311</v>
      </c>
      <c r="B867" s="391" t="s">
        <v>1561</v>
      </c>
      <c r="C867" s="234">
        <v>5.6799999999999998E-5</v>
      </c>
      <c r="D867" s="234">
        <v>5.5099999999999998E-5</v>
      </c>
      <c r="E867" s="231">
        <v>87108</v>
      </c>
      <c r="F867" s="231" t="s">
        <v>1924</v>
      </c>
      <c r="G867" s="392">
        <v>27712</v>
      </c>
      <c r="H867" s="392">
        <v>0</v>
      </c>
      <c r="I867" s="392">
        <v>54726</v>
      </c>
      <c r="J867" s="231">
        <v>1590</v>
      </c>
      <c r="K867" s="231">
        <v>84028</v>
      </c>
      <c r="L867" s="231"/>
      <c r="M867" s="300">
        <v>0</v>
      </c>
      <c r="N867" s="300">
        <v>124452</v>
      </c>
      <c r="O867" s="300">
        <v>0</v>
      </c>
      <c r="P867" s="231">
        <v>6976</v>
      </c>
      <c r="Q867" s="231">
        <v>131428</v>
      </c>
      <c r="R867" s="231"/>
      <c r="S867" s="392">
        <v>37581</v>
      </c>
      <c r="T867" s="231">
        <v>-2744</v>
      </c>
      <c r="U867" s="396">
        <v>34837</v>
      </c>
      <c r="V867" s="231"/>
      <c r="W867" s="396">
        <v>338147</v>
      </c>
      <c r="X867" s="396">
        <v>-119483</v>
      </c>
      <c r="Y867" s="396"/>
      <c r="Z867" s="396"/>
    </row>
    <row r="868" spans="1:26">
      <c r="A868" s="390">
        <v>99321</v>
      </c>
      <c r="B868" s="391" t="s">
        <v>1562</v>
      </c>
      <c r="C868" s="234">
        <v>1.0230000000000001E-4</v>
      </c>
      <c r="D868" s="234">
        <v>1.024E-4</v>
      </c>
      <c r="E868" s="231">
        <v>156887</v>
      </c>
      <c r="F868" s="231" t="s">
        <v>1924</v>
      </c>
      <c r="G868" s="392">
        <v>49911</v>
      </c>
      <c r="H868" s="392">
        <v>0</v>
      </c>
      <c r="I868" s="392">
        <v>98565</v>
      </c>
      <c r="J868" s="231">
        <v>87435</v>
      </c>
      <c r="K868" s="231">
        <v>235911</v>
      </c>
      <c r="L868" s="231"/>
      <c r="M868" s="300">
        <v>0</v>
      </c>
      <c r="N868" s="300">
        <v>224144</v>
      </c>
      <c r="O868" s="300">
        <v>0</v>
      </c>
      <c r="P868" s="231">
        <v>0</v>
      </c>
      <c r="Q868" s="231">
        <v>224144</v>
      </c>
      <c r="R868" s="231"/>
      <c r="S868" s="392">
        <v>67686</v>
      </c>
      <c r="T868" s="231">
        <v>47975</v>
      </c>
      <c r="U868" s="396">
        <v>115661</v>
      </c>
      <c r="V868" s="231"/>
      <c r="W868" s="396">
        <v>609022</v>
      </c>
      <c r="X868" s="396">
        <v>-215196</v>
      </c>
      <c r="Y868" s="396"/>
      <c r="Z868" s="396"/>
    </row>
    <row r="869" spans="1:26">
      <c r="A869" s="390">
        <v>99401</v>
      </c>
      <c r="B869" s="391" t="s">
        <v>1563</v>
      </c>
      <c r="C869" s="234">
        <v>7.381E-4</v>
      </c>
      <c r="D869" s="234">
        <v>7.6619999999999998E-4</v>
      </c>
      <c r="E869" s="231">
        <v>1131947</v>
      </c>
      <c r="F869" s="231" t="s">
        <v>1924</v>
      </c>
      <c r="G869" s="392">
        <v>360113</v>
      </c>
      <c r="H869" s="392">
        <v>0</v>
      </c>
      <c r="I869" s="392">
        <v>711152</v>
      </c>
      <c r="J869" s="231">
        <v>4055</v>
      </c>
      <c r="K869" s="231">
        <v>1075320</v>
      </c>
      <c r="L869" s="231"/>
      <c r="M869" s="300">
        <v>0</v>
      </c>
      <c r="N869" s="300">
        <v>1617213</v>
      </c>
      <c r="O869" s="300">
        <v>0</v>
      </c>
      <c r="P869" s="231">
        <v>37571</v>
      </c>
      <c r="Q869" s="231">
        <v>1654784</v>
      </c>
      <c r="R869" s="231"/>
      <c r="S869" s="392">
        <v>488358</v>
      </c>
      <c r="T869" s="231">
        <v>-26994</v>
      </c>
      <c r="U869" s="396">
        <v>461364</v>
      </c>
      <c r="V869" s="231"/>
      <c r="W869" s="396">
        <v>4394125</v>
      </c>
      <c r="X869" s="396">
        <v>-1552650</v>
      </c>
      <c r="Y869" s="396"/>
      <c r="Z869" s="396"/>
    </row>
    <row r="870" spans="1:26">
      <c r="A870" s="390">
        <v>99404</v>
      </c>
      <c r="B870" s="391" t="s">
        <v>1564</v>
      </c>
      <c r="C870" s="234">
        <v>7.4000000000000003E-6</v>
      </c>
      <c r="D870" s="234">
        <v>8.1000000000000004E-6</v>
      </c>
      <c r="E870" s="231">
        <v>11349</v>
      </c>
      <c r="F870" s="231" t="s">
        <v>1924</v>
      </c>
      <c r="G870" s="392">
        <v>3610</v>
      </c>
      <c r="H870" s="392">
        <v>0</v>
      </c>
      <c r="I870" s="392">
        <v>7130</v>
      </c>
      <c r="J870" s="231">
        <v>2500</v>
      </c>
      <c r="K870" s="231">
        <v>13240</v>
      </c>
      <c r="L870" s="231"/>
      <c r="M870" s="300">
        <v>0</v>
      </c>
      <c r="N870" s="300">
        <v>16214</v>
      </c>
      <c r="O870" s="300">
        <v>0</v>
      </c>
      <c r="P870" s="231">
        <v>0</v>
      </c>
      <c r="Q870" s="231">
        <v>16214</v>
      </c>
      <c r="R870" s="231"/>
      <c r="S870" s="392">
        <v>4896</v>
      </c>
      <c r="T870" s="231">
        <v>1332</v>
      </c>
      <c r="U870" s="396">
        <v>6228</v>
      </c>
      <c r="V870" s="231"/>
      <c r="W870" s="396">
        <v>44054</v>
      </c>
      <c r="X870" s="396">
        <v>-15566</v>
      </c>
      <c r="Y870" s="396"/>
      <c r="Z870" s="396"/>
    </row>
    <row r="871" spans="1:26">
      <c r="A871" s="390">
        <v>99405</v>
      </c>
      <c r="B871" s="391" t="s">
        <v>1565</v>
      </c>
      <c r="C871" s="234">
        <v>5.27E-5</v>
      </c>
      <c r="D871" s="234">
        <v>5.91E-5</v>
      </c>
      <c r="E871" s="231">
        <v>80821</v>
      </c>
      <c r="F871" s="231" t="s">
        <v>1924</v>
      </c>
      <c r="G871" s="392">
        <v>25712</v>
      </c>
      <c r="H871" s="392">
        <v>0</v>
      </c>
      <c r="I871" s="392">
        <v>50776</v>
      </c>
      <c r="J871" s="231">
        <v>11857</v>
      </c>
      <c r="K871" s="231">
        <v>88345</v>
      </c>
      <c r="L871" s="231"/>
      <c r="M871" s="300">
        <v>0</v>
      </c>
      <c r="N871" s="300">
        <v>115468</v>
      </c>
      <c r="O871" s="300">
        <v>0</v>
      </c>
      <c r="P871" s="231">
        <v>3472</v>
      </c>
      <c r="Q871" s="231">
        <v>118940</v>
      </c>
      <c r="R871" s="231"/>
      <c r="S871" s="392">
        <v>34869</v>
      </c>
      <c r="T871" s="231">
        <v>7625</v>
      </c>
      <c r="U871" s="396">
        <v>42494</v>
      </c>
      <c r="V871" s="231"/>
      <c r="W871" s="396">
        <v>313738</v>
      </c>
      <c r="X871" s="396">
        <v>-110859</v>
      </c>
      <c r="Y871" s="396"/>
      <c r="Z871" s="396"/>
    </row>
    <row r="872" spans="1:26">
      <c r="A872" s="390">
        <v>99411</v>
      </c>
      <c r="B872" s="391" t="s">
        <v>1566</v>
      </c>
      <c r="C872" s="234">
        <v>1.64E-4</v>
      </c>
      <c r="D872" s="234">
        <v>1.6799999999999999E-4</v>
      </c>
      <c r="E872" s="231">
        <v>251510</v>
      </c>
      <c r="F872" s="231" t="s">
        <v>1924</v>
      </c>
      <c r="G872" s="392">
        <v>80014</v>
      </c>
      <c r="H872" s="392">
        <v>0</v>
      </c>
      <c r="I872" s="392">
        <v>158012</v>
      </c>
      <c r="J872" s="231">
        <v>9023</v>
      </c>
      <c r="K872" s="231">
        <v>247049</v>
      </c>
      <c r="L872" s="231"/>
      <c r="M872" s="300">
        <v>0</v>
      </c>
      <c r="N872" s="300">
        <v>359332</v>
      </c>
      <c r="O872" s="300">
        <v>0</v>
      </c>
      <c r="P872" s="231">
        <v>10636</v>
      </c>
      <c r="Q872" s="231">
        <v>369968</v>
      </c>
      <c r="R872" s="231"/>
      <c r="S872" s="392">
        <v>108509</v>
      </c>
      <c r="T872" s="231">
        <v>8720</v>
      </c>
      <c r="U872" s="396">
        <v>117229</v>
      </c>
      <c r="V872" s="231"/>
      <c r="W872" s="396">
        <v>976340</v>
      </c>
      <c r="X872" s="396">
        <v>-344987</v>
      </c>
      <c r="Y872" s="396"/>
      <c r="Z872" s="396"/>
    </row>
    <row r="873" spans="1:26">
      <c r="A873" s="390">
        <v>99413</v>
      </c>
      <c r="B873" s="391" t="s">
        <v>1567</v>
      </c>
      <c r="C873" s="234">
        <v>3.7299999999999999E-5</v>
      </c>
      <c r="D873" s="234">
        <v>3.3899999999999997E-5</v>
      </c>
      <c r="E873" s="231">
        <v>57203</v>
      </c>
      <c r="F873" s="231" t="s">
        <v>1924</v>
      </c>
      <c r="G873" s="392">
        <v>18198</v>
      </c>
      <c r="H873" s="392">
        <v>0</v>
      </c>
      <c r="I873" s="392">
        <v>35938</v>
      </c>
      <c r="J873" s="231">
        <v>31136</v>
      </c>
      <c r="K873" s="231">
        <v>85272</v>
      </c>
      <c r="L873" s="231"/>
      <c r="M873" s="300">
        <v>0</v>
      </c>
      <c r="N873" s="300">
        <v>81726</v>
      </c>
      <c r="O873" s="300">
        <v>0</v>
      </c>
      <c r="P873" s="231">
        <v>853</v>
      </c>
      <c r="Q873" s="231">
        <v>82579</v>
      </c>
      <c r="R873" s="231"/>
      <c r="S873" s="392">
        <v>24679</v>
      </c>
      <c r="T873" s="231">
        <v>14071</v>
      </c>
      <c r="U873" s="396">
        <v>38750</v>
      </c>
      <c r="V873" s="231"/>
      <c r="W873" s="396">
        <v>222058</v>
      </c>
      <c r="X873" s="396">
        <v>-78463</v>
      </c>
      <c r="Y873" s="396"/>
      <c r="Z873" s="396"/>
    </row>
    <row r="874" spans="1:26">
      <c r="A874" s="390">
        <v>99421</v>
      </c>
      <c r="B874" s="391" t="s">
        <v>1568</v>
      </c>
      <c r="C874" s="234">
        <v>1.2300000000000001E-5</v>
      </c>
      <c r="D874" s="234">
        <v>1.0699999999999999E-5</v>
      </c>
      <c r="E874" s="231">
        <v>18863</v>
      </c>
      <c r="F874" s="231" t="s">
        <v>1924</v>
      </c>
      <c r="G874" s="392">
        <v>6001</v>
      </c>
      <c r="H874" s="392">
        <v>0</v>
      </c>
      <c r="I874" s="392">
        <v>11851</v>
      </c>
      <c r="J874" s="231">
        <v>2257</v>
      </c>
      <c r="K874" s="231">
        <v>20109</v>
      </c>
      <c r="L874" s="231"/>
      <c r="M874" s="300">
        <v>0</v>
      </c>
      <c r="N874" s="300">
        <v>26950</v>
      </c>
      <c r="O874" s="300">
        <v>0</v>
      </c>
      <c r="P874" s="231">
        <v>2468</v>
      </c>
      <c r="Q874" s="231">
        <v>29418</v>
      </c>
      <c r="R874" s="231"/>
      <c r="S874" s="392">
        <v>8138</v>
      </c>
      <c r="T874" s="231">
        <v>-786</v>
      </c>
      <c r="U874" s="396">
        <v>7352</v>
      </c>
      <c r="V874" s="231"/>
      <c r="W874" s="396">
        <v>73225</v>
      </c>
      <c r="X874" s="396">
        <v>-25874</v>
      </c>
      <c r="Y874" s="396"/>
      <c r="Z874" s="396"/>
    </row>
    <row r="875" spans="1:26">
      <c r="A875" s="390">
        <v>99431</v>
      </c>
      <c r="B875" s="391" t="s">
        <v>1569</v>
      </c>
      <c r="C875" s="234">
        <v>1.8099999999999999E-5</v>
      </c>
      <c r="D875" s="234">
        <v>1.91E-5</v>
      </c>
      <c r="E875" s="231">
        <v>27758</v>
      </c>
      <c r="F875" s="231" t="s">
        <v>1924</v>
      </c>
      <c r="G875" s="392">
        <v>8831</v>
      </c>
      <c r="H875" s="392">
        <v>0</v>
      </c>
      <c r="I875" s="392">
        <v>17439</v>
      </c>
      <c r="J875" s="231">
        <v>2923</v>
      </c>
      <c r="K875" s="231">
        <v>29193</v>
      </c>
      <c r="L875" s="231"/>
      <c r="M875" s="300">
        <v>0</v>
      </c>
      <c r="N875" s="300">
        <v>39658</v>
      </c>
      <c r="O875" s="300">
        <v>0</v>
      </c>
      <c r="P875" s="231">
        <v>6182</v>
      </c>
      <c r="Q875" s="231">
        <v>45840</v>
      </c>
      <c r="R875" s="231"/>
      <c r="S875" s="392">
        <v>11976</v>
      </c>
      <c r="T875" s="231">
        <v>-1866</v>
      </c>
      <c r="U875" s="396">
        <v>10110</v>
      </c>
      <c r="V875" s="231"/>
      <c r="W875" s="396">
        <v>107755</v>
      </c>
      <c r="X875" s="396">
        <v>-38075</v>
      </c>
      <c r="Y875" s="396"/>
      <c r="Z875" s="396"/>
    </row>
    <row r="876" spans="1:26" customFormat="1">
      <c r="A876" s="390">
        <v>99501</v>
      </c>
      <c r="B876" s="391" t="s">
        <v>1570</v>
      </c>
      <c r="C876" s="234">
        <v>1.6647999999999999E-3</v>
      </c>
      <c r="D876" s="234">
        <v>1.6310999999999999E-3</v>
      </c>
      <c r="E876" s="231">
        <v>2553131</v>
      </c>
      <c r="F876" s="231" t="s">
        <v>1924</v>
      </c>
      <c r="G876" s="392">
        <v>812243</v>
      </c>
      <c r="H876" s="392">
        <v>0</v>
      </c>
      <c r="I876" s="392">
        <v>1604018</v>
      </c>
      <c r="J876" s="231">
        <v>145191</v>
      </c>
      <c r="K876" s="231">
        <v>2561452</v>
      </c>
      <c r="L876" s="231"/>
      <c r="M876" s="300">
        <v>0</v>
      </c>
      <c r="N876" s="300">
        <v>3647657</v>
      </c>
      <c r="O876" s="300">
        <v>0</v>
      </c>
      <c r="P876" s="231">
        <v>0</v>
      </c>
      <c r="Q876" s="231">
        <v>3647657</v>
      </c>
      <c r="R876" s="231"/>
      <c r="S876" s="392">
        <v>1101502</v>
      </c>
      <c r="T876" s="231">
        <v>55072</v>
      </c>
      <c r="U876" s="396">
        <v>1156574</v>
      </c>
      <c r="V876" s="231"/>
      <c r="W876" s="396">
        <v>9911041</v>
      </c>
      <c r="X876" s="396">
        <v>-3502035</v>
      </c>
      <c r="Y876" s="396"/>
      <c r="Z876" s="396"/>
    </row>
    <row r="877" spans="1:26" customFormat="1">
      <c r="A877" s="390">
        <v>99502</v>
      </c>
      <c r="B877" s="391" t="s">
        <v>1571</v>
      </c>
      <c r="C877" s="234">
        <v>1.5300000000000001E-4</v>
      </c>
      <c r="D877" s="234">
        <v>1.5109999999999999E-4</v>
      </c>
      <c r="E877" s="231">
        <v>234640</v>
      </c>
      <c r="F877" s="231" t="s">
        <v>1924</v>
      </c>
      <c r="G877" s="392">
        <v>74647</v>
      </c>
      <c r="H877" s="392">
        <v>0</v>
      </c>
      <c r="I877" s="392">
        <v>147414</v>
      </c>
      <c r="J877" s="231">
        <v>6342</v>
      </c>
      <c r="K877" s="231">
        <v>228403</v>
      </c>
      <c r="L877" s="231"/>
      <c r="M877" s="300">
        <v>0</v>
      </c>
      <c r="N877" s="300">
        <v>335230</v>
      </c>
      <c r="O877" s="300">
        <v>0</v>
      </c>
      <c r="P877" s="231">
        <v>6487</v>
      </c>
      <c r="Q877" s="231">
        <v>341717</v>
      </c>
      <c r="R877" s="231"/>
      <c r="S877" s="392">
        <v>101231</v>
      </c>
      <c r="T877" s="231">
        <v>1540</v>
      </c>
      <c r="U877" s="396">
        <v>102771</v>
      </c>
      <c r="V877" s="231"/>
      <c r="W877" s="396">
        <v>910854</v>
      </c>
      <c r="X877" s="396">
        <v>-321847</v>
      </c>
      <c r="Y877" s="396"/>
      <c r="Z877" s="396"/>
    </row>
    <row r="878" spans="1:26" customFormat="1">
      <c r="A878" s="390">
        <v>99508</v>
      </c>
      <c r="B878" s="391" t="s">
        <v>1572</v>
      </c>
      <c r="C878" s="234">
        <v>2.1100000000000001E-5</v>
      </c>
      <c r="D878" s="234">
        <v>2.0800000000000001E-5</v>
      </c>
      <c r="E878" s="231">
        <v>32359</v>
      </c>
      <c r="F878" s="231" t="s">
        <v>1924</v>
      </c>
      <c r="G878" s="392">
        <v>10295</v>
      </c>
      <c r="H878" s="392">
        <v>0</v>
      </c>
      <c r="I878" s="392">
        <v>20330</v>
      </c>
      <c r="J878" s="231">
        <v>1144</v>
      </c>
      <c r="K878" s="231">
        <v>31769</v>
      </c>
      <c r="L878" s="231"/>
      <c r="M878" s="300">
        <v>0</v>
      </c>
      <c r="N878" s="300">
        <v>46231</v>
      </c>
      <c r="O878" s="300">
        <v>0</v>
      </c>
      <c r="P878" s="231">
        <v>715</v>
      </c>
      <c r="Q878" s="231">
        <v>46946</v>
      </c>
      <c r="R878" s="231"/>
      <c r="S878" s="392">
        <v>13961</v>
      </c>
      <c r="T878" s="231">
        <v>1</v>
      </c>
      <c r="U878" s="396">
        <v>13962</v>
      </c>
      <c r="V878" s="231"/>
      <c r="W878" s="396">
        <v>125614</v>
      </c>
      <c r="X878" s="396">
        <v>-44385</v>
      </c>
      <c r="Y878" s="396"/>
      <c r="Z878" s="396"/>
    </row>
    <row r="879" spans="1:26" customFormat="1">
      <c r="A879" s="390">
        <v>99509</v>
      </c>
      <c r="B879" s="391" t="s">
        <v>1573</v>
      </c>
      <c r="C879" s="234">
        <v>2.1699999999999999E-5</v>
      </c>
      <c r="D879" s="234">
        <v>2.0699999999999998E-5</v>
      </c>
      <c r="E879" s="231">
        <v>33279</v>
      </c>
      <c r="F879" s="231" t="s">
        <v>1924</v>
      </c>
      <c r="G879" s="392">
        <v>10587</v>
      </c>
      <c r="H879" s="392">
        <v>0</v>
      </c>
      <c r="I879" s="392">
        <v>20908</v>
      </c>
      <c r="J879" s="231">
        <v>3426</v>
      </c>
      <c r="K879" s="231">
        <v>34921</v>
      </c>
      <c r="L879" s="231"/>
      <c r="M879" s="300">
        <v>0</v>
      </c>
      <c r="N879" s="300">
        <v>47546</v>
      </c>
      <c r="O879" s="300">
        <v>0</v>
      </c>
      <c r="P879" s="231">
        <v>3459</v>
      </c>
      <c r="Q879" s="231">
        <v>51005</v>
      </c>
      <c r="R879" s="231"/>
      <c r="S879" s="392">
        <v>14358</v>
      </c>
      <c r="T879" s="231">
        <v>-1245</v>
      </c>
      <c r="U879" s="396">
        <v>13113</v>
      </c>
      <c r="V879" s="231"/>
      <c r="W879" s="396">
        <v>129186</v>
      </c>
      <c r="X879" s="396">
        <v>-45648</v>
      </c>
      <c r="Y879" s="396"/>
      <c r="Z879" s="396"/>
    </row>
    <row r="880" spans="1:26" customFormat="1">
      <c r="A880" s="390">
        <v>99511</v>
      </c>
      <c r="B880" s="391" t="s">
        <v>1574</v>
      </c>
      <c r="C880" s="234">
        <v>1.3062E-3</v>
      </c>
      <c r="D880" s="234">
        <v>1.3119E-3</v>
      </c>
      <c r="E880" s="231">
        <v>2003183</v>
      </c>
      <c r="F880" s="231" t="s">
        <v>1924</v>
      </c>
      <c r="G880" s="392">
        <v>637285</v>
      </c>
      <c r="H880" s="392">
        <v>0</v>
      </c>
      <c r="I880" s="392">
        <v>1258511</v>
      </c>
      <c r="J880" s="231">
        <v>0</v>
      </c>
      <c r="K880" s="231">
        <v>1895796</v>
      </c>
      <c r="L880" s="231"/>
      <c r="M880" s="300">
        <v>0</v>
      </c>
      <c r="N880" s="300">
        <v>2861947</v>
      </c>
      <c r="O880" s="300">
        <v>0</v>
      </c>
      <c r="P880" s="231">
        <v>159068</v>
      </c>
      <c r="Q880" s="231">
        <v>3021015</v>
      </c>
      <c r="R880" s="231"/>
      <c r="S880" s="392">
        <v>864237</v>
      </c>
      <c r="T880" s="231">
        <v>-83936</v>
      </c>
      <c r="U880" s="396">
        <v>780301</v>
      </c>
      <c r="V880" s="231"/>
      <c r="W880" s="396">
        <v>7776190</v>
      </c>
      <c r="X880" s="396">
        <v>-2747692</v>
      </c>
      <c r="Y880" s="396"/>
      <c r="Z880" s="396"/>
    </row>
    <row r="881" spans="1:26" customFormat="1">
      <c r="A881" s="390">
        <v>99521</v>
      </c>
      <c r="B881" s="391" t="s">
        <v>1575</v>
      </c>
      <c r="C881" s="234">
        <v>5.2010000000000001E-4</v>
      </c>
      <c r="D881" s="234">
        <v>4.8440000000000001E-4</v>
      </c>
      <c r="E881" s="231">
        <v>797623</v>
      </c>
      <c r="F881" s="231" t="s">
        <v>1924</v>
      </c>
      <c r="G881" s="392">
        <v>253753</v>
      </c>
      <c r="H881" s="392">
        <v>0</v>
      </c>
      <c r="I881" s="392">
        <v>501111</v>
      </c>
      <c r="J881" s="231">
        <v>15203</v>
      </c>
      <c r="K881" s="231">
        <v>770067</v>
      </c>
      <c r="L881" s="231"/>
      <c r="M881" s="300">
        <v>0</v>
      </c>
      <c r="N881" s="300">
        <v>1139564</v>
      </c>
      <c r="O881" s="300">
        <v>0</v>
      </c>
      <c r="P881" s="231">
        <v>38976</v>
      </c>
      <c r="Q881" s="231">
        <v>1178540</v>
      </c>
      <c r="R881" s="231"/>
      <c r="S881" s="392">
        <v>344120</v>
      </c>
      <c r="T881" s="231">
        <v>-10561</v>
      </c>
      <c r="U881" s="396">
        <v>333559</v>
      </c>
      <c r="V881" s="231"/>
      <c r="W881" s="396">
        <v>3096307</v>
      </c>
      <c r="X881" s="396">
        <v>-1094070</v>
      </c>
      <c r="Y881" s="396"/>
      <c r="Z881" s="396"/>
    </row>
    <row r="882" spans="1:26" customFormat="1">
      <c r="A882" s="390">
        <v>99527</v>
      </c>
      <c r="B882" s="391" t="s">
        <v>1576</v>
      </c>
      <c r="C882" s="234">
        <v>1.04E-5</v>
      </c>
      <c r="D882" s="234">
        <v>1.03E-5</v>
      </c>
      <c r="E882" s="231">
        <v>15949</v>
      </c>
      <c r="F882" s="231" t="s">
        <v>1924</v>
      </c>
      <c r="G882" s="392">
        <v>5074</v>
      </c>
      <c r="H882" s="392">
        <v>0</v>
      </c>
      <c r="I882" s="392">
        <v>10020</v>
      </c>
      <c r="J882" s="231">
        <v>3932</v>
      </c>
      <c r="K882" s="231">
        <v>19026</v>
      </c>
      <c r="L882" s="231"/>
      <c r="M882" s="300">
        <v>0</v>
      </c>
      <c r="N882" s="300">
        <v>22787</v>
      </c>
      <c r="O882" s="300">
        <v>0</v>
      </c>
      <c r="P882" s="231">
        <v>0</v>
      </c>
      <c r="Q882" s="231">
        <v>22787</v>
      </c>
      <c r="R882" s="231"/>
      <c r="S882" s="392">
        <v>6881</v>
      </c>
      <c r="T882" s="231">
        <v>1612</v>
      </c>
      <c r="U882" s="396">
        <v>8493</v>
      </c>
      <c r="V882" s="231"/>
      <c r="W882" s="396">
        <v>61914</v>
      </c>
      <c r="X882" s="396">
        <v>-21877</v>
      </c>
      <c r="Y882" s="396"/>
      <c r="Z882" s="396"/>
    </row>
    <row r="883" spans="1:26" customFormat="1">
      <c r="A883" s="390">
        <v>99531</v>
      </c>
      <c r="B883" s="391" t="s">
        <v>1577</v>
      </c>
      <c r="C883" s="234">
        <v>8.7800000000000006E-5</v>
      </c>
      <c r="D883" s="234">
        <v>9.0500000000000004E-5</v>
      </c>
      <c r="E883" s="231">
        <v>134650</v>
      </c>
      <c r="F883" s="231" t="s">
        <v>1924</v>
      </c>
      <c r="G883" s="392">
        <v>42837</v>
      </c>
      <c r="H883" s="392">
        <v>0</v>
      </c>
      <c r="I883" s="392">
        <v>84594</v>
      </c>
      <c r="J883" s="231">
        <v>47206</v>
      </c>
      <c r="K883" s="231">
        <v>174637</v>
      </c>
      <c r="L883" s="231"/>
      <c r="M883" s="300">
        <v>0</v>
      </c>
      <c r="N883" s="300">
        <v>192374</v>
      </c>
      <c r="O883" s="300">
        <v>0</v>
      </c>
      <c r="P883" s="231">
        <v>0</v>
      </c>
      <c r="Q883" s="231">
        <v>192374</v>
      </c>
      <c r="R883" s="231"/>
      <c r="S883" s="392">
        <v>58092</v>
      </c>
      <c r="T883" s="231">
        <v>29397</v>
      </c>
      <c r="U883" s="396">
        <v>87489</v>
      </c>
      <c r="V883" s="231"/>
      <c r="W883" s="396">
        <v>522699</v>
      </c>
      <c r="X883" s="396">
        <v>-184694</v>
      </c>
      <c r="Y883" s="396"/>
      <c r="Z883" s="396"/>
    </row>
    <row r="884" spans="1:26" customFormat="1">
      <c r="A884" s="390">
        <v>99601</v>
      </c>
      <c r="B884" s="391" t="s">
        <v>1578</v>
      </c>
      <c r="C884" s="234">
        <v>5.0832000000000004E-3</v>
      </c>
      <c r="D884" s="234">
        <v>5.3302000000000002E-3</v>
      </c>
      <c r="E884" s="231">
        <v>7795575</v>
      </c>
      <c r="F884" s="231" t="s">
        <v>1924</v>
      </c>
      <c r="G884" s="392">
        <v>2480053</v>
      </c>
      <c r="H884" s="392">
        <v>0</v>
      </c>
      <c r="I884" s="392">
        <v>4897612</v>
      </c>
      <c r="J884" s="231">
        <v>1339</v>
      </c>
      <c r="K884" s="231">
        <v>7379004</v>
      </c>
      <c r="L884" s="231"/>
      <c r="M884" s="300">
        <v>0</v>
      </c>
      <c r="N884" s="300">
        <v>11137535</v>
      </c>
      <c r="O884" s="300">
        <v>0</v>
      </c>
      <c r="P884" s="231">
        <v>1014574</v>
      </c>
      <c r="Q884" s="231">
        <v>12152109</v>
      </c>
      <c r="R884" s="231"/>
      <c r="S884" s="392">
        <v>3363259</v>
      </c>
      <c r="T884" s="231">
        <v>-377463</v>
      </c>
      <c r="U884" s="396">
        <v>2985796</v>
      </c>
      <c r="V884" s="231"/>
      <c r="W884" s="396">
        <v>30261774</v>
      </c>
      <c r="X884" s="396">
        <v>-10692903</v>
      </c>
      <c r="Y884" s="396"/>
      <c r="Z884" s="396"/>
    </row>
    <row r="885" spans="1:26" customFormat="1">
      <c r="A885" s="390">
        <v>99602</v>
      </c>
      <c r="B885" s="391" t="s">
        <v>1579</v>
      </c>
      <c r="C885" s="234">
        <v>6.1600000000000007E-5</v>
      </c>
      <c r="D885" s="234">
        <v>6.1199999999999997E-5</v>
      </c>
      <c r="E885" s="231">
        <v>94470</v>
      </c>
      <c r="F885" s="231" t="s">
        <v>1924</v>
      </c>
      <c r="G885" s="392">
        <v>30054</v>
      </c>
      <c r="H885" s="392">
        <v>0</v>
      </c>
      <c r="I885" s="392">
        <v>59351</v>
      </c>
      <c r="J885" s="231">
        <v>0</v>
      </c>
      <c r="K885" s="231">
        <v>89405</v>
      </c>
      <c r="L885" s="231"/>
      <c r="M885" s="300">
        <v>0</v>
      </c>
      <c r="N885" s="300">
        <v>134969</v>
      </c>
      <c r="O885" s="300">
        <v>0</v>
      </c>
      <c r="P885" s="231">
        <v>7258</v>
      </c>
      <c r="Q885" s="231">
        <v>142227</v>
      </c>
      <c r="R885" s="231"/>
      <c r="S885" s="392">
        <v>40757</v>
      </c>
      <c r="T885" s="231">
        <v>-1531</v>
      </c>
      <c r="U885" s="396">
        <v>39226</v>
      </c>
      <c r="V885" s="231"/>
      <c r="W885" s="396">
        <v>366723</v>
      </c>
      <c r="X885" s="396">
        <v>-129580</v>
      </c>
      <c r="Y885" s="396"/>
      <c r="Z885" s="396"/>
    </row>
    <row r="886" spans="1:26" customFormat="1">
      <c r="A886" s="390">
        <v>99603</v>
      </c>
      <c r="B886" s="391" t="s">
        <v>1580</v>
      </c>
      <c r="C886" s="234">
        <v>1.6080000000000001E-4</v>
      </c>
      <c r="D886" s="234">
        <v>1.426E-4</v>
      </c>
      <c r="E886" s="231">
        <v>246602</v>
      </c>
      <c r="F886" s="231" t="s">
        <v>1924</v>
      </c>
      <c r="G886" s="392">
        <v>78453</v>
      </c>
      <c r="H886" s="392">
        <v>0</v>
      </c>
      <c r="I886" s="392">
        <v>154929</v>
      </c>
      <c r="J886" s="231">
        <v>47575</v>
      </c>
      <c r="K886" s="231">
        <v>280957</v>
      </c>
      <c r="L886" s="231"/>
      <c r="M886" s="300">
        <v>0</v>
      </c>
      <c r="N886" s="300">
        <v>352321</v>
      </c>
      <c r="O886" s="300">
        <v>0</v>
      </c>
      <c r="P886" s="231">
        <v>5500</v>
      </c>
      <c r="Q886" s="231">
        <v>357821</v>
      </c>
      <c r="R886" s="231"/>
      <c r="S886" s="392">
        <v>106392</v>
      </c>
      <c r="T886" s="231">
        <v>21929</v>
      </c>
      <c r="U886" s="396">
        <v>128321</v>
      </c>
      <c r="V886" s="231"/>
      <c r="W886" s="396">
        <v>957289</v>
      </c>
      <c r="X886" s="396">
        <v>-338255</v>
      </c>
      <c r="Y886" s="396"/>
      <c r="Z886" s="396"/>
    </row>
    <row r="887" spans="1:26" customFormat="1">
      <c r="A887" s="390">
        <v>99604</v>
      </c>
      <c r="B887" s="391" t="s">
        <v>1581</v>
      </c>
      <c r="C887" s="234">
        <v>1.142E-4</v>
      </c>
      <c r="D887" s="234">
        <v>1.043E-4</v>
      </c>
      <c r="E887" s="231">
        <v>175137</v>
      </c>
      <c r="F887" s="231" t="s">
        <v>1924</v>
      </c>
      <c r="G887" s="392">
        <v>55717</v>
      </c>
      <c r="H887" s="392">
        <v>0</v>
      </c>
      <c r="I887" s="392">
        <v>110031</v>
      </c>
      <c r="J887" s="231">
        <v>39664</v>
      </c>
      <c r="K887" s="231">
        <v>205412</v>
      </c>
      <c r="L887" s="231"/>
      <c r="M887" s="300">
        <v>0</v>
      </c>
      <c r="N887" s="300">
        <v>250218</v>
      </c>
      <c r="O887" s="300">
        <v>0</v>
      </c>
      <c r="P887" s="231">
        <v>0</v>
      </c>
      <c r="Q887" s="231">
        <v>250218</v>
      </c>
      <c r="R887" s="231"/>
      <c r="S887" s="392">
        <v>75560</v>
      </c>
      <c r="T887" s="231">
        <v>19409</v>
      </c>
      <c r="U887" s="396">
        <v>94969</v>
      </c>
      <c r="V887" s="231"/>
      <c r="W887" s="396">
        <v>679866</v>
      </c>
      <c r="X887" s="396">
        <v>-240228</v>
      </c>
      <c r="Y887" s="396"/>
      <c r="Z887" s="396"/>
    </row>
    <row r="888" spans="1:26" customFormat="1">
      <c r="A888" s="390">
        <v>99609</v>
      </c>
      <c r="B888" s="391" t="s">
        <v>1582</v>
      </c>
      <c r="C888" s="234">
        <v>3.0599999999999998E-5</v>
      </c>
      <c r="D888" s="234">
        <v>2.9499999999999999E-5</v>
      </c>
      <c r="E888" s="231">
        <v>46928</v>
      </c>
      <c r="F888" s="231" t="s">
        <v>1924</v>
      </c>
      <c r="G888" s="392">
        <v>14929</v>
      </c>
      <c r="H888" s="392">
        <v>0</v>
      </c>
      <c r="I888" s="392">
        <v>29483</v>
      </c>
      <c r="J888" s="231">
        <v>3706</v>
      </c>
      <c r="K888" s="231">
        <v>48118</v>
      </c>
      <c r="L888" s="231"/>
      <c r="M888" s="300">
        <v>0</v>
      </c>
      <c r="N888" s="300">
        <v>67046</v>
      </c>
      <c r="O888" s="300">
        <v>0</v>
      </c>
      <c r="P888" s="231">
        <v>244</v>
      </c>
      <c r="Q888" s="231">
        <v>67290</v>
      </c>
      <c r="R888" s="231"/>
      <c r="S888" s="392">
        <v>20246</v>
      </c>
      <c r="T888" s="231">
        <v>1840</v>
      </c>
      <c r="U888" s="396">
        <v>22086</v>
      </c>
      <c r="V888" s="231"/>
      <c r="W888" s="396">
        <v>182171</v>
      </c>
      <c r="X888" s="396">
        <v>-64369</v>
      </c>
      <c r="Y888" s="396"/>
      <c r="Z888" s="396"/>
    </row>
    <row r="889" spans="1:26" customFormat="1">
      <c r="A889" s="390">
        <v>99610</v>
      </c>
      <c r="B889" s="391" t="s">
        <v>1583</v>
      </c>
      <c r="C889" s="234">
        <v>1.7650000000000001E-4</v>
      </c>
      <c r="D889" s="234">
        <v>1.6770000000000001E-4</v>
      </c>
      <c r="E889" s="231">
        <v>270680</v>
      </c>
      <c r="F889" s="231" t="s">
        <v>1924</v>
      </c>
      <c r="G889" s="392">
        <v>86113</v>
      </c>
      <c r="H889" s="392">
        <v>0</v>
      </c>
      <c r="I889" s="392">
        <v>170056</v>
      </c>
      <c r="J889" s="231">
        <v>28484</v>
      </c>
      <c r="K889" s="231">
        <v>284653</v>
      </c>
      <c r="L889" s="231"/>
      <c r="M889" s="300">
        <v>0</v>
      </c>
      <c r="N889" s="300">
        <v>386720</v>
      </c>
      <c r="O889" s="300">
        <v>0</v>
      </c>
      <c r="P889" s="231">
        <v>6142</v>
      </c>
      <c r="Q889" s="231">
        <v>392862</v>
      </c>
      <c r="R889" s="231"/>
      <c r="S889" s="392">
        <v>116780</v>
      </c>
      <c r="T889" s="231">
        <v>5848</v>
      </c>
      <c r="U889" s="396">
        <v>122628</v>
      </c>
      <c r="V889" s="231"/>
      <c r="W889" s="396">
        <v>1050756</v>
      </c>
      <c r="X889" s="396">
        <v>-371281</v>
      </c>
      <c r="Y889" s="396"/>
      <c r="Z889" s="396"/>
    </row>
    <row r="890" spans="1:26" customFormat="1">
      <c r="A890" s="390">
        <v>99611</v>
      </c>
      <c r="B890" s="391" t="s">
        <v>1584</v>
      </c>
      <c r="C890" s="234">
        <v>3.1145000000000001E-3</v>
      </c>
      <c r="D890" s="234">
        <v>3.1828E-3</v>
      </c>
      <c r="E890" s="231">
        <v>4776385</v>
      </c>
      <c r="F890" s="231" t="s">
        <v>1924</v>
      </c>
      <c r="G890" s="392">
        <v>1519540</v>
      </c>
      <c r="H890" s="392">
        <v>0</v>
      </c>
      <c r="I890" s="392">
        <v>3000790</v>
      </c>
      <c r="J890" s="231">
        <v>8608</v>
      </c>
      <c r="K890" s="231">
        <v>4528938</v>
      </c>
      <c r="L890" s="231"/>
      <c r="M890" s="300">
        <v>0</v>
      </c>
      <c r="N890" s="300">
        <v>6824019</v>
      </c>
      <c r="O890" s="300">
        <v>0</v>
      </c>
      <c r="P890" s="231">
        <v>304419</v>
      </c>
      <c r="Q890" s="231">
        <v>7128438</v>
      </c>
      <c r="R890" s="231"/>
      <c r="S890" s="392">
        <v>2060684</v>
      </c>
      <c r="T890" s="231">
        <v>-99616</v>
      </c>
      <c r="U890" s="396">
        <v>1961068</v>
      </c>
      <c r="V890" s="231"/>
      <c r="W890" s="396">
        <v>18541528</v>
      </c>
      <c r="X890" s="396">
        <v>-6551591</v>
      </c>
      <c r="Y890" s="396"/>
      <c r="Z890" s="396"/>
    </row>
    <row r="891" spans="1:26" customFormat="1">
      <c r="A891" s="390">
        <v>99613</v>
      </c>
      <c r="B891" s="391" t="s">
        <v>1585</v>
      </c>
      <c r="C891" s="234">
        <v>3.5100000000000002E-4</v>
      </c>
      <c r="D891" s="234">
        <v>3.1920000000000001E-4</v>
      </c>
      <c r="E891" s="231">
        <v>538292</v>
      </c>
      <c r="F891" s="231" t="s">
        <v>1924</v>
      </c>
      <c r="G891" s="392">
        <v>171250</v>
      </c>
      <c r="H891" s="392">
        <v>0</v>
      </c>
      <c r="I891" s="392">
        <v>338185</v>
      </c>
      <c r="J891" s="231">
        <v>90618</v>
      </c>
      <c r="K891" s="231">
        <v>600053</v>
      </c>
      <c r="L891" s="231"/>
      <c r="M891" s="300">
        <v>0</v>
      </c>
      <c r="N891" s="300">
        <v>769058</v>
      </c>
      <c r="O891" s="300">
        <v>0</v>
      </c>
      <c r="P891" s="231">
        <v>18970</v>
      </c>
      <c r="Q891" s="231">
        <v>788028</v>
      </c>
      <c r="R891" s="231"/>
      <c r="S891" s="392">
        <v>232236</v>
      </c>
      <c r="T891" s="231">
        <v>77265</v>
      </c>
      <c r="U891" s="396">
        <v>309501</v>
      </c>
      <c r="V891" s="231"/>
      <c r="W891" s="396">
        <v>2089605</v>
      </c>
      <c r="X891" s="396">
        <v>-738356</v>
      </c>
      <c r="Y891" s="396"/>
      <c r="Z891" s="396"/>
    </row>
    <row r="892" spans="1:26" customFormat="1">
      <c r="A892" s="390">
        <v>99621</v>
      </c>
      <c r="B892" s="391" t="s">
        <v>1586</v>
      </c>
      <c r="C892" s="234">
        <v>3.3369999999999998E-4</v>
      </c>
      <c r="D892" s="234">
        <v>3.3040000000000001E-4</v>
      </c>
      <c r="E892" s="231">
        <v>511761</v>
      </c>
      <c r="F892" s="231" t="s">
        <v>1924</v>
      </c>
      <c r="G892" s="392">
        <v>162810</v>
      </c>
      <c r="H892" s="392">
        <v>0</v>
      </c>
      <c r="I892" s="392">
        <v>321517</v>
      </c>
      <c r="J892" s="231">
        <v>13211</v>
      </c>
      <c r="K892" s="231">
        <v>497538</v>
      </c>
      <c r="L892" s="231"/>
      <c r="M892" s="300">
        <v>0</v>
      </c>
      <c r="N892" s="300">
        <v>731153</v>
      </c>
      <c r="O892" s="300">
        <v>0</v>
      </c>
      <c r="P892" s="231">
        <v>24754</v>
      </c>
      <c r="Q892" s="231">
        <v>755907</v>
      </c>
      <c r="R892" s="231"/>
      <c r="S892" s="392">
        <v>220790</v>
      </c>
      <c r="T892" s="231">
        <v>-1869</v>
      </c>
      <c r="U892" s="396">
        <v>218921</v>
      </c>
      <c r="V892" s="231"/>
      <c r="W892" s="396">
        <v>1986614</v>
      </c>
      <c r="X892" s="396">
        <v>-701964</v>
      </c>
      <c r="Y892" s="396"/>
      <c r="Z892" s="396"/>
    </row>
    <row r="893" spans="1:26" customFormat="1">
      <c r="A893" s="390">
        <v>99623</v>
      </c>
      <c r="B893" s="391" t="s">
        <v>1587</v>
      </c>
      <c r="C893" s="234">
        <v>1.6399999999999999E-5</v>
      </c>
      <c r="D893" s="234">
        <v>1.6699999999999999E-5</v>
      </c>
      <c r="E893" s="231">
        <v>25151</v>
      </c>
      <c r="F893" s="231" t="s">
        <v>1924</v>
      </c>
      <c r="G893" s="392">
        <v>8001</v>
      </c>
      <c r="H893" s="392">
        <v>0</v>
      </c>
      <c r="I893" s="392">
        <v>15801</v>
      </c>
      <c r="J893" s="231">
        <v>5453</v>
      </c>
      <c r="K893" s="231">
        <v>29255</v>
      </c>
      <c r="L893" s="231"/>
      <c r="M893" s="300">
        <v>0</v>
      </c>
      <c r="N893" s="300">
        <v>35933</v>
      </c>
      <c r="O893" s="300">
        <v>0</v>
      </c>
      <c r="P893" s="231">
        <v>10648</v>
      </c>
      <c r="Q893" s="231">
        <v>46581</v>
      </c>
      <c r="R893" s="231"/>
      <c r="S893" s="392">
        <v>10851</v>
      </c>
      <c r="T893" s="231">
        <v>-3113</v>
      </c>
      <c r="U893" s="396">
        <v>7738</v>
      </c>
      <c r="V893" s="231"/>
      <c r="W893" s="396">
        <v>97634</v>
      </c>
      <c r="X893" s="396">
        <v>-34499</v>
      </c>
      <c r="Y893" s="396"/>
      <c r="Z893" s="396"/>
    </row>
    <row r="894" spans="1:26" customFormat="1">
      <c r="A894" s="390">
        <v>99631</v>
      </c>
      <c r="B894" s="391" t="s">
        <v>1588</v>
      </c>
      <c r="C894" s="234">
        <v>8.5699999999999996E-5</v>
      </c>
      <c r="D894" s="234">
        <v>7.6899999999999999E-5</v>
      </c>
      <c r="E894" s="231">
        <v>131429</v>
      </c>
      <c r="F894" s="231" t="s">
        <v>1924</v>
      </c>
      <c r="G894" s="392">
        <v>41812</v>
      </c>
      <c r="H894" s="392">
        <v>0</v>
      </c>
      <c r="I894" s="392">
        <v>82571</v>
      </c>
      <c r="J894" s="231">
        <v>13729</v>
      </c>
      <c r="K894" s="231">
        <v>138112</v>
      </c>
      <c r="L894" s="231"/>
      <c r="M894" s="300">
        <v>0</v>
      </c>
      <c r="N894" s="300">
        <v>187773</v>
      </c>
      <c r="O894" s="300">
        <v>0</v>
      </c>
      <c r="P894" s="231">
        <v>29909</v>
      </c>
      <c r="Q894" s="231">
        <v>217682</v>
      </c>
      <c r="R894" s="231"/>
      <c r="S894" s="392">
        <v>56703</v>
      </c>
      <c r="T894" s="231">
        <v>-10303</v>
      </c>
      <c r="U894" s="396">
        <v>46400</v>
      </c>
      <c r="V894" s="231"/>
      <c r="W894" s="396">
        <v>510197</v>
      </c>
      <c r="X894" s="396">
        <v>-180277</v>
      </c>
      <c r="Y894" s="396"/>
      <c r="Z894" s="396"/>
    </row>
    <row r="895" spans="1:26" customFormat="1">
      <c r="A895" s="390">
        <v>99651</v>
      </c>
      <c r="B895" s="391" t="s">
        <v>1589</v>
      </c>
      <c r="C895" s="234">
        <v>5.3699999999999997E-5</v>
      </c>
      <c r="D895" s="234">
        <v>6.5199999999999999E-5</v>
      </c>
      <c r="E895" s="231">
        <v>82354</v>
      </c>
      <c r="F895" s="231" t="s">
        <v>1924</v>
      </c>
      <c r="G895" s="392">
        <v>26200</v>
      </c>
      <c r="H895" s="392">
        <v>0</v>
      </c>
      <c r="I895" s="392">
        <v>51739</v>
      </c>
      <c r="J895" s="231">
        <v>3823</v>
      </c>
      <c r="K895" s="231">
        <v>81762</v>
      </c>
      <c r="L895" s="231"/>
      <c r="M895" s="300">
        <v>0</v>
      </c>
      <c r="N895" s="300">
        <v>117659</v>
      </c>
      <c r="O895" s="300">
        <v>0</v>
      </c>
      <c r="P895" s="231">
        <v>25282</v>
      </c>
      <c r="Q895" s="231">
        <v>142941</v>
      </c>
      <c r="R895" s="231"/>
      <c r="S895" s="392">
        <v>35530</v>
      </c>
      <c r="T895" s="231">
        <v>-8010</v>
      </c>
      <c r="U895" s="396">
        <v>27520</v>
      </c>
      <c r="V895" s="231"/>
      <c r="W895" s="396">
        <v>319692</v>
      </c>
      <c r="X895" s="396">
        <v>-112962</v>
      </c>
      <c r="Y895" s="396"/>
      <c r="Z895" s="396"/>
    </row>
    <row r="896" spans="1:26" customFormat="1">
      <c r="A896" s="390">
        <v>99661</v>
      </c>
      <c r="B896" s="391" t="s">
        <v>1590</v>
      </c>
      <c r="C896" s="234">
        <v>3.4199999999999998E-5</v>
      </c>
      <c r="D896" s="234">
        <v>3.4400000000000003E-5</v>
      </c>
      <c r="E896" s="231">
        <v>52449</v>
      </c>
      <c r="F896" s="231" t="s">
        <v>1924</v>
      </c>
      <c r="G896" s="392">
        <v>16686</v>
      </c>
      <c r="H896" s="392">
        <v>0</v>
      </c>
      <c r="I896" s="392">
        <v>32951</v>
      </c>
      <c r="J896" s="231">
        <v>33131</v>
      </c>
      <c r="K896" s="231">
        <v>82768</v>
      </c>
      <c r="L896" s="231"/>
      <c r="M896" s="300">
        <v>0</v>
      </c>
      <c r="N896" s="300">
        <v>74934</v>
      </c>
      <c r="O896" s="300">
        <v>0</v>
      </c>
      <c r="P896" s="231">
        <v>0</v>
      </c>
      <c r="Q896" s="231">
        <v>74934</v>
      </c>
      <c r="R896" s="231"/>
      <c r="S896" s="392">
        <v>22628</v>
      </c>
      <c r="T896" s="231">
        <v>21024</v>
      </c>
      <c r="U896" s="396">
        <v>43652</v>
      </c>
      <c r="V896" s="231"/>
      <c r="W896" s="396">
        <v>203603</v>
      </c>
      <c r="X896" s="396">
        <v>-71942</v>
      </c>
      <c r="Y896" s="396"/>
      <c r="Z896" s="396"/>
    </row>
    <row r="897" spans="1:26" customFormat="1">
      <c r="A897" s="390">
        <v>99701</v>
      </c>
      <c r="B897" s="391" t="s">
        <v>1591</v>
      </c>
      <c r="C897" s="234">
        <v>3.0317999999999999E-3</v>
      </c>
      <c r="D897" s="234">
        <v>3.0582000000000001E-3</v>
      </c>
      <c r="E897" s="231">
        <v>4649556</v>
      </c>
      <c r="F897" s="231" t="s">
        <v>1924</v>
      </c>
      <c r="G897" s="392">
        <v>1479191</v>
      </c>
      <c r="H897" s="392">
        <v>0</v>
      </c>
      <c r="I897" s="392">
        <v>2921109</v>
      </c>
      <c r="J897" s="231">
        <v>34492</v>
      </c>
      <c r="K897" s="231">
        <v>4434792</v>
      </c>
      <c r="L897" s="231"/>
      <c r="M897" s="300">
        <v>0</v>
      </c>
      <c r="N897" s="300">
        <v>6642819</v>
      </c>
      <c r="O897" s="300">
        <v>0</v>
      </c>
      <c r="P897" s="231">
        <v>143942</v>
      </c>
      <c r="Q897" s="231">
        <v>6786761</v>
      </c>
      <c r="R897" s="231"/>
      <c r="S897" s="392">
        <v>2005966</v>
      </c>
      <c r="T897" s="231">
        <v>-36268</v>
      </c>
      <c r="U897" s="396">
        <v>1969698</v>
      </c>
      <c r="V897" s="231"/>
      <c r="W897" s="396">
        <v>18049191</v>
      </c>
      <c r="X897" s="396">
        <v>-6377625</v>
      </c>
      <c r="Y897" s="396"/>
      <c r="Z897" s="396"/>
    </row>
    <row r="898" spans="1:26" customFormat="1">
      <c r="A898" s="390">
        <v>99705</v>
      </c>
      <c r="B898" s="391" t="s">
        <v>1592</v>
      </c>
      <c r="C898" s="234">
        <v>1.716E-4</v>
      </c>
      <c r="D898" s="234">
        <v>1.6310000000000001E-4</v>
      </c>
      <c r="E898" s="231">
        <v>263165</v>
      </c>
      <c r="F898" s="231" t="s">
        <v>1924</v>
      </c>
      <c r="G898" s="392">
        <v>83722</v>
      </c>
      <c r="H898" s="392">
        <v>0</v>
      </c>
      <c r="I898" s="392">
        <v>165335</v>
      </c>
      <c r="J898" s="231">
        <v>53466</v>
      </c>
      <c r="K898" s="231">
        <v>302523</v>
      </c>
      <c r="L898" s="231"/>
      <c r="M898" s="300">
        <v>0</v>
      </c>
      <c r="N898" s="300">
        <v>375984</v>
      </c>
      <c r="O898" s="300">
        <v>0</v>
      </c>
      <c r="P898" s="231">
        <v>0</v>
      </c>
      <c r="Q898" s="231">
        <v>375984</v>
      </c>
      <c r="R898" s="231"/>
      <c r="S898" s="392">
        <v>113538</v>
      </c>
      <c r="T898" s="231">
        <v>23945</v>
      </c>
      <c r="U898" s="396">
        <v>137483</v>
      </c>
      <c r="V898" s="231"/>
      <c r="W898" s="396">
        <v>1021585</v>
      </c>
      <c r="X898" s="396">
        <v>-360974</v>
      </c>
      <c r="Y898" s="396"/>
      <c r="Z898" s="396"/>
    </row>
    <row r="899" spans="1:26" customFormat="1">
      <c r="A899" s="390">
        <v>99711</v>
      </c>
      <c r="B899" s="391" t="s">
        <v>1593</v>
      </c>
      <c r="C899" s="234">
        <v>3.9609999999999998E-4</v>
      </c>
      <c r="D899" s="234">
        <v>4.2759999999999999E-4</v>
      </c>
      <c r="E899" s="231">
        <v>607457</v>
      </c>
      <c r="F899" s="231" t="s">
        <v>1924</v>
      </c>
      <c r="G899" s="392">
        <v>193254</v>
      </c>
      <c r="H899" s="392">
        <v>0</v>
      </c>
      <c r="I899" s="392">
        <v>381638</v>
      </c>
      <c r="J899" s="231">
        <v>6638</v>
      </c>
      <c r="K899" s="231">
        <v>581530</v>
      </c>
      <c r="L899" s="231"/>
      <c r="M899" s="300">
        <v>0</v>
      </c>
      <c r="N899" s="300">
        <v>867874</v>
      </c>
      <c r="O899" s="300">
        <v>0</v>
      </c>
      <c r="P899" s="231">
        <v>51921</v>
      </c>
      <c r="Q899" s="231">
        <v>919795</v>
      </c>
      <c r="R899" s="231"/>
      <c r="S899" s="392">
        <v>262076</v>
      </c>
      <c r="T899" s="231">
        <v>-11337</v>
      </c>
      <c r="U899" s="396">
        <v>250739</v>
      </c>
      <c r="V899" s="231"/>
      <c r="W899" s="396">
        <v>2358099</v>
      </c>
      <c r="X899" s="396">
        <v>-833227</v>
      </c>
      <c r="Y899" s="396"/>
      <c r="Z899" s="396"/>
    </row>
    <row r="900" spans="1:26" customFormat="1">
      <c r="A900" s="390">
        <v>99717</v>
      </c>
      <c r="B900" s="391" t="s">
        <v>1594</v>
      </c>
      <c r="C900" s="234">
        <v>1.7900000000000001E-5</v>
      </c>
      <c r="D900" s="234">
        <v>1.6099999999999998E-5</v>
      </c>
      <c r="E900" s="231">
        <v>27451</v>
      </c>
      <c r="F900" s="231" t="s">
        <v>1924</v>
      </c>
      <c r="G900" s="392">
        <v>8733</v>
      </c>
      <c r="H900" s="392">
        <v>0</v>
      </c>
      <c r="I900" s="392">
        <v>17246</v>
      </c>
      <c r="J900" s="231">
        <v>4179</v>
      </c>
      <c r="K900" s="231">
        <v>30158</v>
      </c>
      <c r="L900" s="231"/>
      <c r="M900" s="300">
        <v>0</v>
      </c>
      <c r="N900" s="300">
        <v>39220</v>
      </c>
      <c r="O900" s="300">
        <v>0</v>
      </c>
      <c r="P900" s="231">
        <v>9068</v>
      </c>
      <c r="Q900" s="231">
        <v>48288</v>
      </c>
      <c r="R900" s="231"/>
      <c r="S900" s="392">
        <v>11843</v>
      </c>
      <c r="T900" s="231">
        <v>-3864</v>
      </c>
      <c r="U900" s="396">
        <v>7979</v>
      </c>
      <c r="V900" s="231"/>
      <c r="W900" s="396">
        <v>106564</v>
      </c>
      <c r="X900" s="396">
        <v>-37654</v>
      </c>
      <c r="Y900" s="396"/>
      <c r="Z900" s="396"/>
    </row>
    <row r="901" spans="1:26" customFormat="1">
      <c r="A901" s="390">
        <v>99721</v>
      </c>
      <c r="B901" s="391" t="s">
        <v>1595</v>
      </c>
      <c r="C901" s="234">
        <v>5.8679999999999995E-4</v>
      </c>
      <c r="D901" s="234">
        <v>5.8069999999999997E-4</v>
      </c>
      <c r="E901" s="231">
        <v>899914</v>
      </c>
      <c r="F901" s="231" t="s">
        <v>1924</v>
      </c>
      <c r="G901" s="392">
        <v>286295</v>
      </c>
      <c r="H901" s="392">
        <v>0</v>
      </c>
      <c r="I901" s="392">
        <v>565376</v>
      </c>
      <c r="J901" s="231">
        <v>12086</v>
      </c>
      <c r="K901" s="231">
        <v>863757</v>
      </c>
      <c r="L901" s="231"/>
      <c r="M901" s="300">
        <v>0</v>
      </c>
      <c r="N901" s="300">
        <v>1285707</v>
      </c>
      <c r="O901" s="300">
        <v>0</v>
      </c>
      <c r="P901" s="231">
        <v>30872</v>
      </c>
      <c r="Q901" s="231">
        <v>1316579</v>
      </c>
      <c r="R901" s="231"/>
      <c r="S901" s="392">
        <v>388252</v>
      </c>
      <c r="T901" s="231">
        <v>-22288</v>
      </c>
      <c r="U901" s="396">
        <v>365964</v>
      </c>
      <c r="V901" s="231"/>
      <c r="W901" s="396">
        <v>3493392</v>
      </c>
      <c r="X901" s="396">
        <v>-1234379</v>
      </c>
      <c r="Y901" s="396"/>
      <c r="Z901" s="396"/>
    </row>
    <row r="902" spans="1:26" customFormat="1">
      <c r="A902" s="390">
        <v>99727</v>
      </c>
      <c r="B902" s="391" t="s">
        <v>1596</v>
      </c>
      <c r="C902" s="234">
        <v>1.84E-5</v>
      </c>
      <c r="D902" s="234">
        <v>1.6200000000000001E-5</v>
      </c>
      <c r="E902" s="231">
        <v>28218</v>
      </c>
      <c r="F902" s="231" t="s">
        <v>1924</v>
      </c>
      <c r="G902" s="392">
        <v>8977</v>
      </c>
      <c r="H902" s="392">
        <v>0</v>
      </c>
      <c r="I902" s="392">
        <v>17728</v>
      </c>
      <c r="J902" s="231">
        <v>30422</v>
      </c>
      <c r="K902" s="231">
        <v>57127</v>
      </c>
      <c r="L902" s="231"/>
      <c r="M902" s="300">
        <v>0</v>
      </c>
      <c r="N902" s="300">
        <v>40315</v>
      </c>
      <c r="O902" s="300">
        <v>0</v>
      </c>
      <c r="P902" s="231">
        <v>0</v>
      </c>
      <c r="Q902" s="231">
        <v>40315</v>
      </c>
      <c r="R902" s="231"/>
      <c r="S902" s="392">
        <v>12174</v>
      </c>
      <c r="T902" s="231">
        <v>24306</v>
      </c>
      <c r="U902" s="396">
        <v>36480</v>
      </c>
      <c r="V902" s="231"/>
      <c r="W902" s="396">
        <v>109541</v>
      </c>
      <c r="X902" s="396">
        <v>-38706</v>
      </c>
      <c r="Y902" s="396"/>
      <c r="Z902" s="396"/>
    </row>
    <row r="903" spans="1:26" customFormat="1">
      <c r="A903" s="390">
        <v>99801</v>
      </c>
      <c r="B903" s="391" t="s">
        <v>1597</v>
      </c>
      <c r="C903" s="234">
        <v>4.6610999999999996E-3</v>
      </c>
      <c r="D903" s="234">
        <v>4.6778000000000002E-3</v>
      </c>
      <c r="E903" s="231">
        <v>7148244</v>
      </c>
      <c r="F903" s="231" t="s">
        <v>1924</v>
      </c>
      <c r="G903" s="392">
        <v>2274113</v>
      </c>
      <c r="H903" s="392">
        <v>0</v>
      </c>
      <c r="I903" s="392">
        <v>4490923</v>
      </c>
      <c r="J903" s="231">
        <v>0</v>
      </c>
      <c r="K903" s="231">
        <v>6765036</v>
      </c>
      <c r="L903" s="231"/>
      <c r="M903" s="300">
        <v>0</v>
      </c>
      <c r="N903" s="300">
        <v>10212694</v>
      </c>
      <c r="O903" s="300">
        <v>0</v>
      </c>
      <c r="P903" s="231">
        <v>443192</v>
      </c>
      <c r="Q903" s="231">
        <v>10655886</v>
      </c>
      <c r="R903" s="231"/>
      <c r="S903" s="392">
        <v>3083980</v>
      </c>
      <c r="T903" s="231">
        <v>-255620</v>
      </c>
      <c r="U903" s="396">
        <v>2828360</v>
      </c>
      <c r="V903" s="231"/>
      <c r="W903" s="396">
        <v>27748889</v>
      </c>
      <c r="X903" s="396">
        <v>-9804983</v>
      </c>
      <c r="Y903" s="396"/>
      <c r="Z903" s="396"/>
    </row>
    <row r="904" spans="1:26" customFormat="1">
      <c r="A904" s="390">
        <v>99802</v>
      </c>
      <c r="B904" s="391" t="s">
        <v>1598</v>
      </c>
      <c r="C904" s="234">
        <v>1.0900000000000001E-5</v>
      </c>
      <c r="D904" s="234">
        <v>1.13E-5</v>
      </c>
      <c r="E904" s="231">
        <v>16716</v>
      </c>
      <c r="F904" s="231" t="s">
        <v>1924</v>
      </c>
      <c r="G904" s="392">
        <v>5318</v>
      </c>
      <c r="H904" s="392">
        <v>0</v>
      </c>
      <c r="I904" s="392">
        <v>10502</v>
      </c>
      <c r="J904" s="231">
        <v>2678</v>
      </c>
      <c r="K904" s="231">
        <v>18498</v>
      </c>
      <c r="L904" s="231"/>
      <c r="M904" s="300">
        <v>0</v>
      </c>
      <c r="N904" s="300">
        <v>23882</v>
      </c>
      <c r="O904" s="300">
        <v>0</v>
      </c>
      <c r="P904" s="231">
        <v>1408</v>
      </c>
      <c r="Q904" s="231">
        <v>25290</v>
      </c>
      <c r="R904" s="231"/>
      <c r="S904" s="392">
        <v>7212</v>
      </c>
      <c r="T904" s="231">
        <v>1772</v>
      </c>
      <c r="U904" s="396">
        <v>8984</v>
      </c>
      <c r="V904" s="231"/>
      <c r="W904" s="396">
        <v>64891</v>
      </c>
      <c r="X904" s="396">
        <v>-22929</v>
      </c>
      <c r="Y904" s="396"/>
      <c r="Z904" s="396"/>
    </row>
    <row r="905" spans="1:26" customFormat="1">
      <c r="A905" s="390">
        <v>99804</v>
      </c>
      <c r="B905" s="391" t="s">
        <v>1599</v>
      </c>
      <c r="C905" s="234">
        <v>8.8300000000000005E-5</v>
      </c>
      <c r="D905" s="234">
        <v>7.3200000000000004E-5</v>
      </c>
      <c r="E905" s="231">
        <v>135417</v>
      </c>
      <c r="F905" s="231" t="s">
        <v>1924</v>
      </c>
      <c r="G905" s="392">
        <v>43081</v>
      </c>
      <c r="H905" s="392">
        <v>0</v>
      </c>
      <c r="I905" s="392">
        <v>85076</v>
      </c>
      <c r="J905" s="231">
        <v>49377</v>
      </c>
      <c r="K905" s="231">
        <v>177534</v>
      </c>
      <c r="L905" s="231"/>
      <c r="M905" s="300">
        <v>0</v>
      </c>
      <c r="N905" s="300">
        <v>193470</v>
      </c>
      <c r="O905" s="300">
        <v>0</v>
      </c>
      <c r="P905" s="231">
        <v>33</v>
      </c>
      <c r="Q905" s="231">
        <v>193503</v>
      </c>
      <c r="R905" s="231"/>
      <c r="S905" s="392">
        <v>58423</v>
      </c>
      <c r="T905" s="231">
        <v>19796</v>
      </c>
      <c r="U905" s="396">
        <v>78219</v>
      </c>
      <c r="V905" s="231"/>
      <c r="W905" s="396">
        <v>525676</v>
      </c>
      <c r="X905" s="396">
        <v>-185746</v>
      </c>
      <c r="Y905" s="396"/>
      <c r="Z905" s="396"/>
    </row>
    <row r="906" spans="1:26" customFormat="1">
      <c r="A906" s="390">
        <v>99811</v>
      </c>
      <c r="B906" s="391" t="s">
        <v>1600</v>
      </c>
      <c r="C906" s="234">
        <v>6.2027999999999996E-3</v>
      </c>
      <c r="D906" s="234">
        <v>6.3816000000000003E-3</v>
      </c>
      <c r="E906" s="231">
        <v>9512589</v>
      </c>
      <c r="F906" s="231" t="s">
        <v>1924</v>
      </c>
      <c r="G906" s="392">
        <v>3026296</v>
      </c>
      <c r="H906" s="392">
        <v>0</v>
      </c>
      <c r="I906" s="392">
        <v>5976336</v>
      </c>
      <c r="J906" s="231">
        <v>0</v>
      </c>
      <c r="K906" s="231">
        <v>9002632</v>
      </c>
      <c r="L906" s="231"/>
      <c r="M906" s="300">
        <v>0</v>
      </c>
      <c r="N906" s="300">
        <v>13590633</v>
      </c>
      <c r="O906" s="300">
        <v>0</v>
      </c>
      <c r="P906" s="231">
        <v>584168</v>
      </c>
      <c r="Q906" s="231">
        <v>14174801</v>
      </c>
      <c r="R906" s="231"/>
      <c r="S906" s="392">
        <v>4104033</v>
      </c>
      <c r="T906" s="231">
        <v>-328514</v>
      </c>
      <c r="U906" s="396">
        <v>3775519</v>
      </c>
      <c r="V906" s="231"/>
      <c r="W906" s="396">
        <v>36927080</v>
      </c>
      <c r="X906" s="396">
        <v>-13048067</v>
      </c>
      <c r="Y906" s="396"/>
      <c r="Z906" s="396"/>
    </row>
    <row r="907" spans="1:26" customFormat="1">
      <c r="A907" s="390">
        <v>99812</v>
      </c>
      <c r="B907" s="391" t="s">
        <v>1601</v>
      </c>
      <c r="C907" s="234">
        <v>1.77E-5</v>
      </c>
      <c r="D907" s="234">
        <v>1.6900000000000001E-5</v>
      </c>
      <c r="E907" s="231">
        <v>27145</v>
      </c>
      <c r="F907" s="231" t="s">
        <v>1924</v>
      </c>
      <c r="G907" s="392">
        <v>8636</v>
      </c>
      <c r="H907" s="392">
        <v>0</v>
      </c>
      <c r="I907" s="392">
        <v>17054</v>
      </c>
      <c r="J907" s="231">
        <v>28290</v>
      </c>
      <c r="K907" s="231">
        <v>53980</v>
      </c>
      <c r="L907" s="231"/>
      <c r="M907" s="300">
        <v>0</v>
      </c>
      <c r="N907" s="300">
        <v>38782</v>
      </c>
      <c r="O907" s="300">
        <v>0</v>
      </c>
      <c r="P907" s="231">
        <v>0</v>
      </c>
      <c r="Q907" s="231">
        <v>38782</v>
      </c>
      <c r="R907" s="231"/>
      <c r="S907" s="392">
        <v>11711</v>
      </c>
      <c r="T907" s="231">
        <v>13979</v>
      </c>
      <c r="U907" s="396">
        <v>25690</v>
      </c>
      <c r="V907" s="231"/>
      <c r="W907" s="396">
        <v>105373</v>
      </c>
      <c r="X907" s="396">
        <v>-37233</v>
      </c>
      <c r="Y907" s="396"/>
      <c r="Z907" s="396"/>
    </row>
    <row r="908" spans="1:26" customFormat="1">
      <c r="A908" s="390">
        <v>99818</v>
      </c>
      <c r="B908" s="391" t="s">
        <v>1602</v>
      </c>
      <c r="C908" s="234">
        <v>2.4600000000000002E-5</v>
      </c>
      <c r="D908" s="234">
        <v>4.7500000000000003E-5</v>
      </c>
      <c r="E908" s="231">
        <v>37726</v>
      </c>
      <c r="F908" s="231" t="s">
        <v>1924</v>
      </c>
      <c r="G908" s="392">
        <v>12002</v>
      </c>
      <c r="H908" s="392">
        <v>0</v>
      </c>
      <c r="I908" s="392">
        <v>23702</v>
      </c>
      <c r="J908" s="231">
        <v>5832</v>
      </c>
      <c r="K908" s="231">
        <v>41536</v>
      </c>
      <c r="L908" s="231"/>
      <c r="M908" s="300">
        <v>0</v>
      </c>
      <c r="N908" s="300">
        <v>53900</v>
      </c>
      <c r="O908" s="300">
        <v>0</v>
      </c>
      <c r="P908" s="231">
        <v>40725</v>
      </c>
      <c r="Q908" s="231">
        <v>94625</v>
      </c>
      <c r="R908" s="231"/>
      <c r="S908" s="392">
        <v>16276</v>
      </c>
      <c r="T908" s="231">
        <v>-11965</v>
      </c>
      <c r="U908" s="396">
        <v>4311</v>
      </c>
      <c r="V908" s="231"/>
      <c r="W908" s="396">
        <v>146451</v>
      </c>
      <c r="X908" s="396">
        <v>-51748</v>
      </c>
      <c r="Y908" s="396"/>
      <c r="Z908" s="396"/>
    </row>
    <row r="909" spans="1:26" customFormat="1">
      <c r="A909" s="390">
        <v>99821</v>
      </c>
      <c r="B909" s="391" t="s">
        <v>1603</v>
      </c>
      <c r="C909" s="234">
        <v>1.089E-4</v>
      </c>
      <c r="D909" s="234">
        <v>8.81E-5</v>
      </c>
      <c r="E909" s="231">
        <v>167009</v>
      </c>
      <c r="F909" s="231" t="s">
        <v>1924</v>
      </c>
      <c r="G909" s="392">
        <v>53131</v>
      </c>
      <c r="H909" s="392">
        <v>0</v>
      </c>
      <c r="I909" s="392">
        <v>104924</v>
      </c>
      <c r="J909" s="231">
        <v>38928</v>
      </c>
      <c r="K909" s="231">
        <v>196983</v>
      </c>
      <c r="L909" s="231"/>
      <c r="M909" s="300">
        <v>0</v>
      </c>
      <c r="N909" s="300">
        <v>238605</v>
      </c>
      <c r="O909" s="300">
        <v>0</v>
      </c>
      <c r="P909" s="231">
        <v>4240</v>
      </c>
      <c r="Q909" s="231">
        <v>242845</v>
      </c>
      <c r="R909" s="231"/>
      <c r="S909" s="392">
        <v>72053</v>
      </c>
      <c r="T909" s="231">
        <v>15058</v>
      </c>
      <c r="U909" s="396">
        <v>87111</v>
      </c>
      <c r="V909" s="231"/>
      <c r="W909" s="396">
        <v>648313</v>
      </c>
      <c r="X909" s="396">
        <v>-229080</v>
      </c>
      <c r="Y909" s="396"/>
      <c r="Z909" s="396"/>
    </row>
    <row r="910" spans="1:26" customFormat="1">
      <c r="A910" s="390">
        <v>99831</v>
      </c>
      <c r="B910" s="391" t="s">
        <v>1604</v>
      </c>
      <c r="C910" s="234">
        <v>3.3500000000000001E-5</v>
      </c>
      <c r="D910" s="234">
        <v>5.5899999999999997E-5</v>
      </c>
      <c r="E910" s="231">
        <v>51375</v>
      </c>
      <c r="F910" s="231" t="s">
        <v>1924</v>
      </c>
      <c r="G910" s="392">
        <v>16344</v>
      </c>
      <c r="H910" s="392">
        <v>0</v>
      </c>
      <c r="I910" s="392">
        <v>32277</v>
      </c>
      <c r="J910" s="231">
        <v>5512</v>
      </c>
      <c r="K910" s="231">
        <v>54133</v>
      </c>
      <c r="L910" s="231"/>
      <c r="M910" s="300">
        <v>0</v>
      </c>
      <c r="N910" s="300">
        <v>73400</v>
      </c>
      <c r="O910" s="300">
        <v>0</v>
      </c>
      <c r="P910" s="231">
        <v>31650</v>
      </c>
      <c r="Q910" s="231">
        <v>105050</v>
      </c>
      <c r="R910" s="231"/>
      <c r="S910" s="392">
        <v>22165</v>
      </c>
      <c r="T910" s="231">
        <v>-7908</v>
      </c>
      <c r="U910" s="396">
        <v>14257</v>
      </c>
      <c r="V910" s="231"/>
      <c r="W910" s="396">
        <v>199435</v>
      </c>
      <c r="X910" s="396">
        <v>-70470</v>
      </c>
      <c r="Y910" s="396"/>
      <c r="Z910" s="396"/>
    </row>
    <row r="911" spans="1:26" customFormat="1">
      <c r="A911" s="390">
        <v>99841</v>
      </c>
      <c r="B911" s="391" t="s">
        <v>1605</v>
      </c>
      <c r="C911" s="234">
        <v>5.5099999999999998E-5</v>
      </c>
      <c r="D911" s="234">
        <v>5.0500000000000001E-5</v>
      </c>
      <c r="E911" s="231">
        <v>84501</v>
      </c>
      <c r="F911" s="231" t="s">
        <v>1924</v>
      </c>
      <c r="G911" s="392">
        <v>26883</v>
      </c>
      <c r="H911" s="392">
        <v>0</v>
      </c>
      <c r="I911" s="392">
        <v>53088</v>
      </c>
      <c r="J911" s="231">
        <v>37765</v>
      </c>
      <c r="K911" s="231">
        <v>117736</v>
      </c>
      <c r="L911" s="231"/>
      <c r="M911" s="300">
        <v>0</v>
      </c>
      <c r="N911" s="300">
        <v>120727</v>
      </c>
      <c r="O911" s="300">
        <v>0</v>
      </c>
      <c r="P911" s="231">
        <v>6004</v>
      </c>
      <c r="Q911" s="231">
        <v>126731</v>
      </c>
      <c r="R911" s="231"/>
      <c r="S911" s="392">
        <v>36456</v>
      </c>
      <c r="T911" s="231">
        <v>13226</v>
      </c>
      <c r="U911" s="396">
        <v>49682</v>
      </c>
      <c r="V911" s="231"/>
      <c r="W911" s="396">
        <v>328026</v>
      </c>
      <c r="X911" s="396">
        <v>-115907</v>
      </c>
      <c r="Y911" s="396"/>
      <c r="Z911" s="396"/>
    </row>
    <row r="912" spans="1:26" customFormat="1">
      <c r="A912" s="390">
        <v>99851</v>
      </c>
      <c r="B912" s="391" t="s">
        <v>1606</v>
      </c>
      <c r="C912" s="234">
        <v>7.6000000000000001E-6</v>
      </c>
      <c r="D912" s="234">
        <v>7.5000000000000002E-6</v>
      </c>
      <c r="E912" s="231">
        <v>11655</v>
      </c>
      <c r="F912" s="231" t="s">
        <v>1924</v>
      </c>
      <c r="G912" s="392">
        <v>3708</v>
      </c>
      <c r="H912" s="392">
        <v>0</v>
      </c>
      <c r="I912" s="392">
        <v>7323</v>
      </c>
      <c r="J912" s="231">
        <v>0</v>
      </c>
      <c r="K912" s="231">
        <v>11031</v>
      </c>
      <c r="L912" s="231"/>
      <c r="M912" s="300">
        <v>0</v>
      </c>
      <c r="N912" s="300">
        <v>16652</v>
      </c>
      <c r="O912" s="300">
        <v>0</v>
      </c>
      <c r="P912" s="231">
        <v>7601</v>
      </c>
      <c r="Q912" s="231">
        <v>24253</v>
      </c>
      <c r="R912" s="231"/>
      <c r="S912" s="392">
        <v>5028</v>
      </c>
      <c r="T912" s="231">
        <v>-4498</v>
      </c>
      <c r="U912" s="396">
        <v>530</v>
      </c>
      <c r="V912" s="231"/>
      <c r="W912" s="396">
        <v>45245</v>
      </c>
      <c r="X912" s="396">
        <v>-15987</v>
      </c>
      <c r="Y912" s="396"/>
      <c r="Z912" s="396"/>
    </row>
    <row r="913" spans="1:26" customFormat="1">
      <c r="A913" s="390">
        <v>99901</v>
      </c>
      <c r="B913" s="391" t="s">
        <v>1607</v>
      </c>
      <c r="C913" s="234">
        <v>1.4748999999999999E-3</v>
      </c>
      <c r="D913" s="234">
        <v>1.5862999999999999E-3</v>
      </c>
      <c r="E913" s="231">
        <v>2261901</v>
      </c>
      <c r="F913" s="231" t="s">
        <v>1924</v>
      </c>
      <c r="G913" s="392">
        <v>719592</v>
      </c>
      <c r="H913" s="392">
        <v>0</v>
      </c>
      <c r="I913" s="392">
        <v>1421051</v>
      </c>
      <c r="J913" s="231">
        <v>0</v>
      </c>
      <c r="K913" s="231">
        <v>2140643</v>
      </c>
      <c r="L913" s="231"/>
      <c r="M913" s="300">
        <v>0</v>
      </c>
      <c r="N913" s="300">
        <v>3231577</v>
      </c>
      <c r="O913" s="300">
        <v>0</v>
      </c>
      <c r="P913" s="231">
        <v>240688</v>
      </c>
      <c r="Q913" s="231">
        <v>3472265</v>
      </c>
      <c r="R913" s="231"/>
      <c r="S913" s="392">
        <v>975856</v>
      </c>
      <c r="T913" s="231">
        <v>-94319</v>
      </c>
      <c r="U913" s="396">
        <v>881537</v>
      </c>
      <c r="V913" s="231"/>
      <c r="W913" s="396">
        <v>8780510</v>
      </c>
      <c r="X913" s="396">
        <v>-3102566</v>
      </c>
      <c r="Y913" s="396"/>
      <c r="Z913" s="396"/>
    </row>
    <row r="914" spans="1:26" customFormat="1">
      <c r="A914" s="390">
        <v>99911</v>
      </c>
      <c r="B914" s="391" t="s">
        <v>1608</v>
      </c>
      <c r="C914" s="234">
        <v>2.4499999999999999E-4</v>
      </c>
      <c r="D914" s="234">
        <v>2.4049999999999999E-4</v>
      </c>
      <c r="E914" s="231">
        <v>375731</v>
      </c>
      <c r="F914" s="231" t="s">
        <v>1924</v>
      </c>
      <c r="G914" s="392">
        <v>119534</v>
      </c>
      <c r="H914" s="392">
        <v>0</v>
      </c>
      <c r="I914" s="392">
        <v>236055</v>
      </c>
      <c r="J914" s="231">
        <v>52183</v>
      </c>
      <c r="K914" s="231">
        <v>407772</v>
      </c>
      <c r="L914" s="231"/>
      <c r="M914" s="300">
        <v>0</v>
      </c>
      <c r="N914" s="300">
        <v>536807</v>
      </c>
      <c r="O914" s="300">
        <v>0</v>
      </c>
      <c r="P914" s="231">
        <v>1739</v>
      </c>
      <c r="Q914" s="231">
        <v>538546</v>
      </c>
      <c r="R914" s="231"/>
      <c r="S914" s="392">
        <v>162102</v>
      </c>
      <c r="T914" s="231">
        <v>21746</v>
      </c>
      <c r="U914" s="396">
        <v>183848</v>
      </c>
      <c r="V914" s="231"/>
      <c r="W914" s="396">
        <v>1458557</v>
      </c>
      <c r="X914" s="396">
        <v>-515376</v>
      </c>
      <c r="Y914" s="396"/>
      <c r="Z914" s="396"/>
    </row>
    <row r="915" spans="1:26" customFormat="1" ht="32.25" customHeight="1">
      <c r="A915" s="390">
        <v>99921</v>
      </c>
      <c r="B915" s="300" t="s">
        <v>1609</v>
      </c>
      <c r="C915" s="234">
        <v>1.4080000000000001E-4</v>
      </c>
      <c r="D915" s="234">
        <v>1.484E-4</v>
      </c>
      <c r="E915" s="231">
        <v>215930</v>
      </c>
      <c r="F915" s="231" t="s">
        <v>1924</v>
      </c>
      <c r="G915" s="392">
        <v>68695</v>
      </c>
      <c r="H915" s="392">
        <v>0</v>
      </c>
      <c r="I915" s="392">
        <v>135659</v>
      </c>
      <c r="J915" s="231">
        <v>14572</v>
      </c>
      <c r="K915" s="231">
        <v>218926</v>
      </c>
      <c r="L915" s="231"/>
      <c r="M915" s="300">
        <v>0</v>
      </c>
      <c r="N915" s="300">
        <v>308500</v>
      </c>
      <c r="O915" s="300">
        <v>0</v>
      </c>
      <c r="P915" s="231">
        <v>21646</v>
      </c>
      <c r="Q915" s="231">
        <v>330146</v>
      </c>
      <c r="R915" s="231"/>
      <c r="S915" s="392">
        <v>93159</v>
      </c>
      <c r="T915" s="231">
        <v>-3646</v>
      </c>
      <c r="U915" s="396">
        <v>89513</v>
      </c>
      <c r="V915" s="231"/>
      <c r="W915" s="396">
        <v>838224</v>
      </c>
      <c r="X915" s="396">
        <v>-296184</v>
      </c>
      <c r="Y915" s="396"/>
      <c r="Z915" s="396"/>
    </row>
    <row r="916" spans="1:26">
      <c r="A916" s="390">
        <v>99931</v>
      </c>
      <c r="B916" t="s">
        <v>1610</v>
      </c>
      <c r="C916" s="234">
        <v>2.7399999999999999E-5</v>
      </c>
      <c r="D916" s="234">
        <v>2.4899999999999999E-5</v>
      </c>
      <c r="E916" s="231">
        <v>42021</v>
      </c>
      <c r="F916" s="231" t="s">
        <v>1924</v>
      </c>
      <c r="G916" s="392">
        <v>13368</v>
      </c>
      <c r="H916" s="392">
        <v>0</v>
      </c>
      <c r="I916" s="392">
        <v>26400</v>
      </c>
      <c r="J916" s="231">
        <v>8343</v>
      </c>
      <c r="K916" s="231">
        <v>48111</v>
      </c>
      <c r="L916" s="231"/>
      <c r="M916" s="300">
        <v>0</v>
      </c>
      <c r="N916" s="300">
        <v>60035</v>
      </c>
      <c r="O916" s="300">
        <v>0</v>
      </c>
      <c r="P916" s="231">
        <v>0</v>
      </c>
      <c r="Q916" s="231">
        <v>60035</v>
      </c>
      <c r="R916" s="231"/>
      <c r="S916" s="392">
        <v>18129</v>
      </c>
      <c r="T916" s="231">
        <v>2684</v>
      </c>
      <c r="U916" s="396">
        <v>20813</v>
      </c>
      <c r="V916" s="231"/>
      <c r="W916" s="396">
        <v>163120</v>
      </c>
      <c r="X916" s="396">
        <v>-57638</v>
      </c>
      <c r="Y916" s="396"/>
      <c r="Z916" s="396"/>
    </row>
    <row r="917" spans="1:26" customFormat="1">
      <c r="A917" s="390">
        <v>99941</v>
      </c>
      <c r="B917" t="s">
        <v>1611</v>
      </c>
      <c r="C917" s="234">
        <v>5.52E-5</v>
      </c>
      <c r="D917" s="234">
        <v>5.9200000000000002E-5</v>
      </c>
      <c r="E917" s="231">
        <v>84654</v>
      </c>
      <c r="F917" s="231" t="s">
        <v>1924</v>
      </c>
      <c r="G917" s="392">
        <v>26932</v>
      </c>
      <c r="H917" s="392">
        <v>0</v>
      </c>
      <c r="I917" s="392">
        <v>53185</v>
      </c>
      <c r="J917" s="231">
        <v>0</v>
      </c>
      <c r="K917" s="231">
        <v>80117</v>
      </c>
      <c r="L917" s="231"/>
      <c r="M917" s="300">
        <v>0</v>
      </c>
      <c r="N917" s="300">
        <v>120946</v>
      </c>
      <c r="O917" s="300">
        <v>0</v>
      </c>
      <c r="P917" s="231">
        <v>27499</v>
      </c>
      <c r="Q917" s="231">
        <v>148445</v>
      </c>
      <c r="R917" s="231"/>
      <c r="S917" s="392">
        <v>36523</v>
      </c>
      <c r="T917" s="231">
        <v>-13532</v>
      </c>
      <c r="U917" s="396">
        <v>22991</v>
      </c>
      <c r="V917" s="231"/>
      <c r="W917" s="396">
        <v>328622</v>
      </c>
      <c r="X917" s="396">
        <v>-116117</v>
      </c>
      <c r="Y917" s="396"/>
      <c r="Z917" s="396"/>
    </row>
    <row r="918" spans="1:26" customFormat="1">
      <c r="A918" s="390">
        <v>99991</v>
      </c>
      <c r="B918" t="s">
        <v>1612</v>
      </c>
      <c r="C918" s="234">
        <v>4.4989999999999999E-4</v>
      </c>
      <c r="D918" s="234">
        <v>4.4270000000000003E-4</v>
      </c>
      <c r="E918" s="231">
        <v>689965</v>
      </c>
      <c r="F918" s="231" t="s">
        <v>1924</v>
      </c>
      <c r="G918" s="392">
        <v>219503</v>
      </c>
      <c r="H918" s="392">
        <v>0</v>
      </c>
      <c r="I918" s="392">
        <v>433474</v>
      </c>
      <c r="J918" s="231">
        <v>25150</v>
      </c>
      <c r="K918" s="231">
        <v>678127</v>
      </c>
      <c r="L918" s="231"/>
      <c r="M918" s="300">
        <v>0</v>
      </c>
      <c r="N918" s="300">
        <v>985752</v>
      </c>
      <c r="O918" s="300">
        <v>0</v>
      </c>
      <c r="P918" s="231">
        <v>53800</v>
      </c>
      <c r="Q918" s="231">
        <v>1039552</v>
      </c>
      <c r="R918" s="231"/>
      <c r="S918" s="392">
        <v>297673</v>
      </c>
      <c r="T918" s="231">
        <v>-26380</v>
      </c>
      <c r="U918" s="396">
        <v>271293</v>
      </c>
      <c r="V918" s="231"/>
      <c r="W918" s="396">
        <v>2678386</v>
      </c>
      <c r="X918" s="396">
        <v>-946399</v>
      </c>
      <c r="Y918" s="396"/>
      <c r="Z918" s="396"/>
    </row>
    <row r="919" spans="1:26" customFormat="1">
      <c r="A919" s="377">
        <v>99999</v>
      </c>
      <c r="B919" t="s">
        <v>1613</v>
      </c>
      <c r="C919" s="234">
        <v>9.9799999999999997E-4</v>
      </c>
      <c r="D919" s="234">
        <v>1.0007E-3</v>
      </c>
      <c r="E919" s="231">
        <v>1530529</v>
      </c>
      <c r="F919" t="s">
        <v>1924</v>
      </c>
      <c r="G919" s="392">
        <v>486916</v>
      </c>
      <c r="H919" s="392">
        <v>0</v>
      </c>
      <c r="I919" s="392">
        <v>961563</v>
      </c>
      <c r="J919" s="231">
        <v>198824</v>
      </c>
      <c r="K919" s="231">
        <v>1647303</v>
      </c>
      <c r="L919" s="231"/>
      <c r="M919" s="300">
        <v>0</v>
      </c>
      <c r="N919" s="300">
        <v>2186666</v>
      </c>
      <c r="O919" s="300">
        <v>0</v>
      </c>
      <c r="P919" s="231">
        <v>0</v>
      </c>
      <c r="Q919" s="231">
        <v>2186666</v>
      </c>
      <c r="R919" s="231"/>
      <c r="S919" s="392">
        <v>660319</v>
      </c>
      <c r="T919" s="231">
        <v>97779</v>
      </c>
      <c r="U919" s="396">
        <v>758098</v>
      </c>
      <c r="W919" s="396">
        <v>5941385</v>
      </c>
      <c r="X919" s="396">
        <v>-2099370</v>
      </c>
    </row>
    <row r="920" spans="1:26" customFormat="1">
      <c r="A920" s="403" t="s">
        <v>691</v>
      </c>
      <c r="B920" s="404" t="s">
        <v>690</v>
      </c>
      <c r="C920" s="234">
        <v>0</v>
      </c>
      <c r="D920" s="234">
        <v>0</v>
      </c>
      <c r="E920" s="402">
        <v>0</v>
      </c>
      <c r="F920" s="402"/>
      <c r="G920" s="402">
        <v>0</v>
      </c>
      <c r="H920" s="402">
        <v>0</v>
      </c>
      <c r="I920" s="402">
        <v>0</v>
      </c>
      <c r="J920" s="402">
        <v>0</v>
      </c>
      <c r="K920" s="402">
        <v>0</v>
      </c>
      <c r="L920" s="402"/>
      <c r="M920" s="402">
        <v>0</v>
      </c>
      <c r="N920" s="398">
        <v>0</v>
      </c>
      <c r="O920" s="402">
        <v>0</v>
      </c>
      <c r="P920" s="402">
        <v>0</v>
      </c>
      <c r="Q920" s="402">
        <v>0</v>
      </c>
      <c r="R920" s="402"/>
      <c r="S920" s="402">
        <v>0</v>
      </c>
      <c r="T920" s="402">
        <v>0</v>
      </c>
      <c r="U920" s="402">
        <v>0</v>
      </c>
    </row>
    <row r="921" spans="1:26" customFormat="1">
      <c r="A921" s="403"/>
      <c r="B921" s="404"/>
      <c r="C921" s="234"/>
      <c r="D921" s="234"/>
      <c r="E921" s="402"/>
      <c r="F921" s="402"/>
      <c r="G921" s="402"/>
      <c r="H921" s="402"/>
      <c r="I921" s="402"/>
      <c r="J921" s="402"/>
      <c r="K921" s="402"/>
      <c r="L921" s="402"/>
      <c r="M921" s="402"/>
      <c r="N921" s="398"/>
      <c r="O921" s="402"/>
      <c r="P921" s="402"/>
      <c r="Q921" s="402"/>
      <c r="R921" s="402"/>
      <c r="S921" s="402"/>
      <c r="T921" s="402"/>
      <c r="U921" s="402"/>
    </row>
    <row r="922" spans="1:26" customFormat="1">
      <c r="A922" s="403"/>
      <c r="B922" s="404"/>
      <c r="C922" s="234"/>
      <c r="D922" s="234"/>
      <c r="E922" s="402"/>
      <c r="F922" s="402"/>
      <c r="G922" s="402"/>
      <c r="H922" s="402"/>
      <c r="I922" s="402"/>
      <c r="J922" s="402"/>
      <c r="K922" s="402"/>
      <c r="L922" s="402"/>
      <c r="M922" s="402"/>
      <c r="N922" s="398"/>
      <c r="O922" s="402"/>
      <c r="P922" s="402"/>
      <c r="Q922" s="402"/>
      <c r="R922" s="402"/>
      <c r="S922" s="402"/>
      <c r="T922" s="402"/>
      <c r="U922" s="402"/>
    </row>
    <row r="923" spans="1:26" customFormat="1">
      <c r="A923" s="403"/>
      <c r="B923" s="404"/>
      <c r="C923" s="234"/>
      <c r="D923" s="234"/>
      <c r="E923" s="402"/>
      <c r="F923" s="402"/>
      <c r="G923" s="402"/>
      <c r="H923" s="402"/>
      <c r="I923" s="402"/>
      <c r="J923" s="402"/>
      <c r="K923" s="402"/>
      <c r="L923" s="402"/>
      <c r="M923" s="402"/>
      <c r="N923" s="398"/>
      <c r="O923" s="402"/>
      <c r="P923" s="402"/>
      <c r="Q923" s="402"/>
      <c r="R923" s="402"/>
      <c r="S923" s="402"/>
      <c r="T923" s="402"/>
      <c r="U923" s="402"/>
    </row>
    <row r="924" spans="1:26" customFormat="1">
      <c r="A924" s="403"/>
      <c r="B924" s="404"/>
      <c r="C924" s="234"/>
      <c r="D924" s="234"/>
      <c r="E924" s="402"/>
      <c r="F924" s="402"/>
      <c r="G924" s="402"/>
      <c r="H924" s="402"/>
      <c r="I924" s="402"/>
      <c r="J924" s="402"/>
      <c r="K924" s="402"/>
      <c r="L924" s="402"/>
      <c r="M924" s="402"/>
      <c r="N924" s="398"/>
      <c r="O924" s="402"/>
      <c r="P924" s="402"/>
      <c r="Q924" s="402"/>
      <c r="R924" s="402"/>
      <c r="S924" s="402"/>
      <c r="T924" s="402"/>
      <c r="U924" s="402"/>
    </row>
    <row r="925" spans="1:26" customFormat="1">
      <c r="A925" s="403"/>
      <c r="B925" s="404"/>
      <c r="C925" s="234"/>
      <c r="D925" s="234"/>
      <c r="E925" s="402"/>
      <c r="F925" s="402"/>
      <c r="G925" s="402"/>
      <c r="H925" s="402"/>
      <c r="I925" s="402"/>
      <c r="J925" s="402"/>
      <c r="K925" s="402"/>
      <c r="L925" s="402"/>
      <c r="M925" s="402"/>
      <c r="N925" s="398"/>
      <c r="O925" s="402"/>
      <c r="P925" s="402"/>
      <c r="Q925" s="402"/>
      <c r="R925" s="402"/>
      <c r="S925" s="402"/>
      <c r="T925" s="402"/>
      <c r="U925" s="402"/>
    </row>
    <row r="926" spans="1:26" customFormat="1">
      <c r="A926" s="403"/>
      <c r="B926" s="404"/>
      <c r="C926" s="234"/>
      <c r="D926" s="234"/>
      <c r="E926" s="402"/>
      <c r="F926" s="402"/>
      <c r="G926" s="402"/>
      <c r="H926" s="402"/>
      <c r="I926" s="402"/>
      <c r="J926" s="402"/>
      <c r="K926" s="402"/>
      <c r="L926" s="402"/>
      <c r="M926" s="402"/>
      <c r="N926" s="398"/>
      <c r="O926" s="402"/>
      <c r="P926" s="402"/>
      <c r="Q926" s="402"/>
      <c r="R926" s="402"/>
      <c r="S926" s="402"/>
      <c r="T926" s="402"/>
      <c r="U926" s="402"/>
    </row>
    <row r="927" spans="1:26" customFormat="1">
      <c r="A927" s="403"/>
      <c r="B927" s="404"/>
      <c r="C927" s="234"/>
      <c r="D927" s="234"/>
      <c r="E927" s="402"/>
      <c r="F927" s="402"/>
      <c r="G927" s="402"/>
      <c r="H927" s="402"/>
      <c r="I927" s="402"/>
      <c r="J927" s="402"/>
      <c r="K927" s="402"/>
      <c r="L927" s="402"/>
      <c r="M927" s="402"/>
      <c r="N927" s="398"/>
      <c r="O927" s="402"/>
      <c r="P927" s="402"/>
      <c r="Q927" s="402"/>
      <c r="R927" s="402"/>
      <c r="S927" s="402"/>
      <c r="T927" s="402"/>
      <c r="U927" s="402"/>
    </row>
    <row r="928" spans="1:26" customFormat="1">
      <c r="A928" s="403"/>
      <c r="B928" s="404"/>
      <c r="C928" s="234"/>
      <c r="D928" s="234"/>
      <c r="E928" s="402"/>
      <c r="F928" s="402"/>
      <c r="G928" s="402"/>
      <c r="H928" s="402"/>
      <c r="I928" s="402"/>
      <c r="J928" s="402"/>
      <c r="K928" s="402"/>
      <c r="L928" s="402"/>
      <c r="M928" s="402"/>
      <c r="N928" s="398"/>
      <c r="O928" s="402"/>
      <c r="P928" s="402"/>
      <c r="Q928" s="402"/>
      <c r="R928" s="402"/>
      <c r="S928" s="402"/>
      <c r="T928" s="402"/>
      <c r="U928" s="402"/>
    </row>
    <row r="929" spans="1:21" customFormat="1">
      <c r="A929" s="403"/>
      <c r="B929" s="404"/>
      <c r="C929" s="234"/>
      <c r="D929" s="234"/>
      <c r="E929" s="402"/>
      <c r="F929" s="402"/>
      <c r="G929" s="402"/>
      <c r="H929" s="402"/>
      <c r="I929" s="402"/>
      <c r="J929" s="402"/>
      <c r="K929" s="402"/>
      <c r="L929" s="402"/>
      <c r="M929" s="402"/>
      <c r="N929" s="398"/>
      <c r="O929" s="402"/>
      <c r="P929" s="402"/>
      <c r="Q929" s="402"/>
      <c r="R929" s="402"/>
      <c r="S929" s="402"/>
      <c r="T929" s="402"/>
      <c r="U929" s="402"/>
    </row>
    <row r="930" spans="1:21" customFormat="1">
      <c r="A930" s="403"/>
      <c r="B930" s="404"/>
      <c r="C930" s="234"/>
      <c r="D930" s="234"/>
      <c r="E930" s="402"/>
      <c r="F930" s="402"/>
      <c r="G930" s="402"/>
      <c r="H930" s="402"/>
      <c r="I930" s="402"/>
      <c r="J930" s="402"/>
      <c r="K930" s="402"/>
      <c r="L930" s="402"/>
      <c r="M930" s="402"/>
      <c r="N930" s="398"/>
      <c r="O930" s="402"/>
      <c r="P930" s="402"/>
      <c r="Q930" s="402"/>
      <c r="R930" s="402"/>
      <c r="S930" s="402"/>
      <c r="T930" s="402"/>
      <c r="U930" s="402"/>
    </row>
    <row r="931" spans="1:21" customFormat="1">
      <c r="A931" s="403"/>
      <c r="B931" s="404"/>
      <c r="C931" s="234"/>
      <c r="D931" s="234"/>
      <c r="E931" s="402"/>
      <c r="F931" s="402"/>
      <c r="G931" s="402"/>
      <c r="H931" s="402"/>
      <c r="I931" s="402"/>
      <c r="J931" s="402"/>
      <c r="K931" s="402"/>
      <c r="L931" s="402"/>
      <c r="M931" s="402"/>
      <c r="N931" s="398"/>
      <c r="O931" s="402"/>
      <c r="P931" s="402"/>
      <c r="Q931" s="402"/>
      <c r="R931" s="402"/>
      <c r="S931" s="402"/>
      <c r="T931" s="402"/>
      <c r="U931" s="402"/>
    </row>
    <row r="932" spans="1:21" customFormat="1">
      <c r="A932" s="403"/>
      <c r="B932" s="404"/>
      <c r="C932" s="234"/>
      <c r="D932" s="234"/>
      <c r="E932" s="402"/>
      <c r="F932" s="402"/>
      <c r="G932" s="402"/>
      <c r="H932" s="402"/>
      <c r="I932" s="402"/>
      <c r="J932" s="402"/>
      <c r="K932" s="402"/>
      <c r="L932" s="402"/>
      <c r="M932" s="402"/>
      <c r="N932" s="398"/>
      <c r="O932" s="402"/>
      <c r="P932" s="402"/>
      <c r="Q932" s="402"/>
      <c r="R932" s="402"/>
      <c r="S932" s="402"/>
      <c r="T932" s="402"/>
      <c r="U932" s="402"/>
    </row>
    <row r="933" spans="1:21" customFormat="1">
      <c r="A933" s="403"/>
      <c r="B933" s="404"/>
      <c r="C933" s="234"/>
      <c r="D933" s="234"/>
      <c r="E933" s="402"/>
      <c r="F933" s="402"/>
      <c r="G933" s="402"/>
      <c r="H933" s="402"/>
      <c r="I933" s="402"/>
      <c r="J933" s="402"/>
      <c r="K933" s="402"/>
      <c r="L933" s="402"/>
      <c r="M933" s="402"/>
      <c r="N933" s="398"/>
      <c r="O933" s="402"/>
      <c r="P933" s="402"/>
      <c r="Q933" s="402"/>
      <c r="R933" s="402"/>
      <c r="S933" s="402"/>
      <c r="T933" s="402"/>
      <c r="U933" s="402"/>
    </row>
    <row r="934" spans="1:21" customFormat="1">
      <c r="A934" s="403"/>
      <c r="B934" s="404"/>
      <c r="C934" s="234"/>
      <c r="D934" s="234"/>
      <c r="E934" s="402"/>
      <c r="F934" s="402"/>
      <c r="G934" s="402"/>
      <c r="H934" s="402"/>
      <c r="I934" s="402"/>
      <c r="J934" s="402"/>
      <c r="K934" s="402"/>
      <c r="L934" s="402"/>
      <c r="M934" s="402"/>
      <c r="N934" s="398"/>
      <c r="O934" s="402"/>
      <c r="P934" s="402"/>
      <c r="Q934" s="402"/>
      <c r="R934" s="402"/>
      <c r="S934" s="402"/>
      <c r="T934" s="402"/>
      <c r="U934" s="402"/>
    </row>
    <row r="935" spans="1:21" customFormat="1">
      <c r="A935" s="403"/>
      <c r="B935" s="404"/>
      <c r="C935" s="234"/>
      <c r="D935" s="234"/>
      <c r="E935" s="402"/>
      <c r="F935" s="402"/>
      <c r="G935" s="402"/>
      <c r="H935" s="402"/>
      <c r="I935" s="402"/>
      <c r="J935" s="402"/>
      <c r="K935" s="402"/>
      <c r="L935" s="402"/>
      <c r="M935" s="402"/>
      <c r="N935" s="398"/>
      <c r="O935" s="402"/>
      <c r="P935" s="402"/>
      <c r="Q935" s="402"/>
      <c r="R935" s="402"/>
      <c r="S935" s="402"/>
      <c r="T935" s="402"/>
      <c r="U935" s="402"/>
    </row>
    <row r="936" spans="1:21" customFormat="1">
      <c r="A936" s="403"/>
      <c r="B936" s="404"/>
      <c r="C936" s="234"/>
      <c r="D936" s="234"/>
      <c r="E936" s="402"/>
      <c r="F936" s="402"/>
      <c r="G936" s="402"/>
      <c r="H936" s="402"/>
      <c r="I936" s="402"/>
      <c r="J936" s="402"/>
      <c r="K936" s="402"/>
      <c r="L936" s="402"/>
      <c r="M936" s="402"/>
      <c r="N936" s="398"/>
      <c r="O936" s="402"/>
      <c r="P936" s="402"/>
      <c r="Q936" s="402"/>
      <c r="R936" s="402"/>
      <c r="S936" s="402"/>
      <c r="T936" s="402"/>
      <c r="U936" s="402"/>
    </row>
    <row r="937" spans="1:21" customFormat="1">
      <c r="A937" s="403"/>
      <c r="B937" s="404"/>
      <c r="C937" s="234"/>
      <c r="D937" s="234"/>
      <c r="E937" s="402"/>
      <c r="F937" s="402"/>
      <c r="G937" s="402"/>
      <c r="H937" s="402"/>
      <c r="I937" s="402"/>
      <c r="J937" s="402"/>
      <c r="K937" s="402"/>
      <c r="L937" s="402"/>
      <c r="M937" s="402"/>
      <c r="N937" s="398"/>
      <c r="O937" s="402"/>
      <c r="P937" s="402"/>
      <c r="Q937" s="402"/>
      <c r="R937" s="402"/>
      <c r="S937" s="402"/>
      <c r="T937" s="402"/>
      <c r="U937" s="402"/>
    </row>
    <row r="938" spans="1:21" customFormat="1">
      <c r="A938" s="403"/>
      <c r="B938" s="404"/>
      <c r="C938" s="234"/>
      <c r="D938" s="234"/>
      <c r="E938" s="402"/>
      <c r="F938" s="402"/>
      <c r="G938" s="402"/>
      <c r="H938" s="402"/>
      <c r="I938" s="402"/>
      <c r="J938" s="402"/>
      <c r="K938" s="402"/>
      <c r="L938" s="402"/>
      <c r="M938" s="402"/>
      <c r="N938" s="398"/>
      <c r="O938" s="402"/>
      <c r="P938" s="402"/>
      <c r="Q938" s="402"/>
      <c r="R938" s="402"/>
      <c r="S938" s="402"/>
      <c r="T938" s="402"/>
      <c r="U938" s="402"/>
    </row>
    <row r="939" spans="1:21" customFormat="1">
      <c r="A939" s="403"/>
      <c r="B939" s="404"/>
      <c r="C939" s="234"/>
      <c r="D939" s="234"/>
      <c r="E939" s="402"/>
      <c r="F939" s="402"/>
      <c r="G939" s="402"/>
      <c r="H939" s="402"/>
      <c r="I939" s="402"/>
      <c r="J939" s="402"/>
      <c r="K939" s="402"/>
      <c r="L939" s="402"/>
      <c r="M939" s="402"/>
      <c r="N939" s="398"/>
      <c r="O939" s="402"/>
      <c r="P939" s="402"/>
      <c r="Q939" s="402"/>
      <c r="R939" s="402"/>
      <c r="S939" s="402"/>
      <c r="T939" s="402"/>
      <c r="U939" s="402"/>
    </row>
    <row r="940" spans="1:21" customFormat="1">
      <c r="A940" s="403"/>
      <c r="B940" s="404"/>
      <c r="C940" s="234"/>
      <c r="D940" s="234"/>
      <c r="E940" s="402"/>
      <c r="F940" s="402"/>
      <c r="G940" s="402"/>
      <c r="H940" s="402"/>
      <c r="I940" s="402"/>
      <c r="J940" s="402"/>
      <c r="K940" s="402"/>
      <c r="L940" s="402"/>
      <c r="M940" s="402"/>
      <c r="N940" s="398"/>
      <c r="O940" s="402"/>
      <c r="P940" s="402"/>
      <c r="Q940" s="402"/>
      <c r="R940" s="402"/>
      <c r="S940" s="402"/>
      <c r="T940" s="402"/>
      <c r="U940" s="402"/>
    </row>
    <row r="941" spans="1:21" customFormat="1">
      <c r="A941" s="403"/>
      <c r="B941" s="404"/>
      <c r="C941" s="234"/>
      <c r="D941" s="234"/>
      <c r="E941" s="402"/>
      <c r="F941" s="402"/>
      <c r="G941" s="402"/>
      <c r="H941" s="402"/>
      <c r="I941" s="402"/>
      <c r="J941" s="402"/>
      <c r="K941" s="402"/>
      <c r="L941" s="402"/>
      <c r="M941" s="402"/>
      <c r="N941" s="398"/>
      <c r="O941" s="402"/>
      <c r="P941" s="402"/>
      <c r="Q941" s="402"/>
      <c r="R941" s="402"/>
      <c r="S941" s="402"/>
      <c r="T941" s="402"/>
      <c r="U941" s="402"/>
    </row>
    <row r="942" spans="1:21" customFormat="1">
      <c r="A942" s="403"/>
      <c r="B942" s="404"/>
      <c r="C942" s="234"/>
      <c r="D942" s="234"/>
      <c r="E942" s="402"/>
      <c r="F942" s="402"/>
      <c r="G942" s="402"/>
      <c r="H942" s="402"/>
      <c r="I942" s="402"/>
      <c r="J942" s="402"/>
      <c r="K942" s="402"/>
      <c r="L942" s="402"/>
      <c r="M942" s="402"/>
      <c r="N942" s="398"/>
      <c r="O942" s="402"/>
      <c r="P942" s="402"/>
      <c r="Q942" s="402"/>
      <c r="R942" s="402"/>
      <c r="S942" s="402"/>
      <c r="T942" s="402"/>
      <c r="U942" s="402"/>
    </row>
    <row r="943" spans="1:21">
      <c r="A943" s="390"/>
      <c r="B943" s="391"/>
      <c r="C943" s="234"/>
      <c r="J943" s="387"/>
    </row>
    <row r="944" spans="1:21" s="400" customFormat="1">
      <c r="A944" s="398"/>
      <c r="B944" s="399" t="s">
        <v>3617</v>
      </c>
      <c r="C944" s="234"/>
      <c r="D944" s="234"/>
      <c r="E944" s="92"/>
      <c r="F944" s="92"/>
      <c r="G944" s="384"/>
      <c r="H944" s="94"/>
      <c r="I944" s="384"/>
      <c r="J944" s="387"/>
      <c r="K944" s="94"/>
      <c r="L944" s="384"/>
      <c r="M944" s="384"/>
      <c r="N944" s="384"/>
      <c r="O944" s="384"/>
      <c r="P944" s="384"/>
      <c r="Q944" s="94"/>
      <c r="R944" s="384"/>
      <c r="S944" s="384"/>
      <c r="T944" s="384"/>
      <c r="U944" s="384"/>
    </row>
    <row r="945" spans="1:17">
      <c r="B945" t="s">
        <v>690</v>
      </c>
      <c r="C945" s="253" t="s">
        <v>691</v>
      </c>
      <c r="J945" s="387"/>
    </row>
    <row r="946" spans="1:17">
      <c r="B946" t="s">
        <v>3755</v>
      </c>
      <c r="C946" s="253" t="s">
        <v>691</v>
      </c>
      <c r="J946" s="387"/>
    </row>
    <row r="947" spans="1:17">
      <c r="A947" s="390"/>
      <c r="B947" s="405" t="s">
        <v>2021</v>
      </c>
      <c r="C947" s="390">
        <v>96331</v>
      </c>
      <c r="D947" s="390"/>
      <c r="H947" s="300"/>
      <c r="J947" s="387"/>
      <c r="K947" s="300"/>
      <c r="Q947" s="300"/>
    </row>
    <row r="948" spans="1:17">
      <c r="A948" s="390"/>
      <c r="B948" s="405" t="s">
        <v>2022</v>
      </c>
      <c r="C948" s="390">
        <v>94611</v>
      </c>
      <c r="D948" s="390"/>
      <c r="H948" s="300"/>
      <c r="J948" s="388"/>
      <c r="K948" s="300"/>
      <c r="Q948" s="300"/>
    </row>
    <row r="949" spans="1:17">
      <c r="A949" s="390"/>
      <c r="B949" s="405" t="s">
        <v>1037</v>
      </c>
      <c r="C949" s="390">
        <v>93402</v>
      </c>
      <c r="D949" s="390"/>
      <c r="H949" s="300"/>
      <c r="J949" s="387"/>
      <c r="K949" s="300"/>
      <c r="Q949" s="300"/>
    </row>
    <row r="950" spans="1:17">
      <c r="A950" s="390"/>
      <c r="B950" s="405" t="s">
        <v>2493</v>
      </c>
      <c r="C950" s="390">
        <v>90151</v>
      </c>
      <c r="D950" s="393"/>
      <c r="H950" s="300"/>
      <c r="J950" s="387"/>
      <c r="K950" s="300"/>
      <c r="Q950" s="300"/>
    </row>
    <row r="951" spans="1:17">
      <c r="A951" s="390"/>
      <c r="B951" s="405" t="s">
        <v>1101</v>
      </c>
      <c r="C951" s="390">
        <v>94109</v>
      </c>
      <c r="D951" s="390"/>
      <c r="H951" s="300"/>
      <c r="J951" s="388"/>
      <c r="K951" s="300"/>
      <c r="Q951" s="300"/>
    </row>
    <row r="952" spans="1:17">
      <c r="A952" s="390"/>
      <c r="B952" s="405" t="s">
        <v>734</v>
      </c>
      <c r="C952" s="390">
        <v>90101</v>
      </c>
      <c r="D952" s="390"/>
      <c r="H952" s="300"/>
      <c r="J952" s="387"/>
      <c r="K952" s="300"/>
      <c r="Q952" s="300"/>
    </row>
    <row r="953" spans="1:17">
      <c r="A953" s="390"/>
      <c r="B953" s="405" t="s">
        <v>737</v>
      </c>
      <c r="C953" s="390">
        <v>90117</v>
      </c>
      <c r="D953" s="390"/>
      <c r="H953" s="300"/>
      <c r="J953" s="387"/>
      <c r="K953" s="300"/>
      <c r="Q953" s="300"/>
    </row>
    <row r="954" spans="1:17">
      <c r="A954" s="390"/>
      <c r="B954" s="405" t="s">
        <v>1942</v>
      </c>
      <c r="C954" s="390">
        <v>98411</v>
      </c>
      <c r="D954" s="390"/>
      <c r="H954" s="300"/>
      <c r="J954" s="387"/>
      <c r="K954" s="300"/>
      <c r="Q954" s="300"/>
    </row>
    <row r="955" spans="1:17">
      <c r="A955" s="390"/>
      <c r="B955" s="405" t="s">
        <v>1488</v>
      </c>
      <c r="C955" s="390">
        <v>98417</v>
      </c>
      <c r="D955" s="390"/>
      <c r="H955" s="300"/>
      <c r="J955" s="387"/>
      <c r="K955" s="300"/>
      <c r="Q955" s="300"/>
    </row>
    <row r="956" spans="1:17">
      <c r="A956" s="390"/>
      <c r="B956" s="405" t="s">
        <v>1346</v>
      </c>
      <c r="C956" s="390">
        <v>97008</v>
      </c>
      <c r="D956" s="390"/>
      <c r="H956" s="300"/>
      <c r="J956" s="387"/>
      <c r="K956" s="300"/>
      <c r="Q956" s="300"/>
    </row>
    <row r="957" spans="1:17">
      <c r="A957" s="390"/>
      <c r="B957" s="405" t="s">
        <v>1347</v>
      </c>
      <c r="C957" s="390">
        <v>97010</v>
      </c>
      <c r="D957" s="390"/>
      <c r="H957" s="300"/>
      <c r="J957" s="387"/>
      <c r="K957" s="300"/>
      <c r="Q957" s="300"/>
    </row>
    <row r="958" spans="1:17">
      <c r="A958" s="390"/>
      <c r="B958" s="405" t="s">
        <v>731</v>
      </c>
      <c r="C958" s="390">
        <v>90096</v>
      </c>
      <c r="D958" s="390"/>
      <c r="H958" s="300"/>
      <c r="J958" s="387"/>
      <c r="K958" s="300"/>
      <c r="Q958" s="300"/>
    </row>
    <row r="959" spans="1:17">
      <c r="A959" s="390"/>
      <c r="B959" s="405" t="s">
        <v>782</v>
      </c>
      <c r="C959" s="390">
        <v>90805</v>
      </c>
      <c r="D959" s="390"/>
      <c r="H959" s="300"/>
      <c r="J959" s="387"/>
      <c r="K959" s="300"/>
      <c r="Q959" s="300"/>
    </row>
    <row r="960" spans="1:17">
      <c r="A960" s="390"/>
      <c r="B960" s="405" t="s">
        <v>925</v>
      </c>
      <c r="C960" s="390">
        <v>92109</v>
      </c>
      <c r="D960" s="390"/>
      <c r="H960" s="300"/>
      <c r="J960" s="388"/>
      <c r="K960" s="300"/>
      <c r="Q960" s="300"/>
    </row>
    <row r="961" spans="1:17">
      <c r="A961" s="390"/>
      <c r="B961" s="405" t="s">
        <v>743</v>
      </c>
      <c r="C961" s="390">
        <v>90201</v>
      </c>
      <c r="D961" s="390"/>
      <c r="H961" s="300"/>
      <c r="J961" s="387"/>
      <c r="K961" s="300"/>
      <c r="Q961" s="300"/>
    </row>
    <row r="962" spans="1:17">
      <c r="A962" s="390"/>
      <c r="B962" s="405" t="s">
        <v>746</v>
      </c>
      <c r="C962" s="390">
        <v>90206</v>
      </c>
      <c r="D962" s="390"/>
      <c r="H962" s="300"/>
      <c r="J962" s="387"/>
      <c r="K962" s="300"/>
      <c r="Q962" s="300"/>
    </row>
    <row r="963" spans="1:17">
      <c r="A963" s="390"/>
      <c r="B963" s="405" t="s">
        <v>744</v>
      </c>
      <c r="C963" s="390">
        <v>90203</v>
      </c>
      <c r="D963" s="390"/>
      <c r="H963" s="300"/>
      <c r="J963" s="388"/>
      <c r="K963" s="300"/>
      <c r="Q963" s="300"/>
    </row>
    <row r="964" spans="1:17">
      <c r="A964" s="390"/>
      <c r="B964" s="405" t="s">
        <v>745</v>
      </c>
      <c r="C964" s="390">
        <v>90205</v>
      </c>
      <c r="D964" s="390"/>
      <c r="H964" s="300"/>
      <c r="J964" s="387"/>
      <c r="K964" s="300"/>
      <c r="Q964" s="300"/>
    </row>
    <row r="965" spans="1:17">
      <c r="A965" s="390"/>
      <c r="B965" s="405" t="s">
        <v>748</v>
      </c>
      <c r="C965" s="390">
        <v>90301</v>
      </c>
      <c r="D965" s="390"/>
      <c r="H965" s="300"/>
      <c r="J965" s="387"/>
      <c r="K965" s="300"/>
      <c r="Q965" s="300"/>
    </row>
    <row r="966" spans="1:17">
      <c r="A966" s="390"/>
      <c r="B966" s="405" t="s">
        <v>1020</v>
      </c>
      <c r="C966" s="390">
        <v>93209</v>
      </c>
      <c r="D966" s="390"/>
      <c r="H966" s="300"/>
      <c r="J966" s="387"/>
      <c r="K966" s="300"/>
      <c r="Q966" s="300"/>
    </row>
    <row r="967" spans="1:17">
      <c r="A967" s="390"/>
      <c r="B967" s="405" t="s">
        <v>2023</v>
      </c>
      <c r="C967" s="390">
        <v>92021</v>
      </c>
      <c r="D967" s="390"/>
      <c r="H967" s="300"/>
      <c r="J967" s="387"/>
      <c r="K967" s="300"/>
      <c r="Q967" s="300"/>
    </row>
    <row r="968" spans="1:17">
      <c r="A968" s="390"/>
      <c r="B968" s="405" t="s">
        <v>2024</v>
      </c>
      <c r="C968" s="390">
        <v>94351</v>
      </c>
      <c r="D968" s="390"/>
      <c r="H968" s="300"/>
      <c r="J968" s="387"/>
      <c r="K968" s="300"/>
      <c r="Q968" s="300"/>
    </row>
    <row r="969" spans="1:17">
      <c r="A969" s="390"/>
      <c r="B969" s="405" t="s">
        <v>2025</v>
      </c>
      <c r="C969" s="390">
        <v>94347</v>
      </c>
      <c r="D969" s="390"/>
      <c r="H969" s="300"/>
      <c r="J969" s="387"/>
      <c r="K969" s="300"/>
      <c r="Q969" s="300"/>
    </row>
    <row r="970" spans="1:17">
      <c r="A970" s="390"/>
      <c r="B970" s="405" t="s">
        <v>751</v>
      </c>
      <c r="C970" s="390">
        <v>90401</v>
      </c>
      <c r="D970" s="390"/>
      <c r="H970" s="300"/>
      <c r="J970" s="387"/>
      <c r="K970" s="300"/>
      <c r="Q970" s="300"/>
    </row>
    <row r="971" spans="1:17">
      <c r="A971" s="390"/>
      <c r="B971" s="405" t="s">
        <v>2026</v>
      </c>
      <c r="C971" s="390">
        <v>90451</v>
      </c>
      <c r="D971" s="390"/>
      <c r="H971" s="300"/>
      <c r="J971" s="387"/>
      <c r="K971" s="300"/>
      <c r="Q971" s="300"/>
    </row>
    <row r="972" spans="1:17">
      <c r="A972" s="390"/>
      <c r="B972" s="405" t="s">
        <v>2027</v>
      </c>
      <c r="C972" s="390">
        <v>99271</v>
      </c>
      <c r="D972" s="390"/>
      <c r="H972" s="300"/>
      <c r="J972" s="388"/>
      <c r="K972" s="300"/>
      <c r="Q972" s="300"/>
    </row>
    <row r="973" spans="1:17">
      <c r="A973" s="390"/>
      <c r="B973" s="405" t="s">
        <v>733</v>
      </c>
      <c r="C973" s="390">
        <v>90099</v>
      </c>
      <c r="D973" s="390"/>
      <c r="H973" s="300"/>
      <c r="J973" s="387"/>
      <c r="K973" s="300"/>
      <c r="Q973" s="300"/>
    </row>
    <row r="974" spans="1:17">
      <c r="A974" s="390"/>
      <c r="B974" s="405" t="s">
        <v>1592</v>
      </c>
      <c r="C974" s="390">
        <v>99705</v>
      </c>
      <c r="D974" s="390"/>
      <c r="H974" s="300"/>
      <c r="J974" s="387"/>
      <c r="K974" s="300"/>
      <c r="Q974" s="300"/>
    </row>
    <row r="975" spans="1:17">
      <c r="A975" s="390"/>
      <c r="B975" s="405" t="s">
        <v>1943</v>
      </c>
      <c r="C975" s="390">
        <v>97651</v>
      </c>
      <c r="D975" s="390"/>
      <c r="H975" s="300"/>
      <c r="J975" s="388"/>
      <c r="K975" s="300"/>
      <c r="Q975" s="300"/>
    </row>
    <row r="976" spans="1:17">
      <c r="A976" s="390"/>
      <c r="B976" s="405" t="s">
        <v>2028</v>
      </c>
      <c r="C976" s="390">
        <v>95106</v>
      </c>
      <c r="D976" s="390"/>
      <c r="H976" s="300"/>
      <c r="J976" s="387"/>
      <c r="K976" s="300"/>
      <c r="Q976" s="300"/>
    </row>
    <row r="977" spans="1:17">
      <c r="A977" s="390"/>
      <c r="B977" s="405" t="s">
        <v>760</v>
      </c>
      <c r="C977" s="390">
        <v>90501</v>
      </c>
      <c r="D977" s="390"/>
      <c r="H977" s="300"/>
      <c r="J977" s="387"/>
      <c r="K977" s="300"/>
      <c r="Q977" s="300"/>
    </row>
    <row r="978" spans="1:17">
      <c r="A978" s="390"/>
      <c r="B978" s="405" t="s">
        <v>1944</v>
      </c>
      <c r="C978" s="390">
        <v>97611</v>
      </c>
      <c r="D978" s="390"/>
      <c r="H978" s="300"/>
      <c r="J978" s="387"/>
      <c r="K978" s="300"/>
      <c r="Q978" s="300"/>
    </row>
    <row r="979" spans="1:17">
      <c r="A979" s="390"/>
      <c r="B979" s="405" t="s">
        <v>1389</v>
      </c>
      <c r="C979" s="390">
        <v>97607</v>
      </c>
      <c r="D979" s="390"/>
      <c r="H979" s="300"/>
      <c r="J979" s="387"/>
      <c r="K979" s="300"/>
      <c r="Q979" s="300"/>
    </row>
    <row r="980" spans="1:17">
      <c r="A980" s="390"/>
      <c r="B980" s="405" t="s">
        <v>2747</v>
      </c>
      <c r="C980" s="390">
        <v>97613</v>
      </c>
      <c r="D980" s="390"/>
      <c r="H980" s="300"/>
      <c r="J980" s="387"/>
      <c r="K980" s="300"/>
      <c r="Q980" s="300"/>
    </row>
    <row r="981" spans="1:17">
      <c r="A981" s="390"/>
      <c r="B981" s="405" t="s">
        <v>1945</v>
      </c>
      <c r="C981" s="390">
        <v>91121</v>
      </c>
      <c r="D981" s="390"/>
      <c r="H981" s="300"/>
      <c r="J981" s="387"/>
      <c r="K981" s="300"/>
      <c r="Q981" s="300"/>
    </row>
    <row r="982" spans="1:17">
      <c r="A982" s="390"/>
      <c r="B982" s="405" t="s">
        <v>834</v>
      </c>
      <c r="C982" s="390">
        <v>91127</v>
      </c>
      <c r="D982" s="390"/>
      <c r="H982" s="300"/>
      <c r="J982" s="387"/>
      <c r="K982" s="300"/>
      <c r="Q982" s="300"/>
    </row>
    <row r="983" spans="1:17">
      <c r="A983" s="390"/>
      <c r="B983" s="405" t="s">
        <v>835</v>
      </c>
      <c r="C983" s="390">
        <v>91128</v>
      </c>
      <c r="D983" s="390"/>
      <c r="H983" s="300"/>
      <c r="J983" s="387"/>
      <c r="K983" s="300"/>
      <c r="Q983" s="300"/>
    </row>
    <row r="984" spans="1:17">
      <c r="A984" s="390"/>
      <c r="B984" s="405" t="s">
        <v>2029</v>
      </c>
      <c r="C984" s="390">
        <v>91681</v>
      </c>
      <c r="D984" s="390"/>
      <c r="H984" s="300"/>
      <c r="J984" s="388"/>
      <c r="K984" s="300"/>
      <c r="Q984" s="300"/>
    </row>
    <row r="985" spans="1:17">
      <c r="A985" s="390"/>
      <c r="B985" s="405" t="s">
        <v>2030</v>
      </c>
      <c r="C985" s="390">
        <v>90811</v>
      </c>
      <c r="D985" s="390"/>
      <c r="H985" s="300"/>
      <c r="J985" s="387"/>
      <c r="K985" s="300"/>
      <c r="Q985" s="300"/>
    </row>
    <row r="986" spans="1:17">
      <c r="A986" s="390"/>
      <c r="B986" s="405" t="s">
        <v>2032</v>
      </c>
      <c r="C986" s="390">
        <v>90721</v>
      </c>
      <c r="D986" s="390"/>
      <c r="H986" s="300"/>
      <c r="J986" s="387"/>
      <c r="K986" s="300"/>
      <c r="Q986" s="300"/>
    </row>
    <row r="987" spans="1:17">
      <c r="A987" s="390"/>
      <c r="B987" s="405" t="s">
        <v>2031</v>
      </c>
      <c r="C987" s="390">
        <v>98271</v>
      </c>
      <c r="D987" s="390"/>
      <c r="H987" s="300"/>
      <c r="J987" s="388"/>
      <c r="K987" s="300"/>
      <c r="Q987" s="300"/>
    </row>
    <row r="988" spans="1:17">
      <c r="A988" s="390"/>
      <c r="B988" s="405" t="s">
        <v>763</v>
      </c>
      <c r="C988" s="390">
        <v>90601</v>
      </c>
      <c r="D988" s="390"/>
      <c r="H988" s="300"/>
      <c r="J988" s="387"/>
      <c r="K988" s="300"/>
      <c r="Q988" s="300"/>
    </row>
    <row r="989" spans="1:17">
      <c r="A989" s="390"/>
      <c r="B989" s="405" t="s">
        <v>259</v>
      </c>
      <c r="C989" s="390">
        <v>90602</v>
      </c>
      <c r="D989" s="390"/>
      <c r="H989" s="300"/>
      <c r="J989" s="387"/>
      <c r="K989" s="300"/>
      <c r="Q989" s="300"/>
    </row>
    <row r="990" spans="1:17">
      <c r="A990" s="390"/>
      <c r="B990" s="405" t="s">
        <v>764</v>
      </c>
      <c r="C990" s="390">
        <v>90605</v>
      </c>
      <c r="D990" s="390"/>
      <c r="H990" s="300"/>
      <c r="J990" s="387"/>
      <c r="K990" s="300"/>
      <c r="Q990" s="300"/>
    </row>
    <row r="991" spans="1:17">
      <c r="A991" s="390"/>
      <c r="B991" s="405" t="s">
        <v>2033</v>
      </c>
      <c r="C991" s="390">
        <v>97461</v>
      </c>
      <c r="D991" s="390"/>
      <c r="H991" s="300"/>
      <c r="J991" s="387"/>
      <c r="K991" s="300"/>
      <c r="Q991" s="300"/>
    </row>
    <row r="992" spans="1:17">
      <c r="A992" s="390"/>
      <c r="B992" s="405" t="s">
        <v>1380</v>
      </c>
      <c r="C992" s="390">
        <v>97463</v>
      </c>
      <c r="D992" s="390"/>
      <c r="H992" s="300"/>
      <c r="J992" s="387"/>
      <c r="K992" s="300"/>
      <c r="Q992" s="300"/>
    </row>
    <row r="993" spans="1:17">
      <c r="A993" s="390"/>
      <c r="B993" s="405" t="s">
        <v>773</v>
      </c>
      <c r="C993" s="390">
        <v>90705</v>
      </c>
      <c r="D993" s="390"/>
      <c r="H993" s="300"/>
      <c r="J993" s="387"/>
      <c r="K993" s="300"/>
      <c r="Q993" s="300"/>
    </row>
    <row r="994" spans="1:17">
      <c r="A994" s="390"/>
      <c r="B994" s="405" t="s">
        <v>2034</v>
      </c>
      <c r="C994" s="390">
        <v>98451</v>
      </c>
      <c r="D994" s="390"/>
      <c r="H994" s="300"/>
      <c r="J994" s="387"/>
      <c r="K994" s="300"/>
      <c r="Q994" s="300"/>
    </row>
    <row r="995" spans="1:17">
      <c r="A995" s="390"/>
      <c r="B995" s="405" t="s">
        <v>2035</v>
      </c>
      <c r="C995" s="390">
        <v>96451</v>
      </c>
      <c r="D995" s="390"/>
      <c r="H995" s="300"/>
      <c r="J995" s="387"/>
      <c r="K995" s="300"/>
      <c r="Q995" s="300"/>
    </row>
    <row r="996" spans="1:17">
      <c r="A996" s="390"/>
      <c r="B996" s="405" t="s">
        <v>2036</v>
      </c>
      <c r="C996" s="390">
        <v>96121</v>
      </c>
      <c r="D996" s="390"/>
      <c r="H996" s="300"/>
      <c r="J996" s="388"/>
      <c r="K996" s="300"/>
      <c r="Q996" s="300"/>
    </row>
    <row r="997" spans="1:17">
      <c r="A997" s="390"/>
      <c r="B997" s="405" t="s">
        <v>2494</v>
      </c>
      <c r="C997" s="390">
        <v>91091</v>
      </c>
      <c r="D997" s="390"/>
      <c r="H997" s="300"/>
      <c r="J997" s="387"/>
      <c r="K997" s="300"/>
      <c r="Q997" s="300"/>
    </row>
    <row r="998" spans="1:17">
      <c r="A998" s="390"/>
      <c r="B998" s="405" t="s">
        <v>2037</v>
      </c>
      <c r="C998" s="390">
        <v>90611</v>
      </c>
      <c r="D998" s="390"/>
      <c r="H998" s="300"/>
      <c r="J998" s="387"/>
      <c r="K998" s="300"/>
      <c r="Q998" s="300"/>
    </row>
    <row r="999" spans="1:17">
      <c r="A999" s="390"/>
      <c r="B999" s="405" t="s">
        <v>1341</v>
      </c>
      <c r="C999" s="390">
        <v>96918</v>
      </c>
      <c r="D999" s="390"/>
      <c r="H999" s="300"/>
      <c r="J999" s="388"/>
      <c r="K999" s="300"/>
      <c r="Q999" s="300"/>
    </row>
    <row r="1000" spans="1:17">
      <c r="A1000" s="390"/>
      <c r="B1000" s="405" t="s">
        <v>2038</v>
      </c>
      <c r="C1000" s="390">
        <v>96911</v>
      </c>
      <c r="D1000" s="390"/>
      <c r="H1000" s="300"/>
      <c r="J1000" s="387"/>
      <c r="K1000" s="300"/>
      <c r="Q1000" s="300"/>
    </row>
    <row r="1001" spans="1:17">
      <c r="A1001" s="390"/>
      <c r="B1001" s="405" t="s">
        <v>1543</v>
      </c>
      <c r="C1001" s="390">
        <v>99208</v>
      </c>
      <c r="D1001" s="390"/>
      <c r="H1001" s="300"/>
      <c r="J1001" s="387"/>
      <c r="K1001" s="300"/>
      <c r="Q1001" s="300"/>
    </row>
    <row r="1002" spans="1:17">
      <c r="A1002" s="390"/>
      <c r="B1002" s="405" t="s">
        <v>2039</v>
      </c>
      <c r="C1002" s="390">
        <v>91631</v>
      </c>
      <c r="D1002" s="390"/>
      <c r="H1002" s="300"/>
      <c r="J1002" s="387"/>
      <c r="K1002" s="300"/>
      <c r="Q1002" s="300"/>
    </row>
    <row r="1003" spans="1:17">
      <c r="A1003" s="390"/>
      <c r="B1003" s="405" t="s">
        <v>771</v>
      </c>
      <c r="C1003" s="390">
        <v>90701</v>
      </c>
      <c r="D1003" s="390"/>
      <c r="H1003" s="300"/>
      <c r="J1003" s="387"/>
      <c r="K1003" s="300"/>
      <c r="Q1003" s="300"/>
    </row>
    <row r="1004" spans="1:17">
      <c r="A1004" s="390"/>
      <c r="B1004" s="405" t="s">
        <v>772</v>
      </c>
      <c r="C1004" s="390">
        <v>90704</v>
      </c>
      <c r="D1004" s="390"/>
      <c r="H1004" s="300"/>
      <c r="J1004" s="387"/>
      <c r="K1004" s="300"/>
      <c r="Q1004" s="300"/>
    </row>
    <row r="1005" spans="1:17">
      <c r="A1005" s="390"/>
      <c r="B1005" s="405" t="s">
        <v>2750</v>
      </c>
      <c r="C1005" s="390">
        <v>91633</v>
      </c>
      <c r="D1005" s="390"/>
      <c r="H1005" s="300"/>
      <c r="J1005" s="387"/>
      <c r="K1005" s="300"/>
      <c r="Q1005" s="300"/>
    </row>
    <row r="1006" spans="1:17">
      <c r="A1006" s="390"/>
      <c r="B1006" s="405" t="s">
        <v>2040</v>
      </c>
      <c r="C1006" s="390">
        <v>90631</v>
      </c>
      <c r="D1006" s="390"/>
      <c r="H1006" s="300"/>
      <c r="J1006" s="387"/>
      <c r="K1006" s="300"/>
      <c r="Q1006" s="300"/>
    </row>
    <row r="1007" spans="1:17">
      <c r="A1007" s="390"/>
      <c r="B1007" s="405" t="s">
        <v>2041</v>
      </c>
      <c r="C1007" s="390">
        <v>90731</v>
      </c>
      <c r="D1007" s="390"/>
      <c r="H1007" s="300"/>
      <c r="J1007" s="387"/>
      <c r="K1007" s="300"/>
      <c r="Q1007" s="300"/>
    </row>
    <row r="1008" spans="1:17">
      <c r="A1008" s="390"/>
      <c r="B1008" s="405" t="s">
        <v>1946</v>
      </c>
      <c r="C1008" s="390">
        <v>93621</v>
      </c>
      <c r="D1008" s="390"/>
      <c r="H1008" s="300"/>
      <c r="J1008" s="388"/>
      <c r="K1008" s="300"/>
      <c r="Q1008" s="300"/>
    </row>
    <row r="1009" spans="1:17">
      <c r="A1009" s="390"/>
      <c r="B1009" s="405" t="s">
        <v>1066</v>
      </c>
      <c r="C1009" s="390">
        <v>93623</v>
      </c>
      <c r="D1009" s="390"/>
      <c r="H1009" s="300"/>
      <c r="J1009" s="387"/>
      <c r="K1009" s="300"/>
      <c r="Q1009" s="300"/>
    </row>
    <row r="1010" spans="1:17">
      <c r="A1010" s="390"/>
      <c r="B1010" s="405" t="s">
        <v>2042</v>
      </c>
      <c r="C1010" s="390">
        <v>91020</v>
      </c>
      <c r="D1010" s="390"/>
      <c r="H1010" s="300"/>
      <c r="J1010" s="387"/>
      <c r="K1010" s="300"/>
      <c r="Q1010" s="300"/>
    </row>
    <row r="1011" spans="1:17">
      <c r="A1011" s="390"/>
      <c r="B1011" s="405" t="s">
        <v>2043</v>
      </c>
      <c r="C1011" s="390">
        <v>95141</v>
      </c>
      <c r="D1011" s="390"/>
      <c r="H1011" s="300"/>
      <c r="J1011" s="388"/>
      <c r="K1011" s="300"/>
      <c r="Q1011" s="300"/>
    </row>
    <row r="1012" spans="1:17">
      <c r="A1012" s="390"/>
      <c r="B1012" s="405" t="s">
        <v>1186</v>
      </c>
      <c r="C1012" s="390">
        <v>95103</v>
      </c>
      <c r="D1012" s="390"/>
      <c r="H1012" s="300"/>
      <c r="J1012" s="387"/>
      <c r="K1012" s="300"/>
      <c r="Q1012" s="300"/>
    </row>
    <row r="1013" spans="1:17">
      <c r="A1013" s="390"/>
      <c r="B1013" s="405" t="s">
        <v>2044</v>
      </c>
      <c r="C1013" s="390">
        <v>93021</v>
      </c>
      <c r="D1013" s="390"/>
      <c r="H1013" s="300"/>
      <c r="J1013" s="387"/>
      <c r="K1013" s="300"/>
      <c r="Q1013" s="300"/>
    </row>
    <row r="1014" spans="1:17">
      <c r="A1014" s="390"/>
      <c r="B1014" s="405" t="s">
        <v>780</v>
      </c>
      <c r="C1014" s="390">
        <v>90801</v>
      </c>
      <c r="D1014" s="390"/>
      <c r="H1014" s="300"/>
      <c r="J1014" s="387"/>
      <c r="K1014" s="300"/>
      <c r="Q1014" s="300"/>
    </row>
    <row r="1015" spans="1:17">
      <c r="A1015" s="390"/>
      <c r="B1015" s="405" t="s">
        <v>781</v>
      </c>
      <c r="C1015" s="390">
        <v>90804</v>
      </c>
      <c r="D1015" s="390"/>
      <c r="H1015" s="300"/>
      <c r="J1015" s="387"/>
      <c r="K1015" s="300"/>
      <c r="Q1015" s="300"/>
    </row>
    <row r="1016" spans="1:17">
      <c r="A1016" s="390"/>
      <c r="B1016" s="405" t="s">
        <v>783</v>
      </c>
      <c r="C1016" s="390">
        <v>90808</v>
      </c>
      <c r="D1016" s="390"/>
      <c r="H1016" s="300"/>
      <c r="J1016" s="387"/>
      <c r="K1016" s="300"/>
      <c r="Q1016" s="300"/>
    </row>
    <row r="1017" spans="1:17">
      <c r="A1017" s="390"/>
      <c r="B1017" s="405" t="s">
        <v>1072</v>
      </c>
      <c r="C1017" s="390">
        <v>93671</v>
      </c>
      <c r="D1017" s="390"/>
      <c r="H1017" s="300"/>
      <c r="J1017" s="388"/>
      <c r="K1017" s="300"/>
      <c r="Q1017" s="300"/>
    </row>
    <row r="1018" spans="1:17">
      <c r="A1018" s="390"/>
      <c r="B1018" s="405" t="s">
        <v>2770</v>
      </c>
      <c r="C1018" s="390">
        <v>93677</v>
      </c>
      <c r="D1018" s="390"/>
      <c r="H1018" s="300"/>
      <c r="J1018" s="387"/>
      <c r="K1018" s="300"/>
      <c r="Q1018" s="300"/>
    </row>
    <row r="1019" spans="1:17">
      <c r="A1019" s="390"/>
      <c r="B1019" s="405" t="s">
        <v>2045</v>
      </c>
      <c r="C1019" s="390">
        <v>97441</v>
      </c>
      <c r="D1019" s="390"/>
      <c r="H1019" s="300"/>
      <c r="J1019" s="387"/>
      <c r="K1019" s="300"/>
      <c r="Q1019" s="300"/>
    </row>
    <row r="1020" spans="1:17">
      <c r="A1020" s="390"/>
      <c r="B1020" s="405" t="s">
        <v>2046</v>
      </c>
      <c r="C1020" s="390">
        <v>93111</v>
      </c>
      <c r="D1020" s="390"/>
      <c r="H1020" s="300"/>
      <c r="J1020" s="387"/>
      <c r="K1020" s="300"/>
      <c r="Q1020" s="300"/>
    </row>
    <row r="1021" spans="1:17">
      <c r="A1021" s="390"/>
      <c r="B1021" s="405" t="s">
        <v>2047</v>
      </c>
      <c r="C1021" s="390">
        <v>91111</v>
      </c>
      <c r="D1021" s="390"/>
      <c r="H1021" s="300"/>
      <c r="J1021" s="387"/>
      <c r="K1021" s="300"/>
      <c r="Q1021" s="300"/>
    </row>
    <row r="1022" spans="1:17">
      <c r="A1022" s="390"/>
      <c r="B1022" s="405" t="s">
        <v>2048</v>
      </c>
      <c r="C1022" s="390">
        <v>96231</v>
      </c>
      <c r="D1022" s="390"/>
      <c r="H1022" s="300"/>
      <c r="J1022" s="387"/>
      <c r="K1022" s="300"/>
      <c r="Q1022" s="300"/>
    </row>
    <row r="1023" spans="1:17">
      <c r="A1023" s="390"/>
      <c r="B1023" s="405" t="s">
        <v>2049</v>
      </c>
      <c r="C1023" s="390">
        <v>99831</v>
      </c>
      <c r="D1023" s="390"/>
      <c r="H1023" s="300"/>
      <c r="J1023" s="387"/>
      <c r="K1023" s="300"/>
      <c r="Q1023" s="300"/>
    </row>
    <row r="1024" spans="1:17">
      <c r="A1024" s="390"/>
      <c r="B1024" s="405" t="s">
        <v>2050</v>
      </c>
      <c r="C1024" s="390">
        <v>91151</v>
      </c>
      <c r="D1024" s="390"/>
      <c r="H1024" s="300"/>
      <c r="J1024" s="387"/>
      <c r="K1024" s="300"/>
      <c r="Q1024" s="300"/>
    </row>
    <row r="1025" spans="1:17">
      <c r="A1025" s="390"/>
      <c r="B1025" s="405" t="s">
        <v>840</v>
      </c>
      <c r="C1025" s="390">
        <v>91154</v>
      </c>
      <c r="D1025" s="390"/>
      <c r="H1025" s="300"/>
      <c r="J1025" s="387"/>
      <c r="K1025" s="300"/>
      <c r="Q1025" s="300"/>
    </row>
    <row r="1026" spans="1:17">
      <c r="A1026" s="390"/>
      <c r="B1026" s="405" t="s">
        <v>788</v>
      </c>
      <c r="C1026" s="390">
        <v>90901</v>
      </c>
      <c r="D1026" s="390"/>
      <c r="H1026" s="300"/>
      <c r="J1026" s="388"/>
      <c r="K1026" s="300"/>
      <c r="Q1026" s="300"/>
    </row>
    <row r="1027" spans="1:17">
      <c r="A1027" s="390"/>
      <c r="B1027" s="405" t="s">
        <v>2051</v>
      </c>
      <c r="C1027" s="390">
        <v>90941</v>
      </c>
      <c r="D1027" s="390"/>
      <c r="H1027" s="300"/>
      <c r="J1027" s="387"/>
      <c r="K1027" s="300"/>
      <c r="Q1027" s="300"/>
    </row>
    <row r="1028" spans="1:17">
      <c r="A1028" s="390"/>
      <c r="B1028" s="405" t="s">
        <v>2052</v>
      </c>
      <c r="C1028" s="390">
        <v>99521</v>
      </c>
      <c r="D1028" s="390"/>
      <c r="H1028" s="300"/>
      <c r="J1028" s="387"/>
      <c r="K1028" s="300"/>
      <c r="Q1028" s="300"/>
    </row>
    <row r="1029" spans="1:17">
      <c r="A1029" s="390"/>
      <c r="B1029" s="405" t="s">
        <v>1576</v>
      </c>
      <c r="C1029" s="390">
        <v>99527</v>
      </c>
      <c r="D1029" s="390"/>
      <c r="H1029" s="300"/>
      <c r="J1029" s="388"/>
      <c r="K1029" s="300"/>
      <c r="Q1029" s="300"/>
    </row>
    <row r="1030" spans="1:17">
      <c r="A1030" s="390"/>
      <c r="B1030" s="405" t="s">
        <v>1572</v>
      </c>
      <c r="C1030" s="390">
        <v>99508</v>
      </c>
      <c r="D1030" s="390"/>
      <c r="H1030" s="300"/>
      <c r="J1030" s="387"/>
      <c r="K1030" s="300"/>
      <c r="Q1030" s="300"/>
    </row>
    <row r="1031" spans="1:17">
      <c r="A1031" s="390"/>
      <c r="B1031" s="405" t="s">
        <v>1152</v>
      </c>
      <c r="C1031" s="390">
        <v>94532</v>
      </c>
      <c r="D1031" s="390"/>
      <c r="H1031" s="300"/>
      <c r="J1031" s="387"/>
      <c r="K1031" s="300"/>
      <c r="Q1031" s="300"/>
    </row>
    <row r="1032" spans="1:17">
      <c r="A1032" s="390"/>
      <c r="B1032" s="405" t="s">
        <v>1947</v>
      </c>
      <c r="C1032" s="390">
        <v>91071</v>
      </c>
      <c r="D1032" s="390"/>
      <c r="H1032" s="300"/>
      <c r="J1032" s="387"/>
      <c r="K1032" s="300"/>
      <c r="Q1032" s="300"/>
    </row>
    <row r="1033" spans="1:17">
      <c r="A1033" s="390"/>
      <c r="B1033" s="405" t="s">
        <v>822</v>
      </c>
      <c r="C1033" s="390">
        <v>91077</v>
      </c>
      <c r="D1033" s="390"/>
      <c r="H1033" s="300"/>
      <c r="J1033" s="387"/>
      <c r="K1033" s="300"/>
      <c r="Q1033" s="300"/>
    </row>
    <row r="1034" spans="1:17">
      <c r="A1034" s="390"/>
      <c r="B1034" s="405" t="s">
        <v>2053</v>
      </c>
      <c r="C1034" s="390">
        <v>92331</v>
      </c>
      <c r="D1034" s="390"/>
      <c r="H1034" s="300"/>
      <c r="J1034" s="387"/>
      <c r="K1034" s="300"/>
      <c r="Q1034" s="300"/>
    </row>
    <row r="1035" spans="1:17">
      <c r="A1035" s="390"/>
      <c r="B1035" s="405" t="s">
        <v>2054</v>
      </c>
      <c r="C1035" s="390">
        <v>92414</v>
      </c>
      <c r="D1035" s="390"/>
      <c r="H1035" s="300"/>
      <c r="J1035" s="387"/>
      <c r="K1035" s="300"/>
      <c r="Q1035" s="300"/>
    </row>
    <row r="1036" spans="1:17">
      <c r="A1036" s="390"/>
      <c r="B1036" s="405" t="s">
        <v>2055</v>
      </c>
      <c r="C1036" s="390">
        <v>99511</v>
      </c>
      <c r="D1036" s="390"/>
      <c r="H1036" s="300"/>
      <c r="J1036" s="387"/>
      <c r="K1036" s="300"/>
      <c r="Q1036" s="300"/>
    </row>
    <row r="1037" spans="1:17">
      <c r="A1037" s="390"/>
      <c r="B1037" s="405" t="s">
        <v>2056</v>
      </c>
      <c r="C1037" s="390">
        <v>99941</v>
      </c>
      <c r="D1037" s="390"/>
      <c r="H1037" s="300"/>
      <c r="J1037" s="387"/>
      <c r="K1037" s="300"/>
      <c r="Q1037" s="300"/>
    </row>
    <row r="1038" spans="1:17">
      <c r="A1038" s="390"/>
      <c r="B1038" s="405" t="s">
        <v>1294</v>
      </c>
      <c r="C1038" s="390">
        <v>96405</v>
      </c>
      <c r="D1038" s="390"/>
      <c r="H1038" s="300"/>
      <c r="J1038" s="388"/>
      <c r="K1038" s="300"/>
      <c r="Q1038" s="300"/>
    </row>
    <row r="1039" spans="1:17">
      <c r="A1039" s="390"/>
      <c r="B1039" s="405" t="s">
        <v>1948</v>
      </c>
      <c r="C1039" s="390">
        <v>98811</v>
      </c>
      <c r="D1039" s="390"/>
      <c r="H1039" s="300"/>
      <c r="J1039" s="387"/>
      <c r="K1039" s="300"/>
      <c r="Q1039" s="300"/>
    </row>
    <row r="1040" spans="1:17">
      <c r="A1040" s="390"/>
      <c r="B1040" s="405" t="s">
        <v>1514</v>
      </c>
      <c r="C1040" s="390">
        <v>98817</v>
      </c>
      <c r="D1040" s="390"/>
      <c r="H1040" s="300"/>
      <c r="J1040" s="387"/>
      <c r="K1040" s="300"/>
      <c r="Q1040" s="300"/>
    </row>
    <row r="1041" spans="1:17">
      <c r="A1041" s="390"/>
      <c r="B1041" s="405" t="s">
        <v>2057</v>
      </c>
      <c r="C1041" s="390">
        <v>92561</v>
      </c>
      <c r="D1041" s="390"/>
      <c r="H1041" s="300"/>
      <c r="J1041" s="388"/>
      <c r="K1041" s="300"/>
      <c r="Q1041" s="300"/>
    </row>
    <row r="1042" spans="1:17">
      <c r="A1042" s="390"/>
      <c r="B1042" s="405" t="s">
        <v>1455</v>
      </c>
      <c r="C1042" s="390">
        <v>98102</v>
      </c>
      <c r="D1042" s="390"/>
      <c r="H1042" s="300"/>
      <c r="J1042" s="387"/>
      <c r="K1042" s="300"/>
      <c r="Q1042" s="300"/>
    </row>
    <row r="1043" spans="1:17">
      <c r="A1043" s="390"/>
      <c r="B1043" s="405" t="s">
        <v>2058</v>
      </c>
      <c r="C1043" s="390">
        <v>95321</v>
      </c>
      <c r="D1043" s="390"/>
      <c r="H1043" s="300"/>
      <c r="J1043" s="387"/>
      <c r="K1043" s="300"/>
      <c r="Q1043" s="300"/>
    </row>
    <row r="1044" spans="1:17">
      <c r="A1044" s="390"/>
      <c r="B1044" s="405" t="s">
        <v>2059</v>
      </c>
      <c r="C1044" s="390">
        <v>91861</v>
      </c>
      <c r="D1044" s="390"/>
      <c r="H1044" s="300"/>
      <c r="J1044" s="387"/>
      <c r="K1044" s="300"/>
      <c r="Q1044" s="300"/>
    </row>
    <row r="1045" spans="1:17">
      <c r="A1045" s="390"/>
      <c r="B1045" s="405" t="s">
        <v>2060</v>
      </c>
      <c r="C1045" s="390">
        <v>92421</v>
      </c>
      <c r="D1045" s="390"/>
      <c r="H1045" s="300"/>
      <c r="J1045" s="387"/>
      <c r="K1045" s="300"/>
      <c r="Q1045" s="300"/>
    </row>
    <row r="1046" spans="1:17">
      <c r="A1046" s="390"/>
      <c r="B1046" s="405" t="s">
        <v>795</v>
      </c>
      <c r="C1046" s="390">
        <v>91001</v>
      </c>
      <c r="D1046" s="390"/>
      <c r="H1046" s="300"/>
      <c r="J1046" s="387"/>
      <c r="K1046" s="300"/>
      <c r="Q1046" s="300"/>
    </row>
    <row r="1047" spans="1:17">
      <c r="A1047" s="390"/>
      <c r="B1047" s="405" t="s">
        <v>798</v>
      </c>
      <c r="C1047" s="390">
        <v>91004</v>
      </c>
      <c r="D1047" s="390"/>
      <c r="H1047" s="300"/>
      <c r="J1047" s="387"/>
      <c r="K1047" s="300"/>
      <c r="Q1047" s="300"/>
    </row>
    <row r="1048" spans="1:17">
      <c r="A1048" s="390"/>
      <c r="B1048" s="405" t="s">
        <v>2771</v>
      </c>
      <c r="C1048" s="390">
        <v>91006</v>
      </c>
      <c r="D1048" s="390"/>
      <c r="H1048" s="300"/>
      <c r="J1048" s="387"/>
      <c r="K1048" s="300"/>
      <c r="Q1048" s="300"/>
    </row>
    <row r="1049" spans="1:17">
      <c r="A1049" s="390"/>
      <c r="B1049" s="405" t="s">
        <v>2772</v>
      </c>
      <c r="C1049" s="390">
        <v>91003</v>
      </c>
      <c r="D1049" s="390"/>
      <c r="H1049" s="300"/>
      <c r="J1049" s="387"/>
      <c r="K1049" s="300"/>
      <c r="Q1049" s="300"/>
    </row>
    <row r="1050" spans="1:17">
      <c r="A1050" s="390"/>
      <c r="B1050" s="405" t="s">
        <v>802</v>
      </c>
      <c r="C1050" s="390">
        <v>91009</v>
      </c>
      <c r="D1050" s="390"/>
      <c r="H1050" s="300"/>
      <c r="J1050" s="388"/>
      <c r="K1050" s="300"/>
      <c r="Q1050" s="300"/>
    </row>
    <row r="1051" spans="1:17">
      <c r="A1051" s="390"/>
      <c r="B1051" s="405" t="s">
        <v>815</v>
      </c>
      <c r="C1051" s="390">
        <v>91042</v>
      </c>
      <c r="D1051" s="390"/>
      <c r="H1051" s="300"/>
      <c r="J1051" s="387"/>
      <c r="K1051" s="300"/>
      <c r="Q1051" s="300"/>
    </row>
    <row r="1052" spans="1:17">
      <c r="A1052" s="390"/>
      <c r="B1052" s="405" t="s">
        <v>2061</v>
      </c>
      <c r="C1052" s="390">
        <v>98711</v>
      </c>
      <c r="D1052" s="390"/>
      <c r="H1052" s="300"/>
      <c r="J1052" s="387"/>
      <c r="K1052" s="300"/>
      <c r="Q1052" s="300"/>
    </row>
    <row r="1053" spans="1:17">
      <c r="A1053" s="390"/>
      <c r="B1053" s="405" t="s">
        <v>1511</v>
      </c>
      <c r="C1053" s="390">
        <v>98717</v>
      </c>
      <c r="D1053" s="390"/>
      <c r="H1053" s="300"/>
      <c r="J1053" s="388"/>
      <c r="K1053" s="300"/>
      <c r="Q1053" s="300"/>
    </row>
    <row r="1054" spans="1:17">
      <c r="A1054" s="390"/>
      <c r="B1054" s="405" t="s">
        <v>825</v>
      </c>
      <c r="C1054" s="390">
        <v>91101</v>
      </c>
      <c r="D1054" s="390"/>
      <c r="H1054" s="300"/>
      <c r="J1054" s="387"/>
      <c r="K1054" s="300"/>
      <c r="Q1054" s="300"/>
    </row>
    <row r="1055" spans="1:17">
      <c r="A1055" s="390"/>
      <c r="B1055" s="405" t="s">
        <v>2062</v>
      </c>
      <c r="C1055" s="390">
        <v>93531</v>
      </c>
      <c r="D1055" s="390"/>
      <c r="H1055" s="300"/>
      <c r="J1055" s="387"/>
      <c r="K1055" s="300"/>
      <c r="Q1055" s="300"/>
    </row>
    <row r="1056" spans="1:17">
      <c r="A1056" s="390"/>
      <c r="B1056" s="405" t="s">
        <v>2745</v>
      </c>
      <c r="C1056" s="390">
        <v>93537</v>
      </c>
      <c r="D1056" s="390"/>
      <c r="H1056" s="300"/>
      <c r="J1056" s="387"/>
      <c r="K1056" s="300"/>
      <c r="Q1056" s="300"/>
    </row>
    <row r="1057" spans="1:17">
      <c r="A1057" s="390"/>
      <c r="B1057" s="405" t="s">
        <v>2063</v>
      </c>
      <c r="C1057" s="390">
        <v>97111</v>
      </c>
      <c r="D1057" s="390"/>
      <c r="H1057" s="300"/>
      <c r="J1057" s="387"/>
      <c r="K1057" s="300"/>
      <c r="Q1057" s="300"/>
    </row>
    <row r="1058" spans="1:17">
      <c r="A1058" s="390"/>
      <c r="B1058" s="405" t="s">
        <v>843</v>
      </c>
      <c r="C1058" s="390">
        <v>91201</v>
      </c>
      <c r="D1058" s="390"/>
      <c r="H1058" s="300"/>
      <c r="J1058" s="387"/>
      <c r="K1058" s="300"/>
      <c r="Q1058" s="300"/>
    </row>
    <row r="1059" spans="1:17">
      <c r="A1059" s="390"/>
      <c r="B1059" s="405" t="s">
        <v>2773</v>
      </c>
      <c r="C1059" s="390">
        <v>91206</v>
      </c>
      <c r="D1059" s="390"/>
      <c r="H1059" s="300"/>
      <c r="J1059" s="387"/>
      <c r="K1059" s="300"/>
      <c r="Q1059" s="300"/>
    </row>
    <row r="1060" spans="1:17">
      <c r="A1060" s="390"/>
      <c r="B1060" s="405" t="s">
        <v>2774</v>
      </c>
      <c r="C1060" s="390">
        <v>91203</v>
      </c>
      <c r="D1060" s="390"/>
      <c r="H1060" s="300"/>
      <c r="J1060" s="387"/>
      <c r="K1060" s="300"/>
      <c r="Q1060" s="300"/>
    </row>
    <row r="1061" spans="1:17">
      <c r="A1061" s="390"/>
      <c r="B1061" s="405" t="s">
        <v>847</v>
      </c>
      <c r="C1061" s="390">
        <v>91208</v>
      </c>
      <c r="D1061" s="390"/>
      <c r="H1061" s="300"/>
      <c r="J1061" s="387"/>
      <c r="K1061" s="300"/>
      <c r="Q1061" s="300"/>
    </row>
    <row r="1062" spans="1:17">
      <c r="A1062" s="390"/>
      <c r="B1062" s="405" t="s">
        <v>844</v>
      </c>
      <c r="C1062" s="390">
        <v>91202</v>
      </c>
      <c r="D1062" s="390"/>
      <c r="H1062" s="300"/>
      <c r="J1062" s="388"/>
      <c r="K1062" s="300"/>
      <c r="Q1062" s="300"/>
    </row>
    <row r="1063" spans="1:17">
      <c r="A1063" s="390"/>
      <c r="B1063" s="405" t="s">
        <v>1949</v>
      </c>
      <c r="C1063" s="390">
        <v>90111</v>
      </c>
      <c r="D1063" s="390"/>
      <c r="H1063" s="300"/>
      <c r="J1063" s="387"/>
      <c r="K1063" s="300"/>
      <c r="Q1063" s="300"/>
    </row>
    <row r="1064" spans="1:17">
      <c r="A1064" s="390"/>
      <c r="B1064" s="405" t="s">
        <v>2064</v>
      </c>
      <c r="C1064" s="390">
        <v>90011</v>
      </c>
      <c r="D1064" s="390"/>
      <c r="H1064" s="300"/>
      <c r="J1064" s="387"/>
      <c r="K1064" s="300"/>
      <c r="Q1064" s="300"/>
    </row>
    <row r="1065" spans="1:17">
      <c r="A1065" s="390"/>
      <c r="B1065" s="405" t="s">
        <v>2065</v>
      </c>
      <c r="C1065" s="390">
        <v>93931</v>
      </c>
      <c r="D1065" s="390"/>
      <c r="H1065" s="300"/>
      <c r="J1065" s="388"/>
      <c r="K1065" s="300"/>
      <c r="Q1065" s="300"/>
    </row>
    <row r="1066" spans="1:17">
      <c r="A1066" s="390"/>
      <c r="B1066" s="405" t="s">
        <v>858</v>
      </c>
      <c r="C1066" s="390">
        <v>91301</v>
      </c>
      <c r="D1066" s="390"/>
      <c r="H1066" s="300"/>
      <c r="J1066" s="387"/>
      <c r="K1066" s="300"/>
      <c r="Q1066" s="300"/>
    </row>
    <row r="1067" spans="1:17">
      <c r="A1067" s="390"/>
      <c r="B1067" s="405" t="s">
        <v>2775</v>
      </c>
      <c r="C1067" s="390">
        <v>91306</v>
      </c>
      <c r="D1067" s="390"/>
      <c r="H1067" s="300"/>
      <c r="J1067" s="387"/>
      <c r="K1067" s="300"/>
      <c r="Q1067" s="300"/>
    </row>
    <row r="1068" spans="1:17">
      <c r="A1068" s="390"/>
      <c r="B1068" s="405" t="s">
        <v>861</v>
      </c>
      <c r="C1068" s="390">
        <v>91308</v>
      </c>
      <c r="D1068" s="390"/>
      <c r="H1068" s="300"/>
      <c r="J1068" s="387"/>
      <c r="K1068" s="300"/>
      <c r="Q1068" s="300"/>
    </row>
    <row r="1069" spans="1:17">
      <c r="A1069" s="390"/>
      <c r="B1069" s="405" t="s">
        <v>2066</v>
      </c>
      <c r="C1069" s="390">
        <v>91461</v>
      </c>
      <c r="D1069" s="390"/>
      <c r="H1069" s="300"/>
      <c r="J1069" s="387"/>
      <c r="K1069" s="300"/>
      <c r="Q1069" s="300"/>
    </row>
    <row r="1070" spans="1:17">
      <c r="A1070" s="390"/>
      <c r="B1070" s="405" t="s">
        <v>2067</v>
      </c>
      <c r="C1070" s="390">
        <v>91010</v>
      </c>
      <c r="D1070" s="390"/>
      <c r="H1070" s="300"/>
      <c r="J1070" s="387"/>
      <c r="K1070" s="300"/>
      <c r="Q1070" s="300"/>
    </row>
    <row r="1071" spans="1:17">
      <c r="A1071" s="390"/>
      <c r="B1071" s="405" t="s">
        <v>800</v>
      </c>
      <c r="C1071" s="390">
        <v>91007</v>
      </c>
      <c r="D1071" s="390"/>
      <c r="H1071" s="300"/>
      <c r="J1071" s="387"/>
      <c r="K1071" s="300"/>
      <c r="Q1071" s="300"/>
    </row>
    <row r="1072" spans="1:17">
      <c r="A1072" s="390"/>
      <c r="B1072" s="405" t="s">
        <v>868</v>
      </c>
      <c r="C1072" s="390">
        <v>91401</v>
      </c>
      <c r="D1072" s="390"/>
      <c r="H1072" s="300"/>
      <c r="J1072" s="387"/>
      <c r="K1072" s="300"/>
      <c r="Q1072" s="300"/>
    </row>
    <row r="1073" spans="1:17">
      <c r="A1073" s="390"/>
      <c r="B1073" s="405" t="s">
        <v>2068</v>
      </c>
      <c r="C1073" s="390">
        <v>93171</v>
      </c>
      <c r="D1073" s="390"/>
      <c r="H1073" s="300"/>
      <c r="J1073" s="387"/>
      <c r="K1073" s="300"/>
      <c r="Q1073" s="300"/>
    </row>
    <row r="1074" spans="1:17">
      <c r="A1074" s="390"/>
      <c r="B1074" s="405" t="s">
        <v>878</v>
      </c>
      <c r="C1074" s="390">
        <v>91501</v>
      </c>
      <c r="D1074" s="390"/>
      <c r="H1074" s="300"/>
      <c r="J1074" s="388"/>
      <c r="K1074" s="300"/>
      <c r="Q1074" s="300"/>
    </row>
    <row r="1075" spans="1:17">
      <c r="A1075" s="390"/>
      <c r="B1075" s="405" t="s">
        <v>879</v>
      </c>
      <c r="C1075" s="390">
        <v>91504</v>
      </c>
      <c r="D1075" s="390"/>
      <c r="H1075" s="300"/>
      <c r="J1075" s="387"/>
      <c r="K1075" s="300"/>
      <c r="Q1075" s="300"/>
    </row>
    <row r="1076" spans="1:17">
      <c r="A1076" s="390"/>
      <c r="B1076" s="405" t="s">
        <v>2069</v>
      </c>
      <c r="C1076" s="390">
        <v>96312</v>
      </c>
      <c r="D1076" s="390"/>
      <c r="H1076" s="300"/>
      <c r="J1076" s="387"/>
      <c r="K1076" s="300"/>
      <c r="Q1076" s="300"/>
    </row>
    <row r="1077" spans="1:17">
      <c r="A1077" s="390"/>
      <c r="B1077" s="405" t="s">
        <v>2070</v>
      </c>
      <c r="C1077" s="390">
        <v>96241</v>
      </c>
      <c r="D1077" s="390"/>
      <c r="H1077" s="300"/>
      <c r="J1077" s="388"/>
      <c r="K1077" s="300"/>
      <c r="Q1077" s="300"/>
    </row>
    <row r="1078" spans="1:17">
      <c r="A1078" s="390"/>
      <c r="B1078" s="405" t="s">
        <v>2071</v>
      </c>
      <c r="C1078" s="390">
        <v>94431</v>
      </c>
      <c r="D1078" s="390"/>
      <c r="H1078" s="300"/>
      <c r="J1078" s="387"/>
      <c r="K1078" s="300"/>
      <c r="Q1078" s="300"/>
    </row>
    <row r="1079" spans="1:17">
      <c r="A1079" s="390"/>
      <c r="B1079" s="405" t="s">
        <v>1144</v>
      </c>
      <c r="C1079" s="390">
        <v>94437</v>
      </c>
      <c r="D1079" s="390"/>
      <c r="H1079" s="300"/>
      <c r="J1079" s="387"/>
      <c r="K1079" s="300"/>
      <c r="Q1079" s="300"/>
    </row>
    <row r="1080" spans="1:17">
      <c r="A1080" s="390"/>
      <c r="B1080" s="405" t="s">
        <v>2072</v>
      </c>
      <c r="C1080" s="390">
        <v>91671</v>
      </c>
      <c r="D1080" s="390"/>
      <c r="H1080" s="300"/>
      <c r="J1080" s="387"/>
      <c r="K1080" s="300"/>
      <c r="Q1080" s="300"/>
    </row>
    <row r="1081" spans="1:17">
      <c r="A1081" s="390"/>
      <c r="B1081" s="405" t="s">
        <v>801</v>
      </c>
      <c r="C1081" s="390">
        <v>91008</v>
      </c>
      <c r="D1081" s="390"/>
      <c r="H1081" s="300"/>
      <c r="J1081" s="387"/>
      <c r="K1081" s="300"/>
      <c r="Q1081" s="300"/>
    </row>
    <row r="1082" spans="1:17">
      <c r="A1082" s="390"/>
      <c r="B1082" s="405" t="s">
        <v>1308</v>
      </c>
      <c r="C1082" s="390">
        <v>96512</v>
      </c>
      <c r="D1082" s="390"/>
      <c r="H1082" s="300"/>
      <c r="J1082" s="387"/>
      <c r="K1082" s="300"/>
      <c r="Q1082" s="300"/>
    </row>
    <row r="1083" spans="1:17">
      <c r="A1083" s="390"/>
      <c r="B1083" s="405" t="s">
        <v>1305</v>
      </c>
      <c r="C1083" s="390">
        <v>96507</v>
      </c>
      <c r="D1083" s="390"/>
      <c r="H1083" s="300"/>
      <c r="J1083" s="387"/>
      <c r="K1083" s="300"/>
      <c r="Q1083" s="300"/>
    </row>
    <row r="1084" spans="1:17">
      <c r="A1084" s="390"/>
      <c r="B1084" s="405" t="s">
        <v>1636</v>
      </c>
      <c r="C1084" s="390">
        <v>91015</v>
      </c>
      <c r="D1084" s="390"/>
      <c r="H1084" s="300"/>
      <c r="J1084" s="387"/>
      <c r="K1084" s="300"/>
      <c r="Q1084" s="300"/>
    </row>
    <row r="1085" spans="1:17">
      <c r="A1085" s="390"/>
      <c r="B1085" s="405" t="s">
        <v>2073</v>
      </c>
      <c r="C1085" s="390">
        <v>96521</v>
      </c>
      <c r="D1085" s="390"/>
      <c r="H1085" s="300"/>
      <c r="J1085" s="387"/>
      <c r="K1085" s="300"/>
      <c r="Q1085" s="300"/>
    </row>
    <row r="1086" spans="1:17">
      <c r="A1086" s="390"/>
      <c r="B1086" s="405" t="s">
        <v>2074</v>
      </c>
      <c r="C1086" s="390">
        <v>91024</v>
      </c>
      <c r="D1086" s="390"/>
      <c r="H1086" s="300"/>
      <c r="J1086" s="388"/>
      <c r="K1086" s="300"/>
      <c r="Q1086" s="300"/>
    </row>
    <row r="1087" spans="1:17">
      <c r="A1087" s="390"/>
      <c r="B1087" s="405" t="s">
        <v>2075</v>
      </c>
      <c r="C1087" s="390">
        <v>96821</v>
      </c>
      <c r="D1087" s="390"/>
      <c r="H1087" s="300"/>
      <c r="J1087" s="387"/>
      <c r="K1087" s="300"/>
      <c r="Q1087" s="300"/>
    </row>
    <row r="1088" spans="1:17">
      <c r="A1088" s="390"/>
      <c r="B1088" s="405" t="s">
        <v>880</v>
      </c>
      <c r="C1088" s="390">
        <v>91601</v>
      </c>
      <c r="D1088" s="390"/>
      <c r="H1088" s="300"/>
      <c r="J1088" s="387"/>
      <c r="K1088" s="300"/>
      <c r="Q1088" s="300"/>
    </row>
    <row r="1089" spans="1:17">
      <c r="A1089" s="390"/>
      <c r="B1089" s="405" t="s">
        <v>881</v>
      </c>
      <c r="C1089" s="390">
        <v>91604</v>
      </c>
      <c r="D1089" s="390"/>
      <c r="H1089" s="300"/>
      <c r="J1089" s="388"/>
      <c r="K1089" s="300"/>
      <c r="Q1089" s="300"/>
    </row>
    <row r="1090" spans="1:17">
      <c r="A1090" s="390"/>
      <c r="B1090" s="405" t="s">
        <v>2076</v>
      </c>
      <c r="C1090" s="390">
        <v>96391</v>
      </c>
      <c r="D1090" s="390"/>
      <c r="H1090" s="300"/>
      <c r="J1090" s="387"/>
      <c r="K1090" s="300"/>
      <c r="Q1090" s="300"/>
    </row>
    <row r="1091" spans="1:17">
      <c r="A1091" s="390"/>
      <c r="B1091" s="405" t="s">
        <v>2077</v>
      </c>
      <c r="C1091" s="390">
        <v>99221</v>
      </c>
      <c r="D1091" s="390"/>
      <c r="H1091" s="300"/>
      <c r="J1091" s="387"/>
      <c r="K1091" s="300"/>
      <c r="Q1091" s="300"/>
    </row>
    <row r="1092" spans="1:17">
      <c r="A1092" s="390"/>
      <c r="B1092" s="405" t="s">
        <v>2078</v>
      </c>
      <c r="C1092" s="390">
        <v>91051</v>
      </c>
      <c r="D1092" s="390"/>
      <c r="H1092" s="300"/>
      <c r="J1092" s="387"/>
      <c r="K1092" s="300"/>
      <c r="Q1092" s="300"/>
    </row>
    <row r="1093" spans="1:17">
      <c r="A1093" s="390"/>
      <c r="B1093" s="405" t="s">
        <v>893</v>
      </c>
      <c r="C1093" s="390">
        <v>91701</v>
      </c>
      <c r="D1093" s="390"/>
      <c r="H1093" s="300"/>
      <c r="J1093" s="387"/>
      <c r="K1093" s="300"/>
      <c r="Q1093" s="300"/>
    </row>
    <row r="1094" spans="1:17">
      <c r="A1094" s="390"/>
      <c r="B1094" s="405" t="s">
        <v>894</v>
      </c>
      <c r="C1094" s="390">
        <v>91704</v>
      </c>
      <c r="D1094" s="390"/>
      <c r="H1094" s="300"/>
      <c r="J1094" s="387"/>
      <c r="K1094" s="300"/>
      <c r="Q1094" s="300"/>
    </row>
    <row r="1095" spans="1:17">
      <c r="A1095" s="390"/>
      <c r="B1095" s="405" t="s">
        <v>2776</v>
      </c>
      <c r="C1095" s="390">
        <v>91706</v>
      </c>
      <c r="D1095" s="390"/>
      <c r="H1095" s="300"/>
      <c r="J1095" s="388"/>
      <c r="K1095" s="300"/>
      <c r="Q1095" s="300"/>
    </row>
    <row r="1096" spans="1:17">
      <c r="A1096" s="390"/>
      <c r="B1096" s="405" t="s">
        <v>2079</v>
      </c>
      <c r="C1096" s="390">
        <v>91881</v>
      </c>
      <c r="D1096" s="390"/>
      <c r="H1096" s="300"/>
      <c r="J1096" s="387"/>
      <c r="K1096" s="300"/>
      <c r="Q1096" s="300"/>
    </row>
    <row r="1097" spans="1:17">
      <c r="A1097" s="390"/>
      <c r="B1097" s="405" t="s">
        <v>897</v>
      </c>
      <c r="C1097" s="390">
        <v>91801</v>
      </c>
      <c r="D1097" s="390"/>
      <c r="H1097" s="300"/>
      <c r="J1097" s="387"/>
      <c r="K1097" s="300"/>
      <c r="Q1097" s="300"/>
    </row>
    <row r="1098" spans="1:17">
      <c r="A1098" s="390"/>
      <c r="B1098" s="405" t="s">
        <v>898</v>
      </c>
      <c r="C1098" s="390">
        <v>91804</v>
      </c>
      <c r="D1098" s="390"/>
      <c r="H1098" s="300"/>
      <c r="J1098" s="387"/>
      <c r="K1098" s="300"/>
      <c r="Q1098" s="300"/>
    </row>
    <row r="1099" spans="1:17">
      <c r="A1099" s="390"/>
      <c r="B1099" s="405" t="s">
        <v>2080</v>
      </c>
      <c r="C1099" s="390">
        <v>91691</v>
      </c>
      <c r="D1099" s="390"/>
      <c r="H1099" s="300"/>
      <c r="J1099" s="387"/>
      <c r="K1099" s="300"/>
      <c r="Q1099" s="300"/>
    </row>
    <row r="1100" spans="1:17">
      <c r="A1100" s="390"/>
      <c r="B1100" s="405" t="s">
        <v>1550</v>
      </c>
      <c r="C1100" s="390">
        <v>99222</v>
      </c>
      <c r="D1100" s="390"/>
      <c r="H1100" s="300"/>
      <c r="J1100" s="387"/>
      <c r="K1100" s="300"/>
      <c r="Q1100" s="300"/>
    </row>
    <row r="1101" spans="1:17">
      <c r="A1101" s="390"/>
      <c r="B1101" s="405" t="s">
        <v>1039</v>
      </c>
      <c r="C1101" s="390">
        <v>93408</v>
      </c>
      <c r="D1101" s="390"/>
      <c r="H1101" s="300"/>
      <c r="J1101" s="387"/>
      <c r="K1101" s="300"/>
      <c r="Q1101" s="300"/>
    </row>
    <row r="1102" spans="1:17">
      <c r="A1102" s="390"/>
      <c r="B1102" s="405" t="s">
        <v>1254</v>
      </c>
      <c r="C1102" s="390">
        <v>96009</v>
      </c>
      <c r="D1102" s="390"/>
      <c r="H1102" s="300"/>
      <c r="J1102" s="387"/>
      <c r="K1102" s="300"/>
      <c r="Q1102" s="300"/>
    </row>
    <row r="1103" spans="1:17">
      <c r="A1103" s="390"/>
      <c r="B1103" s="405" t="s">
        <v>2081</v>
      </c>
      <c r="C1103" s="390">
        <v>92441</v>
      </c>
      <c r="D1103" s="390"/>
      <c r="H1103" s="300"/>
      <c r="J1103" s="387"/>
      <c r="K1103" s="300"/>
      <c r="Q1103" s="300"/>
    </row>
    <row r="1104" spans="1:17">
      <c r="A1104" s="390"/>
      <c r="B1104" s="405" t="s">
        <v>2082</v>
      </c>
      <c r="C1104" s="390">
        <v>96811</v>
      </c>
      <c r="D1104" s="390"/>
      <c r="H1104" s="300"/>
      <c r="J1104" s="388"/>
      <c r="K1104" s="300"/>
      <c r="Q1104" s="300"/>
    </row>
    <row r="1105" spans="1:17">
      <c r="A1105" s="390"/>
      <c r="B1105" s="405" t="s">
        <v>1950</v>
      </c>
      <c r="C1105" s="390">
        <v>96011</v>
      </c>
      <c r="D1105" s="390"/>
      <c r="H1105" s="300"/>
      <c r="J1105" s="387"/>
      <c r="K1105" s="300"/>
      <c r="Q1105" s="300"/>
    </row>
    <row r="1106" spans="1:17">
      <c r="A1106" s="390"/>
      <c r="B1106" s="405" t="s">
        <v>1257</v>
      </c>
      <c r="C1106" s="390">
        <v>96018</v>
      </c>
      <c r="D1106" s="390"/>
      <c r="H1106" s="300"/>
      <c r="J1106" s="387"/>
      <c r="K1106" s="300"/>
      <c r="Q1106" s="300"/>
    </row>
    <row r="1107" spans="1:17">
      <c r="A1107" s="390"/>
      <c r="B1107" s="405" t="s">
        <v>1250</v>
      </c>
      <c r="C1107" s="390">
        <v>96003</v>
      </c>
      <c r="D1107" s="390"/>
      <c r="H1107" s="300"/>
      <c r="J1107" s="388"/>
      <c r="K1107" s="300"/>
      <c r="Q1107" s="300"/>
    </row>
    <row r="1108" spans="1:17">
      <c r="A1108" s="390"/>
      <c r="B1108" s="405" t="s">
        <v>1252</v>
      </c>
      <c r="C1108" s="390">
        <v>96005</v>
      </c>
      <c r="D1108" s="390"/>
      <c r="H1108" s="300"/>
      <c r="J1108" s="387"/>
      <c r="K1108" s="300"/>
      <c r="Q1108" s="300"/>
    </row>
    <row r="1109" spans="1:17">
      <c r="A1109" s="390"/>
      <c r="B1109" s="405" t="s">
        <v>1256</v>
      </c>
      <c r="C1109" s="390">
        <v>96012</v>
      </c>
      <c r="D1109" s="390"/>
      <c r="H1109" s="300"/>
      <c r="J1109" s="387"/>
      <c r="K1109" s="300"/>
      <c r="Q1109" s="300"/>
    </row>
    <row r="1110" spans="1:17">
      <c r="A1110" s="390"/>
      <c r="B1110" s="405" t="s">
        <v>911</v>
      </c>
      <c r="C1110" s="390">
        <v>91901</v>
      </c>
      <c r="D1110" s="390"/>
      <c r="H1110" s="300"/>
      <c r="J1110" s="387"/>
      <c r="K1110" s="300"/>
      <c r="Q1110" s="300"/>
    </row>
    <row r="1111" spans="1:17">
      <c r="A1111" s="390"/>
      <c r="B1111" s="405" t="s">
        <v>913</v>
      </c>
      <c r="C1111" s="390">
        <v>91904</v>
      </c>
      <c r="D1111" s="390"/>
      <c r="H1111" s="300"/>
      <c r="J1111" s="387"/>
      <c r="K1111" s="300"/>
      <c r="Q1111" s="300"/>
    </row>
    <row r="1112" spans="1:17">
      <c r="A1112" s="390"/>
      <c r="B1112" s="405" t="s">
        <v>2777</v>
      </c>
      <c r="C1112" s="390">
        <v>91903</v>
      </c>
      <c r="D1112" s="390"/>
      <c r="H1112" s="300"/>
      <c r="J1112" s="387"/>
      <c r="K1112" s="300"/>
      <c r="Q1112" s="300"/>
    </row>
    <row r="1113" spans="1:17">
      <c r="A1113" s="390"/>
      <c r="B1113" s="405" t="s">
        <v>918</v>
      </c>
      <c r="C1113" s="390">
        <v>92001</v>
      </c>
      <c r="D1113" s="390"/>
      <c r="H1113" s="300"/>
      <c r="J1113" s="387"/>
      <c r="K1113" s="300"/>
      <c r="Q1113" s="300"/>
    </row>
    <row r="1114" spans="1:17">
      <c r="A1114" s="390"/>
      <c r="B1114" s="405" t="s">
        <v>1951</v>
      </c>
      <c r="C1114" s="390">
        <v>93641</v>
      </c>
      <c r="D1114" s="390"/>
      <c r="H1114" s="300"/>
      <c r="J1114" s="387"/>
      <c r="K1114" s="300"/>
      <c r="Q1114" s="300"/>
    </row>
    <row r="1115" spans="1:17">
      <c r="A1115" s="390"/>
      <c r="B1115" s="405" t="s">
        <v>1069</v>
      </c>
      <c r="C1115" s="390">
        <v>93647</v>
      </c>
      <c r="D1115" s="390"/>
      <c r="H1115" s="300"/>
      <c r="J1115" s="387"/>
      <c r="K1115" s="300"/>
      <c r="Q1115" s="300"/>
    </row>
    <row r="1116" spans="1:17">
      <c r="A1116" s="390"/>
      <c r="B1116" s="405" t="s">
        <v>2083</v>
      </c>
      <c r="C1116" s="390">
        <v>98041</v>
      </c>
      <c r="D1116" s="390"/>
      <c r="H1116" s="300"/>
      <c r="J1116" s="388"/>
      <c r="K1116" s="300"/>
      <c r="Q1116" s="300"/>
    </row>
    <row r="1117" spans="1:17">
      <c r="A1117" s="390"/>
      <c r="B1117" s="405" t="s">
        <v>2761</v>
      </c>
      <c r="C1117" s="390">
        <v>96612</v>
      </c>
      <c r="D1117" s="390"/>
      <c r="H1117" s="300"/>
      <c r="J1117" s="387"/>
      <c r="K1117" s="300"/>
      <c r="Q1117" s="300"/>
    </row>
    <row r="1118" spans="1:17">
      <c r="A1118" s="390"/>
      <c r="B1118" s="405" t="s">
        <v>2084</v>
      </c>
      <c r="C1118" s="390">
        <v>90751</v>
      </c>
      <c r="D1118" s="390"/>
      <c r="H1118" s="300"/>
      <c r="J1118" s="387"/>
      <c r="K1118" s="300"/>
      <c r="Q1118" s="300"/>
    </row>
    <row r="1119" spans="1:17">
      <c r="A1119" s="390"/>
      <c r="B1119" s="405" t="s">
        <v>923</v>
      </c>
      <c r="C1119" s="390">
        <v>92101</v>
      </c>
      <c r="D1119" s="390"/>
      <c r="H1119" s="300"/>
      <c r="J1119" s="388"/>
      <c r="K1119" s="300"/>
      <c r="Q1119" s="300"/>
    </row>
    <row r="1120" spans="1:17">
      <c r="A1120" s="390"/>
      <c r="B1120" s="405" t="s">
        <v>924</v>
      </c>
      <c r="C1120" s="390">
        <v>92104</v>
      </c>
      <c r="D1120" s="390"/>
      <c r="H1120" s="300"/>
      <c r="J1120" s="387"/>
      <c r="K1120" s="300"/>
      <c r="Q1120" s="300"/>
    </row>
    <row r="1121" spans="1:17">
      <c r="A1121" s="390"/>
      <c r="B1121" s="405" t="s">
        <v>1952</v>
      </c>
      <c r="C1121" s="390">
        <v>91821</v>
      </c>
      <c r="D1121" s="390"/>
      <c r="H1121" s="300"/>
      <c r="J1121" s="387"/>
      <c r="K1121" s="300"/>
      <c r="Q1121" s="300"/>
    </row>
    <row r="1122" spans="1:17">
      <c r="A1122" s="390"/>
      <c r="B1122" s="405" t="s">
        <v>2085</v>
      </c>
      <c r="C1122" s="390">
        <v>90931</v>
      </c>
      <c r="D1122" s="390"/>
      <c r="H1122" s="300"/>
      <c r="J1122" s="387"/>
      <c r="K1122" s="300"/>
      <c r="Q1122" s="300"/>
    </row>
    <row r="1123" spans="1:17">
      <c r="A1123" s="390"/>
      <c r="B1123" s="405" t="s">
        <v>928</v>
      </c>
      <c r="C1123" s="390">
        <v>92201</v>
      </c>
      <c r="D1123" s="390"/>
      <c r="H1123" s="300"/>
      <c r="J1123" s="387"/>
      <c r="K1123" s="300"/>
      <c r="Q1123" s="300"/>
    </row>
    <row r="1124" spans="1:17">
      <c r="A1124" s="390"/>
      <c r="B1124" s="406" t="s">
        <v>1925</v>
      </c>
      <c r="C1124" s="390">
        <v>92214</v>
      </c>
      <c r="D1124" s="390"/>
      <c r="H1124" s="300"/>
      <c r="J1124" s="387"/>
      <c r="K1124" s="300"/>
      <c r="Q1124" s="300"/>
    </row>
    <row r="1125" spans="1:17">
      <c r="A1125" s="390"/>
      <c r="B1125" s="405" t="s">
        <v>2086</v>
      </c>
      <c r="C1125" s="390">
        <v>95131</v>
      </c>
      <c r="D1125" s="390"/>
      <c r="H1125" s="300"/>
      <c r="J1125" s="387"/>
      <c r="K1125" s="300"/>
      <c r="Q1125" s="300"/>
    </row>
    <row r="1126" spans="1:17">
      <c r="A1126" s="390"/>
      <c r="B1126" s="405" t="s">
        <v>2495</v>
      </c>
      <c r="C1126" s="390">
        <v>93441</v>
      </c>
      <c r="D1126" s="390"/>
      <c r="H1126" s="300"/>
      <c r="J1126" s="387"/>
      <c r="K1126" s="300"/>
      <c r="Q1126" s="300"/>
    </row>
    <row r="1127" spans="1:17">
      <c r="A1127" s="390"/>
      <c r="B1127" s="405" t="s">
        <v>1046</v>
      </c>
      <c r="C1127" s="390">
        <v>93442</v>
      </c>
      <c r="D1127" s="390"/>
      <c r="H1127" s="300"/>
      <c r="J1127" s="387"/>
      <c r="K1127" s="300"/>
      <c r="Q1127" s="300"/>
    </row>
    <row r="1128" spans="1:17">
      <c r="A1128" s="390"/>
      <c r="B1128" s="405" t="s">
        <v>2087</v>
      </c>
      <c r="C1128" s="390">
        <v>98091</v>
      </c>
      <c r="D1128" s="390"/>
      <c r="H1128" s="300"/>
      <c r="J1128" s="388"/>
      <c r="K1128" s="300"/>
      <c r="Q1128" s="300"/>
    </row>
    <row r="1129" spans="1:17">
      <c r="A1129" s="390"/>
      <c r="B1129" s="405" t="s">
        <v>929</v>
      </c>
      <c r="C1129" s="390">
        <v>92301</v>
      </c>
      <c r="D1129" s="390"/>
      <c r="H1129" s="300"/>
      <c r="J1129" s="387"/>
      <c r="K1129" s="300"/>
      <c r="Q1129" s="300"/>
    </row>
    <row r="1130" spans="1:17">
      <c r="A1130" s="390"/>
      <c r="B1130" s="405" t="s">
        <v>930</v>
      </c>
      <c r="C1130" s="390">
        <v>92302</v>
      </c>
      <c r="D1130" s="390"/>
      <c r="H1130" s="300"/>
      <c r="J1130" s="387"/>
      <c r="K1130" s="300"/>
      <c r="Q1130" s="300"/>
    </row>
    <row r="1131" spans="1:17">
      <c r="A1131" s="390"/>
      <c r="B1131" s="405" t="s">
        <v>1953</v>
      </c>
      <c r="C1131" s="390">
        <v>98211</v>
      </c>
      <c r="D1131" s="390"/>
      <c r="H1131" s="300"/>
      <c r="J1131" s="388"/>
      <c r="K1131" s="300"/>
      <c r="Q1131" s="300"/>
    </row>
    <row r="1132" spans="1:17">
      <c r="A1132" s="390"/>
      <c r="B1132" s="405" t="s">
        <v>1469</v>
      </c>
      <c r="C1132" s="390">
        <v>98218</v>
      </c>
      <c r="D1132" s="390"/>
      <c r="H1132" s="300"/>
      <c r="J1132" s="387"/>
      <c r="K1132" s="300"/>
      <c r="Q1132" s="300"/>
    </row>
    <row r="1133" spans="1:17">
      <c r="A1133" s="390"/>
      <c r="B1133" s="405" t="s">
        <v>953</v>
      </c>
      <c r="C1133" s="390">
        <v>92506</v>
      </c>
      <c r="D1133" s="390"/>
      <c r="H1133" s="300"/>
      <c r="J1133" s="387"/>
      <c r="K1133" s="300"/>
      <c r="Q1133" s="300"/>
    </row>
    <row r="1134" spans="1:17">
      <c r="A1134" s="390"/>
      <c r="B1134" s="405" t="s">
        <v>2754</v>
      </c>
      <c r="C1134" s="390">
        <v>92508</v>
      </c>
      <c r="D1134" s="390"/>
      <c r="H1134" s="300"/>
      <c r="J1134" s="387"/>
      <c r="K1134" s="300"/>
      <c r="Q1134" s="300"/>
    </row>
    <row r="1135" spans="1:17">
      <c r="A1135" s="390"/>
      <c r="B1135" s="405" t="s">
        <v>1615</v>
      </c>
      <c r="C1135" s="390">
        <v>96519</v>
      </c>
      <c r="D1135" s="390"/>
      <c r="H1135" s="300"/>
      <c r="J1135" s="387"/>
      <c r="K1135" s="300"/>
      <c r="Q1135" s="300"/>
    </row>
    <row r="1136" spans="1:17">
      <c r="A1136" s="390"/>
      <c r="B1136" s="405" t="s">
        <v>2088</v>
      </c>
      <c r="C1136" s="390">
        <v>94341</v>
      </c>
      <c r="D1136" s="390"/>
      <c r="H1136" s="300"/>
      <c r="J1136" s="387"/>
      <c r="K1136" s="300"/>
      <c r="Q1136" s="300"/>
    </row>
    <row r="1137" spans="1:17">
      <c r="A1137" s="390"/>
      <c r="B1137" s="405" t="s">
        <v>2089</v>
      </c>
      <c r="C1137" s="390">
        <v>94641</v>
      </c>
      <c r="D1137" s="390"/>
      <c r="H1137" s="300"/>
      <c r="J1137" s="387"/>
      <c r="K1137" s="300"/>
      <c r="Q1137" s="300"/>
    </row>
    <row r="1138" spans="1:17">
      <c r="A1138" s="390"/>
      <c r="B1138" s="405" t="s">
        <v>2090</v>
      </c>
      <c r="C1138" s="390">
        <v>90813</v>
      </c>
      <c r="D1138" s="390"/>
      <c r="H1138" s="300"/>
      <c r="J1138" s="387"/>
      <c r="K1138" s="300"/>
      <c r="Q1138" s="300"/>
    </row>
    <row r="1139" spans="1:17">
      <c r="A1139" s="390"/>
      <c r="B1139" s="405" t="s">
        <v>1112</v>
      </c>
      <c r="C1139" s="390">
        <v>94168</v>
      </c>
      <c r="D1139" s="390"/>
      <c r="H1139" s="300"/>
      <c r="J1139" s="387"/>
      <c r="K1139" s="300"/>
      <c r="Q1139" s="300"/>
    </row>
    <row r="1140" spans="1:17">
      <c r="A1140" s="390"/>
      <c r="B1140" s="405" t="s">
        <v>2091</v>
      </c>
      <c r="C1140" s="390">
        <v>98911</v>
      </c>
      <c r="D1140" s="390"/>
      <c r="H1140" s="300"/>
      <c r="J1140" s="388"/>
      <c r="K1140" s="300"/>
      <c r="Q1140" s="300"/>
    </row>
    <row r="1141" spans="1:17">
      <c r="A1141" s="390"/>
      <c r="B1141" s="405" t="s">
        <v>2092</v>
      </c>
      <c r="C1141" s="390">
        <v>97521</v>
      </c>
      <c r="D1141" s="390"/>
      <c r="H1141" s="300"/>
      <c r="J1141" s="387"/>
      <c r="K1141" s="300"/>
      <c r="Q1141" s="300"/>
    </row>
    <row r="1142" spans="1:17">
      <c r="A1142" s="390"/>
      <c r="B1142" s="405" t="s">
        <v>1637</v>
      </c>
      <c r="C1142" s="390">
        <v>97527</v>
      </c>
      <c r="D1142" s="390"/>
      <c r="H1142" s="300"/>
      <c r="J1142" s="387"/>
      <c r="K1142" s="300"/>
      <c r="Q1142" s="300"/>
    </row>
    <row r="1143" spans="1:17">
      <c r="A1143" s="390"/>
      <c r="B1143" s="405" t="s">
        <v>938</v>
      </c>
      <c r="C1143" s="390">
        <v>92401</v>
      </c>
      <c r="D1143" s="390"/>
      <c r="H1143" s="300"/>
      <c r="J1143" s="388"/>
      <c r="K1143" s="300"/>
      <c r="Q1143" s="300"/>
    </row>
    <row r="1144" spans="1:17">
      <c r="A1144" s="390"/>
      <c r="B1144" s="405" t="s">
        <v>1954</v>
      </c>
      <c r="C1144" s="390">
        <v>91311</v>
      </c>
      <c r="D1144" s="390"/>
      <c r="H1144" s="300"/>
      <c r="J1144" s="387"/>
      <c r="K1144" s="300"/>
      <c r="Q1144" s="300"/>
    </row>
    <row r="1145" spans="1:17">
      <c r="A1145" s="390"/>
      <c r="B1145" s="405" t="s">
        <v>863</v>
      </c>
      <c r="C1145" s="390">
        <v>91317</v>
      </c>
      <c r="D1145" s="390"/>
      <c r="H1145" s="300"/>
      <c r="J1145" s="387"/>
      <c r="K1145" s="300"/>
      <c r="Q1145" s="300"/>
    </row>
    <row r="1146" spans="1:17">
      <c r="A1146" s="390"/>
      <c r="B1146" s="405" t="s">
        <v>2093</v>
      </c>
      <c r="C1146" s="390">
        <v>91261</v>
      </c>
      <c r="D1146" s="390"/>
      <c r="H1146" s="300"/>
      <c r="J1146" s="387"/>
      <c r="K1146" s="300"/>
      <c r="Q1146" s="300"/>
    </row>
    <row r="1147" spans="1:17">
      <c r="A1147" s="390"/>
      <c r="B1147" s="405" t="s">
        <v>2094</v>
      </c>
      <c r="C1147" s="390">
        <v>91851</v>
      </c>
      <c r="D1147" s="390"/>
      <c r="H1147" s="300"/>
      <c r="J1147" s="387"/>
      <c r="K1147" s="300"/>
      <c r="Q1147" s="300"/>
    </row>
    <row r="1148" spans="1:17">
      <c r="A1148" s="390"/>
      <c r="B1148" s="405" t="s">
        <v>1370</v>
      </c>
      <c r="C1148" s="390">
        <v>97408</v>
      </c>
      <c r="D1148" s="390"/>
      <c r="H1148" s="300"/>
      <c r="J1148" s="387"/>
      <c r="K1148" s="300"/>
      <c r="Q1148" s="300"/>
    </row>
    <row r="1149" spans="1:17">
      <c r="A1149" s="390"/>
      <c r="B1149" s="405" t="s">
        <v>2095</v>
      </c>
      <c r="C1149" s="390">
        <v>96641</v>
      </c>
      <c r="D1149" s="390"/>
      <c r="H1149" s="300"/>
      <c r="J1149" s="387"/>
      <c r="K1149" s="300"/>
      <c r="Q1149" s="300"/>
    </row>
    <row r="1150" spans="1:17">
      <c r="A1150" s="390"/>
      <c r="B1150" s="405" t="s">
        <v>2096</v>
      </c>
      <c r="C1150" s="390">
        <v>93031</v>
      </c>
      <c r="D1150" s="390"/>
      <c r="H1150" s="300"/>
      <c r="J1150" s="387"/>
      <c r="K1150" s="300"/>
      <c r="Q1150" s="300"/>
    </row>
    <row r="1151" spans="1:17">
      <c r="A1151" s="390"/>
      <c r="B1151" s="405" t="s">
        <v>1001</v>
      </c>
      <c r="C1151" s="390">
        <v>93027</v>
      </c>
      <c r="D1151" s="390"/>
      <c r="H1151" s="300"/>
      <c r="J1151" s="387"/>
      <c r="K1151" s="300"/>
      <c r="Q1151" s="300"/>
    </row>
    <row r="1152" spans="1:17">
      <c r="A1152" s="390"/>
      <c r="B1152" s="405" t="s">
        <v>2097</v>
      </c>
      <c r="C1152" s="390">
        <v>96051</v>
      </c>
      <c r="D1152" s="390"/>
      <c r="H1152" s="300"/>
      <c r="J1152" s="388"/>
      <c r="K1152" s="300"/>
      <c r="Q1152" s="300"/>
    </row>
    <row r="1153" spans="1:17">
      <c r="A1153" s="390"/>
      <c r="B1153" s="405" t="s">
        <v>2098</v>
      </c>
      <c r="C1153" s="390">
        <v>92571</v>
      </c>
      <c r="D1153" s="390"/>
      <c r="H1153" s="300"/>
      <c r="J1153" s="387"/>
      <c r="K1153" s="300"/>
      <c r="Q1153" s="300"/>
    </row>
    <row r="1154" spans="1:17">
      <c r="A1154" s="390"/>
      <c r="B1154" s="405" t="s">
        <v>2099</v>
      </c>
      <c r="C1154" s="390">
        <v>93631</v>
      </c>
      <c r="D1154" s="390"/>
      <c r="H1154" s="300"/>
      <c r="J1154" s="387"/>
      <c r="K1154" s="300"/>
      <c r="Q1154" s="300"/>
    </row>
    <row r="1155" spans="1:17">
      <c r="A1155" s="390"/>
      <c r="B1155" s="406" t="s">
        <v>1926</v>
      </c>
      <c r="C1155" s="390">
        <v>93604</v>
      </c>
      <c r="D1155" s="390"/>
      <c r="H1155" s="300"/>
      <c r="J1155" s="388"/>
      <c r="K1155" s="300"/>
      <c r="Q1155" s="300"/>
    </row>
    <row r="1156" spans="1:17">
      <c r="A1156" s="390"/>
      <c r="B1156" s="405" t="s">
        <v>951</v>
      </c>
      <c r="C1156" s="390">
        <v>92504</v>
      </c>
      <c r="D1156" s="390"/>
      <c r="H1156" s="300"/>
      <c r="J1156" s="387"/>
      <c r="K1156" s="300"/>
      <c r="Q1156" s="300"/>
    </row>
    <row r="1157" spans="1:17">
      <c r="A1157" s="390"/>
      <c r="B1157" s="405" t="s">
        <v>949</v>
      </c>
      <c r="C1157" s="390">
        <v>92501</v>
      </c>
      <c r="D1157" s="390"/>
      <c r="H1157" s="300"/>
      <c r="J1157" s="387"/>
      <c r="K1157" s="300"/>
      <c r="Q1157" s="300"/>
    </row>
    <row r="1158" spans="1:17">
      <c r="A1158" s="390"/>
      <c r="B1158" s="405" t="s">
        <v>952</v>
      </c>
      <c r="C1158" s="390">
        <v>92505</v>
      </c>
      <c r="D1158" s="390"/>
      <c r="H1158" s="300"/>
      <c r="J1158" s="387"/>
      <c r="K1158" s="300"/>
      <c r="Q1158" s="300"/>
    </row>
    <row r="1159" spans="1:17">
      <c r="A1159" s="390"/>
      <c r="B1159" s="405" t="s">
        <v>1955</v>
      </c>
      <c r="C1159" s="390">
        <v>93921</v>
      </c>
      <c r="D1159" s="390"/>
      <c r="H1159" s="300"/>
      <c r="J1159" s="387"/>
      <c r="K1159" s="300"/>
      <c r="Q1159" s="300"/>
    </row>
    <row r="1160" spans="1:17">
      <c r="A1160" s="390"/>
      <c r="B1160" s="405" t="s">
        <v>2100</v>
      </c>
      <c r="C1160" s="390">
        <v>99431</v>
      </c>
      <c r="D1160" s="390"/>
      <c r="H1160" s="300"/>
      <c r="J1160" s="387"/>
      <c r="K1160" s="300"/>
      <c r="Q1160" s="300"/>
    </row>
    <row r="1161" spans="1:17">
      <c r="A1161" s="390"/>
      <c r="B1161" s="405" t="s">
        <v>966</v>
      </c>
      <c r="C1161" s="390">
        <v>92604</v>
      </c>
      <c r="D1161" s="390"/>
      <c r="H1161" s="300"/>
      <c r="J1161" s="387"/>
      <c r="K1161" s="300"/>
      <c r="Q1161" s="300"/>
    </row>
    <row r="1162" spans="1:17">
      <c r="A1162" s="390"/>
      <c r="B1162" s="405" t="s">
        <v>964</v>
      </c>
      <c r="C1162" s="390">
        <v>92601</v>
      </c>
      <c r="D1162" s="390"/>
      <c r="H1162" s="300"/>
      <c r="J1162" s="387"/>
      <c r="K1162" s="300"/>
      <c r="Q1162" s="300"/>
    </row>
    <row r="1163" spans="1:17">
      <c r="A1163" s="390"/>
      <c r="B1163" s="405" t="s">
        <v>968</v>
      </c>
      <c r="C1163" s="390">
        <v>92608</v>
      </c>
      <c r="D1163" s="390"/>
      <c r="H1163" s="300"/>
      <c r="J1163" s="387"/>
      <c r="K1163" s="300"/>
      <c r="Q1163" s="300"/>
    </row>
    <row r="1164" spans="1:17">
      <c r="A1164" s="390"/>
      <c r="B1164" s="405" t="s">
        <v>980</v>
      </c>
      <c r="C1164" s="390">
        <v>92704</v>
      </c>
      <c r="D1164" s="390"/>
      <c r="H1164" s="300"/>
      <c r="J1164" s="388"/>
      <c r="K1164" s="300"/>
      <c r="Q1164" s="300"/>
    </row>
    <row r="1165" spans="1:17">
      <c r="A1165" s="390"/>
      <c r="B1165" s="405" t="s">
        <v>979</v>
      </c>
      <c r="C1165" s="390">
        <v>92701</v>
      </c>
      <c r="D1165" s="390"/>
      <c r="H1165" s="300"/>
      <c r="J1165" s="387"/>
      <c r="K1165" s="300"/>
      <c r="Q1165" s="300"/>
    </row>
    <row r="1166" spans="1:17">
      <c r="A1166" s="390"/>
      <c r="B1166" s="405" t="s">
        <v>2101</v>
      </c>
      <c r="C1166" s="390">
        <v>93651</v>
      </c>
      <c r="D1166" s="390"/>
      <c r="H1166" s="300"/>
      <c r="J1166" s="387"/>
      <c r="K1166" s="300"/>
      <c r="Q1166" s="300"/>
    </row>
    <row r="1167" spans="1:17">
      <c r="A1167" s="390"/>
      <c r="B1167" s="405" t="s">
        <v>981</v>
      </c>
      <c r="C1167" s="390">
        <v>92801</v>
      </c>
      <c r="D1167" s="390"/>
      <c r="H1167" s="300"/>
      <c r="J1167" s="388"/>
      <c r="K1167" s="300"/>
      <c r="Q1167" s="300"/>
    </row>
    <row r="1168" spans="1:17">
      <c r="A1168" s="390"/>
      <c r="B1168" s="405" t="s">
        <v>983</v>
      </c>
      <c r="C1168" s="390">
        <v>92804</v>
      </c>
      <c r="D1168" s="390"/>
      <c r="H1168" s="300"/>
      <c r="J1168" s="387"/>
      <c r="K1168" s="300"/>
      <c r="Q1168" s="300"/>
    </row>
    <row r="1169" spans="1:17">
      <c r="A1169" s="390"/>
      <c r="B1169" s="405" t="s">
        <v>982</v>
      </c>
      <c r="C1169" s="390">
        <v>92802</v>
      </c>
      <c r="D1169" s="390"/>
      <c r="H1169" s="300"/>
      <c r="J1169" s="387"/>
      <c r="K1169" s="300"/>
      <c r="Q1169" s="300"/>
    </row>
    <row r="1170" spans="1:17">
      <c r="A1170" s="390"/>
      <c r="B1170" s="405" t="s">
        <v>2102</v>
      </c>
      <c r="C1170" s="390">
        <v>96081</v>
      </c>
      <c r="D1170" s="390"/>
      <c r="H1170" s="300"/>
      <c r="J1170" s="387"/>
      <c r="K1170" s="300"/>
      <c r="Q1170" s="300"/>
    </row>
    <row r="1171" spans="1:17">
      <c r="A1171" s="390"/>
      <c r="B1171" s="405" t="s">
        <v>990</v>
      </c>
      <c r="C1171" s="390">
        <v>92901</v>
      </c>
      <c r="D1171" s="390"/>
      <c r="H1171" s="300"/>
      <c r="J1171" s="387"/>
      <c r="K1171" s="300"/>
      <c r="Q1171" s="300"/>
    </row>
    <row r="1172" spans="1:17">
      <c r="A1172" s="390"/>
      <c r="B1172" s="405" t="s">
        <v>997</v>
      </c>
      <c r="C1172" s="390">
        <v>93001</v>
      </c>
      <c r="D1172" s="390"/>
      <c r="H1172" s="300"/>
      <c r="J1172" s="387"/>
      <c r="K1172" s="300"/>
      <c r="Q1172" s="300"/>
    </row>
    <row r="1173" spans="1:17">
      <c r="A1173" s="390"/>
      <c r="B1173" s="405" t="s">
        <v>998</v>
      </c>
      <c r="C1173" s="390">
        <v>93009</v>
      </c>
      <c r="D1173" s="390"/>
      <c r="H1173" s="300"/>
      <c r="J1173" s="388"/>
      <c r="K1173" s="300"/>
      <c r="Q1173" s="300"/>
    </row>
    <row r="1174" spans="1:17">
      <c r="A1174" s="390"/>
      <c r="B1174" s="405" t="s">
        <v>2103</v>
      </c>
      <c r="C1174" s="390">
        <v>92921</v>
      </c>
      <c r="D1174" s="390"/>
      <c r="H1174" s="300"/>
      <c r="J1174" s="387"/>
      <c r="K1174" s="300"/>
      <c r="Q1174" s="300"/>
    </row>
    <row r="1175" spans="1:17">
      <c r="A1175" s="390"/>
      <c r="B1175" s="405" t="s">
        <v>2104</v>
      </c>
      <c r="C1175" s="390">
        <v>98621</v>
      </c>
      <c r="D1175" s="390"/>
      <c r="H1175" s="300"/>
      <c r="J1175" s="387"/>
      <c r="K1175" s="300"/>
      <c r="Q1175" s="300"/>
    </row>
    <row r="1176" spans="1:17">
      <c r="A1176" s="390"/>
      <c r="B1176" s="405" t="s">
        <v>1505</v>
      </c>
      <c r="C1176" s="390">
        <v>98627</v>
      </c>
      <c r="D1176" s="390"/>
      <c r="H1176" s="300"/>
      <c r="J1176" s="387"/>
      <c r="K1176" s="300"/>
      <c r="Q1176" s="300"/>
    </row>
    <row r="1177" spans="1:17">
      <c r="A1177" s="390"/>
      <c r="B1177" s="405" t="s">
        <v>2105</v>
      </c>
      <c r="C1177" s="390">
        <v>91221</v>
      </c>
      <c r="D1177" s="390"/>
      <c r="H1177" s="300"/>
      <c r="J1177" s="387"/>
      <c r="K1177" s="300"/>
      <c r="Q1177" s="300"/>
    </row>
    <row r="1178" spans="1:17">
      <c r="A1178" s="390"/>
      <c r="B1178" s="405" t="s">
        <v>2106</v>
      </c>
      <c r="C1178" s="390">
        <v>92861</v>
      </c>
      <c r="D1178" s="390"/>
      <c r="H1178" s="300"/>
      <c r="J1178" s="387"/>
      <c r="K1178" s="300"/>
      <c r="Q1178" s="300"/>
    </row>
    <row r="1179" spans="1:17">
      <c r="A1179" s="390"/>
      <c r="B1179" s="405" t="s">
        <v>1956</v>
      </c>
      <c r="C1179" s="390">
        <v>94311</v>
      </c>
      <c r="D1179" s="390"/>
      <c r="H1179" s="300"/>
      <c r="J1179" s="387"/>
      <c r="K1179" s="300"/>
      <c r="Q1179" s="300"/>
    </row>
    <row r="1180" spans="1:17">
      <c r="A1180" s="390"/>
      <c r="B1180" s="405" t="s">
        <v>1128</v>
      </c>
      <c r="C1180" s="390">
        <v>94317</v>
      </c>
      <c r="D1180" s="390"/>
      <c r="H1180" s="300"/>
      <c r="J1180" s="387"/>
      <c r="K1180" s="300"/>
      <c r="Q1180" s="300"/>
    </row>
    <row r="1181" spans="1:17">
      <c r="A1181" s="390"/>
      <c r="B1181" s="405" t="s">
        <v>1127</v>
      </c>
      <c r="C1181" s="390">
        <v>94313</v>
      </c>
      <c r="D1181" s="390"/>
      <c r="H1181" s="300"/>
      <c r="J1181" s="387"/>
      <c r="K1181" s="300"/>
      <c r="Q1181" s="300"/>
    </row>
    <row r="1182" spans="1:17">
      <c r="A1182" s="390"/>
      <c r="B1182" s="405" t="s">
        <v>1003</v>
      </c>
      <c r="C1182" s="390">
        <v>93101</v>
      </c>
      <c r="D1182" s="390"/>
      <c r="H1182" s="300"/>
      <c r="J1182" s="388"/>
      <c r="K1182" s="300"/>
      <c r="Q1182" s="300"/>
    </row>
    <row r="1183" spans="1:17">
      <c r="A1183" s="390"/>
      <c r="B1183" s="405" t="s">
        <v>260</v>
      </c>
      <c r="C1183" s="390">
        <v>93103</v>
      </c>
      <c r="D1183" s="390"/>
      <c r="H1183" s="300"/>
      <c r="J1183" s="387"/>
      <c r="K1183" s="300"/>
      <c r="Q1183" s="300"/>
    </row>
    <row r="1184" spans="1:17">
      <c r="A1184" s="390"/>
      <c r="B1184" s="405" t="s">
        <v>1957</v>
      </c>
      <c r="C1184" s="390">
        <v>93211</v>
      </c>
      <c r="D1184" s="390"/>
      <c r="H1184" s="300"/>
      <c r="J1184" s="387"/>
      <c r="K1184" s="300"/>
      <c r="Q1184" s="300"/>
    </row>
    <row r="1185" spans="1:17">
      <c r="A1185" s="390"/>
      <c r="B1185" s="405" t="s">
        <v>1022</v>
      </c>
      <c r="C1185" s="390">
        <v>93212</v>
      </c>
      <c r="D1185" s="390"/>
      <c r="H1185" s="300"/>
      <c r="J1185" s="388"/>
      <c r="K1185" s="300"/>
      <c r="Q1185" s="300"/>
    </row>
    <row r="1186" spans="1:17">
      <c r="A1186" s="390"/>
      <c r="B1186" s="405" t="s">
        <v>1017</v>
      </c>
      <c r="C1186" s="390">
        <v>93201</v>
      </c>
      <c r="D1186" s="390"/>
      <c r="H1186" s="300"/>
      <c r="J1186" s="387"/>
      <c r="K1186" s="300"/>
      <c r="Q1186" s="300"/>
    </row>
    <row r="1187" spans="1:17">
      <c r="A1187" s="390"/>
      <c r="B1187" s="405" t="s">
        <v>1019</v>
      </c>
      <c r="C1187" s="390">
        <v>93204</v>
      </c>
      <c r="D1187" s="390"/>
      <c r="H1187" s="300"/>
      <c r="J1187" s="387"/>
      <c r="K1187" s="300"/>
      <c r="Q1187" s="300"/>
    </row>
    <row r="1188" spans="1:17">
      <c r="A1188" s="390"/>
      <c r="B1188" s="405" t="s">
        <v>1546</v>
      </c>
      <c r="C1188" s="390">
        <v>99212</v>
      </c>
      <c r="D1188" s="390"/>
      <c r="H1188" s="300"/>
      <c r="J1188" s="387"/>
      <c r="K1188" s="300"/>
      <c r="Q1188" s="300"/>
    </row>
    <row r="1189" spans="1:17">
      <c r="A1189" s="390"/>
      <c r="B1189" s="405" t="s">
        <v>1345</v>
      </c>
      <c r="C1189" s="390">
        <v>97005</v>
      </c>
      <c r="D1189" s="390"/>
      <c r="H1189" s="300"/>
      <c r="J1189" s="387"/>
      <c r="K1189" s="300"/>
      <c r="Q1189" s="300"/>
    </row>
    <row r="1190" spans="1:17">
      <c r="A1190" s="390"/>
      <c r="B1190" s="405" t="s">
        <v>2107</v>
      </c>
      <c r="C1190" s="390">
        <v>99931</v>
      </c>
      <c r="D1190" s="390"/>
      <c r="H1190" s="300"/>
      <c r="J1190" s="387"/>
      <c r="K1190" s="300"/>
      <c r="Q1190" s="300"/>
    </row>
    <row r="1191" spans="1:17">
      <c r="A1191" s="390"/>
      <c r="B1191" s="405" t="s">
        <v>1614</v>
      </c>
      <c r="C1191" s="390">
        <v>92509</v>
      </c>
      <c r="D1191" s="390"/>
      <c r="H1191" s="300"/>
      <c r="J1191" s="387"/>
      <c r="K1191" s="300"/>
      <c r="Q1191" s="300"/>
    </row>
    <row r="1192" spans="1:17">
      <c r="A1192" s="390"/>
      <c r="B1192" s="405" t="s">
        <v>2108</v>
      </c>
      <c r="C1192" s="390">
        <v>98021</v>
      </c>
      <c r="D1192" s="390"/>
      <c r="H1192" s="300"/>
      <c r="J1192" s="387"/>
      <c r="K1192" s="300"/>
      <c r="Q1192" s="300"/>
    </row>
    <row r="1193" spans="1:17">
      <c r="A1193" s="390"/>
      <c r="B1193" s="405" t="s">
        <v>1446</v>
      </c>
      <c r="C1193" s="390">
        <v>98023</v>
      </c>
      <c r="D1193" s="390"/>
      <c r="H1193" s="300"/>
      <c r="J1193" s="387"/>
      <c r="K1193" s="300"/>
      <c r="Q1193" s="300"/>
    </row>
    <row r="1194" spans="1:17">
      <c r="A1194" s="390"/>
      <c r="B1194" s="405" t="s">
        <v>2020</v>
      </c>
      <c r="C1194" s="219">
        <v>70505</v>
      </c>
      <c r="D1194" s="390"/>
      <c r="H1194" s="300"/>
      <c r="J1194" s="388"/>
      <c r="K1194" s="300"/>
      <c r="Q1194" s="300"/>
    </row>
    <row r="1195" spans="1:17">
      <c r="A1195" s="390"/>
      <c r="B1195" s="405" t="s">
        <v>2766</v>
      </c>
      <c r="C1195" s="390">
        <v>99603</v>
      </c>
      <c r="D1195" s="390"/>
      <c r="H1195" s="300"/>
      <c r="J1195" s="387"/>
      <c r="K1195" s="300"/>
      <c r="Q1195" s="300"/>
    </row>
    <row r="1196" spans="1:17">
      <c r="A1196" s="390"/>
      <c r="B1196" s="405" t="s">
        <v>1583</v>
      </c>
      <c r="C1196" s="390">
        <v>99610</v>
      </c>
      <c r="D1196" s="390"/>
      <c r="H1196" s="300"/>
      <c r="J1196" s="387"/>
      <c r="K1196" s="300"/>
      <c r="Q1196" s="300"/>
    </row>
    <row r="1197" spans="1:17">
      <c r="A1197" s="390"/>
      <c r="B1197" s="405" t="s">
        <v>2109</v>
      </c>
      <c r="C1197" s="390">
        <v>92681</v>
      </c>
      <c r="D1197" s="390"/>
      <c r="H1197" s="300"/>
      <c r="J1197" s="388"/>
      <c r="K1197" s="300"/>
      <c r="Q1197" s="300"/>
    </row>
    <row r="1198" spans="1:17">
      <c r="A1198" s="390"/>
      <c r="B1198" s="405" t="s">
        <v>1004</v>
      </c>
      <c r="C1198" s="390">
        <v>93108</v>
      </c>
      <c r="D1198" s="390"/>
      <c r="H1198" s="300"/>
      <c r="J1198" s="387"/>
      <c r="K1198" s="300"/>
      <c r="Q1198" s="300"/>
    </row>
    <row r="1199" spans="1:17">
      <c r="A1199" s="390"/>
      <c r="B1199" s="405" t="s">
        <v>1958</v>
      </c>
      <c r="C1199" s="390">
        <v>97951</v>
      </c>
      <c r="D1199" s="390"/>
      <c r="H1199" s="300"/>
      <c r="J1199" s="387"/>
      <c r="K1199" s="300"/>
      <c r="Q1199" s="300"/>
    </row>
    <row r="1200" spans="1:17">
      <c r="A1200" s="390"/>
      <c r="B1200" s="405" t="s">
        <v>1437</v>
      </c>
      <c r="C1200" s="390">
        <v>97957</v>
      </c>
      <c r="D1200" s="390"/>
      <c r="H1200" s="300"/>
      <c r="J1200" s="387"/>
      <c r="K1200" s="300"/>
      <c r="Q1200" s="300"/>
    </row>
    <row r="1201" spans="1:17">
      <c r="A1201" s="390"/>
      <c r="B1201" s="405" t="s">
        <v>2110</v>
      </c>
      <c r="C1201" s="390">
        <v>92111</v>
      </c>
      <c r="D1201" s="390"/>
      <c r="H1201" s="300"/>
      <c r="J1201" s="387"/>
      <c r="K1201" s="300"/>
      <c r="Q1201" s="300"/>
    </row>
    <row r="1202" spans="1:17">
      <c r="A1202" s="390"/>
      <c r="B1202" s="405" t="s">
        <v>1024</v>
      </c>
      <c r="C1202" s="390">
        <v>93301</v>
      </c>
      <c r="D1202" s="390"/>
      <c r="H1202" s="300"/>
      <c r="J1202" s="387"/>
      <c r="K1202" s="300"/>
      <c r="Q1202" s="300"/>
    </row>
    <row r="1203" spans="1:17">
      <c r="A1203" s="390"/>
      <c r="B1203" s="405" t="s">
        <v>1025</v>
      </c>
      <c r="C1203" s="390">
        <v>93304</v>
      </c>
      <c r="D1203" s="390"/>
      <c r="H1203" s="300"/>
      <c r="J1203" s="387"/>
      <c r="K1203" s="300"/>
      <c r="Q1203" s="300"/>
    </row>
    <row r="1204" spans="1:17">
      <c r="A1204" s="390"/>
      <c r="B1204" s="405" t="s">
        <v>1026</v>
      </c>
      <c r="C1204" s="390">
        <v>93305</v>
      </c>
      <c r="D1204" s="390"/>
      <c r="H1204" s="300"/>
      <c r="J1204" s="387"/>
      <c r="K1204" s="300"/>
      <c r="Q1204" s="300"/>
    </row>
    <row r="1205" spans="1:17">
      <c r="A1205" s="390"/>
      <c r="B1205" s="405" t="s">
        <v>1544</v>
      </c>
      <c r="C1205" s="390">
        <v>99210</v>
      </c>
      <c r="D1205" s="390"/>
      <c r="H1205" s="300"/>
      <c r="J1205" s="387"/>
      <c r="K1205" s="300"/>
      <c r="Q1205" s="300"/>
    </row>
    <row r="1206" spans="1:17">
      <c r="A1206" s="390"/>
      <c r="B1206" s="405" t="s">
        <v>1348</v>
      </c>
      <c r="C1206" s="390">
        <v>97011</v>
      </c>
      <c r="D1206" s="390"/>
      <c r="H1206" s="300"/>
      <c r="J1206" s="388"/>
      <c r="K1206" s="300"/>
      <c r="Q1206" s="300"/>
    </row>
    <row r="1207" spans="1:17">
      <c r="A1207" s="390"/>
      <c r="B1207" s="405" t="s">
        <v>1350</v>
      </c>
      <c r="C1207" s="390">
        <v>97013</v>
      </c>
      <c r="D1207" s="390"/>
      <c r="H1207" s="300"/>
      <c r="J1207" s="387"/>
      <c r="K1207" s="300"/>
      <c r="Q1207" s="300"/>
    </row>
    <row r="1208" spans="1:17">
      <c r="A1208" s="390"/>
      <c r="B1208" s="405" t="s">
        <v>2762</v>
      </c>
      <c r="C1208" s="390">
        <v>97012</v>
      </c>
      <c r="D1208" s="390"/>
      <c r="H1208" s="300"/>
      <c r="J1208" s="387"/>
      <c r="K1208" s="300"/>
      <c r="Q1208" s="300"/>
    </row>
    <row r="1209" spans="1:17">
      <c r="A1209" s="390"/>
      <c r="B1209" s="405" t="s">
        <v>1352</v>
      </c>
      <c r="C1209" s="390">
        <v>97018</v>
      </c>
      <c r="D1209" s="390"/>
      <c r="H1209" s="300"/>
      <c r="J1209" s="388"/>
      <c r="K1209" s="300"/>
      <c r="Q1209" s="300"/>
    </row>
    <row r="1210" spans="1:17">
      <c r="A1210" s="390"/>
      <c r="B1210" s="405" t="s">
        <v>2111</v>
      </c>
      <c r="C1210" s="390">
        <v>90911</v>
      </c>
      <c r="D1210" s="390"/>
      <c r="H1210" s="300"/>
      <c r="J1210" s="387"/>
      <c r="K1210" s="300"/>
      <c r="Q1210" s="300"/>
    </row>
    <row r="1211" spans="1:17">
      <c r="A1211" s="390"/>
      <c r="B1211" s="405" t="s">
        <v>790</v>
      </c>
      <c r="C1211" s="390">
        <v>90917</v>
      </c>
      <c r="D1211" s="390"/>
      <c r="H1211" s="300"/>
      <c r="J1211" s="387"/>
      <c r="K1211" s="300"/>
      <c r="Q1211" s="300"/>
    </row>
    <row r="1212" spans="1:17">
      <c r="A1212" s="390"/>
      <c r="B1212" s="405" t="s">
        <v>2112</v>
      </c>
      <c r="C1212" s="390">
        <v>90641</v>
      </c>
      <c r="D1212" s="390"/>
      <c r="H1212" s="300"/>
      <c r="J1212" s="387"/>
      <c r="K1212" s="300"/>
      <c r="Q1212" s="300"/>
    </row>
    <row r="1213" spans="1:17">
      <c r="A1213" s="390"/>
      <c r="B1213" s="405" t="s">
        <v>2113</v>
      </c>
      <c r="C1213" s="390">
        <v>98641</v>
      </c>
      <c r="D1213" s="390"/>
      <c r="H1213" s="300"/>
      <c r="J1213" s="387"/>
      <c r="K1213" s="300"/>
      <c r="Q1213" s="300"/>
    </row>
    <row r="1214" spans="1:17">
      <c r="A1214" s="390"/>
      <c r="B1214" s="405" t="s">
        <v>3514</v>
      </c>
      <c r="C1214" s="390" t="s">
        <v>3512</v>
      </c>
      <c r="D1214" s="390"/>
      <c r="H1214" s="300"/>
      <c r="J1214" s="387"/>
      <c r="K1214" s="300"/>
      <c r="Q1214" s="300"/>
    </row>
    <row r="1215" spans="1:17">
      <c r="A1215" s="390"/>
      <c r="B1215" s="405" t="s">
        <v>2114</v>
      </c>
      <c r="C1215" s="390">
        <v>98161</v>
      </c>
      <c r="D1215" s="390"/>
      <c r="H1215" s="300"/>
      <c r="J1215" s="387"/>
      <c r="K1215" s="300"/>
      <c r="Q1215" s="300"/>
    </row>
    <row r="1216" spans="1:17">
      <c r="A1216" s="390"/>
      <c r="B1216" s="405" t="s">
        <v>2115</v>
      </c>
      <c r="C1216" s="390">
        <v>97731</v>
      </c>
      <c r="D1216" s="390"/>
      <c r="H1216" s="300"/>
      <c r="J1216" s="387"/>
      <c r="K1216" s="300"/>
      <c r="Q1216" s="300"/>
    </row>
    <row r="1217" spans="1:17">
      <c r="A1217" s="390"/>
      <c r="B1217" s="405" t="s">
        <v>2116</v>
      </c>
      <c r="C1217" s="390">
        <v>99851</v>
      </c>
      <c r="D1217" s="390"/>
      <c r="H1217" s="300"/>
      <c r="J1217" s="387"/>
      <c r="K1217" s="300"/>
      <c r="Q1217" s="300"/>
    </row>
    <row r="1218" spans="1:17">
      <c r="A1218" s="390"/>
      <c r="B1218" s="405" t="s">
        <v>2117</v>
      </c>
      <c r="C1218" s="390">
        <v>90131</v>
      </c>
      <c r="D1218" s="390"/>
      <c r="H1218" s="300"/>
      <c r="J1218" s="388"/>
      <c r="K1218" s="300"/>
      <c r="Q1218" s="300"/>
    </row>
    <row r="1219" spans="1:17">
      <c r="A1219" s="390"/>
      <c r="B1219" s="405" t="s">
        <v>2118</v>
      </c>
      <c r="C1219" s="390">
        <v>91651</v>
      </c>
      <c r="D1219" s="390"/>
      <c r="H1219" s="300"/>
      <c r="J1219" s="387"/>
      <c r="K1219" s="300"/>
      <c r="Q1219" s="300"/>
    </row>
    <row r="1220" spans="1:17">
      <c r="A1220" s="390"/>
      <c r="B1220" s="405" t="s">
        <v>2119</v>
      </c>
      <c r="C1220" s="390">
        <v>94211</v>
      </c>
      <c r="D1220" s="390"/>
      <c r="H1220" s="300"/>
      <c r="J1220" s="387"/>
      <c r="K1220" s="300"/>
      <c r="Q1220" s="300"/>
    </row>
    <row r="1221" spans="1:17">
      <c r="A1221" s="390"/>
      <c r="B1221" s="405" t="s">
        <v>2120</v>
      </c>
      <c r="C1221" s="390">
        <v>94331</v>
      </c>
      <c r="D1221" s="390"/>
      <c r="H1221" s="300"/>
      <c r="J1221" s="388"/>
      <c r="K1221" s="300"/>
      <c r="Q1221" s="300"/>
    </row>
    <row r="1222" spans="1:17">
      <c r="A1222" s="390"/>
      <c r="B1222" s="405" t="s">
        <v>2121</v>
      </c>
      <c r="C1222" s="390">
        <v>92431</v>
      </c>
      <c r="D1222" s="390"/>
      <c r="H1222" s="300"/>
      <c r="J1222" s="387"/>
      <c r="K1222" s="300"/>
      <c r="Q1222" s="300"/>
    </row>
    <row r="1223" spans="1:17">
      <c r="A1223" s="390"/>
      <c r="B1223" s="405" t="s">
        <v>2122</v>
      </c>
      <c r="C1223" s="390">
        <v>97821</v>
      </c>
      <c r="D1223" s="390"/>
      <c r="H1223" s="300"/>
      <c r="J1223" s="387"/>
      <c r="K1223" s="300"/>
      <c r="Q1223" s="300"/>
    </row>
    <row r="1224" spans="1:17">
      <c r="A1224" s="390"/>
      <c r="B1224" s="405" t="s">
        <v>1416</v>
      </c>
      <c r="C1224" s="390">
        <v>97823</v>
      </c>
      <c r="D1224" s="390"/>
      <c r="H1224" s="300"/>
      <c r="J1224" s="387"/>
      <c r="K1224" s="300"/>
      <c r="Q1224" s="300"/>
    </row>
    <row r="1225" spans="1:17">
      <c r="A1225" s="390"/>
      <c r="B1225" s="405" t="s">
        <v>2123</v>
      </c>
      <c r="C1225" s="390">
        <v>93141</v>
      </c>
      <c r="D1225" s="390"/>
      <c r="H1225" s="300"/>
      <c r="J1225" s="387"/>
      <c r="K1225" s="300"/>
      <c r="Q1225" s="300"/>
    </row>
    <row r="1226" spans="1:17">
      <c r="A1226" s="390"/>
      <c r="B1226" s="405" t="s">
        <v>2124</v>
      </c>
      <c r="C1226" s="390">
        <v>98081</v>
      </c>
      <c r="D1226" s="390"/>
      <c r="H1226" s="300"/>
      <c r="J1226" s="387"/>
      <c r="K1226" s="300"/>
      <c r="Q1226" s="300"/>
    </row>
    <row r="1227" spans="1:17">
      <c r="A1227" s="390"/>
      <c r="B1227" s="405" t="s">
        <v>2125</v>
      </c>
      <c r="C1227" s="390">
        <v>92671</v>
      </c>
      <c r="D1227" s="390"/>
      <c r="H1227" s="300"/>
      <c r="J1227" s="387"/>
      <c r="K1227" s="300"/>
      <c r="Q1227" s="300"/>
    </row>
    <row r="1228" spans="1:17">
      <c r="A1228" s="390"/>
      <c r="B1228" s="405" t="s">
        <v>2126</v>
      </c>
      <c r="C1228" s="390">
        <v>97421</v>
      </c>
      <c r="D1228" s="390"/>
      <c r="H1228" s="300"/>
      <c r="J1228" s="387"/>
      <c r="K1228" s="300"/>
      <c r="Q1228" s="300"/>
    </row>
    <row r="1229" spans="1:17">
      <c r="A1229" s="390"/>
      <c r="B1229" s="405" t="s">
        <v>1375</v>
      </c>
      <c r="C1229" s="390">
        <v>97423</v>
      </c>
      <c r="D1229" s="390"/>
      <c r="H1229" s="300"/>
      <c r="J1229" s="387"/>
      <c r="K1229" s="300"/>
      <c r="Q1229" s="300"/>
    </row>
    <row r="1230" spans="1:17">
      <c r="A1230" s="390"/>
      <c r="B1230" s="405" t="s">
        <v>1959</v>
      </c>
      <c r="C1230" s="390">
        <v>92611</v>
      </c>
      <c r="D1230" s="390"/>
      <c r="H1230" s="300"/>
      <c r="J1230" s="388"/>
      <c r="K1230" s="300"/>
      <c r="Q1230" s="300"/>
    </row>
    <row r="1231" spans="1:17">
      <c r="A1231" s="390"/>
      <c r="B1231" s="405" t="s">
        <v>2755</v>
      </c>
      <c r="C1231" s="390">
        <v>92613</v>
      </c>
      <c r="D1231" s="390"/>
      <c r="H1231" s="300"/>
      <c r="J1231" s="387"/>
      <c r="K1231" s="300"/>
      <c r="Q1231" s="300"/>
    </row>
    <row r="1232" spans="1:17">
      <c r="A1232" s="390"/>
      <c r="B1232" s="405" t="s">
        <v>2788</v>
      </c>
      <c r="C1232" s="390">
        <v>92614</v>
      </c>
      <c r="D1232" s="390"/>
      <c r="H1232" s="300"/>
      <c r="J1232" s="387"/>
      <c r="K1232" s="300"/>
      <c r="Q1232" s="300"/>
    </row>
    <row r="1233" spans="1:17">
      <c r="A1233" s="390"/>
      <c r="B1233" s="405" t="s">
        <v>950</v>
      </c>
      <c r="C1233" s="390">
        <v>92502</v>
      </c>
      <c r="D1233" s="390"/>
      <c r="H1233" s="300"/>
      <c r="J1233" s="388"/>
      <c r="K1233" s="300"/>
      <c r="Q1233" s="300"/>
    </row>
    <row r="1234" spans="1:17">
      <c r="A1234" s="390"/>
      <c r="B1234" s="405" t="s">
        <v>2496</v>
      </c>
      <c r="C1234" s="390">
        <v>94531</v>
      </c>
      <c r="D1234" s="390"/>
      <c r="H1234" s="300"/>
      <c r="J1234" s="387"/>
      <c r="K1234" s="300"/>
      <c r="Q1234" s="300"/>
    </row>
    <row r="1235" spans="1:17">
      <c r="A1235" s="390"/>
      <c r="B1235" s="405" t="s">
        <v>2497</v>
      </c>
      <c r="C1235" s="390">
        <v>94541</v>
      </c>
      <c r="D1235" s="390"/>
      <c r="H1235" s="300"/>
      <c r="J1235" s="387"/>
      <c r="K1235" s="300"/>
      <c r="Q1235" s="300"/>
    </row>
    <row r="1236" spans="1:17">
      <c r="A1236" s="390"/>
      <c r="B1236" s="405" t="s">
        <v>1154</v>
      </c>
      <c r="C1236" s="390">
        <v>94547</v>
      </c>
      <c r="D1236" s="390"/>
      <c r="H1236" s="300"/>
      <c r="J1236" s="387"/>
      <c r="K1236" s="300"/>
      <c r="Q1236" s="300"/>
    </row>
    <row r="1237" spans="1:17">
      <c r="A1237" s="390"/>
      <c r="B1237" s="405" t="s">
        <v>1180</v>
      </c>
      <c r="C1237" s="390">
        <v>95005</v>
      </c>
      <c r="D1237" s="390"/>
      <c r="H1237" s="300"/>
      <c r="J1237" s="387"/>
      <c r="K1237" s="300"/>
      <c r="Q1237" s="300"/>
    </row>
    <row r="1238" spans="1:17">
      <c r="A1238" s="390"/>
      <c r="B1238" s="405" t="s">
        <v>2498</v>
      </c>
      <c r="C1238" s="390">
        <v>98111</v>
      </c>
      <c r="D1238" s="390"/>
      <c r="H1238" s="300"/>
      <c r="J1238" s="387"/>
      <c r="K1238" s="300"/>
      <c r="Q1238" s="300"/>
    </row>
    <row r="1239" spans="1:17">
      <c r="A1239" s="390"/>
      <c r="B1239" s="405" t="s">
        <v>1457</v>
      </c>
      <c r="C1239" s="390">
        <v>98107</v>
      </c>
      <c r="D1239" s="390"/>
      <c r="H1239" s="300"/>
      <c r="J1239" s="387"/>
      <c r="K1239" s="300"/>
      <c r="Q1239" s="300"/>
    </row>
    <row r="1240" spans="1:17">
      <c r="A1240" s="390"/>
      <c r="B1240" s="405" t="s">
        <v>1460</v>
      </c>
      <c r="C1240" s="390">
        <v>98113</v>
      </c>
      <c r="D1240" s="390"/>
      <c r="H1240" s="300"/>
      <c r="J1240" s="387"/>
      <c r="K1240" s="300"/>
      <c r="Q1240" s="300"/>
    </row>
    <row r="1241" spans="1:17">
      <c r="A1241" s="390"/>
      <c r="B1241" s="405" t="s">
        <v>1579</v>
      </c>
      <c r="C1241" s="390">
        <v>99602</v>
      </c>
      <c r="D1241" s="390"/>
      <c r="H1241" s="300"/>
      <c r="J1241" s="387"/>
      <c r="K1241" s="300"/>
      <c r="Q1241" s="300"/>
    </row>
    <row r="1242" spans="1:17">
      <c r="A1242" s="390"/>
      <c r="B1242" s="405" t="s">
        <v>1036</v>
      </c>
      <c r="C1242" s="390">
        <v>93401</v>
      </c>
      <c r="D1242" s="390"/>
      <c r="H1242" s="300"/>
      <c r="J1242" s="388"/>
      <c r="K1242" s="300"/>
      <c r="Q1242" s="300"/>
    </row>
    <row r="1243" spans="1:17">
      <c r="A1243" s="390"/>
      <c r="B1243" s="405" t="s">
        <v>3500</v>
      </c>
      <c r="C1243" s="390">
        <v>97491</v>
      </c>
      <c r="D1243" s="390"/>
      <c r="H1243" s="300"/>
      <c r="J1243" s="387"/>
      <c r="K1243" s="300"/>
      <c r="Q1243" s="300"/>
    </row>
    <row r="1244" spans="1:17">
      <c r="A1244" s="390"/>
      <c r="B1244" s="405" t="s">
        <v>2499</v>
      </c>
      <c r="C1244" s="390">
        <v>95151</v>
      </c>
      <c r="D1244" s="390"/>
      <c r="H1244" s="300"/>
      <c r="J1244" s="387"/>
      <c r="K1244" s="300"/>
      <c r="Q1244" s="300"/>
    </row>
    <row r="1245" spans="1:17">
      <c r="A1245" s="390"/>
      <c r="B1245" s="405" t="s">
        <v>1290</v>
      </c>
      <c r="C1245" s="390">
        <v>96381</v>
      </c>
      <c r="D1245" s="390"/>
      <c r="H1245" s="300"/>
      <c r="J1245" s="388"/>
      <c r="K1245" s="300"/>
      <c r="Q1245" s="300"/>
    </row>
    <row r="1246" spans="1:17">
      <c r="A1246" s="390"/>
      <c r="B1246" s="405" t="s">
        <v>2500</v>
      </c>
      <c r="C1246" s="390">
        <v>95611</v>
      </c>
      <c r="D1246" s="390"/>
      <c r="H1246" s="300"/>
      <c r="J1246" s="387"/>
      <c r="K1246" s="300"/>
      <c r="Q1246" s="300"/>
    </row>
    <row r="1247" spans="1:17">
      <c r="A1247" s="390"/>
      <c r="B1247" s="405" t="s">
        <v>1050</v>
      </c>
      <c r="C1247" s="390">
        <v>93501</v>
      </c>
      <c r="D1247" s="390"/>
      <c r="H1247" s="300"/>
      <c r="J1247" s="387"/>
      <c r="K1247" s="300"/>
      <c r="Q1247" s="300"/>
    </row>
    <row r="1248" spans="1:17">
      <c r="A1248" s="390"/>
      <c r="B1248" s="405" t="s">
        <v>2501</v>
      </c>
      <c r="C1248" s="390">
        <v>93511</v>
      </c>
      <c r="D1248" s="390"/>
      <c r="H1248" s="300"/>
      <c r="J1248" s="387"/>
      <c r="K1248" s="300"/>
      <c r="Q1248" s="300"/>
    </row>
    <row r="1249" spans="1:17">
      <c r="A1249" s="390"/>
      <c r="B1249" s="405" t="s">
        <v>1052</v>
      </c>
      <c r="C1249" s="390">
        <v>93517</v>
      </c>
      <c r="D1249" s="390"/>
      <c r="H1249" s="300"/>
      <c r="J1249" s="387"/>
      <c r="K1249" s="300"/>
      <c r="Q1249" s="300"/>
    </row>
    <row r="1250" spans="1:17">
      <c r="A1250" s="390"/>
      <c r="B1250" s="405" t="s">
        <v>2502</v>
      </c>
      <c r="C1250" s="390">
        <v>99631</v>
      </c>
      <c r="D1250" s="390"/>
      <c r="H1250" s="300"/>
      <c r="J1250" s="387"/>
      <c r="K1250" s="300"/>
      <c r="Q1250" s="300"/>
    </row>
    <row r="1251" spans="1:17">
      <c r="A1251" s="390"/>
      <c r="B1251" s="405" t="s">
        <v>2503</v>
      </c>
      <c r="C1251" s="390">
        <v>99261</v>
      </c>
      <c r="D1251" s="390"/>
      <c r="H1251" s="300"/>
      <c r="J1251" s="388"/>
      <c r="K1251" s="300"/>
      <c r="Q1251" s="300"/>
    </row>
    <row r="1252" spans="1:17">
      <c r="A1252" s="390"/>
      <c r="B1252" s="405" t="s">
        <v>2504</v>
      </c>
      <c r="C1252" s="390">
        <v>98241</v>
      </c>
      <c r="D1252" s="390"/>
      <c r="H1252" s="300"/>
      <c r="J1252" s="387"/>
      <c r="K1252" s="300"/>
      <c r="Q1252" s="300"/>
    </row>
    <row r="1253" spans="1:17">
      <c r="A1253" s="390"/>
      <c r="B1253" s="405" t="s">
        <v>2505</v>
      </c>
      <c r="C1253" s="390">
        <v>99251</v>
      </c>
      <c r="D1253" s="390"/>
      <c r="H1253" s="300"/>
      <c r="J1253" s="387"/>
      <c r="K1253" s="300"/>
      <c r="Q1253" s="300"/>
    </row>
    <row r="1254" spans="1:17">
      <c r="A1254" s="390"/>
      <c r="B1254" s="405" t="s">
        <v>1554</v>
      </c>
      <c r="C1254" s="390">
        <v>99252</v>
      </c>
      <c r="D1254" s="390"/>
      <c r="H1254" s="300"/>
      <c r="J1254" s="387"/>
      <c r="K1254" s="300"/>
      <c r="Q1254" s="300"/>
    </row>
    <row r="1255" spans="1:17">
      <c r="A1255" s="390"/>
      <c r="B1255" s="405" t="s">
        <v>2506</v>
      </c>
      <c r="C1255" s="390">
        <v>96631</v>
      </c>
      <c r="D1255" s="390"/>
      <c r="H1255" s="300"/>
      <c r="J1255" s="387"/>
      <c r="K1255" s="300"/>
      <c r="Q1255" s="300"/>
    </row>
    <row r="1256" spans="1:17">
      <c r="A1256" s="390"/>
      <c r="B1256" s="405" t="s">
        <v>2507</v>
      </c>
      <c r="C1256" s="390">
        <v>96651</v>
      </c>
      <c r="D1256" s="390"/>
      <c r="H1256" s="300"/>
      <c r="J1256" s="387"/>
      <c r="K1256" s="300"/>
      <c r="Q1256" s="300"/>
    </row>
    <row r="1257" spans="1:17">
      <c r="A1257" s="390"/>
      <c r="B1257" s="405" t="s">
        <v>1058</v>
      </c>
      <c r="C1257" s="390">
        <v>93601</v>
      </c>
      <c r="D1257" s="390"/>
      <c r="H1257" s="300"/>
      <c r="J1257" s="387"/>
      <c r="K1257" s="300"/>
      <c r="Q1257" s="300"/>
    </row>
    <row r="1258" spans="1:17">
      <c r="A1258" s="390"/>
      <c r="B1258" s="405" t="s">
        <v>1064</v>
      </c>
      <c r="C1258" s="390">
        <v>93618</v>
      </c>
      <c r="D1258" s="390"/>
      <c r="H1258" s="300"/>
      <c r="J1258" s="387"/>
      <c r="K1258" s="300"/>
      <c r="Q1258" s="300"/>
    </row>
    <row r="1259" spans="1:17">
      <c r="A1259" s="390"/>
      <c r="B1259" s="405" t="s">
        <v>1960</v>
      </c>
      <c r="C1259" s="390">
        <v>93611</v>
      </c>
      <c r="D1259" s="390"/>
      <c r="H1259" s="300"/>
      <c r="J1259" s="387"/>
      <c r="K1259" s="300"/>
      <c r="Q1259" s="300"/>
    </row>
    <row r="1260" spans="1:17">
      <c r="A1260" s="390"/>
      <c r="B1260" s="405" t="s">
        <v>1063</v>
      </c>
      <c r="C1260" s="390">
        <v>93617</v>
      </c>
      <c r="D1260" s="390"/>
      <c r="H1260" s="300"/>
      <c r="J1260" s="388"/>
      <c r="K1260" s="300"/>
      <c r="Q1260" s="300"/>
    </row>
    <row r="1261" spans="1:17">
      <c r="A1261" s="390"/>
      <c r="B1261" s="405" t="s">
        <v>1075</v>
      </c>
      <c r="C1261" s="390">
        <v>93701</v>
      </c>
      <c r="D1261" s="390"/>
      <c r="H1261" s="300"/>
      <c r="J1261" s="387"/>
      <c r="K1261" s="300"/>
      <c r="Q1261" s="300"/>
    </row>
    <row r="1262" spans="1:17">
      <c r="A1262" s="390"/>
      <c r="B1262" s="405" t="s">
        <v>1076</v>
      </c>
      <c r="C1262" s="390">
        <v>93704</v>
      </c>
      <c r="D1262" s="390"/>
      <c r="H1262" s="300"/>
      <c r="J1262" s="387"/>
      <c r="K1262" s="300"/>
      <c r="Q1262" s="300"/>
    </row>
    <row r="1263" spans="1:17">
      <c r="A1263" s="390"/>
      <c r="B1263" s="405" t="s">
        <v>2508</v>
      </c>
      <c r="C1263" s="390">
        <v>98331</v>
      </c>
      <c r="D1263" s="390"/>
      <c r="H1263" s="300"/>
      <c r="J1263" s="388"/>
      <c r="K1263" s="300"/>
      <c r="Q1263" s="300"/>
    </row>
    <row r="1264" spans="1:17">
      <c r="A1264" s="390"/>
      <c r="B1264" s="405" t="s">
        <v>2509</v>
      </c>
      <c r="C1264" s="390">
        <v>94151</v>
      </c>
      <c r="D1264" s="390"/>
      <c r="H1264" s="300"/>
      <c r="J1264" s="387"/>
      <c r="K1264" s="300"/>
      <c r="Q1264" s="300"/>
    </row>
    <row r="1265" spans="1:17">
      <c r="A1265" s="390"/>
      <c r="B1265" s="405" t="s">
        <v>1110</v>
      </c>
      <c r="C1265" s="390">
        <v>94157</v>
      </c>
      <c r="D1265" s="390"/>
      <c r="H1265" s="300"/>
      <c r="J1265" s="387"/>
      <c r="K1265" s="300"/>
      <c r="Q1265" s="300"/>
    </row>
    <row r="1266" spans="1:17">
      <c r="A1266" s="390"/>
      <c r="B1266" s="405" t="s">
        <v>2510</v>
      </c>
      <c r="C1266" s="390">
        <v>91241</v>
      </c>
      <c r="D1266" s="390"/>
      <c r="H1266" s="300"/>
      <c r="J1266" s="387"/>
      <c r="K1266" s="300"/>
      <c r="Q1266" s="300"/>
    </row>
    <row r="1267" spans="1:17">
      <c r="A1267" s="390"/>
      <c r="B1267" s="405" t="s">
        <v>1216</v>
      </c>
      <c r="C1267" s="390">
        <v>95412</v>
      </c>
      <c r="D1267" s="390"/>
      <c r="H1267" s="300"/>
      <c r="J1267" s="387"/>
      <c r="K1267" s="300"/>
      <c r="Q1267" s="300"/>
    </row>
    <row r="1268" spans="1:17">
      <c r="A1268" s="390"/>
      <c r="B1268" s="405" t="s">
        <v>1961</v>
      </c>
      <c r="C1268" s="390">
        <v>99611</v>
      </c>
      <c r="D1268" s="390"/>
      <c r="H1268" s="300"/>
      <c r="J1268" s="387"/>
      <c r="K1268" s="300"/>
      <c r="Q1268" s="300"/>
    </row>
    <row r="1269" spans="1:17">
      <c r="A1269" s="390"/>
      <c r="B1269" s="405" t="s">
        <v>2804</v>
      </c>
      <c r="C1269" s="390">
        <v>99613</v>
      </c>
      <c r="D1269" s="390"/>
      <c r="H1269" s="300"/>
      <c r="J1269" s="387"/>
      <c r="K1269" s="300"/>
      <c r="Q1269" s="300"/>
    </row>
    <row r="1270" spans="1:17">
      <c r="A1270" s="390"/>
      <c r="B1270" s="405" t="s">
        <v>914</v>
      </c>
      <c r="C1270" s="390">
        <v>91908</v>
      </c>
      <c r="D1270" s="390"/>
      <c r="H1270" s="300"/>
      <c r="J1270" s="387"/>
      <c r="K1270" s="300"/>
      <c r="Q1270" s="300"/>
    </row>
    <row r="1271" spans="1:17">
      <c r="A1271" s="390"/>
      <c r="B1271" s="405" t="s">
        <v>1963</v>
      </c>
      <c r="C1271" s="390">
        <v>90121</v>
      </c>
      <c r="D1271" s="390"/>
      <c r="H1271" s="300"/>
      <c r="J1271" s="387"/>
      <c r="K1271" s="300"/>
      <c r="Q1271" s="300"/>
    </row>
    <row r="1272" spans="1:17">
      <c r="A1272" s="390"/>
      <c r="B1272" s="405" t="s">
        <v>1078</v>
      </c>
      <c r="C1272" s="390">
        <v>93803</v>
      </c>
      <c r="D1272" s="390"/>
      <c r="H1272" s="300"/>
      <c r="J1272" s="388"/>
      <c r="K1272" s="300"/>
      <c r="Q1272" s="300"/>
    </row>
    <row r="1273" spans="1:17">
      <c r="A1273" s="390"/>
      <c r="B1273" s="405" t="s">
        <v>1077</v>
      </c>
      <c r="C1273" s="390">
        <v>93801</v>
      </c>
      <c r="D1273" s="390"/>
      <c r="H1273" s="300"/>
      <c r="J1273" s="387"/>
      <c r="K1273" s="300"/>
      <c r="Q1273" s="300"/>
    </row>
    <row r="1274" spans="1:17">
      <c r="A1274" s="390"/>
      <c r="B1274" s="405" t="s">
        <v>1079</v>
      </c>
      <c r="C1274" s="390">
        <v>93806</v>
      </c>
      <c r="D1274" s="390"/>
      <c r="H1274" s="300"/>
      <c r="J1274" s="387"/>
      <c r="K1274" s="300"/>
      <c r="Q1274" s="300"/>
    </row>
    <row r="1275" spans="1:17">
      <c r="A1275" s="390"/>
      <c r="B1275" s="405" t="s">
        <v>2511</v>
      </c>
      <c r="C1275" s="390">
        <v>91411</v>
      </c>
      <c r="D1275" s="390"/>
      <c r="H1275" s="300"/>
      <c r="J1275" s="388"/>
      <c r="K1275" s="300"/>
      <c r="Q1275" s="300"/>
    </row>
    <row r="1276" spans="1:17">
      <c r="A1276" s="390"/>
      <c r="B1276" s="405" t="s">
        <v>870</v>
      </c>
      <c r="C1276" s="390">
        <v>91417</v>
      </c>
      <c r="D1276" s="390"/>
      <c r="H1276" s="300"/>
      <c r="J1276" s="387"/>
      <c r="K1276" s="300"/>
      <c r="Q1276" s="300"/>
    </row>
    <row r="1277" spans="1:17">
      <c r="A1277" s="390"/>
      <c r="B1277" s="405" t="s">
        <v>2512</v>
      </c>
      <c r="C1277" s="390">
        <v>98061</v>
      </c>
      <c r="D1277" s="390"/>
      <c r="H1277" s="300"/>
      <c r="J1277" s="387"/>
      <c r="K1277" s="300"/>
      <c r="Q1277" s="300"/>
    </row>
    <row r="1278" spans="1:17">
      <c r="A1278" s="390"/>
      <c r="B1278" s="405" t="s">
        <v>2809</v>
      </c>
      <c r="C1278" s="390">
        <v>93904</v>
      </c>
      <c r="D1278" s="390"/>
      <c r="H1278" s="300"/>
      <c r="J1278" s="387"/>
      <c r="K1278" s="300"/>
      <c r="Q1278" s="300"/>
    </row>
    <row r="1279" spans="1:17">
      <c r="A1279" s="390"/>
      <c r="B1279" s="405" t="s">
        <v>1081</v>
      </c>
      <c r="C1279" s="390">
        <v>93901</v>
      </c>
      <c r="D1279" s="390"/>
      <c r="H1279" s="300"/>
      <c r="J1279" s="387"/>
      <c r="K1279" s="300"/>
      <c r="Q1279" s="300"/>
    </row>
    <row r="1280" spans="1:17">
      <c r="A1280" s="390"/>
      <c r="B1280" s="405" t="s">
        <v>1083</v>
      </c>
      <c r="C1280" s="390">
        <v>93906</v>
      </c>
      <c r="D1280" s="390"/>
      <c r="H1280" s="300"/>
      <c r="J1280" s="387"/>
      <c r="K1280" s="300"/>
      <c r="Q1280" s="300"/>
    </row>
    <row r="1281" spans="1:17">
      <c r="A1281" s="390"/>
      <c r="B1281" s="405" t="s">
        <v>1084</v>
      </c>
      <c r="C1281" s="390">
        <v>93908</v>
      </c>
      <c r="D1281" s="390"/>
      <c r="H1281" s="300"/>
      <c r="J1281" s="387"/>
      <c r="K1281" s="300"/>
      <c r="Q1281" s="300"/>
    </row>
    <row r="1282" spans="1:17">
      <c r="A1282" s="390"/>
      <c r="B1282" s="405" t="s">
        <v>1170</v>
      </c>
      <c r="C1282" s="390">
        <v>94908</v>
      </c>
      <c r="D1282" s="390"/>
      <c r="H1282" s="300"/>
      <c r="J1282" s="387"/>
      <c r="K1282" s="300"/>
      <c r="Q1282" s="300"/>
    </row>
    <row r="1283" spans="1:17">
      <c r="A1283" s="390"/>
      <c r="B1283" s="405" t="s">
        <v>2513</v>
      </c>
      <c r="C1283" s="390">
        <v>90161</v>
      </c>
      <c r="D1283" s="390"/>
      <c r="H1283" s="300"/>
      <c r="J1283" s="387"/>
      <c r="K1283" s="300"/>
      <c r="Q1283" s="300"/>
    </row>
    <row r="1284" spans="1:17">
      <c r="A1284" s="390"/>
      <c r="B1284" s="405" t="s">
        <v>1091</v>
      </c>
      <c r="C1284" s="390">
        <v>94001</v>
      </c>
      <c r="D1284" s="390"/>
      <c r="H1284" s="300"/>
      <c r="J1284" s="388"/>
      <c r="K1284" s="300"/>
      <c r="Q1284" s="300"/>
    </row>
    <row r="1285" spans="1:17">
      <c r="A1285" s="390"/>
      <c r="B1285" s="405" t="s">
        <v>1093</v>
      </c>
      <c r="C1285" s="390">
        <v>94004</v>
      </c>
      <c r="D1285" s="390"/>
      <c r="H1285" s="300"/>
      <c r="J1285" s="387"/>
      <c r="K1285" s="300"/>
      <c r="Q1285" s="300"/>
    </row>
    <row r="1286" spans="1:17">
      <c r="A1286" s="390"/>
      <c r="B1286" s="405" t="s">
        <v>1962</v>
      </c>
      <c r="C1286" s="390">
        <v>94111</v>
      </c>
      <c r="D1286" s="390"/>
      <c r="H1286" s="300"/>
      <c r="J1286" s="387"/>
      <c r="K1286" s="300"/>
      <c r="Q1286" s="300"/>
    </row>
    <row r="1287" spans="1:17">
      <c r="A1287" s="390"/>
      <c r="B1287" s="405" t="s">
        <v>2808</v>
      </c>
      <c r="C1287" s="390">
        <v>94117</v>
      </c>
      <c r="D1287" s="390"/>
      <c r="H1287" s="300"/>
      <c r="J1287" s="388"/>
      <c r="K1287" s="300"/>
      <c r="Q1287" s="300"/>
    </row>
    <row r="1288" spans="1:17">
      <c r="A1288" s="390"/>
      <c r="B1288" s="405" t="s">
        <v>1964</v>
      </c>
      <c r="C1288" s="390">
        <v>97411</v>
      </c>
      <c r="D1288" s="390"/>
      <c r="H1288" s="300"/>
      <c r="J1288" s="387"/>
      <c r="K1288" s="300"/>
      <c r="Q1288" s="300"/>
    </row>
    <row r="1289" spans="1:17">
      <c r="A1289" s="390"/>
      <c r="B1289" s="405" t="s">
        <v>1373</v>
      </c>
      <c r="C1289" s="390">
        <v>97413</v>
      </c>
      <c r="D1289" s="390"/>
      <c r="H1289" s="300"/>
      <c r="J1289" s="387"/>
      <c r="K1289" s="300"/>
      <c r="Q1289" s="300"/>
    </row>
    <row r="1290" spans="1:17">
      <c r="A1290" s="390"/>
      <c r="B1290" s="405" t="s">
        <v>1372</v>
      </c>
      <c r="C1290" s="390">
        <v>97412</v>
      </c>
      <c r="D1290" s="390"/>
      <c r="H1290" s="300"/>
      <c r="J1290" s="387"/>
      <c r="K1290" s="300"/>
      <c r="Q1290" s="300"/>
    </row>
    <row r="1291" spans="1:17">
      <c r="A1291" s="390"/>
      <c r="B1291" s="405" t="s">
        <v>2514</v>
      </c>
      <c r="C1291" s="390">
        <v>97431</v>
      </c>
      <c r="D1291" s="390"/>
      <c r="H1291" s="300"/>
      <c r="J1291" s="387"/>
      <c r="K1291" s="300"/>
      <c r="Q1291" s="300"/>
    </row>
    <row r="1292" spans="1:17">
      <c r="A1292" s="390"/>
      <c r="B1292" s="405" t="s">
        <v>2515</v>
      </c>
      <c r="C1292" s="390">
        <v>97471</v>
      </c>
      <c r="D1292" s="390"/>
      <c r="H1292" s="300"/>
      <c r="J1292" s="387"/>
      <c r="K1292" s="300"/>
      <c r="Q1292" s="300"/>
    </row>
    <row r="1293" spans="1:17">
      <c r="A1293" s="390"/>
      <c r="B1293" s="405" t="s">
        <v>2516</v>
      </c>
      <c r="C1293" s="390">
        <v>92351</v>
      </c>
      <c r="D1293" s="390"/>
      <c r="H1293" s="300"/>
      <c r="J1293" s="387"/>
      <c r="K1293" s="300"/>
      <c r="Q1293" s="300"/>
    </row>
    <row r="1294" spans="1:17">
      <c r="A1294" s="390"/>
      <c r="B1294" s="405" t="s">
        <v>1098</v>
      </c>
      <c r="C1294" s="390">
        <v>94101</v>
      </c>
      <c r="D1294" s="390"/>
      <c r="H1294" s="300"/>
      <c r="J1294" s="387"/>
      <c r="K1294" s="300"/>
      <c r="Q1294" s="300"/>
    </row>
    <row r="1295" spans="1:17">
      <c r="A1295" s="390"/>
      <c r="B1295" s="405" t="s">
        <v>1105</v>
      </c>
      <c r="C1295" s="390">
        <v>94118</v>
      </c>
      <c r="D1295" s="390"/>
      <c r="H1295" s="300"/>
      <c r="J1295" s="387"/>
      <c r="K1295" s="300"/>
      <c r="Q1295" s="300"/>
    </row>
    <row r="1296" spans="1:17">
      <c r="A1296" s="390"/>
      <c r="B1296" s="405" t="s">
        <v>1099</v>
      </c>
      <c r="C1296" s="390">
        <v>94102</v>
      </c>
      <c r="D1296" s="390"/>
      <c r="H1296" s="300"/>
      <c r="J1296" s="388"/>
      <c r="K1296" s="300"/>
      <c r="Q1296" s="300"/>
    </row>
    <row r="1297" spans="1:17">
      <c r="A1297" s="390"/>
      <c r="B1297" s="405" t="s">
        <v>1115</v>
      </c>
      <c r="C1297" s="390">
        <v>94201</v>
      </c>
      <c r="D1297" s="390"/>
      <c r="H1297" s="300"/>
      <c r="J1297" s="387"/>
      <c r="K1297" s="300"/>
      <c r="Q1297" s="300"/>
    </row>
    <row r="1298" spans="1:17">
      <c r="A1298" s="390"/>
      <c r="B1298" s="405" t="s">
        <v>1116</v>
      </c>
      <c r="C1298" s="390">
        <v>94204</v>
      </c>
      <c r="D1298" s="390"/>
      <c r="H1298" s="300"/>
      <c r="J1298" s="387"/>
      <c r="K1298" s="300"/>
      <c r="Q1298" s="300"/>
    </row>
    <row r="1299" spans="1:17">
      <c r="A1299" s="390"/>
      <c r="B1299" s="405" t="s">
        <v>1117</v>
      </c>
      <c r="C1299" s="390">
        <v>94205</v>
      </c>
      <c r="D1299" s="390"/>
      <c r="H1299" s="300"/>
      <c r="J1299" s="388"/>
      <c r="K1299" s="300"/>
      <c r="Q1299" s="300"/>
    </row>
    <row r="1300" spans="1:17">
      <c r="A1300" s="390"/>
      <c r="B1300" s="405" t="s">
        <v>2517</v>
      </c>
      <c r="C1300" s="390">
        <v>95831</v>
      </c>
      <c r="D1300" s="390"/>
      <c r="H1300" s="300"/>
      <c r="J1300" s="387"/>
      <c r="K1300" s="300"/>
      <c r="Q1300" s="300"/>
    </row>
    <row r="1301" spans="1:17">
      <c r="A1301" s="390"/>
      <c r="B1301" s="405" t="s">
        <v>1965</v>
      </c>
      <c r="C1301" s="390">
        <v>97721</v>
      </c>
      <c r="D1301" s="390"/>
      <c r="H1301" s="300"/>
      <c r="J1301" s="387"/>
      <c r="K1301" s="300"/>
      <c r="Q1301" s="300"/>
    </row>
    <row r="1302" spans="1:17">
      <c r="A1302" s="390"/>
      <c r="B1302" s="405" t="s">
        <v>1404</v>
      </c>
      <c r="C1302" s="390">
        <v>97717</v>
      </c>
      <c r="D1302" s="390"/>
      <c r="H1302" s="300"/>
      <c r="J1302" s="387"/>
      <c r="K1302" s="300"/>
      <c r="Q1302" s="300"/>
    </row>
    <row r="1303" spans="1:17">
      <c r="A1303" s="390"/>
      <c r="B1303" s="405" t="s">
        <v>1125</v>
      </c>
      <c r="C1303" s="390">
        <v>94301</v>
      </c>
      <c r="D1303" s="390"/>
      <c r="H1303" s="300"/>
      <c r="J1303" s="387"/>
      <c r="K1303" s="300"/>
      <c r="Q1303" s="300"/>
    </row>
    <row r="1304" spans="1:17">
      <c r="A1304" s="390"/>
      <c r="B1304" s="405" t="s">
        <v>2518</v>
      </c>
      <c r="C1304" s="390">
        <v>91441</v>
      </c>
      <c r="D1304" s="390"/>
      <c r="H1304" s="300"/>
      <c r="J1304" s="387"/>
      <c r="K1304" s="300"/>
      <c r="Q1304" s="300"/>
    </row>
    <row r="1305" spans="1:17">
      <c r="A1305" s="390"/>
      <c r="B1305" s="405" t="s">
        <v>1966</v>
      </c>
      <c r="C1305" s="390">
        <v>92531</v>
      </c>
      <c r="D1305" s="390"/>
      <c r="H1305" s="300"/>
      <c r="J1305" s="387"/>
      <c r="K1305" s="300"/>
      <c r="Q1305" s="300"/>
    </row>
    <row r="1306" spans="1:17">
      <c r="A1306" s="390"/>
      <c r="B1306" s="405" t="s">
        <v>2519</v>
      </c>
      <c r="C1306" s="390">
        <v>90141</v>
      </c>
      <c r="D1306" s="390"/>
      <c r="H1306" s="300"/>
      <c r="J1306" s="387"/>
      <c r="K1306" s="300"/>
      <c r="Q1306" s="300"/>
    </row>
    <row r="1307" spans="1:17">
      <c r="A1307" s="390"/>
      <c r="B1307" s="405" t="s">
        <v>1134</v>
      </c>
      <c r="C1307" s="390">
        <v>94401</v>
      </c>
      <c r="D1307" s="390"/>
      <c r="H1307" s="300"/>
      <c r="J1307" s="387"/>
      <c r="K1307" s="300"/>
      <c r="Q1307" s="300"/>
    </row>
    <row r="1308" spans="1:17">
      <c r="A1308" s="390"/>
      <c r="B1308" s="405" t="s">
        <v>1136</v>
      </c>
      <c r="C1308" s="390">
        <v>94403</v>
      </c>
      <c r="D1308" s="390"/>
      <c r="H1308" s="300"/>
      <c r="J1308" s="388"/>
      <c r="K1308" s="300"/>
      <c r="Q1308" s="300"/>
    </row>
    <row r="1309" spans="1:17">
      <c r="A1309" s="390"/>
      <c r="B1309" s="405" t="s">
        <v>1135</v>
      </c>
      <c r="C1309" s="390">
        <v>94402</v>
      </c>
      <c r="D1309" s="390"/>
      <c r="H1309" s="300"/>
      <c r="J1309" s="387"/>
      <c r="K1309" s="300"/>
      <c r="Q1309" s="300"/>
    </row>
    <row r="1310" spans="1:17">
      <c r="A1310" s="390"/>
      <c r="B1310" s="405" t="s">
        <v>1967</v>
      </c>
      <c r="C1310" s="390">
        <v>99111</v>
      </c>
      <c r="D1310" s="390"/>
      <c r="H1310" s="300"/>
      <c r="J1310" s="387"/>
      <c r="K1310" s="300"/>
      <c r="Q1310" s="300"/>
    </row>
    <row r="1311" spans="1:17">
      <c r="A1311" s="390"/>
      <c r="B1311" s="405" t="s">
        <v>2019</v>
      </c>
      <c r="C1311" s="390">
        <v>94501</v>
      </c>
      <c r="D1311" s="390"/>
      <c r="H1311" s="300"/>
      <c r="J1311" s="388"/>
      <c r="K1311" s="300"/>
      <c r="Q1311" s="300"/>
    </row>
    <row r="1312" spans="1:17">
      <c r="A1312" s="390"/>
      <c r="B1312" s="405" t="s">
        <v>1968</v>
      </c>
      <c r="C1312" s="390">
        <v>94511</v>
      </c>
      <c r="D1312" s="390"/>
      <c r="H1312" s="300"/>
      <c r="J1312" s="387"/>
      <c r="K1312" s="300"/>
      <c r="Q1312" s="300"/>
    </row>
    <row r="1313" spans="1:17">
      <c r="A1313" s="390"/>
      <c r="B1313" s="405" t="s">
        <v>2807</v>
      </c>
      <c r="C1313" s="390">
        <v>94517</v>
      </c>
      <c r="D1313" s="390"/>
      <c r="H1313" s="300"/>
      <c r="J1313" s="387"/>
      <c r="K1313" s="300"/>
      <c r="Q1313" s="300"/>
    </row>
    <row r="1314" spans="1:17">
      <c r="A1314" s="390"/>
      <c r="B1314" s="405" t="s">
        <v>1147</v>
      </c>
      <c r="C1314" s="390">
        <v>94512</v>
      </c>
      <c r="D1314" s="390"/>
      <c r="H1314" s="300"/>
      <c r="J1314" s="387"/>
      <c r="K1314" s="300"/>
      <c r="Q1314" s="300"/>
    </row>
    <row r="1315" spans="1:17">
      <c r="A1315" s="390"/>
      <c r="B1315" s="405" t="s">
        <v>2520</v>
      </c>
      <c r="C1315" s="390">
        <v>97211</v>
      </c>
      <c r="D1315" s="390"/>
      <c r="H1315" s="300"/>
      <c r="J1315" s="387"/>
      <c r="K1315" s="300"/>
      <c r="Q1315" s="300"/>
    </row>
    <row r="1316" spans="1:17">
      <c r="A1316" s="390"/>
      <c r="B1316" s="405" t="s">
        <v>2521</v>
      </c>
      <c r="C1316" s="390">
        <v>97217</v>
      </c>
      <c r="D1316" s="390"/>
      <c r="H1316" s="300"/>
      <c r="J1316" s="387"/>
      <c r="K1316" s="300"/>
      <c r="Q1316" s="300"/>
    </row>
    <row r="1317" spans="1:17">
      <c r="A1317" s="390"/>
      <c r="B1317" s="405" t="s">
        <v>1156</v>
      </c>
      <c r="C1317" s="390">
        <v>94601</v>
      </c>
      <c r="D1317" s="390"/>
      <c r="H1317" s="300"/>
      <c r="J1317" s="387"/>
      <c r="K1317" s="300"/>
      <c r="Q1317" s="300"/>
    </row>
    <row r="1318" spans="1:17">
      <c r="A1318" s="390"/>
      <c r="B1318" s="405" t="s">
        <v>1157</v>
      </c>
      <c r="C1318" s="390">
        <v>94604</v>
      </c>
      <c r="D1318" s="390"/>
      <c r="H1318" s="300"/>
      <c r="J1318" s="387"/>
      <c r="K1318" s="300"/>
      <c r="Q1318" s="300"/>
    </row>
    <row r="1319" spans="1:17">
      <c r="A1319" s="390"/>
      <c r="B1319" s="405" t="s">
        <v>1158</v>
      </c>
      <c r="C1319" s="390">
        <v>94606</v>
      </c>
      <c r="D1319" s="390"/>
      <c r="H1319" s="300"/>
      <c r="J1319" s="387"/>
      <c r="K1319" s="300"/>
      <c r="Q1319" s="300"/>
    </row>
    <row r="1320" spans="1:17">
      <c r="A1320" s="390"/>
      <c r="B1320" s="405" t="s">
        <v>2763</v>
      </c>
      <c r="C1320" s="390">
        <v>97213</v>
      </c>
      <c r="D1320" s="390"/>
      <c r="H1320" s="300"/>
      <c r="J1320" s="388"/>
      <c r="K1320" s="300"/>
      <c r="Q1320" s="300"/>
    </row>
    <row r="1321" spans="1:17">
      <c r="A1321" s="390"/>
      <c r="B1321" s="405" t="s">
        <v>1969</v>
      </c>
      <c r="C1321" s="390">
        <v>91811</v>
      </c>
      <c r="D1321" s="390"/>
      <c r="H1321" s="300"/>
      <c r="J1321" s="387"/>
      <c r="K1321" s="300"/>
      <c r="Q1321" s="300"/>
    </row>
    <row r="1322" spans="1:17">
      <c r="A1322" s="390"/>
      <c r="B1322" s="405" t="s">
        <v>2751</v>
      </c>
      <c r="C1322" s="390">
        <v>91812</v>
      </c>
      <c r="D1322" s="390"/>
      <c r="H1322" s="300"/>
      <c r="J1322" s="387"/>
      <c r="K1322" s="300"/>
      <c r="Q1322" s="300"/>
    </row>
    <row r="1323" spans="1:17">
      <c r="A1323" s="390"/>
      <c r="B1323" s="405" t="s">
        <v>901</v>
      </c>
      <c r="C1323" s="390">
        <v>91813</v>
      </c>
      <c r="D1323" s="390"/>
      <c r="H1323" s="300"/>
      <c r="J1323" s="388"/>
      <c r="K1323" s="300"/>
      <c r="Q1323" s="300"/>
    </row>
    <row r="1324" spans="1:17">
      <c r="A1324" s="390"/>
      <c r="B1324" s="405" t="s">
        <v>766</v>
      </c>
      <c r="C1324" s="390">
        <v>90617</v>
      </c>
      <c r="D1324" s="390"/>
      <c r="H1324" s="300"/>
      <c r="J1324" s="387"/>
      <c r="K1324" s="300"/>
      <c r="Q1324" s="300"/>
    </row>
    <row r="1325" spans="1:17">
      <c r="A1325" s="390"/>
      <c r="B1325" s="405" t="s">
        <v>1970</v>
      </c>
      <c r="C1325" s="390">
        <v>94121</v>
      </c>
      <c r="D1325" s="390"/>
      <c r="H1325" s="300"/>
      <c r="J1325" s="387"/>
      <c r="K1325" s="300"/>
      <c r="Q1325" s="300"/>
    </row>
    <row r="1326" spans="1:17">
      <c r="A1326" s="390"/>
      <c r="B1326" s="405" t="s">
        <v>2806</v>
      </c>
      <c r="C1326" s="390">
        <v>94127</v>
      </c>
      <c r="D1326" s="390"/>
      <c r="H1326" s="300"/>
      <c r="J1326" s="387"/>
      <c r="K1326" s="300"/>
      <c r="Q1326" s="300"/>
    </row>
    <row r="1327" spans="1:17">
      <c r="A1327" s="390"/>
      <c r="B1327" s="405" t="s">
        <v>2522</v>
      </c>
      <c r="C1327" s="390">
        <v>95621</v>
      </c>
      <c r="D1327" s="390"/>
      <c r="H1327" s="300"/>
      <c r="J1327" s="387"/>
      <c r="K1327" s="300"/>
      <c r="Q1327" s="300"/>
    </row>
    <row r="1328" spans="1:17">
      <c r="A1328" s="390"/>
      <c r="B1328" s="405" t="s">
        <v>1228</v>
      </c>
      <c r="C1328" s="390">
        <v>95617</v>
      </c>
      <c r="D1328" s="390"/>
      <c r="H1328" s="300"/>
      <c r="J1328" s="387"/>
      <c r="K1328" s="300"/>
      <c r="Q1328" s="300"/>
    </row>
    <row r="1329" spans="1:17">
      <c r="A1329" s="390"/>
      <c r="B1329" s="405" t="s">
        <v>2523</v>
      </c>
      <c r="C1329" s="390">
        <v>91251</v>
      </c>
      <c r="D1329" s="390"/>
      <c r="H1329" s="300"/>
      <c r="J1329" s="388"/>
      <c r="K1329" s="300"/>
      <c r="Q1329" s="300"/>
    </row>
    <row r="1330" spans="1:17">
      <c r="A1330" s="390"/>
      <c r="B1330" s="405" t="s">
        <v>2524</v>
      </c>
      <c r="C1330" s="390">
        <v>96831</v>
      </c>
      <c r="D1330" s="390"/>
      <c r="H1330" s="300"/>
      <c r="J1330" s="387"/>
      <c r="K1330" s="300"/>
      <c r="Q1330" s="300"/>
    </row>
    <row r="1331" spans="1:17">
      <c r="A1331" s="390"/>
      <c r="B1331" s="405" t="s">
        <v>2525</v>
      </c>
      <c r="C1331" s="390">
        <v>94251</v>
      </c>
      <c r="D1331" s="390"/>
      <c r="H1331" s="300"/>
      <c r="J1331" s="387"/>
      <c r="K1331" s="300"/>
      <c r="Q1331" s="300"/>
    </row>
    <row r="1332" spans="1:17">
      <c r="A1332" s="390"/>
      <c r="B1332" s="405" t="s">
        <v>1163</v>
      </c>
      <c r="C1332" s="390">
        <v>94701</v>
      </c>
      <c r="D1332" s="390"/>
      <c r="H1332" s="300"/>
      <c r="J1332" s="387"/>
      <c r="K1332" s="300"/>
      <c r="Q1332" s="300"/>
    </row>
    <row r="1333" spans="1:17">
      <c r="A1333" s="390"/>
      <c r="B1333" s="405" t="s">
        <v>1164</v>
      </c>
      <c r="C1333" s="390">
        <v>94704</v>
      </c>
      <c r="D1333" s="390"/>
      <c r="H1333" s="300"/>
      <c r="J1333" s="387"/>
      <c r="K1333" s="300"/>
      <c r="Q1333" s="300"/>
    </row>
    <row r="1334" spans="1:17">
      <c r="A1334" s="390"/>
      <c r="B1334" s="405" t="s">
        <v>2526</v>
      </c>
      <c r="C1334" s="390">
        <v>91014</v>
      </c>
      <c r="D1334" s="390"/>
      <c r="H1334" s="300"/>
      <c r="J1334" s="387"/>
      <c r="K1334" s="300"/>
      <c r="Q1334" s="300"/>
    </row>
    <row r="1335" spans="1:17">
      <c r="A1335" s="390"/>
      <c r="B1335" s="405" t="s">
        <v>2527</v>
      </c>
      <c r="C1335" s="390">
        <v>96731</v>
      </c>
      <c r="D1335" s="390"/>
      <c r="H1335" s="300"/>
      <c r="J1335" s="387"/>
      <c r="K1335" s="300"/>
      <c r="Q1335" s="300"/>
    </row>
    <row r="1336" spans="1:17">
      <c r="A1336" s="390"/>
      <c r="B1336" s="405" t="s">
        <v>1329</v>
      </c>
      <c r="C1336" s="390">
        <v>96733</v>
      </c>
      <c r="D1336" s="390"/>
      <c r="H1336" s="300"/>
      <c r="J1336" s="387"/>
      <c r="K1336" s="300"/>
      <c r="Q1336" s="300"/>
    </row>
    <row r="1337" spans="1:17">
      <c r="A1337" s="390"/>
      <c r="B1337" s="405" t="s">
        <v>2528</v>
      </c>
      <c r="C1337" s="390">
        <v>99202</v>
      </c>
      <c r="D1337" s="390"/>
      <c r="H1337" s="300"/>
      <c r="J1337" s="387"/>
      <c r="K1337" s="300"/>
      <c r="Q1337" s="300"/>
    </row>
    <row r="1338" spans="1:17">
      <c r="A1338" s="390"/>
      <c r="B1338" s="405" t="s">
        <v>2529</v>
      </c>
      <c r="C1338" s="390">
        <v>94011</v>
      </c>
      <c r="D1338" s="390"/>
      <c r="H1338" s="300"/>
      <c r="J1338" s="388"/>
      <c r="K1338" s="300"/>
      <c r="Q1338" s="300"/>
    </row>
    <row r="1339" spans="1:17">
      <c r="A1339" s="390"/>
      <c r="B1339" s="405" t="s">
        <v>2530</v>
      </c>
      <c r="C1339" s="390">
        <v>92631</v>
      </c>
      <c r="D1339" s="390"/>
      <c r="H1339" s="300"/>
      <c r="J1339" s="387"/>
      <c r="K1339" s="300"/>
      <c r="Q1339" s="300"/>
    </row>
    <row r="1340" spans="1:17">
      <c r="A1340" s="390"/>
      <c r="B1340" s="405" t="s">
        <v>1233</v>
      </c>
      <c r="C1340" s="390">
        <v>95733</v>
      </c>
      <c r="D1340" s="390"/>
      <c r="H1340" s="300"/>
      <c r="J1340" s="387"/>
      <c r="K1340" s="300"/>
      <c r="Q1340" s="300"/>
    </row>
    <row r="1341" spans="1:17">
      <c r="A1341" s="390"/>
      <c r="B1341" s="405" t="s">
        <v>2531</v>
      </c>
      <c r="C1341" s="390">
        <v>91431</v>
      </c>
      <c r="D1341" s="390"/>
      <c r="H1341" s="300"/>
      <c r="J1341" s="388"/>
      <c r="K1341" s="300"/>
      <c r="Q1341" s="300"/>
    </row>
    <row r="1342" spans="1:17">
      <c r="A1342" s="390"/>
      <c r="B1342" s="405" t="s">
        <v>2532</v>
      </c>
      <c r="C1342" s="390">
        <v>96041</v>
      </c>
      <c r="D1342" s="390"/>
      <c r="H1342" s="300"/>
      <c r="J1342" s="387"/>
      <c r="K1342" s="300"/>
      <c r="Q1342" s="300"/>
    </row>
    <row r="1343" spans="1:17">
      <c r="A1343" s="390"/>
      <c r="B1343" s="405" t="s">
        <v>1166</v>
      </c>
      <c r="C1343" s="390">
        <v>94801</v>
      </c>
      <c r="D1343" s="390"/>
      <c r="H1343" s="300"/>
      <c r="J1343" s="387"/>
      <c r="K1343" s="300"/>
      <c r="Q1343" s="300"/>
    </row>
    <row r="1344" spans="1:17">
      <c r="A1344" s="390"/>
      <c r="B1344" s="405" t="s">
        <v>1167</v>
      </c>
      <c r="C1344" s="390">
        <v>94804</v>
      </c>
      <c r="D1344" s="390"/>
      <c r="H1344" s="300"/>
      <c r="J1344" s="387"/>
      <c r="K1344" s="300"/>
      <c r="Q1344" s="300"/>
    </row>
    <row r="1345" spans="1:17">
      <c r="A1345" s="390"/>
      <c r="B1345" s="405" t="s">
        <v>2533</v>
      </c>
      <c r="C1345" s="390">
        <v>91661</v>
      </c>
      <c r="D1345" s="390"/>
      <c r="H1345" s="300"/>
      <c r="J1345" s="387"/>
      <c r="K1345" s="300"/>
      <c r="Q1345" s="300"/>
    </row>
    <row r="1346" spans="1:17">
      <c r="A1346" s="390"/>
      <c r="B1346" s="405" t="s">
        <v>2534</v>
      </c>
      <c r="C1346" s="390">
        <v>99051</v>
      </c>
      <c r="D1346" s="390"/>
      <c r="H1346" s="300"/>
      <c r="J1346" s="387"/>
      <c r="K1346" s="300"/>
      <c r="Q1346" s="300"/>
    </row>
    <row r="1347" spans="1:17">
      <c r="A1347" s="390"/>
      <c r="B1347" s="405" t="s">
        <v>1521</v>
      </c>
      <c r="C1347" s="390">
        <v>99014</v>
      </c>
      <c r="D1347" s="390"/>
      <c r="H1347" s="300"/>
      <c r="J1347" s="387"/>
      <c r="K1347" s="300"/>
      <c r="Q1347" s="300"/>
    </row>
    <row r="1348" spans="1:17">
      <c r="A1348" s="390"/>
      <c r="B1348" s="405" t="s">
        <v>1169</v>
      </c>
      <c r="C1348" s="390">
        <v>94901</v>
      </c>
      <c r="D1348" s="390"/>
      <c r="H1348" s="300"/>
      <c r="J1348" s="387"/>
      <c r="K1348" s="300"/>
      <c r="Q1348" s="300"/>
    </row>
    <row r="1349" spans="1:17">
      <c r="A1349" s="390"/>
      <c r="B1349" s="405" t="s">
        <v>1458</v>
      </c>
      <c r="C1349" s="390">
        <v>98109</v>
      </c>
      <c r="D1349" s="390"/>
      <c r="H1349" s="300"/>
      <c r="J1349" s="387"/>
      <c r="K1349" s="300"/>
      <c r="Q1349" s="300"/>
    </row>
    <row r="1350" spans="1:17">
      <c r="A1350" s="390"/>
      <c r="B1350" s="405" t="s">
        <v>2802</v>
      </c>
      <c r="C1350" s="390">
        <v>98205</v>
      </c>
      <c r="D1350" s="390"/>
      <c r="H1350" s="300"/>
      <c r="J1350" s="388"/>
      <c r="K1350" s="300"/>
      <c r="Q1350" s="300"/>
    </row>
    <row r="1351" spans="1:17">
      <c r="A1351" s="390"/>
      <c r="B1351" s="405" t="s">
        <v>2535</v>
      </c>
      <c r="C1351" s="390">
        <v>96661</v>
      </c>
      <c r="D1351" s="390"/>
      <c r="H1351" s="300"/>
      <c r="J1351" s="387"/>
      <c r="K1351" s="300"/>
      <c r="Q1351" s="300"/>
    </row>
    <row r="1352" spans="1:17">
      <c r="A1352" s="390"/>
      <c r="B1352" s="405" t="s">
        <v>1178</v>
      </c>
      <c r="C1352" s="390">
        <v>95001</v>
      </c>
      <c r="D1352" s="390"/>
      <c r="H1352" s="300"/>
      <c r="J1352" s="387"/>
      <c r="K1352" s="300"/>
      <c r="Q1352" s="300"/>
    </row>
    <row r="1353" spans="1:17">
      <c r="A1353" s="390"/>
      <c r="B1353" s="405" t="s">
        <v>1184</v>
      </c>
      <c r="C1353" s="390">
        <v>95017</v>
      </c>
      <c r="D1353" s="390"/>
      <c r="H1353" s="300"/>
      <c r="J1353" s="388"/>
      <c r="K1353" s="300"/>
      <c r="Q1353" s="300"/>
    </row>
    <row r="1354" spans="1:17">
      <c r="A1354" s="390"/>
      <c r="B1354" s="405" t="s">
        <v>1971</v>
      </c>
      <c r="C1354" s="390">
        <v>96711</v>
      </c>
      <c r="D1354" s="390"/>
      <c r="H1354" s="300"/>
      <c r="J1354" s="387"/>
      <c r="K1354" s="300"/>
      <c r="Q1354" s="300"/>
    </row>
    <row r="1355" spans="1:17">
      <c r="A1355" s="390"/>
      <c r="B1355" s="405" t="s">
        <v>2536</v>
      </c>
      <c r="C1355" s="390">
        <v>94131</v>
      </c>
      <c r="D1355" s="390"/>
      <c r="H1355" s="300"/>
      <c r="J1355" s="387"/>
      <c r="K1355" s="300"/>
      <c r="Q1355" s="300"/>
    </row>
    <row r="1356" spans="1:17">
      <c r="A1356" s="390"/>
      <c r="B1356" s="405" t="s">
        <v>2537</v>
      </c>
      <c r="C1356" s="390">
        <v>95841</v>
      </c>
      <c r="D1356" s="390"/>
      <c r="H1356" s="300"/>
      <c r="J1356" s="387"/>
      <c r="K1356" s="300"/>
      <c r="Q1356" s="300"/>
    </row>
    <row r="1357" spans="1:17">
      <c r="A1357" s="390"/>
      <c r="B1357" s="405" t="s">
        <v>2538</v>
      </c>
      <c r="C1357" s="390">
        <v>90511</v>
      </c>
      <c r="D1357" s="390"/>
      <c r="H1357" s="300"/>
      <c r="J1357" s="387"/>
      <c r="K1357" s="300"/>
      <c r="Q1357" s="300"/>
    </row>
    <row r="1358" spans="1:17">
      <c r="A1358" s="390"/>
      <c r="B1358" s="405" t="s">
        <v>1185</v>
      </c>
      <c r="C1358" s="390">
        <v>95101</v>
      </c>
      <c r="D1358" s="390"/>
      <c r="H1358" s="300"/>
      <c r="J1358" s="387"/>
      <c r="K1358" s="300"/>
      <c r="Q1358" s="300"/>
    </row>
    <row r="1359" spans="1:17">
      <c r="A1359" s="390"/>
      <c r="B1359" s="405" t="s">
        <v>1187</v>
      </c>
      <c r="C1359" s="390">
        <v>95104</v>
      </c>
      <c r="D1359" s="390"/>
      <c r="H1359" s="300"/>
      <c r="J1359" s="387"/>
      <c r="K1359" s="300"/>
      <c r="Q1359" s="300"/>
    </row>
    <row r="1360" spans="1:17">
      <c r="A1360" s="390"/>
      <c r="B1360" s="405" t="s">
        <v>1190</v>
      </c>
      <c r="C1360" s="390">
        <v>95110</v>
      </c>
      <c r="D1360" s="390"/>
      <c r="H1360" s="300"/>
      <c r="J1360" s="387"/>
      <c r="K1360" s="300"/>
      <c r="Q1360" s="300"/>
    </row>
    <row r="1361" spans="1:17">
      <c r="A1361" s="390"/>
      <c r="B1361" s="405" t="s">
        <v>1203</v>
      </c>
      <c r="C1361" s="390">
        <v>95201</v>
      </c>
      <c r="D1361" s="390"/>
      <c r="H1361" s="300"/>
      <c r="J1361" s="387"/>
      <c r="K1361" s="300"/>
      <c r="Q1361" s="300"/>
    </row>
    <row r="1362" spans="1:17">
      <c r="A1362" s="390"/>
      <c r="B1362" s="405" t="s">
        <v>1204</v>
      </c>
      <c r="C1362" s="390">
        <v>95204</v>
      </c>
      <c r="D1362" s="390"/>
      <c r="H1362" s="300"/>
      <c r="J1362" s="388"/>
      <c r="K1362" s="300"/>
      <c r="Q1362" s="300"/>
    </row>
    <row r="1363" spans="1:17">
      <c r="A1363" s="390"/>
      <c r="B1363" s="405" t="s">
        <v>2539</v>
      </c>
      <c r="C1363" s="390">
        <v>99921</v>
      </c>
      <c r="D1363" s="390"/>
      <c r="H1363" s="300"/>
      <c r="J1363" s="387"/>
      <c r="K1363" s="300"/>
      <c r="Q1363" s="300"/>
    </row>
    <row r="1364" spans="1:17">
      <c r="A1364" s="390"/>
      <c r="B1364" s="405" t="s">
        <v>1137</v>
      </c>
      <c r="C1364" s="390">
        <v>94408</v>
      </c>
      <c r="D1364" s="390"/>
      <c r="H1364" s="300"/>
      <c r="J1364" s="387"/>
      <c r="K1364" s="300"/>
      <c r="Q1364" s="300"/>
    </row>
    <row r="1365" spans="1:17">
      <c r="A1365" s="390"/>
      <c r="B1365" s="405" t="s">
        <v>1972</v>
      </c>
      <c r="C1365" s="390">
        <v>91331</v>
      </c>
      <c r="D1365" s="390"/>
      <c r="H1365" s="300"/>
      <c r="J1365" s="388"/>
      <c r="K1365" s="300"/>
      <c r="Q1365" s="300"/>
    </row>
    <row r="1366" spans="1:17">
      <c r="A1366" s="390"/>
      <c r="B1366" s="405" t="s">
        <v>2540</v>
      </c>
      <c r="C1366" s="390">
        <v>93121</v>
      </c>
      <c r="D1366" s="390"/>
      <c r="H1366" s="300"/>
      <c r="J1366" s="387"/>
      <c r="K1366" s="300"/>
      <c r="Q1366" s="300"/>
    </row>
    <row r="1367" spans="1:17">
      <c r="A1367" s="390"/>
      <c r="B1367" s="405" t="s">
        <v>1007</v>
      </c>
      <c r="C1367" s="390">
        <v>93127</v>
      </c>
      <c r="D1367" s="390"/>
      <c r="H1367" s="300"/>
      <c r="J1367" s="387"/>
      <c r="K1367" s="300"/>
      <c r="Q1367" s="300"/>
    </row>
    <row r="1368" spans="1:17">
      <c r="A1368" s="390"/>
      <c r="B1368" s="405" t="s">
        <v>2541</v>
      </c>
      <c r="C1368" s="390">
        <v>95171</v>
      </c>
      <c r="D1368" s="390"/>
      <c r="H1368" s="300"/>
      <c r="J1368" s="387"/>
      <c r="K1368" s="300"/>
      <c r="Q1368" s="300"/>
    </row>
    <row r="1369" spans="1:17">
      <c r="A1369" s="390"/>
      <c r="B1369" s="405" t="s">
        <v>2542</v>
      </c>
      <c r="C1369" s="390">
        <v>93421</v>
      </c>
      <c r="D1369" s="390"/>
      <c r="H1369" s="300"/>
      <c r="J1369" s="387"/>
      <c r="K1369" s="300"/>
      <c r="Q1369" s="300"/>
    </row>
    <row r="1370" spans="1:17">
      <c r="A1370" s="390"/>
      <c r="B1370" s="405" t="s">
        <v>1535</v>
      </c>
      <c r="C1370" s="390">
        <v>99110</v>
      </c>
      <c r="D1370" s="390"/>
      <c r="H1370" s="300"/>
      <c r="J1370" s="387"/>
      <c r="K1370" s="300"/>
      <c r="Q1370" s="300"/>
    </row>
    <row r="1371" spans="1:17">
      <c r="A1371" s="390"/>
      <c r="B1371" s="405" t="s">
        <v>2801</v>
      </c>
      <c r="C1371" s="390">
        <v>99109</v>
      </c>
      <c r="D1371" s="390"/>
      <c r="H1371" s="300"/>
      <c r="J1371" s="387"/>
      <c r="K1371" s="300"/>
      <c r="Q1371" s="300"/>
    </row>
    <row r="1372" spans="1:17">
      <c r="A1372" s="390"/>
      <c r="B1372" s="405" t="s">
        <v>2543</v>
      </c>
      <c r="C1372" s="390">
        <v>92821</v>
      </c>
      <c r="D1372" s="390"/>
      <c r="H1372" s="300"/>
      <c r="J1372" s="387"/>
      <c r="K1372" s="300"/>
      <c r="Q1372" s="300"/>
    </row>
    <row r="1373" spans="1:17">
      <c r="A1373" s="390"/>
      <c r="B1373" s="405" t="s">
        <v>2544</v>
      </c>
      <c r="C1373" s="390">
        <v>98521</v>
      </c>
      <c r="D1373" s="390"/>
      <c r="H1373" s="300"/>
      <c r="J1373" s="387"/>
      <c r="K1373" s="300"/>
      <c r="Q1373" s="300"/>
    </row>
    <row r="1374" spans="1:17">
      <c r="A1374" s="390"/>
      <c r="B1374" s="405" t="s">
        <v>1973</v>
      </c>
      <c r="C1374" s="390">
        <v>92321</v>
      </c>
      <c r="D1374" s="390"/>
      <c r="H1374" s="300"/>
      <c r="J1374" s="388"/>
      <c r="K1374" s="300"/>
      <c r="Q1374" s="300"/>
    </row>
    <row r="1375" spans="1:17">
      <c r="A1375" s="390"/>
      <c r="B1375" s="405" t="s">
        <v>934</v>
      </c>
      <c r="C1375" s="390">
        <v>92327</v>
      </c>
      <c r="D1375" s="393"/>
      <c r="H1375" s="300"/>
      <c r="J1375" s="387"/>
      <c r="K1375" s="300"/>
      <c r="Q1375" s="300"/>
    </row>
    <row r="1376" spans="1:17">
      <c r="A1376" s="390"/>
      <c r="B1376" s="405" t="s">
        <v>1974</v>
      </c>
      <c r="C1376" s="390">
        <v>95411</v>
      </c>
      <c r="D1376" s="390"/>
      <c r="H1376" s="300"/>
      <c r="J1376" s="387"/>
      <c r="K1376" s="300"/>
      <c r="Q1376" s="300"/>
    </row>
    <row r="1377" spans="1:17">
      <c r="A1377" s="390"/>
      <c r="B1377" s="405" t="s">
        <v>2805</v>
      </c>
      <c r="C1377" s="390">
        <v>95413</v>
      </c>
      <c r="D1377" s="390"/>
      <c r="H1377" s="300"/>
      <c r="J1377" s="388"/>
      <c r="K1377" s="300"/>
      <c r="Q1377" s="300"/>
    </row>
    <row r="1378" spans="1:17">
      <c r="A1378" s="390"/>
      <c r="B1378" s="405" t="s">
        <v>2800</v>
      </c>
      <c r="C1378" s="390">
        <v>95415</v>
      </c>
      <c r="D1378" s="390"/>
      <c r="H1378" s="300"/>
      <c r="J1378" s="387"/>
      <c r="K1378" s="300"/>
      <c r="Q1378" s="300"/>
    </row>
    <row r="1379" spans="1:17">
      <c r="A1379" s="390"/>
      <c r="B1379" s="405" t="s">
        <v>2545</v>
      </c>
      <c r="C1379" s="390">
        <v>92851</v>
      </c>
      <c r="D1379" s="390"/>
      <c r="H1379" s="300"/>
      <c r="J1379" s="387"/>
      <c r="K1379" s="300"/>
      <c r="Q1379" s="300"/>
    </row>
    <row r="1380" spans="1:17">
      <c r="A1380" s="390"/>
      <c r="B1380" s="405" t="s">
        <v>2546</v>
      </c>
      <c r="C1380" s="390">
        <v>99291</v>
      </c>
      <c r="D1380" s="390"/>
      <c r="H1380" s="300"/>
      <c r="J1380" s="387"/>
      <c r="K1380" s="300"/>
      <c r="Q1380" s="300"/>
    </row>
    <row r="1381" spans="1:17">
      <c r="A1381" s="390"/>
      <c r="B1381" s="405" t="s">
        <v>2547</v>
      </c>
      <c r="C1381" s="390">
        <v>96541</v>
      </c>
      <c r="D1381" s="390"/>
      <c r="H1381" s="300"/>
      <c r="J1381" s="387"/>
      <c r="K1381" s="300"/>
      <c r="Q1381" s="300"/>
    </row>
    <row r="1382" spans="1:17">
      <c r="A1382" s="390"/>
      <c r="B1382" s="405" t="s">
        <v>2548</v>
      </c>
      <c r="C1382" s="390">
        <v>95431</v>
      </c>
      <c r="D1382" s="390"/>
      <c r="H1382" s="300"/>
      <c r="J1382" s="387"/>
      <c r="K1382" s="300"/>
      <c r="Q1382" s="300"/>
    </row>
    <row r="1383" spans="1:17">
      <c r="A1383" s="390"/>
      <c r="B1383" s="405" t="s">
        <v>2549</v>
      </c>
      <c r="C1383" s="390">
        <v>98131</v>
      </c>
      <c r="D1383" s="390"/>
      <c r="H1383" s="300"/>
      <c r="J1383" s="387"/>
      <c r="K1383" s="300"/>
      <c r="Q1383" s="300"/>
    </row>
    <row r="1384" spans="1:17">
      <c r="A1384" s="390"/>
      <c r="B1384" s="405" t="s">
        <v>2550</v>
      </c>
      <c r="C1384" s="390">
        <v>92461</v>
      </c>
      <c r="D1384" s="390"/>
      <c r="H1384" s="300"/>
      <c r="J1384" s="387"/>
      <c r="K1384" s="300"/>
      <c r="Q1384" s="300"/>
    </row>
    <row r="1385" spans="1:17">
      <c r="A1385" s="390"/>
      <c r="B1385" s="405" t="s">
        <v>943</v>
      </c>
      <c r="C1385" s="390">
        <v>92427</v>
      </c>
      <c r="D1385" s="390"/>
      <c r="H1385" s="300"/>
      <c r="J1385" s="387"/>
      <c r="K1385" s="300"/>
      <c r="Q1385" s="300"/>
    </row>
    <row r="1386" spans="1:17">
      <c r="A1386" s="390"/>
      <c r="B1386" s="405" t="s">
        <v>2551</v>
      </c>
      <c r="C1386" s="390">
        <v>98051</v>
      </c>
      <c r="D1386" s="390"/>
      <c r="H1386" s="300"/>
      <c r="J1386" s="388"/>
      <c r="K1386" s="300"/>
      <c r="Q1386" s="300"/>
    </row>
    <row r="1387" spans="1:17">
      <c r="A1387" s="390"/>
      <c r="B1387" s="405" t="s">
        <v>826</v>
      </c>
      <c r="C1387" s="390">
        <v>91102</v>
      </c>
      <c r="D1387" s="390"/>
      <c r="H1387" s="300"/>
      <c r="J1387" s="387"/>
      <c r="K1387" s="300"/>
      <c r="Q1387" s="300"/>
    </row>
    <row r="1388" spans="1:17">
      <c r="A1388" s="390"/>
      <c r="B1388" s="405" t="s">
        <v>2552</v>
      </c>
      <c r="C1388" s="390">
        <v>94521</v>
      </c>
      <c r="D1388" s="390"/>
      <c r="H1388" s="300"/>
      <c r="J1388" s="387"/>
      <c r="K1388" s="300"/>
      <c r="Q1388" s="300"/>
    </row>
    <row r="1389" spans="1:17">
      <c r="A1389" s="390"/>
      <c r="B1389" s="405" t="s">
        <v>1150</v>
      </c>
      <c r="C1389" s="390">
        <v>94527</v>
      </c>
      <c r="D1389" s="390"/>
      <c r="H1389" s="300"/>
      <c r="J1389" s="388"/>
      <c r="K1389" s="300"/>
      <c r="Q1389" s="300"/>
    </row>
    <row r="1390" spans="1:17">
      <c r="A1390" s="390"/>
      <c r="B1390" s="405" t="s">
        <v>1975</v>
      </c>
      <c r="C1390" s="390">
        <v>98311</v>
      </c>
      <c r="D1390" s="390"/>
      <c r="H1390" s="300"/>
      <c r="J1390" s="387"/>
      <c r="K1390" s="300"/>
      <c r="Q1390" s="300"/>
    </row>
    <row r="1391" spans="1:17">
      <c r="A1391" s="390"/>
      <c r="B1391" s="405" t="s">
        <v>1481</v>
      </c>
      <c r="C1391" s="390">
        <v>98313</v>
      </c>
      <c r="D1391" s="390"/>
      <c r="H1391" s="300"/>
      <c r="J1391" s="387"/>
      <c r="K1391" s="300"/>
      <c r="Q1391" s="300"/>
    </row>
    <row r="1392" spans="1:17">
      <c r="A1392" s="390"/>
      <c r="B1392" s="405" t="s">
        <v>1479</v>
      </c>
      <c r="C1392" s="390">
        <v>98308</v>
      </c>
      <c r="D1392" s="390"/>
      <c r="H1392" s="300"/>
      <c r="J1392" s="387"/>
      <c r="K1392" s="300"/>
      <c r="Q1392" s="300"/>
    </row>
    <row r="1393" spans="1:17">
      <c r="A1393" s="390"/>
      <c r="B1393" s="405" t="s">
        <v>2553</v>
      </c>
      <c r="C1393" s="390">
        <v>92341</v>
      </c>
      <c r="D1393" s="390"/>
      <c r="H1393" s="300"/>
      <c r="J1393" s="387"/>
      <c r="K1393" s="300"/>
      <c r="Q1393" s="300"/>
    </row>
    <row r="1394" spans="1:17">
      <c r="A1394" s="390"/>
      <c r="B1394" s="405" t="s">
        <v>1208</v>
      </c>
      <c r="C1394" s="390">
        <v>95301</v>
      </c>
      <c r="D1394" s="390"/>
      <c r="H1394" s="300"/>
      <c r="J1394" s="387"/>
      <c r="K1394" s="300"/>
      <c r="Q1394" s="300"/>
    </row>
    <row r="1395" spans="1:17">
      <c r="A1395" s="390"/>
      <c r="B1395" s="405" t="s">
        <v>2554</v>
      </c>
      <c r="C1395" s="390">
        <v>91002</v>
      </c>
      <c r="D1395" s="390"/>
      <c r="H1395" s="300"/>
      <c r="J1395" s="387"/>
      <c r="K1395" s="300"/>
      <c r="Q1395" s="300"/>
    </row>
    <row r="1396" spans="1:17">
      <c r="A1396" s="390"/>
      <c r="B1396" s="405" t="s">
        <v>1976</v>
      </c>
      <c r="C1396" s="390">
        <v>91451</v>
      </c>
      <c r="D1396" s="390"/>
      <c r="H1396" s="300"/>
      <c r="J1396" s="387"/>
      <c r="K1396" s="300"/>
      <c r="Q1396" s="300"/>
    </row>
    <row r="1397" spans="1:17">
      <c r="A1397" s="390"/>
      <c r="B1397" s="405" t="s">
        <v>2799</v>
      </c>
      <c r="C1397" s="390">
        <v>91457</v>
      </c>
      <c r="D1397" s="390"/>
      <c r="H1397" s="300"/>
      <c r="J1397" s="387"/>
      <c r="K1397" s="300"/>
      <c r="Q1397" s="300"/>
    </row>
    <row r="1398" spans="1:17">
      <c r="A1398" s="390"/>
      <c r="B1398" s="405" t="s">
        <v>1212</v>
      </c>
      <c r="C1398" s="390">
        <v>95401</v>
      </c>
      <c r="D1398" s="390"/>
      <c r="H1398" s="300"/>
      <c r="J1398" s="388"/>
      <c r="K1398" s="300"/>
      <c r="Q1398" s="300"/>
    </row>
    <row r="1399" spans="1:17">
      <c r="A1399" s="390"/>
      <c r="B1399" s="405" t="s">
        <v>1213</v>
      </c>
      <c r="C1399" s="390">
        <v>95404</v>
      </c>
      <c r="D1399" s="390"/>
      <c r="H1399" s="300"/>
      <c r="J1399" s="387"/>
      <c r="K1399" s="300"/>
      <c r="Q1399" s="300"/>
    </row>
    <row r="1400" spans="1:17">
      <c r="A1400" s="390"/>
      <c r="B1400" s="405" t="s">
        <v>872</v>
      </c>
      <c r="C1400" s="390">
        <v>91423</v>
      </c>
      <c r="D1400" s="390"/>
      <c r="H1400" s="300"/>
      <c r="J1400" s="387"/>
      <c r="K1400" s="300"/>
      <c r="Q1400" s="300"/>
    </row>
    <row r="1401" spans="1:17">
      <c r="A1401" s="390"/>
      <c r="B1401" s="405" t="s">
        <v>2555</v>
      </c>
      <c r="C1401" s="390">
        <v>90861</v>
      </c>
      <c r="D1401" s="390"/>
      <c r="H1401" s="300"/>
      <c r="J1401" s="388"/>
      <c r="K1401" s="300"/>
      <c r="Q1401" s="300"/>
    </row>
    <row r="1402" spans="1:17">
      <c r="A1402" s="390"/>
      <c r="B1402" s="405" t="s">
        <v>2556</v>
      </c>
      <c r="C1402" s="390">
        <v>93451</v>
      </c>
      <c r="D1402" s="390"/>
      <c r="H1402" s="300"/>
      <c r="J1402" s="387"/>
      <c r="K1402" s="300"/>
      <c r="Q1402" s="300"/>
    </row>
    <row r="1403" spans="1:17">
      <c r="A1403" s="390"/>
      <c r="B1403" s="405" t="s">
        <v>1977</v>
      </c>
      <c r="C1403" s="390">
        <v>92931</v>
      </c>
      <c r="D1403" s="390"/>
      <c r="H1403" s="300"/>
      <c r="J1403" s="387"/>
      <c r="K1403" s="300"/>
      <c r="Q1403" s="300"/>
    </row>
    <row r="1404" spans="1:17">
      <c r="A1404" s="390"/>
      <c r="B1404" s="405" t="s">
        <v>994</v>
      </c>
      <c r="C1404" s="390">
        <v>92917</v>
      </c>
      <c r="D1404" s="390"/>
      <c r="H1404" s="300"/>
      <c r="J1404" s="387"/>
      <c r="K1404" s="300"/>
      <c r="Q1404" s="300"/>
    </row>
    <row r="1405" spans="1:17">
      <c r="A1405" s="390"/>
      <c r="B1405" s="405" t="s">
        <v>2557</v>
      </c>
      <c r="C1405" s="390">
        <v>97631</v>
      </c>
      <c r="D1405" s="390"/>
      <c r="H1405" s="300"/>
      <c r="J1405" s="387"/>
      <c r="K1405" s="300"/>
      <c r="Q1405" s="300"/>
    </row>
    <row r="1406" spans="1:17">
      <c r="A1406" s="390"/>
      <c r="B1406" s="405" t="s">
        <v>1396</v>
      </c>
      <c r="C1406" s="390">
        <v>97637</v>
      </c>
      <c r="D1406" s="390"/>
      <c r="H1406" s="300"/>
      <c r="J1406" s="387"/>
      <c r="K1406" s="300"/>
      <c r="Q1406" s="300"/>
    </row>
    <row r="1407" spans="1:17">
      <c r="A1407" s="390"/>
      <c r="B1407" s="405" t="s">
        <v>2558</v>
      </c>
      <c r="C1407" s="390">
        <v>90421</v>
      </c>
      <c r="D1407" s="390"/>
      <c r="H1407" s="300"/>
      <c r="J1407" s="388"/>
      <c r="K1407" s="300"/>
      <c r="Q1407" s="300"/>
    </row>
    <row r="1408" spans="1:17">
      <c r="A1408" s="390"/>
      <c r="B1408" s="405" t="s">
        <v>2559</v>
      </c>
      <c r="C1408" s="390">
        <v>94321</v>
      </c>
      <c r="D1408" s="390"/>
      <c r="H1408" s="300"/>
      <c r="J1408" s="387"/>
      <c r="K1408" s="300"/>
      <c r="Q1408" s="300"/>
    </row>
    <row r="1409" spans="1:17">
      <c r="A1409" s="390"/>
      <c r="B1409" s="405" t="s">
        <v>1221</v>
      </c>
      <c r="C1409" s="390">
        <v>95501</v>
      </c>
      <c r="D1409" s="390"/>
      <c r="H1409" s="300"/>
      <c r="J1409" s="387"/>
      <c r="K1409" s="300"/>
      <c r="Q1409" s="300"/>
    </row>
    <row r="1410" spans="1:17">
      <c r="A1410" s="390"/>
      <c r="B1410" s="405" t="s">
        <v>1222</v>
      </c>
      <c r="C1410" s="390">
        <v>95504</v>
      </c>
      <c r="D1410" s="390"/>
      <c r="H1410" s="300"/>
      <c r="J1410" s="387"/>
      <c r="K1410" s="300"/>
      <c r="Q1410" s="300"/>
    </row>
    <row r="1411" spans="1:17">
      <c r="A1411" s="390"/>
      <c r="B1411" s="405" t="s">
        <v>1978</v>
      </c>
      <c r="C1411" s="390">
        <v>95511</v>
      </c>
      <c r="D1411" s="390"/>
      <c r="H1411" s="300"/>
      <c r="J1411" s="387"/>
      <c r="K1411" s="300"/>
      <c r="Q1411" s="300"/>
    </row>
    <row r="1412" spans="1:17">
      <c r="A1412" s="390"/>
      <c r="B1412" s="405" t="s">
        <v>2560</v>
      </c>
      <c r="C1412" s="390">
        <v>95517</v>
      </c>
      <c r="D1412" s="390"/>
      <c r="H1412" s="300"/>
      <c r="J1412" s="387"/>
      <c r="K1412" s="300"/>
      <c r="Q1412" s="300"/>
    </row>
    <row r="1413" spans="1:17">
      <c r="A1413" s="390"/>
      <c r="B1413" s="405" t="s">
        <v>1224</v>
      </c>
      <c r="C1413" s="390">
        <v>95513</v>
      </c>
      <c r="D1413" s="390"/>
      <c r="H1413" s="300"/>
      <c r="J1413" s="387"/>
      <c r="K1413" s="300"/>
      <c r="Q1413" s="300"/>
    </row>
    <row r="1414" spans="1:17">
      <c r="A1414" s="390"/>
      <c r="B1414" s="405" t="s">
        <v>2561</v>
      </c>
      <c r="C1414" s="390">
        <v>92651</v>
      </c>
      <c r="D1414" s="390"/>
      <c r="H1414" s="300"/>
      <c r="J1414" s="387"/>
      <c r="K1414" s="300"/>
      <c r="Q1414" s="300"/>
    </row>
    <row r="1415" spans="1:17">
      <c r="A1415" s="390"/>
      <c r="B1415" s="405" t="s">
        <v>2562</v>
      </c>
      <c r="C1415" s="390">
        <v>94261</v>
      </c>
      <c r="D1415" s="390"/>
      <c r="H1415" s="300"/>
      <c r="J1415" s="387"/>
      <c r="K1415" s="300"/>
      <c r="Q1415" s="300"/>
    </row>
    <row r="1416" spans="1:17">
      <c r="A1416" s="390"/>
      <c r="B1416" s="405" t="s">
        <v>1979</v>
      </c>
      <c r="C1416" s="390">
        <v>98431</v>
      </c>
      <c r="D1416" s="390"/>
      <c r="H1416" s="300"/>
      <c r="J1416" s="388"/>
      <c r="K1416" s="300"/>
      <c r="Q1416" s="300"/>
    </row>
    <row r="1417" spans="1:17">
      <c r="A1417" s="390"/>
      <c r="B1417" s="405" t="s">
        <v>1485</v>
      </c>
      <c r="C1417" s="390">
        <v>98404</v>
      </c>
      <c r="D1417" s="390"/>
      <c r="H1417" s="300"/>
      <c r="J1417" s="387"/>
      <c r="K1417" s="300"/>
      <c r="Q1417" s="300"/>
    </row>
    <row r="1418" spans="1:17">
      <c r="A1418" s="390"/>
      <c r="B1418" s="405" t="s">
        <v>2563</v>
      </c>
      <c r="C1418" s="390">
        <v>91841</v>
      </c>
      <c r="D1418" s="390"/>
      <c r="H1418" s="300"/>
      <c r="J1418" s="387"/>
      <c r="K1418" s="300"/>
      <c r="Q1418" s="300"/>
    </row>
    <row r="1419" spans="1:17">
      <c r="A1419" s="390"/>
      <c r="B1419" s="405" t="s">
        <v>2564</v>
      </c>
      <c r="C1419" s="390">
        <v>93521</v>
      </c>
      <c r="D1419" s="390"/>
      <c r="H1419" s="300"/>
      <c r="J1419" s="388"/>
      <c r="K1419" s="300"/>
      <c r="Q1419" s="300"/>
    </row>
    <row r="1420" spans="1:17">
      <c r="A1420" s="390"/>
      <c r="B1420" s="405" t="s">
        <v>1054</v>
      </c>
      <c r="C1420" s="390">
        <v>93527</v>
      </c>
      <c r="D1420" s="390"/>
      <c r="H1420" s="300"/>
      <c r="J1420" s="387"/>
      <c r="K1420" s="300"/>
      <c r="Q1420" s="300"/>
    </row>
    <row r="1421" spans="1:17">
      <c r="A1421" s="390"/>
      <c r="B1421" s="405" t="s">
        <v>1980</v>
      </c>
      <c r="C1421" s="390">
        <v>93661</v>
      </c>
      <c r="D1421" s="390"/>
      <c r="H1421" s="300"/>
      <c r="J1421" s="387"/>
      <c r="K1421" s="300"/>
      <c r="Q1421" s="300"/>
    </row>
    <row r="1422" spans="1:17">
      <c r="A1422" s="390"/>
      <c r="B1422" s="405" t="s">
        <v>2760</v>
      </c>
      <c r="C1422" s="390">
        <v>96508</v>
      </c>
      <c r="D1422" s="390"/>
      <c r="H1422" s="300"/>
      <c r="J1422" s="387"/>
      <c r="K1422" s="300"/>
      <c r="Q1422" s="300"/>
    </row>
    <row r="1423" spans="1:17">
      <c r="A1423" s="390"/>
      <c r="B1423" s="405" t="s">
        <v>2565</v>
      </c>
      <c r="C1423" s="390">
        <v>99841</v>
      </c>
      <c r="D1423" s="390"/>
      <c r="H1423" s="300"/>
      <c r="J1423" s="387"/>
      <c r="K1423" s="300"/>
      <c r="Q1423" s="300"/>
    </row>
    <row r="1424" spans="1:17">
      <c r="A1424" s="390"/>
      <c r="B1424" s="405" t="s">
        <v>1409</v>
      </c>
      <c r="C1424" s="390">
        <v>97802</v>
      </c>
      <c r="D1424" s="390"/>
      <c r="H1424" s="300"/>
      <c r="J1424" s="387"/>
      <c r="K1424" s="300"/>
      <c r="Q1424" s="300"/>
    </row>
    <row r="1425" spans="1:17">
      <c r="A1425" s="390"/>
      <c r="B1425" s="405" t="s">
        <v>1981</v>
      </c>
      <c r="C1425" s="390">
        <v>97811</v>
      </c>
      <c r="D1425" s="390"/>
      <c r="H1425" s="300"/>
      <c r="J1425" s="387"/>
      <c r="K1425" s="300"/>
      <c r="Q1425" s="300"/>
    </row>
    <row r="1426" spans="1:17">
      <c r="A1426" s="390"/>
      <c r="B1426" s="405" t="s">
        <v>1413</v>
      </c>
      <c r="C1426" s="390">
        <v>97817</v>
      </c>
      <c r="D1426" s="390"/>
      <c r="H1426" s="300"/>
      <c r="J1426" s="387"/>
      <c r="K1426" s="300"/>
      <c r="Q1426" s="300"/>
    </row>
    <row r="1427" spans="1:17">
      <c r="A1427" s="390"/>
      <c r="B1427" s="405" t="s">
        <v>2798</v>
      </c>
      <c r="C1427" s="390">
        <v>97818</v>
      </c>
      <c r="D1427" s="390"/>
      <c r="H1427" s="300"/>
      <c r="J1427" s="387"/>
      <c r="K1427" s="300"/>
      <c r="Q1427" s="300"/>
    </row>
    <row r="1428" spans="1:17">
      <c r="A1428" s="390"/>
      <c r="B1428" s="405" t="s">
        <v>2566</v>
      </c>
      <c r="C1428" s="390">
        <v>93341</v>
      </c>
      <c r="D1428" s="390"/>
      <c r="H1428" s="300"/>
      <c r="J1428" s="388"/>
      <c r="K1428" s="300"/>
      <c r="Q1428" s="300"/>
    </row>
    <row r="1429" spans="1:17">
      <c r="A1429" s="390"/>
      <c r="B1429" s="405" t="s">
        <v>1226</v>
      </c>
      <c r="C1429" s="390">
        <v>95601</v>
      </c>
      <c r="D1429" s="390"/>
      <c r="H1429" s="300"/>
      <c r="J1429" s="387"/>
      <c r="K1429" s="300"/>
      <c r="Q1429" s="300"/>
    </row>
    <row r="1430" spans="1:17">
      <c r="A1430" s="390"/>
      <c r="B1430" s="405" t="s">
        <v>2567</v>
      </c>
      <c r="C1430" s="390">
        <v>97941</v>
      </c>
      <c r="D1430" s="390"/>
      <c r="H1430" s="300"/>
      <c r="J1430" s="387"/>
      <c r="K1430" s="300"/>
      <c r="Q1430" s="300"/>
    </row>
    <row r="1431" spans="1:17">
      <c r="A1431" s="390"/>
      <c r="B1431" s="405" t="s">
        <v>1434</v>
      </c>
      <c r="C1431" s="390">
        <v>97947</v>
      </c>
      <c r="D1431" s="390"/>
      <c r="H1431" s="300"/>
      <c r="J1431" s="388"/>
      <c r="K1431" s="300"/>
      <c r="Q1431" s="300"/>
    </row>
    <row r="1432" spans="1:17">
      <c r="A1432" s="390"/>
      <c r="B1432" s="405" t="s">
        <v>1230</v>
      </c>
      <c r="C1432" s="390">
        <v>95701</v>
      </c>
      <c r="D1432" s="390"/>
      <c r="H1432" s="300"/>
      <c r="J1432" s="387"/>
      <c r="K1432" s="300"/>
      <c r="Q1432" s="300"/>
    </row>
    <row r="1433" spans="1:17">
      <c r="A1433" s="390"/>
      <c r="B1433" s="405" t="s">
        <v>1435</v>
      </c>
      <c r="C1433" s="390">
        <v>97948</v>
      </c>
      <c r="D1433" s="390"/>
      <c r="H1433" s="300"/>
      <c r="J1433" s="387"/>
      <c r="K1433" s="300"/>
      <c r="Q1433" s="300"/>
    </row>
    <row r="1434" spans="1:17">
      <c r="A1434" s="390"/>
      <c r="B1434" s="405" t="s">
        <v>2568</v>
      </c>
      <c r="C1434" s="390">
        <v>94421</v>
      </c>
      <c r="D1434" s="390"/>
      <c r="H1434" s="300"/>
      <c r="J1434" s="387"/>
      <c r="K1434" s="300"/>
      <c r="Q1434" s="300"/>
    </row>
    <row r="1435" spans="1:17">
      <c r="A1435" s="390"/>
      <c r="B1435" s="405" t="s">
        <v>1141</v>
      </c>
      <c r="C1435" s="390">
        <v>94427</v>
      </c>
      <c r="D1435" s="390"/>
      <c r="H1435" s="300"/>
      <c r="J1435" s="387"/>
      <c r="K1435" s="300"/>
      <c r="Q1435" s="300"/>
    </row>
    <row r="1436" spans="1:17">
      <c r="A1436" s="390"/>
      <c r="B1436" s="405" t="s">
        <v>2797</v>
      </c>
      <c r="C1436" s="390">
        <v>94428</v>
      </c>
      <c r="D1436" s="390"/>
      <c r="H1436" s="300"/>
      <c r="J1436" s="387"/>
      <c r="K1436" s="300"/>
      <c r="Q1436" s="300"/>
    </row>
    <row r="1437" spans="1:17">
      <c r="A1437" s="390"/>
      <c r="B1437" s="405" t="s">
        <v>2569</v>
      </c>
      <c r="C1437" s="390">
        <v>93191</v>
      </c>
      <c r="D1437" s="390"/>
      <c r="H1437" s="300"/>
      <c r="J1437" s="387"/>
      <c r="K1437" s="300"/>
      <c r="Q1437" s="300"/>
    </row>
    <row r="1438" spans="1:17">
      <c r="A1438" s="390"/>
      <c r="B1438" s="405" t="s">
        <v>2570</v>
      </c>
      <c r="C1438" s="390">
        <v>91831</v>
      </c>
      <c r="D1438" s="390"/>
      <c r="H1438" s="300"/>
      <c r="J1438" s="387"/>
      <c r="K1438" s="300"/>
      <c r="Q1438" s="300"/>
    </row>
    <row r="1439" spans="1:17">
      <c r="A1439" s="390"/>
      <c r="B1439" s="405" t="s">
        <v>2571</v>
      </c>
      <c r="C1439" s="390">
        <v>92831</v>
      </c>
      <c r="D1439" s="390"/>
      <c r="H1439" s="300"/>
      <c r="J1439" s="387"/>
      <c r="K1439" s="300"/>
      <c r="Q1439" s="300"/>
    </row>
    <row r="1440" spans="1:17">
      <c r="A1440" s="390"/>
      <c r="B1440" s="405" t="s">
        <v>2572</v>
      </c>
      <c r="C1440" s="390">
        <v>95911</v>
      </c>
      <c r="D1440" s="390"/>
      <c r="H1440" s="300"/>
      <c r="J1440" s="388"/>
      <c r="K1440" s="300"/>
      <c r="Q1440" s="300"/>
    </row>
    <row r="1441" spans="1:17">
      <c r="A1441" s="390"/>
      <c r="B1441" s="405" t="s">
        <v>1247</v>
      </c>
      <c r="C1441" s="390">
        <v>95917</v>
      </c>
      <c r="D1441" s="390"/>
      <c r="H1441" s="300"/>
      <c r="J1441" s="387"/>
      <c r="K1441" s="300"/>
      <c r="Q1441" s="300"/>
    </row>
    <row r="1442" spans="1:17">
      <c r="A1442" s="390"/>
      <c r="B1442" s="405" t="s">
        <v>2573</v>
      </c>
      <c r="C1442" s="390">
        <v>95711</v>
      </c>
      <c r="D1442" s="390"/>
      <c r="H1442" s="300"/>
      <c r="J1442" s="387"/>
      <c r="K1442" s="300"/>
      <c r="Q1442" s="300"/>
    </row>
    <row r="1443" spans="1:17">
      <c r="A1443" s="390"/>
      <c r="B1443" s="405" t="s">
        <v>2574</v>
      </c>
      <c r="C1443" s="390">
        <v>95721</v>
      </c>
      <c r="D1443" s="390"/>
      <c r="H1443" s="300"/>
      <c r="J1443" s="388"/>
      <c r="K1443" s="300"/>
      <c r="Q1443" s="300"/>
    </row>
    <row r="1444" spans="1:17">
      <c r="A1444" s="390"/>
      <c r="B1444" s="405" t="s">
        <v>2575</v>
      </c>
      <c r="C1444" s="390">
        <v>99021</v>
      </c>
      <c r="D1444" s="390"/>
      <c r="H1444" s="300"/>
      <c r="J1444" s="387"/>
      <c r="K1444" s="300"/>
      <c r="Q1444" s="300"/>
    </row>
    <row r="1445" spans="1:17">
      <c r="A1445" s="390"/>
      <c r="B1445" s="405" t="s">
        <v>2758</v>
      </c>
      <c r="C1445" s="390">
        <v>95802</v>
      </c>
      <c r="D1445" s="390"/>
      <c r="H1445" s="300"/>
      <c r="J1445" s="387"/>
      <c r="K1445" s="300"/>
      <c r="Q1445" s="300"/>
    </row>
    <row r="1446" spans="1:17">
      <c r="A1446" s="390"/>
      <c r="B1446" s="405" t="s">
        <v>1234</v>
      </c>
      <c r="C1446" s="390">
        <v>95801</v>
      </c>
      <c r="D1446" s="390"/>
      <c r="H1446" s="300"/>
      <c r="J1446" s="387"/>
      <c r="K1446" s="300"/>
      <c r="Q1446" s="300"/>
    </row>
    <row r="1447" spans="1:17">
      <c r="A1447" s="390"/>
      <c r="B1447" s="405" t="s">
        <v>1236</v>
      </c>
      <c r="C1447" s="390">
        <v>95804</v>
      </c>
      <c r="D1447" s="390"/>
      <c r="H1447" s="300"/>
      <c r="J1447" s="387"/>
      <c r="K1447" s="300"/>
      <c r="Q1447" s="300"/>
    </row>
    <row r="1448" spans="1:17">
      <c r="A1448" s="390"/>
      <c r="B1448" s="405" t="s">
        <v>2796</v>
      </c>
      <c r="C1448" s="390">
        <v>90092</v>
      </c>
      <c r="D1448" s="390"/>
      <c r="H1448" s="300"/>
      <c r="J1448" s="387"/>
      <c r="K1448" s="300"/>
      <c r="Q1448" s="300"/>
    </row>
    <row r="1449" spans="1:17">
      <c r="A1449" s="390"/>
      <c r="B1449" s="405" t="s">
        <v>2576</v>
      </c>
      <c r="C1449" s="390">
        <v>99081</v>
      </c>
      <c r="D1449" s="390"/>
      <c r="H1449" s="300"/>
      <c r="J1449" s="387"/>
      <c r="K1449" s="300"/>
      <c r="Q1449" s="300"/>
    </row>
    <row r="1450" spans="1:17">
      <c r="A1450" s="390"/>
      <c r="B1450" s="405" t="s">
        <v>2577</v>
      </c>
      <c r="C1450" s="390">
        <v>96071</v>
      </c>
      <c r="D1450" s="390"/>
      <c r="H1450" s="300"/>
      <c r="J1450" s="387"/>
      <c r="K1450" s="300"/>
      <c r="Q1450" s="300"/>
    </row>
    <row r="1451" spans="1:17">
      <c r="A1451" s="390"/>
      <c r="B1451" s="405" t="s">
        <v>1092</v>
      </c>
      <c r="C1451" s="390">
        <v>94002</v>
      </c>
      <c r="D1451" s="390"/>
      <c r="H1451" s="300"/>
      <c r="J1451" s="387"/>
      <c r="K1451" s="300"/>
      <c r="Q1451" s="300"/>
    </row>
    <row r="1452" spans="1:17">
      <c r="A1452" s="390"/>
      <c r="B1452" s="405" t="s">
        <v>2578</v>
      </c>
      <c r="C1452" s="390">
        <v>97840</v>
      </c>
      <c r="D1452" s="390"/>
      <c r="H1452" s="300"/>
      <c r="J1452" s="388"/>
      <c r="K1452" s="300"/>
      <c r="Q1452" s="300"/>
    </row>
    <row r="1453" spans="1:17">
      <c r="A1453" s="390"/>
      <c r="B1453" s="405" t="s">
        <v>1421</v>
      </c>
      <c r="C1453" s="390">
        <v>97847</v>
      </c>
      <c r="D1453" s="390"/>
      <c r="H1453" s="300"/>
      <c r="J1453" s="387"/>
      <c r="K1453" s="300"/>
      <c r="Q1453" s="300"/>
    </row>
    <row r="1454" spans="1:17">
      <c r="A1454" s="390"/>
      <c r="B1454" s="405" t="s">
        <v>2579</v>
      </c>
      <c r="C1454" s="390">
        <v>97921</v>
      </c>
      <c r="D1454" s="390"/>
      <c r="H1454" s="300"/>
      <c r="J1454" s="387"/>
      <c r="K1454" s="300"/>
      <c r="Q1454" s="300"/>
    </row>
    <row r="1455" spans="1:17">
      <c r="A1455" s="390"/>
      <c r="B1455" s="405" t="s">
        <v>2580</v>
      </c>
      <c r="C1455" s="390">
        <v>95221</v>
      </c>
      <c r="D1455" s="390"/>
      <c r="H1455" s="300"/>
      <c r="J1455" s="388"/>
      <c r="K1455" s="300"/>
      <c r="Q1455" s="300"/>
    </row>
    <row r="1456" spans="1:17">
      <c r="A1456" s="390"/>
      <c r="B1456" s="405" t="s">
        <v>2581</v>
      </c>
      <c r="C1456" s="390">
        <v>93610</v>
      </c>
      <c r="D1456" s="390"/>
      <c r="H1456" s="300"/>
      <c r="J1456" s="387"/>
      <c r="K1456" s="300"/>
      <c r="Q1456" s="300"/>
    </row>
    <row r="1457" spans="1:17">
      <c r="A1457" s="390"/>
      <c r="B1457" s="405" t="s">
        <v>1244</v>
      </c>
      <c r="C1457" s="390">
        <v>95901</v>
      </c>
      <c r="D1457" s="390"/>
      <c r="H1457" s="300"/>
      <c r="J1457" s="387"/>
      <c r="K1457" s="300"/>
      <c r="Q1457" s="300"/>
    </row>
    <row r="1458" spans="1:17">
      <c r="A1458" s="390"/>
      <c r="B1458" s="405" t="s">
        <v>1982</v>
      </c>
      <c r="C1458" s="390">
        <v>90114</v>
      </c>
      <c r="D1458" s="390"/>
      <c r="H1458" s="300"/>
      <c r="J1458" s="387"/>
      <c r="K1458" s="300"/>
      <c r="Q1458" s="300"/>
    </row>
    <row r="1459" spans="1:17">
      <c r="A1459" s="390"/>
      <c r="B1459" s="405" t="s">
        <v>1249</v>
      </c>
      <c r="C1459" s="390">
        <v>96001</v>
      </c>
      <c r="D1459" s="390"/>
      <c r="H1459" s="300"/>
      <c r="J1459" s="387"/>
      <c r="K1459" s="300"/>
      <c r="Q1459" s="300"/>
    </row>
    <row r="1460" spans="1:17">
      <c r="A1460" s="390"/>
      <c r="B1460" s="405" t="s">
        <v>1251</v>
      </c>
      <c r="C1460" s="390">
        <v>96004</v>
      </c>
      <c r="D1460" s="390"/>
      <c r="H1460" s="300"/>
      <c r="J1460" s="387"/>
      <c r="K1460" s="300"/>
      <c r="Q1460" s="300"/>
    </row>
    <row r="1461" spans="1:17">
      <c r="A1461" s="390"/>
      <c r="B1461" s="405" t="s">
        <v>2795</v>
      </c>
      <c r="C1461" s="390">
        <v>96008</v>
      </c>
      <c r="D1461" s="390"/>
      <c r="H1461" s="300"/>
      <c r="J1461" s="387"/>
      <c r="K1461" s="300"/>
      <c r="Q1461" s="300"/>
    </row>
    <row r="1462" spans="1:17">
      <c r="A1462" s="390"/>
      <c r="B1462" s="405" t="s">
        <v>829</v>
      </c>
      <c r="C1462" s="390">
        <v>91108</v>
      </c>
      <c r="D1462" s="390"/>
      <c r="H1462" s="300"/>
      <c r="J1462" s="387"/>
      <c r="K1462" s="300"/>
      <c r="Q1462" s="300"/>
    </row>
    <row r="1463" spans="1:17">
      <c r="A1463" s="390"/>
      <c r="B1463" s="405" t="s">
        <v>1177</v>
      </c>
      <c r="C1463" s="390">
        <v>94941</v>
      </c>
      <c r="D1463" s="390"/>
      <c r="H1463" s="300"/>
      <c r="J1463" s="387"/>
      <c r="K1463" s="300"/>
      <c r="Q1463" s="300"/>
    </row>
    <row r="1464" spans="1:17">
      <c r="A1464" s="390"/>
      <c r="B1464" s="405" t="s">
        <v>2582</v>
      </c>
      <c r="C1464" s="390">
        <v>95122</v>
      </c>
      <c r="D1464" s="390"/>
      <c r="H1464" s="300"/>
      <c r="J1464" s="388"/>
      <c r="K1464" s="300"/>
      <c r="Q1464" s="300"/>
    </row>
    <row r="1465" spans="1:17">
      <c r="A1465" s="390"/>
      <c r="B1465" s="405" t="s">
        <v>967</v>
      </c>
      <c r="C1465" s="390">
        <v>92607</v>
      </c>
      <c r="D1465" s="390"/>
      <c r="H1465" s="300"/>
      <c r="J1465" s="387"/>
      <c r="K1465" s="300"/>
      <c r="Q1465" s="300"/>
    </row>
    <row r="1466" spans="1:17">
      <c r="A1466" s="390"/>
      <c r="B1466" s="405" t="s">
        <v>2583</v>
      </c>
      <c r="C1466" s="390">
        <v>96431</v>
      </c>
      <c r="D1466" s="390"/>
      <c r="H1466" s="300"/>
      <c r="J1466" s="387"/>
      <c r="K1466" s="300"/>
      <c r="Q1466" s="300"/>
    </row>
    <row r="1467" spans="1:17">
      <c r="A1467" s="390"/>
      <c r="B1467" s="405" t="s">
        <v>774</v>
      </c>
      <c r="C1467" s="390">
        <v>90709</v>
      </c>
      <c r="D1467" s="390"/>
      <c r="H1467" s="300"/>
      <c r="J1467" s="388"/>
      <c r="K1467" s="300"/>
      <c r="Q1467" s="300"/>
    </row>
    <row r="1468" spans="1:17">
      <c r="A1468" s="390"/>
      <c r="B1468" s="405" t="s">
        <v>2584</v>
      </c>
      <c r="C1468" s="390">
        <v>91341</v>
      </c>
      <c r="D1468" s="390"/>
      <c r="H1468" s="300"/>
      <c r="J1468" s="387"/>
      <c r="K1468" s="300"/>
      <c r="Q1468" s="300"/>
    </row>
    <row r="1469" spans="1:17">
      <c r="A1469" s="390"/>
      <c r="B1469" s="405" t="s">
        <v>2585</v>
      </c>
      <c r="C1469" s="390">
        <v>92941</v>
      </c>
      <c r="D1469" s="390"/>
      <c r="H1469" s="300"/>
      <c r="J1469" s="387"/>
      <c r="K1469" s="300"/>
      <c r="Q1469" s="300"/>
    </row>
    <row r="1470" spans="1:17">
      <c r="A1470" s="390"/>
      <c r="B1470" s="405" t="s">
        <v>2586</v>
      </c>
      <c r="C1470" s="390">
        <v>94551</v>
      </c>
      <c r="D1470" s="390"/>
      <c r="H1470" s="300"/>
      <c r="J1470" s="387"/>
      <c r="K1470" s="300"/>
      <c r="Q1470" s="300"/>
    </row>
    <row r="1471" spans="1:17">
      <c r="A1471" s="390"/>
      <c r="B1471" s="405" t="s">
        <v>2587</v>
      </c>
      <c r="C1471" s="390">
        <v>99022</v>
      </c>
      <c r="D1471" s="390"/>
      <c r="H1471" s="300"/>
      <c r="J1471" s="387"/>
      <c r="K1471" s="300"/>
      <c r="Q1471" s="300"/>
    </row>
    <row r="1472" spans="1:17">
      <c r="A1472" s="390"/>
      <c r="B1472" s="405" t="s">
        <v>2588</v>
      </c>
      <c r="C1472" s="390">
        <v>96031</v>
      </c>
      <c r="D1472" s="390"/>
      <c r="H1472" s="300"/>
      <c r="J1472" s="387"/>
      <c r="K1472" s="300"/>
      <c r="Q1472" s="300"/>
    </row>
    <row r="1473" spans="1:17">
      <c r="A1473" s="390"/>
      <c r="B1473" s="405" t="s">
        <v>2589</v>
      </c>
      <c r="C1473" s="390">
        <v>98414</v>
      </c>
      <c r="D1473" s="390"/>
      <c r="H1473" s="300"/>
      <c r="J1473" s="387"/>
      <c r="K1473" s="300"/>
      <c r="Q1473" s="300"/>
    </row>
    <row r="1474" spans="1:17">
      <c r="A1474" s="390"/>
      <c r="B1474" s="405" t="s">
        <v>1265</v>
      </c>
      <c r="C1474" s="390">
        <v>96101</v>
      </c>
      <c r="D1474" s="390"/>
      <c r="H1474" s="300"/>
      <c r="J1474" s="387"/>
      <c r="K1474" s="300"/>
      <c r="Q1474" s="300"/>
    </row>
    <row r="1475" spans="1:17">
      <c r="A1475" s="390"/>
      <c r="B1475" s="405" t="s">
        <v>2794</v>
      </c>
      <c r="C1475" s="390">
        <v>96102</v>
      </c>
      <c r="D1475" s="390"/>
      <c r="H1475" s="300"/>
      <c r="J1475" s="387"/>
      <c r="K1475" s="300"/>
      <c r="Q1475" s="300"/>
    </row>
    <row r="1476" spans="1:17">
      <c r="A1476" s="390"/>
      <c r="B1476" s="405" t="s">
        <v>2590</v>
      </c>
      <c r="C1476" s="390">
        <v>93011</v>
      </c>
      <c r="D1476" s="390"/>
      <c r="H1476" s="300"/>
      <c r="J1476" s="388"/>
      <c r="K1476" s="300"/>
      <c r="Q1476" s="300"/>
    </row>
    <row r="1477" spans="1:17">
      <c r="A1477" s="390"/>
      <c r="B1477" s="405" t="s">
        <v>3609</v>
      </c>
      <c r="C1477" s="390">
        <v>93208</v>
      </c>
      <c r="D1477" s="390"/>
      <c r="H1477" s="300"/>
      <c r="J1477" s="388"/>
      <c r="K1477" s="300"/>
      <c r="Q1477" s="300"/>
    </row>
    <row r="1478" spans="1:17">
      <c r="A1478" s="390"/>
      <c r="B1478" s="405" t="s">
        <v>1983</v>
      </c>
      <c r="C1478" s="390">
        <v>99011</v>
      </c>
      <c r="D1478" s="390"/>
      <c r="H1478" s="300"/>
      <c r="J1478" s="387"/>
      <c r="K1478" s="300"/>
      <c r="Q1478" s="300"/>
    </row>
    <row r="1479" spans="1:17">
      <c r="A1479" s="390"/>
      <c r="B1479" s="405" t="s">
        <v>1522</v>
      </c>
      <c r="C1479" s="390">
        <v>99017</v>
      </c>
      <c r="D1479" s="390"/>
      <c r="H1479" s="300"/>
      <c r="J1479" s="387"/>
      <c r="K1479" s="300"/>
      <c r="Q1479" s="300"/>
    </row>
    <row r="1480" spans="1:17">
      <c r="A1480" s="390"/>
      <c r="B1480" s="405" t="s">
        <v>1984</v>
      </c>
      <c r="C1480" s="390">
        <v>99013</v>
      </c>
      <c r="D1480" s="390"/>
      <c r="H1480" s="300"/>
      <c r="J1480" s="388"/>
      <c r="K1480" s="300"/>
      <c r="Q1480" s="300"/>
    </row>
    <row r="1481" spans="1:17">
      <c r="A1481" s="390"/>
      <c r="B1481" s="405" t="s">
        <v>1269</v>
      </c>
      <c r="C1481" s="390">
        <v>96201</v>
      </c>
      <c r="D1481" s="390"/>
      <c r="H1481" s="300"/>
      <c r="J1481" s="387"/>
      <c r="K1481" s="300"/>
      <c r="Q1481" s="300"/>
    </row>
    <row r="1482" spans="1:17">
      <c r="A1482" s="390"/>
      <c r="B1482" s="405" t="s">
        <v>1270</v>
      </c>
      <c r="C1482" s="390">
        <v>96204</v>
      </c>
      <c r="D1482" s="390"/>
      <c r="H1482" s="300"/>
      <c r="J1482" s="387"/>
      <c r="K1482" s="300"/>
      <c r="Q1482" s="300"/>
    </row>
    <row r="1483" spans="1:17">
      <c r="A1483" s="390"/>
      <c r="B1483" s="405" t="s">
        <v>2591</v>
      </c>
      <c r="C1483" s="390">
        <v>91161</v>
      </c>
      <c r="D1483" s="390"/>
      <c r="H1483" s="300"/>
      <c r="J1483" s="387"/>
      <c r="K1483" s="300"/>
      <c r="Q1483" s="300"/>
    </row>
    <row r="1484" spans="1:17">
      <c r="A1484" s="390"/>
      <c r="B1484" s="405" t="s">
        <v>1276</v>
      </c>
      <c r="C1484" s="390">
        <v>96301</v>
      </c>
      <c r="D1484" s="390"/>
      <c r="H1484" s="300"/>
      <c r="J1484" s="387"/>
      <c r="K1484" s="300"/>
      <c r="Q1484" s="300"/>
    </row>
    <row r="1485" spans="1:17">
      <c r="A1485" s="390"/>
      <c r="B1485" s="405" t="s">
        <v>1278</v>
      </c>
      <c r="C1485" s="390">
        <v>96304</v>
      </c>
      <c r="D1485" s="390"/>
      <c r="H1485" s="300"/>
      <c r="J1485" s="387"/>
      <c r="K1485" s="300"/>
      <c r="Q1485" s="300"/>
    </row>
    <row r="1486" spans="1:17">
      <c r="A1486" s="390"/>
      <c r="B1486" s="405" t="s">
        <v>1280</v>
      </c>
      <c r="C1486" s="390">
        <v>96310</v>
      </c>
      <c r="D1486" s="390"/>
      <c r="H1486" s="300"/>
      <c r="J1486" s="388"/>
      <c r="K1486" s="300"/>
      <c r="Q1486" s="300"/>
    </row>
    <row r="1487" spans="1:17">
      <c r="A1487" s="390"/>
      <c r="B1487" s="405" t="s">
        <v>1279</v>
      </c>
      <c r="C1487" s="390">
        <v>96305</v>
      </c>
      <c r="D1487" s="390"/>
      <c r="H1487" s="300"/>
      <c r="J1487" s="387"/>
      <c r="K1487" s="300"/>
      <c r="Q1487" s="300"/>
    </row>
    <row r="1488" spans="1:17">
      <c r="A1488" s="390"/>
      <c r="B1488" s="405" t="s">
        <v>1985</v>
      </c>
      <c r="C1488" s="390">
        <v>94921</v>
      </c>
      <c r="D1488" s="390"/>
      <c r="H1488" s="300"/>
      <c r="J1488" s="387"/>
      <c r="K1488" s="300"/>
      <c r="Q1488" s="300"/>
    </row>
    <row r="1489" spans="1:17">
      <c r="A1489" s="390"/>
      <c r="B1489" s="405" t="s">
        <v>1175</v>
      </c>
      <c r="C1489" s="390">
        <v>94927</v>
      </c>
      <c r="D1489" s="390"/>
      <c r="H1489" s="300"/>
      <c r="J1489" s="387"/>
      <c r="K1489" s="300"/>
      <c r="Q1489" s="300"/>
    </row>
    <row r="1490" spans="1:17">
      <c r="A1490" s="390"/>
      <c r="B1490" s="405" t="s">
        <v>1174</v>
      </c>
      <c r="C1490" s="390">
        <v>94923</v>
      </c>
      <c r="D1490" s="390"/>
      <c r="H1490" s="300"/>
      <c r="J1490" s="387"/>
      <c r="K1490" s="300"/>
      <c r="Q1490" s="300"/>
    </row>
    <row r="1491" spans="1:17">
      <c r="A1491" s="390"/>
      <c r="B1491" s="405" t="s">
        <v>2592</v>
      </c>
      <c r="C1491" s="390">
        <v>91611</v>
      </c>
      <c r="D1491" s="390"/>
      <c r="H1491" s="300"/>
      <c r="J1491" s="387"/>
      <c r="K1491" s="300"/>
      <c r="Q1491" s="300"/>
    </row>
    <row r="1492" spans="1:17">
      <c r="A1492" s="390"/>
      <c r="B1492" s="405" t="s">
        <v>1986</v>
      </c>
      <c r="C1492" s="390">
        <v>91231</v>
      </c>
      <c r="D1492" s="390"/>
      <c r="H1492" s="300"/>
      <c r="J1492" s="387"/>
      <c r="K1492" s="300"/>
      <c r="Q1492" s="300"/>
    </row>
    <row r="1493" spans="1:17">
      <c r="A1493" s="390"/>
      <c r="B1493" s="405" t="s">
        <v>851</v>
      </c>
      <c r="C1493" s="390">
        <v>91217</v>
      </c>
      <c r="D1493" s="390"/>
      <c r="H1493" s="300"/>
      <c r="J1493" s="387"/>
      <c r="K1493" s="300"/>
      <c r="Q1493" s="300"/>
    </row>
    <row r="1494" spans="1:17">
      <c r="A1494" s="390"/>
      <c r="B1494" s="405" t="s">
        <v>854</v>
      </c>
      <c r="C1494" s="390">
        <v>91233</v>
      </c>
      <c r="D1494" s="390"/>
      <c r="H1494" s="300"/>
      <c r="J1494" s="387"/>
      <c r="K1494" s="300"/>
      <c r="Q1494" s="300"/>
    </row>
    <row r="1495" spans="1:17">
      <c r="A1495" s="390"/>
      <c r="B1495" s="405" t="s">
        <v>2593</v>
      </c>
      <c r="C1495" s="390">
        <v>99206</v>
      </c>
      <c r="D1495" s="390"/>
      <c r="H1495" s="300"/>
      <c r="J1495" s="388"/>
      <c r="K1495" s="300"/>
      <c r="Q1495" s="300"/>
    </row>
    <row r="1496" spans="1:17">
      <c r="A1496" s="390"/>
      <c r="B1496" s="405" t="s">
        <v>2594</v>
      </c>
      <c r="C1496" s="390">
        <v>90461</v>
      </c>
      <c r="D1496" s="390"/>
      <c r="H1496" s="300"/>
      <c r="J1496" s="387"/>
      <c r="K1496" s="300"/>
      <c r="Q1496" s="300"/>
    </row>
    <row r="1497" spans="1:17">
      <c r="A1497" s="390"/>
      <c r="B1497" s="405" t="s">
        <v>1987</v>
      </c>
      <c r="C1497" s="390">
        <v>98631</v>
      </c>
      <c r="D1497" s="390"/>
      <c r="H1497" s="300"/>
      <c r="J1497" s="387"/>
      <c r="K1497" s="300"/>
      <c r="Q1497" s="300"/>
    </row>
    <row r="1498" spans="1:17">
      <c r="A1498" s="390"/>
      <c r="B1498" s="405" t="s">
        <v>1507</v>
      </c>
      <c r="C1498" s="390">
        <v>98637</v>
      </c>
      <c r="D1498" s="390"/>
      <c r="H1498" s="300"/>
      <c r="J1498" s="388"/>
      <c r="K1498" s="300"/>
      <c r="Q1498" s="300"/>
    </row>
    <row r="1499" spans="1:17">
      <c r="A1499" s="390"/>
      <c r="B1499" s="405" t="s">
        <v>2595</v>
      </c>
      <c r="C1499" s="390">
        <v>96251</v>
      </c>
      <c r="D1499" s="390"/>
      <c r="H1499" s="300"/>
      <c r="J1499" s="387"/>
      <c r="K1499" s="300"/>
      <c r="Q1499" s="300"/>
    </row>
    <row r="1500" spans="1:17">
      <c r="A1500" s="390"/>
      <c r="B1500" s="405" t="s">
        <v>1988</v>
      </c>
      <c r="C1500" s="390">
        <v>93691</v>
      </c>
      <c r="D1500" s="390"/>
      <c r="H1500" s="300"/>
      <c r="J1500" s="387"/>
      <c r="K1500" s="300"/>
      <c r="Q1500" s="300"/>
    </row>
    <row r="1501" spans="1:17">
      <c r="A1501" s="390"/>
      <c r="B1501" s="405" t="s">
        <v>2596</v>
      </c>
      <c r="C1501" s="390">
        <v>99621</v>
      </c>
      <c r="D1501" s="390"/>
      <c r="H1501" s="300"/>
      <c r="J1501" s="387"/>
      <c r="K1501" s="300"/>
      <c r="Q1501" s="300"/>
    </row>
    <row r="1502" spans="1:17">
      <c r="A1502" s="390"/>
      <c r="B1502" s="405" t="s">
        <v>3498</v>
      </c>
      <c r="C1502" s="390">
        <v>99623</v>
      </c>
      <c r="D1502" s="390"/>
      <c r="H1502" s="300"/>
      <c r="J1502" s="387"/>
      <c r="K1502" s="300"/>
      <c r="Q1502" s="300"/>
    </row>
    <row r="1503" spans="1:17">
      <c r="A1503" s="390"/>
      <c r="B1503" s="405" t="s">
        <v>2597</v>
      </c>
      <c r="C1503" s="390">
        <v>91321</v>
      </c>
      <c r="D1503" s="390"/>
      <c r="H1503" s="300"/>
      <c r="J1503" s="387"/>
      <c r="K1503" s="300"/>
      <c r="Q1503" s="300"/>
    </row>
    <row r="1504" spans="1:17">
      <c r="A1504" s="390"/>
      <c r="B1504" s="405" t="s">
        <v>3499</v>
      </c>
      <c r="C1504" s="390">
        <v>91327</v>
      </c>
      <c r="D1504" s="390"/>
      <c r="H1504" s="300"/>
      <c r="J1504" s="387"/>
      <c r="K1504" s="300"/>
      <c r="Q1504" s="300"/>
    </row>
    <row r="1505" spans="1:17">
      <c r="A1505" s="390"/>
      <c r="B1505" s="405" t="s">
        <v>2598</v>
      </c>
      <c r="C1505" s="390">
        <v>94621</v>
      </c>
      <c r="D1505" s="390"/>
      <c r="H1505" s="300"/>
      <c r="J1505" s="387"/>
      <c r="K1505" s="300"/>
      <c r="Q1505" s="300"/>
    </row>
    <row r="1506" spans="1:17">
      <c r="A1506" s="390"/>
      <c r="B1506" s="405" t="s">
        <v>2599</v>
      </c>
      <c r="C1506" s="390">
        <v>92011</v>
      </c>
      <c r="D1506" s="390"/>
      <c r="H1506" s="300"/>
      <c r="J1506" s="387"/>
      <c r="K1506" s="300"/>
      <c r="Q1506" s="300"/>
    </row>
    <row r="1507" spans="1:17">
      <c r="A1507" s="390"/>
      <c r="B1507" s="405" t="s">
        <v>921</v>
      </c>
      <c r="C1507" s="390">
        <v>92017</v>
      </c>
      <c r="D1507" s="390"/>
      <c r="H1507" s="300"/>
      <c r="J1507" s="388"/>
      <c r="K1507" s="300"/>
      <c r="Q1507" s="300"/>
    </row>
    <row r="1508" spans="1:17">
      <c r="A1508" s="390"/>
      <c r="B1508" s="405" t="s">
        <v>1612</v>
      </c>
      <c r="C1508" s="390">
        <v>99991</v>
      </c>
      <c r="D1508" s="390"/>
      <c r="H1508" s="300"/>
      <c r="J1508" s="387"/>
      <c r="K1508" s="300"/>
      <c r="Q1508" s="300"/>
    </row>
    <row r="1509" spans="1:17">
      <c r="A1509" s="390"/>
      <c r="B1509" s="405" t="s">
        <v>1613</v>
      </c>
      <c r="C1509" s="390">
        <v>99999</v>
      </c>
      <c r="D1509" s="390"/>
      <c r="H1509" s="300"/>
      <c r="J1509" s="387"/>
      <c r="K1509" s="300"/>
      <c r="Q1509" s="300"/>
    </row>
    <row r="1510" spans="1:17">
      <c r="A1510" s="390"/>
      <c r="B1510" s="405" t="s">
        <v>2603</v>
      </c>
      <c r="C1510" s="390">
        <v>92811</v>
      </c>
      <c r="D1510" s="390"/>
      <c r="H1510" s="300"/>
      <c r="J1510" s="388"/>
      <c r="K1510" s="300"/>
      <c r="Q1510" s="300"/>
    </row>
    <row r="1511" spans="1:17">
      <c r="A1511" s="390"/>
      <c r="B1511" s="405" t="s">
        <v>919</v>
      </c>
      <c r="C1511" s="390">
        <v>92005</v>
      </c>
      <c r="D1511" s="390"/>
      <c r="H1511" s="300"/>
      <c r="J1511" s="387"/>
      <c r="K1511" s="300"/>
      <c r="Q1511" s="300"/>
    </row>
    <row r="1512" spans="1:17">
      <c r="A1512" s="390"/>
      <c r="B1512" s="405" t="s">
        <v>1292</v>
      </c>
      <c r="C1512" s="390">
        <v>96401</v>
      </c>
      <c r="D1512" s="390"/>
      <c r="H1512" s="300"/>
      <c r="J1512" s="387"/>
      <c r="K1512" s="300"/>
      <c r="Q1512" s="300"/>
    </row>
    <row r="1513" spans="1:17">
      <c r="A1513" s="390"/>
      <c r="B1513" s="405" t="s">
        <v>1293</v>
      </c>
      <c r="C1513" s="390">
        <v>96404</v>
      </c>
      <c r="D1513" s="390"/>
      <c r="H1513" s="300"/>
      <c r="J1513" s="387"/>
      <c r="K1513" s="300"/>
      <c r="Q1513" s="300"/>
    </row>
    <row r="1514" spans="1:17">
      <c r="A1514" s="390"/>
      <c r="B1514" s="405" t="s">
        <v>2604</v>
      </c>
      <c r="C1514" s="390">
        <v>96421</v>
      </c>
      <c r="D1514" s="390"/>
      <c r="H1514" s="300"/>
      <c r="J1514" s="387"/>
      <c r="K1514" s="300"/>
      <c r="Q1514" s="300"/>
    </row>
    <row r="1515" spans="1:17">
      <c r="A1515" s="390"/>
      <c r="B1515" s="405" t="s">
        <v>2605</v>
      </c>
      <c r="C1515" s="390">
        <v>91026</v>
      </c>
      <c r="D1515" s="390"/>
      <c r="H1515" s="300"/>
      <c r="J1515" s="387"/>
      <c r="K1515" s="300"/>
      <c r="Q1515" s="300"/>
    </row>
    <row r="1516" spans="1:17">
      <c r="A1516" s="390"/>
      <c r="B1516" s="405" t="s">
        <v>1214</v>
      </c>
      <c r="C1516" s="390">
        <v>95405</v>
      </c>
      <c r="D1516" s="390"/>
      <c r="H1516" s="300"/>
      <c r="J1516" s="387"/>
      <c r="K1516" s="300"/>
      <c r="Q1516" s="300"/>
    </row>
    <row r="1517" spans="1:17">
      <c r="A1517" s="390"/>
      <c r="B1517" s="405" t="s">
        <v>1094</v>
      </c>
      <c r="C1517" s="390">
        <v>94005</v>
      </c>
      <c r="D1517" s="390"/>
      <c r="H1517" s="300"/>
      <c r="J1517" s="387"/>
      <c r="K1517" s="300"/>
      <c r="Q1517" s="300"/>
    </row>
    <row r="1518" spans="1:17">
      <c r="A1518" s="390"/>
      <c r="B1518" s="405" t="s">
        <v>1205</v>
      </c>
      <c r="C1518" s="390">
        <v>95205</v>
      </c>
      <c r="D1518" s="390"/>
      <c r="H1518" s="300"/>
      <c r="J1518" s="387"/>
      <c r="K1518" s="300"/>
      <c r="Q1518" s="300"/>
    </row>
    <row r="1519" spans="1:17">
      <c r="A1519" s="390"/>
      <c r="B1519" s="405" t="s">
        <v>954</v>
      </c>
      <c r="C1519" s="390">
        <v>92507</v>
      </c>
      <c r="D1519" s="390"/>
      <c r="H1519" s="300"/>
      <c r="J1519" s="388"/>
      <c r="K1519" s="300"/>
      <c r="Q1519" s="300"/>
    </row>
    <row r="1520" spans="1:17">
      <c r="A1520" s="390"/>
      <c r="B1520" s="405" t="s">
        <v>1989</v>
      </c>
      <c r="C1520" s="390">
        <v>92511</v>
      </c>
      <c r="D1520" s="390"/>
      <c r="H1520" s="300"/>
      <c r="J1520" s="387"/>
      <c r="K1520" s="300"/>
      <c r="Q1520" s="300"/>
    </row>
    <row r="1521" spans="1:17">
      <c r="A1521" s="390"/>
      <c r="B1521" s="405" t="s">
        <v>2768</v>
      </c>
      <c r="C1521" s="390">
        <v>92113</v>
      </c>
      <c r="D1521" s="390"/>
      <c r="H1521" s="300"/>
      <c r="J1521" s="387"/>
      <c r="K1521" s="300"/>
      <c r="Q1521" s="300"/>
    </row>
    <row r="1522" spans="1:17">
      <c r="A1522" s="390"/>
      <c r="B1522" s="405" t="s">
        <v>2759</v>
      </c>
      <c r="C1522" s="390">
        <v>96502</v>
      </c>
      <c r="D1522" s="390"/>
      <c r="H1522" s="300"/>
      <c r="J1522" s="388"/>
      <c r="K1522" s="300"/>
      <c r="Q1522" s="300"/>
    </row>
    <row r="1523" spans="1:17">
      <c r="A1523" s="390"/>
      <c r="B1523" s="405" t="s">
        <v>1301</v>
      </c>
      <c r="C1523" s="390">
        <v>96501</v>
      </c>
      <c r="D1523" s="390"/>
      <c r="H1523" s="300"/>
      <c r="J1523" s="387"/>
      <c r="K1523" s="300"/>
      <c r="Q1523" s="300"/>
    </row>
    <row r="1524" spans="1:17">
      <c r="A1524" s="390"/>
      <c r="B1524" s="405" t="s">
        <v>1304</v>
      </c>
      <c r="C1524" s="390">
        <v>96504</v>
      </c>
      <c r="D1524" s="390"/>
      <c r="H1524" s="300"/>
      <c r="J1524" s="387"/>
      <c r="K1524" s="300"/>
      <c r="Q1524" s="300"/>
    </row>
    <row r="1525" spans="1:17">
      <c r="A1525" s="390"/>
      <c r="B1525" s="407" t="s">
        <v>2606</v>
      </c>
      <c r="C1525" s="390">
        <v>98471</v>
      </c>
      <c r="D1525" s="390"/>
      <c r="H1525" s="300"/>
      <c r="J1525" s="387"/>
      <c r="K1525" s="300"/>
      <c r="Q1525" s="300"/>
    </row>
    <row r="1526" spans="1:17">
      <c r="A1526" s="390"/>
      <c r="B1526" s="405" t="s">
        <v>2769</v>
      </c>
      <c r="C1526" s="390">
        <v>97913</v>
      </c>
      <c r="D1526" s="390"/>
      <c r="H1526" s="300"/>
      <c r="J1526" s="387"/>
      <c r="K1526" s="300"/>
      <c r="Q1526" s="300"/>
    </row>
    <row r="1527" spans="1:17">
      <c r="A1527" s="390"/>
      <c r="B1527" s="405" t="s">
        <v>2607</v>
      </c>
      <c r="C1527" s="390">
        <v>90621</v>
      </c>
      <c r="D1527" s="390"/>
      <c r="H1527" s="300"/>
      <c r="J1527" s="387"/>
      <c r="K1527" s="300"/>
      <c r="Q1527" s="300"/>
    </row>
    <row r="1528" spans="1:17">
      <c r="A1528" s="390"/>
      <c r="B1528" s="405" t="s">
        <v>2608</v>
      </c>
      <c r="C1528" s="390">
        <v>91621</v>
      </c>
      <c r="D1528" s="390"/>
      <c r="H1528" s="300"/>
      <c r="J1528" s="387"/>
      <c r="K1528" s="300"/>
      <c r="Q1528" s="300"/>
    </row>
    <row r="1529" spans="1:17">
      <c r="A1529" s="390"/>
      <c r="B1529" s="405" t="s">
        <v>1990</v>
      </c>
      <c r="C1529" s="390">
        <v>91871</v>
      </c>
      <c r="D1529" s="390"/>
      <c r="H1529" s="300"/>
      <c r="J1529" s="387"/>
      <c r="K1529" s="300"/>
      <c r="Q1529" s="300"/>
    </row>
    <row r="1530" spans="1:17">
      <c r="A1530" s="390"/>
      <c r="B1530" s="405" t="s">
        <v>2609</v>
      </c>
      <c r="C1530" s="390">
        <v>98231</v>
      </c>
      <c r="D1530" s="390"/>
      <c r="H1530" s="300"/>
      <c r="J1530" s="387"/>
      <c r="K1530" s="300"/>
      <c r="Q1530" s="300"/>
    </row>
    <row r="1531" spans="1:17">
      <c r="A1531" s="390"/>
      <c r="B1531" s="405" t="s">
        <v>2610</v>
      </c>
      <c r="C1531" s="390">
        <v>99311</v>
      </c>
      <c r="D1531" s="390"/>
      <c r="H1531" s="300"/>
      <c r="J1531" s="388"/>
      <c r="K1531" s="300"/>
      <c r="Q1531" s="300"/>
    </row>
    <row r="1532" spans="1:17">
      <c r="A1532" s="390"/>
      <c r="B1532" s="405" t="s">
        <v>2600</v>
      </c>
      <c r="C1532" s="390">
        <v>96751</v>
      </c>
      <c r="D1532" s="390"/>
      <c r="H1532" s="300"/>
      <c r="J1532" s="387"/>
      <c r="K1532" s="300"/>
      <c r="Q1532" s="300"/>
    </row>
    <row r="1533" spans="1:17">
      <c r="A1533" s="390"/>
      <c r="B1533" s="405" t="s">
        <v>2601</v>
      </c>
      <c r="C1533" s="390">
        <v>99711</v>
      </c>
      <c r="D1533" s="390"/>
      <c r="H1533" s="300"/>
      <c r="J1533" s="387"/>
      <c r="K1533" s="300"/>
      <c r="Q1533" s="300"/>
    </row>
    <row r="1534" spans="1:17">
      <c r="A1534" s="390"/>
      <c r="B1534" s="405" t="s">
        <v>2602</v>
      </c>
      <c r="C1534" s="390">
        <v>99717</v>
      </c>
      <c r="D1534" s="390"/>
      <c r="H1534" s="300"/>
      <c r="J1534" s="388"/>
      <c r="K1534" s="300"/>
      <c r="Q1534" s="300"/>
    </row>
    <row r="1535" spans="1:17">
      <c r="A1535" s="390"/>
      <c r="B1535" s="405" t="s">
        <v>1312</v>
      </c>
      <c r="C1535" s="390">
        <v>96601</v>
      </c>
      <c r="D1535" s="390"/>
      <c r="H1535" s="300"/>
      <c r="J1535" s="387"/>
      <c r="K1535" s="300"/>
      <c r="Q1535" s="300"/>
    </row>
    <row r="1536" spans="1:17">
      <c r="A1536" s="390"/>
      <c r="B1536" s="405" t="s">
        <v>1313</v>
      </c>
      <c r="C1536" s="390">
        <v>96604</v>
      </c>
      <c r="D1536" s="390"/>
      <c r="H1536" s="300"/>
      <c r="J1536" s="387"/>
      <c r="K1536" s="300"/>
      <c r="Q1536" s="300"/>
    </row>
    <row r="1537" spans="1:17">
      <c r="A1537" s="390"/>
      <c r="B1537" s="405" t="s">
        <v>1991</v>
      </c>
      <c r="C1537" s="390">
        <v>91012</v>
      </c>
      <c r="D1537" s="390"/>
      <c r="H1537" s="300"/>
      <c r="J1537" s="387"/>
      <c r="K1537" s="300"/>
      <c r="Q1537" s="300"/>
    </row>
    <row r="1538" spans="1:17">
      <c r="A1538" s="390"/>
      <c r="B1538" s="405" t="s">
        <v>749</v>
      </c>
      <c r="C1538" s="390">
        <v>90305</v>
      </c>
      <c r="D1538" s="390"/>
      <c r="H1538" s="300"/>
      <c r="J1538" s="387"/>
      <c r="K1538" s="300"/>
      <c r="Q1538" s="300"/>
    </row>
    <row r="1539" spans="1:17">
      <c r="A1539" s="390"/>
      <c r="B1539" s="405" t="s">
        <v>2611</v>
      </c>
      <c r="C1539" s="390">
        <v>98421</v>
      </c>
      <c r="D1539" s="390"/>
      <c r="H1539" s="300"/>
      <c r="J1539" s="387"/>
      <c r="K1539" s="300"/>
      <c r="Q1539" s="300"/>
    </row>
    <row r="1540" spans="1:17">
      <c r="A1540" s="390"/>
      <c r="B1540" s="405" t="s">
        <v>2793</v>
      </c>
      <c r="C1540" s="390">
        <v>98427</v>
      </c>
      <c r="D1540" s="390"/>
      <c r="H1540" s="300"/>
      <c r="J1540" s="387"/>
      <c r="K1540" s="300"/>
      <c r="Q1540" s="300"/>
    </row>
    <row r="1541" spans="1:17">
      <c r="A1541" s="390"/>
      <c r="B1541" s="405" t="s">
        <v>2612</v>
      </c>
      <c r="C1541" s="390">
        <v>95821</v>
      </c>
      <c r="D1541" s="390"/>
      <c r="H1541" s="300"/>
      <c r="J1541" s="387"/>
      <c r="K1541" s="300"/>
      <c r="Q1541" s="300"/>
    </row>
    <row r="1542" spans="1:17">
      <c r="A1542" s="390"/>
      <c r="B1542" s="405" t="s">
        <v>2613</v>
      </c>
      <c r="C1542" s="390">
        <v>91021</v>
      </c>
      <c r="D1542" s="390"/>
      <c r="H1542" s="300"/>
      <c r="J1542" s="387"/>
      <c r="K1542" s="300"/>
      <c r="Q1542" s="300"/>
    </row>
    <row r="1543" spans="1:17">
      <c r="A1543" s="390"/>
      <c r="B1543" s="405" t="s">
        <v>2792</v>
      </c>
      <c r="C1543" s="390">
        <v>91027</v>
      </c>
      <c r="D1543" s="390"/>
      <c r="H1543" s="300"/>
      <c r="J1543" s="388"/>
      <c r="K1543" s="300"/>
      <c r="Q1543" s="300"/>
    </row>
    <row r="1544" spans="1:17">
      <c r="A1544" s="390"/>
      <c r="B1544" s="405" t="s">
        <v>2614</v>
      </c>
      <c r="C1544" s="390">
        <v>94161</v>
      </c>
      <c r="D1544" s="390"/>
      <c r="H1544" s="300"/>
      <c r="J1544" s="387"/>
      <c r="K1544" s="300"/>
      <c r="Q1544" s="300"/>
    </row>
    <row r="1545" spans="1:17">
      <c r="A1545" s="390"/>
      <c r="B1545" s="405" t="s">
        <v>2615</v>
      </c>
      <c r="C1545" s="390">
        <v>98441</v>
      </c>
      <c r="D1545" s="390"/>
      <c r="H1545" s="300"/>
      <c r="J1545" s="387"/>
      <c r="K1545" s="300"/>
      <c r="Q1545" s="300"/>
    </row>
    <row r="1546" spans="1:17">
      <c r="A1546" s="390"/>
      <c r="B1546" s="405" t="s">
        <v>2616</v>
      </c>
      <c r="C1546" s="390">
        <v>91061</v>
      </c>
      <c r="D1546" s="390"/>
      <c r="H1546" s="300"/>
      <c r="J1546" s="388"/>
      <c r="K1546" s="300"/>
      <c r="Q1546" s="300"/>
    </row>
    <row r="1547" spans="1:17">
      <c r="A1547" s="390"/>
      <c r="B1547" s="405" t="s">
        <v>820</v>
      </c>
      <c r="C1547" s="390">
        <v>91067</v>
      </c>
      <c r="D1547" s="390"/>
      <c r="H1547" s="300"/>
      <c r="J1547" s="387"/>
      <c r="K1547" s="300"/>
      <c r="Q1547" s="300"/>
    </row>
    <row r="1548" spans="1:17">
      <c r="A1548" s="390"/>
      <c r="B1548" s="405" t="s">
        <v>2791</v>
      </c>
      <c r="C1548" s="390">
        <v>94812</v>
      </c>
      <c r="D1548" s="390"/>
      <c r="H1548" s="300"/>
      <c r="J1548" s="387"/>
      <c r="K1548" s="300"/>
      <c r="Q1548" s="300"/>
    </row>
    <row r="1549" spans="1:17">
      <c r="A1549" s="390"/>
      <c r="B1549" s="405" t="s">
        <v>2617</v>
      </c>
      <c r="C1549" s="390">
        <v>95921</v>
      </c>
      <c r="D1549" s="390"/>
      <c r="H1549" s="300"/>
      <c r="J1549" s="387"/>
      <c r="K1549" s="300"/>
      <c r="Q1549" s="300"/>
    </row>
    <row r="1550" spans="1:17">
      <c r="A1550" s="390"/>
      <c r="B1550" s="405" t="s">
        <v>1323</v>
      </c>
      <c r="C1550" s="390">
        <v>96701</v>
      </c>
      <c r="D1550" s="390"/>
      <c r="H1550" s="300"/>
      <c r="J1550" s="387"/>
      <c r="K1550" s="300"/>
      <c r="Q1550" s="300"/>
    </row>
    <row r="1551" spans="1:17">
      <c r="A1551" s="390"/>
      <c r="B1551" s="405" t="s">
        <v>1324</v>
      </c>
      <c r="C1551" s="390">
        <v>96704</v>
      </c>
      <c r="D1551" s="390"/>
      <c r="H1551" s="300"/>
      <c r="J1551" s="387"/>
      <c r="K1551" s="300"/>
      <c r="Q1551" s="300"/>
    </row>
    <row r="1552" spans="1:17">
      <c r="A1552" s="390"/>
      <c r="B1552" s="405" t="s">
        <v>1325</v>
      </c>
      <c r="C1552" s="390">
        <v>96708</v>
      </c>
      <c r="D1552" s="390"/>
      <c r="H1552" s="300"/>
      <c r="J1552" s="387"/>
      <c r="K1552" s="300"/>
      <c r="Q1552" s="300"/>
    </row>
    <row r="1553" spans="1:17">
      <c r="A1553" s="390"/>
      <c r="B1553" s="405" t="s">
        <v>1332</v>
      </c>
      <c r="C1553" s="390">
        <v>96801</v>
      </c>
      <c r="D1553" s="390"/>
      <c r="H1553" s="300"/>
      <c r="J1553" s="387"/>
      <c r="K1553" s="300"/>
      <c r="Q1553" s="300"/>
    </row>
    <row r="1554" spans="1:17">
      <c r="A1554" s="390"/>
      <c r="B1554" s="405" t="s">
        <v>1333</v>
      </c>
      <c r="C1554" s="390">
        <v>96804</v>
      </c>
      <c r="D1554" s="390"/>
      <c r="H1554" s="300"/>
      <c r="J1554" s="387"/>
      <c r="K1554" s="300"/>
      <c r="Q1554" s="300"/>
    </row>
    <row r="1555" spans="1:17">
      <c r="A1555" s="390"/>
      <c r="B1555" s="405" t="s">
        <v>1334</v>
      </c>
      <c r="C1555" s="390">
        <v>96808</v>
      </c>
      <c r="D1555" s="390"/>
      <c r="H1555" s="300"/>
      <c r="J1555" s="388"/>
      <c r="K1555" s="300"/>
      <c r="Q1555" s="300"/>
    </row>
    <row r="1556" spans="1:17">
      <c r="A1556" s="390"/>
      <c r="B1556" s="405" t="s">
        <v>2618</v>
      </c>
      <c r="C1556" s="390">
        <v>96912</v>
      </c>
      <c r="D1556" s="390"/>
      <c r="H1556" s="300"/>
      <c r="J1556" s="387"/>
      <c r="K1556" s="300"/>
      <c r="Q1556" s="300"/>
    </row>
    <row r="1557" spans="1:17">
      <c r="A1557" s="390"/>
      <c r="B1557" s="405" t="s">
        <v>1992</v>
      </c>
      <c r="C1557" s="390">
        <v>93911</v>
      </c>
      <c r="D1557" s="390"/>
      <c r="H1557" s="300"/>
      <c r="J1557" s="387"/>
      <c r="K1557" s="300"/>
      <c r="Q1557" s="300"/>
    </row>
    <row r="1558" spans="1:17">
      <c r="A1558" s="390"/>
      <c r="B1558" s="405" t="s">
        <v>1087</v>
      </c>
      <c r="C1558" s="390">
        <v>93913</v>
      </c>
      <c r="D1558" s="390"/>
      <c r="H1558" s="300"/>
      <c r="J1558" s="388"/>
      <c r="K1558" s="300"/>
      <c r="Q1558" s="300"/>
    </row>
    <row r="1559" spans="1:17">
      <c r="A1559" s="390"/>
      <c r="B1559" s="405" t="s">
        <v>1338</v>
      </c>
      <c r="C1559" s="390">
        <v>96901</v>
      </c>
      <c r="D1559" s="390"/>
      <c r="H1559" s="300"/>
      <c r="J1559" s="387"/>
      <c r="K1559" s="300"/>
      <c r="Q1559" s="300"/>
    </row>
    <row r="1560" spans="1:17">
      <c r="A1560" s="390"/>
      <c r="B1560" s="405" t="s">
        <v>2619</v>
      </c>
      <c r="C1560" s="390">
        <v>97841</v>
      </c>
      <c r="D1560" s="390"/>
      <c r="H1560" s="300"/>
      <c r="J1560" s="387"/>
      <c r="K1560" s="300"/>
      <c r="Q1560" s="300"/>
    </row>
    <row r="1561" spans="1:17">
      <c r="A1561" s="390"/>
      <c r="B1561" s="405" t="s">
        <v>1018</v>
      </c>
      <c r="C1561" s="390">
        <v>93202</v>
      </c>
      <c r="D1561" s="390"/>
      <c r="H1561" s="300"/>
      <c r="J1561" s="387"/>
      <c r="K1561" s="300"/>
      <c r="Q1561" s="300"/>
    </row>
    <row r="1562" spans="1:17">
      <c r="A1562" s="390"/>
      <c r="B1562" s="405" t="s">
        <v>1060</v>
      </c>
      <c r="C1562" s="390">
        <v>93609</v>
      </c>
      <c r="D1562" s="390"/>
      <c r="H1562" s="300"/>
      <c r="J1562" s="387"/>
      <c r="K1562" s="300"/>
      <c r="Q1562" s="300"/>
    </row>
    <row r="1563" spans="1:17">
      <c r="A1563" s="390"/>
      <c r="B1563" s="405" t="s">
        <v>1344</v>
      </c>
      <c r="C1563" s="390">
        <v>97004</v>
      </c>
      <c r="D1563" s="390"/>
      <c r="H1563" s="300"/>
      <c r="J1563" s="387"/>
      <c r="K1563" s="300"/>
      <c r="Q1563" s="300"/>
    </row>
    <row r="1564" spans="1:17">
      <c r="A1564" s="390"/>
      <c r="B1564" s="405" t="s">
        <v>1342</v>
      </c>
      <c r="C1564" s="390">
        <v>97001</v>
      </c>
      <c r="D1564" s="390"/>
      <c r="H1564" s="300"/>
      <c r="J1564" s="388"/>
      <c r="K1564" s="300"/>
      <c r="Q1564" s="300"/>
    </row>
    <row r="1565" spans="1:17">
      <c r="A1565" s="390"/>
      <c r="B1565" s="405" t="s">
        <v>1343</v>
      </c>
      <c r="C1565" s="390">
        <v>97002</v>
      </c>
      <c r="D1565" s="390"/>
      <c r="H1565" s="300"/>
      <c r="J1565" s="387"/>
      <c r="K1565" s="300"/>
      <c r="Q1565" s="300"/>
    </row>
    <row r="1566" spans="1:17">
      <c r="A1566" s="390"/>
      <c r="B1566" s="405" t="s">
        <v>1351</v>
      </c>
      <c r="C1566" s="390">
        <v>97015</v>
      </c>
      <c r="D1566" s="390"/>
      <c r="H1566" s="300"/>
      <c r="J1566" s="387"/>
      <c r="K1566" s="300"/>
      <c r="Q1566" s="300"/>
    </row>
    <row r="1567" spans="1:17">
      <c r="A1567" s="390"/>
      <c r="B1567" s="405" t="s">
        <v>2620</v>
      </c>
      <c r="C1567" s="390">
        <v>90441</v>
      </c>
      <c r="D1567" s="390"/>
      <c r="H1567" s="300"/>
      <c r="J1567" s="387"/>
      <c r="K1567" s="300"/>
      <c r="Q1567" s="300"/>
    </row>
    <row r="1568" spans="1:17">
      <c r="A1568" s="390"/>
      <c r="B1568" s="405" t="s">
        <v>2621</v>
      </c>
      <c r="C1568" s="390">
        <v>97851</v>
      </c>
      <c r="D1568" s="390"/>
      <c r="H1568" s="300"/>
      <c r="J1568" s="387"/>
      <c r="K1568" s="300"/>
      <c r="Q1568" s="300"/>
    </row>
    <row r="1569" spans="1:17">
      <c r="A1569" s="390"/>
      <c r="B1569" s="405" t="s">
        <v>1423</v>
      </c>
      <c r="C1569" s="390">
        <v>97853</v>
      </c>
      <c r="D1569" s="390"/>
      <c r="H1569" s="300"/>
      <c r="J1569" s="387"/>
      <c r="K1569" s="300"/>
      <c r="Q1569" s="300"/>
    </row>
    <row r="1570" spans="1:17">
      <c r="A1570" s="390"/>
      <c r="B1570" s="405" t="s">
        <v>1353</v>
      </c>
      <c r="C1570" s="390">
        <v>97101</v>
      </c>
      <c r="D1570" s="390"/>
      <c r="H1570" s="300"/>
      <c r="J1570" s="387"/>
      <c r="K1570" s="300"/>
      <c r="Q1570" s="300"/>
    </row>
    <row r="1571" spans="1:17">
      <c r="A1571" s="390"/>
      <c r="B1571" s="405" t="s">
        <v>1354</v>
      </c>
      <c r="C1571" s="390">
        <v>97104</v>
      </c>
      <c r="D1571" s="390"/>
      <c r="H1571" s="300"/>
      <c r="J1571" s="387"/>
      <c r="K1571" s="300"/>
      <c r="Q1571" s="300"/>
    </row>
    <row r="1572" spans="1:17">
      <c r="A1572" s="390"/>
      <c r="B1572" s="405" t="s">
        <v>1358</v>
      </c>
      <c r="C1572" s="390">
        <v>97201</v>
      </c>
      <c r="D1572" s="390"/>
      <c r="H1572" s="300"/>
      <c r="J1572" s="387"/>
      <c r="K1572" s="300"/>
      <c r="Q1572" s="300"/>
    </row>
    <row r="1573" spans="1:17">
      <c r="A1573" s="390"/>
      <c r="B1573" s="405" t="s">
        <v>2790</v>
      </c>
      <c r="C1573" s="390">
        <v>97304</v>
      </c>
      <c r="D1573" s="390"/>
      <c r="H1573" s="300"/>
      <c r="J1573" s="388"/>
      <c r="K1573" s="300"/>
      <c r="Q1573" s="300"/>
    </row>
    <row r="1574" spans="1:17">
      <c r="A1574" s="390"/>
      <c r="B1574" s="405" t="s">
        <v>1363</v>
      </c>
      <c r="C1574" s="390">
        <v>97301</v>
      </c>
      <c r="D1574" s="390"/>
      <c r="H1574" s="300"/>
      <c r="J1574" s="387"/>
      <c r="K1574" s="300"/>
      <c r="Q1574" s="300"/>
    </row>
    <row r="1575" spans="1:17">
      <c r="A1575" s="390"/>
      <c r="B1575" s="405" t="s">
        <v>1565</v>
      </c>
      <c r="C1575" s="390">
        <v>99405</v>
      </c>
      <c r="D1575" s="390"/>
      <c r="H1575" s="300"/>
      <c r="J1575" s="387"/>
      <c r="K1575" s="300"/>
      <c r="Q1575" s="300"/>
    </row>
    <row r="1576" spans="1:17">
      <c r="A1576" s="390"/>
      <c r="B1576" s="405" t="s">
        <v>724</v>
      </c>
      <c r="C1576" s="219">
        <v>72265</v>
      </c>
      <c r="D1576" s="390"/>
      <c r="H1576" s="300"/>
      <c r="J1576" s="388"/>
      <c r="K1576" s="300"/>
      <c r="Q1576" s="300"/>
    </row>
    <row r="1577" spans="1:17">
      <c r="A1577" s="390"/>
      <c r="B1577" s="405" t="s">
        <v>2756</v>
      </c>
      <c r="C1577" s="390">
        <v>94112</v>
      </c>
      <c r="D1577" s="390"/>
      <c r="H1577" s="300"/>
      <c r="J1577" s="387"/>
      <c r="K1577" s="300"/>
      <c r="Q1577" s="300"/>
    </row>
    <row r="1578" spans="1:17">
      <c r="A1578" s="390"/>
      <c r="B1578" s="405" t="s">
        <v>1038</v>
      </c>
      <c r="C1578" s="390">
        <v>93406</v>
      </c>
      <c r="D1578" s="390"/>
      <c r="H1578" s="300"/>
      <c r="J1578" s="387"/>
      <c r="K1578" s="300"/>
      <c r="Q1578" s="300"/>
    </row>
    <row r="1579" spans="1:17">
      <c r="A1579" s="390"/>
      <c r="B1579" s="405" t="s">
        <v>2622</v>
      </c>
      <c r="C1579" s="390">
        <v>99651</v>
      </c>
      <c r="D1579" s="390"/>
      <c r="H1579" s="300"/>
      <c r="J1579" s="387"/>
      <c r="K1579" s="300"/>
      <c r="Q1579" s="300"/>
    </row>
    <row r="1580" spans="1:17">
      <c r="A1580" s="390"/>
      <c r="B1580" s="405" t="s">
        <v>2623</v>
      </c>
      <c r="C1580" s="390">
        <v>98611</v>
      </c>
      <c r="D1580" s="390"/>
      <c r="H1580" s="300"/>
      <c r="J1580" s="387"/>
      <c r="K1580" s="300"/>
      <c r="Q1580" s="300"/>
    </row>
    <row r="1581" spans="1:17">
      <c r="A1581" s="390"/>
      <c r="B1581" s="405" t="s">
        <v>1501</v>
      </c>
      <c r="C1581" s="390">
        <v>98607</v>
      </c>
      <c r="D1581" s="390"/>
      <c r="H1581" s="300"/>
      <c r="J1581" s="387"/>
      <c r="K1581" s="300"/>
      <c r="Q1581" s="300"/>
    </row>
    <row r="1582" spans="1:17">
      <c r="A1582" s="390"/>
      <c r="B1582" s="405" t="s">
        <v>2624</v>
      </c>
      <c r="C1582" s="390">
        <v>91641</v>
      </c>
      <c r="D1582" s="390"/>
      <c r="H1582" s="300"/>
      <c r="J1582" s="387"/>
      <c r="K1582" s="300"/>
      <c r="Q1582" s="300"/>
    </row>
    <row r="1583" spans="1:17">
      <c r="A1583" s="390"/>
      <c r="B1583" s="405" t="s">
        <v>2625</v>
      </c>
      <c r="C1583" s="390">
        <v>95161</v>
      </c>
      <c r="D1583" s="390"/>
      <c r="H1583" s="300"/>
      <c r="J1583" s="387"/>
      <c r="K1583" s="300"/>
      <c r="Q1583" s="300"/>
    </row>
    <row r="1584" spans="1:17">
      <c r="A1584" s="390"/>
      <c r="B1584" s="405" t="s">
        <v>2626</v>
      </c>
      <c r="C1584" s="390">
        <v>96361</v>
      </c>
      <c r="D1584" s="390"/>
      <c r="H1584" s="300"/>
      <c r="J1584" s="387"/>
      <c r="K1584" s="300"/>
      <c r="Q1584" s="300"/>
    </row>
    <row r="1585" spans="1:17">
      <c r="A1585" s="390"/>
      <c r="B1585" s="405" t="s">
        <v>1100</v>
      </c>
      <c r="C1585" s="390">
        <v>94108</v>
      </c>
      <c r="D1585" s="390"/>
      <c r="H1585" s="300"/>
      <c r="J1585" s="388"/>
      <c r="K1585" s="300"/>
      <c r="Q1585" s="300"/>
    </row>
    <row r="1586" spans="1:17">
      <c r="A1586" s="390"/>
      <c r="B1586" s="405" t="s">
        <v>2627</v>
      </c>
      <c r="C1586" s="390">
        <v>96351</v>
      </c>
      <c r="D1586" s="390"/>
      <c r="H1586" s="300"/>
      <c r="J1586" s="387"/>
      <c r="K1586" s="300"/>
      <c r="Q1586" s="300"/>
    </row>
    <row r="1587" spans="1:17">
      <c r="A1587" s="390"/>
      <c r="B1587" s="405" t="s">
        <v>2628</v>
      </c>
      <c r="C1587" s="390">
        <v>93331</v>
      </c>
      <c r="D1587" s="390"/>
      <c r="H1587" s="300"/>
      <c r="J1587" s="387"/>
      <c r="K1587" s="300"/>
      <c r="Q1587" s="300"/>
    </row>
    <row r="1588" spans="1:17">
      <c r="A1588" s="390"/>
      <c r="B1588" s="405" t="s">
        <v>2629</v>
      </c>
      <c r="C1588" s="390">
        <v>96021</v>
      </c>
      <c r="D1588" s="390"/>
      <c r="H1588" s="300"/>
      <c r="J1588" s="388"/>
      <c r="K1588" s="300"/>
      <c r="Q1588" s="300"/>
    </row>
    <row r="1589" spans="1:17">
      <c r="A1589" s="390"/>
      <c r="B1589" s="405" t="s">
        <v>2630</v>
      </c>
      <c r="C1589" s="390">
        <v>95421</v>
      </c>
      <c r="D1589" s="390"/>
      <c r="H1589" s="300"/>
      <c r="J1589" s="387"/>
      <c r="K1589" s="300"/>
      <c r="Q1589" s="300"/>
    </row>
    <row r="1590" spans="1:17">
      <c r="A1590" s="390"/>
      <c r="B1590" s="405" t="s">
        <v>1366</v>
      </c>
      <c r="C1590" s="390">
        <v>97401</v>
      </c>
      <c r="D1590" s="390"/>
      <c r="H1590" s="300"/>
      <c r="J1590" s="387"/>
      <c r="K1590" s="300"/>
      <c r="Q1590" s="300"/>
    </row>
    <row r="1591" spans="1:17">
      <c r="A1591" s="390"/>
      <c r="B1591" s="405" t="s">
        <v>1368</v>
      </c>
      <c r="C1591" s="390">
        <v>97404</v>
      </c>
      <c r="D1591" s="390"/>
      <c r="H1591" s="300"/>
      <c r="J1591" s="387"/>
      <c r="K1591" s="300"/>
      <c r="Q1591" s="300"/>
    </row>
    <row r="1592" spans="1:17">
      <c r="A1592" s="390"/>
      <c r="B1592" s="405" t="s">
        <v>2789</v>
      </c>
      <c r="C1592" s="390">
        <v>97402</v>
      </c>
      <c r="D1592" s="390"/>
      <c r="H1592" s="300"/>
      <c r="J1592" s="387"/>
      <c r="K1592" s="300"/>
      <c r="Q1592" s="300"/>
    </row>
    <row r="1593" spans="1:17">
      <c r="A1593" s="390"/>
      <c r="B1593" s="405" t="s">
        <v>2631</v>
      </c>
      <c r="C1593" s="390">
        <v>91921</v>
      </c>
      <c r="D1593" s="390"/>
      <c r="H1593" s="300"/>
      <c r="J1593" s="387"/>
      <c r="K1593" s="300"/>
      <c r="Q1593" s="300"/>
    </row>
    <row r="1594" spans="1:17">
      <c r="A1594" s="390"/>
      <c r="B1594" s="405" t="s">
        <v>1245</v>
      </c>
      <c r="C1594" s="390">
        <v>95908</v>
      </c>
      <c r="D1594" s="390"/>
      <c r="H1594" s="300"/>
      <c r="J1594" s="387"/>
      <c r="K1594" s="300"/>
      <c r="Q1594" s="300"/>
    </row>
    <row r="1595" spans="1:17">
      <c r="A1595" s="390"/>
      <c r="B1595" s="405" t="s">
        <v>2632</v>
      </c>
      <c r="C1595" s="390">
        <v>99411</v>
      </c>
      <c r="D1595" s="390"/>
      <c r="H1595" s="300"/>
      <c r="J1595" s="387"/>
      <c r="K1595" s="300"/>
      <c r="Q1595" s="300"/>
    </row>
    <row r="1596" spans="1:17">
      <c r="A1596" s="390"/>
      <c r="B1596" s="405" t="s">
        <v>1567</v>
      </c>
      <c r="C1596" s="390">
        <v>99413</v>
      </c>
      <c r="D1596" s="390"/>
      <c r="H1596" s="300"/>
      <c r="J1596" s="387"/>
      <c r="K1596" s="300"/>
      <c r="Q1596" s="300"/>
    </row>
    <row r="1597" spans="1:17">
      <c r="A1597" s="390"/>
      <c r="B1597" s="405" t="s">
        <v>1384</v>
      </c>
      <c r="C1597" s="390">
        <v>97501</v>
      </c>
      <c r="D1597" s="390"/>
      <c r="H1597" s="300"/>
      <c r="J1597" s="388"/>
      <c r="K1597" s="300"/>
      <c r="Q1597" s="300"/>
    </row>
    <row r="1598" spans="1:17">
      <c r="A1598" s="390"/>
      <c r="B1598" s="405" t="s">
        <v>2633</v>
      </c>
      <c r="C1598" s="390">
        <v>90431</v>
      </c>
      <c r="D1598" s="390"/>
      <c r="H1598" s="300"/>
      <c r="J1598" s="387"/>
      <c r="K1598" s="300"/>
      <c r="Q1598" s="300"/>
    </row>
    <row r="1599" spans="1:17">
      <c r="A1599" s="390"/>
      <c r="B1599" s="405" t="s">
        <v>2634</v>
      </c>
      <c r="C1599" s="390">
        <v>95211</v>
      </c>
      <c r="D1599" s="390"/>
      <c r="H1599" s="300"/>
      <c r="J1599" s="387"/>
      <c r="K1599" s="300"/>
      <c r="Q1599" s="300"/>
    </row>
    <row r="1600" spans="1:17">
      <c r="A1600" s="390"/>
      <c r="B1600" s="405" t="s">
        <v>2635</v>
      </c>
      <c r="C1600" s="390">
        <v>95181</v>
      </c>
      <c r="D1600" s="390"/>
      <c r="H1600" s="300"/>
      <c r="J1600" s="388"/>
      <c r="K1600" s="300"/>
      <c r="Q1600" s="300"/>
    </row>
    <row r="1601" spans="1:17">
      <c r="A1601" s="390"/>
      <c r="B1601" s="405" t="s">
        <v>2636</v>
      </c>
      <c r="C1601" s="390">
        <v>93351</v>
      </c>
      <c r="D1601" s="390"/>
      <c r="H1601" s="300"/>
      <c r="J1601" s="387"/>
      <c r="K1601" s="300"/>
      <c r="Q1601" s="300"/>
    </row>
    <row r="1602" spans="1:17">
      <c r="A1602" s="390"/>
      <c r="B1602" s="405" t="s">
        <v>1188</v>
      </c>
      <c r="C1602" s="390">
        <v>95105</v>
      </c>
      <c r="D1602" s="390"/>
      <c r="H1602" s="300"/>
      <c r="J1602" s="387"/>
      <c r="K1602" s="300"/>
      <c r="Q1602" s="300"/>
    </row>
    <row r="1603" spans="1:17">
      <c r="A1603" s="390"/>
      <c r="B1603" s="405" t="s">
        <v>2637</v>
      </c>
      <c r="C1603" s="390">
        <v>94711</v>
      </c>
      <c r="D1603" s="390"/>
      <c r="H1603" s="300"/>
      <c r="J1603" s="387"/>
      <c r="K1603" s="300"/>
      <c r="Q1603" s="300"/>
    </row>
    <row r="1604" spans="1:17">
      <c r="A1604" s="390"/>
      <c r="B1604" s="405" t="s">
        <v>1993</v>
      </c>
      <c r="C1604" s="390">
        <v>99211</v>
      </c>
      <c r="D1604" s="390"/>
      <c r="H1604" s="300"/>
      <c r="J1604" s="387"/>
      <c r="K1604" s="300"/>
      <c r="Q1604" s="300"/>
    </row>
    <row r="1605" spans="1:17">
      <c r="A1605" s="390"/>
      <c r="B1605" s="405" t="s">
        <v>1994</v>
      </c>
      <c r="C1605" s="390">
        <v>99213</v>
      </c>
      <c r="D1605" s="390"/>
      <c r="H1605" s="300"/>
      <c r="J1605" s="387"/>
      <c r="K1605" s="300"/>
      <c r="Q1605" s="300"/>
    </row>
    <row r="1606" spans="1:17">
      <c r="A1606" s="390"/>
      <c r="B1606" s="405" t="s">
        <v>1548</v>
      </c>
      <c r="C1606" s="390">
        <v>99218</v>
      </c>
      <c r="D1606" s="390"/>
      <c r="H1606" s="300"/>
      <c r="J1606" s="387"/>
      <c r="K1606" s="300"/>
      <c r="Q1606" s="300"/>
    </row>
    <row r="1607" spans="1:17">
      <c r="A1607" s="390"/>
      <c r="B1607" s="405" t="s">
        <v>2638</v>
      </c>
      <c r="C1607" s="390">
        <v>97641</v>
      </c>
      <c r="D1607" s="390"/>
      <c r="H1607" s="300"/>
      <c r="J1607" s="387"/>
      <c r="K1607" s="300"/>
      <c r="Q1607" s="300"/>
    </row>
    <row r="1608" spans="1:17">
      <c r="A1608" s="390"/>
      <c r="B1608" s="405" t="s">
        <v>1995</v>
      </c>
      <c r="C1608" s="390">
        <v>97621</v>
      </c>
      <c r="D1608" s="390"/>
      <c r="H1608" s="300"/>
      <c r="J1608" s="387"/>
      <c r="K1608" s="300"/>
      <c r="Q1608" s="300"/>
    </row>
    <row r="1609" spans="1:17">
      <c r="A1609" s="390"/>
      <c r="B1609" s="405" t="s">
        <v>1996</v>
      </c>
      <c r="C1609" s="390">
        <v>97627</v>
      </c>
      <c r="D1609" s="390"/>
      <c r="H1609" s="300"/>
      <c r="J1609" s="388"/>
      <c r="K1609" s="300"/>
      <c r="Q1609" s="300"/>
    </row>
    <row r="1610" spans="1:17">
      <c r="A1610" s="390"/>
      <c r="B1610" s="405" t="s">
        <v>1997</v>
      </c>
      <c r="C1610" s="390">
        <v>97623</v>
      </c>
      <c r="D1610" s="390"/>
      <c r="H1610" s="300"/>
      <c r="J1610" s="387"/>
      <c r="K1610" s="300"/>
      <c r="Q1610" s="300"/>
    </row>
    <row r="1611" spans="1:17">
      <c r="A1611" s="390"/>
      <c r="B1611" s="405" t="s">
        <v>1388</v>
      </c>
      <c r="C1611" s="390">
        <v>97601</v>
      </c>
      <c r="D1611" s="390"/>
      <c r="H1611" s="300"/>
      <c r="J1611" s="387"/>
      <c r="K1611" s="300"/>
      <c r="Q1611" s="300"/>
    </row>
    <row r="1612" spans="1:17">
      <c r="A1612" s="390"/>
      <c r="B1612" s="405" t="s">
        <v>2639</v>
      </c>
      <c r="C1612" s="390">
        <v>93681</v>
      </c>
      <c r="D1612" s="390"/>
      <c r="H1612" s="300"/>
      <c r="J1612" s="388"/>
      <c r="K1612" s="300"/>
      <c r="Q1612" s="300"/>
    </row>
    <row r="1613" spans="1:17">
      <c r="A1613" s="390"/>
      <c r="B1613" s="405" t="s">
        <v>2640</v>
      </c>
      <c r="C1613" s="390">
        <v>97871</v>
      </c>
      <c r="D1613" s="390"/>
      <c r="H1613" s="300"/>
      <c r="J1613" s="387"/>
      <c r="K1613" s="300"/>
      <c r="Q1613" s="300"/>
    </row>
    <row r="1614" spans="1:17">
      <c r="A1614" s="390"/>
      <c r="B1614" s="405" t="s">
        <v>1426</v>
      </c>
      <c r="C1614" s="390">
        <v>97877</v>
      </c>
      <c r="D1614" s="390"/>
      <c r="H1614" s="300"/>
      <c r="J1614" s="387"/>
      <c r="K1614" s="300"/>
      <c r="Q1614" s="300"/>
    </row>
    <row r="1615" spans="1:17">
      <c r="A1615" s="390"/>
      <c r="B1615" s="405" t="s">
        <v>1571</v>
      </c>
      <c r="C1615" s="390">
        <v>99502</v>
      </c>
      <c r="D1615" s="390"/>
      <c r="H1615" s="300"/>
      <c r="J1615" s="387"/>
      <c r="K1615" s="300"/>
      <c r="Q1615" s="300"/>
    </row>
    <row r="1616" spans="1:17">
      <c r="A1616" s="390"/>
      <c r="B1616" s="405" t="s">
        <v>1998</v>
      </c>
      <c r="C1616" s="390">
        <v>97911</v>
      </c>
      <c r="D1616" s="390"/>
      <c r="H1616" s="300"/>
      <c r="J1616" s="387"/>
      <c r="K1616" s="300"/>
      <c r="Q1616" s="300"/>
    </row>
    <row r="1617" spans="1:1023 1025:2047 2049:3071 3073:4095 4097:5119 5121:6143 6145:7167 7169:8191 8193:9215 9217:10239 10241:11263 11265:12287 12289:13311 13313:14335 14337:15359 15361:16383">
      <c r="A1617" s="390"/>
      <c r="B1617" s="405" t="s">
        <v>1430</v>
      </c>
      <c r="C1617" s="390">
        <v>97917</v>
      </c>
      <c r="D1617" s="390"/>
      <c r="H1617" s="300"/>
      <c r="J1617" s="387"/>
      <c r="K1617" s="300"/>
      <c r="Q1617" s="300"/>
    </row>
    <row r="1618" spans="1:1023 1025:2047 2049:3071 3073:4095 4097:5119 5121:6143 6145:7167 7169:8191 8193:9215 9217:10239 10241:11263 11265:12287 12289:13311 13313:14335 14337:15359 15361:16383" s="390" customFormat="1">
      <c r="B1618" s="391" t="s">
        <v>3732</v>
      </c>
      <c r="C1618" s="390">
        <v>91414</v>
      </c>
      <c r="D1618" s="391"/>
      <c r="F1618" s="391"/>
      <c r="H1618" s="391"/>
      <c r="J1618" s="391"/>
      <c r="L1618" s="391"/>
      <c r="O1618" s="391"/>
      <c r="Q1618" s="391"/>
      <c r="S1618" s="391"/>
      <c r="U1618" s="391"/>
      <c r="W1618" s="391"/>
      <c r="Y1618" s="391"/>
      <c r="AA1618" s="391"/>
      <c r="AC1618" s="391"/>
      <c r="AE1618" s="391"/>
      <c r="AG1618" s="391"/>
      <c r="AI1618" s="391"/>
      <c r="AK1618" s="391"/>
      <c r="AM1618" s="391"/>
      <c r="AO1618" s="391"/>
      <c r="AQ1618" s="391"/>
      <c r="AS1618" s="391"/>
      <c r="AU1618" s="391"/>
      <c r="AW1618" s="391"/>
      <c r="AY1618" s="391"/>
      <c r="BA1618" s="391"/>
      <c r="BC1618" s="391"/>
      <c r="BE1618" s="391"/>
      <c r="BG1618" s="391"/>
      <c r="BI1618" s="391"/>
      <c r="BK1618" s="391"/>
      <c r="BM1618" s="391"/>
      <c r="BO1618" s="391"/>
      <c r="BQ1618" s="391"/>
      <c r="BS1618" s="391"/>
      <c r="BU1618" s="391"/>
      <c r="BW1618" s="391"/>
      <c r="BY1618" s="391"/>
      <c r="CA1618" s="391"/>
      <c r="CC1618" s="391"/>
      <c r="CE1618" s="391"/>
      <c r="CG1618" s="391"/>
      <c r="CI1618" s="391"/>
      <c r="CK1618" s="391"/>
      <c r="CM1618" s="391"/>
      <c r="CO1618" s="391"/>
      <c r="CQ1618" s="391"/>
      <c r="CS1618" s="391"/>
      <c r="CU1618" s="391"/>
      <c r="CW1618" s="391"/>
      <c r="CY1618" s="391"/>
      <c r="DA1618" s="391"/>
      <c r="DC1618" s="391"/>
      <c r="DE1618" s="391"/>
      <c r="DG1618" s="391"/>
      <c r="DI1618" s="391"/>
      <c r="DK1618" s="391"/>
      <c r="DM1618" s="391"/>
      <c r="DO1618" s="391"/>
      <c r="DQ1618" s="391"/>
      <c r="DS1618" s="391"/>
      <c r="DU1618" s="391"/>
      <c r="DW1618" s="391"/>
      <c r="DY1618" s="391"/>
      <c r="EA1618" s="391"/>
      <c r="EC1618" s="391"/>
      <c r="EE1618" s="391"/>
      <c r="EG1618" s="391"/>
      <c r="EI1618" s="391"/>
      <c r="EK1618" s="391"/>
      <c r="EM1618" s="391"/>
      <c r="EO1618" s="391"/>
      <c r="EQ1618" s="391"/>
      <c r="ES1618" s="391"/>
      <c r="EU1618" s="391"/>
      <c r="EW1618" s="391"/>
      <c r="EY1618" s="391"/>
      <c r="FA1618" s="391"/>
      <c r="FC1618" s="391"/>
      <c r="FE1618" s="391"/>
      <c r="FG1618" s="391"/>
      <c r="FI1618" s="391"/>
      <c r="FK1618" s="391"/>
      <c r="FM1618" s="391"/>
      <c r="FO1618" s="391"/>
      <c r="FQ1618" s="391"/>
      <c r="FS1618" s="391"/>
      <c r="FU1618" s="391"/>
      <c r="FW1618" s="391"/>
      <c r="FY1618" s="391"/>
      <c r="GA1618" s="391"/>
      <c r="GC1618" s="391"/>
      <c r="GE1618" s="391"/>
      <c r="GG1618" s="391"/>
      <c r="GI1618" s="391"/>
      <c r="GK1618" s="391"/>
      <c r="GM1618" s="391"/>
      <c r="GO1618" s="391"/>
      <c r="GQ1618" s="391"/>
      <c r="GS1618" s="391"/>
      <c r="GU1618" s="391"/>
      <c r="GW1618" s="391"/>
      <c r="GY1618" s="391"/>
      <c r="HA1618" s="391"/>
      <c r="HC1618" s="391"/>
      <c r="HE1618" s="391"/>
      <c r="HG1618" s="391"/>
      <c r="HI1618" s="391"/>
      <c r="HK1618" s="391"/>
      <c r="HM1618" s="391"/>
      <c r="HO1618" s="391"/>
      <c r="HQ1618" s="391"/>
      <c r="HS1618" s="391"/>
      <c r="HU1618" s="391"/>
      <c r="HW1618" s="391"/>
      <c r="HY1618" s="391"/>
      <c r="IA1618" s="391"/>
      <c r="IC1618" s="391"/>
      <c r="IE1618" s="391"/>
      <c r="IG1618" s="391"/>
      <c r="II1618" s="391"/>
      <c r="IK1618" s="391"/>
      <c r="IM1618" s="391"/>
      <c r="IO1618" s="391"/>
      <c r="IQ1618" s="391"/>
      <c r="IS1618" s="391"/>
      <c r="IU1618" s="391"/>
      <c r="IW1618" s="391"/>
      <c r="IY1618" s="391"/>
      <c r="JA1618" s="391"/>
      <c r="JC1618" s="391"/>
      <c r="JE1618" s="391"/>
      <c r="JG1618" s="391"/>
      <c r="JI1618" s="391"/>
      <c r="JK1618" s="391"/>
      <c r="JM1618" s="391"/>
      <c r="JO1618" s="391"/>
      <c r="JQ1618" s="391"/>
      <c r="JS1618" s="391"/>
      <c r="JU1618" s="391"/>
      <c r="JW1618" s="391"/>
      <c r="JY1618" s="391"/>
      <c r="KA1618" s="391"/>
      <c r="KC1618" s="391"/>
      <c r="KE1618" s="391"/>
      <c r="KG1618" s="391"/>
      <c r="KI1618" s="391"/>
      <c r="KK1618" s="391"/>
      <c r="KM1618" s="391"/>
      <c r="KO1618" s="391"/>
      <c r="KQ1618" s="391"/>
      <c r="KS1618" s="391"/>
      <c r="KU1618" s="391"/>
      <c r="KW1618" s="391"/>
      <c r="KY1618" s="391"/>
      <c r="LA1618" s="391"/>
      <c r="LC1618" s="391"/>
      <c r="LE1618" s="391"/>
      <c r="LG1618" s="391"/>
      <c r="LI1618" s="391"/>
      <c r="LK1618" s="391"/>
      <c r="LM1618" s="391"/>
      <c r="LO1618" s="391"/>
      <c r="LQ1618" s="391"/>
      <c r="LS1618" s="391"/>
      <c r="LU1618" s="391"/>
      <c r="LW1618" s="391"/>
      <c r="LY1618" s="391"/>
      <c r="MA1618" s="391"/>
      <c r="MC1618" s="391"/>
      <c r="ME1618" s="391"/>
      <c r="MG1618" s="391"/>
      <c r="MI1618" s="391"/>
      <c r="MK1618" s="391"/>
      <c r="MM1618" s="391"/>
      <c r="MO1618" s="391"/>
      <c r="MQ1618" s="391"/>
      <c r="MS1618" s="391"/>
      <c r="MU1618" s="391"/>
      <c r="MW1618" s="391"/>
      <c r="MY1618" s="391"/>
      <c r="NA1618" s="391"/>
      <c r="NC1618" s="391"/>
      <c r="NE1618" s="391"/>
      <c r="NG1618" s="391"/>
      <c r="NI1618" s="391"/>
      <c r="NK1618" s="391"/>
      <c r="NM1618" s="391"/>
      <c r="NO1618" s="391"/>
      <c r="NQ1618" s="391"/>
      <c r="NS1618" s="391"/>
      <c r="NU1618" s="391"/>
      <c r="NW1618" s="391"/>
      <c r="NY1618" s="391"/>
      <c r="OA1618" s="391"/>
      <c r="OC1618" s="391"/>
      <c r="OE1618" s="391"/>
      <c r="OG1618" s="391"/>
      <c r="OI1618" s="391"/>
      <c r="OK1618" s="391"/>
      <c r="OM1618" s="391"/>
      <c r="OO1618" s="391"/>
      <c r="OQ1618" s="391"/>
      <c r="OS1618" s="391"/>
      <c r="OU1618" s="391"/>
      <c r="OW1618" s="391"/>
      <c r="OY1618" s="391"/>
      <c r="PA1618" s="391"/>
      <c r="PC1618" s="391"/>
      <c r="PE1618" s="391"/>
      <c r="PG1618" s="391"/>
      <c r="PI1618" s="391"/>
      <c r="PK1618" s="391"/>
      <c r="PM1618" s="391"/>
      <c r="PO1618" s="391"/>
      <c r="PQ1618" s="391"/>
      <c r="PS1618" s="391"/>
      <c r="PU1618" s="391"/>
      <c r="PW1618" s="391"/>
      <c r="PY1618" s="391"/>
      <c r="QA1618" s="391"/>
      <c r="QC1618" s="391"/>
      <c r="QE1618" s="391"/>
      <c r="QG1618" s="391"/>
      <c r="QI1618" s="391"/>
      <c r="QK1618" s="391"/>
      <c r="QM1618" s="391"/>
      <c r="QO1618" s="391"/>
      <c r="QQ1618" s="391"/>
      <c r="QS1618" s="391"/>
      <c r="QU1618" s="391"/>
      <c r="QW1618" s="391"/>
      <c r="QY1618" s="391"/>
      <c r="RA1618" s="391"/>
      <c r="RC1618" s="391"/>
      <c r="RE1618" s="391"/>
      <c r="RG1618" s="391"/>
      <c r="RI1618" s="391"/>
      <c r="RK1618" s="391"/>
      <c r="RM1618" s="391"/>
      <c r="RO1618" s="391"/>
      <c r="RQ1618" s="391"/>
      <c r="RS1618" s="391"/>
      <c r="RU1618" s="391"/>
      <c r="RW1618" s="391"/>
      <c r="RY1618" s="391"/>
      <c r="SA1618" s="391"/>
      <c r="SC1618" s="391"/>
      <c r="SE1618" s="391"/>
      <c r="SG1618" s="391"/>
      <c r="SI1618" s="391"/>
      <c r="SK1618" s="391"/>
      <c r="SM1618" s="391"/>
      <c r="SO1618" s="391"/>
      <c r="SQ1618" s="391"/>
      <c r="SS1618" s="391"/>
      <c r="SU1618" s="391"/>
      <c r="SW1618" s="391"/>
      <c r="SY1618" s="391"/>
      <c r="TA1618" s="391"/>
      <c r="TC1618" s="391"/>
      <c r="TE1618" s="391"/>
      <c r="TG1618" s="391"/>
      <c r="TI1618" s="391"/>
      <c r="TK1618" s="391"/>
      <c r="TM1618" s="391"/>
      <c r="TO1618" s="391"/>
      <c r="TQ1618" s="391"/>
      <c r="TS1618" s="391"/>
      <c r="TU1618" s="391"/>
      <c r="TW1618" s="391"/>
      <c r="TY1618" s="391"/>
      <c r="UA1618" s="391"/>
      <c r="UC1618" s="391"/>
      <c r="UE1618" s="391"/>
      <c r="UG1618" s="391"/>
      <c r="UI1618" s="391"/>
      <c r="UK1618" s="391"/>
      <c r="UM1618" s="391"/>
      <c r="UO1618" s="391"/>
      <c r="UQ1618" s="391"/>
      <c r="US1618" s="391"/>
      <c r="UU1618" s="391"/>
      <c r="UW1618" s="391"/>
      <c r="UY1618" s="391"/>
      <c r="VA1618" s="391"/>
      <c r="VC1618" s="391"/>
      <c r="VE1618" s="391"/>
      <c r="VG1618" s="391"/>
      <c r="VI1618" s="391"/>
      <c r="VK1618" s="391"/>
      <c r="VM1618" s="391"/>
      <c r="VO1618" s="391"/>
      <c r="VQ1618" s="391"/>
      <c r="VS1618" s="391"/>
      <c r="VU1618" s="391"/>
      <c r="VW1618" s="391"/>
      <c r="VY1618" s="391"/>
      <c r="WA1618" s="391"/>
      <c r="WC1618" s="391"/>
      <c r="WE1618" s="391"/>
      <c r="WG1618" s="391"/>
      <c r="WI1618" s="391"/>
      <c r="WK1618" s="391"/>
      <c r="WM1618" s="391"/>
      <c r="WO1618" s="391"/>
      <c r="WQ1618" s="391"/>
      <c r="WS1618" s="391"/>
      <c r="WU1618" s="391"/>
      <c r="WW1618" s="391"/>
      <c r="WY1618" s="391"/>
      <c r="XA1618" s="391"/>
      <c r="XC1618" s="391"/>
      <c r="XE1618" s="391"/>
      <c r="XG1618" s="391"/>
      <c r="XI1618" s="391"/>
      <c r="XK1618" s="391"/>
      <c r="XM1618" s="391"/>
      <c r="XO1618" s="391"/>
      <c r="XQ1618" s="391"/>
      <c r="XS1618" s="391"/>
      <c r="XU1618" s="391"/>
      <c r="XW1618" s="391"/>
      <c r="XY1618" s="391"/>
      <c r="YA1618" s="391"/>
      <c r="YC1618" s="391"/>
      <c r="YE1618" s="391"/>
      <c r="YG1618" s="391"/>
      <c r="YI1618" s="391"/>
      <c r="YK1618" s="391"/>
      <c r="YM1618" s="391"/>
      <c r="YO1618" s="391"/>
      <c r="YQ1618" s="391"/>
      <c r="YS1618" s="391"/>
      <c r="YU1618" s="391"/>
      <c r="YW1618" s="391"/>
      <c r="YY1618" s="391"/>
      <c r="ZA1618" s="391"/>
      <c r="ZC1618" s="391"/>
      <c r="ZE1618" s="391"/>
      <c r="ZG1618" s="391"/>
      <c r="ZI1618" s="391"/>
      <c r="ZK1618" s="391"/>
      <c r="ZM1618" s="391"/>
      <c r="ZO1618" s="391"/>
      <c r="ZQ1618" s="391"/>
      <c r="ZS1618" s="391"/>
      <c r="ZU1618" s="391"/>
      <c r="ZW1618" s="391"/>
      <c r="ZY1618" s="391"/>
      <c r="AAA1618" s="391"/>
      <c r="AAC1618" s="391"/>
      <c r="AAE1618" s="391"/>
      <c r="AAG1618" s="391"/>
      <c r="AAI1618" s="391"/>
      <c r="AAK1618" s="391"/>
      <c r="AAM1618" s="391"/>
      <c r="AAO1618" s="391"/>
      <c r="AAQ1618" s="391"/>
      <c r="AAS1618" s="391"/>
      <c r="AAU1618" s="391"/>
      <c r="AAW1618" s="391"/>
      <c r="AAY1618" s="391"/>
      <c r="ABA1618" s="391"/>
      <c r="ABC1618" s="391"/>
      <c r="ABE1618" s="391"/>
      <c r="ABG1618" s="391"/>
      <c r="ABI1618" s="391"/>
      <c r="ABK1618" s="391"/>
      <c r="ABM1618" s="391"/>
      <c r="ABO1618" s="391"/>
      <c r="ABQ1618" s="391"/>
      <c r="ABS1618" s="391"/>
      <c r="ABU1618" s="391"/>
      <c r="ABW1618" s="391"/>
      <c r="ABY1618" s="391"/>
      <c r="ACA1618" s="391"/>
      <c r="ACC1618" s="391"/>
      <c r="ACE1618" s="391"/>
      <c r="ACG1618" s="391"/>
      <c r="ACI1618" s="391"/>
      <c r="ACK1618" s="391"/>
      <c r="ACM1618" s="391"/>
      <c r="ACO1618" s="391"/>
      <c r="ACQ1618" s="391"/>
      <c r="ACS1618" s="391"/>
      <c r="ACU1618" s="391"/>
      <c r="ACW1618" s="391"/>
      <c r="ACY1618" s="391"/>
      <c r="ADA1618" s="391"/>
      <c r="ADC1618" s="391"/>
      <c r="ADE1618" s="391"/>
      <c r="ADG1618" s="391"/>
      <c r="ADI1618" s="391"/>
      <c r="ADK1618" s="391"/>
      <c r="ADM1618" s="391"/>
      <c r="ADO1618" s="391"/>
      <c r="ADQ1618" s="391"/>
      <c r="ADS1618" s="391"/>
      <c r="ADU1618" s="391"/>
      <c r="ADW1618" s="391"/>
      <c r="ADY1618" s="391"/>
      <c r="AEA1618" s="391"/>
      <c r="AEC1618" s="391"/>
      <c r="AEE1618" s="391"/>
      <c r="AEG1618" s="391"/>
      <c r="AEI1618" s="391"/>
      <c r="AEK1618" s="391"/>
      <c r="AEM1618" s="391"/>
      <c r="AEO1618" s="391"/>
      <c r="AEQ1618" s="391"/>
      <c r="AES1618" s="391"/>
      <c r="AEU1618" s="391"/>
      <c r="AEW1618" s="391"/>
      <c r="AEY1618" s="391"/>
      <c r="AFA1618" s="391"/>
      <c r="AFC1618" s="391"/>
      <c r="AFE1618" s="391"/>
      <c r="AFG1618" s="391"/>
      <c r="AFI1618" s="391"/>
      <c r="AFK1618" s="391"/>
      <c r="AFM1618" s="391"/>
      <c r="AFO1618" s="391"/>
      <c r="AFQ1618" s="391"/>
      <c r="AFS1618" s="391"/>
      <c r="AFU1618" s="391"/>
      <c r="AFW1618" s="391"/>
      <c r="AFY1618" s="391"/>
      <c r="AGA1618" s="391"/>
      <c r="AGC1618" s="391"/>
      <c r="AGE1618" s="391"/>
      <c r="AGG1618" s="391"/>
      <c r="AGI1618" s="391"/>
      <c r="AGK1618" s="391"/>
      <c r="AGM1618" s="391"/>
      <c r="AGO1618" s="391"/>
      <c r="AGQ1618" s="391"/>
      <c r="AGS1618" s="391"/>
      <c r="AGU1618" s="391"/>
      <c r="AGW1618" s="391"/>
      <c r="AGY1618" s="391"/>
      <c r="AHA1618" s="391"/>
      <c r="AHC1618" s="391"/>
      <c r="AHE1618" s="391"/>
      <c r="AHG1618" s="391"/>
      <c r="AHI1618" s="391"/>
      <c r="AHK1618" s="391"/>
      <c r="AHM1618" s="391"/>
      <c r="AHO1618" s="391"/>
      <c r="AHQ1618" s="391"/>
      <c r="AHS1618" s="391"/>
      <c r="AHU1618" s="391"/>
      <c r="AHW1618" s="391"/>
      <c r="AHY1618" s="391"/>
      <c r="AIA1618" s="391"/>
      <c r="AIC1618" s="391"/>
      <c r="AIE1618" s="391"/>
      <c r="AIG1618" s="391"/>
      <c r="AII1618" s="391"/>
      <c r="AIK1618" s="391"/>
      <c r="AIM1618" s="391"/>
      <c r="AIO1618" s="391"/>
      <c r="AIQ1618" s="391"/>
      <c r="AIS1618" s="391"/>
      <c r="AIU1618" s="391"/>
      <c r="AIW1618" s="391"/>
      <c r="AIY1618" s="391"/>
      <c r="AJA1618" s="391"/>
      <c r="AJC1618" s="391"/>
      <c r="AJE1618" s="391"/>
      <c r="AJG1618" s="391"/>
      <c r="AJI1618" s="391"/>
      <c r="AJK1618" s="391"/>
      <c r="AJM1618" s="391"/>
      <c r="AJO1618" s="391"/>
      <c r="AJQ1618" s="391"/>
      <c r="AJS1618" s="391"/>
      <c r="AJU1618" s="391"/>
      <c r="AJW1618" s="391"/>
      <c r="AJY1618" s="391"/>
      <c r="AKA1618" s="391"/>
      <c r="AKC1618" s="391"/>
      <c r="AKE1618" s="391"/>
      <c r="AKG1618" s="391"/>
      <c r="AKI1618" s="391"/>
      <c r="AKK1618" s="391"/>
      <c r="AKM1618" s="391"/>
      <c r="AKO1618" s="391"/>
      <c r="AKQ1618" s="391"/>
      <c r="AKS1618" s="391"/>
      <c r="AKU1618" s="391"/>
      <c r="AKW1618" s="391"/>
      <c r="AKY1618" s="391"/>
      <c r="ALA1618" s="391"/>
      <c r="ALC1618" s="391"/>
      <c r="ALE1618" s="391"/>
      <c r="ALG1618" s="391"/>
      <c r="ALI1618" s="391"/>
      <c r="ALK1618" s="391"/>
      <c r="ALM1618" s="391"/>
      <c r="ALO1618" s="391"/>
      <c r="ALQ1618" s="391"/>
      <c r="ALS1618" s="391"/>
      <c r="ALU1618" s="391"/>
      <c r="ALW1618" s="391"/>
      <c r="ALY1618" s="391"/>
      <c r="AMA1618" s="391"/>
      <c r="AMC1618" s="391"/>
      <c r="AME1618" s="391"/>
      <c r="AMG1618" s="391"/>
      <c r="AMI1618" s="391"/>
      <c r="AMK1618" s="391"/>
      <c r="AMM1618" s="391"/>
      <c r="AMO1618" s="391"/>
      <c r="AMQ1618" s="391"/>
      <c r="AMS1618" s="391"/>
      <c r="AMU1618" s="391"/>
      <c r="AMW1618" s="391"/>
      <c r="AMY1618" s="391"/>
      <c r="ANA1618" s="391"/>
      <c r="ANC1618" s="391"/>
      <c r="ANE1618" s="391"/>
      <c r="ANG1618" s="391"/>
      <c r="ANI1618" s="391"/>
      <c r="ANK1618" s="391"/>
      <c r="ANM1618" s="391"/>
      <c r="ANO1618" s="391"/>
      <c r="ANQ1618" s="391"/>
      <c r="ANS1618" s="391"/>
      <c r="ANU1618" s="391"/>
      <c r="ANW1618" s="391"/>
      <c r="ANY1618" s="391"/>
      <c r="AOA1618" s="391"/>
      <c r="AOC1618" s="391"/>
      <c r="AOE1618" s="391"/>
      <c r="AOG1618" s="391"/>
      <c r="AOI1618" s="391"/>
      <c r="AOK1618" s="391"/>
      <c r="AOM1618" s="391"/>
      <c r="AOO1618" s="391"/>
      <c r="AOQ1618" s="391"/>
      <c r="AOS1618" s="391"/>
      <c r="AOU1618" s="391"/>
      <c r="AOW1618" s="391"/>
      <c r="AOY1618" s="391"/>
      <c r="APA1618" s="391"/>
      <c r="APC1618" s="391"/>
      <c r="APE1618" s="391"/>
      <c r="APG1618" s="391"/>
      <c r="API1618" s="391"/>
      <c r="APK1618" s="391"/>
      <c r="APM1618" s="391"/>
      <c r="APO1618" s="391"/>
      <c r="APQ1618" s="391"/>
      <c r="APS1618" s="391"/>
      <c r="APU1618" s="391"/>
      <c r="APW1618" s="391"/>
      <c r="APY1618" s="391"/>
      <c r="AQA1618" s="391"/>
      <c r="AQC1618" s="391"/>
      <c r="AQE1618" s="391"/>
      <c r="AQG1618" s="391"/>
      <c r="AQI1618" s="391"/>
      <c r="AQK1618" s="391"/>
      <c r="AQM1618" s="391"/>
      <c r="AQO1618" s="391"/>
      <c r="AQQ1618" s="391"/>
      <c r="AQS1618" s="391"/>
      <c r="AQU1618" s="391"/>
      <c r="AQW1618" s="391"/>
      <c r="AQY1618" s="391"/>
      <c r="ARA1618" s="391"/>
      <c r="ARC1618" s="391"/>
      <c r="ARE1618" s="391"/>
      <c r="ARG1618" s="391"/>
      <c r="ARI1618" s="391"/>
      <c r="ARK1618" s="391"/>
      <c r="ARM1618" s="391"/>
      <c r="ARO1618" s="391"/>
      <c r="ARQ1618" s="391"/>
      <c r="ARS1618" s="391"/>
      <c r="ARU1618" s="391"/>
      <c r="ARW1618" s="391"/>
      <c r="ARY1618" s="391"/>
      <c r="ASA1618" s="391"/>
      <c r="ASC1618" s="391"/>
      <c r="ASE1618" s="391"/>
      <c r="ASG1618" s="391"/>
      <c r="ASI1618" s="391"/>
      <c r="ASK1618" s="391"/>
      <c r="ASM1618" s="391"/>
      <c r="ASO1618" s="391"/>
      <c r="ASQ1618" s="391"/>
      <c r="ASS1618" s="391"/>
      <c r="ASU1618" s="391"/>
      <c r="ASW1618" s="391"/>
      <c r="ASY1618" s="391"/>
      <c r="ATA1618" s="391"/>
      <c r="ATC1618" s="391"/>
      <c r="ATE1618" s="391"/>
      <c r="ATG1618" s="391"/>
      <c r="ATI1618" s="391"/>
      <c r="ATK1618" s="391"/>
      <c r="ATM1618" s="391"/>
      <c r="ATO1618" s="391"/>
      <c r="ATQ1618" s="391"/>
      <c r="ATS1618" s="391"/>
      <c r="ATU1618" s="391"/>
      <c r="ATW1618" s="391"/>
      <c r="ATY1618" s="391"/>
      <c r="AUA1618" s="391"/>
      <c r="AUC1618" s="391"/>
      <c r="AUE1618" s="391"/>
      <c r="AUG1618" s="391"/>
      <c r="AUI1618" s="391"/>
      <c r="AUK1618" s="391"/>
      <c r="AUM1618" s="391"/>
      <c r="AUO1618" s="391"/>
      <c r="AUQ1618" s="391"/>
      <c r="AUS1618" s="391"/>
      <c r="AUU1618" s="391"/>
      <c r="AUW1618" s="391"/>
      <c r="AUY1618" s="391"/>
      <c r="AVA1618" s="391"/>
      <c r="AVC1618" s="391"/>
      <c r="AVE1618" s="391"/>
      <c r="AVG1618" s="391"/>
      <c r="AVI1618" s="391"/>
      <c r="AVK1618" s="391"/>
      <c r="AVM1618" s="391"/>
      <c r="AVO1618" s="391"/>
      <c r="AVQ1618" s="391"/>
      <c r="AVS1618" s="391"/>
      <c r="AVU1618" s="391"/>
      <c r="AVW1618" s="391"/>
      <c r="AVY1618" s="391"/>
      <c r="AWA1618" s="391"/>
      <c r="AWC1618" s="391"/>
      <c r="AWE1618" s="391"/>
      <c r="AWG1618" s="391"/>
      <c r="AWI1618" s="391"/>
      <c r="AWK1618" s="391"/>
      <c r="AWM1618" s="391"/>
      <c r="AWO1618" s="391"/>
      <c r="AWQ1618" s="391"/>
      <c r="AWS1618" s="391"/>
      <c r="AWU1618" s="391"/>
      <c r="AWW1618" s="391"/>
      <c r="AWY1618" s="391"/>
      <c r="AXA1618" s="391"/>
      <c r="AXC1618" s="391"/>
      <c r="AXE1618" s="391"/>
      <c r="AXG1618" s="391"/>
      <c r="AXI1618" s="391"/>
      <c r="AXK1618" s="391"/>
      <c r="AXM1618" s="391"/>
      <c r="AXO1618" s="391"/>
      <c r="AXQ1618" s="391"/>
      <c r="AXS1618" s="391"/>
      <c r="AXU1618" s="391"/>
      <c r="AXW1618" s="391"/>
      <c r="AXY1618" s="391"/>
      <c r="AYA1618" s="391"/>
      <c r="AYC1618" s="391"/>
      <c r="AYE1618" s="391"/>
      <c r="AYG1618" s="391"/>
      <c r="AYI1618" s="391"/>
      <c r="AYK1618" s="391"/>
      <c r="AYM1618" s="391"/>
      <c r="AYO1618" s="391"/>
      <c r="AYQ1618" s="391"/>
      <c r="AYS1618" s="391"/>
      <c r="AYU1618" s="391"/>
      <c r="AYW1618" s="391"/>
      <c r="AYY1618" s="391"/>
      <c r="AZA1618" s="391"/>
      <c r="AZC1618" s="391"/>
      <c r="AZE1618" s="391"/>
      <c r="AZG1618" s="391"/>
      <c r="AZI1618" s="391"/>
      <c r="AZK1618" s="391"/>
      <c r="AZM1618" s="391"/>
      <c r="AZO1618" s="391"/>
      <c r="AZQ1618" s="391"/>
      <c r="AZS1618" s="391"/>
      <c r="AZU1618" s="391"/>
      <c r="AZW1618" s="391"/>
      <c r="AZY1618" s="391"/>
      <c r="BAA1618" s="391"/>
      <c r="BAC1618" s="391"/>
      <c r="BAE1618" s="391"/>
      <c r="BAG1618" s="391"/>
      <c r="BAI1618" s="391"/>
      <c r="BAK1618" s="391"/>
      <c r="BAM1618" s="391"/>
      <c r="BAO1618" s="391"/>
      <c r="BAQ1618" s="391"/>
      <c r="BAS1618" s="391"/>
      <c r="BAU1618" s="391"/>
      <c r="BAW1618" s="391"/>
      <c r="BAY1618" s="391"/>
      <c r="BBA1618" s="391"/>
      <c r="BBC1618" s="391"/>
      <c r="BBE1618" s="391"/>
      <c r="BBG1618" s="391"/>
      <c r="BBI1618" s="391"/>
      <c r="BBK1618" s="391"/>
      <c r="BBM1618" s="391"/>
      <c r="BBO1618" s="391"/>
      <c r="BBQ1618" s="391"/>
      <c r="BBS1618" s="391"/>
      <c r="BBU1618" s="391"/>
      <c r="BBW1618" s="391"/>
      <c r="BBY1618" s="391"/>
      <c r="BCA1618" s="391"/>
      <c r="BCC1618" s="391"/>
      <c r="BCE1618" s="391"/>
      <c r="BCG1618" s="391"/>
      <c r="BCI1618" s="391"/>
      <c r="BCK1618" s="391"/>
      <c r="BCM1618" s="391"/>
      <c r="BCO1618" s="391"/>
      <c r="BCQ1618" s="391"/>
      <c r="BCS1618" s="391"/>
      <c r="BCU1618" s="391"/>
      <c r="BCW1618" s="391"/>
      <c r="BCY1618" s="391"/>
      <c r="BDA1618" s="391"/>
      <c r="BDC1618" s="391"/>
      <c r="BDE1618" s="391"/>
      <c r="BDG1618" s="391"/>
      <c r="BDI1618" s="391"/>
      <c r="BDK1618" s="391"/>
      <c r="BDM1618" s="391"/>
      <c r="BDO1618" s="391"/>
      <c r="BDQ1618" s="391"/>
      <c r="BDS1618" s="391"/>
      <c r="BDU1618" s="391"/>
      <c r="BDW1618" s="391"/>
      <c r="BDY1618" s="391"/>
      <c r="BEA1618" s="391"/>
      <c r="BEC1618" s="391"/>
      <c r="BEE1618" s="391"/>
      <c r="BEG1618" s="391"/>
      <c r="BEI1618" s="391"/>
      <c r="BEK1618" s="391"/>
      <c r="BEM1618" s="391"/>
      <c r="BEO1618" s="391"/>
      <c r="BEQ1618" s="391"/>
      <c r="BES1618" s="391"/>
      <c r="BEU1618" s="391"/>
      <c r="BEW1618" s="391"/>
      <c r="BEY1618" s="391"/>
      <c r="BFA1618" s="391"/>
      <c r="BFC1618" s="391"/>
      <c r="BFE1618" s="391"/>
      <c r="BFG1618" s="391"/>
      <c r="BFI1618" s="391"/>
      <c r="BFK1618" s="391"/>
      <c r="BFM1618" s="391"/>
      <c r="BFO1618" s="391"/>
      <c r="BFQ1618" s="391"/>
      <c r="BFS1618" s="391"/>
      <c r="BFU1618" s="391"/>
      <c r="BFW1618" s="391"/>
      <c r="BFY1618" s="391"/>
      <c r="BGA1618" s="391"/>
      <c r="BGC1618" s="391"/>
      <c r="BGE1618" s="391"/>
      <c r="BGG1618" s="391"/>
      <c r="BGI1618" s="391"/>
      <c r="BGK1618" s="391"/>
      <c r="BGM1618" s="391"/>
      <c r="BGO1618" s="391"/>
      <c r="BGQ1618" s="391"/>
      <c r="BGS1618" s="391"/>
      <c r="BGU1618" s="391"/>
      <c r="BGW1618" s="391"/>
      <c r="BGY1618" s="391"/>
      <c r="BHA1618" s="391"/>
      <c r="BHC1618" s="391"/>
      <c r="BHE1618" s="391"/>
      <c r="BHG1618" s="391"/>
      <c r="BHI1618" s="391"/>
      <c r="BHK1618" s="391"/>
      <c r="BHM1618" s="391"/>
      <c r="BHO1618" s="391"/>
      <c r="BHQ1618" s="391"/>
      <c r="BHS1618" s="391"/>
      <c r="BHU1618" s="391"/>
      <c r="BHW1618" s="391"/>
      <c r="BHY1618" s="391"/>
      <c r="BIA1618" s="391"/>
      <c r="BIC1618" s="391"/>
      <c r="BIE1618" s="391"/>
      <c r="BIG1618" s="391"/>
      <c r="BII1618" s="391"/>
      <c r="BIK1618" s="391"/>
      <c r="BIM1618" s="391"/>
      <c r="BIO1618" s="391"/>
      <c r="BIQ1618" s="391"/>
      <c r="BIS1618" s="391"/>
      <c r="BIU1618" s="391"/>
      <c r="BIW1618" s="391"/>
      <c r="BIY1618" s="391"/>
      <c r="BJA1618" s="391"/>
      <c r="BJC1618" s="391"/>
      <c r="BJE1618" s="391"/>
      <c r="BJG1618" s="391"/>
      <c r="BJI1618" s="391"/>
      <c r="BJK1618" s="391"/>
      <c r="BJM1618" s="391"/>
      <c r="BJO1618" s="391"/>
      <c r="BJQ1618" s="391"/>
      <c r="BJS1618" s="391"/>
      <c r="BJU1618" s="391"/>
      <c r="BJW1618" s="391"/>
      <c r="BJY1618" s="391"/>
      <c r="BKA1618" s="391"/>
      <c r="BKC1618" s="391"/>
      <c r="BKE1618" s="391"/>
      <c r="BKG1618" s="391"/>
      <c r="BKI1618" s="391"/>
      <c r="BKK1618" s="391"/>
      <c r="BKM1618" s="391"/>
      <c r="BKO1618" s="391"/>
      <c r="BKQ1618" s="391"/>
      <c r="BKS1618" s="391"/>
      <c r="BKU1618" s="391"/>
      <c r="BKW1618" s="391"/>
      <c r="BKY1618" s="391"/>
      <c r="BLA1618" s="391"/>
      <c r="BLC1618" s="391"/>
      <c r="BLE1618" s="391"/>
      <c r="BLG1618" s="391"/>
      <c r="BLI1618" s="391"/>
      <c r="BLK1618" s="391"/>
      <c r="BLM1618" s="391"/>
      <c r="BLO1618" s="391"/>
      <c r="BLQ1618" s="391"/>
      <c r="BLS1618" s="391"/>
      <c r="BLU1618" s="391"/>
      <c r="BLW1618" s="391"/>
      <c r="BLY1618" s="391"/>
      <c r="BMA1618" s="391"/>
      <c r="BMC1618" s="391"/>
      <c r="BME1618" s="391"/>
      <c r="BMG1618" s="391"/>
      <c r="BMI1618" s="391"/>
      <c r="BMK1618" s="391"/>
      <c r="BMM1618" s="391"/>
      <c r="BMO1618" s="391"/>
      <c r="BMQ1618" s="391"/>
      <c r="BMS1618" s="391"/>
      <c r="BMU1618" s="391"/>
      <c r="BMW1618" s="391"/>
      <c r="BMY1618" s="391"/>
      <c r="BNA1618" s="391"/>
      <c r="BNC1618" s="391"/>
      <c r="BNE1618" s="391"/>
      <c r="BNG1618" s="391"/>
      <c r="BNI1618" s="391"/>
      <c r="BNK1618" s="391"/>
      <c r="BNM1618" s="391"/>
      <c r="BNO1618" s="391"/>
      <c r="BNQ1618" s="391"/>
      <c r="BNS1618" s="391"/>
      <c r="BNU1618" s="391"/>
      <c r="BNW1618" s="391"/>
      <c r="BNY1618" s="391"/>
      <c r="BOA1618" s="391"/>
      <c r="BOC1618" s="391"/>
      <c r="BOE1618" s="391"/>
      <c r="BOG1618" s="391"/>
      <c r="BOI1618" s="391"/>
      <c r="BOK1618" s="391"/>
      <c r="BOM1618" s="391"/>
      <c r="BOO1618" s="391"/>
      <c r="BOQ1618" s="391"/>
      <c r="BOS1618" s="391"/>
      <c r="BOU1618" s="391"/>
      <c r="BOW1618" s="391"/>
      <c r="BOY1618" s="391"/>
      <c r="BPA1618" s="391"/>
      <c r="BPC1618" s="391"/>
      <c r="BPE1618" s="391"/>
      <c r="BPG1618" s="391"/>
      <c r="BPI1618" s="391"/>
      <c r="BPK1618" s="391"/>
      <c r="BPM1618" s="391"/>
      <c r="BPO1618" s="391"/>
      <c r="BPQ1618" s="391"/>
      <c r="BPS1618" s="391"/>
      <c r="BPU1618" s="391"/>
      <c r="BPW1618" s="391"/>
      <c r="BPY1618" s="391"/>
      <c r="BQA1618" s="391"/>
      <c r="BQC1618" s="391"/>
      <c r="BQE1618" s="391"/>
      <c r="BQG1618" s="391"/>
      <c r="BQI1618" s="391"/>
      <c r="BQK1618" s="391"/>
      <c r="BQM1618" s="391"/>
      <c r="BQO1618" s="391"/>
      <c r="BQQ1618" s="391"/>
      <c r="BQS1618" s="391"/>
      <c r="BQU1618" s="391"/>
      <c r="BQW1618" s="391"/>
      <c r="BQY1618" s="391"/>
      <c r="BRA1618" s="391"/>
      <c r="BRC1618" s="391"/>
      <c r="BRE1618" s="391"/>
      <c r="BRG1618" s="391"/>
      <c r="BRI1618" s="391"/>
      <c r="BRK1618" s="391"/>
      <c r="BRM1618" s="391"/>
      <c r="BRO1618" s="391"/>
      <c r="BRQ1618" s="391"/>
      <c r="BRS1618" s="391"/>
      <c r="BRU1618" s="391"/>
      <c r="BRW1618" s="391"/>
      <c r="BRY1618" s="391"/>
      <c r="BSA1618" s="391"/>
      <c r="BSC1618" s="391"/>
      <c r="BSE1618" s="391"/>
      <c r="BSG1618" s="391"/>
      <c r="BSI1618" s="391"/>
      <c r="BSK1618" s="391"/>
      <c r="BSM1618" s="391"/>
      <c r="BSO1618" s="391"/>
      <c r="BSQ1618" s="391"/>
      <c r="BSS1618" s="391"/>
      <c r="BSU1618" s="391"/>
      <c r="BSW1618" s="391"/>
      <c r="BSY1618" s="391"/>
      <c r="BTA1618" s="391"/>
      <c r="BTC1618" s="391"/>
      <c r="BTE1618" s="391"/>
      <c r="BTG1618" s="391"/>
      <c r="BTI1618" s="391"/>
      <c r="BTK1618" s="391"/>
      <c r="BTM1618" s="391"/>
      <c r="BTO1618" s="391"/>
      <c r="BTQ1618" s="391"/>
      <c r="BTS1618" s="391"/>
      <c r="BTU1618" s="391"/>
      <c r="BTW1618" s="391"/>
      <c r="BTY1618" s="391"/>
      <c r="BUA1618" s="391"/>
      <c r="BUC1618" s="391"/>
      <c r="BUE1618" s="391"/>
      <c r="BUG1618" s="391"/>
      <c r="BUI1618" s="391"/>
      <c r="BUK1618" s="391"/>
      <c r="BUM1618" s="391"/>
      <c r="BUO1618" s="391"/>
      <c r="BUQ1618" s="391"/>
      <c r="BUS1618" s="391"/>
      <c r="BUU1618" s="391"/>
      <c r="BUW1618" s="391"/>
      <c r="BUY1618" s="391"/>
      <c r="BVA1618" s="391"/>
      <c r="BVC1618" s="391"/>
      <c r="BVE1618" s="391"/>
      <c r="BVG1618" s="391"/>
      <c r="BVI1618" s="391"/>
      <c r="BVK1618" s="391"/>
      <c r="BVM1618" s="391"/>
      <c r="BVO1618" s="391"/>
      <c r="BVQ1618" s="391"/>
      <c r="BVS1618" s="391"/>
      <c r="BVU1618" s="391"/>
      <c r="BVW1618" s="391"/>
      <c r="BVY1618" s="391"/>
      <c r="BWA1618" s="391"/>
      <c r="BWC1618" s="391"/>
      <c r="BWE1618" s="391"/>
      <c r="BWG1618" s="391"/>
      <c r="BWI1618" s="391"/>
      <c r="BWK1618" s="391"/>
      <c r="BWM1618" s="391"/>
      <c r="BWO1618" s="391"/>
      <c r="BWQ1618" s="391"/>
      <c r="BWS1618" s="391"/>
      <c r="BWU1618" s="391"/>
      <c r="BWW1618" s="391"/>
      <c r="BWY1618" s="391"/>
      <c r="BXA1618" s="391"/>
      <c r="BXC1618" s="391"/>
      <c r="BXE1618" s="391"/>
      <c r="BXG1618" s="391"/>
      <c r="BXI1618" s="391"/>
      <c r="BXK1618" s="391"/>
      <c r="BXM1618" s="391"/>
      <c r="BXO1618" s="391"/>
      <c r="BXQ1618" s="391"/>
      <c r="BXS1618" s="391"/>
      <c r="BXU1618" s="391"/>
      <c r="BXW1618" s="391"/>
      <c r="BXY1618" s="391"/>
      <c r="BYA1618" s="391"/>
      <c r="BYC1618" s="391"/>
      <c r="BYE1618" s="391"/>
      <c r="BYG1618" s="391"/>
      <c r="BYI1618" s="391"/>
      <c r="BYK1618" s="391"/>
      <c r="BYM1618" s="391"/>
      <c r="BYO1618" s="391"/>
      <c r="BYQ1618" s="391"/>
      <c r="BYS1618" s="391"/>
      <c r="BYU1618" s="391"/>
      <c r="BYW1618" s="391"/>
      <c r="BYY1618" s="391"/>
      <c r="BZA1618" s="391"/>
      <c r="BZC1618" s="391"/>
      <c r="BZE1618" s="391"/>
      <c r="BZG1618" s="391"/>
      <c r="BZI1618" s="391"/>
      <c r="BZK1618" s="391"/>
      <c r="BZM1618" s="391"/>
      <c r="BZO1618" s="391"/>
      <c r="BZQ1618" s="391"/>
      <c r="BZS1618" s="391"/>
      <c r="BZU1618" s="391"/>
      <c r="BZW1618" s="391"/>
      <c r="BZY1618" s="391"/>
      <c r="CAA1618" s="391"/>
      <c r="CAC1618" s="391"/>
      <c r="CAE1618" s="391"/>
      <c r="CAG1618" s="391"/>
      <c r="CAI1618" s="391"/>
      <c r="CAK1618" s="391"/>
      <c r="CAM1618" s="391"/>
      <c r="CAO1618" s="391"/>
      <c r="CAQ1618" s="391"/>
      <c r="CAS1618" s="391"/>
      <c r="CAU1618" s="391"/>
      <c r="CAW1618" s="391"/>
      <c r="CAY1618" s="391"/>
      <c r="CBA1618" s="391"/>
      <c r="CBC1618" s="391"/>
      <c r="CBE1618" s="391"/>
      <c r="CBG1618" s="391"/>
      <c r="CBI1618" s="391"/>
      <c r="CBK1618" s="391"/>
      <c r="CBM1618" s="391"/>
      <c r="CBO1618" s="391"/>
      <c r="CBQ1618" s="391"/>
      <c r="CBS1618" s="391"/>
      <c r="CBU1618" s="391"/>
      <c r="CBW1618" s="391"/>
      <c r="CBY1618" s="391"/>
      <c r="CCA1618" s="391"/>
      <c r="CCC1618" s="391"/>
      <c r="CCE1618" s="391"/>
      <c r="CCG1618" s="391"/>
      <c r="CCI1618" s="391"/>
      <c r="CCK1618" s="391"/>
      <c r="CCM1618" s="391"/>
      <c r="CCO1618" s="391"/>
      <c r="CCQ1618" s="391"/>
      <c r="CCS1618" s="391"/>
      <c r="CCU1618" s="391"/>
      <c r="CCW1618" s="391"/>
      <c r="CCY1618" s="391"/>
      <c r="CDA1618" s="391"/>
      <c r="CDC1618" s="391"/>
      <c r="CDE1618" s="391"/>
      <c r="CDG1618" s="391"/>
      <c r="CDI1618" s="391"/>
      <c r="CDK1618" s="391"/>
      <c r="CDM1618" s="391"/>
      <c r="CDO1618" s="391"/>
      <c r="CDQ1618" s="391"/>
      <c r="CDS1618" s="391"/>
      <c r="CDU1618" s="391"/>
      <c r="CDW1618" s="391"/>
      <c r="CDY1618" s="391"/>
      <c r="CEA1618" s="391"/>
      <c r="CEC1618" s="391"/>
      <c r="CEE1618" s="391"/>
      <c r="CEG1618" s="391"/>
      <c r="CEI1618" s="391"/>
      <c r="CEK1618" s="391"/>
      <c r="CEM1618" s="391"/>
      <c r="CEO1618" s="391"/>
      <c r="CEQ1618" s="391"/>
      <c r="CES1618" s="391"/>
      <c r="CEU1618" s="391"/>
      <c r="CEW1618" s="391"/>
      <c r="CEY1618" s="391"/>
      <c r="CFA1618" s="391"/>
      <c r="CFC1618" s="391"/>
      <c r="CFE1618" s="391"/>
      <c r="CFG1618" s="391"/>
      <c r="CFI1618" s="391"/>
      <c r="CFK1618" s="391"/>
      <c r="CFM1618" s="391"/>
      <c r="CFO1618" s="391"/>
      <c r="CFQ1618" s="391"/>
      <c r="CFS1618" s="391"/>
      <c r="CFU1618" s="391"/>
      <c r="CFW1618" s="391"/>
      <c r="CFY1618" s="391"/>
      <c r="CGA1618" s="391"/>
      <c r="CGC1618" s="391"/>
      <c r="CGE1618" s="391"/>
      <c r="CGG1618" s="391"/>
      <c r="CGI1618" s="391"/>
      <c r="CGK1618" s="391"/>
      <c r="CGM1618" s="391"/>
      <c r="CGO1618" s="391"/>
      <c r="CGQ1618" s="391"/>
      <c r="CGS1618" s="391"/>
      <c r="CGU1618" s="391"/>
      <c r="CGW1618" s="391"/>
      <c r="CGY1618" s="391"/>
      <c r="CHA1618" s="391"/>
      <c r="CHC1618" s="391"/>
      <c r="CHE1618" s="391"/>
      <c r="CHG1618" s="391"/>
      <c r="CHI1618" s="391"/>
      <c r="CHK1618" s="391"/>
      <c r="CHM1618" s="391"/>
      <c r="CHO1618" s="391"/>
      <c r="CHQ1618" s="391"/>
      <c r="CHS1618" s="391"/>
      <c r="CHU1618" s="391"/>
      <c r="CHW1618" s="391"/>
      <c r="CHY1618" s="391"/>
      <c r="CIA1618" s="391"/>
      <c r="CIC1618" s="391"/>
      <c r="CIE1618" s="391"/>
      <c r="CIG1618" s="391"/>
      <c r="CII1618" s="391"/>
      <c r="CIK1618" s="391"/>
      <c r="CIM1618" s="391"/>
      <c r="CIO1618" s="391"/>
      <c r="CIQ1618" s="391"/>
      <c r="CIS1618" s="391"/>
      <c r="CIU1618" s="391"/>
      <c r="CIW1618" s="391"/>
      <c r="CIY1618" s="391"/>
      <c r="CJA1618" s="391"/>
      <c r="CJC1618" s="391"/>
      <c r="CJE1618" s="391"/>
      <c r="CJG1618" s="391"/>
      <c r="CJI1618" s="391"/>
      <c r="CJK1618" s="391"/>
      <c r="CJM1618" s="391"/>
      <c r="CJO1618" s="391"/>
      <c r="CJQ1618" s="391"/>
      <c r="CJS1618" s="391"/>
      <c r="CJU1618" s="391"/>
      <c r="CJW1618" s="391"/>
      <c r="CJY1618" s="391"/>
      <c r="CKA1618" s="391"/>
      <c r="CKC1618" s="391"/>
      <c r="CKE1618" s="391"/>
      <c r="CKG1618" s="391"/>
      <c r="CKI1618" s="391"/>
      <c r="CKK1618" s="391"/>
      <c r="CKM1618" s="391"/>
      <c r="CKO1618" s="391"/>
      <c r="CKQ1618" s="391"/>
      <c r="CKS1618" s="391"/>
      <c r="CKU1618" s="391"/>
      <c r="CKW1618" s="391"/>
      <c r="CKY1618" s="391"/>
      <c r="CLA1618" s="391"/>
      <c r="CLC1618" s="391"/>
      <c r="CLE1618" s="391"/>
      <c r="CLG1618" s="391"/>
      <c r="CLI1618" s="391"/>
      <c r="CLK1618" s="391"/>
      <c r="CLM1618" s="391"/>
      <c r="CLO1618" s="391"/>
      <c r="CLQ1618" s="391"/>
      <c r="CLS1618" s="391"/>
      <c r="CLU1618" s="391"/>
      <c r="CLW1618" s="391"/>
      <c r="CLY1618" s="391"/>
      <c r="CMA1618" s="391"/>
      <c r="CMC1618" s="391"/>
      <c r="CME1618" s="391"/>
      <c r="CMG1618" s="391"/>
      <c r="CMI1618" s="391"/>
      <c r="CMK1618" s="391"/>
      <c r="CMM1618" s="391"/>
      <c r="CMO1618" s="391"/>
      <c r="CMQ1618" s="391"/>
      <c r="CMS1618" s="391"/>
      <c r="CMU1618" s="391"/>
      <c r="CMW1618" s="391"/>
      <c r="CMY1618" s="391"/>
      <c r="CNA1618" s="391"/>
      <c r="CNC1618" s="391"/>
      <c r="CNE1618" s="391"/>
      <c r="CNG1618" s="391"/>
      <c r="CNI1618" s="391"/>
      <c r="CNK1618" s="391"/>
      <c r="CNM1618" s="391"/>
      <c r="CNO1618" s="391"/>
      <c r="CNQ1618" s="391"/>
      <c r="CNS1618" s="391"/>
      <c r="CNU1618" s="391"/>
      <c r="CNW1618" s="391"/>
      <c r="CNY1618" s="391"/>
      <c r="COA1618" s="391"/>
      <c r="COC1618" s="391"/>
      <c r="COE1618" s="391"/>
      <c r="COG1618" s="391"/>
      <c r="COI1618" s="391"/>
      <c r="COK1618" s="391"/>
      <c r="COM1618" s="391"/>
      <c r="COO1618" s="391"/>
      <c r="COQ1618" s="391"/>
      <c r="COS1618" s="391"/>
      <c r="COU1618" s="391"/>
      <c r="COW1618" s="391"/>
      <c r="COY1618" s="391"/>
      <c r="CPA1618" s="391"/>
      <c r="CPC1618" s="391"/>
      <c r="CPE1618" s="391"/>
      <c r="CPG1618" s="391"/>
      <c r="CPI1618" s="391"/>
      <c r="CPK1618" s="391"/>
      <c r="CPM1618" s="391"/>
      <c r="CPO1618" s="391"/>
      <c r="CPQ1618" s="391"/>
      <c r="CPS1618" s="391"/>
      <c r="CPU1618" s="391"/>
      <c r="CPW1618" s="391"/>
      <c r="CPY1618" s="391"/>
      <c r="CQA1618" s="391"/>
      <c r="CQC1618" s="391"/>
      <c r="CQE1618" s="391"/>
      <c r="CQG1618" s="391"/>
      <c r="CQI1618" s="391"/>
      <c r="CQK1618" s="391"/>
      <c r="CQM1618" s="391"/>
      <c r="CQO1618" s="391"/>
      <c r="CQQ1618" s="391"/>
      <c r="CQS1618" s="391"/>
      <c r="CQU1618" s="391"/>
      <c r="CQW1618" s="391"/>
      <c r="CQY1618" s="391"/>
      <c r="CRA1618" s="391"/>
      <c r="CRC1618" s="391"/>
      <c r="CRE1618" s="391"/>
      <c r="CRG1618" s="391"/>
      <c r="CRI1618" s="391"/>
      <c r="CRK1618" s="391"/>
      <c r="CRM1618" s="391"/>
      <c r="CRO1618" s="391"/>
      <c r="CRQ1618" s="391"/>
      <c r="CRS1618" s="391"/>
      <c r="CRU1618" s="391"/>
      <c r="CRW1618" s="391"/>
      <c r="CRY1618" s="391"/>
      <c r="CSA1618" s="391"/>
      <c r="CSC1618" s="391"/>
      <c r="CSE1618" s="391"/>
      <c r="CSG1618" s="391"/>
      <c r="CSI1618" s="391"/>
      <c r="CSK1618" s="391"/>
      <c r="CSM1618" s="391"/>
      <c r="CSO1618" s="391"/>
      <c r="CSQ1618" s="391"/>
      <c r="CSS1618" s="391"/>
      <c r="CSU1618" s="391"/>
      <c r="CSW1618" s="391"/>
      <c r="CSY1618" s="391"/>
      <c r="CTA1618" s="391"/>
      <c r="CTC1618" s="391"/>
      <c r="CTE1618" s="391"/>
      <c r="CTG1618" s="391"/>
      <c r="CTI1618" s="391"/>
      <c r="CTK1618" s="391"/>
      <c r="CTM1618" s="391"/>
      <c r="CTO1618" s="391"/>
      <c r="CTQ1618" s="391"/>
      <c r="CTS1618" s="391"/>
      <c r="CTU1618" s="391"/>
      <c r="CTW1618" s="391"/>
      <c r="CTY1618" s="391"/>
      <c r="CUA1618" s="391"/>
      <c r="CUC1618" s="391"/>
      <c r="CUE1618" s="391"/>
      <c r="CUG1618" s="391"/>
      <c r="CUI1618" s="391"/>
      <c r="CUK1618" s="391"/>
      <c r="CUM1618" s="391"/>
      <c r="CUO1618" s="391"/>
      <c r="CUQ1618" s="391"/>
      <c r="CUS1618" s="391"/>
      <c r="CUU1618" s="391"/>
      <c r="CUW1618" s="391"/>
      <c r="CUY1618" s="391"/>
      <c r="CVA1618" s="391"/>
      <c r="CVC1618" s="391"/>
      <c r="CVE1618" s="391"/>
      <c r="CVG1618" s="391"/>
      <c r="CVI1618" s="391"/>
      <c r="CVK1618" s="391"/>
      <c r="CVM1618" s="391"/>
      <c r="CVO1618" s="391"/>
      <c r="CVQ1618" s="391"/>
      <c r="CVS1618" s="391"/>
      <c r="CVU1618" s="391"/>
      <c r="CVW1618" s="391"/>
      <c r="CVY1618" s="391"/>
      <c r="CWA1618" s="391"/>
      <c r="CWC1618" s="391"/>
      <c r="CWE1618" s="391"/>
      <c r="CWG1618" s="391"/>
      <c r="CWI1618" s="391"/>
      <c r="CWK1618" s="391"/>
      <c r="CWM1618" s="391"/>
      <c r="CWO1618" s="391"/>
      <c r="CWQ1618" s="391"/>
      <c r="CWS1618" s="391"/>
      <c r="CWU1618" s="391"/>
      <c r="CWW1618" s="391"/>
      <c r="CWY1618" s="391"/>
      <c r="CXA1618" s="391"/>
      <c r="CXC1618" s="391"/>
      <c r="CXE1618" s="391"/>
      <c r="CXG1618" s="391"/>
      <c r="CXI1618" s="391"/>
      <c r="CXK1618" s="391"/>
      <c r="CXM1618" s="391"/>
      <c r="CXO1618" s="391"/>
      <c r="CXQ1618" s="391"/>
      <c r="CXS1618" s="391"/>
      <c r="CXU1618" s="391"/>
      <c r="CXW1618" s="391"/>
      <c r="CXY1618" s="391"/>
      <c r="CYA1618" s="391"/>
      <c r="CYC1618" s="391"/>
      <c r="CYE1618" s="391"/>
      <c r="CYG1618" s="391"/>
      <c r="CYI1618" s="391"/>
      <c r="CYK1618" s="391"/>
      <c r="CYM1618" s="391"/>
      <c r="CYO1618" s="391"/>
      <c r="CYQ1618" s="391"/>
      <c r="CYS1618" s="391"/>
      <c r="CYU1618" s="391"/>
      <c r="CYW1618" s="391"/>
      <c r="CYY1618" s="391"/>
      <c r="CZA1618" s="391"/>
      <c r="CZC1618" s="391"/>
      <c r="CZE1618" s="391"/>
      <c r="CZG1618" s="391"/>
      <c r="CZI1618" s="391"/>
      <c r="CZK1618" s="391"/>
      <c r="CZM1618" s="391"/>
      <c r="CZO1618" s="391"/>
      <c r="CZQ1618" s="391"/>
      <c r="CZS1618" s="391"/>
      <c r="CZU1618" s="391"/>
      <c r="CZW1618" s="391"/>
      <c r="CZY1618" s="391"/>
      <c r="DAA1618" s="391"/>
      <c r="DAC1618" s="391"/>
      <c r="DAE1618" s="391"/>
      <c r="DAG1618" s="391"/>
      <c r="DAI1618" s="391"/>
      <c r="DAK1618" s="391"/>
      <c r="DAM1618" s="391"/>
      <c r="DAO1618" s="391"/>
      <c r="DAQ1618" s="391"/>
      <c r="DAS1618" s="391"/>
      <c r="DAU1618" s="391"/>
      <c r="DAW1618" s="391"/>
      <c r="DAY1618" s="391"/>
      <c r="DBA1618" s="391"/>
      <c r="DBC1618" s="391"/>
      <c r="DBE1618" s="391"/>
      <c r="DBG1618" s="391"/>
      <c r="DBI1618" s="391"/>
      <c r="DBK1618" s="391"/>
      <c r="DBM1618" s="391"/>
      <c r="DBO1618" s="391"/>
      <c r="DBQ1618" s="391"/>
      <c r="DBS1618" s="391"/>
      <c r="DBU1618" s="391"/>
      <c r="DBW1618" s="391"/>
      <c r="DBY1618" s="391"/>
      <c r="DCA1618" s="391"/>
      <c r="DCC1618" s="391"/>
      <c r="DCE1618" s="391"/>
      <c r="DCG1618" s="391"/>
      <c r="DCI1618" s="391"/>
      <c r="DCK1618" s="391"/>
      <c r="DCM1618" s="391"/>
      <c r="DCO1618" s="391"/>
      <c r="DCQ1618" s="391"/>
      <c r="DCS1618" s="391"/>
      <c r="DCU1618" s="391"/>
      <c r="DCW1618" s="391"/>
      <c r="DCY1618" s="391"/>
      <c r="DDA1618" s="391"/>
      <c r="DDC1618" s="391"/>
      <c r="DDE1618" s="391"/>
      <c r="DDG1618" s="391"/>
      <c r="DDI1618" s="391"/>
      <c r="DDK1618" s="391"/>
      <c r="DDM1618" s="391"/>
      <c r="DDO1618" s="391"/>
      <c r="DDQ1618" s="391"/>
      <c r="DDS1618" s="391"/>
      <c r="DDU1618" s="391"/>
      <c r="DDW1618" s="391"/>
      <c r="DDY1618" s="391"/>
      <c r="DEA1618" s="391"/>
      <c r="DEC1618" s="391"/>
      <c r="DEE1618" s="391"/>
      <c r="DEG1618" s="391"/>
      <c r="DEI1618" s="391"/>
      <c r="DEK1618" s="391"/>
      <c r="DEM1618" s="391"/>
      <c r="DEO1618" s="391"/>
      <c r="DEQ1618" s="391"/>
      <c r="DES1618" s="391"/>
      <c r="DEU1618" s="391"/>
      <c r="DEW1618" s="391"/>
      <c r="DEY1618" s="391"/>
      <c r="DFA1618" s="391"/>
      <c r="DFC1618" s="391"/>
      <c r="DFE1618" s="391"/>
      <c r="DFG1618" s="391"/>
      <c r="DFI1618" s="391"/>
      <c r="DFK1618" s="391"/>
      <c r="DFM1618" s="391"/>
      <c r="DFO1618" s="391"/>
      <c r="DFQ1618" s="391"/>
      <c r="DFS1618" s="391"/>
      <c r="DFU1618" s="391"/>
      <c r="DFW1618" s="391"/>
      <c r="DFY1618" s="391"/>
      <c r="DGA1618" s="391"/>
      <c r="DGC1618" s="391"/>
      <c r="DGE1618" s="391"/>
      <c r="DGG1618" s="391"/>
      <c r="DGI1618" s="391"/>
      <c r="DGK1618" s="391"/>
      <c r="DGM1618" s="391"/>
      <c r="DGO1618" s="391"/>
      <c r="DGQ1618" s="391"/>
      <c r="DGS1618" s="391"/>
      <c r="DGU1618" s="391"/>
      <c r="DGW1618" s="391"/>
      <c r="DGY1618" s="391"/>
      <c r="DHA1618" s="391"/>
      <c r="DHC1618" s="391"/>
      <c r="DHE1618" s="391"/>
      <c r="DHG1618" s="391"/>
      <c r="DHI1618" s="391"/>
      <c r="DHK1618" s="391"/>
      <c r="DHM1618" s="391"/>
      <c r="DHO1618" s="391"/>
      <c r="DHQ1618" s="391"/>
      <c r="DHS1618" s="391"/>
      <c r="DHU1618" s="391"/>
      <c r="DHW1618" s="391"/>
      <c r="DHY1618" s="391"/>
      <c r="DIA1618" s="391"/>
      <c r="DIC1618" s="391"/>
      <c r="DIE1618" s="391"/>
      <c r="DIG1618" s="391"/>
      <c r="DII1618" s="391"/>
      <c r="DIK1618" s="391"/>
      <c r="DIM1618" s="391"/>
      <c r="DIO1618" s="391"/>
      <c r="DIQ1618" s="391"/>
      <c r="DIS1618" s="391"/>
      <c r="DIU1618" s="391"/>
      <c r="DIW1618" s="391"/>
      <c r="DIY1618" s="391"/>
      <c r="DJA1618" s="391"/>
      <c r="DJC1618" s="391"/>
      <c r="DJE1618" s="391"/>
      <c r="DJG1618" s="391"/>
      <c r="DJI1618" s="391"/>
      <c r="DJK1618" s="391"/>
      <c r="DJM1618" s="391"/>
      <c r="DJO1618" s="391"/>
      <c r="DJQ1618" s="391"/>
      <c r="DJS1618" s="391"/>
      <c r="DJU1618" s="391"/>
      <c r="DJW1618" s="391"/>
      <c r="DJY1618" s="391"/>
      <c r="DKA1618" s="391"/>
      <c r="DKC1618" s="391"/>
      <c r="DKE1618" s="391"/>
      <c r="DKG1618" s="391"/>
      <c r="DKI1618" s="391"/>
      <c r="DKK1618" s="391"/>
      <c r="DKM1618" s="391"/>
      <c r="DKO1618" s="391"/>
      <c r="DKQ1618" s="391"/>
      <c r="DKS1618" s="391"/>
      <c r="DKU1618" s="391"/>
      <c r="DKW1618" s="391"/>
      <c r="DKY1618" s="391"/>
      <c r="DLA1618" s="391"/>
      <c r="DLC1618" s="391"/>
      <c r="DLE1618" s="391"/>
      <c r="DLG1618" s="391"/>
      <c r="DLI1618" s="391"/>
      <c r="DLK1618" s="391"/>
      <c r="DLM1618" s="391"/>
      <c r="DLO1618" s="391"/>
      <c r="DLQ1618" s="391"/>
      <c r="DLS1618" s="391"/>
      <c r="DLU1618" s="391"/>
      <c r="DLW1618" s="391"/>
      <c r="DLY1618" s="391"/>
      <c r="DMA1618" s="391"/>
      <c r="DMC1618" s="391"/>
      <c r="DME1618" s="391"/>
      <c r="DMG1618" s="391"/>
      <c r="DMI1618" s="391"/>
      <c r="DMK1618" s="391"/>
      <c r="DMM1618" s="391"/>
      <c r="DMO1618" s="391"/>
      <c r="DMQ1618" s="391"/>
      <c r="DMS1618" s="391"/>
      <c r="DMU1618" s="391"/>
      <c r="DMW1618" s="391"/>
      <c r="DMY1618" s="391"/>
      <c r="DNA1618" s="391"/>
      <c r="DNC1618" s="391"/>
      <c r="DNE1618" s="391"/>
      <c r="DNG1618" s="391"/>
      <c r="DNI1618" s="391"/>
      <c r="DNK1618" s="391"/>
      <c r="DNM1618" s="391"/>
      <c r="DNO1618" s="391"/>
      <c r="DNQ1618" s="391"/>
      <c r="DNS1618" s="391"/>
      <c r="DNU1618" s="391"/>
      <c r="DNW1618" s="391"/>
      <c r="DNY1618" s="391"/>
      <c r="DOA1618" s="391"/>
      <c r="DOC1618" s="391"/>
      <c r="DOE1618" s="391"/>
      <c r="DOG1618" s="391"/>
      <c r="DOI1618" s="391"/>
      <c r="DOK1618" s="391"/>
      <c r="DOM1618" s="391"/>
      <c r="DOO1618" s="391"/>
      <c r="DOQ1618" s="391"/>
      <c r="DOS1618" s="391"/>
      <c r="DOU1618" s="391"/>
      <c r="DOW1618" s="391"/>
      <c r="DOY1618" s="391"/>
      <c r="DPA1618" s="391"/>
      <c r="DPC1618" s="391"/>
      <c r="DPE1618" s="391"/>
      <c r="DPG1618" s="391"/>
      <c r="DPI1618" s="391"/>
      <c r="DPK1618" s="391"/>
      <c r="DPM1618" s="391"/>
      <c r="DPO1618" s="391"/>
      <c r="DPQ1618" s="391"/>
      <c r="DPS1618" s="391"/>
      <c r="DPU1618" s="391"/>
      <c r="DPW1618" s="391"/>
      <c r="DPY1618" s="391"/>
      <c r="DQA1618" s="391"/>
      <c r="DQC1618" s="391"/>
      <c r="DQE1618" s="391"/>
      <c r="DQG1618" s="391"/>
      <c r="DQI1618" s="391"/>
      <c r="DQK1618" s="391"/>
      <c r="DQM1618" s="391"/>
      <c r="DQO1618" s="391"/>
      <c r="DQQ1618" s="391"/>
      <c r="DQS1618" s="391"/>
      <c r="DQU1618" s="391"/>
      <c r="DQW1618" s="391"/>
      <c r="DQY1618" s="391"/>
      <c r="DRA1618" s="391"/>
      <c r="DRC1618" s="391"/>
      <c r="DRE1618" s="391"/>
      <c r="DRG1618" s="391"/>
      <c r="DRI1618" s="391"/>
      <c r="DRK1618" s="391"/>
      <c r="DRM1618" s="391"/>
      <c r="DRO1618" s="391"/>
      <c r="DRQ1618" s="391"/>
      <c r="DRS1618" s="391"/>
      <c r="DRU1618" s="391"/>
      <c r="DRW1618" s="391"/>
      <c r="DRY1618" s="391"/>
      <c r="DSA1618" s="391"/>
      <c r="DSC1618" s="391"/>
      <c r="DSE1618" s="391"/>
      <c r="DSG1618" s="391"/>
      <c r="DSI1618" s="391"/>
      <c r="DSK1618" s="391"/>
      <c r="DSM1618" s="391"/>
      <c r="DSO1618" s="391"/>
      <c r="DSQ1618" s="391"/>
      <c r="DSS1618" s="391"/>
      <c r="DSU1618" s="391"/>
      <c r="DSW1618" s="391"/>
      <c r="DSY1618" s="391"/>
      <c r="DTA1618" s="391"/>
      <c r="DTC1618" s="391"/>
      <c r="DTE1618" s="391"/>
      <c r="DTG1618" s="391"/>
      <c r="DTI1618" s="391"/>
      <c r="DTK1618" s="391"/>
      <c r="DTM1618" s="391"/>
      <c r="DTO1618" s="391"/>
      <c r="DTQ1618" s="391"/>
      <c r="DTS1618" s="391"/>
      <c r="DTU1618" s="391"/>
      <c r="DTW1618" s="391"/>
      <c r="DTY1618" s="391"/>
      <c r="DUA1618" s="391"/>
      <c r="DUC1618" s="391"/>
      <c r="DUE1618" s="391"/>
      <c r="DUG1618" s="391"/>
      <c r="DUI1618" s="391"/>
      <c r="DUK1618" s="391"/>
      <c r="DUM1618" s="391"/>
      <c r="DUO1618" s="391"/>
      <c r="DUQ1618" s="391"/>
      <c r="DUS1618" s="391"/>
      <c r="DUU1618" s="391"/>
      <c r="DUW1618" s="391"/>
      <c r="DUY1618" s="391"/>
      <c r="DVA1618" s="391"/>
      <c r="DVC1618" s="391"/>
      <c r="DVE1618" s="391"/>
      <c r="DVG1618" s="391"/>
      <c r="DVI1618" s="391"/>
      <c r="DVK1618" s="391"/>
      <c r="DVM1618" s="391"/>
      <c r="DVO1618" s="391"/>
      <c r="DVQ1618" s="391"/>
      <c r="DVS1618" s="391"/>
      <c r="DVU1618" s="391"/>
      <c r="DVW1618" s="391"/>
      <c r="DVY1618" s="391"/>
      <c r="DWA1618" s="391"/>
      <c r="DWC1618" s="391"/>
      <c r="DWE1618" s="391"/>
      <c r="DWG1618" s="391"/>
      <c r="DWI1618" s="391"/>
      <c r="DWK1618" s="391"/>
      <c r="DWM1618" s="391"/>
      <c r="DWO1618" s="391"/>
      <c r="DWQ1618" s="391"/>
      <c r="DWS1618" s="391"/>
      <c r="DWU1618" s="391"/>
      <c r="DWW1618" s="391"/>
      <c r="DWY1618" s="391"/>
      <c r="DXA1618" s="391"/>
      <c r="DXC1618" s="391"/>
      <c r="DXE1618" s="391"/>
      <c r="DXG1618" s="391"/>
      <c r="DXI1618" s="391"/>
      <c r="DXK1618" s="391"/>
      <c r="DXM1618" s="391"/>
      <c r="DXO1618" s="391"/>
      <c r="DXQ1618" s="391"/>
      <c r="DXS1618" s="391"/>
      <c r="DXU1618" s="391"/>
      <c r="DXW1618" s="391"/>
      <c r="DXY1618" s="391"/>
      <c r="DYA1618" s="391"/>
      <c r="DYC1618" s="391"/>
      <c r="DYE1618" s="391"/>
      <c r="DYG1618" s="391"/>
      <c r="DYI1618" s="391"/>
      <c r="DYK1618" s="391"/>
      <c r="DYM1618" s="391"/>
      <c r="DYO1618" s="391"/>
      <c r="DYQ1618" s="391"/>
      <c r="DYS1618" s="391"/>
      <c r="DYU1618" s="391"/>
      <c r="DYW1618" s="391"/>
      <c r="DYY1618" s="391"/>
      <c r="DZA1618" s="391"/>
      <c r="DZC1618" s="391"/>
      <c r="DZE1618" s="391"/>
      <c r="DZG1618" s="391"/>
      <c r="DZI1618" s="391"/>
      <c r="DZK1618" s="391"/>
      <c r="DZM1618" s="391"/>
      <c r="DZO1618" s="391"/>
      <c r="DZQ1618" s="391"/>
      <c r="DZS1618" s="391"/>
      <c r="DZU1618" s="391"/>
      <c r="DZW1618" s="391"/>
      <c r="DZY1618" s="391"/>
      <c r="EAA1618" s="391"/>
      <c r="EAC1618" s="391"/>
      <c r="EAE1618" s="391"/>
      <c r="EAG1618" s="391"/>
      <c r="EAI1618" s="391"/>
      <c r="EAK1618" s="391"/>
      <c r="EAM1618" s="391"/>
      <c r="EAO1618" s="391"/>
      <c r="EAQ1618" s="391"/>
      <c r="EAS1618" s="391"/>
      <c r="EAU1618" s="391"/>
      <c r="EAW1618" s="391"/>
      <c r="EAY1618" s="391"/>
      <c r="EBA1618" s="391"/>
      <c r="EBC1618" s="391"/>
      <c r="EBE1618" s="391"/>
      <c r="EBG1618" s="391"/>
      <c r="EBI1618" s="391"/>
      <c r="EBK1618" s="391"/>
      <c r="EBM1618" s="391"/>
      <c r="EBO1618" s="391"/>
      <c r="EBQ1618" s="391"/>
      <c r="EBS1618" s="391"/>
      <c r="EBU1618" s="391"/>
      <c r="EBW1618" s="391"/>
      <c r="EBY1618" s="391"/>
      <c r="ECA1618" s="391"/>
      <c r="ECC1618" s="391"/>
      <c r="ECE1618" s="391"/>
      <c r="ECG1618" s="391"/>
      <c r="ECI1618" s="391"/>
      <c r="ECK1618" s="391"/>
      <c r="ECM1618" s="391"/>
      <c r="ECO1618" s="391"/>
      <c r="ECQ1618" s="391"/>
      <c r="ECS1618" s="391"/>
      <c r="ECU1618" s="391"/>
      <c r="ECW1618" s="391"/>
      <c r="ECY1618" s="391"/>
      <c r="EDA1618" s="391"/>
      <c r="EDC1618" s="391"/>
      <c r="EDE1618" s="391"/>
      <c r="EDG1618" s="391"/>
      <c r="EDI1618" s="391"/>
      <c r="EDK1618" s="391"/>
      <c r="EDM1618" s="391"/>
      <c r="EDO1618" s="391"/>
      <c r="EDQ1618" s="391"/>
      <c r="EDS1618" s="391"/>
      <c r="EDU1618" s="391"/>
      <c r="EDW1618" s="391"/>
      <c r="EDY1618" s="391"/>
      <c r="EEA1618" s="391"/>
      <c r="EEC1618" s="391"/>
      <c r="EEE1618" s="391"/>
      <c r="EEG1618" s="391"/>
      <c r="EEI1618" s="391"/>
      <c r="EEK1618" s="391"/>
      <c r="EEM1618" s="391"/>
      <c r="EEO1618" s="391"/>
      <c r="EEQ1618" s="391"/>
      <c r="EES1618" s="391"/>
      <c r="EEU1618" s="391"/>
      <c r="EEW1618" s="391"/>
      <c r="EEY1618" s="391"/>
      <c r="EFA1618" s="391"/>
      <c r="EFC1618" s="391"/>
      <c r="EFE1618" s="391"/>
      <c r="EFG1618" s="391"/>
      <c r="EFI1618" s="391"/>
      <c r="EFK1618" s="391"/>
      <c r="EFM1618" s="391"/>
      <c r="EFO1618" s="391"/>
      <c r="EFQ1618" s="391"/>
      <c r="EFS1618" s="391"/>
      <c r="EFU1618" s="391"/>
      <c r="EFW1618" s="391"/>
      <c r="EFY1618" s="391"/>
      <c r="EGA1618" s="391"/>
      <c r="EGC1618" s="391"/>
      <c r="EGE1618" s="391"/>
      <c r="EGG1618" s="391"/>
      <c r="EGI1618" s="391"/>
      <c r="EGK1618" s="391"/>
      <c r="EGM1618" s="391"/>
      <c r="EGO1618" s="391"/>
      <c r="EGQ1618" s="391"/>
      <c r="EGS1618" s="391"/>
      <c r="EGU1618" s="391"/>
      <c r="EGW1618" s="391"/>
      <c r="EGY1618" s="391"/>
      <c r="EHA1618" s="391"/>
      <c r="EHC1618" s="391"/>
      <c r="EHE1618" s="391"/>
      <c r="EHG1618" s="391"/>
      <c r="EHI1618" s="391"/>
      <c r="EHK1618" s="391"/>
      <c r="EHM1618" s="391"/>
      <c r="EHO1618" s="391"/>
      <c r="EHQ1618" s="391"/>
      <c r="EHS1618" s="391"/>
      <c r="EHU1618" s="391"/>
      <c r="EHW1618" s="391"/>
      <c r="EHY1618" s="391"/>
      <c r="EIA1618" s="391"/>
      <c r="EIC1618" s="391"/>
      <c r="EIE1618" s="391"/>
      <c r="EIG1618" s="391"/>
      <c r="EII1618" s="391"/>
      <c r="EIK1618" s="391"/>
      <c r="EIM1618" s="391"/>
      <c r="EIO1618" s="391"/>
      <c r="EIQ1618" s="391"/>
      <c r="EIS1618" s="391"/>
      <c r="EIU1618" s="391"/>
      <c r="EIW1618" s="391"/>
      <c r="EIY1618" s="391"/>
      <c r="EJA1618" s="391"/>
      <c r="EJC1618" s="391"/>
      <c r="EJE1618" s="391"/>
      <c r="EJG1618" s="391"/>
      <c r="EJI1618" s="391"/>
      <c r="EJK1618" s="391"/>
      <c r="EJM1618" s="391"/>
      <c r="EJO1618" s="391"/>
      <c r="EJQ1618" s="391"/>
      <c r="EJS1618" s="391"/>
      <c r="EJU1618" s="391"/>
      <c r="EJW1618" s="391"/>
      <c r="EJY1618" s="391"/>
      <c r="EKA1618" s="391"/>
      <c r="EKC1618" s="391"/>
      <c r="EKE1618" s="391"/>
      <c r="EKG1618" s="391"/>
      <c r="EKI1618" s="391"/>
      <c r="EKK1618" s="391"/>
      <c r="EKM1618" s="391"/>
      <c r="EKO1618" s="391"/>
      <c r="EKQ1618" s="391"/>
      <c r="EKS1618" s="391"/>
      <c r="EKU1618" s="391"/>
      <c r="EKW1618" s="391"/>
      <c r="EKY1618" s="391"/>
      <c r="ELA1618" s="391"/>
      <c r="ELC1618" s="391"/>
      <c r="ELE1618" s="391"/>
      <c r="ELG1618" s="391"/>
      <c r="ELI1618" s="391"/>
      <c r="ELK1618" s="391"/>
      <c r="ELM1618" s="391"/>
      <c r="ELO1618" s="391"/>
      <c r="ELQ1618" s="391"/>
      <c r="ELS1618" s="391"/>
      <c r="ELU1618" s="391"/>
      <c r="ELW1618" s="391"/>
      <c r="ELY1618" s="391"/>
      <c r="EMA1618" s="391"/>
      <c r="EMC1618" s="391"/>
      <c r="EME1618" s="391"/>
      <c r="EMG1618" s="391"/>
      <c r="EMI1618" s="391"/>
      <c r="EMK1618" s="391"/>
      <c r="EMM1618" s="391"/>
      <c r="EMO1618" s="391"/>
      <c r="EMQ1618" s="391"/>
      <c r="EMS1618" s="391"/>
      <c r="EMU1618" s="391"/>
      <c r="EMW1618" s="391"/>
      <c r="EMY1618" s="391"/>
      <c r="ENA1618" s="391"/>
      <c r="ENC1618" s="391"/>
      <c r="ENE1618" s="391"/>
      <c r="ENG1618" s="391"/>
      <c r="ENI1618" s="391"/>
      <c r="ENK1618" s="391"/>
      <c r="ENM1618" s="391"/>
      <c r="ENO1618" s="391"/>
      <c r="ENQ1618" s="391"/>
      <c r="ENS1618" s="391"/>
      <c r="ENU1618" s="391"/>
      <c r="ENW1618" s="391"/>
      <c r="ENY1618" s="391"/>
      <c r="EOA1618" s="391"/>
      <c r="EOC1618" s="391"/>
      <c r="EOE1618" s="391"/>
      <c r="EOG1618" s="391"/>
      <c r="EOI1618" s="391"/>
      <c r="EOK1618" s="391"/>
      <c r="EOM1618" s="391"/>
      <c r="EOO1618" s="391"/>
      <c r="EOQ1618" s="391"/>
      <c r="EOS1618" s="391"/>
      <c r="EOU1618" s="391"/>
      <c r="EOW1618" s="391"/>
      <c r="EOY1618" s="391"/>
      <c r="EPA1618" s="391"/>
      <c r="EPC1618" s="391"/>
      <c r="EPE1618" s="391"/>
      <c r="EPG1618" s="391"/>
      <c r="EPI1618" s="391"/>
      <c r="EPK1618" s="391"/>
      <c r="EPM1618" s="391"/>
      <c r="EPO1618" s="391"/>
      <c r="EPQ1618" s="391"/>
      <c r="EPS1618" s="391"/>
      <c r="EPU1618" s="391"/>
      <c r="EPW1618" s="391"/>
      <c r="EPY1618" s="391"/>
      <c r="EQA1618" s="391"/>
      <c r="EQC1618" s="391"/>
      <c r="EQE1618" s="391"/>
      <c r="EQG1618" s="391"/>
      <c r="EQI1618" s="391"/>
      <c r="EQK1618" s="391"/>
      <c r="EQM1618" s="391"/>
      <c r="EQO1618" s="391"/>
      <c r="EQQ1618" s="391"/>
      <c r="EQS1618" s="391"/>
      <c r="EQU1618" s="391"/>
      <c r="EQW1618" s="391"/>
      <c r="EQY1618" s="391"/>
      <c r="ERA1618" s="391"/>
      <c r="ERC1618" s="391"/>
      <c r="ERE1618" s="391"/>
      <c r="ERG1618" s="391"/>
      <c r="ERI1618" s="391"/>
      <c r="ERK1618" s="391"/>
      <c r="ERM1618" s="391"/>
      <c r="ERO1618" s="391"/>
      <c r="ERQ1618" s="391"/>
      <c r="ERS1618" s="391"/>
      <c r="ERU1618" s="391"/>
      <c r="ERW1618" s="391"/>
      <c r="ERY1618" s="391"/>
      <c r="ESA1618" s="391"/>
      <c r="ESC1618" s="391"/>
      <c r="ESE1618" s="391"/>
      <c r="ESG1618" s="391"/>
      <c r="ESI1618" s="391"/>
      <c r="ESK1618" s="391"/>
      <c r="ESM1618" s="391"/>
      <c r="ESO1618" s="391"/>
      <c r="ESQ1618" s="391"/>
      <c r="ESS1618" s="391"/>
      <c r="ESU1618" s="391"/>
      <c r="ESW1618" s="391"/>
      <c r="ESY1618" s="391"/>
      <c r="ETA1618" s="391"/>
      <c r="ETC1618" s="391"/>
      <c r="ETE1618" s="391"/>
      <c r="ETG1618" s="391"/>
      <c r="ETI1618" s="391"/>
      <c r="ETK1618" s="391"/>
      <c r="ETM1618" s="391"/>
      <c r="ETO1618" s="391"/>
      <c r="ETQ1618" s="391"/>
      <c r="ETS1618" s="391"/>
      <c r="ETU1618" s="391"/>
      <c r="ETW1618" s="391"/>
      <c r="ETY1618" s="391"/>
      <c r="EUA1618" s="391"/>
      <c r="EUC1618" s="391"/>
      <c r="EUE1618" s="391"/>
      <c r="EUG1618" s="391"/>
      <c r="EUI1618" s="391"/>
      <c r="EUK1618" s="391"/>
      <c r="EUM1618" s="391"/>
      <c r="EUO1618" s="391"/>
      <c r="EUQ1618" s="391"/>
      <c r="EUS1618" s="391"/>
      <c r="EUU1618" s="391"/>
      <c r="EUW1618" s="391"/>
      <c r="EUY1618" s="391"/>
      <c r="EVA1618" s="391"/>
      <c r="EVC1618" s="391"/>
      <c r="EVE1618" s="391"/>
      <c r="EVG1618" s="391"/>
      <c r="EVI1618" s="391"/>
      <c r="EVK1618" s="391"/>
      <c r="EVM1618" s="391"/>
      <c r="EVO1618" s="391"/>
      <c r="EVQ1618" s="391"/>
      <c r="EVS1618" s="391"/>
      <c r="EVU1618" s="391"/>
      <c r="EVW1618" s="391"/>
      <c r="EVY1618" s="391"/>
      <c r="EWA1618" s="391"/>
      <c r="EWC1618" s="391"/>
      <c r="EWE1618" s="391"/>
      <c r="EWG1618" s="391"/>
      <c r="EWI1618" s="391"/>
      <c r="EWK1618" s="391"/>
      <c r="EWM1618" s="391"/>
      <c r="EWO1618" s="391"/>
      <c r="EWQ1618" s="391"/>
      <c r="EWS1618" s="391"/>
      <c r="EWU1618" s="391"/>
      <c r="EWW1618" s="391"/>
      <c r="EWY1618" s="391"/>
      <c r="EXA1618" s="391"/>
      <c r="EXC1618" s="391"/>
      <c r="EXE1618" s="391"/>
      <c r="EXG1618" s="391"/>
      <c r="EXI1618" s="391"/>
      <c r="EXK1618" s="391"/>
      <c r="EXM1618" s="391"/>
      <c r="EXO1618" s="391"/>
      <c r="EXQ1618" s="391"/>
      <c r="EXS1618" s="391"/>
      <c r="EXU1618" s="391"/>
      <c r="EXW1618" s="391"/>
      <c r="EXY1618" s="391"/>
      <c r="EYA1618" s="391"/>
      <c r="EYC1618" s="391"/>
      <c r="EYE1618" s="391"/>
      <c r="EYG1618" s="391"/>
      <c r="EYI1618" s="391"/>
      <c r="EYK1618" s="391"/>
      <c r="EYM1618" s="391"/>
      <c r="EYO1618" s="391"/>
      <c r="EYQ1618" s="391"/>
      <c r="EYS1618" s="391"/>
      <c r="EYU1618" s="391"/>
      <c r="EYW1618" s="391"/>
      <c r="EYY1618" s="391"/>
      <c r="EZA1618" s="391"/>
      <c r="EZC1618" s="391"/>
      <c r="EZE1618" s="391"/>
      <c r="EZG1618" s="391"/>
      <c r="EZI1618" s="391"/>
      <c r="EZK1618" s="391"/>
      <c r="EZM1618" s="391"/>
      <c r="EZO1618" s="391"/>
      <c r="EZQ1618" s="391"/>
      <c r="EZS1618" s="391"/>
      <c r="EZU1618" s="391"/>
      <c r="EZW1618" s="391"/>
      <c r="EZY1618" s="391"/>
      <c r="FAA1618" s="391"/>
      <c r="FAC1618" s="391"/>
      <c r="FAE1618" s="391"/>
      <c r="FAG1618" s="391"/>
      <c r="FAI1618" s="391"/>
      <c r="FAK1618" s="391"/>
      <c r="FAM1618" s="391"/>
      <c r="FAO1618" s="391"/>
      <c r="FAQ1618" s="391"/>
      <c r="FAS1618" s="391"/>
      <c r="FAU1618" s="391"/>
      <c r="FAW1618" s="391"/>
      <c r="FAY1618" s="391"/>
      <c r="FBA1618" s="391"/>
      <c r="FBC1618" s="391"/>
      <c r="FBE1618" s="391"/>
      <c r="FBG1618" s="391"/>
      <c r="FBI1618" s="391"/>
      <c r="FBK1618" s="391"/>
      <c r="FBM1618" s="391"/>
      <c r="FBO1618" s="391"/>
      <c r="FBQ1618" s="391"/>
      <c r="FBS1618" s="391"/>
      <c r="FBU1618" s="391"/>
      <c r="FBW1618" s="391"/>
      <c r="FBY1618" s="391"/>
      <c r="FCA1618" s="391"/>
      <c r="FCC1618" s="391"/>
      <c r="FCE1618" s="391"/>
      <c r="FCG1618" s="391"/>
      <c r="FCI1618" s="391"/>
      <c r="FCK1618" s="391"/>
      <c r="FCM1618" s="391"/>
      <c r="FCO1618" s="391"/>
      <c r="FCQ1618" s="391"/>
      <c r="FCS1618" s="391"/>
      <c r="FCU1618" s="391"/>
      <c r="FCW1618" s="391"/>
      <c r="FCY1618" s="391"/>
      <c r="FDA1618" s="391"/>
      <c r="FDC1618" s="391"/>
      <c r="FDE1618" s="391"/>
      <c r="FDG1618" s="391"/>
      <c r="FDI1618" s="391"/>
      <c r="FDK1618" s="391"/>
      <c r="FDM1618" s="391"/>
      <c r="FDO1618" s="391"/>
      <c r="FDQ1618" s="391"/>
      <c r="FDS1618" s="391"/>
      <c r="FDU1618" s="391"/>
      <c r="FDW1618" s="391"/>
      <c r="FDY1618" s="391"/>
      <c r="FEA1618" s="391"/>
      <c r="FEC1618" s="391"/>
      <c r="FEE1618" s="391"/>
      <c r="FEG1618" s="391"/>
      <c r="FEI1618" s="391"/>
      <c r="FEK1618" s="391"/>
      <c r="FEM1618" s="391"/>
      <c r="FEO1618" s="391"/>
      <c r="FEQ1618" s="391"/>
      <c r="FES1618" s="391"/>
      <c r="FEU1618" s="391"/>
      <c r="FEW1618" s="391"/>
      <c r="FEY1618" s="391"/>
      <c r="FFA1618" s="391"/>
      <c r="FFC1618" s="391"/>
      <c r="FFE1618" s="391"/>
      <c r="FFG1618" s="391"/>
      <c r="FFI1618" s="391"/>
      <c r="FFK1618" s="391"/>
      <c r="FFM1618" s="391"/>
      <c r="FFO1618" s="391"/>
      <c r="FFQ1618" s="391"/>
      <c r="FFS1618" s="391"/>
      <c r="FFU1618" s="391"/>
      <c r="FFW1618" s="391"/>
      <c r="FFY1618" s="391"/>
      <c r="FGA1618" s="391"/>
      <c r="FGC1618" s="391"/>
      <c r="FGE1618" s="391"/>
      <c r="FGG1618" s="391"/>
      <c r="FGI1618" s="391"/>
      <c r="FGK1618" s="391"/>
      <c r="FGM1618" s="391"/>
      <c r="FGO1618" s="391"/>
      <c r="FGQ1618" s="391"/>
      <c r="FGS1618" s="391"/>
      <c r="FGU1618" s="391"/>
      <c r="FGW1618" s="391"/>
      <c r="FGY1618" s="391"/>
      <c r="FHA1618" s="391"/>
      <c r="FHC1618" s="391"/>
      <c r="FHE1618" s="391"/>
      <c r="FHG1618" s="391"/>
      <c r="FHI1618" s="391"/>
      <c r="FHK1618" s="391"/>
      <c r="FHM1618" s="391"/>
      <c r="FHO1618" s="391"/>
      <c r="FHQ1618" s="391"/>
      <c r="FHS1618" s="391"/>
      <c r="FHU1618" s="391"/>
      <c r="FHW1618" s="391"/>
      <c r="FHY1618" s="391"/>
      <c r="FIA1618" s="391"/>
      <c r="FIC1618" s="391"/>
      <c r="FIE1618" s="391"/>
      <c r="FIG1618" s="391"/>
      <c r="FII1618" s="391"/>
      <c r="FIK1618" s="391"/>
      <c r="FIM1618" s="391"/>
      <c r="FIO1618" s="391"/>
      <c r="FIQ1618" s="391"/>
      <c r="FIS1618" s="391"/>
      <c r="FIU1618" s="391"/>
      <c r="FIW1618" s="391"/>
      <c r="FIY1618" s="391"/>
      <c r="FJA1618" s="391"/>
      <c r="FJC1618" s="391"/>
      <c r="FJE1618" s="391"/>
      <c r="FJG1618" s="391"/>
      <c r="FJI1618" s="391"/>
      <c r="FJK1618" s="391"/>
      <c r="FJM1618" s="391"/>
      <c r="FJO1618" s="391"/>
      <c r="FJQ1618" s="391"/>
      <c r="FJS1618" s="391"/>
      <c r="FJU1618" s="391"/>
      <c r="FJW1618" s="391"/>
      <c r="FJY1618" s="391"/>
      <c r="FKA1618" s="391"/>
      <c r="FKC1618" s="391"/>
      <c r="FKE1618" s="391"/>
      <c r="FKG1618" s="391"/>
      <c r="FKI1618" s="391"/>
      <c r="FKK1618" s="391"/>
      <c r="FKM1618" s="391"/>
      <c r="FKO1618" s="391"/>
      <c r="FKQ1618" s="391"/>
      <c r="FKS1618" s="391"/>
      <c r="FKU1618" s="391"/>
      <c r="FKW1618" s="391"/>
      <c r="FKY1618" s="391"/>
      <c r="FLA1618" s="391"/>
      <c r="FLC1618" s="391"/>
      <c r="FLE1618" s="391"/>
      <c r="FLG1618" s="391"/>
      <c r="FLI1618" s="391"/>
      <c r="FLK1618" s="391"/>
      <c r="FLM1618" s="391"/>
      <c r="FLO1618" s="391"/>
      <c r="FLQ1618" s="391"/>
      <c r="FLS1618" s="391"/>
      <c r="FLU1618" s="391"/>
      <c r="FLW1618" s="391"/>
      <c r="FLY1618" s="391"/>
      <c r="FMA1618" s="391"/>
      <c r="FMC1618" s="391"/>
      <c r="FME1618" s="391"/>
      <c r="FMG1618" s="391"/>
      <c r="FMI1618" s="391"/>
      <c r="FMK1618" s="391"/>
      <c r="FMM1618" s="391"/>
      <c r="FMO1618" s="391"/>
      <c r="FMQ1618" s="391"/>
      <c r="FMS1618" s="391"/>
      <c r="FMU1618" s="391"/>
      <c r="FMW1618" s="391"/>
      <c r="FMY1618" s="391"/>
      <c r="FNA1618" s="391"/>
      <c r="FNC1618" s="391"/>
      <c r="FNE1618" s="391"/>
      <c r="FNG1618" s="391"/>
      <c r="FNI1618" s="391"/>
      <c r="FNK1618" s="391"/>
      <c r="FNM1618" s="391"/>
      <c r="FNO1618" s="391"/>
      <c r="FNQ1618" s="391"/>
      <c r="FNS1618" s="391"/>
      <c r="FNU1618" s="391"/>
      <c r="FNW1618" s="391"/>
      <c r="FNY1618" s="391"/>
      <c r="FOA1618" s="391"/>
      <c r="FOC1618" s="391"/>
      <c r="FOE1618" s="391"/>
      <c r="FOG1618" s="391"/>
      <c r="FOI1618" s="391"/>
      <c r="FOK1618" s="391"/>
      <c r="FOM1618" s="391"/>
      <c r="FOO1618" s="391"/>
      <c r="FOQ1618" s="391"/>
      <c r="FOS1618" s="391"/>
      <c r="FOU1618" s="391"/>
      <c r="FOW1618" s="391"/>
      <c r="FOY1618" s="391"/>
      <c r="FPA1618" s="391"/>
      <c r="FPC1618" s="391"/>
      <c r="FPE1618" s="391"/>
      <c r="FPG1618" s="391"/>
      <c r="FPI1618" s="391"/>
      <c r="FPK1618" s="391"/>
      <c r="FPM1618" s="391"/>
      <c r="FPO1618" s="391"/>
      <c r="FPQ1618" s="391"/>
      <c r="FPS1618" s="391"/>
      <c r="FPU1618" s="391"/>
      <c r="FPW1618" s="391"/>
      <c r="FPY1618" s="391"/>
      <c r="FQA1618" s="391"/>
      <c r="FQC1618" s="391"/>
      <c r="FQE1618" s="391"/>
      <c r="FQG1618" s="391"/>
      <c r="FQI1618" s="391"/>
      <c r="FQK1618" s="391"/>
      <c r="FQM1618" s="391"/>
      <c r="FQO1618" s="391"/>
      <c r="FQQ1618" s="391"/>
      <c r="FQS1618" s="391"/>
      <c r="FQU1618" s="391"/>
      <c r="FQW1618" s="391"/>
      <c r="FQY1618" s="391"/>
      <c r="FRA1618" s="391"/>
      <c r="FRC1618" s="391"/>
      <c r="FRE1618" s="391"/>
      <c r="FRG1618" s="391"/>
      <c r="FRI1618" s="391"/>
      <c r="FRK1618" s="391"/>
      <c r="FRM1618" s="391"/>
      <c r="FRO1618" s="391"/>
      <c r="FRQ1618" s="391"/>
      <c r="FRS1618" s="391"/>
      <c r="FRU1618" s="391"/>
      <c r="FRW1618" s="391"/>
      <c r="FRY1618" s="391"/>
      <c r="FSA1618" s="391"/>
      <c r="FSC1618" s="391"/>
      <c r="FSE1618" s="391"/>
      <c r="FSG1618" s="391"/>
      <c r="FSI1618" s="391"/>
      <c r="FSK1618" s="391"/>
      <c r="FSM1618" s="391"/>
      <c r="FSO1618" s="391"/>
      <c r="FSQ1618" s="391"/>
      <c r="FSS1618" s="391"/>
      <c r="FSU1618" s="391"/>
      <c r="FSW1618" s="391"/>
      <c r="FSY1618" s="391"/>
      <c r="FTA1618" s="391"/>
      <c r="FTC1618" s="391"/>
      <c r="FTE1618" s="391"/>
      <c r="FTG1618" s="391"/>
      <c r="FTI1618" s="391"/>
      <c r="FTK1618" s="391"/>
      <c r="FTM1618" s="391"/>
      <c r="FTO1618" s="391"/>
      <c r="FTQ1618" s="391"/>
      <c r="FTS1618" s="391"/>
      <c r="FTU1618" s="391"/>
      <c r="FTW1618" s="391"/>
      <c r="FTY1618" s="391"/>
      <c r="FUA1618" s="391"/>
      <c r="FUC1618" s="391"/>
      <c r="FUE1618" s="391"/>
      <c r="FUG1618" s="391"/>
      <c r="FUI1618" s="391"/>
      <c r="FUK1618" s="391"/>
      <c r="FUM1618" s="391"/>
      <c r="FUO1618" s="391"/>
      <c r="FUQ1618" s="391"/>
      <c r="FUS1618" s="391"/>
      <c r="FUU1618" s="391"/>
      <c r="FUW1618" s="391"/>
      <c r="FUY1618" s="391"/>
      <c r="FVA1618" s="391"/>
      <c r="FVC1618" s="391"/>
      <c r="FVE1618" s="391"/>
      <c r="FVG1618" s="391"/>
      <c r="FVI1618" s="391"/>
      <c r="FVK1618" s="391"/>
      <c r="FVM1618" s="391"/>
      <c r="FVO1618" s="391"/>
      <c r="FVQ1618" s="391"/>
      <c r="FVS1618" s="391"/>
      <c r="FVU1618" s="391"/>
      <c r="FVW1618" s="391"/>
      <c r="FVY1618" s="391"/>
      <c r="FWA1618" s="391"/>
      <c r="FWC1618" s="391"/>
      <c r="FWE1618" s="391"/>
      <c r="FWG1618" s="391"/>
      <c r="FWI1618" s="391"/>
      <c r="FWK1618" s="391"/>
      <c r="FWM1618" s="391"/>
      <c r="FWO1618" s="391"/>
      <c r="FWQ1618" s="391"/>
      <c r="FWS1618" s="391"/>
      <c r="FWU1618" s="391"/>
      <c r="FWW1618" s="391"/>
      <c r="FWY1618" s="391"/>
      <c r="FXA1618" s="391"/>
      <c r="FXC1618" s="391"/>
      <c r="FXE1618" s="391"/>
      <c r="FXG1618" s="391"/>
      <c r="FXI1618" s="391"/>
      <c r="FXK1618" s="391"/>
      <c r="FXM1618" s="391"/>
      <c r="FXO1618" s="391"/>
      <c r="FXQ1618" s="391"/>
      <c r="FXS1618" s="391"/>
      <c r="FXU1618" s="391"/>
      <c r="FXW1618" s="391"/>
      <c r="FXY1618" s="391"/>
      <c r="FYA1618" s="391"/>
      <c r="FYC1618" s="391"/>
      <c r="FYE1618" s="391"/>
      <c r="FYG1618" s="391"/>
      <c r="FYI1618" s="391"/>
      <c r="FYK1618" s="391"/>
      <c r="FYM1618" s="391"/>
      <c r="FYO1618" s="391"/>
      <c r="FYQ1618" s="391"/>
      <c r="FYS1618" s="391"/>
      <c r="FYU1618" s="391"/>
      <c r="FYW1618" s="391"/>
      <c r="FYY1618" s="391"/>
      <c r="FZA1618" s="391"/>
      <c r="FZC1618" s="391"/>
      <c r="FZE1618" s="391"/>
      <c r="FZG1618" s="391"/>
      <c r="FZI1618" s="391"/>
      <c r="FZK1618" s="391"/>
      <c r="FZM1618" s="391"/>
      <c r="FZO1618" s="391"/>
      <c r="FZQ1618" s="391"/>
      <c r="FZS1618" s="391"/>
      <c r="FZU1618" s="391"/>
      <c r="FZW1618" s="391"/>
      <c r="FZY1618" s="391"/>
      <c r="GAA1618" s="391"/>
      <c r="GAC1618" s="391"/>
      <c r="GAE1618" s="391"/>
      <c r="GAG1618" s="391"/>
      <c r="GAI1618" s="391"/>
      <c r="GAK1618" s="391"/>
      <c r="GAM1618" s="391"/>
      <c r="GAO1618" s="391"/>
      <c r="GAQ1618" s="391"/>
      <c r="GAS1618" s="391"/>
      <c r="GAU1618" s="391"/>
      <c r="GAW1618" s="391"/>
      <c r="GAY1618" s="391"/>
      <c r="GBA1618" s="391"/>
      <c r="GBC1618" s="391"/>
      <c r="GBE1618" s="391"/>
      <c r="GBG1618" s="391"/>
      <c r="GBI1618" s="391"/>
      <c r="GBK1618" s="391"/>
      <c r="GBM1618" s="391"/>
      <c r="GBO1618" s="391"/>
      <c r="GBQ1618" s="391"/>
      <c r="GBS1618" s="391"/>
      <c r="GBU1618" s="391"/>
      <c r="GBW1618" s="391"/>
      <c r="GBY1618" s="391"/>
      <c r="GCA1618" s="391"/>
      <c r="GCC1618" s="391"/>
      <c r="GCE1618" s="391"/>
      <c r="GCG1618" s="391"/>
      <c r="GCI1618" s="391"/>
      <c r="GCK1618" s="391"/>
      <c r="GCM1618" s="391"/>
      <c r="GCO1618" s="391"/>
      <c r="GCQ1618" s="391"/>
      <c r="GCS1618" s="391"/>
      <c r="GCU1618" s="391"/>
      <c r="GCW1618" s="391"/>
      <c r="GCY1618" s="391"/>
      <c r="GDA1618" s="391"/>
      <c r="GDC1618" s="391"/>
      <c r="GDE1618" s="391"/>
      <c r="GDG1618" s="391"/>
      <c r="GDI1618" s="391"/>
      <c r="GDK1618" s="391"/>
      <c r="GDM1618" s="391"/>
      <c r="GDO1618" s="391"/>
      <c r="GDQ1618" s="391"/>
      <c r="GDS1618" s="391"/>
      <c r="GDU1618" s="391"/>
      <c r="GDW1618" s="391"/>
      <c r="GDY1618" s="391"/>
      <c r="GEA1618" s="391"/>
      <c r="GEC1618" s="391"/>
      <c r="GEE1618" s="391"/>
      <c r="GEG1618" s="391"/>
      <c r="GEI1618" s="391"/>
      <c r="GEK1618" s="391"/>
      <c r="GEM1618" s="391"/>
      <c r="GEO1618" s="391"/>
      <c r="GEQ1618" s="391"/>
      <c r="GES1618" s="391"/>
      <c r="GEU1618" s="391"/>
      <c r="GEW1618" s="391"/>
      <c r="GEY1618" s="391"/>
      <c r="GFA1618" s="391"/>
      <c r="GFC1618" s="391"/>
      <c r="GFE1618" s="391"/>
      <c r="GFG1618" s="391"/>
      <c r="GFI1618" s="391"/>
      <c r="GFK1618" s="391"/>
      <c r="GFM1618" s="391"/>
      <c r="GFO1618" s="391"/>
      <c r="GFQ1618" s="391"/>
      <c r="GFS1618" s="391"/>
      <c r="GFU1618" s="391"/>
      <c r="GFW1618" s="391"/>
      <c r="GFY1618" s="391"/>
      <c r="GGA1618" s="391"/>
      <c r="GGC1618" s="391"/>
      <c r="GGE1618" s="391"/>
      <c r="GGG1618" s="391"/>
      <c r="GGI1618" s="391"/>
      <c r="GGK1618" s="391"/>
      <c r="GGM1618" s="391"/>
      <c r="GGO1618" s="391"/>
      <c r="GGQ1618" s="391"/>
      <c r="GGS1618" s="391"/>
      <c r="GGU1618" s="391"/>
      <c r="GGW1618" s="391"/>
      <c r="GGY1618" s="391"/>
      <c r="GHA1618" s="391"/>
      <c r="GHC1618" s="391"/>
      <c r="GHE1618" s="391"/>
      <c r="GHG1618" s="391"/>
      <c r="GHI1618" s="391"/>
      <c r="GHK1618" s="391"/>
      <c r="GHM1618" s="391"/>
      <c r="GHO1618" s="391"/>
      <c r="GHQ1618" s="391"/>
      <c r="GHS1618" s="391"/>
      <c r="GHU1618" s="391"/>
      <c r="GHW1618" s="391"/>
      <c r="GHY1618" s="391"/>
      <c r="GIA1618" s="391"/>
      <c r="GIC1618" s="391"/>
      <c r="GIE1618" s="391"/>
      <c r="GIG1618" s="391"/>
      <c r="GII1618" s="391"/>
      <c r="GIK1618" s="391"/>
      <c r="GIM1618" s="391"/>
      <c r="GIO1618" s="391"/>
      <c r="GIQ1618" s="391"/>
      <c r="GIS1618" s="391"/>
      <c r="GIU1618" s="391"/>
      <c r="GIW1618" s="391"/>
      <c r="GIY1618" s="391"/>
      <c r="GJA1618" s="391"/>
      <c r="GJC1618" s="391"/>
      <c r="GJE1618" s="391"/>
      <c r="GJG1618" s="391"/>
      <c r="GJI1618" s="391"/>
      <c r="GJK1618" s="391"/>
      <c r="GJM1618" s="391"/>
      <c r="GJO1618" s="391"/>
      <c r="GJQ1618" s="391"/>
      <c r="GJS1618" s="391"/>
      <c r="GJU1618" s="391"/>
      <c r="GJW1618" s="391"/>
      <c r="GJY1618" s="391"/>
      <c r="GKA1618" s="391"/>
      <c r="GKC1618" s="391"/>
      <c r="GKE1618" s="391"/>
      <c r="GKG1618" s="391"/>
      <c r="GKI1618" s="391"/>
      <c r="GKK1618" s="391"/>
      <c r="GKM1618" s="391"/>
      <c r="GKO1618" s="391"/>
      <c r="GKQ1618" s="391"/>
      <c r="GKS1618" s="391"/>
      <c r="GKU1618" s="391"/>
      <c r="GKW1618" s="391"/>
      <c r="GKY1618" s="391"/>
      <c r="GLA1618" s="391"/>
      <c r="GLC1618" s="391"/>
      <c r="GLE1618" s="391"/>
      <c r="GLG1618" s="391"/>
      <c r="GLI1618" s="391"/>
      <c r="GLK1618" s="391"/>
      <c r="GLM1618" s="391"/>
      <c r="GLO1618" s="391"/>
      <c r="GLQ1618" s="391"/>
      <c r="GLS1618" s="391"/>
      <c r="GLU1618" s="391"/>
      <c r="GLW1618" s="391"/>
      <c r="GLY1618" s="391"/>
      <c r="GMA1618" s="391"/>
      <c r="GMC1618" s="391"/>
      <c r="GME1618" s="391"/>
      <c r="GMG1618" s="391"/>
      <c r="GMI1618" s="391"/>
      <c r="GMK1618" s="391"/>
      <c r="GMM1618" s="391"/>
      <c r="GMO1618" s="391"/>
      <c r="GMQ1618" s="391"/>
      <c r="GMS1618" s="391"/>
      <c r="GMU1618" s="391"/>
      <c r="GMW1618" s="391"/>
      <c r="GMY1618" s="391"/>
      <c r="GNA1618" s="391"/>
      <c r="GNC1618" s="391"/>
      <c r="GNE1618" s="391"/>
      <c r="GNG1618" s="391"/>
      <c r="GNI1618" s="391"/>
      <c r="GNK1618" s="391"/>
      <c r="GNM1618" s="391"/>
      <c r="GNO1618" s="391"/>
      <c r="GNQ1618" s="391"/>
      <c r="GNS1618" s="391"/>
      <c r="GNU1618" s="391"/>
      <c r="GNW1618" s="391"/>
      <c r="GNY1618" s="391"/>
      <c r="GOA1618" s="391"/>
      <c r="GOC1618" s="391"/>
      <c r="GOE1618" s="391"/>
      <c r="GOG1618" s="391"/>
      <c r="GOI1618" s="391"/>
      <c r="GOK1618" s="391"/>
      <c r="GOM1618" s="391"/>
      <c r="GOO1618" s="391"/>
      <c r="GOQ1618" s="391"/>
      <c r="GOS1618" s="391"/>
      <c r="GOU1618" s="391"/>
      <c r="GOW1618" s="391"/>
      <c r="GOY1618" s="391"/>
      <c r="GPA1618" s="391"/>
      <c r="GPC1618" s="391"/>
      <c r="GPE1618" s="391"/>
      <c r="GPG1618" s="391"/>
      <c r="GPI1618" s="391"/>
      <c r="GPK1618" s="391"/>
      <c r="GPM1618" s="391"/>
      <c r="GPO1618" s="391"/>
      <c r="GPQ1618" s="391"/>
      <c r="GPS1618" s="391"/>
      <c r="GPU1618" s="391"/>
      <c r="GPW1618" s="391"/>
      <c r="GPY1618" s="391"/>
      <c r="GQA1618" s="391"/>
      <c r="GQC1618" s="391"/>
      <c r="GQE1618" s="391"/>
      <c r="GQG1618" s="391"/>
      <c r="GQI1618" s="391"/>
      <c r="GQK1618" s="391"/>
      <c r="GQM1618" s="391"/>
      <c r="GQO1618" s="391"/>
      <c r="GQQ1618" s="391"/>
      <c r="GQS1618" s="391"/>
      <c r="GQU1618" s="391"/>
      <c r="GQW1618" s="391"/>
      <c r="GQY1618" s="391"/>
      <c r="GRA1618" s="391"/>
      <c r="GRC1618" s="391"/>
      <c r="GRE1618" s="391"/>
      <c r="GRG1618" s="391"/>
      <c r="GRI1618" s="391"/>
      <c r="GRK1618" s="391"/>
      <c r="GRM1618" s="391"/>
      <c r="GRO1618" s="391"/>
      <c r="GRQ1618" s="391"/>
      <c r="GRS1618" s="391"/>
      <c r="GRU1618" s="391"/>
      <c r="GRW1618" s="391"/>
      <c r="GRY1618" s="391"/>
      <c r="GSA1618" s="391"/>
      <c r="GSC1618" s="391"/>
      <c r="GSE1618" s="391"/>
      <c r="GSG1618" s="391"/>
      <c r="GSI1618" s="391"/>
      <c r="GSK1618" s="391"/>
      <c r="GSM1618" s="391"/>
      <c r="GSO1618" s="391"/>
      <c r="GSQ1618" s="391"/>
      <c r="GSS1618" s="391"/>
      <c r="GSU1618" s="391"/>
      <c r="GSW1618" s="391"/>
      <c r="GSY1618" s="391"/>
      <c r="GTA1618" s="391"/>
      <c r="GTC1618" s="391"/>
      <c r="GTE1618" s="391"/>
      <c r="GTG1618" s="391"/>
      <c r="GTI1618" s="391"/>
      <c r="GTK1618" s="391"/>
      <c r="GTM1618" s="391"/>
      <c r="GTO1618" s="391"/>
      <c r="GTQ1618" s="391"/>
      <c r="GTS1618" s="391"/>
      <c r="GTU1618" s="391"/>
      <c r="GTW1618" s="391"/>
      <c r="GTY1618" s="391"/>
      <c r="GUA1618" s="391"/>
      <c r="GUC1618" s="391"/>
      <c r="GUE1618" s="391"/>
      <c r="GUG1618" s="391"/>
      <c r="GUI1618" s="391"/>
      <c r="GUK1618" s="391"/>
      <c r="GUM1618" s="391"/>
      <c r="GUO1618" s="391"/>
      <c r="GUQ1618" s="391"/>
      <c r="GUS1618" s="391"/>
      <c r="GUU1618" s="391"/>
      <c r="GUW1618" s="391"/>
      <c r="GUY1618" s="391"/>
      <c r="GVA1618" s="391"/>
      <c r="GVC1618" s="391"/>
      <c r="GVE1618" s="391"/>
      <c r="GVG1618" s="391"/>
      <c r="GVI1618" s="391"/>
      <c r="GVK1618" s="391"/>
      <c r="GVM1618" s="391"/>
      <c r="GVO1618" s="391"/>
      <c r="GVQ1618" s="391"/>
      <c r="GVS1618" s="391"/>
      <c r="GVU1618" s="391"/>
      <c r="GVW1618" s="391"/>
      <c r="GVY1618" s="391"/>
      <c r="GWA1618" s="391"/>
      <c r="GWC1618" s="391"/>
      <c r="GWE1618" s="391"/>
      <c r="GWG1618" s="391"/>
      <c r="GWI1618" s="391"/>
      <c r="GWK1618" s="391"/>
      <c r="GWM1618" s="391"/>
      <c r="GWO1618" s="391"/>
      <c r="GWQ1618" s="391"/>
      <c r="GWS1618" s="391"/>
      <c r="GWU1618" s="391"/>
      <c r="GWW1618" s="391"/>
      <c r="GWY1618" s="391"/>
      <c r="GXA1618" s="391"/>
      <c r="GXC1618" s="391"/>
      <c r="GXE1618" s="391"/>
      <c r="GXG1618" s="391"/>
      <c r="GXI1618" s="391"/>
      <c r="GXK1618" s="391"/>
      <c r="GXM1618" s="391"/>
      <c r="GXO1618" s="391"/>
      <c r="GXQ1618" s="391"/>
      <c r="GXS1618" s="391"/>
      <c r="GXU1618" s="391"/>
      <c r="GXW1618" s="391"/>
      <c r="GXY1618" s="391"/>
      <c r="GYA1618" s="391"/>
      <c r="GYC1618" s="391"/>
      <c r="GYE1618" s="391"/>
      <c r="GYG1618" s="391"/>
      <c r="GYI1618" s="391"/>
      <c r="GYK1618" s="391"/>
      <c r="GYM1618" s="391"/>
      <c r="GYO1618" s="391"/>
      <c r="GYQ1618" s="391"/>
      <c r="GYS1618" s="391"/>
      <c r="GYU1618" s="391"/>
      <c r="GYW1618" s="391"/>
      <c r="GYY1618" s="391"/>
      <c r="GZA1618" s="391"/>
      <c r="GZC1618" s="391"/>
      <c r="GZE1618" s="391"/>
      <c r="GZG1618" s="391"/>
      <c r="GZI1618" s="391"/>
      <c r="GZK1618" s="391"/>
      <c r="GZM1618" s="391"/>
      <c r="GZO1618" s="391"/>
      <c r="GZQ1618" s="391"/>
      <c r="GZS1618" s="391"/>
      <c r="GZU1618" s="391"/>
      <c r="GZW1618" s="391"/>
      <c r="GZY1618" s="391"/>
      <c r="HAA1618" s="391"/>
      <c r="HAC1618" s="391"/>
      <c r="HAE1618" s="391"/>
      <c r="HAG1618" s="391"/>
      <c r="HAI1618" s="391"/>
      <c r="HAK1618" s="391"/>
      <c r="HAM1618" s="391"/>
      <c r="HAO1618" s="391"/>
      <c r="HAQ1618" s="391"/>
      <c r="HAS1618" s="391"/>
      <c r="HAU1618" s="391"/>
      <c r="HAW1618" s="391"/>
      <c r="HAY1618" s="391"/>
      <c r="HBA1618" s="391"/>
      <c r="HBC1618" s="391"/>
      <c r="HBE1618" s="391"/>
      <c r="HBG1618" s="391"/>
      <c r="HBI1618" s="391"/>
      <c r="HBK1618" s="391"/>
      <c r="HBM1618" s="391"/>
      <c r="HBO1618" s="391"/>
      <c r="HBQ1618" s="391"/>
      <c r="HBS1618" s="391"/>
      <c r="HBU1618" s="391"/>
      <c r="HBW1618" s="391"/>
      <c r="HBY1618" s="391"/>
      <c r="HCA1618" s="391"/>
      <c r="HCC1618" s="391"/>
      <c r="HCE1618" s="391"/>
      <c r="HCG1618" s="391"/>
      <c r="HCI1618" s="391"/>
      <c r="HCK1618" s="391"/>
      <c r="HCM1618" s="391"/>
      <c r="HCO1618" s="391"/>
      <c r="HCQ1618" s="391"/>
      <c r="HCS1618" s="391"/>
      <c r="HCU1618" s="391"/>
      <c r="HCW1618" s="391"/>
      <c r="HCY1618" s="391"/>
      <c r="HDA1618" s="391"/>
      <c r="HDC1618" s="391"/>
      <c r="HDE1618" s="391"/>
      <c r="HDG1618" s="391"/>
      <c r="HDI1618" s="391"/>
      <c r="HDK1618" s="391"/>
      <c r="HDM1618" s="391"/>
      <c r="HDO1618" s="391"/>
      <c r="HDQ1618" s="391"/>
      <c r="HDS1618" s="391"/>
      <c r="HDU1618" s="391"/>
      <c r="HDW1618" s="391"/>
      <c r="HDY1618" s="391"/>
      <c r="HEA1618" s="391"/>
      <c r="HEC1618" s="391"/>
      <c r="HEE1618" s="391"/>
      <c r="HEG1618" s="391"/>
      <c r="HEI1618" s="391"/>
      <c r="HEK1618" s="391"/>
      <c r="HEM1618" s="391"/>
      <c r="HEO1618" s="391"/>
      <c r="HEQ1618" s="391"/>
      <c r="HES1618" s="391"/>
      <c r="HEU1618" s="391"/>
      <c r="HEW1618" s="391"/>
      <c r="HEY1618" s="391"/>
      <c r="HFA1618" s="391"/>
      <c r="HFC1618" s="391"/>
      <c r="HFE1618" s="391"/>
      <c r="HFG1618" s="391"/>
      <c r="HFI1618" s="391"/>
      <c r="HFK1618" s="391"/>
      <c r="HFM1618" s="391"/>
      <c r="HFO1618" s="391"/>
      <c r="HFQ1618" s="391"/>
      <c r="HFS1618" s="391"/>
      <c r="HFU1618" s="391"/>
      <c r="HFW1618" s="391"/>
      <c r="HFY1618" s="391"/>
      <c r="HGA1618" s="391"/>
      <c r="HGC1618" s="391"/>
      <c r="HGE1618" s="391"/>
      <c r="HGG1618" s="391"/>
      <c r="HGI1618" s="391"/>
      <c r="HGK1618" s="391"/>
      <c r="HGM1618" s="391"/>
      <c r="HGO1618" s="391"/>
      <c r="HGQ1618" s="391"/>
      <c r="HGS1618" s="391"/>
      <c r="HGU1618" s="391"/>
      <c r="HGW1618" s="391"/>
      <c r="HGY1618" s="391"/>
      <c r="HHA1618" s="391"/>
      <c r="HHC1618" s="391"/>
      <c r="HHE1618" s="391"/>
      <c r="HHG1618" s="391"/>
      <c r="HHI1618" s="391"/>
      <c r="HHK1618" s="391"/>
      <c r="HHM1618" s="391"/>
      <c r="HHO1618" s="391"/>
      <c r="HHQ1618" s="391"/>
      <c r="HHS1618" s="391"/>
      <c r="HHU1618" s="391"/>
      <c r="HHW1618" s="391"/>
      <c r="HHY1618" s="391"/>
      <c r="HIA1618" s="391"/>
      <c r="HIC1618" s="391"/>
      <c r="HIE1618" s="391"/>
      <c r="HIG1618" s="391"/>
      <c r="HII1618" s="391"/>
      <c r="HIK1618" s="391"/>
      <c r="HIM1618" s="391"/>
      <c r="HIO1618" s="391"/>
      <c r="HIQ1618" s="391"/>
      <c r="HIS1618" s="391"/>
      <c r="HIU1618" s="391"/>
      <c r="HIW1618" s="391"/>
      <c r="HIY1618" s="391"/>
      <c r="HJA1618" s="391"/>
      <c r="HJC1618" s="391"/>
      <c r="HJE1618" s="391"/>
      <c r="HJG1618" s="391"/>
      <c r="HJI1618" s="391"/>
      <c r="HJK1618" s="391"/>
      <c r="HJM1618" s="391"/>
      <c r="HJO1618" s="391"/>
      <c r="HJQ1618" s="391"/>
      <c r="HJS1618" s="391"/>
      <c r="HJU1618" s="391"/>
      <c r="HJW1618" s="391"/>
      <c r="HJY1618" s="391"/>
      <c r="HKA1618" s="391"/>
      <c r="HKC1618" s="391"/>
      <c r="HKE1618" s="391"/>
      <c r="HKG1618" s="391"/>
      <c r="HKI1618" s="391"/>
      <c r="HKK1618" s="391"/>
      <c r="HKM1618" s="391"/>
      <c r="HKO1618" s="391"/>
      <c r="HKQ1618" s="391"/>
      <c r="HKS1618" s="391"/>
      <c r="HKU1618" s="391"/>
      <c r="HKW1618" s="391"/>
      <c r="HKY1618" s="391"/>
      <c r="HLA1618" s="391"/>
      <c r="HLC1618" s="391"/>
      <c r="HLE1618" s="391"/>
      <c r="HLG1618" s="391"/>
      <c r="HLI1618" s="391"/>
      <c r="HLK1618" s="391"/>
      <c r="HLM1618" s="391"/>
      <c r="HLO1618" s="391"/>
      <c r="HLQ1618" s="391"/>
      <c r="HLS1618" s="391"/>
      <c r="HLU1618" s="391"/>
      <c r="HLW1618" s="391"/>
      <c r="HLY1618" s="391"/>
      <c r="HMA1618" s="391"/>
      <c r="HMC1618" s="391"/>
      <c r="HME1618" s="391"/>
      <c r="HMG1618" s="391"/>
      <c r="HMI1618" s="391"/>
      <c r="HMK1618" s="391"/>
      <c r="HMM1618" s="391"/>
      <c r="HMO1618" s="391"/>
      <c r="HMQ1618" s="391"/>
      <c r="HMS1618" s="391"/>
      <c r="HMU1618" s="391"/>
      <c r="HMW1618" s="391"/>
      <c r="HMY1618" s="391"/>
      <c r="HNA1618" s="391"/>
      <c r="HNC1618" s="391"/>
      <c r="HNE1618" s="391"/>
      <c r="HNG1618" s="391"/>
      <c r="HNI1618" s="391"/>
      <c r="HNK1618" s="391"/>
      <c r="HNM1618" s="391"/>
      <c r="HNO1618" s="391"/>
      <c r="HNQ1618" s="391"/>
      <c r="HNS1618" s="391"/>
      <c r="HNU1618" s="391"/>
      <c r="HNW1618" s="391"/>
      <c r="HNY1618" s="391"/>
      <c r="HOA1618" s="391"/>
      <c r="HOC1618" s="391"/>
      <c r="HOE1618" s="391"/>
      <c r="HOG1618" s="391"/>
      <c r="HOI1618" s="391"/>
      <c r="HOK1618" s="391"/>
      <c r="HOM1618" s="391"/>
      <c r="HOO1618" s="391"/>
      <c r="HOQ1618" s="391"/>
      <c r="HOS1618" s="391"/>
      <c r="HOU1618" s="391"/>
      <c r="HOW1618" s="391"/>
      <c r="HOY1618" s="391"/>
      <c r="HPA1618" s="391"/>
      <c r="HPC1618" s="391"/>
      <c r="HPE1618" s="391"/>
      <c r="HPG1618" s="391"/>
      <c r="HPI1618" s="391"/>
      <c r="HPK1618" s="391"/>
      <c r="HPM1618" s="391"/>
      <c r="HPO1618" s="391"/>
      <c r="HPQ1618" s="391"/>
      <c r="HPS1618" s="391"/>
      <c r="HPU1618" s="391"/>
      <c r="HPW1618" s="391"/>
      <c r="HPY1618" s="391"/>
      <c r="HQA1618" s="391"/>
      <c r="HQC1618" s="391"/>
      <c r="HQE1618" s="391"/>
      <c r="HQG1618" s="391"/>
      <c r="HQI1618" s="391"/>
      <c r="HQK1618" s="391"/>
      <c r="HQM1618" s="391"/>
      <c r="HQO1618" s="391"/>
      <c r="HQQ1618" s="391"/>
      <c r="HQS1618" s="391"/>
      <c r="HQU1618" s="391"/>
      <c r="HQW1618" s="391"/>
      <c r="HQY1618" s="391"/>
      <c r="HRA1618" s="391"/>
      <c r="HRC1618" s="391"/>
      <c r="HRE1618" s="391"/>
      <c r="HRG1618" s="391"/>
      <c r="HRI1618" s="391"/>
      <c r="HRK1618" s="391"/>
      <c r="HRM1618" s="391"/>
      <c r="HRO1618" s="391"/>
      <c r="HRQ1618" s="391"/>
      <c r="HRS1618" s="391"/>
      <c r="HRU1618" s="391"/>
      <c r="HRW1618" s="391"/>
      <c r="HRY1618" s="391"/>
      <c r="HSA1618" s="391"/>
      <c r="HSC1618" s="391"/>
      <c r="HSE1618" s="391"/>
      <c r="HSG1618" s="391"/>
      <c r="HSI1618" s="391"/>
      <c r="HSK1618" s="391"/>
      <c r="HSM1618" s="391"/>
      <c r="HSO1618" s="391"/>
      <c r="HSQ1618" s="391"/>
      <c r="HSS1618" s="391"/>
      <c r="HSU1618" s="391"/>
      <c r="HSW1618" s="391"/>
      <c r="HSY1618" s="391"/>
      <c r="HTA1618" s="391"/>
      <c r="HTC1618" s="391"/>
      <c r="HTE1618" s="391"/>
      <c r="HTG1618" s="391"/>
      <c r="HTI1618" s="391"/>
      <c r="HTK1618" s="391"/>
      <c r="HTM1618" s="391"/>
      <c r="HTO1618" s="391"/>
      <c r="HTQ1618" s="391"/>
      <c r="HTS1618" s="391"/>
      <c r="HTU1618" s="391"/>
      <c r="HTW1618" s="391"/>
      <c r="HTY1618" s="391"/>
      <c r="HUA1618" s="391"/>
      <c r="HUC1618" s="391"/>
      <c r="HUE1618" s="391"/>
      <c r="HUG1618" s="391"/>
      <c r="HUI1618" s="391"/>
      <c r="HUK1618" s="391"/>
      <c r="HUM1618" s="391"/>
      <c r="HUO1618" s="391"/>
      <c r="HUQ1618" s="391"/>
      <c r="HUS1618" s="391"/>
      <c r="HUU1618" s="391"/>
      <c r="HUW1618" s="391"/>
      <c r="HUY1618" s="391"/>
      <c r="HVA1618" s="391"/>
      <c r="HVC1618" s="391"/>
      <c r="HVE1618" s="391"/>
      <c r="HVG1618" s="391"/>
      <c r="HVI1618" s="391"/>
      <c r="HVK1618" s="391"/>
      <c r="HVM1618" s="391"/>
      <c r="HVO1618" s="391"/>
      <c r="HVQ1618" s="391"/>
      <c r="HVS1618" s="391"/>
      <c r="HVU1618" s="391"/>
      <c r="HVW1618" s="391"/>
      <c r="HVY1618" s="391"/>
      <c r="HWA1618" s="391"/>
      <c r="HWC1618" s="391"/>
      <c r="HWE1618" s="391"/>
      <c r="HWG1618" s="391"/>
      <c r="HWI1618" s="391"/>
      <c r="HWK1618" s="391"/>
      <c r="HWM1618" s="391"/>
      <c r="HWO1618" s="391"/>
      <c r="HWQ1618" s="391"/>
      <c r="HWS1618" s="391"/>
      <c r="HWU1618" s="391"/>
      <c r="HWW1618" s="391"/>
      <c r="HWY1618" s="391"/>
      <c r="HXA1618" s="391"/>
      <c r="HXC1618" s="391"/>
      <c r="HXE1618" s="391"/>
      <c r="HXG1618" s="391"/>
      <c r="HXI1618" s="391"/>
      <c r="HXK1618" s="391"/>
      <c r="HXM1618" s="391"/>
      <c r="HXO1618" s="391"/>
      <c r="HXQ1618" s="391"/>
      <c r="HXS1618" s="391"/>
      <c r="HXU1618" s="391"/>
      <c r="HXW1618" s="391"/>
      <c r="HXY1618" s="391"/>
      <c r="HYA1618" s="391"/>
      <c r="HYC1618" s="391"/>
      <c r="HYE1618" s="391"/>
      <c r="HYG1618" s="391"/>
      <c r="HYI1618" s="391"/>
      <c r="HYK1618" s="391"/>
      <c r="HYM1618" s="391"/>
      <c r="HYO1618" s="391"/>
      <c r="HYQ1618" s="391"/>
      <c r="HYS1618" s="391"/>
      <c r="HYU1618" s="391"/>
      <c r="HYW1618" s="391"/>
      <c r="HYY1618" s="391"/>
      <c r="HZA1618" s="391"/>
      <c r="HZC1618" s="391"/>
      <c r="HZE1618" s="391"/>
      <c r="HZG1618" s="391"/>
      <c r="HZI1618" s="391"/>
      <c r="HZK1618" s="391"/>
      <c r="HZM1618" s="391"/>
      <c r="HZO1618" s="391"/>
      <c r="HZQ1618" s="391"/>
      <c r="HZS1618" s="391"/>
      <c r="HZU1618" s="391"/>
      <c r="HZW1618" s="391"/>
      <c r="HZY1618" s="391"/>
      <c r="IAA1618" s="391"/>
      <c r="IAC1618" s="391"/>
      <c r="IAE1618" s="391"/>
      <c r="IAG1618" s="391"/>
      <c r="IAI1618" s="391"/>
      <c r="IAK1618" s="391"/>
      <c r="IAM1618" s="391"/>
      <c r="IAO1618" s="391"/>
      <c r="IAQ1618" s="391"/>
      <c r="IAS1618" s="391"/>
      <c r="IAU1618" s="391"/>
      <c r="IAW1618" s="391"/>
      <c r="IAY1618" s="391"/>
      <c r="IBA1618" s="391"/>
      <c r="IBC1618" s="391"/>
      <c r="IBE1618" s="391"/>
      <c r="IBG1618" s="391"/>
      <c r="IBI1618" s="391"/>
      <c r="IBK1618" s="391"/>
      <c r="IBM1618" s="391"/>
      <c r="IBO1618" s="391"/>
      <c r="IBQ1618" s="391"/>
      <c r="IBS1618" s="391"/>
      <c r="IBU1618" s="391"/>
      <c r="IBW1618" s="391"/>
      <c r="IBY1618" s="391"/>
      <c r="ICA1618" s="391"/>
      <c r="ICC1618" s="391"/>
      <c r="ICE1618" s="391"/>
      <c r="ICG1618" s="391"/>
      <c r="ICI1618" s="391"/>
      <c r="ICK1618" s="391"/>
      <c r="ICM1618" s="391"/>
      <c r="ICO1618" s="391"/>
      <c r="ICQ1618" s="391"/>
      <c r="ICS1618" s="391"/>
      <c r="ICU1618" s="391"/>
      <c r="ICW1618" s="391"/>
      <c r="ICY1618" s="391"/>
      <c r="IDA1618" s="391"/>
      <c r="IDC1618" s="391"/>
      <c r="IDE1618" s="391"/>
      <c r="IDG1618" s="391"/>
      <c r="IDI1618" s="391"/>
      <c r="IDK1618" s="391"/>
      <c r="IDM1618" s="391"/>
      <c r="IDO1618" s="391"/>
      <c r="IDQ1618" s="391"/>
      <c r="IDS1618" s="391"/>
      <c r="IDU1618" s="391"/>
      <c r="IDW1618" s="391"/>
      <c r="IDY1618" s="391"/>
      <c r="IEA1618" s="391"/>
      <c r="IEC1618" s="391"/>
      <c r="IEE1618" s="391"/>
      <c r="IEG1618" s="391"/>
      <c r="IEI1618" s="391"/>
      <c r="IEK1618" s="391"/>
      <c r="IEM1618" s="391"/>
      <c r="IEO1618" s="391"/>
      <c r="IEQ1618" s="391"/>
      <c r="IES1618" s="391"/>
      <c r="IEU1618" s="391"/>
      <c r="IEW1618" s="391"/>
      <c r="IEY1618" s="391"/>
      <c r="IFA1618" s="391"/>
      <c r="IFC1618" s="391"/>
      <c r="IFE1618" s="391"/>
      <c r="IFG1618" s="391"/>
      <c r="IFI1618" s="391"/>
      <c r="IFK1618" s="391"/>
      <c r="IFM1618" s="391"/>
      <c r="IFO1618" s="391"/>
      <c r="IFQ1618" s="391"/>
      <c r="IFS1618" s="391"/>
      <c r="IFU1618" s="391"/>
      <c r="IFW1618" s="391"/>
      <c r="IFY1618" s="391"/>
      <c r="IGA1618" s="391"/>
      <c r="IGC1618" s="391"/>
      <c r="IGE1618" s="391"/>
      <c r="IGG1618" s="391"/>
      <c r="IGI1618" s="391"/>
      <c r="IGK1618" s="391"/>
      <c r="IGM1618" s="391"/>
      <c r="IGO1618" s="391"/>
      <c r="IGQ1618" s="391"/>
      <c r="IGS1618" s="391"/>
      <c r="IGU1618" s="391"/>
      <c r="IGW1618" s="391"/>
      <c r="IGY1618" s="391"/>
      <c r="IHA1618" s="391"/>
      <c r="IHC1618" s="391"/>
      <c r="IHE1618" s="391"/>
      <c r="IHG1618" s="391"/>
      <c r="IHI1618" s="391"/>
      <c r="IHK1618" s="391"/>
      <c r="IHM1618" s="391"/>
      <c r="IHO1618" s="391"/>
      <c r="IHQ1618" s="391"/>
      <c r="IHS1618" s="391"/>
      <c r="IHU1618" s="391"/>
      <c r="IHW1618" s="391"/>
      <c r="IHY1618" s="391"/>
      <c r="IIA1618" s="391"/>
      <c r="IIC1618" s="391"/>
      <c r="IIE1618" s="391"/>
      <c r="IIG1618" s="391"/>
      <c r="III1618" s="391"/>
      <c r="IIK1618" s="391"/>
      <c r="IIM1618" s="391"/>
      <c r="IIO1618" s="391"/>
      <c r="IIQ1618" s="391"/>
      <c r="IIS1618" s="391"/>
      <c r="IIU1618" s="391"/>
      <c r="IIW1618" s="391"/>
      <c r="IIY1618" s="391"/>
      <c r="IJA1618" s="391"/>
      <c r="IJC1618" s="391"/>
      <c r="IJE1618" s="391"/>
      <c r="IJG1618" s="391"/>
      <c r="IJI1618" s="391"/>
      <c r="IJK1618" s="391"/>
      <c r="IJM1618" s="391"/>
      <c r="IJO1618" s="391"/>
      <c r="IJQ1618" s="391"/>
      <c r="IJS1618" s="391"/>
      <c r="IJU1618" s="391"/>
      <c r="IJW1618" s="391"/>
      <c r="IJY1618" s="391"/>
      <c r="IKA1618" s="391"/>
      <c r="IKC1618" s="391"/>
      <c r="IKE1618" s="391"/>
      <c r="IKG1618" s="391"/>
      <c r="IKI1618" s="391"/>
      <c r="IKK1618" s="391"/>
      <c r="IKM1618" s="391"/>
      <c r="IKO1618" s="391"/>
      <c r="IKQ1618" s="391"/>
      <c r="IKS1618" s="391"/>
      <c r="IKU1618" s="391"/>
      <c r="IKW1618" s="391"/>
      <c r="IKY1618" s="391"/>
      <c r="ILA1618" s="391"/>
      <c r="ILC1618" s="391"/>
      <c r="ILE1618" s="391"/>
      <c r="ILG1618" s="391"/>
      <c r="ILI1618" s="391"/>
      <c r="ILK1618" s="391"/>
      <c r="ILM1618" s="391"/>
      <c r="ILO1618" s="391"/>
      <c r="ILQ1618" s="391"/>
      <c r="ILS1618" s="391"/>
      <c r="ILU1618" s="391"/>
      <c r="ILW1618" s="391"/>
      <c r="ILY1618" s="391"/>
      <c r="IMA1618" s="391"/>
      <c r="IMC1618" s="391"/>
      <c r="IME1618" s="391"/>
      <c r="IMG1618" s="391"/>
      <c r="IMI1618" s="391"/>
      <c r="IMK1618" s="391"/>
      <c r="IMM1618" s="391"/>
      <c r="IMO1618" s="391"/>
      <c r="IMQ1618" s="391"/>
      <c r="IMS1618" s="391"/>
      <c r="IMU1618" s="391"/>
      <c r="IMW1618" s="391"/>
      <c r="IMY1618" s="391"/>
      <c r="INA1618" s="391"/>
      <c r="INC1618" s="391"/>
      <c r="INE1618" s="391"/>
      <c r="ING1618" s="391"/>
      <c r="INI1618" s="391"/>
      <c r="INK1618" s="391"/>
      <c r="INM1618" s="391"/>
      <c r="INO1618" s="391"/>
      <c r="INQ1618" s="391"/>
      <c r="INS1618" s="391"/>
      <c r="INU1618" s="391"/>
      <c r="INW1618" s="391"/>
      <c r="INY1618" s="391"/>
      <c r="IOA1618" s="391"/>
      <c r="IOC1618" s="391"/>
      <c r="IOE1618" s="391"/>
      <c r="IOG1618" s="391"/>
      <c r="IOI1618" s="391"/>
      <c r="IOK1618" s="391"/>
      <c r="IOM1618" s="391"/>
      <c r="IOO1618" s="391"/>
      <c r="IOQ1618" s="391"/>
      <c r="IOS1618" s="391"/>
      <c r="IOU1618" s="391"/>
      <c r="IOW1618" s="391"/>
      <c r="IOY1618" s="391"/>
      <c r="IPA1618" s="391"/>
      <c r="IPC1618" s="391"/>
      <c r="IPE1618" s="391"/>
      <c r="IPG1618" s="391"/>
      <c r="IPI1618" s="391"/>
      <c r="IPK1618" s="391"/>
      <c r="IPM1618" s="391"/>
      <c r="IPO1618" s="391"/>
      <c r="IPQ1618" s="391"/>
      <c r="IPS1618" s="391"/>
      <c r="IPU1618" s="391"/>
      <c r="IPW1618" s="391"/>
      <c r="IPY1618" s="391"/>
      <c r="IQA1618" s="391"/>
      <c r="IQC1618" s="391"/>
      <c r="IQE1618" s="391"/>
      <c r="IQG1618" s="391"/>
      <c r="IQI1618" s="391"/>
      <c r="IQK1618" s="391"/>
      <c r="IQM1618" s="391"/>
      <c r="IQO1618" s="391"/>
      <c r="IQQ1618" s="391"/>
      <c r="IQS1618" s="391"/>
      <c r="IQU1618" s="391"/>
      <c r="IQW1618" s="391"/>
      <c r="IQY1618" s="391"/>
      <c r="IRA1618" s="391"/>
      <c r="IRC1618" s="391"/>
      <c r="IRE1618" s="391"/>
      <c r="IRG1618" s="391"/>
      <c r="IRI1618" s="391"/>
      <c r="IRK1618" s="391"/>
      <c r="IRM1618" s="391"/>
      <c r="IRO1618" s="391"/>
      <c r="IRQ1618" s="391"/>
      <c r="IRS1618" s="391"/>
      <c r="IRU1618" s="391"/>
      <c r="IRW1618" s="391"/>
      <c r="IRY1618" s="391"/>
      <c r="ISA1618" s="391"/>
      <c r="ISC1618" s="391"/>
      <c r="ISE1618" s="391"/>
      <c r="ISG1618" s="391"/>
      <c r="ISI1618" s="391"/>
      <c r="ISK1618" s="391"/>
      <c r="ISM1618" s="391"/>
      <c r="ISO1618" s="391"/>
      <c r="ISQ1618" s="391"/>
      <c r="ISS1618" s="391"/>
      <c r="ISU1618" s="391"/>
      <c r="ISW1618" s="391"/>
      <c r="ISY1618" s="391"/>
      <c r="ITA1618" s="391"/>
      <c r="ITC1618" s="391"/>
      <c r="ITE1618" s="391"/>
      <c r="ITG1618" s="391"/>
      <c r="ITI1618" s="391"/>
      <c r="ITK1618" s="391"/>
      <c r="ITM1618" s="391"/>
      <c r="ITO1618" s="391"/>
      <c r="ITQ1618" s="391"/>
      <c r="ITS1618" s="391"/>
      <c r="ITU1618" s="391"/>
      <c r="ITW1618" s="391"/>
      <c r="ITY1618" s="391"/>
      <c r="IUA1618" s="391"/>
      <c r="IUC1618" s="391"/>
      <c r="IUE1618" s="391"/>
      <c r="IUG1618" s="391"/>
      <c r="IUI1618" s="391"/>
      <c r="IUK1618" s="391"/>
      <c r="IUM1618" s="391"/>
      <c r="IUO1618" s="391"/>
      <c r="IUQ1618" s="391"/>
      <c r="IUS1618" s="391"/>
      <c r="IUU1618" s="391"/>
      <c r="IUW1618" s="391"/>
      <c r="IUY1618" s="391"/>
      <c r="IVA1618" s="391"/>
      <c r="IVC1618" s="391"/>
      <c r="IVE1618" s="391"/>
      <c r="IVG1618" s="391"/>
      <c r="IVI1618" s="391"/>
      <c r="IVK1618" s="391"/>
      <c r="IVM1618" s="391"/>
      <c r="IVO1618" s="391"/>
      <c r="IVQ1618" s="391"/>
      <c r="IVS1618" s="391"/>
      <c r="IVU1618" s="391"/>
      <c r="IVW1618" s="391"/>
      <c r="IVY1618" s="391"/>
      <c r="IWA1618" s="391"/>
      <c r="IWC1618" s="391"/>
      <c r="IWE1618" s="391"/>
      <c r="IWG1618" s="391"/>
      <c r="IWI1618" s="391"/>
      <c r="IWK1618" s="391"/>
      <c r="IWM1618" s="391"/>
      <c r="IWO1618" s="391"/>
      <c r="IWQ1618" s="391"/>
      <c r="IWS1618" s="391"/>
      <c r="IWU1618" s="391"/>
      <c r="IWW1618" s="391"/>
      <c r="IWY1618" s="391"/>
      <c r="IXA1618" s="391"/>
      <c r="IXC1618" s="391"/>
      <c r="IXE1618" s="391"/>
      <c r="IXG1618" s="391"/>
      <c r="IXI1618" s="391"/>
      <c r="IXK1618" s="391"/>
      <c r="IXM1618" s="391"/>
      <c r="IXO1618" s="391"/>
      <c r="IXQ1618" s="391"/>
      <c r="IXS1618" s="391"/>
      <c r="IXU1618" s="391"/>
      <c r="IXW1618" s="391"/>
      <c r="IXY1618" s="391"/>
      <c r="IYA1618" s="391"/>
      <c r="IYC1618" s="391"/>
      <c r="IYE1618" s="391"/>
      <c r="IYG1618" s="391"/>
      <c r="IYI1618" s="391"/>
      <c r="IYK1618" s="391"/>
      <c r="IYM1618" s="391"/>
      <c r="IYO1618" s="391"/>
      <c r="IYQ1618" s="391"/>
      <c r="IYS1618" s="391"/>
      <c r="IYU1618" s="391"/>
      <c r="IYW1618" s="391"/>
      <c r="IYY1618" s="391"/>
      <c r="IZA1618" s="391"/>
      <c r="IZC1618" s="391"/>
      <c r="IZE1618" s="391"/>
      <c r="IZG1618" s="391"/>
      <c r="IZI1618" s="391"/>
      <c r="IZK1618" s="391"/>
      <c r="IZM1618" s="391"/>
      <c r="IZO1618" s="391"/>
      <c r="IZQ1618" s="391"/>
      <c r="IZS1618" s="391"/>
      <c r="IZU1618" s="391"/>
      <c r="IZW1618" s="391"/>
      <c r="IZY1618" s="391"/>
      <c r="JAA1618" s="391"/>
      <c r="JAC1618" s="391"/>
      <c r="JAE1618" s="391"/>
      <c r="JAG1618" s="391"/>
      <c r="JAI1618" s="391"/>
      <c r="JAK1618" s="391"/>
      <c r="JAM1618" s="391"/>
      <c r="JAO1618" s="391"/>
      <c r="JAQ1618" s="391"/>
      <c r="JAS1618" s="391"/>
      <c r="JAU1618" s="391"/>
      <c r="JAW1618" s="391"/>
      <c r="JAY1618" s="391"/>
      <c r="JBA1618" s="391"/>
      <c r="JBC1618" s="391"/>
      <c r="JBE1618" s="391"/>
      <c r="JBG1618" s="391"/>
      <c r="JBI1618" s="391"/>
      <c r="JBK1618" s="391"/>
      <c r="JBM1618" s="391"/>
      <c r="JBO1618" s="391"/>
      <c r="JBQ1618" s="391"/>
      <c r="JBS1618" s="391"/>
      <c r="JBU1618" s="391"/>
      <c r="JBW1618" s="391"/>
      <c r="JBY1618" s="391"/>
      <c r="JCA1618" s="391"/>
      <c r="JCC1618" s="391"/>
      <c r="JCE1618" s="391"/>
      <c r="JCG1618" s="391"/>
      <c r="JCI1618" s="391"/>
      <c r="JCK1618" s="391"/>
      <c r="JCM1618" s="391"/>
      <c r="JCO1618" s="391"/>
      <c r="JCQ1618" s="391"/>
      <c r="JCS1618" s="391"/>
      <c r="JCU1618" s="391"/>
      <c r="JCW1618" s="391"/>
      <c r="JCY1618" s="391"/>
      <c r="JDA1618" s="391"/>
      <c r="JDC1618" s="391"/>
      <c r="JDE1618" s="391"/>
      <c r="JDG1618" s="391"/>
      <c r="JDI1618" s="391"/>
      <c r="JDK1618" s="391"/>
      <c r="JDM1618" s="391"/>
      <c r="JDO1618" s="391"/>
      <c r="JDQ1618" s="391"/>
      <c r="JDS1618" s="391"/>
      <c r="JDU1618" s="391"/>
      <c r="JDW1618" s="391"/>
      <c r="JDY1618" s="391"/>
      <c r="JEA1618" s="391"/>
      <c r="JEC1618" s="391"/>
      <c r="JEE1618" s="391"/>
      <c r="JEG1618" s="391"/>
      <c r="JEI1618" s="391"/>
      <c r="JEK1618" s="391"/>
      <c r="JEM1618" s="391"/>
      <c r="JEO1618" s="391"/>
      <c r="JEQ1618" s="391"/>
      <c r="JES1618" s="391"/>
      <c r="JEU1618" s="391"/>
      <c r="JEW1618" s="391"/>
      <c r="JEY1618" s="391"/>
      <c r="JFA1618" s="391"/>
      <c r="JFC1618" s="391"/>
      <c r="JFE1618" s="391"/>
      <c r="JFG1618" s="391"/>
      <c r="JFI1618" s="391"/>
      <c r="JFK1618" s="391"/>
      <c r="JFM1618" s="391"/>
      <c r="JFO1618" s="391"/>
      <c r="JFQ1618" s="391"/>
      <c r="JFS1618" s="391"/>
      <c r="JFU1618" s="391"/>
      <c r="JFW1618" s="391"/>
      <c r="JFY1618" s="391"/>
      <c r="JGA1618" s="391"/>
      <c r="JGC1618" s="391"/>
      <c r="JGE1618" s="391"/>
      <c r="JGG1618" s="391"/>
      <c r="JGI1618" s="391"/>
      <c r="JGK1618" s="391"/>
      <c r="JGM1618" s="391"/>
      <c r="JGO1618" s="391"/>
      <c r="JGQ1618" s="391"/>
      <c r="JGS1618" s="391"/>
      <c r="JGU1618" s="391"/>
      <c r="JGW1618" s="391"/>
      <c r="JGY1618" s="391"/>
      <c r="JHA1618" s="391"/>
      <c r="JHC1618" s="391"/>
      <c r="JHE1618" s="391"/>
      <c r="JHG1618" s="391"/>
      <c r="JHI1618" s="391"/>
      <c r="JHK1618" s="391"/>
      <c r="JHM1618" s="391"/>
      <c r="JHO1618" s="391"/>
      <c r="JHQ1618" s="391"/>
      <c r="JHS1618" s="391"/>
      <c r="JHU1618" s="391"/>
      <c r="JHW1618" s="391"/>
      <c r="JHY1618" s="391"/>
      <c r="JIA1618" s="391"/>
      <c r="JIC1618" s="391"/>
      <c r="JIE1618" s="391"/>
      <c r="JIG1618" s="391"/>
      <c r="JII1618" s="391"/>
      <c r="JIK1618" s="391"/>
      <c r="JIM1618" s="391"/>
      <c r="JIO1618" s="391"/>
      <c r="JIQ1618" s="391"/>
      <c r="JIS1618" s="391"/>
      <c r="JIU1618" s="391"/>
      <c r="JIW1618" s="391"/>
      <c r="JIY1618" s="391"/>
      <c r="JJA1618" s="391"/>
      <c r="JJC1618" s="391"/>
      <c r="JJE1618" s="391"/>
      <c r="JJG1618" s="391"/>
      <c r="JJI1618" s="391"/>
      <c r="JJK1618" s="391"/>
      <c r="JJM1618" s="391"/>
      <c r="JJO1618" s="391"/>
      <c r="JJQ1618" s="391"/>
      <c r="JJS1618" s="391"/>
      <c r="JJU1618" s="391"/>
      <c r="JJW1618" s="391"/>
      <c r="JJY1618" s="391"/>
      <c r="JKA1618" s="391"/>
      <c r="JKC1618" s="391"/>
      <c r="JKE1618" s="391"/>
      <c r="JKG1618" s="391"/>
      <c r="JKI1618" s="391"/>
      <c r="JKK1618" s="391"/>
      <c r="JKM1618" s="391"/>
      <c r="JKO1618" s="391"/>
      <c r="JKQ1618" s="391"/>
      <c r="JKS1618" s="391"/>
      <c r="JKU1618" s="391"/>
      <c r="JKW1618" s="391"/>
      <c r="JKY1618" s="391"/>
      <c r="JLA1618" s="391"/>
      <c r="JLC1618" s="391"/>
      <c r="JLE1618" s="391"/>
      <c r="JLG1618" s="391"/>
      <c r="JLI1618" s="391"/>
      <c r="JLK1618" s="391"/>
      <c r="JLM1618" s="391"/>
      <c r="JLO1618" s="391"/>
      <c r="JLQ1618" s="391"/>
      <c r="JLS1618" s="391"/>
      <c r="JLU1618" s="391"/>
      <c r="JLW1618" s="391"/>
      <c r="JLY1618" s="391"/>
      <c r="JMA1618" s="391"/>
      <c r="JMC1618" s="391"/>
      <c r="JME1618" s="391"/>
      <c r="JMG1618" s="391"/>
      <c r="JMI1618" s="391"/>
      <c r="JMK1618" s="391"/>
      <c r="JMM1618" s="391"/>
      <c r="JMO1618" s="391"/>
      <c r="JMQ1618" s="391"/>
      <c r="JMS1618" s="391"/>
      <c r="JMU1618" s="391"/>
      <c r="JMW1618" s="391"/>
      <c r="JMY1618" s="391"/>
      <c r="JNA1618" s="391"/>
      <c r="JNC1618" s="391"/>
      <c r="JNE1618" s="391"/>
      <c r="JNG1618" s="391"/>
      <c r="JNI1618" s="391"/>
      <c r="JNK1618" s="391"/>
      <c r="JNM1618" s="391"/>
      <c r="JNO1618" s="391"/>
      <c r="JNQ1618" s="391"/>
      <c r="JNS1618" s="391"/>
      <c r="JNU1618" s="391"/>
      <c r="JNW1618" s="391"/>
      <c r="JNY1618" s="391"/>
      <c r="JOA1618" s="391"/>
      <c r="JOC1618" s="391"/>
      <c r="JOE1618" s="391"/>
      <c r="JOG1618" s="391"/>
      <c r="JOI1618" s="391"/>
      <c r="JOK1618" s="391"/>
      <c r="JOM1618" s="391"/>
      <c r="JOO1618" s="391"/>
      <c r="JOQ1618" s="391"/>
      <c r="JOS1618" s="391"/>
      <c r="JOU1618" s="391"/>
      <c r="JOW1618" s="391"/>
      <c r="JOY1618" s="391"/>
      <c r="JPA1618" s="391"/>
      <c r="JPC1618" s="391"/>
      <c r="JPE1618" s="391"/>
      <c r="JPG1618" s="391"/>
      <c r="JPI1618" s="391"/>
      <c r="JPK1618" s="391"/>
      <c r="JPM1618" s="391"/>
      <c r="JPO1618" s="391"/>
      <c r="JPQ1618" s="391"/>
      <c r="JPS1618" s="391"/>
      <c r="JPU1618" s="391"/>
      <c r="JPW1618" s="391"/>
      <c r="JPY1618" s="391"/>
      <c r="JQA1618" s="391"/>
      <c r="JQC1618" s="391"/>
      <c r="JQE1618" s="391"/>
      <c r="JQG1618" s="391"/>
      <c r="JQI1618" s="391"/>
      <c r="JQK1618" s="391"/>
      <c r="JQM1618" s="391"/>
      <c r="JQO1618" s="391"/>
      <c r="JQQ1618" s="391"/>
      <c r="JQS1618" s="391"/>
      <c r="JQU1618" s="391"/>
      <c r="JQW1618" s="391"/>
      <c r="JQY1618" s="391"/>
      <c r="JRA1618" s="391"/>
      <c r="JRC1618" s="391"/>
      <c r="JRE1618" s="391"/>
      <c r="JRG1618" s="391"/>
      <c r="JRI1618" s="391"/>
      <c r="JRK1618" s="391"/>
      <c r="JRM1618" s="391"/>
      <c r="JRO1618" s="391"/>
      <c r="JRQ1618" s="391"/>
      <c r="JRS1618" s="391"/>
      <c r="JRU1618" s="391"/>
      <c r="JRW1618" s="391"/>
      <c r="JRY1618" s="391"/>
      <c r="JSA1618" s="391"/>
      <c r="JSC1618" s="391"/>
      <c r="JSE1618" s="391"/>
      <c r="JSG1618" s="391"/>
      <c r="JSI1618" s="391"/>
      <c r="JSK1618" s="391"/>
      <c r="JSM1618" s="391"/>
      <c r="JSO1618" s="391"/>
      <c r="JSQ1618" s="391"/>
      <c r="JSS1618" s="391"/>
      <c r="JSU1618" s="391"/>
      <c r="JSW1618" s="391"/>
      <c r="JSY1618" s="391"/>
      <c r="JTA1618" s="391"/>
      <c r="JTC1618" s="391"/>
      <c r="JTE1618" s="391"/>
      <c r="JTG1618" s="391"/>
      <c r="JTI1618" s="391"/>
      <c r="JTK1618" s="391"/>
      <c r="JTM1618" s="391"/>
      <c r="JTO1618" s="391"/>
      <c r="JTQ1618" s="391"/>
      <c r="JTS1618" s="391"/>
      <c r="JTU1618" s="391"/>
      <c r="JTW1618" s="391"/>
      <c r="JTY1618" s="391"/>
      <c r="JUA1618" s="391"/>
      <c r="JUC1618" s="391"/>
      <c r="JUE1618" s="391"/>
      <c r="JUG1618" s="391"/>
      <c r="JUI1618" s="391"/>
      <c r="JUK1618" s="391"/>
      <c r="JUM1618" s="391"/>
      <c r="JUO1618" s="391"/>
      <c r="JUQ1618" s="391"/>
      <c r="JUS1618" s="391"/>
      <c r="JUU1618" s="391"/>
      <c r="JUW1618" s="391"/>
      <c r="JUY1618" s="391"/>
      <c r="JVA1618" s="391"/>
      <c r="JVC1618" s="391"/>
      <c r="JVE1618" s="391"/>
      <c r="JVG1618" s="391"/>
      <c r="JVI1618" s="391"/>
      <c r="JVK1618" s="391"/>
      <c r="JVM1618" s="391"/>
      <c r="JVO1618" s="391"/>
      <c r="JVQ1618" s="391"/>
      <c r="JVS1618" s="391"/>
      <c r="JVU1618" s="391"/>
      <c r="JVW1618" s="391"/>
      <c r="JVY1618" s="391"/>
      <c r="JWA1618" s="391"/>
      <c r="JWC1618" s="391"/>
      <c r="JWE1618" s="391"/>
      <c r="JWG1618" s="391"/>
      <c r="JWI1618" s="391"/>
      <c r="JWK1618" s="391"/>
      <c r="JWM1618" s="391"/>
      <c r="JWO1618" s="391"/>
      <c r="JWQ1618" s="391"/>
      <c r="JWS1618" s="391"/>
      <c r="JWU1618" s="391"/>
      <c r="JWW1618" s="391"/>
      <c r="JWY1618" s="391"/>
      <c r="JXA1618" s="391"/>
      <c r="JXC1618" s="391"/>
      <c r="JXE1618" s="391"/>
      <c r="JXG1618" s="391"/>
      <c r="JXI1618" s="391"/>
      <c r="JXK1618" s="391"/>
      <c r="JXM1618" s="391"/>
      <c r="JXO1618" s="391"/>
      <c r="JXQ1618" s="391"/>
      <c r="JXS1618" s="391"/>
      <c r="JXU1618" s="391"/>
      <c r="JXW1618" s="391"/>
      <c r="JXY1618" s="391"/>
      <c r="JYA1618" s="391"/>
      <c r="JYC1618" s="391"/>
      <c r="JYE1618" s="391"/>
      <c r="JYG1618" s="391"/>
      <c r="JYI1618" s="391"/>
      <c r="JYK1618" s="391"/>
      <c r="JYM1618" s="391"/>
      <c r="JYO1618" s="391"/>
      <c r="JYQ1618" s="391"/>
      <c r="JYS1618" s="391"/>
      <c r="JYU1618" s="391"/>
      <c r="JYW1618" s="391"/>
      <c r="JYY1618" s="391"/>
      <c r="JZA1618" s="391"/>
      <c r="JZC1618" s="391"/>
      <c r="JZE1618" s="391"/>
      <c r="JZG1618" s="391"/>
      <c r="JZI1618" s="391"/>
      <c r="JZK1618" s="391"/>
      <c r="JZM1618" s="391"/>
      <c r="JZO1618" s="391"/>
      <c r="JZQ1618" s="391"/>
      <c r="JZS1618" s="391"/>
      <c r="JZU1618" s="391"/>
      <c r="JZW1618" s="391"/>
      <c r="JZY1618" s="391"/>
      <c r="KAA1618" s="391"/>
      <c r="KAC1618" s="391"/>
      <c r="KAE1618" s="391"/>
      <c r="KAG1618" s="391"/>
      <c r="KAI1618" s="391"/>
      <c r="KAK1618" s="391"/>
      <c r="KAM1618" s="391"/>
      <c r="KAO1618" s="391"/>
      <c r="KAQ1618" s="391"/>
      <c r="KAS1618" s="391"/>
      <c r="KAU1618" s="391"/>
      <c r="KAW1618" s="391"/>
      <c r="KAY1618" s="391"/>
      <c r="KBA1618" s="391"/>
      <c r="KBC1618" s="391"/>
      <c r="KBE1618" s="391"/>
      <c r="KBG1618" s="391"/>
      <c r="KBI1618" s="391"/>
      <c r="KBK1618" s="391"/>
      <c r="KBM1618" s="391"/>
      <c r="KBO1618" s="391"/>
      <c r="KBQ1618" s="391"/>
      <c r="KBS1618" s="391"/>
      <c r="KBU1618" s="391"/>
      <c r="KBW1618" s="391"/>
      <c r="KBY1618" s="391"/>
      <c r="KCA1618" s="391"/>
      <c r="KCC1618" s="391"/>
      <c r="KCE1618" s="391"/>
      <c r="KCG1618" s="391"/>
      <c r="KCI1618" s="391"/>
      <c r="KCK1618" s="391"/>
      <c r="KCM1618" s="391"/>
      <c r="KCO1618" s="391"/>
      <c r="KCQ1618" s="391"/>
      <c r="KCS1618" s="391"/>
      <c r="KCU1618" s="391"/>
      <c r="KCW1618" s="391"/>
      <c r="KCY1618" s="391"/>
      <c r="KDA1618" s="391"/>
      <c r="KDC1618" s="391"/>
      <c r="KDE1618" s="391"/>
      <c r="KDG1618" s="391"/>
      <c r="KDI1618" s="391"/>
      <c r="KDK1618" s="391"/>
      <c r="KDM1618" s="391"/>
      <c r="KDO1618" s="391"/>
      <c r="KDQ1618" s="391"/>
      <c r="KDS1618" s="391"/>
      <c r="KDU1618" s="391"/>
      <c r="KDW1618" s="391"/>
      <c r="KDY1618" s="391"/>
      <c r="KEA1618" s="391"/>
      <c r="KEC1618" s="391"/>
      <c r="KEE1618" s="391"/>
      <c r="KEG1618" s="391"/>
      <c r="KEI1618" s="391"/>
      <c r="KEK1618" s="391"/>
      <c r="KEM1618" s="391"/>
      <c r="KEO1618" s="391"/>
      <c r="KEQ1618" s="391"/>
      <c r="KES1618" s="391"/>
      <c r="KEU1618" s="391"/>
      <c r="KEW1618" s="391"/>
      <c r="KEY1618" s="391"/>
      <c r="KFA1618" s="391"/>
      <c r="KFC1618" s="391"/>
      <c r="KFE1618" s="391"/>
      <c r="KFG1618" s="391"/>
      <c r="KFI1618" s="391"/>
      <c r="KFK1618" s="391"/>
      <c r="KFM1618" s="391"/>
      <c r="KFO1618" s="391"/>
      <c r="KFQ1618" s="391"/>
      <c r="KFS1618" s="391"/>
      <c r="KFU1618" s="391"/>
      <c r="KFW1618" s="391"/>
      <c r="KFY1618" s="391"/>
      <c r="KGA1618" s="391"/>
      <c r="KGC1618" s="391"/>
      <c r="KGE1618" s="391"/>
      <c r="KGG1618" s="391"/>
      <c r="KGI1618" s="391"/>
      <c r="KGK1618" s="391"/>
      <c r="KGM1618" s="391"/>
      <c r="KGO1618" s="391"/>
      <c r="KGQ1618" s="391"/>
      <c r="KGS1618" s="391"/>
      <c r="KGU1618" s="391"/>
      <c r="KGW1618" s="391"/>
      <c r="KGY1618" s="391"/>
      <c r="KHA1618" s="391"/>
      <c r="KHC1618" s="391"/>
      <c r="KHE1618" s="391"/>
      <c r="KHG1618" s="391"/>
      <c r="KHI1618" s="391"/>
      <c r="KHK1618" s="391"/>
      <c r="KHM1618" s="391"/>
      <c r="KHO1618" s="391"/>
      <c r="KHQ1618" s="391"/>
      <c r="KHS1618" s="391"/>
      <c r="KHU1618" s="391"/>
      <c r="KHW1618" s="391"/>
      <c r="KHY1618" s="391"/>
      <c r="KIA1618" s="391"/>
      <c r="KIC1618" s="391"/>
      <c r="KIE1618" s="391"/>
      <c r="KIG1618" s="391"/>
      <c r="KII1618" s="391"/>
      <c r="KIK1618" s="391"/>
      <c r="KIM1618" s="391"/>
      <c r="KIO1618" s="391"/>
      <c r="KIQ1618" s="391"/>
      <c r="KIS1618" s="391"/>
      <c r="KIU1618" s="391"/>
      <c r="KIW1618" s="391"/>
      <c r="KIY1618" s="391"/>
      <c r="KJA1618" s="391"/>
      <c r="KJC1618" s="391"/>
      <c r="KJE1618" s="391"/>
      <c r="KJG1618" s="391"/>
      <c r="KJI1618" s="391"/>
      <c r="KJK1618" s="391"/>
      <c r="KJM1618" s="391"/>
      <c r="KJO1618" s="391"/>
      <c r="KJQ1618" s="391"/>
      <c r="KJS1618" s="391"/>
      <c r="KJU1618" s="391"/>
      <c r="KJW1618" s="391"/>
      <c r="KJY1618" s="391"/>
      <c r="KKA1618" s="391"/>
      <c r="KKC1618" s="391"/>
      <c r="KKE1618" s="391"/>
      <c r="KKG1618" s="391"/>
      <c r="KKI1618" s="391"/>
      <c r="KKK1618" s="391"/>
      <c r="KKM1618" s="391"/>
      <c r="KKO1618" s="391"/>
      <c r="KKQ1618" s="391"/>
      <c r="KKS1618" s="391"/>
      <c r="KKU1618" s="391"/>
      <c r="KKW1618" s="391"/>
      <c r="KKY1618" s="391"/>
      <c r="KLA1618" s="391"/>
      <c r="KLC1618" s="391"/>
      <c r="KLE1618" s="391"/>
      <c r="KLG1618" s="391"/>
      <c r="KLI1618" s="391"/>
      <c r="KLK1618" s="391"/>
      <c r="KLM1618" s="391"/>
      <c r="KLO1618" s="391"/>
      <c r="KLQ1618" s="391"/>
      <c r="KLS1618" s="391"/>
      <c r="KLU1618" s="391"/>
      <c r="KLW1618" s="391"/>
      <c r="KLY1618" s="391"/>
      <c r="KMA1618" s="391"/>
      <c r="KMC1618" s="391"/>
      <c r="KME1618" s="391"/>
      <c r="KMG1618" s="391"/>
      <c r="KMI1618" s="391"/>
      <c r="KMK1618" s="391"/>
      <c r="KMM1618" s="391"/>
      <c r="KMO1618" s="391"/>
      <c r="KMQ1618" s="391"/>
      <c r="KMS1618" s="391"/>
      <c r="KMU1618" s="391"/>
      <c r="KMW1618" s="391"/>
      <c r="KMY1618" s="391"/>
      <c r="KNA1618" s="391"/>
      <c r="KNC1618" s="391"/>
      <c r="KNE1618" s="391"/>
      <c r="KNG1618" s="391"/>
      <c r="KNI1618" s="391"/>
      <c r="KNK1618" s="391"/>
      <c r="KNM1618" s="391"/>
      <c r="KNO1618" s="391"/>
      <c r="KNQ1618" s="391"/>
      <c r="KNS1618" s="391"/>
      <c r="KNU1618" s="391"/>
      <c r="KNW1618" s="391"/>
      <c r="KNY1618" s="391"/>
      <c r="KOA1618" s="391"/>
      <c r="KOC1618" s="391"/>
      <c r="KOE1618" s="391"/>
      <c r="KOG1618" s="391"/>
      <c r="KOI1618" s="391"/>
      <c r="KOK1618" s="391"/>
      <c r="KOM1618" s="391"/>
      <c r="KOO1618" s="391"/>
      <c r="KOQ1618" s="391"/>
      <c r="KOS1618" s="391"/>
      <c r="KOU1618" s="391"/>
      <c r="KOW1618" s="391"/>
      <c r="KOY1618" s="391"/>
      <c r="KPA1618" s="391"/>
      <c r="KPC1618" s="391"/>
      <c r="KPE1618" s="391"/>
      <c r="KPG1618" s="391"/>
      <c r="KPI1618" s="391"/>
      <c r="KPK1618" s="391"/>
      <c r="KPM1618" s="391"/>
      <c r="KPO1618" s="391"/>
      <c r="KPQ1618" s="391"/>
      <c r="KPS1618" s="391"/>
      <c r="KPU1618" s="391"/>
      <c r="KPW1618" s="391"/>
      <c r="KPY1618" s="391"/>
      <c r="KQA1618" s="391"/>
      <c r="KQC1618" s="391"/>
      <c r="KQE1618" s="391"/>
      <c r="KQG1618" s="391"/>
      <c r="KQI1618" s="391"/>
      <c r="KQK1618" s="391"/>
      <c r="KQM1618" s="391"/>
      <c r="KQO1618" s="391"/>
      <c r="KQQ1618" s="391"/>
      <c r="KQS1618" s="391"/>
      <c r="KQU1618" s="391"/>
      <c r="KQW1618" s="391"/>
      <c r="KQY1618" s="391"/>
      <c r="KRA1618" s="391"/>
      <c r="KRC1618" s="391"/>
      <c r="KRE1618" s="391"/>
      <c r="KRG1618" s="391"/>
      <c r="KRI1618" s="391"/>
      <c r="KRK1618" s="391"/>
      <c r="KRM1618" s="391"/>
      <c r="KRO1618" s="391"/>
      <c r="KRQ1618" s="391"/>
      <c r="KRS1618" s="391"/>
      <c r="KRU1618" s="391"/>
      <c r="KRW1618" s="391"/>
      <c r="KRY1618" s="391"/>
      <c r="KSA1618" s="391"/>
      <c r="KSC1618" s="391"/>
      <c r="KSE1618" s="391"/>
      <c r="KSG1618" s="391"/>
      <c r="KSI1618" s="391"/>
      <c r="KSK1618" s="391"/>
      <c r="KSM1618" s="391"/>
      <c r="KSO1618" s="391"/>
      <c r="KSQ1618" s="391"/>
      <c r="KSS1618" s="391"/>
      <c r="KSU1618" s="391"/>
      <c r="KSW1618" s="391"/>
      <c r="KSY1618" s="391"/>
      <c r="KTA1618" s="391"/>
      <c r="KTC1618" s="391"/>
      <c r="KTE1618" s="391"/>
      <c r="KTG1618" s="391"/>
      <c r="KTI1618" s="391"/>
      <c r="KTK1618" s="391"/>
      <c r="KTM1618" s="391"/>
      <c r="KTO1618" s="391"/>
      <c r="KTQ1618" s="391"/>
      <c r="KTS1618" s="391"/>
      <c r="KTU1618" s="391"/>
      <c r="KTW1618" s="391"/>
      <c r="KTY1618" s="391"/>
      <c r="KUA1618" s="391"/>
      <c r="KUC1618" s="391"/>
      <c r="KUE1618" s="391"/>
      <c r="KUG1618" s="391"/>
      <c r="KUI1618" s="391"/>
      <c r="KUK1618" s="391"/>
      <c r="KUM1618" s="391"/>
      <c r="KUO1618" s="391"/>
      <c r="KUQ1618" s="391"/>
      <c r="KUS1618" s="391"/>
      <c r="KUU1618" s="391"/>
      <c r="KUW1618" s="391"/>
      <c r="KUY1618" s="391"/>
      <c r="KVA1618" s="391"/>
      <c r="KVC1618" s="391"/>
      <c r="KVE1618" s="391"/>
      <c r="KVG1618" s="391"/>
      <c r="KVI1618" s="391"/>
      <c r="KVK1618" s="391"/>
      <c r="KVM1618" s="391"/>
      <c r="KVO1618" s="391"/>
      <c r="KVQ1618" s="391"/>
      <c r="KVS1618" s="391"/>
      <c r="KVU1618" s="391"/>
      <c r="KVW1618" s="391"/>
      <c r="KVY1618" s="391"/>
      <c r="KWA1618" s="391"/>
      <c r="KWC1618" s="391"/>
      <c r="KWE1618" s="391"/>
      <c r="KWG1618" s="391"/>
      <c r="KWI1618" s="391"/>
      <c r="KWK1618" s="391"/>
      <c r="KWM1618" s="391"/>
      <c r="KWO1618" s="391"/>
      <c r="KWQ1618" s="391"/>
      <c r="KWS1618" s="391"/>
      <c r="KWU1618" s="391"/>
      <c r="KWW1618" s="391"/>
      <c r="KWY1618" s="391"/>
      <c r="KXA1618" s="391"/>
      <c r="KXC1618" s="391"/>
      <c r="KXE1618" s="391"/>
      <c r="KXG1618" s="391"/>
      <c r="KXI1618" s="391"/>
      <c r="KXK1618" s="391"/>
      <c r="KXM1618" s="391"/>
      <c r="KXO1618" s="391"/>
      <c r="KXQ1618" s="391"/>
      <c r="KXS1618" s="391"/>
      <c r="KXU1618" s="391"/>
      <c r="KXW1618" s="391"/>
      <c r="KXY1618" s="391"/>
      <c r="KYA1618" s="391"/>
      <c r="KYC1618" s="391"/>
      <c r="KYE1618" s="391"/>
      <c r="KYG1618" s="391"/>
      <c r="KYI1618" s="391"/>
      <c r="KYK1618" s="391"/>
      <c r="KYM1618" s="391"/>
      <c r="KYO1618" s="391"/>
      <c r="KYQ1618" s="391"/>
      <c r="KYS1618" s="391"/>
      <c r="KYU1618" s="391"/>
      <c r="KYW1618" s="391"/>
      <c r="KYY1618" s="391"/>
      <c r="KZA1618" s="391"/>
      <c r="KZC1618" s="391"/>
      <c r="KZE1618" s="391"/>
      <c r="KZG1618" s="391"/>
      <c r="KZI1618" s="391"/>
      <c r="KZK1618" s="391"/>
      <c r="KZM1618" s="391"/>
      <c r="KZO1618" s="391"/>
      <c r="KZQ1618" s="391"/>
      <c r="KZS1618" s="391"/>
      <c r="KZU1618" s="391"/>
      <c r="KZW1618" s="391"/>
      <c r="KZY1618" s="391"/>
      <c r="LAA1618" s="391"/>
      <c r="LAC1618" s="391"/>
      <c r="LAE1618" s="391"/>
      <c r="LAG1618" s="391"/>
      <c r="LAI1618" s="391"/>
      <c r="LAK1618" s="391"/>
      <c r="LAM1618" s="391"/>
      <c r="LAO1618" s="391"/>
      <c r="LAQ1618" s="391"/>
      <c r="LAS1618" s="391"/>
      <c r="LAU1618" s="391"/>
      <c r="LAW1618" s="391"/>
      <c r="LAY1618" s="391"/>
      <c r="LBA1618" s="391"/>
      <c r="LBC1618" s="391"/>
      <c r="LBE1618" s="391"/>
      <c r="LBG1618" s="391"/>
      <c r="LBI1618" s="391"/>
      <c r="LBK1618" s="391"/>
      <c r="LBM1618" s="391"/>
      <c r="LBO1618" s="391"/>
      <c r="LBQ1618" s="391"/>
      <c r="LBS1618" s="391"/>
      <c r="LBU1618" s="391"/>
      <c r="LBW1618" s="391"/>
      <c r="LBY1618" s="391"/>
      <c r="LCA1618" s="391"/>
      <c r="LCC1618" s="391"/>
      <c r="LCE1618" s="391"/>
      <c r="LCG1618" s="391"/>
      <c r="LCI1618" s="391"/>
      <c r="LCK1618" s="391"/>
      <c r="LCM1618" s="391"/>
      <c r="LCO1618" s="391"/>
      <c r="LCQ1618" s="391"/>
      <c r="LCS1618" s="391"/>
      <c r="LCU1618" s="391"/>
      <c r="LCW1618" s="391"/>
      <c r="LCY1618" s="391"/>
      <c r="LDA1618" s="391"/>
      <c r="LDC1618" s="391"/>
      <c r="LDE1618" s="391"/>
      <c r="LDG1618" s="391"/>
      <c r="LDI1618" s="391"/>
      <c r="LDK1618" s="391"/>
      <c r="LDM1618" s="391"/>
      <c r="LDO1618" s="391"/>
      <c r="LDQ1618" s="391"/>
      <c r="LDS1618" s="391"/>
      <c r="LDU1618" s="391"/>
      <c r="LDW1618" s="391"/>
      <c r="LDY1618" s="391"/>
      <c r="LEA1618" s="391"/>
      <c r="LEC1618" s="391"/>
      <c r="LEE1618" s="391"/>
      <c r="LEG1618" s="391"/>
      <c r="LEI1618" s="391"/>
      <c r="LEK1618" s="391"/>
      <c r="LEM1618" s="391"/>
      <c r="LEO1618" s="391"/>
      <c r="LEQ1618" s="391"/>
      <c r="LES1618" s="391"/>
      <c r="LEU1618" s="391"/>
      <c r="LEW1618" s="391"/>
      <c r="LEY1618" s="391"/>
      <c r="LFA1618" s="391"/>
      <c r="LFC1618" s="391"/>
      <c r="LFE1618" s="391"/>
      <c r="LFG1618" s="391"/>
      <c r="LFI1618" s="391"/>
      <c r="LFK1618" s="391"/>
      <c r="LFM1618" s="391"/>
      <c r="LFO1618" s="391"/>
      <c r="LFQ1618" s="391"/>
      <c r="LFS1618" s="391"/>
      <c r="LFU1618" s="391"/>
      <c r="LFW1618" s="391"/>
      <c r="LFY1618" s="391"/>
      <c r="LGA1618" s="391"/>
      <c r="LGC1618" s="391"/>
      <c r="LGE1618" s="391"/>
      <c r="LGG1618" s="391"/>
      <c r="LGI1618" s="391"/>
      <c r="LGK1618" s="391"/>
      <c r="LGM1618" s="391"/>
      <c r="LGO1618" s="391"/>
      <c r="LGQ1618" s="391"/>
      <c r="LGS1618" s="391"/>
      <c r="LGU1618" s="391"/>
      <c r="LGW1618" s="391"/>
      <c r="LGY1618" s="391"/>
      <c r="LHA1618" s="391"/>
      <c r="LHC1618" s="391"/>
      <c r="LHE1618" s="391"/>
      <c r="LHG1618" s="391"/>
      <c r="LHI1618" s="391"/>
      <c r="LHK1618" s="391"/>
      <c r="LHM1618" s="391"/>
      <c r="LHO1618" s="391"/>
      <c r="LHQ1618" s="391"/>
      <c r="LHS1618" s="391"/>
      <c r="LHU1618" s="391"/>
      <c r="LHW1618" s="391"/>
      <c r="LHY1618" s="391"/>
      <c r="LIA1618" s="391"/>
      <c r="LIC1618" s="391"/>
      <c r="LIE1618" s="391"/>
      <c r="LIG1618" s="391"/>
      <c r="LII1618" s="391"/>
      <c r="LIK1618" s="391"/>
      <c r="LIM1618" s="391"/>
      <c r="LIO1618" s="391"/>
      <c r="LIQ1618" s="391"/>
      <c r="LIS1618" s="391"/>
      <c r="LIU1618" s="391"/>
      <c r="LIW1618" s="391"/>
      <c r="LIY1618" s="391"/>
      <c r="LJA1618" s="391"/>
      <c r="LJC1618" s="391"/>
      <c r="LJE1618" s="391"/>
      <c r="LJG1618" s="391"/>
      <c r="LJI1618" s="391"/>
      <c r="LJK1618" s="391"/>
      <c r="LJM1618" s="391"/>
      <c r="LJO1618" s="391"/>
      <c r="LJQ1618" s="391"/>
      <c r="LJS1618" s="391"/>
      <c r="LJU1618" s="391"/>
      <c r="LJW1618" s="391"/>
      <c r="LJY1618" s="391"/>
      <c r="LKA1618" s="391"/>
      <c r="LKC1618" s="391"/>
      <c r="LKE1618" s="391"/>
      <c r="LKG1618" s="391"/>
      <c r="LKI1618" s="391"/>
      <c r="LKK1618" s="391"/>
      <c r="LKM1618" s="391"/>
      <c r="LKO1618" s="391"/>
      <c r="LKQ1618" s="391"/>
      <c r="LKS1618" s="391"/>
      <c r="LKU1618" s="391"/>
      <c r="LKW1618" s="391"/>
      <c r="LKY1618" s="391"/>
      <c r="LLA1618" s="391"/>
      <c r="LLC1618" s="391"/>
      <c r="LLE1618" s="391"/>
      <c r="LLG1618" s="391"/>
      <c r="LLI1618" s="391"/>
      <c r="LLK1618" s="391"/>
      <c r="LLM1618" s="391"/>
      <c r="LLO1618" s="391"/>
      <c r="LLQ1618" s="391"/>
      <c r="LLS1618" s="391"/>
      <c r="LLU1618" s="391"/>
      <c r="LLW1618" s="391"/>
      <c r="LLY1618" s="391"/>
      <c r="LMA1618" s="391"/>
      <c r="LMC1618" s="391"/>
      <c r="LME1618" s="391"/>
      <c r="LMG1618" s="391"/>
      <c r="LMI1618" s="391"/>
      <c r="LMK1618" s="391"/>
      <c r="LMM1618" s="391"/>
      <c r="LMO1618" s="391"/>
      <c r="LMQ1618" s="391"/>
      <c r="LMS1618" s="391"/>
      <c r="LMU1618" s="391"/>
      <c r="LMW1618" s="391"/>
      <c r="LMY1618" s="391"/>
      <c r="LNA1618" s="391"/>
      <c r="LNC1618" s="391"/>
      <c r="LNE1618" s="391"/>
      <c r="LNG1618" s="391"/>
      <c r="LNI1618" s="391"/>
      <c r="LNK1618" s="391"/>
      <c r="LNM1618" s="391"/>
      <c r="LNO1618" s="391"/>
      <c r="LNQ1618" s="391"/>
      <c r="LNS1618" s="391"/>
      <c r="LNU1618" s="391"/>
      <c r="LNW1618" s="391"/>
      <c r="LNY1618" s="391"/>
      <c r="LOA1618" s="391"/>
      <c r="LOC1618" s="391"/>
      <c r="LOE1618" s="391"/>
      <c r="LOG1618" s="391"/>
      <c r="LOI1618" s="391"/>
      <c r="LOK1618" s="391"/>
      <c r="LOM1618" s="391"/>
      <c r="LOO1618" s="391"/>
      <c r="LOQ1618" s="391"/>
      <c r="LOS1618" s="391"/>
      <c r="LOU1618" s="391"/>
      <c r="LOW1618" s="391"/>
      <c r="LOY1618" s="391"/>
      <c r="LPA1618" s="391"/>
      <c r="LPC1618" s="391"/>
      <c r="LPE1618" s="391"/>
      <c r="LPG1618" s="391"/>
      <c r="LPI1618" s="391"/>
      <c r="LPK1618" s="391"/>
      <c r="LPM1618" s="391"/>
      <c r="LPO1618" s="391"/>
      <c r="LPQ1618" s="391"/>
      <c r="LPS1618" s="391"/>
      <c r="LPU1618" s="391"/>
      <c r="LPW1618" s="391"/>
      <c r="LPY1618" s="391"/>
      <c r="LQA1618" s="391"/>
      <c r="LQC1618" s="391"/>
      <c r="LQE1618" s="391"/>
      <c r="LQG1618" s="391"/>
      <c r="LQI1618" s="391"/>
      <c r="LQK1618" s="391"/>
      <c r="LQM1618" s="391"/>
      <c r="LQO1618" s="391"/>
      <c r="LQQ1618" s="391"/>
      <c r="LQS1618" s="391"/>
      <c r="LQU1618" s="391"/>
      <c r="LQW1618" s="391"/>
      <c r="LQY1618" s="391"/>
      <c r="LRA1618" s="391"/>
      <c r="LRC1618" s="391"/>
      <c r="LRE1618" s="391"/>
      <c r="LRG1618" s="391"/>
      <c r="LRI1618" s="391"/>
      <c r="LRK1618" s="391"/>
      <c r="LRM1618" s="391"/>
      <c r="LRO1618" s="391"/>
      <c r="LRQ1618" s="391"/>
      <c r="LRS1618" s="391"/>
      <c r="LRU1618" s="391"/>
      <c r="LRW1618" s="391"/>
      <c r="LRY1618" s="391"/>
      <c r="LSA1618" s="391"/>
      <c r="LSC1618" s="391"/>
      <c r="LSE1618" s="391"/>
      <c r="LSG1618" s="391"/>
      <c r="LSI1618" s="391"/>
      <c r="LSK1618" s="391"/>
      <c r="LSM1618" s="391"/>
      <c r="LSO1618" s="391"/>
      <c r="LSQ1618" s="391"/>
      <c r="LSS1618" s="391"/>
      <c r="LSU1618" s="391"/>
      <c r="LSW1618" s="391"/>
      <c r="LSY1618" s="391"/>
      <c r="LTA1618" s="391"/>
      <c r="LTC1618" s="391"/>
      <c r="LTE1618" s="391"/>
      <c r="LTG1618" s="391"/>
      <c r="LTI1618" s="391"/>
      <c r="LTK1618" s="391"/>
      <c r="LTM1618" s="391"/>
      <c r="LTO1618" s="391"/>
      <c r="LTQ1618" s="391"/>
      <c r="LTS1618" s="391"/>
      <c r="LTU1618" s="391"/>
      <c r="LTW1618" s="391"/>
      <c r="LTY1618" s="391"/>
      <c r="LUA1618" s="391"/>
      <c r="LUC1618" s="391"/>
      <c r="LUE1618" s="391"/>
      <c r="LUG1618" s="391"/>
      <c r="LUI1618" s="391"/>
      <c r="LUK1618" s="391"/>
      <c r="LUM1618" s="391"/>
      <c r="LUO1618" s="391"/>
      <c r="LUQ1618" s="391"/>
      <c r="LUS1618" s="391"/>
      <c r="LUU1618" s="391"/>
      <c r="LUW1618" s="391"/>
      <c r="LUY1618" s="391"/>
      <c r="LVA1618" s="391"/>
      <c r="LVC1618" s="391"/>
      <c r="LVE1618" s="391"/>
      <c r="LVG1618" s="391"/>
      <c r="LVI1618" s="391"/>
      <c r="LVK1618" s="391"/>
      <c r="LVM1618" s="391"/>
      <c r="LVO1618" s="391"/>
      <c r="LVQ1618" s="391"/>
      <c r="LVS1618" s="391"/>
      <c r="LVU1618" s="391"/>
      <c r="LVW1618" s="391"/>
      <c r="LVY1618" s="391"/>
      <c r="LWA1618" s="391"/>
      <c r="LWC1618" s="391"/>
      <c r="LWE1618" s="391"/>
      <c r="LWG1618" s="391"/>
      <c r="LWI1618" s="391"/>
      <c r="LWK1618" s="391"/>
      <c r="LWM1618" s="391"/>
      <c r="LWO1618" s="391"/>
      <c r="LWQ1618" s="391"/>
      <c r="LWS1618" s="391"/>
      <c r="LWU1618" s="391"/>
      <c r="LWW1618" s="391"/>
      <c r="LWY1618" s="391"/>
      <c r="LXA1618" s="391"/>
      <c r="LXC1618" s="391"/>
      <c r="LXE1618" s="391"/>
      <c r="LXG1618" s="391"/>
      <c r="LXI1618" s="391"/>
      <c r="LXK1618" s="391"/>
      <c r="LXM1618" s="391"/>
      <c r="LXO1618" s="391"/>
      <c r="LXQ1618" s="391"/>
      <c r="LXS1618" s="391"/>
      <c r="LXU1618" s="391"/>
      <c r="LXW1618" s="391"/>
      <c r="LXY1618" s="391"/>
      <c r="LYA1618" s="391"/>
      <c r="LYC1618" s="391"/>
      <c r="LYE1618" s="391"/>
      <c r="LYG1618" s="391"/>
      <c r="LYI1618" s="391"/>
      <c r="LYK1618" s="391"/>
      <c r="LYM1618" s="391"/>
      <c r="LYO1618" s="391"/>
      <c r="LYQ1618" s="391"/>
      <c r="LYS1618" s="391"/>
      <c r="LYU1618" s="391"/>
      <c r="LYW1618" s="391"/>
      <c r="LYY1618" s="391"/>
      <c r="LZA1618" s="391"/>
      <c r="LZC1618" s="391"/>
      <c r="LZE1618" s="391"/>
      <c r="LZG1618" s="391"/>
      <c r="LZI1618" s="391"/>
      <c r="LZK1618" s="391"/>
      <c r="LZM1618" s="391"/>
      <c r="LZO1618" s="391"/>
      <c r="LZQ1618" s="391"/>
      <c r="LZS1618" s="391"/>
      <c r="LZU1618" s="391"/>
      <c r="LZW1618" s="391"/>
      <c r="LZY1618" s="391"/>
      <c r="MAA1618" s="391"/>
      <c r="MAC1618" s="391"/>
      <c r="MAE1618" s="391"/>
      <c r="MAG1618" s="391"/>
      <c r="MAI1618" s="391"/>
      <c r="MAK1618" s="391"/>
      <c r="MAM1618" s="391"/>
      <c r="MAO1618" s="391"/>
      <c r="MAQ1618" s="391"/>
      <c r="MAS1618" s="391"/>
      <c r="MAU1618" s="391"/>
      <c r="MAW1618" s="391"/>
      <c r="MAY1618" s="391"/>
      <c r="MBA1618" s="391"/>
      <c r="MBC1618" s="391"/>
      <c r="MBE1618" s="391"/>
      <c r="MBG1618" s="391"/>
      <c r="MBI1618" s="391"/>
      <c r="MBK1618" s="391"/>
      <c r="MBM1618" s="391"/>
      <c r="MBO1618" s="391"/>
      <c r="MBQ1618" s="391"/>
      <c r="MBS1618" s="391"/>
      <c r="MBU1618" s="391"/>
      <c r="MBW1618" s="391"/>
      <c r="MBY1618" s="391"/>
      <c r="MCA1618" s="391"/>
      <c r="MCC1618" s="391"/>
      <c r="MCE1618" s="391"/>
      <c r="MCG1618" s="391"/>
      <c r="MCI1618" s="391"/>
      <c r="MCK1618" s="391"/>
      <c r="MCM1618" s="391"/>
      <c r="MCO1618" s="391"/>
      <c r="MCQ1618" s="391"/>
      <c r="MCS1618" s="391"/>
      <c r="MCU1618" s="391"/>
      <c r="MCW1618" s="391"/>
      <c r="MCY1618" s="391"/>
      <c r="MDA1618" s="391"/>
      <c r="MDC1618" s="391"/>
      <c r="MDE1618" s="391"/>
      <c r="MDG1618" s="391"/>
      <c r="MDI1618" s="391"/>
      <c r="MDK1618" s="391"/>
      <c r="MDM1618" s="391"/>
      <c r="MDO1618" s="391"/>
      <c r="MDQ1618" s="391"/>
      <c r="MDS1618" s="391"/>
      <c r="MDU1618" s="391"/>
      <c r="MDW1618" s="391"/>
      <c r="MDY1618" s="391"/>
      <c r="MEA1618" s="391"/>
      <c r="MEC1618" s="391"/>
      <c r="MEE1618" s="391"/>
      <c r="MEG1618" s="391"/>
      <c r="MEI1618" s="391"/>
      <c r="MEK1618" s="391"/>
      <c r="MEM1618" s="391"/>
      <c r="MEO1618" s="391"/>
      <c r="MEQ1618" s="391"/>
      <c r="MES1618" s="391"/>
      <c r="MEU1618" s="391"/>
      <c r="MEW1618" s="391"/>
      <c r="MEY1618" s="391"/>
      <c r="MFA1618" s="391"/>
      <c r="MFC1618" s="391"/>
      <c r="MFE1618" s="391"/>
      <c r="MFG1618" s="391"/>
      <c r="MFI1618" s="391"/>
      <c r="MFK1618" s="391"/>
      <c r="MFM1618" s="391"/>
      <c r="MFO1618" s="391"/>
      <c r="MFQ1618" s="391"/>
      <c r="MFS1618" s="391"/>
      <c r="MFU1618" s="391"/>
      <c r="MFW1618" s="391"/>
      <c r="MFY1618" s="391"/>
      <c r="MGA1618" s="391"/>
      <c r="MGC1618" s="391"/>
      <c r="MGE1618" s="391"/>
      <c r="MGG1618" s="391"/>
      <c r="MGI1618" s="391"/>
      <c r="MGK1618" s="391"/>
      <c r="MGM1618" s="391"/>
      <c r="MGO1618" s="391"/>
      <c r="MGQ1618" s="391"/>
      <c r="MGS1618" s="391"/>
      <c r="MGU1618" s="391"/>
      <c r="MGW1618" s="391"/>
      <c r="MGY1618" s="391"/>
      <c r="MHA1618" s="391"/>
      <c r="MHC1618" s="391"/>
      <c r="MHE1618" s="391"/>
      <c r="MHG1618" s="391"/>
      <c r="MHI1618" s="391"/>
      <c r="MHK1618" s="391"/>
      <c r="MHM1618" s="391"/>
      <c r="MHO1618" s="391"/>
      <c r="MHQ1618" s="391"/>
      <c r="MHS1618" s="391"/>
      <c r="MHU1618" s="391"/>
      <c r="MHW1618" s="391"/>
      <c r="MHY1618" s="391"/>
      <c r="MIA1618" s="391"/>
      <c r="MIC1618" s="391"/>
      <c r="MIE1618" s="391"/>
      <c r="MIG1618" s="391"/>
      <c r="MII1618" s="391"/>
      <c r="MIK1618" s="391"/>
      <c r="MIM1618" s="391"/>
      <c r="MIO1618" s="391"/>
      <c r="MIQ1618" s="391"/>
      <c r="MIS1618" s="391"/>
      <c r="MIU1618" s="391"/>
      <c r="MIW1618" s="391"/>
      <c r="MIY1618" s="391"/>
      <c r="MJA1618" s="391"/>
      <c r="MJC1618" s="391"/>
      <c r="MJE1618" s="391"/>
      <c r="MJG1618" s="391"/>
      <c r="MJI1618" s="391"/>
      <c r="MJK1618" s="391"/>
      <c r="MJM1618" s="391"/>
      <c r="MJO1618" s="391"/>
      <c r="MJQ1618" s="391"/>
      <c r="MJS1618" s="391"/>
      <c r="MJU1618" s="391"/>
      <c r="MJW1618" s="391"/>
      <c r="MJY1618" s="391"/>
      <c r="MKA1618" s="391"/>
      <c r="MKC1618" s="391"/>
      <c r="MKE1618" s="391"/>
      <c r="MKG1618" s="391"/>
      <c r="MKI1618" s="391"/>
      <c r="MKK1618" s="391"/>
      <c r="MKM1618" s="391"/>
      <c r="MKO1618" s="391"/>
      <c r="MKQ1618" s="391"/>
      <c r="MKS1618" s="391"/>
      <c r="MKU1618" s="391"/>
      <c r="MKW1618" s="391"/>
      <c r="MKY1618" s="391"/>
      <c r="MLA1618" s="391"/>
      <c r="MLC1618" s="391"/>
      <c r="MLE1618" s="391"/>
      <c r="MLG1618" s="391"/>
      <c r="MLI1618" s="391"/>
      <c r="MLK1618" s="391"/>
      <c r="MLM1618" s="391"/>
      <c r="MLO1618" s="391"/>
      <c r="MLQ1618" s="391"/>
      <c r="MLS1618" s="391"/>
      <c r="MLU1618" s="391"/>
      <c r="MLW1618" s="391"/>
      <c r="MLY1618" s="391"/>
      <c r="MMA1618" s="391"/>
      <c r="MMC1618" s="391"/>
      <c r="MME1618" s="391"/>
      <c r="MMG1618" s="391"/>
      <c r="MMI1618" s="391"/>
      <c r="MMK1618" s="391"/>
      <c r="MMM1618" s="391"/>
      <c r="MMO1618" s="391"/>
      <c r="MMQ1618" s="391"/>
      <c r="MMS1618" s="391"/>
      <c r="MMU1618" s="391"/>
      <c r="MMW1618" s="391"/>
      <c r="MMY1618" s="391"/>
      <c r="MNA1618" s="391"/>
      <c r="MNC1618" s="391"/>
      <c r="MNE1618" s="391"/>
      <c r="MNG1618" s="391"/>
      <c r="MNI1618" s="391"/>
      <c r="MNK1618" s="391"/>
      <c r="MNM1618" s="391"/>
      <c r="MNO1618" s="391"/>
      <c r="MNQ1618" s="391"/>
      <c r="MNS1618" s="391"/>
      <c r="MNU1618" s="391"/>
      <c r="MNW1618" s="391"/>
      <c r="MNY1618" s="391"/>
      <c r="MOA1618" s="391"/>
      <c r="MOC1618" s="391"/>
      <c r="MOE1618" s="391"/>
      <c r="MOG1618" s="391"/>
      <c r="MOI1618" s="391"/>
      <c r="MOK1618" s="391"/>
      <c r="MOM1618" s="391"/>
      <c r="MOO1618" s="391"/>
      <c r="MOQ1618" s="391"/>
      <c r="MOS1618" s="391"/>
      <c r="MOU1618" s="391"/>
      <c r="MOW1618" s="391"/>
      <c r="MOY1618" s="391"/>
      <c r="MPA1618" s="391"/>
      <c r="MPC1618" s="391"/>
      <c r="MPE1618" s="391"/>
      <c r="MPG1618" s="391"/>
      <c r="MPI1618" s="391"/>
      <c r="MPK1618" s="391"/>
      <c r="MPM1618" s="391"/>
      <c r="MPO1618" s="391"/>
      <c r="MPQ1618" s="391"/>
      <c r="MPS1618" s="391"/>
      <c r="MPU1618" s="391"/>
      <c r="MPW1618" s="391"/>
      <c r="MPY1618" s="391"/>
      <c r="MQA1618" s="391"/>
      <c r="MQC1618" s="391"/>
      <c r="MQE1618" s="391"/>
      <c r="MQG1618" s="391"/>
      <c r="MQI1618" s="391"/>
      <c r="MQK1618" s="391"/>
      <c r="MQM1618" s="391"/>
      <c r="MQO1618" s="391"/>
      <c r="MQQ1618" s="391"/>
      <c r="MQS1618" s="391"/>
      <c r="MQU1618" s="391"/>
      <c r="MQW1618" s="391"/>
      <c r="MQY1618" s="391"/>
      <c r="MRA1618" s="391"/>
      <c r="MRC1618" s="391"/>
      <c r="MRE1618" s="391"/>
      <c r="MRG1618" s="391"/>
      <c r="MRI1618" s="391"/>
      <c r="MRK1618" s="391"/>
      <c r="MRM1618" s="391"/>
      <c r="MRO1618" s="391"/>
      <c r="MRQ1618" s="391"/>
      <c r="MRS1618" s="391"/>
      <c r="MRU1618" s="391"/>
      <c r="MRW1618" s="391"/>
      <c r="MRY1618" s="391"/>
      <c r="MSA1618" s="391"/>
      <c r="MSC1618" s="391"/>
      <c r="MSE1618" s="391"/>
      <c r="MSG1618" s="391"/>
      <c r="MSI1618" s="391"/>
      <c r="MSK1618" s="391"/>
      <c r="MSM1618" s="391"/>
      <c r="MSO1618" s="391"/>
      <c r="MSQ1618" s="391"/>
      <c r="MSS1618" s="391"/>
      <c r="MSU1618" s="391"/>
      <c r="MSW1618" s="391"/>
      <c r="MSY1618" s="391"/>
      <c r="MTA1618" s="391"/>
      <c r="MTC1618" s="391"/>
      <c r="MTE1618" s="391"/>
      <c r="MTG1618" s="391"/>
      <c r="MTI1618" s="391"/>
      <c r="MTK1618" s="391"/>
      <c r="MTM1618" s="391"/>
      <c r="MTO1618" s="391"/>
      <c r="MTQ1618" s="391"/>
      <c r="MTS1618" s="391"/>
      <c r="MTU1618" s="391"/>
      <c r="MTW1618" s="391"/>
      <c r="MTY1618" s="391"/>
      <c r="MUA1618" s="391"/>
      <c r="MUC1618" s="391"/>
      <c r="MUE1618" s="391"/>
      <c r="MUG1618" s="391"/>
      <c r="MUI1618" s="391"/>
      <c r="MUK1618" s="391"/>
      <c r="MUM1618" s="391"/>
      <c r="MUO1618" s="391"/>
      <c r="MUQ1618" s="391"/>
      <c r="MUS1618" s="391"/>
      <c r="MUU1618" s="391"/>
      <c r="MUW1618" s="391"/>
      <c r="MUY1618" s="391"/>
      <c r="MVA1618" s="391"/>
      <c r="MVC1618" s="391"/>
      <c r="MVE1618" s="391"/>
      <c r="MVG1618" s="391"/>
      <c r="MVI1618" s="391"/>
      <c r="MVK1618" s="391"/>
      <c r="MVM1618" s="391"/>
      <c r="MVO1618" s="391"/>
      <c r="MVQ1618" s="391"/>
      <c r="MVS1618" s="391"/>
      <c r="MVU1618" s="391"/>
      <c r="MVW1618" s="391"/>
      <c r="MVY1618" s="391"/>
      <c r="MWA1618" s="391"/>
      <c r="MWC1618" s="391"/>
      <c r="MWE1618" s="391"/>
      <c r="MWG1618" s="391"/>
      <c r="MWI1618" s="391"/>
      <c r="MWK1618" s="391"/>
      <c r="MWM1618" s="391"/>
      <c r="MWO1618" s="391"/>
      <c r="MWQ1618" s="391"/>
      <c r="MWS1618" s="391"/>
      <c r="MWU1618" s="391"/>
      <c r="MWW1618" s="391"/>
      <c r="MWY1618" s="391"/>
      <c r="MXA1618" s="391"/>
      <c r="MXC1618" s="391"/>
      <c r="MXE1618" s="391"/>
      <c r="MXG1618" s="391"/>
      <c r="MXI1618" s="391"/>
      <c r="MXK1618" s="391"/>
      <c r="MXM1618" s="391"/>
      <c r="MXO1618" s="391"/>
      <c r="MXQ1618" s="391"/>
      <c r="MXS1618" s="391"/>
      <c r="MXU1618" s="391"/>
      <c r="MXW1618" s="391"/>
      <c r="MXY1618" s="391"/>
      <c r="MYA1618" s="391"/>
      <c r="MYC1618" s="391"/>
      <c r="MYE1618" s="391"/>
      <c r="MYG1618" s="391"/>
      <c r="MYI1618" s="391"/>
      <c r="MYK1618" s="391"/>
      <c r="MYM1618" s="391"/>
      <c r="MYO1618" s="391"/>
      <c r="MYQ1618" s="391"/>
      <c r="MYS1618" s="391"/>
      <c r="MYU1618" s="391"/>
      <c r="MYW1618" s="391"/>
      <c r="MYY1618" s="391"/>
      <c r="MZA1618" s="391"/>
      <c r="MZC1618" s="391"/>
      <c r="MZE1618" s="391"/>
      <c r="MZG1618" s="391"/>
      <c r="MZI1618" s="391"/>
      <c r="MZK1618" s="391"/>
      <c r="MZM1618" s="391"/>
      <c r="MZO1618" s="391"/>
      <c r="MZQ1618" s="391"/>
      <c r="MZS1618" s="391"/>
      <c r="MZU1618" s="391"/>
      <c r="MZW1618" s="391"/>
      <c r="MZY1618" s="391"/>
      <c r="NAA1618" s="391"/>
      <c r="NAC1618" s="391"/>
      <c r="NAE1618" s="391"/>
      <c r="NAG1618" s="391"/>
      <c r="NAI1618" s="391"/>
      <c r="NAK1618" s="391"/>
      <c r="NAM1618" s="391"/>
      <c r="NAO1618" s="391"/>
      <c r="NAQ1618" s="391"/>
      <c r="NAS1618" s="391"/>
      <c r="NAU1618" s="391"/>
      <c r="NAW1618" s="391"/>
      <c r="NAY1618" s="391"/>
      <c r="NBA1618" s="391"/>
      <c r="NBC1618" s="391"/>
      <c r="NBE1618" s="391"/>
      <c r="NBG1618" s="391"/>
      <c r="NBI1618" s="391"/>
      <c r="NBK1618" s="391"/>
      <c r="NBM1618" s="391"/>
      <c r="NBO1618" s="391"/>
      <c r="NBQ1618" s="391"/>
      <c r="NBS1618" s="391"/>
      <c r="NBU1618" s="391"/>
      <c r="NBW1618" s="391"/>
      <c r="NBY1618" s="391"/>
      <c r="NCA1618" s="391"/>
      <c r="NCC1618" s="391"/>
      <c r="NCE1618" s="391"/>
      <c r="NCG1618" s="391"/>
      <c r="NCI1618" s="391"/>
      <c r="NCK1618" s="391"/>
      <c r="NCM1618" s="391"/>
      <c r="NCO1618" s="391"/>
      <c r="NCQ1618" s="391"/>
      <c r="NCS1618" s="391"/>
      <c r="NCU1618" s="391"/>
      <c r="NCW1618" s="391"/>
      <c r="NCY1618" s="391"/>
      <c r="NDA1618" s="391"/>
      <c r="NDC1618" s="391"/>
      <c r="NDE1618" s="391"/>
      <c r="NDG1618" s="391"/>
      <c r="NDI1618" s="391"/>
      <c r="NDK1618" s="391"/>
      <c r="NDM1618" s="391"/>
      <c r="NDO1618" s="391"/>
      <c r="NDQ1618" s="391"/>
      <c r="NDS1618" s="391"/>
      <c r="NDU1618" s="391"/>
      <c r="NDW1618" s="391"/>
      <c r="NDY1618" s="391"/>
      <c r="NEA1618" s="391"/>
      <c r="NEC1618" s="391"/>
      <c r="NEE1618" s="391"/>
      <c r="NEG1618" s="391"/>
      <c r="NEI1618" s="391"/>
      <c r="NEK1618" s="391"/>
      <c r="NEM1618" s="391"/>
      <c r="NEO1618" s="391"/>
      <c r="NEQ1618" s="391"/>
      <c r="NES1618" s="391"/>
      <c r="NEU1618" s="391"/>
      <c r="NEW1618" s="391"/>
      <c r="NEY1618" s="391"/>
      <c r="NFA1618" s="391"/>
      <c r="NFC1618" s="391"/>
      <c r="NFE1618" s="391"/>
      <c r="NFG1618" s="391"/>
      <c r="NFI1618" s="391"/>
      <c r="NFK1618" s="391"/>
      <c r="NFM1618" s="391"/>
      <c r="NFO1618" s="391"/>
      <c r="NFQ1618" s="391"/>
      <c r="NFS1618" s="391"/>
      <c r="NFU1618" s="391"/>
      <c r="NFW1618" s="391"/>
      <c r="NFY1618" s="391"/>
      <c r="NGA1618" s="391"/>
      <c r="NGC1618" s="391"/>
      <c r="NGE1618" s="391"/>
      <c r="NGG1618" s="391"/>
      <c r="NGI1618" s="391"/>
      <c r="NGK1618" s="391"/>
      <c r="NGM1618" s="391"/>
      <c r="NGO1618" s="391"/>
      <c r="NGQ1618" s="391"/>
      <c r="NGS1618" s="391"/>
      <c r="NGU1618" s="391"/>
      <c r="NGW1618" s="391"/>
      <c r="NGY1618" s="391"/>
      <c r="NHA1618" s="391"/>
      <c r="NHC1618" s="391"/>
      <c r="NHE1618" s="391"/>
      <c r="NHG1618" s="391"/>
      <c r="NHI1618" s="391"/>
      <c r="NHK1618" s="391"/>
      <c r="NHM1618" s="391"/>
      <c r="NHO1618" s="391"/>
      <c r="NHQ1618" s="391"/>
      <c r="NHS1618" s="391"/>
      <c r="NHU1618" s="391"/>
      <c r="NHW1618" s="391"/>
      <c r="NHY1618" s="391"/>
      <c r="NIA1618" s="391"/>
      <c r="NIC1618" s="391"/>
      <c r="NIE1618" s="391"/>
      <c r="NIG1618" s="391"/>
      <c r="NII1618" s="391"/>
      <c r="NIK1618" s="391"/>
      <c r="NIM1618" s="391"/>
      <c r="NIO1618" s="391"/>
      <c r="NIQ1618" s="391"/>
      <c r="NIS1618" s="391"/>
      <c r="NIU1618" s="391"/>
      <c r="NIW1618" s="391"/>
      <c r="NIY1618" s="391"/>
      <c r="NJA1618" s="391"/>
      <c r="NJC1618" s="391"/>
      <c r="NJE1618" s="391"/>
      <c r="NJG1618" s="391"/>
      <c r="NJI1618" s="391"/>
      <c r="NJK1618" s="391"/>
      <c r="NJM1618" s="391"/>
      <c r="NJO1618" s="391"/>
      <c r="NJQ1618" s="391"/>
      <c r="NJS1618" s="391"/>
      <c r="NJU1618" s="391"/>
      <c r="NJW1618" s="391"/>
      <c r="NJY1618" s="391"/>
      <c r="NKA1618" s="391"/>
      <c r="NKC1618" s="391"/>
      <c r="NKE1618" s="391"/>
      <c r="NKG1618" s="391"/>
      <c r="NKI1618" s="391"/>
      <c r="NKK1618" s="391"/>
      <c r="NKM1618" s="391"/>
      <c r="NKO1618" s="391"/>
      <c r="NKQ1618" s="391"/>
      <c r="NKS1618" s="391"/>
      <c r="NKU1618" s="391"/>
      <c r="NKW1618" s="391"/>
      <c r="NKY1618" s="391"/>
      <c r="NLA1618" s="391"/>
      <c r="NLC1618" s="391"/>
      <c r="NLE1618" s="391"/>
      <c r="NLG1618" s="391"/>
      <c r="NLI1618" s="391"/>
      <c r="NLK1618" s="391"/>
      <c r="NLM1618" s="391"/>
      <c r="NLO1618" s="391"/>
      <c r="NLQ1618" s="391"/>
      <c r="NLS1618" s="391"/>
      <c r="NLU1618" s="391"/>
      <c r="NLW1618" s="391"/>
      <c r="NLY1618" s="391"/>
      <c r="NMA1618" s="391"/>
      <c r="NMC1618" s="391"/>
      <c r="NME1618" s="391"/>
      <c r="NMG1618" s="391"/>
      <c r="NMI1618" s="391"/>
      <c r="NMK1618" s="391"/>
      <c r="NMM1618" s="391"/>
      <c r="NMO1618" s="391"/>
      <c r="NMQ1618" s="391"/>
      <c r="NMS1618" s="391"/>
      <c r="NMU1618" s="391"/>
      <c r="NMW1618" s="391"/>
      <c r="NMY1618" s="391"/>
      <c r="NNA1618" s="391"/>
      <c r="NNC1618" s="391"/>
      <c r="NNE1618" s="391"/>
      <c r="NNG1618" s="391"/>
      <c r="NNI1618" s="391"/>
      <c r="NNK1618" s="391"/>
      <c r="NNM1618" s="391"/>
      <c r="NNO1618" s="391"/>
      <c r="NNQ1618" s="391"/>
      <c r="NNS1618" s="391"/>
      <c r="NNU1618" s="391"/>
      <c r="NNW1618" s="391"/>
      <c r="NNY1618" s="391"/>
      <c r="NOA1618" s="391"/>
      <c r="NOC1618" s="391"/>
      <c r="NOE1618" s="391"/>
      <c r="NOG1618" s="391"/>
      <c r="NOI1618" s="391"/>
      <c r="NOK1618" s="391"/>
      <c r="NOM1618" s="391"/>
      <c r="NOO1618" s="391"/>
      <c r="NOQ1618" s="391"/>
      <c r="NOS1618" s="391"/>
      <c r="NOU1618" s="391"/>
      <c r="NOW1618" s="391"/>
      <c r="NOY1618" s="391"/>
      <c r="NPA1618" s="391"/>
      <c r="NPC1618" s="391"/>
      <c r="NPE1618" s="391"/>
      <c r="NPG1618" s="391"/>
      <c r="NPI1618" s="391"/>
      <c r="NPK1618" s="391"/>
      <c r="NPM1618" s="391"/>
      <c r="NPO1618" s="391"/>
      <c r="NPQ1618" s="391"/>
      <c r="NPS1618" s="391"/>
      <c r="NPU1618" s="391"/>
      <c r="NPW1618" s="391"/>
      <c r="NPY1618" s="391"/>
      <c r="NQA1618" s="391"/>
      <c r="NQC1618" s="391"/>
      <c r="NQE1618" s="391"/>
      <c r="NQG1618" s="391"/>
      <c r="NQI1618" s="391"/>
      <c r="NQK1618" s="391"/>
      <c r="NQM1618" s="391"/>
      <c r="NQO1618" s="391"/>
      <c r="NQQ1618" s="391"/>
      <c r="NQS1618" s="391"/>
      <c r="NQU1618" s="391"/>
      <c r="NQW1618" s="391"/>
      <c r="NQY1618" s="391"/>
      <c r="NRA1618" s="391"/>
      <c r="NRC1618" s="391"/>
      <c r="NRE1618" s="391"/>
      <c r="NRG1618" s="391"/>
      <c r="NRI1618" s="391"/>
      <c r="NRK1618" s="391"/>
      <c r="NRM1618" s="391"/>
      <c r="NRO1618" s="391"/>
      <c r="NRQ1618" s="391"/>
      <c r="NRS1618" s="391"/>
      <c r="NRU1618" s="391"/>
      <c r="NRW1618" s="391"/>
      <c r="NRY1618" s="391"/>
      <c r="NSA1618" s="391"/>
      <c r="NSC1618" s="391"/>
      <c r="NSE1618" s="391"/>
      <c r="NSG1618" s="391"/>
      <c r="NSI1618" s="391"/>
      <c r="NSK1618" s="391"/>
      <c r="NSM1618" s="391"/>
      <c r="NSO1618" s="391"/>
      <c r="NSQ1618" s="391"/>
      <c r="NSS1618" s="391"/>
      <c r="NSU1618" s="391"/>
      <c r="NSW1618" s="391"/>
      <c r="NSY1618" s="391"/>
      <c r="NTA1618" s="391"/>
      <c r="NTC1618" s="391"/>
      <c r="NTE1618" s="391"/>
      <c r="NTG1618" s="391"/>
      <c r="NTI1618" s="391"/>
      <c r="NTK1618" s="391"/>
      <c r="NTM1618" s="391"/>
      <c r="NTO1618" s="391"/>
      <c r="NTQ1618" s="391"/>
      <c r="NTS1618" s="391"/>
      <c r="NTU1618" s="391"/>
      <c r="NTW1618" s="391"/>
      <c r="NTY1618" s="391"/>
      <c r="NUA1618" s="391"/>
      <c r="NUC1618" s="391"/>
      <c r="NUE1618" s="391"/>
      <c r="NUG1618" s="391"/>
      <c r="NUI1618" s="391"/>
      <c r="NUK1618" s="391"/>
      <c r="NUM1618" s="391"/>
      <c r="NUO1618" s="391"/>
      <c r="NUQ1618" s="391"/>
      <c r="NUS1618" s="391"/>
      <c r="NUU1618" s="391"/>
      <c r="NUW1618" s="391"/>
      <c r="NUY1618" s="391"/>
      <c r="NVA1618" s="391"/>
      <c r="NVC1618" s="391"/>
      <c r="NVE1618" s="391"/>
      <c r="NVG1618" s="391"/>
      <c r="NVI1618" s="391"/>
      <c r="NVK1618" s="391"/>
      <c r="NVM1618" s="391"/>
      <c r="NVO1618" s="391"/>
      <c r="NVQ1618" s="391"/>
      <c r="NVS1618" s="391"/>
      <c r="NVU1618" s="391"/>
      <c r="NVW1618" s="391"/>
      <c r="NVY1618" s="391"/>
      <c r="NWA1618" s="391"/>
      <c r="NWC1618" s="391"/>
      <c r="NWE1618" s="391"/>
      <c r="NWG1618" s="391"/>
      <c r="NWI1618" s="391"/>
      <c r="NWK1618" s="391"/>
      <c r="NWM1618" s="391"/>
      <c r="NWO1618" s="391"/>
      <c r="NWQ1618" s="391"/>
      <c r="NWS1618" s="391"/>
      <c r="NWU1618" s="391"/>
      <c r="NWW1618" s="391"/>
      <c r="NWY1618" s="391"/>
      <c r="NXA1618" s="391"/>
      <c r="NXC1618" s="391"/>
      <c r="NXE1618" s="391"/>
      <c r="NXG1618" s="391"/>
      <c r="NXI1618" s="391"/>
      <c r="NXK1618" s="391"/>
      <c r="NXM1618" s="391"/>
      <c r="NXO1618" s="391"/>
      <c r="NXQ1618" s="391"/>
      <c r="NXS1618" s="391"/>
      <c r="NXU1618" s="391"/>
      <c r="NXW1618" s="391"/>
      <c r="NXY1618" s="391"/>
      <c r="NYA1618" s="391"/>
      <c r="NYC1618" s="391"/>
      <c r="NYE1618" s="391"/>
      <c r="NYG1618" s="391"/>
      <c r="NYI1618" s="391"/>
      <c r="NYK1618" s="391"/>
      <c r="NYM1618" s="391"/>
      <c r="NYO1618" s="391"/>
      <c r="NYQ1618" s="391"/>
      <c r="NYS1618" s="391"/>
      <c r="NYU1618" s="391"/>
      <c r="NYW1618" s="391"/>
      <c r="NYY1618" s="391"/>
      <c r="NZA1618" s="391"/>
      <c r="NZC1618" s="391"/>
      <c r="NZE1618" s="391"/>
      <c r="NZG1618" s="391"/>
      <c r="NZI1618" s="391"/>
      <c r="NZK1618" s="391"/>
      <c r="NZM1618" s="391"/>
      <c r="NZO1618" s="391"/>
      <c r="NZQ1618" s="391"/>
      <c r="NZS1618" s="391"/>
      <c r="NZU1618" s="391"/>
      <c r="NZW1618" s="391"/>
      <c r="NZY1618" s="391"/>
      <c r="OAA1618" s="391"/>
      <c r="OAC1618" s="391"/>
      <c r="OAE1618" s="391"/>
      <c r="OAG1618" s="391"/>
      <c r="OAI1618" s="391"/>
      <c r="OAK1618" s="391"/>
      <c r="OAM1618" s="391"/>
      <c r="OAO1618" s="391"/>
      <c r="OAQ1618" s="391"/>
      <c r="OAS1618" s="391"/>
      <c r="OAU1618" s="391"/>
      <c r="OAW1618" s="391"/>
      <c r="OAY1618" s="391"/>
      <c r="OBA1618" s="391"/>
      <c r="OBC1618" s="391"/>
      <c r="OBE1618" s="391"/>
      <c r="OBG1618" s="391"/>
      <c r="OBI1618" s="391"/>
      <c r="OBK1618" s="391"/>
      <c r="OBM1618" s="391"/>
      <c r="OBO1618" s="391"/>
      <c r="OBQ1618" s="391"/>
      <c r="OBS1618" s="391"/>
      <c r="OBU1618" s="391"/>
      <c r="OBW1618" s="391"/>
      <c r="OBY1618" s="391"/>
      <c r="OCA1618" s="391"/>
      <c r="OCC1618" s="391"/>
      <c r="OCE1618" s="391"/>
      <c r="OCG1618" s="391"/>
      <c r="OCI1618" s="391"/>
      <c r="OCK1618" s="391"/>
      <c r="OCM1618" s="391"/>
      <c r="OCO1618" s="391"/>
      <c r="OCQ1618" s="391"/>
      <c r="OCS1618" s="391"/>
      <c r="OCU1618" s="391"/>
      <c r="OCW1618" s="391"/>
      <c r="OCY1618" s="391"/>
      <c r="ODA1618" s="391"/>
      <c r="ODC1618" s="391"/>
      <c r="ODE1618" s="391"/>
      <c r="ODG1618" s="391"/>
      <c r="ODI1618" s="391"/>
      <c r="ODK1618" s="391"/>
      <c r="ODM1618" s="391"/>
      <c r="ODO1618" s="391"/>
      <c r="ODQ1618" s="391"/>
      <c r="ODS1618" s="391"/>
      <c r="ODU1618" s="391"/>
      <c r="ODW1618" s="391"/>
      <c r="ODY1618" s="391"/>
      <c r="OEA1618" s="391"/>
      <c r="OEC1618" s="391"/>
      <c r="OEE1618" s="391"/>
      <c r="OEG1618" s="391"/>
      <c r="OEI1618" s="391"/>
      <c r="OEK1618" s="391"/>
      <c r="OEM1618" s="391"/>
      <c r="OEO1618" s="391"/>
      <c r="OEQ1618" s="391"/>
      <c r="OES1618" s="391"/>
      <c r="OEU1618" s="391"/>
      <c r="OEW1618" s="391"/>
      <c r="OEY1618" s="391"/>
      <c r="OFA1618" s="391"/>
      <c r="OFC1618" s="391"/>
      <c r="OFE1618" s="391"/>
      <c r="OFG1618" s="391"/>
      <c r="OFI1618" s="391"/>
      <c r="OFK1618" s="391"/>
      <c r="OFM1618" s="391"/>
      <c r="OFO1618" s="391"/>
      <c r="OFQ1618" s="391"/>
      <c r="OFS1618" s="391"/>
      <c r="OFU1618" s="391"/>
      <c r="OFW1618" s="391"/>
      <c r="OFY1618" s="391"/>
      <c r="OGA1618" s="391"/>
      <c r="OGC1618" s="391"/>
      <c r="OGE1618" s="391"/>
      <c r="OGG1618" s="391"/>
      <c r="OGI1618" s="391"/>
      <c r="OGK1618" s="391"/>
      <c r="OGM1618" s="391"/>
      <c r="OGO1618" s="391"/>
      <c r="OGQ1618" s="391"/>
      <c r="OGS1618" s="391"/>
      <c r="OGU1618" s="391"/>
      <c r="OGW1618" s="391"/>
      <c r="OGY1618" s="391"/>
      <c r="OHA1618" s="391"/>
      <c r="OHC1618" s="391"/>
      <c r="OHE1618" s="391"/>
      <c r="OHG1618" s="391"/>
      <c r="OHI1618" s="391"/>
      <c r="OHK1618" s="391"/>
      <c r="OHM1618" s="391"/>
      <c r="OHO1618" s="391"/>
      <c r="OHQ1618" s="391"/>
      <c r="OHS1618" s="391"/>
      <c r="OHU1618" s="391"/>
      <c r="OHW1618" s="391"/>
      <c r="OHY1618" s="391"/>
      <c r="OIA1618" s="391"/>
      <c r="OIC1618" s="391"/>
      <c r="OIE1618" s="391"/>
      <c r="OIG1618" s="391"/>
      <c r="OII1618" s="391"/>
      <c r="OIK1618" s="391"/>
      <c r="OIM1618" s="391"/>
      <c r="OIO1618" s="391"/>
      <c r="OIQ1618" s="391"/>
      <c r="OIS1618" s="391"/>
      <c r="OIU1618" s="391"/>
      <c r="OIW1618" s="391"/>
      <c r="OIY1618" s="391"/>
      <c r="OJA1618" s="391"/>
      <c r="OJC1618" s="391"/>
      <c r="OJE1618" s="391"/>
      <c r="OJG1618" s="391"/>
      <c r="OJI1618" s="391"/>
      <c r="OJK1618" s="391"/>
      <c r="OJM1618" s="391"/>
      <c r="OJO1618" s="391"/>
      <c r="OJQ1618" s="391"/>
      <c r="OJS1618" s="391"/>
      <c r="OJU1618" s="391"/>
      <c r="OJW1618" s="391"/>
      <c r="OJY1618" s="391"/>
      <c r="OKA1618" s="391"/>
      <c r="OKC1618" s="391"/>
      <c r="OKE1618" s="391"/>
      <c r="OKG1618" s="391"/>
      <c r="OKI1618" s="391"/>
      <c r="OKK1618" s="391"/>
      <c r="OKM1618" s="391"/>
      <c r="OKO1618" s="391"/>
      <c r="OKQ1618" s="391"/>
      <c r="OKS1618" s="391"/>
      <c r="OKU1618" s="391"/>
      <c r="OKW1618" s="391"/>
      <c r="OKY1618" s="391"/>
      <c r="OLA1618" s="391"/>
      <c r="OLC1618" s="391"/>
      <c r="OLE1618" s="391"/>
      <c r="OLG1618" s="391"/>
      <c r="OLI1618" s="391"/>
      <c r="OLK1618" s="391"/>
      <c r="OLM1618" s="391"/>
      <c r="OLO1618" s="391"/>
      <c r="OLQ1618" s="391"/>
      <c r="OLS1618" s="391"/>
      <c r="OLU1618" s="391"/>
      <c r="OLW1618" s="391"/>
      <c r="OLY1618" s="391"/>
      <c r="OMA1618" s="391"/>
      <c r="OMC1618" s="391"/>
      <c r="OME1618" s="391"/>
      <c r="OMG1618" s="391"/>
      <c r="OMI1618" s="391"/>
      <c r="OMK1618" s="391"/>
      <c r="OMM1618" s="391"/>
      <c r="OMO1618" s="391"/>
      <c r="OMQ1618" s="391"/>
      <c r="OMS1618" s="391"/>
      <c r="OMU1618" s="391"/>
      <c r="OMW1618" s="391"/>
      <c r="OMY1618" s="391"/>
      <c r="ONA1618" s="391"/>
      <c r="ONC1618" s="391"/>
      <c r="ONE1618" s="391"/>
      <c r="ONG1618" s="391"/>
      <c r="ONI1618" s="391"/>
      <c r="ONK1618" s="391"/>
      <c r="ONM1618" s="391"/>
      <c r="ONO1618" s="391"/>
      <c r="ONQ1618" s="391"/>
      <c r="ONS1618" s="391"/>
      <c r="ONU1618" s="391"/>
      <c r="ONW1618" s="391"/>
      <c r="ONY1618" s="391"/>
      <c r="OOA1618" s="391"/>
      <c r="OOC1618" s="391"/>
      <c r="OOE1618" s="391"/>
      <c r="OOG1618" s="391"/>
      <c r="OOI1618" s="391"/>
      <c r="OOK1618" s="391"/>
      <c r="OOM1618" s="391"/>
      <c r="OOO1618" s="391"/>
      <c r="OOQ1618" s="391"/>
      <c r="OOS1618" s="391"/>
      <c r="OOU1618" s="391"/>
      <c r="OOW1618" s="391"/>
      <c r="OOY1618" s="391"/>
      <c r="OPA1618" s="391"/>
      <c r="OPC1618" s="391"/>
      <c r="OPE1618" s="391"/>
      <c r="OPG1618" s="391"/>
      <c r="OPI1618" s="391"/>
      <c r="OPK1618" s="391"/>
      <c r="OPM1618" s="391"/>
      <c r="OPO1618" s="391"/>
      <c r="OPQ1618" s="391"/>
      <c r="OPS1618" s="391"/>
      <c r="OPU1618" s="391"/>
      <c r="OPW1618" s="391"/>
      <c r="OPY1618" s="391"/>
      <c r="OQA1618" s="391"/>
      <c r="OQC1618" s="391"/>
      <c r="OQE1618" s="391"/>
      <c r="OQG1618" s="391"/>
      <c r="OQI1618" s="391"/>
      <c r="OQK1618" s="391"/>
      <c r="OQM1618" s="391"/>
      <c r="OQO1618" s="391"/>
      <c r="OQQ1618" s="391"/>
      <c r="OQS1618" s="391"/>
      <c r="OQU1618" s="391"/>
      <c r="OQW1618" s="391"/>
      <c r="OQY1618" s="391"/>
      <c r="ORA1618" s="391"/>
      <c r="ORC1618" s="391"/>
      <c r="ORE1618" s="391"/>
      <c r="ORG1618" s="391"/>
      <c r="ORI1618" s="391"/>
      <c r="ORK1618" s="391"/>
      <c r="ORM1618" s="391"/>
      <c r="ORO1618" s="391"/>
      <c r="ORQ1618" s="391"/>
      <c r="ORS1618" s="391"/>
      <c r="ORU1618" s="391"/>
      <c r="ORW1618" s="391"/>
      <c r="ORY1618" s="391"/>
      <c r="OSA1618" s="391"/>
      <c r="OSC1618" s="391"/>
      <c r="OSE1618" s="391"/>
      <c r="OSG1618" s="391"/>
      <c r="OSI1618" s="391"/>
      <c r="OSK1618" s="391"/>
      <c r="OSM1618" s="391"/>
      <c r="OSO1618" s="391"/>
      <c r="OSQ1618" s="391"/>
      <c r="OSS1618" s="391"/>
      <c r="OSU1618" s="391"/>
      <c r="OSW1618" s="391"/>
      <c r="OSY1618" s="391"/>
      <c r="OTA1618" s="391"/>
      <c r="OTC1618" s="391"/>
      <c r="OTE1618" s="391"/>
      <c r="OTG1618" s="391"/>
      <c r="OTI1618" s="391"/>
      <c r="OTK1618" s="391"/>
      <c r="OTM1618" s="391"/>
      <c r="OTO1618" s="391"/>
      <c r="OTQ1618" s="391"/>
      <c r="OTS1618" s="391"/>
      <c r="OTU1618" s="391"/>
      <c r="OTW1618" s="391"/>
      <c r="OTY1618" s="391"/>
      <c r="OUA1618" s="391"/>
      <c r="OUC1618" s="391"/>
      <c r="OUE1618" s="391"/>
      <c r="OUG1618" s="391"/>
      <c r="OUI1618" s="391"/>
      <c r="OUK1618" s="391"/>
      <c r="OUM1618" s="391"/>
      <c r="OUO1618" s="391"/>
      <c r="OUQ1618" s="391"/>
      <c r="OUS1618" s="391"/>
      <c r="OUU1618" s="391"/>
      <c r="OUW1618" s="391"/>
      <c r="OUY1618" s="391"/>
      <c r="OVA1618" s="391"/>
      <c r="OVC1618" s="391"/>
      <c r="OVE1618" s="391"/>
      <c r="OVG1618" s="391"/>
      <c r="OVI1618" s="391"/>
      <c r="OVK1618" s="391"/>
      <c r="OVM1618" s="391"/>
      <c r="OVO1618" s="391"/>
      <c r="OVQ1618" s="391"/>
      <c r="OVS1618" s="391"/>
      <c r="OVU1618" s="391"/>
      <c r="OVW1618" s="391"/>
      <c r="OVY1618" s="391"/>
      <c r="OWA1618" s="391"/>
      <c r="OWC1618" s="391"/>
      <c r="OWE1618" s="391"/>
      <c r="OWG1618" s="391"/>
      <c r="OWI1618" s="391"/>
      <c r="OWK1618" s="391"/>
      <c r="OWM1618" s="391"/>
      <c r="OWO1618" s="391"/>
      <c r="OWQ1618" s="391"/>
      <c r="OWS1618" s="391"/>
      <c r="OWU1618" s="391"/>
      <c r="OWW1618" s="391"/>
      <c r="OWY1618" s="391"/>
      <c r="OXA1618" s="391"/>
      <c r="OXC1618" s="391"/>
      <c r="OXE1618" s="391"/>
      <c r="OXG1618" s="391"/>
      <c r="OXI1618" s="391"/>
      <c r="OXK1618" s="391"/>
      <c r="OXM1618" s="391"/>
      <c r="OXO1618" s="391"/>
      <c r="OXQ1618" s="391"/>
      <c r="OXS1618" s="391"/>
      <c r="OXU1618" s="391"/>
      <c r="OXW1618" s="391"/>
      <c r="OXY1618" s="391"/>
      <c r="OYA1618" s="391"/>
      <c r="OYC1618" s="391"/>
      <c r="OYE1618" s="391"/>
      <c r="OYG1618" s="391"/>
      <c r="OYI1618" s="391"/>
      <c r="OYK1618" s="391"/>
      <c r="OYM1618" s="391"/>
      <c r="OYO1618" s="391"/>
      <c r="OYQ1618" s="391"/>
      <c r="OYS1618" s="391"/>
      <c r="OYU1618" s="391"/>
      <c r="OYW1618" s="391"/>
      <c r="OYY1618" s="391"/>
      <c r="OZA1618" s="391"/>
      <c r="OZC1618" s="391"/>
      <c r="OZE1618" s="391"/>
      <c r="OZG1618" s="391"/>
      <c r="OZI1618" s="391"/>
      <c r="OZK1618" s="391"/>
      <c r="OZM1618" s="391"/>
      <c r="OZO1618" s="391"/>
      <c r="OZQ1618" s="391"/>
      <c r="OZS1618" s="391"/>
      <c r="OZU1618" s="391"/>
      <c r="OZW1618" s="391"/>
      <c r="OZY1618" s="391"/>
      <c r="PAA1618" s="391"/>
      <c r="PAC1618" s="391"/>
      <c r="PAE1618" s="391"/>
      <c r="PAG1618" s="391"/>
      <c r="PAI1618" s="391"/>
      <c r="PAK1618" s="391"/>
      <c r="PAM1618" s="391"/>
      <c r="PAO1618" s="391"/>
      <c r="PAQ1618" s="391"/>
      <c r="PAS1618" s="391"/>
      <c r="PAU1618" s="391"/>
      <c r="PAW1618" s="391"/>
      <c r="PAY1618" s="391"/>
      <c r="PBA1618" s="391"/>
      <c r="PBC1618" s="391"/>
      <c r="PBE1618" s="391"/>
      <c r="PBG1618" s="391"/>
      <c r="PBI1618" s="391"/>
      <c r="PBK1618" s="391"/>
      <c r="PBM1618" s="391"/>
      <c r="PBO1618" s="391"/>
      <c r="PBQ1618" s="391"/>
      <c r="PBS1618" s="391"/>
      <c r="PBU1618" s="391"/>
      <c r="PBW1618" s="391"/>
      <c r="PBY1618" s="391"/>
      <c r="PCA1618" s="391"/>
      <c r="PCC1618" s="391"/>
      <c r="PCE1618" s="391"/>
      <c r="PCG1618" s="391"/>
      <c r="PCI1618" s="391"/>
      <c r="PCK1618" s="391"/>
      <c r="PCM1618" s="391"/>
      <c r="PCO1618" s="391"/>
      <c r="PCQ1618" s="391"/>
      <c r="PCS1618" s="391"/>
      <c r="PCU1618" s="391"/>
      <c r="PCW1618" s="391"/>
      <c r="PCY1618" s="391"/>
      <c r="PDA1618" s="391"/>
      <c r="PDC1618" s="391"/>
      <c r="PDE1618" s="391"/>
      <c r="PDG1618" s="391"/>
      <c r="PDI1618" s="391"/>
      <c r="PDK1618" s="391"/>
      <c r="PDM1618" s="391"/>
      <c r="PDO1618" s="391"/>
      <c r="PDQ1618" s="391"/>
      <c r="PDS1618" s="391"/>
      <c r="PDU1618" s="391"/>
      <c r="PDW1618" s="391"/>
      <c r="PDY1618" s="391"/>
      <c r="PEA1618" s="391"/>
      <c r="PEC1618" s="391"/>
      <c r="PEE1618" s="391"/>
      <c r="PEG1618" s="391"/>
      <c r="PEI1618" s="391"/>
      <c r="PEK1618" s="391"/>
      <c r="PEM1618" s="391"/>
      <c r="PEO1618" s="391"/>
      <c r="PEQ1618" s="391"/>
      <c r="PES1618" s="391"/>
      <c r="PEU1618" s="391"/>
      <c r="PEW1618" s="391"/>
      <c r="PEY1618" s="391"/>
      <c r="PFA1618" s="391"/>
      <c r="PFC1618" s="391"/>
      <c r="PFE1618" s="391"/>
      <c r="PFG1618" s="391"/>
      <c r="PFI1618" s="391"/>
      <c r="PFK1618" s="391"/>
      <c r="PFM1618" s="391"/>
      <c r="PFO1618" s="391"/>
      <c r="PFQ1618" s="391"/>
      <c r="PFS1618" s="391"/>
      <c r="PFU1618" s="391"/>
      <c r="PFW1618" s="391"/>
      <c r="PFY1618" s="391"/>
      <c r="PGA1618" s="391"/>
      <c r="PGC1618" s="391"/>
      <c r="PGE1618" s="391"/>
      <c r="PGG1618" s="391"/>
      <c r="PGI1618" s="391"/>
      <c r="PGK1618" s="391"/>
      <c r="PGM1618" s="391"/>
      <c r="PGO1618" s="391"/>
      <c r="PGQ1618" s="391"/>
      <c r="PGS1618" s="391"/>
      <c r="PGU1618" s="391"/>
      <c r="PGW1618" s="391"/>
      <c r="PGY1618" s="391"/>
      <c r="PHA1618" s="391"/>
      <c r="PHC1618" s="391"/>
      <c r="PHE1618" s="391"/>
      <c r="PHG1618" s="391"/>
      <c r="PHI1618" s="391"/>
      <c r="PHK1618" s="391"/>
      <c r="PHM1618" s="391"/>
      <c r="PHO1618" s="391"/>
      <c r="PHQ1618" s="391"/>
      <c r="PHS1618" s="391"/>
      <c r="PHU1618" s="391"/>
      <c r="PHW1618" s="391"/>
      <c r="PHY1618" s="391"/>
      <c r="PIA1618" s="391"/>
      <c r="PIC1618" s="391"/>
      <c r="PIE1618" s="391"/>
      <c r="PIG1618" s="391"/>
      <c r="PII1618" s="391"/>
      <c r="PIK1618" s="391"/>
      <c r="PIM1618" s="391"/>
      <c r="PIO1618" s="391"/>
      <c r="PIQ1618" s="391"/>
      <c r="PIS1618" s="391"/>
      <c r="PIU1618" s="391"/>
      <c r="PIW1618" s="391"/>
      <c r="PIY1618" s="391"/>
      <c r="PJA1618" s="391"/>
      <c r="PJC1618" s="391"/>
      <c r="PJE1618" s="391"/>
      <c r="PJG1618" s="391"/>
      <c r="PJI1618" s="391"/>
      <c r="PJK1618" s="391"/>
      <c r="PJM1618" s="391"/>
      <c r="PJO1618" s="391"/>
      <c r="PJQ1618" s="391"/>
      <c r="PJS1618" s="391"/>
      <c r="PJU1618" s="391"/>
      <c r="PJW1618" s="391"/>
      <c r="PJY1618" s="391"/>
      <c r="PKA1618" s="391"/>
      <c r="PKC1618" s="391"/>
      <c r="PKE1618" s="391"/>
      <c r="PKG1618" s="391"/>
      <c r="PKI1618" s="391"/>
      <c r="PKK1618" s="391"/>
      <c r="PKM1618" s="391"/>
      <c r="PKO1618" s="391"/>
      <c r="PKQ1618" s="391"/>
      <c r="PKS1618" s="391"/>
      <c r="PKU1618" s="391"/>
      <c r="PKW1618" s="391"/>
      <c r="PKY1618" s="391"/>
      <c r="PLA1618" s="391"/>
      <c r="PLC1618" s="391"/>
      <c r="PLE1618" s="391"/>
      <c r="PLG1618" s="391"/>
      <c r="PLI1618" s="391"/>
      <c r="PLK1618" s="391"/>
      <c r="PLM1618" s="391"/>
      <c r="PLO1618" s="391"/>
      <c r="PLQ1618" s="391"/>
      <c r="PLS1618" s="391"/>
      <c r="PLU1618" s="391"/>
      <c r="PLW1618" s="391"/>
      <c r="PLY1618" s="391"/>
      <c r="PMA1618" s="391"/>
      <c r="PMC1618" s="391"/>
      <c r="PME1618" s="391"/>
      <c r="PMG1618" s="391"/>
      <c r="PMI1618" s="391"/>
      <c r="PMK1618" s="391"/>
      <c r="PMM1618" s="391"/>
      <c r="PMO1618" s="391"/>
      <c r="PMQ1618" s="391"/>
      <c r="PMS1618" s="391"/>
      <c r="PMU1618" s="391"/>
      <c r="PMW1618" s="391"/>
      <c r="PMY1618" s="391"/>
      <c r="PNA1618" s="391"/>
      <c r="PNC1618" s="391"/>
      <c r="PNE1618" s="391"/>
      <c r="PNG1618" s="391"/>
      <c r="PNI1618" s="391"/>
      <c r="PNK1618" s="391"/>
      <c r="PNM1618" s="391"/>
      <c r="PNO1618" s="391"/>
      <c r="PNQ1618" s="391"/>
      <c r="PNS1618" s="391"/>
      <c r="PNU1618" s="391"/>
      <c r="PNW1618" s="391"/>
      <c r="PNY1618" s="391"/>
      <c r="POA1618" s="391"/>
      <c r="POC1618" s="391"/>
      <c r="POE1618" s="391"/>
      <c r="POG1618" s="391"/>
      <c r="POI1618" s="391"/>
      <c r="POK1618" s="391"/>
      <c r="POM1618" s="391"/>
      <c r="POO1618" s="391"/>
      <c r="POQ1618" s="391"/>
      <c r="POS1618" s="391"/>
      <c r="POU1618" s="391"/>
      <c r="POW1618" s="391"/>
      <c r="POY1618" s="391"/>
      <c r="PPA1618" s="391"/>
      <c r="PPC1618" s="391"/>
      <c r="PPE1618" s="391"/>
      <c r="PPG1618" s="391"/>
      <c r="PPI1618" s="391"/>
      <c r="PPK1618" s="391"/>
      <c r="PPM1618" s="391"/>
      <c r="PPO1618" s="391"/>
      <c r="PPQ1618" s="391"/>
      <c r="PPS1618" s="391"/>
      <c r="PPU1618" s="391"/>
      <c r="PPW1618" s="391"/>
      <c r="PPY1618" s="391"/>
      <c r="PQA1618" s="391"/>
      <c r="PQC1618" s="391"/>
      <c r="PQE1618" s="391"/>
      <c r="PQG1618" s="391"/>
      <c r="PQI1618" s="391"/>
      <c r="PQK1618" s="391"/>
      <c r="PQM1618" s="391"/>
      <c r="PQO1618" s="391"/>
      <c r="PQQ1618" s="391"/>
      <c r="PQS1618" s="391"/>
      <c r="PQU1618" s="391"/>
      <c r="PQW1618" s="391"/>
      <c r="PQY1618" s="391"/>
      <c r="PRA1618" s="391"/>
      <c r="PRC1618" s="391"/>
      <c r="PRE1618" s="391"/>
      <c r="PRG1618" s="391"/>
      <c r="PRI1618" s="391"/>
      <c r="PRK1618" s="391"/>
      <c r="PRM1618" s="391"/>
      <c r="PRO1618" s="391"/>
      <c r="PRQ1618" s="391"/>
      <c r="PRS1618" s="391"/>
      <c r="PRU1618" s="391"/>
      <c r="PRW1618" s="391"/>
      <c r="PRY1618" s="391"/>
      <c r="PSA1618" s="391"/>
      <c r="PSC1618" s="391"/>
      <c r="PSE1618" s="391"/>
      <c r="PSG1618" s="391"/>
      <c r="PSI1618" s="391"/>
      <c r="PSK1618" s="391"/>
      <c r="PSM1618" s="391"/>
      <c r="PSO1618" s="391"/>
      <c r="PSQ1618" s="391"/>
      <c r="PSS1618" s="391"/>
      <c r="PSU1618" s="391"/>
      <c r="PSW1618" s="391"/>
      <c r="PSY1618" s="391"/>
      <c r="PTA1618" s="391"/>
      <c r="PTC1618" s="391"/>
      <c r="PTE1618" s="391"/>
      <c r="PTG1618" s="391"/>
      <c r="PTI1618" s="391"/>
      <c r="PTK1618" s="391"/>
      <c r="PTM1618" s="391"/>
      <c r="PTO1618" s="391"/>
      <c r="PTQ1618" s="391"/>
      <c r="PTS1618" s="391"/>
      <c r="PTU1618" s="391"/>
      <c r="PTW1618" s="391"/>
      <c r="PTY1618" s="391"/>
      <c r="PUA1618" s="391"/>
      <c r="PUC1618" s="391"/>
      <c r="PUE1618" s="391"/>
      <c r="PUG1618" s="391"/>
      <c r="PUI1618" s="391"/>
      <c r="PUK1618" s="391"/>
      <c r="PUM1618" s="391"/>
      <c r="PUO1618" s="391"/>
      <c r="PUQ1618" s="391"/>
      <c r="PUS1618" s="391"/>
      <c r="PUU1618" s="391"/>
      <c r="PUW1618" s="391"/>
      <c r="PUY1618" s="391"/>
      <c r="PVA1618" s="391"/>
      <c r="PVC1618" s="391"/>
      <c r="PVE1618" s="391"/>
      <c r="PVG1618" s="391"/>
      <c r="PVI1618" s="391"/>
      <c r="PVK1618" s="391"/>
      <c r="PVM1618" s="391"/>
      <c r="PVO1618" s="391"/>
      <c r="PVQ1618" s="391"/>
      <c r="PVS1618" s="391"/>
      <c r="PVU1618" s="391"/>
      <c r="PVW1618" s="391"/>
      <c r="PVY1618" s="391"/>
      <c r="PWA1618" s="391"/>
      <c r="PWC1618" s="391"/>
      <c r="PWE1618" s="391"/>
      <c r="PWG1618" s="391"/>
      <c r="PWI1618" s="391"/>
      <c r="PWK1618" s="391"/>
      <c r="PWM1618" s="391"/>
      <c r="PWO1618" s="391"/>
      <c r="PWQ1618" s="391"/>
      <c r="PWS1618" s="391"/>
      <c r="PWU1618" s="391"/>
      <c r="PWW1618" s="391"/>
      <c r="PWY1618" s="391"/>
      <c r="PXA1618" s="391"/>
      <c r="PXC1618" s="391"/>
      <c r="PXE1618" s="391"/>
      <c r="PXG1618" s="391"/>
      <c r="PXI1618" s="391"/>
      <c r="PXK1618" s="391"/>
      <c r="PXM1618" s="391"/>
      <c r="PXO1618" s="391"/>
      <c r="PXQ1618" s="391"/>
      <c r="PXS1618" s="391"/>
      <c r="PXU1618" s="391"/>
      <c r="PXW1618" s="391"/>
      <c r="PXY1618" s="391"/>
      <c r="PYA1618" s="391"/>
      <c r="PYC1618" s="391"/>
      <c r="PYE1618" s="391"/>
      <c r="PYG1618" s="391"/>
      <c r="PYI1618" s="391"/>
      <c r="PYK1618" s="391"/>
      <c r="PYM1618" s="391"/>
      <c r="PYO1618" s="391"/>
      <c r="PYQ1618" s="391"/>
      <c r="PYS1618" s="391"/>
      <c r="PYU1618" s="391"/>
      <c r="PYW1618" s="391"/>
      <c r="PYY1618" s="391"/>
      <c r="PZA1618" s="391"/>
      <c r="PZC1618" s="391"/>
      <c r="PZE1618" s="391"/>
      <c r="PZG1618" s="391"/>
      <c r="PZI1618" s="391"/>
      <c r="PZK1618" s="391"/>
      <c r="PZM1618" s="391"/>
      <c r="PZO1618" s="391"/>
      <c r="PZQ1618" s="391"/>
      <c r="PZS1618" s="391"/>
      <c r="PZU1618" s="391"/>
      <c r="PZW1618" s="391"/>
      <c r="PZY1618" s="391"/>
      <c r="QAA1618" s="391"/>
      <c r="QAC1618" s="391"/>
      <c r="QAE1618" s="391"/>
      <c r="QAG1618" s="391"/>
      <c r="QAI1618" s="391"/>
      <c r="QAK1618" s="391"/>
      <c r="QAM1618" s="391"/>
      <c r="QAO1618" s="391"/>
      <c r="QAQ1618" s="391"/>
      <c r="QAS1618" s="391"/>
      <c r="QAU1618" s="391"/>
      <c r="QAW1618" s="391"/>
      <c r="QAY1618" s="391"/>
      <c r="QBA1618" s="391"/>
      <c r="QBC1618" s="391"/>
      <c r="QBE1618" s="391"/>
      <c r="QBG1618" s="391"/>
      <c r="QBI1618" s="391"/>
      <c r="QBK1618" s="391"/>
      <c r="QBM1618" s="391"/>
      <c r="QBO1618" s="391"/>
      <c r="QBQ1618" s="391"/>
      <c r="QBS1618" s="391"/>
      <c r="QBU1618" s="391"/>
      <c r="QBW1618" s="391"/>
      <c r="QBY1618" s="391"/>
      <c r="QCA1618" s="391"/>
      <c r="QCC1618" s="391"/>
      <c r="QCE1618" s="391"/>
      <c r="QCG1618" s="391"/>
      <c r="QCI1618" s="391"/>
      <c r="QCK1618" s="391"/>
      <c r="QCM1618" s="391"/>
      <c r="QCO1618" s="391"/>
      <c r="QCQ1618" s="391"/>
      <c r="QCS1618" s="391"/>
      <c r="QCU1618" s="391"/>
      <c r="QCW1618" s="391"/>
      <c r="QCY1618" s="391"/>
      <c r="QDA1618" s="391"/>
      <c r="QDC1618" s="391"/>
      <c r="QDE1618" s="391"/>
      <c r="QDG1618" s="391"/>
      <c r="QDI1618" s="391"/>
      <c r="QDK1618" s="391"/>
      <c r="QDM1618" s="391"/>
      <c r="QDO1618" s="391"/>
      <c r="QDQ1618" s="391"/>
      <c r="QDS1618" s="391"/>
      <c r="QDU1618" s="391"/>
      <c r="QDW1618" s="391"/>
      <c r="QDY1618" s="391"/>
      <c r="QEA1618" s="391"/>
      <c r="QEC1618" s="391"/>
      <c r="QEE1618" s="391"/>
      <c r="QEG1618" s="391"/>
      <c r="QEI1618" s="391"/>
      <c r="QEK1618" s="391"/>
      <c r="QEM1618" s="391"/>
      <c r="QEO1618" s="391"/>
      <c r="QEQ1618" s="391"/>
      <c r="QES1618" s="391"/>
      <c r="QEU1618" s="391"/>
      <c r="QEW1618" s="391"/>
      <c r="QEY1618" s="391"/>
      <c r="QFA1618" s="391"/>
      <c r="QFC1618" s="391"/>
      <c r="QFE1618" s="391"/>
      <c r="QFG1618" s="391"/>
      <c r="QFI1618" s="391"/>
      <c r="QFK1618" s="391"/>
      <c r="QFM1618" s="391"/>
      <c r="QFO1618" s="391"/>
      <c r="QFQ1618" s="391"/>
      <c r="QFS1618" s="391"/>
      <c r="QFU1618" s="391"/>
      <c r="QFW1618" s="391"/>
      <c r="QFY1618" s="391"/>
      <c r="QGA1618" s="391"/>
      <c r="QGC1618" s="391"/>
      <c r="QGE1618" s="391"/>
      <c r="QGG1618" s="391"/>
      <c r="QGI1618" s="391"/>
      <c r="QGK1618" s="391"/>
      <c r="QGM1618" s="391"/>
      <c r="QGO1618" s="391"/>
      <c r="QGQ1618" s="391"/>
      <c r="QGS1618" s="391"/>
      <c r="QGU1618" s="391"/>
      <c r="QGW1618" s="391"/>
      <c r="QGY1618" s="391"/>
      <c r="QHA1618" s="391"/>
      <c r="QHC1618" s="391"/>
      <c r="QHE1618" s="391"/>
      <c r="QHG1618" s="391"/>
      <c r="QHI1618" s="391"/>
      <c r="QHK1618" s="391"/>
      <c r="QHM1618" s="391"/>
      <c r="QHO1618" s="391"/>
      <c r="QHQ1618" s="391"/>
      <c r="QHS1618" s="391"/>
      <c r="QHU1618" s="391"/>
      <c r="QHW1618" s="391"/>
      <c r="QHY1618" s="391"/>
      <c r="QIA1618" s="391"/>
      <c r="QIC1618" s="391"/>
      <c r="QIE1618" s="391"/>
      <c r="QIG1618" s="391"/>
      <c r="QII1618" s="391"/>
      <c r="QIK1618" s="391"/>
      <c r="QIM1618" s="391"/>
      <c r="QIO1618" s="391"/>
      <c r="QIQ1618" s="391"/>
      <c r="QIS1618" s="391"/>
      <c r="QIU1618" s="391"/>
      <c r="QIW1618" s="391"/>
      <c r="QIY1618" s="391"/>
      <c r="QJA1618" s="391"/>
      <c r="QJC1618" s="391"/>
      <c r="QJE1618" s="391"/>
      <c r="QJG1618" s="391"/>
      <c r="QJI1618" s="391"/>
      <c r="QJK1618" s="391"/>
      <c r="QJM1618" s="391"/>
      <c r="QJO1618" s="391"/>
      <c r="QJQ1618" s="391"/>
      <c r="QJS1618" s="391"/>
      <c r="QJU1618" s="391"/>
      <c r="QJW1618" s="391"/>
      <c r="QJY1618" s="391"/>
      <c r="QKA1618" s="391"/>
      <c r="QKC1618" s="391"/>
      <c r="QKE1618" s="391"/>
      <c r="QKG1618" s="391"/>
      <c r="QKI1618" s="391"/>
      <c r="QKK1618" s="391"/>
      <c r="QKM1618" s="391"/>
      <c r="QKO1618" s="391"/>
      <c r="QKQ1618" s="391"/>
      <c r="QKS1618" s="391"/>
      <c r="QKU1618" s="391"/>
      <c r="QKW1618" s="391"/>
      <c r="QKY1618" s="391"/>
      <c r="QLA1618" s="391"/>
      <c r="QLC1618" s="391"/>
      <c r="QLE1618" s="391"/>
      <c r="QLG1618" s="391"/>
      <c r="QLI1618" s="391"/>
      <c r="QLK1618" s="391"/>
      <c r="QLM1618" s="391"/>
      <c r="QLO1618" s="391"/>
      <c r="QLQ1618" s="391"/>
      <c r="QLS1618" s="391"/>
      <c r="QLU1618" s="391"/>
      <c r="QLW1618" s="391"/>
      <c r="QLY1618" s="391"/>
      <c r="QMA1618" s="391"/>
      <c r="QMC1618" s="391"/>
      <c r="QME1618" s="391"/>
      <c r="QMG1618" s="391"/>
      <c r="QMI1618" s="391"/>
      <c r="QMK1618" s="391"/>
      <c r="QMM1618" s="391"/>
      <c r="QMO1618" s="391"/>
      <c r="QMQ1618" s="391"/>
      <c r="QMS1618" s="391"/>
      <c r="QMU1618" s="391"/>
      <c r="QMW1618" s="391"/>
      <c r="QMY1618" s="391"/>
      <c r="QNA1618" s="391"/>
      <c r="QNC1618" s="391"/>
      <c r="QNE1618" s="391"/>
      <c r="QNG1618" s="391"/>
      <c r="QNI1618" s="391"/>
      <c r="QNK1618" s="391"/>
      <c r="QNM1618" s="391"/>
      <c r="QNO1618" s="391"/>
      <c r="QNQ1618" s="391"/>
      <c r="QNS1618" s="391"/>
      <c r="QNU1618" s="391"/>
      <c r="QNW1618" s="391"/>
      <c r="QNY1618" s="391"/>
      <c r="QOA1618" s="391"/>
      <c r="QOC1618" s="391"/>
      <c r="QOE1618" s="391"/>
      <c r="QOG1618" s="391"/>
      <c r="QOI1618" s="391"/>
      <c r="QOK1618" s="391"/>
      <c r="QOM1618" s="391"/>
      <c r="QOO1618" s="391"/>
      <c r="QOQ1618" s="391"/>
      <c r="QOS1618" s="391"/>
      <c r="QOU1618" s="391"/>
      <c r="QOW1618" s="391"/>
      <c r="QOY1618" s="391"/>
      <c r="QPA1618" s="391"/>
      <c r="QPC1618" s="391"/>
      <c r="QPE1618" s="391"/>
      <c r="QPG1618" s="391"/>
      <c r="QPI1618" s="391"/>
      <c r="QPK1618" s="391"/>
      <c r="QPM1618" s="391"/>
      <c r="QPO1618" s="391"/>
      <c r="QPQ1618" s="391"/>
      <c r="QPS1618" s="391"/>
      <c r="QPU1618" s="391"/>
      <c r="QPW1618" s="391"/>
      <c r="QPY1618" s="391"/>
      <c r="QQA1618" s="391"/>
      <c r="QQC1618" s="391"/>
      <c r="QQE1618" s="391"/>
      <c r="QQG1618" s="391"/>
      <c r="QQI1618" s="391"/>
      <c r="QQK1618" s="391"/>
      <c r="QQM1618" s="391"/>
      <c r="QQO1618" s="391"/>
      <c r="QQQ1618" s="391"/>
      <c r="QQS1618" s="391"/>
      <c r="QQU1618" s="391"/>
      <c r="QQW1618" s="391"/>
      <c r="QQY1618" s="391"/>
      <c r="QRA1618" s="391"/>
      <c r="QRC1618" s="391"/>
      <c r="QRE1618" s="391"/>
      <c r="QRG1618" s="391"/>
      <c r="QRI1618" s="391"/>
      <c r="QRK1618" s="391"/>
      <c r="QRM1618" s="391"/>
      <c r="QRO1618" s="391"/>
      <c r="QRQ1618" s="391"/>
      <c r="QRS1618" s="391"/>
      <c r="QRU1618" s="391"/>
      <c r="QRW1618" s="391"/>
      <c r="QRY1618" s="391"/>
      <c r="QSA1618" s="391"/>
      <c r="QSC1618" s="391"/>
      <c r="QSE1618" s="391"/>
      <c r="QSG1618" s="391"/>
      <c r="QSI1618" s="391"/>
      <c r="QSK1618" s="391"/>
      <c r="QSM1618" s="391"/>
      <c r="QSO1618" s="391"/>
      <c r="QSQ1618" s="391"/>
      <c r="QSS1618" s="391"/>
      <c r="QSU1618" s="391"/>
      <c r="QSW1618" s="391"/>
      <c r="QSY1618" s="391"/>
      <c r="QTA1618" s="391"/>
      <c r="QTC1618" s="391"/>
      <c r="QTE1618" s="391"/>
      <c r="QTG1618" s="391"/>
      <c r="QTI1618" s="391"/>
      <c r="QTK1618" s="391"/>
      <c r="QTM1618" s="391"/>
      <c r="QTO1618" s="391"/>
      <c r="QTQ1618" s="391"/>
      <c r="QTS1618" s="391"/>
      <c r="QTU1618" s="391"/>
      <c r="QTW1618" s="391"/>
      <c r="QTY1618" s="391"/>
      <c r="QUA1618" s="391"/>
      <c r="QUC1618" s="391"/>
      <c r="QUE1618" s="391"/>
      <c r="QUG1618" s="391"/>
      <c r="QUI1618" s="391"/>
      <c r="QUK1618" s="391"/>
      <c r="QUM1618" s="391"/>
      <c r="QUO1618" s="391"/>
      <c r="QUQ1618" s="391"/>
      <c r="QUS1618" s="391"/>
      <c r="QUU1618" s="391"/>
      <c r="QUW1618" s="391"/>
      <c r="QUY1618" s="391"/>
      <c r="QVA1618" s="391"/>
      <c r="QVC1618" s="391"/>
      <c r="QVE1618" s="391"/>
      <c r="QVG1618" s="391"/>
      <c r="QVI1618" s="391"/>
      <c r="QVK1618" s="391"/>
      <c r="QVM1618" s="391"/>
      <c r="QVO1618" s="391"/>
      <c r="QVQ1618" s="391"/>
      <c r="QVS1618" s="391"/>
      <c r="QVU1618" s="391"/>
      <c r="QVW1618" s="391"/>
      <c r="QVY1618" s="391"/>
      <c r="QWA1618" s="391"/>
      <c r="QWC1618" s="391"/>
      <c r="QWE1618" s="391"/>
      <c r="QWG1618" s="391"/>
      <c r="QWI1618" s="391"/>
      <c r="QWK1618" s="391"/>
      <c r="QWM1618" s="391"/>
      <c r="QWO1618" s="391"/>
      <c r="QWQ1618" s="391"/>
      <c r="QWS1618" s="391"/>
      <c r="QWU1618" s="391"/>
      <c r="QWW1618" s="391"/>
      <c r="QWY1618" s="391"/>
      <c r="QXA1618" s="391"/>
      <c r="QXC1618" s="391"/>
      <c r="QXE1618" s="391"/>
      <c r="QXG1618" s="391"/>
      <c r="QXI1618" s="391"/>
      <c r="QXK1618" s="391"/>
      <c r="QXM1618" s="391"/>
      <c r="QXO1618" s="391"/>
      <c r="QXQ1618" s="391"/>
      <c r="QXS1618" s="391"/>
      <c r="QXU1618" s="391"/>
      <c r="QXW1618" s="391"/>
      <c r="QXY1618" s="391"/>
      <c r="QYA1618" s="391"/>
      <c r="QYC1618" s="391"/>
      <c r="QYE1618" s="391"/>
      <c r="QYG1618" s="391"/>
      <c r="QYI1618" s="391"/>
      <c r="QYK1618" s="391"/>
      <c r="QYM1618" s="391"/>
      <c r="QYO1618" s="391"/>
      <c r="QYQ1618" s="391"/>
      <c r="QYS1618" s="391"/>
      <c r="QYU1618" s="391"/>
      <c r="QYW1618" s="391"/>
      <c r="QYY1618" s="391"/>
      <c r="QZA1618" s="391"/>
      <c r="QZC1618" s="391"/>
      <c r="QZE1618" s="391"/>
      <c r="QZG1618" s="391"/>
      <c r="QZI1618" s="391"/>
      <c r="QZK1618" s="391"/>
      <c r="QZM1618" s="391"/>
      <c r="QZO1618" s="391"/>
      <c r="QZQ1618" s="391"/>
      <c r="QZS1618" s="391"/>
      <c r="QZU1618" s="391"/>
      <c r="QZW1618" s="391"/>
      <c r="QZY1618" s="391"/>
      <c r="RAA1618" s="391"/>
      <c r="RAC1618" s="391"/>
      <c r="RAE1618" s="391"/>
      <c r="RAG1618" s="391"/>
      <c r="RAI1618" s="391"/>
      <c r="RAK1618" s="391"/>
      <c r="RAM1618" s="391"/>
      <c r="RAO1618" s="391"/>
      <c r="RAQ1618" s="391"/>
      <c r="RAS1618" s="391"/>
      <c r="RAU1618" s="391"/>
      <c r="RAW1618" s="391"/>
      <c r="RAY1618" s="391"/>
      <c r="RBA1618" s="391"/>
      <c r="RBC1618" s="391"/>
      <c r="RBE1618" s="391"/>
      <c r="RBG1618" s="391"/>
      <c r="RBI1618" s="391"/>
      <c r="RBK1618" s="391"/>
      <c r="RBM1618" s="391"/>
      <c r="RBO1618" s="391"/>
      <c r="RBQ1618" s="391"/>
      <c r="RBS1618" s="391"/>
      <c r="RBU1618" s="391"/>
      <c r="RBW1618" s="391"/>
      <c r="RBY1618" s="391"/>
      <c r="RCA1618" s="391"/>
      <c r="RCC1618" s="391"/>
      <c r="RCE1618" s="391"/>
      <c r="RCG1618" s="391"/>
      <c r="RCI1618" s="391"/>
      <c r="RCK1618" s="391"/>
      <c r="RCM1618" s="391"/>
      <c r="RCO1618" s="391"/>
      <c r="RCQ1618" s="391"/>
      <c r="RCS1618" s="391"/>
      <c r="RCU1618" s="391"/>
      <c r="RCW1618" s="391"/>
      <c r="RCY1618" s="391"/>
      <c r="RDA1618" s="391"/>
      <c r="RDC1618" s="391"/>
      <c r="RDE1618" s="391"/>
      <c r="RDG1618" s="391"/>
      <c r="RDI1618" s="391"/>
      <c r="RDK1618" s="391"/>
      <c r="RDM1618" s="391"/>
      <c r="RDO1618" s="391"/>
      <c r="RDQ1618" s="391"/>
      <c r="RDS1618" s="391"/>
      <c r="RDU1618" s="391"/>
      <c r="RDW1618" s="391"/>
      <c r="RDY1618" s="391"/>
      <c r="REA1618" s="391"/>
      <c r="REC1618" s="391"/>
      <c r="REE1618" s="391"/>
      <c r="REG1618" s="391"/>
      <c r="REI1618" s="391"/>
      <c r="REK1618" s="391"/>
      <c r="REM1618" s="391"/>
      <c r="REO1618" s="391"/>
      <c r="REQ1618" s="391"/>
      <c r="RES1618" s="391"/>
      <c r="REU1618" s="391"/>
      <c r="REW1618" s="391"/>
      <c r="REY1618" s="391"/>
      <c r="RFA1618" s="391"/>
      <c r="RFC1618" s="391"/>
      <c r="RFE1618" s="391"/>
      <c r="RFG1618" s="391"/>
      <c r="RFI1618" s="391"/>
      <c r="RFK1618" s="391"/>
      <c r="RFM1618" s="391"/>
      <c r="RFO1618" s="391"/>
      <c r="RFQ1618" s="391"/>
      <c r="RFS1618" s="391"/>
      <c r="RFU1618" s="391"/>
      <c r="RFW1618" s="391"/>
      <c r="RFY1618" s="391"/>
      <c r="RGA1618" s="391"/>
      <c r="RGC1618" s="391"/>
      <c r="RGE1618" s="391"/>
      <c r="RGG1618" s="391"/>
      <c r="RGI1618" s="391"/>
      <c r="RGK1618" s="391"/>
      <c r="RGM1618" s="391"/>
      <c r="RGO1618" s="391"/>
      <c r="RGQ1618" s="391"/>
      <c r="RGS1618" s="391"/>
      <c r="RGU1618" s="391"/>
      <c r="RGW1618" s="391"/>
      <c r="RGY1618" s="391"/>
      <c r="RHA1618" s="391"/>
      <c r="RHC1618" s="391"/>
      <c r="RHE1618" s="391"/>
      <c r="RHG1618" s="391"/>
      <c r="RHI1618" s="391"/>
      <c r="RHK1618" s="391"/>
      <c r="RHM1618" s="391"/>
      <c r="RHO1618" s="391"/>
      <c r="RHQ1618" s="391"/>
      <c r="RHS1618" s="391"/>
      <c r="RHU1618" s="391"/>
      <c r="RHW1618" s="391"/>
      <c r="RHY1618" s="391"/>
      <c r="RIA1618" s="391"/>
      <c r="RIC1618" s="391"/>
      <c r="RIE1618" s="391"/>
      <c r="RIG1618" s="391"/>
      <c r="RII1618" s="391"/>
      <c r="RIK1618" s="391"/>
      <c r="RIM1618" s="391"/>
      <c r="RIO1618" s="391"/>
      <c r="RIQ1618" s="391"/>
      <c r="RIS1618" s="391"/>
      <c r="RIU1618" s="391"/>
      <c r="RIW1618" s="391"/>
      <c r="RIY1618" s="391"/>
      <c r="RJA1618" s="391"/>
      <c r="RJC1618" s="391"/>
      <c r="RJE1618" s="391"/>
      <c r="RJG1618" s="391"/>
      <c r="RJI1618" s="391"/>
      <c r="RJK1618" s="391"/>
      <c r="RJM1618" s="391"/>
      <c r="RJO1618" s="391"/>
      <c r="RJQ1618" s="391"/>
      <c r="RJS1618" s="391"/>
      <c r="RJU1618" s="391"/>
      <c r="RJW1618" s="391"/>
      <c r="RJY1618" s="391"/>
      <c r="RKA1618" s="391"/>
      <c r="RKC1618" s="391"/>
      <c r="RKE1618" s="391"/>
      <c r="RKG1618" s="391"/>
      <c r="RKI1618" s="391"/>
      <c r="RKK1618" s="391"/>
      <c r="RKM1618" s="391"/>
      <c r="RKO1618" s="391"/>
      <c r="RKQ1618" s="391"/>
      <c r="RKS1618" s="391"/>
      <c r="RKU1618" s="391"/>
      <c r="RKW1618" s="391"/>
      <c r="RKY1618" s="391"/>
      <c r="RLA1618" s="391"/>
      <c r="RLC1618" s="391"/>
      <c r="RLE1618" s="391"/>
      <c r="RLG1618" s="391"/>
      <c r="RLI1618" s="391"/>
      <c r="RLK1618" s="391"/>
      <c r="RLM1618" s="391"/>
      <c r="RLO1618" s="391"/>
      <c r="RLQ1618" s="391"/>
      <c r="RLS1618" s="391"/>
      <c r="RLU1618" s="391"/>
      <c r="RLW1618" s="391"/>
      <c r="RLY1618" s="391"/>
      <c r="RMA1618" s="391"/>
      <c r="RMC1618" s="391"/>
      <c r="RME1618" s="391"/>
      <c r="RMG1618" s="391"/>
      <c r="RMI1618" s="391"/>
      <c r="RMK1618" s="391"/>
      <c r="RMM1618" s="391"/>
      <c r="RMO1618" s="391"/>
      <c r="RMQ1618" s="391"/>
      <c r="RMS1618" s="391"/>
      <c r="RMU1618" s="391"/>
      <c r="RMW1618" s="391"/>
      <c r="RMY1618" s="391"/>
      <c r="RNA1618" s="391"/>
      <c r="RNC1618" s="391"/>
      <c r="RNE1618" s="391"/>
      <c r="RNG1618" s="391"/>
      <c r="RNI1618" s="391"/>
      <c r="RNK1618" s="391"/>
      <c r="RNM1618" s="391"/>
      <c r="RNO1618" s="391"/>
      <c r="RNQ1618" s="391"/>
      <c r="RNS1618" s="391"/>
      <c r="RNU1618" s="391"/>
      <c r="RNW1618" s="391"/>
      <c r="RNY1618" s="391"/>
      <c r="ROA1618" s="391"/>
      <c r="ROC1618" s="391"/>
      <c r="ROE1618" s="391"/>
      <c r="ROG1618" s="391"/>
      <c r="ROI1618" s="391"/>
      <c r="ROK1618" s="391"/>
      <c r="ROM1618" s="391"/>
      <c r="ROO1618" s="391"/>
      <c r="ROQ1618" s="391"/>
      <c r="ROS1618" s="391"/>
      <c r="ROU1618" s="391"/>
      <c r="ROW1618" s="391"/>
      <c r="ROY1618" s="391"/>
      <c r="RPA1618" s="391"/>
      <c r="RPC1618" s="391"/>
      <c r="RPE1618" s="391"/>
      <c r="RPG1618" s="391"/>
      <c r="RPI1618" s="391"/>
      <c r="RPK1618" s="391"/>
      <c r="RPM1618" s="391"/>
      <c r="RPO1618" s="391"/>
      <c r="RPQ1618" s="391"/>
      <c r="RPS1618" s="391"/>
      <c r="RPU1618" s="391"/>
      <c r="RPW1618" s="391"/>
      <c r="RPY1618" s="391"/>
      <c r="RQA1618" s="391"/>
      <c r="RQC1618" s="391"/>
      <c r="RQE1618" s="391"/>
      <c r="RQG1618" s="391"/>
      <c r="RQI1618" s="391"/>
      <c r="RQK1618" s="391"/>
      <c r="RQM1618" s="391"/>
      <c r="RQO1618" s="391"/>
      <c r="RQQ1618" s="391"/>
      <c r="RQS1618" s="391"/>
      <c r="RQU1618" s="391"/>
      <c r="RQW1618" s="391"/>
      <c r="RQY1618" s="391"/>
      <c r="RRA1618" s="391"/>
      <c r="RRC1618" s="391"/>
      <c r="RRE1618" s="391"/>
      <c r="RRG1618" s="391"/>
      <c r="RRI1618" s="391"/>
      <c r="RRK1618" s="391"/>
      <c r="RRM1618" s="391"/>
      <c r="RRO1618" s="391"/>
      <c r="RRQ1618" s="391"/>
      <c r="RRS1618" s="391"/>
      <c r="RRU1618" s="391"/>
      <c r="RRW1618" s="391"/>
      <c r="RRY1618" s="391"/>
      <c r="RSA1618" s="391"/>
      <c r="RSC1618" s="391"/>
      <c r="RSE1618" s="391"/>
      <c r="RSG1618" s="391"/>
      <c r="RSI1618" s="391"/>
      <c r="RSK1618" s="391"/>
      <c r="RSM1618" s="391"/>
      <c r="RSO1618" s="391"/>
      <c r="RSQ1618" s="391"/>
      <c r="RSS1618" s="391"/>
      <c r="RSU1618" s="391"/>
      <c r="RSW1618" s="391"/>
      <c r="RSY1618" s="391"/>
      <c r="RTA1618" s="391"/>
      <c r="RTC1618" s="391"/>
      <c r="RTE1618" s="391"/>
      <c r="RTG1618" s="391"/>
      <c r="RTI1618" s="391"/>
      <c r="RTK1618" s="391"/>
      <c r="RTM1618" s="391"/>
      <c r="RTO1618" s="391"/>
      <c r="RTQ1618" s="391"/>
      <c r="RTS1618" s="391"/>
      <c r="RTU1618" s="391"/>
      <c r="RTW1618" s="391"/>
      <c r="RTY1618" s="391"/>
      <c r="RUA1618" s="391"/>
      <c r="RUC1618" s="391"/>
      <c r="RUE1618" s="391"/>
      <c r="RUG1618" s="391"/>
      <c r="RUI1618" s="391"/>
      <c r="RUK1618" s="391"/>
      <c r="RUM1618" s="391"/>
      <c r="RUO1618" s="391"/>
      <c r="RUQ1618" s="391"/>
      <c r="RUS1618" s="391"/>
      <c r="RUU1618" s="391"/>
      <c r="RUW1618" s="391"/>
      <c r="RUY1618" s="391"/>
      <c r="RVA1618" s="391"/>
      <c r="RVC1618" s="391"/>
      <c r="RVE1618" s="391"/>
      <c r="RVG1618" s="391"/>
      <c r="RVI1618" s="391"/>
      <c r="RVK1618" s="391"/>
      <c r="RVM1618" s="391"/>
      <c r="RVO1618" s="391"/>
      <c r="RVQ1618" s="391"/>
      <c r="RVS1618" s="391"/>
      <c r="RVU1618" s="391"/>
      <c r="RVW1618" s="391"/>
      <c r="RVY1618" s="391"/>
      <c r="RWA1618" s="391"/>
      <c r="RWC1618" s="391"/>
      <c r="RWE1618" s="391"/>
      <c r="RWG1618" s="391"/>
      <c r="RWI1618" s="391"/>
      <c r="RWK1618" s="391"/>
      <c r="RWM1618" s="391"/>
      <c r="RWO1618" s="391"/>
      <c r="RWQ1618" s="391"/>
      <c r="RWS1618" s="391"/>
      <c r="RWU1618" s="391"/>
      <c r="RWW1618" s="391"/>
      <c r="RWY1618" s="391"/>
      <c r="RXA1618" s="391"/>
      <c r="RXC1618" s="391"/>
      <c r="RXE1618" s="391"/>
      <c r="RXG1618" s="391"/>
      <c r="RXI1618" s="391"/>
      <c r="RXK1618" s="391"/>
      <c r="RXM1618" s="391"/>
      <c r="RXO1618" s="391"/>
      <c r="RXQ1618" s="391"/>
      <c r="RXS1618" s="391"/>
      <c r="RXU1618" s="391"/>
      <c r="RXW1618" s="391"/>
      <c r="RXY1618" s="391"/>
      <c r="RYA1618" s="391"/>
      <c r="RYC1618" s="391"/>
      <c r="RYE1618" s="391"/>
      <c r="RYG1618" s="391"/>
      <c r="RYI1618" s="391"/>
      <c r="RYK1618" s="391"/>
      <c r="RYM1618" s="391"/>
      <c r="RYO1618" s="391"/>
      <c r="RYQ1618" s="391"/>
      <c r="RYS1618" s="391"/>
      <c r="RYU1618" s="391"/>
      <c r="RYW1618" s="391"/>
      <c r="RYY1618" s="391"/>
      <c r="RZA1618" s="391"/>
      <c r="RZC1618" s="391"/>
      <c r="RZE1618" s="391"/>
      <c r="RZG1618" s="391"/>
      <c r="RZI1618" s="391"/>
      <c r="RZK1618" s="391"/>
      <c r="RZM1618" s="391"/>
      <c r="RZO1618" s="391"/>
      <c r="RZQ1618" s="391"/>
      <c r="RZS1618" s="391"/>
      <c r="RZU1618" s="391"/>
      <c r="RZW1618" s="391"/>
      <c r="RZY1618" s="391"/>
      <c r="SAA1618" s="391"/>
      <c r="SAC1618" s="391"/>
      <c r="SAE1618" s="391"/>
      <c r="SAG1618" s="391"/>
      <c r="SAI1618" s="391"/>
      <c r="SAK1618" s="391"/>
      <c r="SAM1618" s="391"/>
      <c r="SAO1618" s="391"/>
      <c r="SAQ1618" s="391"/>
      <c r="SAS1618" s="391"/>
      <c r="SAU1618" s="391"/>
      <c r="SAW1618" s="391"/>
      <c r="SAY1618" s="391"/>
      <c r="SBA1618" s="391"/>
      <c r="SBC1618" s="391"/>
      <c r="SBE1618" s="391"/>
      <c r="SBG1618" s="391"/>
      <c r="SBI1618" s="391"/>
      <c r="SBK1618" s="391"/>
      <c r="SBM1618" s="391"/>
      <c r="SBO1618" s="391"/>
      <c r="SBQ1618" s="391"/>
      <c r="SBS1618" s="391"/>
      <c r="SBU1618" s="391"/>
      <c r="SBW1618" s="391"/>
      <c r="SBY1618" s="391"/>
      <c r="SCA1618" s="391"/>
      <c r="SCC1618" s="391"/>
      <c r="SCE1618" s="391"/>
      <c r="SCG1618" s="391"/>
      <c r="SCI1618" s="391"/>
      <c r="SCK1618" s="391"/>
      <c r="SCM1618" s="391"/>
      <c r="SCO1618" s="391"/>
      <c r="SCQ1618" s="391"/>
      <c r="SCS1618" s="391"/>
      <c r="SCU1618" s="391"/>
      <c r="SCW1618" s="391"/>
      <c r="SCY1618" s="391"/>
      <c r="SDA1618" s="391"/>
      <c r="SDC1618" s="391"/>
      <c r="SDE1618" s="391"/>
      <c r="SDG1618" s="391"/>
      <c r="SDI1618" s="391"/>
      <c r="SDK1618" s="391"/>
      <c r="SDM1618" s="391"/>
      <c r="SDO1618" s="391"/>
      <c r="SDQ1618" s="391"/>
      <c r="SDS1618" s="391"/>
      <c r="SDU1618" s="391"/>
      <c r="SDW1618" s="391"/>
      <c r="SDY1618" s="391"/>
      <c r="SEA1618" s="391"/>
      <c r="SEC1618" s="391"/>
      <c r="SEE1618" s="391"/>
      <c r="SEG1618" s="391"/>
      <c r="SEI1618" s="391"/>
      <c r="SEK1618" s="391"/>
      <c r="SEM1618" s="391"/>
      <c r="SEO1618" s="391"/>
      <c r="SEQ1618" s="391"/>
      <c r="SES1618" s="391"/>
      <c r="SEU1618" s="391"/>
      <c r="SEW1618" s="391"/>
      <c r="SEY1618" s="391"/>
      <c r="SFA1618" s="391"/>
      <c r="SFC1618" s="391"/>
      <c r="SFE1618" s="391"/>
      <c r="SFG1618" s="391"/>
      <c r="SFI1618" s="391"/>
      <c r="SFK1618" s="391"/>
      <c r="SFM1618" s="391"/>
      <c r="SFO1618" s="391"/>
      <c r="SFQ1618" s="391"/>
      <c r="SFS1618" s="391"/>
      <c r="SFU1618" s="391"/>
      <c r="SFW1618" s="391"/>
      <c r="SFY1618" s="391"/>
      <c r="SGA1618" s="391"/>
      <c r="SGC1618" s="391"/>
      <c r="SGE1618" s="391"/>
      <c r="SGG1618" s="391"/>
      <c r="SGI1618" s="391"/>
      <c r="SGK1618" s="391"/>
      <c r="SGM1618" s="391"/>
      <c r="SGO1618" s="391"/>
      <c r="SGQ1618" s="391"/>
      <c r="SGS1618" s="391"/>
      <c r="SGU1618" s="391"/>
      <c r="SGW1618" s="391"/>
      <c r="SGY1618" s="391"/>
      <c r="SHA1618" s="391"/>
      <c r="SHC1618" s="391"/>
      <c r="SHE1618" s="391"/>
      <c r="SHG1618" s="391"/>
      <c r="SHI1618" s="391"/>
      <c r="SHK1618" s="391"/>
      <c r="SHM1618" s="391"/>
      <c r="SHO1618" s="391"/>
      <c r="SHQ1618" s="391"/>
      <c r="SHS1618" s="391"/>
      <c r="SHU1618" s="391"/>
      <c r="SHW1618" s="391"/>
      <c r="SHY1618" s="391"/>
      <c r="SIA1618" s="391"/>
      <c r="SIC1618" s="391"/>
      <c r="SIE1618" s="391"/>
      <c r="SIG1618" s="391"/>
      <c r="SII1618" s="391"/>
      <c r="SIK1618" s="391"/>
      <c r="SIM1618" s="391"/>
      <c r="SIO1618" s="391"/>
      <c r="SIQ1618" s="391"/>
      <c r="SIS1618" s="391"/>
      <c r="SIU1618" s="391"/>
      <c r="SIW1618" s="391"/>
      <c r="SIY1618" s="391"/>
      <c r="SJA1618" s="391"/>
      <c r="SJC1618" s="391"/>
      <c r="SJE1618" s="391"/>
      <c r="SJG1618" s="391"/>
      <c r="SJI1618" s="391"/>
      <c r="SJK1618" s="391"/>
      <c r="SJM1618" s="391"/>
      <c r="SJO1618" s="391"/>
      <c r="SJQ1618" s="391"/>
      <c r="SJS1618" s="391"/>
      <c r="SJU1618" s="391"/>
      <c r="SJW1618" s="391"/>
      <c r="SJY1618" s="391"/>
      <c r="SKA1618" s="391"/>
      <c r="SKC1618" s="391"/>
      <c r="SKE1618" s="391"/>
      <c r="SKG1618" s="391"/>
      <c r="SKI1618" s="391"/>
      <c r="SKK1618" s="391"/>
      <c r="SKM1618" s="391"/>
      <c r="SKO1618" s="391"/>
      <c r="SKQ1618" s="391"/>
      <c r="SKS1618" s="391"/>
      <c r="SKU1618" s="391"/>
      <c r="SKW1618" s="391"/>
      <c r="SKY1618" s="391"/>
      <c r="SLA1618" s="391"/>
      <c r="SLC1618" s="391"/>
      <c r="SLE1618" s="391"/>
      <c r="SLG1618" s="391"/>
      <c r="SLI1618" s="391"/>
      <c r="SLK1618" s="391"/>
      <c r="SLM1618" s="391"/>
      <c r="SLO1618" s="391"/>
      <c r="SLQ1618" s="391"/>
      <c r="SLS1618" s="391"/>
      <c r="SLU1618" s="391"/>
      <c r="SLW1618" s="391"/>
      <c r="SLY1618" s="391"/>
      <c r="SMA1618" s="391"/>
      <c r="SMC1618" s="391"/>
      <c r="SME1618" s="391"/>
      <c r="SMG1618" s="391"/>
      <c r="SMI1618" s="391"/>
      <c r="SMK1618" s="391"/>
      <c r="SMM1618" s="391"/>
      <c r="SMO1618" s="391"/>
      <c r="SMQ1618" s="391"/>
      <c r="SMS1618" s="391"/>
      <c r="SMU1618" s="391"/>
      <c r="SMW1618" s="391"/>
      <c r="SMY1618" s="391"/>
      <c r="SNA1618" s="391"/>
      <c r="SNC1618" s="391"/>
      <c r="SNE1618" s="391"/>
      <c r="SNG1618" s="391"/>
      <c r="SNI1618" s="391"/>
      <c r="SNK1618" s="391"/>
      <c r="SNM1618" s="391"/>
      <c r="SNO1618" s="391"/>
      <c r="SNQ1618" s="391"/>
      <c r="SNS1618" s="391"/>
      <c r="SNU1618" s="391"/>
      <c r="SNW1618" s="391"/>
      <c r="SNY1618" s="391"/>
      <c r="SOA1618" s="391"/>
      <c r="SOC1618" s="391"/>
      <c r="SOE1618" s="391"/>
      <c r="SOG1618" s="391"/>
      <c r="SOI1618" s="391"/>
      <c r="SOK1618" s="391"/>
      <c r="SOM1618" s="391"/>
      <c r="SOO1618" s="391"/>
      <c r="SOQ1618" s="391"/>
      <c r="SOS1618" s="391"/>
      <c r="SOU1618" s="391"/>
      <c r="SOW1618" s="391"/>
      <c r="SOY1618" s="391"/>
      <c r="SPA1618" s="391"/>
      <c r="SPC1618" s="391"/>
      <c r="SPE1618" s="391"/>
      <c r="SPG1618" s="391"/>
      <c r="SPI1618" s="391"/>
      <c r="SPK1618" s="391"/>
      <c r="SPM1618" s="391"/>
      <c r="SPO1618" s="391"/>
      <c r="SPQ1618" s="391"/>
      <c r="SPS1618" s="391"/>
      <c r="SPU1618" s="391"/>
      <c r="SPW1618" s="391"/>
      <c r="SPY1618" s="391"/>
      <c r="SQA1618" s="391"/>
      <c r="SQC1618" s="391"/>
      <c r="SQE1618" s="391"/>
      <c r="SQG1618" s="391"/>
      <c r="SQI1618" s="391"/>
      <c r="SQK1618" s="391"/>
      <c r="SQM1618" s="391"/>
      <c r="SQO1618" s="391"/>
      <c r="SQQ1618" s="391"/>
      <c r="SQS1618" s="391"/>
      <c r="SQU1618" s="391"/>
      <c r="SQW1618" s="391"/>
      <c r="SQY1618" s="391"/>
      <c r="SRA1618" s="391"/>
      <c r="SRC1618" s="391"/>
      <c r="SRE1618" s="391"/>
      <c r="SRG1618" s="391"/>
      <c r="SRI1618" s="391"/>
      <c r="SRK1618" s="391"/>
      <c r="SRM1618" s="391"/>
      <c r="SRO1618" s="391"/>
      <c r="SRQ1618" s="391"/>
      <c r="SRS1618" s="391"/>
      <c r="SRU1618" s="391"/>
      <c r="SRW1618" s="391"/>
      <c r="SRY1618" s="391"/>
      <c r="SSA1618" s="391"/>
      <c r="SSC1618" s="391"/>
      <c r="SSE1618" s="391"/>
      <c r="SSG1618" s="391"/>
      <c r="SSI1618" s="391"/>
      <c r="SSK1618" s="391"/>
      <c r="SSM1618" s="391"/>
      <c r="SSO1618" s="391"/>
      <c r="SSQ1618" s="391"/>
      <c r="SSS1618" s="391"/>
      <c r="SSU1618" s="391"/>
      <c r="SSW1618" s="391"/>
      <c r="SSY1618" s="391"/>
      <c r="STA1618" s="391"/>
      <c r="STC1618" s="391"/>
      <c r="STE1618" s="391"/>
      <c r="STG1618" s="391"/>
      <c r="STI1618" s="391"/>
      <c r="STK1618" s="391"/>
      <c r="STM1618" s="391"/>
      <c r="STO1618" s="391"/>
      <c r="STQ1618" s="391"/>
      <c r="STS1618" s="391"/>
      <c r="STU1618" s="391"/>
      <c r="STW1618" s="391"/>
      <c r="STY1618" s="391"/>
      <c r="SUA1618" s="391"/>
      <c r="SUC1618" s="391"/>
      <c r="SUE1618" s="391"/>
      <c r="SUG1618" s="391"/>
      <c r="SUI1618" s="391"/>
      <c r="SUK1618" s="391"/>
      <c r="SUM1618" s="391"/>
      <c r="SUO1618" s="391"/>
      <c r="SUQ1618" s="391"/>
      <c r="SUS1618" s="391"/>
      <c r="SUU1618" s="391"/>
      <c r="SUW1618" s="391"/>
      <c r="SUY1618" s="391"/>
      <c r="SVA1618" s="391"/>
      <c r="SVC1618" s="391"/>
      <c r="SVE1618" s="391"/>
      <c r="SVG1618" s="391"/>
      <c r="SVI1618" s="391"/>
      <c r="SVK1618" s="391"/>
      <c r="SVM1618" s="391"/>
      <c r="SVO1618" s="391"/>
      <c r="SVQ1618" s="391"/>
      <c r="SVS1618" s="391"/>
      <c r="SVU1618" s="391"/>
      <c r="SVW1618" s="391"/>
      <c r="SVY1618" s="391"/>
      <c r="SWA1618" s="391"/>
      <c r="SWC1618" s="391"/>
      <c r="SWE1618" s="391"/>
      <c r="SWG1618" s="391"/>
      <c r="SWI1618" s="391"/>
      <c r="SWK1618" s="391"/>
      <c r="SWM1618" s="391"/>
      <c r="SWO1618" s="391"/>
      <c r="SWQ1618" s="391"/>
      <c r="SWS1618" s="391"/>
      <c r="SWU1618" s="391"/>
      <c r="SWW1618" s="391"/>
      <c r="SWY1618" s="391"/>
      <c r="SXA1618" s="391"/>
      <c r="SXC1618" s="391"/>
      <c r="SXE1618" s="391"/>
      <c r="SXG1618" s="391"/>
      <c r="SXI1618" s="391"/>
      <c r="SXK1618" s="391"/>
      <c r="SXM1618" s="391"/>
      <c r="SXO1618" s="391"/>
      <c r="SXQ1618" s="391"/>
      <c r="SXS1618" s="391"/>
      <c r="SXU1618" s="391"/>
      <c r="SXW1618" s="391"/>
      <c r="SXY1618" s="391"/>
      <c r="SYA1618" s="391"/>
      <c r="SYC1618" s="391"/>
      <c r="SYE1618" s="391"/>
      <c r="SYG1618" s="391"/>
      <c r="SYI1618" s="391"/>
      <c r="SYK1618" s="391"/>
      <c r="SYM1618" s="391"/>
      <c r="SYO1618" s="391"/>
      <c r="SYQ1618" s="391"/>
      <c r="SYS1618" s="391"/>
      <c r="SYU1618" s="391"/>
      <c r="SYW1618" s="391"/>
      <c r="SYY1618" s="391"/>
      <c r="SZA1618" s="391"/>
      <c r="SZC1618" s="391"/>
      <c r="SZE1618" s="391"/>
      <c r="SZG1618" s="391"/>
      <c r="SZI1618" s="391"/>
      <c r="SZK1618" s="391"/>
      <c r="SZM1618" s="391"/>
      <c r="SZO1618" s="391"/>
      <c r="SZQ1618" s="391"/>
      <c r="SZS1618" s="391"/>
      <c r="SZU1618" s="391"/>
      <c r="SZW1618" s="391"/>
      <c r="SZY1618" s="391"/>
      <c r="TAA1618" s="391"/>
      <c r="TAC1618" s="391"/>
      <c r="TAE1618" s="391"/>
      <c r="TAG1618" s="391"/>
      <c r="TAI1618" s="391"/>
      <c r="TAK1618" s="391"/>
      <c r="TAM1618" s="391"/>
      <c r="TAO1618" s="391"/>
      <c r="TAQ1618" s="391"/>
      <c r="TAS1618" s="391"/>
      <c r="TAU1618" s="391"/>
      <c r="TAW1618" s="391"/>
      <c r="TAY1618" s="391"/>
      <c r="TBA1618" s="391"/>
      <c r="TBC1618" s="391"/>
      <c r="TBE1618" s="391"/>
      <c r="TBG1618" s="391"/>
      <c r="TBI1618" s="391"/>
      <c r="TBK1618" s="391"/>
      <c r="TBM1618" s="391"/>
      <c r="TBO1618" s="391"/>
      <c r="TBQ1618" s="391"/>
      <c r="TBS1618" s="391"/>
      <c r="TBU1618" s="391"/>
      <c r="TBW1618" s="391"/>
      <c r="TBY1618" s="391"/>
      <c r="TCA1618" s="391"/>
      <c r="TCC1618" s="391"/>
      <c r="TCE1618" s="391"/>
      <c r="TCG1618" s="391"/>
      <c r="TCI1618" s="391"/>
      <c r="TCK1618" s="391"/>
      <c r="TCM1618" s="391"/>
      <c r="TCO1618" s="391"/>
      <c r="TCQ1618" s="391"/>
      <c r="TCS1618" s="391"/>
      <c r="TCU1618" s="391"/>
      <c r="TCW1618" s="391"/>
      <c r="TCY1618" s="391"/>
      <c r="TDA1618" s="391"/>
      <c r="TDC1618" s="391"/>
      <c r="TDE1618" s="391"/>
      <c r="TDG1618" s="391"/>
      <c r="TDI1618" s="391"/>
      <c r="TDK1618" s="391"/>
      <c r="TDM1618" s="391"/>
      <c r="TDO1618" s="391"/>
      <c r="TDQ1618" s="391"/>
      <c r="TDS1618" s="391"/>
      <c r="TDU1618" s="391"/>
      <c r="TDW1618" s="391"/>
      <c r="TDY1618" s="391"/>
      <c r="TEA1618" s="391"/>
      <c r="TEC1618" s="391"/>
      <c r="TEE1618" s="391"/>
      <c r="TEG1618" s="391"/>
      <c r="TEI1618" s="391"/>
      <c r="TEK1618" s="391"/>
      <c r="TEM1618" s="391"/>
      <c r="TEO1618" s="391"/>
      <c r="TEQ1618" s="391"/>
      <c r="TES1618" s="391"/>
      <c r="TEU1618" s="391"/>
      <c r="TEW1618" s="391"/>
      <c r="TEY1618" s="391"/>
      <c r="TFA1618" s="391"/>
      <c r="TFC1618" s="391"/>
      <c r="TFE1618" s="391"/>
      <c r="TFG1618" s="391"/>
      <c r="TFI1618" s="391"/>
      <c r="TFK1618" s="391"/>
      <c r="TFM1618" s="391"/>
      <c r="TFO1618" s="391"/>
      <c r="TFQ1618" s="391"/>
      <c r="TFS1618" s="391"/>
      <c r="TFU1618" s="391"/>
      <c r="TFW1618" s="391"/>
      <c r="TFY1618" s="391"/>
      <c r="TGA1618" s="391"/>
      <c r="TGC1618" s="391"/>
      <c r="TGE1618" s="391"/>
      <c r="TGG1618" s="391"/>
      <c r="TGI1618" s="391"/>
      <c r="TGK1618" s="391"/>
      <c r="TGM1618" s="391"/>
      <c r="TGO1618" s="391"/>
      <c r="TGQ1618" s="391"/>
      <c r="TGS1618" s="391"/>
      <c r="TGU1618" s="391"/>
      <c r="TGW1618" s="391"/>
      <c r="TGY1618" s="391"/>
      <c r="THA1618" s="391"/>
      <c r="THC1618" s="391"/>
      <c r="THE1618" s="391"/>
      <c r="THG1618" s="391"/>
      <c r="THI1618" s="391"/>
      <c r="THK1618" s="391"/>
      <c r="THM1618" s="391"/>
      <c r="THO1618" s="391"/>
      <c r="THQ1618" s="391"/>
      <c r="THS1618" s="391"/>
      <c r="THU1618" s="391"/>
      <c r="THW1618" s="391"/>
      <c r="THY1618" s="391"/>
      <c r="TIA1618" s="391"/>
      <c r="TIC1618" s="391"/>
      <c r="TIE1618" s="391"/>
      <c r="TIG1618" s="391"/>
      <c r="TII1618" s="391"/>
      <c r="TIK1618" s="391"/>
      <c r="TIM1618" s="391"/>
      <c r="TIO1618" s="391"/>
      <c r="TIQ1618" s="391"/>
      <c r="TIS1618" s="391"/>
      <c r="TIU1618" s="391"/>
      <c r="TIW1618" s="391"/>
      <c r="TIY1618" s="391"/>
      <c r="TJA1618" s="391"/>
      <c r="TJC1618" s="391"/>
      <c r="TJE1618" s="391"/>
      <c r="TJG1618" s="391"/>
      <c r="TJI1618" s="391"/>
      <c r="TJK1618" s="391"/>
      <c r="TJM1618" s="391"/>
      <c r="TJO1618" s="391"/>
      <c r="TJQ1618" s="391"/>
      <c r="TJS1618" s="391"/>
      <c r="TJU1618" s="391"/>
      <c r="TJW1618" s="391"/>
      <c r="TJY1618" s="391"/>
      <c r="TKA1618" s="391"/>
      <c r="TKC1618" s="391"/>
      <c r="TKE1618" s="391"/>
      <c r="TKG1618" s="391"/>
      <c r="TKI1618" s="391"/>
      <c r="TKK1618" s="391"/>
      <c r="TKM1618" s="391"/>
      <c r="TKO1618" s="391"/>
      <c r="TKQ1618" s="391"/>
      <c r="TKS1618" s="391"/>
      <c r="TKU1618" s="391"/>
      <c r="TKW1618" s="391"/>
      <c r="TKY1618" s="391"/>
      <c r="TLA1618" s="391"/>
      <c r="TLC1618" s="391"/>
      <c r="TLE1618" s="391"/>
      <c r="TLG1618" s="391"/>
      <c r="TLI1618" s="391"/>
      <c r="TLK1618" s="391"/>
      <c r="TLM1618" s="391"/>
      <c r="TLO1618" s="391"/>
      <c r="TLQ1618" s="391"/>
      <c r="TLS1618" s="391"/>
      <c r="TLU1618" s="391"/>
      <c r="TLW1618" s="391"/>
      <c r="TLY1618" s="391"/>
      <c r="TMA1618" s="391"/>
      <c r="TMC1618" s="391"/>
      <c r="TME1618" s="391"/>
      <c r="TMG1618" s="391"/>
      <c r="TMI1618" s="391"/>
      <c r="TMK1618" s="391"/>
      <c r="TMM1618" s="391"/>
      <c r="TMO1618" s="391"/>
      <c r="TMQ1618" s="391"/>
      <c r="TMS1618" s="391"/>
      <c r="TMU1618" s="391"/>
      <c r="TMW1618" s="391"/>
      <c r="TMY1618" s="391"/>
      <c r="TNA1618" s="391"/>
      <c r="TNC1618" s="391"/>
      <c r="TNE1618" s="391"/>
      <c r="TNG1618" s="391"/>
      <c r="TNI1618" s="391"/>
      <c r="TNK1618" s="391"/>
      <c r="TNM1618" s="391"/>
      <c r="TNO1618" s="391"/>
      <c r="TNQ1618" s="391"/>
      <c r="TNS1618" s="391"/>
      <c r="TNU1618" s="391"/>
      <c r="TNW1618" s="391"/>
      <c r="TNY1618" s="391"/>
      <c r="TOA1618" s="391"/>
      <c r="TOC1618" s="391"/>
      <c r="TOE1618" s="391"/>
      <c r="TOG1618" s="391"/>
      <c r="TOI1618" s="391"/>
      <c r="TOK1618" s="391"/>
      <c r="TOM1618" s="391"/>
      <c r="TOO1618" s="391"/>
      <c r="TOQ1618" s="391"/>
      <c r="TOS1618" s="391"/>
      <c r="TOU1618" s="391"/>
      <c r="TOW1618" s="391"/>
      <c r="TOY1618" s="391"/>
      <c r="TPA1618" s="391"/>
      <c r="TPC1618" s="391"/>
      <c r="TPE1618" s="391"/>
      <c r="TPG1618" s="391"/>
      <c r="TPI1618" s="391"/>
      <c r="TPK1618" s="391"/>
      <c r="TPM1618" s="391"/>
      <c r="TPO1618" s="391"/>
      <c r="TPQ1618" s="391"/>
      <c r="TPS1618" s="391"/>
      <c r="TPU1618" s="391"/>
      <c r="TPW1618" s="391"/>
      <c r="TPY1618" s="391"/>
      <c r="TQA1618" s="391"/>
      <c r="TQC1618" s="391"/>
      <c r="TQE1618" s="391"/>
      <c r="TQG1618" s="391"/>
      <c r="TQI1618" s="391"/>
      <c r="TQK1618" s="391"/>
      <c r="TQM1618" s="391"/>
      <c r="TQO1618" s="391"/>
      <c r="TQQ1618" s="391"/>
      <c r="TQS1618" s="391"/>
      <c r="TQU1618" s="391"/>
      <c r="TQW1618" s="391"/>
      <c r="TQY1618" s="391"/>
      <c r="TRA1618" s="391"/>
      <c r="TRC1618" s="391"/>
      <c r="TRE1618" s="391"/>
      <c r="TRG1618" s="391"/>
      <c r="TRI1618" s="391"/>
      <c r="TRK1618" s="391"/>
      <c r="TRM1618" s="391"/>
      <c r="TRO1618" s="391"/>
      <c r="TRQ1618" s="391"/>
      <c r="TRS1618" s="391"/>
      <c r="TRU1618" s="391"/>
      <c r="TRW1618" s="391"/>
      <c r="TRY1618" s="391"/>
      <c r="TSA1618" s="391"/>
      <c r="TSC1618" s="391"/>
      <c r="TSE1618" s="391"/>
      <c r="TSG1618" s="391"/>
      <c r="TSI1618" s="391"/>
      <c r="TSK1618" s="391"/>
      <c r="TSM1618" s="391"/>
      <c r="TSO1618" s="391"/>
      <c r="TSQ1618" s="391"/>
      <c r="TSS1618" s="391"/>
      <c r="TSU1618" s="391"/>
      <c r="TSW1618" s="391"/>
      <c r="TSY1618" s="391"/>
      <c r="TTA1618" s="391"/>
      <c r="TTC1618" s="391"/>
      <c r="TTE1618" s="391"/>
      <c r="TTG1618" s="391"/>
      <c r="TTI1618" s="391"/>
      <c r="TTK1618" s="391"/>
      <c r="TTM1618" s="391"/>
      <c r="TTO1618" s="391"/>
      <c r="TTQ1618" s="391"/>
      <c r="TTS1618" s="391"/>
      <c r="TTU1618" s="391"/>
      <c r="TTW1618" s="391"/>
      <c r="TTY1618" s="391"/>
      <c r="TUA1618" s="391"/>
      <c r="TUC1618" s="391"/>
      <c r="TUE1618" s="391"/>
      <c r="TUG1618" s="391"/>
      <c r="TUI1618" s="391"/>
      <c r="TUK1618" s="391"/>
      <c r="TUM1618" s="391"/>
      <c r="TUO1618" s="391"/>
      <c r="TUQ1618" s="391"/>
      <c r="TUS1618" s="391"/>
      <c r="TUU1618" s="391"/>
      <c r="TUW1618" s="391"/>
      <c r="TUY1618" s="391"/>
      <c r="TVA1618" s="391"/>
      <c r="TVC1618" s="391"/>
      <c r="TVE1618" s="391"/>
      <c r="TVG1618" s="391"/>
      <c r="TVI1618" s="391"/>
      <c r="TVK1618" s="391"/>
      <c r="TVM1618" s="391"/>
      <c r="TVO1618" s="391"/>
      <c r="TVQ1618" s="391"/>
      <c r="TVS1618" s="391"/>
      <c r="TVU1618" s="391"/>
      <c r="TVW1618" s="391"/>
      <c r="TVY1618" s="391"/>
      <c r="TWA1618" s="391"/>
      <c r="TWC1618" s="391"/>
      <c r="TWE1618" s="391"/>
      <c r="TWG1618" s="391"/>
      <c r="TWI1618" s="391"/>
      <c r="TWK1618" s="391"/>
      <c r="TWM1618" s="391"/>
      <c r="TWO1618" s="391"/>
      <c r="TWQ1618" s="391"/>
      <c r="TWS1618" s="391"/>
      <c r="TWU1618" s="391"/>
      <c r="TWW1618" s="391"/>
      <c r="TWY1618" s="391"/>
      <c r="TXA1618" s="391"/>
      <c r="TXC1618" s="391"/>
      <c r="TXE1618" s="391"/>
      <c r="TXG1618" s="391"/>
      <c r="TXI1618" s="391"/>
      <c r="TXK1618" s="391"/>
      <c r="TXM1618" s="391"/>
      <c r="TXO1618" s="391"/>
      <c r="TXQ1618" s="391"/>
      <c r="TXS1618" s="391"/>
      <c r="TXU1618" s="391"/>
      <c r="TXW1618" s="391"/>
      <c r="TXY1618" s="391"/>
      <c r="TYA1618" s="391"/>
      <c r="TYC1618" s="391"/>
      <c r="TYE1618" s="391"/>
      <c r="TYG1618" s="391"/>
      <c r="TYI1618" s="391"/>
      <c r="TYK1618" s="391"/>
      <c r="TYM1618" s="391"/>
      <c r="TYO1618" s="391"/>
      <c r="TYQ1618" s="391"/>
      <c r="TYS1618" s="391"/>
      <c r="TYU1618" s="391"/>
      <c r="TYW1618" s="391"/>
      <c r="TYY1618" s="391"/>
      <c r="TZA1618" s="391"/>
      <c r="TZC1618" s="391"/>
      <c r="TZE1618" s="391"/>
      <c r="TZG1618" s="391"/>
      <c r="TZI1618" s="391"/>
      <c r="TZK1618" s="391"/>
      <c r="TZM1618" s="391"/>
      <c r="TZO1618" s="391"/>
      <c r="TZQ1618" s="391"/>
      <c r="TZS1618" s="391"/>
      <c r="TZU1618" s="391"/>
      <c r="TZW1618" s="391"/>
      <c r="TZY1618" s="391"/>
      <c r="UAA1618" s="391"/>
      <c r="UAC1618" s="391"/>
      <c r="UAE1618" s="391"/>
      <c r="UAG1618" s="391"/>
      <c r="UAI1618" s="391"/>
      <c r="UAK1618" s="391"/>
      <c r="UAM1618" s="391"/>
      <c r="UAO1618" s="391"/>
      <c r="UAQ1618" s="391"/>
      <c r="UAS1618" s="391"/>
      <c r="UAU1618" s="391"/>
      <c r="UAW1618" s="391"/>
      <c r="UAY1618" s="391"/>
      <c r="UBA1618" s="391"/>
      <c r="UBC1618" s="391"/>
      <c r="UBE1618" s="391"/>
      <c r="UBG1618" s="391"/>
      <c r="UBI1618" s="391"/>
      <c r="UBK1618" s="391"/>
      <c r="UBM1618" s="391"/>
      <c r="UBO1618" s="391"/>
      <c r="UBQ1618" s="391"/>
      <c r="UBS1618" s="391"/>
      <c r="UBU1618" s="391"/>
      <c r="UBW1618" s="391"/>
      <c r="UBY1618" s="391"/>
      <c r="UCA1618" s="391"/>
      <c r="UCC1618" s="391"/>
      <c r="UCE1618" s="391"/>
      <c r="UCG1618" s="391"/>
      <c r="UCI1618" s="391"/>
      <c r="UCK1618" s="391"/>
      <c r="UCM1618" s="391"/>
      <c r="UCO1618" s="391"/>
      <c r="UCQ1618" s="391"/>
      <c r="UCS1618" s="391"/>
      <c r="UCU1618" s="391"/>
      <c r="UCW1618" s="391"/>
      <c r="UCY1618" s="391"/>
      <c r="UDA1618" s="391"/>
      <c r="UDC1618" s="391"/>
      <c r="UDE1618" s="391"/>
      <c r="UDG1618" s="391"/>
      <c r="UDI1618" s="391"/>
      <c r="UDK1618" s="391"/>
      <c r="UDM1618" s="391"/>
      <c r="UDO1618" s="391"/>
      <c r="UDQ1618" s="391"/>
      <c r="UDS1618" s="391"/>
      <c r="UDU1618" s="391"/>
      <c r="UDW1618" s="391"/>
      <c r="UDY1618" s="391"/>
      <c r="UEA1618" s="391"/>
      <c r="UEC1618" s="391"/>
      <c r="UEE1618" s="391"/>
      <c r="UEG1618" s="391"/>
      <c r="UEI1618" s="391"/>
      <c r="UEK1618" s="391"/>
      <c r="UEM1618" s="391"/>
      <c r="UEO1618" s="391"/>
      <c r="UEQ1618" s="391"/>
      <c r="UES1618" s="391"/>
      <c r="UEU1618" s="391"/>
      <c r="UEW1618" s="391"/>
      <c r="UEY1618" s="391"/>
      <c r="UFA1618" s="391"/>
      <c r="UFC1618" s="391"/>
      <c r="UFE1618" s="391"/>
      <c r="UFG1618" s="391"/>
      <c r="UFI1618" s="391"/>
      <c r="UFK1618" s="391"/>
      <c r="UFM1618" s="391"/>
      <c r="UFO1618" s="391"/>
      <c r="UFQ1618" s="391"/>
      <c r="UFS1618" s="391"/>
      <c r="UFU1618" s="391"/>
      <c r="UFW1618" s="391"/>
      <c r="UFY1618" s="391"/>
      <c r="UGA1618" s="391"/>
      <c r="UGC1618" s="391"/>
      <c r="UGE1618" s="391"/>
      <c r="UGG1618" s="391"/>
      <c r="UGI1618" s="391"/>
      <c r="UGK1618" s="391"/>
      <c r="UGM1618" s="391"/>
      <c r="UGO1618" s="391"/>
      <c r="UGQ1618" s="391"/>
      <c r="UGS1618" s="391"/>
      <c r="UGU1618" s="391"/>
      <c r="UGW1618" s="391"/>
      <c r="UGY1618" s="391"/>
      <c r="UHA1618" s="391"/>
      <c r="UHC1618" s="391"/>
      <c r="UHE1618" s="391"/>
      <c r="UHG1618" s="391"/>
      <c r="UHI1618" s="391"/>
      <c r="UHK1618" s="391"/>
      <c r="UHM1618" s="391"/>
      <c r="UHO1618" s="391"/>
      <c r="UHQ1618" s="391"/>
      <c r="UHS1618" s="391"/>
      <c r="UHU1618" s="391"/>
      <c r="UHW1618" s="391"/>
      <c r="UHY1618" s="391"/>
      <c r="UIA1618" s="391"/>
      <c r="UIC1618" s="391"/>
      <c r="UIE1618" s="391"/>
      <c r="UIG1618" s="391"/>
      <c r="UII1618" s="391"/>
      <c r="UIK1618" s="391"/>
      <c r="UIM1618" s="391"/>
      <c r="UIO1618" s="391"/>
      <c r="UIQ1618" s="391"/>
      <c r="UIS1618" s="391"/>
      <c r="UIU1618" s="391"/>
      <c r="UIW1618" s="391"/>
      <c r="UIY1618" s="391"/>
      <c r="UJA1618" s="391"/>
      <c r="UJC1618" s="391"/>
      <c r="UJE1618" s="391"/>
      <c r="UJG1618" s="391"/>
      <c r="UJI1618" s="391"/>
      <c r="UJK1618" s="391"/>
      <c r="UJM1618" s="391"/>
      <c r="UJO1618" s="391"/>
      <c r="UJQ1618" s="391"/>
      <c r="UJS1618" s="391"/>
      <c r="UJU1618" s="391"/>
      <c r="UJW1618" s="391"/>
      <c r="UJY1618" s="391"/>
      <c r="UKA1618" s="391"/>
      <c r="UKC1618" s="391"/>
      <c r="UKE1618" s="391"/>
      <c r="UKG1618" s="391"/>
      <c r="UKI1618" s="391"/>
      <c r="UKK1618" s="391"/>
      <c r="UKM1618" s="391"/>
      <c r="UKO1618" s="391"/>
      <c r="UKQ1618" s="391"/>
      <c r="UKS1618" s="391"/>
      <c r="UKU1618" s="391"/>
      <c r="UKW1618" s="391"/>
      <c r="UKY1618" s="391"/>
      <c r="ULA1618" s="391"/>
      <c r="ULC1618" s="391"/>
      <c r="ULE1618" s="391"/>
      <c r="ULG1618" s="391"/>
      <c r="ULI1618" s="391"/>
      <c r="ULK1618" s="391"/>
      <c r="ULM1618" s="391"/>
      <c r="ULO1618" s="391"/>
      <c r="ULQ1618" s="391"/>
      <c r="ULS1618" s="391"/>
      <c r="ULU1618" s="391"/>
      <c r="ULW1618" s="391"/>
      <c r="ULY1618" s="391"/>
      <c r="UMA1618" s="391"/>
      <c r="UMC1618" s="391"/>
      <c r="UME1618" s="391"/>
      <c r="UMG1618" s="391"/>
      <c r="UMI1618" s="391"/>
      <c r="UMK1618" s="391"/>
      <c r="UMM1618" s="391"/>
      <c r="UMO1618" s="391"/>
      <c r="UMQ1618" s="391"/>
      <c r="UMS1618" s="391"/>
      <c r="UMU1618" s="391"/>
      <c r="UMW1618" s="391"/>
      <c r="UMY1618" s="391"/>
      <c r="UNA1618" s="391"/>
      <c r="UNC1618" s="391"/>
      <c r="UNE1618" s="391"/>
      <c r="UNG1618" s="391"/>
      <c r="UNI1618" s="391"/>
      <c r="UNK1618" s="391"/>
      <c r="UNM1618" s="391"/>
      <c r="UNO1618" s="391"/>
      <c r="UNQ1618" s="391"/>
      <c r="UNS1618" s="391"/>
      <c r="UNU1618" s="391"/>
      <c r="UNW1618" s="391"/>
      <c r="UNY1618" s="391"/>
      <c r="UOA1618" s="391"/>
      <c r="UOC1618" s="391"/>
      <c r="UOE1618" s="391"/>
      <c r="UOG1618" s="391"/>
      <c r="UOI1618" s="391"/>
      <c r="UOK1618" s="391"/>
      <c r="UOM1618" s="391"/>
      <c r="UOO1618" s="391"/>
      <c r="UOQ1618" s="391"/>
      <c r="UOS1618" s="391"/>
      <c r="UOU1618" s="391"/>
      <c r="UOW1618" s="391"/>
      <c r="UOY1618" s="391"/>
      <c r="UPA1618" s="391"/>
      <c r="UPC1618" s="391"/>
      <c r="UPE1618" s="391"/>
      <c r="UPG1618" s="391"/>
      <c r="UPI1618" s="391"/>
      <c r="UPK1618" s="391"/>
      <c r="UPM1618" s="391"/>
      <c r="UPO1618" s="391"/>
      <c r="UPQ1618" s="391"/>
      <c r="UPS1618" s="391"/>
      <c r="UPU1618" s="391"/>
      <c r="UPW1618" s="391"/>
      <c r="UPY1618" s="391"/>
      <c r="UQA1618" s="391"/>
      <c r="UQC1618" s="391"/>
      <c r="UQE1618" s="391"/>
      <c r="UQG1618" s="391"/>
      <c r="UQI1618" s="391"/>
      <c r="UQK1618" s="391"/>
      <c r="UQM1618" s="391"/>
      <c r="UQO1618" s="391"/>
      <c r="UQQ1618" s="391"/>
      <c r="UQS1618" s="391"/>
      <c r="UQU1618" s="391"/>
      <c r="UQW1618" s="391"/>
      <c r="UQY1618" s="391"/>
      <c r="URA1618" s="391"/>
      <c r="URC1618" s="391"/>
      <c r="URE1618" s="391"/>
      <c r="URG1618" s="391"/>
      <c r="URI1618" s="391"/>
      <c r="URK1618" s="391"/>
      <c r="URM1618" s="391"/>
      <c r="URO1618" s="391"/>
      <c r="URQ1618" s="391"/>
      <c r="URS1618" s="391"/>
      <c r="URU1618" s="391"/>
      <c r="URW1618" s="391"/>
      <c r="URY1618" s="391"/>
      <c r="USA1618" s="391"/>
      <c r="USC1618" s="391"/>
      <c r="USE1618" s="391"/>
      <c r="USG1618" s="391"/>
      <c r="USI1618" s="391"/>
      <c r="USK1618" s="391"/>
      <c r="USM1618" s="391"/>
      <c r="USO1618" s="391"/>
      <c r="USQ1618" s="391"/>
      <c r="USS1618" s="391"/>
      <c r="USU1618" s="391"/>
      <c r="USW1618" s="391"/>
      <c r="USY1618" s="391"/>
      <c r="UTA1618" s="391"/>
      <c r="UTC1618" s="391"/>
      <c r="UTE1618" s="391"/>
      <c r="UTG1618" s="391"/>
      <c r="UTI1618" s="391"/>
      <c r="UTK1618" s="391"/>
      <c r="UTM1618" s="391"/>
      <c r="UTO1618" s="391"/>
      <c r="UTQ1618" s="391"/>
      <c r="UTS1618" s="391"/>
      <c r="UTU1618" s="391"/>
      <c r="UTW1618" s="391"/>
      <c r="UTY1618" s="391"/>
      <c r="UUA1618" s="391"/>
      <c r="UUC1618" s="391"/>
      <c r="UUE1618" s="391"/>
      <c r="UUG1618" s="391"/>
      <c r="UUI1618" s="391"/>
      <c r="UUK1618" s="391"/>
      <c r="UUM1618" s="391"/>
      <c r="UUO1618" s="391"/>
      <c r="UUQ1618" s="391"/>
      <c r="UUS1618" s="391"/>
      <c r="UUU1618" s="391"/>
      <c r="UUW1618" s="391"/>
      <c r="UUY1618" s="391"/>
      <c r="UVA1618" s="391"/>
      <c r="UVC1618" s="391"/>
      <c r="UVE1618" s="391"/>
      <c r="UVG1618" s="391"/>
      <c r="UVI1618" s="391"/>
      <c r="UVK1618" s="391"/>
      <c r="UVM1618" s="391"/>
      <c r="UVO1618" s="391"/>
      <c r="UVQ1618" s="391"/>
      <c r="UVS1618" s="391"/>
      <c r="UVU1618" s="391"/>
      <c r="UVW1618" s="391"/>
      <c r="UVY1618" s="391"/>
      <c r="UWA1618" s="391"/>
      <c r="UWC1618" s="391"/>
      <c r="UWE1618" s="391"/>
      <c r="UWG1618" s="391"/>
      <c r="UWI1618" s="391"/>
      <c r="UWK1618" s="391"/>
      <c r="UWM1618" s="391"/>
      <c r="UWO1618" s="391"/>
      <c r="UWQ1618" s="391"/>
      <c r="UWS1618" s="391"/>
      <c r="UWU1618" s="391"/>
      <c r="UWW1618" s="391"/>
      <c r="UWY1618" s="391"/>
      <c r="UXA1618" s="391"/>
      <c r="UXC1618" s="391"/>
      <c r="UXE1618" s="391"/>
      <c r="UXG1618" s="391"/>
      <c r="UXI1618" s="391"/>
      <c r="UXK1618" s="391"/>
      <c r="UXM1618" s="391"/>
      <c r="UXO1618" s="391"/>
      <c r="UXQ1618" s="391"/>
      <c r="UXS1618" s="391"/>
      <c r="UXU1618" s="391"/>
      <c r="UXW1618" s="391"/>
      <c r="UXY1618" s="391"/>
      <c r="UYA1618" s="391"/>
      <c r="UYC1618" s="391"/>
      <c r="UYE1618" s="391"/>
      <c r="UYG1618" s="391"/>
      <c r="UYI1618" s="391"/>
      <c r="UYK1618" s="391"/>
      <c r="UYM1618" s="391"/>
      <c r="UYO1618" s="391"/>
      <c r="UYQ1618" s="391"/>
      <c r="UYS1618" s="391"/>
      <c r="UYU1618" s="391"/>
      <c r="UYW1618" s="391"/>
      <c r="UYY1618" s="391"/>
      <c r="UZA1618" s="391"/>
      <c r="UZC1618" s="391"/>
      <c r="UZE1618" s="391"/>
      <c r="UZG1618" s="391"/>
      <c r="UZI1618" s="391"/>
      <c r="UZK1618" s="391"/>
      <c r="UZM1618" s="391"/>
      <c r="UZO1618" s="391"/>
      <c r="UZQ1618" s="391"/>
      <c r="UZS1618" s="391"/>
      <c r="UZU1618" s="391"/>
      <c r="UZW1618" s="391"/>
      <c r="UZY1618" s="391"/>
      <c r="VAA1618" s="391"/>
      <c r="VAC1618" s="391"/>
      <c r="VAE1618" s="391"/>
      <c r="VAG1618" s="391"/>
      <c r="VAI1618" s="391"/>
      <c r="VAK1618" s="391"/>
      <c r="VAM1618" s="391"/>
      <c r="VAO1618" s="391"/>
      <c r="VAQ1618" s="391"/>
      <c r="VAS1618" s="391"/>
      <c r="VAU1618" s="391"/>
      <c r="VAW1618" s="391"/>
      <c r="VAY1618" s="391"/>
      <c r="VBA1618" s="391"/>
      <c r="VBC1618" s="391"/>
      <c r="VBE1618" s="391"/>
      <c r="VBG1618" s="391"/>
      <c r="VBI1618" s="391"/>
      <c r="VBK1618" s="391"/>
      <c r="VBM1618" s="391"/>
      <c r="VBO1618" s="391"/>
      <c r="VBQ1618" s="391"/>
      <c r="VBS1618" s="391"/>
      <c r="VBU1618" s="391"/>
      <c r="VBW1618" s="391"/>
      <c r="VBY1618" s="391"/>
      <c r="VCA1618" s="391"/>
      <c r="VCC1618" s="391"/>
      <c r="VCE1618" s="391"/>
      <c r="VCG1618" s="391"/>
      <c r="VCI1618" s="391"/>
      <c r="VCK1618" s="391"/>
      <c r="VCM1618" s="391"/>
      <c r="VCO1618" s="391"/>
      <c r="VCQ1618" s="391"/>
      <c r="VCS1618" s="391"/>
      <c r="VCU1618" s="391"/>
      <c r="VCW1618" s="391"/>
      <c r="VCY1618" s="391"/>
      <c r="VDA1618" s="391"/>
      <c r="VDC1618" s="391"/>
      <c r="VDE1618" s="391"/>
      <c r="VDG1618" s="391"/>
      <c r="VDI1618" s="391"/>
      <c r="VDK1618" s="391"/>
      <c r="VDM1618" s="391"/>
      <c r="VDO1618" s="391"/>
      <c r="VDQ1618" s="391"/>
      <c r="VDS1618" s="391"/>
      <c r="VDU1618" s="391"/>
      <c r="VDW1618" s="391"/>
      <c r="VDY1618" s="391"/>
      <c r="VEA1618" s="391"/>
      <c r="VEC1618" s="391"/>
      <c r="VEE1618" s="391"/>
      <c r="VEG1618" s="391"/>
      <c r="VEI1618" s="391"/>
      <c r="VEK1618" s="391"/>
      <c r="VEM1618" s="391"/>
      <c r="VEO1618" s="391"/>
      <c r="VEQ1618" s="391"/>
      <c r="VES1618" s="391"/>
      <c r="VEU1618" s="391"/>
      <c r="VEW1618" s="391"/>
      <c r="VEY1618" s="391"/>
      <c r="VFA1618" s="391"/>
      <c r="VFC1618" s="391"/>
      <c r="VFE1618" s="391"/>
      <c r="VFG1618" s="391"/>
      <c r="VFI1618" s="391"/>
      <c r="VFK1618" s="391"/>
      <c r="VFM1618" s="391"/>
      <c r="VFO1618" s="391"/>
      <c r="VFQ1618" s="391"/>
      <c r="VFS1618" s="391"/>
      <c r="VFU1618" s="391"/>
      <c r="VFW1618" s="391"/>
      <c r="VFY1618" s="391"/>
      <c r="VGA1618" s="391"/>
      <c r="VGC1618" s="391"/>
      <c r="VGE1618" s="391"/>
      <c r="VGG1618" s="391"/>
      <c r="VGI1618" s="391"/>
      <c r="VGK1618" s="391"/>
      <c r="VGM1618" s="391"/>
      <c r="VGO1618" s="391"/>
      <c r="VGQ1618" s="391"/>
      <c r="VGS1618" s="391"/>
      <c r="VGU1618" s="391"/>
      <c r="VGW1618" s="391"/>
      <c r="VGY1618" s="391"/>
      <c r="VHA1618" s="391"/>
      <c r="VHC1618" s="391"/>
      <c r="VHE1618" s="391"/>
      <c r="VHG1618" s="391"/>
      <c r="VHI1618" s="391"/>
      <c r="VHK1618" s="391"/>
      <c r="VHM1618" s="391"/>
      <c r="VHO1618" s="391"/>
      <c r="VHQ1618" s="391"/>
      <c r="VHS1618" s="391"/>
      <c r="VHU1618" s="391"/>
      <c r="VHW1618" s="391"/>
      <c r="VHY1618" s="391"/>
      <c r="VIA1618" s="391"/>
      <c r="VIC1618" s="391"/>
      <c r="VIE1618" s="391"/>
      <c r="VIG1618" s="391"/>
      <c r="VII1618" s="391"/>
      <c r="VIK1618" s="391"/>
      <c r="VIM1618" s="391"/>
      <c r="VIO1618" s="391"/>
      <c r="VIQ1618" s="391"/>
      <c r="VIS1618" s="391"/>
      <c r="VIU1618" s="391"/>
      <c r="VIW1618" s="391"/>
      <c r="VIY1618" s="391"/>
      <c r="VJA1618" s="391"/>
      <c r="VJC1618" s="391"/>
      <c r="VJE1618" s="391"/>
      <c r="VJG1618" s="391"/>
      <c r="VJI1618" s="391"/>
      <c r="VJK1618" s="391"/>
      <c r="VJM1618" s="391"/>
      <c r="VJO1618" s="391"/>
      <c r="VJQ1618" s="391"/>
      <c r="VJS1618" s="391"/>
      <c r="VJU1618" s="391"/>
      <c r="VJW1618" s="391"/>
      <c r="VJY1618" s="391"/>
      <c r="VKA1618" s="391"/>
      <c r="VKC1618" s="391"/>
      <c r="VKE1618" s="391"/>
      <c r="VKG1618" s="391"/>
      <c r="VKI1618" s="391"/>
      <c r="VKK1618" s="391"/>
      <c r="VKM1618" s="391"/>
      <c r="VKO1618" s="391"/>
      <c r="VKQ1618" s="391"/>
      <c r="VKS1618" s="391"/>
      <c r="VKU1618" s="391"/>
      <c r="VKW1618" s="391"/>
      <c r="VKY1618" s="391"/>
      <c r="VLA1618" s="391"/>
      <c r="VLC1618" s="391"/>
      <c r="VLE1618" s="391"/>
      <c r="VLG1618" s="391"/>
      <c r="VLI1618" s="391"/>
      <c r="VLK1618" s="391"/>
      <c r="VLM1618" s="391"/>
      <c r="VLO1618" s="391"/>
      <c r="VLQ1618" s="391"/>
      <c r="VLS1618" s="391"/>
      <c r="VLU1618" s="391"/>
      <c r="VLW1618" s="391"/>
      <c r="VLY1618" s="391"/>
      <c r="VMA1618" s="391"/>
      <c r="VMC1618" s="391"/>
      <c r="VME1618" s="391"/>
      <c r="VMG1618" s="391"/>
      <c r="VMI1618" s="391"/>
      <c r="VMK1618" s="391"/>
      <c r="VMM1618" s="391"/>
      <c r="VMO1618" s="391"/>
      <c r="VMQ1618" s="391"/>
      <c r="VMS1618" s="391"/>
      <c r="VMU1618" s="391"/>
      <c r="VMW1618" s="391"/>
      <c r="VMY1618" s="391"/>
      <c r="VNA1618" s="391"/>
      <c r="VNC1618" s="391"/>
      <c r="VNE1618" s="391"/>
      <c r="VNG1618" s="391"/>
      <c r="VNI1618" s="391"/>
      <c r="VNK1618" s="391"/>
      <c r="VNM1618" s="391"/>
      <c r="VNO1618" s="391"/>
      <c r="VNQ1618" s="391"/>
      <c r="VNS1618" s="391"/>
      <c r="VNU1618" s="391"/>
      <c r="VNW1618" s="391"/>
      <c r="VNY1618" s="391"/>
      <c r="VOA1618" s="391"/>
      <c r="VOC1618" s="391"/>
      <c r="VOE1618" s="391"/>
      <c r="VOG1618" s="391"/>
      <c r="VOI1618" s="391"/>
      <c r="VOK1618" s="391"/>
      <c r="VOM1618" s="391"/>
      <c r="VOO1618" s="391"/>
      <c r="VOQ1618" s="391"/>
      <c r="VOS1618" s="391"/>
      <c r="VOU1618" s="391"/>
      <c r="VOW1618" s="391"/>
      <c r="VOY1618" s="391"/>
      <c r="VPA1618" s="391"/>
      <c r="VPC1618" s="391"/>
      <c r="VPE1618" s="391"/>
      <c r="VPG1618" s="391"/>
      <c r="VPI1618" s="391"/>
      <c r="VPK1618" s="391"/>
      <c r="VPM1618" s="391"/>
      <c r="VPO1618" s="391"/>
      <c r="VPQ1618" s="391"/>
      <c r="VPS1618" s="391"/>
      <c r="VPU1618" s="391"/>
      <c r="VPW1618" s="391"/>
      <c r="VPY1618" s="391"/>
      <c r="VQA1618" s="391"/>
      <c r="VQC1618" s="391"/>
      <c r="VQE1618" s="391"/>
      <c r="VQG1618" s="391"/>
      <c r="VQI1618" s="391"/>
      <c r="VQK1618" s="391"/>
      <c r="VQM1618" s="391"/>
      <c r="VQO1618" s="391"/>
      <c r="VQQ1618" s="391"/>
      <c r="VQS1618" s="391"/>
      <c r="VQU1618" s="391"/>
      <c r="VQW1618" s="391"/>
      <c r="VQY1618" s="391"/>
      <c r="VRA1618" s="391"/>
      <c r="VRC1618" s="391"/>
      <c r="VRE1618" s="391"/>
      <c r="VRG1618" s="391"/>
      <c r="VRI1618" s="391"/>
      <c r="VRK1618" s="391"/>
      <c r="VRM1618" s="391"/>
      <c r="VRO1618" s="391"/>
      <c r="VRQ1618" s="391"/>
      <c r="VRS1618" s="391"/>
      <c r="VRU1618" s="391"/>
      <c r="VRW1618" s="391"/>
      <c r="VRY1618" s="391"/>
      <c r="VSA1618" s="391"/>
      <c r="VSC1618" s="391"/>
      <c r="VSE1618" s="391"/>
      <c r="VSG1618" s="391"/>
      <c r="VSI1618" s="391"/>
      <c r="VSK1618" s="391"/>
      <c r="VSM1618" s="391"/>
      <c r="VSO1618" s="391"/>
      <c r="VSQ1618" s="391"/>
      <c r="VSS1618" s="391"/>
      <c r="VSU1618" s="391"/>
      <c r="VSW1618" s="391"/>
      <c r="VSY1618" s="391"/>
      <c r="VTA1618" s="391"/>
      <c r="VTC1618" s="391"/>
      <c r="VTE1618" s="391"/>
      <c r="VTG1618" s="391"/>
      <c r="VTI1618" s="391"/>
      <c r="VTK1618" s="391"/>
      <c r="VTM1618" s="391"/>
      <c r="VTO1618" s="391"/>
      <c r="VTQ1618" s="391"/>
      <c r="VTS1618" s="391"/>
      <c r="VTU1618" s="391"/>
      <c r="VTW1618" s="391"/>
      <c r="VTY1618" s="391"/>
      <c r="VUA1618" s="391"/>
      <c r="VUC1618" s="391"/>
      <c r="VUE1618" s="391"/>
      <c r="VUG1618" s="391"/>
      <c r="VUI1618" s="391"/>
      <c r="VUK1618" s="391"/>
      <c r="VUM1618" s="391"/>
      <c r="VUO1618" s="391"/>
      <c r="VUQ1618" s="391"/>
      <c r="VUS1618" s="391"/>
      <c r="VUU1618" s="391"/>
      <c r="VUW1618" s="391"/>
      <c r="VUY1618" s="391"/>
      <c r="VVA1618" s="391"/>
      <c r="VVC1618" s="391"/>
      <c r="VVE1618" s="391"/>
      <c r="VVG1618" s="391"/>
      <c r="VVI1618" s="391"/>
      <c r="VVK1618" s="391"/>
      <c r="VVM1618" s="391"/>
      <c r="VVO1618" s="391"/>
      <c r="VVQ1618" s="391"/>
      <c r="VVS1618" s="391"/>
      <c r="VVU1618" s="391"/>
      <c r="VVW1618" s="391"/>
      <c r="VVY1618" s="391"/>
      <c r="VWA1618" s="391"/>
      <c r="VWC1618" s="391"/>
      <c r="VWE1618" s="391"/>
      <c r="VWG1618" s="391"/>
      <c r="VWI1618" s="391"/>
      <c r="VWK1618" s="391"/>
      <c r="VWM1618" s="391"/>
      <c r="VWO1618" s="391"/>
      <c r="VWQ1618" s="391"/>
      <c r="VWS1618" s="391"/>
      <c r="VWU1618" s="391"/>
      <c r="VWW1618" s="391"/>
      <c r="VWY1618" s="391"/>
      <c r="VXA1618" s="391"/>
      <c r="VXC1618" s="391"/>
      <c r="VXE1618" s="391"/>
      <c r="VXG1618" s="391"/>
      <c r="VXI1618" s="391"/>
      <c r="VXK1618" s="391"/>
      <c r="VXM1618" s="391"/>
      <c r="VXO1618" s="391"/>
      <c r="VXQ1618" s="391"/>
      <c r="VXS1618" s="391"/>
      <c r="VXU1618" s="391"/>
      <c r="VXW1618" s="391"/>
      <c r="VXY1618" s="391"/>
      <c r="VYA1618" s="391"/>
      <c r="VYC1618" s="391"/>
      <c r="VYE1618" s="391"/>
      <c r="VYG1618" s="391"/>
      <c r="VYI1618" s="391"/>
      <c r="VYK1618" s="391"/>
      <c r="VYM1618" s="391"/>
      <c r="VYO1618" s="391"/>
      <c r="VYQ1618" s="391"/>
      <c r="VYS1618" s="391"/>
      <c r="VYU1618" s="391"/>
      <c r="VYW1618" s="391"/>
      <c r="VYY1618" s="391"/>
      <c r="VZA1618" s="391"/>
      <c r="VZC1618" s="391"/>
      <c r="VZE1618" s="391"/>
      <c r="VZG1618" s="391"/>
      <c r="VZI1618" s="391"/>
      <c r="VZK1618" s="391"/>
      <c r="VZM1618" s="391"/>
      <c r="VZO1618" s="391"/>
      <c r="VZQ1618" s="391"/>
      <c r="VZS1618" s="391"/>
      <c r="VZU1618" s="391"/>
      <c r="VZW1618" s="391"/>
      <c r="VZY1618" s="391"/>
      <c r="WAA1618" s="391"/>
      <c r="WAC1618" s="391"/>
      <c r="WAE1618" s="391"/>
      <c r="WAG1618" s="391"/>
      <c r="WAI1618" s="391"/>
      <c r="WAK1618" s="391"/>
      <c r="WAM1618" s="391"/>
      <c r="WAO1618" s="391"/>
      <c r="WAQ1618" s="391"/>
      <c r="WAS1618" s="391"/>
      <c r="WAU1618" s="391"/>
      <c r="WAW1618" s="391"/>
      <c r="WAY1618" s="391"/>
      <c r="WBA1618" s="391"/>
      <c r="WBC1618" s="391"/>
      <c r="WBE1618" s="391"/>
      <c r="WBG1618" s="391"/>
      <c r="WBI1618" s="391"/>
      <c r="WBK1618" s="391"/>
      <c r="WBM1618" s="391"/>
      <c r="WBO1618" s="391"/>
      <c r="WBQ1618" s="391"/>
      <c r="WBS1618" s="391"/>
      <c r="WBU1618" s="391"/>
      <c r="WBW1618" s="391"/>
      <c r="WBY1618" s="391"/>
      <c r="WCA1618" s="391"/>
      <c r="WCC1618" s="391"/>
      <c r="WCE1618" s="391"/>
      <c r="WCG1618" s="391"/>
      <c r="WCI1618" s="391"/>
      <c r="WCK1618" s="391"/>
      <c r="WCM1618" s="391"/>
      <c r="WCO1618" s="391"/>
      <c r="WCQ1618" s="391"/>
      <c r="WCS1618" s="391"/>
      <c r="WCU1618" s="391"/>
      <c r="WCW1618" s="391"/>
      <c r="WCY1618" s="391"/>
      <c r="WDA1618" s="391"/>
      <c r="WDC1618" s="391"/>
      <c r="WDE1618" s="391"/>
      <c r="WDG1618" s="391"/>
      <c r="WDI1618" s="391"/>
      <c r="WDK1618" s="391"/>
      <c r="WDM1618" s="391"/>
      <c r="WDO1618" s="391"/>
      <c r="WDQ1618" s="391"/>
      <c r="WDS1618" s="391"/>
      <c r="WDU1618" s="391"/>
      <c r="WDW1618" s="391"/>
      <c r="WDY1618" s="391"/>
      <c r="WEA1618" s="391"/>
      <c r="WEC1618" s="391"/>
      <c r="WEE1618" s="391"/>
      <c r="WEG1618" s="391"/>
      <c r="WEI1618" s="391"/>
      <c r="WEK1618" s="391"/>
      <c r="WEM1618" s="391"/>
      <c r="WEO1618" s="391"/>
      <c r="WEQ1618" s="391"/>
      <c r="WES1618" s="391"/>
      <c r="WEU1618" s="391"/>
      <c r="WEW1618" s="391"/>
      <c r="WEY1618" s="391"/>
      <c r="WFA1618" s="391"/>
      <c r="WFC1618" s="391"/>
      <c r="WFE1618" s="391"/>
      <c r="WFG1618" s="391"/>
      <c r="WFI1618" s="391"/>
      <c r="WFK1618" s="391"/>
      <c r="WFM1618" s="391"/>
      <c r="WFO1618" s="391"/>
      <c r="WFQ1618" s="391"/>
      <c r="WFS1618" s="391"/>
      <c r="WFU1618" s="391"/>
      <c r="WFW1618" s="391"/>
      <c r="WFY1618" s="391"/>
      <c r="WGA1618" s="391"/>
      <c r="WGC1618" s="391"/>
      <c r="WGE1618" s="391"/>
      <c r="WGG1618" s="391"/>
      <c r="WGI1618" s="391"/>
      <c r="WGK1618" s="391"/>
      <c r="WGM1618" s="391"/>
      <c r="WGO1618" s="391"/>
      <c r="WGQ1618" s="391"/>
      <c r="WGS1618" s="391"/>
      <c r="WGU1618" s="391"/>
      <c r="WGW1618" s="391"/>
      <c r="WGY1618" s="391"/>
      <c r="WHA1618" s="391"/>
      <c r="WHC1618" s="391"/>
      <c r="WHE1618" s="391"/>
      <c r="WHG1618" s="391"/>
      <c r="WHI1618" s="391"/>
      <c r="WHK1618" s="391"/>
      <c r="WHM1618" s="391"/>
      <c r="WHO1618" s="391"/>
      <c r="WHQ1618" s="391"/>
      <c r="WHS1618" s="391"/>
      <c r="WHU1618" s="391"/>
      <c r="WHW1618" s="391"/>
      <c r="WHY1618" s="391"/>
      <c r="WIA1618" s="391"/>
      <c r="WIC1618" s="391"/>
      <c r="WIE1618" s="391"/>
      <c r="WIG1618" s="391"/>
      <c r="WII1618" s="391"/>
      <c r="WIK1618" s="391"/>
      <c r="WIM1618" s="391"/>
      <c r="WIO1618" s="391"/>
      <c r="WIQ1618" s="391"/>
      <c r="WIS1618" s="391"/>
      <c r="WIU1618" s="391"/>
      <c r="WIW1618" s="391"/>
      <c r="WIY1618" s="391"/>
      <c r="WJA1618" s="391"/>
      <c r="WJC1618" s="391"/>
      <c r="WJE1618" s="391"/>
      <c r="WJG1618" s="391"/>
      <c r="WJI1618" s="391"/>
      <c r="WJK1618" s="391"/>
      <c r="WJM1618" s="391"/>
      <c r="WJO1618" s="391"/>
      <c r="WJQ1618" s="391"/>
      <c r="WJS1618" s="391"/>
      <c r="WJU1618" s="391"/>
      <c r="WJW1618" s="391"/>
      <c r="WJY1618" s="391"/>
      <c r="WKA1618" s="391"/>
      <c r="WKC1618" s="391"/>
      <c r="WKE1618" s="391"/>
      <c r="WKG1618" s="391"/>
      <c r="WKI1618" s="391"/>
      <c r="WKK1618" s="391"/>
      <c r="WKM1618" s="391"/>
      <c r="WKO1618" s="391"/>
      <c r="WKQ1618" s="391"/>
      <c r="WKS1618" s="391"/>
      <c r="WKU1618" s="391"/>
      <c r="WKW1618" s="391"/>
      <c r="WKY1618" s="391"/>
      <c r="WLA1618" s="391"/>
      <c r="WLC1618" s="391"/>
      <c r="WLE1618" s="391"/>
      <c r="WLG1618" s="391"/>
      <c r="WLI1618" s="391"/>
      <c r="WLK1618" s="391"/>
      <c r="WLM1618" s="391"/>
      <c r="WLO1618" s="391"/>
      <c r="WLQ1618" s="391"/>
      <c r="WLS1618" s="391"/>
      <c r="WLU1618" s="391"/>
      <c r="WLW1618" s="391"/>
      <c r="WLY1618" s="391"/>
      <c r="WMA1618" s="391"/>
      <c r="WMC1618" s="391"/>
      <c r="WME1618" s="391"/>
      <c r="WMG1618" s="391"/>
      <c r="WMI1618" s="391"/>
      <c r="WMK1618" s="391"/>
      <c r="WMM1618" s="391"/>
      <c r="WMO1618" s="391"/>
      <c r="WMQ1618" s="391"/>
      <c r="WMS1618" s="391"/>
      <c r="WMU1618" s="391"/>
      <c r="WMW1618" s="391"/>
      <c r="WMY1618" s="391"/>
      <c r="WNA1618" s="391"/>
      <c r="WNC1618" s="391"/>
      <c r="WNE1618" s="391"/>
      <c r="WNG1618" s="391"/>
      <c r="WNI1618" s="391"/>
      <c r="WNK1618" s="391"/>
      <c r="WNM1618" s="391"/>
      <c r="WNO1618" s="391"/>
      <c r="WNQ1618" s="391"/>
      <c r="WNS1618" s="391"/>
      <c r="WNU1618" s="391"/>
      <c r="WNW1618" s="391"/>
      <c r="WNY1618" s="391"/>
      <c r="WOA1618" s="391"/>
      <c r="WOC1618" s="391"/>
      <c r="WOE1618" s="391"/>
      <c r="WOG1618" s="391"/>
      <c r="WOI1618" s="391"/>
      <c r="WOK1618" s="391"/>
      <c r="WOM1618" s="391"/>
      <c r="WOO1618" s="391"/>
      <c r="WOQ1618" s="391"/>
      <c r="WOS1618" s="391"/>
      <c r="WOU1618" s="391"/>
      <c r="WOW1618" s="391"/>
      <c r="WOY1618" s="391"/>
      <c r="WPA1618" s="391"/>
      <c r="WPC1618" s="391"/>
      <c r="WPE1618" s="391"/>
      <c r="WPG1618" s="391"/>
      <c r="WPI1618" s="391"/>
      <c r="WPK1618" s="391"/>
      <c r="WPM1618" s="391"/>
      <c r="WPO1618" s="391"/>
      <c r="WPQ1618" s="391"/>
      <c r="WPS1618" s="391"/>
      <c r="WPU1618" s="391"/>
      <c r="WPW1618" s="391"/>
      <c r="WPY1618" s="391"/>
      <c r="WQA1618" s="391"/>
      <c r="WQC1618" s="391"/>
      <c r="WQE1618" s="391"/>
      <c r="WQG1618" s="391"/>
      <c r="WQI1618" s="391"/>
      <c r="WQK1618" s="391"/>
      <c r="WQM1618" s="391"/>
      <c r="WQO1618" s="391"/>
      <c r="WQQ1618" s="391"/>
      <c r="WQS1618" s="391"/>
      <c r="WQU1618" s="391"/>
      <c r="WQW1618" s="391"/>
      <c r="WQY1618" s="391"/>
      <c r="WRA1618" s="391"/>
      <c r="WRC1618" s="391"/>
      <c r="WRE1618" s="391"/>
      <c r="WRG1618" s="391"/>
      <c r="WRI1618" s="391"/>
      <c r="WRK1618" s="391"/>
      <c r="WRM1618" s="391"/>
      <c r="WRO1618" s="391"/>
      <c r="WRQ1618" s="391"/>
      <c r="WRS1618" s="391"/>
      <c r="WRU1618" s="391"/>
      <c r="WRW1618" s="391"/>
      <c r="WRY1618" s="391"/>
      <c r="WSA1618" s="391"/>
      <c r="WSC1618" s="391"/>
      <c r="WSE1618" s="391"/>
      <c r="WSG1618" s="391"/>
      <c r="WSI1618" s="391"/>
      <c r="WSK1618" s="391"/>
      <c r="WSM1618" s="391"/>
      <c r="WSO1618" s="391"/>
      <c r="WSQ1618" s="391"/>
      <c r="WSS1618" s="391"/>
      <c r="WSU1618" s="391"/>
      <c r="WSW1618" s="391"/>
      <c r="WSY1618" s="391"/>
      <c r="WTA1618" s="391"/>
      <c r="WTC1618" s="391"/>
      <c r="WTE1618" s="391"/>
      <c r="WTG1618" s="391"/>
      <c r="WTI1618" s="391"/>
      <c r="WTK1618" s="391"/>
      <c r="WTM1618" s="391"/>
      <c r="WTO1618" s="391"/>
      <c r="WTQ1618" s="391"/>
      <c r="WTS1618" s="391"/>
      <c r="WTU1618" s="391"/>
      <c r="WTW1618" s="391"/>
      <c r="WTY1618" s="391"/>
      <c r="WUA1618" s="391"/>
      <c r="WUC1618" s="391"/>
      <c r="WUE1618" s="391"/>
      <c r="WUG1618" s="391"/>
      <c r="WUI1618" s="391"/>
      <c r="WUK1618" s="391"/>
      <c r="WUM1618" s="391"/>
      <c r="WUO1618" s="391"/>
      <c r="WUQ1618" s="391"/>
      <c r="WUS1618" s="391"/>
      <c r="WUU1618" s="391"/>
      <c r="WUW1618" s="391"/>
      <c r="WUY1618" s="391"/>
      <c r="WVA1618" s="391"/>
      <c r="WVC1618" s="391"/>
      <c r="WVE1618" s="391"/>
      <c r="WVG1618" s="391"/>
      <c r="WVI1618" s="391"/>
      <c r="WVK1618" s="391"/>
      <c r="WVM1618" s="391"/>
      <c r="WVO1618" s="391"/>
      <c r="WVQ1618" s="391"/>
      <c r="WVS1618" s="391"/>
      <c r="WVU1618" s="391"/>
      <c r="WVW1618" s="391"/>
      <c r="WVY1618" s="391"/>
      <c r="WWA1618" s="391"/>
      <c r="WWC1618" s="391"/>
      <c r="WWE1618" s="391"/>
      <c r="WWG1618" s="391"/>
      <c r="WWI1618" s="391"/>
      <c r="WWK1618" s="391"/>
      <c r="WWM1618" s="391"/>
      <c r="WWO1618" s="391"/>
      <c r="WWQ1618" s="391"/>
      <c r="WWS1618" s="391"/>
      <c r="WWU1618" s="391"/>
      <c r="WWW1618" s="391"/>
      <c r="WWY1618" s="391"/>
      <c r="WXA1618" s="391"/>
      <c r="WXC1618" s="391"/>
      <c r="WXE1618" s="391"/>
      <c r="WXG1618" s="391"/>
      <c r="WXI1618" s="391"/>
      <c r="WXK1618" s="391"/>
      <c r="WXM1618" s="391"/>
      <c r="WXO1618" s="391"/>
      <c r="WXQ1618" s="391"/>
      <c r="WXS1618" s="391"/>
      <c r="WXU1618" s="391"/>
      <c r="WXW1618" s="391"/>
      <c r="WXY1618" s="391"/>
      <c r="WYA1618" s="391"/>
      <c r="WYC1618" s="391"/>
      <c r="WYE1618" s="391"/>
      <c r="WYG1618" s="391"/>
      <c r="WYI1618" s="391"/>
      <c r="WYK1618" s="391"/>
      <c r="WYM1618" s="391"/>
      <c r="WYO1618" s="391"/>
      <c r="WYQ1618" s="391"/>
      <c r="WYS1618" s="391"/>
      <c r="WYU1618" s="391"/>
      <c r="WYW1618" s="391"/>
      <c r="WYY1618" s="391"/>
      <c r="WZA1618" s="391"/>
      <c r="WZC1618" s="391"/>
      <c r="WZE1618" s="391"/>
      <c r="WZG1618" s="391"/>
      <c r="WZI1618" s="391"/>
      <c r="WZK1618" s="391"/>
      <c r="WZM1618" s="391"/>
      <c r="WZO1618" s="391"/>
      <c r="WZQ1618" s="391"/>
      <c r="WZS1618" s="391"/>
      <c r="WZU1618" s="391"/>
      <c r="WZW1618" s="391"/>
      <c r="WZY1618" s="391"/>
      <c r="XAA1618" s="391"/>
      <c r="XAC1618" s="391"/>
      <c r="XAE1618" s="391"/>
      <c r="XAG1618" s="391"/>
      <c r="XAI1618" s="391"/>
      <c r="XAK1618" s="391"/>
      <c r="XAM1618" s="391"/>
      <c r="XAO1618" s="391"/>
      <c r="XAQ1618" s="391"/>
      <c r="XAS1618" s="391"/>
      <c r="XAU1618" s="391"/>
      <c r="XAW1618" s="391"/>
      <c r="XAY1618" s="391"/>
      <c r="XBA1618" s="391"/>
      <c r="XBC1618" s="391"/>
      <c r="XBE1618" s="391"/>
      <c r="XBG1618" s="391"/>
      <c r="XBI1618" s="391"/>
      <c r="XBK1618" s="391"/>
      <c r="XBM1618" s="391"/>
      <c r="XBO1618" s="391"/>
      <c r="XBQ1618" s="391"/>
      <c r="XBS1618" s="391"/>
      <c r="XBU1618" s="391"/>
      <c r="XBW1618" s="391"/>
      <c r="XBY1618" s="391"/>
      <c r="XCA1618" s="391"/>
      <c r="XCC1618" s="391"/>
      <c r="XCE1618" s="391"/>
      <c r="XCG1618" s="391"/>
      <c r="XCI1618" s="391"/>
      <c r="XCK1618" s="391"/>
      <c r="XCM1618" s="391"/>
      <c r="XCO1618" s="391"/>
      <c r="XCQ1618" s="391"/>
      <c r="XCS1618" s="391"/>
      <c r="XCU1618" s="391"/>
      <c r="XCW1618" s="391"/>
      <c r="XCY1618" s="391"/>
      <c r="XDA1618" s="391"/>
      <c r="XDC1618" s="391"/>
      <c r="XDE1618" s="391"/>
      <c r="XDG1618" s="391"/>
      <c r="XDI1618" s="391"/>
      <c r="XDK1618" s="391"/>
      <c r="XDM1618" s="391"/>
      <c r="XDO1618" s="391"/>
      <c r="XDQ1618" s="391"/>
      <c r="XDS1618" s="391"/>
      <c r="XDU1618" s="391"/>
      <c r="XDW1618" s="391"/>
      <c r="XDY1618" s="391"/>
      <c r="XEA1618" s="391"/>
      <c r="XEC1618" s="391"/>
      <c r="XEE1618" s="391"/>
      <c r="XEG1618" s="391"/>
      <c r="XEI1618" s="391"/>
      <c r="XEK1618" s="391"/>
      <c r="XEM1618" s="391"/>
      <c r="XEO1618" s="391"/>
      <c r="XEQ1618" s="391"/>
      <c r="XES1618" s="391"/>
      <c r="XEU1618" s="391"/>
      <c r="XEW1618" s="391"/>
      <c r="XEY1618" s="391"/>
      <c r="XFA1618" s="391"/>
      <c r="XFC1618" s="391"/>
    </row>
    <row r="1619" spans="1:1023 1025:2047 2049:3071 3073:4095 4097:5119 5121:6143 6145:7167 7169:8191 8193:9215 9217:10239 10241:11263 11265:12287 12289:13311 13313:14335 14337:15359 15361:16383">
      <c r="A1619" s="390"/>
      <c r="B1619" s="405" t="s">
        <v>2641</v>
      </c>
      <c r="C1619" s="390">
        <v>96611</v>
      </c>
      <c r="D1619" s="390"/>
      <c r="H1619" s="300"/>
      <c r="J1619" s="387"/>
      <c r="K1619" s="300"/>
      <c r="Q1619" s="300"/>
    </row>
    <row r="1620" spans="1:1023 1025:2047 2049:3071 3073:4095 4097:5119 5121:6143 6145:7167 7169:8191 8193:9215 9217:10239 10241:11263 11265:12287 12289:13311 13313:14335 14337:15359 15361:16383">
      <c r="A1620" s="390"/>
      <c r="B1620" s="405" t="s">
        <v>2642</v>
      </c>
      <c r="C1620" s="390">
        <v>96741</v>
      </c>
      <c r="D1620" s="390"/>
      <c r="H1620" s="300"/>
      <c r="J1620" s="387"/>
      <c r="K1620" s="300"/>
      <c r="Q1620" s="300"/>
    </row>
    <row r="1621" spans="1:1023 1025:2047 2049:3071 3073:4095 4097:5119 5121:6143 6145:7167 7169:8191 8193:9215 9217:10239 10241:11263 11265:12287 12289:13311 13313:14335 14337:15359 15361:16383">
      <c r="A1621" s="390"/>
      <c r="B1621" s="405" t="s">
        <v>1400</v>
      </c>
      <c r="C1621" s="390">
        <v>97701</v>
      </c>
      <c r="D1621" s="390"/>
      <c r="H1621" s="300"/>
      <c r="J1621" s="387"/>
      <c r="K1621" s="300"/>
      <c r="Q1621" s="300"/>
    </row>
    <row r="1622" spans="1:1023 1025:2047 2049:3071 3073:4095 4097:5119 5121:6143 6145:7167 7169:8191 8193:9215 9217:10239 10241:11263 11265:12287 12289:13311 13313:14335 14337:15359 15361:16383">
      <c r="A1622" s="390"/>
      <c r="B1622" s="405" t="s">
        <v>2643</v>
      </c>
      <c r="C1622" s="390">
        <v>92541</v>
      </c>
      <c r="D1622" s="390"/>
      <c r="H1622" s="300"/>
      <c r="J1622" s="388"/>
      <c r="K1622" s="300"/>
      <c r="Q1622" s="300"/>
    </row>
    <row r="1623" spans="1:1023 1025:2047 2049:3071 3073:4095 4097:5119 5121:6143 6145:7167 7169:8191 8193:9215 9217:10239 10241:11263 11265:12287 12289:13311 13313:14335 14337:15359 15361:16383">
      <c r="A1623" s="390"/>
      <c r="B1623" s="405" t="s">
        <v>1999</v>
      </c>
      <c r="C1623" s="390">
        <v>94221</v>
      </c>
      <c r="D1623" s="390"/>
      <c r="H1623" s="300"/>
      <c r="J1623" s="387"/>
      <c r="K1623" s="300"/>
      <c r="Q1623" s="300"/>
    </row>
    <row r="1624" spans="1:1023 1025:2047 2049:3071 3073:4095 4097:5119 5121:6143 6145:7167 7169:8191 8193:9215 9217:10239 10241:11263 11265:12287 12289:13311 13313:14335 14337:15359 15361:16383">
      <c r="A1624" s="390"/>
      <c r="B1624" s="405" t="s">
        <v>1118</v>
      </c>
      <c r="C1624" s="390">
        <v>94209</v>
      </c>
      <c r="D1624" s="390"/>
      <c r="H1624" s="300"/>
      <c r="J1624" s="387"/>
      <c r="K1624" s="300"/>
      <c r="Q1624" s="300"/>
    </row>
    <row r="1625" spans="1:1023 1025:2047 2049:3071 3073:4095 4097:5119 5121:6143 6145:7167 7169:8191 8193:9215 9217:10239 10241:11263 11265:12287 12289:13311 13313:14335 14337:15359 15361:16383">
      <c r="A1625" s="390"/>
      <c r="B1625" s="405" t="s">
        <v>2644</v>
      </c>
      <c r="C1625" s="390">
        <v>96341</v>
      </c>
      <c r="D1625" s="390"/>
      <c r="H1625" s="300"/>
      <c r="J1625" s="388"/>
      <c r="K1625" s="300"/>
      <c r="Q1625" s="300"/>
    </row>
    <row r="1626" spans="1:1023 1025:2047 2049:3071 3073:4095 4097:5119 5121:6143 6145:7167 7169:8191 8193:9215 9217:10239 10241:11263 11265:12287 12289:13311 13313:14335 14337:15359 15361:16383">
      <c r="A1626" s="390"/>
      <c r="B1626" s="405" t="s">
        <v>2645</v>
      </c>
      <c r="C1626" s="390">
        <v>93821</v>
      </c>
      <c r="D1626" s="390"/>
      <c r="H1626" s="300"/>
      <c r="J1626" s="387"/>
      <c r="K1626" s="300"/>
      <c r="Q1626" s="300"/>
    </row>
    <row r="1627" spans="1:1023 1025:2047 2049:3071 3073:4095 4097:5119 5121:6143 6145:7167 7169:8191 8193:9215 9217:10239 10241:11263 11265:12287 12289:13311 13313:14335 14337:15359 15361:16383">
      <c r="A1627" s="390"/>
      <c r="B1627" s="405" t="s">
        <v>2646</v>
      </c>
      <c r="C1627" s="390">
        <v>95851</v>
      </c>
      <c r="D1627" s="390"/>
      <c r="H1627" s="300"/>
      <c r="J1627" s="387"/>
      <c r="K1627" s="300"/>
      <c r="Q1627" s="300"/>
    </row>
    <row r="1628" spans="1:1023 1025:2047 2049:3071 3073:4095 4097:5119 5121:6143 6145:7167 7169:8191 8193:9215 9217:10239 10241:11263 11265:12287 12289:13311 13313:14335 14337:15359 15361:16383">
      <c r="A1628" s="390"/>
      <c r="B1628" s="405" t="s">
        <v>1243</v>
      </c>
      <c r="C1628" s="390">
        <v>95853</v>
      </c>
      <c r="D1628" s="390"/>
      <c r="H1628" s="300"/>
      <c r="J1628" s="387"/>
      <c r="K1628" s="300"/>
      <c r="Q1628" s="300"/>
    </row>
    <row r="1629" spans="1:1023 1025:2047 2049:3071 3073:4095 4097:5119 5121:6143 6145:7167 7169:8191 8193:9215 9217:10239 10241:11263 11265:12287 12289:13311 13313:14335 14337:15359 15361:16383">
      <c r="A1629" s="390"/>
      <c r="B1629" s="405" t="s">
        <v>1408</v>
      </c>
      <c r="C1629" s="390">
        <v>97801</v>
      </c>
      <c r="D1629" s="390"/>
      <c r="H1629" s="300"/>
      <c r="J1629" s="387"/>
      <c r="K1629" s="300"/>
      <c r="Q1629" s="300"/>
    </row>
    <row r="1630" spans="1:1023 1025:2047 2049:3071 3073:4095 4097:5119 5121:6143 6145:7167 7169:8191 8193:9215 9217:10239 10241:11263 11265:12287 12289:13311 13313:14335 14337:15359 15361:16383">
      <c r="A1630" s="390"/>
      <c r="B1630" s="405" t="s">
        <v>1410</v>
      </c>
      <c r="C1630" s="390">
        <v>97803</v>
      </c>
      <c r="D1630" s="390"/>
      <c r="H1630" s="300"/>
      <c r="J1630" s="387"/>
      <c r="K1630" s="300"/>
      <c r="Q1630" s="300"/>
    </row>
    <row r="1631" spans="1:1023 1025:2047 2049:3071 3073:4095 4097:5119 5121:6143 6145:7167 7169:8191 8193:9215 9217:10239 10241:11263 11265:12287 12289:13311 13313:14335 14337:15359 15361:16383">
      <c r="A1631" s="390"/>
      <c r="B1631" s="405" t="s">
        <v>1411</v>
      </c>
      <c r="C1631" s="390">
        <v>97805</v>
      </c>
      <c r="D1631" s="390"/>
      <c r="H1631" s="300"/>
      <c r="J1631" s="387"/>
      <c r="K1631" s="300"/>
      <c r="Q1631" s="300"/>
    </row>
    <row r="1632" spans="1:1023 1025:2047 2049:3071 3073:4095 4097:5119 5121:6143 6145:7167 7169:8191 8193:9215 9217:10239 10241:11263 11265:12287 12289:13311 13313:14335 14337:15359 15361:16383">
      <c r="A1632" s="390"/>
      <c r="B1632" s="405" t="s">
        <v>2000</v>
      </c>
      <c r="C1632" s="390">
        <v>97711</v>
      </c>
      <c r="D1632" s="390"/>
      <c r="H1632" s="300"/>
      <c r="J1632" s="387"/>
      <c r="K1632" s="300"/>
      <c r="Q1632" s="300"/>
    </row>
    <row r="1633" spans="1:17">
      <c r="A1633" s="390"/>
      <c r="B1633" s="405" t="s">
        <v>2001</v>
      </c>
      <c r="C1633" s="390">
        <v>97727</v>
      </c>
      <c r="D1633" s="390"/>
      <c r="H1633" s="300"/>
      <c r="J1633" s="387"/>
      <c r="K1633" s="300"/>
      <c r="Q1633" s="300"/>
    </row>
    <row r="1634" spans="1:17">
      <c r="A1634" s="390"/>
      <c r="B1634" s="405" t="s">
        <v>1427</v>
      </c>
      <c r="C1634" s="390">
        <v>97901</v>
      </c>
      <c r="D1634" s="390"/>
      <c r="H1634" s="300"/>
      <c r="J1634" s="388"/>
      <c r="K1634" s="300"/>
      <c r="Q1634" s="300"/>
    </row>
    <row r="1635" spans="1:17">
      <c r="A1635" s="390"/>
      <c r="B1635" s="405" t="s">
        <v>1403</v>
      </c>
      <c r="C1635" s="390">
        <v>97713</v>
      </c>
      <c r="D1635" s="390"/>
      <c r="H1635" s="300"/>
      <c r="J1635" s="387"/>
      <c r="K1635" s="300"/>
      <c r="Q1635" s="300"/>
    </row>
    <row r="1636" spans="1:17">
      <c r="A1636" s="390"/>
      <c r="B1636" s="405" t="s">
        <v>2647</v>
      </c>
      <c r="C1636" s="390">
        <v>98071</v>
      </c>
      <c r="D1636" s="390"/>
      <c r="H1636" s="300"/>
      <c r="J1636" s="387"/>
      <c r="K1636" s="300"/>
      <c r="Q1636" s="300"/>
    </row>
    <row r="1637" spans="1:17">
      <c r="A1637" s="390"/>
      <c r="B1637" s="405" t="s">
        <v>2002</v>
      </c>
      <c r="C1637" s="390">
        <v>93321</v>
      </c>
      <c r="D1637" s="390"/>
      <c r="H1637" s="300"/>
      <c r="J1637" s="388"/>
      <c r="K1637" s="300"/>
      <c r="Q1637" s="300"/>
    </row>
    <row r="1638" spans="1:17">
      <c r="A1638" s="390"/>
      <c r="B1638" s="405" t="s">
        <v>1031</v>
      </c>
      <c r="C1638" s="390">
        <v>93323</v>
      </c>
      <c r="D1638" s="390"/>
      <c r="H1638" s="300"/>
      <c r="J1638" s="387"/>
      <c r="K1638" s="300"/>
      <c r="Q1638" s="300"/>
    </row>
    <row r="1639" spans="1:17">
      <c r="A1639" s="390"/>
      <c r="B1639" s="405" t="s">
        <v>1033</v>
      </c>
      <c r="C1639" s="390">
        <v>93333</v>
      </c>
      <c r="D1639" s="390"/>
      <c r="H1639" s="300"/>
      <c r="J1639" s="387"/>
      <c r="K1639" s="300"/>
      <c r="Q1639" s="300"/>
    </row>
    <row r="1640" spans="1:17">
      <c r="A1640" s="390"/>
      <c r="B1640" s="405" t="s">
        <v>2648</v>
      </c>
      <c r="C1640" s="390">
        <v>99203</v>
      </c>
      <c r="D1640" s="390"/>
      <c r="H1640" s="300"/>
      <c r="J1640" s="387"/>
      <c r="K1640" s="300"/>
      <c r="Q1640" s="300"/>
    </row>
    <row r="1641" spans="1:17">
      <c r="A1641" s="390"/>
      <c r="B1641" s="405" t="s">
        <v>2649</v>
      </c>
      <c r="C1641" s="390">
        <v>99421</v>
      </c>
      <c r="D1641" s="390"/>
      <c r="H1641" s="300"/>
      <c r="J1641" s="387"/>
      <c r="K1641" s="300"/>
      <c r="Q1641" s="300"/>
    </row>
    <row r="1642" spans="1:17">
      <c r="A1642" s="390"/>
      <c r="B1642" s="405" t="s">
        <v>2650</v>
      </c>
      <c r="C1642" s="390">
        <v>93161</v>
      </c>
      <c r="D1642" s="390"/>
      <c r="H1642" s="300"/>
      <c r="J1642" s="387"/>
      <c r="K1642" s="300"/>
      <c r="Q1642" s="300"/>
    </row>
    <row r="1643" spans="1:17">
      <c r="A1643" s="390"/>
      <c r="B1643" s="405" t="s">
        <v>2651</v>
      </c>
      <c r="C1643" s="390">
        <v>98261</v>
      </c>
      <c r="D1643" s="390"/>
      <c r="H1643" s="300"/>
      <c r="J1643" s="388"/>
      <c r="K1643" s="300"/>
      <c r="Q1643" s="300"/>
    </row>
    <row r="1644" spans="1:17">
      <c r="A1644" s="390"/>
      <c r="B1644" s="405" t="s">
        <v>1472</v>
      </c>
      <c r="C1644" s="390">
        <v>98237</v>
      </c>
      <c r="D1644" s="390"/>
      <c r="H1644" s="300"/>
      <c r="J1644" s="387"/>
      <c r="K1644" s="300"/>
      <c r="Q1644" s="300"/>
    </row>
    <row r="1645" spans="1:17">
      <c r="A1645" s="390"/>
      <c r="B1645" s="405" t="s">
        <v>1440</v>
      </c>
      <c r="C1645" s="390">
        <v>98003</v>
      </c>
      <c r="D1645" s="390"/>
      <c r="H1645" s="300"/>
      <c r="J1645" s="387"/>
      <c r="K1645" s="300"/>
      <c r="Q1645" s="300"/>
    </row>
    <row r="1646" spans="1:17">
      <c r="A1646" s="390"/>
      <c r="B1646" s="405" t="s">
        <v>2787</v>
      </c>
      <c r="C1646" s="390">
        <v>98008</v>
      </c>
      <c r="D1646" s="390"/>
      <c r="H1646" s="300"/>
      <c r="J1646" s="387"/>
      <c r="K1646" s="300"/>
      <c r="Q1646" s="300"/>
    </row>
    <row r="1647" spans="1:17">
      <c r="A1647" s="390"/>
      <c r="B1647" s="405" t="s">
        <v>1439</v>
      </c>
      <c r="C1647" s="390">
        <v>98002</v>
      </c>
      <c r="D1647" s="390"/>
      <c r="H1647" s="300"/>
      <c r="J1647" s="387"/>
      <c r="K1647" s="300"/>
      <c r="Q1647" s="300"/>
    </row>
    <row r="1648" spans="1:17">
      <c r="A1648" s="390"/>
      <c r="B1648" s="405" t="s">
        <v>1438</v>
      </c>
      <c r="C1648" s="390">
        <v>98001</v>
      </c>
      <c r="D1648" s="390"/>
      <c r="H1648" s="300"/>
      <c r="J1648" s="387"/>
      <c r="K1648" s="300"/>
      <c r="Q1648" s="300"/>
    </row>
    <row r="1649" spans="1:17">
      <c r="A1649" s="390"/>
      <c r="B1649" s="405" t="s">
        <v>1441</v>
      </c>
      <c r="C1649" s="390">
        <v>98004</v>
      </c>
      <c r="D1649" s="390"/>
      <c r="H1649" s="300"/>
      <c r="J1649" s="387"/>
      <c r="K1649" s="300"/>
      <c r="Q1649" s="300"/>
    </row>
    <row r="1650" spans="1:17">
      <c r="A1650" s="390"/>
      <c r="B1650" s="405" t="s">
        <v>2652</v>
      </c>
      <c r="C1650" s="390">
        <v>97861</v>
      </c>
      <c r="D1650" s="390"/>
      <c r="H1650" s="300"/>
      <c r="J1650" s="387"/>
      <c r="K1650" s="300"/>
      <c r="Q1650" s="300"/>
    </row>
    <row r="1651" spans="1:17">
      <c r="A1651" s="390"/>
      <c r="B1651" s="405" t="s">
        <v>2003</v>
      </c>
      <c r="C1651" s="390">
        <v>97311</v>
      </c>
      <c r="D1651" s="390"/>
      <c r="H1651" s="300"/>
      <c r="J1651" s="387"/>
      <c r="K1651" s="300"/>
      <c r="Q1651" s="300"/>
    </row>
    <row r="1652" spans="1:17">
      <c r="A1652" s="390"/>
      <c r="B1652" s="405" t="s">
        <v>3611</v>
      </c>
      <c r="C1652" s="390">
        <v>97302</v>
      </c>
      <c r="D1652" s="390"/>
      <c r="H1652" s="300"/>
      <c r="J1652" s="387"/>
      <c r="K1652" s="300"/>
      <c r="Q1652" s="300"/>
    </row>
    <row r="1653" spans="1:17">
      <c r="A1653" s="390"/>
      <c r="B1653" s="405" t="s">
        <v>2653</v>
      </c>
      <c r="C1653" s="390">
        <v>93431</v>
      </c>
      <c r="D1653" s="390"/>
      <c r="H1653" s="300"/>
      <c r="J1653" s="388"/>
      <c r="K1653" s="300"/>
      <c r="Q1653" s="300"/>
    </row>
    <row r="1654" spans="1:17">
      <c r="A1654" s="390"/>
      <c r="B1654" s="405" t="s">
        <v>2654</v>
      </c>
      <c r="C1654" s="390">
        <v>91214</v>
      </c>
      <c r="D1654" s="390"/>
      <c r="H1654" s="300"/>
      <c r="J1654" s="387"/>
      <c r="K1654" s="300"/>
      <c r="Q1654" s="300"/>
    </row>
    <row r="1655" spans="1:17">
      <c r="A1655" s="390"/>
      <c r="B1655" s="405" t="s">
        <v>1454</v>
      </c>
      <c r="C1655" s="390">
        <v>98101</v>
      </c>
      <c r="D1655" s="390"/>
      <c r="H1655" s="300"/>
      <c r="J1655" s="387"/>
      <c r="K1655" s="300"/>
      <c r="Q1655" s="300"/>
    </row>
    <row r="1656" spans="1:17">
      <c r="A1656" s="390"/>
      <c r="B1656" s="405" t="s">
        <v>2786</v>
      </c>
      <c r="C1656" s="390">
        <v>98103</v>
      </c>
      <c r="D1656" s="390"/>
      <c r="H1656" s="300"/>
      <c r="J1656" s="388"/>
      <c r="K1656" s="300"/>
      <c r="Q1656" s="300"/>
    </row>
    <row r="1657" spans="1:17">
      <c r="A1657" s="390"/>
      <c r="B1657" s="405" t="s">
        <v>2655</v>
      </c>
      <c r="C1657" s="390">
        <v>98141</v>
      </c>
      <c r="D1657" s="390"/>
      <c r="H1657" s="300"/>
      <c r="J1657" s="387"/>
      <c r="K1657" s="300"/>
      <c r="Q1657" s="300"/>
    </row>
    <row r="1658" spans="1:17">
      <c r="A1658" s="390"/>
      <c r="B1658" s="405" t="s">
        <v>2785</v>
      </c>
      <c r="C1658" s="390">
        <v>98147</v>
      </c>
      <c r="D1658" s="390"/>
      <c r="H1658" s="300"/>
      <c r="J1658" s="387"/>
      <c r="K1658" s="300"/>
      <c r="Q1658" s="300"/>
    </row>
    <row r="1659" spans="1:17">
      <c r="A1659" s="390"/>
      <c r="B1659" s="405" t="s">
        <v>2679</v>
      </c>
      <c r="C1659" s="390">
        <v>91032</v>
      </c>
      <c r="D1659" s="390"/>
      <c r="H1659" s="300"/>
      <c r="J1659" s="387"/>
      <c r="K1659" s="300"/>
      <c r="Q1659" s="300"/>
    </row>
    <row r="1660" spans="1:17">
      <c r="A1660" s="390"/>
      <c r="B1660" s="405" t="s">
        <v>2680</v>
      </c>
      <c r="C1660" s="390">
        <v>97831</v>
      </c>
      <c r="D1660" s="390"/>
      <c r="H1660" s="300"/>
      <c r="J1660" s="387"/>
      <c r="K1660" s="300"/>
      <c r="Q1660" s="300"/>
    </row>
    <row r="1661" spans="1:17">
      <c r="A1661" s="390"/>
      <c r="B1661" s="405" t="s">
        <v>2784</v>
      </c>
      <c r="C1661" s="390">
        <v>97837</v>
      </c>
      <c r="D1661" s="390"/>
      <c r="H1661" s="300"/>
      <c r="J1661" s="387"/>
      <c r="K1661" s="300"/>
      <c r="Q1661" s="300"/>
    </row>
    <row r="1662" spans="1:17">
      <c r="A1662" s="390"/>
      <c r="B1662" s="405" t="s">
        <v>2656</v>
      </c>
      <c r="C1662" s="390">
        <v>98221</v>
      </c>
      <c r="D1662" s="390"/>
      <c r="H1662" s="300"/>
      <c r="J1662" s="387"/>
      <c r="K1662" s="300"/>
      <c r="Q1662" s="300"/>
    </row>
    <row r="1663" spans="1:17">
      <c r="A1663" s="390"/>
      <c r="B1663" s="405" t="s">
        <v>2004</v>
      </c>
      <c r="C1663" s="390">
        <v>98011</v>
      </c>
      <c r="D1663" s="390"/>
      <c r="H1663" s="300"/>
      <c r="J1663" s="387"/>
      <c r="K1663" s="300"/>
      <c r="Q1663" s="300"/>
    </row>
    <row r="1664" spans="1:17">
      <c r="A1664" s="390"/>
      <c r="B1664" s="405" t="s">
        <v>2803</v>
      </c>
      <c r="C1664" s="390">
        <v>98013</v>
      </c>
      <c r="D1664" s="390"/>
      <c r="H1664" s="300"/>
      <c r="J1664" s="387"/>
      <c r="K1664" s="300"/>
      <c r="Q1664" s="300"/>
    </row>
    <row r="1665" spans="1:17">
      <c r="A1665" s="390"/>
      <c r="B1665" s="405" t="s">
        <v>2005</v>
      </c>
      <c r="C1665" s="390">
        <v>97531</v>
      </c>
      <c r="D1665" s="390"/>
      <c r="H1665" s="300"/>
      <c r="J1665" s="388"/>
      <c r="K1665" s="300"/>
      <c r="Q1665" s="300"/>
    </row>
    <row r="1666" spans="1:17">
      <c r="A1666" s="390"/>
      <c r="B1666" s="405" t="s">
        <v>1466</v>
      </c>
      <c r="C1666" s="390">
        <v>98201</v>
      </c>
      <c r="D1666" s="390"/>
      <c r="H1666" s="300"/>
      <c r="J1666" s="387"/>
      <c r="K1666" s="300"/>
      <c r="Q1666" s="300"/>
    </row>
    <row r="1667" spans="1:17">
      <c r="A1667" s="390"/>
      <c r="B1667" s="405" t="s">
        <v>1401</v>
      </c>
      <c r="C1667" s="390">
        <v>97705</v>
      </c>
      <c r="D1667" s="390"/>
      <c r="H1667" s="300"/>
      <c r="J1667" s="387"/>
      <c r="K1667" s="300"/>
      <c r="Q1667" s="300"/>
    </row>
    <row r="1668" spans="1:17">
      <c r="A1668" s="390"/>
      <c r="B1668" s="405" t="s">
        <v>1283</v>
      </c>
      <c r="C1668" s="390">
        <v>96318</v>
      </c>
      <c r="D1668" s="390"/>
      <c r="H1668" s="300"/>
      <c r="J1668" s="388"/>
      <c r="K1668" s="300"/>
      <c r="Q1668" s="300"/>
    </row>
    <row r="1669" spans="1:17">
      <c r="A1669" s="390"/>
      <c r="B1669" s="405" t="s">
        <v>2006</v>
      </c>
      <c r="C1669" s="390">
        <v>95311</v>
      </c>
      <c r="D1669" s="390"/>
      <c r="H1669" s="300"/>
      <c r="J1669" s="387"/>
      <c r="K1669" s="300"/>
      <c r="Q1669" s="300"/>
    </row>
    <row r="1670" spans="1:17">
      <c r="A1670" s="390"/>
      <c r="B1670" s="405" t="s">
        <v>1210</v>
      </c>
      <c r="C1670" s="390">
        <v>95317</v>
      </c>
      <c r="D1670" s="390"/>
      <c r="H1670" s="300"/>
      <c r="J1670" s="387"/>
      <c r="K1670" s="300"/>
      <c r="Q1670" s="300"/>
    </row>
    <row r="1671" spans="1:17">
      <c r="A1671" s="390"/>
      <c r="B1671" s="405" t="s">
        <v>2657</v>
      </c>
      <c r="C1671" s="390">
        <v>91421</v>
      </c>
      <c r="D1671" s="390"/>
      <c r="H1671" s="300"/>
      <c r="J1671" s="387"/>
      <c r="K1671" s="300"/>
      <c r="Q1671" s="300"/>
    </row>
    <row r="1672" spans="1:17">
      <c r="A1672" s="390"/>
      <c r="B1672" s="405" t="s">
        <v>1477</v>
      </c>
      <c r="C1672" s="390">
        <v>98301</v>
      </c>
      <c r="D1672" s="390"/>
      <c r="H1672" s="300"/>
      <c r="J1672" s="387"/>
      <c r="K1672" s="300"/>
      <c r="Q1672" s="300"/>
    </row>
    <row r="1673" spans="1:17">
      <c r="A1673" s="390"/>
      <c r="B1673" s="405" t="s">
        <v>1478</v>
      </c>
      <c r="C1673" s="390">
        <v>98304</v>
      </c>
      <c r="D1673" s="390"/>
      <c r="H1673" s="300"/>
      <c r="J1673" s="387"/>
      <c r="K1673" s="300"/>
      <c r="Q1673" s="300"/>
    </row>
    <row r="1674" spans="1:17">
      <c r="A1674" s="390"/>
      <c r="B1674" s="405" t="s">
        <v>2658</v>
      </c>
      <c r="C1674" s="390">
        <v>94241</v>
      </c>
      <c r="D1674" s="390"/>
      <c r="H1674" s="300"/>
      <c r="J1674" s="387"/>
      <c r="K1674" s="300"/>
      <c r="Q1674" s="300"/>
    </row>
    <row r="1675" spans="1:17">
      <c r="A1675" s="390"/>
      <c r="B1675" s="405" t="s">
        <v>2659</v>
      </c>
      <c r="C1675" s="390">
        <v>96681</v>
      </c>
      <c r="D1675" s="390"/>
      <c r="H1675" s="300"/>
      <c r="J1675" s="387"/>
      <c r="K1675" s="300"/>
      <c r="Q1675" s="300"/>
    </row>
    <row r="1676" spans="1:17">
      <c r="A1676" s="390"/>
      <c r="B1676" s="405" t="s">
        <v>2660</v>
      </c>
      <c r="C1676" s="219">
        <v>72593</v>
      </c>
      <c r="D1676" s="390"/>
      <c r="H1676" s="300"/>
      <c r="J1676" s="387"/>
      <c r="K1676" s="300"/>
      <c r="Q1676" s="300"/>
    </row>
    <row r="1677" spans="1:17">
      <c r="A1677" s="390"/>
      <c r="B1677" s="405" t="s">
        <v>2661</v>
      </c>
      <c r="C1677" s="390">
        <v>95121</v>
      </c>
      <c r="D1677" s="390"/>
      <c r="H1677" s="300"/>
      <c r="J1677" s="388"/>
      <c r="K1677" s="300"/>
      <c r="Q1677" s="300"/>
    </row>
    <row r="1678" spans="1:17">
      <c r="A1678" s="390"/>
      <c r="B1678" s="405" t="s">
        <v>1195</v>
      </c>
      <c r="C1678" s="390">
        <v>95123</v>
      </c>
      <c r="D1678" s="390"/>
      <c r="H1678" s="300"/>
      <c r="J1678" s="387"/>
      <c r="K1678" s="300"/>
      <c r="Q1678" s="300"/>
    </row>
    <row r="1679" spans="1:17">
      <c r="A1679" s="390"/>
      <c r="B1679" s="405" t="s">
        <v>2662</v>
      </c>
      <c r="C1679" s="390">
        <v>99531</v>
      </c>
      <c r="D1679" s="390"/>
      <c r="H1679" s="300"/>
      <c r="J1679" s="387"/>
      <c r="K1679" s="300"/>
      <c r="Q1679" s="300"/>
    </row>
    <row r="1680" spans="1:17">
      <c r="A1680" s="390"/>
      <c r="B1680" s="405" t="s">
        <v>2663</v>
      </c>
      <c r="C1680" s="390">
        <v>96671</v>
      </c>
      <c r="D1680" s="390"/>
      <c r="H1680" s="300"/>
      <c r="J1680" s="388"/>
      <c r="K1680" s="300"/>
      <c r="Q1680" s="300"/>
    </row>
    <row r="1681" spans="1:17">
      <c r="A1681" s="390"/>
      <c r="B1681" s="405" t="s">
        <v>2664</v>
      </c>
      <c r="C1681" s="390">
        <v>91081</v>
      </c>
      <c r="D1681" s="390"/>
      <c r="H1681" s="300"/>
      <c r="J1681" s="387"/>
      <c r="K1681" s="300"/>
      <c r="Q1681" s="300"/>
    </row>
    <row r="1682" spans="1:17">
      <c r="A1682" s="390"/>
      <c r="B1682" s="405" t="s">
        <v>818</v>
      </c>
      <c r="C1682" s="390">
        <v>91057</v>
      </c>
      <c r="D1682" s="390"/>
      <c r="H1682" s="300"/>
      <c r="J1682" s="387"/>
      <c r="K1682" s="300"/>
      <c r="Q1682" s="300"/>
    </row>
    <row r="1683" spans="1:17">
      <c r="A1683" s="390"/>
      <c r="B1683" s="405" t="s">
        <v>2665</v>
      </c>
      <c r="C1683" s="390">
        <v>96461</v>
      </c>
      <c r="D1683" s="390"/>
      <c r="H1683" s="300"/>
      <c r="J1683" s="387"/>
      <c r="K1683" s="300"/>
      <c r="Q1683" s="300"/>
    </row>
    <row r="1684" spans="1:17">
      <c r="A1684" s="390"/>
      <c r="B1684" s="405" t="s">
        <v>2007</v>
      </c>
      <c r="C1684" s="390">
        <v>92311</v>
      </c>
      <c r="D1684" s="390"/>
      <c r="H1684" s="300"/>
      <c r="J1684" s="387"/>
      <c r="K1684" s="300"/>
      <c r="Q1684" s="300"/>
    </row>
    <row r="1685" spans="1:17">
      <c r="A1685" s="390"/>
      <c r="B1685" s="405" t="s">
        <v>932</v>
      </c>
      <c r="C1685" s="390">
        <v>92317</v>
      </c>
      <c r="D1685" s="390"/>
      <c r="H1685" s="300"/>
      <c r="J1685" s="387"/>
      <c r="K1685" s="300"/>
      <c r="Q1685" s="300"/>
    </row>
    <row r="1686" spans="1:17">
      <c r="A1686" s="390"/>
      <c r="B1686" s="405" t="s">
        <v>1369</v>
      </c>
      <c r="C1686" s="390">
        <v>97405</v>
      </c>
      <c r="D1686" s="390"/>
      <c r="H1686" s="300"/>
      <c r="J1686" s="387"/>
      <c r="K1686" s="300"/>
      <c r="Q1686" s="300"/>
    </row>
    <row r="1687" spans="1:17">
      <c r="A1687" s="390"/>
      <c r="B1687" s="405" t="s">
        <v>2666</v>
      </c>
      <c r="C1687" s="390">
        <v>91911</v>
      </c>
      <c r="D1687" s="390"/>
      <c r="H1687" s="300"/>
      <c r="J1687" s="387"/>
      <c r="K1687" s="300"/>
      <c r="Q1687" s="300"/>
    </row>
    <row r="1688" spans="1:17">
      <c r="A1688" s="390"/>
      <c r="B1688" s="405" t="s">
        <v>916</v>
      </c>
      <c r="C1688" s="390">
        <v>91917</v>
      </c>
      <c r="D1688" s="390"/>
      <c r="H1688" s="300"/>
      <c r="J1688" s="387"/>
      <c r="K1688" s="300"/>
      <c r="Q1688" s="300"/>
    </row>
    <row r="1689" spans="1:17">
      <c r="A1689" s="390"/>
      <c r="B1689" s="405" t="s">
        <v>2667</v>
      </c>
      <c r="C1689" s="390">
        <v>97481</v>
      </c>
      <c r="D1689" s="390"/>
      <c r="H1689" s="300"/>
      <c r="J1689" s="388"/>
      <c r="K1689" s="300"/>
      <c r="Q1689" s="300"/>
    </row>
    <row r="1690" spans="1:17">
      <c r="A1690" s="390"/>
      <c r="B1690" s="405" t="s">
        <v>836</v>
      </c>
      <c r="C1690" s="390">
        <v>91138</v>
      </c>
      <c r="D1690" s="390"/>
      <c r="H1690" s="300"/>
      <c r="J1690" s="387"/>
      <c r="K1690" s="300"/>
      <c r="Q1690" s="300"/>
    </row>
    <row r="1691" spans="1:17">
      <c r="A1691" s="390"/>
      <c r="B1691" s="405" t="s">
        <v>2668</v>
      </c>
      <c r="C1691" s="390">
        <v>95111</v>
      </c>
      <c r="D1691" s="390"/>
      <c r="H1691" s="300"/>
      <c r="J1691" s="387"/>
      <c r="K1691" s="300"/>
      <c r="Q1691" s="300"/>
    </row>
    <row r="1692" spans="1:17">
      <c r="A1692" s="390"/>
      <c r="B1692" s="405" t="s">
        <v>1192</v>
      </c>
      <c r="C1692" s="390">
        <v>95113</v>
      </c>
      <c r="D1692" s="390"/>
      <c r="H1692" s="300"/>
      <c r="J1692" s="388"/>
      <c r="K1692" s="300"/>
      <c r="Q1692" s="300"/>
    </row>
    <row r="1693" spans="1:17">
      <c r="A1693" s="390"/>
      <c r="B1693" s="405" t="s">
        <v>2669</v>
      </c>
      <c r="C1693" s="390">
        <v>94021</v>
      </c>
      <c r="D1693" s="390"/>
      <c r="H1693" s="300"/>
      <c r="J1693" s="387"/>
      <c r="K1693" s="300"/>
      <c r="Q1693" s="300"/>
    </row>
    <row r="1694" spans="1:17">
      <c r="A1694" s="390"/>
      <c r="B1694" s="405" t="s">
        <v>791</v>
      </c>
      <c r="C1694" s="390">
        <v>90918</v>
      </c>
      <c r="D1694" s="390"/>
      <c r="H1694" s="300"/>
      <c r="J1694" s="387"/>
      <c r="K1694" s="300"/>
      <c r="Q1694" s="300"/>
    </row>
    <row r="1695" spans="1:17">
      <c r="A1695" s="390"/>
      <c r="B1695" s="405" t="s">
        <v>1085</v>
      </c>
      <c r="C1695" s="390">
        <v>93910</v>
      </c>
      <c r="D1695" s="390"/>
      <c r="H1695" s="300"/>
      <c r="J1695" s="387"/>
      <c r="K1695" s="300"/>
      <c r="Q1695" s="300"/>
    </row>
    <row r="1696" spans="1:17">
      <c r="A1696" s="390"/>
      <c r="B1696" s="405" t="s">
        <v>806</v>
      </c>
      <c r="C1696" s="390">
        <v>91013</v>
      </c>
      <c r="D1696" s="390"/>
      <c r="H1696" s="300"/>
      <c r="J1696" s="387"/>
      <c r="K1696" s="300"/>
      <c r="Q1696" s="300"/>
    </row>
    <row r="1697" spans="1:17">
      <c r="A1697" s="390"/>
      <c r="B1697" s="405" t="s">
        <v>2670</v>
      </c>
      <c r="C1697" s="390">
        <v>96311</v>
      </c>
      <c r="D1697" s="390"/>
      <c r="H1697" s="300"/>
      <c r="J1697" s="387"/>
      <c r="K1697" s="300"/>
      <c r="Q1697" s="300"/>
    </row>
    <row r="1698" spans="1:17">
      <c r="A1698" s="390"/>
      <c r="B1698" s="405" t="s">
        <v>2671</v>
      </c>
      <c r="C1698" s="390">
        <v>92841</v>
      </c>
      <c r="D1698" s="390"/>
      <c r="H1698" s="300"/>
      <c r="J1698" s="387"/>
      <c r="K1698" s="300"/>
      <c r="Q1698" s="300"/>
    </row>
    <row r="1699" spans="1:17">
      <c r="A1699" s="390"/>
      <c r="B1699" s="405" t="s">
        <v>1582</v>
      </c>
      <c r="C1699" s="390">
        <v>99609</v>
      </c>
      <c r="D1699" s="390"/>
      <c r="H1699" s="300"/>
      <c r="J1699" s="387"/>
      <c r="K1699" s="300"/>
      <c r="Q1699" s="300"/>
    </row>
    <row r="1700" spans="1:17">
      <c r="A1700" s="390"/>
      <c r="B1700" s="405" t="s">
        <v>2008</v>
      </c>
      <c r="C1700" s="390">
        <v>91011</v>
      </c>
      <c r="D1700" s="390"/>
      <c r="H1700" s="300"/>
      <c r="J1700" s="387"/>
      <c r="K1700" s="300"/>
      <c r="Q1700" s="300"/>
    </row>
    <row r="1701" spans="1:17">
      <c r="A1701" s="390"/>
      <c r="B1701" s="405" t="s">
        <v>2009</v>
      </c>
      <c r="C1701" s="390">
        <v>91017</v>
      </c>
      <c r="D1701" s="390"/>
      <c r="H1701" s="300"/>
      <c r="J1701" s="388"/>
      <c r="K1701" s="300"/>
      <c r="Q1701" s="300"/>
    </row>
    <row r="1702" spans="1:17">
      <c r="A1702" s="390"/>
      <c r="B1702" s="405" t="s">
        <v>1181</v>
      </c>
      <c r="C1702" s="390">
        <v>95008</v>
      </c>
      <c r="D1702" s="390"/>
      <c r="H1702" s="300"/>
      <c r="J1702" s="387"/>
      <c r="K1702" s="300"/>
      <c r="Q1702" s="300"/>
    </row>
    <row r="1703" spans="1:17">
      <c r="A1703" s="390"/>
      <c r="B1703" s="405" t="s">
        <v>2672</v>
      </c>
      <c r="C1703" s="390">
        <v>72657</v>
      </c>
      <c r="D1703" s="390"/>
      <c r="H1703" s="300"/>
      <c r="J1703" s="387"/>
      <c r="K1703" s="300"/>
      <c r="Q1703" s="300"/>
    </row>
    <row r="1704" spans="1:17">
      <c r="A1704" s="390"/>
      <c r="B1704" s="405" t="s">
        <v>2673</v>
      </c>
      <c r="C1704" s="390">
        <v>90307</v>
      </c>
      <c r="D1704" s="390"/>
      <c r="H1704" s="300"/>
      <c r="J1704" s="388"/>
      <c r="K1704" s="300"/>
      <c r="Q1704" s="300"/>
    </row>
    <row r="1705" spans="1:17">
      <c r="A1705" s="390"/>
      <c r="B1705" s="405" t="s">
        <v>2674</v>
      </c>
      <c r="C1705" s="390">
        <v>98031</v>
      </c>
      <c r="D1705" s="390"/>
      <c r="H1705" s="300"/>
      <c r="J1705" s="387"/>
      <c r="K1705" s="300"/>
      <c r="Q1705" s="300"/>
    </row>
    <row r="1706" spans="1:17">
      <c r="A1706" s="390"/>
      <c r="B1706" s="405" t="s">
        <v>2675</v>
      </c>
      <c r="C1706" s="390">
        <v>98121</v>
      </c>
      <c r="D1706" s="390"/>
      <c r="H1706" s="300"/>
      <c r="J1706" s="387"/>
      <c r="K1706" s="300"/>
      <c r="Q1706" s="300"/>
    </row>
    <row r="1707" spans="1:17">
      <c r="A1707" s="390"/>
      <c r="B1707" s="405" t="s">
        <v>2676</v>
      </c>
      <c r="C1707" s="390">
        <v>96411</v>
      </c>
      <c r="D1707" s="390"/>
      <c r="H1707" s="300"/>
      <c r="J1707" s="387"/>
      <c r="K1707" s="300"/>
      <c r="Q1707" s="300"/>
    </row>
    <row r="1708" spans="1:17">
      <c r="A1708" s="390"/>
      <c r="B1708" s="405" t="s">
        <v>2677</v>
      </c>
      <c r="C1708" s="390">
        <v>92661</v>
      </c>
      <c r="D1708" s="390"/>
      <c r="H1708" s="300"/>
      <c r="J1708" s="387"/>
      <c r="K1708" s="300"/>
      <c r="Q1708" s="300"/>
    </row>
    <row r="1709" spans="1:17">
      <c r="A1709" s="390"/>
      <c r="B1709" s="405" t="s">
        <v>2678</v>
      </c>
      <c r="C1709" s="390">
        <v>96111</v>
      </c>
      <c r="D1709" s="390"/>
      <c r="H1709" s="300"/>
      <c r="J1709" s="387"/>
      <c r="K1709" s="300"/>
      <c r="Q1709" s="300"/>
    </row>
    <row r="1710" spans="1:17">
      <c r="A1710" s="390"/>
      <c r="B1710" s="405" t="s">
        <v>2681</v>
      </c>
      <c r="C1710" s="390">
        <v>96061</v>
      </c>
      <c r="D1710" s="390"/>
      <c r="H1710" s="300"/>
      <c r="J1710" s="387"/>
      <c r="K1710" s="300"/>
      <c r="Q1710" s="300"/>
    </row>
    <row r="1711" spans="1:17">
      <c r="A1711" s="390"/>
      <c r="B1711" s="405" t="s">
        <v>2682</v>
      </c>
      <c r="C1711" s="390">
        <v>98481</v>
      </c>
      <c r="D1711" s="390"/>
      <c r="H1711" s="300"/>
      <c r="J1711" s="387"/>
      <c r="K1711" s="300"/>
      <c r="Q1711" s="300"/>
    </row>
    <row r="1712" spans="1:17">
      <c r="A1712" s="390"/>
      <c r="B1712" s="405" t="s">
        <v>2683</v>
      </c>
      <c r="C1712" s="390">
        <v>93602</v>
      </c>
      <c r="D1712" s="390"/>
      <c r="H1712" s="300"/>
      <c r="J1712" s="387"/>
      <c r="K1712" s="300"/>
      <c r="Q1712" s="300"/>
    </row>
    <row r="1713" spans="1:17">
      <c r="A1713" s="390"/>
      <c r="B1713" s="405" t="s">
        <v>1484</v>
      </c>
      <c r="C1713" s="390">
        <v>98401</v>
      </c>
      <c r="D1713" s="390"/>
      <c r="H1713" s="300"/>
      <c r="J1713" s="388"/>
      <c r="K1713" s="300"/>
      <c r="Q1713" s="300"/>
    </row>
    <row r="1714" spans="1:17">
      <c r="A1714" s="390"/>
      <c r="B1714" s="405" t="s">
        <v>2684</v>
      </c>
      <c r="C1714" s="390">
        <v>99821</v>
      </c>
      <c r="D1714" s="390"/>
      <c r="H1714" s="300"/>
      <c r="J1714" s="387"/>
      <c r="K1714" s="300"/>
      <c r="Q1714" s="300"/>
    </row>
    <row r="1715" spans="1:17">
      <c r="A1715" s="390"/>
      <c r="B1715" s="405" t="s">
        <v>2685</v>
      </c>
      <c r="C1715" s="390">
        <v>96211</v>
      </c>
      <c r="D1715" s="390"/>
      <c r="H1715" s="300"/>
      <c r="J1715" s="387"/>
      <c r="K1715" s="300"/>
      <c r="Q1715" s="300"/>
    </row>
    <row r="1716" spans="1:17">
      <c r="A1716" s="390"/>
      <c r="B1716" s="405" t="s">
        <v>2010</v>
      </c>
      <c r="C1716" s="390">
        <v>94911</v>
      </c>
      <c r="D1716" s="390"/>
      <c r="H1716" s="300"/>
      <c r="J1716" s="388"/>
      <c r="K1716" s="300"/>
      <c r="Q1716" s="300"/>
    </row>
    <row r="1717" spans="1:17">
      <c r="A1717" s="390"/>
      <c r="B1717" s="405" t="s">
        <v>1172</v>
      </c>
      <c r="C1717" s="390">
        <v>94917</v>
      </c>
      <c r="D1717" s="390"/>
      <c r="H1717" s="300"/>
      <c r="J1717" s="387"/>
      <c r="K1717" s="300"/>
      <c r="Q1717" s="300"/>
    </row>
    <row r="1718" spans="1:17">
      <c r="A1718" s="390"/>
      <c r="B1718" s="405" t="s">
        <v>2686</v>
      </c>
      <c r="C1718" s="390">
        <v>92621</v>
      </c>
      <c r="D1718" s="390"/>
      <c r="H1718" s="300"/>
      <c r="J1718" s="387"/>
      <c r="K1718" s="300"/>
      <c r="Q1718" s="300"/>
    </row>
    <row r="1719" spans="1:17">
      <c r="A1719" s="390"/>
      <c r="B1719" s="405" t="s">
        <v>1495</v>
      </c>
      <c r="C1719" s="390">
        <v>98501</v>
      </c>
      <c r="D1719" s="390"/>
      <c r="H1719" s="300"/>
      <c r="J1719" s="387"/>
      <c r="K1719" s="300"/>
      <c r="Q1719" s="300"/>
    </row>
    <row r="1720" spans="1:17">
      <c r="A1720" s="390"/>
      <c r="B1720" s="405" t="s">
        <v>2687</v>
      </c>
      <c r="C1720" s="390">
        <v>97931</v>
      </c>
      <c r="D1720" s="390"/>
      <c r="H1720" s="300"/>
      <c r="J1720" s="387"/>
      <c r="K1720" s="300"/>
      <c r="Q1720" s="300"/>
    </row>
    <row r="1721" spans="1:17">
      <c r="A1721" s="390"/>
      <c r="B1721" s="405" t="s">
        <v>2688</v>
      </c>
      <c r="C1721" s="390">
        <v>93914</v>
      </c>
      <c r="D1721" s="390"/>
      <c r="H1721" s="300"/>
      <c r="J1721" s="387"/>
      <c r="K1721" s="300"/>
      <c r="Q1721" s="300"/>
    </row>
    <row r="1722" spans="1:17">
      <c r="A1722" s="390"/>
      <c r="B1722" s="405" t="s">
        <v>2689</v>
      </c>
      <c r="C1722" s="390">
        <v>90651</v>
      </c>
      <c r="D1722" s="390"/>
      <c r="H1722" s="300"/>
      <c r="J1722" s="388"/>
      <c r="K1722" s="300"/>
      <c r="Q1722" s="300"/>
    </row>
    <row r="1723" spans="1:17">
      <c r="A1723" s="390"/>
      <c r="B1723" s="405" t="s">
        <v>2690</v>
      </c>
      <c r="C1723" s="390">
        <v>94171</v>
      </c>
      <c r="D1723" s="390"/>
      <c r="H1723" s="300"/>
      <c r="J1723" s="387"/>
      <c r="K1723" s="300"/>
      <c r="Q1723" s="300"/>
    </row>
    <row r="1724" spans="1:17">
      <c r="A1724" s="390"/>
      <c r="B1724" s="405" t="s">
        <v>1114</v>
      </c>
      <c r="C1724" s="390">
        <v>94172</v>
      </c>
      <c r="D1724" s="390"/>
      <c r="H1724" s="300"/>
      <c r="J1724" s="387"/>
      <c r="K1724" s="300"/>
      <c r="Q1724" s="300"/>
    </row>
    <row r="1725" spans="1:17">
      <c r="A1725" s="390"/>
      <c r="B1725" s="405" t="s">
        <v>2691</v>
      </c>
      <c r="C1725" s="390">
        <v>91041</v>
      </c>
      <c r="D1725" s="390"/>
      <c r="H1725" s="300"/>
      <c r="J1725" s="387"/>
      <c r="K1725" s="300"/>
      <c r="Q1725" s="300"/>
    </row>
    <row r="1726" spans="1:17">
      <c r="A1726" s="390"/>
      <c r="B1726" s="405" t="s">
        <v>2692</v>
      </c>
      <c r="C1726" s="390">
        <v>91047</v>
      </c>
      <c r="D1726" s="390"/>
      <c r="H1726" s="300"/>
      <c r="J1726" s="387"/>
      <c r="K1726" s="300"/>
      <c r="Q1726" s="300"/>
    </row>
    <row r="1727" spans="1:17">
      <c r="A1727" s="390"/>
      <c r="B1727" s="405" t="s">
        <v>2693</v>
      </c>
      <c r="C1727" s="390">
        <v>97131</v>
      </c>
      <c r="D1727" s="390"/>
      <c r="H1727" s="300"/>
      <c r="J1727" s="387"/>
      <c r="K1727" s="300"/>
      <c r="Q1727" s="300"/>
    </row>
    <row r="1728" spans="1:17">
      <c r="A1728" s="390"/>
      <c r="B1728" s="405" t="s">
        <v>1499</v>
      </c>
      <c r="C1728" s="390">
        <v>98601</v>
      </c>
      <c r="D1728" s="390"/>
      <c r="H1728" s="300"/>
      <c r="J1728" s="387"/>
      <c r="K1728" s="300"/>
      <c r="Q1728" s="300"/>
    </row>
    <row r="1729" spans="1:17">
      <c r="A1729" s="390"/>
      <c r="B1729" s="405" t="s">
        <v>1509</v>
      </c>
      <c r="C1729" s="390">
        <v>98701</v>
      </c>
      <c r="D1729" s="390"/>
      <c r="H1729" s="300"/>
      <c r="J1729" s="387"/>
      <c r="K1729" s="300"/>
      <c r="Q1729" s="300"/>
    </row>
    <row r="1730" spans="1:17">
      <c r="A1730" s="390"/>
      <c r="B1730" s="405" t="s">
        <v>2694</v>
      </c>
      <c r="C1730" s="390">
        <v>96721</v>
      </c>
      <c r="D1730" s="390"/>
      <c r="H1730" s="300"/>
      <c r="J1730" s="387"/>
      <c r="K1730" s="300"/>
      <c r="Q1730" s="300"/>
    </row>
    <row r="1731" spans="1:17">
      <c r="A1731" s="390"/>
      <c r="B1731" s="405" t="s">
        <v>2695</v>
      </c>
      <c r="C1731" s="390">
        <v>95011</v>
      </c>
      <c r="D1731" s="390"/>
      <c r="H1731" s="300"/>
      <c r="J1731" s="388"/>
      <c r="K1731" s="300"/>
      <c r="Q1731" s="300"/>
    </row>
    <row r="1732" spans="1:17">
      <c r="A1732" s="390"/>
      <c r="B1732" s="405" t="s">
        <v>2696</v>
      </c>
      <c r="C1732" s="390">
        <v>92451</v>
      </c>
      <c r="D1732" s="390"/>
      <c r="H1732" s="300"/>
      <c r="J1732" s="387"/>
      <c r="K1732" s="300"/>
      <c r="Q1732" s="300"/>
    </row>
    <row r="1733" spans="1:17">
      <c r="A1733" s="390"/>
      <c r="B1733" s="405" t="s">
        <v>2697</v>
      </c>
      <c r="C1733" s="390">
        <v>93311</v>
      </c>
      <c r="D1733" s="390"/>
      <c r="H1733" s="300"/>
      <c r="J1733" s="387"/>
      <c r="K1733" s="300"/>
      <c r="Q1733" s="300"/>
    </row>
    <row r="1734" spans="1:17">
      <c r="A1734" s="390"/>
      <c r="B1734" s="405" t="s">
        <v>1029</v>
      </c>
      <c r="C1734" s="390">
        <v>93317</v>
      </c>
      <c r="D1734" s="390"/>
      <c r="H1734" s="300"/>
      <c r="J1734" s="388"/>
      <c r="K1734" s="300"/>
      <c r="Q1734" s="300"/>
    </row>
    <row r="1735" spans="1:17">
      <c r="A1735" s="390"/>
      <c r="B1735" s="405" t="s">
        <v>2698</v>
      </c>
      <c r="C1735" s="390">
        <v>90211</v>
      </c>
      <c r="D1735" s="390"/>
      <c r="H1735" s="300"/>
      <c r="J1735" s="387"/>
      <c r="K1735" s="300"/>
      <c r="Q1735" s="300"/>
    </row>
    <row r="1736" spans="1:17">
      <c r="A1736" s="390"/>
      <c r="B1736" s="405" t="s">
        <v>2699</v>
      </c>
      <c r="C1736" s="390">
        <v>96302</v>
      </c>
      <c r="D1736" s="390"/>
      <c r="H1736" s="300"/>
      <c r="J1736" s="387"/>
      <c r="K1736" s="300"/>
      <c r="Q1736" s="300"/>
    </row>
    <row r="1737" spans="1:17">
      <c r="A1737" s="390"/>
      <c r="B1737" s="405" t="s">
        <v>2700</v>
      </c>
      <c r="C1737" s="390">
        <v>93181</v>
      </c>
      <c r="D1737" s="390"/>
      <c r="H1737" s="300"/>
      <c r="J1737" s="387"/>
      <c r="K1737" s="300"/>
      <c r="Q1737" s="300"/>
    </row>
    <row r="1738" spans="1:17">
      <c r="A1738" s="390"/>
      <c r="B1738" s="405" t="s">
        <v>2011</v>
      </c>
      <c r="C1738" s="390">
        <v>92911</v>
      </c>
      <c r="D1738" s="390"/>
      <c r="H1738" s="300"/>
      <c r="J1738" s="387"/>
      <c r="K1738" s="300"/>
      <c r="Q1738" s="300"/>
    </row>
    <row r="1739" spans="1:17">
      <c r="A1739" s="390"/>
      <c r="B1739" s="405" t="s">
        <v>993</v>
      </c>
      <c r="C1739" s="390">
        <v>92914</v>
      </c>
      <c r="D1739" s="390"/>
      <c r="H1739" s="300"/>
      <c r="J1739" s="387"/>
      <c r="K1739" s="300"/>
      <c r="Q1739" s="300"/>
    </row>
    <row r="1740" spans="1:17">
      <c r="A1740" s="390"/>
      <c r="B1740" s="405" t="s">
        <v>992</v>
      </c>
      <c r="C1740" s="390">
        <v>92913</v>
      </c>
      <c r="D1740" s="390"/>
      <c r="H1740" s="300"/>
      <c r="J1740" s="387"/>
      <c r="K1740" s="300"/>
      <c r="Q1740" s="300"/>
    </row>
    <row r="1741" spans="1:17">
      <c r="A1741" s="390"/>
      <c r="B1741" s="405" t="s">
        <v>2701</v>
      </c>
      <c r="C1741" s="390">
        <v>93471</v>
      </c>
      <c r="D1741" s="390"/>
      <c r="H1741" s="300"/>
      <c r="J1741" s="387"/>
      <c r="K1741" s="300"/>
      <c r="Q1741" s="300"/>
    </row>
    <row r="1742" spans="1:17">
      <c r="A1742" s="390"/>
      <c r="B1742" s="405" t="s">
        <v>732</v>
      </c>
      <c r="C1742" s="390">
        <v>90098</v>
      </c>
      <c r="D1742" s="390"/>
      <c r="H1742" s="300"/>
      <c r="J1742" s="387"/>
      <c r="K1742" s="300"/>
      <c r="Q1742" s="300"/>
    </row>
    <row r="1743" spans="1:17">
      <c r="A1743" s="390"/>
      <c r="B1743" s="405" t="s">
        <v>2702</v>
      </c>
      <c r="C1743" s="390">
        <v>97121</v>
      </c>
      <c r="D1743" s="390"/>
      <c r="H1743" s="300"/>
      <c r="J1743" s="388"/>
      <c r="K1743" s="300"/>
      <c r="Q1743" s="300"/>
    </row>
    <row r="1744" spans="1:17">
      <c r="A1744" s="390"/>
      <c r="B1744" s="405" t="s">
        <v>1512</v>
      </c>
      <c r="C1744" s="390">
        <v>98801</v>
      </c>
      <c r="D1744" s="390"/>
      <c r="H1744" s="300"/>
      <c r="J1744" s="387"/>
      <c r="K1744" s="300"/>
      <c r="Q1744" s="300"/>
    </row>
    <row r="1745" spans="1:17">
      <c r="A1745" s="390"/>
      <c r="B1745" s="405" t="s">
        <v>2703</v>
      </c>
      <c r="C1745" s="390">
        <v>92521</v>
      </c>
      <c r="D1745" s="390"/>
      <c r="H1745" s="300"/>
      <c r="J1745" s="387"/>
      <c r="K1745" s="300"/>
      <c r="Q1745" s="300"/>
    </row>
    <row r="1746" spans="1:17">
      <c r="A1746" s="390"/>
      <c r="B1746" s="405" t="s">
        <v>1042</v>
      </c>
      <c r="C1746" s="390">
        <v>93417</v>
      </c>
      <c r="D1746" s="390"/>
      <c r="H1746" s="300"/>
      <c r="J1746" s="388"/>
      <c r="K1746" s="300"/>
      <c r="Q1746" s="300"/>
    </row>
    <row r="1747" spans="1:17">
      <c r="A1747" s="390"/>
      <c r="B1747" s="405" t="s">
        <v>1023</v>
      </c>
      <c r="C1747" s="390">
        <v>93219</v>
      </c>
      <c r="D1747" s="390"/>
      <c r="H1747" s="300"/>
      <c r="J1747" s="387"/>
      <c r="K1747" s="300"/>
      <c r="Q1747" s="300"/>
    </row>
    <row r="1748" spans="1:17">
      <c r="A1748" s="390"/>
      <c r="B1748" s="405" t="s">
        <v>957</v>
      </c>
      <c r="C1748" s="390">
        <v>92513</v>
      </c>
      <c r="D1748" s="390"/>
      <c r="H1748" s="300"/>
      <c r="J1748" s="387"/>
      <c r="K1748" s="300"/>
      <c r="Q1748" s="300"/>
    </row>
    <row r="1749" spans="1:17">
      <c r="A1749" s="390"/>
      <c r="B1749" s="405" t="s">
        <v>2012</v>
      </c>
      <c r="C1749" s="390">
        <v>97661</v>
      </c>
      <c r="D1749" s="390"/>
      <c r="H1749" s="300"/>
      <c r="J1749" s="387"/>
      <c r="K1749" s="300"/>
      <c r="Q1749" s="300"/>
    </row>
    <row r="1750" spans="1:17">
      <c r="A1750" s="390"/>
      <c r="B1750" s="405" t="s">
        <v>2704</v>
      </c>
      <c r="C1750" s="390">
        <v>94931</v>
      </c>
      <c r="D1750" s="390"/>
      <c r="H1750" s="300"/>
      <c r="J1750" s="387"/>
      <c r="K1750" s="300"/>
      <c r="Q1750" s="300"/>
    </row>
    <row r="1751" spans="1:17">
      <c r="A1751" s="390"/>
      <c r="B1751" s="408" t="s">
        <v>2705</v>
      </c>
      <c r="C1751" s="390">
        <v>94937</v>
      </c>
      <c r="D1751" s="390"/>
      <c r="H1751" s="300"/>
      <c r="J1751" s="387"/>
      <c r="K1751" s="300"/>
      <c r="Q1751" s="300"/>
    </row>
    <row r="1752" spans="1:17">
      <c r="A1752" s="390"/>
      <c r="B1752" s="405" t="s">
        <v>2706</v>
      </c>
      <c r="C1752" s="390">
        <v>96221</v>
      </c>
      <c r="D1752" s="390"/>
      <c r="H1752" s="300"/>
      <c r="J1752" s="387"/>
      <c r="K1752" s="300"/>
      <c r="Q1752" s="300"/>
    </row>
    <row r="1753" spans="1:17">
      <c r="A1753" s="390"/>
      <c r="B1753" s="405" t="s">
        <v>2707</v>
      </c>
      <c r="C1753" s="390">
        <v>97511</v>
      </c>
      <c r="D1753" s="390"/>
      <c r="H1753" s="300"/>
      <c r="J1753" s="387"/>
      <c r="K1753" s="300"/>
      <c r="Q1753" s="300"/>
    </row>
    <row r="1754" spans="1:17">
      <c r="A1754" s="390"/>
      <c r="B1754" s="405" t="s">
        <v>1179</v>
      </c>
      <c r="C1754" s="390">
        <v>95002</v>
      </c>
      <c r="D1754" s="390"/>
      <c r="H1754" s="300"/>
      <c r="J1754" s="387"/>
      <c r="K1754" s="300"/>
      <c r="Q1754" s="300"/>
    </row>
    <row r="1755" spans="1:17">
      <c r="A1755" s="390"/>
      <c r="B1755" s="405" t="s">
        <v>2708</v>
      </c>
      <c r="C1755" s="390">
        <v>98251</v>
      </c>
      <c r="D1755" s="390"/>
      <c r="H1755" s="300"/>
      <c r="J1755" s="388"/>
      <c r="K1755" s="300"/>
      <c r="Q1755" s="300"/>
    </row>
    <row r="1756" spans="1:17">
      <c r="A1756" s="390"/>
      <c r="B1756" s="405" t="s">
        <v>1515</v>
      </c>
      <c r="C1756" s="390">
        <v>98901</v>
      </c>
      <c r="D1756" s="390"/>
      <c r="H1756" s="300"/>
      <c r="J1756" s="387"/>
      <c r="K1756" s="300"/>
      <c r="Q1756" s="300"/>
    </row>
    <row r="1757" spans="1:17">
      <c r="A1757" s="390"/>
      <c r="B1757" s="405" t="s">
        <v>2783</v>
      </c>
      <c r="C1757" s="390">
        <v>98904</v>
      </c>
      <c r="D1757" s="390"/>
      <c r="H1757" s="300"/>
      <c r="J1757" s="387"/>
      <c r="K1757" s="300"/>
      <c r="Q1757" s="300"/>
    </row>
    <row r="1758" spans="1:17">
      <c r="A1758" s="390"/>
      <c r="B1758" s="405" t="s">
        <v>1518</v>
      </c>
      <c r="C1758" s="390">
        <v>99001</v>
      </c>
      <c r="D1758" s="390"/>
      <c r="H1758" s="300"/>
      <c r="J1758" s="388"/>
      <c r="K1758" s="300"/>
      <c r="Q1758" s="300"/>
    </row>
    <row r="1759" spans="1:17">
      <c r="A1759" s="390"/>
      <c r="B1759" s="405" t="s">
        <v>2746</v>
      </c>
      <c r="C1759" s="390">
        <v>99061</v>
      </c>
      <c r="D1759" s="390"/>
      <c r="H1759" s="300"/>
      <c r="J1759" s="387"/>
      <c r="K1759" s="300"/>
      <c r="Q1759" s="300"/>
    </row>
    <row r="1760" spans="1:17">
      <c r="A1760" s="390"/>
      <c r="B1760" s="405" t="s">
        <v>1027</v>
      </c>
      <c r="C1760" s="390">
        <v>93309</v>
      </c>
      <c r="D1760" s="390"/>
      <c r="H1760" s="300"/>
      <c r="J1760" s="387"/>
      <c r="K1760" s="300"/>
      <c r="Q1760" s="300"/>
    </row>
    <row r="1761" spans="1:17">
      <c r="A1761" s="390"/>
      <c r="B1761" s="405" t="s">
        <v>2709</v>
      </c>
      <c r="C1761" s="390">
        <v>91211</v>
      </c>
      <c r="D1761" s="390"/>
      <c r="H1761" s="300"/>
      <c r="J1761" s="387"/>
      <c r="K1761" s="300"/>
      <c r="Q1761" s="300"/>
    </row>
    <row r="1762" spans="1:17">
      <c r="A1762" s="390"/>
      <c r="B1762" s="406" t="s">
        <v>1928</v>
      </c>
      <c r="C1762" s="390">
        <v>94947</v>
      </c>
      <c r="D1762" s="390"/>
      <c r="H1762" s="300"/>
      <c r="J1762" s="387"/>
      <c r="K1762" s="300"/>
      <c r="Q1762" s="300"/>
    </row>
    <row r="1763" spans="1:17">
      <c r="A1763" s="390"/>
      <c r="B1763" s="405" t="s">
        <v>849</v>
      </c>
      <c r="C1763" s="390">
        <v>91213</v>
      </c>
      <c r="D1763" s="390"/>
      <c r="H1763" s="300"/>
      <c r="J1763" s="387"/>
      <c r="K1763" s="300"/>
      <c r="Q1763" s="300"/>
    </row>
    <row r="1764" spans="1:17">
      <c r="A1764" s="390"/>
      <c r="B1764" s="405" t="s">
        <v>1532</v>
      </c>
      <c r="C1764" s="390">
        <v>99101</v>
      </c>
      <c r="D1764" s="390"/>
      <c r="H1764" s="300"/>
      <c r="J1764" s="387"/>
      <c r="K1764" s="300"/>
      <c r="Q1764" s="300"/>
    </row>
    <row r="1765" spans="1:17">
      <c r="A1765" s="390"/>
      <c r="B1765" s="405" t="s">
        <v>2782</v>
      </c>
      <c r="C1765" s="390">
        <v>99104</v>
      </c>
      <c r="D1765" s="390"/>
      <c r="H1765" s="300"/>
      <c r="J1765" s="387"/>
      <c r="K1765" s="300"/>
      <c r="Q1765" s="300"/>
    </row>
    <row r="1766" spans="1:17">
      <c r="A1766" s="390"/>
      <c r="B1766" s="405" t="s">
        <v>2710</v>
      </c>
      <c r="C1766" s="390">
        <v>92551</v>
      </c>
      <c r="D1766" s="390"/>
      <c r="H1766" s="300"/>
      <c r="J1766" s="387"/>
      <c r="K1766" s="300"/>
      <c r="Q1766" s="300"/>
    </row>
    <row r="1767" spans="1:17">
      <c r="A1767" s="390"/>
      <c r="B1767" s="405" t="s">
        <v>2711</v>
      </c>
      <c r="C1767" s="390">
        <v>96321</v>
      </c>
      <c r="D1767" s="390"/>
      <c r="H1767" s="300"/>
      <c r="J1767" s="388"/>
      <c r="K1767" s="300"/>
      <c r="Q1767" s="300"/>
    </row>
    <row r="1768" spans="1:17">
      <c r="A1768" s="390"/>
      <c r="B1768" s="405" t="s">
        <v>1182</v>
      </c>
      <c r="C1768" s="390">
        <v>95009</v>
      </c>
      <c r="D1768" s="390"/>
      <c r="H1768" s="300"/>
      <c r="J1768" s="387"/>
      <c r="K1768" s="300"/>
      <c r="Q1768" s="300"/>
    </row>
    <row r="1769" spans="1:17">
      <c r="A1769" s="390"/>
      <c r="B1769" s="405" t="s">
        <v>2712</v>
      </c>
      <c r="C1769" s="390">
        <v>92641</v>
      </c>
      <c r="D1769" s="390"/>
      <c r="H1769" s="300"/>
      <c r="J1769" s="387"/>
      <c r="K1769" s="300"/>
      <c r="Q1769" s="300"/>
    </row>
    <row r="1770" spans="1:17">
      <c r="A1770" s="390"/>
      <c r="B1770" s="405" t="s">
        <v>2713</v>
      </c>
      <c r="C1770" s="390">
        <v>90411</v>
      </c>
      <c r="D1770" s="390"/>
      <c r="H1770" s="300"/>
      <c r="J1770" s="388"/>
      <c r="K1770" s="300"/>
      <c r="Q1770" s="300"/>
    </row>
    <row r="1771" spans="1:17">
      <c r="A1771" s="390"/>
      <c r="B1771" s="405" t="s">
        <v>754</v>
      </c>
      <c r="C1771" s="390">
        <v>90417</v>
      </c>
      <c r="D1771" s="390"/>
      <c r="H1771" s="300"/>
      <c r="J1771" s="387"/>
      <c r="K1771" s="300"/>
      <c r="Q1771" s="300"/>
    </row>
    <row r="1772" spans="1:17">
      <c r="A1772" s="390"/>
      <c r="B1772" s="405" t="s">
        <v>753</v>
      </c>
      <c r="C1772" s="390">
        <v>90413</v>
      </c>
      <c r="D1772" s="390"/>
      <c r="H1772" s="300"/>
      <c r="J1772" s="387"/>
      <c r="K1772" s="300"/>
      <c r="Q1772" s="300"/>
    </row>
    <row r="1773" spans="1:17">
      <c r="A1773" s="390"/>
      <c r="B1773" s="405" t="s">
        <v>2714</v>
      </c>
      <c r="C1773" s="390">
        <v>98321</v>
      </c>
      <c r="D1773" s="390"/>
      <c r="H1773" s="300"/>
      <c r="J1773" s="387"/>
      <c r="K1773" s="300"/>
      <c r="Q1773" s="300"/>
    </row>
    <row r="1774" spans="1:17">
      <c r="A1774" s="390"/>
      <c r="B1774" s="405" t="s">
        <v>1537</v>
      </c>
      <c r="C1774" s="390">
        <v>99201</v>
      </c>
      <c r="D1774" s="390"/>
      <c r="H1774" s="300"/>
      <c r="J1774" s="387"/>
      <c r="K1774" s="300"/>
      <c r="Q1774" s="300"/>
    </row>
    <row r="1775" spans="1:17">
      <c r="A1775" s="390"/>
      <c r="B1775" s="405" t="s">
        <v>1540</v>
      </c>
      <c r="C1775" s="390">
        <v>99204</v>
      </c>
      <c r="D1775" s="390"/>
      <c r="H1775" s="300"/>
      <c r="J1775" s="387"/>
      <c r="K1775" s="300"/>
      <c r="Q1775" s="300"/>
    </row>
    <row r="1776" spans="1:17">
      <c r="A1776" s="390"/>
      <c r="B1776" s="405" t="s">
        <v>1542</v>
      </c>
      <c r="C1776" s="390">
        <v>99207</v>
      </c>
      <c r="D1776" s="390"/>
      <c r="H1776" s="300"/>
      <c r="J1776" s="387"/>
      <c r="K1776" s="300"/>
      <c r="Q1776" s="300"/>
    </row>
    <row r="1777" spans="1:17">
      <c r="A1777" s="390"/>
      <c r="B1777" s="405" t="s">
        <v>2715</v>
      </c>
      <c r="C1777" s="390">
        <v>99281</v>
      </c>
      <c r="D1777" s="390"/>
      <c r="H1777" s="300"/>
      <c r="J1777" s="387"/>
      <c r="K1777" s="300"/>
      <c r="Q1777" s="300"/>
    </row>
    <row r="1778" spans="1:17">
      <c r="A1778" s="390"/>
      <c r="B1778" s="405" t="s">
        <v>2716</v>
      </c>
      <c r="C1778" s="390">
        <v>93461</v>
      </c>
      <c r="D1778" s="390"/>
      <c r="H1778" s="300"/>
      <c r="J1778" s="387"/>
      <c r="K1778" s="300"/>
      <c r="Q1778" s="300"/>
    </row>
    <row r="1779" spans="1:17">
      <c r="A1779" s="390"/>
      <c r="B1779" s="405" t="s">
        <v>2717</v>
      </c>
      <c r="C1779" s="390">
        <v>93151</v>
      </c>
      <c r="D1779" s="390"/>
      <c r="H1779" s="300"/>
      <c r="J1779" s="388"/>
      <c r="K1779" s="300"/>
      <c r="Q1779" s="300"/>
    </row>
    <row r="1780" spans="1:17">
      <c r="A1780" s="390"/>
      <c r="B1780" s="405" t="s">
        <v>1012</v>
      </c>
      <c r="C1780" s="390">
        <v>93157</v>
      </c>
      <c r="D1780" s="390"/>
      <c r="H1780" s="300"/>
      <c r="J1780" s="387"/>
      <c r="K1780" s="300"/>
      <c r="Q1780" s="300"/>
    </row>
    <row r="1781" spans="1:17">
      <c r="A1781" s="390"/>
      <c r="B1781" s="405" t="s">
        <v>2718</v>
      </c>
      <c r="C1781" s="390">
        <v>98511</v>
      </c>
      <c r="D1781" s="390"/>
      <c r="H1781" s="300"/>
      <c r="J1781" s="387"/>
      <c r="K1781" s="300"/>
      <c r="Q1781" s="300"/>
    </row>
    <row r="1782" spans="1:17">
      <c r="A1782" s="390"/>
      <c r="B1782" s="405" t="s">
        <v>1497</v>
      </c>
      <c r="C1782" s="390">
        <v>98517</v>
      </c>
      <c r="D1782" s="390"/>
      <c r="H1782" s="300"/>
      <c r="J1782" s="388"/>
      <c r="K1782" s="300"/>
      <c r="Q1782" s="300"/>
    </row>
    <row r="1783" spans="1:17">
      <c r="A1783" s="390"/>
      <c r="B1783" s="405" t="s">
        <v>2719</v>
      </c>
      <c r="C1783" s="390">
        <v>99661</v>
      </c>
      <c r="D1783" s="390"/>
      <c r="H1783" s="300"/>
      <c r="J1783" s="387"/>
      <c r="K1783" s="300"/>
      <c r="Q1783" s="300"/>
    </row>
    <row r="1784" spans="1:17">
      <c r="A1784" s="390"/>
      <c r="B1784" s="405" t="s">
        <v>2720</v>
      </c>
      <c r="C1784" s="390">
        <v>94031</v>
      </c>
      <c r="D1784" s="390"/>
      <c r="H1784" s="300"/>
      <c r="J1784" s="387"/>
      <c r="K1784" s="300"/>
      <c r="Q1784" s="300"/>
    </row>
    <row r="1785" spans="1:17">
      <c r="A1785" s="390"/>
      <c r="B1785" s="405" t="s">
        <v>1559</v>
      </c>
      <c r="C1785" s="390">
        <v>99301</v>
      </c>
      <c r="D1785" s="390"/>
      <c r="H1785" s="300"/>
      <c r="J1785" s="387"/>
      <c r="K1785" s="300"/>
      <c r="Q1785" s="300"/>
    </row>
    <row r="1786" spans="1:17">
      <c r="A1786" s="390"/>
      <c r="B1786" s="405" t="s">
        <v>1560</v>
      </c>
      <c r="C1786" s="390">
        <v>99304</v>
      </c>
      <c r="D1786" s="390"/>
      <c r="H1786" s="300"/>
      <c r="J1786" s="387"/>
      <c r="K1786" s="300"/>
      <c r="Q1786" s="300"/>
    </row>
    <row r="1787" spans="1:17">
      <c r="A1787" s="390"/>
      <c r="B1787" s="405" t="s">
        <v>2721</v>
      </c>
      <c r="C1787" s="390">
        <v>99321</v>
      </c>
      <c r="D1787" s="390"/>
      <c r="H1787" s="300"/>
      <c r="J1787" s="387"/>
      <c r="K1787" s="300"/>
      <c r="Q1787" s="300"/>
    </row>
    <row r="1788" spans="1:17">
      <c r="A1788" s="390"/>
      <c r="B1788" s="405" t="s">
        <v>2722</v>
      </c>
      <c r="C1788" s="390">
        <v>93131</v>
      </c>
      <c r="D1788" s="390"/>
      <c r="H1788" s="300"/>
      <c r="J1788" s="387"/>
      <c r="K1788" s="300"/>
      <c r="Q1788" s="300"/>
    </row>
    <row r="1789" spans="1:17">
      <c r="A1789" s="390"/>
      <c r="B1789" s="405" t="s">
        <v>1009</v>
      </c>
      <c r="C1789" s="390">
        <v>93137</v>
      </c>
      <c r="D1789" s="390"/>
      <c r="H1789" s="300"/>
      <c r="J1789" s="387"/>
      <c r="K1789" s="300"/>
      <c r="Q1789" s="300"/>
    </row>
    <row r="1790" spans="1:17">
      <c r="A1790" s="390"/>
      <c r="B1790" s="405" t="s">
        <v>2013</v>
      </c>
      <c r="C1790" s="390">
        <v>90711</v>
      </c>
      <c r="D1790" s="390"/>
      <c r="H1790" s="300"/>
      <c r="J1790" s="387"/>
      <c r="K1790" s="300"/>
      <c r="Q1790" s="300"/>
    </row>
    <row r="1791" spans="1:17">
      <c r="A1791" s="390"/>
      <c r="B1791" s="405" t="s">
        <v>1563</v>
      </c>
      <c r="C1791" s="390">
        <v>99401</v>
      </c>
      <c r="D1791" s="390"/>
      <c r="H1791" s="300"/>
      <c r="J1791" s="388"/>
      <c r="K1791" s="300"/>
      <c r="Q1791" s="300"/>
    </row>
    <row r="1792" spans="1:17">
      <c r="A1792" s="390"/>
      <c r="B1792" s="405" t="s">
        <v>1564</v>
      </c>
      <c r="C1792" s="390">
        <v>99404</v>
      </c>
      <c r="D1792" s="390"/>
      <c r="H1792" s="300"/>
      <c r="J1792" s="387"/>
      <c r="K1792" s="300"/>
      <c r="Q1792" s="300"/>
    </row>
    <row r="1793" spans="1:17">
      <c r="A1793" s="390"/>
      <c r="B1793" s="405" t="s">
        <v>2723</v>
      </c>
      <c r="C1793" s="390">
        <v>90741</v>
      </c>
      <c r="D1793" s="390"/>
      <c r="H1793" s="300"/>
      <c r="J1793" s="387"/>
      <c r="K1793" s="300"/>
      <c r="Q1793" s="300"/>
    </row>
    <row r="1794" spans="1:17">
      <c r="A1794" s="390"/>
      <c r="B1794" s="405" t="s">
        <v>1570</v>
      </c>
      <c r="C1794" s="390">
        <v>99501</v>
      </c>
      <c r="D1794" s="390"/>
      <c r="H1794" s="300"/>
      <c r="J1794" s="388"/>
      <c r="K1794" s="300"/>
      <c r="Q1794" s="300"/>
    </row>
    <row r="1795" spans="1:17">
      <c r="A1795" s="390"/>
      <c r="B1795" s="405" t="s">
        <v>1573</v>
      </c>
      <c r="C1795" s="390">
        <v>99509</v>
      </c>
      <c r="D1795" s="390"/>
      <c r="H1795" s="300"/>
      <c r="J1795" s="387"/>
      <c r="K1795" s="300"/>
      <c r="Q1795" s="300"/>
    </row>
    <row r="1796" spans="1:17">
      <c r="A1796" s="390"/>
      <c r="B1796" s="405" t="s">
        <v>2781</v>
      </c>
      <c r="C1796" s="390">
        <v>91302</v>
      </c>
      <c r="D1796" s="390"/>
      <c r="H1796" s="300"/>
      <c r="J1796" s="387"/>
      <c r="K1796" s="300"/>
      <c r="Q1796" s="300"/>
    </row>
    <row r="1797" spans="1:17">
      <c r="A1797" s="390"/>
      <c r="B1797" s="405" t="s">
        <v>2724</v>
      </c>
      <c r="C1797" s="390">
        <v>99041</v>
      </c>
      <c r="D1797" s="390"/>
      <c r="H1797" s="300"/>
      <c r="J1797" s="387"/>
      <c r="K1797" s="300"/>
      <c r="Q1797" s="300"/>
    </row>
    <row r="1798" spans="1:17">
      <c r="A1798" s="390"/>
      <c r="B1798" s="405" t="s">
        <v>1526</v>
      </c>
      <c r="C1798" s="390">
        <v>99047</v>
      </c>
      <c r="D1798" s="390"/>
      <c r="H1798" s="300"/>
      <c r="J1798" s="387"/>
      <c r="K1798" s="300"/>
      <c r="Q1798" s="300"/>
    </row>
    <row r="1799" spans="1:17">
      <c r="A1799" s="390"/>
      <c r="B1799" s="405" t="s">
        <v>1578</v>
      </c>
      <c r="C1799" s="390">
        <v>99601</v>
      </c>
      <c r="D1799" s="390"/>
      <c r="H1799" s="300"/>
      <c r="J1799" s="387"/>
      <c r="K1799" s="300"/>
      <c r="Q1799" s="300"/>
    </row>
    <row r="1800" spans="1:17">
      <c r="A1800" s="390"/>
      <c r="B1800" s="405" t="s">
        <v>1581</v>
      </c>
      <c r="C1800" s="390">
        <v>99604</v>
      </c>
      <c r="D1800" s="390"/>
      <c r="H1800" s="300"/>
      <c r="J1800" s="388"/>
      <c r="K1800" s="300"/>
      <c r="Q1800" s="300"/>
    </row>
    <row r="1801" spans="1:17">
      <c r="A1801" s="390"/>
      <c r="B1801" s="405" t="s">
        <v>2725</v>
      </c>
      <c r="C1801" s="390">
        <v>94411</v>
      </c>
      <c r="D1801" s="390"/>
      <c r="H1801" s="300"/>
      <c r="J1801" s="387"/>
      <c r="K1801" s="300"/>
      <c r="Q1801" s="300"/>
    </row>
    <row r="1802" spans="1:17">
      <c r="A1802" s="390"/>
      <c r="B1802" s="405" t="s">
        <v>1139</v>
      </c>
      <c r="C1802" s="390">
        <v>94412</v>
      </c>
      <c r="D1802" s="390"/>
      <c r="H1802" s="300"/>
      <c r="J1802" s="387"/>
      <c r="K1802" s="300"/>
      <c r="Q1802" s="300"/>
    </row>
    <row r="1803" spans="1:17">
      <c r="A1803" s="390"/>
      <c r="B1803" s="405" t="s">
        <v>2726</v>
      </c>
      <c r="C1803" s="390">
        <v>91141</v>
      </c>
      <c r="D1803" s="390"/>
      <c r="H1803" s="300"/>
      <c r="J1803" s="387"/>
      <c r="K1803" s="300"/>
      <c r="Q1803" s="300"/>
    </row>
    <row r="1804" spans="1:17">
      <c r="A1804" s="390"/>
      <c r="B1804" s="405" t="s">
        <v>838</v>
      </c>
      <c r="C1804" s="390">
        <v>91147</v>
      </c>
      <c r="D1804" s="390"/>
      <c r="H1804" s="300"/>
      <c r="J1804" s="387"/>
      <c r="K1804" s="300"/>
      <c r="Q1804" s="300"/>
    </row>
    <row r="1805" spans="1:17">
      <c r="A1805" s="390"/>
      <c r="B1805" s="405" t="s">
        <v>2727</v>
      </c>
      <c r="C1805" s="390">
        <v>99071</v>
      </c>
      <c r="D1805" s="390"/>
      <c r="H1805" s="300"/>
      <c r="J1805" s="387"/>
      <c r="K1805" s="300"/>
      <c r="Q1805" s="300"/>
    </row>
    <row r="1806" spans="1:17">
      <c r="A1806" s="390"/>
      <c r="B1806" s="405" t="s">
        <v>2728</v>
      </c>
      <c r="C1806" s="390">
        <v>94231</v>
      </c>
      <c r="D1806" s="390"/>
      <c r="H1806" s="300"/>
      <c r="J1806" s="387"/>
      <c r="K1806" s="300"/>
      <c r="Q1806" s="300"/>
    </row>
    <row r="1807" spans="1:17">
      <c r="A1807" s="390"/>
      <c r="B1807" s="405" t="s">
        <v>2729</v>
      </c>
      <c r="C1807" s="390">
        <v>99231</v>
      </c>
      <c r="D1807" s="390"/>
      <c r="H1807" s="300"/>
      <c r="J1807" s="387"/>
      <c r="K1807" s="300"/>
      <c r="Q1807" s="300"/>
    </row>
    <row r="1808" spans="1:17">
      <c r="A1808" s="390"/>
      <c r="B1808" s="405" t="s">
        <v>2730</v>
      </c>
      <c r="C1808" s="390">
        <v>99091</v>
      </c>
      <c r="D1808" s="390"/>
      <c r="H1808" s="300"/>
      <c r="J1808" s="387"/>
      <c r="K1808" s="300"/>
      <c r="Q1808" s="300"/>
    </row>
    <row r="1809" spans="1:17">
      <c r="A1809" s="390"/>
      <c r="B1809" s="405" t="s">
        <v>832</v>
      </c>
      <c r="C1809" s="390">
        <v>91120</v>
      </c>
      <c r="D1809" s="390"/>
      <c r="H1809" s="300"/>
      <c r="J1809" s="388"/>
      <c r="K1809" s="300"/>
      <c r="Q1809" s="300"/>
    </row>
    <row r="1810" spans="1:17">
      <c r="A1810" s="390"/>
      <c r="B1810" s="405" t="s">
        <v>946</v>
      </c>
      <c r="C1810" s="390">
        <v>92444</v>
      </c>
      <c r="D1810" s="390"/>
      <c r="H1810" s="300"/>
      <c r="J1810" s="387"/>
      <c r="K1810" s="300"/>
      <c r="Q1810" s="300"/>
    </row>
    <row r="1811" spans="1:17">
      <c r="A1811" s="390"/>
      <c r="B1811" s="405" t="s">
        <v>2731</v>
      </c>
      <c r="C1811" s="390">
        <v>90521</v>
      </c>
      <c r="D1811" s="390"/>
      <c r="H1811" s="300"/>
      <c r="J1811" s="387"/>
      <c r="K1811" s="300"/>
      <c r="Q1811" s="300"/>
    </row>
    <row r="1812" spans="1:17">
      <c r="A1812" s="390"/>
      <c r="B1812" s="405" t="s">
        <v>34</v>
      </c>
      <c r="C1812" s="390">
        <v>90507</v>
      </c>
      <c r="D1812" s="390"/>
      <c r="H1812" s="300"/>
      <c r="J1812" s="388"/>
      <c r="K1812" s="300"/>
      <c r="Q1812" s="300"/>
    </row>
    <row r="1813" spans="1:17">
      <c r="A1813" s="390"/>
      <c r="B1813" s="405" t="s">
        <v>965</v>
      </c>
      <c r="C1813" s="390">
        <v>92602</v>
      </c>
      <c r="D1813" s="390"/>
      <c r="H1813" s="300"/>
      <c r="J1813" s="387"/>
      <c r="K1813" s="300"/>
      <c r="Q1813" s="300"/>
    </row>
    <row r="1814" spans="1:17">
      <c r="A1814" s="390"/>
      <c r="B1814" s="405" t="s">
        <v>882</v>
      </c>
      <c r="C1814" s="390">
        <v>91608</v>
      </c>
      <c r="D1814" s="390"/>
      <c r="H1814" s="300"/>
      <c r="J1814" s="387"/>
      <c r="K1814" s="300"/>
      <c r="Q1814" s="300"/>
    </row>
    <row r="1815" spans="1:17">
      <c r="A1815" s="390"/>
      <c r="B1815" s="405" t="s">
        <v>48</v>
      </c>
      <c r="C1815" s="390">
        <v>91119</v>
      </c>
      <c r="D1815" s="390"/>
      <c r="H1815" s="300"/>
      <c r="J1815" s="387"/>
      <c r="K1815" s="300"/>
      <c r="Q1815" s="300"/>
    </row>
    <row r="1816" spans="1:17">
      <c r="A1816" s="390"/>
      <c r="B1816" s="405" t="s">
        <v>828</v>
      </c>
      <c r="C1816" s="390">
        <v>91107</v>
      </c>
      <c r="D1816" s="390"/>
      <c r="H1816" s="300"/>
      <c r="J1816" s="387"/>
      <c r="K1816" s="300"/>
      <c r="Q1816" s="300"/>
    </row>
    <row r="1817" spans="1:17">
      <c r="A1817" s="390"/>
      <c r="B1817" s="405" t="s">
        <v>2780</v>
      </c>
      <c r="C1817" s="390">
        <v>91818</v>
      </c>
      <c r="D1817" s="390"/>
      <c r="H1817" s="300"/>
      <c r="J1817" s="387"/>
      <c r="K1817" s="300"/>
      <c r="Q1817" s="300"/>
    </row>
    <row r="1818" spans="1:17">
      <c r="A1818" s="390"/>
      <c r="B1818" s="405" t="s">
        <v>903</v>
      </c>
      <c r="C1818" s="390">
        <v>91819</v>
      </c>
      <c r="D1818" s="390"/>
      <c r="H1818" s="300"/>
      <c r="J1818" s="387"/>
      <c r="K1818" s="300"/>
      <c r="Q1818" s="300"/>
    </row>
    <row r="1819" spans="1:17">
      <c r="A1819" s="390"/>
      <c r="B1819" s="405" t="s">
        <v>2732</v>
      </c>
      <c r="C1819" s="390">
        <v>96371</v>
      </c>
      <c r="D1819" s="390"/>
      <c r="H1819" s="300"/>
      <c r="J1819" s="387"/>
      <c r="K1819" s="300"/>
      <c r="Q1819" s="300"/>
    </row>
    <row r="1820" spans="1:17">
      <c r="A1820" s="390"/>
      <c r="B1820" s="405" t="s">
        <v>2733</v>
      </c>
      <c r="C1820" s="390">
        <v>96441</v>
      </c>
      <c r="D1820" s="390"/>
      <c r="H1820" s="300"/>
      <c r="J1820" s="387"/>
      <c r="K1820" s="300"/>
      <c r="Q1820" s="300"/>
    </row>
    <row r="1821" spans="1:17">
      <c r="A1821" s="390"/>
      <c r="B1821" s="405" t="s">
        <v>2734</v>
      </c>
      <c r="C1821" s="390">
        <v>90921</v>
      </c>
      <c r="D1821" s="390"/>
      <c r="H1821" s="300"/>
      <c r="J1821" s="388"/>
      <c r="K1821" s="300"/>
      <c r="Q1821" s="300"/>
    </row>
    <row r="1822" spans="1:17">
      <c r="A1822" s="390"/>
      <c r="B1822" s="405" t="s">
        <v>2014</v>
      </c>
      <c r="C1822" s="390">
        <v>92411</v>
      </c>
      <c r="D1822" s="390"/>
      <c r="H1822" s="300"/>
      <c r="J1822" s="387"/>
      <c r="K1822" s="300"/>
      <c r="Q1822" s="300"/>
    </row>
    <row r="1823" spans="1:17">
      <c r="A1823" s="390"/>
      <c r="B1823" s="405" t="s">
        <v>941</v>
      </c>
      <c r="C1823" s="390">
        <v>92417</v>
      </c>
      <c r="D1823" s="390"/>
      <c r="H1823" s="300"/>
      <c r="J1823" s="387"/>
      <c r="K1823" s="300"/>
      <c r="Q1823" s="300"/>
    </row>
    <row r="1824" spans="1:17">
      <c r="A1824" s="390"/>
      <c r="B1824" s="405" t="s">
        <v>939</v>
      </c>
      <c r="C1824" s="390">
        <v>92403</v>
      </c>
      <c r="D1824" s="390"/>
      <c r="H1824" s="300"/>
      <c r="J1824" s="388"/>
      <c r="K1824" s="300"/>
      <c r="Q1824" s="300"/>
    </row>
    <row r="1825" spans="1:17">
      <c r="A1825" s="390"/>
      <c r="B1825" s="405" t="s">
        <v>1591</v>
      </c>
      <c r="C1825" s="390">
        <v>99701</v>
      </c>
      <c r="D1825" s="390"/>
      <c r="H1825" s="300"/>
      <c r="J1825" s="387"/>
      <c r="K1825" s="300"/>
      <c r="Q1825" s="300"/>
    </row>
    <row r="1826" spans="1:17">
      <c r="A1826" s="390"/>
      <c r="B1826" s="405" t="s">
        <v>2735</v>
      </c>
      <c r="C1826" s="390">
        <v>99721</v>
      </c>
      <c r="D1826" s="390"/>
      <c r="H1826" s="300"/>
      <c r="J1826" s="387"/>
      <c r="K1826" s="300"/>
      <c r="Q1826" s="300"/>
    </row>
    <row r="1827" spans="1:17">
      <c r="A1827" s="390"/>
      <c r="B1827" s="405" t="s">
        <v>1596</v>
      </c>
      <c r="C1827" s="390">
        <v>99727</v>
      </c>
      <c r="D1827" s="390"/>
      <c r="H1827" s="300"/>
      <c r="J1827" s="387"/>
      <c r="K1827" s="300"/>
      <c r="Q1827" s="300"/>
    </row>
    <row r="1828" spans="1:17">
      <c r="A1828" s="390"/>
      <c r="B1828" s="405" t="s">
        <v>2736</v>
      </c>
      <c r="C1828" s="390">
        <v>95811</v>
      </c>
      <c r="D1828" s="390"/>
      <c r="H1828" s="300"/>
      <c r="J1828" s="387"/>
      <c r="K1828" s="300"/>
      <c r="Q1828" s="300"/>
    </row>
    <row r="1829" spans="1:17">
      <c r="A1829" s="390"/>
      <c r="B1829" s="405" t="s">
        <v>1238</v>
      </c>
      <c r="C1829" s="390">
        <v>95813</v>
      </c>
      <c r="D1829" s="390"/>
      <c r="H1829" s="300"/>
      <c r="J1829" s="387"/>
      <c r="K1829" s="300"/>
      <c r="Q1829" s="300"/>
    </row>
    <row r="1830" spans="1:17">
      <c r="A1830" s="390"/>
      <c r="B1830" s="405" t="s">
        <v>2015</v>
      </c>
      <c r="C1830" s="390">
        <v>96531</v>
      </c>
      <c r="D1830" s="390"/>
      <c r="H1830" s="300"/>
      <c r="J1830" s="387"/>
      <c r="K1830" s="300"/>
      <c r="Q1830" s="300"/>
    </row>
    <row r="1831" spans="1:17">
      <c r="A1831" s="390"/>
      <c r="B1831" s="405" t="s">
        <v>1303</v>
      </c>
      <c r="C1831" s="390">
        <v>96503</v>
      </c>
      <c r="D1831" s="390"/>
      <c r="H1831" s="300"/>
      <c r="J1831" s="387"/>
      <c r="K1831" s="300"/>
      <c r="Q1831" s="300"/>
    </row>
    <row r="1832" spans="1:17">
      <c r="A1832" s="390"/>
      <c r="B1832" s="405" t="s">
        <v>2016</v>
      </c>
      <c r="C1832" s="390">
        <v>99811</v>
      </c>
      <c r="D1832" s="390"/>
      <c r="H1832" s="300"/>
      <c r="J1832" s="387"/>
      <c r="K1832" s="300"/>
      <c r="Q1832" s="300"/>
    </row>
    <row r="1833" spans="1:17">
      <c r="A1833" s="390"/>
      <c r="B1833" s="405" t="s">
        <v>2017</v>
      </c>
      <c r="C1833" s="390">
        <v>99818</v>
      </c>
      <c r="D1833" s="390"/>
      <c r="H1833" s="300"/>
      <c r="J1833" s="388"/>
      <c r="K1833" s="300"/>
      <c r="Q1833" s="300"/>
    </row>
    <row r="1834" spans="1:17">
      <c r="A1834" s="390"/>
      <c r="B1834" s="405" t="s">
        <v>1597</v>
      </c>
      <c r="C1834" s="390">
        <v>99801</v>
      </c>
      <c r="D1834" s="390"/>
      <c r="H1834" s="300"/>
      <c r="J1834" s="387"/>
      <c r="K1834" s="300"/>
      <c r="Q1834" s="300"/>
    </row>
    <row r="1835" spans="1:17">
      <c r="A1835" s="390"/>
      <c r="B1835" s="405" t="s">
        <v>1599</v>
      </c>
      <c r="C1835" s="390">
        <v>99804</v>
      </c>
      <c r="D1835" s="390"/>
      <c r="H1835" s="300"/>
      <c r="J1835" s="387"/>
      <c r="K1835" s="300"/>
      <c r="Q1835" s="300"/>
    </row>
    <row r="1836" spans="1:17">
      <c r="A1836" s="390"/>
      <c r="B1836" s="405" t="s">
        <v>2767</v>
      </c>
      <c r="C1836" s="390">
        <v>99802</v>
      </c>
      <c r="D1836" s="390"/>
      <c r="H1836" s="300"/>
      <c r="J1836" s="388"/>
      <c r="K1836" s="300"/>
      <c r="Q1836" s="300"/>
    </row>
    <row r="1837" spans="1:17">
      <c r="A1837" s="390"/>
      <c r="B1837" s="405" t="s">
        <v>1601</v>
      </c>
      <c r="C1837" s="390">
        <v>99812</v>
      </c>
      <c r="D1837" s="390"/>
      <c r="H1837" s="300"/>
      <c r="J1837" s="387"/>
      <c r="K1837" s="300"/>
      <c r="Q1837" s="300"/>
    </row>
    <row r="1838" spans="1:17">
      <c r="A1838" s="390"/>
      <c r="B1838" s="405" t="s">
        <v>2737</v>
      </c>
      <c r="C1838" s="390">
        <v>95191</v>
      </c>
      <c r="D1838" s="390"/>
      <c r="H1838" s="300"/>
      <c r="J1838" s="387"/>
      <c r="K1838" s="300"/>
      <c r="Q1838" s="300"/>
    </row>
    <row r="1839" spans="1:17">
      <c r="A1839" s="390"/>
      <c r="B1839" s="405" t="s">
        <v>2738</v>
      </c>
      <c r="C1839" s="390">
        <v>90812</v>
      </c>
      <c r="D1839" s="390"/>
      <c r="H1839" s="300"/>
      <c r="J1839" s="387"/>
      <c r="K1839" s="300"/>
      <c r="Q1839" s="300"/>
    </row>
    <row r="1840" spans="1:17">
      <c r="A1840" s="390"/>
      <c r="B1840" s="405" t="s">
        <v>2739</v>
      </c>
      <c r="C1840" s="390">
        <v>97221</v>
      </c>
      <c r="D1840" s="390"/>
      <c r="H1840" s="300"/>
      <c r="J1840" s="387"/>
      <c r="K1840" s="300"/>
      <c r="Q1840" s="300"/>
    </row>
    <row r="1841" spans="1:17">
      <c r="A1841" s="390"/>
      <c r="B1841" s="405" t="s">
        <v>2740</v>
      </c>
      <c r="C1841" s="390">
        <v>99031</v>
      </c>
      <c r="D1841" s="390"/>
      <c r="H1841" s="300"/>
      <c r="J1841" s="387"/>
      <c r="K1841" s="300"/>
      <c r="Q1841" s="300"/>
    </row>
    <row r="1842" spans="1:17">
      <c r="A1842" s="390"/>
      <c r="B1842" s="405" t="s">
        <v>2018</v>
      </c>
      <c r="C1842" s="390">
        <v>93411</v>
      </c>
      <c r="D1842" s="390"/>
      <c r="H1842" s="300"/>
      <c r="J1842" s="387"/>
      <c r="K1842" s="300"/>
      <c r="Q1842" s="300"/>
    </row>
    <row r="1843" spans="1:17">
      <c r="A1843" s="390"/>
      <c r="B1843" s="405" t="s">
        <v>1041</v>
      </c>
      <c r="C1843" s="390">
        <v>93413</v>
      </c>
      <c r="D1843" s="390"/>
      <c r="H1843" s="300"/>
      <c r="J1843" s="387"/>
      <c r="K1843" s="300"/>
      <c r="Q1843" s="300"/>
    </row>
    <row r="1844" spans="1:17">
      <c r="A1844" s="390"/>
      <c r="B1844" s="405" t="s">
        <v>2741</v>
      </c>
      <c r="C1844" s="390">
        <v>97451</v>
      </c>
      <c r="D1844" s="390"/>
      <c r="H1844" s="300"/>
      <c r="J1844" s="387"/>
      <c r="K1844" s="300"/>
      <c r="Q1844" s="300"/>
    </row>
    <row r="1845" spans="1:17">
      <c r="A1845" s="390"/>
      <c r="B1845" s="405" t="s">
        <v>2742</v>
      </c>
      <c r="C1845" s="390">
        <v>94631</v>
      </c>
      <c r="D1845" s="390"/>
      <c r="H1845" s="300"/>
      <c r="J1845" s="388"/>
      <c r="K1845" s="300"/>
      <c r="Q1845" s="300"/>
    </row>
    <row r="1846" spans="1:17">
      <c r="A1846" s="390"/>
      <c r="B1846" s="405" t="s">
        <v>2743</v>
      </c>
      <c r="C1846" s="390">
        <v>91171</v>
      </c>
      <c r="D1846" s="390"/>
      <c r="H1846" s="300"/>
      <c r="J1846" s="387"/>
      <c r="K1846" s="300"/>
      <c r="Q1846" s="300"/>
    </row>
    <row r="1847" spans="1:17">
      <c r="A1847" s="390"/>
      <c r="B1847" s="405" t="s">
        <v>827</v>
      </c>
      <c r="C1847" s="390">
        <v>91104</v>
      </c>
      <c r="D1847" s="390"/>
      <c r="H1847" s="300"/>
      <c r="J1847" s="387"/>
      <c r="K1847" s="300"/>
      <c r="Q1847" s="300"/>
    </row>
    <row r="1848" spans="1:17">
      <c r="A1848" s="390"/>
      <c r="B1848" s="405" t="s">
        <v>2779</v>
      </c>
      <c r="C1848" s="390">
        <v>91109</v>
      </c>
      <c r="D1848" s="390"/>
      <c r="H1848" s="300"/>
      <c r="J1848" s="383"/>
      <c r="K1848" s="300"/>
      <c r="Q1848" s="300"/>
    </row>
    <row r="1849" spans="1:17">
      <c r="A1849" s="390"/>
      <c r="B1849" s="405" t="s">
        <v>2744</v>
      </c>
      <c r="C1849" s="390">
        <v>96621</v>
      </c>
      <c r="D1849" s="390"/>
      <c r="H1849" s="300"/>
      <c r="K1849" s="300"/>
      <c r="Q1849" s="300"/>
    </row>
    <row r="1850" spans="1:17">
      <c r="A1850" s="390"/>
      <c r="B1850" s="405" t="s">
        <v>2492</v>
      </c>
      <c r="C1850" s="390">
        <v>96511</v>
      </c>
      <c r="D1850" s="390"/>
      <c r="H1850" s="300"/>
      <c r="K1850" s="300"/>
      <c r="Q1850" s="300"/>
    </row>
    <row r="1851" spans="1:17">
      <c r="A1851" s="390"/>
      <c r="B1851" s="405" t="s">
        <v>1607</v>
      </c>
      <c r="C1851" s="390">
        <v>99901</v>
      </c>
      <c r="D1851" s="390"/>
      <c r="H1851" s="300"/>
      <c r="K1851" s="300"/>
      <c r="Q1851" s="300"/>
    </row>
    <row r="1852" spans="1:17">
      <c r="A1852" s="390"/>
      <c r="B1852" s="405" t="s">
        <v>3515</v>
      </c>
      <c r="C1852" s="390">
        <v>98604</v>
      </c>
      <c r="D1852" s="390"/>
      <c r="H1852" s="300"/>
      <c r="K1852" s="300"/>
      <c r="Q1852" s="300"/>
    </row>
    <row r="1853" spans="1:17">
      <c r="A1853" s="390"/>
      <c r="B1853" s="405" t="s">
        <v>1502</v>
      </c>
      <c r="C1853" s="390">
        <v>98608</v>
      </c>
      <c r="D1853" s="390"/>
      <c r="H1853" s="300"/>
      <c r="K1853" s="300"/>
      <c r="Q1853" s="300"/>
    </row>
    <row r="1854" spans="1:17">
      <c r="A1854" s="390"/>
      <c r="B1854" s="405" t="s">
        <v>2491</v>
      </c>
      <c r="C1854" s="390">
        <v>99911</v>
      </c>
      <c r="D1854" s="390"/>
      <c r="H1854" s="300"/>
      <c r="K1854" s="300"/>
      <c r="Q1854" s="300"/>
    </row>
    <row r="1855" spans="1:17">
      <c r="A1855" s="390"/>
      <c r="B1855" s="405" t="s">
        <v>727</v>
      </c>
      <c r="C1855" s="390">
        <v>90001</v>
      </c>
      <c r="D1855" s="390"/>
      <c r="H1855" s="300"/>
      <c r="K1855" s="300"/>
      <c r="Q1855" s="300"/>
    </row>
    <row r="1856" spans="1:17">
      <c r="A1856" s="390"/>
      <c r="B1856" s="405" t="s">
        <v>2778</v>
      </c>
      <c r="C1856" s="390">
        <v>90002</v>
      </c>
      <c r="D1856" s="390"/>
      <c r="H1856" s="300"/>
      <c r="K1856" s="300"/>
      <c r="Q1856" s="300"/>
    </row>
    <row r="1857" spans="1:17">
      <c r="A1857" s="390"/>
      <c r="B1857" s="405" t="s">
        <v>2490</v>
      </c>
      <c r="C1857" s="390">
        <v>91719</v>
      </c>
      <c r="D1857" s="390"/>
      <c r="H1857" s="300"/>
      <c r="K1857" s="300"/>
      <c r="Q1857" s="300"/>
    </row>
    <row r="1858" spans="1:17">
      <c r="A1858" s="390"/>
      <c r="B1858" s="405" t="s">
        <v>2488</v>
      </c>
      <c r="C1858" s="390">
        <v>93541</v>
      </c>
      <c r="D1858" s="390"/>
      <c r="H1858" s="300"/>
      <c r="K1858" s="300"/>
      <c r="Q1858" s="300"/>
    </row>
    <row r="1859" spans="1:17">
      <c r="A1859" s="390"/>
      <c r="B1859" s="405" t="s">
        <v>2489</v>
      </c>
      <c r="C1859" s="390">
        <v>99241</v>
      </c>
      <c r="D1859" s="390"/>
      <c r="H1859" s="300"/>
      <c r="K1859" s="300"/>
      <c r="Q1859" s="300"/>
    </row>
    <row r="1860" spans="1:17">
      <c r="A1860" s="390"/>
      <c r="B1860" s="391"/>
      <c r="C1860" s="390"/>
      <c r="D1860" s="390"/>
      <c r="H1860" s="300"/>
      <c r="K1860" s="300"/>
      <c r="Q1860" s="300"/>
    </row>
    <row r="1861" spans="1:17">
      <c r="B1861" s="391"/>
      <c r="C1861" s="390"/>
      <c r="D1861" s="390"/>
      <c r="H1861" s="300"/>
      <c r="K1861" s="300"/>
      <c r="Q1861" s="300"/>
    </row>
    <row r="1862" spans="1:17">
      <c r="B1862" s="391"/>
      <c r="C1862" s="390"/>
      <c r="D1862" s="390"/>
      <c r="H1862" s="300"/>
      <c r="K1862" s="300"/>
      <c r="Q1862" s="300"/>
    </row>
    <row r="1863" spans="1:17">
      <c r="B1863" s="391"/>
      <c r="C1863" s="390"/>
      <c r="D1863" s="390"/>
      <c r="H1863" s="300"/>
      <c r="K1863" s="300"/>
      <c r="Q1863" s="300"/>
    </row>
    <row r="1864" spans="1:17">
      <c r="B1864" s="391"/>
      <c r="C1864" s="390"/>
      <c r="D1864"/>
      <c r="H1864" s="300"/>
      <c r="K1864" s="300"/>
      <c r="Q1864" s="300"/>
    </row>
    <row r="1865" spans="1:17">
      <c r="B1865" s="390"/>
      <c r="C1865" s="234"/>
      <c r="H1865" s="300"/>
      <c r="K1865" s="300"/>
      <c r="Q1865" s="300"/>
    </row>
    <row r="1866" spans="1:17">
      <c r="B1866" s="390"/>
      <c r="C1866" s="234"/>
      <c r="H1866" s="300"/>
      <c r="K1866" s="300"/>
      <c r="Q1866" s="300"/>
    </row>
    <row r="1867" spans="1:17">
      <c r="B1867" s="390"/>
      <c r="C1867" s="234"/>
      <c r="H1867" s="300"/>
      <c r="K1867" s="300"/>
      <c r="Q1867" s="300"/>
    </row>
    <row r="1868" spans="1:17">
      <c r="B1868" s="390"/>
      <c r="C1868" s="234"/>
      <c r="H1868" s="300"/>
      <c r="K1868" s="300"/>
      <c r="Q1868" s="300"/>
    </row>
    <row r="1869" spans="1:17">
      <c r="B1869" s="390"/>
      <c r="C1869" s="234"/>
      <c r="H1869" s="300"/>
      <c r="K1869" s="300"/>
      <c r="Q1869" s="300"/>
    </row>
    <row r="1870" spans="1:17">
      <c r="B1870" s="390"/>
      <c r="C1870" s="234"/>
      <c r="H1870" s="300"/>
      <c r="K1870" s="300"/>
      <c r="Q1870" s="300"/>
    </row>
    <row r="1871" spans="1:17">
      <c r="B1871" s="390"/>
      <c r="C1871" s="234"/>
      <c r="H1871" s="300"/>
      <c r="K1871" s="300"/>
      <c r="Q1871" s="300"/>
    </row>
    <row r="1872" spans="1:17">
      <c r="B1872" s="390"/>
      <c r="C1872" s="234"/>
      <c r="H1872" s="300"/>
      <c r="K1872" s="300"/>
      <c r="Q1872" s="300"/>
    </row>
    <row r="1873" spans="2:17">
      <c r="B1873" s="390"/>
      <c r="C1873" s="234"/>
      <c r="H1873" s="300"/>
      <c r="K1873" s="300"/>
      <c r="Q1873" s="300"/>
    </row>
    <row r="1874" spans="2:17">
      <c r="B1874" s="390"/>
      <c r="C1874" s="234"/>
      <c r="H1874" s="300"/>
      <c r="K1874" s="300"/>
      <c r="Q1874" s="300"/>
    </row>
    <row r="1875" spans="2:17">
      <c r="B1875" s="390"/>
      <c r="C1875" s="234"/>
      <c r="H1875" s="300"/>
      <c r="K1875" s="300"/>
      <c r="Q1875" s="300"/>
    </row>
    <row r="1876" spans="2:17">
      <c r="B1876" s="390"/>
      <c r="C1876" s="234"/>
      <c r="H1876" s="300"/>
      <c r="K1876" s="300"/>
      <c r="Q1876" s="300"/>
    </row>
    <row r="1877" spans="2:17">
      <c r="B1877" s="390"/>
      <c r="C1877" s="234"/>
      <c r="H1877" s="300"/>
      <c r="K1877" s="300"/>
      <c r="Q1877" s="300"/>
    </row>
    <row r="1878" spans="2:17">
      <c r="B1878" s="390"/>
      <c r="C1878" s="234"/>
      <c r="H1878" s="300"/>
      <c r="K1878" s="300"/>
      <c r="Q1878" s="300"/>
    </row>
    <row r="1879" spans="2:17">
      <c r="B1879" s="390"/>
      <c r="C1879" s="234"/>
      <c r="H1879" s="300"/>
      <c r="K1879" s="300"/>
      <c r="Q1879" s="300"/>
    </row>
    <row r="1880" spans="2:17">
      <c r="B1880" s="409"/>
      <c r="H1880" s="300"/>
      <c r="K1880" s="300"/>
      <c r="Q1880" s="300"/>
    </row>
    <row r="1881" spans="2:17">
      <c r="B1881" s="409"/>
      <c r="H1881" s="300"/>
      <c r="K1881" s="300"/>
      <c r="Q1881" s="300"/>
    </row>
    <row r="1882" spans="2:17">
      <c r="B1882" s="409"/>
      <c r="H1882" s="300"/>
      <c r="K1882" s="300"/>
      <c r="Q1882" s="300"/>
    </row>
    <row r="1883" spans="2:17">
      <c r="B1883" s="409"/>
      <c r="H1883" s="300"/>
      <c r="K1883" s="300"/>
      <c r="Q1883" s="300"/>
    </row>
    <row r="1884" spans="2:17">
      <c r="B1884" s="409"/>
      <c r="H1884" s="300"/>
      <c r="K1884" s="300"/>
      <c r="Q1884" s="300"/>
    </row>
    <row r="1885" spans="2:17">
      <c r="B1885" s="409"/>
      <c r="H1885" s="300"/>
      <c r="K1885" s="300"/>
      <c r="Q1885" s="300"/>
    </row>
    <row r="1886" spans="2:17">
      <c r="B1886" s="409"/>
      <c r="H1886" s="300"/>
      <c r="K1886" s="300"/>
      <c r="Q1886" s="300"/>
    </row>
    <row r="1887" spans="2:17">
      <c r="B1887" s="409"/>
      <c r="H1887" s="300"/>
      <c r="K1887" s="300"/>
      <c r="Q1887" s="300"/>
    </row>
    <row r="1888" spans="2:17">
      <c r="B1888" s="409"/>
      <c r="H1888" s="300"/>
      <c r="K1888" s="300"/>
      <c r="Q1888" s="300"/>
    </row>
    <row r="1889" spans="2:17">
      <c r="B1889" s="409"/>
      <c r="H1889" s="300"/>
      <c r="K1889" s="300"/>
      <c r="Q1889" s="300"/>
    </row>
    <row r="1890" spans="2:17">
      <c r="B1890" s="409"/>
      <c r="H1890" s="300"/>
      <c r="K1890" s="300"/>
      <c r="Q1890" s="300"/>
    </row>
    <row r="1891" spans="2:17">
      <c r="B1891" s="409"/>
      <c r="H1891" s="300"/>
      <c r="K1891" s="300"/>
      <c r="Q1891" s="300"/>
    </row>
    <row r="1892" spans="2:17">
      <c r="B1892" s="409"/>
      <c r="H1892" s="300"/>
      <c r="K1892" s="300"/>
      <c r="Q1892" s="300"/>
    </row>
    <row r="1893" spans="2:17">
      <c r="B1893" s="409"/>
      <c r="H1893" s="300"/>
      <c r="K1893" s="300"/>
      <c r="Q1893" s="300"/>
    </row>
    <row r="1894" spans="2:17">
      <c r="B1894" s="409"/>
      <c r="H1894" s="300"/>
      <c r="K1894" s="300"/>
      <c r="Q1894" s="300"/>
    </row>
    <row r="1895" spans="2:17">
      <c r="B1895" s="409"/>
      <c r="H1895" s="300"/>
      <c r="K1895" s="300"/>
      <c r="Q1895" s="300"/>
    </row>
    <row r="1896" spans="2:17">
      <c r="B1896" s="409"/>
      <c r="H1896" s="300"/>
      <c r="K1896" s="300"/>
      <c r="Q1896" s="300"/>
    </row>
    <row r="1897" spans="2:17">
      <c r="B1897" s="409"/>
      <c r="H1897" s="300"/>
      <c r="K1897" s="300"/>
      <c r="Q1897" s="300"/>
    </row>
    <row r="1898" spans="2:17">
      <c r="B1898" s="409"/>
      <c r="H1898" s="300"/>
      <c r="K1898" s="300"/>
      <c r="Q1898" s="300"/>
    </row>
    <row r="1899" spans="2:17">
      <c r="B1899" s="409"/>
      <c r="H1899" s="300"/>
      <c r="K1899" s="300"/>
      <c r="Q1899" s="300"/>
    </row>
    <row r="1900" spans="2:17">
      <c r="B1900" s="409"/>
      <c r="H1900" s="300"/>
      <c r="K1900" s="300"/>
      <c r="Q1900" s="300"/>
    </row>
    <row r="1901" spans="2:17">
      <c r="B1901" s="409"/>
      <c r="H1901" s="300"/>
      <c r="K1901" s="300"/>
      <c r="Q1901" s="300"/>
    </row>
    <row r="1902" spans="2:17">
      <c r="B1902" s="409"/>
      <c r="H1902" s="300"/>
      <c r="K1902" s="300"/>
      <c r="Q1902" s="300"/>
    </row>
    <row r="1903" spans="2:17">
      <c r="B1903" s="409"/>
      <c r="H1903" s="300"/>
      <c r="K1903" s="300"/>
      <c r="Q1903" s="300"/>
    </row>
    <row r="1904" spans="2:17">
      <c r="B1904" s="409"/>
      <c r="H1904" s="300"/>
      <c r="K1904" s="300"/>
      <c r="Q1904" s="300"/>
    </row>
    <row r="1905" spans="2:17">
      <c r="B1905" s="409"/>
      <c r="H1905" s="300"/>
      <c r="K1905" s="300"/>
      <c r="Q1905" s="300"/>
    </row>
    <row r="1906" spans="2:17">
      <c r="B1906" s="409"/>
      <c r="H1906" s="300"/>
      <c r="K1906" s="300"/>
      <c r="Q1906" s="300"/>
    </row>
    <row r="1907" spans="2:17">
      <c r="B1907" s="409"/>
      <c r="H1907" s="300"/>
      <c r="K1907" s="300"/>
      <c r="Q1907" s="300"/>
    </row>
    <row r="1908" spans="2:17">
      <c r="B1908" s="409"/>
      <c r="H1908" s="300"/>
      <c r="K1908" s="300"/>
      <c r="Q1908" s="300"/>
    </row>
    <row r="1909" spans="2:17">
      <c r="B1909" s="409"/>
      <c r="H1909" s="300"/>
      <c r="K1909" s="300"/>
      <c r="Q1909" s="300"/>
    </row>
    <row r="1910" spans="2:17">
      <c r="B1910" s="409"/>
      <c r="H1910" s="300"/>
      <c r="K1910" s="300"/>
      <c r="Q1910" s="300"/>
    </row>
    <row r="1911" spans="2:17">
      <c r="B1911" s="409"/>
      <c r="H1911" s="300"/>
      <c r="K1911" s="300"/>
      <c r="Q1911" s="300"/>
    </row>
    <row r="1912" spans="2:17">
      <c r="B1912" s="409"/>
      <c r="H1912" s="300"/>
      <c r="K1912" s="300"/>
      <c r="Q1912" s="300"/>
    </row>
    <row r="1913" spans="2:17">
      <c r="B1913" s="409"/>
      <c r="H1913" s="300"/>
      <c r="K1913" s="300"/>
      <c r="Q1913" s="300"/>
    </row>
    <row r="1914" spans="2:17">
      <c r="B1914" s="409"/>
      <c r="H1914" s="300"/>
      <c r="K1914" s="300"/>
      <c r="Q1914" s="300"/>
    </row>
    <row r="1915" spans="2:17">
      <c r="B1915" s="409"/>
      <c r="H1915" s="300"/>
      <c r="K1915" s="300"/>
      <c r="Q1915" s="300"/>
    </row>
    <row r="1916" spans="2:17">
      <c r="B1916" s="409"/>
      <c r="H1916" s="300"/>
      <c r="K1916" s="300"/>
      <c r="Q1916" s="300"/>
    </row>
    <row r="1917" spans="2:17">
      <c r="B1917" s="409"/>
      <c r="H1917" s="300"/>
      <c r="K1917" s="300"/>
      <c r="Q1917" s="300"/>
    </row>
    <row r="1918" spans="2:17">
      <c r="B1918" s="409"/>
      <c r="H1918" s="300"/>
      <c r="K1918" s="300"/>
      <c r="Q1918" s="300"/>
    </row>
    <row r="1919" spans="2:17">
      <c r="B1919" s="409"/>
      <c r="H1919" s="300"/>
      <c r="K1919" s="300"/>
      <c r="Q1919" s="300"/>
    </row>
    <row r="1920" spans="2:17">
      <c r="B1920" s="409"/>
      <c r="H1920" s="300"/>
      <c r="K1920" s="300"/>
      <c r="Q1920" s="300"/>
    </row>
    <row r="1921" spans="2:17">
      <c r="B1921" s="409"/>
      <c r="H1921" s="300"/>
      <c r="K1921" s="300"/>
      <c r="Q1921" s="300"/>
    </row>
    <row r="1922" spans="2:17">
      <c r="B1922" s="409"/>
      <c r="H1922" s="300"/>
      <c r="K1922" s="300"/>
      <c r="Q1922" s="300"/>
    </row>
    <row r="1923" spans="2:17">
      <c r="B1923" s="409"/>
      <c r="H1923" s="300"/>
      <c r="K1923" s="300"/>
      <c r="Q1923" s="300"/>
    </row>
    <row r="1924" spans="2:17">
      <c r="B1924" s="409"/>
      <c r="H1924" s="300"/>
      <c r="K1924" s="300"/>
      <c r="Q1924" s="300"/>
    </row>
    <row r="1925" spans="2:17">
      <c r="B1925" s="409"/>
      <c r="H1925" s="300"/>
      <c r="K1925" s="300"/>
      <c r="Q1925" s="300"/>
    </row>
    <row r="1926" spans="2:17">
      <c r="B1926" s="409"/>
      <c r="H1926" s="300"/>
      <c r="K1926" s="300"/>
      <c r="Q1926" s="300"/>
    </row>
    <row r="1927" spans="2:17">
      <c r="B1927" s="409"/>
      <c r="H1927" s="300"/>
      <c r="K1927" s="300"/>
      <c r="Q1927" s="300"/>
    </row>
    <row r="1928" spans="2:17">
      <c r="B1928" s="409"/>
      <c r="H1928" s="300"/>
      <c r="K1928" s="300"/>
      <c r="Q1928" s="300"/>
    </row>
    <row r="1929" spans="2:17">
      <c r="B1929" s="409"/>
      <c r="H1929" s="300"/>
      <c r="K1929" s="300"/>
      <c r="Q1929" s="300"/>
    </row>
  </sheetData>
  <autoFilter ref="A7:U957" xr:uid="{00000000-0009-0000-0000-000004000000}">
    <sortState xmlns:xlrd2="http://schemas.microsoft.com/office/spreadsheetml/2017/richdata2" ref="A8:U957">
      <sortCondition descending="1" sortBy="cellColor" ref="A9:A957" dxfId="24"/>
    </sortState>
  </autoFilter>
  <conditionalFormatting sqref="B1865:B1879">
    <cfRule type="duplicateValues" dxfId="12" priority="1"/>
    <cfRule type="duplicateValues" dxfId="11" priority="2"/>
  </conditionalFormatting>
  <conditionalFormatting sqref="C1865:C1879">
    <cfRule type="duplicateValues" dxfId="10" priority="3"/>
    <cfRule type="duplicateValues" dxfId="9" priority="4"/>
  </conditionalFormatting>
  <pageMargins left="0.7" right="0.7" top="0.75" bottom="0.75" header="0.3" footer="0.3"/>
  <pageSetup paperSize="5" scale="4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1908"/>
  <sheetViews>
    <sheetView zoomScale="90" zoomScaleNormal="90" workbookViewId="0">
      <selection activeCell="B16" sqref="B16:B17"/>
    </sheetView>
  </sheetViews>
  <sheetFormatPr defaultColWidth="9.140625" defaultRowHeight="15"/>
  <cols>
    <col min="1" max="1" width="10.5703125" style="225" customWidth="1"/>
    <col min="2" max="2" width="48.85546875" style="225" customWidth="1"/>
    <col min="3" max="3" width="13.85546875" style="225" customWidth="1"/>
    <col min="4" max="4" width="13.85546875" style="234" customWidth="1"/>
    <col min="5" max="5" width="30.140625" style="225" customWidth="1"/>
    <col min="6" max="6" width="3.85546875" style="225" customWidth="1"/>
    <col min="7" max="7" width="18.28515625" style="225" customWidth="1"/>
    <col min="8" max="8" width="20" style="89" customWidth="1"/>
    <col min="9" max="9" width="16.85546875" style="225" customWidth="1"/>
    <col min="10" max="10" width="19.42578125" style="225" customWidth="1"/>
    <col min="11" max="11" width="20" style="89" customWidth="1"/>
    <col min="12" max="12" width="3.85546875" style="225" customWidth="1"/>
    <col min="13" max="13" width="18.28515625" style="225" customWidth="1"/>
    <col min="14" max="14" width="11.85546875" style="225" customWidth="1"/>
    <col min="15" max="15" width="19.42578125" style="225" customWidth="1"/>
    <col min="16" max="16" width="20" style="89" customWidth="1"/>
    <col min="17" max="17" width="3.85546875" style="225" customWidth="1"/>
    <col min="18" max="18" width="21.140625" style="225" bestFit="1" customWidth="1"/>
    <col min="19" max="19" width="22.42578125" style="225" customWidth="1"/>
    <col min="20" max="20" width="19.140625" style="225" bestFit="1" customWidth="1"/>
    <col min="21" max="21" width="13.28515625" style="225" bestFit="1" customWidth="1"/>
    <col min="22" max="23" width="9.140625" style="225"/>
    <col min="24" max="24" width="13.140625" style="225" customWidth="1"/>
    <col min="25" max="25" width="13.85546875" style="225" customWidth="1"/>
    <col min="26" max="16384" width="9.140625" style="225"/>
  </cols>
  <sheetData>
    <row r="1" spans="1:25" ht="30">
      <c r="A1" s="225" t="str">
        <f>+'Changes to Update Template '!C43</f>
        <v>Measurement date 6/30/2024</v>
      </c>
      <c r="C1" s="370" t="s">
        <v>3717</v>
      </c>
      <c r="D1" s="382" t="s">
        <v>3730</v>
      </c>
      <c r="H1" s="225"/>
    </row>
    <row r="2" spans="1:25">
      <c r="A2" s="225" t="s">
        <v>1920</v>
      </c>
      <c r="C2" s="366">
        <f>+C4-C3</f>
        <v>0</v>
      </c>
      <c r="D2" s="366">
        <f>+D4-D3</f>
        <v>0</v>
      </c>
      <c r="E2" s="232">
        <f>+E4-E3</f>
        <v>0</v>
      </c>
      <c r="G2" s="232">
        <f>+G4-G3</f>
        <v>0</v>
      </c>
      <c r="H2" s="232">
        <f>+H4-H3</f>
        <v>0</v>
      </c>
      <c r="I2" s="232">
        <f>+I4-I3</f>
        <v>0</v>
      </c>
      <c r="J2" s="232">
        <f>+J4-J3</f>
        <v>0</v>
      </c>
      <c r="K2" s="232">
        <f>+K4-K3</f>
        <v>0</v>
      </c>
      <c r="M2" s="232">
        <f>+M4-M3</f>
        <v>0</v>
      </c>
      <c r="N2" s="232">
        <f>+N4-N3</f>
        <v>0</v>
      </c>
      <c r="O2" s="232">
        <f>+O4-O3</f>
        <v>0</v>
      </c>
      <c r="P2" s="232">
        <f>+P4-P3</f>
        <v>0</v>
      </c>
      <c r="R2" s="232">
        <f>+R4-R3</f>
        <v>0</v>
      </c>
      <c r="S2" s="232">
        <f>+S4-S3</f>
        <v>0</v>
      </c>
      <c r="T2" s="232">
        <f>+T4-T3</f>
        <v>0</v>
      </c>
    </row>
    <row r="3" spans="1:25" s="95" customFormat="1">
      <c r="A3" s="90"/>
      <c r="B3" s="54" t="s">
        <v>711</v>
      </c>
      <c r="C3" s="341">
        <f>SUM(C9:C923)</f>
        <v>1.0000000000000002</v>
      </c>
      <c r="D3" s="341">
        <f>SUM(D9:D9200)</f>
        <v>1.0000000000000007</v>
      </c>
      <c r="E3" s="232">
        <f>SUM(E9:E923)</f>
        <v>3573425995</v>
      </c>
      <c r="F3" s="232"/>
      <c r="G3" s="232">
        <f t="shared" ref="G3:I3" si="0">SUM(G9:G923)</f>
        <v>451260991</v>
      </c>
      <c r="H3" s="232">
        <f t="shared" si="0"/>
        <v>502863984</v>
      </c>
      <c r="I3" s="232">
        <f t="shared" si="0"/>
        <v>265932990</v>
      </c>
      <c r="J3" s="232">
        <f>SUM(J9:J923)</f>
        <v>46013594</v>
      </c>
      <c r="K3" s="232">
        <f t="shared" ref="K3:T3" si="1">SUM(K9:K923)</f>
        <v>1266071559</v>
      </c>
      <c r="L3" s="232"/>
      <c r="M3" s="232">
        <f t="shared" si="1"/>
        <v>0</v>
      </c>
      <c r="N3" s="232">
        <f t="shared" si="1"/>
        <v>0</v>
      </c>
      <c r="O3" s="232">
        <f t="shared" si="1"/>
        <v>46013483</v>
      </c>
      <c r="P3" s="232">
        <f t="shared" si="1"/>
        <v>46013483</v>
      </c>
      <c r="Q3" s="232"/>
      <c r="R3" s="232">
        <f t="shared" si="1"/>
        <v>1228874981</v>
      </c>
      <c r="S3" s="232">
        <f t="shared" si="1"/>
        <v>10</v>
      </c>
      <c r="T3" s="232">
        <f t="shared" si="1"/>
        <v>1228874991</v>
      </c>
      <c r="U3" s="225">
        <v>0</v>
      </c>
    </row>
    <row r="4" spans="1:25" s="95" customFormat="1" ht="15.75" thickBot="1">
      <c r="A4" s="90"/>
      <c r="B4" s="54" t="s">
        <v>3513</v>
      </c>
      <c r="C4" s="341">
        <v>1</v>
      </c>
      <c r="D4" s="341">
        <v>1</v>
      </c>
      <c r="E4" s="302">
        <v>3573425995</v>
      </c>
      <c r="F4" s="92"/>
      <c r="G4" s="385">
        <v>451260991</v>
      </c>
      <c r="H4" s="384">
        <v>502863984</v>
      </c>
      <c r="I4" s="385">
        <v>265932990</v>
      </c>
      <c r="J4" s="385">
        <v>46013594</v>
      </c>
      <c r="K4" s="389">
        <v>1266071559</v>
      </c>
      <c r="L4" s="386"/>
      <c r="M4" s="389">
        <v>0</v>
      </c>
      <c r="N4" s="389">
        <v>0</v>
      </c>
      <c r="O4" s="386">
        <v>46013483</v>
      </c>
      <c r="P4" s="389">
        <v>46013483</v>
      </c>
      <c r="Q4" s="389"/>
      <c r="R4" s="386">
        <v>1228874981</v>
      </c>
      <c r="S4" s="385">
        <v>10</v>
      </c>
      <c r="T4" s="385">
        <v>1228874991</v>
      </c>
    </row>
    <row r="5" spans="1:25" ht="15.75" thickTop="1">
      <c r="B5">
        <f>COUNT(B9:B899)</f>
        <v>0</v>
      </c>
      <c r="C5" s="366">
        <f>+C3-C4</f>
        <v>0</v>
      </c>
      <c r="D5" s="366">
        <f>+D3-D4</f>
        <v>0</v>
      </c>
      <c r="E5" s="232"/>
      <c r="H5" s="225"/>
    </row>
    <row r="6" spans="1:25">
      <c r="G6" s="83" t="s">
        <v>2</v>
      </c>
      <c r="H6" s="83"/>
      <c r="I6" s="83"/>
      <c r="J6" s="83"/>
      <c r="K6" s="84"/>
      <c r="M6" s="83" t="s">
        <v>3</v>
      </c>
      <c r="N6" s="83"/>
      <c r="O6" s="83"/>
      <c r="P6" s="84"/>
      <c r="R6" s="83" t="s">
        <v>4</v>
      </c>
      <c r="S6" s="83"/>
      <c r="T6" s="83"/>
    </row>
    <row r="7" spans="1:25" ht="120">
      <c r="A7" s="85" t="s">
        <v>0</v>
      </c>
      <c r="B7" s="85" t="s">
        <v>1</v>
      </c>
      <c r="C7" s="85" t="s">
        <v>262</v>
      </c>
      <c r="D7" s="85" t="s">
        <v>263</v>
      </c>
      <c r="E7" s="85" t="s">
        <v>720</v>
      </c>
      <c r="F7" s="85"/>
      <c r="G7" s="85" t="s">
        <v>5</v>
      </c>
      <c r="H7" s="86" t="s">
        <v>6</v>
      </c>
      <c r="I7" s="85" t="s">
        <v>7</v>
      </c>
      <c r="J7" s="85" t="s">
        <v>8</v>
      </c>
      <c r="K7" s="86" t="s">
        <v>721</v>
      </c>
      <c r="L7" s="85"/>
      <c r="M7" s="85" t="s">
        <v>5</v>
      </c>
      <c r="N7" s="85" t="s">
        <v>7</v>
      </c>
      <c r="O7" s="85" t="s">
        <v>8</v>
      </c>
      <c r="P7" s="86" t="s">
        <v>722</v>
      </c>
      <c r="Q7" s="85"/>
      <c r="R7" s="85" t="s">
        <v>9</v>
      </c>
      <c r="S7" s="85" t="s">
        <v>10</v>
      </c>
      <c r="T7" s="85" t="s">
        <v>11</v>
      </c>
    </row>
    <row r="8" spans="1:25">
      <c r="A8" s="390" t="s">
        <v>691</v>
      </c>
      <c r="B8" s="391" t="s">
        <v>690</v>
      </c>
      <c r="C8" s="234">
        <v>0</v>
      </c>
      <c r="D8" s="234">
        <v>0</v>
      </c>
      <c r="E8" s="231">
        <v>0</v>
      </c>
      <c r="F8" s="231"/>
      <c r="G8" s="392">
        <v>0</v>
      </c>
      <c r="H8" s="392">
        <v>0</v>
      </c>
      <c r="I8" s="392">
        <v>0</v>
      </c>
      <c r="J8" s="231">
        <v>0</v>
      </c>
      <c r="K8" s="231">
        <v>0</v>
      </c>
      <c r="L8" s="231"/>
      <c r="M8" s="225">
        <v>0</v>
      </c>
      <c r="N8" s="225">
        <v>0</v>
      </c>
      <c r="O8" s="231">
        <v>0</v>
      </c>
      <c r="P8" s="231">
        <v>0</v>
      </c>
      <c r="Q8" s="231"/>
      <c r="R8" s="392">
        <v>0</v>
      </c>
      <c r="S8" s="231">
        <v>0</v>
      </c>
      <c r="T8" s="396">
        <v>0</v>
      </c>
      <c r="U8" s="231"/>
      <c r="V8" s="396"/>
      <c r="W8" s="396"/>
      <c r="X8" s="396"/>
      <c r="Y8" s="396"/>
    </row>
    <row r="9" spans="1:25">
      <c r="A9" s="390">
        <v>70505</v>
      </c>
      <c r="B9" s="391" t="s">
        <v>723</v>
      </c>
      <c r="C9" s="234">
        <v>2.9159999999999999E-4</v>
      </c>
      <c r="D9" s="234">
        <v>3.2890000000000003E-4</v>
      </c>
      <c r="E9" s="231">
        <v>1042011</v>
      </c>
      <c r="F9" s="231" t="s">
        <v>1924</v>
      </c>
      <c r="G9" s="392">
        <v>131588</v>
      </c>
      <c r="H9" s="392">
        <v>146635</v>
      </c>
      <c r="I9" s="392">
        <v>77546</v>
      </c>
      <c r="J9" s="231">
        <v>0</v>
      </c>
      <c r="K9" s="231">
        <v>355769</v>
      </c>
      <c r="L9" s="231"/>
      <c r="M9" s="225">
        <v>0</v>
      </c>
      <c r="N9" s="225">
        <v>0</v>
      </c>
      <c r="O9" s="231">
        <v>49935</v>
      </c>
      <c r="P9" s="231">
        <v>49935</v>
      </c>
      <c r="Q9" s="231"/>
      <c r="R9" s="392">
        <v>358340</v>
      </c>
      <c r="S9" s="231">
        <v>-28715</v>
      </c>
      <c r="T9" s="396">
        <v>329625</v>
      </c>
      <c r="U9" s="231"/>
      <c r="V9" s="396"/>
      <c r="W9" s="396"/>
      <c r="X9" s="396">
        <v>2114127</v>
      </c>
      <c r="Y9" s="396">
        <v>151007</v>
      </c>
    </row>
    <row r="10" spans="1:25">
      <c r="A10" s="390">
        <v>71786</v>
      </c>
      <c r="B10" s="391" t="s">
        <v>1487</v>
      </c>
      <c r="C10" s="234">
        <v>0</v>
      </c>
      <c r="D10" s="234">
        <v>0</v>
      </c>
      <c r="E10" s="231">
        <v>0</v>
      </c>
      <c r="F10" s="231" t="s">
        <v>1924</v>
      </c>
      <c r="G10" s="392">
        <v>0</v>
      </c>
      <c r="H10" s="392">
        <v>0</v>
      </c>
      <c r="I10" s="392">
        <v>0</v>
      </c>
      <c r="J10" s="231">
        <v>0</v>
      </c>
      <c r="K10" s="231">
        <v>0</v>
      </c>
      <c r="L10" s="231"/>
      <c r="M10" s="225">
        <v>0</v>
      </c>
      <c r="N10" s="225">
        <v>0</v>
      </c>
      <c r="O10" s="231">
        <v>0</v>
      </c>
      <c r="P10" s="231">
        <v>8771</v>
      </c>
      <c r="Q10" s="231"/>
      <c r="R10" s="392">
        <v>0</v>
      </c>
      <c r="S10" s="231">
        <v>-7538</v>
      </c>
      <c r="T10" s="396">
        <v>-7538</v>
      </c>
      <c r="U10" s="231"/>
      <c r="V10" s="396"/>
      <c r="W10" s="396"/>
      <c r="X10" s="396">
        <v>0</v>
      </c>
      <c r="Y10" s="396">
        <v>0</v>
      </c>
    </row>
    <row r="11" spans="1:25">
      <c r="A11" s="390">
        <v>72265</v>
      </c>
      <c r="B11" s="391" t="s">
        <v>724</v>
      </c>
      <c r="C11" s="234">
        <v>1.5550000000000001E-4</v>
      </c>
      <c r="D11" s="234">
        <v>1.44E-4</v>
      </c>
      <c r="E11" s="231">
        <v>555668</v>
      </c>
      <c r="F11" s="231" t="s">
        <v>1924</v>
      </c>
      <c r="G11" s="392">
        <v>70171</v>
      </c>
      <c r="H11" s="392">
        <v>78195</v>
      </c>
      <c r="I11" s="392">
        <v>41353</v>
      </c>
      <c r="J11" s="231">
        <v>21070</v>
      </c>
      <c r="K11" s="231">
        <v>210789</v>
      </c>
      <c r="L11" s="231"/>
      <c r="M11" s="225">
        <v>0</v>
      </c>
      <c r="N11" s="225">
        <v>0</v>
      </c>
      <c r="O11" s="231">
        <v>4322</v>
      </c>
      <c r="P11" s="231">
        <v>4322</v>
      </c>
      <c r="Q11" s="231"/>
      <c r="R11" s="392">
        <v>191090</v>
      </c>
      <c r="S11" s="231">
        <v>5673</v>
      </c>
      <c r="T11" s="396">
        <v>196763</v>
      </c>
      <c r="U11" s="231"/>
      <c r="V11" s="396"/>
      <c r="W11" s="396"/>
      <c r="X11" s="396">
        <v>1127389</v>
      </c>
      <c r="Y11" s="396">
        <v>80527</v>
      </c>
    </row>
    <row r="12" spans="1:25">
      <c r="A12" s="393">
        <v>72593</v>
      </c>
      <c r="B12" s="394" t="s">
        <v>725</v>
      </c>
      <c r="C12" s="234">
        <v>6.7000000000000002E-6</v>
      </c>
      <c r="D12" s="234">
        <v>6.1E-6</v>
      </c>
      <c r="E12" s="231">
        <v>23942</v>
      </c>
      <c r="F12" s="231" t="s">
        <v>1924</v>
      </c>
      <c r="G12" s="392">
        <v>3023</v>
      </c>
      <c r="H12" s="392">
        <v>3369</v>
      </c>
      <c r="I12" s="392">
        <v>1782</v>
      </c>
      <c r="J12" s="231">
        <v>918</v>
      </c>
      <c r="K12" s="231">
        <v>9092</v>
      </c>
      <c r="L12" s="231"/>
      <c r="M12" s="225">
        <v>0</v>
      </c>
      <c r="N12" s="225">
        <v>0</v>
      </c>
      <c r="O12" s="231">
        <v>596</v>
      </c>
      <c r="P12" s="231">
        <v>596</v>
      </c>
      <c r="Q12" s="231"/>
      <c r="R12" s="392">
        <v>8233</v>
      </c>
      <c r="S12" s="231">
        <v>559</v>
      </c>
      <c r="T12" s="396">
        <v>8792</v>
      </c>
      <c r="U12" s="231"/>
      <c r="V12" s="396"/>
      <c r="W12" s="396"/>
      <c r="X12" s="396">
        <v>48576</v>
      </c>
      <c r="Y12" s="396">
        <v>3470</v>
      </c>
    </row>
    <row r="13" spans="1:25">
      <c r="A13" s="390">
        <v>72657</v>
      </c>
      <c r="B13" s="391" t="s">
        <v>726</v>
      </c>
      <c r="C13" s="234">
        <v>3.8000000000000002E-5</v>
      </c>
      <c r="D13" s="234">
        <v>3.7200000000000003E-5</v>
      </c>
      <c r="E13" s="231">
        <v>135790</v>
      </c>
      <c r="F13" s="231" t="s">
        <v>1924</v>
      </c>
      <c r="G13" s="392">
        <v>17148</v>
      </c>
      <c r="H13" s="392">
        <v>19109</v>
      </c>
      <c r="I13" s="392">
        <v>10105</v>
      </c>
      <c r="J13" s="231">
        <v>0</v>
      </c>
      <c r="K13" s="231">
        <v>46362</v>
      </c>
      <c r="L13" s="231"/>
      <c r="M13" s="225">
        <v>0</v>
      </c>
      <c r="N13" s="225">
        <v>0</v>
      </c>
      <c r="O13" s="231">
        <v>5921</v>
      </c>
      <c r="P13" s="231">
        <v>5921</v>
      </c>
      <c r="Q13" s="231"/>
      <c r="R13" s="392">
        <v>46697</v>
      </c>
      <c r="S13" s="231">
        <v>-2850</v>
      </c>
      <c r="T13" s="396">
        <v>43847</v>
      </c>
      <c r="U13" s="231"/>
      <c r="V13" s="396"/>
      <c r="W13" s="396"/>
      <c r="X13" s="396">
        <v>275503</v>
      </c>
      <c r="Y13" s="396">
        <v>19679</v>
      </c>
    </row>
    <row r="14" spans="1:25">
      <c r="A14" s="390">
        <v>90001</v>
      </c>
      <c r="B14" s="391" t="s">
        <v>727</v>
      </c>
      <c r="C14" s="234">
        <v>8.8630000000000002E-4</v>
      </c>
      <c r="D14" s="234">
        <v>8.6050000000000005E-4</v>
      </c>
      <c r="E14" s="231">
        <v>3167127</v>
      </c>
      <c r="F14" s="231" t="s">
        <v>1924</v>
      </c>
      <c r="G14" s="392">
        <v>399953</v>
      </c>
      <c r="H14" s="392">
        <v>445688</v>
      </c>
      <c r="I14" s="392">
        <v>235696</v>
      </c>
      <c r="J14" s="231">
        <v>49757</v>
      </c>
      <c r="K14" s="231">
        <v>1131094</v>
      </c>
      <c r="L14" s="231"/>
      <c r="M14" s="225">
        <v>0</v>
      </c>
      <c r="N14" s="225">
        <v>0</v>
      </c>
      <c r="O14" s="231">
        <v>3133</v>
      </c>
      <c r="P14" s="231">
        <v>3133</v>
      </c>
      <c r="Q14" s="231"/>
      <c r="R14" s="392">
        <v>1089152</v>
      </c>
      <c r="S14" s="231">
        <v>16498</v>
      </c>
      <c r="T14" s="396">
        <v>1105650</v>
      </c>
      <c r="U14" s="231"/>
      <c r="V14" s="396"/>
      <c r="W14" s="396"/>
      <c r="X14" s="396">
        <v>6425757</v>
      </c>
      <c r="Y14" s="396">
        <v>458978</v>
      </c>
    </row>
    <row r="15" spans="1:25">
      <c r="A15" s="390">
        <v>90002</v>
      </c>
      <c r="B15" s="391" t="s">
        <v>728</v>
      </c>
      <c r="C15" s="234">
        <v>7.7999999999999999E-6</v>
      </c>
      <c r="D15" s="234">
        <v>8.3999999999999992E-6</v>
      </c>
      <c r="E15" s="231">
        <v>27873</v>
      </c>
      <c r="F15" s="231" t="s">
        <v>1924</v>
      </c>
      <c r="G15" s="392">
        <v>3520</v>
      </c>
      <c r="H15" s="392">
        <v>3923</v>
      </c>
      <c r="I15" s="392">
        <v>2074</v>
      </c>
      <c r="J15" s="231">
        <v>2668</v>
      </c>
      <c r="K15" s="231">
        <v>12185</v>
      </c>
      <c r="L15" s="231"/>
      <c r="M15" s="225">
        <v>0</v>
      </c>
      <c r="N15" s="225">
        <v>0</v>
      </c>
      <c r="O15" s="231">
        <v>0</v>
      </c>
      <c r="P15" s="231">
        <v>0</v>
      </c>
      <c r="Q15" s="231"/>
      <c r="R15" s="392">
        <v>9585</v>
      </c>
      <c r="S15" s="231">
        <v>1250</v>
      </c>
      <c r="T15" s="396">
        <v>10835</v>
      </c>
      <c r="U15" s="231"/>
      <c r="V15" s="396"/>
      <c r="W15" s="396"/>
      <c r="X15" s="396">
        <v>56551</v>
      </c>
      <c r="Y15" s="396">
        <v>4039</v>
      </c>
    </row>
    <row r="16" spans="1:25">
      <c r="A16" s="390">
        <v>90011</v>
      </c>
      <c r="B16" s="391" t="s">
        <v>729</v>
      </c>
      <c r="C16" s="234">
        <v>1.6799999999999999E-4</v>
      </c>
      <c r="D16" s="234">
        <v>1.8009999999999999E-4</v>
      </c>
      <c r="E16" s="231">
        <v>600336</v>
      </c>
      <c r="F16" s="231" t="s">
        <v>1924</v>
      </c>
      <c r="G16" s="392">
        <v>75812</v>
      </c>
      <c r="H16" s="392">
        <v>84481</v>
      </c>
      <c r="I16" s="392">
        <v>44677</v>
      </c>
      <c r="J16" s="231">
        <v>0</v>
      </c>
      <c r="K16" s="231">
        <v>204970</v>
      </c>
      <c r="L16" s="231"/>
      <c r="M16" s="225">
        <v>0</v>
      </c>
      <c r="N16" s="225">
        <v>0</v>
      </c>
      <c r="O16" s="231">
        <v>22352</v>
      </c>
      <c r="P16" s="231">
        <v>22352</v>
      </c>
      <c r="Q16" s="231"/>
      <c r="R16" s="392">
        <v>206451</v>
      </c>
      <c r="S16" s="231">
        <v>-14496</v>
      </c>
      <c r="T16" s="396">
        <v>191955</v>
      </c>
      <c r="U16" s="231"/>
      <c r="V16" s="396"/>
      <c r="W16" s="396"/>
      <c r="X16" s="396">
        <v>1218015</v>
      </c>
      <c r="Y16" s="396">
        <v>87000</v>
      </c>
    </row>
    <row r="17" spans="1:25">
      <c r="A17" s="390">
        <v>90092</v>
      </c>
      <c r="B17" s="391" t="s">
        <v>730</v>
      </c>
      <c r="C17" s="234">
        <v>4.2119999999999999E-4</v>
      </c>
      <c r="D17" s="234">
        <v>3.9530000000000001E-4</v>
      </c>
      <c r="E17" s="231">
        <v>1505127</v>
      </c>
      <c r="F17" s="231" t="s">
        <v>1924</v>
      </c>
      <c r="G17" s="392">
        <v>190071</v>
      </c>
      <c r="H17" s="392">
        <v>211806</v>
      </c>
      <c r="I17" s="392">
        <v>112011</v>
      </c>
      <c r="J17" s="231">
        <v>74797</v>
      </c>
      <c r="K17" s="231">
        <v>588685</v>
      </c>
      <c r="L17" s="231"/>
      <c r="M17" s="225">
        <v>0</v>
      </c>
      <c r="N17" s="225">
        <v>0</v>
      </c>
      <c r="O17" s="231">
        <v>2018</v>
      </c>
      <c r="P17" s="231">
        <v>2018</v>
      </c>
      <c r="Q17" s="231"/>
      <c r="R17" s="392">
        <v>517602</v>
      </c>
      <c r="S17" s="231">
        <v>14287</v>
      </c>
      <c r="T17" s="396">
        <v>531889</v>
      </c>
      <c r="U17" s="231"/>
      <c r="V17" s="396"/>
      <c r="W17" s="396"/>
      <c r="X17" s="396">
        <v>3053739</v>
      </c>
      <c r="Y17" s="396">
        <v>218122</v>
      </c>
    </row>
    <row r="18" spans="1:25">
      <c r="A18" s="390">
        <v>90096</v>
      </c>
      <c r="B18" s="391" t="s">
        <v>731</v>
      </c>
      <c r="C18" s="234">
        <v>9.6089999999999999E-4</v>
      </c>
      <c r="D18" s="234">
        <v>9.722E-4</v>
      </c>
      <c r="E18" s="231">
        <v>3433705</v>
      </c>
      <c r="F18" s="231" t="s">
        <v>1924</v>
      </c>
      <c r="G18" s="392">
        <v>433617</v>
      </c>
      <c r="H18" s="392">
        <v>483202</v>
      </c>
      <c r="I18" s="392">
        <v>255535</v>
      </c>
      <c r="J18" s="231">
        <v>188744</v>
      </c>
      <c r="K18" s="231">
        <v>1361098</v>
      </c>
      <c r="L18" s="231"/>
      <c r="M18" s="225">
        <v>0</v>
      </c>
      <c r="N18" s="225">
        <v>0</v>
      </c>
      <c r="O18" s="231">
        <v>51356</v>
      </c>
      <c r="P18" s="231">
        <v>51356</v>
      </c>
      <c r="Q18" s="231"/>
      <c r="R18" s="392">
        <v>1180826</v>
      </c>
      <c r="S18" s="231">
        <v>4489</v>
      </c>
      <c r="T18" s="396">
        <v>1185315</v>
      </c>
      <c r="U18" s="231"/>
      <c r="V18" s="396"/>
      <c r="W18" s="396"/>
      <c r="X18" s="396">
        <v>6966613</v>
      </c>
      <c r="Y18" s="396">
        <v>497610</v>
      </c>
    </row>
    <row r="19" spans="1:25">
      <c r="A19" s="390">
        <v>90098</v>
      </c>
      <c r="B19" s="391" t="s">
        <v>732</v>
      </c>
      <c r="C19" s="234">
        <v>2.5950000000000002E-4</v>
      </c>
      <c r="D19" s="234">
        <v>2.521E-4</v>
      </c>
      <c r="E19" s="231">
        <v>927304</v>
      </c>
      <c r="F19" s="231" t="s">
        <v>1924</v>
      </c>
      <c r="G19" s="392">
        <v>117102</v>
      </c>
      <c r="H19" s="392">
        <v>130494</v>
      </c>
      <c r="I19" s="392">
        <v>69010</v>
      </c>
      <c r="J19" s="231">
        <v>25313</v>
      </c>
      <c r="K19" s="231">
        <v>341919</v>
      </c>
      <c r="L19" s="231"/>
      <c r="M19" s="225">
        <v>0</v>
      </c>
      <c r="N19" s="225">
        <v>0</v>
      </c>
      <c r="O19" s="231">
        <v>33796</v>
      </c>
      <c r="P19" s="231">
        <v>33796</v>
      </c>
      <c r="Q19" s="231"/>
      <c r="R19" s="392">
        <v>318893</v>
      </c>
      <c r="S19" s="231">
        <v>-25117</v>
      </c>
      <c r="T19" s="396">
        <v>293776</v>
      </c>
      <c r="U19" s="231"/>
      <c r="V19" s="396"/>
      <c r="W19" s="396"/>
      <c r="X19" s="396">
        <v>1881399</v>
      </c>
      <c r="Y19" s="396">
        <v>134384</v>
      </c>
    </row>
    <row r="20" spans="1:25">
      <c r="A20" s="390">
        <v>90099</v>
      </c>
      <c r="B20" s="391" t="s">
        <v>733</v>
      </c>
      <c r="C20" s="234">
        <v>6.7920000000000003E-4</v>
      </c>
      <c r="D20" s="234">
        <v>6.7389999999999995E-4</v>
      </c>
      <c r="E20" s="231">
        <v>2427071</v>
      </c>
      <c r="F20" s="231" t="s">
        <v>1924</v>
      </c>
      <c r="G20" s="392">
        <v>306496</v>
      </c>
      <c r="H20" s="392">
        <v>341545</v>
      </c>
      <c r="I20" s="392">
        <v>180622</v>
      </c>
      <c r="J20" s="231">
        <v>21836</v>
      </c>
      <c r="K20" s="231">
        <v>850499</v>
      </c>
      <c r="L20" s="231"/>
      <c r="M20" s="225">
        <v>0</v>
      </c>
      <c r="N20" s="225">
        <v>0</v>
      </c>
      <c r="O20" s="231">
        <v>57549</v>
      </c>
      <c r="P20" s="231">
        <v>57549</v>
      </c>
      <c r="Q20" s="231"/>
      <c r="R20" s="392">
        <v>834652</v>
      </c>
      <c r="S20" s="231">
        <v>-9264</v>
      </c>
      <c r="T20" s="396">
        <v>825388</v>
      </c>
      <c r="U20" s="231"/>
      <c r="V20" s="396"/>
      <c r="W20" s="396"/>
      <c r="X20" s="396">
        <v>4924262</v>
      </c>
      <c r="Y20" s="396">
        <v>351729</v>
      </c>
    </row>
    <row r="21" spans="1:25">
      <c r="A21" s="390">
        <v>90101</v>
      </c>
      <c r="B21" s="391" t="s">
        <v>734</v>
      </c>
      <c r="C21" s="234">
        <v>6.2649999999999997E-3</v>
      </c>
      <c r="D21" s="234">
        <v>6.2302E-3</v>
      </c>
      <c r="E21" s="231">
        <v>22387514</v>
      </c>
      <c r="F21" s="231" t="s">
        <v>1924</v>
      </c>
      <c r="G21" s="392">
        <v>2827150</v>
      </c>
      <c r="H21" s="392">
        <v>3150443</v>
      </c>
      <c r="I21" s="392">
        <v>1666070</v>
      </c>
      <c r="J21" s="231">
        <v>89967</v>
      </c>
      <c r="K21" s="231">
        <v>7733630</v>
      </c>
      <c r="L21" s="231"/>
      <c r="M21" s="225">
        <v>0</v>
      </c>
      <c r="N21" s="225">
        <v>0</v>
      </c>
      <c r="O21" s="231">
        <v>244056</v>
      </c>
      <c r="P21" s="231">
        <v>244056</v>
      </c>
      <c r="Q21" s="231"/>
      <c r="R21" s="392">
        <v>7698902</v>
      </c>
      <c r="S21" s="231">
        <v>-26041</v>
      </c>
      <c r="T21" s="396">
        <v>7672861</v>
      </c>
      <c r="U21" s="231"/>
      <c r="V21" s="396"/>
      <c r="W21" s="396"/>
      <c r="X21" s="396">
        <v>45421826</v>
      </c>
      <c r="Y21" s="396">
        <v>3244380</v>
      </c>
    </row>
    <row r="22" spans="1:25">
      <c r="A22" s="390">
        <v>90111</v>
      </c>
      <c r="B22" s="391" t="s">
        <v>735</v>
      </c>
      <c r="C22" s="234">
        <v>4.9195999999999997E-3</v>
      </c>
      <c r="D22" s="234">
        <v>4.9528000000000003E-3</v>
      </c>
      <c r="E22" s="231">
        <v>17579827</v>
      </c>
      <c r="F22" s="231" t="s">
        <v>1924</v>
      </c>
      <c r="G22" s="392">
        <v>2220024</v>
      </c>
      <c r="H22" s="392">
        <v>2473889</v>
      </c>
      <c r="I22" s="392">
        <v>1308284</v>
      </c>
      <c r="J22" s="231">
        <v>7272</v>
      </c>
      <c r="K22" s="231">
        <v>6009469</v>
      </c>
      <c r="L22" s="231"/>
      <c r="M22" s="225">
        <v>0</v>
      </c>
      <c r="N22" s="225">
        <v>0</v>
      </c>
      <c r="O22" s="231">
        <v>229781</v>
      </c>
      <c r="P22" s="231">
        <v>229781</v>
      </c>
      <c r="Q22" s="231"/>
      <c r="R22" s="392">
        <v>6045573</v>
      </c>
      <c r="S22" s="231">
        <v>-89818</v>
      </c>
      <c r="T22" s="396">
        <v>5955755</v>
      </c>
      <c r="U22" s="231"/>
      <c r="V22" s="396"/>
      <c r="W22" s="396"/>
      <c r="X22" s="396">
        <v>35667553</v>
      </c>
      <c r="Y22" s="396">
        <v>2547654</v>
      </c>
    </row>
    <row r="23" spans="1:25">
      <c r="A23" s="390">
        <v>90114</v>
      </c>
      <c r="B23" s="391" t="s">
        <v>736</v>
      </c>
      <c r="C23" s="234">
        <v>1.1237E-3</v>
      </c>
      <c r="D23" s="234">
        <v>1.1188999999999999E-3</v>
      </c>
      <c r="E23" s="231">
        <v>4015459</v>
      </c>
      <c r="F23" s="231" t="s">
        <v>1924</v>
      </c>
      <c r="G23" s="392">
        <v>507082</v>
      </c>
      <c r="H23" s="392">
        <v>565069</v>
      </c>
      <c r="I23" s="392">
        <v>298829</v>
      </c>
      <c r="J23" s="231">
        <v>859896</v>
      </c>
      <c r="K23" s="231">
        <v>2230876</v>
      </c>
      <c r="L23" s="231"/>
      <c r="M23" s="225">
        <v>0</v>
      </c>
      <c r="N23" s="225">
        <v>0</v>
      </c>
      <c r="O23" s="231">
        <v>185</v>
      </c>
      <c r="P23" s="231">
        <v>185</v>
      </c>
      <c r="Q23" s="231"/>
      <c r="R23" s="392">
        <v>1380887</v>
      </c>
      <c r="S23" s="231">
        <v>524997</v>
      </c>
      <c r="T23" s="396">
        <v>1905884</v>
      </c>
      <c r="U23" s="231"/>
      <c r="V23" s="396"/>
      <c r="W23" s="396"/>
      <c r="X23" s="396">
        <v>8146928</v>
      </c>
      <c r="Y23" s="396">
        <v>581917</v>
      </c>
    </row>
    <row r="24" spans="1:25">
      <c r="A24" s="390">
        <v>90117</v>
      </c>
      <c r="B24" s="391" t="s">
        <v>737</v>
      </c>
      <c r="C24" s="234">
        <v>1.3799999999999999E-4</v>
      </c>
      <c r="D24" s="234">
        <v>1.3219999999999999E-4</v>
      </c>
      <c r="E24" s="231">
        <v>493133</v>
      </c>
      <c r="F24" s="231" t="s">
        <v>1924</v>
      </c>
      <c r="G24" s="392">
        <v>62274</v>
      </c>
      <c r="H24" s="392">
        <v>69395</v>
      </c>
      <c r="I24" s="392">
        <v>36699</v>
      </c>
      <c r="J24" s="231">
        <v>49251</v>
      </c>
      <c r="K24" s="231">
        <v>217619</v>
      </c>
      <c r="L24" s="231"/>
      <c r="M24" s="225">
        <v>0</v>
      </c>
      <c r="N24" s="225">
        <v>0</v>
      </c>
      <c r="O24" s="231">
        <v>0</v>
      </c>
      <c r="P24" s="231">
        <v>0</v>
      </c>
      <c r="Q24" s="231"/>
      <c r="R24" s="392">
        <v>169585</v>
      </c>
      <c r="S24" s="231">
        <v>25022</v>
      </c>
      <c r="T24" s="396">
        <v>194607</v>
      </c>
      <c r="U24" s="231"/>
      <c r="V24" s="396"/>
      <c r="W24" s="396"/>
      <c r="X24" s="396">
        <v>1000513</v>
      </c>
      <c r="Y24" s="396">
        <v>71464</v>
      </c>
    </row>
    <row r="25" spans="1:25">
      <c r="A25" s="390">
        <v>90121</v>
      </c>
      <c r="B25" s="391" t="s">
        <v>738</v>
      </c>
      <c r="C25" s="234">
        <v>1.0861E-3</v>
      </c>
      <c r="D25" s="234">
        <v>1.1077999999999999E-3</v>
      </c>
      <c r="E25" s="231">
        <v>3881098</v>
      </c>
      <c r="F25" s="231" t="s">
        <v>1924</v>
      </c>
      <c r="G25" s="392">
        <v>490115</v>
      </c>
      <c r="H25" s="392">
        <v>546161</v>
      </c>
      <c r="I25" s="392">
        <v>288830</v>
      </c>
      <c r="J25" s="231">
        <v>0</v>
      </c>
      <c r="K25" s="231">
        <v>1325106</v>
      </c>
      <c r="L25" s="231"/>
      <c r="M25" s="225">
        <v>0</v>
      </c>
      <c r="N25" s="225">
        <v>0</v>
      </c>
      <c r="O25" s="231">
        <v>106159</v>
      </c>
      <c r="P25" s="231">
        <v>106159</v>
      </c>
      <c r="Q25" s="231"/>
      <c r="R25" s="392">
        <v>1334681</v>
      </c>
      <c r="S25" s="231">
        <v>-58208</v>
      </c>
      <c r="T25" s="396">
        <v>1276473</v>
      </c>
      <c r="U25" s="231"/>
      <c r="V25" s="396"/>
      <c r="W25" s="396"/>
      <c r="X25" s="396">
        <v>7874325</v>
      </c>
      <c r="Y25" s="396">
        <v>562446</v>
      </c>
    </row>
    <row r="26" spans="1:25">
      <c r="A26" s="390">
        <v>90131</v>
      </c>
      <c r="B26" s="391" t="s">
        <v>739</v>
      </c>
      <c r="C26" s="234">
        <v>4.9819999999999997E-4</v>
      </c>
      <c r="D26" s="234">
        <v>4.9050000000000005E-4</v>
      </c>
      <c r="E26" s="231">
        <v>1780281</v>
      </c>
      <c r="F26" s="231" t="s">
        <v>1924</v>
      </c>
      <c r="G26" s="392">
        <v>224818</v>
      </c>
      <c r="H26" s="392">
        <v>250527</v>
      </c>
      <c r="I26" s="392">
        <v>132488</v>
      </c>
      <c r="J26" s="231">
        <v>3471</v>
      </c>
      <c r="K26" s="231">
        <v>611304</v>
      </c>
      <c r="L26" s="231"/>
      <c r="M26" s="225">
        <v>0</v>
      </c>
      <c r="N26" s="225">
        <v>0</v>
      </c>
      <c r="O26" s="231">
        <v>12089</v>
      </c>
      <c r="P26" s="231">
        <v>12089</v>
      </c>
      <c r="Q26" s="231"/>
      <c r="R26" s="392">
        <v>612226</v>
      </c>
      <c r="S26" s="231">
        <v>-10522</v>
      </c>
      <c r="T26" s="396">
        <v>601704</v>
      </c>
      <c r="U26" s="231"/>
      <c r="V26" s="396"/>
      <c r="W26" s="396"/>
      <c r="X26" s="396">
        <v>3611996</v>
      </c>
      <c r="Y26" s="396">
        <v>257997</v>
      </c>
    </row>
    <row r="27" spans="1:25">
      <c r="A27" s="390">
        <v>90141</v>
      </c>
      <c r="B27" s="391" t="s">
        <v>740</v>
      </c>
      <c r="C27" s="234">
        <v>1.6770000000000001E-4</v>
      </c>
      <c r="D27" s="234">
        <v>1.4770000000000001E-4</v>
      </c>
      <c r="E27" s="231">
        <v>599264</v>
      </c>
      <c r="F27" s="231" t="s">
        <v>1924</v>
      </c>
      <c r="G27" s="392">
        <v>75676</v>
      </c>
      <c r="H27" s="392">
        <v>84330</v>
      </c>
      <c r="I27" s="392">
        <v>44597</v>
      </c>
      <c r="J27" s="231">
        <v>21933</v>
      </c>
      <c r="K27" s="231">
        <v>226536</v>
      </c>
      <c r="L27" s="231"/>
      <c r="M27" s="225">
        <v>0</v>
      </c>
      <c r="N27" s="225">
        <v>0</v>
      </c>
      <c r="O27" s="231">
        <v>1403</v>
      </c>
      <c r="P27" s="231">
        <v>1403</v>
      </c>
      <c r="Q27" s="231"/>
      <c r="R27" s="392">
        <v>206082</v>
      </c>
      <c r="S27" s="231">
        <v>4779</v>
      </c>
      <c r="T27" s="396">
        <v>210861</v>
      </c>
      <c r="U27" s="231"/>
      <c r="V27" s="396"/>
      <c r="W27" s="396"/>
      <c r="X27" s="396">
        <v>1215840</v>
      </c>
      <c r="Y27" s="396">
        <v>86845</v>
      </c>
    </row>
    <row r="28" spans="1:25">
      <c r="A28" s="390">
        <v>90151</v>
      </c>
      <c r="B28" s="391" t="s">
        <v>741</v>
      </c>
      <c r="C28" s="234">
        <v>8.8999999999999995E-6</v>
      </c>
      <c r="D28" s="234">
        <v>9.3000000000000007E-6</v>
      </c>
      <c r="E28" s="231">
        <v>31803</v>
      </c>
      <c r="F28" s="231" t="s">
        <v>1924</v>
      </c>
      <c r="G28" s="392">
        <v>4016</v>
      </c>
      <c r="H28" s="392">
        <v>4475</v>
      </c>
      <c r="I28" s="392">
        <v>2367</v>
      </c>
      <c r="J28" s="231">
        <v>0</v>
      </c>
      <c r="K28" s="231">
        <v>10858</v>
      </c>
      <c r="L28" s="231"/>
      <c r="M28" s="225">
        <v>0</v>
      </c>
      <c r="N28" s="225">
        <v>0</v>
      </c>
      <c r="O28" s="231">
        <v>3655</v>
      </c>
      <c r="P28" s="231">
        <v>3655</v>
      </c>
      <c r="Q28" s="231"/>
      <c r="R28" s="392">
        <v>10937</v>
      </c>
      <c r="S28" s="231">
        <v>-1760</v>
      </c>
      <c r="T28" s="396">
        <v>9177</v>
      </c>
      <c r="U28" s="231"/>
      <c r="V28" s="396"/>
      <c r="W28" s="396"/>
      <c r="X28" s="396">
        <v>64526</v>
      </c>
      <c r="Y28" s="396">
        <v>4609</v>
      </c>
    </row>
    <row r="29" spans="1:25">
      <c r="A29" s="390">
        <v>90161</v>
      </c>
      <c r="B29" s="391" t="s">
        <v>742</v>
      </c>
      <c r="C29" s="234">
        <v>2.73E-5</v>
      </c>
      <c r="D29" s="234">
        <v>3.57E-5</v>
      </c>
      <c r="E29" s="231">
        <v>97555</v>
      </c>
      <c r="F29" s="231" t="s">
        <v>1924</v>
      </c>
      <c r="G29" s="392">
        <v>12319</v>
      </c>
      <c r="H29" s="392">
        <v>13728</v>
      </c>
      <c r="I29" s="392">
        <v>7260</v>
      </c>
      <c r="J29" s="231">
        <v>1330</v>
      </c>
      <c r="K29" s="231">
        <v>34637</v>
      </c>
      <c r="L29" s="231"/>
      <c r="M29" s="225">
        <v>0</v>
      </c>
      <c r="N29" s="225">
        <v>0</v>
      </c>
      <c r="O29" s="231">
        <v>15320</v>
      </c>
      <c r="P29" s="231">
        <v>15320</v>
      </c>
      <c r="Q29" s="231"/>
      <c r="R29" s="392">
        <v>33548</v>
      </c>
      <c r="S29" s="231">
        <v>-3705</v>
      </c>
      <c r="T29" s="396">
        <v>29843</v>
      </c>
      <c r="U29" s="231"/>
      <c r="V29" s="396"/>
      <c r="W29" s="396"/>
      <c r="X29" s="396">
        <v>197928</v>
      </c>
      <c r="Y29" s="396">
        <v>14138</v>
      </c>
    </row>
    <row r="30" spans="1:25">
      <c r="A30" s="390">
        <v>90201</v>
      </c>
      <c r="B30" s="391" t="s">
        <v>743</v>
      </c>
      <c r="C30" s="234">
        <v>1.3292E-3</v>
      </c>
      <c r="D30" s="234">
        <v>1.2569E-3</v>
      </c>
      <c r="E30" s="231">
        <v>4749798</v>
      </c>
      <c r="F30" s="231" t="s">
        <v>1924</v>
      </c>
      <c r="G30" s="392">
        <v>599816</v>
      </c>
      <c r="H30" s="392">
        <v>668407</v>
      </c>
      <c r="I30" s="392">
        <v>353478</v>
      </c>
      <c r="J30" s="231">
        <v>114565</v>
      </c>
      <c r="K30" s="231">
        <v>1736266</v>
      </c>
      <c r="L30" s="231"/>
      <c r="M30" s="225">
        <v>0</v>
      </c>
      <c r="N30" s="225">
        <v>0</v>
      </c>
      <c r="O30" s="231">
        <v>21883</v>
      </c>
      <c r="P30" s="231">
        <v>21883</v>
      </c>
      <c r="Q30" s="231"/>
      <c r="R30" s="392">
        <v>1633421</v>
      </c>
      <c r="S30" s="231">
        <v>22640</v>
      </c>
      <c r="T30" s="396">
        <v>1656061</v>
      </c>
      <c r="U30" s="231"/>
      <c r="V30" s="396"/>
      <c r="W30" s="396"/>
      <c r="X30" s="396">
        <v>9636822</v>
      </c>
      <c r="Y30" s="396">
        <v>688337</v>
      </c>
    </row>
    <row r="31" spans="1:25">
      <c r="A31" s="390">
        <v>90203</v>
      </c>
      <c r="B31" s="391" t="s">
        <v>744</v>
      </c>
      <c r="C31" s="234">
        <v>1.8110000000000001E-4</v>
      </c>
      <c r="D31" s="234">
        <v>2.0019999999999999E-4</v>
      </c>
      <c r="E31" s="231">
        <v>647147</v>
      </c>
      <c r="F31" s="231" t="s">
        <v>1924</v>
      </c>
      <c r="G31" s="392">
        <v>81723</v>
      </c>
      <c r="H31" s="392">
        <v>91069</v>
      </c>
      <c r="I31" s="392">
        <v>48160</v>
      </c>
      <c r="J31" s="231">
        <v>3764</v>
      </c>
      <c r="K31" s="231">
        <v>224716</v>
      </c>
      <c r="L31" s="231"/>
      <c r="M31" s="225">
        <v>0</v>
      </c>
      <c r="N31" s="225">
        <v>0</v>
      </c>
      <c r="O31" s="231">
        <v>25075</v>
      </c>
      <c r="P31" s="231">
        <v>25075</v>
      </c>
      <c r="Q31" s="231"/>
      <c r="R31" s="392">
        <v>222549</v>
      </c>
      <c r="S31" s="231">
        <v>-16100</v>
      </c>
      <c r="T31" s="396">
        <v>206449</v>
      </c>
      <c r="U31" s="231"/>
      <c r="V31" s="396"/>
      <c r="W31" s="396"/>
      <c r="X31" s="396">
        <v>1312992</v>
      </c>
      <c r="Y31" s="396">
        <v>93784</v>
      </c>
    </row>
    <row r="32" spans="1:25">
      <c r="A32" s="390">
        <v>90205</v>
      </c>
      <c r="B32" s="391" t="s">
        <v>745</v>
      </c>
      <c r="C32" s="234">
        <v>3.0199999999999999E-5</v>
      </c>
      <c r="D32" s="234">
        <v>3.04E-5</v>
      </c>
      <c r="E32" s="231">
        <v>107917</v>
      </c>
      <c r="F32" s="231" t="s">
        <v>1924</v>
      </c>
      <c r="G32" s="392">
        <v>13628</v>
      </c>
      <c r="H32" s="392">
        <v>15187</v>
      </c>
      <c r="I32" s="392">
        <v>8031</v>
      </c>
      <c r="J32" s="231">
        <v>1986</v>
      </c>
      <c r="K32" s="231">
        <v>38832</v>
      </c>
      <c r="L32" s="231"/>
      <c r="M32" s="225">
        <v>0</v>
      </c>
      <c r="N32" s="225">
        <v>0</v>
      </c>
      <c r="O32" s="231">
        <v>937</v>
      </c>
      <c r="P32" s="231">
        <v>937</v>
      </c>
      <c r="Q32" s="231"/>
      <c r="R32" s="392">
        <v>37112</v>
      </c>
      <c r="S32" s="231">
        <v>34</v>
      </c>
      <c r="T32" s="396">
        <v>37146</v>
      </c>
      <c r="U32" s="231"/>
      <c r="V32" s="396"/>
      <c r="W32" s="396"/>
      <c r="X32" s="396">
        <v>218953</v>
      </c>
      <c r="Y32" s="396">
        <v>15639</v>
      </c>
    </row>
    <row r="33" spans="1:25">
      <c r="A33" s="390">
        <v>90206</v>
      </c>
      <c r="B33" s="391" t="s">
        <v>746</v>
      </c>
      <c r="C33" s="234">
        <v>3.6870000000000002E-4</v>
      </c>
      <c r="D33" s="234">
        <v>3.6160000000000001E-4</v>
      </c>
      <c r="E33" s="231">
        <v>1317522</v>
      </c>
      <c r="F33" s="231" t="s">
        <v>1924</v>
      </c>
      <c r="G33" s="392">
        <v>166380</v>
      </c>
      <c r="H33" s="392">
        <v>185406</v>
      </c>
      <c r="I33" s="392">
        <v>98049</v>
      </c>
      <c r="J33" s="231">
        <v>27266</v>
      </c>
      <c r="K33" s="231">
        <v>477101</v>
      </c>
      <c r="L33" s="231"/>
      <c r="M33" s="225">
        <v>0</v>
      </c>
      <c r="N33" s="225">
        <v>0</v>
      </c>
      <c r="O33" s="231">
        <v>39344</v>
      </c>
      <c r="P33" s="231">
        <v>39344</v>
      </c>
      <c r="Q33" s="231"/>
      <c r="R33" s="392">
        <v>453086</v>
      </c>
      <c r="S33" s="231">
        <v>-9138</v>
      </c>
      <c r="T33" s="396">
        <v>443948</v>
      </c>
      <c r="U33" s="231"/>
      <c r="V33" s="396"/>
      <c r="W33" s="396"/>
      <c r="X33" s="396">
        <v>2673109</v>
      </c>
      <c r="Y33" s="396">
        <v>190934</v>
      </c>
    </row>
    <row r="34" spans="1:25">
      <c r="A34" s="390">
        <v>90211</v>
      </c>
      <c r="B34" s="391" t="s">
        <v>747</v>
      </c>
      <c r="C34" s="234">
        <v>1.473E-4</v>
      </c>
      <c r="D34" s="234">
        <v>1.5799999999999999E-4</v>
      </c>
      <c r="E34" s="231">
        <v>526366</v>
      </c>
      <c r="F34" s="231" t="s">
        <v>1924</v>
      </c>
      <c r="G34" s="392">
        <v>66471</v>
      </c>
      <c r="H34" s="392">
        <v>74071</v>
      </c>
      <c r="I34" s="392">
        <v>39172</v>
      </c>
      <c r="J34" s="231">
        <v>7103</v>
      </c>
      <c r="K34" s="231">
        <v>186817</v>
      </c>
      <c r="L34" s="231"/>
      <c r="M34" s="225">
        <v>0</v>
      </c>
      <c r="N34" s="225">
        <v>0</v>
      </c>
      <c r="O34" s="231">
        <v>6721</v>
      </c>
      <c r="P34" s="231">
        <v>6721</v>
      </c>
      <c r="Q34" s="231"/>
      <c r="R34" s="392">
        <v>181013</v>
      </c>
      <c r="S34" s="231">
        <v>-2491</v>
      </c>
      <c r="T34" s="396">
        <v>178522</v>
      </c>
      <c r="U34" s="231"/>
      <c r="V34" s="396"/>
      <c r="W34" s="396"/>
      <c r="X34" s="396">
        <v>1067939</v>
      </c>
      <c r="Y34" s="396">
        <v>76280</v>
      </c>
    </row>
    <row r="35" spans="1:25">
      <c r="A35" s="390">
        <v>90301</v>
      </c>
      <c r="B35" s="391" t="s">
        <v>748</v>
      </c>
      <c r="C35" s="234">
        <v>7.2150000000000003E-4</v>
      </c>
      <c r="D35" s="234">
        <v>7.339E-4</v>
      </c>
      <c r="E35" s="231">
        <v>2578227</v>
      </c>
      <c r="F35" s="231" t="s">
        <v>1924</v>
      </c>
      <c r="G35" s="392">
        <v>325585</v>
      </c>
      <c r="H35" s="392">
        <v>362816</v>
      </c>
      <c r="I35" s="392">
        <v>191871</v>
      </c>
      <c r="J35" s="231">
        <v>0</v>
      </c>
      <c r="K35" s="231">
        <v>880272</v>
      </c>
      <c r="L35" s="231"/>
      <c r="M35" s="225">
        <v>0</v>
      </c>
      <c r="N35" s="225">
        <v>0</v>
      </c>
      <c r="O35" s="231">
        <v>17977</v>
      </c>
      <c r="P35" s="231">
        <v>17977</v>
      </c>
      <c r="Q35" s="231"/>
      <c r="R35" s="392">
        <v>886633</v>
      </c>
      <c r="S35" s="231">
        <v>-8773</v>
      </c>
      <c r="T35" s="396">
        <v>877860</v>
      </c>
      <c r="U35" s="231"/>
      <c r="V35" s="396"/>
      <c r="W35" s="396"/>
      <c r="X35" s="396">
        <v>5230941</v>
      </c>
      <c r="Y35" s="396">
        <v>373635</v>
      </c>
    </row>
    <row r="36" spans="1:25">
      <c r="A36" s="390">
        <v>90305</v>
      </c>
      <c r="B36" s="391" t="s">
        <v>749</v>
      </c>
      <c r="C36" s="234">
        <v>1.4750000000000001E-4</v>
      </c>
      <c r="D36" s="234">
        <v>1.404E-4</v>
      </c>
      <c r="E36" s="231">
        <v>527080</v>
      </c>
      <c r="F36" s="231" t="s">
        <v>1924</v>
      </c>
      <c r="G36" s="392">
        <v>66561</v>
      </c>
      <c r="H36" s="392">
        <v>74173</v>
      </c>
      <c r="I36" s="392">
        <v>39225</v>
      </c>
      <c r="J36" s="231">
        <v>29456</v>
      </c>
      <c r="K36" s="231">
        <v>209415</v>
      </c>
      <c r="L36" s="231"/>
      <c r="M36" s="225">
        <v>0</v>
      </c>
      <c r="N36" s="225">
        <v>0</v>
      </c>
      <c r="O36" s="231">
        <v>0</v>
      </c>
      <c r="P36" s="231">
        <v>0</v>
      </c>
      <c r="Q36" s="231"/>
      <c r="R36" s="392">
        <v>181259</v>
      </c>
      <c r="S36" s="231">
        <v>12348</v>
      </c>
      <c r="T36" s="396">
        <v>193607</v>
      </c>
      <c r="U36" s="231"/>
      <c r="V36" s="396"/>
      <c r="W36" s="396"/>
      <c r="X36" s="396">
        <v>1069389</v>
      </c>
      <c r="Y36" s="396">
        <v>76384</v>
      </c>
    </row>
    <row r="37" spans="1:25">
      <c r="A37" s="390">
        <v>90307</v>
      </c>
      <c r="B37" s="391" t="s">
        <v>750</v>
      </c>
      <c r="C37" s="234">
        <v>5.1000000000000003E-6</v>
      </c>
      <c r="D37" s="234">
        <v>5.8000000000000004E-6</v>
      </c>
      <c r="E37" s="231">
        <v>18224</v>
      </c>
      <c r="F37" s="231" t="s">
        <v>1924</v>
      </c>
      <c r="G37" s="392">
        <v>2301</v>
      </c>
      <c r="H37" s="392">
        <v>2565</v>
      </c>
      <c r="I37" s="392">
        <v>1356</v>
      </c>
      <c r="J37" s="231">
        <v>1014</v>
      </c>
      <c r="K37" s="231">
        <v>7236</v>
      </c>
      <c r="L37" s="231"/>
      <c r="M37" s="225">
        <v>0</v>
      </c>
      <c r="N37" s="225">
        <v>0</v>
      </c>
      <c r="O37" s="231">
        <v>16</v>
      </c>
      <c r="P37" s="231">
        <v>16</v>
      </c>
      <c r="Q37" s="231"/>
      <c r="R37" s="392">
        <v>6267</v>
      </c>
      <c r="S37" s="231">
        <v>421</v>
      </c>
      <c r="T37" s="396">
        <v>6688</v>
      </c>
      <c r="U37" s="231"/>
      <c r="V37" s="396"/>
      <c r="W37" s="396"/>
      <c r="X37" s="396">
        <v>36975</v>
      </c>
      <c r="Y37" s="396">
        <v>2641</v>
      </c>
    </row>
    <row r="38" spans="1:25">
      <c r="A38" s="390">
        <v>90401</v>
      </c>
      <c r="B38" s="391" t="s">
        <v>751</v>
      </c>
      <c r="C38" s="234">
        <v>1.3274000000000001E-3</v>
      </c>
      <c r="D38" s="234">
        <v>1.2876000000000001E-3</v>
      </c>
      <c r="E38" s="231">
        <v>4743366</v>
      </c>
      <c r="F38" s="231" t="s">
        <v>1924</v>
      </c>
      <c r="G38" s="392">
        <v>599004</v>
      </c>
      <c r="H38" s="392">
        <v>667502</v>
      </c>
      <c r="I38" s="392">
        <v>352999</v>
      </c>
      <c r="J38" s="231">
        <v>174341</v>
      </c>
      <c r="K38" s="231">
        <v>1793846</v>
      </c>
      <c r="L38" s="231"/>
      <c r="M38" s="225">
        <v>0</v>
      </c>
      <c r="N38" s="225">
        <v>0</v>
      </c>
      <c r="O38" s="231">
        <v>7660</v>
      </c>
      <c r="P38" s="231">
        <v>7660</v>
      </c>
      <c r="Q38" s="231"/>
      <c r="R38" s="392">
        <v>1631209</v>
      </c>
      <c r="S38" s="231">
        <v>54979</v>
      </c>
      <c r="T38" s="396">
        <v>1686188</v>
      </c>
      <c r="U38" s="231"/>
      <c r="V38" s="396"/>
      <c r="W38" s="396"/>
      <c r="X38" s="396">
        <v>9623772</v>
      </c>
      <c r="Y38" s="396">
        <v>687405</v>
      </c>
    </row>
    <row r="39" spans="1:25">
      <c r="A39" s="390">
        <v>90411</v>
      </c>
      <c r="B39" s="391" t="s">
        <v>752</v>
      </c>
      <c r="C39" s="234">
        <v>3.4289999999999999E-4</v>
      </c>
      <c r="D39" s="234">
        <v>3.2929999999999998E-4</v>
      </c>
      <c r="E39" s="231">
        <v>1225328</v>
      </c>
      <c r="F39" s="231" t="s">
        <v>1924</v>
      </c>
      <c r="G39" s="392">
        <v>154737</v>
      </c>
      <c r="H39" s="392">
        <v>172432</v>
      </c>
      <c r="I39" s="392">
        <v>91188</v>
      </c>
      <c r="J39" s="231">
        <v>19525</v>
      </c>
      <c r="K39" s="231">
        <v>437882</v>
      </c>
      <c r="L39" s="231"/>
      <c r="M39" s="225">
        <v>0</v>
      </c>
      <c r="N39" s="225">
        <v>0</v>
      </c>
      <c r="O39" s="231">
        <v>23124</v>
      </c>
      <c r="P39" s="231">
        <v>23124</v>
      </c>
      <c r="Q39" s="231"/>
      <c r="R39" s="392">
        <v>421381</v>
      </c>
      <c r="S39" s="231">
        <v>-10332</v>
      </c>
      <c r="T39" s="396">
        <v>411049</v>
      </c>
      <c r="U39" s="231"/>
      <c r="V39" s="396"/>
      <c r="W39" s="396"/>
      <c r="X39" s="396">
        <v>2486057</v>
      </c>
      <c r="Y39" s="396">
        <v>177574</v>
      </c>
    </row>
    <row r="40" spans="1:25">
      <c r="A40" s="390">
        <v>90413</v>
      </c>
      <c r="B40" s="391" t="s">
        <v>753</v>
      </c>
      <c r="C40" s="234">
        <v>3.3899999999999997E-5</v>
      </c>
      <c r="D40" s="234">
        <v>3.4900000000000001E-5</v>
      </c>
      <c r="E40" s="231">
        <v>121139</v>
      </c>
      <c r="F40" s="231" t="s">
        <v>1924</v>
      </c>
      <c r="G40" s="392">
        <v>15298</v>
      </c>
      <c r="H40" s="392">
        <v>17047</v>
      </c>
      <c r="I40" s="392">
        <v>9015</v>
      </c>
      <c r="J40" s="231">
        <v>3026</v>
      </c>
      <c r="K40" s="231">
        <v>44386</v>
      </c>
      <c r="L40" s="231"/>
      <c r="M40" s="225">
        <v>0</v>
      </c>
      <c r="N40" s="225">
        <v>0</v>
      </c>
      <c r="O40" s="231">
        <v>229</v>
      </c>
      <c r="P40" s="231">
        <v>229</v>
      </c>
      <c r="Q40" s="231"/>
      <c r="R40" s="392">
        <v>41659</v>
      </c>
      <c r="S40" s="231">
        <v>1249</v>
      </c>
      <c r="T40" s="396">
        <v>42908</v>
      </c>
      <c r="U40" s="231"/>
      <c r="V40" s="396"/>
      <c r="W40" s="396"/>
      <c r="X40" s="396">
        <v>245778</v>
      </c>
      <c r="Y40" s="396">
        <v>17555</v>
      </c>
    </row>
    <row r="41" spans="1:25">
      <c r="A41" s="390">
        <v>90417</v>
      </c>
      <c r="B41" s="391" t="s">
        <v>754</v>
      </c>
      <c r="C41" s="234">
        <v>9.5999999999999996E-6</v>
      </c>
      <c r="D41" s="234">
        <v>1.06E-5</v>
      </c>
      <c r="E41" s="231">
        <v>34305</v>
      </c>
      <c r="F41" s="231" t="s">
        <v>1924</v>
      </c>
      <c r="G41" s="392">
        <v>4332</v>
      </c>
      <c r="H41" s="392">
        <v>4828</v>
      </c>
      <c r="I41" s="392">
        <v>2553</v>
      </c>
      <c r="J41" s="231">
        <v>5017</v>
      </c>
      <c r="K41" s="231">
        <v>16730</v>
      </c>
      <c r="L41" s="231"/>
      <c r="M41" s="225">
        <v>0</v>
      </c>
      <c r="N41" s="225">
        <v>0</v>
      </c>
      <c r="O41" s="231">
        <v>0</v>
      </c>
      <c r="P41" s="231">
        <v>0</v>
      </c>
      <c r="Q41" s="231"/>
      <c r="R41" s="392">
        <v>11797</v>
      </c>
      <c r="S41" s="231">
        <v>2486</v>
      </c>
      <c r="T41" s="396">
        <v>14283</v>
      </c>
      <c r="U41" s="231"/>
      <c r="V41" s="396"/>
      <c r="W41" s="396"/>
      <c r="X41" s="396">
        <v>69601</v>
      </c>
      <c r="Y41" s="396">
        <v>4971</v>
      </c>
    </row>
    <row r="42" spans="1:25">
      <c r="A42" s="390">
        <v>90421</v>
      </c>
      <c r="B42" s="391" t="s">
        <v>755</v>
      </c>
      <c r="C42" s="234">
        <v>2.5199999999999999E-5</v>
      </c>
      <c r="D42" s="234">
        <v>1.98E-5</v>
      </c>
      <c r="E42" s="231">
        <v>90050</v>
      </c>
      <c r="F42" s="231" t="s">
        <v>1924</v>
      </c>
      <c r="G42" s="392">
        <v>11372</v>
      </c>
      <c r="H42" s="392">
        <v>12673</v>
      </c>
      <c r="I42" s="392">
        <v>6702</v>
      </c>
      <c r="J42" s="231">
        <v>8546</v>
      </c>
      <c r="K42" s="231">
        <v>39293</v>
      </c>
      <c r="L42" s="231"/>
      <c r="M42" s="225">
        <v>0</v>
      </c>
      <c r="N42" s="225">
        <v>0</v>
      </c>
      <c r="O42" s="231">
        <v>2463</v>
      </c>
      <c r="P42" s="231">
        <v>2463</v>
      </c>
      <c r="Q42" s="231"/>
      <c r="R42" s="392">
        <v>30968</v>
      </c>
      <c r="S42" s="231">
        <v>1016</v>
      </c>
      <c r="T42" s="396">
        <v>31984</v>
      </c>
      <c r="U42" s="231"/>
      <c r="V42" s="396"/>
      <c r="W42" s="396"/>
      <c r="X42" s="396">
        <v>182702</v>
      </c>
      <c r="Y42" s="396">
        <v>13050</v>
      </c>
    </row>
    <row r="43" spans="1:25">
      <c r="A43" s="390">
        <v>90431</v>
      </c>
      <c r="B43" s="391" t="s">
        <v>756</v>
      </c>
      <c r="C43" s="234">
        <v>4.85E-5</v>
      </c>
      <c r="D43" s="234">
        <v>4.8099999999999997E-5</v>
      </c>
      <c r="E43" s="231">
        <v>173311</v>
      </c>
      <c r="F43" s="231" t="s">
        <v>1924</v>
      </c>
      <c r="G43" s="392">
        <v>21886</v>
      </c>
      <c r="H43" s="392">
        <v>24389</v>
      </c>
      <c r="I43" s="392">
        <v>12898</v>
      </c>
      <c r="J43" s="231">
        <v>2806</v>
      </c>
      <c r="K43" s="231">
        <v>61979</v>
      </c>
      <c r="L43" s="231"/>
      <c r="M43" s="225">
        <v>0</v>
      </c>
      <c r="N43" s="225">
        <v>0</v>
      </c>
      <c r="O43" s="231">
        <v>818</v>
      </c>
      <c r="P43" s="231">
        <v>818</v>
      </c>
      <c r="Q43" s="231"/>
      <c r="R43" s="392">
        <v>59600</v>
      </c>
      <c r="S43" s="231">
        <v>731</v>
      </c>
      <c r="T43" s="396">
        <v>60331</v>
      </c>
      <c r="U43" s="231"/>
      <c r="V43" s="396"/>
      <c r="W43" s="396"/>
      <c r="X43" s="396">
        <v>351629</v>
      </c>
      <c r="Y43" s="396">
        <v>25116</v>
      </c>
    </row>
    <row r="44" spans="1:25">
      <c r="A44" s="390">
        <v>90441</v>
      </c>
      <c r="B44" s="391" t="s">
        <v>757</v>
      </c>
      <c r="C44" s="234">
        <v>5.8000000000000004E-6</v>
      </c>
      <c r="D44" s="234">
        <v>6.7000000000000002E-6</v>
      </c>
      <c r="E44" s="231">
        <v>20726</v>
      </c>
      <c r="F44" s="231" t="s">
        <v>1924</v>
      </c>
      <c r="G44" s="392">
        <v>2617</v>
      </c>
      <c r="H44" s="392">
        <v>2916</v>
      </c>
      <c r="I44" s="392">
        <v>1542</v>
      </c>
      <c r="J44" s="231">
        <v>1897</v>
      </c>
      <c r="K44" s="231">
        <v>8972</v>
      </c>
      <c r="L44" s="231"/>
      <c r="M44" s="225">
        <v>0</v>
      </c>
      <c r="N44" s="225">
        <v>0</v>
      </c>
      <c r="O44" s="231">
        <v>0</v>
      </c>
      <c r="P44" s="231">
        <v>0</v>
      </c>
      <c r="Q44" s="231"/>
      <c r="R44" s="392">
        <v>7127</v>
      </c>
      <c r="S44" s="231">
        <v>748</v>
      </c>
      <c r="T44" s="396">
        <v>7875</v>
      </c>
      <c r="U44" s="231"/>
      <c r="V44" s="396"/>
      <c r="W44" s="396"/>
      <c r="X44" s="396">
        <v>42051</v>
      </c>
      <c r="Y44" s="396">
        <v>3004</v>
      </c>
    </row>
    <row r="45" spans="1:25">
      <c r="A45" s="390">
        <v>90451</v>
      </c>
      <c r="B45" s="391" t="s">
        <v>758</v>
      </c>
      <c r="C45" s="234">
        <v>2.2399999999999999E-5</v>
      </c>
      <c r="D45" s="234">
        <v>2.3099999999999999E-5</v>
      </c>
      <c r="E45" s="231">
        <v>80045</v>
      </c>
      <c r="F45" s="231" t="s">
        <v>1924</v>
      </c>
      <c r="G45" s="392">
        <v>10108</v>
      </c>
      <c r="H45" s="392">
        <v>11264</v>
      </c>
      <c r="I45" s="392">
        <v>5957</v>
      </c>
      <c r="J45" s="231">
        <v>2683</v>
      </c>
      <c r="K45" s="231">
        <v>30012</v>
      </c>
      <c r="L45" s="231"/>
      <c r="M45" s="225">
        <v>0</v>
      </c>
      <c r="N45" s="225">
        <v>0</v>
      </c>
      <c r="O45" s="231">
        <v>1731</v>
      </c>
      <c r="P45" s="231">
        <v>1731</v>
      </c>
      <c r="Q45" s="231"/>
      <c r="R45" s="392">
        <v>27527</v>
      </c>
      <c r="S45" s="231">
        <v>1009</v>
      </c>
      <c r="T45" s="396">
        <v>28536</v>
      </c>
      <c r="U45" s="231"/>
      <c r="V45" s="396"/>
      <c r="W45" s="396"/>
      <c r="X45" s="396">
        <v>162402</v>
      </c>
      <c r="Y45" s="396">
        <v>11600</v>
      </c>
    </row>
    <row r="46" spans="1:25">
      <c r="A46" s="390">
        <v>90461</v>
      </c>
      <c r="B46" s="391" t="s">
        <v>759</v>
      </c>
      <c r="C46" s="234">
        <v>1.9E-6</v>
      </c>
      <c r="D46" s="234">
        <v>2.0999999999999998E-6</v>
      </c>
      <c r="E46" s="231">
        <v>6790</v>
      </c>
      <c r="F46" s="231" t="s">
        <v>1924</v>
      </c>
      <c r="G46" s="392">
        <v>857</v>
      </c>
      <c r="H46" s="392">
        <v>955</v>
      </c>
      <c r="I46" s="392">
        <v>505</v>
      </c>
      <c r="J46" s="231">
        <v>5100</v>
      </c>
      <c r="K46" s="231">
        <v>7417</v>
      </c>
      <c r="L46" s="231"/>
      <c r="M46" s="225">
        <v>0</v>
      </c>
      <c r="N46" s="225">
        <v>0</v>
      </c>
      <c r="O46" s="231">
        <v>3549</v>
      </c>
      <c r="P46" s="231">
        <v>3549</v>
      </c>
      <c r="Q46" s="231"/>
      <c r="R46" s="392">
        <v>2335</v>
      </c>
      <c r="S46" s="231">
        <v>-638</v>
      </c>
      <c r="T46" s="396">
        <v>1697</v>
      </c>
      <c r="U46" s="231"/>
      <c r="V46" s="396"/>
      <c r="W46" s="396"/>
      <c r="X46" s="396">
        <v>13775</v>
      </c>
      <c r="Y46" s="396">
        <v>984</v>
      </c>
    </row>
    <row r="47" spans="1:25">
      <c r="A47" s="390">
        <v>90501</v>
      </c>
      <c r="B47" s="391" t="s">
        <v>760</v>
      </c>
      <c r="C47" s="234">
        <v>1.4997999999999999E-3</v>
      </c>
      <c r="D47" s="234">
        <v>1.4587000000000001E-3</v>
      </c>
      <c r="E47" s="231">
        <v>5359424</v>
      </c>
      <c r="F47" s="231" t="s">
        <v>1924</v>
      </c>
      <c r="G47" s="392">
        <v>676801</v>
      </c>
      <c r="H47" s="392">
        <v>754196</v>
      </c>
      <c r="I47" s="392">
        <v>398846</v>
      </c>
      <c r="J47" s="231">
        <v>131520</v>
      </c>
      <c r="K47" s="231">
        <v>1961363</v>
      </c>
      <c r="L47" s="231"/>
      <c r="M47" s="225">
        <v>0</v>
      </c>
      <c r="N47" s="225">
        <v>0</v>
      </c>
      <c r="O47" s="231">
        <v>2974</v>
      </c>
      <c r="P47" s="231">
        <v>2974</v>
      </c>
      <c r="Q47" s="231"/>
      <c r="R47" s="392">
        <v>1843067</v>
      </c>
      <c r="S47" s="231">
        <v>47651</v>
      </c>
      <c r="T47" s="396">
        <v>1890718</v>
      </c>
      <c r="U47" s="231"/>
      <c r="V47" s="396"/>
      <c r="W47" s="396"/>
      <c r="X47" s="396">
        <v>10873688</v>
      </c>
      <c r="Y47" s="396">
        <v>776683</v>
      </c>
    </row>
    <row r="48" spans="1:25">
      <c r="A48" s="390">
        <v>90507</v>
      </c>
      <c r="B48" s="391" t="s">
        <v>34</v>
      </c>
      <c r="C48" s="234">
        <v>1.1199999999999999E-5</v>
      </c>
      <c r="D48" s="234">
        <v>3.4000000000000001E-6</v>
      </c>
      <c r="E48" s="231">
        <v>40022</v>
      </c>
      <c r="F48" s="231" t="s">
        <v>1924</v>
      </c>
      <c r="G48" s="392">
        <v>5054</v>
      </c>
      <c r="H48" s="392">
        <v>5632</v>
      </c>
      <c r="I48" s="392">
        <v>2978</v>
      </c>
      <c r="J48" s="231">
        <v>19680</v>
      </c>
      <c r="K48" s="231">
        <v>33344</v>
      </c>
      <c r="L48" s="231"/>
      <c r="M48" s="225">
        <v>0</v>
      </c>
      <c r="N48" s="225">
        <v>0</v>
      </c>
      <c r="O48" s="231">
        <v>0</v>
      </c>
      <c r="P48" s="231">
        <v>0</v>
      </c>
      <c r="Q48" s="231"/>
      <c r="R48" s="392">
        <v>13763</v>
      </c>
      <c r="S48" s="231">
        <v>9085</v>
      </c>
      <c r="T48" s="396">
        <v>22848</v>
      </c>
      <c r="U48" s="231"/>
      <c r="V48" s="396"/>
      <c r="W48" s="396"/>
      <c r="X48" s="396">
        <v>81201</v>
      </c>
      <c r="Y48" s="396">
        <v>5800</v>
      </c>
    </row>
    <row r="49" spans="1:25">
      <c r="A49" s="390">
        <v>90511</v>
      </c>
      <c r="B49" s="391" t="s">
        <v>761</v>
      </c>
      <c r="C49" s="234">
        <v>9.2200000000000005E-5</v>
      </c>
      <c r="D49" s="234">
        <v>1.011E-4</v>
      </c>
      <c r="E49" s="231">
        <v>329470</v>
      </c>
      <c r="F49" s="231" t="s">
        <v>1924</v>
      </c>
      <c r="G49" s="392">
        <v>41606</v>
      </c>
      <c r="H49" s="392">
        <v>46364</v>
      </c>
      <c r="I49" s="392">
        <v>24519</v>
      </c>
      <c r="J49" s="231">
        <v>21291</v>
      </c>
      <c r="K49" s="231">
        <v>133780</v>
      </c>
      <c r="L49" s="231"/>
      <c r="M49" s="225">
        <v>0</v>
      </c>
      <c r="N49" s="225">
        <v>0</v>
      </c>
      <c r="O49" s="231">
        <v>2656</v>
      </c>
      <c r="P49" s="231">
        <v>2656</v>
      </c>
      <c r="Q49" s="231"/>
      <c r="R49" s="392">
        <v>113302</v>
      </c>
      <c r="S49" s="231">
        <v>9314</v>
      </c>
      <c r="T49" s="396">
        <v>122616</v>
      </c>
      <c r="U49" s="231"/>
      <c r="V49" s="396"/>
      <c r="W49" s="396"/>
      <c r="X49" s="396">
        <v>668458</v>
      </c>
      <c r="Y49" s="396">
        <v>47747</v>
      </c>
    </row>
    <row r="50" spans="1:25">
      <c r="A50" s="390">
        <v>90521</v>
      </c>
      <c r="B50" s="391" t="s">
        <v>762</v>
      </c>
      <c r="C50" s="234">
        <v>1.4129999999999999E-4</v>
      </c>
      <c r="D50" s="234">
        <v>1.371E-4</v>
      </c>
      <c r="E50" s="231">
        <v>504925</v>
      </c>
      <c r="F50" s="231" t="s">
        <v>1924</v>
      </c>
      <c r="G50" s="392">
        <v>63763</v>
      </c>
      <c r="H50" s="392">
        <v>71055</v>
      </c>
      <c r="I50" s="392">
        <v>37576</v>
      </c>
      <c r="J50" s="231">
        <v>0</v>
      </c>
      <c r="K50" s="231">
        <v>172394</v>
      </c>
      <c r="L50" s="231"/>
      <c r="M50" s="225">
        <v>0</v>
      </c>
      <c r="N50" s="225">
        <v>0</v>
      </c>
      <c r="O50" s="231">
        <v>13369</v>
      </c>
      <c r="P50" s="231">
        <v>13369</v>
      </c>
      <c r="Q50" s="231"/>
      <c r="R50" s="392">
        <v>173640</v>
      </c>
      <c r="S50" s="231">
        <v>-8994</v>
      </c>
      <c r="T50" s="396">
        <v>164646</v>
      </c>
      <c r="U50" s="231"/>
      <c r="V50" s="396"/>
      <c r="W50" s="396"/>
      <c r="X50" s="396">
        <v>1024438</v>
      </c>
      <c r="Y50" s="396">
        <v>73173</v>
      </c>
    </row>
    <row r="51" spans="1:25">
      <c r="A51" s="390">
        <v>90601</v>
      </c>
      <c r="B51" s="391" t="s">
        <v>763</v>
      </c>
      <c r="C51" s="234">
        <v>1.242E-3</v>
      </c>
      <c r="D51" s="234">
        <v>1.1100999999999999E-3</v>
      </c>
      <c r="E51" s="231">
        <v>4438195</v>
      </c>
      <c r="F51" s="231" t="s">
        <v>1924</v>
      </c>
      <c r="G51" s="392">
        <v>560466</v>
      </c>
      <c r="H51" s="392">
        <v>624557</v>
      </c>
      <c r="I51" s="392">
        <v>330289</v>
      </c>
      <c r="J51" s="231">
        <v>160636</v>
      </c>
      <c r="K51" s="231">
        <v>1675948</v>
      </c>
      <c r="L51" s="231"/>
      <c r="M51" s="225">
        <v>0</v>
      </c>
      <c r="N51" s="225">
        <v>0</v>
      </c>
      <c r="O51" s="231">
        <v>13006</v>
      </c>
      <c r="P51" s="231">
        <v>13006</v>
      </c>
      <c r="Q51" s="231"/>
      <c r="R51" s="392">
        <v>1526263</v>
      </c>
      <c r="S51" s="231">
        <v>41596</v>
      </c>
      <c r="T51" s="396">
        <v>1567859</v>
      </c>
      <c r="U51" s="231"/>
      <c r="V51" s="396"/>
      <c r="W51" s="396"/>
      <c r="X51" s="396">
        <v>9004614</v>
      </c>
      <c r="Y51" s="396">
        <v>643180</v>
      </c>
    </row>
    <row r="52" spans="1:25">
      <c r="A52" s="390">
        <v>90602</v>
      </c>
      <c r="B52" s="391" t="s">
        <v>259</v>
      </c>
      <c r="C52" s="234">
        <v>8.0099999999999995E-5</v>
      </c>
      <c r="D52" s="234">
        <v>9.2999999999999997E-5</v>
      </c>
      <c r="E52" s="231">
        <v>286231</v>
      </c>
      <c r="F52" s="231" t="s">
        <v>1924</v>
      </c>
      <c r="G52" s="392">
        <v>36146</v>
      </c>
      <c r="H52" s="392">
        <v>40279</v>
      </c>
      <c r="I52" s="392">
        <v>21301</v>
      </c>
      <c r="J52" s="231">
        <v>28901</v>
      </c>
      <c r="K52" s="231">
        <v>126627</v>
      </c>
      <c r="L52" s="231"/>
      <c r="M52" s="225">
        <v>0</v>
      </c>
      <c r="N52" s="225">
        <v>0</v>
      </c>
      <c r="O52" s="231">
        <v>28726</v>
      </c>
      <c r="P52" s="231">
        <v>28726</v>
      </c>
      <c r="Q52" s="231"/>
      <c r="R52" s="392">
        <v>98433</v>
      </c>
      <c r="S52" s="231">
        <v>10305</v>
      </c>
      <c r="T52" s="396">
        <v>108738</v>
      </c>
      <c r="U52" s="231"/>
      <c r="V52" s="396"/>
      <c r="W52" s="396"/>
      <c r="X52" s="396">
        <v>580732</v>
      </c>
      <c r="Y52" s="396">
        <v>41480</v>
      </c>
    </row>
    <row r="53" spans="1:25">
      <c r="A53" s="390">
        <v>90605</v>
      </c>
      <c r="B53" s="391" t="s">
        <v>764</v>
      </c>
      <c r="C53" s="234">
        <v>4.8399999999999997E-5</v>
      </c>
      <c r="D53" s="234">
        <v>4.9799999999999998E-5</v>
      </c>
      <c r="E53" s="231">
        <v>172954</v>
      </c>
      <c r="F53" s="231" t="s">
        <v>1924</v>
      </c>
      <c r="G53" s="392">
        <v>21841</v>
      </c>
      <c r="H53" s="392">
        <v>24339</v>
      </c>
      <c r="I53" s="392">
        <v>12871</v>
      </c>
      <c r="J53" s="231">
        <v>12417</v>
      </c>
      <c r="K53" s="231">
        <v>71468</v>
      </c>
      <c r="L53" s="231"/>
      <c r="M53" s="225">
        <v>0</v>
      </c>
      <c r="N53" s="225">
        <v>0</v>
      </c>
      <c r="O53" s="231">
        <v>555</v>
      </c>
      <c r="P53" s="231">
        <v>555</v>
      </c>
      <c r="Q53" s="231"/>
      <c r="R53" s="392">
        <v>59478</v>
      </c>
      <c r="S53" s="231">
        <v>6976</v>
      </c>
      <c r="T53" s="396">
        <v>66454</v>
      </c>
      <c r="U53" s="231"/>
      <c r="V53" s="396"/>
      <c r="W53" s="396"/>
      <c r="X53" s="396">
        <v>350904</v>
      </c>
      <c r="Y53" s="396">
        <v>25064</v>
      </c>
    </row>
    <row r="54" spans="1:25">
      <c r="A54" s="390">
        <v>90611</v>
      </c>
      <c r="B54" s="391" t="s">
        <v>765</v>
      </c>
      <c r="C54" s="234">
        <v>1.4320000000000001E-4</v>
      </c>
      <c r="D54" s="234">
        <v>1.526E-4</v>
      </c>
      <c r="E54" s="231">
        <v>511715</v>
      </c>
      <c r="F54" s="231" t="s">
        <v>1924</v>
      </c>
      <c r="G54" s="392">
        <v>64621</v>
      </c>
      <c r="H54" s="392">
        <v>72010</v>
      </c>
      <c r="I54" s="392">
        <v>38082</v>
      </c>
      <c r="J54" s="231">
        <v>3728</v>
      </c>
      <c r="K54" s="231">
        <v>178441</v>
      </c>
      <c r="L54" s="231"/>
      <c r="M54" s="225">
        <v>0</v>
      </c>
      <c r="N54" s="225">
        <v>0</v>
      </c>
      <c r="O54" s="231">
        <v>23751</v>
      </c>
      <c r="P54" s="231">
        <v>23751</v>
      </c>
      <c r="Q54" s="231"/>
      <c r="R54" s="392">
        <v>175975</v>
      </c>
      <c r="S54" s="231">
        <v>-11400</v>
      </c>
      <c r="T54" s="396">
        <v>164575</v>
      </c>
      <c r="U54" s="231"/>
      <c r="V54" s="396"/>
      <c r="W54" s="396"/>
      <c r="X54" s="396">
        <v>1038213</v>
      </c>
      <c r="Y54" s="396">
        <v>74157</v>
      </c>
    </row>
    <row r="55" spans="1:25">
      <c r="A55" s="390">
        <v>90617</v>
      </c>
      <c r="B55" s="391" t="s">
        <v>766</v>
      </c>
      <c r="C55" s="234">
        <v>2.94E-5</v>
      </c>
      <c r="D55" s="234">
        <v>2.8600000000000001E-5</v>
      </c>
      <c r="E55" s="231">
        <v>105059</v>
      </c>
      <c r="F55" s="231" t="s">
        <v>1924</v>
      </c>
      <c r="G55" s="392">
        <v>13267</v>
      </c>
      <c r="H55" s="392">
        <v>14784</v>
      </c>
      <c r="I55" s="392">
        <v>7818</v>
      </c>
      <c r="J55" s="231">
        <v>7739</v>
      </c>
      <c r="K55" s="231">
        <v>43608</v>
      </c>
      <c r="L55" s="231"/>
      <c r="M55" s="225">
        <v>0</v>
      </c>
      <c r="N55" s="225">
        <v>0</v>
      </c>
      <c r="O55" s="231">
        <v>0</v>
      </c>
      <c r="P55" s="231">
        <v>0</v>
      </c>
      <c r="Q55" s="231"/>
      <c r="R55" s="392">
        <v>36129</v>
      </c>
      <c r="S55" s="231">
        <v>3741</v>
      </c>
      <c r="T55" s="396">
        <v>39870</v>
      </c>
      <c r="U55" s="231"/>
      <c r="V55" s="396"/>
      <c r="W55" s="396"/>
      <c r="X55" s="396">
        <v>213153</v>
      </c>
      <c r="Y55" s="396">
        <v>15225</v>
      </c>
    </row>
    <row r="56" spans="1:25">
      <c r="A56" s="390">
        <v>90621</v>
      </c>
      <c r="B56" s="391" t="s">
        <v>767</v>
      </c>
      <c r="C56" s="234">
        <v>6.9300000000000004E-5</v>
      </c>
      <c r="D56" s="234">
        <v>6.97E-5</v>
      </c>
      <c r="E56" s="231">
        <v>247638</v>
      </c>
      <c r="F56" s="231" t="s">
        <v>1924</v>
      </c>
      <c r="G56" s="392">
        <v>31272</v>
      </c>
      <c r="H56" s="392">
        <v>34848</v>
      </c>
      <c r="I56" s="392">
        <v>18429</v>
      </c>
      <c r="J56" s="231">
        <v>1656</v>
      </c>
      <c r="K56" s="231">
        <v>86205</v>
      </c>
      <c r="L56" s="231"/>
      <c r="M56" s="225">
        <v>0</v>
      </c>
      <c r="N56" s="225">
        <v>0</v>
      </c>
      <c r="O56" s="231">
        <v>5297</v>
      </c>
      <c r="P56" s="231">
        <v>5297</v>
      </c>
      <c r="Q56" s="231"/>
      <c r="R56" s="392">
        <v>85161</v>
      </c>
      <c r="S56" s="231">
        <v>-4362</v>
      </c>
      <c r="T56" s="396">
        <v>80799</v>
      </c>
      <c r="U56" s="231"/>
      <c r="V56" s="396"/>
      <c r="W56" s="396"/>
      <c r="X56" s="396">
        <v>502431</v>
      </c>
      <c r="Y56" s="396">
        <v>35888</v>
      </c>
    </row>
    <row r="57" spans="1:25">
      <c r="A57" s="390">
        <v>90631</v>
      </c>
      <c r="B57" s="391" t="s">
        <v>768</v>
      </c>
      <c r="C57" s="234">
        <v>3.636E-4</v>
      </c>
      <c r="D57" s="234">
        <v>3.6430000000000002E-4</v>
      </c>
      <c r="E57" s="231">
        <v>1299298</v>
      </c>
      <c r="F57" s="231" t="s">
        <v>1924</v>
      </c>
      <c r="G57" s="392">
        <v>164078</v>
      </c>
      <c r="H57" s="392">
        <v>182841</v>
      </c>
      <c r="I57" s="392">
        <v>96693</v>
      </c>
      <c r="J57" s="231">
        <v>11040</v>
      </c>
      <c r="K57" s="231">
        <v>454652</v>
      </c>
      <c r="L57" s="231"/>
      <c r="M57" s="225">
        <v>0</v>
      </c>
      <c r="N57" s="225">
        <v>0</v>
      </c>
      <c r="O57" s="231">
        <v>8114</v>
      </c>
      <c r="P57" s="231">
        <v>8114</v>
      </c>
      <c r="Q57" s="231"/>
      <c r="R57" s="392">
        <v>446819</v>
      </c>
      <c r="S57" s="231">
        <v>4228</v>
      </c>
      <c r="T57" s="396">
        <v>451047</v>
      </c>
      <c r="U57" s="231"/>
      <c r="V57" s="396"/>
      <c r="W57" s="396"/>
      <c r="X57" s="396">
        <v>2636133</v>
      </c>
      <c r="Y57" s="396">
        <v>188293</v>
      </c>
    </row>
    <row r="58" spans="1:25">
      <c r="A58" s="390">
        <v>90641</v>
      </c>
      <c r="B58" s="391" t="s">
        <v>769</v>
      </c>
      <c r="C58" s="234">
        <v>1.1E-5</v>
      </c>
      <c r="D58" s="234">
        <v>1.1800000000000001E-5</v>
      </c>
      <c r="E58" s="231">
        <v>39308</v>
      </c>
      <c r="F58" s="231" t="s">
        <v>1924</v>
      </c>
      <c r="G58" s="392">
        <v>4964</v>
      </c>
      <c r="H58" s="392">
        <v>5531</v>
      </c>
      <c r="I58" s="392">
        <v>2925</v>
      </c>
      <c r="J58" s="231">
        <v>148</v>
      </c>
      <c r="K58" s="231">
        <v>13568</v>
      </c>
      <c r="L58" s="231"/>
      <c r="M58" s="225">
        <v>0</v>
      </c>
      <c r="N58" s="225">
        <v>0</v>
      </c>
      <c r="O58" s="231">
        <v>313</v>
      </c>
      <c r="P58" s="231">
        <v>313</v>
      </c>
      <c r="Q58" s="231"/>
      <c r="R58" s="392">
        <v>13518</v>
      </c>
      <c r="S58" s="231">
        <v>-153</v>
      </c>
      <c r="T58" s="396">
        <v>13365</v>
      </c>
      <c r="U58" s="231"/>
      <c r="V58" s="396"/>
      <c r="W58" s="396"/>
      <c r="X58" s="396">
        <v>79751</v>
      </c>
      <c r="Y58" s="396">
        <v>5696</v>
      </c>
    </row>
    <row r="59" spans="1:25">
      <c r="A59" s="390">
        <v>90651</v>
      </c>
      <c r="B59" s="391" t="s">
        <v>770</v>
      </c>
      <c r="C59" s="234">
        <v>9.5199999999999997E-5</v>
      </c>
      <c r="D59" s="234">
        <v>1.031E-4</v>
      </c>
      <c r="E59" s="231">
        <v>340190</v>
      </c>
      <c r="F59" s="231" t="s">
        <v>1924</v>
      </c>
      <c r="G59" s="392">
        <v>42960</v>
      </c>
      <c r="H59" s="392">
        <v>47872</v>
      </c>
      <c r="I59" s="392">
        <v>25317</v>
      </c>
      <c r="J59" s="231">
        <v>62899</v>
      </c>
      <c r="K59" s="231">
        <v>179048</v>
      </c>
      <c r="L59" s="231"/>
      <c r="M59" s="225">
        <v>0</v>
      </c>
      <c r="N59" s="225">
        <v>0</v>
      </c>
      <c r="O59" s="231">
        <v>2350</v>
      </c>
      <c r="P59" s="231">
        <v>2350</v>
      </c>
      <c r="Q59" s="231"/>
      <c r="R59" s="392">
        <v>116989</v>
      </c>
      <c r="S59" s="231">
        <v>39447</v>
      </c>
      <c r="T59" s="396">
        <v>156436</v>
      </c>
      <c r="U59" s="231"/>
      <c r="V59" s="396"/>
      <c r="W59" s="396"/>
      <c r="X59" s="396">
        <v>690209</v>
      </c>
      <c r="Y59" s="396">
        <v>49300</v>
      </c>
    </row>
    <row r="60" spans="1:25">
      <c r="A60" s="390">
        <v>90701</v>
      </c>
      <c r="B60" s="391" t="s">
        <v>1931</v>
      </c>
      <c r="C60" s="234">
        <v>2.5049E-3</v>
      </c>
      <c r="D60" s="234">
        <v>2.6227999999999998E-3</v>
      </c>
      <c r="E60" s="231">
        <v>8951075</v>
      </c>
      <c r="F60" s="231" t="s">
        <v>1924</v>
      </c>
      <c r="G60" s="392">
        <v>1130364</v>
      </c>
      <c r="H60" s="392">
        <v>1259624</v>
      </c>
      <c r="I60" s="392">
        <v>666136</v>
      </c>
      <c r="J60" s="231">
        <v>28249</v>
      </c>
      <c r="K60" s="231">
        <v>3084373</v>
      </c>
      <c r="L60" s="231"/>
      <c r="M60" s="225">
        <v>0</v>
      </c>
      <c r="N60" s="225">
        <v>0</v>
      </c>
      <c r="O60" s="231">
        <v>330199</v>
      </c>
      <c r="P60" s="231">
        <v>330199</v>
      </c>
      <c r="Q60" s="231"/>
      <c r="R60" s="392">
        <v>3078209</v>
      </c>
      <c r="S60" s="231">
        <v>-97064</v>
      </c>
      <c r="T60" s="396">
        <v>2981145</v>
      </c>
      <c r="U60" s="231"/>
      <c r="V60" s="396"/>
      <c r="W60" s="396"/>
      <c r="X60" s="396">
        <v>18160755</v>
      </c>
      <c r="Y60" s="396">
        <v>1297183</v>
      </c>
    </row>
    <row r="61" spans="1:25">
      <c r="A61" s="390">
        <v>90704</v>
      </c>
      <c r="B61" s="391" t="s">
        <v>772</v>
      </c>
      <c r="C61" s="234">
        <v>4.1999999999999998E-5</v>
      </c>
      <c r="D61" s="234">
        <v>4.4299999999999999E-5</v>
      </c>
      <c r="E61" s="231">
        <v>150084</v>
      </c>
      <c r="F61" s="231" t="s">
        <v>1924</v>
      </c>
      <c r="G61" s="392">
        <v>18953</v>
      </c>
      <c r="H61" s="392">
        <v>21120</v>
      </c>
      <c r="I61" s="392">
        <v>11169</v>
      </c>
      <c r="J61" s="231">
        <v>23801</v>
      </c>
      <c r="K61" s="231">
        <v>75043</v>
      </c>
      <c r="L61" s="231"/>
      <c r="M61" s="225">
        <v>0</v>
      </c>
      <c r="N61" s="225">
        <v>0</v>
      </c>
      <c r="O61" s="231">
        <v>0</v>
      </c>
      <c r="P61" s="231">
        <v>0</v>
      </c>
      <c r="Q61" s="231"/>
      <c r="R61" s="392">
        <v>51613</v>
      </c>
      <c r="S61" s="231">
        <v>11324</v>
      </c>
      <c r="T61" s="396">
        <v>62937</v>
      </c>
      <c r="U61" s="231"/>
      <c r="V61" s="396"/>
      <c r="W61" s="396"/>
      <c r="X61" s="396">
        <v>304504</v>
      </c>
      <c r="Y61" s="396">
        <v>21750</v>
      </c>
    </row>
    <row r="62" spans="1:25">
      <c r="A62" s="390">
        <v>90705</v>
      </c>
      <c r="B62" s="391" t="s">
        <v>773</v>
      </c>
      <c r="C62" s="234">
        <v>3.3800000000000002E-5</v>
      </c>
      <c r="D62" s="234">
        <v>4.1199999999999999E-5</v>
      </c>
      <c r="E62" s="231">
        <v>120782</v>
      </c>
      <c r="F62" s="231" t="s">
        <v>1924</v>
      </c>
      <c r="G62" s="392">
        <v>15253</v>
      </c>
      <c r="H62" s="392">
        <v>16997</v>
      </c>
      <c r="I62" s="392">
        <v>8989</v>
      </c>
      <c r="J62" s="231">
        <v>8868</v>
      </c>
      <c r="K62" s="231">
        <v>50107</v>
      </c>
      <c r="L62" s="231"/>
      <c r="M62" s="225">
        <v>0</v>
      </c>
      <c r="N62" s="225">
        <v>0</v>
      </c>
      <c r="O62" s="231">
        <v>7044</v>
      </c>
      <c r="P62" s="231">
        <v>7044</v>
      </c>
      <c r="Q62" s="231"/>
      <c r="R62" s="392">
        <v>41536</v>
      </c>
      <c r="S62" s="231">
        <v>3014</v>
      </c>
      <c r="T62" s="396">
        <v>44550</v>
      </c>
      <c r="U62" s="231"/>
      <c r="V62" s="396"/>
      <c r="W62" s="396"/>
      <c r="X62" s="396">
        <v>245053</v>
      </c>
      <c r="Y62" s="396">
        <v>17504</v>
      </c>
    </row>
    <row r="63" spans="1:25">
      <c r="A63" s="390">
        <v>90709</v>
      </c>
      <c r="B63" s="391" t="s">
        <v>774</v>
      </c>
      <c r="C63" s="234">
        <v>1.4219999999999999E-4</v>
      </c>
      <c r="D63" s="234">
        <v>1.474E-4</v>
      </c>
      <c r="E63" s="231">
        <v>508141</v>
      </c>
      <c r="F63" s="231" t="s">
        <v>1924</v>
      </c>
      <c r="G63" s="392">
        <v>64169</v>
      </c>
      <c r="H63" s="392">
        <v>71507</v>
      </c>
      <c r="I63" s="392">
        <v>37816</v>
      </c>
      <c r="J63" s="231">
        <v>20432</v>
      </c>
      <c r="K63" s="231">
        <v>193924</v>
      </c>
      <c r="L63" s="231"/>
      <c r="M63" s="225">
        <v>0</v>
      </c>
      <c r="N63" s="225">
        <v>0</v>
      </c>
      <c r="O63" s="231">
        <v>13495</v>
      </c>
      <c r="P63" s="231">
        <v>13495</v>
      </c>
      <c r="Q63" s="231"/>
      <c r="R63" s="392">
        <v>174746</v>
      </c>
      <c r="S63" s="231">
        <v>-4917</v>
      </c>
      <c r="T63" s="396">
        <v>169829</v>
      </c>
      <c r="U63" s="231"/>
      <c r="V63" s="396"/>
      <c r="W63" s="396"/>
      <c r="X63" s="396">
        <v>1030963</v>
      </c>
      <c r="Y63" s="396">
        <v>73639</v>
      </c>
    </row>
    <row r="64" spans="1:25">
      <c r="A64" s="390">
        <v>90711</v>
      </c>
      <c r="B64" s="391" t="s">
        <v>775</v>
      </c>
      <c r="C64" s="234">
        <v>1.5904000000000001E-3</v>
      </c>
      <c r="D64" s="234">
        <v>1.5481E-3</v>
      </c>
      <c r="E64" s="231">
        <v>5683177</v>
      </c>
      <c r="F64" s="231" t="s">
        <v>1924</v>
      </c>
      <c r="G64" s="392">
        <v>717685</v>
      </c>
      <c r="H64" s="392">
        <v>799754</v>
      </c>
      <c r="I64" s="392">
        <v>422940</v>
      </c>
      <c r="J64" s="231">
        <v>38640</v>
      </c>
      <c r="K64" s="231">
        <v>1979019</v>
      </c>
      <c r="L64" s="231"/>
      <c r="M64" s="225">
        <v>0</v>
      </c>
      <c r="N64" s="225">
        <v>0</v>
      </c>
      <c r="O64" s="231">
        <v>79471</v>
      </c>
      <c r="P64" s="231">
        <v>79471</v>
      </c>
      <c r="Q64" s="231"/>
      <c r="R64" s="392">
        <v>1954403</v>
      </c>
      <c r="S64" s="231">
        <v>-49393</v>
      </c>
      <c r="T64" s="396">
        <v>1905010</v>
      </c>
      <c r="U64" s="231"/>
      <c r="V64" s="396"/>
      <c r="W64" s="396"/>
      <c r="X64" s="396">
        <v>11530546</v>
      </c>
      <c r="Y64" s="396">
        <v>823601</v>
      </c>
    </row>
    <row r="65" spans="1:25">
      <c r="A65" s="390">
        <v>90721</v>
      </c>
      <c r="B65" s="391" t="s">
        <v>776</v>
      </c>
      <c r="C65" s="234">
        <v>2.12E-5</v>
      </c>
      <c r="D65" s="234">
        <v>2.1399999999999998E-5</v>
      </c>
      <c r="E65" s="231">
        <v>75757</v>
      </c>
      <c r="F65" s="231" t="s">
        <v>1924</v>
      </c>
      <c r="G65" s="392">
        <v>9567</v>
      </c>
      <c r="H65" s="392">
        <v>10660</v>
      </c>
      <c r="I65" s="392">
        <v>5638</v>
      </c>
      <c r="J65" s="231">
        <v>3692</v>
      </c>
      <c r="K65" s="231">
        <v>29557</v>
      </c>
      <c r="L65" s="231"/>
      <c r="M65" s="225">
        <v>0</v>
      </c>
      <c r="N65" s="225">
        <v>0</v>
      </c>
      <c r="O65" s="231">
        <v>4164</v>
      </c>
      <c r="P65" s="231">
        <v>4164</v>
      </c>
      <c r="Q65" s="231"/>
      <c r="R65" s="392">
        <v>26052</v>
      </c>
      <c r="S65" s="231">
        <v>-1073</v>
      </c>
      <c r="T65" s="396">
        <v>24979</v>
      </c>
      <c r="U65" s="231"/>
      <c r="V65" s="396"/>
      <c r="W65" s="396"/>
      <c r="X65" s="396">
        <v>153702</v>
      </c>
      <c r="Y65" s="396">
        <v>10979</v>
      </c>
    </row>
    <row r="66" spans="1:25">
      <c r="A66" s="390">
        <v>90731</v>
      </c>
      <c r="B66" s="391" t="s">
        <v>777</v>
      </c>
      <c r="C66" s="234">
        <v>1.5310000000000001E-4</v>
      </c>
      <c r="D66" s="234">
        <v>1.384E-4</v>
      </c>
      <c r="E66" s="231">
        <v>547092</v>
      </c>
      <c r="F66" s="231" t="s">
        <v>1924</v>
      </c>
      <c r="G66" s="392">
        <v>69088</v>
      </c>
      <c r="H66" s="392">
        <v>76989</v>
      </c>
      <c r="I66" s="392">
        <v>40714</v>
      </c>
      <c r="J66" s="231">
        <v>22723</v>
      </c>
      <c r="K66" s="231">
        <v>209514</v>
      </c>
      <c r="L66" s="231"/>
      <c r="M66" s="225">
        <v>0</v>
      </c>
      <c r="N66" s="225">
        <v>0</v>
      </c>
      <c r="O66" s="231">
        <v>10045</v>
      </c>
      <c r="P66" s="231">
        <v>10045</v>
      </c>
      <c r="Q66" s="231"/>
      <c r="R66" s="392">
        <v>188141</v>
      </c>
      <c r="S66" s="231">
        <v>466</v>
      </c>
      <c r="T66" s="396">
        <v>188607</v>
      </c>
      <c r="U66" s="231"/>
      <c r="V66" s="396"/>
      <c r="W66" s="396"/>
      <c r="X66" s="396">
        <v>1109989</v>
      </c>
      <c r="Y66" s="396">
        <v>79284</v>
      </c>
    </row>
    <row r="67" spans="1:25">
      <c r="A67" s="390">
        <v>90741</v>
      </c>
      <c r="B67" s="391" t="s">
        <v>778</v>
      </c>
      <c r="C67" s="234">
        <v>1.33E-5</v>
      </c>
      <c r="D67" s="234">
        <v>1.38E-5</v>
      </c>
      <c r="E67" s="231">
        <v>47527</v>
      </c>
      <c r="F67" s="231" t="s">
        <v>1924</v>
      </c>
      <c r="G67" s="392">
        <v>6002</v>
      </c>
      <c r="H67" s="392">
        <v>6688</v>
      </c>
      <c r="I67" s="392">
        <v>3537</v>
      </c>
      <c r="J67" s="231">
        <v>2005</v>
      </c>
      <c r="K67" s="231">
        <v>18232</v>
      </c>
      <c r="L67" s="231"/>
      <c r="M67" s="225">
        <v>0</v>
      </c>
      <c r="N67" s="225">
        <v>0</v>
      </c>
      <c r="O67" s="231">
        <v>934</v>
      </c>
      <c r="P67" s="231">
        <v>934</v>
      </c>
      <c r="Q67" s="231"/>
      <c r="R67" s="392">
        <v>16344</v>
      </c>
      <c r="S67" s="231">
        <v>886</v>
      </c>
      <c r="T67" s="396">
        <v>17230</v>
      </c>
      <c r="U67" s="231"/>
      <c r="V67" s="396"/>
      <c r="W67" s="396"/>
      <c r="X67" s="396">
        <v>96426</v>
      </c>
      <c r="Y67" s="396">
        <v>6888</v>
      </c>
    </row>
    <row r="68" spans="1:25">
      <c r="A68" s="390">
        <v>90751</v>
      </c>
      <c r="B68" s="391" t="s">
        <v>779</v>
      </c>
      <c r="C68" s="234">
        <v>6.2600000000000004E-5</v>
      </c>
      <c r="D68" s="234">
        <v>6.3E-5</v>
      </c>
      <c r="E68" s="231">
        <v>223696</v>
      </c>
      <c r="F68" s="231" t="s">
        <v>1924</v>
      </c>
      <c r="G68" s="392">
        <v>28249</v>
      </c>
      <c r="H68" s="392">
        <v>31479</v>
      </c>
      <c r="I68" s="392">
        <v>16647</v>
      </c>
      <c r="J68" s="231">
        <v>1235</v>
      </c>
      <c r="K68" s="231">
        <v>77610</v>
      </c>
      <c r="L68" s="231"/>
      <c r="M68" s="225">
        <v>0</v>
      </c>
      <c r="N68" s="225">
        <v>0</v>
      </c>
      <c r="O68" s="231">
        <v>12854</v>
      </c>
      <c r="P68" s="231">
        <v>12854</v>
      </c>
      <c r="Q68" s="231"/>
      <c r="R68" s="392">
        <v>76928</v>
      </c>
      <c r="S68" s="231">
        <v>-3798</v>
      </c>
      <c r="T68" s="396">
        <v>73130</v>
      </c>
      <c r="U68" s="231"/>
      <c r="V68" s="396"/>
      <c r="W68" s="396"/>
      <c r="X68" s="396">
        <v>453856</v>
      </c>
      <c r="Y68" s="396">
        <v>32418</v>
      </c>
    </row>
    <row r="69" spans="1:25">
      <c r="A69" s="390">
        <v>90801</v>
      </c>
      <c r="B69" s="391" t="s">
        <v>780</v>
      </c>
      <c r="C69" s="234">
        <v>1.2543000000000001E-3</v>
      </c>
      <c r="D69" s="234">
        <v>1.2669999999999999E-3</v>
      </c>
      <c r="E69" s="231">
        <v>4482148</v>
      </c>
      <c r="F69" s="231" t="s">
        <v>1924</v>
      </c>
      <c r="G69" s="392">
        <v>566017</v>
      </c>
      <c r="H69" s="392">
        <v>630742</v>
      </c>
      <c r="I69" s="392">
        <v>333560</v>
      </c>
      <c r="J69" s="231">
        <v>12107</v>
      </c>
      <c r="K69" s="231">
        <v>1542426</v>
      </c>
      <c r="L69" s="231"/>
      <c r="M69" s="225">
        <v>0</v>
      </c>
      <c r="N69" s="225">
        <v>0</v>
      </c>
      <c r="O69" s="231">
        <v>190080</v>
      </c>
      <c r="P69" s="231">
        <v>190080</v>
      </c>
      <c r="Q69" s="231"/>
      <c r="R69" s="392">
        <v>1541378</v>
      </c>
      <c r="S69" s="231">
        <v>-48811</v>
      </c>
      <c r="T69" s="396">
        <v>1492567</v>
      </c>
      <c r="U69" s="231"/>
      <c r="V69" s="396"/>
      <c r="W69" s="396"/>
      <c r="X69" s="396">
        <v>9093790</v>
      </c>
      <c r="Y69" s="396">
        <v>649549</v>
      </c>
    </row>
    <row r="70" spans="1:25">
      <c r="A70" s="390">
        <v>90804</v>
      </c>
      <c r="B70" s="391" t="s">
        <v>781</v>
      </c>
      <c r="C70" s="234">
        <v>5.0000000000000004E-6</v>
      </c>
      <c r="D70" s="234">
        <v>5.5999999999999997E-6</v>
      </c>
      <c r="E70" s="231">
        <v>17867</v>
      </c>
      <c r="F70" s="231" t="s">
        <v>1924</v>
      </c>
      <c r="G70" s="392">
        <v>2256</v>
      </c>
      <c r="H70" s="392">
        <v>2514</v>
      </c>
      <c r="I70" s="392">
        <v>1330</v>
      </c>
      <c r="J70" s="231">
        <v>13</v>
      </c>
      <c r="K70" s="231">
        <v>6113</v>
      </c>
      <c r="L70" s="231"/>
      <c r="M70" s="225">
        <v>0</v>
      </c>
      <c r="N70" s="225">
        <v>0</v>
      </c>
      <c r="O70" s="231">
        <v>769</v>
      </c>
      <c r="P70" s="231">
        <v>769</v>
      </c>
      <c r="Q70" s="231"/>
      <c r="R70" s="392">
        <v>6144</v>
      </c>
      <c r="S70" s="231">
        <v>-100</v>
      </c>
      <c r="T70" s="396">
        <v>6044</v>
      </c>
      <c r="U70" s="231"/>
      <c r="V70" s="396"/>
      <c r="W70" s="396"/>
      <c r="X70" s="396">
        <v>36250</v>
      </c>
      <c r="Y70" s="396">
        <v>2589</v>
      </c>
    </row>
    <row r="71" spans="1:25">
      <c r="A71" s="390">
        <v>90805</v>
      </c>
      <c r="B71" s="391" t="s">
        <v>782</v>
      </c>
      <c r="C71" s="234">
        <v>6.3E-5</v>
      </c>
      <c r="D71" s="234">
        <v>6.5900000000000003E-5</v>
      </c>
      <c r="E71" s="231">
        <v>225126</v>
      </c>
      <c r="F71" s="231" t="s">
        <v>1924</v>
      </c>
      <c r="G71" s="392">
        <v>28429</v>
      </c>
      <c r="H71" s="392">
        <v>31681</v>
      </c>
      <c r="I71" s="392">
        <v>16754</v>
      </c>
      <c r="J71" s="231">
        <v>20954</v>
      </c>
      <c r="K71" s="231">
        <v>97818</v>
      </c>
      <c r="L71" s="231"/>
      <c r="M71" s="225">
        <v>0</v>
      </c>
      <c r="N71" s="225">
        <v>0</v>
      </c>
      <c r="O71" s="231">
        <v>0</v>
      </c>
      <c r="P71" s="231">
        <v>0</v>
      </c>
      <c r="Q71" s="231"/>
      <c r="R71" s="392">
        <v>77419</v>
      </c>
      <c r="S71" s="231">
        <v>11966</v>
      </c>
      <c r="T71" s="396">
        <v>89385</v>
      </c>
      <c r="U71" s="231"/>
      <c r="V71" s="396"/>
      <c r="W71" s="396"/>
      <c r="X71" s="396">
        <v>456756</v>
      </c>
      <c r="Y71" s="396">
        <v>32625</v>
      </c>
    </row>
    <row r="72" spans="1:25">
      <c r="A72" s="390">
        <v>90808</v>
      </c>
      <c r="B72" s="391" t="s">
        <v>783</v>
      </c>
      <c r="C72" s="234">
        <v>1.4809999999999999E-4</v>
      </c>
      <c r="D72" s="234">
        <v>1.395E-4</v>
      </c>
      <c r="E72" s="231">
        <v>529224</v>
      </c>
      <c r="F72" s="231" t="s">
        <v>1924</v>
      </c>
      <c r="G72" s="392">
        <v>66832</v>
      </c>
      <c r="H72" s="392">
        <v>74474</v>
      </c>
      <c r="I72" s="392">
        <v>39385</v>
      </c>
      <c r="J72" s="231">
        <v>43849</v>
      </c>
      <c r="K72" s="231">
        <v>224540</v>
      </c>
      <c r="L72" s="231"/>
      <c r="M72" s="225">
        <v>0</v>
      </c>
      <c r="N72" s="225">
        <v>0</v>
      </c>
      <c r="O72" s="231">
        <v>145</v>
      </c>
      <c r="P72" s="231">
        <v>145</v>
      </c>
      <c r="Q72" s="231"/>
      <c r="R72" s="392">
        <v>181996</v>
      </c>
      <c r="S72" s="231">
        <v>14853</v>
      </c>
      <c r="T72" s="396">
        <v>196849</v>
      </c>
      <c r="U72" s="231"/>
      <c r="V72" s="396"/>
      <c r="W72" s="396"/>
      <c r="X72" s="396">
        <v>1073739</v>
      </c>
      <c r="Y72" s="396">
        <v>76695</v>
      </c>
    </row>
    <row r="73" spans="1:25">
      <c r="A73" s="390">
        <v>90811</v>
      </c>
      <c r="B73" s="391" t="s">
        <v>784</v>
      </c>
      <c r="C73" s="234">
        <v>3.8999999999999999E-5</v>
      </c>
      <c r="D73" s="234">
        <v>3.4900000000000001E-5</v>
      </c>
      <c r="E73" s="231">
        <v>139364</v>
      </c>
      <c r="F73" s="231" t="s">
        <v>1924</v>
      </c>
      <c r="G73" s="392">
        <v>17599</v>
      </c>
      <c r="H73" s="392">
        <v>19612</v>
      </c>
      <c r="I73" s="392">
        <v>10371</v>
      </c>
      <c r="J73" s="231">
        <v>2865</v>
      </c>
      <c r="K73" s="231">
        <v>50447</v>
      </c>
      <c r="L73" s="231"/>
      <c r="M73" s="225">
        <v>0</v>
      </c>
      <c r="N73" s="225">
        <v>0</v>
      </c>
      <c r="O73" s="231">
        <v>6045</v>
      </c>
      <c r="P73" s="231">
        <v>6045</v>
      </c>
      <c r="Q73" s="231"/>
      <c r="R73" s="392">
        <v>47926</v>
      </c>
      <c r="S73" s="231">
        <v>-2832</v>
      </c>
      <c r="T73" s="396">
        <v>45094</v>
      </c>
      <c r="U73" s="231"/>
      <c r="V73" s="396"/>
      <c r="W73" s="396"/>
      <c r="X73" s="396">
        <v>282754</v>
      </c>
      <c r="Y73" s="396">
        <v>20196</v>
      </c>
    </row>
    <row r="74" spans="1:25">
      <c r="A74" s="390">
        <v>90812</v>
      </c>
      <c r="B74" s="391" t="s">
        <v>785</v>
      </c>
      <c r="C74" s="234">
        <v>2.0900000000000001E-4</v>
      </c>
      <c r="D74" s="234">
        <v>2.2100000000000001E-4</v>
      </c>
      <c r="E74" s="231">
        <v>746846</v>
      </c>
      <c r="F74" s="231" t="s">
        <v>1924</v>
      </c>
      <c r="G74" s="392">
        <v>94314</v>
      </c>
      <c r="H74" s="392">
        <v>105098</v>
      </c>
      <c r="I74" s="392">
        <v>55580</v>
      </c>
      <c r="J74" s="231">
        <v>2663</v>
      </c>
      <c r="K74" s="231">
        <v>257655</v>
      </c>
      <c r="L74" s="231"/>
      <c r="M74" s="225">
        <v>0</v>
      </c>
      <c r="N74" s="225">
        <v>0</v>
      </c>
      <c r="O74" s="231">
        <v>22362</v>
      </c>
      <c r="P74" s="231">
        <v>22362</v>
      </c>
      <c r="Q74" s="231"/>
      <c r="R74" s="392">
        <v>256835</v>
      </c>
      <c r="S74" s="231">
        <v>-8342</v>
      </c>
      <c r="T74" s="396">
        <v>248493</v>
      </c>
      <c r="U74" s="231"/>
      <c r="V74" s="396"/>
      <c r="W74" s="396"/>
      <c r="X74" s="396">
        <v>1515269</v>
      </c>
      <c r="Y74" s="396">
        <v>108232</v>
      </c>
    </row>
    <row r="75" spans="1:25">
      <c r="A75" s="390">
        <v>90813</v>
      </c>
      <c r="B75" s="391" t="s">
        <v>786</v>
      </c>
      <c r="C75" s="234">
        <v>4.0999999999999997E-6</v>
      </c>
      <c r="D75" s="234">
        <v>4.6E-6</v>
      </c>
      <c r="E75" s="231">
        <v>14651</v>
      </c>
      <c r="F75" s="231" t="s">
        <v>1924</v>
      </c>
      <c r="G75" s="392">
        <v>1850</v>
      </c>
      <c r="H75" s="392">
        <v>2061</v>
      </c>
      <c r="I75" s="392">
        <v>1090</v>
      </c>
      <c r="J75" s="231">
        <v>0</v>
      </c>
      <c r="K75" s="231">
        <v>5001</v>
      </c>
      <c r="L75" s="231"/>
      <c r="M75" s="225">
        <v>0</v>
      </c>
      <c r="N75" s="225">
        <v>0</v>
      </c>
      <c r="O75" s="231">
        <v>1383</v>
      </c>
      <c r="P75" s="231">
        <v>1383</v>
      </c>
      <c r="Q75" s="231"/>
      <c r="R75" s="392">
        <v>5038</v>
      </c>
      <c r="S75" s="231">
        <v>-627</v>
      </c>
      <c r="T75" s="396">
        <v>4411</v>
      </c>
      <c r="U75" s="231"/>
      <c r="V75" s="396"/>
      <c r="W75" s="396"/>
      <c r="X75" s="396">
        <v>29725</v>
      </c>
      <c r="Y75" s="396">
        <v>2123</v>
      </c>
    </row>
    <row r="76" spans="1:25">
      <c r="A76" s="390">
        <v>90861</v>
      </c>
      <c r="B76" s="391" t="s">
        <v>787</v>
      </c>
      <c r="C76" s="234">
        <v>2.5000000000000002E-6</v>
      </c>
      <c r="D76" s="234">
        <v>8.4999999999999999E-6</v>
      </c>
      <c r="E76" s="231">
        <v>8934</v>
      </c>
      <c r="F76" s="231" t="s">
        <v>1924</v>
      </c>
      <c r="G76" s="392">
        <v>1128</v>
      </c>
      <c r="H76" s="392">
        <v>1257</v>
      </c>
      <c r="I76" s="392">
        <v>665</v>
      </c>
      <c r="J76" s="231">
        <v>5118</v>
      </c>
      <c r="K76" s="231">
        <v>8168</v>
      </c>
      <c r="L76" s="231"/>
      <c r="M76" s="225">
        <v>0</v>
      </c>
      <c r="N76" s="225">
        <v>0</v>
      </c>
      <c r="O76" s="231">
        <v>5566</v>
      </c>
      <c r="P76" s="231">
        <v>5566</v>
      </c>
      <c r="Q76" s="231"/>
      <c r="R76" s="392">
        <v>3072</v>
      </c>
      <c r="S76" s="231">
        <v>616</v>
      </c>
      <c r="T76" s="396">
        <v>3688</v>
      </c>
      <c r="U76" s="231"/>
      <c r="V76" s="396"/>
      <c r="W76" s="396"/>
      <c r="X76" s="396">
        <v>18125</v>
      </c>
      <c r="Y76" s="396">
        <v>1295</v>
      </c>
    </row>
    <row r="77" spans="1:25">
      <c r="A77" s="390">
        <v>90901</v>
      </c>
      <c r="B77" s="391" t="s">
        <v>788</v>
      </c>
      <c r="C77" s="234">
        <v>2.0888E-3</v>
      </c>
      <c r="D77" s="234">
        <v>2.274E-3</v>
      </c>
      <c r="E77" s="231">
        <v>7464172</v>
      </c>
      <c r="F77" s="231" t="s">
        <v>1924</v>
      </c>
      <c r="G77" s="392">
        <v>942594</v>
      </c>
      <c r="H77" s="392">
        <v>1050383</v>
      </c>
      <c r="I77" s="392">
        <v>555481</v>
      </c>
      <c r="J77" s="231">
        <v>68919</v>
      </c>
      <c r="K77" s="231">
        <v>2617377</v>
      </c>
      <c r="L77" s="231"/>
      <c r="M77" s="225">
        <v>0</v>
      </c>
      <c r="N77" s="225">
        <v>0</v>
      </c>
      <c r="O77" s="231">
        <v>217379</v>
      </c>
      <c r="P77" s="231">
        <v>217379</v>
      </c>
      <c r="Q77" s="231"/>
      <c r="R77" s="392">
        <v>2566874</v>
      </c>
      <c r="S77" s="231">
        <v>-55781</v>
      </c>
      <c r="T77" s="396">
        <v>2511093</v>
      </c>
      <c r="U77" s="231"/>
      <c r="V77" s="396"/>
      <c r="W77" s="396"/>
      <c r="X77" s="396">
        <v>15143992</v>
      </c>
      <c r="Y77" s="396">
        <v>1081702</v>
      </c>
    </row>
    <row r="78" spans="1:25">
      <c r="A78" s="390">
        <v>90911</v>
      </c>
      <c r="B78" s="391" t="s">
        <v>789</v>
      </c>
      <c r="C78" s="234">
        <v>3.7490000000000001E-4</v>
      </c>
      <c r="D78" s="234">
        <v>3.8539999999999999E-4</v>
      </c>
      <c r="E78" s="231">
        <v>1339677</v>
      </c>
      <c r="F78" s="231" t="s">
        <v>1924</v>
      </c>
      <c r="G78" s="392">
        <v>169178</v>
      </c>
      <c r="H78" s="392">
        <v>188523</v>
      </c>
      <c r="I78" s="392">
        <v>99698</v>
      </c>
      <c r="J78" s="231">
        <v>1700</v>
      </c>
      <c r="K78" s="231">
        <v>459099</v>
      </c>
      <c r="L78" s="231"/>
      <c r="M78" s="225">
        <v>0</v>
      </c>
      <c r="N78" s="225">
        <v>0</v>
      </c>
      <c r="O78" s="231">
        <v>55640</v>
      </c>
      <c r="P78" s="231">
        <v>55640</v>
      </c>
      <c r="Q78" s="231"/>
      <c r="R78" s="392">
        <v>460705</v>
      </c>
      <c r="S78" s="231">
        <v>-22311</v>
      </c>
      <c r="T78" s="396">
        <v>438394</v>
      </c>
      <c r="U78" s="231"/>
      <c r="V78" s="396"/>
      <c r="W78" s="396"/>
      <c r="X78" s="396">
        <v>2718059</v>
      </c>
      <c r="Y78" s="396">
        <v>194145</v>
      </c>
    </row>
    <row r="79" spans="1:25">
      <c r="A79" s="390">
        <v>90917</v>
      </c>
      <c r="B79" s="391" t="s">
        <v>790</v>
      </c>
      <c r="C79" s="234">
        <v>9.7999999999999993E-6</v>
      </c>
      <c r="D79" s="234">
        <v>8.1000000000000004E-6</v>
      </c>
      <c r="E79" s="231">
        <v>35020</v>
      </c>
      <c r="F79" s="231" t="s">
        <v>1924</v>
      </c>
      <c r="G79" s="392">
        <v>4422</v>
      </c>
      <c r="H79" s="392">
        <v>4928</v>
      </c>
      <c r="I79" s="392">
        <v>2606</v>
      </c>
      <c r="J79" s="231">
        <v>3613</v>
      </c>
      <c r="K79" s="231">
        <v>15569</v>
      </c>
      <c r="L79" s="231"/>
      <c r="M79" s="225">
        <v>0</v>
      </c>
      <c r="N79" s="225">
        <v>0</v>
      </c>
      <c r="O79" s="231">
        <v>2375</v>
      </c>
      <c r="P79" s="231">
        <v>2375</v>
      </c>
      <c r="Q79" s="231"/>
      <c r="R79" s="392">
        <v>12043</v>
      </c>
      <c r="S79" s="231">
        <v>588</v>
      </c>
      <c r="T79" s="396">
        <v>12631</v>
      </c>
      <c r="U79" s="231"/>
      <c r="V79" s="396"/>
      <c r="W79" s="396"/>
      <c r="X79" s="396">
        <v>71051</v>
      </c>
      <c r="Y79" s="396">
        <v>5075</v>
      </c>
    </row>
    <row r="80" spans="1:25">
      <c r="A80" s="390">
        <v>90918</v>
      </c>
      <c r="B80" s="391" t="s">
        <v>791</v>
      </c>
      <c r="C80" s="234">
        <v>9.9000000000000001E-6</v>
      </c>
      <c r="D80" s="234">
        <v>1.06E-5</v>
      </c>
      <c r="E80" s="231">
        <v>35377</v>
      </c>
      <c r="F80" s="231" t="s">
        <v>1924</v>
      </c>
      <c r="G80" s="392">
        <v>4467</v>
      </c>
      <c r="H80" s="392">
        <v>4979</v>
      </c>
      <c r="I80" s="392">
        <v>2633</v>
      </c>
      <c r="J80" s="231">
        <v>0</v>
      </c>
      <c r="K80" s="231">
        <v>12079</v>
      </c>
      <c r="L80" s="231"/>
      <c r="M80" s="225">
        <v>0</v>
      </c>
      <c r="N80" s="225">
        <v>0</v>
      </c>
      <c r="O80" s="231">
        <v>2062</v>
      </c>
      <c r="P80" s="231">
        <v>2062</v>
      </c>
      <c r="Q80" s="231"/>
      <c r="R80" s="392">
        <v>12166</v>
      </c>
      <c r="S80" s="231">
        <v>-1182</v>
      </c>
      <c r="T80" s="396">
        <v>10984</v>
      </c>
      <c r="U80" s="231"/>
      <c r="V80" s="396"/>
      <c r="W80" s="396"/>
      <c r="X80" s="396">
        <v>71776</v>
      </c>
      <c r="Y80" s="396">
        <v>5127</v>
      </c>
    </row>
    <row r="81" spans="1:25">
      <c r="A81" s="390">
        <v>90921</v>
      </c>
      <c r="B81" s="391" t="s">
        <v>792</v>
      </c>
      <c r="C81" s="234">
        <v>1.027E-4</v>
      </c>
      <c r="D81" s="234">
        <v>1.2129999999999999E-4</v>
      </c>
      <c r="E81" s="231">
        <v>366991</v>
      </c>
      <c r="F81" s="231" t="s">
        <v>1924</v>
      </c>
      <c r="G81" s="392">
        <v>46345</v>
      </c>
      <c r="H81" s="392">
        <v>51645</v>
      </c>
      <c r="I81" s="392">
        <v>27311</v>
      </c>
      <c r="J81" s="231">
        <v>7078</v>
      </c>
      <c r="K81" s="231">
        <v>132379</v>
      </c>
      <c r="L81" s="231"/>
      <c r="M81" s="225">
        <v>0</v>
      </c>
      <c r="N81" s="225">
        <v>0</v>
      </c>
      <c r="O81" s="231">
        <v>13655</v>
      </c>
      <c r="P81" s="231">
        <v>13655</v>
      </c>
      <c r="Q81" s="231"/>
      <c r="R81" s="392">
        <v>126205</v>
      </c>
      <c r="S81" s="231">
        <v>843</v>
      </c>
      <c r="T81" s="396">
        <v>127048</v>
      </c>
      <c r="U81" s="231"/>
      <c r="V81" s="396"/>
      <c r="W81" s="396"/>
      <c r="X81" s="396">
        <v>744584</v>
      </c>
      <c r="Y81" s="396">
        <v>53184</v>
      </c>
    </row>
    <row r="82" spans="1:25">
      <c r="A82" s="390">
        <v>90931</v>
      </c>
      <c r="B82" s="391" t="s">
        <v>793</v>
      </c>
      <c r="C82" s="234">
        <v>3.18E-5</v>
      </c>
      <c r="D82" s="234">
        <v>3.7299999999999999E-5</v>
      </c>
      <c r="E82" s="231">
        <v>113635</v>
      </c>
      <c r="F82" s="231" t="s">
        <v>1924</v>
      </c>
      <c r="G82" s="392">
        <v>14350</v>
      </c>
      <c r="H82" s="392">
        <v>15991</v>
      </c>
      <c r="I82" s="392">
        <v>8457</v>
      </c>
      <c r="J82" s="231">
        <v>0</v>
      </c>
      <c r="K82" s="231">
        <v>38798</v>
      </c>
      <c r="L82" s="231"/>
      <c r="M82" s="225">
        <v>0</v>
      </c>
      <c r="N82" s="225">
        <v>0</v>
      </c>
      <c r="O82" s="231">
        <v>13119</v>
      </c>
      <c r="P82" s="231">
        <v>13119</v>
      </c>
      <c r="Q82" s="231"/>
      <c r="R82" s="392">
        <v>39078</v>
      </c>
      <c r="S82" s="231">
        <v>-7656</v>
      </c>
      <c r="T82" s="396">
        <v>31422</v>
      </c>
      <c r="U82" s="231"/>
      <c r="V82" s="396"/>
      <c r="W82" s="396"/>
      <c r="X82" s="396">
        <v>230553</v>
      </c>
      <c r="Y82" s="396">
        <v>16468</v>
      </c>
    </row>
    <row r="83" spans="1:25">
      <c r="A83" s="390">
        <v>90941</v>
      </c>
      <c r="B83" s="391" t="s">
        <v>794</v>
      </c>
      <c r="C83" s="234">
        <v>6.9999999999999994E-5</v>
      </c>
      <c r="D83" s="234">
        <v>8.5400000000000002E-5</v>
      </c>
      <c r="E83" s="231">
        <v>250140</v>
      </c>
      <c r="F83" s="231" t="s">
        <v>1924</v>
      </c>
      <c r="G83" s="392">
        <v>31588</v>
      </c>
      <c r="H83" s="392">
        <v>35201</v>
      </c>
      <c r="I83" s="392">
        <v>18615</v>
      </c>
      <c r="J83" s="231">
        <v>3755</v>
      </c>
      <c r="K83" s="231">
        <v>89159</v>
      </c>
      <c r="L83" s="231"/>
      <c r="M83" s="225">
        <v>0</v>
      </c>
      <c r="N83" s="225">
        <v>0</v>
      </c>
      <c r="O83" s="231">
        <v>18499</v>
      </c>
      <c r="P83" s="231">
        <v>18499</v>
      </c>
      <c r="Q83" s="231"/>
      <c r="R83" s="392">
        <v>86021</v>
      </c>
      <c r="S83" s="231">
        <v>-5648</v>
      </c>
      <c r="T83" s="396">
        <v>80373</v>
      </c>
      <c r="U83" s="231"/>
      <c r="V83" s="396"/>
      <c r="W83" s="396"/>
      <c r="X83" s="396">
        <v>507506</v>
      </c>
      <c r="Y83" s="396">
        <v>36250</v>
      </c>
    </row>
    <row r="84" spans="1:25">
      <c r="A84" s="390">
        <v>91001</v>
      </c>
      <c r="B84" s="391" t="s">
        <v>795</v>
      </c>
      <c r="C84" s="234">
        <v>7.1149000000000004E-3</v>
      </c>
      <c r="D84" s="234">
        <v>7.2779999999999997E-3</v>
      </c>
      <c r="E84" s="231">
        <v>25424569</v>
      </c>
      <c r="F84" s="231" t="s">
        <v>1924</v>
      </c>
      <c r="G84" s="392">
        <v>3210677</v>
      </c>
      <c r="H84" s="392">
        <v>3577827</v>
      </c>
      <c r="I84" s="392">
        <v>1892087</v>
      </c>
      <c r="J84" s="231">
        <v>261637</v>
      </c>
      <c r="K84" s="231">
        <v>8942228</v>
      </c>
      <c r="L84" s="231"/>
      <c r="M84" s="225">
        <v>0</v>
      </c>
      <c r="N84" s="225">
        <v>0</v>
      </c>
      <c r="O84" s="231">
        <v>485948</v>
      </c>
      <c r="P84" s="231">
        <v>485948</v>
      </c>
      <c r="Q84" s="231"/>
      <c r="R84" s="392">
        <v>8743323</v>
      </c>
      <c r="S84" s="231">
        <v>-145374</v>
      </c>
      <c r="T84" s="396">
        <v>8597949</v>
      </c>
      <c r="U84" s="231"/>
      <c r="V84" s="396"/>
      <c r="W84" s="396"/>
      <c r="X84" s="396">
        <v>51583680</v>
      </c>
      <c r="Y84" s="396">
        <v>3684508</v>
      </c>
    </row>
    <row r="85" spans="1:25">
      <c r="A85" s="390">
        <v>91002</v>
      </c>
      <c r="B85" s="391" t="s">
        <v>796</v>
      </c>
      <c r="C85" s="234">
        <v>1.1846999999999999E-3</v>
      </c>
      <c r="D85" s="234">
        <v>1.2939E-3</v>
      </c>
      <c r="E85" s="231">
        <v>4233438</v>
      </c>
      <c r="F85" s="231" t="s">
        <v>1924</v>
      </c>
      <c r="G85" s="392">
        <v>534609</v>
      </c>
      <c r="H85" s="392">
        <v>595743</v>
      </c>
      <c r="I85" s="392">
        <v>315051</v>
      </c>
      <c r="J85" s="231">
        <v>216108</v>
      </c>
      <c r="K85" s="231">
        <v>1661511</v>
      </c>
      <c r="L85" s="231"/>
      <c r="M85" s="225">
        <v>0</v>
      </c>
      <c r="N85" s="225">
        <v>0</v>
      </c>
      <c r="O85" s="231">
        <v>235197</v>
      </c>
      <c r="P85" s="231">
        <v>235197</v>
      </c>
      <c r="Q85" s="231"/>
      <c r="R85" s="392">
        <v>1455848</v>
      </c>
      <c r="S85" s="231">
        <v>2293</v>
      </c>
      <c r="T85" s="396">
        <v>1458141</v>
      </c>
      <c r="U85" s="231"/>
      <c r="V85" s="396"/>
      <c r="W85" s="396"/>
      <c r="X85" s="396">
        <v>8589184</v>
      </c>
      <c r="Y85" s="396">
        <v>613506</v>
      </c>
    </row>
    <row r="86" spans="1:25">
      <c r="A86" s="390">
        <v>91003</v>
      </c>
      <c r="B86" s="391" t="s">
        <v>797</v>
      </c>
      <c r="C86" s="234">
        <v>5.7609999999999996E-4</v>
      </c>
      <c r="D86" s="234">
        <v>5.9570000000000001E-4</v>
      </c>
      <c r="E86" s="231">
        <v>2058651</v>
      </c>
      <c r="F86" s="231" t="s">
        <v>1924</v>
      </c>
      <c r="G86" s="392">
        <v>259971</v>
      </c>
      <c r="H86" s="392">
        <v>289700</v>
      </c>
      <c r="I86" s="392">
        <v>153204</v>
      </c>
      <c r="J86" s="231">
        <v>39079</v>
      </c>
      <c r="K86" s="231">
        <v>741954</v>
      </c>
      <c r="L86" s="231"/>
      <c r="M86" s="225">
        <v>0</v>
      </c>
      <c r="N86" s="225">
        <v>0</v>
      </c>
      <c r="O86" s="231">
        <v>32577</v>
      </c>
      <c r="P86" s="231">
        <v>32577</v>
      </c>
      <c r="Q86" s="231"/>
      <c r="R86" s="392">
        <v>707955</v>
      </c>
      <c r="S86" s="231">
        <v>-6472</v>
      </c>
      <c r="T86" s="396">
        <v>701483</v>
      </c>
      <c r="U86" s="231"/>
      <c r="V86" s="396"/>
      <c r="W86" s="396"/>
      <c r="X86" s="396">
        <v>4176778</v>
      </c>
      <c r="Y86" s="396">
        <v>298338</v>
      </c>
    </row>
    <row r="87" spans="1:25">
      <c r="A87" s="390">
        <v>91004</v>
      </c>
      <c r="B87" s="391" t="s">
        <v>798</v>
      </c>
      <c r="C87" s="234">
        <v>3.6600000000000002E-5</v>
      </c>
      <c r="D87" s="234">
        <v>3.3300000000000003E-5</v>
      </c>
      <c r="E87" s="231">
        <v>130787</v>
      </c>
      <c r="F87" s="231" t="s">
        <v>1924</v>
      </c>
      <c r="G87" s="392">
        <v>16516</v>
      </c>
      <c r="H87" s="392">
        <v>18405</v>
      </c>
      <c r="I87" s="392">
        <v>9733</v>
      </c>
      <c r="J87" s="231">
        <v>7714</v>
      </c>
      <c r="K87" s="231">
        <v>52368</v>
      </c>
      <c r="L87" s="231"/>
      <c r="M87" s="225">
        <v>0</v>
      </c>
      <c r="N87" s="225">
        <v>0</v>
      </c>
      <c r="O87" s="231">
        <v>2526</v>
      </c>
      <c r="P87" s="231">
        <v>2526</v>
      </c>
      <c r="Q87" s="231"/>
      <c r="R87" s="392">
        <v>44977</v>
      </c>
      <c r="S87" s="231">
        <v>3813</v>
      </c>
      <c r="T87" s="396">
        <v>48790</v>
      </c>
      <c r="U87" s="231"/>
      <c r="V87" s="396"/>
      <c r="W87" s="396"/>
      <c r="X87" s="396">
        <v>265353</v>
      </c>
      <c r="Y87" s="396">
        <v>18954</v>
      </c>
    </row>
    <row r="88" spans="1:25">
      <c r="A88" s="390">
        <v>91006</v>
      </c>
      <c r="B88" s="391" t="s">
        <v>799</v>
      </c>
      <c r="C88" s="234">
        <v>1.0206E-3</v>
      </c>
      <c r="D88" s="234">
        <v>1.0489E-3</v>
      </c>
      <c r="E88" s="231">
        <v>3647039</v>
      </c>
      <c r="F88" s="231" t="s">
        <v>1924</v>
      </c>
      <c r="G88" s="392">
        <v>460557</v>
      </c>
      <c r="H88" s="392">
        <v>513223</v>
      </c>
      <c r="I88" s="392">
        <v>271411</v>
      </c>
      <c r="J88" s="231">
        <v>0</v>
      </c>
      <c r="K88" s="231">
        <v>1245191</v>
      </c>
      <c r="L88" s="231"/>
      <c r="M88" s="225">
        <v>0</v>
      </c>
      <c r="N88" s="225">
        <v>0</v>
      </c>
      <c r="O88" s="231">
        <v>99385</v>
      </c>
      <c r="P88" s="231">
        <v>99385</v>
      </c>
      <c r="Q88" s="231"/>
      <c r="R88" s="392">
        <v>1254190</v>
      </c>
      <c r="S88" s="231">
        <v>-40264</v>
      </c>
      <c r="T88" s="396">
        <v>1213926</v>
      </c>
      <c r="U88" s="231"/>
      <c r="V88" s="396"/>
      <c r="W88" s="396"/>
      <c r="X88" s="396">
        <v>7399444</v>
      </c>
      <c r="Y88" s="396">
        <v>528526</v>
      </c>
    </row>
    <row r="89" spans="1:25">
      <c r="A89" s="390">
        <v>91007</v>
      </c>
      <c r="B89" s="391" t="s">
        <v>800</v>
      </c>
      <c r="C89" s="234">
        <v>9.5000000000000005E-6</v>
      </c>
      <c r="D89" s="234">
        <v>1.0900000000000001E-5</v>
      </c>
      <c r="E89" s="231">
        <v>33948</v>
      </c>
      <c r="F89" s="231" t="s">
        <v>1924</v>
      </c>
      <c r="G89" s="392">
        <v>4287</v>
      </c>
      <c r="H89" s="392">
        <v>4778</v>
      </c>
      <c r="I89" s="392">
        <v>2526</v>
      </c>
      <c r="J89" s="231">
        <v>2199</v>
      </c>
      <c r="K89" s="231">
        <v>13790</v>
      </c>
      <c r="L89" s="231"/>
      <c r="M89" s="225">
        <v>0</v>
      </c>
      <c r="N89" s="225">
        <v>0</v>
      </c>
      <c r="O89" s="231">
        <v>1100</v>
      </c>
      <c r="P89" s="231">
        <v>1100</v>
      </c>
      <c r="Q89" s="231"/>
      <c r="R89" s="392">
        <v>11674</v>
      </c>
      <c r="S89" s="231">
        <v>1949</v>
      </c>
      <c r="T89" s="396">
        <v>13623</v>
      </c>
      <c r="U89" s="231"/>
      <c r="V89" s="396"/>
      <c r="W89" s="396"/>
      <c r="X89" s="396">
        <v>68876</v>
      </c>
      <c r="Y89" s="396">
        <v>4920</v>
      </c>
    </row>
    <row r="90" spans="1:25">
      <c r="A90" s="390">
        <v>91008</v>
      </c>
      <c r="B90" s="391" t="s">
        <v>801</v>
      </c>
      <c r="C90" s="234">
        <v>1.5430000000000001E-4</v>
      </c>
      <c r="D90" s="234">
        <v>1.474E-4</v>
      </c>
      <c r="E90" s="231">
        <v>551380</v>
      </c>
      <c r="F90" s="231" t="s">
        <v>1924</v>
      </c>
      <c r="G90" s="392">
        <v>69630</v>
      </c>
      <c r="H90" s="392">
        <v>77591</v>
      </c>
      <c r="I90" s="392">
        <v>41033</v>
      </c>
      <c r="J90" s="231">
        <v>25263</v>
      </c>
      <c r="K90" s="231">
        <v>213517</v>
      </c>
      <c r="L90" s="231"/>
      <c r="M90" s="225">
        <v>0</v>
      </c>
      <c r="N90" s="225">
        <v>0</v>
      </c>
      <c r="O90" s="231">
        <v>0</v>
      </c>
      <c r="P90" s="231">
        <v>0</v>
      </c>
      <c r="Q90" s="231"/>
      <c r="R90" s="392">
        <v>189615</v>
      </c>
      <c r="S90" s="231">
        <v>14446</v>
      </c>
      <c r="T90" s="396">
        <v>204061</v>
      </c>
      <c r="U90" s="231"/>
      <c r="V90" s="396"/>
      <c r="W90" s="396"/>
      <c r="X90" s="396">
        <v>1118689</v>
      </c>
      <c r="Y90" s="396">
        <v>79905</v>
      </c>
    </row>
    <row r="91" spans="1:25">
      <c r="A91" s="390">
        <v>91009</v>
      </c>
      <c r="B91" s="391" t="s">
        <v>802</v>
      </c>
      <c r="C91" s="234">
        <v>1.22E-5</v>
      </c>
      <c r="D91" s="234">
        <v>8.3000000000000002E-6</v>
      </c>
      <c r="E91" s="231">
        <v>43596</v>
      </c>
      <c r="F91" s="231" t="s">
        <v>1924</v>
      </c>
      <c r="G91" s="392">
        <v>5505</v>
      </c>
      <c r="H91" s="392">
        <v>6135</v>
      </c>
      <c r="I91" s="392">
        <v>3244</v>
      </c>
      <c r="J91" s="231">
        <v>10679</v>
      </c>
      <c r="K91" s="231">
        <v>25563</v>
      </c>
      <c r="L91" s="231"/>
      <c r="M91" s="225">
        <v>0</v>
      </c>
      <c r="N91" s="225">
        <v>0</v>
      </c>
      <c r="O91" s="231">
        <v>482</v>
      </c>
      <c r="P91" s="231">
        <v>482</v>
      </c>
      <c r="Q91" s="231"/>
      <c r="R91" s="392">
        <v>14992</v>
      </c>
      <c r="S91" s="231">
        <v>4794</v>
      </c>
      <c r="T91" s="396">
        <v>19786</v>
      </c>
      <c r="U91" s="231"/>
      <c r="V91" s="396"/>
      <c r="W91" s="396"/>
      <c r="X91" s="396">
        <v>88451</v>
      </c>
      <c r="Y91" s="396">
        <v>6318</v>
      </c>
    </row>
    <row r="92" spans="1:25">
      <c r="A92" s="390">
        <v>91010</v>
      </c>
      <c r="B92" s="391" t="s">
        <v>803</v>
      </c>
      <c r="C92" s="234">
        <v>4.9400000000000001E-5</v>
      </c>
      <c r="D92" s="234">
        <v>5.1E-5</v>
      </c>
      <c r="E92" s="231">
        <v>176527</v>
      </c>
      <c r="F92" s="231" t="s">
        <v>1924</v>
      </c>
      <c r="G92" s="392">
        <v>22292</v>
      </c>
      <c r="H92" s="392">
        <v>24842</v>
      </c>
      <c r="I92" s="392">
        <v>13137</v>
      </c>
      <c r="J92" s="231">
        <v>3556</v>
      </c>
      <c r="K92" s="231">
        <v>63827</v>
      </c>
      <c r="L92" s="231"/>
      <c r="M92" s="225">
        <v>0</v>
      </c>
      <c r="N92" s="225">
        <v>0</v>
      </c>
      <c r="O92" s="231">
        <v>5274</v>
      </c>
      <c r="P92" s="231">
        <v>5274</v>
      </c>
      <c r="Q92" s="231"/>
      <c r="R92" s="392">
        <v>60706</v>
      </c>
      <c r="S92" s="231">
        <v>-985</v>
      </c>
      <c r="T92" s="396">
        <v>59721</v>
      </c>
      <c r="U92" s="231"/>
      <c r="V92" s="396"/>
      <c r="W92" s="396"/>
      <c r="X92" s="396">
        <v>358155</v>
      </c>
      <c r="Y92" s="396">
        <v>25582</v>
      </c>
    </row>
    <row r="93" spans="1:25">
      <c r="A93" s="390">
        <v>91011</v>
      </c>
      <c r="B93" s="391" t="s">
        <v>804</v>
      </c>
      <c r="C93" s="234">
        <v>3.701E-4</v>
      </c>
      <c r="D93" s="234">
        <v>3.2009999999999997E-4</v>
      </c>
      <c r="E93" s="231">
        <v>1322525</v>
      </c>
      <c r="F93" s="231" t="s">
        <v>1924</v>
      </c>
      <c r="G93" s="392">
        <v>167012</v>
      </c>
      <c r="H93" s="392">
        <v>186110</v>
      </c>
      <c r="I93" s="392">
        <v>98422</v>
      </c>
      <c r="J93" s="231">
        <v>88706</v>
      </c>
      <c r="K93" s="231">
        <v>540250</v>
      </c>
      <c r="L93" s="231"/>
      <c r="M93" s="225">
        <v>0</v>
      </c>
      <c r="N93" s="225">
        <v>0</v>
      </c>
      <c r="O93" s="231">
        <v>19723</v>
      </c>
      <c r="P93" s="231">
        <v>19723</v>
      </c>
      <c r="Q93" s="231"/>
      <c r="R93" s="392">
        <v>454807</v>
      </c>
      <c r="S93" s="231">
        <v>29321</v>
      </c>
      <c r="T93" s="396">
        <v>484128</v>
      </c>
      <c r="U93" s="231"/>
      <c r="V93" s="396"/>
      <c r="W93" s="396"/>
      <c r="X93" s="396">
        <v>2683259</v>
      </c>
      <c r="Y93" s="396">
        <v>191659</v>
      </c>
    </row>
    <row r="94" spans="1:25">
      <c r="A94" s="390">
        <v>91012</v>
      </c>
      <c r="B94" s="391" t="s">
        <v>805</v>
      </c>
      <c r="C94" s="234">
        <v>1.1600000000000001E-5</v>
      </c>
      <c r="D94" s="234">
        <v>1.4600000000000001E-5</v>
      </c>
      <c r="E94" s="231">
        <v>41452</v>
      </c>
      <c r="F94" s="231" t="s">
        <v>1924</v>
      </c>
      <c r="G94" s="392">
        <v>5235</v>
      </c>
      <c r="H94" s="392">
        <v>5833</v>
      </c>
      <c r="I94" s="392">
        <v>3085</v>
      </c>
      <c r="J94" s="231">
        <v>2200</v>
      </c>
      <c r="K94" s="231">
        <v>16353</v>
      </c>
      <c r="L94" s="231"/>
      <c r="M94" s="225">
        <v>0</v>
      </c>
      <c r="N94" s="225">
        <v>0</v>
      </c>
      <c r="O94" s="231">
        <v>4668</v>
      </c>
      <c r="P94" s="231">
        <v>4668</v>
      </c>
      <c r="Q94" s="231"/>
      <c r="R94" s="392">
        <v>14255</v>
      </c>
      <c r="S94" s="231">
        <v>172</v>
      </c>
      <c r="T94" s="396">
        <v>14427</v>
      </c>
      <c r="U94" s="231"/>
      <c r="V94" s="396"/>
      <c r="W94" s="396"/>
      <c r="X94" s="396">
        <v>84101</v>
      </c>
      <c r="Y94" s="396">
        <v>6007</v>
      </c>
    </row>
    <row r="95" spans="1:25">
      <c r="A95" s="390">
        <v>91013</v>
      </c>
      <c r="B95" s="391" t="s">
        <v>806</v>
      </c>
      <c r="C95" s="234">
        <v>3.7200000000000003E-5</v>
      </c>
      <c r="D95" s="234">
        <v>3.4999999999999997E-5</v>
      </c>
      <c r="E95" s="231">
        <v>132931</v>
      </c>
      <c r="F95" s="231" t="s">
        <v>1924</v>
      </c>
      <c r="G95" s="392">
        <v>16787</v>
      </c>
      <c r="H95" s="392">
        <v>18707</v>
      </c>
      <c r="I95" s="392">
        <v>9893</v>
      </c>
      <c r="J95" s="231">
        <v>33610</v>
      </c>
      <c r="K95" s="231">
        <v>78997</v>
      </c>
      <c r="L95" s="231"/>
      <c r="M95" s="225">
        <v>0</v>
      </c>
      <c r="N95" s="225">
        <v>0</v>
      </c>
      <c r="O95" s="231">
        <v>0</v>
      </c>
      <c r="P95" s="231">
        <v>0</v>
      </c>
      <c r="Q95" s="231"/>
      <c r="R95" s="392">
        <v>45714</v>
      </c>
      <c r="S95" s="231">
        <v>20026</v>
      </c>
      <c r="T95" s="396">
        <v>65740</v>
      </c>
      <c r="U95" s="231"/>
      <c r="V95" s="396"/>
      <c r="W95" s="396"/>
      <c r="X95" s="396">
        <v>269703</v>
      </c>
      <c r="Y95" s="396">
        <v>19264</v>
      </c>
    </row>
    <row r="96" spans="1:25">
      <c r="A96" s="390">
        <v>91014</v>
      </c>
      <c r="B96" s="391" t="s">
        <v>807</v>
      </c>
      <c r="C96" s="234">
        <v>1.762E-4</v>
      </c>
      <c r="D96" s="234">
        <v>1.7640000000000001E-4</v>
      </c>
      <c r="E96" s="231">
        <v>629638</v>
      </c>
      <c r="F96" s="231" t="s">
        <v>1924</v>
      </c>
      <c r="G96" s="392">
        <v>79512</v>
      </c>
      <c r="H96" s="392">
        <v>88604</v>
      </c>
      <c r="I96" s="392">
        <v>46857</v>
      </c>
      <c r="J96" s="231">
        <v>4631</v>
      </c>
      <c r="K96" s="231">
        <v>219604</v>
      </c>
      <c r="L96" s="231"/>
      <c r="M96" s="225">
        <v>0</v>
      </c>
      <c r="N96" s="225">
        <v>0</v>
      </c>
      <c r="O96" s="231">
        <v>17662</v>
      </c>
      <c r="P96" s="231">
        <v>17662</v>
      </c>
      <c r="Q96" s="231"/>
      <c r="R96" s="392">
        <v>216528</v>
      </c>
      <c r="S96" s="231">
        <v>-7149</v>
      </c>
      <c r="T96" s="396">
        <v>209379</v>
      </c>
      <c r="U96" s="231"/>
      <c r="V96" s="396"/>
      <c r="W96" s="396"/>
      <c r="X96" s="396">
        <v>1277466</v>
      </c>
      <c r="Y96" s="396">
        <v>91247</v>
      </c>
    </row>
    <row r="97" spans="1:25">
      <c r="A97" s="390">
        <v>91015</v>
      </c>
      <c r="B97" s="395" t="s">
        <v>1636</v>
      </c>
      <c r="C97" s="234">
        <v>1.6699999999999999E-5</v>
      </c>
      <c r="D97" s="234">
        <v>1.8499999999999999E-5</v>
      </c>
      <c r="E97" s="231">
        <v>59676</v>
      </c>
      <c r="F97" s="231" t="s">
        <v>1924</v>
      </c>
      <c r="G97" s="392">
        <v>7536</v>
      </c>
      <c r="H97" s="392">
        <v>8398</v>
      </c>
      <c r="I97" s="392">
        <v>4441</v>
      </c>
      <c r="J97" s="231">
        <v>22918</v>
      </c>
      <c r="K97" s="231">
        <v>43293</v>
      </c>
      <c r="L97" s="231"/>
      <c r="M97" s="225">
        <v>0</v>
      </c>
      <c r="N97" s="225">
        <v>0</v>
      </c>
      <c r="O97" s="231">
        <v>0</v>
      </c>
      <c r="P97" s="231">
        <v>0</v>
      </c>
      <c r="Q97" s="231"/>
      <c r="R97" s="392">
        <v>20522</v>
      </c>
      <c r="S97" s="231">
        <v>9328</v>
      </c>
      <c r="T97" s="396">
        <v>29850</v>
      </c>
      <c r="U97" s="231"/>
      <c r="V97" s="396"/>
      <c r="W97" s="396"/>
      <c r="X97" s="396">
        <v>121077</v>
      </c>
      <c r="Y97" s="396">
        <v>8648</v>
      </c>
    </row>
    <row r="98" spans="1:25">
      <c r="A98" s="390">
        <v>91017</v>
      </c>
      <c r="B98" s="391" t="s">
        <v>808</v>
      </c>
      <c r="C98" s="234">
        <v>2.8500000000000002E-5</v>
      </c>
      <c r="D98" s="234">
        <v>2.4700000000000001E-5</v>
      </c>
      <c r="E98" s="231">
        <v>101843</v>
      </c>
      <c r="F98" s="231" t="s">
        <v>1924</v>
      </c>
      <c r="G98" s="392">
        <v>12861</v>
      </c>
      <c r="H98" s="392">
        <v>14332</v>
      </c>
      <c r="I98" s="392">
        <v>7579</v>
      </c>
      <c r="J98" s="231">
        <v>7550</v>
      </c>
      <c r="K98" s="231">
        <v>42322</v>
      </c>
      <c r="L98" s="231"/>
      <c r="M98" s="225">
        <v>0</v>
      </c>
      <c r="N98" s="225">
        <v>0</v>
      </c>
      <c r="O98" s="231">
        <v>0</v>
      </c>
      <c r="P98" s="231">
        <v>0</v>
      </c>
      <c r="Q98" s="231"/>
      <c r="R98" s="392">
        <v>35023</v>
      </c>
      <c r="S98" s="231">
        <v>4699</v>
      </c>
      <c r="T98" s="396">
        <v>39722</v>
      </c>
      <c r="U98" s="231"/>
      <c r="V98" s="396"/>
      <c r="W98" s="396"/>
      <c r="X98" s="396">
        <v>206628</v>
      </c>
      <c r="Y98" s="396">
        <v>14759</v>
      </c>
    </row>
    <row r="99" spans="1:25">
      <c r="A99" s="390">
        <v>91020</v>
      </c>
      <c r="B99" s="391" t="s">
        <v>809</v>
      </c>
      <c r="C99" s="234">
        <v>2.1399999999999998E-5</v>
      </c>
      <c r="D99" s="234">
        <v>2.2900000000000001E-5</v>
      </c>
      <c r="E99" s="231">
        <v>76471</v>
      </c>
      <c r="F99" s="231" t="s">
        <v>1924</v>
      </c>
      <c r="G99" s="392">
        <v>9657</v>
      </c>
      <c r="H99" s="392">
        <v>10761</v>
      </c>
      <c r="I99" s="392">
        <v>5691</v>
      </c>
      <c r="J99" s="231">
        <v>2669</v>
      </c>
      <c r="K99" s="231">
        <v>28778</v>
      </c>
      <c r="L99" s="231"/>
      <c r="M99" s="225">
        <v>0</v>
      </c>
      <c r="N99" s="225">
        <v>0</v>
      </c>
      <c r="O99" s="231">
        <v>6135</v>
      </c>
      <c r="P99" s="231">
        <v>6135</v>
      </c>
      <c r="Q99" s="231"/>
      <c r="R99" s="392">
        <v>26298</v>
      </c>
      <c r="S99" s="231">
        <v>-17</v>
      </c>
      <c r="T99" s="396">
        <v>26281</v>
      </c>
      <c r="U99" s="231"/>
      <c r="V99" s="396"/>
      <c r="W99" s="396"/>
      <c r="X99" s="396">
        <v>155152</v>
      </c>
      <c r="Y99" s="396">
        <v>11082</v>
      </c>
    </row>
    <row r="100" spans="1:25">
      <c r="A100" s="390">
        <v>91021</v>
      </c>
      <c r="B100" s="391" t="s">
        <v>810</v>
      </c>
      <c r="C100" s="234">
        <v>9.5620000000000004E-4</v>
      </c>
      <c r="D100" s="234">
        <v>9.2460000000000003E-4</v>
      </c>
      <c r="E100" s="231">
        <v>3416910</v>
      </c>
      <c r="F100" s="231" t="s">
        <v>1924</v>
      </c>
      <c r="G100" s="392">
        <v>431496</v>
      </c>
      <c r="H100" s="392">
        <v>480839</v>
      </c>
      <c r="I100" s="392">
        <v>254285</v>
      </c>
      <c r="J100" s="231">
        <v>91579</v>
      </c>
      <c r="K100" s="231">
        <v>1258199</v>
      </c>
      <c r="L100" s="231"/>
      <c r="M100" s="225">
        <v>0</v>
      </c>
      <c r="N100" s="225">
        <v>0</v>
      </c>
      <c r="O100" s="231">
        <v>2726</v>
      </c>
      <c r="P100" s="231">
        <v>2726</v>
      </c>
      <c r="Q100" s="231"/>
      <c r="R100" s="392">
        <v>1175050</v>
      </c>
      <c r="S100" s="231">
        <v>21074</v>
      </c>
      <c r="T100" s="396">
        <v>1196124</v>
      </c>
      <c r="U100" s="231"/>
      <c r="V100" s="396"/>
      <c r="W100" s="396"/>
      <c r="X100" s="396">
        <v>6932538</v>
      </c>
      <c r="Y100" s="396">
        <v>495176</v>
      </c>
    </row>
    <row r="101" spans="1:25">
      <c r="A101" s="390">
        <v>91024</v>
      </c>
      <c r="B101" s="391" t="s">
        <v>811</v>
      </c>
      <c r="C101" s="234">
        <v>1.0170000000000001E-4</v>
      </c>
      <c r="D101" s="234">
        <v>9.3599999999999998E-5</v>
      </c>
      <c r="E101" s="231">
        <v>363417</v>
      </c>
      <c r="F101" s="231" t="s">
        <v>1924</v>
      </c>
      <c r="G101" s="392">
        <v>45893</v>
      </c>
      <c r="H101" s="392">
        <v>51141</v>
      </c>
      <c r="I101" s="392">
        <v>27045</v>
      </c>
      <c r="J101" s="231">
        <v>25705</v>
      </c>
      <c r="K101" s="231">
        <v>149784</v>
      </c>
      <c r="L101" s="231"/>
      <c r="M101" s="225">
        <v>0</v>
      </c>
      <c r="N101" s="225">
        <v>0</v>
      </c>
      <c r="O101" s="231">
        <v>0</v>
      </c>
      <c r="P101" s="231">
        <v>0</v>
      </c>
      <c r="Q101" s="231"/>
      <c r="R101" s="392">
        <v>124977</v>
      </c>
      <c r="S101" s="231">
        <v>13314</v>
      </c>
      <c r="T101" s="396">
        <v>138291</v>
      </c>
      <c r="U101" s="231"/>
      <c r="V101" s="396"/>
      <c r="W101" s="396"/>
      <c r="X101" s="396">
        <v>737334</v>
      </c>
      <c r="Y101" s="396">
        <v>52666</v>
      </c>
    </row>
    <row r="102" spans="1:25">
      <c r="A102" s="390">
        <v>91026</v>
      </c>
      <c r="B102" s="391" t="s">
        <v>43</v>
      </c>
      <c r="C102" s="234">
        <v>3.5800000000000003E-5</v>
      </c>
      <c r="D102" s="234">
        <v>3.1099999999999997E-5</v>
      </c>
      <c r="E102" s="231">
        <v>127929</v>
      </c>
      <c r="F102" s="231" t="s">
        <v>1924</v>
      </c>
      <c r="G102" s="392">
        <v>16155</v>
      </c>
      <c r="H102" s="392">
        <v>18003</v>
      </c>
      <c r="I102" s="392">
        <v>9520</v>
      </c>
      <c r="J102" s="231">
        <v>28141</v>
      </c>
      <c r="K102" s="231">
        <v>71819</v>
      </c>
      <c r="L102" s="231"/>
      <c r="M102" s="225">
        <v>0</v>
      </c>
      <c r="N102" s="225">
        <v>0</v>
      </c>
      <c r="O102" s="231">
        <v>0</v>
      </c>
      <c r="P102" s="231">
        <v>0</v>
      </c>
      <c r="Q102" s="231"/>
      <c r="R102" s="392">
        <v>43994</v>
      </c>
      <c r="S102" s="231">
        <v>16410</v>
      </c>
      <c r="T102" s="396">
        <v>60404</v>
      </c>
      <c r="U102" s="231"/>
      <c r="V102" s="396"/>
      <c r="W102" s="396"/>
      <c r="X102" s="396">
        <v>259553</v>
      </c>
      <c r="Y102" s="396">
        <v>18539</v>
      </c>
    </row>
    <row r="103" spans="1:25">
      <c r="A103" s="390">
        <v>91027</v>
      </c>
      <c r="B103" s="391" t="s">
        <v>812</v>
      </c>
      <c r="C103" s="234">
        <v>1.7099999999999999E-5</v>
      </c>
      <c r="D103" s="234">
        <v>1.7E-5</v>
      </c>
      <c r="E103" s="231">
        <v>61106</v>
      </c>
      <c r="F103" s="231" t="s">
        <v>1924</v>
      </c>
      <c r="G103" s="392">
        <v>7717</v>
      </c>
      <c r="H103" s="392">
        <v>8599</v>
      </c>
      <c r="I103" s="392">
        <v>4547</v>
      </c>
      <c r="J103" s="231">
        <v>15946</v>
      </c>
      <c r="K103" s="231">
        <v>36809</v>
      </c>
      <c r="L103" s="231"/>
      <c r="M103" s="225">
        <v>0</v>
      </c>
      <c r="N103" s="225">
        <v>0</v>
      </c>
      <c r="O103" s="231">
        <v>0</v>
      </c>
      <c r="P103" s="231">
        <v>0</v>
      </c>
      <c r="Q103" s="231"/>
      <c r="R103" s="392">
        <v>21014</v>
      </c>
      <c r="S103" s="231">
        <v>8518</v>
      </c>
      <c r="T103" s="396">
        <v>29532</v>
      </c>
      <c r="U103" s="231"/>
      <c r="V103" s="396"/>
      <c r="W103" s="396"/>
      <c r="X103" s="396">
        <v>123977</v>
      </c>
      <c r="Y103" s="396">
        <v>8855</v>
      </c>
    </row>
    <row r="104" spans="1:25">
      <c r="A104" s="390">
        <v>91032</v>
      </c>
      <c r="B104" s="391" t="s">
        <v>813</v>
      </c>
      <c r="C104" s="234">
        <v>2.02E-5</v>
      </c>
      <c r="D104" s="234">
        <v>1.66E-5</v>
      </c>
      <c r="E104" s="231">
        <v>72183</v>
      </c>
      <c r="F104" s="231" t="s">
        <v>1924</v>
      </c>
      <c r="G104" s="392">
        <v>9115</v>
      </c>
      <c r="H104" s="392">
        <v>10158</v>
      </c>
      <c r="I104" s="392">
        <v>5372</v>
      </c>
      <c r="J104" s="231">
        <v>29808</v>
      </c>
      <c r="K104" s="231">
        <v>54453</v>
      </c>
      <c r="L104" s="231"/>
      <c r="M104" s="225">
        <v>0</v>
      </c>
      <c r="N104" s="225">
        <v>0</v>
      </c>
      <c r="O104" s="231">
        <v>0</v>
      </c>
      <c r="P104" s="231">
        <v>0</v>
      </c>
      <c r="Q104" s="231"/>
      <c r="R104" s="392">
        <v>24823</v>
      </c>
      <c r="S104" s="231">
        <v>12431</v>
      </c>
      <c r="T104" s="396">
        <v>37254</v>
      </c>
      <c r="U104" s="231"/>
      <c r="V104" s="396"/>
      <c r="W104" s="396"/>
      <c r="X104" s="396">
        <v>146452</v>
      </c>
      <c r="Y104" s="396">
        <v>10461</v>
      </c>
    </row>
    <row r="105" spans="1:25">
      <c r="A105" s="390">
        <v>91041</v>
      </c>
      <c r="B105" s="391" t="s">
        <v>814</v>
      </c>
      <c r="C105" s="234">
        <v>4.773E-4</v>
      </c>
      <c r="D105" s="234">
        <v>4.3379999999999997E-4</v>
      </c>
      <c r="E105" s="231">
        <v>1705596</v>
      </c>
      <c r="F105" s="231" t="s">
        <v>1924</v>
      </c>
      <c r="G105" s="392">
        <v>215387</v>
      </c>
      <c r="H105" s="392">
        <v>240017</v>
      </c>
      <c r="I105" s="392">
        <v>126930</v>
      </c>
      <c r="J105" s="231">
        <v>22181</v>
      </c>
      <c r="K105" s="231">
        <v>604515</v>
      </c>
      <c r="L105" s="231"/>
      <c r="M105" s="225">
        <v>0</v>
      </c>
      <c r="N105" s="225">
        <v>0</v>
      </c>
      <c r="O105" s="231">
        <v>31390</v>
      </c>
      <c r="P105" s="231">
        <v>31390</v>
      </c>
      <c r="Q105" s="231"/>
      <c r="R105" s="392">
        <v>586542</v>
      </c>
      <c r="S105" s="231">
        <v>-23435</v>
      </c>
      <c r="T105" s="396">
        <v>563107</v>
      </c>
      <c r="U105" s="231"/>
      <c r="V105" s="396"/>
      <c r="W105" s="396"/>
      <c r="X105" s="396">
        <v>3460469</v>
      </c>
      <c r="Y105" s="396">
        <v>247174</v>
      </c>
    </row>
    <row r="106" spans="1:25">
      <c r="A106" s="390">
        <v>91042</v>
      </c>
      <c r="B106" s="391" t="s">
        <v>815</v>
      </c>
      <c r="C106" s="234">
        <v>2.7510000000000002E-4</v>
      </c>
      <c r="D106" s="234">
        <v>2.6259999999999999E-4</v>
      </c>
      <c r="E106" s="231">
        <v>983049</v>
      </c>
      <c r="F106" s="231" t="s">
        <v>1924</v>
      </c>
      <c r="G106" s="392">
        <v>124142</v>
      </c>
      <c r="H106" s="392">
        <v>138338</v>
      </c>
      <c r="I106" s="392">
        <v>73158</v>
      </c>
      <c r="J106" s="231">
        <v>16544</v>
      </c>
      <c r="K106" s="231">
        <v>352182</v>
      </c>
      <c r="L106" s="231"/>
      <c r="M106" s="225">
        <v>0</v>
      </c>
      <c r="N106" s="225">
        <v>0</v>
      </c>
      <c r="O106" s="231">
        <v>9663</v>
      </c>
      <c r="P106" s="231">
        <v>9663</v>
      </c>
      <c r="Q106" s="231"/>
      <c r="R106" s="392">
        <v>338064</v>
      </c>
      <c r="S106" s="231">
        <v>3177</v>
      </c>
      <c r="T106" s="396">
        <v>341241</v>
      </c>
      <c r="U106" s="231"/>
      <c r="V106" s="396"/>
      <c r="W106" s="396"/>
      <c r="X106" s="396">
        <v>1994500</v>
      </c>
      <c r="Y106" s="396">
        <v>142463</v>
      </c>
    </row>
    <row r="107" spans="1:25">
      <c r="A107" s="390">
        <v>91047</v>
      </c>
      <c r="B107" s="391" t="s">
        <v>816</v>
      </c>
      <c r="C107" s="234">
        <v>1.03E-5</v>
      </c>
      <c r="D107" s="234">
        <v>1.15E-5</v>
      </c>
      <c r="E107" s="231">
        <v>36806</v>
      </c>
      <c r="F107" s="231" t="s">
        <v>1924</v>
      </c>
      <c r="G107" s="392">
        <v>4648</v>
      </c>
      <c r="H107" s="392">
        <v>5180</v>
      </c>
      <c r="I107" s="392">
        <v>2739</v>
      </c>
      <c r="J107" s="231">
        <v>13721</v>
      </c>
      <c r="K107" s="231">
        <v>26288</v>
      </c>
      <c r="L107" s="231"/>
      <c r="M107" s="225">
        <v>0</v>
      </c>
      <c r="N107" s="225">
        <v>0</v>
      </c>
      <c r="O107" s="231">
        <v>19</v>
      </c>
      <c r="P107" s="231">
        <v>19</v>
      </c>
      <c r="Q107" s="231"/>
      <c r="R107" s="392">
        <v>12657</v>
      </c>
      <c r="S107" s="231">
        <v>8907</v>
      </c>
      <c r="T107" s="396">
        <v>21564</v>
      </c>
      <c r="U107" s="231"/>
      <c r="V107" s="396"/>
      <c r="W107" s="396"/>
      <c r="X107" s="396">
        <v>74676</v>
      </c>
      <c r="Y107" s="396">
        <v>5334</v>
      </c>
    </row>
    <row r="108" spans="1:25">
      <c r="A108" s="390">
        <v>91051</v>
      </c>
      <c r="B108" s="391" t="s">
        <v>817</v>
      </c>
      <c r="C108" s="234">
        <v>6.2199999999999994E-5</v>
      </c>
      <c r="D108" s="234">
        <v>6.2799999999999995E-5</v>
      </c>
      <c r="E108" s="231">
        <v>222267</v>
      </c>
      <c r="F108" s="231" t="s">
        <v>1924</v>
      </c>
      <c r="G108" s="392">
        <v>28068</v>
      </c>
      <c r="H108" s="392">
        <v>31278</v>
      </c>
      <c r="I108" s="392">
        <v>16541</v>
      </c>
      <c r="J108" s="231">
        <v>2678</v>
      </c>
      <c r="K108" s="231">
        <v>78565</v>
      </c>
      <c r="L108" s="231"/>
      <c r="M108" s="225">
        <v>0</v>
      </c>
      <c r="N108" s="225">
        <v>0</v>
      </c>
      <c r="O108" s="231">
        <v>2438</v>
      </c>
      <c r="P108" s="231">
        <v>2438</v>
      </c>
      <c r="Q108" s="231"/>
      <c r="R108" s="392">
        <v>76436</v>
      </c>
      <c r="S108" s="231">
        <v>-1418</v>
      </c>
      <c r="T108" s="396">
        <v>75018</v>
      </c>
      <c r="U108" s="231"/>
      <c r="V108" s="396"/>
      <c r="W108" s="396"/>
      <c r="X108" s="396">
        <v>450956</v>
      </c>
      <c r="Y108" s="396">
        <v>32211</v>
      </c>
    </row>
    <row r="109" spans="1:25">
      <c r="A109" s="390">
        <v>91057</v>
      </c>
      <c r="B109" s="391" t="s">
        <v>818</v>
      </c>
      <c r="C109" s="234">
        <v>1.1E-5</v>
      </c>
      <c r="D109" s="234">
        <v>1.5699999999999999E-5</v>
      </c>
      <c r="E109" s="231">
        <v>39308</v>
      </c>
      <c r="F109" s="231" t="s">
        <v>1924</v>
      </c>
      <c r="G109" s="392">
        <v>4964</v>
      </c>
      <c r="H109" s="392">
        <v>5531</v>
      </c>
      <c r="I109" s="392">
        <v>2925</v>
      </c>
      <c r="J109" s="231">
        <v>5681</v>
      </c>
      <c r="K109" s="231">
        <v>19101</v>
      </c>
      <c r="L109" s="231"/>
      <c r="M109" s="225">
        <v>0</v>
      </c>
      <c r="N109" s="225">
        <v>0</v>
      </c>
      <c r="O109" s="231">
        <v>2506</v>
      </c>
      <c r="P109" s="231">
        <v>2506</v>
      </c>
      <c r="Q109" s="231"/>
      <c r="R109" s="392">
        <v>13518</v>
      </c>
      <c r="S109" s="231">
        <v>2221</v>
      </c>
      <c r="T109" s="396">
        <v>15739</v>
      </c>
      <c r="U109" s="231"/>
      <c r="V109" s="396"/>
      <c r="W109" s="396"/>
      <c r="X109" s="396">
        <v>79751</v>
      </c>
      <c r="Y109" s="396">
        <v>5696</v>
      </c>
    </row>
    <row r="110" spans="1:25">
      <c r="A110" s="390">
        <v>91061</v>
      </c>
      <c r="B110" s="391" t="s">
        <v>819</v>
      </c>
      <c r="C110" s="234">
        <v>3.7950000000000001E-4</v>
      </c>
      <c r="D110" s="234">
        <v>3.8039999999999998E-4</v>
      </c>
      <c r="E110" s="231">
        <v>1356115</v>
      </c>
      <c r="F110" s="231" t="s">
        <v>1924</v>
      </c>
      <c r="G110" s="392">
        <v>171254</v>
      </c>
      <c r="H110" s="392">
        <v>190837</v>
      </c>
      <c r="I110" s="392">
        <v>100922</v>
      </c>
      <c r="J110" s="231">
        <v>5377</v>
      </c>
      <c r="K110" s="231">
        <v>468390</v>
      </c>
      <c r="L110" s="231"/>
      <c r="M110" s="225">
        <v>0</v>
      </c>
      <c r="N110" s="225">
        <v>0</v>
      </c>
      <c r="O110" s="231">
        <v>25253</v>
      </c>
      <c r="P110" s="231">
        <v>25253</v>
      </c>
      <c r="Q110" s="231"/>
      <c r="R110" s="392">
        <v>466358</v>
      </c>
      <c r="S110" s="231">
        <v>-4310</v>
      </c>
      <c r="T110" s="396">
        <v>462048</v>
      </c>
      <c r="U110" s="231"/>
      <c r="V110" s="396"/>
      <c r="W110" s="396"/>
      <c r="X110" s="396">
        <v>2751410</v>
      </c>
      <c r="Y110" s="396">
        <v>196527</v>
      </c>
    </row>
    <row r="111" spans="1:25">
      <c r="A111" s="390">
        <v>91067</v>
      </c>
      <c r="B111" s="391" t="s">
        <v>820</v>
      </c>
      <c r="C111" s="234">
        <v>1.5400000000000002E-5</v>
      </c>
      <c r="D111" s="234">
        <v>1.6200000000000001E-5</v>
      </c>
      <c r="E111" s="231">
        <v>55031</v>
      </c>
      <c r="F111" s="231" t="s">
        <v>1924</v>
      </c>
      <c r="G111" s="392">
        <v>6949</v>
      </c>
      <c r="H111" s="392">
        <v>7744</v>
      </c>
      <c r="I111" s="392">
        <v>4095</v>
      </c>
      <c r="J111" s="231">
        <v>1757</v>
      </c>
      <c r="K111" s="231">
        <v>20545</v>
      </c>
      <c r="L111" s="231"/>
      <c r="M111" s="225">
        <v>0</v>
      </c>
      <c r="N111" s="225">
        <v>0</v>
      </c>
      <c r="O111" s="231">
        <v>101</v>
      </c>
      <c r="P111" s="231">
        <v>101</v>
      </c>
      <c r="Q111" s="231"/>
      <c r="R111" s="392">
        <v>18925</v>
      </c>
      <c r="S111" s="231">
        <v>936</v>
      </c>
      <c r="T111" s="396">
        <v>19861</v>
      </c>
      <c r="U111" s="231"/>
      <c r="V111" s="396"/>
      <c r="W111" s="396"/>
      <c r="X111" s="396">
        <v>111651</v>
      </c>
      <c r="Y111" s="396">
        <v>7975</v>
      </c>
    </row>
    <row r="112" spans="1:25">
      <c r="A112" s="390">
        <v>91071</v>
      </c>
      <c r="B112" s="391" t="s">
        <v>821</v>
      </c>
      <c r="C112" s="234">
        <v>2.186E-4</v>
      </c>
      <c r="D112" s="234">
        <v>2.4489999999999999E-4</v>
      </c>
      <c r="E112" s="231">
        <v>781151</v>
      </c>
      <c r="F112" s="231" t="s">
        <v>1924</v>
      </c>
      <c r="G112" s="392">
        <v>98646</v>
      </c>
      <c r="H112" s="392">
        <v>109926</v>
      </c>
      <c r="I112" s="392">
        <v>58133</v>
      </c>
      <c r="J112" s="231">
        <v>0</v>
      </c>
      <c r="K112" s="231">
        <v>266705</v>
      </c>
      <c r="L112" s="231"/>
      <c r="M112" s="225">
        <v>0</v>
      </c>
      <c r="N112" s="225">
        <v>0</v>
      </c>
      <c r="O112" s="231">
        <v>34332</v>
      </c>
      <c r="P112" s="231">
        <v>34332</v>
      </c>
      <c r="Q112" s="231"/>
      <c r="R112" s="392">
        <v>268632</v>
      </c>
      <c r="S112" s="231">
        <v>-15274</v>
      </c>
      <c r="T112" s="396">
        <v>253358</v>
      </c>
      <c r="U112" s="231"/>
      <c r="V112" s="396"/>
      <c r="W112" s="396"/>
      <c r="X112" s="396">
        <v>1584870</v>
      </c>
      <c r="Y112" s="396">
        <v>113204</v>
      </c>
    </row>
    <row r="113" spans="1:25">
      <c r="A113" s="390">
        <v>91077</v>
      </c>
      <c r="B113" s="391" t="s">
        <v>822</v>
      </c>
      <c r="C113" s="234">
        <v>1.1600000000000001E-5</v>
      </c>
      <c r="D113" s="234">
        <v>5.9000000000000003E-6</v>
      </c>
      <c r="E113" s="231">
        <v>41452</v>
      </c>
      <c r="F113" s="231" t="s">
        <v>1924</v>
      </c>
      <c r="G113" s="392">
        <v>5235</v>
      </c>
      <c r="H113" s="392">
        <v>5833</v>
      </c>
      <c r="I113" s="392">
        <v>3085</v>
      </c>
      <c r="J113" s="231">
        <v>11113</v>
      </c>
      <c r="K113" s="231">
        <v>25266</v>
      </c>
      <c r="L113" s="231"/>
      <c r="M113" s="225">
        <v>0</v>
      </c>
      <c r="N113" s="225">
        <v>0</v>
      </c>
      <c r="O113" s="231">
        <v>0</v>
      </c>
      <c r="P113" s="231">
        <v>0</v>
      </c>
      <c r="Q113" s="231"/>
      <c r="R113" s="392">
        <v>14255</v>
      </c>
      <c r="S113" s="231">
        <v>4072</v>
      </c>
      <c r="T113" s="396">
        <v>18327</v>
      </c>
      <c r="U113" s="231"/>
      <c r="V113" s="396"/>
      <c r="W113" s="396"/>
      <c r="X113" s="396">
        <v>84101</v>
      </c>
      <c r="Y113" s="396">
        <v>6007</v>
      </c>
    </row>
    <row r="114" spans="1:25">
      <c r="A114" s="390">
        <v>91081</v>
      </c>
      <c r="B114" s="391" t="s">
        <v>823</v>
      </c>
      <c r="C114" s="234">
        <v>4.2880000000000001E-4</v>
      </c>
      <c r="D114" s="234">
        <v>4.2739999999999998E-4</v>
      </c>
      <c r="E114" s="231">
        <v>1532285</v>
      </c>
      <c r="F114" s="231" t="s">
        <v>1924</v>
      </c>
      <c r="G114" s="392">
        <v>193501</v>
      </c>
      <c r="H114" s="392">
        <v>215628</v>
      </c>
      <c r="I114" s="392">
        <v>114032</v>
      </c>
      <c r="J114" s="231">
        <v>21270</v>
      </c>
      <c r="K114" s="231">
        <v>544431</v>
      </c>
      <c r="L114" s="231"/>
      <c r="M114" s="225">
        <v>0</v>
      </c>
      <c r="N114" s="225">
        <v>0</v>
      </c>
      <c r="O114" s="231">
        <v>5134</v>
      </c>
      <c r="P114" s="231">
        <v>5134</v>
      </c>
      <c r="Q114" s="231"/>
      <c r="R114" s="392">
        <v>526942</v>
      </c>
      <c r="S114" s="231">
        <v>7304</v>
      </c>
      <c r="T114" s="396">
        <v>534246</v>
      </c>
      <c r="U114" s="231"/>
      <c r="V114" s="396"/>
      <c r="W114" s="396"/>
      <c r="X114" s="396">
        <v>3108839</v>
      </c>
      <c r="Y114" s="396">
        <v>222058</v>
      </c>
    </row>
    <row r="115" spans="1:25">
      <c r="A115" s="390">
        <v>91091</v>
      </c>
      <c r="B115" s="391" t="s">
        <v>824</v>
      </c>
      <c r="C115" s="234">
        <v>5.6079999999999997E-4</v>
      </c>
      <c r="D115" s="234">
        <v>5.4540000000000003E-4</v>
      </c>
      <c r="E115" s="231">
        <v>2003977</v>
      </c>
      <c r="F115" s="231" t="s">
        <v>1924</v>
      </c>
      <c r="G115" s="392">
        <v>253067</v>
      </c>
      <c r="H115" s="392">
        <v>282006</v>
      </c>
      <c r="I115" s="392">
        <v>149135</v>
      </c>
      <c r="J115" s="231">
        <v>39220</v>
      </c>
      <c r="K115" s="231">
        <v>723428</v>
      </c>
      <c r="L115" s="231"/>
      <c r="M115" s="225">
        <v>0</v>
      </c>
      <c r="N115" s="225">
        <v>0</v>
      </c>
      <c r="O115" s="231">
        <v>22626</v>
      </c>
      <c r="P115" s="231">
        <v>22626</v>
      </c>
      <c r="Q115" s="231"/>
      <c r="R115" s="392">
        <v>689153</v>
      </c>
      <c r="S115" s="231">
        <v>-3925</v>
      </c>
      <c r="T115" s="396">
        <v>685228</v>
      </c>
      <c r="U115" s="231"/>
      <c r="V115" s="396"/>
      <c r="W115" s="396"/>
      <c r="X115" s="396">
        <v>4065852</v>
      </c>
      <c r="Y115" s="396">
        <v>290415</v>
      </c>
    </row>
    <row r="116" spans="1:25">
      <c r="A116" s="390">
        <v>91101</v>
      </c>
      <c r="B116" s="391" t="s">
        <v>825</v>
      </c>
      <c r="C116" s="234">
        <v>1.2932900000000001E-2</v>
      </c>
      <c r="D116" s="234">
        <v>1.32874E-2</v>
      </c>
      <c r="E116" s="231">
        <v>46214761</v>
      </c>
      <c r="F116" s="231" t="s">
        <v>1924</v>
      </c>
      <c r="G116" s="392">
        <v>5836113</v>
      </c>
      <c r="H116" s="392">
        <v>6503490</v>
      </c>
      <c r="I116" s="392">
        <v>3439285</v>
      </c>
      <c r="J116" s="231">
        <v>0</v>
      </c>
      <c r="K116" s="231">
        <v>15778888</v>
      </c>
      <c r="L116" s="231"/>
      <c r="M116" s="225">
        <v>0</v>
      </c>
      <c r="N116" s="225">
        <v>0</v>
      </c>
      <c r="O116" s="231">
        <v>1219673</v>
      </c>
      <c r="P116" s="231">
        <v>1219673</v>
      </c>
      <c r="Q116" s="231"/>
      <c r="R116" s="392">
        <v>15892917</v>
      </c>
      <c r="S116" s="231">
        <v>-554318</v>
      </c>
      <c r="T116" s="396">
        <v>15338599</v>
      </c>
      <c r="U116" s="231"/>
      <c r="V116" s="396"/>
      <c r="W116" s="396"/>
      <c r="X116" s="396">
        <v>93764715</v>
      </c>
      <c r="Y116" s="396">
        <v>6697406</v>
      </c>
    </row>
    <row r="117" spans="1:25">
      <c r="A117" s="390">
        <v>91102</v>
      </c>
      <c r="B117" s="391" t="s">
        <v>826</v>
      </c>
      <c r="C117" s="234">
        <v>2.8190000000000002E-4</v>
      </c>
      <c r="D117" s="234">
        <v>3.279E-4</v>
      </c>
      <c r="E117" s="231">
        <v>1007349</v>
      </c>
      <c r="F117" s="231" t="s">
        <v>1924</v>
      </c>
      <c r="G117" s="392">
        <v>127210</v>
      </c>
      <c r="H117" s="392">
        <v>141758</v>
      </c>
      <c r="I117" s="392">
        <v>74967</v>
      </c>
      <c r="J117" s="231">
        <v>5544</v>
      </c>
      <c r="K117" s="231">
        <v>349479</v>
      </c>
      <c r="L117" s="231"/>
      <c r="M117" s="225">
        <v>0</v>
      </c>
      <c r="N117" s="225">
        <v>0</v>
      </c>
      <c r="O117" s="231">
        <v>52694</v>
      </c>
      <c r="P117" s="231">
        <v>52694</v>
      </c>
      <c r="Q117" s="231"/>
      <c r="R117" s="392">
        <v>346420</v>
      </c>
      <c r="S117" s="231">
        <v>-8206</v>
      </c>
      <c r="T117" s="396">
        <v>338214</v>
      </c>
      <c r="U117" s="231"/>
      <c r="V117" s="396"/>
      <c r="W117" s="396"/>
      <c r="X117" s="396">
        <v>2043801</v>
      </c>
      <c r="Y117" s="396">
        <v>145984</v>
      </c>
    </row>
    <row r="118" spans="1:25">
      <c r="A118" s="390">
        <v>91104</v>
      </c>
      <c r="B118" s="391" t="s">
        <v>827</v>
      </c>
      <c r="C118" s="234">
        <v>1.7499999999999998E-5</v>
      </c>
      <c r="D118" s="234">
        <v>1.66E-5</v>
      </c>
      <c r="E118" s="231">
        <v>62535</v>
      </c>
      <c r="F118" s="231" t="s">
        <v>1924</v>
      </c>
      <c r="G118" s="392">
        <v>7897</v>
      </c>
      <c r="H118" s="392">
        <v>8800</v>
      </c>
      <c r="I118" s="392">
        <v>4654</v>
      </c>
      <c r="J118" s="231">
        <v>12276</v>
      </c>
      <c r="K118" s="231">
        <v>33627</v>
      </c>
      <c r="L118" s="231"/>
      <c r="M118" s="225">
        <v>0</v>
      </c>
      <c r="N118" s="225">
        <v>0</v>
      </c>
      <c r="O118" s="231">
        <v>0</v>
      </c>
      <c r="P118" s="231">
        <v>0</v>
      </c>
      <c r="Q118" s="231"/>
      <c r="R118" s="392">
        <v>21505</v>
      </c>
      <c r="S118" s="231">
        <v>4738</v>
      </c>
      <c r="T118" s="396">
        <v>26243</v>
      </c>
      <c r="U118" s="231"/>
      <c r="V118" s="396"/>
      <c r="W118" s="396"/>
      <c r="X118" s="396">
        <v>126877</v>
      </c>
      <c r="Y118" s="396">
        <v>9063</v>
      </c>
    </row>
    <row r="119" spans="1:25">
      <c r="A119" s="390">
        <v>91107</v>
      </c>
      <c r="B119" s="391" t="s">
        <v>1932</v>
      </c>
      <c r="C119" s="234">
        <v>3.8999999999999999E-5</v>
      </c>
      <c r="D119" s="234">
        <v>5.4500000000000003E-5</v>
      </c>
      <c r="E119" s="231">
        <v>139364</v>
      </c>
      <c r="F119" s="231" t="s">
        <v>1924</v>
      </c>
      <c r="G119" s="392">
        <v>17599</v>
      </c>
      <c r="H119" s="392">
        <v>19612</v>
      </c>
      <c r="I119" s="392">
        <v>10371</v>
      </c>
      <c r="J119" s="231">
        <v>7582</v>
      </c>
      <c r="K119" s="231">
        <v>55164</v>
      </c>
      <c r="L119" s="231"/>
      <c r="M119" s="225">
        <v>0</v>
      </c>
      <c r="N119" s="225">
        <v>0</v>
      </c>
      <c r="O119" s="231">
        <v>10013</v>
      </c>
      <c r="P119" s="231">
        <v>10013</v>
      </c>
      <c r="Q119" s="231"/>
      <c r="R119" s="392">
        <v>47926</v>
      </c>
      <c r="S119" s="231">
        <v>1514</v>
      </c>
      <c r="T119" s="396">
        <v>49440</v>
      </c>
      <c r="U119" s="231"/>
      <c r="V119" s="396"/>
      <c r="W119" s="396"/>
      <c r="X119" s="396">
        <v>282754</v>
      </c>
      <c r="Y119" s="396">
        <v>20196</v>
      </c>
    </row>
    <row r="120" spans="1:25">
      <c r="A120" s="390">
        <v>91108</v>
      </c>
      <c r="B120" s="391" t="s">
        <v>829</v>
      </c>
      <c r="C120" s="234">
        <v>1.1678999999999999E-3</v>
      </c>
      <c r="D120" s="234">
        <v>1.1929E-3</v>
      </c>
      <c r="E120" s="231">
        <v>4173404</v>
      </c>
      <c r="F120" s="231" t="s">
        <v>1924</v>
      </c>
      <c r="G120" s="392">
        <v>527028</v>
      </c>
      <c r="H120" s="392">
        <v>587294</v>
      </c>
      <c r="I120" s="392">
        <v>310583</v>
      </c>
      <c r="J120" s="231">
        <v>52032</v>
      </c>
      <c r="K120" s="231">
        <v>1476937</v>
      </c>
      <c r="L120" s="231"/>
      <c r="M120" s="225">
        <v>0</v>
      </c>
      <c r="N120" s="225">
        <v>0</v>
      </c>
      <c r="O120" s="231">
        <v>16801</v>
      </c>
      <c r="P120" s="231">
        <v>16801</v>
      </c>
      <c r="Q120" s="231"/>
      <c r="R120" s="392">
        <v>1435203</v>
      </c>
      <c r="S120" s="231">
        <v>23812</v>
      </c>
      <c r="T120" s="396">
        <v>1459015</v>
      </c>
      <c r="U120" s="231"/>
      <c r="V120" s="396"/>
      <c r="W120" s="396"/>
      <c r="X120" s="396">
        <v>8467382</v>
      </c>
      <c r="Y120" s="396">
        <v>604806</v>
      </c>
    </row>
    <row r="121" spans="1:25">
      <c r="A121" s="390">
        <v>91109</v>
      </c>
      <c r="B121" s="391" t="s">
        <v>830</v>
      </c>
      <c r="C121" s="234">
        <v>9.8599999999999998E-5</v>
      </c>
      <c r="D121" s="234">
        <v>9.8300000000000004E-5</v>
      </c>
      <c r="E121" s="231">
        <v>352340</v>
      </c>
      <c r="F121" s="231" t="s">
        <v>1924</v>
      </c>
      <c r="G121" s="392">
        <v>44494</v>
      </c>
      <c r="H121" s="392">
        <v>49582</v>
      </c>
      <c r="I121" s="392">
        <v>26221</v>
      </c>
      <c r="J121" s="231">
        <v>3753</v>
      </c>
      <c r="K121" s="231">
        <v>124050</v>
      </c>
      <c r="L121" s="231"/>
      <c r="M121" s="225">
        <v>0</v>
      </c>
      <c r="N121" s="225">
        <v>0</v>
      </c>
      <c r="O121" s="231">
        <v>0</v>
      </c>
      <c r="P121" s="231">
        <v>0</v>
      </c>
      <c r="Q121" s="231"/>
      <c r="R121" s="392">
        <v>121167</v>
      </c>
      <c r="S121" s="231">
        <v>2175</v>
      </c>
      <c r="T121" s="396">
        <v>123342</v>
      </c>
      <c r="U121" s="231"/>
      <c r="V121" s="396"/>
      <c r="W121" s="396"/>
      <c r="X121" s="396">
        <v>714859</v>
      </c>
      <c r="Y121" s="396">
        <v>51061</v>
      </c>
    </row>
    <row r="122" spans="1:25">
      <c r="A122" s="390">
        <v>91111</v>
      </c>
      <c r="B122" s="391" t="s">
        <v>831</v>
      </c>
      <c r="C122" s="234">
        <v>2.0149999999999999E-4</v>
      </c>
      <c r="D122" s="234">
        <v>1.973E-4</v>
      </c>
      <c r="E122" s="231">
        <v>720045</v>
      </c>
      <c r="F122" s="231" t="s">
        <v>1924</v>
      </c>
      <c r="G122" s="392">
        <v>90929</v>
      </c>
      <c r="H122" s="392">
        <v>101327</v>
      </c>
      <c r="I122" s="392">
        <v>53585</v>
      </c>
      <c r="J122" s="231">
        <v>23018</v>
      </c>
      <c r="K122" s="231">
        <v>268859</v>
      </c>
      <c r="L122" s="231"/>
      <c r="M122" s="225">
        <v>0</v>
      </c>
      <c r="N122" s="225">
        <v>0</v>
      </c>
      <c r="O122" s="231">
        <v>14470</v>
      </c>
      <c r="P122" s="231">
        <v>14470</v>
      </c>
      <c r="Q122" s="231"/>
      <c r="R122" s="392">
        <v>247618</v>
      </c>
      <c r="S122" s="231">
        <v>6082</v>
      </c>
      <c r="T122" s="396">
        <v>253700</v>
      </c>
      <c r="U122" s="231"/>
      <c r="V122" s="396"/>
      <c r="W122" s="396"/>
      <c r="X122" s="396">
        <v>1460894</v>
      </c>
      <c r="Y122" s="396">
        <v>104348</v>
      </c>
    </row>
    <row r="123" spans="1:25">
      <c r="A123" s="390">
        <v>91119</v>
      </c>
      <c r="B123" s="391" t="s">
        <v>48</v>
      </c>
      <c r="C123" s="234">
        <v>0</v>
      </c>
      <c r="D123" s="234">
        <v>0</v>
      </c>
      <c r="E123" s="231">
        <v>0</v>
      </c>
      <c r="F123" s="231" t="s">
        <v>1924</v>
      </c>
      <c r="G123" s="392">
        <v>0</v>
      </c>
      <c r="H123" s="392">
        <v>0</v>
      </c>
      <c r="I123" s="392">
        <v>0</v>
      </c>
      <c r="J123" s="231">
        <v>0</v>
      </c>
      <c r="K123" s="231">
        <v>0</v>
      </c>
      <c r="L123" s="231"/>
      <c r="M123" s="225">
        <v>0</v>
      </c>
      <c r="N123" s="225">
        <v>0</v>
      </c>
      <c r="O123" s="231">
        <v>0</v>
      </c>
      <c r="P123" s="231">
        <v>0</v>
      </c>
      <c r="Q123" s="231"/>
      <c r="R123" s="392">
        <v>0</v>
      </c>
      <c r="S123" s="231">
        <v>0</v>
      </c>
      <c r="T123" s="396">
        <v>0</v>
      </c>
      <c r="U123" s="231"/>
      <c r="V123" s="396"/>
      <c r="W123" s="396"/>
      <c r="X123" s="396">
        <v>0</v>
      </c>
      <c r="Y123" s="396">
        <v>0</v>
      </c>
    </row>
    <row r="124" spans="1:25">
      <c r="A124" s="390">
        <v>91120</v>
      </c>
      <c r="B124" s="391" t="s">
        <v>832</v>
      </c>
      <c r="C124" s="234">
        <v>2.6830000000000002E-4</v>
      </c>
      <c r="D124" s="234">
        <v>1.807E-4</v>
      </c>
      <c r="E124" s="231">
        <v>958750</v>
      </c>
      <c r="F124" s="231" t="s">
        <v>1924</v>
      </c>
      <c r="G124" s="392">
        <v>121073</v>
      </c>
      <c r="H124" s="392">
        <v>134919</v>
      </c>
      <c r="I124" s="392">
        <v>71350</v>
      </c>
      <c r="J124" s="231">
        <v>92496</v>
      </c>
      <c r="K124" s="231">
        <v>419838</v>
      </c>
      <c r="L124" s="231"/>
      <c r="M124" s="225">
        <v>0</v>
      </c>
      <c r="N124" s="225">
        <v>0</v>
      </c>
      <c r="O124" s="231">
        <v>6336</v>
      </c>
      <c r="P124" s="231">
        <v>6336</v>
      </c>
      <c r="Q124" s="231"/>
      <c r="R124" s="392">
        <v>329707</v>
      </c>
      <c r="S124" s="231">
        <v>26418</v>
      </c>
      <c r="T124" s="396">
        <v>356125</v>
      </c>
      <c r="U124" s="231"/>
      <c r="V124" s="396"/>
      <c r="W124" s="396"/>
      <c r="X124" s="396">
        <v>1945200</v>
      </c>
      <c r="Y124" s="396">
        <v>138941</v>
      </c>
    </row>
    <row r="125" spans="1:25">
      <c r="A125" s="390">
        <v>91121</v>
      </c>
      <c r="B125" s="391" t="s">
        <v>833</v>
      </c>
      <c r="C125" s="234">
        <v>1.04712E-2</v>
      </c>
      <c r="D125" s="234">
        <v>1.03844E-2</v>
      </c>
      <c r="E125" s="231">
        <v>37418058</v>
      </c>
      <c r="F125" s="231" t="s">
        <v>1924</v>
      </c>
      <c r="G125" s="392">
        <v>4725244</v>
      </c>
      <c r="H125" s="392">
        <v>5265589</v>
      </c>
      <c r="I125" s="392">
        <v>2784638</v>
      </c>
      <c r="J125" s="231">
        <v>0</v>
      </c>
      <c r="K125" s="231">
        <v>12775471</v>
      </c>
      <c r="L125" s="231"/>
      <c r="M125" s="225">
        <v>0</v>
      </c>
      <c r="N125" s="225">
        <v>0</v>
      </c>
      <c r="O125" s="231">
        <v>491973</v>
      </c>
      <c r="P125" s="231">
        <v>491973</v>
      </c>
      <c r="Q125" s="231"/>
      <c r="R125" s="392">
        <v>12867796</v>
      </c>
      <c r="S125" s="231">
        <v>-291985</v>
      </c>
      <c r="T125" s="396">
        <v>12575811</v>
      </c>
      <c r="U125" s="231"/>
      <c r="V125" s="396"/>
      <c r="W125" s="396"/>
      <c r="X125" s="396">
        <v>75917163</v>
      </c>
      <c r="Y125" s="396">
        <v>5422595</v>
      </c>
    </row>
    <row r="126" spans="1:25">
      <c r="A126" s="390">
        <v>91127</v>
      </c>
      <c r="B126" s="391" t="s">
        <v>834</v>
      </c>
      <c r="C126" s="234">
        <v>2.8170000000000002E-4</v>
      </c>
      <c r="D126" s="234">
        <v>2.7989999999999997E-4</v>
      </c>
      <c r="E126" s="231">
        <v>1006634</v>
      </c>
      <c r="F126" s="231" t="s">
        <v>1924</v>
      </c>
      <c r="G126" s="392">
        <v>127120</v>
      </c>
      <c r="H126" s="392">
        <v>141656</v>
      </c>
      <c r="I126" s="392">
        <v>74913</v>
      </c>
      <c r="J126" s="231">
        <v>52813</v>
      </c>
      <c r="K126" s="231">
        <v>396502</v>
      </c>
      <c r="L126" s="231"/>
      <c r="M126" s="225">
        <v>0</v>
      </c>
      <c r="N126" s="225">
        <v>0</v>
      </c>
      <c r="O126" s="231">
        <v>0</v>
      </c>
      <c r="P126" s="231">
        <v>0</v>
      </c>
      <c r="Q126" s="231"/>
      <c r="R126" s="392">
        <v>346174</v>
      </c>
      <c r="S126" s="231">
        <v>25804</v>
      </c>
      <c r="T126" s="396">
        <v>371978</v>
      </c>
      <c r="U126" s="231"/>
      <c r="V126" s="396"/>
      <c r="W126" s="396"/>
      <c r="X126" s="396">
        <v>2042351</v>
      </c>
      <c r="Y126" s="396">
        <v>145881</v>
      </c>
    </row>
    <row r="127" spans="1:25">
      <c r="A127" s="390">
        <v>91128</v>
      </c>
      <c r="B127" s="391" t="s">
        <v>835</v>
      </c>
      <c r="C127" s="234">
        <v>5.1889999999999998E-4</v>
      </c>
      <c r="D127" s="234">
        <v>4.6710000000000002E-4</v>
      </c>
      <c r="E127" s="231">
        <v>1854251</v>
      </c>
      <c r="F127" s="231" t="s">
        <v>1924</v>
      </c>
      <c r="G127" s="392">
        <v>234159</v>
      </c>
      <c r="H127" s="392">
        <v>260936</v>
      </c>
      <c r="I127" s="392">
        <v>137993</v>
      </c>
      <c r="J127" s="231">
        <v>77937</v>
      </c>
      <c r="K127" s="231">
        <v>711025</v>
      </c>
      <c r="L127" s="231"/>
      <c r="M127" s="225">
        <v>0</v>
      </c>
      <c r="N127" s="225">
        <v>0</v>
      </c>
      <c r="O127" s="231">
        <v>23048</v>
      </c>
      <c r="P127" s="231">
        <v>23048</v>
      </c>
      <c r="Q127" s="231"/>
      <c r="R127" s="392">
        <v>637663</v>
      </c>
      <c r="S127" s="231">
        <v>19134</v>
      </c>
      <c r="T127" s="396">
        <v>656797</v>
      </c>
      <c r="U127" s="231"/>
      <c r="V127" s="396"/>
      <c r="W127" s="396"/>
      <c r="X127" s="396">
        <v>3762073</v>
      </c>
      <c r="Y127" s="396">
        <v>268717</v>
      </c>
    </row>
    <row r="128" spans="1:25">
      <c r="A128" s="390">
        <v>91138</v>
      </c>
      <c r="B128" s="391" t="s">
        <v>836</v>
      </c>
      <c r="C128" s="234">
        <v>4.5300000000000001E-4</v>
      </c>
      <c r="D128" s="234">
        <v>4.8010000000000001E-4</v>
      </c>
      <c r="E128" s="231">
        <v>1618762</v>
      </c>
      <c r="F128" s="231" t="s">
        <v>1924</v>
      </c>
      <c r="G128" s="392">
        <v>204421</v>
      </c>
      <c r="H128" s="392">
        <v>227798</v>
      </c>
      <c r="I128" s="392">
        <v>120468</v>
      </c>
      <c r="J128" s="231">
        <v>0</v>
      </c>
      <c r="K128" s="231">
        <v>552687</v>
      </c>
      <c r="L128" s="231"/>
      <c r="M128" s="225">
        <v>0</v>
      </c>
      <c r="N128" s="225">
        <v>0</v>
      </c>
      <c r="O128" s="231">
        <v>164406</v>
      </c>
      <c r="P128" s="231">
        <v>164406</v>
      </c>
      <c r="Q128" s="231"/>
      <c r="R128" s="392">
        <v>556680</v>
      </c>
      <c r="S128" s="231">
        <v>-90888</v>
      </c>
      <c r="T128" s="396">
        <v>465792</v>
      </c>
      <c r="U128" s="231"/>
      <c r="V128" s="396"/>
      <c r="W128" s="396"/>
      <c r="X128" s="396">
        <v>3284292</v>
      </c>
      <c r="Y128" s="396">
        <v>234590</v>
      </c>
    </row>
    <row r="129" spans="1:25">
      <c r="A129" s="390">
        <v>91141</v>
      </c>
      <c r="B129" s="391" t="s">
        <v>837</v>
      </c>
      <c r="C129" s="234">
        <v>6.3380000000000001E-4</v>
      </c>
      <c r="D129" s="234">
        <v>6.3610000000000001E-4</v>
      </c>
      <c r="E129" s="231">
        <v>2264837</v>
      </c>
      <c r="F129" s="231" t="s">
        <v>1924</v>
      </c>
      <c r="G129" s="392">
        <v>286009</v>
      </c>
      <c r="H129" s="392">
        <v>318716</v>
      </c>
      <c r="I129" s="392">
        <v>168548</v>
      </c>
      <c r="J129" s="231">
        <v>23203</v>
      </c>
      <c r="K129" s="231">
        <v>796476</v>
      </c>
      <c r="L129" s="231"/>
      <c r="M129" s="225">
        <v>0</v>
      </c>
      <c r="N129" s="225">
        <v>0</v>
      </c>
      <c r="O129" s="231">
        <v>65041</v>
      </c>
      <c r="P129" s="231">
        <v>65041</v>
      </c>
      <c r="Q129" s="231"/>
      <c r="R129" s="392">
        <v>778861</v>
      </c>
      <c r="S129" s="231">
        <v>-28413</v>
      </c>
      <c r="T129" s="396">
        <v>750448</v>
      </c>
      <c r="U129" s="231"/>
      <c r="V129" s="396"/>
      <c r="W129" s="396"/>
      <c r="X129" s="396">
        <v>4595108</v>
      </c>
      <c r="Y129" s="396">
        <v>328218</v>
      </c>
    </row>
    <row r="130" spans="1:25">
      <c r="A130" s="390">
        <v>91147</v>
      </c>
      <c r="B130" s="391" t="s">
        <v>838</v>
      </c>
      <c r="C130" s="234">
        <v>2.8399999999999999E-5</v>
      </c>
      <c r="D130" s="234">
        <v>2.5400000000000001E-5</v>
      </c>
      <c r="E130" s="231">
        <v>101485</v>
      </c>
      <c r="F130" s="231" t="s">
        <v>1924</v>
      </c>
      <c r="G130" s="392">
        <v>12816</v>
      </c>
      <c r="H130" s="392">
        <v>14281</v>
      </c>
      <c r="I130" s="392">
        <v>7552</v>
      </c>
      <c r="J130" s="231">
        <v>6727</v>
      </c>
      <c r="K130" s="231">
        <v>41376</v>
      </c>
      <c r="L130" s="231"/>
      <c r="M130" s="225">
        <v>0</v>
      </c>
      <c r="N130" s="225">
        <v>0</v>
      </c>
      <c r="O130" s="231">
        <v>406</v>
      </c>
      <c r="P130" s="231">
        <v>406</v>
      </c>
      <c r="Q130" s="231"/>
      <c r="R130" s="392">
        <v>34900</v>
      </c>
      <c r="S130" s="231">
        <v>2925</v>
      </c>
      <c r="T130" s="396">
        <v>37825</v>
      </c>
      <c r="U130" s="231"/>
      <c r="V130" s="396"/>
      <c r="W130" s="396"/>
      <c r="X130" s="396">
        <v>205903</v>
      </c>
      <c r="Y130" s="396">
        <v>14707</v>
      </c>
    </row>
    <row r="131" spans="1:25">
      <c r="A131" s="390">
        <v>91151</v>
      </c>
      <c r="B131" s="391" t="s">
        <v>839</v>
      </c>
      <c r="C131" s="234">
        <v>6.0360000000000003E-4</v>
      </c>
      <c r="D131" s="234">
        <v>5.8460000000000001E-4</v>
      </c>
      <c r="E131" s="231">
        <v>2156920</v>
      </c>
      <c r="F131" s="231" t="s">
        <v>1924</v>
      </c>
      <c r="G131" s="392">
        <v>272381</v>
      </c>
      <c r="H131" s="392">
        <v>303529</v>
      </c>
      <c r="I131" s="392">
        <v>160517</v>
      </c>
      <c r="J131" s="231">
        <v>0</v>
      </c>
      <c r="K131" s="231">
        <v>736427</v>
      </c>
      <c r="L131" s="231"/>
      <c r="M131" s="225">
        <v>0</v>
      </c>
      <c r="N131" s="225">
        <v>0</v>
      </c>
      <c r="O131" s="231">
        <v>67325</v>
      </c>
      <c r="P131" s="231">
        <v>67325</v>
      </c>
      <c r="Q131" s="231"/>
      <c r="R131" s="392">
        <v>741749</v>
      </c>
      <c r="S131" s="231">
        <v>-37099</v>
      </c>
      <c r="T131" s="396">
        <v>704650</v>
      </c>
      <c r="U131" s="231"/>
      <c r="V131" s="396"/>
      <c r="W131" s="396"/>
      <c r="X131" s="396">
        <v>4376156</v>
      </c>
      <c r="Y131" s="396">
        <v>312579</v>
      </c>
    </row>
    <row r="132" spans="1:25">
      <c r="A132" s="390">
        <v>91154</v>
      </c>
      <c r="B132" s="391" t="s">
        <v>840</v>
      </c>
      <c r="C132" s="234">
        <v>2.1999999999999999E-5</v>
      </c>
      <c r="D132" s="234">
        <v>2.0999999999999999E-5</v>
      </c>
      <c r="E132" s="231">
        <v>78615</v>
      </c>
      <c r="F132" s="231" t="s">
        <v>1924</v>
      </c>
      <c r="G132" s="392">
        <v>9928</v>
      </c>
      <c r="H132" s="392">
        <v>11063</v>
      </c>
      <c r="I132" s="392">
        <v>5851</v>
      </c>
      <c r="J132" s="231">
        <v>2355</v>
      </c>
      <c r="K132" s="231">
        <v>29197</v>
      </c>
      <c r="L132" s="231"/>
      <c r="M132" s="225">
        <v>0</v>
      </c>
      <c r="N132" s="225">
        <v>0</v>
      </c>
      <c r="O132" s="231">
        <v>3882</v>
      </c>
      <c r="P132" s="231">
        <v>3882</v>
      </c>
      <c r="Q132" s="231"/>
      <c r="R132" s="392">
        <v>27035</v>
      </c>
      <c r="S132" s="231">
        <v>347</v>
      </c>
      <c r="T132" s="396">
        <v>27382</v>
      </c>
      <c r="U132" s="231"/>
      <c r="V132" s="396"/>
      <c r="W132" s="396"/>
      <c r="X132" s="396">
        <v>159502</v>
      </c>
      <c r="Y132" s="396">
        <v>11393</v>
      </c>
    </row>
    <row r="133" spans="1:25">
      <c r="A133" s="390">
        <v>91161</v>
      </c>
      <c r="B133" s="391" t="s">
        <v>841</v>
      </c>
      <c r="C133" s="234">
        <v>9.2499999999999999E-5</v>
      </c>
      <c r="D133" s="234">
        <v>1.0509999999999999E-4</v>
      </c>
      <c r="E133" s="231">
        <v>330542</v>
      </c>
      <c r="F133" s="231" t="s">
        <v>1924</v>
      </c>
      <c r="G133" s="392">
        <v>41742</v>
      </c>
      <c r="H133" s="392">
        <v>46515</v>
      </c>
      <c r="I133" s="392">
        <v>24599</v>
      </c>
      <c r="J133" s="231">
        <v>8609</v>
      </c>
      <c r="K133" s="231">
        <v>121465</v>
      </c>
      <c r="L133" s="231"/>
      <c r="M133" s="225">
        <v>0</v>
      </c>
      <c r="N133" s="225">
        <v>0</v>
      </c>
      <c r="O133" s="231">
        <v>19071</v>
      </c>
      <c r="P133" s="231">
        <v>19071</v>
      </c>
      <c r="Q133" s="231"/>
      <c r="R133" s="392">
        <v>113671</v>
      </c>
      <c r="S133" s="231">
        <v>-4719</v>
      </c>
      <c r="T133" s="396">
        <v>108952</v>
      </c>
      <c r="U133" s="231"/>
      <c r="V133" s="396"/>
      <c r="W133" s="396"/>
      <c r="X133" s="396">
        <v>670634</v>
      </c>
      <c r="Y133" s="396">
        <v>47902</v>
      </c>
    </row>
    <row r="134" spans="1:25">
      <c r="A134" s="390">
        <v>91171</v>
      </c>
      <c r="B134" s="391" t="s">
        <v>842</v>
      </c>
      <c r="C134" s="234">
        <v>2.6679999999999998E-4</v>
      </c>
      <c r="D134" s="234">
        <v>2.6820000000000001E-4</v>
      </c>
      <c r="E134" s="231">
        <v>953390</v>
      </c>
      <c r="F134" s="231" t="s">
        <v>1924</v>
      </c>
      <c r="G134" s="392">
        <v>120396</v>
      </c>
      <c r="H134" s="392">
        <v>134164</v>
      </c>
      <c r="I134" s="392">
        <v>70951</v>
      </c>
      <c r="J134" s="231">
        <v>18750</v>
      </c>
      <c r="K134" s="231">
        <v>344261</v>
      </c>
      <c r="L134" s="231"/>
      <c r="M134" s="225">
        <v>0</v>
      </c>
      <c r="N134" s="225">
        <v>0</v>
      </c>
      <c r="O134" s="231">
        <v>24586</v>
      </c>
      <c r="P134" s="231">
        <v>24586</v>
      </c>
      <c r="Q134" s="231"/>
      <c r="R134" s="392">
        <v>327864</v>
      </c>
      <c r="S134" s="231">
        <v>-8431</v>
      </c>
      <c r="T134" s="396">
        <v>319433</v>
      </c>
      <c r="U134" s="231"/>
      <c r="V134" s="396"/>
      <c r="W134" s="396"/>
      <c r="X134" s="396">
        <v>1934325</v>
      </c>
      <c r="Y134" s="396">
        <v>138165</v>
      </c>
    </row>
    <row r="135" spans="1:25">
      <c r="A135" s="390">
        <v>91201</v>
      </c>
      <c r="B135" s="391" t="s">
        <v>843</v>
      </c>
      <c r="C135" s="234">
        <v>2.5533000000000001E-3</v>
      </c>
      <c r="D135" s="234">
        <v>2.2897999999999998E-3</v>
      </c>
      <c r="E135" s="231">
        <v>9124029</v>
      </c>
      <c r="F135" s="231" t="s">
        <v>1924</v>
      </c>
      <c r="G135" s="392">
        <v>1152205</v>
      </c>
      <c r="H135" s="392">
        <v>1283963</v>
      </c>
      <c r="I135" s="392">
        <v>679007</v>
      </c>
      <c r="J135" s="231">
        <v>279487</v>
      </c>
      <c r="K135" s="231">
        <v>3394662</v>
      </c>
      <c r="L135" s="231"/>
      <c r="M135" s="225">
        <v>0</v>
      </c>
      <c r="N135" s="225">
        <v>0</v>
      </c>
      <c r="O135" s="231">
        <v>72376</v>
      </c>
      <c r="P135" s="231">
        <v>72376</v>
      </c>
      <c r="Q135" s="231"/>
      <c r="R135" s="392">
        <v>3137687</v>
      </c>
      <c r="S135" s="231">
        <v>45818</v>
      </c>
      <c r="T135" s="396">
        <v>3183505</v>
      </c>
      <c r="U135" s="231"/>
      <c r="V135" s="396"/>
      <c r="W135" s="396"/>
      <c r="X135" s="396">
        <v>18511660</v>
      </c>
      <c r="Y135" s="396">
        <v>1322247</v>
      </c>
    </row>
    <row r="136" spans="1:25">
      <c r="A136" s="390">
        <v>91202</v>
      </c>
      <c r="B136" s="391" t="s">
        <v>844</v>
      </c>
      <c r="C136" s="234">
        <v>7.0699999999999997E-5</v>
      </c>
      <c r="D136" s="234">
        <v>1.752E-4</v>
      </c>
      <c r="E136" s="231">
        <v>252641</v>
      </c>
      <c r="F136" s="231" t="s">
        <v>1924</v>
      </c>
      <c r="G136" s="392">
        <v>31904</v>
      </c>
      <c r="H136" s="392">
        <v>35552</v>
      </c>
      <c r="I136" s="392">
        <v>18801</v>
      </c>
      <c r="J136" s="231">
        <v>4110</v>
      </c>
      <c r="K136" s="231">
        <v>90367</v>
      </c>
      <c r="L136" s="231"/>
      <c r="M136" s="225">
        <v>0</v>
      </c>
      <c r="N136" s="225">
        <v>0</v>
      </c>
      <c r="O136" s="231">
        <v>135945</v>
      </c>
      <c r="P136" s="231">
        <v>135945</v>
      </c>
      <c r="Q136" s="231"/>
      <c r="R136" s="392">
        <v>86881</v>
      </c>
      <c r="S136" s="231">
        <v>-39199</v>
      </c>
      <c r="T136" s="396">
        <v>47682</v>
      </c>
      <c r="U136" s="231"/>
      <c r="V136" s="396"/>
      <c r="W136" s="396"/>
      <c r="X136" s="396">
        <v>512582</v>
      </c>
      <c r="Y136" s="396">
        <v>36613</v>
      </c>
    </row>
    <row r="137" spans="1:25">
      <c r="A137" s="390">
        <v>91203</v>
      </c>
      <c r="B137" s="391" t="s">
        <v>845</v>
      </c>
      <c r="C137" s="234">
        <v>2.3599999999999999E-4</v>
      </c>
      <c r="D137" s="234">
        <v>2.2670000000000001E-4</v>
      </c>
      <c r="E137" s="231">
        <v>843329</v>
      </c>
      <c r="F137" s="231" t="s">
        <v>1924</v>
      </c>
      <c r="G137" s="392">
        <v>106498</v>
      </c>
      <c r="H137" s="392">
        <v>118676</v>
      </c>
      <c r="I137" s="392">
        <v>62760</v>
      </c>
      <c r="J137" s="231">
        <v>53752</v>
      </c>
      <c r="K137" s="231">
        <v>341686</v>
      </c>
      <c r="L137" s="231"/>
      <c r="M137" s="225">
        <v>0</v>
      </c>
      <c r="N137" s="225">
        <v>0</v>
      </c>
      <c r="O137" s="231">
        <v>0</v>
      </c>
      <c r="P137" s="231">
        <v>0</v>
      </c>
      <c r="Q137" s="231"/>
      <c r="R137" s="392">
        <v>290015</v>
      </c>
      <c r="S137" s="231">
        <v>24459</v>
      </c>
      <c r="T137" s="396">
        <v>314474</v>
      </c>
      <c r="U137" s="231"/>
      <c r="V137" s="396"/>
      <c r="W137" s="396"/>
      <c r="X137" s="396">
        <v>1711022</v>
      </c>
      <c r="Y137" s="396">
        <v>122214</v>
      </c>
    </row>
    <row r="138" spans="1:25">
      <c r="A138" s="390">
        <v>91206</v>
      </c>
      <c r="B138" s="391" t="s">
        <v>846</v>
      </c>
      <c r="C138" s="234">
        <v>9.0109999999999995E-4</v>
      </c>
      <c r="D138" s="234">
        <v>9.525E-4</v>
      </c>
      <c r="E138" s="231">
        <v>3220014</v>
      </c>
      <c r="F138" s="231" t="s">
        <v>1924</v>
      </c>
      <c r="G138" s="392">
        <v>406631</v>
      </c>
      <c r="H138" s="392">
        <v>453131</v>
      </c>
      <c r="I138" s="392">
        <v>239632</v>
      </c>
      <c r="J138" s="231">
        <v>38794</v>
      </c>
      <c r="K138" s="231">
        <v>1138188</v>
      </c>
      <c r="L138" s="231"/>
      <c r="M138" s="225">
        <v>0</v>
      </c>
      <c r="N138" s="225">
        <v>0</v>
      </c>
      <c r="O138" s="231">
        <v>58234</v>
      </c>
      <c r="P138" s="231">
        <v>58234</v>
      </c>
      <c r="Q138" s="231"/>
      <c r="R138" s="392">
        <v>1107339</v>
      </c>
      <c r="S138" s="231">
        <v>-775</v>
      </c>
      <c r="T138" s="396">
        <v>1106564</v>
      </c>
      <c r="U138" s="231"/>
      <c r="V138" s="396"/>
      <c r="W138" s="396"/>
      <c r="X138" s="396">
        <v>6533058</v>
      </c>
      <c r="Y138" s="396">
        <v>466642</v>
      </c>
    </row>
    <row r="139" spans="1:25" s="359" customFormat="1">
      <c r="A139" s="390">
        <v>91208</v>
      </c>
      <c r="B139" s="391" t="s">
        <v>847</v>
      </c>
      <c r="C139" s="234">
        <v>1.6200000000000001E-5</v>
      </c>
      <c r="D139" s="234">
        <v>1.9000000000000001E-5</v>
      </c>
      <c r="E139" s="231">
        <v>57890</v>
      </c>
      <c r="F139" s="231" t="s">
        <v>1924</v>
      </c>
      <c r="G139" s="392">
        <v>7310</v>
      </c>
      <c r="H139" s="392">
        <v>8146</v>
      </c>
      <c r="I139" s="392">
        <v>4308</v>
      </c>
      <c r="J139" s="231">
        <v>3777</v>
      </c>
      <c r="K139" s="231">
        <v>23541</v>
      </c>
      <c r="L139" s="231"/>
      <c r="M139" s="225">
        <v>0</v>
      </c>
      <c r="N139" s="225">
        <v>0</v>
      </c>
      <c r="O139" s="231">
        <v>3159</v>
      </c>
      <c r="P139" s="231">
        <v>3159</v>
      </c>
      <c r="Q139" s="231"/>
      <c r="R139" s="392">
        <v>19908</v>
      </c>
      <c r="S139" s="231">
        <v>278</v>
      </c>
      <c r="T139" s="396">
        <v>20186</v>
      </c>
      <c r="U139" s="231"/>
      <c r="V139" s="396"/>
      <c r="W139" s="396"/>
      <c r="X139" s="396">
        <v>117451</v>
      </c>
      <c r="Y139" s="396">
        <v>8389</v>
      </c>
    </row>
    <row r="140" spans="1:25">
      <c r="A140" s="390">
        <v>91211</v>
      </c>
      <c r="B140" s="391" t="s">
        <v>848</v>
      </c>
      <c r="C140" s="234">
        <v>4.817E-4</v>
      </c>
      <c r="D140" s="234">
        <v>4.4870000000000001E-4</v>
      </c>
      <c r="E140" s="231">
        <v>1721319</v>
      </c>
      <c r="F140" s="231" t="s">
        <v>1924</v>
      </c>
      <c r="G140" s="392">
        <v>217372</v>
      </c>
      <c r="H140" s="392">
        <v>242229</v>
      </c>
      <c r="I140" s="392">
        <v>128100</v>
      </c>
      <c r="J140" s="231">
        <v>33767</v>
      </c>
      <c r="K140" s="231">
        <v>621468</v>
      </c>
      <c r="L140" s="231"/>
      <c r="M140" s="225">
        <v>0</v>
      </c>
      <c r="N140" s="225">
        <v>0</v>
      </c>
      <c r="O140" s="231">
        <v>22111</v>
      </c>
      <c r="P140" s="231">
        <v>22111</v>
      </c>
      <c r="Q140" s="231"/>
      <c r="R140" s="392">
        <v>591949</v>
      </c>
      <c r="S140" s="231">
        <v>3732</v>
      </c>
      <c r="T140" s="396">
        <v>595681</v>
      </c>
      <c r="U140" s="231"/>
      <c r="V140" s="396"/>
      <c r="W140" s="396"/>
      <c r="X140" s="396">
        <v>3492369</v>
      </c>
      <c r="Y140" s="396">
        <v>249452</v>
      </c>
    </row>
    <row r="141" spans="1:25">
      <c r="A141" s="390">
        <v>91213</v>
      </c>
      <c r="B141" s="391" t="s">
        <v>849</v>
      </c>
      <c r="C141" s="234">
        <v>2.9E-5</v>
      </c>
      <c r="D141" s="234">
        <v>2.9200000000000002E-5</v>
      </c>
      <c r="E141" s="231">
        <v>103629</v>
      </c>
      <c r="F141" s="231" t="s">
        <v>1924</v>
      </c>
      <c r="G141" s="392">
        <v>13087</v>
      </c>
      <c r="H141" s="392">
        <v>14583</v>
      </c>
      <c r="I141" s="392">
        <v>7712</v>
      </c>
      <c r="J141" s="231">
        <v>1937</v>
      </c>
      <c r="K141" s="231">
        <v>37319</v>
      </c>
      <c r="L141" s="231"/>
      <c r="M141" s="225">
        <v>0</v>
      </c>
      <c r="N141" s="225">
        <v>0</v>
      </c>
      <c r="O141" s="231">
        <v>4459</v>
      </c>
      <c r="P141" s="231">
        <v>4459</v>
      </c>
      <c r="Q141" s="231"/>
      <c r="R141" s="392">
        <v>35637</v>
      </c>
      <c r="S141" s="231">
        <v>-2638</v>
      </c>
      <c r="T141" s="396">
        <v>32999</v>
      </c>
      <c r="U141" s="231"/>
      <c r="V141" s="396"/>
      <c r="W141" s="396"/>
      <c r="X141" s="396">
        <v>210253</v>
      </c>
      <c r="Y141" s="396">
        <v>15018</v>
      </c>
    </row>
    <row r="142" spans="1:25">
      <c r="A142" s="390">
        <v>91214</v>
      </c>
      <c r="B142" s="391" t="s">
        <v>850</v>
      </c>
      <c r="C142" s="234">
        <v>3.5899999999999998E-5</v>
      </c>
      <c r="D142" s="234">
        <v>3.5800000000000003E-5</v>
      </c>
      <c r="E142" s="231">
        <v>128286</v>
      </c>
      <c r="F142" s="231" t="s">
        <v>1924</v>
      </c>
      <c r="G142" s="392">
        <v>16200</v>
      </c>
      <c r="H142" s="392">
        <v>18053</v>
      </c>
      <c r="I142" s="392">
        <v>9547</v>
      </c>
      <c r="J142" s="231">
        <v>462</v>
      </c>
      <c r="K142" s="231">
        <v>44262</v>
      </c>
      <c r="L142" s="231"/>
      <c r="M142" s="225">
        <v>0</v>
      </c>
      <c r="N142" s="225">
        <v>0</v>
      </c>
      <c r="O142" s="231">
        <v>5796</v>
      </c>
      <c r="P142" s="231">
        <v>5796</v>
      </c>
      <c r="Q142" s="231"/>
      <c r="R142" s="392">
        <v>44117</v>
      </c>
      <c r="S142" s="231">
        <v>-2709</v>
      </c>
      <c r="T142" s="396">
        <v>41408</v>
      </c>
      <c r="U142" s="231"/>
      <c r="V142" s="396"/>
      <c r="W142" s="396"/>
      <c r="X142" s="396">
        <v>260278</v>
      </c>
      <c r="Y142" s="396">
        <v>18591</v>
      </c>
    </row>
    <row r="143" spans="1:25">
      <c r="A143" s="390">
        <v>91217</v>
      </c>
      <c r="B143" s="391" t="s">
        <v>851</v>
      </c>
      <c r="C143" s="234">
        <v>2.12E-5</v>
      </c>
      <c r="D143" s="234">
        <v>2.0400000000000001E-5</v>
      </c>
      <c r="E143" s="231">
        <v>75757</v>
      </c>
      <c r="F143" s="231" t="s">
        <v>1924</v>
      </c>
      <c r="G143" s="392">
        <v>9567</v>
      </c>
      <c r="H143" s="392">
        <v>10660</v>
      </c>
      <c r="I143" s="392">
        <v>5638</v>
      </c>
      <c r="J143" s="231">
        <v>13836</v>
      </c>
      <c r="K143" s="231">
        <v>39701</v>
      </c>
      <c r="L143" s="231"/>
      <c r="M143" s="225">
        <v>0</v>
      </c>
      <c r="N143" s="225">
        <v>0</v>
      </c>
      <c r="O143" s="231">
        <v>1622</v>
      </c>
      <c r="P143" s="231">
        <v>1622</v>
      </c>
      <c r="Q143" s="231"/>
      <c r="R143" s="392">
        <v>26052</v>
      </c>
      <c r="S143" s="231">
        <v>5951</v>
      </c>
      <c r="T143" s="396">
        <v>32003</v>
      </c>
      <c r="U143" s="231"/>
      <c r="V143" s="396"/>
      <c r="W143" s="396"/>
      <c r="X143" s="396">
        <v>153702</v>
      </c>
      <c r="Y143" s="396">
        <v>10979</v>
      </c>
    </row>
    <row r="144" spans="1:25">
      <c r="A144" s="390">
        <v>91221</v>
      </c>
      <c r="B144" s="391" t="s">
        <v>852</v>
      </c>
      <c r="C144" s="234">
        <v>1.037E-4</v>
      </c>
      <c r="D144" s="234">
        <v>1.099E-4</v>
      </c>
      <c r="E144" s="231">
        <v>370564</v>
      </c>
      <c r="F144" s="231" t="s">
        <v>1924</v>
      </c>
      <c r="G144" s="392">
        <v>46796</v>
      </c>
      <c r="H144" s="392">
        <v>52147</v>
      </c>
      <c r="I144" s="392">
        <v>27577</v>
      </c>
      <c r="J144" s="231">
        <v>327</v>
      </c>
      <c r="K144" s="231">
        <v>126847</v>
      </c>
      <c r="L144" s="231"/>
      <c r="M144" s="225">
        <v>0</v>
      </c>
      <c r="N144" s="225">
        <v>0</v>
      </c>
      <c r="O144" s="231">
        <v>17764</v>
      </c>
      <c r="P144" s="231">
        <v>17764</v>
      </c>
      <c r="Q144" s="231"/>
      <c r="R144" s="392">
        <v>127434</v>
      </c>
      <c r="S144" s="231">
        <v>-8209</v>
      </c>
      <c r="T144" s="396">
        <v>119225</v>
      </c>
      <c r="U144" s="231"/>
      <c r="V144" s="396"/>
      <c r="W144" s="396"/>
      <c r="X144" s="396">
        <v>751835</v>
      </c>
      <c r="Y144" s="396">
        <v>53702</v>
      </c>
    </row>
    <row r="145" spans="1:25">
      <c r="A145" s="390">
        <v>91231</v>
      </c>
      <c r="B145" s="391" t="s">
        <v>853</v>
      </c>
      <c r="C145" s="234">
        <v>1.9138E-3</v>
      </c>
      <c r="D145" s="234">
        <v>1.8722999999999999E-3</v>
      </c>
      <c r="E145" s="231">
        <v>6838823</v>
      </c>
      <c r="F145" s="231" t="s">
        <v>1924</v>
      </c>
      <c r="G145" s="392">
        <v>863623</v>
      </c>
      <c r="H145" s="392">
        <v>962381</v>
      </c>
      <c r="I145" s="392">
        <v>508943</v>
      </c>
      <c r="J145" s="231">
        <v>69528</v>
      </c>
      <c r="K145" s="231">
        <v>2404475</v>
      </c>
      <c r="L145" s="231"/>
      <c r="M145" s="225">
        <v>0</v>
      </c>
      <c r="N145" s="225">
        <v>0</v>
      </c>
      <c r="O145" s="231">
        <v>29239</v>
      </c>
      <c r="P145" s="231">
        <v>29239</v>
      </c>
      <c r="Q145" s="231"/>
      <c r="R145" s="392">
        <v>2351821</v>
      </c>
      <c r="S145" s="231">
        <v>-13615</v>
      </c>
      <c r="T145" s="396">
        <v>2338206</v>
      </c>
      <c r="U145" s="231"/>
      <c r="V145" s="396"/>
      <c r="W145" s="396"/>
      <c r="X145" s="396">
        <v>13875226</v>
      </c>
      <c r="Y145" s="396">
        <v>991077</v>
      </c>
    </row>
    <row r="146" spans="1:25">
      <c r="A146" s="390">
        <v>91233</v>
      </c>
      <c r="B146" s="391" t="s">
        <v>854</v>
      </c>
      <c r="C146" s="234">
        <v>6.7899999999999997E-5</v>
      </c>
      <c r="D146" s="234">
        <v>6.1699999999999995E-5</v>
      </c>
      <c r="E146" s="231">
        <v>242636</v>
      </c>
      <c r="F146" s="231" t="s">
        <v>1924</v>
      </c>
      <c r="G146" s="392">
        <v>30641</v>
      </c>
      <c r="H146" s="392">
        <v>34144</v>
      </c>
      <c r="I146" s="392">
        <v>18057</v>
      </c>
      <c r="J146" s="231">
        <v>8146</v>
      </c>
      <c r="K146" s="231">
        <v>90988</v>
      </c>
      <c r="L146" s="231"/>
      <c r="M146" s="225">
        <v>0</v>
      </c>
      <c r="N146" s="225">
        <v>0</v>
      </c>
      <c r="O146" s="231">
        <v>3165</v>
      </c>
      <c r="P146" s="231">
        <v>3165</v>
      </c>
      <c r="Q146" s="231"/>
      <c r="R146" s="392">
        <v>83441</v>
      </c>
      <c r="S146" s="231">
        <v>1849</v>
      </c>
      <c r="T146" s="396">
        <v>85290</v>
      </c>
      <c r="U146" s="231"/>
      <c r="V146" s="396"/>
      <c r="W146" s="396"/>
      <c r="X146" s="396">
        <v>492281</v>
      </c>
      <c r="Y146" s="396">
        <v>35163</v>
      </c>
    </row>
    <row r="147" spans="1:25">
      <c r="A147" s="390">
        <v>91241</v>
      </c>
      <c r="B147" s="391" t="s">
        <v>855</v>
      </c>
      <c r="C147" s="234">
        <v>3.18E-5</v>
      </c>
      <c r="D147" s="234">
        <v>5.3499999999999999E-5</v>
      </c>
      <c r="E147" s="231">
        <v>113635</v>
      </c>
      <c r="F147" s="231" t="s">
        <v>1924</v>
      </c>
      <c r="G147" s="392">
        <v>14350</v>
      </c>
      <c r="H147" s="392">
        <v>15991</v>
      </c>
      <c r="I147" s="392">
        <v>8457</v>
      </c>
      <c r="J147" s="231">
        <v>7319</v>
      </c>
      <c r="K147" s="231">
        <v>46117</v>
      </c>
      <c r="L147" s="231"/>
      <c r="M147" s="225">
        <v>0</v>
      </c>
      <c r="N147" s="225">
        <v>0</v>
      </c>
      <c r="O147" s="231">
        <v>26513</v>
      </c>
      <c r="P147" s="231">
        <v>26513</v>
      </c>
      <c r="Q147" s="231"/>
      <c r="R147" s="392">
        <v>39078</v>
      </c>
      <c r="S147" s="231">
        <v>-6128</v>
      </c>
      <c r="T147" s="396">
        <v>32950</v>
      </c>
      <c r="U147" s="231"/>
      <c r="V147" s="396"/>
      <c r="W147" s="396"/>
      <c r="X147" s="396">
        <v>230553</v>
      </c>
      <c r="Y147" s="396">
        <v>16468</v>
      </c>
    </row>
    <row r="148" spans="1:25">
      <c r="A148" s="390">
        <v>91251</v>
      </c>
      <c r="B148" s="391" t="s">
        <v>856</v>
      </c>
      <c r="C148" s="234">
        <v>2.6599999999999999E-5</v>
      </c>
      <c r="D148" s="234">
        <v>2.0000000000000002E-5</v>
      </c>
      <c r="E148" s="231">
        <v>95053</v>
      </c>
      <c r="F148" s="231" t="s">
        <v>1924</v>
      </c>
      <c r="G148" s="392">
        <v>12004</v>
      </c>
      <c r="H148" s="392">
        <v>13376</v>
      </c>
      <c r="I148" s="392">
        <v>7074</v>
      </c>
      <c r="J148" s="231">
        <v>10898</v>
      </c>
      <c r="K148" s="231">
        <v>43352</v>
      </c>
      <c r="L148" s="231"/>
      <c r="M148" s="225">
        <v>0</v>
      </c>
      <c r="N148" s="225">
        <v>0</v>
      </c>
      <c r="O148" s="231">
        <v>6089</v>
      </c>
      <c r="P148" s="231">
        <v>6089</v>
      </c>
      <c r="Q148" s="231"/>
      <c r="R148" s="392">
        <v>32688</v>
      </c>
      <c r="S148" s="231">
        <v>1730</v>
      </c>
      <c r="T148" s="396">
        <v>34418</v>
      </c>
      <c r="U148" s="231"/>
      <c r="V148" s="396"/>
      <c r="W148" s="396"/>
      <c r="X148" s="396">
        <v>192852</v>
      </c>
      <c r="Y148" s="396">
        <v>13775</v>
      </c>
    </row>
    <row r="149" spans="1:25">
      <c r="A149" s="390">
        <v>91261</v>
      </c>
      <c r="B149" s="391" t="s">
        <v>857</v>
      </c>
      <c r="C149" s="234">
        <v>9.7999999999999993E-6</v>
      </c>
      <c r="D149" s="234">
        <v>9.7000000000000003E-6</v>
      </c>
      <c r="E149" s="231">
        <v>35020</v>
      </c>
      <c r="F149" s="231" t="s">
        <v>1924</v>
      </c>
      <c r="G149" s="392">
        <v>4422</v>
      </c>
      <c r="H149" s="392">
        <v>4928</v>
      </c>
      <c r="I149" s="392">
        <v>2606</v>
      </c>
      <c r="J149" s="231">
        <v>123</v>
      </c>
      <c r="K149" s="231">
        <v>12079</v>
      </c>
      <c r="L149" s="231"/>
      <c r="M149" s="225">
        <v>0</v>
      </c>
      <c r="N149" s="225">
        <v>0</v>
      </c>
      <c r="O149" s="231">
        <v>2210</v>
      </c>
      <c r="P149" s="231">
        <v>2210</v>
      </c>
      <c r="Q149" s="231"/>
      <c r="R149" s="392">
        <v>12043</v>
      </c>
      <c r="S149" s="231">
        <v>-490</v>
      </c>
      <c r="T149" s="396">
        <v>11553</v>
      </c>
      <c r="U149" s="231"/>
      <c r="V149" s="396"/>
      <c r="W149" s="396"/>
      <c r="X149" s="396">
        <v>71051</v>
      </c>
      <c r="Y149" s="396">
        <v>5075</v>
      </c>
    </row>
    <row r="150" spans="1:25">
      <c r="A150" s="390">
        <v>91301</v>
      </c>
      <c r="B150" s="391" t="s">
        <v>858</v>
      </c>
      <c r="C150" s="234">
        <v>8.2746E-3</v>
      </c>
      <c r="D150" s="234">
        <v>7.9497999999999999E-3</v>
      </c>
      <c r="E150" s="231">
        <v>29568671</v>
      </c>
      <c r="F150" s="231" t="s">
        <v>1924</v>
      </c>
      <c r="G150" s="392">
        <v>3734004</v>
      </c>
      <c r="H150" s="392">
        <v>4160998</v>
      </c>
      <c r="I150" s="392">
        <v>2200489</v>
      </c>
      <c r="J150" s="231">
        <v>353398</v>
      </c>
      <c r="K150" s="231">
        <v>10448889</v>
      </c>
      <c r="L150" s="231"/>
      <c r="M150" s="225">
        <v>0</v>
      </c>
      <c r="N150" s="225">
        <v>0</v>
      </c>
      <c r="O150" s="231">
        <v>74105</v>
      </c>
      <c r="P150" s="231">
        <v>74105</v>
      </c>
      <c r="Q150" s="231"/>
      <c r="R150" s="392">
        <v>10168449</v>
      </c>
      <c r="S150" s="231">
        <v>69635</v>
      </c>
      <c r="T150" s="396">
        <v>10238084</v>
      </c>
      <c r="U150" s="231"/>
      <c r="V150" s="396"/>
      <c r="W150" s="396"/>
      <c r="X150" s="396">
        <v>59991611</v>
      </c>
      <c r="Y150" s="396">
        <v>4285068</v>
      </c>
    </row>
    <row r="151" spans="1:25">
      <c r="A151" s="390">
        <v>91302</v>
      </c>
      <c r="B151" s="391" t="s">
        <v>1933</v>
      </c>
      <c r="C151" s="234">
        <v>5.0199999999999995E-4</v>
      </c>
      <c r="D151" s="234">
        <v>5.354E-4</v>
      </c>
      <c r="E151" s="231">
        <v>1793860</v>
      </c>
      <c r="F151" s="231" t="s">
        <v>1924</v>
      </c>
      <c r="G151" s="392">
        <v>226533</v>
      </c>
      <c r="H151" s="392">
        <v>252438</v>
      </c>
      <c r="I151" s="392">
        <v>133498</v>
      </c>
      <c r="J151" s="231">
        <v>0</v>
      </c>
      <c r="K151" s="231">
        <v>612469</v>
      </c>
      <c r="L151" s="231"/>
      <c r="M151" s="225">
        <v>0</v>
      </c>
      <c r="N151" s="225">
        <v>0</v>
      </c>
      <c r="O151" s="231">
        <v>70796</v>
      </c>
      <c r="P151" s="231">
        <v>70796</v>
      </c>
      <c r="Q151" s="231"/>
      <c r="R151" s="392">
        <v>616895</v>
      </c>
      <c r="S151" s="231">
        <v>-27902</v>
      </c>
      <c r="T151" s="396">
        <v>588993</v>
      </c>
      <c r="U151" s="231"/>
      <c r="V151" s="396"/>
      <c r="W151" s="396"/>
      <c r="X151" s="396">
        <v>3639546</v>
      </c>
      <c r="Y151" s="396">
        <v>259965</v>
      </c>
    </row>
    <row r="152" spans="1:25">
      <c r="A152" s="390">
        <v>91306</v>
      </c>
      <c r="B152" s="391" t="s">
        <v>860</v>
      </c>
      <c r="C152" s="234">
        <v>1.82E-3</v>
      </c>
      <c r="D152" s="234">
        <v>1.8244999999999999E-3</v>
      </c>
      <c r="E152" s="231">
        <v>6503635</v>
      </c>
      <c r="F152" s="231" t="s">
        <v>1924</v>
      </c>
      <c r="G152" s="392">
        <v>821295</v>
      </c>
      <c r="H152" s="392">
        <v>915213</v>
      </c>
      <c r="I152" s="392">
        <v>483998</v>
      </c>
      <c r="J152" s="231">
        <v>75623</v>
      </c>
      <c r="K152" s="231">
        <v>2296129</v>
      </c>
      <c r="L152" s="231"/>
      <c r="M152" s="225">
        <v>0</v>
      </c>
      <c r="N152" s="225">
        <v>0</v>
      </c>
      <c r="O152" s="231">
        <v>22085</v>
      </c>
      <c r="P152" s="231">
        <v>22085</v>
      </c>
      <c r="Q152" s="231"/>
      <c r="R152" s="392">
        <v>2236553</v>
      </c>
      <c r="S152" s="231">
        <v>44313</v>
      </c>
      <c r="T152" s="396">
        <v>2280866</v>
      </c>
      <c r="U152" s="231"/>
      <c r="V152" s="396"/>
      <c r="W152" s="396"/>
      <c r="X152" s="396">
        <v>13195167</v>
      </c>
      <c r="Y152" s="396">
        <v>942502</v>
      </c>
    </row>
    <row r="153" spans="1:25">
      <c r="A153" s="390">
        <v>91308</v>
      </c>
      <c r="B153" s="391" t="s">
        <v>861</v>
      </c>
      <c r="C153" s="234">
        <v>1.6229999999999999E-4</v>
      </c>
      <c r="D153" s="234">
        <v>1.7009999999999999E-4</v>
      </c>
      <c r="E153" s="231">
        <v>579967</v>
      </c>
      <c r="F153" s="231" t="s">
        <v>1924</v>
      </c>
      <c r="G153" s="392">
        <v>73240</v>
      </c>
      <c r="H153" s="392">
        <v>81615</v>
      </c>
      <c r="I153" s="392">
        <v>43161</v>
      </c>
      <c r="J153" s="231">
        <v>0</v>
      </c>
      <c r="K153" s="231">
        <v>198016</v>
      </c>
      <c r="L153" s="231"/>
      <c r="M153" s="225">
        <v>0</v>
      </c>
      <c r="N153" s="225">
        <v>0</v>
      </c>
      <c r="O153" s="231">
        <v>26663</v>
      </c>
      <c r="P153" s="231">
        <v>26663</v>
      </c>
      <c r="Q153" s="231"/>
      <c r="R153" s="392">
        <v>199446</v>
      </c>
      <c r="S153" s="231">
        <v>-12593</v>
      </c>
      <c r="T153" s="396">
        <v>186853</v>
      </c>
      <c r="U153" s="231"/>
      <c r="V153" s="396"/>
      <c r="W153" s="396"/>
      <c r="X153" s="396">
        <v>1176690</v>
      </c>
      <c r="Y153" s="396">
        <v>84048</v>
      </c>
    </row>
    <row r="154" spans="1:25">
      <c r="A154" s="390">
        <v>91311</v>
      </c>
      <c r="B154" s="391" t="s">
        <v>862</v>
      </c>
      <c r="C154" s="234">
        <v>8.4355999999999997E-3</v>
      </c>
      <c r="D154" s="234">
        <v>7.9030000000000003E-3</v>
      </c>
      <c r="E154" s="231">
        <v>30143992</v>
      </c>
      <c r="F154" s="231" t="s">
        <v>1924</v>
      </c>
      <c r="G154" s="392">
        <v>3806657</v>
      </c>
      <c r="H154" s="392">
        <v>4241960</v>
      </c>
      <c r="I154" s="392">
        <v>2243304</v>
      </c>
      <c r="J154" s="231">
        <v>625963</v>
      </c>
      <c r="K154" s="231">
        <v>10917884</v>
      </c>
      <c r="L154" s="231"/>
      <c r="M154" s="225">
        <v>0</v>
      </c>
      <c r="N154" s="225">
        <v>0</v>
      </c>
      <c r="O154" s="231">
        <v>80965</v>
      </c>
      <c r="P154" s="231">
        <v>80965</v>
      </c>
      <c r="Q154" s="231"/>
      <c r="R154" s="392">
        <v>10366298</v>
      </c>
      <c r="S154" s="231">
        <v>72958</v>
      </c>
      <c r="T154" s="396">
        <v>10439256</v>
      </c>
      <c r="U154" s="231"/>
      <c r="V154" s="396"/>
      <c r="W154" s="396"/>
      <c r="X154" s="396">
        <v>61158876</v>
      </c>
      <c r="Y154" s="396">
        <v>4368443</v>
      </c>
    </row>
    <row r="155" spans="1:25">
      <c r="A155" s="390">
        <v>91317</v>
      </c>
      <c r="B155" s="391" t="s">
        <v>863</v>
      </c>
      <c r="C155" s="234">
        <v>1.27E-4</v>
      </c>
      <c r="D155" s="234">
        <v>1.015E-4</v>
      </c>
      <c r="E155" s="231">
        <v>453825</v>
      </c>
      <c r="F155" s="231" t="s">
        <v>1924</v>
      </c>
      <c r="G155" s="392">
        <v>57310</v>
      </c>
      <c r="H155" s="392">
        <v>63864</v>
      </c>
      <c r="I155" s="392">
        <v>33773</v>
      </c>
      <c r="J155" s="231">
        <v>55718</v>
      </c>
      <c r="K155" s="231">
        <v>210665</v>
      </c>
      <c r="L155" s="231"/>
      <c r="M155" s="225">
        <v>0</v>
      </c>
      <c r="N155" s="225">
        <v>0</v>
      </c>
      <c r="O155" s="231">
        <v>0</v>
      </c>
      <c r="P155" s="231">
        <v>0</v>
      </c>
      <c r="Q155" s="231"/>
      <c r="R155" s="392">
        <v>156067</v>
      </c>
      <c r="S155" s="231">
        <v>20433</v>
      </c>
      <c r="T155" s="396">
        <v>176500</v>
      </c>
      <c r="U155" s="231"/>
      <c r="V155" s="396"/>
      <c r="W155" s="396"/>
      <c r="X155" s="396">
        <v>920762</v>
      </c>
      <c r="Y155" s="396">
        <v>65768</v>
      </c>
    </row>
    <row r="156" spans="1:25">
      <c r="A156" s="390">
        <v>91321</v>
      </c>
      <c r="B156" s="391" t="s">
        <v>864</v>
      </c>
      <c r="C156" s="234">
        <v>6.9300000000000004E-5</v>
      </c>
      <c r="D156" s="234">
        <v>5.3600000000000002E-5</v>
      </c>
      <c r="E156" s="231">
        <v>247638</v>
      </c>
      <c r="F156" s="231" t="s">
        <v>1924</v>
      </c>
      <c r="G156" s="392">
        <v>31272</v>
      </c>
      <c r="H156" s="392">
        <v>34848</v>
      </c>
      <c r="I156" s="392">
        <v>18429</v>
      </c>
      <c r="J156" s="231">
        <v>49027</v>
      </c>
      <c r="K156" s="231">
        <v>133576</v>
      </c>
      <c r="L156" s="231"/>
      <c r="M156" s="225">
        <v>0</v>
      </c>
      <c r="N156" s="225">
        <v>0</v>
      </c>
      <c r="O156" s="231">
        <v>0</v>
      </c>
      <c r="P156" s="231">
        <v>0</v>
      </c>
      <c r="Q156" s="231"/>
      <c r="R156" s="392">
        <v>85161</v>
      </c>
      <c r="S156" s="231">
        <v>21739</v>
      </c>
      <c r="T156" s="396">
        <v>106900</v>
      </c>
      <c r="U156" s="231"/>
      <c r="V156" s="396"/>
      <c r="W156" s="396"/>
      <c r="X156" s="396">
        <v>502431</v>
      </c>
      <c r="Y156" s="396">
        <v>35888</v>
      </c>
    </row>
    <row r="157" spans="1:25">
      <c r="A157" s="390">
        <v>91327</v>
      </c>
      <c r="B157" s="391" t="s">
        <v>865</v>
      </c>
      <c r="C157" s="234">
        <v>0</v>
      </c>
      <c r="D157" s="234">
        <v>1.0900000000000001E-5</v>
      </c>
      <c r="E157" s="231">
        <v>0</v>
      </c>
      <c r="F157" s="231" t="s">
        <v>1924</v>
      </c>
      <c r="G157" s="392">
        <v>0</v>
      </c>
      <c r="H157" s="392">
        <v>0</v>
      </c>
      <c r="I157" s="392">
        <v>0</v>
      </c>
      <c r="J157" s="231">
        <v>2337</v>
      </c>
      <c r="K157" s="231">
        <v>2337</v>
      </c>
      <c r="L157" s="231"/>
      <c r="M157" s="225">
        <v>0</v>
      </c>
      <c r="N157" s="225">
        <v>0</v>
      </c>
      <c r="O157" s="231">
        <v>13003</v>
      </c>
      <c r="P157" s="231">
        <v>13003</v>
      </c>
      <c r="Q157" s="231"/>
      <c r="R157" s="392">
        <v>0</v>
      </c>
      <c r="S157" s="231">
        <v>-3791</v>
      </c>
      <c r="T157" s="396">
        <v>-3791</v>
      </c>
      <c r="U157" s="231"/>
      <c r="V157" s="396"/>
      <c r="W157" s="396"/>
      <c r="X157" s="396">
        <v>0</v>
      </c>
      <c r="Y157" s="396">
        <v>0</v>
      </c>
    </row>
    <row r="158" spans="1:25">
      <c r="A158" s="390">
        <v>91331</v>
      </c>
      <c r="B158" s="391" t="s">
        <v>866</v>
      </c>
      <c r="C158" s="234">
        <v>3.0620999999999999E-3</v>
      </c>
      <c r="D158" s="234">
        <v>2.9286E-3</v>
      </c>
      <c r="E158" s="231">
        <v>10942188</v>
      </c>
      <c r="F158" s="231" t="s">
        <v>1924</v>
      </c>
      <c r="G158" s="392">
        <v>1381806</v>
      </c>
      <c r="H158" s="392">
        <v>1539820</v>
      </c>
      <c r="I158" s="392">
        <v>814313</v>
      </c>
      <c r="J158" s="231">
        <v>62641</v>
      </c>
      <c r="K158" s="231">
        <v>3798580</v>
      </c>
      <c r="L158" s="231"/>
      <c r="M158" s="225">
        <v>0</v>
      </c>
      <c r="N158" s="225">
        <v>0</v>
      </c>
      <c r="O158" s="231">
        <v>204368</v>
      </c>
      <c r="P158" s="231">
        <v>204368</v>
      </c>
      <c r="Q158" s="231"/>
      <c r="R158" s="392">
        <v>3762938</v>
      </c>
      <c r="S158" s="231">
        <v>-112225</v>
      </c>
      <c r="T158" s="396">
        <v>3650713</v>
      </c>
      <c r="U158" s="231"/>
      <c r="V158" s="396"/>
      <c r="W158" s="396"/>
      <c r="X158" s="396">
        <v>22200507</v>
      </c>
      <c r="Y158" s="396">
        <v>1585733</v>
      </c>
    </row>
    <row r="159" spans="1:25">
      <c r="A159" s="390">
        <v>91341</v>
      </c>
      <c r="B159" s="391" t="s">
        <v>867</v>
      </c>
      <c r="C159" s="234">
        <v>3.6900000000000002E-5</v>
      </c>
      <c r="D159" s="234">
        <v>3.79E-5</v>
      </c>
      <c r="E159" s="231">
        <v>131859</v>
      </c>
      <c r="F159" s="231" t="s">
        <v>1924</v>
      </c>
      <c r="G159" s="392">
        <v>16652</v>
      </c>
      <c r="H159" s="392">
        <v>18555</v>
      </c>
      <c r="I159" s="392">
        <v>9813</v>
      </c>
      <c r="J159" s="231">
        <v>8900</v>
      </c>
      <c r="K159" s="231">
        <v>53920</v>
      </c>
      <c r="L159" s="231"/>
      <c r="M159" s="225">
        <v>0</v>
      </c>
      <c r="N159" s="225">
        <v>0</v>
      </c>
      <c r="O159" s="231">
        <v>3973</v>
      </c>
      <c r="P159" s="231">
        <v>3973</v>
      </c>
      <c r="Q159" s="231"/>
      <c r="R159" s="392">
        <v>45345</v>
      </c>
      <c r="S159" s="231">
        <v>2117</v>
      </c>
      <c r="T159" s="396">
        <v>47462</v>
      </c>
      <c r="U159" s="231"/>
      <c r="V159" s="396"/>
      <c r="W159" s="396"/>
      <c r="X159" s="396">
        <v>267528</v>
      </c>
      <c r="Y159" s="396">
        <v>19109</v>
      </c>
    </row>
    <row r="160" spans="1:25">
      <c r="A160" s="390">
        <v>91401</v>
      </c>
      <c r="B160" s="391" t="s">
        <v>868</v>
      </c>
      <c r="C160" s="234">
        <v>3.7696000000000001E-3</v>
      </c>
      <c r="D160" s="234">
        <v>3.3915999999999998E-3</v>
      </c>
      <c r="E160" s="231">
        <v>13470387</v>
      </c>
      <c r="F160" s="231" t="s">
        <v>1924</v>
      </c>
      <c r="G160" s="392">
        <v>1701073</v>
      </c>
      <c r="H160" s="392">
        <v>1895596</v>
      </c>
      <c r="I160" s="392">
        <v>1002461</v>
      </c>
      <c r="J160" s="231">
        <v>457432</v>
      </c>
      <c r="K160" s="231">
        <v>5056562</v>
      </c>
      <c r="L160" s="231"/>
      <c r="M160" s="225">
        <v>0</v>
      </c>
      <c r="N160" s="225">
        <v>0</v>
      </c>
      <c r="O160" s="231">
        <v>144506</v>
      </c>
      <c r="P160" s="231">
        <v>144506</v>
      </c>
      <c r="Q160" s="231"/>
      <c r="R160" s="392">
        <v>4632367</v>
      </c>
      <c r="S160" s="231">
        <v>72281</v>
      </c>
      <c r="T160" s="396">
        <v>4704648</v>
      </c>
      <c r="U160" s="231"/>
      <c r="V160" s="396"/>
      <c r="W160" s="396"/>
      <c r="X160" s="396">
        <v>27329947</v>
      </c>
      <c r="Y160" s="396">
        <v>1952118</v>
      </c>
    </row>
    <row r="161" spans="1:25">
      <c r="A161" s="390">
        <v>91411</v>
      </c>
      <c r="B161" s="391" t="s">
        <v>869</v>
      </c>
      <c r="C161" s="234">
        <v>4.0089999999999999E-4</v>
      </c>
      <c r="D161" s="234">
        <v>3.9639999999999999E-4</v>
      </c>
      <c r="E161" s="231">
        <v>1432586</v>
      </c>
      <c r="F161" s="231" t="s">
        <v>1924</v>
      </c>
      <c r="G161" s="392">
        <v>180911</v>
      </c>
      <c r="H161" s="392">
        <v>201599</v>
      </c>
      <c r="I161" s="392">
        <v>106613</v>
      </c>
      <c r="J161" s="231">
        <v>8558</v>
      </c>
      <c r="K161" s="231">
        <v>497681</v>
      </c>
      <c r="L161" s="231"/>
      <c r="M161" s="225">
        <v>0</v>
      </c>
      <c r="N161" s="225">
        <v>0</v>
      </c>
      <c r="O161" s="231">
        <v>0</v>
      </c>
      <c r="P161" s="231">
        <v>0</v>
      </c>
      <c r="Q161" s="231"/>
      <c r="R161" s="392">
        <v>492656</v>
      </c>
      <c r="S161" s="231">
        <v>9337</v>
      </c>
      <c r="T161" s="396">
        <v>501993</v>
      </c>
      <c r="U161" s="231"/>
      <c r="V161" s="396"/>
      <c r="W161" s="396"/>
      <c r="X161" s="396">
        <v>2906562</v>
      </c>
      <c r="Y161" s="396">
        <v>207609</v>
      </c>
    </row>
    <row r="162" spans="1:25">
      <c r="A162" s="390">
        <v>91414</v>
      </c>
      <c r="B162" s="391" t="s">
        <v>3608</v>
      </c>
      <c r="C162" s="234">
        <v>2.4499999999999999E-5</v>
      </c>
      <c r="D162" s="234">
        <v>2.2200000000000001E-5</v>
      </c>
      <c r="E162" s="231">
        <v>87549</v>
      </c>
      <c r="F162" s="231"/>
      <c r="G162" s="392">
        <v>11056</v>
      </c>
      <c r="H162" s="392">
        <v>12320</v>
      </c>
      <c r="I162" s="392">
        <v>6515</v>
      </c>
      <c r="J162" s="231">
        <v>18555</v>
      </c>
      <c r="K162" s="231">
        <v>48446</v>
      </c>
      <c r="L162" s="231"/>
      <c r="M162" s="225">
        <v>0</v>
      </c>
      <c r="N162" s="225">
        <v>0</v>
      </c>
      <c r="O162" s="231">
        <v>0</v>
      </c>
      <c r="P162" s="231">
        <v>0</v>
      </c>
      <c r="Q162" s="231"/>
      <c r="R162" s="392">
        <v>30107</v>
      </c>
      <c r="S162" s="231">
        <v>6185</v>
      </c>
      <c r="T162" s="396">
        <v>36292</v>
      </c>
      <c r="U162" s="231"/>
      <c r="V162" s="396"/>
      <c r="W162" s="396"/>
      <c r="X162" s="396">
        <v>177627</v>
      </c>
      <c r="Y162" s="396">
        <v>12688</v>
      </c>
    </row>
    <row r="163" spans="1:25">
      <c r="A163" s="390">
        <v>91417</v>
      </c>
      <c r="B163" s="391" t="s">
        <v>870</v>
      </c>
      <c r="C163" s="234">
        <v>6.1E-6</v>
      </c>
      <c r="D163" s="234">
        <v>7.3000000000000004E-6</v>
      </c>
      <c r="E163" s="231">
        <v>21798</v>
      </c>
      <c r="F163" s="231" t="s">
        <v>1924</v>
      </c>
      <c r="G163" s="392">
        <v>2753</v>
      </c>
      <c r="H163" s="392">
        <v>3068</v>
      </c>
      <c r="I163" s="392">
        <v>1622</v>
      </c>
      <c r="J163" s="231">
        <v>1901</v>
      </c>
      <c r="K163" s="231">
        <v>9344</v>
      </c>
      <c r="L163" s="231"/>
      <c r="M163" s="225">
        <v>0</v>
      </c>
      <c r="N163" s="225">
        <v>0</v>
      </c>
      <c r="O163" s="231">
        <v>0</v>
      </c>
      <c r="P163" s="231">
        <v>0</v>
      </c>
      <c r="Q163" s="231"/>
      <c r="R163" s="392">
        <v>7496</v>
      </c>
      <c r="S163" s="231">
        <v>810</v>
      </c>
      <c r="T163" s="396">
        <v>8306</v>
      </c>
      <c r="U163" s="231"/>
      <c r="V163" s="396"/>
      <c r="W163" s="396"/>
      <c r="X163" s="396">
        <v>44226</v>
      </c>
      <c r="Y163" s="396">
        <v>3159</v>
      </c>
    </row>
    <row r="164" spans="1:25">
      <c r="A164" s="390">
        <v>91421</v>
      </c>
      <c r="B164" s="391" t="s">
        <v>871</v>
      </c>
      <c r="C164" s="234">
        <v>6.8300000000000007E-5</v>
      </c>
      <c r="D164" s="234">
        <v>6.69E-5</v>
      </c>
      <c r="E164" s="231">
        <v>244065</v>
      </c>
      <c r="F164" s="231" t="s">
        <v>1924</v>
      </c>
      <c r="G164" s="392">
        <v>30821</v>
      </c>
      <c r="H164" s="392">
        <v>34346</v>
      </c>
      <c r="I164" s="392">
        <v>18163</v>
      </c>
      <c r="J164" s="231">
        <v>8442</v>
      </c>
      <c r="K164" s="231">
        <v>91772</v>
      </c>
      <c r="L164" s="231"/>
      <c r="M164" s="225">
        <v>0</v>
      </c>
      <c r="N164" s="225">
        <v>0</v>
      </c>
      <c r="O164" s="231">
        <v>442</v>
      </c>
      <c r="P164" s="231">
        <v>442</v>
      </c>
      <c r="Q164" s="231"/>
      <c r="R164" s="392">
        <v>83932</v>
      </c>
      <c r="S164" s="231">
        <v>3522</v>
      </c>
      <c r="T164" s="396">
        <v>87454</v>
      </c>
      <c r="U164" s="231"/>
      <c r="V164" s="396"/>
      <c r="W164" s="396"/>
      <c r="X164" s="396">
        <v>495181</v>
      </c>
      <c r="Y164" s="396">
        <v>35370</v>
      </c>
    </row>
    <row r="165" spans="1:25">
      <c r="A165" s="390">
        <v>91423</v>
      </c>
      <c r="B165" s="391" t="s">
        <v>872</v>
      </c>
      <c r="C165" s="234">
        <v>5.6199999999999997E-5</v>
      </c>
      <c r="D165" s="234">
        <v>5.2899999999999998E-5</v>
      </c>
      <c r="E165" s="231">
        <v>200827</v>
      </c>
      <c r="F165" s="231" t="s">
        <v>1924</v>
      </c>
      <c r="G165" s="392">
        <v>25361</v>
      </c>
      <c r="H165" s="392">
        <v>28261</v>
      </c>
      <c r="I165" s="392">
        <v>14945</v>
      </c>
      <c r="J165" s="231">
        <v>4480</v>
      </c>
      <c r="K165" s="231">
        <v>73047</v>
      </c>
      <c r="L165" s="231"/>
      <c r="M165" s="225">
        <v>0</v>
      </c>
      <c r="N165" s="225">
        <v>0</v>
      </c>
      <c r="O165" s="231">
        <v>3425</v>
      </c>
      <c r="P165" s="231">
        <v>3425</v>
      </c>
      <c r="Q165" s="231"/>
      <c r="R165" s="392">
        <v>69063</v>
      </c>
      <c r="S165" s="231">
        <v>1051</v>
      </c>
      <c r="T165" s="396">
        <v>70114</v>
      </c>
      <c r="U165" s="231"/>
      <c r="V165" s="396"/>
      <c r="W165" s="396"/>
      <c r="X165" s="396">
        <v>407455</v>
      </c>
      <c r="Y165" s="396">
        <v>29104</v>
      </c>
    </row>
    <row r="166" spans="1:25">
      <c r="A166" s="390">
        <v>91431</v>
      </c>
      <c r="B166" s="391" t="s">
        <v>873</v>
      </c>
      <c r="C166" s="234">
        <v>1.7760000000000001E-4</v>
      </c>
      <c r="D166" s="234">
        <v>1.819E-4</v>
      </c>
      <c r="E166" s="231">
        <v>634640</v>
      </c>
      <c r="F166" s="231" t="s">
        <v>1924</v>
      </c>
      <c r="G166" s="392">
        <v>80144</v>
      </c>
      <c r="H166" s="392">
        <v>89309</v>
      </c>
      <c r="I166" s="392">
        <v>47230</v>
      </c>
      <c r="J166" s="231">
        <v>23536</v>
      </c>
      <c r="K166" s="231">
        <v>240219</v>
      </c>
      <c r="L166" s="231"/>
      <c r="M166" s="225">
        <v>0</v>
      </c>
      <c r="N166" s="225">
        <v>0</v>
      </c>
      <c r="O166" s="231">
        <v>2225</v>
      </c>
      <c r="P166" s="231">
        <v>2225</v>
      </c>
      <c r="Q166" s="231"/>
      <c r="R166" s="392">
        <v>218248</v>
      </c>
      <c r="S166" s="231">
        <v>10372</v>
      </c>
      <c r="T166" s="396">
        <v>228620</v>
      </c>
      <c r="U166" s="231"/>
      <c r="V166" s="396"/>
      <c r="W166" s="396"/>
      <c r="X166" s="396">
        <v>1287616</v>
      </c>
      <c r="Y166" s="396">
        <v>91972</v>
      </c>
    </row>
    <row r="167" spans="1:25">
      <c r="A167" s="390">
        <v>91441</v>
      </c>
      <c r="B167" s="391" t="s">
        <v>874</v>
      </c>
      <c r="C167" s="234">
        <v>9.5500000000000001E-4</v>
      </c>
      <c r="D167" s="234">
        <v>9.8020000000000008E-4</v>
      </c>
      <c r="E167" s="231">
        <v>3412622</v>
      </c>
      <c r="F167" s="231" t="s">
        <v>1924</v>
      </c>
      <c r="G167" s="392">
        <v>430954</v>
      </c>
      <c r="H167" s="392">
        <v>480235</v>
      </c>
      <c r="I167" s="392">
        <v>253966</v>
      </c>
      <c r="J167" s="231">
        <v>11737</v>
      </c>
      <c r="K167" s="231">
        <v>1176892</v>
      </c>
      <c r="L167" s="231"/>
      <c r="M167" s="225">
        <v>0</v>
      </c>
      <c r="N167" s="225">
        <v>0</v>
      </c>
      <c r="O167" s="231">
        <v>213184</v>
      </c>
      <c r="P167" s="231">
        <v>213184</v>
      </c>
      <c r="Q167" s="231"/>
      <c r="R167" s="392">
        <v>1173576</v>
      </c>
      <c r="S167" s="231">
        <v>-85519</v>
      </c>
      <c r="T167" s="396">
        <v>1088057</v>
      </c>
      <c r="U167" s="231"/>
      <c r="V167" s="396"/>
      <c r="W167" s="396"/>
      <c r="X167" s="396">
        <v>6923838</v>
      </c>
      <c r="Y167" s="396">
        <v>494554</v>
      </c>
    </row>
    <row r="168" spans="1:25">
      <c r="A168" s="390">
        <v>91451</v>
      </c>
      <c r="B168" s="391" t="s">
        <v>875</v>
      </c>
      <c r="C168" s="234">
        <v>1.5448E-3</v>
      </c>
      <c r="D168" s="234">
        <v>1.5533999999999999E-3</v>
      </c>
      <c r="E168" s="231">
        <v>5520228</v>
      </c>
      <c r="F168" s="231" t="s">
        <v>1924</v>
      </c>
      <c r="G168" s="392">
        <v>697108</v>
      </c>
      <c r="H168" s="392">
        <v>776824</v>
      </c>
      <c r="I168" s="392">
        <v>410813</v>
      </c>
      <c r="J168" s="231">
        <v>24806</v>
      </c>
      <c r="K168" s="231">
        <v>1909551</v>
      </c>
      <c r="L168" s="231"/>
      <c r="M168" s="225">
        <v>0</v>
      </c>
      <c r="N168" s="225">
        <v>0</v>
      </c>
      <c r="O168" s="231">
        <v>33045</v>
      </c>
      <c r="P168" s="231">
        <v>33045</v>
      </c>
      <c r="Q168" s="231"/>
      <c r="R168" s="392">
        <v>1898366</v>
      </c>
      <c r="S168" s="231">
        <v>-38491</v>
      </c>
      <c r="T168" s="396">
        <v>1859875</v>
      </c>
      <c r="U168" s="231"/>
      <c r="V168" s="396"/>
      <c r="W168" s="396"/>
      <c r="X168" s="396">
        <v>11199942</v>
      </c>
      <c r="Y168" s="396">
        <v>799987</v>
      </c>
    </row>
    <row r="169" spans="1:25">
      <c r="A169" s="390">
        <v>91457</v>
      </c>
      <c r="B169" s="391" t="s">
        <v>876</v>
      </c>
      <c r="C169" s="234">
        <v>1.4100000000000001E-5</v>
      </c>
      <c r="D169" s="234">
        <v>1.5500000000000001E-5</v>
      </c>
      <c r="E169" s="231">
        <v>50385</v>
      </c>
      <c r="F169" s="231" t="s">
        <v>1924</v>
      </c>
      <c r="G169" s="392">
        <v>6363</v>
      </c>
      <c r="H169" s="392">
        <v>7090</v>
      </c>
      <c r="I169" s="392">
        <v>3750</v>
      </c>
      <c r="J169" s="231">
        <v>25115</v>
      </c>
      <c r="K169" s="231">
        <v>42318</v>
      </c>
      <c r="L169" s="231"/>
      <c r="M169" s="225">
        <v>0</v>
      </c>
      <c r="N169" s="225">
        <v>0</v>
      </c>
      <c r="O169" s="231">
        <v>0</v>
      </c>
      <c r="P169" s="231">
        <v>0</v>
      </c>
      <c r="Q169" s="231"/>
      <c r="R169" s="392">
        <v>17327</v>
      </c>
      <c r="S169" s="231">
        <v>14908</v>
      </c>
      <c r="T169" s="396">
        <v>32235</v>
      </c>
      <c r="U169" s="231"/>
      <c r="V169" s="396"/>
      <c r="W169" s="396"/>
      <c r="X169" s="396">
        <v>102226</v>
      </c>
      <c r="Y169" s="396">
        <v>7302</v>
      </c>
    </row>
    <row r="170" spans="1:25">
      <c r="A170" s="390">
        <v>91461</v>
      </c>
      <c r="B170" s="391" t="s">
        <v>877</v>
      </c>
      <c r="C170" s="234">
        <v>0</v>
      </c>
      <c r="D170" s="234">
        <v>9.5000000000000005E-6</v>
      </c>
      <c r="E170" s="231">
        <v>0</v>
      </c>
      <c r="F170" s="231" t="s">
        <v>1924</v>
      </c>
      <c r="G170" s="392">
        <v>0</v>
      </c>
      <c r="H170" s="392">
        <v>0</v>
      </c>
      <c r="I170" s="392">
        <v>0</v>
      </c>
      <c r="J170" s="231">
        <v>0</v>
      </c>
      <c r="K170" s="231">
        <v>0</v>
      </c>
      <c r="L170" s="231"/>
      <c r="M170" s="225">
        <v>0</v>
      </c>
      <c r="N170" s="225">
        <v>0</v>
      </c>
      <c r="O170" s="231">
        <v>14146</v>
      </c>
      <c r="P170" s="231">
        <v>14146</v>
      </c>
      <c r="Q170" s="231"/>
      <c r="R170" s="392">
        <v>0</v>
      </c>
      <c r="S170" s="231">
        <v>-4791</v>
      </c>
      <c r="T170" s="396">
        <v>-4791</v>
      </c>
      <c r="U170" s="231"/>
      <c r="V170" s="396"/>
      <c r="W170" s="396"/>
      <c r="X170" s="396">
        <v>0</v>
      </c>
      <c r="Y170" s="396">
        <v>0</v>
      </c>
    </row>
    <row r="171" spans="1:25">
      <c r="A171" s="390">
        <v>91501</v>
      </c>
      <c r="B171" s="391" t="s">
        <v>878</v>
      </c>
      <c r="C171" s="234">
        <v>4.9739999999999995E-4</v>
      </c>
      <c r="D171" s="234">
        <v>5.1179999999999997E-4</v>
      </c>
      <c r="E171" s="231">
        <v>1777422</v>
      </c>
      <c r="F171" s="231" t="s">
        <v>1924</v>
      </c>
      <c r="G171" s="392">
        <v>224457</v>
      </c>
      <c r="H171" s="392">
        <v>250124</v>
      </c>
      <c r="I171" s="392">
        <v>132275</v>
      </c>
      <c r="J171" s="231">
        <v>22270</v>
      </c>
      <c r="K171" s="231">
        <v>629126</v>
      </c>
      <c r="L171" s="231"/>
      <c r="M171" s="225">
        <v>0</v>
      </c>
      <c r="N171" s="225">
        <v>0</v>
      </c>
      <c r="O171" s="231">
        <v>26734</v>
      </c>
      <c r="P171" s="231">
        <v>26734</v>
      </c>
      <c r="Q171" s="231"/>
      <c r="R171" s="392">
        <v>611242</v>
      </c>
      <c r="S171" s="231">
        <v>-1475</v>
      </c>
      <c r="T171" s="396">
        <v>609767</v>
      </c>
      <c r="U171" s="231"/>
      <c r="V171" s="396"/>
      <c r="W171" s="396"/>
      <c r="X171" s="396">
        <v>3606196</v>
      </c>
      <c r="Y171" s="396">
        <v>257583</v>
      </c>
    </row>
    <row r="172" spans="1:25">
      <c r="A172" s="390">
        <v>91504</v>
      </c>
      <c r="B172" s="391" t="s">
        <v>879</v>
      </c>
      <c r="C172" s="234">
        <v>8.1000000000000004E-6</v>
      </c>
      <c r="D172" s="234">
        <v>8.3999999999999992E-6</v>
      </c>
      <c r="E172" s="231">
        <v>28945</v>
      </c>
      <c r="F172" s="231" t="s">
        <v>1924</v>
      </c>
      <c r="G172" s="392">
        <v>3655</v>
      </c>
      <c r="H172" s="392">
        <v>4074</v>
      </c>
      <c r="I172" s="392">
        <v>2154</v>
      </c>
      <c r="J172" s="231">
        <v>4287</v>
      </c>
      <c r="K172" s="231">
        <v>14170</v>
      </c>
      <c r="L172" s="231"/>
      <c r="M172" s="225">
        <v>0</v>
      </c>
      <c r="N172" s="225">
        <v>0</v>
      </c>
      <c r="O172" s="231">
        <v>0</v>
      </c>
      <c r="P172" s="231">
        <v>0</v>
      </c>
      <c r="Q172" s="231"/>
      <c r="R172" s="392">
        <v>9954</v>
      </c>
      <c r="S172" s="231">
        <v>2157</v>
      </c>
      <c r="T172" s="396">
        <v>12111</v>
      </c>
      <c r="U172" s="231"/>
      <c r="V172" s="396"/>
      <c r="W172" s="396"/>
      <c r="X172" s="396">
        <v>58726</v>
      </c>
      <c r="Y172" s="396">
        <v>4195</v>
      </c>
    </row>
    <row r="173" spans="1:25">
      <c r="A173" s="390">
        <v>91601</v>
      </c>
      <c r="B173" s="391" t="s">
        <v>880</v>
      </c>
      <c r="C173" s="234">
        <v>2.8121999999999999E-3</v>
      </c>
      <c r="D173" s="234">
        <v>3.0071E-3</v>
      </c>
      <c r="E173" s="231">
        <v>10049189</v>
      </c>
      <c r="F173" s="231" t="s">
        <v>1924</v>
      </c>
      <c r="G173" s="392">
        <v>1269036</v>
      </c>
      <c r="H173" s="392">
        <v>1414154</v>
      </c>
      <c r="I173" s="392">
        <v>747857</v>
      </c>
      <c r="J173" s="231">
        <v>171115</v>
      </c>
      <c r="K173" s="231">
        <v>3602162</v>
      </c>
      <c r="L173" s="231"/>
      <c r="M173" s="225">
        <v>0</v>
      </c>
      <c r="N173" s="225">
        <v>0</v>
      </c>
      <c r="O173" s="231">
        <v>170176</v>
      </c>
      <c r="P173" s="231">
        <v>170176</v>
      </c>
      <c r="Q173" s="231"/>
      <c r="R173" s="392">
        <v>3455842</v>
      </c>
      <c r="S173" s="231">
        <v>24611</v>
      </c>
      <c r="T173" s="396">
        <v>3480453</v>
      </c>
      <c r="U173" s="231"/>
      <c r="V173" s="396"/>
      <c r="W173" s="396"/>
      <c r="X173" s="396">
        <v>20388709</v>
      </c>
      <c r="Y173" s="396">
        <v>1456320</v>
      </c>
    </row>
    <row r="174" spans="1:25">
      <c r="A174" s="390">
        <v>91604</v>
      </c>
      <c r="B174" s="391" t="s">
        <v>881</v>
      </c>
      <c r="C174" s="234">
        <v>8.1600000000000005E-5</v>
      </c>
      <c r="D174" s="234">
        <v>8.5599999999999994E-5</v>
      </c>
      <c r="E174" s="231">
        <v>291592</v>
      </c>
      <c r="F174" s="231" t="s">
        <v>1924</v>
      </c>
      <c r="G174" s="392">
        <v>36823</v>
      </c>
      <c r="H174" s="392">
        <v>41033</v>
      </c>
      <c r="I174" s="392">
        <v>21700</v>
      </c>
      <c r="J174" s="231">
        <v>26940</v>
      </c>
      <c r="K174" s="231">
        <v>126496</v>
      </c>
      <c r="L174" s="231"/>
      <c r="M174" s="225">
        <v>0</v>
      </c>
      <c r="N174" s="225">
        <v>0</v>
      </c>
      <c r="O174" s="231">
        <v>0</v>
      </c>
      <c r="P174" s="231">
        <v>0</v>
      </c>
      <c r="Q174" s="231"/>
      <c r="R174" s="392">
        <v>100276</v>
      </c>
      <c r="S174" s="231">
        <v>13475</v>
      </c>
      <c r="T174" s="396">
        <v>113751</v>
      </c>
      <c r="U174" s="231"/>
      <c r="V174" s="396"/>
      <c r="W174" s="396"/>
      <c r="X174" s="396">
        <v>591608</v>
      </c>
      <c r="Y174" s="396">
        <v>42257</v>
      </c>
    </row>
    <row r="175" spans="1:25">
      <c r="A175" s="390">
        <v>91608</v>
      </c>
      <c r="B175" s="391" t="s">
        <v>882</v>
      </c>
      <c r="C175" s="234">
        <v>1.7579999999999999E-4</v>
      </c>
      <c r="D175" s="234">
        <v>1.5420000000000001E-4</v>
      </c>
      <c r="E175" s="231">
        <v>628208</v>
      </c>
      <c r="F175" s="231" t="s">
        <v>1924</v>
      </c>
      <c r="G175" s="392">
        <v>79332</v>
      </c>
      <c r="H175" s="392">
        <v>88404</v>
      </c>
      <c r="I175" s="392">
        <v>46751</v>
      </c>
      <c r="J175" s="231">
        <v>3971</v>
      </c>
      <c r="K175" s="231">
        <v>218458</v>
      </c>
      <c r="L175" s="231"/>
      <c r="M175" s="225">
        <v>0</v>
      </c>
      <c r="N175" s="225">
        <v>0</v>
      </c>
      <c r="O175" s="231">
        <v>25203</v>
      </c>
      <c r="P175" s="231">
        <v>25203</v>
      </c>
      <c r="Q175" s="231"/>
      <c r="R175" s="392">
        <v>216036</v>
      </c>
      <c r="S175" s="231">
        <v>-10660</v>
      </c>
      <c r="T175" s="396">
        <v>205376</v>
      </c>
      <c r="U175" s="231"/>
      <c r="V175" s="396"/>
      <c r="W175" s="396"/>
      <c r="X175" s="396">
        <v>1274566</v>
      </c>
      <c r="Y175" s="396">
        <v>91039</v>
      </c>
    </row>
    <row r="176" spans="1:25">
      <c r="A176" s="390">
        <v>91611</v>
      </c>
      <c r="B176" s="391" t="s">
        <v>883</v>
      </c>
      <c r="C176" s="234">
        <v>1.4962E-3</v>
      </c>
      <c r="D176" s="234">
        <v>1.4658E-3</v>
      </c>
      <c r="E176" s="231">
        <v>5346560</v>
      </c>
      <c r="F176" s="231" t="s">
        <v>1924</v>
      </c>
      <c r="G176" s="392">
        <v>675177</v>
      </c>
      <c r="H176" s="392">
        <v>752385</v>
      </c>
      <c r="I176" s="392">
        <v>397889</v>
      </c>
      <c r="J176" s="231">
        <v>0</v>
      </c>
      <c r="K176" s="231">
        <v>1825451</v>
      </c>
      <c r="L176" s="231"/>
      <c r="M176" s="225">
        <v>0</v>
      </c>
      <c r="N176" s="225">
        <v>0</v>
      </c>
      <c r="O176" s="231">
        <v>135172</v>
      </c>
      <c r="P176" s="231">
        <v>135172</v>
      </c>
      <c r="Q176" s="231"/>
      <c r="R176" s="392">
        <v>1838643</v>
      </c>
      <c r="S176" s="231">
        <v>-63036</v>
      </c>
      <c r="T176" s="396">
        <v>1775607</v>
      </c>
      <c r="U176" s="231"/>
      <c r="V176" s="396"/>
      <c r="W176" s="396"/>
      <c r="X176" s="396">
        <v>10847588</v>
      </c>
      <c r="Y176" s="396">
        <v>774819</v>
      </c>
    </row>
    <row r="177" spans="1:25">
      <c r="A177" s="390">
        <v>91621</v>
      </c>
      <c r="B177" s="391" t="s">
        <v>884</v>
      </c>
      <c r="C177" s="234">
        <v>2.7169999999999999E-4</v>
      </c>
      <c r="D177" s="234">
        <v>2.418E-4</v>
      </c>
      <c r="E177" s="231">
        <v>970900</v>
      </c>
      <c r="F177" s="231" t="s">
        <v>1924</v>
      </c>
      <c r="G177" s="392">
        <v>122608</v>
      </c>
      <c r="H177" s="392">
        <v>136629</v>
      </c>
      <c r="I177" s="392">
        <v>72254</v>
      </c>
      <c r="J177" s="231">
        <v>35127</v>
      </c>
      <c r="K177" s="231">
        <v>366618</v>
      </c>
      <c r="L177" s="231"/>
      <c r="M177" s="225">
        <v>0</v>
      </c>
      <c r="N177" s="225">
        <v>0</v>
      </c>
      <c r="O177" s="231">
        <v>16509</v>
      </c>
      <c r="P177" s="231">
        <v>16509</v>
      </c>
      <c r="Q177" s="231"/>
      <c r="R177" s="392">
        <v>333885</v>
      </c>
      <c r="S177" s="231">
        <v>4168</v>
      </c>
      <c r="T177" s="396">
        <v>338053</v>
      </c>
      <c r="U177" s="231"/>
      <c r="V177" s="396"/>
      <c r="W177" s="396"/>
      <c r="X177" s="396">
        <v>1969850</v>
      </c>
      <c r="Y177" s="396">
        <v>140702</v>
      </c>
    </row>
    <row r="178" spans="1:25">
      <c r="A178" s="390">
        <v>91631</v>
      </c>
      <c r="B178" s="391" t="s">
        <v>885</v>
      </c>
      <c r="C178" s="234">
        <v>6.4579999999999998E-4</v>
      </c>
      <c r="D178" s="234">
        <v>5.9349999999999995E-4</v>
      </c>
      <c r="E178" s="231">
        <v>2307719</v>
      </c>
      <c r="F178" s="231" t="s">
        <v>1924</v>
      </c>
      <c r="G178" s="392">
        <v>291424</v>
      </c>
      <c r="H178" s="392">
        <v>324750</v>
      </c>
      <c r="I178" s="392">
        <v>171740</v>
      </c>
      <c r="J178" s="231">
        <v>61915</v>
      </c>
      <c r="K178" s="231">
        <v>849829</v>
      </c>
      <c r="L178" s="231"/>
      <c r="M178" s="225">
        <v>0</v>
      </c>
      <c r="N178" s="225">
        <v>0</v>
      </c>
      <c r="O178" s="231">
        <v>8657</v>
      </c>
      <c r="P178" s="231">
        <v>8657</v>
      </c>
      <c r="Q178" s="231"/>
      <c r="R178" s="392">
        <v>793607</v>
      </c>
      <c r="S178" s="231">
        <v>6121</v>
      </c>
      <c r="T178" s="396">
        <v>799728</v>
      </c>
      <c r="U178" s="231"/>
      <c r="V178" s="396"/>
      <c r="W178" s="396"/>
      <c r="X178" s="396">
        <v>4682109</v>
      </c>
      <c r="Y178" s="396">
        <v>334433</v>
      </c>
    </row>
    <row r="179" spans="1:25">
      <c r="A179" s="390">
        <v>91633</v>
      </c>
      <c r="B179" s="391" t="s">
        <v>886</v>
      </c>
      <c r="C179" s="234">
        <v>3.0499999999999999E-5</v>
      </c>
      <c r="D179" s="234">
        <v>3.15E-5</v>
      </c>
      <c r="E179" s="231">
        <v>108989</v>
      </c>
      <c r="F179" s="231" t="s">
        <v>1924</v>
      </c>
      <c r="G179" s="392">
        <v>13763</v>
      </c>
      <c r="H179" s="392">
        <v>15338</v>
      </c>
      <c r="I179" s="392">
        <v>8111</v>
      </c>
      <c r="J179" s="231">
        <v>6572</v>
      </c>
      <c r="K179" s="231">
        <v>43784</v>
      </c>
      <c r="L179" s="231"/>
      <c r="M179" s="225">
        <v>0</v>
      </c>
      <c r="N179" s="225">
        <v>0</v>
      </c>
      <c r="O179" s="231">
        <v>4611</v>
      </c>
      <c r="P179" s="231">
        <v>4611</v>
      </c>
      <c r="Q179" s="231"/>
      <c r="R179" s="392">
        <v>37481</v>
      </c>
      <c r="S179" s="231">
        <v>732</v>
      </c>
      <c r="T179" s="396">
        <v>38213</v>
      </c>
      <c r="U179" s="231"/>
      <c r="V179" s="396"/>
      <c r="W179" s="396"/>
      <c r="X179" s="396">
        <v>221128</v>
      </c>
      <c r="Y179" s="396">
        <v>15795</v>
      </c>
    </row>
    <row r="180" spans="1:25">
      <c r="A180" s="390">
        <v>91641</v>
      </c>
      <c r="B180" s="391" t="s">
        <v>887</v>
      </c>
      <c r="C180" s="234">
        <v>3.0420000000000002E-4</v>
      </c>
      <c r="D180" s="234">
        <v>2.8519999999999999E-4</v>
      </c>
      <c r="E180" s="231">
        <v>1087036</v>
      </c>
      <c r="F180" s="231" t="s">
        <v>1924</v>
      </c>
      <c r="G180" s="392">
        <v>137274</v>
      </c>
      <c r="H180" s="392">
        <v>152971</v>
      </c>
      <c r="I180" s="392">
        <v>80897</v>
      </c>
      <c r="J180" s="231">
        <v>5474</v>
      </c>
      <c r="K180" s="231">
        <v>376616</v>
      </c>
      <c r="L180" s="231"/>
      <c r="M180" s="225">
        <v>0</v>
      </c>
      <c r="N180" s="225">
        <v>0</v>
      </c>
      <c r="O180" s="231">
        <v>23886</v>
      </c>
      <c r="P180" s="231">
        <v>23886</v>
      </c>
      <c r="Q180" s="231"/>
      <c r="R180" s="392">
        <v>373824</v>
      </c>
      <c r="S180" s="231">
        <v>-19247</v>
      </c>
      <c r="T180" s="396">
        <v>354577</v>
      </c>
      <c r="U180" s="231"/>
      <c r="V180" s="396"/>
      <c r="W180" s="396"/>
      <c r="X180" s="396">
        <v>2205478</v>
      </c>
      <c r="Y180" s="396">
        <v>157532</v>
      </c>
    </row>
    <row r="181" spans="1:25">
      <c r="A181" s="390">
        <v>91651</v>
      </c>
      <c r="B181" s="391" t="s">
        <v>888</v>
      </c>
      <c r="C181" s="234">
        <v>5.3629999999999997E-4</v>
      </c>
      <c r="D181" s="234">
        <v>5.4049999999999996E-4</v>
      </c>
      <c r="E181" s="231">
        <v>1916428</v>
      </c>
      <c r="F181" s="231" t="s">
        <v>1924</v>
      </c>
      <c r="G181" s="392">
        <v>242011</v>
      </c>
      <c r="H181" s="392">
        <v>269686</v>
      </c>
      <c r="I181" s="392">
        <v>142620</v>
      </c>
      <c r="J181" s="231">
        <v>52407</v>
      </c>
      <c r="K181" s="231">
        <v>706724</v>
      </c>
      <c r="L181" s="231"/>
      <c r="M181" s="225">
        <v>0</v>
      </c>
      <c r="N181" s="225">
        <v>0</v>
      </c>
      <c r="O181" s="231">
        <v>9654</v>
      </c>
      <c r="P181" s="231">
        <v>9654</v>
      </c>
      <c r="Q181" s="231"/>
      <c r="R181" s="392">
        <v>659046</v>
      </c>
      <c r="S181" s="231">
        <v>11130</v>
      </c>
      <c r="T181" s="396">
        <v>670176</v>
      </c>
      <c r="U181" s="231"/>
      <c r="V181" s="396"/>
      <c r="W181" s="396"/>
      <c r="X181" s="396">
        <v>3888224</v>
      </c>
      <c r="Y181" s="396">
        <v>277727</v>
      </c>
    </row>
    <row r="182" spans="1:25">
      <c r="A182" s="390">
        <v>91661</v>
      </c>
      <c r="B182" s="391" t="s">
        <v>889</v>
      </c>
      <c r="C182" s="234">
        <v>1.985E-4</v>
      </c>
      <c r="D182" s="234">
        <v>1.8760000000000001E-4</v>
      </c>
      <c r="E182" s="231">
        <v>709325</v>
      </c>
      <c r="F182" s="231" t="s">
        <v>1924</v>
      </c>
      <c r="G182" s="392">
        <v>89575</v>
      </c>
      <c r="H182" s="392">
        <v>99818</v>
      </c>
      <c r="I182" s="392">
        <v>52788</v>
      </c>
      <c r="J182" s="231">
        <v>0</v>
      </c>
      <c r="K182" s="231">
        <v>242181</v>
      </c>
      <c r="L182" s="231"/>
      <c r="M182" s="225">
        <v>0</v>
      </c>
      <c r="N182" s="225">
        <v>0</v>
      </c>
      <c r="O182" s="231">
        <v>26417</v>
      </c>
      <c r="P182" s="231">
        <v>26417</v>
      </c>
      <c r="Q182" s="231"/>
      <c r="R182" s="392">
        <v>243932</v>
      </c>
      <c r="S182" s="231">
        <v>-18226</v>
      </c>
      <c r="T182" s="396">
        <v>225706</v>
      </c>
      <c r="U182" s="231"/>
      <c r="V182" s="396"/>
      <c r="W182" s="396"/>
      <c r="X182" s="396">
        <v>1439143</v>
      </c>
      <c r="Y182" s="396">
        <v>102795</v>
      </c>
    </row>
    <row r="183" spans="1:25">
      <c r="A183" s="390">
        <v>91671</v>
      </c>
      <c r="B183" s="391" t="s">
        <v>890</v>
      </c>
      <c r="C183" s="234">
        <v>9.3700000000000001E-5</v>
      </c>
      <c r="D183" s="234">
        <v>1.076E-4</v>
      </c>
      <c r="E183" s="231">
        <v>334830</v>
      </c>
      <c r="F183" s="231" t="s">
        <v>1924</v>
      </c>
      <c r="G183" s="392">
        <v>42283</v>
      </c>
      <c r="H183" s="392">
        <v>47118</v>
      </c>
      <c r="I183" s="392">
        <v>24918</v>
      </c>
      <c r="J183" s="231">
        <v>2639</v>
      </c>
      <c r="K183" s="231">
        <v>116958</v>
      </c>
      <c r="L183" s="231"/>
      <c r="M183" s="225">
        <v>0</v>
      </c>
      <c r="N183" s="225">
        <v>0</v>
      </c>
      <c r="O183" s="231">
        <v>32011</v>
      </c>
      <c r="P183" s="231">
        <v>32011</v>
      </c>
      <c r="Q183" s="231"/>
      <c r="R183" s="392">
        <v>115146</v>
      </c>
      <c r="S183" s="231">
        <v>-8552</v>
      </c>
      <c r="T183" s="396">
        <v>106594</v>
      </c>
      <c r="U183" s="231"/>
      <c r="V183" s="396"/>
      <c r="W183" s="396"/>
      <c r="X183" s="396">
        <v>679334</v>
      </c>
      <c r="Y183" s="396">
        <v>48523</v>
      </c>
    </row>
    <row r="184" spans="1:25">
      <c r="A184" s="390">
        <v>91681</v>
      </c>
      <c r="B184" s="391" t="s">
        <v>891</v>
      </c>
      <c r="C184" s="234">
        <v>4.6890000000000001E-4</v>
      </c>
      <c r="D184" s="234">
        <v>4.5909999999999999E-4</v>
      </c>
      <c r="E184" s="231">
        <v>1675579</v>
      </c>
      <c r="F184" s="231" t="s">
        <v>1924</v>
      </c>
      <c r="G184" s="392">
        <v>211596</v>
      </c>
      <c r="H184" s="392">
        <v>235793</v>
      </c>
      <c r="I184" s="392">
        <v>124696</v>
      </c>
      <c r="J184" s="231">
        <v>203898</v>
      </c>
      <c r="K184" s="231">
        <v>775983</v>
      </c>
      <c r="L184" s="231"/>
      <c r="M184" s="225">
        <v>0</v>
      </c>
      <c r="N184" s="225">
        <v>0</v>
      </c>
      <c r="O184" s="231">
        <v>4157</v>
      </c>
      <c r="P184" s="231">
        <v>4157</v>
      </c>
      <c r="Q184" s="231"/>
      <c r="R184" s="392">
        <v>576219</v>
      </c>
      <c r="S184" s="231">
        <v>123553</v>
      </c>
      <c r="T184" s="396">
        <v>699772</v>
      </c>
      <c r="U184" s="231"/>
      <c r="V184" s="396"/>
      <c r="W184" s="396"/>
      <c r="X184" s="396">
        <v>3399568</v>
      </c>
      <c r="Y184" s="396">
        <v>242824</v>
      </c>
    </row>
    <row r="185" spans="1:25">
      <c r="A185" s="390">
        <v>91691</v>
      </c>
      <c r="B185" s="391" t="s">
        <v>892</v>
      </c>
      <c r="C185" s="234">
        <v>1.42E-5</v>
      </c>
      <c r="D185" s="234">
        <v>2.2900000000000001E-5</v>
      </c>
      <c r="E185" s="231">
        <v>50743</v>
      </c>
      <c r="F185" s="231" t="s">
        <v>1924</v>
      </c>
      <c r="G185" s="392">
        <v>6408</v>
      </c>
      <c r="H185" s="392">
        <v>7140</v>
      </c>
      <c r="I185" s="392">
        <v>3776</v>
      </c>
      <c r="J185" s="231">
        <v>1532</v>
      </c>
      <c r="K185" s="231">
        <v>18856</v>
      </c>
      <c r="L185" s="231"/>
      <c r="M185" s="225">
        <v>0</v>
      </c>
      <c r="N185" s="225">
        <v>0</v>
      </c>
      <c r="O185" s="231">
        <v>5065</v>
      </c>
      <c r="P185" s="231">
        <v>5065</v>
      </c>
      <c r="Q185" s="231"/>
      <c r="R185" s="392">
        <v>17450</v>
      </c>
      <c r="S185" s="231">
        <v>-865</v>
      </c>
      <c r="T185" s="396">
        <v>16585</v>
      </c>
      <c r="U185" s="231"/>
      <c r="V185" s="396"/>
      <c r="W185" s="396"/>
      <c r="X185" s="396">
        <v>102951</v>
      </c>
      <c r="Y185" s="396">
        <v>7354</v>
      </c>
    </row>
    <row r="186" spans="1:25">
      <c r="A186" s="390">
        <v>91701</v>
      </c>
      <c r="B186" s="391" t="s">
        <v>893</v>
      </c>
      <c r="C186" s="234">
        <v>1.1245999999999999E-3</v>
      </c>
      <c r="D186" s="234">
        <v>1.1343E-3</v>
      </c>
      <c r="E186" s="231">
        <v>4018675</v>
      </c>
      <c r="F186" s="231" t="s">
        <v>1924</v>
      </c>
      <c r="G186" s="392">
        <v>507488</v>
      </c>
      <c r="H186" s="392">
        <v>565521</v>
      </c>
      <c r="I186" s="392">
        <v>299068</v>
      </c>
      <c r="J186" s="231">
        <v>20317</v>
      </c>
      <c r="K186" s="231">
        <v>1392394</v>
      </c>
      <c r="L186" s="231"/>
      <c r="M186" s="225">
        <v>0</v>
      </c>
      <c r="N186" s="225">
        <v>0</v>
      </c>
      <c r="O186" s="231">
        <v>98356</v>
      </c>
      <c r="P186" s="231">
        <v>98356</v>
      </c>
      <c r="Q186" s="231"/>
      <c r="R186" s="392">
        <v>1381993</v>
      </c>
      <c r="S186" s="231">
        <v>-11757</v>
      </c>
      <c r="T186" s="396">
        <v>1370236</v>
      </c>
      <c r="U186" s="231"/>
      <c r="V186" s="396"/>
      <c r="W186" s="396"/>
      <c r="X186" s="396">
        <v>8153453</v>
      </c>
      <c r="Y186" s="396">
        <v>582383</v>
      </c>
    </row>
    <row r="187" spans="1:25">
      <c r="A187" s="390">
        <v>91704</v>
      </c>
      <c r="B187" s="391" t="s">
        <v>894</v>
      </c>
      <c r="C187" s="234">
        <v>1.66E-5</v>
      </c>
      <c r="D187" s="234">
        <v>1.7600000000000001E-5</v>
      </c>
      <c r="E187" s="231">
        <v>59319</v>
      </c>
      <c r="F187" s="231" t="s">
        <v>1924</v>
      </c>
      <c r="G187" s="392">
        <v>7491</v>
      </c>
      <c r="H187" s="392">
        <v>8348</v>
      </c>
      <c r="I187" s="392">
        <v>4414</v>
      </c>
      <c r="J187" s="231">
        <v>506</v>
      </c>
      <c r="K187" s="231">
        <v>20759</v>
      </c>
      <c r="L187" s="231"/>
      <c r="M187" s="225">
        <v>0</v>
      </c>
      <c r="N187" s="225">
        <v>0</v>
      </c>
      <c r="O187" s="231">
        <v>22</v>
      </c>
      <c r="P187" s="231">
        <v>22</v>
      </c>
      <c r="Q187" s="231"/>
      <c r="R187" s="392">
        <v>20399</v>
      </c>
      <c r="S187" s="231">
        <v>201</v>
      </c>
      <c r="T187" s="396">
        <v>20600</v>
      </c>
      <c r="U187" s="231"/>
      <c r="V187" s="396"/>
      <c r="W187" s="396"/>
      <c r="X187" s="396">
        <v>120352</v>
      </c>
      <c r="Y187" s="396">
        <v>8596</v>
      </c>
    </row>
    <row r="188" spans="1:25">
      <c r="A188" s="390">
        <v>91706</v>
      </c>
      <c r="B188" s="391" t="s">
        <v>895</v>
      </c>
      <c r="C188" s="234">
        <v>2.231E-4</v>
      </c>
      <c r="D188" s="234">
        <v>2.543E-4</v>
      </c>
      <c r="E188" s="231">
        <v>797231</v>
      </c>
      <c r="F188" s="231" t="s">
        <v>1924</v>
      </c>
      <c r="G188" s="392">
        <v>100676</v>
      </c>
      <c r="H188" s="392">
        <v>112189</v>
      </c>
      <c r="I188" s="392">
        <v>59330</v>
      </c>
      <c r="J188" s="231">
        <v>40310</v>
      </c>
      <c r="K188" s="231">
        <v>312505</v>
      </c>
      <c r="L188" s="231"/>
      <c r="M188" s="225">
        <v>0</v>
      </c>
      <c r="N188" s="225">
        <v>0</v>
      </c>
      <c r="O188" s="231">
        <v>25754</v>
      </c>
      <c r="P188" s="231">
        <v>25754</v>
      </c>
      <c r="Q188" s="231"/>
      <c r="R188" s="392">
        <v>274162</v>
      </c>
      <c r="S188" s="231">
        <v>7994</v>
      </c>
      <c r="T188" s="396">
        <v>282156</v>
      </c>
      <c r="U188" s="231"/>
      <c r="V188" s="396"/>
      <c r="W188" s="396"/>
      <c r="X188" s="396">
        <v>1617496</v>
      </c>
      <c r="Y188" s="396">
        <v>115534</v>
      </c>
    </row>
    <row r="189" spans="1:25">
      <c r="A189" s="390">
        <v>91719</v>
      </c>
      <c r="B189" s="391" t="s">
        <v>896</v>
      </c>
      <c r="C189" s="234">
        <v>5.5999999999999999E-5</v>
      </c>
      <c r="D189" s="234">
        <v>5.6700000000000003E-5</v>
      </c>
      <c r="E189" s="231">
        <v>200112</v>
      </c>
      <c r="F189" s="231" t="s">
        <v>1924</v>
      </c>
      <c r="G189" s="392">
        <v>25271</v>
      </c>
      <c r="H189" s="392">
        <v>28160</v>
      </c>
      <c r="I189" s="392">
        <v>14892</v>
      </c>
      <c r="J189" s="231">
        <v>267</v>
      </c>
      <c r="K189" s="231">
        <v>68590</v>
      </c>
      <c r="L189" s="231"/>
      <c r="M189" s="225">
        <v>0</v>
      </c>
      <c r="N189" s="225">
        <v>0</v>
      </c>
      <c r="O189" s="231">
        <v>10068</v>
      </c>
      <c r="P189" s="231">
        <v>10068</v>
      </c>
      <c r="Q189" s="231"/>
      <c r="R189" s="392">
        <v>68817</v>
      </c>
      <c r="S189" s="231">
        <v>-3768</v>
      </c>
      <c r="T189" s="396">
        <v>65049</v>
      </c>
      <c r="U189" s="231"/>
      <c r="V189" s="396"/>
      <c r="W189" s="396"/>
      <c r="X189" s="396">
        <v>406005</v>
      </c>
      <c r="Y189" s="396">
        <v>29000</v>
      </c>
    </row>
    <row r="190" spans="1:25">
      <c r="A190" s="390">
        <v>91801</v>
      </c>
      <c r="B190" s="391" t="s">
        <v>897</v>
      </c>
      <c r="C190" s="234">
        <v>7.6594000000000002E-3</v>
      </c>
      <c r="D190" s="234">
        <v>7.5972000000000001E-3</v>
      </c>
      <c r="E190" s="231">
        <v>27370299</v>
      </c>
      <c r="F190" s="231" t="s">
        <v>1924</v>
      </c>
      <c r="G190" s="392">
        <v>3456389</v>
      </c>
      <c r="H190" s="392">
        <v>3851636</v>
      </c>
      <c r="I190" s="392">
        <v>2036887</v>
      </c>
      <c r="J190" s="231">
        <v>127625</v>
      </c>
      <c r="K190" s="231">
        <v>9472537</v>
      </c>
      <c r="L190" s="231"/>
      <c r="M190" s="225">
        <v>0</v>
      </c>
      <c r="N190" s="225">
        <v>0</v>
      </c>
      <c r="O190" s="231">
        <v>311886</v>
      </c>
      <c r="P190" s="231">
        <v>311886</v>
      </c>
      <c r="Q190" s="231"/>
      <c r="R190" s="392">
        <v>9412445</v>
      </c>
      <c r="S190" s="231">
        <v>-114152</v>
      </c>
      <c r="T190" s="396">
        <v>9298293</v>
      </c>
      <c r="U190" s="231"/>
      <c r="V190" s="396"/>
      <c r="W190" s="396"/>
      <c r="X190" s="396">
        <v>55531355</v>
      </c>
      <c r="Y190" s="396">
        <v>3966482</v>
      </c>
    </row>
    <row r="191" spans="1:25">
      <c r="A191" s="390">
        <v>91804</v>
      </c>
      <c r="B191" s="391" t="s">
        <v>898</v>
      </c>
      <c r="C191" s="234">
        <v>1.382E-4</v>
      </c>
      <c r="D191" s="234">
        <v>1.2459999999999999E-4</v>
      </c>
      <c r="E191" s="231">
        <v>493847</v>
      </c>
      <c r="F191" s="231" t="s">
        <v>1924</v>
      </c>
      <c r="G191" s="392">
        <v>62364</v>
      </c>
      <c r="H191" s="392">
        <v>69496</v>
      </c>
      <c r="I191" s="392">
        <v>36752</v>
      </c>
      <c r="J191" s="231">
        <v>87131</v>
      </c>
      <c r="K191" s="231">
        <v>255743</v>
      </c>
      <c r="L191" s="231"/>
      <c r="M191" s="225">
        <v>0</v>
      </c>
      <c r="N191" s="225">
        <v>0</v>
      </c>
      <c r="O191" s="231">
        <v>0</v>
      </c>
      <c r="P191" s="231">
        <v>0</v>
      </c>
      <c r="Q191" s="231"/>
      <c r="R191" s="392">
        <v>169831</v>
      </c>
      <c r="S191" s="231">
        <v>40975</v>
      </c>
      <c r="T191" s="396">
        <v>210806</v>
      </c>
      <c r="U191" s="231"/>
      <c r="V191" s="396"/>
      <c r="W191" s="396"/>
      <c r="X191" s="396">
        <v>1001963</v>
      </c>
      <c r="Y191" s="396">
        <v>71568</v>
      </c>
    </row>
    <row r="192" spans="1:25">
      <c r="A192" s="390">
        <v>91811</v>
      </c>
      <c r="B192" s="391" t="s">
        <v>899</v>
      </c>
      <c r="C192" s="234">
        <v>4.3679000000000001E-3</v>
      </c>
      <c r="D192" s="234">
        <v>4.2429E-3</v>
      </c>
      <c r="E192" s="231">
        <v>15608367</v>
      </c>
      <c r="F192" s="231" t="s">
        <v>1924</v>
      </c>
      <c r="G192" s="392">
        <v>1971063</v>
      </c>
      <c r="H192" s="392">
        <v>2196459</v>
      </c>
      <c r="I192" s="392">
        <v>1161569</v>
      </c>
      <c r="J192" s="231">
        <v>112065</v>
      </c>
      <c r="K192" s="231">
        <v>5441156</v>
      </c>
      <c r="L192" s="231"/>
      <c r="M192" s="225">
        <v>0</v>
      </c>
      <c r="N192" s="225">
        <v>0</v>
      </c>
      <c r="O192" s="231">
        <v>272288</v>
      </c>
      <c r="P192" s="231">
        <v>272288</v>
      </c>
      <c r="Q192" s="231"/>
      <c r="R192" s="392">
        <v>5367603</v>
      </c>
      <c r="S192" s="231">
        <v>-167068</v>
      </c>
      <c r="T192" s="396">
        <v>5200535</v>
      </c>
      <c r="U192" s="231"/>
      <c r="V192" s="396"/>
      <c r="W192" s="396"/>
      <c r="X192" s="396">
        <v>31667677</v>
      </c>
      <c r="Y192" s="396">
        <v>2261952</v>
      </c>
    </row>
    <row r="193" spans="1:25">
      <c r="A193" s="390">
        <v>91812</v>
      </c>
      <c r="B193" s="391" t="s">
        <v>900</v>
      </c>
      <c r="C193" s="234">
        <v>5.7299999999999997E-5</v>
      </c>
      <c r="D193" s="234">
        <v>4.5599999999999997E-5</v>
      </c>
      <c r="E193" s="231">
        <v>204757</v>
      </c>
      <c r="F193" s="231" t="s">
        <v>1924</v>
      </c>
      <c r="G193" s="392">
        <v>25857</v>
      </c>
      <c r="H193" s="392">
        <v>28814</v>
      </c>
      <c r="I193" s="392">
        <v>15238</v>
      </c>
      <c r="J193" s="231">
        <v>21600</v>
      </c>
      <c r="K193" s="231">
        <v>91509</v>
      </c>
      <c r="L193" s="231"/>
      <c r="M193" s="225">
        <v>0</v>
      </c>
      <c r="N193" s="225">
        <v>0</v>
      </c>
      <c r="O193" s="231">
        <v>2547</v>
      </c>
      <c r="P193" s="231">
        <v>2547</v>
      </c>
      <c r="Q193" s="231"/>
      <c r="R193" s="392">
        <v>70415</v>
      </c>
      <c r="S193" s="231">
        <v>8363</v>
      </c>
      <c r="T193" s="396">
        <v>78778</v>
      </c>
      <c r="U193" s="231"/>
      <c r="V193" s="396"/>
      <c r="W193" s="396"/>
      <c r="X193" s="396">
        <v>415430</v>
      </c>
      <c r="Y193" s="396">
        <v>29673</v>
      </c>
    </row>
    <row r="194" spans="1:25">
      <c r="A194" s="390">
        <v>91813</v>
      </c>
      <c r="B194" s="391" t="s">
        <v>901</v>
      </c>
      <c r="C194" s="234">
        <v>7.7299999999999995E-5</v>
      </c>
      <c r="D194" s="234">
        <v>7.1500000000000003E-5</v>
      </c>
      <c r="E194" s="231">
        <v>276226</v>
      </c>
      <c r="F194" s="231" t="s">
        <v>1924</v>
      </c>
      <c r="G194" s="392">
        <v>34882</v>
      </c>
      <c r="H194" s="392">
        <v>38872</v>
      </c>
      <c r="I194" s="392">
        <v>20557</v>
      </c>
      <c r="J194" s="231">
        <v>12814</v>
      </c>
      <c r="K194" s="231">
        <v>107125</v>
      </c>
      <c r="L194" s="231"/>
      <c r="M194" s="225">
        <v>0</v>
      </c>
      <c r="N194" s="225">
        <v>0</v>
      </c>
      <c r="O194" s="231">
        <v>8483</v>
      </c>
      <c r="P194" s="231">
        <v>8483</v>
      </c>
      <c r="Q194" s="231"/>
      <c r="R194" s="392">
        <v>94992</v>
      </c>
      <c r="S194" s="231">
        <v>676</v>
      </c>
      <c r="T194" s="396">
        <v>95668</v>
      </c>
      <c r="U194" s="231"/>
      <c r="V194" s="396"/>
      <c r="W194" s="396"/>
      <c r="X194" s="396">
        <v>560432</v>
      </c>
      <c r="Y194" s="396">
        <v>40030</v>
      </c>
    </row>
    <row r="195" spans="1:25">
      <c r="A195" s="390">
        <v>91818</v>
      </c>
      <c r="B195" s="391" t="s">
        <v>902</v>
      </c>
      <c r="C195" s="234">
        <v>4.2240000000000002E-4</v>
      </c>
      <c r="D195" s="234">
        <v>4.0620000000000001E-4</v>
      </c>
      <c r="E195" s="231">
        <v>1509415</v>
      </c>
      <c r="F195" s="231" t="s">
        <v>1924</v>
      </c>
      <c r="G195" s="392">
        <v>190613</v>
      </c>
      <c r="H195" s="392">
        <v>212410</v>
      </c>
      <c r="I195" s="392">
        <v>112330</v>
      </c>
      <c r="J195" s="231">
        <v>215812</v>
      </c>
      <c r="K195" s="231">
        <v>731165</v>
      </c>
      <c r="L195" s="231"/>
      <c r="M195" s="225">
        <v>0</v>
      </c>
      <c r="N195" s="225">
        <v>0</v>
      </c>
      <c r="O195" s="231">
        <v>0</v>
      </c>
      <c r="P195" s="231">
        <v>0</v>
      </c>
      <c r="Q195" s="231"/>
      <c r="R195" s="392">
        <v>519077</v>
      </c>
      <c r="S195" s="231">
        <v>172749</v>
      </c>
      <c r="T195" s="396">
        <v>691826</v>
      </c>
      <c r="U195" s="231"/>
      <c r="V195" s="396"/>
      <c r="W195" s="396"/>
      <c r="X195" s="396">
        <v>3062439</v>
      </c>
      <c r="Y195" s="396">
        <v>218743</v>
      </c>
    </row>
    <row r="196" spans="1:25">
      <c r="A196" s="390">
        <v>91819</v>
      </c>
      <c r="B196" s="391" t="s">
        <v>903</v>
      </c>
      <c r="C196" s="234">
        <v>2.8850000000000002E-4</v>
      </c>
      <c r="D196" s="234">
        <v>3.1260000000000001E-4</v>
      </c>
      <c r="E196" s="231">
        <v>1030933</v>
      </c>
      <c r="F196" s="231" t="s">
        <v>1924</v>
      </c>
      <c r="G196" s="392">
        <v>130189</v>
      </c>
      <c r="H196" s="392">
        <v>145076</v>
      </c>
      <c r="I196" s="392">
        <v>76722</v>
      </c>
      <c r="J196" s="231">
        <v>26998</v>
      </c>
      <c r="K196" s="231">
        <v>378985</v>
      </c>
      <c r="L196" s="231"/>
      <c r="M196" s="225">
        <v>0</v>
      </c>
      <c r="N196" s="225">
        <v>0</v>
      </c>
      <c r="O196" s="231">
        <v>25921</v>
      </c>
      <c r="P196" s="231">
        <v>25921</v>
      </c>
      <c r="Q196" s="231"/>
      <c r="R196" s="392">
        <v>354530</v>
      </c>
      <c r="S196" s="231">
        <v>2141</v>
      </c>
      <c r="T196" s="396">
        <v>356671</v>
      </c>
      <c r="U196" s="231"/>
      <c r="V196" s="396"/>
      <c r="W196" s="396"/>
      <c r="X196" s="396">
        <v>2091652</v>
      </c>
      <c r="Y196" s="396">
        <v>149402</v>
      </c>
    </row>
    <row r="197" spans="1:25">
      <c r="A197" s="390">
        <v>91821</v>
      </c>
      <c r="B197" s="391" t="s">
        <v>904</v>
      </c>
      <c r="C197" s="234">
        <v>1.4750000000000001E-4</v>
      </c>
      <c r="D197" s="234">
        <v>1.6750000000000001E-4</v>
      </c>
      <c r="E197" s="231">
        <v>527080</v>
      </c>
      <c r="F197" s="231" t="s">
        <v>1924</v>
      </c>
      <c r="G197" s="392">
        <v>66561</v>
      </c>
      <c r="H197" s="392">
        <v>74173</v>
      </c>
      <c r="I197" s="392">
        <v>39225</v>
      </c>
      <c r="J197" s="231">
        <v>39</v>
      </c>
      <c r="K197" s="231">
        <v>179998</v>
      </c>
      <c r="L197" s="231"/>
      <c r="M197" s="225">
        <v>0</v>
      </c>
      <c r="N197" s="225">
        <v>0</v>
      </c>
      <c r="O197" s="231">
        <v>29573</v>
      </c>
      <c r="P197" s="231">
        <v>29573</v>
      </c>
      <c r="Q197" s="231"/>
      <c r="R197" s="392">
        <v>181259</v>
      </c>
      <c r="S197" s="231">
        <v>-10919</v>
      </c>
      <c r="T197" s="396">
        <v>170340</v>
      </c>
      <c r="U197" s="231"/>
      <c r="V197" s="396"/>
      <c r="W197" s="396"/>
      <c r="X197" s="396">
        <v>1069389</v>
      </c>
      <c r="Y197" s="396">
        <v>76384</v>
      </c>
    </row>
    <row r="198" spans="1:25">
      <c r="A198" s="390">
        <v>91831</v>
      </c>
      <c r="B198" s="391" t="s">
        <v>905</v>
      </c>
      <c r="C198" s="234">
        <v>4.3399999999999998E-4</v>
      </c>
      <c r="D198" s="234">
        <v>3.7990000000000002E-4</v>
      </c>
      <c r="E198" s="231">
        <v>1550867</v>
      </c>
      <c r="F198" s="231" t="s">
        <v>1924</v>
      </c>
      <c r="G198" s="392">
        <v>195847</v>
      </c>
      <c r="H198" s="392">
        <v>218243</v>
      </c>
      <c r="I198" s="392">
        <v>115415</v>
      </c>
      <c r="J198" s="231">
        <v>63630</v>
      </c>
      <c r="K198" s="231">
        <v>593135</v>
      </c>
      <c r="L198" s="231"/>
      <c r="M198" s="225">
        <v>0</v>
      </c>
      <c r="N198" s="225">
        <v>0</v>
      </c>
      <c r="O198" s="231">
        <v>3162</v>
      </c>
      <c r="P198" s="231">
        <v>3162</v>
      </c>
      <c r="Q198" s="231"/>
      <c r="R198" s="392">
        <v>533332</v>
      </c>
      <c r="S198" s="231">
        <v>18152</v>
      </c>
      <c r="T198" s="396">
        <v>551484</v>
      </c>
      <c r="U198" s="231"/>
      <c r="V198" s="396"/>
      <c r="W198" s="396"/>
      <c r="X198" s="396">
        <v>3146540</v>
      </c>
      <c r="Y198" s="396">
        <v>224750</v>
      </c>
    </row>
    <row r="199" spans="1:25">
      <c r="A199" s="390">
        <v>91841</v>
      </c>
      <c r="B199" s="391" t="s">
        <v>906</v>
      </c>
      <c r="C199" s="234">
        <v>2.7809999999999998E-4</v>
      </c>
      <c r="D199" s="234">
        <v>2.5090000000000003E-4</v>
      </c>
      <c r="E199" s="231">
        <v>993770</v>
      </c>
      <c r="F199" s="231" t="s">
        <v>1924</v>
      </c>
      <c r="G199" s="392">
        <v>125496</v>
      </c>
      <c r="H199" s="392">
        <v>139846</v>
      </c>
      <c r="I199" s="392">
        <v>73956</v>
      </c>
      <c r="J199" s="231">
        <v>35331</v>
      </c>
      <c r="K199" s="231">
        <v>374629</v>
      </c>
      <c r="L199" s="231"/>
      <c r="M199" s="225">
        <v>0</v>
      </c>
      <c r="N199" s="225">
        <v>0</v>
      </c>
      <c r="O199" s="231">
        <v>5578</v>
      </c>
      <c r="P199" s="231">
        <v>5578</v>
      </c>
      <c r="Q199" s="231"/>
      <c r="R199" s="392">
        <v>341750</v>
      </c>
      <c r="S199" s="231">
        <v>10109</v>
      </c>
      <c r="T199" s="396">
        <v>351859</v>
      </c>
      <c r="U199" s="231"/>
      <c r="V199" s="396"/>
      <c r="W199" s="396"/>
      <c r="X199" s="396">
        <v>2016251</v>
      </c>
      <c r="Y199" s="396">
        <v>144016</v>
      </c>
    </row>
    <row r="200" spans="1:25">
      <c r="A200" s="390">
        <v>91851</v>
      </c>
      <c r="B200" s="391" t="s">
        <v>907</v>
      </c>
      <c r="C200" s="234">
        <v>6.7429999999999996E-4</v>
      </c>
      <c r="D200" s="234">
        <v>7.004E-4</v>
      </c>
      <c r="E200" s="231">
        <v>2409561</v>
      </c>
      <c r="F200" s="231" t="s">
        <v>1924</v>
      </c>
      <c r="G200" s="392">
        <v>304285</v>
      </c>
      <c r="H200" s="392">
        <v>339081</v>
      </c>
      <c r="I200" s="392">
        <v>179319</v>
      </c>
      <c r="J200" s="231">
        <v>1365</v>
      </c>
      <c r="K200" s="231">
        <v>824050</v>
      </c>
      <c r="L200" s="231"/>
      <c r="M200" s="225">
        <v>0</v>
      </c>
      <c r="N200" s="225">
        <v>0</v>
      </c>
      <c r="O200" s="231">
        <v>25878</v>
      </c>
      <c r="P200" s="231">
        <v>25878</v>
      </c>
      <c r="Q200" s="231"/>
      <c r="R200" s="392">
        <v>828630</v>
      </c>
      <c r="S200" s="231">
        <v>-16992</v>
      </c>
      <c r="T200" s="396">
        <v>811638</v>
      </c>
      <c r="U200" s="231"/>
      <c r="V200" s="396"/>
      <c r="W200" s="396"/>
      <c r="X200" s="396">
        <v>4888737</v>
      </c>
      <c r="Y200" s="396">
        <v>349192</v>
      </c>
    </row>
    <row r="201" spans="1:25">
      <c r="A201" s="390">
        <v>91861</v>
      </c>
      <c r="B201" s="391" t="s">
        <v>908</v>
      </c>
      <c r="C201" s="234">
        <v>6.9999999999999999E-6</v>
      </c>
      <c r="D201" s="234">
        <v>7.7000000000000008E-6</v>
      </c>
      <c r="E201" s="231">
        <v>25014</v>
      </c>
      <c r="F201" s="231" t="s">
        <v>1924</v>
      </c>
      <c r="G201" s="392">
        <v>3159</v>
      </c>
      <c r="H201" s="392">
        <v>3520</v>
      </c>
      <c r="I201" s="392">
        <v>1862</v>
      </c>
      <c r="J201" s="231">
        <v>0</v>
      </c>
      <c r="K201" s="231">
        <v>8541</v>
      </c>
      <c r="L201" s="231"/>
      <c r="M201" s="225">
        <v>0</v>
      </c>
      <c r="N201" s="225">
        <v>0</v>
      </c>
      <c r="O201" s="231">
        <v>6191</v>
      </c>
      <c r="P201" s="231">
        <v>6191</v>
      </c>
      <c r="Q201" s="231"/>
      <c r="R201" s="392">
        <v>8602</v>
      </c>
      <c r="S201" s="231">
        <v>-2462</v>
      </c>
      <c r="T201" s="396">
        <v>6140</v>
      </c>
      <c r="U201" s="231"/>
      <c r="V201" s="396"/>
      <c r="W201" s="396"/>
      <c r="X201" s="396">
        <v>50751</v>
      </c>
      <c r="Y201" s="396">
        <v>3625</v>
      </c>
    </row>
    <row r="202" spans="1:25">
      <c r="A202" s="390">
        <v>91871</v>
      </c>
      <c r="B202" s="391" t="s">
        <v>909</v>
      </c>
      <c r="C202" s="234">
        <v>1.3648E-3</v>
      </c>
      <c r="D202" s="234">
        <v>1.3121000000000001E-3</v>
      </c>
      <c r="E202" s="231">
        <v>4877012</v>
      </c>
      <c r="F202" s="231" t="s">
        <v>1924</v>
      </c>
      <c r="G202" s="392">
        <v>615881</v>
      </c>
      <c r="H202" s="392">
        <v>686309</v>
      </c>
      <c r="I202" s="392">
        <v>362945</v>
      </c>
      <c r="J202" s="231">
        <v>51048</v>
      </c>
      <c r="K202" s="231">
        <v>1716183</v>
      </c>
      <c r="L202" s="231"/>
      <c r="M202" s="225">
        <v>0</v>
      </c>
      <c r="N202" s="225">
        <v>0</v>
      </c>
      <c r="O202" s="231">
        <v>28530</v>
      </c>
      <c r="P202" s="231">
        <v>28530</v>
      </c>
      <c r="Q202" s="231"/>
      <c r="R202" s="392">
        <v>1677169</v>
      </c>
      <c r="S202" s="231">
        <v>-3719</v>
      </c>
      <c r="T202" s="396">
        <v>1673450</v>
      </c>
      <c r="U202" s="231"/>
      <c r="V202" s="396"/>
      <c r="W202" s="396"/>
      <c r="X202" s="396">
        <v>9894926</v>
      </c>
      <c r="Y202" s="396">
        <v>706773</v>
      </c>
    </row>
    <row r="203" spans="1:25">
      <c r="A203" s="390">
        <v>91881</v>
      </c>
      <c r="B203" s="391" t="s">
        <v>910</v>
      </c>
      <c r="C203" s="234">
        <v>1.5E-5</v>
      </c>
      <c r="D203" s="234">
        <v>2.1399999999999998E-5</v>
      </c>
      <c r="E203" s="231">
        <v>53601</v>
      </c>
      <c r="F203" s="231" t="s">
        <v>1924</v>
      </c>
      <c r="G203" s="392">
        <v>6769</v>
      </c>
      <c r="H203" s="392">
        <v>7543</v>
      </c>
      <c r="I203" s="392">
        <v>3989</v>
      </c>
      <c r="J203" s="231">
        <v>7148</v>
      </c>
      <c r="K203" s="231">
        <v>25449</v>
      </c>
      <c r="L203" s="231"/>
      <c r="M203" s="225">
        <v>0</v>
      </c>
      <c r="N203" s="225">
        <v>0</v>
      </c>
      <c r="O203" s="231">
        <v>7117</v>
      </c>
      <c r="P203" s="231">
        <v>7117</v>
      </c>
      <c r="Q203" s="231"/>
      <c r="R203" s="392">
        <v>18433</v>
      </c>
      <c r="S203" s="231">
        <v>-854</v>
      </c>
      <c r="T203" s="396">
        <v>17579</v>
      </c>
      <c r="U203" s="231"/>
      <c r="V203" s="396"/>
      <c r="W203" s="396"/>
      <c r="X203" s="396">
        <v>108751</v>
      </c>
      <c r="Y203" s="396">
        <v>7768</v>
      </c>
    </row>
    <row r="204" spans="1:25">
      <c r="A204" s="390">
        <v>91901</v>
      </c>
      <c r="B204" s="391" t="s">
        <v>911</v>
      </c>
      <c r="C204" s="234">
        <v>3.7631000000000001E-3</v>
      </c>
      <c r="D204" s="234">
        <v>3.6947999999999998E-3</v>
      </c>
      <c r="E204" s="231">
        <v>13447159</v>
      </c>
      <c r="F204" s="231" t="s">
        <v>1924</v>
      </c>
      <c r="G204" s="392">
        <v>1698140</v>
      </c>
      <c r="H204" s="392">
        <v>1892328</v>
      </c>
      <c r="I204" s="392">
        <v>1000732</v>
      </c>
      <c r="J204" s="231">
        <v>27921</v>
      </c>
      <c r="K204" s="231">
        <v>4619121</v>
      </c>
      <c r="L204" s="231"/>
      <c r="M204" s="225">
        <v>0</v>
      </c>
      <c r="N204" s="225">
        <v>0</v>
      </c>
      <c r="O204" s="231">
        <v>55790</v>
      </c>
      <c r="P204" s="231">
        <v>55790</v>
      </c>
      <c r="Q204" s="231"/>
      <c r="R204" s="392">
        <v>4624380</v>
      </c>
      <c r="S204" s="231">
        <v>-6807</v>
      </c>
      <c r="T204" s="396">
        <v>4617573</v>
      </c>
      <c r="U204" s="231"/>
      <c r="V204" s="396"/>
      <c r="W204" s="396"/>
      <c r="X204" s="396">
        <v>27282821</v>
      </c>
      <c r="Y204" s="396">
        <v>1948751</v>
      </c>
    </row>
    <row r="205" spans="1:25">
      <c r="A205" s="390">
        <v>91903</v>
      </c>
      <c r="B205" s="391" t="s">
        <v>912</v>
      </c>
      <c r="C205" s="234">
        <v>6.1999999999999999E-6</v>
      </c>
      <c r="D205" s="234">
        <v>7.1999999999999997E-6</v>
      </c>
      <c r="E205" s="231">
        <v>22155</v>
      </c>
      <c r="F205" s="231" t="s">
        <v>1924</v>
      </c>
      <c r="G205" s="392">
        <v>2798</v>
      </c>
      <c r="H205" s="392">
        <v>3118</v>
      </c>
      <c r="I205" s="392">
        <v>1649</v>
      </c>
      <c r="J205" s="231">
        <v>3699</v>
      </c>
      <c r="K205" s="231">
        <v>11264</v>
      </c>
      <c r="L205" s="231"/>
      <c r="M205" s="225">
        <v>0</v>
      </c>
      <c r="N205" s="225">
        <v>0</v>
      </c>
      <c r="O205" s="231">
        <v>0</v>
      </c>
      <c r="P205" s="231">
        <v>0</v>
      </c>
      <c r="Q205" s="231"/>
      <c r="R205" s="392">
        <v>7619</v>
      </c>
      <c r="S205" s="231">
        <v>1692</v>
      </c>
      <c r="T205" s="396">
        <v>9311</v>
      </c>
      <c r="U205" s="231"/>
      <c r="V205" s="396"/>
      <c r="W205" s="396"/>
      <c r="X205" s="396">
        <v>44951</v>
      </c>
      <c r="Y205" s="396">
        <v>3211</v>
      </c>
    </row>
    <row r="206" spans="1:25">
      <c r="A206" s="390">
        <v>91904</v>
      </c>
      <c r="B206" s="391" t="s">
        <v>913</v>
      </c>
      <c r="C206" s="234">
        <v>4.1699999999999997E-5</v>
      </c>
      <c r="D206" s="234">
        <v>3.26E-5</v>
      </c>
      <c r="E206" s="231">
        <v>149012</v>
      </c>
      <c r="F206" s="231" t="s">
        <v>1924</v>
      </c>
      <c r="G206" s="392">
        <v>18818</v>
      </c>
      <c r="H206" s="392">
        <v>20969</v>
      </c>
      <c r="I206" s="392">
        <v>11089</v>
      </c>
      <c r="J206" s="231">
        <v>16489</v>
      </c>
      <c r="K206" s="231">
        <v>67365</v>
      </c>
      <c r="L206" s="231"/>
      <c r="M206" s="225">
        <v>0</v>
      </c>
      <c r="N206" s="225">
        <v>0</v>
      </c>
      <c r="O206" s="231">
        <v>218</v>
      </c>
      <c r="P206" s="231">
        <v>218</v>
      </c>
      <c r="Q206" s="231"/>
      <c r="R206" s="392">
        <v>51244</v>
      </c>
      <c r="S206" s="231">
        <v>7584</v>
      </c>
      <c r="T206" s="396">
        <v>58828</v>
      </c>
      <c r="U206" s="231"/>
      <c r="V206" s="396"/>
      <c r="W206" s="396"/>
      <c r="X206" s="396">
        <v>302329</v>
      </c>
      <c r="Y206" s="396">
        <v>21595</v>
      </c>
    </row>
    <row r="207" spans="1:25">
      <c r="A207" s="390">
        <v>91908</v>
      </c>
      <c r="B207" s="391" t="s">
        <v>914</v>
      </c>
      <c r="C207" s="234">
        <v>1.56E-5</v>
      </c>
      <c r="D207" s="234">
        <v>1.59E-5</v>
      </c>
      <c r="E207" s="231">
        <v>55745</v>
      </c>
      <c r="F207" s="231" t="s">
        <v>1924</v>
      </c>
      <c r="G207" s="392">
        <v>7040</v>
      </c>
      <c r="H207" s="392">
        <v>7845</v>
      </c>
      <c r="I207" s="392">
        <v>4149</v>
      </c>
      <c r="J207" s="231">
        <v>26</v>
      </c>
      <c r="K207" s="231">
        <v>19060</v>
      </c>
      <c r="L207" s="231"/>
      <c r="M207" s="225">
        <v>0</v>
      </c>
      <c r="N207" s="225">
        <v>0</v>
      </c>
      <c r="O207" s="231">
        <v>5853</v>
      </c>
      <c r="P207" s="231">
        <v>5853</v>
      </c>
      <c r="Q207" s="231"/>
      <c r="R207" s="392">
        <v>19170</v>
      </c>
      <c r="S207" s="231">
        <v>-2941</v>
      </c>
      <c r="T207" s="396">
        <v>16229</v>
      </c>
      <c r="U207" s="231"/>
      <c r="V207" s="396"/>
      <c r="W207" s="396"/>
      <c r="X207" s="396">
        <v>113101</v>
      </c>
      <c r="Y207" s="396">
        <v>8079</v>
      </c>
    </row>
    <row r="208" spans="1:25">
      <c r="A208" s="390">
        <v>91911</v>
      </c>
      <c r="B208" s="391" t="s">
        <v>915</v>
      </c>
      <c r="C208" s="234">
        <v>5.4620000000000005E-4</v>
      </c>
      <c r="D208" s="234">
        <v>4.46E-4</v>
      </c>
      <c r="E208" s="231">
        <v>1951805</v>
      </c>
      <c r="F208" s="231" t="s">
        <v>1924</v>
      </c>
      <c r="G208" s="392">
        <v>246479</v>
      </c>
      <c r="H208" s="392">
        <v>274665</v>
      </c>
      <c r="I208" s="392">
        <v>145253</v>
      </c>
      <c r="J208" s="231">
        <v>132877</v>
      </c>
      <c r="K208" s="231">
        <v>799274</v>
      </c>
      <c r="L208" s="231"/>
      <c r="M208" s="225">
        <v>0</v>
      </c>
      <c r="N208" s="225">
        <v>0</v>
      </c>
      <c r="O208" s="231">
        <v>23228</v>
      </c>
      <c r="P208" s="231">
        <v>23228</v>
      </c>
      <c r="Q208" s="231"/>
      <c r="R208" s="392">
        <v>671212</v>
      </c>
      <c r="S208" s="231">
        <v>41097</v>
      </c>
      <c r="T208" s="396">
        <v>712309</v>
      </c>
      <c r="U208" s="231"/>
      <c r="V208" s="396"/>
      <c r="W208" s="396"/>
      <c r="X208" s="396">
        <v>3960000</v>
      </c>
      <c r="Y208" s="396">
        <v>282854</v>
      </c>
    </row>
    <row r="209" spans="1:25">
      <c r="A209" s="390">
        <v>91917</v>
      </c>
      <c r="B209" s="391" t="s">
        <v>916</v>
      </c>
      <c r="C209" s="234">
        <v>1.22E-5</v>
      </c>
      <c r="D209" s="234">
        <v>1.31E-5</v>
      </c>
      <c r="E209" s="231">
        <v>43596</v>
      </c>
      <c r="F209" s="231" t="s">
        <v>1924</v>
      </c>
      <c r="G209" s="392">
        <v>5505</v>
      </c>
      <c r="H209" s="392">
        <v>6135</v>
      </c>
      <c r="I209" s="392">
        <v>3244</v>
      </c>
      <c r="J209" s="231">
        <v>3052</v>
      </c>
      <c r="K209" s="231">
        <v>17936</v>
      </c>
      <c r="L209" s="231"/>
      <c r="M209" s="225">
        <v>0</v>
      </c>
      <c r="N209" s="225">
        <v>0</v>
      </c>
      <c r="O209" s="231">
        <v>79</v>
      </c>
      <c r="P209" s="231">
        <v>79</v>
      </c>
      <c r="Q209" s="231"/>
      <c r="R209" s="392">
        <v>14992</v>
      </c>
      <c r="S209" s="231">
        <v>1089</v>
      </c>
      <c r="T209" s="396">
        <v>16081</v>
      </c>
      <c r="U209" s="231"/>
      <c r="V209" s="396"/>
      <c r="W209" s="396"/>
      <c r="X209" s="396">
        <v>88451</v>
      </c>
      <c r="Y209" s="396">
        <v>6318</v>
      </c>
    </row>
    <row r="210" spans="1:25">
      <c r="A210" s="390">
        <v>91921</v>
      </c>
      <c r="B210" s="391" t="s">
        <v>917</v>
      </c>
      <c r="C210" s="234">
        <v>3.9310000000000001E-4</v>
      </c>
      <c r="D210" s="234">
        <v>3.8479999999999997E-4</v>
      </c>
      <c r="E210" s="231">
        <v>1404714</v>
      </c>
      <c r="F210" s="231" t="s">
        <v>1924</v>
      </c>
      <c r="G210" s="392">
        <v>177391</v>
      </c>
      <c r="H210" s="392">
        <v>197676</v>
      </c>
      <c r="I210" s="392">
        <v>104538</v>
      </c>
      <c r="J210" s="231">
        <v>11406</v>
      </c>
      <c r="K210" s="231">
        <v>491011</v>
      </c>
      <c r="L210" s="231"/>
      <c r="M210" s="225">
        <v>0</v>
      </c>
      <c r="N210" s="225">
        <v>0</v>
      </c>
      <c r="O210" s="231">
        <v>11391</v>
      </c>
      <c r="P210" s="231">
        <v>11391</v>
      </c>
      <c r="Q210" s="231"/>
      <c r="R210" s="392">
        <v>483071</v>
      </c>
      <c r="S210" s="231">
        <v>-2503</v>
      </c>
      <c r="T210" s="396">
        <v>480568</v>
      </c>
      <c r="U210" s="231"/>
      <c r="V210" s="396"/>
      <c r="W210" s="396"/>
      <c r="X210" s="396">
        <v>2850011</v>
      </c>
      <c r="Y210" s="396">
        <v>203570</v>
      </c>
    </row>
    <row r="211" spans="1:25" ht="14.25" customHeight="1">
      <c r="A211" s="390">
        <v>92001</v>
      </c>
      <c r="B211" s="391" t="s">
        <v>918</v>
      </c>
      <c r="C211" s="234">
        <v>1.8089E-3</v>
      </c>
      <c r="D211" s="234">
        <v>1.7757000000000001E-3</v>
      </c>
      <c r="E211" s="231">
        <v>6463970</v>
      </c>
      <c r="F211" s="231" t="s">
        <v>1924</v>
      </c>
      <c r="G211" s="392">
        <v>816286</v>
      </c>
      <c r="H211" s="392">
        <v>909631</v>
      </c>
      <c r="I211" s="392">
        <v>481046</v>
      </c>
      <c r="J211" s="231">
        <v>24368</v>
      </c>
      <c r="K211" s="231">
        <v>2231331</v>
      </c>
      <c r="L211" s="231"/>
      <c r="M211" s="225">
        <v>0</v>
      </c>
      <c r="N211" s="225">
        <v>0</v>
      </c>
      <c r="O211" s="231">
        <v>80784</v>
      </c>
      <c r="P211" s="231">
        <v>80784</v>
      </c>
      <c r="Q211" s="231"/>
      <c r="R211" s="392">
        <v>2222912</v>
      </c>
      <c r="S211" s="231">
        <v>-28068</v>
      </c>
      <c r="T211" s="396">
        <v>2194844</v>
      </c>
      <c r="U211" s="231"/>
      <c r="V211" s="396"/>
      <c r="W211" s="396"/>
      <c r="X211" s="396">
        <v>13114691</v>
      </c>
      <c r="Y211" s="396">
        <v>936753</v>
      </c>
    </row>
    <row r="212" spans="1:25">
      <c r="A212" s="390">
        <v>92005</v>
      </c>
      <c r="B212" s="391" t="s">
        <v>919</v>
      </c>
      <c r="C212" s="234">
        <v>3.43E-5</v>
      </c>
      <c r="D212" s="234">
        <v>3.5299999999999997E-5</v>
      </c>
      <c r="E212" s="231">
        <v>122569</v>
      </c>
      <c r="F212" s="231" t="s">
        <v>1924</v>
      </c>
      <c r="G212" s="392">
        <v>15478</v>
      </c>
      <c r="H212" s="392">
        <v>17248</v>
      </c>
      <c r="I212" s="392">
        <v>9122</v>
      </c>
      <c r="J212" s="231">
        <v>3517</v>
      </c>
      <c r="K212" s="231">
        <v>45365</v>
      </c>
      <c r="L212" s="231"/>
      <c r="M212" s="225">
        <v>0</v>
      </c>
      <c r="N212" s="225">
        <v>0</v>
      </c>
      <c r="O212" s="231">
        <v>2461</v>
      </c>
      <c r="P212" s="231">
        <v>2461</v>
      </c>
      <c r="Q212" s="231"/>
      <c r="R212" s="392">
        <v>42150</v>
      </c>
      <c r="S212" s="231">
        <v>708</v>
      </c>
      <c r="T212" s="396">
        <v>42858</v>
      </c>
      <c r="U212" s="231"/>
      <c r="V212" s="396"/>
      <c r="W212" s="396"/>
      <c r="X212" s="396">
        <v>248678</v>
      </c>
      <c r="Y212" s="396">
        <v>17763</v>
      </c>
    </row>
    <row r="213" spans="1:25">
      <c r="A213" s="390">
        <v>92011</v>
      </c>
      <c r="B213" s="391" t="s">
        <v>920</v>
      </c>
      <c r="C213" s="234">
        <v>2.0900000000000001E-4</v>
      </c>
      <c r="D213" s="234">
        <v>1.9100000000000001E-4</v>
      </c>
      <c r="E213" s="231">
        <v>746846</v>
      </c>
      <c r="F213" s="231" t="s">
        <v>1924</v>
      </c>
      <c r="G213" s="392">
        <v>94314</v>
      </c>
      <c r="H213" s="392">
        <v>105098</v>
      </c>
      <c r="I213" s="392">
        <v>55580</v>
      </c>
      <c r="J213" s="231">
        <v>16911</v>
      </c>
      <c r="K213" s="231">
        <v>271903</v>
      </c>
      <c r="L213" s="231"/>
      <c r="M213" s="225">
        <v>0</v>
      </c>
      <c r="N213" s="225">
        <v>0</v>
      </c>
      <c r="O213" s="231">
        <v>6789</v>
      </c>
      <c r="P213" s="231">
        <v>6789</v>
      </c>
      <c r="Q213" s="231"/>
      <c r="R213" s="392">
        <v>256835</v>
      </c>
      <c r="S213" s="231">
        <v>4916</v>
      </c>
      <c r="T213" s="396">
        <v>261751</v>
      </c>
      <c r="U213" s="231"/>
      <c r="V213" s="396"/>
      <c r="W213" s="396"/>
      <c r="X213" s="396">
        <v>1515269</v>
      </c>
      <c r="Y213" s="396">
        <v>108232</v>
      </c>
    </row>
    <row r="214" spans="1:25">
      <c r="A214" s="390">
        <v>92017</v>
      </c>
      <c r="B214" s="391" t="s">
        <v>921</v>
      </c>
      <c r="C214" s="234">
        <v>3.0000000000000001E-5</v>
      </c>
      <c r="D214" s="234">
        <v>3.1900000000000003E-5</v>
      </c>
      <c r="E214" s="231">
        <v>107203</v>
      </c>
      <c r="F214" s="231" t="s">
        <v>1924</v>
      </c>
      <c r="G214" s="392">
        <v>13538</v>
      </c>
      <c r="H214" s="392">
        <v>15086</v>
      </c>
      <c r="I214" s="392">
        <v>7978</v>
      </c>
      <c r="J214" s="231">
        <v>3180</v>
      </c>
      <c r="K214" s="231">
        <v>39782</v>
      </c>
      <c r="L214" s="231"/>
      <c r="M214" s="225">
        <v>0</v>
      </c>
      <c r="N214" s="225">
        <v>0</v>
      </c>
      <c r="O214" s="231">
        <v>0</v>
      </c>
      <c r="P214" s="231">
        <v>0</v>
      </c>
      <c r="Q214" s="231"/>
      <c r="R214" s="392">
        <v>36866</v>
      </c>
      <c r="S214" s="231">
        <v>1039</v>
      </c>
      <c r="T214" s="396">
        <v>37905</v>
      </c>
      <c r="U214" s="231"/>
      <c r="V214" s="396"/>
      <c r="W214" s="396"/>
      <c r="X214" s="396">
        <v>217503</v>
      </c>
      <c r="Y214" s="396">
        <v>15536</v>
      </c>
    </row>
    <row r="215" spans="1:25">
      <c r="A215" s="390">
        <v>92021</v>
      </c>
      <c r="B215" s="391" t="s">
        <v>922</v>
      </c>
      <c r="C215" s="234">
        <v>1.1519999999999999E-4</v>
      </c>
      <c r="D215" s="234">
        <v>1.054E-4</v>
      </c>
      <c r="E215" s="231">
        <v>411659</v>
      </c>
      <c r="F215" s="231" t="s">
        <v>1924</v>
      </c>
      <c r="G215" s="392">
        <v>51985</v>
      </c>
      <c r="H215" s="392">
        <v>57930</v>
      </c>
      <c r="I215" s="392">
        <v>30635</v>
      </c>
      <c r="J215" s="231">
        <v>10430</v>
      </c>
      <c r="K215" s="231">
        <v>150980</v>
      </c>
      <c r="L215" s="231"/>
      <c r="M215" s="225">
        <v>0</v>
      </c>
      <c r="N215" s="225">
        <v>0</v>
      </c>
      <c r="O215" s="231">
        <v>36994</v>
      </c>
      <c r="P215" s="231">
        <v>36994</v>
      </c>
      <c r="Q215" s="231"/>
      <c r="R215" s="392">
        <v>141566</v>
      </c>
      <c r="S215" s="231">
        <v>-2781</v>
      </c>
      <c r="T215" s="396">
        <v>138785</v>
      </c>
      <c r="U215" s="231"/>
      <c r="V215" s="396"/>
      <c r="W215" s="396"/>
      <c r="X215" s="396">
        <v>835211</v>
      </c>
      <c r="Y215" s="396">
        <v>59657</v>
      </c>
    </row>
    <row r="216" spans="1:25">
      <c r="A216" s="390">
        <v>92101</v>
      </c>
      <c r="B216" s="391" t="s">
        <v>923</v>
      </c>
      <c r="C216" s="234">
        <v>7.6869999999999998E-4</v>
      </c>
      <c r="D216" s="234">
        <v>7.8700000000000005E-4</v>
      </c>
      <c r="E216" s="231">
        <v>2746893</v>
      </c>
      <c r="F216" s="231" t="s">
        <v>1924</v>
      </c>
      <c r="G216" s="392">
        <v>346884</v>
      </c>
      <c r="H216" s="392">
        <v>386552</v>
      </c>
      <c r="I216" s="392">
        <v>204423</v>
      </c>
      <c r="J216" s="231">
        <v>0</v>
      </c>
      <c r="K216" s="231">
        <v>937859</v>
      </c>
      <c r="L216" s="231"/>
      <c r="M216" s="225">
        <v>0</v>
      </c>
      <c r="N216" s="225">
        <v>0</v>
      </c>
      <c r="O216" s="231">
        <v>69431</v>
      </c>
      <c r="P216" s="231">
        <v>69431</v>
      </c>
      <c r="Q216" s="231"/>
      <c r="R216" s="392">
        <v>944636</v>
      </c>
      <c r="S216" s="231">
        <v>-41240</v>
      </c>
      <c r="T216" s="396">
        <v>903396</v>
      </c>
      <c r="U216" s="231"/>
      <c r="V216" s="396"/>
      <c r="W216" s="396"/>
      <c r="X216" s="396">
        <v>5573146</v>
      </c>
      <c r="Y216" s="396">
        <v>398077</v>
      </c>
    </row>
    <row r="217" spans="1:25">
      <c r="A217" s="390">
        <v>92104</v>
      </c>
      <c r="B217" s="391" t="s">
        <v>924</v>
      </c>
      <c r="C217" s="234">
        <v>7.1999999999999997E-6</v>
      </c>
      <c r="D217" s="234">
        <v>7.0999999999999998E-6</v>
      </c>
      <c r="E217" s="231">
        <v>25729</v>
      </c>
      <c r="F217" s="231" t="s">
        <v>1924</v>
      </c>
      <c r="G217" s="392">
        <v>3249</v>
      </c>
      <c r="H217" s="392">
        <v>3620</v>
      </c>
      <c r="I217" s="392">
        <v>1915</v>
      </c>
      <c r="J217" s="231">
        <v>2910</v>
      </c>
      <c r="K217" s="231">
        <v>11694</v>
      </c>
      <c r="L217" s="231"/>
      <c r="M217" s="225">
        <v>0</v>
      </c>
      <c r="N217" s="225">
        <v>0</v>
      </c>
      <c r="O217" s="231">
        <v>0</v>
      </c>
      <c r="P217" s="231">
        <v>0</v>
      </c>
      <c r="Q217" s="231"/>
      <c r="R217" s="392">
        <v>8848</v>
      </c>
      <c r="S217" s="231">
        <v>1444</v>
      </c>
      <c r="T217" s="396">
        <v>10292</v>
      </c>
      <c r="U217" s="231"/>
      <c r="V217" s="396"/>
      <c r="W217" s="396"/>
      <c r="X217" s="396">
        <v>52201</v>
      </c>
      <c r="Y217" s="396">
        <v>3729</v>
      </c>
    </row>
    <row r="218" spans="1:25">
      <c r="A218" s="390">
        <v>92109</v>
      </c>
      <c r="B218" s="391" t="s">
        <v>925</v>
      </c>
      <c r="C218" s="234">
        <v>1.8359999999999999E-4</v>
      </c>
      <c r="D218" s="234">
        <v>1.6799999999999999E-4</v>
      </c>
      <c r="E218" s="231">
        <v>656081</v>
      </c>
      <c r="F218" s="231" t="s">
        <v>1924</v>
      </c>
      <c r="G218" s="392">
        <v>82852</v>
      </c>
      <c r="H218" s="392">
        <v>92325</v>
      </c>
      <c r="I218" s="392">
        <v>48825</v>
      </c>
      <c r="J218" s="231">
        <v>18659</v>
      </c>
      <c r="K218" s="231">
        <v>242661</v>
      </c>
      <c r="L218" s="231"/>
      <c r="M218" s="225">
        <v>0</v>
      </c>
      <c r="N218" s="225">
        <v>0</v>
      </c>
      <c r="O218" s="231">
        <v>10399</v>
      </c>
      <c r="P218" s="231">
        <v>10399</v>
      </c>
      <c r="Q218" s="231"/>
      <c r="R218" s="392">
        <v>225621</v>
      </c>
      <c r="S218" s="231">
        <v>1832</v>
      </c>
      <c r="T218" s="396">
        <v>227453</v>
      </c>
      <c r="U218" s="231"/>
      <c r="V218" s="396"/>
      <c r="W218" s="396"/>
      <c r="X218" s="396">
        <v>1331117</v>
      </c>
      <c r="Y218" s="396">
        <v>95079</v>
      </c>
    </row>
    <row r="219" spans="1:25">
      <c r="A219" s="390">
        <v>92111</v>
      </c>
      <c r="B219" s="391" t="s">
        <v>926</v>
      </c>
      <c r="C219" s="234">
        <v>5.4140000000000004E-4</v>
      </c>
      <c r="D219" s="234">
        <v>4.9209999999999998E-4</v>
      </c>
      <c r="E219" s="231">
        <v>1934653</v>
      </c>
      <c r="F219" s="231" t="s">
        <v>1924</v>
      </c>
      <c r="G219" s="392">
        <v>244313</v>
      </c>
      <c r="H219" s="392">
        <v>272251</v>
      </c>
      <c r="I219" s="392">
        <v>143976</v>
      </c>
      <c r="J219" s="231">
        <v>51343</v>
      </c>
      <c r="K219" s="231">
        <v>711883</v>
      </c>
      <c r="L219" s="231"/>
      <c r="M219" s="225">
        <v>0</v>
      </c>
      <c r="N219" s="225">
        <v>0</v>
      </c>
      <c r="O219" s="231">
        <v>21320</v>
      </c>
      <c r="P219" s="231">
        <v>21320</v>
      </c>
      <c r="Q219" s="231"/>
      <c r="R219" s="392">
        <v>665313</v>
      </c>
      <c r="S219" s="231">
        <v>6550</v>
      </c>
      <c r="T219" s="396">
        <v>671863</v>
      </c>
      <c r="U219" s="231"/>
      <c r="V219" s="396"/>
      <c r="W219" s="396"/>
      <c r="X219" s="396">
        <v>3925200</v>
      </c>
      <c r="Y219" s="396">
        <v>280368</v>
      </c>
    </row>
    <row r="220" spans="1:25">
      <c r="A220" s="390">
        <v>92113</v>
      </c>
      <c r="B220" s="391" t="s">
        <v>927</v>
      </c>
      <c r="C220" s="234">
        <v>1.73E-5</v>
      </c>
      <c r="D220" s="234">
        <v>1.7099999999999999E-5</v>
      </c>
      <c r="E220" s="231">
        <v>61820</v>
      </c>
      <c r="F220" s="231" t="s">
        <v>1924</v>
      </c>
      <c r="G220" s="392">
        <v>7807</v>
      </c>
      <c r="H220" s="392">
        <v>8700</v>
      </c>
      <c r="I220" s="392">
        <v>4601</v>
      </c>
      <c r="J220" s="231">
        <v>10788</v>
      </c>
      <c r="K220" s="231">
        <v>31896</v>
      </c>
      <c r="L220" s="231"/>
      <c r="M220" s="225">
        <v>0</v>
      </c>
      <c r="N220" s="225">
        <v>0</v>
      </c>
      <c r="O220" s="231">
        <v>543</v>
      </c>
      <c r="P220" s="231">
        <v>543</v>
      </c>
      <c r="Q220" s="231"/>
      <c r="R220" s="392">
        <v>21260</v>
      </c>
      <c r="S220" s="231">
        <v>6659</v>
      </c>
      <c r="T220" s="396">
        <v>27919</v>
      </c>
      <c r="U220" s="231"/>
      <c r="V220" s="396"/>
      <c r="W220" s="396"/>
      <c r="X220" s="396">
        <v>125427</v>
      </c>
      <c r="Y220" s="396">
        <v>8959</v>
      </c>
    </row>
    <row r="221" spans="1:25">
      <c r="A221" s="390">
        <v>92201</v>
      </c>
      <c r="B221" s="391" t="s">
        <v>928</v>
      </c>
      <c r="C221" s="234">
        <v>9.3099999999999997E-4</v>
      </c>
      <c r="D221" s="234">
        <v>8.3589999999999999E-4</v>
      </c>
      <c r="E221" s="231">
        <v>3326860</v>
      </c>
      <c r="F221" s="231" t="s">
        <v>1924</v>
      </c>
      <c r="G221" s="392">
        <v>420124</v>
      </c>
      <c r="H221" s="392">
        <v>468166</v>
      </c>
      <c r="I221" s="392">
        <v>247584</v>
      </c>
      <c r="J221" s="231">
        <v>137468</v>
      </c>
      <c r="K221" s="231">
        <v>1273342</v>
      </c>
      <c r="L221" s="231"/>
      <c r="M221" s="225">
        <v>0</v>
      </c>
      <c r="N221" s="225">
        <v>0</v>
      </c>
      <c r="O221" s="231">
        <v>40355</v>
      </c>
      <c r="P221" s="231">
        <v>40355</v>
      </c>
      <c r="Q221" s="231"/>
      <c r="R221" s="392">
        <v>1144083</v>
      </c>
      <c r="S221" s="231">
        <v>27788</v>
      </c>
      <c r="T221" s="396">
        <v>1171871</v>
      </c>
      <c r="U221" s="231"/>
      <c r="V221" s="396"/>
      <c r="W221" s="396"/>
      <c r="X221" s="396">
        <v>6749836</v>
      </c>
      <c r="Y221" s="396">
        <v>482126</v>
      </c>
    </row>
    <row r="222" spans="1:25">
      <c r="A222" s="390">
        <v>92214</v>
      </c>
      <c r="B222" t="s">
        <v>1925</v>
      </c>
      <c r="C222" s="234">
        <v>1.9000000000000001E-5</v>
      </c>
      <c r="D222" s="234">
        <v>2.02E-5</v>
      </c>
      <c r="E222" s="231">
        <v>67895</v>
      </c>
      <c r="F222" s="231" t="s">
        <v>1924</v>
      </c>
      <c r="G222" s="392">
        <v>8574</v>
      </c>
      <c r="H222" s="392">
        <v>9554</v>
      </c>
      <c r="I222" s="392">
        <v>5053</v>
      </c>
      <c r="J222" s="231">
        <v>7538</v>
      </c>
      <c r="K222" s="231">
        <v>30719</v>
      </c>
      <c r="L222" s="231"/>
      <c r="M222" s="225">
        <v>0</v>
      </c>
      <c r="N222" s="225">
        <v>0</v>
      </c>
      <c r="O222" s="231">
        <v>1513</v>
      </c>
      <c r="P222" s="231">
        <v>1513</v>
      </c>
      <c r="Q222" s="231"/>
      <c r="R222" s="392">
        <v>23349</v>
      </c>
      <c r="S222" s="231">
        <v>3177</v>
      </c>
      <c r="T222" s="396">
        <v>26526</v>
      </c>
      <c r="U222" s="231"/>
      <c r="V222" s="396"/>
      <c r="W222" s="396"/>
      <c r="X222" s="396">
        <v>137752</v>
      </c>
      <c r="Y222" s="396">
        <v>9839</v>
      </c>
    </row>
    <row r="223" spans="1:25">
      <c r="A223" s="390">
        <v>92301</v>
      </c>
      <c r="B223" s="391" t="s">
        <v>929</v>
      </c>
      <c r="C223" s="234">
        <v>5.2855000000000003E-3</v>
      </c>
      <c r="D223" s="234">
        <v>5.6146E-3</v>
      </c>
      <c r="E223" s="231">
        <v>18887343</v>
      </c>
      <c r="F223" s="231" t="s">
        <v>1924</v>
      </c>
      <c r="G223" s="392">
        <v>2385140</v>
      </c>
      <c r="H223" s="392">
        <v>2657888</v>
      </c>
      <c r="I223" s="392">
        <v>1405589</v>
      </c>
      <c r="J223" s="231">
        <v>102219</v>
      </c>
      <c r="K223" s="231">
        <v>6550836</v>
      </c>
      <c r="L223" s="231"/>
      <c r="M223" s="225">
        <v>0</v>
      </c>
      <c r="N223" s="225">
        <v>0</v>
      </c>
      <c r="O223" s="231">
        <v>440219</v>
      </c>
      <c r="P223" s="231">
        <v>440219</v>
      </c>
      <c r="Q223" s="231"/>
      <c r="R223" s="392">
        <v>6495219</v>
      </c>
      <c r="S223" s="231">
        <v>-106402</v>
      </c>
      <c r="T223" s="396">
        <v>6388817</v>
      </c>
      <c r="U223" s="231"/>
      <c r="V223" s="396"/>
      <c r="W223" s="396"/>
      <c r="X223" s="396">
        <v>38320361</v>
      </c>
      <c r="Y223" s="396">
        <v>2737138</v>
      </c>
    </row>
    <row r="224" spans="1:25">
      <c r="A224" s="390">
        <v>92302</v>
      </c>
      <c r="B224" s="391" t="s">
        <v>1934</v>
      </c>
      <c r="C224" s="234">
        <v>2.9990000000000003E-4</v>
      </c>
      <c r="D224" s="234">
        <v>3.0249999999999998E-4</v>
      </c>
      <c r="E224" s="231">
        <v>1071670</v>
      </c>
      <c r="F224" s="231" t="s">
        <v>1924</v>
      </c>
      <c r="G224" s="392">
        <v>135333</v>
      </c>
      <c r="H224" s="392">
        <v>150809</v>
      </c>
      <c r="I224" s="392">
        <v>79753</v>
      </c>
      <c r="J224" s="231">
        <v>3231</v>
      </c>
      <c r="K224" s="231">
        <v>369126</v>
      </c>
      <c r="L224" s="231"/>
      <c r="M224" s="225">
        <v>0</v>
      </c>
      <c r="N224" s="225">
        <v>0</v>
      </c>
      <c r="O224" s="231">
        <v>27853</v>
      </c>
      <c r="P224" s="231">
        <v>27853</v>
      </c>
      <c r="Q224" s="231"/>
      <c r="R224" s="392">
        <v>368540</v>
      </c>
      <c r="S224" s="231">
        <v>-11776</v>
      </c>
      <c r="T224" s="396">
        <v>356764</v>
      </c>
      <c r="U224" s="231"/>
      <c r="V224" s="396"/>
      <c r="W224" s="396"/>
      <c r="X224" s="396">
        <v>2174303</v>
      </c>
      <c r="Y224" s="396">
        <v>155306</v>
      </c>
    </row>
    <row r="225" spans="1:25">
      <c r="A225" s="390">
        <v>92311</v>
      </c>
      <c r="B225" s="391" t="s">
        <v>931</v>
      </c>
      <c r="C225" s="234">
        <v>2.3205999999999999E-3</v>
      </c>
      <c r="D225" s="234">
        <v>2.2645999999999999E-3</v>
      </c>
      <c r="E225" s="231">
        <v>8292492</v>
      </c>
      <c r="F225" s="231" t="s">
        <v>1924</v>
      </c>
      <c r="G225" s="392">
        <v>1047196</v>
      </c>
      <c r="H225" s="392">
        <v>1166946</v>
      </c>
      <c r="I225" s="392">
        <v>617124</v>
      </c>
      <c r="J225" s="231">
        <v>44290</v>
      </c>
      <c r="K225" s="231">
        <v>2875556</v>
      </c>
      <c r="L225" s="231"/>
      <c r="M225" s="225">
        <v>0</v>
      </c>
      <c r="N225" s="225">
        <v>0</v>
      </c>
      <c r="O225" s="231">
        <v>30864</v>
      </c>
      <c r="P225" s="231">
        <v>30864</v>
      </c>
      <c r="Q225" s="231"/>
      <c r="R225" s="392">
        <v>2851727</v>
      </c>
      <c r="S225" s="231">
        <v>-2982</v>
      </c>
      <c r="T225" s="396">
        <v>2848745</v>
      </c>
      <c r="U225" s="231"/>
      <c r="V225" s="396"/>
      <c r="W225" s="396"/>
      <c r="X225" s="396">
        <v>16824563</v>
      </c>
      <c r="Y225" s="396">
        <v>1201741</v>
      </c>
    </row>
    <row r="226" spans="1:25">
      <c r="A226" s="390">
        <v>92317</v>
      </c>
      <c r="B226" s="391" t="s">
        <v>932</v>
      </c>
      <c r="C226" s="234">
        <v>3.3800000000000002E-5</v>
      </c>
      <c r="D226" s="234">
        <v>2.97E-5</v>
      </c>
      <c r="E226" s="231">
        <v>120782</v>
      </c>
      <c r="F226" s="231" t="s">
        <v>1924</v>
      </c>
      <c r="G226" s="392">
        <v>15253</v>
      </c>
      <c r="H226" s="392">
        <v>16997</v>
      </c>
      <c r="I226" s="392">
        <v>8989</v>
      </c>
      <c r="J226" s="231">
        <v>26597</v>
      </c>
      <c r="K226" s="231">
        <v>67836</v>
      </c>
      <c r="L226" s="231"/>
      <c r="M226" s="225">
        <v>0</v>
      </c>
      <c r="N226" s="225">
        <v>0</v>
      </c>
      <c r="O226" s="231">
        <v>0</v>
      </c>
      <c r="P226" s="231">
        <v>0</v>
      </c>
      <c r="Q226" s="231"/>
      <c r="R226" s="392">
        <v>41536</v>
      </c>
      <c r="S226" s="231">
        <v>11468</v>
      </c>
      <c r="T226" s="396">
        <v>53004</v>
      </c>
      <c r="U226" s="231"/>
      <c r="V226" s="396"/>
      <c r="W226" s="396"/>
      <c r="X226" s="396">
        <v>245053</v>
      </c>
      <c r="Y226" s="396">
        <v>17504</v>
      </c>
    </row>
    <row r="227" spans="1:25">
      <c r="A227" s="390">
        <v>92321</v>
      </c>
      <c r="B227" s="391" t="s">
        <v>933</v>
      </c>
      <c r="C227" s="234">
        <v>1.3334E-3</v>
      </c>
      <c r="D227" s="234">
        <v>1.2122999999999999E-3</v>
      </c>
      <c r="E227" s="231">
        <v>4764806</v>
      </c>
      <c r="F227" s="231" t="s">
        <v>1924</v>
      </c>
      <c r="G227" s="392">
        <v>601711</v>
      </c>
      <c r="H227" s="392">
        <v>670518</v>
      </c>
      <c r="I227" s="392">
        <v>354595</v>
      </c>
      <c r="J227" s="231">
        <v>179522</v>
      </c>
      <c r="K227" s="231">
        <v>1806346</v>
      </c>
      <c r="L227" s="231"/>
      <c r="M227" s="225">
        <v>0</v>
      </c>
      <c r="N227" s="225">
        <v>0</v>
      </c>
      <c r="O227" s="231">
        <v>12154</v>
      </c>
      <c r="P227" s="231">
        <v>12154</v>
      </c>
      <c r="Q227" s="231"/>
      <c r="R227" s="392">
        <v>1638582</v>
      </c>
      <c r="S227" s="231">
        <v>55638</v>
      </c>
      <c r="T227" s="396">
        <v>1694220</v>
      </c>
      <c r="U227" s="231"/>
      <c r="V227" s="396"/>
      <c r="W227" s="396"/>
      <c r="X227" s="396">
        <v>9667273</v>
      </c>
      <c r="Y227" s="396">
        <v>690512</v>
      </c>
    </row>
    <row r="228" spans="1:25">
      <c r="A228" s="390">
        <v>92327</v>
      </c>
      <c r="B228" s="391" t="s">
        <v>934</v>
      </c>
      <c r="C228" s="234">
        <v>6.2999999999999998E-6</v>
      </c>
      <c r="D228" s="234">
        <v>6.4999999999999996E-6</v>
      </c>
      <c r="E228" s="231">
        <v>22513</v>
      </c>
      <c r="F228" s="231" t="s">
        <v>1924</v>
      </c>
      <c r="G228" s="392">
        <v>2843</v>
      </c>
      <c r="H228" s="392">
        <v>3168</v>
      </c>
      <c r="I228" s="392">
        <v>1675</v>
      </c>
      <c r="J228" s="231">
        <v>8163</v>
      </c>
      <c r="K228" s="231">
        <v>15849</v>
      </c>
      <c r="L228" s="231"/>
      <c r="M228" s="225">
        <v>0</v>
      </c>
      <c r="N228" s="225">
        <v>0</v>
      </c>
      <c r="O228" s="231">
        <v>0</v>
      </c>
      <c r="P228" s="231">
        <v>0</v>
      </c>
      <c r="Q228" s="231"/>
      <c r="R228" s="392">
        <v>7742</v>
      </c>
      <c r="S228" s="231">
        <v>3534</v>
      </c>
      <c r="T228" s="396">
        <v>11276</v>
      </c>
      <c r="U228" s="231"/>
      <c r="V228" s="396"/>
      <c r="W228" s="396"/>
      <c r="X228" s="396">
        <v>45676</v>
      </c>
      <c r="Y228" s="396">
        <v>3263</v>
      </c>
    </row>
    <row r="229" spans="1:25">
      <c r="A229" s="390">
        <v>92331</v>
      </c>
      <c r="B229" s="391" t="s">
        <v>935</v>
      </c>
      <c r="C229" s="234">
        <v>1.381E-4</v>
      </c>
      <c r="D229" s="234">
        <v>1.351E-4</v>
      </c>
      <c r="E229" s="231">
        <v>493490</v>
      </c>
      <c r="F229" s="231" t="s">
        <v>1924</v>
      </c>
      <c r="G229" s="392">
        <v>62319</v>
      </c>
      <c r="H229" s="392">
        <v>69445</v>
      </c>
      <c r="I229" s="392">
        <v>36725</v>
      </c>
      <c r="J229" s="231">
        <v>24351</v>
      </c>
      <c r="K229" s="231">
        <v>192840</v>
      </c>
      <c r="L229" s="231"/>
      <c r="M229" s="225">
        <v>0</v>
      </c>
      <c r="N229" s="225">
        <v>0</v>
      </c>
      <c r="O229" s="231">
        <v>2766</v>
      </c>
      <c r="P229" s="231">
        <v>2766</v>
      </c>
      <c r="Q229" s="231"/>
      <c r="R229" s="392">
        <v>169708</v>
      </c>
      <c r="S229" s="231">
        <v>4875</v>
      </c>
      <c r="T229" s="396">
        <v>174583</v>
      </c>
      <c r="U229" s="231"/>
      <c r="V229" s="396"/>
      <c r="W229" s="396"/>
      <c r="X229" s="396">
        <v>1001238</v>
      </c>
      <c r="Y229" s="396">
        <v>71516</v>
      </c>
    </row>
    <row r="230" spans="1:25">
      <c r="A230" s="390">
        <v>92341</v>
      </c>
      <c r="B230" s="391" t="s">
        <v>936</v>
      </c>
      <c r="C230" s="234">
        <v>7.7999999999999999E-6</v>
      </c>
      <c r="D230" s="234">
        <v>8.4999999999999999E-6</v>
      </c>
      <c r="E230" s="231">
        <v>27873</v>
      </c>
      <c r="F230" s="231" t="s">
        <v>1924</v>
      </c>
      <c r="G230" s="392">
        <v>3520</v>
      </c>
      <c r="H230" s="392">
        <v>3923</v>
      </c>
      <c r="I230" s="392">
        <v>2074</v>
      </c>
      <c r="J230" s="231">
        <v>56</v>
      </c>
      <c r="K230" s="231">
        <v>9573</v>
      </c>
      <c r="L230" s="231"/>
      <c r="M230" s="225">
        <v>0</v>
      </c>
      <c r="N230" s="225">
        <v>0</v>
      </c>
      <c r="O230" s="231">
        <v>3416</v>
      </c>
      <c r="P230" s="231">
        <v>3416</v>
      </c>
      <c r="Q230" s="231"/>
      <c r="R230" s="392">
        <v>9585</v>
      </c>
      <c r="S230" s="231">
        <v>-1141</v>
      </c>
      <c r="T230" s="396">
        <v>8444</v>
      </c>
      <c r="U230" s="231"/>
      <c r="V230" s="396"/>
      <c r="W230" s="396"/>
      <c r="X230" s="396">
        <v>56551</v>
      </c>
      <c r="Y230" s="396">
        <v>4039</v>
      </c>
    </row>
    <row r="231" spans="1:25">
      <c r="A231" s="390">
        <v>92351</v>
      </c>
      <c r="B231" s="391" t="s">
        <v>937</v>
      </c>
      <c r="C231" s="234">
        <v>2.48E-5</v>
      </c>
      <c r="D231" s="234">
        <v>1.7499999999999998E-5</v>
      </c>
      <c r="E231" s="231">
        <v>88621</v>
      </c>
      <c r="F231" s="231" t="s">
        <v>1924</v>
      </c>
      <c r="G231" s="392">
        <v>11191</v>
      </c>
      <c r="H231" s="392">
        <v>12471</v>
      </c>
      <c r="I231" s="392">
        <v>6595</v>
      </c>
      <c r="J231" s="231">
        <v>11937</v>
      </c>
      <c r="K231" s="231">
        <v>42194</v>
      </c>
      <c r="L231" s="231"/>
      <c r="M231" s="225">
        <v>0</v>
      </c>
      <c r="N231" s="225">
        <v>0</v>
      </c>
      <c r="O231" s="231">
        <v>543</v>
      </c>
      <c r="P231" s="231">
        <v>543</v>
      </c>
      <c r="Q231" s="231"/>
      <c r="R231" s="392">
        <v>30476</v>
      </c>
      <c r="S231" s="231">
        <v>3107</v>
      </c>
      <c r="T231" s="396">
        <v>33583</v>
      </c>
      <c r="U231" s="231"/>
      <c r="V231" s="396"/>
      <c r="W231" s="396"/>
      <c r="X231" s="396">
        <v>179802</v>
      </c>
      <c r="Y231" s="396">
        <v>12843</v>
      </c>
    </row>
    <row r="232" spans="1:25">
      <c r="A232" s="390">
        <v>92401</v>
      </c>
      <c r="B232" s="391" t="s">
        <v>938</v>
      </c>
      <c r="C232" s="234">
        <v>2.5820999999999999E-3</v>
      </c>
      <c r="D232" s="234">
        <v>2.6340000000000001E-3</v>
      </c>
      <c r="E232" s="231">
        <v>9226943</v>
      </c>
      <c r="F232" s="231" t="s">
        <v>1924</v>
      </c>
      <c r="G232" s="392">
        <v>1165201</v>
      </c>
      <c r="H232" s="392">
        <v>1298446</v>
      </c>
      <c r="I232" s="392">
        <v>686666</v>
      </c>
      <c r="J232" s="231">
        <v>167677</v>
      </c>
      <c r="K232" s="231">
        <v>3317990</v>
      </c>
      <c r="L232" s="231"/>
      <c r="M232" s="225">
        <v>0</v>
      </c>
      <c r="N232" s="225">
        <v>0</v>
      </c>
      <c r="O232" s="231">
        <v>94544</v>
      </c>
      <c r="P232" s="231">
        <v>94544</v>
      </c>
      <c r="Q232" s="231"/>
      <c r="R232" s="392">
        <v>3173078</v>
      </c>
      <c r="S232" s="231">
        <v>23158</v>
      </c>
      <c r="T232" s="396">
        <v>3196236</v>
      </c>
      <c r="U232" s="231"/>
      <c r="V232" s="396"/>
      <c r="W232" s="396"/>
      <c r="X232" s="396">
        <v>18720463</v>
      </c>
      <c r="Y232" s="396">
        <v>1337161</v>
      </c>
    </row>
    <row r="233" spans="1:25">
      <c r="A233" s="390">
        <v>92403</v>
      </c>
      <c r="B233" s="391" t="s">
        <v>939</v>
      </c>
      <c r="C233" s="234">
        <v>8.3000000000000002E-6</v>
      </c>
      <c r="D233" s="234">
        <v>9.0999999999999993E-6</v>
      </c>
      <c r="E233" s="231">
        <v>29659</v>
      </c>
      <c r="F233" s="231" t="s">
        <v>1924</v>
      </c>
      <c r="G233" s="392">
        <v>3745</v>
      </c>
      <c r="H233" s="392">
        <v>4174</v>
      </c>
      <c r="I233" s="392">
        <v>2207</v>
      </c>
      <c r="J233" s="231">
        <v>3235</v>
      </c>
      <c r="K233" s="231">
        <v>13361</v>
      </c>
      <c r="L233" s="231"/>
      <c r="M233" s="225">
        <v>0</v>
      </c>
      <c r="N233" s="225">
        <v>0</v>
      </c>
      <c r="O233" s="231">
        <v>0</v>
      </c>
      <c r="P233" s="231">
        <v>0</v>
      </c>
      <c r="Q233" s="231"/>
      <c r="R233" s="392">
        <v>10200</v>
      </c>
      <c r="S233" s="231">
        <v>965</v>
      </c>
      <c r="T233" s="396">
        <v>11165</v>
      </c>
      <c r="U233" s="231"/>
      <c r="V233" s="396"/>
      <c r="W233" s="396"/>
      <c r="X233" s="396">
        <v>60176</v>
      </c>
      <c r="Y233" s="396">
        <v>4298</v>
      </c>
    </row>
    <row r="234" spans="1:25">
      <c r="A234" s="390">
        <v>92411</v>
      </c>
      <c r="B234" s="391" t="s">
        <v>940</v>
      </c>
      <c r="C234" s="234">
        <v>4.8109999999999998E-4</v>
      </c>
      <c r="D234" s="234">
        <v>4.5199999999999998E-4</v>
      </c>
      <c r="E234" s="231">
        <v>1719175</v>
      </c>
      <c r="F234" s="231" t="s">
        <v>1924</v>
      </c>
      <c r="G234" s="392">
        <v>217102</v>
      </c>
      <c r="H234" s="392">
        <v>241928</v>
      </c>
      <c r="I234" s="392">
        <v>127940</v>
      </c>
      <c r="J234" s="231">
        <v>26242</v>
      </c>
      <c r="K234" s="231">
        <v>613212</v>
      </c>
      <c r="L234" s="231"/>
      <c r="M234" s="225">
        <v>0</v>
      </c>
      <c r="N234" s="225">
        <v>0</v>
      </c>
      <c r="O234" s="231">
        <v>24736</v>
      </c>
      <c r="P234" s="231">
        <v>24736</v>
      </c>
      <c r="Q234" s="231"/>
      <c r="R234" s="392">
        <v>591212</v>
      </c>
      <c r="S234" s="231">
        <v>-14362</v>
      </c>
      <c r="T234" s="396">
        <v>576850</v>
      </c>
      <c r="U234" s="231"/>
      <c r="V234" s="396"/>
      <c r="W234" s="396"/>
      <c r="X234" s="396">
        <v>3488019</v>
      </c>
      <c r="Y234" s="396">
        <v>249141</v>
      </c>
    </row>
    <row r="235" spans="1:25">
      <c r="A235" s="390">
        <v>92414</v>
      </c>
      <c r="B235" s="391" t="s">
        <v>70</v>
      </c>
      <c r="C235" s="234">
        <v>0</v>
      </c>
      <c r="D235" s="234">
        <v>0</v>
      </c>
      <c r="E235" s="231">
        <v>0</v>
      </c>
      <c r="F235" s="231" t="s">
        <v>1924</v>
      </c>
      <c r="G235" s="392">
        <v>0</v>
      </c>
      <c r="H235" s="392">
        <v>0</v>
      </c>
      <c r="I235" s="392">
        <v>0</v>
      </c>
      <c r="J235" s="231">
        <v>0</v>
      </c>
      <c r="K235" s="231">
        <v>0</v>
      </c>
      <c r="L235" s="231"/>
      <c r="M235" s="225">
        <v>0</v>
      </c>
      <c r="N235" s="225">
        <v>0</v>
      </c>
      <c r="O235" s="231">
        <v>0</v>
      </c>
      <c r="P235" s="231">
        <v>0</v>
      </c>
      <c r="Q235" s="231"/>
      <c r="R235" s="392">
        <v>0</v>
      </c>
      <c r="S235" s="231">
        <v>-1184</v>
      </c>
      <c r="T235" s="396">
        <v>-1184</v>
      </c>
      <c r="U235" s="231"/>
      <c r="V235" s="396"/>
      <c r="W235" s="396"/>
      <c r="X235" s="396">
        <v>0</v>
      </c>
      <c r="Y235" s="396">
        <v>0</v>
      </c>
    </row>
    <row r="236" spans="1:25">
      <c r="A236" s="390">
        <v>92417</v>
      </c>
      <c r="B236" s="391" t="s">
        <v>941</v>
      </c>
      <c r="C236" s="234">
        <v>1.15E-5</v>
      </c>
      <c r="D236" s="234">
        <v>1.73E-5</v>
      </c>
      <c r="E236" s="231">
        <v>41094</v>
      </c>
      <c r="F236" s="231" t="s">
        <v>1924</v>
      </c>
      <c r="G236" s="392">
        <v>5190</v>
      </c>
      <c r="H236" s="392">
        <v>5783</v>
      </c>
      <c r="I236" s="392">
        <v>3058</v>
      </c>
      <c r="J236" s="231">
        <v>0</v>
      </c>
      <c r="K236" s="231">
        <v>14031</v>
      </c>
      <c r="L236" s="231"/>
      <c r="M236" s="225">
        <v>0</v>
      </c>
      <c r="N236" s="225">
        <v>0</v>
      </c>
      <c r="O236" s="231">
        <v>12171</v>
      </c>
      <c r="P236" s="231">
        <v>12171</v>
      </c>
      <c r="Q236" s="231"/>
      <c r="R236" s="392">
        <v>14132</v>
      </c>
      <c r="S236" s="231">
        <v>-4688</v>
      </c>
      <c r="T236" s="396">
        <v>9444</v>
      </c>
      <c r="U236" s="231"/>
      <c r="V236" s="396"/>
      <c r="W236" s="396"/>
      <c r="X236" s="396">
        <v>83376</v>
      </c>
      <c r="Y236" s="396">
        <v>5955</v>
      </c>
    </row>
    <row r="237" spans="1:25">
      <c r="A237" s="390">
        <v>92421</v>
      </c>
      <c r="B237" s="391" t="s">
        <v>942</v>
      </c>
      <c r="C237" s="234">
        <v>1.7900000000000001E-5</v>
      </c>
      <c r="D237" s="234">
        <v>1.6399999999999999E-5</v>
      </c>
      <c r="E237" s="231">
        <v>63964</v>
      </c>
      <c r="F237" s="231" t="s">
        <v>1924</v>
      </c>
      <c r="G237" s="392">
        <v>8078</v>
      </c>
      <c r="H237" s="392">
        <v>9001</v>
      </c>
      <c r="I237" s="392">
        <v>4760</v>
      </c>
      <c r="J237" s="231">
        <v>8685</v>
      </c>
      <c r="K237" s="231">
        <v>30524</v>
      </c>
      <c r="L237" s="231"/>
      <c r="M237" s="225">
        <v>0</v>
      </c>
      <c r="N237" s="225">
        <v>0</v>
      </c>
      <c r="O237" s="231">
        <v>0</v>
      </c>
      <c r="P237" s="231">
        <v>0</v>
      </c>
      <c r="Q237" s="231"/>
      <c r="R237" s="392">
        <v>21997</v>
      </c>
      <c r="S237" s="231">
        <v>3332</v>
      </c>
      <c r="T237" s="396">
        <v>25329</v>
      </c>
      <c r="U237" s="231"/>
      <c r="V237" s="396"/>
      <c r="W237" s="396"/>
      <c r="X237" s="396">
        <v>129777</v>
      </c>
      <c r="Y237" s="396">
        <v>9270</v>
      </c>
    </row>
    <row r="238" spans="1:25">
      <c r="A238" s="390">
        <v>92427</v>
      </c>
      <c r="B238" s="391" t="s">
        <v>943</v>
      </c>
      <c r="C238" s="234">
        <v>1.7E-6</v>
      </c>
      <c r="D238" s="234">
        <v>1.9E-6</v>
      </c>
      <c r="E238" s="231">
        <v>6075</v>
      </c>
      <c r="F238" s="231" t="s">
        <v>1924</v>
      </c>
      <c r="G238" s="392">
        <v>767</v>
      </c>
      <c r="H238" s="392">
        <v>855</v>
      </c>
      <c r="I238" s="392">
        <v>452</v>
      </c>
      <c r="J238" s="231">
        <v>1966</v>
      </c>
      <c r="K238" s="231">
        <v>4040</v>
      </c>
      <c r="L238" s="231"/>
      <c r="M238" s="225">
        <v>0</v>
      </c>
      <c r="N238" s="225">
        <v>0</v>
      </c>
      <c r="O238" s="231">
        <v>0</v>
      </c>
      <c r="P238" s="231">
        <v>0</v>
      </c>
      <c r="Q238" s="231"/>
      <c r="R238" s="392">
        <v>2089</v>
      </c>
      <c r="S238" s="231">
        <v>1115</v>
      </c>
      <c r="T238" s="396">
        <v>3204</v>
      </c>
      <c r="U238" s="231"/>
      <c r="V238" s="396"/>
      <c r="W238" s="396"/>
      <c r="X238" s="396">
        <v>12325</v>
      </c>
      <c r="Y238" s="396">
        <v>880</v>
      </c>
    </row>
    <row r="239" spans="1:25" ht="14.25" customHeight="1">
      <c r="A239" s="390">
        <v>92431</v>
      </c>
      <c r="B239" s="391" t="s">
        <v>944</v>
      </c>
      <c r="C239" s="234">
        <v>2.34E-5</v>
      </c>
      <c r="D239" s="234">
        <v>2.6999999999999999E-5</v>
      </c>
      <c r="E239" s="231">
        <v>83618</v>
      </c>
      <c r="F239" s="231" t="s">
        <v>1924</v>
      </c>
      <c r="G239" s="392">
        <v>10560</v>
      </c>
      <c r="H239" s="392">
        <v>11767</v>
      </c>
      <c r="I239" s="392">
        <v>6223</v>
      </c>
      <c r="J239" s="231">
        <v>9831</v>
      </c>
      <c r="K239" s="231">
        <v>38381</v>
      </c>
      <c r="L239" s="231"/>
      <c r="M239" s="225">
        <v>0</v>
      </c>
      <c r="N239" s="225">
        <v>0</v>
      </c>
      <c r="O239" s="231">
        <v>839</v>
      </c>
      <c r="P239" s="231">
        <v>839</v>
      </c>
      <c r="Q239" s="231"/>
      <c r="R239" s="392">
        <v>28756</v>
      </c>
      <c r="S239" s="231">
        <v>4402</v>
      </c>
      <c r="T239" s="396">
        <v>33158</v>
      </c>
      <c r="U239" s="231"/>
      <c r="V239" s="396"/>
      <c r="W239" s="396"/>
      <c r="X239" s="396">
        <v>169652</v>
      </c>
      <c r="Y239" s="396">
        <v>12118</v>
      </c>
    </row>
    <row r="240" spans="1:25">
      <c r="A240" s="390">
        <v>92441</v>
      </c>
      <c r="B240" s="391" t="s">
        <v>945</v>
      </c>
      <c r="C240" s="234">
        <v>1.054E-4</v>
      </c>
      <c r="D240" s="234">
        <v>8.6500000000000002E-5</v>
      </c>
      <c r="E240" s="231">
        <v>376639</v>
      </c>
      <c r="F240" s="231" t="s">
        <v>1924</v>
      </c>
      <c r="G240" s="392">
        <v>47563</v>
      </c>
      <c r="H240" s="392">
        <v>53002</v>
      </c>
      <c r="I240" s="392">
        <v>28029</v>
      </c>
      <c r="J240" s="231">
        <v>28335</v>
      </c>
      <c r="K240" s="231">
        <v>156929</v>
      </c>
      <c r="L240" s="231"/>
      <c r="M240" s="225">
        <v>0</v>
      </c>
      <c r="N240" s="225">
        <v>0</v>
      </c>
      <c r="O240" s="231">
        <v>11534</v>
      </c>
      <c r="P240" s="231">
        <v>11534</v>
      </c>
      <c r="Q240" s="231"/>
      <c r="R240" s="392">
        <v>129523</v>
      </c>
      <c r="S240" s="231">
        <v>4490</v>
      </c>
      <c r="T240" s="396">
        <v>134013</v>
      </c>
      <c r="U240" s="231"/>
      <c r="V240" s="396"/>
      <c r="W240" s="396"/>
      <c r="X240" s="396">
        <v>764160</v>
      </c>
      <c r="Y240" s="396">
        <v>54582</v>
      </c>
    </row>
    <row r="241" spans="1:25">
      <c r="A241" s="390">
        <v>92444</v>
      </c>
      <c r="B241" s="391" t="s">
        <v>946</v>
      </c>
      <c r="C241" s="234">
        <v>5.2000000000000002E-6</v>
      </c>
      <c r="D241" s="234">
        <v>5.1000000000000003E-6</v>
      </c>
      <c r="E241" s="231">
        <v>18582</v>
      </c>
      <c r="F241" s="231" t="s">
        <v>1924</v>
      </c>
      <c r="G241" s="392">
        <v>2347</v>
      </c>
      <c r="H241" s="392">
        <v>2615</v>
      </c>
      <c r="I241" s="392">
        <v>1383</v>
      </c>
      <c r="J241" s="231">
        <v>5925</v>
      </c>
      <c r="K241" s="231">
        <v>12270</v>
      </c>
      <c r="L241" s="231"/>
      <c r="M241" s="225">
        <v>0</v>
      </c>
      <c r="N241" s="225">
        <v>0</v>
      </c>
      <c r="O241" s="231">
        <v>0</v>
      </c>
      <c r="P241" s="231">
        <v>0</v>
      </c>
      <c r="Q241" s="231"/>
      <c r="R241" s="392">
        <v>6390</v>
      </c>
      <c r="S241" s="231">
        <v>2502</v>
      </c>
      <c r="T241" s="396">
        <v>8892</v>
      </c>
      <c r="U241" s="231"/>
      <c r="V241" s="396"/>
      <c r="W241" s="396"/>
      <c r="X241" s="396">
        <v>37700</v>
      </c>
      <c r="Y241" s="396">
        <v>2693</v>
      </c>
    </row>
    <row r="242" spans="1:25">
      <c r="A242" s="390">
        <v>92451</v>
      </c>
      <c r="B242" s="391" t="s">
        <v>947</v>
      </c>
      <c r="C242" s="234">
        <v>1.049E-4</v>
      </c>
      <c r="D242" s="234">
        <v>1.143E-4</v>
      </c>
      <c r="E242" s="231">
        <v>374852</v>
      </c>
      <c r="F242" s="231" t="s">
        <v>1924</v>
      </c>
      <c r="G242" s="392">
        <v>47337</v>
      </c>
      <c r="H242" s="392">
        <v>52751</v>
      </c>
      <c r="I242" s="392">
        <v>27896</v>
      </c>
      <c r="J242" s="231">
        <v>23225</v>
      </c>
      <c r="K242" s="231">
        <v>151209</v>
      </c>
      <c r="L242" s="231"/>
      <c r="M242" s="225">
        <v>0</v>
      </c>
      <c r="N242" s="225">
        <v>0</v>
      </c>
      <c r="O242" s="231">
        <v>0</v>
      </c>
      <c r="P242" s="231">
        <v>0</v>
      </c>
      <c r="Q242" s="231"/>
      <c r="R242" s="392">
        <v>128909</v>
      </c>
      <c r="S242" s="231">
        <v>14635</v>
      </c>
      <c r="T242" s="396">
        <v>143544</v>
      </c>
      <c r="U242" s="231"/>
      <c r="V242" s="396"/>
      <c r="W242" s="396"/>
      <c r="X242" s="396">
        <v>760535</v>
      </c>
      <c r="Y242" s="396">
        <v>54323</v>
      </c>
    </row>
    <row r="243" spans="1:25">
      <c r="A243" s="390">
        <v>92461</v>
      </c>
      <c r="B243" s="391" t="s">
        <v>948</v>
      </c>
      <c r="C243" s="234">
        <v>5.3300000000000001E-5</v>
      </c>
      <c r="D243" s="234">
        <v>5.8400000000000003E-5</v>
      </c>
      <c r="E243" s="231">
        <v>190464</v>
      </c>
      <c r="F243" s="231" t="s">
        <v>1924</v>
      </c>
      <c r="G243" s="392">
        <v>24052</v>
      </c>
      <c r="H243" s="392">
        <v>26803</v>
      </c>
      <c r="I243" s="392">
        <v>14174</v>
      </c>
      <c r="J243" s="231">
        <v>10453</v>
      </c>
      <c r="K243" s="231">
        <v>75482</v>
      </c>
      <c r="L243" s="231"/>
      <c r="M243" s="225">
        <v>0</v>
      </c>
      <c r="N243" s="225">
        <v>0</v>
      </c>
      <c r="O243" s="231">
        <v>0</v>
      </c>
      <c r="P243" s="231">
        <v>0</v>
      </c>
      <c r="Q243" s="231"/>
      <c r="R243" s="392">
        <v>65499</v>
      </c>
      <c r="S243" s="231">
        <v>7132</v>
      </c>
      <c r="T243" s="396">
        <v>72631</v>
      </c>
      <c r="U243" s="231"/>
      <c r="V243" s="396"/>
      <c r="W243" s="396"/>
      <c r="X243" s="396">
        <v>386430</v>
      </c>
      <c r="Y243" s="396">
        <v>27602</v>
      </c>
    </row>
    <row r="244" spans="1:25">
      <c r="A244" s="390">
        <v>92501</v>
      </c>
      <c r="B244" s="391" t="s">
        <v>949</v>
      </c>
      <c r="C244" s="234">
        <v>4.0159999999999996E-3</v>
      </c>
      <c r="D244" s="234">
        <v>3.7055999999999999E-3</v>
      </c>
      <c r="E244" s="231">
        <v>14350879</v>
      </c>
      <c r="F244" s="231" t="s">
        <v>1924</v>
      </c>
      <c r="G244" s="392">
        <v>1812264</v>
      </c>
      <c r="H244" s="392">
        <v>2019502</v>
      </c>
      <c r="I244" s="392">
        <v>1067987</v>
      </c>
      <c r="J244" s="231">
        <v>680627</v>
      </c>
      <c r="K244" s="231">
        <v>5580380</v>
      </c>
      <c r="L244" s="231"/>
      <c r="M244" s="225">
        <v>0</v>
      </c>
      <c r="N244" s="225">
        <v>0</v>
      </c>
      <c r="O244" s="231">
        <v>0</v>
      </c>
      <c r="P244" s="231">
        <v>0</v>
      </c>
      <c r="Q244" s="231"/>
      <c r="R244" s="392">
        <v>4935162</v>
      </c>
      <c r="S244" s="231">
        <v>257178</v>
      </c>
      <c r="T244" s="396">
        <v>5192340</v>
      </c>
      <c r="U244" s="231"/>
      <c r="V244" s="396"/>
      <c r="W244" s="396"/>
      <c r="X244" s="396">
        <v>29116369</v>
      </c>
      <c r="Y244" s="396">
        <v>2079718</v>
      </c>
    </row>
    <row r="245" spans="1:25">
      <c r="A245" s="390">
        <v>92502</v>
      </c>
      <c r="B245" s="391" t="s">
        <v>950</v>
      </c>
      <c r="C245" s="234">
        <v>2.1299999999999999E-5</v>
      </c>
      <c r="D245" s="234">
        <v>2.3600000000000001E-5</v>
      </c>
      <c r="E245" s="231">
        <v>76114</v>
      </c>
      <c r="F245" s="231" t="s">
        <v>1924</v>
      </c>
      <c r="G245" s="392">
        <v>9612</v>
      </c>
      <c r="H245" s="392">
        <v>10711</v>
      </c>
      <c r="I245" s="392">
        <v>5664</v>
      </c>
      <c r="J245" s="231">
        <v>1968</v>
      </c>
      <c r="K245" s="231">
        <v>27955</v>
      </c>
      <c r="L245" s="231"/>
      <c r="M245" s="225">
        <v>0</v>
      </c>
      <c r="N245" s="225">
        <v>0</v>
      </c>
      <c r="O245" s="231">
        <v>0</v>
      </c>
      <c r="P245" s="231">
        <v>0</v>
      </c>
      <c r="Q245" s="231"/>
      <c r="R245" s="392">
        <v>26175</v>
      </c>
      <c r="S245" s="231">
        <v>1864</v>
      </c>
      <c r="T245" s="396">
        <v>28039</v>
      </c>
      <c r="U245" s="231"/>
      <c r="V245" s="396"/>
      <c r="W245" s="396"/>
      <c r="X245" s="396">
        <v>154427</v>
      </c>
      <c r="Y245" s="396">
        <v>11030</v>
      </c>
    </row>
    <row r="246" spans="1:25">
      <c r="A246" s="390">
        <v>92504</v>
      </c>
      <c r="B246" s="391" t="s">
        <v>951</v>
      </c>
      <c r="C246" s="234">
        <v>9.0799999999999998E-5</v>
      </c>
      <c r="D246" s="234">
        <v>7.6299999999999998E-5</v>
      </c>
      <c r="E246" s="231">
        <v>324467</v>
      </c>
      <c r="F246" s="231" t="s">
        <v>1924</v>
      </c>
      <c r="G246" s="392">
        <v>40974</v>
      </c>
      <c r="H246" s="392">
        <v>45660</v>
      </c>
      <c r="I246" s="392">
        <v>24147</v>
      </c>
      <c r="J246" s="231">
        <v>41238</v>
      </c>
      <c r="K246" s="231">
        <v>152019</v>
      </c>
      <c r="L246" s="231"/>
      <c r="M246" s="225">
        <v>0</v>
      </c>
      <c r="N246" s="225">
        <v>0</v>
      </c>
      <c r="O246" s="231">
        <v>0</v>
      </c>
      <c r="P246" s="231">
        <v>0</v>
      </c>
      <c r="Q246" s="231"/>
      <c r="R246" s="392">
        <v>111582</v>
      </c>
      <c r="S246" s="231">
        <v>18430</v>
      </c>
      <c r="T246" s="396">
        <v>130012</v>
      </c>
      <c r="U246" s="231"/>
      <c r="V246" s="396"/>
      <c r="W246" s="396"/>
      <c r="X246" s="396">
        <v>658308</v>
      </c>
      <c r="Y246" s="396">
        <v>47022</v>
      </c>
    </row>
    <row r="247" spans="1:25">
      <c r="A247" s="390">
        <v>92505</v>
      </c>
      <c r="B247" s="391" t="s">
        <v>952</v>
      </c>
      <c r="C247" s="234">
        <v>1.674E-4</v>
      </c>
      <c r="D247" s="234">
        <v>1.7090000000000001E-4</v>
      </c>
      <c r="E247" s="231">
        <v>598192</v>
      </c>
      <c r="F247" s="231" t="s">
        <v>1924</v>
      </c>
      <c r="G247" s="392">
        <v>75541</v>
      </c>
      <c r="H247" s="392">
        <v>84179</v>
      </c>
      <c r="I247" s="392">
        <v>44517</v>
      </c>
      <c r="J247" s="231">
        <v>76409</v>
      </c>
      <c r="K247" s="231">
        <v>280646</v>
      </c>
      <c r="L247" s="231"/>
      <c r="M247" s="225">
        <v>0</v>
      </c>
      <c r="N247" s="225">
        <v>0</v>
      </c>
      <c r="O247" s="231">
        <v>0</v>
      </c>
      <c r="P247" s="231">
        <v>0</v>
      </c>
      <c r="Q247" s="231"/>
      <c r="R247" s="392">
        <v>205714</v>
      </c>
      <c r="S247" s="231">
        <v>36249</v>
      </c>
      <c r="T247" s="396">
        <v>241963</v>
      </c>
      <c r="U247" s="231"/>
      <c r="V247" s="396"/>
      <c r="W247" s="396"/>
      <c r="X247" s="396">
        <v>1213665</v>
      </c>
      <c r="Y247" s="396">
        <v>86689</v>
      </c>
    </row>
    <row r="248" spans="1:25">
      <c r="A248" s="390">
        <v>92506</v>
      </c>
      <c r="B248" s="391" t="s">
        <v>953</v>
      </c>
      <c r="C248" s="234">
        <v>6.0600000000000003E-5</v>
      </c>
      <c r="D248" s="234">
        <v>5.38E-5</v>
      </c>
      <c r="E248" s="231">
        <v>216550</v>
      </c>
      <c r="F248" s="231" t="s">
        <v>1924</v>
      </c>
      <c r="G248" s="392">
        <v>27346</v>
      </c>
      <c r="H248" s="392">
        <v>30473</v>
      </c>
      <c r="I248" s="392">
        <v>16116</v>
      </c>
      <c r="J248" s="231">
        <v>24783</v>
      </c>
      <c r="K248" s="231">
        <v>98718</v>
      </c>
      <c r="L248" s="231"/>
      <c r="M248" s="225">
        <v>0</v>
      </c>
      <c r="N248" s="225">
        <v>0</v>
      </c>
      <c r="O248" s="231">
        <v>1000</v>
      </c>
      <c r="P248" s="231">
        <v>1000</v>
      </c>
      <c r="Q248" s="231"/>
      <c r="R248" s="392">
        <v>74470</v>
      </c>
      <c r="S248" s="231">
        <v>11666</v>
      </c>
      <c r="T248" s="396">
        <v>86136</v>
      </c>
      <c r="U248" s="231"/>
      <c r="V248" s="396"/>
      <c r="W248" s="396"/>
      <c r="X248" s="396">
        <v>439356</v>
      </c>
      <c r="Y248" s="396">
        <v>31382</v>
      </c>
    </row>
    <row r="249" spans="1:25">
      <c r="A249" s="390">
        <v>92507</v>
      </c>
      <c r="B249" s="391" t="s">
        <v>954</v>
      </c>
      <c r="C249" s="234">
        <v>9.0799999999999998E-5</v>
      </c>
      <c r="D249" s="234">
        <v>1.01E-4</v>
      </c>
      <c r="E249" s="231">
        <v>324467</v>
      </c>
      <c r="F249" s="231" t="s">
        <v>1924</v>
      </c>
      <c r="G249" s="392">
        <v>40974</v>
      </c>
      <c r="H249" s="392">
        <v>45660</v>
      </c>
      <c r="I249" s="392">
        <v>24147</v>
      </c>
      <c r="J249" s="231">
        <v>3900</v>
      </c>
      <c r="K249" s="231">
        <v>114681</v>
      </c>
      <c r="L249" s="231"/>
      <c r="M249" s="225">
        <v>0</v>
      </c>
      <c r="N249" s="225">
        <v>0</v>
      </c>
      <c r="O249" s="231">
        <v>14362</v>
      </c>
      <c r="P249" s="231">
        <v>14362</v>
      </c>
      <c r="Q249" s="231"/>
      <c r="R249" s="392">
        <v>111582</v>
      </c>
      <c r="S249" s="231">
        <v>-5272</v>
      </c>
      <c r="T249" s="396">
        <v>106310</v>
      </c>
      <c r="U249" s="231"/>
      <c r="V249" s="396"/>
      <c r="W249" s="396"/>
      <c r="X249" s="396">
        <v>658308</v>
      </c>
      <c r="Y249" s="396">
        <v>47022</v>
      </c>
    </row>
    <row r="250" spans="1:25">
      <c r="A250" s="390">
        <v>92508</v>
      </c>
      <c r="B250" s="391" t="s">
        <v>955</v>
      </c>
      <c r="C250" s="234">
        <v>3.057E-4</v>
      </c>
      <c r="D250" s="234">
        <v>3.102E-4</v>
      </c>
      <c r="E250" s="231">
        <v>1092396</v>
      </c>
      <c r="F250" s="231" t="s">
        <v>1924</v>
      </c>
      <c r="G250" s="392">
        <v>137950</v>
      </c>
      <c r="H250" s="392">
        <v>153725</v>
      </c>
      <c r="I250" s="392">
        <v>81296</v>
      </c>
      <c r="J250" s="231">
        <v>43078</v>
      </c>
      <c r="K250" s="231">
        <v>416049</v>
      </c>
      <c r="L250" s="231"/>
      <c r="M250" s="225">
        <v>0</v>
      </c>
      <c r="N250" s="225">
        <v>0</v>
      </c>
      <c r="O250" s="231">
        <v>0</v>
      </c>
      <c r="P250" s="231">
        <v>0</v>
      </c>
      <c r="Q250" s="231"/>
      <c r="R250" s="392">
        <v>375667</v>
      </c>
      <c r="S250" s="231">
        <v>14666</v>
      </c>
      <c r="T250" s="396">
        <v>390333</v>
      </c>
      <c r="U250" s="231"/>
      <c r="V250" s="396"/>
      <c r="W250" s="396"/>
      <c r="X250" s="396">
        <v>2216353</v>
      </c>
      <c r="Y250" s="396">
        <v>158309</v>
      </c>
    </row>
    <row r="251" spans="1:25">
      <c r="A251" s="390">
        <v>92509</v>
      </c>
      <c r="B251" s="391" t="s">
        <v>1614</v>
      </c>
      <c r="C251" s="234">
        <v>0</v>
      </c>
      <c r="D251" s="234">
        <v>0</v>
      </c>
      <c r="E251" s="231">
        <v>0</v>
      </c>
      <c r="F251" s="231" t="s">
        <v>1924</v>
      </c>
      <c r="G251" s="392">
        <v>0</v>
      </c>
      <c r="H251" s="392">
        <v>0</v>
      </c>
      <c r="I251" s="392">
        <v>0</v>
      </c>
      <c r="J251" s="231">
        <v>0</v>
      </c>
      <c r="K251" s="231">
        <v>0</v>
      </c>
      <c r="L251" s="231"/>
      <c r="M251" s="225">
        <v>0</v>
      </c>
      <c r="N251" s="225">
        <v>0</v>
      </c>
      <c r="O251" s="231">
        <v>0</v>
      </c>
      <c r="P251" s="231">
        <v>0</v>
      </c>
      <c r="Q251" s="231"/>
      <c r="R251" s="392">
        <v>0</v>
      </c>
      <c r="S251" s="231">
        <v>-260868</v>
      </c>
      <c r="T251" s="396">
        <v>-260868</v>
      </c>
      <c r="U251" s="231"/>
      <c r="V251" s="396"/>
      <c r="W251" s="396"/>
      <c r="X251" s="396">
        <v>0</v>
      </c>
      <c r="Y251" s="396">
        <v>0</v>
      </c>
    </row>
    <row r="252" spans="1:25">
      <c r="A252" s="390">
        <v>92511</v>
      </c>
      <c r="B252" s="391" t="s">
        <v>956</v>
      </c>
      <c r="C252" s="234">
        <v>3.3302000000000002E-3</v>
      </c>
      <c r="D252" s="234">
        <v>3.5699999999999998E-3</v>
      </c>
      <c r="E252" s="231">
        <v>11900223</v>
      </c>
      <c r="F252" s="231" t="s">
        <v>1924</v>
      </c>
      <c r="G252" s="392">
        <v>1502789</v>
      </c>
      <c r="H252" s="392">
        <v>1674638</v>
      </c>
      <c r="I252" s="392">
        <v>885610</v>
      </c>
      <c r="J252" s="231">
        <v>136186</v>
      </c>
      <c r="K252" s="231">
        <v>4199223</v>
      </c>
      <c r="L252" s="231"/>
      <c r="M252" s="225">
        <v>0</v>
      </c>
      <c r="N252" s="225">
        <v>0</v>
      </c>
      <c r="O252" s="231">
        <v>322516</v>
      </c>
      <c r="P252" s="231">
        <v>322516</v>
      </c>
      <c r="Q252" s="231"/>
      <c r="R252" s="392">
        <v>4092400</v>
      </c>
      <c r="S252" s="231">
        <v>-111612</v>
      </c>
      <c r="T252" s="396">
        <v>3980788</v>
      </c>
      <c r="U252" s="231"/>
      <c r="V252" s="396"/>
      <c r="W252" s="396"/>
      <c r="X252" s="396">
        <v>24144256</v>
      </c>
      <c r="Y252" s="396">
        <v>1724571</v>
      </c>
    </row>
    <row r="253" spans="1:25">
      <c r="A253" s="390">
        <v>92513</v>
      </c>
      <c r="B253" s="391" t="s">
        <v>957</v>
      </c>
      <c r="C253" s="234">
        <v>3.8999999999999998E-3</v>
      </c>
      <c r="D253" s="234">
        <v>3.9484999999999998E-3</v>
      </c>
      <c r="E253" s="231">
        <v>13936361</v>
      </c>
      <c r="F253" s="231" t="s">
        <v>1924</v>
      </c>
      <c r="G253" s="392">
        <v>1759918</v>
      </c>
      <c r="H253" s="392">
        <v>1961170</v>
      </c>
      <c r="I253" s="392">
        <v>1037139</v>
      </c>
      <c r="J253" s="231">
        <v>0</v>
      </c>
      <c r="K253" s="231">
        <v>4758227</v>
      </c>
      <c r="L253" s="231"/>
      <c r="M253" s="225">
        <v>0</v>
      </c>
      <c r="N253" s="225">
        <v>0</v>
      </c>
      <c r="O253" s="231">
        <v>347111</v>
      </c>
      <c r="P253" s="231">
        <v>347111</v>
      </c>
      <c r="Q253" s="231"/>
      <c r="R253" s="392">
        <v>4792613</v>
      </c>
      <c r="S253" s="231">
        <v>294667</v>
      </c>
      <c r="T253" s="396">
        <v>5087280</v>
      </c>
      <c r="U253" s="231"/>
      <c r="V253" s="396"/>
      <c r="W253" s="396"/>
      <c r="X253" s="396">
        <v>28275359</v>
      </c>
      <c r="Y253" s="396">
        <v>2019646</v>
      </c>
    </row>
    <row r="254" spans="1:25">
      <c r="A254" s="390">
        <v>92521</v>
      </c>
      <c r="B254" s="391" t="s">
        <v>958</v>
      </c>
      <c r="C254" s="234">
        <v>6.7100000000000005E-5</v>
      </c>
      <c r="D254" s="234">
        <v>7.7399999999999998E-5</v>
      </c>
      <c r="E254" s="231">
        <v>239777</v>
      </c>
      <c r="F254" s="231" t="s">
        <v>1924</v>
      </c>
      <c r="G254" s="392">
        <v>30280</v>
      </c>
      <c r="H254" s="392">
        <v>33742</v>
      </c>
      <c r="I254" s="392">
        <v>17844</v>
      </c>
      <c r="J254" s="231">
        <v>0</v>
      </c>
      <c r="K254" s="231">
        <v>81866</v>
      </c>
      <c r="L254" s="231"/>
      <c r="M254" s="225">
        <v>0</v>
      </c>
      <c r="N254" s="225">
        <v>0</v>
      </c>
      <c r="O254" s="231">
        <v>15265</v>
      </c>
      <c r="P254" s="231">
        <v>15265</v>
      </c>
      <c r="Q254" s="231"/>
      <c r="R254" s="392">
        <v>82458</v>
      </c>
      <c r="S254" s="231">
        <v>-7451</v>
      </c>
      <c r="T254" s="396">
        <v>75007</v>
      </c>
      <c r="U254" s="231"/>
      <c r="V254" s="396"/>
      <c r="W254" s="396"/>
      <c r="X254" s="396">
        <v>486481</v>
      </c>
      <c r="Y254" s="396">
        <v>34748</v>
      </c>
    </row>
    <row r="255" spans="1:25">
      <c r="A255" s="390">
        <v>92531</v>
      </c>
      <c r="B255" s="391" t="s">
        <v>959</v>
      </c>
      <c r="C255" s="234">
        <v>8.4690000000000004E-4</v>
      </c>
      <c r="D255" s="234">
        <v>8.2580000000000001E-4</v>
      </c>
      <c r="E255" s="231">
        <v>3026334</v>
      </c>
      <c r="F255" s="231" t="s">
        <v>1924</v>
      </c>
      <c r="G255" s="392">
        <v>382173</v>
      </c>
      <c r="H255" s="392">
        <v>425875</v>
      </c>
      <c r="I255" s="392">
        <v>225219</v>
      </c>
      <c r="J255" s="231">
        <v>0</v>
      </c>
      <c r="K255" s="231">
        <v>1033267</v>
      </c>
      <c r="L255" s="231"/>
      <c r="M255" s="225">
        <v>0</v>
      </c>
      <c r="N255" s="225">
        <v>0</v>
      </c>
      <c r="O255" s="231">
        <v>58560</v>
      </c>
      <c r="P255" s="231">
        <v>58560</v>
      </c>
      <c r="Q255" s="231"/>
      <c r="R255" s="392">
        <v>1040734</v>
      </c>
      <c r="S255" s="231">
        <v>-43632</v>
      </c>
      <c r="T255" s="396">
        <v>997102</v>
      </c>
      <c r="U255" s="231"/>
      <c r="V255" s="396"/>
      <c r="W255" s="396"/>
      <c r="X255" s="396">
        <v>6140103</v>
      </c>
      <c r="Y255" s="396">
        <v>438574</v>
      </c>
    </row>
    <row r="256" spans="1:25">
      <c r="A256" s="390">
        <v>92541</v>
      </c>
      <c r="B256" s="391" t="s">
        <v>960</v>
      </c>
      <c r="C256" s="234">
        <v>1.462E-4</v>
      </c>
      <c r="D256" s="234">
        <v>1.3740000000000001E-4</v>
      </c>
      <c r="E256" s="231">
        <v>522435</v>
      </c>
      <c r="F256" s="231" t="s">
        <v>1924</v>
      </c>
      <c r="G256" s="392">
        <v>65974</v>
      </c>
      <c r="H256" s="392">
        <v>73519</v>
      </c>
      <c r="I256" s="392">
        <v>38879</v>
      </c>
      <c r="J256" s="231">
        <v>17458</v>
      </c>
      <c r="K256" s="231">
        <v>195830</v>
      </c>
      <c r="L256" s="231"/>
      <c r="M256" s="225">
        <v>0</v>
      </c>
      <c r="N256" s="225">
        <v>0</v>
      </c>
      <c r="O256" s="231">
        <v>8726</v>
      </c>
      <c r="P256" s="231">
        <v>8726</v>
      </c>
      <c r="Q256" s="231"/>
      <c r="R256" s="392">
        <v>179662</v>
      </c>
      <c r="S256" s="231">
        <v>2120</v>
      </c>
      <c r="T256" s="396">
        <v>181782</v>
      </c>
      <c r="U256" s="231"/>
      <c r="V256" s="396"/>
      <c r="W256" s="396"/>
      <c r="X256" s="396">
        <v>1059963</v>
      </c>
      <c r="Y256" s="396">
        <v>75711</v>
      </c>
    </row>
    <row r="257" spans="1:25">
      <c r="A257" s="390">
        <v>92551</v>
      </c>
      <c r="B257" s="391" t="s">
        <v>961</v>
      </c>
      <c r="C257" s="234">
        <v>5.49E-5</v>
      </c>
      <c r="D257" s="234">
        <v>5.7099999999999999E-5</v>
      </c>
      <c r="E257" s="231">
        <v>196181</v>
      </c>
      <c r="F257" s="231" t="s">
        <v>1924</v>
      </c>
      <c r="G257" s="392">
        <v>24774</v>
      </c>
      <c r="H257" s="392">
        <v>27607</v>
      </c>
      <c r="I257" s="392">
        <v>14600</v>
      </c>
      <c r="J257" s="231">
        <v>6440</v>
      </c>
      <c r="K257" s="231">
        <v>73421</v>
      </c>
      <c r="L257" s="231"/>
      <c r="M257" s="225">
        <v>0</v>
      </c>
      <c r="N257" s="225">
        <v>0</v>
      </c>
      <c r="O257" s="231">
        <v>10167</v>
      </c>
      <c r="P257" s="231">
        <v>10167</v>
      </c>
      <c r="Q257" s="231"/>
      <c r="R257" s="392">
        <v>67465</v>
      </c>
      <c r="S257" s="231">
        <v>-2781</v>
      </c>
      <c r="T257" s="396">
        <v>64684</v>
      </c>
      <c r="U257" s="231"/>
      <c r="V257" s="396"/>
      <c r="W257" s="396"/>
      <c r="X257" s="396">
        <v>398030</v>
      </c>
      <c r="Y257" s="396">
        <v>28430</v>
      </c>
    </row>
    <row r="258" spans="1:25">
      <c r="A258" s="390">
        <v>92561</v>
      </c>
      <c r="B258" s="391" t="s">
        <v>962</v>
      </c>
      <c r="C258" s="234">
        <v>1.2999999999999999E-5</v>
      </c>
      <c r="D258" s="234">
        <v>1.7900000000000001E-5</v>
      </c>
      <c r="E258" s="231">
        <v>46455</v>
      </c>
      <c r="F258" s="231" t="s">
        <v>1924</v>
      </c>
      <c r="G258" s="392">
        <v>5866</v>
      </c>
      <c r="H258" s="392">
        <v>6538</v>
      </c>
      <c r="I258" s="392">
        <v>3457</v>
      </c>
      <c r="J258" s="231">
        <v>189</v>
      </c>
      <c r="K258" s="231">
        <v>16050</v>
      </c>
      <c r="L258" s="231"/>
      <c r="M258" s="225">
        <v>0</v>
      </c>
      <c r="N258" s="225">
        <v>0</v>
      </c>
      <c r="O258" s="231">
        <v>6708</v>
      </c>
      <c r="P258" s="231">
        <v>6708</v>
      </c>
      <c r="Q258" s="231"/>
      <c r="R258" s="392">
        <v>15975</v>
      </c>
      <c r="S258" s="231">
        <v>-1318</v>
      </c>
      <c r="T258" s="396">
        <v>14657</v>
      </c>
      <c r="U258" s="231"/>
      <c r="V258" s="396"/>
      <c r="W258" s="396"/>
      <c r="X258" s="396">
        <v>94251</v>
      </c>
      <c r="Y258" s="396">
        <v>6732</v>
      </c>
    </row>
    <row r="259" spans="1:25">
      <c r="A259" s="390">
        <v>92571</v>
      </c>
      <c r="B259" s="391" t="s">
        <v>963</v>
      </c>
      <c r="C259" s="234">
        <v>4.4000000000000002E-6</v>
      </c>
      <c r="D259" s="234">
        <v>8.1999999999999994E-6</v>
      </c>
      <c r="E259" s="231">
        <v>15723</v>
      </c>
      <c r="F259" s="231" t="s">
        <v>1924</v>
      </c>
      <c r="G259" s="392">
        <v>1986</v>
      </c>
      <c r="H259" s="392">
        <v>2213</v>
      </c>
      <c r="I259" s="392">
        <v>1170</v>
      </c>
      <c r="J259" s="231">
        <v>2233</v>
      </c>
      <c r="K259" s="231">
        <v>7602</v>
      </c>
      <c r="L259" s="231"/>
      <c r="M259" s="225">
        <v>0</v>
      </c>
      <c r="N259" s="225">
        <v>0</v>
      </c>
      <c r="O259" s="231">
        <v>3283</v>
      </c>
      <c r="P259" s="231">
        <v>3283</v>
      </c>
      <c r="Q259" s="231"/>
      <c r="R259" s="392">
        <v>5407</v>
      </c>
      <c r="S259" s="231">
        <v>1537</v>
      </c>
      <c r="T259" s="396">
        <v>6944</v>
      </c>
      <c r="U259" s="231"/>
      <c r="V259" s="396"/>
      <c r="W259" s="396"/>
      <c r="X259" s="396">
        <v>31900</v>
      </c>
      <c r="Y259" s="396">
        <v>2279</v>
      </c>
    </row>
    <row r="260" spans="1:25">
      <c r="A260" s="390">
        <v>92601</v>
      </c>
      <c r="B260" s="391" t="s">
        <v>964</v>
      </c>
      <c r="C260" s="234">
        <v>1.27283E-2</v>
      </c>
      <c r="D260" s="234">
        <v>1.32598E-2</v>
      </c>
      <c r="E260" s="231">
        <v>45483638</v>
      </c>
      <c r="F260" s="231" t="s">
        <v>1924</v>
      </c>
      <c r="G260" s="392">
        <v>5743785</v>
      </c>
      <c r="H260" s="392">
        <v>6400603</v>
      </c>
      <c r="I260" s="392">
        <v>3384875</v>
      </c>
      <c r="J260" s="231">
        <v>0</v>
      </c>
      <c r="K260" s="231">
        <v>15529263</v>
      </c>
      <c r="L260" s="231"/>
      <c r="M260" s="225">
        <v>0</v>
      </c>
      <c r="N260" s="225">
        <v>0</v>
      </c>
      <c r="O260" s="231">
        <v>1015294</v>
      </c>
      <c r="P260" s="231">
        <v>1015294</v>
      </c>
      <c r="Q260" s="231"/>
      <c r="R260" s="392">
        <v>15641490</v>
      </c>
      <c r="S260" s="231">
        <v>-438195</v>
      </c>
      <c r="T260" s="396">
        <v>15203295</v>
      </c>
      <c r="U260" s="231"/>
      <c r="V260" s="396"/>
      <c r="W260" s="396"/>
      <c r="X260" s="396">
        <v>92281346</v>
      </c>
      <c r="Y260" s="396">
        <v>6591452</v>
      </c>
    </row>
    <row r="261" spans="1:25">
      <c r="A261" s="390">
        <v>92602</v>
      </c>
      <c r="B261" s="391" t="s">
        <v>965</v>
      </c>
      <c r="C261" s="234">
        <v>4.5000000000000001E-6</v>
      </c>
      <c r="D261" s="234">
        <v>4.8999999999999997E-6</v>
      </c>
      <c r="E261" s="231">
        <v>16080</v>
      </c>
      <c r="F261" s="231" t="s">
        <v>1924</v>
      </c>
      <c r="G261" s="392">
        <v>2031</v>
      </c>
      <c r="H261" s="392">
        <v>2263</v>
      </c>
      <c r="I261" s="392">
        <v>1197</v>
      </c>
      <c r="J261" s="231">
        <v>0</v>
      </c>
      <c r="K261" s="231">
        <v>5491</v>
      </c>
      <c r="L261" s="231"/>
      <c r="M261" s="225">
        <v>0</v>
      </c>
      <c r="N261" s="225">
        <v>0</v>
      </c>
      <c r="O261" s="231">
        <v>2836</v>
      </c>
      <c r="P261" s="231">
        <v>2836</v>
      </c>
      <c r="Q261" s="231"/>
      <c r="R261" s="392">
        <v>5530</v>
      </c>
      <c r="S261" s="231">
        <v>-1157</v>
      </c>
      <c r="T261" s="396">
        <v>4373</v>
      </c>
      <c r="U261" s="231"/>
      <c r="V261" s="396"/>
      <c r="W261" s="396"/>
      <c r="X261" s="396">
        <v>32625</v>
      </c>
      <c r="Y261" s="396">
        <v>2330</v>
      </c>
    </row>
    <row r="262" spans="1:25">
      <c r="A262" s="390">
        <v>92604</v>
      </c>
      <c r="B262" s="391" t="s">
        <v>966</v>
      </c>
      <c r="C262" s="234">
        <v>3.6390000000000001E-4</v>
      </c>
      <c r="D262" s="234">
        <v>3.501E-4</v>
      </c>
      <c r="E262" s="231">
        <v>1300370</v>
      </c>
      <c r="F262" s="231" t="s">
        <v>1924</v>
      </c>
      <c r="G262" s="392">
        <v>164214</v>
      </c>
      <c r="H262" s="392">
        <v>182992</v>
      </c>
      <c r="I262" s="392">
        <v>96773</v>
      </c>
      <c r="J262" s="231">
        <v>69742</v>
      </c>
      <c r="K262" s="231">
        <v>513721</v>
      </c>
      <c r="L262" s="231"/>
      <c r="M262" s="225">
        <v>0</v>
      </c>
      <c r="N262" s="225">
        <v>0</v>
      </c>
      <c r="O262" s="231">
        <v>0</v>
      </c>
      <c r="P262" s="231">
        <v>0</v>
      </c>
      <c r="Q262" s="231"/>
      <c r="R262" s="392">
        <v>447188</v>
      </c>
      <c r="S262" s="231">
        <v>34414</v>
      </c>
      <c r="T262" s="396">
        <v>481602</v>
      </c>
      <c r="U262" s="231"/>
      <c r="V262" s="396"/>
      <c r="W262" s="396"/>
      <c r="X262" s="396">
        <v>2638308</v>
      </c>
      <c r="Y262" s="396">
        <v>188449</v>
      </c>
    </row>
    <row r="263" spans="1:25">
      <c r="A263" s="390">
        <v>92607</v>
      </c>
      <c r="B263" s="391" t="s">
        <v>967</v>
      </c>
      <c r="C263" s="234">
        <v>7.08E-5</v>
      </c>
      <c r="D263" s="234">
        <v>5.6700000000000003E-5</v>
      </c>
      <c r="E263" s="231">
        <v>252999</v>
      </c>
      <c r="F263" s="231" t="s">
        <v>1924</v>
      </c>
      <c r="G263" s="392">
        <v>31949</v>
      </c>
      <c r="H263" s="392">
        <v>35603</v>
      </c>
      <c r="I263" s="392">
        <v>18828</v>
      </c>
      <c r="J263" s="231">
        <v>24697</v>
      </c>
      <c r="K263" s="231">
        <v>111077</v>
      </c>
      <c r="L263" s="231"/>
      <c r="M263" s="225">
        <v>0</v>
      </c>
      <c r="N263" s="225">
        <v>0</v>
      </c>
      <c r="O263" s="231">
        <v>569</v>
      </c>
      <c r="P263" s="231">
        <v>569</v>
      </c>
      <c r="Q263" s="231"/>
      <c r="R263" s="392">
        <v>87004</v>
      </c>
      <c r="S263" s="231">
        <v>9576</v>
      </c>
      <c r="T263" s="396">
        <v>96580</v>
      </c>
      <c r="U263" s="231"/>
      <c r="V263" s="396"/>
      <c r="W263" s="396"/>
      <c r="X263" s="396">
        <v>513307</v>
      </c>
      <c r="Y263" s="396">
        <v>36664</v>
      </c>
    </row>
    <row r="264" spans="1:25">
      <c r="A264" s="390">
        <v>92608</v>
      </c>
      <c r="B264" s="391" t="s">
        <v>968</v>
      </c>
      <c r="C264" s="234">
        <v>0</v>
      </c>
      <c r="D264" s="234">
        <v>0</v>
      </c>
      <c r="E264" s="231">
        <v>0</v>
      </c>
      <c r="F264" s="231" t="s">
        <v>1924</v>
      </c>
      <c r="G264" s="392">
        <v>0</v>
      </c>
      <c r="H264" s="392">
        <v>0</v>
      </c>
      <c r="I264" s="392">
        <v>0</v>
      </c>
      <c r="J264" s="231">
        <v>0</v>
      </c>
      <c r="K264" s="231">
        <v>0</v>
      </c>
      <c r="L264" s="231"/>
      <c r="M264" s="225">
        <v>0</v>
      </c>
      <c r="N264" s="225">
        <v>0</v>
      </c>
      <c r="O264" s="231">
        <v>0</v>
      </c>
      <c r="P264" s="231">
        <v>0</v>
      </c>
      <c r="Q264" s="231"/>
      <c r="R264" s="392">
        <v>0</v>
      </c>
      <c r="S264" s="231">
        <v>0</v>
      </c>
      <c r="T264" s="396">
        <v>0</v>
      </c>
      <c r="U264" s="231"/>
      <c r="V264" s="396"/>
      <c r="W264" s="396"/>
      <c r="X264" s="396">
        <v>0</v>
      </c>
      <c r="Y264" s="396">
        <v>0</v>
      </c>
    </row>
    <row r="265" spans="1:25">
      <c r="A265" s="390">
        <v>92611</v>
      </c>
      <c r="B265" s="391" t="s">
        <v>969</v>
      </c>
      <c r="C265" s="234">
        <v>1.13896E-2</v>
      </c>
      <c r="D265" s="234">
        <v>1.22078E-2</v>
      </c>
      <c r="E265" s="231">
        <v>40699893</v>
      </c>
      <c r="F265" s="231" t="s">
        <v>1924</v>
      </c>
      <c r="G265" s="392">
        <v>5139682</v>
      </c>
      <c r="H265" s="392">
        <v>5727420</v>
      </c>
      <c r="I265" s="392">
        <v>3028870</v>
      </c>
      <c r="J265" s="231">
        <v>0</v>
      </c>
      <c r="K265" s="231">
        <v>13895972</v>
      </c>
      <c r="L265" s="231"/>
      <c r="M265" s="225">
        <v>0</v>
      </c>
      <c r="N265" s="225">
        <v>0</v>
      </c>
      <c r="O265" s="231">
        <v>1991116</v>
      </c>
      <c r="P265" s="231">
        <v>1991116</v>
      </c>
      <c r="Q265" s="231"/>
      <c r="R265" s="392">
        <v>13996395</v>
      </c>
      <c r="S265" s="231">
        <v>-896272</v>
      </c>
      <c r="T265" s="396">
        <v>13100123</v>
      </c>
      <c r="U265" s="231"/>
      <c r="V265" s="396"/>
      <c r="W265" s="396"/>
      <c r="X265" s="396">
        <v>82575648</v>
      </c>
      <c r="Y265" s="396">
        <v>5898195</v>
      </c>
    </row>
    <row r="266" spans="1:25">
      <c r="A266" s="390">
        <v>92613</v>
      </c>
      <c r="B266" s="391" t="s">
        <v>970</v>
      </c>
      <c r="C266" s="234">
        <v>2.2249999999999999E-4</v>
      </c>
      <c r="D266" s="234">
        <v>2.23E-4</v>
      </c>
      <c r="E266" s="231">
        <v>795087</v>
      </c>
      <c r="F266" s="231" t="s">
        <v>1924</v>
      </c>
      <c r="G266" s="392">
        <v>100406</v>
      </c>
      <c r="H266" s="392">
        <v>111887</v>
      </c>
      <c r="I266" s="392">
        <v>59170</v>
      </c>
      <c r="J266" s="231">
        <v>34481</v>
      </c>
      <c r="K266" s="231">
        <v>305944</v>
      </c>
      <c r="L266" s="231"/>
      <c r="M266" s="225">
        <v>0</v>
      </c>
      <c r="N266" s="225">
        <v>0</v>
      </c>
      <c r="O266" s="231">
        <v>544</v>
      </c>
      <c r="P266" s="231">
        <v>544</v>
      </c>
      <c r="Q266" s="231"/>
      <c r="R266" s="392">
        <v>273425</v>
      </c>
      <c r="S266" s="231">
        <v>15410</v>
      </c>
      <c r="T266" s="396">
        <v>288835</v>
      </c>
      <c r="U266" s="231"/>
      <c r="V266" s="396"/>
      <c r="W266" s="396"/>
      <c r="X266" s="396">
        <v>1613145</v>
      </c>
      <c r="Y266" s="396">
        <v>115223</v>
      </c>
    </row>
    <row r="267" spans="1:25">
      <c r="A267" s="390">
        <v>92614</v>
      </c>
      <c r="B267" s="391" t="s">
        <v>971</v>
      </c>
      <c r="C267" s="234">
        <v>5.7264000000000004E-3</v>
      </c>
      <c r="D267" s="234">
        <v>5.7201999999999999E-3</v>
      </c>
      <c r="E267" s="231">
        <v>20462867</v>
      </c>
      <c r="F267" s="231" t="s">
        <v>1924</v>
      </c>
      <c r="G267" s="392">
        <v>2584101</v>
      </c>
      <c r="H267" s="392">
        <v>2879600</v>
      </c>
      <c r="I267" s="392">
        <v>1522839</v>
      </c>
      <c r="J267" s="231">
        <v>3113326</v>
      </c>
      <c r="K267" s="231">
        <v>10099866</v>
      </c>
      <c r="L267" s="231"/>
      <c r="M267" s="225">
        <v>0</v>
      </c>
      <c r="N267" s="225">
        <v>0</v>
      </c>
      <c r="O267" s="231">
        <v>0</v>
      </c>
      <c r="P267" s="231">
        <v>0</v>
      </c>
      <c r="Q267" s="231"/>
      <c r="R267" s="392">
        <v>7037030</v>
      </c>
      <c r="S267" s="231">
        <v>1838850</v>
      </c>
      <c r="T267" s="396">
        <v>8875880</v>
      </c>
      <c r="U267" s="231"/>
      <c r="V267" s="396"/>
      <c r="W267" s="396"/>
      <c r="X267" s="396">
        <v>41516927</v>
      </c>
      <c r="Y267" s="396">
        <v>2965462</v>
      </c>
    </row>
    <row r="268" spans="1:25">
      <c r="A268" s="390">
        <v>92621</v>
      </c>
      <c r="B268" s="391" t="s">
        <v>972</v>
      </c>
      <c r="C268" s="234">
        <v>2.6999999999999999E-5</v>
      </c>
      <c r="D268" s="234">
        <v>2.8900000000000001E-5</v>
      </c>
      <c r="E268" s="231">
        <v>96483</v>
      </c>
      <c r="F268" s="231" t="s">
        <v>1924</v>
      </c>
      <c r="G268" s="392">
        <v>12184</v>
      </c>
      <c r="H268" s="392">
        <v>13578</v>
      </c>
      <c r="I268" s="392">
        <v>7180</v>
      </c>
      <c r="J268" s="231">
        <v>2525</v>
      </c>
      <c r="K268" s="231">
        <v>35467</v>
      </c>
      <c r="L268" s="231"/>
      <c r="M268" s="225">
        <v>0</v>
      </c>
      <c r="N268" s="225">
        <v>0</v>
      </c>
      <c r="O268" s="231">
        <v>2405</v>
      </c>
      <c r="P268" s="231">
        <v>2405</v>
      </c>
      <c r="Q268" s="231"/>
      <c r="R268" s="392">
        <v>33180</v>
      </c>
      <c r="S268" s="231">
        <v>-1037</v>
      </c>
      <c r="T268" s="396">
        <v>32143</v>
      </c>
      <c r="U268" s="231"/>
      <c r="V268" s="396"/>
      <c r="W268" s="396"/>
      <c r="X268" s="396">
        <v>195752</v>
      </c>
      <c r="Y268" s="396">
        <v>13982</v>
      </c>
    </row>
    <row r="269" spans="1:25">
      <c r="A269" s="390">
        <v>92631</v>
      </c>
      <c r="B269" s="391" t="s">
        <v>973</v>
      </c>
      <c r="C269" s="234">
        <v>9.0229999999999998E-4</v>
      </c>
      <c r="D269" s="234">
        <v>9.3329999999999997E-4</v>
      </c>
      <c r="E269" s="231">
        <v>3224302</v>
      </c>
      <c r="F269" s="231" t="s">
        <v>1924</v>
      </c>
      <c r="G269" s="392">
        <v>407173</v>
      </c>
      <c r="H269" s="392">
        <v>453734</v>
      </c>
      <c r="I269" s="392">
        <v>239951</v>
      </c>
      <c r="J269" s="231">
        <v>0</v>
      </c>
      <c r="K269" s="231">
        <v>1100858</v>
      </c>
      <c r="L269" s="231"/>
      <c r="M269" s="225">
        <v>0</v>
      </c>
      <c r="N269" s="225">
        <v>0</v>
      </c>
      <c r="O269" s="231">
        <v>106259</v>
      </c>
      <c r="P269" s="231">
        <v>106259</v>
      </c>
      <c r="Q269" s="231"/>
      <c r="R269" s="392">
        <v>1108814</v>
      </c>
      <c r="S269" s="231">
        <v>-65950</v>
      </c>
      <c r="T269" s="396">
        <v>1042864</v>
      </c>
      <c r="U269" s="231"/>
      <c r="V269" s="396"/>
      <c r="W269" s="396"/>
      <c r="X269" s="396">
        <v>6541758</v>
      </c>
      <c r="Y269" s="396">
        <v>467263</v>
      </c>
    </row>
    <row r="270" spans="1:25">
      <c r="A270" s="390">
        <v>92641</v>
      </c>
      <c r="B270" s="391" t="s">
        <v>974</v>
      </c>
      <c r="C270" s="234">
        <v>9.9000000000000001E-6</v>
      </c>
      <c r="D270" s="234">
        <v>1.11E-5</v>
      </c>
      <c r="E270" s="231">
        <v>35377</v>
      </c>
      <c r="F270" s="231" t="s">
        <v>1924</v>
      </c>
      <c r="G270" s="392">
        <v>4467</v>
      </c>
      <c r="H270" s="392">
        <v>4979</v>
      </c>
      <c r="I270" s="392">
        <v>2633</v>
      </c>
      <c r="J270" s="231">
        <v>4198</v>
      </c>
      <c r="K270" s="231">
        <v>16277</v>
      </c>
      <c r="L270" s="231"/>
      <c r="M270" s="225">
        <v>0</v>
      </c>
      <c r="N270" s="225">
        <v>0</v>
      </c>
      <c r="O270" s="231">
        <v>0</v>
      </c>
      <c r="P270" s="231">
        <v>0</v>
      </c>
      <c r="Q270" s="231"/>
      <c r="R270" s="392">
        <v>12166</v>
      </c>
      <c r="S270" s="231">
        <v>1720</v>
      </c>
      <c r="T270" s="396">
        <v>13886</v>
      </c>
      <c r="U270" s="231"/>
      <c r="V270" s="396"/>
      <c r="W270" s="396"/>
      <c r="X270" s="396">
        <v>71776</v>
      </c>
      <c r="Y270" s="396">
        <v>5127</v>
      </c>
    </row>
    <row r="271" spans="1:25">
      <c r="A271" s="390">
        <v>92651</v>
      </c>
      <c r="B271" s="391" t="s">
        <v>975</v>
      </c>
      <c r="C271" s="234">
        <v>4.3000000000000003E-6</v>
      </c>
      <c r="D271" s="234">
        <v>4.3000000000000003E-6</v>
      </c>
      <c r="E271" s="231">
        <v>15366</v>
      </c>
      <c r="F271" s="231" t="s">
        <v>1924</v>
      </c>
      <c r="G271" s="392">
        <v>1940</v>
      </c>
      <c r="H271" s="392">
        <v>2162</v>
      </c>
      <c r="I271" s="392">
        <v>1144</v>
      </c>
      <c r="J271" s="231">
        <v>1712</v>
      </c>
      <c r="K271" s="231">
        <v>6958</v>
      </c>
      <c r="L271" s="231"/>
      <c r="M271" s="225">
        <v>0</v>
      </c>
      <c r="N271" s="225">
        <v>0</v>
      </c>
      <c r="O271" s="231">
        <v>0</v>
      </c>
      <c r="P271" s="231">
        <v>0</v>
      </c>
      <c r="Q271" s="231"/>
      <c r="R271" s="392">
        <v>5284</v>
      </c>
      <c r="S271" s="231">
        <v>1278</v>
      </c>
      <c r="T271" s="396">
        <v>6562</v>
      </c>
      <c r="U271" s="231"/>
      <c r="V271" s="396"/>
      <c r="W271" s="396"/>
      <c r="X271" s="396">
        <v>31175</v>
      </c>
      <c r="Y271" s="396">
        <v>2227</v>
      </c>
    </row>
    <row r="272" spans="1:25" ht="14.25" customHeight="1">
      <c r="A272" s="390">
        <v>92661</v>
      </c>
      <c r="B272" s="391" t="s">
        <v>976</v>
      </c>
      <c r="C272" s="234">
        <v>6.4720000000000001E-4</v>
      </c>
      <c r="D272" s="234">
        <v>6.2509999999999996E-4</v>
      </c>
      <c r="E272" s="231">
        <v>2312721</v>
      </c>
      <c r="F272" s="231" t="s">
        <v>1924</v>
      </c>
      <c r="G272" s="392">
        <v>292056</v>
      </c>
      <c r="H272" s="392">
        <v>325453</v>
      </c>
      <c r="I272" s="392">
        <v>172112</v>
      </c>
      <c r="J272" s="231">
        <v>290649</v>
      </c>
      <c r="K272" s="231">
        <v>1080270</v>
      </c>
      <c r="L272" s="231"/>
      <c r="M272" s="225">
        <v>0</v>
      </c>
      <c r="N272" s="225">
        <v>0</v>
      </c>
      <c r="O272" s="231">
        <v>0</v>
      </c>
      <c r="P272" s="231">
        <v>0</v>
      </c>
      <c r="Q272" s="231"/>
      <c r="R272" s="392">
        <v>795328</v>
      </c>
      <c r="S272" s="231">
        <v>188102</v>
      </c>
      <c r="T272" s="396">
        <v>983430</v>
      </c>
      <c r="U272" s="231"/>
      <c r="V272" s="396"/>
      <c r="W272" s="396"/>
      <c r="X272" s="396">
        <v>4692260</v>
      </c>
      <c r="Y272" s="396">
        <v>335158</v>
      </c>
    </row>
    <row r="273" spans="1:25" s="362" customFormat="1" ht="14.25" customHeight="1">
      <c r="A273" s="390">
        <v>92671</v>
      </c>
      <c r="B273" s="391" t="s">
        <v>977</v>
      </c>
      <c r="C273" s="234">
        <v>1.9E-6</v>
      </c>
      <c r="D273" s="234">
        <v>2.0999999999999998E-6</v>
      </c>
      <c r="E273" s="231">
        <v>6790</v>
      </c>
      <c r="F273" s="231" t="s">
        <v>1924</v>
      </c>
      <c r="G273" s="392">
        <v>857</v>
      </c>
      <c r="H273" s="392">
        <v>955</v>
      </c>
      <c r="I273" s="392">
        <v>505</v>
      </c>
      <c r="J273" s="231">
        <v>6511</v>
      </c>
      <c r="K273" s="231">
        <v>8828</v>
      </c>
      <c r="L273" s="231"/>
      <c r="M273" s="225">
        <v>0</v>
      </c>
      <c r="N273" s="225">
        <v>0</v>
      </c>
      <c r="O273" s="231">
        <v>0</v>
      </c>
      <c r="P273" s="231">
        <v>0</v>
      </c>
      <c r="Q273" s="231"/>
      <c r="R273" s="392">
        <v>2335</v>
      </c>
      <c r="S273" s="231">
        <v>3514</v>
      </c>
      <c r="T273" s="396">
        <v>5849</v>
      </c>
      <c r="U273" s="231"/>
      <c r="V273" s="396"/>
      <c r="W273" s="396"/>
      <c r="X273" s="396">
        <v>13775</v>
      </c>
      <c r="Y273" s="396">
        <v>984</v>
      </c>
    </row>
    <row r="274" spans="1:25" s="362" customFormat="1" ht="14.25" customHeight="1">
      <c r="A274" s="390">
        <v>92681</v>
      </c>
      <c r="B274" s="391" t="s">
        <v>978</v>
      </c>
      <c r="C274" s="234">
        <v>8.8000000000000004E-6</v>
      </c>
      <c r="D274" s="234">
        <v>1.1800000000000001E-5</v>
      </c>
      <c r="E274" s="231">
        <v>31446</v>
      </c>
      <c r="F274" s="231" t="s">
        <v>1924</v>
      </c>
      <c r="G274" s="392">
        <v>3971</v>
      </c>
      <c r="H274" s="392">
        <v>4425</v>
      </c>
      <c r="I274" s="392">
        <v>2340</v>
      </c>
      <c r="J274" s="231">
        <v>5787</v>
      </c>
      <c r="K274" s="231">
        <v>16523</v>
      </c>
      <c r="L274" s="231"/>
      <c r="M274" s="225">
        <v>0</v>
      </c>
      <c r="N274" s="225">
        <v>0</v>
      </c>
      <c r="O274" s="231">
        <v>3817</v>
      </c>
      <c r="P274" s="231">
        <v>3817</v>
      </c>
      <c r="Q274" s="231"/>
      <c r="R274" s="392">
        <v>10814</v>
      </c>
      <c r="S274" s="231">
        <v>3628</v>
      </c>
      <c r="T274" s="396">
        <v>14442</v>
      </c>
      <c r="U274" s="231"/>
      <c r="V274" s="396"/>
      <c r="W274" s="396"/>
      <c r="X274" s="396">
        <v>63801</v>
      </c>
      <c r="Y274" s="396">
        <v>4557</v>
      </c>
    </row>
    <row r="275" spans="1:25">
      <c r="A275" s="390">
        <v>92701</v>
      </c>
      <c r="B275" s="391" t="s">
        <v>979</v>
      </c>
      <c r="C275" s="234">
        <v>3.0401E-3</v>
      </c>
      <c r="D275" s="234">
        <v>3.0688999999999998E-3</v>
      </c>
      <c r="E275" s="231">
        <v>10863572</v>
      </c>
      <c r="F275" s="231" t="s">
        <v>1924</v>
      </c>
      <c r="G275" s="392">
        <v>1371879</v>
      </c>
      <c r="H275" s="392">
        <v>1528757</v>
      </c>
      <c r="I275" s="392">
        <v>808463</v>
      </c>
      <c r="J275" s="231">
        <v>84874</v>
      </c>
      <c r="K275" s="231">
        <v>3793973</v>
      </c>
      <c r="L275" s="231"/>
      <c r="M275" s="225">
        <v>0</v>
      </c>
      <c r="N275" s="225">
        <v>0</v>
      </c>
      <c r="O275" s="231">
        <v>213062</v>
      </c>
      <c r="P275" s="231">
        <v>213062</v>
      </c>
      <c r="Q275" s="231"/>
      <c r="R275" s="392">
        <v>3735903</v>
      </c>
      <c r="S275" s="231">
        <v>-45416</v>
      </c>
      <c r="T275" s="396">
        <v>3690487</v>
      </c>
      <c r="U275" s="231"/>
      <c r="V275" s="396"/>
      <c r="W275" s="396"/>
      <c r="X275" s="396">
        <v>22041005</v>
      </c>
      <c r="Y275" s="396">
        <v>1574340</v>
      </c>
    </row>
    <row r="276" spans="1:25">
      <c r="A276" s="390">
        <v>92704</v>
      </c>
      <c r="B276" s="391" t="s">
        <v>980</v>
      </c>
      <c r="C276" s="234">
        <v>3.6199999999999999E-5</v>
      </c>
      <c r="D276" s="234">
        <v>3.6900000000000002E-5</v>
      </c>
      <c r="E276" s="231">
        <v>129358</v>
      </c>
      <c r="F276" s="231" t="s">
        <v>1924</v>
      </c>
      <c r="G276" s="392">
        <v>16336</v>
      </c>
      <c r="H276" s="392">
        <v>18204</v>
      </c>
      <c r="I276" s="392">
        <v>9627</v>
      </c>
      <c r="J276" s="231">
        <v>476</v>
      </c>
      <c r="K276" s="231">
        <v>44643</v>
      </c>
      <c r="L276" s="231"/>
      <c r="M276" s="225">
        <v>0</v>
      </c>
      <c r="N276" s="225">
        <v>0</v>
      </c>
      <c r="O276" s="231">
        <v>2874</v>
      </c>
      <c r="P276" s="231">
        <v>2874</v>
      </c>
      <c r="Q276" s="231"/>
      <c r="R276" s="392">
        <v>44485</v>
      </c>
      <c r="S276" s="231">
        <v>-2042</v>
      </c>
      <c r="T276" s="396">
        <v>42443</v>
      </c>
      <c r="U276" s="231"/>
      <c r="V276" s="396"/>
      <c r="W276" s="396"/>
      <c r="X276" s="396">
        <v>262453</v>
      </c>
      <c r="Y276" s="396">
        <v>18746</v>
      </c>
    </row>
    <row r="277" spans="1:25">
      <c r="A277" s="390">
        <v>92801</v>
      </c>
      <c r="B277" s="391" t="s">
        <v>981</v>
      </c>
      <c r="C277" s="234">
        <v>5.4752000000000004E-3</v>
      </c>
      <c r="D277" s="234">
        <v>5.4352999999999997E-3</v>
      </c>
      <c r="E277" s="231">
        <v>19565222</v>
      </c>
      <c r="F277" s="231" t="s">
        <v>1924</v>
      </c>
      <c r="G277" s="392">
        <v>2470744</v>
      </c>
      <c r="H277" s="392">
        <v>2753281</v>
      </c>
      <c r="I277" s="392">
        <v>1456036</v>
      </c>
      <c r="J277" s="231">
        <v>358918</v>
      </c>
      <c r="K277" s="231">
        <v>7038979</v>
      </c>
      <c r="L277" s="231"/>
      <c r="M277" s="225">
        <v>0</v>
      </c>
      <c r="N277" s="225">
        <v>0</v>
      </c>
      <c r="O277" s="231">
        <v>0</v>
      </c>
      <c r="P277" s="231">
        <v>0</v>
      </c>
      <c r="Q277" s="231"/>
      <c r="R277" s="392">
        <v>6728336</v>
      </c>
      <c r="S277" s="231">
        <v>144605</v>
      </c>
      <c r="T277" s="396">
        <v>6872941</v>
      </c>
      <c r="U277" s="231"/>
      <c r="V277" s="396"/>
      <c r="W277" s="396"/>
      <c r="X277" s="396">
        <v>39695704</v>
      </c>
      <c r="Y277" s="396">
        <v>2835376</v>
      </c>
    </row>
    <row r="278" spans="1:25">
      <c r="A278" s="390">
        <v>92802</v>
      </c>
      <c r="B278" s="391" t="s">
        <v>982</v>
      </c>
      <c r="C278" s="234">
        <v>1.133E-4</v>
      </c>
      <c r="D278" s="234">
        <v>1.198E-4</v>
      </c>
      <c r="E278" s="231">
        <v>404869</v>
      </c>
      <c r="F278" s="231" t="s">
        <v>1924</v>
      </c>
      <c r="G278" s="392">
        <v>51128</v>
      </c>
      <c r="H278" s="392">
        <v>56975</v>
      </c>
      <c r="I278" s="392">
        <v>30130</v>
      </c>
      <c r="J278" s="231">
        <v>0</v>
      </c>
      <c r="K278" s="231">
        <v>138233</v>
      </c>
      <c r="L278" s="231"/>
      <c r="M278" s="225">
        <v>0</v>
      </c>
      <c r="N278" s="225">
        <v>0</v>
      </c>
      <c r="O278" s="231">
        <v>20020</v>
      </c>
      <c r="P278" s="231">
        <v>20020</v>
      </c>
      <c r="Q278" s="231"/>
      <c r="R278" s="392">
        <v>139232</v>
      </c>
      <c r="S278" s="231">
        <v>-10286</v>
      </c>
      <c r="T278" s="396">
        <v>128946</v>
      </c>
      <c r="U278" s="231"/>
      <c r="V278" s="396"/>
      <c r="W278" s="396"/>
      <c r="X278" s="396">
        <v>821435</v>
      </c>
      <c r="Y278" s="396">
        <v>58673</v>
      </c>
    </row>
    <row r="279" spans="1:25">
      <c r="A279" s="390">
        <v>92804</v>
      </c>
      <c r="B279" s="391" t="s">
        <v>983</v>
      </c>
      <c r="C279" s="234">
        <v>1.493E-4</v>
      </c>
      <c r="D279" s="234">
        <v>1.427E-4</v>
      </c>
      <c r="E279" s="231">
        <v>533513</v>
      </c>
      <c r="F279" s="231" t="s">
        <v>1924</v>
      </c>
      <c r="G279" s="392">
        <v>67373</v>
      </c>
      <c r="H279" s="392">
        <v>75078</v>
      </c>
      <c r="I279" s="392">
        <v>39704</v>
      </c>
      <c r="J279" s="231">
        <v>6669</v>
      </c>
      <c r="K279" s="231">
        <v>188824</v>
      </c>
      <c r="L279" s="231"/>
      <c r="M279" s="225">
        <v>0</v>
      </c>
      <c r="N279" s="225">
        <v>0</v>
      </c>
      <c r="O279" s="231">
        <v>10042</v>
      </c>
      <c r="P279" s="231">
        <v>10042</v>
      </c>
      <c r="Q279" s="231"/>
      <c r="R279" s="392">
        <v>183471</v>
      </c>
      <c r="S279" s="231">
        <v>-1312</v>
      </c>
      <c r="T279" s="396">
        <v>182159</v>
      </c>
      <c r="U279" s="231"/>
      <c r="V279" s="396"/>
      <c r="W279" s="396"/>
      <c r="X279" s="396">
        <v>1082439</v>
      </c>
      <c r="Y279" s="396">
        <v>77316</v>
      </c>
    </row>
    <row r="280" spans="1:25">
      <c r="A280" s="390">
        <v>92811</v>
      </c>
      <c r="B280" s="391" t="s">
        <v>984</v>
      </c>
      <c r="C280" s="234">
        <v>9.6020000000000003E-4</v>
      </c>
      <c r="D280" s="234">
        <v>9.1160000000000004E-4</v>
      </c>
      <c r="E280" s="231">
        <v>3431204</v>
      </c>
      <c r="F280" s="231" t="s">
        <v>1924</v>
      </c>
      <c r="G280" s="392">
        <v>433301</v>
      </c>
      <c r="H280" s="392">
        <v>482850</v>
      </c>
      <c r="I280" s="392">
        <v>255349</v>
      </c>
      <c r="J280" s="231">
        <v>66576</v>
      </c>
      <c r="K280" s="231">
        <v>1238076</v>
      </c>
      <c r="L280" s="231"/>
      <c r="M280" s="225">
        <v>0</v>
      </c>
      <c r="N280" s="225">
        <v>0</v>
      </c>
      <c r="O280" s="231">
        <v>35243</v>
      </c>
      <c r="P280" s="231">
        <v>35243</v>
      </c>
      <c r="Q280" s="231"/>
      <c r="R280" s="392">
        <v>1179966</v>
      </c>
      <c r="S280" s="231">
        <v>-12898</v>
      </c>
      <c r="T280" s="396">
        <v>1167068</v>
      </c>
      <c r="U280" s="231"/>
      <c r="V280" s="396"/>
      <c r="W280" s="396"/>
      <c r="X280" s="396">
        <v>6961538</v>
      </c>
      <c r="Y280" s="396">
        <v>497247</v>
      </c>
    </row>
    <row r="281" spans="1:25">
      <c r="A281" s="390">
        <v>92821</v>
      </c>
      <c r="B281" s="391" t="s">
        <v>985</v>
      </c>
      <c r="C281" s="234">
        <v>9.9109999999999997E-4</v>
      </c>
      <c r="D281" s="234">
        <v>9.8409999999999991E-4</v>
      </c>
      <c r="E281" s="231">
        <v>3541623</v>
      </c>
      <c r="F281" s="231" t="s">
        <v>1924</v>
      </c>
      <c r="G281" s="392">
        <v>447245</v>
      </c>
      <c r="H281" s="392">
        <v>498389</v>
      </c>
      <c r="I281" s="392">
        <v>263566</v>
      </c>
      <c r="J281" s="231">
        <v>52928</v>
      </c>
      <c r="K281" s="231">
        <v>1262128</v>
      </c>
      <c r="L281" s="231"/>
      <c r="M281" s="225">
        <v>0</v>
      </c>
      <c r="N281" s="225">
        <v>0</v>
      </c>
      <c r="O281" s="231">
        <v>0</v>
      </c>
      <c r="P281" s="231">
        <v>0</v>
      </c>
      <c r="Q281" s="231"/>
      <c r="R281" s="392">
        <v>1217938</v>
      </c>
      <c r="S281" s="231">
        <v>23085</v>
      </c>
      <c r="T281" s="396">
        <v>1241023</v>
      </c>
      <c r="U281" s="231"/>
      <c r="V281" s="396"/>
      <c r="W281" s="396"/>
      <c r="X281" s="396">
        <v>7185566</v>
      </c>
      <c r="Y281" s="396">
        <v>513249</v>
      </c>
    </row>
    <row r="282" spans="1:25">
      <c r="A282" s="390">
        <v>92831</v>
      </c>
      <c r="B282" s="391" t="s">
        <v>986</v>
      </c>
      <c r="C282" s="234">
        <v>2.6449999999999998E-4</v>
      </c>
      <c r="D282" s="234">
        <v>2.5230000000000001E-4</v>
      </c>
      <c r="E282" s="231">
        <v>945171</v>
      </c>
      <c r="F282" s="231" t="s">
        <v>1924</v>
      </c>
      <c r="G282" s="392">
        <v>119359</v>
      </c>
      <c r="H282" s="392">
        <v>133007</v>
      </c>
      <c r="I282" s="392">
        <v>70339</v>
      </c>
      <c r="J282" s="231">
        <v>65067</v>
      </c>
      <c r="K282" s="231">
        <v>387772</v>
      </c>
      <c r="L282" s="231"/>
      <c r="M282" s="225">
        <v>0</v>
      </c>
      <c r="N282" s="225">
        <v>0</v>
      </c>
      <c r="O282" s="231">
        <v>538</v>
      </c>
      <c r="P282" s="231">
        <v>538</v>
      </c>
      <c r="Q282" s="231"/>
      <c r="R282" s="392">
        <v>325037</v>
      </c>
      <c r="S282" s="231">
        <v>26994</v>
      </c>
      <c r="T282" s="396">
        <v>352031</v>
      </c>
      <c r="U282" s="231"/>
      <c r="V282" s="396"/>
      <c r="W282" s="396"/>
      <c r="X282" s="396">
        <v>1917649</v>
      </c>
      <c r="Y282" s="396">
        <v>136973</v>
      </c>
    </row>
    <row r="283" spans="1:25">
      <c r="A283" s="390">
        <v>92841</v>
      </c>
      <c r="B283" s="391" t="s">
        <v>987</v>
      </c>
      <c r="C283" s="234">
        <v>2.2110000000000001E-4</v>
      </c>
      <c r="D283" s="234">
        <v>2.4340000000000001E-4</v>
      </c>
      <c r="E283" s="231">
        <v>790084</v>
      </c>
      <c r="F283" s="231" t="s">
        <v>1924</v>
      </c>
      <c r="G283" s="392">
        <v>99774</v>
      </c>
      <c r="H283" s="392">
        <v>111183</v>
      </c>
      <c r="I283" s="392">
        <v>58798</v>
      </c>
      <c r="J283" s="231">
        <v>0</v>
      </c>
      <c r="K283" s="231">
        <v>269755</v>
      </c>
      <c r="L283" s="231"/>
      <c r="M283" s="225">
        <v>0</v>
      </c>
      <c r="N283" s="225">
        <v>0</v>
      </c>
      <c r="O283" s="231">
        <v>41710</v>
      </c>
      <c r="P283" s="231">
        <v>41710</v>
      </c>
      <c r="Q283" s="231"/>
      <c r="R283" s="392">
        <v>271704</v>
      </c>
      <c r="S283" s="231">
        <v>-17562</v>
      </c>
      <c r="T283" s="396">
        <v>254142</v>
      </c>
      <c r="U283" s="231"/>
      <c r="V283" s="396"/>
      <c r="W283" s="396"/>
      <c r="X283" s="396">
        <v>1602995</v>
      </c>
      <c r="Y283" s="396">
        <v>114498</v>
      </c>
    </row>
    <row r="284" spans="1:25">
      <c r="A284" s="390">
        <v>92851</v>
      </c>
      <c r="B284" s="391" t="s">
        <v>988</v>
      </c>
      <c r="C284" s="234">
        <v>3.9360000000000003E-4</v>
      </c>
      <c r="D284" s="234">
        <v>4.2850000000000001E-4</v>
      </c>
      <c r="E284" s="231">
        <v>1406500</v>
      </c>
      <c r="F284" s="231" t="s">
        <v>1924</v>
      </c>
      <c r="G284" s="392">
        <v>177616</v>
      </c>
      <c r="H284" s="392">
        <v>197927</v>
      </c>
      <c r="I284" s="392">
        <v>104671</v>
      </c>
      <c r="J284" s="231">
        <v>0</v>
      </c>
      <c r="K284" s="231">
        <v>480214</v>
      </c>
      <c r="L284" s="231"/>
      <c r="M284" s="225">
        <v>0</v>
      </c>
      <c r="N284" s="225">
        <v>0</v>
      </c>
      <c r="O284" s="231">
        <v>95346</v>
      </c>
      <c r="P284" s="231">
        <v>95346</v>
      </c>
      <c r="Q284" s="231"/>
      <c r="R284" s="392">
        <v>483685</v>
      </c>
      <c r="S284" s="231">
        <v>-42844</v>
      </c>
      <c r="T284" s="396">
        <v>440841</v>
      </c>
      <c r="U284" s="231"/>
      <c r="V284" s="396"/>
      <c r="W284" s="396"/>
      <c r="X284" s="396">
        <v>2853636</v>
      </c>
      <c r="Y284" s="396">
        <v>203829</v>
      </c>
    </row>
    <row r="285" spans="1:25">
      <c r="A285" s="390">
        <v>92861</v>
      </c>
      <c r="B285" s="391" t="s">
        <v>989</v>
      </c>
      <c r="C285" s="234">
        <v>3.7579999999999997E-4</v>
      </c>
      <c r="D285" s="234">
        <v>3.6309999999999999E-4</v>
      </c>
      <c r="E285" s="231">
        <v>1342893</v>
      </c>
      <c r="F285" s="231" t="s">
        <v>1924</v>
      </c>
      <c r="G285" s="392">
        <v>169584</v>
      </c>
      <c r="H285" s="392">
        <v>188976</v>
      </c>
      <c r="I285" s="392">
        <v>99938</v>
      </c>
      <c r="J285" s="231">
        <v>0</v>
      </c>
      <c r="K285" s="231">
        <v>458498</v>
      </c>
      <c r="L285" s="231"/>
      <c r="M285" s="225">
        <v>0</v>
      </c>
      <c r="N285" s="225">
        <v>0</v>
      </c>
      <c r="O285" s="231">
        <v>51771</v>
      </c>
      <c r="P285" s="231">
        <v>51771</v>
      </c>
      <c r="Q285" s="231"/>
      <c r="R285" s="392">
        <v>461811</v>
      </c>
      <c r="S285" s="231">
        <v>-34090</v>
      </c>
      <c r="T285" s="396">
        <v>427721</v>
      </c>
      <c r="U285" s="231"/>
      <c r="V285" s="396"/>
      <c r="W285" s="396"/>
      <c r="X285" s="396">
        <v>2724585</v>
      </c>
      <c r="Y285" s="396">
        <v>194611</v>
      </c>
    </row>
    <row r="286" spans="1:25">
      <c r="A286" s="390">
        <v>92901</v>
      </c>
      <c r="B286" s="391" t="s">
        <v>990</v>
      </c>
      <c r="C286" s="234">
        <v>5.4431999999999996E-3</v>
      </c>
      <c r="D286" s="234">
        <v>5.4326000000000001E-3</v>
      </c>
      <c r="E286" s="231">
        <v>19450872</v>
      </c>
      <c r="F286" s="231" t="s">
        <v>1924</v>
      </c>
      <c r="G286" s="392">
        <v>2456304</v>
      </c>
      <c r="H286" s="392">
        <v>2737189</v>
      </c>
      <c r="I286" s="392">
        <v>1447527</v>
      </c>
      <c r="J286" s="231">
        <v>123965</v>
      </c>
      <c r="K286" s="231">
        <v>6764985</v>
      </c>
      <c r="L286" s="231"/>
      <c r="M286" s="225">
        <v>0</v>
      </c>
      <c r="N286" s="225">
        <v>0</v>
      </c>
      <c r="O286" s="231">
        <v>19927</v>
      </c>
      <c r="P286" s="231">
        <v>19927</v>
      </c>
      <c r="Q286" s="231"/>
      <c r="R286" s="392">
        <v>6689012</v>
      </c>
      <c r="S286" s="231">
        <v>6743</v>
      </c>
      <c r="T286" s="396">
        <v>6695755</v>
      </c>
      <c r="U286" s="231"/>
      <c r="V286" s="396"/>
      <c r="W286" s="396"/>
      <c r="X286" s="396">
        <v>39463701</v>
      </c>
      <c r="Y286" s="396">
        <v>2818805</v>
      </c>
    </row>
    <row r="287" spans="1:25">
      <c r="A287" s="390">
        <v>92911</v>
      </c>
      <c r="B287" s="391" t="s">
        <v>991</v>
      </c>
      <c r="C287" s="234">
        <v>1.8653000000000001E-3</v>
      </c>
      <c r="D287" s="234">
        <v>1.9161E-3</v>
      </c>
      <c r="E287" s="231">
        <v>6665512</v>
      </c>
      <c r="F287" s="231" t="s">
        <v>1924</v>
      </c>
      <c r="G287" s="392">
        <v>841737</v>
      </c>
      <c r="H287" s="392">
        <v>937992</v>
      </c>
      <c r="I287" s="392">
        <v>496045</v>
      </c>
      <c r="J287" s="231">
        <v>47997</v>
      </c>
      <c r="K287" s="231">
        <v>2323771</v>
      </c>
      <c r="L287" s="231"/>
      <c r="M287" s="225">
        <v>0</v>
      </c>
      <c r="N287" s="225">
        <v>0</v>
      </c>
      <c r="O287" s="231">
        <v>0</v>
      </c>
      <c r="P287" s="231">
        <v>0</v>
      </c>
      <c r="Q287" s="231"/>
      <c r="R287" s="392">
        <v>2292221</v>
      </c>
      <c r="S287" s="231">
        <v>9621</v>
      </c>
      <c r="T287" s="396">
        <v>2301842</v>
      </c>
      <c r="U287" s="231"/>
      <c r="V287" s="396"/>
      <c r="W287" s="396"/>
      <c r="X287" s="396">
        <v>13523597</v>
      </c>
      <c r="Y287" s="396">
        <v>965961</v>
      </c>
    </row>
    <row r="288" spans="1:25">
      <c r="A288" s="390">
        <v>92913</v>
      </c>
      <c r="B288" s="391" t="s">
        <v>992</v>
      </c>
      <c r="C288" s="234">
        <v>1.88E-5</v>
      </c>
      <c r="D288" s="234">
        <v>2.0400000000000001E-5</v>
      </c>
      <c r="E288" s="231">
        <v>67180</v>
      </c>
      <c r="F288" s="231" t="s">
        <v>1924</v>
      </c>
      <c r="G288" s="392">
        <v>8484</v>
      </c>
      <c r="H288" s="392">
        <v>9454</v>
      </c>
      <c r="I288" s="392">
        <v>5000</v>
      </c>
      <c r="J288" s="231">
        <v>64862</v>
      </c>
      <c r="K288" s="231">
        <v>87800</v>
      </c>
      <c r="L288" s="231"/>
      <c r="M288" s="225">
        <v>0</v>
      </c>
      <c r="N288" s="225">
        <v>0</v>
      </c>
      <c r="O288" s="231">
        <v>0</v>
      </c>
      <c r="P288" s="231">
        <v>0</v>
      </c>
      <c r="Q288" s="231"/>
      <c r="R288" s="392">
        <v>23103</v>
      </c>
      <c r="S288" s="231">
        <v>38366</v>
      </c>
      <c r="T288" s="396">
        <v>61469</v>
      </c>
      <c r="U288" s="231"/>
      <c r="V288" s="396"/>
      <c r="W288" s="396"/>
      <c r="X288" s="396">
        <v>136302</v>
      </c>
      <c r="Y288" s="396">
        <v>9736</v>
      </c>
    </row>
    <row r="289" spans="1:25">
      <c r="A289" s="390">
        <v>92914</v>
      </c>
      <c r="B289" s="395" t="s">
        <v>993</v>
      </c>
      <c r="C289" s="234">
        <v>2.6999999999999999E-5</v>
      </c>
      <c r="D289" s="234">
        <v>2.55E-5</v>
      </c>
      <c r="E289" s="231">
        <v>96483</v>
      </c>
      <c r="F289" s="231" t="s">
        <v>1924</v>
      </c>
      <c r="G289" s="392">
        <v>12184</v>
      </c>
      <c r="H289" s="392">
        <v>13578</v>
      </c>
      <c r="I289" s="392">
        <v>7180</v>
      </c>
      <c r="J289" s="231">
        <v>11399</v>
      </c>
      <c r="K289" s="231">
        <v>44341</v>
      </c>
      <c r="L289" s="231"/>
      <c r="M289" s="225">
        <v>0</v>
      </c>
      <c r="N289" s="225">
        <v>0</v>
      </c>
      <c r="O289" s="231">
        <v>622</v>
      </c>
      <c r="P289" s="231">
        <v>622</v>
      </c>
      <c r="Q289" s="231"/>
      <c r="R289" s="392">
        <v>33180</v>
      </c>
      <c r="S289" s="231">
        <v>6349</v>
      </c>
      <c r="T289" s="396">
        <v>39529</v>
      </c>
      <c r="U289" s="231"/>
      <c r="V289" s="396"/>
      <c r="W289" s="396"/>
      <c r="X289" s="396">
        <v>195752</v>
      </c>
      <c r="Y289" s="396">
        <v>13982</v>
      </c>
    </row>
    <row r="290" spans="1:25">
      <c r="A290" s="390">
        <v>92917</v>
      </c>
      <c r="B290" s="391" t="s">
        <v>994</v>
      </c>
      <c r="C290" s="234">
        <v>1.2999999999999999E-5</v>
      </c>
      <c r="D290" s="234">
        <v>1.9199999999999999E-5</v>
      </c>
      <c r="E290" s="231">
        <v>46455</v>
      </c>
      <c r="F290" s="231" t="s">
        <v>1924</v>
      </c>
      <c r="G290" s="392">
        <v>5866</v>
      </c>
      <c r="H290" s="392">
        <v>6538</v>
      </c>
      <c r="I290" s="392">
        <v>3457</v>
      </c>
      <c r="J290" s="231">
        <v>10422</v>
      </c>
      <c r="K290" s="231">
        <v>26283</v>
      </c>
      <c r="L290" s="231"/>
      <c r="M290" s="225">
        <v>0</v>
      </c>
      <c r="N290" s="225">
        <v>0</v>
      </c>
      <c r="O290" s="231">
        <v>0</v>
      </c>
      <c r="P290" s="231">
        <v>0</v>
      </c>
      <c r="Q290" s="231"/>
      <c r="R290" s="392">
        <v>15975</v>
      </c>
      <c r="S290" s="231">
        <v>6134</v>
      </c>
      <c r="T290" s="396">
        <v>22109</v>
      </c>
      <c r="U290" s="231"/>
      <c r="V290" s="396"/>
      <c r="W290" s="396"/>
      <c r="X290" s="396">
        <v>94251</v>
      </c>
      <c r="Y290" s="396">
        <v>6732</v>
      </c>
    </row>
    <row r="291" spans="1:25">
      <c r="A291" s="390">
        <v>92921</v>
      </c>
      <c r="B291" s="391" t="s">
        <v>995</v>
      </c>
      <c r="C291" s="234">
        <v>9.31E-5</v>
      </c>
      <c r="D291" s="234">
        <v>9.6600000000000003E-5</v>
      </c>
      <c r="E291" s="231">
        <v>332686</v>
      </c>
      <c r="F291" s="231" t="s">
        <v>1924</v>
      </c>
      <c r="G291" s="392">
        <v>42012</v>
      </c>
      <c r="H291" s="392">
        <v>46817</v>
      </c>
      <c r="I291" s="392">
        <v>24758</v>
      </c>
      <c r="J291" s="231">
        <v>20229</v>
      </c>
      <c r="K291" s="231">
        <v>133816</v>
      </c>
      <c r="L291" s="231"/>
      <c r="M291" s="225">
        <v>0</v>
      </c>
      <c r="N291" s="225">
        <v>0</v>
      </c>
      <c r="O291" s="231">
        <v>0</v>
      </c>
      <c r="P291" s="231">
        <v>0</v>
      </c>
      <c r="Q291" s="231"/>
      <c r="R291" s="392">
        <v>114408</v>
      </c>
      <c r="S291" s="231">
        <v>9411</v>
      </c>
      <c r="T291" s="396">
        <v>123819</v>
      </c>
      <c r="U291" s="231"/>
      <c r="V291" s="396"/>
      <c r="W291" s="396"/>
      <c r="X291" s="396">
        <v>674984</v>
      </c>
      <c r="Y291" s="396">
        <v>48213</v>
      </c>
    </row>
    <row r="292" spans="1:25" ht="14.25" customHeight="1">
      <c r="A292" s="390">
        <v>92931</v>
      </c>
      <c r="B292" s="391" t="s">
        <v>996</v>
      </c>
      <c r="C292" s="234">
        <v>2.33E-3</v>
      </c>
      <c r="D292" s="234">
        <v>2.2504999999999999E-3</v>
      </c>
      <c r="E292" s="231">
        <v>8326083</v>
      </c>
      <c r="F292" s="231" t="s">
        <v>1924</v>
      </c>
      <c r="G292" s="392">
        <v>1051438</v>
      </c>
      <c r="H292" s="392">
        <v>1171673</v>
      </c>
      <c r="I292" s="392">
        <v>619624</v>
      </c>
      <c r="J292" s="231">
        <v>89840</v>
      </c>
      <c r="K292" s="231">
        <v>2932575</v>
      </c>
      <c r="L292" s="231"/>
      <c r="M292" s="225">
        <v>0</v>
      </c>
      <c r="N292" s="225">
        <v>0</v>
      </c>
      <c r="O292" s="231">
        <v>159421</v>
      </c>
      <c r="P292" s="231">
        <v>159421</v>
      </c>
      <c r="Q292" s="231"/>
      <c r="R292" s="392">
        <v>2863279</v>
      </c>
      <c r="S292" s="231">
        <v>-50970</v>
      </c>
      <c r="T292" s="396">
        <v>2812309</v>
      </c>
      <c r="U292" s="231"/>
      <c r="V292" s="396"/>
      <c r="W292" s="396"/>
      <c r="X292" s="396">
        <v>16892714</v>
      </c>
      <c r="Y292" s="396">
        <v>1206609</v>
      </c>
    </row>
    <row r="293" spans="1:25">
      <c r="A293" s="390">
        <v>92941</v>
      </c>
      <c r="B293" s="391" t="s">
        <v>81</v>
      </c>
      <c r="C293" s="234">
        <v>4.3000000000000003E-6</v>
      </c>
      <c r="D293" s="234">
        <v>4.1999999999999996E-6</v>
      </c>
      <c r="E293" s="231">
        <v>15366</v>
      </c>
      <c r="F293" s="231" t="s">
        <v>1924</v>
      </c>
      <c r="G293" s="392">
        <v>1940</v>
      </c>
      <c r="H293" s="392">
        <v>2162</v>
      </c>
      <c r="I293" s="392">
        <v>1144</v>
      </c>
      <c r="J293" s="231">
        <v>1450</v>
      </c>
      <c r="K293" s="231">
        <v>6696</v>
      </c>
      <c r="L293" s="231"/>
      <c r="M293" s="225">
        <v>0</v>
      </c>
      <c r="N293" s="225">
        <v>0</v>
      </c>
      <c r="O293" s="231">
        <v>1826</v>
      </c>
      <c r="P293" s="231">
        <v>1826</v>
      </c>
      <c r="Q293" s="231"/>
      <c r="R293" s="392">
        <v>5284</v>
      </c>
      <c r="S293" s="231">
        <v>-425</v>
      </c>
      <c r="T293" s="396">
        <v>4859</v>
      </c>
      <c r="U293" s="231"/>
      <c r="V293" s="396"/>
      <c r="W293" s="396"/>
      <c r="X293" s="396">
        <v>31175</v>
      </c>
      <c r="Y293" s="396">
        <v>2227</v>
      </c>
    </row>
    <row r="294" spans="1:25">
      <c r="A294" s="390">
        <v>93001</v>
      </c>
      <c r="B294" s="391" t="s">
        <v>997</v>
      </c>
      <c r="C294" s="234">
        <v>2.1771E-3</v>
      </c>
      <c r="D294" s="234">
        <v>2.2536000000000001E-3</v>
      </c>
      <c r="E294" s="231">
        <v>7779706</v>
      </c>
      <c r="F294" s="231" t="s">
        <v>1924</v>
      </c>
      <c r="G294" s="392">
        <v>982440</v>
      </c>
      <c r="H294" s="392">
        <v>1094785</v>
      </c>
      <c r="I294" s="392">
        <v>578963</v>
      </c>
      <c r="J294" s="231">
        <v>5379</v>
      </c>
      <c r="K294" s="231">
        <v>2661567</v>
      </c>
      <c r="L294" s="231"/>
      <c r="M294" s="225">
        <v>0</v>
      </c>
      <c r="N294" s="225">
        <v>0</v>
      </c>
      <c r="O294" s="231">
        <v>117083</v>
      </c>
      <c r="P294" s="231">
        <v>117083</v>
      </c>
      <c r="Q294" s="231"/>
      <c r="R294" s="392">
        <v>2675384</v>
      </c>
      <c r="S294" s="231">
        <v>-53138</v>
      </c>
      <c r="T294" s="396">
        <v>2622246</v>
      </c>
      <c r="U294" s="231"/>
      <c r="V294" s="396"/>
      <c r="W294" s="396"/>
      <c r="X294" s="396">
        <v>15784175</v>
      </c>
      <c r="Y294" s="396">
        <v>1127429</v>
      </c>
    </row>
    <row r="295" spans="1:25">
      <c r="A295" s="390">
        <v>93009</v>
      </c>
      <c r="B295" s="391" t="s">
        <v>998</v>
      </c>
      <c r="C295" s="234">
        <v>1.19E-5</v>
      </c>
      <c r="D295" s="234">
        <v>1.2799999999999999E-5</v>
      </c>
      <c r="E295" s="231">
        <v>42524</v>
      </c>
      <c r="F295" s="231" t="s">
        <v>1924</v>
      </c>
      <c r="G295" s="392">
        <v>5370</v>
      </c>
      <c r="H295" s="392">
        <v>5984</v>
      </c>
      <c r="I295" s="392">
        <v>3165</v>
      </c>
      <c r="J295" s="231">
        <v>0</v>
      </c>
      <c r="K295" s="231">
        <v>14519</v>
      </c>
      <c r="L295" s="231"/>
      <c r="M295" s="225">
        <v>0</v>
      </c>
      <c r="N295" s="225">
        <v>0</v>
      </c>
      <c r="O295" s="231">
        <v>4303</v>
      </c>
      <c r="P295" s="231">
        <v>4303</v>
      </c>
      <c r="Q295" s="231"/>
      <c r="R295" s="392">
        <v>14624</v>
      </c>
      <c r="S295" s="231">
        <v>-2201</v>
      </c>
      <c r="T295" s="396">
        <v>12423</v>
      </c>
      <c r="U295" s="231"/>
      <c r="V295" s="396"/>
      <c r="W295" s="396"/>
      <c r="X295" s="396">
        <v>86276</v>
      </c>
      <c r="Y295" s="396">
        <v>6163</v>
      </c>
    </row>
    <row r="296" spans="1:25">
      <c r="A296" s="390">
        <v>93011</v>
      </c>
      <c r="B296" s="391" t="s">
        <v>999</v>
      </c>
      <c r="C296" s="234">
        <v>3.121E-4</v>
      </c>
      <c r="D296" s="234">
        <v>3.0909999999999998E-4</v>
      </c>
      <c r="E296" s="231">
        <v>1115266</v>
      </c>
      <c r="F296" s="231" t="s">
        <v>1924</v>
      </c>
      <c r="G296" s="392">
        <v>140839</v>
      </c>
      <c r="H296" s="392">
        <v>156944</v>
      </c>
      <c r="I296" s="392">
        <v>82998</v>
      </c>
      <c r="J296" s="231">
        <v>45445</v>
      </c>
      <c r="K296" s="231">
        <v>426226</v>
      </c>
      <c r="L296" s="231"/>
      <c r="M296" s="225">
        <v>0</v>
      </c>
      <c r="N296" s="225">
        <v>0</v>
      </c>
      <c r="O296" s="231">
        <v>7251</v>
      </c>
      <c r="P296" s="231">
        <v>7251</v>
      </c>
      <c r="Q296" s="231"/>
      <c r="R296" s="392">
        <v>383532</v>
      </c>
      <c r="S296" s="231">
        <v>14324</v>
      </c>
      <c r="T296" s="396">
        <v>397856</v>
      </c>
      <c r="U296" s="231"/>
      <c r="V296" s="396"/>
      <c r="W296" s="396"/>
      <c r="X296" s="396">
        <v>2262754</v>
      </c>
      <c r="Y296" s="396">
        <v>161623</v>
      </c>
    </row>
    <row r="297" spans="1:25">
      <c r="A297" s="390">
        <v>93021</v>
      </c>
      <c r="B297" s="391" t="s">
        <v>1000</v>
      </c>
      <c r="C297" s="234">
        <v>3.0300000000000001E-5</v>
      </c>
      <c r="D297" s="234">
        <v>3.0499999999999999E-5</v>
      </c>
      <c r="E297" s="231">
        <v>108275</v>
      </c>
      <c r="F297" s="231" t="s">
        <v>1924</v>
      </c>
      <c r="G297" s="392">
        <v>13673</v>
      </c>
      <c r="H297" s="392">
        <v>15237</v>
      </c>
      <c r="I297" s="392">
        <v>8058</v>
      </c>
      <c r="J297" s="231">
        <v>347</v>
      </c>
      <c r="K297" s="231">
        <v>37315</v>
      </c>
      <c r="L297" s="231"/>
      <c r="M297" s="225">
        <v>0</v>
      </c>
      <c r="N297" s="225">
        <v>0</v>
      </c>
      <c r="O297" s="231">
        <v>4820</v>
      </c>
      <c r="P297" s="231">
        <v>4820</v>
      </c>
      <c r="Q297" s="231"/>
      <c r="R297" s="392">
        <v>37235</v>
      </c>
      <c r="S297" s="231">
        <v>-2961</v>
      </c>
      <c r="T297" s="396">
        <v>34274</v>
      </c>
      <c r="U297" s="231"/>
      <c r="V297" s="396"/>
      <c r="W297" s="396"/>
      <c r="X297" s="396">
        <v>219678</v>
      </c>
      <c r="Y297" s="396">
        <v>15691</v>
      </c>
    </row>
    <row r="298" spans="1:25">
      <c r="A298" s="390">
        <v>93027</v>
      </c>
      <c r="B298" s="391" t="s">
        <v>1001</v>
      </c>
      <c r="C298" s="234">
        <v>0</v>
      </c>
      <c r="D298" s="234">
        <v>0</v>
      </c>
      <c r="E298" s="231">
        <v>0</v>
      </c>
      <c r="F298" s="231" t="s">
        <v>1924</v>
      </c>
      <c r="G298" s="392">
        <v>0</v>
      </c>
      <c r="H298" s="392">
        <v>0</v>
      </c>
      <c r="I298" s="392">
        <v>0</v>
      </c>
      <c r="J298" s="231">
        <v>119</v>
      </c>
      <c r="K298" s="231">
        <v>119</v>
      </c>
      <c r="L298" s="231"/>
      <c r="M298" s="225">
        <v>0</v>
      </c>
      <c r="N298" s="225">
        <v>0</v>
      </c>
      <c r="O298" s="231">
        <v>10632</v>
      </c>
      <c r="P298" s="231">
        <v>10632</v>
      </c>
      <c r="Q298" s="231"/>
      <c r="R298" s="392">
        <v>0</v>
      </c>
      <c r="S298" s="231">
        <v>-3398</v>
      </c>
      <c r="T298" s="396">
        <v>-3398</v>
      </c>
      <c r="U298" s="231"/>
      <c r="V298" s="396"/>
      <c r="W298" s="396"/>
      <c r="X298" s="396">
        <v>0</v>
      </c>
      <c r="Y298" s="396">
        <v>0</v>
      </c>
    </row>
    <row r="299" spans="1:25">
      <c r="A299" s="390">
        <v>93028</v>
      </c>
      <c r="B299" s="391" t="s">
        <v>3609</v>
      </c>
      <c r="C299" s="234">
        <v>2.16E-5</v>
      </c>
      <c r="D299" s="234">
        <v>0</v>
      </c>
      <c r="E299" s="231">
        <v>77186</v>
      </c>
      <c r="F299" s="231" t="s">
        <v>1924</v>
      </c>
      <c r="G299" s="392">
        <v>9747</v>
      </c>
      <c r="H299" s="392">
        <v>10862</v>
      </c>
      <c r="I299" s="392">
        <v>5744</v>
      </c>
      <c r="J299" s="231">
        <v>29463</v>
      </c>
      <c r="K299" s="231">
        <v>55816</v>
      </c>
      <c r="L299" s="231"/>
      <c r="M299" s="225">
        <v>0</v>
      </c>
      <c r="N299" s="225">
        <v>0</v>
      </c>
      <c r="O299" s="231">
        <v>0</v>
      </c>
      <c r="P299" s="231">
        <v>0</v>
      </c>
      <c r="Q299" s="231"/>
      <c r="R299" s="392">
        <v>26544</v>
      </c>
      <c r="S299" s="231">
        <v>9821</v>
      </c>
      <c r="T299" s="396">
        <v>36365</v>
      </c>
      <c r="U299" s="231"/>
      <c r="V299" s="396"/>
      <c r="W299" s="396"/>
      <c r="X299" s="396">
        <v>156602</v>
      </c>
      <c r="Y299" s="396">
        <v>11186</v>
      </c>
    </row>
    <row r="300" spans="1:25">
      <c r="A300" s="390">
        <v>93031</v>
      </c>
      <c r="B300" s="391" t="s">
        <v>1002</v>
      </c>
      <c r="C300" s="234">
        <v>4.6E-6</v>
      </c>
      <c r="D300" s="234">
        <v>7.7000000000000008E-6</v>
      </c>
      <c r="E300" s="231">
        <v>16438</v>
      </c>
      <c r="F300" s="231" t="s">
        <v>1924</v>
      </c>
      <c r="G300" s="392">
        <v>2076</v>
      </c>
      <c r="H300" s="392">
        <v>2314</v>
      </c>
      <c r="I300" s="392">
        <v>1223</v>
      </c>
      <c r="J300" s="231">
        <v>6752</v>
      </c>
      <c r="K300" s="231">
        <v>12365</v>
      </c>
      <c r="L300" s="231"/>
      <c r="M300" s="225">
        <v>0</v>
      </c>
      <c r="N300" s="225">
        <v>0</v>
      </c>
      <c r="O300" s="231">
        <v>3637</v>
      </c>
      <c r="P300" s="231">
        <v>3637</v>
      </c>
      <c r="Q300" s="231"/>
      <c r="R300" s="392">
        <v>5653</v>
      </c>
      <c r="S300" s="231">
        <v>5881</v>
      </c>
      <c r="T300" s="396">
        <v>11534</v>
      </c>
      <c r="U300" s="231"/>
      <c r="V300" s="396"/>
      <c r="W300" s="396"/>
      <c r="X300" s="396">
        <v>33350</v>
      </c>
      <c r="Y300" s="396">
        <v>2382</v>
      </c>
    </row>
    <row r="301" spans="1:25">
      <c r="A301" s="390">
        <v>93101</v>
      </c>
      <c r="B301" s="391" t="s">
        <v>1003</v>
      </c>
      <c r="C301" s="234">
        <v>2.9229999999999998E-3</v>
      </c>
      <c r="D301" s="234">
        <v>3.1914999999999999E-3</v>
      </c>
      <c r="E301" s="231">
        <v>10445124</v>
      </c>
      <c r="F301" s="231" t="s">
        <v>1924</v>
      </c>
      <c r="G301" s="392">
        <v>1319036</v>
      </c>
      <c r="H301" s="392">
        <v>1469871</v>
      </c>
      <c r="I301" s="392">
        <v>777322</v>
      </c>
      <c r="J301" s="231">
        <v>0</v>
      </c>
      <c r="K301" s="231">
        <v>3566229</v>
      </c>
      <c r="L301" s="231"/>
      <c r="M301" s="225">
        <v>0</v>
      </c>
      <c r="N301" s="225">
        <v>0</v>
      </c>
      <c r="O301" s="231">
        <v>556518</v>
      </c>
      <c r="P301" s="231">
        <v>556518</v>
      </c>
      <c r="Q301" s="231"/>
      <c r="R301" s="392">
        <v>3592002</v>
      </c>
      <c r="S301" s="231">
        <v>-213734</v>
      </c>
      <c r="T301" s="396">
        <v>3378268</v>
      </c>
      <c r="U301" s="231"/>
      <c r="V301" s="396"/>
      <c r="W301" s="396"/>
      <c r="X301" s="396">
        <v>21192019</v>
      </c>
      <c r="Y301" s="396">
        <v>1513699</v>
      </c>
    </row>
    <row r="302" spans="1:25">
      <c r="A302" s="390">
        <v>93103</v>
      </c>
      <c r="B302" s="391" t="s">
        <v>260</v>
      </c>
      <c r="C302" s="234">
        <v>1.6200000000000001E-5</v>
      </c>
      <c r="D302" s="234">
        <v>1.56E-5</v>
      </c>
      <c r="E302" s="231">
        <v>57890</v>
      </c>
      <c r="F302" s="231" t="s">
        <v>1924</v>
      </c>
      <c r="G302" s="392">
        <v>7310</v>
      </c>
      <c r="H302" s="392">
        <v>8146</v>
      </c>
      <c r="I302" s="392">
        <v>4308</v>
      </c>
      <c r="J302" s="231">
        <v>0</v>
      </c>
      <c r="K302" s="231">
        <v>19764</v>
      </c>
      <c r="L302" s="231"/>
      <c r="M302" s="225">
        <v>0</v>
      </c>
      <c r="N302" s="225">
        <v>0</v>
      </c>
      <c r="O302" s="231">
        <v>6853</v>
      </c>
      <c r="P302" s="231">
        <v>6853</v>
      </c>
      <c r="Q302" s="231"/>
      <c r="R302" s="392">
        <v>19908</v>
      </c>
      <c r="S302" s="231">
        <v>-1013</v>
      </c>
      <c r="T302" s="396">
        <v>18895</v>
      </c>
      <c r="U302" s="231"/>
      <c r="V302" s="396"/>
      <c r="W302" s="396"/>
      <c r="X302" s="396">
        <v>117451</v>
      </c>
      <c r="Y302" s="396">
        <v>8389</v>
      </c>
    </row>
    <row r="303" spans="1:25">
      <c r="A303" s="390">
        <v>93108</v>
      </c>
      <c r="B303" s="391" t="s">
        <v>1004</v>
      </c>
      <c r="C303" s="234">
        <v>2.1960999999999999E-3</v>
      </c>
      <c r="D303" s="234">
        <v>2.2694E-3</v>
      </c>
      <c r="E303" s="231">
        <v>7847601</v>
      </c>
      <c r="F303" s="231" t="s">
        <v>1924</v>
      </c>
      <c r="G303" s="392">
        <v>991014</v>
      </c>
      <c r="H303" s="392">
        <v>1104340</v>
      </c>
      <c r="I303" s="392">
        <v>584015</v>
      </c>
      <c r="J303" s="231">
        <v>9518</v>
      </c>
      <c r="K303" s="231">
        <v>2688887</v>
      </c>
      <c r="L303" s="231"/>
      <c r="M303" s="225">
        <v>0</v>
      </c>
      <c r="N303" s="225">
        <v>0</v>
      </c>
      <c r="O303" s="231">
        <v>207651</v>
      </c>
      <c r="P303" s="231">
        <v>207651</v>
      </c>
      <c r="Q303" s="231"/>
      <c r="R303" s="392">
        <v>2698732</v>
      </c>
      <c r="S303" s="231">
        <v>-60374</v>
      </c>
      <c r="T303" s="396">
        <v>2638358</v>
      </c>
      <c r="U303" s="231"/>
      <c r="V303" s="396"/>
      <c r="W303" s="396"/>
      <c r="X303" s="396">
        <v>15921927</v>
      </c>
      <c r="Y303" s="396">
        <v>1137268</v>
      </c>
    </row>
    <row r="304" spans="1:25">
      <c r="A304" s="390">
        <v>93111</v>
      </c>
      <c r="B304" s="391" t="s">
        <v>1005</v>
      </c>
      <c r="C304" s="234">
        <v>5.4400000000000001E-5</v>
      </c>
      <c r="D304" s="234">
        <v>5.8199999999999998E-5</v>
      </c>
      <c r="E304" s="231">
        <v>194394</v>
      </c>
      <c r="F304" s="231" t="s">
        <v>1924</v>
      </c>
      <c r="G304" s="392">
        <v>24549</v>
      </c>
      <c r="H304" s="392">
        <v>27356</v>
      </c>
      <c r="I304" s="392">
        <v>14467</v>
      </c>
      <c r="J304" s="231">
        <v>305</v>
      </c>
      <c r="K304" s="231">
        <v>66677</v>
      </c>
      <c r="L304" s="231"/>
      <c r="M304" s="225">
        <v>0</v>
      </c>
      <c r="N304" s="225">
        <v>0</v>
      </c>
      <c r="O304" s="231">
        <v>9055</v>
      </c>
      <c r="P304" s="231">
        <v>9055</v>
      </c>
      <c r="Q304" s="231"/>
      <c r="R304" s="392">
        <v>66851</v>
      </c>
      <c r="S304" s="231">
        <v>-5338</v>
      </c>
      <c r="T304" s="396">
        <v>61513</v>
      </c>
      <c r="U304" s="231"/>
      <c r="V304" s="396"/>
      <c r="W304" s="396"/>
      <c r="X304" s="396">
        <v>394405</v>
      </c>
      <c r="Y304" s="396">
        <v>28171</v>
      </c>
    </row>
    <row r="305" spans="1:25">
      <c r="A305" s="390">
        <v>93121</v>
      </c>
      <c r="B305" s="391" t="s">
        <v>1006</v>
      </c>
      <c r="C305" s="234">
        <v>5.38E-5</v>
      </c>
      <c r="D305" s="234">
        <v>6.2199999999999994E-5</v>
      </c>
      <c r="E305" s="231">
        <v>192250</v>
      </c>
      <c r="F305" s="231" t="s">
        <v>1924</v>
      </c>
      <c r="G305" s="392">
        <v>24278</v>
      </c>
      <c r="H305" s="392">
        <v>27054</v>
      </c>
      <c r="I305" s="392">
        <v>14307</v>
      </c>
      <c r="J305" s="231">
        <v>7097</v>
      </c>
      <c r="K305" s="231">
        <v>72736</v>
      </c>
      <c r="L305" s="231"/>
      <c r="M305" s="225">
        <v>0</v>
      </c>
      <c r="N305" s="225">
        <v>0</v>
      </c>
      <c r="O305" s="231">
        <v>7593</v>
      </c>
      <c r="P305" s="231">
        <v>7593</v>
      </c>
      <c r="Q305" s="231"/>
      <c r="R305" s="392">
        <v>66113</v>
      </c>
      <c r="S305" s="231">
        <v>-2335</v>
      </c>
      <c r="T305" s="396">
        <v>63778</v>
      </c>
      <c r="U305" s="231"/>
      <c r="V305" s="396"/>
      <c r="W305" s="396"/>
      <c r="X305" s="396">
        <v>390055</v>
      </c>
      <c r="Y305" s="396">
        <v>27861</v>
      </c>
    </row>
    <row r="306" spans="1:25">
      <c r="A306" s="390">
        <v>93127</v>
      </c>
      <c r="B306" s="391" t="s">
        <v>1007</v>
      </c>
      <c r="C306" s="234">
        <v>5.8000000000000004E-6</v>
      </c>
      <c r="D306" s="234">
        <v>5.9000000000000003E-6</v>
      </c>
      <c r="E306" s="231">
        <v>20726</v>
      </c>
      <c r="F306" s="231" t="s">
        <v>1924</v>
      </c>
      <c r="G306" s="392">
        <v>2617</v>
      </c>
      <c r="H306" s="392">
        <v>2916</v>
      </c>
      <c r="I306" s="392">
        <v>1542</v>
      </c>
      <c r="J306" s="231">
        <v>296</v>
      </c>
      <c r="K306" s="231">
        <v>7371</v>
      </c>
      <c r="L306" s="231"/>
      <c r="M306" s="225">
        <v>0</v>
      </c>
      <c r="N306" s="225">
        <v>0</v>
      </c>
      <c r="O306" s="231">
        <v>682</v>
      </c>
      <c r="P306" s="231">
        <v>682</v>
      </c>
      <c r="Q306" s="231"/>
      <c r="R306" s="392">
        <v>7127</v>
      </c>
      <c r="S306" s="231">
        <v>-235</v>
      </c>
      <c r="T306" s="396">
        <v>6892</v>
      </c>
      <c r="U306" s="231"/>
      <c r="V306" s="396"/>
      <c r="W306" s="396"/>
      <c r="X306" s="396">
        <v>42051</v>
      </c>
      <c r="Y306" s="396">
        <v>3004</v>
      </c>
    </row>
    <row r="307" spans="1:25">
      <c r="A307" s="390">
        <v>93131</v>
      </c>
      <c r="B307" s="391" t="s">
        <v>1008</v>
      </c>
      <c r="C307" s="234">
        <v>1.727E-4</v>
      </c>
      <c r="D307" s="234">
        <v>1.7799999999999999E-4</v>
      </c>
      <c r="E307" s="231">
        <v>617131</v>
      </c>
      <c r="F307" s="231" t="s">
        <v>1924</v>
      </c>
      <c r="G307" s="392">
        <v>77933</v>
      </c>
      <c r="H307" s="392">
        <v>86844</v>
      </c>
      <c r="I307" s="392">
        <v>45927</v>
      </c>
      <c r="J307" s="231">
        <v>993</v>
      </c>
      <c r="K307" s="231">
        <v>211697</v>
      </c>
      <c r="L307" s="231"/>
      <c r="M307" s="225">
        <v>0</v>
      </c>
      <c r="N307" s="225">
        <v>0</v>
      </c>
      <c r="O307" s="231">
        <v>25184</v>
      </c>
      <c r="P307" s="231">
        <v>25184</v>
      </c>
      <c r="Q307" s="231"/>
      <c r="R307" s="392">
        <v>212227</v>
      </c>
      <c r="S307" s="231">
        <v>-13881</v>
      </c>
      <c r="T307" s="396">
        <v>198346</v>
      </c>
      <c r="U307" s="231"/>
      <c r="V307" s="396"/>
      <c r="W307" s="396"/>
      <c r="X307" s="396">
        <v>1252091</v>
      </c>
      <c r="Y307" s="396">
        <v>89434</v>
      </c>
    </row>
    <row r="308" spans="1:25">
      <c r="A308" s="390">
        <v>93137</v>
      </c>
      <c r="B308" s="391" t="s">
        <v>1009</v>
      </c>
      <c r="C308" s="234">
        <v>5.0000000000000004E-6</v>
      </c>
      <c r="D308" s="234">
        <v>4.7999999999999998E-6</v>
      </c>
      <c r="E308" s="231">
        <v>17867</v>
      </c>
      <c r="F308" s="231" t="s">
        <v>1924</v>
      </c>
      <c r="G308" s="392">
        <v>2256</v>
      </c>
      <c r="H308" s="392">
        <v>2514</v>
      </c>
      <c r="I308" s="392">
        <v>1330</v>
      </c>
      <c r="J308" s="231">
        <v>2339</v>
      </c>
      <c r="K308" s="231">
        <v>8439</v>
      </c>
      <c r="L308" s="231"/>
      <c r="M308" s="225">
        <v>0</v>
      </c>
      <c r="N308" s="225">
        <v>0</v>
      </c>
      <c r="O308" s="231">
        <v>0</v>
      </c>
      <c r="P308" s="231">
        <v>0</v>
      </c>
      <c r="Q308" s="231"/>
      <c r="R308" s="392">
        <v>6144</v>
      </c>
      <c r="S308" s="231">
        <v>1393</v>
      </c>
      <c r="T308" s="396">
        <v>7537</v>
      </c>
      <c r="U308" s="231"/>
      <c r="V308" s="396"/>
      <c r="W308" s="396"/>
      <c r="X308" s="396">
        <v>36250</v>
      </c>
      <c r="Y308" s="396">
        <v>2589</v>
      </c>
    </row>
    <row r="309" spans="1:25">
      <c r="A309" s="390">
        <v>93141</v>
      </c>
      <c r="B309" s="391" t="s">
        <v>1010</v>
      </c>
      <c r="C309" s="234">
        <v>3.6900000000000002E-5</v>
      </c>
      <c r="D309" s="234">
        <v>3.2499999999999997E-5</v>
      </c>
      <c r="E309" s="231">
        <v>131859</v>
      </c>
      <c r="F309" s="231" t="s">
        <v>1924</v>
      </c>
      <c r="G309" s="392">
        <v>16652</v>
      </c>
      <c r="H309" s="392">
        <v>18555</v>
      </c>
      <c r="I309" s="392">
        <v>9813</v>
      </c>
      <c r="J309" s="231">
        <v>5804</v>
      </c>
      <c r="K309" s="231">
        <v>50824</v>
      </c>
      <c r="L309" s="231"/>
      <c r="M309" s="225">
        <v>0</v>
      </c>
      <c r="N309" s="225">
        <v>0</v>
      </c>
      <c r="O309" s="231">
        <v>4307</v>
      </c>
      <c r="P309" s="231">
        <v>4307</v>
      </c>
      <c r="Q309" s="231"/>
      <c r="R309" s="392">
        <v>45345</v>
      </c>
      <c r="S309" s="231">
        <v>-990</v>
      </c>
      <c r="T309" s="396">
        <v>44355</v>
      </c>
      <c r="U309" s="231"/>
      <c r="V309" s="396"/>
      <c r="W309" s="396"/>
      <c r="X309" s="396">
        <v>267528</v>
      </c>
      <c r="Y309" s="396">
        <v>19109</v>
      </c>
    </row>
    <row r="310" spans="1:25">
      <c r="A310" s="390">
        <v>93151</v>
      </c>
      <c r="B310" s="391" t="s">
        <v>1011</v>
      </c>
      <c r="C310" s="234">
        <v>3.5359999999999998E-4</v>
      </c>
      <c r="D310" s="234">
        <v>3.7100000000000002E-4</v>
      </c>
      <c r="E310" s="231">
        <v>1263563</v>
      </c>
      <c r="F310" s="231" t="s">
        <v>1924</v>
      </c>
      <c r="G310" s="392">
        <v>159566</v>
      </c>
      <c r="H310" s="392">
        <v>177813</v>
      </c>
      <c r="I310" s="392">
        <v>94034</v>
      </c>
      <c r="J310" s="231">
        <v>13517</v>
      </c>
      <c r="K310" s="231">
        <v>444930</v>
      </c>
      <c r="L310" s="231"/>
      <c r="M310" s="225">
        <v>0</v>
      </c>
      <c r="N310" s="225">
        <v>0</v>
      </c>
      <c r="O310" s="231">
        <v>48925</v>
      </c>
      <c r="P310" s="231">
        <v>48925</v>
      </c>
      <c r="Q310" s="231"/>
      <c r="R310" s="392">
        <v>434530</v>
      </c>
      <c r="S310" s="231">
        <v>-16145</v>
      </c>
      <c r="T310" s="396">
        <v>418385</v>
      </c>
      <c r="U310" s="231"/>
      <c r="V310" s="396"/>
      <c r="W310" s="396"/>
      <c r="X310" s="396">
        <v>2563633</v>
      </c>
      <c r="Y310" s="396">
        <v>183115</v>
      </c>
    </row>
    <row r="311" spans="1:25">
      <c r="A311" s="390">
        <v>93157</v>
      </c>
      <c r="B311" s="391" t="s">
        <v>1012</v>
      </c>
      <c r="C311" s="234">
        <v>1.2799999999999999E-5</v>
      </c>
      <c r="D311" s="234">
        <v>7.9000000000000006E-6</v>
      </c>
      <c r="E311" s="231">
        <v>45740</v>
      </c>
      <c r="F311" s="231" t="s">
        <v>1924</v>
      </c>
      <c r="G311" s="392">
        <v>5776</v>
      </c>
      <c r="H311" s="392">
        <v>6436</v>
      </c>
      <c r="I311" s="392">
        <v>3404</v>
      </c>
      <c r="J311" s="231">
        <v>13073</v>
      </c>
      <c r="K311" s="231">
        <v>28689</v>
      </c>
      <c r="L311" s="231"/>
      <c r="M311" s="225">
        <v>0</v>
      </c>
      <c r="N311" s="225">
        <v>0</v>
      </c>
      <c r="O311" s="231">
        <v>0</v>
      </c>
      <c r="P311" s="231">
        <v>0</v>
      </c>
      <c r="Q311" s="231"/>
      <c r="R311" s="392">
        <v>15730</v>
      </c>
      <c r="S311" s="231">
        <v>5920</v>
      </c>
      <c r="T311" s="396">
        <v>21650</v>
      </c>
      <c r="U311" s="231"/>
      <c r="V311" s="396"/>
      <c r="W311" s="396"/>
      <c r="X311" s="396">
        <v>92801</v>
      </c>
      <c r="Y311" s="396">
        <v>6629</v>
      </c>
    </row>
    <row r="312" spans="1:25">
      <c r="A312" s="390">
        <v>93161</v>
      </c>
      <c r="B312" s="391" t="s">
        <v>1013</v>
      </c>
      <c r="C312" s="234">
        <v>1.037E-4</v>
      </c>
      <c r="D312" s="234">
        <v>1.2180000000000001E-4</v>
      </c>
      <c r="E312" s="231">
        <v>370564</v>
      </c>
      <c r="F312" s="231" t="s">
        <v>1924</v>
      </c>
      <c r="G312" s="392">
        <v>46796</v>
      </c>
      <c r="H312" s="392">
        <v>52147</v>
      </c>
      <c r="I312" s="392">
        <v>27577</v>
      </c>
      <c r="J312" s="231">
        <v>11486</v>
      </c>
      <c r="K312" s="231">
        <v>138006</v>
      </c>
      <c r="L312" s="231"/>
      <c r="M312" s="225">
        <v>0</v>
      </c>
      <c r="N312" s="225">
        <v>0</v>
      </c>
      <c r="O312" s="231">
        <v>24541</v>
      </c>
      <c r="P312" s="231">
        <v>24541</v>
      </c>
      <c r="Q312" s="231"/>
      <c r="R312" s="392">
        <v>127434</v>
      </c>
      <c r="S312" s="231">
        <v>1260</v>
      </c>
      <c r="T312" s="396">
        <v>128694</v>
      </c>
      <c r="U312" s="231"/>
      <c r="V312" s="396"/>
      <c r="W312" s="396"/>
      <c r="X312" s="396">
        <v>751835</v>
      </c>
      <c r="Y312" s="396">
        <v>53702</v>
      </c>
    </row>
    <row r="313" spans="1:25" ht="14.25" customHeight="1">
      <c r="A313" s="390">
        <v>93171</v>
      </c>
      <c r="B313" s="391" t="s">
        <v>1014</v>
      </c>
      <c r="C313" s="234">
        <v>9.0999999999999993E-6</v>
      </c>
      <c r="D313" s="234">
        <v>5.3000000000000001E-6</v>
      </c>
      <c r="E313" s="231">
        <v>32518</v>
      </c>
      <c r="F313" s="231" t="s">
        <v>1924</v>
      </c>
      <c r="G313" s="392">
        <v>4106</v>
      </c>
      <c r="H313" s="392">
        <v>4576</v>
      </c>
      <c r="I313" s="392">
        <v>2420</v>
      </c>
      <c r="J313" s="231">
        <v>9188</v>
      </c>
      <c r="K313" s="231">
        <v>20290</v>
      </c>
      <c r="L313" s="231"/>
      <c r="M313" s="225">
        <v>0</v>
      </c>
      <c r="N313" s="225">
        <v>0</v>
      </c>
      <c r="O313" s="231">
        <v>493</v>
      </c>
      <c r="P313" s="231">
        <v>493</v>
      </c>
      <c r="Q313" s="231"/>
      <c r="R313" s="392">
        <v>11183</v>
      </c>
      <c r="S313" s="231">
        <v>3155</v>
      </c>
      <c r="T313" s="396">
        <v>14338</v>
      </c>
      <c r="U313" s="231"/>
      <c r="V313" s="396"/>
      <c r="W313" s="396"/>
      <c r="X313" s="396">
        <v>65976</v>
      </c>
      <c r="Y313" s="396">
        <v>4713</v>
      </c>
    </row>
    <row r="314" spans="1:25">
      <c r="A314" s="390">
        <v>93181</v>
      </c>
      <c r="B314" s="391" t="s">
        <v>1015</v>
      </c>
      <c r="C314" s="234">
        <v>1.0000000000000001E-5</v>
      </c>
      <c r="D314" s="234">
        <v>1.04E-5</v>
      </c>
      <c r="E314" s="231">
        <v>35734</v>
      </c>
      <c r="F314" s="231" t="s">
        <v>1924</v>
      </c>
      <c r="G314" s="392">
        <v>4513</v>
      </c>
      <c r="H314" s="392">
        <v>5029</v>
      </c>
      <c r="I314" s="392">
        <v>2659</v>
      </c>
      <c r="J314" s="231">
        <v>716</v>
      </c>
      <c r="K314" s="231">
        <v>12917</v>
      </c>
      <c r="L314" s="231"/>
      <c r="M314" s="225">
        <v>0</v>
      </c>
      <c r="N314" s="225">
        <v>0</v>
      </c>
      <c r="O314" s="231">
        <v>0</v>
      </c>
      <c r="P314" s="231">
        <v>0</v>
      </c>
      <c r="Q314" s="231"/>
      <c r="R314" s="392">
        <v>12289</v>
      </c>
      <c r="S314" s="231">
        <v>342</v>
      </c>
      <c r="T314" s="396">
        <v>12631</v>
      </c>
      <c r="U314" s="231"/>
      <c r="V314" s="396"/>
      <c r="W314" s="396"/>
      <c r="X314" s="396">
        <v>72501</v>
      </c>
      <c r="Y314" s="396">
        <v>5179</v>
      </c>
    </row>
    <row r="315" spans="1:25">
      <c r="A315" s="390">
        <v>93191</v>
      </c>
      <c r="B315" s="391" t="s">
        <v>1016</v>
      </c>
      <c r="C315" s="234">
        <v>2.8900000000000001E-5</v>
      </c>
      <c r="D315" s="234">
        <v>2.34E-5</v>
      </c>
      <c r="E315" s="231">
        <v>103272</v>
      </c>
      <c r="F315" s="231" t="s">
        <v>1924</v>
      </c>
      <c r="G315" s="392">
        <v>13041</v>
      </c>
      <c r="H315" s="392">
        <v>14533</v>
      </c>
      <c r="I315" s="392">
        <v>7685</v>
      </c>
      <c r="J315" s="231">
        <v>16437</v>
      </c>
      <c r="K315" s="231">
        <v>51696</v>
      </c>
      <c r="L315" s="231"/>
      <c r="M315" s="225">
        <v>0</v>
      </c>
      <c r="N315" s="225">
        <v>0</v>
      </c>
      <c r="O315" s="231">
        <v>448</v>
      </c>
      <c r="P315" s="231">
        <v>448</v>
      </c>
      <c r="Q315" s="231"/>
      <c r="R315" s="392">
        <v>35514</v>
      </c>
      <c r="S315" s="231">
        <v>5285</v>
      </c>
      <c r="T315" s="396">
        <v>40799</v>
      </c>
      <c r="U315" s="231"/>
      <c r="V315" s="396"/>
      <c r="W315" s="396"/>
      <c r="X315" s="396">
        <v>209528</v>
      </c>
      <c r="Y315" s="396">
        <v>14966</v>
      </c>
    </row>
    <row r="316" spans="1:25">
      <c r="A316" s="390">
        <v>93201</v>
      </c>
      <c r="B316" s="391" t="s">
        <v>1017</v>
      </c>
      <c r="C316" s="234">
        <v>1.5223E-2</v>
      </c>
      <c r="D316" s="234">
        <v>1.5197799999999999E-2</v>
      </c>
      <c r="E316" s="231">
        <v>54398264</v>
      </c>
      <c r="F316" s="231" t="s">
        <v>1924</v>
      </c>
      <c r="G316" s="392">
        <v>6869546</v>
      </c>
      <c r="H316" s="392">
        <v>7655098</v>
      </c>
      <c r="I316" s="392">
        <v>4048298</v>
      </c>
      <c r="J316" s="231">
        <v>117867</v>
      </c>
      <c r="K316" s="231">
        <v>18690809</v>
      </c>
      <c r="L316" s="231"/>
      <c r="M316" s="225">
        <v>0</v>
      </c>
      <c r="N316" s="225">
        <v>0</v>
      </c>
      <c r="O316" s="231">
        <v>563917</v>
      </c>
      <c r="P316" s="231">
        <v>563917</v>
      </c>
      <c r="Q316" s="231"/>
      <c r="R316" s="392">
        <v>18707164</v>
      </c>
      <c r="S316" s="231">
        <v>-65397</v>
      </c>
      <c r="T316" s="396">
        <v>18641767</v>
      </c>
      <c r="U316" s="231"/>
      <c r="V316" s="396"/>
      <c r="W316" s="396"/>
      <c r="X316" s="396">
        <v>110368151</v>
      </c>
      <c r="Y316" s="396">
        <v>7883352</v>
      </c>
    </row>
    <row r="317" spans="1:25">
      <c r="A317" s="390">
        <v>93202</v>
      </c>
      <c r="B317" s="391" t="s">
        <v>1018</v>
      </c>
      <c r="C317" s="234">
        <v>0</v>
      </c>
      <c r="D317" s="234">
        <v>0</v>
      </c>
      <c r="E317" s="231">
        <v>0</v>
      </c>
      <c r="F317" s="231" t="s">
        <v>1924</v>
      </c>
      <c r="G317" s="392">
        <v>0</v>
      </c>
      <c r="H317" s="392">
        <v>0</v>
      </c>
      <c r="I317" s="392">
        <v>0</v>
      </c>
      <c r="J317" s="231">
        <v>0</v>
      </c>
      <c r="K317" s="231">
        <v>0</v>
      </c>
      <c r="L317" s="231"/>
      <c r="M317" s="225">
        <v>0</v>
      </c>
      <c r="N317" s="225">
        <v>0</v>
      </c>
      <c r="O317" s="231">
        <v>0</v>
      </c>
      <c r="P317" s="231">
        <v>0</v>
      </c>
      <c r="Q317" s="231"/>
      <c r="R317" s="392">
        <v>0</v>
      </c>
      <c r="S317" s="231">
        <v>-25055</v>
      </c>
      <c r="T317" s="396">
        <v>-25055</v>
      </c>
      <c r="U317" s="231"/>
      <c r="V317" s="396"/>
      <c r="W317" s="396"/>
      <c r="X317" s="396">
        <v>0</v>
      </c>
      <c r="Y317" s="396">
        <v>0</v>
      </c>
    </row>
    <row r="318" spans="1:25">
      <c r="A318" s="390">
        <v>93204</v>
      </c>
      <c r="B318" s="391" t="s">
        <v>1019</v>
      </c>
      <c r="C318" s="234">
        <v>2.6400000000000002E-4</v>
      </c>
      <c r="D318" s="234">
        <v>2.9710000000000001E-4</v>
      </c>
      <c r="E318" s="231">
        <v>943384</v>
      </c>
      <c r="F318" s="231" t="s">
        <v>1924</v>
      </c>
      <c r="G318" s="392">
        <v>119133</v>
      </c>
      <c r="H318" s="392">
        <v>132756</v>
      </c>
      <c r="I318" s="392">
        <v>70206</v>
      </c>
      <c r="J318" s="231">
        <v>17775</v>
      </c>
      <c r="K318" s="231">
        <v>339870</v>
      </c>
      <c r="L318" s="231"/>
      <c r="M318" s="225">
        <v>0</v>
      </c>
      <c r="N318" s="225">
        <v>0</v>
      </c>
      <c r="O318" s="231">
        <v>29785</v>
      </c>
      <c r="P318" s="231">
        <v>29785</v>
      </c>
      <c r="Q318" s="231"/>
      <c r="R318" s="392">
        <v>324423</v>
      </c>
      <c r="S318" s="231">
        <v>72</v>
      </c>
      <c r="T318" s="396">
        <v>324495</v>
      </c>
      <c r="U318" s="231"/>
      <c r="V318" s="396"/>
      <c r="W318" s="396"/>
      <c r="X318" s="396">
        <v>1914024</v>
      </c>
      <c r="Y318" s="396">
        <v>136715</v>
      </c>
    </row>
    <row r="319" spans="1:25">
      <c r="A319" s="390">
        <v>93209</v>
      </c>
      <c r="B319" s="391" t="s">
        <v>1020</v>
      </c>
      <c r="C319" s="234">
        <v>5.2969000000000002E-3</v>
      </c>
      <c r="D319" s="234">
        <v>5.5938000000000003E-3</v>
      </c>
      <c r="E319" s="231">
        <v>18928080</v>
      </c>
      <c r="F319" s="231" t="s">
        <v>1924</v>
      </c>
      <c r="G319" s="392">
        <v>2390284</v>
      </c>
      <c r="H319" s="392">
        <v>2663620</v>
      </c>
      <c r="I319" s="392">
        <v>1408621</v>
      </c>
      <c r="J319" s="231">
        <v>185469</v>
      </c>
      <c r="K319" s="231">
        <v>6647994</v>
      </c>
      <c r="L319" s="231"/>
      <c r="M319" s="225">
        <v>0</v>
      </c>
      <c r="N319" s="225">
        <v>0</v>
      </c>
      <c r="O319" s="231">
        <v>520470</v>
      </c>
      <c r="P319" s="231">
        <v>520470</v>
      </c>
      <c r="Q319" s="231"/>
      <c r="R319" s="392">
        <v>6509228</v>
      </c>
      <c r="S319" s="231">
        <v>1970</v>
      </c>
      <c r="T319" s="396">
        <v>6511198</v>
      </c>
      <c r="U319" s="231"/>
      <c r="V319" s="396"/>
      <c r="W319" s="396"/>
      <c r="X319" s="396">
        <v>38403012</v>
      </c>
      <c r="Y319" s="396">
        <v>2743042</v>
      </c>
    </row>
    <row r="320" spans="1:25">
      <c r="A320" s="390">
        <v>93211</v>
      </c>
      <c r="B320" s="391" t="s">
        <v>1021</v>
      </c>
      <c r="C320" s="234">
        <v>2.2128599999999998E-2</v>
      </c>
      <c r="D320" s="234">
        <v>2.16165E-2</v>
      </c>
      <c r="E320" s="231">
        <v>79074915</v>
      </c>
      <c r="F320" s="231" t="s">
        <v>1924</v>
      </c>
      <c r="G320" s="392">
        <v>9985774</v>
      </c>
      <c r="H320" s="392">
        <v>11127677</v>
      </c>
      <c r="I320" s="392">
        <v>5884725</v>
      </c>
      <c r="J320" s="231">
        <v>1381536</v>
      </c>
      <c r="K320" s="231">
        <v>28379712</v>
      </c>
      <c r="L320" s="231"/>
      <c r="M320" s="225">
        <v>0</v>
      </c>
      <c r="N320" s="225">
        <v>0</v>
      </c>
      <c r="O320" s="231">
        <v>18530</v>
      </c>
      <c r="P320" s="231">
        <v>18530</v>
      </c>
      <c r="Q320" s="231"/>
      <c r="R320" s="392">
        <v>27193283</v>
      </c>
      <c r="S320" s="231">
        <v>320365</v>
      </c>
      <c r="T320" s="396">
        <v>27513648</v>
      </c>
      <c r="U320" s="231"/>
      <c r="V320" s="396"/>
      <c r="W320" s="396"/>
      <c r="X320" s="396">
        <v>160434386</v>
      </c>
      <c r="Y320" s="396">
        <v>11459473</v>
      </c>
    </row>
    <row r="321" spans="1:25">
      <c r="A321" s="390">
        <v>93212</v>
      </c>
      <c r="B321" s="391" t="s">
        <v>1022</v>
      </c>
      <c r="C321" s="234">
        <v>2.8699999999999998E-4</v>
      </c>
      <c r="D321" s="234">
        <v>2.3910000000000001E-4</v>
      </c>
      <c r="E321" s="231">
        <v>1025573</v>
      </c>
      <c r="F321" s="231" t="s">
        <v>1924</v>
      </c>
      <c r="G321" s="392">
        <v>129512</v>
      </c>
      <c r="H321" s="392">
        <v>144322</v>
      </c>
      <c r="I321" s="392">
        <v>76323</v>
      </c>
      <c r="J321" s="231">
        <v>182915</v>
      </c>
      <c r="K321" s="231">
        <v>533072</v>
      </c>
      <c r="L321" s="231"/>
      <c r="M321" s="225">
        <v>0</v>
      </c>
      <c r="N321" s="225">
        <v>0</v>
      </c>
      <c r="O321" s="231">
        <v>0</v>
      </c>
      <c r="P321" s="231">
        <v>0</v>
      </c>
      <c r="Q321" s="231"/>
      <c r="R321" s="392">
        <v>352687</v>
      </c>
      <c r="S321" s="231">
        <v>99689</v>
      </c>
      <c r="T321" s="396">
        <v>452376</v>
      </c>
      <c r="U321" s="231"/>
      <c r="V321" s="396"/>
      <c r="W321" s="396"/>
      <c r="X321" s="396">
        <v>2080776</v>
      </c>
      <c r="Y321" s="396">
        <v>148625</v>
      </c>
    </row>
    <row r="322" spans="1:25">
      <c r="A322" s="390">
        <v>93219</v>
      </c>
      <c r="B322" s="391" t="s">
        <v>1023</v>
      </c>
      <c r="C322" s="234">
        <v>2.5789999999999998E-4</v>
      </c>
      <c r="D322" s="234">
        <v>2.6229999999999998E-4</v>
      </c>
      <c r="E322" s="231">
        <v>921587</v>
      </c>
      <c r="F322" s="231" t="s">
        <v>1924</v>
      </c>
      <c r="G322" s="392">
        <v>116380</v>
      </c>
      <c r="H322" s="392">
        <v>129689</v>
      </c>
      <c r="I322" s="392">
        <v>68584</v>
      </c>
      <c r="J322" s="231">
        <v>23084</v>
      </c>
      <c r="K322" s="231">
        <v>337737</v>
      </c>
      <c r="L322" s="231"/>
      <c r="M322" s="225">
        <v>0</v>
      </c>
      <c r="N322" s="225">
        <v>0</v>
      </c>
      <c r="O322" s="231">
        <v>1228</v>
      </c>
      <c r="P322" s="231">
        <v>1228</v>
      </c>
      <c r="Q322" s="231"/>
      <c r="R322" s="392">
        <v>316927</v>
      </c>
      <c r="S322" s="231">
        <v>9816</v>
      </c>
      <c r="T322" s="396">
        <v>326743</v>
      </c>
      <c r="U322" s="231"/>
      <c r="V322" s="396"/>
      <c r="W322" s="396"/>
      <c r="X322" s="396">
        <v>1869799</v>
      </c>
      <c r="Y322" s="396">
        <v>133556</v>
      </c>
    </row>
    <row r="323" spans="1:25">
      <c r="A323" s="390">
        <v>93301</v>
      </c>
      <c r="B323" s="391" t="s">
        <v>1024</v>
      </c>
      <c r="C323" s="234">
        <v>2.1819999999999999E-3</v>
      </c>
      <c r="D323" s="234">
        <v>2.2057999999999999E-3</v>
      </c>
      <c r="E323" s="231">
        <v>7797216</v>
      </c>
      <c r="F323" s="231" t="s">
        <v>1924</v>
      </c>
      <c r="G323" s="392">
        <v>984652</v>
      </c>
      <c r="H323" s="392">
        <v>1097250</v>
      </c>
      <c r="I323" s="392">
        <v>580266</v>
      </c>
      <c r="J323" s="231">
        <v>12466</v>
      </c>
      <c r="K323" s="231">
        <v>2674634</v>
      </c>
      <c r="L323" s="231"/>
      <c r="M323" s="225">
        <v>0</v>
      </c>
      <c r="N323" s="225">
        <v>0</v>
      </c>
      <c r="O323" s="231">
        <v>136768</v>
      </c>
      <c r="P323" s="231">
        <v>136768</v>
      </c>
      <c r="Q323" s="231"/>
      <c r="R323" s="392">
        <v>2681405</v>
      </c>
      <c r="S323" s="231">
        <v>-43282</v>
      </c>
      <c r="T323" s="396">
        <v>2638123</v>
      </c>
      <c r="U323" s="231"/>
      <c r="V323" s="396"/>
      <c r="W323" s="396"/>
      <c r="X323" s="396">
        <v>15819701</v>
      </c>
      <c r="Y323" s="396">
        <v>1129966</v>
      </c>
    </row>
    <row r="324" spans="1:25">
      <c r="A324" s="390">
        <v>93304</v>
      </c>
      <c r="B324" s="391" t="s">
        <v>1025</v>
      </c>
      <c r="C324" s="234">
        <v>3.8099999999999998E-5</v>
      </c>
      <c r="D324" s="234">
        <v>3.9400000000000002E-5</v>
      </c>
      <c r="E324" s="231">
        <v>136148</v>
      </c>
      <c r="F324" s="231" t="s">
        <v>1924</v>
      </c>
      <c r="G324" s="392">
        <v>17193</v>
      </c>
      <c r="H324" s="392">
        <v>19159</v>
      </c>
      <c r="I324" s="392">
        <v>10132</v>
      </c>
      <c r="J324" s="231">
        <v>14259</v>
      </c>
      <c r="K324" s="231">
        <v>60743</v>
      </c>
      <c r="L324" s="231"/>
      <c r="M324" s="225">
        <v>0</v>
      </c>
      <c r="N324" s="225">
        <v>0</v>
      </c>
      <c r="O324" s="231">
        <v>0</v>
      </c>
      <c r="P324" s="231">
        <v>0</v>
      </c>
      <c r="Q324" s="231"/>
      <c r="R324" s="392">
        <v>46820</v>
      </c>
      <c r="S324" s="231">
        <v>5876</v>
      </c>
      <c r="T324" s="396">
        <v>52696</v>
      </c>
      <c r="U324" s="231"/>
      <c r="V324" s="396"/>
      <c r="W324" s="396"/>
      <c r="X324" s="396">
        <v>276229</v>
      </c>
      <c r="Y324" s="396">
        <v>19730</v>
      </c>
    </row>
    <row r="325" spans="1:25">
      <c r="A325" s="390">
        <v>93305</v>
      </c>
      <c r="B325" s="391" t="s">
        <v>1026</v>
      </c>
      <c r="C325" s="234">
        <v>3.43E-5</v>
      </c>
      <c r="D325" s="234">
        <v>4.0299999999999997E-5</v>
      </c>
      <c r="E325" s="231">
        <v>122569</v>
      </c>
      <c r="F325" s="231" t="s">
        <v>1924</v>
      </c>
      <c r="G325" s="392">
        <v>15478</v>
      </c>
      <c r="H325" s="392">
        <v>17248</v>
      </c>
      <c r="I325" s="392">
        <v>9122</v>
      </c>
      <c r="J325" s="231">
        <v>0</v>
      </c>
      <c r="K325" s="231">
        <v>41848</v>
      </c>
      <c r="L325" s="231"/>
      <c r="M325" s="225">
        <v>0</v>
      </c>
      <c r="N325" s="225">
        <v>0</v>
      </c>
      <c r="O325" s="231">
        <v>11550</v>
      </c>
      <c r="P325" s="231">
        <v>11550</v>
      </c>
      <c r="Q325" s="231"/>
      <c r="R325" s="392">
        <v>42150</v>
      </c>
      <c r="S325" s="231">
        <v>-5136</v>
      </c>
      <c r="T325" s="396">
        <v>37014</v>
      </c>
      <c r="U325" s="231"/>
      <c r="V325" s="396"/>
      <c r="W325" s="396"/>
      <c r="X325" s="396">
        <v>248678</v>
      </c>
      <c r="Y325" s="396">
        <v>17763</v>
      </c>
    </row>
    <row r="326" spans="1:25">
      <c r="A326" s="390">
        <v>93309</v>
      </c>
      <c r="B326" s="391" t="s">
        <v>1027</v>
      </c>
      <c r="C326" s="234">
        <v>1.6670000000000001E-4</v>
      </c>
      <c r="D326" s="234">
        <v>1.6239999999999999E-4</v>
      </c>
      <c r="E326" s="231">
        <v>595690</v>
      </c>
      <c r="F326" s="231" t="s">
        <v>1924</v>
      </c>
      <c r="G326" s="392">
        <v>75225</v>
      </c>
      <c r="H326" s="392">
        <v>83828</v>
      </c>
      <c r="I326" s="392">
        <v>44331</v>
      </c>
      <c r="J326" s="231">
        <v>32881</v>
      </c>
      <c r="K326" s="231">
        <v>236265</v>
      </c>
      <c r="L326" s="231"/>
      <c r="M326" s="225">
        <v>0</v>
      </c>
      <c r="N326" s="225">
        <v>0</v>
      </c>
      <c r="O326" s="231">
        <v>0</v>
      </c>
      <c r="P326" s="231">
        <v>0</v>
      </c>
      <c r="Q326" s="231"/>
      <c r="R326" s="392">
        <v>204853</v>
      </c>
      <c r="S326" s="231">
        <v>17042</v>
      </c>
      <c r="T326" s="396">
        <v>221895</v>
      </c>
      <c r="U326" s="231"/>
      <c r="V326" s="396"/>
      <c r="W326" s="396"/>
      <c r="X326" s="396">
        <v>1208590</v>
      </c>
      <c r="Y326" s="396">
        <v>86327</v>
      </c>
    </row>
    <row r="327" spans="1:25">
      <c r="A327" s="390">
        <v>93311</v>
      </c>
      <c r="B327" s="391" t="s">
        <v>1028</v>
      </c>
      <c r="C327" s="234">
        <v>1.3213000000000001E-3</v>
      </c>
      <c r="D327" s="234">
        <v>1.2413999999999999E-3</v>
      </c>
      <c r="E327" s="231">
        <v>4721568</v>
      </c>
      <c r="F327" s="231" t="s">
        <v>1924</v>
      </c>
      <c r="G327" s="392">
        <v>596251</v>
      </c>
      <c r="H327" s="392">
        <v>664434</v>
      </c>
      <c r="I327" s="392">
        <v>351377</v>
      </c>
      <c r="J327" s="231">
        <v>62657</v>
      </c>
      <c r="K327" s="231">
        <v>1674719</v>
      </c>
      <c r="L327" s="231"/>
      <c r="M327" s="225">
        <v>0</v>
      </c>
      <c r="N327" s="225">
        <v>0</v>
      </c>
      <c r="O327" s="231">
        <v>42915</v>
      </c>
      <c r="P327" s="231">
        <v>42915</v>
      </c>
      <c r="Q327" s="231"/>
      <c r="R327" s="392">
        <v>1623713</v>
      </c>
      <c r="S327" s="231">
        <v>-9384</v>
      </c>
      <c r="T327" s="396">
        <v>1614329</v>
      </c>
      <c r="U327" s="231"/>
      <c r="V327" s="396"/>
      <c r="W327" s="396"/>
      <c r="X327" s="396">
        <v>9579547</v>
      </c>
      <c r="Y327" s="396">
        <v>684246</v>
      </c>
    </row>
    <row r="328" spans="1:25">
      <c r="A328" s="390">
        <v>93317</v>
      </c>
      <c r="B328" s="391" t="s">
        <v>1029</v>
      </c>
      <c r="C328" s="234">
        <v>4.5300000000000003E-5</v>
      </c>
      <c r="D328" s="234">
        <v>4.1199999999999999E-5</v>
      </c>
      <c r="E328" s="231">
        <v>161876</v>
      </c>
      <c r="F328" s="231" t="s">
        <v>1924</v>
      </c>
      <c r="G328" s="392">
        <v>20442</v>
      </c>
      <c r="H328" s="392">
        <v>22779</v>
      </c>
      <c r="I328" s="392">
        <v>12047</v>
      </c>
      <c r="J328" s="231">
        <v>7274</v>
      </c>
      <c r="K328" s="231">
        <v>62542</v>
      </c>
      <c r="L328" s="231"/>
      <c r="M328" s="225">
        <v>0</v>
      </c>
      <c r="N328" s="225">
        <v>0</v>
      </c>
      <c r="O328" s="231">
        <v>4477</v>
      </c>
      <c r="P328" s="231">
        <v>4477</v>
      </c>
      <c r="Q328" s="231"/>
      <c r="R328" s="392">
        <v>55668</v>
      </c>
      <c r="S328" s="231">
        <v>878</v>
      </c>
      <c r="T328" s="396">
        <v>56546</v>
      </c>
      <c r="U328" s="231"/>
      <c r="V328" s="396"/>
      <c r="W328" s="396"/>
      <c r="X328" s="396">
        <v>328429</v>
      </c>
      <c r="Y328" s="396">
        <v>23459</v>
      </c>
    </row>
    <row r="329" spans="1:25">
      <c r="A329" s="390">
        <v>93321</v>
      </c>
      <c r="B329" s="391" t="s">
        <v>1030</v>
      </c>
      <c r="C329" s="234">
        <v>6.6553999999999997E-3</v>
      </c>
      <c r="D329" s="234">
        <v>6.7971999999999998E-3</v>
      </c>
      <c r="E329" s="231">
        <v>23782579</v>
      </c>
      <c r="F329" s="231" t="s">
        <v>1924</v>
      </c>
      <c r="G329" s="392">
        <v>3003322</v>
      </c>
      <c r="H329" s="392">
        <v>3346761</v>
      </c>
      <c r="I329" s="392">
        <v>1769890</v>
      </c>
      <c r="J329" s="231">
        <v>0</v>
      </c>
      <c r="K329" s="231">
        <v>8119973</v>
      </c>
      <c r="L329" s="231"/>
      <c r="M329" s="225">
        <v>0</v>
      </c>
      <c r="N329" s="225">
        <v>0</v>
      </c>
      <c r="O329" s="231">
        <v>561671</v>
      </c>
      <c r="P329" s="231">
        <v>561671</v>
      </c>
      <c r="Q329" s="231"/>
      <c r="R329" s="392">
        <v>8178655</v>
      </c>
      <c r="S329" s="231">
        <v>-314812</v>
      </c>
      <c r="T329" s="396">
        <v>7863843</v>
      </c>
      <c r="U329" s="231"/>
      <c r="V329" s="396"/>
      <c r="W329" s="396"/>
      <c r="X329" s="396">
        <v>48252262</v>
      </c>
      <c r="Y329" s="396">
        <v>3446552</v>
      </c>
    </row>
    <row r="330" spans="1:25">
      <c r="A330" s="390">
        <v>93323</v>
      </c>
      <c r="B330" s="391" t="s">
        <v>1031</v>
      </c>
      <c r="C330" s="234">
        <v>3.2199999999999997E-5</v>
      </c>
      <c r="D330" s="234">
        <v>2.0100000000000001E-5</v>
      </c>
      <c r="E330" s="231">
        <v>115064</v>
      </c>
      <c r="F330" s="231" t="s">
        <v>1924</v>
      </c>
      <c r="G330" s="392">
        <v>14531</v>
      </c>
      <c r="H330" s="392">
        <v>16193</v>
      </c>
      <c r="I330" s="392">
        <v>8563</v>
      </c>
      <c r="J330" s="231">
        <v>18586</v>
      </c>
      <c r="K330" s="231">
        <v>57873</v>
      </c>
      <c r="L330" s="231"/>
      <c r="M330" s="225">
        <v>0</v>
      </c>
      <c r="N330" s="225">
        <v>0</v>
      </c>
      <c r="O330" s="231">
        <v>1430</v>
      </c>
      <c r="P330" s="231">
        <v>1430</v>
      </c>
      <c r="Q330" s="231"/>
      <c r="R330" s="392">
        <v>39570</v>
      </c>
      <c r="S330" s="231">
        <v>6388</v>
      </c>
      <c r="T330" s="396">
        <v>45958</v>
      </c>
      <c r="U330" s="231"/>
      <c r="V330" s="396"/>
      <c r="W330" s="396"/>
      <c r="X330" s="396">
        <v>233453</v>
      </c>
      <c r="Y330" s="396">
        <v>16675</v>
      </c>
    </row>
    <row r="331" spans="1:25">
      <c r="A331" s="390">
        <v>93331</v>
      </c>
      <c r="B331" s="391" t="s">
        <v>1032</v>
      </c>
      <c r="C331" s="234">
        <v>1.3310000000000001E-4</v>
      </c>
      <c r="D331" s="234">
        <v>1.161E-4</v>
      </c>
      <c r="E331" s="231">
        <v>475623</v>
      </c>
      <c r="F331" s="231" t="s">
        <v>1924</v>
      </c>
      <c r="G331" s="392">
        <v>60063</v>
      </c>
      <c r="H331" s="392">
        <v>66931</v>
      </c>
      <c r="I331" s="392">
        <v>35396</v>
      </c>
      <c r="J331" s="231">
        <v>26416</v>
      </c>
      <c r="K331" s="231">
        <v>188806</v>
      </c>
      <c r="L331" s="231"/>
      <c r="M331" s="225">
        <v>0</v>
      </c>
      <c r="N331" s="225">
        <v>0</v>
      </c>
      <c r="O331" s="231">
        <v>6272</v>
      </c>
      <c r="P331" s="231">
        <v>6272</v>
      </c>
      <c r="Q331" s="231"/>
      <c r="R331" s="392">
        <v>163563</v>
      </c>
      <c r="S331" s="231">
        <v>6397</v>
      </c>
      <c r="T331" s="396">
        <v>169960</v>
      </c>
      <c r="U331" s="231"/>
      <c r="V331" s="396"/>
      <c r="W331" s="396"/>
      <c r="X331" s="396">
        <v>964987</v>
      </c>
      <c r="Y331" s="396">
        <v>68927</v>
      </c>
    </row>
    <row r="332" spans="1:25">
      <c r="A332" s="390">
        <v>93333</v>
      </c>
      <c r="B332" s="391" t="s">
        <v>1033</v>
      </c>
      <c r="C332" s="234">
        <v>1.7919999999999999E-4</v>
      </c>
      <c r="D332" s="234">
        <v>1.6660000000000001E-4</v>
      </c>
      <c r="E332" s="231">
        <v>640358</v>
      </c>
      <c r="F332" s="231" t="s">
        <v>1924</v>
      </c>
      <c r="G332" s="392">
        <v>80866</v>
      </c>
      <c r="H332" s="392">
        <v>90113</v>
      </c>
      <c r="I332" s="392">
        <v>47655</v>
      </c>
      <c r="J332" s="231">
        <v>93393</v>
      </c>
      <c r="K332" s="231">
        <v>312027</v>
      </c>
      <c r="L332" s="231"/>
      <c r="M332" s="225">
        <v>0</v>
      </c>
      <c r="N332" s="225">
        <v>0</v>
      </c>
      <c r="O332" s="231">
        <v>0</v>
      </c>
      <c r="P332" s="231">
        <v>0</v>
      </c>
      <c r="Q332" s="231"/>
      <c r="R332" s="392">
        <v>220214</v>
      </c>
      <c r="S332" s="231">
        <v>63246</v>
      </c>
      <c r="T332" s="396">
        <v>283460</v>
      </c>
      <c r="U332" s="231"/>
      <c r="V332" s="396"/>
      <c r="W332" s="396"/>
      <c r="X332" s="396">
        <v>1299216</v>
      </c>
      <c r="Y332" s="396">
        <v>92800</v>
      </c>
    </row>
    <row r="333" spans="1:25">
      <c r="A333" s="390">
        <v>93341</v>
      </c>
      <c r="B333" s="391" t="s">
        <v>1034</v>
      </c>
      <c r="C333" s="234">
        <v>2.6100000000000001E-5</v>
      </c>
      <c r="D333" s="234">
        <v>2.9300000000000001E-5</v>
      </c>
      <c r="E333" s="231">
        <v>93266</v>
      </c>
      <c r="F333" s="231" t="s">
        <v>1924</v>
      </c>
      <c r="G333" s="392">
        <v>11778</v>
      </c>
      <c r="H333" s="392">
        <v>13125</v>
      </c>
      <c r="I333" s="392">
        <v>6941</v>
      </c>
      <c r="J333" s="231">
        <v>3286</v>
      </c>
      <c r="K333" s="231">
        <v>35130</v>
      </c>
      <c r="L333" s="231"/>
      <c r="M333" s="225">
        <v>0</v>
      </c>
      <c r="N333" s="225">
        <v>0</v>
      </c>
      <c r="O333" s="231">
        <v>3323</v>
      </c>
      <c r="P333" s="231">
        <v>3323</v>
      </c>
      <c r="Q333" s="231"/>
      <c r="R333" s="392">
        <v>32074</v>
      </c>
      <c r="S333" s="231">
        <v>505</v>
      </c>
      <c r="T333" s="396">
        <v>32579</v>
      </c>
      <c r="U333" s="231"/>
      <c r="V333" s="396"/>
      <c r="W333" s="396"/>
      <c r="X333" s="396">
        <v>189227</v>
      </c>
      <c r="Y333" s="396">
        <v>13516</v>
      </c>
    </row>
    <row r="334" spans="1:25">
      <c r="A334" s="390">
        <v>93351</v>
      </c>
      <c r="B334" s="391" t="s">
        <v>1035</v>
      </c>
      <c r="C334" s="234">
        <v>3.1000000000000001E-5</v>
      </c>
      <c r="D334" s="234">
        <v>3.1600000000000002E-5</v>
      </c>
      <c r="E334" s="231">
        <v>110776</v>
      </c>
      <c r="F334" s="231" t="s">
        <v>1924</v>
      </c>
      <c r="G334" s="392">
        <v>13989</v>
      </c>
      <c r="H334" s="392">
        <v>15589</v>
      </c>
      <c r="I334" s="392">
        <v>8244</v>
      </c>
      <c r="J334" s="231">
        <v>7987</v>
      </c>
      <c r="K334" s="231">
        <v>45809</v>
      </c>
      <c r="L334" s="231"/>
      <c r="M334" s="225">
        <v>0</v>
      </c>
      <c r="N334" s="225">
        <v>0</v>
      </c>
      <c r="O334" s="231">
        <v>6978</v>
      </c>
      <c r="P334" s="231">
        <v>6978</v>
      </c>
      <c r="Q334" s="231"/>
      <c r="R334" s="392">
        <v>38095</v>
      </c>
      <c r="S334" s="231">
        <v>3423</v>
      </c>
      <c r="T334" s="396">
        <v>41518</v>
      </c>
      <c r="U334" s="231"/>
      <c r="V334" s="396"/>
      <c r="W334" s="396"/>
      <c r="X334" s="396">
        <v>224753</v>
      </c>
      <c r="Y334" s="396">
        <v>16054</v>
      </c>
    </row>
    <row r="335" spans="1:25">
      <c r="A335" s="390">
        <v>93401</v>
      </c>
      <c r="B335" s="391" t="s">
        <v>1036</v>
      </c>
      <c r="C335" s="234">
        <v>1.37587E-2</v>
      </c>
      <c r="D335" s="234">
        <v>1.3690799999999999E-2</v>
      </c>
      <c r="E335" s="231">
        <v>49165696</v>
      </c>
      <c r="F335" s="231" t="s">
        <v>1924</v>
      </c>
      <c r="G335" s="392">
        <v>6208765</v>
      </c>
      <c r="H335" s="392">
        <v>6918755</v>
      </c>
      <c r="I335" s="392">
        <v>3658892</v>
      </c>
      <c r="J335" s="231">
        <v>264129</v>
      </c>
      <c r="K335" s="231">
        <v>17050541</v>
      </c>
      <c r="L335" s="231"/>
      <c r="M335" s="225">
        <v>0</v>
      </c>
      <c r="N335" s="225">
        <v>0</v>
      </c>
      <c r="O335" s="231">
        <v>203390</v>
      </c>
      <c r="P335" s="231">
        <v>203390</v>
      </c>
      <c r="Q335" s="231"/>
      <c r="R335" s="392">
        <v>16907722</v>
      </c>
      <c r="S335" s="231">
        <v>5930</v>
      </c>
      <c r="T335" s="396">
        <v>16913652</v>
      </c>
      <c r="U335" s="231"/>
      <c r="V335" s="396"/>
      <c r="W335" s="396"/>
      <c r="X335" s="396">
        <v>99751841</v>
      </c>
      <c r="Y335" s="396">
        <v>7125053</v>
      </c>
    </row>
    <row r="336" spans="1:25">
      <c r="A336" s="390">
        <v>93402</v>
      </c>
      <c r="B336" s="391" t="s">
        <v>1037</v>
      </c>
      <c r="C336" s="234">
        <v>0</v>
      </c>
      <c r="D336" s="234">
        <v>0</v>
      </c>
      <c r="E336" s="231">
        <v>0</v>
      </c>
      <c r="F336" s="231" t="s">
        <v>1924</v>
      </c>
      <c r="G336" s="392">
        <v>0</v>
      </c>
      <c r="H336" s="392">
        <v>0</v>
      </c>
      <c r="I336" s="392">
        <v>0</v>
      </c>
      <c r="J336" s="231">
        <v>0</v>
      </c>
      <c r="K336" s="231">
        <v>0</v>
      </c>
      <c r="L336" s="231"/>
      <c r="M336" s="225">
        <v>0</v>
      </c>
      <c r="N336" s="225">
        <v>0</v>
      </c>
      <c r="O336" s="231">
        <v>52928</v>
      </c>
      <c r="P336" s="231">
        <v>52928</v>
      </c>
      <c r="Q336" s="231"/>
      <c r="R336" s="392">
        <v>0</v>
      </c>
      <c r="S336" s="231">
        <v>-19132</v>
      </c>
      <c r="T336" s="396">
        <v>-19132</v>
      </c>
      <c r="U336" s="231"/>
      <c r="V336" s="396"/>
      <c r="W336" s="396"/>
      <c r="X336" s="396">
        <v>0</v>
      </c>
      <c r="Y336" s="396">
        <v>0</v>
      </c>
    </row>
    <row r="337" spans="1:25">
      <c r="A337" s="390">
        <v>93406</v>
      </c>
      <c r="B337" s="391" t="s">
        <v>1038</v>
      </c>
      <c r="C337" s="234">
        <v>4.996E-4</v>
      </c>
      <c r="D337" s="234">
        <v>4.9350000000000002E-4</v>
      </c>
      <c r="E337" s="231">
        <v>1785284</v>
      </c>
      <c r="F337" s="231" t="s">
        <v>1924</v>
      </c>
      <c r="G337" s="392">
        <v>225450</v>
      </c>
      <c r="H337" s="392">
        <v>251231</v>
      </c>
      <c r="I337" s="392">
        <v>132860</v>
      </c>
      <c r="J337" s="231">
        <v>39822</v>
      </c>
      <c r="K337" s="231">
        <v>649363</v>
      </c>
      <c r="L337" s="231"/>
      <c r="M337" s="225">
        <v>0</v>
      </c>
      <c r="N337" s="225">
        <v>0</v>
      </c>
      <c r="O337" s="231">
        <v>58901</v>
      </c>
      <c r="P337" s="231">
        <v>58901</v>
      </c>
      <c r="Q337" s="231"/>
      <c r="R337" s="392">
        <v>613946</v>
      </c>
      <c r="S337" s="231">
        <v>-20702</v>
      </c>
      <c r="T337" s="396">
        <v>593244</v>
      </c>
      <c r="U337" s="231"/>
      <c r="V337" s="396"/>
      <c r="W337" s="396"/>
      <c r="X337" s="396">
        <v>3622146</v>
      </c>
      <c r="Y337" s="396">
        <v>258722</v>
      </c>
    </row>
    <row r="338" spans="1:25">
      <c r="A338" s="390">
        <v>93408</v>
      </c>
      <c r="B338" s="391" t="s">
        <v>1039</v>
      </c>
      <c r="C338" s="234">
        <v>0</v>
      </c>
      <c r="D338" s="234">
        <v>0</v>
      </c>
      <c r="E338" s="231">
        <v>0</v>
      </c>
      <c r="F338" s="231" t="s">
        <v>1924</v>
      </c>
      <c r="G338" s="392">
        <v>0</v>
      </c>
      <c r="H338" s="392">
        <v>0</v>
      </c>
      <c r="I338" s="392">
        <v>0</v>
      </c>
      <c r="J338" s="231">
        <v>0</v>
      </c>
      <c r="K338" s="231">
        <v>0</v>
      </c>
      <c r="L338" s="231"/>
      <c r="M338" s="225">
        <v>0</v>
      </c>
      <c r="N338" s="225">
        <v>0</v>
      </c>
      <c r="O338" s="231">
        <v>303143</v>
      </c>
      <c r="P338" s="231">
        <v>303143</v>
      </c>
      <c r="Q338" s="231"/>
      <c r="R338" s="392">
        <v>0</v>
      </c>
      <c r="S338" s="231">
        <v>-421153</v>
      </c>
      <c r="T338" s="396">
        <v>-421153</v>
      </c>
      <c r="U338" s="231"/>
      <c r="V338" s="396"/>
      <c r="W338" s="396"/>
      <c r="X338" s="396">
        <v>0</v>
      </c>
      <c r="Y338" s="396">
        <v>0</v>
      </c>
    </row>
    <row r="339" spans="1:25">
      <c r="A339" s="390">
        <v>93411</v>
      </c>
      <c r="B339" s="391" t="s">
        <v>1040</v>
      </c>
      <c r="C339" s="234">
        <v>1.78316E-2</v>
      </c>
      <c r="D339" s="234">
        <v>1.77345E-2</v>
      </c>
      <c r="E339" s="231">
        <v>63719903</v>
      </c>
      <c r="F339" s="231" t="s">
        <v>1924</v>
      </c>
      <c r="G339" s="392">
        <v>8046706</v>
      </c>
      <c r="H339" s="392">
        <v>8966869</v>
      </c>
      <c r="I339" s="392">
        <v>4742011</v>
      </c>
      <c r="J339" s="231">
        <v>632663</v>
      </c>
      <c r="K339" s="231">
        <v>22388249</v>
      </c>
      <c r="L339" s="231"/>
      <c r="M339" s="225">
        <v>0</v>
      </c>
      <c r="N339" s="225">
        <v>0</v>
      </c>
      <c r="O339" s="231">
        <v>196858</v>
      </c>
      <c r="P339" s="231">
        <v>196858</v>
      </c>
      <c r="Q339" s="231"/>
      <c r="R339" s="392">
        <v>21912807</v>
      </c>
      <c r="S339" s="231">
        <v>141173</v>
      </c>
      <c r="T339" s="396">
        <v>22053980</v>
      </c>
      <c r="U339" s="231"/>
      <c r="V339" s="396"/>
      <c r="W339" s="396"/>
      <c r="X339" s="396">
        <v>129280741</v>
      </c>
      <c r="Y339" s="396">
        <v>9234237</v>
      </c>
    </row>
    <row r="340" spans="1:25">
      <c r="A340" s="390">
        <v>93413</v>
      </c>
      <c r="B340" s="391" t="s">
        <v>1041</v>
      </c>
      <c r="C340" s="234">
        <v>6.7969999999999999E-4</v>
      </c>
      <c r="D340" s="234">
        <v>6.9559999999999999E-4</v>
      </c>
      <c r="E340" s="231">
        <v>2428858</v>
      </c>
      <c r="F340" s="231" t="s">
        <v>1924</v>
      </c>
      <c r="G340" s="392">
        <v>306722</v>
      </c>
      <c r="H340" s="392">
        <v>341796</v>
      </c>
      <c r="I340" s="392">
        <v>180755</v>
      </c>
      <c r="J340" s="231">
        <v>1186</v>
      </c>
      <c r="K340" s="231">
        <v>830459</v>
      </c>
      <c r="L340" s="231"/>
      <c r="M340" s="225">
        <v>0</v>
      </c>
      <c r="N340" s="225">
        <v>0</v>
      </c>
      <c r="O340" s="231">
        <v>16630</v>
      </c>
      <c r="P340" s="231">
        <v>16630</v>
      </c>
      <c r="Q340" s="231"/>
      <c r="R340" s="392">
        <v>835266</v>
      </c>
      <c r="S340" s="231">
        <v>-10991</v>
      </c>
      <c r="T340" s="396">
        <v>824275</v>
      </c>
      <c r="U340" s="231"/>
      <c r="V340" s="396"/>
      <c r="W340" s="396"/>
      <c r="X340" s="396">
        <v>4927888</v>
      </c>
      <c r="Y340" s="396">
        <v>351988</v>
      </c>
    </row>
    <row r="341" spans="1:25">
      <c r="A341" s="390">
        <v>93417</v>
      </c>
      <c r="B341" s="391" t="s">
        <v>1042</v>
      </c>
      <c r="C341" s="234">
        <v>2.876E-4</v>
      </c>
      <c r="D341" s="234">
        <v>2.8659999999999997E-4</v>
      </c>
      <c r="E341" s="231">
        <v>1027717</v>
      </c>
      <c r="F341" s="231" t="s">
        <v>1924</v>
      </c>
      <c r="G341" s="392">
        <v>129783</v>
      </c>
      <c r="H341" s="392">
        <v>144624</v>
      </c>
      <c r="I341" s="392">
        <v>76482</v>
      </c>
      <c r="J341" s="231">
        <v>44190</v>
      </c>
      <c r="K341" s="231">
        <v>395079</v>
      </c>
      <c r="L341" s="231"/>
      <c r="M341" s="225">
        <v>0</v>
      </c>
      <c r="N341" s="225">
        <v>0</v>
      </c>
      <c r="O341" s="231">
        <v>10564</v>
      </c>
      <c r="P341" s="231">
        <v>10564</v>
      </c>
      <c r="Q341" s="231"/>
      <c r="R341" s="392">
        <v>353424</v>
      </c>
      <c r="S341" s="231">
        <v>6916</v>
      </c>
      <c r="T341" s="396">
        <v>360340</v>
      </c>
      <c r="U341" s="231"/>
      <c r="V341" s="396"/>
      <c r="W341" s="396"/>
      <c r="X341" s="396">
        <v>2085126</v>
      </c>
      <c r="Y341" s="396">
        <v>148936</v>
      </c>
    </row>
    <row r="342" spans="1:25">
      <c r="A342" s="390">
        <v>93421</v>
      </c>
      <c r="B342" s="391" t="s">
        <v>1043</v>
      </c>
      <c r="C342" s="234">
        <v>2.0282999999999998E-3</v>
      </c>
      <c r="D342" s="234">
        <v>2.0569E-3</v>
      </c>
      <c r="E342" s="231">
        <v>7247980</v>
      </c>
      <c r="F342" s="231" t="s">
        <v>1924</v>
      </c>
      <c r="G342" s="392">
        <v>915293</v>
      </c>
      <c r="H342" s="392">
        <v>1019959</v>
      </c>
      <c r="I342" s="392">
        <v>539392</v>
      </c>
      <c r="J342" s="231">
        <v>0</v>
      </c>
      <c r="K342" s="231">
        <v>2474644</v>
      </c>
      <c r="L342" s="231"/>
      <c r="M342" s="225">
        <v>0</v>
      </c>
      <c r="N342" s="225">
        <v>0</v>
      </c>
      <c r="O342" s="231">
        <v>241204</v>
      </c>
      <c r="P342" s="231">
        <v>241204</v>
      </c>
      <c r="Q342" s="231"/>
      <c r="R342" s="392">
        <v>2492527</v>
      </c>
      <c r="S342" s="231">
        <v>-127919</v>
      </c>
      <c r="T342" s="396">
        <v>2364608</v>
      </c>
      <c r="U342" s="231"/>
      <c r="V342" s="396"/>
      <c r="W342" s="396"/>
      <c r="X342" s="396">
        <v>14705362</v>
      </c>
      <c r="Y342" s="396">
        <v>1050371</v>
      </c>
    </row>
    <row r="343" spans="1:25">
      <c r="A343" s="390">
        <v>93431</v>
      </c>
      <c r="B343" s="391" t="s">
        <v>1044</v>
      </c>
      <c r="C343" s="234">
        <v>1.349E-4</v>
      </c>
      <c r="D343" s="234">
        <v>1.381E-4</v>
      </c>
      <c r="E343" s="231">
        <v>482055</v>
      </c>
      <c r="F343" s="231" t="s">
        <v>1924</v>
      </c>
      <c r="G343" s="392">
        <v>60875</v>
      </c>
      <c r="H343" s="392">
        <v>67836</v>
      </c>
      <c r="I343" s="392">
        <v>35874</v>
      </c>
      <c r="J343" s="231">
        <v>7353</v>
      </c>
      <c r="K343" s="231">
        <v>171938</v>
      </c>
      <c r="L343" s="231"/>
      <c r="M343" s="225">
        <v>0</v>
      </c>
      <c r="N343" s="225">
        <v>0</v>
      </c>
      <c r="O343" s="231">
        <v>4110</v>
      </c>
      <c r="P343" s="231">
        <v>4110</v>
      </c>
      <c r="Q343" s="231"/>
      <c r="R343" s="392">
        <v>165775</v>
      </c>
      <c r="S343" s="231">
        <v>2407</v>
      </c>
      <c r="T343" s="396">
        <v>168182</v>
      </c>
      <c r="U343" s="231"/>
      <c r="V343" s="396"/>
      <c r="W343" s="396"/>
      <c r="X343" s="396">
        <v>978037</v>
      </c>
      <c r="Y343" s="396">
        <v>69859</v>
      </c>
    </row>
    <row r="344" spans="1:25">
      <c r="A344" s="390">
        <v>93441</v>
      </c>
      <c r="B344" s="391" t="s">
        <v>1045</v>
      </c>
      <c r="C344" s="234">
        <v>1.6789999999999999E-4</v>
      </c>
      <c r="D344" s="234">
        <v>1.6559999999999999E-4</v>
      </c>
      <c r="E344" s="231">
        <v>599978</v>
      </c>
      <c r="F344" s="231" t="s">
        <v>1924</v>
      </c>
      <c r="G344" s="392">
        <v>75767</v>
      </c>
      <c r="H344" s="392">
        <v>84430</v>
      </c>
      <c r="I344" s="392">
        <v>44650</v>
      </c>
      <c r="J344" s="231">
        <v>5647</v>
      </c>
      <c r="K344" s="231">
        <v>210494</v>
      </c>
      <c r="L344" s="231"/>
      <c r="M344" s="225">
        <v>0</v>
      </c>
      <c r="N344" s="225">
        <v>0</v>
      </c>
      <c r="O344" s="231">
        <v>3064</v>
      </c>
      <c r="P344" s="231">
        <v>3064</v>
      </c>
      <c r="Q344" s="231"/>
      <c r="R344" s="392">
        <v>206328</v>
      </c>
      <c r="S344" s="231">
        <v>6676</v>
      </c>
      <c r="T344" s="396">
        <v>213004</v>
      </c>
      <c r="U344" s="231"/>
      <c r="V344" s="396"/>
      <c r="W344" s="396"/>
      <c r="X344" s="396">
        <v>1217290</v>
      </c>
      <c r="Y344" s="396">
        <v>86948</v>
      </c>
    </row>
    <row r="345" spans="1:25">
      <c r="A345" s="390">
        <v>93442</v>
      </c>
      <c r="B345" s="391" t="s">
        <v>1046</v>
      </c>
      <c r="C345" s="234">
        <v>1.507E-4</v>
      </c>
      <c r="D345" s="234">
        <v>1.561E-4</v>
      </c>
      <c r="E345" s="231">
        <v>538515</v>
      </c>
      <c r="F345" s="231" t="s">
        <v>1924</v>
      </c>
      <c r="G345" s="392">
        <v>68005</v>
      </c>
      <c r="H345" s="392">
        <v>75781</v>
      </c>
      <c r="I345" s="392">
        <v>40076</v>
      </c>
      <c r="J345" s="231">
        <v>214</v>
      </c>
      <c r="K345" s="231">
        <v>184076</v>
      </c>
      <c r="L345" s="231"/>
      <c r="M345" s="225">
        <v>0</v>
      </c>
      <c r="N345" s="225">
        <v>0</v>
      </c>
      <c r="O345" s="231">
        <v>25381</v>
      </c>
      <c r="P345" s="231">
        <v>25381</v>
      </c>
      <c r="Q345" s="231"/>
      <c r="R345" s="392">
        <v>185191</v>
      </c>
      <c r="S345" s="231">
        <v>-14334</v>
      </c>
      <c r="T345" s="396">
        <v>170857</v>
      </c>
      <c r="U345" s="231"/>
      <c r="V345" s="396"/>
      <c r="W345" s="396"/>
      <c r="X345" s="396">
        <v>1092589</v>
      </c>
      <c r="Y345" s="396">
        <v>78041</v>
      </c>
    </row>
    <row r="346" spans="1:25">
      <c r="A346" s="390">
        <v>93451</v>
      </c>
      <c r="B346" s="391" t="s">
        <v>1047</v>
      </c>
      <c r="C346" s="234">
        <v>6.6299999999999999E-5</v>
      </c>
      <c r="D346" s="234">
        <v>6.6600000000000006E-5</v>
      </c>
      <c r="E346" s="231">
        <v>236918</v>
      </c>
      <c r="F346" s="231" t="s">
        <v>1924</v>
      </c>
      <c r="G346" s="392">
        <v>29919</v>
      </c>
      <c r="H346" s="392">
        <v>33339</v>
      </c>
      <c r="I346" s="392">
        <v>17631</v>
      </c>
      <c r="J346" s="231">
        <v>16959</v>
      </c>
      <c r="K346" s="231">
        <v>97848</v>
      </c>
      <c r="L346" s="231"/>
      <c r="M346" s="225">
        <v>0</v>
      </c>
      <c r="N346" s="225">
        <v>0</v>
      </c>
      <c r="O346" s="231">
        <v>744</v>
      </c>
      <c r="P346" s="231">
        <v>744</v>
      </c>
      <c r="Q346" s="231"/>
      <c r="R346" s="392">
        <v>81474</v>
      </c>
      <c r="S346" s="231">
        <v>8785</v>
      </c>
      <c r="T346" s="396">
        <v>90259</v>
      </c>
      <c r="U346" s="231"/>
      <c r="V346" s="396"/>
      <c r="W346" s="396"/>
      <c r="X346" s="396">
        <v>480681</v>
      </c>
      <c r="Y346" s="396">
        <v>34334</v>
      </c>
    </row>
    <row r="347" spans="1:25">
      <c r="A347" s="390">
        <v>93461</v>
      </c>
      <c r="B347" s="391" t="s">
        <v>1048</v>
      </c>
      <c r="C347" s="234">
        <v>1.49E-5</v>
      </c>
      <c r="D347" s="234">
        <v>1.5500000000000001E-5</v>
      </c>
      <c r="E347" s="231">
        <v>53244</v>
      </c>
      <c r="F347" s="231" t="s">
        <v>1924</v>
      </c>
      <c r="G347" s="392">
        <v>6724</v>
      </c>
      <c r="H347" s="392">
        <v>7493</v>
      </c>
      <c r="I347" s="392">
        <v>3962</v>
      </c>
      <c r="J347" s="231">
        <v>218</v>
      </c>
      <c r="K347" s="231">
        <v>18397</v>
      </c>
      <c r="L347" s="231"/>
      <c r="M347" s="225">
        <v>0</v>
      </c>
      <c r="N347" s="225">
        <v>0</v>
      </c>
      <c r="O347" s="231">
        <v>782</v>
      </c>
      <c r="P347" s="231">
        <v>782</v>
      </c>
      <c r="Q347" s="231"/>
      <c r="R347" s="392">
        <v>18310</v>
      </c>
      <c r="S347" s="231">
        <v>-66</v>
      </c>
      <c r="T347" s="396">
        <v>18244</v>
      </c>
      <c r="U347" s="231"/>
      <c r="V347" s="396"/>
      <c r="W347" s="396"/>
      <c r="X347" s="396">
        <v>108026</v>
      </c>
      <c r="Y347" s="396">
        <v>7716</v>
      </c>
    </row>
    <row r="348" spans="1:25">
      <c r="A348" s="390">
        <v>93471</v>
      </c>
      <c r="B348" s="391" t="s">
        <v>1049</v>
      </c>
      <c r="C348" s="234">
        <v>1.24E-5</v>
      </c>
      <c r="D348" s="234">
        <v>1.1399999999999999E-5</v>
      </c>
      <c r="E348" s="231">
        <v>44310</v>
      </c>
      <c r="F348" s="231" t="s">
        <v>1924</v>
      </c>
      <c r="G348" s="392">
        <v>5596</v>
      </c>
      <c r="H348" s="392">
        <v>6235</v>
      </c>
      <c r="I348" s="392">
        <v>3298</v>
      </c>
      <c r="J348" s="231">
        <v>8346</v>
      </c>
      <c r="K348" s="231">
        <v>23475</v>
      </c>
      <c r="L348" s="231"/>
      <c r="M348" s="225">
        <v>0</v>
      </c>
      <c r="N348" s="225">
        <v>0</v>
      </c>
      <c r="O348" s="231">
        <v>0</v>
      </c>
      <c r="P348" s="231">
        <v>0</v>
      </c>
      <c r="Q348" s="231"/>
      <c r="R348" s="392">
        <v>15238</v>
      </c>
      <c r="S348" s="231">
        <v>3707</v>
      </c>
      <c r="T348" s="396">
        <v>18945</v>
      </c>
      <c r="U348" s="231"/>
      <c r="V348" s="396"/>
      <c r="W348" s="396"/>
      <c r="X348" s="396">
        <v>89901</v>
      </c>
      <c r="Y348" s="396">
        <v>6421</v>
      </c>
    </row>
    <row r="349" spans="1:25">
      <c r="A349" s="390">
        <v>93501</v>
      </c>
      <c r="B349" s="391" t="s">
        <v>1050</v>
      </c>
      <c r="C349" s="234">
        <v>3.7423999999999999E-3</v>
      </c>
      <c r="D349" s="234">
        <v>3.8463999999999998E-3</v>
      </c>
      <c r="E349" s="231">
        <v>13373189</v>
      </c>
      <c r="F349" s="231" t="s">
        <v>1924</v>
      </c>
      <c r="G349" s="392">
        <v>1688799</v>
      </c>
      <c r="H349" s="392">
        <v>1881919</v>
      </c>
      <c r="I349" s="392">
        <v>995228</v>
      </c>
      <c r="J349" s="231">
        <v>125076</v>
      </c>
      <c r="K349" s="231">
        <v>4691022</v>
      </c>
      <c r="L349" s="231"/>
      <c r="M349" s="225">
        <v>0</v>
      </c>
      <c r="N349" s="225">
        <v>0</v>
      </c>
      <c r="O349" s="231">
        <v>156931</v>
      </c>
      <c r="P349" s="231">
        <v>156931</v>
      </c>
      <c r="Q349" s="231"/>
      <c r="R349" s="392">
        <v>4598942</v>
      </c>
      <c r="S349" s="231">
        <v>-25</v>
      </c>
      <c r="T349" s="396">
        <v>4598917</v>
      </c>
      <c r="U349" s="231"/>
      <c r="V349" s="396"/>
      <c r="W349" s="396"/>
      <c r="X349" s="396">
        <v>27132744</v>
      </c>
      <c r="Y349" s="396">
        <v>1938032</v>
      </c>
    </row>
    <row r="350" spans="1:25">
      <c r="A350" s="390">
        <v>93511</v>
      </c>
      <c r="B350" s="391" t="s">
        <v>1051</v>
      </c>
      <c r="C350" s="234">
        <v>8.6100000000000006E-5</v>
      </c>
      <c r="D350" s="234">
        <v>8.7899999999999995E-5</v>
      </c>
      <c r="E350" s="231">
        <v>307672</v>
      </c>
      <c r="F350" s="231" t="s">
        <v>1924</v>
      </c>
      <c r="G350" s="392">
        <v>38854</v>
      </c>
      <c r="H350" s="392">
        <v>43297</v>
      </c>
      <c r="I350" s="392">
        <v>22897</v>
      </c>
      <c r="J350" s="231">
        <v>7200</v>
      </c>
      <c r="K350" s="231">
        <v>112248</v>
      </c>
      <c r="L350" s="231"/>
      <c r="M350" s="225">
        <v>0</v>
      </c>
      <c r="N350" s="225">
        <v>0</v>
      </c>
      <c r="O350" s="231">
        <v>2713</v>
      </c>
      <c r="P350" s="231">
        <v>2713</v>
      </c>
      <c r="Q350" s="231"/>
      <c r="R350" s="392">
        <v>105806</v>
      </c>
      <c r="S350" s="231">
        <v>-464</v>
      </c>
      <c r="T350" s="396">
        <v>105342</v>
      </c>
      <c r="U350" s="231"/>
      <c r="V350" s="396"/>
      <c r="W350" s="396"/>
      <c r="X350" s="396">
        <v>624233</v>
      </c>
      <c r="Y350" s="396">
        <v>44588</v>
      </c>
    </row>
    <row r="351" spans="1:25">
      <c r="A351" s="390">
        <v>93517</v>
      </c>
      <c r="B351" s="391" t="s">
        <v>1052</v>
      </c>
      <c r="C351" s="234">
        <v>3.7000000000000002E-6</v>
      </c>
      <c r="D351" s="234">
        <v>4.3000000000000003E-6</v>
      </c>
      <c r="E351" s="231">
        <v>13222</v>
      </c>
      <c r="F351" s="231" t="s">
        <v>1924</v>
      </c>
      <c r="G351" s="392">
        <v>1670</v>
      </c>
      <c r="H351" s="392">
        <v>1860</v>
      </c>
      <c r="I351" s="392">
        <v>984</v>
      </c>
      <c r="J351" s="231">
        <v>3602</v>
      </c>
      <c r="K351" s="231">
        <v>8116</v>
      </c>
      <c r="L351" s="231"/>
      <c r="M351" s="225">
        <v>0</v>
      </c>
      <c r="N351" s="225">
        <v>0</v>
      </c>
      <c r="O351" s="231">
        <v>0</v>
      </c>
      <c r="P351" s="231">
        <v>0</v>
      </c>
      <c r="Q351" s="231"/>
      <c r="R351" s="392">
        <v>4547</v>
      </c>
      <c r="S351" s="231">
        <v>1672</v>
      </c>
      <c r="T351" s="396">
        <v>6219</v>
      </c>
      <c r="U351" s="231"/>
      <c r="V351" s="396"/>
      <c r="W351" s="396"/>
      <c r="X351" s="396">
        <v>26825</v>
      </c>
      <c r="Y351" s="396">
        <v>1916</v>
      </c>
    </row>
    <row r="352" spans="1:25">
      <c r="A352" s="390">
        <v>93521</v>
      </c>
      <c r="B352" s="391" t="s">
        <v>1053</v>
      </c>
      <c r="C352" s="234">
        <v>4.7459999999999999E-4</v>
      </c>
      <c r="D352" s="234">
        <v>4.7340000000000001E-4</v>
      </c>
      <c r="E352" s="231">
        <v>1695948</v>
      </c>
      <c r="F352" s="231" t="s">
        <v>1924</v>
      </c>
      <c r="G352" s="392">
        <v>214168</v>
      </c>
      <c r="H352" s="392">
        <v>238659</v>
      </c>
      <c r="I352" s="392">
        <v>126212</v>
      </c>
      <c r="J352" s="231">
        <v>10066</v>
      </c>
      <c r="K352" s="231">
        <v>589105</v>
      </c>
      <c r="L352" s="231"/>
      <c r="M352" s="225">
        <v>0</v>
      </c>
      <c r="N352" s="225">
        <v>0</v>
      </c>
      <c r="O352" s="231">
        <v>29834</v>
      </c>
      <c r="P352" s="231">
        <v>29834</v>
      </c>
      <c r="Q352" s="231"/>
      <c r="R352" s="392">
        <v>583224</v>
      </c>
      <c r="S352" s="231">
        <v>-15750</v>
      </c>
      <c r="T352" s="396">
        <v>567474</v>
      </c>
      <c r="U352" s="231"/>
      <c r="V352" s="396"/>
      <c r="W352" s="396"/>
      <c r="X352" s="396">
        <v>3440894</v>
      </c>
      <c r="Y352" s="396">
        <v>245775</v>
      </c>
    </row>
    <row r="353" spans="1:25">
      <c r="A353" s="390">
        <v>93527</v>
      </c>
      <c r="B353" s="391" t="s">
        <v>1054</v>
      </c>
      <c r="C353" s="234">
        <v>8.8999999999999995E-6</v>
      </c>
      <c r="D353" s="234">
        <v>9.5999999999999996E-6</v>
      </c>
      <c r="E353" s="231">
        <v>31803</v>
      </c>
      <c r="F353" s="231" t="s">
        <v>1924</v>
      </c>
      <c r="G353" s="392">
        <v>4016</v>
      </c>
      <c r="H353" s="392">
        <v>4475</v>
      </c>
      <c r="I353" s="392">
        <v>2367</v>
      </c>
      <c r="J353" s="231">
        <v>8724</v>
      </c>
      <c r="K353" s="231">
        <v>19582</v>
      </c>
      <c r="L353" s="231"/>
      <c r="M353" s="225">
        <v>0</v>
      </c>
      <c r="N353" s="225">
        <v>0</v>
      </c>
      <c r="O353" s="231">
        <v>0</v>
      </c>
      <c r="P353" s="231">
        <v>0</v>
      </c>
      <c r="Q353" s="231"/>
      <c r="R353" s="392">
        <v>10937</v>
      </c>
      <c r="S353" s="231">
        <v>5631</v>
      </c>
      <c r="T353" s="396">
        <v>16568</v>
      </c>
      <c r="U353" s="231"/>
      <c r="V353" s="396"/>
      <c r="W353" s="396"/>
      <c r="X353" s="396">
        <v>64526</v>
      </c>
      <c r="Y353" s="396">
        <v>4609</v>
      </c>
    </row>
    <row r="354" spans="1:25">
      <c r="A354" s="390">
        <v>93531</v>
      </c>
      <c r="B354" s="391" t="s">
        <v>1055</v>
      </c>
      <c r="C354" s="234">
        <v>2.4899999999999999E-5</v>
      </c>
      <c r="D354" s="234">
        <v>2.23E-5</v>
      </c>
      <c r="E354" s="231">
        <v>88978</v>
      </c>
      <c r="F354" s="231" t="s">
        <v>1924</v>
      </c>
      <c r="G354" s="392">
        <v>11236</v>
      </c>
      <c r="H354" s="392">
        <v>12521</v>
      </c>
      <c r="I354" s="392">
        <v>6622</v>
      </c>
      <c r="J354" s="231">
        <v>8784</v>
      </c>
      <c r="K354" s="231">
        <v>39163</v>
      </c>
      <c r="L354" s="231"/>
      <c r="M354" s="225">
        <v>0</v>
      </c>
      <c r="N354" s="225">
        <v>0</v>
      </c>
      <c r="O354" s="231">
        <v>4997</v>
      </c>
      <c r="P354" s="231">
        <v>4997</v>
      </c>
      <c r="Q354" s="231"/>
      <c r="R354" s="392">
        <v>30599</v>
      </c>
      <c r="S354" s="231">
        <v>1827</v>
      </c>
      <c r="T354" s="396">
        <v>32426</v>
      </c>
      <c r="U354" s="231"/>
      <c r="V354" s="396"/>
      <c r="W354" s="396"/>
      <c r="X354" s="396">
        <v>180527</v>
      </c>
      <c r="Y354" s="396">
        <v>12895</v>
      </c>
    </row>
    <row r="355" spans="1:25">
      <c r="A355" s="390">
        <v>93537</v>
      </c>
      <c r="B355" s="391" t="s">
        <v>1056</v>
      </c>
      <c r="C355" s="234">
        <v>1.04E-5</v>
      </c>
      <c r="D355" s="234">
        <v>1.08E-5</v>
      </c>
      <c r="E355" s="231">
        <v>37164</v>
      </c>
      <c r="F355" s="231" t="s">
        <v>1924</v>
      </c>
      <c r="G355" s="392">
        <v>4693</v>
      </c>
      <c r="H355" s="392">
        <v>5230</v>
      </c>
      <c r="I355" s="392">
        <v>2766</v>
      </c>
      <c r="J355" s="231">
        <v>0</v>
      </c>
      <c r="K355" s="231">
        <v>12689</v>
      </c>
      <c r="L355" s="231"/>
      <c r="M355" s="225">
        <v>0</v>
      </c>
      <c r="N355" s="225">
        <v>0</v>
      </c>
      <c r="O355" s="231">
        <v>3352</v>
      </c>
      <c r="P355" s="231">
        <v>3352</v>
      </c>
      <c r="Q355" s="231"/>
      <c r="R355" s="392">
        <v>12780</v>
      </c>
      <c r="S355" s="231">
        <v>-1580</v>
      </c>
      <c r="T355" s="396">
        <v>11200</v>
      </c>
      <c r="U355" s="231"/>
      <c r="V355" s="396"/>
      <c r="W355" s="396"/>
      <c r="X355" s="396">
        <v>75401</v>
      </c>
      <c r="Y355" s="396">
        <v>5386</v>
      </c>
    </row>
    <row r="356" spans="1:25">
      <c r="A356" s="390">
        <v>93541</v>
      </c>
      <c r="B356" s="391" t="s">
        <v>1057</v>
      </c>
      <c r="C356" s="234">
        <v>1.6339999999999999E-4</v>
      </c>
      <c r="D356" s="234">
        <v>9.9699999999999998E-5</v>
      </c>
      <c r="E356" s="231">
        <v>583898</v>
      </c>
      <c r="F356" s="231" t="s">
        <v>1924</v>
      </c>
      <c r="G356" s="392">
        <v>73736</v>
      </c>
      <c r="H356" s="392">
        <v>82168</v>
      </c>
      <c r="I356" s="392">
        <v>43453</v>
      </c>
      <c r="J356" s="231">
        <v>80047</v>
      </c>
      <c r="K356" s="231">
        <v>279404</v>
      </c>
      <c r="L356" s="231"/>
      <c r="M356" s="225">
        <v>0</v>
      </c>
      <c r="N356" s="225">
        <v>0</v>
      </c>
      <c r="O356" s="231">
        <v>2370</v>
      </c>
      <c r="P356" s="231">
        <v>2370</v>
      </c>
      <c r="Q356" s="231"/>
      <c r="R356" s="392">
        <v>200798</v>
      </c>
      <c r="S356" s="231">
        <v>25465</v>
      </c>
      <c r="T356" s="396">
        <v>226263</v>
      </c>
      <c r="U356" s="231"/>
      <c r="V356" s="396"/>
      <c r="W356" s="396"/>
      <c r="X356" s="396">
        <v>1184665</v>
      </c>
      <c r="Y356" s="396">
        <v>84618</v>
      </c>
    </row>
    <row r="357" spans="1:25">
      <c r="A357" s="390">
        <v>93601</v>
      </c>
      <c r="B357" s="391" t="s">
        <v>1058</v>
      </c>
      <c r="C357" s="234">
        <v>1.0955299999999999E-2</v>
      </c>
      <c r="D357" s="234">
        <v>1.1220300000000001E-2</v>
      </c>
      <c r="E357" s="231">
        <v>39147954</v>
      </c>
      <c r="F357" s="231" t="s">
        <v>1924</v>
      </c>
      <c r="G357" s="392">
        <v>4943700</v>
      </c>
      <c r="H357" s="392">
        <v>5509026</v>
      </c>
      <c r="I357" s="392">
        <v>2913376</v>
      </c>
      <c r="J357" s="231">
        <v>277884</v>
      </c>
      <c r="K357" s="231">
        <v>13643986</v>
      </c>
      <c r="L357" s="231"/>
      <c r="M357" s="225">
        <v>0</v>
      </c>
      <c r="N357" s="225">
        <v>0</v>
      </c>
      <c r="O357" s="231">
        <v>217790</v>
      </c>
      <c r="P357" s="231">
        <v>217790</v>
      </c>
      <c r="Q357" s="231"/>
      <c r="R357" s="392">
        <v>13462694</v>
      </c>
      <c r="S357" s="231">
        <v>40850</v>
      </c>
      <c r="T357" s="396">
        <v>13503544</v>
      </c>
      <c r="U357" s="231"/>
      <c r="V357" s="396"/>
      <c r="W357" s="396"/>
      <c r="X357" s="396">
        <v>79426933</v>
      </c>
      <c r="Y357" s="396">
        <v>5673290</v>
      </c>
    </row>
    <row r="358" spans="1:25">
      <c r="A358" s="390">
        <v>93602</v>
      </c>
      <c r="B358" s="391" t="s">
        <v>1059</v>
      </c>
      <c r="C358" s="234">
        <v>1.5779999999999999E-4</v>
      </c>
      <c r="D358" s="234">
        <v>1.918E-4</v>
      </c>
      <c r="E358" s="231">
        <v>563887</v>
      </c>
      <c r="F358" s="231" t="s">
        <v>1924</v>
      </c>
      <c r="G358" s="392">
        <v>71209</v>
      </c>
      <c r="H358" s="392">
        <v>79352</v>
      </c>
      <c r="I358" s="392">
        <v>41964</v>
      </c>
      <c r="J358" s="231">
        <v>14285</v>
      </c>
      <c r="K358" s="231">
        <v>206810</v>
      </c>
      <c r="L358" s="231"/>
      <c r="M358" s="225">
        <v>0</v>
      </c>
      <c r="N358" s="225">
        <v>0</v>
      </c>
      <c r="O358" s="231">
        <v>25124</v>
      </c>
      <c r="P358" s="231">
        <v>25124</v>
      </c>
      <c r="Q358" s="231"/>
      <c r="R358" s="392">
        <v>193916</v>
      </c>
      <c r="S358" s="231">
        <v>-5230</v>
      </c>
      <c r="T358" s="396">
        <v>188686</v>
      </c>
      <c r="U358" s="231"/>
      <c r="V358" s="396"/>
      <c r="W358" s="396"/>
      <c r="X358" s="396">
        <v>1144065</v>
      </c>
      <c r="Y358" s="396">
        <v>81718</v>
      </c>
    </row>
    <row r="359" spans="1:25">
      <c r="A359" s="390">
        <v>93604</v>
      </c>
      <c r="B359" t="s">
        <v>1926</v>
      </c>
      <c r="C359" s="234">
        <v>1.31E-5</v>
      </c>
      <c r="D359" s="234">
        <v>2.6400000000000001E-5</v>
      </c>
      <c r="E359" s="231">
        <v>46812</v>
      </c>
      <c r="F359" s="231" t="s">
        <v>1924</v>
      </c>
      <c r="G359" s="392">
        <v>5912</v>
      </c>
      <c r="H359" s="392">
        <v>6588</v>
      </c>
      <c r="I359" s="392">
        <v>3484</v>
      </c>
      <c r="J359" s="231">
        <v>15257</v>
      </c>
      <c r="K359" s="231">
        <v>31241</v>
      </c>
      <c r="L359" s="231"/>
      <c r="M359" s="225">
        <v>0</v>
      </c>
      <c r="N359" s="225">
        <v>0</v>
      </c>
      <c r="O359" s="231">
        <v>13649</v>
      </c>
      <c r="P359" s="231">
        <v>13649</v>
      </c>
      <c r="Q359" s="231"/>
      <c r="R359" s="392">
        <v>16098</v>
      </c>
      <c r="S359" s="231">
        <v>2168</v>
      </c>
      <c r="T359" s="396">
        <v>18266</v>
      </c>
      <c r="U359" s="231"/>
      <c r="V359" s="396"/>
      <c r="W359" s="396"/>
      <c r="X359" s="396">
        <v>94976</v>
      </c>
      <c r="Y359" s="396">
        <v>6784</v>
      </c>
    </row>
    <row r="360" spans="1:25">
      <c r="A360" s="390">
        <v>93609</v>
      </c>
      <c r="B360" s="391" t="s">
        <v>1060</v>
      </c>
      <c r="C360" s="234">
        <v>3.6703E-3</v>
      </c>
      <c r="D360" s="234">
        <v>3.7919E-3</v>
      </c>
      <c r="E360" s="231">
        <v>13115545</v>
      </c>
      <c r="F360" s="231" t="s">
        <v>1924</v>
      </c>
      <c r="G360" s="392">
        <v>1656263</v>
      </c>
      <c r="H360" s="392">
        <v>1845662</v>
      </c>
      <c r="I360" s="392">
        <v>976054</v>
      </c>
      <c r="J360" s="231">
        <v>140239</v>
      </c>
      <c r="K360" s="231">
        <v>4618218</v>
      </c>
      <c r="L360" s="231"/>
      <c r="M360" s="225">
        <v>0</v>
      </c>
      <c r="N360" s="225">
        <v>0</v>
      </c>
      <c r="O360" s="231">
        <v>250116</v>
      </c>
      <c r="P360" s="231">
        <v>250116</v>
      </c>
      <c r="Q360" s="231"/>
      <c r="R360" s="392">
        <v>4510340</v>
      </c>
      <c r="S360" s="231">
        <v>80218</v>
      </c>
      <c r="T360" s="396">
        <v>4590558</v>
      </c>
      <c r="U360" s="231"/>
      <c r="V360" s="396"/>
      <c r="W360" s="396"/>
      <c r="X360" s="396">
        <v>26610013</v>
      </c>
      <c r="Y360" s="396">
        <v>1900694</v>
      </c>
    </row>
    <row r="361" spans="1:25">
      <c r="A361" s="390">
        <v>93610</v>
      </c>
      <c r="B361" s="391" t="s">
        <v>1061</v>
      </c>
      <c r="C361" s="234">
        <v>1.63E-5</v>
      </c>
      <c r="D361" s="234">
        <v>1.63E-5</v>
      </c>
      <c r="E361" s="231">
        <v>58247</v>
      </c>
      <c r="F361" s="231" t="s">
        <v>1924</v>
      </c>
      <c r="G361" s="392">
        <v>7356</v>
      </c>
      <c r="H361" s="392">
        <v>8196</v>
      </c>
      <c r="I361" s="392">
        <v>4335</v>
      </c>
      <c r="J361" s="231">
        <v>1423</v>
      </c>
      <c r="K361" s="231">
        <v>21310</v>
      </c>
      <c r="L361" s="231"/>
      <c r="M361" s="225">
        <v>0</v>
      </c>
      <c r="N361" s="225">
        <v>0</v>
      </c>
      <c r="O361" s="231">
        <v>1476</v>
      </c>
      <c r="P361" s="231">
        <v>1476</v>
      </c>
      <c r="Q361" s="231"/>
      <c r="R361" s="392">
        <v>20031</v>
      </c>
      <c r="S361" s="231">
        <v>-249</v>
      </c>
      <c r="T361" s="396">
        <v>19782</v>
      </c>
      <c r="U361" s="231"/>
      <c r="V361" s="396"/>
      <c r="W361" s="396"/>
      <c r="X361" s="396">
        <v>118176</v>
      </c>
      <c r="Y361" s="396">
        <v>8441</v>
      </c>
    </row>
    <row r="362" spans="1:25">
      <c r="A362" s="390">
        <v>93611</v>
      </c>
      <c r="B362" s="391" t="s">
        <v>1062</v>
      </c>
      <c r="C362" s="234">
        <v>6.7793000000000003E-3</v>
      </c>
      <c r="D362" s="234">
        <v>6.9186999999999999E-3</v>
      </c>
      <c r="E362" s="231">
        <v>24225327</v>
      </c>
      <c r="F362" s="231" t="s">
        <v>1924</v>
      </c>
      <c r="G362" s="392">
        <v>3059234</v>
      </c>
      <c r="H362" s="392">
        <v>3409066</v>
      </c>
      <c r="I362" s="392">
        <v>1802840</v>
      </c>
      <c r="J362" s="231">
        <v>15287</v>
      </c>
      <c r="K362" s="231">
        <v>8286427</v>
      </c>
      <c r="L362" s="231"/>
      <c r="M362" s="225">
        <v>0</v>
      </c>
      <c r="N362" s="225">
        <v>0</v>
      </c>
      <c r="O362" s="231">
        <v>152616</v>
      </c>
      <c r="P362" s="231">
        <v>152616</v>
      </c>
      <c r="Q362" s="231"/>
      <c r="R362" s="392">
        <v>8330912</v>
      </c>
      <c r="S362" s="231">
        <v>-44753</v>
      </c>
      <c r="T362" s="396">
        <v>8286159</v>
      </c>
      <c r="U362" s="231"/>
      <c r="V362" s="396"/>
      <c r="W362" s="396"/>
      <c r="X362" s="396">
        <v>49150549</v>
      </c>
      <c r="Y362" s="396">
        <v>3510715</v>
      </c>
    </row>
    <row r="363" spans="1:25">
      <c r="A363" s="390">
        <v>93617</v>
      </c>
      <c r="B363" s="391" t="s">
        <v>1063</v>
      </c>
      <c r="C363" s="234">
        <v>7.64E-5</v>
      </c>
      <c r="D363" s="234">
        <v>7.8899999999999993E-5</v>
      </c>
      <c r="E363" s="231">
        <v>273010</v>
      </c>
      <c r="F363" s="231" t="s">
        <v>1924</v>
      </c>
      <c r="G363" s="392">
        <v>34476</v>
      </c>
      <c r="H363" s="392">
        <v>38418</v>
      </c>
      <c r="I363" s="392">
        <v>20317</v>
      </c>
      <c r="J363" s="231">
        <v>23595</v>
      </c>
      <c r="K363" s="231">
        <v>116806</v>
      </c>
      <c r="L363" s="231"/>
      <c r="M363" s="225">
        <v>0</v>
      </c>
      <c r="N363" s="225">
        <v>0</v>
      </c>
      <c r="O363" s="231">
        <v>0</v>
      </c>
      <c r="P363" s="231">
        <v>0</v>
      </c>
      <c r="Q363" s="231"/>
      <c r="R363" s="392">
        <v>93886</v>
      </c>
      <c r="S363" s="231">
        <v>12147</v>
      </c>
      <c r="T363" s="396">
        <v>106033</v>
      </c>
      <c r="U363" s="231"/>
      <c r="V363" s="396"/>
      <c r="W363" s="396"/>
      <c r="X363" s="396">
        <v>553907</v>
      </c>
      <c r="Y363" s="396">
        <v>39564</v>
      </c>
    </row>
    <row r="364" spans="1:25">
      <c r="A364" s="390">
        <v>93618</v>
      </c>
      <c r="B364" s="391" t="s">
        <v>1064</v>
      </c>
      <c r="C364" s="234">
        <v>8.3000000000000002E-6</v>
      </c>
      <c r="D364" s="234">
        <v>9.5000000000000005E-6</v>
      </c>
      <c r="E364" s="231">
        <v>29659</v>
      </c>
      <c r="F364" s="231" t="s">
        <v>1924</v>
      </c>
      <c r="G364" s="392">
        <v>3745</v>
      </c>
      <c r="H364" s="392">
        <v>4174</v>
      </c>
      <c r="I364" s="392">
        <v>2207</v>
      </c>
      <c r="J364" s="231">
        <v>28364</v>
      </c>
      <c r="K364" s="231">
        <v>38490</v>
      </c>
      <c r="L364" s="231"/>
      <c r="M364" s="225">
        <v>0</v>
      </c>
      <c r="N364" s="225">
        <v>0</v>
      </c>
      <c r="O364" s="231">
        <v>0</v>
      </c>
      <c r="P364" s="231">
        <v>0</v>
      </c>
      <c r="Q364" s="231"/>
      <c r="R364" s="392">
        <v>10200</v>
      </c>
      <c r="S364" s="231">
        <v>16526</v>
      </c>
      <c r="T364" s="396">
        <v>26726</v>
      </c>
      <c r="U364" s="231"/>
      <c r="V364" s="396"/>
      <c r="W364" s="396"/>
      <c r="X364" s="396">
        <v>60176</v>
      </c>
      <c r="Y364" s="396">
        <v>4298</v>
      </c>
    </row>
    <row r="365" spans="1:25">
      <c r="A365" s="390">
        <v>93621</v>
      </c>
      <c r="B365" s="391" t="s">
        <v>1065</v>
      </c>
      <c r="C365" s="234">
        <v>1.1447E-3</v>
      </c>
      <c r="D365" s="234">
        <v>1.0563E-3</v>
      </c>
      <c r="E365" s="231">
        <v>4090501</v>
      </c>
      <c r="F365" s="231" t="s">
        <v>1924</v>
      </c>
      <c r="G365" s="392">
        <v>516558</v>
      </c>
      <c r="H365" s="392">
        <v>575628</v>
      </c>
      <c r="I365" s="392">
        <v>304414</v>
      </c>
      <c r="J365" s="231">
        <v>96446</v>
      </c>
      <c r="K365" s="231">
        <v>1493046</v>
      </c>
      <c r="L365" s="231"/>
      <c r="M365" s="225">
        <v>0</v>
      </c>
      <c r="N365" s="225">
        <v>0</v>
      </c>
      <c r="O365" s="231">
        <v>5024</v>
      </c>
      <c r="P365" s="231">
        <v>5024</v>
      </c>
      <c r="Q365" s="231"/>
      <c r="R365" s="392">
        <v>1406693</v>
      </c>
      <c r="S365" s="231">
        <v>23276</v>
      </c>
      <c r="T365" s="396">
        <v>1429969</v>
      </c>
      <c r="U365" s="231"/>
      <c r="V365" s="396"/>
      <c r="W365" s="396"/>
      <c r="X365" s="396">
        <v>8299180</v>
      </c>
      <c r="Y365" s="396">
        <v>592792</v>
      </c>
    </row>
    <row r="366" spans="1:25">
      <c r="A366" s="390">
        <v>93623</v>
      </c>
      <c r="B366" s="391" t="s">
        <v>1066</v>
      </c>
      <c r="C366" s="234">
        <v>1.17E-5</v>
      </c>
      <c r="D366" s="234">
        <v>1.1E-5</v>
      </c>
      <c r="E366" s="231">
        <v>41809</v>
      </c>
      <c r="F366" s="231" t="s">
        <v>1924</v>
      </c>
      <c r="G366" s="392">
        <v>5280</v>
      </c>
      <c r="H366" s="392">
        <v>5884</v>
      </c>
      <c r="I366" s="392">
        <v>3111</v>
      </c>
      <c r="J366" s="231">
        <v>3077</v>
      </c>
      <c r="K366" s="231">
        <v>17352</v>
      </c>
      <c r="L366" s="231"/>
      <c r="M366" s="225">
        <v>0</v>
      </c>
      <c r="N366" s="225">
        <v>0</v>
      </c>
      <c r="O366" s="231">
        <v>0</v>
      </c>
      <c r="P366" s="231">
        <v>0</v>
      </c>
      <c r="Q366" s="231"/>
      <c r="R366" s="392">
        <v>14378</v>
      </c>
      <c r="S366" s="231">
        <v>2118</v>
      </c>
      <c r="T366" s="396">
        <v>16496</v>
      </c>
      <c r="U366" s="231"/>
      <c r="V366" s="396"/>
      <c r="W366" s="396"/>
      <c r="X366" s="396">
        <v>84826</v>
      </c>
      <c r="Y366" s="396">
        <v>6059</v>
      </c>
    </row>
    <row r="367" spans="1:25">
      <c r="A367" s="390">
        <v>93631</v>
      </c>
      <c r="B367" s="391" t="s">
        <v>1067</v>
      </c>
      <c r="C367" s="234">
        <v>2.8699999999999998E-4</v>
      </c>
      <c r="D367" s="234">
        <v>2.4130000000000001E-4</v>
      </c>
      <c r="E367" s="231">
        <v>1025573</v>
      </c>
      <c r="F367" s="231" t="s">
        <v>1924</v>
      </c>
      <c r="G367" s="392">
        <v>129512</v>
      </c>
      <c r="H367" s="392">
        <v>144322</v>
      </c>
      <c r="I367" s="392">
        <v>76323</v>
      </c>
      <c r="J367" s="231">
        <v>41179</v>
      </c>
      <c r="K367" s="231">
        <v>391336</v>
      </c>
      <c r="L367" s="231"/>
      <c r="M367" s="225">
        <v>0</v>
      </c>
      <c r="N367" s="225">
        <v>0</v>
      </c>
      <c r="O367" s="231">
        <v>4221</v>
      </c>
      <c r="P367" s="231">
        <v>4221</v>
      </c>
      <c r="Q367" s="231"/>
      <c r="R367" s="392">
        <v>352687</v>
      </c>
      <c r="S367" s="231">
        <v>8653</v>
      </c>
      <c r="T367" s="396">
        <v>361340</v>
      </c>
      <c r="U367" s="231"/>
      <c r="V367" s="396"/>
      <c r="W367" s="396"/>
      <c r="X367" s="396">
        <v>2080776</v>
      </c>
      <c r="Y367" s="396">
        <v>148625</v>
      </c>
    </row>
    <row r="368" spans="1:25">
      <c r="A368" s="390">
        <v>93641</v>
      </c>
      <c r="B368" s="391" t="s">
        <v>1068</v>
      </c>
      <c r="C368" s="234">
        <v>3.724E-4</v>
      </c>
      <c r="D368" s="234">
        <v>3.7300000000000001E-4</v>
      </c>
      <c r="E368" s="231">
        <v>1330744</v>
      </c>
      <c r="F368" s="231" t="s">
        <v>1924</v>
      </c>
      <c r="G368" s="392">
        <v>168050</v>
      </c>
      <c r="H368" s="392">
        <v>187267</v>
      </c>
      <c r="I368" s="392">
        <v>99033</v>
      </c>
      <c r="J368" s="231">
        <v>45042</v>
      </c>
      <c r="K368" s="231">
        <v>499392</v>
      </c>
      <c r="L368" s="231"/>
      <c r="M368" s="225">
        <v>0</v>
      </c>
      <c r="N368" s="225">
        <v>0</v>
      </c>
      <c r="O368" s="231">
        <v>3852</v>
      </c>
      <c r="P368" s="231">
        <v>3852</v>
      </c>
      <c r="Q368" s="231"/>
      <c r="R368" s="392">
        <v>457633</v>
      </c>
      <c r="S368" s="231">
        <v>12919</v>
      </c>
      <c r="T368" s="396">
        <v>470552</v>
      </c>
      <c r="U368" s="231"/>
      <c r="V368" s="396"/>
      <c r="W368" s="396"/>
      <c r="X368" s="396">
        <v>2699934</v>
      </c>
      <c r="Y368" s="396">
        <v>192850</v>
      </c>
    </row>
    <row r="369" spans="1:25">
      <c r="A369" s="390">
        <v>93647</v>
      </c>
      <c r="B369" s="391" t="s">
        <v>1069</v>
      </c>
      <c r="C369" s="234">
        <v>4.6E-6</v>
      </c>
      <c r="D369" s="234">
        <v>5.2000000000000002E-6</v>
      </c>
      <c r="E369" s="231">
        <v>16438</v>
      </c>
      <c r="F369" s="231" t="s">
        <v>1924</v>
      </c>
      <c r="G369" s="392">
        <v>2076</v>
      </c>
      <c r="H369" s="392">
        <v>2314</v>
      </c>
      <c r="I369" s="392">
        <v>1223</v>
      </c>
      <c r="J369" s="231">
        <v>8527</v>
      </c>
      <c r="K369" s="231">
        <v>14140</v>
      </c>
      <c r="L369" s="231"/>
      <c r="M369" s="225">
        <v>0</v>
      </c>
      <c r="N369" s="225">
        <v>0</v>
      </c>
      <c r="O369" s="231">
        <v>0</v>
      </c>
      <c r="P369" s="231">
        <v>0</v>
      </c>
      <c r="Q369" s="231"/>
      <c r="R369" s="392">
        <v>5653</v>
      </c>
      <c r="S369" s="231">
        <v>5081</v>
      </c>
      <c r="T369" s="396">
        <v>10734</v>
      </c>
      <c r="U369" s="231"/>
      <c r="V369" s="396"/>
      <c r="W369" s="396"/>
      <c r="X369" s="396">
        <v>33350</v>
      </c>
      <c r="Y369" s="396">
        <v>2382</v>
      </c>
    </row>
    <row r="370" spans="1:25">
      <c r="A370" s="390">
        <v>93651</v>
      </c>
      <c r="B370" s="391" t="s">
        <v>1070</v>
      </c>
      <c r="C370" s="234">
        <v>4.4680000000000002E-4</v>
      </c>
      <c r="D370" s="234">
        <v>4.3790000000000002E-4</v>
      </c>
      <c r="E370" s="231">
        <v>1596607</v>
      </c>
      <c r="F370" s="231" t="s">
        <v>1924</v>
      </c>
      <c r="G370" s="392">
        <v>201623</v>
      </c>
      <c r="H370" s="392">
        <v>224679</v>
      </c>
      <c r="I370" s="392">
        <v>118819</v>
      </c>
      <c r="J370" s="231">
        <v>2584</v>
      </c>
      <c r="K370" s="231">
        <v>547705</v>
      </c>
      <c r="L370" s="231"/>
      <c r="M370" s="225">
        <v>0</v>
      </c>
      <c r="N370" s="225">
        <v>0</v>
      </c>
      <c r="O370" s="231">
        <v>20301</v>
      </c>
      <c r="P370" s="231">
        <v>20301</v>
      </c>
      <c r="Q370" s="231"/>
      <c r="R370" s="392">
        <v>549061</v>
      </c>
      <c r="S370" s="231">
        <v>-9508</v>
      </c>
      <c r="T370" s="396">
        <v>539553</v>
      </c>
      <c r="U370" s="231"/>
      <c r="V370" s="396"/>
      <c r="W370" s="396"/>
      <c r="X370" s="396">
        <v>3239341</v>
      </c>
      <c r="Y370" s="396">
        <v>231379</v>
      </c>
    </row>
    <row r="371" spans="1:25">
      <c r="A371" s="390">
        <v>93661</v>
      </c>
      <c r="B371" s="391" t="s">
        <v>1071</v>
      </c>
      <c r="C371" s="234">
        <v>1.4679999999999999E-4</v>
      </c>
      <c r="D371" s="234">
        <v>1.2850000000000001E-4</v>
      </c>
      <c r="E371" s="231">
        <v>524579</v>
      </c>
      <c r="F371" s="231" t="s">
        <v>1924</v>
      </c>
      <c r="G371" s="392">
        <v>66245</v>
      </c>
      <c r="H371" s="392">
        <v>73820</v>
      </c>
      <c r="I371" s="392">
        <v>39039</v>
      </c>
      <c r="J371" s="231">
        <v>29910</v>
      </c>
      <c r="K371" s="231">
        <v>209014</v>
      </c>
      <c r="L371" s="231"/>
      <c r="M371" s="225">
        <v>0</v>
      </c>
      <c r="N371" s="225">
        <v>0</v>
      </c>
      <c r="O371" s="231">
        <v>7104</v>
      </c>
      <c r="P371" s="231">
        <v>7104</v>
      </c>
      <c r="Q371" s="231"/>
      <c r="R371" s="392">
        <v>180399</v>
      </c>
      <c r="S371" s="231">
        <v>10271</v>
      </c>
      <c r="T371" s="396">
        <v>190670</v>
      </c>
      <c r="U371" s="231"/>
      <c r="V371" s="396"/>
      <c r="W371" s="396"/>
      <c r="X371" s="396">
        <v>1064314</v>
      </c>
      <c r="Y371" s="396">
        <v>76022</v>
      </c>
    </row>
    <row r="372" spans="1:25">
      <c r="A372" s="390">
        <v>93671</v>
      </c>
      <c r="B372" s="391" t="s">
        <v>1072</v>
      </c>
      <c r="C372" s="234">
        <v>3.5520000000000001E-4</v>
      </c>
      <c r="D372" s="234">
        <v>3.4840000000000001E-4</v>
      </c>
      <c r="E372" s="231">
        <v>1269281</v>
      </c>
      <c r="F372" s="231" t="s">
        <v>1924</v>
      </c>
      <c r="G372" s="392">
        <v>160288</v>
      </c>
      <c r="H372" s="392">
        <v>178617</v>
      </c>
      <c r="I372" s="392">
        <v>94459</v>
      </c>
      <c r="J372" s="231">
        <v>49907</v>
      </c>
      <c r="K372" s="231">
        <v>483271</v>
      </c>
      <c r="L372" s="231"/>
      <c r="M372" s="225">
        <v>0</v>
      </c>
      <c r="N372" s="225">
        <v>0</v>
      </c>
      <c r="O372" s="231">
        <v>383</v>
      </c>
      <c r="P372" s="231">
        <v>383</v>
      </c>
      <c r="Q372" s="231"/>
      <c r="R372" s="392">
        <v>436496</v>
      </c>
      <c r="S372" s="231">
        <v>16347</v>
      </c>
      <c r="T372" s="396">
        <v>452843</v>
      </c>
      <c r="U372" s="231"/>
      <c r="V372" s="396"/>
      <c r="W372" s="396"/>
      <c r="X372" s="396">
        <v>2575233</v>
      </c>
      <c r="Y372" s="396">
        <v>183943</v>
      </c>
    </row>
    <row r="373" spans="1:25">
      <c r="A373" s="390">
        <v>93677</v>
      </c>
      <c r="B373" s="391" t="s">
        <v>98</v>
      </c>
      <c r="C373" s="234">
        <v>0</v>
      </c>
      <c r="D373" s="234">
        <v>0</v>
      </c>
      <c r="E373" s="231">
        <v>0</v>
      </c>
      <c r="F373" s="231" t="s">
        <v>1924</v>
      </c>
      <c r="G373" s="392">
        <v>0</v>
      </c>
      <c r="H373" s="392">
        <v>0</v>
      </c>
      <c r="I373" s="392">
        <v>0</v>
      </c>
      <c r="J373" s="231">
        <v>0</v>
      </c>
      <c r="K373" s="231">
        <v>0</v>
      </c>
      <c r="L373" s="231"/>
      <c r="M373" s="225">
        <v>0</v>
      </c>
      <c r="N373" s="225">
        <v>0</v>
      </c>
      <c r="O373" s="231">
        <v>0</v>
      </c>
      <c r="P373" s="231">
        <v>0</v>
      </c>
      <c r="Q373" s="231"/>
      <c r="R373" s="392">
        <v>0</v>
      </c>
      <c r="S373" s="231">
        <v>0</v>
      </c>
      <c r="T373" s="396">
        <v>0</v>
      </c>
      <c r="U373" s="231"/>
      <c r="V373" s="396"/>
      <c r="W373" s="396"/>
      <c r="X373" s="396">
        <v>0</v>
      </c>
      <c r="Y373" s="396">
        <v>0</v>
      </c>
    </row>
    <row r="374" spans="1:25">
      <c r="A374" s="390">
        <v>93681</v>
      </c>
      <c r="B374" s="391" t="s">
        <v>1073</v>
      </c>
      <c r="C374" s="234">
        <v>1.5789999999999999E-4</v>
      </c>
      <c r="D374" s="234">
        <v>1.284E-4</v>
      </c>
      <c r="E374" s="231">
        <v>564244</v>
      </c>
      <c r="F374" s="231" t="s">
        <v>1924</v>
      </c>
      <c r="G374" s="392">
        <v>71254</v>
      </c>
      <c r="H374" s="392">
        <v>79403</v>
      </c>
      <c r="I374" s="392">
        <v>41991</v>
      </c>
      <c r="J374" s="231">
        <v>40914</v>
      </c>
      <c r="K374" s="231">
        <v>233562</v>
      </c>
      <c r="L374" s="231"/>
      <c r="M374" s="225">
        <v>0</v>
      </c>
      <c r="N374" s="225">
        <v>0</v>
      </c>
      <c r="O374" s="231">
        <v>358</v>
      </c>
      <c r="P374" s="231">
        <v>358</v>
      </c>
      <c r="Q374" s="231"/>
      <c r="R374" s="392">
        <v>194039</v>
      </c>
      <c r="S374" s="231">
        <v>11530</v>
      </c>
      <c r="T374" s="396">
        <v>205569</v>
      </c>
      <c r="U374" s="231"/>
      <c r="V374" s="396"/>
      <c r="W374" s="396"/>
      <c r="X374" s="396">
        <v>1144790</v>
      </c>
      <c r="Y374" s="396">
        <v>81770</v>
      </c>
    </row>
    <row r="375" spans="1:25">
      <c r="A375" s="390">
        <v>93691</v>
      </c>
      <c r="B375" s="391" t="s">
        <v>1074</v>
      </c>
      <c r="C375" s="234">
        <v>1.0933E-3</v>
      </c>
      <c r="D375" s="234">
        <v>1.0889999999999999E-3</v>
      </c>
      <c r="E375" s="231">
        <v>3906827</v>
      </c>
      <c r="F375" s="231" t="s">
        <v>1924</v>
      </c>
      <c r="G375" s="392">
        <v>493364</v>
      </c>
      <c r="H375" s="392">
        <v>549781</v>
      </c>
      <c r="I375" s="392">
        <v>290745</v>
      </c>
      <c r="J375" s="231">
        <v>16957</v>
      </c>
      <c r="K375" s="231">
        <v>1350847</v>
      </c>
      <c r="L375" s="231"/>
      <c r="M375" s="225">
        <v>0</v>
      </c>
      <c r="N375" s="225">
        <v>0</v>
      </c>
      <c r="O375" s="231">
        <v>59898</v>
      </c>
      <c r="P375" s="231">
        <v>59898</v>
      </c>
      <c r="Q375" s="231"/>
      <c r="R375" s="392">
        <v>1343529</v>
      </c>
      <c r="S375" s="231">
        <v>-37398</v>
      </c>
      <c r="T375" s="396">
        <v>1306131</v>
      </c>
      <c r="U375" s="231"/>
      <c r="V375" s="396"/>
      <c r="W375" s="396"/>
      <c r="X375" s="396">
        <v>7926526</v>
      </c>
      <c r="Y375" s="396">
        <v>566174</v>
      </c>
    </row>
    <row r="376" spans="1:25">
      <c r="A376" s="390">
        <v>93701</v>
      </c>
      <c r="B376" s="391" t="s">
        <v>1935</v>
      </c>
      <c r="C376" s="234">
        <v>4.2969999999999998E-4</v>
      </c>
      <c r="D376" s="234">
        <v>4.3600000000000003E-4</v>
      </c>
      <c r="E376" s="231">
        <v>1535501</v>
      </c>
      <c r="F376" s="231" t="s">
        <v>1924</v>
      </c>
      <c r="G376" s="392">
        <v>193907</v>
      </c>
      <c r="H376" s="392">
        <v>216080</v>
      </c>
      <c r="I376" s="392">
        <v>114271</v>
      </c>
      <c r="J376" s="231">
        <v>0</v>
      </c>
      <c r="K376" s="231">
        <v>524258</v>
      </c>
      <c r="L376" s="231"/>
      <c r="M376" s="225">
        <v>0</v>
      </c>
      <c r="N376" s="225">
        <v>0</v>
      </c>
      <c r="O376" s="231">
        <v>28454</v>
      </c>
      <c r="P376" s="231">
        <v>28454</v>
      </c>
      <c r="Q376" s="231"/>
      <c r="R376" s="392">
        <v>528048</v>
      </c>
      <c r="S376" s="231">
        <v>-13597</v>
      </c>
      <c r="T376" s="396">
        <v>514451</v>
      </c>
      <c r="U376" s="231"/>
      <c r="V376" s="396"/>
      <c r="W376" s="396"/>
      <c r="X376" s="396">
        <v>3115365</v>
      </c>
      <c r="Y376" s="396">
        <v>222524</v>
      </c>
    </row>
    <row r="377" spans="1:25">
      <c r="A377" s="390">
        <v>93704</v>
      </c>
      <c r="B377" s="391" t="s">
        <v>1076</v>
      </c>
      <c r="C377" s="234">
        <v>1.9999999999999999E-6</v>
      </c>
      <c r="D377" s="234">
        <v>2.2000000000000001E-6</v>
      </c>
      <c r="E377" s="231">
        <v>7147</v>
      </c>
      <c r="F377" s="231" t="s">
        <v>1924</v>
      </c>
      <c r="G377" s="392">
        <v>903</v>
      </c>
      <c r="H377" s="392">
        <v>1006</v>
      </c>
      <c r="I377" s="392">
        <v>532</v>
      </c>
      <c r="J377" s="231">
        <v>1300</v>
      </c>
      <c r="K377" s="231">
        <v>3741</v>
      </c>
      <c r="L377" s="231"/>
      <c r="M377" s="225">
        <v>0</v>
      </c>
      <c r="N377" s="225">
        <v>0</v>
      </c>
      <c r="O377" s="231">
        <v>0</v>
      </c>
      <c r="P377" s="231">
        <v>0</v>
      </c>
      <c r="Q377" s="231"/>
      <c r="R377" s="392">
        <v>2458</v>
      </c>
      <c r="S377" s="231">
        <v>588</v>
      </c>
      <c r="T377" s="396">
        <v>3046</v>
      </c>
      <c r="U377" s="231"/>
      <c r="V377" s="396"/>
      <c r="W377" s="396"/>
      <c r="X377" s="396">
        <v>14500</v>
      </c>
      <c r="Y377" s="396">
        <v>1036</v>
      </c>
    </row>
    <row r="378" spans="1:25">
      <c r="A378" s="390">
        <v>93801</v>
      </c>
      <c r="B378" s="391" t="s">
        <v>1077</v>
      </c>
      <c r="C378" s="234">
        <v>4.3399999999999998E-4</v>
      </c>
      <c r="D378" s="234">
        <v>4.191E-4</v>
      </c>
      <c r="E378" s="231">
        <v>1550867</v>
      </c>
      <c r="F378" s="231" t="s">
        <v>1924</v>
      </c>
      <c r="G378" s="392">
        <v>195847</v>
      </c>
      <c r="H378" s="392">
        <v>218243</v>
      </c>
      <c r="I378" s="392">
        <v>115415</v>
      </c>
      <c r="J378" s="231">
        <v>17375</v>
      </c>
      <c r="K378" s="231">
        <v>546880</v>
      </c>
      <c r="L378" s="231"/>
      <c r="M378" s="225">
        <v>0</v>
      </c>
      <c r="N378" s="225">
        <v>0</v>
      </c>
      <c r="O378" s="231">
        <v>36797</v>
      </c>
      <c r="P378" s="231">
        <v>36797</v>
      </c>
      <c r="Q378" s="231"/>
      <c r="R378" s="392">
        <v>533332</v>
      </c>
      <c r="S378" s="231">
        <v>11049</v>
      </c>
      <c r="T378" s="396">
        <v>544381</v>
      </c>
      <c r="U378" s="231"/>
      <c r="V378" s="396"/>
      <c r="W378" s="396"/>
      <c r="X378" s="396">
        <v>3146540</v>
      </c>
      <c r="Y378" s="396">
        <v>224750</v>
      </c>
    </row>
    <row r="379" spans="1:25">
      <c r="A379" s="390">
        <v>93803</v>
      </c>
      <c r="B379" s="391" t="s">
        <v>1078</v>
      </c>
      <c r="C379" s="234">
        <v>1.039E-4</v>
      </c>
      <c r="D379" s="234">
        <v>9.0799999999999998E-5</v>
      </c>
      <c r="E379" s="231">
        <v>371279</v>
      </c>
      <c r="F379" s="231" t="s">
        <v>1924</v>
      </c>
      <c r="G379" s="392">
        <v>46886</v>
      </c>
      <c r="H379" s="392">
        <v>52247</v>
      </c>
      <c r="I379" s="392">
        <v>27630</v>
      </c>
      <c r="J379" s="231">
        <v>15945</v>
      </c>
      <c r="K379" s="231">
        <v>142708</v>
      </c>
      <c r="L379" s="231"/>
      <c r="M379" s="225">
        <v>0</v>
      </c>
      <c r="N379" s="225">
        <v>0</v>
      </c>
      <c r="O379" s="231">
        <v>23554</v>
      </c>
      <c r="P379" s="231">
        <v>23554</v>
      </c>
      <c r="Q379" s="231"/>
      <c r="R379" s="392">
        <v>127680</v>
      </c>
      <c r="S379" s="231">
        <v>-10137</v>
      </c>
      <c r="T379" s="396">
        <v>117543</v>
      </c>
      <c r="U379" s="231"/>
      <c r="V379" s="396"/>
      <c r="W379" s="396"/>
      <c r="X379" s="396">
        <v>753285</v>
      </c>
      <c r="Y379" s="396">
        <v>53805</v>
      </c>
    </row>
    <row r="380" spans="1:25">
      <c r="A380" s="390">
        <v>93806</v>
      </c>
      <c r="B380" s="391" t="s">
        <v>1079</v>
      </c>
      <c r="C380" s="234">
        <v>7.0599999999999995E-5</v>
      </c>
      <c r="D380" s="234">
        <v>7.9599999999999997E-5</v>
      </c>
      <c r="E380" s="231">
        <v>252284</v>
      </c>
      <c r="F380" s="231" t="s">
        <v>1924</v>
      </c>
      <c r="G380" s="392">
        <v>31859</v>
      </c>
      <c r="H380" s="392">
        <v>35502</v>
      </c>
      <c r="I380" s="392">
        <v>18775</v>
      </c>
      <c r="J380" s="231">
        <v>4282</v>
      </c>
      <c r="K380" s="231">
        <v>90418</v>
      </c>
      <c r="L380" s="231"/>
      <c r="M380" s="225">
        <v>0</v>
      </c>
      <c r="N380" s="225">
        <v>0</v>
      </c>
      <c r="O380" s="231">
        <v>19739</v>
      </c>
      <c r="P380" s="231">
        <v>19739</v>
      </c>
      <c r="Q380" s="231"/>
      <c r="R380" s="392">
        <v>86759</v>
      </c>
      <c r="S380" s="231">
        <v>-4004</v>
      </c>
      <c r="T380" s="396">
        <v>82755</v>
      </c>
      <c r="U380" s="231"/>
      <c r="V380" s="396"/>
      <c r="W380" s="396"/>
      <c r="X380" s="396">
        <v>511856</v>
      </c>
      <c r="Y380" s="396">
        <v>36561</v>
      </c>
    </row>
    <row r="381" spans="1:25">
      <c r="A381" s="390">
        <v>93821</v>
      </c>
      <c r="B381" s="391" t="s">
        <v>1080</v>
      </c>
      <c r="C381" s="234">
        <v>6.2199999999999994E-5</v>
      </c>
      <c r="D381" s="234">
        <v>6.9200000000000002E-5</v>
      </c>
      <c r="E381" s="231">
        <v>222267</v>
      </c>
      <c r="F381" s="231" t="s">
        <v>1924</v>
      </c>
      <c r="G381" s="392">
        <v>28068</v>
      </c>
      <c r="H381" s="392">
        <v>31278</v>
      </c>
      <c r="I381" s="392">
        <v>16541</v>
      </c>
      <c r="J381" s="231">
        <v>26908</v>
      </c>
      <c r="K381" s="231">
        <v>102795</v>
      </c>
      <c r="L381" s="231"/>
      <c r="M381" s="225">
        <v>0</v>
      </c>
      <c r="N381" s="225">
        <v>0</v>
      </c>
      <c r="O381" s="231">
        <v>9700</v>
      </c>
      <c r="P381" s="231">
        <v>9700</v>
      </c>
      <c r="Q381" s="231"/>
      <c r="R381" s="392">
        <v>76436</v>
      </c>
      <c r="S381" s="231">
        <v>13456</v>
      </c>
      <c r="T381" s="396">
        <v>89892</v>
      </c>
      <c r="U381" s="231"/>
      <c r="V381" s="396"/>
      <c r="W381" s="396"/>
      <c r="X381" s="396">
        <v>450956</v>
      </c>
      <c r="Y381" s="396">
        <v>32211</v>
      </c>
    </row>
    <row r="382" spans="1:25">
      <c r="A382" s="390">
        <v>93901</v>
      </c>
      <c r="B382" s="391" t="s">
        <v>1081</v>
      </c>
      <c r="C382" s="234">
        <v>1.8209999999999999E-3</v>
      </c>
      <c r="D382" s="234">
        <v>1.7884999999999999E-3</v>
      </c>
      <c r="E382" s="231">
        <v>6507209</v>
      </c>
      <c r="F382" s="231" t="s">
        <v>1924</v>
      </c>
      <c r="G382" s="392">
        <v>821746</v>
      </c>
      <c r="H382" s="392">
        <v>915715</v>
      </c>
      <c r="I382" s="392">
        <v>484264</v>
      </c>
      <c r="J382" s="231">
        <v>243235</v>
      </c>
      <c r="K382" s="231">
        <v>2464960</v>
      </c>
      <c r="L382" s="231"/>
      <c r="M382" s="225">
        <v>0</v>
      </c>
      <c r="N382" s="225">
        <v>0</v>
      </c>
      <c r="O382" s="231">
        <v>0</v>
      </c>
      <c r="P382" s="231">
        <v>0</v>
      </c>
      <c r="Q382" s="231"/>
      <c r="R382" s="392">
        <v>2237781</v>
      </c>
      <c r="S382" s="231">
        <v>100671</v>
      </c>
      <c r="T382" s="396">
        <v>2338452</v>
      </c>
      <c r="U382" s="231"/>
      <c r="V382" s="396"/>
      <c r="W382" s="396"/>
      <c r="X382" s="396">
        <v>13202418</v>
      </c>
      <c r="Y382" s="396">
        <v>943019</v>
      </c>
    </row>
    <row r="383" spans="1:25">
      <c r="A383" s="390">
        <v>93904</v>
      </c>
      <c r="B383" s="391" t="s">
        <v>1082</v>
      </c>
      <c r="C383" s="234">
        <v>3.1900000000000003E-5</v>
      </c>
      <c r="D383" s="234">
        <v>3.18E-5</v>
      </c>
      <c r="E383" s="231">
        <v>113992</v>
      </c>
      <c r="F383" s="231" t="s">
        <v>1924</v>
      </c>
      <c r="G383" s="392">
        <v>14395</v>
      </c>
      <c r="H383" s="392">
        <v>16042</v>
      </c>
      <c r="I383" s="392">
        <v>8483</v>
      </c>
      <c r="J383" s="231">
        <v>15074</v>
      </c>
      <c r="K383" s="231">
        <v>53994</v>
      </c>
      <c r="L383" s="231"/>
      <c r="M383" s="225">
        <v>0</v>
      </c>
      <c r="N383" s="225">
        <v>0</v>
      </c>
      <c r="O383" s="231">
        <v>0</v>
      </c>
      <c r="P383" s="231">
        <v>0</v>
      </c>
      <c r="Q383" s="231"/>
      <c r="R383" s="392">
        <v>39201</v>
      </c>
      <c r="S383" s="231">
        <v>6949</v>
      </c>
      <c r="T383" s="396">
        <v>46150</v>
      </c>
      <c r="U383" s="231"/>
      <c r="V383" s="396"/>
      <c r="W383" s="396"/>
      <c r="X383" s="396">
        <v>231278</v>
      </c>
      <c r="Y383" s="396">
        <v>16520</v>
      </c>
    </row>
    <row r="384" spans="1:25">
      <c r="A384" s="390">
        <v>93906</v>
      </c>
      <c r="B384" s="391" t="s">
        <v>1083</v>
      </c>
      <c r="C384" s="234">
        <v>3.0739999999999999E-3</v>
      </c>
      <c r="D384" s="234">
        <v>3.1308E-3</v>
      </c>
      <c r="E384" s="231">
        <v>10984712</v>
      </c>
      <c r="F384" s="231" t="s">
        <v>1924</v>
      </c>
      <c r="G384" s="392">
        <v>1387176</v>
      </c>
      <c r="H384" s="392">
        <v>1545804</v>
      </c>
      <c r="I384" s="392">
        <v>817478</v>
      </c>
      <c r="J384" s="231">
        <v>0</v>
      </c>
      <c r="K384" s="231">
        <v>3750458</v>
      </c>
      <c r="L384" s="231"/>
      <c r="M384" s="225">
        <v>0</v>
      </c>
      <c r="N384" s="225">
        <v>0</v>
      </c>
      <c r="O384" s="231">
        <v>226841</v>
      </c>
      <c r="P384" s="231">
        <v>226841</v>
      </c>
      <c r="Q384" s="231"/>
      <c r="R384" s="392">
        <v>3777562</v>
      </c>
      <c r="S384" s="231">
        <v>-117130</v>
      </c>
      <c r="T384" s="396">
        <v>3660432</v>
      </c>
      <c r="U384" s="231"/>
      <c r="V384" s="396"/>
      <c r="W384" s="396"/>
      <c r="X384" s="396">
        <v>22286783</v>
      </c>
      <c r="Y384" s="396">
        <v>1591895</v>
      </c>
    </row>
    <row r="385" spans="1:25">
      <c r="A385" s="390">
        <v>93908</v>
      </c>
      <c r="B385" s="391" t="s">
        <v>1936</v>
      </c>
      <c r="C385" s="234">
        <v>5.1579999999999996E-4</v>
      </c>
      <c r="D385" s="234">
        <v>4.9540000000000001E-4</v>
      </c>
      <c r="E385" s="231">
        <v>1843173</v>
      </c>
      <c r="F385" s="231" t="s">
        <v>1924</v>
      </c>
      <c r="G385" s="392">
        <v>232760</v>
      </c>
      <c r="H385" s="392">
        <v>259377</v>
      </c>
      <c r="I385" s="392">
        <v>137168</v>
      </c>
      <c r="J385" s="231">
        <v>40671</v>
      </c>
      <c r="K385" s="231">
        <v>669976</v>
      </c>
      <c r="L385" s="231"/>
      <c r="M385" s="225">
        <v>0</v>
      </c>
      <c r="N385" s="225">
        <v>0</v>
      </c>
      <c r="O385" s="231">
        <v>9745</v>
      </c>
      <c r="P385" s="231">
        <v>9745</v>
      </c>
      <c r="Q385" s="231"/>
      <c r="R385" s="392">
        <v>633854</v>
      </c>
      <c r="S385" s="231">
        <v>9319</v>
      </c>
      <c r="T385" s="396">
        <v>643173</v>
      </c>
      <c r="U385" s="231"/>
      <c r="V385" s="396"/>
      <c r="W385" s="396"/>
      <c r="X385" s="396">
        <v>3739597</v>
      </c>
      <c r="Y385" s="396">
        <v>267111</v>
      </c>
    </row>
    <row r="386" spans="1:25">
      <c r="A386" s="390">
        <v>93910</v>
      </c>
      <c r="B386" s="391" t="s">
        <v>1085</v>
      </c>
      <c r="C386" s="234">
        <v>2.6459999999999998E-4</v>
      </c>
      <c r="D386" s="234">
        <v>2.285E-4</v>
      </c>
      <c r="E386" s="231">
        <v>945529</v>
      </c>
      <c r="F386" s="231" t="s">
        <v>1924</v>
      </c>
      <c r="G386" s="392">
        <v>119404</v>
      </c>
      <c r="H386" s="392">
        <v>133057</v>
      </c>
      <c r="I386" s="392">
        <v>70366</v>
      </c>
      <c r="J386" s="231">
        <v>56878</v>
      </c>
      <c r="K386" s="231">
        <v>379705</v>
      </c>
      <c r="L386" s="231"/>
      <c r="M386" s="225">
        <v>0</v>
      </c>
      <c r="N386" s="225">
        <v>0</v>
      </c>
      <c r="O386" s="231">
        <v>25946</v>
      </c>
      <c r="P386" s="231">
        <v>25946</v>
      </c>
      <c r="Q386" s="231"/>
      <c r="R386" s="392">
        <v>325160</v>
      </c>
      <c r="S386" s="231">
        <v>3937</v>
      </c>
      <c r="T386" s="396">
        <v>329097</v>
      </c>
      <c r="U386" s="231"/>
      <c r="V386" s="396"/>
      <c r="W386" s="396"/>
      <c r="X386" s="396">
        <v>1918374</v>
      </c>
      <c r="Y386" s="396">
        <v>137025</v>
      </c>
    </row>
    <row r="387" spans="1:25">
      <c r="A387" s="390">
        <v>93911</v>
      </c>
      <c r="B387" s="391" t="s">
        <v>1086</v>
      </c>
      <c r="C387" s="234">
        <v>6.1660000000000003E-4</v>
      </c>
      <c r="D387" s="234">
        <v>6.4320000000000002E-4</v>
      </c>
      <c r="E387" s="231">
        <v>2203374</v>
      </c>
      <c r="F387" s="231" t="s">
        <v>1924</v>
      </c>
      <c r="G387" s="392">
        <v>278248</v>
      </c>
      <c r="H387" s="392">
        <v>310066</v>
      </c>
      <c r="I387" s="392">
        <v>163974</v>
      </c>
      <c r="J387" s="231">
        <v>7136</v>
      </c>
      <c r="K387" s="231">
        <v>759424</v>
      </c>
      <c r="L387" s="231"/>
      <c r="M387" s="225">
        <v>0</v>
      </c>
      <c r="N387" s="225">
        <v>0</v>
      </c>
      <c r="O387" s="231">
        <v>37682</v>
      </c>
      <c r="P387" s="231">
        <v>37682</v>
      </c>
      <c r="Q387" s="231"/>
      <c r="R387" s="392">
        <v>757724</v>
      </c>
      <c r="S387" s="231">
        <v>-20692</v>
      </c>
      <c r="T387" s="396">
        <v>737032</v>
      </c>
      <c r="U387" s="231"/>
      <c r="V387" s="396"/>
      <c r="W387" s="396"/>
      <c r="X387" s="396">
        <v>4470407</v>
      </c>
      <c r="Y387" s="396">
        <v>319311</v>
      </c>
    </row>
    <row r="388" spans="1:25">
      <c r="A388" s="390">
        <v>93913</v>
      </c>
      <c r="B388" s="391" t="s">
        <v>1087</v>
      </c>
      <c r="C388" s="234">
        <v>4.6699999999999997E-5</v>
      </c>
      <c r="D388" s="234">
        <v>4.9799999999999998E-5</v>
      </c>
      <c r="E388" s="231">
        <v>166879</v>
      </c>
      <c r="F388" s="231" t="s">
        <v>1924</v>
      </c>
      <c r="G388" s="392">
        <v>21074</v>
      </c>
      <c r="H388" s="392">
        <v>23484</v>
      </c>
      <c r="I388" s="392">
        <v>12419</v>
      </c>
      <c r="J388" s="231">
        <v>4898</v>
      </c>
      <c r="K388" s="231">
        <v>61875</v>
      </c>
      <c r="L388" s="231"/>
      <c r="M388" s="225">
        <v>0</v>
      </c>
      <c r="N388" s="225">
        <v>0</v>
      </c>
      <c r="O388" s="231">
        <v>1656</v>
      </c>
      <c r="P388" s="231">
        <v>1656</v>
      </c>
      <c r="Q388" s="231"/>
      <c r="R388" s="392">
        <v>57388</v>
      </c>
      <c r="S388" s="231">
        <v>2161</v>
      </c>
      <c r="T388" s="396">
        <v>59549</v>
      </c>
      <c r="U388" s="231"/>
      <c r="V388" s="396"/>
      <c r="W388" s="396"/>
      <c r="X388" s="396">
        <v>338579</v>
      </c>
      <c r="Y388" s="396">
        <v>24184</v>
      </c>
    </row>
    <row r="389" spans="1:25">
      <c r="A389" s="390">
        <v>93914</v>
      </c>
      <c r="B389" s="391" t="s">
        <v>1088</v>
      </c>
      <c r="C389" s="234">
        <v>5.2000000000000002E-6</v>
      </c>
      <c r="D389" s="234">
        <v>6.1E-6</v>
      </c>
      <c r="E389" s="231">
        <v>18582</v>
      </c>
      <c r="F389" s="231" t="s">
        <v>1924</v>
      </c>
      <c r="G389" s="392">
        <v>2347</v>
      </c>
      <c r="H389" s="392">
        <v>2615</v>
      </c>
      <c r="I389" s="392">
        <v>1383</v>
      </c>
      <c r="J389" s="231">
        <v>4326</v>
      </c>
      <c r="K389" s="231">
        <v>10671</v>
      </c>
      <c r="L389" s="231"/>
      <c r="M389" s="225">
        <v>0</v>
      </c>
      <c r="N389" s="225">
        <v>0</v>
      </c>
      <c r="O389" s="231">
        <v>0</v>
      </c>
      <c r="P389" s="231">
        <v>0</v>
      </c>
      <c r="Q389" s="231"/>
      <c r="R389" s="392">
        <v>6390</v>
      </c>
      <c r="S389" s="231">
        <v>2131</v>
      </c>
      <c r="T389" s="396">
        <v>8521</v>
      </c>
      <c r="U389" s="231"/>
      <c r="V389" s="396"/>
      <c r="W389" s="396"/>
      <c r="X389" s="396">
        <v>37700</v>
      </c>
      <c r="Y389" s="396">
        <v>2693</v>
      </c>
    </row>
    <row r="390" spans="1:25">
      <c r="A390" s="390">
        <v>93921</v>
      </c>
      <c r="B390" s="391" t="s">
        <v>1089</v>
      </c>
      <c r="C390" s="234">
        <v>2.7060000000000002E-4</v>
      </c>
      <c r="D390" s="234">
        <v>2.251E-4</v>
      </c>
      <c r="E390" s="231">
        <v>966969</v>
      </c>
      <c r="F390" s="231" t="s">
        <v>1924</v>
      </c>
      <c r="G390" s="392">
        <v>122111</v>
      </c>
      <c r="H390" s="392">
        <v>136075</v>
      </c>
      <c r="I390" s="392">
        <v>71961</v>
      </c>
      <c r="J390" s="231">
        <v>53869</v>
      </c>
      <c r="K390" s="231">
        <v>384016</v>
      </c>
      <c r="L390" s="231"/>
      <c r="M390" s="225">
        <v>0</v>
      </c>
      <c r="N390" s="225">
        <v>0</v>
      </c>
      <c r="O390" s="231">
        <v>30660</v>
      </c>
      <c r="P390" s="231">
        <v>30660</v>
      </c>
      <c r="Q390" s="231"/>
      <c r="R390" s="392">
        <v>332534</v>
      </c>
      <c r="S390" s="231">
        <v>6976</v>
      </c>
      <c r="T390" s="396">
        <v>339510</v>
      </c>
      <c r="U390" s="231"/>
      <c r="V390" s="396"/>
      <c r="W390" s="396"/>
      <c r="X390" s="396">
        <v>1961875</v>
      </c>
      <c r="Y390" s="396">
        <v>140132</v>
      </c>
    </row>
    <row r="391" spans="1:25">
      <c r="A391" s="390">
        <v>93931</v>
      </c>
      <c r="B391" s="391" t="s">
        <v>1090</v>
      </c>
      <c r="C391" s="234">
        <v>5.3470000000000004E-4</v>
      </c>
      <c r="D391" s="234">
        <v>5.1590000000000002E-4</v>
      </c>
      <c r="E391" s="231">
        <v>1910711</v>
      </c>
      <c r="F391" s="231" t="s">
        <v>1924</v>
      </c>
      <c r="G391" s="392">
        <v>241289</v>
      </c>
      <c r="H391" s="392">
        <v>268881</v>
      </c>
      <c r="I391" s="392">
        <v>142194</v>
      </c>
      <c r="J391" s="231">
        <v>6019</v>
      </c>
      <c r="K391" s="231">
        <v>658383</v>
      </c>
      <c r="L391" s="231"/>
      <c r="M391" s="225">
        <v>0</v>
      </c>
      <c r="N391" s="225">
        <v>0</v>
      </c>
      <c r="O391" s="231">
        <v>37896</v>
      </c>
      <c r="P391" s="231">
        <v>37896</v>
      </c>
      <c r="Q391" s="231"/>
      <c r="R391" s="392">
        <v>657079</v>
      </c>
      <c r="S391" s="231">
        <v>-17752</v>
      </c>
      <c r="T391" s="396">
        <v>639327</v>
      </c>
      <c r="U391" s="231"/>
      <c r="V391" s="396"/>
      <c r="W391" s="396"/>
      <c r="X391" s="396">
        <v>3876624</v>
      </c>
      <c r="Y391" s="396">
        <v>276899</v>
      </c>
    </row>
    <row r="392" spans="1:25">
      <c r="A392" s="390">
        <v>94001</v>
      </c>
      <c r="B392" s="391" t="s">
        <v>1091</v>
      </c>
      <c r="C392" s="234">
        <v>1.0497E-3</v>
      </c>
      <c r="D392" s="234">
        <v>9.3720000000000001E-4</v>
      </c>
      <c r="E392" s="231">
        <v>3751025</v>
      </c>
      <c r="F392" s="231" t="s">
        <v>1924</v>
      </c>
      <c r="G392" s="392">
        <v>473689</v>
      </c>
      <c r="H392" s="392">
        <v>527857</v>
      </c>
      <c r="I392" s="392">
        <v>279150</v>
      </c>
      <c r="J392" s="231">
        <v>165057</v>
      </c>
      <c r="K392" s="231">
        <v>1445753</v>
      </c>
      <c r="L392" s="231"/>
      <c r="M392" s="225">
        <v>0</v>
      </c>
      <c r="N392" s="225">
        <v>0</v>
      </c>
      <c r="O392" s="231">
        <v>0</v>
      </c>
      <c r="P392" s="231">
        <v>0</v>
      </c>
      <c r="Q392" s="231"/>
      <c r="R392" s="392">
        <v>1289950</v>
      </c>
      <c r="S392" s="231">
        <v>67354</v>
      </c>
      <c r="T392" s="396">
        <v>1357304</v>
      </c>
      <c r="U392" s="231"/>
      <c r="V392" s="396"/>
      <c r="W392" s="396"/>
      <c r="X392" s="396">
        <v>7610422</v>
      </c>
      <c r="Y392" s="396">
        <v>543596</v>
      </c>
    </row>
    <row r="393" spans="1:25">
      <c r="A393" s="390">
        <v>94002</v>
      </c>
      <c r="B393" s="391" t="s">
        <v>1092</v>
      </c>
      <c r="C393" s="234">
        <v>4.5000000000000001E-6</v>
      </c>
      <c r="D393" s="234">
        <v>5.2000000000000002E-6</v>
      </c>
      <c r="E393" s="231">
        <v>16080</v>
      </c>
      <c r="F393" s="231" t="s">
        <v>1924</v>
      </c>
      <c r="G393" s="392">
        <v>2031</v>
      </c>
      <c r="H393" s="392">
        <v>2263</v>
      </c>
      <c r="I393" s="392">
        <v>1197</v>
      </c>
      <c r="J393" s="231">
        <v>2386</v>
      </c>
      <c r="K393" s="231">
        <v>7877</v>
      </c>
      <c r="L393" s="231"/>
      <c r="M393" s="225">
        <v>0</v>
      </c>
      <c r="N393" s="225">
        <v>0</v>
      </c>
      <c r="O393" s="231">
        <v>0</v>
      </c>
      <c r="P393" s="231">
        <v>0</v>
      </c>
      <c r="Q393" s="231"/>
      <c r="R393" s="392">
        <v>5530</v>
      </c>
      <c r="S393" s="231">
        <v>1119</v>
      </c>
      <c r="T393" s="396">
        <v>6649</v>
      </c>
      <c r="U393" s="231"/>
      <c r="V393" s="396"/>
      <c r="W393" s="396"/>
      <c r="X393" s="396">
        <v>32625</v>
      </c>
      <c r="Y393" s="396">
        <v>2330</v>
      </c>
    </row>
    <row r="394" spans="1:25">
      <c r="A394" s="390">
        <v>94004</v>
      </c>
      <c r="B394" s="391" t="s">
        <v>1093</v>
      </c>
      <c r="C394" s="234">
        <v>6.8000000000000001E-6</v>
      </c>
      <c r="D394" s="234">
        <v>7.4000000000000003E-6</v>
      </c>
      <c r="E394" s="231">
        <v>24299</v>
      </c>
      <c r="F394" s="231" t="s">
        <v>1924</v>
      </c>
      <c r="G394" s="392">
        <v>3069</v>
      </c>
      <c r="H394" s="392">
        <v>3420</v>
      </c>
      <c r="I394" s="392">
        <v>1808</v>
      </c>
      <c r="J394" s="231">
        <v>3010</v>
      </c>
      <c r="K394" s="231">
        <v>11307</v>
      </c>
      <c r="L394" s="231"/>
      <c r="M394" s="225">
        <v>0</v>
      </c>
      <c r="N394" s="225">
        <v>0</v>
      </c>
      <c r="O394" s="231">
        <v>0</v>
      </c>
      <c r="P394" s="231">
        <v>0</v>
      </c>
      <c r="Q394" s="231"/>
      <c r="R394" s="392">
        <v>8356</v>
      </c>
      <c r="S394" s="231">
        <v>2019</v>
      </c>
      <c r="T394" s="396">
        <v>10375</v>
      </c>
      <c r="U394" s="231"/>
      <c r="V394" s="396"/>
      <c r="W394" s="396"/>
      <c r="X394" s="396">
        <v>49301</v>
      </c>
      <c r="Y394" s="396">
        <v>3521</v>
      </c>
    </row>
    <row r="395" spans="1:25">
      <c r="A395" s="390">
        <v>94005</v>
      </c>
      <c r="B395" s="391" t="s">
        <v>1094</v>
      </c>
      <c r="C395" s="234">
        <v>1.9E-6</v>
      </c>
      <c r="D395" s="234">
        <v>1.9E-6</v>
      </c>
      <c r="E395" s="231">
        <v>6790</v>
      </c>
      <c r="F395" s="231" t="s">
        <v>1924</v>
      </c>
      <c r="G395" s="392">
        <v>857</v>
      </c>
      <c r="H395" s="392">
        <v>955</v>
      </c>
      <c r="I395" s="392">
        <v>505</v>
      </c>
      <c r="J395" s="231">
        <v>3030</v>
      </c>
      <c r="K395" s="231">
        <v>5347</v>
      </c>
      <c r="L395" s="231"/>
      <c r="M395" s="225">
        <v>0</v>
      </c>
      <c r="N395" s="225">
        <v>0</v>
      </c>
      <c r="O395" s="231">
        <v>1834</v>
      </c>
      <c r="P395" s="231">
        <v>1834</v>
      </c>
      <c r="Q395" s="231"/>
      <c r="R395" s="392">
        <v>2335</v>
      </c>
      <c r="S395" s="231">
        <v>-348</v>
      </c>
      <c r="T395" s="396">
        <v>1987</v>
      </c>
      <c r="U395" s="231"/>
      <c r="V395" s="396"/>
      <c r="W395" s="396"/>
      <c r="X395" s="396">
        <v>13775</v>
      </c>
      <c r="Y395" s="396">
        <v>984</v>
      </c>
    </row>
    <row r="396" spans="1:25">
      <c r="A396" s="390">
        <v>94011</v>
      </c>
      <c r="B396" s="391" t="s">
        <v>1095</v>
      </c>
      <c r="C396" s="234">
        <v>2.7900000000000001E-5</v>
      </c>
      <c r="D396" s="234">
        <v>2.6699999999999998E-5</v>
      </c>
      <c r="E396" s="231">
        <v>99699</v>
      </c>
      <c r="F396" s="231" t="s">
        <v>1924</v>
      </c>
      <c r="G396" s="392">
        <v>12590</v>
      </c>
      <c r="H396" s="392">
        <v>14030</v>
      </c>
      <c r="I396" s="392">
        <v>7420</v>
      </c>
      <c r="J396" s="231">
        <v>900</v>
      </c>
      <c r="K396" s="231">
        <v>34940</v>
      </c>
      <c r="L396" s="231"/>
      <c r="M396" s="225">
        <v>0</v>
      </c>
      <c r="N396" s="225">
        <v>0</v>
      </c>
      <c r="O396" s="231">
        <v>3488</v>
      </c>
      <c r="P396" s="231">
        <v>3488</v>
      </c>
      <c r="Q396" s="231"/>
      <c r="R396" s="392">
        <v>34286</v>
      </c>
      <c r="S396" s="231">
        <v>-182</v>
      </c>
      <c r="T396" s="396">
        <v>34104</v>
      </c>
      <c r="U396" s="231"/>
      <c r="V396" s="396"/>
      <c r="W396" s="396"/>
      <c r="X396" s="396">
        <v>202278</v>
      </c>
      <c r="Y396" s="396">
        <v>14448</v>
      </c>
    </row>
    <row r="397" spans="1:25">
      <c r="A397" s="390">
        <v>94021</v>
      </c>
      <c r="B397" s="391" t="s">
        <v>1096</v>
      </c>
      <c r="C397" s="234">
        <v>1.031E-4</v>
      </c>
      <c r="D397" s="234">
        <v>8.3300000000000005E-5</v>
      </c>
      <c r="E397" s="231">
        <v>368420</v>
      </c>
      <c r="F397" s="231" t="s">
        <v>1924</v>
      </c>
      <c r="G397" s="392">
        <v>46525</v>
      </c>
      <c r="H397" s="392">
        <v>51845</v>
      </c>
      <c r="I397" s="392">
        <v>27418</v>
      </c>
      <c r="J397" s="231">
        <v>30922</v>
      </c>
      <c r="K397" s="231">
        <v>156710</v>
      </c>
      <c r="L397" s="231"/>
      <c r="M397" s="225">
        <v>0</v>
      </c>
      <c r="N397" s="225">
        <v>0</v>
      </c>
      <c r="O397" s="231">
        <v>0</v>
      </c>
      <c r="P397" s="231">
        <v>0</v>
      </c>
      <c r="Q397" s="231"/>
      <c r="R397" s="392">
        <v>126697</v>
      </c>
      <c r="S397" s="231">
        <v>13054</v>
      </c>
      <c r="T397" s="396">
        <v>139751</v>
      </c>
      <c r="U397" s="231"/>
      <c r="V397" s="396"/>
      <c r="W397" s="396"/>
      <c r="X397" s="396">
        <v>747484</v>
      </c>
      <c r="Y397" s="396">
        <v>53391</v>
      </c>
    </row>
    <row r="398" spans="1:25">
      <c r="A398" s="390">
        <v>94031</v>
      </c>
      <c r="B398" s="391" t="s">
        <v>1097</v>
      </c>
      <c r="C398" s="234">
        <v>4.4000000000000002E-6</v>
      </c>
      <c r="D398" s="234">
        <v>4.6E-6</v>
      </c>
      <c r="E398" s="231">
        <v>15723</v>
      </c>
      <c r="F398" s="231" t="s">
        <v>1924</v>
      </c>
      <c r="G398" s="392">
        <v>1986</v>
      </c>
      <c r="H398" s="392">
        <v>2213</v>
      </c>
      <c r="I398" s="392">
        <v>1170</v>
      </c>
      <c r="J398" s="231">
        <v>6367</v>
      </c>
      <c r="K398" s="231">
        <v>11736</v>
      </c>
      <c r="L398" s="231"/>
      <c r="M398" s="225">
        <v>0</v>
      </c>
      <c r="N398" s="225">
        <v>0</v>
      </c>
      <c r="O398" s="231">
        <v>0</v>
      </c>
      <c r="P398" s="231">
        <v>0</v>
      </c>
      <c r="Q398" s="231"/>
      <c r="R398" s="392">
        <v>5407</v>
      </c>
      <c r="S398" s="231">
        <v>3598</v>
      </c>
      <c r="T398" s="396">
        <v>9005</v>
      </c>
      <c r="U398" s="231"/>
      <c r="V398" s="396"/>
      <c r="W398" s="396"/>
      <c r="X398" s="396">
        <v>31900</v>
      </c>
      <c r="Y398" s="396">
        <v>2279</v>
      </c>
    </row>
    <row r="399" spans="1:25">
      <c r="A399" s="390">
        <v>94101</v>
      </c>
      <c r="B399" s="391" t="s">
        <v>1098</v>
      </c>
      <c r="C399" s="234">
        <v>1.7262900000000001E-2</v>
      </c>
      <c r="D399" s="234">
        <v>1.7750700000000001E-2</v>
      </c>
      <c r="E399" s="231">
        <v>61687696</v>
      </c>
      <c r="F399" s="231" t="s">
        <v>1924</v>
      </c>
      <c r="G399" s="392">
        <v>7790074</v>
      </c>
      <c r="H399" s="392">
        <v>8680890</v>
      </c>
      <c r="I399" s="392">
        <v>4590775</v>
      </c>
      <c r="J399" s="231">
        <v>16828</v>
      </c>
      <c r="K399" s="231">
        <v>21078567</v>
      </c>
      <c r="L399" s="231"/>
      <c r="M399" s="225">
        <v>0</v>
      </c>
      <c r="N399" s="225">
        <v>0</v>
      </c>
      <c r="O399" s="231">
        <v>314435</v>
      </c>
      <c r="P399" s="231">
        <v>314435</v>
      </c>
      <c r="Q399" s="231"/>
      <c r="R399" s="392">
        <v>21213946</v>
      </c>
      <c r="S399" s="231">
        <v>-230495</v>
      </c>
      <c r="T399" s="396">
        <v>20983451</v>
      </c>
      <c r="U399" s="231"/>
      <c r="V399" s="396"/>
      <c r="W399" s="396"/>
      <c r="X399" s="396">
        <v>125157613</v>
      </c>
      <c r="Y399" s="396">
        <v>8939731</v>
      </c>
    </row>
    <row r="400" spans="1:25">
      <c r="A400" s="390">
        <v>94102</v>
      </c>
      <c r="B400" s="391" t="s">
        <v>1099</v>
      </c>
      <c r="C400" s="234">
        <v>3.8249999999999997E-4</v>
      </c>
      <c r="D400" s="234">
        <v>3.3849999999999999E-4</v>
      </c>
      <c r="E400" s="231">
        <v>1366835</v>
      </c>
      <c r="F400" s="231" t="s">
        <v>1924</v>
      </c>
      <c r="G400" s="392">
        <v>172607</v>
      </c>
      <c r="H400" s="392">
        <v>192346</v>
      </c>
      <c r="I400" s="392">
        <v>101719</v>
      </c>
      <c r="J400" s="231">
        <v>18850</v>
      </c>
      <c r="K400" s="231">
        <v>485522</v>
      </c>
      <c r="L400" s="231"/>
      <c r="M400" s="225">
        <v>0</v>
      </c>
      <c r="N400" s="225">
        <v>0</v>
      </c>
      <c r="O400" s="231">
        <v>18129</v>
      </c>
      <c r="P400" s="231">
        <v>18129</v>
      </c>
      <c r="Q400" s="231"/>
      <c r="R400" s="392">
        <v>470045</v>
      </c>
      <c r="S400" s="231">
        <v>-8650</v>
      </c>
      <c r="T400" s="396">
        <v>461395</v>
      </c>
      <c r="U400" s="231"/>
      <c r="V400" s="396"/>
      <c r="W400" s="396"/>
      <c r="X400" s="396">
        <v>2773160</v>
      </c>
      <c r="Y400" s="396">
        <v>198081</v>
      </c>
    </row>
    <row r="401" spans="1:25">
      <c r="A401" s="390">
        <v>94108</v>
      </c>
      <c r="B401" s="391" t="s">
        <v>1100</v>
      </c>
      <c r="C401" s="234">
        <v>4.2030000000000002E-4</v>
      </c>
      <c r="D401" s="234">
        <v>3.8289999999999998E-4</v>
      </c>
      <c r="E401" s="231">
        <v>1501911</v>
      </c>
      <c r="F401" s="231" t="s">
        <v>1924</v>
      </c>
      <c r="G401" s="392">
        <v>189665</v>
      </c>
      <c r="H401" s="392">
        <v>211354</v>
      </c>
      <c r="I401" s="392">
        <v>111772</v>
      </c>
      <c r="J401" s="231">
        <v>6794</v>
      </c>
      <c r="K401" s="231">
        <v>519585</v>
      </c>
      <c r="L401" s="231"/>
      <c r="M401" s="225">
        <v>0</v>
      </c>
      <c r="N401" s="225">
        <v>0</v>
      </c>
      <c r="O401" s="231">
        <v>43759</v>
      </c>
      <c r="P401" s="231">
        <v>43759</v>
      </c>
      <c r="Q401" s="231"/>
      <c r="R401" s="392">
        <v>516496</v>
      </c>
      <c r="S401" s="231">
        <v>-30879</v>
      </c>
      <c r="T401" s="396">
        <v>485617</v>
      </c>
      <c r="U401" s="231"/>
      <c r="V401" s="396"/>
      <c r="W401" s="396"/>
      <c r="X401" s="396">
        <v>3047214</v>
      </c>
      <c r="Y401" s="396">
        <v>217656</v>
      </c>
    </row>
    <row r="402" spans="1:25">
      <c r="A402" s="390">
        <v>94109</v>
      </c>
      <c r="B402" s="391" t="s">
        <v>1101</v>
      </c>
      <c r="C402" s="234">
        <v>1.059E-4</v>
      </c>
      <c r="D402" s="234">
        <v>1.048E-4</v>
      </c>
      <c r="E402" s="231">
        <v>378426</v>
      </c>
      <c r="F402" s="231" t="s">
        <v>1924</v>
      </c>
      <c r="G402" s="392">
        <v>47789</v>
      </c>
      <c r="H402" s="392">
        <v>53253</v>
      </c>
      <c r="I402" s="392">
        <v>28162</v>
      </c>
      <c r="J402" s="231">
        <v>0</v>
      </c>
      <c r="K402" s="231">
        <v>129204</v>
      </c>
      <c r="L402" s="231"/>
      <c r="M402" s="225">
        <v>0</v>
      </c>
      <c r="N402" s="225">
        <v>0</v>
      </c>
      <c r="O402" s="231">
        <v>22135</v>
      </c>
      <c r="P402" s="231">
        <v>22135</v>
      </c>
      <c r="Q402" s="231"/>
      <c r="R402" s="392">
        <v>130138</v>
      </c>
      <c r="S402" s="231">
        <v>-16626</v>
      </c>
      <c r="T402" s="396">
        <v>113512</v>
      </c>
      <c r="U402" s="231"/>
      <c r="V402" s="396"/>
      <c r="W402" s="396"/>
      <c r="X402" s="396">
        <v>767785</v>
      </c>
      <c r="Y402" s="396">
        <v>54841</v>
      </c>
    </row>
    <row r="403" spans="1:25">
      <c r="A403" s="390">
        <v>94111</v>
      </c>
      <c r="B403" s="391" t="s">
        <v>1102</v>
      </c>
      <c r="C403" s="234">
        <v>2.4351600000000001E-2</v>
      </c>
      <c r="D403" s="234">
        <v>2.50095E-2</v>
      </c>
      <c r="E403" s="231">
        <v>87018641</v>
      </c>
      <c r="F403" s="231" t="s">
        <v>1924</v>
      </c>
      <c r="G403" s="392">
        <v>10988927</v>
      </c>
      <c r="H403" s="392">
        <v>12245543</v>
      </c>
      <c r="I403" s="392">
        <v>6475894</v>
      </c>
      <c r="J403" s="231">
        <v>0</v>
      </c>
      <c r="K403" s="231">
        <v>29710364</v>
      </c>
      <c r="L403" s="231"/>
      <c r="M403" s="225">
        <v>0</v>
      </c>
      <c r="N403" s="225">
        <v>0</v>
      </c>
      <c r="O403" s="231">
        <v>1367598</v>
      </c>
      <c r="P403" s="231">
        <v>1367598</v>
      </c>
      <c r="Q403" s="231"/>
      <c r="R403" s="392">
        <v>29925072</v>
      </c>
      <c r="S403" s="231">
        <v>-837153</v>
      </c>
      <c r="T403" s="396">
        <v>29087919</v>
      </c>
      <c r="U403" s="231"/>
      <c r="V403" s="396"/>
      <c r="W403" s="396"/>
      <c r="X403" s="396">
        <v>176551340</v>
      </c>
      <c r="Y403" s="396">
        <v>12610671</v>
      </c>
    </row>
    <row r="404" spans="1:25">
      <c r="A404" s="390">
        <v>94112</v>
      </c>
      <c r="B404" s="391" t="s">
        <v>1103</v>
      </c>
      <c r="C404" s="234">
        <v>1.4980000000000001E-4</v>
      </c>
      <c r="D404" s="234">
        <v>1.6870000000000001E-4</v>
      </c>
      <c r="E404" s="231">
        <v>535299</v>
      </c>
      <c r="F404" s="231" t="s">
        <v>1924</v>
      </c>
      <c r="G404" s="392">
        <v>67599</v>
      </c>
      <c r="H404" s="392">
        <v>75329</v>
      </c>
      <c r="I404" s="392">
        <v>39837</v>
      </c>
      <c r="J404" s="231">
        <v>0</v>
      </c>
      <c r="K404" s="231">
        <v>182765</v>
      </c>
      <c r="L404" s="231"/>
      <c r="M404" s="225">
        <v>0</v>
      </c>
      <c r="N404" s="225">
        <v>0</v>
      </c>
      <c r="O404" s="231">
        <v>30471</v>
      </c>
      <c r="P404" s="231">
        <v>30471</v>
      </c>
      <c r="Q404" s="231"/>
      <c r="R404" s="392">
        <v>184085</v>
      </c>
      <c r="S404" s="231">
        <v>-13436</v>
      </c>
      <c r="T404" s="396">
        <v>170649</v>
      </c>
      <c r="U404" s="231"/>
      <c r="V404" s="396"/>
      <c r="W404" s="396"/>
      <c r="X404" s="396">
        <v>1086064</v>
      </c>
      <c r="Y404" s="396">
        <v>77575</v>
      </c>
    </row>
    <row r="405" spans="1:25">
      <c r="A405" s="390">
        <v>94117</v>
      </c>
      <c r="B405" s="391" t="s">
        <v>1104</v>
      </c>
      <c r="C405" s="234">
        <v>3.1700000000000001E-4</v>
      </c>
      <c r="D405" s="234">
        <v>3.232E-4</v>
      </c>
      <c r="E405" s="231">
        <v>1132776</v>
      </c>
      <c r="F405" s="231" t="s">
        <v>1924</v>
      </c>
      <c r="G405" s="392">
        <v>143050</v>
      </c>
      <c r="H405" s="392">
        <v>159408</v>
      </c>
      <c r="I405" s="392">
        <v>84301</v>
      </c>
      <c r="J405" s="231">
        <v>29421</v>
      </c>
      <c r="K405" s="231">
        <v>416180</v>
      </c>
      <c r="L405" s="231"/>
      <c r="M405" s="225">
        <v>0</v>
      </c>
      <c r="N405" s="225">
        <v>0</v>
      </c>
      <c r="O405" s="231">
        <v>19691</v>
      </c>
      <c r="P405" s="231">
        <v>19691</v>
      </c>
      <c r="Q405" s="231"/>
      <c r="R405" s="392">
        <v>389553</v>
      </c>
      <c r="S405" s="231">
        <v>-2295</v>
      </c>
      <c r="T405" s="396">
        <v>387258</v>
      </c>
      <c r="U405" s="231"/>
      <c r="V405" s="396"/>
      <c r="W405" s="396"/>
      <c r="X405" s="396">
        <v>2298279</v>
      </c>
      <c r="Y405" s="396">
        <v>164161</v>
      </c>
    </row>
    <row r="406" spans="1:25">
      <c r="A406" s="390">
        <v>94118</v>
      </c>
      <c r="B406" s="391" t="s">
        <v>1105</v>
      </c>
      <c r="C406" s="234">
        <v>1.5530000000000001E-4</v>
      </c>
      <c r="D406" s="234">
        <v>1.6009999999999999E-4</v>
      </c>
      <c r="E406" s="231">
        <v>554953</v>
      </c>
      <c r="F406" s="231" t="s">
        <v>1924</v>
      </c>
      <c r="G406" s="392">
        <v>70081</v>
      </c>
      <c r="H406" s="392">
        <v>78095</v>
      </c>
      <c r="I406" s="392">
        <v>41299</v>
      </c>
      <c r="J406" s="231">
        <v>0</v>
      </c>
      <c r="K406" s="231">
        <v>189475</v>
      </c>
      <c r="L406" s="231"/>
      <c r="M406" s="225">
        <v>0</v>
      </c>
      <c r="N406" s="225">
        <v>0</v>
      </c>
      <c r="O406" s="231">
        <v>33300</v>
      </c>
      <c r="P406" s="231">
        <v>33300</v>
      </c>
      <c r="Q406" s="231"/>
      <c r="R406" s="392">
        <v>190844</v>
      </c>
      <c r="S406" s="231">
        <v>-20362</v>
      </c>
      <c r="T406" s="396">
        <v>170482</v>
      </c>
      <c r="U406" s="231"/>
      <c r="V406" s="396"/>
      <c r="W406" s="396"/>
      <c r="X406" s="396">
        <v>1125939</v>
      </c>
      <c r="Y406" s="396">
        <v>80423</v>
      </c>
    </row>
    <row r="407" spans="1:25">
      <c r="A407" s="390">
        <v>94121</v>
      </c>
      <c r="B407" s="391" t="s">
        <v>1106</v>
      </c>
      <c r="C407" s="234">
        <v>1.1174099999999999E-2</v>
      </c>
      <c r="D407" s="234">
        <v>1.1113E-2</v>
      </c>
      <c r="E407" s="231">
        <v>39929819</v>
      </c>
      <c r="F407" s="231" t="s">
        <v>1924</v>
      </c>
      <c r="G407" s="392">
        <v>5042436</v>
      </c>
      <c r="H407" s="392">
        <v>5619053</v>
      </c>
      <c r="I407" s="392">
        <v>2971562</v>
      </c>
      <c r="J407" s="231">
        <v>373849</v>
      </c>
      <c r="K407" s="231">
        <v>14006900</v>
      </c>
      <c r="L407" s="231"/>
      <c r="M407" s="225">
        <v>0</v>
      </c>
      <c r="N407" s="225">
        <v>0</v>
      </c>
      <c r="O407" s="231">
        <v>0</v>
      </c>
      <c r="P407" s="231">
        <v>0</v>
      </c>
      <c r="Q407" s="231"/>
      <c r="R407" s="392">
        <v>13731572</v>
      </c>
      <c r="S407" s="231">
        <v>84663</v>
      </c>
      <c r="T407" s="396">
        <v>13816235</v>
      </c>
      <c r="U407" s="231"/>
      <c r="V407" s="396"/>
      <c r="W407" s="396"/>
      <c r="X407" s="396">
        <v>81013253</v>
      </c>
      <c r="Y407" s="396">
        <v>5786597</v>
      </c>
    </row>
    <row r="408" spans="1:25">
      <c r="A408" s="390">
        <v>94127</v>
      </c>
      <c r="B408" s="391" t="s">
        <v>1107</v>
      </c>
      <c r="C408" s="234">
        <v>1.46E-4</v>
      </c>
      <c r="D408" s="234">
        <v>1.4310000000000001E-4</v>
      </c>
      <c r="E408" s="231">
        <v>521720</v>
      </c>
      <c r="F408" s="231" t="s">
        <v>1924</v>
      </c>
      <c r="G408" s="392">
        <v>65884</v>
      </c>
      <c r="H408" s="392">
        <v>73418</v>
      </c>
      <c r="I408" s="392">
        <v>38826</v>
      </c>
      <c r="J408" s="231">
        <v>14485</v>
      </c>
      <c r="K408" s="231">
        <v>192613</v>
      </c>
      <c r="L408" s="231"/>
      <c r="M408" s="225">
        <v>0</v>
      </c>
      <c r="N408" s="225">
        <v>0</v>
      </c>
      <c r="O408" s="231">
        <v>10683</v>
      </c>
      <c r="P408" s="231">
        <v>10683</v>
      </c>
      <c r="Q408" s="231"/>
      <c r="R408" s="392">
        <v>179416</v>
      </c>
      <c r="S408" s="231">
        <v>1845</v>
      </c>
      <c r="T408" s="396">
        <v>181261</v>
      </c>
      <c r="U408" s="231"/>
      <c r="V408" s="396"/>
      <c r="W408" s="396"/>
      <c r="X408" s="396">
        <v>1058513</v>
      </c>
      <c r="Y408" s="396">
        <v>75607</v>
      </c>
    </row>
    <row r="409" spans="1:25">
      <c r="A409" s="390">
        <v>94131</v>
      </c>
      <c r="B409" s="391" t="s">
        <v>1108</v>
      </c>
      <c r="C409" s="234">
        <v>2.1269999999999999E-4</v>
      </c>
      <c r="D409" s="234">
        <v>2.1029999999999999E-4</v>
      </c>
      <c r="E409" s="231">
        <v>760068</v>
      </c>
      <c r="F409" s="231" t="s">
        <v>1924</v>
      </c>
      <c r="G409" s="392">
        <v>95983</v>
      </c>
      <c r="H409" s="392">
        <v>106959</v>
      </c>
      <c r="I409" s="392">
        <v>56564</v>
      </c>
      <c r="J409" s="231">
        <v>20562</v>
      </c>
      <c r="K409" s="231">
        <v>280068</v>
      </c>
      <c r="L409" s="231"/>
      <c r="M409" s="225">
        <v>0</v>
      </c>
      <c r="N409" s="225">
        <v>0</v>
      </c>
      <c r="O409" s="231">
        <v>2127</v>
      </c>
      <c r="P409" s="231">
        <v>2127</v>
      </c>
      <c r="Q409" s="231"/>
      <c r="R409" s="392">
        <v>261382</v>
      </c>
      <c r="S409" s="231">
        <v>6949</v>
      </c>
      <c r="T409" s="396">
        <v>268331</v>
      </c>
      <c r="U409" s="231"/>
      <c r="V409" s="396"/>
      <c r="W409" s="396"/>
      <c r="X409" s="396">
        <v>1542095</v>
      </c>
      <c r="Y409" s="396">
        <v>110148</v>
      </c>
    </row>
    <row r="410" spans="1:25" ht="14.25" customHeight="1">
      <c r="A410" s="390">
        <v>94151</v>
      </c>
      <c r="B410" s="391" t="s">
        <v>1109</v>
      </c>
      <c r="C410" s="234">
        <v>4.3360000000000002E-4</v>
      </c>
      <c r="D410" s="234">
        <v>4.6660000000000001E-4</v>
      </c>
      <c r="E410" s="231">
        <v>1549438</v>
      </c>
      <c r="F410" s="231" t="s">
        <v>1924</v>
      </c>
      <c r="G410" s="392">
        <v>195667</v>
      </c>
      <c r="H410" s="392">
        <v>218041</v>
      </c>
      <c r="I410" s="392">
        <v>115309</v>
      </c>
      <c r="J410" s="231">
        <v>6070</v>
      </c>
      <c r="K410" s="231">
        <v>535087</v>
      </c>
      <c r="L410" s="231"/>
      <c r="M410" s="225">
        <v>0</v>
      </c>
      <c r="N410" s="225">
        <v>0</v>
      </c>
      <c r="O410" s="231">
        <v>70239</v>
      </c>
      <c r="P410" s="231">
        <v>70239</v>
      </c>
      <c r="Q410" s="231"/>
      <c r="R410" s="392">
        <v>532840</v>
      </c>
      <c r="S410" s="231">
        <v>-26202</v>
      </c>
      <c r="T410" s="396">
        <v>506638</v>
      </c>
      <c r="U410" s="231"/>
      <c r="V410" s="396"/>
      <c r="W410" s="396"/>
      <c r="X410" s="396">
        <v>3143640</v>
      </c>
      <c r="Y410" s="396">
        <v>224543</v>
      </c>
    </row>
    <row r="411" spans="1:25">
      <c r="A411" s="390">
        <v>94157</v>
      </c>
      <c r="B411" s="391" t="s">
        <v>1110</v>
      </c>
      <c r="C411" s="234">
        <v>9.7000000000000003E-6</v>
      </c>
      <c r="D411" s="234">
        <v>8.6000000000000007E-6</v>
      </c>
      <c r="E411" s="231">
        <v>34662</v>
      </c>
      <c r="F411" s="231" t="s">
        <v>1924</v>
      </c>
      <c r="G411" s="392">
        <v>4377</v>
      </c>
      <c r="H411" s="392">
        <v>4878</v>
      </c>
      <c r="I411" s="392">
        <v>2580</v>
      </c>
      <c r="J411" s="231">
        <v>3551</v>
      </c>
      <c r="K411" s="231">
        <v>15386</v>
      </c>
      <c r="L411" s="231"/>
      <c r="M411" s="225">
        <v>0</v>
      </c>
      <c r="N411" s="225">
        <v>0</v>
      </c>
      <c r="O411" s="231">
        <v>0</v>
      </c>
      <c r="P411" s="231">
        <v>0</v>
      </c>
      <c r="Q411" s="231"/>
      <c r="R411" s="392">
        <v>11920</v>
      </c>
      <c r="S411" s="231">
        <v>1658</v>
      </c>
      <c r="T411" s="396">
        <v>13578</v>
      </c>
      <c r="U411" s="231"/>
      <c r="V411" s="396"/>
      <c r="W411" s="396"/>
      <c r="X411" s="396">
        <v>70326</v>
      </c>
      <c r="Y411" s="396">
        <v>5023</v>
      </c>
    </row>
    <row r="412" spans="1:25">
      <c r="A412" s="390">
        <v>94161</v>
      </c>
      <c r="B412" s="391" t="s">
        <v>1111</v>
      </c>
      <c r="C412" s="234">
        <v>4.9200000000000003E-5</v>
      </c>
      <c r="D412" s="234">
        <v>4.8600000000000002E-5</v>
      </c>
      <c r="E412" s="231">
        <v>175813</v>
      </c>
      <c r="F412" s="231" t="s">
        <v>1924</v>
      </c>
      <c r="G412" s="392">
        <v>22202</v>
      </c>
      <c r="H412" s="392">
        <v>24741</v>
      </c>
      <c r="I412" s="392">
        <v>13084</v>
      </c>
      <c r="J412" s="231">
        <v>13128</v>
      </c>
      <c r="K412" s="231">
        <v>73155</v>
      </c>
      <c r="L412" s="231"/>
      <c r="M412" s="225">
        <v>0</v>
      </c>
      <c r="N412" s="225">
        <v>0</v>
      </c>
      <c r="O412" s="231">
        <v>4515</v>
      </c>
      <c r="P412" s="231">
        <v>4515</v>
      </c>
      <c r="Q412" s="231"/>
      <c r="R412" s="392">
        <v>60461</v>
      </c>
      <c r="S412" s="231">
        <v>1978</v>
      </c>
      <c r="T412" s="396">
        <v>62439</v>
      </c>
      <c r="U412" s="231"/>
      <c r="V412" s="396"/>
      <c r="W412" s="396"/>
      <c r="X412" s="396">
        <v>356705</v>
      </c>
      <c r="Y412" s="396">
        <v>25479</v>
      </c>
    </row>
    <row r="413" spans="1:25">
      <c r="A413" s="390">
        <v>94168</v>
      </c>
      <c r="B413" s="391" t="s">
        <v>1112</v>
      </c>
      <c r="C413" s="234">
        <v>6.6600000000000006E-5</v>
      </c>
      <c r="D413" s="234">
        <v>5.5099999999999998E-5</v>
      </c>
      <c r="E413" s="231">
        <v>237990</v>
      </c>
      <c r="F413" s="231" t="s">
        <v>1924</v>
      </c>
      <c r="G413" s="392">
        <v>30054</v>
      </c>
      <c r="H413" s="392">
        <v>33491</v>
      </c>
      <c r="I413" s="392">
        <v>17711</v>
      </c>
      <c r="J413" s="231">
        <v>21043</v>
      </c>
      <c r="K413" s="231">
        <v>102299</v>
      </c>
      <c r="L413" s="231"/>
      <c r="M413" s="225">
        <v>0</v>
      </c>
      <c r="N413" s="225">
        <v>0</v>
      </c>
      <c r="O413" s="231">
        <v>800</v>
      </c>
      <c r="P413" s="231">
        <v>800</v>
      </c>
      <c r="Q413" s="231"/>
      <c r="R413" s="392">
        <v>81843</v>
      </c>
      <c r="S413" s="231">
        <v>6275</v>
      </c>
      <c r="T413" s="396">
        <v>88118</v>
      </c>
      <c r="U413" s="231"/>
      <c r="V413" s="396"/>
      <c r="W413" s="396"/>
      <c r="X413" s="396">
        <v>482856</v>
      </c>
      <c r="Y413" s="396">
        <v>34489</v>
      </c>
    </row>
    <row r="414" spans="1:25">
      <c r="A414" s="390">
        <v>94171</v>
      </c>
      <c r="B414" s="391" t="s">
        <v>1113</v>
      </c>
      <c r="C414" s="234">
        <v>6.9999999999999994E-5</v>
      </c>
      <c r="D414" s="234">
        <v>6.1799999999999998E-5</v>
      </c>
      <c r="E414" s="231">
        <v>250140</v>
      </c>
      <c r="F414" s="231" t="s">
        <v>1924</v>
      </c>
      <c r="G414" s="392">
        <v>31588</v>
      </c>
      <c r="H414" s="392">
        <v>35201</v>
      </c>
      <c r="I414" s="392">
        <v>18615</v>
      </c>
      <c r="J414" s="231">
        <v>8508</v>
      </c>
      <c r="K414" s="231">
        <v>93912</v>
      </c>
      <c r="L414" s="231"/>
      <c r="M414" s="225">
        <v>0</v>
      </c>
      <c r="N414" s="225">
        <v>0</v>
      </c>
      <c r="O414" s="231">
        <v>12440</v>
      </c>
      <c r="P414" s="231">
        <v>12440</v>
      </c>
      <c r="Q414" s="231"/>
      <c r="R414" s="392">
        <v>86021</v>
      </c>
      <c r="S414" s="231">
        <v>3</v>
      </c>
      <c r="T414" s="396">
        <v>86024</v>
      </c>
      <c r="U414" s="231"/>
      <c r="V414" s="396"/>
      <c r="W414" s="396"/>
      <c r="X414" s="396">
        <v>507506</v>
      </c>
      <c r="Y414" s="396">
        <v>36250</v>
      </c>
    </row>
    <row r="415" spans="1:25">
      <c r="A415" s="390">
        <v>94172</v>
      </c>
      <c r="B415" s="391" t="s">
        <v>1114</v>
      </c>
      <c r="C415" s="234">
        <v>2.7050000000000002E-4</v>
      </c>
      <c r="D415" s="234">
        <v>2.8210000000000003E-4</v>
      </c>
      <c r="E415" s="231">
        <v>966612</v>
      </c>
      <c r="F415" s="231" t="s">
        <v>1924</v>
      </c>
      <c r="G415" s="392">
        <v>122066</v>
      </c>
      <c r="H415" s="392">
        <v>136025</v>
      </c>
      <c r="I415" s="392">
        <v>71935</v>
      </c>
      <c r="J415" s="231">
        <v>0</v>
      </c>
      <c r="K415" s="231">
        <v>330026</v>
      </c>
      <c r="L415" s="231"/>
      <c r="M415" s="225">
        <v>0</v>
      </c>
      <c r="N415" s="225">
        <v>0</v>
      </c>
      <c r="O415" s="231">
        <v>74610</v>
      </c>
      <c r="P415" s="231">
        <v>74610</v>
      </c>
      <c r="Q415" s="231"/>
      <c r="R415" s="392">
        <v>332411</v>
      </c>
      <c r="S415" s="231">
        <v>-41040</v>
      </c>
      <c r="T415" s="396">
        <v>291371</v>
      </c>
      <c r="U415" s="231"/>
      <c r="V415" s="396"/>
      <c r="W415" s="396"/>
      <c r="X415" s="396">
        <v>1961150</v>
      </c>
      <c r="Y415" s="396">
        <v>140081</v>
      </c>
    </row>
    <row r="416" spans="1:25">
      <c r="A416" s="390">
        <v>94201</v>
      </c>
      <c r="B416" s="391" t="s">
        <v>1115</v>
      </c>
      <c r="C416" s="234">
        <v>3.0286000000000002E-3</v>
      </c>
      <c r="D416" s="234">
        <v>3.2504999999999999E-3</v>
      </c>
      <c r="E416" s="231">
        <v>10822478</v>
      </c>
      <c r="F416" s="231" t="s">
        <v>1924</v>
      </c>
      <c r="G416" s="392">
        <v>1366689</v>
      </c>
      <c r="H416" s="392">
        <v>1522974</v>
      </c>
      <c r="I416" s="392">
        <v>805405</v>
      </c>
      <c r="J416" s="231">
        <v>7846</v>
      </c>
      <c r="K416" s="231">
        <v>3702914</v>
      </c>
      <c r="L416" s="231"/>
      <c r="M416" s="225">
        <v>0</v>
      </c>
      <c r="N416" s="225">
        <v>0</v>
      </c>
      <c r="O416" s="231">
        <v>259660</v>
      </c>
      <c r="P416" s="231">
        <v>259660</v>
      </c>
      <c r="Q416" s="231"/>
      <c r="R416" s="392">
        <v>3721771</v>
      </c>
      <c r="S416" s="231">
        <v>-94008</v>
      </c>
      <c r="T416" s="396">
        <v>3627763</v>
      </c>
      <c r="U416" s="231"/>
      <c r="V416" s="396"/>
      <c r="W416" s="396"/>
      <c r="X416" s="396">
        <v>21957629</v>
      </c>
      <c r="Y416" s="396">
        <v>1568385</v>
      </c>
    </row>
    <row r="417" spans="1:25">
      <c r="A417" s="390">
        <v>94204</v>
      </c>
      <c r="B417" s="391" t="s">
        <v>1116</v>
      </c>
      <c r="C417" s="234">
        <v>3.3500000000000001E-5</v>
      </c>
      <c r="D417" s="234">
        <v>2.97E-5</v>
      </c>
      <c r="E417" s="231">
        <v>119710</v>
      </c>
      <c r="F417" s="231" t="s">
        <v>1924</v>
      </c>
      <c r="G417" s="392">
        <v>15117</v>
      </c>
      <c r="H417" s="392">
        <v>16846</v>
      </c>
      <c r="I417" s="392">
        <v>8909</v>
      </c>
      <c r="J417" s="231">
        <v>15995</v>
      </c>
      <c r="K417" s="231">
        <v>56867</v>
      </c>
      <c r="L417" s="231"/>
      <c r="M417" s="225">
        <v>0</v>
      </c>
      <c r="N417" s="225">
        <v>0</v>
      </c>
      <c r="O417" s="231">
        <v>0</v>
      </c>
      <c r="P417" s="231">
        <v>0</v>
      </c>
      <c r="Q417" s="231"/>
      <c r="R417" s="392">
        <v>41167</v>
      </c>
      <c r="S417" s="231">
        <v>7622</v>
      </c>
      <c r="T417" s="396">
        <v>48789</v>
      </c>
      <c r="U417" s="231"/>
      <c r="V417" s="396"/>
      <c r="W417" s="396"/>
      <c r="X417" s="396">
        <v>242878</v>
      </c>
      <c r="Y417" s="396">
        <v>17348</v>
      </c>
    </row>
    <row r="418" spans="1:25">
      <c r="A418" s="390">
        <v>94205</v>
      </c>
      <c r="B418" s="391" t="s">
        <v>1117</v>
      </c>
      <c r="C418" s="234">
        <v>1.49E-5</v>
      </c>
      <c r="D418" s="234">
        <v>1.6200000000000001E-5</v>
      </c>
      <c r="E418" s="231">
        <v>53244</v>
      </c>
      <c r="F418" s="231" t="s">
        <v>1924</v>
      </c>
      <c r="G418" s="392">
        <v>6724</v>
      </c>
      <c r="H418" s="392">
        <v>7493</v>
      </c>
      <c r="I418" s="392">
        <v>3962</v>
      </c>
      <c r="J418" s="231">
        <v>3026</v>
      </c>
      <c r="K418" s="231">
        <v>21205</v>
      </c>
      <c r="L418" s="231"/>
      <c r="M418" s="225">
        <v>0</v>
      </c>
      <c r="N418" s="225">
        <v>0</v>
      </c>
      <c r="O418" s="231">
        <v>427</v>
      </c>
      <c r="P418" s="231">
        <v>427</v>
      </c>
      <c r="Q418" s="231"/>
      <c r="R418" s="392">
        <v>18310</v>
      </c>
      <c r="S418" s="231">
        <v>821</v>
      </c>
      <c r="T418" s="396">
        <v>19131</v>
      </c>
      <c r="U418" s="231"/>
      <c r="V418" s="396"/>
      <c r="W418" s="396"/>
      <c r="X418" s="396">
        <v>108026</v>
      </c>
      <c r="Y418" s="396">
        <v>7716</v>
      </c>
    </row>
    <row r="419" spans="1:25">
      <c r="A419" s="390">
        <v>94209</v>
      </c>
      <c r="B419" s="391" t="s">
        <v>1118</v>
      </c>
      <c r="C419" s="234">
        <v>3.1399999999999999E-4</v>
      </c>
      <c r="D419" s="234">
        <v>3.2519999999999999E-4</v>
      </c>
      <c r="E419" s="231">
        <v>1122056</v>
      </c>
      <c r="F419" s="231" t="s">
        <v>1924</v>
      </c>
      <c r="G419" s="392">
        <v>141696</v>
      </c>
      <c r="H419" s="392">
        <v>157899</v>
      </c>
      <c r="I419" s="392">
        <v>83503</v>
      </c>
      <c r="J419" s="231">
        <v>7494</v>
      </c>
      <c r="K419" s="231">
        <v>390592</v>
      </c>
      <c r="L419" s="231"/>
      <c r="M419" s="225">
        <v>0</v>
      </c>
      <c r="N419" s="225">
        <v>0</v>
      </c>
      <c r="O419" s="231">
        <v>18322</v>
      </c>
      <c r="P419" s="231">
        <v>18322</v>
      </c>
      <c r="Q419" s="231"/>
      <c r="R419" s="392">
        <v>385867</v>
      </c>
      <c r="S419" s="231">
        <v>-5759</v>
      </c>
      <c r="T419" s="396">
        <v>380108</v>
      </c>
      <c r="U419" s="231"/>
      <c r="V419" s="396"/>
      <c r="W419" s="396"/>
      <c r="X419" s="396">
        <v>2276529</v>
      </c>
      <c r="Y419" s="396">
        <v>162607</v>
      </c>
    </row>
    <row r="420" spans="1:25">
      <c r="A420" s="390">
        <v>94211</v>
      </c>
      <c r="B420" s="391" t="s">
        <v>1119</v>
      </c>
      <c r="C420" s="234">
        <v>1.4660000000000001E-4</v>
      </c>
      <c r="D420" s="234">
        <v>1.5359999999999999E-4</v>
      </c>
      <c r="E420" s="231">
        <v>523864</v>
      </c>
      <c r="F420" s="231" t="s">
        <v>1924</v>
      </c>
      <c r="G420" s="392">
        <v>66155</v>
      </c>
      <c r="H420" s="392">
        <v>73720</v>
      </c>
      <c r="I420" s="392">
        <v>38986</v>
      </c>
      <c r="J420" s="231">
        <v>4770</v>
      </c>
      <c r="K420" s="231">
        <v>183631</v>
      </c>
      <c r="L420" s="231"/>
      <c r="M420" s="225">
        <v>0</v>
      </c>
      <c r="N420" s="225">
        <v>0</v>
      </c>
      <c r="O420" s="231">
        <v>11561</v>
      </c>
      <c r="P420" s="231">
        <v>11561</v>
      </c>
      <c r="Q420" s="231"/>
      <c r="R420" s="392">
        <v>180153</v>
      </c>
      <c r="S420" s="231">
        <v>-443</v>
      </c>
      <c r="T420" s="396">
        <v>179710</v>
      </c>
      <c r="U420" s="231"/>
      <c r="V420" s="396"/>
      <c r="W420" s="396"/>
      <c r="X420" s="396">
        <v>1062863</v>
      </c>
      <c r="Y420" s="396">
        <v>75918</v>
      </c>
    </row>
    <row r="421" spans="1:25">
      <c r="A421" s="390">
        <v>94221</v>
      </c>
      <c r="B421" s="391" t="s">
        <v>1120</v>
      </c>
      <c r="C421" s="234">
        <v>9.7799999999999992E-4</v>
      </c>
      <c r="D421" s="234">
        <v>9.8189999999999996E-4</v>
      </c>
      <c r="E421" s="231">
        <v>3494811</v>
      </c>
      <c r="F421" s="231" t="s">
        <v>1924</v>
      </c>
      <c r="G421" s="392">
        <v>441333</v>
      </c>
      <c r="H421" s="392">
        <v>491801</v>
      </c>
      <c r="I421" s="392">
        <v>260082</v>
      </c>
      <c r="J421" s="231">
        <v>0</v>
      </c>
      <c r="K421" s="231">
        <v>1193216</v>
      </c>
      <c r="L421" s="231"/>
      <c r="M421" s="225">
        <v>0</v>
      </c>
      <c r="N421" s="225">
        <v>0</v>
      </c>
      <c r="O421" s="231">
        <v>94933</v>
      </c>
      <c r="P421" s="231">
        <v>94933</v>
      </c>
      <c r="Q421" s="231"/>
      <c r="R421" s="392">
        <v>1201840</v>
      </c>
      <c r="S421" s="231">
        <v>-55930</v>
      </c>
      <c r="T421" s="396">
        <v>1145910</v>
      </c>
      <c r="U421" s="231"/>
      <c r="V421" s="396"/>
      <c r="W421" s="396"/>
      <c r="X421" s="396">
        <v>7090590</v>
      </c>
      <c r="Y421" s="396">
        <v>506465</v>
      </c>
    </row>
    <row r="422" spans="1:25" ht="14.25" customHeight="1">
      <c r="A422" s="390">
        <v>94231</v>
      </c>
      <c r="B422" s="391" t="s">
        <v>1121</v>
      </c>
      <c r="C422" s="234">
        <v>1.2640000000000001E-4</v>
      </c>
      <c r="D422" s="234">
        <v>1.485E-4</v>
      </c>
      <c r="E422" s="231">
        <v>451681</v>
      </c>
      <c r="F422" s="231" t="s">
        <v>1924</v>
      </c>
      <c r="G422" s="392">
        <v>57039</v>
      </c>
      <c r="H422" s="392">
        <v>63562</v>
      </c>
      <c r="I422" s="392">
        <v>33614</v>
      </c>
      <c r="J422" s="231">
        <v>1722</v>
      </c>
      <c r="K422" s="231">
        <v>155937</v>
      </c>
      <c r="L422" s="231"/>
      <c r="M422" s="225">
        <v>0</v>
      </c>
      <c r="N422" s="225">
        <v>0</v>
      </c>
      <c r="O422" s="231">
        <v>59411</v>
      </c>
      <c r="P422" s="231">
        <v>59411</v>
      </c>
      <c r="Q422" s="231"/>
      <c r="R422" s="392">
        <v>155330</v>
      </c>
      <c r="S422" s="231">
        <v>-19704</v>
      </c>
      <c r="T422" s="396">
        <v>135626</v>
      </c>
      <c r="U422" s="231"/>
      <c r="V422" s="396"/>
      <c r="W422" s="396"/>
      <c r="X422" s="396">
        <v>916412</v>
      </c>
      <c r="Y422" s="396">
        <v>65457</v>
      </c>
    </row>
    <row r="423" spans="1:25">
      <c r="A423" s="390">
        <v>94241</v>
      </c>
      <c r="B423" s="391" t="s">
        <v>1122</v>
      </c>
      <c r="C423" s="234">
        <v>1.3630000000000001E-4</v>
      </c>
      <c r="D423" s="234">
        <v>1.106E-4</v>
      </c>
      <c r="E423" s="231">
        <v>487058</v>
      </c>
      <c r="F423" s="231" t="s">
        <v>1924</v>
      </c>
      <c r="G423" s="392">
        <v>61507</v>
      </c>
      <c r="H423" s="392">
        <v>68540</v>
      </c>
      <c r="I423" s="392">
        <v>36247</v>
      </c>
      <c r="J423" s="231">
        <v>50685</v>
      </c>
      <c r="K423" s="231">
        <v>216979</v>
      </c>
      <c r="L423" s="231"/>
      <c r="M423" s="225">
        <v>0</v>
      </c>
      <c r="N423" s="225">
        <v>0</v>
      </c>
      <c r="O423" s="231">
        <v>10204</v>
      </c>
      <c r="P423" s="231">
        <v>10204</v>
      </c>
      <c r="Q423" s="231"/>
      <c r="R423" s="392">
        <v>167496</v>
      </c>
      <c r="S423" s="231">
        <v>17456</v>
      </c>
      <c r="T423" s="396">
        <v>184952</v>
      </c>
      <c r="U423" s="231"/>
      <c r="V423" s="396"/>
      <c r="W423" s="396"/>
      <c r="X423" s="396">
        <v>988188</v>
      </c>
      <c r="Y423" s="396">
        <v>70584</v>
      </c>
    </row>
    <row r="424" spans="1:25">
      <c r="A424" s="390">
        <v>94251</v>
      </c>
      <c r="B424" s="391" t="s">
        <v>1123</v>
      </c>
      <c r="C424" s="234">
        <v>1.7799999999999999E-5</v>
      </c>
      <c r="D424" s="234">
        <v>1.7799999999999999E-5</v>
      </c>
      <c r="E424" s="231">
        <v>63607</v>
      </c>
      <c r="F424" s="231" t="s">
        <v>1924</v>
      </c>
      <c r="G424" s="392">
        <v>8032</v>
      </c>
      <c r="H424" s="392">
        <v>8951</v>
      </c>
      <c r="I424" s="392">
        <v>4734</v>
      </c>
      <c r="J424" s="231">
        <v>2495</v>
      </c>
      <c r="K424" s="231">
        <v>24212</v>
      </c>
      <c r="L424" s="231"/>
      <c r="M424" s="225">
        <v>0</v>
      </c>
      <c r="N424" s="225">
        <v>0</v>
      </c>
      <c r="O424" s="231">
        <v>529</v>
      </c>
      <c r="P424" s="231">
        <v>529</v>
      </c>
      <c r="Q424" s="231"/>
      <c r="R424" s="392">
        <v>21874</v>
      </c>
      <c r="S424" s="231">
        <v>183</v>
      </c>
      <c r="T424" s="396">
        <v>22057</v>
      </c>
      <c r="U424" s="231"/>
      <c r="V424" s="396"/>
      <c r="W424" s="396"/>
      <c r="X424" s="396">
        <v>129052</v>
      </c>
      <c r="Y424" s="396">
        <v>9218</v>
      </c>
    </row>
    <row r="425" spans="1:25">
      <c r="A425" s="390">
        <v>94261</v>
      </c>
      <c r="B425" s="391" t="s">
        <v>1124</v>
      </c>
      <c r="C425" s="234">
        <v>3.7100000000000001E-5</v>
      </c>
      <c r="D425" s="234">
        <v>4.6600000000000001E-5</v>
      </c>
      <c r="E425" s="231">
        <v>132574</v>
      </c>
      <c r="F425" s="231" t="s">
        <v>1924</v>
      </c>
      <c r="G425" s="392">
        <v>16742</v>
      </c>
      <c r="H425" s="392">
        <v>18657</v>
      </c>
      <c r="I425" s="392">
        <v>9866</v>
      </c>
      <c r="J425" s="231">
        <v>6856</v>
      </c>
      <c r="K425" s="231">
        <v>52121</v>
      </c>
      <c r="L425" s="231"/>
      <c r="M425" s="225">
        <v>0</v>
      </c>
      <c r="N425" s="225">
        <v>0</v>
      </c>
      <c r="O425" s="231">
        <v>11994</v>
      </c>
      <c r="P425" s="231">
        <v>11994</v>
      </c>
      <c r="Q425" s="231"/>
      <c r="R425" s="392">
        <v>45591</v>
      </c>
      <c r="S425" s="231">
        <v>1205</v>
      </c>
      <c r="T425" s="396">
        <v>46796</v>
      </c>
      <c r="U425" s="231"/>
      <c r="V425" s="396"/>
      <c r="W425" s="396"/>
      <c r="X425" s="396">
        <v>268978</v>
      </c>
      <c r="Y425" s="396">
        <v>19213</v>
      </c>
    </row>
    <row r="426" spans="1:25">
      <c r="A426" s="390">
        <v>94301</v>
      </c>
      <c r="B426" s="391" t="s">
        <v>1125</v>
      </c>
      <c r="C426" s="234">
        <v>6.1066999999999996E-3</v>
      </c>
      <c r="D426" s="234">
        <v>6.3099000000000002E-3</v>
      </c>
      <c r="E426" s="231">
        <v>21821841</v>
      </c>
      <c r="F426" s="231" t="s">
        <v>1924</v>
      </c>
      <c r="G426" s="392">
        <v>2755716</v>
      </c>
      <c r="H426" s="392">
        <v>3070840</v>
      </c>
      <c r="I426" s="392">
        <v>1623973</v>
      </c>
      <c r="J426" s="231">
        <v>21528</v>
      </c>
      <c r="K426" s="231">
        <v>7472057</v>
      </c>
      <c r="L426" s="231"/>
      <c r="M426" s="225">
        <v>0</v>
      </c>
      <c r="N426" s="225">
        <v>0</v>
      </c>
      <c r="O426" s="231">
        <v>364201</v>
      </c>
      <c r="P426" s="231">
        <v>364201</v>
      </c>
      <c r="Q426" s="231"/>
      <c r="R426" s="392">
        <v>7504371</v>
      </c>
      <c r="S426" s="231">
        <v>-121348</v>
      </c>
      <c r="T426" s="396">
        <v>7383023</v>
      </c>
      <c r="U426" s="231"/>
      <c r="V426" s="396"/>
      <c r="W426" s="396"/>
      <c r="X426" s="396">
        <v>44274137</v>
      </c>
      <c r="Y426" s="396">
        <v>3162403</v>
      </c>
    </row>
    <row r="427" spans="1:25">
      <c r="A427" s="390">
        <v>94311</v>
      </c>
      <c r="B427" s="391" t="s">
        <v>1126</v>
      </c>
      <c r="C427" s="234">
        <v>7.85E-4</v>
      </c>
      <c r="D427" s="234">
        <v>7.7700000000000002E-4</v>
      </c>
      <c r="E427" s="231">
        <v>2805139</v>
      </c>
      <c r="F427" s="231" t="s">
        <v>1924</v>
      </c>
      <c r="G427" s="392">
        <v>354240</v>
      </c>
      <c r="H427" s="392">
        <v>394748</v>
      </c>
      <c r="I427" s="392">
        <v>208757</v>
      </c>
      <c r="J427" s="231">
        <v>51143</v>
      </c>
      <c r="K427" s="231">
        <v>1008888</v>
      </c>
      <c r="L427" s="231"/>
      <c r="M427" s="225">
        <v>0</v>
      </c>
      <c r="N427" s="225">
        <v>0</v>
      </c>
      <c r="O427" s="231">
        <v>11878</v>
      </c>
      <c r="P427" s="231">
        <v>11878</v>
      </c>
      <c r="Q427" s="231"/>
      <c r="R427" s="392">
        <v>964667</v>
      </c>
      <c r="S427" s="231">
        <v>5041</v>
      </c>
      <c r="T427" s="396">
        <v>969708</v>
      </c>
      <c r="U427" s="231"/>
      <c r="V427" s="396"/>
      <c r="W427" s="396"/>
      <c r="X427" s="396">
        <v>5691322</v>
      </c>
      <c r="Y427" s="396">
        <v>406519</v>
      </c>
    </row>
    <row r="428" spans="1:25">
      <c r="A428" s="390">
        <v>94313</v>
      </c>
      <c r="B428" s="391" t="s">
        <v>1127</v>
      </c>
      <c r="C428" s="234">
        <v>1.7099999999999999E-5</v>
      </c>
      <c r="D428" s="234">
        <v>1.4399999999999999E-5</v>
      </c>
      <c r="E428" s="231">
        <v>61106</v>
      </c>
      <c r="F428" s="231" t="s">
        <v>1924</v>
      </c>
      <c r="G428" s="392">
        <v>7717</v>
      </c>
      <c r="H428" s="392">
        <v>8599</v>
      </c>
      <c r="I428" s="392">
        <v>4547</v>
      </c>
      <c r="J428" s="231">
        <v>10241</v>
      </c>
      <c r="K428" s="231">
        <v>31104</v>
      </c>
      <c r="L428" s="231"/>
      <c r="M428" s="225">
        <v>0</v>
      </c>
      <c r="N428" s="225">
        <v>0</v>
      </c>
      <c r="O428" s="231">
        <v>305</v>
      </c>
      <c r="P428" s="231">
        <v>305</v>
      </c>
      <c r="Q428" s="231"/>
      <c r="R428" s="392">
        <v>21014</v>
      </c>
      <c r="S428" s="231">
        <v>5054</v>
      </c>
      <c r="T428" s="396">
        <v>26068</v>
      </c>
      <c r="U428" s="231"/>
      <c r="V428" s="396"/>
      <c r="W428" s="396"/>
      <c r="X428" s="396">
        <v>123977</v>
      </c>
      <c r="Y428" s="396">
        <v>8855</v>
      </c>
    </row>
    <row r="429" spans="1:25">
      <c r="A429" s="390">
        <v>94317</v>
      </c>
      <c r="B429" s="391" t="s">
        <v>1128</v>
      </c>
      <c r="C429" s="234">
        <v>4.7999999999999998E-6</v>
      </c>
      <c r="D429" s="234">
        <v>1.0699999999999999E-5</v>
      </c>
      <c r="E429" s="231">
        <v>17152</v>
      </c>
      <c r="F429" s="231" t="s">
        <v>1924</v>
      </c>
      <c r="G429" s="392">
        <v>2166</v>
      </c>
      <c r="H429" s="392">
        <v>2414</v>
      </c>
      <c r="I429" s="392">
        <v>1276</v>
      </c>
      <c r="J429" s="231">
        <v>5445</v>
      </c>
      <c r="K429" s="231">
        <v>11301</v>
      </c>
      <c r="L429" s="231"/>
      <c r="M429" s="225">
        <v>0</v>
      </c>
      <c r="N429" s="225">
        <v>0</v>
      </c>
      <c r="O429" s="231">
        <v>1452</v>
      </c>
      <c r="P429" s="231">
        <v>1452</v>
      </c>
      <c r="Q429" s="231"/>
      <c r="R429" s="392">
        <v>5899</v>
      </c>
      <c r="S429" s="231">
        <v>2851</v>
      </c>
      <c r="T429" s="396">
        <v>8750</v>
      </c>
      <c r="U429" s="231"/>
      <c r="V429" s="396"/>
      <c r="W429" s="396"/>
      <c r="X429" s="396">
        <v>34800</v>
      </c>
      <c r="Y429" s="396">
        <v>2486</v>
      </c>
    </row>
    <row r="430" spans="1:25">
      <c r="A430" s="390">
        <v>94321</v>
      </c>
      <c r="B430" s="391" t="s">
        <v>1129</v>
      </c>
      <c r="C430" s="234">
        <v>3.1559999999999997E-4</v>
      </c>
      <c r="D430" s="234">
        <v>2.8079999999999999E-4</v>
      </c>
      <c r="E430" s="231">
        <v>1127773</v>
      </c>
      <c r="F430" s="231" t="s">
        <v>1924</v>
      </c>
      <c r="G430" s="392">
        <v>142418</v>
      </c>
      <c r="H430" s="392">
        <v>158704</v>
      </c>
      <c r="I430" s="392">
        <v>83928</v>
      </c>
      <c r="J430" s="231">
        <v>37930</v>
      </c>
      <c r="K430" s="231">
        <v>422980</v>
      </c>
      <c r="L430" s="231"/>
      <c r="M430" s="225">
        <v>0</v>
      </c>
      <c r="N430" s="225">
        <v>0</v>
      </c>
      <c r="O430" s="231">
        <v>8982</v>
      </c>
      <c r="P430" s="231">
        <v>8982</v>
      </c>
      <c r="Q430" s="231"/>
      <c r="R430" s="392">
        <v>387833</v>
      </c>
      <c r="S430" s="231">
        <v>4761</v>
      </c>
      <c r="T430" s="396">
        <v>392594</v>
      </c>
      <c r="U430" s="231"/>
      <c r="V430" s="396"/>
      <c r="W430" s="396"/>
      <c r="X430" s="396">
        <v>2288129</v>
      </c>
      <c r="Y430" s="396">
        <v>163436</v>
      </c>
    </row>
    <row r="431" spans="1:25">
      <c r="A431" s="390">
        <v>94331</v>
      </c>
      <c r="B431" s="391" t="s">
        <v>1130</v>
      </c>
      <c r="C431" s="234">
        <v>1.5080000000000001E-4</v>
      </c>
      <c r="D431" s="234">
        <v>1.5190000000000001E-4</v>
      </c>
      <c r="E431" s="231">
        <v>538873</v>
      </c>
      <c r="F431" s="231" t="s">
        <v>1924</v>
      </c>
      <c r="G431" s="392">
        <v>68050</v>
      </c>
      <c r="H431" s="392">
        <v>75831</v>
      </c>
      <c r="I431" s="392">
        <v>40103</v>
      </c>
      <c r="J431" s="231">
        <v>11088</v>
      </c>
      <c r="K431" s="231">
        <v>195072</v>
      </c>
      <c r="L431" s="231"/>
      <c r="M431" s="225">
        <v>0</v>
      </c>
      <c r="N431" s="225">
        <v>0</v>
      </c>
      <c r="O431" s="231">
        <v>6972</v>
      </c>
      <c r="P431" s="231">
        <v>6972</v>
      </c>
      <c r="Q431" s="231"/>
      <c r="R431" s="392">
        <v>185314</v>
      </c>
      <c r="S431" s="231">
        <v>523</v>
      </c>
      <c r="T431" s="396">
        <v>185837</v>
      </c>
      <c r="U431" s="231"/>
      <c r="V431" s="396"/>
      <c r="W431" s="396"/>
      <c r="X431" s="396">
        <v>1093314</v>
      </c>
      <c r="Y431" s="396">
        <v>78093</v>
      </c>
    </row>
    <row r="432" spans="1:25">
      <c r="A432" s="390">
        <v>94341</v>
      </c>
      <c r="B432" s="391" t="s">
        <v>1131</v>
      </c>
      <c r="C432" s="234">
        <v>9.2700000000000004E-5</v>
      </c>
      <c r="D432" s="234">
        <v>9.8800000000000003E-5</v>
      </c>
      <c r="E432" s="231">
        <v>331257</v>
      </c>
      <c r="F432" s="231" t="s">
        <v>1924</v>
      </c>
      <c r="G432" s="392">
        <v>41832</v>
      </c>
      <c r="H432" s="392">
        <v>46616</v>
      </c>
      <c r="I432" s="392">
        <v>24652</v>
      </c>
      <c r="J432" s="231">
        <v>6258</v>
      </c>
      <c r="K432" s="231">
        <v>119358</v>
      </c>
      <c r="L432" s="231"/>
      <c r="M432" s="225">
        <v>0</v>
      </c>
      <c r="N432" s="225">
        <v>0</v>
      </c>
      <c r="O432" s="231">
        <v>15302</v>
      </c>
      <c r="P432" s="231">
        <v>15302</v>
      </c>
      <c r="Q432" s="231"/>
      <c r="R432" s="392">
        <v>113917</v>
      </c>
      <c r="S432" s="231">
        <v>-4103</v>
      </c>
      <c r="T432" s="396">
        <v>109814</v>
      </c>
      <c r="U432" s="231"/>
      <c r="V432" s="396"/>
      <c r="W432" s="396"/>
      <c r="X432" s="396">
        <v>672084</v>
      </c>
      <c r="Y432" s="396">
        <v>48005</v>
      </c>
    </row>
    <row r="433" spans="1:25">
      <c r="A433" s="390">
        <v>94347</v>
      </c>
      <c r="B433" s="391" t="s">
        <v>1132</v>
      </c>
      <c r="C433" s="234">
        <v>1.5E-5</v>
      </c>
      <c r="D433" s="234">
        <v>1.17E-5</v>
      </c>
      <c r="E433" s="231">
        <v>53601</v>
      </c>
      <c r="F433" s="231" t="s">
        <v>1924</v>
      </c>
      <c r="G433" s="392">
        <v>6769</v>
      </c>
      <c r="H433" s="392">
        <v>7543</v>
      </c>
      <c r="I433" s="392">
        <v>3989</v>
      </c>
      <c r="J433" s="231">
        <v>13812</v>
      </c>
      <c r="K433" s="231">
        <v>32113</v>
      </c>
      <c r="L433" s="231"/>
      <c r="M433" s="225">
        <v>0</v>
      </c>
      <c r="N433" s="225">
        <v>0</v>
      </c>
      <c r="O433" s="231">
        <v>474</v>
      </c>
      <c r="P433" s="231">
        <v>474</v>
      </c>
      <c r="Q433" s="231"/>
      <c r="R433" s="392">
        <v>18433</v>
      </c>
      <c r="S433" s="231">
        <v>5011</v>
      </c>
      <c r="T433" s="396">
        <v>23444</v>
      </c>
      <c r="U433" s="231"/>
      <c r="V433" s="396"/>
      <c r="W433" s="396"/>
      <c r="X433" s="396">
        <v>108751</v>
      </c>
      <c r="Y433" s="396">
        <v>7768</v>
      </c>
    </row>
    <row r="434" spans="1:25">
      <c r="A434" s="390">
        <v>94351</v>
      </c>
      <c r="B434" s="391" t="s">
        <v>1133</v>
      </c>
      <c r="C434" s="234">
        <v>2.9090000000000002E-4</v>
      </c>
      <c r="D434" s="234">
        <v>2.2680000000000001E-4</v>
      </c>
      <c r="E434" s="231">
        <v>1039510</v>
      </c>
      <c r="F434" s="231" t="s">
        <v>1924</v>
      </c>
      <c r="G434" s="392">
        <v>131272</v>
      </c>
      <c r="H434" s="392">
        <v>146283</v>
      </c>
      <c r="I434" s="392">
        <v>77360</v>
      </c>
      <c r="J434" s="231">
        <v>79101</v>
      </c>
      <c r="K434" s="231">
        <v>434016</v>
      </c>
      <c r="L434" s="231"/>
      <c r="M434" s="225">
        <v>0</v>
      </c>
      <c r="N434" s="225">
        <v>0</v>
      </c>
      <c r="O434" s="231">
        <v>15165</v>
      </c>
      <c r="P434" s="231">
        <v>15165</v>
      </c>
      <c r="Q434" s="231"/>
      <c r="R434" s="392">
        <v>357480</v>
      </c>
      <c r="S434" s="231">
        <v>20276</v>
      </c>
      <c r="T434" s="396">
        <v>377756</v>
      </c>
      <c r="U434" s="231"/>
      <c r="V434" s="396"/>
      <c r="W434" s="396"/>
      <c r="X434" s="396">
        <v>2109052</v>
      </c>
      <c r="Y434" s="396">
        <v>150645</v>
      </c>
    </row>
    <row r="435" spans="1:25">
      <c r="A435" s="390">
        <v>94401</v>
      </c>
      <c r="B435" s="391" t="s">
        <v>1937</v>
      </c>
      <c r="C435" s="234">
        <v>3.5389000000000002E-3</v>
      </c>
      <c r="D435" s="234">
        <v>3.4440999999999999E-3</v>
      </c>
      <c r="E435" s="231">
        <v>12645997</v>
      </c>
      <c r="F435" s="231" t="s">
        <v>1924</v>
      </c>
      <c r="G435" s="392">
        <v>1596968</v>
      </c>
      <c r="H435" s="392">
        <v>1779586</v>
      </c>
      <c r="I435" s="392">
        <v>941110</v>
      </c>
      <c r="J435" s="231">
        <v>109634</v>
      </c>
      <c r="K435" s="231">
        <v>4427298</v>
      </c>
      <c r="L435" s="231"/>
      <c r="M435" s="225">
        <v>0</v>
      </c>
      <c r="N435" s="225">
        <v>0</v>
      </c>
      <c r="O435" s="231">
        <v>20864</v>
      </c>
      <c r="P435" s="231">
        <v>20864</v>
      </c>
      <c r="Q435" s="231"/>
      <c r="R435" s="392">
        <v>4348866</v>
      </c>
      <c r="S435" s="231">
        <v>18730</v>
      </c>
      <c r="T435" s="396">
        <v>4367596</v>
      </c>
      <c r="U435" s="231"/>
      <c r="V435" s="396"/>
      <c r="W435" s="396"/>
      <c r="X435" s="396">
        <v>25657351</v>
      </c>
      <c r="Y435" s="396">
        <v>1832648</v>
      </c>
    </row>
    <row r="436" spans="1:25">
      <c r="A436" s="390">
        <v>94402</v>
      </c>
      <c r="B436" s="391" t="s">
        <v>1135</v>
      </c>
      <c r="C436" s="234">
        <v>0</v>
      </c>
      <c r="D436" s="234">
        <v>0</v>
      </c>
      <c r="E436" s="231">
        <v>0</v>
      </c>
      <c r="F436" s="231" t="s">
        <v>1924</v>
      </c>
      <c r="G436" s="392">
        <v>0</v>
      </c>
      <c r="H436" s="392">
        <v>0</v>
      </c>
      <c r="I436" s="392">
        <v>0</v>
      </c>
      <c r="J436" s="231">
        <v>0</v>
      </c>
      <c r="K436" s="231">
        <v>0</v>
      </c>
      <c r="L436" s="231"/>
      <c r="M436" s="225">
        <v>0</v>
      </c>
      <c r="N436" s="225">
        <v>0</v>
      </c>
      <c r="O436" s="231">
        <v>0</v>
      </c>
      <c r="P436" s="231">
        <v>0</v>
      </c>
      <c r="Q436" s="231"/>
      <c r="R436" s="392">
        <v>0</v>
      </c>
      <c r="S436" s="231">
        <v>0</v>
      </c>
      <c r="T436" s="396">
        <v>0</v>
      </c>
      <c r="U436" s="231"/>
      <c r="V436" s="396"/>
      <c r="W436" s="396"/>
      <c r="X436" s="396">
        <v>0</v>
      </c>
      <c r="Y436" s="396">
        <v>0</v>
      </c>
    </row>
    <row r="437" spans="1:25">
      <c r="A437" s="393">
        <v>94403</v>
      </c>
      <c r="B437" s="394" t="s">
        <v>1136</v>
      </c>
      <c r="C437" s="234">
        <v>3.9199999999999997E-5</v>
      </c>
      <c r="D437" s="234">
        <v>3.7400000000000001E-5</v>
      </c>
      <c r="E437" s="231">
        <v>140078</v>
      </c>
      <c r="F437" s="231" t="s">
        <v>1924</v>
      </c>
      <c r="G437" s="392">
        <v>17689</v>
      </c>
      <c r="H437" s="392">
        <v>19713</v>
      </c>
      <c r="I437" s="392">
        <v>10425</v>
      </c>
      <c r="J437" s="231">
        <v>17875</v>
      </c>
      <c r="K437" s="231">
        <v>65702</v>
      </c>
      <c r="L437" s="231"/>
      <c r="M437" s="225">
        <v>0</v>
      </c>
      <c r="N437" s="225">
        <v>0</v>
      </c>
      <c r="O437" s="231">
        <v>0</v>
      </c>
      <c r="P437" s="231">
        <v>0</v>
      </c>
      <c r="Q437" s="231"/>
      <c r="R437" s="392">
        <v>48172</v>
      </c>
      <c r="S437" s="231">
        <v>9051</v>
      </c>
      <c r="T437" s="396">
        <v>57223</v>
      </c>
      <c r="U437" s="231"/>
      <c r="V437" s="396"/>
      <c r="W437" s="396"/>
      <c r="X437" s="396">
        <v>284204</v>
      </c>
      <c r="Y437" s="396">
        <v>20300</v>
      </c>
    </row>
    <row r="438" spans="1:25">
      <c r="A438" s="390">
        <v>94408</v>
      </c>
      <c r="B438" s="391" t="s">
        <v>1137</v>
      </c>
      <c r="C438" s="234">
        <v>5.4400000000000001E-5</v>
      </c>
      <c r="D438" s="234">
        <v>6.2000000000000003E-5</v>
      </c>
      <c r="E438" s="231">
        <v>194394</v>
      </c>
      <c r="F438" s="231" t="s">
        <v>1924</v>
      </c>
      <c r="G438" s="392">
        <v>24549</v>
      </c>
      <c r="H438" s="392">
        <v>27356</v>
      </c>
      <c r="I438" s="392">
        <v>14467</v>
      </c>
      <c r="J438" s="231">
        <v>6738</v>
      </c>
      <c r="K438" s="231">
        <v>73110</v>
      </c>
      <c r="L438" s="231"/>
      <c r="M438" s="225">
        <v>0</v>
      </c>
      <c r="N438" s="225">
        <v>0</v>
      </c>
      <c r="O438" s="231">
        <v>13861</v>
      </c>
      <c r="P438" s="231">
        <v>13861</v>
      </c>
      <c r="Q438" s="231"/>
      <c r="R438" s="392">
        <v>66851</v>
      </c>
      <c r="S438" s="231">
        <v>-772</v>
      </c>
      <c r="T438" s="396">
        <v>66079</v>
      </c>
      <c r="U438" s="231"/>
      <c r="V438" s="396"/>
      <c r="W438" s="396"/>
      <c r="X438" s="396">
        <v>394405</v>
      </c>
      <c r="Y438" s="396">
        <v>28171</v>
      </c>
    </row>
    <row r="439" spans="1:25">
      <c r="A439" s="390">
        <v>94411</v>
      </c>
      <c r="B439" s="391" t="s">
        <v>1138</v>
      </c>
      <c r="C439" s="234">
        <v>1.1728999999999999E-3</v>
      </c>
      <c r="D439" s="234">
        <v>1.2472E-3</v>
      </c>
      <c r="E439" s="231">
        <v>4191271</v>
      </c>
      <c r="F439" s="231" t="s">
        <v>1924</v>
      </c>
      <c r="G439" s="392">
        <v>529284</v>
      </c>
      <c r="H439" s="392">
        <v>589809</v>
      </c>
      <c r="I439" s="392">
        <v>311913</v>
      </c>
      <c r="J439" s="231">
        <v>12772</v>
      </c>
      <c r="K439" s="231">
        <v>1443778</v>
      </c>
      <c r="L439" s="231"/>
      <c r="M439" s="225">
        <v>0</v>
      </c>
      <c r="N439" s="225">
        <v>0</v>
      </c>
      <c r="O439" s="231">
        <v>160475</v>
      </c>
      <c r="P439" s="231">
        <v>160475</v>
      </c>
      <c r="Q439" s="231"/>
      <c r="R439" s="392">
        <v>1441347</v>
      </c>
      <c r="S439" s="231">
        <v>-44356</v>
      </c>
      <c r="T439" s="396">
        <v>1396991</v>
      </c>
      <c r="U439" s="231"/>
      <c r="V439" s="396"/>
      <c r="W439" s="396"/>
      <c r="X439" s="396">
        <v>8503633</v>
      </c>
      <c r="Y439" s="396">
        <v>607396</v>
      </c>
    </row>
    <row r="440" spans="1:25">
      <c r="A440" s="390">
        <v>94412</v>
      </c>
      <c r="B440" s="391" t="s">
        <v>1139</v>
      </c>
      <c r="C440" s="234">
        <v>1.6399999999999999E-5</v>
      </c>
      <c r="D440" s="234">
        <v>1.7E-5</v>
      </c>
      <c r="E440" s="231">
        <v>58604</v>
      </c>
      <c r="F440" s="231" t="s">
        <v>1924</v>
      </c>
      <c r="G440" s="392">
        <v>7401</v>
      </c>
      <c r="H440" s="392">
        <v>8247</v>
      </c>
      <c r="I440" s="392">
        <v>4361</v>
      </c>
      <c r="J440" s="231">
        <v>13813</v>
      </c>
      <c r="K440" s="231">
        <v>33822</v>
      </c>
      <c r="L440" s="231"/>
      <c r="M440" s="225">
        <v>0</v>
      </c>
      <c r="N440" s="225">
        <v>0</v>
      </c>
      <c r="O440" s="231">
        <v>0</v>
      </c>
      <c r="P440" s="231">
        <v>0</v>
      </c>
      <c r="Q440" s="231"/>
      <c r="R440" s="392">
        <v>20154</v>
      </c>
      <c r="S440" s="231">
        <v>6879</v>
      </c>
      <c r="T440" s="396">
        <v>27033</v>
      </c>
      <c r="U440" s="231"/>
      <c r="V440" s="396"/>
      <c r="W440" s="396"/>
      <c r="X440" s="396">
        <v>118902</v>
      </c>
      <c r="Y440" s="396">
        <v>8493</v>
      </c>
    </row>
    <row r="441" spans="1:25">
      <c r="A441" s="390">
        <v>94421</v>
      </c>
      <c r="B441" s="391" t="s">
        <v>1140</v>
      </c>
      <c r="C441" s="234">
        <v>1.172E-4</v>
      </c>
      <c r="D441" s="234">
        <v>1.4880000000000001E-4</v>
      </c>
      <c r="E441" s="231">
        <v>418806</v>
      </c>
      <c r="F441" s="231" t="s">
        <v>1924</v>
      </c>
      <c r="G441" s="392">
        <v>52888</v>
      </c>
      <c r="H441" s="392">
        <v>58936</v>
      </c>
      <c r="I441" s="392">
        <v>31167</v>
      </c>
      <c r="J441" s="231">
        <v>469</v>
      </c>
      <c r="K441" s="231">
        <v>143460</v>
      </c>
      <c r="L441" s="231"/>
      <c r="M441" s="225">
        <v>0</v>
      </c>
      <c r="N441" s="225">
        <v>0</v>
      </c>
      <c r="O441" s="231">
        <v>24401</v>
      </c>
      <c r="P441" s="231">
        <v>24401</v>
      </c>
      <c r="Q441" s="231"/>
      <c r="R441" s="392">
        <v>144024</v>
      </c>
      <c r="S441" s="231">
        <v>-8651</v>
      </c>
      <c r="T441" s="396">
        <v>135373</v>
      </c>
      <c r="U441" s="231"/>
      <c r="V441" s="396"/>
      <c r="W441" s="396"/>
      <c r="X441" s="396">
        <v>849711</v>
      </c>
      <c r="Y441" s="396">
        <v>60693</v>
      </c>
    </row>
    <row r="442" spans="1:25">
      <c r="A442" s="390">
        <v>94427</v>
      </c>
      <c r="B442" s="391" t="s">
        <v>1141</v>
      </c>
      <c r="C442" s="234">
        <v>2.5999999999999998E-5</v>
      </c>
      <c r="D442" s="234">
        <v>2.7500000000000001E-5</v>
      </c>
      <c r="E442" s="231">
        <v>92909</v>
      </c>
      <c r="F442" s="231" t="s">
        <v>1924</v>
      </c>
      <c r="G442" s="392">
        <v>11733</v>
      </c>
      <c r="H442" s="392">
        <v>13074</v>
      </c>
      <c r="I442" s="392">
        <v>6914</v>
      </c>
      <c r="J442" s="231">
        <v>12149</v>
      </c>
      <c r="K442" s="231">
        <v>43870</v>
      </c>
      <c r="L442" s="231"/>
      <c r="M442" s="225">
        <v>0</v>
      </c>
      <c r="N442" s="225">
        <v>0</v>
      </c>
      <c r="O442" s="231">
        <v>0</v>
      </c>
      <c r="P442" s="231">
        <v>0</v>
      </c>
      <c r="Q442" s="231"/>
      <c r="R442" s="392">
        <v>31951</v>
      </c>
      <c r="S442" s="231">
        <v>4755</v>
      </c>
      <c r="T442" s="396">
        <v>36706</v>
      </c>
      <c r="U442" s="231"/>
      <c r="V442" s="396"/>
      <c r="W442" s="396"/>
      <c r="X442" s="396">
        <v>188502</v>
      </c>
      <c r="Y442" s="396">
        <v>13464</v>
      </c>
    </row>
    <row r="443" spans="1:25">
      <c r="A443" s="390">
        <v>94428</v>
      </c>
      <c r="B443" s="391" t="s">
        <v>1142</v>
      </c>
      <c r="C443" s="234">
        <v>7.2299999999999996E-5</v>
      </c>
      <c r="D443" s="234">
        <v>7.1400000000000001E-5</v>
      </c>
      <c r="E443" s="231">
        <v>258359</v>
      </c>
      <c r="F443" s="231" t="s">
        <v>1924</v>
      </c>
      <c r="G443" s="392">
        <v>32626</v>
      </c>
      <c r="H443" s="392">
        <v>36357</v>
      </c>
      <c r="I443" s="392">
        <v>19227</v>
      </c>
      <c r="J443" s="231">
        <v>8443</v>
      </c>
      <c r="K443" s="231">
        <v>96653</v>
      </c>
      <c r="L443" s="231"/>
      <c r="M443" s="225">
        <v>0</v>
      </c>
      <c r="N443" s="225">
        <v>0</v>
      </c>
      <c r="O443" s="231">
        <v>838</v>
      </c>
      <c r="P443" s="231">
        <v>838</v>
      </c>
      <c r="Q443" s="231"/>
      <c r="R443" s="392">
        <v>88848</v>
      </c>
      <c r="S443" s="231">
        <v>2669</v>
      </c>
      <c r="T443" s="396">
        <v>91517</v>
      </c>
      <c r="U443" s="231"/>
      <c r="V443" s="396"/>
      <c r="W443" s="396"/>
      <c r="X443" s="396">
        <v>524182</v>
      </c>
      <c r="Y443" s="396">
        <v>37441</v>
      </c>
    </row>
    <row r="444" spans="1:25">
      <c r="A444" s="390">
        <v>94431</v>
      </c>
      <c r="B444" s="391" t="s">
        <v>1143</v>
      </c>
      <c r="C444" s="234">
        <v>3.8200000000000002E-4</v>
      </c>
      <c r="D444" s="234">
        <v>4.1829999999999998E-4</v>
      </c>
      <c r="E444" s="231">
        <v>1365049</v>
      </c>
      <c r="F444" s="231" t="s">
        <v>1924</v>
      </c>
      <c r="G444" s="392">
        <v>172382</v>
      </c>
      <c r="H444" s="392">
        <v>192094</v>
      </c>
      <c r="I444" s="392">
        <v>101586</v>
      </c>
      <c r="J444" s="231">
        <v>142654</v>
      </c>
      <c r="K444" s="231">
        <v>608716</v>
      </c>
      <c r="L444" s="231"/>
      <c r="M444" s="225">
        <v>0</v>
      </c>
      <c r="N444" s="225">
        <v>0</v>
      </c>
      <c r="O444" s="231">
        <v>51370</v>
      </c>
      <c r="P444" s="231">
        <v>51370</v>
      </c>
      <c r="Q444" s="231"/>
      <c r="R444" s="392">
        <v>469430</v>
      </c>
      <c r="S444" s="231">
        <v>74832</v>
      </c>
      <c r="T444" s="396">
        <v>544262</v>
      </c>
      <c r="U444" s="231"/>
      <c r="V444" s="396"/>
      <c r="W444" s="396"/>
      <c r="X444" s="396">
        <v>2769535</v>
      </c>
      <c r="Y444" s="396">
        <v>197822</v>
      </c>
    </row>
    <row r="445" spans="1:25">
      <c r="A445" s="390">
        <v>94437</v>
      </c>
      <c r="B445" s="391" t="s">
        <v>1144</v>
      </c>
      <c r="C445" s="234">
        <v>1.4E-5</v>
      </c>
      <c r="D445" s="234">
        <v>1.49E-5</v>
      </c>
      <c r="E445" s="231">
        <v>50028</v>
      </c>
      <c r="F445" s="231" t="s">
        <v>1924</v>
      </c>
      <c r="G445" s="392">
        <v>6318</v>
      </c>
      <c r="H445" s="392">
        <v>7040</v>
      </c>
      <c r="I445" s="392">
        <v>3723</v>
      </c>
      <c r="J445" s="231">
        <v>6756</v>
      </c>
      <c r="K445" s="231">
        <v>23837</v>
      </c>
      <c r="L445" s="231"/>
      <c r="M445" s="225">
        <v>0</v>
      </c>
      <c r="N445" s="225">
        <v>0</v>
      </c>
      <c r="O445" s="231">
        <v>0</v>
      </c>
      <c r="P445" s="231">
        <v>0</v>
      </c>
      <c r="Q445" s="231"/>
      <c r="R445" s="392">
        <v>17204</v>
      </c>
      <c r="S445" s="231">
        <v>4898</v>
      </c>
      <c r="T445" s="396">
        <v>22102</v>
      </c>
      <c r="U445" s="231"/>
      <c r="V445" s="396"/>
      <c r="W445" s="396"/>
      <c r="X445" s="396">
        <v>101501</v>
      </c>
      <c r="Y445" s="396">
        <v>7250</v>
      </c>
    </row>
    <row r="446" spans="1:25">
      <c r="A446" s="390">
        <v>94501</v>
      </c>
      <c r="B446" s="391" t="s">
        <v>1145</v>
      </c>
      <c r="C446" s="234">
        <v>5.9300000000000004E-3</v>
      </c>
      <c r="D446" s="234">
        <v>5.9772999999999996E-3</v>
      </c>
      <c r="E446" s="231">
        <v>21190416</v>
      </c>
      <c r="F446" s="231" t="s">
        <v>1924</v>
      </c>
      <c r="G446" s="392">
        <v>2675978</v>
      </c>
      <c r="H446" s="392">
        <v>2981983</v>
      </c>
      <c r="I446" s="392">
        <v>1576983</v>
      </c>
      <c r="J446" s="231">
        <v>105782</v>
      </c>
      <c r="K446" s="231">
        <v>7340726</v>
      </c>
      <c r="L446" s="231"/>
      <c r="M446" s="225">
        <v>0</v>
      </c>
      <c r="N446" s="225">
        <v>0</v>
      </c>
      <c r="O446" s="231">
        <v>10680</v>
      </c>
      <c r="P446" s="231">
        <v>10680</v>
      </c>
      <c r="Q446" s="231"/>
      <c r="R446" s="392">
        <v>7287229</v>
      </c>
      <c r="S446" s="231">
        <v>43925</v>
      </c>
      <c r="T446" s="396">
        <v>7331154</v>
      </c>
      <c r="U446" s="231"/>
      <c r="V446" s="396"/>
      <c r="W446" s="396"/>
      <c r="X446" s="396">
        <v>42993046</v>
      </c>
      <c r="Y446" s="396">
        <v>3070898</v>
      </c>
    </row>
    <row r="447" spans="1:25">
      <c r="A447" s="390">
        <v>94511</v>
      </c>
      <c r="B447" s="391" t="s">
        <v>1146</v>
      </c>
      <c r="C447" s="234">
        <v>2.0052E-3</v>
      </c>
      <c r="D447" s="234">
        <v>2.0183000000000002E-3</v>
      </c>
      <c r="E447" s="231">
        <v>7165434</v>
      </c>
      <c r="F447" s="231" t="s">
        <v>1924</v>
      </c>
      <c r="G447" s="392">
        <v>904869</v>
      </c>
      <c r="H447" s="392">
        <v>1008343</v>
      </c>
      <c r="I447" s="392">
        <v>533249</v>
      </c>
      <c r="J447" s="231">
        <v>12516</v>
      </c>
      <c r="K447" s="231">
        <v>2458977</v>
      </c>
      <c r="L447" s="231"/>
      <c r="M447" s="225">
        <v>0</v>
      </c>
      <c r="N447" s="225">
        <v>0</v>
      </c>
      <c r="O447" s="231">
        <v>230033</v>
      </c>
      <c r="P447" s="231">
        <v>230033</v>
      </c>
      <c r="Q447" s="231"/>
      <c r="R447" s="392">
        <v>2464140</v>
      </c>
      <c r="S447" s="231">
        <v>-78460</v>
      </c>
      <c r="T447" s="396">
        <v>2385680</v>
      </c>
      <c r="U447" s="231"/>
      <c r="V447" s="396"/>
      <c r="W447" s="396"/>
      <c r="X447" s="396">
        <v>14537884</v>
      </c>
      <c r="Y447" s="396">
        <v>1038409</v>
      </c>
    </row>
    <row r="448" spans="1:25">
      <c r="A448" s="390">
        <v>94512</v>
      </c>
      <c r="B448" s="391" t="s">
        <v>1147</v>
      </c>
      <c r="C448" s="234">
        <v>0</v>
      </c>
      <c r="D448" s="234">
        <v>0</v>
      </c>
      <c r="E448" s="231">
        <v>0</v>
      </c>
      <c r="F448" s="231" t="s">
        <v>1924</v>
      </c>
      <c r="G448" s="392">
        <v>0</v>
      </c>
      <c r="H448" s="392">
        <v>0</v>
      </c>
      <c r="I448" s="392">
        <v>0</v>
      </c>
      <c r="J448" s="231">
        <v>0</v>
      </c>
      <c r="K448" s="231">
        <v>0</v>
      </c>
      <c r="L448" s="231"/>
      <c r="M448" s="225">
        <v>0</v>
      </c>
      <c r="N448" s="225">
        <v>0</v>
      </c>
      <c r="O448" s="231">
        <v>0</v>
      </c>
      <c r="P448" s="231">
        <v>0</v>
      </c>
      <c r="Q448" s="231"/>
      <c r="R448" s="392">
        <v>0</v>
      </c>
      <c r="S448" s="231">
        <v>0</v>
      </c>
      <c r="T448" s="396">
        <v>0</v>
      </c>
      <c r="U448" s="231"/>
      <c r="V448" s="396"/>
      <c r="W448" s="396"/>
      <c r="X448" s="396">
        <v>0</v>
      </c>
      <c r="Y448" s="396">
        <v>0</v>
      </c>
    </row>
    <row r="449" spans="1:25">
      <c r="A449" s="390">
        <v>94517</v>
      </c>
      <c r="B449" s="391" t="s">
        <v>1148</v>
      </c>
      <c r="C449" s="234">
        <v>5.8100000000000003E-5</v>
      </c>
      <c r="D449" s="234">
        <v>5.4799999999999997E-5</v>
      </c>
      <c r="E449" s="231">
        <v>207616</v>
      </c>
      <c r="F449" s="231" t="s">
        <v>1924</v>
      </c>
      <c r="G449" s="392">
        <v>26218</v>
      </c>
      <c r="H449" s="392">
        <v>29217</v>
      </c>
      <c r="I449" s="392">
        <v>15451</v>
      </c>
      <c r="J449" s="231">
        <v>33550</v>
      </c>
      <c r="K449" s="231">
        <v>104436</v>
      </c>
      <c r="L449" s="231"/>
      <c r="M449" s="225">
        <v>0</v>
      </c>
      <c r="N449" s="225">
        <v>0</v>
      </c>
      <c r="O449" s="231">
        <v>0</v>
      </c>
      <c r="P449" s="231">
        <v>0</v>
      </c>
      <c r="Q449" s="231"/>
      <c r="R449" s="392">
        <v>71398</v>
      </c>
      <c r="S449" s="231">
        <v>13990</v>
      </c>
      <c r="T449" s="396">
        <v>85388</v>
      </c>
      <c r="U449" s="231"/>
      <c r="V449" s="396"/>
      <c r="W449" s="396"/>
      <c r="X449" s="396">
        <v>421230</v>
      </c>
      <c r="Y449" s="396">
        <v>30088</v>
      </c>
    </row>
    <row r="450" spans="1:25">
      <c r="A450" s="390">
        <v>94521</v>
      </c>
      <c r="B450" s="391" t="s">
        <v>1149</v>
      </c>
      <c r="C450" s="234">
        <v>1.484E-4</v>
      </c>
      <c r="D450" s="234">
        <v>1.4990000000000001E-4</v>
      </c>
      <c r="E450" s="231">
        <v>530296</v>
      </c>
      <c r="F450" s="231" t="s">
        <v>1924</v>
      </c>
      <c r="G450" s="392">
        <v>66967</v>
      </c>
      <c r="H450" s="392">
        <v>74625</v>
      </c>
      <c r="I450" s="392">
        <v>39464</v>
      </c>
      <c r="J450" s="231">
        <v>2957</v>
      </c>
      <c r="K450" s="231">
        <v>184013</v>
      </c>
      <c r="L450" s="231"/>
      <c r="M450" s="225">
        <v>0</v>
      </c>
      <c r="N450" s="225">
        <v>0</v>
      </c>
      <c r="O450" s="231">
        <v>27533</v>
      </c>
      <c r="P450" s="231">
        <v>27533</v>
      </c>
      <c r="Q450" s="231"/>
      <c r="R450" s="392">
        <v>182365</v>
      </c>
      <c r="S450" s="231">
        <v>-10831</v>
      </c>
      <c r="T450" s="396">
        <v>171534</v>
      </c>
      <c r="U450" s="231"/>
      <c r="V450" s="396"/>
      <c r="W450" s="396"/>
      <c r="X450" s="396">
        <v>1075914</v>
      </c>
      <c r="Y450" s="396">
        <v>76850</v>
      </c>
    </row>
    <row r="451" spans="1:25">
      <c r="A451" s="390">
        <v>94527</v>
      </c>
      <c r="B451" s="391" t="s">
        <v>1150</v>
      </c>
      <c r="C451" s="234">
        <v>6.9E-6</v>
      </c>
      <c r="D451" s="234">
        <v>6.8000000000000001E-6</v>
      </c>
      <c r="E451" s="231">
        <v>24657</v>
      </c>
      <c r="F451" s="231" t="s">
        <v>1924</v>
      </c>
      <c r="G451" s="392">
        <v>3114</v>
      </c>
      <c r="H451" s="392">
        <v>3470</v>
      </c>
      <c r="I451" s="392">
        <v>1835</v>
      </c>
      <c r="J451" s="231">
        <v>572</v>
      </c>
      <c r="K451" s="231">
        <v>8991</v>
      </c>
      <c r="L451" s="231"/>
      <c r="M451" s="225">
        <v>0</v>
      </c>
      <c r="N451" s="225">
        <v>0</v>
      </c>
      <c r="O451" s="231">
        <v>187</v>
      </c>
      <c r="P451" s="231">
        <v>187</v>
      </c>
      <c r="Q451" s="231"/>
      <c r="R451" s="392">
        <v>8479</v>
      </c>
      <c r="S451" s="231">
        <v>-721</v>
      </c>
      <c r="T451" s="396">
        <v>7758</v>
      </c>
      <c r="U451" s="231"/>
      <c r="V451" s="396"/>
      <c r="W451" s="396"/>
      <c r="X451" s="396">
        <v>50026</v>
      </c>
      <c r="Y451" s="396">
        <v>3573</v>
      </c>
    </row>
    <row r="452" spans="1:25">
      <c r="A452" s="390">
        <v>94531</v>
      </c>
      <c r="B452" s="391" t="s">
        <v>1151</v>
      </c>
      <c r="C452" s="234">
        <v>2.0999999999999999E-5</v>
      </c>
      <c r="D452" s="234">
        <v>2.3099999999999999E-5</v>
      </c>
      <c r="E452" s="231">
        <v>75042</v>
      </c>
      <c r="F452" s="231" t="s">
        <v>1924</v>
      </c>
      <c r="G452" s="392">
        <v>9476</v>
      </c>
      <c r="H452" s="392">
        <v>10560</v>
      </c>
      <c r="I452" s="392">
        <v>5585</v>
      </c>
      <c r="J452" s="231">
        <v>12440</v>
      </c>
      <c r="K452" s="231">
        <v>38061</v>
      </c>
      <c r="L452" s="231"/>
      <c r="M452" s="225">
        <v>0</v>
      </c>
      <c r="N452" s="225">
        <v>0</v>
      </c>
      <c r="O452" s="231">
        <v>0</v>
      </c>
      <c r="P452" s="231">
        <v>0</v>
      </c>
      <c r="Q452" s="231"/>
      <c r="R452" s="392">
        <v>25806</v>
      </c>
      <c r="S452" s="231">
        <v>5530</v>
      </c>
      <c r="T452" s="396">
        <v>31336</v>
      </c>
      <c r="U452" s="231"/>
      <c r="V452" s="396"/>
      <c r="W452" s="396"/>
      <c r="X452" s="396">
        <v>152252</v>
      </c>
      <c r="Y452" s="396">
        <v>10875</v>
      </c>
    </row>
    <row r="453" spans="1:25">
      <c r="A453" s="390">
        <v>94532</v>
      </c>
      <c r="B453" s="391" t="s">
        <v>1152</v>
      </c>
      <c r="C453" s="234">
        <v>1.339E-4</v>
      </c>
      <c r="D453" s="234">
        <v>1.0060000000000001E-4</v>
      </c>
      <c r="E453" s="231">
        <v>478482</v>
      </c>
      <c r="F453" s="231" t="s">
        <v>1924</v>
      </c>
      <c r="G453" s="392">
        <v>60424</v>
      </c>
      <c r="H453" s="392">
        <v>67334</v>
      </c>
      <c r="I453" s="392">
        <v>35608</v>
      </c>
      <c r="J453" s="231">
        <v>42431</v>
      </c>
      <c r="K453" s="231">
        <v>205797</v>
      </c>
      <c r="L453" s="231"/>
      <c r="M453" s="225">
        <v>0</v>
      </c>
      <c r="N453" s="225">
        <v>0</v>
      </c>
      <c r="O453" s="231">
        <v>114</v>
      </c>
      <c r="P453" s="231">
        <v>114</v>
      </c>
      <c r="Q453" s="231"/>
      <c r="R453" s="392">
        <v>164546</v>
      </c>
      <c r="S453" s="231">
        <v>12790</v>
      </c>
      <c r="T453" s="396">
        <v>177336</v>
      </c>
      <c r="U453" s="231"/>
      <c r="V453" s="396"/>
      <c r="W453" s="396"/>
      <c r="X453" s="396">
        <v>970787</v>
      </c>
      <c r="Y453" s="396">
        <v>69341</v>
      </c>
    </row>
    <row r="454" spans="1:25">
      <c r="A454" s="390">
        <v>94541</v>
      </c>
      <c r="B454" s="391" t="s">
        <v>1153</v>
      </c>
      <c r="C454" s="234">
        <v>2.7849999999999999E-4</v>
      </c>
      <c r="D454" s="234">
        <v>2.7750000000000002E-4</v>
      </c>
      <c r="E454" s="231">
        <v>995199</v>
      </c>
      <c r="F454" s="231" t="s">
        <v>1924</v>
      </c>
      <c r="G454" s="392">
        <v>125676</v>
      </c>
      <c r="H454" s="392">
        <v>140048</v>
      </c>
      <c r="I454" s="392">
        <v>74062</v>
      </c>
      <c r="J454" s="231">
        <v>1920</v>
      </c>
      <c r="K454" s="231">
        <v>341706</v>
      </c>
      <c r="L454" s="231"/>
      <c r="M454" s="225">
        <v>0</v>
      </c>
      <c r="N454" s="225">
        <v>0</v>
      </c>
      <c r="O454" s="231">
        <v>17432</v>
      </c>
      <c r="P454" s="231">
        <v>17432</v>
      </c>
      <c r="Q454" s="231"/>
      <c r="R454" s="392">
        <v>342242</v>
      </c>
      <c r="S454" s="231">
        <v>-10158</v>
      </c>
      <c r="T454" s="396">
        <v>332084</v>
      </c>
      <c r="U454" s="231"/>
      <c r="V454" s="396"/>
      <c r="W454" s="396"/>
      <c r="X454" s="396">
        <v>2019151</v>
      </c>
      <c r="Y454" s="396">
        <v>144223</v>
      </c>
    </row>
    <row r="455" spans="1:25">
      <c r="A455" s="390">
        <v>94547</v>
      </c>
      <c r="B455" s="391" t="s">
        <v>1154</v>
      </c>
      <c r="C455" s="234">
        <v>1.2500000000000001E-5</v>
      </c>
      <c r="D455" s="234">
        <v>1.1E-5</v>
      </c>
      <c r="E455" s="231">
        <v>44668</v>
      </c>
      <c r="F455" s="231" t="s">
        <v>1924</v>
      </c>
      <c r="G455" s="392">
        <v>5641</v>
      </c>
      <c r="H455" s="392">
        <v>6286</v>
      </c>
      <c r="I455" s="392">
        <v>3324</v>
      </c>
      <c r="J455" s="231">
        <v>12168</v>
      </c>
      <c r="K455" s="231">
        <v>27419</v>
      </c>
      <c r="L455" s="231"/>
      <c r="M455" s="225">
        <v>0</v>
      </c>
      <c r="N455" s="225">
        <v>0</v>
      </c>
      <c r="O455" s="231">
        <v>0</v>
      </c>
      <c r="P455" s="231">
        <v>0</v>
      </c>
      <c r="Q455" s="231"/>
      <c r="R455" s="392">
        <v>15361</v>
      </c>
      <c r="S455" s="231">
        <v>4789</v>
      </c>
      <c r="T455" s="396">
        <v>20150</v>
      </c>
      <c r="U455" s="231"/>
      <c r="V455" s="396"/>
      <c r="W455" s="396"/>
      <c r="X455" s="396">
        <v>90626</v>
      </c>
      <c r="Y455" s="396">
        <v>6473</v>
      </c>
    </row>
    <row r="456" spans="1:25">
      <c r="A456" s="390">
        <v>94551</v>
      </c>
      <c r="B456" s="391" t="s">
        <v>1155</v>
      </c>
      <c r="C456" s="234">
        <v>5.8199999999999998E-5</v>
      </c>
      <c r="D456" s="234">
        <v>5.3000000000000001E-5</v>
      </c>
      <c r="E456" s="231">
        <v>207973</v>
      </c>
      <c r="F456" s="231" t="s">
        <v>1924</v>
      </c>
      <c r="G456" s="392">
        <v>26263</v>
      </c>
      <c r="H456" s="392">
        <v>29267</v>
      </c>
      <c r="I456" s="392">
        <v>15477</v>
      </c>
      <c r="J456" s="231">
        <v>12664</v>
      </c>
      <c r="K456" s="231">
        <v>83671</v>
      </c>
      <c r="L456" s="231"/>
      <c r="M456" s="225">
        <v>0</v>
      </c>
      <c r="N456" s="225">
        <v>0</v>
      </c>
      <c r="O456" s="231">
        <v>0</v>
      </c>
      <c r="P456" s="231">
        <v>0</v>
      </c>
      <c r="Q456" s="231"/>
      <c r="R456" s="392">
        <v>71521</v>
      </c>
      <c r="S456" s="231">
        <v>7496</v>
      </c>
      <c r="T456" s="396">
        <v>79017</v>
      </c>
      <c r="U456" s="231"/>
      <c r="V456" s="396"/>
      <c r="W456" s="396"/>
      <c r="X456" s="396">
        <v>421955</v>
      </c>
      <c r="Y456" s="396">
        <v>30139</v>
      </c>
    </row>
    <row r="457" spans="1:25">
      <c r="A457" s="390">
        <v>94601</v>
      </c>
      <c r="B457" s="391" t="s">
        <v>1156</v>
      </c>
      <c r="C457" s="234">
        <v>9.234E-4</v>
      </c>
      <c r="D457" s="234">
        <v>9.1859999999999999E-4</v>
      </c>
      <c r="E457" s="231">
        <v>3299702</v>
      </c>
      <c r="F457" s="231" t="s">
        <v>1924</v>
      </c>
      <c r="G457" s="392">
        <v>416694</v>
      </c>
      <c r="H457" s="392">
        <v>464345</v>
      </c>
      <c r="I457" s="392">
        <v>245563</v>
      </c>
      <c r="J457" s="231">
        <v>55546</v>
      </c>
      <c r="K457" s="231">
        <v>1182148</v>
      </c>
      <c r="L457" s="231"/>
      <c r="M457" s="225">
        <v>0</v>
      </c>
      <c r="N457" s="225">
        <v>0</v>
      </c>
      <c r="O457" s="231">
        <v>77980</v>
      </c>
      <c r="P457" s="231">
        <v>77980</v>
      </c>
      <c r="Q457" s="231"/>
      <c r="R457" s="392">
        <v>1134743</v>
      </c>
      <c r="S457" s="231">
        <v>10032</v>
      </c>
      <c r="T457" s="396">
        <v>1144775</v>
      </c>
      <c r="U457" s="231"/>
      <c r="V457" s="396"/>
      <c r="W457" s="396"/>
      <c r="X457" s="396">
        <v>6694735</v>
      </c>
      <c r="Y457" s="396">
        <v>478190</v>
      </c>
    </row>
    <row r="458" spans="1:25">
      <c r="A458" s="390">
        <v>94604</v>
      </c>
      <c r="B458" s="391" t="s">
        <v>1157</v>
      </c>
      <c r="C458" s="234">
        <v>2.0299999999999999E-5</v>
      </c>
      <c r="D458" s="234">
        <v>2.6100000000000001E-5</v>
      </c>
      <c r="E458" s="231">
        <v>72541</v>
      </c>
      <c r="F458" s="231" t="s">
        <v>1924</v>
      </c>
      <c r="G458" s="392">
        <v>9161</v>
      </c>
      <c r="H458" s="392">
        <v>10208</v>
      </c>
      <c r="I458" s="392">
        <v>5398</v>
      </c>
      <c r="J458" s="231">
        <v>1351</v>
      </c>
      <c r="K458" s="231">
        <v>26118</v>
      </c>
      <c r="L458" s="231"/>
      <c r="M458" s="225">
        <v>0</v>
      </c>
      <c r="N458" s="225">
        <v>0</v>
      </c>
      <c r="O458" s="231">
        <v>2758</v>
      </c>
      <c r="P458" s="231">
        <v>2758</v>
      </c>
      <c r="Q458" s="231"/>
      <c r="R458" s="392">
        <v>24946</v>
      </c>
      <c r="S458" s="231">
        <v>154</v>
      </c>
      <c r="T458" s="396">
        <v>25100</v>
      </c>
      <c r="U458" s="231"/>
      <c r="V458" s="396"/>
      <c r="W458" s="396"/>
      <c r="X458" s="396">
        <v>147177</v>
      </c>
      <c r="Y458" s="396">
        <v>10513</v>
      </c>
    </row>
    <row r="459" spans="1:25">
      <c r="A459" s="390">
        <v>94606</v>
      </c>
      <c r="B459" s="391" t="s">
        <v>1158</v>
      </c>
      <c r="C459" s="234">
        <v>0</v>
      </c>
      <c r="D459" s="234">
        <v>0</v>
      </c>
      <c r="E459" s="231">
        <v>0</v>
      </c>
      <c r="F459" s="231" t="s">
        <v>1924</v>
      </c>
      <c r="G459" s="392">
        <v>0</v>
      </c>
      <c r="H459" s="392">
        <v>0</v>
      </c>
      <c r="I459" s="392">
        <v>0</v>
      </c>
      <c r="J459" s="231">
        <v>0</v>
      </c>
      <c r="K459" s="231">
        <v>0</v>
      </c>
      <c r="L459" s="231"/>
      <c r="M459" s="225">
        <v>0</v>
      </c>
      <c r="N459" s="225">
        <v>0</v>
      </c>
      <c r="O459" s="231">
        <v>138705</v>
      </c>
      <c r="P459" s="231">
        <v>138705</v>
      </c>
      <c r="Q459" s="231"/>
      <c r="R459" s="392">
        <v>0</v>
      </c>
      <c r="S459" s="231">
        <v>-55480</v>
      </c>
      <c r="T459" s="396">
        <v>-55480</v>
      </c>
      <c r="U459" s="231"/>
      <c r="V459" s="396"/>
      <c r="W459" s="396"/>
      <c r="X459" s="396">
        <v>0</v>
      </c>
      <c r="Y459" s="396">
        <v>0</v>
      </c>
    </row>
    <row r="460" spans="1:25">
      <c r="A460" s="390">
        <v>94611</v>
      </c>
      <c r="B460" s="391" t="s">
        <v>1159</v>
      </c>
      <c r="C460" s="234">
        <v>3.0679999999999998E-4</v>
      </c>
      <c r="D460" s="234">
        <v>3.4459999999999997E-4</v>
      </c>
      <c r="E460" s="231">
        <v>1096327</v>
      </c>
      <c r="F460" s="231" t="s">
        <v>1924</v>
      </c>
      <c r="G460" s="392">
        <v>138447</v>
      </c>
      <c r="H460" s="392">
        <v>154279</v>
      </c>
      <c r="I460" s="392">
        <v>81588</v>
      </c>
      <c r="J460" s="231">
        <v>0</v>
      </c>
      <c r="K460" s="231">
        <v>374314</v>
      </c>
      <c r="L460" s="231"/>
      <c r="M460" s="225">
        <v>0</v>
      </c>
      <c r="N460" s="225">
        <v>0</v>
      </c>
      <c r="O460" s="231">
        <v>44309</v>
      </c>
      <c r="P460" s="231">
        <v>44309</v>
      </c>
      <c r="Q460" s="231"/>
      <c r="R460" s="392">
        <v>377019</v>
      </c>
      <c r="S460" s="231">
        <v>-20246</v>
      </c>
      <c r="T460" s="396">
        <v>356773</v>
      </c>
      <c r="U460" s="231"/>
      <c r="V460" s="396"/>
      <c r="W460" s="396"/>
      <c r="X460" s="396">
        <v>2224328</v>
      </c>
      <c r="Y460" s="396">
        <v>158879</v>
      </c>
    </row>
    <row r="461" spans="1:25">
      <c r="A461" s="390">
        <v>94621</v>
      </c>
      <c r="B461" s="391" t="s">
        <v>1160</v>
      </c>
      <c r="C461" s="234">
        <v>1.104E-4</v>
      </c>
      <c r="D461" s="234">
        <v>1.3320000000000001E-4</v>
      </c>
      <c r="E461" s="231">
        <v>394506</v>
      </c>
      <c r="F461" s="231" t="s">
        <v>1924</v>
      </c>
      <c r="G461" s="392">
        <v>49819</v>
      </c>
      <c r="H461" s="392">
        <v>55516</v>
      </c>
      <c r="I461" s="392">
        <v>29359</v>
      </c>
      <c r="J461" s="231">
        <v>29423</v>
      </c>
      <c r="K461" s="231">
        <v>164117</v>
      </c>
      <c r="L461" s="231"/>
      <c r="M461" s="225">
        <v>0</v>
      </c>
      <c r="N461" s="225">
        <v>0</v>
      </c>
      <c r="O461" s="231">
        <v>26693</v>
      </c>
      <c r="P461" s="231">
        <v>26693</v>
      </c>
      <c r="Q461" s="231"/>
      <c r="R461" s="392">
        <v>135668</v>
      </c>
      <c r="S461" s="231">
        <v>1035</v>
      </c>
      <c r="T461" s="396">
        <v>136703</v>
      </c>
      <c r="U461" s="231"/>
      <c r="V461" s="396"/>
      <c r="W461" s="396"/>
      <c r="X461" s="396">
        <v>800410</v>
      </c>
      <c r="Y461" s="396">
        <v>57172</v>
      </c>
    </row>
    <row r="462" spans="1:25">
      <c r="A462" s="390">
        <v>94631</v>
      </c>
      <c r="B462" s="391" t="s">
        <v>1161</v>
      </c>
      <c r="C462" s="234">
        <v>4.2899999999999999E-5</v>
      </c>
      <c r="D462" s="234">
        <v>4.2599999999999999E-5</v>
      </c>
      <c r="E462" s="231">
        <v>153300</v>
      </c>
      <c r="F462" s="231" t="s">
        <v>1924</v>
      </c>
      <c r="G462" s="392">
        <v>19359</v>
      </c>
      <c r="H462" s="392">
        <v>21573</v>
      </c>
      <c r="I462" s="392">
        <v>11409</v>
      </c>
      <c r="J462" s="231">
        <v>2273</v>
      </c>
      <c r="K462" s="231">
        <v>54614</v>
      </c>
      <c r="L462" s="231"/>
      <c r="M462" s="225">
        <v>0</v>
      </c>
      <c r="N462" s="225">
        <v>0</v>
      </c>
      <c r="O462" s="231">
        <v>1575</v>
      </c>
      <c r="P462" s="231">
        <v>1575</v>
      </c>
      <c r="Q462" s="231"/>
      <c r="R462" s="392">
        <v>52719</v>
      </c>
      <c r="S462" s="231">
        <v>1564</v>
      </c>
      <c r="T462" s="396">
        <v>54283</v>
      </c>
      <c r="U462" s="231"/>
      <c r="V462" s="396"/>
      <c r="W462" s="396"/>
      <c r="X462" s="396">
        <v>311029</v>
      </c>
      <c r="Y462" s="396">
        <v>22216</v>
      </c>
    </row>
    <row r="463" spans="1:25">
      <c r="A463" s="390">
        <v>94641</v>
      </c>
      <c r="B463" s="391" t="s">
        <v>1162</v>
      </c>
      <c r="C463" s="234">
        <v>1.4399999999999999E-5</v>
      </c>
      <c r="D463" s="234">
        <v>1.04E-5</v>
      </c>
      <c r="E463" s="231">
        <v>51457</v>
      </c>
      <c r="F463" s="231" t="s">
        <v>1924</v>
      </c>
      <c r="G463" s="392">
        <v>6498</v>
      </c>
      <c r="H463" s="392">
        <v>7241</v>
      </c>
      <c r="I463" s="392">
        <v>3829</v>
      </c>
      <c r="J463" s="231">
        <v>13750</v>
      </c>
      <c r="K463" s="231">
        <v>31318</v>
      </c>
      <c r="L463" s="231"/>
      <c r="M463" s="225">
        <v>0</v>
      </c>
      <c r="N463" s="225">
        <v>0</v>
      </c>
      <c r="O463" s="231">
        <v>0</v>
      </c>
      <c r="P463" s="231">
        <v>0</v>
      </c>
      <c r="Q463" s="231"/>
      <c r="R463" s="392">
        <v>17696</v>
      </c>
      <c r="S463" s="231">
        <v>5565</v>
      </c>
      <c r="T463" s="396">
        <v>23261</v>
      </c>
      <c r="U463" s="231"/>
      <c r="V463" s="396"/>
      <c r="W463" s="396"/>
      <c r="X463" s="396">
        <v>104401</v>
      </c>
      <c r="Y463" s="396">
        <v>7457</v>
      </c>
    </row>
    <row r="464" spans="1:25">
      <c r="A464" s="390">
        <v>94701</v>
      </c>
      <c r="B464" s="391" t="s">
        <v>1163</v>
      </c>
      <c r="C464" s="234">
        <v>2.4697999999999999E-3</v>
      </c>
      <c r="D464" s="234">
        <v>2.4202999999999998E-3</v>
      </c>
      <c r="E464" s="231">
        <v>8825648</v>
      </c>
      <c r="F464" s="231" t="s">
        <v>1924</v>
      </c>
      <c r="G464" s="392">
        <v>1114524</v>
      </c>
      <c r="H464" s="392">
        <v>1241973</v>
      </c>
      <c r="I464" s="392">
        <v>656801</v>
      </c>
      <c r="J464" s="231">
        <v>136213</v>
      </c>
      <c r="K464" s="231">
        <v>3149511</v>
      </c>
      <c r="L464" s="231"/>
      <c r="M464" s="225">
        <v>0</v>
      </c>
      <c r="N464" s="225">
        <v>0</v>
      </c>
      <c r="O464" s="231">
        <v>66334</v>
      </c>
      <c r="P464" s="231">
        <v>66334</v>
      </c>
      <c r="Q464" s="231"/>
      <c r="R464" s="392">
        <v>3035075</v>
      </c>
      <c r="S464" s="231">
        <v>-13800</v>
      </c>
      <c r="T464" s="396">
        <v>3021275</v>
      </c>
      <c r="U464" s="231"/>
      <c r="V464" s="396"/>
      <c r="W464" s="396"/>
      <c r="X464" s="396">
        <v>17906277</v>
      </c>
      <c r="Y464" s="396">
        <v>1279006</v>
      </c>
    </row>
    <row r="465" spans="1:25">
      <c r="A465" s="390">
        <v>94704</v>
      </c>
      <c r="B465" s="391" t="s">
        <v>1164</v>
      </c>
      <c r="C465" s="234">
        <v>1.5500000000000001E-5</v>
      </c>
      <c r="D465" s="234">
        <v>1.5299999999999999E-5</v>
      </c>
      <c r="E465" s="231">
        <v>55388</v>
      </c>
      <c r="F465" s="231" t="s">
        <v>1924</v>
      </c>
      <c r="G465" s="392">
        <v>6995</v>
      </c>
      <c r="H465" s="392">
        <v>7794</v>
      </c>
      <c r="I465" s="392">
        <v>4122</v>
      </c>
      <c r="J465" s="231">
        <v>4513</v>
      </c>
      <c r="K465" s="231">
        <v>23424</v>
      </c>
      <c r="L465" s="231"/>
      <c r="M465" s="225">
        <v>0</v>
      </c>
      <c r="N465" s="225">
        <v>0</v>
      </c>
      <c r="O465" s="231">
        <v>40</v>
      </c>
      <c r="P465" s="231">
        <v>40</v>
      </c>
      <c r="Q465" s="231"/>
      <c r="R465" s="392">
        <v>19048</v>
      </c>
      <c r="S465" s="231">
        <v>1876</v>
      </c>
      <c r="T465" s="396">
        <v>20924</v>
      </c>
      <c r="U465" s="231"/>
      <c r="V465" s="396"/>
      <c r="W465" s="396"/>
      <c r="X465" s="396">
        <v>112376</v>
      </c>
      <c r="Y465" s="396">
        <v>8027</v>
      </c>
    </row>
    <row r="466" spans="1:25">
      <c r="A466" s="390">
        <v>94711</v>
      </c>
      <c r="B466" s="391" t="s">
        <v>1165</v>
      </c>
      <c r="C466" s="234">
        <v>3.1080000000000002E-4</v>
      </c>
      <c r="D466" s="234">
        <v>3.3819999999999998E-4</v>
      </c>
      <c r="E466" s="231">
        <v>1110621</v>
      </c>
      <c r="F466" s="231" t="s">
        <v>1924</v>
      </c>
      <c r="G466" s="392">
        <v>140252</v>
      </c>
      <c r="H466" s="392">
        <v>156290</v>
      </c>
      <c r="I466" s="392">
        <v>82652</v>
      </c>
      <c r="J466" s="231">
        <v>8044</v>
      </c>
      <c r="K466" s="231">
        <v>387238</v>
      </c>
      <c r="L466" s="231"/>
      <c r="M466" s="225">
        <v>0</v>
      </c>
      <c r="N466" s="225">
        <v>0</v>
      </c>
      <c r="O466" s="231">
        <v>19076</v>
      </c>
      <c r="P466" s="231">
        <v>19076</v>
      </c>
      <c r="Q466" s="231"/>
      <c r="R466" s="392">
        <v>381934</v>
      </c>
      <c r="S466" s="231">
        <v>-4542</v>
      </c>
      <c r="T466" s="396">
        <v>377392</v>
      </c>
      <c r="U466" s="231"/>
      <c r="V466" s="396"/>
      <c r="W466" s="396"/>
      <c r="X466" s="396">
        <v>2253329</v>
      </c>
      <c r="Y466" s="396">
        <v>160950</v>
      </c>
    </row>
    <row r="467" spans="1:25">
      <c r="A467" s="390">
        <v>94801</v>
      </c>
      <c r="B467" s="391" t="s">
        <v>1166</v>
      </c>
      <c r="C467" s="234">
        <v>6.8409999999999999E-4</v>
      </c>
      <c r="D467" s="234">
        <v>6.8429999999999999E-4</v>
      </c>
      <c r="E467" s="231">
        <v>2444581</v>
      </c>
      <c r="F467" s="231" t="s">
        <v>1924</v>
      </c>
      <c r="G467" s="392">
        <v>308708</v>
      </c>
      <c r="H467" s="392">
        <v>344009</v>
      </c>
      <c r="I467" s="392">
        <v>181925</v>
      </c>
      <c r="J467" s="231">
        <v>23075</v>
      </c>
      <c r="K467" s="231">
        <v>857717</v>
      </c>
      <c r="L467" s="231"/>
      <c r="M467" s="225">
        <v>0</v>
      </c>
      <c r="N467" s="225">
        <v>0</v>
      </c>
      <c r="O467" s="231">
        <v>16032</v>
      </c>
      <c r="P467" s="231">
        <v>16032</v>
      </c>
      <c r="Q467" s="231"/>
      <c r="R467" s="392">
        <v>840673</v>
      </c>
      <c r="S467" s="231">
        <v>165</v>
      </c>
      <c r="T467" s="396">
        <v>840838</v>
      </c>
      <c r="U467" s="231"/>
      <c r="V467" s="396"/>
      <c r="W467" s="396"/>
      <c r="X467" s="396">
        <v>4959788</v>
      </c>
      <c r="Y467" s="396">
        <v>354267</v>
      </c>
    </row>
    <row r="468" spans="1:25">
      <c r="A468" s="390">
        <v>94804</v>
      </c>
      <c r="B468" s="391" t="s">
        <v>1167</v>
      </c>
      <c r="C468" s="234">
        <v>3.4000000000000001E-6</v>
      </c>
      <c r="D468" s="234">
        <v>2.7999999999999999E-6</v>
      </c>
      <c r="E468" s="231">
        <v>12150</v>
      </c>
      <c r="F468" s="231" t="s">
        <v>1924</v>
      </c>
      <c r="G468" s="392">
        <v>1534</v>
      </c>
      <c r="H468" s="392">
        <v>1710</v>
      </c>
      <c r="I468" s="392">
        <v>904</v>
      </c>
      <c r="J468" s="231">
        <v>3096</v>
      </c>
      <c r="K468" s="231">
        <v>7244</v>
      </c>
      <c r="L468" s="231"/>
      <c r="M468" s="225">
        <v>0</v>
      </c>
      <c r="N468" s="225">
        <v>0</v>
      </c>
      <c r="O468" s="231">
        <v>0</v>
      </c>
      <c r="P468" s="231">
        <v>0</v>
      </c>
      <c r="Q468" s="231"/>
      <c r="R468" s="392">
        <v>4178</v>
      </c>
      <c r="S468" s="231">
        <v>1144</v>
      </c>
      <c r="T468" s="396">
        <v>5322</v>
      </c>
      <c r="U468" s="231"/>
      <c r="V468" s="396"/>
      <c r="W468" s="396"/>
      <c r="X468" s="396">
        <v>24650</v>
      </c>
      <c r="Y468" s="396">
        <v>1761</v>
      </c>
    </row>
    <row r="469" spans="1:25">
      <c r="A469" s="390">
        <v>94812</v>
      </c>
      <c r="B469" s="391" t="s">
        <v>1168</v>
      </c>
      <c r="C469" s="234">
        <v>2.8399999999999999E-5</v>
      </c>
      <c r="D469" s="234">
        <v>3.0000000000000001E-5</v>
      </c>
      <c r="E469" s="231">
        <v>101485</v>
      </c>
      <c r="F469" s="231" t="s">
        <v>1924</v>
      </c>
      <c r="G469" s="392">
        <v>12816</v>
      </c>
      <c r="H469" s="392">
        <v>14281</v>
      </c>
      <c r="I469" s="392">
        <v>7552</v>
      </c>
      <c r="J469" s="231">
        <v>8748</v>
      </c>
      <c r="K469" s="231">
        <v>43397</v>
      </c>
      <c r="L469" s="231"/>
      <c r="M469" s="225">
        <v>0</v>
      </c>
      <c r="N469" s="225">
        <v>0</v>
      </c>
      <c r="O469" s="231">
        <v>0</v>
      </c>
      <c r="P469" s="231">
        <v>0</v>
      </c>
      <c r="Q469" s="231"/>
      <c r="R469" s="392">
        <v>34900</v>
      </c>
      <c r="S469" s="231">
        <v>5068</v>
      </c>
      <c r="T469" s="396">
        <v>39968</v>
      </c>
      <c r="U469" s="231"/>
      <c r="V469" s="396"/>
      <c r="W469" s="396"/>
      <c r="X469" s="396">
        <v>205903</v>
      </c>
      <c r="Y469" s="396">
        <v>14707</v>
      </c>
    </row>
    <row r="470" spans="1:25">
      <c r="A470" s="390">
        <v>94901</v>
      </c>
      <c r="B470" s="391" t="s">
        <v>1169</v>
      </c>
      <c r="C470" s="234">
        <v>7.2741999999999998E-3</v>
      </c>
      <c r="D470" s="234">
        <v>7.2372000000000001E-3</v>
      </c>
      <c r="E470" s="231">
        <v>25993815</v>
      </c>
      <c r="F470" s="231" t="s">
        <v>1924</v>
      </c>
      <c r="G470" s="392">
        <v>3282563</v>
      </c>
      <c r="H470" s="392">
        <v>3657933</v>
      </c>
      <c r="I470" s="392">
        <v>1934450</v>
      </c>
      <c r="J470" s="231">
        <v>262914</v>
      </c>
      <c r="K470" s="231">
        <v>9137860</v>
      </c>
      <c r="L470" s="231"/>
      <c r="M470" s="225">
        <v>0</v>
      </c>
      <c r="N470" s="225">
        <v>0</v>
      </c>
      <c r="O470" s="231">
        <v>19106</v>
      </c>
      <c r="P470" s="231">
        <v>19106</v>
      </c>
      <c r="Q470" s="231"/>
      <c r="R470" s="392">
        <v>8939083</v>
      </c>
      <c r="S470" s="231">
        <v>89158</v>
      </c>
      <c r="T470" s="396">
        <v>9028241</v>
      </c>
      <c r="U470" s="231"/>
      <c r="V470" s="396"/>
      <c r="W470" s="396"/>
      <c r="X470" s="396">
        <v>52738619</v>
      </c>
      <c r="Y470" s="396">
        <v>3767003</v>
      </c>
    </row>
    <row r="471" spans="1:25">
      <c r="A471" s="390">
        <v>94908</v>
      </c>
      <c r="B471" s="391" t="s">
        <v>1170</v>
      </c>
      <c r="C471" s="234">
        <v>6.5400000000000004E-5</v>
      </c>
      <c r="D471" s="234">
        <v>5.9000000000000003E-6</v>
      </c>
      <c r="E471" s="231">
        <v>233702</v>
      </c>
      <c r="F471" s="231" t="s">
        <v>1924</v>
      </c>
      <c r="G471" s="392">
        <v>29512</v>
      </c>
      <c r="H471" s="392">
        <v>32887</v>
      </c>
      <c r="I471" s="392">
        <v>17392</v>
      </c>
      <c r="J471" s="231">
        <v>82898</v>
      </c>
      <c r="K471" s="231">
        <v>162689</v>
      </c>
      <c r="L471" s="231"/>
      <c r="M471" s="225">
        <v>0</v>
      </c>
      <c r="N471" s="225">
        <v>0</v>
      </c>
      <c r="O471" s="231">
        <v>4717</v>
      </c>
      <c r="P471" s="231">
        <v>4717</v>
      </c>
      <c r="Q471" s="231"/>
      <c r="R471" s="392">
        <v>80368</v>
      </c>
      <c r="S471" s="231">
        <v>22657</v>
      </c>
      <c r="T471" s="396">
        <v>103025</v>
      </c>
      <c r="U471" s="231"/>
      <c r="V471" s="396"/>
      <c r="W471" s="396"/>
      <c r="X471" s="396">
        <v>474156</v>
      </c>
      <c r="Y471" s="396">
        <v>33868</v>
      </c>
    </row>
    <row r="472" spans="1:25">
      <c r="A472" s="390">
        <v>94911</v>
      </c>
      <c r="B472" s="391" t="s">
        <v>1171</v>
      </c>
      <c r="C472" s="234">
        <v>2.9137999999999998E-3</v>
      </c>
      <c r="D472" s="234">
        <v>2.8782E-3</v>
      </c>
      <c r="E472" s="231">
        <v>10412249</v>
      </c>
      <c r="F472" s="231" t="s">
        <v>1924</v>
      </c>
      <c r="G472" s="392">
        <v>1314884</v>
      </c>
      <c r="H472" s="392">
        <v>1465245</v>
      </c>
      <c r="I472" s="392">
        <v>774876</v>
      </c>
      <c r="J472" s="231">
        <v>116602</v>
      </c>
      <c r="K472" s="231">
        <v>3671607</v>
      </c>
      <c r="L472" s="231"/>
      <c r="M472" s="225">
        <v>0</v>
      </c>
      <c r="N472" s="225">
        <v>0</v>
      </c>
      <c r="O472" s="231">
        <v>64798</v>
      </c>
      <c r="P472" s="231">
        <v>64798</v>
      </c>
      <c r="Q472" s="231"/>
      <c r="R472" s="392">
        <v>3580696</v>
      </c>
      <c r="S472" s="231">
        <v>20799</v>
      </c>
      <c r="T472" s="396">
        <v>3601495</v>
      </c>
      <c r="U472" s="231"/>
      <c r="V472" s="396"/>
      <c r="W472" s="396"/>
      <c r="X472" s="396">
        <v>21125318</v>
      </c>
      <c r="Y472" s="396">
        <v>1508935</v>
      </c>
    </row>
    <row r="473" spans="1:25">
      <c r="A473" s="390">
        <v>94917</v>
      </c>
      <c r="B473" s="391" t="s">
        <v>1172</v>
      </c>
      <c r="C473" s="234">
        <v>3.1099999999999997E-5</v>
      </c>
      <c r="D473" s="234">
        <v>3.0700000000000001E-5</v>
      </c>
      <c r="E473" s="231">
        <v>111134</v>
      </c>
      <c r="F473" s="231" t="s">
        <v>1924</v>
      </c>
      <c r="G473" s="392">
        <v>14034</v>
      </c>
      <c r="H473" s="392">
        <v>15639</v>
      </c>
      <c r="I473" s="392">
        <v>8271</v>
      </c>
      <c r="J473" s="231">
        <v>25847</v>
      </c>
      <c r="K473" s="231">
        <v>63791</v>
      </c>
      <c r="L473" s="231"/>
      <c r="M473" s="225">
        <v>0</v>
      </c>
      <c r="N473" s="225">
        <v>0</v>
      </c>
      <c r="O473" s="231">
        <v>0</v>
      </c>
      <c r="P473" s="231">
        <v>0</v>
      </c>
      <c r="Q473" s="231"/>
      <c r="R473" s="392">
        <v>38218</v>
      </c>
      <c r="S473" s="231">
        <v>11607</v>
      </c>
      <c r="T473" s="396">
        <v>49825</v>
      </c>
      <c r="U473" s="231"/>
      <c r="V473" s="396"/>
      <c r="W473" s="396"/>
      <c r="X473" s="396">
        <v>225478</v>
      </c>
      <c r="Y473" s="396">
        <v>16105</v>
      </c>
    </row>
    <row r="474" spans="1:25">
      <c r="A474" s="390">
        <v>94921</v>
      </c>
      <c r="B474" s="391" t="s">
        <v>1173</v>
      </c>
      <c r="C474" s="234">
        <v>3.7566000000000001E-3</v>
      </c>
      <c r="D474" s="234">
        <v>3.8489000000000002E-3</v>
      </c>
      <c r="E474" s="231">
        <v>13423932</v>
      </c>
      <c r="F474" s="231" t="s">
        <v>1924</v>
      </c>
      <c r="G474" s="392">
        <v>1695207</v>
      </c>
      <c r="H474" s="392">
        <v>1889059</v>
      </c>
      <c r="I474" s="392">
        <v>999004</v>
      </c>
      <c r="J474" s="231">
        <v>4801</v>
      </c>
      <c r="K474" s="231">
        <v>4588071</v>
      </c>
      <c r="L474" s="231"/>
      <c r="M474" s="225">
        <v>0</v>
      </c>
      <c r="N474" s="225">
        <v>0</v>
      </c>
      <c r="O474" s="231">
        <v>347480</v>
      </c>
      <c r="P474" s="231">
        <v>347480</v>
      </c>
      <c r="Q474" s="231"/>
      <c r="R474" s="392">
        <v>4616392</v>
      </c>
      <c r="S474" s="231">
        <v>-193690</v>
      </c>
      <c r="T474" s="396">
        <v>4422702</v>
      </c>
      <c r="U474" s="231"/>
      <c r="V474" s="396"/>
      <c r="W474" s="396"/>
      <c r="X474" s="396">
        <v>27235696</v>
      </c>
      <c r="Y474" s="396">
        <v>1945385</v>
      </c>
    </row>
    <row r="475" spans="1:25">
      <c r="A475" s="390">
        <v>94923</v>
      </c>
      <c r="B475" s="391" t="s">
        <v>1174</v>
      </c>
      <c r="C475" s="234">
        <v>2.6299999999999999E-5</v>
      </c>
      <c r="D475" s="234">
        <v>2.7800000000000001E-5</v>
      </c>
      <c r="E475" s="231">
        <v>93981</v>
      </c>
      <c r="F475" s="231" t="s">
        <v>1924</v>
      </c>
      <c r="G475" s="392">
        <v>11868</v>
      </c>
      <c r="H475" s="392">
        <v>13225</v>
      </c>
      <c r="I475" s="392">
        <v>6994</v>
      </c>
      <c r="J475" s="231">
        <v>3329</v>
      </c>
      <c r="K475" s="231">
        <v>35416</v>
      </c>
      <c r="L475" s="231"/>
      <c r="M475" s="225">
        <v>0</v>
      </c>
      <c r="N475" s="225">
        <v>0</v>
      </c>
      <c r="O475" s="231">
        <v>0</v>
      </c>
      <c r="P475" s="231">
        <v>0</v>
      </c>
      <c r="Q475" s="231"/>
      <c r="R475" s="392">
        <v>32319</v>
      </c>
      <c r="S475" s="231">
        <v>2050</v>
      </c>
      <c r="T475" s="396">
        <v>34369</v>
      </c>
      <c r="U475" s="231"/>
      <c r="V475" s="396"/>
      <c r="W475" s="396"/>
      <c r="X475" s="396">
        <v>190677</v>
      </c>
      <c r="Y475" s="396">
        <v>13620</v>
      </c>
    </row>
    <row r="476" spans="1:25">
      <c r="A476" s="390">
        <v>94927</v>
      </c>
      <c r="B476" s="391" t="s">
        <v>1175</v>
      </c>
      <c r="C476" s="234">
        <v>2.26E-5</v>
      </c>
      <c r="D476" s="234">
        <v>2.5299999999999998E-5</v>
      </c>
      <c r="E476" s="231">
        <v>80759</v>
      </c>
      <c r="F476" s="231" t="s">
        <v>1924</v>
      </c>
      <c r="G476" s="392">
        <v>10198</v>
      </c>
      <c r="H476" s="392">
        <v>11365</v>
      </c>
      <c r="I476" s="392">
        <v>6010</v>
      </c>
      <c r="J476" s="231">
        <v>11450</v>
      </c>
      <c r="K476" s="231">
        <v>39023</v>
      </c>
      <c r="L476" s="231"/>
      <c r="M476" s="225">
        <v>0</v>
      </c>
      <c r="N476" s="225">
        <v>0</v>
      </c>
      <c r="O476" s="231">
        <v>0</v>
      </c>
      <c r="P476" s="231">
        <v>0</v>
      </c>
      <c r="Q476" s="231"/>
      <c r="R476" s="392">
        <v>27773</v>
      </c>
      <c r="S476" s="231">
        <v>4760</v>
      </c>
      <c r="T476" s="396">
        <v>32533</v>
      </c>
      <c r="U476" s="231"/>
      <c r="V476" s="396"/>
      <c r="W476" s="396"/>
      <c r="X476" s="396">
        <v>163852</v>
      </c>
      <c r="Y476" s="396">
        <v>11704</v>
      </c>
    </row>
    <row r="477" spans="1:25">
      <c r="A477" s="390">
        <v>94931</v>
      </c>
      <c r="B477" s="391" t="s">
        <v>1176</v>
      </c>
      <c r="C477" s="234">
        <v>1.9909999999999999E-4</v>
      </c>
      <c r="D477" s="234">
        <v>2.142E-4</v>
      </c>
      <c r="E477" s="231">
        <v>711469</v>
      </c>
      <c r="F477" s="231" t="s">
        <v>1924</v>
      </c>
      <c r="G477" s="392">
        <v>89846</v>
      </c>
      <c r="H477" s="392">
        <v>100120</v>
      </c>
      <c r="I477" s="392">
        <v>52947</v>
      </c>
      <c r="J477" s="231">
        <v>7612</v>
      </c>
      <c r="K477" s="231">
        <v>250525</v>
      </c>
      <c r="L477" s="231"/>
      <c r="M477" s="225">
        <v>0</v>
      </c>
      <c r="N477" s="225">
        <v>0</v>
      </c>
      <c r="O477" s="231">
        <v>19368</v>
      </c>
      <c r="P477" s="231">
        <v>19368</v>
      </c>
      <c r="Q477" s="231"/>
      <c r="R477" s="392">
        <v>244669</v>
      </c>
      <c r="S477" s="231">
        <v>-7685</v>
      </c>
      <c r="T477" s="396">
        <v>236984</v>
      </c>
      <c r="U477" s="231"/>
      <c r="V477" s="396"/>
      <c r="W477" s="396"/>
      <c r="X477" s="396">
        <v>1443493</v>
      </c>
      <c r="Y477" s="396">
        <v>103106</v>
      </c>
    </row>
    <row r="478" spans="1:25">
      <c r="A478" s="390">
        <v>94937</v>
      </c>
      <c r="B478" t="s">
        <v>1927</v>
      </c>
      <c r="C478" s="234">
        <v>7.5000000000000002E-6</v>
      </c>
      <c r="D478" s="234">
        <v>6.9E-6</v>
      </c>
      <c r="E478" s="231">
        <v>26801</v>
      </c>
      <c r="F478" s="231" t="s">
        <v>1924</v>
      </c>
      <c r="G478" s="392">
        <v>3384</v>
      </c>
      <c r="H478" s="392">
        <v>3771</v>
      </c>
      <c r="I478" s="392">
        <v>1994</v>
      </c>
      <c r="J478" s="231">
        <v>5253</v>
      </c>
      <c r="K478" s="231">
        <v>14402</v>
      </c>
      <c r="L478" s="231"/>
      <c r="M478" s="225">
        <v>0</v>
      </c>
      <c r="N478" s="225">
        <v>0</v>
      </c>
      <c r="O478" s="231">
        <v>0</v>
      </c>
      <c r="P478" s="231">
        <v>0</v>
      </c>
      <c r="Q478" s="231"/>
      <c r="R478" s="392">
        <v>9217</v>
      </c>
      <c r="S478" s="231">
        <v>1751</v>
      </c>
      <c r="T478" s="396">
        <v>10968</v>
      </c>
      <c r="U478" s="231"/>
      <c r="V478" s="396"/>
      <c r="W478" s="396"/>
      <c r="X478" s="396">
        <v>54376</v>
      </c>
      <c r="Y478" s="396">
        <v>3884</v>
      </c>
    </row>
    <row r="479" spans="1:25">
      <c r="A479" s="390">
        <v>94941</v>
      </c>
      <c r="B479" s="391" t="s">
        <v>1177</v>
      </c>
      <c r="C479" s="234">
        <v>5.5029999999999999E-4</v>
      </c>
      <c r="D479" s="234">
        <v>5.865E-4</v>
      </c>
      <c r="E479" s="231">
        <v>1966456</v>
      </c>
      <c r="F479" s="231" t="s">
        <v>1924</v>
      </c>
      <c r="G479" s="392">
        <v>248329</v>
      </c>
      <c r="H479" s="392">
        <v>276726</v>
      </c>
      <c r="I479" s="392">
        <v>146343</v>
      </c>
      <c r="J479" s="231">
        <v>14793</v>
      </c>
      <c r="K479" s="231">
        <v>686191</v>
      </c>
      <c r="L479" s="231"/>
      <c r="M479" s="225">
        <v>0</v>
      </c>
      <c r="N479" s="225">
        <v>0</v>
      </c>
      <c r="O479" s="231">
        <v>182333</v>
      </c>
      <c r="P479" s="231">
        <v>182333</v>
      </c>
      <c r="Q479" s="231"/>
      <c r="R479" s="392">
        <v>676250</v>
      </c>
      <c r="S479" s="231">
        <v>-56548</v>
      </c>
      <c r="T479" s="396">
        <v>619702</v>
      </c>
      <c r="U479" s="231"/>
      <c r="V479" s="396"/>
      <c r="W479" s="396"/>
      <c r="X479" s="396">
        <v>3989726</v>
      </c>
      <c r="Y479" s="396">
        <v>284977</v>
      </c>
    </row>
    <row r="480" spans="1:25">
      <c r="A480" s="390">
        <v>94947</v>
      </c>
      <c r="B480" t="s">
        <v>1928</v>
      </c>
      <c r="C480" s="234">
        <v>5.4E-6</v>
      </c>
      <c r="D480" s="234">
        <v>5.9000000000000003E-6</v>
      </c>
      <c r="E480" s="231">
        <v>19297</v>
      </c>
      <c r="F480" s="231" t="s">
        <v>1924</v>
      </c>
      <c r="G480" s="392">
        <v>2437</v>
      </c>
      <c r="H480" s="392">
        <v>2715</v>
      </c>
      <c r="I480" s="392">
        <v>1436</v>
      </c>
      <c r="J480" s="231">
        <v>5748</v>
      </c>
      <c r="K480" s="231">
        <v>12336</v>
      </c>
      <c r="L480" s="231"/>
      <c r="M480" s="225">
        <v>0</v>
      </c>
      <c r="N480" s="225">
        <v>0</v>
      </c>
      <c r="O480" s="231">
        <v>0</v>
      </c>
      <c r="P480" s="231">
        <v>0</v>
      </c>
      <c r="Q480" s="231"/>
      <c r="R480" s="392">
        <v>6636</v>
      </c>
      <c r="S480" s="231">
        <v>1916</v>
      </c>
      <c r="T480" s="396">
        <v>8552</v>
      </c>
      <c r="U480" s="231"/>
      <c r="V480" s="396"/>
      <c r="W480" s="396"/>
      <c r="X480" s="396">
        <v>39150</v>
      </c>
      <c r="Y480" s="396">
        <v>2796</v>
      </c>
    </row>
    <row r="481" spans="1:25">
      <c r="A481" s="390">
        <v>95001</v>
      </c>
      <c r="B481" s="391" t="s">
        <v>1178</v>
      </c>
      <c r="C481" s="234">
        <v>2.2097000000000002E-3</v>
      </c>
      <c r="D481" s="234">
        <v>2.2818999999999999E-3</v>
      </c>
      <c r="E481" s="231">
        <v>7896199</v>
      </c>
      <c r="F481" s="231" t="s">
        <v>1924</v>
      </c>
      <c r="G481" s="392">
        <v>997151</v>
      </c>
      <c r="H481" s="392">
        <v>1111179</v>
      </c>
      <c r="I481" s="392">
        <v>587632</v>
      </c>
      <c r="J481" s="231">
        <v>126823</v>
      </c>
      <c r="K481" s="231">
        <v>2822785</v>
      </c>
      <c r="L481" s="231"/>
      <c r="M481" s="225">
        <v>0</v>
      </c>
      <c r="N481" s="225">
        <v>0</v>
      </c>
      <c r="O481" s="231">
        <v>24732</v>
      </c>
      <c r="P481" s="231">
        <v>24732</v>
      </c>
      <c r="Q481" s="231"/>
      <c r="R481" s="392">
        <v>2715445</v>
      </c>
      <c r="S481" s="231">
        <v>59272</v>
      </c>
      <c r="T481" s="396">
        <v>2774717</v>
      </c>
      <c r="U481" s="231"/>
      <c r="V481" s="396"/>
      <c r="W481" s="396"/>
      <c r="X481" s="396">
        <v>16020528</v>
      </c>
      <c r="Y481" s="396">
        <v>1144311</v>
      </c>
    </row>
    <row r="482" spans="1:25">
      <c r="A482" s="390">
        <v>95002</v>
      </c>
      <c r="B482" s="391" t="s">
        <v>1179</v>
      </c>
      <c r="C482" s="234">
        <v>1.6760000000000001E-4</v>
      </c>
      <c r="D482" s="234">
        <v>1.805E-4</v>
      </c>
      <c r="E482" s="231">
        <v>598906</v>
      </c>
      <c r="F482" s="231" t="s">
        <v>1924</v>
      </c>
      <c r="G482" s="392">
        <v>75631</v>
      </c>
      <c r="H482" s="392">
        <v>84280</v>
      </c>
      <c r="I482" s="392">
        <v>44570</v>
      </c>
      <c r="J482" s="231">
        <v>23435</v>
      </c>
      <c r="K482" s="231">
        <v>227916</v>
      </c>
      <c r="L482" s="231"/>
      <c r="M482" s="225">
        <v>0</v>
      </c>
      <c r="N482" s="225">
        <v>0</v>
      </c>
      <c r="O482" s="231">
        <v>0</v>
      </c>
      <c r="P482" s="231">
        <v>0</v>
      </c>
      <c r="Q482" s="231"/>
      <c r="R482" s="392">
        <v>205959</v>
      </c>
      <c r="S482" s="231">
        <v>11908</v>
      </c>
      <c r="T482" s="396">
        <v>217867</v>
      </c>
      <c r="U482" s="231"/>
      <c r="V482" s="396"/>
      <c r="W482" s="396"/>
      <c r="X482" s="396">
        <v>1215115</v>
      </c>
      <c r="Y482" s="396">
        <v>86793</v>
      </c>
    </row>
    <row r="483" spans="1:25">
      <c r="A483" s="390">
        <v>95005</v>
      </c>
      <c r="B483" s="391" t="s">
        <v>1180</v>
      </c>
      <c r="C483" s="234">
        <v>1.6770000000000001E-4</v>
      </c>
      <c r="D483" s="234">
        <v>1.8819999999999999E-4</v>
      </c>
      <c r="E483" s="231">
        <v>599264</v>
      </c>
      <c r="F483" s="231" t="s">
        <v>1924</v>
      </c>
      <c r="G483" s="392">
        <v>75676</v>
      </c>
      <c r="H483" s="392">
        <v>84330</v>
      </c>
      <c r="I483" s="392">
        <v>44597</v>
      </c>
      <c r="J483" s="231">
        <v>0</v>
      </c>
      <c r="K483" s="231">
        <v>204603</v>
      </c>
      <c r="L483" s="231"/>
      <c r="M483" s="225">
        <v>0</v>
      </c>
      <c r="N483" s="225">
        <v>0</v>
      </c>
      <c r="O483" s="231">
        <v>18819</v>
      </c>
      <c r="P483" s="231">
        <v>18819</v>
      </c>
      <c r="Q483" s="231"/>
      <c r="R483" s="392">
        <v>206082</v>
      </c>
      <c r="S483" s="231">
        <v>-6822</v>
      </c>
      <c r="T483" s="396">
        <v>199260</v>
      </c>
      <c r="U483" s="231"/>
      <c r="V483" s="396"/>
      <c r="W483" s="396"/>
      <c r="X483" s="396">
        <v>1215840</v>
      </c>
      <c r="Y483" s="396">
        <v>86845</v>
      </c>
    </row>
    <row r="484" spans="1:25">
      <c r="A484" s="390">
        <v>95008</v>
      </c>
      <c r="B484" s="391" t="s">
        <v>1181</v>
      </c>
      <c r="C484" s="234">
        <v>1.225E-4</v>
      </c>
      <c r="D484" s="234">
        <v>1.193E-4</v>
      </c>
      <c r="E484" s="231">
        <v>437745</v>
      </c>
      <c r="F484" s="231" t="s">
        <v>1924</v>
      </c>
      <c r="G484" s="392">
        <v>55279</v>
      </c>
      <c r="H484" s="392">
        <v>61601</v>
      </c>
      <c r="I484" s="392">
        <v>32577</v>
      </c>
      <c r="J484" s="231">
        <v>26039</v>
      </c>
      <c r="K484" s="231">
        <v>175496</v>
      </c>
      <c r="L484" s="231"/>
      <c r="M484" s="225">
        <v>0</v>
      </c>
      <c r="N484" s="225">
        <v>0</v>
      </c>
      <c r="O484" s="231">
        <v>0</v>
      </c>
      <c r="P484" s="231">
        <v>0</v>
      </c>
      <c r="Q484" s="231"/>
      <c r="R484" s="392">
        <v>150537</v>
      </c>
      <c r="S484" s="231">
        <v>8818</v>
      </c>
      <c r="T484" s="396">
        <v>159355</v>
      </c>
      <c r="U484" s="231"/>
      <c r="V484" s="396"/>
      <c r="W484" s="396"/>
      <c r="X484" s="396">
        <v>888136</v>
      </c>
      <c r="Y484" s="396">
        <v>63438</v>
      </c>
    </row>
    <row r="485" spans="1:25">
      <c r="A485" s="390">
        <v>95009</v>
      </c>
      <c r="B485" s="391" t="s">
        <v>1182</v>
      </c>
      <c r="C485" s="234">
        <v>3.8095E-3</v>
      </c>
      <c r="D485" s="234">
        <v>4.0723000000000001E-3</v>
      </c>
      <c r="E485" s="231">
        <v>13612966</v>
      </c>
      <c r="F485" s="231" t="s">
        <v>1924</v>
      </c>
      <c r="G485" s="392">
        <v>1719079</v>
      </c>
      <c r="H485" s="392">
        <v>1915661</v>
      </c>
      <c r="I485" s="392">
        <v>1013072</v>
      </c>
      <c r="J485" s="231">
        <v>34692</v>
      </c>
      <c r="K485" s="231">
        <v>4682504</v>
      </c>
      <c r="L485" s="231"/>
      <c r="M485" s="225">
        <v>0</v>
      </c>
      <c r="N485" s="225">
        <v>0</v>
      </c>
      <c r="O485" s="231">
        <v>592611</v>
      </c>
      <c r="P485" s="231">
        <v>592611</v>
      </c>
      <c r="Q485" s="231"/>
      <c r="R485" s="392">
        <v>4681399</v>
      </c>
      <c r="S485" s="231">
        <v>-124964</v>
      </c>
      <c r="T485" s="396">
        <v>4556435</v>
      </c>
      <c r="U485" s="231"/>
      <c r="V485" s="396"/>
      <c r="W485" s="396"/>
      <c r="X485" s="396">
        <v>27619225</v>
      </c>
      <c r="Y485" s="396">
        <v>1972780</v>
      </c>
    </row>
    <row r="486" spans="1:25">
      <c r="A486" s="390">
        <v>95010</v>
      </c>
      <c r="B486" s="391" t="s">
        <v>3719</v>
      </c>
      <c r="C486" s="234">
        <v>2.1299999999999999E-5</v>
      </c>
      <c r="D486" s="234">
        <v>0</v>
      </c>
      <c r="E486" s="231">
        <v>76114</v>
      </c>
      <c r="F486" s="231" t="s">
        <v>1924</v>
      </c>
      <c r="G486" s="392">
        <v>9612</v>
      </c>
      <c r="H486" s="392">
        <v>10711</v>
      </c>
      <c r="I486" s="392">
        <v>5664</v>
      </c>
      <c r="J486" s="231">
        <v>23685</v>
      </c>
      <c r="K486" s="231">
        <v>49672</v>
      </c>
      <c r="L486" s="231"/>
      <c r="M486" s="225">
        <v>0</v>
      </c>
      <c r="N486" s="225">
        <v>0</v>
      </c>
      <c r="O486" s="231">
        <v>0</v>
      </c>
      <c r="P486" s="231">
        <v>0</v>
      </c>
      <c r="Q486" s="231"/>
      <c r="R486" s="392">
        <v>26175</v>
      </c>
      <c r="S486" s="231">
        <v>7895</v>
      </c>
      <c r="T486" s="396">
        <v>34070</v>
      </c>
      <c r="U486" s="231"/>
      <c r="V486" s="396"/>
      <c r="W486" s="396"/>
      <c r="X486" s="396">
        <v>154427</v>
      </c>
      <c r="Y486" s="396">
        <v>11030</v>
      </c>
    </row>
    <row r="487" spans="1:25">
      <c r="A487" s="390">
        <v>95011</v>
      </c>
      <c r="B487" s="391" t="s">
        <v>1183</v>
      </c>
      <c r="C487" s="234">
        <v>1.7430000000000001E-4</v>
      </c>
      <c r="D487" s="234">
        <v>1.9230000000000001E-4</v>
      </c>
      <c r="E487" s="231">
        <v>622848</v>
      </c>
      <c r="F487" s="231" t="s">
        <v>1924</v>
      </c>
      <c r="G487" s="392">
        <v>78655</v>
      </c>
      <c r="H487" s="392">
        <v>87649</v>
      </c>
      <c r="I487" s="392">
        <v>46352</v>
      </c>
      <c r="J487" s="231">
        <v>3237</v>
      </c>
      <c r="K487" s="231">
        <v>215893</v>
      </c>
      <c r="L487" s="231"/>
      <c r="M487" s="225">
        <v>0</v>
      </c>
      <c r="N487" s="225">
        <v>0</v>
      </c>
      <c r="O487" s="231">
        <v>24130</v>
      </c>
      <c r="P487" s="231">
        <v>24130</v>
      </c>
      <c r="Q487" s="231"/>
      <c r="R487" s="392">
        <v>214193</v>
      </c>
      <c r="S487" s="231">
        <v>-7876</v>
      </c>
      <c r="T487" s="396">
        <v>206317</v>
      </c>
      <c r="U487" s="231"/>
      <c r="V487" s="396"/>
      <c r="W487" s="396"/>
      <c r="X487" s="396">
        <v>1263691</v>
      </c>
      <c r="Y487" s="396">
        <v>90263</v>
      </c>
    </row>
    <row r="488" spans="1:25">
      <c r="A488" s="390">
        <v>95017</v>
      </c>
      <c r="B488" s="391" t="s">
        <v>1184</v>
      </c>
      <c r="C488" s="234">
        <v>4.2599999999999999E-5</v>
      </c>
      <c r="D488" s="234">
        <v>5.1E-5</v>
      </c>
      <c r="E488" s="231">
        <v>152228</v>
      </c>
      <c r="F488" s="231" t="s">
        <v>1924</v>
      </c>
      <c r="G488" s="392">
        <v>19224</v>
      </c>
      <c r="H488" s="392">
        <v>21422</v>
      </c>
      <c r="I488" s="392">
        <v>11329</v>
      </c>
      <c r="J488" s="231">
        <v>568</v>
      </c>
      <c r="K488" s="231">
        <v>52543</v>
      </c>
      <c r="L488" s="231"/>
      <c r="M488" s="225">
        <v>0</v>
      </c>
      <c r="N488" s="225">
        <v>0</v>
      </c>
      <c r="O488" s="231">
        <v>13201</v>
      </c>
      <c r="P488" s="231">
        <v>13201</v>
      </c>
      <c r="Q488" s="231"/>
      <c r="R488" s="392">
        <v>52350</v>
      </c>
      <c r="S488" s="231">
        <v>-3369</v>
      </c>
      <c r="T488" s="396">
        <v>48981</v>
      </c>
      <c r="U488" s="231"/>
      <c r="V488" s="396"/>
      <c r="W488" s="396"/>
      <c r="X488" s="396">
        <v>308854</v>
      </c>
      <c r="Y488" s="396">
        <v>22061</v>
      </c>
    </row>
    <row r="489" spans="1:25">
      <c r="A489" s="390">
        <v>95101</v>
      </c>
      <c r="B489" s="391" t="s">
        <v>1185</v>
      </c>
      <c r="C489" s="234">
        <v>8.9332000000000005E-3</v>
      </c>
      <c r="D489" s="234">
        <v>8.8515E-3</v>
      </c>
      <c r="E489" s="231">
        <v>31922129</v>
      </c>
      <c r="F489" s="231" t="s">
        <v>1924</v>
      </c>
      <c r="G489" s="392">
        <v>4031205</v>
      </c>
      <c r="H489" s="392">
        <v>4492184</v>
      </c>
      <c r="I489" s="392">
        <v>2375633</v>
      </c>
      <c r="J489" s="231">
        <v>32041</v>
      </c>
      <c r="K489" s="231">
        <v>10931063</v>
      </c>
      <c r="L489" s="231"/>
      <c r="M489" s="225">
        <v>0</v>
      </c>
      <c r="N489" s="225">
        <v>0</v>
      </c>
      <c r="O489" s="231">
        <v>69198</v>
      </c>
      <c r="P489" s="231">
        <v>69198</v>
      </c>
      <c r="Q489" s="231"/>
      <c r="R489" s="392">
        <v>10977786</v>
      </c>
      <c r="S489" s="231">
        <v>-46932</v>
      </c>
      <c r="T489" s="396">
        <v>10930854</v>
      </c>
      <c r="U489" s="231"/>
      <c r="V489" s="396"/>
      <c r="W489" s="396"/>
      <c r="X489" s="396">
        <v>64766522</v>
      </c>
      <c r="Y489" s="396">
        <v>4626129</v>
      </c>
    </row>
    <row r="490" spans="1:25">
      <c r="A490" s="390">
        <v>95103</v>
      </c>
      <c r="B490" s="391" t="s">
        <v>1186</v>
      </c>
      <c r="C490" s="234">
        <v>5.0000000000000002E-5</v>
      </c>
      <c r="D490" s="234">
        <v>5.0599999999999997E-5</v>
      </c>
      <c r="E490" s="231">
        <v>178671</v>
      </c>
      <c r="F490" s="231" t="s">
        <v>1924</v>
      </c>
      <c r="G490" s="392">
        <v>22563</v>
      </c>
      <c r="H490" s="392">
        <v>25143</v>
      </c>
      <c r="I490" s="392">
        <v>13297</v>
      </c>
      <c r="J490" s="231">
        <v>11232</v>
      </c>
      <c r="K490" s="231">
        <v>72235</v>
      </c>
      <c r="L490" s="231"/>
      <c r="M490" s="225">
        <v>0</v>
      </c>
      <c r="N490" s="225">
        <v>0</v>
      </c>
      <c r="O490" s="231">
        <v>3518</v>
      </c>
      <c r="P490" s="231">
        <v>3518</v>
      </c>
      <c r="Q490" s="231"/>
      <c r="R490" s="392">
        <v>61444</v>
      </c>
      <c r="S490" s="231">
        <v>4795</v>
      </c>
      <c r="T490" s="396">
        <v>66239</v>
      </c>
      <c r="U490" s="231"/>
      <c r="V490" s="396"/>
      <c r="W490" s="396"/>
      <c r="X490" s="396">
        <v>362505</v>
      </c>
      <c r="Y490" s="396">
        <v>25893</v>
      </c>
    </row>
    <row r="491" spans="1:25">
      <c r="A491" s="390">
        <v>95104</v>
      </c>
      <c r="B491" s="391" t="s">
        <v>1187</v>
      </c>
      <c r="C491" s="234">
        <v>1.1400000000000001E-4</v>
      </c>
      <c r="D491" s="234">
        <v>1.149E-4</v>
      </c>
      <c r="E491" s="231">
        <v>407371</v>
      </c>
      <c r="F491" s="231" t="s">
        <v>1924</v>
      </c>
      <c r="G491" s="392">
        <v>51444</v>
      </c>
      <c r="H491" s="392">
        <v>57326</v>
      </c>
      <c r="I491" s="392">
        <v>30316</v>
      </c>
      <c r="J491" s="231">
        <v>48502</v>
      </c>
      <c r="K491" s="231">
        <v>187588</v>
      </c>
      <c r="L491" s="231"/>
      <c r="M491" s="225">
        <v>0</v>
      </c>
      <c r="N491" s="225">
        <v>0</v>
      </c>
      <c r="O491" s="231">
        <v>0</v>
      </c>
      <c r="P491" s="231">
        <v>0</v>
      </c>
      <c r="Q491" s="231"/>
      <c r="R491" s="392">
        <v>140092</v>
      </c>
      <c r="S491" s="231">
        <v>19221</v>
      </c>
      <c r="T491" s="396">
        <v>159313</v>
      </c>
      <c r="U491" s="231"/>
      <c r="V491" s="396"/>
      <c r="W491" s="396"/>
      <c r="X491" s="396">
        <v>826510</v>
      </c>
      <c r="Y491" s="396">
        <v>59036</v>
      </c>
    </row>
    <row r="492" spans="1:25" ht="14.25" customHeight="1">
      <c r="A492" s="390">
        <v>95105</v>
      </c>
      <c r="B492" s="391" t="s">
        <v>1188</v>
      </c>
      <c r="C492" s="234">
        <v>8.0900000000000001E-5</v>
      </c>
      <c r="D492" s="234">
        <v>7.1500000000000003E-5</v>
      </c>
      <c r="E492" s="231">
        <v>289090</v>
      </c>
      <c r="F492" s="231" t="s">
        <v>1924</v>
      </c>
      <c r="G492" s="392">
        <v>36507</v>
      </c>
      <c r="H492" s="392">
        <v>40682</v>
      </c>
      <c r="I492" s="392">
        <v>21514</v>
      </c>
      <c r="J492" s="231">
        <v>17729</v>
      </c>
      <c r="K492" s="231">
        <v>116432</v>
      </c>
      <c r="L492" s="231"/>
      <c r="M492" s="225">
        <v>0</v>
      </c>
      <c r="N492" s="225">
        <v>0</v>
      </c>
      <c r="O492" s="231">
        <v>0</v>
      </c>
      <c r="P492" s="231">
        <v>0</v>
      </c>
      <c r="Q492" s="231"/>
      <c r="R492" s="392">
        <v>99416</v>
      </c>
      <c r="S492" s="231">
        <v>7475</v>
      </c>
      <c r="T492" s="396">
        <v>106891</v>
      </c>
      <c r="U492" s="231"/>
      <c r="V492" s="396"/>
      <c r="W492" s="396"/>
      <c r="X492" s="396">
        <v>586532</v>
      </c>
      <c r="Y492" s="396">
        <v>41895</v>
      </c>
    </row>
    <row r="493" spans="1:25" ht="14.25" customHeight="1">
      <c r="A493" s="390">
        <v>95106</v>
      </c>
      <c r="B493" s="391" t="s">
        <v>1189</v>
      </c>
      <c r="C493" s="234">
        <v>1.1800000000000001E-5</v>
      </c>
      <c r="D493" s="234">
        <v>1.29E-5</v>
      </c>
      <c r="E493" s="231">
        <v>42166</v>
      </c>
      <c r="F493" s="231" t="s">
        <v>1924</v>
      </c>
      <c r="G493" s="392">
        <v>5325</v>
      </c>
      <c r="H493" s="392">
        <v>5934</v>
      </c>
      <c r="I493" s="392">
        <v>3138</v>
      </c>
      <c r="J493" s="231">
        <v>2688</v>
      </c>
      <c r="K493" s="231">
        <v>17085</v>
      </c>
      <c r="L493" s="231"/>
      <c r="M493" s="225">
        <v>0</v>
      </c>
      <c r="N493" s="225">
        <v>0</v>
      </c>
      <c r="O493" s="231">
        <v>360</v>
      </c>
      <c r="P493" s="231">
        <v>360</v>
      </c>
      <c r="Q493" s="231"/>
      <c r="R493" s="392">
        <v>14501</v>
      </c>
      <c r="S493" s="231">
        <v>1428</v>
      </c>
      <c r="T493" s="396">
        <v>15929</v>
      </c>
      <c r="U493" s="231"/>
      <c r="V493" s="396"/>
      <c r="W493" s="396"/>
      <c r="X493" s="396">
        <v>85551</v>
      </c>
      <c r="Y493" s="396">
        <v>6111</v>
      </c>
    </row>
    <row r="494" spans="1:25">
      <c r="A494" s="390">
        <v>95110</v>
      </c>
      <c r="B494" s="391" t="s">
        <v>1190</v>
      </c>
      <c r="C494" s="234">
        <v>2.7829999999999999E-3</v>
      </c>
      <c r="D494" s="234">
        <v>3.1538E-3</v>
      </c>
      <c r="E494" s="231">
        <v>9944845</v>
      </c>
      <c r="F494" s="231" t="s">
        <v>1924</v>
      </c>
      <c r="G494" s="392">
        <v>1255859</v>
      </c>
      <c r="H494" s="392">
        <v>1399470</v>
      </c>
      <c r="I494" s="392">
        <v>740092</v>
      </c>
      <c r="J494" s="231">
        <v>0</v>
      </c>
      <c r="K494" s="231">
        <v>3395421</v>
      </c>
      <c r="L494" s="231"/>
      <c r="M494" s="225">
        <v>0</v>
      </c>
      <c r="N494" s="225">
        <v>0</v>
      </c>
      <c r="O494" s="231">
        <v>631014</v>
      </c>
      <c r="P494" s="231">
        <v>631014</v>
      </c>
      <c r="Q494" s="231"/>
      <c r="R494" s="392">
        <v>3419959</v>
      </c>
      <c r="S494" s="231">
        <v>-380482</v>
      </c>
      <c r="T494" s="396">
        <v>3039477</v>
      </c>
      <c r="U494" s="231"/>
      <c r="V494" s="396"/>
      <c r="W494" s="396"/>
      <c r="X494" s="396">
        <v>20177006</v>
      </c>
      <c r="Y494" s="396">
        <v>1441199</v>
      </c>
    </row>
    <row r="495" spans="1:25">
      <c r="A495" s="390">
        <v>95111</v>
      </c>
      <c r="B495" s="391" t="s">
        <v>1191</v>
      </c>
      <c r="C495" s="234">
        <v>9.9339999999999997E-4</v>
      </c>
      <c r="D495" s="234">
        <v>1.0529000000000001E-3</v>
      </c>
      <c r="E495" s="231">
        <v>3549841</v>
      </c>
      <c r="F495" s="231" t="s">
        <v>1924</v>
      </c>
      <c r="G495" s="392">
        <v>448283</v>
      </c>
      <c r="H495" s="392">
        <v>499545</v>
      </c>
      <c r="I495" s="392">
        <v>264178</v>
      </c>
      <c r="J495" s="231">
        <v>0</v>
      </c>
      <c r="K495" s="231">
        <v>1212006</v>
      </c>
      <c r="L495" s="231"/>
      <c r="M495" s="225">
        <v>0</v>
      </c>
      <c r="N495" s="225">
        <v>0</v>
      </c>
      <c r="O495" s="231">
        <v>134679</v>
      </c>
      <c r="P495" s="231">
        <v>134679</v>
      </c>
      <c r="Q495" s="231"/>
      <c r="R495" s="392">
        <v>1220764</v>
      </c>
      <c r="S495" s="231">
        <v>-65461</v>
      </c>
      <c r="T495" s="396">
        <v>1155303</v>
      </c>
      <c r="U495" s="231"/>
      <c r="V495" s="396"/>
      <c r="W495" s="396"/>
      <c r="X495" s="396">
        <v>7202241</v>
      </c>
      <c r="Y495" s="396">
        <v>514440</v>
      </c>
    </row>
    <row r="496" spans="1:25">
      <c r="A496" s="390">
        <v>95113</v>
      </c>
      <c r="B496" s="391" t="s">
        <v>1192</v>
      </c>
      <c r="C496" s="234">
        <v>4.4799999999999998E-5</v>
      </c>
      <c r="D496" s="234">
        <v>4.5300000000000003E-5</v>
      </c>
      <c r="E496" s="231">
        <v>160089</v>
      </c>
      <c r="F496" s="231" t="s">
        <v>1924</v>
      </c>
      <c r="G496" s="392">
        <v>20216</v>
      </c>
      <c r="H496" s="392">
        <v>22528</v>
      </c>
      <c r="I496" s="392">
        <v>11914</v>
      </c>
      <c r="J496" s="231">
        <v>69038</v>
      </c>
      <c r="K496" s="231">
        <v>123696</v>
      </c>
      <c r="L496" s="231"/>
      <c r="M496" s="225">
        <v>0</v>
      </c>
      <c r="N496" s="225">
        <v>0</v>
      </c>
      <c r="O496" s="231">
        <v>0</v>
      </c>
      <c r="P496" s="231">
        <v>0</v>
      </c>
      <c r="Q496" s="231"/>
      <c r="R496" s="392">
        <v>55054</v>
      </c>
      <c r="S496" s="231">
        <v>40243</v>
      </c>
      <c r="T496" s="396">
        <v>95297</v>
      </c>
      <c r="U496" s="231"/>
      <c r="V496" s="396"/>
      <c r="W496" s="396"/>
      <c r="X496" s="396">
        <v>324804</v>
      </c>
      <c r="Y496" s="396">
        <v>23200</v>
      </c>
    </row>
    <row r="497" spans="1:25">
      <c r="A497" s="390">
        <v>95121</v>
      </c>
      <c r="B497" s="391" t="s">
        <v>1193</v>
      </c>
      <c r="C497" s="234">
        <v>5.107E-4</v>
      </c>
      <c r="D497" s="234">
        <v>4.6769999999999998E-4</v>
      </c>
      <c r="E497" s="231">
        <v>1824949</v>
      </c>
      <c r="F497" s="231" t="s">
        <v>1924</v>
      </c>
      <c r="G497" s="392">
        <v>230459</v>
      </c>
      <c r="H497" s="392">
        <v>256812</v>
      </c>
      <c r="I497" s="392">
        <v>135812</v>
      </c>
      <c r="J497" s="231">
        <v>46752</v>
      </c>
      <c r="K497" s="231">
        <v>669835</v>
      </c>
      <c r="L497" s="231"/>
      <c r="M497" s="225">
        <v>0</v>
      </c>
      <c r="N497" s="225">
        <v>0</v>
      </c>
      <c r="O497" s="231">
        <v>31339</v>
      </c>
      <c r="P497" s="231">
        <v>31339</v>
      </c>
      <c r="Q497" s="231"/>
      <c r="R497" s="392">
        <v>627586</v>
      </c>
      <c r="S497" s="231">
        <v>7431</v>
      </c>
      <c r="T497" s="396">
        <v>635017</v>
      </c>
      <c r="U497" s="231"/>
      <c r="V497" s="396"/>
      <c r="W497" s="396"/>
      <c r="X497" s="396">
        <v>3702622</v>
      </c>
      <c r="Y497" s="396">
        <v>264470</v>
      </c>
    </row>
    <row r="498" spans="1:25">
      <c r="A498" s="390">
        <v>95122</v>
      </c>
      <c r="B498" s="391" t="s">
        <v>1194</v>
      </c>
      <c r="C498" s="234">
        <v>1.73E-5</v>
      </c>
      <c r="D498" s="234">
        <v>1.5400000000000002E-5</v>
      </c>
      <c r="E498" s="231">
        <v>61820</v>
      </c>
      <c r="F498" s="231" t="s">
        <v>1924</v>
      </c>
      <c r="G498" s="392">
        <v>7807</v>
      </c>
      <c r="H498" s="392">
        <v>8700</v>
      </c>
      <c r="I498" s="392">
        <v>4601</v>
      </c>
      <c r="J498" s="231">
        <v>13394</v>
      </c>
      <c r="K498" s="231">
        <v>34502</v>
      </c>
      <c r="L498" s="231"/>
      <c r="M498" s="225">
        <v>0</v>
      </c>
      <c r="N498" s="225">
        <v>0</v>
      </c>
      <c r="O498" s="231">
        <v>0</v>
      </c>
      <c r="P498" s="231">
        <v>0</v>
      </c>
      <c r="Q498" s="231"/>
      <c r="R498" s="392">
        <v>21260</v>
      </c>
      <c r="S498" s="231">
        <v>5211</v>
      </c>
      <c r="T498" s="396">
        <v>26471</v>
      </c>
      <c r="U498" s="231"/>
      <c r="V498" s="396"/>
      <c r="W498" s="396"/>
      <c r="X498" s="396">
        <v>125427</v>
      </c>
      <c r="Y498" s="396">
        <v>8959</v>
      </c>
    </row>
    <row r="499" spans="1:25">
      <c r="A499" s="390">
        <v>95123</v>
      </c>
      <c r="B499" s="391" t="s">
        <v>1195</v>
      </c>
      <c r="C499" s="234">
        <v>5.3399999999999997E-5</v>
      </c>
      <c r="D499" s="234">
        <v>4.8999999999999998E-5</v>
      </c>
      <c r="E499" s="231">
        <v>190821</v>
      </c>
      <c r="F499" s="231" t="s">
        <v>1924</v>
      </c>
      <c r="G499" s="392">
        <v>24097</v>
      </c>
      <c r="H499" s="392">
        <v>26853</v>
      </c>
      <c r="I499" s="392">
        <v>14201</v>
      </c>
      <c r="J499" s="231">
        <v>4109</v>
      </c>
      <c r="K499" s="231">
        <v>69260</v>
      </c>
      <c r="L499" s="231"/>
      <c r="M499" s="225">
        <v>0</v>
      </c>
      <c r="N499" s="225">
        <v>0</v>
      </c>
      <c r="O499" s="231">
        <v>1238</v>
      </c>
      <c r="P499" s="231">
        <v>1238</v>
      </c>
      <c r="Q499" s="231"/>
      <c r="R499" s="392">
        <v>65622</v>
      </c>
      <c r="S499" s="231">
        <v>2505</v>
      </c>
      <c r="T499" s="396">
        <v>68127</v>
      </c>
      <c r="U499" s="231"/>
      <c r="V499" s="396"/>
      <c r="W499" s="396"/>
      <c r="X499" s="396">
        <v>387155</v>
      </c>
      <c r="Y499" s="396">
        <v>27654</v>
      </c>
    </row>
    <row r="500" spans="1:25">
      <c r="A500" s="390">
        <v>95131</v>
      </c>
      <c r="B500" s="391" t="s">
        <v>1196</v>
      </c>
      <c r="C500" s="234">
        <v>1.8569999999999999E-3</v>
      </c>
      <c r="D500" s="234">
        <v>1.7905E-3</v>
      </c>
      <c r="E500" s="231">
        <v>6635852</v>
      </c>
      <c r="F500" s="231" t="s">
        <v>1924</v>
      </c>
      <c r="G500" s="392">
        <v>837992</v>
      </c>
      <c r="H500" s="392">
        <v>933818</v>
      </c>
      <c r="I500" s="392">
        <v>493838</v>
      </c>
      <c r="J500" s="231">
        <v>123165</v>
      </c>
      <c r="K500" s="231">
        <v>2388813</v>
      </c>
      <c r="L500" s="231"/>
      <c r="M500" s="225">
        <v>0</v>
      </c>
      <c r="N500" s="225">
        <v>0</v>
      </c>
      <c r="O500" s="231">
        <v>0</v>
      </c>
      <c r="P500" s="231">
        <v>0</v>
      </c>
      <c r="Q500" s="231"/>
      <c r="R500" s="392">
        <v>2282021</v>
      </c>
      <c r="S500" s="231">
        <v>58724</v>
      </c>
      <c r="T500" s="396">
        <v>2340745</v>
      </c>
      <c r="U500" s="231"/>
      <c r="V500" s="396"/>
      <c r="W500" s="396"/>
      <c r="X500" s="396">
        <v>13463421</v>
      </c>
      <c r="Y500" s="396">
        <v>961662</v>
      </c>
    </row>
    <row r="501" spans="1:25">
      <c r="A501" s="390">
        <v>95141</v>
      </c>
      <c r="B501" s="391" t="s">
        <v>1197</v>
      </c>
      <c r="C501" s="234">
        <v>3.8630000000000001E-4</v>
      </c>
      <c r="D501" s="234">
        <v>3.6099999999999999E-4</v>
      </c>
      <c r="E501" s="231">
        <v>1380414</v>
      </c>
      <c r="F501" s="231" t="s">
        <v>1924</v>
      </c>
      <c r="G501" s="392">
        <v>174322</v>
      </c>
      <c r="H501" s="392">
        <v>194256</v>
      </c>
      <c r="I501" s="392">
        <v>102730</v>
      </c>
      <c r="J501" s="231">
        <v>32602</v>
      </c>
      <c r="K501" s="231">
        <v>503910</v>
      </c>
      <c r="L501" s="231"/>
      <c r="M501" s="225">
        <v>0</v>
      </c>
      <c r="N501" s="225">
        <v>0</v>
      </c>
      <c r="O501" s="231">
        <v>6140</v>
      </c>
      <c r="P501" s="231">
        <v>6140</v>
      </c>
      <c r="Q501" s="231"/>
      <c r="R501" s="392">
        <v>474714</v>
      </c>
      <c r="S501" s="231">
        <v>6041</v>
      </c>
      <c r="T501" s="396">
        <v>480755</v>
      </c>
      <c r="U501" s="231"/>
      <c r="V501" s="396"/>
      <c r="W501" s="396"/>
      <c r="X501" s="396">
        <v>2800711</v>
      </c>
      <c r="Y501" s="396">
        <v>200049</v>
      </c>
    </row>
    <row r="502" spans="1:25">
      <c r="A502" s="390">
        <v>95151</v>
      </c>
      <c r="B502" s="391" t="s">
        <v>1198</v>
      </c>
      <c r="C502" s="234">
        <v>1.197E-4</v>
      </c>
      <c r="D502" s="234">
        <v>1.1010000000000001E-4</v>
      </c>
      <c r="E502" s="231">
        <v>427739</v>
      </c>
      <c r="F502" s="231" t="s">
        <v>1924</v>
      </c>
      <c r="G502" s="392">
        <v>54016</v>
      </c>
      <c r="H502" s="392">
        <v>60192</v>
      </c>
      <c r="I502" s="392">
        <v>31832</v>
      </c>
      <c r="J502" s="231">
        <v>7509</v>
      </c>
      <c r="K502" s="231">
        <v>153549</v>
      </c>
      <c r="L502" s="231"/>
      <c r="M502" s="225">
        <v>0</v>
      </c>
      <c r="N502" s="225">
        <v>0</v>
      </c>
      <c r="O502" s="231">
        <v>6683</v>
      </c>
      <c r="P502" s="231">
        <v>6683</v>
      </c>
      <c r="Q502" s="231"/>
      <c r="R502" s="392">
        <v>147096</v>
      </c>
      <c r="S502" s="231">
        <v>-1023</v>
      </c>
      <c r="T502" s="396">
        <v>146073</v>
      </c>
      <c r="U502" s="231"/>
      <c r="V502" s="396"/>
      <c r="W502" s="396"/>
      <c r="X502" s="396">
        <v>867836</v>
      </c>
      <c r="Y502" s="396">
        <v>61988</v>
      </c>
    </row>
    <row r="503" spans="1:25">
      <c r="A503" s="390">
        <v>95161</v>
      </c>
      <c r="B503" s="391" t="s">
        <v>1199</v>
      </c>
      <c r="C503" s="234">
        <v>7.36E-5</v>
      </c>
      <c r="D503" s="234">
        <v>7.1199999999999996E-5</v>
      </c>
      <c r="E503" s="231">
        <v>263004</v>
      </c>
      <c r="F503" s="231" t="s">
        <v>1924</v>
      </c>
      <c r="G503" s="392">
        <v>33213</v>
      </c>
      <c r="H503" s="392">
        <v>37011</v>
      </c>
      <c r="I503" s="392">
        <v>19573</v>
      </c>
      <c r="J503" s="231">
        <v>12424</v>
      </c>
      <c r="K503" s="231">
        <v>102221</v>
      </c>
      <c r="L503" s="231"/>
      <c r="M503" s="225">
        <v>0</v>
      </c>
      <c r="N503" s="225">
        <v>0</v>
      </c>
      <c r="O503" s="231">
        <v>0</v>
      </c>
      <c r="P503" s="231">
        <v>0</v>
      </c>
      <c r="Q503" s="231"/>
      <c r="R503" s="392">
        <v>90445</v>
      </c>
      <c r="S503" s="231">
        <v>6111</v>
      </c>
      <c r="T503" s="396">
        <v>96556</v>
      </c>
      <c r="U503" s="231"/>
      <c r="V503" s="396"/>
      <c r="W503" s="396"/>
      <c r="X503" s="396">
        <v>533607</v>
      </c>
      <c r="Y503" s="396">
        <v>38114</v>
      </c>
    </row>
    <row r="504" spans="1:25">
      <c r="A504" s="390">
        <v>95171</v>
      </c>
      <c r="B504" s="391" t="s">
        <v>1200</v>
      </c>
      <c r="C504" s="234">
        <v>1.2229999999999999E-4</v>
      </c>
      <c r="D504" s="234">
        <v>1.089E-4</v>
      </c>
      <c r="E504" s="231">
        <v>437030</v>
      </c>
      <c r="F504" s="231" t="s">
        <v>1924</v>
      </c>
      <c r="G504" s="392">
        <v>55189</v>
      </c>
      <c r="H504" s="392">
        <v>61500</v>
      </c>
      <c r="I504" s="392">
        <v>32524</v>
      </c>
      <c r="J504" s="231">
        <v>32133</v>
      </c>
      <c r="K504" s="231">
        <v>181346</v>
      </c>
      <c r="L504" s="231"/>
      <c r="M504" s="225">
        <v>0</v>
      </c>
      <c r="N504" s="225">
        <v>0</v>
      </c>
      <c r="O504" s="231">
        <v>6028</v>
      </c>
      <c r="P504" s="231">
        <v>6028</v>
      </c>
      <c r="Q504" s="231"/>
      <c r="R504" s="392">
        <v>150291</v>
      </c>
      <c r="S504" s="231">
        <v>5826</v>
      </c>
      <c r="T504" s="396">
        <v>156117</v>
      </c>
      <c r="U504" s="231"/>
      <c r="V504" s="396"/>
      <c r="W504" s="396"/>
      <c r="X504" s="396">
        <v>886686</v>
      </c>
      <c r="Y504" s="396">
        <v>63334</v>
      </c>
    </row>
    <row r="505" spans="1:25">
      <c r="A505" s="390">
        <v>95181</v>
      </c>
      <c r="B505" s="391" t="s">
        <v>1201</v>
      </c>
      <c r="C505" s="234">
        <v>7.2100000000000004E-5</v>
      </c>
      <c r="D505" s="234">
        <v>5.9700000000000001E-5</v>
      </c>
      <c r="E505" s="231">
        <v>257644</v>
      </c>
      <c r="F505" s="231" t="s">
        <v>1924</v>
      </c>
      <c r="G505" s="392">
        <v>32536</v>
      </c>
      <c r="H505" s="392">
        <v>36257</v>
      </c>
      <c r="I505" s="392">
        <v>19174</v>
      </c>
      <c r="J505" s="231">
        <v>15439</v>
      </c>
      <c r="K505" s="231">
        <v>103406</v>
      </c>
      <c r="L505" s="231"/>
      <c r="M505" s="225">
        <v>0</v>
      </c>
      <c r="N505" s="225">
        <v>0</v>
      </c>
      <c r="O505" s="231">
        <v>12327</v>
      </c>
      <c r="P505" s="231">
        <v>12327</v>
      </c>
      <c r="Q505" s="231"/>
      <c r="R505" s="392">
        <v>88602</v>
      </c>
      <c r="S505" s="231">
        <v>-1394</v>
      </c>
      <c r="T505" s="396">
        <v>87208</v>
      </c>
      <c r="U505" s="231"/>
      <c r="V505" s="396"/>
      <c r="W505" s="396"/>
      <c r="X505" s="396">
        <v>522732</v>
      </c>
      <c r="Y505" s="396">
        <v>37338</v>
      </c>
    </row>
    <row r="506" spans="1:25">
      <c r="A506" s="390">
        <v>95191</v>
      </c>
      <c r="B506" s="391" t="s">
        <v>1202</v>
      </c>
      <c r="C506" s="234">
        <v>7.36E-5</v>
      </c>
      <c r="D506" s="234">
        <v>7.3800000000000005E-5</v>
      </c>
      <c r="E506" s="231">
        <v>263004</v>
      </c>
      <c r="F506" s="231" t="s">
        <v>1924</v>
      </c>
      <c r="G506" s="392">
        <v>33213</v>
      </c>
      <c r="H506" s="392">
        <v>37011</v>
      </c>
      <c r="I506" s="392">
        <v>19573</v>
      </c>
      <c r="J506" s="231">
        <v>28475</v>
      </c>
      <c r="K506" s="231">
        <v>118272</v>
      </c>
      <c r="L506" s="231"/>
      <c r="M506" s="225">
        <v>0</v>
      </c>
      <c r="N506" s="225">
        <v>0</v>
      </c>
      <c r="O506" s="231">
        <v>0</v>
      </c>
      <c r="P506" s="231">
        <v>0</v>
      </c>
      <c r="Q506" s="231"/>
      <c r="R506" s="392">
        <v>90445</v>
      </c>
      <c r="S506" s="231">
        <v>9043</v>
      </c>
      <c r="T506" s="396">
        <v>99488</v>
      </c>
      <c r="U506" s="231"/>
      <c r="V506" s="396"/>
      <c r="W506" s="396"/>
      <c r="X506" s="396">
        <v>533607</v>
      </c>
      <c r="Y506" s="396">
        <v>38114</v>
      </c>
    </row>
    <row r="507" spans="1:25">
      <c r="A507" s="390">
        <v>95201</v>
      </c>
      <c r="B507" s="391" t="s">
        <v>1203</v>
      </c>
      <c r="C507" s="234">
        <v>7.048E-4</v>
      </c>
      <c r="D507" s="234">
        <v>6.5070000000000004E-4</v>
      </c>
      <c r="E507" s="231">
        <v>2518551</v>
      </c>
      <c r="F507" s="231" t="s">
        <v>1924</v>
      </c>
      <c r="G507" s="392">
        <v>318049</v>
      </c>
      <c r="H507" s="392">
        <v>354419</v>
      </c>
      <c r="I507" s="392">
        <v>187430</v>
      </c>
      <c r="J507" s="231">
        <v>43305</v>
      </c>
      <c r="K507" s="231">
        <v>903203</v>
      </c>
      <c r="L507" s="231"/>
      <c r="M507" s="225">
        <v>0</v>
      </c>
      <c r="N507" s="225">
        <v>0</v>
      </c>
      <c r="O507" s="231">
        <v>41541</v>
      </c>
      <c r="P507" s="231">
        <v>41541</v>
      </c>
      <c r="Q507" s="231"/>
      <c r="R507" s="392">
        <v>866111</v>
      </c>
      <c r="S507" s="231">
        <v>787</v>
      </c>
      <c r="T507" s="396">
        <v>866898</v>
      </c>
      <c r="U507" s="231"/>
      <c r="V507" s="396"/>
      <c r="W507" s="396"/>
      <c r="X507" s="396">
        <v>5109865</v>
      </c>
      <c r="Y507" s="396">
        <v>364986</v>
      </c>
    </row>
    <row r="508" spans="1:25">
      <c r="A508" s="390">
        <v>95204</v>
      </c>
      <c r="B508" s="391" t="s">
        <v>1204</v>
      </c>
      <c r="C508" s="234">
        <v>8.6000000000000007E-6</v>
      </c>
      <c r="D508" s="234">
        <v>5.6999999999999996E-6</v>
      </c>
      <c r="E508" s="231">
        <v>30731</v>
      </c>
      <c r="F508" s="231" t="s">
        <v>1924</v>
      </c>
      <c r="G508" s="392">
        <v>3881</v>
      </c>
      <c r="H508" s="392">
        <v>4325</v>
      </c>
      <c r="I508" s="392">
        <v>2287</v>
      </c>
      <c r="J508" s="231">
        <v>5383</v>
      </c>
      <c r="K508" s="231">
        <v>15876</v>
      </c>
      <c r="L508" s="231"/>
      <c r="M508" s="225">
        <v>0</v>
      </c>
      <c r="N508" s="225">
        <v>0</v>
      </c>
      <c r="O508" s="231">
        <v>1540</v>
      </c>
      <c r="P508" s="231">
        <v>1540</v>
      </c>
      <c r="Q508" s="231"/>
      <c r="R508" s="392">
        <v>10568</v>
      </c>
      <c r="S508" s="231">
        <v>1383</v>
      </c>
      <c r="T508" s="396">
        <v>11951</v>
      </c>
      <c r="U508" s="231"/>
      <c r="V508" s="396"/>
      <c r="W508" s="396"/>
      <c r="X508" s="396">
        <v>62351</v>
      </c>
      <c r="Y508" s="396">
        <v>4454</v>
      </c>
    </row>
    <row r="509" spans="1:25">
      <c r="A509" s="390">
        <v>95205</v>
      </c>
      <c r="B509" s="391" t="s">
        <v>1205</v>
      </c>
      <c r="C509" s="234">
        <v>2.6000000000000001E-6</v>
      </c>
      <c r="D509" s="234">
        <v>2.7E-6</v>
      </c>
      <c r="E509" s="231">
        <v>9291</v>
      </c>
      <c r="F509" s="231" t="s">
        <v>1924</v>
      </c>
      <c r="G509" s="392">
        <v>1173</v>
      </c>
      <c r="H509" s="392">
        <v>1308</v>
      </c>
      <c r="I509" s="392">
        <v>691</v>
      </c>
      <c r="J509" s="231">
        <v>2652</v>
      </c>
      <c r="K509" s="231">
        <v>5824</v>
      </c>
      <c r="L509" s="231"/>
      <c r="M509" s="225">
        <v>0</v>
      </c>
      <c r="N509" s="225">
        <v>0</v>
      </c>
      <c r="O509" s="231">
        <v>475</v>
      </c>
      <c r="P509" s="231">
        <v>475</v>
      </c>
      <c r="Q509" s="231"/>
      <c r="R509" s="392">
        <v>3195</v>
      </c>
      <c r="S509" s="231">
        <v>725</v>
      </c>
      <c r="T509" s="396">
        <v>3920</v>
      </c>
      <c r="U509" s="231"/>
      <c r="V509" s="396"/>
      <c r="W509" s="396"/>
      <c r="X509" s="396">
        <v>18850</v>
      </c>
      <c r="Y509" s="396">
        <v>1346</v>
      </c>
    </row>
    <row r="510" spans="1:25">
      <c r="A510" s="390">
        <v>95211</v>
      </c>
      <c r="B510" s="391" t="s">
        <v>1206</v>
      </c>
      <c r="C510" s="234">
        <v>1.7E-6</v>
      </c>
      <c r="D510" s="234">
        <v>5.1000000000000003E-6</v>
      </c>
      <c r="E510" s="231">
        <v>6075</v>
      </c>
      <c r="F510" s="231" t="s">
        <v>1924</v>
      </c>
      <c r="G510" s="392">
        <v>767</v>
      </c>
      <c r="H510" s="392">
        <v>855</v>
      </c>
      <c r="I510" s="392">
        <v>452</v>
      </c>
      <c r="J510" s="231">
        <v>52</v>
      </c>
      <c r="K510" s="231">
        <v>2126</v>
      </c>
      <c r="L510" s="231"/>
      <c r="M510" s="225">
        <v>0</v>
      </c>
      <c r="N510" s="225">
        <v>0</v>
      </c>
      <c r="O510" s="231">
        <v>4294</v>
      </c>
      <c r="P510" s="231">
        <v>4294</v>
      </c>
      <c r="Q510" s="231"/>
      <c r="R510" s="392">
        <v>2089</v>
      </c>
      <c r="S510" s="231">
        <v>-1148</v>
      </c>
      <c r="T510" s="396">
        <v>941</v>
      </c>
      <c r="U510" s="231"/>
      <c r="V510" s="396"/>
      <c r="W510" s="396"/>
      <c r="X510" s="396">
        <v>12325</v>
      </c>
      <c r="Y510" s="396">
        <v>880</v>
      </c>
    </row>
    <row r="511" spans="1:25">
      <c r="A511" s="390">
        <v>95221</v>
      </c>
      <c r="B511" s="391" t="s">
        <v>1207</v>
      </c>
      <c r="C511" s="234">
        <v>4.2599999999999999E-5</v>
      </c>
      <c r="D511" s="234">
        <v>5.4400000000000001E-5</v>
      </c>
      <c r="E511" s="231">
        <v>152228</v>
      </c>
      <c r="F511" s="231" t="s">
        <v>1924</v>
      </c>
      <c r="G511" s="392">
        <v>19224</v>
      </c>
      <c r="H511" s="392">
        <v>21422</v>
      </c>
      <c r="I511" s="392">
        <v>11329</v>
      </c>
      <c r="J511" s="231">
        <v>7812</v>
      </c>
      <c r="K511" s="231">
        <v>59787</v>
      </c>
      <c r="L511" s="231"/>
      <c r="M511" s="225">
        <v>0</v>
      </c>
      <c r="N511" s="225">
        <v>0</v>
      </c>
      <c r="O511" s="231">
        <v>21549</v>
      </c>
      <c r="P511" s="231">
        <v>21549</v>
      </c>
      <c r="Q511" s="231"/>
      <c r="R511" s="392">
        <v>52350</v>
      </c>
      <c r="S511" s="231">
        <v>-3133</v>
      </c>
      <c r="T511" s="396">
        <v>49217</v>
      </c>
      <c r="U511" s="231"/>
      <c r="V511" s="396"/>
      <c r="W511" s="396"/>
      <c r="X511" s="396">
        <v>308854</v>
      </c>
      <c r="Y511" s="396">
        <v>22061</v>
      </c>
    </row>
    <row r="512" spans="1:25">
      <c r="A512" s="390">
        <v>95301</v>
      </c>
      <c r="B512" s="391" t="s">
        <v>1208</v>
      </c>
      <c r="C512" s="234">
        <v>2.2263999999999999E-3</v>
      </c>
      <c r="D512" s="234">
        <v>2.1561000000000002E-3</v>
      </c>
      <c r="E512" s="231">
        <v>7955876</v>
      </c>
      <c r="F512" s="231" t="s">
        <v>1924</v>
      </c>
      <c r="G512" s="392">
        <v>1004687</v>
      </c>
      <c r="H512" s="392">
        <v>1119576</v>
      </c>
      <c r="I512" s="392">
        <v>592073</v>
      </c>
      <c r="J512" s="231">
        <v>156010</v>
      </c>
      <c r="K512" s="231">
        <v>2872346</v>
      </c>
      <c r="L512" s="231"/>
      <c r="M512" s="225">
        <v>0</v>
      </c>
      <c r="N512" s="225">
        <v>0</v>
      </c>
      <c r="O512" s="231">
        <v>76654</v>
      </c>
      <c r="P512" s="231">
        <v>76654</v>
      </c>
      <c r="Q512" s="231"/>
      <c r="R512" s="392">
        <v>2735967</v>
      </c>
      <c r="S512" s="231">
        <v>31768</v>
      </c>
      <c r="T512" s="396">
        <v>2767735</v>
      </c>
      <c r="U512" s="231"/>
      <c r="V512" s="396"/>
      <c r="W512" s="396"/>
      <c r="X512" s="396">
        <v>16141605</v>
      </c>
      <c r="Y512" s="396">
        <v>1152959</v>
      </c>
    </row>
    <row r="513" spans="1:25">
      <c r="A513" s="390">
        <v>95311</v>
      </c>
      <c r="B513" s="391" t="s">
        <v>1209</v>
      </c>
      <c r="C513" s="234">
        <v>2.4442000000000001E-3</v>
      </c>
      <c r="D513" s="234">
        <v>2.578E-3</v>
      </c>
      <c r="E513" s="231">
        <v>8734168</v>
      </c>
      <c r="F513" s="231" t="s">
        <v>1924</v>
      </c>
      <c r="G513" s="392">
        <v>1102972</v>
      </c>
      <c r="H513" s="392">
        <v>1229101</v>
      </c>
      <c r="I513" s="392">
        <v>649993</v>
      </c>
      <c r="J513" s="231">
        <v>15125</v>
      </c>
      <c r="K513" s="231">
        <v>2997191</v>
      </c>
      <c r="L513" s="231"/>
      <c r="M513" s="225">
        <v>0</v>
      </c>
      <c r="N513" s="225">
        <v>0</v>
      </c>
      <c r="O513" s="231">
        <v>90478</v>
      </c>
      <c r="P513" s="231">
        <v>90478</v>
      </c>
      <c r="Q513" s="231"/>
      <c r="R513" s="392">
        <v>3003616</v>
      </c>
      <c r="S513" s="231">
        <v>-45353</v>
      </c>
      <c r="T513" s="396">
        <v>2958263</v>
      </c>
      <c r="U513" s="231"/>
      <c r="V513" s="396"/>
      <c r="W513" s="396"/>
      <c r="X513" s="396">
        <v>17720675</v>
      </c>
      <c r="Y513" s="396">
        <v>1265749</v>
      </c>
    </row>
    <row r="514" spans="1:25">
      <c r="A514" s="390">
        <v>95317</v>
      </c>
      <c r="B514" s="391" t="s">
        <v>1210</v>
      </c>
      <c r="C514" s="234">
        <v>4.1699999999999997E-5</v>
      </c>
      <c r="D514" s="234">
        <v>4.1999999999999998E-5</v>
      </c>
      <c r="E514" s="231">
        <v>149012</v>
      </c>
      <c r="F514" s="231" t="s">
        <v>1924</v>
      </c>
      <c r="G514" s="392">
        <v>18818</v>
      </c>
      <c r="H514" s="392">
        <v>20969</v>
      </c>
      <c r="I514" s="392">
        <v>11089</v>
      </c>
      <c r="J514" s="231">
        <v>13135</v>
      </c>
      <c r="K514" s="231">
        <v>64011</v>
      </c>
      <c r="L514" s="231"/>
      <c r="M514" s="225">
        <v>0</v>
      </c>
      <c r="N514" s="225">
        <v>0</v>
      </c>
      <c r="O514" s="231">
        <v>0</v>
      </c>
      <c r="P514" s="231">
        <v>0</v>
      </c>
      <c r="Q514" s="231"/>
      <c r="R514" s="392">
        <v>51244</v>
      </c>
      <c r="S514" s="231">
        <v>5239</v>
      </c>
      <c r="T514" s="396">
        <v>56483</v>
      </c>
      <c r="U514" s="231"/>
      <c r="V514" s="396"/>
      <c r="W514" s="396"/>
      <c r="X514" s="396">
        <v>302329</v>
      </c>
      <c r="Y514" s="396">
        <v>21595</v>
      </c>
    </row>
    <row r="515" spans="1:25">
      <c r="A515" s="390">
        <v>95321</v>
      </c>
      <c r="B515" s="391" t="s">
        <v>1211</v>
      </c>
      <c r="C515" s="234">
        <v>4.4199999999999997E-5</v>
      </c>
      <c r="D515" s="234">
        <v>4.85E-5</v>
      </c>
      <c r="E515" s="231">
        <v>157945</v>
      </c>
      <c r="F515" s="231" t="s">
        <v>1924</v>
      </c>
      <c r="G515" s="392">
        <v>19946</v>
      </c>
      <c r="H515" s="392">
        <v>22227</v>
      </c>
      <c r="I515" s="392">
        <v>11754</v>
      </c>
      <c r="J515" s="231">
        <v>3491</v>
      </c>
      <c r="K515" s="231">
        <v>57418</v>
      </c>
      <c r="L515" s="231"/>
      <c r="M515" s="225">
        <v>0</v>
      </c>
      <c r="N515" s="225">
        <v>0</v>
      </c>
      <c r="O515" s="231">
        <v>538</v>
      </c>
      <c r="P515" s="231">
        <v>538</v>
      </c>
      <c r="Q515" s="231"/>
      <c r="R515" s="392">
        <v>54316</v>
      </c>
      <c r="S515" s="231">
        <v>1262</v>
      </c>
      <c r="T515" s="396">
        <v>55578</v>
      </c>
      <c r="U515" s="231"/>
      <c r="V515" s="396"/>
      <c r="W515" s="396"/>
      <c r="X515" s="396">
        <v>320454</v>
      </c>
      <c r="Y515" s="396">
        <v>22889</v>
      </c>
    </row>
    <row r="516" spans="1:25">
      <c r="A516" s="390">
        <v>95401</v>
      </c>
      <c r="B516" s="391" t="s">
        <v>1212</v>
      </c>
      <c r="C516" s="234">
        <v>2.6316999999999998E-3</v>
      </c>
      <c r="D516" s="234">
        <v>2.9023E-3</v>
      </c>
      <c r="E516" s="231">
        <v>9404185</v>
      </c>
      <c r="F516" s="231" t="s">
        <v>1924</v>
      </c>
      <c r="G516" s="392">
        <v>1187584</v>
      </c>
      <c r="H516" s="392">
        <v>1323387</v>
      </c>
      <c r="I516" s="392">
        <v>699856</v>
      </c>
      <c r="J516" s="231">
        <v>0</v>
      </c>
      <c r="K516" s="231">
        <v>3210827</v>
      </c>
      <c r="L516" s="231"/>
      <c r="M516" s="225">
        <v>0</v>
      </c>
      <c r="N516" s="225">
        <v>0</v>
      </c>
      <c r="O516" s="231">
        <v>413310</v>
      </c>
      <c r="P516" s="231">
        <v>413310</v>
      </c>
      <c r="Q516" s="231"/>
      <c r="R516" s="392">
        <v>3234030</v>
      </c>
      <c r="S516" s="231">
        <v>-146118</v>
      </c>
      <c r="T516" s="396">
        <v>3087912</v>
      </c>
      <c r="U516" s="231"/>
      <c r="V516" s="396"/>
      <c r="W516" s="396"/>
      <c r="X516" s="396">
        <v>19080067</v>
      </c>
      <c r="Y516" s="396">
        <v>1362847</v>
      </c>
    </row>
    <row r="517" spans="1:25">
      <c r="A517" s="390">
        <v>95404</v>
      </c>
      <c r="B517" s="391" t="s">
        <v>1213</v>
      </c>
      <c r="C517" s="234">
        <v>4.8699999999999998E-5</v>
      </c>
      <c r="D517" s="234">
        <v>4.4799999999999998E-5</v>
      </c>
      <c r="E517" s="231">
        <v>174026</v>
      </c>
      <c r="F517" s="231" t="s">
        <v>1924</v>
      </c>
      <c r="G517" s="392">
        <v>21976</v>
      </c>
      <c r="H517" s="392">
        <v>24489</v>
      </c>
      <c r="I517" s="392">
        <v>12951</v>
      </c>
      <c r="J517" s="231">
        <v>5232</v>
      </c>
      <c r="K517" s="231">
        <v>64648</v>
      </c>
      <c r="L517" s="231"/>
      <c r="M517" s="225">
        <v>0</v>
      </c>
      <c r="N517" s="225">
        <v>0</v>
      </c>
      <c r="O517" s="231">
        <v>4673</v>
      </c>
      <c r="P517" s="231">
        <v>4673</v>
      </c>
      <c r="Q517" s="231"/>
      <c r="R517" s="392">
        <v>59846</v>
      </c>
      <c r="S517" s="231">
        <v>1248</v>
      </c>
      <c r="T517" s="396">
        <v>61094</v>
      </c>
      <c r="U517" s="231"/>
      <c r="V517" s="396"/>
      <c r="W517" s="396"/>
      <c r="X517" s="396">
        <v>353079</v>
      </c>
      <c r="Y517" s="396">
        <v>25220</v>
      </c>
    </row>
    <row r="518" spans="1:25">
      <c r="A518" s="390">
        <v>95405</v>
      </c>
      <c r="B518" s="391" t="s">
        <v>1214</v>
      </c>
      <c r="C518" s="234">
        <v>4.5500000000000001E-5</v>
      </c>
      <c r="D518" s="234">
        <v>3.3399999999999999E-5</v>
      </c>
      <c r="E518" s="231">
        <v>162591</v>
      </c>
      <c r="F518" s="231" t="s">
        <v>1924</v>
      </c>
      <c r="G518" s="392">
        <v>20532</v>
      </c>
      <c r="H518" s="392">
        <v>22880</v>
      </c>
      <c r="I518" s="392">
        <v>12100</v>
      </c>
      <c r="J518" s="231">
        <v>27603</v>
      </c>
      <c r="K518" s="231">
        <v>83115</v>
      </c>
      <c r="L518" s="231"/>
      <c r="M518" s="225">
        <v>0</v>
      </c>
      <c r="N518" s="225">
        <v>0</v>
      </c>
      <c r="O518" s="231">
        <v>0</v>
      </c>
      <c r="P518" s="231">
        <v>0</v>
      </c>
      <c r="Q518" s="231"/>
      <c r="R518" s="392">
        <v>55914</v>
      </c>
      <c r="S518" s="231">
        <v>12560</v>
      </c>
      <c r="T518" s="396">
        <v>68474</v>
      </c>
      <c r="U518" s="231"/>
      <c r="V518" s="396"/>
      <c r="W518" s="396"/>
      <c r="X518" s="396">
        <v>329879</v>
      </c>
      <c r="Y518" s="396">
        <v>23563</v>
      </c>
    </row>
    <row r="519" spans="1:25">
      <c r="A519" s="390">
        <v>95411</v>
      </c>
      <c r="B519" s="391" t="s">
        <v>1215</v>
      </c>
      <c r="C519" s="234">
        <v>2.0525999999999999E-3</v>
      </c>
      <c r="D519" s="234">
        <v>2.0365000000000001E-3</v>
      </c>
      <c r="E519" s="231">
        <v>7334814</v>
      </c>
      <c r="F519" s="231" t="s">
        <v>1924</v>
      </c>
      <c r="G519" s="392">
        <v>926258</v>
      </c>
      <c r="H519" s="392">
        <v>1032179</v>
      </c>
      <c r="I519" s="392">
        <v>545854</v>
      </c>
      <c r="J519" s="231">
        <v>0</v>
      </c>
      <c r="K519" s="231">
        <v>2504291</v>
      </c>
      <c r="L519" s="231"/>
      <c r="M519" s="225">
        <v>0</v>
      </c>
      <c r="N519" s="225">
        <v>0</v>
      </c>
      <c r="O519" s="231">
        <v>57965</v>
      </c>
      <c r="P519" s="231">
        <v>57965</v>
      </c>
      <c r="Q519" s="231"/>
      <c r="R519" s="392">
        <v>2522389</v>
      </c>
      <c r="S519" s="231">
        <v>-23202</v>
      </c>
      <c r="T519" s="396">
        <v>2499187</v>
      </c>
      <c r="U519" s="231"/>
      <c r="V519" s="396"/>
      <c r="W519" s="396"/>
      <c r="X519" s="396">
        <v>14881539</v>
      </c>
      <c r="Y519" s="396">
        <v>1062955</v>
      </c>
    </row>
    <row r="520" spans="1:25">
      <c r="A520" s="390">
        <v>95412</v>
      </c>
      <c r="B520" s="391" t="s">
        <v>1216</v>
      </c>
      <c r="C520" s="234">
        <v>0</v>
      </c>
      <c r="D520" s="234">
        <v>0</v>
      </c>
      <c r="E520" s="231">
        <v>0</v>
      </c>
      <c r="F520" s="231" t="s">
        <v>1924</v>
      </c>
      <c r="G520" s="392">
        <v>0</v>
      </c>
      <c r="H520" s="392">
        <v>0</v>
      </c>
      <c r="I520" s="392">
        <v>0</v>
      </c>
      <c r="J520" s="231">
        <v>0</v>
      </c>
      <c r="K520" s="231">
        <v>0</v>
      </c>
      <c r="L520" s="231"/>
      <c r="M520" s="225">
        <v>0</v>
      </c>
      <c r="N520" s="225">
        <v>0</v>
      </c>
      <c r="O520" s="231">
        <v>0</v>
      </c>
      <c r="P520" s="231">
        <v>0</v>
      </c>
      <c r="Q520" s="231"/>
      <c r="R520" s="392">
        <v>0</v>
      </c>
      <c r="S520" s="231">
        <v>0</v>
      </c>
      <c r="T520" s="396">
        <v>0</v>
      </c>
      <c r="U520" s="231"/>
      <c r="V520" s="396"/>
      <c r="W520" s="396"/>
      <c r="X520" s="396">
        <v>0</v>
      </c>
      <c r="Y520" s="396">
        <v>0</v>
      </c>
    </row>
    <row r="521" spans="1:25">
      <c r="A521" s="390">
        <v>95413</v>
      </c>
      <c r="B521" s="391" t="s">
        <v>1217</v>
      </c>
      <c r="C521" s="234">
        <v>2.5369999999999999E-4</v>
      </c>
      <c r="D521" s="234">
        <v>2.4610000000000002E-4</v>
      </c>
      <c r="E521" s="231">
        <v>906578</v>
      </c>
      <c r="F521" s="231" t="s">
        <v>1924</v>
      </c>
      <c r="G521" s="392">
        <v>114485</v>
      </c>
      <c r="H521" s="392">
        <v>127576</v>
      </c>
      <c r="I521" s="392">
        <v>67467</v>
      </c>
      <c r="J521" s="231">
        <v>45243</v>
      </c>
      <c r="K521" s="231">
        <v>354771</v>
      </c>
      <c r="L521" s="231"/>
      <c r="M521" s="225">
        <v>0</v>
      </c>
      <c r="N521" s="225">
        <v>0</v>
      </c>
      <c r="O521" s="231">
        <v>10285</v>
      </c>
      <c r="P521" s="231">
        <v>10285</v>
      </c>
      <c r="Q521" s="231"/>
      <c r="R521" s="392">
        <v>311766</v>
      </c>
      <c r="S521" s="231">
        <v>55369</v>
      </c>
      <c r="T521" s="396">
        <v>367135</v>
      </c>
      <c r="U521" s="231"/>
      <c r="V521" s="396"/>
      <c r="W521" s="396"/>
      <c r="X521" s="396">
        <v>1839348</v>
      </c>
      <c r="Y521" s="396">
        <v>131381</v>
      </c>
    </row>
    <row r="522" spans="1:25">
      <c r="A522" s="390">
        <v>95415</v>
      </c>
      <c r="B522" s="391" t="s">
        <v>1218</v>
      </c>
      <c r="C522" s="234">
        <v>6.2700000000000006E-5</v>
      </c>
      <c r="D522" s="234">
        <v>5.7599999999999997E-5</v>
      </c>
      <c r="E522" s="231">
        <v>224054</v>
      </c>
      <c r="F522" s="231" t="s">
        <v>1924</v>
      </c>
      <c r="G522" s="392">
        <v>28294</v>
      </c>
      <c r="H522" s="392">
        <v>31529</v>
      </c>
      <c r="I522" s="392">
        <v>16674</v>
      </c>
      <c r="J522" s="231">
        <v>8224</v>
      </c>
      <c r="K522" s="231">
        <v>84721</v>
      </c>
      <c r="L522" s="231"/>
      <c r="M522" s="225">
        <v>0</v>
      </c>
      <c r="N522" s="225">
        <v>0</v>
      </c>
      <c r="O522" s="231">
        <v>10410</v>
      </c>
      <c r="P522" s="231">
        <v>10410</v>
      </c>
      <c r="Q522" s="231"/>
      <c r="R522" s="392">
        <v>77050</v>
      </c>
      <c r="S522" s="231">
        <v>-2790</v>
      </c>
      <c r="T522" s="396">
        <v>74260</v>
      </c>
      <c r="U522" s="231"/>
      <c r="V522" s="396"/>
      <c r="W522" s="396"/>
      <c r="X522" s="396">
        <v>454581</v>
      </c>
      <c r="Y522" s="396">
        <v>32470</v>
      </c>
    </row>
    <row r="523" spans="1:25">
      <c r="A523" s="390">
        <v>95421</v>
      </c>
      <c r="B523" s="391" t="s">
        <v>1219</v>
      </c>
      <c r="C523" s="234">
        <v>2.5199999999999999E-5</v>
      </c>
      <c r="D523" s="234">
        <v>3.6699999999999998E-5</v>
      </c>
      <c r="E523" s="231">
        <v>90050</v>
      </c>
      <c r="F523" s="231" t="s">
        <v>1924</v>
      </c>
      <c r="G523" s="392">
        <v>11372</v>
      </c>
      <c r="H523" s="392">
        <v>12673</v>
      </c>
      <c r="I523" s="392">
        <v>6702</v>
      </c>
      <c r="J523" s="231">
        <v>537</v>
      </c>
      <c r="K523" s="231">
        <v>31284</v>
      </c>
      <c r="L523" s="231"/>
      <c r="M523" s="225">
        <v>0</v>
      </c>
      <c r="N523" s="225">
        <v>0</v>
      </c>
      <c r="O523" s="231">
        <v>13684</v>
      </c>
      <c r="P523" s="231">
        <v>13684</v>
      </c>
      <c r="Q523" s="231"/>
      <c r="R523" s="392">
        <v>30968</v>
      </c>
      <c r="S523" s="231">
        <v>-5822</v>
      </c>
      <c r="T523" s="396">
        <v>25146</v>
      </c>
      <c r="U523" s="231"/>
      <c r="V523" s="396"/>
      <c r="W523" s="396"/>
      <c r="X523" s="396">
        <v>182702</v>
      </c>
      <c r="Y523" s="396">
        <v>13050</v>
      </c>
    </row>
    <row r="524" spans="1:25">
      <c r="A524" s="390">
        <v>95431</v>
      </c>
      <c r="B524" s="391" t="s">
        <v>1220</v>
      </c>
      <c r="C524" s="234">
        <v>1.2349999999999999E-4</v>
      </c>
      <c r="D524" s="234">
        <v>1.3689999999999999E-4</v>
      </c>
      <c r="E524" s="231">
        <v>441318</v>
      </c>
      <c r="F524" s="231" t="s">
        <v>1924</v>
      </c>
      <c r="G524" s="392">
        <v>55731</v>
      </c>
      <c r="H524" s="392">
        <v>62104</v>
      </c>
      <c r="I524" s="392">
        <v>32843</v>
      </c>
      <c r="J524" s="231">
        <v>0</v>
      </c>
      <c r="K524" s="231">
        <v>150678</v>
      </c>
      <c r="L524" s="231"/>
      <c r="M524" s="225">
        <v>0</v>
      </c>
      <c r="N524" s="225">
        <v>0</v>
      </c>
      <c r="O524" s="231">
        <v>33953</v>
      </c>
      <c r="P524" s="231">
        <v>33953</v>
      </c>
      <c r="Q524" s="231"/>
      <c r="R524" s="392">
        <v>151766</v>
      </c>
      <c r="S524" s="231">
        <v>-17872</v>
      </c>
      <c r="T524" s="396">
        <v>133894</v>
      </c>
      <c r="U524" s="231"/>
      <c r="V524" s="396"/>
      <c r="W524" s="396"/>
      <c r="X524" s="396">
        <v>895386</v>
      </c>
      <c r="Y524" s="396">
        <v>63955</v>
      </c>
    </row>
    <row r="525" spans="1:25">
      <c r="A525" s="390">
        <v>95501</v>
      </c>
      <c r="B525" s="391" t="s">
        <v>1221</v>
      </c>
      <c r="C525" s="234">
        <v>5.3182000000000004E-3</v>
      </c>
      <c r="D525" s="234">
        <v>5.0283999999999997E-3</v>
      </c>
      <c r="E525" s="231">
        <v>19004194</v>
      </c>
      <c r="F525" s="231" t="s">
        <v>1924</v>
      </c>
      <c r="G525" s="392">
        <v>2399896</v>
      </c>
      <c r="H525" s="392">
        <v>2674332</v>
      </c>
      <c r="I525" s="392">
        <v>1414285</v>
      </c>
      <c r="J525" s="231">
        <v>417821</v>
      </c>
      <c r="K525" s="231">
        <v>6906334</v>
      </c>
      <c r="L525" s="231"/>
      <c r="M525" s="225">
        <v>0</v>
      </c>
      <c r="N525" s="225">
        <v>0</v>
      </c>
      <c r="O525" s="231">
        <v>41247</v>
      </c>
      <c r="P525" s="231">
        <v>41247</v>
      </c>
      <c r="Q525" s="231"/>
      <c r="R525" s="392">
        <v>6535403</v>
      </c>
      <c r="S525" s="231">
        <v>93194</v>
      </c>
      <c r="T525" s="396">
        <v>6628597</v>
      </c>
      <c r="U525" s="231"/>
      <c r="V525" s="396"/>
      <c r="W525" s="396"/>
      <c r="X525" s="396">
        <v>38557439</v>
      </c>
      <c r="Y525" s="396">
        <v>2754072</v>
      </c>
    </row>
    <row r="526" spans="1:25">
      <c r="A526" s="390">
        <v>95504</v>
      </c>
      <c r="B526" s="391" t="s">
        <v>1222</v>
      </c>
      <c r="C526" s="234">
        <v>1.7399999999999999E-5</v>
      </c>
      <c r="D526" s="234">
        <v>1.49E-5</v>
      </c>
      <c r="E526" s="231">
        <v>62178</v>
      </c>
      <c r="F526" s="231" t="s">
        <v>1924</v>
      </c>
      <c r="G526" s="392">
        <v>7852</v>
      </c>
      <c r="H526" s="392">
        <v>8750</v>
      </c>
      <c r="I526" s="392">
        <v>4627</v>
      </c>
      <c r="J526" s="231">
        <v>21065</v>
      </c>
      <c r="K526" s="231">
        <v>42294</v>
      </c>
      <c r="L526" s="231"/>
      <c r="M526" s="225">
        <v>0</v>
      </c>
      <c r="N526" s="225">
        <v>0</v>
      </c>
      <c r="O526" s="231">
        <v>0</v>
      </c>
      <c r="P526" s="231">
        <v>0</v>
      </c>
      <c r="Q526" s="231"/>
      <c r="R526" s="392">
        <v>21382</v>
      </c>
      <c r="S526" s="231">
        <v>8341</v>
      </c>
      <c r="T526" s="396">
        <v>29723</v>
      </c>
      <c r="U526" s="231"/>
      <c r="V526" s="396"/>
      <c r="W526" s="396"/>
      <c r="X526" s="396">
        <v>126152</v>
      </c>
      <c r="Y526" s="396">
        <v>9011</v>
      </c>
    </row>
    <row r="527" spans="1:25">
      <c r="A527" s="390">
        <v>95511</v>
      </c>
      <c r="B527" s="391" t="s">
        <v>1223</v>
      </c>
      <c r="C527" s="234">
        <v>1.0361000000000001E-3</v>
      </c>
      <c r="D527" s="234">
        <v>9.4910000000000003E-4</v>
      </c>
      <c r="E527" s="231">
        <v>3702427</v>
      </c>
      <c r="F527" s="231" t="s">
        <v>1924</v>
      </c>
      <c r="G527" s="392">
        <v>467552</v>
      </c>
      <c r="H527" s="392">
        <v>521017</v>
      </c>
      <c r="I527" s="392">
        <v>275533</v>
      </c>
      <c r="J527" s="231">
        <v>184553</v>
      </c>
      <c r="K527" s="231">
        <v>1448655</v>
      </c>
      <c r="L527" s="231"/>
      <c r="M527" s="225">
        <v>0</v>
      </c>
      <c r="N527" s="225">
        <v>0</v>
      </c>
      <c r="O527" s="231">
        <v>0</v>
      </c>
      <c r="P527" s="231">
        <v>0</v>
      </c>
      <c r="Q527" s="231"/>
      <c r="R527" s="392">
        <v>1273237</v>
      </c>
      <c r="S527" s="231">
        <v>56185</v>
      </c>
      <c r="T527" s="396">
        <v>1329422</v>
      </c>
      <c r="U527" s="231"/>
      <c r="V527" s="396"/>
      <c r="W527" s="396"/>
      <c r="X527" s="396">
        <v>7511820</v>
      </c>
      <c r="Y527" s="396">
        <v>536553</v>
      </c>
    </row>
    <row r="528" spans="1:25">
      <c r="A528" s="390">
        <v>95513</v>
      </c>
      <c r="B528" s="391" t="s">
        <v>1224</v>
      </c>
      <c r="C528" s="234">
        <v>4.6900000000000002E-5</v>
      </c>
      <c r="D528" s="234">
        <v>3.9700000000000003E-5</v>
      </c>
      <c r="E528" s="231">
        <v>167594</v>
      </c>
      <c r="F528" s="231" t="s">
        <v>1924</v>
      </c>
      <c r="G528" s="392">
        <v>21164</v>
      </c>
      <c r="H528" s="392">
        <v>23584</v>
      </c>
      <c r="I528" s="392">
        <v>12472</v>
      </c>
      <c r="J528" s="231">
        <v>32950</v>
      </c>
      <c r="K528" s="231">
        <v>90170</v>
      </c>
      <c r="L528" s="231"/>
      <c r="M528" s="225">
        <v>0</v>
      </c>
      <c r="N528" s="225">
        <v>0</v>
      </c>
      <c r="O528" s="231">
        <v>0</v>
      </c>
      <c r="P528" s="231">
        <v>0</v>
      </c>
      <c r="Q528" s="231"/>
      <c r="R528" s="392">
        <v>57634</v>
      </c>
      <c r="S528" s="231">
        <v>15043</v>
      </c>
      <c r="T528" s="396">
        <v>72677</v>
      </c>
      <c r="U528" s="231"/>
      <c r="V528" s="396"/>
      <c r="W528" s="396"/>
      <c r="X528" s="396">
        <v>340029</v>
      </c>
      <c r="Y528" s="396">
        <v>24288</v>
      </c>
    </row>
    <row r="529" spans="1:25">
      <c r="A529" s="390">
        <v>95517</v>
      </c>
      <c r="B529" s="391" t="s">
        <v>1225</v>
      </c>
      <c r="C529" s="234">
        <v>1.84E-5</v>
      </c>
      <c r="D529" s="234">
        <v>1.84E-5</v>
      </c>
      <c r="E529" s="231">
        <v>65751</v>
      </c>
      <c r="F529" s="231" t="s">
        <v>1924</v>
      </c>
      <c r="G529" s="392">
        <v>8303</v>
      </c>
      <c r="H529" s="392">
        <v>9253</v>
      </c>
      <c r="I529" s="392">
        <v>4893</v>
      </c>
      <c r="J529" s="231">
        <v>3184</v>
      </c>
      <c r="K529" s="231">
        <v>25633</v>
      </c>
      <c r="L529" s="231"/>
      <c r="M529" s="225">
        <v>0</v>
      </c>
      <c r="N529" s="225">
        <v>0</v>
      </c>
      <c r="O529" s="231">
        <v>1289</v>
      </c>
      <c r="P529" s="231">
        <v>1289</v>
      </c>
      <c r="Q529" s="231"/>
      <c r="R529" s="392">
        <v>22611</v>
      </c>
      <c r="S529" s="231">
        <v>3647</v>
      </c>
      <c r="T529" s="396">
        <v>26258</v>
      </c>
      <c r="U529" s="231"/>
      <c r="V529" s="396"/>
      <c r="W529" s="396"/>
      <c r="X529" s="396">
        <v>133402</v>
      </c>
      <c r="Y529" s="396">
        <v>9529</v>
      </c>
    </row>
    <row r="530" spans="1:25">
      <c r="A530" s="390">
        <v>95601</v>
      </c>
      <c r="B530" s="391" t="s">
        <v>1226</v>
      </c>
      <c r="C530" s="234">
        <v>2.3888999999999998E-3</v>
      </c>
      <c r="D530" s="234">
        <v>2.4459999999999998E-3</v>
      </c>
      <c r="E530" s="231">
        <v>8536557</v>
      </c>
      <c r="F530" s="231" t="s">
        <v>1924</v>
      </c>
      <c r="G530" s="392">
        <v>1078017</v>
      </c>
      <c r="H530" s="392">
        <v>1201292</v>
      </c>
      <c r="I530" s="392">
        <v>635287</v>
      </c>
      <c r="J530" s="231">
        <v>0</v>
      </c>
      <c r="K530" s="231">
        <v>2914596</v>
      </c>
      <c r="L530" s="231"/>
      <c r="M530" s="225">
        <v>0</v>
      </c>
      <c r="N530" s="225">
        <v>0</v>
      </c>
      <c r="O530" s="231">
        <v>174362</v>
      </c>
      <c r="P530" s="231">
        <v>174362</v>
      </c>
      <c r="Q530" s="231"/>
      <c r="R530" s="392">
        <v>2935659</v>
      </c>
      <c r="S530" s="231">
        <v>-52749</v>
      </c>
      <c r="T530" s="396">
        <v>2882910</v>
      </c>
      <c r="U530" s="231"/>
      <c r="V530" s="396"/>
      <c r="W530" s="396"/>
      <c r="X530" s="396">
        <v>17319745</v>
      </c>
      <c r="Y530" s="396">
        <v>1237111</v>
      </c>
    </row>
    <row r="531" spans="1:25">
      <c r="A531" s="390">
        <v>95611</v>
      </c>
      <c r="B531" s="391" t="s">
        <v>1227</v>
      </c>
      <c r="C531" s="234">
        <v>3.3310000000000002E-4</v>
      </c>
      <c r="D531" s="234">
        <v>3.7889999999999999E-4</v>
      </c>
      <c r="E531" s="231">
        <v>1190308</v>
      </c>
      <c r="F531" s="231" t="s">
        <v>1924</v>
      </c>
      <c r="G531" s="392">
        <v>150315</v>
      </c>
      <c r="H531" s="392">
        <v>167504</v>
      </c>
      <c r="I531" s="392">
        <v>88582</v>
      </c>
      <c r="J531" s="231">
        <v>4326</v>
      </c>
      <c r="K531" s="231">
        <v>410727</v>
      </c>
      <c r="L531" s="231"/>
      <c r="M531" s="225">
        <v>0</v>
      </c>
      <c r="N531" s="225">
        <v>0</v>
      </c>
      <c r="O531" s="231">
        <v>44139</v>
      </c>
      <c r="P531" s="231">
        <v>44139</v>
      </c>
      <c r="Q531" s="231"/>
      <c r="R531" s="392">
        <v>409338</v>
      </c>
      <c r="S531" s="231">
        <v>-12300</v>
      </c>
      <c r="T531" s="396">
        <v>397038</v>
      </c>
      <c r="U531" s="231"/>
      <c r="V531" s="396"/>
      <c r="W531" s="396"/>
      <c r="X531" s="396">
        <v>2415006</v>
      </c>
      <c r="Y531" s="396">
        <v>172498</v>
      </c>
    </row>
    <row r="532" spans="1:25">
      <c r="A532" s="390">
        <v>95617</v>
      </c>
      <c r="B532" s="391" t="s">
        <v>1228</v>
      </c>
      <c r="C532" s="234">
        <v>1.3900000000000001E-5</v>
      </c>
      <c r="D532" s="234">
        <v>1.49E-5</v>
      </c>
      <c r="E532" s="231">
        <v>49671</v>
      </c>
      <c r="F532" s="231" t="s">
        <v>1924</v>
      </c>
      <c r="G532" s="392">
        <v>6273</v>
      </c>
      <c r="H532" s="392">
        <v>6990</v>
      </c>
      <c r="I532" s="392">
        <v>3696</v>
      </c>
      <c r="J532" s="231">
        <v>1264</v>
      </c>
      <c r="K532" s="231">
        <v>18223</v>
      </c>
      <c r="L532" s="231"/>
      <c r="M532" s="225">
        <v>0</v>
      </c>
      <c r="N532" s="225">
        <v>0</v>
      </c>
      <c r="O532" s="231">
        <v>0</v>
      </c>
      <c r="P532" s="231">
        <v>0</v>
      </c>
      <c r="Q532" s="231"/>
      <c r="R532" s="392">
        <v>17081</v>
      </c>
      <c r="S532" s="231">
        <v>608</v>
      </c>
      <c r="T532" s="396">
        <v>17689</v>
      </c>
      <c r="U532" s="231"/>
      <c r="V532" s="396"/>
      <c r="W532" s="396"/>
      <c r="X532" s="396">
        <v>100776</v>
      </c>
      <c r="Y532" s="396">
        <v>7198</v>
      </c>
    </row>
    <row r="533" spans="1:25">
      <c r="A533" s="390">
        <v>95621</v>
      </c>
      <c r="B533" s="391" t="s">
        <v>1229</v>
      </c>
      <c r="C533" s="234">
        <v>4.6490000000000002E-4</v>
      </c>
      <c r="D533" s="234">
        <v>4.5750000000000001E-4</v>
      </c>
      <c r="E533" s="231">
        <v>1661286</v>
      </c>
      <c r="F533" s="231" t="s">
        <v>1924</v>
      </c>
      <c r="G533" s="392">
        <v>209791</v>
      </c>
      <c r="H533" s="392">
        <v>233782</v>
      </c>
      <c r="I533" s="392">
        <v>123632</v>
      </c>
      <c r="J533" s="231">
        <v>54081</v>
      </c>
      <c r="K533" s="231">
        <v>621286</v>
      </c>
      <c r="L533" s="231"/>
      <c r="M533" s="225">
        <v>0</v>
      </c>
      <c r="N533" s="225">
        <v>0</v>
      </c>
      <c r="O533" s="231">
        <v>16928</v>
      </c>
      <c r="P533" s="231">
        <v>16928</v>
      </c>
      <c r="Q533" s="231"/>
      <c r="R533" s="392">
        <v>571304</v>
      </c>
      <c r="S533" s="231">
        <v>15456</v>
      </c>
      <c r="T533" s="396">
        <v>586760</v>
      </c>
      <c r="U533" s="231"/>
      <c r="V533" s="396"/>
      <c r="W533" s="396"/>
      <c r="X533" s="396">
        <v>3370568</v>
      </c>
      <c r="Y533" s="396">
        <v>240752</v>
      </c>
    </row>
    <row r="534" spans="1:25">
      <c r="A534" s="390">
        <v>95701</v>
      </c>
      <c r="B534" s="391" t="s">
        <v>1230</v>
      </c>
      <c r="C534" s="234">
        <v>1.2185E-3</v>
      </c>
      <c r="D534" s="234">
        <v>1.2156000000000001E-3</v>
      </c>
      <c r="E534" s="231">
        <v>4354220</v>
      </c>
      <c r="F534" s="231" t="s">
        <v>1924</v>
      </c>
      <c r="G534" s="392">
        <v>549862</v>
      </c>
      <c r="H534" s="392">
        <v>612740</v>
      </c>
      <c r="I534" s="392">
        <v>324039</v>
      </c>
      <c r="J534" s="231">
        <v>7932</v>
      </c>
      <c r="K534" s="231">
        <v>1494573</v>
      </c>
      <c r="L534" s="231"/>
      <c r="M534" s="225">
        <v>0</v>
      </c>
      <c r="N534" s="225">
        <v>0</v>
      </c>
      <c r="O534" s="231">
        <v>144644</v>
      </c>
      <c r="P534" s="231">
        <v>144644</v>
      </c>
      <c r="Q534" s="231"/>
      <c r="R534" s="392">
        <v>1497384</v>
      </c>
      <c r="S534" s="231">
        <v>-43386</v>
      </c>
      <c r="T534" s="396">
        <v>1453998</v>
      </c>
      <c r="U534" s="231"/>
      <c r="V534" s="396"/>
      <c r="W534" s="396"/>
      <c r="X534" s="396">
        <v>8834237</v>
      </c>
      <c r="Y534" s="396">
        <v>631010</v>
      </c>
    </row>
    <row r="535" spans="1:25">
      <c r="A535" s="390">
        <v>95711</v>
      </c>
      <c r="B535" s="391" t="s">
        <v>1231</v>
      </c>
      <c r="C535" s="234">
        <v>1.4889999999999999E-4</v>
      </c>
      <c r="D535" s="234">
        <v>1.4320000000000001E-4</v>
      </c>
      <c r="E535" s="231">
        <v>532083</v>
      </c>
      <c r="F535" s="231" t="s">
        <v>1924</v>
      </c>
      <c r="G535" s="392">
        <v>67193</v>
      </c>
      <c r="H535" s="392">
        <v>74876</v>
      </c>
      <c r="I535" s="392">
        <v>39597</v>
      </c>
      <c r="J535" s="231">
        <v>0</v>
      </c>
      <c r="K535" s="231">
        <v>181666</v>
      </c>
      <c r="L535" s="231"/>
      <c r="M535" s="225">
        <v>0</v>
      </c>
      <c r="N535" s="225">
        <v>0</v>
      </c>
      <c r="O535" s="231">
        <v>9764</v>
      </c>
      <c r="P535" s="231">
        <v>9764</v>
      </c>
      <c r="Q535" s="231"/>
      <c r="R535" s="392">
        <v>182979</v>
      </c>
      <c r="S535" s="231">
        <v>-4388</v>
      </c>
      <c r="T535" s="396">
        <v>178591</v>
      </c>
      <c r="U535" s="231"/>
      <c r="V535" s="396"/>
      <c r="W535" s="396"/>
      <c r="X535" s="396">
        <v>1079539</v>
      </c>
      <c r="Y535" s="396">
        <v>77109</v>
      </c>
    </row>
    <row r="536" spans="1:25">
      <c r="A536" s="390">
        <v>95721</v>
      </c>
      <c r="B536" s="391" t="s">
        <v>1232</v>
      </c>
      <c r="C536" s="234">
        <v>5.1400000000000003E-5</v>
      </c>
      <c r="D536" s="234">
        <v>6.58E-5</v>
      </c>
      <c r="E536" s="231">
        <v>183674</v>
      </c>
      <c r="F536" s="231" t="s">
        <v>1924</v>
      </c>
      <c r="G536" s="392">
        <v>23195</v>
      </c>
      <c r="H536" s="392">
        <v>25847</v>
      </c>
      <c r="I536" s="392">
        <v>13669</v>
      </c>
      <c r="J536" s="231">
        <v>0</v>
      </c>
      <c r="K536" s="231">
        <v>62711</v>
      </c>
      <c r="L536" s="231"/>
      <c r="M536" s="225">
        <v>0</v>
      </c>
      <c r="N536" s="225">
        <v>0</v>
      </c>
      <c r="O536" s="231">
        <v>18623</v>
      </c>
      <c r="P536" s="231">
        <v>18623</v>
      </c>
      <c r="Q536" s="231"/>
      <c r="R536" s="392">
        <v>63164</v>
      </c>
      <c r="S536" s="231">
        <v>-7931</v>
      </c>
      <c r="T536" s="396">
        <v>55233</v>
      </c>
      <c r="U536" s="231"/>
      <c r="V536" s="396"/>
      <c r="W536" s="396"/>
      <c r="X536" s="396">
        <v>372655</v>
      </c>
      <c r="Y536" s="396">
        <v>26618</v>
      </c>
    </row>
    <row r="537" spans="1:25">
      <c r="A537" s="390">
        <v>95733</v>
      </c>
      <c r="B537" s="391" t="s">
        <v>1233</v>
      </c>
      <c r="C537" s="234">
        <v>1.33E-5</v>
      </c>
      <c r="D537" s="234">
        <v>1.43E-5</v>
      </c>
      <c r="E537" s="231">
        <v>47527</v>
      </c>
      <c r="F537" s="231" t="s">
        <v>1924</v>
      </c>
      <c r="G537" s="392">
        <v>6002</v>
      </c>
      <c r="H537" s="392">
        <v>6688</v>
      </c>
      <c r="I537" s="392">
        <v>3537</v>
      </c>
      <c r="J537" s="231">
        <v>27</v>
      </c>
      <c r="K537" s="231">
        <v>16254</v>
      </c>
      <c r="L537" s="231"/>
      <c r="M537" s="225">
        <v>0</v>
      </c>
      <c r="N537" s="225">
        <v>0</v>
      </c>
      <c r="O537" s="231">
        <v>1101</v>
      </c>
      <c r="P537" s="231">
        <v>1101</v>
      </c>
      <c r="Q537" s="231"/>
      <c r="R537" s="392">
        <v>16344</v>
      </c>
      <c r="S537" s="231">
        <v>-457</v>
      </c>
      <c r="T537" s="396">
        <v>15887</v>
      </c>
      <c r="U537" s="231"/>
      <c r="V537" s="396"/>
      <c r="W537" s="396"/>
      <c r="X537" s="396">
        <v>96426</v>
      </c>
      <c r="Y537" s="396">
        <v>6888</v>
      </c>
    </row>
    <row r="538" spans="1:25">
      <c r="A538" s="390">
        <v>95801</v>
      </c>
      <c r="B538" s="391" t="s">
        <v>1234</v>
      </c>
      <c r="C538" s="234">
        <v>9.2270000000000004E-4</v>
      </c>
      <c r="D538" s="234">
        <v>9.5739999999999996E-4</v>
      </c>
      <c r="E538" s="231">
        <v>3297200</v>
      </c>
      <c r="F538" s="231" t="s">
        <v>1924</v>
      </c>
      <c r="G538" s="392">
        <v>416379</v>
      </c>
      <c r="H538" s="392">
        <v>463992</v>
      </c>
      <c r="I538" s="392">
        <v>245376</v>
      </c>
      <c r="J538" s="231">
        <v>24461</v>
      </c>
      <c r="K538" s="231">
        <v>1150208</v>
      </c>
      <c r="L538" s="231"/>
      <c r="M538" s="225">
        <v>0</v>
      </c>
      <c r="N538" s="225">
        <v>0</v>
      </c>
      <c r="O538" s="231">
        <v>3258</v>
      </c>
      <c r="P538" s="231">
        <v>3258</v>
      </c>
      <c r="Q538" s="231"/>
      <c r="R538" s="392">
        <v>1133883</v>
      </c>
      <c r="S538" s="231">
        <v>17662</v>
      </c>
      <c r="T538" s="396">
        <v>1151545</v>
      </c>
      <c r="U538" s="231"/>
      <c r="V538" s="396"/>
      <c r="W538" s="396"/>
      <c r="X538" s="396">
        <v>6689660</v>
      </c>
      <c r="Y538" s="396">
        <v>477828</v>
      </c>
    </row>
    <row r="539" spans="1:25">
      <c r="A539" s="390">
        <v>95802</v>
      </c>
      <c r="B539" s="391" t="s">
        <v>1235</v>
      </c>
      <c r="C539" s="234">
        <v>4.6999999999999999E-6</v>
      </c>
      <c r="D539" s="234">
        <v>4.5000000000000001E-6</v>
      </c>
      <c r="E539" s="231">
        <v>16795</v>
      </c>
      <c r="F539" s="231" t="s">
        <v>1924</v>
      </c>
      <c r="G539" s="392">
        <v>2121</v>
      </c>
      <c r="H539" s="392">
        <v>2364</v>
      </c>
      <c r="I539" s="392">
        <v>1250</v>
      </c>
      <c r="J539" s="231">
        <v>6444</v>
      </c>
      <c r="K539" s="231">
        <v>12179</v>
      </c>
      <c r="L539" s="231"/>
      <c r="M539" s="225">
        <v>0</v>
      </c>
      <c r="N539" s="225">
        <v>0</v>
      </c>
      <c r="O539" s="231">
        <v>0</v>
      </c>
      <c r="P539" s="231">
        <v>0</v>
      </c>
      <c r="Q539" s="231"/>
      <c r="R539" s="392">
        <v>5776</v>
      </c>
      <c r="S539" s="231">
        <v>2870</v>
      </c>
      <c r="T539" s="396">
        <v>8646</v>
      </c>
      <c r="U539" s="231"/>
      <c r="V539" s="396"/>
      <c r="W539" s="396"/>
      <c r="X539" s="396">
        <v>34075</v>
      </c>
      <c r="Y539" s="396">
        <v>2434</v>
      </c>
    </row>
    <row r="540" spans="1:25">
      <c r="A540" s="390">
        <v>95804</v>
      </c>
      <c r="B540" s="391" t="s">
        <v>1236</v>
      </c>
      <c r="C540" s="234">
        <v>2.6100000000000001E-5</v>
      </c>
      <c r="D540" s="234">
        <v>2.5999999999999998E-5</v>
      </c>
      <c r="E540" s="231">
        <v>93266</v>
      </c>
      <c r="F540" s="231" t="s">
        <v>1924</v>
      </c>
      <c r="G540" s="392">
        <v>11778</v>
      </c>
      <c r="H540" s="392">
        <v>13125</v>
      </c>
      <c r="I540" s="392">
        <v>6941</v>
      </c>
      <c r="J540" s="231">
        <v>1079</v>
      </c>
      <c r="K540" s="231">
        <v>32923</v>
      </c>
      <c r="L540" s="231"/>
      <c r="M540" s="225">
        <v>0</v>
      </c>
      <c r="N540" s="225">
        <v>0</v>
      </c>
      <c r="O540" s="231">
        <v>3381</v>
      </c>
      <c r="P540" s="231">
        <v>3381</v>
      </c>
      <c r="Q540" s="231"/>
      <c r="R540" s="392">
        <v>32074</v>
      </c>
      <c r="S540" s="231">
        <v>-561</v>
      </c>
      <c r="T540" s="396">
        <v>31513</v>
      </c>
      <c r="U540" s="231"/>
      <c r="V540" s="396"/>
      <c r="W540" s="396"/>
      <c r="X540" s="396">
        <v>189227</v>
      </c>
      <c r="Y540" s="396">
        <v>13516</v>
      </c>
    </row>
    <row r="541" spans="1:25">
      <c r="A541" s="390">
        <v>95811</v>
      </c>
      <c r="B541" s="391" t="s">
        <v>1237</v>
      </c>
      <c r="C541" s="234">
        <v>5.5400000000000002E-4</v>
      </c>
      <c r="D541" s="234">
        <v>5.287E-4</v>
      </c>
      <c r="E541" s="231">
        <v>1979678</v>
      </c>
      <c r="F541" s="231" t="s">
        <v>1924</v>
      </c>
      <c r="G541" s="392">
        <v>249999</v>
      </c>
      <c r="H541" s="392">
        <v>278586</v>
      </c>
      <c r="I541" s="392">
        <v>147327</v>
      </c>
      <c r="J541" s="231">
        <v>21463</v>
      </c>
      <c r="K541" s="231">
        <v>697375</v>
      </c>
      <c r="L541" s="231"/>
      <c r="M541" s="225">
        <v>0</v>
      </c>
      <c r="N541" s="225">
        <v>0</v>
      </c>
      <c r="O541" s="231">
        <v>469</v>
      </c>
      <c r="P541" s="231">
        <v>469</v>
      </c>
      <c r="Q541" s="231"/>
      <c r="R541" s="392">
        <v>680797</v>
      </c>
      <c r="S541" s="231">
        <v>7128</v>
      </c>
      <c r="T541" s="396">
        <v>687925</v>
      </c>
      <c r="U541" s="231"/>
      <c r="V541" s="396"/>
      <c r="W541" s="396"/>
      <c r="X541" s="396">
        <v>4016551</v>
      </c>
      <c r="Y541" s="396">
        <v>286893</v>
      </c>
    </row>
    <row r="542" spans="1:25">
      <c r="A542" s="390">
        <v>95813</v>
      </c>
      <c r="B542" s="391" t="s">
        <v>1238</v>
      </c>
      <c r="C542" s="234">
        <v>4.21E-5</v>
      </c>
      <c r="D542" s="234">
        <v>4.4100000000000001E-5</v>
      </c>
      <c r="E542" s="231">
        <v>150441</v>
      </c>
      <c r="F542" s="231" t="s">
        <v>1924</v>
      </c>
      <c r="G542" s="392">
        <v>18998</v>
      </c>
      <c r="H542" s="392">
        <v>21170</v>
      </c>
      <c r="I542" s="392">
        <v>11196</v>
      </c>
      <c r="J542" s="231">
        <v>51588</v>
      </c>
      <c r="K542" s="231">
        <v>102952</v>
      </c>
      <c r="L542" s="231"/>
      <c r="M542" s="225">
        <v>0</v>
      </c>
      <c r="N542" s="225">
        <v>0</v>
      </c>
      <c r="O542" s="231">
        <v>0</v>
      </c>
      <c r="P542" s="231">
        <v>0</v>
      </c>
      <c r="Q542" s="231"/>
      <c r="R542" s="392">
        <v>51736</v>
      </c>
      <c r="S542" s="231">
        <v>33260</v>
      </c>
      <c r="T542" s="396">
        <v>84996</v>
      </c>
      <c r="U542" s="231"/>
      <c r="V542" s="396"/>
      <c r="W542" s="396"/>
      <c r="X542" s="396">
        <v>305229</v>
      </c>
      <c r="Y542" s="396">
        <v>21802</v>
      </c>
    </row>
    <row r="543" spans="1:25">
      <c r="A543" s="390">
        <v>95821</v>
      </c>
      <c r="B543" s="391" t="s">
        <v>1239</v>
      </c>
      <c r="C543" s="234">
        <v>5.9000000000000003E-6</v>
      </c>
      <c r="D543" s="234">
        <v>6.3999999999999997E-6</v>
      </c>
      <c r="E543" s="231">
        <v>21083</v>
      </c>
      <c r="F543" s="231" t="s">
        <v>1924</v>
      </c>
      <c r="G543" s="392">
        <v>2662</v>
      </c>
      <c r="H543" s="392">
        <v>2966</v>
      </c>
      <c r="I543" s="392">
        <v>1569</v>
      </c>
      <c r="J543" s="231">
        <v>4459</v>
      </c>
      <c r="K543" s="231">
        <v>11656</v>
      </c>
      <c r="L543" s="231"/>
      <c r="M543" s="225">
        <v>0</v>
      </c>
      <c r="N543" s="225">
        <v>0</v>
      </c>
      <c r="O543" s="231">
        <v>854</v>
      </c>
      <c r="P543" s="231">
        <v>854</v>
      </c>
      <c r="Q543" s="231"/>
      <c r="R543" s="392">
        <v>7250</v>
      </c>
      <c r="S543" s="231">
        <v>1454</v>
      </c>
      <c r="T543" s="396">
        <v>8704</v>
      </c>
      <c r="U543" s="231"/>
      <c r="V543" s="396"/>
      <c r="W543" s="396"/>
      <c r="X543" s="396">
        <v>42776</v>
      </c>
      <c r="Y543" s="396">
        <v>3055</v>
      </c>
    </row>
    <row r="544" spans="1:25">
      <c r="A544" s="390">
        <v>95831</v>
      </c>
      <c r="B544" s="391" t="s">
        <v>1240</v>
      </c>
      <c r="C544" s="234">
        <v>1.3699999999999999E-5</v>
      </c>
      <c r="D544" s="234">
        <v>1.9899999999999999E-5</v>
      </c>
      <c r="E544" s="231">
        <v>48956</v>
      </c>
      <c r="F544" s="231" t="s">
        <v>1924</v>
      </c>
      <c r="G544" s="392">
        <v>6182</v>
      </c>
      <c r="H544" s="392">
        <v>6889</v>
      </c>
      <c r="I544" s="392">
        <v>3643</v>
      </c>
      <c r="J544" s="231">
        <v>14138</v>
      </c>
      <c r="K544" s="231">
        <v>30852</v>
      </c>
      <c r="L544" s="231"/>
      <c r="M544" s="225">
        <v>0</v>
      </c>
      <c r="N544" s="225">
        <v>0</v>
      </c>
      <c r="O544" s="231">
        <v>0</v>
      </c>
      <c r="P544" s="231">
        <v>0</v>
      </c>
      <c r="Q544" s="231"/>
      <c r="R544" s="392">
        <v>16836</v>
      </c>
      <c r="S544" s="231">
        <v>9526</v>
      </c>
      <c r="T544" s="396">
        <v>26362</v>
      </c>
      <c r="U544" s="231"/>
      <c r="V544" s="396"/>
      <c r="W544" s="396"/>
      <c r="X544" s="396">
        <v>99326</v>
      </c>
      <c r="Y544" s="396">
        <v>7095</v>
      </c>
    </row>
    <row r="545" spans="1:25">
      <c r="A545" s="390">
        <v>95841</v>
      </c>
      <c r="B545" s="391" t="s">
        <v>1241</v>
      </c>
      <c r="C545" s="234">
        <v>2.6400000000000001E-5</v>
      </c>
      <c r="D545" s="234">
        <v>2.58E-5</v>
      </c>
      <c r="E545" s="231">
        <v>94338</v>
      </c>
      <c r="F545" s="231" t="s">
        <v>1924</v>
      </c>
      <c r="G545" s="392">
        <v>11913</v>
      </c>
      <c r="H545" s="392">
        <v>13275</v>
      </c>
      <c r="I545" s="392">
        <v>7021</v>
      </c>
      <c r="J545" s="231">
        <v>4078</v>
      </c>
      <c r="K545" s="231">
        <v>36287</v>
      </c>
      <c r="L545" s="231"/>
      <c r="M545" s="225">
        <v>0</v>
      </c>
      <c r="N545" s="225">
        <v>0</v>
      </c>
      <c r="O545" s="231">
        <v>870</v>
      </c>
      <c r="P545" s="231">
        <v>870</v>
      </c>
      <c r="Q545" s="231"/>
      <c r="R545" s="392">
        <v>32442</v>
      </c>
      <c r="S545" s="231">
        <v>1574</v>
      </c>
      <c r="T545" s="396">
        <v>34016</v>
      </c>
      <c r="U545" s="231"/>
      <c r="V545" s="396"/>
      <c r="W545" s="396"/>
      <c r="X545" s="396">
        <v>191402</v>
      </c>
      <c r="Y545" s="396">
        <v>13671</v>
      </c>
    </row>
    <row r="546" spans="1:25">
      <c r="A546" s="390">
        <v>95851</v>
      </c>
      <c r="B546" s="391" t="s">
        <v>1242</v>
      </c>
      <c r="C546" s="234">
        <v>1.261E-4</v>
      </c>
      <c r="D546" s="234">
        <v>1.26E-4</v>
      </c>
      <c r="E546" s="231">
        <v>450609</v>
      </c>
      <c r="F546" s="231" t="s">
        <v>1924</v>
      </c>
      <c r="G546" s="392">
        <v>56904</v>
      </c>
      <c r="H546" s="392">
        <v>63411</v>
      </c>
      <c r="I546" s="392">
        <v>33534</v>
      </c>
      <c r="J546" s="231">
        <v>84717</v>
      </c>
      <c r="K546" s="231">
        <v>238566</v>
      </c>
      <c r="L546" s="231"/>
      <c r="M546" s="225">
        <v>0</v>
      </c>
      <c r="N546" s="225">
        <v>0</v>
      </c>
      <c r="O546" s="231">
        <v>1420</v>
      </c>
      <c r="P546" s="231">
        <v>1420</v>
      </c>
      <c r="Q546" s="231"/>
      <c r="R546" s="392">
        <v>154961</v>
      </c>
      <c r="S546" s="231">
        <v>55880</v>
      </c>
      <c r="T546" s="396">
        <v>210841</v>
      </c>
      <c r="U546" s="231"/>
      <c r="V546" s="396"/>
      <c r="W546" s="396"/>
      <c r="X546" s="396">
        <v>914237</v>
      </c>
      <c r="Y546" s="396">
        <v>65302</v>
      </c>
    </row>
    <row r="547" spans="1:25">
      <c r="A547" s="390">
        <v>95853</v>
      </c>
      <c r="B547" s="391" t="s">
        <v>1243</v>
      </c>
      <c r="C547" s="234">
        <v>2.97E-5</v>
      </c>
      <c r="D547" s="234">
        <v>3.0300000000000001E-5</v>
      </c>
      <c r="E547" s="231">
        <v>106131</v>
      </c>
      <c r="F547" s="231" t="s">
        <v>1924</v>
      </c>
      <c r="G547" s="392">
        <v>13402</v>
      </c>
      <c r="H547" s="392">
        <v>14935</v>
      </c>
      <c r="I547" s="392">
        <v>7898</v>
      </c>
      <c r="J547" s="231">
        <v>2713</v>
      </c>
      <c r="K547" s="231">
        <v>38948</v>
      </c>
      <c r="L547" s="231"/>
      <c r="M547" s="225">
        <v>0</v>
      </c>
      <c r="N547" s="225">
        <v>0</v>
      </c>
      <c r="O547" s="231">
        <v>596</v>
      </c>
      <c r="P547" s="231">
        <v>596</v>
      </c>
      <c r="Q547" s="231"/>
      <c r="R547" s="392">
        <v>36498</v>
      </c>
      <c r="S547" s="231">
        <v>2448</v>
      </c>
      <c r="T547" s="396">
        <v>38946</v>
      </c>
      <c r="U547" s="231"/>
      <c r="V547" s="396"/>
      <c r="W547" s="396"/>
      <c r="X547" s="396">
        <v>215328</v>
      </c>
      <c r="Y547" s="396">
        <v>15380</v>
      </c>
    </row>
    <row r="548" spans="1:25">
      <c r="A548" s="390">
        <v>95901</v>
      </c>
      <c r="B548" s="391" t="s">
        <v>1244</v>
      </c>
      <c r="C548" s="234">
        <v>1.9843999999999999E-3</v>
      </c>
      <c r="D548" s="234">
        <v>1.9935E-3</v>
      </c>
      <c r="E548" s="231">
        <v>7091107</v>
      </c>
      <c r="F548" s="231" t="s">
        <v>1924</v>
      </c>
      <c r="G548" s="392">
        <v>895482</v>
      </c>
      <c r="H548" s="392">
        <v>997883</v>
      </c>
      <c r="I548" s="392">
        <v>527717</v>
      </c>
      <c r="J548" s="231">
        <v>0</v>
      </c>
      <c r="K548" s="231">
        <v>2421082</v>
      </c>
      <c r="L548" s="231"/>
      <c r="M548" s="225">
        <v>0</v>
      </c>
      <c r="N548" s="225">
        <v>0</v>
      </c>
      <c r="O548" s="231">
        <v>33996</v>
      </c>
      <c r="P548" s="231">
        <v>33996</v>
      </c>
      <c r="Q548" s="231"/>
      <c r="R548" s="392">
        <v>2438580</v>
      </c>
      <c r="S548" s="231">
        <v>-14874</v>
      </c>
      <c r="T548" s="396">
        <v>2423706</v>
      </c>
      <c r="U548" s="231"/>
      <c r="V548" s="396"/>
      <c r="W548" s="396"/>
      <c r="X548" s="396">
        <v>14387083</v>
      </c>
      <c r="Y548" s="396">
        <v>1027637</v>
      </c>
    </row>
    <row r="549" spans="1:25">
      <c r="A549" s="390">
        <v>95908</v>
      </c>
      <c r="B549" s="391" t="s">
        <v>1245</v>
      </c>
      <c r="C549" s="234">
        <v>5.7399999999999999E-5</v>
      </c>
      <c r="D549" s="234">
        <v>7.1500000000000003E-5</v>
      </c>
      <c r="E549" s="231">
        <v>205115</v>
      </c>
      <c r="F549" s="231" t="s">
        <v>1924</v>
      </c>
      <c r="G549" s="392">
        <v>25902</v>
      </c>
      <c r="H549" s="392">
        <v>28864</v>
      </c>
      <c r="I549" s="392">
        <v>15265</v>
      </c>
      <c r="J549" s="231">
        <v>1598</v>
      </c>
      <c r="K549" s="231">
        <v>71629</v>
      </c>
      <c r="L549" s="231"/>
      <c r="M549" s="225">
        <v>0</v>
      </c>
      <c r="N549" s="225">
        <v>0</v>
      </c>
      <c r="O549" s="231">
        <v>27109</v>
      </c>
      <c r="P549" s="231">
        <v>27109</v>
      </c>
      <c r="Q549" s="231"/>
      <c r="R549" s="392">
        <v>70537</v>
      </c>
      <c r="S549" s="231">
        <v>-11351</v>
      </c>
      <c r="T549" s="396">
        <v>59186</v>
      </c>
      <c r="U549" s="231"/>
      <c r="V549" s="396"/>
      <c r="W549" s="396"/>
      <c r="X549" s="396">
        <v>416155</v>
      </c>
      <c r="Y549" s="396">
        <v>29725</v>
      </c>
    </row>
    <row r="550" spans="1:25">
      <c r="A550" s="390">
        <v>95911</v>
      </c>
      <c r="B550" s="391" t="s">
        <v>1246</v>
      </c>
      <c r="C550" s="234">
        <v>5.5429999999999998E-4</v>
      </c>
      <c r="D550" s="234">
        <v>5.6829999999999999E-4</v>
      </c>
      <c r="E550" s="231">
        <v>1980750</v>
      </c>
      <c r="F550" s="231" t="s">
        <v>1924</v>
      </c>
      <c r="G550" s="392">
        <v>250134</v>
      </c>
      <c r="H550" s="392">
        <v>278737</v>
      </c>
      <c r="I550" s="392">
        <v>147407</v>
      </c>
      <c r="J550" s="231">
        <v>0</v>
      </c>
      <c r="K550" s="231">
        <v>676278</v>
      </c>
      <c r="L550" s="231"/>
      <c r="M550" s="225">
        <v>0</v>
      </c>
      <c r="N550" s="225">
        <v>0</v>
      </c>
      <c r="O550" s="231">
        <v>47824</v>
      </c>
      <c r="P550" s="231">
        <v>47824</v>
      </c>
      <c r="Q550" s="231"/>
      <c r="R550" s="392">
        <v>681165</v>
      </c>
      <c r="S550" s="231">
        <v>-27580</v>
      </c>
      <c r="T550" s="396">
        <v>653585</v>
      </c>
      <c r="U550" s="231"/>
      <c r="V550" s="396"/>
      <c r="W550" s="396"/>
      <c r="X550" s="396">
        <v>4018726</v>
      </c>
      <c r="Y550" s="396">
        <v>287049</v>
      </c>
    </row>
    <row r="551" spans="1:25">
      <c r="A551" s="390">
        <v>95917</v>
      </c>
      <c r="B551" s="391" t="s">
        <v>1247</v>
      </c>
      <c r="C551" s="234">
        <v>2.2099999999999998E-5</v>
      </c>
      <c r="D551" s="234">
        <v>1.8600000000000001E-5</v>
      </c>
      <c r="E551" s="231">
        <v>78973</v>
      </c>
      <c r="F551" s="231" t="s">
        <v>1924</v>
      </c>
      <c r="G551" s="392">
        <v>9973</v>
      </c>
      <c r="H551" s="392">
        <v>11113</v>
      </c>
      <c r="I551" s="392">
        <v>5877</v>
      </c>
      <c r="J551" s="231">
        <v>7363</v>
      </c>
      <c r="K551" s="231">
        <v>34326</v>
      </c>
      <c r="L551" s="231"/>
      <c r="M551" s="225">
        <v>0</v>
      </c>
      <c r="N551" s="225">
        <v>0</v>
      </c>
      <c r="O551" s="231">
        <v>1592</v>
      </c>
      <c r="P551" s="231">
        <v>1592</v>
      </c>
      <c r="Q551" s="231"/>
      <c r="R551" s="392">
        <v>27158</v>
      </c>
      <c r="S551" s="231">
        <v>1818</v>
      </c>
      <c r="T551" s="396">
        <v>28976</v>
      </c>
      <c r="U551" s="231"/>
      <c r="V551" s="396"/>
      <c r="W551" s="396"/>
      <c r="X551" s="396">
        <v>160227</v>
      </c>
      <c r="Y551" s="396">
        <v>11445</v>
      </c>
    </row>
    <row r="552" spans="1:25">
      <c r="A552" s="390">
        <v>95921</v>
      </c>
      <c r="B552" s="391" t="s">
        <v>1248</v>
      </c>
      <c r="C552" s="234">
        <v>5.0099999999999998E-5</v>
      </c>
      <c r="D552" s="234">
        <v>5.4200000000000003E-5</v>
      </c>
      <c r="E552" s="231">
        <v>179029</v>
      </c>
      <c r="F552" s="231" t="s">
        <v>1924</v>
      </c>
      <c r="G552" s="392">
        <v>22608</v>
      </c>
      <c r="H552" s="392">
        <v>25193</v>
      </c>
      <c r="I552" s="392">
        <v>13323</v>
      </c>
      <c r="J552" s="231">
        <v>4681</v>
      </c>
      <c r="K552" s="231">
        <v>65805</v>
      </c>
      <c r="L552" s="231"/>
      <c r="M552" s="225">
        <v>0</v>
      </c>
      <c r="N552" s="225">
        <v>0</v>
      </c>
      <c r="O552" s="231">
        <v>1802</v>
      </c>
      <c r="P552" s="231">
        <v>1802</v>
      </c>
      <c r="Q552" s="231"/>
      <c r="R552" s="392">
        <v>61567</v>
      </c>
      <c r="S552" s="231">
        <v>2081</v>
      </c>
      <c r="T552" s="396">
        <v>63648</v>
      </c>
      <c r="U552" s="231"/>
      <c r="V552" s="396"/>
      <c r="W552" s="396"/>
      <c r="X552" s="396">
        <v>363230</v>
      </c>
      <c r="Y552" s="396">
        <v>25945</v>
      </c>
    </row>
    <row r="553" spans="1:25">
      <c r="A553" s="390">
        <v>96001</v>
      </c>
      <c r="B553" s="391" t="s">
        <v>1249</v>
      </c>
      <c r="C553" s="234">
        <v>4.6503500000000003E-2</v>
      </c>
      <c r="D553" s="234">
        <v>4.3367500000000003E-2</v>
      </c>
      <c r="E553" s="231">
        <v>166176816</v>
      </c>
      <c r="F553" s="231" t="s">
        <v>1924</v>
      </c>
      <c r="G553" s="392">
        <v>20985216</v>
      </c>
      <c r="H553" s="392">
        <v>23384936</v>
      </c>
      <c r="I553" s="392">
        <v>12366815</v>
      </c>
      <c r="J553" s="231">
        <v>2094382</v>
      </c>
      <c r="K553" s="231">
        <v>58831349</v>
      </c>
      <c r="L553" s="231"/>
      <c r="M553" s="225">
        <v>0</v>
      </c>
      <c r="N553" s="225">
        <v>0</v>
      </c>
      <c r="O553" s="231">
        <v>401337</v>
      </c>
      <c r="P553" s="231">
        <v>401337</v>
      </c>
      <c r="Q553" s="231"/>
      <c r="R553" s="392">
        <v>57146989</v>
      </c>
      <c r="S553" s="231">
        <v>426740</v>
      </c>
      <c r="T553" s="396">
        <v>57573729</v>
      </c>
      <c r="U553" s="231"/>
      <c r="V553" s="396"/>
      <c r="W553" s="396"/>
      <c r="X553" s="396">
        <v>337154653</v>
      </c>
      <c r="Y553" s="396">
        <v>24082210</v>
      </c>
    </row>
    <row r="554" spans="1:25">
      <c r="A554" s="390">
        <v>96003</v>
      </c>
      <c r="B554" s="391" t="s">
        <v>1250</v>
      </c>
      <c r="C554" s="234">
        <v>1.781E-3</v>
      </c>
      <c r="D554" s="234">
        <v>1.6620000000000001E-3</v>
      </c>
      <c r="E554" s="231">
        <v>6364272</v>
      </c>
      <c r="F554" s="231" t="s">
        <v>1924</v>
      </c>
      <c r="G554" s="392">
        <v>803696</v>
      </c>
      <c r="H554" s="392">
        <v>895601</v>
      </c>
      <c r="I554" s="392">
        <v>473627</v>
      </c>
      <c r="J554" s="231">
        <v>204555</v>
      </c>
      <c r="K554" s="231">
        <v>2377479</v>
      </c>
      <c r="L554" s="231"/>
      <c r="M554" s="225">
        <v>0</v>
      </c>
      <c r="N554" s="225">
        <v>0</v>
      </c>
      <c r="O554" s="231">
        <v>57974</v>
      </c>
      <c r="P554" s="231">
        <v>57974</v>
      </c>
      <c r="Q554" s="231"/>
      <c r="R554" s="392">
        <v>2188626</v>
      </c>
      <c r="S554" s="231">
        <v>17277</v>
      </c>
      <c r="T554" s="396">
        <v>2205903</v>
      </c>
      <c r="U554" s="231"/>
      <c r="V554" s="396"/>
      <c r="W554" s="396"/>
      <c r="X554" s="396">
        <v>12912414</v>
      </c>
      <c r="Y554" s="396">
        <v>922305</v>
      </c>
    </row>
    <row r="555" spans="1:25">
      <c r="A555" s="390">
        <v>96004</v>
      </c>
      <c r="B555" s="391" t="s">
        <v>1251</v>
      </c>
      <c r="C555" s="234">
        <v>9.8489999999999992E-4</v>
      </c>
      <c r="D555" s="234">
        <v>9.3959999999999996E-4</v>
      </c>
      <c r="E555" s="231">
        <v>3519467</v>
      </c>
      <c r="F555" s="231" t="s">
        <v>1924</v>
      </c>
      <c r="G555" s="392">
        <v>444447</v>
      </c>
      <c r="H555" s="392">
        <v>495271</v>
      </c>
      <c r="I555" s="392">
        <v>261917</v>
      </c>
      <c r="J555" s="231">
        <v>219966</v>
      </c>
      <c r="K555" s="231">
        <v>1421601</v>
      </c>
      <c r="L555" s="231"/>
      <c r="M555" s="225">
        <v>0</v>
      </c>
      <c r="N555" s="225">
        <v>0</v>
      </c>
      <c r="O555" s="231">
        <v>0</v>
      </c>
      <c r="P555" s="231">
        <v>0</v>
      </c>
      <c r="Q555" s="231"/>
      <c r="R555" s="392">
        <v>1210319</v>
      </c>
      <c r="S555" s="231">
        <v>100427</v>
      </c>
      <c r="T555" s="396">
        <v>1310746</v>
      </c>
      <c r="U555" s="231"/>
      <c r="V555" s="396"/>
      <c r="W555" s="396"/>
      <c r="X555" s="396">
        <v>7140616</v>
      </c>
      <c r="Y555" s="396">
        <v>510038</v>
      </c>
    </row>
    <row r="556" spans="1:25">
      <c r="A556" s="390">
        <v>96005</v>
      </c>
      <c r="B556" s="391" t="s">
        <v>1252</v>
      </c>
      <c r="C556" s="234">
        <v>2.4903999999999998E-3</v>
      </c>
      <c r="D556" s="234">
        <v>2.4467E-3</v>
      </c>
      <c r="E556" s="231">
        <v>8899260</v>
      </c>
      <c r="F556" s="231" t="s">
        <v>1924</v>
      </c>
      <c r="G556" s="392">
        <v>1123820</v>
      </c>
      <c r="H556" s="392">
        <v>1252332</v>
      </c>
      <c r="I556" s="392">
        <v>662280</v>
      </c>
      <c r="J556" s="231">
        <v>125109</v>
      </c>
      <c r="K556" s="231">
        <v>3163541</v>
      </c>
      <c r="L556" s="231"/>
      <c r="M556" s="225">
        <v>0</v>
      </c>
      <c r="N556" s="225">
        <v>0</v>
      </c>
      <c r="O556" s="231">
        <v>76575</v>
      </c>
      <c r="P556" s="231">
        <v>76575</v>
      </c>
      <c r="Q556" s="231"/>
      <c r="R556" s="392">
        <v>3060390</v>
      </c>
      <c r="S556" s="231">
        <v>23180</v>
      </c>
      <c r="T556" s="396">
        <v>3083570</v>
      </c>
      <c r="U556" s="231"/>
      <c r="V556" s="396"/>
      <c r="W556" s="396"/>
      <c r="X556" s="396">
        <v>18055629</v>
      </c>
      <c r="Y556" s="396">
        <v>1289674</v>
      </c>
    </row>
    <row r="557" spans="1:25">
      <c r="A557" s="390">
        <v>96008</v>
      </c>
      <c r="B557" s="391" t="s">
        <v>1253</v>
      </c>
      <c r="C557" s="234">
        <v>6.1444999999999998E-3</v>
      </c>
      <c r="D557" s="234">
        <v>6.1741000000000001E-3</v>
      </c>
      <c r="E557" s="231">
        <v>21956916</v>
      </c>
      <c r="F557" s="231" t="s">
        <v>1924</v>
      </c>
      <c r="G557" s="392">
        <v>2772773</v>
      </c>
      <c r="H557" s="392">
        <v>3089848</v>
      </c>
      <c r="I557" s="392">
        <v>1634025</v>
      </c>
      <c r="J557" s="231">
        <v>0</v>
      </c>
      <c r="K557" s="231">
        <v>7496646</v>
      </c>
      <c r="L557" s="231"/>
      <c r="M557" s="225">
        <v>0</v>
      </c>
      <c r="N557" s="225">
        <v>0</v>
      </c>
      <c r="O557" s="231">
        <v>1493251</v>
      </c>
      <c r="P557" s="231">
        <v>1493251</v>
      </c>
      <c r="Q557" s="231"/>
      <c r="R557" s="392">
        <v>7550822</v>
      </c>
      <c r="S557" s="231">
        <v>-665377</v>
      </c>
      <c r="T557" s="396">
        <v>6885445</v>
      </c>
      <c r="U557" s="231"/>
      <c r="V557" s="396"/>
      <c r="W557" s="396"/>
      <c r="X557" s="396">
        <v>44548190</v>
      </c>
      <c r="Y557" s="396">
        <v>3181978</v>
      </c>
    </row>
    <row r="558" spans="1:25">
      <c r="A558" s="390">
        <v>96009</v>
      </c>
      <c r="B558" s="391" t="s">
        <v>1254</v>
      </c>
      <c r="C558" s="234">
        <v>3.814E-4</v>
      </c>
      <c r="D558" s="234">
        <v>3.5409999999999999E-4</v>
      </c>
      <c r="E558" s="231">
        <v>1362905</v>
      </c>
      <c r="F558" s="231" t="s">
        <v>1924</v>
      </c>
      <c r="G558" s="392">
        <v>172111</v>
      </c>
      <c r="H558" s="392">
        <v>191792</v>
      </c>
      <c r="I558" s="392">
        <v>101427</v>
      </c>
      <c r="J558" s="231">
        <v>64590</v>
      </c>
      <c r="K558" s="231">
        <v>529920</v>
      </c>
      <c r="L558" s="231"/>
      <c r="M558" s="225">
        <v>0</v>
      </c>
      <c r="N558" s="225">
        <v>0</v>
      </c>
      <c r="O558" s="231">
        <v>4063</v>
      </c>
      <c r="P558" s="231">
        <v>4063</v>
      </c>
      <c r="Q558" s="231"/>
      <c r="R558" s="392">
        <v>468693</v>
      </c>
      <c r="S558" s="231">
        <v>25977</v>
      </c>
      <c r="T558" s="396">
        <v>494670</v>
      </c>
      <c r="U558" s="231"/>
      <c r="V558" s="396"/>
      <c r="W558" s="396"/>
      <c r="X558" s="396">
        <v>2765185</v>
      </c>
      <c r="Y558" s="396">
        <v>197511</v>
      </c>
    </row>
    <row r="559" spans="1:25">
      <c r="A559" s="390">
        <v>96011</v>
      </c>
      <c r="B559" s="391" t="s">
        <v>1255</v>
      </c>
      <c r="C559" s="234">
        <v>6.4782000000000006E-2</v>
      </c>
      <c r="D559" s="234">
        <v>6.3204399999999994E-2</v>
      </c>
      <c r="E559" s="231">
        <v>231493683</v>
      </c>
      <c r="F559" s="231" t="s">
        <v>1924</v>
      </c>
      <c r="G559" s="392">
        <v>29233590</v>
      </c>
      <c r="H559" s="392">
        <v>32576536</v>
      </c>
      <c r="I559" s="392">
        <v>17227672</v>
      </c>
      <c r="J559" s="231">
        <v>4081980</v>
      </c>
      <c r="K559" s="231">
        <v>83119778</v>
      </c>
      <c r="L559" s="231"/>
      <c r="M559" s="225">
        <v>0</v>
      </c>
      <c r="N559" s="225">
        <v>0</v>
      </c>
      <c r="O559" s="231">
        <v>0</v>
      </c>
      <c r="P559" s="231">
        <v>0</v>
      </c>
      <c r="Q559" s="231"/>
      <c r="R559" s="392">
        <v>79608980</v>
      </c>
      <c r="S559" s="231">
        <v>1535105</v>
      </c>
      <c r="T559" s="396">
        <v>81144085</v>
      </c>
      <c r="U559" s="231"/>
      <c r="V559" s="396"/>
      <c r="W559" s="396"/>
      <c r="X559" s="396">
        <v>469675460</v>
      </c>
      <c r="Y559" s="396">
        <v>33547877</v>
      </c>
    </row>
    <row r="560" spans="1:25">
      <c r="A560" s="390">
        <v>96012</v>
      </c>
      <c r="B560" s="391" t="s">
        <v>1256</v>
      </c>
      <c r="C560" s="234">
        <v>2.4705999999999999E-3</v>
      </c>
      <c r="D560" s="234">
        <v>2.5593E-3</v>
      </c>
      <c r="E560" s="231">
        <v>8828506</v>
      </c>
      <c r="F560" s="231" t="s">
        <v>1924</v>
      </c>
      <c r="G560" s="392">
        <v>1114885</v>
      </c>
      <c r="H560" s="392">
        <v>1242376</v>
      </c>
      <c r="I560" s="392">
        <v>657014</v>
      </c>
      <c r="J560" s="231">
        <v>27290</v>
      </c>
      <c r="K560" s="231">
        <v>3041565</v>
      </c>
      <c r="L560" s="231"/>
      <c r="M560" s="225">
        <v>0</v>
      </c>
      <c r="N560" s="225">
        <v>0</v>
      </c>
      <c r="O560" s="231">
        <v>111673</v>
      </c>
      <c r="P560" s="231">
        <v>111673</v>
      </c>
      <c r="Q560" s="231"/>
      <c r="R560" s="392">
        <v>3036059</v>
      </c>
      <c r="S560" s="231">
        <v>-8055</v>
      </c>
      <c r="T560" s="396">
        <v>3028004</v>
      </c>
      <c r="U560" s="231"/>
      <c r="V560" s="396"/>
      <c r="W560" s="396"/>
      <c r="X560" s="396">
        <v>17912077</v>
      </c>
      <c r="Y560" s="396">
        <v>1279420</v>
      </c>
    </row>
    <row r="561" spans="1:25">
      <c r="A561" s="390">
        <v>96018</v>
      </c>
      <c r="B561" s="391" t="s">
        <v>1257</v>
      </c>
      <c r="C561" s="234">
        <v>3.57E-5</v>
      </c>
      <c r="D561" s="234">
        <v>3.4199999999999998E-5</v>
      </c>
      <c r="E561" s="231">
        <v>127571</v>
      </c>
      <c r="F561" s="231" t="s">
        <v>1924</v>
      </c>
      <c r="G561" s="392">
        <v>16110</v>
      </c>
      <c r="H561" s="392">
        <v>17953</v>
      </c>
      <c r="I561" s="392">
        <v>9494</v>
      </c>
      <c r="J561" s="231">
        <v>5638</v>
      </c>
      <c r="K561" s="231">
        <v>49195</v>
      </c>
      <c r="L561" s="231"/>
      <c r="M561" s="225">
        <v>0</v>
      </c>
      <c r="N561" s="225">
        <v>0</v>
      </c>
      <c r="O561" s="231">
        <v>6616</v>
      </c>
      <c r="P561" s="231">
        <v>6616</v>
      </c>
      <c r="Q561" s="231"/>
      <c r="R561" s="392">
        <v>43871</v>
      </c>
      <c r="S561" s="231">
        <v>309</v>
      </c>
      <c r="T561" s="396">
        <v>44180</v>
      </c>
      <c r="U561" s="231"/>
      <c r="V561" s="396"/>
      <c r="W561" s="396"/>
      <c r="X561" s="396">
        <v>258828</v>
      </c>
      <c r="Y561" s="396">
        <v>18488</v>
      </c>
    </row>
    <row r="562" spans="1:25">
      <c r="A562" s="390">
        <v>96021</v>
      </c>
      <c r="B562" s="391" t="s">
        <v>1258</v>
      </c>
      <c r="C562" s="234">
        <v>7.0450000000000005E-4</v>
      </c>
      <c r="D562" s="234">
        <v>7.7490000000000002E-4</v>
      </c>
      <c r="E562" s="231">
        <v>2517479</v>
      </c>
      <c r="F562" s="231" t="s">
        <v>1924</v>
      </c>
      <c r="G562" s="392">
        <v>317913</v>
      </c>
      <c r="H562" s="392">
        <v>354268</v>
      </c>
      <c r="I562" s="392">
        <v>187350</v>
      </c>
      <c r="J562" s="231">
        <v>6872</v>
      </c>
      <c r="K562" s="231">
        <v>866403</v>
      </c>
      <c r="L562" s="231"/>
      <c r="M562" s="225">
        <v>0</v>
      </c>
      <c r="N562" s="225">
        <v>0</v>
      </c>
      <c r="O562" s="231">
        <v>106720</v>
      </c>
      <c r="P562" s="231">
        <v>106720</v>
      </c>
      <c r="Q562" s="231"/>
      <c r="R562" s="392">
        <v>865742</v>
      </c>
      <c r="S562" s="231">
        <v>-56327</v>
      </c>
      <c r="T562" s="396">
        <v>809415</v>
      </c>
      <c r="U562" s="231"/>
      <c r="V562" s="396"/>
      <c r="W562" s="396"/>
      <c r="X562" s="396">
        <v>5107690</v>
      </c>
      <c r="Y562" s="396">
        <v>364831</v>
      </c>
    </row>
    <row r="563" spans="1:25">
      <c r="A563" s="390">
        <v>96031</v>
      </c>
      <c r="B563" s="391" t="s">
        <v>1259</v>
      </c>
      <c r="C563" s="234">
        <v>8.2890000000000004E-4</v>
      </c>
      <c r="D563" s="234">
        <v>8.3790000000000004E-4</v>
      </c>
      <c r="E563" s="231">
        <v>2962013</v>
      </c>
      <c r="F563" s="231" t="s">
        <v>1924</v>
      </c>
      <c r="G563" s="392">
        <v>374050</v>
      </c>
      <c r="H563" s="392">
        <v>416824</v>
      </c>
      <c r="I563" s="392">
        <v>220432</v>
      </c>
      <c r="J563" s="231">
        <v>0</v>
      </c>
      <c r="K563" s="231">
        <v>1011306</v>
      </c>
      <c r="L563" s="231"/>
      <c r="M563" s="225">
        <v>0</v>
      </c>
      <c r="N563" s="225">
        <v>0</v>
      </c>
      <c r="O563" s="231">
        <v>162004</v>
      </c>
      <c r="P563" s="231">
        <v>162004</v>
      </c>
      <c r="Q563" s="231"/>
      <c r="R563" s="392">
        <v>1018614</v>
      </c>
      <c r="S563" s="231">
        <v>-80171</v>
      </c>
      <c r="T563" s="396">
        <v>938443</v>
      </c>
      <c r="U563" s="231"/>
      <c r="V563" s="396"/>
      <c r="W563" s="396"/>
      <c r="X563" s="396">
        <v>6009601</v>
      </c>
      <c r="Y563" s="396">
        <v>429252</v>
      </c>
    </row>
    <row r="564" spans="1:25">
      <c r="A564" s="390">
        <v>96041</v>
      </c>
      <c r="B564" s="391" t="s">
        <v>1260</v>
      </c>
      <c r="C564" s="234">
        <v>1.7784000000000001E-3</v>
      </c>
      <c r="D564" s="234">
        <v>1.7466000000000001E-3</v>
      </c>
      <c r="E564" s="231">
        <v>6354981</v>
      </c>
      <c r="F564" s="231" t="s">
        <v>1924</v>
      </c>
      <c r="G564" s="392">
        <v>802523</v>
      </c>
      <c r="H564" s="392">
        <v>894293</v>
      </c>
      <c r="I564" s="392">
        <v>472935</v>
      </c>
      <c r="J564" s="231">
        <v>20639</v>
      </c>
      <c r="K564" s="231">
        <v>2190390</v>
      </c>
      <c r="L564" s="231"/>
      <c r="M564" s="225">
        <v>0</v>
      </c>
      <c r="N564" s="225">
        <v>0</v>
      </c>
      <c r="O564" s="231">
        <v>55939</v>
      </c>
      <c r="P564" s="231">
        <v>55939</v>
      </c>
      <c r="Q564" s="231"/>
      <c r="R564" s="392">
        <v>2185431</v>
      </c>
      <c r="S564" s="231">
        <v>-38828</v>
      </c>
      <c r="T564" s="396">
        <v>2146603</v>
      </c>
      <c r="U564" s="231"/>
      <c r="V564" s="396"/>
      <c r="W564" s="396"/>
      <c r="X564" s="396">
        <v>12893564</v>
      </c>
      <c r="Y564" s="396">
        <v>920959</v>
      </c>
    </row>
    <row r="565" spans="1:25">
      <c r="A565" s="390">
        <v>96051</v>
      </c>
      <c r="B565" s="391" t="s">
        <v>1261</v>
      </c>
      <c r="C565" s="234">
        <v>1.0357000000000001E-3</v>
      </c>
      <c r="D565" s="234">
        <v>9.6909999999999997E-4</v>
      </c>
      <c r="E565" s="231">
        <v>3700997</v>
      </c>
      <c r="F565" s="231" t="s">
        <v>1924</v>
      </c>
      <c r="G565" s="392">
        <v>467371</v>
      </c>
      <c r="H565" s="392">
        <v>520817</v>
      </c>
      <c r="I565" s="392">
        <v>275427</v>
      </c>
      <c r="J565" s="231">
        <v>51532</v>
      </c>
      <c r="K565" s="231">
        <v>1315147</v>
      </c>
      <c r="L565" s="231"/>
      <c r="M565" s="225">
        <v>0</v>
      </c>
      <c r="N565" s="225">
        <v>0</v>
      </c>
      <c r="O565" s="231">
        <v>94374</v>
      </c>
      <c r="P565" s="231">
        <v>94374</v>
      </c>
      <c r="Q565" s="231"/>
      <c r="R565" s="392">
        <v>1272746</v>
      </c>
      <c r="S565" s="231">
        <v>-33623</v>
      </c>
      <c r="T565" s="396">
        <v>1239123</v>
      </c>
      <c r="U565" s="231"/>
      <c r="V565" s="396"/>
      <c r="W565" s="396"/>
      <c r="X565" s="396">
        <v>7508920</v>
      </c>
      <c r="Y565" s="396">
        <v>536346</v>
      </c>
    </row>
    <row r="566" spans="1:25">
      <c r="A566" s="390">
        <v>96061</v>
      </c>
      <c r="B566" s="391" t="s">
        <v>1262</v>
      </c>
      <c r="C566" s="234">
        <v>3.2640000000000002E-4</v>
      </c>
      <c r="D566" s="234">
        <v>3.4220000000000002E-4</v>
      </c>
      <c r="E566" s="231">
        <v>1166366</v>
      </c>
      <c r="F566" s="231" t="s">
        <v>1924</v>
      </c>
      <c r="G566" s="392">
        <v>147292</v>
      </c>
      <c r="H566" s="392">
        <v>164134</v>
      </c>
      <c r="I566" s="392">
        <v>86801</v>
      </c>
      <c r="J566" s="231">
        <v>20016</v>
      </c>
      <c r="K566" s="231">
        <v>418243</v>
      </c>
      <c r="L566" s="231"/>
      <c r="M566" s="225">
        <v>0</v>
      </c>
      <c r="N566" s="225">
        <v>0</v>
      </c>
      <c r="O566" s="231">
        <v>27416</v>
      </c>
      <c r="P566" s="231">
        <v>27416</v>
      </c>
      <c r="Q566" s="231"/>
      <c r="R566" s="392">
        <v>401105</v>
      </c>
      <c r="S566" s="231">
        <v>-1657</v>
      </c>
      <c r="T566" s="396">
        <v>399448</v>
      </c>
      <c r="U566" s="231"/>
      <c r="V566" s="396"/>
      <c r="W566" s="396"/>
      <c r="X566" s="396">
        <v>2366430</v>
      </c>
      <c r="Y566" s="396">
        <v>169029</v>
      </c>
    </row>
    <row r="567" spans="1:25">
      <c r="A567" s="390">
        <v>96071</v>
      </c>
      <c r="B567" s="391" t="s">
        <v>1263</v>
      </c>
      <c r="C567" s="234">
        <v>1.3179000000000001E-3</v>
      </c>
      <c r="D567" s="234">
        <v>1.3016E-3</v>
      </c>
      <c r="E567" s="231">
        <v>4709418</v>
      </c>
      <c r="F567" s="231" t="s">
        <v>1924</v>
      </c>
      <c r="G567" s="392">
        <v>594717</v>
      </c>
      <c r="H567" s="392">
        <v>662724</v>
      </c>
      <c r="I567" s="392">
        <v>350473</v>
      </c>
      <c r="J567" s="231">
        <v>178666</v>
      </c>
      <c r="K567" s="231">
        <v>1786580</v>
      </c>
      <c r="L567" s="231"/>
      <c r="M567" s="225">
        <v>0</v>
      </c>
      <c r="N567" s="225">
        <v>0</v>
      </c>
      <c r="O567" s="231">
        <v>0</v>
      </c>
      <c r="P567" s="231">
        <v>0</v>
      </c>
      <c r="Q567" s="231"/>
      <c r="R567" s="392">
        <v>1619534</v>
      </c>
      <c r="S567" s="231">
        <v>50404</v>
      </c>
      <c r="T567" s="396">
        <v>1669938</v>
      </c>
      <c r="U567" s="231"/>
      <c r="V567" s="396"/>
      <c r="W567" s="396"/>
      <c r="X567" s="396">
        <v>9554896</v>
      </c>
      <c r="Y567" s="396">
        <v>682485</v>
      </c>
    </row>
    <row r="568" spans="1:25">
      <c r="A568" s="390">
        <v>96081</v>
      </c>
      <c r="B568" s="391" t="s">
        <v>1264</v>
      </c>
      <c r="C568" s="234">
        <v>5.5960000000000005E-4</v>
      </c>
      <c r="D568" s="234">
        <v>5.419E-4</v>
      </c>
      <c r="E568" s="231">
        <v>1999689</v>
      </c>
      <c r="F568" s="231" t="s">
        <v>1924</v>
      </c>
      <c r="G568" s="392">
        <v>252526</v>
      </c>
      <c r="H568" s="392">
        <v>281403</v>
      </c>
      <c r="I568" s="392">
        <v>148816</v>
      </c>
      <c r="J568" s="231">
        <v>17206</v>
      </c>
      <c r="K568" s="231">
        <v>699951</v>
      </c>
      <c r="L568" s="231"/>
      <c r="M568" s="225">
        <v>0</v>
      </c>
      <c r="N568" s="225">
        <v>0</v>
      </c>
      <c r="O568" s="231">
        <v>14362</v>
      </c>
      <c r="P568" s="231">
        <v>14362</v>
      </c>
      <c r="Q568" s="231"/>
      <c r="R568" s="392">
        <v>687678</v>
      </c>
      <c r="S568" s="231">
        <v>2514</v>
      </c>
      <c r="T568" s="396">
        <v>690192</v>
      </c>
      <c r="U568" s="231"/>
      <c r="V568" s="396"/>
      <c r="W568" s="396"/>
      <c r="X568" s="396">
        <v>4057151</v>
      </c>
      <c r="Y568" s="396">
        <v>289793</v>
      </c>
    </row>
    <row r="569" spans="1:25">
      <c r="A569" s="390">
        <v>96101</v>
      </c>
      <c r="B569" s="391" t="s">
        <v>1265</v>
      </c>
      <c r="C569" s="234">
        <v>6.2960000000000002E-4</v>
      </c>
      <c r="D569" s="234">
        <v>6.4729999999999996E-4</v>
      </c>
      <c r="E569" s="231">
        <v>2249829</v>
      </c>
      <c r="F569" s="231" t="s">
        <v>1924</v>
      </c>
      <c r="G569" s="392">
        <v>284114</v>
      </c>
      <c r="H569" s="392">
        <v>316603</v>
      </c>
      <c r="I569" s="392">
        <v>167431</v>
      </c>
      <c r="J569" s="231">
        <v>22354</v>
      </c>
      <c r="K569" s="231">
        <v>790502</v>
      </c>
      <c r="L569" s="231"/>
      <c r="M569" s="225">
        <v>0</v>
      </c>
      <c r="N569" s="225">
        <v>0</v>
      </c>
      <c r="O569" s="231">
        <v>76328</v>
      </c>
      <c r="P569" s="231">
        <v>76328</v>
      </c>
      <c r="Q569" s="231"/>
      <c r="R569" s="392">
        <v>773700</v>
      </c>
      <c r="S569" s="231">
        <v>-12651</v>
      </c>
      <c r="T569" s="396">
        <v>761049</v>
      </c>
      <c r="U569" s="231"/>
      <c r="V569" s="396"/>
      <c r="W569" s="396"/>
      <c r="X569" s="396">
        <v>4564658</v>
      </c>
      <c r="Y569" s="396">
        <v>326043</v>
      </c>
    </row>
    <row r="570" spans="1:25">
      <c r="A570" s="390">
        <v>96102</v>
      </c>
      <c r="B570" s="391" t="s">
        <v>1266</v>
      </c>
      <c r="C570" s="234">
        <v>1.1399999999999999E-5</v>
      </c>
      <c r="D570" s="234">
        <v>1.1600000000000001E-5</v>
      </c>
      <c r="E570" s="231">
        <v>40737</v>
      </c>
      <c r="F570" s="231" t="s">
        <v>1924</v>
      </c>
      <c r="G570" s="392">
        <v>5144</v>
      </c>
      <c r="H570" s="392">
        <v>5733</v>
      </c>
      <c r="I570" s="392">
        <v>3032</v>
      </c>
      <c r="J570" s="231">
        <v>0</v>
      </c>
      <c r="K570" s="231">
        <v>13909</v>
      </c>
      <c r="L570" s="231"/>
      <c r="M570" s="225">
        <v>0</v>
      </c>
      <c r="N570" s="225">
        <v>0</v>
      </c>
      <c r="O570" s="231">
        <v>3617</v>
      </c>
      <c r="P570" s="231">
        <v>3617</v>
      </c>
      <c r="Q570" s="231"/>
      <c r="R570" s="392">
        <v>14009</v>
      </c>
      <c r="S570" s="231">
        <v>-1737</v>
      </c>
      <c r="T570" s="396">
        <v>12272</v>
      </c>
      <c r="U570" s="231"/>
      <c r="V570" s="396"/>
      <c r="W570" s="396"/>
      <c r="X570" s="396">
        <v>82651</v>
      </c>
      <c r="Y570" s="396">
        <v>5904</v>
      </c>
    </row>
    <row r="571" spans="1:25">
      <c r="A571" s="390">
        <v>96111</v>
      </c>
      <c r="B571" s="391" t="s">
        <v>1267</v>
      </c>
      <c r="C571" s="234">
        <v>1.6689999999999999E-4</v>
      </c>
      <c r="D571" s="234">
        <v>1.5809999999999999E-4</v>
      </c>
      <c r="E571" s="231">
        <v>596405</v>
      </c>
      <c r="F571" s="231" t="s">
        <v>1924</v>
      </c>
      <c r="G571" s="392">
        <v>75315</v>
      </c>
      <c r="H571" s="392">
        <v>83928</v>
      </c>
      <c r="I571" s="392">
        <v>44384</v>
      </c>
      <c r="J571" s="231">
        <v>37672</v>
      </c>
      <c r="K571" s="231">
        <v>241299</v>
      </c>
      <c r="L571" s="231"/>
      <c r="M571" s="225">
        <v>0</v>
      </c>
      <c r="N571" s="225">
        <v>0</v>
      </c>
      <c r="O571" s="231">
        <v>419</v>
      </c>
      <c r="P571" s="231">
        <v>419</v>
      </c>
      <c r="Q571" s="231"/>
      <c r="R571" s="392">
        <v>205099</v>
      </c>
      <c r="S571" s="231">
        <v>13649</v>
      </c>
      <c r="T571" s="396">
        <v>218748</v>
      </c>
      <c r="U571" s="231"/>
      <c r="V571" s="396"/>
      <c r="W571" s="396"/>
      <c r="X571" s="396">
        <v>1210040</v>
      </c>
      <c r="Y571" s="396">
        <v>86431</v>
      </c>
    </row>
    <row r="572" spans="1:25">
      <c r="A572" s="390">
        <v>96121</v>
      </c>
      <c r="B572" s="391" t="s">
        <v>1268</v>
      </c>
      <c r="C572" s="234">
        <v>1.6699999999999999E-5</v>
      </c>
      <c r="D572" s="234">
        <v>2.4300000000000001E-5</v>
      </c>
      <c r="E572" s="231">
        <v>59676</v>
      </c>
      <c r="F572" s="231" t="s">
        <v>1924</v>
      </c>
      <c r="G572" s="392">
        <v>7536</v>
      </c>
      <c r="H572" s="392">
        <v>8398</v>
      </c>
      <c r="I572" s="392">
        <v>4441</v>
      </c>
      <c r="J572" s="231">
        <v>277</v>
      </c>
      <c r="K572" s="231">
        <v>20652</v>
      </c>
      <c r="L572" s="231"/>
      <c r="M572" s="225">
        <v>0</v>
      </c>
      <c r="N572" s="225">
        <v>0</v>
      </c>
      <c r="O572" s="231">
        <v>10748</v>
      </c>
      <c r="P572" s="231">
        <v>10748</v>
      </c>
      <c r="Q572" s="231"/>
      <c r="R572" s="392">
        <v>20522</v>
      </c>
      <c r="S572" s="231">
        <v>-3616</v>
      </c>
      <c r="T572" s="396">
        <v>16906</v>
      </c>
      <c r="U572" s="231"/>
      <c r="V572" s="396"/>
      <c r="W572" s="396"/>
      <c r="X572" s="396">
        <v>121077</v>
      </c>
      <c r="Y572" s="396">
        <v>8648</v>
      </c>
    </row>
    <row r="573" spans="1:25">
      <c r="A573" s="390">
        <v>96201</v>
      </c>
      <c r="B573" s="391" t="s">
        <v>1269</v>
      </c>
      <c r="C573" s="234">
        <v>9.7280000000000001E-4</v>
      </c>
      <c r="D573" s="234">
        <v>1.0575000000000001E-3</v>
      </c>
      <c r="E573" s="231">
        <v>3476229</v>
      </c>
      <c r="F573" s="231" t="s">
        <v>1924</v>
      </c>
      <c r="G573" s="392">
        <v>438987</v>
      </c>
      <c r="H573" s="392">
        <v>489186</v>
      </c>
      <c r="I573" s="392">
        <v>258700</v>
      </c>
      <c r="J573" s="231">
        <v>0</v>
      </c>
      <c r="K573" s="231">
        <v>1186873</v>
      </c>
      <c r="L573" s="231"/>
      <c r="M573" s="225">
        <v>0</v>
      </c>
      <c r="N573" s="225">
        <v>0</v>
      </c>
      <c r="O573" s="231">
        <v>126544</v>
      </c>
      <c r="P573" s="231">
        <v>126544</v>
      </c>
      <c r="Q573" s="231"/>
      <c r="R573" s="392">
        <v>1195450</v>
      </c>
      <c r="S573" s="231">
        <v>-60397</v>
      </c>
      <c r="T573" s="396">
        <v>1135053</v>
      </c>
      <c r="U573" s="231"/>
      <c r="V573" s="396"/>
      <c r="W573" s="396"/>
      <c r="X573" s="396">
        <v>7052889</v>
      </c>
      <c r="Y573" s="396">
        <v>503772</v>
      </c>
    </row>
    <row r="574" spans="1:25">
      <c r="A574" s="390">
        <v>96204</v>
      </c>
      <c r="B574" s="391" t="s">
        <v>1270</v>
      </c>
      <c r="C574" s="234">
        <v>1.3699999999999999E-5</v>
      </c>
      <c r="D574" s="234">
        <v>1.42E-5</v>
      </c>
      <c r="E574" s="231">
        <v>48956</v>
      </c>
      <c r="F574" s="231" t="s">
        <v>1924</v>
      </c>
      <c r="G574" s="392">
        <v>6182</v>
      </c>
      <c r="H574" s="392">
        <v>6889</v>
      </c>
      <c r="I574" s="392">
        <v>3643</v>
      </c>
      <c r="J574" s="231">
        <v>5356</v>
      </c>
      <c r="K574" s="231">
        <v>22070</v>
      </c>
      <c r="L574" s="231"/>
      <c r="M574" s="225">
        <v>0</v>
      </c>
      <c r="N574" s="225">
        <v>0</v>
      </c>
      <c r="O574" s="231">
        <v>0</v>
      </c>
      <c r="P574" s="231">
        <v>0</v>
      </c>
      <c r="Q574" s="231"/>
      <c r="R574" s="392">
        <v>16836</v>
      </c>
      <c r="S574" s="231">
        <v>2358</v>
      </c>
      <c r="T574" s="396">
        <v>19194</v>
      </c>
      <c r="U574" s="231"/>
      <c r="V574" s="396"/>
      <c r="W574" s="396"/>
      <c r="X574" s="396">
        <v>99326</v>
      </c>
      <c r="Y574" s="396">
        <v>7095</v>
      </c>
    </row>
    <row r="575" spans="1:25">
      <c r="A575" s="390">
        <v>96211</v>
      </c>
      <c r="B575" s="391" t="s">
        <v>1271</v>
      </c>
      <c r="C575" s="234">
        <v>2.1999999999999999E-5</v>
      </c>
      <c r="D575" s="234">
        <v>2.4000000000000001E-5</v>
      </c>
      <c r="E575" s="231">
        <v>78615</v>
      </c>
      <c r="F575" s="231" t="s">
        <v>1924</v>
      </c>
      <c r="G575" s="392">
        <v>9928</v>
      </c>
      <c r="H575" s="392">
        <v>11063</v>
      </c>
      <c r="I575" s="392">
        <v>5851</v>
      </c>
      <c r="J575" s="231">
        <v>6335</v>
      </c>
      <c r="K575" s="231">
        <v>33177</v>
      </c>
      <c r="L575" s="231"/>
      <c r="M575" s="225">
        <v>0</v>
      </c>
      <c r="N575" s="225">
        <v>0</v>
      </c>
      <c r="O575" s="231">
        <v>0</v>
      </c>
      <c r="P575" s="231">
        <v>0</v>
      </c>
      <c r="Q575" s="231"/>
      <c r="R575" s="392">
        <v>27035</v>
      </c>
      <c r="S575" s="231">
        <v>3248</v>
      </c>
      <c r="T575" s="396">
        <v>30283</v>
      </c>
      <c r="U575" s="231"/>
      <c r="V575" s="396"/>
      <c r="W575" s="396"/>
      <c r="X575" s="396">
        <v>159502</v>
      </c>
      <c r="Y575" s="396">
        <v>11393</v>
      </c>
    </row>
    <row r="576" spans="1:25">
      <c r="A576" s="390">
        <v>96221</v>
      </c>
      <c r="B576" s="391" t="s">
        <v>1272</v>
      </c>
      <c r="C576" s="234">
        <v>1.964E-4</v>
      </c>
      <c r="D576" s="234">
        <v>2.141E-4</v>
      </c>
      <c r="E576" s="231">
        <v>701821</v>
      </c>
      <c r="F576" s="231" t="s">
        <v>1924</v>
      </c>
      <c r="G576" s="392">
        <v>88628</v>
      </c>
      <c r="H576" s="392">
        <v>98763</v>
      </c>
      <c r="I576" s="392">
        <v>52229</v>
      </c>
      <c r="J576" s="231">
        <v>0</v>
      </c>
      <c r="K576" s="231">
        <v>239620</v>
      </c>
      <c r="L576" s="231"/>
      <c r="M576" s="225">
        <v>0</v>
      </c>
      <c r="N576" s="225">
        <v>0</v>
      </c>
      <c r="O576" s="231">
        <v>36235</v>
      </c>
      <c r="P576" s="231">
        <v>36235</v>
      </c>
      <c r="Q576" s="231"/>
      <c r="R576" s="392">
        <v>241351</v>
      </c>
      <c r="S576" s="231">
        <v>-15373</v>
      </c>
      <c r="T576" s="396">
        <v>225978</v>
      </c>
      <c r="U576" s="231"/>
      <c r="V576" s="396"/>
      <c r="W576" s="396"/>
      <c r="X576" s="396">
        <v>1423918</v>
      </c>
      <c r="Y576" s="396">
        <v>101707</v>
      </c>
    </row>
    <row r="577" spans="1:25">
      <c r="A577" s="390">
        <v>96231</v>
      </c>
      <c r="B577" s="391" t="s">
        <v>1273</v>
      </c>
      <c r="C577" s="234">
        <v>1.058E-4</v>
      </c>
      <c r="D577" s="234">
        <v>1.2349999999999999E-4</v>
      </c>
      <c r="E577" s="231">
        <v>378068</v>
      </c>
      <c r="F577" s="231" t="s">
        <v>1924</v>
      </c>
      <c r="G577" s="392">
        <v>47743</v>
      </c>
      <c r="H577" s="392">
        <v>53203</v>
      </c>
      <c r="I577" s="392">
        <v>28136</v>
      </c>
      <c r="J577" s="231">
        <v>637</v>
      </c>
      <c r="K577" s="231">
        <v>129719</v>
      </c>
      <c r="L577" s="231"/>
      <c r="M577" s="225">
        <v>0</v>
      </c>
      <c r="N577" s="225">
        <v>0</v>
      </c>
      <c r="O577" s="231">
        <v>44833</v>
      </c>
      <c r="P577" s="231">
        <v>44833</v>
      </c>
      <c r="Q577" s="231"/>
      <c r="R577" s="392">
        <v>130015</v>
      </c>
      <c r="S577" s="231">
        <v>-17896</v>
      </c>
      <c r="T577" s="396">
        <v>112119</v>
      </c>
      <c r="U577" s="231"/>
      <c r="V577" s="396"/>
      <c r="W577" s="396"/>
      <c r="X577" s="396">
        <v>767060</v>
      </c>
      <c r="Y577" s="396">
        <v>54789</v>
      </c>
    </row>
    <row r="578" spans="1:25">
      <c r="A578" s="390">
        <v>96241</v>
      </c>
      <c r="B578" s="391" t="s">
        <v>1274</v>
      </c>
      <c r="C578" s="234">
        <v>5.9599999999999999E-5</v>
      </c>
      <c r="D578" s="234">
        <v>6.4499999999999996E-5</v>
      </c>
      <c r="E578" s="231">
        <v>212976</v>
      </c>
      <c r="F578" s="231" t="s">
        <v>1924</v>
      </c>
      <c r="G578" s="392">
        <v>26895</v>
      </c>
      <c r="H578" s="392">
        <v>29971</v>
      </c>
      <c r="I578" s="392">
        <v>15850</v>
      </c>
      <c r="J578" s="231">
        <v>4811</v>
      </c>
      <c r="K578" s="231">
        <v>77527</v>
      </c>
      <c r="L578" s="231"/>
      <c r="M578" s="225">
        <v>0</v>
      </c>
      <c r="N578" s="225">
        <v>0</v>
      </c>
      <c r="O578" s="231">
        <v>11800</v>
      </c>
      <c r="P578" s="231">
        <v>11800</v>
      </c>
      <c r="Q578" s="231"/>
      <c r="R578" s="392">
        <v>73241</v>
      </c>
      <c r="S578" s="231">
        <v>-3145</v>
      </c>
      <c r="T578" s="396">
        <v>70096</v>
      </c>
      <c r="U578" s="231"/>
      <c r="V578" s="396"/>
      <c r="W578" s="396"/>
      <c r="X578" s="396">
        <v>432105</v>
      </c>
      <c r="Y578" s="396">
        <v>30864</v>
      </c>
    </row>
    <row r="579" spans="1:25">
      <c r="A579" s="390">
        <v>96251</v>
      </c>
      <c r="B579" s="391" t="s">
        <v>1275</v>
      </c>
      <c r="C579" s="234">
        <v>8.8399999999999994E-5</v>
      </c>
      <c r="D579" s="234">
        <v>1.004E-4</v>
      </c>
      <c r="E579" s="231">
        <v>315891</v>
      </c>
      <c r="F579" s="231" t="s">
        <v>1924</v>
      </c>
      <c r="G579" s="392">
        <v>39891</v>
      </c>
      <c r="H579" s="392">
        <v>44453</v>
      </c>
      <c r="I579" s="392">
        <v>23508</v>
      </c>
      <c r="J579" s="231">
        <v>1551</v>
      </c>
      <c r="K579" s="231">
        <v>109403</v>
      </c>
      <c r="L579" s="231"/>
      <c r="M579" s="225">
        <v>0</v>
      </c>
      <c r="N579" s="225">
        <v>0</v>
      </c>
      <c r="O579" s="231">
        <v>30061</v>
      </c>
      <c r="P579" s="231">
        <v>30061</v>
      </c>
      <c r="Q579" s="231"/>
      <c r="R579" s="392">
        <v>108633</v>
      </c>
      <c r="S579" s="231">
        <v>-10702</v>
      </c>
      <c r="T579" s="396">
        <v>97931</v>
      </c>
      <c r="U579" s="231"/>
      <c r="V579" s="396"/>
      <c r="W579" s="396"/>
      <c r="X579" s="396">
        <v>640908</v>
      </c>
      <c r="Y579" s="396">
        <v>45779</v>
      </c>
    </row>
    <row r="580" spans="1:25">
      <c r="A580" s="390">
        <v>96301</v>
      </c>
      <c r="B580" s="391" t="s">
        <v>1276</v>
      </c>
      <c r="C580" s="234">
        <v>4.7971999999999997E-3</v>
      </c>
      <c r="D580" s="234">
        <v>4.6904E-3</v>
      </c>
      <c r="E580" s="231">
        <v>17142439</v>
      </c>
      <c r="F580" s="231" t="s">
        <v>1924</v>
      </c>
      <c r="G580" s="392">
        <v>2164789</v>
      </c>
      <c r="H580" s="392">
        <v>2412339</v>
      </c>
      <c r="I580" s="392">
        <v>1275734</v>
      </c>
      <c r="J580" s="231">
        <v>222100</v>
      </c>
      <c r="K580" s="231">
        <v>6074962</v>
      </c>
      <c r="L580" s="231"/>
      <c r="M580" s="225">
        <v>0</v>
      </c>
      <c r="N580" s="225">
        <v>0</v>
      </c>
      <c r="O580" s="231">
        <v>28837</v>
      </c>
      <c r="P580" s="231">
        <v>28837</v>
      </c>
      <c r="Q580" s="231"/>
      <c r="R580" s="392">
        <v>5895159</v>
      </c>
      <c r="S580" s="231">
        <v>26848</v>
      </c>
      <c r="T580" s="396">
        <v>5922007</v>
      </c>
      <c r="U580" s="231"/>
      <c r="V580" s="396"/>
      <c r="W580" s="396"/>
      <c r="X580" s="396">
        <v>34780141</v>
      </c>
      <c r="Y580" s="396">
        <v>2484268</v>
      </c>
    </row>
    <row r="581" spans="1:25">
      <c r="A581" s="390">
        <v>96302</v>
      </c>
      <c r="B581" s="391" t="s">
        <v>1277</v>
      </c>
      <c r="C581" s="234">
        <v>5.2200000000000002E-5</v>
      </c>
      <c r="D581" s="234">
        <v>2.3600000000000001E-5</v>
      </c>
      <c r="E581" s="231">
        <v>186533</v>
      </c>
      <c r="F581" s="231" t="s">
        <v>1924</v>
      </c>
      <c r="G581" s="392">
        <v>23556</v>
      </c>
      <c r="H581" s="392">
        <v>26249</v>
      </c>
      <c r="I581" s="392">
        <v>13882</v>
      </c>
      <c r="J581" s="231">
        <v>29665</v>
      </c>
      <c r="K581" s="231">
        <v>93352</v>
      </c>
      <c r="L581" s="231"/>
      <c r="M581" s="225">
        <v>0</v>
      </c>
      <c r="N581" s="225">
        <v>0</v>
      </c>
      <c r="O581" s="231">
        <v>374</v>
      </c>
      <c r="P581" s="231">
        <v>374</v>
      </c>
      <c r="Q581" s="231"/>
      <c r="R581" s="392">
        <v>64147</v>
      </c>
      <c r="S581" s="231">
        <v>10826</v>
      </c>
      <c r="T581" s="396">
        <v>74973</v>
      </c>
      <c r="U581" s="231"/>
      <c r="V581" s="396"/>
      <c r="W581" s="396"/>
      <c r="X581" s="396">
        <v>378455</v>
      </c>
      <c r="Y581" s="396">
        <v>27032</v>
      </c>
    </row>
    <row r="582" spans="1:25">
      <c r="A582" s="390">
        <v>96304</v>
      </c>
      <c r="B582" s="391" t="s">
        <v>1278</v>
      </c>
      <c r="C582" s="234">
        <v>4.6400000000000003E-5</v>
      </c>
      <c r="D582" s="234">
        <v>4.3900000000000003E-5</v>
      </c>
      <c r="E582" s="231">
        <v>165807</v>
      </c>
      <c r="F582" s="231" t="s">
        <v>1924</v>
      </c>
      <c r="G582" s="392">
        <v>20939</v>
      </c>
      <c r="H582" s="392">
        <v>23333</v>
      </c>
      <c r="I582" s="392">
        <v>12339</v>
      </c>
      <c r="J582" s="231">
        <v>12168</v>
      </c>
      <c r="K582" s="231">
        <v>68779</v>
      </c>
      <c r="L582" s="231"/>
      <c r="M582" s="225">
        <v>0</v>
      </c>
      <c r="N582" s="225">
        <v>0</v>
      </c>
      <c r="O582" s="231">
        <v>245</v>
      </c>
      <c r="P582" s="231">
        <v>245</v>
      </c>
      <c r="Q582" s="231"/>
      <c r="R582" s="392">
        <v>57020</v>
      </c>
      <c r="S582" s="231">
        <v>5155</v>
      </c>
      <c r="T582" s="396">
        <v>62175</v>
      </c>
      <c r="U582" s="231"/>
      <c r="V582" s="396"/>
      <c r="W582" s="396"/>
      <c r="X582" s="396">
        <v>336404</v>
      </c>
      <c r="Y582" s="396">
        <v>24029</v>
      </c>
    </row>
    <row r="583" spans="1:25">
      <c r="A583" s="390">
        <v>96305</v>
      </c>
      <c r="B583" s="391" t="s">
        <v>1279</v>
      </c>
      <c r="C583" s="234">
        <v>4.2799999999999997E-5</v>
      </c>
      <c r="D583" s="234">
        <v>4.1199999999999999E-5</v>
      </c>
      <c r="E583" s="231">
        <v>152943</v>
      </c>
      <c r="F583" s="231" t="s">
        <v>1924</v>
      </c>
      <c r="G583" s="392">
        <v>19314</v>
      </c>
      <c r="H583" s="392">
        <v>21523</v>
      </c>
      <c r="I583" s="392">
        <v>11382</v>
      </c>
      <c r="J583" s="231">
        <v>20920</v>
      </c>
      <c r="K583" s="231">
        <v>73139</v>
      </c>
      <c r="L583" s="231"/>
      <c r="M583" s="225">
        <v>0</v>
      </c>
      <c r="N583" s="225">
        <v>0</v>
      </c>
      <c r="O583" s="231">
        <v>0</v>
      </c>
      <c r="P583" s="231">
        <v>0</v>
      </c>
      <c r="Q583" s="231"/>
      <c r="R583" s="392">
        <v>52596</v>
      </c>
      <c r="S583" s="231">
        <v>9846</v>
      </c>
      <c r="T583" s="396">
        <v>62442</v>
      </c>
      <c r="U583" s="231"/>
      <c r="V583" s="396"/>
      <c r="W583" s="396"/>
      <c r="X583" s="396">
        <v>310304</v>
      </c>
      <c r="Y583" s="396">
        <v>22164</v>
      </c>
    </row>
    <row r="584" spans="1:25">
      <c r="A584" s="390">
        <v>96310</v>
      </c>
      <c r="B584" s="391" t="s">
        <v>1280</v>
      </c>
      <c r="C584" s="234">
        <v>4.5300000000000003E-5</v>
      </c>
      <c r="D584" s="234">
        <v>4.49E-5</v>
      </c>
      <c r="E584" s="231">
        <v>161876</v>
      </c>
      <c r="F584" s="231" t="s">
        <v>1924</v>
      </c>
      <c r="G584" s="392">
        <v>20442</v>
      </c>
      <c r="H584" s="392">
        <v>22779</v>
      </c>
      <c r="I584" s="392">
        <v>12047</v>
      </c>
      <c r="J584" s="231">
        <v>9096</v>
      </c>
      <c r="K584" s="231">
        <v>64364</v>
      </c>
      <c r="L584" s="231"/>
      <c r="M584" s="225">
        <v>0</v>
      </c>
      <c r="N584" s="225">
        <v>0</v>
      </c>
      <c r="O584" s="231">
        <v>2457</v>
      </c>
      <c r="P584" s="231">
        <v>2457</v>
      </c>
      <c r="Q584" s="231"/>
      <c r="R584" s="392">
        <v>55668</v>
      </c>
      <c r="S584" s="231">
        <v>2168</v>
      </c>
      <c r="T584" s="396">
        <v>57836</v>
      </c>
      <c r="U584" s="231"/>
      <c r="V584" s="396"/>
      <c r="W584" s="396"/>
      <c r="X584" s="396">
        <v>328429</v>
      </c>
      <c r="Y584" s="396">
        <v>23459</v>
      </c>
    </row>
    <row r="585" spans="1:25">
      <c r="A585" s="390">
        <v>96311</v>
      </c>
      <c r="B585" s="391" t="s">
        <v>1281</v>
      </c>
      <c r="C585" s="234">
        <v>1.3810000000000001E-3</v>
      </c>
      <c r="D585" s="234">
        <v>1.3112E-3</v>
      </c>
      <c r="E585" s="231">
        <v>4934901</v>
      </c>
      <c r="F585" s="231" t="s">
        <v>1924</v>
      </c>
      <c r="G585" s="392">
        <v>623191</v>
      </c>
      <c r="H585" s="392">
        <v>694455</v>
      </c>
      <c r="I585" s="392">
        <v>367253</v>
      </c>
      <c r="J585" s="231">
        <v>67931</v>
      </c>
      <c r="K585" s="231">
        <v>1752830</v>
      </c>
      <c r="L585" s="231"/>
      <c r="M585" s="225">
        <v>0</v>
      </c>
      <c r="N585" s="225">
        <v>0</v>
      </c>
      <c r="O585" s="231">
        <v>58082</v>
      </c>
      <c r="P585" s="231">
        <v>58082</v>
      </c>
      <c r="Q585" s="231"/>
      <c r="R585" s="392">
        <v>1697076</v>
      </c>
      <c r="S585" s="231">
        <v>-25470</v>
      </c>
      <c r="T585" s="396">
        <v>1671606</v>
      </c>
      <c r="U585" s="231"/>
      <c r="V585" s="396"/>
      <c r="W585" s="396"/>
      <c r="X585" s="396">
        <v>10012377</v>
      </c>
      <c r="Y585" s="396">
        <v>715162</v>
      </c>
    </row>
    <row r="586" spans="1:25">
      <c r="A586" s="390">
        <v>96312</v>
      </c>
      <c r="B586" s="391" t="s">
        <v>1282</v>
      </c>
      <c r="C586" s="234">
        <v>1.7799999999999999E-5</v>
      </c>
      <c r="D586" s="234">
        <v>5.8000000000000004E-6</v>
      </c>
      <c r="E586" s="231">
        <v>63607</v>
      </c>
      <c r="F586" s="231" t="s">
        <v>1924</v>
      </c>
      <c r="G586" s="392">
        <v>8032</v>
      </c>
      <c r="H586" s="392">
        <v>8951</v>
      </c>
      <c r="I586" s="392">
        <v>4734</v>
      </c>
      <c r="J586" s="231">
        <v>13704</v>
      </c>
      <c r="K586" s="231">
        <v>35421</v>
      </c>
      <c r="L586" s="231"/>
      <c r="M586" s="225">
        <v>0</v>
      </c>
      <c r="N586" s="225">
        <v>0</v>
      </c>
      <c r="O586" s="231">
        <v>3350</v>
      </c>
      <c r="P586" s="231">
        <v>3350</v>
      </c>
      <c r="Q586" s="231"/>
      <c r="R586" s="392">
        <v>21874</v>
      </c>
      <c r="S586" s="231">
        <v>4019</v>
      </c>
      <c r="T586" s="396">
        <v>25893</v>
      </c>
      <c r="U586" s="231"/>
      <c r="V586" s="396"/>
      <c r="W586" s="396"/>
      <c r="X586" s="396">
        <v>129052</v>
      </c>
      <c r="Y586" s="396">
        <v>9218</v>
      </c>
    </row>
    <row r="587" spans="1:25">
      <c r="A587" s="390">
        <v>96318</v>
      </c>
      <c r="B587" s="391" t="s">
        <v>1283</v>
      </c>
      <c r="C587" s="234">
        <v>2.3511999999999999E-3</v>
      </c>
      <c r="D587" s="234">
        <v>2.2319000000000002E-3</v>
      </c>
      <c r="E587" s="231">
        <v>8401839</v>
      </c>
      <c r="F587" s="231" t="s">
        <v>1924</v>
      </c>
      <c r="G587" s="392">
        <v>1061005</v>
      </c>
      <c r="H587" s="392">
        <v>1182334</v>
      </c>
      <c r="I587" s="392">
        <v>625262</v>
      </c>
      <c r="J587" s="231">
        <v>476952</v>
      </c>
      <c r="K587" s="231">
        <v>3345553</v>
      </c>
      <c r="L587" s="231"/>
      <c r="M587" s="225">
        <v>0</v>
      </c>
      <c r="N587" s="225">
        <v>0</v>
      </c>
      <c r="O587" s="231">
        <v>0</v>
      </c>
      <c r="P587" s="231">
        <v>0</v>
      </c>
      <c r="Q587" s="231"/>
      <c r="R587" s="392">
        <v>2889331</v>
      </c>
      <c r="S587" s="231">
        <v>2444445</v>
      </c>
      <c r="T587" s="396">
        <v>5333776</v>
      </c>
      <c r="U587" s="231"/>
      <c r="V587" s="396"/>
      <c r="W587" s="396"/>
      <c r="X587" s="396">
        <v>17046416</v>
      </c>
      <c r="Y587" s="396">
        <v>1217588</v>
      </c>
    </row>
    <row r="588" spans="1:25">
      <c r="A588" s="390">
        <v>96321</v>
      </c>
      <c r="B588" s="391" t="s">
        <v>1284</v>
      </c>
      <c r="C588" s="234">
        <v>5.0000000000000002E-5</v>
      </c>
      <c r="D588" s="234">
        <v>3.65E-5</v>
      </c>
      <c r="E588" s="231">
        <v>178671</v>
      </c>
      <c r="F588" s="231" t="s">
        <v>1924</v>
      </c>
      <c r="G588" s="392">
        <v>22563</v>
      </c>
      <c r="H588" s="392">
        <v>25143</v>
      </c>
      <c r="I588" s="392">
        <v>13297</v>
      </c>
      <c r="J588" s="231">
        <v>13577</v>
      </c>
      <c r="K588" s="231">
        <v>74580</v>
      </c>
      <c r="L588" s="231"/>
      <c r="M588" s="225">
        <v>0</v>
      </c>
      <c r="N588" s="225">
        <v>0</v>
      </c>
      <c r="O588" s="231">
        <v>0</v>
      </c>
      <c r="P588" s="231">
        <v>0</v>
      </c>
      <c r="Q588" s="231"/>
      <c r="R588" s="392">
        <v>61444</v>
      </c>
      <c r="S588" s="231">
        <v>4148</v>
      </c>
      <c r="T588" s="396">
        <v>65592</v>
      </c>
      <c r="U588" s="231"/>
      <c r="V588" s="396"/>
      <c r="W588" s="396"/>
      <c r="X588" s="396">
        <v>362505</v>
      </c>
      <c r="Y588" s="396">
        <v>25893</v>
      </c>
    </row>
    <row r="589" spans="1:25">
      <c r="A589" s="390">
        <v>96331</v>
      </c>
      <c r="B589" s="391" t="s">
        <v>1285</v>
      </c>
      <c r="C589" s="234">
        <v>6.9510000000000004E-4</v>
      </c>
      <c r="D589" s="234">
        <v>7.4430000000000004E-4</v>
      </c>
      <c r="E589" s="231">
        <v>2483888</v>
      </c>
      <c r="F589" s="231" t="s">
        <v>1924</v>
      </c>
      <c r="G589" s="392">
        <v>313672</v>
      </c>
      <c r="H589" s="392">
        <v>349541</v>
      </c>
      <c r="I589" s="392">
        <v>184850</v>
      </c>
      <c r="J589" s="231">
        <v>0</v>
      </c>
      <c r="K589" s="231">
        <v>848063</v>
      </c>
      <c r="L589" s="231"/>
      <c r="M589" s="225">
        <v>0</v>
      </c>
      <c r="N589" s="225">
        <v>0</v>
      </c>
      <c r="O589" s="231">
        <v>111531</v>
      </c>
      <c r="P589" s="231">
        <v>111531</v>
      </c>
      <c r="Q589" s="231"/>
      <c r="R589" s="392">
        <v>854191</v>
      </c>
      <c r="S589" s="231">
        <v>-52397</v>
      </c>
      <c r="T589" s="396">
        <v>801794</v>
      </c>
      <c r="U589" s="231"/>
      <c r="V589" s="396"/>
      <c r="W589" s="396"/>
      <c r="X589" s="396">
        <v>5039539</v>
      </c>
      <c r="Y589" s="396">
        <v>359963</v>
      </c>
    </row>
    <row r="590" spans="1:25">
      <c r="A590" s="390">
        <v>96341</v>
      </c>
      <c r="B590" s="391" t="s">
        <v>1286</v>
      </c>
      <c r="C590" s="234">
        <v>5.9599999999999999E-5</v>
      </c>
      <c r="D590" s="234">
        <v>7.8200000000000003E-5</v>
      </c>
      <c r="E590" s="231">
        <v>212976</v>
      </c>
      <c r="F590" s="231" t="s">
        <v>1924</v>
      </c>
      <c r="G590" s="392">
        <v>26895</v>
      </c>
      <c r="H590" s="392">
        <v>29971</v>
      </c>
      <c r="I590" s="392">
        <v>15850</v>
      </c>
      <c r="J590" s="231">
        <v>1588</v>
      </c>
      <c r="K590" s="231">
        <v>74304</v>
      </c>
      <c r="L590" s="231"/>
      <c r="M590" s="225">
        <v>0</v>
      </c>
      <c r="N590" s="225">
        <v>0</v>
      </c>
      <c r="O590" s="231">
        <v>31180</v>
      </c>
      <c r="P590" s="231">
        <v>31180</v>
      </c>
      <c r="Q590" s="231"/>
      <c r="R590" s="392">
        <v>73241</v>
      </c>
      <c r="S590" s="231">
        <v>-10551</v>
      </c>
      <c r="T590" s="396">
        <v>62690</v>
      </c>
      <c r="U590" s="231"/>
      <c r="V590" s="396"/>
      <c r="W590" s="396"/>
      <c r="X590" s="396">
        <v>432105</v>
      </c>
      <c r="Y590" s="396">
        <v>30864</v>
      </c>
    </row>
    <row r="591" spans="1:25">
      <c r="A591" s="390">
        <v>96351</v>
      </c>
      <c r="B591" s="391" t="s">
        <v>1287</v>
      </c>
      <c r="C591" s="234">
        <v>1.0456E-3</v>
      </c>
      <c r="D591" s="234">
        <v>1.0093000000000001E-3</v>
      </c>
      <c r="E591" s="231">
        <v>3736374</v>
      </c>
      <c r="F591" s="231" t="s">
        <v>1924</v>
      </c>
      <c r="G591" s="392">
        <v>471839</v>
      </c>
      <c r="H591" s="392">
        <v>525794</v>
      </c>
      <c r="I591" s="392">
        <v>278060</v>
      </c>
      <c r="J591" s="231">
        <v>48896</v>
      </c>
      <c r="K591" s="231">
        <v>1324589</v>
      </c>
      <c r="L591" s="231"/>
      <c r="M591" s="225">
        <v>0</v>
      </c>
      <c r="N591" s="225">
        <v>0</v>
      </c>
      <c r="O591" s="231">
        <v>27389</v>
      </c>
      <c r="P591" s="231">
        <v>27389</v>
      </c>
      <c r="Q591" s="231"/>
      <c r="R591" s="392">
        <v>1284912</v>
      </c>
      <c r="S591" s="231">
        <v>-1766</v>
      </c>
      <c r="T591" s="396">
        <v>1283146</v>
      </c>
      <c r="U591" s="231"/>
      <c r="V591" s="396"/>
      <c r="W591" s="396"/>
      <c r="X591" s="396">
        <v>7580696</v>
      </c>
      <c r="Y591" s="396">
        <v>541472</v>
      </c>
    </row>
    <row r="592" spans="1:25">
      <c r="A592" s="390">
        <v>96361</v>
      </c>
      <c r="B592" s="391" t="s">
        <v>1288</v>
      </c>
      <c r="C592" s="234">
        <v>4.7299999999999998E-5</v>
      </c>
      <c r="D592" s="234">
        <v>4.1100000000000003E-5</v>
      </c>
      <c r="E592" s="231">
        <v>169023</v>
      </c>
      <c r="F592" s="231" t="s">
        <v>1924</v>
      </c>
      <c r="G592" s="392">
        <v>21345</v>
      </c>
      <c r="H592" s="392">
        <v>23785</v>
      </c>
      <c r="I592" s="392">
        <v>12579</v>
      </c>
      <c r="J592" s="231">
        <v>8705</v>
      </c>
      <c r="K592" s="231">
        <v>66414</v>
      </c>
      <c r="L592" s="231"/>
      <c r="M592" s="225">
        <v>0</v>
      </c>
      <c r="N592" s="225">
        <v>0</v>
      </c>
      <c r="O592" s="231">
        <v>5604</v>
      </c>
      <c r="P592" s="231">
        <v>5604</v>
      </c>
      <c r="Q592" s="231"/>
      <c r="R592" s="392">
        <v>58126</v>
      </c>
      <c r="S592" s="231">
        <v>974</v>
      </c>
      <c r="T592" s="396">
        <v>59100</v>
      </c>
      <c r="U592" s="231"/>
      <c r="V592" s="396"/>
      <c r="W592" s="396"/>
      <c r="X592" s="396">
        <v>342929</v>
      </c>
      <c r="Y592" s="396">
        <v>24495</v>
      </c>
    </row>
    <row r="593" spans="1:25">
      <c r="A593" s="390">
        <v>96371</v>
      </c>
      <c r="B593" s="391" t="s">
        <v>1289</v>
      </c>
      <c r="C593" s="234">
        <v>1.5330000000000001E-4</v>
      </c>
      <c r="D593" s="234">
        <v>1.5100000000000001E-4</v>
      </c>
      <c r="E593" s="231">
        <v>547806</v>
      </c>
      <c r="F593" s="231" t="s">
        <v>1924</v>
      </c>
      <c r="G593" s="392">
        <v>69178</v>
      </c>
      <c r="H593" s="392">
        <v>77089</v>
      </c>
      <c r="I593" s="392">
        <v>40768</v>
      </c>
      <c r="J593" s="231">
        <v>11551</v>
      </c>
      <c r="K593" s="231">
        <v>198586</v>
      </c>
      <c r="L593" s="231"/>
      <c r="M593" s="225">
        <v>0</v>
      </c>
      <c r="N593" s="225">
        <v>0</v>
      </c>
      <c r="O593" s="231">
        <v>5214</v>
      </c>
      <c r="P593" s="231">
        <v>5214</v>
      </c>
      <c r="Q593" s="231"/>
      <c r="R593" s="392">
        <v>188387</v>
      </c>
      <c r="S593" s="231">
        <v>-1213</v>
      </c>
      <c r="T593" s="396">
        <v>187174</v>
      </c>
      <c r="U593" s="231"/>
      <c r="V593" s="396"/>
      <c r="W593" s="396"/>
      <c r="X593" s="396">
        <v>1111439</v>
      </c>
      <c r="Y593" s="396">
        <v>79388</v>
      </c>
    </row>
    <row r="594" spans="1:25">
      <c r="A594" s="390">
        <v>96381</v>
      </c>
      <c r="B594" s="391" t="s">
        <v>1290</v>
      </c>
      <c r="C594" s="234">
        <v>3.0700000000000001E-5</v>
      </c>
      <c r="D594" s="234">
        <v>3.2799999999999998E-5</v>
      </c>
      <c r="E594" s="231">
        <v>109704</v>
      </c>
      <c r="F594" s="231" t="s">
        <v>1924</v>
      </c>
      <c r="G594" s="392">
        <v>13854</v>
      </c>
      <c r="H594" s="392">
        <v>15438</v>
      </c>
      <c r="I594" s="392">
        <v>8164</v>
      </c>
      <c r="J594" s="231">
        <v>812</v>
      </c>
      <c r="K594" s="231">
        <v>38268</v>
      </c>
      <c r="L594" s="231"/>
      <c r="M594" s="225">
        <v>0</v>
      </c>
      <c r="N594" s="225">
        <v>0</v>
      </c>
      <c r="O594" s="231">
        <v>3068</v>
      </c>
      <c r="P594" s="231">
        <v>3068</v>
      </c>
      <c r="Q594" s="231"/>
      <c r="R594" s="392">
        <v>37726</v>
      </c>
      <c r="S594" s="231">
        <v>-575</v>
      </c>
      <c r="T594" s="396">
        <v>37151</v>
      </c>
      <c r="U594" s="231"/>
      <c r="V594" s="396"/>
      <c r="W594" s="396"/>
      <c r="X594" s="396">
        <v>222578</v>
      </c>
      <c r="Y594" s="396">
        <v>15898</v>
      </c>
    </row>
    <row r="595" spans="1:25">
      <c r="A595" s="390">
        <v>96391</v>
      </c>
      <c r="B595" s="391" t="s">
        <v>1291</v>
      </c>
      <c r="C595" s="234">
        <v>2.14E-4</v>
      </c>
      <c r="D595" s="234">
        <v>2.0560000000000001E-4</v>
      </c>
      <c r="E595" s="231">
        <v>764713</v>
      </c>
      <c r="F595" s="231" t="s">
        <v>1924</v>
      </c>
      <c r="G595" s="392">
        <v>96570</v>
      </c>
      <c r="H595" s="392">
        <v>107613</v>
      </c>
      <c r="I595" s="392">
        <v>56910</v>
      </c>
      <c r="J595" s="231">
        <v>0</v>
      </c>
      <c r="K595" s="231">
        <v>261093</v>
      </c>
      <c r="L595" s="231"/>
      <c r="M595" s="225">
        <v>0</v>
      </c>
      <c r="N595" s="225">
        <v>0</v>
      </c>
      <c r="O595" s="231">
        <v>34147</v>
      </c>
      <c r="P595" s="231">
        <v>34147</v>
      </c>
      <c r="Q595" s="231"/>
      <c r="R595" s="392">
        <v>262979</v>
      </c>
      <c r="S595" s="231">
        <v>-15369</v>
      </c>
      <c r="T595" s="396">
        <v>247610</v>
      </c>
      <c r="U595" s="231"/>
      <c r="V595" s="396"/>
      <c r="W595" s="396"/>
      <c r="X595" s="396">
        <v>1551520</v>
      </c>
      <c r="Y595" s="396">
        <v>110822</v>
      </c>
    </row>
    <row r="596" spans="1:25">
      <c r="A596" s="390">
        <v>96401</v>
      </c>
      <c r="B596" s="391" t="s">
        <v>1292</v>
      </c>
      <c r="C596" s="234">
        <v>4.3227999999999999E-3</v>
      </c>
      <c r="D596" s="234">
        <v>4.3956000000000004E-3</v>
      </c>
      <c r="E596" s="231">
        <v>15447206</v>
      </c>
      <c r="F596" s="231" t="s">
        <v>1924</v>
      </c>
      <c r="G596" s="392">
        <v>1950711</v>
      </c>
      <c r="H596" s="392">
        <v>2173780</v>
      </c>
      <c r="I596" s="392">
        <v>1149575</v>
      </c>
      <c r="J596" s="231">
        <v>0</v>
      </c>
      <c r="K596" s="231">
        <v>5274066</v>
      </c>
      <c r="L596" s="231"/>
      <c r="M596" s="225">
        <v>0</v>
      </c>
      <c r="N596" s="225">
        <v>0</v>
      </c>
      <c r="O596" s="231">
        <v>143857</v>
      </c>
      <c r="P596" s="231">
        <v>143857</v>
      </c>
      <c r="Q596" s="231"/>
      <c r="R596" s="392">
        <v>5312181</v>
      </c>
      <c r="S596" s="231">
        <v>-70355</v>
      </c>
      <c r="T596" s="396">
        <v>5241826</v>
      </c>
      <c r="U596" s="231"/>
      <c r="V596" s="396"/>
      <c r="W596" s="396"/>
      <c r="X596" s="396">
        <v>31340698</v>
      </c>
      <c r="Y596" s="396">
        <v>2238597</v>
      </c>
    </row>
    <row r="597" spans="1:25">
      <c r="A597" s="390">
        <v>96404</v>
      </c>
      <c r="B597" s="391" t="s">
        <v>1293</v>
      </c>
      <c r="C597" s="234">
        <v>9.4300000000000002E-5</v>
      </c>
      <c r="D597" s="234">
        <v>9.8300000000000004E-5</v>
      </c>
      <c r="E597" s="231">
        <v>336974</v>
      </c>
      <c r="F597" s="231" t="s">
        <v>1924</v>
      </c>
      <c r="G597" s="392">
        <v>42554</v>
      </c>
      <c r="H597" s="392">
        <v>47420</v>
      </c>
      <c r="I597" s="392">
        <v>25077</v>
      </c>
      <c r="J597" s="231">
        <v>25405</v>
      </c>
      <c r="K597" s="231">
        <v>140456</v>
      </c>
      <c r="L597" s="231"/>
      <c r="M597" s="225">
        <v>0</v>
      </c>
      <c r="N597" s="225">
        <v>0</v>
      </c>
      <c r="O597" s="231">
        <v>0</v>
      </c>
      <c r="P597" s="231">
        <v>0</v>
      </c>
      <c r="Q597" s="231"/>
      <c r="R597" s="392">
        <v>115883</v>
      </c>
      <c r="S597" s="231">
        <v>13795</v>
      </c>
      <c r="T597" s="396">
        <v>129678</v>
      </c>
      <c r="U597" s="231"/>
      <c r="V597" s="396"/>
      <c r="W597" s="396"/>
      <c r="X597" s="396">
        <v>683684</v>
      </c>
      <c r="Y597" s="396">
        <v>48834</v>
      </c>
    </row>
    <row r="598" spans="1:25">
      <c r="A598" s="390">
        <v>96405</v>
      </c>
      <c r="B598" s="391" t="s">
        <v>1294</v>
      </c>
      <c r="C598" s="234">
        <v>1.2889999999999999E-4</v>
      </c>
      <c r="D598" s="234">
        <v>1.4569999999999999E-4</v>
      </c>
      <c r="E598" s="231">
        <v>460615</v>
      </c>
      <c r="F598" s="231" t="s">
        <v>1924</v>
      </c>
      <c r="G598" s="392">
        <v>58168</v>
      </c>
      <c r="H598" s="392">
        <v>64819</v>
      </c>
      <c r="I598" s="392">
        <v>34279</v>
      </c>
      <c r="J598" s="231">
        <v>18976</v>
      </c>
      <c r="K598" s="231">
        <v>176242</v>
      </c>
      <c r="L598" s="231"/>
      <c r="M598" s="225">
        <v>0</v>
      </c>
      <c r="N598" s="225">
        <v>0</v>
      </c>
      <c r="O598" s="231">
        <v>15075</v>
      </c>
      <c r="P598" s="231">
        <v>15075</v>
      </c>
      <c r="Q598" s="231"/>
      <c r="R598" s="392">
        <v>158402</v>
      </c>
      <c r="S598" s="231">
        <v>959</v>
      </c>
      <c r="T598" s="396">
        <v>159361</v>
      </c>
      <c r="U598" s="231"/>
      <c r="V598" s="396"/>
      <c r="W598" s="396"/>
      <c r="X598" s="396">
        <v>934537</v>
      </c>
      <c r="Y598" s="396">
        <v>66752</v>
      </c>
    </row>
    <row r="599" spans="1:25">
      <c r="A599" s="390">
        <v>96411</v>
      </c>
      <c r="B599" s="391" t="s">
        <v>1295</v>
      </c>
      <c r="C599" s="234">
        <v>6.8200000000000004E-5</v>
      </c>
      <c r="D599" s="234">
        <v>7.0900000000000002E-5</v>
      </c>
      <c r="E599" s="231">
        <v>243708</v>
      </c>
      <c r="F599" s="231" t="s">
        <v>1924</v>
      </c>
      <c r="G599" s="392">
        <v>30776</v>
      </c>
      <c r="H599" s="392">
        <v>34296</v>
      </c>
      <c r="I599" s="392">
        <v>18137</v>
      </c>
      <c r="J599" s="231">
        <v>1750</v>
      </c>
      <c r="K599" s="231">
        <v>84959</v>
      </c>
      <c r="L599" s="231"/>
      <c r="M599" s="225">
        <v>0</v>
      </c>
      <c r="N599" s="225">
        <v>0</v>
      </c>
      <c r="O599" s="231">
        <v>11309</v>
      </c>
      <c r="P599" s="231">
        <v>11309</v>
      </c>
      <c r="Q599" s="231"/>
      <c r="R599" s="392">
        <v>83809</v>
      </c>
      <c r="S599" s="231">
        <v>-3213</v>
      </c>
      <c r="T599" s="396">
        <v>80596</v>
      </c>
      <c r="U599" s="231"/>
      <c r="V599" s="396"/>
      <c r="W599" s="396"/>
      <c r="X599" s="396">
        <v>494456</v>
      </c>
      <c r="Y599" s="396">
        <v>35318</v>
      </c>
    </row>
    <row r="600" spans="1:25">
      <c r="A600" s="390">
        <v>96421</v>
      </c>
      <c r="B600" s="391" t="s">
        <v>1296</v>
      </c>
      <c r="C600" s="234">
        <v>4.2299999999999998E-4</v>
      </c>
      <c r="D600" s="234">
        <v>3.8010000000000002E-4</v>
      </c>
      <c r="E600" s="231">
        <v>1511559</v>
      </c>
      <c r="F600" s="231" t="s">
        <v>1924</v>
      </c>
      <c r="G600" s="392">
        <v>190883</v>
      </c>
      <c r="H600" s="392">
        <v>212711</v>
      </c>
      <c r="I600" s="392">
        <v>112490</v>
      </c>
      <c r="J600" s="231">
        <v>18256</v>
      </c>
      <c r="K600" s="231">
        <v>534340</v>
      </c>
      <c r="L600" s="231"/>
      <c r="M600" s="225">
        <v>0</v>
      </c>
      <c r="N600" s="225">
        <v>0</v>
      </c>
      <c r="O600" s="231">
        <v>57079</v>
      </c>
      <c r="P600" s="231">
        <v>57079</v>
      </c>
      <c r="Q600" s="231"/>
      <c r="R600" s="392">
        <v>519814</v>
      </c>
      <c r="S600" s="231">
        <v>-26574</v>
      </c>
      <c r="T600" s="396">
        <v>493240</v>
      </c>
      <c r="U600" s="231"/>
      <c r="V600" s="396"/>
      <c r="W600" s="396"/>
      <c r="X600" s="396">
        <v>3066789</v>
      </c>
      <c r="Y600" s="396">
        <v>219054</v>
      </c>
    </row>
    <row r="601" spans="1:25">
      <c r="A601" s="390">
        <v>96431</v>
      </c>
      <c r="B601" s="391" t="s">
        <v>1297</v>
      </c>
      <c r="C601" s="234">
        <v>4.85E-5</v>
      </c>
      <c r="D601" s="234">
        <v>3.3599999999999997E-5</v>
      </c>
      <c r="E601" s="231">
        <v>173311</v>
      </c>
      <c r="F601" s="231" t="s">
        <v>1924</v>
      </c>
      <c r="G601" s="392">
        <v>21886</v>
      </c>
      <c r="H601" s="392">
        <v>24389</v>
      </c>
      <c r="I601" s="392">
        <v>12898</v>
      </c>
      <c r="J601" s="231">
        <v>28264</v>
      </c>
      <c r="K601" s="231">
        <v>87437</v>
      </c>
      <c r="L601" s="231"/>
      <c r="M601" s="225">
        <v>0</v>
      </c>
      <c r="N601" s="225">
        <v>0</v>
      </c>
      <c r="O601" s="231">
        <v>3516</v>
      </c>
      <c r="P601" s="231">
        <v>3516</v>
      </c>
      <c r="Q601" s="231"/>
      <c r="R601" s="392">
        <v>59600</v>
      </c>
      <c r="S601" s="231">
        <v>8602</v>
      </c>
      <c r="T601" s="396">
        <v>68202</v>
      </c>
      <c r="U601" s="231"/>
      <c r="V601" s="396"/>
      <c r="W601" s="396"/>
      <c r="X601" s="396">
        <v>351629</v>
      </c>
      <c r="Y601" s="396">
        <v>25116</v>
      </c>
    </row>
    <row r="602" spans="1:25">
      <c r="A602" s="390">
        <v>96441</v>
      </c>
      <c r="B602" s="391" t="s">
        <v>1298</v>
      </c>
      <c r="C602" s="234">
        <v>2.9300000000000001E-5</v>
      </c>
      <c r="D602" s="234">
        <v>1.8499999999999999E-5</v>
      </c>
      <c r="E602" s="231">
        <v>104701</v>
      </c>
      <c r="F602" s="231" t="s">
        <v>1924</v>
      </c>
      <c r="G602" s="392">
        <v>13222</v>
      </c>
      <c r="H602" s="392">
        <v>14734</v>
      </c>
      <c r="I602" s="392">
        <v>7792</v>
      </c>
      <c r="J602" s="231">
        <v>13878</v>
      </c>
      <c r="K602" s="231">
        <v>49626</v>
      </c>
      <c r="L602" s="231"/>
      <c r="M602" s="225">
        <v>0</v>
      </c>
      <c r="N602" s="225">
        <v>0</v>
      </c>
      <c r="O602" s="231">
        <v>2999</v>
      </c>
      <c r="P602" s="231">
        <v>2999</v>
      </c>
      <c r="Q602" s="231"/>
      <c r="R602" s="392">
        <v>36006</v>
      </c>
      <c r="S602" s="231">
        <v>4118</v>
      </c>
      <c r="T602" s="396">
        <v>40124</v>
      </c>
      <c r="U602" s="231"/>
      <c r="V602" s="396"/>
      <c r="W602" s="396"/>
      <c r="X602" s="396">
        <v>212428</v>
      </c>
      <c r="Y602" s="396">
        <v>15173</v>
      </c>
    </row>
    <row r="603" spans="1:25">
      <c r="A603" s="390">
        <v>96451</v>
      </c>
      <c r="B603" s="391" t="s">
        <v>1299</v>
      </c>
      <c r="C603" s="234">
        <v>1.31E-5</v>
      </c>
      <c r="D603" s="234">
        <v>7.4000000000000003E-6</v>
      </c>
      <c r="E603" s="231">
        <v>46812</v>
      </c>
      <c r="F603" s="231" t="s">
        <v>1924</v>
      </c>
      <c r="G603" s="392">
        <v>5912</v>
      </c>
      <c r="H603" s="392">
        <v>6588</v>
      </c>
      <c r="I603" s="392">
        <v>3484</v>
      </c>
      <c r="J603" s="231">
        <v>11059</v>
      </c>
      <c r="K603" s="231">
        <v>27043</v>
      </c>
      <c r="L603" s="231"/>
      <c r="M603" s="225">
        <v>0</v>
      </c>
      <c r="N603" s="225">
        <v>0</v>
      </c>
      <c r="O603" s="231">
        <v>5521</v>
      </c>
      <c r="P603" s="231">
        <v>5521</v>
      </c>
      <c r="Q603" s="231"/>
      <c r="R603" s="392">
        <v>16098</v>
      </c>
      <c r="S603" s="231">
        <v>3142</v>
      </c>
      <c r="T603" s="396">
        <v>19240</v>
      </c>
      <c r="U603" s="231"/>
      <c r="V603" s="396"/>
      <c r="W603" s="396"/>
      <c r="X603" s="396">
        <v>94976</v>
      </c>
      <c r="Y603" s="396">
        <v>6784</v>
      </c>
    </row>
    <row r="604" spans="1:25">
      <c r="A604" s="390">
        <v>96461</v>
      </c>
      <c r="B604" s="391" t="s">
        <v>1300</v>
      </c>
      <c r="C604" s="234">
        <v>1.294E-4</v>
      </c>
      <c r="D604" s="234">
        <v>1.361E-4</v>
      </c>
      <c r="E604" s="231">
        <v>462401</v>
      </c>
      <c r="F604" s="231" t="s">
        <v>1924</v>
      </c>
      <c r="G604" s="392">
        <v>58393</v>
      </c>
      <c r="H604" s="392">
        <v>65071</v>
      </c>
      <c r="I604" s="392">
        <v>34412</v>
      </c>
      <c r="J604" s="231">
        <v>5663</v>
      </c>
      <c r="K604" s="231">
        <v>163539</v>
      </c>
      <c r="L604" s="231"/>
      <c r="M604" s="225">
        <v>0</v>
      </c>
      <c r="N604" s="225">
        <v>0</v>
      </c>
      <c r="O604" s="231">
        <v>26651</v>
      </c>
      <c r="P604" s="231">
        <v>26651</v>
      </c>
      <c r="Q604" s="231"/>
      <c r="R604" s="392">
        <v>159016</v>
      </c>
      <c r="S604" s="231">
        <v>-8070</v>
      </c>
      <c r="T604" s="396">
        <v>150946</v>
      </c>
      <c r="U604" s="231"/>
      <c r="V604" s="396"/>
      <c r="W604" s="396"/>
      <c r="X604" s="396">
        <v>938162</v>
      </c>
      <c r="Y604" s="396">
        <v>67011</v>
      </c>
    </row>
    <row r="605" spans="1:25">
      <c r="A605" s="390">
        <v>96501</v>
      </c>
      <c r="B605" s="391" t="s">
        <v>1301</v>
      </c>
      <c r="C605" s="234">
        <v>1.4739800000000001E-2</v>
      </c>
      <c r="D605" s="234">
        <v>1.46477E-2</v>
      </c>
      <c r="E605" s="231">
        <v>52671585</v>
      </c>
      <c r="F605" s="231" t="s">
        <v>1924</v>
      </c>
      <c r="G605" s="392">
        <v>6651497</v>
      </c>
      <c r="H605" s="392">
        <v>7412115</v>
      </c>
      <c r="I605" s="392">
        <v>3919799</v>
      </c>
      <c r="J605" s="231">
        <v>180222</v>
      </c>
      <c r="K605" s="231">
        <v>18163633</v>
      </c>
      <c r="L605" s="231"/>
      <c r="M605" s="225">
        <v>0</v>
      </c>
      <c r="N605" s="225">
        <v>0</v>
      </c>
      <c r="O605" s="231">
        <v>45177</v>
      </c>
      <c r="P605" s="231">
        <v>45177</v>
      </c>
      <c r="Q605" s="231"/>
      <c r="R605" s="392">
        <v>18113372</v>
      </c>
      <c r="S605" s="231">
        <v>-47875</v>
      </c>
      <c r="T605" s="396">
        <v>18065497</v>
      </c>
      <c r="U605" s="231"/>
      <c r="V605" s="396"/>
      <c r="W605" s="396"/>
      <c r="X605" s="396">
        <v>106864906</v>
      </c>
      <c r="Y605" s="396">
        <v>7633123</v>
      </c>
    </row>
    <row r="606" spans="1:25">
      <c r="A606" s="390">
        <v>96502</v>
      </c>
      <c r="B606" s="391" t="s">
        <v>1302</v>
      </c>
      <c r="C606" s="234">
        <v>3.3369999999999998E-4</v>
      </c>
      <c r="D606" s="234">
        <v>4.082E-4</v>
      </c>
      <c r="E606" s="231">
        <v>1192452</v>
      </c>
      <c r="F606" s="231" t="s">
        <v>1924</v>
      </c>
      <c r="G606" s="392">
        <v>150586</v>
      </c>
      <c r="H606" s="392">
        <v>167806</v>
      </c>
      <c r="I606" s="392">
        <v>88742</v>
      </c>
      <c r="J606" s="231">
        <v>11179</v>
      </c>
      <c r="K606" s="231">
        <v>418313</v>
      </c>
      <c r="L606" s="231"/>
      <c r="M606" s="225">
        <v>0</v>
      </c>
      <c r="N606" s="225">
        <v>0</v>
      </c>
      <c r="O606" s="231">
        <v>72827</v>
      </c>
      <c r="P606" s="231">
        <v>72827</v>
      </c>
      <c r="Q606" s="231"/>
      <c r="R606" s="392">
        <v>410076</v>
      </c>
      <c r="S606" s="231">
        <v>-15499</v>
      </c>
      <c r="T606" s="396">
        <v>394577</v>
      </c>
      <c r="U606" s="231"/>
      <c r="V606" s="396"/>
      <c r="W606" s="396"/>
      <c r="X606" s="396">
        <v>2419356</v>
      </c>
      <c r="Y606" s="396">
        <v>172809</v>
      </c>
    </row>
    <row r="607" spans="1:25">
      <c r="A607" s="390">
        <v>96503</v>
      </c>
      <c r="B607" s="391" t="s">
        <v>1939</v>
      </c>
      <c r="C607" s="234">
        <v>2.81E-4</v>
      </c>
      <c r="D607" s="234">
        <v>3.1940000000000001E-4</v>
      </c>
      <c r="E607" s="231">
        <v>1004133</v>
      </c>
      <c r="F607" s="231" t="s">
        <v>1924</v>
      </c>
      <c r="G607" s="392">
        <v>126804</v>
      </c>
      <c r="H607" s="392">
        <v>141305</v>
      </c>
      <c r="I607" s="392">
        <v>74727</v>
      </c>
      <c r="J607" s="231">
        <v>237609</v>
      </c>
      <c r="K607" s="231">
        <v>580445</v>
      </c>
      <c r="L607" s="231"/>
      <c r="M607" s="225">
        <v>0</v>
      </c>
      <c r="N607" s="225">
        <v>0</v>
      </c>
      <c r="O607" s="231">
        <v>9517</v>
      </c>
      <c r="P607" s="231">
        <v>9517</v>
      </c>
      <c r="Q607" s="231"/>
      <c r="R607" s="392">
        <v>345314</v>
      </c>
      <c r="S607" s="231">
        <v>127481</v>
      </c>
      <c r="T607" s="396">
        <v>472795</v>
      </c>
      <c r="U607" s="231"/>
      <c r="V607" s="396"/>
      <c r="W607" s="396"/>
      <c r="X607" s="396">
        <v>2037276</v>
      </c>
      <c r="Y607" s="396">
        <v>145518</v>
      </c>
    </row>
    <row r="608" spans="1:25">
      <c r="A608" s="390">
        <v>96504</v>
      </c>
      <c r="B608" s="391" t="s">
        <v>1304</v>
      </c>
      <c r="C608" s="234">
        <v>3.8099999999999999E-4</v>
      </c>
      <c r="D608" s="234">
        <v>4.3649999999999998E-4</v>
      </c>
      <c r="E608" s="231">
        <v>1361475</v>
      </c>
      <c r="F608" s="231" t="s">
        <v>1924</v>
      </c>
      <c r="G608" s="392">
        <v>171930</v>
      </c>
      <c r="H608" s="392">
        <v>191591</v>
      </c>
      <c r="I608" s="392">
        <v>101320</v>
      </c>
      <c r="J608" s="231">
        <v>24572</v>
      </c>
      <c r="K608" s="231">
        <v>489413</v>
      </c>
      <c r="L608" s="231"/>
      <c r="M608" s="225">
        <v>0</v>
      </c>
      <c r="N608" s="225">
        <v>0</v>
      </c>
      <c r="O608" s="231">
        <v>53091</v>
      </c>
      <c r="P608" s="231">
        <v>53091</v>
      </c>
      <c r="Q608" s="231"/>
      <c r="R608" s="392">
        <v>468201</v>
      </c>
      <c r="S608" s="231">
        <v>-4682</v>
      </c>
      <c r="T608" s="396">
        <v>463519</v>
      </c>
      <c r="U608" s="231"/>
      <c r="V608" s="396"/>
      <c r="W608" s="396"/>
      <c r="X608" s="396">
        <v>2762285</v>
      </c>
      <c r="Y608" s="396">
        <v>197304</v>
      </c>
    </row>
    <row r="609" spans="1:25">
      <c r="A609" s="390">
        <v>96507</v>
      </c>
      <c r="B609" s="391" t="s">
        <v>1305</v>
      </c>
      <c r="C609" s="234">
        <v>2.2848999999999999E-3</v>
      </c>
      <c r="D609" s="234">
        <v>2.3281999999999999E-3</v>
      </c>
      <c r="E609" s="231">
        <v>8164921</v>
      </c>
      <c r="F609" s="231" t="s">
        <v>1924</v>
      </c>
      <c r="G609" s="392">
        <v>1031086</v>
      </c>
      <c r="H609" s="392">
        <v>1148994</v>
      </c>
      <c r="I609" s="392">
        <v>607630</v>
      </c>
      <c r="J609" s="231">
        <v>124729</v>
      </c>
      <c r="K609" s="231">
        <v>2912439</v>
      </c>
      <c r="L609" s="231"/>
      <c r="M609" s="225">
        <v>0</v>
      </c>
      <c r="N609" s="225">
        <v>0</v>
      </c>
      <c r="O609" s="231">
        <v>5697</v>
      </c>
      <c r="P609" s="231">
        <v>5697</v>
      </c>
      <c r="Q609" s="231"/>
      <c r="R609" s="392">
        <v>2807856</v>
      </c>
      <c r="S609" s="231">
        <v>54625</v>
      </c>
      <c r="T609" s="396">
        <v>2862481</v>
      </c>
      <c r="U609" s="231"/>
      <c r="V609" s="396"/>
      <c r="W609" s="396"/>
      <c r="X609" s="396">
        <v>16565735</v>
      </c>
      <c r="Y609" s="396">
        <v>1183254</v>
      </c>
    </row>
    <row r="610" spans="1:25">
      <c r="A610" s="390">
        <v>96508</v>
      </c>
      <c r="B610" s="391" t="s">
        <v>1306</v>
      </c>
      <c r="C610" s="234">
        <v>2.3999999999999999E-6</v>
      </c>
      <c r="D610" s="234">
        <v>5.9000000000000003E-6</v>
      </c>
      <c r="E610" s="231">
        <v>8576</v>
      </c>
      <c r="F610" s="231" t="s">
        <v>1924</v>
      </c>
      <c r="G610" s="392">
        <v>1083</v>
      </c>
      <c r="H610" s="392">
        <v>1206</v>
      </c>
      <c r="I610" s="392">
        <v>638</v>
      </c>
      <c r="J610" s="231">
        <v>11919</v>
      </c>
      <c r="K610" s="231">
        <v>14846</v>
      </c>
      <c r="L610" s="231"/>
      <c r="M610" s="225">
        <v>0</v>
      </c>
      <c r="N610" s="225">
        <v>0</v>
      </c>
      <c r="O610" s="231">
        <v>0</v>
      </c>
      <c r="P610" s="231">
        <v>0</v>
      </c>
      <c r="Q610" s="231"/>
      <c r="R610" s="392">
        <v>2949</v>
      </c>
      <c r="S610" s="231">
        <v>6244</v>
      </c>
      <c r="T610" s="396">
        <v>9193</v>
      </c>
      <c r="U610" s="231"/>
      <c r="V610" s="396"/>
      <c r="W610" s="396"/>
      <c r="X610" s="396">
        <v>17400</v>
      </c>
      <c r="Y610" s="396">
        <v>1243</v>
      </c>
    </row>
    <row r="611" spans="1:25">
      <c r="A611" s="390">
        <v>96511</v>
      </c>
      <c r="B611" s="391" t="s">
        <v>1307</v>
      </c>
      <c r="C611" s="234">
        <v>5.5500000000000005E-4</v>
      </c>
      <c r="D611" s="234">
        <v>6.0519999999999997E-4</v>
      </c>
      <c r="E611" s="231">
        <v>1983251</v>
      </c>
      <c r="F611" s="231" t="s">
        <v>1924</v>
      </c>
      <c r="G611" s="392">
        <v>250450</v>
      </c>
      <c r="H611" s="392">
        <v>279090</v>
      </c>
      <c r="I611" s="392">
        <v>147593</v>
      </c>
      <c r="J611" s="231">
        <v>0</v>
      </c>
      <c r="K611" s="231">
        <v>677133</v>
      </c>
      <c r="L611" s="231"/>
      <c r="M611" s="225">
        <v>0</v>
      </c>
      <c r="N611" s="225">
        <v>0</v>
      </c>
      <c r="O611" s="231">
        <v>76079</v>
      </c>
      <c r="P611" s="231">
        <v>76079</v>
      </c>
      <c r="Q611" s="231"/>
      <c r="R611" s="392">
        <v>682026</v>
      </c>
      <c r="S611" s="231">
        <v>-44977</v>
      </c>
      <c r="T611" s="396">
        <v>637049</v>
      </c>
      <c r="U611" s="231"/>
      <c r="V611" s="396"/>
      <c r="W611" s="396"/>
      <c r="X611" s="396">
        <v>4023801</v>
      </c>
      <c r="Y611" s="396">
        <v>287411</v>
      </c>
    </row>
    <row r="612" spans="1:25">
      <c r="A612" s="390">
        <v>96512</v>
      </c>
      <c r="B612" s="391" t="s">
        <v>1308</v>
      </c>
      <c r="C612" s="234">
        <v>1.3689999999999999E-4</v>
      </c>
      <c r="D612" s="234">
        <v>1.528E-4</v>
      </c>
      <c r="E612" s="231">
        <v>489202</v>
      </c>
      <c r="F612" s="231" t="s">
        <v>1924</v>
      </c>
      <c r="G612" s="392">
        <v>61778</v>
      </c>
      <c r="H612" s="392">
        <v>68842</v>
      </c>
      <c r="I612" s="392">
        <v>36406</v>
      </c>
      <c r="J612" s="231">
        <v>3556</v>
      </c>
      <c r="K612" s="231">
        <v>170582</v>
      </c>
      <c r="L612" s="231"/>
      <c r="M612" s="225">
        <v>0</v>
      </c>
      <c r="N612" s="225">
        <v>0</v>
      </c>
      <c r="O612" s="231">
        <v>15265</v>
      </c>
      <c r="P612" s="231">
        <v>15265</v>
      </c>
      <c r="Q612" s="231"/>
      <c r="R612" s="392">
        <v>168233</v>
      </c>
      <c r="S612" s="231">
        <v>-4284</v>
      </c>
      <c r="T612" s="396">
        <v>163949</v>
      </c>
      <c r="U612" s="231"/>
      <c r="V612" s="396"/>
      <c r="W612" s="396"/>
      <c r="X612" s="396">
        <v>992538</v>
      </c>
      <c r="Y612" s="396">
        <v>70895</v>
      </c>
    </row>
    <row r="613" spans="1:25">
      <c r="A613" s="390">
        <v>96519</v>
      </c>
      <c r="B613" s="391" t="s">
        <v>1615</v>
      </c>
      <c r="C613" s="234">
        <v>0</v>
      </c>
      <c r="D613" s="234">
        <v>0</v>
      </c>
      <c r="E613" s="231">
        <v>0</v>
      </c>
      <c r="F613" s="231" t="s">
        <v>1924</v>
      </c>
      <c r="G613" s="392">
        <v>0</v>
      </c>
      <c r="H613" s="392">
        <v>0</v>
      </c>
      <c r="I613" s="392">
        <v>0</v>
      </c>
      <c r="J613" s="231">
        <v>0</v>
      </c>
      <c r="K613" s="231">
        <v>0</v>
      </c>
      <c r="L613" s="231"/>
      <c r="M613" s="225">
        <v>0</v>
      </c>
      <c r="N613" s="225">
        <v>0</v>
      </c>
      <c r="O613" s="231">
        <v>0</v>
      </c>
      <c r="P613" s="231">
        <v>0</v>
      </c>
      <c r="Q613" s="231"/>
      <c r="R613" s="392">
        <v>0</v>
      </c>
      <c r="S613" s="231">
        <v>-207555</v>
      </c>
      <c r="T613" s="396">
        <v>-207555</v>
      </c>
      <c r="U613" s="231"/>
      <c r="V613" s="396"/>
      <c r="W613" s="396"/>
      <c r="X613" s="396">
        <v>0</v>
      </c>
      <c r="Y613" s="396">
        <v>0</v>
      </c>
    </row>
    <row r="614" spans="1:25">
      <c r="A614" s="390">
        <v>96521</v>
      </c>
      <c r="B614" s="391" t="s">
        <v>1309</v>
      </c>
      <c r="C614" s="234">
        <v>8.9309999999999997E-4</v>
      </c>
      <c r="D614" s="234">
        <v>9.3479999999999995E-4</v>
      </c>
      <c r="E614" s="231">
        <v>3191427</v>
      </c>
      <c r="F614" s="231" t="s">
        <v>1924</v>
      </c>
      <c r="G614" s="392">
        <v>403021</v>
      </c>
      <c r="H614" s="392">
        <v>449108</v>
      </c>
      <c r="I614" s="392">
        <v>237505</v>
      </c>
      <c r="J614" s="231">
        <v>0</v>
      </c>
      <c r="K614" s="231">
        <v>1089634</v>
      </c>
      <c r="L614" s="231"/>
      <c r="M614" s="225">
        <v>0</v>
      </c>
      <c r="N614" s="225">
        <v>0</v>
      </c>
      <c r="O614" s="231">
        <v>143966</v>
      </c>
      <c r="P614" s="231">
        <v>143966</v>
      </c>
      <c r="Q614" s="231"/>
      <c r="R614" s="392">
        <v>1097508</v>
      </c>
      <c r="S614" s="231">
        <v>-58392</v>
      </c>
      <c r="T614" s="396">
        <v>1039116</v>
      </c>
      <c r="U614" s="231"/>
      <c r="V614" s="396"/>
      <c r="W614" s="396"/>
      <c r="X614" s="396">
        <v>6475057</v>
      </c>
      <c r="Y614" s="396">
        <v>462499</v>
      </c>
    </row>
    <row r="615" spans="1:25">
      <c r="A615" s="390">
        <v>96531</v>
      </c>
      <c r="B615" s="391" t="s">
        <v>1310</v>
      </c>
      <c r="C615" s="234">
        <v>8.2658999999999996E-3</v>
      </c>
      <c r="D615" s="234">
        <v>8.6105999999999995E-3</v>
      </c>
      <c r="E615" s="231">
        <v>29537582</v>
      </c>
      <c r="F615" s="231" t="s">
        <v>1924</v>
      </c>
      <c r="G615" s="392">
        <v>3730078</v>
      </c>
      <c r="H615" s="392">
        <v>4156623</v>
      </c>
      <c r="I615" s="392">
        <v>2198176</v>
      </c>
      <c r="J615" s="231">
        <v>0</v>
      </c>
      <c r="K615" s="231">
        <v>10084877</v>
      </c>
      <c r="L615" s="231"/>
      <c r="M615" s="225">
        <v>0</v>
      </c>
      <c r="N615" s="225">
        <v>0</v>
      </c>
      <c r="O615" s="231">
        <v>703623</v>
      </c>
      <c r="P615" s="231">
        <v>703623</v>
      </c>
      <c r="Q615" s="231"/>
      <c r="R615" s="392">
        <v>10157758</v>
      </c>
      <c r="S615" s="231">
        <v>-342790</v>
      </c>
      <c r="T615" s="396">
        <v>9814968</v>
      </c>
      <c r="U615" s="231"/>
      <c r="V615" s="396"/>
      <c r="W615" s="396"/>
      <c r="X615" s="396">
        <v>59928535</v>
      </c>
      <c r="Y615" s="396">
        <v>4280562</v>
      </c>
    </row>
    <row r="616" spans="1:25">
      <c r="A616" s="390">
        <v>96541</v>
      </c>
      <c r="B616" s="391" t="s">
        <v>1311</v>
      </c>
      <c r="C616" s="234">
        <v>4.06E-4</v>
      </c>
      <c r="D616" s="234">
        <v>3.8709999999999998E-4</v>
      </c>
      <c r="E616" s="231">
        <v>1450811</v>
      </c>
      <c r="F616" s="231" t="s">
        <v>1924</v>
      </c>
      <c r="G616" s="392">
        <v>183212</v>
      </c>
      <c r="H616" s="392">
        <v>204162</v>
      </c>
      <c r="I616" s="392">
        <v>107969</v>
      </c>
      <c r="J616" s="231">
        <v>19576</v>
      </c>
      <c r="K616" s="231">
        <v>514919</v>
      </c>
      <c r="L616" s="231"/>
      <c r="M616" s="225">
        <v>0</v>
      </c>
      <c r="N616" s="225">
        <v>0</v>
      </c>
      <c r="O616" s="231">
        <v>2576</v>
      </c>
      <c r="P616" s="231">
        <v>2576</v>
      </c>
      <c r="Q616" s="231"/>
      <c r="R616" s="392">
        <v>498923</v>
      </c>
      <c r="S616" s="231">
        <v>7745</v>
      </c>
      <c r="T616" s="396">
        <v>506668</v>
      </c>
      <c r="U616" s="231"/>
      <c r="V616" s="396"/>
      <c r="W616" s="396"/>
      <c r="X616" s="396">
        <v>2943537</v>
      </c>
      <c r="Y616" s="396">
        <v>210250</v>
      </c>
    </row>
    <row r="617" spans="1:25">
      <c r="A617" s="390">
        <v>96601</v>
      </c>
      <c r="B617" s="391" t="s">
        <v>1312</v>
      </c>
      <c r="C617" s="234">
        <v>1.5973000000000001E-3</v>
      </c>
      <c r="D617" s="234">
        <v>1.7417999999999999E-3</v>
      </c>
      <c r="E617" s="231">
        <v>5707833</v>
      </c>
      <c r="F617" s="231" t="s">
        <v>1924</v>
      </c>
      <c r="G617" s="392">
        <v>720799</v>
      </c>
      <c r="H617" s="392">
        <v>803224</v>
      </c>
      <c r="I617" s="392">
        <v>424775</v>
      </c>
      <c r="J617" s="231">
        <v>15865</v>
      </c>
      <c r="K617" s="231">
        <v>1964663</v>
      </c>
      <c r="L617" s="231"/>
      <c r="M617" s="225">
        <v>0</v>
      </c>
      <c r="N617" s="225">
        <v>0</v>
      </c>
      <c r="O617" s="231">
        <v>180405</v>
      </c>
      <c r="P617" s="231">
        <v>180405</v>
      </c>
      <c r="Q617" s="231"/>
      <c r="R617" s="392">
        <v>1962882</v>
      </c>
      <c r="S617" s="231">
        <v>-56343</v>
      </c>
      <c r="T617" s="396">
        <v>1906539</v>
      </c>
      <c r="U617" s="231"/>
      <c r="V617" s="396"/>
      <c r="W617" s="396"/>
      <c r="X617" s="396">
        <v>11580572</v>
      </c>
      <c r="Y617" s="396">
        <v>827175</v>
      </c>
    </row>
    <row r="618" spans="1:25">
      <c r="A618" s="390">
        <v>96604</v>
      </c>
      <c r="B618" s="391" t="s">
        <v>1313</v>
      </c>
      <c r="C618" s="234">
        <v>4.6E-6</v>
      </c>
      <c r="D618" s="234">
        <v>5.3000000000000001E-6</v>
      </c>
      <c r="E618" s="231">
        <v>16438</v>
      </c>
      <c r="F618" s="231" t="s">
        <v>1924</v>
      </c>
      <c r="G618" s="392">
        <v>2076</v>
      </c>
      <c r="H618" s="392">
        <v>2314</v>
      </c>
      <c r="I618" s="392">
        <v>1223</v>
      </c>
      <c r="J618" s="231">
        <v>2334</v>
      </c>
      <c r="K618" s="231">
        <v>7947</v>
      </c>
      <c r="L618" s="231"/>
      <c r="M618" s="225">
        <v>0</v>
      </c>
      <c r="N618" s="225">
        <v>0</v>
      </c>
      <c r="O618" s="231">
        <v>0</v>
      </c>
      <c r="P618" s="231">
        <v>0</v>
      </c>
      <c r="Q618" s="231"/>
      <c r="R618" s="392">
        <v>5653</v>
      </c>
      <c r="S618" s="231">
        <v>1170</v>
      </c>
      <c r="T618" s="396">
        <v>6823</v>
      </c>
      <c r="U618" s="231"/>
      <c r="V618" s="396"/>
      <c r="W618" s="396"/>
      <c r="X618" s="396">
        <v>33350</v>
      </c>
      <c r="Y618" s="396">
        <v>2382</v>
      </c>
    </row>
    <row r="619" spans="1:25">
      <c r="A619" s="390">
        <v>96611</v>
      </c>
      <c r="B619" s="391" t="s">
        <v>1314</v>
      </c>
      <c r="C619" s="234">
        <v>1.95E-5</v>
      </c>
      <c r="D619" s="234">
        <v>1.3900000000000001E-5</v>
      </c>
      <c r="E619" s="231">
        <v>69682</v>
      </c>
      <c r="F619" s="231" t="s">
        <v>1924</v>
      </c>
      <c r="G619" s="392">
        <v>8800</v>
      </c>
      <c r="H619" s="392">
        <v>9806</v>
      </c>
      <c r="I619" s="392">
        <v>5186</v>
      </c>
      <c r="J619" s="231">
        <v>8187</v>
      </c>
      <c r="K619" s="231">
        <v>31979</v>
      </c>
      <c r="L619" s="231"/>
      <c r="M619" s="225">
        <v>0</v>
      </c>
      <c r="N619" s="225">
        <v>0</v>
      </c>
      <c r="O619" s="231">
        <v>5177</v>
      </c>
      <c r="P619" s="231">
        <v>5177</v>
      </c>
      <c r="Q619" s="231"/>
      <c r="R619" s="392">
        <v>23963</v>
      </c>
      <c r="S619" s="231">
        <v>305</v>
      </c>
      <c r="T619" s="396">
        <v>24268</v>
      </c>
      <c r="U619" s="231"/>
      <c r="V619" s="396"/>
      <c r="W619" s="396"/>
      <c r="X619" s="396">
        <v>141377</v>
      </c>
      <c r="Y619" s="396">
        <v>10098</v>
      </c>
    </row>
    <row r="620" spans="1:25">
      <c r="A620" s="390">
        <v>96612</v>
      </c>
      <c r="B620" s="391" t="s">
        <v>1315</v>
      </c>
      <c r="C620" s="234">
        <v>4.4199999999999997E-5</v>
      </c>
      <c r="D620" s="234">
        <v>5.5099999999999998E-5</v>
      </c>
      <c r="E620" s="231">
        <v>157945</v>
      </c>
      <c r="F620" s="231" t="s">
        <v>1924</v>
      </c>
      <c r="G620" s="392">
        <v>19946</v>
      </c>
      <c r="H620" s="392">
        <v>22227</v>
      </c>
      <c r="I620" s="392">
        <v>11754</v>
      </c>
      <c r="J620" s="231">
        <v>6250</v>
      </c>
      <c r="K620" s="231">
        <v>60177</v>
      </c>
      <c r="L620" s="231"/>
      <c r="M620" s="225">
        <v>0</v>
      </c>
      <c r="N620" s="225">
        <v>0</v>
      </c>
      <c r="O620" s="231">
        <v>3365</v>
      </c>
      <c r="P620" s="231">
        <v>3365</v>
      </c>
      <c r="Q620" s="231"/>
      <c r="R620" s="392">
        <v>54316</v>
      </c>
      <c r="S620" s="231">
        <v>1980</v>
      </c>
      <c r="T620" s="396">
        <v>56296</v>
      </c>
      <c r="U620" s="231"/>
      <c r="V620" s="396"/>
      <c r="W620" s="396"/>
      <c r="X620" s="396">
        <v>320454</v>
      </c>
      <c r="Y620" s="396">
        <v>22889</v>
      </c>
    </row>
    <row r="621" spans="1:25">
      <c r="A621" s="390">
        <v>96621</v>
      </c>
      <c r="B621" s="391" t="s">
        <v>1316</v>
      </c>
      <c r="C621" s="234">
        <v>1.8600000000000001E-5</v>
      </c>
      <c r="D621" s="234">
        <v>2.09E-5</v>
      </c>
      <c r="E621" s="231">
        <v>66466</v>
      </c>
      <c r="F621" s="231" t="s">
        <v>1924</v>
      </c>
      <c r="G621" s="392">
        <v>8393</v>
      </c>
      <c r="H621" s="392">
        <v>9353</v>
      </c>
      <c r="I621" s="392">
        <v>4946</v>
      </c>
      <c r="J621" s="231">
        <v>2012</v>
      </c>
      <c r="K621" s="231">
        <v>24704</v>
      </c>
      <c r="L621" s="231"/>
      <c r="M621" s="225">
        <v>0</v>
      </c>
      <c r="N621" s="225">
        <v>0</v>
      </c>
      <c r="O621" s="231">
        <v>1147</v>
      </c>
      <c r="P621" s="231">
        <v>1147</v>
      </c>
      <c r="Q621" s="231"/>
      <c r="R621" s="392">
        <v>22857</v>
      </c>
      <c r="S621" s="231">
        <v>-705</v>
      </c>
      <c r="T621" s="396">
        <v>22152</v>
      </c>
      <c r="U621" s="231"/>
      <c r="V621" s="396"/>
      <c r="W621" s="396"/>
      <c r="X621" s="396">
        <v>134852</v>
      </c>
      <c r="Y621" s="396">
        <v>9632</v>
      </c>
    </row>
    <row r="622" spans="1:25">
      <c r="A622" s="390">
        <v>96631</v>
      </c>
      <c r="B622" s="391" t="s">
        <v>1317</v>
      </c>
      <c r="C622" s="234">
        <v>2.3099999999999999E-5</v>
      </c>
      <c r="D622" s="234">
        <v>2.1800000000000001E-5</v>
      </c>
      <c r="E622" s="231">
        <v>82546</v>
      </c>
      <c r="F622" s="231" t="s">
        <v>1924</v>
      </c>
      <c r="G622" s="392">
        <v>10424</v>
      </c>
      <c r="H622" s="392">
        <v>11616</v>
      </c>
      <c r="I622" s="392">
        <v>6143</v>
      </c>
      <c r="J622" s="231">
        <v>2020</v>
      </c>
      <c r="K622" s="231">
        <v>30203</v>
      </c>
      <c r="L622" s="231"/>
      <c r="M622" s="225">
        <v>0</v>
      </c>
      <c r="N622" s="225">
        <v>0</v>
      </c>
      <c r="O622" s="231">
        <v>597</v>
      </c>
      <c r="P622" s="231">
        <v>597</v>
      </c>
      <c r="Q622" s="231"/>
      <c r="R622" s="392">
        <v>28387</v>
      </c>
      <c r="S622" s="231">
        <v>379</v>
      </c>
      <c r="T622" s="396">
        <v>28766</v>
      </c>
      <c r="U622" s="231"/>
      <c r="V622" s="396"/>
      <c r="W622" s="396"/>
      <c r="X622" s="396">
        <v>167477</v>
      </c>
      <c r="Y622" s="396">
        <v>11963</v>
      </c>
    </row>
    <row r="623" spans="1:25" ht="14.25" customHeight="1">
      <c r="A623" s="390">
        <v>96641</v>
      </c>
      <c r="B623" s="391" t="s">
        <v>1318</v>
      </c>
      <c r="C623" s="234">
        <v>2.9499999999999999E-5</v>
      </c>
      <c r="D623" s="234">
        <v>3.3800000000000002E-5</v>
      </c>
      <c r="E623" s="231">
        <v>105416</v>
      </c>
      <c r="F623" s="231" t="s">
        <v>1924</v>
      </c>
      <c r="G623" s="392">
        <v>13312</v>
      </c>
      <c r="H623" s="392">
        <v>14834</v>
      </c>
      <c r="I623" s="392">
        <v>7845</v>
      </c>
      <c r="J623" s="231">
        <v>10950</v>
      </c>
      <c r="K623" s="231">
        <v>46941</v>
      </c>
      <c r="L623" s="231"/>
      <c r="M623" s="225">
        <v>0</v>
      </c>
      <c r="N623" s="225">
        <v>0</v>
      </c>
      <c r="O623" s="231">
        <v>0</v>
      </c>
      <c r="P623" s="231">
        <v>0</v>
      </c>
      <c r="Q623" s="231"/>
      <c r="R623" s="392">
        <v>36252</v>
      </c>
      <c r="S623" s="231">
        <v>6521</v>
      </c>
      <c r="T623" s="396">
        <v>42773</v>
      </c>
      <c r="U623" s="231"/>
      <c r="V623" s="396"/>
      <c r="W623" s="396"/>
      <c r="X623" s="396">
        <v>213878</v>
      </c>
      <c r="Y623" s="396">
        <v>15277</v>
      </c>
    </row>
    <row r="624" spans="1:25" ht="14.25" customHeight="1">
      <c r="A624" s="390">
        <v>96651</v>
      </c>
      <c r="B624" s="391" t="s">
        <v>1319</v>
      </c>
      <c r="C624" s="234">
        <v>1.5999999999999999E-5</v>
      </c>
      <c r="D624" s="234">
        <v>1.8499999999999999E-5</v>
      </c>
      <c r="E624" s="231">
        <v>57175</v>
      </c>
      <c r="F624" s="231" t="s">
        <v>1924</v>
      </c>
      <c r="G624" s="392">
        <v>7220</v>
      </c>
      <c r="H624" s="392">
        <v>8046</v>
      </c>
      <c r="I624" s="392">
        <v>4255</v>
      </c>
      <c r="J624" s="231">
        <v>1095</v>
      </c>
      <c r="K624" s="231">
        <v>20616</v>
      </c>
      <c r="L624" s="231"/>
      <c r="M624" s="225">
        <v>0</v>
      </c>
      <c r="N624" s="225">
        <v>0</v>
      </c>
      <c r="O624" s="231">
        <v>4414</v>
      </c>
      <c r="P624" s="231">
        <v>4414</v>
      </c>
      <c r="Q624" s="231"/>
      <c r="R624" s="392">
        <v>19662</v>
      </c>
      <c r="S624" s="231">
        <v>-574</v>
      </c>
      <c r="T624" s="396">
        <v>19088</v>
      </c>
      <c r="U624" s="231"/>
      <c r="V624" s="396"/>
      <c r="W624" s="396"/>
      <c r="X624" s="396">
        <v>116001</v>
      </c>
      <c r="Y624" s="396">
        <v>8286</v>
      </c>
    </row>
    <row r="625" spans="1:25">
      <c r="A625" s="390">
        <v>96661</v>
      </c>
      <c r="B625" s="391" t="s">
        <v>1320</v>
      </c>
      <c r="C625" s="234">
        <v>2.4899999999999999E-5</v>
      </c>
      <c r="D625" s="234">
        <v>1.8099999999999999E-5</v>
      </c>
      <c r="E625" s="231">
        <v>88978</v>
      </c>
      <c r="F625" s="231" t="s">
        <v>1924</v>
      </c>
      <c r="G625" s="392">
        <v>11236</v>
      </c>
      <c r="H625" s="392">
        <v>12521</v>
      </c>
      <c r="I625" s="392">
        <v>6622</v>
      </c>
      <c r="J625" s="231">
        <v>9146</v>
      </c>
      <c r="K625" s="231">
        <v>39525</v>
      </c>
      <c r="L625" s="231"/>
      <c r="M625" s="225">
        <v>0</v>
      </c>
      <c r="N625" s="225">
        <v>0</v>
      </c>
      <c r="O625" s="231">
        <v>124</v>
      </c>
      <c r="P625" s="231">
        <v>124</v>
      </c>
      <c r="Q625" s="231"/>
      <c r="R625" s="392">
        <v>30599</v>
      </c>
      <c r="S625" s="231">
        <v>3809</v>
      </c>
      <c r="T625" s="396">
        <v>34408</v>
      </c>
      <c r="U625" s="231"/>
      <c r="V625" s="396"/>
      <c r="W625" s="396"/>
      <c r="X625" s="396">
        <v>180527</v>
      </c>
      <c r="Y625" s="396">
        <v>12895</v>
      </c>
    </row>
    <row r="626" spans="1:25">
      <c r="A626" s="390">
        <v>96671</v>
      </c>
      <c r="B626" s="391" t="s">
        <v>1321</v>
      </c>
      <c r="C626" s="234">
        <v>1.4E-5</v>
      </c>
      <c r="D626" s="234">
        <v>1.26E-5</v>
      </c>
      <c r="E626" s="231">
        <v>50028</v>
      </c>
      <c r="F626" s="231" t="s">
        <v>1924</v>
      </c>
      <c r="G626" s="392">
        <v>6318</v>
      </c>
      <c r="H626" s="392">
        <v>7040</v>
      </c>
      <c r="I626" s="392">
        <v>3723</v>
      </c>
      <c r="J626" s="231">
        <v>6141</v>
      </c>
      <c r="K626" s="231">
        <v>23222</v>
      </c>
      <c r="L626" s="231"/>
      <c r="M626" s="225">
        <v>0</v>
      </c>
      <c r="N626" s="225">
        <v>0</v>
      </c>
      <c r="O626" s="231">
        <v>0</v>
      </c>
      <c r="P626" s="231">
        <v>0</v>
      </c>
      <c r="Q626" s="231"/>
      <c r="R626" s="392">
        <v>17204</v>
      </c>
      <c r="S626" s="231">
        <v>3241</v>
      </c>
      <c r="T626" s="396">
        <v>20445</v>
      </c>
      <c r="U626" s="231"/>
      <c r="V626" s="396"/>
      <c r="W626" s="396"/>
      <c r="X626" s="396">
        <v>101501</v>
      </c>
      <c r="Y626" s="396">
        <v>7250</v>
      </c>
    </row>
    <row r="627" spans="1:25">
      <c r="A627" s="390">
        <v>96681</v>
      </c>
      <c r="B627" s="391" t="s">
        <v>1322</v>
      </c>
      <c r="C627" s="234">
        <v>1.7600000000000001E-5</v>
      </c>
      <c r="D627" s="234">
        <v>2.2399999999999999E-5</v>
      </c>
      <c r="E627" s="231">
        <v>62892</v>
      </c>
      <c r="F627" s="231" t="s">
        <v>1924</v>
      </c>
      <c r="G627" s="392">
        <v>7942</v>
      </c>
      <c r="H627" s="392">
        <v>8850</v>
      </c>
      <c r="I627" s="392">
        <v>4680</v>
      </c>
      <c r="J627" s="231">
        <v>7559</v>
      </c>
      <c r="K627" s="231">
        <v>29031</v>
      </c>
      <c r="L627" s="231"/>
      <c r="M627" s="225">
        <v>0</v>
      </c>
      <c r="N627" s="225">
        <v>0</v>
      </c>
      <c r="O627" s="231">
        <v>7663</v>
      </c>
      <c r="P627" s="231">
        <v>7663</v>
      </c>
      <c r="Q627" s="231"/>
      <c r="R627" s="392">
        <v>21628</v>
      </c>
      <c r="S627" s="231">
        <v>658</v>
      </c>
      <c r="T627" s="396">
        <v>22286</v>
      </c>
      <c r="U627" s="231"/>
      <c r="V627" s="396"/>
      <c r="W627" s="396"/>
      <c r="X627" s="396">
        <v>127602</v>
      </c>
      <c r="Y627" s="396">
        <v>9114</v>
      </c>
    </row>
    <row r="628" spans="1:25">
      <c r="A628" s="390">
        <v>96701</v>
      </c>
      <c r="B628" s="391" t="s">
        <v>1323</v>
      </c>
      <c r="C628" s="234">
        <v>7.9334000000000002E-3</v>
      </c>
      <c r="D628" s="234">
        <v>8.4864999999999993E-3</v>
      </c>
      <c r="E628" s="231">
        <v>28349418</v>
      </c>
      <c r="F628" s="231" t="s">
        <v>1924</v>
      </c>
      <c r="G628" s="392">
        <v>3580034</v>
      </c>
      <c r="H628" s="392">
        <v>3989421</v>
      </c>
      <c r="I628" s="392">
        <v>2109753</v>
      </c>
      <c r="J628" s="231">
        <v>64826</v>
      </c>
      <c r="K628" s="231">
        <v>9744034</v>
      </c>
      <c r="L628" s="231"/>
      <c r="M628" s="225">
        <v>0</v>
      </c>
      <c r="N628" s="225">
        <v>0</v>
      </c>
      <c r="O628" s="231">
        <v>1154296</v>
      </c>
      <c r="P628" s="231">
        <v>1154296</v>
      </c>
      <c r="Q628" s="231"/>
      <c r="R628" s="392">
        <v>9749157</v>
      </c>
      <c r="S628" s="231">
        <v>-338855</v>
      </c>
      <c r="T628" s="396">
        <v>9410302</v>
      </c>
      <c r="U628" s="231"/>
      <c r="V628" s="396"/>
      <c r="W628" s="396"/>
      <c r="X628" s="396">
        <v>57517880</v>
      </c>
      <c r="Y628" s="396">
        <v>4108375</v>
      </c>
    </row>
    <row r="629" spans="1:25">
      <c r="A629" s="390">
        <v>96704</v>
      </c>
      <c r="B629" s="391" t="s">
        <v>1324</v>
      </c>
      <c r="C629" s="234">
        <v>1.9349999999999999E-4</v>
      </c>
      <c r="D629" s="234">
        <v>1.873E-4</v>
      </c>
      <c r="E629" s="231">
        <v>691458</v>
      </c>
      <c r="F629" s="231" t="s">
        <v>1924</v>
      </c>
      <c r="G629" s="392">
        <v>87319</v>
      </c>
      <c r="H629" s="392">
        <v>97304</v>
      </c>
      <c r="I629" s="392">
        <v>51458</v>
      </c>
      <c r="J629" s="231">
        <v>75109</v>
      </c>
      <c r="K629" s="231">
        <v>311190</v>
      </c>
      <c r="L629" s="231"/>
      <c r="M629" s="225">
        <v>0</v>
      </c>
      <c r="N629" s="225">
        <v>0</v>
      </c>
      <c r="O629" s="231">
        <v>0</v>
      </c>
      <c r="P629" s="231">
        <v>0</v>
      </c>
      <c r="Q629" s="231"/>
      <c r="R629" s="392">
        <v>237787</v>
      </c>
      <c r="S629" s="231">
        <v>31276</v>
      </c>
      <c r="T629" s="396">
        <v>269063</v>
      </c>
      <c r="U629" s="231"/>
      <c r="V629" s="396"/>
      <c r="W629" s="396"/>
      <c r="X629" s="396">
        <v>1402893</v>
      </c>
      <c r="Y629" s="396">
        <v>100206</v>
      </c>
    </row>
    <row r="630" spans="1:25">
      <c r="A630" s="390">
        <v>96708</v>
      </c>
      <c r="B630" s="391" t="s">
        <v>1325</v>
      </c>
      <c r="C630" s="234">
        <v>8.5760000000000003E-4</v>
      </c>
      <c r="D630" s="234">
        <v>8.7410000000000005E-4</v>
      </c>
      <c r="E630" s="231">
        <v>3064570</v>
      </c>
      <c r="F630" s="231" t="s">
        <v>1924</v>
      </c>
      <c r="G630" s="392">
        <v>387001</v>
      </c>
      <c r="H630" s="392">
        <v>431256</v>
      </c>
      <c r="I630" s="392">
        <v>228064</v>
      </c>
      <c r="J630" s="231">
        <v>53375</v>
      </c>
      <c r="K630" s="231">
        <v>1099696</v>
      </c>
      <c r="L630" s="231"/>
      <c r="M630" s="225">
        <v>0</v>
      </c>
      <c r="N630" s="225">
        <v>0</v>
      </c>
      <c r="O630" s="231">
        <v>35772</v>
      </c>
      <c r="P630" s="231">
        <v>35772</v>
      </c>
      <c r="Q630" s="231"/>
      <c r="R630" s="392">
        <v>1053883</v>
      </c>
      <c r="S630" s="231">
        <v>11999</v>
      </c>
      <c r="T630" s="396">
        <v>1065882</v>
      </c>
      <c r="U630" s="231"/>
      <c r="V630" s="396"/>
      <c r="W630" s="396"/>
      <c r="X630" s="396">
        <v>6217679</v>
      </c>
      <c r="Y630" s="396">
        <v>444115</v>
      </c>
    </row>
    <row r="631" spans="1:25">
      <c r="A631" s="390">
        <v>96711</v>
      </c>
      <c r="B631" s="391" t="s">
        <v>1326</v>
      </c>
      <c r="C631" s="234">
        <v>3.8658999999999998E-3</v>
      </c>
      <c r="D631" s="234">
        <v>3.7919E-3</v>
      </c>
      <c r="E631" s="231">
        <v>13814508</v>
      </c>
      <c r="F631" s="231" t="s">
        <v>1924</v>
      </c>
      <c r="G631" s="392">
        <v>1744530</v>
      </c>
      <c r="H631" s="392">
        <v>1944022</v>
      </c>
      <c r="I631" s="392">
        <v>1028070</v>
      </c>
      <c r="J631" s="231">
        <v>34892</v>
      </c>
      <c r="K631" s="231">
        <v>4751514</v>
      </c>
      <c r="L631" s="231"/>
      <c r="M631" s="225">
        <v>0</v>
      </c>
      <c r="N631" s="225">
        <v>0</v>
      </c>
      <c r="O631" s="231">
        <v>177048</v>
      </c>
      <c r="P631" s="231">
        <v>177048</v>
      </c>
      <c r="Q631" s="231"/>
      <c r="R631" s="392">
        <v>4750708</v>
      </c>
      <c r="S631" s="231">
        <v>-113147</v>
      </c>
      <c r="T631" s="396">
        <v>4637561</v>
      </c>
      <c r="U631" s="231"/>
      <c r="V631" s="396"/>
      <c r="W631" s="396"/>
      <c r="X631" s="396">
        <v>28028131</v>
      </c>
      <c r="Y631" s="396">
        <v>2001987</v>
      </c>
    </row>
    <row r="632" spans="1:25">
      <c r="A632" s="390">
        <v>96721</v>
      </c>
      <c r="B632" s="391" t="s">
        <v>1327</v>
      </c>
      <c r="C632" s="234">
        <v>2.3929999999999999E-4</v>
      </c>
      <c r="D632" s="234">
        <v>2.1719999999999999E-4</v>
      </c>
      <c r="E632" s="231">
        <v>855121</v>
      </c>
      <c r="F632" s="231" t="s">
        <v>1924</v>
      </c>
      <c r="G632" s="392">
        <v>107987</v>
      </c>
      <c r="H632" s="392">
        <v>120336</v>
      </c>
      <c r="I632" s="392">
        <v>63638</v>
      </c>
      <c r="J632" s="231">
        <v>31242</v>
      </c>
      <c r="K632" s="231">
        <v>323203</v>
      </c>
      <c r="L632" s="231"/>
      <c r="M632" s="225">
        <v>0</v>
      </c>
      <c r="N632" s="225">
        <v>0</v>
      </c>
      <c r="O632" s="231">
        <v>2666</v>
      </c>
      <c r="P632" s="231">
        <v>2666</v>
      </c>
      <c r="Q632" s="231"/>
      <c r="R632" s="392">
        <v>294070</v>
      </c>
      <c r="S632" s="231">
        <v>3478</v>
      </c>
      <c r="T632" s="396">
        <v>297548</v>
      </c>
      <c r="U632" s="231"/>
      <c r="V632" s="396"/>
      <c r="W632" s="396"/>
      <c r="X632" s="396">
        <v>1734947</v>
      </c>
      <c r="Y632" s="396">
        <v>123923</v>
      </c>
    </row>
    <row r="633" spans="1:25">
      <c r="A633" s="390">
        <v>96731</v>
      </c>
      <c r="B633" s="391" t="s">
        <v>1328</v>
      </c>
      <c r="C633" s="234">
        <v>1.741E-4</v>
      </c>
      <c r="D633" s="234">
        <v>1.763E-4</v>
      </c>
      <c r="E633" s="231">
        <v>622133</v>
      </c>
      <c r="F633" s="231" t="s">
        <v>1924</v>
      </c>
      <c r="G633" s="392">
        <v>78565</v>
      </c>
      <c r="H633" s="392">
        <v>87549</v>
      </c>
      <c r="I633" s="392">
        <v>46299</v>
      </c>
      <c r="J633" s="231">
        <v>2530</v>
      </c>
      <c r="K633" s="231">
        <v>214943</v>
      </c>
      <c r="L633" s="231"/>
      <c r="M633" s="225">
        <v>0</v>
      </c>
      <c r="N633" s="225">
        <v>0</v>
      </c>
      <c r="O633" s="231">
        <v>6281</v>
      </c>
      <c r="P633" s="231">
        <v>6281</v>
      </c>
      <c r="Q633" s="231"/>
      <c r="R633" s="392">
        <v>213947</v>
      </c>
      <c r="S633" s="231">
        <v>2614</v>
      </c>
      <c r="T633" s="396">
        <v>216561</v>
      </c>
      <c r="U633" s="231"/>
      <c r="V633" s="396"/>
      <c r="W633" s="396"/>
      <c r="X633" s="396">
        <v>1262241</v>
      </c>
      <c r="Y633" s="396">
        <v>90159</v>
      </c>
    </row>
    <row r="634" spans="1:25">
      <c r="A634" s="390">
        <v>96733</v>
      </c>
      <c r="B634" s="391" t="s">
        <v>1329</v>
      </c>
      <c r="C634" s="234">
        <v>0</v>
      </c>
      <c r="D634" s="234">
        <v>6.4999999999999996E-6</v>
      </c>
      <c r="E634" s="231">
        <v>0</v>
      </c>
      <c r="F634" s="231" t="s">
        <v>1924</v>
      </c>
      <c r="G634" s="392">
        <v>0</v>
      </c>
      <c r="H634" s="392">
        <v>0</v>
      </c>
      <c r="I634" s="392">
        <v>0</v>
      </c>
      <c r="J634" s="231">
        <v>1099</v>
      </c>
      <c r="K634" s="231">
        <v>1099</v>
      </c>
      <c r="L634" s="231"/>
      <c r="M634" s="225">
        <v>0</v>
      </c>
      <c r="N634" s="225">
        <v>0</v>
      </c>
      <c r="O634" s="231">
        <v>12912</v>
      </c>
      <c r="P634" s="231">
        <v>12912</v>
      </c>
      <c r="Q634" s="231"/>
      <c r="R634" s="392">
        <v>0</v>
      </c>
      <c r="S634" s="231">
        <v>-2956</v>
      </c>
      <c r="T634" s="396">
        <v>-2956</v>
      </c>
      <c r="U634" s="231"/>
      <c r="V634" s="396"/>
      <c r="W634" s="396"/>
      <c r="X634" s="396">
        <v>0</v>
      </c>
      <c r="Y634" s="396">
        <v>0</v>
      </c>
    </row>
    <row r="635" spans="1:25">
      <c r="A635" s="390">
        <v>96741</v>
      </c>
      <c r="B635" s="391" t="s">
        <v>1330</v>
      </c>
      <c r="C635" s="234">
        <v>8.6799999999999996E-5</v>
      </c>
      <c r="D635" s="234">
        <v>9.6799999999999995E-5</v>
      </c>
      <c r="E635" s="231">
        <v>310173</v>
      </c>
      <c r="F635" s="231" t="s">
        <v>1924</v>
      </c>
      <c r="G635" s="392">
        <v>39169</v>
      </c>
      <c r="H635" s="392">
        <v>43648</v>
      </c>
      <c r="I635" s="392">
        <v>23083</v>
      </c>
      <c r="J635" s="231">
        <v>1403</v>
      </c>
      <c r="K635" s="231">
        <v>107303</v>
      </c>
      <c r="L635" s="231"/>
      <c r="M635" s="225">
        <v>0</v>
      </c>
      <c r="N635" s="225">
        <v>0</v>
      </c>
      <c r="O635" s="231">
        <v>17333</v>
      </c>
      <c r="P635" s="231">
        <v>17333</v>
      </c>
      <c r="Q635" s="231"/>
      <c r="R635" s="392">
        <v>106666</v>
      </c>
      <c r="S635" s="231">
        <v>-5634</v>
      </c>
      <c r="T635" s="396">
        <v>101032</v>
      </c>
      <c r="U635" s="231"/>
      <c r="V635" s="396"/>
      <c r="W635" s="396"/>
      <c r="X635" s="396">
        <v>629308</v>
      </c>
      <c r="Y635" s="396">
        <v>44950</v>
      </c>
    </row>
    <row r="636" spans="1:25">
      <c r="A636" s="390">
        <v>96751</v>
      </c>
      <c r="B636" s="391" t="s">
        <v>1331</v>
      </c>
      <c r="C636" s="234">
        <v>2.7139999999999998E-4</v>
      </c>
      <c r="D636" s="234">
        <v>3.054E-4</v>
      </c>
      <c r="E636" s="231">
        <v>969828</v>
      </c>
      <c r="F636" s="231" t="s">
        <v>1924</v>
      </c>
      <c r="G636" s="392">
        <v>122472</v>
      </c>
      <c r="H636" s="392">
        <v>136477</v>
      </c>
      <c r="I636" s="392">
        <v>72174</v>
      </c>
      <c r="J636" s="231">
        <v>17624</v>
      </c>
      <c r="K636" s="231">
        <v>348747</v>
      </c>
      <c r="L636" s="231"/>
      <c r="M636" s="225">
        <v>0</v>
      </c>
      <c r="N636" s="225">
        <v>0</v>
      </c>
      <c r="O636" s="231">
        <v>36625</v>
      </c>
      <c r="P636" s="231">
        <v>36625</v>
      </c>
      <c r="Q636" s="231"/>
      <c r="R636" s="392">
        <v>333517</v>
      </c>
      <c r="S636" s="231">
        <v>-13366</v>
      </c>
      <c r="T636" s="396">
        <v>320151</v>
      </c>
      <c r="U636" s="231"/>
      <c r="V636" s="396"/>
      <c r="W636" s="396"/>
      <c r="X636" s="396">
        <v>1967675</v>
      </c>
      <c r="Y636" s="396">
        <v>140547</v>
      </c>
    </row>
    <row r="637" spans="1:25">
      <c r="A637" s="390">
        <v>96801</v>
      </c>
      <c r="B637" s="391" t="s">
        <v>1332</v>
      </c>
      <c r="C637" s="234">
        <v>7.3815E-3</v>
      </c>
      <c r="D637" s="234">
        <v>7.6207000000000002E-3</v>
      </c>
      <c r="E637" s="231">
        <v>26377244</v>
      </c>
      <c r="F637" s="231" t="s">
        <v>1924</v>
      </c>
      <c r="G637" s="392">
        <v>3330983</v>
      </c>
      <c r="H637" s="392">
        <v>3711890</v>
      </c>
      <c r="I637" s="392">
        <v>1962984</v>
      </c>
      <c r="J637" s="231">
        <v>36030</v>
      </c>
      <c r="K637" s="231">
        <v>9041887</v>
      </c>
      <c r="L637" s="231"/>
      <c r="M637" s="225">
        <v>0</v>
      </c>
      <c r="N637" s="225">
        <v>0</v>
      </c>
      <c r="O637" s="231">
        <v>208907</v>
      </c>
      <c r="P637" s="231">
        <v>208907</v>
      </c>
      <c r="Q637" s="231"/>
      <c r="R637" s="392">
        <v>9070941</v>
      </c>
      <c r="S637" s="231">
        <v>-5403</v>
      </c>
      <c r="T637" s="396">
        <v>9065538</v>
      </c>
      <c r="U637" s="231"/>
      <c r="V637" s="396"/>
      <c r="W637" s="396"/>
      <c r="X637" s="396">
        <v>53516554</v>
      </c>
      <c r="Y637" s="396">
        <v>3822569</v>
      </c>
    </row>
    <row r="638" spans="1:25">
      <c r="A638" s="390">
        <v>96804</v>
      </c>
      <c r="B638" s="391" t="s">
        <v>1333</v>
      </c>
      <c r="C638" s="234">
        <v>2.3499999999999999E-4</v>
      </c>
      <c r="D638" s="234">
        <v>2.4230000000000001E-4</v>
      </c>
      <c r="E638" s="231">
        <v>839755</v>
      </c>
      <c r="F638" s="231" t="s">
        <v>1924</v>
      </c>
      <c r="G638" s="392">
        <v>106046</v>
      </c>
      <c r="H638" s="392">
        <v>118173</v>
      </c>
      <c r="I638" s="392">
        <v>62494</v>
      </c>
      <c r="J638" s="231">
        <v>1338</v>
      </c>
      <c r="K638" s="231">
        <v>288051</v>
      </c>
      <c r="L638" s="231"/>
      <c r="M638" s="225">
        <v>0</v>
      </c>
      <c r="N638" s="225">
        <v>0</v>
      </c>
      <c r="O638" s="231">
        <v>38987</v>
      </c>
      <c r="P638" s="231">
        <v>38987</v>
      </c>
      <c r="Q638" s="231"/>
      <c r="R638" s="392">
        <v>288786</v>
      </c>
      <c r="S638" s="231">
        <v>-13248</v>
      </c>
      <c r="T638" s="396">
        <v>275538</v>
      </c>
      <c r="U638" s="231"/>
      <c r="V638" s="396"/>
      <c r="W638" s="396"/>
      <c r="X638" s="396">
        <v>1703772</v>
      </c>
      <c r="Y638" s="396">
        <v>121697</v>
      </c>
    </row>
    <row r="639" spans="1:25">
      <c r="A639" s="390">
        <v>96808</v>
      </c>
      <c r="B639" s="391" t="s">
        <v>1334</v>
      </c>
      <c r="C639" s="234">
        <v>1.2712999999999999E-3</v>
      </c>
      <c r="D639" s="234">
        <v>1.2175E-3</v>
      </c>
      <c r="E639" s="231">
        <v>4542896</v>
      </c>
      <c r="F639" s="231" t="s">
        <v>1924</v>
      </c>
      <c r="G639" s="392">
        <v>573688</v>
      </c>
      <c r="H639" s="392">
        <v>639291</v>
      </c>
      <c r="I639" s="392">
        <v>338081</v>
      </c>
      <c r="J639" s="231">
        <v>61456</v>
      </c>
      <c r="K639" s="231">
        <v>1612516</v>
      </c>
      <c r="L639" s="231"/>
      <c r="M639" s="225">
        <v>0</v>
      </c>
      <c r="N639" s="225">
        <v>0</v>
      </c>
      <c r="O639" s="231">
        <v>28625</v>
      </c>
      <c r="P639" s="231">
        <v>28625</v>
      </c>
      <c r="Q639" s="231"/>
      <c r="R639" s="392">
        <v>1562269</v>
      </c>
      <c r="S639" s="231">
        <v>15640</v>
      </c>
      <c r="T639" s="396">
        <v>1577909</v>
      </c>
      <c r="U639" s="231"/>
      <c r="V639" s="396"/>
      <c r="W639" s="396"/>
      <c r="X639" s="396">
        <v>9217042</v>
      </c>
      <c r="Y639" s="396">
        <v>658353</v>
      </c>
    </row>
    <row r="640" spans="1:25">
      <c r="A640" s="390">
        <v>96811</v>
      </c>
      <c r="B640" s="391" t="s">
        <v>1335</v>
      </c>
      <c r="C640" s="234">
        <v>5.7375999999999998E-3</v>
      </c>
      <c r="D640" s="234">
        <v>5.8506000000000001E-3</v>
      </c>
      <c r="E640" s="231">
        <v>20502889</v>
      </c>
      <c r="F640" s="231" t="s">
        <v>1924</v>
      </c>
      <c r="G640" s="392">
        <v>2589155</v>
      </c>
      <c r="H640" s="392">
        <v>2885233</v>
      </c>
      <c r="I640" s="392">
        <v>1525817</v>
      </c>
      <c r="J640" s="231">
        <v>9353</v>
      </c>
      <c r="K640" s="231">
        <v>7009558</v>
      </c>
      <c r="L640" s="231"/>
      <c r="M640" s="225">
        <v>0</v>
      </c>
      <c r="N640" s="225">
        <v>0</v>
      </c>
      <c r="O640" s="231">
        <v>202284</v>
      </c>
      <c r="P640" s="231">
        <v>202284</v>
      </c>
      <c r="Q640" s="231"/>
      <c r="R640" s="392">
        <v>7050793</v>
      </c>
      <c r="S640" s="231">
        <v>-72125</v>
      </c>
      <c r="T640" s="396">
        <v>6978668</v>
      </c>
      <c r="U640" s="231"/>
      <c r="V640" s="396"/>
      <c r="W640" s="396"/>
      <c r="X640" s="396">
        <v>41598128</v>
      </c>
      <c r="Y640" s="396">
        <v>2971262</v>
      </c>
    </row>
    <row r="641" spans="1:25">
      <c r="A641" s="390">
        <v>96821</v>
      </c>
      <c r="B641" s="391" t="s">
        <v>1336</v>
      </c>
      <c r="C641" s="234">
        <v>1.2259E-3</v>
      </c>
      <c r="D641" s="234">
        <v>1.2505999999999999E-3</v>
      </c>
      <c r="E641" s="231">
        <v>4380663</v>
      </c>
      <c r="F641" s="231" t="s">
        <v>1924</v>
      </c>
      <c r="G641" s="392">
        <v>553201</v>
      </c>
      <c r="H641" s="392">
        <v>616461</v>
      </c>
      <c r="I641" s="392">
        <v>326007</v>
      </c>
      <c r="J641" s="231">
        <v>87417</v>
      </c>
      <c r="K641" s="231">
        <v>1583086</v>
      </c>
      <c r="L641" s="231"/>
      <c r="M641" s="225">
        <v>0</v>
      </c>
      <c r="N641" s="225">
        <v>0</v>
      </c>
      <c r="O641" s="231">
        <v>51931</v>
      </c>
      <c r="P641" s="231">
        <v>51931</v>
      </c>
      <c r="Q641" s="231"/>
      <c r="R641" s="392">
        <v>1506478</v>
      </c>
      <c r="S641" s="231">
        <v>-22149</v>
      </c>
      <c r="T641" s="396">
        <v>1484329</v>
      </c>
      <c r="U641" s="231"/>
      <c r="V641" s="396"/>
      <c r="W641" s="396"/>
      <c r="X641" s="396">
        <v>8887888</v>
      </c>
      <c r="Y641" s="396">
        <v>634842</v>
      </c>
    </row>
    <row r="642" spans="1:25">
      <c r="A642" s="390">
        <v>96831</v>
      </c>
      <c r="B642" s="391" t="s">
        <v>1337</v>
      </c>
      <c r="C642" s="234">
        <v>9.2150000000000001E-4</v>
      </c>
      <c r="D642" s="234">
        <v>9.0549999999999995E-4</v>
      </c>
      <c r="E642" s="231">
        <v>3292912</v>
      </c>
      <c r="F642" s="231" t="s">
        <v>1924</v>
      </c>
      <c r="G642" s="392">
        <v>415837</v>
      </c>
      <c r="H642" s="392">
        <v>463389</v>
      </c>
      <c r="I642" s="392">
        <v>245057</v>
      </c>
      <c r="J642" s="231">
        <v>26400</v>
      </c>
      <c r="K642" s="231">
        <v>1150683</v>
      </c>
      <c r="L642" s="231"/>
      <c r="M642" s="225">
        <v>0</v>
      </c>
      <c r="N642" s="225">
        <v>0</v>
      </c>
      <c r="O642" s="231">
        <v>23976</v>
      </c>
      <c r="P642" s="231">
        <v>23976</v>
      </c>
      <c r="Q642" s="231"/>
      <c r="R642" s="392">
        <v>1132408</v>
      </c>
      <c r="S642" s="231">
        <v>6139</v>
      </c>
      <c r="T642" s="396">
        <v>1138547</v>
      </c>
      <c r="U642" s="231"/>
      <c r="V642" s="396"/>
      <c r="W642" s="396"/>
      <c r="X642" s="396">
        <v>6680960</v>
      </c>
      <c r="Y642" s="396">
        <v>477206</v>
      </c>
    </row>
    <row r="643" spans="1:25">
      <c r="A643" s="390">
        <v>96901</v>
      </c>
      <c r="B643" s="391" t="s">
        <v>1338</v>
      </c>
      <c r="C643" s="234">
        <v>8.6399999999999997E-4</v>
      </c>
      <c r="D643" s="234">
        <v>9.5589999999999998E-4</v>
      </c>
      <c r="E643" s="231">
        <v>3087440</v>
      </c>
      <c r="F643" s="231" t="s">
        <v>1924</v>
      </c>
      <c r="G643" s="392">
        <v>389890</v>
      </c>
      <c r="H643" s="392">
        <v>434474</v>
      </c>
      <c r="I643" s="392">
        <v>229766</v>
      </c>
      <c r="J643" s="231">
        <v>41558</v>
      </c>
      <c r="K643" s="231">
        <v>1095688</v>
      </c>
      <c r="L643" s="231"/>
      <c r="M643" s="225">
        <v>0</v>
      </c>
      <c r="N643" s="225">
        <v>0</v>
      </c>
      <c r="O643" s="231">
        <v>147115</v>
      </c>
      <c r="P643" s="231">
        <v>147115</v>
      </c>
      <c r="Q643" s="231"/>
      <c r="R643" s="392">
        <v>1061748</v>
      </c>
      <c r="S643" s="231">
        <v>-20641</v>
      </c>
      <c r="T643" s="396">
        <v>1041107</v>
      </c>
      <c r="U643" s="231"/>
      <c r="V643" s="396"/>
      <c r="W643" s="396"/>
      <c r="X643" s="396">
        <v>6264079</v>
      </c>
      <c r="Y643" s="396">
        <v>447429</v>
      </c>
    </row>
    <row r="644" spans="1:25">
      <c r="A644" s="390">
        <v>96911</v>
      </c>
      <c r="B644" s="391" t="s">
        <v>1339</v>
      </c>
      <c r="C644" s="234">
        <v>2.3E-6</v>
      </c>
      <c r="D644" s="234">
        <v>2.3E-6</v>
      </c>
      <c r="E644" s="231">
        <v>8219</v>
      </c>
      <c r="F644" s="231" t="s">
        <v>1924</v>
      </c>
      <c r="G644" s="392">
        <v>1038</v>
      </c>
      <c r="H644" s="392">
        <v>1156</v>
      </c>
      <c r="I644" s="392">
        <v>612</v>
      </c>
      <c r="J644" s="231">
        <v>3052</v>
      </c>
      <c r="K644" s="231">
        <v>5858</v>
      </c>
      <c r="L644" s="231"/>
      <c r="M644" s="225">
        <v>0</v>
      </c>
      <c r="N644" s="225">
        <v>0</v>
      </c>
      <c r="O644" s="231">
        <v>50</v>
      </c>
      <c r="P644" s="231">
        <v>50</v>
      </c>
      <c r="Q644" s="231"/>
      <c r="R644" s="392">
        <v>2826</v>
      </c>
      <c r="S644" s="231">
        <v>222</v>
      </c>
      <c r="T644" s="396">
        <v>3048</v>
      </c>
      <c r="U644" s="231"/>
      <c r="V644" s="396"/>
      <c r="W644" s="396"/>
      <c r="X644" s="396">
        <v>16675</v>
      </c>
      <c r="Y644" s="396">
        <v>1191</v>
      </c>
    </row>
    <row r="645" spans="1:25" s="355" customFormat="1">
      <c r="A645" s="390">
        <v>96912</v>
      </c>
      <c r="B645" s="391" t="s">
        <v>1340</v>
      </c>
      <c r="C645" s="234">
        <v>7.5400000000000003E-5</v>
      </c>
      <c r="D645" s="234">
        <v>7.2000000000000002E-5</v>
      </c>
      <c r="E645" s="231">
        <v>269436</v>
      </c>
      <c r="F645" s="231" t="s">
        <v>1924</v>
      </c>
      <c r="G645" s="392">
        <v>34025</v>
      </c>
      <c r="H645" s="392">
        <v>37916</v>
      </c>
      <c r="I645" s="392">
        <v>20051</v>
      </c>
      <c r="J645" s="231">
        <v>2187</v>
      </c>
      <c r="K645" s="231">
        <v>94179</v>
      </c>
      <c r="L645" s="231"/>
      <c r="M645" s="225">
        <v>0</v>
      </c>
      <c r="N645" s="225">
        <v>0</v>
      </c>
      <c r="O645" s="231">
        <v>1495</v>
      </c>
      <c r="P645" s="231">
        <v>1495</v>
      </c>
      <c r="Q645" s="231"/>
      <c r="R645" s="392">
        <v>92657</v>
      </c>
      <c r="S645" s="231">
        <v>-455</v>
      </c>
      <c r="T645" s="396">
        <v>92202</v>
      </c>
      <c r="U645" s="231"/>
      <c r="V645" s="396"/>
      <c r="W645" s="396"/>
      <c r="X645" s="396">
        <v>546657</v>
      </c>
      <c r="Y645" s="396">
        <v>39046</v>
      </c>
    </row>
    <row r="646" spans="1:25">
      <c r="A646" s="390">
        <v>96918</v>
      </c>
      <c r="B646" s="391" t="s">
        <v>1341</v>
      </c>
      <c r="C646" s="234">
        <v>3.1300000000000002E-5</v>
      </c>
      <c r="D646" s="234">
        <v>2.9799999999999999E-5</v>
      </c>
      <c r="E646" s="231">
        <v>111848</v>
      </c>
      <c r="F646" s="231" t="s">
        <v>1924</v>
      </c>
      <c r="G646" s="392">
        <v>14124</v>
      </c>
      <c r="H646" s="392">
        <v>15739</v>
      </c>
      <c r="I646" s="392">
        <v>8324</v>
      </c>
      <c r="J646" s="231">
        <v>7969</v>
      </c>
      <c r="K646" s="231">
        <v>46156</v>
      </c>
      <c r="L646" s="231"/>
      <c r="M646" s="225">
        <v>0</v>
      </c>
      <c r="N646" s="225">
        <v>0</v>
      </c>
      <c r="O646" s="231">
        <v>1957</v>
      </c>
      <c r="P646" s="231">
        <v>1957</v>
      </c>
      <c r="Q646" s="231"/>
      <c r="R646" s="392">
        <v>38464</v>
      </c>
      <c r="S646" s="231">
        <v>1563</v>
      </c>
      <c r="T646" s="396">
        <v>40027</v>
      </c>
      <c r="U646" s="231"/>
      <c r="V646" s="396"/>
      <c r="W646" s="396"/>
      <c r="X646" s="396">
        <v>226928</v>
      </c>
      <c r="Y646" s="396">
        <v>16209</v>
      </c>
    </row>
    <row r="647" spans="1:25">
      <c r="A647" s="390">
        <v>97001</v>
      </c>
      <c r="B647" s="391" t="s">
        <v>1342</v>
      </c>
      <c r="C647" s="234">
        <v>1.4051999999999999E-3</v>
      </c>
      <c r="D647" s="234">
        <v>1.3541E-3</v>
      </c>
      <c r="E647" s="231">
        <v>5021378</v>
      </c>
      <c r="F647" s="231" t="s">
        <v>1924</v>
      </c>
      <c r="G647" s="392">
        <v>634112</v>
      </c>
      <c r="H647" s="392">
        <v>706624</v>
      </c>
      <c r="I647" s="392">
        <v>373689</v>
      </c>
      <c r="J647" s="231">
        <v>173891</v>
      </c>
      <c r="K647" s="231">
        <v>1888316</v>
      </c>
      <c r="L647" s="231"/>
      <c r="M647" s="225">
        <v>0</v>
      </c>
      <c r="N647" s="225">
        <v>0</v>
      </c>
      <c r="O647" s="231">
        <v>0</v>
      </c>
      <c r="P647" s="231">
        <v>0</v>
      </c>
      <c r="Q647" s="231"/>
      <c r="R647" s="392">
        <v>1726815</v>
      </c>
      <c r="S647" s="231">
        <v>91810</v>
      </c>
      <c r="T647" s="396">
        <v>1818625</v>
      </c>
      <c r="U647" s="231"/>
      <c r="V647" s="396"/>
      <c r="W647" s="396"/>
      <c r="X647" s="396">
        <v>10187829</v>
      </c>
      <c r="Y647" s="396">
        <v>727694</v>
      </c>
    </row>
    <row r="648" spans="1:25">
      <c r="A648" s="390">
        <v>97002</v>
      </c>
      <c r="B648" s="391" t="s">
        <v>1343</v>
      </c>
      <c r="C648" s="234">
        <v>4.7550000000000001E-4</v>
      </c>
      <c r="D648" s="234">
        <v>5.04E-4</v>
      </c>
      <c r="E648" s="231">
        <v>1699164</v>
      </c>
      <c r="F648" s="231" t="s">
        <v>1924</v>
      </c>
      <c r="G648" s="392">
        <v>214575</v>
      </c>
      <c r="H648" s="392">
        <v>239112</v>
      </c>
      <c r="I648" s="392">
        <v>126451</v>
      </c>
      <c r="J648" s="231">
        <v>0</v>
      </c>
      <c r="K648" s="231">
        <v>580138</v>
      </c>
      <c r="L648" s="231"/>
      <c r="M648" s="225">
        <v>0</v>
      </c>
      <c r="N648" s="225">
        <v>0</v>
      </c>
      <c r="O648" s="231">
        <v>147141</v>
      </c>
      <c r="P648" s="231">
        <v>147141</v>
      </c>
      <c r="Q648" s="231"/>
      <c r="R648" s="392">
        <v>584330</v>
      </c>
      <c r="S648" s="231">
        <v>-54280</v>
      </c>
      <c r="T648" s="396">
        <v>530050</v>
      </c>
      <c r="U648" s="231"/>
      <c r="V648" s="396"/>
      <c r="W648" s="396"/>
      <c r="X648" s="396">
        <v>3447419</v>
      </c>
      <c r="Y648" s="396">
        <v>246241</v>
      </c>
    </row>
    <row r="649" spans="1:25">
      <c r="A649" s="390">
        <v>97004</v>
      </c>
      <c r="B649" s="391" t="s">
        <v>1344</v>
      </c>
      <c r="C649" s="234">
        <v>1.27E-5</v>
      </c>
      <c r="D649" s="234">
        <v>1.5400000000000002E-5</v>
      </c>
      <c r="E649" s="231">
        <v>45383</v>
      </c>
      <c r="F649" s="231" t="s">
        <v>1924</v>
      </c>
      <c r="G649" s="392">
        <v>5731</v>
      </c>
      <c r="H649" s="392">
        <v>6386</v>
      </c>
      <c r="I649" s="392">
        <v>3377</v>
      </c>
      <c r="J649" s="231">
        <v>7716</v>
      </c>
      <c r="K649" s="231">
        <v>23210</v>
      </c>
      <c r="L649" s="231"/>
      <c r="M649" s="225">
        <v>0</v>
      </c>
      <c r="N649" s="225">
        <v>0</v>
      </c>
      <c r="O649" s="231">
        <v>914</v>
      </c>
      <c r="P649" s="231">
        <v>914</v>
      </c>
      <c r="Q649" s="231"/>
      <c r="R649" s="392">
        <v>15607</v>
      </c>
      <c r="S649" s="231">
        <v>2929</v>
      </c>
      <c r="T649" s="396">
        <v>18536</v>
      </c>
      <c r="U649" s="231"/>
      <c r="V649" s="396"/>
      <c r="W649" s="396"/>
      <c r="X649" s="396">
        <v>92076</v>
      </c>
      <c r="Y649" s="396">
        <v>6577</v>
      </c>
    </row>
    <row r="650" spans="1:25">
      <c r="A650" s="390">
        <v>97005</v>
      </c>
      <c r="B650" s="391" t="s">
        <v>1345</v>
      </c>
      <c r="C650" s="234">
        <v>2.2500000000000001E-5</v>
      </c>
      <c r="D650" s="234">
        <v>2.0100000000000001E-5</v>
      </c>
      <c r="E650" s="231">
        <v>80402</v>
      </c>
      <c r="F650" s="231" t="s">
        <v>1924</v>
      </c>
      <c r="G650" s="392">
        <v>10153</v>
      </c>
      <c r="H650" s="392">
        <v>11314</v>
      </c>
      <c r="I650" s="392">
        <v>5983</v>
      </c>
      <c r="J650" s="231">
        <v>9482</v>
      </c>
      <c r="K650" s="231">
        <v>36932</v>
      </c>
      <c r="L650" s="231"/>
      <c r="M650" s="225">
        <v>0</v>
      </c>
      <c r="N650" s="225">
        <v>0</v>
      </c>
      <c r="O650" s="231">
        <v>1351</v>
      </c>
      <c r="P650" s="231">
        <v>1351</v>
      </c>
      <c r="Q650" s="231"/>
      <c r="R650" s="392">
        <v>27650</v>
      </c>
      <c r="S650" s="231">
        <v>4294</v>
      </c>
      <c r="T650" s="396">
        <v>31944</v>
      </c>
      <c r="U650" s="231"/>
      <c r="V650" s="396"/>
      <c r="W650" s="396"/>
      <c r="X650" s="396">
        <v>163127</v>
      </c>
      <c r="Y650" s="396">
        <v>11652</v>
      </c>
    </row>
    <row r="651" spans="1:25">
      <c r="A651" s="390">
        <v>97008</v>
      </c>
      <c r="B651" s="391" t="s">
        <v>1346</v>
      </c>
      <c r="C651" s="234">
        <v>2.7549999999999997E-4</v>
      </c>
      <c r="D651" s="234">
        <v>2.8699999999999998E-4</v>
      </c>
      <c r="E651" s="231">
        <v>984479</v>
      </c>
      <c r="F651" s="231" t="s">
        <v>1924</v>
      </c>
      <c r="G651" s="392">
        <v>124322</v>
      </c>
      <c r="H651" s="392">
        <v>138539</v>
      </c>
      <c r="I651" s="392">
        <v>73265</v>
      </c>
      <c r="J651" s="231">
        <v>10011</v>
      </c>
      <c r="K651" s="231">
        <v>346137</v>
      </c>
      <c r="L651" s="231"/>
      <c r="M651" s="225">
        <v>0</v>
      </c>
      <c r="N651" s="225">
        <v>0</v>
      </c>
      <c r="O651" s="231">
        <v>8984</v>
      </c>
      <c r="P651" s="231">
        <v>8984</v>
      </c>
      <c r="Q651" s="231"/>
      <c r="R651" s="392">
        <v>338555</v>
      </c>
      <c r="S651" s="231">
        <v>521</v>
      </c>
      <c r="T651" s="396">
        <v>339076</v>
      </c>
      <c r="U651" s="231"/>
      <c r="V651" s="396"/>
      <c r="W651" s="396"/>
      <c r="X651" s="396">
        <v>1997400</v>
      </c>
      <c r="Y651" s="396">
        <v>142670</v>
      </c>
    </row>
    <row r="652" spans="1:25">
      <c r="A652" s="390">
        <v>97010</v>
      </c>
      <c r="B652" s="391" t="s">
        <v>1347</v>
      </c>
      <c r="C652" s="234">
        <v>0</v>
      </c>
      <c r="D652" s="234">
        <v>0</v>
      </c>
      <c r="E652" s="231">
        <v>0</v>
      </c>
      <c r="F652" s="231" t="s">
        <v>1924</v>
      </c>
      <c r="G652" s="392">
        <v>0</v>
      </c>
      <c r="H652" s="392">
        <v>0</v>
      </c>
      <c r="I652" s="392">
        <v>0</v>
      </c>
      <c r="J652" s="231">
        <v>0</v>
      </c>
      <c r="K652" s="231">
        <v>0</v>
      </c>
      <c r="L652" s="231"/>
      <c r="M652" s="225">
        <v>0</v>
      </c>
      <c r="N652" s="225">
        <v>0</v>
      </c>
      <c r="O652" s="231">
        <v>0</v>
      </c>
      <c r="P652" s="231">
        <v>0</v>
      </c>
      <c r="Q652" s="231"/>
      <c r="R652" s="392">
        <v>0</v>
      </c>
      <c r="S652" s="231">
        <v>0</v>
      </c>
      <c r="T652" s="396">
        <v>0</v>
      </c>
      <c r="U652" s="231"/>
      <c r="V652" s="396"/>
      <c r="W652" s="396"/>
      <c r="X652" s="396">
        <v>0</v>
      </c>
      <c r="Y652" s="396">
        <v>0</v>
      </c>
    </row>
    <row r="653" spans="1:25">
      <c r="A653" s="390">
        <v>97011</v>
      </c>
      <c r="B653" s="391" t="s">
        <v>1348</v>
      </c>
      <c r="C653" s="234">
        <v>1.8404000000000001E-3</v>
      </c>
      <c r="D653" s="234">
        <v>1.8362999999999999E-3</v>
      </c>
      <c r="E653" s="231">
        <v>6576533</v>
      </c>
      <c r="F653" s="231" t="s">
        <v>1924</v>
      </c>
      <c r="G653" s="392">
        <v>830501</v>
      </c>
      <c r="H653" s="392">
        <v>925470</v>
      </c>
      <c r="I653" s="392">
        <v>489423</v>
      </c>
      <c r="J653" s="231">
        <v>17060</v>
      </c>
      <c r="K653" s="231">
        <v>2262454</v>
      </c>
      <c r="L653" s="231"/>
      <c r="M653" s="225">
        <v>0</v>
      </c>
      <c r="N653" s="225">
        <v>0</v>
      </c>
      <c r="O653" s="231">
        <v>76841</v>
      </c>
      <c r="P653" s="231">
        <v>76841</v>
      </c>
      <c r="Q653" s="231"/>
      <c r="R653" s="392">
        <v>2261622</v>
      </c>
      <c r="S653" s="231">
        <v>-42371</v>
      </c>
      <c r="T653" s="396">
        <v>2219251</v>
      </c>
      <c r="U653" s="231"/>
      <c r="V653" s="396"/>
      <c r="W653" s="396"/>
      <c r="X653" s="396">
        <v>13343069</v>
      </c>
      <c r="Y653" s="396">
        <v>953066</v>
      </c>
    </row>
    <row r="654" spans="1:25">
      <c r="A654" s="390">
        <v>97012</v>
      </c>
      <c r="B654" s="391" t="s">
        <v>1349</v>
      </c>
      <c r="C654" s="234">
        <v>2.8399999999999999E-5</v>
      </c>
      <c r="D654" s="234">
        <v>2.97E-5</v>
      </c>
      <c r="E654" s="231">
        <v>101485</v>
      </c>
      <c r="F654" s="231" t="s">
        <v>1924</v>
      </c>
      <c r="G654" s="392">
        <v>12816</v>
      </c>
      <c r="H654" s="392">
        <v>14281</v>
      </c>
      <c r="I654" s="392">
        <v>7552</v>
      </c>
      <c r="J654" s="231">
        <v>3449</v>
      </c>
      <c r="K654" s="231">
        <v>38098</v>
      </c>
      <c r="L654" s="231"/>
      <c r="M654" s="225">
        <v>0</v>
      </c>
      <c r="N654" s="225">
        <v>0</v>
      </c>
      <c r="O654" s="231">
        <v>3004</v>
      </c>
      <c r="P654" s="231">
        <v>3004</v>
      </c>
      <c r="Q654" s="231"/>
      <c r="R654" s="392">
        <v>34900</v>
      </c>
      <c r="S654" s="231">
        <v>1586</v>
      </c>
      <c r="T654" s="396">
        <v>36486</v>
      </c>
      <c r="U654" s="231"/>
      <c r="V654" s="396"/>
      <c r="W654" s="396"/>
      <c r="X654" s="396">
        <v>205903</v>
      </c>
      <c r="Y654" s="396">
        <v>14707</v>
      </c>
    </row>
    <row r="655" spans="1:25">
      <c r="A655" s="390">
        <v>97013</v>
      </c>
      <c r="B655" s="391" t="s">
        <v>1350</v>
      </c>
      <c r="C655" s="234">
        <v>1.8899999999999999E-5</v>
      </c>
      <c r="D655" s="234">
        <v>9.0000000000000002E-6</v>
      </c>
      <c r="E655" s="231">
        <v>67538</v>
      </c>
      <c r="F655" s="231" t="s">
        <v>1924</v>
      </c>
      <c r="G655" s="392">
        <v>8529</v>
      </c>
      <c r="H655" s="392">
        <v>9504</v>
      </c>
      <c r="I655" s="392">
        <v>5026</v>
      </c>
      <c r="J655" s="231">
        <v>14731</v>
      </c>
      <c r="K655" s="231">
        <v>37790</v>
      </c>
      <c r="L655" s="231"/>
      <c r="M655" s="225">
        <v>0</v>
      </c>
      <c r="N655" s="225">
        <v>0</v>
      </c>
      <c r="O655" s="231">
        <v>6337</v>
      </c>
      <c r="P655" s="231">
        <v>6337</v>
      </c>
      <c r="Q655" s="231"/>
      <c r="R655" s="392">
        <v>23226</v>
      </c>
      <c r="S655" s="231">
        <v>4297</v>
      </c>
      <c r="T655" s="396">
        <v>27523</v>
      </c>
      <c r="U655" s="231"/>
      <c r="V655" s="396"/>
      <c r="W655" s="396"/>
      <c r="X655" s="396">
        <v>137027</v>
      </c>
      <c r="Y655" s="396">
        <v>9788</v>
      </c>
    </row>
    <row r="656" spans="1:25">
      <c r="A656" s="390">
        <v>97015</v>
      </c>
      <c r="B656" s="391" t="s">
        <v>1351</v>
      </c>
      <c r="C656" s="234">
        <v>4.71E-5</v>
      </c>
      <c r="D656" s="234">
        <v>4.3900000000000003E-5</v>
      </c>
      <c r="E656" s="231">
        <v>168308</v>
      </c>
      <c r="F656" s="231" t="s">
        <v>1924</v>
      </c>
      <c r="G656" s="392">
        <v>21254</v>
      </c>
      <c r="H656" s="392">
        <v>23685</v>
      </c>
      <c r="I656" s="392">
        <v>12525</v>
      </c>
      <c r="J656" s="231">
        <v>10970</v>
      </c>
      <c r="K656" s="231">
        <v>68434</v>
      </c>
      <c r="L656" s="231"/>
      <c r="M656" s="225">
        <v>0</v>
      </c>
      <c r="N656" s="225">
        <v>0</v>
      </c>
      <c r="O656" s="231">
        <v>4699</v>
      </c>
      <c r="P656" s="231">
        <v>4699</v>
      </c>
      <c r="Q656" s="231"/>
      <c r="R656" s="392">
        <v>57880</v>
      </c>
      <c r="S656" s="231">
        <v>2560</v>
      </c>
      <c r="T656" s="396">
        <v>60440</v>
      </c>
      <c r="U656" s="231"/>
      <c r="V656" s="396"/>
      <c r="W656" s="396"/>
      <c r="X656" s="396">
        <v>341479</v>
      </c>
      <c r="Y656" s="396">
        <v>24391</v>
      </c>
    </row>
    <row r="657" spans="1:25">
      <c r="A657" s="390">
        <v>97018</v>
      </c>
      <c r="B657" s="391" t="s">
        <v>1352</v>
      </c>
      <c r="C657" s="234">
        <v>1.63E-5</v>
      </c>
      <c r="D657" s="234">
        <v>1.6399999999999999E-5</v>
      </c>
      <c r="E657" s="231">
        <v>58247</v>
      </c>
      <c r="F657" s="231" t="s">
        <v>1924</v>
      </c>
      <c r="G657" s="392">
        <v>7356</v>
      </c>
      <c r="H657" s="392">
        <v>8196</v>
      </c>
      <c r="I657" s="392">
        <v>4335</v>
      </c>
      <c r="J657" s="231">
        <v>7657</v>
      </c>
      <c r="K657" s="231">
        <v>27544</v>
      </c>
      <c r="L657" s="231"/>
      <c r="M657" s="225">
        <v>0</v>
      </c>
      <c r="N657" s="225">
        <v>0</v>
      </c>
      <c r="O657" s="231">
        <v>0</v>
      </c>
      <c r="P657" s="231">
        <v>0</v>
      </c>
      <c r="Q657" s="231"/>
      <c r="R657" s="392">
        <v>20031</v>
      </c>
      <c r="S657" s="231">
        <v>3882</v>
      </c>
      <c r="T657" s="396">
        <v>23913</v>
      </c>
      <c r="U657" s="231"/>
      <c r="V657" s="396"/>
      <c r="W657" s="396"/>
      <c r="X657" s="396">
        <v>118176</v>
      </c>
      <c r="Y657" s="396">
        <v>8441</v>
      </c>
    </row>
    <row r="658" spans="1:25">
      <c r="A658" s="390">
        <v>97101</v>
      </c>
      <c r="B658" s="391" t="s">
        <v>1353</v>
      </c>
      <c r="C658" s="234">
        <v>2.7287000000000001E-3</v>
      </c>
      <c r="D658" s="234">
        <v>2.7334E-3</v>
      </c>
      <c r="E658" s="231">
        <v>9750808</v>
      </c>
      <c r="F658" s="231" t="s">
        <v>1924</v>
      </c>
      <c r="G658" s="392">
        <v>1231356</v>
      </c>
      <c r="H658" s="392">
        <v>1372165</v>
      </c>
      <c r="I658" s="392">
        <v>725651</v>
      </c>
      <c r="J658" s="231">
        <v>269024</v>
      </c>
      <c r="K658" s="231">
        <v>3598196</v>
      </c>
      <c r="L658" s="231"/>
      <c r="M658" s="225">
        <v>0</v>
      </c>
      <c r="N658" s="225">
        <v>0</v>
      </c>
      <c r="O658" s="231">
        <v>0</v>
      </c>
      <c r="P658" s="231">
        <v>0</v>
      </c>
      <c r="Q658" s="231"/>
      <c r="R658" s="392">
        <v>3353231</v>
      </c>
      <c r="S658" s="231">
        <v>93356</v>
      </c>
      <c r="T658" s="396">
        <v>3446587</v>
      </c>
      <c r="U658" s="231"/>
      <c r="V658" s="396"/>
      <c r="W658" s="396"/>
      <c r="X658" s="396">
        <v>19783326</v>
      </c>
      <c r="Y658" s="396">
        <v>1413079</v>
      </c>
    </row>
    <row r="659" spans="1:25">
      <c r="A659" s="390">
        <v>97104</v>
      </c>
      <c r="B659" s="391" t="s">
        <v>1354</v>
      </c>
      <c r="C659" s="234">
        <v>5.3199999999999999E-5</v>
      </c>
      <c r="D659" s="234">
        <v>5.41E-5</v>
      </c>
      <c r="E659" s="231">
        <v>190106</v>
      </c>
      <c r="F659" s="231" t="s">
        <v>1924</v>
      </c>
      <c r="G659" s="392">
        <v>24007</v>
      </c>
      <c r="H659" s="392">
        <v>26753</v>
      </c>
      <c r="I659" s="392">
        <v>14148</v>
      </c>
      <c r="J659" s="231">
        <v>7657</v>
      </c>
      <c r="K659" s="231">
        <v>72565</v>
      </c>
      <c r="L659" s="231"/>
      <c r="M659" s="225">
        <v>0</v>
      </c>
      <c r="N659" s="225">
        <v>0</v>
      </c>
      <c r="O659" s="231">
        <v>0</v>
      </c>
      <c r="P659" s="231">
        <v>0</v>
      </c>
      <c r="Q659" s="231"/>
      <c r="R659" s="392">
        <v>65376</v>
      </c>
      <c r="S659" s="231">
        <v>4374</v>
      </c>
      <c r="T659" s="396">
        <v>69750</v>
      </c>
      <c r="U659" s="231"/>
      <c r="V659" s="396"/>
      <c r="W659" s="396"/>
      <c r="X659" s="396">
        <v>385705</v>
      </c>
      <c r="Y659" s="396">
        <v>27550</v>
      </c>
    </row>
    <row r="660" spans="1:25">
      <c r="A660" s="390">
        <v>97111</v>
      </c>
      <c r="B660" s="391" t="s">
        <v>1355</v>
      </c>
      <c r="C660" s="234">
        <v>3.1780000000000003E-4</v>
      </c>
      <c r="D660" s="234">
        <v>2.8489999999999999E-4</v>
      </c>
      <c r="E660" s="231">
        <v>1135635</v>
      </c>
      <c r="F660" s="231" t="s">
        <v>1924</v>
      </c>
      <c r="G660" s="392">
        <v>143411</v>
      </c>
      <c r="H660" s="392">
        <v>159810</v>
      </c>
      <c r="I660" s="392">
        <v>84514</v>
      </c>
      <c r="J660" s="231">
        <v>30087</v>
      </c>
      <c r="K660" s="231">
        <v>417822</v>
      </c>
      <c r="L660" s="231"/>
      <c r="M660" s="225">
        <v>0</v>
      </c>
      <c r="N660" s="225">
        <v>0</v>
      </c>
      <c r="O660" s="231">
        <v>17968</v>
      </c>
      <c r="P660" s="231">
        <v>17968</v>
      </c>
      <c r="Q660" s="231"/>
      <c r="R660" s="392">
        <v>390536</v>
      </c>
      <c r="S660" s="231">
        <v>2178</v>
      </c>
      <c r="T660" s="396">
        <v>392714</v>
      </c>
      <c r="U660" s="231"/>
      <c r="V660" s="396"/>
      <c r="W660" s="396"/>
      <c r="X660" s="396">
        <v>2304079</v>
      </c>
      <c r="Y660" s="396">
        <v>164575</v>
      </c>
    </row>
    <row r="661" spans="1:25">
      <c r="A661" s="390">
        <v>97121</v>
      </c>
      <c r="B661" s="391" t="s">
        <v>1356</v>
      </c>
      <c r="C661" s="234">
        <v>1.4660000000000001E-4</v>
      </c>
      <c r="D661" s="234">
        <v>1.493E-4</v>
      </c>
      <c r="E661" s="231">
        <v>523864</v>
      </c>
      <c r="F661" s="231" t="s">
        <v>1924</v>
      </c>
      <c r="G661" s="392">
        <v>66155</v>
      </c>
      <c r="H661" s="392">
        <v>73720</v>
      </c>
      <c r="I661" s="392">
        <v>38986</v>
      </c>
      <c r="J661" s="231">
        <v>40400</v>
      </c>
      <c r="K661" s="231">
        <v>219261</v>
      </c>
      <c r="L661" s="231"/>
      <c r="M661" s="225">
        <v>0</v>
      </c>
      <c r="N661" s="225">
        <v>0</v>
      </c>
      <c r="O661" s="231">
        <v>0</v>
      </c>
      <c r="P661" s="231">
        <v>0</v>
      </c>
      <c r="Q661" s="231"/>
      <c r="R661" s="392">
        <v>180153</v>
      </c>
      <c r="S661" s="231">
        <v>13680</v>
      </c>
      <c r="T661" s="396">
        <v>193833</v>
      </c>
      <c r="U661" s="231"/>
      <c r="V661" s="396"/>
      <c r="W661" s="396"/>
      <c r="X661" s="396">
        <v>1062863</v>
      </c>
      <c r="Y661" s="396">
        <v>75918</v>
      </c>
    </row>
    <row r="662" spans="1:25">
      <c r="A662" s="390">
        <v>97131</v>
      </c>
      <c r="B662" s="391" t="s">
        <v>1357</v>
      </c>
      <c r="C662" s="234">
        <v>7.1219999999999996E-4</v>
      </c>
      <c r="D662" s="234">
        <v>6.5379999999999995E-4</v>
      </c>
      <c r="E662" s="231">
        <v>2544994</v>
      </c>
      <c r="F662" s="231" t="s">
        <v>1924</v>
      </c>
      <c r="G662" s="392">
        <v>321388</v>
      </c>
      <c r="H662" s="392">
        <v>358140</v>
      </c>
      <c r="I662" s="392">
        <v>189397</v>
      </c>
      <c r="J662" s="231">
        <v>36705</v>
      </c>
      <c r="K662" s="231">
        <v>905630</v>
      </c>
      <c r="L662" s="231"/>
      <c r="M662" s="225">
        <v>0</v>
      </c>
      <c r="N662" s="225">
        <v>0</v>
      </c>
      <c r="O662" s="231">
        <v>58625</v>
      </c>
      <c r="P662" s="231">
        <v>58625</v>
      </c>
      <c r="Q662" s="231"/>
      <c r="R662" s="392">
        <v>875205</v>
      </c>
      <c r="S662" s="231">
        <v>-13552</v>
      </c>
      <c r="T662" s="396">
        <v>861653</v>
      </c>
      <c r="U662" s="231"/>
      <c r="V662" s="396"/>
      <c r="W662" s="396"/>
      <c r="X662" s="396">
        <v>5163516</v>
      </c>
      <c r="Y662" s="396">
        <v>368818</v>
      </c>
    </row>
    <row r="663" spans="1:25">
      <c r="A663" s="390">
        <v>97201</v>
      </c>
      <c r="B663" s="391" t="s">
        <v>1358</v>
      </c>
      <c r="C663" s="234">
        <v>5.5250000000000004E-4</v>
      </c>
      <c r="D663" s="234">
        <v>5.8529999999999997E-4</v>
      </c>
      <c r="E663" s="231">
        <v>1974318</v>
      </c>
      <c r="F663" s="231" t="s">
        <v>1924</v>
      </c>
      <c r="G663" s="392">
        <v>249322</v>
      </c>
      <c r="H663" s="392">
        <v>277832</v>
      </c>
      <c r="I663" s="392">
        <v>146928</v>
      </c>
      <c r="J663" s="231">
        <v>50442</v>
      </c>
      <c r="K663" s="231">
        <v>724524</v>
      </c>
      <c r="L663" s="231"/>
      <c r="M663" s="225">
        <v>0</v>
      </c>
      <c r="N663" s="225">
        <v>0</v>
      </c>
      <c r="O663" s="231">
        <v>38296</v>
      </c>
      <c r="P663" s="231">
        <v>38296</v>
      </c>
      <c r="Q663" s="231"/>
      <c r="R663" s="392">
        <v>678953</v>
      </c>
      <c r="S663" s="231">
        <v>12978</v>
      </c>
      <c r="T663" s="396">
        <v>691931</v>
      </c>
      <c r="U663" s="231"/>
      <c r="V663" s="396"/>
      <c r="W663" s="396"/>
      <c r="X663" s="396">
        <v>4005676</v>
      </c>
      <c r="Y663" s="396">
        <v>286117</v>
      </c>
    </row>
    <row r="664" spans="1:25">
      <c r="A664" s="390">
        <v>97211</v>
      </c>
      <c r="B664" s="391" t="s">
        <v>1359</v>
      </c>
      <c r="C664" s="234">
        <v>1.403E-4</v>
      </c>
      <c r="D664" s="234">
        <v>8.14E-5</v>
      </c>
      <c r="E664" s="231">
        <v>501352</v>
      </c>
      <c r="F664" s="231" t="s">
        <v>1924</v>
      </c>
      <c r="G664" s="392">
        <v>63312</v>
      </c>
      <c r="H664" s="392">
        <v>70551</v>
      </c>
      <c r="I664" s="392">
        <v>37310</v>
      </c>
      <c r="J664" s="231">
        <v>87966</v>
      </c>
      <c r="K664" s="231">
        <v>259139</v>
      </c>
      <c r="L664" s="231"/>
      <c r="M664" s="225">
        <v>0</v>
      </c>
      <c r="N664" s="225">
        <v>0</v>
      </c>
      <c r="O664" s="231">
        <v>27090</v>
      </c>
      <c r="P664" s="231">
        <v>27090</v>
      </c>
      <c r="Q664" s="231"/>
      <c r="R664" s="392">
        <v>172411</v>
      </c>
      <c r="S664" s="231">
        <v>18578</v>
      </c>
      <c r="T664" s="396">
        <v>190989</v>
      </c>
      <c r="U664" s="231"/>
      <c r="V664" s="396"/>
      <c r="W664" s="396"/>
      <c r="X664" s="396">
        <v>1017188</v>
      </c>
      <c r="Y664" s="396">
        <v>72655</v>
      </c>
    </row>
    <row r="665" spans="1:25">
      <c r="A665" s="390">
        <v>97213</v>
      </c>
      <c r="B665" s="391" t="s">
        <v>1360</v>
      </c>
      <c r="C665" s="234">
        <v>3.5299999999999997E-5</v>
      </c>
      <c r="D665" s="234">
        <v>3.5500000000000002E-5</v>
      </c>
      <c r="E665" s="231">
        <v>126142</v>
      </c>
      <c r="F665" s="231" t="s">
        <v>1924</v>
      </c>
      <c r="G665" s="392">
        <v>15930</v>
      </c>
      <c r="H665" s="392">
        <v>17751</v>
      </c>
      <c r="I665" s="392">
        <v>9387</v>
      </c>
      <c r="J665" s="231">
        <v>7098</v>
      </c>
      <c r="K665" s="231">
        <v>50166</v>
      </c>
      <c r="L665" s="231"/>
      <c r="M665" s="225">
        <v>0</v>
      </c>
      <c r="N665" s="225">
        <v>0</v>
      </c>
      <c r="O665" s="231">
        <v>3715</v>
      </c>
      <c r="P665" s="231">
        <v>3715</v>
      </c>
      <c r="Q665" s="231"/>
      <c r="R665" s="392">
        <v>43379</v>
      </c>
      <c r="S665" s="231">
        <v>2308</v>
      </c>
      <c r="T665" s="396">
        <v>45687</v>
      </c>
      <c r="U665" s="231"/>
      <c r="V665" s="396"/>
      <c r="W665" s="396"/>
      <c r="X665" s="396">
        <v>255928</v>
      </c>
      <c r="Y665" s="396">
        <v>18280</v>
      </c>
    </row>
    <row r="666" spans="1:25">
      <c r="A666" s="390">
        <v>97217</v>
      </c>
      <c r="B666" s="391" t="s">
        <v>1361</v>
      </c>
      <c r="C666" s="234">
        <v>5.3000000000000001E-6</v>
      </c>
      <c r="D666" s="234">
        <v>5.5999999999999997E-6</v>
      </c>
      <c r="E666" s="231">
        <v>18939</v>
      </c>
      <c r="F666" s="231" t="s">
        <v>1924</v>
      </c>
      <c r="G666" s="392">
        <v>2392</v>
      </c>
      <c r="H666" s="392">
        <v>2665</v>
      </c>
      <c r="I666" s="392">
        <v>1409</v>
      </c>
      <c r="J666" s="231">
        <v>8199</v>
      </c>
      <c r="K666" s="231">
        <v>14665</v>
      </c>
      <c r="L666" s="231"/>
      <c r="M666" s="225">
        <v>0</v>
      </c>
      <c r="N666" s="225">
        <v>0</v>
      </c>
      <c r="O666" s="231">
        <v>0</v>
      </c>
      <c r="P666" s="231">
        <v>0</v>
      </c>
      <c r="Q666" s="231"/>
      <c r="R666" s="392">
        <v>6513</v>
      </c>
      <c r="S666" s="231">
        <v>4350</v>
      </c>
      <c r="T666" s="396">
        <v>10863</v>
      </c>
      <c r="U666" s="231"/>
      <c r="V666" s="396"/>
      <c r="W666" s="396"/>
      <c r="X666" s="396">
        <v>38425</v>
      </c>
      <c r="Y666" s="396">
        <v>2745</v>
      </c>
    </row>
    <row r="667" spans="1:25">
      <c r="A667" s="390">
        <v>97221</v>
      </c>
      <c r="B667" s="391" t="s">
        <v>1362</v>
      </c>
      <c r="C667" s="234">
        <v>2.2000000000000001E-6</v>
      </c>
      <c r="D667" s="234">
        <v>1.24E-5</v>
      </c>
      <c r="E667" s="231">
        <v>7862</v>
      </c>
      <c r="F667" s="231" t="s">
        <v>1924</v>
      </c>
      <c r="G667" s="392">
        <v>993</v>
      </c>
      <c r="H667" s="392">
        <v>1106</v>
      </c>
      <c r="I667" s="392">
        <v>585</v>
      </c>
      <c r="J667" s="231">
        <v>6958</v>
      </c>
      <c r="K667" s="231">
        <v>9642</v>
      </c>
      <c r="L667" s="231"/>
      <c r="M667" s="225">
        <v>0</v>
      </c>
      <c r="N667" s="225">
        <v>0</v>
      </c>
      <c r="O667" s="231">
        <v>7987</v>
      </c>
      <c r="P667" s="231">
        <v>7987</v>
      </c>
      <c r="Q667" s="231"/>
      <c r="R667" s="392">
        <v>2704</v>
      </c>
      <c r="S667" s="231">
        <v>1162</v>
      </c>
      <c r="T667" s="396">
        <v>3866</v>
      </c>
      <c r="U667" s="231"/>
      <c r="V667" s="396"/>
      <c r="W667" s="396"/>
      <c r="X667" s="396">
        <v>15950</v>
      </c>
      <c r="Y667" s="396">
        <v>1139</v>
      </c>
    </row>
    <row r="668" spans="1:25">
      <c r="A668" s="390">
        <v>97301</v>
      </c>
      <c r="B668" s="391" t="s">
        <v>1363</v>
      </c>
      <c r="C668" s="234">
        <v>2.4283999999999998E-3</v>
      </c>
      <c r="D668" s="234">
        <v>2.3942E-3</v>
      </c>
      <c r="E668" s="231">
        <v>8677708</v>
      </c>
      <c r="F668" s="231" t="s">
        <v>1924</v>
      </c>
      <c r="G668" s="392">
        <v>1095842</v>
      </c>
      <c r="H668" s="392">
        <v>1221154</v>
      </c>
      <c r="I668" s="392">
        <v>645792</v>
      </c>
      <c r="J668" s="231">
        <v>0</v>
      </c>
      <c r="K668" s="231">
        <v>2962788</v>
      </c>
      <c r="L668" s="231"/>
      <c r="M668" s="225">
        <v>0</v>
      </c>
      <c r="N668" s="225">
        <v>0</v>
      </c>
      <c r="O668" s="231">
        <v>151894</v>
      </c>
      <c r="P668" s="231">
        <v>151894</v>
      </c>
      <c r="Q668" s="231"/>
      <c r="R668" s="392">
        <v>2984200</v>
      </c>
      <c r="S668" s="231">
        <v>-64592</v>
      </c>
      <c r="T668" s="396">
        <v>2919608</v>
      </c>
      <c r="U668" s="231"/>
      <c r="V668" s="396"/>
      <c r="W668" s="396"/>
      <c r="X668" s="396">
        <v>17606123</v>
      </c>
      <c r="Y668" s="396">
        <v>1257566</v>
      </c>
    </row>
    <row r="669" spans="1:25">
      <c r="A669" s="390">
        <v>97302</v>
      </c>
      <c r="B669" s="391" t="s">
        <v>3611</v>
      </c>
      <c r="C669" s="234">
        <v>4.1300000000000001E-5</v>
      </c>
      <c r="D669" s="234">
        <v>0</v>
      </c>
      <c r="E669" s="231">
        <v>147582</v>
      </c>
      <c r="F669" s="231" t="s">
        <v>1924</v>
      </c>
      <c r="G669" s="392">
        <v>18637</v>
      </c>
      <c r="H669" s="392">
        <v>20768</v>
      </c>
      <c r="I669" s="392">
        <v>10983</v>
      </c>
      <c r="J669" s="231">
        <v>69939</v>
      </c>
      <c r="K669" s="231">
        <v>120327</v>
      </c>
      <c r="L669" s="231"/>
      <c r="M669" s="225">
        <v>0</v>
      </c>
      <c r="N669" s="225">
        <v>0</v>
      </c>
      <c r="O669" s="231">
        <v>0</v>
      </c>
      <c r="P669" s="231">
        <v>0</v>
      </c>
      <c r="Q669" s="231"/>
      <c r="R669" s="392">
        <v>50753</v>
      </c>
      <c r="S669" s="231">
        <v>23313</v>
      </c>
      <c r="T669" s="396">
        <v>74066</v>
      </c>
      <c r="U669" s="231"/>
      <c r="V669" s="396"/>
      <c r="W669" s="396"/>
      <c r="X669" s="396">
        <v>299429</v>
      </c>
      <c r="Y669" s="396">
        <v>21388</v>
      </c>
    </row>
    <row r="670" spans="1:25">
      <c r="A670" s="390">
        <v>97304</v>
      </c>
      <c r="B670" s="391" t="s">
        <v>1364</v>
      </c>
      <c r="C670" s="234">
        <v>1.4100000000000001E-5</v>
      </c>
      <c r="D670" s="234">
        <v>1.4399999999999999E-5</v>
      </c>
      <c r="E670" s="231">
        <v>50385</v>
      </c>
      <c r="F670" s="231" t="s">
        <v>1924</v>
      </c>
      <c r="G670" s="392">
        <v>6363</v>
      </c>
      <c r="H670" s="392">
        <v>7090</v>
      </c>
      <c r="I670" s="392">
        <v>3750</v>
      </c>
      <c r="J670" s="231">
        <v>14312</v>
      </c>
      <c r="K670" s="231">
        <v>31515</v>
      </c>
      <c r="L670" s="231"/>
      <c r="M670" s="225">
        <v>0</v>
      </c>
      <c r="N670" s="225">
        <v>0</v>
      </c>
      <c r="O670" s="231">
        <v>0</v>
      </c>
      <c r="P670" s="231">
        <v>0</v>
      </c>
      <c r="Q670" s="231"/>
      <c r="R670" s="392">
        <v>17327</v>
      </c>
      <c r="S670" s="231">
        <v>6486</v>
      </c>
      <c r="T670" s="396">
        <v>23813</v>
      </c>
      <c r="U670" s="231"/>
      <c r="V670" s="396"/>
      <c r="W670" s="396"/>
      <c r="X670" s="396">
        <v>102226</v>
      </c>
      <c r="Y670" s="396">
        <v>7302</v>
      </c>
    </row>
    <row r="671" spans="1:25">
      <c r="A671" s="390">
        <v>97311</v>
      </c>
      <c r="B671" s="391" t="s">
        <v>1365</v>
      </c>
      <c r="C671" s="234">
        <v>8.4060000000000005E-4</v>
      </c>
      <c r="D671" s="234">
        <v>9.0109999999999995E-4</v>
      </c>
      <c r="E671" s="231">
        <v>3003822</v>
      </c>
      <c r="F671" s="231" t="s">
        <v>1924</v>
      </c>
      <c r="G671" s="392">
        <v>379330</v>
      </c>
      <c r="H671" s="392">
        <v>422708</v>
      </c>
      <c r="I671" s="392">
        <v>223543</v>
      </c>
      <c r="J671" s="231">
        <v>0</v>
      </c>
      <c r="K671" s="231">
        <v>1025581</v>
      </c>
      <c r="L671" s="231"/>
      <c r="M671" s="225">
        <v>0</v>
      </c>
      <c r="N671" s="225">
        <v>0</v>
      </c>
      <c r="O671" s="231">
        <v>90129</v>
      </c>
      <c r="P671" s="231">
        <v>90129</v>
      </c>
      <c r="Q671" s="231"/>
      <c r="R671" s="392">
        <v>1032992</v>
      </c>
      <c r="S671" s="231">
        <v>-51778</v>
      </c>
      <c r="T671" s="396">
        <v>981214</v>
      </c>
      <c r="U671" s="231"/>
      <c r="V671" s="396"/>
      <c r="W671" s="396"/>
      <c r="X671" s="396">
        <v>6094427</v>
      </c>
      <c r="Y671" s="396">
        <v>435311</v>
      </c>
    </row>
    <row r="672" spans="1:25">
      <c r="A672" s="390">
        <v>97401</v>
      </c>
      <c r="B672" s="391" t="s">
        <v>1366</v>
      </c>
      <c r="C672" s="234">
        <v>6.9747999999999998E-3</v>
      </c>
      <c r="D672" s="234">
        <v>7.0562999999999997E-3</v>
      </c>
      <c r="E672" s="231">
        <v>24923932</v>
      </c>
      <c r="F672" s="231" t="s">
        <v>1924</v>
      </c>
      <c r="G672" s="392">
        <v>3147455</v>
      </c>
      <c r="H672" s="392">
        <v>3507375</v>
      </c>
      <c r="I672" s="392">
        <v>1854829</v>
      </c>
      <c r="J672" s="231">
        <v>78420</v>
      </c>
      <c r="K672" s="231">
        <v>8588079</v>
      </c>
      <c r="L672" s="231"/>
      <c r="M672" s="225">
        <v>0</v>
      </c>
      <c r="N672" s="225">
        <v>0</v>
      </c>
      <c r="O672" s="231">
        <v>231704</v>
      </c>
      <c r="P672" s="231">
        <v>231704</v>
      </c>
      <c r="Q672" s="231"/>
      <c r="R672" s="392">
        <v>8571157</v>
      </c>
      <c r="S672" s="231">
        <v>-24249</v>
      </c>
      <c r="T672" s="396">
        <v>8546908</v>
      </c>
      <c r="U672" s="231"/>
      <c r="V672" s="396"/>
      <c r="W672" s="396"/>
      <c r="X672" s="396">
        <v>50567942</v>
      </c>
      <c r="Y672" s="396">
        <v>3611956</v>
      </c>
    </row>
    <row r="673" spans="1:25">
      <c r="A673" s="390">
        <v>97402</v>
      </c>
      <c r="B673" s="391" t="s">
        <v>1367</v>
      </c>
      <c r="C673" s="234">
        <v>5.1999999999999997E-5</v>
      </c>
      <c r="D673" s="234">
        <v>4.1999999999999998E-5</v>
      </c>
      <c r="E673" s="231">
        <v>185818</v>
      </c>
      <c r="F673" s="231" t="s">
        <v>1924</v>
      </c>
      <c r="G673" s="392">
        <v>23466</v>
      </c>
      <c r="H673" s="392">
        <v>26149</v>
      </c>
      <c r="I673" s="392">
        <v>13829</v>
      </c>
      <c r="J673" s="231">
        <v>19085</v>
      </c>
      <c r="K673" s="231">
        <v>82529</v>
      </c>
      <c r="L673" s="231"/>
      <c r="M673" s="225">
        <v>0</v>
      </c>
      <c r="N673" s="225">
        <v>0</v>
      </c>
      <c r="O673" s="231">
        <v>28</v>
      </c>
      <c r="P673" s="231">
        <v>28</v>
      </c>
      <c r="Q673" s="231"/>
      <c r="R673" s="392">
        <v>63902</v>
      </c>
      <c r="S673" s="231">
        <v>10349</v>
      </c>
      <c r="T673" s="396">
        <v>74251</v>
      </c>
      <c r="U673" s="231"/>
      <c r="V673" s="396"/>
      <c r="W673" s="396"/>
      <c r="X673" s="396">
        <v>377005</v>
      </c>
      <c r="Y673" s="396">
        <v>26929</v>
      </c>
    </row>
    <row r="674" spans="1:25">
      <c r="A674" s="390">
        <v>97404</v>
      </c>
      <c r="B674" s="391" t="s">
        <v>1368</v>
      </c>
      <c r="C674" s="234">
        <v>2.128E-4</v>
      </c>
      <c r="D674" s="234">
        <v>2.1240000000000001E-4</v>
      </c>
      <c r="E674" s="231">
        <v>760425</v>
      </c>
      <c r="F674" s="231" t="s">
        <v>1924</v>
      </c>
      <c r="G674" s="392">
        <v>96028</v>
      </c>
      <c r="H674" s="392">
        <v>107009</v>
      </c>
      <c r="I674" s="392">
        <v>56591</v>
      </c>
      <c r="J674" s="231">
        <v>603</v>
      </c>
      <c r="K674" s="231">
        <v>260231</v>
      </c>
      <c r="L674" s="231"/>
      <c r="M674" s="225">
        <v>0</v>
      </c>
      <c r="N674" s="225">
        <v>0</v>
      </c>
      <c r="O674" s="231">
        <v>14261</v>
      </c>
      <c r="P674" s="231">
        <v>14261</v>
      </c>
      <c r="Q674" s="231"/>
      <c r="R674" s="392">
        <v>261505</v>
      </c>
      <c r="S674" s="231">
        <v>-9648</v>
      </c>
      <c r="T674" s="396">
        <v>251857</v>
      </c>
      <c r="U674" s="231"/>
      <c r="V674" s="396"/>
      <c r="W674" s="396"/>
      <c r="X674" s="396">
        <v>1542820</v>
      </c>
      <c r="Y674" s="396">
        <v>110200</v>
      </c>
    </row>
    <row r="675" spans="1:25">
      <c r="A675" s="390">
        <v>97405</v>
      </c>
      <c r="B675" s="391" t="s">
        <v>1369</v>
      </c>
      <c r="C675" s="234">
        <v>1.014E-4</v>
      </c>
      <c r="D675" s="234">
        <v>1.106E-4</v>
      </c>
      <c r="E675" s="231">
        <v>362345</v>
      </c>
      <c r="F675" s="231" t="s">
        <v>1924</v>
      </c>
      <c r="G675" s="392">
        <v>45758</v>
      </c>
      <c r="H675" s="392">
        <v>50991</v>
      </c>
      <c r="I675" s="392">
        <v>26966</v>
      </c>
      <c r="J675" s="231">
        <v>20038</v>
      </c>
      <c r="K675" s="231">
        <v>143753</v>
      </c>
      <c r="L675" s="231"/>
      <c r="M675" s="225">
        <v>0</v>
      </c>
      <c r="N675" s="225">
        <v>0</v>
      </c>
      <c r="O675" s="231">
        <v>0</v>
      </c>
      <c r="P675" s="231">
        <v>0</v>
      </c>
      <c r="Q675" s="231"/>
      <c r="R675" s="392">
        <v>124608</v>
      </c>
      <c r="S675" s="231">
        <v>12141</v>
      </c>
      <c r="T675" s="396">
        <v>136749</v>
      </c>
      <c r="U675" s="231"/>
      <c r="V675" s="396"/>
      <c r="W675" s="396"/>
      <c r="X675" s="396">
        <v>735159</v>
      </c>
      <c r="Y675" s="396">
        <v>52511</v>
      </c>
    </row>
    <row r="676" spans="1:25">
      <c r="A676" s="390">
        <v>97408</v>
      </c>
      <c r="B676" s="391" t="s">
        <v>1370</v>
      </c>
      <c r="C676" s="234">
        <v>4.18E-5</v>
      </c>
      <c r="D676" s="234">
        <v>3.8999999999999999E-5</v>
      </c>
      <c r="E676" s="231">
        <v>149369</v>
      </c>
      <c r="F676" s="231" t="s">
        <v>1924</v>
      </c>
      <c r="G676" s="392">
        <v>18863</v>
      </c>
      <c r="H676" s="392">
        <v>21019</v>
      </c>
      <c r="I676" s="392">
        <v>11116</v>
      </c>
      <c r="J676" s="231">
        <v>12140</v>
      </c>
      <c r="K676" s="231">
        <v>63138</v>
      </c>
      <c r="L676" s="231"/>
      <c r="M676" s="225">
        <v>0</v>
      </c>
      <c r="N676" s="225">
        <v>0</v>
      </c>
      <c r="O676" s="231">
        <v>0</v>
      </c>
      <c r="P676" s="231">
        <v>0</v>
      </c>
      <c r="Q676" s="231"/>
      <c r="R676" s="392">
        <v>51367</v>
      </c>
      <c r="S676" s="231">
        <v>5778</v>
      </c>
      <c r="T676" s="396">
        <v>57145</v>
      </c>
      <c r="U676" s="231"/>
      <c r="V676" s="396"/>
      <c r="W676" s="396"/>
      <c r="X676" s="396">
        <v>303054</v>
      </c>
      <c r="Y676" s="396">
        <v>21646</v>
      </c>
    </row>
    <row r="677" spans="1:25">
      <c r="A677" s="390">
        <v>97411</v>
      </c>
      <c r="B677" s="391" t="s">
        <v>1371</v>
      </c>
      <c r="C677" s="234">
        <v>6.3677999999999998E-3</v>
      </c>
      <c r="D677" s="234">
        <v>6.3997999999999998E-3</v>
      </c>
      <c r="E677" s="231">
        <v>22754862</v>
      </c>
      <c r="F677" s="231" t="s">
        <v>1924</v>
      </c>
      <c r="G677" s="392">
        <v>2873540</v>
      </c>
      <c r="H677" s="392">
        <v>3202137</v>
      </c>
      <c r="I677" s="392">
        <v>1693408</v>
      </c>
      <c r="J677" s="231">
        <v>25320</v>
      </c>
      <c r="K677" s="231">
        <v>7794405</v>
      </c>
      <c r="L677" s="231"/>
      <c r="M677" s="225">
        <v>0</v>
      </c>
      <c r="N677" s="225">
        <v>0</v>
      </c>
      <c r="O677" s="231">
        <v>366854</v>
      </c>
      <c r="P677" s="231">
        <v>366854</v>
      </c>
      <c r="Q677" s="231"/>
      <c r="R677" s="392">
        <v>7825230</v>
      </c>
      <c r="S677" s="231">
        <v>-244741</v>
      </c>
      <c r="T677" s="396">
        <v>7580489</v>
      </c>
      <c r="U677" s="231"/>
      <c r="V677" s="396"/>
      <c r="W677" s="396"/>
      <c r="X677" s="396">
        <v>46167136</v>
      </c>
      <c r="Y677" s="396">
        <v>3297616</v>
      </c>
    </row>
    <row r="678" spans="1:25">
      <c r="A678" s="390">
        <v>97412</v>
      </c>
      <c r="B678" s="391" t="s">
        <v>1372</v>
      </c>
      <c r="C678" s="234">
        <v>4.3990000000000001E-3</v>
      </c>
      <c r="D678" s="234">
        <v>4.4903E-3</v>
      </c>
      <c r="E678" s="231">
        <v>15719501</v>
      </c>
      <c r="F678" s="231" t="s">
        <v>1924</v>
      </c>
      <c r="G678" s="392">
        <v>1985097</v>
      </c>
      <c r="H678" s="392">
        <v>2212098</v>
      </c>
      <c r="I678" s="392">
        <v>1169839</v>
      </c>
      <c r="J678" s="231">
        <v>75822</v>
      </c>
      <c r="K678" s="231">
        <v>5442856</v>
      </c>
      <c r="L678" s="231"/>
      <c r="M678" s="225">
        <v>0</v>
      </c>
      <c r="N678" s="225">
        <v>0</v>
      </c>
      <c r="O678" s="231">
        <v>124625</v>
      </c>
      <c r="P678" s="231">
        <v>124625</v>
      </c>
      <c r="Q678" s="231"/>
      <c r="R678" s="392">
        <v>5405821</v>
      </c>
      <c r="S678" s="231">
        <v>30518</v>
      </c>
      <c r="T678" s="396">
        <v>5436339</v>
      </c>
      <c r="U678" s="231"/>
      <c r="V678" s="396"/>
      <c r="W678" s="396"/>
      <c r="X678" s="396">
        <v>31893155</v>
      </c>
      <c r="Y678" s="396">
        <v>2278057</v>
      </c>
    </row>
    <row r="679" spans="1:25">
      <c r="A679" s="390">
        <v>97413</v>
      </c>
      <c r="B679" s="391" t="s">
        <v>1373</v>
      </c>
      <c r="C679" s="234">
        <v>2.6689999999999998E-4</v>
      </c>
      <c r="D679" s="234">
        <v>2.812E-4</v>
      </c>
      <c r="E679" s="231">
        <v>953747</v>
      </c>
      <c r="F679" s="231" t="s">
        <v>1924</v>
      </c>
      <c r="G679" s="392">
        <v>120442</v>
      </c>
      <c r="H679" s="392">
        <v>134215</v>
      </c>
      <c r="I679" s="392">
        <v>70978</v>
      </c>
      <c r="J679" s="231">
        <v>39330</v>
      </c>
      <c r="K679" s="231">
        <v>364965</v>
      </c>
      <c r="L679" s="231"/>
      <c r="M679" s="225">
        <v>0</v>
      </c>
      <c r="N679" s="225">
        <v>0</v>
      </c>
      <c r="O679" s="231">
        <v>0</v>
      </c>
      <c r="P679" s="231">
        <v>0</v>
      </c>
      <c r="Q679" s="231"/>
      <c r="R679" s="392">
        <v>327987</v>
      </c>
      <c r="S679" s="231">
        <v>15861</v>
      </c>
      <c r="T679" s="396">
        <v>343848</v>
      </c>
      <c r="U679" s="231"/>
      <c r="V679" s="396"/>
      <c r="W679" s="396"/>
      <c r="X679" s="396">
        <v>1935050</v>
      </c>
      <c r="Y679" s="396">
        <v>138216</v>
      </c>
    </row>
    <row r="680" spans="1:25">
      <c r="A680" s="390">
        <v>97421</v>
      </c>
      <c r="B680" s="391" t="s">
        <v>1374</v>
      </c>
      <c r="C680" s="234">
        <v>4.239E-4</v>
      </c>
      <c r="D680" s="234">
        <v>4.3120000000000002E-4</v>
      </c>
      <c r="E680" s="231">
        <v>1514775</v>
      </c>
      <c r="F680" s="231" t="s">
        <v>1924</v>
      </c>
      <c r="G680" s="392">
        <v>191290</v>
      </c>
      <c r="H680" s="392">
        <v>213164</v>
      </c>
      <c r="I680" s="392">
        <v>112729</v>
      </c>
      <c r="J680" s="231">
        <v>5318</v>
      </c>
      <c r="K680" s="231">
        <v>522501</v>
      </c>
      <c r="L680" s="231"/>
      <c r="M680" s="225">
        <v>0</v>
      </c>
      <c r="N680" s="225">
        <v>0</v>
      </c>
      <c r="O680" s="231">
        <v>38193</v>
      </c>
      <c r="P680" s="231">
        <v>38193</v>
      </c>
      <c r="Q680" s="231"/>
      <c r="R680" s="392">
        <v>520920</v>
      </c>
      <c r="S680" s="231">
        <v>-10285</v>
      </c>
      <c r="T680" s="396">
        <v>510635</v>
      </c>
      <c r="U680" s="231"/>
      <c r="V680" s="396"/>
      <c r="W680" s="396"/>
      <c r="X680" s="396">
        <v>3073314</v>
      </c>
      <c r="Y680" s="396">
        <v>219520</v>
      </c>
    </row>
    <row r="681" spans="1:25">
      <c r="A681" s="390">
        <v>97423</v>
      </c>
      <c r="B681" s="391" t="s">
        <v>1375</v>
      </c>
      <c r="C681" s="234">
        <v>4.0000000000000003E-5</v>
      </c>
      <c r="D681" s="234">
        <v>4.3000000000000002E-5</v>
      </c>
      <c r="E681" s="231">
        <v>142937</v>
      </c>
      <c r="F681" s="231" t="s">
        <v>1924</v>
      </c>
      <c r="G681" s="392">
        <v>18050</v>
      </c>
      <c r="H681" s="392">
        <v>20114</v>
      </c>
      <c r="I681" s="392">
        <v>10637</v>
      </c>
      <c r="J681" s="231">
        <v>27929</v>
      </c>
      <c r="K681" s="231">
        <v>76730</v>
      </c>
      <c r="L681" s="231"/>
      <c r="M681" s="225">
        <v>0</v>
      </c>
      <c r="N681" s="225">
        <v>0</v>
      </c>
      <c r="O681" s="231">
        <v>4401</v>
      </c>
      <c r="P681" s="231">
        <v>4401</v>
      </c>
      <c r="Q681" s="231"/>
      <c r="R681" s="392">
        <v>49155</v>
      </c>
      <c r="S681" s="231">
        <v>15192</v>
      </c>
      <c r="T681" s="396">
        <v>64347</v>
      </c>
      <c r="U681" s="231"/>
      <c r="V681" s="396"/>
      <c r="W681" s="396"/>
      <c r="X681" s="396">
        <v>290004</v>
      </c>
      <c r="Y681" s="396">
        <v>20714</v>
      </c>
    </row>
    <row r="682" spans="1:25">
      <c r="A682" s="390">
        <v>97431</v>
      </c>
      <c r="B682" s="391" t="s">
        <v>1376</v>
      </c>
      <c r="C682" s="234">
        <v>9.2999999999999997E-5</v>
      </c>
      <c r="D682" s="234">
        <v>8.92E-5</v>
      </c>
      <c r="E682" s="231">
        <v>332329</v>
      </c>
      <c r="F682" s="231" t="s">
        <v>1924</v>
      </c>
      <c r="G682" s="392">
        <v>41967</v>
      </c>
      <c r="H682" s="392">
        <v>46766</v>
      </c>
      <c r="I682" s="392">
        <v>24732</v>
      </c>
      <c r="J682" s="231">
        <v>13452</v>
      </c>
      <c r="K682" s="231">
        <v>126917</v>
      </c>
      <c r="L682" s="231"/>
      <c r="M682" s="225">
        <v>0</v>
      </c>
      <c r="N682" s="225">
        <v>0</v>
      </c>
      <c r="O682" s="231">
        <v>5330</v>
      </c>
      <c r="P682" s="231">
        <v>5330</v>
      </c>
      <c r="Q682" s="231"/>
      <c r="R682" s="392">
        <v>114285</v>
      </c>
      <c r="S682" s="231">
        <v>4824</v>
      </c>
      <c r="T682" s="396">
        <v>119109</v>
      </c>
      <c r="U682" s="231"/>
      <c r="V682" s="396"/>
      <c r="W682" s="396"/>
      <c r="X682" s="396">
        <v>674259</v>
      </c>
      <c r="Y682" s="396">
        <v>48161</v>
      </c>
    </row>
    <row r="683" spans="1:25">
      <c r="A683" s="390">
        <v>97441</v>
      </c>
      <c r="B683" s="391" t="s">
        <v>1377</v>
      </c>
      <c r="C683" s="234">
        <v>6.2199999999999994E-5</v>
      </c>
      <c r="D683" s="234">
        <v>5.7899999999999998E-5</v>
      </c>
      <c r="E683" s="231">
        <v>222267</v>
      </c>
      <c r="F683" s="231" t="s">
        <v>1924</v>
      </c>
      <c r="G683" s="392">
        <v>28068</v>
      </c>
      <c r="H683" s="392">
        <v>31278</v>
      </c>
      <c r="I683" s="392">
        <v>16541</v>
      </c>
      <c r="J683" s="231">
        <v>0</v>
      </c>
      <c r="K683" s="231">
        <v>75887</v>
      </c>
      <c r="L683" s="231"/>
      <c r="M683" s="225">
        <v>0</v>
      </c>
      <c r="N683" s="225">
        <v>0</v>
      </c>
      <c r="O683" s="231">
        <v>15991</v>
      </c>
      <c r="P683" s="231">
        <v>15991</v>
      </c>
      <c r="Q683" s="231"/>
      <c r="R683" s="392">
        <v>76436</v>
      </c>
      <c r="S683" s="231">
        <v>-8496</v>
      </c>
      <c r="T683" s="396">
        <v>67940</v>
      </c>
      <c r="U683" s="231"/>
      <c r="V683" s="396"/>
      <c r="W683" s="396"/>
      <c r="X683" s="396">
        <v>450956</v>
      </c>
      <c r="Y683" s="396">
        <v>32211</v>
      </c>
    </row>
    <row r="684" spans="1:25">
      <c r="A684" s="390">
        <v>97451</v>
      </c>
      <c r="B684" s="391" t="s">
        <v>1378</v>
      </c>
      <c r="C684" s="234">
        <v>7.5849999999999995E-4</v>
      </c>
      <c r="D684" s="234">
        <v>6.6290000000000001E-4</v>
      </c>
      <c r="E684" s="231">
        <v>2710444</v>
      </c>
      <c r="F684" s="231" t="s">
        <v>1924</v>
      </c>
      <c r="G684" s="392">
        <v>342281</v>
      </c>
      <c r="H684" s="392">
        <v>381422</v>
      </c>
      <c r="I684" s="392">
        <v>201710</v>
      </c>
      <c r="J684" s="231">
        <v>84606</v>
      </c>
      <c r="K684" s="231">
        <v>1010019</v>
      </c>
      <c r="L684" s="231"/>
      <c r="M684" s="225">
        <v>0</v>
      </c>
      <c r="N684" s="225">
        <v>0</v>
      </c>
      <c r="O684" s="231">
        <v>12366</v>
      </c>
      <c r="P684" s="231">
        <v>12366</v>
      </c>
      <c r="Q684" s="231"/>
      <c r="R684" s="392">
        <v>932102</v>
      </c>
      <c r="S684" s="231">
        <v>22157</v>
      </c>
      <c r="T684" s="396">
        <v>954259</v>
      </c>
      <c r="U684" s="231"/>
      <c r="V684" s="396"/>
      <c r="W684" s="396"/>
      <c r="X684" s="396">
        <v>5499195</v>
      </c>
      <c r="Y684" s="396">
        <v>392795</v>
      </c>
    </row>
    <row r="685" spans="1:25">
      <c r="A685" s="390">
        <v>97461</v>
      </c>
      <c r="B685" s="391" t="s">
        <v>1379</v>
      </c>
      <c r="C685" s="234">
        <v>5.7600000000000001E-4</v>
      </c>
      <c r="D685" s="234">
        <v>5.7600000000000001E-4</v>
      </c>
      <c r="E685" s="231">
        <v>2058293</v>
      </c>
      <c r="F685" s="231" t="s">
        <v>1924</v>
      </c>
      <c r="G685" s="392">
        <v>259926</v>
      </c>
      <c r="H685" s="392">
        <v>289650</v>
      </c>
      <c r="I685" s="392">
        <v>153177</v>
      </c>
      <c r="J685" s="231">
        <v>10474</v>
      </c>
      <c r="K685" s="231">
        <v>713227</v>
      </c>
      <c r="L685" s="231"/>
      <c r="M685" s="225">
        <v>0</v>
      </c>
      <c r="N685" s="225">
        <v>0</v>
      </c>
      <c r="O685" s="231">
        <v>45233</v>
      </c>
      <c r="P685" s="231">
        <v>45233</v>
      </c>
      <c r="Q685" s="231"/>
      <c r="R685" s="392">
        <v>707832</v>
      </c>
      <c r="S685" s="231">
        <v>-18574</v>
      </c>
      <c r="T685" s="396">
        <v>689258</v>
      </c>
      <c r="U685" s="231"/>
      <c r="V685" s="396"/>
      <c r="W685" s="396"/>
      <c r="X685" s="396">
        <v>4176053</v>
      </c>
      <c r="Y685" s="396">
        <v>298286</v>
      </c>
    </row>
    <row r="686" spans="1:25">
      <c r="A686" s="390">
        <v>97463</v>
      </c>
      <c r="B686" s="391" t="s">
        <v>1380</v>
      </c>
      <c r="C686" s="234">
        <v>0</v>
      </c>
      <c r="D686" s="234">
        <v>0</v>
      </c>
      <c r="E686" s="231">
        <v>0</v>
      </c>
      <c r="F686" s="231" t="s">
        <v>1924</v>
      </c>
      <c r="G686" s="392">
        <v>0</v>
      </c>
      <c r="H686" s="392">
        <v>0</v>
      </c>
      <c r="I686" s="392">
        <v>0</v>
      </c>
      <c r="J686" s="231">
        <v>0</v>
      </c>
      <c r="K686" s="231">
        <v>0</v>
      </c>
      <c r="L686" s="231"/>
      <c r="M686" s="225">
        <v>0</v>
      </c>
      <c r="N686" s="225">
        <v>0</v>
      </c>
      <c r="O686" s="231">
        <v>13233</v>
      </c>
      <c r="P686" s="231">
        <v>13233</v>
      </c>
      <c r="Q686" s="231"/>
      <c r="R686" s="392">
        <v>0</v>
      </c>
      <c r="S686" s="231">
        <v>-8957</v>
      </c>
      <c r="T686" s="396">
        <v>-8957</v>
      </c>
      <c r="U686" s="231"/>
      <c r="V686" s="396"/>
      <c r="W686" s="396"/>
      <c r="X686" s="396">
        <v>0</v>
      </c>
      <c r="Y686" s="396">
        <v>0</v>
      </c>
    </row>
    <row r="687" spans="1:25">
      <c r="A687" s="390">
        <v>97471</v>
      </c>
      <c r="B687" s="391" t="s">
        <v>1381</v>
      </c>
      <c r="C687" s="234">
        <v>1.63E-5</v>
      </c>
      <c r="D687" s="234">
        <v>1.6399999999999999E-5</v>
      </c>
      <c r="E687" s="231">
        <v>58247</v>
      </c>
      <c r="F687" s="231" t="s">
        <v>1924</v>
      </c>
      <c r="G687" s="392">
        <v>7356</v>
      </c>
      <c r="H687" s="392">
        <v>8196</v>
      </c>
      <c r="I687" s="392">
        <v>4335</v>
      </c>
      <c r="J687" s="231">
        <v>11505</v>
      </c>
      <c r="K687" s="231">
        <v>31392</v>
      </c>
      <c r="L687" s="231"/>
      <c r="M687" s="225">
        <v>0</v>
      </c>
      <c r="N687" s="225">
        <v>0</v>
      </c>
      <c r="O687" s="231">
        <v>0</v>
      </c>
      <c r="P687" s="231">
        <v>0</v>
      </c>
      <c r="Q687" s="231"/>
      <c r="R687" s="392">
        <v>20031</v>
      </c>
      <c r="S687" s="231">
        <v>5466</v>
      </c>
      <c r="T687" s="396">
        <v>25497</v>
      </c>
      <c r="U687" s="231"/>
      <c r="V687" s="396"/>
      <c r="W687" s="396"/>
      <c r="X687" s="396">
        <v>118176</v>
      </c>
      <c r="Y687" s="396">
        <v>8441</v>
      </c>
    </row>
    <row r="688" spans="1:25">
      <c r="A688" s="390">
        <v>97481</v>
      </c>
      <c r="B688" s="391" t="s">
        <v>1382</v>
      </c>
      <c r="C688" s="234">
        <v>1.7E-6</v>
      </c>
      <c r="D688" s="234">
        <v>8.9999999999999996E-7</v>
      </c>
      <c r="E688" s="231">
        <v>6075</v>
      </c>
      <c r="F688" s="231" t="s">
        <v>1924</v>
      </c>
      <c r="G688" s="392">
        <v>767</v>
      </c>
      <c r="H688" s="392">
        <v>855</v>
      </c>
      <c r="I688" s="392">
        <v>452</v>
      </c>
      <c r="J688" s="231">
        <v>2659</v>
      </c>
      <c r="K688" s="231">
        <v>4733</v>
      </c>
      <c r="L688" s="231"/>
      <c r="M688" s="225">
        <v>0</v>
      </c>
      <c r="N688" s="225">
        <v>0</v>
      </c>
      <c r="O688" s="231">
        <v>7152</v>
      </c>
      <c r="P688" s="231">
        <v>7152</v>
      </c>
      <c r="Q688" s="231"/>
      <c r="R688" s="392">
        <v>2089</v>
      </c>
      <c r="S688" s="231">
        <v>-1527</v>
      </c>
      <c r="T688" s="396">
        <v>562</v>
      </c>
      <c r="U688" s="231"/>
      <c r="V688" s="396"/>
      <c r="W688" s="396"/>
      <c r="X688" s="396">
        <v>12325</v>
      </c>
      <c r="Y688" s="396">
        <v>880</v>
      </c>
    </row>
    <row r="689" spans="1:25">
      <c r="A689" s="390">
        <v>97491</v>
      </c>
      <c r="B689" s="391" t="s">
        <v>1383</v>
      </c>
      <c r="C689" s="234">
        <v>0</v>
      </c>
      <c r="D689" s="234">
        <v>0</v>
      </c>
      <c r="E689" s="231">
        <v>0</v>
      </c>
      <c r="F689" s="231" t="s">
        <v>1924</v>
      </c>
      <c r="G689" s="392">
        <v>0</v>
      </c>
      <c r="H689" s="392">
        <v>0</v>
      </c>
      <c r="I689" s="392">
        <v>0</v>
      </c>
      <c r="J689" s="231">
        <v>0</v>
      </c>
      <c r="K689" s="231">
        <v>0</v>
      </c>
      <c r="L689" s="231"/>
      <c r="M689" s="225">
        <v>0</v>
      </c>
      <c r="N689" s="225">
        <v>0</v>
      </c>
      <c r="O689" s="231">
        <v>0</v>
      </c>
      <c r="P689" s="231">
        <v>0</v>
      </c>
      <c r="Q689" s="231"/>
      <c r="R689" s="392">
        <v>0</v>
      </c>
      <c r="S689" s="231">
        <v>0</v>
      </c>
      <c r="T689" s="396">
        <v>0</v>
      </c>
      <c r="U689" s="231"/>
      <c r="V689" s="396"/>
      <c r="W689" s="396"/>
      <c r="X689" s="396">
        <v>0</v>
      </c>
      <c r="Y689" s="396">
        <v>0</v>
      </c>
    </row>
    <row r="690" spans="1:25">
      <c r="A690" s="390">
        <v>97501</v>
      </c>
      <c r="B690" s="391" t="s">
        <v>1384</v>
      </c>
      <c r="C690" s="234">
        <v>1.2210999999999999E-3</v>
      </c>
      <c r="D690" s="234">
        <v>1.1816999999999999E-3</v>
      </c>
      <c r="E690" s="231">
        <v>4363510</v>
      </c>
      <c r="F690" s="231" t="s">
        <v>1924</v>
      </c>
      <c r="G690" s="392">
        <v>551035</v>
      </c>
      <c r="H690" s="392">
        <v>614047</v>
      </c>
      <c r="I690" s="392">
        <v>324731</v>
      </c>
      <c r="J690" s="231">
        <v>145023</v>
      </c>
      <c r="K690" s="231">
        <v>1634836</v>
      </c>
      <c r="L690" s="231"/>
      <c r="M690" s="225">
        <v>0</v>
      </c>
      <c r="N690" s="225">
        <v>0</v>
      </c>
      <c r="O690" s="231">
        <v>1640</v>
      </c>
      <c r="P690" s="231">
        <v>1640</v>
      </c>
      <c r="Q690" s="231"/>
      <c r="R690" s="392">
        <v>1500579</v>
      </c>
      <c r="S690" s="231">
        <v>65745</v>
      </c>
      <c r="T690" s="396">
        <v>1566324</v>
      </c>
      <c r="U690" s="231"/>
      <c r="V690" s="396"/>
      <c r="W690" s="396"/>
      <c r="X690" s="396">
        <v>8853087</v>
      </c>
      <c r="Y690" s="396">
        <v>632356</v>
      </c>
    </row>
    <row r="691" spans="1:25">
      <c r="A691" s="390">
        <v>97511</v>
      </c>
      <c r="B691" s="391" t="s">
        <v>1385</v>
      </c>
      <c r="C691" s="234">
        <v>2.2149999999999999E-4</v>
      </c>
      <c r="D691" s="234">
        <v>1.9120000000000001E-4</v>
      </c>
      <c r="E691" s="231">
        <v>791514</v>
      </c>
      <c r="F691" s="231" t="s">
        <v>1924</v>
      </c>
      <c r="G691" s="392">
        <v>99954</v>
      </c>
      <c r="H691" s="392">
        <v>111384</v>
      </c>
      <c r="I691" s="392">
        <v>58904</v>
      </c>
      <c r="J691" s="231">
        <v>58308</v>
      </c>
      <c r="K691" s="231">
        <v>328550</v>
      </c>
      <c r="L691" s="231"/>
      <c r="M691" s="225">
        <v>0</v>
      </c>
      <c r="N691" s="225">
        <v>0</v>
      </c>
      <c r="O691" s="231">
        <v>13750</v>
      </c>
      <c r="P691" s="231">
        <v>13750</v>
      </c>
      <c r="Q691" s="231"/>
      <c r="R691" s="392">
        <v>272196</v>
      </c>
      <c r="S691" s="231">
        <v>15616</v>
      </c>
      <c r="T691" s="396">
        <v>287812</v>
      </c>
      <c r="U691" s="231"/>
      <c r="V691" s="396"/>
      <c r="W691" s="396"/>
      <c r="X691" s="396">
        <v>1605895</v>
      </c>
      <c r="Y691" s="396">
        <v>114706</v>
      </c>
    </row>
    <row r="692" spans="1:25">
      <c r="A692" s="390">
        <v>97521</v>
      </c>
      <c r="B692" s="395" t="s">
        <v>1386</v>
      </c>
      <c r="C692" s="234">
        <v>1.295E-4</v>
      </c>
      <c r="D692" s="234">
        <v>1.139E-4</v>
      </c>
      <c r="E692" s="231">
        <v>462759</v>
      </c>
      <c r="F692" s="231" t="s">
        <v>1924</v>
      </c>
      <c r="G692" s="392">
        <v>58438</v>
      </c>
      <c r="H692" s="392">
        <v>65121</v>
      </c>
      <c r="I692" s="392">
        <v>34438</v>
      </c>
      <c r="J692" s="231">
        <v>18417</v>
      </c>
      <c r="K692" s="231">
        <v>176414</v>
      </c>
      <c r="L692" s="231"/>
      <c r="M692" s="225">
        <v>0</v>
      </c>
      <c r="N692" s="225">
        <v>0</v>
      </c>
      <c r="O692" s="231">
        <v>11692</v>
      </c>
      <c r="P692" s="231">
        <v>11692</v>
      </c>
      <c r="Q692" s="231"/>
      <c r="R692" s="392">
        <v>159139</v>
      </c>
      <c r="S692" s="231">
        <v>-747</v>
      </c>
      <c r="T692" s="396">
        <v>158392</v>
      </c>
      <c r="U692" s="231"/>
      <c r="V692" s="396"/>
      <c r="W692" s="396"/>
      <c r="X692" s="396">
        <v>938887</v>
      </c>
      <c r="Y692" s="396">
        <v>67063</v>
      </c>
    </row>
    <row r="693" spans="1:25">
      <c r="A693" s="390">
        <v>97527</v>
      </c>
      <c r="B693" s="391" t="s">
        <v>1637</v>
      </c>
      <c r="C693" s="234">
        <v>5.0000000000000004E-6</v>
      </c>
      <c r="D693" s="234">
        <v>1.7E-5</v>
      </c>
      <c r="E693" s="231">
        <v>17867</v>
      </c>
      <c r="F693" s="231" t="s">
        <v>1924</v>
      </c>
      <c r="G693" s="392">
        <v>2256</v>
      </c>
      <c r="H693" s="392">
        <v>2514</v>
      </c>
      <c r="I693" s="392">
        <v>1330</v>
      </c>
      <c r="J693" s="231">
        <v>9427</v>
      </c>
      <c r="K693" s="231">
        <v>15527</v>
      </c>
      <c r="L693" s="231"/>
      <c r="M693" s="225">
        <v>0</v>
      </c>
      <c r="N693" s="225">
        <v>0</v>
      </c>
      <c r="O693" s="231">
        <v>13907</v>
      </c>
      <c r="P693" s="231">
        <v>13907</v>
      </c>
      <c r="Q693" s="231"/>
      <c r="R693" s="392">
        <v>6144</v>
      </c>
      <c r="S693" s="231">
        <v>-1204</v>
      </c>
      <c r="T693" s="396">
        <v>4940</v>
      </c>
      <c r="U693" s="231"/>
      <c r="V693" s="396"/>
      <c r="W693" s="396"/>
      <c r="X693" s="396">
        <v>36250</v>
      </c>
      <c r="Y693" s="396">
        <v>2589</v>
      </c>
    </row>
    <row r="694" spans="1:25">
      <c r="A694" s="390">
        <v>97531</v>
      </c>
      <c r="B694" s="391" t="s">
        <v>1387</v>
      </c>
      <c r="C694" s="234">
        <v>6.5699999999999998E-5</v>
      </c>
      <c r="D694" s="234">
        <v>8.1299999999999997E-5</v>
      </c>
      <c r="E694" s="231">
        <v>234774</v>
      </c>
      <c r="F694" s="231" t="s">
        <v>1924</v>
      </c>
      <c r="G694" s="392">
        <v>29648</v>
      </c>
      <c r="H694" s="392">
        <v>33038</v>
      </c>
      <c r="I694" s="392">
        <v>17472</v>
      </c>
      <c r="J694" s="231">
        <v>21858</v>
      </c>
      <c r="K694" s="231">
        <v>102016</v>
      </c>
      <c r="L694" s="231"/>
      <c r="M694" s="225">
        <v>0</v>
      </c>
      <c r="N694" s="225">
        <v>0</v>
      </c>
      <c r="O694" s="231">
        <v>20447</v>
      </c>
      <c r="P694" s="231">
        <v>20447</v>
      </c>
      <c r="Q694" s="231"/>
      <c r="R694" s="392">
        <v>80737</v>
      </c>
      <c r="S694" s="231">
        <v>3500</v>
      </c>
      <c r="T694" s="396">
        <v>84237</v>
      </c>
      <c r="U694" s="231"/>
      <c r="V694" s="396"/>
      <c r="W694" s="396"/>
      <c r="X694" s="396">
        <v>476331</v>
      </c>
      <c r="Y694" s="396">
        <v>34023</v>
      </c>
    </row>
    <row r="695" spans="1:25">
      <c r="A695" s="390">
        <v>97601</v>
      </c>
      <c r="B695" s="391" t="s">
        <v>1388</v>
      </c>
      <c r="C695" s="234">
        <v>5.2855999999999997E-3</v>
      </c>
      <c r="D695" s="234">
        <v>5.2946E-3</v>
      </c>
      <c r="E695" s="231">
        <v>18887700</v>
      </c>
      <c r="F695" s="231" t="s">
        <v>1924</v>
      </c>
      <c r="G695" s="392">
        <v>2385185</v>
      </c>
      <c r="H695" s="392">
        <v>2657938</v>
      </c>
      <c r="I695" s="392">
        <v>1405615</v>
      </c>
      <c r="J695" s="231">
        <v>47731</v>
      </c>
      <c r="K695" s="231">
        <v>6496469</v>
      </c>
      <c r="L695" s="231"/>
      <c r="M695" s="225">
        <v>0</v>
      </c>
      <c r="N695" s="225">
        <v>0</v>
      </c>
      <c r="O695" s="231">
        <v>114648</v>
      </c>
      <c r="P695" s="231">
        <v>114648</v>
      </c>
      <c r="Q695" s="231"/>
      <c r="R695" s="392">
        <v>6495342</v>
      </c>
      <c r="S695" s="231">
        <v>-6182</v>
      </c>
      <c r="T695" s="396">
        <v>6489160</v>
      </c>
      <c r="U695" s="231"/>
      <c r="V695" s="396"/>
      <c r="W695" s="396"/>
      <c r="X695" s="396">
        <v>38321086</v>
      </c>
      <c r="Y695" s="396">
        <v>2737190</v>
      </c>
    </row>
    <row r="696" spans="1:25">
      <c r="A696" s="390">
        <v>97607</v>
      </c>
      <c r="B696" s="391" t="s">
        <v>1389</v>
      </c>
      <c r="C696" s="234">
        <v>1.6699999999999999E-5</v>
      </c>
      <c r="D696" s="234">
        <v>2.0699999999999998E-5</v>
      </c>
      <c r="E696" s="231">
        <v>59676</v>
      </c>
      <c r="F696" s="231" t="s">
        <v>1924</v>
      </c>
      <c r="G696" s="392">
        <v>7536</v>
      </c>
      <c r="H696" s="392">
        <v>8398</v>
      </c>
      <c r="I696" s="392">
        <v>4441</v>
      </c>
      <c r="J696" s="231">
        <v>13745</v>
      </c>
      <c r="K696" s="231">
        <v>34120</v>
      </c>
      <c r="L696" s="231"/>
      <c r="M696" s="225">
        <v>0</v>
      </c>
      <c r="N696" s="225">
        <v>0</v>
      </c>
      <c r="O696" s="231">
        <v>0</v>
      </c>
      <c r="P696" s="231">
        <v>0</v>
      </c>
      <c r="Q696" s="231"/>
      <c r="R696" s="392">
        <v>20522</v>
      </c>
      <c r="S696" s="231">
        <v>6906</v>
      </c>
      <c r="T696" s="396">
        <v>27428</v>
      </c>
      <c r="U696" s="231"/>
      <c r="V696" s="396"/>
      <c r="W696" s="396"/>
      <c r="X696" s="396">
        <v>121077</v>
      </c>
      <c r="Y696" s="396">
        <v>8648</v>
      </c>
    </row>
    <row r="697" spans="1:25">
      <c r="A697" s="390">
        <v>97611</v>
      </c>
      <c r="B697" s="391" t="s">
        <v>1390</v>
      </c>
      <c r="C697" s="234">
        <v>2.4239999999999999E-3</v>
      </c>
      <c r="D697" s="234">
        <v>2.3218000000000002E-3</v>
      </c>
      <c r="E697" s="231">
        <v>8661985</v>
      </c>
      <c r="F697" s="231" t="s">
        <v>1924</v>
      </c>
      <c r="G697" s="392">
        <v>1093857</v>
      </c>
      <c r="H697" s="392">
        <v>1218942</v>
      </c>
      <c r="I697" s="392">
        <v>644622</v>
      </c>
      <c r="J697" s="231">
        <v>149321</v>
      </c>
      <c r="K697" s="231">
        <v>3106742</v>
      </c>
      <c r="L697" s="231"/>
      <c r="M697" s="225">
        <v>0</v>
      </c>
      <c r="N697" s="225">
        <v>0</v>
      </c>
      <c r="O697" s="231">
        <v>80082</v>
      </c>
      <c r="P697" s="231">
        <v>80082</v>
      </c>
      <c r="Q697" s="231"/>
      <c r="R697" s="392">
        <v>2978793</v>
      </c>
      <c r="S697" s="231">
        <v>-35587</v>
      </c>
      <c r="T697" s="396">
        <v>2943206</v>
      </c>
      <c r="U697" s="231"/>
      <c r="V697" s="396"/>
      <c r="W697" s="396"/>
      <c r="X697" s="396">
        <v>17574223</v>
      </c>
      <c r="Y697" s="396">
        <v>1255288</v>
      </c>
    </row>
    <row r="698" spans="1:25">
      <c r="A698" s="390">
        <v>97613</v>
      </c>
      <c r="B698" s="391" t="s">
        <v>1391</v>
      </c>
      <c r="C698" s="234">
        <v>8.7100000000000003E-5</v>
      </c>
      <c r="D698" s="234">
        <v>8.8599999999999999E-5</v>
      </c>
      <c r="E698" s="231">
        <v>311245</v>
      </c>
      <c r="F698" s="231" t="s">
        <v>1924</v>
      </c>
      <c r="G698" s="392">
        <v>39305</v>
      </c>
      <c r="H698" s="392">
        <v>43800</v>
      </c>
      <c r="I698" s="392">
        <v>23163</v>
      </c>
      <c r="J698" s="231">
        <v>16157</v>
      </c>
      <c r="K698" s="231">
        <v>122425</v>
      </c>
      <c r="L698" s="231"/>
      <c r="M698" s="225">
        <v>0</v>
      </c>
      <c r="N698" s="225">
        <v>0</v>
      </c>
      <c r="O698" s="231">
        <v>7420</v>
      </c>
      <c r="P698" s="231">
        <v>7420</v>
      </c>
      <c r="Q698" s="231"/>
      <c r="R698" s="392">
        <v>107035</v>
      </c>
      <c r="S698" s="231">
        <v>4471</v>
      </c>
      <c r="T698" s="396">
        <v>111506</v>
      </c>
      <c r="U698" s="231"/>
      <c r="V698" s="396"/>
      <c r="W698" s="396"/>
      <c r="X698" s="396">
        <v>631483</v>
      </c>
      <c r="Y698" s="396">
        <v>45105</v>
      </c>
    </row>
    <row r="699" spans="1:25">
      <c r="A699" s="390">
        <v>97621</v>
      </c>
      <c r="B699" s="391" t="s">
        <v>1392</v>
      </c>
      <c r="C699" s="234">
        <v>4.2010000000000002E-4</v>
      </c>
      <c r="D699" s="234">
        <v>4.3960000000000001E-4</v>
      </c>
      <c r="E699" s="231">
        <v>1501196</v>
      </c>
      <c r="F699" s="231" t="s">
        <v>1924</v>
      </c>
      <c r="G699" s="392">
        <v>189575</v>
      </c>
      <c r="H699" s="392">
        <v>211254</v>
      </c>
      <c r="I699" s="392">
        <v>111718</v>
      </c>
      <c r="J699" s="231">
        <v>0</v>
      </c>
      <c r="K699" s="231">
        <v>512547</v>
      </c>
      <c r="L699" s="231"/>
      <c r="M699" s="225">
        <v>0</v>
      </c>
      <c r="N699" s="225">
        <v>0</v>
      </c>
      <c r="O699" s="231">
        <v>98998</v>
      </c>
      <c r="P699" s="231">
        <v>98998</v>
      </c>
      <c r="Q699" s="231"/>
      <c r="R699" s="392">
        <v>516250</v>
      </c>
      <c r="S699" s="231">
        <v>-51355</v>
      </c>
      <c r="T699" s="396">
        <v>464895</v>
      </c>
      <c r="U699" s="231"/>
      <c r="V699" s="396"/>
      <c r="W699" s="396"/>
      <c r="X699" s="396">
        <v>3045764</v>
      </c>
      <c r="Y699" s="396">
        <v>217552</v>
      </c>
    </row>
    <row r="700" spans="1:25">
      <c r="A700" s="390">
        <v>97623</v>
      </c>
      <c r="B700" s="391" t="s">
        <v>1393</v>
      </c>
      <c r="C700" s="234">
        <v>2.4499999999999999E-5</v>
      </c>
      <c r="D700" s="234">
        <v>2.5400000000000001E-5</v>
      </c>
      <c r="E700" s="231">
        <v>87549</v>
      </c>
      <c r="F700" s="231" t="s">
        <v>1924</v>
      </c>
      <c r="G700" s="392">
        <v>11056</v>
      </c>
      <c r="H700" s="392">
        <v>12320</v>
      </c>
      <c r="I700" s="392">
        <v>6515</v>
      </c>
      <c r="J700" s="231">
        <v>590</v>
      </c>
      <c r="K700" s="231">
        <v>30481</v>
      </c>
      <c r="L700" s="231"/>
      <c r="M700" s="225">
        <v>0</v>
      </c>
      <c r="N700" s="225">
        <v>0</v>
      </c>
      <c r="O700" s="231">
        <v>2537</v>
      </c>
      <c r="P700" s="231">
        <v>2537</v>
      </c>
      <c r="Q700" s="231"/>
      <c r="R700" s="392">
        <v>30107</v>
      </c>
      <c r="S700" s="231">
        <v>-1026</v>
      </c>
      <c r="T700" s="396">
        <v>29081</v>
      </c>
      <c r="U700" s="231"/>
      <c r="V700" s="396"/>
      <c r="W700" s="396"/>
      <c r="X700" s="396">
        <v>177627</v>
      </c>
      <c r="Y700" s="396">
        <v>12688</v>
      </c>
    </row>
    <row r="701" spans="1:25">
      <c r="A701" s="390">
        <v>97627</v>
      </c>
      <c r="B701" s="391" t="s">
        <v>1394</v>
      </c>
      <c r="C701" s="234">
        <v>5.4999999999999999E-6</v>
      </c>
      <c r="D701" s="234">
        <v>9.3000000000000007E-6</v>
      </c>
      <c r="E701" s="231">
        <v>19654</v>
      </c>
      <c r="F701" s="231" t="s">
        <v>1924</v>
      </c>
      <c r="G701" s="392">
        <v>2482</v>
      </c>
      <c r="H701" s="392">
        <v>2766</v>
      </c>
      <c r="I701" s="392">
        <v>1463</v>
      </c>
      <c r="J701" s="231">
        <v>723</v>
      </c>
      <c r="K701" s="231">
        <v>7434</v>
      </c>
      <c r="L701" s="231"/>
      <c r="M701" s="225">
        <v>0</v>
      </c>
      <c r="N701" s="225">
        <v>0</v>
      </c>
      <c r="O701" s="231">
        <v>3165</v>
      </c>
      <c r="P701" s="231">
        <v>3165</v>
      </c>
      <c r="Q701" s="231"/>
      <c r="R701" s="392">
        <v>6759</v>
      </c>
      <c r="S701" s="231">
        <v>-629</v>
      </c>
      <c r="T701" s="396">
        <v>6130</v>
      </c>
      <c r="U701" s="231"/>
      <c r="V701" s="396"/>
      <c r="W701" s="396"/>
      <c r="X701" s="396">
        <v>39876</v>
      </c>
      <c r="Y701" s="396">
        <v>2848</v>
      </c>
    </row>
    <row r="702" spans="1:25">
      <c r="A702" s="390">
        <v>97631</v>
      </c>
      <c r="B702" s="391" t="s">
        <v>1395</v>
      </c>
      <c r="C702" s="234">
        <v>2.118E-4</v>
      </c>
      <c r="D702" s="234">
        <v>1.972E-4</v>
      </c>
      <c r="E702" s="231">
        <v>756852</v>
      </c>
      <c r="F702" s="231" t="s">
        <v>1924</v>
      </c>
      <c r="G702" s="392">
        <v>95577</v>
      </c>
      <c r="H702" s="392">
        <v>106507</v>
      </c>
      <c r="I702" s="392">
        <v>56325</v>
      </c>
      <c r="J702" s="231">
        <v>10567</v>
      </c>
      <c r="K702" s="231">
        <v>268976</v>
      </c>
      <c r="L702" s="231"/>
      <c r="M702" s="225">
        <v>0</v>
      </c>
      <c r="N702" s="225">
        <v>0</v>
      </c>
      <c r="O702" s="231">
        <v>13808</v>
      </c>
      <c r="P702" s="231">
        <v>13808</v>
      </c>
      <c r="Q702" s="231"/>
      <c r="R702" s="392">
        <v>260276</v>
      </c>
      <c r="S702" s="231">
        <v>-945</v>
      </c>
      <c r="T702" s="396">
        <v>259331</v>
      </c>
      <c r="U702" s="231"/>
      <c r="V702" s="396"/>
      <c r="W702" s="396"/>
      <c r="X702" s="396">
        <v>1535569</v>
      </c>
      <c r="Y702" s="396">
        <v>109682</v>
      </c>
    </row>
    <row r="703" spans="1:25">
      <c r="A703" s="390">
        <v>97637</v>
      </c>
      <c r="B703" s="391" t="s">
        <v>1396</v>
      </c>
      <c r="C703" s="234">
        <v>0</v>
      </c>
      <c r="D703" s="234">
        <v>3.1999999999999999E-6</v>
      </c>
      <c r="E703" s="231">
        <v>0</v>
      </c>
      <c r="F703" s="231" t="s">
        <v>1924</v>
      </c>
      <c r="G703" s="392">
        <v>0</v>
      </c>
      <c r="H703" s="392">
        <v>0</v>
      </c>
      <c r="I703" s="392">
        <v>0</v>
      </c>
      <c r="J703" s="231">
        <v>1237</v>
      </c>
      <c r="K703" s="231">
        <v>1237</v>
      </c>
      <c r="L703" s="231"/>
      <c r="M703" s="225">
        <v>0</v>
      </c>
      <c r="N703" s="225">
        <v>0</v>
      </c>
      <c r="O703" s="231">
        <v>2946</v>
      </c>
      <c r="P703" s="231">
        <v>2946</v>
      </c>
      <c r="Q703" s="231"/>
      <c r="R703" s="392">
        <v>0</v>
      </c>
      <c r="S703" s="231">
        <v>-425</v>
      </c>
      <c r="T703" s="396">
        <v>-425</v>
      </c>
      <c r="U703" s="231"/>
      <c r="V703" s="396"/>
      <c r="W703" s="396"/>
      <c r="X703" s="396">
        <v>0</v>
      </c>
      <c r="Y703" s="396">
        <v>0</v>
      </c>
    </row>
    <row r="704" spans="1:25">
      <c r="A704" s="390">
        <v>97641</v>
      </c>
      <c r="B704" s="391" t="s">
        <v>1397</v>
      </c>
      <c r="C704" s="234">
        <v>5.1199999999999998E-5</v>
      </c>
      <c r="D704" s="234">
        <v>4.5399999999999999E-5</v>
      </c>
      <c r="E704" s="231">
        <v>182959</v>
      </c>
      <c r="F704" s="231" t="s">
        <v>1924</v>
      </c>
      <c r="G704" s="392">
        <v>23105</v>
      </c>
      <c r="H704" s="392">
        <v>25747</v>
      </c>
      <c r="I704" s="392">
        <v>13616</v>
      </c>
      <c r="J704" s="231">
        <v>12853</v>
      </c>
      <c r="K704" s="231">
        <v>75321</v>
      </c>
      <c r="L704" s="231"/>
      <c r="M704" s="225">
        <v>0</v>
      </c>
      <c r="N704" s="225">
        <v>0</v>
      </c>
      <c r="O704" s="231">
        <v>4144</v>
      </c>
      <c r="P704" s="231">
        <v>4144</v>
      </c>
      <c r="Q704" s="231"/>
      <c r="R704" s="392">
        <v>62918</v>
      </c>
      <c r="S704" s="231">
        <v>4991</v>
      </c>
      <c r="T704" s="396">
        <v>67909</v>
      </c>
      <c r="U704" s="231"/>
      <c r="V704" s="396"/>
      <c r="W704" s="396"/>
      <c r="X704" s="396">
        <v>371205</v>
      </c>
      <c r="Y704" s="396">
        <v>26514</v>
      </c>
    </row>
    <row r="705" spans="1:25">
      <c r="A705" s="390">
        <v>97651</v>
      </c>
      <c r="B705" s="391" t="s">
        <v>1398</v>
      </c>
      <c r="C705" s="234">
        <v>5.2769999999999998E-4</v>
      </c>
      <c r="D705" s="234">
        <v>5.2329999999999998E-4</v>
      </c>
      <c r="E705" s="231">
        <v>1885697</v>
      </c>
      <c r="F705" s="231" t="s">
        <v>1924</v>
      </c>
      <c r="G705" s="392">
        <v>238130</v>
      </c>
      <c r="H705" s="392">
        <v>265361</v>
      </c>
      <c r="I705" s="392">
        <v>140333</v>
      </c>
      <c r="J705" s="231">
        <v>0</v>
      </c>
      <c r="K705" s="231">
        <v>643824</v>
      </c>
      <c r="L705" s="231"/>
      <c r="M705" s="225">
        <v>0</v>
      </c>
      <c r="N705" s="225">
        <v>0</v>
      </c>
      <c r="O705" s="231">
        <v>41651</v>
      </c>
      <c r="P705" s="231">
        <v>41651</v>
      </c>
      <c r="Q705" s="231"/>
      <c r="R705" s="392">
        <v>648477</v>
      </c>
      <c r="S705" s="231">
        <v>-23952</v>
      </c>
      <c r="T705" s="396">
        <v>624525</v>
      </c>
      <c r="U705" s="231"/>
      <c r="V705" s="396"/>
      <c r="W705" s="396"/>
      <c r="X705" s="396">
        <v>3825874</v>
      </c>
      <c r="Y705" s="396">
        <v>273274</v>
      </c>
    </row>
    <row r="706" spans="1:25">
      <c r="A706" s="390">
        <v>97661</v>
      </c>
      <c r="B706" s="391" t="s">
        <v>1399</v>
      </c>
      <c r="C706" s="234">
        <v>4.2400000000000001E-5</v>
      </c>
      <c r="D706" s="234">
        <v>5.3300000000000001E-5</v>
      </c>
      <c r="E706" s="231">
        <v>151513</v>
      </c>
      <c r="F706" s="231" t="s">
        <v>1924</v>
      </c>
      <c r="G706" s="392">
        <v>19133</v>
      </c>
      <c r="H706" s="392">
        <v>21322</v>
      </c>
      <c r="I706" s="392">
        <v>11276</v>
      </c>
      <c r="J706" s="231">
        <v>6927</v>
      </c>
      <c r="K706" s="231">
        <v>58658</v>
      </c>
      <c r="L706" s="231"/>
      <c r="M706" s="225">
        <v>0</v>
      </c>
      <c r="N706" s="225">
        <v>0</v>
      </c>
      <c r="O706" s="231">
        <v>11093</v>
      </c>
      <c r="P706" s="231">
        <v>11093</v>
      </c>
      <c r="Q706" s="231"/>
      <c r="R706" s="392">
        <v>52104</v>
      </c>
      <c r="S706" s="231">
        <v>979</v>
      </c>
      <c r="T706" s="396">
        <v>53083</v>
      </c>
      <c r="U706" s="231"/>
      <c r="V706" s="396"/>
      <c r="W706" s="396"/>
      <c r="X706" s="396">
        <v>307404</v>
      </c>
      <c r="Y706" s="396">
        <v>21957</v>
      </c>
    </row>
    <row r="707" spans="1:25">
      <c r="A707" s="390">
        <v>97701</v>
      </c>
      <c r="B707" s="391" t="s">
        <v>1400</v>
      </c>
      <c r="C707" s="234">
        <v>2.392E-3</v>
      </c>
      <c r="D707" s="234">
        <v>2.4578E-3</v>
      </c>
      <c r="E707" s="231">
        <v>8547635</v>
      </c>
      <c r="F707" s="231" t="s">
        <v>1924</v>
      </c>
      <c r="G707" s="392">
        <v>1079416</v>
      </c>
      <c r="H707" s="392">
        <v>1202850</v>
      </c>
      <c r="I707" s="392">
        <v>636112</v>
      </c>
      <c r="J707" s="231">
        <v>19124</v>
      </c>
      <c r="K707" s="231">
        <v>2937502</v>
      </c>
      <c r="L707" s="231"/>
      <c r="M707" s="225">
        <v>0</v>
      </c>
      <c r="N707" s="225">
        <v>0</v>
      </c>
      <c r="O707" s="231">
        <v>125144</v>
      </c>
      <c r="P707" s="231">
        <v>125144</v>
      </c>
      <c r="Q707" s="231"/>
      <c r="R707" s="392">
        <v>2939469</v>
      </c>
      <c r="S707" s="231">
        <v>-27738</v>
      </c>
      <c r="T707" s="396">
        <v>2911731</v>
      </c>
      <c r="U707" s="231"/>
      <c r="V707" s="396"/>
      <c r="W707" s="396"/>
      <c r="X707" s="396">
        <v>17342220</v>
      </c>
      <c r="Y707" s="396">
        <v>1238716</v>
      </c>
    </row>
    <row r="708" spans="1:25">
      <c r="A708" s="390">
        <v>97705</v>
      </c>
      <c r="B708" s="391" t="s">
        <v>1401</v>
      </c>
      <c r="C708" s="234">
        <v>3.1099999999999997E-5</v>
      </c>
      <c r="D708" s="234">
        <v>3.1699999999999998E-5</v>
      </c>
      <c r="E708" s="231">
        <v>111134</v>
      </c>
      <c r="F708" s="231" t="s">
        <v>1924</v>
      </c>
      <c r="G708" s="392">
        <v>14034</v>
      </c>
      <c r="H708" s="392">
        <v>15639</v>
      </c>
      <c r="I708" s="392">
        <v>8271</v>
      </c>
      <c r="J708" s="231">
        <v>6110</v>
      </c>
      <c r="K708" s="231">
        <v>44054</v>
      </c>
      <c r="L708" s="231"/>
      <c r="M708" s="225">
        <v>0</v>
      </c>
      <c r="N708" s="225">
        <v>0</v>
      </c>
      <c r="O708" s="231">
        <v>7751</v>
      </c>
      <c r="P708" s="231">
        <v>7751</v>
      </c>
      <c r="Q708" s="231"/>
      <c r="R708" s="392">
        <v>38218</v>
      </c>
      <c r="S708" s="231">
        <v>-1667</v>
      </c>
      <c r="T708" s="396">
        <v>36551</v>
      </c>
      <c r="U708" s="231"/>
      <c r="V708" s="396"/>
      <c r="W708" s="396"/>
      <c r="X708" s="396">
        <v>225478</v>
      </c>
      <c r="Y708" s="396">
        <v>16105</v>
      </c>
    </row>
    <row r="709" spans="1:25">
      <c r="A709" s="390">
        <v>97711</v>
      </c>
      <c r="B709" s="391" t="s">
        <v>1402</v>
      </c>
      <c r="C709" s="234">
        <v>8.3679999999999996E-4</v>
      </c>
      <c r="D709" s="234">
        <v>8.5930000000000002E-4</v>
      </c>
      <c r="E709" s="231">
        <v>2990243</v>
      </c>
      <c r="F709" s="231" t="s">
        <v>1924</v>
      </c>
      <c r="G709" s="392">
        <v>377615</v>
      </c>
      <c r="H709" s="392">
        <v>420796</v>
      </c>
      <c r="I709" s="392">
        <v>222533</v>
      </c>
      <c r="J709" s="231">
        <v>5492</v>
      </c>
      <c r="K709" s="231">
        <v>1026436</v>
      </c>
      <c r="L709" s="231"/>
      <c r="M709" s="225">
        <v>0</v>
      </c>
      <c r="N709" s="225">
        <v>0</v>
      </c>
      <c r="O709" s="231">
        <v>36269</v>
      </c>
      <c r="P709" s="231">
        <v>36269</v>
      </c>
      <c r="Q709" s="231"/>
      <c r="R709" s="392">
        <v>1028323</v>
      </c>
      <c r="S709" s="231">
        <v>-17087</v>
      </c>
      <c r="T709" s="396">
        <v>1011236</v>
      </c>
      <c r="U709" s="231"/>
      <c r="V709" s="396"/>
      <c r="W709" s="396"/>
      <c r="X709" s="396">
        <v>6066877</v>
      </c>
      <c r="Y709" s="396">
        <v>433344</v>
      </c>
    </row>
    <row r="710" spans="1:25">
      <c r="A710" s="390">
        <v>97713</v>
      </c>
      <c r="B710" s="391" t="s">
        <v>1403</v>
      </c>
      <c r="C710" s="234">
        <v>5.7899999999999998E-5</v>
      </c>
      <c r="D710" s="234">
        <v>5.0399999999999999E-5</v>
      </c>
      <c r="E710" s="231">
        <v>206901</v>
      </c>
      <c r="F710" s="231" t="s">
        <v>1924</v>
      </c>
      <c r="G710" s="392">
        <v>26128</v>
      </c>
      <c r="H710" s="392">
        <v>29116</v>
      </c>
      <c r="I710" s="392">
        <v>15398</v>
      </c>
      <c r="J710" s="231">
        <v>8949</v>
      </c>
      <c r="K710" s="231">
        <v>79591</v>
      </c>
      <c r="L710" s="231"/>
      <c r="M710" s="225">
        <v>0</v>
      </c>
      <c r="N710" s="225">
        <v>0</v>
      </c>
      <c r="O710" s="231">
        <v>2930</v>
      </c>
      <c r="P710" s="231">
        <v>2930</v>
      </c>
      <c r="Q710" s="231"/>
      <c r="R710" s="392">
        <v>71152</v>
      </c>
      <c r="S710" s="231">
        <v>-247</v>
      </c>
      <c r="T710" s="396">
        <v>70905</v>
      </c>
      <c r="U710" s="231"/>
      <c r="V710" s="396"/>
      <c r="W710" s="396"/>
      <c r="X710" s="396">
        <v>419780</v>
      </c>
      <c r="Y710" s="396">
        <v>29984</v>
      </c>
    </row>
    <row r="711" spans="1:25">
      <c r="A711" s="390">
        <v>97717</v>
      </c>
      <c r="B711" s="391" t="s">
        <v>1404</v>
      </c>
      <c r="C711" s="234">
        <v>5.5999999999999997E-6</v>
      </c>
      <c r="D711" s="234">
        <v>5.4E-6</v>
      </c>
      <c r="E711" s="231">
        <v>20011</v>
      </c>
      <c r="F711" s="231" t="s">
        <v>1924</v>
      </c>
      <c r="G711" s="392">
        <v>2527</v>
      </c>
      <c r="H711" s="392">
        <v>2816</v>
      </c>
      <c r="I711" s="392">
        <v>1489</v>
      </c>
      <c r="J711" s="231">
        <v>1470</v>
      </c>
      <c r="K711" s="231">
        <v>8302</v>
      </c>
      <c r="L711" s="231"/>
      <c r="M711" s="225">
        <v>0</v>
      </c>
      <c r="N711" s="225">
        <v>0</v>
      </c>
      <c r="O711" s="231">
        <v>463</v>
      </c>
      <c r="P711" s="231">
        <v>463</v>
      </c>
      <c r="Q711" s="231"/>
      <c r="R711" s="392">
        <v>6882</v>
      </c>
      <c r="S711" s="231">
        <v>419</v>
      </c>
      <c r="T711" s="396">
        <v>7301</v>
      </c>
      <c r="U711" s="231"/>
      <c r="V711" s="396"/>
      <c r="W711" s="396"/>
      <c r="X711" s="396">
        <v>40601</v>
      </c>
      <c r="Y711" s="396">
        <v>2900</v>
      </c>
    </row>
    <row r="712" spans="1:25">
      <c r="A712" s="390">
        <v>97721</v>
      </c>
      <c r="B712" s="391" t="s">
        <v>1405</v>
      </c>
      <c r="C712" s="234">
        <v>5.2959999999999997E-4</v>
      </c>
      <c r="D712" s="234">
        <v>5.5699999999999999E-4</v>
      </c>
      <c r="E712" s="231">
        <v>1892486</v>
      </c>
      <c r="F712" s="231" t="s">
        <v>1924</v>
      </c>
      <c r="G712" s="392">
        <v>238988</v>
      </c>
      <c r="H712" s="392">
        <v>266317</v>
      </c>
      <c r="I712" s="392">
        <v>140838</v>
      </c>
      <c r="J712" s="231">
        <v>1734</v>
      </c>
      <c r="K712" s="231">
        <v>647877</v>
      </c>
      <c r="L712" s="231"/>
      <c r="M712" s="225">
        <v>0</v>
      </c>
      <c r="N712" s="225">
        <v>0</v>
      </c>
      <c r="O712" s="231">
        <v>80329</v>
      </c>
      <c r="P712" s="231">
        <v>80329</v>
      </c>
      <c r="Q712" s="231"/>
      <c r="R712" s="392">
        <v>650812</v>
      </c>
      <c r="S712" s="231">
        <v>-23606</v>
      </c>
      <c r="T712" s="396">
        <v>627206</v>
      </c>
      <c r="U712" s="231"/>
      <c r="V712" s="396"/>
      <c r="W712" s="396"/>
      <c r="X712" s="396">
        <v>3839649</v>
      </c>
      <c r="Y712" s="396">
        <v>274258</v>
      </c>
    </row>
    <row r="713" spans="1:25">
      <c r="A713" s="390">
        <v>97727</v>
      </c>
      <c r="B713" s="391" t="s">
        <v>1406</v>
      </c>
      <c r="C713" s="234">
        <v>1.6900000000000001E-5</v>
      </c>
      <c r="D713" s="234">
        <v>1.8600000000000001E-5</v>
      </c>
      <c r="E713" s="231">
        <v>60391</v>
      </c>
      <c r="F713" s="231" t="s">
        <v>1924</v>
      </c>
      <c r="G713" s="392">
        <v>7626</v>
      </c>
      <c r="H713" s="392">
        <v>8499</v>
      </c>
      <c r="I713" s="392">
        <v>4494</v>
      </c>
      <c r="J713" s="231">
        <v>472</v>
      </c>
      <c r="K713" s="231">
        <v>21091</v>
      </c>
      <c r="L713" s="231"/>
      <c r="M713" s="225">
        <v>0</v>
      </c>
      <c r="N713" s="225">
        <v>0</v>
      </c>
      <c r="O713" s="231">
        <v>400</v>
      </c>
      <c r="P713" s="231">
        <v>400</v>
      </c>
      <c r="Q713" s="231"/>
      <c r="R713" s="392">
        <v>20768</v>
      </c>
      <c r="S713" s="231">
        <v>-324</v>
      </c>
      <c r="T713" s="396">
        <v>20444</v>
      </c>
      <c r="U713" s="231"/>
      <c r="V713" s="396"/>
      <c r="W713" s="396"/>
      <c r="X713" s="396">
        <v>122527</v>
      </c>
      <c r="Y713" s="396">
        <v>8752</v>
      </c>
    </row>
    <row r="714" spans="1:25">
      <c r="A714" s="390">
        <v>97731</v>
      </c>
      <c r="B714" s="391" t="s">
        <v>1407</v>
      </c>
      <c r="C714" s="234">
        <v>3.8300000000000003E-5</v>
      </c>
      <c r="D714" s="234">
        <v>3.82E-5</v>
      </c>
      <c r="E714" s="231">
        <v>136862</v>
      </c>
      <c r="F714" s="231" t="s">
        <v>1924</v>
      </c>
      <c r="G714" s="392">
        <v>17283</v>
      </c>
      <c r="H714" s="392">
        <v>19259</v>
      </c>
      <c r="I714" s="392">
        <v>10185</v>
      </c>
      <c r="J714" s="231">
        <v>6031</v>
      </c>
      <c r="K714" s="231">
        <v>52758</v>
      </c>
      <c r="L714" s="231"/>
      <c r="M714" s="225">
        <v>0</v>
      </c>
      <c r="N714" s="225">
        <v>0</v>
      </c>
      <c r="O714" s="231">
        <v>0</v>
      </c>
      <c r="P714" s="231">
        <v>0</v>
      </c>
      <c r="Q714" s="231"/>
      <c r="R714" s="392">
        <v>47066</v>
      </c>
      <c r="S714" s="231">
        <v>3000</v>
      </c>
      <c r="T714" s="396">
        <v>50066</v>
      </c>
      <c r="U714" s="231"/>
      <c r="V714" s="396"/>
      <c r="W714" s="396"/>
      <c r="X714" s="396">
        <v>277679</v>
      </c>
      <c r="Y714" s="396">
        <v>19834</v>
      </c>
    </row>
    <row r="715" spans="1:25">
      <c r="A715" s="390">
        <v>97801</v>
      </c>
      <c r="B715" s="391" t="s">
        <v>1940</v>
      </c>
      <c r="C715" s="234">
        <v>6.2462999999999998E-3</v>
      </c>
      <c r="D715" s="234">
        <v>6.0489000000000003E-3</v>
      </c>
      <c r="E715" s="231">
        <v>22320691</v>
      </c>
      <c r="F715" s="231" t="s">
        <v>1924</v>
      </c>
      <c r="G715" s="392">
        <v>2818712</v>
      </c>
      <c r="H715" s="392">
        <v>3141040</v>
      </c>
      <c r="I715" s="392">
        <v>1661097</v>
      </c>
      <c r="J715" s="231">
        <v>545602</v>
      </c>
      <c r="K715" s="231">
        <v>8166451</v>
      </c>
      <c r="L715" s="231"/>
      <c r="M715" s="225">
        <v>0</v>
      </c>
      <c r="N715" s="225">
        <v>0</v>
      </c>
      <c r="O715" s="231">
        <v>414997</v>
      </c>
      <c r="P715" s="231">
        <v>414997</v>
      </c>
      <c r="Q715" s="231"/>
      <c r="R715" s="392">
        <v>7675922</v>
      </c>
      <c r="S715" s="231">
        <v>-45404</v>
      </c>
      <c r="T715" s="396">
        <v>7630518</v>
      </c>
      <c r="U715" s="231"/>
      <c r="V715" s="396"/>
      <c r="W715" s="396"/>
      <c r="X715" s="396">
        <v>45286250</v>
      </c>
      <c r="Y715" s="396">
        <v>3234696</v>
      </c>
    </row>
    <row r="716" spans="1:25">
      <c r="A716" s="390">
        <v>97802</v>
      </c>
      <c r="B716" s="391" t="s">
        <v>1409</v>
      </c>
      <c r="C716" s="234">
        <v>1.5880000000000001E-4</v>
      </c>
      <c r="D716" s="234">
        <v>1.9029999999999999E-4</v>
      </c>
      <c r="E716" s="231">
        <v>567460</v>
      </c>
      <c r="F716" s="231" t="s">
        <v>1924</v>
      </c>
      <c r="G716" s="392">
        <v>71660</v>
      </c>
      <c r="H716" s="392">
        <v>79855</v>
      </c>
      <c r="I716" s="392">
        <v>42230</v>
      </c>
      <c r="J716" s="231">
        <v>16047</v>
      </c>
      <c r="K716" s="231">
        <v>209792</v>
      </c>
      <c r="L716" s="231"/>
      <c r="M716" s="225">
        <v>0</v>
      </c>
      <c r="N716" s="225">
        <v>0</v>
      </c>
      <c r="O716" s="231">
        <v>43462</v>
      </c>
      <c r="P716" s="231">
        <v>43462</v>
      </c>
      <c r="Q716" s="231"/>
      <c r="R716" s="392">
        <v>195145</v>
      </c>
      <c r="S716" s="231">
        <v>-11015</v>
      </c>
      <c r="T716" s="396">
        <v>184130</v>
      </c>
      <c r="U716" s="231"/>
      <c r="V716" s="396"/>
      <c r="W716" s="396"/>
      <c r="X716" s="396">
        <v>1151315</v>
      </c>
      <c r="Y716" s="396">
        <v>82236</v>
      </c>
    </row>
    <row r="717" spans="1:25">
      <c r="A717" s="390">
        <v>97803</v>
      </c>
      <c r="B717" s="391" t="s">
        <v>1410</v>
      </c>
      <c r="C717" s="234">
        <v>7.2999999999999999E-5</v>
      </c>
      <c r="D717" s="234">
        <v>7.7899999999999996E-5</v>
      </c>
      <c r="E717" s="231">
        <v>260860</v>
      </c>
      <c r="F717" s="231" t="s">
        <v>1924</v>
      </c>
      <c r="G717" s="392">
        <v>32942</v>
      </c>
      <c r="H717" s="392">
        <v>36709</v>
      </c>
      <c r="I717" s="392">
        <v>19413</v>
      </c>
      <c r="J717" s="231">
        <v>2101</v>
      </c>
      <c r="K717" s="231">
        <v>91165</v>
      </c>
      <c r="L717" s="231"/>
      <c r="M717" s="225">
        <v>0</v>
      </c>
      <c r="N717" s="225">
        <v>0</v>
      </c>
      <c r="O717" s="231">
        <v>6688</v>
      </c>
      <c r="P717" s="231">
        <v>6688</v>
      </c>
      <c r="Q717" s="231"/>
      <c r="R717" s="392">
        <v>89708</v>
      </c>
      <c r="S717" s="231">
        <v>-637</v>
      </c>
      <c r="T717" s="396">
        <v>89071</v>
      </c>
      <c r="U717" s="231"/>
      <c r="V717" s="396"/>
      <c r="W717" s="396"/>
      <c r="X717" s="396">
        <v>529257</v>
      </c>
      <c r="Y717" s="396">
        <v>37804</v>
      </c>
    </row>
    <row r="718" spans="1:25">
      <c r="A718" s="390">
        <v>97805</v>
      </c>
      <c r="B718" s="391" t="s">
        <v>1411</v>
      </c>
      <c r="C718" s="234">
        <v>8.6299999999999997E-5</v>
      </c>
      <c r="D718" s="234">
        <v>8.6500000000000002E-5</v>
      </c>
      <c r="E718" s="231">
        <v>308387</v>
      </c>
      <c r="F718" s="231" t="s">
        <v>1924</v>
      </c>
      <c r="G718" s="392">
        <v>38944</v>
      </c>
      <c r="H718" s="392">
        <v>43397</v>
      </c>
      <c r="I718" s="392">
        <v>22950</v>
      </c>
      <c r="J718" s="231">
        <v>4380</v>
      </c>
      <c r="K718" s="231">
        <v>109671</v>
      </c>
      <c r="L718" s="231"/>
      <c r="M718" s="225">
        <v>0</v>
      </c>
      <c r="N718" s="225">
        <v>0</v>
      </c>
      <c r="O718" s="231">
        <v>1400</v>
      </c>
      <c r="P718" s="231">
        <v>1400</v>
      </c>
      <c r="Q718" s="231"/>
      <c r="R718" s="392">
        <v>106052</v>
      </c>
      <c r="S718" s="231">
        <v>3160</v>
      </c>
      <c r="T718" s="396">
        <v>109212</v>
      </c>
      <c r="U718" s="231"/>
      <c r="V718" s="396"/>
      <c r="W718" s="396"/>
      <c r="X718" s="396">
        <v>625683</v>
      </c>
      <c r="Y718" s="396">
        <v>44691</v>
      </c>
    </row>
    <row r="719" spans="1:25">
      <c r="A719" s="390">
        <v>97811</v>
      </c>
      <c r="B719" s="391" t="s">
        <v>1412</v>
      </c>
      <c r="C719" s="234">
        <v>2.2964000000000001E-3</v>
      </c>
      <c r="D719" s="234">
        <v>2.4080999999999998E-3</v>
      </c>
      <c r="E719" s="231">
        <v>8206015</v>
      </c>
      <c r="F719" s="231" t="s">
        <v>1924</v>
      </c>
      <c r="G719" s="392">
        <v>1036276</v>
      </c>
      <c r="H719" s="392">
        <v>1154777</v>
      </c>
      <c r="I719" s="392">
        <v>610689</v>
      </c>
      <c r="J719" s="231">
        <v>0</v>
      </c>
      <c r="K719" s="231">
        <v>2801742</v>
      </c>
      <c r="L719" s="231"/>
      <c r="M719" s="225">
        <v>0</v>
      </c>
      <c r="N719" s="225">
        <v>0</v>
      </c>
      <c r="O719" s="231">
        <v>137168</v>
      </c>
      <c r="P719" s="231">
        <v>137168</v>
      </c>
      <c r="Q719" s="231"/>
      <c r="R719" s="392">
        <v>2821989</v>
      </c>
      <c r="S719" s="231">
        <v>-73954</v>
      </c>
      <c r="T719" s="396">
        <v>2748035</v>
      </c>
      <c r="U719" s="231"/>
      <c r="V719" s="396"/>
      <c r="W719" s="396"/>
      <c r="X719" s="396">
        <v>16649111</v>
      </c>
      <c r="Y719" s="396">
        <v>1189209</v>
      </c>
    </row>
    <row r="720" spans="1:25">
      <c r="A720" s="390">
        <v>97817</v>
      </c>
      <c r="B720" s="391" t="s">
        <v>1413</v>
      </c>
      <c r="C720" s="234">
        <v>1.9300000000000002E-5</v>
      </c>
      <c r="D720" s="234">
        <v>1.7499999999999998E-5</v>
      </c>
      <c r="E720" s="231">
        <v>68967</v>
      </c>
      <c r="F720" s="231" t="s">
        <v>1924</v>
      </c>
      <c r="G720" s="392">
        <v>8709</v>
      </c>
      <c r="H720" s="392">
        <v>9705</v>
      </c>
      <c r="I720" s="392">
        <v>5133</v>
      </c>
      <c r="J720" s="231">
        <v>13295</v>
      </c>
      <c r="K720" s="231">
        <v>36842</v>
      </c>
      <c r="L720" s="231"/>
      <c r="M720" s="225">
        <v>0</v>
      </c>
      <c r="N720" s="225">
        <v>0</v>
      </c>
      <c r="O720" s="231">
        <v>0</v>
      </c>
      <c r="P720" s="231">
        <v>0</v>
      </c>
      <c r="Q720" s="231"/>
      <c r="R720" s="392">
        <v>23717</v>
      </c>
      <c r="S720" s="231">
        <v>7704</v>
      </c>
      <c r="T720" s="396">
        <v>31421</v>
      </c>
      <c r="U720" s="231"/>
      <c r="V720" s="396"/>
      <c r="W720" s="396"/>
      <c r="X720" s="396">
        <v>139927</v>
      </c>
      <c r="Y720" s="396">
        <v>9995</v>
      </c>
    </row>
    <row r="721" spans="1:25">
      <c r="A721" s="390">
        <v>97818</v>
      </c>
      <c r="B721" s="391" t="s">
        <v>1414</v>
      </c>
      <c r="C721" s="234">
        <v>1.6500000000000001E-5</v>
      </c>
      <c r="D721" s="234">
        <v>2.4899999999999999E-5</v>
      </c>
      <c r="E721" s="231">
        <v>58962</v>
      </c>
      <c r="F721" s="231" t="s">
        <v>1924</v>
      </c>
      <c r="G721" s="392">
        <v>7446</v>
      </c>
      <c r="H721" s="392">
        <v>8298</v>
      </c>
      <c r="I721" s="392">
        <v>4388</v>
      </c>
      <c r="J721" s="231">
        <v>2909</v>
      </c>
      <c r="K721" s="231">
        <v>23041</v>
      </c>
      <c r="L721" s="231"/>
      <c r="M721" s="225">
        <v>0</v>
      </c>
      <c r="N721" s="225">
        <v>0</v>
      </c>
      <c r="O721" s="231">
        <v>7165</v>
      </c>
      <c r="P721" s="231">
        <v>7165</v>
      </c>
      <c r="Q721" s="231"/>
      <c r="R721" s="392">
        <v>20276</v>
      </c>
      <c r="S721" s="231">
        <v>88</v>
      </c>
      <c r="T721" s="396">
        <v>20364</v>
      </c>
      <c r="U721" s="231"/>
      <c r="V721" s="396"/>
      <c r="W721" s="396"/>
      <c r="X721" s="396">
        <v>119627</v>
      </c>
      <c r="Y721" s="396">
        <v>8545</v>
      </c>
    </row>
    <row r="722" spans="1:25">
      <c r="A722" s="390">
        <v>97821</v>
      </c>
      <c r="B722" s="391" t="s">
        <v>1415</v>
      </c>
      <c r="C722" s="234">
        <v>1.038E-4</v>
      </c>
      <c r="D722" s="234">
        <v>1.329E-4</v>
      </c>
      <c r="E722" s="231">
        <v>370922</v>
      </c>
      <c r="F722" s="231" t="s">
        <v>1924</v>
      </c>
      <c r="G722" s="392">
        <v>46841</v>
      </c>
      <c r="H722" s="392">
        <v>52197</v>
      </c>
      <c r="I722" s="392">
        <v>27604</v>
      </c>
      <c r="J722" s="231">
        <v>23240</v>
      </c>
      <c r="K722" s="231">
        <v>149882</v>
      </c>
      <c r="L722" s="231"/>
      <c r="M722" s="225">
        <v>0</v>
      </c>
      <c r="N722" s="225">
        <v>0</v>
      </c>
      <c r="O722" s="231">
        <v>27337</v>
      </c>
      <c r="P722" s="231">
        <v>27337</v>
      </c>
      <c r="Q722" s="231"/>
      <c r="R722" s="392">
        <v>127557</v>
      </c>
      <c r="S722" s="231">
        <v>-1074</v>
      </c>
      <c r="T722" s="396">
        <v>126483</v>
      </c>
      <c r="U722" s="231"/>
      <c r="V722" s="396"/>
      <c r="W722" s="396"/>
      <c r="X722" s="396">
        <v>752560</v>
      </c>
      <c r="Y722" s="396">
        <v>53754</v>
      </c>
    </row>
    <row r="723" spans="1:25">
      <c r="A723" s="390">
        <v>97823</v>
      </c>
      <c r="B723" s="391" t="s">
        <v>1416</v>
      </c>
      <c r="C723" s="234">
        <v>1.91E-5</v>
      </c>
      <c r="D723" s="234">
        <v>1.5400000000000002E-5</v>
      </c>
      <c r="E723" s="231">
        <v>68252</v>
      </c>
      <c r="F723" s="231" t="s">
        <v>1924</v>
      </c>
      <c r="G723" s="392">
        <v>8619</v>
      </c>
      <c r="H723" s="392">
        <v>9605</v>
      </c>
      <c r="I723" s="392">
        <v>5079</v>
      </c>
      <c r="J723" s="231">
        <v>9731</v>
      </c>
      <c r="K723" s="231">
        <v>33034</v>
      </c>
      <c r="L723" s="231"/>
      <c r="M723" s="225">
        <v>0</v>
      </c>
      <c r="N723" s="225">
        <v>0</v>
      </c>
      <c r="O723" s="231">
        <v>1052</v>
      </c>
      <c r="P723" s="231">
        <v>1052</v>
      </c>
      <c r="Q723" s="231"/>
      <c r="R723" s="392">
        <v>23472</v>
      </c>
      <c r="S723" s="231">
        <v>3052</v>
      </c>
      <c r="T723" s="396">
        <v>26524</v>
      </c>
      <c r="U723" s="231"/>
      <c r="V723" s="396"/>
      <c r="W723" s="396"/>
      <c r="X723" s="396">
        <v>138477</v>
      </c>
      <c r="Y723" s="396">
        <v>9891</v>
      </c>
    </row>
    <row r="724" spans="1:25">
      <c r="A724" s="390">
        <v>97831</v>
      </c>
      <c r="B724" s="391" t="s">
        <v>1417</v>
      </c>
      <c r="C724" s="234">
        <v>1.8760000000000001E-4</v>
      </c>
      <c r="D724" s="234">
        <v>1.6359999999999999E-4</v>
      </c>
      <c r="E724" s="231">
        <v>670375</v>
      </c>
      <c r="F724" s="231" t="s">
        <v>1924</v>
      </c>
      <c r="G724" s="392">
        <v>84657</v>
      </c>
      <c r="H724" s="392">
        <v>94337</v>
      </c>
      <c r="I724" s="392">
        <v>49889</v>
      </c>
      <c r="J724" s="231">
        <v>52515</v>
      </c>
      <c r="K724" s="231">
        <v>281398</v>
      </c>
      <c r="L724" s="231"/>
      <c r="M724" s="225">
        <v>0</v>
      </c>
      <c r="N724" s="225">
        <v>0</v>
      </c>
      <c r="O724" s="231">
        <v>1652</v>
      </c>
      <c r="P724" s="231">
        <v>1652</v>
      </c>
      <c r="Q724" s="231"/>
      <c r="R724" s="392">
        <v>230537</v>
      </c>
      <c r="S724" s="231">
        <v>18942</v>
      </c>
      <c r="T724" s="396">
        <v>249479</v>
      </c>
      <c r="U724" s="231"/>
      <c r="V724" s="396"/>
      <c r="W724" s="396"/>
      <c r="X724" s="396">
        <v>1360117</v>
      </c>
      <c r="Y724" s="396">
        <v>97150</v>
      </c>
    </row>
    <row r="725" spans="1:25">
      <c r="A725" s="390">
        <v>97837</v>
      </c>
      <c r="B725" s="391" t="s">
        <v>1418</v>
      </c>
      <c r="C725" s="234">
        <v>8.4999999999999999E-6</v>
      </c>
      <c r="D725" s="234">
        <v>1.0000000000000001E-5</v>
      </c>
      <c r="E725" s="231">
        <v>30374</v>
      </c>
      <c r="F725" s="231" t="s">
        <v>1924</v>
      </c>
      <c r="G725" s="392">
        <v>3836</v>
      </c>
      <c r="H725" s="392">
        <v>4274</v>
      </c>
      <c r="I725" s="392">
        <v>2260</v>
      </c>
      <c r="J725" s="231">
        <v>1655</v>
      </c>
      <c r="K725" s="231">
        <v>12025</v>
      </c>
      <c r="L725" s="231"/>
      <c r="M725" s="225">
        <v>0</v>
      </c>
      <c r="N725" s="225">
        <v>0</v>
      </c>
      <c r="O725" s="231">
        <v>2403</v>
      </c>
      <c r="P725" s="231">
        <v>2403</v>
      </c>
      <c r="Q725" s="231"/>
      <c r="R725" s="392">
        <v>10445</v>
      </c>
      <c r="S725" s="231">
        <v>145</v>
      </c>
      <c r="T725" s="396">
        <v>10590</v>
      </c>
      <c r="U725" s="231"/>
      <c r="V725" s="396"/>
      <c r="W725" s="396"/>
      <c r="X725" s="396">
        <v>61626</v>
      </c>
      <c r="Y725" s="396">
        <v>4402</v>
      </c>
    </row>
    <row r="726" spans="1:25">
      <c r="A726" s="390">
        <v>97840</v>
      </c>
      <c r="B726" s="391" t="s">
        <v>1419</v>
      </c>
      <c r="C726" s="234">
        <v>1.3219999999999999E-4</v>
      </c>
      <c r="D726" s="234">
        <v>1.0560000000000001E-4</v>
      </c>
      <c r="E726" s="231">
        <v>472407</v>
      </c>
      <c r="F726" s="231" t="s">
        <v>1924</v>
      </c>
      <c r="G726" s="392">
        <v>59657</v>
      </c>
      <c r="H726" s="392">
        <v>66479</v>
      </c>
      <c r="I726" s="392">
        <v>35156</v>
      </c>
      <c r="J726" s="231">
        <v>81190</v>
      </c>
      <c r="K726" s="231">
        <v>242482</v>
      </c>
      <c r="L726" s="231"/>
      <c r="M726" s="225">
        <v>0</v>
      </c>
      <c r="N726" s="225">
        <v>0</v>
      </c>
      <c r="O726" s="231">
        <v>0</v>
      </c>
      <c r="P726" s="231">
        <v>0</v>
      </c>
      <c r="Q726" s="231"/>
      <c r="R726" s="392">
        <v>162457</v>
      </c>
      <c r="S726" s="231">
        <v>42286</v>
      </c>
      <c r="T726" s="396">
        <v>204743</v>
      </c>
      <c r="U726" s="231"/>
      <c r="V726" s="396"/>
      <c r="W726" s="396"/>
      <c r="X726" s="396">
        <v>958462</v>
      </c>
      <c r="Y726" s="396">
        <v>68461</v>
      </c>
    </row>
    <row r="727" spans="1:25">
      <c r="A727" s="390">
        <v>97841</v>
      </c>
      <c r="B727" s="391" t="s">
        <v>1420</v>
      </c>
      <c r="C727" s="234">
        <v>1.4100000000000001E-5</v>
      </c>
      <c r="D727" s="234">
        <v>1.2099999999999999E-5</v>
      </c>
      <c r="E727" s="231">
        <v>50385</v>
      </c>
      <c r="F727" s="231" t="s">
        <v>1924</v>
      </c>
      <c r="G727" s="392">
        <v>6363</v>
      </c>
      <c r="H727" s="392">
        <v>7090</v>
      </c>
      <c r="I727" s="392">
        <v>3750</v>
      </c>
      <c r="J727" s="231">
        <v>1531</v>
      </c>
      <c r="K727" s="231">
        <v>18734</v>
      </c>
      <c r="L727" s="231"/>
      <c r="M727" s="225">
        <v>0</v>
      </c>
      <c r="N727" s="225">
        <v>0</v>
      </c>
      <c r="O727" s="231">
        <v>185</v>
      </c>
      <c r="P727" s="231">
        <v>185</v>
      </c>
      <c r="Q727" s="231"/>
      <c r="R727" s="392">
        <v>17327</v>
      </c>
      <c r="S727" s="231">
        <v>221</v>
      </c>
      <c r="T727" s="396">
        <v>17548</v>
      </c>
      <c r="U727" s="231"/>
      <c r="V727" s="396"/>
      <c r="W727" s="396"/>
      <c r="X727" s="396">
        <v>102226</v>
      </c>
      <c r="Y727" s="396">
        <v>7302</v>
      </c>
    </row>
    <row r="728" spans="1:25">
      <c r="A728" s="390">
        <v>97847</v>
      </c>
      <c r="B728" s="391" t="s">
        <v>1421</v>
      </c>
      <c r="C728" s="234">
        <v>1.7999999999999999E-6</v>
      </c>
      <c r="D728" s="234">
        <v>1.7E-6</v>
      </c>
      <c r="E728" s="231">
        <v>6432</v>
      </c>
      <c r="F728" s="231" t="s">
        <v>1924</v>
      </c>
      <c r="G728" s="392">
        <v>812</v>
      </c>
      <c r="H728" s="392">
        <v>905</v>
      </c>
      <c r="I728" s="392">
        <v>479</v>
      </c>
      <c r="J728" s="231">
        <v>3323</v>
      </c>
      <c r="K728" s="231">
        <v>5519</v>
      </c>
      <c r="L728" s="231"/>
      <c r="M728" s="225">
        <v>0</v>
      </c>
      <c r="N728" s="225">
        <v>0</v>
      </c>
      <c r="O728" s="231">
        <v>0</v>
      </c>
      <c r="P728" s="231">
        <v>0</v>
      </c>
      <c r="Q728" s="231"/>
      <c r="R728" s="392">
        <v>2212</v>
      </c>
      <c r="S728" s="231">
        <v>1458</v>
      </c>
      <c r="T728" s="396">
        <v>3670</v>
      </c>
      <c r="U728" s="231"/>
      <c r="V728" s="396"/>
      <c r="W728" s="396"/>
      <c r="X728" s="396">
        <v>13050</v>
      </c>
      <c r="Y728" s="396">
        <v>932</v>
      </c>
    </row>
    <row r="729" spans="1:25">
      <c r="A729" s="390">
        <v>97851</v>
      </c>
      <c r="B729" s="391" t="s">
        <v>1422</v>
      </c>
      <c r="C729" s="234">
        <v>2.5589999999999999E-4</v>
      </c>
      <c r="D729" s="234">
        <v>2.7540000000000003E-4</v>
      </c>
      <c r="E729" s="231">
        <v>914440</v>
      </c>
      <c r="F729" s="231" t="s">
        <v>1924</v>
      </c>
      <c r="G729" s="392">
        <v>115478</v>
      </c>
      <c r="H729" s="392">
        <v>128682</v>
      </c>
      <c r="I729" s="392">
        <v>68052</v>
      </c>
      <c r="J729" s="231">
        <v>0</v>
      </c>
      <c r="K729" s="231">
        <v>312212</v>
      </c>
      <c r="L729" s="231"/>
      <c r="M729" s="225">
        <v>0</v>
      </c>
      <c r="N729" s="225">
        <v>0</v>
      </c>
      <c r="O729" s="231">
        <v>58733</v>
      </c>
      <c r="P729" s="231">
        <v>58733</v>
      </c>
      <c r="Q729" s="231"/>
      <c r="R729" s="392">
        <v>314469</v>
      </c>
      <c r="S729" s="231">
        <v>-23588</v>
      </c>
      <c r="T729" s="396">
        <v>290881</v>
      </c>
      <c r="U729" s="231"/>
      <c r="V729" s="396"/>
      <c r="W729" s="396"/>
      <c r="X729" s="396">
        <v>1855299</v>
      </c>
      <c r="Y729" s="396">
        <v>132520</v>
      </c>
    </row>
    <row r="730" spans="1:25">
      <c r="A730" s="390">
        <v>97853</v>
      </c>
      <c r="B730" s="391" t="s">
        <v>1423</v>
      </c>
      <c r="C730" s="234">
        <v>7.6600000000000005E-5</v>
      </c>
      <c r="D730" s="234">
        <v>7.9900000000000004E-5</v>
      </c>
      <c r="E730" s="231">
        <v>273724</v>
      </c>
      <c r="F730" s="231" t="s">
        <v>1924</v>
      </c>
      <c r="G730" s="392">
        <v>34567</v>
      </c>
      <c r="H730" s="392">
        <v>38519</v>
      </c>
      <c r="I730" s="392">
        <v>20370</v>
      </c>
      <c r="J730" s="231">
        <v>1253</v>
      </c>
      <c r="K730" s="231">
        <v>94709</v>
      </c>
      <c r="L730" s="231"/>
      <c r="M730" s="225">
        <v>0</v>
      </c>
      <c r="N730" s="225">
        <v>0</v>
      </c>
      <c r="O730" s="231">
        <v>22037</v>
      </c>
      <c r="P730" s="231">
        <v>22037</v>
      </c>
      <c r="Q730" s="231"/>
      <c r="R730" s="392">
        <v>94132</v>
      </c>
      <c r="S730" s="231">
        <v>-9995</v>
      </c>
      <c r="T730" s="396">
        <v>84137</v>
      </c>
      <c r="U730" s="231"/>
      <c r="V730" s="396"/>
      <c r="W730" s="396"/>
      <c r="X730" s="396">
        <v>555357</v>
      </c>
      <c r="Y730" s="396">
        <v>39668</v>
      </c>
    </row>
    <row r="731" spans="1:25">
      <c r="A731" s="390">
        <v>97861</v>
      </c>
      <c r="B731" s="391" t="s">
        <v>1424</v>
      </c>
      <c r="C731" s="234">
        <v>4.4700000000000002E-5</v>
      </c>
      <c r="D731" s="234">
        <v>4.5500000000000001E-5</v>
      </c>
      <c r="E731" s="231">
        <v>159732</v>
      </c>
      <c r="F731" s="231" t="s">
        <v>1924</v>
      </c>
      <c r="G731" s="392">
        <v>20171</v>
      </c>
      <c r="H731" s="392">
        <v>22478</v>
      </c>
      <c r="I731" s="392">
        <v>11887</v>
      </c>
      <c r="J731" s="231">
        <v>12484</v>
      </c>
      <c r="K731" s="231">
        <v>67020</v>
      </c>
      <c r="L731" s="231"/>
      <c r="M731" s="225">
        <v>0</v>
      </c>
      <c r="N731" s="225">
        <v>0</v>
      </c>
      <c r="O731" s="231">
        <v>7163</v>
      </c>
      <c r="P731" s="231">
        <v>7163</v>
      </c>
      <c r="Q731" s="231"/>
      <c r="R731" s="392">
        <v>54931</v>
      </c>
      <c r="S731" s="231">
        <v>-142</v>
      </c>
      <c r="T731" s="396">
        <v>54789</v>
      </c>
      <c r="U731" s="231"/>
      <c r="V731" s="396"/>
      <c r="W731" s="396"/>
      <c r="X731" s="396">
        <v>324079</v>
      </c>
      <c r="Y731" s="396">
        <v>23148</v>
      </c>
    </row>
    <row r="732" spans="1:25">
      <c r="A732" s="390">
        <v>97871</v>
      </c>
      <c r="B732" s="391" t="s">
        <v>1425</v>
      </c>
      <c r="C732" s="234">
        <v>2.6209999999999997E-4</v>
      </c>
      <c r="D732" s="234">
        <v>3.0079999999999999E-4</v>
      </c>
      <c r="E732" s="231">
        <v>936595</v>
      </c>
      <c r="F732" s="231" t="s">
        <v>1924</v>
      </c>
      <c r="G732" s="392">
        <v>118276</v>
      </c>
      <c r="H732" s="392">
        <v>131801</v>
      </c>
      <c r="I732" s="392">
        <v>69701</v>
      </c>
      <c r="J732" s="231">
        <v>166936</v>
      </c>
      <c r="K732" s="231">
        <v>486714</v>
      </c>
      <c r="L732" s="231"/>
      <c r="M732" s="225">
        <v>0</v>
      </c>
      <c r="N732" s="225">
        <v>0</v>
      </c>
      <c r="O732" s="231">
        <v>32580</v>
      </c>
      <c r="P732" s="231">
        <v>32580</v>
      </c>
      <c r="Q732" s="231"/>
      <c r="R732" s="392">
        <v>322088</v>
      </c>
      <c r="S732" s="231">
        <v>92300</v>
      </c>
      <c r="T732" s="396">
        <v>414388</v>
      </c>
      <c r="U732" s="231"/>
      <c r="V732" s="396"/>
      <c r="W732" s="396"/>
      <c r="X732" s="396">
        <v>1900249</v>
      </c>
      <c r="Y732" s="396">
        <v>135731</v>
      </c>
    </row>
    <row r="733" spans="1:25">
      <c r="A733" s="390">
        <v>97877</v>
      </c>
      <c r="B733" s="391" t="s">
        <v>1426</v>
      </c>
      <c r="C733" s="234">
        <v>8.8999999999999995E-6</v>
      </c>
      <c r="D733" s="234">
        <v>7.6000000000000001E-6</v>
      </c>
      <c r="E733" s="231">
        <v>31803</v>
      </c>
      <c r="F733" s="231" t="s">
        <v>1924</v>
      </c>
      <c r="G733" s="392">
        <v>4016</v>
      </c>
      <c r="H733" s="392">
        <v>4475</v>
      </c>
      <c r="I733" s="392">
        <v>2367</v>
      </c>
      <c r="J733" s="231">
        <v>7330</v>
      </c>
      <c r="K733" s="231">
        <v>18188</v>
      </c>
      <c r="L733" s="231"/>
      <c r="M733" s="225">
        <v>0</v>
      </c>
      <c r="N733" s="225">
        <v>0</v>
      </c>
      <c r="O733" s="231">
        <v>0</v>
      </c>
      <c r="P733" s="231">
        <v>0</v>
      </c>
      <c r="Q733" s="231"/>
      <c r="R733" s="392">
        <v>10937</v>
      </c>
      <c r="S733" s="231">
        <v>2825</v>
      </c>
      <c r="T733" s="396">
        <v>13762</v>
      </c>
      <c r="U733" s="231"/>
      <c r="V733" s="396"/>
      <c r="W733" s="396"/>
      <c r="X733" s="396">
        <v>64526</v>
      </c>
      <c r="Y733" s="396">
        <v>4609</v>
      </c>
    </row>
    <row r="734" spans="1:25">
      <c r="A734" s="390">
        <v>97901</v>
      </c>
      <c r="B734" s="391" t="s">
        <v>1427</v>
      </c>
      <c r="C734" s="234">
        <v>3.8295999999999998E-3</v>
      </c>
      <c r="D734" s="234">
        <v>4.0067999999999996E-3</v>
      </c>
      <c r="E734" s="231">
        <v>13684792</v>
      </c>
      <c r="F734" s="231" t="s">
        <v>1924</v>
      </c>
      <c r="G734" s="392">
        <v>1728149</v>
      </c>
      <c r="H734" s="392">
        <v>1925768</v>
      </c>
      <c r="I734" s="392">
        <v>1018417</v>
      </c>
      <c r="J734" s="231">
        <v>10460</v>
      </c>
      <c r="K734" s="231">
        <v>4682794</v>
      </c>
      <c r="L734" s="231"/>
      <c r="M734" s="225">
        <v>0</v>
      </c>
      <c r="N734" s="225">
        <v>0</v>
      </c>
      <c r="O734" s="231">
        <v>373931</v>
      </c>
      <c r="P734" s="231">
        <v>373931</v>
      </c>
      <c r="Q734" s="231"/>
      <c r="R734" s="392">
        <v>4706100</v>
      </c>
      <c r="S734" s="231">
        <v>-120209</v>
      </c>
      <c r="T734" s="396">
        <v>4585891</v>
      </c>
      <c r="U734" s="231"/>
      <c r="V734" s="396"/>
      <c r="W734" s="396"/>
      <c r="X734" s="396">
        <v>27764952</v>
      </c>
      <c r="Y734" s="396">
        <v>1983189</v>
      </c>
    </row>
    <row r="735" spans="1:25">
      <c r="A735" s="390">
        <v>97911</v>
      </c>
      <c r="B735" s="391" t="s">
        <v>1428</v>
      </c>
      <c r="C735" s="234">
        <v>1.2029E-3</v>
      </c>
      <c r="D735" s="234">
        <v>1.2121E-3</v>
      </c>
      <c r="E735" s="231">
        <v>4298474</v>
      </c>
      <c r="F735" s="231" t="s">
        <v>1924</v>
      </c>
      <c r="G735" s="392">
        <v>542822</v>
      </c>
      <c r="H735" s="392">
        <v>604895</v>
      </c>
      <c r="I735" s="392">
        <v>319891</v>
      </c>
      <c r="J735" s="231">
        <v>42409</v>
      </c>
      <c r="K735" s="231">
        <v>1510017</v>
      </c>
      <c r="L735" s="231"/>
      <c r="M735" s="225">
        <v>0</v>
      </c>
      <c r="N735" s="225">
        <v>0</v>
      </c>
      <c r="O735" s="231">
        <v>17861</v>
      </c>
      <c r="P735" s="231">
        <v>17861</v>
      </c>
      <c r="Q735" s="231"/>
      <c r="R735" s="392">
        <v>1478214</v>
      </c>
      <c r="S735" s="231">
        <v>-227</v>
      </c>
      <c r="T735" s="396">
        <v>1477987</v>
      </c>
      <c r="U735" s="231"/>
      <c r="V735" s="396"/>
      <c r="W735" s="396"/>
      <c r="X735" s="396">
        <v>8721136</v>
      </c>
      <c r="Y735" s="396">
        <v>622931</v>
      </c>
    </row>
    <row r="736" spans="1:25">
      <c r="A736" s="390">
        <v>97913</v>
      </c>
      <c r="B736" s="391" t="s">
        <v>1429</v>
      </c>
      <c r="C736" s="234">
        <v>2.2900000000000001E-5</v>
      </c>
      <c r="D736" s="234">
        <v>2.8600000000000001E-5</v>
      </c>
      <c r="E736" s="231">
        <v>81831</v>
      </c>
      <c r="F736" s="231" t="s">
        <v>1924</v>
      </c>
      <c r="G736" s="392">
        <v>10334</v>
      </c>
      <c r="H736" s="392">
        <v>11515</v>
      </c>
      <c r="I736" s="392">
        <v>6090</v>
      </c>
      <c r="J736" s="231">
        <v>11275</v>
      </c>
      <c r="K736" s="231">
        <v>39214</v>
      </c>
      <c r="L736" s="231"/>
      <c r="M736" s="225">
        <v>0</v>
      </c>
      <c r="N736" s="225">
        <v>0</v>
      </c>
      <c r="O736" s="231">
        <v>0</v>
      </c>
      <c r="P736" s="231">
        <v>0</v>
      </c>
      <c r="Q736" s="231"/>
      <c r="R736" s="392">
        <v>28141</v>
      </c>
      <c r="S736" s="231">
        <v>7145</v>
      </c>
      <c r="T736" s="396">
        <v>35286</v>
      </c>
      <c r="U736" s="231"/>
      <c r="V736" s="396"/>
      <c r="W736" s="396"/>
      <c r="X736" s="396">
        <v>166027</v>
      </c>
      <c r="Y736" s="396">
        <v>11859</v>
      </c>
    </row>
    <row r="737" spans="1:25">
      <c r="A737" s="390">
        <v>97917</v>
      </c>
      <c r="B737" s="391" t="s">
        <v>1430</v>
      </c>
      <c r="C737" s="234">
        <v>1.7799999999999999E-5</v>
      </c>
      <c r="D737" s="234">
        <v>1.84E-5</v>
      </c>
      <c r="E737" s="231">
        <v>63607</v>
      </c>
      <c r="F737" s="231" t="s">
        <v>1924</v>
      </c>
      <c r="G737" s="392">
        <v>8032</v>
      </c>
      <c r="H737" s="392">
        <v>8951</v>
      </c>
      <c r="I737" s="392">
        <v>4734</v>
      </c>
      <c r="J737" s="231">
        <v>8840</v>
      </c>
      <c r="K737" s="231">
        <v>30557</v>
      </c>
      <c r="L737" s="231"/>
      <c r="M737" s="225">
        <v>0</v>
      </c>
      <c r="N737" s="225">
        <v>0</v>
      </c>
      <c r="O737" s="231">
        <v>0</v>
      </c>
      <c r="P737" s="231">
        <v>0</v>
      </c>
      <c r="Q737" s="231"/>
      <c r="R737" s="392">
        <v>21874</v>
      </c>
      <c r="S737" s="231">
        <v>4360</v>
      </c>
      <c r="T737" s="396">
        <v>26234</v>
      </c>
      <c r="U737" s="231"/>
      <c r="V737" s="396"/>
      <c r="W737" s="396"/>
      <c r="X737" s="396">
        <v>129052</v>
      </c>
      <c r="Y737" s="396">
        <v>9218</v>
      </c>
    </row>
    <row r="738" spans="1:25">
      <c r="A738" s="390">
        <v>97921</v>
      </c>
      <c r="B738" s="391" t="s">
        <v>1431</v>
      </c>
      <c r="C738" s="234">
        <v>2.14E-4</v>
      </c>
      <c r="D738" s="234">
        <v>2.073E-4</v>
      </c>
      <c r="E738" s="231">
        <v>764713</v>
      </c>
      <c r="F738" s="231" t="s">
        <v>1924</v>
      </c>
      <c r="G738" s="392">
        <v>96570</v>
      </c>
      <c r="H738" s="392">
        <v>107613</v>
      </c>
      <c r="I738" s="392">
        <v>56910</v>
      </c>
      <c r="J738" s="231">
        <v>13148</v>
      </c>
      <c r="K738" s="231">
        <v>274241</v>
      </c>
      <c r="L738" s="231"/>
      <c r="M738" s="225">
        <v>0</v>
      </c>
      <c r="N738" s="225">
        <v>0</v>
      </c>
      <c r="O738" s="231">
        <v>9935</v>
      </c>
      <c r="P738" s="231">
        <v>9935</v>
      </c>
      <c r="Q738" s="231"/>
      <c r="R738" s="392">
        <v>262979</v>
      </c>
      <c r="S738" s="231">
        <v>424</v>
      </c>
      <c r="T738" s="396">
        <v>263403</v>
      </c>
      <c r="U738" s="231"/>
      <c r="V738" s="396"/>
      <c r="W738" s="396"/>
      <c r="X738" s="396">
        <v>1551520</v>
      </c>
      <c r="Y738" s="396">
        <v>110822</v>
      </c>
    </row>
    <row r="739" spans="1:25">
      <c r="A739" s="390">
        <v>97931</v>
      </c>
      <c r="B739" s="391" t="s">
        <v>1432</v>
      </c>
      <c r="C739" s="234">
        <v>7.7700000000000005E-5</v>
      </c>
      <c r="D739" s="234">
        <v>6.6699999999999995E-5</v>
      </c>
      <c r="E739" s="231">
        <v>277655</v>
      </c>
      <c r="F739" s="231" t="s">
        <v>1924</v>
      </c>
      <c r="G739" s="392">
        <v>35063</v>
      </c>
      <c r="H739" s="392">
        <v>39072</v>
      </c>
      <c r="I739" s="392">
        <v>20663</v>
      </c>
      <c r="J739" s="231">
        <v>13943</v>
      </c>
      <c r="K739" s="231">
        <v>108741</v>
      </c>
      <c r="L739" s="231"/>
      <c r="M739" s="225">
        <v>0</v>
      </c>
      <c r="N739" s="225">
        <v>0</v>
      </c>
      <c r="O739" s="231">
        <v>883</v>
      </c>
      <c r="P739" s="231">
        <v>883</v>
      </c>
      <c r="Q739" s="231"/>
      <c r="R739" s="392">
        <v>95484</v>
      </c>
      <c r="S739" s="231">
        <v>4509</v>
      </c>
      <c r="T739" s="396">
        <v>99993</v>
      </c>
      <c r="U739" s="231"/>
      <c r="V739" s="396"/>
      <c r="W739" s="396"/>
      <c r="X739" s="396">
        <v>563332</v>
      </c>
      <c r="Y739" s="396">
        <v>40238</v>
      </c>
    </row>
    <row r="740" spans="1:25">
      <c r="A740" s="390">
        <v>97941</v>
      </c>
      <c r="B740" s="391" t="s">
        <v>1433</v>
      </c>
      <c r="C740" s="234">
        <v>2.195E-4</v>
      </c>
      <c r="D740" s="234">
        <v>2.143E-4</v>
      </c>
      <c r="E740" s="231">
        <v>784367</v>
      </c>
      <c r="F740" s="231" t="s">
        <v>1924</v>
      </c>
      <c r="G740" s="392">
        <v>99052</v>
      </c>
      <c r="H740" s="392">
        <v>110378</v>
      </c>
      <c r="I740" s="392">
        <v>58372</v>
      </c>
      <c r="J740" s="231">
        <v>31274</v>
      </c>
      <c r="K740" s="231">
        <v>299076</v>
      </c>
      <c r="L740" s="231"/>
      <c r="M740" s="225">
        <v>0</v>
      </c>
      <c r="N740" s="225">
        <v>0</v>
      </c>
      <c r="O740" s="231">
        <v>2187</v>
      </c>
      <c r="P740" s="231">
        <v>2187</v>
      </c>
      <c r="Q740" s="231"/>
      <c r="R740" s="392">
        <v>269738</v>
      </c>
      <c r="S740" s="231">
        <v>9971</v>
      </c>
      <c r="T740" s="396">
        <v>279709</v>
      </c>
      <c r="U740" s="231"/>
      <c r="V740" s="396"/>
      <c r="W740" s="396"/>
      <c r="X740" s="396">
        <v>1591395</v>
      </c>
      <c r="Y740" s="396">
        <v>113670</v>
      </c>
    </row>
    <row r="741" spans="1:25">
      <c r="A741" s="390">
        <v>97947</v>
      </c>
      <c r="B741" s="391" t="s">
        <v>1434</v>
      </c>
      <c r="C741" s="234">
        <v>1.5E-5</v>
      </c>
      <c r="D741" s="234">
        <v>1.52E-5</v>
      </c>
      <c r="E741" s="231">
        <v>53601</v>
      </c>
      <c r="F741" s="231" t="s">
        <v>1924</v>
      </c>
      <c r="G741" s="392">
        <v>6769</v>
      </c>
      <c r="H741" s="392">
        <v>7543</v>
      </c>
      <c r="I741" s="392">
        <v>3989</v>
      </c>
      <c r="J741" s="231">
        <v>8745</v>
      </c>
      <c r="K741" s="231">
        <v>27046</v>
      </c>
      <c r="L741" s="231"/>
      <c r="M741" s="225">
        <v>0</v>
      </c>
      <c r="N741" s="225">
        <v>0</v>
      </c>
      <c r="O741" s="231">
        <v>0</v>
      </c>
      <c r="P741" s="231">
        <v>0</v>
      </c>
      <c r="Q741" s="231"/>
      <c r="R741" s="392">
        <v>18433</v>
      </c>
      <c r="S741" s="231">
        <v>5226</v>
      </c>
      <c r="T741" s="396">
        <v>23659</v>
      </c>
      <c r="U741" s="231"/>
      <c r="V741" s="396"/>
      <c r="W741" s="396"/>
      <c r="X741" s="396">
        <v>108751</v>
      </c>
      <c r="Y741" s="396">
        <v>7768</v>
      </c>
    </row>
    <row r="742" spans="1:25">
      <c r="A742" s="390">
        <v>97948</v>
      </c>
      <c r="B742" s="391" t="s">
        <v>1435</v>
      </c>
      <c r="C742" s="234">
        <v>2.65E-5</v>
      </c>
      <c r="D742" s="234">
        <v>2.6100000000000001E-5</v>
      </c>
      <c r="E742" s="231">
        <v>94696</v>
      </c>
      <c r="F742" s="231" t="s">
        <v>1924</v>
      </c>
      <c r="G742" s="392">
        <v>11958</v>
      </c>
      <c r="H742" s="392">
        <v>13326</v>
      </c>
      <c r="I742" s="392">
        <v>7047</v>
      </c>
      <c r="J742" s="231">
        <v>3141</v>
      </c>
      <c r="K742" s="231">
        <v>35472</v>
      </c>
      <c r="L742" s="231"/>
      <c r="M742" s="225">
        <v>0</v>
      </c>
      <c r="N742" s="225">
        <v>0</v>
      </c>
      <c r="O742" s="231">
        <v>2057</v>
      </c>
      <c r="P742" s="231">
        <v>2057</v>
      </c>
      <c r="Q742" s="231"/>
      <c r="R742" s="392">
        <v>32565</v>
      </c>
      <c r="S742" s="231">
        <v>-1007</v>
      </c>
      <c r="T742" s="396">
        <v>31558</v>
      </c>
      <c r="U742" s="231"/>
      <c r="V742" s="396"/>
      <c r="W742" s="396"/>
      <c r="X742" s="396">
        <v>192127</v>
      </c>
      <c r="Y742" s="396">
        <v>13723</v>
      </c>
    </row>
    <row r="743" spans="1:25">
      <c r="A743" s="390">
        <v>97951</v>
      </c>
      <c r="B743" s="391" t="s">
        <v>1436</v>
      </c>
      <c r="C743" s="234">
        <v>1.1284000000000001E-3</v>
      </c>
      <c r="D743" s="234">
        <v>1.1746E-3</v>
      </c>
      <c r="E743" s="231">
        <v>4032254</v>
      </c>
      <c r="F743" s="231" t="s">
        <v>1924</v>
      </c>
      <c r="G743" s="392">
        <v>509203</v>
      </c>
      <c r="H743" s="392">
        <v>567431</v>
      </c>
      <c r="I743" s="392">
        <v>300079</v>
      </c>
      <c r="J743" s="231">
        <v>33934</v>
      </c>
      <c r="K743" s="231">
        <v>1410647</v>
      </c>
      <c r="L743" s="231"/>
      <c r="M743" s="225">
        <v>0</v>
      </c>
      <c r="N743" s="225">
        <v>0</v>
      </c>
      <c r="O743" s="231">
        <v>50</v>
      </c>
      <c r="P743" s="231">
        <v>50</v>
      </c>
      <c r="Q743" s="231"/>
      <c r="R743" s="392">
        <v>1386663</v>
      </c>
      <c r="S743" s="231">
        <v>15432</v>
      </c>
      <c r="T743" s="396">
        <v>1402095</v>
      </c>
      <c r="U743" s="231"/>
      <c r="V743" s="396"/>
      <c r="W743" s="396"/>
      <c r="X743" s="396">
        <v>8181004</v>
      </c>
      <c r="Y743" s="396">
        <v>584351</v>
      </c>
    </row>
    <row r="744" spans="1:25">
      <c r="A744" s="390">
        <v>97957</v>
      </c>
      <c r="B744" s="391" t="s">
        <v>1437</v>
      </c>
      <c r="C744" s="234">
        <v>1.3900000000000001E-5</v>
      </c>
      <c r="D744" s="234">
        <v>1.49E-5</v>
      </c>
      <c r="E744" s="231">
        <v>49671</v>
      </c>
      <c r="F744" s="231" t="s">
        <v>1924</v>
      </c>
      <c r="G744" s="392">
        <v>6273</v>
      </c>
      <c r="H744" s="392">
        <v>6990</v>
      </c>
      <c r="I744" s="392">
        <v>3696</v>
      </c>
      <c r="J744" s="231">
        <v>8438</v>
      </c>
      <c r="K744" s="231">
        <v>25397</v>
      </c>
      <c r="L744" s="231"/>
      <c r="M744" s="225">
        <v>0</v>
      </c>
      <c r="N744" s="225">
        <v>0</v>
      </c>
      <c r="O744" s="231">
        <v>0</v>
      </c>
      <c r="P744" s="231">
        <v>0</v>
      </c>
      <c r="Q744" s="231"/>
      <c r="R744" s="392">
        <v>17081</v>
      </c>
      <c r="S744" s="231">
        <v>3996</v>
      </c>
      <c r="T744" s="396">
        <v>21077</v>
      </c>
      <c r="U744" s="231"/>
      <c r="V744" s="396"/>
      <c r="W744" s="396"/>
      <c r="X744" s="396">
        <v>100776</v>
      </c>
      <c r="Y744" s="396">
        <v>7198</v>
      </c>
    </row>
    <row r="745" spans="1:25">
      <c r="A745" s="390">
        <v>98001</v>
      </c>
      <c r="B745" s="391" t="s">
        <v>1438</v>
      </c>
      <c r="C745" s="234">
        <v>5.3790000000000001E-3</v>
      </c>
      <c r="D745" s="234">
        <v>5.3171E-3</v>
      </c>
      <c r="E745" s="231">
        <v>19221458</v>
      </c>
      <c r="F745" s="231" t="s">
        <v>1924</v>
      </c>
      <c r="G745" s="392">
        <v>2427333</v>
      </c>
      <c r="H745" s="392">
        <v>2704906</v>
      </c>
      <c r="I745" s="392">
        <v>1430454</v>
      </c>
      <c r="J745" s="231">
        <v>256183</v>
      </c>
      <c r="K745" s="231">
        <v>6818876</v>
      </c>
      <c r="L745" s="231"/>
      <c r="M745" s="225">
        <v>0</v>
      </c>
      <c r="N745" s="225">
        <v>0</v>
      </c>
      <c r="O745" s="231">
        <v>41090</v>
      </c>
      <c r="P745" s="231">
        <v>41090</v>
      </c>
      <c r="Q745" s="231"/>
      <c r="R745" s="392">
        <v>6610119</v>
      </c>
      <c r="S745" s="231">
        <v>106119</v>
      </c>
      <c r="T745" s="396">
        <v>6716238</v>
      </c>
      <c r="U745" s="231"/>
      <c r="V745" s="396"/>
      <c r="W745" s="396"/>
      <c r="X745" s="396">
        <v>38998245</v>
      </c>
      <c r="Y745" s="396">
        <v>2785558</v>
      </c>
    </row>
    <row r="746" spans="1:25">
      <c r="A746" s="390">
        <v>98002</v>
      </c>
      <c r="B746" s="391" t="s">
        <v>1439</v>
      </c>
      <c r="C746" s="234">
        <v>5.5999999999999997E-6</v>
      </c>
      <c r="D746" s="234">
        <v>6.1999999999999999E-6</v>
      </c>
      <c r="E746" s="231">
        <v>20011</v>
      </c>
      <c r="F746" s="231" t="s">
        <v>1924</v>
      </c>
      <c r="G746" s="392">
        <v>2527</v>
      </c>
      <c r="H746" s="392">
        <v>2816</v>
      </c>
      <c r="I746" s="392">
        <v>1489</v>
      </c>
      <c r="J746" s="231">
        <v>2231</v>
      </c>
      <c r="K746" s="231">
        <v>9063</v>
      </c>
      <c r="L746" s="231"/>
      <c r="M746" s="225">
        <v>0</v>
      </c>
      <c r="N746" s="225">
        <v>0</v>
      </c>
      <c r="O746" s="231">
        <v>0</v>
      </c>
      <c r="P746" s="231">
        <v>0</v>
      </c>
      <c r="Q746" s="231"/>
      <c r="R746" s="392">
        <v>6882</v>
      </c>
      <c r="S746" s="231">
        <v>1034</v>
      </c>
      <c r="T746" s="396">
        <v>7916</v>
      </c>
      <c r="U746" s="231"/>
      <c r="V746" s="396"/>
      <c r="W746" s="396"/>
      <c r="X746" s="396">
        <v>40601</v>
      </c>
      <c r="Y746" s="396">
        <v>2900</v>
      </c>
    </row>
    <row r="747" spans="1:25">
      <c r="A747" s="390">
        <v>98003</v>
      </c>
      <c r="B747" s="391" t="s">
        <v>1440</v>
      </c>
      <c r="C747" s="234">
        <v>6.9999999999999994E-5</v>
      </c>
      <c r="D747" s="234">
        <v>6.9499999999999995E-5</v>
      </c>
      <c r="E747" s="231">
        <v>250140</v>
      </c>
      <c r="F747" s="231" t="s">
        <v>1924</v>
      </c>
      <c r="G747" s="392">
        <v>31588</v>
      </c>
      <c r="H747" s="392">
        <v>35201</v>
      </c>
      <c r="I747" s="392">
        <v>18615</v>
      </c>
      <c r="J747" s="231">
        <v>46560</v>
      </c>
      <c r="K747" s="231">
        <v>131964</v>
      </c>
      <c r="L747" s="231"/>
      <c r="M747" s="225">
        <v>0</v>
      </c>
      <c r="N747" s="225">
        <v>0</v>
      </c>
      <c r="O747" s="231">
        <v>0</v>
      </c>
      <c r="P747" s="231">
        <v>0</v>
      </c>
      <c r="Q747" s="231"/>
      <c r="R747" s="392">
        <v>86021</v>
      </c>
      <c r="S747" s="231">
        <v>28407</v>
      </c>
      <c r="T747" s="396">
        <v>114428</v>
      </c>
      <c r="U747" s="231"/>
      <c r="V747" s="396"/>
      <c r="W747" s="396"/>
      <c r="X747" s="396">
        <v>507506</v>
      </c>
      <c r="Y747" s="396">
        <v>36250</v>
      </c>
    </row>
    <row r="748" spans="1:25">
      <c r="A748" s="390">
        <v>98004</v>
      </c>
      <c r="B748" s="391" t="s">
        <v>1441</v>
      </c>
      <c r="C748" s="234">
        <v>1.3569999999999999E-4</v>
      </c>
      <c r="D748" s="234">
        <v>1.2530000000000001E-4</v>
      </c>
      <c r="E748" s="231">
        <v>484914</v>
      </c>
      <c r="F748" s="231" t="s">
        <v>1924</v>
      </c>
      <c r="G748" s="392">
        <v>61236</v>
      </c>
      <c r="H748" s="392">
        <v>68239</v>
      </c>
      <c r="I748" s="392">
        <v>36087</v>
      </c>
      <c r="J748" s="231">
        <v>83232</v>
      </c>
      <c r="K748" s="231">
        <v>248794</v>
      </c>
      <c r="L748" s="231"/>
      <c r="M748" s="225">
        <v>0</v>
      </c>
      <c r="N748" s="225">
        <v>0</v>
      </c>
      <c r="O748" s="231">
        <v>0</v>
      </c>
      <c r="P748" s="231">
        <v>0</v>
      </c>
      <c r="Q748" s="231"/>
      <c r="R748" s="392">
        <v>166758</v>
      </c>
      <c r="S748" s="231">
        <v>35472</v>
      </c>
      <c r="T748" s="396">
        <v>202230</v>
      </c>
      <c r="U748" s="231"/>
      <c r="V748" s="396"/>
      <c r="W748" s="396"/>
      <c r="X748" s="396">
        <v>983837</v>
      </c>
      <c r="Y748" s="396">
        <v>70273</v>
      </c>
    </row>
    <row r="749" spans="1:25">
      <c r="A749" s="390">
        <v>98008</v>
      </c>
      <c r="B749" s="391" t="s">
        <v>1442</v>
      </c>
      <c r="C749" s="234">
        <v>6.8000000000000001E-6</v>
      </c>
      <c r="D749" s="234">
        <v>7.1999999999999997E-6</v>
      </c>
      <c r="E749" s="231">
        <v>24299</v>
      </c>
      <c r="F749" s="231" t="s">
        <v>1924</v>
      </c>
      <c r="G749" s="392">
        <v>3069</v>
      </c>
      <c r="H749" s="392">
        <v>3420</v>
      </c>
      <c r="I749" s="392">
        <v>1808</v>
      </c>
      <c r="J749" s="231">
        <v>8</v>
      </c>
      <c r="K749" s="231">
        <v>8305</v>
      </c>
      <c r="L749" s="231"/>
      <c r="M749" s="225">
        <v>0</v>
      </c>
      <c r="N749" s="225">
        <v>0</v>
      </c>
      <c r="O749" s="231">
        <v>952</v>
      </c>
      <c r="P749" s="231">
        <v>952</v>
      </c>
      <c r="Q749" s="231"/>
      <c r="R749" s="392">
        <v>8356</v>
      </c>
      <c r="S749" s="231">
        <v>-427</v>
      </c>
      <c r="T749" s="396">
        <v>7929</v>
      </c>
      <c r="U749" s="231"/>
      <c r="V749" s="396"/>
      <c r="W749" s="396"/>
      <c r="X749" s="396">
        <v>49301</v>
      </c>
      <c r="Y749" s="396">
        <v>3521</v>
      </c>
    </row>
    <row r="750" spans="1:25">
      <c r="A750" s="390">
        <v>98011</v>
      </c>
      <c r="B750" s="391" t="s">
        <v>1443</v>
      </c>
      <c r="C750" s="234">
        <v>3.4218999999999999E-3</v>
      </c>
      <c r="D750" s="234">
        <v>3.4512000000000002E-3</v>
      </c>
      <c r="E750" s="231">
        <v>12227906</v>
      </c>
      <c r="F750" s="231" t="s">
        <v>1924</v>
      </c>
      <c r="G750" s="392">
        <v>1544170</v>
      </c>
      <c r="H750" s="392">
        <v>1720751</v>
      </c>
      <c r="I750" s="392">
        <v>909996</v>
      </c>
      <c r="J750" s="231">
        <v>66568</v>
      </c>
      <c r="K750" s="231">
        <v>4241485</v>
      </c>
      <c r="L750" s="231"/>
      <c r="M750" s="225">
        <v>0</v>
      </c>
      <c r="N750" s="225">
        <v>0</v>
      </c>
      <c r="O750" s="231">
        <v>150118</v>
      </c>
      <c r="P750" s="231">
        <v>150118</v>
      </c>
      <c r="Q750" s="231"/>
      <c r="R750" s="392">
        <v>4205087</v>
      </c>
      <c r="S750" s="231">
        <v>-85934</v>
      </c>
      <c r="T750" s="396">
        <v>4119153</v>
      </c>
      <c r="U750" s="231"/>
      <c r="V750" s="396"/>
      <c r="W750" s="396"/>
      <c r="X750" s="396">
        <v>24809090</v>
      </c>
      <c r="Y750" s="396">
        <v>1772058</v>
      </c>
    </row>
    <row r="751" spans="1:25">
      <c r="A751" s="390">
        <v>98013</v>
      </c>
      <c r="B751" s="391" t="s">
        <v>1444</v>
      </c>
      <c r="C751" s="234">
        <v>1.4520000000000001E-4</v>
      </c>
      <c r="D751" s="234">
        <v>1.3990000000000001E-4</v>
      </c>
      <c r="E751" s="231">
        <v>518861</v>
      </c>
      <c r="F751" s="231" t="s">
        <v>1924</v>
      </c>
      <c r="G751" s="392">
        <v>65523</v>
      </c>
      <c r="H751" s="392">
        <v>73016</v>
      </c>
      <c r="I751" s="392">
        <v>38613</v>
      </c>
      <c r="J751" s="231">
        <v>99128</v>
      </c>
      <c r="K751" s="231">
        <v>276280</v>
      </c>
      <c r="L751" s="231"/>
      <c r="M751" s="225">
        <v>0</v>
      </c>
      <c r="N751" s="225">
        <v>0</v>
      </c>
      <c r="O751" s="231">
        <v>0</v>
      </c>
      <c r="P751" s="231">
        <v>0</v>
      </c>
      <c r="Q751" s="231"/>
      <c r="R751" s="392">
        <v>178433</v>
      </c>
      <c r="S751" s="231">
        <v>59422</v>
      </c>
      <c r="T751" s="396">
        <v>237855</v>
      </c>
      <c r="U751" s="231"/>
      <c r="V751" s="396"/>
      <c r="W751" s="396"/>
      <c r="X751" s="396">
        <v>1052713</v>
      </c>
      <c r="Y751" s="396">
        <v>75193</v>
      </c>
    </row>
    <row r="752" spans="1:25">
      <c r="A752" s="390">
        <v>98021</v>
      </c>
      <c r="B752" s="391" t="s">
        <v>1445</v>
      </c>
      <c r="C752" s="234">
        <v>4.0899999999999998E-5</v>
      </c>
      <c r="D752" s="234">
        <v>4.2400000000000001E-5</v>
      </c>
      <c r="E752" s="231">
        <v>146153</v>
      </c>
      <c r="F752" s="231" t="s">
        <v>1924</v>
      </c>
      <c r="G752" s="392">
        <v>18457</v>
      </c>
      <c r="H752" s="392">
        <v>20567</v>
      </c>
      <c r="I752" s="392">
        <v>10877</v>
      </c>
      <c r="J752" s="231">
        <v>13022</v>
      </c>
      <c r="K752" s="231">
        <v>62923</v>
      </c>
      <c r="L752" s="231"/>
      <c r="M752" s="225">
        <v>0</v>
      </c>
      <c r="N752" s="225">
        <v>0</v>
      </c>
      <c r="O752" s="231">
        <v>14426</v>
      </c>
      <c r="P752" s="231">
        <v>14426</v>
      </c>
      <c r="Q752" s="231"/>
      <c r="R752" s="392">
        <v>50261</v>
      </c>
      <c r="S752" s="231">
        <v>-3394</v>
      </c>
      <c r="T752" s="396">
        <v>46867</v>
      </c>
      <c r="U752" s="231"/>
      <c r="V752" s="396"/>
      <c r="W752" s="396"/>
      <c r="X752" s="396">
        <v>296529</v>
      </c>
      <c r="Y752" s="396">
        <v>21180</v>
      </c>
    </row>
    <row r="753" spans="1:25">
      <c r="A753" s="390">
        <v>98023</v>
      </c>
      <c r="B753" s="391" t="s">
        <v>1446</v>
      </c>
      <c r="C753" s="234">
        <v>1.1800000000000001E-5</v>
      </c>
      <c r="D753" s="234">
        <v>8.8000000000000004E-6</v>
      </c>
      <c r="E753" s="231">
        <v>42166</v>
      </c>
      <c r="F753" s="231" t="s">
        <v>1924</v>
      </c>
      <c r="G753" s="392">
        <v>5325</v>
      </c>
      <c r="H753" s="392">
        <v>5934</v>
      </c>
      <c r="I753" s="392">
        <v>3138</v>
      </c>
      <c r="J753" s="231">
        <v>3315</v>
      </c>
      <c r="K753" s="231">
        <v>17712</v>
      </c>
      <c r="L753" s="231"/>
      <c r="M753" s="225">
        <v>0</v>
      </c>
      <c r="N753" s="225">
        <v>0</v>
      </c>
      <c r="O753" s="231">
        <v>6434</v>
      </c>
      <c r="P753" s="231">
        <v>6434</v>
      </c>
      <c r="Q753" s="231"/>
      <c r="R753" s="392">
        <v>14501</v>
      </c>
      <c r="S753" s="231">
        <v>-1689</v>
      </c>
      <c r="T753" s="396">
        <v>12812</v>
      </c>
      <c r="U753" s="231"/>
      <c r="V753" s="396"/>
      <c r="W753" s="396"/>
      <c r="X753" s="396">
        <v>85551</v>
      </c>
      <c r="Y753" s="396">
        <v>6111</v>
      </c>
    </row>
    <row r="754" spans="1:25">
      <c r="A754" s="390">
        <v>98031</v>
      </c>
      <c r="B754" s="391" t="s">
        <v>1447</v>
      </c>
      <c r="C754" s="234">
        <v>1.3129999999999999E-4</v>
      </c>
      <c r="D754" s="234">
        <v>1.5410000000000001E-4</v>
      </c>
      <c r="E754" s="231">
        <v>469191</v>
      </c>
      <c r="F754" s="231" t="s">
        <v>1924</v>
      </c>
      <c r="G754" s="392">
        <v>59251</v>
      </c>
      <c r="H754" s="392">
        <v>66026</v>
      </c>
      <c r="I754" s="392">
        <v>34917</v>
      </c>
      <c r="J754" s="231">
        <v>2585</v>
      </c>
      <c r="K754" s="231">
        <v>162779</v>
      </c>
      <c r="L754" s="231"/>
      <c r="M754" s="225">
        <v>0</v>
      </c>
      <c r="N754" s="225">
        <v>0</v>
      </c>
      <c r="O754" s="231">
        <v>44121</v>
      </c>
      <c r="P754" s="231">
        <v>44121</v>
      </c>
      <c r="Q754" s="231"/>
      <c r="R754" s="392">
        <v>161351</v>
      </c>
      <c r="S754" s="231">
        <v>-15239</v>
      </c>
      <c r="T754" s="396">
        <v>146112</v>
      </c>
      <c r="U754" s="231"/>
      <c r="V754" s="396"/>
      <c r="W754" s="396"/>
      <c r="X754" s="396">
        <v>951937</v>
      </c>
      <c r="Y754" s="396">
        <v>67995</v>
      </c>
    </row>
    <row r="755" spans="1:25">
      <c r="A755" s="390">
        <v>98041</v>
      </c>
      <c r="B755" s="391" t="s">
        <v>1448</v>
      </c>
      <c r="C755" s="234">
        <v>2.1320000000000001E-4</v>
      </c>
      <c r="D755" s="234">
        <v>2.3560000000000001E-4</v>
      </c>
      <c r="E755" s="231">
        <v>761854</v>
      </c>
      <c r="F755" s="231" t="s">
        <v>1924</v>
      </c>
      <c r="G755" s="392">
        <v>96209</v>
      </c>
      <c r="H755" s="392">
        <v>107211</v>
      </c>
      <c r="I755" s="392">
        <v>56697</v>
      </c>
      <c r="J755" s="231">
        <v>8673</v>
      </c>
      <c r="K755" s="231">
        <v>268790</v>
      </c>
      <c r="L755" s="231"/>
      <c r="M755" s="225">
        <v>0</v>
      </c>
      <c r="N755" s="225">
        <v>0</v>
      </c>
      <c r="O755" s="231">
        <v>31456</v>
      </c>
      <c r="P755" s="231">
        <v>31456</v>
      </c>
      <c r="Q755" s="231"/>
      <c r="R755" s="392">
        <v>261996</v>
      </c>
      <c r="S755" s="231">
        <v>-3038</v>
      </c>
      <c r="T755" s="396">
        <v>258958</v>
      </c>
      <c r="U755" s="231"/>
      <c r="V755" s="396"/>
      <c r="W755" s="396"/>
      <c r="X755" s="396">
        <v>1545720</v>
      </c>
      <c r="Y755" s="396">
        <v>110407</v>
      </c>
    </row>
    <row r="756" spans="1:25">
      <c r="A756" s="390">
        <v>98051</v>
      </c>
      <c r="B756" s="391" t="s">
        <v>1449</v>
      </c>
      <c r="C756" s="234">
        <v>2.4059999999999999E-4</v>
      </c>
      <c r="D756" s="234">
        <v>2.9750000000000002E-4</v>
      </c>
      <c r="E756" s="231">
        <v>859766</v>
      </c>
      <c r="F756" s="231" t="s">
        <v>1924</v>
      </c>
      <c r="G756" s="392">
        <v>108573</v>
      </c>
      <c r="H756" s="392">
        <v>120990</v>
      </c>
      <c r="I756" s="392">
        <v>63983</v>
      </c>
      <c r="J756" s="231">
        <v>13303</v>
      </c>
      <c r="K756" s="231">
        <v>306849</v>
      </c>
      <c r="L756" s="231"/>
      <c r="M756" s="225">
        <v>0</v>
      </c>
      <c r="N756" s="225">
        <v>0</v>
      </c>
      <c r="O756" s="231">
        <v>74628</v>
      </c>
      <c r="P756" s="231">
        <v>74628</v>
      </c>
      <c r="Q756" s="231"/>
      <c r="R756" s="392">
        <v>295667</v>
      </c>
      <c r="S756" s="231">
        <v>-18060</v>
      </c>
      <c r="T756" s="396">
        <v>277607</v>
      </c>
      <c r="U756" s="231"/>
      <c r="V756" s="396"/>
      <c r="W756" s="396"/>
      <c r="X756" s="396">
        <v>1744372</v>
      </c>
      <c r="Y756" s="396">
        <v>124597</v>
      </c>
    </row>
    <row r="757" spans="1:25">
      <c r="A757" s="390">
        <v>98061</v>
      </c>
      <c r="B757" s="391" t="s">
        <v>1450</v>
      </c>
      <c r="C757" s="234">
        <v>1.2799999999999999E-4</v>
      </c>
      <c r="D757" s="234">
        <v>1.208E-4</v>
      </c>
      <c r="E757" s="231">
        <v>457399</v>
      </c>
      <c r="F757" s="231" t="s">
        <v>1924</v>
      </c>
      <c r="G757" s="392">
        <v>57761</v>
      </c>
      <c r="H757" s="392">
        <v>64366</v>
      </c>
      <c r="I757" s="392">
        <v>34039</v>
      </c>
      <c r="J757" s="231">
        <v>6704</v>
      </c>
      <c r="K757" s="231">
        <v>162870</v>
      </c>
      <c r="L757" s="231"/>
      <c r="M757" s="225">
        <v>0</v>
      </c>
      <c r="N757" s="225">
        <v>0</v>
      </c>
      <c r="O757" s="231">
        <v>12055</v>
      </c>
      <c r="P757" s="231">
        <v>12055</v>
      </c>
      <c r="Q757" s="231"/>
      <c r="R757" s="392">
        <v>157296</v>
      </c>
      <c r="S757" s="231">
        <v>-4110</v>
      </c>
      <c r="T757" s="396">
        <v>153186</v>
      </c>
      <c r="U757" s="231"/>
      <c r="V757" s="396"/>
      <c r="W757" s="396"/>
      <c r="X757" s="396">
        <v>928012</v>
      </c>
      <c r="Y757" s="396">
        <v>66286</v>
      </c>
    </row>
    <row r="758" spans="1:25">
      <c r="A758" s="390">
        <v>98071</v>
      </c>
      <c r="B758" s="391" t="s">
        <v>1451</v>
      </c>
      <c r="C758" s="234">
        <v>5.2899999999999998E-5</v>
      </c>
      <c r="D758" s="234">
        <v>4.74E-5</v>
      </c>
      <c r="E758" s="231">
        <v>189034</v>
      </c>
      <c r="F758" s="231" t="s">
        <v>1924</v>
      </c>
      <c r="G758" s="392">
        <v>23872</v>
      </c>
      <c r="H758" s="392">
        <v>26602</v>
      </c>
      <c r="I758" s="392">
        <v>14068</v>
      </c>
      <c r="J758" s="231">
        <v>36083</v>
      </c>
      <c r="K758" s="231">
        <v>100625</v>
      </c>
      <c r="L758" s="231"/>
      <c r="M758" s="225">
        <v>0</v>
      </c>
      <c r="N758" s="225">
        <v>0</v>
      </c>
      <c r="O758" s="231">
        <v>0</v>
      </c>
      <c r="P758" s="231">
        <v>0</v>
      </c>
      <c r="Q758" s="231"/>
      <c r="R758" s="392">
        <v>65007</v>
      </c>
      <c r="S758" s="231">
        <v>16629</v>
      </c>
      <c r="T758" s="396">
        <v>81636</v>
      </c>
      <c r="U758" s="231"/>
      <c r="V758" s="396"/>
      <c r="W758" s="396"/>
      <c r="X758" s="396">
        <v>383530</v>
      </c>
      <c r="Y758" s="396">
        <v>27395</v>
      </c>
    </row>
    <row r="759" spans="1:25">
      <c r="A759" s="390">
        <v>98081</v>
      </c>
      <c r="B759" s="391" t="s">
        <v>1452</v>
      </c>
      <c r="C759" s="234">
        <v>1.45E-5</v>
      </c>
      <c r="D759" s="234">
        <v>1.5800000000000001E-5</v>
      </c>
      <c r="E759" s="231">
        <v>51815</v>
      </c>
      <c r="F759" s="231" t="s">
        <v>1924</v>
      </c>
      <c r="G759" s="392">
        <v>6543</v>
      </c>
      <c r="H759" s="392">
        <v>7291</v>
      </c>
      <c r="I759" s="392">
        <v>3856</v>
      </c>
      <c r="J759" s="231">
        <v>0</v>
      </c>
      <c r="K759" s="231">
        <v>17690</v>
      </c>
      <c r="L759" s="231"/>
      <c r="M759" s="225">
        <v>0</v>
      </c>
      <c r="N759" s="225">
        <v>0</v>
      </c>
      <c r="O759" s="231">
        <v>2836</v>
      </c>
      <c r="P759" s="231">
        <v>2836</v>
      </c>
      <c r="Q759" s="231"/>
      <c r="R759" s="392">
        <v>17819</v>
      </c>
      <c r="S759" s="231">
        <v>-1676</v>
      </c>
      <c r="T759" s="396">
        <v>16143</v>
      </c>
      <c r="U759" s="231"/>
      <c r="V759" s="396"/>
      <c r="W759" s="396"/>
      <c r="X759" s="396">
        <v>105126</v>
      </c>
      <c r="Y759" s="396">
        <v>7509</v>
      </c>
    </row>
    <row r="760" spans="1:25">
      <c r="A760" s="390">
        <v>98091</v>
      </c>
      <c r="B760" s="391" t="s">
        <v>1453</v>
      </c>
      <c r="C760" s="234">
        <v>4.8099999999999997E-5</v>
      </c>
      <c r="D760" s="234">
        <v>6.7000000000000002E-5</v>
      </c>
      <c r="E760" s="231">
        <v>171882</v>
      </c>
      <c r="F760" s="231" t="s">
        <v>1924</v>
      </c>
      <c r="G760" s="392">
        <v>21706</v>
      </c>
      <c r="H760" s="392">
        <v>24188</v>
      </c>
      <c r="I760" s="392">
        <v>12791</v>
      </c>
      <c r="J760" s="231">
        <v>8098</v>
      </c>
      <c r="K760" s="231">
        <v>66783</v>
      </c>
      <c r="L760" s="231"/>
      <c r="M760" s="225">
        <v>0</v>
      </c>
      <c r="N760" s="225">
        <v>0</v>
      </c>
      <c r="O760" s="231">
        <v>21848</v>
      </c>
      <c r="P760" s="231">
        <v>21848</v>
      </c>
      <c r="Q760" s="231"/>
      <c r="R760" s="392">
        <v>59109</v>
      </c>
      <c r="S760" s="231">
        <v>-4037</v>
      </c>
      <c r="T760" s="396">
        <v>55072</v>
      </c>
      <c r="U760" s="231"/>
      <c r="V760" s="396"/>
      <c r="W760" s="396"/>
      <c r="X760" s="396">
        <v>348729</v>
      </c>
      <c r="Y760" s="396">
        <v>24909</v>
      </c>
    </row>
    <row r="761" spans="1:25">
      <c r="A761" s="390">
        <v>98101</v>
      </c>
      <c r="B761" s="391" t="s">
        <v>1454</v>
      </c>
      <c r="C761" s="234">
        <v>2.7560000000000002E-3</v>
      </c>
      <c r="D761" s="234">
        <v>2.6901E-3</v>
      </c>
      <c r="E761" s="231">
        <v>9848362</v>
      </c>
      <c r="F761" s="231" t="s">
        <v>1924</v>
      </c>
      <c r="G761" s="392">
        <v>1243675</v>
      </c>
      <c r="H761" s="392">
        <v>1385893</v>
      </c>
      <c r="I761" s="392">
        <v>732911</v>
      </c>
      <c r="J761" s="231">
        <v>131685</v>
      </c>
      <c r="K761" s="231">
        <v>3494164</v>
      </c>
      <c r="L761" s="231"/>
      <c r="M761" s="225">
        <v>0</v>
      </c>
      <c r="N761" s="225">
        <v>0</v>
      </c>
      <c r="O761" s="231">
        <v>95570</v>
      </c>
      <c r="P761" s="231">
        <v>95570</v>
      </c>
      <c r="Q761" s="231"/>
      <c r="R761" s="392">
        <v>3386780</v>
      </c>
      <c r="S761" s="231">
        <v>-11045</v>
      </c>
      <c r="T761" s="396">
        <v>3375735</v>
      </c>
      <c r="U761" s="231"/>
      <c r="V761" s="396"/>
      <c r="W761" s="396"/>
      <c r="X761" s="396">
        <v>19981254</v>
      </c>
      <c r="Y761" s="396">
        <v>1427217</v>
      </c>
    </row>
    <row r="762" spans="1:25">
      <c r="A762" s="390">
        <v>98102</v>
      </c>
      <c r="B762" s="391" t="s">
        <v>1455</v>
      </c>
      <c r="C762" s="234">
        <v>1.56E-4</v>
      </c>
      <c r="D762" s="234">
        <v>1.573E-4</v>
      </c>
      <c r="E762" s="231">
        <v>557454</v>
      </c>
      <c r="F762" s="231" t="s">
        <v>1924</v>
      </c>
      <c r="G762" s="392">
        <v>70397</v>
      </c>
      <c r="H762" s="392">
        <v>78446</v>
      </c>
      <c r="I762" s="392">
        <v>41486</v>
      </c>
      <c r="J762" s="231">
        <v>6598</v>
      </c>
      <c r="K762" s="231">
        <v>196927</v>
      </c>
      <c r="L762" s="231"/>
      <c r="M762" s="225">
        <v>0</v>
      </c>
      <c r="N762" s="225">
        <v>0</v>
      </c>
      <c r="O762" s="231">
        <v>7519</v>
      </c>
      <c r="P762" s="231">
        <v>7519</v>
      </c>
      <c r="Q762" s="231"/>
      <c r="R762" s="392">
        <v>191705</v>
      </c>
      <c r="S762" s="231">
        <v>-2496</v>
      </c>
      <c r="T762" s="396">
        <v>189209</v>
      </c>
      <c r="U762" s="231"/>
      <c r="V762" s="396"/>
      <c r="W762" s="396"/>
      <c r="X762" s="396">
        <v>1131014</v>
      </c>
      <c r="Y762" s="396">
        <v>80786</v>
      </c>
    </row>
    <row r="763" spans="1:25">
      <c r="A763" s="390">
        <v>98103</v>
      </c>
      <c r="B763" s="391" t="s">
        <v>1456</v>
      </c>
      <c r="C763" s="234">
        <v>5.0699999999999996E-4</v>
      </c>
      <c r="D763" s="234">
        <v>5.04E-4</v>
      </c>
      <c r="E763" s="231">
        <v>1811727</v>
      </c>
      <c r="F763" s="231" t="s">
        <v>1924</v>
      </c>
      <c r="G763" s="392">
        <v>228789</v>
      </c>
      <c r="H763" s="392">
        <v>254952</v>
      </c>
      <c r="I763" s="392">
        <v>134828</v>
      </c>
      <c r="J763" s="231">
        <v>21982</v>
      </c>
      <c r="K763" s="231">
        <v>640551</v>
      </c>
      <c r="L763" s="231"/>
      <c r="M763" s="225">
        <v>0</v>
      </c>
      <c r="N763" s="225">
        <v>0</v>
      </c>
      <c r="O763" s="231">
        <v>28162</v>
      </c>
      <c r="P763" s="231">
        <v>28162</v>
      </c>
      <c r="Q763" s="231"/>
      <c r="R763" s="392">
        <v>623040</v>
      </c>
      <c r="S763" s="231">
        <v>-5137</v>
      </c>
      <c r="T763" s="396">
        <v>617903</v>
      </c>
      <c r="U763" s="231"/>
      <c r="V763" s="396"/>
      <c r="W763" s="396"/>
      <c r="X763" s="396">
        <v>3675797</v>
      </c>
      <c r="Y763" s="396">
        <v>262554</v>
      </c>
    </row>
    <row r="764" spans="1:25">
      <c r="A764" s="390">
        <v>98107</v>
      </c>
      <c r="B764" s="391" t="s">
        <v>1457</v>
      </c>
      <c r="C764" s="234">
        <v>7.9000000000000006E-6</v>
      </c>
      <c r="D764" s="234">
        <v>9.3999999999999998E-6</v>
      </c>
      <c r="E764" s="231">
        <v>28230</v>
      </c>
      <c r="F764" s="231" t="s">
        <v>1924</v>
      </c>
      <c r="G764" s="392">
        <v>3565</v>
      </c>
      <c r="H764" s="392">
        <v>3973</v>
      </c>
      <c r="I764" s="392">
        <v>2101</v>
      </c>
      <c r="J764" s="231">
        <v>10109</v>
      </c>
      <c r="K764" s="231">
        <v>19748</v>
      </c>
      <c r="L764" s="231"/>
      <c r="M764" s="225">
        <v>0</v>
      </c>
      <c r="N764" s="225">
        <v>0</v>
      </c>
      <c r="O764" s="231">
        <v>0</v>
      </c>
      <c r="P764" s="231">
        <v>0</v>
      </c>
      <c r="Q764" s="231"/>
      <c r="R764" s="392">
        <v>9708</v>
      </c>
      <c r="S764" s="231">
        <v>4861</v>
      </c>
      <c r="T764" s="396">
        <v>14569</v>
      </c>
      <c r="U764" s="231"/>
      <c r="V764" s="396"/>
      <c r="W764" s="396"/>
      <c r="X764" s="396">
        <v>57276</v>
      </c>
      <c r="Y764" s="396">
        <v>4091</v>
      </c>
    </row>
    <row r="765" spans="1:25">
      <c r="A765" s="390">
        <v>98109</v>
      </c>
      <c r="B765" s="391" t="s">
        <v>1458</v>
      </c>
      <c r="C765" s="234">
        <v>1.4339999999999999E-4</v>
      </c>
      <c r="D765" s="234">
        <v>1.595E-4</v>
      </c>
      <c r="E765" s="231">
        <v>512429</v>
      </c>
      <c r="F765" s="231" t="s">
        <v>1924</v>
      </c>
      <c r="G765" s="392">
        <v>64711</v>
      </c>
      <c r="H765" s="392">
        <v>72111</v>
      </c>
      <c r="I765" s="392">
        <v>38135</v>
      </c>
      <c r="J765" s="231">
        <v>20483</v>
      </c>
      <c r="K765" s="231">
        <v>195440</v>
      </c>
      <c r="L765" s="231"/>
      <c r="M765" s="225">
        <v>0</v>
      </c>
      <c r="N765" s="225">
        <v>0</v>
      </c>
      <c r="O765" s="231">
        <v>2179</v>
      </c>
      <c r="P765" s="231">
        <v>2179</v>
      </c>
      <c r="Q765" s="231"/>
      <c r="R765" s="392">
        <v>176221</v>
      </c>
      <c r="S765" s="231">
        <v>1656</v>
      </c>
      <c r="T765" s="396">
        <v>177877</v>
      </c>
      <c r="U765" s="231"/>
      <c r="V765" s="396"/>
      <c r="W765" s="396"/>
      <c r="X765" s="396">
        <v>1039663</v>
      </c>
      <c r="Y765" s="396">
        <v>74261</v>
      </c>
    </row>
    <row r="766" spans="1:25" s="355" customFormat="1">
      <c r="A766" s="390">
        <v>98111</v>
      </c>
      <c r="B766" s="391" t="s">
        <v>1459</v>
      </c>
      <c r="C766" s="234">
        <v>9.8539999999999999E-4</v>
      </c>
      <c r="D766" s="234">
        <v>1.0231999999999999E-3</v>
      </c>
      <c r="E766" s="231">
        <v>3521254</v>
      </c>
      <c r="F766" s="231" t="s">
        <v>1924</v>
      </c>
      <c r="G766" s="392">
        <v>444673</v>
      </c>
      <c r="H766" s="392">
        <v>495523</v>
      </c>
      <c r="I766" s="392">
        <v>262050</v>
      </c>
      <c r="J766" s="231">
        <v>0</v>
      </c>
      <c r="K766" s="231">
        <v>1202246</v>
      </c>
      <c r="L766" s="231"/>
      <c r="M766" s="225">
        <v>0</v>
      </c>
      <c r="N766" s="225">
        <v>0</v>
      </c>
      <c r="O766" s="231">
        <v>120575</v>
      </c>
      <c r="P766" s="231">
        <v>120575</v>
      </c>
      <c r="Q766" s="231"/>
      <c r="R766" s="392">
        <v>1210933</v>
      </c>
      <c r="S766" s="231">
        <v>-57653</v>
      </c>
      <c r="T766" s="396">
        <v>1153280</v>
      </c>
      <c r="U766" s="231"/>
      <c r="V766" s="396"/>
      <c r="W766" s="396"/>
      <c r="X766" s="396">
        <v>7144241</v>
      </c>
      <c r="Y766" s="396">
        <v>510297</v>
      </c>
    </row>
    <row r="767" spans="1:25">
      <c r="A767" s="390">
        <v>98113</v>
      </c>
      <c r="B767" s="391" t="s">
        <v>1460</v>
      </c>
      <c r="C767" s="234">
        <v>2.9099999999999999E-5</v>
      </c>
      <c r="D767" s="234">
        <v>3.3899999999999997E-5</v>
      </c>
      <c r="E767" s="231">
        <v>103987</v>
      </c>
      <c r="F767" s="231" t="s">
        <v>1924</v>
      </c>
      <c r="G767" s="392">
        <v>13132</v>
      </c>
      <c r="H767" s="392">
        <v>14633</v>
      </c>
      <c r="I767" s="392">
        <v>7739</v>
      </c>
      <c r="J767" s="231">
        <v>6358</v>
      </c>
      <c r="K767" s="231">
        <v>41862</v>
      </c>
      <c r="L767" s="231"/>
      <c r="M767" s="225">
        <v>0</v>
      </c>
      <c r="N767" s="225">
        <v>0</v>
      </c>
      <c r="O767" s="231">
        <v>208</v>
      </c>
      <c r="P767" s="231">
        <v>208</v>
      </c>
      <c r="Q767" s="231"/>
      <c r="R767" s="392">
        <v>35760</v>
      </c>
      <c r="S767" s="231">
        <v>3546</v>
      </c>
      <c r="T767" s="396">
        <v>39306</v>
      </c>
      <c r="U767" s="231"/>
      <c r="V767" s="396"/>
      <c r="W767" s="396"/>
      <c r="X767" s="396">
        <v>210978</v>
      </c>
      <c r="Y767" s="396">
        <v>15070</v>
      </c>
    </row>
    <row r="768" spans="1:25">
      <c r="A768" s="390">
        <v>98121</v>
      </c>
      <c r="B768" s="391" t="s">
        <v>1461</v>
      </c>
      <c r="C768" s="234">
        <v>2.0430000000000001E-4</v>
      </c>
      <c r="D768" s="234">
        <v>2.1259999999999999E-4</v>
      </c>
      <c r="E768" s="231">
        <v>730051</v>
      </c>
      <c r="F768" s="231" t="s">
        <v>1924</v>
      </c>
      <c r="G768" s="392">
        <v>92193</v>
      </c>
      <c r="H768" s="392">
        <v>102735</v>
      </c>
      <c r="I768" s="392">
        <v>54330</v>
      </c>
      <c r="J768" s="231">
        <v>2610</v>
      </c>
      <c r="K768" s="231">
        <v>251868</v>
      </c>
      <c r="L768" s="231"/>
      <c r="M768" s="225">
        <v>0</v>
      </c>
      <c r="N768" s="225">
        <v>0</v>
      </c>
      <c r="O768" s="231">
        <v>19958</v>
      </c>
      <c r="P768" s="231">
        <v>19958</v>
      </c>
      <c r="Q768" s="231"/>
      <c r="R768" s="392">
        <v>251059</v>
      </c>
      <c r="S768" s="231">
        <v>-8719</v>
      </c>
      <c r="T768" s="396">
        <v>242340</v>
      </c>
      <c r="U768" s="231"/>
      <c r="V768" s="396"/>
      <c r="W768" s="396"/>
      <c r="X768" s="396">
        <v>1481194</v>
      </c>
      <c r="Y768" s="396">
        <v>105798</v>
      </c>
    </row>
    <row r="769" spans="1:25">
      <c r="A769" s="390">
        <v>98131</v>
      </c>
      <c r="B769" s="391" t="s">
        <v>1462</v>
      </c>
      <c r="C769" s="234">
        <v>2.5710000000000002E-4</v>
      </c>
      <c r="D769" s="234">
        <v>2.519E-4</v>
      </c>
      <c r="E769" s="231">
        <v>918728</v>
      </c>
      <c r="F769" s="231" t="s">
        <v>1924</v>
      </c>
      <c r="G769" s="392">
        <v>116019</v>
      </c>
      <c r="H769" s="392">
        <v>129286</v>
      </c>
      <c r="I769" s="392">
        <v>68371</v>
      </c>
      <c r="J769" s="231">
        <v>29228</v>
      </c>
      <c r="K769" s="231">
        <v>342904</v>
      </c>
      <c r="L769" s="231"/>
      <c r="M769" s="225">
        <v>0</v>
      </c>
      <c r="N769" s="225">
        <v>0</v>
      </c>
      <c r="O769" s="231">
        <v>11913</v>
      </c>
      <c r="P769" s="231">
        <v>11913</v>
      </c>
      <c r="Q769" s="231"/>
      <c r="R769" s="392">
        <v>315944</v>
      </c>
      <c r="S769" s="231">
        <v>-2412</v>
      </c>
      <c r="T769" s="396">
        <v>313532</v>
      </c>
      <c r="U769" s="231"/>
      <c r="V769" s="396"/>
      <c r="W769" s="396"/>
      <c r="X769" s="396">
        <v>1863999</v>
      </c>
      <c r="Y769" s="396">
        <v>133141</v>
      </c>
    </row>
    <row r="770" spans="1:25">
      <c r="A770" s="390">
        <v>98141</v>
      </c>
      <c r="B770" s="391" t="s">
        <v>1463</v>
      </c>
      <c r="C770" s="234">
        <v>2.8600000000000001E-4</v>
      </c>
      <c r="D770" s="234">
        <v>2.8699999999999998E-4</v>
      </c>
      <c r="E770" s="231">
        <v>1022000</v>
      </c>
      <c r="F770" s="231" t="s">
        <v>1924</v>
      </c>
      <c r="G770" s="392">
        <v>129061</v>
      </c>
      <c r="H770" s="392">
        <v>143819</v>
      </c>
      <c r="I770" s="392">
        <v>76057</v>
      </c>
      <c r="J770" s="231">
        <v>1067</v>
      </c>
      <c r="K770" s="231">
        <v>350004</v>
      </c>
      <c r="L770" s="231"/>
      <c r="M770" s="225">
        <v>0</v>
      </c>
      <c r="N770" s="225">
        <v>0</v>
      </c>
      <c r="O770" s="231">
        <v>21946</v>
      </c>
      <c r="P770" s="231">
        <v>21946</v>
      </c>
      <c r="Q770" s="231"/>
      <c r="R770" s="392">
        <v>351458</v>
      </c>
      <c r="S770" s="231">
        <v>-11457</v>
      </c>
      <c r="T770" s="396">
        <v>340001</v>
      </c>
      <c r="U770" s="231"/>
      <c r="V770" s="396"/>
      <c r="W770" s="396"/>
      <c r="X770" s="396">
        <v>2073526</v>
      </c>
      <c r="Y770" s="396">
        <v>148107</v>
      </c>
    </row>
    <row r="771" spans="1:25">
      <c r="A771" s="390">
        <v>98147</v>
      </c>
      <c r="B771" s="391" t="s">
        <v>1464</v>
      </c>
      <c r="C771" s="234">
        <v>1.03E-5</v>
      </c>
      <c r="D771" s="234">
        <v>1.0699999999999999E-5</v>
      </c>
      <c r="E771" s="231">
        <v>36806</v>
      </c>
      <c r="F771" s="231" t="s">
        <v>1924</v>
      </c>
      <c r="G771" s="392">
        <v>4648</v>
      </c>
      <c r="H771" s="392">
        <v>5180</v>
      </c>
      <c r="I771" s="392">
        <v>2739</v>
      </c>
      <c r="J771" s="231">
        <v>9401</v>
      </c>
      <c r="K771" s="231">
        <v>21968</v>
      </c>
      <c r="L771" s="231"/>
      <c r="M771" s="225">
        <v>0</v>
      </c>
      <c r="N771" s="225">
        <v>0</v>
      </c>
      <c r="O771" s="231">
        <v>0</v>
      </c>
      <c r="P771" s="231">
        <v>0</v>
      </c>
      <c r="Q771" s="231"/>
      <c r="R771" s="392">
        <v>12657</v>
      </c>
      <c r="S771" s="231">
        <v>4856</v>
      </c>
      <c r="T771" s="396">
        <v>17513</v>
      </c>
      <c r="U771" s="231"/>
      <c r="V771" s="396"/>
      <c r="W771" s="396"/>
      <c r="X771" s="396">
        <v>74676</v>
      </c>
      <c r="Y771" s="396">
        <v>5334</v>
      </c>
    </row>
    <row r="772" spans="1:25">
      <c r="A772" s="390">
        <v>98161</v>
      </c>
      <c r="B772" s="391" t="s">
        <v>1465</v>
      </c>
      <c r="C772" s="234">
        <v>5.6999999999999996E-6</v>
      </c>
      <c r="D772" s="234">
        <v>6.1999999999999999E-6</v>
      </c>
      <c r="E772" s="231">
        <v>20369</v>
      </c>
      <c r="F772" s="231" t="s">
        <v>1924</v>
      </c>
      <c r="G772" s="392">
        <v>2572</v>
      </c>
      <c r="H772" s="392">
        <v>2866</v>
      </c>
      <c r="I772" s="392">
        <v>1516</v>
      </c>
      <c r="J772" s="231">
        <v>3821</v>
      </c>
      <c r="K772" s="231">
        <v>10775</v>
      </c>
      <c r="L772" s="231"/>
      <c r="M772" s="225">
        <v>0</v>
      </c>
      <c r="N772" s="225">
        <v>0</v>
      </c>
      <c r="O772" s="231">
        <v>0</v>
      </c>
      <c r="P772" s="231">
        <v>0</v>
      </c>
      <c r="Q772" s="231"/>
      <c r="R772" s="392">
        <v>7005</v>
      </c>
      <c r="S772" s="231">
        <v>1814</v>
      </c>
      <c r="T772" s="396">
        <v>8819</v>
      </c>
      <c r="U772" s="231"/>
      <c r="V772" s="396"/>
      <c r="W772" s="396"/>
      <c r="X772" s="396">
        <v>41326</v>
      </c>
      <c r="Y772" s="396">
        <v>2952</v>
      </c>
    </row>
    <row r="773" spans="1:25">
      <c r="A773" s="390">
        <v>98201</v>
      </c>
      <c r="B773" s="391" t="s">
        <v>1466</v>
      </c>
      <c r="C773" s="234">
        <v>3.1876000000000001E-3</v>
      </c>
      <c r="D773" s="234">
        <v>3.3482999999999998E-3</v>
      </c>
      <c r="E773" s="231">
        <v>11390653</v>
      </c>
      <c r="F773" s="231" t="s">
        <v>1924</v>
      </c>
      <c r="G773" s="392">
        <v>1438440</v>
      </c>
      <c r="H773" s="392">
        <v>1602929</v>
      </c>
      <c r="I773" s="392">
        <v>847688</v>
      </c>
      <c r="J773" s="231">
        <v>89568</v>
      </c>
      <c r="K773" s="231">
        <v>3978625</v>
      </c>
      <c r="L773" s="231"/>
      <c r="M773" s="225">
        <v>0</v>
      </c>
      <c r="N773" s="225">
        <v>0</v>
      </c>
      <c r="O773" s="231">
        <v>255454</v>
      </c>
      <c r="P773" s="231">
        <v>255454</v>
      </c>
      <c r="Q773" s="231"/>
      <c r="R773" s="392">
        <v>3917162</v>
      </c>
      <c r="S773" s="231">
        <v>-51353</v>
      </c>
      <c r="T773" s="396">
        <v>3865809</v>
      </c>
      <c r="U773" s="231"/>
      <c r="V773" s="396"/>
      <c r="W773" s="396"/>
      <c r="X773" s="396">
        <v>23110393</v>
      </c>
      <c r="Y773" s="396">
        <v>1650724</v>
      </c>
    </row>
    <row r="774" spans="1:25">
      <c r="A774" s="390">
        <v>98205</v>
      </c>
      <c r="B774" s="391" t="s">
        <v>1467</v>
      </c>
      <c r="C774" s="234">
        <v>2.62E-5</v>
      </c>
      <c r="D774" s="234">
        <v>4.0899999999999998E-5</v>
      </c>
      <c r="E774" s="231">
        <v>93624</v>
      </c>
      <c r="F774" s="231" t="s">
        <v>1924</v>
      </c>
      <c r="G774" s="392">
        <v>11823</v>
      </c>
      <c r="H774" s="392">
        <v>13175</v>
      </c>
      <c r="I774" s="392">
        <v>6967</v>
      </c>
      <c r="J774" s="231">
        <v>2716</v>
      </c>
      <c r="K774" s="231">
        <v>34681</v>
      </c>
      <c r="L774" s="231"/>
      <c r="M774" s="225">
        <v>0</v>
      </c>
      <c r="N774" s="225">
        <v>0</v>
      </c>
      <c r="O774" s="231">
        <v>18133</v>
      </c>
      <c r="P774" s="231">
        <v>18133</v>
      </c>
      <c r="Q774" s="231"/>
      <c r="R774" s="392">
        <v>32197</v>
      </c>
      <c r="S774" s="231">
        <v>-5204</v>
      </c>
      <c r="T774" s="396">
        <v>26993</v>
      </c>
      <c r="U774" s="231"/>
      <c r="V774" s="396"/>
      <c r="W774" s="396"/>
      <c r="X774" s="396">
        <v>189952</v>
      </c>
      <c r="Y774" s="396">
        <v>13568</v>
      </c>
    </row>
    <row r="775" spans="1:25">
      <c r="A775" s="390">
        <v>98211</v>
      </c>
      <c r="B775" s="391" t="s">
        <v>1468</v>
      </c>
      <c r="C775" s="234">
        <v>8.8690000000000004E-4</v>
      </c>
      <c r="D775" s="234">
        <v>9.0399999999999996E-4</v>
      </c>
      <c r="E775" s="231">
        <v>3169272</v>
      </c>
      <c r="F775" s="231" t="s">
        <v>1924</v>
      </c>
      <c r="G775" s="392">
        <v>400223</v>
      </c>
      <c r="H775" s="392">
        <v>445990</v>
      </c>
      <c r="I775" s="392">
        <v>235856</v>
      </c>
      <c r="J775" s="231">
        <v>18915</v>
      </c>
      <c r="K775" s="231">
        <v>1100984</v>
      </c>
      <c r="L775" s="231"/>
      <c r="M775" s="225">
        <v>0</v>
      </c>
      <c r="N775" s="225">
        <v>0</v>
      </c>
      <c r="O775" s="231">
        <v>83993</v>
      </c>
      <c r="P775" s="231">
        <v>83993</v>
      </c>
      <c r="Q775" s="231"/>
      <c r="R775" s="392">
        <v>1089889</v>
      </c>
      <c r="S775" s="231">
        <v>-48155</v>
      </c>
      <c r="T775" s="396">
        <v>1041734</v>
      </c>
      <c r="U775" s="231"/>
      <c r="V775" s="396"/>
      <c r="W775" s="396"/>
      <c r="X775" s="396">
        <v>6430107</v>
      </c>
      <c r="Y775" s="396">
        <v>459288</v>
      </c>
    </row>
    <row r="776" spans="1:25">
      <c r="A776" s="390">
        <v>98218</v>
      </c>
      <c r="B776" s="391" t="s">
        <v>1469</v>
      </c>
      <c r="C776" s="234">
        <v>1.77E-5</v>
      </c>
      <c r="D776" s="234">
        <v>1.8099999999999999E-5</v>
      </c>
      <c r="E776" s="231">
        <v>63250</v>
      </c>
      <c r="F776" s="231" t="s">
        <v>1924</v>
      </c>
      <c r="G776" s="392">
        <v>7987</v>
      </c>
      <c r="H776" s="392">
        <v>8900</v>
      </c>
      <c r="I776" s="392">
        <v>4707</v>
      </c>
      <c r="J776" s="231">
        <v>3276</v>
      </c>
      <c r="K776" s="231">
        <v>24870</v>
      </c>
      <c r="L776" s="231"/>
      <c r="M776" s="225">
        <v>0</v>
      </c>
      <c r="N776" s="225">
        <v>0</v>
      </c>
      <c r="O776" s="231">
        <v>402</v>
      </c>
      <c r="P776" s="231">
        <v>402</v>
      </c>
      <c r="Q776" s="231"/>
      <c r="R776" s="392">
        <v>21751</v>
      </c>
      <c r="S776" s="231">
        <v>1426</v>
      </c>
      <c r="T776" s="396">
        <v>23177</v>
      </c>
      <c r="U776" s="231"/>
      <c r="V776" s="396"/>
      <c r="W776" s="396"/>
      <c r="X776" s="396">
        <v>128327</v>
      </c>
      <c r="Y776" s="396">
        <v>9166</v>
      </c>
    </row>
    <row r="777" spans="1:25">
      <c r="A777" s="390">
        <v>98221</v>
      </c>
      <c r="B777" s="391" t="s">
        <v>1470</v>
      </c>
      <c r="C777" s="234">
        <v>2.51E-5</v>
      </c>
      <c r="D777" s="234">
        <v>2.72E-5</v>
      </c>
      <c r="E777" s="231">
        <v>89693</v>
      </c>
      <c r="F777" s="231" t="s">
        <v>1924</v>
      </c>
      <c r="G777" s="392">
        <v>11327</v>
      </c>
      <c r="H777" s="392">
        <v>12622</v>
      </c>
      <c r="I777" s="392">
        <v>6675</v>
      </c>
      <c r="J777" s="231">
        <v>5674</v>
      </c>
      <c r="K777" s="231">
        <v>36298</v>
      </c>
      <c r="L777" s="231"/>
      <c r="M777" s="225">
        <v>0</v>
      </c>
      <c r="N777" s="225">
        <v>0</v>
      </c>
      <c r="O777" s="231">
        <v>4945</v>
      </c>
      <c r="P777" s="231">
        <v>4945</v>
      </c>
      <c r="Q777" s="231"/>
      <c r="R777" s="392">
        <v>30845</v>
      </c>
      <c r="S777" s="231">
        <v>1301</v>
      </c>
      <c r="T777" s="396">
        <v>32146</v>
      </c>
      <c r="U777" s="231"/>
      <c r="V777" s="396"/>
      <c r="W777" s="396"/>
      <c r="X777" s="396">
        <v>181977</v>
      </c>
      <c r="Y777" s="396">
        <v>12998</v>
      </c>
    </row>
    <row r="778" spans="1:25">
      <c r="A778" s="390">
        <v>98231</v>
      </c>
      <c r="B778" s="391" t="s">
        <v>1471</v>
      </c>
      <c r="C778" s="234">
        <v>2.9200000000000002E-5</v>
      </c>
      <c r="D778" s="234">
        <v>3.1699999999999998E-5</v>
      </c>
      <c r="E778" s="231">
        <v>104344</v>
      </c>
      <c r="F778" s="231" t="s">
        <v>1924</v>
      </c>
      <c r="G778" s="392">
        <v>13177</v>
      </c>
      <c r="H778" s="392">
        <v>14684</v>
      </c>
      <c r="I778" s="392">
        <v>7765</v>
      </c>
      <c r="J778" s="231">
        <v>4113</v>
      </c>
      <c r="K778" s="231">
        <v>39739</v>
      </c>
      <c r="L778" s="231"/>
      <c r="M778" s="225">
        <v>0</v>
      </c>
      <c r="N778" s="225">
        <v>0</v>
      </c>
      <c r="O778" s="231">
        <v>3530</v>
      </c>
      <c r="P778" s="231">
        <v>3530</v>
      </c>
      <c r="Q778" s="231"/>
      <c r="R778" s="392">
        <v>35883</v>
      </c>
      <c r="S778" s="231">
        <v>-632</v>
      </c>
      <c r="T778" s="396">
        <v>35251</v>
      </c>
      <c r="U778" s="231"/>
      <c r="V778" s="396"/>
      <c r="W778" s="396"/>
      <c r="X778" s="396">
        <v>211703</v>
      </c>
      <c r="Y778" s="396">
        <v>15121</v>
      </c>
    </row>
    <row r="779" spans="1:25">
      <c r="A779" s="390">
        <v>98237</v>
      </c>
      <c r="B779" s="391" t="s">
        <v>1472</v>
      </c>
      <c r="C779" s="234">
        <v>6.2999999999999998E-6</v>
      </c>
      <c r="D779" s="234">
        <v>6.7000000000000002E-6</v>
      </c>
      <c r="E779" s="231">
        <v>22513</v>
      </c>
      <c r="F779" s="231" t="s">
        <v>1924</v>
      </c>
      <c r="G779" s="392">
        <v>2843</v>
      </c>
      <c r="H779" s="392">
        <v>3168</v>
      </c>
      <c r="I779" s="392">
        <v>1675</v>
      </c>
      <c r="J779" s="231">
        <v>2106</v>
      </c>
      <c r="K779" s="231">
        <v>9792</v>
      </c>
      <c r="L779" s="231"/>
      <c r="M779" s="225">
        <v>0</v>
      </c>
      <c r="N779" s="225">
        <v>0</v>
      </c>
      <c r="O779" s="231">
        <v>119</v>
      </c>
      <c r="P779" s="231">
        <v>119</v>
      </c>
      <c r="Q779" s="231"/>
      <c r="R779" s="392">
        <v>7742</v>
      </c>
      <c r="S779" s="231">
        <v>1567</v>
      </c>
      <c r="T779" s="396">
        <v>9309</v>
      </c>
      <c r="U779" s="231"/>
      <c r="V779" s="396"/>
      <c r="W779" s="396"/>
      <c r="X779" s="396">
        <v>45676</v>
      </c>
      <c r="Y779" s="396">
        <v>3263</v>
      </c>
    </row>
    <row r="780" spans="1:25">
      <c r="A780" s="390">
        <v>98241</v>
      </c>
      <c r="B780" s="391" t="s">
        <v>1473</v>
      </c>
      <c r="C780" s="234">
        <v>9.0999999999999993E-6</v>
      </c>
      <c r="D780" s="234">
        <v>1.7799999999999999E-5</v>
      </c>
      <c r="E780" s="231">
        <v>32518</v>
      </c>
      <c r="F780" s="231" t="s">
        <v>1924</v>
      </c>
      <c r="G780" s="392">
        <v>4106</v>
      </c>
      <c r="H780" s="392">
        <v>4576</v>
      </c>
      <c r="I780" s="392">
        <v>2420</v>
      </c>
      <c r="J780" s="231">
        <v>4727</v>
      </c>
      <c r="K780" s="231">
        <v>15829</v>
      </c>
      <c r="L780" s="231"/>
      <c r="M780" s="225">
        <v>0</v>
      </c>
      <c r="N780" s="225">
        <v>0</v>
      </c>
      <c r="O780" s="231">
        <v>11297</v>
      </c>
      <c r="P780" s="231">
        <v>11297</v>
      </c>
      <c r="Q780" s="231"/>
      <c r="R780" s="392">
        <v>11183</v>
      </c>
      <c r="S780" s="231">
        <v>-1508</v>
      </c>
      <c r="T780" s="396">
        <v>9675</v>
      </c>
      <c r="U780" s="231"/>
      <c r="V780" s="396"/>
      <c r="W780" s="396"/>
      <c r="X780" s="396">
        <v>65976</v>
      </c>
      <c r="Y780" s="396">
        <v>4713</v>
      </c>
    </row>
    <row r="781" spans="1:25">
      <c r="A781" s="390">
        <v>98251</v>
      </c>
      <c r="B781" s="391" t="s">
        <v>1474</v>
      </c>
      <c r="C781" s="234">
        <v>2.3E-6</v>
      </c>
      <c r="D781" s="234">
        <v>2.5000000000000002E-6</v>
      </c>
      <c r="E781" s="231">
        <v>8219</v>
      </c>
      <c r="F781" s="231" t="s">
        <v>1924</v>
      </c>
      <c r="G781" s="392">
        <v>1038</v>
      </c>
      <c r="H781" s="392">
        <v>1156</v>
      </c>
      <c r="I781" s="392">
        <v>612</v>
      </c>
      <c r="J781" s="231">
        <v>2307</v>
      </c>
      <c r="K781" s="231">
        <v>5113</v>
      </c>
      <c r="L781" s="231"/>
      <c r="M781" s="225">
        <v>0</v>
      </c>
      <c r="N781" s="225">
        <v>0</v>
      </c>
      <c r="O781" s="231">
        <v>0</v>
      </c>
      <c r="P781" s="231">
        <v>0</v>
      </c>
      <c r="Q781" s="231"/>
      <c r="R781" s="392">
        <v>2826</v>
      </c>
      <c r="S781" s="231">
        <v>1025</v>
      </c>
      <c r="T781" s="396">
        <v>3851</v>
      </c>
      <c r="U781" s="231"/>
      <c r="V781" s="396"/>
      <c r="W781" s="396"/>
      <c r="X781" s="396">
        <v>16675</v>
      </c>
      <c r="Y781" s="396">
        <v>1191</v>
      </c>
    </row>
    <row r="782" spans="1:25">
      <c r="A782" s="390">
        <v>98261</v>
      </c>
      <c r="B782" s="391" t="s">
        <v>1475</v>
      </c>
      <c r="C782" s="234">
        <v>3.54E-5</v>
      </c>
      <c r="D782" s="234">
        <v>3.3699999999999999E-5</v>
      </c>
      <c r="E782" s="231">
        <v>126499</v>
      </c>
      <c r="F782" s="231" t="s">
        <v>1924</v>
      </c>
      <c r="G782" s="392">
        <v>15975</v>
      </c>
      <c r="H782" s="392">
        <v>17802</v>
      </c>
      <c r="I782" s="392">
        <v>9414</v>
      </c>
      <c r="J782" s="231">
        <v>5954</v>
      </c>
      <c r="K782" s="231">
        <v>49145</v>
      </c>
      <c r="L782" s="231"/>
      <c r="M782" s="225">
        <v>0</v>
      </c>
      <c r="N782" s="225">
        <v>0</v>
      </c>
      <c r="O782" s="231">
        <v>0</v>
      </c>
      <c r="P782" s="231">
        <v>0</v>
      </c>
      <c r="Q782" s="231"/>
      <c r="R782" s="392">
        <v>43502</v>
      </c>
      <c r="S782" s="231">
        <v>1319</v>
      </c>
      <c r="T782" s="396">
        <v>44821</v>
      </c>
      <c r="U782" s="231"/>
      <c r="V782" s="396"/>
      <c r="W782" s="396"/>
      <c r="X782" s="396">
        <v>256653</v>
      </c>
      <c r="Y782" s="396">
        <v>18332</v>
      </c>
    </row>
    <row r="783" spans="1:25">
      <c r="A783" s="390">
        <v>98271</v>
      </c>
      <c r="B783" s="391" t="s">
        <v>1476</v>
      </c>
      <c r="C783" s="234">
        <v>6.9E-6</v>
      </c>
      <c r="D783" s="234">
        <v>5.2000000000000002E-6</v>
      </c>
      <c r="E783" s="231">
        <v>24657</v>
      </c>
      <c r="F783" s="231" t="s">
        <v>1924</v>
      </c>
      <c r="G783" s="392">
        <v>3114</v>
      </c>
      <c r="H783" s="392">
        <v>3470</v>
      </c>
      <c r="I783" s="392">
        <v>1835</v>
      </c>
      <c r="J783" s="231">
        <v>3723</v>
      </c>
      <c r="K783" s="231">
        <v>12142</v>
      </c>
      <c r="L783" s="231"/>
      <c r="M783" s="225">
        <v>0</v>
      </c>
      <c r="N783" s="225">
        <v>0</v>
      </c>
      <c r="O783" s="231">
        <v>0</v>
      </c>
      <c r="P783" s="231">
        <v>0</v>
      </c>
      <c r="Q783" s="231"/>
      <c r="R783" s="392">
        <v>8479</v>
      </c>
      <c r="S783" s="231">
        <v>1802</v>
      </c>
      <c r="T783" s="396">
        <v>10281</v>
      </c>
      <c r="U783" s="231"/>
      <c r="V783" s="396"/>
      <c r="W783" s="396"/>
      <c r="X783" s="396">
        <v>50026</v>
      </c>
      <c r="Y783" s="396">
        <v>3573</v>
      </c>
    </row>
    <row r="784" spans="1:25">
      <c r="A784" s="390">
        <v>98301</v>
      </c>
      <c r="B784" s="391" t="s">
        <v>1477</v>
      </c>
      <c r="C784" s="234">
        <v>1.8286999999999999E-3</v>
      </c>
      <c r="D784" s="234">
        <v>1.7742000000000001E-3</v>
      </c>
      <c r="E784" s="231">
        <v>6534724</v>
      </c>
      <c r="F784" s="231" t="s">
        <v>1924</v>
      </c>
      <c r="G784" s="392">
        <v>825221</v>
      </c>
      <c r="H784" s="392">
        <v>919588</v>
      </c>
      <c r="I784" s="392">
        <v>486312</v>
      </c>
      <c r="J784" s="231">
        <v>153816</v>
      </c>
      <c r="K784" s="231">
        <v>2384937</v>
      </c>
      <c r="L784" s="231"/>
      <c r="M784" s="225">
        <v>0</v>
      </c>
      <c r="N784" s="225">
        <v>0</v>
      </c>
      <c r="O784" s="231">
        <v>0</v>
      </c>
      <c r="P784" s="231">
        <v>0</v>
      </c>
      <c r="Q784" s="231"/>
      <c r="R784" s="392">
        <v>2247244</v>
      </c>
      <c r="S784" s="231">
        <v>58383</v>
      </c>
      <c r="T784" s="396">
        <v>2305627</v>
      </c>
      <c r="U784" s="231"/>
      <c r="V784" s="396"/>
      <c r="W784" s="396"/>
      <c r="X784" s="396">
        <v>13258243</v>
      </c>
      <c r="Y784" s="396">
        <v>947007</v>
      </c>
    </row>
    <row r="785" spans="1:25">
      <c r="A785" s="390">
        <v>98304</v>
      </c>
      <c r="B785" s="391" t="s">
        <v>1478</v>
      </c>
      <c r="C785" s="234">
        <v>2.02E-5</v>
      </c>
      <c r="D785" s="234">
        <v>2.0699999999999998E-5</v>
      </c>
      <c r="E785" s="231">
        <v>72183</v>
      </c>
      <c r="F785" s="231" t="s">
        <v>1924</v>
      </c>
      <c r="G785" s="392">
        <v>9115</v>
      </c>
      <c r="H785" s="392">
        <v>10158</v>
      </c>
      <c r="I785" s="392">
        <v>5372</v>
      </c>
      <c r="J785" s="231">
        <v>7943</v>
      </c>
      <c r="K785" s="231">
        <v>32588</v>
      </c>
      <c r="L785" s="231"/>
      <c r="M785" s="225">
        <v>0</v>
      </c>
      <c r="N785" s="225">
        <v>0</v>
      </c>
      <c r="O785" s="231">
        <v>0</v>
      </c>
      <c r="P785" s="231">
        <v>0</v>
      </c>
      <c r="Q785" s="231"/>
      <c r="R785" s="392">
        <v>24823</v>
      </c>
      <c r="S785" s="231">
        <v>3206</v>
      </c>
      <c r="T785" s="396">
        <v>28029</v>
      </c>
      <c r="U785" s="231"/>
      <c r="V785" s="396"/>
      <c r="W785" s="396"/>
      <c r="X785" s="396">
        <v>146452</v>
      </c>
      <c r="Y785" s="396">
        <v>10461</v>
      </c>
    </row>
    <row r="786" spans="1:25">
      <c r="A786" s="390">
        <v>98308</v>
      </c>
      <c r="B786" s="391" t="s">
        <v>1479</v>
      </c>
      <c r="C786" s="234">
        <v>1.56E-5</v>
      </c>
      <c r="D786" s="234">
        <v>1.6099999999999998E-5</v>
      </c>
      <c r="E786" s="231">
        <v>55745</v>
      </c>
      <c r="F786" s="231" t="s">
        <v>1924</v>
      </c>
      <c r="G786" s="392">
        <v>7040</v>
      </c>
      <c r="H786" s="392">
        <v>7845</v>
      </c>
      <c r="I786" s="392">
        <v>4149</v>
      </c>
      <c r="J786" s="231">
        <v>10741</v>
      </c>
      <c r="K786" s="231">
        <v>29775</v>
      </c>
      <c r="L786" s="231"/>
      <c r="M786" s="225">
        <v>0</v>
      </c>
      <c r="N786" s="225">
        <v>0</v>
      </c>
      <c r="O786" s="231">
        <v>0</v>
      </c>
      <c r="P786" s="231">
        <v>0</v>
      </c>
      <c r="Q786" s="231"/>
      <c r="R786" s="392">
        <v>19170</v>
      </c>
      <c r="S786" s="231">
        <v>4928</v>
      </c>
      <c r="T786" s="396">
        <v>24098</v>
      </c>
      <c r="U786" s="231"/>
      <c r="V786" s="396"/>
      <c r="W786" s="396"/>
      <c r="X786" s="396">
        <v>113101</v>
      </c>
      <c r="Y786" s="396">
        <v>8079</v>
      </c>
    </row>
    <row r="787" spans="1:25">
      <c r="A787" s="390">
        <v>98311</v>
      </c>
      <c r="B787" s="391" t="s">
        <v>1480</v>
      </c>
      <c r="C787" s="234">
        <v>1.036E-3</v>
      </c>
      <c r="D787" s="234">
        <v>1.1073999999999999E-3</v>
      </c>
      <c r="E787" s="231">
        <v>3702069</v>
      </c>
      <c r="F787" s="231" t="s">
        <v>1924</v>
      </c>
      <c r="G787" s="392">
        <v>467506</v>
      </c>
      <c r="H787" s="392">
        <v>520967</v>
      </c>
      <c r="I787" s="392">
        <v>275507</v>
      </c>
      <c r="J787" s="231">
        <v>0</v>
      </c>
      <c r="K787" s="231">
        <v>1263980</v>
      </c>
      <c r="L787" s="231"/>
      <c r="M787" s="225">
        <v>0</v>
      </c>
      <c r="N787" s="225">
        <v>0</v>
      </c>
      <c r="O787" s="231">
        <v>158560</v>
      </c>
      <c r="P787" s="231">
        <v>158560</v>
      </c>
      <c r="Q787" s="231"/>
      <c r="R787" s="392">
        <v>1273115</v>
      </c>
      <c r="S787" s="231">
        <v>-81075</v>
      </c>
      <c r="T787" s="396">
        <v>1192040</v>
      </c>
      <c r="U787" s="231"/>
      <c r="V787" s="396"/>
      <c r="W787" s="396"/>
      <c r="X787" s="396">
        <v>7511095</v>
      </c>
      <c r="Y787" s="396">
        <v>536501</v>
      </c>
    </row>
    <row r="788" spans="1:25">
      <c r="A788" s="390">
        <v>98313</v>
      </c>
      <c r="B788" s="391" t="s">
        <v>1481</v>
      </c>
      <c r="C788" s="234">
        <v>1.951E-4</v>
      </c>
      <c r="D788" s="234">
        <v>2.1000000000000001E-4</v>
      </c>
      <c r="E788" s="231">
        <v>697175</v>
      </c>
      <c r="F788" s="231" t="s">
        <v>1924</v>
      </c>
      <c r="G788" s="392">
        <v>88041</v>
      </c>
      <c r="H788" s="392">
        <v>98109</v>
      </c>
      <c r="I788" s="392">
        <v>51884</v>
      </c>
      <c r="J788" s="231">
        <v>179278</v>
      </c>
      <c r="K788" s="231">
        <v>417312</v>
      </c>
      <c r="L788" s="231"/>
      <c r="M788" s="225">
        <v>0</v>
      </c>
      <c r="N788" s="225">
        <v>0</v>
      </c>
      <c r="O788" s="231">
        <v>0</v>
      </c>
      <c r="P788" s="231">
        <v>0</v>
      </c>
      <c r="Q788" s="231"/>
      <c r="R788" s="392">
        <v>239754</v>
      </c>
      <c r="S788" s="231">
        <v>113138</v>
      </c>
      <c r="T788" s="396">
        <v>352892</v>
      </c>
      <c r="U788" s="231"/>
      <c r="V788" s="396"/>
      <c r="W788" s="396"/>
      <c r="X788" s="396">
        <v>1414493</v>
      </c>
      <c r="Y788" s="396">
        <v>101034</v>
      </c>
    </row>
    <row r="789" spans="1:25">
      <c r="A789" s="390">
        <v>98321</v>
      </c>
      <c r="B789" s="391" t="s">
        <v>1482</v>
      </c>
      <c r="C789" s="234">
        <v>1.3499999999999999E-5</v>
      </c>
      <c r="D789" s="234">
        <v>1.6900000000000001E-5</v>
      </c>
      <c r="E789" s="231">
        <v>48241</v>
      </c>
      <c r="F789" s="231" t="s">
        <v>1924</v>
      </c>
      <c r="G789" s="392">
        <v>6092</v>
      </c>
      <c r="H789" s="392">
        <v>6789</v>
      </c>
      <c r="I789" s="392">
        <v>3590</v>
      </c>
      <c r="J789" s="231">
        <v>21</v>
      </c>
      <c r="K789" s="231">
        <v>16492</v>
      </c>
      <c r="L789" s="231"/>
      <c r="M789" s="225">
        <v>0</v>
      </c>
      <c r="N789" s="225">
        <v>0</v>
      </c>
      <c r="O789" s="231">
        <v>3618</v>
      </c>
      <c r="P789" s="231">
        <v>3618</v>
      </c>
      <c r="Q789" s="231"/>
      <c r="R789" s="392">
        <v>16590</v>
      </c>
      <c r="S789" s="231">
        <v>-2035</v>
      </c>
      <c r="T789" s="396">
        <v>14555</v>
      </c>
      <c r="U789" s="231"/>
      <c r="V789" s="396"/>
      <c r="W789" s="396"/>
      <c r="X789" s="396">
        <v>97876</v>
      </c>
      <c r="Y789" s="396">
        <v>6991</v>
      </c>
    </row>
    <row r="790" spans="1:25">
      <c r="A790" s="390">
        <v>98331</v>
      </c>
      <c r="B790" s="391" t="s">
        <v>1483</v>
      </c>
      <c r="C790" s="234">
        <v>1.7E-6</v>
      </c>
      <c r="D790" s="234">
        <v>8.3999999999999992E-6</v>
      </c>
      <c r="E790" s="231">
        <v>6075</v>
      </c>
      <c r="F790" s="231" t="s">
        <v>1924</v>
      </c>
      <c r="G790" s="392">
        <v>767</v>
      </c>
      <c r="H790" s="392">
        <v>855</v>
      </c>
      <c r="I790" s="392">
        <v>452</v>
      </c>
      <c r="J790" s="231">
        <v>1849</v>
      </c>
      <c r="K790" s="231">
        <v>3923</v>
      </c>
      <c r="L790" s="231"/>
      <c r="M790" s="225">
        <v>0</v>
      </c>
      <c r="N790" s="225">
        <v>0</v>
      </c>
      <c r="O790" s="231">
        <v>6615</v>
      </c>
      <c r="P790" s="231">
        <v>6615</v>
      </c>
      <c r="Q790" s="231"/>
      <c r="R790" s="392">
        <v>2089</v>
      </c>
      <c r="S790" s="231">
        <v>-938</v>
      </c>
      <c r="T790" s="396">
        <v>1151</v>
      </c>
      <c r="U790" s="231"/>
      <c r="V790" s="396"/>
      <c r="W790" s="396"/>
      <c r="X790" s="396">
        <v>12325</v>
      </c>
      <c r="Y790" s="396">
        <v>880</v>
      </c>
    </row>
    <row r="791" spans="1:25">
      <c r="A791" s="390">
        <v>98401</v>
      </c>
      <c r="B791" s="395" t="s">
        <v>1484</v>
      </c>
      <c r="C791" s="234">
        <v>2.9325000000000002E-3</v>
      </c>
      <c r="D791" s="234">
        <v>2.9618000000000001E-3</v>
      </c>
      <c r="E791" s="231">
        <v>10479072</v>
      </c>
      <c r="F791" s="231" t="s">
        <v>1924</v>
      </c>
      <c r="G791" s="392">
        <v>1323323</v>
      </c>
      <c r="H791" s="392">
        <v>1474649</v>
      </c>
      <c r="I791" s="392">
        <v>779849</v>
      </c>
      <c r="J791" s="231">
        <v>271249</v>
      </c>
      <c r="K791" s="231">
        <v>3849070</v>
      </c>
      <c r="L791" s="231"/>
      <c r="M791" s="225">
        <v>0</v>
      </c>
      <c r="N791" s="225">
        <v>0</v>
      </c>
      <c r="O791" s="231">
        <v>0</v>
      </c>
      <c r="P791" s="231">
        <v>0</v>
      </c>
      <c r="Q791" s="231"/>
      <c r="R791" s="392">
        <v>3603676</v>
      </c>
      <c r="S791" s="231">
        <v>114393</v>
      </c>
      <c r="T791" s="396">
        <v>3718069</v>
      </c>
      <c r="U791" s="231"/>
      <c r="V791" s="396"/>
      <c r="W791" s="396"/>
      <c r="X791" s="396">
        <v>21260895</v>
      </c>
      <c r="Y791" s="396">
        <v>1518619</v>
      </c>
    </row>
    <row r="792" spans="1:25">
      <c r="A792" s="390">
        <v>98404</v>
      </c>
      <c r="B792" s="391" t="s">
        <v>1485</v>
      </c>
      <c r="C792" s="234">
        <v>1.5E-5</v>
      </c>
      <c r="D792" s="234">
        <v>1.43E-5</v>
      </c>
      <c r="E792" s="231">
        <v>53601</v>
      </c>
      <c r="F792" s="231" t="s">
        <v>1924</v>
      </c>
      <c r="G792" s="392">
        <v>6769</v>
      </c>
      <c r="H792" s="392">
        <v>7543</v>
      </c>
      <c r="I792" s="392">
        <v>3989</v>
      </c>
      <c r="J792" s="231">
        <v>3920</v>
      </c>
      <c r="K792" s="231">
        <v>22221</v>
      </c>
      <c r="L792" s="231"/>
      <c r="M792" s="225">
        <v>0</v>
      </c>
      <c r="N792" s="225">
        <v>0</v>
      </c>
      <c r="O792" s="231">
        <v>252</v>
      </c>
      <c r="P792" s="231">
        <v>252</v>
      </c>
      <c r="Q792" s="231"/>
      <c r="R792" s="392">
        <v>18433</v>
      </c>
      <c r="S792" s="231">
        <v>2833</v>
      </c>
      <c r="T792" s="396">
        <v>21266</v>
      </c>
      <c r="U792" s="231"/>
      <c r="V792" s="396"/>
      <c r="W792" s="396"/>
      <c r="X792" s="396">
        <v>108751</v>
      </c>
      <c r="Y792" s="396">
        <v>7768</v>
      </c>
    </row>
    <row r="793" spans="1:25">
      <c r="A793" s="390">
        <v>98411</v>
      </c>
      <c r="B793" s="395" t="s">
        <v>1486</v>
      </c>
      <c r="C793" s="234">
        <v>1.7830999999999999E-3</v>
      </c>
      <c r="D793" s="234">
        <v>1.9082000000000001E-3</v>
      </c>
      <c r="E793" s="231">
        <v>6371776</v>
      </c>
      <c r="F793" s="231" t="s">
        <v>1924</v>
      </c>
      <c r="G793" s="392">
        <v>804643</v>
      </c>
      <c r="H793" s="392">
        <v>896657</v>
      </c>
      <c r="I793" s="392">
        <v>474185</v>
      </c>
      <c r="J793" s="231">
        <v>0</v>
      </c>
      <c r="K793" s="231">
        <v>2175485</v>
      </c>
      <c r="L793" s="231"/>
      <c r="M793" s="225">
        <v>0</v>
      </c>
      <c r="N793" s="225">
        <v>0</v>
      </c>
      <c r="O793" s="231">
        <v>283075</v>
      </c>
      <c r="P793" s="231">
        <v>283075</v>
      </c>
      <c r="Q793" s="231"/>
      <c r="R793" s="392">
        <v>2191207</v>
      </c>
      <c r="S793" s="231">
        <v>-111962</v>
      </c>
      <c r="T793" s="396">
        <v>2079245</v>
      </c>
      <c r="U793" s="231"/>
      <c r="V793" s="396"/>
      <c r="W793" s="396"/>
      <c r="X793" s="396">
        <v>12927639</v>
      </c>
      <c r="Y793" s="396">
        <v>923393</v>
      </c>
    </row>
    <row r="794" spans="1:25">
      <c r="A794" s="390">
        <v>98414</v>
      </c>
      <c r="B794" s="391" t="s">
        <v>1487</v>
      </c>
      <c r="C794" s="234">
        <v>3.5099999999999999E-5</v>
      </c>
      <c r="D794" s="234">
        <v>3.01E-5</v>
      </c>
      <c r="E794" s="231">
        <v>125427</v>
      </c>
      <c r="F794" s="231" t="s">
        <v>1924</v>
      </c>
      <c r="G794" s="392">
        <v>15839</v>
      </c>
      <c r="H794" s="392">
        <v>17650</v>
      </c>
      <c r="I794" s="392">
        <v>9334</v>
      </c>
      <c r="J794" s="231">
        <v>14912</v>
      </c>
      <c r="K794" s="231">
        <v>57735</v>
      </c>
      <c r="L794" s="231"/>
      <c r="M794" s="225">
        <v>0</v>
      </c>
      <c r="N794" s="225">
        <v>0</v>
      </c>
      <c r="O794" s="231">
        <v>14845</v>
      </c>
      <c r="P794" s="231">
        <v>6074</v>
      </c>
      <c r="Q794" s="231"/>
      <c r="R794" s="392">
        <v>43134</v>
      </c>
      <c r="S794" s="231">
        <v>5998</v>
      </c>
      <c r="T794" s="396">
        <v>49132</v>
      </c>
      <c r="U794" s="231"/>
      <c r="V794" s="396"/>
      <c r="W794" s="396"/>
      <c r="X794" s="396">
        <v>254478</v>
      </c>
      <c r="Y794" s="396">
        <v>18177</v>
      </c>
    </row>
    <row r="795" spans="1:25">
      <c r="A795" s="390">
        <v>98417</v>
      </c>
      <c r="B795" s="391" t="s">
        <v>1488</v>
      </c>
      <c r="C795" s="234">
        <v>2.1699999999999999E-5</v>
      </c>
      <c r="D795" s="234">
        <v>2.23E-5</v>
      </c>
      <c r="E795" s="231">
        <v>77543</v>
      </c>
      <c r="F795" s="231" t="s">
        <v>1924</v>
      </c>
      <c r="G795" s="392">
        <v>9792</v>
      </c>
      <c r="H795" s="392">
        <v>10913</v>
      </c>
      <c r="I795" s="392">
        <v>5771</v>
      </c>
      <c r="J795" s="231">
        <v>8470</v>
      </c>
      <c r="K795" s="231">
        <v>34946</v>
      </c>
      <c r="L795" s="231"/>
      <c r="M795" s="225">
        <v>0</v>
      </c>
      <c r="N795" s="225">
        <v>0</v>
      </c>
      <c r="O795" s="231">
        <v>0</v>
      </c>
      <c r="P795" s="231">
        <v>0</v>
      </c>
      <c r="Q795" s="231"/>
      <c r="R795" s="392">
        <v>26667</v>
      </c>
      <c r="S795" s="231">
        <v>3585</v>
      </c>
      <c r="T795" s="396">
        <v>30252</v>
      </c>
      <c r="U795" s="231"/>
      <c r="V795" s="396"/>
      <c r="W795" s="396"/>
      <c r="X795" s="396">
        <v>157327</v>
      </c>
      <c r="Y795" s="396">
        <v>11238</v>
      </c>
    </row>
    <row r="796" spans="1:25">
      <c r="A796" s="390">
        <v>98421</v>
      </c>
      <c r="B796" s="391" t="s">
        <v>1489</v>
      </c>
      <c r="C796" s="234">
        <v>1.081E-4</v>
      </c>
      <c r="D796" s="234">
        <v>1.121E-4</v>
      </c>
      <c r="E796" s="231">
        <v>386287</v>
      </c>
      <c r="F796" s="231" t="s">
        <v>1924</v>
      </c>
      <c r="G796" s="392">
        <v>48781</v>
      </c>
      <c r="H796" s="392">
        <v>54360</v>
      </c>
      <c r="I796" s="392">
        <v>28747</v>
      </c>
      <c r="J796" s="231">
        <v>9022</v>
      </c>
      <c r="K796" s="231">
        <v>140910</v>
      </c>
      <c r="L796" s="231"/>
      <c r="M796" s="225">
        <v>0</v>
      </c>
      <c r="N796" s="225">
        <v>0</v>
      </c>
      <c r="O796" s="231">
        <v>12973</v>
      </c>
      <c r="P796" s="231">
        <v>12973</v>
      </c>
      <c r="Q796" s="231"/>
      <c r="R796" s="392">
        <v>132841</v>
      </c>
      <c r="S796" s="231">
        <v>-1943</v>
      </c>
      <c r="T796" s="396">
        <v>130898</v>
      </c>
      <c r="U796" s="231"/>
      <c r="V796" s="396"/>
      <c r="W796" s="396"/>
      <c r="X796" s="396">
        <v>783735</v>
      </c>
      <c r="Y796" s="396">
        <v>55980</v>
      </c>
    </row>
    <row r="797" spans="1:25">
      <c r="A797" s="390">
        <v>98427</v>
      </c>
      <c r="B797" s="391" t="s">
        <v>1490</v>
      </c>
      <c r="C797" s="234">
        <v>2.9000000000000002E-6</v>
      </c>
      <c r="D797" s="234">
        <v>3.1E-6</v>
      </c>
      <c r="E797" s="231">
        <v>10363</v>
      </c>
      <c r="F797" s="231" t="s">
        <v>1924</v>
      </c>
      <c r="G797" s="392">
        <v>1309</v>
      </c>
      <c r="H797" s="392">
        <v>1459</v>
      </c>
      <c r="I797" s="392">
        <v>771</v>
      </c>
      <c r="J797" s="231">
        <v>3216</v>
      </c>
      <c r="K797" s="231">
        <v>6755</v>
      </c>
      <c r="L797" s="231"/>
      <c r="M797" s="225">
        <v>0</v>
      </c>
      <c r="N797" s="225">
        <v>0</v>
      </c>
      <c r="O797" s="231">
        <v>0</v>
      </c>
      <c r="P797" s="231">
        <v>0</v>
      </c>
      <c r="Q797" s="231"/>
      <c r="R797" s="392">
        <v>3564</v>
      </c>
      <c r="S797" s="231">
        <v>1373</v>
      </c>
      <c r="T797" s="396">
        <v>4937</v>
      </c>
      <c r="U797" s="231"/>
      <c r="V797" s="396"/>
      <c r="W797" s="396"/>
      <c r="X797" s="396">
        <v>21025</v>
      </c>
      <c r="Y797" s="396">
        <v>1502</v>
      </c>
    </row>
    <row r="798" spans="1:25">
      <c r="A798" s="390">
        <v>98431</v>
      </c>
      <c r="B798" s="391" t="s">
        <v>1491</v>
      </c>
      <c r="C798" s="234">
        <v>2.062E-4</v>
      </c>
      <c r="D798" s="234">
        <v>1.997E-4</v>
      </c>
      <c r="E798" s="231">
        <v>736840</v>
      </c>
      <c r="F798" s="231" t="s">
        <v>1924</v>
      </c>
      <c r="G798" s="392">
        <v>93050</v>
      </c>
      <c r="H798" s="392">
        <v>103691</v>
      </c>
      <c r="I798" s="392">
        <v>54835</v>
      </c>
      <c r="J798" s="231">
        <v>1885</v>
      </c>
      <c r="K798" s="231">
        <v>253461</v>
      </c>
      <c r="L798" s="231"/>
      <c r="M798" s="225">
        <v>0</v>
      </c>
      <c r="N798" s="225">
        <v>0</v>
      </c>
      <c r="O798" s="231">
        <v>15181</v>
      </c>
      <c r="P798" s="231">
        <v>15181</v>
      </c>
      <c r="Q798" s="231"/>
      <c r="R798" s="392">
        <v>253394</v>
      </c>
      <c r="S798" s="231">
        <v>-10515</v>
      </c>
      <c r="T798" s="396">
        <v>242879</v>
      </c>
      <c r="U798" s="231"/>
      <c r="V798" s="396"/>
      <c r="W798" s="396"/>
      <c r="X798" s="396">
        <v>1494969</v>
      </c>
      <c r="Y798" s="396">
        <v>106782</v>
      </c>
    </row>
    <row r="799" spans="1:25">
      <c r="A799" s="390">
        <v>98441</v>
      </c>
      <c r="B799" s="391" t="s">
        <v>1492</v>
      </c>
      <c r="C799" s="234">
        <v>1.1959999999999999E-4</v>
      </c>
      <c r="D799" s="234">
        <v>1.0230000000000001E-4</v>
      </c>
      <c r="E799" s="231">
        <v>427382</v>
      </c>
      <c r="F799" s="231" t="s">
        <v>1924</v>
      </c>
      <c r="G799" s="392">
        <v>53971</v>
      </c>
      <c r="H799" s="392">
        <v>60142</v>
      </c>
      <c r="I799" s="392">
        <v>31806</v>
      </c>
      <c r="J799" s="231">
        <v>21485</v>
      </c>
      <c r="K799" s="231">
        <v>167404</v>
      </c>
      <c r="L799" s="231"/>
      <c r="M799" s="225">
        <v>0</v>
      </c>
      <c r="N799" s="225">
        <v>0</v>
      </c>
      <c r="O799" s="231">
        <v>9105</v>
      </c>
      <c r="P799" s="231">
        <v>9105</v>
      </c>
      <c r="Q799" s="231"/>
      <c r="R799" s="392">
        <v>146973</v>
      </c>
      <c r="S799" s="231">
        <v>1675</v>
      </c>
      <c r="T799" s="396">
        <v>148648</v>
      </c>
      <c r="U799" s="231"/>
      <c r="V799" s="396"/>
      <c r="W799" s="396"/>
      <c r="X799" s="396">
        <v>867111</v>
      </c>
      <c r="Y799" s="396">
        <v>61936</v>
      </c>
    </row>
    <row r="800" spans="1:25">
      <c r="A800" s="390">
        <v>98451</v>
      </c>
      <c r="B800" s="395" t="s">
        <v>1493</v>
      </c>
      <c r="C800" s="234">
        <v>3.2100000000000001E-5</v>
      </c>
      <c r="D800" s="234">
        <v>4.6100000000000002E-5</v>
      </c>
      <c r="E800" s="231">
        <v>114707</v>
      </c>
      <c r="F800" s="231" t="s">
        <v>1924</v>
      </c>
      <c r="G800" s="392">
        <v>14485</v>
      </c>
      <c r="H800" s="392">
        <v>16142</v>
      </c>
      <c r="I800" s="392">
        <v>8536</v>
      </c>
      <c r="J800" s="231">
        <v>247</v>
      </c>
      <c r="K800" s="231">
        <v>39410</v>
      </c>
      <c r="L800" s="231"/>
      <c r="M800" s="225">
        <v>0</v>
      </c>
      <c r="N800" s="225">
        <v>0</v>
      </c>
      <c r="O800" s="231">
        <v>16546</v>
      </c>
      <c r="P800" s="231">
        <v>16546</v>
      </c>
      <c r="Q800" s="231"/>
      <c r="R800" s="392">
        <v>39447</v>
      </c>
      <c r="S800" s="231">
        <v>-5957</v>
      </c>
      <c r="T800" s="396">
        <v>33490</v>
      </c>
      <c r="U800" s="231"/>
      <c r="V800" s="396"/>
      <c r="W800" s="396"/>
      <c r="X800" s="396">
        <v>232728</v>
      </c>
      <c r="Y800" s="396">
        <v>16623</v>
      </c>
    </row>
    <row r="801" spans="1:25">
      <c r="A801" s="390">
        <v>98471</v>
      </c>
      <c r="B801" s="391" t="s">
        <v>1638</v>
      </c>
      <c r="C801" s="234">
        <v>6.7000000000000002E-6</v>
      </c>
      <c r="D801" s="234">
        <v>6.3999999999999997E-6</v>
      </c>
      <c r="E801" s="231">
        <v>23942</v>
      </c>
      <c r="F801" s="231" t="s">
        <v>1924</v>
      </c>
      <c r="G801" s="392">
        <v>3023</v>
      </c>
      <c r="H801" s="392">
        <v>3369</v>
      </c>
      <c r="I801" s="392">
        <v>1782</v>
      </c>
      <c r="J801" s="231">
        <v>4342</v>
      </c>
      <c r="K801" s="231">
        <v>12516</v>
      </c>
      <c r="L801" s="231"/>
      <c r="M801" s="225">
        <v>0</v>
      </c>
      <c r="N801" s="225">
        <v>0</v>
      </c>
      <c r="O801" s="231">
        <v>0</v>
      </c>
      <c r="P801" s="231">
        <v>0</v>
      </c>
      <c r="Q801" s="231"/>
      <c r="R801" s="392">
        <v>8233</v>
      </c>
      <c r="S801" s="231">
        <v>1875</v>
      </c>
      <c r="T801" s="396">
        <v>10108</v>
      </c>
      <c r="U801" s="231"/>
      <c r="V801" s="396"/>
      <c r="W801" s="396"/>
      <c r="X801" s="396">
        <v>48576</v>
      </c>
      <c r="Y801" s="396">
        <v>3470</v>
      </c>
    </row>
    <row r="802" spans="1:25">
      <c r="A802" s="390">
        <v>98481</v>
      </c>
      <c r="B802" s="391" t="s">
        <v>1494</v>
      </c>
      <c r="C802" s="234">
        <v>5.9799999999999997E-5</v>
      </c>
      <c r="D802" s="234">
        <v>6.1600000000000007E-5</v>
      </c>
      <c r="E802" s="231">
        <v>213691</v>
      </c>
      <c r="F802" s="231" t="s">
        <v>1924</v>
      </c>
      <c r="G802" s="392">
        <v>26985</v>
      </c>
      <c r="H802" s="392">
        <v>30072</v>
      </c>
      <c r="I802" s="392">
        <v>15903</v>
      </c>
      <c r="J802" s="231">
        <v>1093</v>
      </c>
      <c r="K802" s="231">
        <v>74053</v>
      </c>
      <c r="L802" s="231"/>
      <c r="M802" s="225">
        <v>0</v>
      </c>
      <c r="N802" s="225">
        <v>0</v>
      </c>
      <c r="O802" s="231">
        <v>7753</v>
      </c>
      <c r="P802" s="231">
        <v>7753</v>
      </c>
      <c r="Q802" s="231"/>
      <c r="R802" s="392">
        <v>73487</v>
      </c>
      <c r="S802" s="231">
        <v>-3200</v>
      </c>
      <c r="T802" s="396">
        <v>70287</v>
      </c>
      <c r="U802" s="231"/>
      <c r="V802" s="396"/>
      <c r="W802" s="396"/>
      <c r="X802" s="396">
        <v>433556</v>
      </c>
      <c r="Y802" s="396">
        <v>30968</v>
      </c>
    </row>
    <row r="803" spans="1:25">
      <c r="A803" s="390">
        <v>98501</v>
      </c>
      <c r="B803" s="391" t="s">
        <v>1495</v>
      </c>
      <c r="C803" s="234">
        <v>1.8075999999999999E-3</v>
      </c>
      <c r="D803" s="234">
        <v>1.655E-3</v>
      </c>
      <c r="E803" s="231">
        <v>6459325</v>
      </c>
      <c r="F803" s="231" t="s">
        <v>1924</v>
      </c>
      <c r="G803" s="392">
        <v>815699</v>
      </c>
      <c r="H803" s="392">
        <v>908977</v>
      </c>
      <c r="I803" s="392">
        <v>480700</v>
      </c>
      <c r="J803" s="231">
        <v>350469</v>
      </c>
      <c r="K803" s="231">
        <v>2555845</v>
      </c>
      <c r="L803" s="231"/>
      <c r="M803" s="225">
        <v>0</v>
      </c>
      <c r="N803" s="225">
        <v>0</v>
      </c>
      <c r="O803" s="231">
        <v>0</v>
      </c>
      <c r="P803" s="231">
        <v>0</v>
      </c>
      <c r="Q803" s="231"/>
      <c r="R803" s="392">
        <v>2221314</v>
      </c>
      <c r="S803" s="231">
        <v>137727</v>
      </c>
      <c r="T803" s="396">
        <v>2359041</v>
      </c>
      <c r="U803" s="231"/>
      <c r="V803" s="396"/>
      <c r="W803" s="396"/>
      <c r="X803" s="396">
        <v>13105266</v>
      </c>
      <c r="Y803" s="396">
        <v>936080</v>
      </c>
    </row>
    <row r="804" spans="1:25">
      <c r="A804" s="390">
        <v>98511</v>
      </c>
      <c r="B804" s="391" t="s">
        <v>1496</v>
      </c>
      <c r="C804" s="234">
        <v>4.4400000000000002E-5</v>
      </c>
      <c r="D804" s="234">
        <v>4.9400000000000001E-5</v>
      </c>
      <c r="E804" s="231">
        <v>158660</v>
      </c>
      <c r="F804" s="231" t="s">
        <v>1924</v>
      </c>
      <c r="G804" s="392">
        <v>20036</v>
      </c>
      <c r="H804" s="392">
        <v>22327</v>
      </c>
      <c r="I804" s="392">
        <v>11807</v>
      </c>
      <c r="J804" s="231">
        <v>5323</v>
      </c>
      <c r="K804" s="231">
        <v>59493</v>
      </c>
      <c r="L804" s="231"/>
      <c r="M804" s="225">
        <v>0</v>
      </c>
      <c r="N804" s="225">
        <v>0</v>
      </c>
      <c r="O804" s="231">
        <v>6172</v>
      </c>
      <c r="P804" s="231">
        <v>6172</v>
      </c>
      <c r="Q804" s="231"/>
      <c r="R804" s="392">
        <v>54562</v>
      </c>
      <c r="S804" s="231">
        <v>923</v>
      </c>
      <c r="T804" s="396">
        <v>55485</v>
      </c>
      <c r="U804" s="231"/>
      <c r="V804" s="396"/>
      <c r="W804" s="396"/>
      <c r="X804" s="396">
        <v>321904</v>
      </c>
      <c r="Y804" s="396">
        <v>22993</v>
      </c>
    </row>
    <row r="805" spans="1:25">
      <c r="A805" s="390">
        <v>98517</v>
      </c>
      <c r="B805" s="391" t="s">
        <v>1497</v>
      </c>
      <c r="C805" s="234">
        <v>0</v>
      </c>
      <c r="D805" s="234">
        <v>2.3999999999999999E-6</v>
      </c>
      <c r="E805" s="231">
        <v>0</v>
      </c>
      <c r="F805" s="231" t="s">
        <v>1924</v>
      </c>
      <c r="G805" s="392">
        <v>0</v>
      </c>
      <c r="H805" s="392">
        <v>0</v>
      </c>
      <c r="I805" s="392">
        <v>0</v>
      </c>
      <c r="J805" s="231">
        <v>2485</v>
      </c>
      <c r="K805" s="231">
        <v>2485</v>
      </c>
      <c r="L805" s="231"/>
      <c r="M805" s="225">
        <v>0</v>
      </c>
      <c r="N805" s="225">
        <v>0</v>
      </c>
      <c r="O805" s="231">
        <v>982</v>
      </c>
      <c r="P805" s="231">
        <v>982</v>
      </c>
      <c r="Q805" s="231"/>
      <c r="R805" s="392">
        <v>0</v>
      </c>
      <c r="S805" s="231">
        <v>913</v>
      </c>
      <c r="T805" s="396">
        <v>913</v>
      </c>
      <c r="U805" s="231"/>
      <c r="V805" s="396"/>
      <c r="W805" s="396"/>
      <c r="X805" s="396">
        <v>0</v>
      </c>
      <c r="Y805" s="396">
        <v>0</v>
      </c>
    </row>
    <row r="806" spans="1:25">
      <c r="A806" s="390">
        <v>98521</v>
      </c>
      <c r="B806" s="391" t="s">
        <v>1498</v>
      </c>
      <c r="C806" s="234">
        <v>6.581E-4</v>
      </c>
      <c r="D806" s="234">
        <v>6.3349999999999995E-4</v>
      </c>
      <c r="E806" s="231">
        <v>2351672</v>
      </c>
      <c r="F806" s="231" t="s">
        <v>1924</v>
      </c>
      <c r="G806" s="392">
        <v>296975</v>
      </c>
      <c r="H806" s="392">
        <v>330935</v>
      </c>
      <c r="I806" s="392">
        <v>175011</v>
      </c>
      <c r="J806" s="231">
        <v>36082</v>
      </c>
      <c r="K806" s="231">
        <v>839003</v>
      </c>
      <c r="L806" s="231"/>
      <c r="M806" s="225">
        <v>0</v>
      </c>
      <c r="N806" s="225">
        <v>0</v>
      </c>
      <c r="O806" s="231">
        <v>27528</v>
      </c>
      <c r="P806" s="231">
        <v>27528</v>
      </c>
      <c r="Q806" s="231"/>
      <c r="R806" s="392">
        <v>808723</v>
      </c>
      <c r="S806" s="231">
        <v>-4024</v>
      </c>
      <c r="T806" s="396">
        <v>804699</v>
      </c>
      <c r="U806" s="231"/>
      <c r="V806" s="396"/>
      <c r="W806" s="396"/>
      <c r="X806" s="396">
        <v>4771286</v>
      </c>
      <c r="Y806" s="396">
        <v>340802</v>
      </c>
    </row>
    <row r="807" spans="1:25">
      <c r="A807" s="390">
        <v>98601</v>
      </c>
      <c r="B807" s="391" t="s">
        <v>1499</v>
      </c>
      <c r="C807" s="234">
        <v>3.6321000000000001E-3</v>
      </c>
      <c r="D807" s="234">
        <v>3.5866000000000001E-3</v>
      </c>
      <c r="E807" s="231">
        <v>12979041</v>
      </c>
      <c r="F807" s="231" t="s">
        <v>1924</v>
      </c>
      <c r="G807" s="392">
        <v>1639025</v>
      </c>
      <c r="H807" s="392">
        <v>1826453</v>
      </c>
      <c r="I807" s="392">
        <v>965895</v>
      </c>
      <c r="J807" s="231">
        <v>58744</v>
      </c>
      <c r="K807" s="231">
        <v>4490117</v>
      </c>
      <c r="L807" s="231"/>
      <c r="M807" s="225">
        <v>0</v>
      </c>
      <c r="N807" s="225">
        <v>0</v>
      </c>
      <c r="O807" s="231">
        <v>34509</v>
      </c>
      <c r="P807" s="231">
        <v>34509</v>
      </c>
      <c r="Q807" s="231"/>
      <c r="R807" s="392">
        <v>4463397</v>
      </c>
      <c r="S807" s="231">
        <v>-17964</v>
      </c>
      <c r="T807" s="396">
        <v>4445433</v>
      </c>
      <c r="U807" s="231"/>
      <c r="V807" s="396"/>
      <c r="W807" s="396"/>
      <c r="X807" s="396">
        <v>26333059</v>
      </c>
      <c r="Y807" s="396">
        <v>1880912</v>
      </c>
    </row>
    <row r="808" spans="1:25">
      <c r="A808" s="390">
        <v>98604</v>
      </c>
      <c r="B808" s="391" t="s">
        <v>1500</v>
      </c>
      <c r="C808" s="234">
        <v>1.45E-5</v>
      </c>
      <c r="D808" s="234">
        <v>1.2099999999999999E-5</v>
      </c>
      <c r="E808" s="231">
        <v>51815</v>
      </c>
      <c r="F808" s="231" t="s">
        <v>1924</v>
      </c>
      <c r="G808" s="392">
        <v>6543</v>
      </c>
      <c r="H808" s="392">
        <v>7291</v>
      </c>
      <c r="I808" s="392">
        <v>3856</v>
      </c>
      <c r="J808" s="231">
        <v>6637</v>
      </c>
      <c r="K808" s="231">
        <v>24327</v>
      </c>
      <c r="L808" s="231"/>
      <c r="M808" s="225">
        <v>0</v>
      </c>
      <c r="N808" s="225">
        <v>0</v>
      </c>
      <c r="O808" s="231">
        <v>131</v>
      </c>
      <c r="P808" s="231">
        <v>131</v>
      </c>
      <c r="Q808" s="231"/>
      <c r="R808" s="392">
        <v>17819</v>
      </c>
      <c r="S808" s="231">
        <v>3952</v>
      </c>
      <c r="T808" s="396">
        <v>21771</v>
      </c>
      <c r="U808" s="231"/>
      <c r="V808" s="396"/>
      <c r="W808" s="396"/>
      <c r="X808" s="396">
        <v>105126</v>
      </c>
      <c r="Y808" s="396">
        <v>7509</v>
      </c>
    </row>
    <row r="809" spans="1:25">
      <c r="A809" s="390">
        <v>98607</v>
      </c>
      <c r="B809" s="391" t="s">
        <v>1501</v>
      </c>
      <c r="C809" s="234">
        <v>5.2000000000000002E-6</v>
      </c>
      <c r="D809" s="234">
        <v>5.4E-6</v>
      </c>
      <c r="E809" s="231">
        <v>18582</v>
      </c>
      <c r="F809" s="231" t="s">
        <v>1924</v>
      </c>
      <c r="G809" s="392">
        <v>2347</v>
      </c>
      <c r="H809" s="392">
        <v>2615</v>
      </c>
      <c r="I809" s="392">
        <v>1383</v>
      </c>
      <c r="J809" s="231">
        <v>1296</v>
      </c>
      <c r="K809" s="231">
        <v>7641</v>
      </c>
      <c r="L809" s="231"/>
      <c r="M809" s="225">
        <v>0</v>
      </c>
      <c r="N809" s="225">
        <v>0</v>
      </c>
      <c r="O809" s="231">
        <v>571</v>
      </c>
      <c r="P809" s="231">
        <v>571</v>
      </c>
      <c r="Q809" s="231"/>
      <c r="R809" s="392">
        <v>6390</v>
      </c>
      <c r="S809" s="231">
        <v>347</v>
      </c>
      <c r="T809" s="396">
        <v>6737</v>
      </c>
      <c r="U809" s="231"/>
      <c r="V809" s="396"/>
      <c r="W809" s="396"/>
      <c r="X809" s="396">
        <v>37700</v>
      </c>
      <c r="Y809" s="396">
        <v>2693</v>
      </c>
    </row>
    <row r="810" spans="1:25">
      <c r="A810" s="390">
        <v>98608</v>
      </c>
      <c r="B810" s="391" t="s">
        <v>1502</v>
      </c>
      <c r="C810" s="234">
        <v>6.3899999999999995E-5</v>
      </c>
      <c r="D810" s="234">
        <v>5.1799999999999999E-5</v>
      </c>
      <c r="E810" s="231">
        <v>228342</v>
      </c>
      <c r="F810" s="231" t="s">
        <v>1924</v>
      </c>
      <c r="G810" s="392">
        <v>28836</v>
      </c>
      <c r="H810" s="392">
        <v>32133</v>
      </c>
      <c r="I810" s="392">
        <v>16993</v>
      </c>
      <c r="J810" s="231">
        <v>27458</v>
      </c>
      <c r="K810" s="231">
        <v>105420</v>
      </c>
      <c r="L810" s="231"/>
      <c r="M810" s="225">
        <v>0</v>
      </c>
      <c r="N810" s="225">
        <v>0</v>
      </c>
      <c r="O810" s="231">
        <v>503</v>
      </c>
      <c r="P810" s="231">
        <v>503</v>
      </c>
      <c r="Q810" s="231"/>
      <c r="R810" s="392">
        <v>78525</v>
      </c>
      <c r="S810" s="231">
        <v>7719</v>
      </c>
      <c r="T810" s="396">
        <v>86244</v>
      </c>
      <c r="U810" s="231"/>
      <c r="V810" s="396"/>
      <c r="W810" s="396"/>
      <c r="X810" s="396">
        <v>463281</v>
      </c>
      <c r="Y810" s="396">
        <v>33091</v>
      </c>
    </row>
    <row r="811" spans="1:25">
      <c r="A811" s="390">
        <v>98611</v>
      </c>
      <c r="B811" s="391" t="s">
        <v>1503</v>
      </c>
      <c r="C811" s="234">
        <v>1.0620000000000001E-4</v>
      </c>
      <c r="D811" s="234">
        <v>1.1959999999999999E-4</v>
      </c>
      <c r="E811" s="231">
        <v>379498</v>
      </c>
      <c r="F811" s="231" t="s">
        <v>1924</v>
      </c>
      <c r="G811" s="392">
        <v>47924</v>
      </c>
      <c r="H811" s="392">
        <v>53405</v>
      </c>
      <c r="I811" s="392">
        <v>28242</v>
      </c>
      <c r="J811" s="231">
        <v>17232</v>
      </c>
      <c r="K811" s="231">
        <v>146803</v>
      </c>
      <c r="L811" s="231"/>
      <c r="M811" s="225">
        <v>0</v>
      </c>
      <c r="N811" s="225">
        <v>0</v>
      </c>
      <c r="O811" s="231">
        <v>12950</v>
      </c>
      <c r="P811" s="231">
        <v>12950</v>
      </c>
      <c r="Q811" s="231"/>
      <c r="R811" s="392">
        <v>130507</v>
      </c>
      <c r="S811" s="231">
        <v>1683</v>
      </c>
      <c r="T811" s="396">
        <v>132190</v>
      </c>
      <c r="U811" s="231"/>
      <c r="V811" s="396"/>
      <c r="W811" s="396"/>
      <c r="X811" s="396">
        <v>769960</v>
      </c>
      <c r="Y811" s="396">
        <v>54997</v>
      </c>
    </row>
    <row r="812" spans="1:25">
      <c r="A812" s="390">
        <v>98621</v>
      </c>
      <c r="B812" s="391" t="s">
        <v>1504</v>
      </c>
      <c r="C812" s="234">
        <v>1.3870000000000001E-4</v>
      </c>
      <c r="D812" s="234">
        <v>1.2899999999999999E-4</v>
      </c>
      <c r="E812" s="231">
        <v>495634</v>
      </c>
      <c r="F812" s="231" t="s">
        <v>1924</v>
      </c>
      <c r="G812" s="392">
        <v>62590</v>
      </c>
      <c r="H812" s="392">
        <v>69747</v>
      </c>
      <c r="I812" s="392">
        <v>36885</v>
      </c>
      <c r="J812" s="231">
        <v>11317</v>
      </c>
      <c r="K812" s="231">
        <v>180539</v>
      </c>
      <c r="L812" s="231"/>
      <c r="M812" s="225">
        <v>0</v>
      </c>
      <c r="N812" s="225">
        <v>0</v>
      </c>
      <c r="O812" s="231">
        <v>5729</v>
      </c>
      <c r="P812" s="231">
        <v>5729</v>
      </c>
      <c r="Q812" s="231"/>
      <c r="R812" s="392">
        <v>170445</v>
      </c>
      <c r="S812" s="231">
        <v>247</v>
      </c>
      <c r="T812" s="396">
        <v>170692</v>
      </c>
      <c r="U812" s="231"/>
      <c r="V812" s="396"/>
      <c r="W812" s="396"/>
      <c r="X812" s="396">
        <v>1005588</v>
      </c>
      <c r="Y812" s="396">
        <v>71827</v>
      </c>
    </row>
    <row r="813" spans="1:25">
      <c r="A813" s="390">
        <v>98627</v>
      </c>
      <c r="B813" s="391" t="s">
        <v>1505</v>
      </c>
      <c r="C813" s="234">
        <v>7.4000000000000003E-6</v>
      </c>
      <c r="D813" s="234">
        <v>7.7999999999999999E-6</v>
      </c>
      <c r="E813" s="231">
        <v>26443</v>
      </c>
      <c r="F813" s="231" t="s">
        <v>1924</v>
      </c>
      <c r="G813" s="392">
        <v>3339</v>
      </c>
      <c r="H813" s="392">
        <v>3721</v>
      </c>
      <c r="I813" s="392">
        <v>1968</v>
      </c>
      <c r="J813" s="231">
        <v>0</v>
      </c>
      <c r="K813" s="231">
        <v>9028</v>
      </c>
      <c r="L813" s="231"/>
      <c r="M813" s="225">
        <v>0</v>
      </c>
      <c r="N813" s="225">
        <v>0</v>
      </c>
      <c r="O813" s="231">
        <v>1602</v>
      </c>
      <c r="P813" s="231">
        <v>1602</v>
      </c>
      <c r="Q813" s="231"/>
      <c r="R813" s="392">
        <v>9094</v>
      </c>
      <c r="S813" s="231">
        <v>-657</v>
      </c>
      <c r="T813" s="396">
        <v>8437</v>
      </c>
      <c r="U813" s="231"/>
      <c r="V813" s="396"/>
      <c r="W813" s="396"/>
      <c r="X813" s="396">
        <v>53651</v>
      </c>
      <c r="Y813" s="396">
        <v>3832</v>
      </c>
    </row>
    <row r="814" spans="1:25">
      <c r="A814" s="390">
        <v>98631</v>
      </c>
      <c r="B814" s="391" t="s">
        <v>1506</v>
      </c>
      <c r="C814" s="234">
        <v>9.3860000000000005E-4</v>
      </c>
      <c r="D814" s="234">
        <v>1.0042E-3</v>
      </c>
      <c r="E814" s="231">
        <v>3354018</v>
      </c>
      <c r="F814" s="231" t="s">
        <v>1924</v>
      </c>
      <c r="G814" s="392">
        <v>423554</v>
      </c>
      <c r="H814" s="392">
        <v>471988</v>
      </c>
      <c r="I814" s="392">
        <v>249605</v>
      </c>
      <c r="J814" s="231">
        <v>9495</v>
      </c>
      <c r="K814" s="231">
        <v>1154642</v>
      </c>
      <c r="L814" s="231"/>
      <c r="M814" s="225">
        <v>0</v>
      </c>
      <c r="N814" s="225">
        <v>0</v>
      </c>
      <c r="O814" s="231">
        <v>88443</v>
      </c>
      <c r="P814" s="231">
        <v>88443</v>
      </c>
      <c r="Q814" s="231"/>
      <c r="R814" s="392">
        <v>1153422</v>
      </c>
      <c r="S814" s="231">
        <v>-42491</v>
      </c>
      <c r="T814" s="396">
        <v>1110931</v>
      </c>
      <c r="U814" s="231"/>
      <c r="V814" s="396"/>
      <c r="W814" s="396"/>
      <c r="X814" s="396">
        <v>6804936</v>
      </c>
      <c r="Y814" s="396">
        <v>486062</v>
      </c>
    </row>
    <row r="815" spans="1:25">
      <c r="A815" s="390">
        <v>98637</v>
      </c>
      <c r="B815" s="391" t="s">
        <v>1507</v>
      </c>
      <c r="C815" s="234">
        <v>2.3499999999999999E-5</v>
      </c>
      <c r="D815" s="234">
        <v>1.5800000000000001E-5</v>
      </c>
      <c r="E815" s="231">
        <v>83976</v>
      </c>
      <c r="F815" s="231" t="s">
        <v>1924</v>
      </c>
      <c r="G815" s="392">
        <v>10605</v>
      </c>
      <c r="H815" s="392">
        <v>11818</v>
      </c>
      <c r="I815" s="392">
        <v>6249</v>
      </c>
      <c r="J815" s="231">
        <v>21431</v>
      </c>
      <c r="K815" s="231">
        <v>50103</v>
      </c>
      <c r="L815" s="231"/>
      <c r="M815" s="225">
        <v>0</v>
      </c>
      <c r="N815" s="225">
        <v>0</v>
      </c>
      <c r="O815" s="231">
        <v>0</v>
      </c>
      <c r="P815" s="231">
        <v>0</v>
      </c>
      <c r="Q815" s="231"/>
      <c r="R815" s="392">
        <v>28879</v>
      </c>
      <c r="S815" s="231">
        <v>8904</v>
      </c>
      <c r="T815" s="396">
        <v>37783</v>
      </c>
      <c r="U815" s="231"/>
      <c r="V815" s="396"/>
      <c r="W815" s="396"/>
      <c r="X815" s="396">
        <v>170377</v>
      </c>
      <c r="Y815" s="396">
        <v>12170</v>
      </c>
    </row>
    <row r="816" spans="1:25">
      <c r="A816" s="390">
        <v>98641</v>
      </c>
      <c r="B816" s="391" t="s">
        <v>1508</v>
      </c>
      <c r="C816" s="234">
        <v>2.8739999999999999E-4</v>
      </c>
      <c r="D816" s="234">
        <v>2.7090000000000003E-4</v>
      </c>
      <c r="E816" s="231">
        <v>1027003</v>
      </c>
      <c r="F816" s="231" t="s">
        <v>1924</v>
      </c>
      <c r="G816" s="392">
        <v>129692</v>
      </c>
      <c r="H816" s="392">
        <v>144523</v>
      </c>
      <c r="I816" s="392">
        <v>76429</v>
      </c>
      <c r="J816" s="231">
        <v>29124</v>
      </c>
      <c r="K816" s="231">
        <v>379768</v>
      </c>
      <c r="L816" s="231"/>
      <c r="M816" s="225">
        <v>0</v>
      </c>
      <c r="N816" s="225">
        <v>0</v>
      </c>
      <c r="O816" s="231">
        <v>4978</v>
      </c>
      <c r="P816" s="231">
        <v>4978</v>
      </c>
      <c r="Q816" s="231"/>
      <c r="R816" s="392">
        <v>353179</v>
      </c>
      <c r="S816" s="231">
        <v>5975</v>
      </c>
      <c r="T816" s="396">
        <v>359154</v>
      </c>
      <c r="U816" s="231"/>
      <c r="V816" s="396"/>
      <c r="W816" s="396"/>
      <c r="X816" s="396">
        <v>2083676</v>
      </c>
      <c r="Y816" s="396">
        <v>148832</v>
      </c>
    </row>
    <row r="817" spans="1:25">
      <c r="A817" s="390">
        <v>98647</v>
      </c>
      <c r="B817" s="391" t="s">
        <v>1616</v>
      </c>
      <c r="C817" s="234">
        <v>0</v>
      </c>
      <c r="D817" s="234">
        <v>0</v>
      </c>
      <c r="E817" s="231">
        <v>0</v>
      </c>
      <c r="F817" s="231" t="s">
        <v>1924</v>
      </c>
      <c r="G817" s="392">
        <v>0</v>
      </c>
      <c r="H817" s="392">
        <v>0</v>
      </c>
      <c r="I817" s="392">
        <v>0</v>
      </c>
      <c r="J817" s="231">
        <v>0</v>
      </c>
      <c r="K817" s="231">
        <v>0</v>
      </c>
      <c r="L817" s="231"/>
      <c r="M817" s="225">
        <v>0</v>
      </c>
      <c r="N817" s="225">
        <v>0</v>
      </c>
      <c r="O817" s="231">
        <v>0</v>
      </c>
      <c r="P817" s="231">
        <v>0</v>
      </c>
      <c r="Q817" s="231"/>
      <c r="R817" s="392">
        <v>0</v>
      </c>
      <c r="S817" s="231">
        <v>-1498</v>
      </c>
      <c r="T817" s="396">
        <v>-1498</v>
      </c>
      <c r="U817" s="231"/>
      <c r="V817" s="396"/>
      <c r="W817" s="396"/>
      <c r="X817" s="396">
        <v>0</v>
      </c>
      <c r="Y817" s="396">
        <v>0</v>
      </c>
    </row>
    <row r="818" spans="1:25">
      <c r="A818" s="390">
        <v>98701</v>
      </c>
      <c r="B818" s="391" t="s">
        <v>1509</v>
      </c>
      <c r="C818" s="234">
        <v>9.9500000000000001E-4</v>
      </c>
      <c r="D818" s="234">
        <v>9.7790000000000008E-4</v>
      </c>
      <c r="E818" s="231">
        <v>3555559</v>
      </c>
      <c r="F818" s="231" t="s">
        <v>1924</v>
      </c>
      <c r="G818" s="392">
        <v>449005</v>
      </c>
      <c r="H818" s="392">
        <v>500350</v>
      </c>
      <c r="I818" s="392">
        <v>264603</v>
      </c>
      <c r="J818" s="231">
        <v>51449</v>
      </c>
      <c r="K818" s="231">
        <v>1265407</v>
      </c>
      <c r="L818" s="231"/>
      <c r="M818" s="225">
        <v>0</v>
      </c>
      <c r="N818" s="225">
        <v>0</v>
      </c>
      <c r="O818" s="231">
        <v>86872</v>
      </c>
      <c r="P818" s="231">
        <v>86872</v>
      </c>
      <c r="Q818" s="231"/>
      <c r="R818" s="392">
        <v>1222731</v>
      </c>
      <c r="S818" s="231">
        <v>-20033</v>
      </c>
      <c r="T818" s="396">
        <v>1202698</v>
      </c>
      <c r="U818" s="231"/>
      <c r="V818" s="396"/>
      <c r="W818" s="396"/>
      <c r="X818" s="396">
        <v>7213842</v>
      </c>
      <c r="Y818" s="396">
        <v>515269</v>
      </c>
    </row>
    <row r="819" spans="1:25">
      <c r="A819" s="390">
        <v>98711</v>
      </c>
      <c r="B819" s="391" t="s">
        <v>1510</v>
      </c>
      <c r="C819" s="234">
        <v>1.4550000000000001E-4</v>
      </c>
      <c r="D819" s="234">
        <v>1.671E-4</v>
      </c>
      <c r="E819" s="231">
        <v>519933</v>
      </c>
      <c r="F819" s="231" t="s">
        <v>1924</v>
      </c>
      <c r="G819" s="392">
        <v>65658</v>
      </c>
      <c r="H819" s="392">
        <v>73166</v>
      </c>
      <c r="I819" s="392">
        <v>38693</v>
      </c>
      <c r="J819" s="231">
        <v>0</v>
      </c>
      <c r="K819" s="231">
        <v>177517</v>
      </c>
      <c r="L819" s="231"/>
      <c r="M819" s="225">
        <v>0</v>
      </c>
      <c r="N819" s="225">
        <v>0</v>
      </c>
      <c r="O819" s="231">
        <v>47529</v>
      </c>
      <c r="P819" s="231">
        <v>47529</v>
      </c>
      <c r="Q819" s="231"/>
      <c r="R819" s="392">
        <v>178801</v>
      </c>
      <c r="S819" s="231">
        <v>-20527</v>
      </c>
      <c r="T819" s="396">
        <v>158274</v>
      </c>
      <c r="U819" s="231"/>
      <c r="V819" s="396"/>
      <c r="W819" s="396"/>
      <c r="X819" s="396">
        <v>1054888</v>
      </c>
      <c r="Y819" s="396">
        <v>75348</v>
      </c>
    </row>
    <row r="820" spans="1:25">
      <c r="A820" s="390">
        <v>98717</v>
      </c>
      <c r="B820" s="391" t="s">
        <v>1511</v>
      </c>
      <c r="C820" s="234">
        <v>1.6500000000000001E-5</v>
      </c>
      <c r="D820" s="234">
        <v>2.2399999999999999E-5</v>
      </c>
      <c r="E820" s="231">
        <v>58962</v>
      </c>
      <c r="F820" s="231" t="s">
        <v>1924</v>
      </c>
      <c r="G820" s="392">
        <v>7446</v>
      </c>
      <c r="H820" s="392">
        <v>8298</v>
      </c>
      <c r="I820" s="392">
        <v>4388</v>
      </c>
      <c r="J820" s="231">
        <v>1349</v>
      </c>
      <c r="K820" s="231">
        <v>21481</v>
      </c>
      <c r="L820" s="231"/>
      <c r="M820" s="225">
        <v>0</v>
      </c>
      <c r="N820" s="225">
        <v>0</v>
      </c>
      <c r="O820" s="231">
        <v>7244</v>
      </c>
      <c r="P820" s="231">
        <v>7244</v>
      </c>
      <c r="Q820" s="231"/>
      <c r="R820" s="392">
        <v>20276</v>
      </c>
      <c r="S820" s="231">
        <v>-2080</v>
      </c>
      <c r="T820" s="396">
        <v>18196</v>
      </c>
      <c r="U820" s="231"/>
      <c r="V820" s="396"/>
      <c r="W820" s="396"/>
      <c r="X820" s="396">
        <v>119627</v>
      </c>
      <c r="Y820" s="396">
        <v>8545</v>
      </c>
    </row>
    <row r="821" spans="1:25">
      <c r="A821" s="390">
        <v>98801</v>
      </c>
      <c r="B821" s="391" t="s">
        <v>1512</v>
      </c>
      <c r="C821" s="234">
        <v>2.3004000000000002E-3</v>
      </c>
      <c r="D821" s="234">
        <v>2.1632999999999999E-3</v>
      </c>
      <c r="E821" s="231">
        <v>8220309</v>
      </c>
      <c r="F821" s="231" t="s">
        <v>1924</v>
      </c>
      <c r="G821" s="392">
        <v>1038081</v>
      </c>
      <c r="H821" s="392">
        <v>1156788</v>
      </c>
      <c r="I821" s="392">
        <v>611752</v>
      </c>
      <c r="J821" s="231">
        <v>347472</v>
      </c>
      <c r="K821" s="231">
        <v>3154093</v>
      </c>
      <c r="L821" s="231"/>
      <c r="M821" s="225">
        <v>0</v>
      </c>
      <c r="N821" s="225">
        <v>0</v>
      </c>
      <c r="O821" s="231">
        <v>38042</v>
      </c>
      <c r="P821" s="231">
        <v>38042</v>
      </c>
      <c r="Q821" s="231"/>
      <c r="R821" s="392">
        <v>2826904</v>
      </c>
      <c r="S821" s="231">
        <v>116079</v>
      </c>
      <c r="T821" s="396">
        <v>2942983</v>
      </c>
      <c r="U821" s="231"/>
      <c r="V821" s="396"/>
      <c r="W821" s="396"/>
      <c r="X821" s="396">
        <v>16678112</v>
      </c>
      <c r="Y821" s="396">
        <v>1191281</v>
      </c>
    </row>
    <row r="822" spans="1:25">
      <c r="A822" s="390">
        <v>98811</v>
      </c>
      <c r="B822" s="391" t="s">
        <v>1513</v>
      </c>
      <c r="C822" s="234">
        <v>6.6279999999999996E-4</v>
      </c>
      <c r="D822" s="234">
        <v>6.8610000000000003E-4</v>
      </c>
      <c r="E822" s="231">
        <v>2368467</v>
      </c>
      <c r="F822" s="231" t="s">
        <v>1924</v>
      </c>
      <c r="G822" s="392">
        <v>299096</v>
      </c>
      <c r="H822" s="392">
        <v>333298</v>
      </c>
      <c r="I822" s="392">
        <v>176260</v>
      </c>
      <c r="J822" s="231">
        <v>46702</v>
      </c>
      <c r="K822" s="231">
        <v>855356</v>
      </c>
      <c r="L822" s="231"/>
      <c r="M822" s="225">
        <v>0</v>
      </c>
      <c r="N822" s="225">
        <v>0</v>
      </c>
      <c r="O822" s="231">
        <v>5167</v>
      </c>
      <c r="P822" s="231">
        <v>5167</v>
      </c>
      <c r="Q822" s="231"/>
      <c r="R822" s="392">
        <v>814498</v>
      </c>
      <c r="S822" s="231">
        <v>3125</v>
      </c>
      <c r="T822" s="396">
        <v>817623</v>
      </c>
      <c r="U822" s="231"/>
      <c r="V822" s="396"/>
      <c r="W822" s="396"/>
      <c r="X822" s="396">
        <v>4805361</v>
      </c>
      <c r="Y822" s="396">
        <v>343236</v>
      </c>
    </row>
    <row r="823" spans="1:25">
      <c r="A823" s="390">
        <v>98817</v>
      </c>
      <c r="B823" s="391" t="s">
        <v>1514</v>
      </c>
      <c r="C823" s="234">
        <v>1.3900000000000001E-5</v>
      </c>
      <c r="D823" s="234">
        <v>1.7E-5</v>
      </c>
      <c r="E823" s="231">
        <v>49671</v>
      </c>
      <c r="F823" s="231" t="s">
        <v>1924</v>
      </c>
      <c r="G823" s="392">
        <v>6273</v>
      </c>
      <c r="H823" s="392">
        <v>6990</v>
      </c>
      <c r="I823" s="392">
        <v>3696</v>
      </c>
      <c r="J823" s="231">
        <v>1397</v>
      </c>
      <c r="K823" s="231">
        <v>18356</v>
      </c>
      <c r="L823" s="231"/>
      <c r="M823" s="225">
        <v>0</v>
      </c>
      <c r="N823" s="225">
        <v>0</v>
      </c>
      <c r="O823" s="231">
        <v>3944</v>
      </c>
      <c r="P823" s="231">
        <v>3944</v>
      </c>
      <c r="Q823" s="231"/>
      <c r="R823" s="392">
        <v>17081</v>
      </c>
      <c r="S823" s="231">
        <v>-106</v>
      </c>
      <c r="T823" s="396">
        <v>16975</v>
      </c>
      <c r="U823" s="231"/>
      <c r="V823" s="396"/>
      <c r="W823" s="396"/>
      <c r="X823" s="396">
        <v>100776</v>
      </c>
      <c r="Y823" s="396">
        <v>7198</v>
      </c>
    </row>
    <row r="824" spans="1:25">
      <c r="A824" s="390">
        <v>98901</v>
      </c>
      <c r="B824" s="391" t="s">
        <v>1515</v>
      </c>
      <c r="C824" s="234">
        <v>2.8689999999999998E-4</v>
      </c>
      <c r="D824" s="234">
        <v>2.8390000000000002E-4</v>
      </c>
      <c r="E824" s="231">
        <v>1025216</v>
      </c>
      <c r="F824" s="231" t="s">
        <v>1924</v>
      </c>
      <c r="G824" s="392">
        <v>129467</v>
      </c>
      <c r="H824" s="392">
        <v>144271</v>
      </c>
      <c r="I824" s="392">
        <v>76296</v>
      </c>
      <c r="J824" s="231">
        <v>26969</v>
      </c>
      <c r="K824" s="231">
        <v>377003</v>
      </c>
      <c r="L824" s="231"/>
      <c r="M824" s="225">
        <v>0</v>
      </c>
      <c r="N824" s="225">
        <v>0</v>
      </c>
      <c r="O824" s="231">
        <v>11026</v>
      </c>
      <c r="P824" s="231">
        <v>11026</v>
      </c>
      <c r="Q824" s="231"/>
      <c r="R824" s="392">
        <v>352564</v>
      </c>
      <c r="S824" s="231">
        <v>3933</v>
      </c>
      <c r="T824" s="396">
        <v>356497</v>
      </c>
      <c r="U824" s="231"/>
      <c r="V824" s="396"/>
      <c r="W824" s="396"/>
      <c r="X824" s="396">
        <v>2080051</v>
      </c>
      <c r="Y824" s="396">
        <v>148573</v>
      </c>
    </row>
    <row r="825" spans="1:25">
      <c r="A825" s="390">
        <v>98904</v>
      </c>
      <c r="B825" s="391" t="s">
        <v>1516</v>
      </c>
      <c r="C825" s="234">
        <v>4.0999999999999997E-6</v>
      </c>
      <c r="D825" s="234">
        <v>3.9999999999999998E-6</v>
      </c>
      <c r="E825" s="231">
        <v>14651</v>
      </c>
      <c r="F825" s="231" t="s">
        <v>1924</v>
      </c>
      <c r="G825" s="392">
        <v>1850</v>
      </c>
      <c r="H825" s="392">
        <v>2061</v>
      </c>
      <c r="I825" s="392">
        <v>1090</v>
      </c>
      <c r="J825" s="231">
        <v>303</v>
      </c>
      <c r="K825" s="231">
        <v>5304</v>
      </c>
      <c r="L825" s="231"/>
      <c r="M825" s="225">
        <v>0</v>
      </c>
      <c r="N825" s="225">
        <v>0</v>
      </c>
      <c r="O825" s="231">
        <v>775</v>
      </c>
      <c r="P825" s="231">
        <v>775</v>
      </c>
      <c r="Q825" s="231"/>
      <c r="R825" s="392">
        <v>5038</v>
      </c>
      <c r="S825" s="231">
        <v>-495</v>
      </c>
      <c r="T825" s="396">
        <v>4543</v>
      </c>
      <c r="U825" s="231"/>
      <c r="V825" s="396"/>
      <c r="W825" s="396"/>
      <c r="X825" s="396">
        <v>29725</v>
      </c>
      <c r="Y825" s="396">
        <v>2123</v>
      </c>
    </row>
    <row r="826" spans="1:25">
      <c r="A826" s="390">
        <v>98911</v>
      </c>
      <c r="B826" s="391" t="s">
        <v>1517</v>
      </c>
      <c r="C826" s="234">
        <v>2.16E-5</v>
      </c>
      <c r="D826" s="234">
        <v>1.59E-5</v>
      </c>
      <c r="E826" s="231">
        <v>77186</v>
      </c>
      <c r="F826" s="231" t="s">
        <v>1924</v>
      </c>
      <c r="G826" s="392">
        <v>9747</v>
      </c>
      <c r="H826" s="392">
        <v>10862</v>
      </c>
      <c r="I826" s="392">
        <v>5744</v>
      </c>
      <c r="J826" s="231">
        <v>15983</v>
      </c>
      <c r="K826" s="231">
        <v>42336</v>
      </c>
      <c r="L826" s="231"/>
      <c r="M826" s="225">
        <v>0</v>
      </c>
      <c r="N826" s="225">
        <v>0</v>
      </c>
      <c r="O826" s="231">
        <v>869</v>
      </c>
      <c r="P826" s="231">
        <v>869</v>
      </c>
      <c r="Q826" s="231"/>
      <c r="R826" s="392">
        <v>26544</v>
      </c>
      <c r="S826" s="231">
        <v>7305</v>
      </c>
      <c r="T826" s="396">
        <v>33849</v>
      </c>
      <c r="U826" s="231"/>
      <c r="V826" s="396"/>
      <c r="W826" s="396"/>
      <c r="X826" s="396">
        <v>156602</v>
      </c>
      <c r="Y826" s="396">
        <v>11186</v>
      </c>
    </row>
    <row r="827" spans="1:25">
      <c r="A827" s="390">
        <v>99001</v>
      </c>
      <c r="B827" s="391" t="s">
        <v>1518</v>
      </c>
      <c r="C827" s="234">
        <v>9.2741000000000004E-3</v>
      </c>
      <c r="D827" s="234">
        <v>8.8266000000000004E-3</v>
      </c>
      <c r="E827" s="231">
        <v>33140310</v>
      </c>
      <c r="F827" s="231" t="s">
        <v>1924</v>
      </c>
      <c r="G827" s="392">
        <v>4185040</v>
      </c>
      <c r="H827" s="392">
        <v>4663611</v>
      </c>
      <c r="I827" s="392">
        <v>2466289</v>
      </c>
      <c r="J827" s="231">
        <v>958109</v>
      </c>
      <c r="K827" s="231">
        <v>12273049</v>
      </c>
      <c r="L827" s="231"/>
      <c r="M827" s="225">
        <v>0</v>
      </c>
      <c r="N827" s="225">
        <v>0</v>
      </c>
      <c r="O827" s="231">
        <v>0</v>
      </c>
      <c r="P827" s="231">
        <v>0</v>
      </c>
      <c r="Q827" s="231"/>
      <c r="R827" s="392">
        <v>11396710</v>
      </c>
      <c r="S827" s="231">
        <v>357531</v>
      </c>
      <c r="T827" s="396">
        <v>11754241</v>
      </c>
      <c r="U827" s="231"/>
      <c r="V827" s="396"/>
      <c r="W827" s="396"/>
      <c r="X827" s="396">
        <v>67238078</v>
      </c>
      <c r="Y827" s="396">
        <v>4802667</v>
      </c>
    </row>
    <row r="828" spans="1:25">
      <c r="A828" s="390">
        <v>99011</v>
      </c>
      <c r="B828" s="391" t="s">
        <v>1519</v>
      </c>
      <c r="C828" s="234">
        <v>3.8425E-3</v>
      </c>
      <c r="D828" s="234">
        <v>3.8520999999999998E-3</v>
      </c>
      <c r="E828" s="231">
        <v>13730889</v>
      </c>
      <c r="F828" s="231" t="s">
        <v>1924</v>
      </c>
      <c r="G828" s="392">
        <v>1733970</v>
      </c>
      <c r="H828" s="392">
        <v>1932255</v>
      </c>
      <c r="I828" s="392">
        <v>1021848</v>
      </c>
      <c r="J828" s="231">
        <v>69324</v>
      </c>
      <c r="K828" s="231">
        <v>4757397</v>
      </c>
      <c r="L828" s="231"/>
      <c r="M828" s="225">
        <v>0</v>
      </c>
      <c r="N828" s="225">
        <v>0</v>
      </c>
      <c r="O828" s="231">
        <v>7173</v>
      </c>
      <c r="P828" s="231">
        <v>7173</v>
      </c>
      <c r="Q828" s="231"/>
      <c r="R828" s="392">
        <v>4721952</v>
      </c>
      <c r="S828" s="231">
        <v>-40650</v>
      </c>
      <c r="T828" s="396">
        <v>4681302</v>
      </c>
      <c r="U828" s="231"/>
      <c r="V828" s="396"/>
      <c r="W828" s="396"/>
      <c r="X828" s="396">
        <v>27858479</v>
      </c>
      <c r="Y828" s="396">
        <v>1989869</v>
      </c>
    </row>
    <row r="829" spans="1:25">
      <c r="A829" s="390">
        <v>99013</v>
      </c>
      <c r="B829" s="391" t="s">
        <v>1520</v>
      </c>
      <c r="C829" s="234">
        <v>4.07E-5</v>
      </c>
      <c r="D829" s="234">
        <v>4.7599999999999998E-5</v>
      </c>
      <c r="E829" s="231">
        <v>145438</v>
      </c>
      <c r="F829" s="231" t="s">
        <v>1924</v>
      </c>
      <c r="G829" s="392">
        <v>18366</v>
      </c>
      <c r="H829" s="392">
        <v>20467</v>
      </c>
      <c r="I829" s="392">
        <v>10823</v>
      </c>
      <c r="J829" s="231">
        <v>5621</v>
      </c>
      <c r="K829" s="231">
        <v>55277</v>
      </c>
      <c r="L829" s="231"/>
      <c r="M829" s="225">
        <v>0</v>
      </c>
      <c r="N829" s="225">
        <v>0</v>
      </c>
      <c r="O829" s="231">
        <v>1139</v>
      </c>
      <c r="P829" s="231">
        <v>1139</v>
      </c>
      <c r="Q829" s="231"/>
      <c r="R829" s="392">
        <v>50015</v>
      </c>
      <c r="S829" s="231">
        <v>-588</v>
      </c>
      <c r="T829" s="396">
        <v>49427</v>
      </c>
      <c r="U829" s="231"/>
      <c r="V829" s="396"/>
      <c r="W829" s="396"/>
      <c r="X829" s="396">
        <v>295079</v>
      </c>
      <c r="Y829" s="396">
        <v>21077</v>
      </c>
    </row>
    <row r="830" spans="1:25">
      <c r="A830" s="390">
        <v>99014</v>
      </c>
      <c r="B830" s="391" t="s">
        <v>1521</v>
      </c>
      <c r="C830" s="234">
        <v>2.0400000000000001E-5</v>
      </c>
      <c r="D830" s="234">
        <v>2.1299999999999999E-5</v>
      </c>
      <c r="E830" s="231">
        <v>72898</v>
      </c>
      <c r="F830" s="231" t="s">
        <v>1924</v>
      </c>
      <c r="G830" s="392">
        <v>9206</v>
      </c>
      <c r="H830" s="392">
        <v>10259</v>
      </c>
      <c r="I830" s="392">
        <v>5425</v>
      </c>
      <c r="J830" s="231">
        <v>8294</v>
      </c>
      <c r="K830" s="231">
        <v>33184</v>
      </c>
      <c r="L830" s="231"/>
      <c r="M830" s="225">
        <v>0</v>
      </c>
      <c r="N830" s="225">
        <v>0</v>
      </c>
      <c r="O830" s="231">
        <v>983</v>
      </c>
      <c r="P830" s="231">
        <v>983</v>
      </c>
      <c r="Q830" s="231"/>
      <c r="R830" s="392">
        <v>25069</v>
      </c>
      <c r="S830" s="231">
        <v>6096</v>
      </c>
      <c r="T830" s="396">
        <v>31165</v>
      </c>
      <c r="U830" s="231"/>
      <c r="V830" s="396"/>
      <c r="W830" s="396"/>
      <c r="X830" s="396">
        <v>147902</v>
      </c>
      <c r="Y830" s="396">
        <v>10564</v>
      </c>
    </row>
    <row r="831" spans="1:25">
      <c r="A831" s="390">
        <v>99017</v>
      </c>
      <c r="B831" s="391" t="s">
        <v>1522</v>
      </c>
      <c r="C831" s="234">
        <v>3.6199999999999999E-5</v>
      </c>
      <c r="D831" s="234">
        <v>4.8600000000000002E-5</v>
      </c>
      <c r="E831" s="231">
        <v>129358</v>
      </c>
      <c r="F831" s="231" t="s">
        <v>1924</v>
      </c>
      <c r="G831" s="392">
        <v>16336</v>
      </c>
      <c r="H831" s="392">
        <v>18204</v>
      </c>
      <c r="I831" s="392">
        <v>9627</v>
      </c>
      <c r="J831" s="231">
        <v>2120</v>
      </c>
      <c r="K831" s="231">
        <v>46287</v>
      </c>
      <c r="L831" s="231"/>
      <c r="M831" s="225">
        <v>0</v>
      </c>
      <c r="N831" s="225">
        <v>0</v>
      </c>
      <c r="O831" s="231">
        <v>15065</v>
      </c>
      <c r="P831" s="231">
        <v>15065</v>
      </c>
      <c r="Q831" s="231"/>
      <c r="R831" s="392">
        <v>44485</v>
      </c>
      <c r="S831" s="231">
        <v>-3151</v>
      </c>
      <c r="T831" s="396">
        <v>41334</v>
      </c>
      <c r="U831" s="231"/>
      <c r="V831" s="396"/>
      <c r="W831" s="396"/>
      <c r="X831" s="396">
        <v>262453</v>
      </c>
      <c r="Y831" s="396">
        <v>18746</v>
      </c>
    </row>
    <row r="832" spans="1:25">
      <c r="A832" s="390">
        <v>99021</v>
      </c>
      <c r="B832" s="391" t="s">
        <v>1523</v>
      </c>
      <c r="C832" s="234">
        <v>1.3100000000000001E-4</v>
      </c>
      <c r="D832" s="234">
        <v>1.405E-4</v>
      </c>
      <c r="E832" s="231">
        <v>468119</v>
      </c>
      <c r="F832" s="231" t="s">
        <v>1924</v>
      </c>
      <c r="G832" s="392">
        <v>59115</v>
      </c>
      <c r="H832" s="392">
        <v>65875</v>
      </c>
      <c r="I832" s="392">
        <v>34837</v>
      </c>
      <c r="J832" s="231">
        <v>4753</v>
      </c>
      <c r="K832" s="231">
        <v>164580</v>
      </c>
      <c r="L832" s="231"/>
      <c r="M832" s="225">
        <v>0</v>
      </c>
      <c r="N832" s="225">
        <v>0</v>
      </c>
      <c r="O832" s="231">
        <v>17294</v>
      </c>
      <c r="P832" s="231">
        <v>17294</v>
      </c>
      <c r="Q832" s="231"/>
      <c r="R832" s="392">
        <v>160983</v>
      </c>
      <c r="S832" s="231">
        <v>-4177</v>
      </c>
      <c r="T832" s="396">
        <v>156806</v>
      </c>
      <c r="U832" s="231"/>
      <c r="V832" s="396"/>
      <c r="W832" s="396"/>
      <c r="X832" s="396">
        <v>949762</v>
      </c>
      <c r="Y832" s="396">
        <v>67839</v>
      </c>
    </row>
    <row r="833" spans="1:25">
      <c r="A833" s="390">
        <v>99022</v>
      </c>
      <c r="B833" s="391" t="s">
        <v>211</v>
      </c>
      <c r="C833" s="234">
        <v>7.7000000000000008E-6</v>
      </c>
      <c r="D833" s="234">
        <v>8.8000000000000004E-6</v>
      </c>
      <c r="E833" s="231">
        <v>27515</v>
      </c>
      <c r="F833" s="231" t="s">
        <v>1924</v>
      </c>
      <c r="G833" s="392">
        <v>3475</v>
      </c>
      <c r="H833" s="392">
        <v>3872</v>
      </c>
      <c r="I833" s="392">
        <v>2048</v>
      </c>
      <c r="J833" s="231">
        <v>9629</v>
      </c>
      <c r="K833" s="231">
        <v>19024</v>
      </c>
      <c r="L833" s="231"/>
      <c r="M833" s="225">
        <v>0</v>
      </c>
      <c r="N833" s="225">
        <v>0</v>
      </c>
      <c r="O833" s="231">
        <v>0</v>
      </c>
      <c r="P833" s="231">
        <v>0</v>
      </c>
      <c r="Q833" s="231"/>
      <c r="R833" s="392">
        <v>9462</v>
      </c>
      <c r="S833" s="231">
        <v>5197</v>
      </c>
      <c r="T833" s="396">
        <v>14659</v>
      </c>
      <c r="U833" s="231"/>
      <c r="V833" s="396"/>
      <c r="W833" s="396"/>
      <c r="X833" s="396">
        <v>55826</v>
      </c>
      <c r="Y833" s="396">
        <v>3988</v>
      </c>
    </row>
    <row r="834" spans="1:25">
      <c r="A834" s="390">
        <v>99031</v>
      </c>
      <c r="B834" s="391" t="s">
        <v>1524</v>
      </c>
      <c r="C834" s="234">
        <v>9.7499999999999998E-5</v>
      </c>
      <c r="D834" s="234">
        <v>1.208E-4</v>
      </c>
      <c r="E834" s="231">
        <v>348409</v>
      </c>
      <c r="F834" s="231" t="s">
        <v>1924</v>
      </c>
      <c r="G834" s="392">
        <v>43998</v>
      </c>
      <c r="H834" s="392">
        <v>49030</v>
      </c>
      <c r="I834" s="392">
        <v>25928</v>
      </c>
      <c r="J834" s="231">
        <v>0</v>
      </c>
      <c r="K834" s="231">
        <v>118956</v>
      </c>
      <c r="L834" s="231"/>
      <c r="M834" s="225">
        <v>0</v>
      </c>
      <c r="N834" s="225">
        <v>0</v>
      </c>
      <c r="O834" s="231">
        <v>47140</v>
      </c>
      <c r="P834" s="231">
        <v>47140</v>
      </c>
      <c r="Q834" s="231"/>
      <c r="R834" s="392">
        <v>119815</v>
      </c>
      <c r="S834" s="231">
        <v>-18443</v>
      </c>
      <c r="T834" s="396">
        <v>101372</v>
      </c>
      <c r="U834" s="231"/>
      <c r="V834" s="396"/>
      <c r="W834" s="396"/>
      <c r="X834" s="396">
        <v>706884</v>
      </c>
      <c r="Y834" s="396">
        <v>50491</v>
      </c>
    </row>
    <row r="835" spans="1:25">
      <c r="A835" s="390">
        <v>99041</v>
      </c>
      <c r="B835" s="391" t="s">
        <v>1525</v>
      </c>
      <c r="C835" s="234">
        <v>6.4840000000000004E-4</v>
      </c>
      <c r="D835" s="234">
        <v>6.3840000000000001E-4</v>
      </c>
      <c r="E835" s="231">
        <v>2317009</v>
      </c>
      <c r="F835" s="231" t="s">
        <v>1924</v>
      </c>
      <c r="G835" s="392">
        <v>292598</v>
      </c>
      <c r="H835" s="392">
        <v>326057</v>
      </c>
      <c r="I835" s="392">
        <v>172431</v>
      </c>
      <c r="J835" s="231">
        <v>15213</v>
      </c>
      <c r="K835" s="231">
        <v>806299</v>
      </c>
      <c r="L835" s="231"/>
      <c r="M835" s="225">
        <v>0</v>
      </c>
      <c r="N835" s="225">
        <v>0</v>
      </c>
      <c r="O835" s="231">
        <v>34317</v>
      </c>
      <c r="P835" s="231">
        <v>34317</v>
      </c>
      <c r="Q835" s="231"/>
      <c r="R835" s="392">
        <v>796803</v>
      </c>
      <c r="S835" s="231">
        <v>-2733</v>
      </c>
      <c r="T835" s="396">
        <v>794070</v>
      </c>
      <c r="U835" s="231"/>
      <c r="V835" s="396"/>
      <c r="W835" s="396"/>
      <c r="X835" s="396">
        <v>4700960</v>
      </c>
      <c r="Y835" s="396">
        <v>335779</v>
      </c>
    </row>
    <row r="836" spans="1:25">
      <c r="A836" s="390">
        <v>99047</v>
      </c>
      <c r="B836" s="391" t="s">
        <v>1526</v>
      </c>
      <c r="C836" s="234">
        <v>1.38E-5</v>
      </c>
      <c r="D836" s="234">
        <v>1.33E-5</v>
      </c>
      <c r="E836" s="231">
        <v>49313</v>
      </c>
      <c r="F836" s="231" t="s">
        <v>1924</v>
      </c>
      <c r="G836" s="392">
        <v>6227</v>
      </c>
      <c r="H836" s="392">
        <v>6940</v>
      </c>
      <c r="I836" s="392">
        <v>3670</v>
      </c>
      <c r="J836" s="231">
        <v>9303</v>
      </c>
      <c r="K836" s="231">
        <v>26140</v>
      </c>
      <c r="L836" s="231"/>
      <c r="M836" s="225">
        <v>0</v>
      </c>
      <c r="N836" s="225">
        <v>0</v>
      </c>
      <c r="O836" s="231">
        <v>0</v>
      </c>
      <c r="P836" s="231">
        <v>0</v>
      </c>
      <c r="Q836" s="231"/>
      <c r="R836" s="392">
        <v>16958</v>
      </c>
      <c r="S836" s="231">
        <v>4203</v>
      </c>
      <c r="T836" s="396">
        <v>21161</v>
      </c>
      <c r="U836" s="231"/>
      <c r="V836" s="396"/>
      <c r="W836" s="396"/>
      <c r="X836" s="396">
        <v>100051</v>
      </c>
      <c r="Y836" s="396">
        <v>7146</v>
      </c>
    </row>
    <row r="837" spans="1:25">
      <c r="A837" s="390">
        <v>99051</v>
      </c>
      <c r="B837" s="391" t="s">
        <v>1527</v>
      </c>
      <c r="C837" s="234">
        <v>3.592E-4</v>
      </c>
      <c r="D837" s="234">
        <v>3.4049999999999998E-4</v>
      </c>
      <c r="E837" s="231">
        <v>1283575</v>
      </c>
      <c r="F837" s="231" t="s">
        <v>1924</v>
      </c>
      <c r="G837" s="392">
        <v>162093</v>
      </c>
      <c r="H837" s="392">
        <v>180628</v>
      </c>
      <c r="I837" s="392">
        <v>95523</v>
      </c>
      <c r="J837" s="231">
        <v>8852</v>
      </c>
      <c r="K837" s="231">
        <v>447096</v>
      </c>
      <c r="L837" s="231"/>
      <c r="M837" s="225">
        <v>0</v>
      </c>
      <c r="N837" s="225">
        <v>0</v>
      </c>
      <c r="O837" s="231">
        <v>18931</v>
      </c>
      <c r="P837" s="231">
        <v>18931</v>
      </c>
      <c r="Q837" s="231"/>
      <c r="R837" s="392">
        <v>441412</v>
      </c>
      <c r="S837" s="231">
        <v>-2530</v>
      </c>
      <c r="T837" s="396">
        <v>438882</v>
      </c>
      <c r="U837" s="231"/>
      <c r="V837" s="396"/>
      <c r="W837" s="396"/>
      <c r="X837" s="396">
        <v>2604233</v>
      </c>
      <c r="Y837" s="396">
        <v>186015</v>
      </c>
    </row>
    <row r="838" spans="1:25">
      <c r="A838" s="390">
        <v>99061</v>
      </c>
      <c r="B838" s="391" t="s">
        <v>1528</v>
      </c>
      <c r="C838" s="234">
        <v>5.4999999999999999E-6</v>
      </c>
      <c r="D838" s="234">
        <v>6.1E-6</v>
      </c>
      <c r="E838" s="231">
        <v>19654</v>
      </c>
      <c r="F838" s="231" t="s">
        <v>1924</v>
      </c>
      <c r="G838" s="392">
        <v>2482</v>
      </c>
      <c r="H838" s="392">
        <v>2766</v>
      </c>
      <c r="I838" s="392">
        <v>1463</v>
      </c>
      <c r="J838" s="231">
        <v>3443</v>
      </c>
      <c r="K838" s="231">
        <v>10154</v>
      </c>
      <c r="L838" s="231"/>
      <c r="M838" s="225">
        <v>0</v>
      </c>
      <c r="N838" s="225">
        <v>0</v>
      </c>
      <c r="O838" s="231">
        <v>0</v>
      </c>
      <c r="P838" s="231">
        <v>0</v>
      </c>
      <c r="Q838" s="231"/>
      <c r="R838" s="392">
        <v>6759</v>
      </c>
      <c r="S838" s="231">
        <v>2601</v>
      </c>
      <c r="T838" s="396">
        <v>9360</v>
      </c>
      <c r="U838" s="231"/>
      <c r="V838" s="396"/>
      <c r="W838" s="396"/>
      <c r="X838" s="396">
        <v>39876</v>
      </c>
      <c r="Y838" s="396">
        <v>2848</v>
      </c>
    </row>
    <row r="839" spans="1:25">
      <c r="A839" s="390">
        <v>99071</v>
      </c>
      <c r="B839" s="391" t="s">
        <v>1529</v>
      </c>
      <c r="C839" s="234">
        <v>2.3799999999999999E-5</v>
      </c>
      <c r="D839" s="234">
        <v>2.4499999999999999E-5</v>
      </c>
      <c r="E839" s="231">
        <v>85048</v>
      </c>
      <c r="F839" s="231" t="s">
        <v>1924</v>
      </c>
      <c r="G839" s="392">
        <v>10740</v>
      </c>
      <c r="H839" s="392">
        <v>11968</v>
      </c>
      <c r="I839" s="392">
        <v>6329</v>
      </c>
      <c r="J839" s="231">
        <v>3611</v>
      </c>
      <c r="K839" s="231">
        <v>32648</v>
      </c>
      <c r="L839" s="231"/>
      <c r="M839" s="225">
        <v>0</v>
      </c>
      <c r="N839" s="225">
        <v>0</v>
      </c>
      <c r="O839" s="231">
        <v>2854</v>
      </c>
      <c r="P839" s="231">
        <v>2854</v>
      </c>
      <c r="Q839" s="231"/>
      <c r="R839" s="392">
        <v>29247</v>
      </c>
      <c r="S839" s="231">
        <v>-50</v>
      </c>
      <c r="T839" s="396">
        <v>29197</v>
      </c>
      <c r="U839" s="231"/>
      <c r="V839" s="396"/>
      <c r="W839" s="396"/>
      <c r="X839" s="396">
        <v>172552</v>
      </c>
      <c r="Y839" s="396">
        <v>12325</v>
      </c>
    </row>
    <row r="840" spans="1:25">
      <c r="A840" s="390">
        <v>99081</v>
      </c>
      <c r="B840" s="391" t="s">
        <v>1530</v>
      </c>
      <c r="C840" s="234">
        <v>3.8800000000000001E-5</v>
      </c>
      <c r="D840" s="234">
        <v>3.65E-5</v>
      </c>
      <c r="E840" s="231">
        <v>138649</v>
      </c>
      <c r="F840" s="231" t="s">
        <v>1924</v>
      </c>
      <c r="G840" s="392">
        <v>17509</v>
      </c>
      <c r="H840" s="392">
        <v>19512</v>
      </c>
      <c r="I840" s="392">
        <v>10318</v>
      </c>
      <c r="J840" s="231">
        <v>14004</v>
      </c>
      <c r="K840" s="231">
        <v>61343</v>
      </c>
      <c r="L840" s="231"/>
      <c r="M840" s="225">
        <v>0</v>
      </c>
      <c r="N840" s="225">
        <v>0</v>
      </c>
      <c r="O840" s="231">
        <v>2087</v>
      </c>
      <c r="P840" s="231">
        <v>2087</v>
      </c>
      <c r="Q840" s="231"/>
      <c r="R840" s="392">
        <v>47680</v>
      </c>
      <c r="S840" s="231">
        <v>1965</v>
      </c>
      <c r="T840" s="396">
        <v>49645</v>
      </c>
      <c r="U840" s="231"/>
      <c r="V840" s="396"/>
      <c r="W840" s="396"/>
      <c r="X840" s="396">
        <v>281304</v>
      </c>
      <c r="Y840" s="396">
        <v>20093</v>
      </c>
    </row>
    <row r="841" spans="1:25">
      <c r="A841" s="390">
        <v>99091</v>
      </c>
      <c r="B841" s="391" t="s">
        <v>1531</v>
      </c>
      <c r="C841" s="234">
        <v>1.5800000000000001E-5</v>
      </c>
      <c r="D841" s="234">
        <v>5.4E-6</v>
      </c>
      <c r="E841" s="231">
        <v>56460</v>
      </c>
      <c r="F841" s="231" t="s">
        <v>1924</v>
      </c>
      <c r="G841" s="392">
        <v>7130</v>
      </c>
      <c r="H841" s="392">
        <v>7945</v>
      </c>
      <c r="I841" s="392">
        <v>4202</v>
      </c>
      <c r="J841" s="231">
        <v>22260</v>
      </c>
      <c r="K841" s="231">
        <v>41537</v>
      </c>
      <c r="L841" s="231"/>
      <c r="M841" s="225">
        <v>0</v>
      </c>
      <c r="N841" s="225">
        <v>0</v>
      </c>
      <c r="O841" s="231">
        <v>0</v>
      </c>
      <c r="P841" s="231">
        <v>0</v>
      </c>
      <c r="Q841" s="231"/>
      <c r="R841" s="392">
        <v>19416</v>
      </c>
      <c r="S841" s="231">
        <v>8346</v>
      </c>
      <c r="T841" s="396">
        <v>27762</v>
      </c>
      <c r="U841" s="231"/>
      <c r="V841" s="396"/>
      <c r="W841" s="396"/>
      <c r="X841" s="396">
        <v>114551</v>
      </c>
      <c r="Y841" s="396">
        <v>8182</v>
      </c>
    </row>
    <row r="842" spans="1:25">
      <c r="A842" s="390">
        <v>99101</v>
      </c>
      <c r="B842" s="391" t="s">
        <v>1532</v>
      </c>
      <c r="C842" s="234">
        <v>1.9082999999999999E-3</v>
      </c>
      <c r="D842" s="234">
        <v>2.1218000000000001E-3</v>
      </c>
      <c r="E842" s="231">
        <v>6819169</v>
      </c>
      <c r="F842" s="231" t="s">
        <v>1924</v>
      </c>
      <c r="G842" s="392">
        <v>861141</v>
      </c>
      <c r="H842" s="392">
        <v>959616</v>
      </c>
      <c r="I842" s="392">
        <v>507480</v>
      </c>
      <c r="J842" s="231">
        <v>10815</v>
      </c>
      <c r="K842" s="231">
        <v>2339052</v>
      </c>
      <c r="L842" s="231"/>
      <c r="M842" s="225">
        <v>0</v>
      </c>
      <c r="N842" s="225">
        <v>0</v>
      </c>
      <c r="O842" s="231">
        <v>367179</v>
      </c>
      <c r="P842" s="231">
        <v>367179</v>
      </c>
      <c r="Q842" s="231"/>
      <c r="R842" s="392">
        <v>2345062</v>
      </c>
      <c r="S842" s="231">
        <v>-122654</v>
      </c>
      <c r="T842" s="396">
        <v>2222408</v>
      </c>
      <c r="U842" s="231"/>
      <c r="V842" s="396"/>
      <c r="W842" s="396"/>
      <c r="X842" s="396">
        <v>13835351</v>
      </c>
      <c r="Y842" s="396">
        <v>988228</v>
      </c>
    </row>
    <row r="843" spans="1:25">
      <c r="A843" s="390">
        <v>99104</v>
      </c>
      <c r="B843" s="391" t="s">
        <v>1533</v>
      </c>
      <c r="C843" s="234">
        <v>3.1999999999999999E-5</v>
      </c>
      <c r="D843" s="234">
        <v>3.2700000000000002E-5</v>
      </c>
      <c r="E843" s="231">
        <v>114350</v>
      </c>
      <c r="F843" s="231" t="s">
        <v>1924</v>
      </c>
      <c r="G843" s="392">
        <v>14440</v>
      </c>
      <c r="H843" s="392">
        <v>16092</v>
      </c>
      <c r="I843" s="392">
        <v>8510</v>
      </c>
      <c r="J843" s="231">
        <v>21325</v>
      </c>
      <c r="K843" s="231">
        <v>60367</v>
      </c>
      <c r="L843" s="231"/>
      <c r="M843" s="225">
        <v>0</v>
      </c>
      <c r="N843" s="225">
        <v>0</v>
      </c>
      <c r="O843" s="231">
        <v>0</v>
      </c>
      <c r="P843" s="231">
        <v>0</v>
      </c>
      <c r="Q843" s="231"/>
      <c r="R843" s="392">
        <v>39324</v>
      </c>
      <c r="S843" s="231">
        <v>10435</v>
      </c>
      <c r="T843" s="396">
        <v>49759</v>
      </c>
      <c r="U843" s="231"/>
      <c r="V843" s="396"/>
      <c r="W843" s="396"/>
      <c r="X843" s="396">
        <v>232003</v>
      </c>
      <c r="Y843" s="396">
        <v>16571</v>
      </c>
    </row>
    <row r="844" spans="1:25">
      <c r="A844" s="390">
        <v>99109</v>
      </c>
      <c r="B844" s="391" t="s">
        <v>1534</v>
      </c>
      <c r="C844" s="234">
        <v>1.139E-4</v>
      </c>
      <c r="D844" s="234">
        <v>1.169E-4</v>
      </c>
      <c r="E844" s="231">
        <v>407013</v>
      </c>
      <c r="F844" s="231" t="s">
        <v>1924</v>
      </c>
      <c r="G844" s="392">
        <v>51399</v>
      </c>
      <c r="H844" s="392">
        <v>57276</v>
      </c>
      <c r="I844" s="392">
        <v>30290</v>
      </c>
      <c r="J844" s="231">
        <v>758</v>
      </c>
      <c r="K844" s="231">
        <v>139723</v>
      </c>
      <c r="L844" s="231"/>
      <c r="M844" s="225">
        <v>0</v>
      </c>
      <c r="N844" s="225">
        <v>0</v>
      </c>
      <c r="O844" s="231">
        <v>10415</v>
      </c>
      <c r="P844" s="231">
        <v>10415</v>
      </c>
      <c r="Q844" s="231"/>
      <c r="R844" s="392">
        <v>139969</v>
      </c>
      <c r="S844" s="231">
        <v>-5820</v>
      </c>
      <c r="T844" s="396">
        <v>134149</v>
      </c>
      <c r="U844" s="231"/>
      <c r="V844" s="396"/>
      <c r="W844" s="396"/>
      <c r="X844" s="396">
        <v>825785</v>
      </c>
      <c r="Y844" s="396">
        <v>58984</v>
      </c>
    </row>
    <row r="845" spans="1:25">
      <c r="A845" s="390">
        <v>99110</v>
      </c>
      <c r="B845" s="391" t="s">
        <v>1535</v>
      </c>
      <c r="C845" s="234">
        <v>1.9249999999999999E-4</v>
      </c>
      <c r="D845" s="234">
        <v>1.437E-4</v>
      </c>
      <c r="E845" s="231">
        <v>687885</v>
      </c>
      <c r="F845" s="231" t="s">
        <v>1924</v>
      </c>
      <c r="G845" s="392">
        <v>86868</v>
      </c>
      <c r="H845" s="392">
        <v>96802</v>
      </c>
      <c r="I845" s="392">
        <v>51192</v>
      </c>
      <c r="J845" s="231">
        <v>136815</v>
      </c>
      <c r="K845" s="231">
        <v>371677</v>
      </c>
      <c r="L845" s="231"/>
      <c r="M845" s="225">
        <v>0</v>
      </c>
      <c r="N845" s="225">
        <v>0</v>
      </c>
      <c r="O845" s="231">
        <v>0</v>
      </c>
      <c r="P845" s="231">
        <v>0</v>
      </c>
      <c r="Q845" s="231"/>
      <c r="R845" s="392">
        <v>236558</v>
      </c>
      <c r="S845" s="231">
        <v>58439</v>
      </c>
      <c r="T845" s="396">
        <v>294997</v>
      </c>
      <c r="U845" s="231"/>
      <c r="V845" s="396"/>
      <c r="W845" s="396"/>
      <c r="X845" s="396">
        <v>1395643</v>
      </c>
      <c r="Y845" s="396">
        <v>99688</v>
      </c>
    </row>
    <row r="846" spans="1:25">
      <c r="A846" s="390">
        <v>99111</v>
      </c>
      <c r="B846" s="391" t="s">
        <v>1536</v>
      </c>
      <c r="C846" s="234">
        <v>1.3797E-3</v>
      </c>
      <c r="D846" s="234">
        <v>1.3064999999999999E-3</v>
      </c>
      <c r="E846" s="231">
        <v>4930256</v>
      </c>
      <c r="F846" s="231" t="s">
        <v>1924</v>
      </c>
      <c r="G846" s="392">
        <v>622605</v>
      </c>
      <c r="H846" s="392">
        <v>693801</v>
      </c>
      <c r="I846" s="392">
        <v>366908</v>
      </c>
      <c r="J846" s="231">
        <v>64043</v>
      </c>
      <c r="K846" s="231">
        <v>1747357</v>
      </c>
      <c r="L846" s="231"/>
      <c r="M846" s="225">
        <v>0</v>
      </c>
      <c r="N846" s="225">
        <v>0</v>
      </c>
      <c r="O846" s="231">
        <v>33822</v>
      </c>
      <c r="P846" s="231">
        <v>33822</v>
      </c>
      <c r="Q846" s="231"/>
      <c r="R846" s="392">
        <v>1695479</v>
      </c>
      <c r="S846" s="231">
        <v>-10100</v>
      </c>
      <c r="T846" s="396">
        <v>1685379</v>
      </c>
      <c r="U846" s="231"/>
      <c r="V846" s="396"/>
      <c r="W846" s="396"/>
      <c r="X846" s="396">
        <v>10002952</v>
      </c>
      <c r="Y846" s="396">
        <v>714489</v>
      </c>
    </row>
    <row r="847" spans="1:25">
      <c r="A847" s="390">
        <v>99201</v>
      </c>
      <c r="B847" s="391" t="s">
        <v>1537</v>
      </c>
      <c r="C847" s="234">
        <v>3.5152000000000003E-2</v>
      </c>
      <c r="D847" s="234">
        <v>3.5284299999999998E-2</v>
      </c>
      <c r="E847" s="231">
        <v>125613071</v>
      </c>
      <c r="F847" s="231" t="s">
        <v>1924</v>
      </c>
      <c r="G847" s="392">
        <v>15862727</v>
      </c>
      <c r="H847" s="392">
        <v>17676675</v>
      </c>
      <c r="I847" s="392">
        <v>9348077</v>
      </c>
      <c r="J847" s="231">
        <v>1249958</v>
      </c>
      <c r="K847" s="231">
        <v>44137437</v>
      </c>
      <c r="L847" s="231"/>
      <c r="M847" s="225">
        <v>0</v>
      </c>
      <c r="N847" s="225">
        <v>0</v>
      </c>
      <c r="O847" s="231">
        <v>0</v>
      </c>
      <c r="P847" s="231">
        <v>0</v>
      </c>
      <c r="Q847" s="231"/>
      <c r="R847" s="392">
        <v>43197414</v>
      </c>
      <c r="S847" s="231">
        <v>663106</v>
      </c>
      <c r="T847" s="396">
        <v>43860520</v>
      </c>
      <c r="U847" s="231"/>
      <c r="V847" s="396"/>
      <c r="W847" s="396"/>
      <c r="X847" s="396">
        <v>254855234</v>
      </c>
      <c r="Y847" s="396">
        <v>18203744</v>
      </c>
    </row>
    <row r="848" spans="1:25">
      <c r="A848" s="390">
        <v>99202</v>
      </c>
      <c r="B848" s="391" t="s">
        <v>1538</v>
      </c>
      <c r="C848" s="234">
        <v>2.8838000000000002E-3</v>
      </c>
      <c r="D848" s="234">
        <v>2.8322E-3</v>
      </c>
      <c r="E848" s="231">
        <v>10305046</v>
      </c>
      <c r="F848" s="231" t="s">
        <v>1924</v>
      </c>
      <c r="G848" s="392">
        <v>1301346</v>
      </c>
      <c r="H848" s="392">
        <v>1450160</v>
      </c>
      <c r="I848" s="392">
        <v>766898</v>
      </c>
      <c r="J848" s="231">
        <v>0</v>
      </c>
      <c r="K848" s="231">
        <v>3518404</v>
      </c>
      <c r="L848" s="231"/>
      <c r="M848" s="225">
        <v>0</v>
      </c>
      <c r="N848" s="225">
        <v>0</v>
      </c>
      <c r="O848" s="231">
        <v>51544</v>
      </c>
      <c r="P848" s="231">
        <v>51544</v>
      </c>
      <c r="Q848" s="231"/>
      <c r="R848" s="392">
        <v>3543830</v>
      </c>
      <c r="S848" s="231">
        <v>-56639</v>
      </c>
      <c r="T848" s="396">
        <v>3487191</v>
      </c>
      <c r="U848" s="231"/>
      <c r="V848" s="396"/>
      <c r="W848" s="396"/>
      <c r="X848" s="396">
        <v>20907815</v>
      </c>
      <c r="Y848" s="396">
        <v>1493399</v>
      </c>
    </row>
    <row r="849" spans="1:25">
      <c r="A849" s="390">
        <v>99203</v>
      </c>
      <c r="B849" s="391" t="s">
        <v>1539</v>
      </c>
      <c r="C849" s="234">
        <v>3.8450000000000002E-4</v>
      </c>
      <c r="D849" s="234">
        <v>3.5179999999999999E-4</v>
      </c>
      <c r="E849" s="231">
        <v>1373982</v>
      </c>
      <c r="F849" s="231" t="s">
        <v>1924</v>
      </c>
      <c r="G849" s="392">
        <v>173510</v>
      </c>
      <c r="H849" s="392">
        <v>193351</v>
      </c>
      <c r="I849" s="392">
        <v>102251</v>
      </c>
      <c r="J849" s="231">
        <v>59190</v>
      </c>
      <c r="K849" s="231">
        <v>528302</v>
      </c>
      <c r="L849" s="231"/>
      <c r="M849" s="225">
        <v>0</v>
      </c>
      <c r="N849" s="225">
        <v>0</v>
      </c>
      <c r="O849" s="231">
        <v>10509</v>
      </c>
      <c r="P849" s="231">
        <v>10509</v>
      </c>
      <c r="Q849" s="231"/>
      <c r="R849" s="392">
        <v>472502</v>
      </c>
      <c r="S849" s="231">
        <v>15582</v>
      </c>
      <c r="T849" s="396">
        <v>488084</v>
      </c>
      <c r="U849" s="231"/>
      <c r="V849" s="396"/>
      <c r="W849" s="396"/>
      <c r="X849" s="396">
        <v>2787660</v>
      </c>
      <c r="Y849" s="396">
        <v>199116</v>
      </c>
    </row>
    <row r="850" spans="1:25">
      <c r="A850" s="390">
        <v>99204</v>
      </c>
      <c r="B850" s="391" t="s">
        <v>1540</v>
      </c>
      <c r="C850" s="234">
        <v>1.0219999999999999E-3</v>
      </c>
      <c r="D850" s="234">
        <v>9.4149999999999995E-4</v>
      </c>
      <c r="E850" s="231">
        <v>3652041</v>
      </c>
      <c r="F850" s="231" t="s">
        <v>1924</v>
      </c>
      <c r="G850" s="392">
        <v>461189</v>
      </c>
      <c r="H850" s="392">
        <v>513927</v>
      </c>
      <c r="I850" s="392">
        <v>271784</v>
      </c>
      <c r="J850" s="231">
        <v>137503</v>
      </c>
      <c r="K850" s="231">
        <v>1384403</v>
      </c>
      <c r="L850" s="231"/>
      <c r="M850" s="225">
        <v>0</v>
      </c>
      <c r="N850" s="225">
        <v>0</v>
      </c>
      <c r="O850" s="231">
        <v>0</v>
      </c>
      <c r="P850" s="231">
        <v>0</v>
      </c>
      <c r="Q850" s="231"/>
      <c r="R850" s="392">
        <v>1255910</v>
      </c>
      <c r="S850" s="231">
        <v>71658</v>
      </c>
      <c r="T850" s="396">
        <v>1327568</v>
      </c>
      <c r="U850" s="231"/>
      <c r="V850" s="396"/>
      <c r="W850" s="396"/>
      <c r="X850" s="396">
        <v>7409594</v>
      </c>
      <c r="Y850" s="396">
        <v>529251</v>
      </c>
    </row>
    <row r="851" spans="1:25">
      <c r="A851" s="390">
        <v>99206</v>
      </c>
      <c r="B851" s="391" t="s">
        <v>1541</v>
      </c>
      <c r="C851" s="234">
        <v>1.7485999999999999E-3</v>
      </c>
      <c r="D851" s="234">
        <v>1.6375999999999999E-3</v>
      </c>
      <c r="E851" s="231">
        <v>6248493</v>
      </c>
      <c r="F851" s="231" t="s">
        <v>1924</v>
      </c>
      <c r="G851" s="392">
        <v>789075</v>
      </c>
      <c r="H851" s="392">
        <v>879308</v>
      </c>
      <c r="I851" s="392">
        <v>465010</v>
      </c>
      <c r="J851" s="231">
        <v>428026</v>
      </c>
      <c r="K851" s="231">
        <v>2561419</v>
      </c>
      <c r="L851" s="231"/>
      <c r="M851" s="225">
        <v>0</v>
      </c>
      <c r="N851" s="225">
        <v>0</v>
      </c>
      <c r="O851" s="231">
        <v>75683</v>
      </c>
      <c r="P851" s="231">
        <v>75683</v>
      </c>
      <c r="Q851" s="231"/>
      <c r="R851" s="392">
        <v>2148811</v>
      </c>
      <c r="S851" s="231">
        <v>253748</v>
      </c>
      <c r="T851" s="396">
        <v>2402559</v>
      </c>
      <c r="U851" s="231"/>
      <c r="V851" s="396"/>
      <c r="W851" s="396"/>
      <c r="X851" s="396">
        <v>12677511</v>
      </c>
      <c r="Y851" s="396">
        <v>905526</v>
      </c>
    </row>
    <row r="852" spans="1:25">
      <c r="A852" s="390">
        <v>99207</v>
      </c>
      <c r="B852" s="391" t="s">
        <v>1941</v>
      </c>
      <c r="C852" s="234">
        <v>1.111E-4</v>
      </c>
      <c r="D852" s="234">
        <v>1.206E-4</v>
      </c>
      <c r="E852" s="231">
        <v>397008</v>
      </c>
      <c r="F852" s="231" t="s">
        <v>1924</v>
      </c>
      <c r="G852" s="392">
        <v>50135</v>
      </c>
      <c r="H852" s="392">
        <v>55868</v>
      </c>
      <c r="I852" s="392">
        <v>29545</v>
      </c>
      <c r="J852" s="231">
        <v>138831</v>
      </c>
      <c r="K852" s="231">
        <v>274379</v>
      </c>
      <c r="L852" s="231"/>
      <c r="M852" s="225">
        <v>0</v>
      </c>
      <c r="N852" s="225">
        <v>0</v>
      </c>
      <c r="O852" s="231">
        <v>586</v>
      </c>
      <c r="P852" s="231">
        <v>586</v>
      </c>
      <c r="Q852" s="231"/>
      <c r="R852" s="392">
        <v>136528</v>
      </c>
      <c r="S852" s="231">
        <v>79725</v>
      </c>
      <c r="T852" s="396">
        <v>216253</v>
      </c>
      <c r="U852" s="231"/>
      <c r="V852" s="396"/>
      <c r="W852" s="396"/>
      <c r="X852" s="396">
        <v>805485</v>
      </c>
      <c r="Y852" s="396">
        <v>57534</v>
      </c>
    </row>
    <row r="853" spans="1:25">
      <c r="A853" s="390">
        <v>99208</v>
      </c>
      <c r="B853" s="391" t="s">
        <v>1543</v>
      </c>
      <c r="C853" s="234">
        <v>3.2929999999999998E-4</v>
      </c>
      <c r="D853" s="234">
        <v>3.0939999999999999E-4</v>
      </c>
      <c r="E853" s="231">
        <v>1176729</v>
      </c>
      <c r="F853" s="231" t="s">
        <v>1924</v>
      </c>
      <c r="G853" s="392">
        <v>148600</v>
      </c>
      <c r="H853" s="392">
        <v>165593</v>
      </c>
      <c r="I853" s="392">
        <v>87572</v>
      </c>
      <c r="J853" s="231">
        <v>47651</v>
      </c>
      <c r="K853" s="231">
        <v>449416</v>
      </c>
      <c r="L853" s="231"/>
      <c r="M853" s="225">
        <v>0</v>
      </c>
      <c r="N853" s="225">
        <v>0</v>
      </c>
      <c r="O853" s="231">
        <v>6430</v>
      </c>
      <c r="P853" s="231">
        <v>6430</v>
      </c>
      <c r="Q853" s="231"/>
      <c r="R853" s="392">
        <v>404669</v>
      </c>
      <c r="S853" s="231">
        <v>11134</v>
      </c>
      <c r="T853" s="396">
        <v>415803</v>
      </c>
      <c r="U853" s="231"/>
      <c r="V853" s="396"/>
      <c r="W853" s="396"/>
      <c r="X853" s="396">
        <v>2387455</v>
      </c>
      <c r="Y853" s="396">
        <v>170531</v>
      </c>
    </row>
    <row r="854" spans="1:25">
      <c r="A854" s="390">
        <v>99210</v>
      </c>
      <c r="B854" s="391" t="s">
        <v>1544</v>
      </c>
      <c r="C854" s="234">
        <v>1.8843E-3</v>
      </c>
      <c r="D854" s="234">
        <v>1.7913E-3</v>
      </c>
      <c r="E854" s="231">
        <v>6733407</v>
      </c>
      <c r="F854" s="231" t="s">
        <v>1924</v>
      </c>
      <c r="G854" s="392">
        <v>850311</v>
      </c>
      <c r="H854" s="392">
        <v>947547</v>
      </c>
      <c r="I854" s="392">
        <v>501098</v>
      </c>
      <c r="J854" s="231">
        <v>359261</v>
      </c>
      <c r="K854" s="231">
        <v>2658217</v>
      </c>
      <c r="L854" s="231"/>
      <c r="M854" s="225">
        <v>0</v>
      </c>
      <c r="N854" s="225">
        <v>0</v>
      </c>
      <c r="O854" s="231">
        <v>0</v>
      </c>
      <c r="P854" s="231">
        <v>0</v>
      </c>
      <c r="Q854" s="231"/>
      <c r="R854" s="392">
        <v>2315569</v>
      </c>
      <c r="S854" s="231">
        <v>140238</v>
      </c>
      <c r="T854" s="396">
        <v>2455807</v>
      </c>
      <c r="U854" s="231"/>
      <c r="V854" s="396"/>
      <c r="W854" s="396"/>
      <c r="X854" s="396">
        <v>13661348</v>
      </c>
      <c r="Y854" s="396">
        <v>975800</v>
      </c>
    </row>
    <row r="855" spans="1:25">
      <c r="A855" s="390">
        <v>99211</v>
      </c>
      <c r="B855" s="391" t="s">
        <v>1545</v>
      </c>
      <c r="C855" s="234">
        <v>3.7671200000000002E-2</v>
      </c>
      <c r="D855" s="234">
        <v>3.8786099999999997E-2</v>
      </c>
      <c r="E855" s="231">
        <v>134615246</v>
      </c>
      <c r="F855" s="231" t="s">
        <v>1924</v>
      </c>
      <c r="G855" s="392">
        <v>16999543</v>
      </c>
      <c r="H855" s="392">
        <v>18943490</v>
      </c>
      <c r="I855" s="392">
        <v>10018015</v>
      </c>
      <c r="J855" s="231">
        <v>325015</v>
      </c>
      <c r="K855" s="231">
        <v>46286063</v>
      </c>
      <c r="L855" s="231"/>
      <c r="M855" s="225">
        <v>0</v>
      </c>
      <c r="N855" s="225">
        <v>0</v>
      </c>
      <c r="O855" s="231">
        <v>2255886</v>
      </c>
      <c r="P855" s="231">
        <v>2255886</v>
      </c>
      <c r="Q855" s="231"/>
      <c r="R855" s="392">
        <v>46293196</v>
      </c>
      <c r="S855" s="231">
        <v>-923144</v>
      </c>
      <c r="T855" s="396">
        <v>45370052</v>
      </c>
      <c r="U855" s="231"/>
      <c r="V855" s="396"/>
      <c r="W855" s="396"/>
      <c r="X855" s="396">
        <v>273119666</v>
      </c>
      <c r="Y855" s="396">
        <v>19508332</v>
      </c>
    </row>
    <row r="856" spans="1:25">
      <c r="A856" s="390">
        <v>99212</v>
      </c>
      <c r="B856" s="391" t="s">
        <v>1546</v>
      </c>
      <c r="C856" s="234">
        <v>8.7200000000000005E-5</v>
      </c>
      <c r="D856" s="234">
        <v>6.7999999999999999E-5</v>
      </c>
      <c r="E856" s="231">
        <v>311603</v>
      </c>
      <c r="F856" s="231" t="s">
        <v>1924</v>
      </c>
      <c r="G856" s="392">
        <v>39350</v>
      </c>
      <c r="H856" s="392">
        <v>43850</v>
      </c>
      <c r="I856" s="392">
        <v>23189</v>
      </c>
      <c r="J856" s="231">
        <v>14108</v>
      </c>
      <c r="K856" s="231">
        <v>120497</v>
      </c>
      <c r="L856" s="231"/>
      <c r="M856" s="225">
        <v>0</v>
      </c>
      <c r="N856" s="225">
        <v>0</v>
      </c>
      <c r="O856" s="231">
        <v>8064</v>
      </c>
      <c r="P856" s="231">
        <v>8064</v>
      </c>
      <c r="Q856" s="231"/>
      <c r="R856" s="392">
        <v>107158</v>
      </c>
      <c r="S856" s="231">
        <v>-5873</v>
      </c>
      <c r="T856" s="396">
        <v>101285</v>
      </c>
      <c r="U856" s="231"/>
      <c r="V856" s="396"/>
      <c r="W856" s="396"/>
      <c r="X856" s="396">
        <v>632208</v>
      </c>
      <c r="Y856" s="396">
        <v>45157</v>
      </c>
    </row>
    <row r="857" spans="1:25">
      <c r="A857" s="390">
        <v>99213</v>
      </c>
      <c r="B857" s="391" t="s">
        <v>1547</v>
      </c>
      <c r="C857" s="234">
        <v>6.6209999999999999E-4</v>
      </c>
      <c r="D857" s="234">
        <v>6.7770000000000005E-4</v>
      </c>
      <c r="E857" s="231">
        <v>2365965</v>
      </c>
      <c r="F857" s="231" t="s">
        <v>1924</v>
      </c>
      <c r="G857" s="392">
        <v>298780</v>
      </c>
      <c r="H857" s="392">
        <v>332946</v>
      </c>
      <c r="I857" s="392">
        <v>176074</v>
      </c>
      <c r="J857" s="231">
        <v>18345</v>
      </c>
      <c r="K857" s="231">
        <v>826145</v>
      </c>
      <c r="L857" s="231"/>
      <c r="M857" s="225">
        <v>0</v>
      </c>
      <c r="N857" s="225">
        <v>0</v>
      </c>
      <c r="O857" s="231">
        <v>56734</v>
      </c>
      <c r="P857" s="231">
        <v>56734</v>
      </c>
      <c r="Q857" s="231"/>
      <c r="R857" s="392">
        <v>813638</v>
      </c>
      <c r="S857" s="231">
        <v>-20836</v>
      </c>
      <c r="T857" s="396">
        <v>792802</v>
      </c>
      <c r="U857" s="231"/>
      <c r="V857" s="396"/>
      <c r="W857" s="396"/>
      <c r="X857" s="396">
        <v>4800286</v>
      </c>
      <c r="Y857" s="396">
        <v>342874</v>
      </c>
    </row>
    <row r="858" spans="1:25">
      <c r="A858" s="390">
        <v>99218</v>
      </c>
      <c r="B858" s="391" t="s">
        <v>1548</v>
      </c>
      <c r="C858" s="234">
        <v>3.7810000000000001E-3</v>
      </c>
      <c r="D858" s="234">
        <v>3.4424E-3</v>
      </c>
      <c r="E858" s="231">
        <v>13511124</v>
      </c>
      <c r="F858" s="231" t="s">
        <v>1924</v>
      </c>
      <c r="G858" s="392">
        <v>1706218</v>
      </c>
      <c r="H858" s="392">
        <v>1901329</v>
      </c>
      <c r="I858" s="392">
        <v>1005493</v>
      </c>
      <c r="J858" s="231">
        <v>735647</v>
      </c>
      <c r="K858" s="231">
        <v>5348687</v>
      </c>
      <c r="L858" s="231"/>
      <c r="M858" s="225">
        <v>0</v>
      </c>
      <c r="N858" s="225">
        <v>0</v>
      </c>
      <c r="O858" s="231">
        <v>0</v>
      </c>
      <c r="P858" s="231">
        <v>0</v>
      </c>
      <c r="Q858" s="231"/>
      <c r="R858" s="392">
        <v>4646376</v>
      </c>
      <c r="S858" s="231">
        <v>298884</v>
      </c>
      <c r="T858" s="396">
        <v>4945260</v>
      </c>
      <c r="U858" s="231"/>
      <c r="V858" s="396"/>
      <c r="W858" s="396"/>
      <c r="X858" s="396">
        <v>27412598</v>
      </c>
      <c r="Y858" s="396">
        <v>1958021</v>
      </c>
    </row>
    <row r="859" spans="1:25">
      <c r="A859" s="390">
        <v>99221</v>
      </c>
      <c r="B859" s="391" t="s">
        <v>1549</v>
      </c>
      <c r="C859" s="234">
        <v>1.2297799999999999E-2</v>
      </c>
      <c r="D859" s="234">
        <v>1.26739E-2</v>
      </c>
      <c r="E859" s="231">
        <v>43945278</v>
      </c>
      <c r="F859" s="231" t="s">
        <v>1924</v>
      </c>
      <c r="G859" s="392">
        <v>5549518</v>
      </c>
      <c r="H859" s="392">
        <v>6184121</v>
      </c>
      <c r="I859" s="392">
        <v>3270391</v>
      </c>
      <c r="J859" s="231">
        <v>0</v>
      </c>
      <c r="K859" s="231">
        <v>15004030</v>
      </c>
      <c r="L859" s="231"/>
      <c r="M859" s="225">
        <v>0</v>
      </c>
      <c r="N859" s="225">
        <v>0</v>
      </c>
      <c r="O859" s="231">
        <v>516216</v>
      </c>
      <c r="P859" s="231">
        <v>516216</v>
      </c>
      <c r="Q859" s="231"/>
      <c r="R859" s="392">
        <v>15112459</v>
      </c>
      <c r="S859" s="231">
        <v>-325556</v>
      </c>
      <c r="T859" s="396">
        <v>14786903</v>
      </c>
      <c r="U859" s="231"/>
      <c r="V859" s="396"/>
      <c r="W859" s="396"/>
      <c r="X859" s="396">
        <v>89160181</v>
      </c>
      <c r="Y859" s="396">
        <v>6368514</v>
      </c>
    </row>
    <row r="860" spans="1:25">
      <c r="A860" s="390">
        <v>99222</v>
      </c>
      <c r="B860" s="391" t="s">
        <v>1550</v>
      </c>
      <c r="C860" s="234">
        <v>3.3200000000000001E-5</v>
      </c>
      <c r="D860" s="234">
        <v>3.5599999999999998E-5</v>
      </c>
      <c r="E860" s="231">
        <v>118638</v>
      </c>
      <c r="F860" s="231" t="s">
        <v>1924</v>
      </c>
      <c r="G860" s="392">
        <v>14982</v>
      </c>
      <c r="H860" s="392">
        <v>16695</v>
      </c>
      <c r="I860" s="392">
        <v>8829</v>
      </c>
      <c r="J860" s="231">
        <v>0</v>
      </c>
      <c r="K860" s="231">
        <v>40506</v>
      </c>
      <c r="L860" s="231"/>
      <c r="M860" s="225">
        <v>0</v>
      </c>
      <c r="N860" s="225">
        <v>0</v>
      </c>
      <c r="O860" s="231">
        <v>6905</v>
      </c>
      <c r="P860" s="231">
        <v>6905</v>
      </c>
      <c r="Q860" s="231"/>
      <c r="R860" s="392">
        <v>40799</v>
      </c>
      <c r="S860" s="231">
        <v>-3241</v>
      </c>
      <c r="T860" s="396">
        <v>37558</v>
      </c>
      <c r="U860" s="231"/>
      <c r="V860" s="396"/>
      <c r="W860" s="396"/>
      <c r="X860" s="396">
        <v>240703</v>
      </c>
      <c r="Y860" s="396">
        <v>17193</v>
      </c>
    </row>
    <row r="861" spans="1:25">
      <c r="A861" s="390">
        <v>99231</v>
      </c>
      <c r="B861" s="391" t="s">
        <v>1551</v>
      </c>
      <c r="C861" s="234">
        <v>4.0339999999999999E-4</v>
      </c>
      <c r="D861" s="234">
        <v>3.5159999999999998E-4</v>
      </c>
      <c r="E861" s="231">
        <v>1441520</v>
      </c>
      <c r="F861" s="231" t="s">
        <v>1924</v>
      </c>
      <c r="G861" s="392">
        <v>182039</v>
      </c>
      <c r="H861" s="392">
        <v>202855</v>
      </c>
      <c r="I861" s="392">
        <v>107277</v>
      </c>
      <c r="J861" s="231">
        <v>66139</v>
      </c>
      <c r="K861" s="231">
        <v>558310</v>
      </c>
      <c r="L861" s="231"/>
      <c r="M861" s="225">
        <v>0</v>
      </c>
      <c r="N861" s="225">
        <v>0</v>
      </c>
      <c r="O861" s="231">
        <v>16095</v>
      </c>
      <c r="P861" s="231">
        <v>16095</v>
      </c>
      <c r="Q861" s="231"/>
      <c r="R861" s="392">
        <v>495728</v>
      </c>
      <c r="S861" s="231">
        <v>11562</v>
      </c>
      <c r="T861" s="396">
        <v>507290</v>
      </c>
      <c r="U861" s="231"/>
      <c r="V861" s="396"/>
      <c r="W861" s="396"/>
      <c r="X861" s="396">
        <v>2924687</v>
      </c>
      <c r="Y861" s="396">
        <v>208904</v>
      </c>
    </row>
    <row r="862" spans="1:25">
      <c r="A862" s="390">
        <v>99241</v>
      </c>
      <c r="B862" s="391" t="s">
        <v>1552</v>
      </c>
      <c r="C862" s="234">
        <v>5.8560000000000003E-4</v>
      </c>
      <c r="D862" s="234">
        <v>5.6070000000000002E-4</v>
      </c>
      <c r="E862" s="231">
        <v>2092598</v>
      </c>
      <c r="F862" s="231" t="s">
        <v>1924</v>
      </c>
      <c r="G862" s="392">
        <v>264258</v>
      </c>
      <c r="H862" s="392">
        <v>294478</v>
      </c>
      <c r="I862" s="392">
        <v>155730</v>
      </c>
      <c r="J862" s="231">
        <v>11814</v>
      </c>
      <c r="K862" s="231">
        <v>726280</v>
      </c>
      <c r="L862" s="231"/>
      <c r="M862" s="225">
        <v>0</v>
      </c>
      <c r="N862" s="225">
        <v>0</v>
      </c>
      <c r="O862" s="231">
        <v>16937</v>
      </c>
      <c r="P862" s="231">
        <v>16937</v>
      </c>
      <c r="Q862" s="231"/>
      <c r="R862" s="392">
        <v>719629</v>
      </c>
      <c r="S862" s="231">
        <v>-17091</v>
      </c>
      <c r="T862" s="396">
        <v>702538</v>
      </c>
      <c r="U862" s="231"/>
      <c r="V862" s="396"/>
      <c r="W862" s="396"/>
      <c r="X862" s="396">
        <v>4245654</v>
      </c>
      <c r="Y862" s="396">
        <v>303258</v>
      </c>
    </row>
    <row r="863" spans="1:25">
      <c r="A863" s="390">
        <v>99251</v>
      </c>
      <c r="B863" s="391" t="s">
        <v>1553</v>
      </c>
      <c r="C863" s="234">
        <v>1.6408E-3</v>
      </c>
      <c r="D863" s="234">
        <v>1.6358E-3</v>
      </c>
      <c r="E863" s="231">
        <v>5863277</v>
      </c>
      <c r="F863" s="231" t="s">
        <v>1924</v>
      </c>
      <c r="G863" s="392">
        <v>740429</v>
      </c>
      <c r="H863" s="392">
        <v>825100</v>
      </c>
      <c r="I863" s="392">
        <v>436343</v>
      </c>
      <c r="J863" s="231">
        <v>13231</v>
      </c>
      <c r="K863" s="231">
        <v>2015103</v>
      </c>
      <c r="L863" s="231"/>
      <c r="M863" s="225">
        <v>0</v>
      </c>
      <c r="N863" s="225">
        <v>0</v>
      </c>
      <c r="O863" s="231">
        <v>13877</v>
      </c>
      <c r="P863" s="231">
        <v>13877</v>
      </c>
      <c r="Q863" s="231"/>
      <c r="R863" s="392">
        <v>2016338</v>
      </c>
      <c r="S863" s="231">
        <v>-5123</v>
      </c>
      <c r="T863" s="396">
        <v>2011215</v>
      </c>
      <c r="U863" s="231"/>
      <c r="V863" s="396"/>
      <c r="W863" s="396"/>
      <c r="X863" s="396">
        <v>11895951</v>
      </c>
      <c r="Y863" s="396">
        <v>849701</v>
      </c>
    </row>
    <row r="864" spans="1:25">
      <c r="A864" s="390">
        <v>99252</v>
      </c>
      <c r="B864" s="391" t="s">
        <v>1554</v>
      </c>
      <c r="C864" s="234">
        <v>6.4139999999999998E-4</v>
      </c>
      <c r="D864" s="234">
        <v>6.6200000000000005E-4</v>
      </c>
      <c r="E864" s="231">
        <v>2291995</v>
      </c>
      <c r="F864" s="231" t="s">
        <v>1924</v>
      </c>
      <c r="G864" s="392">
        <v>289439</v>
      </c>
      <c r="H864" s="392">
        <v>322537</v>
      </c>
      <c r="I864" s="392">
        <v>170569</v>
      </c>
      <c r="J864" s="231">
        <v>0</v>
      </c>
      <c r="K864" s="231">
        <v>782545</v>
      </c>
      <c r="L864" s="231"/>
      <c r="M864" s="225">
        <v>0</v>
      </c>
      <c r="N864" s="225">
        <v>0</v>
      </c>
      <c r="O864" s="231">
        <v>180129</v>
      </c>
      <c r="P864" s="231">
        <v>180129</v>
      </c>
      <c r="Q864" s="231"/>
      <c r="R864" s="392">
        <v>788200</v>
      </c>
      <c r="S864" s="231">
        <v>-98927</v>
      </c>
      <c r="T864" s="396">
        <v>689273</v>
      </c>
      <c r="U864" s="231"/>
      <c r="V864" s="396"/>
      <c r="W864" s="396"/>
      <c r="X864" s="396">
        <v>4650209</v>
      </c>
      <c r="Y864" s="396">
        <v>332154</v>
      </c>
    </row>
    <row r="865" spans="1:25">
      <c r="A865" s="390">
        <v>99261</v>
      </c>
      <c r="B865" s="391" t="s">
        <v>1555</v>
      </c>
      <c r="C865" s="234">
        <v>2.3002999999999999E-3</v>
      </c>
      <c r="D865" s="234">
        <v>2.2407E-3</v>
      </c>
      <c r="E865" s="231">
        <v>8219952</v>
      </c>
      <c r="F865" s="231" t="s">
        <v>1924</v>
      </c>
      <c r="G865" s="392">
        <v>1038036</v>
      </c>
      <c r="H865" s="392">
        <v>1156738</v>
      </c>
      <c r="I865" s="392">
        <v>611726</v>
      </c>
      <c r="J865" s="231">
        <v>1412</v>
      </c>
      <c r="K865" s="231">
        <v>2807912</v>
      </c>
      <c r="L865" s="231"/>
      <c r="M865" s="225">
        <v>0</v>
      </c>
      <c r="N865" s="225">
        <v>0</v>
      </c>
      <c r="O865" s="231">
        <v>68985</v>
      </c>
      <c r="P865" s="231">
        <v>68985</v>
      </c>
      <c r="Q865" s="231"/>
      <c r="R865" s="392">
        <v>2826781</v>
      </c>
      <c r="S865" s="231">
        <v>-48876</v>
      </c>
      <c r="T865" s="396">
        <v>2777905</v>
      </c>
      <c r="U865" s="231"/>
      <c r="V865" s="396"/>
      <c r="W865" s="396"/>
      <c r="X865" s="396">
        <v>16677387</v>
      </c>
      <c r="Y865" s="396">
        <v>1191229</v>
      </c>
    </row>
    <row r="866" spans="1:25">
      <c r="A866" s="390">
        <v>99271</v>
      </c>
      <c r="B866" s="391" t="s">
        <v>1556</v>
      </c>
      <c r="C866" s="234">
        <v>4.6093000000000002E-3</v>
      </c>
      <c r="D866" s="234">
        <v>4.2773000000000004E-3</v>
      </c>
      <c r="E866" s="231">
        <v>16470992</v>
      </c>
      <c r="F866" s="231" t="s">
        <v>1924</v>
      </c>
      <c r="G866" s="392">
        <v>2079997</v>
      </c>
      <c r="H866" s="392">
        <v>2317851</v>
      </c>
      <c r="I866" s="392">
        <v>1225765</v>
      </c>
      <c r="J866" s="231">
        <v>368930</v>
      </c>
      <c r="K866" s="231">
        <v>5992543</v>
      </c>
      <c r="L866" s="231"/>
      <c r="M866" s="225">
        <v>0</v>
      </c>
      <c r="N866" s="225">
        <v>0</v>
      </c>
      <c r="O866" s="231">
        <v>66564</v>
      </c>
      <c r="P866" s="231">
        <v>66564</v>
      </c>
      <c r="Q866" s="231"/>
      <c r="R866" s="392">
        <v>5664254</v>
      </c>
      <c r="S866" s="231">
        <v>76409</v>
      </c>
      <c r="T866" s="396">
        <v>5740663</v>
      </c>
      <c r="U866" s="231"/>
      <c r="V866" s="396"/>
      <c r="W866" s="396"/>
      <c r="X866" s="396">
        <v>33417849</v>
      </c>
      <c r="Y866" s="396">
        <v>2386963</v>
      </c>
    </row>
    <row r="867" spans="1:25">
      <c r="A867" s="390">
        <v>99281</v>
      </c>
      <c r="B867" s="391" t="s">
        <v>1557</v>
      </c>
      <c r="C867" s="234">
        <v>2.6021999999999998E-3</v>
      </c>
      <c r="D867" s="234">
        <v>2.4237E-3</v>
      </c>
      <c r="E867" s="231">
        <v>9298769</v>
      </c>
      <c r="F867" s="231" t="s">
        <v>1924</v>
      </c>
      <c r="G867" s="392">
        <v>1174271</v>
      </c>
      <c r="H867" s="392">
        <v>1308552</v>
      </c>
      <c r="I867" s="392">
        <v>692011</v>
      </c>
      <c r="J867" s="231">
        <v>98896</v>
      </c>
      <c r="K867" s="231">
        <v>3273730</v>
      </c>
      <c r="L867" s="231"/>
      <c r="M867" s="225">
        <v>0</v>
      </c>
      <c r="N867" s="225">
        <v>0</v>
      </c>
      <c r="O867" s="231">
        <v>11923</v>
      </c>
      <c r="P867" s="231">
        <v>11923</v>
      </c>
      <c r="Q867" s="231"/>
      <c r="R867" s="392">
        <v>3197779</v>
      </c>
      <c r="S867" s="231">
        <v>4109</v>
      </c>
      <c r="T867" s="396">
        <v>3201888</v>
      </c>
      <c r="U867" s="231"/>
      <c r="V867" s="396"/>
      <c r="W867" s="396"/>
      <c r="X867" s="396">
        <v>18866189</v>
      </c>
      <c r="Y867" s="396">
        <v>1347570</v>
      </c>
    </row>
    <row r="868" spans="1:25">
      <c r="A868" s="390">
        <v>99291</v>
      </c>
      <c r="B868" s="391" t="s">
        <v>1558</v>
      </c>
      <c r="C868" s="234">
        <v>8.4670000000000004E-4</v>
      </c>
      <c r="D868" s="234">
        <v>8.4909999999999998E-4</v>
      </c>
      <c r="E868" s="231">
        <v>3025620</v>
      </c>
      <c r="F868" s="231" t="s">
        <v>1924</v>
      </c>
      <c r="G868" s="392">
        <v>382083</v>
      </c>
      <c r="H868" s="392">
        <v>425775</v>
      </c>
      <c r="I868" s="392">
        <v>225165</v>
      </c>
      <c r="J868" s="231">
        <v>6282</v>
      </c>
      <c r="K868" s="231">
        <v>1039305</v>
      </c>
      <c r="L868" s="231"/>
      <c r="M868" s="225">
        <v>0</v>
      </c>
      <c r="N868" s="225">
        <v>0</v>
      </c>
      <c r="O868" s="231">
        <v>87590</v>
      </c>
      <c r="P868" s="231">
        <v>87590</v>
      </c>
      <c r="Q868" s="231"/>
      <c r="R868" s="392">
        <v>1040488</v>
      </c>
      <c r="S868" s="231">
        <v>-48476</v>
      </c>
      <c r="T868" s="396">
        <v>992012</v>
      </c>
      <c r="U868" s="231"/>
      <c r="V868" s="396"/>
      <c r="W868" s="396"/>
      <c r="X868" s="396">
        <v>6138653</v>
      </c>
      <c r="Y868" s="396">
        <v>438470</v>
      </c>
    </row>
    <row r="869" spans="1:25">
      <c r="A869" s="390">
        <v>99301</v>
      </c>
      <c r="B869" s="391" t="s">
        <v>1559</v>
      </c>
      <c r="C869" s="234">
        <v>1.5418000000000001E-3</v>
      </c>
      <c r="D869" s="234">
        <v>1.6092999999999999E-3</v>
      </c>
      <c r="E869" s="231">
        <v>5509508</v>
      </c>
      <c r="F869" s="231" t="s">
        <v>1924</v>
      </c>
      <c r="G869" s="392">
        <v>695754</v>
      </c>
      <c r="H869" s="392">
        <v>775315</v>
      </c>
      <c r="I869" s="392">
        <v>410015</v>
      </c>
      <c r="J869" s="231">
        <v>0</v>
      </c>
      <c r="K869" s="231">
        <v>1881084</v>
      </c>
      <c r="L869" s="231"/>
      <c r="M869" s="225">
        <v>0</v>
      </c>
      <c r="N869" s="225">
        <v>0</v>
      </c>
      <c r="O869" s="231">
        <v>198715</v>
      </c>
      <c r="P869" s="231">
        <v>198715</v>
      </c>
      <c r="Q869" s="231"/>
      <c r="R869" s="392">
        <v>1894679</v>
      </c>
      <c r="S869" s="231">
        <v>-82306</v>
      </c>
      <c r="T869" s="396">
        <v>1812373</v>
      </c>
      <c r="U869" s="231"/>
      <c r="V869" s="396"/>
      <c r="W869" s="396"/>
      <c r="X869" s="396">
        <v>11178192</v>
      </c>
      <c r="Y869" s="396">
        <v>798433</v>
      </c>
    </row>
    <row r="870" spans="1:25">
      <c r="A870" s="390">
        <v>99304</v>
      </c>
      <c r="B870" s="391" t="s">
        <v>1560</v>
      </c>
      <c r="C870" s="234">
        <v>6.8000000000000001E-6</v>
      </c>
      <c r="D870" s="234">
        <v>7.6000000000000001E-6</v>
      </c>
      <c r="E870" s="231">
        <v>24299</v>
      </c>
      <c r="F870" s="231" t="s">
        <v>1924</v>
      </c>
      <c r="G870" s="392">
        <v>3069</v>
      </c>
      <c r="H870" s="392">
        <v>3420</v>
      </c>
      <c r="I870" s="392">
        <v>1808</v>
      </c>
      <c r="J870" s="231">
        <v>7276</v>
      </c>
      <c r="K870" s="231">
        <v>15573</v>
      </c>
      <c r="L870" s="231"/>
      <c r="M870" s="225">
        <v>0</v>
      </c>
      <c r="N870" s="225">
        <v>0</v>
      </c>
      <c r="O870" s="231">
        <v>0</v>
      </c>
      <c r="P870" s="231">
        <v>0</v>
      </c>
      <c r="Q870" s="231"/>
      <c r="R870" s="392">
        <v>8356</v>
      </c>
      <c r="S870" s="231">
        <v>3445</v>
      </c>
      <c r="T870" s="396">
        <v>11801</v>
      </c>
      <c r="U870" s="231"/>
      <c r="V870" s="396"/>
      <c r="W870" s="396"/>
      <c r="X870" s="396">
        <v>49301</v>
      </c>
      <c r="Y870" s="396">
        <v>3521</v>
      </c>
    </row>
    <row r="871" spans="1:25">
      <c r="A871" s="390">
        <v>99311</v>
      </c>
      <c r="B871" s="391" t="s">
        <v>1561</v>
      </c>
      <c r="C871" s="234">
        <v>5.5099999999999998E-5</v>
      </c>
      <c r="D871" s="234">
        <v>5.9700000000000001E-5</v>
      </c>
      <c r="E871" s="231">
        <v>196896</v>
      </c>
      <c r="F871" s="231" t="s">
        <v>1924</v>
      </c>
      <c r="G871" s="392">
        <v>24864</v>
      </c>
      <c r="H871" s="392">
        <v>27708</v>
      </c>
      <c r="I871" s="392">
        <v>14653</v>
      </c>
      <c r="J871" s="231">
        <v>2040</v>
      </c>
      <c r="K871" s="231">
        <v>69265</v>
      </c>
      <c r="L871" s="231"/>
      <c r="M871" s="225">
        <v>0</v>
      </c>
      <c r="N871" s="225">
        <v>0</v>
      </c>
      <c r="O871" s="231">
        <v>10929</v>
      </c>
      <c r="P871" s="231">
        <v>10929</v>
      </c>
      <c r="Q871" s="231"/>
      <c r="R871" s="392">
        <v>67711</v>
      </c>
      <c r="S871" s="231">
        <v>-3930</v>
      </c>
      <c r="T871" s="396">
        <v>63781</v>
      </c>
      <c r="U871" s="231"/>
      <c r="V871" s="396"/>
      <c r="W871" s="396"/>
      <c r="X871" s="396">
        <v>399480</v>
      </c>
      <c r="Y871" s="396">
        <v>28534</v>
      </c>
    </row>
    <row r="872" spans="1:25">
      <c r="A872" s="390">
        <v>99321</v>
      </c>
      <c r="B872" s="391" t="s">
        <v>1562</v>
      </c>
      <c r="C872" s="234">
        <v>1.024E-4</v>
      </c>
      <c r="D872" s="234">
        <v>8.6399999999999999E-5</v>
      </c>
      <c r="E872" s="231">
        <v>365919</v>
      </c>
      <c r="F872" s="231" t="s">
        <v>1924</v>
      </c>
      <c r="G872" s="392">
        <v>46209</v>
      </c>
      <c r="H872" s="392">
        <v>51493</v>
      </c>
      <c r="I872" s="392">
        <v>27232</v>
      </c>
      <c r="J872" s="231">
        <v>78783</v>
      </c>
      <c r="K872" s="231">
        <v>203717</v>
      </c>
      <c r="L872" s="231"/>
      <c r="M872" s="225">
        <v>0</v>
      </c>
      <c r="N872" s="225">
        <v>0</v>
      </c>
      <c r="O872" s="231">
        <v>0</v>
      </c>
      <c r="P872" s="231">
        <v>0</v>
      </c>
      <c r="Q872" s="231"/>
      <c r="R872" s="392">
        <v>125837</v>
      </c>
      <c r="S872" s="231">
        <v>43509</v>
      </c>
      <c r="T872" s="396">
        <v>169346</v>
      </c>
      <c r="U872" s="231"/>
      <c r="V872" s="396"/>
      <c r="W872" s="396"/>
      <c r="X872" s="396">
        <v>742409</v>
      </c>
      <c r="Y872" s="396">
        <v>53029</v>
      </c>
    </row>
    <row r="873" spans="1:25">
      <c r="A873" s="390">
        <v>99401</v>
      </c>
      <c r="B873" s="391" t="s">
        <v>1563</v>
      </c>
      <c r="C873" s="234">
        <v>7.6619999999999998E-4</v>
      </c>
      <c r="D873" s="234">
        <v>7.7590000000000005E-4</v>
      </c>
      <c r="E873" s="231">
        <v>2737959</v>
      </c>
      <c r="F873" s="231" t="s">
        <v>1924</v>
      </c>
      <c r="G873" s="392">
        <v>345756</v>
      </c>
      <c r="H873" s="392">
        <v>385294</v>
      </c>
      <c r="I873" s="392">
        <v>203758</v>
      </c>
      <c r="J873" s="231">
        <v>6083</v>
      </c>
      <c r="K873" s="231">
        <v>940891</v>
      </c>
      <c r="L873" s="231"/>
      <c r="M873" s="225">
        <v>0</v>
      </c>
      <c r="N873" s="225">
        <v>0</v>
      </c>
      <c r="O873" s="231">
        <v>55021</v>
      </c>
      <c r="P873" s="231">
        <v>55021</v>
      </c>
      <c r="Q873" s="231"/>
      <c r="R873" s="392">
        <v>941564</v>
      </c>
      <c r="S873" s="231">
        <v>-20962</v>
      </c>
      <c r="T873" s="396">
        <v>920602</v>
      </c>
      <c r="U873" s="231"/>
      <c r="V873" s="396"/>
      <c r="W873" s="396"/>
      <c r="X873" s="396">
        <v>5555020</v>
      </c>
      <c r="Y873" s="396">
        <v>396783</v>
      </c>
    </row>
    <row r="874" spans="1:25">
      <c r="A874" s="390">
        <v>99404</v>
      </c>
      <c r="B874" s="391" t="s">
        <v>1564</v>
      </c>
      <c r="C874" s="234">
        <v>8.1000000000000004E-6</v>
      </c>
      <c r="D874" s="234">
        <v>8.4999999999999999E-6</v>
      </c>
      <c r="E874" s="231">
        <v>28945</v>
      </c>
      <c r="F874" s="231" t="s">
        <v>1924</v>
      </c>
      <c r="G874" s="392">
        <v>3655</v>
      </c>
      <c r="H874" s="392">
        <v>4074</v>
      </c>
      <c r="I874" s="392">
        <v>2154</v>
      </c>
      <c r="J874" s="231">
        <v>2273</v>
      </c>
      <c r="K874" s="231">
        <v>12156</v>
      </c>
      <c r="L874" s="231"/>
      <c r="M874" s="225">
        <v>0</v>
      </c>
      <c r="N874" s="225">
        <v>0</v>
      </c>
      <c r="O874" s="231">
        <v>0</v>
      </c>
      <c r="P874" s="231">
        <v>0</v>
      </c>
      <c r="Q874" s="231"/>
      <c r="R874" s="392">
        <v>9954</v>
      </c>
      <c r="S874" s="231">
        <v>1068</v>
      </c>
      <c r="T874" s="396">
        <v>11022</v>
      </c>
      <c r="U874" s="231"/>
      <c r="V874" s="396"/>
      <c r="W874" s="396"/>
      <c r="X874" s="396">
        <v>58726</v>
      </c>
      <c r="Y874" s="396">
        <v>4195</v>
      </c>
    </row>
    <row r="875" spans="1:25">
      <c r="A875" s="390">
        <v>99405</v>
      </c>
      <c r="B875" s="391" t="s">
        <v>1565</v>
      </c>
      <c r="C875" s="234">
        <v>5.91E-5</v>
      </c>
      <c r="D875" s="234">
        <v>5.9799999999999997E-5</v>
      </c>
      <c r="E875" s="231">
        <v>211189</v>
      </c>
      <c r="F875" s="231" t="s">
        <v>1924</v>
      </c>
      <c r="G875" s="392">
        <v>26670</v>
      </c>
      <c r="H875" s="392">
        <v>29719</v>
      </c>
      <c r="I875" s="392">
        <v>15717</v>
      </c>
      <c r="J875" s="231">
        <v>20640</v>
      </c>
      <c r="K875" s="231">
        <v>92746</v>
      </c>
      <c r="L875" s="231"/>
      <c r="M875" s="225">
        <v>0</v>
      </c>
      <c r="N875" s="225">
        <v>0</v>
      </c>
      <c r="O875" s="231">
        <v>0</v>
      </c>
      <c r="P875" s="231">
        <v>0</v>
      </c>
      <c r="Q875" s="231"/>
      <c r="R875" s="392">
        <v>72627</v>
      </c>
      <c r="S875" s="231">
        <v>9677</v>
      </c>
      <c r="T875" s="396">
        <v>82304</v>
      </c>
      <c r="U875" s="231"/>
      <c r="V875" s="396"/>
      <c r="W875" s="396"/>
      <c r="X875" s="396">
        <v>428480</v>
      </c>
      <c r="Y875" s="396">
        <v>30605</v>
      </c>
    </row>
    <row r="876" spans="1:25">
      <c r="A876" s="390">
        <v>99411</v>
      </c>
      <c r="B876" s="391" t="s">
        <v>1566</v>
      </c>
      <c r="C876" s="234">
        <v>1.6799999999999999E-4</v>
      </c>
      <c r="D876" s="234">
        <v>1.7139999999999999E-4</v>
      </c>
      <c r="E876" s="231">
        <v>600336</v>
      </c>
      <c r="F876" s="231" t="s">
        <v>1924</v>
      </c>
      <c r="G876" s="392">
        <v>75812</v>
      </c>
      <c r="H876" s="392">
        <v>84481</v>
      </c>
      <c r="I876" s="392">
        <v>44677</v>
      </c>
      <c r="J876" s="231">
        <v>21289</v>
      </c>
      <c r="K876" s="231">
        <v>226259</v>
      </c>
      <c r="L876" s="231"/>
      <c r="M876" s="225">
        <v>0</v>
      </c>
      <c r="N876" s="225">
        <v>0</v>
      </c>
      <c r="O876" s="231">
        <v>0</v>
      </c>
      <c r="P876" s="231">
        <v>0</v>
      </c>
      <c r="Q876" s="231"/>
      <c r="R876" s="392">
        <v>206451</v>
      </c>
      <c r="S876" s="231">
        <v>16093</v>
      </c>
      <c r="T876" s="396">
        <v>222544</v>
      </c>
      <c r="U876" s="231"/>
      <c r="V876" s="396"/>
      <c r="W876" s="396"/>
      <c r="X876" s="396">
        <v>1218015</v>
      </c>
      <c r="Y876" s="396">
        <v>87000</v>
      </c>
    </row>
    <row r="877" spans="1:25">
      <c r="A877" s="390">
        <v>99413</v>
      </c>
      <c r="B877" s="391" t="s">
        <v>1567</v>
      </c>
      <c r="C877" s="234">
        <v>3.3899999999999997E-5</v>
      </c>
      <c r="D877" s="234">
        <v>2.0400000000000001E-5</v>
      </c>
      <c r="E877" s="231">
        <v>121139</v>
      </c>
      <c r="F877" s="231" t="s">
        <v>1924</v>
      </c>
      <c r="G877" s="392">
        <v>15298</v>
      </c>
      <c r="H877" s="392">
        <v>17047</v>
      </c>
      <c r="I877" s="392">
        <v>9015</v>
      </c>
      <c r="J877" s="231">
        <v>29441</v>
      </c>
      <c r="K877" s="231">
        <v>70801</v>
      </c>
      <c r="L877" s="231"/>
      <c r="M877" s="225">
        <v>0</v>
      </c>
      <c r="N877" s="225">
        <v>0</v>
      </c>
      <c r="O877" s="231">
        <v>1708</v>
      </c>
      <c r="P877" s="231">
        <v>1708</v>
      </c>
      <c r="Q877" s="231"/>
      <c r="R877" s="392">
        <v>41659</v>
      </c>
      <c r="S877" s="231">
        <v>9283</v>
      </c>
      <c r="T877" s="396">
        <v>50942</v>
      </c>
      <c r="U877" s="231"/>
      <c r="V877" s="396"/>
      <c r="W877" s="396"/>
      <c r="X877" s="396">
        <v>245778</v>
      </c>
      <c r="Y877" s="396">
        <v>17555</v>
      </c>
    </row>
    <row r="878" spans="1:25">
      <c r="A878" s="390">
        <v>99421</v>
      </c>
      <c r="B878" s="391" t="s">
        <v>1568</v>
      </c>
      <c r="C878" s="234">
        <v>1.0699999999999999E-5</v>
      </c>
      <c r="D878" s="234">
        <v>1.3499999999999999E-5</v>
      </c>
      <c r="E878" s="231">
        <v>38236</v>
      </c>
      <c r="F878" s="231" t="s">
        <v>1924</v>
      </c>
      <c r="G878" s="392">
        <v>4828</v>
      </c>
      <c r="H878" s="392">
        <v>5380</v>
      </c>
      <c r="I878" s="392">
        <v>2845</v>
      </c>
      <c r="J878" s="231">
        <v>677</v>
      </c>
      <c r="K878" s="231">
        <v>13730</v>
      </c>
      <c r="L878" s="231"/>
      <c r="M878" s="225">
        <v>0</v>
      </c>
      <c r="N878" s="225">
        <v>0</v>
      </c>
      <c r="O878" s="231">
        <v>4184</v>
      </c>
      <c r="P878" s="231">
        <v>4184</v>
      </c>
      <c r="Q878" s="231"/>
      <c r="R878" s="392">
        <v>13149</v>
      </c>
      <c r="S878" s="231">
        <v>-2202</v>
      </c>
      <c r="T878" s="396">
        <v>10947</v>
      </c>
      <c r="U878" s="231"/>
      <c r="V878" s="396"/>
      <c r="W878" s="396"/>
      <c r="X878" s="396">
        <v>77576</v>
      </c>
      <c r="Y878" s="396">
        <v>5541</v>
      </c>
    </row>
    <row r="879" spans="1:25">
      <c r="A879" s="390">
        <v>99431</v>
      </c>
      <c r="B879" s="391" t="s">
        <v>1569</v>
      </c>
      <c r="C879" s="234">
        <v>1.91E-5</v>
      </c>
      <c r="D879" s="234">
        <v>1.4800000000000001E-5</v>
      </c>
      <c r="E879" s="231">
        <v>68252</v>
      </c>
      <c r="F879" s="231" t="s">
        <v>1924</v>
      </c>
      <c r="G879" s="392">
        <v>8619</v>
      </c>
      <c r="H879" s="392">
        <v>9605</v>
      </c>
      <c r="I879" s="392">
        <v>5079</v>
      </c>
      <c r="J879" s="231">
        <v>4385</v>
      </c>
      <c r="K879" s="231">
        <v>27688</v>
      </c>
      <c r="L879" s="231"/>
      <c r="M879" s="225">
        <v>0</v>
      </c>
      <c r="N879" s="225">
        <v>0</v>
      </c>
      <c r="O879" s="231">
        <v>5883</v>
      </c>
      <c r="P879" s="231">
        <v>5883</v>
      </c>
      <c r="Q879" s="231"/>
      <c r="R879" s="392">
        <v>23472</v>
      </c>
      <c r="S879" s="231">
        <v>-1235</v>
      </c>
      <c r="T879" s="396">
        <v>22237</v>
      </c>
      <c r="U879" s="231"/>
      <c r="V879" s="396"/>
      <c r="W879" s="396"/>
      <c r="X879" s="396">
        <v>138477</v>
      </c>
      <c r="Y879" s="396">
        <v>9891</v>
      </c>
    </row>
    <row r="880" spans="1:25" customFormat="1">
      <c r="A880" s="390">
        <v>99501</v>
      </c>
      <c r="B880" s="391" t="s">
        <v>1570</v>
      </c>
      <c r="C880" s="234">
        <v>1.6310999999999999E-3</v>
      </c>
      <c r="D880" s="234">
        <v>1.6478E-3</v>
      </c>
      <c r="E880" s="231">
        <v>5828615</v>
      </c>
      <c r="F880" s="231" t="s">
        <v>1924</v>
      </c>
      <c r="G880" s="392">
        <v>736052</v>
      </c>
      <c r="H880" s="392">
        <v>820221</v>
      </c>
      <c r="I880" s="392">
        <v>433763</v>
      </c>
      <c r="J880" s="231">
        <v>84141</v>
      </c>
      <c r="K880" s="231">
        <v>2074177</v>
      </c>
      <c r="L880" s="231"/>
      <c r="M880" s="225">
        <v>0</v>
      </c>
      <c r="N880" s="225">
        <v>0</v>
      </c>
      <c r="O880" s="231">
        <v>5377</v>
      </c>
      <c r="P880" s="231">
        <v>5377</v>
      </c>
      <c r="Q880" s="231"/>
      <c r="R880" s="392">
        <v>2004418</v>
      </c>
      <c r="S880" s="231">
        <v>25016</v>
      </c>
      <c r="T880" s="396">
        <v>2029434</v>
      </c>
      <c r="U880" s="231"/>
      <c r="V880" s="396"/>
      <c r="W880" s="396"/>
      <c r="X880" s="396">
        <v>11825625</v>
      </c>
      <c r="Y880" s="396">
        <v>844678</v>
      </c>
    </row>
    <row r="881" spans="1:25" customFormat="1">
      <c r="A881" s="390">
        <v>99502</v>
      </c>
      <c r="B881" s="391" t="s">
        <v>1571</v>
      </c>
      <c r="C881" s="234">
        <v>1.5109999999999999E-4</v>
      </c>
      <c r="D881" s="234">
        <v>1.4459999999999999E-4</v>
      </c>
      <c r="E881" s="231">
        <v>539945</v>
      </c>
      <c r="F881" s="231" t="s">
        <v>1924</v>
      </c>
      <c r="G881" s="392">
        <v>68186</v>
      </c>
      <c r="H881" s="392">
        <v>75983</v>
      </c>
      <c r="I881" s="392">
        <v>40182</v>
      </c>
      <c r="J881" s="231">
        <v>11097</v>
      </c>
      <c r="K881" s="231">
        <v>195448</v>
      </c>
      <c r="L881" s="231"/>
      <c r="M881" s="225">
        <v>0</v>
      </c>
      <c r="N881" s="225">
        <v>0</v>
      </c>
      <c r="O881" s="231">
        <v>9731</v>
      </c>
      <c r="P881" s="231">
        <v>9731</v>
      </c>
      <c r="Q881" s="231"/>
      <c r="R881" s="392">
        <v>185683</v>
      </c>
      <c r="S881" s="231">
        <v>4026</v>
      </c>
      <c r="T881" s="396">
        <v>189709</v>
      </c>
      <c r="U881" s="231"/>
      <c r="V881" s="396"/>
      <c r="W881" s="396"/>
      <c r="X881" s="396">
        <v>1095489</v>
      </c>
      <c r="Y881" s="396">
        <v>78248</v>
      </c>
    </row>
    <row r="882" spans="1:25" customFormat="1">
      <c r="A882" s="390">
        <v>99508</v>
      </c>
      <c r="B882" s="391" t="s">
        <v>1572</v>
      </c>
      <c r="C882" s="234">
        <v>2.0800000000000001E-5</v>
      </c>
      <c r="D882" s="234">
        <v>2.0999999999999999E-5</v>
      </c>
      <c r="E882" s="231">
        <v>74327</v>
      </c>
      <c r="F882" s="231" t="s">
        <v>1924</v>
      </c>
      <c r="G882" s="392">
        <v>9386</v>
      </c>
      <c r="H882" s="392">
        <v>10460</v>
      </c>
      <c r="I882" s="392">
        <v>5531</v>
      </c>
      <c r="J882" s="231">
        <v>10</v>
      </c>
      <c r="K882" s="231">
        <v>25387</v>
      </c>
      <c r="L882" s="231"/>
      <c r="M882" s="225">
        <v>0</v>
      </c>
      <c r="N882" s="225">
        <v>0</v>
      </c>
      <c r="O882" s="231">
        <v>1106</v>
      </c>
      <c r="P882" s="231">
        <v>1106</v>
      </c>
      <c r="Q882" s="231"/>
      <c r="R882" s="392">
        <v>25561</v>
      </c>
      <c r="S882" s="231">
        <v>-587</v>
      </c>
      <c r="T882" s="396">
        <v>24974</v>
      </c>
      <c r="U882" s="231"/>
      <c r="V882" s="396"/>
      <c r="W882" s="396"/>
      <c r="X882" s="396">
        <v>150802</v>
      </c>
      <c r="Y882" s="396">
        <v>10771</v>
      </c>
    </row>
    <row r="883" spans="1:25" customFormat="1">
      <c r="A883" s="390">
        <v>99509</v>
      </c>
      <c r="B883" s="391" t="s">
        <v>1573</v>
      </c>
      <c r="C883" s="234">
        <v>2.0699999999999998E-5</v>
      </c>
      <c r="D883" s="234">
        <v>2.5199999999999999E-5</v>
      </c>
      <c r="E883" s="231">
        <v>73970</v>
      </c>
      <c r="F883" s="231" t="s">
        <v>1924</v>
      </c>
      <c r="G883" s="392">
        <v>9341</v>
      </c>
      <c r="H883" s="392">
        <v>10409</v>
      </c>
      <c r="I883" s="392">
        <v>5505</v>
      </c>
      <c r="J883" s="231">
        <v>0</v>
      </c>
      <c r="K883" s="231">
        <v>25255</v>
      </c>
      <c r="L883" s="231"/>
      <c r="M883" s="225">
        <v>0</v>
      </c>
      <c r="N883" s="225">
        <v>0</v>
      </c>
      <c r="O883" s="231">
        <v>5846</v>
      </c>
      <c r="P883" s="231">
        <v>5846</v>
      </c>
      <c r="Q883" s="231"/>
      <c r="R883" s="392">
        <v>25438</v>
      </c>
      <c r="S883" s="231">
        <v>-2629</v>
      </c>
      <c r="T883" s="396">
        <v>22809</v>
      </c>
      <c r="U883" s="231"/>
      <c r="V883" s="396"/>
      <c r="W883" s="396"/>
      <c r="X883" s="396">
        <v>150077</v>
      </c>
      <c r="Y883" s="396">
        <v>10720</v>
      </c>
    </row>
    <row r="884" spans="1:25" customFormat="1">
      <c r="A884" s="390">
        <v>99511</v>
      </c>
      <c r="B884" s="391" t="s">
        <v>1574</v>
      </c>
      <c r="C884" s="234">
        <v>1.3119E-3</v>
      </c>
      <c r="D884" s="234">
        <v>1.3293999999999999E-3</v>
      </c>
      <c r="E884" s="231">
        <v>4687978</v>
      </c>
      <c r="F884" s="231" t="s">
        <v>1924</v>
      </c>
      <c r="G884" s="392">
        <v>592009</v>
      </c>
      <c r="H884" s="392">
        <v>659707</v>
      </c>
      <c r="I884" s="392">
        <v>348878</v>
      </c>
      <c r="J884" s="231">
        <v>0</v>
      </c>
      <c r="K884" s="231">
        <v>1600594</v>
      </c>
      <c r="L884" s="231"/>
      <c r="M884" s="225">
        <v>0</v>
      </c>
      <c r="N884" s="225">
        <v>0</v>
      </c>
      <c r="O884" s="231">
        <v>146853</v>
      </c>
      <c r="P884" s="231">
        <v>146853</v>
      </c>
      <c r="Q884" s="231"/>
      <c r="R884" s="392">
        <v>1612161</v>
      </c>
      <c r="S884" s="231">
        <v>-75551</v>
      </c>
      <c r="T884" s="396">
        <v>1536610</v>
      </c>
      <c r="U884" s="231"/>
      <c r="V884" s="396"/>
      <c r="W884" s="396"/>
      <c r="X884" s="396">
        <v>9511396</v>
      </c>
      <c r="Y884" s="396">
        <v>679378</v>
      </c>
    </row>
    <row r="885" spans="1:25" customFormat="1">
      <c r="A885" s="390">
        <v>99521</v>
      </c>
      <c r="B885" s="391" t="s">
        <v>1575</v>
      </c>
      <c r="C885" s="234">
        <v>4.8440000000000001E-4</v>
      </c>
      <c r="D885" s="234">
        <v>4.8200000000000001E-4</v>
      </c>
      <c r="E885" s="231">
        <v>1730968</v>
      </c>
      <c r="F885" s="231" t="s">
        <v>1924</v>
      </c>
      <c r="G885" s="392">
        <v>218591</v>
      </c>
      <c r="H885" s="392">
        <v>243587</v>
      </c>
      <c r="I885" s="392">
        <v>128818</v>
      </c>
      <c r="J885" s="231">
        <v>10929</v>
      </c>
      <c r="K885" s="231">
        <v>601925</v>
      </c>
      <c r="L885" s="231"/>
      <c r="M885" s="225">
        <v>0</v>
      </c>
      <c r="N885" s="225">
        <v>0</v>
      </c>
      <c r="O885" s="231">
        <v>58464</v>
      </c>
      <c r="P885" s="231">
        <v>58464</v>
      </c>
      <c r="Q885" s="231"/>
      <c r="R885" s="392">
        <v>595267</v>
      </c>
      <c r="S885" s="231">
        <v>-17512</v>
      </c>
      <c r="T885" s="396">
        <v>577755</v>
      </c>
      <c r="U885" s="231"/>
      <c r="V885" s="396"/>
      <c r="W885" s="396"/>
      <c r="X885" s="396">
        <v>3511945</v>
      </c>
      <c r="Y885" s="396">
        <v>250850</v>
      </c>
    </row>
    <row r="886" spans="1:25" customFormat="1">
      <c r="A886" s="390">
        <v>99527</v>
      </c>
      <c r="B886" s="391" t="s">
        <v>1576</v>
      </c>
      <c r="C886" s="234">
        <v>1.03E-5</v>
      </c>
      <c r="D886" s="234">
        <v>1.1E-5</v>
      </c>
      <c r="E886" s="231">
        <v>36806</v>
      </c>
      <c r="F886" s="231" t="s">
        <v>1924</v>
      </c>
      <c r="G886" s="392">
        <v>4648</v>
      </c>
      <c r="H886" s="392">
        <v>5180</v>
      </c>
      <c r="I886" s="392">
        <v>2739</v>
      </c>
      <c r="J886" s="231">
        <v>1688</v>
      </c>
      <c r="K886" s="231">
        <v>14255</v>
      </c>
      <c r="L886" s="231"/>
      <c r="M886" s="225">
        <v>0</v>
      </c>
      <c r="N886" s="225">
        <v>0</v>
      </c>
      <c r="O886" s="231">
        <v>0</v>
      </c>
      <c r="P886" s="231">
        <v>0</v>
      </c>
      <c r="Q886" s="231"/>
      <c r="R886" s="392">
        <v>12657</v>
      </c>
      <c r="S886" s="231">
        <v>736</v>
      </c>
      <c r="T886" s="396">
        <v>13393</v>
      </c>
      <c r="U886" s="231"/>
      <c r="V886" s="396"/>
      <c r="W886" s="396"/>
      <c r="X886" s="396">
        <v>74676</v>
      </c>
      <c r="Y886" s="396">
        <v>5334</v>
      </c>
    </row>
    <row r="887" spans="1:25" customFormat="1">
      <c r="A887" s="390">
        <v>99531</v>
      </c>
      <c r="B887" s="391" t="s">
        <v>1577</v>
      </c>
      <c r="C887" s="234">
        <v>9.0500000000000004E-5</v>
      </c>
      <c r="D887" s="234">
        <v>8.6299999999999997E-5</v>
      </c>
      <c r="E887" s="231">
        <v>323395</v>
      </c>
      <c r="F887" s="231" t="s">
        <v>1924</v>
      </c>
      <c r="G887" s="392">
        <v>40839</v>
      </c>
      <c r="H887" s="392">
        <v>45509</v>
      </c>
      <c r="I887" s="392">
        <v>24067</v>
      </c>
      <c r="J887" s="231">
        <v>44770</v>
      </c>
      <c r="K887" s="231">
        <v>155185</v>
      </c>
      <c r="L887" s="231"/>
      <c r="M887" s="225">
        <v>0</v>
      </c>
      <c r="N887" s="225">
        <v>0</v>
      </c>
      <c r="O887" s="231">
        <v>0</v>
      </c>
      <c r="P887" s="231">
        <v>0</v>
      </c>
      <c r="Q887" s="231"/>
      <c r="R887" s="392">
        <v>111213</v>
      </c>
      <c r="S887" s="231">
        <v>26934</v>
      </c>
      <c r="T887" s="396">
        <v>138147</v>
      </c>
      <c r="U887" s="231"/>
      <c r="V887" s="396"/>
      <c r="W887" s="396"/>
      <c r="X887" s="396">
        <v>656133</v>
      </c>
      <c r="Y887" s="396">
        <v>46866</v>
      </c>
    </row>
    <row r="888" spans="1:25" customFormat="1">
      <c r="A888" s="390">
        <v>99601</v>
      </c>
      <c r="B888" s="391" t="s">
        <v>1578</v>
      </c>
      <c r="C888" s="234">
        <v>5.3302000000000002E-3</v>
      </c>
      <c r="D888" s="234">
        <v>5.9021999999999998E-3</v>
      </c>
      <c r="E888" s="231">
        <v>19047075</v>
      </c>
      <c r="F888" s="231" t="s">
        <v>1924</v>
      </c>
      <c r="G888" s="392">
        <v>2405311</v>
      </c>
      <c r="H888" s="392">
        <v>2680366</v>
      </c>
      <c r="I888" s="392">
        <v>1417476</v>
      </c>
      <c r="J888" s="231">
        <v>65247</v>
      </c>
      <c r="K888" s="231">
        <v>6568400</v>
      </c>
      <c r="L888" s="231"/>
      <c r="M888" s="225">
        <v>0</v>
      </c>
      <c r="N888" s="225">
        <v>0</v>
      </c>
      <c r="O888" s="231">
        <v>928621</v>
      </c>
      <c r="P888" s="231">
        <v>928621</v>
      </c>
      <c r="Q888" s="231"/>
      <c r="R888" s="392">
        <v>6550150</v>
      </c>
      <c r="S888" s="231">
        <v>-266091</v>
      </c>
      <c r="T888" s="396">
        <v>6284059</v>
      </c>
      <c r="U888" s="231"/>
      <c r="V888" s="396"/>
      <c r="W888" s="396"/>
      <c r="X888" s="396">
        <v>38644440</v>
      </c>
      <c r="Y888" s="396">
        <v>2760287</v>
      </c>
    </row>
    <row r="889" spans="1:25" customFormat="1">
      <c r="A889" s="390">
        <v>99602</v>
      </c>
      <c r="B889" s="391" t="s">
        <v>1579</v>
      </c>
      <c r="C889" s="234">
        <v>6.1199999999999997E-5</v>
      </c>
      <c r="D889" s="234">
        <v>6.1500000000000004E-5</v>
      </c>
      <c r="E889" s="231">
        <v>218694</v>
      </c>
      <c r="F889" s="231" t="s">
        <v>1924</v>
      </c>
      <c r="G889" s="392">
        <v>27617</v>
      </c>
      <c r="H889" s="392">
        <v>30775</v>
      </c>
      <c r="I889" s="392">
        <v>16275</v>
      </c>
      <c r="J889" s="231">
        <v>1658</v>
      </c>
      <c r="K889" s="231">
        <v>76325</v>
      </c>
      <c r="L889" s="231"/>
      <c r="M889" s="225">
        <v>0</v>
      </c>
      <c r="N889" s="225">
        <v>0</v>
      </c>
      <c r="O889" s="231">
        <v>6526</v>
      </c>
      <c r="P889" s="231">
        <v>6526</v>
      </c>
      <c r="Q889" s="231"/>
      <c r="R889" s="392">
        <v>75207</v>
      </c>
      <c r="S889" s="231">
        <v>-111</v>
      </c>
      <c r="T889" s="396">
        <v>75096</v>
      </c>
      <c r="U889" s="231"/>
      <c r="V889" s="396"/>
      <c r="W889" s="396"/>
      <c r="X889" s="396">
        <v>443706</v>
      </c>
      <c r="Y889" s="396">
        <v>31693</v>
      </c>
    </row>
    <row r="890" spans="1:25" customFormat="1">
      <c r="A890" s="390">
        <v>99603</v>
      </c>
      <c r="B890" s="391" t="s">
        <v>1580</v>
      </c>
      <c r="C890" s="234">
        <v>1.426E-4</v>
      </c>
      <c r="D890" s="234">
        <v>1.5540000000000001E-4</v>
      </c>
      <c r="E890" s="231">
        <v>509571</v>
      </c>
      <c r="F890" s="231" t="s">
        <v>1924</v>
      </c>
      <c r="G890" s="392">
        <v>64350</v>
      </c>
      <c r="H890" s="392">
        <v>71709</v>
      </c>
      <c r="I890" s="392">
        <v>37922</v>
      </c>
      <c r="J890" s="231">
        <v>14753</v>
      </c>
      <c r="K890" s="231">
        <v>188734</v>
      </c>
      <c r="L890" s="231"/>
      <c r="M890" s="225">
        <v>0</v>
      </c>
      <c r="N890" s="225">
        <v>0</v>
      </c>
      <c r="O890" s="231">
        <v>8251</v>
      </c>
      <c r="P890" s="231">
        <v>8251</v>
      </c>
      <c r="Q890" s="231"/>
      <c r="R890" s="392">
        <v>175238</v>
      </c>
      <c r="S890" s="231">
        <v>20930</v>
      </c>
      <c r="T890" s="396">
        <v>196168</v>
      </c>
      <c r="U890" s="231"/>
      <c r="V890" s="396"/>
      <c r="W890" s="396"/>
      <c r="X890" s="396">
        <v>1033863</v>
      </c>
      <c r="Y890" s="396">
        <v>73847</v>
      </c>
    </row>
    <row r="891" spans="1:25" customFormat="1">
      <c r="A891" s="390">
        <v>99604</v>
      </c>
      <c r="B891" s="391" t="s">
        <v>1581</v>
      </c>
      <c r="C891" s="234">
        <v>1.043E-4</v>
      </c>
      <c r="D891" s="234">
        <v>9.1100000000000005E-5</v>
      </c>
      <c r="E891" s="231">
        <v>372708</v>
      </c>
      <c r="F891" s="231" t="s">
        <v>1924</v>
      </c>
      <c r="G891" s="392">
        <v>47067</v>
      </c>
      <c r="H891" s="392">
        <v>52448</v>
      </c>
      <c r="I891" s="392">
        <v>27737</v>
      </c>
      <c r="J891" s="231">
        <v>31003</v>
      </c>
      <c r="K891" s="231">
        <v>158255</v>
      </c>
      <c r="L891" s="231"/>
      <c r="M891" s="225">
        <v>0</v>
      </c>
      <c r="N891" s="225">
        <v>0</v>
      </c>
      <c r="O891" s="231">
        <v>0</v>
      </c>
      <c r="P891" s="231">
        <v>0</v>
      </c>
      <c r="Q891" s="231"/>
      <c r="R891" s="392">
        <v>128172</v>
      </c>
      <c r="S891" s="231">
        <v>13845</v>
      </c>
      <c r="T891" s="396">
        <v>142017</v>
      </c>
      <c r="U891" s="231"/>
      <c r="V891" s="396"/>
      <c r="W891" s="396"/>
      <c r="X891" s="396">
        <v>756185</v>
      </c>
      <c r="Y891" s="396">
        <v>54013</v>
      </c>
    </row>
    <row r="892" spans="1:25" customFormat="1">
      <c r="A892" s="390">
        <v>99609</v>
      </c>
      <c r="B892" s="391" t="s">
        <v>1582</v>
      </c>
      <c r="C892" s="234">
        <v>2.9499999999999999E-5</v>
      </c>
      <c r="D892" s="234">
        <v>2.8799999999999999E-5</v>
      </c>
      <c r="E892" s="231">
        <v>105416</v>
      </c>
      <c r="F892" s="231" t="s">
        <v>1924</v>
      </c>
      <c r="G892" s="392">
        <v>13312</v>
      </c>
      <c r="H892" s="392">
        <v>14834</v>
      </c>
      <c r="I892" s="392">
        <v>7845</v>
      </c>
      <c r="J892" s="231">
        <v>5822</v>
      </c>
      <c r="K892" s="231">
        <v>41813</v>
      </c>
      <c r="L892" s="231"/>
      <c r="M892" s="225">
        <v>0</v>
      </c>
      <c r="N892" s="225">
        <v>0</v>
      </c>
      <c r="O892" s="231">
        <v>747</v>
      </c>
      <c r="P892" s="231">
        <v>747</v>
      </c>
      <c r="Q892" s="231"/>
      <c r="R892" s="392">
        <v>36252</v>
      </c>
      <c r="S892" s="231">
        <v>2308</v>
      </c>
      <c r="T892" s="396">
        <v>38560</v>
      </c>
      <c r="U892" s="231"/>
      <c r="V892" s="396"/>
      <c r="W892" s="396"/>
      <c r="X892" s="396">
        <v>213878</v>
      </c>
      <c r="Y892" s="396">
        <v>15277</v>
      </c>
    </row>
    <row r="893" spans="1:25" customFormat="1">
      <c r="A893" s="390">
        <v>99610</v>
      </c>
      <c r="B893" s="391" t="s">
        <v>1583</v>
      </c>
      <c r="C893" s="234">
        <v>1.6770000000000001E-4</v>
      </c>
      <c r="D893" s="234">
        <v>1.683E-4</v>
      </c>
      <c r="E893" s="231">
        <v>599264</v>
      </c>
      <c r="F893" s="231" t="s">
        <v>1924</v>
      </c>
      <c r="G893" s="392">
        <v>75676</v>
      </c>
      <c r="H893" s="392">
        <v>84330</v>
      </c>
      <c r="I893" s="392">
        <v>44597</v>
      </c>
      <c r="J893" s="231">
        <v>8149</v>
      </c>
      <c r="K893" s="231">
        <v>212752</v>
      </c>
      <c r="L893" s="231"/>
      <c r="M893" s="225">
        <v>0</v>
      </c>
      <c r="N893" s="225">
        <v>0</v>
      </c>
      <c r="O893" s="231">
        <v>10694</v>
      </c>
      <c r="P893" s="231">
        <v>10694</v>
      </c>
      <c r="Q893" s="231"/>
      <c r="R893" s="392">
        <v>206082</v>
      </c>
      <c r="S893" s="231">
        <v>-1439</v>
      </c>
      <c r="T893" s="396">
        <v>204643</v>
      </c>
      <c r="U893" s="231"/>
      <c r="V893" s="396"/>
      <c r="W893" s="396"/>
      <c r="X893" s="396">
        <v>1215840</v>
      </c>
      <c r="Y893" s="396">
        <v>86845</v>
      </c>
    </row>
    <row r="894" spans="1:25" customFormat="1">
      <c r="A894" s="390">
        <v>99611</v>
      </c>
      <c r="B894" s="391" t="s">
        <v>1584</v>
      </c>
      <c r="C894" s="234">
        <v>3.1828E-3</v>
      </c>
      <c r="D894" s="234">
        <v>3.2022000000000001E-3</v>
      </c>
      <c r="E894" s="231">
        <v>11373500</v>
      </c>
      <c r="F894" s="231" t="s">
        <v>1924</v>
      </c>
      <c r="G894" s="392">
        <v>1436274</v>
      </c>
      <c r="H894" s="392">
        <v>1600516</v>
      </c>
      <c r="I894" s="392">
        <v>846412</v>
      </c>
      <c r="J894" s="231">
        <v>26344</v>
      </c>
      <c r="K894" s="231">
        <v>3909546</v>
      </c>
      <c r="L894" s="231"/>
      <c r="M894" s="225">
        <v>0</v>
      </c>
      <c r="N894" s="225">
        <v>0</v>
      </c>
      <c r="O894" s="231">
        <v>142908</v>
      </c>
      <c r="P894" s="231">
        <v>142908</v>
      </c>
      <c r="Q894" s="231"/>
      <c r="R894" s="392">
        <v>3911263</v>
      </c>
      <c r="S894" s="231">
        <v>-69414</v>
      </c>
      <c r="T894" s="396">
        <v>3841849</v>
      </c>
      <c r="U894" s="231"/>
      <c r="V894" s="396"/>
      <c r="W894" s="396"/>
      <c r="X894" s="396">
        <v>23075593</v>
      </c>
      <c r="Y894" s="396">
        <v>1648238</v>
      </c>
    </row>
    <row r="895" spans="1:25" customFormat="1">
      <c r="A895" s="390">
        <v>99613</v>
      </c>
      <c r="B895" s="391" t="s">
        <v>1585</v>
      </c>
      <c r="C895" s="234">
        <v>3.1920000000000001E-4</v>
      </c>
      <c r="D895" s="234">
        <v>3.3720000000000001E-4</v>
      </c>
      <c r="E895" s="231">
        <v>1140638</v>
      </c>
      <c r="F895" s="231" t="s">
        <v>1924</v>
      </c>
      <c r="G895" s="392">
        <v>144043</v>
      </c>
      <c r="H895" s="392">
        <v>160514</v>
      </c>
      <c r="I895" s="392">
        <v>84886</v>
      </c>
      <c r="J895" s="231">
        <v>108321</v>
      </c>
      <c r="K895" s="231">
        <v>497764</v>
      </c>
      <c r="L895" s="231"/>
      <c r="M895" s="225">
        <v>0</v>
      </c>
      <c r="N895" s="225">
        <v>0</v>
      </c>
      <c r="O895" s="231">
        <v>28456</v>
      </c>
      <c r="P895" s="231">
        <v>28456</v>
      </c>
      <c r="Q895" s="231"/>
      <c r="R895" s="392">
        <v>392257</v>
      </c>
      <c r="S895" s="231">
        <v>95254</v>
      </c>
      <c r="T895" s="396">
        <v>487511</v>
      </c>
      <c r="U895" s="231"/>
      <c r="V895" s="396"/>
      <c r="W895" s="396"/>
      <c r="X895" s="396">
        <v>2314229</v>
      </c>
      <c r="Y895" s="396">
        <v>165300</v>
      </c>
    </row>
    <row r="896" spans="1:25" customFormat="1">
      <c r="A896" s="390">
        <v>99621</v>
      </c>
      <c r="B896" s="391" t="s">
        <v>1586</v>
      </c>
      <c r="C896" s="234">
        <v>3.3040000000000001E-4</v>
      </c>
      <c r="D896" s="234">
        <v>3.5530000000000002E-4</v>
      </c>
      <c r="E896" s="231">
        <v>1180660</v>
      </c>
      <c r="F896" s="231" t="s">
        <v>1924</v>
      </c>
      <c r="G896" s="392">
        <v>149097</v>
      </c>
      <c r="H896" s="392">
        <v>166147</v>
      </c>
      <c r="I896" s="392">
        <v>87864</v>
      </c>
      <c r="J896" s="231">
        <v>6319</v>
      </c>
      <c r="K896" s="231">
        <v>409427</v>
      </c>
      <c r="L896" s="231"/>
      <c r="M896" s="225">
        <v>0</v>
      </c>
      <c r="N896" s="225">
        <v>0</v>
      </c>
      <c r="O896" s="231">
        <v>37346</v>
      </c>
      <c r="P896" s="231">
        <v>37346</v>
      </c>
      <c r="Q896" s="231"/>
      <c r="R896" s="392">
        <v>406020</v>
      </c>
      <c r="S896" s="231">
        <v>-2630</v>
      </c>
      <c r="T896" s="396">
        <v>403390</v>
      </c>
      <c r="U896" s="231"/>
      <c r="V896" s="396"/>
      <c r="W896" s="396"/>
      <c r="X896" s="396">
        <v>2395430</v>
      </c>
      <c r="Y896" s="396">
        <v>171100</v>
      </c>
    </row>
    <row r="897" spans="1:25" customFormat="1">
      <c r="A897" s="390">
        <v>99623</v>
      </c>
      <c r="B897" s="391" t="s">
        <v>1587</v>
      </c>
      <c r="C897" s="234">
        <v>1.6699999999999999E-5</v>
      </c>
      <c r="D897" s="234">
        <v>1.08E-5</v>
      </c>
      <c r="E897" s="231">
        <v>59676</v>
      </c>
      <c r="F897" s="231" t="s">
        <v>1924</v>
      </c>
      <c r="G897" s="392">
        <v>7536</v>
      </c>
      <c r="H897" s="392">
        <v>8398</v>
      </c>
      <c r="I897" s="392">
        <v>4441</v>
      </c>
      <c r="J897" s="231">
        <v>8179</v>
      </c>
      <c r="K897" s="231">
        <v>28554</v>
      </c>
      <c r="L897" s="231"/>
      <c r="M897" s="225">
        <v>0</v>
      </c>
      <c r="N897" s="225">
        <v>0</v>
      </c>
      <c r="O897" s="231">
        <v>15189</v>
      </c>
      <c r="P897" s="231">
        <v>15189</v>
      </c>
      <c r="Q897" s="231"/>
      <c r="R897" s="392">
        <v>20522</v>
      </c>
      <c r="S897" s="231">
        <v>-2491</v>
      </c>
      <c r="T897" s="396">
        <v>18031</v>
      </c>
      <c r="U897" s="231"/>
      <c r="V897" s="396"/>
      <c r="W897" s="396"/>
      <c r="X897" s="396">
        <v>121077</v>
      </c>
      <c r="Y897" s="396">
        <v>8648</v>
      </c>
    </row>
    <row r="898" spans="1:25" customFormat="1">
      <c r="A898" s="390">
        <v>99631</v>
      </c>
      <c r="B898" s="391" t="s">
        <v>1588</v>
      </c>
      <c r="C898" s="234">
        <v>7.6899999999999999E-5</v>
      </c>
      <c r="D898" s="234">
        <v>1.078E-4</v>
      </c>
      <c r="E898" s="231">
        <v>274796</v>
      </c>
      <c r="F898" s="231" t="s">
        <v>1924</v>
      </c>
      <c r="G898" s="392">
        <v>34702</v>
      </c>
      <c r="H898" s="392">
        <v>38671</v>
      </c>
      <c r="I898" s="392">
        <v>20450</v>
      </c>
      <c r="J898" s="231">
        <v>267</v>
      </c>
      <c r="K898" s="231">
        <v>94090</v>
      </c>
      <c r="L898" s="231"/>
      <c r="M898" s="225">
        <v>0</v>
      </c>
      <c r="N898" s="225">
        <v>0</v>
      </c>
      <c r="O898" s="231">
        <v>45055</v>
      </c>
      <c r="P898" s="231">
        <v>45055</v>
      </c>
      <c r="Q898" s="231"/>
      <c r="R898" s="392">
        <v>94500</v>
      </c>
      <c r="S898" s="231">
        <v>-15160</v>
      </c>
      <c r="T898" s="396">
        <v>79340</v>
      </c>
      <c r="U898" s="231"/>
      <c r="V898" s="396"/>
      <c r="W898" s="396"/>
      <c r="X898" s="396">
        <v>557532</v>
      </c>
      <c r="Y898" s="396">
        <v>39823</v>
      </c>
    </row>
    <row r="899" spans="1:25" customFormat="1">
      <c r="A899" s="390">
        <v>99651</v>
      </c>
      <c r="B899" s="391" t="s">
        <v>1589</v>
      </c>
      <c r="C899" s="234">
        <v>6.5199999999999999E-5</v>
      </c>
      <c r="D899" s="234">
        <v>6.5300000000000002E-5</v>
      </c>
      <c r="E899" s="231">
        <v>232987</v>
      </c>
      <c r="F899" s="231" t="s">
        <v>1924</v>
      </c>
      <c r="G899" s="392">
        <v>29422</v>
      </c>
      <c r="H899" s="392">
        <v>32787</v>
      </c>
      <c r="I899" s="392">
        <v>17339</v>
      </c>
      <c r="J899" s="231">
        <v>5735</v>
      </c>
      <c r="K899" s="231">
        <v>85283</v>
      </c>
      <c r="L899" s="231"/>
      <c r="M899" s="225">
        <v>0</v>
      </c>
      <c r="N899" s="225">
        <v>0</v>
      </c>
      <c r="O899" s="231">
        <v>6382</v>
      </c>
      <c r="P899" s="231">
        <v>6382</v>
      </c>
      <c r="Q899" s="231"/>
      <c r="R899" s="392">
        <v>80123</v>
      </c>
      <c r="S899" s="231">
        <v>-172</v>
      </c>
      <c r="T899" s="396">
        <v>79951</v>
      </c>
      <c r="U899" s="231"/>
      <c r="V899" s="396"/>
      <c r="W899" s="396"/>
      <c r="X899" s="396">
        <v>472706</v>
      </c>
      <c r="Y899" s="396">
        <v>33764</v>
      </c>
    </row>
    <row r="900" spans="1:25" customFormat="1">
      <c r="A900" s="390">
        <v>99661</v>
      </c>
      <c r="B900" s="391" t="s">
        <v>1590</v>
      </c>
      <c r="C900" s="234">
        <v>3.4400000000000003E-5</v>
      </c>
      <c r="D900" s="234">
        <v>3.4799999999999999E-5</v>
      </c>
      <c r="E900" s="231">
        <v>122926</v>
      </c>
      <c r="F900" s="231" t="s">
        <v>1924</v>
      </c>
      <c r="G900" s="392">
        <v>15523</v>
      </c>
      <c r="H900" s="392">
        <v>17299</v>
      </c>
      <c r="I900" s="392">
        <v>9148</v>
      </c>
      <c r="J900" s="231">
        <v>42818</v>
      </c>
      <c r="K900" s="231">
        <v>84788</v>
      </c>
      <c r="L900" s="231"/>
      <c r="M900" s="225">
        <v>0</v>
      </c>
      <c r="N900" s="225">
        <v>0</v>
      </c>
      <c r="O900" s="231">
        <v>0</v>
      </c>
      <c r="P900" s="231">
        <v>0</v>
      </c>
      <c r="Q900" s="231"/>
      <c r="R900" s="392">
        <v>42273</v>
      </c>
      <c r="S900" s="231">
        <v>21749</v>
      </c>
      <c r="T900" s="396">
        <v>64022</v>
      </c>
      <c r="U900" s="231"/>
      <c r="V900" s="396"/>
      <c r="W900" s="396"/>
      <c r="X900" s="396">
        <v>249403</v>
      </c>
      <c r="Y900" s="396">
        <v>17814</v>
      </c>
    </row>
    <row r="901" spans="1:25" customFormat="1">
      <c r="A901" s="390">
        <v>99701</v>
      </c>
      <c r="B901" s="391" t="s">
        <v>1591</v>
      </c>
      <c r="C901" s="234">
        <v>3.0582000000000001E-3</v>
      </c>
      <c r="D901" s="234">
        <v>2.9930999999999998E-3</v>
      </c>
      <c r="E901" s="231">
        <v>10928251</v>
      </c>
      <c r="F901" s="231" t="s">
        <v>1924</v>
      </c>
      <c r="G901" s="392">
        <v>1380046</v>
      </c>
      <c r="H901" s="392">
        <v>1537859</v>
      </c>
      <c r="I901" s="392">
        <v>813276</v>
      </c>
      <c r="J901" s="231">
        <v>51738</v>
      </c>
      <c r="K901" s="231">
        <v>3782919</v>
      </c>
      <c r="L901" s="231"/>
      <c r="M901" s="225">
        <v>0</v>
      </c>
      <c r="N901" s="225">
        <v>0</v>
      </c>
      <c r="O901" s="231">
        <v>19492</v>
      </c>
      <c r="P901" s="231">
        <v>19492</v>
      </c>
      <c r="Q901" s="231"/>
      <c r="R901" s="392">
        <v>3758146</v>
      </c>
      <c r="S901" s="231">
        <v>10860</v>
      </c>
      <c r="T901" s="396">
        <v>3769006</v>
      </c>
      <c r="U901" s="231"/>
      <c r="V901" s="396"/>
      <c r="W901" s="396"/>
      <c r="X901" s="396">
        <v>22172231</v>
      </c>
      <c r="Y901" s="396">
        <v>1583713</v>
      </c>
    </row>
    <row r="902" spans="1:25" customFormat="1">
      <c r="A902" s="390">
        <v>99705</v>
      </c>
      <c r="B902" s="391" t="s">
        <v>1592</v>
      </c>
      <c r="C902" s="234">
        <v>1.6310000000000001E-4</v>
      </c>
      <c r="D902" s="234">
        <v>1.5530000000000001E-4</v>
      </c>
      <c r="E902" s="231">
        <v>582826</v>
      </c>
      <c r="F902" s="231" t="s">
        <v>1924</v>
      </c>
      <c r="G902" s="392">
        <v>73601</v>
      </c>
      <c r="H902" s="392">
        <v>82018</v>
      </c>
      <c r="I902" s="392">
        <v>43374</v>
      </c>
      <c r="J902" s="231">
        <v>41043</v>
      </c>
      <c r="K902" s="231">
        <v>240036</v>
      </c>
      <c r="L902" s="231"/>
      <c r="M902" s="225">
        <v>0</v>
      </c>
      <c r="N902" s="225">
        <v>0</v>
      </c>
      <c r="O902" s="231">
        <v>0</v>
      </c>
      <c r="P902" s="231">
        <v>0</v>
      </c>
      <c r="Q902" s="231"/>
      <c r="R902" s="392">
        <v>200430</v>
      </c>
      <c r="S902" s="231">
        <v>15385</v>
      </c>
      <c r="T902" s="396">
        <v>215815</v>
      </c>
      <c r="U902" s="231"/>
      <c r="V902" s="396"/>
      <c r="W902" s="396"/>
      <c r="X902" s="396">
        <v>1182490</v>
      </c>
      <c r="Y902" s="396">
        <v>84463</v>
      </c>
    </row>
    <row r="903" spans="1:25" customFormat="1">
      <c r="A903" s="390">
        <v>99711</v>
      </c>
      <c r="B903" s="391" t="s">
        <v>1593</v>
      </c>
      <c r="C903" s="234">
        <v>4.2759999999999999E-4</v>
      </c>
      <c r="D903" s="234">
        <v>4.2489999999999997E-4</v>
      </c>
      <c r="E903" s="231">
        <v>1527997</v>
      </c>
      <c r="F903" s="231" t="s">
        <v>1924</v>
      </c>
      <c r="G903" s="392">
        <v>192959</v>
      </c>
      <c r="H903" s="392">
        <v>215025</v>
      </c>
      <c r="I903" s="392">
        <v>113713</v>
      </c>
      <c r="J903" s="231">
        <v>13335</v>
      </c>
      <c r="K903" s="231">
        <v>535032</v>
      </c>
      <c r="L903" s="231"/>
      <c r="M903" s="225">
        <v>0</v>
      </c>
      <c r="N903" s="225">
        <v>0</v>
      </c>
      <c r="O903" s="231">
        <v>6398</v>
      </c>
      <c r="P903" s="231">
        <v>6398</v>
      </c>
      <c r="Q903" s="231"/>
      <c r="R903" s="392">
        <v>525467</v>
      </c>
      <c r="S903" s="231">
        <v>3845</v>
      </c>
      <c r="T903" s="396">
        <v>529312</v>
      </c>
      <c r="U903" s="231"/>
      <c r="V903" s="396"/>
      <c r="W903" s="396"/>
      <c r="X903" s="396">
        <v>3100139</v>
      </c>
      <c r="Y903" s="396">
        <v>221436</v>
      </c>
    </row>
    <row r="904" spans="1:25" customFormat="1">
      <c r="A904" s="390">
        <v>99717</v>
      </c>
      <c r="B904" s="391" t="s">
        <v>1594</v>
      </c>
      <c r="C904" s="234">
        <v>1.6099999999999998E-5</v>
      </c>
      <c r="D904" s="234">
        <v>2.6599999999999999E-5</v>
      </c>
      <c r="E904" s="231">
        <v>57532</v>
      </c>
      <c r="F904" s="231" t="s">
        <v>1924</v>
      </c>
      <c r="G904" s="392">
        <v>7265</v>
      </c>
      <c r="H904" s="392">
        <v>8096</v>
      </c>
      <c r="I904" s="392">
        <v>4282</v>
      </c>
      <c r="J904" s="231">
        <v>643</v>
      </c>
      <c r="K904" s="231">
        <v>20286</v>
      </c>
      <c r="L904" s="231"/>
      <c r="M904" s="225">
        <v>0</v>
      </c>
      <c r="N904" s="225">
        <v>0</v>
      </c>
      <c r="O904" s="231">
        <v>14397</v>
      </c>
      <c r="P904" s="231">
        <v>14397</v>
      </c>
      <c r="Q904" s="231"/>
      <c r="R904" s="392">
        <v>19785</v>
      </c>
      <c r="S904" s="231">
        <v>-5357</v>
      </c>
      <c r="T904" s="396">
        <v>14428</v>
      </c>
      <c r="U904" s="231"/>
      <c r="V904" s="396"/>
      <c r="W904" s="396"/>
      <c r="X904" s="396">
        <v>116726</v>
      </c>
      <c r="Y904" s="396">
        <v>8338</v>
      </c>
    </row>
    <row r="905" spans="1:25" customFormat="1">
      <c r="A905" s="390">
        <v>99721</v>
      </c>
      <c r="B905" s="391" t="s">
        <v>1595</v>
      </c>
      <c r="C905" s="234">
        <v>5.8069999999999997E-4</v>
      </c>
      <c r="D905" s="234">
        <v>6.1160000000000001E-4</v>
      </c>
      <c r="E905" s="231">
        <v>2075088</v>
      </c>
      <c r="F905" s="231" t="s">
        <v>1924</v>
      </c>
      <c r="G905" s="392">
        <v>262047</v>
      </c>
      <c r="H905" s="392">
        <v>292013</v>
      </c>
      <c r="I905" s="392">
        <v>154427</v>
      </c>
      <c r="J905" s="231">
        <v>1738</v>
      </c>
      <c r="K905" s="231">
        <v>710225</v>
      </c>
      <c r="L905" s="231"/>
      <c r="M905" s="225">
        <v>0</v>
      </c>
      <c r="N905" s="225">
        <v>0</v>
      </c>
      <c r="O905" s="231">
        <v>57382</v>
      </c>
      <c r="P905" s="231">
        <v>57382</v>
      </c>
      <c r="Q905" s="231"/>
      <c r="R905" s="392">
        <v>713608</v>
      </c>
      <c r="S905" s="231">
        <v>-27497</v>
      </c>
      <c r="T905" s="396">
        <v>686111</v>
      </c>
      <c r="U905" s="231"/>
      <c r="V905" s="396"/>
      <c r="W905" s="396"/>
      <c r="X905" s="396">
        <v>4210128</v>
      </c>
      <c r="Y905" s="396">
        <v>300720</v>
      </c>
    </row>
    <row r="906" spans="1:25" customFormat="1">
      <c r="A906" s="390">
        <v>99727</v>
      </c>
      <c r="B906" s="391" t="s">
        <v>1596</v>
      </c>
      <c r="C906" s="234">
        <v>1.6200000000000001E-5</v>
      </c>
      <c r="D906" s="234">
        <v>1.98E-5</v>
      </c>
      <c r="E906" s="231">
        <v>57890</v>
      </c>
      <c r="F906" s="231" t="s">
        <v>1924</v>
      </c>
      <c r="G906" s="392">
        <v>7310</v>
      </c>
      <c r="H906" s="392">
        <v>8146</v>
      </c>
      <c r="I906" s="392">
        <v>4308</v>
      </c>
      <c r="J906" s="231">
        <v>43316</v>
      </c>
      <c r="K906" s="231">
        <v>63080</v>
      </c>
      <c r="L906" s="231"/>
      <c r="M906" s="225">
        <v>0</v>
      </c>
      <c r="N906" s="225">
        <v>0</v>
      </c>
      <c r="O906" s="231">
        <v>0</v>
      </c>
      <c r="P906" s="231">
        <v>0</v>
      </c>
      <c r="Q906" s="231"/>
      <c r="R906" s="392">
        <v>19908</v>
      </c>
      <c r="S906" s="231">
        <v>27243</v>
      </c>
      <c r="T906" s="396">
        <v>47151</v>
      </c>
      <c r="U906" s="231"/>
      <c r="V906" s="396"/>
      <c r="W906" s="396"/>
      <c r="X906" s="396">
        <v>117451</v>
      </c>
      <c r="Y906" s="396">
        <v>8389</v>
      </c>
    </row>
    <row r="907" spans="1:25" customFormat="1">
      <c r="A907" s="390">
        <v>99801</v>
      </c>
      <c r="B907" s="391" t="s">
        <v>1597</v>
      </c>
      <c r="C907" s="234">
        <v>4.6778000000000002E-3</v>
      </c>
      <c r="D907" s="234">
        <v>4.7737999999999999E-3</v>
      </c>
      <c r="E907" s="231">
        <v>16715772</v>
      </c>
      <c r="F907" s="231" t="s">
        <v>1924</v>
      </c>
      <c r="G907" s="392">
        <v>2110909</v>
      </c>
      <c r="H907" s="392">
        <v>2352297</v>
      </c>
      <c r="I907" s="392">
        <v>1243981</v>
      </c>
      <c r="J907" s="231">
        <v>0</v>
      </c>
      <c r="K907" s="231">
        <v>5707187</v>
      </c>
      <c r="L907" s="231"/>
      <c r="M907" s="225">
        <v>0</v>
      </c>
      <c r="N907" s="225">
        <v>0</v>
      </c>
      <c r="O907" s="231">
        <v>524280</v>
      </c>
      <c r="P907" s="231">
        <v>524280</v>
      </c>
      <c r="Q907" s="231"/>
      <c r="R907" s="392">
        <v>5748431</v>
      </c>
      <c r="S907" s="231">
        <v>-219130</v>
      </c>
      <c r="T907" s="396">
        <v>5529301</v>
      </c>
      <c r="U907" s="231"/>
      <c r="V907" s="396"/>
      <c r="W907" s="396"/>
      <c r="X907" s="396">
        <v>33914480</v>
      </c>
      <c r="Y907" s="396">
        <v>2422436</v>
      </c>
    </row>
    <row r="908" spans="1:25" customFormat="1">
      <c r="A908" s="390">
        <v>99802</v>
      </c>
      <c r="B908" s="391" t="s">
        <v>1598</v>
      </c>
      <c r="C908" s="234">
        <v>1.13E-5</v>
      </c>
      <c r="D908" s="234">
        <v>1.1600000000000001E-5</v>
      </c>
      <c r="E908" s="231">
        <v>40380</v>
      </c>
      <c r="F908" s="231" t="s">
        <v>1924</v>
      </c>
      <c r="G908" s="392">
        <v>5099</v>
      </c>
      <c r="H908" s="392">
        <v>5683</v>
      </c>
      <c r="I908" s="392">
        <v>3005</v>
      </c>
      <c r="J908" s="231">
        <v>4919</v>
      </c>
      <c r="K908" s="231">
        <v>18706</v>
      </c>
      <c r="L908" s="231"/>
      <c r="M908" s="225">
        <v>0</v>
      </c>
      <c r="N908" s="225">
        <v>0</v>
      </c>
      <c r="O908" s="231">
        <v>0</v>
      </c>
      <c r="P908" s="231">
        <v>0</v>
      </c>
      <c r="Q908" s="231"/>
      <c r="R908" s="392">
        <v>13886</v>
      </c>
      <c r="S908" s="231">
        <v>2288</v>
      </c>
      <c r="T908" s="396">
        <v>16174</v>
      </c>
      <c r="U908" s="231"/>
      <c r="V908" s="396"/>
      <c r="W908" s="396"/>
      <c r="X908" s="396">
        <v>81926</v>
      </c>
      <c r="Y908" s="396">
        <v>5852</v>
      </c>
    </row>
    <row r="909" spans="1:25" customFormat="1">
      <c r="A909" s="390">
        <v>99804</v>
      </c>
      <c r="B909" s="391" t="s">
        <v>1599</v>
      </c>
      <c r="C909" s="234">
        <v>7.3200000000000004E-5</v>
      </c>
      <c r="D909" s="234">
        <v>7.2200000000000007E-5</v>
      </c>
      <c r="E909" s="231">
        <v>261575</v>
      </c>
      <c r="F909" s="231" t="s">
        <v>1924</v>
      </c>
      <c r="G909" s="392">
        <v>33032</v>
      </c>
      <c r="H909" s="392">
        <v>36809</v>
      </c>
      <c r="I909" s="392">
        <v>19466</v>
      </c>
      <c r="J909" s="231">
        <v>16780</v>
      </c>
      <c r="K909" s="231">
        <v>106087</v>
      </c>
      <c r="L909" s="231"/>
      <c r="M909" s="225">
        <v>0</v>
      </c>
      <c r="N909" s="225">
        <v>0</v>
      </c>
      <c r="O909" s="231">
        <v>65</v>
      </c>
      <c r="P909" s="231">
        <v>65</v>
      </c>
      <c r="Q909" s="231"/>
      <c r="R909" s="392">
        <v>89954</v>
      </c>
      <c r="S909" s="231">
        <v>7583</v>
      </c>
      <c r="T909" s="396">
        <v>97537</v>
      </c>
      <c r="U909" s="231"/>
      <c r="V909" s="396"/>
      <c r="W909" s="396"/>
      <c r="X909" s="396">
        <v>530707</v>
      </c>
      <c r="Y909" s="396">
        <v>37907</v>
      </c>
    </row>
    <row r="910" spans="1:25" customFormat="1">
      <c r="A910" s="390">
        <v>99811</v>
      </c>
      <c r="B910" s="391" t="s">
        <v>1600</v>
      </c>
      <c r="C910" s="234">
        <v>6.3816000000000003E-3</v>
      </c>
      <c r="D910" s="234">
        <v>6.4218000000000001E-3</v>
      </c>
      <c r="E910" s="231">
        <v>22804175</v>
      </c>
      <c r="F910" s="231" t="s">
        <v>1924</v>
      </c>
      <c r="G910" s="392">
        <v>2879767</v>
      </c>
      <c r="H910" s="392">
        <v>3209077</v>
      </c>
      <c r="I910" s="392">
        <v>1697078</v>
      </c>
      <c r="J910" s="231">
        <v>0</v>
      </c>
      <c r="K910" s="231">
        <v>7785922</v>
      </c>
      <c r="L910" s="231"/>
      <c r="M910" s="225">
        <v>0</v>
      </c>
      <c r="N910" s="225">
        <v>0</v>
      </c>
      <c r="O910" s="231">
        <v>466307</v>
      </c>
      <c r="P910" s="231">
        <v>466307</v>
      </c>
      <c r="Q910" s="231"/>
      <c r="R910" s="392">
        <v>7842189</v>
      </c>
      <c r="S910" s="231">
        <v>-275530</v>
      </c>
      <c r="T910" s="396">
        <v>7566659</v>
      </c>
      <c r="U910" s="231"/>
      <c r="V910" s="396"/>
      <c r="W910" s="396"/>
      <c r="X910" s="396">
        <v>46267187</v>
      </c>
      <c r="Y910" s="396">
        <v>3304763</v>
      </c>
    </row>
    <row r="911" spans="1:25" customFormat="1">
      <c r="A911" s="390">
        <v>99812</v>
      </c>
      <c r="B911" s="391" t="s">
        <v>1601</v>
      </c>
      <c r="C911" s="234">
        <v>1.6900000000000001E-5</v>
      </c>
      <c r="D911" s="234">
        <v>1.88E-5</v>
      </c>
      <c r="E911" s="231">
        <v>60391</v>
      </c>
      <c r="F911" s="231" t="s">
        <v>1924</v>
      </c>
      <c r="G911" s="392">
        <v>7626</v>
      </c>
      <c r="H911" s="392">
        <v>8499</v>
      </c>
      <c r="I911" s="392">
        <v>4494</v>
      </c>
      <c r="J911" s="231">
        <v>22043</v>
      </c>
      <c r="K911" s="231">
        <v>42662</v>
      </c>
      <c r="L911" s="231"/>
      <c r="M911" s="225">
        <v>0</v>
      </c>
      <c r="N911" s="225">
        <v>0</v>
      </c>
      <c r="O911" s="231">
        <v>0</v>
      </c>
      <c r="P911" s="231">
        <v>0</v>
      </c>
      <c r="Q911" s="231"/>
      <c r="R911" s="392">
        <v>20768</v>
      </c>
      <c r="S911" s="231">
        <v>10029</v>
      </c>
      <c r="T911" s="396">
        <v>30797</v>
      </c>
      <c r="U911" s="231"/>
      <c r="V911" s="396"/>
      <c r="W911" s="396"/>
      <c r="X911" s="396">
        <v>122527</v>
      </c>
      <c r="Y911" s="396">
        <v>8752</v>
      </c>
    </row>
    <row r="912" spans="1:25" customFormat="1">
      <c r="A912" s="390">
        <v>99818</v>
      </c>
      <c r="B912" s="391" t="s">
        <v>1602</v>
      </c>
      <c r="C912" s="234">
        <v>4.7500000000000003E-5</v>
      </c>
      <c r="D912" s="234">
        <v>3.5599999999999998E-5</v>
      </c>
      <c r="E912" s="231">
        <v>169738</v>
      </c>
      <c r="F912" s="231" t="s">
        <v>1924</v>
      </c>
      <c r="G912" s="392">
        <v>21435</v>
      </c>
      <c r="H912" s="392">
        <v>23886</v>
      </c>
      <c r="I912" s="392">
        <v>12632</v>
      </c>
      <c r="J912" s="231">
        <v>8749</v>
      </c>
      <c r="K912" s="231">
        <v>66702</v>
      </c>
      <c r="L912" s="231"/>
      <c r="M912" s="225">
        <v>0</v>
      </c>
      <c r="N912" s="225">
        <v>0</v>
      </c>
      <c r="O912" s="231">
        <v>2346</v>
      </c>
      <c r="P912" s="231">
        <v>2346</v>
      </c>
      <c r="Q912" s="231"/>
      <c r="R912" s="392">
        <v>58372</v>
      </c>
      <c r="S912" s="231">
        <v>683</v>
      </c>
      <c r="T912" s="396">
        <v>59055</v>
      </c>
      <c r="U912" s="231"/>
      <c r="V912" s="396"/>
      <c r="W912" s="396"/>
      <c r="X912" s="396">
        <v>344379</v>
      </c>
      <c r="Y912" s="396">
        <v>24598</v>
      </c>
    </row>
    <row r="913" spans="1:25" customFormat="1">
      <c r="A913" s="390">
        <v>99821</v>
      </c>
      <c r="B913" s="391" t="s">
        <v>1603</v>
      </c>
      <c r="C913" s="234">
        <v>8.81E-5</v>
      </c>
      <c r="D913" s="234">
        <v>9.8200000000000002E-5</v>
      </c>
      <c r="E913" s="231">
        <v>314819</v>
      </c>
      <c r="F913" s="231" t="s">
        <v>1924</v>
      </c>
      <c r="G913" s="392">
        <v>39756</v>
      </c>
      <c r="H913" s="392">
        <v>44302</v>
      </c>
      <c r="I913" s="392">
        <v>23429</v>
      </c>
      <c r="J913" s="231">
        <v>10315</v>
      </c>
      <c r="K913" s="231">
        <v>117802</v>
      </c>
      <c r="L913" s="231"/>
      <c r="M913" s="225">
        <v>0</v>
      </c>
      <c r="N913" s="225">
        <v>0</v>
      </c>
      <c r="O913" s="231">
        <v>6360</v>
      </c>
      <c r="P913" s="231">
        <v>6360</v>
      </c>
      <c r="Q913" s="231"/>
      <c r="R913" s="392">
        <v>108264</v>
      </c>
      <c r="S913" s="231">
        <v>4972</v>
      </c>
      <c r="T913" s="396">
        <v>113236</v>
      </c>
      <c r="U913" s="231"/>
      <c r="V913" s="396"/>
      <c r="W913" s="396"/>
      <c r="X913" s="396">
        <v>638733</v>
      </c>
      <c r="Y913" s="396">
        <v>45623</v>
      </c>
    </row>
    <row r="914" spans="1:25" customFormat="1">
      <c r="A914" s="390">
        <v>99831</v>
      </c>
      <c r="B914" s="391" t="s">
        <v>1604</v>
      </c>
      <c r="C914" s="234">
        <v>5.5899999999999997E-5</v>
      </c>
      <c r="D914" s="234">
        <v>5.5399999999999998E-5</v>
      </c>
      <c r="E914" s="231">
        <v>199755</v>
      </c>
      <c r="F914" s="231" t="s">
        <v>1924</v>
      </c>
      <c r="G914" s="392">
        <v>25225</v>
      </c>
      <c r="H914" s="392">
        <v>28110</v>
      </c>
      <c r="I914" s="392">
        <v>14866</v>
      </c>
      <c r="J914" s="231">
        <v>9354</v>
      </c>
      <c r="K914" s="231">
        <v>77555</v>
      </c>
      <c r="L914" s="231"/>
      <c r="M914" s="225">
        <v>0</v>
      </c>
      <c r="N914" s="225">
        <v>0</v>
      </c>
      <c r="O914" s="231">
        <v>3600</v>
      </c>
      <c r="P914" s="231">
        <v>3600</v>
      </c>
      <c r="Q914" s="231"/>
      <c r="R914" s="392">
        <v>68694</v>
      </c>
      <c r="S914" s="231">
        <v>2767</v>
      </c>
      <c r="T914" s="396">
        <v>71461</v>
      </c>
      <c r="U914" s="231"/>
      <c r="V914" s="396"/>
      <c r="W914" s="396"/>
      <c r="X914" s="396">
        <v>405280</v>
      </c>
      <c r="Y914" s="396">
        <v>28948</v>
      </c>
    </row>
    <row r="915" spans="1:25" customFormat="1">
      <c r="A915" s="390">
        <v>99841</v>
      </c>
      <c r="B915" s="391" t="s">
        <v>1605</v>
      </c>
      <c r="C915" s="234">
        <v>5.0500000000000001E-5</v>
      </c>
      <c r="D915" s="234">
        <v>1.59E-5</v>
      </c>
      <c r="E915" s="231">
        <v>180458</v>
      </c>
      <c r="F915" s="231" t="s">
        <v>1924</v>
      </c>
      <c r="G915" s="392">
        <v>22789</v>
      </c>
      <c r="H915" s="392">
        <v>25394</v>
      </c>
      <c r="I915" s="392">
        <v>13430</v>
      </c>
      <c r="J915" s="231">
        <v>45271</v>
      </c>
      <c r="K915" s="231">
        <v>106884</v>
      </c>
      <c r="L915" s="231"/>
      <c r="M915" s="225">
        <v>0</v>
      </c>
      <c r="N915" s="225">
        <v>0</v>
      </c>
      <c r="O915" s="231">
        <v>10398</v>
      </c>
      <c r="P915" s="231">
        <v>10398</v>
      </c>
      <c r="Q915" s="231"/>
      <c r="R915" s="392">
        <v>62058</v>
      </c>
      <c r="S915" s="231">
        <v>10465</v>
      </c>
      <c r="T915" s="396">
        <v>72523</v>
      </c>
      <c r="U915" s="231"/>
      <c r="V915" s="396"/>
      <c r="W915" s="396"/>
      <c r="X915" s="396">
        <v>366130</v>
      </c>
      <c r="Y915" s="396">
        <v>26152</v>
      </c>
    </row>
    <row r="916" spans="1:25" customFormat="1">
      <c r="A916" s="390">
        <v>99851</v>
      </c>
      <c r="B916" s="391" t="s">
        <v>1606</v>
      </c>
      <c r="C916" s="234">
        <v>7.5000000000000002E-6</v>
      </c>
      <c r="D916" s="234">
        <v>7.9000000000000006E-6</v>
      </c>
      <c r="E916" s="231">
        <v>26801</v>
      </c>
      <c r="F916" s="231" t="s">
        <v>1924</v>
      </c>
      <c r="G916" s="392">
        <v>3384</v>
      </c>
      <c r="H916" s="392">
        <v>3771</v>
      </c>
      <c r="I916" s="392">
        <v>1994</v>
      </c>
      <c r="J916" s="231">
        <v>0</v>
      </c>
      <c r="K916" s="231">
        <v>9149</v>
      </c>
      <c r="L916" s="231"/>
      <c r="M916" s="225">
        <v>0</v>
      </c>
      <c r="N916" s="225">
        <v>0</v>
      </c>
      <c r="O916" s="231">
        <v>11415</v>
      </c>
      <c r="P916" s="231">
        <v>11415</v>
      </c>
      <c r="Q916" s="231"/>
      <c r="R916" s="392">
        <v>9217</v>
      </c>
      <c r="S916" s="231">
        <v>-4630</v>
      </c>
      <c r="T916" s="396">
        <v>4587</v>
      </c>
      <c r="U916" s="231"/>
      <c r="V916" s="396"/>
      <c r="W916" s="396"/>
      <c r="X916" s="396">
        <v>54376</v>
      </c>
      <c r="Y916" s="396">
        <v>3884</v>
      </c>
    </row>
    <row r="917" spans="1:25" customFormat="1">
      <c r="A917" s="390">
        <v>99901</v>
      </c>
      <c r="B917" s="391" t="s">
        <v>1607</v>
      </c>
      <c r="C917" s="234">
        <v>1.5862999999999999E-3</v>
      </c>
      <c r="D917" s="234">
        <v>1.5942E-3</v>
      </c>
      <c r="E917" s="231">
        <v>5668526</v>
      </c>
      <c r="F917" s="231" t="s">
        <v>1924</v>
      </c>
      <c r="G917" s="392">
        <v>715835</v>
      </c>
      <c r="H917" s="392">
        <v>797693</v>
      </c>
      <c r="I917" s="392">
        <v>421850</v>
      </c>
      <c r="J917" s="231">
        <v>4297</v>
      </c>
      <c r="K917" s="231">
        <v>1939675</v>
      </c>
      <c r="L917" s="231"/>
      <c r="M917" s="225">
        <v>0</v>
      </c>
      <c r="N917" s="225">
        <v>0</v>
      </c>
      <c r="O917" s="231">
        <v>85459</v>
      </c>
      <c r="P917" s="231">
        <v>85459</v>
      </c>
      <c r="Q917" s="231"/>
      <c r="R917" s="392">
        <v>1949364</v>
      </c>
      <c r="S917" s="231">
        <v>-24181</v>
      </c>
      <c r="T917" s="396">
        <v>1925183</v>
      </c>
      <c r="U917" s="231"/>
      <c r="V917" s="396"/>
      <c r="W917" s="396"/>
      <c r="X917" s="396">
        <v>11500821</v>
      </c>
      <c r="Y917" s="396">
        <v>821478</v>
      </c>
    </row>
    <row r="918" spans="1:25" customFormat="1">
      <c r="A918" s="390">
        <v>99911</v>
      </c>
      <c r="B918" s="391" t="s">
        <v>1608</v>
      </c>
      <c r="C918" s="234">
        <v>2.4049999999999999E-4</v>
      </c>
      <c r="D918" s="234">
        <v>2.219E-4</v>
      </c>
      <c r="E918" s="231">
        <v>859409</v>
      </c>
      <c r="F918" s="231" t="s">
        <v>1924</v>
      </c>
      <c r="G918" s="392">
        <v>108528</v>
      </c>
      <c r="H918" s="392">
        <v>120938</v>
      </c>
      <c r="I918" s="392">
        <v>63957</v>
      </c>
      <c r="J918" s="231">
        <v>44157</v>
      </c>
      <c r="K918" s="231">
        <v>337580</v>
      </c>
      <c r="L918" s="231"/>
      <c r="M918" s="225">
        <v>0</v>
      </c>
      <c r="N918" s="225">
        <v>0</v>
      </c>
      <c r="O918" s="231">
        <v>3477</v>
      </c>
      <c r="P918" s="231">
        <v>3477</v>
      </c>
      <c r="Q918" s="231"/>
      <c r="R918" s="392">
        <v>295544</v>
      </c>
      <c r="S918" s="231">
        <v>11627</v>
      </c>
      <c r="T918" s="396">
        <v>307171</v>
      </c>
      <c r="U918" s="231"/>
      <c r="V918" s="396"/>
      <c r="W918" s="396"/>
      <c r="X918" s="396">
        <v>1743647</v>
      </c>
      <c r="Y918" s="396">
        <v>124545</v>
      </c>
    </row>
    <row r="919" spans="1:25" customFormat="1" ht="32.25" customHeight="1">
      <c r="A919" s="390">
        <v>99921</v>
      </c>
      <c r="B919" s="300" t="s">
        <v>1609</v>
      </c>
      <c r="C919" s="234">
        <v>1.484E-4</v>
      </c>
      <c r="D919" s="234">
        <v>1.315E-4</v>
      </c>
      <c r="E919" s="231">
        <v>530296</v>
      </c>
      <c r="F919" s="231" t="s">
        <v>1924</v>
      </c>
      <c r="G919" s="392">
        <v>66967</v>
      </c>
      <c r="H919" s="392">
        <v>74625</v>
      </c>
      <c r="I919" s="392">
        <v>39464</v>
      </c>
      <c r="J919" s="231">
        <v>21858</v>
      </c>
      <c r="K919" s="231">
        <v>202914</v>
      </c>
      <c r="L919" s="231"/>
      <c r="M919" s="225">
        <v>0</v>
      </c>
      <c r="N919" s="225">
        <v>0</v>
      </c>
      <c r="O919" s="231">
        <v>9322</v>
      </c>
      <c r="P919" s="231">
        <v>9322</v>
      </c>
      <c r="Q919" s="231"/>
      <c r="R919" s="392">
        <v>182365</v>
      </c>
      <c r="S919" s="231">
        <v>2529</v>
      </c>
      <c r="T919" s="396">
        <v>184894</v>
      </c>
      <c r="U919" s="231"/>
      <c r="V919" s="396"/>
      <c r="W919" s="396"/>
      <c r="X919" s="396">
        <v>1075914</v>
      </c>
      <c r="Y919" s="396">
        <v>76850</v>
      </c>
    </row>
    <row r="920" spans="1:25">
      <c r="A920" s="390">
        <v>99931</v>
      </c>
      <c r="B920" t="s">
        <v>1610</v>
      </c>
      <c r="C920" s="234">
        <v>2.4899999999999999E-5</v>
      </c>
      <c r="D920" s="234">
        <v>2.1699999999999999E-5</v>
      </c>
      <c r="E920" s="231">
        <v>88978</v>
      </c>
      <c r="F920" s="231" t="s">
        <v>1924</v>
      </c>
      <c r="G920" s="392">
        <v>11236</v>
      </c>
      <c r="H920" s="392">
        <v>12521</v>
      </c>
      <c r="I920" s="392">
        <v>6622</v>
      </c>
      <c r="J920" s="231">
        <v>8616</v>
      </c>
      <c r="K920" s="231">
        <v>38995</v>
      </c>
      <c r="L920" s="231"/>
      <c r="M920" s="225">
        <v>0</v>
      </c>
      <c r="N920" s="225">
        <v>0</v>
      </c>
      <c r="O920" s="231">
        <v>1235</v>
      </c>
      <c r="P920" s="231">
        <v>1235</v>
      </c>
      <c r="Q920" s="231"/>
      <c r="R920" s="392">
        <v>30599</v>
      </c>
      <c r="S920" s="231">
        <v>1501</v>
      </c>
      <c r="T920" s="396">
        <v>32100</v>
      </c>
      <c r="U920" s="231"/>
      <c r="V920" s="396"/>
      <c r="W920" s="396"/>
      <c r="X920" s="396">
        <v>180527</v>
      </c>
      <c r="Y920" s="396">
        <v>12895</v>
      </c>
    </row>
    <row r="921" spans="1:25" customFormat="1">
      <c r="A921" s="390">
        <v>99941</v>
      </c>
      <c r="B921" t="s">
        <v>1611</v>
      </c>
      <c r="C921" s="234">
        <v>5.9200000000000002E-5</v>
      </c>
      <c r="D921" s="234">
        <v>7.7399999999999998E-5</v>
      </c>
      <c r="E921" s="231">
        <v>211547</v>
      </c>
      <c r="F921" s="231" t="s">
        <v>1924</v>
      </c>
      <c r="G921" s="392">
        <v>26715</v>
      </c>
      <c r="H921" s="392">
        <v>29769</v>
      </c>
      <c r="I921" s="392">
        <v>15743</v>
      </c>
      <c r="J921" s="231">
        <v>0</v>
      </c>
      <c r="K921" s="231">
        <v>72227</v>
      </c>
      <c r="L921" s="231"/>
      <c r="M921" s="225">
        <v>0</v>
      </c>
      <c r="N921" s="225">
        <v>0</v>
      </c>
      <c r="O921" s="231">
        <v>30407</v>
      </c>
      <c r="P921" s="231">
        <v>30407</v>
      </c>
      <c r="Q921" s="231"/>
      <c r="R921" s="392">
        <v>72749</v>
      </c>
      <c r="S921" s="231">
        <v>-12790</v>
      </c>
      <c r="T921" s="396">
        <v>59959</v>
      </c>
      <c r="U921" s="231"/>
      <c r="V921" s="396"/>
      <c r="W921" s="396"/>
      <c r="X921" s="396">
        <v>429205</v>
      </c>
      <c r="Y921" s="396">
        <v>30657</v>
      </c>
    </row>
    <row r="922" spans="1:25" customFormat="1">
      <c r="A922" s="390">
        <v>99991</v>
      </c>
      <c r="B922" t="s">
        <v>1612</v>
      </c>
      <c r="C922" s="234">
        <v>4.4270000000000003E-4</v>
      </c>
      <c r="D922" s="234">
        <v>5.0869999999999995E-4</v>
      </c>
      <c r="E922" s="231">
        <v>1581956</v>
      </c>
      <c r="F922" s="231" t="s">
        <v>1924</v>
      </c>
      <c r="G922" s="392">
        <v>199773</v>
      </c>
      <c r="H922" s="392">
        <v>222618</v>
      </c>
      <c r="I922" s="392">
        <v>117729</v>
      </c>
      <c r="J922" s="231">
        <v>0</v>
      </c>
      <c r="K922" s="231">
        <v>540120</v>
      </c>
      <c r="L922" s="231"/>
      <c r="M922" s="225">
        <v>0</v>
      </c>
      <c r="N922" s="225">
        <v>0</v>
      </c>
      <c r="O922" s="231">
        <v>88563</v>
      </c>
      <c r="P922" s="231">
        <v>88563</v>
      </c>
      <c r="Q922" s="231"/>
      <c r="R922" s="392">
        <v>544023</v>
      </c>
      <c r="S922" s="231">
        <v>-31652</v>
      </c>
      <c r="T922" s="396">
        <v>512371</v>
      </c>
      <c r="U922" s="231"/>
      <c r="V922" s="396"/>
      <c r="W922" s="396"/>
      <c r="X922" s="396">
        <v>3209616</v>
      </c>
      <c r="Y922" s="396">
        <v>229256</v>
      </c>
    </row>
    <row r="923" spans="1:25" customFormat="1">
      <c r="A923">
        <v>99999</v>
      </c>
      <c r="B923" t="s">
        <v>1613</v>
      </c>
      <c r="C923">
        <v>1.0007E-3</v>
      </c>
      <c r="D923">
        <v>1.0093000000000001E-3</v>
      </c>
      <c r="E923">
        <v>3575927</v>
      </c>
      <c r="F923" t="s">
        <v>1924</v>
      </c>
      <c r="G923">
        <v>451577</v>
      </c>
      <c r="H923" s="392">
        <v>503216</v>
      </c>
      <c r="I923">
        <v>266119</v>
      </c>
      <c r="J923">
        <v>198528</v>
      </c>
      <c r="K923" s="231">
        <v>1419440</v>
      </c>
      <c r="L923" s="231"/>
      <c r="M923" s="225">
        <v>0</v>
      </c>
      <c r="N923" s="225">
        <v>0</v>
      </c>
      <c r="O923">
        <v>1141</v>
      </c>
      <c r="P923" s="231">
        <v>1141</v>
      </c>
      <c r="Q923" s="231"/>
      <c r="R923">
        <v>1229735</v>
      </c>
      <c r="S923">
        <v>86511</v>
      </c>
      <c r="T923">
        <v>1316246</v>
      </c>
      <c r="X923">
        <v>7255167</v>
      </c>
      <c r="Y923">
        <v>518221</v>
      </c>
    </row>
    <row r="924" spans="1:25" customFormat="1">
      <c r="J924" s="385"/>
      <c r="K924" s="92"/>
      <c r="M924" s="385"/>
      <c r="N924" s="385"/>
      <c r="O924" s="385"/>
      <c r="P924" s="385"/>
      <c r="Q924" s="385"/>
      <c r="S924" s="385">
        <v>10</v>
      </c>
      <c r="T924" s="385">
        <v>1228874991</v>
      </c>
    </row>
    <row r="925" spans="1:25">
      <c r="A925" s="226"/>
      <c r="B925" s="227"/>
      <c r="C925" s="234"/>
      <c r="J925" s="387"/>
    </row>
    <row r="926" spans="1:25" s="95" customFormat="1">
      <c r="A926" s="90"/>
      <c r="B926" s="54" t="s">
        <v>3617</v>
      </c>
      <c r="C926" s="234"/>
      <c r="D926" s="234"/>
      <c r="E926" s="92"/>
      <c r="F926" s="92"/>
      <c r="G926" s="93"/>
      <c r="H926" s="94"/>
      <c r="I926" s="93"/>
      <c r="J926" s="387"/>
      <c r="K926" s="94"/>
      <c r="L926" s="93"/>
      <c r="M926" s="93"/>
      <c r="N926" s="93"/>
      <c r="O926" s="93"/>
      <c r="P926" s="94"/>
      <c r="Q926" s="93"/>
      <c r="R926" s="93"/>
      <c r="S926" s="93"/>
      <c r="T926" s="93"/>
    </row>
    <row r="927" spans="1:25">
      <c r="B927" s="209" t="s">
        <v>690</v>
      </c>
      <c r="C927" s="253" t="s">
        <v>691</v>
      </c>
      <c r="J927" s="387"/>
    </row>
    <row r="928" spans="1:25">
      <c r="A928" s="226"/>
      <c r="B928" s="131" t="s">
        <v>2021</v>
      </c>
      <c r="C928" s="226">
        <v>96331</v>
      </c>
      <c r="D928" s="390"/>
      <c r="H928" s="225"/>
      <c r="J928" s="387"/>
      <c r="K928" s="225"/>
      <c r="P928" s="225"/>
    </row>
    <row r="929" spans="1:16">
      <c r="A929" s="226"/>
      <c r="B929" s="131" t="s">
        <v>2022</v>
      </c>
      <c r="C929" s="226">
        <v>94611</v>
      </c>
      <c r="D929" s="390"/>
      <c r="H929" s="225"/>
      <c r="J929" s="388"/>
      <c r="K929" s="225"/>
      <c r="P929" s="225"/>
    </row>
    <row r="930" spans="1:16">
      <c r="A930" s="226"/>
      <c r="B930" s="131" t="s">
        <v>1037</v>
      </c>
      <c r="C930" s="226">
        <v>93402</v>
      </c>
      <c r="D930" s="390"/>
      <c r="H930" s="225"/>
      <c r="J930" s="387"/>
      <c r="K930" s="225"/>
      <c r="P930" s="225"/>
    </row>
    <row r="931" spans="1:16">
      <c r="A931" s="226"/>
      <c r="B931" s="131" t="s">
        <v>2493</v>
      </c>
      <c r="C931" s="226">
        <v>90151</v>
      </c>
      <c r="D931" s="393"/>
      <c r="H931" s="225"/>
      <c r="J931" s="387"/>
      <c r="K931" s="225"/>
      <c r="P931" s="225"/>
    </row>
    <row r="932" spans="1:16">
      <c r="A932" s="226"/>
      <c r="B932" s="131" t="s">
        <v>1101</v>
      </c>
      <c r="C932" s="226">
        <v>94109</v>
      </c>
      <c r="D932" s="390"/>
      <c r="H932" s="225"/>
      <c r="J932" s="388"/>
      <c r="K932" s="225"/>
      <c r="P932" s="225"/>
    </row>
    <row r="933" spans="1:16">
      <c r="A933" s="226"/>
      <c r="B933" s="131" t="s">
        <v>734</v>
      </c>
      <c r="C933" s="226">
        <v>90101</v>
      </c>
      <c r="D933" s="390"/>
      <c r="H933" s="225"/>
      <c r="J933" s="387"/>
      <c r="K933" s="225"/>
      <c r="P933" s="225"/>
    </row>
    <row r="934" spans="1:16">
      <c r="A934" s="226"/>
      <c r="B934" s="131" t="s">
        <v>737</v>
      </c>
      <c r="C934" s="226">
        <v>90117</v>
      </c>
      <c r="D934" s="390"/>
      <c r="H934" s="225"/>
      <c r="J934" s="387"/>
      <c r="K934" s="225"/>
      <c r="P934" s="225"/>
    </row>
    <row r="935" spans="1:16">
      <c r="A935" s="226"/>
      <c r="B935" s="131" t="s">
        <v>1942</v>
      </c>
      <c r="C935" s="226">
        <v>98411</v>
      </c>
      <c r="D935" s="390"/>
      <c r="H935" s="225"/>
      <c r="J935" s="387"/>
      <c r="K935" s="225"/>
      <c r="P935" s="225"/>
    </row>
    <row r="936" spans="1:16">
      <c r="A936" s="226"/>
      <c r="B936" s="131" t="s">
        <v>1488</v>
      </c>
      <c r="C936" s="226">
        <v>98417</v>
      </c>
      <c r="D936" s="390"/>
      <c r="H936" s="225"/>
      <c r="J936" s="387"/>
      <c r="K936" s="225"/>
      <c r="P936" s="225"/>
    </row>
    <row r="937" spans="1:16">
      <c r="A937" s="226"/>
      <c r="B937" s="131" t="s">
        <v>1346</v>
      </c>
      <c r="C937" s="226">
        <v>97008</v>
      </c>
      <c r="D937" s="390"/>
      <c r="H937" s="225"/>
      <c r="J937" s="387"/>
      <c r="K937" s="225"/>
      <c r="P937" s="225"/>
    </row>
    <row r="938" spans="1:16">
      <c r="A938" s="226"/>
      <c r="B938" s="131" t="s">
        <v>1347</v>
      </c>
      <c r="C938" s="226">
        <v>97010</v>
      </c>
      <c r="D938" s="390"/>
      <c r="H938" s="225"/>
      <c r="J938" s="387"/>
      <c r="K938" s="225"/>
      <c r="P938" s="225"/>
    </row>
    <row r="939" spans="1:16">
      <c r="A939" s="226"/>
      <c r="B939" s="131" t="s">
        <v>731</v>
      </c>
      <c r="C939" s="226">
        <v>90096</v>
      </c>
      <c r="D939" s="390"/>
      <c r="H939" s="225"/>
      <c r="J939" s="387"/>
      <c r="K939" s="225"/>
      <c r="P939" s="225"/>
    </row>
    <row r="940" spans="1:16">
      <c r="A940" s="226"/>
      <c r="B940" s="131" t="s">
        <v>782</v>
      </c>
      <c r="C940" s="226">
        <v>90805</v>
      </c>
      <c r="D940" s="390"/>
      <c r="H940" s="225"/>
      <c r="J940" s="387"/>
      <c r="K940" s="225"/>
      <c r="P940" s="225"/>
    </row>
    <row r="941" spans="1:16">
      <c r="A941" s="226"/>
      <c r="B941" s="131" t="s">
        <v>925</v>
      </c>
      <c r="C941" s="226">
        <v>92109</v>
      </c>
      <c r="D941" s="390"/>
      <c r="H941" s="225"/>
      <c r="J941" s="388"/>
      <c r="K941" s="225"/>
      <c r="P941" s="225"/>
    </row>
    <row r="942" spans="1:16">
      <c r="A942" s="226"/>
      <c r="B942" s="131" t="s">
        <v>743</v>
      </c>
      <c r="C942" s="226">
        <v>90201</v>
      </c>
      <c r="D942" s="390"/>
      <c r="H942" s="225"/>
      <c r="J942" s="387"/>
      <c r="K942" s="225"/>
      <c r="P942" s="225"/>
    </row>
    <row r="943" spans="1:16">
      <c r="A943" s="226"/>
      <c r="B943" s="131" t="s">
        <v>746</v>
      </c>
      <c r="C943" s="226">
        <v>90206</v>
      </c>
      <c r="D943" s="390"/>
      <c r="H943" s="225"/>
      <c r="J943" s="387"/>
      <c r="K943" s="225"/>
      <c r="P943" s="225"/>
    </row>
    <row r="944" spans="1:16">
      <c r="A944" s="226"/>
      <c r="B944" s="131" t="s">
        <v>744</v>
      </c>
      <c r="C944" s="226">
        <v>90203</v>
      </c>
      <c r="D944" s="390"/>
      <c r="H944" s="225"/>
      <c r="J944" s="388"/>
      <c r="K944" s="225"/>
      <c r="P944" s="225"/>
    </row>
    <row r="945" spans="1:16">
      <c r="A945" s="226"/>
      <c r="B945" s="131" t="s">
        <v>745</v>
      </c>
      <c r="C945" s="226">
        <v>90205</v>
      </c>
      <c r="D945" s="390"/>
      <c r="H945" s="225"/>
      <c r="J945" s="387"/>
      <c r="K945" s="225"/>
      <c r="P945" s="225"/>
    </row>
    <row r="946" spans="1:16">
      <c r="A946" s="226"/>
      <c r="B946" s="131" t="s">
        <v>748</v>
      </c>
      <c r="C946" s="226">
        <v>90301</v>
      </c>
      <c r="D946" s="390"/>
      <c r="H946" s="225"/>
      <c r="J946" s="387"/>
      <c r="K946" s="225"/>
      <c r="P946" s="225"/>
    </row>
    <row r="947" spans="1:16">
      <c r="A947" s="226"/>
      <c r="B947" s="131" t="s">
        <v>1020</v>
      </c>
      <c r="C947" s="226">
        <v>93209</v>
      </c>
      <c r="D947" s="390"/>
      <c r="H947" s="225"/>
      <c r="J947" s="387"/>
      <c r="K947" s="225"/>
      <c r="P947" s="225"/>
    </row>
    <row r="948" spans="1:16">
      <c r="A948" s="226"/>
      <c r="B948" s="131" t="s">
        <v>2023</v>
      </c>
      <c r="C948" s="226">
        <v>92021</v>
      </c>
      <c r="D948" s="390"/>
      <c r="H948" s="225"/>
      <c r="J948" s="387"/>
      <c r="K948" s="225"/>
      <c r="P948" s="225"/>
    </row>
    <row r="949" spans="1:16">
      <c r="A949" s="226"/>
      <c r="B949" s="131" t="s">
        <v>2024</v>
      </c>
      <c r="C949" s="226">
        <v>94351</v>
      </c>
      <c r="D949" s="390"/>
      <c r="H949" s="225"/>
      <c r="J949" s="387"/>
      <c r="K949" s="225"/>
      <c r="P949" s="225"/>
    </row>
    <row r="950" spans="1:16">
      <c r="A950" s="226"/>
      <c r="B950" s="131" t="s">
        <v>2025</v>
      </c>
      <c r="C950" s="226">
        <v>94347</v>
      </c>
      <c r="D950" s="390"/>
      <c r="H950" s="225"/>
      <c r="J950" s="387"/>
      <c r="K950" s="225"/>
      <c r="P950" s="225"/>
    </row>
    <row r="951" spans="1:16">
      <c r="A951" s="226"/>
      <c r="B951" s="131" t="s">
        <v>751</v>
      </c>
      <c r="C951" s="226">
        <v>90401</v>
      </c>
      <c r="D951" s="390"/>
      <c r="H951" s="225"/>
      <c r="J951" s="387"/>
      <c r="K951" s="225"/>
      <c r="P951" s="225"/>
    </row>
    <row r="952" spans="1:16">
      <c r="A952" s="226"/>
      <c r="B952" s="131" t="s">
        <v>2026</v>
      </c>
      <c r="C952" s="226">
        <v>90451</v>
      </c>
      <c r="D952" s="390"/>
      <c r="H952" s="225"/>
      <c r="J952" s="387"/>
      <c r="K952" s="225"/>
      <c r="P952" s="225"/>
    </row>
    <row r="953" spans="1:16">
      <c r="A953" s="226"/>
      <c r="B953" s="131" t="s">
        <v>2027</v>
      </c>
      <c r="C953" s="226">
        <v>99271</v>
      </c>
      <c r="D953" s="390"/>
      <c r="H953" s="225"/>
      <c r="J953" s="388"/>
      <c r="K953" s="225"/>
      <c r="P953" s="225"/>
    </row>
    <row r="954" spans="1:16">
      <c r="A954" s="226"/>
      <c r="B954" s="131" t="s">
        <v>733</v>
      </c>
      <c r="C954" s="226">
        <v>90099</v>
      </c>
      <c r="D954" s="390"/>
      <c r="H954" s="225"/>
      <c r="J954" s="387"/>
      <c r="K954" s="225"/>
      <c r="P954" s="225"/>
    </row>
    <row r="955" spans="1:16">
      <c r="A955" s="226"/>
      <c r="B955" s="131" t="s">
        <v>1592</v>
      </c>
      <c r="C955" s="226">
        <v>99705</v>
      </c>
      <c r="D955" s="390"/>
      <c r="H955" s="225"/>
      <c r="J955" s="387"/>
      <c r="K955" s="225"/>
      <c r="P955" s="225"/>
    </row>
    <row r="956" spans="1:16">
      <c r="A956" s="226"/>
      <c r="B956" s="131" t="s">
        <v>1943</v>
      </c>
      <c r="C956" s="226">
        <v>97651</v>
      </c>
      <c r="D956" s="390"/>
      <c r="H956" s="225"/>
      <c r="J956" s="388"/>
      <c r="K956" s="225"/>
      <c r="P956" s="225"/>
    </row>
    <row r="957" spans="1:16">
      <c r="A957" s="226"/>
      <c r="B957" s="131" t="s">
        <v>2028</v>
      </c>
      <c r="C957" s="226">
        <v>95106</v>
      </c>
      <c r="D957" s="390"/>
      <c r="H957" s="225"/>
      <c r="J957" s="387"/>
      <c r="K957" s="225"/>
      <c r="P957" s="225"/>
    </row>
    <row r="958" spans="1:16">
      <c r="A958" s="226"/>
      <c r="B958" s="131" t="s">
        <v>760</v>
      </c>
      <c r="C958" s="226">
        <v>90501</v>
      </c>
      <c r="D958" s="390"/>
      <c r="H958" s="225"/>
      <c r="J958" s="387"/>
      <c r="K958" s="225"/>
      <c r="P958" s="225"/>
    </row>
    <row r="959" spans="1:16">
      <c r="A959" s="226"/>
      <c r="B959" s="131" t="s">
        <v>1944</v>
      </c>
      <c r="C959" s="226">
        <v>97611</v>
      </c>
      <c r="D959" s="390"/>
      <c r="H959" s="225"/>
      <c r="J959" s="387"/>
      <c r="K959" s="225"/>
      <c r="P959" s="225"/>
    </row>
    <row r="960" spans="1:16">
      <c r="A960" s="226"/>
      <c r="B960" s="131" t="s">
        <v>1389</v>
      </c>
      <c r="C960" s="226">
        <v>97607</v>
      </c>
      <c r="D960" s="390"/>
      <c r="H960" s="225"/>
      <c r="J960" s="387"/>
      <c r="K960" s="225"/>
      <c r="P960" s="225"/>
    </row>
    <row r="961" spans="1:16">
      <c r="A961" s="226"/>
      <c r="B961" s="131" t="s">
        <v>2747</v>
      </c>
      <c r="C961" s="226">
        <v>97613</v>
      </c>
      <c r="D961" s="390"/>
      <c r="H961" s="225"/>
      <c r="J961" s="387"/>
      <c r="K961" s="225"/>
      <c r="P961" s="225"/>
    </row>
    <row r="962" spans="1:16">
      <c r="A962" s="226"/>
      <c r="B962" s="131" t="s">
        <v>1945</v>
      </c>
      <c r="C962" s="226">
        <v>91121</v>
      </c>
      <c r="D962" s="390"/>
      <c r="H962" s="225"/>
      <c r="J962" s="387"/>
      <c r="K962" s="225"/>
      <c r="P962" s="225"/>
    </row>
    <row r="963" spans="1:16">
      <c r="A963" s="226"/>
      <c r="B963" s="131" t="s">
        <v>834</v>
      </c>
      <c r="C963" s="51">
        <v>91127</v>
      </c>
      <c r="D963" s="390"/>
      <c r="H963" s="225"/>
      <c r="J963" s="387"/>
      <c r="K963" s="225"/>
      <c r="P963" s="225"/>
    </row>
    <row r="964" spans="1:16">
      <c r="A964" s="226"/>
      <c r="B964" s="131" t="s">
        <v>835</v>
      </c>
      <c r="C964" s="226">
        <v>91128</v>
      </c>
      <c r="D964" s="390"/>
      <c r="H964" s="225"/>
      <c r="J964" s="387"/>
      <c r="K964" s="225"/>
      <c r="P964" s="225"/>
    </row>
    <row r="965" spans="1:16">
      <c r="A965" s="226"/>
      <c r="B965" s="131" t="s">
        <v>2029</v>
      </c>
      <c r="C965" s="226">
        <v>91681</v>
      </c>
      <c r="D965" s="390"/>
      <c r="H965" s="225"/>
      <c r="J965" s="388"/>
      <c r="K965" s="225"/>
      <c r="P965" s="225"/>
    </row>
    <row r="966" spans="1:16">
      <c r="A966" s="226"/>
      <c r="B966" s="131" t="s">
        <v>2030</v>
      </c>
      <c r="C966" s="226">
        <v>90811</v>
      </c>
      <c r="D966" s="390"/>
      <c r="H966" s="225"/>
      <c r="J966" s="387"/>
      <c r="K966" s="225"/>
      <c r="P966" s="225"/>
    </row>
    <row r="967" spans="1:16">
      <c r="A967" s="226"/>
      <c r="B967" s="131" t="s">
        <v>2032</v>
      </c>
      <c r="C967" s="226">
        <v>90721</v>
      </c>
      <c r="D967" s="390"/>
      <c r="H967" s="225"/>
      <c r="J967" s="387"/>
      <c r="K967" s="225"/>
      <c r="P967" s="225"/>
    </row>
    <row r="968" spans="1:16">
      <c r="A968" s="226"/>
      <c r="B968" s="131" t="s">
        <v>2031</v>
      </c>
      <c r="C968" s="226">
        <v>98271</v>
      </c>
      <c r="D968" s="390"/>
      <c r="H968" s="225"/>
      <c r="J968" s="388"/>
      <c r="K968" s="225"/>
      <c r="P968" s="225"/>
    </row>
    <row r="969" spans="1:16">
      <c r="A969" s="226"/>
      <c r="B969" s="131" t="s">
        <v>763</v>
      </c>
      <c r="C969" s="226">
        <v>90601</v>
      </c>
      <c r="D969" s="390"/>
      <c r="H969" s="225"/>
      <c r="J969" s="387"/>
      <c r="K969" s="225"/>
      <c r="P969" s="225"/>
    </row>
    <row r="970" spans="1:16">
      <c r="A970" s="226"/>
      <c r="B970" s="131" t="s">
        <v>259</v>
      </c>
      <c r="C970" s="226">
        <v>90602</v>
      </c>
      <c r="D970" s="390"/>
      <c r="H970" s="225"/>
      <c r="J970" s="387"/>
      <c r="K970" s="225"/>
      <c r="P970" s="225"/>
    </row>
    <row r="971" spans="1:16">
      <c r="A971" s="226"/>
      <c r="B971" s="131" t="s">
        <v>764</v>
      </c>
      <c r="C971" s="226">
        <v>90605</v>
      </c>
      <c r="D971" s="390"/>
      <c r="H971" s="225"/>
      <c r="J971" s="387"/>
      <c r="K971" s="225"/>
      <c r="P971" s="225"/>
    </row>
    <row r="972" spans="1:16">
      <c r="A972" s="226"/>
      <c r="B972" s="131" t="s">
        <v>2033</v>
      </c>
      <c r="C972" s="226">
        <v>97461</v>
      </c>
      <c r="D972" s="390"/>
      <c r="H972" s="225"/>
      <c r="J972" s="387"/>
      <c r="K972" s="225"/>
      <c r="P972" s="225"/>
    </row>
    <row r="973" spans="1:16">
      <c r="A973" s="226"/>
      <c r="B973" s="131" t="s">
        <v>1380</v>
      </c>
      <c r="C973" s="226">
        <v>97463</v>
      </c>
      <c r="D973" s="390"/>
      <c r="H973" s="225"/>
      <c r="J973" s="387"/>
      <c r="K973" s="225"/>
      <c r="P973" s="225"/>
    </row>
    <row r="974" spans="1:16">
      <c r="A974" s="226"/>
      <c r="B974" s="131" t="s">
        <v>773</v>
      </c>
      <c r="C974" s="226">
        <v>90705</v>
      </c>
      <c r="D974" s="390"/>
      <c r="H974" s="225"/>
      <c r="J974" s="387"/>
      <c r="K974" s="225"/>
      <c r="P974" s="225"/>
    </row>
    <row r="975" spans="1:16">
      <c r="A975" s="226"/>
      <c r="B975" s="131" t="s">
        <v>2034</v>
      </c>
      <c r="C975" s="226">
        <v>98451</v>
      </c>
      <c r="D975" s="390"/>
      <c r="H975" s="225"/>
      <c r="J975" s="387"/>
      <c r="K975" s="225"/>
      <c r="P975" s="225"/>
    </row>
    <row r="976" spans="1:16">
      <c r="A976" s="226"/>
      <c r="B976" s="131" t="s">
        <v>2035</v>
      </c>
      <c r="C976" s="226">
        <v>96451</v>
      </c>
      <c r="D976" s="390"/>
      <c r="H976" s="225"/>
      <c r="J976" s="387"/>
      <c r="K976" s="225"/>
      <c r="P976" s="225"/>
    </row>
    <row r="977" spans="1:16">
      <c r="A977" s="226"/>
      <c r="B977" s="131" t="s">
        <v>2036</v>
      </c>
      <c r="C977" s="226">
        <v>96121</v>
      </c>
      <c r="D977" s="390"/>
      <c r="H977" s="225"/>
      <c r="J977" s="388"/>
      <c r="K977" s="225"/>
      <c r="P977" s="225"/>
    </row>
    <row r="978" spans="1:16">
      <c r="A978" s="226"/>
      <c r="B978" s="131" t="s">
        <v>2494</v>
      </c>
      <c r="C978" s="226">
        <v>91091</v>
      </c>
      <c r="D978" s="390"/>
      <c r="H978" s="225"/>
      <c r="J978" s="387"/>
      <c r="K978" s="225"/>
      <c r="P978" s="225"/>
    </row>
    <row r="979" spans="1:16">
      <c r="A979" s="226"/>
      <c r="B979" s="131" t="s">
        <v>2037</v>
      </c>
      <c r="C979" s="226">
        <v>90611</v>
      </c>
      <c r="D979" s="390"/>
      <c r="H979" s="225"/>
      <c r="J979" s="387"/>
      <c r="K979" s="225"/>
      <c r="P979" s="225"/>
    </row>
    <row r="980" spans="1:16">
      <c r="A980" s="226"/>
      <c r="B980" s="131" t="s">
        <v>1341</v>
      </c>
      <c r="C980" s="226">
        <v>96918</v>
      </c>
      <c r="D980" s="390"/>
      <c r="H980" s="225"/>
      <c r="J980" s="388"/>
      <c r="K980" s="225"/>
      <c r="P980" s="225"/>
    </row>
    <row r="981" spans="1:16">
      <c r="A981" s="226"/>
      <c r="B981" s="131" t="s">
        <v>2038</v>
      </c>
      <c r="C981" s="226">
        <v>96911</v>
      </c>
      <c r="D981" s="390"/>
      <c r="H981" s="225"/>
      <c r="J981" s="387"/>
      <c r="K981" s="225"/>
      <c r="P981" s="225"/>
    </row>
    <row r="982" spans="1:16">
      <c r="A982" s="226"/>
      <c r="B982" s="131" t="s">
        <v>1543</v>
      </c>
      <c r="C982" s="226">
        <v>99208</v>
      </c>
      <c r="D982" s="390"/>
      <c r="H982" s="225"/>
      <c r="J982" s="387"/>
      <c r="K982" s="225"/>
      <c r="P982" s="225"/>
    </row>
    <row r="983" spans="1:16">
      <c r="A983" s="226"/>
      <c r="B983" s="131" t="s">
        <v>2039</v>
      </c>
      <c r="C983" s="226">
        <v>91631</v>
      </c>
      <c r="D983" s="390"/>
      <c r="H983" s="225"/>
      <c r="J983" s="387"/>
      <c r="K983" s="225"/>
      <c r="P983" s="225"/>
    </row>
    <row r="984" spans="1:16">
      <c r="A984" s="226"/>
      <c r="B984" s="131" t="s">
        <v>771</v>
      </c>
      <c r="C984" s="226">
        <v>90701</v>
      </c>
      <c r="D984" s="390"/>
      <c r="H984" s="225"/>
      <c r="J984" s="387"/>
      <c r="K984" s="225"/>
      <c r="P984" s="225"/>
    </row>
    <row r="985" spans="1:16">
      <c r="A985" s="226"/>
      <c r="B985" s="131" t="s">
        <v>772</v>
      </c>
      <c r="C985" s="226">
        <v>90704</v>
      </c>
      <c r="D985" s="390"/>
      <c r="H985" s="225"/>
      <c r="J985" s="387"/>
      <c r="K985" s="225"/>
      <c r="P985" s="225"/>
    </row>
    <row r="986" spans="1:16">
      <c r="A986" s="226"/>
      <c r="B986" s="131" t="s">
        <v>2750</v>
      </c>
      <c r="C986" s="226">
        <v>91633</v>
      </c>
      <c r="D986" s="390"/>
      <c r="H986" s="225"/>
      <c r="J986" s="387"/>
      <c r="K986" s="225"/>
      <c r="P986" s="225"/>
    </row>
    <row r="987" spans="1:16">
      <c r="A987" s="226"/>
      <c r="B987" s="131" t="s">
        <v>2040</v>
      </c>
      <c r="C987" s="226">
        <v>90631</v>
      </c>
      <c r="D987" s="390"/>
      <c r="H987" s="225"/>
      <c r="J987" s="387"/>
      <c r="K987" s="225"/>
      <c r="P987" s="225"/>
    </row>
    <row r="988" spans="1:16">
      <c r="A988" s="226"/>
      <c r="B988" s="131" t="s">
        <v>2041</v>
      </c>
      <c r="C988" s="226">
        <v>90731</v>
      </c>
      <c r="D988" s="390"/>
      <c r="H988" s="225"/>
      <c r="J988" s="387"/>
      <c r="K988" s="225"/>
      <c r="P988" s="225"/>
    </row>
    <row r="989" spans="1:16">
      <c r="A989" s="226"/>
      <c r="B989" s="131" t="s">
        <v>1946</v>
      </c>
      <c r="C989" s="226">
        <v>93621</v>
      </c>
      <c r="D989" s="390"/>
      <c r="H989" s="225"/>
      <c r="J989" s="388"/>
      <c r="K989" s="225"/>
      <c r="P989" s="225"/>
    </row>
    <row r="990" spans="1:16">
      <c r="A990" s="226"/>
      <c r="B990" s="131" t="s">
        <v>1066</v>
      </c>
      <c r="C990" s="226">
        <v>93623</v>
      </c>
      <c r="D990" s="390"/>
      <c r="H990" s="225"/>
      <c r="J990" s="387"/>
      <c r="K990" s="225"/>
      <c r="P990" s="225"/>
    </row>
    <row r="991" spans="1:16">
      <c r="A991" s="226"/>
      <c r="B991" s="131" t="s">
        <v>2042</v>
      </c>
      <c r="C991" s="226">
        <v>91020</v>
      </c>
      <c r="D991" s="390"/>
      <c r="H991" s="225"/>
      <c r="J991" s="387"/>
      <c r="K991" s="225"/>
      <c r="P991" s="225"/>
    </row>
    <row r="992" spans="1:16">
      <c r="A992" s="226"/>
      <c r="B992" s="131" t="s">
        <v>2043</v>
      </c>
      <c r="C992" s="226">
        <v>95141</v>
      </c>
      <c r="D992" s="390"/>
      <c r="H992" s="225"/>
      <c r="J992" s="388"/>
      <c r="K992" s="225"/>
      <c r="P992" s="225"/>
    </row>
    <row r="993" spans="1:16">
      <c r="A993" s="226"/>
      <c r="B993" s="131" t="s">
        <v>1186</v>
      </c>
      <c r="C993" s="226">
        <v>95103</v>
      </c>
      <c r="D993" s="390"/>
      <c r="H993" s="225"/>
      <c r="J993" s="387"/>
      <c r="K993" s="225"/>
      <c r="P993" s="225"/>
    </row>
    <row r="994" spans="1:16">
      <c r="A994" s="226"/>
      <c r="B994" s="131" t="s">
        <v>2044</v>
      </c>
      <c r="C994" s="226">
        <v>93021</v>
      </c>
      <c r="D994" s="390"/>
      <c r="H994" s="225"/>
      <c r="J994" s="387"/>
      <c r="K994" s="225"/>
      <c r="P994" s="225"/>
    </row>
    <row r="995" spans="1:16">
      <c r="A995" s="226"/>
      <c r="B995" s="131" t="s">
        <v>780</v>
      </c>
      <c r="C995" s="226">
        <v>90801</v>
      </c>
      <c r="D995" s="390"/>
      <c r="H995" s="225"/>
      <c r="J995" s="387"/>
      <c r="K995" s="225"/>
      <c r="P995" s="225"/>
    </row>
    <row r="996" spans="1:16">
      <c r="A996" s="226"/>
      <c r="B996" s="131" t="s">
        <v>781</v>
      </c>
      <c r="C996" s="226">
        <v>90804</v>
      </c>
      <c r="D996" s="390"/>
      <c r="H996" s="225"/>
      <c r="J996" s="387"/>
      <c r="K996" s="225"/>
      <c r="P996" s="225"/>
    </row>
    <row r="997" spans="1:16">
      <c r="A997" s="226"/>
      <c r="B997" s="131" t="s">
        <v>783</v>
      </c>
      <c r="C997" s="226">
        <v>90808</v>
      </c>
      <c r="D997" s="390"/>
      <c r="H997" s="225"/>
      <c r="J997" s="387"/>
      <c r="K997" s="225"/>
      <c r="P997" s="225"/>
    </row>
    <row r="998" spans="1:16">
      <c r="A998" s="226"/>
      <c r="B998" s="131" t="s">
        <v>1072</v>
      </c>
      <c r="C998" s="226">
        <v>93671</v>
      </c>
      <c r="D998" s="390"/>
      <c r="H998" s="225"/>
      <c r="J998" s="388"/>
      <c r="K998" s="225"/>
      <c r="P998" s="225"/>
    </row>
    <row r="999" spans="1:16">
      <c r="A999" s="226"/>
      <c r="B999" s="131" t="s">
        <v>2770</v>
      </c>
      <c r="C999" s="226">
        <v>93677</v>
      </c>
      <c r="D999" s="390"/>
      <c r="H999" s="225"/>
      <c r="J999" s="387"/>
      <c r="K999" s="225"/>
      <c r="P999" s="225"/>
    </row>
    <row r="1000" spans="1:16">
      <c r="A1000" s="226"/>
      <c r="B1000" s="131" t="s">
        <v>2045</v>
      </c>
      <c r="C1000" s="226">
        <v>97441</v>
      </c>
      <c r="D1000" s="390"/>
      <c r="H1000" s="225"/>
      <c r="J1000" s="387"/>
      <c r="K1000" s="225"/>
      <c r="P1000" s="225"/>
    </row>
    <row r="1001" spans="1:16">
      <c r="A1001" s="226"/>
      <c r="B1001" s="131" t="s">
        <v>2046</v>
      </c>
      <c r="C1001" s="226">
        <v>93111</v>
      </c>
      <c r="D1001" s="390"/>
      <c r="H1001" s="225"/>
      <c r="J1001" s="387"/>
      <c r="K1001" s="225"/>
      <c r="P1001" s="225"/>
    </row>
    <row r="1002" spans="1:16">
      <c r="A1002" s="226"/>
      <c r="B1002" s="131" t="s">
        <v>2047</v>
      </c>
      <c r="C1002" s="226">
        <v>91111</v>
      </c>
      <c r="D1002" s="390"/>
      <c r="H1002" s="225"/>
      <c r="J1002" s="387"/>
      <c r="K1002" s="225"/>
      <c r="P1002" s="225"/>
    </row>
    <row r="1003" spans="1:16">
      <c r="A1003" s="226"/>
      <c r="B1003" s="131" t="s">
        <v>2048</v>
      </c>
      <c r="C1003" s="226">
        <v>96231</v>
      </c>
      <c r="D1003" s="390"/>
      <c r="H1003" s="225"/>
      <c r="J1003" s="387"/>
      <c r="K1003" s="225"/>
      <c r="P1003" s="225"/>
    </row>
    <row r="1004" spans="1:16">
      <c r="A1004" s="226"/>
      <c r="B1004" s="131" t="s">
        <v>2049</v>
      </c>
      <c r="C1004" s="51">
        <v>99831</v>
      </c>
      <c r="D1004" s="390"/>
      <c r="H1004" s="225"/>
      <c r="J1004" s="387"/>
      <c r="K1004" s="225"/>
      <c r="P1004" s="225"/>
    </row>
    <row r="1005" spans="1:16">
      <c r="A1005" s="226"/>
      <c r="B1005" s="131" t="s">
        <v>2050</v>
      </c>
      <c r="C1005" s="226">
        <v>91151</v>
      </c>
      <c r="D1005" s="390"/>
      <c r="H1005" s="225"/>
      <c r="J1005" s="387"/>
      <c r="K1005" s="225"/>
      <c r="P1005" s="225"/>
    </row>
    <row r="1006" spans="1:16">
      <c r="A1006" s="226"/>
      <c r="B1006" s="131" t="s">
        <v>840</v>
      </c>
      <c r="C1006" s="226">
        <v>91154</v>
      </c>
      <c r="D1006" s="390"/>
      <c r="H1006" s="225"/>
      <c r="J1006" s="387"/>
      <c r="K1006" s="225"/>
      <c r="P1006" s="225"/>
    </row>
    <row r="1007" spans="1:16">
      <c r="A1007" s="226"/>
      <c r="B1007" s="131" t="s">
        <v>788</v>
      </c>
      <c r="C1007" s="226">
        <v>90901</v>
      </c>
      <c r="D1007" s="390"/>
      <c r="H1007" s="225"/>
      <c r="J1007" s="388"/>
      <c r="K1007" s="225"/>
      <c r="P1007" s="225"/>
    </row>
    <row r="1008" spans="1:16">
      <c r="A1008" s="226"/>
      <c r="B1008" s="131" t="s">
        <v>2051</v>
      </c>
      <c r="C1008" s="226">
        <v>90941</v>
      </c>
      <c r="D1008" s="390"/>
      <c r="H1008" s="225"/>
      <c r="J1008" s="387"/>
      <c r="K1008" s="225"/>
      <c r="P1008" s="225"/>
    </row>
    <row r="1009" spans="1:16">
      <c r="A1009" s="226"/>
      <c r="B1009" s="131" t="s">
        <v>2052</v>
      </c>
      <c r="C1009" s="226">
        <v>99521</v>
      </c>
      <c r="D1009" s="390"/>
      <c r="H1009" s="225"/>
      <c r="J1009" s="387"/>
      <c r="K1009" s="225"/>
      <c r="P1009" s="225"/>
    </row>
    <row r="1010" spans="1:16">
      <c r="A1010" s="226"/>
      <c r="B1010" s="131" t="s">
        <v>1576</v>
      </c>
      <c r="C1010" s="226">
        <v>99527</v>
      </c>
      <c r="D1010" s="390"/>
      <c r="H1010" s="225"/>
      <c r="J1010" s="388"/>
      <c r="K1010" s="225"/>
      <c r="P1010" s="225"/>
    </row>
    <row r="1011" spans="1:16">
      <c r="A1011" s="226"/>
      <c r="B1011" s="131" t="s">
        <v>1572</v>
      </c>
      <c r="C1011" s="226">
        <v>99508</v>
      </c>
      <c r="D1011" s="390"/>
      <c r="H1011" s="225"/>
      <c r="J1011" s="387"/>
      <c r="K1011" s="225"/>
      <c r="P1011" s="225"/>
    </row>
    <row r="1012" spans="1:16">
      <c r="A1012" s="226"/>
      <c r="B1012" s="131" t="s">
        <v>1152</v>
      </c>
      <c r="C1012" s="226">
        <v>94532</v>
      </c>
      <c r="D1012" s="390"/>
      <c r="H1012" s="225"/>
      <c r="J1012" s="387"/>
      <c r="K1012" s="225"/>
      <c r="P1012" s="225"/>
    </row>
    <row r="1013" spans="1:16">
      <c r="A1013" s="226"/>
      <c r="B1013" s="131" t="s">
        <v>1947</v>
      </c>
      <c r="C1013" s="226">
        <v>91071</v>
      </c>
      <c r="D1013" s="390"/>
      <c r="H1013" s="225"/>
      <c r="J1013" s="387"/>
      <c r="K1013" s="225"/>
      <c r="P1013" s="225"/>
    </row>
    <row r="1014" spans="1:16">
      <c r="A1014" s="226"/>
      <c r="B1014" s="131" t="s">
        <v>822</v>
      </c>
      <c r="C1014" s="226">
        <v>91077</v>
      </c>
      <c r="D1014" s="390"/>
      <c r="H1014" s="225"/>
      <c r="J1014" s="387"/>
      <c r="K1014" s="225"/>
      <c r="P1014" s="225"/>
    </row>
    <row r="1015" spans="1:16">
      <c r="A1015" s="226"/>
      <c r="B1015" s="131" t="s">
        <v>2053</v>
      </c>
      <c r="C1015" s="226">
        <v>92331</v>
      </c>
      <c r="D1015" s="390"/>
      <c r="H1015" s="225"/>
      <c r="J1015" s="387"/>
      <c r="K1015" s="225"/>
      <c r="P1015" s="225"/>
    </row>
    <row r="1016" spans="1:16">
      <c r="A1016" s="226"/>
      <c r="B1016" s="131" t="s">
        <v>2054</v>
      </c>
      <c r="C1016" s="226">
        <v>92414</v>
      </c>
      <c r="D1016" s="390"/>
      <c r="H1016" s="225"/>
      <c r="J1016" s="387"/>
      <c r="K1016" s="225"/>
      <c r="P1016" s="225"/>
    </row>
    <row r="1017" spans="1:16">
      <c r="A1017" s="226"/>
      <c r="B1017" s="131" t="s">
        <v>2055</v>
      </c>
      <c r="C1017" s="226">
        <v>99511</v>
      </c>
      <c r="D1017" s="390"/>
      <c r="H1017" s="225"/>
      <c r="J1017" s="387"/>
      <c r="K1017" s="225"/>
      <c r="P1017" s="225"/>
    </row>
    <row r="1018" spans="1:16">
      <c r="A1018" s="226"/>
      <c r="B1018" s="131" t="s">
        <v>2056</v>
      </c>
      <c r="C1018" s="51">
        <v>99941</v>
      </c>
      <c r="D1018" s="390"/>
      <c r="H1018" s="225"/>
      <c r="J1018" s="387"/>
      <c r="K1018" s="225"/>
      <c r="P1018" s="225"/>
    </row>
    <row r="1019" spans="1:16">
      <c r="A1019" s="226"/>
      <c r="B1019" s="131" t="s">
        <v>1294</v>
      </c>
      <c r="C1019" s="226">
        <v>96405</v>
      </c>
      <c r="D1019" s="390"/>
      <c r="H1019" s="225"/>
      <c r="J1019" s="388"/>
      <c r="K1019" s="225"/>
      <c r="P1019" s="225"/>
    </row>
    <row r="1020" spans="1:16">
      <c r="A1020" s="226"/>
      <c r="B1020" s="131" t="s">
        <v>1948</v>
      </c>
      <c r="C1020" s="226">
        <v>98811</v>
      </c>
      <c r="D1020" s="390"/>
      <c r="H1020" s="225"/>
      <c r="J1020" s="387"/>
      <c r="K1020" s="225"/>
      <c r="P1020" s="225"/>
    </row>
    <row r="1021" spans="1:16">
      <c r="A1021" s="226"/>
      <c r="B1021" s="131" t="s">
        <v>1514</v>
      </c>
      <c r="C1021" s="226">
        <v>98817</v>
      </c>
      <c r="D1021" s="390"/>
      <c r="H1021" s="225"/>
      <c r="J1021" s="387"/>
      <c r="K1021" s="225"/>
      <c r="P1021" s="225"/>
    </row>
    <row r="1022" spans="1:16">
      <c r="A1022" s="226"/>
      <c r="B1022" s="131" t="s">
        <v>2057</v>
      </c>
      <c r="C1022" s="226">
        <v>92561</v>
      </c>
      <c r="D1022" s="390"/>
      <c r="H1022" s="225"/>
      <c r="J1022" s="388"/>
      <c r="K1022" s="225"/>
      <c r="P1022" s="225"/>
    </row>
    <row r="1023" spans="1:16">
      <c r="A1023" s="226"/>
      <c r="B1023" s="131" t="s">
        <v>1455</v>
      </c>
      <c r="C1023" s="226">
        <v>98102</v>
      </c>
      <c r="D1023" s="390"/>
      <c r="H1023" s="225"/>
      <c r="J1023" s="387"/>
      <c r="K1023" s="225"/>
      <c r="P1023" s="225"/>
    </row>
    <row r="1024" spans="1:16">
      <c r="A1024" s="226"/>
      <c r="B1024" s="131" t="s">
        <v>2058</v>
      </c>
      <c r="C1024" s="226">
        <v>95321</v>
      </c>
      <c r="D1024" s="390"/>
      <c r="H1024" s="225"/>
      <c r="J1024" s="387"/>
      <c r="K1024" s="225"/>
      <c r="P1024" s="225"/>
    </row>
    <row r="1025" spans="1:16">
      <c r="A1025" s="226"/>
      <c r="B1025" s="131" t="s">
        <v>2059</v>
      </c>
      <c r="C1025" s="226">
        <v>91861</v>
      </c>
      <c r="D1025" s="390"/>
      <c r="H1025" s="225"/>
      <c r="J1025" s="387"/>
      <c r="K1025" s="225"/>
      <c r="P1025" s="225"/>
    </row>
    <row r="1026" spans="1:16">
      <c r="A1026" s="226"/>
      <c r="B1026" s="131" t="s">
        <v>2060</v>
      </c>
      <c r="C1026" s="226">
        <v>92421</v>
      </c>
      <c r="D1026" s="390"/>
      <c r="H1026" s="225"/>
      <c r="J1026" s="387"/>
      <c r="K1026" s="225"/>
      <c r="P1026" s="225"/>
    </row>
    <row r="1027" spans="1:16">
      <c r="A1027" s="226"/>
      <c r="B1027" s="131" t="s">
        <v>795</v>
      </c>
      <c r="C1027" s="226">
        <v>91001</v>
      </c>
      <c r="D1027" s="390"/>
      <c r="H1027" s="225"/>
      <c r="J1027" s="387"/>
      <c r="K1027" s="225"/>
      <c r="P1027" s="225"/>
    </row>
    <row r="1028" spans="1:16">
      <c r="A1028" s="226"/>
      <c r="B1028" s="131" t="s">
        <v>798</v>
      </c>
      <c r="C1028" s="226">
        <v>91004</v>
      </c>
      <c r="D1028" s="390"/>
      <c r="H1028" s="225"/>
      <c r="J1028" s="387"/>
      <c r="K1028" s="225"/>
      <c r="P1028" s="225"/>
    </row>
    <row r="1029" spans="1:16">
      <c r="A1029" s="226"/>
      <c r="B1029" s="131" t="s">
        <v>2771</v>
      </c>
      <c r="C1029" s="226">
        <v>91006</v>
      </c>
      <c r="D1029" s="390"/>
      <c r="H1029" s="225"/>
      <c r="J1029" s="387"/>
      <c r="K1029" s="225"/>
      <c r="P1029" s="225"/>
    </row>
    <row r="1030" spans="1:16">
      <c r="A1030" s="226"/>
      <c r="B1030" s="131" t="s">
        <v>2772</v>
      </c>
      <c r="C1030" s="226">
        <v>91003</v>
      </c>
      <c r="D1030" s="390"/>
      <c r="H1030" s="225"/>
      <c r="J1030" s="387"/>
      <c r="K1030" s="225"/>
      <c r="P1030" s="225"/>
    </row>
    <row r="1031" spans="1:16">
      <c r="A1031" s="226"/>
      <c r="B1031" s="131" t="s">
        <v>802</v>
      </c>
      <c r="C1031" s="226">
        <v>91009</v>
      </c>
      <c r="D1031" s="390"/>
      <c r="H1031" s="225"/>
      <c r="J1031" s="388"/>
      <c r="K1031" s="225"/>
      <c r="P1031" s="225"/>
    </row>
    <row r="1032" spans="1:16">
      <c r="A1032" s="226"/>
      <c r="B1032" s="131" t="s">
        <v>815</v>
      </c>
      <c r="C1032" s="226">
        <v>91042</v>
      </c>
      <c r="D1032" s="390"/>
      <c r="H1032" s="225"/>
      <c r="J1032" s="387"/>
      <c r="K1032" s="225"/>
      <c r="P1032" s="225"/>
    </row>
    <row r="1033" spans="1:16">
      <c r="A1033" s="226"/>
      <c r="B1033" s="131" t="s">
        <v>2061</v>
      </c>
      <c r="C1033" s="226">
        <v>98711</v>
      </c>
      <c r="D1033" s="390"/>
      <c r="H1033" s="225"/>
      <c r="J1033" s="387"/>
      <c r="K1033" s="225"/>
      <c r="P1033" s="225"/>
    </row>
    <row r="1034" spans="1:16">
      <c r="A1034" s="226"/>
      <c r="B1034" s="131" t="s">
        <v>1511</v>
      </c>
      <c r="C1034" s="226">
        <v>98717</v>
      </c>
      <c r="D1034" s="390"/>
      <c r="H1034" s="225"/>
      <c r="J1034" s="388"/>
      <c r="K1034" s="225"/>
      <c r="P1034" s="225"/>
    </row>
    <row r="1035" spans="1:16">
      <c r="A1035" s="226"/>
      <c r="B1035" s="131" t="s">
        <v>825</v>
      </c>
      <c r="C1035" s="226">
        <v>91101</v>
      </c>
      <c r="D1035" s="390"/>
      <c r="H1035" s="225"/>
      <c r="J1035" s="387"/>
      <c r="K1035" s="225"/>
      <c r="P1035" s="225"/>
    </row>
    <row r="1036" spans="1:16">
      <c r="A1036" s="226"/>
      <c r="B1036" s="131" t="s">
        <v>2062</v>
      </c>
      <c r="C1036" s="226">
        <v>93531</v>
      </c>
      <c r="D1036" s="390"/>
      <c r="H1036" s="225"/>
      <c r="J1036" s="387"/>
      <c r="K1036" s="225"/>
      <c r="P1036" s="225"/>
    </row>
    <row r="1037" spans="1:16">
      <c r="A1037" s="226"/>
      <c r="B1037" s="131" t="s">
        <v>2745</v>
      </c>
      <c r="C1037" s="226">
        <v>93537</v>
      </c>
      <c r="D1037" s="390"/>
      <c r="H1037" s="225"/>
      <c r="J1037" s="387"/>
      <c r="K1037" s="225"/>
      <c r="P1037" s="225"/>
    </row>
    <row r="1038" spans="1:16">
      <c r="A1038" s="226"/>
      <c r="B1038" s="131" t="s">
        <v>2063</v>
      </c>
      <c r="C1038" s="226">
        <v>97111</v>
      </c>
      <c r="D1038" s="390"/>
      <c r="H1038" s="225"/>
      <c r="J1038" s="387"/>
      <c r="K1038" s="225"/>
      <c r="P1038" s="225"/>
    </row>
    <row r="1039" spans="1:16">
      <c r="A1039" s="226"/>
      <c r="B1039" s="131" t="s">
        <v>843</v>
      </c>
      <c r="C1039" s="226">
        <v>91201</v>
      </c>
      <c r="D1039" s="390"/>
      <c r="H1039" s="225"/>
      <c r="J1039" s="387"/>
      <c r="K1039" s="225"/>
      <c r="P1039" s="225"/>
    </row>
    <row r="1040" spans="1:16">
      <c r="A1040" s="226"/>
      <c r="B1040" s="131" t="s">
        <v>2773</v>
      </c>
      <c r="C1040" s="226">
        <v>91206</v>
      </c>
      <c r="D1040" s="390"/>
      <c r="H1040" s="225"/>
      <c r="J1040" s="387"/>
      <c r="K1040" s="225"/>
      <c r="P1040" s="225"/>
    </row>
    <row r="1041" spans="1:16">
      <c r="A1041" s="226"/>
      <c r="B1041" s="131" t="s">
        <v>2774</v>
      </c>
      <c r="C1041" s="226">
        <v>91203</v>
      </c>
      <c r="D1041" s="390"/>
      <c r="H1041" s="225"/>
      <c r="J1041" s="387"/>
      <c r="K1041" s="225"/>
      <c r="P1041" s="225"/>
    </row>
    <row r="1042" spans="1:16">
      <c r="A1042" s="226"/>
      <c r="B1042" s="131" t="s">
        <v>847</v>
      </c>
      <c r="C1042" s="226">
        <v>91208</v>
      </c>
      <c r="D1042" s="390"/>
      <c r="H1042" s="225"/>
      <c r="J1042" s="387"/>
      <c r="K1042" s="225"/>
      <c r="P1042" s="225"/>
    </row>
    <row r="1043" spans="1:16">
      <c r="A1043" s="226"/>
      <c r="B1043" s="131" t="s">
        <v>844</v>
      </c>
      <c r="C1043" s="226">
        <v>91202</v>
      </c>
      <c r="D1043" s="390"/>
      <c r="H1043" s="225"/>
      <c r="J1043" s="388"/>
      <c r="K1043" s="225"/>
      <c r="P1043" s="225"/>
    </row>
    <row r="1044" spans="1:16">
      <c r="A1044" s="226"/>
      <c r="B1044" s="131" t="s">
        <v>1949</v>
      </c>
      <c r="C1044" s="226">
        <v>90111</v>
      </c>
      <c r="D1044" s="390"/>
      <c r="H1044" s="225"/>
      <c r="J1044" s="387"/>
      <c r="K1044" s="225"/>
      <c r="P1044" s="225"/>
    </row>
    <row r="1045" spans="1:16">
      <c r="A1045" s="226"/>
      <c r="B1045" s="131" t="s">
        <v>2064</v>
      </c>
      <c r="C1045" s="226">
        <v>90011</v>
      </c>
      <c r="D1045" s="390"/>
      <c r="H1045" s="225"/>
      <c r="J1045" s="387"/>
      <c r="K1045" s="225"/>
      <c r="P1045" s="225"/>
    </row>
    <row r="1046" spans="1:16">
      <c r="A1046" s="226"/>
      <c r="B1046" s="131" t="s">
        <v>2065</v>
      </c>
      <c r="C1046" s="226">
        <v>93931</v>
      </c>
      <c r="D1046" s="390"/>
      <c r="H1046" s="225"/>
      <c r="J1046" s="388"/>
      <c r="K1046" s="225"/>
      <c r="P1046" s="225"/>
    </row>
    <row r="1047" spans="1:16">
      <c r="A1047" s="226"/>
      <c r="B1047" s="131" t="s">
        <v>858</v>
      </c>
      <c r="C1047" s="226">
        <v>91301</v>
      </c>
      <c r="D1047" s="390"/>
      <c r="H1047" s="225"/>
      <c r="J1047" s="387"/>
      <c r="K1047" s="225"/>
      <c r="P1047" s="225"/>
    </row>
    <row r="1048" spans="1:16">
      <c r="A1048" s="226"/>
      <c r="B1048" s="131" t="s">
        <v>2775</v>
      </c>
      <c r="C1048" s="226">
        <v>91306</v>
      </c>
      <c r="D1048" s="390"/>
      <c r="H1048" s="225"/>
      <c r="J1048" s="387"/>
      <c r="K1048" s="225"/>
      <c r="P1048" s="225"/>
    </row>
    <row r="1049" spans="1:16">
      <c r="A1049" s="226"/>
      <c r="B1049" s="131" t="s">
        <v>861</v>
      </c>
      <c r="C1049" s="226">
        <v>91308</v>
      </c>
      <c r="D1049" s="390"/>
      <c r="H1049" s="225"/>
      <c r="J1049" s="387"/>
      <c r="K1049" s="225"/>
      <c r="P1049" s="225"/>
    </row>
    <row r="1050" spans="1:16">
      <c r="A1050" s="226"/>
      <c r="B1050" s="131" t="s">
        <v>2066</v>
      </c>
      <c r="C1050" s="226">
        <v>91461</v>
      </c>
      <c r="D1050" s="390"/>
      <c r="H1050" s="225"/>
      <c r="J1050" s="387"/>
      <c r="K1050" s="225"/>
      <c r="P1050" s="225"/>
    </row>
    <row r="1051" spans="1:16">
      <c r="A1051" s="226"/>
      <c r="B1051" s="131" t="s">
        <v>2067</v>
      </c>
      <c r="C1051" s="226">
        <v>91010</v>
      </c>
      <c r="D1051" s="390"/>
      <c r="H1051" s="225"/>
      <c r="J1051" s="387"/>
      <c r="K1051" s="225"/>
      <c r="P1051" s="225"/>
    </row>
    <row r="1052" spans="1:16">
      <c r="A1052" s="226"/>
      <c r="B1052" s="131" t="s">
        <v>800</v>
      </c>
      <c r="C1052" s="226">
        <v>91007</v>
      </c>
      <c r="D1052" s="390"/>
      <c r="H1052" s="225"/>
      <c r="J1052" s="387"/>
      <c r="K1052" s="225"/>
      <c r="P1052" s="225"/>
    </row>
    <row r="1053" spans="1:16">
      <c r="A1053" s="226"/>
      <c r="B1053" s="131" t="s">
        <v>868</v>
      </c>
      <c r="C1053" s="226">
        <v>91401</v>
      </c>
      <c r="D1053" s="390"/>
      <c r="H1053" s="225"/>
      <c r="J1053" s="387"/>
      <c r="K1053" s="225"/>
      <c r="P1053" s="225"/>
    </row>
    <row r="1054" spans="1:16">
      <c r="A1054" s="226"/>
      <c r="B1054" s="131" t="s">
        <v>2068</v>
      </c>
      <c r="C1054" s="226">
        <v>93171</v>
      </c>
      <c r="D1054" s="390"/>
      <c r="H1054" s="225"/>
      <c r="J1054" s="387"/>
      <c r="K1054" s="225"/>
      <c r="P1054" s="225"/>
    </row>
    <row r="1055" spans="1:16">
      <c r="A1055" s="226"/>
      <c r="B1055" s="131" t="s">
        <v>878</v>
      </c>
      <c r="C1055" s="226">
        <v>91501</v>
      </c>
      <c r="D1055" s="390"/>
      <c r="H1055" s="225"/>
      <c r="J1055" s="388"/>
      <c r="K1055" s="225"/>
      <c r="P1055" s="225"/>
    </row>
    <row r="1056" spans="1:16">
      <c r="A1056" s="226"/>
      <c r="B1056" s="131" t="s">
        <v>879</v>
      </c>
      <c r="C1056" s="226">
        <v>91504</v>
      </c>
      <c r="D1056" s="390"/>
      <c r="H1056" s="225"/>
      <c r="J1056" s="387"/>
      <c r="K1056" s="225"/>
      <c r="P1056" s="225"/>
    </row>
    <row r="1057" spans="1:16">
      <c r="A1057" s="226"/>
      <c r="B1057" s="131" t="s">
        <v>2069</v>
      </c>
      <c r="C1057" s="226">
        <v>96312</v>
      </c>
      <c r="D1057" s="390"/>
      <c r="H1057" s="225"/>
      <c r="J1057" s="387"/>
      <c r="K1057" s="225"/>
      <c r="P1057" s="225"/>
    </row>
    <row r="1058" spans="1:16">
      <c r="A1058" s="226"/>
      <c r="B1058" s="131" t="s">
        <v>2070</v>
      </c>
      <c r="C1058" s="226">
        <v>96241</v>
      </c>
      <c r="D1058" s="390"/>
      <c r="H1058" s="225"/>
      <c r="J1058" s="388"/>
      <c r="K1058" s="225"/>
      <c r="P1058" s="225"/>
    </row>
    <row r="1059" spans="1:16">
      <c r="A1059" s="226"/>
      <c r="B1059" s="131" t="s">
        <v>2071</v>
      </c>
      <c r="C1059" s="226">
        <v>94431</v>
      </c>
      <c r="D1059" s="390"/>
      <c r="H1059" s="225"/>
      <c r="J1059" s="387"/>
      <c r="K1059" s="225"/>
      <c r="P1059" s="225"/>
    </row>
    <row r="1060" spans="1:16">
      <c r="A1060" s="226"/>
      <c r="B1060" s="131" t="s">
        <v>1144</v>
      </c>
      <c r="C1060" s="226">
        <v>94437</v>
      </c>
      <c r="D1060" s="390"/>
      <c r="H1060" s="225"/>
      <c r="J1060" s="387"/>
      <c r="K1060" s="225"/>
      <c r="P1060" s="225"/>
    </row>
    <row r="1061" spans="1:16">
      <c r="A1061" s="226"/>
      <c r="B1061" s="131" t="s">
        <v>2072</v>
      </c>
      <c r="C1061" s="226">
        <v>91671</v>
      </c>
      <c r="D1061" s="390"/>
      <c r="H1061" s="225"/>
      <c r="J1061" s="387"/>
      <c r="K1061" s="225"/>
      <c r="P1061" s="225"/>
    </row>
    <row r="1062" spans="1:16">
      <c r="A1062" s="226"/>
      <c r="B1062" s="131" t="s">
        <v>801</v>
      </c>
      <c r="C1062" s="226">
        <v>91008</v>
      </c>
      <c r="D1062" s="390"/>
      <c r="H1062" s="225"/>
      <c r="J1062" s="387"/>
      <c r="K1062" s="225"/>
      <c r="P1062" s="225"/>
    </row>
    <row r="1063" spans="1:16">
      <c r="A1063" s="226"/>
      <c r="B1063" s="131" t="s">
        <v>1308</v>
      </c>
      <c r="C1063" s="226">
        <v>96512</v>
      </c>
      <c r="D1063" s="390"/>
      <c r="H1063" s="225"/>
      <c r="J1063" s="387"/>
      <c r="K1063" s="225"/>
      <c r="P1063" s="225"/>
    </row>
    <row r="1064" spans="1:16">
      <c r="A1064" s="226"/>
      <c r="B1064" s="131" t="s">
        <v>1305</v>
      </c>
      <c r="C1064" s="226">
        <v>96507</v>
      </c>
      <c r="D1064" s="390"/>
      <c r="H1064" s="225"/>
      <c r="J1064" s="387"/>
      <c r="K1064" s="225"/>
      <c r="P1064" s="225"/>
    </row>
    <row r="1065" spans="1:16">
      <c r="A1065" s="226"/>
      <c r="B1065" s="131" t="s">
        <v>1636</v>
      </c>
      <c r="C1065" s="226">
        <v>91015</v>
      </c>
      <c r="D1065" s="390"/>
      <c r="H1065" s="225"/>
      <c r="J1065" s="387"/>
      <c r="K1065" s="225"/>
      <c r="P1065" s="225"/>
    </row>
    <row r="1066" spans="1:16">
      <c r="A1066" s="226"/>
      <c r="B1066" s="131" t="s">
        <v>2073</v>
      </c>
      <c r="C1066" s="226">
        <v>96521</v>
      </c>
      <c r="D1066" s="390"/>
      <c r="H1066" s="225"/>
      <c r="J1066" s="387"/>
      <c r="K1066" s="225"/>
      <c r="P1066" s="225"/>
    </row>
    <row r="1067" spans="1:16">
      <c r="A1067" s="226"/>
      <c r="B1067" s="131" t="s">
        <v>2074</v>
      </c>
      <c r="C1067" s="226">
        <v>91024</v>
      </c>
      <c r="D1067" s="390"/>
      <c r="H1067" s="225"/>
      <c r="J1067" s="388"/>
      <c r="K1067" s="225"/>
      <c r="P1067" s="225"/>
    </row>
    <row r="1068" spans="1:16">
      <c r="A1068" s="226"/>
      <c r="B1068" s="131" t="s">
        <v>2075</v>
      </c>
      <c r="C1068" s="226">
        <v>96821</v>
      </c>
      <c r="D1068" s="390"/>
      <c r="H1068" s="225"/>
      <c r="J1068" s="387"/>
      <c r="K1068" s="225"/>
      <c r="P1068" s="225"/>
    </row>
    <row r="1069" spans="1:16">
      <c r="A1069" s="226"/>
      <c r="B1069" s="131" t="s">
        <v>880</v>
      </c>
      <c r="C1069" s="226">
        <v>91601</v>
      </c>
      <c r="D1069" s="390"/>
      <c r="H1069" s="225"/>
      <c r="J1069" s="387"/>
      <c r="K1069" s="225"/>
      <c r="P1069" s="225"/>
    </row>
    <row r="1070" spans="1:16">
      <c r="A1070" s="51"/>
      <c r="B1070" s="131" t="s">
        <v>881</v>
      </c>
      <c r="C1070" s="226">
        <v>91604</v>
      </c>
      <c r="D1070" s="390"/>
      <c r="H1070" s="225"/>
      <c r="J1070" s="388"/>
      <c r="K1070" s="225"/>
      <c r="P1070" s="225"/>
    </row>
    <row r="1071" spans="1:16">
      <c r="A1071" s="51"/>
      <c r="B1071" s="131" t="s">
        <v>2076</v>
      </c>
      <c r="C1071" s="226">
        <v>96391</v>
      </c>
      <c r="D1071" s="390"/>
      <c r="H1071" s="225"/>
      <c r="J1071" s="387"/>
      <c r="K1071" s="225"/>
      <c r="P1071" s="225"/>
    </row>
    <row r="1072" spans="1:16">
      <c r="A1072" s="51"/>
      <c r="B1072" s="131" t="s">
        <v>2077</v>
      </c>
      <c r="C1072" s="226">
        <v>99221</v>
      </c>
      <c r="D1072" s="390"/>
      <c r="H1072" s="225"/>
      <c r="J1072" s="387"/>
      <c r="K1072" s="225"/>
      <c r="P1072" s="225"/>
    </row>
    <row r="1073" spans="1:16">
      <c r="A1073" s="226"/>
      <c r="B1073" s="131" t="s">
        <v>2078</v>
      </c>
      <c r="C1073" s="226">
        <v>91051</v>
      </c>
      <c r="D1073" s="390"/>
      <c r="H1073" s="225"/>
      <c r="J1073" s="387"/>
      <c r="K1073" s="225"/>
      <c r="P1073" s="225"/>
    </row>
    <row r="1074" spans="1:16">
      <c r="A1074" s="226"/>
      <c r="B1074" s="131" t="s">
        <v>893</v>
      </c>
      <c r="C1074" s="226">
        <v>91701</v>
      </c>
      <c r="D1074" s="390"/>
      <c r="H1074" s="225"/>
      <c r="J1074" s="387"/>
      <c r="K1074" s="225"/>
      <c r="P1074" s="225"/>
    </row>
    <row r="1075" spans="1:16">
      <c r="A1075" s="226"/>
      <c r="B1075" s="131" t="s">
        <v>894</v>
      </c>
      <c r="C1075" s="226">
        <v>91704</v>
      </c>
      <c r="D1075" s="390"/>
      <c r="H1075" s="225"/>
      <c r="J1075" s="387"/>
      <c r="K1075" s="225"/>
      <c r="P1075" s="225"/>
    </row>
    <row r="1076" spans="1:16">
      <c r="A1076" s="226"/>
      <c r="B1076" s="131" t="s">
        <v>2776</v>
      </c>
      <c r="C1076" s="226">
        <v>91706</v>
      </c>
      <c r="D1076" s="390"/>
      <c r="H1076" s="225"/>
      <c r="J1076" s="388"/>
      <c r="K1076" s="225"/>
      <c r="P1076" s="225"/>
    </row>
    <row r="1077" spans="1:16">
      <c r="A1077" s="226"/>
      <c r="B1077" s="131" t="s">
        <v>2079</v>
      </c>
      <c r="C1077" s="226">
        <v>91881</v>
      </c>
      <c r="D1077" s="390"/>
      <c r="H1077" s="225"/>
      <c r="J1077" s="387"/>
      <c r="K1077" s="225"/>
      <c r="P1077" s="225"/>
    </row>
    <row r="1078" spans="1:16">
      <c r="A1078" s="226"/>
      <c r="B1078" s="131" t="s">
        <v>897</v>
      </c>
      <c r="C1078" s="226">
        <v>91801</v>
      </c>
      <c r="D1078" s="390"/>
      <c r="H1078" s="225"/>
      <c r="J1078" s="387"/>
      <c r="K1078" s="225"/>
      <c r="P1078" s="225"/>
    </row>
    <row r="1079" spans="1:16">
      <c r="A1079" s="226"/>
      <c r="B1079" s="131" t="s">
        <v>898</v>
      </c>
      <c r="C1079" s="226">
        <v>91804</v>
      </c>
      <c r="D1079" s="390"/>
      <c r="H1079" s="225"/>
      <c r="J1079" s="387"/>
      <c r="K1079" s="225"/>
      <c r="P1079" s="225"/>
    </row>
    <row r="1080" spans="1:16">
      <c r="A1080" s="226"/>
      <c r="B1080" s="131" t="s">
        <v>2080</v>
      </c>
      <c r="C1080" s="226">
        <v>91691</v>
      </c>
      <c r="D1080" s="390"/>
      <c r="H1080" s="225"/>
      <c r="J1080" s="387"/>
      <c r="K1080" s="225"/>
      <c r="P1080" s="225"/>
    </row>
    <row r="1081" spans="1:16">
      <c r="A1081" s="226"/>
      <c r="B1081" s="131" t="s">
        <v>1550</v>
      </c>
      <c r="C1081" s="226">
        <v>99222</v>
      </c>
      <c r="D1081" s="390"/>
      <c r="H1081" s="225"/>
      <c r="J1081" s="387"/>
      <c r="K1081" s="225"/>
      <c r="P1081" s="225"/>
    </row>
    <row r="1082" spans="1:16">
      <c r="A1082" s="226"/>
      <c r="B1082" s="131" t="s">
        <v>1039</v>
      </c>
      <c r="C1082" s="226">
        <v>93408</v>
      </c>
      <c r="D1082" s="390"/>
      <c r="H1082" s="225"/>
      <c r="J1082" s="387"/>
      <c r="K1082" s="225"/>
      <c r="P1082" s="225"/>
    </row>
    <row r="1083" spans="1:16">
      <c r="A1083" s="226"/>
      <c r="B1083" s="131" t="s">
        <v>1254</v>
      </c>
      <c r="C1083" s="226">
        <v>96009</v>
      </c>
      <c r="D1083" s="390"/>
      <c r="H1083" s="225"/>
      <c r="J1083" s="387"/>
      <c r="K1083" s="225"/>
      <c r="P1083" s="225"/>
    </row>
    <row r="1084" spans="1:16">
      <c r="A1084" s="226"/>
      <c r="B1084" s="131" t="s">
        <v>2081</v>
      </c>
      <c r="C1084" s="226">
        <v>92441</v>
      </c>
      <c r="D1084" s="390"/>
      <c r="H1084" s="225"/>
      <c r="J1084" s="387"/>
      <c r="K1084" s="225"/>
      <c r="P1084" s="225"/>
    </row>
    <row r="1085" spans="1:16">
      <c r="A1085" s="226"/>
      <c r="B1085" s="131" t="s">
        <v>2082</v>
      </c>
      <c r="C1085" s="226">
        <v>96811</v>
      </c>
      <c r="D1085" s="390"/>
      <c r="H1085" s="225"/>
      <c r="J1085" s="388"/>
      <c r="K1085" s="225"/>
      <c r="P1085" s="225"/>
    </row>
    <row r="1086" spans="1:16">
      <c r="A1086" s="226"/>
      <c r="B1086" s="131" t="s">
        <v>1950</v>
      </c>
      <c r="C1086" s="226">
        <v>96011</v>
      </c>
      <c r="D1086" s="390"/>
      <c r="H1086" s="225"/>
      <c r="J1086" s="387"/>
      <c r="K1086" s="225"/>
      <c r="P1086" s="225"/>
    </row>
    <row r="1087" spans="1:16">
      <c r="A1087" s="226"/>
      <c r="B1087" s="131" t="s">
        <v>1257</v>
      </c>
      <c r="C1087" s="226">
        <v>96018</v>
      </c>
      <c r="D1087" s="390"/>
      <c r="H1087" s="225"/>
      <c r="J1087" s="387"/>
      <c r="K1087" s="225"/>
      <c r="P1087" s="225"/>
    </row>
    <row r="1088" spans="1:16">
      <c r="A1088" s="226"/>
      <c r="B1088" s="131" t="s">
        <v>1250</v>
      </c>
      <c r="C1088" s="226">
        <v>96003</v>
      </c>
      <c r="D1088" s="390"/>
      <c r="H1088" s="225"/>
      <c r="J1088" s="388"/>
      <c r="K1088" s="225"/>
      <c r="P1088" s="225"/>
    </row>
    <row r="1089" spans="1:16">
      <c r="A1089" s="226"/>
      <c r="B1089" s="131" t="s">
        <v>1252</v>
      </c>
      <c r="C1089" s="226">
        <v>96005</v>
      </c>
      <c r="D1089" s="390"/>
      <c r="H1089" s="225"/>
      <c r="J1089" s="387"/>
      <c r="K1089" s="225"/>
      <c r="P1089" s="225"/>
    </row>
    <row r="1090" spans="1:16">
      <c r="A1090" s="226"/>
      <c r="B1090" s="131" t="s">
        <v>1256</v>
      </c>
      <c r="C1090" s="226">
        <v>96012</v>
      </c>
      <c r="D1090" s="390"/>
      <c r="H1090" s="225"/>
      <c r="J1090" s="387"/>
      <c r="K1090" s="225"/>
      <c r="P1090" s="225"/>
    </row>
    <row r="1091" spans="1:16">
      <c r="A1091" s="226"/>
      <c r="B1091" s="131" t="s">
        <v>911</v>
      </c>
      <c r="C1091" s="226">
        <v>91901</v>
      </c>
      <c r="D1091" s="390"/>
      <c r="H1091" s="225"/>
      <c r="J1091" s="387"/>
      <c r="K1091" s="225"/>
      <c r="P1091" s="225"/>
    </row>
    <row r="1092" spans="1:16">
      <c r="A1092" s="226"/>
      <c r="B1092" s="131" t="s">
        <v>913</v>
      </c>
      <c r="C1092" s="226">
        <v>91904</v>
      </c>
      <c r="D1092" s="390"/>
      <c r="H1092" s="225"/>
      <c r="J1092" s="387"/>
      <c r="K1092" s="225"/>
      <c r="P1092" s="225"/>
    </row>
    <row r="1093" spans="1:16">
      <c r="A1093" s="226"/>
      <c r="B1093" s="131" t="s">
        <v>2777</v>
      </c>
      <c r="C1093" s="226">
        <v>91903</v>
      </c>
      <c r="D1093" s="390"/>
      <c r="H1093" s="225"/>
      <c r="J1093" s="387"/>
      <c r="K1093" s="225"/>
      <c r="P1093" s="225"/>
    </row>
    <row r="1094" spans="1:16">
      <c r="A1094" s="226"/>
      <c r="B1094" s="131" t="s">
        <v>918</v>
      </c>
      <c r="C1094" s="226">
        <v>92001</v>
      </c>
      <c r="D1094" s="390"/>
      <c r="H1094" s="225"/>
      <c r="J1094" s="387"/>
      <c r="K1094" s="225"/>
      <c r="P1094" s="225"/>
    </row>
    <row r="1095" spans="1:16">
      <c r="A1095" s="226"/>
      <c r="B1095" s="131" t="s">
        <v>1951</v>
      </c>
      <c r="C1095" s="226">
        <v>93641</v>
      </c>
      <c r="D1095" s="390"/>
      <c r="H1095" s="225"/>
      <c r="J1095" s="387"/>
      <c r="K1095" s="225"/>
      <c r="P1095" s="225"/>
    </row>
    <row r="1096" spans="1:16">
      <c r="A1096" s="226"/>
      <c r="B1096" s="131" t="s">
        <v>1069</v>
      </c>
      <c r="C1096" s="226">
        <v>93647</v>
      </c>
      <c r="D1096" s="390"/>
      <c r="H1096" s="225"/>
      <c r="J1096" s="387"/>
      <c r="K1096" s="225"/>
      <c r="P1096" s="225"/>
    </row>
    <row r="1097" spans="1:16">
      <c r="A1097" s="226"/>
      <c r="B1097" s="131" t="s">
        <v>2083</v>
      </c>
      <c r="C1097" s="226">
        <v>98041</v>
      </c>
      <c r="D1097" s="390"/>
      <c r="H1097" s="225"/>
      <c r="J1097" s="388"/>
      <c r="K1097" s="225"/>
      <c r="P1097" s="225"/>
    </row>
    <row r="1098" spans="1:16">
      <c r="A1098" s="226"/>
      <c r="B1098" s="131" t="s">
        <v>2761</v>
      </c>
      <c r="C1098" s="226">
        <v>96612</v>
      </c>
      <c r="D1098" s="390"/>
      <c r="H1098" s="225"/>
      <c r="J1098" s="387"/>
      <c r="K1098" s="225"/>
      <c r="P1098" s="225"/>
    </row>
    <row r="1099" spans="1:16">
      <c r="A1099" s="226"/>
      <c r="B1099" s="131" t="s">
        <v>2084</v>
      </c>
      <c r="C1099" s="226">
        <v>90751</v>
      </c>
      <c r="D1099" s="390"/>
      <c r="H1099" s="225"/>
      <c r="J1099" s="387"/>
      <c r="K1099" s="225"/>
      <c r="P1099" s="225"/>
    </row>
    <row r="1100" spans="1:16">
      <c r="A1100" s="226"/>
      <c r="B1100" s="131" t="s">
        <v>923</v>
      </c>
      <c r="C1100" s="226">
        <v>92101</v>
      </c>
      <c r="D1100" s="390"/>
      <c r="H1100" s="225"/>
      <c r="J1100" s="388"/>
      <c r="K1100" s="225"/>
      <c r="P1100" s="225"/>
    </row>
    <row r="1101" spans="1:16">
      <c r="A1101" s="226"/>
      <c r="B1101" s="131" t="s">
        <v>924</v>
      </c>
      <c r="C1101" s="226">
        <v>92104</v>
      </c>
      <c r="D1101" s="390"/>
      <c r="H1101" s="225"/>
      <c r="J1101" s="387"/>
      <c r="K1101" s="225"/>
      <c r="P1101" s="225"/>
    </row>
    <row r="1102" spans="1:16">
      <c r="A1102" s="226"/>
      <c r="B1102" s="131" t="s">
        <v>1952</v>
      </c>
      <c r="C1102" s="226">
        <v>91821</v>
      </c>
      <c r="D1102" s="390"/>
      <c r="H1102" s="225"/>
      <c r="J1102" s="387"/>
      <c r="K1102" s="225"/>
      <c r="P1102" s="225"/>
    </row>
    <row r="1103" spans="1:16">
      <c r="A1103" s="226"/>
      <c r="B1103" s="131" t="s">
        <v>2085</v>
      </c>
      <c r="C1103" s="226">
        <v>90931</v>
      </c>
      <c r="D1103" s="390"/>
      <c r="H1103" s="225"/>
      <c r="J1103" s="387"/>
      <c r="K1103" s="225"/>
      <c r="P1103" s="225"/>
    </row>
    <row r="1104" spans="1:16">
      <c r="A1104" s="226"/>
      <c r="B1104" s="131" t="s">
        <v>928</v>
      </c>
      <c r="C1104" s="226">
        <v>92201</v>
      </c>
      <c r="D1104" s="390"/>
      <c r="H1104" s="225"/>
      <c r="J1104" s="387"/>
      <c r="K1104" s="225"/>
      <c r="P1104" s="225"/>
    </row>
    <row r="1105" spans="1:16">
      <c r="A1105" s="226"/>
      <c r="B1105" s="251" t="s">
        <v>1925</v>
      </c>
      <c r="C1105" s="226">
        <v>92214</v>
      </c>
      <c r="D1105" s="390"/>
      <c r="H1105" s="225"/>
      <c r="J1105" s="387"/>
      <c r="K1105" s="225"/>
      <c r="P1105" s="225"/>
    </row>
    <row r="1106" spans="1:16">
      <c r="A1106" s="226"/>
      <c r="B1106" s="131" t="s">
        <v>2086</v>
      </c>
      <c r="C1106" s="226">
        <v>95131</v>
      </c>
      <c r="D1106" s="390"/>
      <c r="H1106" s="225"/>
      <c r="J1106" s="387"/>
      <c r="K1106" s="225"/>
      <c r="P1106" s="225"/>
    </row>
    <row r="1107" spans="1:16">
      <c r="A1107" s="226"/>
      <c r="B1107" s="131" t="s">
        <v>2495</v>
      </c>
      <c r="C1107" s="226">
        <v>93441</v>
      </c>
      <c r="D1107" s="390"/>
      <c r="H1107" s="225"/>
      <c r="J1107" s="387"/>
      <c r="K1107" s="225"/>
      <c r="P1107" s="225"/>
    </row>
    <row r="1108" spans="1:16">
      <c r="A1108" s="226"/>
      <c r="B1108" s="131" t="s">
        <v>1046</v>
      </c>
      <c r="C1108" s="226">
        <v>93442</v>
      </c>
      <c r="D1108" s="390"/>
      <c r="H1108" s="225"/>
      <c r="J1108" s="387"/>
      <c r="K1108" s="225"/>
      <c r="P1108" s="225"/>
    </row>
    <row r="1109" spans="1:16">
      <c r="A1109" s="226"/>
      <c r="B1109" s="131" t="s">
        <v>2087</v>
      </c>
      <c r="C1109" s="226">
        <v>98091</v>
      </c>
      <c r="D1109" s="390"/>
      <c r="H1109" s="225"/>
      <c r="J1109" s="388"/>
      <c r="K1109" s="225"/>
      <c r="P1109" s="225"/>
    </row>
    <row r="1110" spans="1:16">
      <c r="A1110" s="226"/>
      <c r="B1110" s="131" t="s">
        <v>929</v>
      </c>
      <c r="C1110" s="226">
        <v>92301</v>
      </c>
      <c r="D1110" s="390"/>
      <c r="H1110" s="225"/>
      <c r="J1110" s="387"/>
      <c r="K1110" s="225"/>
      <c r="P1110" s="225"/>
    </row>
    <row r="1111" spans="1:16">
      <c r="A1111" s="226"/>
      <c r="B1111" s="131" t="s">
        <v>930</v>
      </c>
      <c r="C1111" s="226">
        <v>92302</v>
      </c>
      <c r="D1111" s="390"/>
      <c r="H1111" s="225"/>
      <c r="J1111" s="387"/>
      <c r="K1111" s="225"/>
      <c r="P1111" s="225"/>
    </row>
    <row r="1112" spans="1:16">
      <c r="A1112" s="226"/>
      <c r="B1112" s="131" t="s">
        <v>1953</v>
      </c>
      <c r="C1112" s="226">
        <v>98211</v>
      </c>
      <c r="D1112" s="390"/>
      <c r="H1112" s="225"/>
      <c r="J1112" s="388"/>
      <c r="K1112" s="225"/>
      <c r="P1112" s="225"/>
    </row>
    <row r="1113" spans="1:16">
      <c r="A1113" s="226"/>
      <c r="B1113" s="131" t="s">
        <v>1469</v>
      </c>
      <c r="C1113" s="226">
        <v>98218</v>
      </c>
      <c r="D1113" s="390"/>
      <c r="H1113" s="225"/>
      <c r="J1113" s="387"/>
      <c r="K1113" s="225"/>
      <c r="P1113" s="225"/>
    </row>
    <row r="1114" spans="1:16">
      <c r="A1114" s="226"/>
      <c r="B1114" s="131" t="s">
        <v>953</v>
      </c>
      <c r="C1114" s="226">
        <v>92506</v>
      </c>
      <c r="D1114" s="390"/>
      <c r="H1114" s="225"/>
      <c r="J1114" s="387"/>
      <c r="K1114" s="225"/>
      <c r="P1114" s="225"/>
    </row>
    <row r="1115" spans="1:16">
      <c r="A1115" s="226"/>
      <c r="B1115" s="131" t="s">
        <v>2754</v>
      </c>
      <c r="C1115" s="226">
        <v>92508</v>
      </c>
      <c r="D1115" s="390"/>
      <c r="H1115" s="225"/>
      <c r="J1115" s="387"/>
      <c r="K1115" s="225"/>
      <c r="P1115" s="225"/>
    </row>
    <row r="1116" spans="1:16">
      <c r="A1116" s="226"/>
      <c r="B1116" s="131" t="s">
        <v>1615</v>
      </c>
      <c r="C1116" s="226">
        <v>96519</v>
      </c>
      <c r="D1116" s="390"/>
      <c r="H1116" s="225"/>
      <c r="J1116" s="387"/>
      <c r="K1116" s="225"/>
      <c r="P1116" s="225"/>
    </row>
    <row r="1117" spans="1:16">
      <c r="A1117" s="226"/>
      <c r="B1117" s="131" t="s">
        <v>2088</v>
      </c>
      <c r="C1117" s="226">
        <v>94341</v>
      </c>
      <c r="D1117" s="390"/>
      <c r="H1117" s="225"/>
      <c r="J1117" s="387"/>
      <c r="K1117" s="225"/>
      <c r="P1117" s="225"/>
    </row>
    <row r="1118" spans="1:16">
      <c r="A1118" s="226"/>
      <c r="B1118" s="131" t="s">
        <v>2089</v>
      </c>
      <c r="C1118" s="226">
        <v>94641</v>
      </c>
      <c r="D1118" s="390"/>
      <c r="H1118" s="225"/>
      <c r="J1118" s="387"/>
      <c r="K1118" s="225"/>
      <c r="P1118" s="225"/>
    </row>
    <row r="1119" spans="1:16">
      <c r="A1119" s="226"/>
      <c r="B1119" s="131" t="s">
        <v>2090</v>
      </c>
      <c r="C1119" s="226">
        <v>90813</v>
      </c>
      <c r="D1119" s="390"/>
      <c r="H1119" s="225"/>
      <c r="J1119" s="387"/>
      <c r="K1119" s="225"/>
      <c r="P1119" s="225"/>
    </row>
    <row r="1120" spans="1:16">
      <c r="A1120" s="226"/>
      <c r="B1120" s="131" t="s">
        <v>1112</v>
      </c>
      <c r="C1120" s="226">
        <v>94168</v>
      </c>
      <c r="D1120" s="390"/>
      <c r="H1120" s="225"/>
      <c r="J1120" s="387"/>
      <c r="K1120" s="225"/>
      <c r="P1120" s="225"/>
    </row>
    <row r="1121" spans="1:16">
      <c r="A1121" s="226"/>
      <c r="B1121" s="131" t="s">
        <v>2091</v>
      </c>
      <c r="C1121" s="226">
        <v>98911</v>
      </c>
      <c r="D1121" s="390"/>
      <c r="H1121" s="225"/>
      <c r="J1121" s="388"/>
      <c r="K1121" s="225"/>
      <c r="P1121" s="225"/>
    </row>
    <row r="1122" spans="1:16">
      <c r="A1122" s="226"/>
      <c r="B1122" s="131" t="s">
        <v>2092</v>
      </c>
      <c r="C1122" s="226">
        <v>97521</v>
      </c>
      <c r="D1122" s="390"/>
      <c r="H1122" s="225"/>
      <c r="J1122" s="387"/>
      <c r="K1122" s="225"/>
      <c r="P1122" s="225"/>
    </row>
    <row r="1123" spans="1:16">
      <c r="A1123" s="226"/>
      <c r="B1123" s="131" t="s">
        <v>1637</v>
      </c>
      <c r="C1123" s="226">
        <v>97527</v>
      </c>
      <c r="D1123" s="390"/>
      <c r="H1123" s="225"/>
      <c r="J1123" s="387"/>
      <c r="K1123" s="225"/>
      <c r="P1123" s="225"/>
    </row>
    <row r="1124" spans="1:16">
      <c r="A1124" s="226"/>
      <c r="B1124" s="131" t="s">
        <v>938</v>
      </c>
      <c r="C1124" s="226">
        <v>92401</v>
      </c>
      <c r="D1124" s="390"/>
      <c r="H1124" s="225"/>
      <c r="J1124" s="388"/>
      <c r="K1124" s="225"/>
      <c r="P1124" s="225"/>
    </row>
    <row r="1125" spans="1:16">
      <c r="A1125" s="226"/>
      <c r="B1125" s="131" t="s">
        <v>1954</v>
      </c>
      <c r="C1125" s="226">
        <v>91311</v>
      </c>
      <c r="D1125" s="390"/>
      <c r="H1125" s="225"/>
      <c r="J1125" s="387"/>
      <c r="K1125" s="225"/>
      <c r="P1125" s="225"/>
    </row>
    <row r="1126" spans="1:16">
      <c r="A1126" s="226"/>
      <c r="B1126" s="131" t="s">
        <v>863</v>
      </c>
      <c r="C1126" s="226">
        <v>91317</v>
      </c>
      <c r="D1126" s="390"/>
      <c r="H1126" s="225"/>
      <c r="J1126" s="387"/>
      <c r="K1126" s="225"/>
      <c r="P1126" s="225"/>
    </row>
    <row r="1127" spans="1:16">
      <c r="A1127" s="226"/>
      <c r="B1127" s="131" t="s">
        <v>2093</v>
      </c>
      <c r="C1127" s="226">
        <v>91261</v>
      </c>
      <c r="D1127" s="390"/>
      <c r="H1127" s="225"/>
      <c r="J1127" s="387"/>
      <c r="K1127" s="225"/>
      <c r="P1127" s="225"/>
    </row>
    <row r="1128" spans="1:16">
      <c r="A1128" s="226"/>
      <c r="B1128" s="131" t="s">
        <v>2094</v>
      </c>
      <c r="C1128" s="226">
        <v>91851</v>
      </c>
      <c r="D1128" s="390"/>
      <c r="H1128" s="225"/>
      <c r="J1128" s="387"/>
      <c r="K1128" s="225"/>
      <c r="P1128" s="225"/>
    </row>
    <row r="1129" spans="1:16">
      <c r="A1129" s="226"/>
      <c r="B1129" s="131" t="s">
        <v>1370</v>
      </c>
      <c r="C1129" s="226">
        <v>97408</v>
      </c>
      <c r="D1129" s="390"/>
      <c r="H1129" s="225"/>
      <c r="J1129" s="387"/>
      <c r="K1129" s="225"/>
      <c r="P1129" s="225"/>
    </row>
    <row r="1130" spans="1:16">
      <c r="A1130" s="226"/>
      <c r="B1130" s="131" t="s">
        <v>2095</v>
      </c>
      <c r="C1130" s="226">
        <v>96641</v>
      </c>
      <c r="D1130" s="390"/>
      <c r="H1130" s="225"/>
      <c r="J1130" s="387"/>
      <c r="K1130" s="225"/>
      <c r="P1130" s="225"/>
    </row>
    <row r="1131" spans="1:16">
      <c r="A1131" s="226"/>
      <c r="B1131" s="131" t="s">
        <v>2096</v>
      </c>
      <c r="C1131" s="226">
        <v>93031</v>
      </c>
      <c r="D1131" s="390"/>
      <c r="H1131" s="225"/>
      <c r="J1131" s="387"/>
      <c r="K1131" s="225"/>
      <c r="P1131" s="225"/>
    </row>
    <row r="1132" spans="1:16">
      <c r="A1132" s="226"/>
      <c r="B1132" s="131" t="s">
        <v>1001</v>
      </c>
      <c r="C1132" s="226">
        <v>93027</v>
      </c>
      <c r="D1132" s="390"/>
      <c r="H1132" s="225"/>
      <c r="J1132" s="387"/>
      <c r="K1132" s="225"/>
      <c r="P1132" s="225"/>
    </row>
    <row r="1133" spans="1:16">
      <c r="A1133" s="226"/>
      <c r="B1133" s="131" t="s">
        <v>2097</v>
      </c>
      <c r="C1133" s="226">
        <v>96051</v>
      </c>
      <c r="D1133" s="390"/>
      <c r="H1133" s="225"/>
      <c r="J1133" s="388"/>
      <c r="K1133" s="225"/>
      <c r="P1133" s="225"/>
    </row>
    <row r="1134" spans="1:16">
      <c r="A1134" s="226"/>
      <c r="B1134" s="131" t="s">
        <v>2098</v>
      </c>
      <c r="C1134" s="226">
        <v>92571</v>
      </c>
      <c r="D1134" s="390"/>
      <c r="H1134" s="225"/>
      <c r="J1134" s="387"/>
      <c r="K1134" s="225"/>
      <c r="P1134" s="225"/>
    </row>
    <row r="1135" spans="1:16">
      <c r="A1135" s="226"/>
      <c r="B1135" s="131" t="s">
        <v>2099</v>
      </c>
      <c r="C1135" s="226">
        <v>93631</v>
      </c>
      <c r="D1135" s="390"/>
      <c r="H1135" s="225"/>
      <c r="J1135" s="387"/>
      <c r="K1135" s="225"/>
      <c r="P1135" s="225"/>
    </row>
    <row r="1136" spans="1:16">
      <c r="A1136" s="226"/>
      <c r="B1136" s="251" t="s">
        <v>1926</v>
      </c>
      <c r="C1136" s="226">
        <v>93604</v>
      </c>
      <c r="D1136" s="390"/>
      <c r="H1136" s="225"/>
      <c r="J1136" s="388"/>
      <c r="K1136" s="225"/>
      <c r="P1136" s="225"/>
    </row>
    <row r="1137" spans="1:16">
      <c r="A1137" s="226"/>
      <c r="B1137" s="131" t="s">
        <v>951</v>
      </c>
      <c r="C1137" s="226">
        <v>92504</v>
      </c>
      <c r="D1137" s="390"/>
      <c r="H1137" s="225"/>
      <c r="J1137" s="387"/>
      <c r="K1137" s="225"/>
      <c r="P1137" s="225"/>
    </row>
    <row r="1138" spans="1:16">
      <c r="A1138" s="226"/>
      <c r="B1138" s="131" t="s">
        <v>949</v>
      </c>
      <c r="C1138" s="226">
        <v>92501</v>
      </c>
      <c r="D1138" s="390"/>
      <c r="H1138" s="225"/>
      <c r="J1138" s="387"/>
      <c r="K1138" s="225"/>
      <c r="P1138" s="225"/>
    </row>
    <row r="1139" spans="1:16">
      <c r="A1139" s="226"/>
      <c r="B1139" s="131" t="s">
        <v>952</v>
      </c>
      <c r="C1139" s="226">
        <v>92505</v>
      </c>
      <c r="D1139" s="390"/>
      <c r="H1139" s="225"/>
      <c r="J1139" s="387"/>
      <c r="K1139" s="225"/>
      <c r="P1139" s="225"/>
    </row>
    <row r="1140" spans="1:16">
      <c r="A1140" s="226"/>
      <c r="B1140" s="131" t="s">
        <v>1955</v>
      </c>
      <c r="C1140" s="226">
        <v>93921</v>
      </c>
      <c r="D1140" s="390"/>
      <c r="H1140" s="225"/>
      <c r="J1140" s="387"/>
      <c r="K1140" s="225"/>
      <c r="P1140" s="225"/>
    </row>
    <row r="1141" spans="1:16">
      <c r="A1141" s="226"/>
      <c r="B1141" s="131" t="s">
        <v>2100</v>
      </c>
      <c r="C1141" s="226">
        <v>99431</v>
      </c>
      <c r="D1141" s="390"/>
      <c r="H1141" s="225"/>
      <c r="J1141" s="387"/>
      <c r="K1141" s="225"/>
      <c r="P1141" s="225"/>
    </row>
    <row r="1142" spans="1:16">
      <c r="A1142" s="226"/>
      <c r="B1142" s="131" t="s">
        <v>966</v>
      </c>
      <c r="C1142" s="226">
        <v>92604</v>
      </c>
      <c r="D1142" s="390"/>
      <c r="H1142" s="225"/>
      <c r="J1142" s="387"/>
      <c r="K1142" s="225"/>
      <c r="P1142" s="225"/>
    </row>
    <row r="1143" spans="1:16">
      <c r="A1143" s="226"/>
      <c r="B1143" s="131" t="s">
        <v>964</v>
      </c>
      <c r="C1143" s="226">
        <v>92601</v>
      </c>
      <c r="D1143" s="390"/>
      <c r="H1143" s="225"/>
      <c r="J1143" s="387"/>
      <c r="K1143" s="225"/>
      <c r="P1143" s="225"/>
    </row>
    <row r="1144" spans="1:16">
      <c r="A1144" s="226"/>
      <c r="B1144" s="131" t="s">
        <v>968</v>
      </c>
      <c r="C1144" s="226">
        <v>92608</v>
      </c>
      <c r="D1144" s="390"/>
      <c r="H1144" s="225"/>
      <c r="J1144" s="387"/>
      <c r="K1144" s="225"/>
      <c r="P1144" s="225"/>
    </row>
    <row r="1145" spans="1:16">
      <c r="A1145" s="226"/>
      <c r="B1145" s="131" t="s">
        <v>980</v>
      </c>
      <c r="C1145" s="226">
        <v>92704</v>
      </c>
      <c r="D1145" s="390"/>
      <c r="H1145" s="225"/>
      <c r="J1145" s="388"/>
      <c r="K1145" s="225"/>
      <c r="P1145" s="225"/>
    </row>
    <row r="1146" spans="1:16">
      <c r="A1146" s="226"/>
      <c r="B1146" s="131" t="s">
        <v>979</v>
      </c>
      <c r="C1146" s="226">
        <v>92701</v>
      </c>
      <c r="D1146" s="390"/>
      <c r="H1146" s="225"/>
      <c r="J1146" s="387"/>
      <c r="K1146" s="225"/>
      <c r="P1146" s="225"/>
    </row>
    <row r="1147" spans="1:16">
      <c r="A1147" s="226"/>
      <c r="B1147" s="131" t="s">
        <v>2101</v>
      </c>
      <c r="C1147" s="226">
        <v>93651</v>
      </c>
      <c r="D1147" s="390"/>
      <c r="H1147" s="225"/>
      <c r="J1147" s="387"/>
      <c r="K1147" s="225"/>
      <c r="P1147" s="225"/>
    </row>
    <row r="1148" spans="1:16">
      <c r="A1148" s="226"/>
      <c r="B1148" s="131" t="s">
        <v>981</v>
      </c>
      <c r="C1148" s="226">
        <v>92801</v>
      </c>
      <c r="D1148" s="390"/>
      <c r="H1148" s="225"/>
      <c r="J1148" s="388"/>
      <c r="K1148" s="225"/>
      <c r="P1148" s="225"/>
    </row>
    <row r="1149" spans="1:16">
      <c r="A1149" s="226"/>
      <c r="B1149" s="131" t="s">
        <v>983</v>
      </c>
      <c r="C1149" s="226">
        <v>92804</v>
      </c>
      <c r="D1149" s="390"/>
      <c r="H1149" s="225"/>
      <c r="J1149" s="387"/>
      <c r="K1149" s="225"/>
      <c r="P1149" s="225"/>
    </row>
    <row r="1150" spans="1:16">
      <c r="A1150" s="226"/>
      <c r="B1150" s="131" t="s">
        <v>982</v>
      </c>
      <c r="C1150" s="226">
        <v>92802</v>
      </c>
      <c r="D1150" s="390"/>
      <c r="H1150" s="225"/>
      <c r="J1150" s="387"/>
      <c r="K1150" s="225"/>
      <c r="P1150" s="225"/>
    </row>
    <row r="1151" spans="1:16">
      <c r="A1151" s="226"/>
      <c r="B1151" s="131" t="s">
        <v>2102</v>
      </c>
      <c r="C1151" s="226">
        <v>96081</v>
      </c>
      <c r="D1151" s="390"/>
      <c r="H1151" s="225"/>
      <c r="J1151" s="387"/>
      <c r="K1151" s="225"/>
      <c r="P1151" s="225"/>
    </row>
    <row r="1152" spans="1:16">
      <c r="A1152" s="226"/>
      <c r="B1152" s="131" t="s">
        <v>990</v>
      </c>
      <c r="C1152" s="226">
        <v>92901</v>
      </c>
      <c r="D1152" s="390"/>
      <c r="H1152" s="225"/>
      <c r="J1152" s="387"/>
      <c r="K1152" s="225"/>
      <c r="P1152" s="225"/>
    </row>
    <row r="1153" spans="1:16">
      <c r="A1153" s="226"/>
      <c r="B1153" s="131" t="s">
        <v>997</v>
      </c>
      <c r="C1153" s="226">
        <v>93001</v>
      </c>
      <c r="D1153" s="390"/>
      <c r="H1153" s="225"/>
      <c r="J1153" s="387"/>
      <c r="K1153" s="225"/>
      <c r="P1153" s="225"/>
    </row>
    <row r="1154" spans="1:16">
      <c r="A1154" s="226"/>
      <c r="B1154" s="131" t="s">
        <v>998</v>
      </c>
      <c r="C1154" s="226">
        <v>93009</v>
      </c>
      <c r="D1154" s="390"/>
      <c r="H1154" s="225"/>
      <c r="J1154" s="388"/>
      <c r="K1154" s="225"/>
      <c r="P1154" s="225"/>
    </row>
    <row r="1155" spans="1:16">
      <c r="A1155" s="226"/>
      <c r="B1155" s="131" t="s">
        <v>2103</v>
      </c>
      <c r="C1155" s="226">
        <v>92921</v>
      </c>
      <c r="D1155" s="390"/>
      <c r="H1155" s="225"/>
      <c r="J1155" s="387"/>
      <c r="K1155" s="225"/>
      <c r="P1155" s="225"/>
    </row>
    <row r="1156" spans="1:16">
      <c r="A1156" s="226"/>
      <c r="B1156" s="131" t="s">
        <v>2104</v>
      </c>
      <c r="C1156" s="226">
        <v>98621</v>
      </c>
      <c r="D1156" s="390"/>
      <c r="H1156" s="225"/>
      <c r="J1156" s="387"/>
      <c r="K1156" s="225"/>
      <c r="P1156" s="225"/>
    </row>
    <row r="1157" spans="1:16">
      <c r="A1157" s="226"/>
      <c r="B1157" s="131" t="s">
        <v>1505</v>
      </c>
      <c r="C1157" s="226">
        <v>98627</v>
      </c>
      <c r="D1157" s="390"/>
      <c r="H1157" s="225"/>
      <c r="J1157" s="387"/>
      <c r="K1157" s="225"/>
      <c r="P1157" s="225"/>
    </row>
    <row r="1158" spans="1:16">
      <c r="A1158" s="226"/>
      <c r="B1158" s="131" t="s">
        <v>2105</v>
      </c>
      <c r="C1158" s="226">
        <v>91221</v>
      </c>
      <c r="D1158" s="390"/>
      <c r="H1158" s="225"/>
      <c r="J1158" s="387"/>
      <c r="K1158" s="225"/>
      <c r="P1158" s="225"/>
    </row>
    <row r="1159" spans="1:16">
      <c r="A1159" s="226"/>
      <c r="B1159" s="131" t="s">
        <v>2106</v>
      </c>
      <c r="C1159" s="226">
        <v>92861</v>
      </c>
      <c r="D1159" s="390"/>
      <c r="H1159" s="225"/>
      <c r="J1159" s="387"/>
      <c r="K1159" s="225"/>
      <c r="P1159" s="225"/>
    </row>
    <row r="1160" spans="1:16">
      <c r="A1160" s="226"/>
      <c r="B1160" s="131" t="s">
        <v>1956</v>
      </c>
      <c r="C1160" s="226">
        <v>94311</v>
      </c>
      <c r="D1160" s="390"/>
      <c r="H1160" s="225"/>
      <c r="J1160" s="387"/>
      <c r="K1160" s="225"/>
      <c r="P1160" s="225"/>
    </row>
    <row r="1161" spans="1:16">
      <c r="A1161" s="226"/>
      <c r="B1161" s="131" t="s">
        <v>1128</v>
      </c>
      <c r="C1161" s="226">
        <v>94317</v>
      </c>
      <c r="D1161" s="390"/>
      <c r="H1161" s="225"/>
      <c r="J1161" s="387"/>
      <c r="K1161" s="225"/>
      <c r="P1161" s="225"/>
    </row>
    <row r="1162" spans="1:16">
      <c r="A1162" s="226"/>
      <c r="B1162" s="131" t="s">
        <v>1127</v>
      </c>
      <c r="C1162" s="226">
        <v>94313</v>
      </c>
      <c r="D1162" s="390"/>
      <c r="H1162" s="225"/>
      <c r="J1162" s="387"/>
      <c r="K1162" s="225"/>
      <c r="P1162" s="225"/>
    </row>
    <row r="1163" spans="1:16">
      <c r="A1163" s="226"/>
      <c r="B1163" s="131" t="s">
        <v>1003</v>
      </c>
      <c r="C1163" s="226">
        <v>93101</v>
      </c>
      <c r="D1163" s="390"/>
      <c r="H1163" s="225"/>
      <c r="J1163" s="388"/>
      <c r="K1163" s="225"/>
      <c r="P1163" s="225"/>
    </row>
    <row r="1164" spans="1:16">
      <c r="A1164" s="226"/>
      <c r="B1164" s="131" t="s">
        <v>260</v>
      </c>
      <c r="C1164" s="226">
        <v>93103</v>
      </c>
      <c r="D1164" s="390"/>
      <c r="H1164" s="225"/>
      <c r="J1164" s="387"/>
      <c r="K1164" s="225"/>
      <c r="P1164" s="225"/>
    </row>
    <row r="1165" spans="1:16">
      <c r="A1165" s="226"/>
      <c r="B1165" s="131" t="s">
        <v>1957</v>
      </c>
      <c r="C1165" s="226">
        <v>93211</v>
      </c>
      <c r="D1165" s="390"/>
      <c r="H1165" s="225"/>
      <c r="J1165" s="387"/>
      <c r="K1165" s="225"/>
      <c r="P1165" s="225"/>
    </row>
    <row r="1166" spans="1:16">
      <c r="A1166" s="226"/>
      <c r="B1166" s="131" t="s">
        <v>1022</v>
      </c>
      <c r="C1166" s="226">
        <v>93212</v>
      </c>
      <c r="D1166" s="390"/>
      <c r="H1166" s="225"/>
      <c r="J1166" s="388"/>
      <c r="K1166" s="225"/>
      <c r="P1166" s="225"/>
    </row>
    <row r="1167" spans="1:16">
      <c r="A1167" s="226"/>
      <c r="B1167" s="131" t="s">
        <v>1017</v>
      </c>
      <c r="C1167" s="226">
        <v>93201</v>
      </c>
      <c r="D1167" s="390"/>
      <c r="H1167" s="225"/>
      <c r="J1167" s="387"/>
      <c r="K1167" s="225"/>
      <c r="P1167" s="225"/>
    </row>
    <row r="1168" spans="1:16">
      <c r="A1168" s="226"/>
      <c r="B1168" s="131" t="s">
        <v>1019</v>
      </c>
      <c r="C1168" s="226">
        <v>93204</v>
      </c>
      <c r="D1168" s="390"/>
      <c r="H1168" s="225"/>
      <c r="J1168" s="387"/>
      <c r="K1168" s="225"/>
      <c r="P1168" s="225"/>
    </row>
    <row r="1169" spans="1:16">
      <c r="A1169" s="226"/>
      <c r="B1169" s="131" t="s">
        <v>1546</v>
      </c>
      <c r="C1169" s="226">
        <v>99212</v>
      </c>
      <c r="D1169" s="390"/>
      <c r="H1169" s="225"/>
      <c r="J1169" s="387"/>
      <c r="K1169" s="225"/>
      <c r="P1169" s="225"/>
    </row>
    <row r="1170" spans="1:16">
      <c r="A1170" s="226"/>
      <c r="B1170" s="131" t="s">
        <v>1345</v>
      </c>
      <c r="C1170" s="226">
        <v>97005</v>
      </c>
      <c r="D1170" s="390"/>
      <c r="H1170" s="225"/>
      <c r="J1170" s="387"/>
      <c r="K1170" s="225"/>
      <c r="P1170" s="225"/>
    </row>
    <row r="1171" spans="1:16">
      <c r="A1171" s="226"/>
      <c r="B1171" s="131" t="s">
        <v>2107</v>
      </c>
      <c r="C1171" s="51">
        <v>99931</v>
      </c>
      <c r="D1171" s="390"/>
      <c r="H1171" s="225"/>
      <c r="J1171" s="387"/>
      <c r="K1171" s="225"/>
      <c r="P1171" s="225"/>
    </row>
    <row r="1172" spans="1:16">
      <c r="A1172" s="226"/>
      <c r="B1172" s="131" t="s">
        <v>1614</v>
      </c>
      <c r="C1172" s="226">
        <v>92509</v>
      </c>
      <c r="D1172" s="390"/>
      <c r="H1172" s="225"/>
      <c r="J1172" s="387"/>
      <c r="K1172" s="225"/>
      <c r="P1172" s="225"/>
    </row>
    <row r="1173" spans="1:16">
      <c r="A1173" s="226"/>
      <c r="B1173" s="131" t="s">
        <v>2108</v>
      </c>
      <c r="C1173" s="226">
        <v>98021</v>
      </c>
      <c r="D1173" s="390"/>
      <c r="H1173" s="225"/>
      <c r="J1173" s="387"/>
      <c r="K1173" s="225"/>
      <c r="P1173" s="225"/>
    </row>
    <row r="1174" spans="1:16">
      <c r="A1174" s="226"/>
      <c r="B1174" s="131" t="s">
        <v>1446</v>
      </c>
      <c r="C1174" s="226">
        <v>98023</v>
      </c>
      <c r="D1174" s="390"/>
      <c r="H1174" s="225"/>
      <c r="J1174" s="387"/>
      <c r="K1174" s="225"/>
      <c r="P1174" s="225"/>
    </row>
    <row r="1175" spans="1:16">
      <c r="A1175" s="226"/>
      <c r="B1175" s="131" t="s">
        <v>2020</v>
      </c>
      <c r="C1175" s="219">
        <v>70505</v>
      </c>
      <c r="D1175" s="390"/>
      <c r="H1175" s="225"/>
      <c r="J1175" s="388"/>
      <c r="K1175" s="225"/>
      <c r="P1175" s="225"/>
    </row>
    <row r="1176" spans="1:16">
      <c r="A1176" s="226"/>
      <c r="B1176" s="131" t="s">
        <v>2766</v>
      </c>
      <c r="C1176" s="226">
        <v>99603</v>
      </c>
      <c r="D1176" s="390"/>
      <c r="H1176" s="225"/>
      <c r="J1176" s="387"/>
      <c r="K1176" s="225"/>
      <c r="P1176" s="225"/>
    </row>
    <row r="1177" spans="1:16">
      <c r="A1177" s="226"/>
      <c r="B1177" s="131" t="s">
        <v>1583</v>
      </c>
      <c r="C1177" s="226">
        <v>99610</v>
      </c>
      <c r="D1177" s="390"/>
      <c r="H1177" s="225"/>
      <c r="J1177" s="387"/>
      <c r="K1177" s="225"/>
      <c r="P1177" s="225"/>
    </row>
    <row r="1178" spans="1:16">
      <c r="A1178" s="226"/>
      <c r="B1178" s="131" t="s">
        <v>2109</v>
      </c>
      <c r="C1178" s="226">
        <v>92681</v>
      </c>
      <c r="D1178" s="390"/>
      <c r="H1178" s="225"/>
      <c r="J1178" s="388"/>
      <c r="K1178" s="225"/>
      <c r="P1178" s="225"/>
    </row>
    <row r="1179" spans="1:16">
      <c r="A1179" s="226"/>
      <c r="B1179" s="131" t="s">
        <v>1004</v>
      </c>
      <c r="C1179" s="226">
        <v>93108</v>
      </c>
      <c r="D1179" s="390"/>
      <c r="H1179" s="225"/>
      <c r="J1179" s="387"/>
      <c r="K1179" s="225"/>
      <c r="P1179" s="225"/>
    </row>
    <row r="1180" spans="1:16">
      <c r="A1180" s="226"/>
      <c r="B1180" s="131" t="s">
        <v>1958</v>
      </c>
      <c r="C1180" s="226">
        <v>97951</v>
      </c>
      <c r="D1180" s="390"/>
      <c r="H1180" s="225"/>
      <c r="J1180" s="387"/>
      <c r="K1180" s="225"/>
      <c r="P1180" s="225"/>
    </row>
    <row r="1181" spans="1:16">
      <c r="A1181" s="226"/>
      <c r="B1181" s="131" t="s">
        <v>1437</v>
      </c>
      <c r="C1181" s="226">
        <v>97957</v>
      </c>
      <c r="D1181" s="390"/>
      <c r="H1181" s="225"/>
      <c r="J1181" s="387"/>
      <c r="K1181" s="225"/>
      <c r="P1181" s="225"/>
    </row>
    <row r="1182" spans="1:16">
      <c r="A1182" s="226"/>
      <c r="B1182" s="131" t="s">
        <v>2110</v>
      </c>
      <c r="C1182" s="226">
        <v>92111</v>
      </c>
      <c r="D1182" s="390"/>
      <c r="H1182" s="225"/>
      <c r="J1182" s="387"/>
      <c r="K1182" s="225"/>
      <c r="P1182" s="225"/>
    </row>
    <row r="1183" spans="1:16">
      <c r="A1183" s="226"/>
      <c r="B1183" s="131" t="s">
        <v>1024</v>
      </c>
      <c r="C1183" s="226">
        <v>93301</v>
      </c>
      <c r="D1183" s="390"/>
      <c r="H1183" s="225"/>
      <c r="J1183" s="387"/>
      <c r="K1183" s="225"/>
      <c r="P1183" s="225"/>
    </row>
    <row r="1184" spans="1:16">
      <c r="A1184" s="226"/>
      <c r="B1184" s="131" t="s">
        <v>1025</v>
      </c>
      <c r="C1184" s="226">
        <v>93304</v>
      </c>
      <c r="D1184" s="390"/>
      <c r="H1184" s="225"/>
      <c r="J1184" s="387"/>
      <c r="K1184" s="225"/>
      <c r="P1184" s="225"/>
    </row>
    <row r="1185" spans="1:16">
      <c r="A1185" s="226"/>
      <c r="B1185" s="131" t="s">
        <v>1026</v>
      </c>
      <c r="C1185" s="226">
        <v>93305</v>
      </c>
      <c r="D1185" s="390"/>
      <c r="H1185" s="225"/>
      <c r="J1185" s="387"/>
      <c r="K1185" s="225"/>
      <c r="P1185" s="225"/>
    </row>
    <row r="1186" spans="1:16">
      <c r="A1186" s="226"/>
      <c r="B1186" s="131" t="s">
        <v>1544</v>
      </c>
      <c r="C1186" s="226">
        <v>99210</v>
      </c>
      <c r="D1186" s="390"/>
      <c r="H1186" s="225"/>
      <c r="J1186" s="387"/>
      <c r="K1186" s="225"/>
      <c r="P1186" s="225"/>
    </row>
    <row r="1187" spans="1:16">
      <c r="A1187" s="226"/>
      <c r="B1187" s="131" t="s">
        <v>1348</v>
      </c>
      <c r="C1187" s="226">
        <v>97011</v>
      </c>
      <c r="D1187" s="390"/>
      <c r="H1187" s="225"/>
      <c r="J1187" s="388"/>
      <c r="K1187" s="225"/>
      <c r="P1187" s="225"/>
    </row>
    <row r="1188" spans="1:16">
      <c r="A1188" s="226"/>
      <c r="B1188" s="131" t="s">
        <v>1350</v>
      </c>
      <c r="C1188" s="226">
        <v>97013</v>
      </c>
      <c r="D1188" s="390"/>
      <c r="H1188" s="225"/>
      <c r="J1188" s="387"/>
      <c r="K1188" s="225"/>
      <c r="P1188" s="225"/>
    </row>
    <row r="1189" spans="1:16">
      <c r="A1189" s="226"/>
      <c r="B1189" s="131" t="s">
        <v>2762</v>
      </c>
      <c r="C1189" s="226">
        <v>97012</v>
      </c>
      <c r="D1189" s="390"/>
      <c r="H1189" s="225"/>
      <c r="J1189" s="387"/>
      <c r="K1189" s="225"/>
      <c r="P1189" s="225"/>
    </row>
    <row r="1190" spans="1:16">
      <c r="A1190" s="226"/>
      <c r="B1190" s="131" t="s">
        <v>1352</v>
      </c>
      <c r="C1190" s="226">
        <v>97018</v>
      </c>
      <c r="D1190" s="390"/>
      <c r="H1190" s="225"/>
      <c r="J1190" s="388"/>
      <c r="K1190" s="225"/>
      <c r="P1190" s="225"/>
    </row>
    <row r="1191" spans="1:16">
      <c r="A1191" s="226"/>
      <c r="B1191" s="131" t="s">
        <v>2111</v>
      </c>
      <c r="C1191" s="226">
        <v>90911</v>
      </c>
      <c r="D1191" s="390"/>
      <c r="H1191" s="225"/>
      <c r="J1191" s="387"/>
      <c r="K1191" s="225"/>
      <c r="P1191" s="225"/>
    </row>
    <row r="1192" spans="1:16">
      <c r="A1192" s="226"/>
      <c r="B1192" s="131" t="s">
        <v>790</v>
      </c>
      <c r="C1192" s="226">
        <v>90917</v>
      </c>
      <c r="D1192" s="390"/>
      <c r="H1192" s="225"/>
      <c r="J1192" s="387"/>
      <c r="K1192" s="225"/>
      <c r="P1192" s="225"/>
    </row>
    <row r="1193" spans="1:16">
      <c r="A1193" s="226"/>
      <c r="B1193" s="131" t="s">
        <v>2112</v>
      </c>
      <c r="C1193" s="226">
        <v>90641</v>
      </c>
      <c r="D1193" s="390"/>
      <c r="H1193" s="225"/>
      <c r="J1193" s="387"/>
      <c r="K1193" s="225"/>
      <c r="P1193" s="225"/>
    </row>
    <row r="1194" spans="1:16">
      <c r="A1194" s="226"/>
      <c r="B1194" s="131" t="s">
        <v>2113</v>
      </c>
      <c r="C1194" s="226">
        <v>98641</v>
      </c>
      <c r="D1194" s="390"/>
      <c r="H1194" s="225"/>
      <c r="J1194" s="387"/>
      <c r="K1194" s="225"/>
      <c r="P1194" s="225"/>
    </row>
    <row r="1195" spans="1:16">
      <c r="A1195" s="226"/>
      <c r="B1195" s="131" t="s">
        <v>3514</v>
      </c>
      <c r="C1195" s="226" t="s">
        <v>3512</v>
      </c>
      <c r="D1195" s="390"/>
      <c r="H1195" s="225"/>
      <c r="J1195" s="387"/>
      <c r="K1195" s="225"/>
      <c r="P1195" s="225"/>
    </row>
    <row r="1196" spans="1:16">
      <c r="A1196" s="226"/>
      <c r="B1196" s="131" t="s">
        <v>2114</v>
      </c>
      <c r="C1196" s="226">
        <v>98161</v>
      </c>
      <c r="D1196" s="390"/>
      <c r="H1196" s="225"/>
      <c r="J1196" s="387"/>
      <c r="K1196" s="225"/>
      <c r="P1196" s="225"/>
    </row>
    <row r="1197" spans="1:16">
      <c r="A1197" s="226"/>
      <c r="B1197" s="131" t="s">
        <v>2115</v>
      </c>
      <c r="C1197" s="226">
        <v>97731</v>
      </c>
      <c r="D1197" s="390"/>
      <c r="H1197" s="225"/>
      <c r="J1197" s="387"/>
      <c r="K1197" s="225"/>
      <c r="P1197" s="225"/>
    </row>
    <row r="1198" spans="1:16">
      <c r="A1198" s="226"/>
      <c r="B1198" s="131" t="s">
        <v>2116</v>
      </c>
      <c r="C1198" s="51">
        <v>99851</v>
      </c>
      <c r="D1198" s="390"/>
      <c r="H1198" s="225"/>
      <c r="J1198" s="387"/>
      <c r="K1198" s="225"/>
      <c r="P1198" s="225"/>
    </row>
    <row r="1199" spans="1:16">
      <c r="A1199" s="226"/>
      <c r="B1199" s="131" t="s">
        <v>2117</v>
      </c>
      <c r="C1199" s="226">
        <v>90131</v>
      </c>
      <c r="D1199" s="390"/>
      <c r="H1199" s="225"/>
      <c r="J1199" s="388"/>
      <c r="K1199" s="225"/>
      <c r="P1199" s="225"/>
    </row>
    <row r="1200" spans="1:16">
      <c r="A1200" s="226"/>
      <c r="B1200" s="131" t="s">
        <v>2118</v>
      </c>
      <c r="C1200" s="226">
        <v>91651</v>
      </c>
      <c r="D1200" s="390"/>
      <c r="H1200" s="225"/>
      <c r="J1200" s="387"/>
      <c r="K1200" s="225"/>
      <c r="P1200" s="225"/>
    </row>
    <row r="1201" spans="1:16">
      <c r="A1201" s="226"/>
      <c r="B1201" s="131" t="s">
        <v>2119</v>
      </c>
      <c r="C1201" s="226">
        <v>94211</v>
      </c>
      <c r="D1201" s="390"/>
      <c r="H1201" s="225"/>
      <c r="J1201" s="387"/>
      <c r="K1201" s="225"/>
      <c r="P1201" s="225"/>
    </row>
    <row r="1202" spans="1:16">
      <c r="A1202" s="226"/>
      <c r="B1202" s="131" t="s">
        <v>2120</v>
      </c>
      <c r="C1202" s="226">
        <v>94331</v>
      </c>
      <c r="D1202" s="390"/>
      <c r="H1202" s="225"/>
      <c r="J1202" s="388"/>
      <c r="K1202" s="225"/>
      <c r="P1202" s="225"/>
    </row>
    <row r="1203" spans="1:16">
      <c r="A1203" s="226"/>
      <c r="B1203" s="131" t="s">
        <v>2121</v>
      </c>
      <c r="C1203" s="226">
        <v>92431</v>
      </c>
      <c r="D1203" s="390"/>
      <c r="H1203" s="225"/>
      <c r="J1203" s="387"/>
      <c r="K1203" s="225"/>
      <c r="P1203" s="225"/>
    </row>
    <row r="1204" spans="1:16">
      <c r="A1204" s="226"/>
      <c r="B1204" s="131" t="s">
        <v>2122</v>
      </c>
      <c r="C1204" s="226">
        <v>97821</v>
      </c>
      <c r="D1204" s="390"/>
      <c r="H1204" s="225"/>
      <c r="J1204" s="387"/>
      <c r="K1204" s="225"/>
      <c r="P1204" s="225"/>
    </row>
    <row r="1205" spans="1:16">
      <c r="A1205" s="226"/>
      <c r="B1205" s="131" t="s">
        <v>1416</v>
      </c>
      <c r="C1205" s="226">
        <v>97823</v>
      </c>
      <c r="D1205" s="390"/>
      <c r="H1205" s="225"/>
      <c r="J1205" s="387"/>
      <c r="K1205" s="225"/>
      <c r="P1205" s="225"/>
    </row>
    <row r="1206" spans="1:16">
      <c r="A1206" s="226"/>
      <c r="B1206" s="131" t="s">
        <v>2123</v>
      </c>
      <c r="C1206" s="226">
        <v>93141</v>
      </c>
      <c r="D1206" s="390"/>
      <c r="H1206" s="225"/>
      <c r="J1206" s="387"/>
      <c r="K1206" s="225"/>
      <c r="P1206" s="225"/>
    </row>
    <row r="1207" spans="1:16">
      <c r="A1207" s="226"/>
      <c r="B1207" s="131" t="s">
        <v>2124</v>
      </c>
      <c r="C1207" s="226">
        <v>98081</v>
      </c>
      <c r="D1207" s="390"/>
      <c r="H1207" s="225"/>
      <c r="J1207" s="387"/>
      <c r="K1207" s="225"/>
      <c r="P1207" s="225"/>
    </row>
    <row r="1208" spans="1:16">
      <c r="A1208" s="226"/>
      <c r="B1208" s="131" t="s">
        <v>2125</v>
      </c>
      <c r="C1208" s="226">
        <v>92671</v>
      </c>
      <c r="D1208" s="390"/>
      <c r="H1208" s="225"/>
      <c r="J1208" s="387"/>
      <c r="K1208" s="225"/>
      <c r="P1208" s="225"/>
    </row>
    <row r="1209" spans="1:16">
      <c r="A1209" s="226"/>
      <c r="B1209" s="131" t="s">
        <v>2126</v>
      </c>
      <c r="C1209" s="226">
        <v>97421</v>
      </c>
      <c r="D1209" s="390"/>
      <c r="H1209" s="225"/>
      <c r="J1209" s="387"/>
      <c r="K1209" s="225"/>
      <c r="P1209" s="225"/>
    </row>
    <row r="1210" spans="1:16">
      <c r="A1210" s="226"/>
      <c r="B1210" s="131" t="s">
        <v>1375</v>
      </c>
      <c r="C1210" s="226">
        <v>97423</v>
      </c>
      <c r="D1210" s="390"/>
      <c r="H1210" s="225"/>
      <c r="J1210" s="387"/>
      <c r="K1210" s="225"/>
      <c r="P1210" s="225"/>
    </row>
    <row r="1211" spans="1:16">
      <c r="A1211" s="226"/>
      <c r="B1211" s="131" t="s">
        <v>1959</v>
      </c>
      <c r="C1211" s="226">
        <v>92611</v>
      </c>
      <c r="D1211" s="390"/>
      <c r="H1211" s="225"/>
      <c r="J1211" s="388"/>
      <c r="K1211" s="225"/>
      <c r="P1211" s="225"/>
    </row>
    <row r="1212" spans="1:16">
      <c r="A1212" s="226"/>
      <c r="B1212" s="131" t="s">
        <v>2755</v>
      </c>
      <c r="C1212" s="226">
        <v>92613</v>
      </c>
      <c r="D1212" s="390"/>
      <c r="H1212" s="225"/>
      <c r="J1212" s="387"/>
      <c r="K1212" s="225"/>
      <c r="P1212" s="225"/>
    </row>
    <row r="1213" spans="1:16">
      <c r="A1213" s="226"/>
      <c r="B1213" s="131" t="s">
        <v>2788</v>
      </c>
      <c r="C1213" s="226">
        <v>92614</v>
      </c>
      <c r="D1213" s="390"/>
      <c r="H1213" s="225"/>
      <c r="J1213" s="387"/>
      <c r="K1213" s="225"/>
      <c r="P1213" s="225"/>
    </row>
    <row r="1214" spans="1:16">
      <c r="A1214" s="226"/>
      <c r="B1214" s="131" t="s">
        <v>950</v>
      </c>
      <c r="C1214" s="226">
        <v>92502</v>
      </c>
      <c r="D1214" s="390"/>
      <c r="H1214" s="225"/>
      <c r="J1214" s="388"/>
      <c r="K1214" s="225"/>
      <c r="P1214" s="225"/>
    </row>
    <row r="1215" spans="1:16">
      <c r="A1215" s="226"/>
      <c r="B1215" s="131" t="s">
        <v>2496</v>
      </c>
      <c r="C1215" s="226">
        <v>94531</v>
      </c>
      <c r="D1215" s="390"/>
      <c r="H1215" s="225"/>
      <c r="J1215" s="387"/>
      <c r="K1215" s="225"/>
      <c r="P1215" s="225"/>
    </row>
    <row r="1216" spans="1:16">
      <c r="A1216" s="226"/>
      <c r="B1216" s="131" t="s">
        <v>2497</v>
      </c>
      <c r="C1216" s="226">
        <v>94541</v>
      </c>
      <c r="D1216" s="390"/>
      <c r="H1216" s="225"/>
      <c r="J1216" s="387"/>
      <c r="K1216" s="225"/>
      <c r="P1216" s="225"/>
    </row>
    <row r="1217" spans="1:16">
      <c r="A1217" s="226"/>
      <c r="B1217" s="131" t="s">
        <v>1154</v>
      </c>
      <c r="C1217" s="226">
        <v>94547</v>
      </c>
      <c r="D1217" s="390"/>
      <c r="H1217" s="225"/>
      <c r="J1217" s="387"/>
      <c r="K1217" s="225"/>
      <c r="P1217" s="225"/>
    </row>
    <row r="1218" spans="1:16">
      <c r="A1218" s="226"/>
      <c r="B1218" s="131" t="s">
        <v>1180</v>
      </c>
      <c r="C1218" s="226">
        <v>95005</v>
      </c>
      <c r="D1218" s="390"/>
      <c r="H1218" s="225"/>
      <c r="J1218" s="387"/>
      <c r="K1218" s="225"/>
      <c r="P1218" s="225"/>
    </row>
    <row r="1219" spans="1:16">
      <c r="A1219" s="226"/>
      <c r="B1219" s="131" t="s">
        <v>2498</v>
      </c>
      <c r="C1219" s="226">
        <v>98111</v>
      </c>
      <c r="D1219" s="390"/>
      <c r="H1219" s="225"/>
      <c r="J1219" s="387"/>
      <c r="K1219" s="225"/>
      <c r="P1219" s="225"/>
    </row>
    <row r="1220" spans="1:16">
      <c r="A1220" s="226"/>
      <c r="B1220" s="131" t="s">
        <v>1457</v>
      </c>
      <c r="C1220" s="226">
        <v>98107</v>
      </c>
      <c r="D1220" s="390"/>
      <c r="H1220" s="225"/>
      <c r="J1220" s="387"/>
      <c r="K1220" s="225"/>
      <c r="P1220" s="225"/>
    </row>
    <row r="1221" spans="1:16">
      <c r="A1221" s="226"/>
      <c r="B1221" s="131" t="s">
        <v>1460</v>
      </c>
      <c r="C1221" s="226">
        <v>98113</v>
      </c>
      <c r="D1221" s="390"/>
      <c r="H1221" s="225"/>
      <c r="J1221" s="387"/>
      <c r="K1221" s="225"/>
      <c r="P1221" s="225"/>
    </row>
    <row r="1222" spans="1:16">
      <c r="A1222" s="226"/>
      <c r="B1222" s="131" t="s">
        <v>1579</v>
      </c>
      <c r="C1222" s="226">
        <v>99602</v>
      </c>
      <c r="D1222" s="390"/>
      <c r="H1222" s="225"/>
      <c r="J1222" s="387"/>
      <c r="K1222" s="225"/>
      <c r="P1222" s="225"/>
    </row>
    <row r="1223" spans="1:16">
      <c r="A1223" s="226"/>
      <c r="B1223" s="131" t="s">
        <v>1036</v>
      </c>
      <c r="C1223" s="226">
        <v>93401</v>
      </c>
      <c r="D1223" s="390"/>
      <c r="H1223" s="225"/>
      <c r="J1223" s="388"/>
      <c r="K1223" s="225"/>
      <c r="P1223" s="225"/>
    </row>
    <row r="1224" spans="1:16">
      <c r="A1224" s="226"/>
      <c r="B1224" s="131" t="s">
        <v>3500</v>
      </c>
      <c r="C1224" s="226">
        <v>97491</v>
      </c>
      <c r="D1224" s="390"/>
      <c r="H1224" s="225"/>
      <c r="J1224" s="387"/>
      <c r="K1224" s="225"/>
      <c r="P1224" s="225"/>
    </row>
    <row r="1225" spans="1:16">
      <c r="A1225" s="226"/>
      <c r="B1225" s="131" t="s">
        <v>2499</v>
      </c>
      <c r="C1225" s="226">
        <v>95151</v>
      </c>
      <c r="D1225" s="390"/>
      <c r="H1225" s="225"/>
      <c r="J1225" s="387"/>
      <c r="K1225" s="225"/>
      <c r="P1225" s="225"/>
    </row>
    <row r="1226" spans="1:16">
      <c r="A1226" s="226"/>
      <c r="B1226" s="131" t="s">
        <v>1290</v>
      </c>
      <c r="C1226" s="226">
        <v>96381</v>
      </c>
      <c r="D1226" s="390"/>
      <c r="H1226" s="225"/>
      <c r="J1226" s="388"/>
      <c r="K1226" s="225"/>
      <c r="P1226" s="225"/>
    </row>
    <row r="1227" spans="1:16">
      <c r="A1227" s="226"/>
      <c r="B1227" s="131" t="s">
        <v>2500</v>
      </c>
      <c r="C1227" s="226">
        <v>95611</v>
      </c>
      <c r="D1227" s="390"/>
      <c r="H1227" s="225"/>
      <c r="J1227" s="387"/>
      <c r="K1227" s="225"/>
      <c r="P1227" s="225"/>
    </row>
    <row r="1228" spans="1:16">
      <c r="A1228" s="226"/>
      <c r="B1228" s="131" t="s">
        <v>1050</v>
      </c>
      <c r="C1228" s="226">
        <v>93501</v>
      </c>
      <c r="D1228" s="390"/>
      <c r="H1228" s="225"/>
      <c r="J1228" s="387"/>
      <c r="K1228" s="225"/>
      <c r="P1228" s="225"/>
    </row>
    <row r="1229" spans="1:16">
      <c r="A1229" s="226"/>
      <c r="B1229" s="131" t="s">
        <v>2501</v>
      </c>
      <c r="C1229" s="226">
        <v>93511</v>
      </c>
      <c r="D1229" s="390"/>
      <c r="H1229" s="225"/>
      <c r="J1229" s="387"/>
      <c r="K1229" s="225"/>
      <c r="P1229" s="225"/>
    </row>
    <row r="1230" spans="1:16">
      <c r="A1230" s="226"/>
      <c r="B1230" s="131" t="s">
        <v>1052</v>
      </c>
      <c r="C1230" s="226">
        <v>93517</v>
      </c>
      <c r="D1230" s="390"/>
      <c r="H1230" s="225"/>
      <c r="J1230" s="387"/>
      <c r="K1230" s="225"/>
      <c r="P1230" s="225"/>
    </row>
    <row r="1231" spans="1:16">
      <c r="A1231" s="226"/>
      <c r="B1231" s="131" t="s">
        <v>2502</v>
      </c>
      <c r="C1231" s="226">
        <v>99631</v>
      </c>
      <c r="D1231" s="390"/>
      <c r="H1231" s="225"/>
      <c r="J1231" s="387"/>
      <c r="K1231" s="225"/>
      <c r="P1231" s="225"/>
    </row>
    <row r="1232" spans="1:16">
      <c r="A1232" s="226"/>
      <c r="B1232" s="131" t="s">
        <v>2503</v>
      </c>
      <c r="C1232" s="226">
        <v>99261</v>
      </c>
      <c r="D1232" s="390"/>
      <c r="H1232" s="225"/>
      <c r="J1232" s="388"/>
      <c r="K1232" s="225"/>
      <c r="P1232" s="225"/>
    </row>
    <row r="1233" spans="1:16">
      <c r="A1233" s="226"/>
      <c r="B1233" s="131" t="s">
        <v>2504</v>
      </c>
      <c r="C1233" s="226">
        <v>98241</v>
      </c>
      <c r="D1233" s="390"/>
      <c r="H1233" s="225"/>
      <c r="J1233" s="387"/>
      <c r="K1233" s="225"/>
      <c r="P1233" s="225"/>
    </row>
    <row r="1234" spans="1:16">
      <c r="A1234" s="226"/>
      <c r="B1234" s="131" t="s">
        <v>2505</v>
      </c>
      <c r="C1234" s="226">
        <v>99251</v>
      </c>
      <c r="D1234" s="390"/>
      <c r="H1234" s="225"/>
      <c r="J1234" s="387"/>
      <c r="K1234" s="225"/>
      <c r="P1234" s="225"/>
    </row>
    <row r="1235" spans="1:16">
      <c r="A1235" s="226"/>
      <c r="B1235" s="131" t="s">
        <v>1554</v>
      </c>
      <c r="C1235" s="226">
        <v>99252</v>
      </c>
      <c r="D1235" s="390"/>
      <c r="H1235" s="225"/>
      <c r="J1235" s="387"/>
      <c r="K1235" s="225"/>
      <c r="P1235" s="225"/>
    </row>
    <row r="1236" spans="1:16">
      <c r="A1236" s="226"/>
      <c r="B1236" s="131" t="s">
        <v>2506</v>
      </c>
      <c r="C1236" s="226">
        <v>96631</v>
      </c>
      <c r="D1236" s="390"/>
      <c r="H1236" s="225"/>
      <c r="J1236" s="387"/>
      <c r="K1236" s="225"/>
      <c r="P1236" s="225"/>
    </row>
    <row r="1237" spans="1:16">
      <c r="A1237" s="226"/>
      <c r="B1237" s="131" t="s">
        <v>2507</v>
      </c>
      <c r="C1237" s="226">
        <v>96651</v>
      </c>
      <c r="D1237" s="390"/>
      <c r="H1237" s="225"/>
      <c r="J1237" s="387"/>
      <c r="K1237" s="225"/>
      <c r="P1237" s="225"/>
    </row>
    <row r="1238" spans="1:16">
      <c r="A1238" s="226"/>
      <c r="B1238" s="131" t="s">
        <v>1058</v>
      </c>
      <c r="C1238" s="226">
        <v>93601</v>
      </c>
      <c r="D1238" s="390"/>
      <c r="H1238" s="225"/>
      <c r="J1238" s="387"/>
      <c r="K1238" s="225"/>
      <c r="P1238" s="225"/>
    </row>
    <row r="1239" spans="1:16">
      <c r="A1239" s="226"/>
      <c r="B1239" s="131" t="s">
        <v>1064</v>
      </c>
      <c r="C1239" s="226">
        <v>93618</v>
      </c>
      <c r="D1239" s="390"/>
      <c r="H1239" s="225"/>
      <c r="J1239" s="387"/>
      <c r="K1239" s="225"/>
      <c r="P1239" s="225"/>
    </row>
    <row r="1240" spans="1:16">
      <c r="A1240" s="226"/>
      <c r="B1240" s="131" t="s">
        <v>1960</v>
      </c>
      <c r="C1240" s="226">
        <v>93611</v>
      </c>
      <c r="D1240" s="390"/>
      <c r="H1240" s="225"/>
      <c r="J1240" s="387"/>
      <c r="K1240" s="225"/>
      <c r="P1240" s="225"/>
    </row>
    <row r="1241" spans="1:16">
      <c r="A1241" s="226"/>
      <c r="B1241" s="131" t="s">
        <v>1063</v>
      </c>
      <c r="C1241" s="226">
        <v>93617</v>
      </c>
      <c r="D1241" s="390"/>
      <c r="H1241" s="225"/>
      <c r="J1241" s="388"/>
      <c r="K1241" s="225"/>
      <c r="P1241" s="225"/>
    </row>
    <row r="1242" spans="1:16">
      <c r="A1242" s="226"/>
      <c r="B1242" s="131" t="s">
        <v>1075</v>
      </c>
      <c r="C1242" s="226">
        <v>93701</v>
      </c>
      <c r="D1242" s="390"/>
      <c r="H1242" s="225"/>
      <c r="J1242" s="387"/>
      <c r="K1242" s="225"/>
      <c r="P1242" s="225"/>
    </row>
    <row r="1243" spans="1:16">
      <c r="A1243" s="226"/>
      <c r="B1243" s="131" t="s">
        <v>1076</v>
      </c>
      <c r="C1243" s="226">
        <v>93704</v>
      </c>
      <c r="D1243" s="390"/>
      <c r="H1243" s="225"/>
      <c r="J1243" s="387"/>
      <c r="K1243" s="225"/>
      <c r="P1243" s="225"/>
    </row>
    <row r="1244" spans="1:16">
      <c r="A1244" s="226"/>
      <c r="B1244" s="131" t="s">
        <v>2508</v>
      </c>
      <c r="C1244" s="226">
        <v>98331</v>
      </c>
      <c r="D1244" s="390"/>
      <c r="H1244" s="225"/>
      <c r="J1244" s="388"/>
      <c r="K1244" s="225"/>
      <c r="P1244" s="225"/>
    </row>
    <row r="1245" spans="1:16">
      <c r="A1245" s="226"/>
      <c r="B1245" s="131" t="s">
        <v>2509</v>
      </c>
      <c r="C1245" s="226">
        <v>94151</v>
      </c>
      <c r="D1245" s="390"/>
      <c r="H1245" s="225"/>
      <c r="J1245" s="387"/>
      <c r="K1245" s="225"/>
      <c r="P1245" s="225"/>
    </row>
    <row r="1246" spans="1:16">
      <c r="A1246" s="226"/>
      <c r="B1246" s="131" t="s">
        <v>1110</v>
      </c>
      <c r="C1246" s="226">
        <v>94157</v>
      </c>
      <c r="D1246" s="390"/>
      <c r="H1246" s="225"/>
      <c r="J1246" s="387"/>
      <c r="K1246" s="225"/>
      <c r="P1246" s="225"/>
    </row>
    <row r="1247" spans="1:16">
      <c r="A1247" s="226"/>
      <c r="B1247" s="131" t="s">
        <v>2510</v>
      </c>
      <c r="C1247" s="226">
        <v>91241</v>
      </c>
      <c r="D1247" s="390"/>
      <c r="H1247" s="225"/>
      <c r="J1247" s="387"/>
      <c r="K1247" s="225"/>
      <c r="P1247" s="225"/>
    </row>
    <row r="1248" spans="1:16">
      <c r="A1248" s="226"/>
      <c r="B1248" s="131" t="s">
        <v>1216</v>
      </c>
      <c r="C1248" s="226">
        <v>95412</v>
      </c>
      <c r="D1248" s="390"/>
      <c r="H1248" s="225"/>
      <c r="J1248" s="387"/>
      <c r="K1248" s="225"/>
      <c r="P1248" s="225"/>
    </row>
    <row r="1249" spans="1:16">
      <c r="A1249" s="226"/>
      <c r="B1249" s="131" t="s">
        <v>1961</v>
      </c>
      <c r="C1249" s="226">
        <v>99611</v>
      </c>
      <c r="D1249" s="390"/>
      <c r="H1249" s="225"/>
      <c r="J1249" s="387"/>
      <c r="K1249" s="225"/>
      <c r="P1249" s="225"/>
    </row>
    <row r="1250" spans="1:16">
      <c r="A1250" s="226"/>
      <c r="B1250" s="131" t="s">
        <v>2804</v>
      </c>
      <c r="C1250" s="226">
        <v>99613</v>
      </c>
      <c r="D1250" s="390"/>
      <c r="H1250" s="225"/>
      <c r="J1250" s="387"/>
      <c r="K1250" s="225"/>
      <c r="P1250" s="225"/>
    </row>
    <row r="1251" spans="1:16">
      <c r="A1251" s="226"/>
      <c r="B1251" s="131" t="s">
        <v>914</v>
      </c>
      <c r="C1251" s="226">
        <v>91908</v>
      </c>
      <c r="D1251" s="390"/>
      <c r="H1251" s="225"/>
      <c r="J1251" s="387"/>
      <c r="K1251" s="225"/>
      <c r="P1251" s="225"/>
    </row>
    <row r="1252" spans="1:16">
      <c r="A1252" s="226"/>
      <c r="B1252" s="131" t="s">
        <v>1963</v>
      </c>
      <c r="C1252" s="226">
        <v>90121</v>
      </c>
      <c r="D1252" s="390"/>
      <c r="H1252" s="225"/>
      <c r="J1252" s="387"/>
      <c r="K1252" s="225"/>
      <c r="P1252" s="225"/>
    </row>
    <row r="1253" spans="1:16">
      <c r="A1253" s="226"/>
      <c r="B1253" s="131" t="s">
        <v>1078</v>
      </c>
      <c r="C1253" s="226">
        <v>93803</v>
      </c>
      <c r="D1253" s="390"/>
      <c r="H1253" s="225"/>
      <c r="J1253" s="388"/>
      <c r="K1253" s="225"/>
      <c r="P1253" s="225"/>
    </row>
    <row r="1254" spans="1:16">
      <c r="A1254" s="226"/>
      <c r="B1254" s="131" t="s">
        <v>1077</v>
      </c>
      <c r="C1254" s="226">
        <v>93801</v>
      </c>
      <c r="D1254" s="390"/>
      <c r="H1254" s="225"/>
      <c r="J1254" s="387"/>
      <c r="K1254" s="225"/>
      <c r="P1254" s="225"/>
    </row>
    <row r="1255" spans="1:16">
      <c r="A1255" s="226"/>
      <c r="B1255" s="131" t="s">
        <v>1079</v>
      </c>
      <c r="C1255" s="226">
        <v>93806</v>
      </c>
      <c r="D1255" s="390"/>
      <c r="H1255" s="225"/>
      <c r="J1255" s="387"/>
      <c r="K1255" s="225"/>
      <c r="P1255" s="225"/>
    </row>
    <row r="1256" spans="1:16">
      <c r="A1256" s="226"/>
      <c r="B1256" s="131" t="s">
        <v>2511</v>
      </c>
      <c r="C1256" s="226">
        <v>91411</v>
      </c>
      <c r="D1256" s="390"/>
      <c r="H1256" s="225"/>
      <c r="J1256" s="388"/>
      <c r="K1256" s="225"/>
      <c r="P1256" s="225"/>
    </row>
    <row r="1257" spans="1:16">
      <c r="A1257" s="226"/>
      <c r="B1257" s="131" t="s">
        <v>870</v>
      </c>
      <c r="C1257" s="226">
        <v>91417</v>
      </c>
      <c r="D1257" s="390"/>
      <c r="H1257" s="225"/>
      <c r="J1257" s="387"/>
      <c r="K1257" s="225"/>
      <c r="P1257" s="225"/>
    </row>
    <row r="1258" spans="1:16">
      <c r="A1258" s="226"/>
      <c r="B1258" s="131" t="s">
        <v>2512</v>
      </c>
      <c r="C1258" s="226">
        <v>98061</v>
      </c>
      <c r="D1258" s="390"/>
      <c r="H1258" s="225"/>
      <c r="J1258" s="387"/>
      <c r="K1258" s="225"/>
      <c r="P1258" s="225"/>
    </row>
    <row r="1259" spans="1:16">
      <c r="A1259" s="226"/>
      <c r="B1259" s="131" t="s">
        <v>2809</v>
      </c>
      <c r="C1259" s="226">
        <v>93904</v>
      </c>
      <c r="D1259" s="390"/>
      <c r="H1259" s="225"/>
      <c r="J1259" s="387"/>
      <c r="K1259" s="225"/>
      <c r="P1259" s="225"/>
    </row>
    <row r="1260" spans="1:16">
      <c r="A1260" s="226"/>
      <c r="B1260" s="131" t="s">
        <v>1081</v>
      </c>
      <c r="C1260" s="226">
        <v>93901</v>
      </c>
      <c r="D1260" s="390"/>
      <c r="H1260" s="225"/>
      <c r="J1260" s="387"/>
      <c r="K1260" s="225"/>
      <c r="P1260" s="225"/>
    </row>
    <row r="1261" spans="1:16">
      <c r="A1261" s="226"/>
      <c r="B1261" s="131" t="s">
        <v>1083</v>
      </c>
      <c r="C1261" s="226">
        <v>93906</v>
      </c>
      <c r="D1261" s="390"/>
      <c r="H1261" s="225"/>
      <c r="J1261" s="387"/>
      <c r="K1261" s="225"/>
      <c r="P1261" s="225"/>
    </row>
    <row r="1262" spans="1:16">
      <c r="A1262" s="226"/>
      <c r="B1262" s="131" t="s">
        <v>1084</v>
      </c>
      <c r="C1262" s="226">
        <v>93908</v>
      </c>
      <c r="D1262" s="390"/>
      <c r="H1262" s="225"/>
      <c r="J1262" s="387"/>
      <c r="K1262" s="225"/>
      <c r="P1262" s="225"/>
    </row>
    <row r="1263" spans="1:16">
      <c r="A1263" s="226"/>
      <c r="B1263" s="131" t="s">
        <v>1170</v>
      </c>
      <c r="C1263" s="226">
        <v>94908</v>
      </c>
      <c r="D1263" s="390"/>
      <c r="H1263" s="225"/>
      <c r="J1263" s="387"/>
      <c r="K1263" s="225"/>
      <c r="P1263" s="225"/>
    </row>
    <row r="1264" spans="1:16">
      <c r="A1264" s="226"/>
      <c r="B1264" s="131" t="s">
        <v>2513</v>
      </c>
      <c r="C1264" s="226">
        <v>90161</v>
      </c>
      <c r="D1264" s="390"/>
      <c r="H1264" s="225"/>
      <c r="J1264" s="387"/>
      <c r="K1264" s="225"/>
      <c r="P1264" s="225"/>
    </row>
    <row r="1265" spans="1:16">
      <c r="A1265" s="226"/>
      <c r="B1265" s="131" t="s">
        <v>1091</v>
      </c>
      <c r="C1265" s="226">
        <v>94001</v>
      </c>
      <c r="D1265" s="390"/>
      <c r="H1265" s="225"/>
      <c r="J1265" s="388"/>
      <c r="K1265" s="225"/>
      <c r="P1265" s="225"/>
    </row>
    <row r="1266" spans="1:16">
      <c r="A1266" s="226"/>
      <c r="B1266" s="131" t="s">
        <v>1093</v>
      </c>
      <c r="C1266" s="226">
        <v>94004</v>
      </c>
      <c r="D1266" s="390"/>
      <c r="H1266" s="225"/>
      <c r="J1266" s="387"/>
      <c r="K1266" s="225"/>
      <c r="P1266" s="225"/>
    </row>
    <row r="1267" spans="1:16">
      <c r="A1267" s="226"/>
      <c r="B1267" s="131" t="s">
        <v>1962</v>
      </c>
      <c r="C1267" s="226">
        <v>94111</v>
      </c>
      <c r="D1267" s="390"/>
      <c r="H1267" s="225"/>
      <c r="J1267" s="387"/>
      <c r="K1267" s="225"/>
      <c r="P1267" s="225"/>
    </row>
    <row r="1268" spans="1:16">
      <c r="A1268" s="226"/>
      <c r="B1268" s="131" t="s">
        <v>2808</v>
      </c>
      <c r="C1268" s="226">
        <v>94117</v>
      </c>
      <c r="D1268" s="390"/>
      <c r="H1268" s="225"/>
      <c r="J1268" s="388"/>
      <c r="K1268" s="225"/>
      <c r="P1268" s="225"/>
    </row>
    <row r="1269" spans="1:16">
      <c r="A1269" s="226"/>
      <c r="B1269" s="131" t="s">
        <v>1964</v>
      </c>
      <c r="C1269" s="226">
        <v>97411</v>
      </c>
      <c r="D1269" s="390"/>
      <c r="H1269" s="225"/>
      <c r="J1269" s="387"/>
      <c r="K1269" s="225"/>
      <c r="P1269" s="225"/>
    </row>
    <row r="1270" spans="1:16">
      <c r="A1270" s="226"/>
      <c r="B1270" s="131" t="s">
        <v>1373</v>
      </c>
      <c r="C1270" s="226">
        <v>97413</v>
      </c>
      <c r="D1270" s="390"/>
      <c r="H1270" s="225"/>
      <c r="J1270" s="387"/>
      <c r="K1270" s="225"/>
      <c r="P1270" s="225"/>
    </row>
    <row r="1271" spans="1:16">
      <c r="A1271" s="226"/>
      <c r="B1271" s="131" t="s">
        <v>1372</v>
      </c>
      <c r="C1271" s="226">
        <v>97412</v>
      </c>
      <c r="D1271" s="390"/>
      <c r="H1271" s="225"/>
      <c r="J1271" s="387"/>
      <c r="K1271" s="225"/>
      <c r="P1271" s="225"/>
    </row>
    <row r="1272" spans="1:16">
      <c r="A1272" s="226"/>
      <c r="B1272" s="131" t="s">
        <v>2514</v>
      </c>
      <c r="C1272" s="226">
        <v>97431</v>
      </c>
      <c r="D1272" s="390"/>
      <c r="H1272" s="225"/>
      <c r="J1272" s="387"/>
      <c r="K1272" s="225"/>
      <c r="P1272" s="225"/>
    </row>
    <row r="1273" spans="1:16">
      <c r="A1273" s="226"/>
      <c r="B1273" s="131" t="s">
        <v>2515</v>
      </c>
      <c r="C1273" s="226">
        <v>97471</v>
      </c>
      <c r="D1273" s="390"/>
      <c r="H1273" s="225"/>
      <c r="J1273" s="387"/>
      <c r="K1273" s="225"/>
      <c r="P1273" s="225"/>
    </row>
    <row r="1274" spans="1:16">
      <c r="A1274" s="226"/>
      <c r="B1274" s="131" t="s">
        <v>2516</v>
      </c>
      <c r="C1274" s="226">
        <v>92351</v>
      </c>
      <c r="D1274" s="390"/>
      <c r="H1274" s="225"/>
      <c r="J1274" s="387"/>
      <c r="K1274" s="225"/>
      <c r="P1274" s="225"/>
    </row>
    <row r="1275" spans="1:16">
      <c r="A1275" s="226"/>
      <c r="B1275" s="131" t="s">
        <v>1098</v>
      </c>
      <c r="C1275" s="226">
        <v>94101</v>
      </c>
      <c r="D1275" s="390"/>
      <c r="H1275" s="225"/>
      <c r="J1275" s="387"/>
      <c r="K1275" s="225"/>
      <c r="P1275" s="225"/>
    </row>
    <row r="1276" spans="1:16">
      <c r="A1276" s="226"/>
      <c r="B1276" s="131" t="s">
        <v>1105</v>
      </c>
      <c r="C1276" s="226">
        <v>94118</v>
      </c>
      <c r="D1276" s="390"/>
      <c r="H1276" s="225"/>
      <c r="J1276" s="387"/>
      <c r="K1276" s="225"/>
      <c r="P1276" s="225"/>
    </row>
    <row r="1277" spans="1:16">
      <c r="A1277" s="226"/>
      <c r="B1277" s="131" t="s">
        <v>1099</v>
      </c>
      <c r="C1277" s="226">
        <v>94102</v>
      </c>
      <c r="D1277" s="390"/>
      <c r="H1277" s="225"/>
      <c r="J1277" s="388"/>
      <c r="K1277" s="225"/>
      <c r="P1277" s="225"/>
    </row>
    <row r="1278" spans="1:16">
      <c r="A1278" s="226"/>
      <c r="B1278" s="131" t="s">
        <v>1115</v>
      </c>
      <c r="C1278" s="226">
        <v>94201</v>
      </c>
      <c r="D1278" s="390"/>
      <c r="H1278" s="225"/>
      <c r="J1278" s="387"/>
      <c r="K1278" s="225"/>
      <c r="P1278" s="225"/>
    </row>
    <row r="1279" spans="1:16">
      <c r="A1279" s="226"/>
      <c r="B1279" s="131" t="s">
        <v>1116</v>
      </c>
      <c r="C1279" s="226">
        <v>94204</v>
      </c>
      <c r="D1279" s="390"/>
      <c r="H1279" s="225"/>
      <c r="J1279" s="387"/>
      <c r="K1279" s="225"/>
      <c r="P1279" s="225"/>
    </row>
    <row r="1280" spans="1:16">
      <c r="A1280" s="226"/>
      <c r="B1280" s="131" t="s">
        <v>1117</v>
      </c>
      <c r="C1280" s="226">
        <v>94205</v>
      </c>
      <c r="D1280" s="390"/>
      <c r="H1280" s="225"/>
      <c r="J1280" s="388"/>
      <c r="K1280" s="225"/>
      <c r="P1280" s="225"/>
    </row>
    <row r="1281" spans="1:16">
      <c r="A1281" s="226"/>
      <c r="B1281" s="131" t="s">
        <v>2517</v>
      </c>
      <c r="C1281" s="226">
        <v>95831</v>
      </c>
      <c r="D1281" s="390"/>
      <c r="H1281" s="225"/>
      <c r="J1281" s="387"/>
      <c r="K1281" s="225"/>
      <c r="P1281" s="225"/>
    </row>
    <row r="1282" spans="1:16">
      <c r="A1282" s="226"/>
      <c r="B1282" s="131" t="s">
        <v>1965</v>
      </c>
      <c r="C1282" s="226">
        <v>97721</v>
      </c>
      <c r="D1282" s="390"/>
      <c r="H1282" s="225"/>
      <c r="J1282" s="387"/>
      <c r="K1282" s="225"/>
      <c r="P1282" s="225"/>
    </row>
    <row r="1283" spans="1:16">
      <c r="A1283" s="226"/>
      <c r="B1283" s="131" t="s">
        <v>1404</v>
      </c>
      <c r="C1283" s="226">
        <v>97717</v>
      </c>
      <c r="D1283" s="390"/>
      <c r="H1283" s="225"/>
      <c r="J1283" s="387"/>
      <c r="K1283" s="225"/>
      <c r="P1283" s="225"/>
    </row>
    <row r="1284" spans="1:16">
      <c r="A1284" s="226"/>
      <c r="B1284" s="131" t="s">
        <v>1125</v>
      </c>
      <c r="C1284" s="226">
        <v>94301</v>
      </c>
      <c r="D1284" s="390"/>
      <c r="H1284" s="225"/>
      <c r="J1284" s="387"/>
      <c r="K1284" s="225"/>
      <c r="P1284" s="225"/>
    </row>
    <row r="1285" spans="1:16">
      <c r="A1285" s="226"/>
      <c r="B1285" s="131" t="s">
        <v>2518</v>
      </c>
      <c r="C1285" s="226">
        <v>91441</v>
      </c>
      <c r="D1285" s="390"/>
      <c r="H1285" s="225"/>
      <c r="J1285" s="387"/>
      <c r="K1285" s="225"/>
      <c r="P1285" s="225"/>
    </row>
    <row r="1286" spans="1:16">
      <c r="A1286" s="226"/>
      <c r="B1286" s="131" t="s">
        <v>1966</v>
      </c>
      <c r="C1286" s="226">
        <v>92531</v>
      </c>
      <c r="D1286" s="390"/>
      <c r="H1286" s="225"/>
      <c r="J1286" s="387"/>
      <c r="K1286" s="225"/>
      <c r="P1286" s="225"/>
    </row>
    <row r="1287" spans="1:16">
      <c r="A1287" s="226"/>
      <c r="B1287" s="131" t="s">
        <v>2519</v>
      </c>
      <c r="C1287" s="226">
        <v>90141</v>
      </c>
      <c r="D1287" s="390"/>
      <c r="H1287" s="225"/>
      <c r="J1287" s="387"/>
      <c r="K1287" s="225"/>
      <c r="P1287" s="225"/>
    </row>
    <row r="1288" spans="1:16">
      <c r="A1288" s="226"/>
      <c r="B1288" s="131" t="s">
        <v>1134</v>
      </c>
      <c r="C1288" s="226">
        <v>94401</v>
      </c>
      <c r="D1288" s="390"/>
      <c r="H1288" s="225"/>
      <c r="J1288" s="387"/>
      <c r="K1288" s="225"/>
      <c r="P1288" s="225"/>
    </row>
    <row r="1289" spans="1:16">
      <c r="A1289" s="226"/>
      <c r="B1289" s="131" t="s">
        <v>1136</v>
      </c>
      <c r="C1289" s="226">
        <v>94403</v>
      </c>
      <c r="D1289" s="390"/>
      <c r="H1289" s="225"/>
      <c r="J1289" s="388"/>
      <c r="K1289" s="225"/>
      <c r="P1289" s="225"/>
    </row>
    <row r="1290" spans="1:16">
      <c r="A1290" s="226"/>
      <c r="B1290" s="131" t="s">
        <v>1135</v>
      </c>
      <c r="C1290" s="226">
        <v>94402</v>
      </c>
      <c r="D1290" s="390"/>
      <c r="H1290" s="225"/>
      <c r="J1290" s="387"/>
      <c r="K1290" s="225"/>
      <c r="P1290" s="225"/>
    </row>
    <row r="1291" spans="1:16">
      <c r="A1291" s="226"/>
      <c r="B1291" s="131" t="s">
        <v>1967</v>
      </c>
      <c r="C1291" s="226">
        <v>99111</v>
      </c>
      <c r="D1291" s="390"/>
      <c r="H1291" s="225"/>
      <c r="J1291" s="387"/>
      <c r="K1291" s="225"/>
      <c r="P1291" s="225"/>
    </row>
    <row r="1292" spans="1:16">
      <c r="A1292" s="226"/>
      <c r="B1292" s="131" t="s">
        <v>2019</v>
      </c>
      <c r="C1292" s="226">
        <v>94501</v>
      </c>
      <c r="D1292" s="390"/>
      <c r="H1292" s="225"/>
      <c r="J1292" s="388"/>
      <c r="K1292" s="225"/>
      <c r="P1292" s="225"/>
    </row>
    <row r="1293" spans="1:16">
      <c r="A1293" s="226"/>
      <c r="B1293" s="131" t="s">
        <v>1968</v>
      </c>
      <c r="C1293" s="226">
        <v>94511</v>
      </c>
      <c r="D1293" s="390"/>
      <c r="H1293" s="225"/>
      <c r="J1293" s="387"/>
      <c r="K1293" s="225"/>
      <c r="P1293" s="225"/>
    </row>
    <row r="1294" spans="1:16">
      <c r="A1294" s="226"/>
      <c r="B1294" s="131" t="s">
        <v>2807</v>
      </c>
      <c r="C1294" s="226">
        <v>94517</v>
      </c>
      <c r="D1294" s="390"/>
      <c r="H1294" s="225"/>
      <c r="J1294" s="387"/>
      <c r="K1294" s="225"/>
      <c r="P1294" s="225"/>
    </row>
    <row r="1295" spans="1:16">
      <c r="A1295" s="226"/>
      <c r="B1295" s="131" t="s">
        <v>1147</v>
      </c>
      <c r="C1295" s="226">
        <v>94512</v>
      </c>
      <c r="D1295" s="390"/>
      <c r="H1295" s="225"/>
      <c r="J1295" s="387"/>
      <c r="K1295" s="225"/>
      <c r="P1295" s="225"/>
    </row>
    <row r="1296" spans="1:16">
      <c r="A1296" s="226"/>
      <c r="B1296" s="131" t="s">
        <v>2520</v>
      </c>
      <c r="C1296" s="226">
        <v>97211</v>
      </c>
      <c r="D1296" s="390"/>
      <c r="H1296" s="225"/>
      <c r="J1296" s="387"/>
      <c r="K1296" s="225"/>
      <c r="P1296" s="225"/>
    </row>
    <row r="1297" spans="1:16">
      <c r="A1297" s="226"/>
      <c r="B1297" s="131" t="s">
        <v>2521</v>
      </c>
      <c r="C1297" s="226">
        <v>97217</v>
      </c>
      <c r="D1297" s="390"/>
      <c r="H1297" s="225"/>
      <c r="J1297" s="387"/>
      <c r="K1297" s="225"/>
      <c r="P1297" s="225"/>
    </row>
    <row r="1298" spans="1:16">
      <c r="A1298" s="226"/>
      <c r="B1298" s="131" t="s">
        <v>1156</v>
      </c>
      <c r="C1298" s="226">
        <v>94601</v>
      </c>
      <c r="D1298" s="390"/>
      <c r="H1298" s="225"/>
      <c r="J1298" s="387"/>
      <c r="K1298" s="225"/>
      <c r="P1298" s="225"/>
    </row>
    <row r="1299" spans="1:16">
      <c r="A1299" s="226"/>
      <c r="B1299" s="131" t="s">
        <v>1157</v>
      </c>
      <c r="C1299" s="226">
        <v>94604</v>
      </c>
      <c r="D1299" s="390"/>
      <c r="H1299" s="225"/>
      <c r="J1299" s="387"/>
      <c r="K1299" s="225"/>
      <c r="P1299" s="225"/>
    </row>
    <row r="1300" spans="1:16">
      <c r="A1300" s="226"/>
      <c r="B1300" s="131" t="s">
        <v>1158</v>
      </c>
      <c r="C1300" s="226">
        <v>94606</v>
      </c>
      <c r="D1300" s="390"/>
      <c r="H1300" s="225"/>
      <c r="J1300" s="387"/>
      <c r="K1300" s="225"/>
      <c r="P1300" s="225"/>
    </row>
    <row r="1301" spans="1:16">
      <c r="A1301" s="226"/>
      <c r="B1301" s="131" t="s">
        <v>2763</v>
      </c>
      <c r="C1301" s="226">
        <v>97213</v>
      </c>
      <c r="D1301" s="390"/>
      <c r="H1301" s="225"/>
      <c r="J1301" s="388"/>
      <c r="K1301" s="225"/>
      <c r="P1301" s="225"/>
    </row>
    <row r="1302" spans="1:16">
      <c r="A1302" s="226"/>
      <c r="B1302" s="131" t="s">
        <v>1969</v>
      </c>
      <c r="C1302" s="226">
        <v>91811</v>
      </c>
      <c r="D1302" s="390"/>
      <c r="H1302" s="225"/>
      <c r="J1302" s="387"/>
      <c r="K1302" s="225"/>
      <c r="P1302" s="225"/>
    </row>
    <row r="1303" spans="1:16">
      <c r="A1303" s="226"/>
      <c r="B1303" s="131" t="s">
        <v>2751</v>
      </c>
      <c r="C1303" s="226">
        <v>91812</v>
      </c>
      <c r="D1303" s="390"/>
      <c r="H1303" s="225"/>
      <c r="J1303" s="387"/>
      <c r="K1303" s="225"/>
      <c r="P1303" s="225"/>
    </row>
    <row r="1304" spans="1:16">
      <c r="A1304" s="226"/>
      <c r="B1304" s="131" t="s">
        <v>901</v>
      </c>
      <c r="C1304" s="226">
        <v>91813</v>
      </c>
      <c r="D1304" s="390"/>
      <c r="H1304" s="225"/>
      <c r="J1304" s="388"/>
      <c r="K1304" s="225"/>
      <c r="P1304" s="225"/>
    </row>
    <row r="1305" spans="1:16">
      <c r="A1305" s="226"/>
      <c r="B1305" s="131" t="s">
        <v>766</v>
      </c>
      <c r="C1305" s="226">
        <v>90617</v>
      </c>
      <c r="D1305" s="390"/>
      <c r="H1305" s="225"/>
      <c r="J1305" s="387"/>
      <c r="K1305" s="225"/>
      <c r="P1305" s="225"/>
    </row>
    <row r="1306" spans="1:16">
      <c r="A1306" s="226"/>
      <c r="B1306" s="131" t="s">
        <v>1970</v>
      </c>
      <c r="C1306" s="226">
        <v>94121</v>
      </c>
      <c r="D1306" s="390"/>
      <c r="H1306" s="225"/>
      <c r="J1306" s="387"/>
      <c r="K1306" s="225"/>
      <c r="P1306" s="225"/>
    </row>
    <row r="1307" spans="1:16">
      <c r="A1307" s="226"/>
      <c r="B1307" s="131" t="s">
        <v>2806</v>
      </c>
      <c r="C1307" s="226">
        <v>94127</v>
      </c>
      <c r="D1307" s="390"/>
      <c r="H1307" s="225"/>
      <c r="J1307" s="387"/>
      <c r="K1307" s="225"/>
      <c r="P1307" s="225"/>
    </row>
    <row r="1308" spans="1:16">
      <c r="A1308" s="226"/>
      <c r="B1308" s="131" t="s">
        <v>2522</v>
      </c>
      <c r="C1308" s="226">
        <v>95621</v>
      </c>
      <c r="D1308" s="390"/>
      <c r="H1308" s="225"/>
      <c r="J1308" s="387"/>
      <c r="K1308" s="225"/>
      <c r="P1308" s="225"/>
    </row>
    <row r="1309" spans="1:16">
      <c r="A1309" s="226"/>
      <c r="B1309" s="131" t="s">
        <v>1228</v>
      </c>
      <c r="C1309" s="226">
        <v>95617</v>
      </c>
      <c r="D1309" s="390"/>
      <c r="H1309" s="225"/>
      <c r="J1309" s="387"/>
      <c r="K1309" s="225"/>
      <c r="P1309" s="225"/>
    </row>
    <row r="1310" spans="1:16">
      <c r="A1310" s="226"/>
      <c r="B1310" s="131" t="s">
        <v>2523</v>
      </c>
      <c r="C1310" s="226">
        <v>91251</v>
      </c>
      <c r="D1310" s="390"/>
      <c r="H1310" s="225"/>
      <c r="J1310" s="388"/>
      <c r="K1310" s="225"/>
      <c r="P1310" s="225"/>
    </row>
    <row r="1311" spans="1:16">
      <c r="A1311" s="226"/>
      <c r="B1311" s="131" t="s">
        <v>2524</v>
      </c>
      <c r="C1311" s="226">
        <v>96831</v>
      </c>
      <c r="D1311" s="390"/>
      <c r="H1311" s="225"/>
      <c r="J1311" s="387"/>
      <c r="K1311" s="225"/>
      <c r="P1311" s="225"/>
    </row>
    <row r="1312" spans="1:16">
      <c r="A1312" s="226"/>
      <c r="B1312" s="131" t="s">
        <v>2525</v>
      </c>
      <c r="C1312" s="226">
        <v>94251</v>
      </c>
      <c r="D1312" s="390"/>
      <c r="H1312" s="225"/>
      <c r="J1312" s="387"/>
      <c r="K1312" s="225"/>
      <c r="P1312" s="225"/>
    </row>
    <row r="1313" spans="1:16">
      <c r="A1313" s="226"/>
      <c r="B1313" s="131" t="s">
        <v>1163</v>
      </c>
      <c r="C1313" s="226">
        <v>94701</v>
      </c>
      <c r="D1313" s="390"/>
      <c r="H1313" s="225"/>
      <c r="J1313" s="387"/>
      <c r="K1313" s="225"/>
      <c r="P1313" s="225"/>
    </row>
    <row r="1314" spans="1:16">
      <c r="A1314" s="226"/>
      <c r="B1314" s="131" t="s">
        <v>1164</v>
      </c>
      <c r="C1314" s="226">
        <v>94704</v>
      </c>
      <c r="D1314" s="390"/>
      <c r="H1314" s="225"/>
      <c r="J1314" s="387"/>
      <c r="K1314" s="225"/>
      <c r="P1314" s="225"/>
    </row>
    <row r="1315" spans="1:16">
      <c r="A1315" s="226"/>
      <c r="B1315" s="131" t="s">
        <v>2526</v>
      </c>
      <c r="C1315" s="226">
        <v>91014</v>
      </c>
      <c r="D1315" s="390"/>
      <c r="H1315" s="225"/>
      <c r="J1315" s="387"/>
      <c r="K1315" s="225"/>
      <c r="P1315" s="225"/>
    </row>
    <row r="1316" spans="1:16">
      <c r="A1316" s="226"/>
      <c r="B1316" s="131" t="s">
        <v>2527</v>
      </c>
      <c r="C1316" s="226">
        <v>96731</v>
      </c>
      <c r="D1316" s="390"/>
      <c r="H1316" s="225"/>
      <c r="J1316" s="387"/>
      <c r="K1316" s="225"/>
      <c r="P1316" s="225"/>
    </row>
    <row r="1317" spans="1:16">
      <c r="A1317" s="226"/>
      <c r="B1317" s="131" t="s">
        <v>1329</v>
      </c>
      <c r="C1317" s="226">
        <v>96733</v>
      </c>
      <c r="D1317" s="390"/>
      <c r="H1317" s="225"/>
      <c r="J1317" s="387"/>
      <c r="K1317" s="225"/>
      <c r="P1317" s="225"/>
    </row>
    <row r="1318" spans="1:16">
      <c r="A1318" s="226"/>
      <c r="B1318" s="131" t="s">
        <v>2528</v>
      </c>
      <c r="C1318" s="226">
        <v>99202</v>
      </c>
      <c r="D1318" s="390"/>
      <c r="H1318" s="225"/>
      <c r="J1318" s="387"/>
      <c r="K1318" s="225"/>
      <c r="P1318" s="225"/>
    </row>
    <row r="1319" spans="1:16">
      <c r="A1319" s="226"/>
      <c r="B1319" s="131" t="s">
        <v>2529</v>
      </c>
      <c r="C1319" s="226">
        <v>94011</v>
      </c>
      <c r="D1319" s="390"/>
      <c r="H1319" s="225"/>
      <c r="J1319" s="388"/>
      <c r="K1319" s="225"/>
      <c r="P1319" s="225"/>
    </row>
    <row r="1320" spans="1:16">
      <c r="A1320" s="226"/>
      <c r="B1320" s="131" t="s">
        <v>2530</v>
      </c>
      <c r="C1320" s="226">
        <v>92631</v>
      </c>
      <c r="D1320" s="390"/>
      <c r="H1320" s="225"/>
      <c r="J1320" s="387"/>
      <c r="K1320" s="225"/>
      <c r="P1320" s="225"/>
    </row>
    <row r="1321" spans="1:16">
      <c r="A1321" s="226"/>
      <c r="B1321" s="131" t="s">
        <v>1233</v>
      </c>
      <c r="C1321" s="226">
        <v>95733</v>
      </c>
      <c r="D1321" s="390"/>
      <c r="H1321" s="225"/>
      <c r="J1321" s="387"/>
      <c r="K1321" s="225"/>
      <c r="P1321" s="225"/>
    </row>
    <row r="1322" spans="1:16">
      <c r="A1322" s="226"/>
      <c r="B1322" s="131" t="s">
        <v>2531</v>
      </c>
      <c r="C1322" s="226">
        <v>91431</v>
      </c>
      <c r="D1322" s="390"/>
      <c r="H1322" s="225"/>
      <c r="J1322" s="388"/>
      <c r="K1322" s="225"/>
      <c r="P1322" s="225"/>
    </row>
    <row r="1323" spans="1:16">
      <c r="A1323" s="226"/>
      <c r="B1323" s="131" t="s">
        <v>2532</v>
      </c>
      <c r="C1323" s="226">
        <v>96041</v>
      </c>
      <c r="D1323" s="390"/>
      <c r="H1323" s="225"/>
      <c r="J1323" s="387"/>
      <c r="K1323" s="225"/>
      <c r="P1323" s="225"/>
    </row>
    <row r="1324" spans="1:16">
      <c r="A1324" s="226"/>
      <c r="B1324" s="131" t="s">
        <v>1166</v>
      </c>
      <c r="C1324" s="226">
        <v>94801</v>
      </c>
      <c r="D1324" s="390"/>
      <c r="H1324" s="225"/>
      <c r="J1324" s="387"/>
      <c r="K1324" s="225"/>
      <c r="P1324" s="225"/>
    </row>
    <row r="1325" spans="1:16">
      <c r="A1325" s="226"/>
      <c r="B1325" s="131" t="s">
        <v>1167</v>
      </c>
      <c r="C1325" s="226">
        <v>94804</v>
      </c>
      <c r="D1325" s="390"/>
      <c r="H1325" s="225"/>
      <c r="J1325" s="387"/>
      <c r="K1325" s="225"/>
      <c r="P1325" s="225"/>
    </row>
    <row r="1326" spans="1:16">
      <c r="A1326" s="226"/>
      <c r="B1326" s="131" t="s">
        <v>2533</v>
      </c>
      <c r="C1326" s="226">
        <v>91661</v>
      </c>
      <c r="D1326" s="390"/>
      <c r="H1326" s="225"/>
      <c r="J1326" s="387"/>
      <c r="K1326" s="225"/>
      <c r="P1326" s="225"/>
    </row>
    <row r="1327" spans="1:16">
      <c r="A1327" s="226"/>
      <c r="B1327" s="131" t="s">
        <v>2534</v>
      </c>
      <c r="C1327" s="226">
        <v>99051</v>
      </c>
      <c r="D1327" s="390"/>
      <c r="H1327" s="225"/>
      <c r="J1327" s="387"/>
      <c r="K1327" s="225"/>
      <c r="P1327" s="225"/>
    </row>
    <row r="1328" spans="1:16">
      <c r="A1328" s="226"/>
      <c r="B1328" s="131" t="s">
        <v>1521</v>
      </c>
      <c r="C1328" s="226">
        <v>99014</v>
      </c>
      <c r="D1328" s="390"/>
      <c r="H1328" s="225"/>
      <c r="J1328" s="387"/>
      <c r="K1328" s="225"/>
      <c r="P1328" s="225"/>
    </row>
    <row r="1329" spans="1:16">
      <c r="A1329" s="226"/>
      <c r="B1329" s="131" t="s">
        <v>1169</v>
      </c>
      <c r="C1329" s="226">
        <v>94901</v>
      </c>
      <c r="D1329" s="390"/>
      <c r="H1329" s="225"/>
      <c r="J1329" s="387"/>
      <c r="K1329" s="225"/>
      <c r="P1329" s="225"/>
    </row>
    <row r="1330" spans="1:16">
      <c r="A1330" s="226"/>
      <c r="B1330" s="131" t="s">
        <v>1458</v>
      </c>
      <c r="C1330" s="226">
        <v>98109</v>
      </c>
      <c r="D1330" s="390"/>
      <c r="H1330" s="225"/>
      <c r="J1330" s="387"/>
      <c r="K1330" s="225"/>
      <c r="P1330" s="225"/>
    </row>
    <row r="1331" spans="1:16">
      <c r="A1331" s="226"/>
      <c r="B1331" s="131" t="s">
        <v>2802</v>
      </c>
      <c r="C1331" s="226">
        <v>98205</v>
      </c>
      <c r="D1331" s="390"/>
      <c r="H1331" s="225"/>
      <c r="J1331" s="388"/>
      <c r="K1331" s="225"/>
      <c r="P1331" s="225"/>
    </row>
    <row r="1332" spans="1:16">
      <c r="A1332" s="226"/>
      <c r="B1332" s="131" t="s">
        <v>2535</v>
      </c>
      <c r="C1332" s="226">
        <v>96661</v>
      </c>
      <c r="D1332" s="390"/>
      <c r="H1332" s="225"/>
      <c r="J1332" s="387"/>
      <c r="K1332" s="225"/>
      <c r="P1332" s="225"/>
    </row>
    <row r="1333" spans="1:16">
      <c r="A1333" s="226"/>
      <c r="B1333" s="131" t="s">
        <v>1178</v>
      </c>
      <c r="C1333" s="226">
        <v>95001</v>
      </c>
      <c r="D1333" s="390"/>
      <c r="H1333" s="225"/>
      <c r="J1333" s="387"/>
      <c r="K1333" s="225"/>
      <c r="P1333" s="225"/>
    </row>
    <row r="1334" spans="1:16">
      <c r="A1334" s="226"/>
      <c r="B1334" s="131" t="s">
        <v>1184</v>
      </c>
      <c r="C1334" s="226">
        <v>95017</v>
      </c>
      <c r="D1334" s="390"/>
      <c r="H1334" s="225"/>
      <c r="J1334" s="388"/>
      <c r="K1334" s="225"/>
      <c r="P1334" s="225"/>
    </row>
    <row r="1335" spans="1:16">
      <c r="A1335" s="226"/>
      <c r="B1335" s="131" t="s">
        <v>1971</v>
      </c>
      <c r="C1335" s="226">
        <v>96711</v>
      </c>
      <c r="D1335" s="390"/>
      <c r="H1335" s="225"/>
      <c r="J1335" s="387"/>
      <c r="K1335" s="225"/>
      <c r="P1335" s="225"/>
    </row>
    <row r="1336" spans="1:16">
      <c r="A1336" s="226"/>
      <c r="B1336" s="131" t="s">
        <v>2536</v>
      </c>
      <c r="C1336" s="226">
        <v>94131</v>
      </c>
      <c r="D1336" s="390"/>
      <c r="H1336" s="225"/>
      <c r="J1336" s="387"/>
      <c r="K1336" s="225"/>
      <c r="P1336" s="225"/>
    </row>
    <row r="1337" spans="1:16">
      <c r="A1337" s="226"/>
      <c r="B1337" s="131" t="s">
        <v>2537</v>
      </c>
      <c r="C1337" s="226">
        <v>95841</v>
      </c>
      <c r="D1337" s="390"/>
      <c r="H1337" s="225"/>
      <c r="J1337" s="387"/>
      <c r="K1337" s="225"/>
      <c r="P1337" s="225"/>
    </row>
    <row r="1338" spans="1:16">
      <c r="A1338" s="226"/>
      <c r="B1338" s="131" t="s">
        <v>2538</v>
      </c>
      <c r="C1338" s="226">
        <v>90511</v>
      </c>
      <c r="D1338" s="390"/>
      <c r="H1338" s="225"/>
      <c r="J1338" s="387"/>
      <c r="K1338" s="225"/>
      <c r="P1338" s="225"/>
    </row>
    <row r="1339" spans="1:16">
      <c r="A1339" s="226"/>
      <c r="B1339" s="131" t="s">
        <v>1185</v>
      </c>
      <c r="C1339" s="226">
        <v>95101</v>
      </c>
      <c r="D1339" s="390"/>
      <c r="H1339" s="225"/>
      <c r="J1339" s="387"/>
      <c r="K1339" s="225"/>
      <c r="P1339" s="225"/>
    </row>
    <row r="1340" spans="1:16">
      <c r="A1340" s="226"/>
      <c r="B1340" s="131" t="s">
        <v>1187</v>
      </c>
      <c r="C1340" s="226">
        <v>95104</v>
      </c>
      <c r="D1340" s="390"/>
      <c r="H1340" s="225"/>
      <c r="J1340" s="387"/>
      <c r="K1340" s="225"/>
      <c r="P1340" s="225"/>
    </row>
    <row r="1341" spans="1:16">
      <c r="A1341" s="226"/>
      <c r="B1341" s="131" t="s">
        <v>1190</v>
      </c>
      <c r="C1341" s="226">
        <v>95110</v>
      </c>
      <c r="D1341" s="390"/>
      <c r="H1341" s="225"/>
      <c r="J1341" s="387"/>
      <c r="K1341" s="225"/>
      <c r="P1341" s="225"/>
    </row>
    <row r="1342" spans="1:16">
      <c r="A1342" s="226"/>
      <c r="B1342" s="131" t="s">
        <v>1203</v>
      </c>
      <c r="C1342" s="226">
        <v>95201</v>
      </c>
      <c r="D1342" s="390"/>
      <c r="H1342" s="225"/>
      <c r="J1342" s="387"/>
      <c r="K1342" s="225"/>
      <c r="P1342" s="225"/>
    </row>
    <row r="1343" spans="1:16">
      <c r="A1343" s="226"/>
      <c r="B1343" s="131" t="s">
        <v>1204</v>
      </c>
      <c r="C1343" s="226">
        <v>95204</v>
      </c>
      <c r="D1343" s="390"/>
      <c r="H1343" s="225"/>
      <c r="J1343" s="388"/>
      <c r="K1343" s="225"/>
      <c r="P1343" s="225"/>
    </row>
    <row r="1344" spans="1:16">
      <c r="A1344" s="226"/>
      <c r="B1344" s="131" t="s">
        <v>2539</v>
      </c>
      <c r="C1344" s="51">
        <v>99921</v>
      </c>
      <c r="D1344" s="390"/>
      <c r="H1344" s="225"/>
      <c r="J1344" s="387"/>
      <c r="K1344" s="225"/>
      <c r="P1344" s="225"/>
    </row>
    <row r="1345" spans="1:16">
      <c r="A1345" s="226"/>
      <c r="B1345" s="131" t="s">
        <v>1137</v>
      </c>
      <c r="C1345" s="226">
        <v>94408</v>
      </c>
      <c r="D1345" s="390"/>
      <c r="H1345" s="225"/>
      <c r="J1345" s="387"/>
      <c r="K1345" s="225"/>
      <c r="P1345" s="225"/>
    </row>
    <row r="1346" spans="1:16">
      <c r="A1346" s="226"/>
      <c r="B1346" s="131" t="s">
        <v>1972</v>
      </c>
      <c r="C1346" s="226">
        <v>91331</v>
      </c>
      <c r="D1346" s="390"/>
      <c r="H1346" s="225"/>
      <c r="J1346" s="388"/>
      <c r="K1346" s="225"/>
      <c r="P1346" s="225"/>
    </row>
    <row r="1347" spans="1:16">
      <c r="A1347" s="226"/>
      <c r="B1347" s="131" t="s">
        <v>2540</v>
      </c>
      <c r="C1347" s="226">
        <v>93121</v>
      </c>
      <c r="D1347" s="390"/>
      <c r="H1347" s="225"/>
      <c r="J1347" s="387"/>
      <c r="K1347" s="225"/>
      <c r="P1347" s="225"/>
    </row>
    <row r="1348" spans="1:16">
      <c r="A1348" s="226"/>
      <c r="B1348" s="131" t="s">
        <v>1007</v>
      </c>
      <c r="C1348" s="226">
        <v>93127</v>
      </c>
      <c r="D1348" s="390"/>
      <c r="H1348" s="225"/>
      <c r="J1348" s="387"/>
      <c r="K1348" s="225"/>
      <c r="P1348" s="225"/>
    </row>
    <row r="1349" spans="1:16">
      <c r="A1349" s="226"/>
      <c r="B1349" s="131" t="s">
        <v>2541</v>
      </c>
      <c r="C1349" s="226">
        <v>95171</v>
      </c>
      <c r="D1349" s="390"/>
      <c r="H1349" s="225"/>
      <c r="J1349" s="387"/>
      <c r="K1349" s="225"/>
      <c r="P1349" s="225"/>
    </row>
    <row r="1350" spans="1:16">
      <c r="A1350" s="226"/>
      <c r="B1350" s="131" t="s">
        <v>2542</v>
      </c>
      <c r="C1350" s="226">
        <v>93421</v>
      </c>
      <c r="D1350" s="390"/>
      <c r="H1350" s="225"/>
      <c r="J1350" s="387"/>
      <c r="K1350" s="225"/>
      <c r="P1350" s="225"/>
    </row>
    <row r="1351" spans="1:16">
      <c r="A1351" s="226"/>
      <c r="B1351" s="131" t="s">
        <v>1535</v>
      </c>
      <c r="C1351" s="226">
        <v>99110</v>
      </c>
      <c r="D1351" s="390"/>
      <c r="H1351" s="225"/>
      <c r="J1351" s="387"/>
      <c r="K1351" s="225"/>
      <c r="P1351" s="225"/>
    </row>
    <row r="1352" spans="1:16">
      <c r="A1352" s="226"/>
      <c r="B1352" s="131" t="s">
        <v>2801</v>
      </c>
      <c r="C1352" s="226">
        <v>99109</v>
      </c>
      <c r="D1352" s="390"/>
      <c r="H1352" s="225"/>
      <c r="J1352" s="387"/>
      <c r="K1352" s="225"/>
      <c r="P1352" s="225"/>
    </row>
    <row r="1353" spans="1:16">
      <c r="A1353" s="226"/>
      <c r="B1353" s="131" t="s">
        <v>2543</v>
      </c>
      <c r="C1353" s="226">
        <v>92821</v>
      </c>
      <c r="D1353" s="390"/>
      <c r="H1353" s="225"/>
      <c r="J1353" s="387"/>
      <c r="K1353" s="225"/>
      <c r="P1353" s="225"/>
    </row>
    <row r="1354" spans="1:16">
      <c r="A1354" s="226"/>
      <c r="B1354" s="131" t="s">
        <v>2544</v>
      </c>
      <c r="C1354" s="226">
        <v>98521</v>
      </c>
      <c r="D1354" s="390"/>
      <c r="H1354" s="225"/>
      <c r="J1354" s="387"/>
      <c r="K1354" s="225"/>
      <c r="P1354" s="225"/>
    </row>
    <row r="1355" spans="1:16">
      <c r="A1355" s="226"/>
      <c r="B1355" s="131" t="s">
        <v>1973</v>
      </c>
      <c r="C1355" s="226">
        <v>92321</v>
      </c>
      <c r="D1355" s="390"/>
      <c r="H1355" s="225"/>
      <c r="J1355" s="388"/>
      <c r="K1355" s="225"/>
      <c r="P1355" s="225"/>
    </row>
    <row r="1356" spans="1:16">
      <c r="A1356" s="226"/>
      <c r="B1356" s="131" t="s">
        <v>934</v>
      </c>
      <c r="C1356" s="226">
        <v>92327</v>
      </c>
      <c r="D1356" s="393"/>
      <c r="H1356" s="225"/>
      <c r="J1356" s="387"/>
      <c r="K1356" s="225"/>
      <c r="P1356" s="225"/>
    </row>
    <row r="1357" spans="1:16">
      <c r="A1357" s="226"/>
      <c r="B1357" s="131" t="s">
        <v>1974</v>
      </c>
      <c r="C1357" s="226">
        <v>95411</v>
      </c>
      <c r="D1357" s="390"/>
      <c r="H1357" s="225"/>
      <c r="J1357" s="387"/>
      <c r="K1357" s="225"/>
      <c r="P1357" s="225"/>
    </row>
    <row r="1358" spans="1:16">
      <c r="A1358" s="226"/>
      <c r="B1358" s="131" t="s">
        <v>2805</v>
      </c>
      <c r="C1358" s="226">
        <v>95413</v>
      </c>
      <c r="D1358" s="390"/>
      <c r="H1358" s="225"/>
      <c r="J1358" s="388"/>
      <c r="K1358" s="225"/>
      <c r="P1358" s="225"/>
    </row>
    <row r="1359" spans="1:16">
      <c r="A1359" s="226"/>
      <c r="B1359" s="131" t="s">
        <v>2800</v>
      </c>
      <c r="C1359" s="226">
        <v>95415</v>
      </c>
      <c r="D1359" s="390"/>
      <c r="H1359" s="225"/>
      <c r="J1359" s="387"/>
      <c r="K1359" s="225"/>
      <c r="P1359" s="225"/>
    </row>
    <row r="1360" spans="1:16">
      <c r="A1360" s="226"/>
      <c r="B1360" s="131" t="s">
        <v>2545</v>
      </c>
      <c r="C1360" s="226">
        <v>92851</v>
      </c>
      <c r="D1360" s="390"/>
      <c r="H1360" s="225"/>
      <c r="J1360" s="387"/>
      <c r="K1360" s="225"/>
      <c r="P1360" s="225"/>
    </row>
    <row r="1361" spans="1:16">
      <c r="A1361" s="226"/>
      <c r="B1361" s="131" t="s">
        <v>2546</v>
      </c>
      <c r="C1361" s="226">
        <v>99291</v>
      </c>
      <c r="D1361" s="390"/>
      <c r="H1361" s="225"/>
      <c r="J1361" s="387"/>
      <c r="K1361" s="225"/>
      <c r="P1361" s="225"/>
    </row>
    <row r="1362" spans="1:16">
      <c r="A1362" s="226"/>
      <c r="B1362" s="131" t="s">
        <v>2547</v>
      </c>
      <c r="C1362" s="226">
        <v>96541</v>
      </c>
      <c r="D1362" s="390"/>
      <c r="H1362" s="225"/>
      <c r="J1362" s="387"/>
      <c r="K1362" s="225"/>
      <c r="P1362" s="225"/>
    </row>
    <row r="1363" spans="1:16">
      <c r="A1363" s="226"/>
      <c r="B1363" s="131" t="s">
        <v>2548</v>
      </c>
      <c r="C1363" s="226">
        <v>95431</v>
      </c>
      <c r="D1363" s="390"/>
      <c r="H1363" s="225"/>
      <c r="J1363" s="387"/>
      <c r="K1363" s="225"/>
      <c r="P1363" s="225"/>
    </row>
    <row r="1364" spans="1:16">
      <c r="A1364" s="226"/>
      <c r="B1364" s="131" t="s">
        <v>2549</v>
      </c>
      <c r="C1364" s="226">
        <v>98131</v>
      </c>
      <c r="D1364" s="390"/>
      <c r="H1364" s="225"/>
      <c r="J1364" s="387"/>
      <c r="K1364" s="225"/>
      <c r="P1364" s="225"/>
    </row>
    <row r="1365" spans="1:16">
      <c r="A1365" s="226"/>
      <c r="B1365" s="131" t="s">
        <v>2550</v>
      </c>
      <c r="C1365" s="226">
        <v>92461</v>
      </c>
      <c r="D1365" s="390"/>
      <c r="H1365" s="225"/>
      <c r="J1365" s="387"/>
      <c r="K1365" s="225"/>
      <c r="P1365" s="225"/>
    </row>
    <row r="1366" spans="1:16">
      <c r="A1366" s="226"/>
      <c r="B1366" s="131" t="s">
        <v>943</v>
      </c>
      <c r="C1366" s="226">
        <v>92427</v>
      </c>
      <c r="D1366" s="390"/>
      <c r="H1366" s="225"/>
      <c r="J1366" s="387"/>
      <c r="K1366" s="225"/>
      <c r="P1366" s="225"/>
    </row>
    <row r="1367" spans="1:16">
      <c r="A1367" s="226"/>
      <c r="B1367" s="131" t="s">
        <v>2551</v>
      </c>
      <c r="C1367" s="226">
        <v>98051</v>
      </c>
      <c r="D1367" s="390"/>
      <c r="H1367" s="225"/>
      <c r="J1367" s="388"/>
      <c r="K1367" s="225"/>
      <c r="P1367" s="225"/>
    </row>
    <row r="1368" spans="1:16">
      <c r="A1368" s="226"/>
      <c r="B1368" s="131" t="s">
        <v>826</v>
      </c>
      <c r="C1368" s="226">
        <v>91102</v>
      </c>
      <c r="D1368" s="390"/>
      <c r="H1368" s="225"/>
      <c r="J1368" s="387"/>
      <c r="K1368" s="225"/>
      <c r="P1368" s="225"/>
    </row>
    <row r="1369" spans="1:16">
      <c r="A1369" s="226"/>
      <c r="B1369" s="131" t="s">
        <v>2552</v>
      </c>
      <c r="C1369" s="226">
        <v>94521</v>
      </c>
      <c r="D1369" s="390"/>
      <c r="H1369" s="225"/>
      <c r="J1369" s="387"/>
      <c r="K1369" s="225"/>
      <c r="P1369" s="225"/>
    </row>
    <row r="1370" spans="1:16">
      <c r="A1370" s="226"/>
      <c r="B1370" s="131" t="s">
        <v>1150</v>
      </c>
      <c r="C1370" s="226">
        <v>94527</v>
      </c>
      <c r="D1370" s="390"/>
      <c r="H1370" s="225"/>
      <c r="J1370" s="388"/>
      <c r="K1370" s="225"/>
      <c r="P1370" s="225"/>
    </row>
    <row r="1371" spans="1:16">
      <c r="A1371" s="226"/>
      <c r="B1371" s="131" t="s">
        <v>1975</v>
      </c>
      <c r="C1371" s="226">
        <v>98311</v>
      </c>
      <c r="D1371" s="390"/>
      <c r="H1371" s="225"/>
      <c r="J1371" s="387"/>
      <c r="K1371" s="225"/>
      <c r="P1371" s="225"/>
    </row>
    <row r="1372" spans="1:16">
      <c r="A1372" s="226"/>
      <c r="B1372" s="131" t="s">
        <v>1481</v>
      </c>
      <c r="C1372" s="226">
        <v>98313</v>
      </c>
      <c r="D1372" s="390"/>
      <c r="H1372" s="225"/>
      <c r="J1372" s="387"/>
      <c r="K1372" s="225"/>
      <c r="P1372" s="225"/>
    </row>
    <row r="1373" spans="1:16">
      <c r="A1373" s="226"/>
      <c r="B1373" s="131" t="s">
        <v>1479</v>
      </c>
      <c r="C1373" s="226">
        <v>98308</v>
      </c>
      <c r="D1373" s="390"/>
      <c r="H1373" s="225"/>
      <c r="J1373" s="387"/>
      <c r="K1373" s="225"/>
      <c r="P1373" s="225"/>
    </row>
    <row r="1374" spans="1:16">
      <c r="A1374" s="226"/>
      <c r="B1374" s="131" t="s">
        <v>2553</v>
      </c>
      <c r="C1374" s="226">
        <v>92341</v>
      </c>
      <c r="D1374" s="390"/>
      <c r="H1374" s="225"/>
      <c r="J1374" s="387"/>
      <c r="K1374" s="225"/>
      <c r="P1374" s="225"/>
    </row>
    <row r="1375" spans="1:16">
      <c r="A1375" s="226"/>
      <c r="B1375" s="131" t="s">
        <v>1208</v>
      </c>
      <c r="C1375" s="226">
        <v>95301</v>
      </c>
      <c r="D1375" s="390"/>
      <c r="H1375" s="225"/>
      <c r="J1375" s="387"/>
      <c r="K1375" s="225"/>
      <c r="P1375" s="225"/>
    </row>
    <row r="1376" spans="1:16">
      <c r="A1376" s="226"/>
      <c r="B1376" s="131" t="s">
        <v>2554</v>
      </c>
      <c r="C1376" s="226">
        <v>91002</v>
      </c>
      <c r="D1376" s="390"/>
      <c r="H1376" s="225"/>
      <c r="J1376" s="387"/>
      <c r="K1376" s="225"/>
      <c r="P1376" s="225"/>
    </row>
    <row r="1377" spans="1:16">
      <c r="A1377" s="226"/>
      <c r="B1377" s="131" t="s">
        <v>1976</v>
      </c>
      <c r="C1377" s="226">
        <v>91451</v>
      </c>
      <c r="D1377" s="390"/>
      <c r="H1377" s="225"/>
      <c r="J1377" s="387"/>
      <c r="K1377" s="225"/>
      <c r="P1377" s="225"/>
    </row>
    <row r="1378" spans="1:16">
      <c r="A1378" s="226"/>
      <c r="B1378" s="131" t="s">
        <v>2799</v>
      </c>
      <c r="C1378" s="226">
        <v>91457</v>
      </c>
      <c r="D1378" s="390"/>
      <c r="H1378" s="225"/>
      <c r="J1378" s="387"/>
      <c r="K1378" s="225"/>
      <c r="P1378" s="225"/>
    </row>
    <row r="1379" spans="1:16">
      <c r="A1379" s="226"/>
      <c r="B1379" s="131" t="s">
        <v>1212</v>
      </c>
      <c r="C1379" s="226">
        <v>95401</v>
      </c>
      <c r="D1379" s="390"/>
      <c r="H1379" s="225"/>
      <c r="J1379" s="388"/>
      <c r="K1379" s="225"/>
      <c r="P1379" s="225"/>
    </row>
    <row r="1380" spans="1:16">
      <c r="A1380" s="226"/>
      <c r="B1380" s="131" t="s">
        <v>1213</v>
      </c>
      <c r="C1380" s="226">
        <v>95404</v>
      </c>
      <c r="D1380" s="390"/>
      <c r="H1380" s="225"/>
      <c r="J1380" s="387"/>
      <c r="K1380" s="225"/>
      <c r="P1380" s="225"/>
    </row>
    <row r="1381" spans="1:16">
      <c r="A1381" s="226"/>
      <c r="B1381" s="131" t="s">
        <v>872</v>
      </c>
      <c r="C1381" s="226">
        <v>91423</v>
      </c>
      <c r="D1381" s="390"/>
      <c r="H1381" s="225"/>
      <c r="J1381" s="387"/>
      <c r="K1381" s="225"/>
      <c r="P1381" s="225"/>
    </row>
    <row r="1382" spans="1:16">
      <c r="A1382" s="226"/>
      <c r="B1382" s="131" t="s">
        <v>2555</v>
      </c>
      <c r="C1382" s="226">
        <v>90861</v>
      </c>
      <c r="D1382" s="390"/>
      <c r="H1382" s="225"/>
      <c r="J1382" s="388"/>
      <c r="K1382" s="225"/>
      <c r="P1382" s="225"/>
    </row>
    <row r="1383" spans="1:16">
      <c r="A1383" s="226"/>
      <c r="B1383" s="131" t="s">
        <v>2556</v>
      </c>
      <c r="C1383" s="226">
        <v>93451</v>
      </c>
      <c r="D1383" s="390"/>
      <c r="H1383" s="225"/>
      <c r="J1383" s="387"/>
      <c r="K1383" s="225"/>
      <c r="P1383" s="225"/>
    </row>
    <row r="1384" spans="1:16">
      <c r="A1384" s="226"/>
      <c r="B1384" s="131" t="s">
        <v>1977</v>
      </c>
      <c r="C1384" s="226">
        <v>92931</v>
      </c>
      <c r="D1384" s="390"/>
      <c r="H1384" s="225"/>
      <c r="J1384" s="387"/>
      <c r="K1384" s="225"/>
      <c r="P1384" s="225"/>
    </row>
    <row r="1385" spans="1:16">
      <c r="A1385" s="226"/>
      <c r="B1385" s="131" t="s">
        <v>994</v>
      </c>
      <c r="C1385" s="226">
        <v>92917</v>
      </c>
      <c r="D1385" s="390"/>
      <c r="H1385" s="225"/>
      <c r="J1385" s="387"/>
      <c r="K1385" s="225"/>
      <c r="P1385" s="225"/>
    </row>
    <row r="1386" spans="1:16">
      <c r="A1386" s="226"/>
      <c r="B1386" s="131" t="s">
        <v>2557</v>
      </c>
      <c r="C1386" s="226">
        <v>97631</v>
      </c>
      <c r="D1386" s="390"/>
      <c r="H1386" s="225"/>
      <c r="J1386" s="387"/>
      <c r="K1386" s="225"/>
      <c r="P1386" s="225"/>
    </row>
    <row r="1387" spans="1:16">
      <c r="A1387" s="226"/>
      <c r="B1387" s="131" t="s">
        <v>1396</v>
      </c>
      <c r="C1387" s="226">
        <v>97637</v>
      </c>
      <c r="D1387" s="390"/>
      <c r="H1387" s="225"/>
      <c r="J1387" s="387"/>
      <c r="K1387" s="225"/>
      <c r="P1387" s="225"/>
    </row>
    <row r="1388" spans="1:16">
      <c r="A1388" s="226"/>
      <c r="B1388" s="131" t="s">
        <v>2558</v>
      </c>
      <c r="C1388" s="226">
        <v>90421</v>
      </c>
      <c r="D1388" s="390"/>
      <c r="H1388" s="225"/>
      <c r="J1388" s="388"/>
      <c r="K1388" s="225"/>
      <c r="P1388" s="225"/>
    </row>
    <row r="1389" spans="1:16">
      <c r="A1389" s="226"/>
      <c r="B1389" s="131" t="s">
        <v>2559</v>
      </c>
      <c r="C1389" s="226">
        <v>94321</v>
      </c>
      <c r="D1389" s="390"/>
      <c r="H1389" s="225"/>
      <c r="J1389" s="387"/>
      <c r="K1389" s="225"/>
      <c r="P1389" s="225"/>
    </row>
    <row r="1390" spans="1:16">
      <c r="A1390" s="226"/>
      <c r="B1390" s="131" t="s">
        <v>1221</v>
      </c>
      <c r="C1390" s="226">
        <v>95501</v>
      </c>
      <c r="D1390" s="390"/>
      <c r="H1390" s="225"/>
      <c r="J1390" s="387"/>
      <c r="K1390" s="225"/>
      <c r="P1390" s="225"/>
    </row>
    <row r="1391" spans="1:16">
      <c r="A1391" s="226"/>
      <c r="B1391" s="131" t="s">
        <v>1222</v>
      </c>
      <c r="C1391" s="226">
        <v>95504</v>
      </c>
      <c r="D1391" s="390"/>
      <c r="H1391" s="225"/>
      <c r="J1391" s="387"/>
      <c r="K1391" s="225"/>
      <c r="P1391" s="225"/>
    </row>
    <row r="1392" spans="1:16">
      <c r="A1392" s="226"/>
      <c r="B1392" s="131" t="s">
        <v>1978</v>
      </c>
      <c r="C1392" s="226">
        <v>95511</v>
      </c>
      <c r="D1392" s="390"/>
      <c r="H1392" s="225"/>
      <c r="J1392" s="387"/>
      <c r="K1392" s="225"/>
      <c r="P1392" s="225"/>
    </row>
    <row r="1393" spans="1:16">
      <c r="A1393" s="226"/>
      <c r="B1393" s="131" t="s">
        <v>2560</v>
      </c>
      <c r="C1393" s="226">
        <v>95517</v>
      </c>
      <c r="D1393" s="390"/>
      <c r="H1393" s="225"/>
      <c r="J1393" s="387"/>
      <c r="K1393" s="225"/>
      <c r="P1393" s="225"/>
    </row>
    <row r="1394" spans="1:16">
      <c r="A1394" s="226"/>
      <c r="B1394" s="131" t="s">
        <v>1224</v>
      </c>
      <c r="C1394" s="226">
        <v>95513</v>
      </c>
      <c r="D1394" s="390"/>
      <c r="H1394" s="225"/>
      <c r="J1394" s="387"/>
      <c r="K1394" s="225"/>
      <c r="P1394" s="225"/>
    </row>
    <row r="1395" spans="1:16">
      <c r="A1395" s="226"/>
      <c r="B1395" s="131" t="s">
        <v>2561</v>
      </c>
      <c r="C1395" s="226">
        <v>92651</v>
      </c>
      <c r="D1395" s="390"/>
      <c r="H1395" s="225"/>
      <c r="J1395" s="387"/>
      <c r="K1395" s="225"/>
      <c r="P1395" s="225"/>
    </row>
    <row r="1396" spans="1:16">
      <c r="A1396" s="226"/>
      <c r="B1396" s="131" t="s">
        <v>2562</v>
      </c>
      <c r="C1396" s="226">
        <v>94261</v>
      </c>
      <c r="D1396" s="390"/>
      <c r="H1396" s="225"/>
      <c r="J1396" s="387"/>
      <c r="K1396" s="225"/>
      <c r="P1396" s="225"/>
    </row>
    <row r="1397" spans="1:16">
      <c r="A1397" s="226"/>
      <c r="B1397" s="131" t="s">
        <v>1979</v>
      </c>
      <c r="C1397" s="226">
        <v>98431</v>
      </c>
      <c r="D1397" s="390"/>
      <c r="H1397" s="225"/>
      <c r="J1397" s="388"/>
      <c r="K1397" s="225"/>
      <c r="P1397" s="225"/>
    </row>
    <row r="1398" spans="1:16">
      <c r="A1398" s="226"/>
      <c r="B1398" s="131" t="s">
        <v>1485</v>
      </c>
      <c r="C1398" s="226">
        <v>98404</v>
      </c>
      <c r="D1398" s="390"/>
      <c r="H1398" s="225"/>
      <c r="J1398" s="387"/>
      <c r="K1398" s="225"/>
      <c r="P1398" s="225"/>
    </row>
    <row r="1399" spans="1:16">
      <c r="A1399" s="226"/>
      <c r="B1399" s="131" t="s">
        <v>2563</v>
      </c>
      <c r="C1399" s="226">
        <v>91841</v>
      </c>
      <c r="D1399" s="390"/>
      <c r="H1399" s="225"/>
      <c r="J1399" s="387"/>
      <c r="K1399" s="225"/>
      <c r="P1399" s="225"/>
    </row>
    <row r="1400" spans="1:16">
      <c r="A1400" s="226"/>
      <c r="B1400" s="131" t="s">
        <v>2564</v>
      </c>
      <c r="C1400" s="226">
        <v>93521</v>
      </c>
      <c r="D1400" s="390"/>
      <c r="H1400" s="225"/>
      <c r="J1400" s="388"/>
      <c r="K1400" s="225"/>
      <c r="P1400" s="225"/>
    </row>
    <row r="1401" spans="1:16">
      <c r="A1401" s="226"/>
      <c r="B1401" s="131" t="s">
        <v>1054</v>
      </c>
      <c r="C1401" s="226">
        <v>93527</v>
      </c>
      <c r="D1401" s="390"/>
      <c r="H1401" s="225"/>
      <c r="J1401" s="387"/>
      <c r="K1401" s="225"/>
      <c r="P1401" s="225"/>
    </row>
    <row r="1402" spans="1:16">
      <c r="A1402" s="226"/>
      <c r="B1402" s="131" t="s">
        <v>1980</v>
      </c>
      <c r="C1402" s="226">
        <v>93661</v>
      </c>
      <c r="D1402" s="390"/>
      <c r="H1402" s="225"/>
      <c r="J1402" s="387"/>
      <c r="K1402" s="225"/>
      <c r="P1402" s="225"/>
    </row>
    <row r="1403" spans="1:16">
      <c r="A1403" s="226"/>
      <c r="B1403" s="131" t="s">
        <v>2760</v>
      </c>
      <c r="C1403" s="226">
        <v>96508</v>
      </c>
      <c r="D1403" s="390"/>
      <c r="H1403" s="225"/>
      <c r="J1403" s="387"/>
      <c r="K1403" s="225"/>
      <c r="P1403" s="225"/>
    </row>
    <row r="1404" spans="1:16">
      <c r="A1404" s="226"/>
      <c r="B1404" s="131" t="s">
        <v>2565</v>
      </c>
      <c r="C1404" s="51">
        <v>99841</v>
      </c>
      <c r="D1404" s="390"/>
      <c r="H1404" s="225"/>
      <c r="J1404" s="387"/>
      <c r="K1404" s="225"/>
      <c r="P1404" s="225"/>
    </row>
    <row r="1405" spans="1:16">
      <c r="A1405" s="226"/>
      <c r="B1405" s="131" t="s">
        <v>1409</v>
      </c>
      <c r="C1405" s="226">
        <v>97802</v>
      </c>
      <c r="D1405" s="390"/>
      <c r="H1405" s="225"/>
      <c r="J1405" s="387"/>
      <c r="K1405" s="225"/>
      <c r="P1405" s="225"/>
    </row>
    <row r="1406" spans="1:16">
      <c r="A1406" s="226"/>
      <c r="B1406" s="131" t="s">
        <v>1981</v>
      </c>
      <c r="C1406" s="226">
        <v>97811</v>
      </c>
      <c r="D1406" s="390"/>
      <c r="H1406" s="225"/>
      <c r="J1406" s="387"/>
      <c r="K1406" s="225"/>
      <c r="P1406" s="225"/>
    </row>
    <row r="1407" spans="1:16">
      <c r="A1407" s="226"/>
      <c r="B1407" s="131" t="s">
        <v>1413</v>
      </c>
      <c r="C1407" s="226">
        <v>97817</v>
      </c>
      <c r="D1407" s="390"/>
      <c r="H1407" s="225"/>
      <c r="J1407" s="387"/>
      <c r="K1407" s="225"/>
      <c r="P1407" s="225"/>
    </row>
    <row r="1408" spans="1:16">
      <c r="A1408" s="226"/>
      <c r="B1408" s="131" t="s">
        <v>2798</v>
      </c>
      <c r="C1408" s="226">
        <v>97818</v>
      </c>
      <c r="D1408" s="390"/>
      <c r="H1408" s="225"/>
      <c r="J1408" s="387"/>
      <c r="K1408" s="225"/>
      <c r="P1408" s="225"/>
    </row>
    <row r="1409" spans="1:16">
      <c r="A1409" s="226"/>
      <c r="B1409" s="131" t="s">
        <v>2566</v>
      </c>
      <c r="C1409" s="226">
        <v>93341</v>
      </c>
      <c r="D1409" s="390"/>
      <c r="H1409" s="225"/>
      <c r="J1409" s="388"/>
      <c r="K1409" s="225"/>
      <c r="P1409" s="225"/>
    </row>
    <row r="1410" spans="1:16">
      <c r="A1410" s="226"/>
      <c r="B1410" s="131" t="s">
        <v>1226</v>
      </c>
      <c r="C1410" s="226">
        <v>95601</v>
      </c>
      <c r="D1410" s="390"/>
      <c r="H1410" s="225"/>
      <c r="J1410" s="387"/>
      <c r="K1410" s="225"/>
      <c r="P1410" s="225"/>
    </row>
    <row r="1411" spans="1:16">
      <c r="A1411" s="226"/>
      <c r="B1411" s="131" t="s">
        <v>2567</v>
      </c>
      <c r="C1411" s="226">
        <v>97941</v>
      </c>
      <c r="D1411" s="390"/>
      <c r="H1411" s="225"/>
      <c r="J1411" s="387"/>
      <c r="K1411" s="225"/>
      <c r="P1411" s="225"/>
    </row>
    <row r="1412" spans="1:16">
      <c r="A1412" s="226"/>
      <c r="B1412" s="131" t="s">
        <v>1434</v>
      </c>
      <c r="C1412" s="226">
        <v>97947</v>
      </c>
      <c r="D1412" s="390"/>
      <c r="H1412" s="225"/>
      <c r="J1412" s="388"/>
      <c r="K1412" s="225"/>
      <c r="P1412" s="225"/>
    </row>
    <row r="1413" spans="1:16">
      <c r="A1413" s="226"/>
      <c r="B1413" s="131" t="s">
        <v>1230</v>
      </c>
      <c r="C1413" s="226">
        <v>95701</v>
      </c>
      <c r="D1413" s="390"/>
      <c r="H1413" s="225"/>
      <c r="J1413" s="387"/>
      <c r="K1413" s="225"/>
      <c r="P1413" s="225"/>
    </row>
    <row r="1414" spans="1:16">
      <c r="A1414" s="226"/>
      <c r="B1414" s="131" t="s">
        <v>1435</v>
      </c>
      <c r="C1414" s="226">
        <v>97948</v>
      </c>
      <c r="D1414" s="390"/>
      <c r="H1414" s="225"/>
      <c r="J1414" s="387"/>
      <c r="K1414" s="225"/>
      <c r="P1414" s="225"/>
    </row>
    <row r="1415" spans="1:16">
      <c r="A1415" s="226"/>
      <c r="B1415" s="131" t="s">
        <v>2568</v>
      </c>
      <c r="C1415" s="226">
        <v>94421</v>
      </c>
      <c r="D1415" s="390"/>
      <c r="H1415" s="225"/>
      <c r="J1415" s="387"/>
      <c r="K1415" s="225"/>
      <c r="P1415" s="225"/>
    </row>
    <row r="1416" spans="1:16">
      <c r="A1416" s="226"/>
      <c r="B1416" s="131" t="s">
        <v>1141</v>
      </c>
      <c r="C1416" s="226">
        <v>94427</v>
      </c>
      <c r="D1416" s="390"/>
      <c r="H1416" s="225"/>
      <c r="J1416" s="387"/>
      <c r="K1416" s="225"/>
      <c r="P1416" s="225"/>
    </row>
    <row r="1417" spans="1:16">
      <c r="A1417" s="226"/>
      <c r="B1417" s="131" t="s">
        <v>2797</v>
      </c>
      <c r="C1417" s="226">
        <v>94428</v>
      </c>
      <c r="D1417" s="390"/>
      <c r="H1417" s="225"/>
      <c r="J1417" s="387"/>
      <c r="K1417" s="225"/>
      <c r="P1417" s="225"/>
    </row>
    <row r="1418" spans="1:16">
      <c r="A1418" s="226"/>
      <c r="B1418" s="131" t="s">
        <v>2569</v>
      </c>
      <c r="C1418" s="226">
        <v>93191</v>
      </c>
      <c r="D1418" s="390"/>
      <c r="H1418" s="225"/>
      <c r="J1418" s="387"/>
      <c r="K1418" s="225"/>
      <c r="P1418" s="225"/>
    </row>
    <row r="1419" spans="1:16">
      <c r="A1419" s="226"/>
      <c r="B1419" s="131" t="s">
        <v>2570</v>
      </c>
      <c r="C1419" s="226">
        <v>91831</v>
      </c>
      <c r="D1419" s="390"/>
      <c r="H1419" s="225"/>
      <c r="J1419" s="387"/>
      <c r="K1419" s="225"/>
      <c r="P1419" s="225"/>
    </row>
    <row r="1420" spans="1:16">
      <c r="A1420" s="226"/>
      <c r="B1420" s="131" t="s">
        <v>2571</v>
      </c>
      <c r="C1420" s="226">
        <v>92831</v>
      </c>
      <c r="D1420" s="390"/>
      <c r="H1420" s="225"/>
      <c r="J1420" s="387"/>
      <c r="K1420" s="225"/>
      <c r="P1420" s="225"/>
    </row>
    <row r="1421" spans="1:16">
      <c r="A1421" s="226"/>
      <c r="B1421" s="131" t="s">
        <v>2572</v>
      </c>
      <c r="C1421" s="226">
        <v>95911</v>
      </c>
      <c r="D1421" s="390"/>
      <c r="H1421" s="225"/>
      <c r="J1421" s="388"/>
      <c r="K1421" s="225"/>
      <c r="P1421" s="225"/>
    </row>
    <row r="1422" spans="1:16">
      <c r="A1422" s="226"/>
      <c r="B1422" s="131" t="s">
        <v>1247</v>
      </c>
      <c r="C1422" s="226">
        <v>95917</v>
      </c>
      <c r="D1422" s="390"/>
      <c r="H1422" s="225"/>
      <c r="J1422" s="387"/>
      <c r="K1422" s="225"/>
      <c r="P1422" s="225"/>
    </row>
    <row r="1423" spans="1:16">
      <c r="A1423" s="226"/>
      <c r="B1423" s="131" t="s">
        <v>2573</v>
      </c>
      <c r="C1423" s="226">
        <v>95711</v>
      </c>
      <c r="D1423" s="390"/>
      <c r="H1423" s="225"/>
      <c r="J1423" s="387"/>
      <c r="K1423" s="225"/>
      <c r="P1423" s="225"/>
    </row>
    <row r="1424" spans="1:16">
      <c r="A1424" s="226"/>
      <c r="B1424" s="131" t="s">
        <v>2574</v>
      </c>
      <c r="C1424" s="226">
        <v>95721</v>
      </c>
      <c r="D1424" s="390"/>
      <c r="H1424" s="225"/>
      <c r="J1424" s="388"/>
      <c r="K1424" s="225"/>
      <c r="P1424" s="225"/>
    </row>
    <row r="1425" spans="1:16">
      <c r="A1425" s="226"/>
      <c r="B1425" s="131" t="s">
        <v>2575</v>
      </c>
      <c r="C1425" s="226">
        <v>99021</v>
      </c>
      <c r="D1425" s="390"/>
      <c r="H1425" s="225"/>
      <c r="J1425" s="387"/>
      <c r="K1425" s="225"/>
      <c r="P1425" s="225"/>
    </row>
    <row r="1426" spans="1:16">
      <c r="A1426" s="226"/>
      <c r="B1426" s="131" t="s">
        <v>2758</v>
      </c>
      <c r="C1426" s="226">
        <v>95802</v>
      </c>
      <c r="D1426" s="390"/>
      <c r="H1426" s="225"/>
      <c r="J1426" s="387"/>
      <c r="K1426" s="225"/>
      <c r="P1426" s="225"/>
    </row>
    <row r="1427" spans="1:16">
      <c r="A1427" s="226"/>
      <c r="B1427" s="131" t="s">
        <v>1234</v>
      </c>
      <c r="C1427" s="226">
        <v>95801</v>
      </c>
      <c r="D1427" s="390"/>
      <c r="H1427" s="225"/>
      <c r="J1427" s="387"/>
      <c r="K1427" s="225"/>
      <c r="P1427" s="225"/>
    </row>
    <row r="1428" spans="1:16">
      <c r="A1428" s="226"/>
      <c r="B1428" s="131" t="s">
        <v>1236</v>
      </c>
      <c r="C1428" s="226">
        <v>95804</v>
      </c>
      <c r="D1428" s="390"/>
      <c r="H1428" s="225"/>
      <c r="J1428" s="387"/>
      <c r="K1428" s="225"/>
      <c r="P1428" s="225"/>
    </row>
    <row r="1429" spans="1:16">
      <c r="A1429" s="226"/>
      <c r="B1429" s="131" t="s">
        <v>2796</v>
      </c>
      <c r="C1429" s="226">
        <v>90092</v>
      </c>
      <c r="D1429" s="390"/>
      <c r="H1429" s="225"/>
      <c r="J1429" s="387"/>
      <c r="K1429" s="225"/>
      <c r="P1429" s="225"/>
    </row>
    <row r="1430" spans="1:16">
      <c r="A1430" s="226"/>
      <c r="B1430" s="131" t="s">
        <v>2576</v>
      </c>
      <c r="C1430" s="226">
        <v>99081</v>
      </c>
      <c r="D1430" s="390"/>
      <c r="H1430" s="225"/>
      <c r="J1430" s="387"/>
      <c r="K1430" s="225"/>
      <c r="P1430" s="225"/>
    </row>
    <row r="1431" spans="1:16">
      <c r="A1431" s="226"/>
      <c r="B1431" s="131" t="s">
        <v>2577</v>
      </c>
      <c r="C1431" s="226">
        <v>96071</v>
      </c>
      <c r="D1431" s="390"/>
      <c r="H1431" s="225"/>
      <c r="J1431" s="387"/>
      <c r="K1431" s="225"/>
      <c r="P1431" s="225"/>
    </row>
    <row r="1432" spans="1:16">
      <c r="A1432" s="226"/>
      <c r="B1432" s="131" t="s">
        <v>1092</v>
      </c>
      <c r="C1432" s="226">
        <v>94002</v>
      </c>
      <c r="D1432" s="390"/>
      <c r="H1432" s="225"/>
      <c r="J1432" s="387"/>
      <c r="K1432" s="225"/>
      <c r="P1432" s="225"/>
    </row>
    <row r="1433" spans="1:16">
      <c r="A1433" s="226"/>
      <c r="B1433" s="131" t="s">
        <v>2578</v>
      </c>
      <c r="C1433" s="226">
        <v>97840</v>
      </c>
      <c r="D1433" s="390"/>
      <c r="H1433" s="225"/>
      <c r="J1433" s="388"/>
      <c r="K1433" s="225"/>
      <c r="P1433" s="225"/>
    </row>
    <row r="1434" spans="1:16">
      <c r="A1434" s="226"/>
      <c r="B1434" s="131" t="s">
        <v>1421</v>
      </c>
      <c r="C1434" s="226">
        <v>97847</v>
      </c>
      <c r="D1434" s="390"/>
      <c r="H1434" s="225"/>
      <c r="J1434" s="387"/>
      <c r="K1434" s="225"/>
      <c r="P1434" s="225"/>
    </row>
    <row r="1435" spans="1:16">
      <c r="A1435" s="226"/>
      <c r="B1435" s="131" t="s">
        <v>2579</v>
      </c>
      <c r="C1435" s="226">
        <v>97921</v>
      </c>
      <c r="D1435" s="390"/>
      <c r="H1435" s="225"/>
      <c r="J1435" s="387"/>
      <c r="K1435" s="225"/>
      <c r="P1435" s="225"/>
    </row>
    <row r="1436" spans="1:16">
      <c r="A1436" s="226"/>
      <c r="B1436" s="131" t="s">
        <v>2580</v>
      </c>
      <c r="C1436" s="226">
        <v>95221</v>
      </c>
      <c r="D1436" s="390"/>
      <c r="H1436" s="225"/>
      <c r="J1436" s="388"/>
      <c r="K1436" s="225"/>
      <c r="P1436" s="225"/>
    </row>
    <row r="1437" spans="1:16">
      <c r="A1437" s="226"/>
      <c r="B1437" s="131" t="s">
        <v>2581</v>
      </c>
      <c r="C1437" s="226">
        <v>93610</v>
      </c>
      <c r="D1437" s="390"/>
      <c r="H1437" s="225"/>
      <c r="J1437" s="387"/>
      <c r="K1437" s="225"/>
      <c r="P1437" s="225"/>
    </row>
    <row r="1438" spans="1:16">
      <c r="A1438" s="226"/>
      <c r="B1438" s="131" t="s">
        <v>1244</v>
      </c>
      <c r="C1438" s="226">
        <v>95901</v>
      </c>
      <c r="D1438" s="390"/>
      <c r="H1438" s="225"/>
      <c r="J1438" s="387"/>
      <c r="K1438" s="225"/>
      <c r="P1438" s="225"/>
    </row>
    <row r="1439" spans="1:16">
      <c r="A1439" s="226"/>
      <c r="B1439" s="131" t="s">
        <v>1982</v>
      </c>
      <c r="C1439" s="226">
        <v>90114</v>
      </c>
      <c r="D1439" s="390"/>
      <c r="H1439" s="225"/>
      <c r="J1439" s="387"/>
      <c r="K1439" s="225"/>
      <c r="P1439" s="225"/>
    </row>
    <row r="1440" spans="1:16">
      <c r="A1440" s="226"/>
      <c r="B1440" s="131" t="s">
        <v>1249</v>
      </c>
      <c r="C1440" s="226">
        <v>96001</v>
      </c>
      <c r="D1440" s="390"/>
      <c r="H1440" s="225"/>
      <c r="J1440" s="387"/>
      <c r="K1440" s="225"/>
      <c r="P1440" s="225"/>
    </row>
    <row r="1441" spans="1:16">
      <c r="A1441" s="226"/>
      <c r="B1441" s="131" t="s">
        <v>1251</v>
      </c>
      <c r="C1441" s="226">
        <v>96004</v>
      </c>
      <c r="D1441" s="390"/>
      <c r="H1441" s="225"/>
      <c r="J1441" s="387"/>
      <c r="K1441" s="225"/>
      <c r="P1441" s="225"/>
    </row>
    <row r="1442" spans="1:16">
      <c r="A1442" s="226"/>
      <c r="B1442" s="131" t="s">
        <v>2795</v>
      </c>
      <c r="C1442" s="226">
        <v>96008</v>
      </c>
      <c r="D1442" s="390"/>
      <c r="H1442" s="225"/>
      <c r="J1442" s="387"/>
      <c r="K1442" s="225"/>
      <c r="P1442" s="225"/>
    </row>
    <row r="1443" spans="1:16">
      <c r="A1443" s="226"/>
      <c r="B1443" s="131" t="s">
        <v>829</v>
      </c>
      <c r="C1443" s="226">
        <v>91108</v>
      </c>
      <c r="D1443" s="390"/>
      <c r="H1443" s="225"/>
      <c r="J1443" s="387"/>
      <c r="K1443" s="225"/>
      <c r="P1443" s="225"/>
    </row>
    <row r="1444" spans="1:16">
      <c r="A1444" s="226"/>
      <c r="B1444" s="131" t="s">
        <v>1177</v>
      </c>
      <c r="C1444" s="226">
        <v>94941</v>
      </c>
      <c r="D1444" s="390"/>
      <c r="H1444" s="225"/>
      <c r="J1444" s="387"/>
      <c r="K1444" s="225"/>
      <c r="P1444" s="225"/>
    </row>
    <row r="1445" spans="1:16">
      <c r="A1445" s="226"/>
      <c r="B1445" s="131" t="s">
        <v>2582</v>
      </c>
      <c r="C1445" s="226">
        <v>95122</v>
      </c>
      <c r="D1445" s="390"/>
      <c r="H1445" s="225"/>
      <c r="J1445" s="388"/>
      <c r="K1445" s="225"/>
      <c r="P1445" s="225"/>
    </row>
    <row r="1446" spans="1:16">
      <c r="A1446" s="226"/>
      <c r="B1446" s="131" t="s">
        <v>967</v>
      </c>
      <c r="C1446" s="226">
        <v>92607</v>
      </c>
      <c r="D1446" s="390"/>
      <c r="H1446" s="225"/>
      <c r="J1446" s="387"/>
      <c r="K1446" s="225"/>
      <c r="P1446" s="225"/>
    </row>
    <row r="1447" spans="1:16">
      <c r="A1447" s="226"/>
      <c r="B1447" s="131" t="s">
        <v>2583</v>
      </c>
      <c r="C1447" s="226">
        <v>96431</v>
      </c>
      <c r="D1447" s="390"/>
      <c r="H1447" s="225"/>
      <c r="J1447" s="387"/>
      <c r="K1447" s="225"/>
      <c r="P1447" s="225"/>
    </row>
    <row r="1448" spans="1:16">
      <c r="A1448" s="226"/>
      <c r="B1448" s="131" t="s">
        <v>774</v>
      </c>
      <c r="C1448" s="226">
        <v>90709</v>
      </c>
      <c r="D1448" s="390"/>
      <c r="H1448" s="225"/>
      <c r="J1448" s="388"/>
      <c r="K1448" s="225"/>
      <c r="P1448" s="225"/>
    </row>
    <row r="1449" spans="1:16">
      <c r="A1449" s="226"/>
      <c r="B1449" s="131" t="s">
        <v>2584</v>
      </c>
      <c r="C1449" s="226">
        <v>91341</v>
      </c>
      <c r="D1449" s="390"/>
      <c r="H1449" s="225"/>
      <c r="J1449" s="387"/>
      <c r="K1449" s="225"/>
      <c r="P1449" s="225"/>
    </row>
    <row r="1450" spans="1:16">
      <c r="A1450" s="226"/>
      <c r="B1450" s="131" t="s">
        <v>2585</v>
      </c>
      <c r="C1450" s="226">
        <v>92941</v>
      </c>
      <c r="D1450" s="390"/>
      <c r="H1450" s="225"/>
      <c r="J1450" s="387"/>
      <c r="K1450" s="225"/>
      <c r="P1450" s="225"/>
    </row>
    <row r="1451" spans="1:16">
      <c r="A1451" s="226"/>
      <c r="B1451" s="131" t="s">
        <v>2586</v>
      </c>
      <c r="C1451" s="226">
        <v>94551</v>
      </c>
      <c r="D1451" s="390"/>
      <c r="H1451" s="225"/>
      <c r="J1451" s="387"/>
      <c r="K1451" s="225"/>
      <c r="P1451" s="225"/>
    </row>
    <row r="1452" spans="1:16">
      <c r="A1452" s="226"/>
      <c r="B1452" s="131" t="s">
        <v>2587</v>
      </c>
      <c r="C1452" s="226">
        <v>99022</v>
      </c>
      <c r="D1452" s="390"/>
      <c r="H1452" s="225"/>
      <c r="J1452" s="387"/>
      <c r="K1452" s="225"/>
      <c r="P1452" s="225"/>
    </row>
    <row r="1453" spans="1:16">
      <c r="A1453" s="226"/>
      <c r="B1453" s="131" t="s">
        <v>2588</v>
      </c>
      <c r="C1453" s="226">
        <v>96031</v>
      </c>
      <c r="D1453" s="390"/>
      <c r="H1453" s="225"/>
      <c r="J1453" s="387"/>
      <c r="K1453" s="225"/>
      <c r="P1453" s="225"/>
    </row>
    <row r="1454" spans="1:16">
      <c r="A1454" s="226"/>
      <c r="B1454" s="131" t="s">
        <v>2589</v>
      </c>
      <c r="C1454" s="226">
        <v>98414</v>
      </c>
      <c r="D1454" s="390"/>
      <c r="H1454" s="225"/>
      <c r="J1454" s="387"/>
      <c r="K1454" s="225"/>
      <c r="P1454" s="225"/>
    </row>
    <row r="1455" spans="1:16">
      <c r="A1455" s="226"/>
      <c r="B1455" s="131" t="s">
        <v>1265</v>
      </c>
      <c r="C1455" s="226">
        <v>96101</v>
      </c>
      <c r="D1455" s="390"/>
      <c r="H1455" s="225"/>
      <c r="J1455" s="387"/>
      <c r="K1455" s="225"/>
      <c r="P1455" s="225"/>
    </row>
    <row r="1456" spans="1:16">
      <c r="A1456" s="226"/>
      <c r="B1456" s="131" t="s">
        <v>2794</v>
      </c>
      <c r="C1456" s="226">
        <v>96102</v>
      </c>
      <c r="D1456" s="390"/>
      <c r="H1456" s="225"/>
      <c r="J1456" s="387"/>
      <c r="K1456" s="225"/>
      <c r="P1456" s="225"/>
    </row>
    <row r="1457" spans="1:16">
      <c r="A1457" s="226"/>
      <c r="B1457" s="131" t="s">
        <v>2590</v>
      </c>
      <c r="C1457" s="226">
        <v>93011</v>
      </c>
      <c r="D1457" s="390"/>
      <c r="H1457" s="225"/>
      <c r="J1457" s="388"/>
      <c r="K1457" s="225"/>
      <c r="P1457" s="225"/>
    </row>
    <row r="1458" spans="1:16">
      <c r="A1458" s="226"/>
      <c r="B1458" s="131" t="s">
        <v>1983</v>
      </c>
      <c r="C1458" s="226">
        <v>99011</v>
      </c>
      <c r="D1458" s="390"/>
      <c r="H1458" s="225"/>
      <c r="J1458" s="387"/>
      <c r="K1458" s="225"/>
      <c r="P1458" s="225"/>
    </row>
    <row r="1459" spans="1:16">
      <c r="A1459" s="226"/>
      <c r="B1459" s="131" t="s">
        <v>1522</v>
      </c>
      <c r="C1459" s="226">
        <v>99017</v>
      </c>
      <c r="D1459" s="390"/>
      <c r="H1459" s="225"/>
      <c r="J1459" s="387"/>
      <c r="K1459" s="225"/>
      <c r="P1459" s="225"/>
    </row>
    <row r="1460" spans="1:16">
      <c r="A1460" s="226"/>
      <c r="B1460" s="131" t="s">
        <v>1984</v>
      </c>
      <c r="C1460" s="226">
        <v>99013</v>
      </c>
      <c r="D1460" s="390"/>
      <c r="H1460" s="225"/>
      <c r="J1460" s="388"/>
      <c r="K1460" s="225"/>
      <c r="P1460" s="225"/>
    </row>
    <row r="1461" spans="1:16">
      <c r="A1461" s="226"/>
      <c r="B1461" s="131" t="s">
        <v>1269</v>
      </c>
      <c r="C1461" s="226">
        <v>96201</v>
      </c>
      <c r="D1461" s="390"/>
      <c r="H1461" s="225"/>
      <c r="J1461" s="387"/>
      <c r="K1461" s="225"/>
      <c r="P1461" s="225"/>
    </row>
    <row r="1462" spans="1:16">
      <c r="A1462" s="226"/>
      <c r="B1462" s="131" t="s">
        <v>1270</v>
      </c>
      <c r="C1462" s="226">
        <v>96204</v>
      </c>
      <c r="D1462" s="390"/>
      <c r="H1462" s="225"/>
      <c r="J1462" s="387"/>
      <c r="K1462" s="225"/>
      <c r="P1462" s="225"/>
    </row>
    <row r="1463" spans="1:16">
      <c r="A1463" s="226"/>
      <c r="B1463" s="131" t="s">
        <v>2591</v>
      </c>
      <c r="C1463" s="226">
        <v>91161</v>
      </c>
      <c r="D1463" s="390"/>
      <c r="H1463" s="225"/>
      <c r="J1463" s="387"/>
      <c r="K1463" s="225"/>
      <c r="P1463" s="225"/>
    </row>
    <row r="1464" spans="1:16">
      <c r="A1464" s="226"/>
      <c r="B1464" s="131" t="s">
        <v>1276</v>
      </c>
      <c r="C1464" s="226">
        <v>96301</v>
      </c>
      <c r="D1464" s="390"/>
      <c r="H1464" s="225"/>
      <c r="J1464" s="387"/>
      <c r="K1464" s="225"/>
      <c r="P1464" s="225"/>
    </row>
    <row r="1465" spans="1:16">
      <c r="A1465" s="226"/>
      <c r="B1465" s="131" t="s">
        <v>1278</v>
      </c>
      <c r="C1465" s="226">
        <v>96304</v>
      </c>
      <c r="D1465" s="390"/>
      <c r="H1465" s="225"/>
      <c r="J1465" s="387"/>
      <c r="K1465" s="225"/>
      <c r="P1465" s="225"/>
    </row>
    <row r="1466" spans="1:16">
      <c r="A1466" s="226"/>
      <c r="B1466" s="131" t="s">
        <v>1280</v>
      </c>
      <c r="C1466" s="226">
        <v>96310</v>
      </c>
      <c r="D1466" s="390"/>
      <c r="H1466" s="225"/>
      <c r="J1466" s="388"/>
      <c r="K1466" s="225"/>
      <c r="P1466" s="225"/>
    </row>
    <row r="1467" spans="1:16">
      <c r="A1467" s="226"/>
      <c r="B1467" s="131" t="s">
        <v>1279</v>
      </c>
      <c r="C1467" s="226">
        <v>96305</v>
      </c>
      <c r="D1467" s="390"/>
      <c r="H1467" s="225"/>
      <c r="J1467" s="387"/>
      <c r="K1467" s="225"/>
      <c r="P1467" s="225"/>
    </row>
    <row r="1468" spans="1:16">
      <c r="A1468" s="226"/>
      <c r="B1468" s="131" t="s">
        <v>1985</v>
      </c>
      <c r="C1468" s="226">
        <v>94921</v>
      </c>
      <c r="D1468" s="390"/>
      <c r="H1468" s="225"/>
      <c r="J1468" s="387"/>
      <c r="K1468" s="225"/>
      <c r="P1468" s="225"/>
    </row>
    <row r="1469" spans="1:16">
      <c r="A1469" s="226"/>
      <c r="B1469" s="131" t="s">
        <v>1175</v>
      </c>
      <c r="C1469" s="226">
        <v>94927</v>
      </c>
      <c r="D1469" s="390"/>
      <c r="H1469" s="225"/>
      <c r="J1469" s="387"/>
      <c r="K1469" s="225"/>
      <c r="P1469" s="225"/>
    </row>
    <row r="1470" spans="1:16">
      <c r="A1470" s="226"/>
      <c r="B1470" s="131" t="s">
        <v>1174</v>
      </c>
      <c r="C1470" s="226">
        <v>94923</v>
      </c>
      <c r="D1470" s="390"/>
      <c r="H1470" s="225"/>
      <c r="J1470" s="387"/>
      <c r="K1470" s="225"/>
      <c r="P1470" s="225"/>
    </row>
    <row r="1471" spans="1:16">
      <c r="A1471" s="226"/>
      <c r="B1471" s="131" t="s">
        <v>2592</v>
      </c>
      <c r="C1471" s="226">
        <v>91611</v>
      </c>
      <c r="D1471" s="390"/>
      <c r="H1471" s="225"/>
      <c r="J1471" s="387"/>
      <c r="K1471" s="225"/>
      <c r="P1471" s="225"/>
    </row>
    <row r="1472" spans="1:16">
      <c r="A1472" s="226"/>
      <c r="B1472" s="131" t="s">
        <v>1986</v>
      </c>
      <c r="C1472" s="226">
        <v>91231</v>
      </c>
      <c r="D1472" s="390"/>
      <c r="H1472" s="225"/>
      <c r="J1472" s="387"/>
      <c r="K1472" s="225"/>
      <c r="P1472" s="225"/>
    </row>
    <row r="1473" spans="1:16">
      <c r="A1473" s="226"/>
      <c r="B1473" s="131" t="s">
        <v>851</v>
      </c>
      <c r="C1473" s="226">
        <v>91217</v>
      </c>
      <c r="D1473" s="390"/>
      <c r="H1473" s="225"/>
      <c r="J1473" s="387"/>
      <c r="K1473" s="225"/>
      <c r="P1473" s="225"/>
    </row>
    <row r="1474" spans="1:16">
      <c r="A1474" s="226"/>
      <c r="B1474" s="131" t="s">
        <v>854</v>
      </c>
      <c r="C1474" s="226">
        <v>91233</v>
      </c>
      <c r="D1474" s="390"/>
      <c r="H1474" s="225"/>
      <c r="J1474" s="387"/>
      <c r="K1474" s="225"/>
      <c r="P1474" s="225"/>
    </row>
    <row r="1475" spans="1:16">
      <c r="A1475" s="226"/>
      <c r="B1475" s="131" t="s">
        <v>2593</v>
      </c>
      <c r="C1475" s="226">
        <v>99206</v>
      </c>
      <c r="D1475" s="390"/>
      <c r="H1475" s="225"/>
      <c r="J1475" s="388"/>
      <c r="K1475" s="225"/>
      <c r="P1475" s="225"/>
    </row>
    <row r="1476" spans="1:16">
      <c r="A1476" s="226"/>
      <c r="B1476" s="131" t="s">
        <v>2594</v>
      </c>
      <c r="C1476" s="226">
        <v>90461</v>
      </c>
      <c r="D1476" s="390"/>
      <c r="H1476" s="225"/>
      <c r="J1476" s="387"/>
      <c r="K1476" s="225"/>
      <c r="P1476" s="225"/>
    </row>
    <row r="1477" spans="1:16">
      <c r="A1477" s="226"/>
      <c r="B1477" s="131" t="s">
        <v>1987</v>
      </c>
      <c r="C1477" s="226">
        <v>98631</v>
      </c>
      <c r="D1477" s="390"/>
      <c r="H1477" s="225"/>
      <c r="J1477" s="387"/>
      <c r="K1477" s="225"/>
      <c r="P1477" s="225"/>
    </row>
    <row r="1478" spans="1:16">
      <c r="A1478" s="226"/>
      <c r="B1478" s="131" t="s">
        <v>1507</v>
      </c>
      <c r="C1478" s="226">
        <v>98637</v>
      </c>
      <c r="D1478" s="390"/>
      <c r="H1478" s="225"/>
      <c r="J1478" s="388"/>
      <c r="K1478" s="225"/>
      <c r="P1478" s="225"/>
    </row>
    <row r="1479" spans="1:16">
      <c r="A1479" s="226"/>
      <c r="B1479" s="131" t="s">
        <v>2595</v>
      </c>
      <c r="C1479" s="226">
        <v>96251</v>
      </c>
      <c r="D1479" s="390"/>
      <c r="H1479" s="225"/>
      <c r="J1479" s="387"/>
      <c r="K1479" s="225"/>
      <c r="P1479" s="225"/>
    </row>
    <row r="1480" spans="1:16">
      <c r="A1480" s="226"/>
      <c r="B1480" s="131" t="s">
        <v>1988</v>
      </c>
      <c r="C1480" s="226">
        <v>93691</v>
      </c>
      <c r="D1480" s="390"/>
      <c r="H1480" s="225"/>
      <c r="J1480" s="387"/>
      <c r="K1480" s="225"/>
      <c r="P1480" s="225"/>
    </row>
    <row r="1481" spans="1:16">
      <c r="A1481" s="226"/>
      <c r="B1481" s="131" t="s">
        <v>2596</v>
      </c>
      <c r="C1481" s="226">
        <v>99621</v>
      </c>
      <c r="D1481" s="390"/>
      <c r="H1481" s="225"/>
      <c r="J1481" s="387"/>
      <c r="K1481" s="225"/>
      <c r="P1481" s="225"/>
    </row>
    <row r="1482" spans="1:16">
      <c r="A1482" s="226"/>
      <c r="B1482" s="131" t="s">
        <v>3498</v>
      </c>
      <c r="C1482" s="226">
        <v>99623</v>
      </c>
      <c r="D1482" s="390"/>
      <c r="H1482" s="225"/>
      <c r="J1482" s="387"/>
      <c r="K1482" s="225"/>
      <c r="P1482" s="225"/>
    </row>
    <row r="1483" spans="1:16">
      <c r="A1483" s="226"/>
      <c r="B1483" s="131" t="s">
        <v>2597</v>
      </c>
      <c r="C1483" s="226">
        <v>91321</v>
      </c>
      <c r="D1483" s="390"/>
      <c r="H1483" s="225"/>
      <c r="J1483" s="387"/>
      <c r="K1483" s="225"/>
      <c r="P1483" s="225"/>
    </row>
    <row r="1484" spans="1:16">
      <c r="A1484" s="226"/>
      <c r="B1484" s="131" t="s">
        <v>3499</v>
      </c>
      <c r="C1484" s="226">
        <v>91327</v>
      </c>
      <c r="D1484" s="390"/>
      <c r="H1484" s="225"/>
      <c r="J1484" s="387"/>
      <c r="K1484" s="225"/>
      <c r="P1484" s="225"/>
    </row>
    <row r="1485" spans="1:16">
      <c r="A1485" s="226"/>
      <c r="B1485" s="131" t="s">
        <v>2598</v>
      </c>
      <c r="C1485" s="226">
        <v>94621</v>
      </c>
      <c r="D1485" s="390"/>
      <c r="H1485" s="225"/>
      <c r="J1485" s="387"/>
      <c r="K1485" s="225"/>
      <c r="P1485" s="225"/>
    </row>
    <row r="1486" spans="1:16">
      <c r="A1486" s="226"/>
      <c r="B1486" s="131" t="s">
        <v>2599</v>
      </c>
      <c r="C1486" s="226">
        <v>92011</v>
      </c>
      <c r="D1486" s="390"/>
      <c r="H1486" s="225"/>
      <c r="J1486" s="387"/>
      <c r="K1486" s="225"/>
      <c r="P1486" s="225"/>
    </row>
    <row r="1487" spans="1:16">
      <c r="A1487" s="226"/>
      <c r="B1487" s="131" t="s">
        <v>921</v>
      </c>
      <c r="C1487" s="226">
        <v>92017</v>
      </c>
      <c r="D1487" s="390"/>
      <c r="H1487" s="225"/>
      <c r="J1487" s="388"/>
      <c r="K1487" s="225"/>
      <c r="P1487" s="225"/>
    </row>
    <row r="1488" spans="1:16">
      <c r="A1488" s="226"/>
      <c r="B1488" s="131" t="s">
        <v>1612</v>
      </c>
      <c r="C1488" s="51">
        <v>99991</v>
      </c>
      <c r="D1488" s="390"/>
      <c r="H1488" s="225"/>
      <c r="J1488" s="387"/>
      <c r="K1488" s="225"/>
      <c r="P1488" s="225"/>
    </row>
    <row r="1489" spans="1:16">
      <c r="A1489" s="226"/>
      <c r="B1489" s="131" t="s">
        <v>1613</v>
      </c>
      <c r="C1489" s="51">
        <v>99999</v>
      </c>
      <c r="D1489" s="390"/>
      <c r="H1489" s="225"/>
      <c r="J1489" s="387"/>
      <c r="K1489" s="225"/>
      <c r="P1489" s="225"/>
    </row>
    <row r="1490" spans="1:16">
      <c r="A1490" s="226"/>
      <c r="B1490" s="131" t="s">
        <v>2603</v>
      </c>
      <c r="C1490" s="226">
        <v>92811</v>
      </c>
      <c r="D1490" s="390"/>
      <c r="H1490" s="225"/>
      <c r="J1490" s="388"/>
      <c r="K1490" s="225"/>
      <c r="P1490" s="225"/>
    </row>
    <row r="1491" spans="1:16">
      <c r="A1491" s="226"/>
      <c r="B1491" s="131" t="s">
        <v>919</v>
      </c>
      <c r="C1491" s="226">
        <v>92005</v>
      </c>
      <c r="D1491" s="390"/>
      <c r="H1491" s="225"/>
      <c r="J1491" s="387"/>
      <c r="K1491" s="225"/>
      <c r="P1491" s="225"/>
    </row>
    <row r="1492" spans="1:16">
      <c r="A1492" s="226"/>
      <c r="B1492" s="131" t="s">
        <v>1292</v>
      </c>
      <c r="C1492" s="226">
        <v>96401</v>
      </c>
      <c r="D1492" s="390"/>
      <c r="H1492" s="225"/>
      <c r="J1492" s="387"/>
      <c r="K1492" s="225"/>
      <c r="P1492" s="225"/>
    </row>
    <row r="1493" spans="1:16">
      <c r="A1493" s="226"/>
      <c r="B1493" s="131" t="s">
        <v>1293</v>
      </c>
      <c r="C1493" s="226">
        <v>96404</v>
      </c>
      <c r="D1493" s="390"/>
      <c r="H1493" s="225"/>
      <c r="J1493" s="387"/>
      <c r="K1493" s="225"/>
      <c r="P1493" s="225"/>
    </row>
    <row r="1494" spans="1:16">
      <c r="A1494" s="226"/>
      <c r="B1494" s="131" t="s">
        <v>2604</v>
      </c>
      <c r="C1494" s="226">
        <v>96421</v>
      </c>
      <c r="D1494" s="390"/>
      <c r="H1494" s="225"/>
      <c r="J1494" s="387"/>
      <c r="K1494" s="225"/>
      <c r="P1494" s="225"/>
    </row>
    <row r="1495" spans="1:16">
      <c r="A1495" s="226"/>
      <c r="B1495" s="131" t="s">
        <v>2605</v>
      </c>
      <c r="C1495" s="226">
        <v>91026</v>
      </c>
      <c r="D1495" s="390"/>
      <c r="H1495" s="225"/>
      <c r="J1495" s="387"/>
      <c r="K1495" s="225"/>
      <c r="P1495" s="225"/>
    </row>
    <row r="1496" spans="1:16">
      <c r="A1496" s="226"/>
      <c r="B1496" s="131" t="s">
        <v>1214</v>
      </c>
      <c r="C1496" s="226">
        <v>95405</v>
      </c>
      <c r="D1496" s="390"/>
      <c r="H1496" s="225"/>
      <c r="J1496" s="387"/>
      <c r="K1496" s="225"/>
      <c r="P1496" s="225"/>
    </row>
    <row r="1497" spans="1:16">
      <c r="A1497" s="226"/>
      <c r="B1497" s="131" t="s">
        <v>1094</v>
      </c>
      <c r="C1497" s="226">
        <v>94005</v>
      </c>
      <c r="D1497" s="390"/>
      <c r="H1497" s="225"/>
      <c r="J1497" s="387"/>
      <c r="K1497" s="225"/>
      <c r="P1497" s="225"/>
    </row>
    <row r="1498" spans="1:16">
      <c r="A1498" s="226"/>
      <c r="B1498" s="131" t="s">
        <v>1205</v>
      </c>
      <c r="C1498" s="226">
        <v>95205</v>
      </c>
      <c r="D1498" s="390"/>
      <c r="H1498" s="225"/>
      <c r="J1498" s="387"/>
      <c r="K1498" s="225"/>
      <c r="P1498" s="225"/>
    </row>
    <row r="1499" spans="1:16">
      <c r="A1499" s="226"/>
      <c r="B1499" s="131" t="s">
        <v>954</v>
      </c>
      <c r="C1499" s="226">
        <v>92507</v>
      </c>
      <c r="D1499" s="390"/>
      <c r="H1499" s="225"/>
      <c r="J1499" s="388"/>
      <c r="K1499" s="225"/>
      <c r="P1499" s="225"/>
    </row>
    <row r="1500" spans="1:16">
      <c r="A1500" s="226"/>
      <c r="B1500" s="131" t="s">
        <v>1989</v>
      </c>
      <c r="C1500" s="226">
        <v>92511</v>
      </c>
      <c r="D1500" s="390"/>
      <c r="H1500" s="225"/>
      <c r="J1500" s="387"/>
      <c r="K1500" s="225"/>
      <c r="P1500" s="225"/>
    </row>
    <row r="1501" spans="1:16">
      <c r="A1501" s="226"/>
      <c r="B1501" s="131" t="s">
        <v>2768</v>
      </c>
      <c r="C1501" s="226">
        <v>92113</v>
      </c>
      <c r="D1501" s="390"/>
      <c r="H1501" s="225"/>
      <c r="J1501" s="387"/>
      <c r="K1501" s="225"/>
      <c r="P1501" s="225"/>
    </row>
    <row r="1502" spans="1:16">
      <c r="A1502" s="226"/>
      <c r="B1502" s="131" t="s">
        <v>2759</v>
      </c>
      <c r="C1502" s="226">
        <v>96502</v>
      </c>
      <c r="D1502" s="390"/>
      <c r="H1502" s="225"/>
      <c r="J1502" s="388"/>
      <c r="K1502" s="225"/>
      <c r="P1502" s="225"/>
    </row>
    <row r="1503" spans="1:16">
      <c r="A1503" s="226"/>
      <c r="B1503" s="131" t="s">
        <v>1301</v>
      </c>
      <c r="C1503" s="226">
        <v>96501</v>
      </c>
      <c r="D1503" s="390"/>
      <c r="H1503" s="225"/>
      <c r="J1503" s="387"/>
      <c r="K1503" s="225"/>
      <c r="P1503" s="225"/>
    </row>
    <row r="1504" spans="1:16">
      <c r="A1504" s="226"/>
      <c r="B1504" s="131" t="s">
        <v>1304</v>
      </c>
      <c r="C1504" s="226">
        <v>96504</v>
      </c>
      <c r="D1504" s="390"/>
      <c r="H1504" s="225"/>
      <c r="J1504" s="387"/>
      <c r="K1504" s="225"/>
      <c r="P1504" s="225"/>
    </row>
    <row r="1505" spans="1:16">
      <c r="A1505" s="226"/>
      <c r="B1505" s="254" t="s">
        <v>2606</v>
      </c>
      <c r="C1505" s="226">
        <v>98471</v>
      </c>
      <c r="D1505" s="390"/>
      <c r="H1505" s="225"/>
      <c r="J1505" s="387"/>
      <c r="K1505" s="225"/>
      <c r="P1505" s="225"/>
    </row>
    <row r="1506" spans="1:16">
      <c r="A1506" s="226"/>
      <c r="B1506" s="131" t="s">
        <v>2769</v>
      </c>
      <c r="C1506" s="226">
        <v>97913</v>
      </c>
      <c r="D1506" s="390"/>
      <c r="H1506" s="225"/>
      <c r="J1506" s="387"/>
      <c r="K1506" s="225"/>
      <c r="P1506" s="225"/>
    </row>
    <row r="1507" spans="1:16">
      <c r="A1507" s="226"/>
      <c r="B1507" s="131" t="s">
        <v>2607</v>
      </c>
      <c r="C1507" s="226">
        <v>90621</v>
      </c>
      <c r="D1507" s="390"/>
      <c r="H1507" s="225"/>
      <c r="J1507" s="387"/>
      <c r="K1507" s="225"/>
      <c r="P1507" s="225"/>
    </row>
    <row r="1508" spans="1:16">
      <c r="A1508" s="226"/>
      <c r="B1508" s="131" t="s">
        <v>2608</v>
      </c>
      <c r="C1508" s="226">
        <v>91621</v>
      </c>
      <c r="D1508" s="390"/>
      <c r="H1508" s="225"/>
      <c r="J1508" s="387"/>
      <c r="K1508" s="225"/>
      <c r="P1508" s="225"/>
    </row>
    <row r="1509" spans="1:16">
      <c r="A1509" s="226"/>
      <c r="B1509" s="131" t="s">
        <v>1990</v>
      </c>
      <c r="C1509" s="226">
        <v>91871</v>
      </c>
      <c r="D1509" s="390"/>
      <c r="H1509" s="225"/>
      <c r="J1509" s="387"/>
      <c r="K1509" s="225"/>
      <c r="P1509" s="225"/>
    </row>
    <row r="1510" spans="1:16">
      <c r="A1510" s="226"/>
      <c r="B1510" s="131" t="s">
        <v>2609</v>
      </c>
      <c r="C1510" s="226">
        <v>98231</v>
      </c>
      <c r="D1510" s="390"/>
      <c r="H1510" s="225"/>
      <c r="J1510" s="387"/>
      <c r="K1510" s="225"/>
      <c r="P1510" s="225"/>
    </row>
    <row r="1511" spans="1:16">
      <c r="A1511" s="226"/>
      <c r="B1511" s="131" t="s">
        <v>2610</v>
      </c>
      <c r="C1511" s="226">
        <v>99311</v>
      </c>
      <c r="D1511" s="390"/>
      <c r="H1511" s="225"/>
      <c r="J1511" s="388"/>
      <c r="K1511" s="225"/>
      <c r="P1511" s="225"/>
    </row>
    <row r="1512" spans="1:16">
      <c r="A1512" s="226"/>
      <c r="B1512" s="131" t="s">
        <v>2600</v>
      </c>
      <c r="C1512" s="226">
        <v>96751</v>
      </c>
      <c r="D1512" s="390"/>
      <c r="H1512" s="225"/>
      <c r="J1512" s="387"/>
      <c r="K1512" s="225"/>
      <c r="P1512" s="225"/>
    </row>
    <row r="1513" spans="1:16">
      <c r="A1513" s="226"/>
      <c r="B1513" s="131" t="s">
        <v>2601</v>
      </c>
      <c r="C1513" s="226">
        <v>99711</v>
      </c>
      <c r="D1513" s="390"/>
      <c r="H1513" s="225"/>
      <c r="J1513" s="387"/>
      <c r="K1513" s="225"/>
      <c r="P1513" s="225"/>
    </row>
    <row r="1514" spans="1:16">
      <c r="A1514" s="226"/>
      <c r="B1514" s="131" t="s">
        <v>2602</v>
      </c>
      <c r="C1514" s="226">
        <v>99717</v>
      </c>
      <c r="D1514" s="390"/>
      <c r="H1514" s="225"/>
      <c r="J1514" s="388"/>
      <c r="K1514" s="225"/>
      <c r="P1514" s="225"/>
    </row>
    <row r="1515" spans="1:16">
      <c r="A1515" s="226"/>
      <c r="B1515" s="131" t="s">
        <v>1312</v>
      </c>
      <c r="C1515" s="226">
        <v>96601</v>
      </c>
      <c r="D1515" s="390"/>
      <c r="H1515" s="225"/>
      <c r="J1515" s="387"/>
      <c r="K1515" s="225"/>
      <c r="P1515" s="225"/>
    </row>
    <row r="1516" spans="1:16">
      <c r="A1516" s="226"/>
      <c r="B1516" s="131" t="s">
        <v>1313</v>
      </c>
      <c r="C1516" s="226">
        <v>96604</v>
      </c>
      <c r="D1516" s="390"/>
      <c r="H1516" s="225"/>
      <c r="J1516" s="387"/>
      <c r="K1516" s="225"/>
      <c r="P1516" s="225"/>
    </row>
    <row r="1517" spans="1:16">
      <c r="A1517" s="226"/>
      <c r="B1517" s="131" t="s">
        <v>1991</v>
      </c>
      <c r="C1517" s="226">
        <v>91012</v>
      </c>
      <c r="D1517" s="390"/>
      <c r="H1517" s="225"/>
      <c r="J1517" s="387"/>
      <c r="K1517" s="225"/>
      <c r="P1517" s="225"/>
    </row>
    <row r="1518" spans="1:16">
      <c r="A1518" s="226"/>
      <c r="B1518" s="131" t="s">
        <v>749</v>
      </c>
      <c r="C1518" s="226">
        <v>90305</v>
      </c>
      <c r="D1518" s="390"/>
      <c r="H1518" s="225"/>
      <c r="J1518" s="387"/>
      <c r="K1518" s="225"/>
      <c r="P1518" s="225"/>
    </row>
    <row r="1519" spans="1:16">
      <c r="A1519" s="226"/>
      <c r="B1519" s="131" t="s">
        <v>2611</v>
      </c>
      <c r="C1519" s="226">
        <v>98421</v>
      </c>
      <c r="D1519" s="390"/>
      <c r="H1519" s="225"/>
      <c r="J1519" s="387"/>
      <c r="K1519" s="225"/>
      <c r="P1519" s="225"/>
    </row>
    <row r="1520" spans="1:16">
      <c r="A1520" s="226"/>
      <c r="B1520" s="131" t="s">
        <v>2793</v>
      </c>
      <c r="C1520" s="226">
        <v>98427</v>
      </c>
      <c r="D1520" s="390"/>
      <c r="H1520" s="225"/>
      <c r="J1520" s="387"/>
      <c r="K1520" s="225"/>
      <c r="P1520" s="225"/>
    </row>
    <row r="1521" spans="1:16">
      <c r="A1521" s="226"/>
      <c r="B1521" s="131" t="s">
        <v>2612</v>
      </c>
      <c r="C1521" s="226">
        <v>95821</v>
      </c>
      <c r="D1521" s="390"/>
      <c r="H1521" s="225"/>
      <c r="J1521" s="387"/>
      <c r="K1521" s="225"/>
      <c r="P1521" s="225"/>
    </row>
    <row r="1522" spans="1:16">
      <c r="A1522" s="226"/>
      <c r="B1522" s="131" t="s">
        <v>2613</v>
      </c>
      <c r="C1522" s="226">
        <v>91021</v>
      </c>
      <c r="D1522" s="390"/>
      <c r="H1522" s="225"/>
      <c r="J1522" s="387"/>
      <c r="K1522" s="225"/>
      <c r="P1522" s="225"/>
    </row>
    <row r="1523" spans="1:16">
      <c r="A1523" s="226"/>
      <c r="B1523" s="131" t="s">
        <v>2792</v>
      </c>
      <c r="C1523" s="226">
        <v>91027</v>
      </c>
      <c r="D1523" s="390"/>
      <c r="H1523" s="225"/>
      <c r="J1523" s="388"/>
      <c r="K1523" s="225"/>
      <c r="P1523" s="225"/>
    </row>
    <row r="1524" spans="1:16">
      <c r="A1524" s="226"/>
      <c r="B1524" s="131" t="s">
        <v>2614</v>
      </c>
      <c r="C1524" s="226">
        <v>94161</v>
      </c>
      <c r="D1524" s="390"/>
      <c r="H1524" s="225"/>
      <c r="J1524" s="387"/>
      <c r="K1524" s="225"/>
      <c r="P1524" s="225"/>
    </row>
    <row r="1525" spans="1:16">
      <c r="A1525" s="226"/>
      <c r="B1525" s="131" t="s">
        <v>2615</v>
      </c>
      <c r="C1525" s="226">
        <v>98441</v>
      </c>
      <c r="D1525" s="390"/>
      <c r="H1525" s="225"/>
      <c r="J1525" s="387"/>
      <c r="K1525" s="225"/>
      <c r="P1525" s="225"/>
    </row>
    <row r="1526" spans="1:16">
      <c r="A1526" s="226"/>
      <c r="B1526" s="131" t="s">
        <v>2616</v>
      </c>
      <c r="C1526" s="226">
        <v>91061</v>
      </c>
      <c r="D1526" s="390"/>
      <c r="H1526" s="225"/>
      <c r="J1526" s="388"/>
      <c r="K1526" s="225"/>
      <c r="P1526" s="225"/>
    </row>
    <row r="1527" spans="1:16">
      <c r="A1527" s="226"/>
      <c r="B1527" s="131" t="s">
        <v>820</v>
      </c>
      <c r="C1527" s="226">
        <v>91067</v>
      </c>
      <c r="D1527" s="390"/>
      <c r="H1527" s="225"/>
      <c r="J1527" s="387"/>
      <c r="K1527" s="225"/>
      <c r="P1527" s="225"/>
    </row>
    <row r="1528" spans="1:16">
      <c r="A1528" s="226"/>
      <c r="B1528" s="131" t="s">
        <v>2791</v>
      </c>
      <c r="C1528" s="226">
        <v>94812</v>
      </c>
      <c r="D1528" s="390"/>
      <c r="H1528" s="225"/>
      <c r="J1528" s="387"/>
      <c r="K1528" s="225"/>
      <c r="P1528" s="225"/>
    </row>
    <row r="1529" spans="1:16">
      <c r="A1529" s="226"/>
      <c r="B1529" s="131" t="s">
        <v>2617</v>
      </c>
      <c r="C1529" s="226">
        <v>95921</v>
      </c>
      <c r="D1529" s="390"/>
      <c r="H1529" s="225"/>
      <c r="J1529" s="387"/>
      <c r="K1529" s="225"/>
      <c r="P1529" s="225"/>
    </row>
    <row r="1530" spans="1:16">
      <c r="A1530" s="226"/>
      <c r="B1530" s="131" t="s">
        <v>1323</v>
      </c>
      <c r="C1530" s="226">
        <v>96701</v>
      </c>
      <c r="D1530" s="390"/>
      <c r="H1530" s="225"/>
      <c r="J1530" s="387"/>
      <c r="K1530" s="225"/>
      <c r="P1530" s="225"/>
    </row>
    <row r="1531" spans="1:16">
      <c r="A1531" s="226"/>
      <c r="B1531" s="131" t="s">
        <v>1324</v>
      </c>
      <c r="C1531" s="226">
        <v>96704</v>
      </c>
      <c r="D1531" s="390"/>
      <c r="H1531" s="225"/>
      <c r="J1531" s="387"/>
      <c r="K1531" s="225"/>
      <c r="P1531" s="225"/>
    </row>
    <row r="1532" spans="1:16">
      <c r="A1532" s="226"/>
      <c r="B1532" s="131" t="s">
        <v>1325</v>
      </c>
      <c r="C1532" s="226">
        <v>96708</v>
      </c>
      <c r="D1532" s="390"/>
      <c r="H1532" s="225"/>
      <c r="J1532" s="387"/>
      <c r="K1532" s="225"/>
      <c r="P1532" s="225"/>
    </row>
    <row r="1533" spans="1:16">
      <c r="A1533" s="226"/>
      <c r="B1533" s="131" t="s">
        <v>1332</v>
      </c>
      <c r="C1533" s="226">
        <v>96801</v>
      </c>
      <c r="D1533" s="390"/>
      <c r="H1533" s="225"/>
      <c r="J1533" s="387"/>
      <c r="K1533" s="225"/>
      <c r="P1533" s="225"/>
    </row>
    <row r="1534" spans="1:16">
      <c r="A1534" s="226"/>
      <c r="B1534" s="131" t="s">
        <v>1333</v>
      </c>
      <c r="C1534" s="226">
        <v>96804</v>
      </c>
      <c r="D1534" s="390"/>
      <c r="H1534" s="225"/>
      <c r="J1534" s="387"/>
      <c r="K1534" s="225"/>
      <c r="P1534" s="225"/>
    </row>
    <row r="1535" spans="1:16">
      <c r="A1535" s="226"/>
      <c r="B1535" s="131" t="s">
        <v>1334</v>
      </c>
      <c r="C1535" s="226">
        <v>96808</v>
      </c>
      <c r="D1535" s="390"/>
      <c r="H1535" s="225"/>
      <c r="J1535" s="388"/>
      <c r="K1535" s="225"/>
      <c r="P1535" s="225"/>
    </row>
    <row r="1536" spans="1:16">
      <c r="A1536" s="226"/>
      <c r="B1536" s="131" t="s">
        <v>2618</v>
      </c>
      <c r="C1536" s="226">
        <v>96912</v>
      </c>
      <c r="D1536" s="390"/>
      <c r="H1536" s="225"/>
      <c r="J1536" s="387"/>
      <c r="K1536" s="225"/>
      <c r="P1536" s="225"/>
    </row>
    <row r="1537" spans="1:16">
      <c r="A1537" s="226"/>
      <c r="B1537" s="131" t="s">
        <v>1992</v>
      </c>
      <c r="C1537" s="226">
        <v>93911</v>
      </c>
      <c r="D1537" s="390"/>
      <c r="H1537" s="225"/>
      <c r="J1537" s="387"/>
      <c r="K1537" s="225"/>
      <c r="P1537" s="225"/>
    </row>
    <row r="1538" spans="1:16">
      <c r="A1538" s="226"/>
      <c r="B1538" s="131" t="s">
        <v>1087</v>
      </c>
      <c r="C1538" s="226">
        <v>93913</v>
      </c>
      <c r="D1538" s="390"/>
      <c r="H1538" s="225"/>
      <c r="J1538" s="388"/>
      <c r="K1538" s="225"/>
      <c r="P1538" s="225"/>
    </row>
    <row r="1539" spans="1:16">
      <c r="A1539" s="226"/>
      <c r="B1539" s="131" t="s">
        <v>1338</v>
      </c>
      <c r="C1539" s="226">
        <v>96901</v>
      </c>
      <c r="D1539" s="390"/>
      <c r="H1539" s="225"/>
      <c r="J1539" s="387"/>
      <c r="K1539" s="225"/>
      <c r="P1539" s="225"/>
    </row>
    <row r="1540" spans="1:16">
      <c r="A1540" s="226"/>
      <c r="B1540" s="131" t="s">
        <v>2619</v>
      </c>
      <c r="C1540" s="226">
        <v>97841</v>
      </c>
      <c r="D1540" s="390"/>
      <c r="H1540" s="225"/>
      <c r="J1540" s="387"/>
      <c r="K1540" s="225"/>
      <c r="P1540" s="225"/>
    </row>
    <row r="1541" spans="1:16">
      <c r="A1541" s="226"/>
      <c r="B1541" s="131" t="s">
        <v>1018</v>
      </c>
      <c r="C1541" s="226">
        <v>93202</v>
      </c>
      <c r="D1541" s="390"/>
      <c r="H1541" s="225"/>
      <c r="J1541" s="387"/>
      <c r="K1541" s="225"/>
      <c r="P1541" s="225"/>
    </row>
    <row r="1542" spans="1:16">
      <c r="A1542" s="226"/>
      <c r="B1542" s="131" t="s">
        <v>1060</v>
      </c>
      <c r="C1542" s="226">
        <v>93609</v>
      </c>
      <c r="D1542" s="390"/>
      <c r="H1542" s="225"/>
      <c r="J1542" s="387"/>
      <c r="K1542" s="225"/>
      <c r="P1542" s="225"/>
    </row>
    <row r="1543" spans="1:16">
      <c r="A1543" s="226"/>
      <c r="B1543" s="131" t="s">
        <v>1344</v>
      </c>
      <c r="C1543" s="226">
        <v>97004</v>
      </c>
      <c r="D1543" s="390"/>
      <c r="H1543" s="225"/>
      <c r="J1543" s="387"/>
      <c r="K1543" s="225"/>
      <c r="P1543" s="225"/>
    </row>
    <row r="1544" spans="1:16">
      <c r="A1544" s="226"/>
      <c r="B1544" s="131" t="s">
        <v>1342</v>
      </c>
      <c r="C1544" s="226">
        <v>97001</v>
      </c>
      <c r="D1544" s="390"/>
      <c r="H1544" s="225"/>
      <c r="J1544" s="388"/>
      <c r="K1544" s="225"/>
      <c r="P1544" s="225"/>
    </row>
    <row r="1545" spans="1:16">
      <c r="A1545" s="226"/>
      <c r="B1545" s="131" t="s">
        <v>1343</v>
      </c>
      <c r="C1545" s="226">
        <v>97002</v>
      </c>
      <c r="D1545" s="390"/>
      <c r="H1545" s="225"/>
      <c r="J1545" s="387"/>
      <c r="K1545" s="225"/>
      <c r="P1545" s="225"/>
    </row>
    <row r="1546" spans="1:16">
      <c r="A1546" s="226"/>
      <c r="B1546" s="131" t="s">
        <v>1351</v>
      </c>
      <c r="C1546" s="226">
        <v>97015</v>
      </c>
      <c r="D1546" s="390"/>
      <c r="H1546" s="225"/>
      <c r="J1546" s="387"/>
      <c r="K1546" s="225"/>
      <c r="P1546" s="225"/>
    </row>
    <row r="1547" spans="1:16">
      <c r="A1547" s="226"/>
      <c r="B1547" s="131" t="s">
        <v>2620</v>
      </c>
      <c r="C1547" s="226">
        <v>90441</v>
      </c>
      <c r="D1547" s="390"/>
      <c r="H1547" s="225"/>
      <c r="J1547" s="387"/>
      <c r="K1547" s="225"/>
      <c r="P1547" s="225"/>
    </row>
    <row r="1548" spans="1:16">
      <c r="A1548" s="226"/>
      <c r="B1548" s="131" t="s">
        <v>2621</v>
      </c>
      <c r="C1548" s="226">
        <v>97851</v>
      </c>
      <c r="D1548" s="390"/>
      <c r="H1548" s="225"/>
      <c r="J1548" s="387"/>
      <c r="K1548" s="225"/>
      <c r="P1548" s="225"/>
    </row>
    <row r="1549" spans="1:16">
      <c r="A1549" s="226"/>
      <c r="B1549" s="131" t="s">
        <v>1423</v>
      </c>
      <c r="C1549" s="226">
        <v>97853</v>
      </c>
      <c r="D1549" s="390"/>
      <c r="H1549" s="225"/>
      <c r="J1549" s="387"/>
      <c r="K1549" s="225"/>
      <c r="P1549" s="225"/>
    </row>
    <row r="1550" spans="1:16">
      <c r="A1550" s="226"/>
      <c r="B1550" s="131" t="s">
        <v>1353</v>
      </c>
      <c r="C1550" s="226">
        <v>97101</v>
      </c>
      <c r="D1550" s="390"/>
      <c r="H1550" s="225"/>
      <c r="J1550" s="387"/>
      <c r="K1550" s="225"/>
      <c r="P1550" s="225"/>
    </row>
    <row r="1551" spans="1:16">
      <c r="A1551" s="226"/>
      <c r="B1551" s="131" t="s">
        <v>1354</v>
      </c>
      <c r="C1551" s="226">
        <v>97104</v>
      </c>
      <c r="D1551" s="390"/>
      <c r="H1551" s="225"/>
      <c r="J1551" s="387"/>
      <c r="K1551" s="225"/>
      <c r="P1551" s="225"/>
    </row>
    <row r="1552" spans="1:16">
      <c r="A1552" s="226"/>
      <c r="B1552" s="131" t="s">
        <v>1358</v>
      </c>
      <c r="C1552" s="226">
        <v>97201</v>
      </c>
      <c r="D1552" s="390"/>
      <c r="H1552" s="225"/>
      <c r="J1552" s="387"/>
      <c r="K1552" s="225"/>
      <c r="P1552" s="225"/>
    </row>
    <row r="1553" spans="1:16">
      <c r="A1553" s="226"/>
      <c r="B1553" s="131" t="s">
        <v>2790</v>
      </c>
      <c r="C1553" s="226">
        <v>97304</v>
      </c>
      <c r="D1553" s="390"/>
      <c r="H1553" s="225"/>
      <c r="J1553" s="388"/>
      <c r="K1553" s="225"/>
      <c r="P1553" s="225"/>
    </row>
    <row r="1554" spans="1:16">
      <c r="A1554" s="226"/>
      <c r="B1554" s="131" t="s">
        <v>1363</v>
      </c>
      <c r="C1554" s="226">
        <v>97301</v>
      </c>
      <c r="D1554" s="390"/>
      <c r="H1554" s="225"/>
      <c r="J1554" s="387"/>
      <c r="K1554" s="225"/>
      <c r="P1554" s="225"/>
    </row>
    <row r="1555" spans="1:16">
      <c r="A1555" s="226"/>
      <c r="B1555" s="131" t="s">
        <v>1565</v>
      </c>
      <c r="C1555" s="226">
        <v>99405</v>
      </c>
      <c r="D1555" s="390"/>
      <c r="H1555" s="225"/>
      <c r="J1555" s="387"/>
      <c r="K1555" s="225"/>
      <c r="P1555" s="225"/>
    </row>
    <row r="1556" spans="1:16">
      <c r="A1556" s="226"/>
      <c r="B1556" s="131" t="s">
        <v>724</v>
      </c>
      <c r="C1556" s="219">
        <v>72265</v>
      </c>
      <c r="D1556" s="390"/>
      <c r="H1556" s="225"/>
      <c r="J1556" s="388"/>
      <c r="K1556" s="225"/>
      <c r="P1556" s="225"/>
    </row>
    <row r="1557" spans="1:16">
      <c r="A1557" s="226"/>
      <c r="B1557" s="131" t="s">
        <v>2756</v>
      </c>
      <c r="C1557" s="226">
        <v>94112</v>
      </c>
      <c r="D1557" s="390"/>
      <c r="H1557" s="225"/>
      <c r="J1557" s="387"/>
      <c r="K1557" s="225"/>
      <c r="P1557" s="225"/>
    </row>
    <row r="1558" spans="1:16">
      <c r="A1558" s="226"/>
      <c r="B1558" s="131" t="s">
        <v>1038</v>
      </c>
      <c r="C1558" s="226">
        <v>93406</v>
      </c>
      <c r="D1558" s="390"/>
      <c r="H1558" s="225"/>
      <c r="J1558" s="387"/>
      <c r="K1558" s="225"/>
      <c r="P1558" s="225"/>
    </row>
    <row r="1559" spans="1:16">
      <c r="A1559" s="226"/>
      <c r="B1559" s="131" t="s">
        <v>2622</v>
      </c>
      <c r="C1559" s="226">
        <v>99651</v>
      </c>
      <c r="D1559" s="390"/>
      <c r="H1559" s="225"/>
      <c r="J1559" s="387"/>
      <c r="K1559" s="225"/>
      <c r="P1559" s="225"/>
    </row>
    <row r="1560" spans="1:16">
      <c r="A1560" s="226"/>
      <c r="B1560" s="131" t="s">
        <v>2623</v>
      </c>
      <c r="C1560" s="226">
        <v>98611</v>
      </c>
      <c r="D1560" s="390"/>
      <c r="H1560" s="225"/>
      <c r="J1560" s="387"/>
      <c r="K1560" s="225"/>
      <c r="P1560" s="225"/>
    </row>
    <row r="1561" spans="1:16">
      <c r="A1561" s="226"/>
      <c r="B1561" s="131" t="s">
        <v>1501</v>
      </c>
      <c r="C1561" s="226">
        <v>98607</v>
      </c>
      <c r="D1561" s="390"/>
      <c r="H1561" s="225"/>
      <c r="J1561" s="387"/>
      <c r="K1561" s="225"/>
      <c r="P1561" s="225"/>
    </row>
    <row r="1562" spans="1:16">
      <c r="A1562" s="226"/>
      <c r="B1562" s="131" t="s">
        <v>2624</v>
      </c>
      <c r="C1562" s="226">
        <v>91641</v>
      </c>
      <c r="D1562" s="390"/>
      <c r="H1562" s="225"/>
      <c r="J1562" s="387"/>
      <c r="K1562" s="225"/>
      <c r="P1562" s="225"/>
    </row>
    <row r="1563" spans="1:16">
      <c r="A1563" s="226"/>
      <c r="B1563" s="131" t="s">
        <v>2625</v>
      </c>
      <c r="C1563" s="226">
        <v>95161</v>
      </c>
      <c r="D1563" s="390"/>
      <c r="H1563" s="225"/>
      <c r="J1563" s="387"/>
      <c r="K1563" s="225"/>
      <c r="P1563" s="225"/>
    </row>
    <row r="1564" spans="1:16">
      <c r="A1564" s="226"/>
      <c r="B1564" s="131" t="s">
        <v>2626</v>
      </c>
      <c r="C1564" s="226">
        <v>96361</v>
      </c>
      <c r="D1564" s="390"/>
      <c r="H1564" s="225"/>
      <c r="J1564" s="387"/>
      <c r="K1564" s="225"/>
      <c r="P1564" s="225"/>
    </row>
    <row r="1565" spans="1:16">
      <c r="A1565" s="226"/>
      <c r="B1565" s="131" t="s">
        <v>1100</v>
      </c>
      <c r="C1565" s="226">
        <v>94108</v>
      </c>
      <c r="D1565" s="390"/>
      <c r="H1565" s="225"/>
      <c r="J1565" s="388"/>
      <c r="K1565" s="225"/>
      <c r="P1565" s="225"/>
    </row>
    <row r="1566" spans="1:16">
      <c r="A1566" s="226"/>
      <c r="B1566" s="131" t="s">
        <v>2627</v>
      </c>
      <c r="C1566" s="226">
        <v>96351</v>
      </c>
      <c r="D1566" s="390"/>
      <c r="H1566" s="225"/>
      <c r="J1566" s="387"/>
      <c r="K1566" s="225"/>
      <c r="P1566" s="225"/>
    </row>
    <row r="1567" spans="1:16">
      <c r="A1567" s="226"/>
      <c r="B1567" s="131" t="s">
        <v>2628</v>
      </c>
      <c r="C1567" s="226">
        <v>93331</v>
      </c>
      <c r="D1567" s="390"/>
      <c r="H1567" s="225"/>
      <c r="J1567" s="387"/>
      <c r="K1567" s="225"/>
      <c r="P1567" s="225"/>
    </row>
    <row r="1568" spans="1:16">
      <c r="A1568" s="226"/>
      <c r="B1568" s="131" t="s">
        <v>2629</v>
      </c>
      <c r="C1568" s="226">
        <v>96021</v>
      </c>
      <c r="D1568" s="390"/>
      <c r="H1568" s="225"/>
      <c r="J1568" s="388"/>
      <c r="K1568" s="225"/>
      <c r="P1568" s="225"/>
    </row>
    <row r="1569" spans="1:16">
      <c r="A1569" s="226"/>
      <c r="B1569" s="131" t="s">
        <v>2630</v>
      </c>
      <c r="C1569" s="226">
        <v>95421</v>
      </c>
      <c r="D1569" s="390"/>
      <c r="H1569" s="225"/>
      <c r="J1569" s="387"/>
      <c r="K1569" s="225"/>
      <c r="P1569" s="225"/>
    </row>
    <row r="1570" spans="1:16">
      <c r="A1570" s="226"/>
      <c r="B1570" s="131" t="s">
        <v>1366</v>
      </c>
      <c r="C1570" s="226">
        <v>97401</v>
      </c>
      <c r="D1570" s="390"/>
      <c r="H1570" s="225"/>
      <c r="J1570" s="387"/>
      <c r="K1570" s="225"/>
      <c r="P1570" s="225"/>
    </row>
    <row r="1571" spans="1:16">
      <c r="A1571" s="226"/>
      <c r="B1571" s="131" t="s">
        <v>1368</v>
      </c>
      <c r="C1571" s="226">
        <v>97404</v>
      </c>
      <c r="D1571" s="390"/>
      <c r="H1571" s="225"/>
      <c r="J1571" s="387"/>
      <c r="K1571" s="225"/>
      <c r="P1571" s="225"/>
    </row>
    <row r="1572" spans="1:16">
      <c r="A1572" s="226"/>
      <c r="B1572" s="131" t="s">
        <v>2789</v>
      </c>
      <c r="C1572" s="226">
        <v>97402</v>
      </c>
      <c r="D1572" s="390"/>
      <c r="H1572" s="225"/>
      <c r="J1572" s="387"/>
      <c r="K1572" s="225"/>
      <c r="P1572" s="225"/>
    </row>
    <row r="1573" spans="1:16">
      <c r="A1573" s="226"/>
      <c r="B1573" s="131" t="s">
        <v>2631</v>
      </c>
      <c r="C1573" s="226">
        <v>91921</v>
      </c>
      <c r="D1573" s="390"/>
      <c r="H1573" s="225"/>
      <c r="J1573" s="387"/>
      <c r="K1573" s="225"/>
      <c r="P1573" s="225"/>
    </row>
    <row r="1574" spans="1:16">
      <c r="A1574" s="226"/>
      <c r="B1574" s="131" t="s">
        <v>1245</v>
      </c>
      <c r="C1574" s="226">
        <v>95908</v>
      </c>
      <c r="D1574" s="390"/>
      <c r="H1574" s="225"/>
      <c r="J1574" s="387"/>
      <c r="K1574" s="225"/>
      <c r="P1574" s="225"/>
    </row>
    <row r="1575" spans="1:16">
      <c r="A1575" s="226"/>
      <c r="B1575" s="131" t="s">
        <v>2632</v>
      </c>
      <c r="C1575" s="226">
        <v>99411</v>
      </c>
      <c r="D1575" s="390"/>
      <c r="H1575" s="225"/>
      <c r="J1575" s="387"/>
      <c r="K1575" s="225"/>
      <c r="P1575" s="225"/>
    </row>
    <row r="1576" spans="1:16">
      <c r="A1576" s="226"/>
      <c r="B1576" s="131" t="s">
        <v>1567</v>
      </c>
      <c r="C1576" s="226">
        <v>99413</v>
      </c>
      <c r="D1576" s="390"/>
      <c r="H1576" s="225"/>
      <c r="J1576" s="387"/>
      <c r="K1576" s="225"/>
      <c r="P1576" s="225"/>
    </row>
    <row r="1577" spans="1:16">
      <c r="A1577" s="226"/>
      <c r="B1577" s="131" t="s">
        <v>1384</v>
      </c>
      <c r="C1577" s="226">
        <v>97501</v>
      </c>
      <c r="D1577" s="390"/>
      <c r="H1577" s="225"/>
      <c r="J1577" s="388"/>
      <c r="K1577" s="225"/>
      <c r="P1577" s="225"/>
    </row>
    <row r="1578" spans="1:16">
      <c r="A1578" s="226"/>
      <c r="B1578" s="131" t="s">
        <v>2633</v>
      </c>
      <c r="C1578" s="226">
        <v>90431</v>
      </c>
      <c r="D1578" s="390"/>
      <c r="H1578" s="225"/>
      <c r="J1578" s="387"/>
      <c r="K1578" s="225"/>
      <c r="P1578" s="225"/>
    </row>
    <row r="1579" spans="1:16">
      <c r="A1579" s="226"/>
      <c r="B1579" s="131" t="s">
        <v>2634</v>
      </c>
      <c r="C1579" s="226">
        <v>95211</v>
      </c>
      <c r="D1579" s="390"/>
      <c r="H1579" s="225"/>
      <c r="J1579" s="387"/>
      <c r="K1579" s="225"/>
      <c r="P1579" s="225"/>
    </row>
    <row r="1580" spans="1:16">
      <c r="A1580" s="226"/>
      <c r="B1580" s="131" t="s">
        <v>2635</v>
      </c>
      <c r="C1580" s="226">
        <v>95181</v>
      </c>
      <c r="D1580" s="390"/>
      <c r="H1580" s="225"/>
      <c r="J1580" s="388"/>
      <c r="K1580" s="225"/>
      <c r="P1580" s="225"/>
    </row>
    <row r="1581" spans="1:16">
      <c r="A1581" s="226"/>
      <c r="B1581" s="131" t="s">
        <v>2636</v>
      </c>
      <c r="C1581" s="226">
        <v>93351</v>
      </c>
      <c r="D1581" s="390"/>
      <c r="H1581" s="225"/>
      <c r="J1581" s="387"/>
      <c r="K1581" s="225"/>
      <c r="P1581" s="225"/>
    </row>
    <row r="1582" spans="1:16">
      <c r="A1582" s="226"/>
      <c r="B1582" s="131" t="s">
        <v>1188</v>
      </c>
      <c r="C1582" s="226">
        <v>95105</v>
      </c>
      <c r="D1582" s="390"/>
      <c r="H1582" s="225"/>
      <c r="J1582" s="387"/>
      <c r="K1582" s="225"/>
      <c r="P1582" s="225"/>
    </row>
    <row r="1583" spans="1:16">
      <c r="A1583" s="226"/>
      <c r="B1583" s="131" t="s">
        <v>2637</v>
      </c>
      <c r="C1583" s="226">
        <v>94711</v>
      </c>
      <c r="D1583" s="390"/>
      <c r="H1583" s="225"/>
      <c r="J1583" s="387"/>
      <c r="K1583" s="225"/>
      <c r="P1583" s="225"/>
    </row>
    <row r="1584" spans="1:16">
      <c r="A1584" s="226"/>
      <c r="B1584" s="131" t="s">
        <v>1993</v>
      </c>
      <c r="C1584" s="226">
        <v>99211</v>
      </c>
      <c r="D1584" s="390"/>
      <c r="H1584" s="225"/>
      <c r="J1584" s="387"/>
      <c r="K1584" s="225"/>
      <c r="P1584" s="225"/>
    </row>
    <row r="1585" spans="1:16384">
      <c r="A1585" s="226"/>
      <c r="B1585" s="131" t="s">
        <v>1994</v>
      </c>
      <c r="C1585" s="226">
        <v>99213</v>
      </c>
      <c r="D1585" s="390"/>
      <c r="H1585" s="225"/>
      <c r="J1585" s="387"/>
      <c r="K1585" s="225"/>
      <c r="P1585" s="225"/>
    </row>
    <row r="1586" spans="1:16384">
      <c r="A1586" s="226"/>
      <c r="B1586" s="131" t="s">
        <v>1548</v>
      </c>
      <c r="C1586" s="226">
        <v>99218</v>
      </c>
      <c r="D1586" s="390"/>
      <c r="H1586" s="225"/>
      <c r="J1586" s="387"/>
      <c r="K1586" s="225"/>
      <c r="P1586" s="225"/>
    </row>
    <row r="1587" spans="1:16384">
      <c r="A1587" s="226"/>
      <c r="B1587" s="131" t="s">
        <v>2638</v>
      </c>
      <c r="C1587" s="226">
        <v>97641</v>
      </c>
      <c r="D1587" s="390"/>
      <c r="H1587" s="225"/>
      <c r="J1587" s="387"/>
      <c r="K1587" s="225"/>
      <c r="P1587" s="225"/>
    </row>
    <row r="1588" spans="1:16384">
      <c r="A1588" s="226"/>
      <c r="B1588" s="131" t="s">
        <v>1995</v>
      </c>
      <c r="C1588" s="226">
        <v>97621</v>
      </c>
      <c r="D1588" s="390"/>
      <c r="H1588" s="225"/>
      <c r="J1588" s="387"/>
      <c r="K1588" s="225"/>
      <c r="P1588" s="225"/>
    </row>
    <row r="1589" spans="1:16384">
      <c r="A1589" s="226"/>
      <c r="B1589" s="131" t="s">
        <v>1996</v>
      </c>
      <c r="C1589" s="226">
        <v>97627</v>
      </c>
      <c r="D1589" s="390"/>
      <c r="H1589" s="225"/>
      <c r="J1589" s="388"/>
      <c r="K1589" s="225"/>
      <c r="P1589" s="225"/>
    </row>
    <row r="1590" spans="1:16384">
      <c r="A1590" s="226"/>
      <c r="B1590" s="131" t="s">
        <v>1997</v>
      </c>
      <c r="C1590" s="226">
        <v>97623</v>
      </c>
      <c r="D1590" s="390"/>
      <c r="H1590" s="225"/>
      <c r="J1590" s="387"/>
      <c r="K1590" s="225"/>
      <c r="P1590" s="225"/>
    </row>
    <row r="1591" spans="1:16384">
      <c r="A1591" s="226"/>
      <c r="B1591" s="131" t="s">
        <v>1388</v>
      </c>
      <c r="C1591" s="226">
        <v>97601</v>
      </c>
      <c r="D1591" s="390"/>
      <c r="H1591" s="225"/>
      <c r="J1591" s="387"/>
      <c r="K1591" s="225"/>
      <c r="P1591" s="225"/>
    </row>
    <row r="1592" spans="1:16384">
      <c r="A1592" s="226"/>
      <c r="B1592" s="131" t="s">
        <v>2639</v>
      </c>
      <c r="C1592" s="226">
        <v>93681</v>
      </c>
      <c r="D1592" s="390"/>
      <c r="H1592" s="225"/>
      <c r="J1592" s="388"/>
      <c r="K1592" s="225"/>
      <c r="P1592" s="225"/>
    </row>
    <row r="1593" spans="1:16384">
      <c r="A1593" s="226"/>
      <c r="B1593" s="131" t="s">
        <v>2640</v>
      </c>
      <c r="C1593" s="226">
        <v>97871</v>
      </c>
      <c r="D1593" s="390"/>
      <c r="H1593" s="225"/>
      <c r="J1593" s="387"/>
      <c r="K1593" s="225"/>
      <c r="P1593" s="225"/>
    </row>
    <row r="1594" spans="1:16384">
      <c r="A1594" s="226"/>
      <c r="B1594" s="131" t="s">
        <v>1426</v>
      </c>
      <c r="C1594" s="226">
        <v>97877</v>
      </c>
      <c r="D1594" s="390"/>
      <c r="H1594" s="225"/>
      <c r="J1594" s="387"/>
      <c r="K1594" s="225"/>
      <c r="P1594" s="225"/>
    </row>
    <row r="1595" spans="1:16384">
      <c r="A1595" s="226"/>
      <c r="B1595" s="131" t="s">
        <v>1571</v>
      </c>
      <c r="C1595" s="226">
        <v>99502</v>
      </c>
      <c r="D1595" s="390"/>
      <c r="H1595" s="225"/>
      <c r="J1595" s="387"/>
      <c r="K1595" s="225"/>
      <c r="P1595" s="225"/>
    </row>
    <row r="1596" spans="1:16384">
      <c r="A1596" s="226"/>
      <c r="B1596" s="131" t="s">
        <v>1998</v>
      </c>
      <c r="C1596" s="226">
        <v>97911</v>
      </c>
      <c r="D1596" s="390"/>
      <c r="H1596" s="225"/>
      <c r="J1596" s="387"/>
      <c r="K1596" s="225"/>
      <c r="P1596" s="225"/>
    </row>
    <row r="1597" spans="1:16384">
      <c r="A1597" s="226"/>
      <c r="B1597" s="131" t="s">
        <v>1430</v>
      </c>
      <c r="C1597" s="226">
        <v>97917</v>
      </c>
      <c r="D1597" s="390"/>
      <c r="H1597" s="225"/>
      <c r="J1597" s="387"/>
      <c r="K1597" s="225"/>
      <c r="P1597" s="225"/>
    </row>
    <row r="1598" spans="1:16384">
      <c r="A1598" s="390"/>
      <c r="B1598" s="391" t="s">
        <v>3732</v>
      </c>
      <c r="C1598" s="390">
        <v>91414</v>
      </c>
      <c r="D1598" s="391"/>
      <c r="E1598" s="390"/>
      <c r="F1598" s="391"/>
      <c r="G1598" s="390"/>
      <c r="H1598" s="391"/>
      <c r="I1598" s="390"/>
      <c r="J1598" s="391"/>
      <c r="K1598" s="390"/>
      <c r="L1598" s="391"/>
      <c r="M1598" s="390"/>
      <c r="N1598" s="391"/>
      <c r="O1598" s="390"/>
      <c r="P1598" s="391"/>
      <c r="Q1598" s="390"/>
      <c r="R1598" s="391"/>
      <c r="S1598" s="390"/>
      <c r="T1598" s="391"/>
      <c r="U1598" s="390"/>
      <c r="V1598" s="391"/>
      <c r="W1598" s="390"/>
      <c r="X1598" s="391"/>
      <c r="Y1598" s="390"/>
      <c r="Z1598" s="391"/>
      <c r="AA1598" s="390"/>
      <c r="AB1598" s="391"/>
      <c r="AC1598" s="390"/>
      <c r="AD1598" s="391"/>
      <c r="AE1598" s="390"/>
      <c r="AF1598" s="391"/>
      <c r="AG1598" s="390"/>
      <c r="AH1598" s="391"/>
      <c r="AI1598" s="390"/>
      <c r="AJ1598" s="391"/>
      <c r="AK1598" s="390"/>
      <c r="AL1598" s="391"/>
      <c r="AM1598" s="390"/>
      <c r="AN1598" s="391"/>
      <c r="AO1598" s="390"/>
      <c r="AP1598" s="391"/>
      <c r="AQ1598" s="390"/>
      <c r="AR1598" s="391"/>
      <c r="AS1598" s="390"/>
      <c r="AT1598" s="391"/>
      <c r="AU1598" s="390"/>
      <c r="AV1598" s="391"/>
      <c r="AW1598" s="390"/>
      <c r="AX1598" s="391"/>
      <c r="AY1598" s="390"/>
      <c r="AZ1598" s="391"/>
      <c r="BA1598" s="390"/>
      <c r="BB1598" s="391"/>
      <c r="BC1598" s="390"/>
      <c r="BD1598" s="391"/>
      <c r="BE1598" s="390"/>
      <c r="BF1598" s="391"/>
      <c r="BG1598" s="390"/>
      <c r="BH1598" s="391"/>
      <c r="BI1598" s="390"/>
      <c r="BJ1598" s="391"/>
      <c r="BK1598" s="390"/>
      <c r="BL1598" s="391"/>
      <c r="BM1598" s="390"/>
      <c r="BN1598" s="391"/>
      <c r="BO1598" s="390"/>
      <c r="BP1598" s="391"/>
      <c r="BQ1598" s="390"/>
      <c r="BR1598" s="391"/>
      <c r="BS1598" s="390"/>
      <c r="BT1598" s="391"/>
      <c r="BU1598" s="390"/>
      <c r="BV1598" s="391"/>
      <c r="BW1598" s="390"/>
      <c r="BX1598" s="391"/>
      <c r="BY1598" s="390"/>
      <c r="BZ1598" s="391"/>
      <c r="CA1598" s="390"/>
      <c r="CB1598" s="391"/>
      <c r="CC1598" s="390"/>
      <c r="CD1598" s="391"/>
      <c r="CE1598" s="390"/>
      <c r="CF1598" s="391"/>
      <c r="CG1598" s="390"/>
      <c r="CH1598" s="391"/>
      <c r="CI1598" s="390"/>
      <c r="CJ1598" s="391"/>
      <c r="CK1598" s="390"/>
      <c r="CL1598" s="391"/>
      <c r="CM1598" s="390"/>
      <c r="CN1598" s="391"/>
      <c r="CO1598" s="390"/>
      <c r="CP1598" s="391"/>
      <c r="CQ1598" s="390"/>
      <c r="CR1598" s="391"/>
      <c r="CS1598" s="390"/>
      <c r="CT1598" s="391"/>
      <c r="CU1598" s="390"/>
      <c r="CV1598" s="391"/>
      <c r="CW1598" s="390"/>
      <c r="CX1598" s="391"/>
      <c r="CY1598" s="390"/>
      <c r="CZ1598" s="391"/>
      <c r="DA1598" s="390"/>
      <c r="DB1598" s="391"/>
      <c r="DC1598" s="390"/>
      <c r="DD1598" s="391"/>
      <c r="DE1598" s="390"/>
      <c r="DF1598" s="391"/>
      <c r="DG1598" s="390"/>
      <c r="DH1598" s="391"/>
      <c r="DI1598" s="390"/>
      <c r="DJ1598" s="391"/>
      <c r="DK1598" s="390"/>
      <c r="DL1598" s="391"/>
      <c r="DM1598" s="390"/>
      <c r="DN1598" s="391"/>
      <c r="DO1598" s="390"/>
      <c r="DP1598" s="391"/>
      <c r="DQ1598" s="390"/>
      <c r="DR1598" s="391"/>
      <c r="DS1598" s="390"/>
      <c r="DT1598" s="391"/>
      <c r="DU1598" s="390"/>
      <c r="DV1598" s="391"/>
      <c r="DW1598" s="390"/>
      <c r="DX1598" s="391"/>
      <c r="DY1598" s="390"/>
      <c r="DZ1598" s="391"/>
      <c r="EA1598" s="390"/>
      <c r="EB1598" s="391"/>
      <c r="EC1598" s="390"/>
      <c r="ED1598" s="391"/>
      <c r="EE1598" s="390"/>
      <c r="EF1598" s="391"/>
      <c r="EG1598" s="390"/>
      <c r="EH1598" s="391"/>
      <c r="EI1598" s="390"/>
      <c r="EJ1598" s="391"/>
      <c r="EK1598" s="390"/>
      <c r="EL1598" s="391"/>
      <c r="EM1598" s="390"/>
      <c r="EN1598" s="391"/>
      <c r="EO1598" s="390"/>
      <c r="EP1598" s="391"/>
      <c r="EQ1598" s="390"/>
      <c r="ER1598" s="391"/>
      <c r="ES1598" s="390"/>
      <c r="ET1598" s="391"/>
      <c r="EU1598" s="390"/>
      <c r="EV1598" s="391"/>
      <c r="EW1598" s="390"/>
      <c r="EX1598" s="391"/>
      <c r="EY1598" s="390"/>
      <c r="EZ1598" s="391"/>
      <c r="FA1598" s="390"/>
      <c r="FB1598" s="391"/>
      <c r="FC1598" s="390"/>
      <c r="FD1598" s="391"/>
      <c r="FE1598" s="390"/>
      <c r="FF1598" s="391"/>
      <c r="FG1598" s="390"/>
      <c r="FH1598" s="391"/>
      <c r="FI1598" s="390"/>
      <c r="FJ1598" s="391"/>
      <c r="FK1598" s="390"/>
      <c r="FL1598" s="391"/>
      <c r="FM1598" s="390"/>
      <c r="FN1598" s="391"/>
      <c r="FO1598" s="390"/>
      <c r="FP1598" s="391"/>
      <c r="FQ1598" s="390"/>
      <c r="FR1598" s="391"/>
      <c r="FS1598" s="390"/>
      <c r="FT1598" s="391"/>
      <c r="FU1598" s="390"/>
      <c r="FV1598" s="391"/>
      <c r="FW1598" s="390"/>
      <c r="FX1598" s="391"/>
      <c r="FY1598" s="390"/>
      <c r="FZ1598" s="391"/>
      <c r="GA1598" s="390"/>
      <c r="GB1598" s="391"/>
      <c r="GC1598" s="390"/>
      <c r="GD1598" s="391"/>
      <c r="GE1598" s="390"/>
      <c r="GF1598" s="391"/>
      <c r="GG1598" s="390"/>
      <c r="GH1598" s="391"/>
      <c r="GI1598" s="390"/>
      <c r="GJ1598" s="391"/>
      <c r="GK1598" s="390"/>
      <c r="GL1598" s="391"/>
      <c r="GM1598" s="390"/>
      <c r="GN1598" s="391"/>
      <c r="GO1598" s="390"/>
      <c r="GP1598" s="391"/>
      <c r="GQ1598" s="390"/>
      <c r="GR1598" s="391"/>
      <c r="GS1598" s="390"/>
      <c r="GT1598" s="391"/>
      <c r="GU1598" s="390"/>
      <c r="GV1598" s="391"/>
      <c r="GW1598" s="390"/>
      <c r="GX1598" s="391"/>
      <c r="GY1598" s="390"/>
      <c r="GZ1598" s="391"/>
      <c r="HA1598" s="390"/>
      <c r="HB1598" s="391"/>
      <c r="HC1598" s="390"/>
      <c r="HD1598" s="391"/>
      <c r="HE1598" s="390"/>
      <c r="HF1598" s="391"/>
      <c r="HG1598" s="390"/>
      <c r="HH1598" s="391"/>
      <c r="HI1598" s="390"/>
      <c r="HJ1598" s="391"/>
      <c r="HK1598" s="390"/>
      <c r="HL1598" s="391"/>
      <c r="HM1598" s="390"/>
      <c r="HN1598" s="391"/>
      <c r="HO1598" s="390"/>
      <c r="HP1598" s="391"/>
      <c r="HQ1598" s="390"/>
      <c r="HR1598" s="391"/>
      <c r="HS1598" s="390"/>
      <c r="HT1598" s="391"/>
      <c r="HU1598" s="390"/>
      <c r="HV1598" s="391"/>
      <c r="HW1598" s="390"/>
      <c r="HX1598" s="391"/>
      <c r="HY1598" s="390"/>
      <c r="HZ1598" s="391"/>
      <c r="IA1598" s="390"/>
      <c r="IB1598" s="391"/>
      <c r="IC1598" s="390"/>
      <c r="ID1598" s="391"/>
      <c r="IE1598" s="390"/>
      <c r="IF1598" s="391"/>
      <c r="IG1598" s="390"/>
      <c r="IH1598" s="391"/>
      <c r="II1598" s="390"/>
      <c r="IJ1598" s="391"/>
      <c r="IK1598" s="390"/>
      <c r="IL1598" s="391"/>
      <c r="IM1598" s="390"/>
      <c r="IN1598" s="391"/>
      <c r="IO1598" s="390"/>
      <c r="IP1598" s="391"/>
      <c r="IQ1598" s="390"/>
      <c r="IR1598" s="391"/>
      <c r="IS1598" s="390"/>
      <c r="IT1598" s="391"/>
      <c r="IU1598" s="390"/>
      <c r="IV1598" s="391"/>
      <c r="IW1598" s="390"/>
      <c r="IX1598" s="391"/>
      <c r="IY1598" s="390"/>
      <c r="IZ1598" s="391"/>
      <c r="JA1598" s="390"/>
      <c r="JB1598" s="391"/>
      <c r="JC1598" s="390"/>
      <c r="JD1598" s="391"/>
      <c r="JE1598" s="390"/>
      <c r="JF1598" s="391"/>
      <c r="JG1598" s="390"/>
      <c r="JH1598" s="391"/>
      <c r="JI1598" s="390"/>
      <c r="JJ1598" s="391"/>
      <c r="JK1598" s="390"/>
      <c r="JL1598" s="391"/>
      <c r="JM1598" s="390"/>
      <c r="JN1598" s="391"/>
      <c r="JO1598" s="390"/>
      <c r="JP1598" s="391"/>
      <c r="JQ1598" s="390"/>
      <c r="JR1598" s="391"/>
      <c r="JS1598" s="390"/>
      <c r="JT1598" s="391"/>
      <c r="JU1598" s="390"/>
      <c r="JV1598" s="391"/>
      <c r="JW1598" s="390"/>
      <c r="JX1598" s="391"/>
      <c r="JY1598" s="390"/>
      <c r="JZ1598" s="391"/>
      <c r="KA1598" s="390"/>
      <c r="KB1598" s="391"/>
      <c r="KC1598" s="390"/>
      <c r="KD1598" s="391"/>
      <c r="KE1598" s="390"/>
      <c r="KF1598" s="391"/>
      <c r="KG1598" s="390"/>
      <c r="KH1598" s="391"/>
      <c r="KI1598" s="390"/>
      <c r="KJ1598" s="391"/>
      <c r="KK1598" s="390"/>
      <c r="KL1598" s="391"/>
      <c r="KM1598" s="390"/>
      <c r="KN1598" s="391"/>
      <c r="KO1598" s="390"/>
      <c r="KP1598" s="391"/>
      <c r="KQ1598" s="390"/>
      <c r="KR1598" s="391"/>
      <c r="KS1598" s="390"/>
      <c r="KT1598" s="391"/>
      <c r="KU1598" s="390"/>
      <c r="KV1598" s="391"/>
      <c r="KW1598" s="390"/>
      <c r="KX1598" s="391"/>
      <c r="KY1598" s="390"/>
      <c r="KZ1598" s="391"/>
      <c r="LA1598" s="390"/>
      <c r="LB1598" s="391"/>
      <c r="LC1598" s="390"/>
      <c r="LD1598" s="391"/>
      <c r="LE1598" s="390"/>
      <c r="LF1598" s="391"/>
      <c r="LG1598" s="390"/>
      <c r="LH1598" s="391"/>
      <c r="LI1598" s="390"/>
      <c r="LJ1598" s="391"/>
      <c r="LK1598" s="390"/>
      <c r="LL1598" s="391"/>
      <c r="LM1598" s="390"/>
      <c r="LN1598" s="391"/>
      <c r="LO1598" s="390"/>
      <c r="LP1598" s="391"/>
      <c r="LQ1598" s="390"/>
      <c r="LR1598" s="391"/>
      <c r="LS1598" s="390"/>
      <c r="LT1598" s="391"/>
      <c r="LU1598" s="390"/>
      <c r="LV1598" s="391"/>
      <c r="LW1598" s="390"/>
      <c r="LX1598" s="391"/>
      <c r="LY1598" s="390"/>
      <c r="LZ1598" s="391"/>
      <c r="MA1598" s="390"/>
      <c r="MB1598" s="391"/>
      <c r="MC1598" s="390"/>
      <c r="MD1598" s="391"/>
      <c r="ME1598" s="390"/>
      <c r="MF1598" s="391"/>
      <c r="MG1598" s="390"/>
      <c r="MH1598" s="391"/>
      <c r="MI1598" s="390"/>
      <c r="MJ1598" s="391"/>
      <c r="MK1598" s="390"/>
      <c r="ML1598" s="391"/>
      <c r="MM1598" s="390"/>
      <c r="MN1598" s="391"/>
      <c r="MO1598" s="390"/>
      <c r="MP1598" s="391"/>
      <c r="MQ1598" s="390"/>
      <c r="MR1598" s="391"/>
      <c r="MS1598" s="390"/>
      <c r="MT1598" s="391"/>
      <c r="MU1598" s="390"/>
      <c r="MV1598" s="391"/>
      <c r="MW1598" s="390"/>
      <c r="MX1598" s="391"/>
      <c r="MY1598" s="390"/>
      <c r="MZ1598" s="391"/>
      <c r="NA1598" s="390"/>
      <c r="NB1598" s="391"/>
      <c r="NC1598" s="390"/>
      <c r="ND1598" s="391"/>
      <c r="NE1598" s="390"/>
      <c r="NF1598" s="391"/>
      <c r="NG1598" s="390"/>
      <c r="NH1598" s="391"/>
      <c r="NI1598" s="390"/>
      <c r="NJ1598" s="391"/>
      <c r="NK1598" s="390"/>
      <c r="NL1598" s="391"/>
      <c r="NM1598" s="390"/>
      <c r="NN1598" s="391"/>
      <c r="NO1598" s="390"/>
      <c r="NP1598" s="391"/>
      <c r="NQ1598" s="390"/>
      <c r="NR1598" s="391"/>
      <c r="NS1598" s="390"/>
      <c r="NT1598" s="391"/>
      <c r="NU1598" s="390"/>
      <c r="NV1598" s="391"/>
      <c r="NW1598" s="390"/>
      <c r="NX1598" s="391"/>
      <c r="NY1598" s="390"/>
      <c r="NZ1598" s="391"/>
      <c r="OA1598" s="390"/>
      <c r="OB1598" s="391"/>
      <c r="OC1598" s="390"/>
      <c r="OD1598" s="391"/>
      <c r="OE1598" s="390"/>
      <c r="OF1598" s="391"/>
      <c r="OG1598" s="390"/>
      <c r="OH1598" s="391"/>
      <c r="OI1598" s="390"/>
      <c r="OJ1598" s="391"/>
      <c r="OK1598" s="390"/>
      <c r="OL1598" s="391"/>
      <c r="OM1598" s="390"/>
      <c r="ON1598" s="391"/>
      <c r="OO1598" s="390"/>
      <c r="OP1598" s="391"/>
      <c r="OQ1598" s="390"/>
      <c r="OR1598" s="391"/>
      <c r="OS1598" s="390"/>
      <c r="OT1598" s="391"/>
      <c r="OU1598" s="390"/>
      <c r="OV1598" s="391"/>
      <c r="OW1598" s="390"/>
      <c r="OX1598" s="391"/>
      <c r="OY1598" s="390"/>
      <c r="OZ1598" s="391"/>
      <c r="PA1598" s="390"/>
      <c r="PB1598" s="391"/>
      <c r="PC1598" s="390"/>
      <c r="PD1598" s="391"/>
      <c r="PE1598" s="390"/>
      <c r="PF1598" s="391"/>
      <c r="PG1598" s="390"/>
      <c r="PH1598" s="391"/>
      <c r="PI1598" s="390"/>
      <c r="PJ1598" s="391"/>
      <c r="PK1598" s="390"/>
      <c r="PL1598" s="391"/>
      <c r="PM1598" s="390"/>
      <c r="PN1598" s="391"/>
      <c r="PO1598" s="390"/>
      <c r="PP1598" s="391"/>
      <c r="PQ1598" s="390"/>
      <c r="PR1598" s="391"/>
      <c r="PS1598" s="390"/>
      <c r="PT1598" s="391"/>
      <c r="PU1598" s="390"/>
      <c r="PV1598" s="391"/>
      <c r="PW1598" s="390"/>
      <c r="PX1598" s="391"/>
      <c r="PY1598" s="390"/>
      <c r="PZ1598" s="391"/>
      <c r="QA1598" s="390"/>
      <c r="QB1598" s="391"/>
      <c r="QC1598" s="390"/>
      <c r="QD1598" s="391"/>
      <c r="QE1598" s="390"/>
      <c r="QF1598" s="391"/>
      <c r="QG1598" s="390"/>
      <c r="QH1598" s="391"/>
      <c r="QI1598" s="390"/>
      <c r="QJ1598" s="391"/>
      <c r="QK1598" s="390"/>
      <c r="QL1598" s="391"/>
      <c r="QM1598" s="390"/>
      <c r="QN1598" s="391"/>
      <c r="QO1598" s="390"/>
      <c r="QP1598" s="391"/>
      <c r="QQ1598" s="390"/>
      <c r="QR1598" s="391"/>
      <c r="QS1598" s="390"/>
      <c r="QT1598" s="391"/>
      <c r="QU1598" s="390"/>
      <c r="QV1598" s="391"/>
      <c r="QW1598" s="390"/>
      <c r="QX1598" s="391"/>
      <c r="QY1598" s="390"/>
      <c r="QZ1598" s="391"/>
      <c r="RA1598" s="390"/>
      <c r="RB1598" s="391"/>
      <c r="RC1598" s="390"/>
      <c r="RD1598" s="391"/>
      <c r="RE1598" s="390"/>
      <c r="RF1598" s="391"/>
      <c r="RG1598" s="390"/>
      <c r="RH1598" s="391"/>
      <c r="RI1598" s="390"/>
      <c r="RJ1598" s="391"/>
      <c r="RK1598" s="390"/>
      <c r="RL1598" s="391"/>
      <c r="RM1598" s="390"/>
      <c r="RN1598" s="391"/>
      <c r="RO1598" s="390"/>
      <c r="RP1598" s="391"/>
      <c r="RQ1598" s="390"/>
      <c r="RR1598" s="391"/>
      <c r="RS1598" s="390"/>
      <c r="RT1598" s="391"/>
      <c r="RU1598" s="390"/>
      <c r="RV1598" s="391"/>
      <c r="RW1598" s="390"/>
      <c r="RX1598" s="391"/>
      <c r="RY1598" s="390"/>
      <c r="RZ1598" s="391"/>
      <c r="SA1598" s="390"/>
      <c r="SB1598" s="391"/>
      <c r="SC1598" s="390"/>
      <c r="SD1598" s="391"/>
      <c r="SE1598" s="390"/>
      <c r="SF1598" s="391"/>
      <c r="SG1598" s="390"/>
      <c r="SH1598" s="391"/>
      <c r="SI1598" s="390"/>
      <c r="SJ1598" s="391"/>
      <c r="SK1598" s="390"/>
      <c r="SL1598" s="391"/>
      <c r="SM1598" s="390"/>
      <c r="SN1598" s="391"/>
      <c r="SO1598" s="390"/>
      <c r="SP1598" s="391"/>
      <c r="SQ1598" s="390"/>
      <c r="SR1598" s="391"/>
      <c r="SS1598" s="390"/>
      <c r="ST1598" s="391"/>
      <c r="SU1598" s="390"/>
      <c r="SV1598" s="391"/>
      <c r="SW1598" s="390"/>
      <c r="SX1598" s="391"/>
      <c r="SY1598" s="390"/>
      <c r="SZ1598" s="391"/>
      <c r="TA1598" s="390"/>
      <c r="TB1598" s="391"/>
      <c r="TC1598" s="390"/>
      <c r="TD1598" s="391"/>
      <c r="TE1598" s="390"/>
      <c r="TF1598" s="391"/>
      <c r="TG1598" s="390"/>
      <c r="TH1598" s="391"/>
      <c r="TI1598" s="390"/>
      <c r="TJ1598" s="391"/>
      <c r="TK1598" s="390"/>
      <c r="TL1598" s="391"/>
      <c r="TM1598" s="390"/>
      <c r="TN1598" s="391"/>
      <c r="TO1598" s="390"/>
      <c r="TP1598" s="391"/>
      <c r="TQ1598" s="390"/>
      <c r="TR1598" s="391"/>
      <c r="TS1598" s="390"/>
      <c r="TT1598" s="391"/>
      <c r="TU1598" s="390"/>
      <c r="TV1598" s="391"/>
      <c r="TW1598" s="390"/>
      <c r="TX1598" s="391"/>
      <c r="TY1598" s="390"/>
      <c r="TZ1598" s="391"/>
      <c r="UA1598" s="390"/>
      <c r="UB1598" s="391"/>
      <c r="UC1598" s="390"/>
      <c r="UD1598" s="391"/>
      <c r="UE1598" s="390"/>
      <c r="UF1598" s="391"/>
      <c r="UG1598" s="390"/>
      <c r="UH1598" s="391"/>
      <c r="UI1598" s="390"/>
      <c r="UJ1598" s="391"/>
      <c r="UK1598" s="390"/>
      <c r="UL1598" s="391"/>
      <c r="UM1598" s="390"/>
      <c r="UN1598" s="391"/>
      <c r="UO1598" s="390"/>
      <c r="UP1598" s="391"/>
      <c r="UQ1598" s="390"/>
      <c r="UR1598" s="391"/>
      <c r="US1598" s="390"/>
      <c r="UT1598" s="391"/>
      <c r="UU1598" s="390"/>
      <c r="UV1598" s="391"/>
      <c r="UW1598" s="390"/>
      <c r="UX1598" s="391"/>
      <c r="UY1598" s="390"/>
      <c r="UZ1598" s="391"/>
      <c r="VA1598" s="390"/>
      <c r="VB1598" s="391"/>
      <c r="VC1598" s="390"/>
      <c r="VD1598" s="391"/>
      <c r="VE1598" s="390"/>
      <c r="VF1598" s="391"/>
      <c r="VG1598" s="390"/>
      <c r="VH1598" s="391"/>
      <c r="VI1598" s="390"/>
      <c r="VJ1598" s="391"/>
      <c r="VK1598" s="390"/>
      <c r="VL1598" s="391"/>
      <c r="VM1598" s="390"/>
      <c r="VN1598" s="391"/>
      <c r="VO1598" s="390"/>
      <c r="VP1598" s="391"/>
      <c r="VQ1598" s="390"/>
      <c r="VR1598" s="391"/>
      <c r="VS1598" s="390"/>
      <c r="VT1598" s="391"/>
      <c r="VU1598" s="390"/>
      <c r="VV1598" s="391"/>
      <c r="VW1598" s="390"/>
      <c r="VX1598" s="391"/>
      <c r="VY1598" s="390"/>
      <c r="VZ1598" s="391"/>
      <c r="WA1598" s="390"/>
      <c r="WB1598" s="391"/>
      <c r="WC1598" s="390"/>
      <c r="WD1598" s="391"/>
      <c r="WE1598" s="390"/>
      <c r="WF1598" s="391"/>
      <c r="WG1598" s="390"/>
      <c r="WH1598" s="391"/>
      <c r="WI1598" s="390"/>
      <c r="WJ1598" s="391"/>
      <c r="WK1598" s="390"/>
      <c r="WL1598" s="391"/>
      <c r="WM1598" s="390"/>
      <c r="WN1598" s="391"/>
      <c r="WO1598" s="390"/>
      <c r="WP1598" s="391"/>
      <c r="WQ1598" s="390"/>
      <c r="WR1598" s="391"/>
      <c r="WS1598" s="390"/>
      <c r="WT1598" s="391"/>
      <c r="WU1598" s="390"/>
      <c r="WV1598" s="391"/>
      <c r="WW1598" s="390"/>
      <c r="WX1598" s="391"/>
      <c r="WY1598" s="390"/>
      <c r="WZ1598" s="391"/>
      <c r="XA1598" s="390"/>
      <c r="XB1598" s="391"/>
      <c r="XC1598" s="390"/>
      <c r="XD1598" s="391"/>
      <c r="XE1598" s="390"/>
      <c r="XF1598" s="391"/>
      <c r="XG1598" s="390"/>
      <c r="XH1598" s="391"/>
      <c r="XI1598" s="390"/>
      <c r="XJ1598" s="391"/>
      <c r="XK1598" s="390"/>
      <c r="XL1598" s="391"/>
      <c r="XM1598" s="390"/>
      <c r="XN1598" s="391"/>
      <c r="XO1598" s="390"/>
      <c r="XP1598" s="391"/>
      <c r="XQ1598" s="390"/>
      <c r="XR1598" s="391"/>
      <c r="XS1598" s="390"/>
      <c r="XT1598" s="391"/>
      <c r="XU1598" s="390"/>
      <c r="XV1598" s="391"/>
      <c r="XW1598" s="390"/>
      <c r="XX1598" s="391"/>
      <c r="XY1598" s="390"/>
      <c r="XZ1598" s="391"/>
      <c r="YA1598" s="390"/>
      <c r="YB1598" s="391"/>
      <c r="YC1598" s="390"/>
      <c r="YD1598" s="391"/>
      <c r="YE1598" s="390"/>
      <c r="YF1598" s="391"/>
      <c r="YG1598" s="390"/>
      <c r="YH1598" s="391"/>
      <c r="YI1598" s="390"/>
      <c r="YJ1598" s="391"/>
      <c r="YK1598" s="390"/>
      <c r="YL1598" s="391"/>
      <c r="YM1598" s="390"/>
      <c r="YN1598" s="391"/>
      <c r="YO1598" s="390"/>
      <c r="YP1598" s="391"/>
      <c r="YQ1598" s="390"/>
      <c r="YR1598" s="391"/>
      <c r="YS1598" s="390"/>
      <c r="YT1598" s="391"/>
      <c r="YU1598" s="390"/>
      <c r="YV1598" s="391"/>
      <c r="YW1598" s="390"/>
      <c r="YX1598" s="391"/>
      <c r="YY1598" s="390"/>
      <c r="YZ1598" s="391"/>
      <c r="ZA1598" s="390"/>
      <c r="ZB1598" s="391"/>
      <c r="ZC1598" s="390"/>
      <c r="ZD1598" s="391"/>
      <c r="ZE1598" s="390"/>
      <c r="ZF1598" s="391"/>
      <c r="ZG1598" s="390"/>
      <c r="ZH1598" s="391"/>
      <c r="ZI1598" s="390"/>
      <c r="ZJ1598" s="391"/>
      <c r="ZK1598" s="390"/>
      <c r="ZL1598" s="391"/>
      <c r="ZM1598" s="390"/>
      <c r="ZN1598" s="391"/>
      <c r="ZO1598" s="390"/>
      <c r="ZP1598" s="391"/>
      <c r="ZQ1598" s="390"/>
      <c r="ZR1598" s="391"/>
      <c r="ZS1598" s="390"/>
      <c r="ZT1598" s="391"/>
      <c r="ZU1598" s="390"/>
      <c r="ZV1598" s="391"/>
      <c r="ZW1598" s="390"/>
      <c r="ZX1598" s="391"/>
      <c r="ZY1598" s="390"/>
      <c r="ZZ1598" s="391"/>
      <c r="AAA1598" s="390"/>
      <c r="AAB1598" s="391"/>
      <c r="AAC1598" s="390"/>
      <c r="AAD1598" s="391"/>
      <c r="AAE1598" s="390"/>
      <c r="AAF1598" s="391"/>
      <c r="AAG1598" s="390"/>
      <c r="AAH1598" s="391"/>
      <c r="AAI1598" s="390"/>
      <c r="AAJ1598" s="391"/>
      <c r="AAK1598" s="390"/>
      <c r="AAL1598" s="391"/>
      <c r="AAM1598" s="390"/>
      <c r="AAN1598" s="391"/>
      <c r="AAO1598" s="390"/>
      <c r="AAP1598" s="391"/>
      <c r="AAQ1598" s="390"/>
      <c r="AAR1598" s="391"/>
      <c r="AAS1598" s="390"/>
      <c r="AAT1598" s="391"/>
      <c r="AAU1598" s="390"/>
      <c r="AAV1598" s="391"/>
      <c r="AAW1598" s="390"/>
      <c r="AAX1598" s="391"/>
      <c r="AAY1598" s="390"/>
      <c r="AAZ1598" s="391"/>
      <c r="ABA1598" s="390"/>
      <c r="ABB1598" s="391"/>
      <c r="ABC1598" s="390"/>
      <c r="ABD1598" s="391"/>
      <c r="ABE1598" s="390"/>
      <c r="ABF1598" s="391"/>
      <c r="ABG1598" s="390"/>
      <c r="ABH1598" s="391"/>
      <c r="ABI1598" s="390"/>
      <c r="ABJ1598" s="391"/>
      <c r="ABK1598" s="390"/>
      <c r="ABL1598" s="391"/>
      <c r="ABM1598" s="390"/>
      <c r="ABN1598" s="391"/>
      <c r="ABO1598" s="390"/>
      <c r="ABP1598" s="391"/>
      <c r="ABQ1598" s="390"/>
      <c r="ABR1598" s="391"/>
      <c r="ABS1598" s="390"/>
      <c r="ABT1598" s="391"/>
      <c r="ABU1598" s="390"/>
      <c r="ABV1598" s="391"/>
      <c r="ABW1598" s="390"/>
      <c r="ABX1598" s="391"/>
      <c r="ABY1598" s="390"/>
      <c r="ABZ1598" s="391"/>
      <c r="ACA1598" s="390"/>
      <c r="ACB1598" s="391"/>
      <c r="ACC1598" s="390"/>
      <c r="ACD1598" s="391"/>
      <c r="ACE1598" s="390"/>
      <c r="ACF1598" s="391"/>
      <c r="ACG1598" s="390"/>
      <c r="ACH1598" s="391"/>
      <c r="ACI1598" s="390"/>
      <c r="ACJ1598" s="391"/>
      <c r="ACK1598" s="390"/>
      <c r="ACL1598" s="391"/>
      <c r="ACM1598" s="390"/>
      <c r="ACN1598" s="391"/>
      <c r="ACO1598" s="390"/>
      <c r="ACP1598" s="391"/>
      <c r="ACQ1598" s="390"/>
      <c r="ACR1598" s="391"/>
      <c r="ACS1598" s="390"/>
      <c r="ACT1598" s="391"/>
      <c r="ACU1598" s="390"/>
      <c r="ACV1598" s="391"/>
      <c r="ACW1598" s="390"/>
      <c r="ACX1598" s="391"/>
      <c r="ACY1598" s="390"/>
      <c r="ACZ1598" s="391"/>
      <c r="ADA1598" s="390"/>
      <c r="ADB1598" s="391"/>
      <c r="ADC1598" s="390"/>
      <c r="ADD1598" s="391"/>
      <c r="ADE1598" s="390"/>
      <c r="ADF1598" s="391"/>
      <c r="ADG1598" s="390"/>
      <c r="ADH1598" s="391"/>
      <c r="ADI1598" s="390"/>
      <c r="ADJ1598" s="391"/>
      <c r="ADK1598" s="390"/>
      <c r="ADL1598" s="391"/>
      <c r="ADM1598" s="390"/>
      <c r="ADN1598" s="391"/>
      <c r="ADO1598" s="390"/>
      <c r="ADP1598" s="391"/>
      <c r="ADQ1598" s="390"/>
      <c r="ADR1598" s="391"/>
      <c r="ADS1598" s="390"/>
      <c r="ADT1598" s="391"/>
      <c r="ADU1598" s="390"/>
      <c r="ADV1598" s="391"/>
      <c r="ADW1598" s="390"/>
      <c r="ADX1598" s="391"/>
      <c r="ADY1598" s="390"/>
      <c r="ADZ1598" s="391"/>
      <c r="AEA1598" s="390"/>
      <c r="AEB1598" s="391"/>
      <c r="AEC1598" s="390"/>
      <c r="AED1598" s="391"/>
      <c r="AEE1598" s="390"/>
      <c r="AEF1598" s="391"/>
      <c r="AEG1598" s="390"/>
      <c r="AEH1598" s="391"/>
      <c r="AEI1598" s="390"/>
      <c r="AEJ1598" s="391"/>
      <c r="AEK1598" s="390"/>
      <c r="AEL1598" s="391"/>
      <c r="AEM1598" s="390"/>
      <c r="AEN1598" s="391"/>
      <c r="AEO1598" s="390"/>
      <c r="AEP1598" s="391"/>
      <c r="AEQ1598" s="390"/>
      <c r="AER1598" s="391"/>
      <c r="AES1598" s="390"/>
      <c r="AET1598" s="391"/>
      <c r="AEU1598" s="390"/>
      <c r="AEV1598" s="391"/>
      <c r="AEW1598" s="390"/>
      <c r="AEX1598" s="391"/>
      <c r="AEY1598" s="390"/>
      <c r="AEZ1598" s="391"/>
      <c r="AFA1598" s="390"/>
      <c r="AFB1598" s="391"/>
      <c r="AFC1598" s="390"/>
      <c r="AFD1598" s="391"/>
      <c r="AFE1598" s="390"/>
      <c r="AFF1598" s="391"/>
      <c r="AFG1598" s="390"/>
      <c r="AFH1598" s="391"/>
      <c r="AFI1598" s="390"/>
      <c r="AFJ1598" s="391"/>
      <c r="AFK1598" s="390"/>
      <c r="AFL1598" s="391"/>
      <c r="AFM1598" s="390"/>
      <c r="AFN1598" s="391"/>
      <c r="AFO1598" s="390"/>
      <c r="AFP1598" s="391"/>
      <c r="AFQ1598" s="390"/>
      <c r="AFR1598" s="391"/>
      <c r="AFS1598" s="390"/>
      <c r="AFT1598" s="391"/>
      <c r="AFU1598" s="390"/>
      <c r="AFV1598" s="391"/>
      <c r="AFW1598" s="390"/>
      <c r="AFX1598" s="391"/>
      <c r="AFY1598" s="390"/>
      <c r="AFZ1598" s="391"/>
      <c r="AGA1598" s="390"/>
      <c r="AGB1598" s="391"/>
      <c r="AGC1598" s="390"/>
      <c r="AGD1598" s="391"/>
      <c r="AGE1598" s="390"/>
      <c r="AGF1598" s="391"/>
      <c r="AGG1598" s="390"/>
      <c r="AGH1598" s="391"/>
      <c r="AGI1598" s="390"/>
      <c r="AGJ1598" s="391"/>
      <c r="AGK1598" s="390"/>
      <c r="AGL1598" s="391"/>
      <c r="AGM1598" s="390"/>
      <c r="AGN1598" s="391"/>
      <c r="AGO1598" s="390"/>
      <c r="AGP1598" s="391"/>
      <c r="AGQ1598" s="390"/>
      <c r="AGR1598" s="391"/>
      <c r="AGS1598" s="390"/>
      <c r="AGT1598" s="391"/>
      <c r="AGU1598" s="390"/>
      <c r="AGV1598" s="391"/>
      <c r="AGW1598" s="390"/>
      <c r="AGX1598" s="391"/>
      <c r="AGY1598" s="390"/>
      <c r="AGZ1598" s="391"/>
      <c r="AHA1598" s="390"/>
      <c r="AHB1598" s="391"/>
      <c r="AHC1598" s="390"/>
      <c r="AHD1598" s="391"/>
      <c r="AHE1598" s="390"/>
      <c r="AHF1598" s="391"/>
      <c r="AHG1598" s="390"/>
      <c r="AHH1598" s="391"/>
      <c r="AHI1598" s="390"/>
      <c r="AHJ1598" s="391"/>
      <c r="AHK1598" s="390"/>
      <c r="AHL1598" s="391"/>
      <c r="AHM1598" s="390"/>
      <c r="AHN1598" s="391"/>
      <c r="AHO1598" s="390"/>
      <c r="AHP1598" s="391"/>
      <c r="AHQ1598" s="390"/>
      <c r="AHR1598" s="391"/>
      <c r="AHS1598" s="390"/>
      <c r="AHT1598" s="391"/>
      <c r="AHU1598" s="390"/>
      <c r="AHV1598" s="391"/>
      <c r="AHW1598" s="390"/>
      <c r="AHX1598" s="391"/>
      <c r="AHY1598" s="390"/>
      <c r="AHZ1598" s="391"/>
      <c r="AIA1598" s="390"/>
      <c r="AIB1598" s="391"/>
      <c r="AIC1598" s="390"/>
      <c r="AID1598" s="391"/>
      <c r="AIE1598" s="390"/>
      <c r="AIF1598" s="391"/>
      <c r="AIG1598" s="390"/>
      <c r="AIH1598" s="391"/>
      <c r="AII1598" s="390"/>
      <c r="AIJ1598" s="391"/>
      <c r="AIK1598" s="390"/>
      <c r="AIL1598" s="391"/>
      <c r="AIM1598" s="390"/>
      <c r="AIN1598" s="391"/>
      <c r="AIO1598" s="390"/>
      <c r="AIP1598" s="391"/>
      <c r="AIQ1598" s="390"/>
      <c r="AIR1598" s="391"/>
      <c r="AIS1598" s="390"/>
      <c r="AIT1598" s="391"/>
      <c r="AIU1598" s="390"/>
      <c r="AIV1598" s="391"/>
      <c r="AIW1598" s="390"/>
      <c r="AIX1598" s="391"/>
      <c r="AIY1598" s="390"/>
      <c r="AIZ1598" s="391"/>
      <c r="AJA1598" s="390"/>
      <c r="AJB1598" s="391"/>
      <c r="AJC1598" s="390"/>
      <c r="AJD1598" s="391"/>
      <c r="AJE1598" s="390"/>
      <c r="AJF1598" s="391"/>
      <c r="AJG1598" s="390"/>
      <c r="AJH1598" s="391"/>
      <c r="AJI1598" s="390"/>
      <c r="AJJ1598" s="391"/>
      <c r="AJK1598" s="390"/>
      <c r="AJL1598" s="391"/>
      <c r="AJM1598" s="390"/>
      <c r="AJN1598" s="391"/>
      <c r="AJO1598" s="390"/>
      <c r="AJP1598" s="391"/>
      <c r="AJQ1598" s="390"/>
      <c r="AJR1598" s="391"/>
      <c r="AJS1598" s="390"/>
      <c r="AJT1598" s="391"/>
      <c r="AJU1598" s="390"/>
      <c r="AJV1598" s="391"/>
      <c r="AJW1598" s="390"/>
      <c r="AJX1598" s="391"/>
      <c r="AJY1598" s="390"/>
      <c r="AJZ1598" s="391"/>
      <c r="AKA1598" s="390"/>
      <c r="AKB1598" s="391"/>
      <c r="AKC1598" s="390"/>
      <c r="AKD1598" s="391"/>
      <c r="AKE1598" s="390"/>
      <c r="AKF1598" s="391"/>
      <c r="AKG1598" s="390"/>
      <c r="AKH1598" s="391"/>
      <c r="AKI1598" s="390"/>
      <c r="AKJ1598" s="391"/>
      <c r="AKK1598" s="390"/>
      <c r="AKL1598" s="391"/>
      <c r="AKM1598" s="390"/>
      <c r="AKN1598" s="391"/>
      <c r="AKO1598" s="390"/>
      <c r="AKP1598" s="391"/>
      <c r="AKQ1598" s="390"/>
      <c r="AKR1598" s="391"/>
      <c r="AKS1598" s="390"/>
      <c r="AKT1598" s="391"/>
      <c r="AKU1598" s="390"/>
      <c r="AKV1598" s="391"/>
      <c r="AKW1598" s="390"/>
      <c r="AKX1598" s="391"/>
      <c r="AKY1598" s="390"/>
      <c r="AKZ1598" s="391"/>
      <c r="ALA1598" s="390"/>
      <c r="ALB1598" s="391"/>
      <c r="ALC1598" s="390"/>
      <c r="ALD1598" s="391"/>
      <c r="ALE1598" s="390"/>
      <c r="ALF1598" s="391"/>
      <c r="ALG1598" s="390"/>
      <c r="ALH1598" s="391"/>
      <c r="ALI1598" s="390"/>
      <c r="ALJ1598" s="391"/>
      <c r="ALK1598" s="390"/>
      <c r="ALL1598" s="391"/>
      <c r="ALM1598" s="390"/>
      <c r="ALN1598" s="391"/>
      <c r="ALO1598" s="390"/>
      <c r="ALP1598" s="391"/>
      <c r="ALQ1598" s="390"/>
      <c r="ALR1598" s="391"/>
      <c r="ALS1598" s="390"/>
      <c r="ALT1598" s="391"/>
      <c r="ALU1598" s="390"/>
      <c r="ALV1598" s="391"/>
      <c r="ALW1598" s="390"/>
      <c r="ALX1598" s="391"/>
      <c r="ALY1598" s="390"/>
      <c r="ALZ1598" s="391"/>
      <c r="AMA1598" s="390"/>
      <c r="AMB1598" s="391"/>
      <c r="AMC1598" s="390"/>
      <c r="AMD1598" s="391"/>
      <c r="AME1598" s="390"/>
      <c r="AMF1598" s="391"/>
      <c r="AMG1598" s="390"/>
      <c r="AMH1598" s="391"/>
      <c r="AMI1598" s="390"/>
      <c r="AMJ1598" s="391"/>
      <c r="AMK1598" s="390"/>
      <c r="AML1598" s="391"/>
      <c r="AMM1598" s="390"/>
      <c r="AMN1598" s="391"/>
      <c r="AMO1598" s="390"/>
      <c r="AMP1598" s="391"/>
      <c r="AMQ1598" s="390"/>
      <c r="AMR1598" s="391"/>
      <c r="AMS1598" s="390"/>
      <c r="AMT1598" s="391"/>
      <c r="AMU1598" s="390"/>
      <c r="AMV1598" s="391"/>
      <c r="AMW1598" s="390"/>
      <c r="AMX1598" s="391"/>
      <c r="AMY1598" s="390"/>
      <c r="AMZ1598" s="391"/>
      <c r="ANA1598" s="390"/>
      <c r="ANB1598" s="391"/>
      <c r="ANC1598" s="390"/>
      <c r="AND1598" s="391"/>
      <c r="ANE1598" s="390"/>
      <c r="ANF1598" s="391"/>
      <c r="ANG1598" s="390"/>
      <c r="ANH1598" s="391"/>
      <c r="ANI1598" s="390"/>
      <c r="ANJ1598" s="391"/>
      <c r="ANK1598" s="390"/>
      <c r="ANL1598" s="391"/>
      <c r="ANM1598" s="390"/>
      <c r="ANN1598" s="391"/>
      <c r="ANO1598" s="390"/>
      <c r="ANP1598" s="391"/>
      <c r="ANQ1598" s="390"/>
      <c r="ANR1598" s="391"/>
      <c r="ANS1598" s="390"/>
      <c r="ANT1598" s="391"/>
      <c r="ANU1598" s="390"/>
      <c r="ANV1598" s="391"/>
      <c r="ANW1598" s="390"/>
      <c r="ANX1598" s="391"/>
      <c r="ANY1598" s="390"/>
      <c r="ANZ1598" s="391"/>
      <c r="AOA1598" s="390"/>
      <c r="AOB1598" s="391"/>
      <c r="AOC1598" s="390"/>
      <c r="AOD1598" s="391"/>
      <c r="AOE1598" s="390"/>
      <c r="AOF1598" s="391"/>
      <c r="AOG1598" s="390"/>
      <c r="AOH1598" s="391"/>
      <c r="AOI1598" s="390"/>
      <c r="AOJ1598" s="391"/>
      <c r="AOK1598" s="390"/>
      <c r="AOL1598" s="391"/>
      <c r="AOM1598" s="390"/>
      <c r="AON1598" s="391"/>
      <c r="AOO1598" s="390"/>
      <c r="AOP1598" s="391"/>
      <c r="AOQ1598" s="390"/>
      <c r="AOR1598" s="391"/>
      <c r="AOS1598" s="390"/>
      <c r="AOT1598" s="391"/>
      <c r="AOU1598" s="390"/>
      <c r="AOV1598" s="391"/>
      <c r="AOW1598" s="390"/>
      <c r="AOX1598" s="391"/>
      <c r="AOY1598" s="390"/>
      <c r="AOZ1598" s="391"/>
      <c r="APA1598" s="390"/>
      <c r="APB1598" s="391"/>
      <c r="APC1598" s="390"/>
      <c r="APD1598" s="391"/>
      <c r="APE1598" s="390"/>
      <c r="APF1598" s="391"/>
      <c r="APG1598" s="390"/>
      <c r="APH1598" s="391"/>
      <c r="API1598" s="390"/>
      <c r="APJ1598" s="391"/>
      <c r="APK1598" s="390"/>
      <c r="APL1598" s="391"/>
      <c r="APM1598" s="390"/>
      <c r="APN1598" s="391"/>
      <c r="APO1598" s="390"/>
      <c r="APP1598" s="391"/>
      <c r="APQ1598" s="390"/>
      <c r="APR1598" s="391"/>
      <c r="APS1598" s="390"/>
      <c r="APT1598" s="391"/>
      <c r="APU1598" s="390"/>
      <c r="APV1598" s="391"/>
      <c r="APW1598" s="390"/>
      <c r="APX1598" s="391"/>
      <c r="APY1598" s="390"/>
      <c r="APZ1598" s="391"/>
      <c r="AQA1598" s="390"/>
      <c r="AQB1598" s="391"/>
      <c r="AQC1598" s="390"/>
      <c r="AQD1598" s="391"/>
      <c r="AQE1598" s="390"/>
      <c r="AQF1598" s="391"/>
      <c r="AQG1598" s="390"/>
      <c r="AQH1598" s="391"/>
      <c r="AQI1598" s="390"/>
      <c r="AQJ1598" s="391"/>
      <c r="AQK1598" s="390"/>
      <c r="AQL1598" s="391"/>
      <c r="AQM1598" s="390"/>
      <c r="AQN1598" s="391"/>
      <c r="AQO1598" s="390"/>
      <c r="AQP1598" s="391"/>
      <c r="AQQ1598" s="390"/>
      <c r="AQR1598" s="391"/>
      <c r="AQS1598" s="390"/>
      <c r="AQT1598" s="391"/>
      <c r="AQU1598" s="390"/>
      <c r="AQV1598" s="391"/>
      <c r="AQW1598" s="390"/>
      <c r="AQX1598" s="391"/>
      <c r="AQY1598" s="390"/>
      <c r="AQZ1598" s="391"/>
      <c r="ARA1598" s="390"/>
      <c r="ARB1598" s="391"/>
      <c r="ARC1598" s="390"/>
      <c r="ARD1598" s="391"/>
      <c r="ARE1598" s="390"/>
      <c r="ARF1598" s="391"/>
      <c r="ARG1598" s="390"/>
      <c r="ARH1598" s="391"/>
      <c r="ARI1598" s="390"/>
      <c r="ARJ1598" s="391"/>
      <c r="ARK1598" s="390"/>
      <c r="ARL1598" s="391"/>
      <c r="ARM1598" s="390"/>
      <c r="ARN1598" s="391"/>
      <c r="ARO1598" s="390"/>
      <c r="ARP1598" s="391"/>
      <c r="ARQ1598" s="390"/>
      <c r="ARR1598" s="391"/>
      <c r="ARS1598" s="390"/>
      <c r="ART1598" s="391"/>
      <c r="ARU1598" s="390"/>
      <c r="ARV1598" s="391"/>
      <c r="ARW1598" s="390"/>
      <c r="ARX1598" s="391"/>
      <c r="ARY1598" s="390"/>
      <c r="ARZ1598" s="391"/>
      <c r="ASA1598" s="390"/>
      <c r="ASB1598" s="391"/>
      <c r="ASC1598" s="390"/>
      <c r="ASD1598" s="391"/>
      <c r="ASE1598" s="390"/>
      <c r="ASF1598" s="391"/>
      <c r="ASG1598" s="390"/>
      <c r="ASH1598" s="391"/>
      <c r="ASI1598" s="390"/>
      <c r="ASJ1598" s="391"/>
      <c r="ASK1598" s="390"/>
      <c r="ASL1598" s="391"/>
      <c r="ASM1598" s="390"/>
      <c r="ASN1598" s="391"/>
      <c r="ASO1598" s="390"/>
      <c r="ASP1598" s="391"/>
      <c r="ASQ1598" s="390"/>
      <c r="ASR1598" s="391"/>
      <c r="ASS1598" s="390"/>
      <c r="AST1598" s="391"/>
      <c r="ASU1598" s="390"/>
      <c r="ASV1598" s="391"/>
      <c r="ASW1598" s="390"/>
      <c r="ASX1598" s="391"/>
      <c r="ASY1598" s="390"/>
      <c r="ASZ1598" s="391"/>
      <c r="ATA1598" s="390"/>
      <c r="ATB1598" s="391"/>
      <c r="ATC1598" s="390"/>
      <c r="ATD1598" s="391"/>
      <c r="ATE1598" s="390"/>
      <c r="ATF1598" s="391"/>
      <c r="ATG1598" s="390"/>
      <c r="ATH1598" s="391"/>
      <c r="ATI1598" s="390"/>
      <c r="ATJ1598" s="391"/>
      <c r="ATK1598" s="390"/>
      <c r="ATL1598" s="391"/>
      <c r="ATM1598" s="390"/>
      <c r="ATN1598" s="391"/>
      <c r="ATO1598" s="390"/>
      <c r="ATP1598" s="391"/>
      <c r="ATQ1598" s="390"/>
      <c r="ATR1598" s="391"/>
      <c r="ATS1598" s="390"/>
      <c r="ATT1598" s="391"/>
      <c r="ATU1598" s="390"/>
      <c r="ATV1598" s="391"/>
      <c r="ATW1598" s="390"/>
      <c r="ATX1598" s="391"/>
      <c r="ATY1598" s="390"/>
      <c r="ATZ1598" s="391"/>
      <c r="AUA1598" s="390"/>
      <c r="AUB1598" s="391"/>
      <c r="AUC1598" s="390"/>
      <c r="AUD1598" s="391"/>
      <c r="AUE1598" s="390"/>
      <c r="AUF1598" s="391"/>
      <c r="AUG1598" s="390"/>
      <c r="AUH1598" s="391"/>
      <c r="AUI1598" s="390"/>
      <c r="AUJ1598" s="391"/>
      <c r="AUK1598" s="390"/>
      <c r="AUL1598" s="391"/>
      <c r="AUM1598" s="390"/>
      <c r="AUN1598" s="391"/>
      <c r="AUO1598" s="390"/>
      <c r="AUP1598" s="391"/>
      <c r="AUQ1598" s="390"/>
      <c r="AUR1598" s="391"/>
      <c r="AUS1598" s="390"/>
      <c r="AUT1598" s="391"/>
      <c r="AUU1598" s="390"/>
      <c r="AUV1598" s="391"/>
      <c r="AUW1598" s="390"/>
      <c r="AUX1598" s="391"/>
      <c r="AUY1598" s="390"/>
      <c r="AUZ1598" s="391"/>
      <c r="AVA1598" s="390"/>
      <c r="AVB1598" s="391"/>
      <c r="AVC1598" s="390"/>
      <c r="AVD1598" s="391"/>
      <c r="AVE1598" s="390"/>
      <c r="AVF1598" s="391"/>
      <c r="AVG1598" s="390"/>
      <c r="AVH1598" s="391"/>
      <c r="AVI1598" s="390"/>
      <c r="AVJ1598" s="391"/>
      <c r="AVK1598" s="390"/>
      <c r="AVL1598" s="391"/>
      <c r="AVM1598" s="390"/>
      <c r="AVN1598" s="391"/>
      <c r="AVO1598" s="390"/>
      <c r="AVP1598" s="391"/>
      <c r="AVQ1598" s="390"/>
      <c r="AVR1598" s="391"/>
      <c r="AVS1598" s="390"/>
      <c r="AVT1598" s="391"/>
      <c r="AVU1598" s="390"/>
      <c r="AVV1598" s="391"/>
      <c r="AVW1598" s="390"/>
      <c r="AVX1598" s="391"/>
      <c r="AVY1598" s="390"/>
      <c r="AVZ1598" s="391"/>
      <c r="AWA1598" s="390"/>
      <c r="AWB1598" s="391"/>
      <c r="AWC1598" s="390"/>
      <c r="AWD1598" s="391"/>
      <c r="AWE1598" s="390"/>
      <c r="AWF1598" s="391"/>
      <c r="AWG1598" s="390"/>
      <c r="AWH1598" s="391"/>
      <c r="AWI1598" s="390"/>
      <c r="AWJ1598" s="391"/>
      <c r="AWK1598" s="390"/>
      <c r="AWL1598" s="391"/>
      <c r="AWM1598" s="390"/>
      <c r="AWN1598" s="391"/>
      <c r="AWO1598" s="390"/>
      <c r="AWP1598" s="391"/>
      <c r="AWQ1598" s="390"/>
      <c r="AWR1598" s="391"/>
      <c r="AWS1598" s="390"/>
      <c r="AWT1598" s="391"/>
      <c r="AWU1598" s="390"/>
      <c r="AWV1598" s="391"/>
      <c r="AWW1598" s="390"/>
      <c r="AWX1598" s="391"/>
      <c r="AWY1598" s="390"/>
      <c r="AWZ1598" s="391"/>
      <c r="AXA1598" s="390"/>
      <c r="AXB1598" s="391"/>
      <c r="AXC1598" s="390"/>
      <c r="AXD1598" s="391"/>
      <c r="AXE1598" s="390"/>
      <c r="AXF1598" s="391"/>
      <c r="AXG1598" s="390"/>
      <c r="AXH1598" s="391"/>
      <c r="AXI1598" s="390"/>
      <c r="AXJ1598" s="391"/>
      <c r="AXK1598" s="390"/>
      <c r="AXL1598" s="391"/>
      <c r="AXM1598" s="390"/>
      <c r="AXN1598" s="391"/>
      <c r="AXO1598" s="390"/>
      <c r="AXP1598" s="391"/>
      <c r="AXQ1598" s="390"/>
      <c r="AXR1598" s="391"/>
      <c r="AXS1598" s="390"/>
      <c r="AXT1598" s="391"/>
      <c r="AXU1598" s="390"/>
      <c r="AXV1598" s="391"/>
      <c r="AXW1598" s="390"/>
      <c r="AXX1598" s="391"/>
      <c r="AXY1598" s="390"/>
      <c r="AXZ1598" s="391"/>
      <c r="AYA1598" s="390"/>
      <c r="AYB1598" s="391"/>
      <c r="AYC1598" s="390"/>
      <c r="AYD1598" s="391"/>
      <c r="AYE1598" s="390"/>
      <c r="AYF1598" s="391"/>
      <c r="AYG1598" s="390"/>
      <c r="AYH1598" s="391"/>
      <c r="AYI1598" s="390"/>
      <c r="AYJ1598" s="391"/>
      <c r="AYK1598" s="390"/>
      <c r="AYL1598" s="391"/>
      <c r="AYM1598" s="390"/>
      <c r="AYN1598" s="391"/>
      <c r="AYO1598" s="390"/>
      <c r="AYP1598" s="391"/>
      <c r="AYQ1598" s="390"/>
      <c r="AYR1598" s="391"/>
      <c r="AYS1598" s="390"/>
      <c r="AYT1598" s="391"/>
      <c r="AYU1598" s="390"/>
      <c r="AYV1598" s="391"/>
      <c r="AYW1598" s="390"/>
      <c r="AYX1598" s="391"/>
      <c r="AYY1598" s="390"/>
      <c r="AYZ1598" s="391"/>
      <c r="AZA1598" s="390"/>
      <c r="AZB1598" s="391"/>
      <c r="AZC1598" s="390"/>
      <c r="AZD1598" s="391"/>
      <c r="AZE1598" s="390"/>
      <c r="AZF1598" s="391"/>
      <c r="AZG1598" s="390"/>
      <c r="AZH1598" s="391"/>
      <c r="AZI1598" s="390"/>
      <c r="AZJ1598" s="391"/>
      <c r="AZK1598" s="390"/>
      <c r="AZL1598" s="391"/>
      <c r="AZM1598" s="390"/>
      <c r="AZN1598" s="391"/>
      <c r="AZO1598" s="390"/>
      <c r="AZP1598" s="391"/>
      <c r="AZQ1598" s="390"/>
      <c r="AZR1598" s="391"/>
      <c r="AZS1598" s="390"/>
      <c r="AZT1598" s="391"/>
      <c r="AZU1598" s="390"/>
      <c r="AZV1598" s="391"/>
      <c r="AZW1598" s="390"/>
      <c r="AZX1598" s="391"/>
      <c r="AZY1598" s="390"/>
      <c r="AZZ1598" s="391"/>
      <c r="BAA1598" s="390"/>
      <c r="BAB1598" s="391"/>
      <c r="BAC1598" s="390"/>
      <c r="BAD1598" s="391"/>
      <c r="BAE1598" s="390"/>
      <c r="BAF1598" s="391"/>
      <c r="BAG1598" s="390"/>
      <c r="BAH1598" s="391"/>
      <c r="BAI1598" s="390"/>
      <c r="BAJ1598" s="391"/>
      <c r="BAK1598" s="390"/>
      <c r="BAL1598" s="391"/>
      <c r="BAM1598" s="390"/>
      <c r="BAN1598" s="391"/>
      <c r="BAO1598" s="390"/>
      <c r="BAP1598" s="391"/>
      <c r="BAQ1598" s="390"/>
      <c r="BAR1598" s="391"/>
      <c r="BAS1598" s="390"/>
      <c r="BAT1598" s="391"/>
      <c r="BAU1598" s="390"/>
      <c r="BAV1598" s="391"/>
      <c r="BAW1598" s="390"/>
      <c r="BAX1598" s="391"/>
      <c r="BAY1598" s="390"/>
      <c r="BAZ1598" s="391"/>
      <c r="BBA1598" s="390"/>
      <c r="BBB1598" s="391"/>
      <c r="BBC1598" s="390"/>
      <c r="BBD1598" s="391"/>
      <c r="BBE1598" s="390"/>
      <c r="BBF1598" s="391"/>
      <c r="BBG1598" s="390"/>
      <c r="BBH1598" s="391"/>
      <c r="BBI1598" s="390"/>
      <c r="BBJ1598" s="391"/>
      <c r="BBK1598" s="390"/>
      <c r="BBL1598" s="391"/>
      <c r="BBM1598" s="390"/>
      <c r="BBN1598" s="391"/>
      <c r="BBO1598" s="390"/>
      <c r="BBP1598" s="391"/>
      <c r="BBQ1598" s="390"/>
      <c r="BBR1598" s="391"/>
      <c r="BBS1598" s="390"/>
      <c r="BBT1598" s="391"/>
      <c r="BBU1598" s="390"/>
      <c r="BBV1598" s="391"/>
      <c r="BBW1598" s="390"/>
      <c r="BBX1598" s="391"/>
      <c r="BBY1598" s="390"/>
      <c r="BBZ1598" s="391"/>
      <c r="BCA1598" s="390"/>
      <c r="BCB1598" s="391"/>
      <c r="BCC1598" s="390"/>
      <c r="BCD1598" s="391"/>
      <c r="BCE1598" s="390"/>
      <c r="BCF1598" s="391"/>
      <c r="BCG1598" s="390"/>
      <c r="BCH1598" s="391"/>
      <c r="BCI1598" s="390"/>
      <c r="BCJ1598" s="391"/>
      <c r="BCK1598" s="390"/>
      <c r="BCL1598" s="391"/>
      <c r="BCM1598" s="390"/>
      <c r="BCN1598" s="391"/>
      <c r="BCO1598" s="390"/>
      <c r="BCP1598" s="391"/>
      <c r="BCQ1598" s="390"/>
      <c r="BCR1598" s="391"/>
      <c r="BCS1598" s="390"/>
      <c r="BCT1598" s="391"/>
      <c r="BCU1598" s="390"/>
      <c r="BCV1598" s="391"/>
      <c r="BCW1598" s="390"/>
      <c r="BCX1598" s="391"/>
      <c r="BCY1598" s="390"/>
      <c r="BCZ1598" s="391"/>
      <c r="BDA1598" s="390"/>
      <c r="BDB1598" s="391"/>
      <c r="BDC1598" s="390"/>
      <c r="BDD1598" s="391"/>
      <c r="BDE1598" s="390"/>
      <c r="BDF1598" s="391"/>
      <c r="BDG1598" s="390"/>
      <c r="BDH1598" s="391"/>
      <c r="BDI1598" s="390"/>
      <c r="BDJ1598" s="391"/>
      <c r="BDK1598" s="390"/>
      <c r="BDL1598" s="391"/>
      <c r="BDM1598" s="390"/>
      <c r="BDN1598" s="391"/>
      <c r="BDO1598" s="390"/>
      <c r="BDP1598" s="391"/>
      <c r="BDQ1598" s="390"/>
      <c r="BDR1598" s="391"/>
      <c r="BDS1598" s="390"/>
      <c r="BDT1598" s="391"/>
      <c r="BDU1598" s="390"/>
      <c r="BDV1598" s="391"/>
      <c r="BDW1598" s="390"/>
      <c r="BDX1598" s="391"/>
      <c r="BDY1598" s="390"/>
      <c r="BDZ1598" s="391"/>
      <c r="BEA1598" s="390"/>
      <c r="BEB1598" s="391"/>
      <c r="BEC1598" s="390"/>
      <c r="BED1598" s="391"/>
      <c r="BEE1598" s="390"/>
      <c r="BEF1598" s="391"/>
      <c r="BEG1598" s="390"/>
      <c r="BEH1598" s="391"/>
      <c r="BEI1598" s="390"/>
      <c r="BEJ1598" s="391"/>
      <c r="BEK1598" s="390"/>
      <c r="BEL1598" s="391"/>
      <c r="BEM1598" s="390"/>
      <c r="BEN1598" s="391"/>
      <c r="BEO1598" s="390"/>
      <c r="BEP1598" s="391"/>
      <c r="BEQ1598" s="390"/>
      <c r="BER1598" s="391"/>
      <c r="BES1598" s="390"/>
      <c r="BET1598" s="391"/>
      <c r="BEU1598" s="390"/>
      <c r="BEV1598" s="391"/>
      <c r="BEW1598" s="390"/>
      <c r="BEX1598" s="391"/>
      <c r="BEY1598" s="390"/>
      <c r="BEZ1598" s="391"/>
      <c r="BFA1598" s="390"/>
      <c r="BFB1598" s="391"/>
      <c r="BFC1598" s="390"/>
      <c r="BFD1598" s="391"/>
      <c r="BFE1598" s="390"/>
      <c r="BFF1598" s="391"/>
      <c r="BFG1598" s="390"/>
      <c r="BFH1598" s="391"/>
      <c r="BFI1598" s="390"/>
      <c r="BFJ1598" s="391"/>
      <c r="BFK1598" s="390"/>
      <c r="BFL1598" s="391"/>
      <c r="BFM1598" s="390"/>
      <c r="BFN1598" s="391"/>
      <c r="BFO1598" s="390"/>
      <c r="BFP1598" s="391"/>
      <c r="BFQ1598" s="390"/>
      <c r="BFR1598" s="391"/>
      <c r="BFS1598" s="390"/>
      <c r="BFT1598" s="391"/>
      <c r="BFU1598" s="390"/>
      <c r="BFV1598" s="391"/>
      <c r="BFW1598" s="390"/>
      <c r="BFX1598" s="391"/>
      <c r="BFY1598" s="390"/>
      <c r="BFZ1598" s="391"/>
      <c r="BGA1598" s="390"/>
      <c r="BGB1598" s="391"/>
      <c r="BGC1598" s="390"/>
      <c r="BGD1598" s="391"/>
      <c r="BGE1598" s="390"/>
      <c r="BGF1598" s="391"/>
      <c r="BGG1598" s="390"/>
      <c r="BGH1598" s="391"/>
      <c r="BGI1598" s="390"/>
      <c r="BGJ1598" s="391"/>
      <c r="BGK1598" s="390"/>
      <c r="BGL1598" s="391"/>
      <c r="BGM1598" s="390"/>
      <c r="BGN1598" s="391"/>
      <c r="BGO1598" s="390"/>
      <c r="BGP1598" s="391"/>
      <c r="BGQ1598" s="390"/>
      <c r="BGR1598" s="391"/>
      <c r="BGS1598" s="390"/>
      <c r="BGT1598" s="391"/>
      <c r="BGU1598" s="390"/>
      <c r="BGV1598" s="391"/>
      <c r="BGW1598" s="390"/>
      <c r="BGX1598" s="391"/>
      <c r="BGY1598" s="390"/>
      <c r="BGZ1598" s="391"/>
      <c r="BHA1598" s="390"/>
      <c r="BHB1598" s="391"/>
      <c r="BHC1598" s="390"/>
      <c r="BHD1598" s="391"/>
      <c r="BHE1598" s="390"/>
      <c r="BHF1598" s="391"/>
      <c r="BHG1598" s="390"/>
      <c r="BHH1598" s="391"/>
      <c r="BHI1598" s="390"/>
      <c r="BHJ1598" s="391"/>
      <c r="BHK1598" s="390"/>
      <c r="BHL1598" s="391"/>
      <c r="BHM1598" s="390"/>
      <c r="BHN1598" s="391"/>
      <c r="BHO1598" s="390"/>
      <c r="BHP1598" s="391"/>
      <c r="BHQ1598" s="390"/>
      <c r="BHR1598" s="391"/>
      <c r="BHS1598" s="390"/>
      <c r="BHT1598" s="391"/>
      <c r="BHU1598" s="390"/>
      <c r="BHV1598" s="391"/>
      <c r="BHW1598" s="390"/>
      <c r="BHX1598" s="391"/>
      <c r="BHY1598" s="390"/>
      <c r="BHZ1598" s="391"/>
      <c r="BIA1598" s="390"/>
      <c r="BIB1598" s="391"/>
      <c r="BIC1598" s="390"/>
      <c r="BID1598" s="391"/>
      <c r="BIE1598" s="390"/>
      <c r="BIF1598" s="391"/>
      <c r="BIG1598" s="390"/>
      <c r="BIH1598" s="391"/>
      <c r="BII1598" s="390"/>
      <c r="BIJ1598" s="391"/>
      <c r="BIK1598" s="390"/>
      <c r="BIL1598" s="391"/>
      <c r="BIM1598" s="390"/>
      <c r="BIN1598" s="391"/>
      <c r="BIO1598" s="390"/>
      <c r="BIP1598" s="391"/>
      <c r="BIQ1598" s="390"/>
      <c r="BIR1598" s="391"/>
      <c r="BIS1598" s="390"/>
      <c r="BIT1598" s="391"/>
      <c r="BIU1598" s="390"/>
      <c r="BIV1598" s="391"/>
      <c r="BIW1598" s="390"/>
      <c r="BIX1598" s="391"/>
      <c r="BIY1598" s="390"/>
      <c r="BIZ1598" s="391"/>
      <c r="BJA1598" s="390"/>
      <c r="BJB1598" s="391"/>
      <c r="BJC1598" s="390"/>
      <c r="BJD1598" s="391"/>
      <c r="BJE1598" s="390"/>
      <c r="BJF1598" s="391"/>
      <c r="BJG1598" s="390"/>
      <c r="BJH1598" s="391"/>
      <c r="BJI1598" s="390"/>
      <c r="BJJ1598" s="391"/>
      <c r="BJK1598" s="390"/>
      <c r="BJL1598" s="391"/>
      <c r="BJM1598" s="390"/>
      <c r="BJN1598" s="391"/>
      <c r="BJO1598" s="390"/>
      <c r="BJP1598" s="391"/>
      <c r="BJQ1598" s="390"/>
      <c r="BJR1598" s="391"/>
      <c r="BJS1598" s="390"/>
      <c r="BJT1598" s="391"/>
      <c r="BJU1598" s="390"/>
      <c r="BJV1598" s="391"/>
      <c r="BJW1598" s="390"/>
      <c r="BJX1598" s="391"/>
      <c r="BJY1598" s="390"/>
      <c r="BJZ1598" s="391"/>
      <c r="BKA1598" s="390"/>
      <c r="BKB1598" s="391"/>
      <c r="BKC1598" s="390"/>
      <c r="BKD1598" s="391"/>
      <c r="BKE1598" s="390"/>
      <c r="BKF1598" s="391"/>
      <c r="BKG1598" s="390"/>
      <c r="BKH1598" s="391"/>
      <c r="BKI1598" s="390"/>
      <c r="BKJ1598" s="391"/>
      <c r="BKK1598" s="390"/>
      <c r="BKL1598" s="391"/>
      <c r="BKM1598" s="390"/>
      <c r="BKN1598" s="391"/>
      <c r="BKO1598" s="390"/>
      <c r="BKP1598" s="391"/>
      <c r="BKQ1598" s="390"/>
      <c r="BKR1598" s="391"/>
      <c r="BKS1598" s="390"/>
      <c r="BKT1598" s="391"/>
      <c r="BKU1598" s="390"/>
      <c r="BKV1598" s="391"/>
      <c r="BKW1598" s="390"/>
      <c r="BKX1598" s="391"/>
      <c r="BKY1598" s="390"/>
      <c r="BKZ1598" s="391"/>
      <c r="BLA1598" s="390"/>
      <c r="BLB1598" s="391"/>
      <c r="BLC1598" s="390"/>
      <c r="BLD1598" s="391"/>
      <c r="BLE1598" s="390"/>
      <c r="BLF1598" s="391"/>
      <c r="BLG1598" s="390"/>
      <c r="BLH1598" s="391"/>
      <c r="BLI1598" s="390"/>
      <c r="BLJ1598" s="391"/>
      <c r="BLK1598" s="390"/>
      <c r="BLL1598" s="391"/>
      <c r="BLM1598" s="390"/>
      <c r="BLN1598" s="391"/>
      <c r="BLO1598" s="390"/>
      <c r="BLP1598" s="391"/>
      <c r="BLQ1598" s="390"/>
      <c r="BLR1598" s="391"/>
      <c r="BLS1598" s="390"/>
      <c r="BLT1598" s="391"/>
      <c r="BLU1598" s="390"/>
      <c r="BLV1598" s="391"/>
      <c r="BLW1598" s="390"/>
      <c r="BLX1598" s="391"/>
      <c r="BLY1598" s="390"/>
      <c r="BLZ1598" s="391"/>
      <c r="BMA1598" s="390"/>
      <c r="BMB1598" s="391"/>
      <c r="BMC1598" s="390"/>
      <c r="BMD1598" s="391"/>
      <c r="BME1598" s="390"/>
      <c r="BMF1598" s="391"/>
      <c r="BMG1598" s="390"/>
      <c r="BMH1598" s="391"/>
      <c r="BMI1598" s="390"/>
      <c r="BMJ1598" s="391"/>
      <c r="BMK1598" s="390"/>
      <c r="BML1598" s="391"/>
      <c r="BMM1598" s="390"/>
      <c r="BMN1598" s="391"/>
      <c r="BMO1598" s="390"/>
      <c r="BMP1598" s="391"/>
      <c r="BMQ1598" s="390"/>
      <c r="BMR1598" s="391"/>
      <c r="BMS1598" s="390"/>
      <c r="BMT1598" s="391"/>
      <c r="BMU1598" s="390"/>
      <c r="BMV1598" s="391"/>
      <c r="BMW1598" s="390"/>
      <c r="BMX1598" s="391"/>
      <c r="BMY1598" s="390"/>
      <c r="BMZ1598" s="391"/>
      <c r="BNA1598" s="390"/>
      <c r="BNB1598" s="391"/>
      <c r="BNC1598" s="390"/>
      <c r="BND1598" s="391"/>
      <c r="BNE1598" s="390"/>
      <c r="BNF1598" s="391"/>
      <c r="BNG1598" s="390"/>
      <c r="BNH1598" s="391"/>
      <c r="BNI1598" s="390"/>
      <c r="BNJ1598" s="391"/>
      <c r="BNK1598" s="390"/>
      <c r="BNL1598" s="391"/>
      <c r="BNM1598" s="390"/>
      <c r="BNN1598" s="391"/>
      <c r="BNO1598" s="390"/>
      <c r="BNP1598" s="391"/>
      <c r="BNQ1598" s="390"/>
      <c r="BNR1598" s="391"/>
      <c r="BNS1598" s="390"/>
      <c r="BNT1598" s="391"/>
      <c r="BNU1598" s="390"/>
      <c r="BNV1598" s="391"/>
      <c r="BNW1598" s="390"/>
      <c r="BNX1598" s="391"/>
      <c r="BNY1598" s="390"/>
      <c r="BNZ1598" s="391"/>
      <c r="BOA1598" s="390"/>
      <c r="BOB1598" s="391"/>
      <c r="BOC1598" s="390"/>
      <c r="BOD1598" s="391"/>
      <c r="BOE1598" s="390"/>
      <c r="BOF1598" s="391"/>
      <c r="BOG1598" s="390"/>
      <c r="BOH1598" s="391"/>
      <c r="BOI1598" s="390"/>
      <c r="BOJ1598" s="391"/>
      <c r="BOK1598" s="390"/>
      <c r="BOL1598" s="391"/>
      <c r="BOM1598" s="390"/>
      <c r="BON1598" s="391"/>
      <c r="BOO1598" s="390"/>
      <c r="BOP1598" s="391"/>
      <c r="BOQ1598" s="390"/>
      <c r="BOR1598" s="391"/>
      <c r="BOS1598" s="390"/>
      <c r="BOT1598" s="391"/>
      <c r="BOU1598" s="390"/>
      <c r="BOV1598" s="391"/>
      <c r="BOW1598" s="390"/>
      <c r="BOX1598" s="391"/>
      <c r="BOY1598" s="390"/>
      <c r="BOZ1598" s="391"/>
      <c r="BPA1598" s="390"/>
      <c r="BPB1598" s="391"/>
      <c r="BPC1598" s="390"/>
      <c r="BPD1598" s="391"/>
      <c r="BPE1598" s="390"/>
      <c r="BPF1598" s="391"/>
      <c r="BPG1598" s="390"/>
      <c r="BPH1598" s="391"/>
      <c r="BPI1598" s="390"/>
      <c r="BPJ1598" s="391"/>
      <c r="BPK1598" s="390"/>
      <c r="BPL1598" s="391"/>
      <c r="BPM1598" s="390"/>
      <c r="BPN1598" s="391"/>
      <c r="BPO1598" s="390"/>
      <c r="BPP1598" s="391"/>
      <c r="BPQ1598" s="390"/>
      <c r="BPR1598" s="391"/>
      <c r="BPS1598" s="390"/>
      <c r="BPT1598" s="391"/>
      <c r="BPU1598" s="390"/>
      <c r="BPV1598" s="391"/>
      <c r="BPW1598" s="390"/>
      <c r="BPX1598" s="391"/>
      <c r="BPY1598" s="390"/>
      <c r="BPZ1598" s="391"/>
      <c r="BQA1598" s="390"/>
      <c r="BQB1598" s="391"/>
      <c r="BQC1598" s="390"/>
      <c r="BQD1598" s="391"/>
      <c r="BQE1598" s="390"/>
      <c r="BQF1598" s="391"/>
      <c r="BQG1598" s="390"/>
      <c r="BQH1598" s="391"/>
      <c r="BQI1598" s="390"/>
      <c r="BQJ1598" s="391"/>
      <c r="BQK1598" s="390"/>
      <c r="BQL1598" s="391"/>
      <c r="BQM1598" s="390"/>
      <c r="BQN1598" s="391"/>
      <c r="BQO1598" s="390"/>
      <c r="BQP1598" s="391"/>
      <c r="BQQ1598" s="390"/>
      <c r="BQR1598" s="391"/>
      <c r="BQS1598" s="390"/>
      <c r="BQT1598" s="391"/>
      <c r="BQU1598" s="390"/>
      <c r="BQV1598" s="391"/>
      <c r="BQW1598" s="390"/>
      <c r="BQX1598" s="391"/>
      <c r="BQY1598" s="390"/>
      <c r="BQZ1598" s="391"/>
      <c r="BRA1598" s="390"/>
      <c r="BRB1598" s="391"/>
      <c r="BRC1598" s="390"/>
      <c r="BRD1598" s="391"/>
      <c r="BRE1598" s="390"/>
      <c r="BRF1598" s="391"/>
      <c r="BRG1598" s="390"/>
      <c r="BRH1598" s="391"/>
      <c r="BRI1598" s="390"/>
      <c r="BRJ1598" s="391"/>
      <c r="BRK1598" s="390"/>
      <c r="BRL1598" s="391"/>
      <c r="BRM1598" s="390"/>
      <c r="BRN1598" s="391"/>
      <c r="BRO1598" s="390"/>
      <c r="BRP1598" s="391"/>
      <c r="BRQ1598" s="390"/>
      <c r="BRR1598" s="391"/>
      <c r="BRS1598" s="390"/>
      <c r="BRT1598" s="391"/>
      <c r="BRU1598" s="390"/>
      <c r="BRV1598" s="391"/>
      <c r="BRW1598" s="390"/>
      <c r="BRX1598" s="391"/>
      <c r="BRY1598" s="390"/>
      <c r="BRZ1598" s="391"/>
      <c r="BSA1598" s="390"/>
      <c r="BSB1598" s="391"/>
      <c r="BSC1598" s="390"/>
      <c r="BSD1598" s="391"/>
      <c r="BSE1598" s="390"/>
      <c r="BSF1598" s="391"/>
      <c r="BSG1598" s="390"/>
      <c r="BSH1598" s="391"/>
      <c r="BSI1598" s="390"/>
      <c r="BSJ1598" s="391"/>
      <c r="BSK1598" s="390"/>
      <c r="BSL1598" s="391"/>
      <c r="BSM1598" s="390"/>
      <c r="BSN1598" s="391"/>
      <c r="BSO1598" s="390"/>
      <c r="BSP1598" s="391"/>
      <c r="BSQ1598" s="390"/>
      <c r="BSR1598" s="391"/>
      <c r="BSS1598" s="390"/>
      <c r="BST1598" s="391"/>
      <c r="BSU1598" s="390"/>
      <c r="BSV1598" s="391"/>
      <c r="BSW1598" s="390"/>
      <c r="BSX1598" s="391"/>
      <c r="BSY1598" s="390"/>
      <c r="BSZ1598" s="391"/>
      <c r="BTA1598" s="390"/>
      <c r="BTB1598" s="391"/>
      <c r="BTC1598" s="390"/>
      <c r="BTD1598" s="391"/>
      <c r="BTE1598" s="390"/>
      <c r="BTF1598" s="391"/>
      <c r="BTG1598" s="390"/>
      <c r="BTH1598" s="391"/>
      <c r="BTI1598" s="390"/>
      <c r="BTJ1598" s="391"/>
      <c r="BTK1598" s="390"/>
      <c r="BTL1598" s="391"/>
      <c r="BTM1598" s="390"/>
      <c r="BTN1598" s="391"/>
      <c r="BTO1598" s="390"/>
      <c r="BTP1598" s="391"/>
      <c r="BTQ1598" s="390"/>
      <c r="BTR1598" s="391"/>
      <c r="BTS1598" s="390"/>
      <c r="BTT1598" s="391"/>
      <c r="BTU1598" s="390"/>
      <c r="BTV1598" s="391"/>
      <c r="BTW1598" s="390"/>
      <c r="BTX1598" s="391"/>
      <c r="BTY1598" s="390"/>
      <c r="BTZ1598" s="391"/>
      <c r="BUA1598" s="390"/>
      <c r="BUB1598" s="391"/>
      <c r="BUC1598" s="390"/>
      <c r="BUD1598" s="391"/>
      <c r="BUE1598" s="390"/>
      <c r="BUF1598" s="391"/>
      <c r="BUG1598" s="390"/>
      <c r="BUH1598" s="391"/>
      <c r="BUI1598" s="390"/>
      <c r="BUJ1598" s="391"/>
      <c r="BUK1598" s="390"/>
      <c r="BUL1598" s="391"/>
      <c r="BUM1598" s="390"/>
      <c r="BUN1598" s="391"/>
      <c r="BUO1598" s="390"/>
      <c r="BUP1598" s="391"/>
      <c r="BUQ1598" s="390"/>
      <c r="BUR1598" s="391"/>
      <c r="BUS1598" s="390"/>
      <c r="BUT1598" s="391"/>
      <c r="BUU1598" s="390"/>
      <c r="BUV1598" s="391"/>
      <c r="BUW1598" s="390"/>
      <c r="BUX1598" s="391"/>
      <c r="BUY1598" s="390"/>
      <c r="BUZ1598" s="391"/>
      <c r="BVA1598" s="390"/>
      <c r="BVB1598" s="391"/>
      <c r="BVC1598" s="390"/>
      <c r="BVD1598" s="391"/>
      <c r="BVE1598" s="390"/>
      <c r="BVF1598" s="391"/>
      <c r="BVG1598" s="390"/>
      <c r="BVH1598" s="391"/>
      <c r="BVI1598" s="390"/>
      <c r="BVJ1598" s="391"/>
      <c r="BVK1598" s="390"/>
      <c r="BVL1598" s="391"/>
      <c r="BVM1598" s="390"/>
      <c r="BVN1598" s="391"/>
      <c r="BVO1598" s="390"/>
      <c r="BVP1598" s="391"/>
      <c r="BVQ1598" s="390"/>
      <c r="BVR1598" s="391"/>
      <c r="BVS1598" s="390"/>
      <c r="BVT1598" s="391"/>
      <c r="BVU1598" s="390"/>
      <c r="BVV1598" s="391"/>
      <c r="BVW1598" s="390"/>
      <c r="BVX1598" s="391"/>
      <c r="BVY1598" s="390"/>
      <c r="BVZ1598" s="391"/>
      <c r="BWA1598" s="390"/>
      <c r="BWB1598" s="391"/>
      <c r="BWC1598" s="390"/>
      <c r="BWD1598" s="391"/>
      <c r="BWE1598" s="390"/>
      <c r="BWF1598" s="391"/>
      <c r="BWG1598" s="390"/>
      <c r="BWH1598" s="391"/>
      <c r="BWI1598" s="390"/>
      <c r="BWJ1598" s="391"/>
      <c r="BWK1598" s="390"/>
      <c r="BWL1598" s="391"/>
      <c r="BWM1598" s="390"/>
      <c r="BWN1598" s="391"/>
      <c r="BWO1598" s="390"/>
      <c r="BWP1598" s="391"/>
      <c r="BWQ1598" s="390"/>
      <c r="BWR1598" s="391"/>
      <c r="BWS1598" s="390"/>
      <c r="BWT1598" s="391"/>
      <c r="BWU1598" s="390"/>
      <c r="BWV1598" s="391"/>
      <c r="BWW1598" s="390"/>
      <c r="BWX1598" s="391"/>
      <c r="BWY1598" s="390"/>
      <c r="BWZ1598" s="391"/>
      <c r="BXA1598" s="390"/>
      <c r="BXB1598" s="391"/>
      <c r="BXC1598" s="390"/>
      <c r="BXD1598" s="391"/>
      <c r="BXE1598" s="390"/>
      <c r="BXF1598" s="391"/>
      <c r="BXG1598" s="390"/>
      <c r="BXH1598" s="391"/>
      <c r="BXI1598" s="390"/>
      <c r="BXJ1598" s="391"/>
      <c r="BXK1598" s="390"/>
      <c r="BXL1598" s="391"/>
      <c r="BXM1598" s="390"/>
      <c r="BXN1598" s="391"/>
      <c r="BXO1598" s="390"/>
      <c r="BXP1598" s="391"/>
      <c r="BXQ1598" s="390"/>
      <c r="BXR1598" s="391"/>
      <c r="BXS1598" s="390"/>
      <c r="BXT1598" s="391"/>
      <c r="BXU1598" s="390"/>
      <c r="BXV1598" s="391"/>
      <c r="BXW1598" s="390"/>
      <c r="BXX1598" s="391"/>
      <c r="BXY1598" s="390"/>
      <c r="BXZ1598" s="391"/>
      <c r="BYA1598" s="390"/>
      <c r="BYB1598" s="391"/>
      <c r="BYC1598" s="390"/>
      <c r="BYD1598" s="391"/>
      <c r="BYE1598" s="390"/>
      <c r="BYF1598" s="391"/>
      <c r="BYG1598" s="390"/>
      <c r="BYH1598" s="391"/>
      <c r="BYI1598" s="390"/>
      <c r="BYJ1598" s="391"/>
      <c r="BYK1598" s="390"/>
      <c r="BYL1598" s="391"/>
      <c r="BYM1598" s="390"/>
      <c r="BYN1598" s="391"/>
      <c r="BYO1598" s="390"/>
      <c r="BYP1598" s="391"/>
      <c r="BYQ1598" s="390"/>
      <c r="BYR1598" s="391"/>
      <c r="BYS1598" s="390"/>
      <c r="BYT1598" s="391"/>
      <c r="BYU1598" s="390"/>
      <c r="BYV1598" s="391"/>
      <c r="BYW1598" s="390"/>
      <c r="BYX1598" s="391"/>
      <c r="BYY1598" s="390"/>
      <c r="BYZ1598" s="391"/>
      <c r="BZA1598" s="390"/>
      <c r="BZB1598" s="391"/>
      <c r="BZC1598" s="390"/>
      <c r="BZD1598" s="391"/>
      <c r="BZE1598" s="390"/>
      <c r="BZF1598" s="391"/>
      <c r="BZG1598" s="390"/>
      <c r="BZH1598" s="391"/>
      <c r="BZI1598" s="390"/>
      <c r="BZJ1598" s="391"/>
      <c r="BZK1598" s="390"/>
      <c r="BZL1598" s="391"/>
      <c r="BZM1598" s="390"/>
      <c r="BZN1598" s="391"/>
      <c r="BZO1598" s="390"/>
      <c r="BZP1598" s="391"/>
      <c r="BZQ1598" s="390"/>
      <c r="BZR1598" s="391"/>
      <c r="BZS1598" s="390"/>
      <c r="BZT1598" s="391"/>
      <c r="BZU1598" s="390"/>
      <c r="BZV1598" s="391"/>
      <c r="BZW1598" s="390"/>
      <c r="BZX1598" s="391"/>
      <c r="BZY1598" s="390"/>
      <c r="BZZ1598" s="391"/>
      <c r="CAA1598" s="390"/>
      <c r="CAB1598" s="391"/>
      <c r="CAC1598" s="390"/>
      <c r="CAD1598" s="391"/>
      <c r="CAE1598" s="390"/>
      <c r="CAF1598" s="391"/>
      <c r="CAG1598" s="390"/>
      <c r="CAH1598" s="391"/>
      <c r="CAI1598" s="390"/>
      <c r="CAJ1598" s="391"/>
      <c r="CAK1598" s="390"/>
      <c r="CAL1598" s="391"/>
      <c r="CAM1598" s="390"/>
      <c r="CAN1598" s="391"/>
      <c r="CAO1598" s="390"/>
      <c r="CAP1598" s="391"/>
      <c r="CAQ1598" s="390"/>
      <c r="CAR1598" s="391"/>
      <c r="CAS1598" s="390"/>
      <c r="CAT1598" s="391"/>
      <c r="CAU1598" s="390"/>
      <c r="CAV1598" s="391"/>
      <c r="CAW1598" s="390"/>
      <c r="CAX1598" s="391"/>
      <c r="CAY1598" s="390"/>
      <c r="CAZ1598" s="391"/>
      <c r="CBA1598" s="390"/>
      <c r="CBB1598" s="391"/>
      <c r="CBC1598" s="390"/>
      <c r="CBD1598" s="391"/>
      <c r="CBE1598" s="390"/>
      <c r="CBF1598" s="391"/>
      <c r="CBG1598" s="390"/>
      <c r="CBH1598" s="391"/>
      <c r="CBI1598" s="390"/>
      <c r="CBJ1598" s="391"/>
      <c r="CBK1598" s="390"/>
      <c r="CBL1598" s="391"/>
      <c r="CBM1598" s="390"/>
      <c r="CBN1598" s="391"/>
      <c r="CBO1598" s="390"/>
      <c r="CBP1598" s="391"/>
      <c r="CBQ1598" s="390"/>
      <c r="CBR1598" s="391"/>
      <c r="CBS1598" s="390"/>
      <c r="CBT1598" s="391"/>
      <c r="CBU1598" s="390"/>
      <c r="CBV1598" s="391"/>
      <c r="CBW1598" s="390"/>
      <c r="CBX1598" s="391"/>
      <c r="CBY1598" s="390"/>
      <c r="CBZ1598" s="391"/>
      <c r="CCA1598" s="390"/>
      <c r="CCB1598" s="391"/>
      <c r="CCC1598" s="390"/>
      <c r="CCD1598" s="391"/>
      <c r="CCE1598" s="390"/>
      <c r="CCF1598" s="391"/>
      <c r="CCG1598" s="390"/>
      <c r="CCH1598" s="391"/>
      <c r="CCI1598" s="390"/>
      <c r="CCJ1598" s="391"/>
      <c r="CCK1598" s="390"/>
      <c r="CCL1598" s="391"/>
      <c r="CCM1598" s="390"/>
      <c r="CCN1598" s="391"/>
      <c r="CCO1598" s="390"/>
      <c r="CCP1598" s="391"/>
      <c r="CCQ1598" s="390"/>
      <c r="CCR1598" s="391"/>
      <c r="CCS1598" s="390"/>
      <c r="CCT1598" s="391"/>
      <c r="CCU1598" s="390"/>
      <c r="CCV1598" s="391"/>
      <c r="CCW1598" s="390"/>
      <c r="CCX1598" s="391"/>
      <c r="CCY1598" s="390"/>
      <c r="CCZ1598" s="391"/>
      <c r="CDA1598" s="390"/>
      <c r="CDB1598" s="391"/>
      <c r="CDC1598" s="390"/>
      <c r="CDD1598" s="391"/>
      <c r="CDE1598" s="390"/>
      <c r="CDF1598" s="391"/>
      <c r="CDG1598" s="390"/>
      <c r="CDH1598" s="391"/>
      <c r="CDI1598" s="390"/>
      <c r="CDJ1598" s="391"/>
      <c r="CDK1598" s="390"/>
      <c r="CDL1598" s="391"/>
      <c r="CDM1598" s="390"/>
      <c r="CDN1598" s="391"/>
      <c r="CDO1598" s="390"/>
      <c r="CDP1598" s="391"/>
      <c r="CDQ1598" s="390"/>
      <c r="CDR1598" s="391"/>
      <c r="CDS1598" s="390"/>
      <c r="CDT1598" s="391"/>
      <c r="CDU1598" s="390"/>
      <c r="CDV1598" s="391"/>
      <c r="CDW1598" s="390"/>
      <c r="CDX1598" s="391"/>
      <c r="CDY1598" s="390"/>
      <c r="CDZ1598" s="391"/>
      <c r="CEA1598" s="390"/>
      <c r="CEB1598" s="391"/>
      <c r="CEC1598" s="390"/>
      <c r="CED1598" s="391"/>
      <c r="CEE1598" s="390"/>
      <c r="CEF1598" s="391"/>
      <c r="CEG1598" s="390"/>
      <c r="CEH1598" s="391"/>
      <c r="CEI1598" s="390"/>
      <c r="CEJ1598" s="391"/>
      <c r="CEK1598" s="390"/>
      <c r="CEL1598" s="391"/>
      <c r="CEM1598" s="390"/>
      <c r="CEN1598" s="391"/>
      <c r="CEO1598" s="390"/>
      <c r="CEP1598" s="391"/>
      <c r="CEQ1598" s="390"/>
      <c r="CER1598" s="391"/>
      <c r="CES1598" s="390"/>
      <c r="CET1598" s="391"/>
      <c r="CEU1598" s="390"/>
      <c r="CEV1598" s="391"/>
      <c r="CEW1598" s="390"/>
      <c r="CEX1598" s="391"/>
      <c r="CEY1598" s="390"/>
      <c r="CEZ1598" s="391"/>
      <c r="CFA1598" s="390"/>
      <c r="CFB1598" s="391"/>
      <c r="CFC1598" s="390"/>
      <c r="CFD1598" s="391"/>
      <c r="CFE1598" s="390"/>
      <c r="CFF1598" s="391"/>
      <c r="CFG1598" s="390"/>
      <c r="CFH1598" s="391"/>
      <c r="CFI1598" s="390"/>
      <c r="CFJ1598" s="391"/>
      <c r="CFK1598" s="390"/>
      <c r="CFL1598" s="391"/>
      <c r="CFM1598" s="390"/>
      <c r="CFN1598" s="391"/>
      <c r="CFO1598" s="390"/>
      <c r="CFP1598" s="391"/>
      <c r="CFQ1598" s="390"/>
      <c r="CFR1598" s="391"/>
      <c r="CFS1598" s="390"/>
      <c r="CFT1598" s="391"/>
      <c r="CFU1598" s="390"/>
      <c r="CFV1598" s="391"/>
      <c r="CFW1598" s="390"/>
      <c r="CFX1598" s="391"/>
      <c r="CFY1598" s="390"/>
      <c r="CFZ1598" s="391"/>
      <c r="CGA1598" s="390"/>
      <c r="CGB1598" s="391"/>
      <c r="CGC1598" s="390"/>
      <c r="CGD1598" s="391"/>
      <c r="CGE1598" s="390"/>
      <c r="CGF1598" s="391"/>
      <c r="CGG1598" s="390"/>
      <c r="CGH1598" s="391"/>
      <c r="CGI1598" s="390"/>
      <c r="CGJ1598" s="391"/>
      <c r="CGK1598" s="390"/>
      <c r="CGL1598" s="391"/>
      <c r="CGM1598" s="390"/>
      <c r="CGN1598" s="391"/>
      <c r="CGO1598" s="390"/>
      <c r="CGP1598" s="391"/>
      <c r="CGQ1598" s="390"/>
      <c r="CGR1598" s="391"/>
      <c r="CGS1598" s="390"/>
      <c r="CGT1598" s="391"/>
      <c r="CGU1598" s="390"/>
      <c r="CGV1598" s="391"/>
      <c r="CGW1598" s="390"/>
      <c r="CGX1598" s="391"/>
      <c r="CGY1598" s="390"/>
      <c r="CGZ1598" s="391"/>
      <c r="CHA1598" s="390"/>
      <c r="CHB1598" s="391"/>
      <c r="CHC1598" s="390"/>
      <c r="CHD1598" s="391"/>
      <c r="CHE1598" s="390"/>
      <c r="CHF1598" s="391"/>
      <c r="CHG1598" s="390"/>
      <c r="CHH1598" s="391"/>
      <c r="CHI1598" s="390"/>
      <c r="CHJ1598" s="391"/>
      <c r="CHK1598" s="390"/>
      <c r="CHL1598" s="391"/>
      <c r="CHM1598" s="390"/>
      <c r="CHN1598" s="391"/>
      <c r="CHO1598" s="390"/>
      <c r="CHP1598" s="391"/>
      <c r="CHQ1598" s="390"/>
      <c r="CHR1598" s="391"/>
      <c r="CHS1598" s="390"/>
      <c r="CHT1598" s="391"/>
      <c r="CHU1598" s="390"/>
      <c r="CHV1598" s="391"/>
      <c r="CHW1598" s="390"/>
      <c r="CHX1598" s="391"/>
      <c r="CHY1598" s="390"/>
      <c r="CHZ1598" s="391"/>
      <c r="CIA1598" s="390"/>
      <c r="CIB1598" s="391"/>
      <c r="CIC1598" s="390"/>
      <c r="CID1598" s="391"/>
      <c r="CIE1598" s="390"/>
      <c r="CIF1598" s="391"/>
      <c r="CIG1598" s="390"/>
      <c r="CIH1598" s="391"/>
      <c r="CII1598" s="390"/>
      <c r="CIJ1598" s="391"/>
      <c r="CIK1598" s="390"/>
      <c r="CIL1598" s="391"/>
      <c r="CIM1598" s="390"/>
      <c r="CIN1598" s="391"/>
      <c r="CIO1598" s="390"/>
      <c r="CIP1598" s="391"/>
      <c r="CIQ1598" s="390"/>
      <c r="CIR1598" s="391"/>
      <c r="CIS1598" s="390"/>
      <c r="CIT1598" s="391"/>
      <c r="CIU1598" s="390"/>
      <c r="CIV1598" s="391"/>
      <c r="CIW1598" s="390"/>
      <c r="CIX1598" s="391"/>
      <c r="CIY1598" s="390"/>
      <c r="CIZ1598" s="391"/>
      <c r="CJA1598" s="390"/>
      <c r="CJB1598" s="391"/>
      <c r="CJC1598" s="390"/>
      <c r="CJD1598" s="391"/>
      <c r="CJE1598" s="390"/>
      <c r="CJF1598" s="391"/>
      <c r="CJG1598" s="390"/>
      <c r="CJH1598" s="391"/>
      <c r="CJI1598" s="390"/>
      <c r="CJJ1598" s="391"/>
      <c r="CJK1598" s="390"/>
      <c r="CJL1598" s="391"/>
      <c r="CJM1598" s="390"/>
      <c r="CJN1598" s="391"/>
      <c r="CJO1598" s="390"/>
      <c r="CJP1598" s="391"/>
      <c r="CJQ1598" s="390"/>
      <c r="CJR1598" s="391"/>
      <c r="CJS1598" s="390"/>
      <c r="CJT1598" s="391"/>
      <c r="CJU1598" s="390"/>
      <c r="CJV1598" s="391"/>
      <c r="CJW1598" s="390"/>
      <c r="CJX1598" s="391"/>
      <c r="CJY1598" s="390"/>
      <c r="CJZ1598" s="391"/>
      <c r="CKA1598" s="390"/>
      <c r="CKB1598" s="391"/>
      <c r="CKC1598" s="390"/>
      <c r="CKD1598" s="391"/>
      <c r="CKE1598" s="390"/>
      <c r="CKF1598" s="391"/>
      <c r="CKG1598" s="390"/>
      <c r="CKH1598" s="391"/>
      <c r="CKI1598" s="390"/>
      <c r="CKJ1598" s="391"/>
      <c r="CKK1598" s="390"/>
      <c r="CKL1598" s="391"/>
      <c r="CKM1598" s="390"/>
      <c r="CKN1598" s="391"/>
      <c r="CKO1598" s="390"/>
      <c r="CKP1598" s="391"/>
      <c r="CKQ1598" s="390"/>
      <c r="CKR1598" s="391"/>
      <c r="CKS1598" s="390"/>
      <c r="CKT1598" s="391"/>
      <c r="CKU1598" s="390"/>
      <c r="CKV1598" s="391"/>
      <c r="CKW1598" s="390"/>
      <c r="CKX1598" s="391"/>
      <c r="CKY1598" s="390"/>
      <c r="CKZ1598" s="391"/>
      <c r="CLA1598" s="390"/>
      <c r="CLB1598" s="391"/>
      <c r="CLC1598" s="390"/>
      <c r="CLD1598" s="391"/>
      <c r="CLE1598" s="390"/>
      <c r="CLF1598" s="391"/>
      <c r="CLG1598" s="390"/>
      <c r="CLH1598" s="391"/>
      <c r="CLI1598" s="390"/>
      <c r="CLJ1598" s="391"/>
      <c r="CLK1598" s="390"/>
      <c r="CLL1598" s="391"/>
      <c r="CLM1598" s="390"/>
      <c r="CLN1598" s="391"/>
      <c r="CLO1598" s="390"/>
      <c r="CLP1598" s="391"/>
      <c r="CLQ1598" s="390"/>
      <c r="CLR1598" s="391"/>
      <c r="CLS1598" s="390"/>
      <c r="CLT1598" s="391"/>
      <c r="CLU1598" s="390"/>
      <c r="CLV1598" s="391"/>
      <c r="CLW1598" s="390"/>
      <c r="CLX1598" s="391"/>
      <c r="CLY1598" s="390"/>
      <c r="CLZ1598" s="391"/>
      <c r="CMA1598" s="390"/>
      <c r="CMB1598" s="391"/>
      <c r="CMC1598" s="390"/>
      <c r="CMD1598" s="391"/>
      <c r="CME1598" s="390"/>
      <c r="CMF1598" s="391"/>
      <c r="CMG1598" s="390"/>
      <c r="CMH1598" s="391"/>
      <c r="CMI1598" s="390"/>
      <c r="CMJ1598" s="391"/>
      <c r="CMK1598" s="390"/>
      <c r="CML1598" s="391"/>
      <c r="CMM1598" s="390"/>
      <c r="CMN1598" s="391"/>
      <c r="CMO1598" s="390"/>
      <c r="CMP1598" s="391"/>
      <c r="CMQ1598" s="390"/>
      <c r="CMR1598" s="391"/>
      <c r="CMS1598" s="390"/>
      <c r="CMT1598" s="391"/>
      <c r="CMU1598" s="390"/>
      <c r="CMV1598" s="391"/>
      <c r="CMW1598" s="390"/>
      <c r="CMX1598" s="391"/>
      <c r="CMY1598" s="390"/>
      <c r="CMZ1598" s="391"/>
      <c r="CNA1598" s="390"/>
      <c r="CNB1598" s="391"/>
      <c r="CNC1598" s="390"/>
      <c r="CND1598" s="391"/>
      <c r="CNE1598" s="390"/>
      <c r="CNF1598" s="391"/>
      <c r="CNG1598" s="390"/>
      <c r="CNH1598" s="391"/>
      <c r="CNI1598" s="390"/>
      <c r="CNJ1598" s="391"/>
      <c r="CNK1598" s="390"/>
      <c r="CNL1598" s="391"/>
      <c r="CNM1598" s="390"/>
      <c r="CNN1598" s="391"/>
      <c r="CNO1598" s="390"/>
      <c r="CNP1598" s="391"/>
      <c r="CNQ1598" s="390"/>
      <c r="CNR1598" s="391"/>
      <c r="CNS1598" s="390"/>
      <c r="CNT1598" s="391"/>
      <c r="CNU1598" s="390"/>
      <c r="CNV1598" s="391"/>
      <c r="CNW1598" s="390"/>
      <c r="CNX1598" s="391"/>
      <c r="CNY1598" s="390"/>
      <c r="CNZ1598" s="391"/>
      <c r="COA1598" s="390"/>
      <c r="COB1598" s="391"/>
      <c r="COC1598" s="390"/>
      <c r="COD1598" s="391"/>
      <c r="COE1598" s="390"/>
      <c r="COF1598" s="391"/>
      <c r="COG1598" s="390"/>
      <c r="COH1598" s="391"/>
      <c r="COI1598" s="390"/>
      <c r="COJ1598" s="391"/>
      <c r="COK1598" s="390"/>
      <c r="COL1598" s="391"/>
      <c r="COM1598" s="390"/>
      <c r="CON1598" s="391"/>
      <c r="COO1598" s="390"/>
      <c r="COP1598" s="391"/>
      <c r="COQ1598" s="390"/>
      <c r="COR1598" s="391"/>
      <c r="COS1598" s="390"/>
      <c r="COT1598" s="391"/>
      <c r="COU1598" s="390"/>
      <c r="COV1598" s="391"/>
      <c r="COW1598" s="390"/>
      <c r="COX1598" s="391"/>
      <c r="COY1598" s="390"/>
      <c r="COZ1598" s="391"/>
      <c r="CPA1598" s="390"/>
      <c r="CPB1598" s="391"/>
      <c r="CPC1598" s="390"/>
      <c r="CPD1598" s="391"/>
      <c r="CPE1598" s="390"/>
      <c r="CPF1598" s="391"/>
      <c r="CPG1598" s="390"/>
      <c r="CPH1598" s="391"/>
      <c r="CPI1598" s="390"/>
      <c r="CPJ1598" s="391"/>
      <c r="CPK1598" s="390"/>
      <c r="CPL1598" s="391"/>
      <c r="CPM1598" s="390"/>
      <c r="CPN1598" s="391"/>
      <c r="CPO1598" s="390"/>
      <c r="CPP1598" s="391"/>
      <c r="CPQ1598" s="390"/>
      <c r="CPR1598" s="391"/>
      <c r="CPS1598" s="390"/>
      <c r="CPT1598" s="391"/>
      <c r="CPU1598" s="390"/>
      <c r="CPV1598" s="391"/>
      <c r="CPW1598" s="390"/>
      <c r="CPX1598" s="391"/>
      <c r="CPY1598" s="390"/>
      <c r="CPZ1598" s="391"/>
      <c r="CQA1598" s="390"/>
      <c r="CQB1598" s="391"/>
      <c r="CQC1598" s="390"/>
      <c r="CQD1598" s="391"/>
      <c r="CQE1598" s="390"/>
      <c r="CQF1598" s="391"/>
      <c r="CQG1598" s="390"/>
      <c r="CQH1598" s="391"/>
      <c r="CQI1598" s="390"/>
      <c r="CQJ1598" s="391"/>
      <c r="CQK1598" s="390"/>
      <c r="CQL1598" s="391"/>
      <c r="CQM1598" s="390"/>
      <c r="CQN1598" s="391"/>
      <c r="CQO1598" s="390"/>
      <c r="CQP1598" s="391"/>
      <c r="CQQ1598" s="390"/>
      <c r="CQR1598" s="391"/>
      <c r="CQS1598" s="390"/>
      <c r="CQT1598" s="391"/>
      <c r="CQU1598" s="390"/>
      <c r="CQV1598" s="391"/>
      <c r="CQW1598" s="390"/>
      <c r="CQX1598" s="391"/>
      <c r="CQY1598" s="390"/>
      <c r="CQZ1598" s="391"/>
      <c r="CRA1598" s="390"/>
      <c r="CRB1598" s="391"/>
      <c r="CRC1598" s="390"/>
      <c r="CRD1598" s="391"/>
      <c r="CRE1598" s="390"/>
      <c r="CRF1598" s="391"/>
      <c r="CRG1598" s="390"/>
      <c r="CRH1598" s="391"/>
      <c r="CRI1598" s="390"/>
      <c r="CRJ1598" s="391"/>
      <c r="CRK1598" s="390"/>
      <c r="CRL1598" s="391"/>
      <c r="CRM1598" s="390"/>
      <c r="CRN1598" s="391"/>
      <c r="CRO1598" s="390"/>
      <c r="CRP1598" s="391"/>
      <c r="CRQ1598" s="390"/>
      <c r="CRR1598" s="391"/>
      <c r="CRS1598" s="390"/>
      <c r="CRT1598" s="391"/>
      <c r="CRU1598" s="390"/>
      <c r="CRV1598" s="391"/>
      <c r="CRW1598" s="390"/>
      <c r="CRX1598" s="391"/>
      <c r="CRY1598" s="390"/>
      <c r="CRZ1598" s="391"/>
      <c r="CSA1598" s="390"/>
      <c r="CSB1598" s="391"/>
      <c r="CSC1598" s="390"/>
      <c r="CSD1598" s="391"/>
      <c r="CSE1598" s="390"/>
      <c r="CSF1598" s="391"/>
      <c r="CSG1598" s="390"/>
      <c r="CSH1598" s="391"/>
      <c r="CSI1598" s="390"/>
      <c r="CSJ1598" s="391"/>
      <c r="CSK1598" s="390"/>
      <c r="CSL1598" s="391"/>
      <c r="CSM1598" s="390"/>
      <c r="CSN1598" s="391"/>
      <c r="CSO1598" s="390"/>
      <c r="CSP1598" s="391"/>
      <c r="CSQ1598" s="390"/>
      <c r="CSR1598" s="391"/>
      <c r="CSS1598" s="390"/>
      <c r="CST1598" s="391"/>
      <c r="CSU1598" s="390"/>
      <c r="CSV1598" s="391"/>
      <c r="CSW1598" s="390"/>
      <c r="CSX1598" s="391"/>
      <c r="CSY1598" s="390"/>
      <c r="CSZ1598" s="391"/>
      <c r="CTA1598" s="390"/>
      <c r="CTB1598" s="391"/>
      <c r="CTC1598" s="390"/>
      <c r="CTD1598" s="391"/>
      <c r="CTE1598" s="390"/>
      <c r="CTF1598" s="391"/>
      <c r="CTG1598" s="390"/>
      <c r="CTH1598" s="391"/>
      <c r="CTI1598" s="390"/>
      <c r="CTJ1598" s="391"/>
      <c r="CTK1598" s="390"/>
      <c r="CTL1598" s="391"/>
      <c r="CTM1598" s="390"/>
      <c r="CTN1598" s="391"/>
      <c r="CTO1598" s="390"/>
      <c r="CTP1598" s="391"/>
      <c r="CTQ1598" s="390"/>
      <c r="CTR1598" s="391"/>
      <c r="CTS1598" s="390"/>
      <c r="CTT1598" s="391"/>
      <c r="CTU1598" s="390"/>
      <c r="CTV1598" s="391"/>
      <c r="CTW1598" s="390"/>
      <c r="CTX1598" s="391"/>
      <c r="CTY1598" s="390"/>
      <c r="CTZ1598" s="391"/>
      <c r="CUA1598" s="390"/>
      <c r="CUB1598" s="391"/>
      <c r="CUC1598" s="390"/>
      <c r="CUD1598" s="391"/>
      <c r="CUE1598" s="390"/>
      <c r="CUF1598" s="391"/>
      <c r="CUG1598" s="390"/>
      <c r="CUH1598" s="391"/>
      <c r="CUI1598" s="390"/>
      <c r="CUJ1598" s="391"/>
      <c r="CUK1598" s="390"/>
      <c r="CUL1598" s="391"/>
      <c r="CUM1598" s="390"/>
      <c r="CUN1598" s="391"/>
      <c r="CUO1598" s="390"/>
      <c r="CUP1598" s="391"/>
      <c r="CUQ1598" s="390"/>
      <c r="CUR1598" s="391"/>
      <c r="CUS1598" s="390"/>
      <c r="CUT1598" s="391"/>
      <c r="CUU1598" s="390"/>
      <c r="CUV1598" s="391"/>
      <c r="CUW1598" s="390"/>
      <c r="CUX1598" s="391"/>
      <c r="CUY1598" s="390"/>
      <c r="CUZ1598" s="391"/>
      <c r="CVA1598" s="390"/>
      <c r="CVB1598" s="391"/>
      <c r="CVC1598" s="390"/>
      <c r="CVD1598" s="391"/>
      <c r="CVE1598" s="390"/>
      <c r="CVF1598" s="391"/>
      <c r="CVG1598" s="390"/>
      <c r="CVH1598" s="391"/>
      <c r="CVI1598" s="390"/>
      <c r="CVJ1598" s="391"/>
      <c r="CVK1598" s="390"/>
      <c r="CVL1598" s="391"/>
      <c r="CVM1598" s="390"/>
      <c r="CVN1598" s="391"/>
      <c r="CVO1598" s="390"/>
      <c r="CVP1598" s="391"/>
      <c r="CVQ1598" s="390"/>
      <c r="CVR1598" s="391"/>
      <c r="CVS1598" s="390"/>
      <c r="CVT1598" s="391"/>
      <c r="CVU1598" s="390"/>
      <c r="CVV1598" s="391"/>
      <c r="CVW1598" s="390"/>
      <c r="CVX1598" s="391"/>
      <c r="CVY1598" s="390"/>
      <c r="CVZ1598" s="391"/>
      <c r="CWA1598" s="390"/>
      <c r="CWB1598" s="391"/>
      <c r="CWC1598" s="390"/>
      <c r="CWD1598" s="391"/>
      <c r="CWE1598" s="390"/>
      <c r="CWF1598" s="391"/>
      <c r="CWG1598" s="390"/>
      <c r="CWH1598" s="391"/>
      <c r="CWI1598" s="390"/>
      <c r="CWJ1598" s="391"/>
      <c r="CWK1598" s="390"/>
      <c r="CWL1598" s="391"/>
      <c r="CWM1598" s="390"/>
      <c r="CWN1598" s="391"/>
      <c r="CWO1598" s="390"/>
      <c r="CWP1598" s="391"/>
      <c r="CWQ1598" s="390"/>
      <c r="CWR1598" s="391"/>
      <c r="CWS1598" s="390"/>
      <c r="CWT1598" s="391"/>
      <c r="CWU1598" s="390"/>
      <c r="CWV1598" s="391"/>
      <c r="CWW1598" s="390"/>
      <c r="CWX1598" s="391"/>
      <c r="CWY1598" s="390"/>
      <c r="CWZ1598" s="391"/>
      <c r="CXA1598" s="390"/>
      <c r="CXB1598" s="391"/>
      <c r="CXC1598" s="390"/>
      <c r="CXD1598" s="391"/>
      <c r="CXE1598" s="390"/>
      <c r="CXF1598" s="391"/>
      <c r="CXG1598" s="390"/>
      <c r="CXH1598" s="391"/>
      <c r="CXI1598" s="390"/>
      <c r="CXJ1598" s="391"/>
      <c r="CXK1598" s="390"/>
      <c r="CXL1598" s="391"/>
      <c r="CXM1598" s="390"/>
      <c r="CXN1598" s="391"/>
      <c r="CXO1598" s="390"/>
      <c r="CXP1598" s="391"/>
      <c r="CXQ1598" s="390"/>
      <c r="CXR1598" s="391"/>
      <c r="CXS1598" s="390"/>
      <c r="CXT1598" s="391"/>
      <c r="CXU1598" s="390"/>
      <c r="CXV1598" s="391"/>
      <c r="CXW1598" s="390"/>
      <c r="CXX1598" s="391"/>
      <c r="CXY1598" s="390"/>
      <c r="CXZ1598" s="391"/>
      <c r="CYA1598" s="390"/>
      <c r="CYB1598" s="391"/>
      <c r="CYC1598" s="390"/>
      <c r="CYD1598" s="391"/>
      <c r="CYE1598" s="390"/>
      <c r="CYF1598" s="391"/>
      <c r="CYG1598" s="390"/>
      <c r="CYH1598" s="391"/>
      <c r="CYI1598" s="390"/>
      <c r="CYJ1598" s="391"/>
      <c r="CYK1598" s="390"/>
      <c r="CYL1598" s="391"/>
      <c r="CYM1598" s="390"/>
      <c r="CYN1598" s="391"/>
      <c r="CYO1598" s="390"/>
      <c r="CYP1598" s="391"/>
      <c r="CYQ1598" s="390"/>
      <c r="CYR1598" s="391"/>
      <c r="CYS1598" s="390"/>
      <c r="CYT1598" s="391"/>
      <c r="CYU1598" s="390"/>
      <c r="CYV1598" s="391"/>
      <c r="CYW1598" s="390"/>
      <c r="CYX1598" s="391"/>
      <c r="CYY1598" s="390"/>
      <c r="CYZ1598" s="391"/>
      <c r="CZA1598" s="390"/>
      <c r="CZB1598" s="391"/>
      <c r="CZC1598" s="390"/>
      <c r="CZD1598" s="391"/>
      <c r="CZE1598" s="390"/>
      <c r="CZF1598" s="391"/>
      <c r="CZG1598" s="390"/>
      <c r="CZH1598" s="391"/>
      <c r="CZI1598" s="390"/>
      <c r="CZJ1598" s="391"/>
      <c r="CZK1598" s="390"/>
      <c r="CZL1598" s="391"/>
      <c r="CZM1598" s="390"/>
      <c r="CZN1598" s="391"/>
      <c r="CZO1598" s="390"/>
      <c r="CZP1598" s="391"/>
      <c r="CZQ1598" s="390"/>
      <c r="CZR1598" s="391"/>
      <c r="CZS1598" s="390"/>
      <c r="CZT1598" s="391"/>
      <c r="CZU1598" s="390"/>
      <c r="CZV1598" s="391"/>
      <c r="CZW1598" s="390"/>
      <c r="CZX1598" s="391"/>
      <c r="CZY1598" s="390"/>
      <c r="CZZ1598" s="391"/>
      <c r="DAA1598" s="390"/>
      <c r="DAB1598" s="391"/>
      <c r="DAC1598" s="390"/>
      <c r="DAD1598" s="391"/>
      <c r="DAE1598" s="390"/>
      <c r="DAF1598" s="391"/>
      <c r="DAG1598" s="390"/>
      <c r="DAH1598" s="391"/>
      <c r="DAI1598" s="390"/>
      <c r="DAJ1598" s="391"/>
      <c r="DAK1598" s="390"/>
      <c r="DAL1598" s="391"/>
      <c r="DAM1598" s="390"/>
      <c r="DAN1598" s="391"/>
      <c r="DAO1598" s="390"/>
      <c r="DAP1598" s="391"/>
      <c r="DAQ1598" s="390"/>
      <c r="DAR1598" s="391"/>
      <c r="DAS1598" s="390"/>
      <c r="DAT1598" s="391"/>
      <c r="DAU1598" s="390"/>
      <c r="DAV1598" s="391"/>
      <c r="DAW1598" s="390"/>
      <c r="DAX1598" s="391"/>
      <c r="DAY1598" s="390"/>
      <c r="DAZ1598" s="391"/>
      <c r="DBA1598" s="390"/>
      <c r="DBB1598" s="391"/>
      <c r="DBC1598" s="390"/>
      <c r="DBD1598" s="391"/>
      <c r="DBE1598" s="390"/>
      <c r="DBF1598" s="391"/>
      <c r="DBG1598" s="390"/>
      <c r="DBH1598" s="391"/>
      <c r="DBI1598" s="390"/>
      <c r="DBJ1598" s="391"/>
      <c r="DBK1598" s="390"/>
      <c r="DBL1598" s="391"/>
      <c r="DBM1598" s="390"/>
      <c r="DBN1598" s="391"/>
      <c r="DBO1598" s="390"/>
      <c r="DBP1598" s="391"/>
      <c r="DBQ1598" s="390"/>
      <c r="DBR1598" s="391"/>
      <c r="DBS1598" s="390"/>
      <c r="DBT1598" s="391"/>
      <c r="DBU1598" s="390"/>
      <c r="DBV1598" s="391"/>
      <c r="DBW1598" s="390"/>
      <c r="DBX1598" s="391"/>
      <c r="DBY1598" s="390"/>
      <c r="DBZ1598" s="391"/>
      <c r="DCA1598" s="390"/>
      <c r="DCB1598" s="391"/>
      <c r="DCC1598" s="390"/>
      <c r="DCD1598" s="391"/>
      <c r="DCE1598" s="390"/>
      <c r="DCF1598" s="391"/>
      <c r="DCG1598" s="390"/>
      <c r="DCH1598" s="391"/>
      <c r="DCI1598" s="390"/>
      <c r="DCJ1598" s="391"/>
      <c r="DCK1598" s="390"/>
      <c r="DCL1598" s="391"/>
      <c r="DCM1598" s="390"/>
      <c r="DCN1598" s="391"/>
      <c r="DCO1598" s="390"/>
      <c r="DCP1598" s="391"/>
      <c r="DCQ1598" s="390"/>
      <c r="DCR1598" s="391"/>
      <c r="DCS1598" s="390"/>
      <c r="DCT1598" s="391"/>
      <c r="DCU1598" s="390"/>
      <c r="DCV1598" s="391"/>
      <c r="DCW1598" s="390"/>
      <c r="DCX1598" s="391"/>
      <c r="DCY1598" s="390"/>
      <c r="DCZ1598" s="391"/>
      <c r="DDA1598" s="390"/>
      <c r="DDB1598" s="391"/>
      <c r="DDC1598" s="390"/>
      <c r="DDD1598" s="391"/>
      <c r="DDE1598" s="390"/>
      <c r="DDF1598" s="391"/>
      <c r="DDG1598" s="390"/>
      <c r="DDH1598" s="391"/>
      <c r="DDI1598" s="390"/>
      <c r="DDJ1598" s="391"/>
      <c r="DDK1598" s="390"/>
      <c r="DDL1598" s="391"/>
      <c r="DDM1598" s="390"/>
      <c r="DDN1598" s="391"/>
      <c r="DDO1598" s="390"/>
      <c r="DDP1598" s="391"/>
      <c r="DDQ1598" s="390"/>
      <c r="DDR1598" s="391"/>
      <c r="DDS1598" s="390"/>
      <c r="DDT1598" s="391"/>
      <c r="DDU1598" s="390"/>
      <c r="DDV1598" s="391"/>
      <c r="DDW1598" s="390"/>
      <c r="DDX1598" s="391"/>
      <c r="DDY1598" s="390"/>
      <c r="DDZ1598" s="391"/>
      <c r="DEA1598" s="390"/>
      <c r="DEB1598" s="391"/>
      <c r="DEC1598" s="390"/>
      <c r="DED1598" s="391"/>
      <c r="DEE1598" s="390"/>
      <c r="DEF1598" s="391"/>
      <c r="DEG1598" s="390"/>
      <c r="DEH1598" s="391"/>
      <c r="DEI1598" s="390"/>
      <c r="DEJ1598" s="391"/>
      <c r="DEK1598" s="390"/>
      <c r="DEL1598" s="391"/>
      <c r="DEM1598" s="390"/>
      <c r="DEN1598" s="391"/>
      <c r="DEO1598" s="390"/>
      <c r="DEP1598" s="391"/>
      <c r="DEQ1598" s="390"/>
      <c r="DER1598" s="391"/>
      <c r="DES1598" s="390"/>
      <c r="DET1598" s="391"/>
      <c r="DEU1598" s="390"/>
      <c r="DEV1598" s="391"/>
      <c r="DEW1598" s="390"/>
      <c r="DEX1598" s="391"/>
      <c r="DEY1598" s="390"/>
      <c r="DEZ1598" s="391"/>
      <c r="DFA1598" s="390"/>
      <c r="DFB1598" s="391"/>
      <c r="DFC1598" s="390"/>
      <c r="DFD1598" s="391"/>
      <c r="DFE1598" s="390"/>
      <c r="DFF1598" s="391"/>
      <c r="DFG1598" s="390"/>
      <c r="DFH1598" s="391"/>
      <c r="DFI1598" s="390"/>
      <c r="DFJ1598" s="391"/>
      <c r="DFK1598" s="390"/>
      <c r="DFL1598" s="391"/>
      <c r="DFM1598" s="390"/>
      <c r="DFN1598" s="391"/>
      <c r="DFO1598" s="390"/>
      <c r="DFP1598" s="391"/>
      <c r="DFQ1598" s="390"/>
      <c r="DFR1598" s="391"/>
      <c r="DFS1598" s="390"/>
      <c r="DFT1598" s="391"/>
      <c r="DFU1598" s="390"/>
      <c r="DFV1598" s="391"/>
      <c r="DFW1598" s="390"/>
      <c r="DFX1598" s="391"/>
      <c r="DFY1598" s="390"/>
      <c r="DFZ1598" s="391"/>
      <c r="DGA1598" s="390"/>
      <c r="DGB1598" s="391"/>
      <c r="DGC1598" s="390"/>
      <c r="DGD1598" s="391"/>
      <c r="DGE1598" s="390"/>
      <c r="DGF1598" s="391"/>
      <c r="DGG1598" s="390"/>
      <c r="DGH1598" s="391"/>
      <c r="DGI1598" s="390"/>
      <c r="DGJ1598" s="391"/>
      <c r="DGK1598" s="390"/>
      <c r="DGL1598" s="391"/>
      <c r="DGM1598" s="390"/>
      <c r="DGN1598" s="391"/>
      <c r="DGO1598" s="390"/>
      <c r="DGP1598" s="391"/>
      <c r="DGQ1598" s="390"/>
      <c r="DGR1598" s="391"/>
      <c r="DGS1598" s="390"/>
      <c r="DGT1598" s="391"/>
      <c r="DGU1598" s="390"/>
      <c r="DGV1598" s="391"/>
      <c r="DGW1598" s="390"/>
      <c r="DGX1598" s="391"/>
      <c r="DGY1598" s="390"/>
      <c r="DGZ1598" s="391"/>
      <c r="DHA1598" s="390"/>
      <c r="DHB1598" s="391"/>
      <c r="DHC1598" s="390"/>
      <c r="DHD1598" s="391"/>
      <c r="DHE1598" s="390"/>
      <c r="DHF1598" s="391"/>
      <c r="DHG1598" s="390"/>
      <c r="DHH1598" s="391"/>
      <c r="DHI1598" s="390"/>
      <c r="DHJ1598" s="391"/>
      <c r="DHK1598" s="390"/>
      <c r="DHL1598" s="391"/>
      <c r="DHM1598" s="390"/>
      <c r="DHN1598" s="391"/>
      <c r="DHO1598" s="390"/>
      <c r="DHP1598" s="391"/>
      <c r="DHQ1598" s="390"/>
      <c r="DHR1598" s="391"/>
      <c r="DHS1598" s="390"/>
      <c r="DHT1598" s="391"/>
      <c r="DHU1598" s="390"/>
      <c r="DHV1598" s="391"/>
      <c r="DHW1598" s="390"/>
      <c r="DHX1598" s="391"/>
      <c r="DHY1598" s="390"/>
      <c r="DHZ1598" s="391"/>
      <c r="DIA1598" s="390"/>
      <c r="DIB1598" s="391"/>
      <c r="DIC1598" s="390"/>
      <c r="DID1598" s="391"/>
      <c r="DIE1598" s="390"/>
      <c r="DIF1598" s="391"/>
      <c r="DIG1598" s="390"/>
      <c r="DIH1598" s="391"/>
      <c r="DII1598" s="390"/>
      <c r="DIJ1598" s="391"/>
      <c r="DIK1598" s="390"/>
      <c r="DIL1598" s="391"/>
      <c r="DIM1598" s="390"/>
      <c r="DIN1598" s="391"/>
      <c r="DIO1598" s="390"/>
      <c r="DIP1598" s="391"/>
      <c r="DIQ1598" s="390"/>
      <c r="DIR1598" s="391"/>
      <c r="DIS1598" s="390"/>
      <c r="DIT1598" s="391"/>
      <c r="DIU1598" s="390"/>
      <c r="DIV1598" s="391"/>
      <c r="DIW1598" s="390"/>
      <c r="DIX1598" s="391"/>
      <c r="DIY1598" s="390"/>
      <c r="DIZ1598" s="391"/>
      <c r="DJA1598" s="390"/>
      <c r="DJB1598" s="391"/>
      <c r="DJC1598" s="390"/>
      <c r="DJD1598" s="391"/>
      <c r="DJE1598" s="390"/>
      <c r="DJF1598" s="391"/>
      <c r="DJG1598" s="390"/>
      <c r="DJH1598" s="391"/>
      <c r="DJI1598" s="390"/>
      <c r="DJJ1598" s="391"/>
      <c r="DJK1598" s="390"/>
      <c r="DJL1598" s="391"/>
      <c r="DJM1598" s="390"/>
      <c r="DJN1598" s="391"/>
      <c r="DJO1598" s="390"/>
      <c r="DJP1598" s="391"/>
      <c r="DJQ1598" s="390"/>
      <c r="DJR1598" s="391"/>
      <c r="DJS1598" s="390"/>
      <c r="DJT1598" s="391"/>
      <c r="DJU1598" s="390"/>
      <c r="DJV1598" s="391"/>
      <c r="DJW1598" s="390"/>
      <c r="DJX1598" s="391"/>
      <c r="DJY1598" s="390"/>
      <c r="DJZ1598" s="391"/>
      <c r="DKA1598" s="390"/>
      <c r="DKB1598" s="391"/>
      <c r="DKC1598" s="390"/>
      <c r="DKD1598" s="391"/>
      <c r="DKE1598" s="390"/>
      <c r="DKF1598" s="391"/>
      <c r="DKG1598" s="390"/>
      <c r="DKH1598" s="391"/>
      <c r="DKI1598" s="390"/>
      <c r="DKJ1598" s="391"/>
      <c r="DKK1598" s="390"/>
      <c r="DKL1598" s="391"/>
      <c r="DKM1598" s="390"/>
      <c r="DKN1598" s="391"/>
      <c r="DKO1598" s="390"/>
      <c r="DKP1598" s="391"/>
      <c r="DKQ1598" s="390"/>
      <c r="DKR1598" s="391"/>
      <c r="DKS1598" s="390"/>
      <c r="DKT1598" s="391"/>
      <c r="DKU1598" s="390"/>
      <c r="DKV1598" s="391"/>
      <c r="DKW1598" s="390"/>
      <c r="DKX1598" s="391"/>
      <c r="DKY1598" s="390"/>
      <c r="DKZ1598" s="391"/>
      <c r="DLA1598" s="390"/>
      <c r="DLB1598" s="391"/>
      <c r="DLC1598" s="390"/>
      <c r="DLD1598" s="391"/>
      <c r="DLE1598" s="390"/>
      <c r="DLF1598" s="391"/>
      <c r="DLG1598" s="390"/>
      <c r="DLH1598" s="391"/>
      <c r="DLI1598" s="390"/>
      <c r="DLJ1598" s="391"/>
      <c r="DLK1598" s="390"/>
      <c r="DLL1598" s="391"/>
      <c r="DLM1598" s="390"/>
      <c r="DLN1598" s="391"/>
      <c r="DLO1598" s="390"/>
      <c r="DLP1598" s="391"/>
      <c r="DLQ1598" s="390"/>
      <c r="DLR1598" s="391"/>
      <c r="DLS1598" s="390"/>
      <c r="DLT1598" s="391"/>
      <c r="DLU1598" s="390"/>
      <c r="DLV1598" s="391"/>
      <c r="DLW1598" s="390"/>
      <c r="DLX1598" s="391"/>
      <c r="DLY1598" s="390"/>
      <c r="DLZ1598" s="391"/>
      <c r="DMA1598" s="390"/>
      <c r="DMB1598" s="391"/>
      <c r="DMC1598" s="390"/>
      <c r="DMD1598" s="391"/>
      <c r="DME1598" s="390"/>
      <c r="DMF1598" s="391"/>
      <c r="DMG1598" s="390"/>
      <c r="DMH1598" s="391"/>
      <c r="DMI1598" s="390"/>
      <c r="DMJ1598" s="391"/>
      <c r="DMK1598" s="390"/>
      <c r="DML1598" s="391"/>
      <c r="DMM1598" s="390"/>
      <c r="DMN1598" s="391"/>
      <c r="DMO1598" s="390"/>
      <c r="DMP1598" s="391"/>
      <c r="DMQ1598" s="390"/>
      <c r="DMR1598" s="391"/>
      <c r="DMS1598" s="390"/>
      <c r="DMT1598" s="391"/>
      <c r="DMU1598" s="390"/>
      <c r="DMV1598" s="391"/>
      <c r="DMW1598" s="390"/>
      <c r="DMX1598" s="391"/>
      <c r="DMY1598" s="390"/>
      <c r="DMZ1598" s="391"/>
      <c r="DNA1598" s="390"/>
      <c r="DNB1598" s="391"/>
      <c r="DNC1598" s="390"/>
      <c r="DND1598" s="391"/>
      <c r="DNE1598" s="390"/>
      <c r="DNF1598" s="391"/>
      <c r="DNG1598" s="390"/>
      <c r="DNH1598" s="391"/>
      <c r="DNI1598" s="390"/>
      <c r="DNJ1598" s="391"/>
      <c r="DNK1598" s="390"/>
      <c r="DNL1598" s="391"/>
      <c r="DNM1598" s="390"/>
      <c r="DNN1598" s="391"/>
      <c r="DNO1598" s="390"/>
      <c r="DNP1598" s="391"/>
      <c r="DNQ1598" s="390"/>
      <c r="DNR1598" s="391"/>
      <c r="DNS1598" s="390"/>
      <c r="DNT1598" s="391"/>
      <c r="DNU1598" s="390"/>
      <c r="DNV1598" s="391"/>
      <c r="DNW1598" s="390"/>
      <c r="DNX1598" s="391"/>
      <c r="DNY1598" s="390"/>
      <c r="DNZ1598" s="391"/>
      <c r="DOA1598" s="390"/>
      <c r="DOB1598" s="391"/>
      <c r="DOC1598" s="390"/>
      <c r="DOD1598" s="391"/>
      <c r="DOE1598" s="390"/>
      <c r="DOF1598" s="391"/>
      <c r="DOG1598" s="390"/>
      <c r="DOH1598" s="391"/>
      <c r="DOI1598" s="390"/>
      <c r="DOJ1598" s="391"/>
      <c r="DOK1598" s="390"/>
      <c r="DOL1598" s="391"/>
      <c r="DOM1598" s="390"/>
      <c r="DON1598" s="391"/>
      <c r="DOO1598" s="390"/>
      <c r="DOP1598" s="391"/>
      <c r="DOQ1598" s="390"/>
      <c r="DOR1598" s="391"/>
      <c r="DOS1598" s="390"/>
      <c r="DOT1598" s="391"/>
      <c r="DOU1598" s="390"/>
      <c r="DOV1598" s="391"/>
      <c r="DOW1598" s="390"/>
      <c r="DOX1598" s="391"/>
      <c r="DOY1598" s="390"/>
      <c r="DOZ1598" s="391"/>
      <c r="DPA1598" s="390"/>
      <c r="DPB1598" s="391"/>
      <c r="DPC1598" s="390"/>
      <c r="DPD1598" s="391"/>
      <c r="DPE1598" s="390"/>
      <c r="DPF1598" s="391"/>
      <c r="DPG1598" s="390"/>
      <c r="DPH1598" s="391"/>
      <c r="DPI1598" s="390"/>
      <c r="DPJ1598" s="391"/>
      <c r="DPK1598" s="390"/>
      <c r="DPL1598" s="391"/>
      <c r="DPM1598" s="390"/>
      <c r="DPN1598" s="391"/>
      <c r="DPO1598" s="390"/>
      <c r="DPP1598" s="391"/>
      <c r="DPQ1598" s="390"/>
      <c r="DPR1598" s="391"/>
      <c r="DPS1598" s="390"/>
      <c r="DPT1598" s="391"/>
      <c r="DPU1598" s="390"/>
      <c r="DPV1598" s="391"/>
      <c r="DPW1598" s="390"/>
      <c r="DPX1598" s="391"/>
      <c r="DPY1598" s="390"/>
      <c r="DPZ1598" s="391"/>
      <c r="DQA1598" s="390"/>
      <c r="DQB1598" s="391"/>
      <c r="DQC1598" s="390"/>
      <c r="DQD1598" s="391"/>
      <c r="DQE1598" s="390"/>
      <c r="DQF1598" s="391"/>
      <c r="DQG1598" s="390"/>
      <c r="DQH1598" s="391"/>
      <c r="DQI1598" s="390"/>
      <c r="DQJ1598" s="391"/>
      <c r="DQK1598" s="390"/>
      <c r="DQL1598" s="391"/>
      <c r="DQM1598" s="390"/>
      <c r="DQN1598" s="391"/>
      <c r="DQO1598" s="390"/>
      <c r="DQP1598" s="391"/>
      <c r="DQQ1598" s="390"/>
      <c r="DQR1598" s="391"/>
      <c r="DQS1598" s="390"/>
      <c r="DQT1598" s="391"/>
      <c r="DQU1598" s="390"/>
      <c r="DQV1598" s="391"/>
      <c r="DQW1598" s="390"/>
      <c r="DQX1598" s="391"/>
      <c r="DQY1598" s="390"/>
      <c r="DQZ1598" s="391"/>
      <c r="DRA1598" s="390"/>
      <c r="DRB1598" s="391"/>
      <c r="DRC1598" s="390"/>
      <c r="DRD1598" s="391"/>
      <c r="DRE1598" s="390"/>
      <c r="DRF1598" s="391"/>
      <c r="DRG1598" s="390"/>
      <c r="DRH1598" s="391"/>
      <c r="DRI1598" s="390"/>
      <c r="DRJ1598" s="391"/>
      <c r="DRK1598" s="390"/>
      <c r="DRL1598" s="391"/>
      <c r="DRM1598" s="390"/>
      <c r="DRN1598" s="391"/>
      <c r="DRO1598" s="390"/>
      <c r="DRP1598" s="391"/>
      <c r="DRQ1598" s="390"/>
      <c r="DRR1598" s="391"/>
      <c r="DRS1598" s="390"/>
      <c r="DRT1598" s="391"/>
      <c r="DRU1598" s="390"/>
      <c r="DRV1598" s="391"/>
      <c r="DRW1598" s="390"/>
      <c r="DRX1598" s="391"/>
      <c r="DRY1598" s="390"/>
      <c r="DRZ1598" s="391"/>
      <c r="DSA1598" s="390"/>
      <c r="DSB1598" s="391"/>
      <c r="DSC1598" s="390"/>
      <c r="DSD1598" s="391"/>
      <c r="DSE1598" s="390"/>
      <c r="DSF1598" s="391"/>
      <c r="DSG1598" s="390"/>
      <c r="DSH1598" s="391"/>
      <c r="DSI1598" s="390"/>
      <c r="DSJ1598" s="391"/>
      <c r="DSK1598" s="390"/>
      <c r="DSL1598" s="391"/>
      <c r="DSM1598" s="390"/>
      <c r="DSN1598" s="391"/>
      <c r="DSO1598" s="390"/>
      <c r="DSP1598" s="391"/>
      <c r="DSQ1598" s="390"/>
      <c r="DSR1598" s="391"/>
      <c r="DSS1598" s="390"/>
      <c r="DST1598" s="391"/>
      <c r="DSU1598" s="390"/>
      <c r="DSV1598" s="391"/>
      <c r="DSW1598" s="390"/>
      <c r="DSX1598" s="391"/>
      <c r="DSY1598" s="390"/>
      <c r="DSZ1598" s="391"/>
      <c r="DTA1598" s="390"/>
      <c r="DTB1598" s="391"/>
      <c r="DTC1598" s="390"/>
      <c r="DTD1598" s="391"/>
      <c r="DTE1598" s="390"/>
      <c r="DTF1598" s="391"/>
      <c r="DTG1598" s="390"/>
      <c r="DTH1598" s="391"/>
      <c r="DTI1598" s="390"/>
      <c r="DTJ1598" s="391"/>
      <c r="DTK1598" s="390"/>
      <c r="DTL1598" s="391"/>
      <c r="DTM1598" s="390"/>
      <c r="DTN1598" s="391"/>
      <c r="DTO1598" s="390"/>
      <c r="DTP1598" s="391"/>
      <c r="DTQ1598" s="390"/>
      <c r="DTR1598" s="391"/>
      <c r="DTS1598" s="390"/>
      <c r="DTT1598" s="391"/>
      <c r="DTU1598" s="390"/>
      <c r="DTV1598" s="391"/>
      <c r="DTW1598" s="390"/>
      <c r="DTX1598" s="391"/>
      <c r="DTY1598" s="390"/>
      <c r="DTZ1598" s="391"/>
      <c r="DUA1598" s="390"/>
      <c r="DUB1598" s="391"/>
      <c r="DUC1598" s="390"/>
      <c r="DUD1598" s="391"/>
      <c r="DUE1598" s="390"/>
      <c r="DUF1598" s="391"/>
      <c r="DUG1598" s="390"/>
      <c r="DUH1598" s="391"/>
      <c r="DUI1598" s="390"/>
      <c r="DUJ1598" s="391"/>
      <c r="DUK1598" s="390"/>
      <c r="DUL1598" s="391"/>
      <c r="DUM1598" s="390"/>
      <c r="DUN1598" s="391"/>
      <c r="DUO1598" s="390"/>
      <c r="DUP1598" s="391"/>
      <c r="DUQ1598" s="390"/>
      <c r="DUR1598" s="391"/>
      <c r="DUS1598" s="390"/>
      <c r="DUT1598" s="391"/>
      <c r="DUU1598" s="390"/>
      <c r="DUV1598" s="391"/>
      <c r="DUW1598" s="390"/>
      <c r="DUX1598" s="391"/>
      <c r="DUY1598" s="390"/>
      <c r="DUZ1598" s="391"/>
      <c r="DVA1598" s="390"/>
      <c r="DVB1598" s="391"/>
      <c r="DVC1598" s="390"/>
      <c r="DVD1598" s="391"/>
      <c r="DVE1598" s="390"/>
      <c r="DVF1598" s="391"/>
      <c r="DVG1598" s="390"/>
      <c r="DVH1598" s="391"/>
      <c r="DVI1598" s="390"/>
      <c r="DVJ1598" s="391"/>
      <c r="DVK1598" s="390"/>
      <c r="DVL1598" s="391"/>
      <c r="DVM1598" s="390"/>
      <c r="DVN1598" s="391"/>
      <c r="DVO1598" s="390"/>
      <c r="DVP1598" s="391"/>
      <c r="DVQ1598" s="390"/>
      <c r="DVR1598" s="391"/>
      <c r="DVS1598" s="390"/>
      <c r="DVT1598" s="391"/>
      <c r="DVU1598" s="390"/>
      <c r="DVV1598" s="391"/>
      <c r="DVW1598" s="390"/>
      <c r="DVX1598" s="391"/>
      <c r="DVY1598" s="390"/>
      <c r="DVZ1598" s="391"/>
      <c r="DWA1598" s="390"/>
      <c r="DWB1598" s="391"/>
      <c r="DWC1598" s="390"/>
      <c r="DWD1598" s="391"/>
      <c r="DWE1598" s="390"/>
      <c r="DWF1598" s="391"/>
      <c r="DWG1598" s="390"/>
      <c r="DWH1598" s="391"/>
      <c r="DWI1598" s="390"/>
      <c r="DWJ1598" s="391"/>
      <c r="DWK1598" s="390"/>
      <c r="DWL1598" s="391"/>
      <c r="DWM1598" s="390"/>
      <c r="DWN1598" s="391"/>
      <c r="DWO1598" s="390"/>
      <c r="DWP1598" s="391"/>
      <c r="DWQ1598" s="390"/>
      <c r="DWR1598" s="391"/>
      <c r="DWS1598" s="390"/>
      <c r="DWT1598" s="391"/>
      <c r="DWU1598" s="390"/>
      <c r="DWV1598" s="391"/>
      <c r="DWW1598" s="390"/>
      <c r="DWX1598" s="391"/>
      <c r="DWY1598" s="390"/>
      <c r="DWZ1598" s="391"/>
      <c r="DXA1598" s="390"/>
      <c r="DXB1598" s="391"/>
      <c r="DXC1598" s="390"/>
      <c r="DXD1598" s="391"/>
      <c r="DXE1598" s="390"/>
      <c r="DXF1598" s="391"/>
      <c r="DXG1598" s="390"/>
      <c r="DXH1598" s="391"/>
      <c r="DXI1598" s="390"/>
      <c r="DXJ1598" s="391"/>
      <c r="DXK1598" s="390"/>
      <c r="DXL1598" s="391"/>
      <c r="DXM1598" s="390"/>
      <c r="DXN1598" s="391"/>
      <c r="DXO1598" s="390"/>
      <c r="DXP1598" s="391"/>
      <c r="DXQ1598" s="390"/>
      <c r="DXR1598" s="391"/>
      <c r="DXS1598" s="390"/>
      <c r="DXT1598" s="391"/>
      <c r="DXU1598" s="390"/>
      <c r="DXV1598" s="391"/>
      <c r="DXW1598" s="390"/>
      <c r="DXX1598" s="391"/>
      <c r="DXY1598" s="390"/>
      <c r="DXZ1598" s="391"/>
      <c r="DYA1598" s="390"/>
      <c r="DYB1598" s="391"/>
      <c r="DYC1598" s="390"/>
      <c r="DYD1598" s="391"/>
      <c r="DYE1598" s="390"/>
      <c r="DYF1598" s="391"/>
      <c r="DYG1598" s="390"/>
      <c r="DYH1598" s="391"/>
      <c r="DYI1598" s="390"/>
      <c r="DYJ1598" s="391"/>
      <c r="DYK1598" s="390"/>
      <c r="DYL1598" s="391"/>
      <c r="DYM1598" s="390"/>
      <c r="DYN1598" s="391"/>
      <c r="DYO1598" s="390"/>
      <c r="DYP1598" s="391"/>
      <c r="DYQ1598" s="390"/>
      <c r="DYR1598" s="391"/>
      <c r="DYS1598" s="390"/>
      <c r="DYT1598" s="391"/>
      <c r="DYU1598" s="390"/>
      <c r="DYV1598" s="391"/>
      <c r="DYW1598" s="390"/>
      <c r="DYX1598" s="391"/>
      <c r="DYY1598" s="390"/>
      <c r="DYZ1598" s="391"/>
      <c r="DZA1598" s="390"/>
      <c r="DZB1598" s="391"/>
      <c r="DZC1598" s="390"/>
      <c r="DZD1598" s="391"/>
      <c r="DZE1598" s="390"/>
      <c r="DZF1598" s="391"/>
      <c r="DZG1598" s="390"/>
      <c r="DZH1598" s="391"/>
      <c r="DZI1598" s="390"/>
      <c r="DZJ1598" s="391"/>
      <c r="DZK1598" s="390"/>
      <c r="DZL1598" s="391"/>
      <c r="DZM1598" s="390"/>
      <c r="DZN1598" s="391"/>
      <c r="DZO1598" s="390"/>
      <c r="DZP1598" s="391"/>
      <c r="DZQ1598" s="390"/>
      <c r="DZR1598" s="391"/>
      <c r="DZS1598" s="390"/>
      <c r="DZT1598" s="391"/>
      <c r="DZU1598" s="390"/>
      <c r="DZV1598" s="391"/>
      <c r="DZW1598" s="390"/>
      <c r="DZX1598" s="391"/>
      <c r="DZY1598" s="390"/>
      <c r="DZZ1598" s="391"/>
      <c r="EAA1598" s="390"/>
      <c r="EAB1598" s="391"/>
      <c r="EAC1598" s="390"/>
      <c r="EAD1598" s="391"/>
      <c r="EAE1598" s="390"/>
      <c r="EAF1598" s="391"/>
      <c r="EAG1598" s="390"/>
      <c r="EAH1598" s="391"/>
      <c r="EAI1598" s="390"/>
      <c r="EAJ1598" s="391"/>
      <c r="EAK1598" s="390"/>
      <c r="EAL1598" s="391"/>
      <c r="EAM1598" s="390"/>
      <c r="EAN1598" s="391"/>
      <c r="EAO1598" s="390"/>
      <c r="EAP1598" s="391"/>
      <c r="EAQ1598" s="390"/>
      <c r="EAR1598" s="391"/>
      <c r="EAS1598" s="390"/>
      <c r="EAT1598" s="391"/>
      <c r="EAU1598" s="390"/>
      <c r="EAV1598" s="391"/>
      <c r="EAW1598" s="390"/>
      <c r="EAX1598" s="391"/>
      <c r="EAY1598" s="390"/>
      <c r="EAZ1598" s="391"/>
      <c r="EBA1598" s="390"/>
      <c r="EBB1598" s="391"/>
      <c r="EBC1598" s="390"/>
      <c r="EBD1598" s="391"/>
      <c r="EBE1598" s="390"/>
      <c r="EBF1598" s="391"/>
      <c r="EBG1598" s="390"/>
      <c r="EBH1598" s="391"/>
      <c r="EBI1598" s="390"/>
      <c r="EBJ1598" s="391"/>
      <c r="EBK1598" s="390"/>
      <c r="EBL1598" s="391"/>
      <c r="EBM1598" s="390"/>
      <c r="EBN1598" s="391"/>
      <c r="EBO1598" s="390"/>
      <c r="EBP1598" s="391"/>
      <c r="EBQ1598" s="390"/>
      <c r="EBR1598" s="391"/>
      <c r="EBS1598" s="390"/>
      <c r="EBT1598" s="391"/>
      <c r="EBU1598" s="390"/>
      <c r="EBV1598" s="391"/>
      <c r="EBW1598" s="390"/>
      <c r="EBX1598" s="391"/>
      <c r="EBY1598" s="390"/>
      <c r="EBZ1598" s="391"/>
      <c r="ECA1598" s="390"/>
      <c r="ECB1598" s="391"/>
      <c r="ECC1598" s="390"/>
      <c r="ECD1598" s="391"/>
      <c r="ECE1598" s="390"/>
      <c r="ECF1598" s="391"/>
      <c r="ECG1598" s="390"/>
      <c r="ECH1598" s="391"/>
      <c r="ECI1598" s="390"/>
      <c r="ECJ1598" s="391"/>
      <c r="ECK1598" s="390"/>
      <c r="ECL1598" s="391"/>
      <c r="ECM1598" s="390"/>
      <c r="ECN1598" s="391"/>
      <c r="ECO1598" s="390"/>
      <c r="ECP1598" s="391"/>
      <c r="ECQ1598" s="390"/>
      <c r="ECR1598" s="391"/>
      <c r="ECS1598" s="390"/>
      <c r="ECT1598" s="391"/>
      <c r="ECU1598" s="390"/>
      <c r="ECV1598" s="391"/>
      <c r="ECW1598" s="390"/>
      <c r="ECX1598" s="391"/>
      <c r="ECY1598" s="390"/>
      <c r="ECZ1598" s="391"/>
      <c r="EDA1598" s="390"/>
      <c r="EDB1598" s="391"/>
      <c r="EDC1598" s="390"/>
      <c r="EDD1598" s="391"/>
      <c r="EDE1598" s="390"/>
      <c r="EDF1598" s="391"/>
      <c r="EDG1598" s="390"/>
      <c r="EDH1598" s="391"/>
      <c r="EDI1598" s="390"/>
      <c r="EDJ1598" s="391"/>
      <c r="EDK1598" s="390"/>
      <c r="EDL1598" s="391"/>
      <c r="EDM1598" s="390"/>
      <c r="EDN1598" s="391"/>
      <c r="EDO1598" s="390"/>
      <c r="EDP1598" s="391"/>
      <c r="EDQ1598" s="390"/>
      <c r="EDR1598" s="391"/>
      <c r="EDS1598" s="390"/>
      <c r="EDT1598" s="391"/>
      <c r="EDU1598" s="390"/>
      <c r="EDV1598" s="391"/>
      <c r="EDW1598" s="390"/>
      <c r="EDX1598" s="391"/>
      <c r="EDY1598" s="390"/>
      <c r="EDZ1598" s="391"/>
      <c r="EEA1598" s="390"/>
      <c r="EEB1598" s="391"/>
      <c r="EEC1598" s="390"/>
      <c r="EED1598" s="391"/>
      <c r="EEE1598" s="390"/>
      <c r="EEF1598" s="391"/>
      <c r="EEG1598" s="390"/>
      <c r="EEH1598" s="391"/>
      <c r="EEI1598" s="390"/>
      <c r="EEJ1598" s="391"/>
      <c r="EEK1598" s="390"/>
      <c r="EEL1598" s="391"/>
      <c r="EEM1598" s="390"/>
      <c r="EEN1598" s="391"/>
      <c r="EEO1598" s="390"/>
      <c r="EEP1598" s="391"/>
      <c r="EEQ1598" s="390"/>
      <c r="EER1598" s="391"/>
      <c r="EES1598" s="390"/>
      <c r="EET1598" s="391"/>
      <c r="EEU1598" s="390"/>
      <c r="EEV1598" s="391"/>
      <c r="EEW1598" s="390"/>
      <c r="EEX1598" s="391"/>
      <c r="EEY1598" s="390"/>
      <c r="EEZ1598" s="391"/>
      <c r="EFA1598" s="390"/>
      <c r="EFB1598" s="391"/>
      <c r="EFC1598" s="390"/>
      <c r="EFD1598" s="391"/>
      <c r="EFE1598" s="390"/>
      <c r="EFF1598" s="391"/>
      <c r="EFG1598" s="390"/>
      <c r="EFH1598" s="391"/>
      <c r="EFI1598" s="390"/>
      <c r="EFJ1598" s="391"/>
      <c r="EFK1598" s="390"/>
      <c r="EFL1598" s="391"/>
      <c r="EFM1598" s="390"/>
      <c r="EFN1598" s="391"/>
      <c r="EFO1598" s="390"/>
      <c r="EFP1598" s="391"/>
      <c r="EFQ1598" s="390"/>
      <c r="EFR1598" s="391"/>
      <c r="EFS1598" s="390"/>
      <c r="EFT1598" s="391"/>
      <c r="EFU1598" s="390"/>
      <c r="EFV1598" s="391"/>
      <c r="EFW1598" s="390"/>
      <c r="EFX1598" s="391"/>
      <c r="EFY1598" s="390"/>
      <c r="EFZ1598" s="391"/>
      <c r="EGA1598" s="390"/>
      <c r="EGB1598" s="391"/>
      <c r="EGC1598" s="390"/>
      <c r="EGD1598" s="391"/>
      <c r="EGE1598" s="390"/>
      <c r="EGF1598" s="391"/>
      <c r="EGG1598" s="390"/>
      <c r="EGH1598" s="391"/>
      <c r="EGI1598" s="390"/>
      <c r="EGJ1598" s="391"/>
      <c r="EGK1598" s="390"/>
      <c r="EGL1598" s="391"/>
      <c r="EGM1598" s="390"/>
      <c r="EGN1598" s="391"/>
      <c r="EGO1598" s="390"/>
      <c r="EGP1598" s="391"/>
      <c r="EGQ1598" s="390"/>
      <c r="EGR1598" s="391"/>
      <c r="EGS1598" s="390"/>
      <c r="EGT1598" s="391"/>
      <c r="EGU1598" s="390"/>
      <c r="EGV1598" s="391"/>
      <c r="EGW1598" s="390"/>
      <c r="EGX1598" s="391"/>
      <c r="EGY1598" s="390"/>
      <c r="EGZ1598" s="391"/>
      <c r="EHA1598" s="390"/>
      <c r="EHB1598" s="391"/>
      <c r="EHC1598" s="390"/>
      <c r="EHD1598" s="391"/>
      <c r="EHE1598" s="390"/>
      <c r="EHF1598" s="391"/>
      <c r="EHG1598" s="390"/>
      <c r="EHH1598" s="391"/>
      <c r="EHI1598" s="390"/>
      <c r="EHJ1598" s="391"/>
      <c r="EHK1598" s="390"/>
      <c r="EHL1598" s="391"/>
      <c r="EHM1598" s="390"/>
      <c r="EHN1598" s="391"/>
      <c r="EHO1598" s="390"/>
      <c r="EHP1598" s="391"/>
      <c r="EHQ1598" s="390"/>
      <c r="EHR1598" s="391"/>
      <c r="EHS1598" s="390"/>
      <c r="EHT1598" s="391"/>
      <c r="EHU1598" s="390"/>
      <c r="EHV1598" s="391"/>
      <c r="EHW1598" s="390"/>
      <c r="EHX1598" s="391"/>
      <c r="EHY1598" s="390"/>
      <c r="EHZ1598" s="391"/>
      <c r="EIA1598" s="390"/>
      <c r="EIB1598" s="391"/>
      <c r="EIC1598" s="390"/>
      <c r="EID1598" s="391"/>
      <c r="EIE1598" s="390"/>
      <c r="EIF1598" s="391"/>
      <c r="EIG1598" s="390"/>
      <c r="EIH1598" s="391"/>
      <c r="EII1598" s="390"/>
      <c r="EIJ1598" s="391"/>
      <c r="EIK1598" s="390"/>
      <c r="EIL1598" s="391"/>
      <c r="EIM1598" s="390"/>
      <c r="EIN1598" s="391"/>
      <c r="EIO1598" s="390"/>
      <c r="EIP1598" s="391"/>
      <c r="EIQ1598" s="390"/>
      <c r="EIR1598" s="391"/>
      <c r="EIS1598" s="390"/>
      <c r="EIT1598" s="391"/>
      <c r="EIU1598" s="390"/>
      <c r="EIV1598" s="391"/>
      <c r="EIW1598" s="390"/>
      <c r="EIX1598" s="391"/>
      <c r="EIY1598" s="390"/>
      <c r="EIZ1598" s="391"/>
      <c r="EJA1598" s="390"/>
      <c r="EJB1598" s="391"/>
      <c r="EJC1598" s="390"/>
      <c r="EJD1598" s="391"/>
      <c r="EJE1598" s="390"/>
      <c r="EJF1598" s="391"/>
      <c r="EJG1598" s="390"/>
      <c r="EJH1598" s="391"/>
      <c r="EJI1598" s="390"/>
      <c r="EJJ1598" s="391"/>
      <c r="EJK1598" s="390"/>
      <c r="EJL1598" s="391"/>
      <c r="EJM1598" s="390"/>
      <c r="EJN1598" s="391"/>
      <c r="EJO1598" s="390"/>
      <c r="EJP1598" s="391"/>
      <c r="EJQ1598" s="390"/>
      <c r="EJR1598" s="391"/>
      <c r="EJS1598" s="390"/>
      <c r="EJT1598" s="391"/>
      <c r="EJU1598" s="390"/>
      <c r="EJV1598" s="391"/>
      <c r="EJW1598" s="390"/>
      <c r="EJX1598" s="391"/>
      <c r="EJY1598" s="390"/>
      <c r="EJZ1598" s="391"/>
      <c r="EKA1598" s="390"/>
      <c r="EKB1598" s="391"/>
      <c r="EKC1598" s="390"/>
      <c r="EKD1598" s="391"/>
      <c r="EKE1598" s="390"/>
      <c r="EKF1598" s="391"/>
      <c r="EKG1598" s="390"/>
      <c r="EKH1598" s="391"/>
      <c r="EKI1598" s="390"/>
      <c r="EKJ1598" s="391"/>
      <c r="EKK1598" s="390"/>
      <c r="EKL1598" s="391"/>
      <c r="EKM1598" s="390"/>
      <c r="EKN1598" s="391"/>
      <c r="EKO1598" s="390"/>
      <c r="EKP1598" s="391"/>
      <c r="EKQ1598" s="390"/>
      <c r="EKR1598" s="391"/>
      <c r="EKS1598" s="390"/>
      <c r="EKT1598" s="391"/>
      <c r="EKU1598" s="390"/>
      <c r="EKV1598" s="391"/>
      <c r="EKW1598" s="390"/>
      <c r="EKX1598" s="391"/>
      <c r="EKY1598" s="390"/>
      <c r="EKZ1598" s="391"/>
      <c r="ELA1598" s="390"/>
      <c r="ELB1598" s="391"/>
      <c r="ELC1598" s="390"/>
      <c r="ELD1598" s="391"/>
      <c r="ELE1598" s="390"/>
      <c r="ELF1598" s="391"/>
      <c r="ELG1598" s="390"/>
      <c r="ELH1598" s="391"/>
      <c r="ELI1598" s="390"/>
      <c r="ELJ1598" s="391"/>
      <c r="ELK1598" s="390"/>
      <c r="ELL1598" s="391"/>
      <c r="ELM1598" s="390"/>
      <c r="ELN1598" s="391"/>
      <c r="ELO1598" s="390"/>
      <c r="ELP1598" s="391"/>
      <c r="ELQ1598" s="390"/>
      <c r="ELR1598" s="391"/>
      <c r="ELS1598" s="390"/>
      <c r="ELT1598" s="391"/>
      <c r="ELU1598" s="390"/>
      <c r="ELV1598" s="391"/>
      <c r="ELW1598" s="390"/>
      <c r="ELX1598" s="391"/>
      <c r="ELY1598" s="390"/>
      <c r="ELZ1598" s="391"/>
      <c r="EMA1598" s="390"/>
      <c r="EMB1598" s="391"/>
      <c r="EMC1598" s="390"/>
      <c r="EMD1598" s="391"/>
      <c r="EME1598" s="390"/>
      <c r="EMF1598" s="391"/>
      <c r="EMG1598" s="390"/>
      <c r="EMH1598" s="391"/>
      <c r="EMI1598" s="390"/>
      <c r="EMJ1598" s="391"/>
      <c r="EMK1598" s="390"/>
      <c r="EML1598" s="391"/>
      <c r="EMM1598" s="390"/>
      <c r="EMN1598" s="391"/>
      <c r="EMO1598" s="390"/>
      <c r="EMP1598" s="391"/>
      <c r="EMQ1598" s="390"/>
      <c r="EMR1598" s="391"/>
      <c r="EMS1598" s="390"/>
      <c r="EMT1598" s="391"/>
      <c r="EMU1598" s="390"/>
      <c r="EMV1598" s="391"/>
      <c r="EMW1598" s="390"/>
      <c r="EMX1598" s="391"/>
      <c r="EMY1598" s="390"/>
      <c r="EMZ1598" s="391"/>
      <c r="ENA1598" s="390"/>
      <c r="ENB1598" s="391"/>
      <c r="ENC1598" s="390"/>
      <c r="END1598" s="391"/>
      <c r="ENE1598" s="390"/>
      <c r="ENF1598" s="391"/>
      <c r="ENG1598" s="390"/>
      <c r="ENH1598" s="391"/>
      <c r="ENI1598" s="390"/>
      <c r="ENJ1598" s="391"/>
      <c r="ENK1598" s="390"/>
      <c r="ENL1598" s="391"/>
      <c r="ENM1598" s="390"/>
      <c r="ENN1598" s="391"/>
      <c r="ENO1598" s="390"/>
      <c r="ENP1598" s="391"/>
      <c r="ENQ1598" s="390"/>
      <c r="ENR1598" s="391"/>
      <c r="ENS1598" s="390"/>
      <c r="ENT1598" s="391"/>
      <c r="ENU1598" s="390"/>
      <c r="ENV1598" s="391"/>
      <c r="ENW1598" s="390"/>
      <c r="ENX1598" s="391"/>
      <c r="ENY1598" s="390"/>
      <c r="ENZ1598" s="391"/>
      <c r="EOA1598" s="390"/>
      <c r="EOB1598" s="391"/>
      <c r="EOC1598" s="390"/>
      <c r="EOD1598" s="391"/>
      <c r="EOE1598" s="390"/>
      <c r="EOF1598" s="391"/>
      <c r="EOG1598" s="390"/>
      <c r="EOH1598" s="391"/>
      <c r="EOI1598" s="390"/>
      <c r="EOJ1598" s="391"/>
      <c r="EOK1598" s="390"/>
      <c r="EOL1598" s="391"/>
      <c r="EOM1598" s="390"/>
      <c r="EON1598" s="391"/>
      <c r="EOO1598" s="390"/>
      <c r="EOP1598" s="391"/>
      <c r="EOQ1598" s="390"/>
      <c r="EOR1598" s="391"/>
      <c r="EOS1598" s="390"/>
      <c r="EOT1598" s="391"/>
      <c r="EOU1598" s="390"/>
      <c r="EOV1598" s="391"/>
      <c r="EOW1598" s="390"/>
      <c r="EOX1598" s="391"/>
      <c r="EOY1598" s="390"/>
      <c r="EOZ1598" s="391"/>
      <c r="EPA1598" s="390"/>
      <c r="EPB1598" s="391"/>
      <c r="EPC1598" s="390"/>
      <c r="EPD1598" s="391"/>
      <c r="EPE1598" s="390"/>
      <c r="EPF1598" s="391"/>
      <c r="EPG1598" s="390"/>
      <c r="EPH1598" s="391"/>
      <c r="EPI1598" s="390"/>
      <c r="EPJ1598" s="391"/>
      <c r="EPK1598" s="390"/>
      <c r="EPL1598" s="391"/>
      <c r="EPM1598" s="390"/>
      <c r="EPN1598" s="391"/>
      <c r="EPO1598" s="390"/>
      <c r="EPP1598" s="391"/>
      <c r="EPQ1598" s="390"/>
      <c r="EPR1598" s="391"/>
      <c r="EPS1598" s="390"/>
      <c r="EPT1598" s="391"/>
      <c r="EPU1598" s="390"/>
      <c r="EPV1598" s="391"/>
      <c r="EPW1598" s="390"/>
      <c r="EPX1598" s="391"/>
      <c r="EPY1598" s="390"/>
      <c r="EPZ1598" s="391"/>
      <c r="EQA1598" s="390"/>
      <c r="EQB1598" s="391"/>
      <c r="EQC1598" s="390"/>
      <c r="EQD1598" s="391"/>
      <c r="EQE1598" s="390"/>
      <c r="EQF1598" s="391"/>
      <c r="EQG1598" s="390"/>
      <c r="EQH1598" s="391"/>
      <c r="EQI1598" s="390"/>
      <c r="EQJ1598" s="391"/>
      <c r="EQK1598" s="390"/>
      <c r="EQL1598" s="391"/>
      <c r="EQM1598" s="390"/>
      <c r="EQN1598" s="391"/>
      <c r="EQO1598" s="390"/>
      <c r="EQP1598" s="391"/>
      <c r="EQQ1598" s="390"/>
      <c r="EQR1598" s="391"/>
      <c r="EQS1598" s="390"/>
      <c r="EQT1598" s="391"/>
      <c r="EQU1598" s="390"/>
      <c r="EQV1598" s="391"/>
      <c r="EQW1598" s="390"/>
      <c r="EQX1598" s="391"/>
      <c r="EQY1598" s="390"/>
      <c r="EQZ1598" s="391"/>
      <c r="ERA1598" s="390"/>
      <c r="ERB1598" s="391"/>
      <c r="ERC1598" s="390"/>
      <c r="ERD1598" s="391"/>
      <c r="ERE1598" s="390"/>
      <c r="ERF1598" s="391"/>
      <c r="ERG1598" s="390"/>
      <c r="ERH1598" s="391"/>
      <c r="ERI1598" s="390"/>
      <c r="ERJ1598" s="391"/>
      <c r="ERK1598" s="390"/>
      <c r="ERL1598" s="391"/>
      <c r="ERM1598" s="390"/>
      <c r="ERN1598" s="391"/>
      <c r="ERO1598" s="390"/>
      <c r="ERP1598" s="391"/>
      <c r="ERQ1598" s="390"/>
      <c r="ERR1598" s="391"/>
      <c r="ERS1598" s="390"/>
      <c r="ERT1598" s="391"/>
      <c r="ERU1598" s="390"/>
      <c r="ERV1598" s="391"/>
      <c r="ERW1598" s="390"/>
      <c r="ERX1598" s="391"/>
      <c r="ERY1598" s="390"/>
      <c r="ERZ1598" s="391"/>
      <c r="ESA1598" s="390"/>
      <c r="ESB1598" s="391"/>
      <c r="ESC1598" s="390"/>
      <c r="ESD1598" s="391"/>
      <c r="ESE1598" s="390"/>
      <c r="ESF1598" s="391"/>
      <c r="ESG1598" s="390"/>
      <c r="ESH1598" s="391"/>
      <c r="ESI1598" s="390"/>
      <c r="ESJ1598" s="391"/>
      <c r="ESK1598" s="390"/>
      <c r="ESL1598" s="391"/>
      <c r="ESM1598" s="390"/>
      <c r="ESN1598" s="391"/>
      <c r="ESO1598" s="390"/>
      <c r="ESP1598" s="391"/>
      <c r="ESQ1598" s="390"/>
      <c r="ESR1598" s="391"/>
      <c r="ESS1598" s="390"/>
      <c r="EST1598" s="391"/>
      <c r="ESU1598" s="390"/>
      <c r="ESV1598" s="391"/>
      <c r="ESW1598" s="390"/>
      <c r="ESX1598" s="391"/>
      <c r="ESY1598" s="390"/>
      <c r="ESZ1598" s="391"/>
      <c r="ETA1598" s="390"/>
      <c r="ETB1598" s="391"/>
      <c r="ETC1598" s="390"/>
      <c r="ETD1598" s="391"/>
      <c r="ETE1598" s="390"/>
      <c r="ETF1598" s="391"/>
      <c r="ETG1598" s="390"/>
      <c r="ETH1598" s="391"/>
      <c r="ETI1598" s="390"/>
      <c r="ETJ1598" s="391"/>
      <c r="ETK1598" s="390"/>
      <c r="ETL1598" s="391"/>
      <c r="ETM1598" s="390"/>
      <c r="ETN1598" s="391"/>
      <c r="ETO1598" s="390"/>
      <c r="ETP1598" s="391"/>
      <c r="ETQ1598" s="390"/>
      <c r="ETR1598" s="391"/>
      <c r="ETS1598" s="390"/>
      <c r="ETT1598" s="391"/>
      <c r="ETU1598" s="390"/>
      <c r="ETV1598" s="391"/>
      <c r="ETW1598" s="390"/>
      <c r="ETX1598" s="391"/>
      <c r="ETY1598" s="390"/>
      <c r="ETZ1598" s="391"/>
      <c r="EUA1598" s="390"/>
      <c r="EUB1598" s="391"/>
      <c r="EUC1598" s="390"/>
      <c r="EUD1598" s="391"/>
      <c r="EUE1598" s="390"/>
      <c r="EUF1598" s="391"/>
      <c r="EUG1598" s="390"/>
      <c r="EUH1598" s="391"/>
      <c r="EUI1598" s="390"/>
      <c r="EUJ1598" s="391"/>
      <c r="EUK1598" s="390"/>
      <c r="EUL1598" s="391"/>
      <c r="EUM1598" s="390"/>
      <c r="EUN1598" s="391"/>
      <c r="EUO1598" s="390"/>
      <c r="EUP1598" s="391"/>
      <c r="EUQ1598" s="390"/>
      <c r="EUR1598" s="391"/>
      <c r="EUS1598" s="390"/>
      <c r="EUT1598" s="391"/>
      <c r="EUU1598" s="390"/>
      <c r="EUV1598" s="391"/>
      <c r="EUW1598" s="390"/>
      <c r="EUX1598" s="391"/>
      <c r="EUY1598" s="390"/>
      <c r="EUZ1598" s="391"/>
      <c r="EVA1598" s="390"/>
      <c r="EVB1598" s="391"/>
      <c r="EVC1598" s="390"/>
      <c r="EVD1598" s="391"/>
      <c r="EVE1598" s="390"/>
      <c r="EVF1598" s="391"/>
      <c r="EVG1598" s="390"/>
      <c r="EVH1598" s="391"/>
      <c r="EVI1598" s="390"/>
      <c r="EVJ1598" s="391"/>
      <c r="EVK1598" s="390"/>
      <c r="EVL1598" s="391"/>
      <c r="EVM1598" s="390"/>
      <c r="EVN1598" s="391"/>
      <c r="EVO1598" s="390"/>
      <c r="EVP1598" s="391"/>
      <c r="EVQ1598" s="390"/>
      <c r="EVR1598" s="391"/>
      <c r="EVS1598" s="390"/>
      <c r="EVT1598" s="391"/>
      <c r="EVU1598" s="390"/>
      <c r="EVV1598" s="391"/>
      <c r="EVW1598" s="390"/>
      <c r="EVX1598" s="391"/>
      <c r="EVY1598" s="390"/>
      <c r="EVZ1598" s="391"/>
      <c r="EWA1598" s="390"/>
      <c r="EWB1598" s="391"/>
      <c r="EWC1598" s="390"/>
      <c r="EWD1598" s="391"/>
      <c r="EWE1598" s="390"/>
      <c r="EWF1598" s="391"/>
      <c r="EWG1598" s="390"/>
      <c r="EWH1598" s="391"/>
      <c r="EWI1598" s="390"/>
      <c r="EWJ1598" s="391"/>
      <c r="EWK1598" s="390"/>
      <c r="EWL1598" s="391"/>
      <c r="EWM1598" s="390"/>
      <c r="EWN1598" s="391"/>
      <c r="EWO1598" s="390"/>
      <c r="EWP1598" s="391"/>
      <c r="EWQ1598" s="390"/>
      <c r="EWR1598" s="391"/>
      <c r="EWS1598" s="390"/>
      <c r="EWT1598" s="391"/>
      <c r="EWU1598" s="390"/>
      <c r="EWV1598" s="391"/>
      <c r="EWW1598" s="390"/>
      <c r="EWX1598" s="391"/>
      <c r="EWY1598" s="390"/>
      <c r="EWZ1598" s="391"/>
      <c r="EXA1598" s="390"/>
      <c r="EXB1598" s="391"/>
      <c r="EXC1598" s="390"/>
      <c r="EXD1598" s="391"/>
      <c r="EXE1598" s="390"/>
      <c r="EXF1598" s="391"/>
      <c r="EXG1598" s="390"/>
      <c r="EXH1598" s="391"/>
      <c r="EXI1598" s="390"/>
      <c r="EXJ1598" s="391"/>
      <c r="EXK1598" s="390"/>
      <c r="EXL1598" s="391"/>
      <c r="EXM1598" s="390"/>
      <c r="EXN1598" s="391"/>
      <c r="EXO1598" s="390"/>
      <c r="EXP1598" s="391"/>
      <c r="EXQ1598" s="390"/>
      <c r="EXR1598" s="391"/>
      <c r="EXS1598" s="390"/>
      <c r="EXT1598" s="391"/>
      <c r="EXU1598" s="390"/>
      <c r="EXV1598" s="391"/>
      <c r="EXW1598" s="390"/>
      <c r="EXX1598" s="391"/>
      <c r="EXY1598" s="390"/>
      <c r="EXZ1598" s="391"/>
      <c r="EYA1598" s="390"/>
      <c r="EYB1598" s="391"/>
      <c r="EYC1598" s="390"/>
      <c r="EYD1598" s="391"/>
      <c r="EYE1598" s="390"/>
      <c r="EYF1598" s="391"/>
      <c r="EYG1598" s="390"/>
      <c r="EYH1598" s="391"/>
      <c r="EYI1598" s="390"/>
      <c r="EYJ1598" s="391"/>
      <c r="EYK1598" s="390"/>
      <c r="EYL1598" s="391"/>
      <c r="EYM1598" s="390"/>
      <c r="EYN1598" s="391"/>
      <c r="EYO1598" s="390"/>
      <c r="EYP1598" s="391"/>
      <c r="EYQ1598" s="390"/>
      <c r="EYR1598" s="391"/>
      <c r="EYS1598" s="390"/>
      <c r="EYT1598" s="391"/>
      <c r="EYU1598" s="390"/>
      <c r="EYV1598" s="391"/>
      <c r="EYW1598" s="390"/>
      <c r="EYX1598" s="391"/>
      <c r="EYY1598" s="390"/>
      <c r="EYZ1598" s="391"/>
      <c r="EZA1598" s="390"/>
      <c r="EZB1598" s="391"/>
      <c r="EZC1598" s="390"/>
      <c r="EZD1598" s="391"/>
      <c r="EZE1598" s="390"/>
      <c r="EZF1598" s="391"/>
      <c r="EZG1598" s="390"/>
      <c r="EZH1598" s="391"/>
      <c r="EZI1598" s="390"/>
      <c r="EZJ1598" s="391"/>
      <c r="EZK1598" s="390"/>
      <c r="EZL1598" s="391"/>
      <c r="EZM1598" s="390"/>
      <c r="EZN1598" s="391"/>
      <c r="EZO1598" s="390"/>
      <c r="EZP1598" s="391"/>
      <c r="EZQ1598" s="390"/>
      <c r="EZR1598" s="391"/>
      <c r="EZS1598" s="390"/>
      <c r="EZT1598" s="391"/>
      <c r="EZU1598" s="390"/>
      <c r="EZV1598" s="391"/>
      <c r="EZW1598" s="390"/>
      <c r="EZX1598" s="391"/>
      <c r="EZY1598" s="390"/>
      <c r="EZZ1598" s="391"/>
      <c r="FAA1598" s="390"/>
      <c r="FAB1598" s="391"/>
      <c r="FAC1598" s="390"/>
      <c r="FAD1598" s="391"/>
      <c r="FAE1598" s="390"/>
      <c r="FAF1598" s="391"/>
      <c r="FAG1598" s="390"/>
      <c r="FAH1598" s="391"/>
      <c r="FAI1598" s="390"/>
      <c r="FAJ1598" s="391"/>
      <c r="FAK1598" s="390"/>
      <c r="FAL1598" s="391"/>
      <c r="FAM1598" s="390"/>
      <c r="FAN1598" s="391"/>
      <c r="FAO1598" s="390"/>
      <c r="FAP1598" s="391"/>
      <c r="FAQ1598" s="390"/>
      <c r="FAR1598" s="391"/>
      <c r="FAS1598" s="390"/>
      <c r="FAT1598" s="391"/>
      <c r="FAU1598" s="390"/>
      <c r="FAV1598" s="391"/>
      <c r="FAW1598" s="390"/>
      <c r="FAX1598" s="391"/>
      <c r="FAY1598" s="390"/>
      <c r="FAZ1598" s="391"/>
      <c r="FBA1598" s="390"/>
      <c r="FBB1598" s="391"/>
      <c r="FBC1598" s="390"/>
      <c r="FBD1598" s="391"/>
      <c r="FBE1598" s="390"/>
      <c r="FBF1598" s="391"/>
      <c r="FBG1598" s="390"/>
      <c r="FBH1598" s="391"/>
      <c r="FBI1598" s="390"/>
      <c r="FBJ1598" s="391"/>
      <c r="FBK1598" s="390"/>
      <c r="FBL1598" s="391"/>
      <c r="FBM1598" s="390"/>
      <c r="FBN1598" s="391"/>
      <c r="FBO1598" s="390"/>
      <c r="FBP1598" s="391"/>
      <c r="FBQ1598" s="390"/>
      <c r="FBR1598" s="391"/>
      <c r="FBS1598" s="390"/>
      <c r="FBT1598" s="391"/>
      <c r="FBU1598" s="390"/>
      <c r="FBV1598" s="391"/>
      <c r="FBW1598" s="390"/>
      <c r="FBX1598" s="391"/>
      <c r="FBY1598" s="390"/>
      <c r="FBZ1598" s="391"/>
      <c r="FCA1598" s="390"/>
      <c r="FCB1598" s="391"/>
      <c r="FCC1598" s="390"/>
      <c r="FCD1598" s="391"/>
      <c r="FCE1598" s="390"/>
      <c r="FCF1598" s="391"/>
      <c r="FCG1598" s="390"/>
      <c r="FCH1598" s="391"/>
      <c r="FCI1598" s="390"/>
      <c r="FCJ1598" s="391"/>
      <c r="FCK1598" s="390"/>
      <c r="FCL1598" s="391"/>
      <c r="FCM1598" s="390"/>
      <c r="FCN1598" s="391"/>
      <c r="FCO1598" s="390"/>
      <c r="FCP1598" s="391"/>
      <c r="FCQ1598" s="390"/>
      <c r="FCR1598" s="391"/>
      <c r="FCS1598" s="390"/>
      <c r="FCT1598" s="391"/>
      <c r="FCU1598" s="390"/>
      <c r="FCV1598" s="391"/>
      <c r="FCW1598" s="390"/>
      <c r="FCX1598" s="391"/>
      <c r="FCY1598" s="390"/>
      <c r="FCZ1598" s="391"/>
      <c r="FDA1598" s="390"/>
      <c r="FDB1598" s="391"/>
      <c r="FDC1598" s="390"/>
      <c r="FDD1598" s="391"/>
      <c r="FDE1598" s="390"/>
      <c r="FDF1598" s="391"/>
      <c r="FDG1598" s="390"/>
      <c r="FDH1598" s="391"/>
      <c r="FDI1598" s="390"/>
      <c r="FDJ1598" s="391"/>
      <c r="FDK1598" s="390"/>
      <c r="FDL1598" s="391"/>
      <c r="FDM1598" s="390"/>
      <c r="FDN1598" s="391"/>
      <c r="FDO1598" s="390"/>
      <c r="FDP1598" s="391"/>
      <c r="FDQ1598" s="390"/>
      <c r="FDR1598" s="391"/>
      <c r="FDS1598" s="390"/>
      <c r="FDT1598" s="391"/>
      <c r="FDU1598" s="390"/>
      <c r="FDV1598" s="391"/>
      <c r="FDW1598" s="390"/>
      <c r="FDX1598" s="391"/>
      <c r="FDY1598" s="390"/>
      <c r="FDZ1598" s="391"/>
      <c r="FEA1598" s="390"/>
      <c r="FEB1598" s="391"/>
      <c r="FEC1598" s="390"/>
      <c r="FED1598" s="391"/>
      <c r="FEE1598" s="390"/>
      <c r="FEF1598" s="391"/>
      <c r="FEG1598" s="390"/>
      <c r="FEH1598" s="391"/>
      <c r="FEI1598" s="390"/>
      <c r="FEJ1598" s="391"/>
      <c r="FEK1598" s="390"/>
      <c r="FEL1598" s="391"/>
      <c r="FEM1598" s="390"/>
      <c r="FEN1598" s="391"/>
      <c r="FEO1598" s="390"/>
      <c r="FEP1598" s="391"/>
      <c r="FEQ1598" s="390"/>
      <c r="FER1598" s="391"/>
      <c r="FES1598" s="390"/>
      <c r="FET1598" s="391"/>
      <c r="FEU1598" s="390"/>
      <c r="FEV1598" s="391"/>
      <c r="FEW1598" s="390"/>
      <c r="FEX1598" s="391"/>
      <c r="FEY1598" s="390"/>
      <c r="FEZ1598" s="391"/>
      <c r="FFA1598" s="390"/>
      <c r="FFB1598" s="391"/>
      <c r="FFC1598" s="390"/>
      <c r="FFD1598" s="391"/>
      <c r="FFE1598" s="390"/>
      <c r="FFF1598" s="391"/>
      <c r="FFG1598" s="390"/>
      <c r="FFH1598" s="391"/>
      <c r="FFI1598" s="390"/>
      <c r="FFJ1598" s="391"/>
      <c r="FFK1598" s="390"/>
      <c r="FFL1598" s="391"/>
      <c r="FFM1598" s="390"/>
      <c r="FFN1598" s="391"/>
      <c r="FFO1598" s="390"/>
      <c r="FFP1598" s="391"/>
      <c r="FFQ1598" s="390"/>
      <c r="FFR1598" s="391"/>
      <c r="FFS1598" s="390"/>
      <c r="FFT1598" s="391"/>
      <c r="FFU1598" s="390"/>
      <c r="FFV1598" s="391"/>
      <c r="FFW1598" s="390"/>
      <c r="FFX1598" s="391"/>
      <c r="FFY1598" s="390"/>
      <c r="FFZ1598" s="391"/>
      <c r="FGA1598" s="390"/>
      <c r="FGB1598" s="391"/>
      <c r="FGC1598" s="390"/>
      <c r="FGD1598" s="391"/>
      <c r="FGE1598" s="390"/>
      <c r="FGF1598" s="391"/>
      <c r="FGG1598" s="390"/>
      <c r="FGH1598" s="391"/>
      <c r="FGI1598" s="390"/>
      <c r="FGJ1598" s="391"/>
      <c r="FGK1598" s="390"/>
      <c r="FGL1598" s="391"/>
      <c r="FGM1598" s="390"/>
      <c r="FGN1598" s="391"/>
      <c r="FGO1598" s="390"/>
      <c r="FGP1598" s="391"/>
      <c r="FGQ1598" s="390"/>
      <c r="FGR1598" s="391"/>
      <c r="FGS1598" s="390"/>
      <c r="FGT1598" s="391"/>
      <c r="FGU1598" s="390"/>
      <c r="FGV1598" s="391"/>
      <c r="FGW1598" s="390"/>
      <c r="FGX1598" s="391"/>
      <c r="FGY1598" s="390"/>
      <c r="FGZ1598" s="391"/>
      <c r="FHA1598" s="390"/>
      <c r="FHB1598" s="391"/>
      <c r="FHC1598" s="390"/>
      <c r="FHD1598" s="391"/>
      <c r="FHE1598" s="390"/>
      <c r="FHF1598" s="391"/>
      <c r="FHG1598" s="390"/>
      <c r="FHH1598" s="391"/>
      <c r="FHI1598" s="390"/>
      <c r="FHJ1598" s="391"/>
      <c r="FHK1598" s="390"/>
      <c r="FHL1598" s="391"/>
      <c r="FHM1598" s="390"/>
      <c r="FHN1598" s="391"/>
      <c r="FHO1598" s="390"/>
      <c r="FHP1598" s="391"/>
      <c r="FHQ1598" s="390"/>
      <c r="FHR1598" s="391"/>
      <c r="FHS1598" s="390"/>
      <c r="FHT1598" s="391"/>
      <c r="FHU1598" s="390"/>
      <c r="FHV1598" s="391"/>
      <c r="FHW1598" s="390"/>
      <c r="FHX1598" s="391"/>
      <c r="FHY1598" s="390"/>
      <c r="FHZ1598" s="391"/>
      <c r="FIA1598" s="390"/>
      <c r="FIB1598" s="391"/>
      <c r="FIC1598" s="390"/>
      <c r="FID1598" s="391"/>
      <c r="FIE1598" s="390"/>
      <c r="FIF1598" s="391"/>
      <c r="FIG1598" s="390"/>
      <c r="FIH1598" s="391"/>
      <c r="FII1598" s="390"/>
      <c r="FIJ1598" s="391"/>
      <c r="FIK1598" s="390"/>
      <c r="FIL1598" s="391"/>
      <c r="FIM1598" s="390"/>
      <c r="FIN1598" s="391"/>
      <c r="FIO1598" s="390"/>
      <c r="FIP1598" s="391"/>
      <c r="FIQ1598" s="390"/>
      <c r="FIR1598" s="391"/>
      <c r="FIS1598" s="390"/>
      <c r="FIT1598" s="391"/>
      <c r="FIU1598" s="390"/>
      <c r="FIV1598" s="391"/>
      <c r="FIW1598" s="390"/>
      <c r="FIX1598" s="391"/>
      <c r="FIY1598" s="390"/>
      <c r="FIZ1598" s="391"/>
      <c r="FJA1598" s="390"/>
      <c r="FJB1598" s="391"/>
      <c r="FJC1598" s="390"/>
      <c r="FJD1598" s="391"/>
      <c r="FJE1598" s="390"/>
      <c r="FJF1598" s="391"/>
      <c r="FJG1598" s="390"/>
      <c r="FJH1598" s="391"/>
      <c r="FJI1598" s="390"/>
      <c r="FJJ1598" s="391"/>
      <c r="FJK1598" s="390"/>
      <c r="FJL1598" s="391"/>
      <c r="FJM1598" s="390"/>
      <c r="FJN1598" s="391"/>
      <c r="FJO1598" s="390"/>
      <c r="FJP1598" s="391"/>
      <c r="FJQ1598" s="390"/>
      <c r="FJR1598" s="391"/>
      <c r="FJS1598" s="390"/>
      <c r="FJT1598" s="391"/>
      <c r="FJU1598" s="390"/>
      <c r="FJV1598" s="391"/>
      <c r="FJW1598" s="390"/>
      <c r="FJX1598" s="391"/>
      <c r="FJY1598" s="390"/>
      <c r="FJZ1598" s="391"/>
      <c r="FKA1598" s="390"/>
      <c r="FKB1598" s="391"/>
      <c r="FKC1598" s="390"/>
      <c r="FKD1598" s="391"/>
      <c r="FKE1598" s="390"/>
      <c r="FKF1598" s="391"/>
      <c r="FKG1598" s="390"/>
      <c r="FKH1598" s="391"/>
      <c r="FKI1598" s="390"/>
      <c r="FKJ1598" s="391"/>
      <c r="FKK1598" s="390"/>
      <c r="FKL1598" s="391"/>
      <c r="FKM1598" s="390"/>
      <c r="FKN1598" s="391"/>
      <c r="FKO1598" s="390"/>
      <c r="FKP1598" s="391"/>
      <c r="FKQ1598" s="390"/>
      <c r="FKR1598" s="391"/>
      <c r="FKS1598" s="390"/>
      <c r="FKT1598" s="391"/>
      <c r="FKU1598" s="390"/>
      <c r="FKV1598" s="391"/>
      <c r="FKW1598" s="390"/>
      <c r="FKX1598" s="391"/>
      <c r="FKY1598" s="390"/>
      <c r="FKZ1598" s="391"/>
      <c r="FLA1598" s="390"/>
      <c r="FLB1598" s="391"/>
      <c r="FLC1598" s="390"/>
      <c r="FLD1598" s="391"/>
      <c r="FLE1598" s="390"/>
      <c r="FLF1598" s="391"/>
      <c r="FLG1598" s="390"/>
      <c r="FLH1598" s="391"/>
      <c r="FLI1598" s="390"/>
      <c r="FLJ1598" s="391"/>
      <c r="FLK1598" s="390"/>
      <c r="FLL1598" s="391"/>
      <c r="FLM1598" s="390"/>
      <c r="FLN1598" s="391"/>
      <c r="FLO1598" s="390"/>
      <c r="FLP1598" s="391"/>
      <c r="FLQ1598" s="390"/>
      <c r="FLR1598" s="391"/>
      <c r="FLS1598" s="390"/>
      <c r="FLT1598" s="391"/>
      <c r="FLU1598" s="390"/>
      <c r="FLV1598" s="391"/>
      <c r="FLW1598" s="390"/>
      <c r="FLX1598" s="391"/>
      <c r="FLY1598" s="390"/>
      <c r="FLZ1598" s="391"/>
      <c r="FMA1598" s="390"/>
      <c r="FMB1598" s="391"/>
      <c r="FMC1598" s="390"/>
      <c r="FMD1598" s="391"/>
      <c r="FME1598" s="390"/>
      <c r="FMF1598" s="391"/>
      <c r="FMG1598" s="390"/>
      <c r="FMH1598" s="391"/>
      <c r="FMI1598" s="390"/>
      <c r="FMJ1598" s="391"/>
      <c r="FMK1598" s="390"/>
      <c r="FML1598" s="391"/>
      <c r="FMM1598" s="390"/>
      <c r="FMN1598" s="391"/>
      <c r="FMO1598" s="390"/>
      <c r="FMP1598" s="391"/>
      <c r="FMQ1598" s="390"/>
      <c r="FMR1598" s="391"/>
      <c r="FMS1598" s="390"/>
      <c r="FMT1598" s="391"/>
      <c r="FMU1598" s="390"/>
      <c r="FMV1598" s="391"/>
      <c r="FMW1598" s="390"/>
      <c r="FMX1598" s="391"/>
      <c r="FMY1598" s="390"/>
      <c r="FMZ1598" s="391"/>
      <c r="FNA1598" s="390"/>
      <c r="FNB1598" s="391"/>
      <c r="FNC1598" s="390"/>
      <c r="FND1598" s="391"/>
      <c r="FNE1598" s="390"/>
      <c r="FNF1598" s="391"/>
      <c r="FNG1598" s="390"/>
      <c r="FNH1598" s="391"/>
      <c r="FNI1598" s="390"/>
      <c r="FNJ1598" s="391"/>
      <c r="FNK1598" s="390"/>
      <c r="FNL1598" s="391"/>
      <c r="FNM1598" s="390"/>
      <c r="FNN1598" s="391"/>
      <c r="FNO1598" s="390"/>
      <c r="FNP1598" s="391"/>
      <c r="FNQ1598" s="390"/>
      <c r="FNR1598" s="391"/>
      <c r="FNS1598" s="390"/>
      <c r="FNT1598" s="391"/>
      <c r="FNU1598" s="390"/>
      <c r="FNV1598" s="391"/>
      <c r="FNW1598" s="390"/>
      <c r="FNX1598" s="391"/>
      <c r="FNY1598" s="390"/>
      <c r="FNZ1598" s="391"/>
      <c r="FOA1598" s="390"/>
      <c r="FOB1598" s="391"/>
      <c r="FOC1598" s="390"/>
      <c r="FOD1598" s="391"/>
      <c r="FOE1598" s="390"/>
      <c r="FOF1598" s="391"/>
      <c r="FOG1598" s="390"/>
      <c r="FOH1598" s="391"/>
      <c r="FOI1598" s="390"/>
      <c r="FOJ1598" s="391"/>
      <c r="FOK1598" s="390"/>
      <c r="FOL1598" s="391"/>
      <c r="FOM1598" s="390"/>
      <c r="FON1598" s="391"/>
      <c r="FOO1598" s="390"/>
      <c r="FOP1598" s="391"/>
      <c r="FOQ1598" s="390"/>
      <c r="FOR1598" s="391"/>
      <c r="FOS1598" s="390"/>
      <c r="FOT1598" s="391"/>
      <c r="FOU1598" s="390"/>
      <c r="FOV1598" s="391"/>
      <c r="FOW1598" s="390"/>
      <c r="FOX1598" s="391"/>
      <c r="FOY1598" s="390"/>
      <c r="FOZ1598" s="391"/>
      <c r="FPA1598" s="390"/>
      <c r="FPB1598" s="391"/>
      <c r="FPC1598" s="390"/>
      <c r="FPD1598" s="391"/>
      <c r="FPE1598" s="390"/>
      <c r="FPF1598" s="391"/>
      <c r="FPG1598" s="390"/>
      <c r="FPH1598" s="391"/>
      <c r="FPI1598" s="390"/>
      <c r="FPJ1598" s="391"/>
      <c r="FPK1598" s="390"/>
      <c r="FPL1598" s="391"/>
      <c r="FPM1598" s="390"/>
      <c r="FPN1598" s="391"/>
      <c r="FPO1598" s="390"/>
      <c r="FPP1598" s="391"/>
      <c r="FPQ1598" s="390"/>
      <c r="FPR1598" s="391"/>
      <c r="FPS1598" s="390"/>
      <c r="FPT1598" s="391"/>
      <c r="FPU1598" s="390"/>
      <c r="FPV1598" s="391"/>
      <c r="FPW1598" s="390"/>
      <c r="FPX1598" s="391"/>
      <c r="FPY1598" s="390"/>
      <c r="FPZ1598" s="391"/>
      <c r="FQA1598" s="390"/>
      <c r="FQB1598" s="391"/>
      <c r="FQC1598" s="390"/>
      <c r="FQD1598" s="391"/>
      <c r="FQE1598" s="390"/>
      <c r="FQF1598" s="391"/>
      <c r="FQG1598" s="390"/>
      <c r="FQH1598" s="391"/>
      <c r="FQI1598" s="390"/>
      <c r="FQJ1598" s="391"/>
      <c r="FQK1598" s="390"/>
      <c r="FQL1598" s="391"/>
      <c r="FQM1598" s="390"/>
      <c r="FQN1598" s="391"/>
      <c r="FQO1598" s="390"/>
      <c r="FQP1598" s="391"/>
      <c r="FQQ1598" s="390"/>
      <c r="FQR1598" s="391"/>
      <c r="FQS1598" s="390"/>
      <c r="FQT1598" s="391"/>
      <c r="FQU1598" s="390"/>
      <c r="FQV1598" s="391"/>
      <c r="FQW1598" s="390"/>
      <c r="FQX1598" s="391"/>
      <c r="FQY1598" s="390"/>
      <c r="FQZ1598" s="391"/>
      <c r="FRA1598" s="390"/>
      <c r="FRB1598" s="391"/>
      <c r="FRC1598" s="390"/>
      <c r="FRD1598" s="391"/>
      <c r="FRE1598" s="390"/>
      <c r="FRF1598" s="391"/>
      <c r="FRG1598" s="390"/>
      <c r="FRH1598" s="391"/>
      <c r="FRI1598" s="390"/>
      <c r="FRJ1598" s="391"/>
      <c r="FRK1598" s="390"/>
      <c r="FRL1598" s="391"/>
      <c r="FRM1598" s="390"/>
      <c r="FRN1598" s="391"/>
      <c r="FRO1598" s="390"/>
      <c r="FRP1598" s="391"/>
      <c r="FRQ1598" s="390"/>
      <c r="FRR1598" s="391"/>
      <c r="FRS1598" s="390"/>
      <c r="FRT1598" s="391"/>
      <c r="FRU1598" s="390"/>
      <c r="FRV1598" s="391"/>
      <c r="FRW1598" s="390"/>
      <c r="FRX1598" s="391"/>
      <c r="FRY1598" s="390"/>
      <c r="FRZ1598" s="391"/>
      <c r="FSA1598" s="390"/>
      <c r="FSB1598" s="391"/>
      <c r="FSC1598" s="390"/>
      <c r="FSD1598" s="391"/>
      <c r="FSE1598" s="390"/>
      <c r="FSF1598" s="391"/>
      <c r="FSG1598" s="390"/>
      <c r="FSH1598" s="391"/>
      <c r="FSI1598" s="390"/>
      <c r="FSJ1598" s="391"/>
      <c r="FSK1598" s="390"/>
      <c r="FSL1598" s="391"/>
      <c r="FSM1598" s="390"/>
      <c r="FSN1598" s="391"/>
      <c r="FSO1598" s="390"/>
      <c r="FSP1598" s="391"/>
      <c r="FSQ1598" s="390"/>
      <c r="FSR1598" s="391"/>
      <c r="FSS1598" s="390"/>
      <c r="FST1598" s="391"/>
      <c r="FSU1598" s="390"/>
      <c r="FSV1598" s="391"/>
      <c r="FSW1598" s="390"/>
      <c r="FSX1598" s="391"/>
      <c r="FSY1598" s="390"/>
      <c r="FSZ1598" s="391"/>
      <c r="FTA1598" s="390"/>
      <c r="FTB1598" s="391"/>
      <c r="FTC1598" s="390"/>
      <c r="FTD1598" s="391"/>
      <c r="FTE1598" s="390"/>
      <c r="FTF1598" s="391"/>
      <c r="FTG1598" s="390"/>
      <c r="FTH1598" s="391"/>
      <c r="FTI1598" s="390"/>
      <c r="FTJ1598" s="391"/>
      <c r="FTK1598" s="390"/>
      <c r="FTL1598" s="391"/>
      <c r="FTM1598" s="390"/>
      <c r="FTN1598" s="391"/>
      <c r="FTO1598" s="390"/>
      <c r="FTP1598" s="391"/>
      <c r="FTQ1598" s="390"/>
      <c r="FTR1598" s="391"/>
      <c r="FTS1598" s="390"/>
      <c r="FTT1598" s="391"/>
      <c r="FTU1598" s="390"/>
      <c r="FTV1598" s="391"/>
      <c r="FTW1598" s="390"/>
      <c r="FTX1598" s="391"/>
      <c r="FTY1598" s="390"/>
      <c r="FTZ1598" s="391"/>
      <c r="FUA1598" s="390"/>
      <c r="FUB1598" s="391"/>
      <c r="FUC1598" s="390"/>
      <c r="FUD1598" s="391"/>
      <c r="FUE1598" s="390"/>
      <c r="FUF1598" s="391"/>
      <c r="FUG1598" s="390"/>
      <c r="FUH1598" s="391"/>
      <c r="FUI1598" s="390"/>
      <c r="FUJ1598" s="391"/>
      <c r="FUK1598" s="390"/>
      <c r="FUL1598" s="391"/>
      <c r="FUM1598" s="390"/>
      <c r="FUN1598" s="391"/>
      <c r="FUO1598" s="390"/>
      <c r="FUP1598" s="391"/>
      <c r="FUQ1598" s="390"/>
      <c r="FUR1598" s="391"/>
      <c r="FUS1598" s="390"/>
      <c r="FUT1598" s="391"/>
      <c r="FUU1598" s="390"/>
      <c r="FUV1598" s="391"/>
      <c r="FUW1598" s="390"/>
      <c r="FUX1598" s="391"/>
      <c r="FUY1598" s="390"/>
      <c r="FUZ1598" s="391"/>
      <c r="FVA1598" s="390"/>
      <c r="FVB1598" s="391"/>
      <c r="FVC1598" s="390"/>
      <c r="FVD1598" s="391"/>
      <c r="FVE1598" s="390"/>
      <c r="FVF1598" s="391"/>
      <c r="FVG1598" s="390"/>
      <c r="FVH1598" s="391"/>
      <c r="FVI1598" s="390"/>
      <c r="FVJ1598" s="391"/>
      <c r="FVK1598" s="390"/>
      <c r="FVL1598" s="391"/>
      <c r="FVM1598" s="390"/>
      <c r="FVN1598" s="391"/>
      <c r="FVO1598" s="390"/>
      <c r="FVP1598" s="391"/>
      <c r="FVQ1598" s="390"/>
      <c r="FVR1598" s="391"/>
      <c r="FVS1598" s="390"/>
      <c r="FVT1598" s="391"/>
      <c r="FVU1598" s="390"/>
      <c r="FVV1598" s="391"/>
      <c r="FVW1598" s="390"/>
      <c r="FVX1598" s="391"/>
      <c r="FVY1598" s="390"/>
      <c r="FVZ1598" s="391"/>
      <c r="FWA1598" s="390"/>
      <c r="FWB1598" s="391"/>
      <c r="FWC1598" s="390"/>
      <c r="FWD1598" s="391"/>
      <c r="FWE1598" s="390"/>
      <c r="FWF1598" s="391"/>
      <c r="FWG1598" s="390"/>
      <c r="FWH1598" s="391"/>
      <c r="FWI1598" s="390"/>
      <c r="FWJ1598" s="391"/>
      <c r="FWK1598" s="390"/>
      <c r="FWL1598" s="391"/>
      <c r="FWM1598" s="390"/>
      <c r="FWN1598" s="391"/>
      <c r="FWO1598" s="390"/>
      <c r="FWP1598" s="391"/>
      <c r="FWQ1598" s="390"/>
      <c r="FWR1598" s="391"/>
      <c r="FWS1598" s="390"/>
      <c r="FWT1598" s="391"/>
      <c r="FWU1598" s="390"/>
      <c r="FWV1598" s="391"/>
      <c r="FWW1598" s="390"/>
      <c r="FWX1598" s="391"/>
      <c r="FWY1598" s="390"/>
      <c r="FWZ1598" s="391"/>
      <c r="FXA1598" s="390"/>
      <c r="FXB1598" s="391"/>
      <c r="FXC1598" s="390"/>
      <c r="FXD1598" s="391"/>
      <c r="FXE1598" s="390"/>
      <c r="FXF1598" s="391"/>
      <c r="FXG1598" s="390"/>
      <c r="FXH1598" s="391"/>
      <c r="FXI1598" s="390"/>
      <c r="FXJ1598" s="391"/>
      <c r="FXK1598" s="390"/>
      <c r="FXL1598" s="391"/>
      <c r="FXM1598" s="390"/>
      <c r="FXN1598" s="391"/>
      <c r="FXO1598" s="390"/>
      <c r="FXP1598" s="391"/>
      <c r="FXQ1598" s="390"/>
      <c r="FXR1598" s="391"/>
      <c r="FXS1598" s="390"/>
      <c r="FXT1598" s="391"/>
      <c r="FXU1598" s="390"/>
      <c r="FXV1598" s="391"/>
      <c r="FXW1598" s="390"/>
      <c r="FXX1598" s="391"/>
      <c r="FXY1598" s="390"/>
      <c r="FXZ1598" s="391"/>
      <c r="FYA1598" s="390"/>
      <c r="FYB1598" s="391"/>
      <c r="FYC1598" s="390"/>
      <c r="FYD1598" s="391"/>
      <c r="FYE1598" s="390"/>
      <c r="FYF1598" s="391"/>
      <c r="FYG1598" s="390"/>
      <c r="FYH1598" s="391"/>
      <c r="FYI1598" s="390"/>
      <c r="FYJ1598" s="391"/>
      <c r="FYK1598" s="390"/>
      <c r="FYL1598" s="391"/>
      <c r="FYM1598" s="390"/>
      <c r="FYN1598" s="391"/>
      <c r="FYO1598" s="390"/>
      <c r="FYP1598" s="391"/>
      <c r="FYQ1598" s="390"/>
      <c r="FYR1598" s="391"/>
      <c r="FYS1598" s="390"/>
      <c r="FYT1598" s="391"/>
      <c r="FYU1598" s="390"/>
      <c r="FYV1598" s="391"/>
      <c r="FYW1598" s="390"/>
      <c r="FYX1598" s="391"/>
      <c r="FYY1598" s="390"/>
      <c r="FYZ1598" s="391"/>
      <c r="FZA1598" s="390"/>
      <c r="FZB1598" s="391"/>
      <c r="FZC1598" s="390"/>
      <c r="FZD1598" s="391"/>
      <c r="FZE1598" s="390"/>
      <c r="FZF1598" s="391"/>
      <c r="FZG1598" s="390"/>
      <c r="FZH1598" s="391"/>
      <c r="FZI1598" s="390"/>
      <c r="FZJ1598" s="391"/>
      <c r="FZK1598" s="390"/>
      <c r="FZL1598" s="391"/>
      <c r="FZM1598" s="390"/>
      <c r="FZN1598" s="391"/>
      <c r="FZO1598" s="390"/>
      <c r="FZP1598" s="391"/>
      <c r="FZQ1598" s="390"/>
      <c r="FZR1598" s="391"/>
      <c r="FZS1598" s="390"/>
      <c r="FZT1598" s="391"/>
      <c r="FZU1598" s="390"/>
      <c r="FZV1598" s="391"/>
      <c r="FZW1598" s="390"/>
      <c r="FZX1598" s="391"/>
      <c r="FZY1598" s="390"/>
      <c r="FZZ1598" s="391"/>
      <c r="GAA1598" s="390"/>
      <c r="GAB1598" s="391"/>
      <c r="GAC1598" s="390"/>
      <c r="GAD1598" s="391"/>
      <c r="GAE1598" s="390"/>
      <c r="GAF1598" s="391"/>
      <c r="GAG1598" s="390"/>
      <c r="GAH1598" s="391"/>
      <c r="GAI1598" s="390"/>
      <c r="GAJ1598" s="391"/>
      <c r="GAK1598" s="390"/>
      <c r="GAL1598" s="391"/>
      <c r="GAM1598" s="390"/>
      <c r="GAN1598" s="391"/>
      <c r="GAO1598" s="390"/>
      <c r="GAP1598" s="391"/>
      <c r="GAQ1598" s="390"/>
      <c r="GAR1598" s="391"/>
      <c r="GAS1598" s="390"/>
      <c r="GAT1598" s="391"/>
      <c r="GAU1598" s="390"/>
      <c r="GAV1598" s="391"/>
      <c r="GAW1598" s="390"/>
      <c r="GAX1598" s="391"/>
      <c r="GAY1598" s="390"/>
      <c r="GAZ1598" s="391"/>
      <c r="GBA1598" s="390"/>
      <c r="GBB1598" s="391"/>
      <c r="GBC1598" s="390"/>
      <c r="GBD1598" s="391"/>
      <c r="GBE1598" s="390"/>
      <c r="GBF1598" s="391"/>
      <c r="GBG1598" s="390"/>
      <c r="GBH1598" s="391"/>
      <c r="GBI1598" s="390"/>
      <c r="GBJ1598" s="391"/>
      <c r="GBK1598" s="390"/>
      <c r="GBL1598" s="391"/>
      <c r="GBM1598" s="390"/>
      <c r="GBN1598" s="391"/>
      <c r="GBO1598" s="390"/>
      <c r="GBP1598" s="391"/>
      <c r="GBQ1598" s="390"/>
      <c r="GBR1598" s="391"/>
      <c r="GBS1598" s="390"/>
      <c r="GBT1598" s="391"/>
      <c r="GBU1598" s="390"/>
      <c r="GBV1598" s="391"/>
      <c r="GBW1598" s="390"/>
      <c r="GBX1598" s="391"/>
      <c r="GBY1598" s="390"/>
      <c r="GBZ1598" s="391"/>
      <c r="GCA1598" s="390"/>
      <c r="GCB1598" s="391"/>
      <c r="GCC1598" s="390"/>
      <c r="GCD1598" s="391"/>
      <c r="GCE1598" s="390"/>
      <c r="GCF1598" s="391"/>
      <c r="GCG1598" s="390"/>
      <c r="GCH1598" s="391"/>
      <c r="GCI1598" s="390"/>
      <c r="GCJ1598" s="391"/>
      <c r="GCK1598" s="390"/>
      <c r="GCL1598" s="391"/>
      <c r="GCM1598" s="390"/>
      <c r="GCN1598" s="391"/>
      <c r="GCO1598" s="390"/>
      <c r="GCP1598" s="391"/>
      <c r="GCQ1598" s="390"/>
      <c r="GCR1598" s="391"/>
      <c r="GCS1598" s="390"/>
      <c r="GCT1598" s="391"/>
      <c r="GCU1598" s="390"/>
      <c r="GCV1598" s="391"/>
      <c r="GCW1598" s="390"/>
      <c r="GCX1598" s="391"/>
      <c r="GCY1598" s="390"/>
      <c r="GCZ1598" s="391"/>
      <c r="GDA1598" s="390"/>
      <c r="GDB1598" s="391"/>
      <c r="GDC1598" s="390"/>
      <c r="GDD1598" s="391"/>
      <c r="GDE1598" s="390"/>
      <c r="GDF1598" s="391"/>
      <c r="GDG1598" s="390"/>
      <c r="GDH1598" s="391"/>
      <c r="GDI1598" s="390"/>
      <c r="GDJ1598" s="391"/>
      <c r="GDK1598" s="390"/>
      <c r="GDL1598" s="391"/>
      <c r="GDM1598" s="390"/>
      <c r="GDN1598" s="391"/>
      <c r="GDO1598" s="390"/>
      <c r="GDP1598" s="391"/>
      <c r="GDQ1598" s="390"/>
      <c r="GDR1598" s="391"/>
      <c r="GDS1598" s="390"/>
      <c r="GDT1598" s="391"/>
      <c r="GDU1598" s="390"/>
      <c r="GDV1598" s="391"/>
      <c r="GDW1598" s="390"/>
      <c r="GDX1598" s="391"/>
      <c r="GDY1598" s="390"/>
      <c r="GDZ1598" s="391"/>
      <c r="GEA1598" s="390"/>
      <c r="GEB1598" s="391"/>
      <c r="GEC1598" s="390"/>
      <c r="GED1598" s="391"/>
      <c r="GEE1598" s="390"/>
      <c r="GEF1598" s="391"/>
      <c r="GEG1598" s="390"/>
      <c r="GEH1598" s="391"/>
      <c r="GEI1598" s="390"/>
      <c r="GEJ1598" s="391"/>
      <c r="GEK1598" s="390"/>
      <c r="GEL1598" s="391"/>
      <c r="GEM1598" s="390"/>
      <c r="GEN1598" s="391"/>
      <c r="GEO1598" s="390"/>
      <c r="GEP1598" s="391"/>
      <c r="GEQ1598" s="390"/>
      <c r="GER1598" s="391"/>
      <c r="GES1598" s="390"/>
      <c r="GET1598" s="391"/>
      <c r="GEU1598" s="390"/>
      <c r="GEV1598" s="391"/>
      <c r="GEW1598" s="390"/>
      <c r="GEX1598" s="391"/>
      <c r="GEY1598" s="390"/>
      <c r="GEZ1598" s="391"/>
      <c r="GFA1598" s="390"/>
      <c r="GFB1598" s="391"/>
      <c r="GFC1598" s="390"/>
      <c r="GFD1598" s="391"/>
      <c r="GFE1598" s="390"/>
      <c r="GFF1598" s="391"/>
      <c r="GFG1598" s="390"/>
      <c r="GFH1598" s="391"/>
      <c r="GFI1598" s="390"/>
      <c r="GFJ1598" s="391"/>
      <c r="GFK1598" s="390"/>
      <c r="GFL1598" s="391"/>
      <c r="GFM1598" s="390"/>
      <c r="GFN1598" s="391"/>
      <c r="GFO1598" s="390"/>
      <c r="GFP1598" s="391"/>
      <c r="GFQ1598" s="390"/>
      <c r="GFR1598" s="391"/>
      <c r="GFS1598" s="390"/>
      <c r="GFT1598" s="391"/>
      <c r="GFU1598" s="390"/>
      <c r="GFV1598" s="391"/>
      <c r="GFW1598" s="390"/>
      <c r="GFX1598" s="391"/>
      <c r="GFY1598" s="390"/>
      <c r="GFZ1598" s="391"/>
      <c r="GGA1598" s="390"/>
      <c r="GGB1598" s="391"/>
      <c r="GGC1598" s="390"/>
      <c r="GGD1598" s="391"/>
      <c r="GGE1598" s="390"/>
      <c r="GGF1598" s="391"/>
      <c r="GGG1598" s="390"/>
      <c r="GGH1598" s="391"/>
      <c r="GGI1598" s="390"/>
      <c r="GGJ1598" s="391"/>
      <c r="GGK1598" s="390"/>
      <c r="GGL1598" s="391"/>
      <c r="GGM1598" s="390"/>
      <c r="GGN1598" s="391"/>
      <c r="GGO1598" s="390"/>
      <c r="GGP1598" s="391"/>
      <c r="GGQ1598" s="390"/>
      <c r="GGR1598" s="391"/>
      <c r="GGS1598" s="390"/>
      <c r="GGT1598" s="391"/>
      <c r="GGU1598" s="390"/>
      <c r="GGV1598" s="391"/>
      <c r="GGW1598" s="390"/>
      <c r="GGX1598" s="391"/>
      <c r="GGY1598" s="390"/>
      <c r="GGZ1598" s="391"/>
      <c r="GHA1598" s="390"/>
      <c r="GHB1598" s="391"/>
      <c r="GHC1598" s="390"/>
      <c r="GHD1598" s="391"/>
      <c r="GHE1598" s="390"/>
      <c r="GHF1598" s="391"/>
      <c r="GHG1598" s="390"/>
      <c r="GHH1598" s="391"/>
      <c r="GHI1598" s="390"/>
      <c r="GHJ1598" s="391"/>
      <c r="GHK1598" s="390"/>
      <c r="GHL1598" s="391"/>
      <c r="GHM1598" s="390"/>
      <c r="GHN1598" s="391"/>
      <c r="GHO1598" s="390"/>
      <c r="GHP1598" s="391"/>
      <c r="GHQ1598" s="390"/>
      <c r="GHR1598" s="391"/>
      <c r="GHS1598" s="390"/>
      <c r="GHT1598" s="391"/>
      <c r="GHU1598" s="390"/>
      <c r="GHV1598" s="391"/>
      <c r="GHW1598" s="390"/>
      <c r="GHX1598" s="391"/>
      <c r="GHY1598" s="390"/>
      <c r="GHZ1598" s="391"/>
      <c r="GIA1598" s="390"/>
      <c r="GIB1598" s="391"/>
      <c r="GIC1598" s="390"/>
      <c r="GID1598" s="391"/>
      <c r="GIE1598" s="390"/>
      <c r="GIF1598" s="391"/>
      <c r="GIG1598" s="390"/>
      <c r="GIH1598" s="391"/>
      <c r="GII1598" s="390"/>
      <c r="GIJ1598" s="391"/>
      <c r="GIK1598" s="390"/>
      <c r="GIL1598" s="391"/>
      <c r="GIM1598" s="390"/>
      <c r="GIN1598" s="391"/>
      <c r="GIO1598" s="390"/>
      <c r="GIP1598" s="391"/>
      <c r="GIQ1598" s="390"/>
      <c r="GIR1598" s="391"/>
      <c r="GIS1598" s="390"/>
      <c r="GIT1598" s="391"/>
      <c r="GIU1598" s="390"/>
      <c r="GIV1598" s="391"/>
      <c r="GIW1598" s="390"/>
      <c r="GIX1598" s="391"/>
      <c r="GIY1598" s="390"/>
      <c r="GIZ1598" s="391"/>
      <c r="GJA1598" s="390"/>
      <c r="GJB1598" s="391"/>
      <c r="GJC1598" s="390"/>
      <c r="GJD1598" s="391"/>
      <c r="GJE1598" s="390"/>
      <c r="GJF1598" s="391"/>
      <c r="GJG1598" s="390"/>
      <c r="GJH1598" s="391"/>
      <c r="GJI1598" s="390"/>
      <c r="GJJ1598" s="391"/>
      <c r="GJK1598" s="390"/>
      <c r="GJL1598" s="391"/>
      <c r="GJM1598" s="390"/>
      <c r="GJN1598" s="391"/>
      <c r="GJO1598" s="390"/>
      <c r="GJP1598" s="391"/>
      <c r="GJQ1598" s="390"/>
      <c r="GJR1598" s="391"/>
      <c r="GJS1598" s="390"/>
      <c r="GJT1598" s="391"/>
      <c r="GJU1598" s="390"/>
      <c r="GJV1598" s="391"/>
      <c r="GJW1598" s="390"/>
      <c r="GJX1598" s="391"/>
      <c r="GJY1598" s="390"/>
      <c r="GJZ1598" s="391"/>
      <c r="GKA1598" s="390"/>
      <c r="GKB1598" s="391"/>
      <c r="GKC1598" s="390"/>
      <c r="GKD1598" s="391"/>
      <c r="GKE1598" s="390"/>
      <c r="GKF1598" s="391"/>
      <c r="GKG1598" s="390"/>
      <c r="GKH1598" s="391"/>
      <c r="GKI1598" s="390"/>
      <c r="GKJ1598" s="391"/>
      <c r="GKK1598" s="390"/>
      <c r="GKL1598" s="391"/>
      <c r="GKM1598" s="390"/>
      <c r="GKN1598" s="391"/>
      <c r="GKO1598" s="390"/>
      <c r="GKP1598" s="391"/>
      <c r="GKQ1598" s="390"/>
      <c r="GKR1598" s="391"/>
      <c r="GKS1598" s="390"/>
      <c r="GKT1598" s="391"/>
      <c r="GKU1598" s="390"/>
      <c r="GKV1598" s="391"/>
      <c r="GKW1598" s="390"/>
      <c r="GKX1598" s="391"/>
      <c r="GKY1598" s="390"/>
      <c r="GKZ1598" s="391"/>
      <c r="GLA1598" s="390"/>
      <c r="GLB1598" s="391"/>
      <c r="GLC1598" s="390"/>
      <c r="GLD1598" s="391"/>
      <c r="GLE1598" s="390"/>
      <c r="GLF1598" s="391"/>
      <c r="GLG1598" s="390"/>
      <c r="GLH1598" s="391"/>
      <c r="GLI1598" s="390"/>
      <c r="GLJ1598" s="391"/>
      <c r="GLK1598" s="390"/>
      <c r="GLL1598" s="391"/>
      <c r="GLM1598" s="390"/>
      <c r="GLN1598" s="391"/>
      <c r="GLO1598" s="390"/>
      <c r="GLP1598" s="391"/>
      <c r="GLQ1598" s="390"/>
      <c r="GLR1598" s="391"/>
      <c r="GLS1598" s="390"/>
      <c r="GLT1598" s="391"/>
      <c r="GLU1598" s="390"/>
      <c r="GLV1598" s="391"/>
      <c r="GLW1598" s="390"/>
      <c r="GLX1598" s="391"/>
      <c r="GLY1598" s="390"/>
      <c r="GLZ1598" s="391"/>
      <c r="GMA1598" s="390"/>
      <c r="GMB1598" s="391"/>
      <c r="GMC1598" s="390"/>
      <c r="GMD1598" s="391"/>
      <c r="GME1598" s="390"/>
      <c r="GMF1598" s="391"/>
      <c r="GMG1598" s="390"/>
      <c r="GMH1598" s="391"/>
      <c r="GMI1598" s="390"/>
      <c r="GMJ1598" s="391"/>
      <c r="GMK1598" s="390"/>
      <c r="GML1598" s="391"/>
      <c r="GMM1598" s="390"/>
      <c r="GMN1598" s="391"/>
      <c r="GMO1598" s="390"/>
      <c r="GMP1598" s="391"/>
      <c r="GMQ1598" s="390"/>
      <c r="GMR1598" s="391"/>
      <c r="GMS1598" s="390"/>
      <c r="GMT1598" s="391"/>
      <c r="GMU1598" s="390"/>
      <c r="GMV1598" s="391"/>
      <c r="GMW1598" s="390"/>
      <c r="GMX1598" s="391"/>
      <c r="GMY1598" s="390"/>
      <c r="GMZ1598" s="391"/>
      <c r="GNA1598" s="390"/>
      <c r="GNB1598" s="391"/>
      <c r="GNC1598" s="390"/>
      <c r="GND1598" s="391"/>
      <c r="GNE1598" s="390"/>
      <c r="GNF1598" s="391"/>
      <c r="GNG1598" s="390"/>
      <c r="GNH1598" s="391"/>
      <c r="GNI1598" s="390"/>
      <c r="GNJ1598" s="391"/>
      <c r="GNK1598" s="390"/>
      <c r="GNL1598" s="391"/>
      <c r="GNM1598" s="390"/>
      <c r="GNN1598" s="391"/>
      <c r="GNO1598" s="390"/>
      <c r="GNP1598" s="391"/>
      <c r="GNQ1598" s="390"/>
      <c r="GNR1598" s="391"/>
      <c r="GNS1598" s="390"/>
      <c r="GNT1598" s="391"/>
      <c r="GNU1598" s="390"/>
      <c r="GNV1598" s="391"/>
      <c r="GNW1598" s="390"/>
      <c r="GNX1598" s="391"/>
      <c r="GNY1598" s="390"/>
      <c r="GNZ1598" s="391"/>
      <c r="GOA1598" s="390"/>
      <c r="GOB1598" s="391"/>
      <c r="GOC1598" s="390"/>
      <c r="GOD1598" s="391"/>
      <c r="GOE1598" s="390"/>
      <c r="GOF1598" s="391"/>
      <c r="GOG1598" s="390"/>
      <c r="GOH1598" s="391"/>
      <c r="GOI1598" s="390"/>
      <c r="GOJ1598" s="391"/>
      <c r="GOK1598" s="390"/>
      <c r="GOL1598" s="391"/>
      <c r="GOM1598" s="390"/>
      <c r="GON1598" s="391"/>
      <c r="GOO1598" s="390"/>
      <c r="GOP1598" s="391"/>
      <c r="GOQ1598" s="390"/>
      <c r="GOR1598" s="391"/>
      <c r="GOS1598" s="390"/>
      <c r="GOT1598" s="391"/>
      <c r="GOU1598" s="390"/>
      <c r="GOV1598" s="391"/>
      <c r="GOW1598" s="390"/>
      <c r="GOX1598" s="391"/>
      <c r="GOY1598" s="390"/>
      <c r="GOZ1598" s="391"/>
      <c r="GPA1598" s="390"/>
      <c r="GPB1598" s="391"/>
      <c r="GPC1598" s="390"/>
      <c r="GPD1598" s="391"/>
      <c r="GPE1598" s="390"/>
      <c r="GPF1598" s="391"/>
      <c r="GPG1598" s="390"/>
      <c r="GPH1598" s="391"/>
      <c r="GPI1598" s="390"/>
      <c r="GPJ1598" s="391"/>
      <c r="GPK1598" s="390"/>
      <c r="GPL1598" s="391"/>
      <c r="GPM1598" s="390"/>
      <c r="GPN1598" s="391"/>
      <c r="GPO1598" s="390"/>
      <c r="GPP1598" s="391"/>
      <c r="GPQ1598" s="390"/>
      <c r="GPR1598" s="391"/>
      <c r="GPS1598" s="390"/>
      <c r="GPT1598" s="391"/>
      <c r="GPU1598" s="390"/>
      <c r="GPV1598" s="391"/>
      <c r="GPW1598" s="390"/>
      <c r="GPX1598" s="391"/>
      <c r="GPY1598" s="390"/>
      <c r="GPZ1598" s="391"/>
      <c r="GQA1598" s="390"/>
      <c r="GQB1598" s="391"/>
      <c r="GQC1598" s="390"/>
      <c r="GQD1598" s="391"/>
      <c r="GQE1598" s="390"/>
      <c r="GQF1598" s="391"/>
      <c r="GQG1598" s="390"/>
      <c r="GQH1598" s="391"/>
      <c r="GQI1598" s="390"/>
      <c r="GQJ1598" s="391"/>
      <c r="GQK1598" s="390"/>
      <c r="GQL1598" s="391"/>
      <c r="GQM1598" s="390"/>
      <c r="GQN1598" s="391"/>
      <c r="GQO1598" s="390"/>
      <c r="GQP1598" s="391"/>
      <c r="GQQ1598" s="390"/>
      <c r="GQR1598" s="391"/>
      <c r="GQS1598" s="390"/>
      <c r="GQT1598" s="391"/>
      <c r="GQU1598" s="390"/>
      <c r="GQV1598" s="391"/>
      <c r="GQW1598" s="390"/>
      <c r="GQX1598" s="391"/>
      <c r="GQY1598" s="390"/>
      <c r="GQZ1598" s="391"/>
      <c r="GRA1598" s="390"/>
      <c r="GRB1598" s="391"/>
      <c r="GRC1598" s="390"/>
      <c r="GRD1598" s="391"/>
      <c r="GRE1598" s="390"/>
      <c r="GRF1598" s="391"/>
      <c r="GRG1598" s="390"/>
      <c r="GRH1598" s="391"/>
      <c r="GRI1598" s="390"/>
      <c r="GRJ1598" s="391"/>
      <c r="GRK1598" s="390"/>
      <c r="GRL1598" s="391"/>
      <c r="GRM1598" s="390"/>
      <c r="GRN1598" s="391"/>
      <c r="GRO1598" s="390"/>
      <c r="GRP1598" s="391"/>
      <c r="GRQ1598" s="390"/>
      <c r="GRR1598" s="391"/>
      <c r="GRS1598" s="390"/>
      <c r="GRT1598" s="391"/>
      <c r="GRU1598" s="390"/>
      <c r="GRV1598" s="391"/>
      <c r="GRW1598" s="390"/>
      <c r="GRX1598" s="391"/>
      <c r="GRY1598" s="390"/>
      <c r="GRZ1598" s="391"/>
      <c r="GSA1598" s="390"/>
      <c r="GSB1598" s="391"/>
      <c r="GSC1598" s="390"/>
      <c r="GSD1598" s="391"/>
      <c r="GSE1598" s="390"/>
      <c r="GSF1598" s="391"/>
      <c r="GSG1598" s="390"/>
      <c r="GSH1598" s="391"/>
      <c r="GSI1598" s="390"/>
      <c r="GSJ1598" s="391"/>
      <c r="GSK1598" s="390"/>
      <c r="GSL1598" s="391"/>
      <c r="GSM1598" s="390"/>
      <c r="GSN1598" s="391"/>
      <c r="GSO1598" s="390"/>
      <c r="GSP1598" s="391"/>
      <c r="GSQ1598" s="390"/>
      <c r="GSR1598" s="391"/>
      <c r="GSS1598" s="390"/>
      <c r="GST1598" s="391"/>
      <c r="GSU1598" s="390"/>
      <c r="GSV1598" s="391"/>
      <c r="GSW1598" s="390"/>
      <c r="GSX1598" s="391"/>
      <c r="GSY1598" s="390"/>
      <c r="GSZ1598" s="391"/>
      <c r="GTA1598" s="390"/>
      <c r="GTB1598" s="391"/>
      <c r="GTC1598" s="390"/>
      <c r="GTD1598" s="391"/>
      <c r="GTE1598" s="390"/>
      <c r="GTF1598" s="391"/>
      <c r="GTG1598" s="390"/>
      <c r="GTH1598" s="391"/>
      <c r="GTI1598" s="390"/>
      <c r="GTJ1598" s="391"/>
      <c r="GTK1598" s="390"/>
      <c r="GTL1598" s="391"/>
      <c r="GTM1598" s="390"/>
      <c r="GTN1598" s="391"/>
      <c r="GTO1598" s="390"/>
      <c r="GTP1598" s="391"/>
      <c r="GTQ1598" s="390"/>
      <c r="GTR1598" s="391"/>
      <c r="GTS1598" s="390"/>
      <c r="GTT1598" s="391"/>
      <c r="GTU1598" s="390"/>
      <c r="GTV1598" s="391"/>
      <c r="GTW1598" s="390"/>
      <c r="GTX1598" s="391"/>
      <c r="GTY1598" s="390"/>
      <c r="GTZ1598" s="391"/>
      <c r="GUA1598" s="390"/>
      <c r="GUB1598" s="391"/>
      <c r="GUC1598" s="390"/>
      <c r="GUD1598" s="391"/>
      <c r="GUE1598" s="390"/>
      <c r="GUF1598" s="391"/>
      <c r="GUG1598" s="390"/>
      <c r="GUH1598" s="391"/>
      <c r="GUI1598" s="390"/>
      <c r="GUJ1598" s="391"/>
      <c r="GUK1598" s="390"/>
      <c r="GUL1598" s="391"/>
      <c r="GUM1598" s="390"/>
      <c r="GUN1598" s="391"/>
      <c r="GUO1598" s="390"/>
      <c r="GUP1598" s="391"/>
      <c r="GUQ1598" s="390"/>
      <c r="GUR1598" s="391"/>
      <c r="GUS1598" s="390"/>
      <c r="GUT1598" s="391"/>
      <c r="GUU1598" s="390"/>
      <c r="GUV1598" s="391"/>
      <c r="GUW1598" s="390"/>
      <c r="GUX1598" s="391"/>
      <c r="GUY1598" s="390"/>
      <c r="GUZ1598" s="391"/>
      <c r="GVA1598" s="390"/>
      <c r="GVB1598" s="391"/>
      <c r="GVC1598" s="390"/>
      <c r="GVD1598" s="391"/>
      <c r="GVE1598" s="390"/>
      <c r="GVF1598" s="391"/>
      <c r="GVG1598" s="390"/>
      <c r="GVH1598" s="391"/>
      <c r="GVI1598" s="390"/>
      <c r="GVJ1598" s="391"/>
      <c r="GVK1598" s="390"/>
      <c r="GVL1598" s="391"/>
      <c r="GVM1598" s="390"/>
      <c r="GVN1598" s="391"/>
      <c r="GVO1598" s="390"/>
      <c r="GVP1598" s="391"/>
      <c r="GVQ1598" s="390"/>
      <c r="GVR1598" s="391"/>
      <c r="GVS1598" s="390"/>
      <c r="GVT1598" s="391"/>
      <c r="GVU1598" s="390"/>
      <c r="GVV1598" s="391"/>
      <c r="GVW1598" s="390"/>
      <c r="GVX1598" s="391"/>
      <c r="GVY1598" s="390"/>
      <c r="GVZ1598" s="391"/>
      <c r="GWA1598" s="390"/>
      <c r="GWB1598" s="391"/>
      <c r="GWC1598" s="390"/>
      <c r="GWD1598" s="391"/>
      <c r="GWE1598" s="390"/>
      <c r="GWF1598" s="391"/>
      <c r="GWG1598" s="390"/>
      <c r="GWH1598" s="391"/>
      <c r="GWI1598" s="390"/>
      <c r="GWJ1598" s="391"/>
      <c r="GWK1598" s="390"/>
      <c r="GWL1598" s="391"/>
      <c r="GWM1598" s="390"/>
      <c r="GWN1598" s="391"/>
      <c r="GWO1598" s="390"/>
      <c r="GWP1598" s="391"/>
      <c r="GWQ1598" s="390"/>
      <c r="GWR1598" s="391"/>
      <c r="GWS1598" s="390"/>
      <c r="GWT1598" s="391"/>
      <c r="GWU1598" s="390"/>
      <c r="GWV1598" s="391"/>
      <c r="GWW1598" s="390"/>
      <c r="GWX1598" s="391"/>
      <c r="GWY1598" s="390"/>
      <c r="GWZ1598" s="391"/>
      <c r="GXA1598" s="390"/>
      <c r="GXB1598" s="391"/>
      <c r="GXC1598" s="390"/>
      <c r="GXD1598" s="391"/>
      <c r="GXE1598" s="390"/>
      <c r="GXF1598" s="391"/>
      <c r="GXG1598" s="390"/>
      <c r="GXH1598" s="391"/>
      <c r="GXI1598" s="390"/>
      <c r="GXJ1598" s="391"/>
      <c r="GXK1598" s="390"/>
      <c r="GXL1598" s="391"/>
      <c r="GXM1598" s="390"/>
      <c r="GXN1598" s="391"/>
      <c r="GXO1598" s="390"/>
      <c r="GXP1598" s="391"/>
      <c r="GXQ1598" s="390"/>
      <c r="GXR1598" s="391"/>
      <c r="GXS1598" s="390"/>
      <c r="GXT1598" s="391"/>
      <c r="GXU1598" s="390"/>
      <c r="GXV1598" s="391"/>
      <c r="GXW1598" s="390"/>
      <c r="GXX1598" s="391"/>
      <c r="GXY1598" s="390"/>
      <c r="GXZ1598" s="391"/>
      <c r="GYA1598" s="390"/>
      <c r="GYB1598" s="391"/>
      <c r="GYC1598" s="390"/>
      <c r="GYD1598" s="391"/>
      <c r="GYE1598" s="390"/>
      <c r="GYF1598" s="391"/>
      <c r="GYG1598" s="390"/>
      <c r="GYH1598" s="391"/>
      <c r="GYI1598" s="390"/>
      <c r="GYJ1598" s="391"/>
      <c r="GYK1598" s="390"/>
      <c r="GYL1598" s="391"/>
      <c r="GYM1598" s="390"/>
      <c r="GYN1598" s="391"/>
      <c r="GYO1598" s="390"/>
      <c r="GYP1598" s="391"/>
      <c r="GYQ1598" s="390"/>
      <c r="GYR1598" s="391"/>
      <c r="GYS1598" s="390"/>
      <c r="GYT1598" s="391"/>
      <c r="GYU1598" s="390"/>
      <c r="GYV1598" s="391"/>
      <c r="GYW1598" s="390"/>
      <c r="GYX1598" s="391"/>
      <c r="GYY1598" s="390"/>
      <c r="GYZ1598" s="391"/>
      <c r="GZA1598" s="390"/>
      <c r="GZB1598" s="391"/>
      <c r="GZC1598" s="390"/>
      <c r="GZD1598" s="391"/>
      <c r="GZE1598" s="390"/>
      <c r="GZF1598" s="391"/>
      <c r="GZG1598" s="390"/>
      <c r="GZH1598" s="391"/>
      <c r="GZI1598" s="390"/>
      <c r="GZJ1598" s="391"/>
      <c r="GZK1598" s="390"/>
      <c r="GZL1598" s="391"/>
      <c r="GZM1598" s="390"/>
      <c r="GZN1598" s="391"/>
      <c r="GZO1598" s="390"/>
      <c r="GZP1598" s="391"/>
      <c r="GZQ1598" s="390"/>
      <c r="GZR1598" s="391"/>
      <c r="GZS1598" s="390"/>
      <c r="GZT1598" s="391"/>
      <c r="GZU1598" s="390"/>
      <c r="GZV1598" s="391"/>
      <c r="GZW1598" s="390"/>
      <c r="GZX1598" s="391"/>
      <c r="GZY1598" s="390"/>
      <c r="GZZ1598" s="391"/>
      <c r="HAA1598" s="390"/>
      <c r="HAB1598" s="391"/>
      <c r="HAC1598" s="390"/>
      <c r="HAD1598" s="391"/>
      <c r="HAE1598" s="390"/>
      <c r="HAF1598" s="391"/>
      <c r="HAG1598" s="390"/>
      <c r="HAH1598" s="391"/>
      <c r="HAI1598" s="390"/>
      <c r="HAJ1598" s="391"/>
      <c r="HAK1598" s="390"/>
      <c r="HAL1598" s="391"/>
      <c r="HAM1598" s="390"/>
      <c r="HAN1598" s="391"/>
      <c r="HAO1598" s="390"/>
      <c r="HAP1598" s="391"/>
      <c r="HAQ1598" s="390"/>
      <c r="HAR1598" s="391"/>
      <c r="HAS1598" s="390"/>
      <c r="HAT1598" s="391"/>
      <c r="HAU1598" s="390"/>
      <c r="HAV1598" s="391"/>
      <c r="HAW1598" s="390"/>
      <c r="HAX1598" s="391"/>
      <c r="HAY1598" s="390"/>
      <c r="HAZ1598" s="391"/>
      <c r="HBA1598" s="390"/>
      <c r="HBB1598" s="391"/>
      <c r="HBC1598" s="390"/>
      <c r="HBD1598" s="391"/>
      <c r="HBE1598" s="390"/>
      <c r="HBF1598" s="391"/>
      <c r="HBG1598" s="390"/>
      <c r="HBH1598" s="391"/>
      <c r="HBI1598" s="390"/>
      <c r="HBJ1598" s="391"/>
      <c r="HBK1598" s="390"/>
      <c r="HBL1598" s="391"/>
      <c r="HBM1598" s="390"/>
      <c r="HBN1598" s="391"/>
      <c r="HBO1598" s="390"/>
      <c r="HBP1598" s="391"/>
      <c r="HBQ1598" s="390"/>
      <c r="HBR1598" s="391"/>
      <c r="HBS1598" s="390"/>
      <c r="HBT1598" s="391"/>
      <c r="HBU1598" s="390"/>
      <c r="HBV1598" s="391"/>
      <c r="HBW1598" s="390"/>
      <c r="HBX1598" s="391"/>
      <c r="HBY1598" s="390"/>
      <c r="HBZ1598" s="391"/>
      <c r="HCA1598" s="390"/>
      <c r="HCB1598" s="391"/>
      <c r="HCC1598" s="390"/>
      <c r="HCD1598" s="391"/>
      <c r="HCE1598" s="390"/>
      <c r="HCF1598" s="391"/>
      <c r="HCG1598" s="390"/>
      <c r="HCH1598" s="391"/>
      <c r="HCI1598" s="390"/>
      <c r="HCJ1598" s="391"/>
      <c r="HCK1598" s="390"/>
      <c r="HCL1598" s="391"/>
      <c r="HCM1598" s="390"/>
      <c r="HCN1598" s="391"/>
      <c r="HCO1598" s="390"/>
      <c r="HCP1598" s="391"/>
      <c r="HCQ1598" s="390"/>
      <c r="HCR1598" s="391"/>
      <c r="HCS1598" s="390"/>
      <c r="HCT1598" s="391"/>
      <c r="HCU1598" s="390"/>
      <c r="HCV1598" s="391"/>
      <c r="HCW1598" s="390"/>
      <c r="HCX1598" s="391"/>
      <c r="HCY1598" s="390"/>
      <c r="HCZ1598" s="391"/>
      <c r="HDA1598" s="390"/>
      <c r="HDB1598" s="391"/>
      <c r="HDC1598" s="390"/>
      <c r="HDD1598" s="391"/>
      <c r="HDE1598" s="390"/>
      <c r="HDF1598" s="391"/>
      <c r="HDG1598" s="390"/>
      <c r="HDH1598" s="391"/>
      <c r="HDI1598" s="390"/>
      <c r="HDJ1598" s="391"/>
      <c r="HDK1598" s="390"/>
      <c r="HDL1598" s="391"/>
      <c r="HDM1598" s="390"/>
      <c r="HDN1598" s="391"/>
      <c r="HDO1598" s="390"/>
      <c r="HDP1598" s="391"/>
      <c r="HDQ1598" s="390"/>
      <c r="HDR1598" s="391"/>
      <c r="HDS1598" s="390"/>
      <c r="HDT1598" s="391"/>
      <c r="HDU1598" s="390"/>
      <c r="HDV1598" s="391"/>
      <c r="HDW1598" s="390"/>
      <c r="HDX1598" s="391"/>
      <c r="HDY1598" s="390"/>
      <c r="HDZ1598" s="391"/>
      <c r="HEA1598" s="390"/>
      <c r="HEB1598" s="391"/>
      <c r="HEC1598" s="390"/>
      <c r="HED1598" s="391"/>
      <c r="HEE1598" s="390"/>
      <c r="HEF1598" s="391"/>
      <c r="HEG1598" s="390"/>
      <c r="HEH1598" s="391"/>
      <c r="HEI1598" s="390"/>
      <c r="HEJ1598" s="391"/>
      <c r="HEK1598" s="390"/>
      <c r="HEL1598" s="391"/>
      <c r="HEM1598" s="390"/>
      <c r="HEN1598" s="391"/>
      <c r="HEO1598" s="390"/>
      <c r="HEP1598" s="391"/>
      <c r="HEQ1598" s="390"/>
      <c r="HER1598" s="391"/>
      <c r="HES1598" s="390"/>
      <c r="HET1598" s="391"/>
      <c r="HEU1598" s="390"/>
      <c r="HEV1598" s="391"/>
      <c r="HEW1598" s="390"/>
      <c r="HEX1598" s="391"/>
      <c r="HEY1598" s="390"/>
      <c r="HEZ1598" s="391"/>
      <c r="HFA1598" s="390"/>
      <c r="HFB1598" s="391"/>
      <c r="HFC1598" s="390"/>
      <c r="HFD1598" s="391"/>
      <c r="HFE1598" s="390"/>
      <c r="HFF1598" s="391"/>
      <c r="HFG1598" s="390"/>
      <c r="HFH1598" s="391"/>
      <c r="HFI1598" s="390"/>
      <c r="HFJ1598" s="391"/>
      <c r="HFK1598" s="390"/>
      <c r="HFL1598" s="391"/>
      <c r="HFM1598" s="390"/>
      <c r="HFN1598" s="391"/>
      <c r="HFO1598" s="390"/>
      <c r="HFP1598" s="391"/>
      <c r="HFQ1598" s="390"/>
      <c r="HFR1598" s="391"/>
      <c r="HFS1598" s="390"/>
      <c r="HFT1598" s="391"/>
      <c r="HFU1598" s="390"/>
      <c r="HFV1598" s="391"/>
      <c r="HFW1598" s="390"/>
      <c r="HFX1598" s="391"/>
      <c r="HFY1598" s="390"/>
      <c r="HFZ1598" s="391"/>
      <c r="HGA1598" s="390"/>
      <c r="HGB1598" s="391"/>
      <c r="HGC1598" s="390"/>
      <c r="HGD1598" s="391"/>
      <c r="HGE1598" s="390"/>
      <c r="HGF1598" s="391"/>
      <c r="HGG1598" s="390"/>
      <c r="HGH1598" s="391"/>
      <c r="HGI1598" s="390"/>
      <c r="HGJ1598" s="391"/>
      <c r="HGK1598" s="390"/>
      <c r="HGL1598" s="391"/>
      <c r="HGM1598" s="390"/>
      <c r="HGN1598" s="391"/>
      <c r="HGO1598" s="390"/>
      <c r="HGP1598" s="391"/>
      <c r="HGQ1598" s="390"/>
      <c r="HGR1598" s="391"/>
      <c r="HGS1598" s="390"/>
      <c r="HGT1598" s="391"/>
      <c r="HGU1598" s="390"/>
      <c r="HGV1598" s="391"/>
      <c r="HGW1598" s="390"/>
      <c r="HGX1598" s="391"/>
      <c r="HGY1598" s="390"/>
      <c r="HGZ1598" s="391"/>
      <c r="HHA1598" s="390"/>
      <c r="HHB1598" s="391"/>
      <c r="HHC1598" s="390"/>
      <c r="HHD1598" s="391"/>
      <c r="HHE1598" s="390"/>
      <c r="HHF1598" s="391"/>
      <c r="HHG1598" s="390"/>
      <c r="HHH1598" s="391"/>
      <c r="HHI1598" s="390"/>
      <c r="HHJ1598" s="391"/>
      <c r="HHK1598" s="390"/>
      <c r="HHL1598" s="391"/>
      <c r="HHM1598" s="390"/>
      <c r="HHN1598" s="391"/>
      <c r="HHO1598" s="390"/>
      <c r="HHP1598" s="391"/>
      <c r="HHQ1598" s="390"/>
      <c r="HHR1598" s="391"/>
      <c r="HHS1598" s="390"/>
      <c r="HHT1598" s="391"/>
      <c r="HHU1598" s="390"/>
      <c r="HHV1598" s="391"/>
      <c r="HHW1598" s="390"/>
      <c r="HHX1598" s="391"/>
      <c r="HHY1598" s="390"/>
      <c r="HHZ1598" s="391"/>
      <c r="HIA1598" s="390"/>
      <c r="HIB1598" s="391"/>
      <c r="HIC1598" s="390"/>
      <c r="HID1598" s="391"/>
      <c r="HIE1598" s="390"/>
      <c r="HIF1598" s="391"/>
      <c r="HIG1598" s="390"/>
      <c r="HIH1598" s="391"/>
      <c r="HII1598" s="390"/>
      <c r="HIJ1598" s="391"/>
      <c r="HIK1598" s="390"/>
      <c r="HIL1598" s="391"/>
      <c r="HIM1598" s="390"/>
      <c r="HIN1598" s="391"/>
      <c r="HIO1598" s="390"/>
      <c r="HIP1598" s="391"/>
      <c r="HIQ1598" s="390"/>
      <c r="HIR1598" s="391"/>
      <c r="HIS1598" s="390"/>
      <c r="HIT1598" s="391"/>
      <c r="HIU1598" s="390"/>
      <c r="HIV1598" s="391"/>
      <c r="HIW1598" s="390"/>
      <c r="HIX1598" s="391"/>
      <c r="HIY1598" s="390"/>
      <c r="HIZ1598" s="391"/>
      <c r="HJA1598" s="390"/>
      <c r="HJB1598" s="391"/>
      <c r="HJC1598" s="390"/>
      <c r="HJD1598" s="391"/>
      <c r="HJE1598" s="390"/>
      <c r="HJF1598" s="391"/>
      <c r="HJG1598" s="390"/>
      <c r="HJH1598" s="391"/>
      <c r="HJI1598" s="390"/>
      <c r="HJJ1598" s="391"/>
      <c r="HJK1598" s="390"/>
      <c r="HJL1598" s="391"/>
      <c r="HJM1598" s="390"/>
      <c r="HJN1598" s="391"/>
      <c r="HJO1598" s="390"/>
      <c r="HJP1598" s="391"/>
      <c r="HJQ1598" s="390"/>
      <c r="HJR1598" s="391"/>
      <c r="HJS1598" s="390"/>
      <c r="HJT1598" s="391"/>
      <c r="HJU1598" s="390"/>
      <c r="HJV1598" s="391"/>
      <c r="HJW1598" s="390"/>
      <c r="HJX1598" s="391"/>
      <c r="HJY1598" s="390"/>
      <c r="HJZ1598" s="391"/>
      <c r="HKA1598" s="390"/>
      <c r="HKB1598" s="391"/>
      <c r="HKC1598" s="390"/>
      <c r="HKD1598" s="391"/>
      <c r="HKE1598" s="390"/>
      <c r="HKF1598" s="391"/>
      <c r="HKG1598" s="390"/>
      <c r="HKH1598" s="391"/>
      <c r="HKI1598" s="390"/>
      <c r="HKJ1598" s="391"/>
      <c r="HKK1598" s="390"/>
      <c r="HKL1598" s="391"/>
      <c r="HKM1598" s="390"/>
      <c r="HKN1598" s="391"/>
      <c r="HKO1598" s="390"/>
      <c r="HKP1598" s="391"/>
      <c r="HKQ1598" s="390"/>
      <c r="HKR1598" s="391"/>
      <c r="HKS1598" s="390"/>
      <c r="HKT1598" s="391"/>
      <c r="HKU1598" s="390"/>
      <c r="HKV1598" s="391"/>
      <c r="HKW1598" s="390"/>
      <c r="HKX1598" s="391"/>
      <c r="HKY1598" s="390"/>
      <c r="HKZ1598" s="391"/>
      <c r="HLA1598" s="390"/>
      <c r="HLB1598" s="391"/>
      <c r="HLC1598" s="390"/>
      <c r="HLD1598" s="391"/>
      <c r="HLE1598" s="390"/>
      <c r="HLF1598" s="391"/>
      <c r="HLG1598" s="390"/>
      <c r="HLH1598" s="391"/>
      <c r="HLI1598" s="390"/>
      <c r="HLJ1598" s="391"/>
      <c r="HLK1598" s="390"/>
      <c r="HLL1598" s="391"/>
      <c r="HLM1598" s="390"/>
      <c r="HLN1598" s="391"/>
      <c r="HLO1598" s="390"/>
      <c r="HLP1598" s="391"/>
      <c r="HLQ1598" s="390"/>
      <c r="HLR1598" s="391"/>
      <c r="HLS1598" s="390"/>
      <c r="HLT1598" s="391"/>
      <c r="HLU1598" s="390"/>
      <c r="HLV1598" s="391"/>
      <c r="HLW1598" s="390"/>
      <c r="HLX1598" s="391"/>
      <c r="HLY1598" s="390"/>
      <c r="HLZ1598" s="391"/>
      <c r="HMA1598" s="390"/>
      <c r="HMB1598" s="391"/>
      <c r="HMC1598" s="390"/>
      <c r="HMD1598" s="391"/>
      <c r="HME1598" s="390"/>
      <c r="HMF1598" s="391"/>
      <c r="HMG1598" s="390"/>
      <c r="HMH1598" s="391"/>
      <c r="HMI1598" s="390"/>
      <c r="HMJ1598" s="391"/>
      <c r="HMK1598" s="390"/>
      <c r="HML1598" s="391"/>
      <c r="HMM1598" s="390"/>
      <c r="HMN1598" s="391"/>
      <c r="HMO1598" s="390"/>
      <c r="HMP1598" s="391"/>
      <c r="HMQ1598" s="390"/>
      <c r="HMR1598" s="391"/>
      <c r="HMS1598" s="390"/>
      <c r="HMT1598" s="391"/>
      <c r="HMU1598" s="390"/>
      <c r="HMV1598" s="391"/>
      <c r="HMW1598" s="390"/>
      <c r="HMX1598" s="391"/>
      <c r="HMY1598" s="390"/>
      <c r="HMZ1598" s="391"/>
      <c r="HNA1598" s="390"/>
      <c r="HNB1598" s="391"/>
      <c r="HNC1598" s="390"/>
      <c r="HND1598" s="391"/>
      <c r="HNE1598" s="390"/>
      <c r="HNF1598" s="391"/>
      <c r="HNG1598" s="390"/>
      <c r="HNH1598" s="391"/>
      <c r="HNI1598" s="390"/>
      <c r="HNJ1598" s="391"/>
      <c r="HNK1598" s="390"/>
      <c r="HNL1598" s="391"/>
      <c r="HNM1598" s="390"/>
      <c r="HNN1598" s="391"/>
      <c r="HNO1598" s="390"/>
      <c r="HNP1598" s="391"/>
      <c r="HNQ1598" s="390"/>
      <c r="HNR1598" s="391"/>
      <c r="HNS1598" s="390"/>
      <c r="HNT1598" s="391"/>
      <c r="HNU1598" s="390"/>
      <c r="HNV1598" s="391"/>
      <c r="HNW1598" s="390"/>
      <c r="HNX1598" s="391"/>
      <c r="HNY1598" s="390"/>
      <c r="HNZ1598" s="391"/>
      <c r="HOA1598" s="390"/>
      <c r="HOB1598" s="391"/>
      <c r="HOC1598" s="390"/>
      <c r="HOD1598" s="391"/>
      <c r="HOE1598" s="390"/>
      <c r="HOF1598" s="391"/>
      <c r="HOG1598" s="390"/>
      <c r="HOH1598" s="391"/>
      <c r="HOI1598" s="390"/>
      <c r="HOJ1598" s="391"/>
      <c r="HOK1598" s="390"/>
      <c r="HOL1598" s="391"/>
      <c r="HOM1598" s="390"/>
      <c r="HON1598" s="391"/>
      <c r="HOO1598" s="390"/>
      <c r="HOP1598" s="391"/>
      <c r="HOQ1598" s="390"/>
      <c r="HOR1598" s="391"/>
      <c r="HOS1598" s="390"/>
      <c r="HOT1598" s="391"/>
      <c r="HOU1598" s="390"/>
      <c r="HOV1598" s="391"/>
      <c r="HOW1598" s="390"/>
      <c r="HOX1598" s="391"/>
      <c r="HOY1598" s="390"/>
      <c r="HOZ1598" s="391"/>
      <c r="HPA1598" s="390"/>
      <c r="HPB1598" s="391"/>
      <c r="HPC1598" s="390"/>
      <c r="HPD1598" s="391"/>
      <c r="HPE1598" s="390"/>
      <c r="HPF1598" s="391"/>
      <c r="HPG1598" s="390"/>
      <c r="HPH1598" s="391"/>
      <c r="HPI1598" s="390"/>
      <c r="HPJ1598" s="391"/>
      <c r="HPK1598" s="390"/>
      <c r="HPL1598" s="391"/>
      <c r="HPM1598" s="390"/>
      <c r="HPN1598" s="391"/>
      <c r="HPO1598" s="390"/>
      <c r="HPP1598" s="391"/>
      <c r="HPQ1598" s="390"/>
      <c r="HPR1598" s="391"/>
      <c r="HPS1598" s="390"/>
      <c r="HPT1598" s="391"/>
      <c r="HPU1598" s="390"/>
      <c r="HPV1598" s="391"/>
      <c r="HPW1598" s="390"/>
      <c r="HPX1598" s="391"/>
      <c r="HPY1598" s="390"/>
      <c r="HPZ1598" s="391"/>
      <c r="HQA1598" s="390"/>
      <c r="HQB1598" s="391"/>
      <c r="HQC1598" s="390"/>
      <c r="HQD1598" s="391"/>
      <c r="HQE1598" s="390"/>
      <c r="HQF1598" s="391"/>
      <c r="HQG1598" s="390"/>
      <c r="HQH1598" s="391"/>
      <c r="HQI1598" s="390"/>
      <c r="HQJ1598" s="391"/>
      <c r="HQK1598" s="390"/>
      <c r="HQL1598" s="391"/>
      <c r="HQM1598" s="390"/>
      <c r="HQN1598" s="391"/>
      <c r="HQO1598" s="390"/>
      <c r="HQP1598" s="391"/>
      <c r="HQQ1598" s="390"/>
      <c r="HQR1598" s="391"/>
      <c r="HQS1598" s="390"/>
      <c r="HQT1598" s="391"/>
      <c r="HQU1598" s="390"/>
      <c r="HQV1598" s="391"/>
      <c r="HQW1598" s="390"/>
      <c r="HQX1598" s="391"/>
      <c r="HQY1598" s="390"/>
      <c r="HQZ1598" s="391"/>
      <c r="HRA1598" s="390"/>
      <c r="HRB1598" s="391"/>
      <c r="HRC1598" s="390"/>
      <c r="HRD1598" s="391"/>
      <c r="HRE1598" s="390"/>
      <c r="HRF1598" s="391"/>
      <c r="HRG1598" s="390"/>
      <c r="HRH1598" s="391"/>
      <c r="HRI1598" s="390"/>
      <c r="HRJ1598" s="391"/>
      <c r="HRK1598" s="390"/>
      <c r="HRL1598" s="391"/>
      <c r="HRM1598" s="390"/>
      <c r="HRN1598" s="391"/>
      <c r="HRO1598" s="390"/>
      <c r="HRP1598" s="391"/>
      <c r="HRQ1598" s="390"/>
      <c r="HRR1598" s="391"/>
      <c r="HRS1598" s="390"/>
      <c r="HRT1598" s="391"/>
      <c r="HRU1598" s="390"/>
      <c r="HRV1598" s="391"/>
      <c r="HRW1598" s="390"/>
      <c r="HRX1598" s="391"/>
      <c r="HRY1598" s="390"/>
      <c r="HRZ1598" s="391"/>
      <c r="HSA1598" s="390"/>
      <c r="HSB1598" s="391"/>
      <c r="HSC1598" s="390"/>
      <c r="HSD1598" s="391"/>
      <c r="HSE1598" s="390"/>
      <c r="HSF1598" s="391"/>
      <c r="HSG1598" s="390"/>
      <c r="HSH1598" s="391"/>
      <c r="HSI1598" s="390"/>
      <c r="HSJ1598" s="391"/>
      <c r="HSK1598" s="390"/>
      <c r="HSL1598" s="391"/>
      <c r="HSM1598" s="390"/>
      <c r="HSN1598" s="391"/>
      <c r="HSO1598" s="390"/>
      <c r="HSP1598" s="391"/>
      <c r="HSQ1598" s="390"/>
      <c r="HSR1598" s="391"/>
      <c r="HSS1598" s="390"/>
      <c r="HST1598" s="391"/>
      <c r="HSU1598" s="390"/>
      <c r="HSV1598" s="391"/>
      <c r="HSW1598" s="390"/>
      <c r="HSX1598" s="391"/>
      <c r="HSY1598" s="390"/>
      <c r="HSZ1598" s="391"/>
      <c r="HTA1598" s="390"/>
      <c r="HTB1598" s="391"/>
      <c r="HTC1598" s="390"/>
      <c r="HTD1598" s="391"/>
      <c r="HTE1598" s="390"/>
      <c r="HTF1598" s="391"/>
      <c r="HTG1598" s="390"/>
      <c r="HTH1598" s="391"/>
      <c r="HTI1598" s="390"/>
      <c r="HTJ1598" s="391"/>
      <c r="HTK1598" s="390"/>
      <c r="HTL1598" s="391"/>
      <c r="HTM1598" s="390"/>
      <c r="HTN1598" s="391"/>
      <c r="HTO1598" s="390"/>
      <c r="HTP1598" s="391"/>
      <c r="HTQ1598" s="390"/>
      <c r="HTR1598" s="391"/>
      <c r="HTS1598" s="390"/>
      <c r="HTT1598" s="391"/>
      <c r="HTU1598" s="390"/>
      <c r="HTV1598" s="391"/>
      <c r="HTW1598" s="390"/>
      <c r="HTX1598" s="391"/>
      <c r="HTY1598" s="390"/>
      <c r="HTZ1598" s="391"/>
      <c r="HUA1598" s="390"/>
      <c r="HUB1598" s="391"/>
      <c r="HUC1598" s="390"/>
      <c r="HUD1598" s="391"/>
      <c r="HUE1598" s="390"/>
      <c r="HUF1598" s="391"/>
      <c r="HUG1598" s="390"/>
      <c r="HUH1598" s="391"/>
      <c r="HUI1598" s="390"/>
      <c r="HUJ1598" s="391"/>
      <c r="HUK1598" s="390"/>
      <c r="HUL1598" s="391"/>
      <c r="HUM1598" s="390"/>
      <c r="HUN1598" s="391"/>
      <c r="HUO1598" s="390"/>
      <c r="HUP1598" s="391"/>
      <c r="HUQ1598" s="390"/>
      <c r="HUR1598" s="391"/>
      <c r="HUS1598" s="390"/>
      <c r="HUT1598" s="391"/>
      <c r="HUU1598" s="390"/>
      <c r="HUV1598" s="391"/>
      <c r="HUW1598" s="390"/>
      <c r="HUX1598" s="391"/>
      <c r="HUY1598" s="390"/>
      <c r="HUZ1598" s="391"/>
      <c r="HVA1598" s="390"/>
      <c r="HVB1598" s="391"/>
      <c r="HVC1598" s="390"/>
      <c r="HVD1598" s="391"/>
      <c r="HVE1598" s="390"/>
      <c r="HVF1598" s="391"/>
      <c r="HVG1598" s="390"/>
      <c r="HVH1598" s="391"/>
      <c r="HVI1598" s="390"/>
      <c r="HVJ1598" s="391"/>
      <c r="HVK1598" s="390"/>
      <c r="HVL1598" s="391"/>
      <c r="HVM1598" s="390"/>
      <c r="HVN1598" s="391"/>
      <c r="HVO1598" s="390"/>
      <c r="HVP1598" s="391"/>
      <c r="HVQ1598" s="390"/>
      <c r="HVR1598" s="391"/>
      <c r="HVS1598" s="390"/>
      <c r="HVT1598" s="391"/>
      <c r="HVU1598" s="390"/>
      <c r="HVV1598" s="391"/>
      <c r="HVW1598" s="390"/>
      <c r="HVX1598" s="391"/>
      <c r="HVY1598" s="390"/>
      <c r="HVZ1598" s="391"/>
      <c r="HWA1598" s="390"/>
      <c r="HWB1598" s="391"/>
      <c r="HWC1598" s="390"/>
      <c r="HWD1598" s="391"/>
      <c r="HWE1598" s="390"/>
      <c r="HWF1598" s="391"/>
      <c r="HWG1598" s="390"/>
      <c r="HWH1598" s="391"/>
      <c r="HWI1598" s="390"/>
      <c r="HWJ1598" s="391"/>
      <c r="HWK1598" s="390"/>
      <c r="HWL1598" s="391"/>
      <c r="HWM1598" s="390"/>
      <c r="HWN1598" s="391"/>
      <c r="HWO1598" s="390"/>
      <c r="HWP1598" s="391"/>
      <c r="HWQ1598" s="390"/>
      <c r="HWR1598" s="391"/>
      <c r="HWS1598" s="390"/>
      <c r="HWT1598" s="391"/>
      <c r="HWU1598" s="390"/>
      <c r="HWV1598" s="391"/>
      <c r="HWW1598" s="390"/>
      <c r="HWX1598" s="391"/>
      <c r="HWY1598" s="390"/>
      <c r="HWZ1598" s="391"/>
      <c r="HXA1598" s="390"/>
      <c r="HXB1598" s="391"/>
      <c r="HXC1598" s="390"/>
      <c r="HXD1598" s="391"/>
      <c r="HXE1598" s="390"/>
      <c r="HXF1598" s="391"/>
      <c r="HXG1598" s="390"/>
      <c r="HXH1598" s="391"/>
      <c r="HXI1598" s="390"/>
      <c r="HXJ1598" s="391"/>
      <c r="HXK1598" s="390"/>
      <c r="HXL1598" s="391"/>
      <c r="HXM1598" s="390"/>
      <c r="HXN1598" s="391"/>
      <c r="HXO1598" s="390"/>
      <c r="HXP1598" s="391"/>
      <c r="HXQ1598" s="390"/>
      <c r="HXR1598" s="391"/>
      <c r="HXS1598" s="390"/>
      <c r="HXT1598" s="391"/>
      <c r="HXU1598" s="390"/>
      <c r="HXV1598" s="391"/>
      <c r="HXW1598" s="390"/>
      <c r="HXX1598" s="391"/>
      <c r="HXY1598" s="390"/>
      <c r="HXZ1598" s="391"/>
      <c r="HYA1598" s="390"/>
      <c r="HYB1598" s="391"/>
      <c r="HYC1598" s="390"/>
      <c r="HYD1598" s="391"/>
      <c r="HYE1598" s="390"/>
      <c r="HYF1598" s="391"/>
      <c r="HYG1598" s="390"/>
      <c r="HYH1598" s="391"/>
      <c r="HYI1598" s="390"/>
      <c r="HYJ1598" s="391"/>
      <c r="HYK1598" s="390"/>
      <c r="HYL1598" s="391"/>
      <c r="HYM1598" s="390"/>
      <c r="HYN1598" s="391"/>
      <c r="HYO1598" s="390"/>
      <c r="HYP1598" s="391"/>
      <c r="HYQ1598" s="390"/>
      <c r="HYR1598" s="391"/>
      <c r="HYS1598" s="390"/>
      <c r="HYT1598" s="391"/>
      <c r="HYU1598" s="390"/>
      <c r="HYV1598" s="391"/>
      <c r="HYW1598" s="390"/>
      <c r="HYX1598" s="391"/>
      <c r="HYY1598" s="390"/>
      <c r="HYZ1598" s="391"/>
      <c r="HZA1598" s="390"/>
      <c r="HZB1598" s="391"/>
      <c r="HZC1598" s="390"/>
      <c r="HZD1598" s="391"/>
      <c r="HZE1598" s="390"/>
      <c r="HZF1598" s="391"/>
      <c r="HZG1598" s="390"/>
      <c r="HZH1598" s="391"/>
      <c r="HZI1598" s="390"/>
      <c r="HZJ1598" s="391"/>
      <c r="HZK1598" s="390"/>
      <c r="HZL1598" s="391"/>
      <c r="HZM1598" s="390"/>
      <c r="HZN1598" s="391"/>
      <c r="HZO1598" s="390"/>
      <c r="HZP1598" s="391"/>
      <c r="HZQ1598" s="390"/>
      <c r="HZR1598" s="391"/>
      <c r="HZS1598" s="390"/>
      <c r="HZT1598" s="391"/>
      <c r="HZU1598" s="390"/>
      <c r="HZV1598" s="391"/>
      <c r="HZW1598" s="390"/>
      <c r="HZX1598" s="391"/>
      <c r="HZY1598" s="390"/>
      <c r="HZZ1598" s="391"/>
      <c r="IAA1598" s="390"/>
      <c r="IAB1598" s="391"/>
      <c r="IAC1598" s="390"/>
      <c r="IAD1598" s="391"/>
      <c r="IAE1598" s="390"/>
      <c r="IAF1598" s="391"/>
      <c r="IAG1598" s="390"/>
      <c r="IAH1598" s="391"/>
      <c r="IAI1598" s="390"/>
      <c r="IAJ1598" s="391"/>
      <c r="IAK1598" s="390"/>
      <c r="IAL1598" s="391"/>
      <c r="IAM1598" s="390"/>
      <c r="IAN1598" s="391"/>
      <c r="IAO1598" s="390"/>
      <c r="IAP1598" s="391"/>
      <c r="IAQ1598" s="390"/>
      <c r="IAR1598" s="391"/>
      <c r="IAS1598" s="390"/>
      <c r="IAT1598" s="391"/>
      <c r="IAU1598" s="390"/>
      <c r="IAV1598" s="391"/>
      <c r="IAW1598" s="390"/>
      <c r="IAX1598" s="391"/>
      <c r="IAY1598" s="390"/>
      <c r="IAZ1598" s="391"/>
      <c r="IBA1598" s="390"/>
      <c r="IBB1598" s="391"/>
      <c r="IBC1598" s="390"/>
      <c r="IBD1598" s="391"/>
      <c r="IBE1598" s="390"/>
      <c r="IBF1598" s="391"/>
      <c r="IBG1598" s="390"/>
      <c r="IBH1598" s="391"/>
      <c r="IBI1598" s="390"/>
      <c r="IBJ1598" s="391"/>
      <c r="IBK1598" s="390"/>
      <c r="IBL1598" s="391"/>
      <c r="IBM1598" s="390"/>
      <c r="IBN1598" s="391"/>
      <c r="IBO1598" s="390"/>
      <c r="IBP1598" s="391"/>
      <c r="IBQ1598" s="390"/>
      <c r="IBR1598" s="391"/>
      <c r="IBS1598" s="390"/>
      <c r="IBT1598" s="391"/>
      <c r="IBU1598" s="390"/>
      <c r="IBV1598" s="391"/>
      <c r="IBW1598" s="390"/>
      <c r="IBX1598" s="391"/>
      <c r="IBY1598" s="390"/>
      <c r="IBZ1598" s="391"/>
      <c r="ICA1598" s="390"/>
      <c r="ICB1598" s="391"/>
      <c r="ICC1598" s="390"/>
      <c r="ICD1598" s="391"/>
      <c r="ICE1598" s="390"/>
      <c r="ICF1598" s="391"/>
      <c r="ICG1598" s="390"/>
      <c r="ICH1598" s="391"/>
      <c r="ICI1598" s="390"/>
      <c r="ICJ1598" s="391"/>
      <c r="ICK1598" s="390"/>
      <c r="ICL1598" s="391"/>
      <c r="ICM1598" s="390"/>
      <c r="ICN1598" s="391"/>
      <c r="ICO1598" s="390"/>
      <c r="ICP1598" s="391"/>
      <c r="ICQ1598" s="390"/>
      <c r="ICR1598" s="391"/>
      <c r="ICS1598" s="390"/>
      <c r="ICT1598" s="391"/>
      <c r="ICU1598" s="390"/>
      <c r="ICV1598" s="391"/>
      <c r="ICW1598" s="390"/>
      <c r="ICX1598" s="391"/>
      <c r="ICY1598" s="390"/>
      <c r="ICZ1598" s="391"/>
      <c r="IDA1598" s="390"/>
      <c r="IDB1598" s="391"/>
      <c r="IDC1598" s="390"/>
      <c r="IDD1598" s="391"/>
      <c r="IDE1598" s="390"/>
      <c r="IDF1598" s="391"/>
      <c r="IDG1598" s="390"/>
      <c r="IDH1598" s="391"/>
      <c r="IDI1598" s="390"/>
      <c r="IDJ1598" s="391"/>
      <c r="IDK1598" s="390"/>
      <c r="IDL1598" s="391"/>
      <c r="IDM1598" s="390"/>
      <c r="IDN1598" s="391"/>
      <c r="IDO1598" s="390"/>
      <c r="IDP1598" s="391"/>
      <c r="IDQ1598" s="390"/>
      <c r="IDR1598" s="391"/>
      <c r="IDS1598" s="390"/>
      <c r="IDT1598" s="391"/>
      <c r="IDU1598" s="390"/>
      <c r="IDV1598" s="391"/>
      <c r="IDW1598" s="390"/>
      <c r="IDX1598" s="391"/>
      <c r="IDY1598" s="390"/>
      <c r="IDZ1598" s="391"/>
      <c r="IEA1598" s="390"/>
      <c r="IEB1598" s="391"/>
      <c r="IEC1598" s="390"/>
      <c r="IED1598" s="391"/>
      <c r="IEE1598" s="390"/>
      <c r="IEF1598" s="391"/>
      <c r="IEG1598" s="390"/>
      <c r="IEH1598" s="391"/>
      <c r="IEI1598" s="390"/>
      <c r="IEJ1598" s="391"/>
      <c r="IEK1598" s="390"/>
      <c r="IEL1598" s="391"/>
      <c r="IEM1598" s="390"/>
      <c r="IEN1598" s="391"/>
      <c r="IEO1598" s="390"/>
      <c r="IEP1598" s="391"/>
      <c r="IEQ1598" s="390"/>
      <c r="IER1598" s="391"/>
      <c r="IES1598" s="390"/>
      <c r="IET1598" s="391"/>
      <c r="IEU1598" s="390"/>
      <c r="IEV1598" s="391"/>
      <c r="IEW1598" s="390"/>
      <c r="IEX1598" s="391"/>
      <c r="IEY1598" s="390"/>
      <c r="IEZ1598" s="391"/>
      <c r="IFA1598" s="390"/>
      <c r="IFB1598" s="391"/>
      <c r="IFC1598" s="390"/>
      <c r="IFD1598" s="391"/>
      <c r="IFE1598" s="390"/>
      <c r="IFF1598" s="391"/>
      <c r="IFG1598" s="390"/>
      <c r="IFH1598" s="391"/>
      <c r="IFI1598" s="390"/>
      <c r="IFJ1598" s="391"/>
      <c r="IFK1598" s="390"/>
      <c r="IFL1598" s="391"/>
      <c r="IFM1598" s="390"/>
      <c r="IFN1598" s="391"/>
      <c r="IFO1598" s="390"/>
      <c r="IFP1598" s="391"/>
      <c r="IFQ1598" s="390"/>
      <c r="IFR1598" s="391"/>
      <c r="IFS1598" s="390"/>
      <c r="IFT1598" s="391"/>
      <c r="IFU1598" s="390"/>
      <c r="IFV1598" s="391"/>
      <c r="IFW1598" s="390"/>
      <c r="IFX1598" s="391"/>
      <c r="IFY1598" s="390"/>
      <c r="IFZ1598" s="391"/>
      <c r="IGA1598" s="390"/>
      <c r="IGB1598" s="391"/>
      <c r="IGC1598" s="390"/>
      <c r="IGD1598" s="391"/>
      <c r="IGE1598" s="390"/>
      <c r="IGF1598" s="391"/>
      <c r="IGG1598" s="390"/>
      <c r="IGH1598" s="391"/>
      <c r="IGI1598" s="390"/>
      <c r="IGJ1598" s="391"/>
      <c r="IGK1598" s="390"/>
      <c r="IGL1598" s="391"/>
      <c r="IGM1598" s="390"/>
      <c r="IGN1598" s="391"/>
      <c r="IGO1598" s="390"/>
      <c r="IGP1598" s="391"/>
      <c r="IGQ1598" s="390"/>
      <c r="IGR1598" s="391"/>
      <c r="IGS1598" s="390"/>
      <c r="IGT1598" s="391"/>
      <c r="IGU1598" s="390"/>
      <c r="IGV1598" s="391"/>
      <c r="IGW1598" s="390"/>
      <c r="IGX1598" s="391"/>
      <c r="IGY1598" s="390"/>
      <c r="IGZ1598" s="391"/>
      <c r="IHA1598" s="390"/>
      <c r="IHB1598" s="391"/>
      <c r="IHC1598" s="390"/>
      <c r="IHD1598" s="391"/>
      <c r="IHE1598" s="390"/>
      <c r="IHF1598" s="391"/>
      <c r="IHG1598" s="390"/>
      <c r="IHH1598" s="391"/>
      <c r="IHI1598" s="390"/>
      <c r="IHJ1598" s="391"/>
      <c r="IHK1598" s="390"/>
      <c r="IHL1598" s="391"/>
      <c r="IHM1598" s="390"/>
      <c r="IHN1598" s="391"/>
      <c r="IHO1598" s="390"/>
      <c r="IHP1598" s="391"/>
      <c r="IHQ1598" s="390"/>
      <c r="IHR1598" s="391"/>
      <c r="IHS1598" s="390"/>
      <c r="IHT1598" s="391"/>
      <c r="IHU1598" s="390"/>
      <c r="IHV1598" s="391"/>
      <c r="IHW1598" s="390"/>
      <c r="IHX1598" s="391"/>
      <c r="IHY1598" s="390"/>
      <c r="IHZ1598" s="391"/>
      <c r="IIA1598" s="390"/>
      <c r="IIB1598" s="391"/>
      <c r="IIC1598" s="390"/>
      <c r="IID1598" s="391"/>
      <c r="IIE1598" s="390"/>
      <c r="IIF1598" s="391"/>
      <c r="IIG1598" s="390"/>
      <c r="IIH1598" s="391"/>
      <c r="III1598" s="390"/>
      <c r="IIJ1598" s="391"/>
      <c r="IIK1598" s="390"/>
      <c r="IIL1598" s="391"/>
      <c r="IIM1598" s="390"/>
      <c r="IIN1598" s="391"/>
      <c r="IIO1598" s="390"/>
      <c r="IIP1598" s="391"/>
      <c r="IIQ1598" s="390"/>
      <c r="IIR1598" s="391"/>
      <c r="IIS1598" s="390"/>
      <c r="IIT1598" s="391"/>
      <c r="IIU1598" s="390"/>
      <c r="IIV1598" s="391"/>
      <c r="IIW1598" s="390"/>
      <c r="IIX1598" s="391"/>
      <c r="IIY1598" s="390"/>
      <c r="IIZ1598" s="391"/>
      <c r="IJA1598" s="390"/>
      <c r="IJB1598" s="391"/>
      <c r="IJC1598" s="390"/>
      <c r="IJD1598" s="391"/>
      <c r="IJE1598" s="390"/>
      <c r="IJF1598" s="391"/>
      <c r="IJG1598" s="390"/>
      <c r="IJH1598" s="391"/>
      <c r="IJI1598" s="390"/>
      <c r="IJJ1598" s="391"/>
      <c r="IJK1598" s="390"/>
      <c r="IJL1598" s="391"/>
      <c r="IJM1598" s="390"/>
      <c r="IJN1598" s="391"/>
      <c r="IJO1598" s="390"/>
      <c r="IJP1598" s="391"/>
      <c r="IJQ1598" s="390"/>
      <c r="IJR1598" s="391"/>
      <c r="IJS1598" s="390"/>
      <c r="IJT1598" s="391"/>
      <c r="IJU1598" s="390"/>
      <c r="IJV1598" s="391"/>
      <c r="IJW1598" s="390"/>
      <c r="IJX1598" s="391"/>
      <c r="IJY1598" s="390"/>
      <c r="IJZ1598" s="391"/>
      <c r="IKA1598" s="390"/>
      <c r="IKB1598" s="391"/>
      <c r="IKC1598" s="390"/>
      <c r="IKD1598" s="391"/>
      <c r="IKE1598" s="390"/>
      <c r="IKF1598" s="391"/>
      <c r="IKG1598" s="390"/>
      <c r="IKH1598" s="391"/>
      <c r="IKI1598" s="390"/>
      <c r="IKJ1598" s="391"/>
      <c r="IKK1598" s="390"/>
      <c r="IKL1598" s="391"/>
      <c r="IKM1598" s="390"/>
      <c r="IKN1598" s="391"/>
      <c r="IKO1598" s="390"/>
      <c r="IKP1598" s="391"/>
      <c r="IKQ1598" s="390"/>
      <c r="IKR1598" s="391"/>
      <c r="IKS1598" s="390"/>
      <c r="IKT1598" s="391"/>
      <c r="IKU1598" s="390"/>
      <c r="IKV1598" s="391"/>
      <c r="IKW1598" s="390"/>
      <c r="IKX1598" s="391"/>
      <c r="IKY1598" s="390"/>
      <c r="IKZ1598" s="391"/>
      <c r="ILA1598" s="390"/>
      <c r="ILB1598" s="391"/>
      <c r="ILC1598" s="390"/>
      <c r="ILD1598" s="391"/>
      <c r="ILE1598" s="390"/>
      <c r="ILF1598" s="391"/>
      <c r="ILG1598" s="390"/>
      <c r="ILH1598" s="391"/>
      <c r="ILI1598" s="390"/>
      <c r="ILJ1598" s="391"/>
      <c r="ILK1598" s="390"/>
      <c r="ILL1598" s="391"/>
      <c r="ILM1598" s="390"/>
      <c r="ILN1598" s="391"/>
      <c r="ILO1598" s="390"/>
      <c r="ILP1598" s="391"/>
      <c r="ILQ1598" s="390"/>
      <c r="ILR1598" s="391"/>
      <c r="ILS1598" s="390"/>
      <c r="ILT1598" s="391"/>
      <c r="ILU1598" s="390"/>
      <c r="ILV1598" s="391"/>
      <c r="ILW1598" s="390"/>
      <c r="ILX1598" s="391"/>
      <c r="ILY1598" s="390"/>
      <c r="ILZ1598" s="391"/>
      <c r="IMA1598" s="390"/>
      <c r="IMB1598" s="391"/>
      <c r="IMC1598" s="390"/>
      <c r="IMD1598" s="391"/>
      <c r="IME1598" s="390"/>
      <c r="IMF1598" s="391"/>
      <c r="IMG1598" s="390"/>
      <c r="IMH1598" s="391"/>
      <c r="IMI1598" s="390"/>
      <c r="IMJ1598" s="391"/>
      <c r="IMK1598" s="390"/>
      <c r="IML1598" s="391"/>
      <c r="IMM1598" s="390"/>
      <c r="IMN1598" s="391"/>
      <c r="IMO1598" s="390"/>
      <c r="IMP1598" s="391"/>
      <c r="IMQ1598" s="390"/>
      <c r="IMR1598" s="391"/>
      <c r="IMS1598" s="390"/>
      <c r="IMT1598" s="391"/>
      <c r="IMU1598" s="390"/>
      <c r="IMV1598" s="391"/>
      <c r="IMW1598" s="390"/>
      <c r="IMX1598" s="391"/>
      <c r="IMY1598" s="390"/>
      <c r="IMZ1598" s="391"/>
      <c r="INA1598" s="390"/>
      <c r="INB1598" s="391"/>
      <c r="INC1598" s="390"/>
      <c r="IND1598" s="391"/>
      <c r="INE1598" s="390"/>
      <c r="INF1598" s="391"/>
      <c r="ING1598" s="390"/>
      <c r="INH1598" s="391"/>
      <c r="INI1598" s="390"/>
      <c r="INJ1598" s="391"/>
      <c r="INK1598" s="390"/>
      <c r="INL1598" s="391"/>
      <c r="INM1598" s="390"/>
      <c r="INN1598" s="391"/>
      <c r="INO1598" s="390"/>
      <c r="INP1598" s="391"/>
      <c r="INQ1598" s="390"/>
      <c r="INR1598" s="391"/>
      <c r="INS1598" s="390"/>
      <c r="INT1598" s="391"/>
      <c r="INU1598" s="390"/>
      <c r="INV1598" s="391"/>
      <c r="INW1598" s="390"/>
      <c r="INX1598" s="391"/>
      <c r="INY1598" s="390"/>
      <c r="INZ1598" s="391"/>
      <c r="IOA1598" s="390"/>
      <c r="IOB1598" s="391"/>
      <c r="IOC1598" s="390"/>
      <c r="IOD1598" s="391"/>
      <c r="IOE1598" s="390"/>
      <c r="IOF1598" s="391"/>
      <c r="IOG1598" s="390"/>
      <c r="IOH1598" s="391"/>
      <c r="IOI1598" s="390"/>
      <c r="IOJ1598" s="391"/>
      <c r="IOK1598" s="390"/>
      <c r="IOL1598" s="391"/>
      <c r="IOM1598" s="390"/>
      <c r="ION1598" s="391"/>
      <c r="IOO1598" s="390"/>
      <c r="IOP1598" s="391"/>
      <c r="IOQ1598" s="390"/>
      <c r="IOR1598" s="391"/>
      <c r="IOS1598" s="390"/>
      <c r="IOT1598" s="391"/>
      <c r="IOU1598" s="390"/>
      <c r="IOV1598" s="391"/>
      <c r="IOW1598" s="390"/>
      <c r="IOX1598" s="391"/>
      <c r="IOY1598" s="390"/>
      <c r="IOZ1598" s="391"/>
      <c r="IPA1598" s="390"/>
      <c r="IPB1598" s="391"/>
      <c r="IPC1598" s="390"/>
      <c r="IPD1598" s="391"/>
      <c r="IPE1598" s="390"/>
      <c r="IPF1598" s="391"/>
      <c r="IPG1598" s="390"/>
      <c r="IPH1598" s="391"/>
      <c r="IPI1598" s="390"/>
      <c r="IPJ1598" s="391"/>
      <c r="IPK1598" s="390"/>
      <c r="IPL1598" s="391"/>
      <c r="IPM1598" s="390"/>
      <c r="IPN1598" s="391"/>
      <c r="IPO1598" s="390"/>
      <c r="IPP1598" s="391"/>
      <c r="IPQ1598" s="390"/>
      <c r="IPR1598" s="391"/>
      <c r="IPS1598" s="390"/>
      <c r="IPT1598" s="391"/>
      <c r="IPU1598" s="390"/>
      <c r="IPV1598" s="391"/>
      <c r="IPW1598" s="390"/>
      <c r="IPX1598" s="391"/>
      <c r="IPY1598" s="390"/>
      <c r="IPZ1598" s="391"/>
      <c r="IQA1598" s="390"/>
      <c r="IQB1598" s="391"/>
      <c r="IQC1598" s="390"/>
      <c r="IQD1598" s="391"/>
      <c r="IQE1598" s="390"/>
      <c r="IQF1598" s="391"/>
      <c r="IQG1598" s="390"/>
      <c r="IQH1598" s="391"/>
      <c r="IQI1598" s="390"/>
      <c r="IQJ1598" s="391"/>
      <c r="IQK1598" s="390"/>
      <c r="IQL1598" s="391"/>
      <c r="IQM1598" s="390"/>
      <c r="IQN1598" s="391"/>
      <c r="IQO1598" s="390"/>
      <c r="IQP1598" s="391"/>
      <c r="IQQ1598" s="390"/>
      <c r="IQR1598" s="391"/>
      <c r="IQS1598" s="390"/>
      <c r="IQT1598" s="391"/>
      <c r="IQU1598" s="390"/>
      <c r="IQV1598" s="391"/>
      <c r="IQW1598" s="390"/>
      <c r="IQX1598" s="391"/>
      <c r="IQY1598" s="390"/>
      <c r="IQZ1598" s="391"/>
      <c r="IRA1598" s="390"/>
      <c r="IRB1598" s="391"/>
      <c r="IRC1598" s="390"/>
      <c r="IRD1598" s="391"/>
      <c r="IRE1598" s="390"/>
      <c r="IRF1598" s="391"/>
      <c r="IRG1598" s="390"/>
      <c r="IRH1598" s="391"/>
      <c r="IRI1598" s="390"/>
      <c r="IRJ1598" s="391"/>
      <c r="IRK1598" s="390"/>
      <c r="IRL1598" s="391"/>
      <c r="IRM1598" s="390"/>
      <c r="IRN1598" s="391"/>
      <c r="IRO1598" s="390"/>
      <c r="IRP1598" s="391"/>
      <c r="IRQ1598" s="390"/>
      <c r="IRR1598" s="391"/>
      <c r="IRS1598" s="390"/>
      <c r="IRT1598" s="391"/>
      <c r="IRU1598" s="390"/>
      <c r="IRV1598" s="391"/>
      <c r="IRW1598" s="390"/>
      <c r="IRX1598" s="391"/>
      <c r="IRY1598" s="390"/>
      <c r="IRZ1598" s="391"/>
      <c r="ISA1598" s="390"/>
      <c r="ISB1598" s="391"/>
      <c r="ISC1598" s="390"/>
      <c r="ISD1598" s="391"/>
      <c r="ISE1598" s="390"/>
      <c r="ISF1598" s="391"/>
      <c r="ISG1598" s="390"/>
      <c r="ISH1598" s="391"/>
      <c r="ISI1598" s="390"/>
      <c r="ISJ1598" s="391"/>
      <c r="ISK1598" s="390"/>
      <c r="ISL1598" s="391"/>
      <c r="ISM1598" s="390"/>
      <c r="ISN1598" s="391"/>
      <c r="ISO1598" s="390"/>
      <c r="ISP1598" s="391"/>
      <c r="ISQ1598" s="390"/>
      <c r="ISR1598" s="391"/>
      <c r="ISS1598" s="390"/>
      <c r="IST1598" s="391"/>
      <c r="ISU1598" s="390"/>
      <c r="ISV1598" s="391"/>
      <c r="ISW1598" s="390"/>
      <c r="ISX1598" s="391"/>
      <c r="ISY1598" s="390"/>
      <c r="ISZ1598" s="391"/>
      <c r="ITA1598" s="390"/>
      <c r="ITB1598" s="391"/>
      <c r="ITC1598" s="390"/>
      <c r="ITD1598" s="391"/>
      <c r="ITE1598" s="390"/>
      <c r="ITF1598" s="391"/>
      <c r="ITG1598" s="390"/>
      <c r="ITH1598" s="391"/>
      <c r="ITI1598" s="390"/>
      <c r="ITJ1598" s="391"/>
      <c r="ITK1598" s="390"/>
      <c r="ITL1598" s="391"/>
      <c r="ITM1598" s="390"/>
      <c r="ITN1598" s="391"/>
      <c r="ITO1598" s="390"/>
      <c r="ITP1598" s="391"/>
      <c r="ITQ1598" s="390"/>
      <c r="ITR1598" s="391"/>
      <c r="ITS1598" s="390"/>
      <c r="ITT1598" s="391"/>
      <c r="ITU1598" s="390"/>
      <c r="ITV1598" s="391"/>
      <c r="ITW1598" s="390"/>
      <c r="ITX1598" s="391"/>
      <c r="ITY1598" s="390"/>
      <c r="ITZ1598" s="391"/>
      <c r="IUA1598" s="390"/>
      <c r="IUB1598" s="391"/>
      <c r="IUC1598" s="390"/>
      <c r="IUD1598" s="391"/>
      <c r="IUE1598" s="390"/>
      <c r="IUF1598" s="391"/>
      <c r="IUG1598" s="390"/>
      <c r="IUH1598" s="391"/>
      <c r="IUI1598" s="390"/>
      <c r="IUJ1598" s="391"/>
      <c r="IUK1598" s="390"/>
      <c r="IUL1598" s="391"/>
      <c r="IUM1598" s="390"/>
      <c r="IUN1598" s="391"/>
      <c r="IUO1598" s="390"/>
      <c r="IUP1598" s="391"/>
      <c r="IUQ1598" s="390"/>
      <c r="IUR1598" s="391"/>
      <c r="IUS1598" s="390"/>
      <c r="IUT1598" s="391"/>
      <c r="IUU1598" s="390"/>
      <c r="IUV1598" s="391"/>
      <c r="IUW1598" s="390"/>
      <c r="IUX1598" s="391"/>
      <c r="IUY1598" s="390"/>
      <c r="IUZ1598" s="391"/>
      <c r="IVA1598" s="390"/>
      <c r="IVB1598" s="391"/>
      <c r="IVC1598" s="390"/>
      <c r="IVD1598" s="391"/>
      <c r="IVE1598" s="390"/>
      <c r="IVF1598" s="391"/>
      <c r="IVG1598" s="390"/>
      <c r="IVH1598" s="391"/>
      <c r="IVI1598" s="390"/>
      <c r="IVJ1598" s="391"/>
      <c r="IVK1598" s="390"/>
      <c r="IVL1598" s="391"/>
      <c r="IVM1598" s="390"/>
      <c r="IVN1598" s="391"/>
      <c r="IVO1598" s="390"/>
      <c r="IVP1598" s="391"/>
      <c r="IVQ1598" s="390"/>
      <c r="IVR1598" s="391"/>
      <c r="IVS1598" s="390"/>
      <c r="IVT1598" s="391"/>
      <c r="IVU1598" s="390"/>
      <c r="IVV1598" s="391"/>
      <c r="IVW1598" s="390"/>
      <c r="IVX1598" s="391"/>
      <c r="IVY1598" s="390"/>
      <c r="IVZ1598" s="391"/>
      <c r="IWA1598" s="390"/>
      <c r="IWB1598" s="391"/>
      <c r="IWC1598" s="390"/>
      <c r="IWD1598" s="391"/>
      <c r="IWE1598" s="390"/>
      <c r="IWF1598" s="391"/>
      <c r="IWG1598" s="390"/>
      <c r="IWH1598" s="391"/>
      <c r="IWI1598" s="390"/>
      <c r="IWJ1598" s="391"/>
      <c r="IWK1598" s="390"/>
      <c r="IWL1598" s="391"/>
      <c r="IWM1598" s="390"/>
      <c r="IWN1598" s="391"/>
      <c r="IWO1598" s="390"/>
      <c r="IWP1598" s="391"/>
      <c r="IWQ1598" s="390"/>
      <c r="IWR1598" s="391"/>
      <c r="IWS1598" s="390"/>
      <c r="IWT1598" s="391"/>
      <c r="IWU1598" s="390"/>
      <c r="IWV1598" s="391"/>
      <c r="IWW1598" s="390"/>
      <c r="IWX1598" s="391"/>
      <c r="IWY1598" s="390"/>
      <c r="IWZ1598" s="391"/>
      <c r="IXA1598" s="390"/>
      <c r="IXB1598" s="391"/>
      <c r="IXC1598" s="390"/>
      <c r="IXD1598" s="391"/>
      <c r="IXE1598" s="390"/>
      <c r="IXF1598" s="391"/>
      <c r="IXG1598" s="390"/>
      <c r="IXH1598" s="391"/>
      <c r="IXI1598" s="390"/>
      <c r="IXJ1598" s="391"/>
      <c r="IXK1598" s="390"/>
      <c r="IXL1598" s="391"/>
      <c r="IXM1598" s="390"/>
      <c r="IXN1598" s="391"/>
      <c r="IXO1598" s="390"/>
      <c r="IXP1598" s="391"/>
      <c r="IXQ1598" s="390"/>
      <c r="IXR1598" s="391"/>
      <c r="IXS1598" s="390"/>
      <c r="IXT1598" s="391"/>
      <c r="IXU1598" s="390"/>
      <c r="IXV1598" s="391"/>
      <c r="IXW1598" s="390"/>
      <c r="IXX1598" s="391"/>
      <c r="IXY1598" s="390"/>
      <c r="IXZ1598" s="391"/>
      <c r="IYA1598" s="390"/>
      <c r="IYB1598" s="391"/>
      <c r="IYC1598" s="390"/>
      <c r="IYD1598" s="391"/>
      <c r="IYE1598" s="390"/>
      <c r="IYF1598" s="391"/>
      <c r="IYG1598" s="390"/>
      <c r="IYH1598" s="391"/>
      <c r="IYI1598" s="390"/>
      <c r="IYJ1598" s="391"/>
      <c r="IYK1598" s="390"/>
      <c r="IYL1598" s="391"/>
      <c r="IYM1598" s="390"/>
      <c r="IYN1598" s="391"/>
      <c r="IYO1598" s="390"/>
      <c r="IYP1598" s="391"/>
      <c r="IYQ1598" s="390"/>
      <c r="IYR1598" s="391"/>
      <c r="IYS1598" s="390"/>
      <c r="IYT1598" s="391"/>
      <c r="IYU1598" s="390"/>
      <c r="IYV1598" s="391"/>
      <c r="IYW1598" s="390"/>
      <c r="IYX1598" s="391"/>
      <c r="IYY1598" s="390"/>
      <c r="IYZ1598" s="391"/>
      <c r="IZA1598" s="390"/>
      <c r="IZB1598" s="391"/>
      <c r="IZC1598" s="390"/>
      <c r="IZD1598" s="391"/>
      <c r="IZE1598" s="390"/>
      <c r="IZF1598" s="391"/>
      <c r="IZG1598" s="390"/>
      <c r="IZH1598" s="391"/>
      <c r="IZI1598" s="390"/>
      <c r="IZJ1598" s="391"/>
      <c r="IZK1598" s="390"/>
      <c r="IZL1598" s="391"/>
      <c r="IZM1598" s="390"/>
      <c r="IZN1598" s="391"/>
      <c r="IZO1598" s="390"/>
      <c r="IZP1598" s="391"/>
      <c r="IZQ1598" s="390"/>
      <c r="IZR1598" s="391"/>
      <c r="IZS1598" s="390"/>
      <c r="IZT1598" s="391"/>
      <c r="IZU1598" s="390"/>
      <c r="IZV1598" s="391"/>
      <c r="IZW1598" s="390"/>
      <c r="IZX1598" s="391"/>
      <c r="IZY1598" s="390"/>
      <c r="IZZ1598" s="391"/>
      <c r="JAA1598" s="390"/>
      <c r="JAB1598" s="391"/>
      <c r="JAC1598" s="390"/>
      <c r="JAD1598" s="391"/>
      <c r="JAE1598" s="390"/>
      <c r="JAF1598" s="391"/>
      <c r="JAG1598" s="390"/>
      <c r="JAH1598" s="391"/>
      <c r="JAI1598" s="390"/>
      <c r="JAJ1598" s="391"/>
      <c r="JAK1598" s="390"/>
      <c r="JAL1598" s="391"/>
      <c r="JAM1598" s="390"/>
      <c r="JAN1598" s="391"/>
      <c r="JAO1598" s="390"/>
      <c r="JAP1598" s="391"/>
      <c r="JAQ1598" s="390"/>
      <c r="JAR1598" s="391"/>
      <c r="JAS1598" s="390"/>
      <c r="JAT1598" s="391"/>
      <c r="JAU1598" s="390"/>
      <c r="JAV1598" s="391"/>
      <c r="JAW1598" s="390"/>
      <c r="JAX1598" s="391"/>
      <c r="JAY1598" s="390"/>
      <c r="JAZ1598" s="391"/>
      <c r="JBA1598" s="390"/>
      <c r="JBB1598" s="391"/>
      <c r="JBC1598" s="390"/>
      <c r="JBD1598" s="391"/>
      <c r="JBE1598" s="390"/>
      <c r="JBF1598" s="391"/>
      <c r="JBG1598" s="390"/>
      <c r="JBH1598" s="391"/>
      <c r="JBI1598" s="390"/>
      <c r="JBJ1598" s="391"/>
      <c r="JBK1598" s="390"/>
      <c r="JBL1598" s="391"/>
      <c r="JBM1598" s="390"/>
      <c r="JBN1598" s="391"/>
      <c r="JBO1598" s="390"/>
      <c r="JBP1598" s="391"/>
      <c r="JBQ1598" s="390"/>
      <c r="JBR1598" s="391"/>
      <c r="JBS1598" s="390"/>
      <c r="JBT1598" s="391"/>
      <c r="JBU1598" s="390"/>
      <c r="JBV1598" s="391"/>
      <c r="JBW1598" s="390"/>
      <c r="JBX1598" s="391"/>
      <c r="JBY1598" s="390"/>
      <c r="JBZ1598" s="391"/>
      <c r="JCA1598" s="390"/>
      <c r="JCB1598" s="391"/>
      <c r="JCC1598" s="390"/>
      <c r="JCD1598" s="391"/>
      <c r="JCE1598" s="390"/>
      <c r="JCF1598" s="391"/>
      <c r="JCG1598" s="390"/>
      <c r="JCH1598" s="391"/>
      <c r="JCI1598" s="390"/>
      <c r="JCJ1598" s="391"/>
      <c r="JCK1598" s="390"/>
      <c r="JCL1598" s="391"/>
      <c r="JCM1598" s="390"/>
      <c r="JCN1598" s="391"/>
      <c r="JCO1598" s="390"/>
      <c r="JCP1598" s="391"/>
      <c r="JCQ1598" s="390"/>
      <c r="JCR1598" s="391"/>
      <c r="JCS1598" s="390"/>
      <c r="JCT1598" s="391"/>
      <c r="JCU1598" s="390"/>
      <c r="JCV1598" s="391"/>
      <c r="JCW1598" s="390"/>
      <c r="JCX1598" s="391"/>
      <c r="JCY1598" s="390"/>
      <c r="JCZ1598" s="391"/>
      <c r="JDA1598" s="390"/>
      <c r="JDB1598" s="391"/>
      <c r="JDC1598" s="390"/>
      <c r="JDD1598" s="391"/>
      <c r="JDE1598" s="390"/>
      <c r="JDF1598" s="391"/>
      <c r="JDG1598" s="390"/>
      <c r="JDH1598" s="391"/>
      <c r="JDI1598" s="390"/>
      <c r="JDJ1598" s="391"/>
      <c r="JDK1598" s="390"/>
      <c r="JDL1598" s="391"/>
      <c r="JDM1598" s="390"/>
      <c r="JDN1598" s="391"/>
      <c r="JDO1598" s="390"/>
      <c r="JDP1598" s="391"/>
      <c r="JDQ1598" s="390"/>
      <c r="JDR1598" s="391"/>
      <c r="JDS1598" s="390"/>
      <c r="JDT1598" s="391"/>
      <c r="JDU1598" s="390"/>
      <c r="JDV1598" s="391"/>
      <c r="JDW1598" s="390"/>
      <c r="JDX1598" s="391"/>
      <c r="JDY1598" s="390"/>
      <c r="JDZ1598" s="391"/>
      <c r="JEA1598" s="390"/>
      <c r="JEB1598" s="391"/>
      <c r="JEC1598" s="390"/>
      <c r="JED1598" s="391"/>
      <c r="JEE1598" s="390"/>
      <c r="JEF1598" s="391"/>
      <c r="JEG1598" s="390"/>
      <c r="JEH1598" s="391"/>
      <c r="JEI1598" s="390"/>
      <c r="JEJ1598" s="391"/>
      <c r="JEK1598" s="390"/>
      <c r="JEL1598" s="391"/>
      <c r="JEM1598" s="390"/>
      <c r="JEN1598" s="391"/>
      <c r="JEO1598" s="390"/>
      <c r="JEP1598" s="391"/>
      <c r="JEQ1598" s="390"/>
      <c r="JER1598" s="391"/>
      <c r="JES1598" s="390"/>
      <c r="JET1598" s="391"/>
      <c r="JEU1598" s="390"/>
      <c r="JEV1598" s="391"/>
      <c r="JEW1598" s="390"/>
      <c r="JEX1598" s="391"/>
      <c r="JEY1598" s="390"/>
      <c r="JEZ1598" s="391"/>
      <c r="JFA1598" s="390"/>
      <c r="JFB1598" s="391"/>
      <c r="JFC1598" s="390"/>
      <c r="JFD1598" s="391"/>
      <c r="JFE1598" s="390"/>
      <c r="JFF1598" s="391"/>
      <c r="JFG1598" s="390"/>
      <c r="JFH1598" s="391"/>
      <c r="JFI1598" s="390"/>
      <c r="JFJ1598" s="391"/>
      <c r="JFK1598" s="390"/>
      <c r="JFL1598" s="391"/>
      <c r="JFM1598" s="390"/>
      <c r="JFN1598" s="391"/>
      <c r="JFO1598" s="390"/>
      <c r="JFP1598" s="391"/>
      <c r="JFQ1598" s="390"/>
      <c r="JFR1598" s="391"/>
      <c r="JFS1598" s="390"/>
      <c r="JFT1598" s="391"/>
      <c r="JFU1598" s="390"/>
      <c r="JFV1598" s="391"/>
      <c r="JFW1598" s="390"/>
      <c r="JFX1598" s="391"/>
      <c r="JFY1598" s="390"/>
      <c r="JFZ1598" s="391"/>
      <c r="JGA1598" s="390"/>
      <c r="JGB1598" s="391"/>
      <c r="JGC1598" s="390"/>
      <c r="JGD1598" s="391"/>
      <c r="JGE1598" s="390"/>
      <c r="JGF1598" s="391"/>
      <c r="JGG1598" s="390"/>
      <c r="JGH1598" s="391"/>
      <c r="JGI1598" s="390"/>
      <c r="JGJ1598" s="391"/>
      <c r="JGK1598" s="390"/>
      <c r="JGL1598" s="391"/>
      <c r="JGM1598" s="390"/>
      <c r="JGN1598" s="391"/>
      <c r="JGO1598" s="390"/>
      <c r="JGP1598" s="391"/>
      <c r="JGQ1598" s="390"/>
      <c r="JGR1598" s="391"/>
      <c r="JGS1598" s="390"/>
      <c r="JGT1598" s="391"/>
      <c r="JGU1598" s="390"/>
      <c r="JGV1598" s="391"/>
      <c r="JGW1598" s="390"/>
      <c r="JGX1598" s="391"/>
      <c r="JGY1598" s="390"/>
      <c r="JGZ1598" s="391"/>
      <c r="JHA1598" s="390"/>
      <c r="JHB1598" s="391"/>
      <c r="JHC1598" s="390"/>
      <c r="JHD1598" s="391"/>
      <c r="JHE1598" s="390"/>
      <c r="JHF1598" s="391"/>
      <c r="JHG1598" s="390"/>
      <c r="JHH1598" s="391"/>
      <c r="JHI1598" s="390"/>
      <c r="JHJ1598" s="391"/>
      <c r="JHK1598" s="390"/>
      <c r="JHL1598" s="391"/>
      <c r="JHM1598" s="390"/>
      <c r="JHN1598" s="391"/>
      <c r="JHO1598" s="390"/>
      <c r="JHP1598" s="391"/>
      <c r="JHQ1598" s="390"/>
      <c r="JHR1598" s="391"/>
      <c r="JHS1598" s="390"/>
      <c r="JHT1598" s="391"/>
      <c r="JHU1598" s="390"/>
      <c r="JHV1598" s="391"/>
      <c r="JHW1598" s="390"/>
      <c r="JHX1598" s="391"/>
      <c r="JHY1598" s="390"/>
      <c r="JHZ1598" s="391"/>
      <c r="JIA1598" s="390"/>
      <c r="JIB1598" s="391"/>
      <c r="JIC1598" s="390"/>
      <c r="JID1598" s="391"/>
      <c r="JIE1598" s="390"/>
      <c r="JIF1598" s="391"/>
      <c r="JIG1598" s="390"/>
      <c r="JIH1598" s="391"/>
      <c r="JII1598" s="390"/>
      <c r="JIJ1598" s="391"/>
      <c r="JIK1598" s="390"/>
      <c r="JIL1598" s="391"/>
      <c r="JIM1598" s="390"/>
      <c r="JIN1598" s="391"/>
      <c r="JIO1598" s="390"/>
      <c r="JIP1598" s="391"/>
      <c r="JIQ1598" s="390"/>
      <c r="JIR1598" s="391"/>
      <c r="JIS1598" s="390"/>
      <c r="JIT1598" s="391"/>
      <c r="JIU1598" s="390"/>
      <c r="JIV1598" s="391"/>
      <c r="JIW1598" s="390"/>
      <c r="JIX1598" s="391"/>
      <c r="JIY1598" s="390"/>
      <c r="JIZ1598" s="391"/>
      <c r="JJA1598" s="390"/>
      <c r="JJB1598" s="391"/>
      <c r="JJC1598" s="390"/>
      <c r="JJD1598" s="391"/>
      <c r="JJE1598" s="390"/>
      <c r="JJF1598" s="391"/>
      <c r="JJG1598" s="390"/>
      <c r="JJH1598" s="391"/>
      <c r="JJI1598" s="390"/>
      <c r="JJJ1598" s="391"/>
      <c r="JJK1598" s="390"/>
      <c r="JJL1598" s="391"/>
      <c r="JJM1598" s="390"/>
      <c r="JJN1598" s="391"/>
      <c r="JJO1598" s="390"/>
      <c r="JJP1598" s="391"/>
      <c r="JJQ1598" s="390"/>
      <c r="JJR1598" s="391"/>
      <c r="JJS1598" s="390"/>
      <c r="JJT1598" s="391"/>
      <c r="JJU1598" s="390"/>
      <c r="JJV1598" s="391"/>
      <c r="JJW1598" s="390"/>
      <c r="JJX1598" s="391"/>
      <c r="JJY1598" s="390"/>
      <c r="JJZ1598" s="391"/>
      <c r="JKA1598" s="390"/>
      <c r="JKB1598" s="391"/>
      <c r="JKC1598" s="390"/>
      <c r="JKD1598" s="391"/>
      <c r="JKE1598" s="390"/>
      <c r="JKF1598" s="391"/>
      <c r="JKG1598" s="390"/>
      <c r="JKH1598" s="391"/>
      <c r="JKI1598" s="390"/>
      <c r="JKJ1598" s="391"/>
      <c r="JKK1598" s="390"/>
      <c r="JKL1598" s="391"/>
      <c r="JKM1598" s="390"/>
      <c r="JKN1598" s="391"/>
      <c r="JKO1598" s="390"/>
      <c r="JKP1598" s="391"/>
      <c r="JKQ1598" s="390"/>
      <c r="JKR1598" s="391"/>
      <c r="JKS1598" s="390"/>
      <c r="JKT1598" s="391"/>
      <c r="JKU1598" s="390"/>
      <c r="JKV1598" s="391"/>
      <c r="JKW1598" s="390"/>
      <c r="JKX1598" s="391"/>
      <c r="JKY1598" s="390"/>
      <c r="JKZ1598" s="391"/>
      <c r="JLA1598" s="390"/>
      <c r="JLB1598" s="391"/>
      <c r="JLC1598" s="390"/>
      <c r="JLD1598" s="391"/>
      <c r="JLE1598" s="390"/>
      <c r="JLF1598" s="391"/>
      <c r="JLG1598" s="390"/>
      <c r="JLH1598" s="391"/>
      <c r="JLI1598" s="390"/>
      <c r="JLJ1598" s="391"/>
      <c r="JLK1598" s="390"/>
      <c r="JLL1598" s="391"/>
      <c r="JLM1598" s="390"/>
      <c r="JLN1598" s="391"/>
      <c r="JLO1598" s="390"/>
      <c r="JLP1598" s="391"/>
      <c r="JLQ1598" s="390"/>
      <c r="JLR1598" s="391"/>
      <c r="JLS1598" s="390"/>
      <c r="JLT1598" s="391"/>
      <c r="JLU1598" s="390"/>
      <c r="JLV1598" s="391"/>
      <c r="JLW1598" s="390"/>
      <c r="JLX1598" s="391"/>
      <c r="JLY1598" s="390"/>
      <c r="JLZ1598" s="391"/>
      <c r="JMA1598" s="390"/>
      <c r="JMB1598" s="391"/>
      <c r="JMC1598" s="390"/>
      <c r="JMD1598" s="391"/>
      <c r="JME1598" s="390"/>
      <c r="JMF1598" s="391"/>
      <c r="JMG1598" s="390"/>
      <c r="JMH1598" s="391"/>
      <c r="JMI1598" s="390"/>
      <c r="JMJ1598" s="391"/>
      <c r="JMK1598" s="390"/>
      <c r="JML1598" s="391"/>
      <c r="JMM1598" s="390"/>
      <c r="JMN1598" s="391"/>
      <c r="JMO1598" s="390"/>
      <c r="JMP1598" s="391"/>
      <c r="JMQ1598" s="390"/>
      <c r="JMR1598" s="391"/>
      <c r="JMS1598" s="390"/>
      <c r="JMT1598" s="391"/>
      <c r="JMU1598" s="390"/>
      <c r="JMV1598" s="391"/>
      <c r="JMW1598" s="390"/>
      <c r="JMX1598" s="391"/>
      <c r="JMY1598" s="390"/>
      <c r="JMZ1598" s="391"/>
      <c r="JNA1598" s="390"/>
      <c r="JNB1598" s="391"/>
      <c r="JNC1598" s="390"/>
      <c r="JND1598" s="391"/>
      <c r="JNE1598" s="390"/>
      <c r="JNF1598" s="391"/>
      <c r="JNG1598" s="390"/>
      <c r="JNH1598" s="391"/>
      <c r="JNI1598" s="390"/>
      <c r="JNJ1598" s="391"/>
      <c r="JNK1598" s="390"/>
      <c r="JNL1598" s="391"/>
      <c r="JNM1598" s="390"/>
      <c r="JNN1598" s="391"/>
      <c r="JNO1598" s="390"/>
      <c r="JNP1598" s="391"/>
      <c r="JNQ1598" s="390"/>
      <c r="JNR1598" s="391"/>
      <c r="JNS1598" s="390"/>
      <c r="JNT1598" s="391"/>
      <c r="JNU1598" s="390"/>
      <c r="JNV1598" s="391"/>
      <c r="JNW1598" s="390"/>
      <c r="JNX1598" s="391"/>
      <c r="JNY1598" s="390"/>
      <c r="JNZ1598" s="391"/>
      <c r="JOA1598" s="390"/>
      <c r="JOB1598" s="391"/>
      <c r="JOC1598" s="390"/>
      <c r="JOD1598" s="391"/>
      <c r="JOE1598" s="390"/>
      <c r="JOF1598" s="391"/>
      <c r="JOG1598" s="390"/>
      <c r="JOH1598" s="391"/>
      <c r="JOI1598" s="390"/>
      <c r="JOJ1598" s="391"/>
      <c r="JOK1598" s="390"/>
      <c r="JOL1598" s="391"/>
      <c r="JOM1598" s="390"/>
      <c r="JON1598" s="391"/>
      <c r="JOO1598" s="390"/>
      <c r="JOP1598" s="391"/>
      <c r="JOQ1598" s="390"/>
      <c r="JOR1598" s="391"/>
      <c r="JOS1598" s="390"/>
      <c r="JOT1598" s="391"/>
      <c r="JOU1598" s="390"/>
      <c r="JOV1598" s="391"/>
      <c r="JOW1598" s="390"/>
      <c r="JOX1598" s="391"/>
      <c r="JOY1598" s="390"/>
      <c r="JOZ1598" s="391"/>
      <c r="JPA1598" s="390"/>
      <c r="JPB1598" s="391"/>
      <c r="JPC1598" s="390"/>
      <c r="JPD1598" s="391"/>
      <c r="JPE1598" s="390"/>
      <c r="JPF1598" s="391"/>
      <c r="JPG1598" s="390"/>
      <c r="JPH1598" s="391"/>
      <c r="JPI1598" s="390"/>
      <c r="JPJ1598" s="391"/>
      <c r="JPK1598" s="390"/>
      <c r="JPL1598" s="391"/>
      <c r="JPM1598" s="390"/>
      <c r="JPN1598" s="391"/>
      <c r="JPO1598" s="390"/>
      <c r="JPP1598" s="391"/>
      <c r="JPQ1598" s="390"/>
      <c r="JPR1598" s="391"/>
      <c r="JPS1598" s="390"/>
      <c r="JPT1598" s="391"/>
      <c r="JPU1598" s="390"/>
      <c r="JPV1598" s="391"/>
      <c r="JPW1598" s="390"/>
      <c r="JPX1598" s="391"/>
      <c r="JPY1598" s="390"/>
      <c r="JPZ1598" s="391"/>
      <c r="JQA1598" s="390"/>
      <c r="JQB1598" s="391"/>
      <c r="JQC1598" s="390"/>
      <c r="JQD1598" s="391"/>
      <c r="JQE1598" s="390"/>
      <c r="JQF1598" s="391"/>
      <c r="JQG1598" s="390"/>
      <c r="JQH1598" s="391"/>
      <c r="JQI1598" s="390"/>
      <c r="JQJ1598" s="391"/>
      <c r="JQK1598" s="390"/>
      <c r="JQL1598" s="391"/>
      <c r="JQM1598" s="390"/>
      <c r="JQN1598" s="391"/>
      <c r="JQO1598" s="390"/>
      <c r="JQP1598" s="391"/>
      <c r="JQQ1598" s="390"/>
      <c r="JQR1598" s="391"/>
      <c r="JQS1598" s="390"/>
      <c r="JQT1598" s="391"/>
      <c r="JQU1598" s="390"/>
      <c r="JQV1598" s="391"/>
      <c r="JQW1598" s="390"/>
      <c r="JQX1598" s="391"/>
      <c r="JQY1598" s="390"/>
      <c r="JQZ1598" s="391"/>
      <c r="JRA1598" s="390"/>
      <c r="JRB1598" s="391"/>
      <c r="JRC1598" s="390"/>
      <c r="JRD1598" s="391"/>
      <c r="JRE1598" s="390"/>
      <c r="JRF1598" s="391"/>
      <c r="JRG1598" s="390"/>
      <c r="JRH1598" s="391"/>
      <c r="JRI1598" s="390"/>
      <c r="JRJ1598" s="391"/>
      <c r="JRK1598" s="390"/>
      <c r="JRL1598" s="391"/>
      <c r="JRM1598" s="390"/>
      <c r="JRN1598" s="391"/>
      <c r="JRO1598" s="390"/>
      <c r="JRP1598" s="391"/>
      <c r="JRQ1598" s="390"/>
      <c r="JRR1598" s="391"/>
      <c r="JRS1598" s="390"/>
      <c r="JRT1598" s="391"/>
      <c r="JRU1598" s="390"/>
      <c r="JRV1598" s="391"/>
      <c r="JRW1598" s="390"/>
      <c r="JRX1598" s="391"/>
      <c r="JRY1598" s="390"/>
      <c r="JRZ1598" s="391"/>
      <c r="JSA1598" s="390"/>
      <c r="JSB1598" s="391"/>
      <c r="JSC1598" s="390"/>
      <c r="JSD1598" s="391"/>
      <c r="JSE1598" s="390"/>
      <c r="JSF1598" s="391"/>
      <c r="JSG1598" s="390"/>
      <c r="JSH1598" s="391"/>
      <c r="JSI1598" s="390"/>
      <c r="JSJ1598" s="391"/>
      <c r="JSK1598" s="390"/>
      <c r="JSL1598" s="391"/>
      <c r="JSM1598" s="390"/>
      <c r="JSN1598" s="391"/>
      <c r="JSO1598" s="390"/>
      <c r="JSP1598" s="391"/>
      <c r="JSQ1598" s="390"/>
      <c r="JSR1598" s="391"/>
      <c r="JSS1598" s="390"/>
      <c r="JST1598" s="391"/>
      <c r="JSU1598" s="390"/>
      <c r="JSV1598" s="391"/>
      <c r="JSW1598" s="390"/>
      <c r="JSX1598" s="391"/>
      <c r="JSY1598" s="390"/>
      <c r="JSZ1598" s="391"/>
      <c r="JTA1598" s="390"/>
      <c r="JTB1598" s="391"/>
      <c r="JTC1598" s="390"/>
      <c r="JTD1598" s="391"/>
      <c r="JTE1598" s="390"/>
      <c r="JTF1598" s="391"/>
      <c r="JTG1598" s="390"/>
      <c r="JTH1598" s="391"/>
      <c r="JTI1598" s="390"/>
      <c r="JTJ1598" s="391"/>
      <c r="JTK1598" s="390"/>
      <c r="JTL1598" s="391"/>
      <c r="JTM1598" s="390"/>
      <c r="JTN1598" s="391"/>
      <c r="JTO1598" s="390"/>
      <c r="JTP1598" s="391"/>
      <c r="JTQ1598" s="390"/>
      <c r="JTR1598" s="391"/>
      <c r="JTS1598" s="390"/>
      <c r="JTT1598" s="391"/>
      <c r="JTU1598" s="390"/>
      <c r="JTV1598" s="391"/>
      <c r="JTW1598" s="390"/>
      <c r="JTX1598" s="391"/>
      <c r="JTY1598" s="390"/>
      <c r="JTZ1598" s="391"/>
      <c r="JUA1598" s="390"/>
      <c r="JUB1598" s="391"/>
      <c r="JUC1598" s="390"/>
      <c r="JUD1598" s="391"/>
      <c r="JUE1598" s="390"/>
      <c r="JUF1598" s="391"/>
      <c r="JUG1598" s="390"/>
      <c r="JUH1598" s="391"/>
      <c r="JUI1598" s="390"/>
      <c r="JUJ1598" s="391"/>
      <c r="JUK1598" s="390"/>
      <c r="JUL1598" s="391"/>
      <c r="JUM1598" s="390"/>
      <c r="JUN1598" s="391"/>
      <c r="JUO1598" s="390"/>
      <c r="JUP1598" s="391"/>
      <c r="JUQ1598" s="390"/>
      <c r="JUR1598" s="391"/>
      <c r="JUS1598" s="390"/>
      <c r="JUT1598" s="391"/>
      <c r="JUU1598" s="390"/>
      <c r="JUV1598" s="391"/>
      <c r="JUW1598" s="390"/>
      <c r="JUX1598" s="391"/>
      <c r="JUY1598" s="390"/>
      <c r="JUZ1598" s="391"/>
      <c r="JVA1598" s="390"/>
      <c r="JVB1598" s="391"/>
      <c r="JVC1598" s="390"/>
      <c r="JVD1598" s="391"/>
      <c r="JVE1598" s="390"/>
      <c r="JVF1598" s="391"/>
      <c r="JVG1598" s="390"/>
      <c r="JVH1598" s="391"/>
      <c r="JVI1598" s="390"/>
      <c r="JVJ1598" s="391"/>
      <c r="JVK1598" s="390"/>
      <c r="JVL1598" s="391"/>
      <c r="JVM1598" s="390"/>
      <c r="JVN1598" s="391"/>
      <c r="JVO1598" s="390"/>
      <c r="JVP1598" s="391"/>
      <c r="JVQ1598" s="390"/>
      <c r="JVR1598" s="391"/>
      <c r="JVS1598" s="390"/>
      <c r="JVT1598" s="391"/>
      <c r="JVU1598" s="390"/>
      <c r="JVV1598" s="391"/>
      <c r="JVW1598" s="390"/>
      <c r="JVX1598" s="391"/>
      <c r="JVY1598" s="390"/>
      <c r="JVZ1598" s="391"/>
      <c r="JWA1598" s="390"/>
      <c r="JWB1598" s="391"/>
      <c r="JWC1598" s="390"/>
      <c r="JWD1598" s="391"/>
      <c r="JWE1598" s="390"/>
      <c r="JWF1598" s="391"/>
      <c r="JWG1598" s="390"/>
      <c r="JWH1598" s="391"/>
      <c r="JWI1598" s="390"/>
      <c r="JWJ1598" s="391"/>
      <c r="JWK1598" s="390"/>
      <c r="JWL1598" s="391"/>
      <c r="JWM1598" s="390"/>
      <c r="JWN1598" s="391"/>
      <c r="JWO1598" s="390"/>
      <c r="JWP1598" s="391"/>
      <c r="JWQ1598" s="390"/>
      <c r="JWR1598" s="391"/>
      <c r="JWS1598" s="390"/>
      <c r="JWT1598" s="391"/>
      <c r="JWU1598" s="390"/>
      <c r="JWV1598" s="391"/>
      <c r="JWW1598" s="390"/>
      <c r="JWX1598" s="391"/>
      <c r="JWY1598" s="390"/>
      <c r="JWZ1598" s="391"/>
      <c r="JXA1598" s="390"/>
      <c r="JXB1598" s="391"/>
      <c r="JXC1598" s="390"/>
      <c r="JXD1598" s="391"/>
      <c r="JXE1598" s="390"/>
      <c r="JXF1598" s="391"/>
      <c r="JXG1598" s="390"/>
      <c r="JXH1598" s="391"/>
      <c r="JXI1598" s="390"/>
      <c r="JXJ1598" s="391"/>
      <c r="JXK1598" s="390"/>
      <c r="JXL1598" s="391"/>
      <c r="JXM1598" s="390"/>
      <c r="JXN1598" s="391"/>
      <c r="JXO1598" s="390"/>
      <c r="JXP1598" s="391"/>
      <c r="JXQ1598" s="390"/>
      <c r="JXR1598" s="391"/>
      <c r="JXS1598" s="390"/>
      <c r="JXT1598" s="391"/>
      <c r="JXU1598" s="390"/>
      <c r="JXV1598" s="391"/>
      <c r="JXW1598" s="390"/>
      <c r="JXX1598" s="391"/>
      <c r="JXY1598" s="390"/>
      <c r="JXZ1598" s="391"/>
      <c r="JYA1598" s="390"/>
      <c r="JYB1598" s="391"/>
      <c r="JYC1598" s="390"/>
      <c r="JYD1598" s="391"/>
      <c r="JYE1598" s="390"/>
      <c r="JYF1598" s="391"/>
      <c r="JYG1598" s="390"/>
      <c r="JYH1598" s="391"/>
      <c r="JYI1598" s="390"/>
      <c r="JYJ1598" s="391"/>
      <c r="JYK1598" s="390"/>
      <c r="JYL1598" s="391"/>
      <c r="JYM1598" s="390"/>
      <c r="JYN1598" s="391"/>
      <c r="JYO1598" s="390"/>
      <c r="JYP1598" s="391"/>
      <c r="JYQ1598" s="390"/>
      <c r="JYR1598" s="391"/>
      <c r="JYS1598" s="390"/>
      <c r="JYT1598" s="391"/>
      <c r="JYU1598" s="390"/>
      <c r="JYV1598" s="391"/>
      <c r="JYW1598" s="390"/>
      <c r="JYX1598" s="391"/>
      <c r="JYY1598" s="390"/>
      <c r="JYZ1598" s="391"/>
      <c r="JZA1598" s="390"/>
      <c r="JZB1598" s="391"/>
      <c r="JZC1598" s="390"/>
      <c r="JZD1598" s="391"/>
      <c r="JZE1598" s="390"/>
      <c r="JZF1598" s="391"/>
      <c r="JZG1598" s="390"/>
      <c r="JZH1598" s="391"/>
      <c r="JZI1598" s="390"/>
      <c r="JZJ1598" s="391"/>
      <c r="JZK1598" s="390"/>
      <c r="JZL1598" s="391"/>
      <c r="JZM1598" s="390"/>
      <c r="JZN1598" s="391"/>
      <c r="JZO1598" s="390"/>
      <c r="JZP1598" s="391"/>
      <c r="JZQ1598" s="390"/>
      <c r="JZR1598" s="391"/>
      <c r="JZS1598" s="390"/>
      <c r="JZT1598" s="391"/>
      <c r="JZU1598" s="390"/>
      <c r="JZV1598" s="391"/>
      <c r="JZW1598" s="390"/>
      <c r="JZX1598" s="391"/>
      <c r="JZY1598" s="390"/>
      <c r="JZZ1598" s="391"/>
      <c r="KAA1598" s="390"/>
      <c r="KAB1598" s="391"/>
      <c r="KAC1598" s="390"/>
      <c r="KAD1598" s="391"/>
      <c r="KAE1598" s="390"/>
      <c r="KAF1598" s="391"/>
      <c r="KAG1598" s="390"/>
      <c r="KAH1598" s="391"/>
      <c r="KAI1598" s="390"/>
      <c r="KAJ1598" s="391"/>
      <c r="KAK1598" s="390"/>
      <c r="KAL1598" s="391"/>
      <c r="KAM1598" s="390"/>
      <c r="KAN1598" s="391"/>
      <c r="KAO1598" s="390"/>
      <c r="KAP1598" s="391"/>
      <c r="KAQ1598" s="390"/>
      <c r="KAR1598" s="391"/>
      <c r="KAS1598" s="390"/>
      <c r="KAT1598" s="391"/>
      <c r="KAU1598" s="390"/>
      <c r="KAV1598" s="391"/>
      <c r="KAW1598" s="390"/>
      <c r="KAX1598" s="391"/>
      <c r="KAY1598" s="390"/>
      <c r="KAZ1598" s="391"/>
      <c r="KBA1598" s="390"/>
      <c r="KBB1598" s="391"/>
      <c r="KBC1598" s="390"/>
      <c r="KBD1598" s="391"/>
      <c r="KBE1598" s="390"/>
      <c r="KBF1598" s="391"/>
      <c r="KBG1598" s="390"/>
      <c r="KBH1598" s="391"/>
      <c r="KBI1598" s="390"/>
      <c r="KBJ1598" s="391"/>
      <c r="KBK1598" s="390"/>
      <c r="KBL1598" s="391"/>
      <c r="KBM1598" s="390"/>
      <c r="KBN1598" s="391"/>
      <c r="KBO1598" s="390"/>
      <c r="KBP1598" s="391"/>
      <c r="KBQ1598" s="390"/>
      <c r="KBR1598" s="391"/>
      <c r="KBS1598" s="390"/>
      <c r="KBT1598" s="391"/>
      <c r="KBU1598" s="390"/>
      <c r="KBV1598" s="391"/>
      <c r="KBW1598" s="390"/>
      <c r="KBX1598" s="391"/>
      <c r="KBY1598" s="390"/>
      <c r="KBZ1598" s="391"/>
      <c r="KCA1598" s="390"/>
      <c r="KCB1598" s="391"/>
      <c r="KCC1598" s="390"/>
      <c r="KCD1598" s="391"/>
      <c r="KCE1598" s="390"/>
      <c r="KCF1598" s="391"/>
      <c r="KCG1598" s="390"/>
      <c r="KCH1598" s="391"/>
      <c r="KCI1598" s="390"/>
      <c r="KCJ1598" s="391"/>
      <c r="KCK1598" s="390"/>
      <c r="KCL1598" s="391"/>
      <c r="KCM1598" s="390"/>
      <c r="KCN1598" s="391"/>
      <c r="KCO1598" s="390"/>
      <c r="KCP1598" s="391"/>
      <c r="KCQ1598" s="390"/>
      <c r="KCR1598" s="391"/>
      <c r="KCS1598" s="390"/>
      <c r="KCT1598" s="391"/>
      <c r="KCU1598" s="390"/>
      <c r="KCV1598" s="391"/>
      <c r="KCW1598" s="390"/>
      <c r="KCX1598" s="391"/>
      <c r="KCY1598" s="390"/>
      <c r="KCZ1598" s="391"/>
      <c r="KDA1598" s="390"/>
      <c r="KDB1598" s="391"/>
      <c r="KDC1598" s="390"/>
      <c r="KDD1598" s="391"/>
      <c r="KDE1598" s="390"/>
      <c r="KDF1598" s="391"/>
      <c r="KDG1598" s="390"/>
      <c r="KDH1598" s="391"/>
      <c r="KDI1598" s="390"/>
      <c r="KDJ1598" s="391"/>
      <c r="KDK1598" s="390"/>
      <c r="KDL1598" s="391"/>
      <c r="KDM1598" s="390"/>
      <c r="KDN1598" s="391"/>
      <c r="KDO1598" s="390"/>
      <c r="KDP1598" s="391"/>
      <c r="KDQ1598" s="390"/>
      <c r="KDR1598" s="391"/>
      <c r="KDS1598" s="390"/>
      <c r="KDT1598" s="391"/>
      <c r="KDU1598" s="390"/>
      <c r="KDV1598" s="391"/>
      <c r="KDW1598" s="390"/>
      <c r="KDX1598" s="391"/>
      <c r="KDY1598" s="390"/>
      <c r="KDZ1598" s="391"/>
      <c r="KEA1598" s="390"/>
      <c r="KEB1598" s="391"/>
      <c r="KEC1598" s="390"/>
      <c r="KED1598" s="391"/>
      <c r="KEE1598" s="390"/>
      <c r="KEF1598" s="391"/>
      <c r="KEG1598" s="390"/>
      <c r="KEH1598" s="391"/>
      <c r="KEI1598" s="390"/>
      <c r="KEJ1598" s="391"/>
      <c r="KEK1598" s="390"/>
      <c r="KEL1598" s="391"/>
      <c r="KEM1598" s="390"/>
      <c r="KEN1598" s="391"/>
      <c r="KEO1598" s="390"/>
      <c r="KEP1598" s="391"/>
      <c r="KEQ1598" s="390"/>
      <c r="KER1598" s="391"/>
      <c r="KES1598" s="390"/>
      <c r="KET1598" s="391"/>
      <c r="KEU1598" s="390"/>
      <c r="KEV1598" s="391"/>
      <c r="KEW1598" s="390"/>
      <c r="KEX1598" s="391"/>
      <c r="KEY1598" s="390"/>
      <c r="KEZ1598" s="391"/>
      <c r="KFA1598" s="390"/>
      <c r="KFB1598" s="391"/>
      <c r="KFC1598" s="390"/>
      <c r="KFD1598" s="391"/>
      <c r="KFE1598" s="390"/>
      <c r="KFF1598" s="391"/>
      <c r="KFG1598" s="390"/>
      <c r="KFH1598" s="391"/>
      <c r="KFI1598" s="390"/>
      <c r="KFJ1598" s="391"/>
      <c r="KFK1598" s="390"/>
      <c r="KFL1598" s="391"/>
      <c r="KFM1598" s="390"/>
      <c r="KFN1598" s="391"/>
      <c r="KFO1598" s="390"/>
      <c r="KFP1598" s="391"/>
      <c r="KFQ1598" s="390"/>
      <c r="KFR1598" s="391"/>
      <c r="KFS1598" s="390"/>
      <c r="KFT1598" s="391"/>
      <c r="KFU1598" s="390"/>
      <c r="KFV1598" s="391"/>
      <c r="KFW1598" s="390"/>
      <c r="KFX1598" s="391"/>
      <c r="KFY1598" s="390"/>
      <c r="KFZ1598" s="391"/>
      <c r="KGA1598" s="390"/>
      <c r="KGB1598" s="391"/>
      <c r="KGC1598" s="390"/>
      <c r="KGD1598" s="391"/>
      <c r="KGE1598" s="390"/>
      <c r="KGF1598" s="391"/>
      <c r="KGG1598" s="390"/>
      <c r="KGH1598" s="391"/>
      <c r="KGI1598" s="390"/>
      <c r="KGJ1598" s="391"/>
      <c r="KGK1598" s="390"/>
      <c r="KGL1598" s="391"/>
      <c r="KGM1598" s="390"/>
      <c r="KGN1598" s="391"/>
      <c r="KGO1598" s="390"/>
      <c r="KGP1598" s="391"/>
      <c r="KGQ1598" s="390"/>
      <c r="KGR1598" s="391"/>
      <c r="KGS1598" s="390"/>
      <c r="KGT1598" s="391"/>
      <c r="KGU1598" s="390"/>
      <c r="KGV1598" s="391"/>
      <c r="KGW1598" s="390"/>
      <c r="KGX1598" s="391"/>
      <c r="KGY1598" s="390"/>
      <c r="KGZ1598" s="391"/>
      <c r="KHA1598" s="390"/>
      <c r="KHB1598" s="391"/>
      <c r="KHC1598" s="390"/>
      <c r="KHD1598" s="391"/>
      <c r="KHE1598" s="390"/>
      <c r="KHF1598" s="391"/>
      <c r="KHG1598" s="390"/>
      <c r="KHH1598" s="391"/>
      <c r="KHI1598" s="390"/>
      <c r="KHJ1598" s="391"/>
      <c r="KHK1598" s="390"/>
      <c r="KHL1598" s="391"/>
      <c r="KHM1598" s="390"/>
      <c r="KHN1598" s="391"/>
      <c r="KHO1598" s="390"/>
      <c r="KHP1598" s="391"/>
      <c r="KHQ1598" s="390"/>
      <c r="KHR1598" s="391"/>
      <c r="KHS1598" s="390"/>
      <c r="KHT1598" s="391"/>
      <c r="KHU1598" s="390"/>
      <c r="KHV1598" s="391"/>
      <c r="KHW1598" s="390"/>
      <c r="KHX1598" s="391"/>
      <c r="KHY1598" s="390"/>
      <c r="KHZ1598" s="391"/>
      <c r="KIA1598" s="390"/>
      <c r="KIB1598" s="391"/>
      <c r="KIC1598" s="390"/>
      <c r="KID1598" s="391"/>
      <c r="KIE1598" s="390"/>
      <c r="KIF1598" s="391"/>
      <c r="KIG1598" s="390"/>
      <c r="KIH1598" s="391"/>
      <c r="KII1598" s="390"/>
      <c r="KIJ1598" s="391"/>
      <c r="KIK1598" s="390"/>
      <c r="KIL1598" s="391"/>
      <c r="KIM1598" s="390"/>
      <c r="KIN1598" s="391"/>
      <c r="KIO1598" s="390"/>
      <c r="KIP1598" s="391"/>
      <c r="KIQ1598" s="390"/>
      <c r="KIR1598" s="391"/>
      <c r="KIS1598" s="390"/>
      <c r="KIT1598" s="391"/>
      <c r="KIU1598" s="390"/>
      <c r="KIV1598" s="391"/>
      <c r="KIW1598" s="390"/>
      <c r="KIX1598" s="391"/>
      <c r="KIY1598" s="390"/>
      <c r="KIZ1598" s="391"/>
      <c r="KJA1598" s="390"/>
      <c r="KJB1598" s="391"/>
      <c r="KJC1598" s="390"/>
      <c r="KJD1598" s="391"/>
      <c r="KJE1598" s="390"/>
      <c r="KJF1598" s="391"/>
      <c r="KJG1598" s="390"/>
      <c r="KJH1598" s="391"/>
      <c r="KJI1598" s="390"/>
      <c r="KJJ1598" s="391"/>
      <c r="KJK1598" s="390"/>
      <c r="KJL1598" s="391"/>
      <c r="KJM1598" s="390"/>
      <c r="KJN1598" s="391"/>
      <c r="KJO1598" s="390"/>
      <c r="KJP1598" s="391"/>
      <c r="KJQ1598" s="390"/>
      <c r="KJR1598" s="391"/>
      <c r="KJS1598" s="390"/>
      <c r="KJT1598" s="391"/>
      <c r="KJU1598" s="390"/>
      <c r="KJV1598" s="391"/>
      <c r="KJW1598" s="390"/>
      <c r="KJX1598" s="391"/>
      <c r="KJY1598" s="390"/>
      <c r="KJZ1598" s="391"/>
      <c r="KKA1598" s="390"/>
      <c r="KKB1598" s="391"/>
      <c r="KKC1598" s="390"/>
      <c r="KKD1598" s="391"/>
      <c r="KKE1598" s="390"/>
      <c r="KKF1598" s="391"/>
      <c r="KKG1598" s="390"/>
      <c r="KKH1598" s="391"/>
      <c r="KKI1598" s="390"/>
      <c r="KKJ1598" s="391"/>
      <c r="KKK1598" s="390"/>
      <c r="KKL1598" s="391"/>
      <c r="KKM1598" s="390"/>
      <c r="KKN1598" s="391"/>
      <c r="KKO1598" s="390"/>
      <c r="KKP1598" s="391"/>
      <c r="KKQ1598" s="390"/>
      <c r="KKR1598" s="391"/>
      <c r="KKS1598" s="390"/>
      <c r="KKT1598" s="391"/>
      <c r="KKU1598" s="390"/>
      <c r="KKV1598" s="391"/>
      <c r="KKW1598" s="390"/>
      <c r="KKX1598" s="391"/>
      <c r="KKY1598" s="390"/>
      <c r="KKZ1598" s="391"/>
      <c r="KLA1598" s="390"/>
      <c r="KLB1598" s="391"/>
      <c r="KLC1598" s="390"/>
      <c r="KLD1598" s="391"/>
      <c r="KLE1598" s="390"/>
      <c r="KLF1598" s="391"/>
      <c r="KLG1598" s="390"/>
      <c r="KLH1598" s="391"/>
      <c r="KLI1598" s="390"/>
      <c r="KLJ1598" s="391"/>
      <c r="KLK1598" s="390"/>
      <c r="KLL1598" s="391"/>
      <c r="KLM1598" s="390"/>
      <c r="KLN1598" s="391"/>
      <c r="KLO1598" s="390"/>
      <c r="KLP1598" s="391"/>
      <c r="KLQ1598" s="390"/>
      <c r="KLR1598" s="391"/>
      <c r="KLS1598" s="390"/>
      <c r="KLT1598" s="391"/>
      <c r="KLU1598" s="390"/>
      <c r="KLV1598" s="391"/>
      <c r="KLW1598" s="390"/>
      <c r="KLX1598" s="391"/>
      <c r="KLY1598" s="390"/>
      <c r="KLZ1598" s="391"/>
      <c r="KMA1598" s="390"/>
      <c r="KMB1598" s="391"/>
      <c r="KMC1598" s="390"/>
      <c r="KMD1598" s="391"/>
      <c r="KME1598" s="390"/>
      <c r="KMF1598" s="391"/>
      <c r="KMG1598" s="390"/>
      <c r="KMH1598" s="391"/>
      <c r="KMI1598" s="390"/>
      <c r="KMJ1598" s="391"/>
      <c r="KMK1598" s="390"/>
      <c r="KML1598" s="391"/>
      <c r="KMM1598" s="390"/>
      <c r="KMN1598" s="391"/>
      <c r="KMO1598" s="390"/>
      <c r="KMP1598" s="391"/>
      <c r="KMQ1598" s="390"/>
      <c r="KMR1598" s="391"/>
      <c r="KMS1598" s="390"/>
      <c r="KMT1598" s="391"/>
      <c r="KMU1598" s="390"/>
      <c r="KMV1598" s="391"/>
      <c r="KMW1598" s="390"/>
      <c r="KMX1598" s="391"/>
      <c r="KMY1598" s="390"/>
      <c r="KMZ1598" s="391"/>
      <c r="KNA1598" s="390"/>
      <c r="KNB1598" s="391"/>
      <c r="KNC1598" s="390"/>
      <c r="KND1598" s="391"/>
      <c r="KNE1598" s="390"/>
      <c r="KNF1598" s="391"/>
      <c r="KNG1598" s="390"/>
      <c r="KNH1598" s="391"/>
      <c r="KNI1598" s="390"/>
      <c r="KNJ1598" s="391"/>
      <c r="KNK1598" s="390"/>
      <c r="KNL1598" s="391"/>
      <c r="KNM1598" s="390"/>
      <c r="KNN1598" s="391"/>
      <c r="KNO1598" s="390"/>
      <c r="KNP1598" s="391"/>
      <c r="KNQ1598" s="390"/>
      <c r="KNR1598" s="391"/>
      <c r="KNS1598" s="390"/>
      <c r="KNT1598" s="391"/>
      <c r="KNU1598" s="390"/>
      <c r="KNV1598" s="391"/>
      <c r="KNW1598" s="390"/>
      <c r="KNX1598" s="391"/>
      <c r="KNY1598" s="390"/>
      <c r="KNZ1598" s="391"/>
      <c r="KOA1598" s="390"/>
      <c r="KOB1598" s="391"/>
      <c r="KOC1598" s="390"/>
      <c r="KOD1598" s="391"/>
      <c r="KOE1598" s="390"/>
      <c r="KOF1598" s="391"/>
      <c r="KOG1598" s="390"/>
      <c r="KOH1598" s="391"/>
      <c r="KOI1598" s="390"/>
      <c r="KOJ1598" s="391"/>
      <c r="KOK1598" s="390"/>
      <c r="KOL1598" s="391"/>
      <c r="KOM1598" s="390"/>
      <c r="KON1598" s="391"/>
      <c r="KOO1598" s="390"/>
      <c r="KOP1598" s="391"/>
      <c r="KOQ1598" s="390"/>
      <c r="KOR1598" s="391"/>
      <c r="KOS1598" s="390"/>
      <c r="KOT1598" s="391"/>
      <c r="KOU1598" s="390"/>
      <c r="KOV1598" s="391"/>
      <c r="KOW1598" s="390"/>
      <c r="KOX1598" s="391"/>
      <c r="KOY1598" s="390"/>
      <c r="KOZ1598" s="391"/>
      <c r="KPA1598" s="390"/>
      <c r="KPB1598" s="391"/>
      <c r="KPC1598" s="390"/>
      <c r="KPD1598" s="391"/>
      <c r="KPE1598" s="390"/>
      <c r="KPF1598" s="391"/>
      <c r="KPG1598" s="390"/>
      <c r="KPH1598" s="391"/>
      <c r="KPI1598" s="390"/>
      <c r="KPJ1598" s="391"/>
      <c r="KPK1598" s="390"/>
      <c r="KPL1598" s="391"/>
      <c r="KPM1598" s="390"/>
      <c r="KPN1598" s="391"/>
      <c r="KPO1598" s="390"/>
      <c r="KPP1598" s="391"/>
      <c r="KPQ1598" s="390"/>
      <c r="KPR1598" s="391"/>
      <c r="KPS1598" s="390"/>
      <c r="KPT1598" s="391"/>
      <c r="KPU1598" s="390"/>
      <c r="KPV1598" s="391"/>
      <c r="KPW1598" s="390"/>
      <c r="KPX1598" s="391"/>
      <c r="KPY1598" s="390"/>
      <c r="KPZ1598" s="391"/>
      <c r="KQA1598" s="390"/>
      <c r="KQB1598" s="391"/>
      <c r="KQC1598" s="390"/>
      <c r="KQD1598" s="391"/>
      <c r="KQE1598" s="390"/>
      <c r="KQF1598" s="391"/>
      <c r="KQG1598" s="390"/>
      <c r="KQH1598" s="391"/>
      <c r="KQI1598" s="390"/>
      <c r="KQJ1598" s="391"/>
      <c r="KQK1598" s="390"/>
      <c r="KQL1598" s="391"/>
      <c r="KQM1598" s="390"/>
      <c r="KQN1598" s="391"/>
      <c r="KQO1598" s="390"/>
      <c r="KQP1598" s="391"/>
      <c r="KQQ1598" s="390"/>
      <c r="KQR1598" s="391"/>
      <c r="KQS1598" s="390"/>
      <c r="KQT1598" s="391"/>
      <c r="KQU1598" s="390"/>
      <c r="KQV1598" s="391"/>
      <c r="KQW1598" s="390"/>
      <c r="KQX1598" s="391"/>
      <c r="KQY1598" s="390"/>
      <c r="KQZ1598" s="391"/>
      <c r="KRA1598" s="390"/>
      <c r="KRB1598" s="391"/>
      <c r="KRC1598" s="390"/>
      <c r="KRD1598" s="391"/>
      <c r="KRE1598" s="390"/>
      <c r="KRF1598" s="391"/>
      <c r="KRG1598" s="390"/>
      <c r="KRH1598" s="391"/>
      <c r="KRI1598" s="390"/>
      <c r="KRJ1598" s="391"/>
      <c r="KRK1598" s="390"/>
      <c r="KRL1598" s="391"/>
      <c r="KRM1598" s="390"/>
      <c r="KRN1598" s="391"/>
      <c r="KRO1598" s="390"/>
      <c r="KRP1598" s="391"/>
      <c r="KRQ1598" s="390"/>
      <c r="KRR1598" s="391"/>
      <c r="KRS1598" s="390"/>
      <c r="KRT1598" s="391"/>
      <c r="KRU1598" s="390"/>
      <c r="KRV1598" s="391"/>
      <c r="KRW1598" s="390"/>
      <c r="KRX1598" s="391"/>
      <c r="KRY1598" s="390"/>
      <c r="KRZ1598" s="391"/>
      <c r="KSA1598" s="390"/>
      <c r="KSB1598" s="391"/>
      <c r="KSC1598" s="390"/>
      <c r="KSD1598" s="391"/>
      <c r="KSE1598" s="390"/>
      <c r="KSF1598" s="391"/>
      <c r="KSG1598" s="390"/>
      <c r="KSH1598" s="391"/>
      <c r="KSI1598" s="390"/>
      <c r="KSJ1598" s="391"/>
      <c r="KSK1598" s="390"/>
      <c r="KSL1598" s="391"/>
      <c r="KSM1598" s="390"/>
      <c r="KSN1598" s="391"/>
      <c r="KSO1598" s="390"/>
      <c r="KSP1598" s="391"/>
      <c r="KSQ1598" s="390"/>
      <c r="KSR1598" s="391"/>
      <c r="KSS1598" s="390"/>
      <c r="KST1598" s="391"/>
      <c r="KSU1598" s="390"/>
      <c r="KSV1598" s="391"/>
      <c r="KSW1598" s="390"/>
      <c r="KSX1598" s="391"/>
      <c r="KSY1598" s="390"/>
      <c r="KSZ1598" s="391"/>
      <c r="KTA1598" s="390"/>
      <c r="KTB1598" s="391"/>
      <c r="KTC1598" s="390"/>
      <c r="KTD1598" s="391"/>
      <c r="KTE1598" s="390"/>
      <c r="KTF1598" s="391"/>
      <c r="KTG1598" s="390"/>
      <c r="KTH1598" s="391"/>
      <c r="KTI1598" s="390"/>
      <c r="KTJ1598" s="391"/>
      <c r="KTK1598" s="390"/>
      <c r="KTL1598" s="391"/>
      <c r="KTM1598" s="390"/>
      <c r="KTN1598" s="391"/>
      <c r="KTO1598" s="390"/>
      <c r="KTP1598" s="391"/>
      <c r="KTQ1598" s="390"/>
      <c r="KTR1598" s="391"/>
      <c r="KTS1598" s="390"/>
      <c r="KTT1598" s="391"/>
      <c r="KTU1598" s="390"/>
      <c r="KTV1598" s="391"/>
      <c r="KTW1598" s="390"/>
      <c r="KTX1598" s="391"/>
      <c r="KTY1598" s="390"/>
      <c r="KTZ1598" s="391"/>
      <c r="KUA1598" s="390"/>
      <c r="KUB1598" s="391"/>
      <c r="KUC1598" s="390"/>
      <c r="KUD1598" s="391"/>
      <c r="KUE1598" s="390"/>
      <c r="KUF1598" s="391"/>
      <c r="KUG1598" s="390"/>
      <c r="KUH1598" s="391"/>
      <c r="KUI1598" s="390"/>
      <c r="KUJ1598" s="391"/>
      <c r="KUK1598" s="390"/>
      <c r="KUL1598" s="391"/>
      <c r="KUM1598" s="390"/>
      <c r="KUN1598" s="391"/>
      <c r="KUO1598" s="390"/>
      <c r="KUP1598" s="391"/>
      <c r="KUQ1598" s="390"/>
      <c r="KUR1598" s="391"/>
      <c r="KUS1598" s="390"/>
      <c r="KUT1598" s="391"/>
      <c r="KUU1598" s="390"/>
      <c r="KUV1598" s="391"/>
      <c r="KUW1598" s="390"/>
      <c r="KUX1598" s="391"/>
      <c r="KUY1598" s="390"/>
      <c r="KUZ1598" s="391"/>
      <c r="KVA1598" s="390"/>
      <c r="KVB1598" s="391"/>
      <c r="KVC1598" s="390"/>
      <c r="KVD1598" s="391"/>
      <c r="KVE1598" s="390"/>
      <c r="KVF1598" s="391"/>
      <c r="KVG1598" s="390"/>
      <c r="KVH1598" s="391"/>
      <c r="KVI1598" s="390"/>
      <c r="KVJ1598" s="391"/>
      <c r="KVK1598" s="390"/>
      <c r="KVL1598" s="391"/>
      <c r="KVM1598" s="390"/>
      <c r="KVN1598" s="391"/>
      <c r="KVO1598" s="390"/>
      <c r="KVP1598" s="391"/>
      <c r="KVQ1598" s="390"/>
      <c r="KVR1598" s="391"/>
      <c r="KVS1598" s="390"/>
      <c r="KVT1598" s="391"/>
      <c r="KVU1598" s="390"/>
      <c r="KVV1598" s="391"/>
      <c r="KVW1598" s="390"/>
      <c r="KVX1598" s="391"/>
      <c r="KVY1598" s="390"/>
      <c r="KVZ1598" s="391"/>
      <c r="KWA1598" s="390"/>
      <c r="KWB1598" s="391"/>
      <c r="KWC1598" s="390"/>
      <c r="KWD1598" s="391"/>
      <c r="KWE1598" s="390"/>
      <c r="KWF1598" s="391"/>
      <c r="KWG1598" s="390"/>
      <c r="KWH1598" s="391"/>
      <c r="KWI1598" s="390"/>
      <c r="KWJ1598" s="391"/>
      <c r="KWK1598" s="390"/>
      <c r="KWL1598" s="391"/>
      <c r="KWM1598" s="390"/>
      <c r="KWN1598" s="391"/>
      <c r="KWO1598" s="390"/>
      <c r="KWP1598" s="391"/>
      <c r="KWQ1598" s="390"/>
      <c r="KWR1598" s="391"/>
      <c r="KWS1598" s="390"/>
      <c r="KWT1598" s="391"/>
      <c r="KWU1598" s="390"/>
      <c r="KWV1598" s="391"/>
      <c r="KWW1598" s="390"/>
      <c r="KWX1598" s="391"/>
      <c r="KWY1598" s="390"/>
      <c r="KWZ1598" s="391"/>
      <c r="KXA1598" s="390"/>
      <c r="KXB1598" s="391"/>
      <c r="KXC1598" s="390"/>
      <c r="KXD1598" s="391"/>
      <c r="KXE1598" s="390"/>
      <c r="KXF1598" s="391"/>
      <c r="KXG1598" s="390"/>
      <c r="KXH1598" s="391"/>
      <c r="KXI1598" s="390"/>
      <c r="KXJ1598" s="391"/>
      <c r="KXK1598" s="390"/>
      <c r="KXL1598" s="391"/>
      <c r="KXM1598" s="390"/>
      <c r="KXN1598" s="391"/>
      <c r="KXO1598" s="390"/>
      <c r="KXP1598" s="391"/>
      <c r="KXQ1598" s="390"/>
      <c r="KXR1598" s="391"/>
      <c r="KXS1598" s="390"/>
      <c r="KXT1598" s="391"/>
      <c r="KXU1598" s="390"/>
      <c r="KXV1598" s="391"/>
      <c r="KXW1598" s="390"/>
      <c r="KXX1598" s="391"/>
      <c r="KXY1598" s="390"/>
      <c r="KXZ1598" s="391"/>
      <c r="KYA1598" s="390"/>
      <c r="KYB1598" s="391"/>
      <c r="KYC1598" s="390"/>
      <c r="KYD1598" s="391"/>
      <c r="KYE1598" s="390"/>
      <c r="KYF1598" s="391"/>
      <c r="KYG1598" s="390"/>
      <c r="KYH1598" s="391"/>
      <c r="KYI1598" s="390"/>
      <c r="KYJ1598" s="391"/>
      <c r="KYK1598" s="390"/>
      <c r="KYL1598" s="391"/>
      <c r="KYM1598" s="390"/>
      <c r="KYN1598" s="391"/>
      <c r="KYO1598" s="390"/>
      <c r="KYP1598" s="391"/>
      <c r="KYQ1598" s="390"/>
      <c r="KYR1598" s="391"/>
      <c r="KYS1598" s="390"/>
      <c r="KYT1598" s="391"/>
      <c r="KYU1598" s="390"/>
      <c r="KYV1598" s="391"/>
      <c r="KYW1598" s="390"/>
      <c r="KYX1598" s="391"/>
      <c r="KYY1598" s="390"/>
      <c r="KYZ1598" s="391"/>
      <c r="KZA1598" s="390"/>
      <c r="KZB1598" s="391"/>
      <c r="KZC1598" s="390"/>
      <c r="KZD1598" s="391"/>
      <c r="KZE1598" s="390"/>
      <c r="KZF1598" s="391"/>
      <c r="KZG1598" s="390"/>
      <c r="KZH1598" s="391"/>
      <c r="KZI1598" s="390"/>
      <c r="KZJ1598" s="391"/>
      <c r="KZK1598" s="390"/>
      <c r="KZL1598" s="391"/>
      <c r="KZM1598" s="390"/>
      <c r="KZN1598" s="391"/>
      <c r="KZO1598" s="390"/>
      <c r="KZP1598" s="391"/>
      <c r="KZQ1598" s="390"/>
      <c r="KZR1598" s="391"/>
      <c r="KZS1598" s="390"/>
      <c r="KZT1598" s="391"/>
      <c r="KZU1598" s="390"/>
      <c r="KZV1598" s="391"/>
      <c r="KZW1598" s="390"/>
      <c r="KZX1598" s="391"/>
      <c r="KZY1598" s="390"/>
      <c r="KZZ1598" s="391"/>
      <c r="LAA1598" s="390"/>
      <c r="LAB1598" s="391"/>
      <c r="LAC1598" s="390"/>
      <c r="LAD1598" s="391"/>
      <c r="LAE1598" s="390"/>
      <c r="LAF1598" s="391"/>
      <c r="LAG1598" s="390"/>
      <c r="LAH1598" s="391"/>
      <c r="LAI1598" s="390"/>
      <c r="LAJ1598" s="391"/>
      <c r="LAK1598" s="390"/>
      <c r="LAL1598" s="391"/>
      <c r="LAM1598" s="390"/>
      <c r="LAN1598" s="391"/>
      <c r="LAO1598" s="390"/>
      <c r="LAP1598" s="391"/>
      <c r="LAQ1598" s="390"/>
      <c r="LAR1598" s="391"/>
      <c r="LAS1598" s="390"/>
      <c r="LAT1598" s="391"/>
      <c r="LAU1598" s="390"/>
      <c r="LAV1598" s="391"/>
      <c r="LAW1598" s="390"/>
      <c r="LAX1598" s="391"/>
      <c r="LAY1598" s="390"/>
      <c r="LAZ1598" s="391"/>
      <c r="LBA1598" s="390"/>
      <c r="LBB1598" s="391"/>
      <c r="LBC1598" s="390"/>
      <c r="LBD1598" s="391"/>
      <c r="LBE1598" s="390"/>
      <c r="LBF1598" s="391"/>
      <c r="LBG1598" s="390"/>
      <c r="LBH1598" s="391"/>
      <c r="LBI1598" s="390"/>
      <c r="LBJ1598" s="391"/>
      <c r="LBK1598" s="390"/>
      <c r="LBL1598" s="391"/>
      <c r="LBM1598" s="390"/>
      <c r="LBN1598" s="391"/>
      <c r="LBO1598" s="390"/>
      <c r="LBP1598" s="391"/>
      <c r="LBQ1598" s="390"/>
      <c r="LBR1598" s="391"/>
      <c r="LBS1598" s="390"/>
      <c r="LBT1598" s="391"/>
      <c r="LBU1598" s="390"/>
      <c r="LBV1598" s="391"/>
      <c r="LBW1598" s="390"/>
      <c r="LBX1598" s="391"/>
      <c r="LBY1598" s="390"/>
      <c r="LBZ1598" s="391"/>
      <c r="LCA1598" s="390"/>
      <c r="LCB1598" s="391"/>
      <c r="LCC1598" s="390"/>
      <c r="LCD1598" s="391"/>
      <c r="LCE1598" s="390"/>
      <c r="LCF1598" s="391"/>
      <c r="LCG1598" s="390"/>
      <c r="LCH1598" s="391"/>
      <c r="LCI1598" s="390"/>
      <c r="LCJ1598" s="391"/>
      <c r="LCK1598" s="390"/>
      <c r="LCL1598" s="391"/>
      <c r="LCM1598" s="390"/>
      <c r="LCN1598" s="391"/>
      <c r="LCO1598" s="390"/>
      <c r="LCP1598" s="391"/>
      <c r="LCQ1598" s="390"/>
      <c r="LCR1598" s="391"/>
      <c r="LCS1598" s="390"/>
      <c r="LCT1598" s="391"/>
      <c r="LCU1598" s="390"/>
      <c r="LCV1598" s="391"/>
      <c r="LCW1598" s="390"/>
      <c r="LCX1598" s="391"/>
      <c r="LCY1598" s="390"/>
      <c r="LCZ1598" s="391"/>
      <c r="LDA1598" s="390"/>
      <c r="LDB1598" s="391"/>
      <c r="LDC1598" s="390"/>
      <c r="LDD1598" s="391"/>
      <c r="LDE1598" s="390"/>
      <c r="LDF1598" s="391"/>
      <c r="LDG1598" s="390"/>
      <c r="LDH1598" s="391"/>
      <c r="LDI1598" s="390"/>
      <c r="LDJ1598" s="391"/>
      <c r="LDK1598" s="390"/>
      <c r="LDL1598" s="391"/>
      <c r="LDM1598" s="390"/>
      <c r="LDN1598" s="391"/>
      <c r="LDO1598" s="390"/>
      <c r="LDP1598" s="391"/>
      <c r="LDQ1598" s="390"/>
      <c r="LDR1598" s="391"/>
      <c r="LDS1598" s="390"/>
      <c r="LDT1598" s="391"/>
      <c r="LDU1598" s="390"/>
      <c r="LDV1598" s="391"/>
      <c r="LDW1598" s="390"/>
      <c r="LDX1598" s="391"/>
      <c r="LDY1598" s="390"/>
      <c r="LDZ1598" s="391"/>
      <c r="LEA1598" s="390"/>
      <c r="LEB1598" s="391"/>
      <c r="LEC1598" s="390"/>
      <c r="LED1598" s="391"/>
      <c r="LEE1598" s="390"/>
      <c r="LEF1598" s="391"/>
      <c r="LEG1598" s="390"/>
      <c r="LEH1598" s="391"/>
      <c r="LEI1598" s="390"/>
      <c r="LEJ1598" s="391"/>
      <c r="LEK1598" s="390"/>
      <c r="LEL1598" s="391"/>
      <c r="LEM1598" s="390"/>
      <c r="LEN1598" s="391"/>
      <c r="LEO1598" s="390"/>
      <c r="LEP1598" s="391"/>
      <c r="LEQ1598" s="390"/>
      <c r="LER1598" s="391"/>
      <c r="LES1598" s="390"/>
      <c r="LET1598" s="391"/>
      <c r="LEU1598" s="390"/>
      <c r="LEV1598" s="391"/>
      <c r="LEW1598" s="390"/>
      <c r="LEX1598" s="391"/>
      <c r="LEY1598" s="390"/>
      <c r="LEZ1598" s="391"/>
      <c r="LFA1598" s="390"/>
      <c r="LFB1598" s="391"/>
      <c r="LFC1598" s="390"/>
      <c r="LFD1598" s="391"/>
      <c r="LFE1598" s="390"/>
      <c r="LFF1598" s="391"/>
      <c r="LFG1598" s="390"/>
      <c r="LFH1598" s="391"/>
      <c r="LFI1598" s="390"/>
      <c r="LFJ1598" s="391"/>
      <c r="LFK1598" s="390"/>
      <c r="LFL1598" s="391"/>
      <c r="LFM1598" s="390"/>
      <c r="LFN1598" s="391"/>
      <c r="LFO1598" s="390"/>
      <c r="LFP1598" s="391"/>
      <c r="LFQ1598" s="390"/>
      <c r="LFR1598" s="391"/>
      <c r="LFS1598" s="390"/>
      <c r="LFT1598" s="391"/>
      <c r="LFU1598" s="390"/>
      <c r="LFV1598" s="391"/>
      <c r="LFW1598" s="390"/>
      <c r="LFX1598" s="391"/>
      <c r="LFY1598" s="390"/>
      <c r="LFZ1598" s="391"/>
      <c r="LGA1598" s="390"/>
      <c r="LGB1598" s="391"/>
      <c r="LGC1598" s="390"/>
      <c r="LGD1598" s="391"/>
      <c r="LGE1598" s="390"/>
      <c r="LGF1598" s="391"/>
      <c r="LGG1598" s="390"/>
      <c r="LGH1598" s="391"/>
      <c r="LGI1598" s="390"/>
      <c r="LGJ1598" s="391"/>
      <c r="LGK1598" s="390"/>
      <c r="LGL1598" s="391"/>
      <c r="LGM1598" s="390"/>
      <c r="LGN1598" s="391"/>
      <c r="LGO1598" s="390"/>
      <c r="LGP1598" s="391"/>
      <c r="LGQ1598" s="390"/>
      <c r="LGR1598" s="391"/>
      <c r="LGS1598" s="390"/>
      <c r="LGT1598" s="391"/>
      <c r="LGU1598" s="390"/>
      <c r="LGV1598" s="391"/>
      <c r="LGW1598" s="390"/>
      <c r="LGX1598" s="391"/>
      <c r="LGY1598" s="390"/>
      <c r="LGZ1598" s="391"/>
      <c r="LHA1598" s="390"/>
      <c r="LHB1598" s="391"/>
      <c r="LHC1598" s="390"/>
      <c r="LHD1598" s="391"/>
      <c r="LHE1598" s="390"/>
      <c r="LHF1598" s="391"/>
      <c r="LHG1598" s="390"/>
      <c r="LHH1598" s="391"/>
      <c r="LHI1598" s="390"/>
      <c r="LHJ1598" s="391"/>
      <c r="LHK1598" s="390"/>
      <c r="LHL1598" s="391"/>
      <c r="LHM1598" s="390"/>
      <c r="LHN1598" s="391"/>
      <c r="LHO1598" s="390"/>
      <c r="LHP1598" s="391"/>
      <c r="LHQ1598" s="390"/>
      <c r="LHR1598" s="391"/>
      <c r="LHS1598" s="390"/>
      <c r="LHT1598" s="391"/>
      <c r="LHU1598" s="390"/>
      <c r="LHV1598" s="391"/>
      <c r="LHW1598" s="390"/>
      <c r="LHX1598" s="391"/>
      <c r="LHY1598" s="390"/>
      <c r="LHZ1598" s="391"/>
      <c r="LIA1598" s="390"/>
      <c r="LIB1598" s="391"/>
      <c r="LIC1598" s="390"/>
      <c r="LID1598" s="391"/>
      <c r="LIE1598" s="390"/>
      <c r="LIF1598" s="391"/>
      <c r="LIG1598" s="390"/>
      <c r="LIH1598" s="391"/>
      <c r="LII1598" s="390"/>
      <c r="LIJ1598" s="391"/>
      <c r="LIK1598" s="390"/>
      <c r="LIL1598" s="391"/>
      <c r="LIM1598" s="390"/>
      <c r="LIN1598" s="391"/>
      <c r="LIO1598" s="390"/>
      <c r="LIP1598" s="391"/>
      <c r="LIQ1598" s="390"/>
      <c r="LIR1598" s="391"/>
      <c r="LIS1598" s="390"/>
      <c r="LIT1598" s="391"/>
      <c r="LIU1598" s="390"/>
      <c r="LIV1598" s="391"/>
      <c r="LIW1598" s="390"/>
      <c r="LIX1598" s="391"/>
      <c r="LIY1598" s="390"/>
      <c r="LIZ1598" s="391"/>
      <c r="LJA1598" s="390"/>
      <c r="LJB1598" s="391"/>
      <c r="LJC1598" s="390"/>
      <c r="LJD1598" s="391"/>
      <c r="LJE1598" s="390"/>
      <c r="LJF1598" s="391"/>
      <c r="LJG1598" s="390"/>
      <c r="LJH1598" s="391"/>
      <c r="LJI1598" s="390"/>
      <c r="LJJ1598" s="391"/>
      <c r="LJK1598" s="390"/>
      <c r="LJL1598" s="391"/>
      <c r="LJM1598" s="390"/>
      <c r="LJN1598" s="391"/>
      <c r="LJO1598" s="390"/>
      <c r="LJP1598" s="391"/>
      <c r="LJQ1598" s="390"/>
      <c r="LJR1598" s="391"/>
      <c r="LJS1598" s="390"/>
      <c r="LJT1598" s="391"/>
      <c r="LJU1598" s="390"/>
      <c r="LJV1598" s="391"/>
      <c r="LJW1598" s="390"/>
      <c r="LJX1598" s="391"/>
      <c r="LJY1598" s="390"/>
      <c r="LJZ1598" s="391"/>
      <c r="LKA1598" s="390"/>
      <c r="LKB1598" s="391"/>
      <c r="LKC1598" s="390"/>
      <c r="LKD1598" s="391"/>
      <c r="LKE1598" s="390"/>
      <c r="LKF1598" s="391"/>
      <c r="LKG1598" s="390"/>
      <c r="LKH1598" s="391"/>
      <c r="LKI1598" s="390"/>
      <c r="LKJ1598" s="391"/>
      <c r="LKK1598" s="390"/>
      <c r="LKL1598" s="391"/>
      <c r="LKM1598" s="390"/>
      <c r="LKN1598" s="391"/>
      <c r="LKO1598" s="390"/>
      <c r="LKP1598" s="391"/>
      <c r="LKQ1598" s="390"/>
      <c r="LKR1598" s="391"/>
      <c r="LKS1598" s="390"/>
      <c r="LKT1598" s="391"/>
      <c r="LKU1598" s="390"/>
      <c r="LKV1598" s="391"/>
      <c r="LKW1598" s="390"/>
      <c r="LKX1598" s="391"/>
      <c r="LKY1598" s="390"/>
      <c r="LKZ1598" s="391"/>
      <c r="LLA1598" s="390"/>
      <c r="LLB1598" s="391"/>
      <c r="LLC1598" s="390"/>
      <c r="LLD1598" s="391"/>
      <c r="LLE1598" s="390"/>
      <c r="LLF1598" s="391"/>
      <c r="LLG1598" s="390"/>
      <c r="LLH1598" s="391"/>
      <c r="LLI1598" s="390"/>
      <c r="LLJ1598" s="391"/>
      <c r="LLK1598" s="390"/>
      <c r="LLL1598" s="391"/>
      <c r="LLM1598" s="390"/>
      <c r="LLN1598" s="391"/>
      <c r="LLO1598" s="390"/>
      <c r="LLP1598" s="391"/>
      <c r="LLQ1598" s="390"/>
      <c r="LLR1598" s="391"/>
      <c r="LLS1598" s="390"/>
      <c r="LLT1598" s="391"/>
      <c r="LLU1598" s="390"/>
      <c r="LLV1598" s="391"/>
      <c r="LLW1598" s="390"/>
      <c r="LLX1598" s="391"/>
      <c r="LLY1598" s="390"/>
      <c r="LLZ1598" s="391"/>
      <c r="LMA1598" s="390"/>
      <c r="LMB1598" s="391"/>
      <c r="LMC1598" s="390"/>
      <c r="LMD1598" s="391"/>
      <c r="LME1598" s="390"/>
      <c r="LMF1598" s="391"/>
      <c r="LMG1598" s="390"/>
      <c r="LMH1598" s="391"/>
      <c r="LMI1598" s="390"/>
      <c r="LMJ1598" s="391"/>
      <c r="LMK1598" s="390"/>
      <c r="LML1598" s="391"/>
      <c r="LMM1598" s="390"/>
      <c r="LMN1598" s="391"/>
      <c r="LMO1598" s="390"/>
      <c r="LMP1598" s="391"/>
      <c r="LMQ1598" s="390"/>
      <c r="LMR1598" s="391"/>
      <c r="LMS1598" s="390"/>
      <c r="LMT1598" s="391"/>
      <c r="LMU1598" s="390"/>
      <c r="LMV1598" s="391"/>
      <c r="LMW1598" s="390"/>
      <c r="LMX1598" s="391"/>
      <c r="LMY1598" s="390"/>
      <c r="LMZ1598" s="391"/>
      <c r="LNA1598" s="390"/>
      <c r="LNB1598" s="391"/>
      <c r="LNC1598" s="390"/>
      <c r="LND1598" s="391"/>
      <c r="LNE1598" s="390"/>
      <c r="LNF1598" s="391"/>
      <c r="LNG1598" s="390"/>
      <c r="LNH1598" s="391"/>
      <c r="LNI1598" s="390"/>
      <c r="LNJ1598" s="391"/>
      <c r="LNK1598" s="390"/>
      <c r="LNL1598" s="391"/>
      <c r="LNM1598" s="390"/>
      <c r="LNN1598" s="391"/>
      <c r="LNO1598" s="390"/>
      <c r="LNP1598" s="391"/>
      <c r="LNQ1598" s="390"/>
      <c r="LNR1598" s="391"/>
      <c r="LNS1598" s="390"/>
      <c r="LNT1598" s="391"/>
      <c r="LNU1598" s="390"/>
      <c r="LNV1598" s="391"/>
      <c r="LNW1598" s="390"/>
      <c r="LNX1598" s="391"/>
      <c r="LNY1598" s="390"/>
      <c r="LNZ1598" s="391"/>
      <c r="LOA1598" s="390"/>
      <c r="LOB1598" s="391"/>
      <c r="LOC1598" s="390"/>
      <c r="LOD1598" s="391"/>
      <c r="LOE1598" s="390"/>
      <c r="LOF1598" s="391"/>
      <c r="LOG1598" s="390"/>
      <c r="LOH1598" s="391"/>
      <c r="LOI1598" s="390"/>
      <c r="LOJ1598" s="391"/>
      <c r="LOK1598" s="390"/>
      <c r="LOL1598" s="391"/>
      <c r="LOM1598" s="390"/>
      <c r="LON1598" s="391"/>
      <c r="LOO1598" s="390"/>
      <c r="LOP1598" s="391"/>
      <c r="LOQ1598" s="390"/>
      <c r="LOR1598" s="391"/>
      <c r="LOS1598" s="390"/>
      <c r="LOT1598" s="391"/>
      <c r="LOU1598" s="390"/>
      <c r="LOV1598" s="391"/>
      <c r="LOW1598" s="390"/>
      <c r="LOX1598" s="391"/>
      <c r="LOY1598" s="390"/>
      <c r="LOZ1598" s="391"/>
      <c r="LPA1598" s="390"/>
      <c r="LPB1598" s="391"/>
      <c r="LPC1598" s="390"/>
      <c r="LPD1598" s="391"/>
      <c r="LPE1598" s="390"/>
      <c r="LPF1598" s="391"/>
      <c r="LPG1598" s="390"/>
      <c r="LPH1598" s="391"/>
      <c r="LPI1598" s="390"/>
      <c r="LPJ1598" s="391"/>
      <c r="LPK1598" s="390"/>
      <c r="LPL1598" s="391"/>
      <c r="LPM1598" s="390"/>
      <c r="LPN1598" s="391"/>
      <c r="LPO1598" s="390"/>
      <c r="LPP1598" s="391"/>
      <c r="LPQ1598" s="390"/>
      <c r="LPR1598" s="391"/>
      <c r="LPS1598" s="390"/>
      <c r="LPT1598" s="391"/>
      <c r="LPU1598" s="390"/>
      <c r="LPV1598" s="391"/>
      <c r="LPW1598" s="390"/>
      <c r="LPX1598" s="391"/>
      <c r="LPY1598" s="390"/>
      <c r="LPZ1598" s="391"/>
      <c r="LQA1598" s="390"/>
      <c r="LQB1598" s="391"/>
      <c r="LQC1598" s="390"/>
      <c r="LQD1598" s="391"/>
      <c r="LQE1598" s="390"/>
      <c r="LQF1598" s="391"/>
      <c r="LQG1598" s="390"/>
      <c r="LQH1598" s="391"/>
      <c r="LQI1598" s="390"/>
      <c r="LQJ1598" s="391"/>
      <c r="LQK1598" s="390"/>
      <c r="LQL1598" s="391"/>
      <c r="LQM1598" s="390"/>
      <c r="LQN1598" s="391"/>
      <c r="LQO1598" s="390"/>
      <c r="LQP1598" s="391"/>
      <c r="LQQ1598" s="390"/>
      <c r="LQR1598" s="391"/>
      <c r="LQS1598" s="390"/>
      <c r="LQT1598" s="391"/>
      <c r="LQU1598" s="390"/>
      <c r="LQV1598" s="391"/>
      <c r="LQW1598" s="390"/>
      <c r="LQX1598" s="391"/>
      <c r="LQY1598" s="390"/>
      <c r="LQZ1598" s="391"/>
      <c r="LRA1598" s="390"/>
      <c r="LRB1598" s="391"/>
      <c r="LRC1598" s="390"/>
      <c r="LRD1598" s="391"/>
      <c r="LRE1598" s="390"/>
      <c r="LRF1598" s="391"/>
      <c r="LRG1598" s="390"/>
      <c r="LRH1598" s="391"/>
      <c r="LRI1598" s="390"/>
      <c r="LRJ1598" s="391"/>
      <c r="LRK1598" s="390"/>
      <c r="LRL1598" s="391"/>
      <c r="LRM1598" s="390"/>
      <c r="LRN1598" s="391"/>
      <c r="LRO1598" s="390"/>
      <c r="LRP1598" s="391"/>
      <c r="LRQ1598" s="390"/>
      <c r="LRR1598" s="391"/>
      <c r="LRS1598" s="390"/>
      <c r="LRT1598" s="391"/>
      <c r="LRU1598" s="390"/>
      <c r="LRV1598" s="391"/>
      <c r="LRW1598" s="390"/>
      <c r="LRX1598" s="391"/>
      <c r="LRY1598" s="390"/>
      <c r="LRZ1598" s="391"/>
      <c r="LSA1598" s="390"/>
      <c r="LSB1598" s="391"/>
      <c r="LSC1598" s="390"/>
      <c r="LSD1598" s="391"/>
      <c r="LSE1598" s="390"/>
      <c r="LSF1598" s="391"/>
      <c r="LSG1598" s="390"/>
      <c r="LSH1598" s="391"/>
      <c r="LSI1598" s="390"/>
      <c r="LSJ1598" s="391"/>
      <c r="LSK1598" s="390"/>
      <c r="LSL1598" s="391"/>
      <c r="LSM1598" s="390"/>
      <c r="LSN1598" s="391"/>
      <c r="LSO1598" s="390"/>
      <c r="LSP1598" s="391"/>
      <c r="LSQ1598" s="390"/>
      <c r="LSR1598" s="391"/>
      <c r="LSS1598" s="390"/>
      <c r="LST1598" s="391"/>
      <c r="LSU1598" s="390"/>
      <c r="LSV1598" s="391"/>
      <c r="LSW1598" s="390"/>
      <c r="LSX1598" s="391"/>
      <c r="LSY1598" s="390"/>
      <c r="LSZ1598" s="391"/>
      <c r="LTA1598" s="390"/>
      <c r="LTB1598" s="391"/>
      <c r="LTC1598" s="390"/>
      <c r="LTD1598" s="391"/>
      <c r="LTE1598" s="390"/>
      <c r="LTF1598" s="391"/>
      <c r="LTG1598" s="390"/>
      <c r="LTH1598" s="391"/>
      <c r="LTI1598" s="390"/>
      <c r="LTJ1598" s="391"/>
      <c r="LTK1598" s="390"/>
      <c r="LTL1598" s="391"/>
      <c r="LTM1598" s="390"/>
      <c r="LTN1598" s="391"/>
      <c r="LTO1598" s="390"/>
      <c r="LTP1598" s="391"/>
      <c r="LTQ1598" s="390"/>
      <c r="LTR1598" s="391"/>
      <c r="LTS1598" s="390"/>
      <c r="LTT1598" s="391"/>
      <c r="LTU1598" s="390"/>
      <c r="LTV1598" s="391"/>
      <c r="LTW1598" s="390"/>
      <c r="LTX1598" s="391"/>
      <c r="LTY1598" s="390"/>
      <c r="LTZ1598" s="391"/>
      <c r="LUA1598" s="390"/>
      <c r="LUB1598" s="391"/>
      <c r="LUC1598" s="390"/>
      <c r="LUD1598" s="391"/>
      <c r="LUE1598" s="390"/>
      <c r="LUF1598" s="391"/>
      <c r="LUG1598" s="390"/>
      <c r="LUH1598" s="391"/>
      <c r="LUI1598" s="390"/>
      <c r="LUJ1598" s="391"/>
      <c r="LUK1598" s="390"/>
      <c r="LUL1598" s="391"/>
      <c r="LUM1598" s="390"/>
      <c r="LUN1598" s="391"/>
      <c r="LUO1598" s="390"/>
      <c r="LUP1598" s="391"/>
      <c r="LUQ1598" s="390"/>
      <c r="LUR1598" s="391"/>
      <c r="LUS1598" s="390"/>
      <c r="LUT1598" s="391"/>
      <c r="LUU1598" s="390"/>
      <c r="LUV1598" s="391"/>
      <c r="LUW1598" s="390"/>
      <c r="LUX1598" s="391"/>
      <c r="LUY1598" s="390"/>
      <c r="LUZ1598" s="391"/>
      <c r="LVA1598" s="390"/>
      <c r="LVB1598" s="391"/>
      <c r="LVC1598" s="390"/>
      <c r="LVD1598" s="391"/>
      <c r="LVE1598" s="390"/>
      <c r="LVF1598" s="391"/>
      <c r="LVG1598" s="390"/>
      <c r="LVH1598" s="391"/>
      <c r="LVI1598" s="390"/>
      <c r="LVJ1598" s="391"/>
      <c r="LVK1598" s="390"/>
      <c r="LVL1598" s="391"/>
      <c r="LVM1598" s="390"/>
      <c r="LVN1598" s="391"/>
      <c r="LVO1598" s="390"/>
      <c r="LVP1598" s="391"/>
      <c r="LVQ1598" s="390"/>
      <c r="LVR1598" s="391"/>
      <c r="LVS1598" s="390"/>
      <c r="LVT1598" s="391"/>
      <c r="LVU1598" s="390"/>
      <c r="LVV1598" s="391"/>
      <c r="LVW1598" s="390"/>
      <c r="LVX1598" s="391"/>
      <c r="LVY1598" s="390"/>
      <c r="LVZ1598" s="391"/>
      <c r="LWA1598" s="390"/>
      <c r="LWB1598" s="391"/>
      <c r="LWC1598" s="390"/>
      <c r="LWD1598" s="391"/>
      <c r="LWE1598" s="390"/>
      <c r="LWF1598" s="391"/>
      <c r="LWG1598" s="390"/>
      <c r="LWH1598" s="391"/>
      <c r="LWI1598" s="390"/>
      <c r="LWJ1598" s="391"/>
      <c r="LWK1598" s="390"/>
      <c r="LWL1598" s="391"/>
      <c r="LWM1598" s="390"/>
      <c r="LWN1598" s="391"/>
      <c r="LWO1598" s="390"/>
      <c r="LWP1598" s="391"/>
      <c r="LWQ1598" s="390"/>
      <c r="LWR1598" s="391"/>
      <c r="LWS1598" s="390"/>
      <c r="LWT1598" s="391"/>
      <c r="LWU1598" s="390"/>
      <c r="LWV1598" s="391"/>
      <c r="LWW1598" s="390"/>
      <c r="LWX1598" s="391"/>
      <c r="LWY1598" s="390"/>
      <c r="LWZ1598" s="391"/>
      <c r="LXA1598" s="390"/>
      <c r="LXB1598" s="391"/>
      <c r="LXC1598" s="390"/>
      <c r="LXD1598" s="391"/>
      <c r="LXE1598" s="390"/>
      <c r="LXF1598" s="391"/>
      <c r="LXG1598" s="390"/>
      <c r="LXH1598" s="391"/>
      <c r="LXI1598" s="390"/>
      <c r="LXJ1598" s="391"/>
      <c r="LXK1598" s="390"/>
      <c r="LXL1598" s="391"/>
      <c r="LXM1598" s="390"/>
      <c r="LXN1598" s="391"/>
      <c r="LXO1598" s="390"/>
      <c r="LXP1598" s="391"/>
      <c r="LXQ1598" s="390"/>
      <c r="LXR1598" s="391"/>
      <c r="LXS1598" s="390"/>
      <c r="LXT1598" s="391"/>
      <c r="LXU1598" s="390"/>
      <c r="LXV1598" s="391"/>
      <c r="LXW1598" s="390"/>
      <c r="LXX1598" s="391"/>
      <c r="LXY1598" s="390"/>
      <c r="LXZ1598" s="391"/>
      <c r="LYA1598" s="390"/>
      <c r="LYB1598" s="391"/>
      <c r="LYC1598" s="390"/>
      <c r="LYD1598" s="391"/>
      <c r="LYE1598" s="390"/>
      <c r="LYF1598" s="391"/>
      <c r="LYG1598" s="390"/>
      <c r="LYH1598" s="391"/>
      <c r="LYI1598" s="390"/>
      <c r="LYJ1598" s="391"/>
      <c r="LYK1598" s="390"/>
      <c r="LYL1598" s="391"/>
      <c r="LYM1598" s="390"/>
      <c r="LYN1598" s="391"/>
      <c r="LYO1598" s="390"/>
      <c r="LYP1598" s="391"/>
      <c r="LYQ1598" s="390"/>
      <c r="LYR1598" s="391"/>
      <c r="LYS1598" s="390"/>
      <c r="LYT1598" s="391"/>
      <c r="LYU1598" s="390"/>
      <c r="LYV1598" s="391"/>
      <c r="LYW1598" s="390"/>
      <c r="LYX1598" s="391"/>
      <c r="LYY1598" s="390"/>
      <c r="LYZ1598" s="391"/>
      <c r="LZA1598" s="390"/>
      <c r="LZB1598" s="391"/>
      <c r="LZC1598" s="390"/>
      <c r="LZD1598" s="391"/>
      <c r="LZE1598" s="390"/>
      <c r="LZF1598" s="391"/>
      <c r="LZG1598" s="390"/>
      <c r="LZH1598" s="391"/>
      <c r="LZI1598" s="390"/>
      <c r="LZJ1598" s="391"/>
      <c r="LZK1598" s="390"/>
      <c r="LZL1598" s="391"/>
      <c r="LZM1598" s="390"/>
      <c r="LZN1598" s="391"/>
      <c r="LZO1598" s="390"/>
      <c r="LZP1598" s="391"/>
      <c r="LZQ1598" s="390"/>
      <c r="LZR1598" s="391"/>
      <c r="LZS1598" s="390"/>
      <c r="LZT1598" s="391"/>
      <c r="LZU1598" s="390"/>
      <c r="LZV1598" s="391"/>
      <c r="LZW1598" s="390"/>
      <c r="LZX1598" s="391"/>
      <c r="LZY1598" s="390"/>
      <c r="LZZ1598" s="391"/>
      <c r="MAA1598" s="390"/>
      <c r="MAB1598" s="391"/>
      <c r="MAC1598" s="390"/>
      <c r="MAD1598" s="391"/>
      <c r="MAE1598" s="390"/>
      <c r="MAF1598" s="391"/>
      <c r="MAG1598" s="390"/>
      <c r="MAH1598" s="391"/>
      <c r="MAI1598" s="390"/>
      <c r="MAJ1598" s="391"/>
      <c r="MAK1598" s="390"/>
      <c r="MAL1598" s="391"/>
      <c r="MAM1598" s="390"/>
      <c r="MAN1598" s="391"/>
      <c r="MAO1598" s="390"/>
      <c r="MAP1598" s="391"/>
      <c r="MAQ1598" s="390"/>
      <c r="MAR1598" s="391"/>
      <c r="MAS1598" s="390"/>
      <c r="MAT1598" s="391"/>
      <c r="MAU1598" s="390"/>
      <c r="MAV1598" s="391"/>
      <c r="MAW1598" s="390"/>
      <c r="MAX1598" s="391"/>
      <c r="MAY1598" s="390"/>
      <c r="MAZ1598" s="391"/>
      <c r="MBA1598" s="390"/>
      <c r="MBB1598" s="391"/>
      <c r="MBC1598" s="390"/>
      <c r="MBD1598" s="391"/>
      <c r="MBE1598" s="390"/>
      <c r="MBF1598" s="391"/>
      <c r="MBG1598" s="390"/>
      <c r="MBH1598" s="391"/>
      <c r="MBI1598" s="390"/>
      <c r="MBJ1598" s="391"/>
      <c r="MBK1598" s="390"/>
      <c r="MBL1598" s="391"/>
      <c r="MBM1598" s="390"/>
      <c r="MBN1598" s="391"/>
      <c r="MBO1598" s="390"/>
      <c r="MBP1598" s="391"/>
      <c r="MBQ1598" s="390"/>
      <c r="MBR1598" s="391"/>
      <c r="MBS1598" s="390"/>
      <c r="MBT1598" s="391"/>
      <c r="MBU1598" s="390"/>
      <c r="MBV1598" s="391"/>
      <c r="MBW1598" s="390"/>
      <c r="MBX1598" s="391"/>
      <c r="MBY1598" s="390"/>
      <c r="MBZ1598" s="391"/>
      <c r="MCA1598" s="390"/>
      <c r="MCB1598" s="391"/>
      <c r="MCC1598" s="390"/>
      <c r="MCD1598" s="391"/>
      <c r="MCE1598" s="390"/>
      <c r="MCF1598" s="391"/>
      <c r="MCG1598" s="390"/>
      <c r="MCH1598" s="391"/>
      <c r="MCI1598" s="390"/>
      <c r="MCJ1598" s="391"/>
      <c r="MCK1598" s="390"/>
      <c r="MCL1598" s="391"/>
      <c r="MCM1598" s="390"/>
      <c r="MCN1598" s="391"/>
      <c r="MCO1598" s="390"/>
      <c r="MCP1598" s="391"/>
      <c r="MCQ1598" s="390"/>
      <c r="MCR1598" s="391"/>
      <c r="MCS1598" s="390"/>
      <c r="MCT1598" s="391"/>
      <c r="MCU1598" s="390"/>
      <c r="MCV1598" s="391"/>
      <c r="MCW1598" s="390"/>
      <c r="MCX1598" s="391"/>
      <c r="MCY1598" s="390"/>
      <c r="MCZ1598" s="391"/>
      <c r="MDA1598" s="390"/>
      <c r="MDB1598" s="391"/>
      <c r="MDC1598" s="390"/>
      <c r="MDD1598" s="391"/>
      <c r="MDE1598" s="390"/>
      <c r="MDF1598" s="391"/>
      <c r="MDG1598" s="390"/>
      <c r="MDH1598" s="391"/>
      <c r="MDI1598" s="390"/>
      <c r="MDJ1598" s="391"/>
      <c r="MDK1598" s="390"/>
      <c r="MDL1598" s="391"/>
      <c r="MDM1598" s="390"/>
      <c r="MDN1598" s="391"/>
      <c r="MDO1598" s="390"/>
      <c r="MDP1598" s="391"/>
      <c r="MDQ1598" s="390"/>
      <c r="MDR1598" s="391"/>
      <c r="MDS1598" s="390"/>
      <c r="MDT1598" s="391"/>
      <c r="MDU1598" s="390"/>
      <c r="MDV1598" s="391"/>
      <c r="MDW1598" s="390"/>
      <c r="MDX1598" s="391"/>
      <c r="MDY1598" s="390"/>
      <c r="MDZ1598" s="391"/>
      <c r="MEA1598" s="390"/>
      <c r="MEB1598" s="391"/>
      <c r="MEC1598" s="390"/>
      <c r="MED1598" s="391"/>
      <c r="MEE1598" s="390"/>
      <c r="MEF1598" s="391"/>
      <c r="MEG1598" s="390"/>
      <c r="MEH1598" s="391"/>
      <c r="MEI1598" s="390"/>
      <c r="MEJ1598" s="391"/>
      <c r="MEK1598" s="390"/>
      <c r="MEL1598" s="391"/>
      <c r="MEM1598" s="390"/>
      <c r="MEN1598" s="391"/>
      <c r="MEO1598" s="390"/>
      <c r="MEP1598" s="391"/>
      <c r="MEQ1598" s="390"/>
      <c r="MER1598" s="391"/>
      <c r="MES1598" s="390"/>
      <c r="MET1598" s="391"/>
      <c r="MEU1598" s="390"/>
      <c r="MEV1598" s="391"/>
      <c r="MEW1598" s="390"/>
      <c r="MEX1598" s="391"/>
      <c r="MEY1598" s="390"/>
      <c r="MEZ1598" s="391"/>
      <c r="MFA1598" s="390"/>
      <c r="MFB1598" s="391"/>
      <c r="MFC1598" s="390"/>
      <c r="MFD1598" s="391"/>
      <c r="MFE1598" s="390"/>
      <c r="MFF1598" s="391"/>
      <c r="MFG1598" s="390"/>
      <c r="MFH1598" s="391"/>
      <c r="MFI1598" s="390"/>
      <c r="MFJ1598" s="391"/>
      <c r="MFK1598" s="390"/>
      <c r="MFL1598" s="391"/>
      <c r="MFM1598" s="390"/>
      <c r="MFN1598" s="391"/>
      <c r="MFO1598" s="390"/>
      <c r="MFP1598" s="391"/>
      <c r="MFQ1598" s="390"/>
      <c r="MFR1598" s="391"/>
      <c r="MFS1598" s="390"/>
      <c r="MFT1598" s="391"/>
      <c r="MFU1598" s="390"/>
      <c r="MFV1598" s="391"/>
      <c r="MFW1598" s="390"/>
      <c r="MFX1598" s="391"/>
      <c r="MFY1598" s="390"/>
      <c r="MFZ1598" s="391"/>
      <c r="MGA1598" s="390"/>
      <c r="MGB1598" s="391"/>
      <c r="MGC1598" s="390"/>
      <c r="MGD1598" s="391"/>
      <c r="MGE1598" s="390"/>
      <c r="MGF1598" s="391"/>
      <c r="MGG1598" s="390"/>
      <c r="MGH1598" s="391"/>
      <c r="MGI1598" s="390"/>
      <c r="MGJ1598" s="391"/>
      <c r="MGK1598" s="390"/>
      <c r="MGL1598" s="391"/>
      <c r="MGM1598" s="390"/>
      <c r="MGN1598" s="391"/>
      <c r="MGO1598" s="390"/>
      <c r="MGP1598" s="391"/>
      <c r="MGQ1598" s="390"/>
      <c r="MGR1598" s="391"/>
      <c r="MGS1598" s="390"/>
      <c r="MGT1598" s="391"/>
      <c r="MGU1598" s="390"/>
      <c r="MGV1598" s="391"/>
      <c r="MGW1598" s="390"/>
      <c r="MGX1598" s="391"/>
      <c r="MGY1598" s="390"/>
      <c r="MGZ1598" s="391"/>
      <c r="MHA1598" s="390"/>
      <c r="MHB1598" s="391"/>
      <c r="MHC1598" s="390"/>
      <c r="MHD1598" s="391"/>
      <c r="MHE1598" s="390"/>
      <c r="MHF1598" s="391"/>
      <c r="MHG1598" s="390"/>
      <c r="MHH1598" s="391"/>
      <c r="MHI1598" s="390"/>
      <c r="MHJ1598" s="391"/>
      <c r="MHK1598" s="390"/>
      <c r="MHL1598" s="391"/>
      <c r="MHM1598" s="390"/>
      <c r="MHN1598" s="391"/>
      <c r="MHO1598" s="390"/>
      <c r="MHP1598" s="391"/>
      <c r="MHQ1598" s="390"/>
      <c r="MHR1598" s="391"/>
      <c r="MHS1598" s="390"/>
      <c r="MHT1598" s="391"/>
      <c r="MHU1598" s="390"/>
      <c r="MHV1598" s="391"/>
      <c r="MHW1598" s="390"/>
      <c r="MHX1598" s="391"/>
      <c r="MHY1598" s="390"/>
      <c r="MHZ1598" s="391"/>
      <c r="MIA1598" s="390"/>
      <c r="MIB1598" s="391"/>
      <c r="MIC1598" s="390"/>
      <c r="MID1598" s="391"/>
      <c r="MIE1598" s="390"/>
      <c r="MIF1598" s="391"/>
      <c r="MIG1598" s="390"/>
      <c r="MIH1598" s="391"/>
      <c r="MII1598" s="390"/>
      <c r="MIJ1598" s="391"/>
      <c r="MIK1598" s="390"/>
      <c r="MIL1598" s="391"/>
      <c r="MIM1598" s="390"/>
      <c r="MIN1598" s="391"/>
      <c r="MIO1598" s="390"/>
      <c r="MIP1598" s="391"/>
      <c r="MIQ1598" s="390"/>
      <c r="MIR1598" s="391"/>
      <c r="MIS1598" s="390"/>
      <c r="MIT1598" s="391"/>
      <c r="MIU1598" s="390"/>
      <c r="MIV1598" s="391"/>
      <c r="MIW1598" s="390"/>
      <c r="MIX1598" s="391"/>
      <c r="MIY1598" s="390"/>
      <c r="MIZ1598" s="391"/>
      <c r="MJA1598" s="390"/>
      <c r="MJB1598" s="391"/>
      <c r="MJC1598" s="390"/>
      <c r="MJD1598" s="391"/>
      <c r="MJE1598" s="390"/>
      <c r="MJF1598" s="391"/>
      <c r="MJG1598" s="390"/>
      <c r="MJH1598" s="391"/>
      <c r="MJI1598" s="390"/>
      <c r="MJJ1598" s="391"/>
      <c r="MJK1598" s="390"/>
      <c r="MJL1598" s="391"/>
      <c r="MJM1598" s="390"/>
      <c r="MJN1598" s="391"/>
      <c r="MJO1598" s="390"/>
      <c r="MJP1598" s="391"/>
      <c r="MJQ1598" s="390"/>
      <c r="MJR1598" s="391"/>
      <c r="MJS1598" s="390"/>
      <c r="MJT1598" s="391"/>
      <c r="MJU1598" s="390"/>
      <c r="MJV1598" s="391"/>
      <c r="MJW1598" s="390"/>
      <c r="MJX1598" s="391"/>
      <c r="MJY1598" s="390"/>
      <c r="MJZ1598" s="391"/>
      <c r="MKA1598" s="390"/>
      <c r="MKB1598" s="391"/>
      <c r="MKC1598" s="390"/>
      <c r="MKD1598" s="391"/>
      <c r="MKE1598" s="390"/>
      <c r="MKF1598" s="391"/>
      <c r="MKG1598" s="390"/>
      <c r="MKH1598" s="391"/>
      <c r="MKI1598" s="390"/>
      <c r="MKJ1598" s="391"/>
      <c r="MKK1598" s="390"/>
      <c r="MKL1598" s="391"/>
      <c r="MKM1598" s="390"/>
      <c r="MKN1598" s="391"/>
      <c r="MKO1598" s="390"/>
      <c r="MKP1598" s="391"/>
      <c r="MKQ1598" s="390"/>
      <c r="MKR1598" s="391"/>
      <c r="MKS1598" s="390"/>
      <c r="MKT1598" s="391"/>
      <c r="MKU1598" s="390"/>
      <c r="MKV1598" s="391"/>
      <c r="MKW1598" s="390"/>
      <c r="MKX1598" s="391"/>
      <c r="MKY1598" s="390"/>
      <c r="MKZ1598" s="391"/>
      <c r="MLA1598" s="390"/>
      <c r="MLB1598" s="391"/>
      <c r="MLC1598" s="390"/>
      <c r="MLD1598" s="391"/>
      <c r="MLE1598" s="390"/>
      <c r="MLF1598" s="391"/>
      <c r="MLG1598" s="390"/>
      <c r="MLH1598" s="391"/>
      <c r="MLI1598" s="390"/>
      <c r="MLJ1598" s="391"/>
      <c r="MLK1598" s="390"/>
      <c r="MLL1598" s="391"/>
      <c r="MLM1598" s="390"/>
      <c r="MLN1598" s="391"/>
      <c r="MLO1598" s="390"/>
      <c r="MLP1598" s="391"/>
      <c r="MLQ1598" s="390"/>
      <c r="MLR1598" s="391"/>
      <c r="MLS1598" s="390"/>
      <c r="MLT1598" s="391"/>
      <c r="MLU1598" s="390"/>
      <c r="MLV1598" s="391"/>
      <c r="MLW1598" s="390"/>
      <c r="MLX1598" s="391"/>
      <c r="MLY1598" s="390"/>
      <c r="MLZ1598" s="391"/>
      <c r="MMA1598" s="390"/>
      <c r="MMB1598" s="391"/>
      <c r="MMC1598" s="390"/>
      <c r="MMD1598" s="391"/>
      <c r="MME1598" s="390"/>
      <c r="MMF1598" s="391"/>
      <c r="MMG1598" s="390"/>
      <c r="MMH1598" s="391"/>
      <c r="MMI1598" s="390"/>
      <c r="MMJ1598" s="391"/>
      <c r="MMK1598" s="390"/>
      <c r="MML1598" s="391"/>
      <c r="MMM1598" s="390"/>
      <c r="MMN1598" s="391"/>
      <c r="MMO1598" s="390"/>
      <c r="MMP1598" s="391"/>
      <c r="MMQ1598" s="390"/>
      <c r="MMR1598" s="391"/>
      <c r="MMS1598" s="390"/>
      <c r="MMT1598" s="391"/>
      <c r="MMU1598" s="390"/>
      <c r="MMV1598" s="391"/>
      <c r="MMW1598" s="390"/>
      <c r="MMX1598" s="391"/>
      <c r="MMY1598" s="390"/>
      <c r="MMZ1598" s="391"/>
      <c r="MNA1598" s="390"/>
      <c r="MNB1598" s="391"/>
      <c r="MNC1598" s="390"/>
      <c r="MND1598" s="391"/>
      <c r="MNE1598" s="390"/>
      <c r="MNF1598" s="391"/>
      <c r="MNG1598" s="390"/>
      <c r="MNH1598" s="391"/>
      <c r="MNI1598" s="390"/>
      <c r="MNJ1598" s="391"/>
      <c r="MNK1598" s="390"/>
      <c r="MNL1598" s="391"/>
      <c r="MNM1598" s="390"/>
      <c r="MNN1598" s="391"/>
      <c r="MNO1598" s="390"/>
      <c r="MNP1598" s="391"/>
      <c r="MNQ1598" s="390"/>
      <c r="MNR1598" s="391"/>
      <c r="MNS1598" s="390"/>
      <c r="MNT1598" s="391"/>
      <c r="MNU1598" s="390"/>
      <c r="MNV1598" s="391"/>
      <c r="MNW1598" s="390"/>
      <c r="MNX1598" s="391"/>
      <c r="MNY1598" s="390"/>
      <c r="MNZ1598" s="391"/>
      <c r="MOA1598" s="390"/>
      <c r="MOB1598" s="391"/>
      <c r="MOC1598" s="390"/>
      <c r="MOD1598" s="391"/>
      <c r="MOE1598" s="390"/>
      <c r="MOF1598" s="391"/>
      <c r="MOG1598" s="390"/>
      <c r="MOH1598" s="391"/>
      <c r="MOI1598" s="390"/>
      <c r="MOJ1598" s="391"/>
      <c r="MOK1598" s="390"/>
      <c r="MOL1598" s="391"/>
      <c r="MOM1598" s="390"/>
      <c r="MON1598" s="391"/>
      <c r="MOO1598" s="390"/>
      <c r="MOP1598" s="391"/>
      <c r="MOQ1598" s="390"/>
      <c r="MOR1598" s="391"/>
      <c r="MOS1598" s="390"/>
      <c r="MOT1598" s="391"/>
      <c r="MOU1598" s="390"/>
      <c r="MOV1598" s="391"/>
      <c r="MOW1598" s="390"/>
      <c r="MOX1598" s="391"/>
      <c r="MOY1598" s="390"/>
      <c r="MOZ1598" s="391"/>
      <c r="MPA1598" s="390"/>
      <c r="MPB1598" s="391"/>
      <c r="MPC1598" s="390"/>
      <c r="MPD1598" s="391"/>
      <c r="MPE1598" s="390"/>
      <c r="MPF1598" s="391"/>
      <c r="MPG1598" s="390"/>
      <c r="MPH1598" s="391"/>
      <c r="MPI1598" s="390"/>
      <c r="MPJ1598" s="391"/>
      <c r="MPK1598" s="390"/>
      <c r="MPL1598" s="391"/>
      <c r="MPM1598" s="390"/>
      <c r="MPN1598" s="391"/>
      <c r="MPO1598" s="390"/>
      <c r="MPP1598" s="391"/>
      <c r="MPQ1598" s="390"/>
      <c r="MPR1598" s="391"/>
      <c r="MPS1598" s="390"/>
      <c r="MPT1598" s="391"/>
      <c r="MPU1598" s="390"/>
      <c r="MPV1598" s="391"/>
      <c r="MPW1598" s="390"/>
      <c r="MPX1598" s="391"/>
      <c r="MPY1598" s="390"/>
      <c r="MPZ1598" s="391"/>
      <c r="MQA1598" s="390"/>
      <c r="MQB1598" s="391"/>
      <c r="MQC1598" s="390"/>
      <c r="MQD1598" s="391"/>
      <c r="MQE1598" s="390"/>
      <c r="MQF1598" s="391"/>
      <c r="MQG1598" s="390"/>
      <c r="MQH1598" s="391"/>
      <c r="MQI1598" s="390"/>
      <c r="MQJ1598" s="391"/>
      <c r="MQK1598" s="390"/>
      <c r="MQL1598" s="391"/>
      <c r="MQM1598" s="390"/>
      <c r="MQN1598" s="391"/>
      <c r="MQO1598" s="390"/>
      <c r="MQP1598" s="391"/>
      <c r="MQQ1598" s="390"/>
      <c r="MQR1598" s="391"/>
      <c r="MQS1598" s="390"/>
      <c r="MQT1598" s="391"/>
      <c r="MQU1598" s="390"/>
      <c r="MQV1598" s="391"/>
      <c r="MQW1598" s="390"/>
      <c r="MQX1598" s="391"/>
      <c r="MQY1598" s="390"/>
      <c r="MQZ1598" s="391"/>
      <c r="MRA1598" s="390"/>
      <c r="MRB1598" s="391"/>
      <c r="MRC1598" s="390"/>
      <c r="MRD1598" s="391"/>
      <c r="MRE1598" s="390"/>
      <c r="MRF1598" s="391"/>
      <c r="MRG1598" s="390"/>
      <c r="MRH1598" s="391"/>
      <c r="MRI1598" s="390"/>
      <c r="MRJ1598" s="391"/>
      <c r="MRK1598" s="390"/>
      <c r="MRL1598" s="391"/>
      <c r="MRM1598" s="390"/>
      <c r="MRN1598" s="391"/>
      <c r="MRO1598" s="390"/>
      <c r="MRP1598" s="391"/>
      <c r="MRQ1598" s="390"/>
      <c r="MRR1598" s="391"/>
      <c r="MRS1598" s="390"/>
      <c r="MRT1598" s="391"/>
      <c r="MRU1598" s="390"/>
      <c r="MRV1598" s="391"/>
      <c r="MRW1598" s="390"/>
      <c r="MRX1598" s="391"/>
      <c r="MRY1598" s="390"/>
      <c r="MRZ1598" s="391"/>
      <c r="MSA1598" s="390"/>
      <c r="MSB1598" s="391"/>
      <c r="MSC1598" s="390"/>
      <c r="MSD1598" s="391"/>
      <c r="MSE1598" s="390"/>
      <c r="MSF1598" s="391"/>
      <c r="MSG1598" s="390"/>
      <c r="MSH1598" s="391"/>
      <c r="MSI1598" s="390"/>
      <c r="MSJ1598" s="391"/>
      <c r="MSK1598" s="390"/>
      <c r="MSL1598" s="391"/>
      <c r="MSM1598" s="390"/>
      <c r="MSN1598" s="391"/>
      <c r="MSO1598" s="390"/>
      <c r="MSP1598" s="391"/>
      <c r="MSQ1598" s="390"/>
      <c r="MSR1598" s="391"/>
      <c r="MSS1598" s="390"/>
      <c r="MST1598" s="391"/>
      <c r="MSU1598" s="390"/>
      <c r="MSV1598" s="391"/>
      <c r="MSW1598" s="390"/>
      <c r="MSX1598" s="391"/>
      <c r="MSY1598" s="390"/>
      <c r="MSZ1598" s="391"/>
      <c r="MTA1598" s="390"/>
      <c r="MTB1598" s="391"/>
      <c r="MTC1598" s="390"/>
      <c r="MTD1598" s="391"/>
      <c r="MTE1598" s="390"/>
      <c r="MTF1598" s="391"/>
      <c r="MTG1598" s="390"/>
      <c r="MTH1598" s="391"/>
      <c r="MTI1598" s="390"/>
      <c r="MTJ1598" s="391"/>
      <c r="MTK1598" s="390"/>
      <c r="MTL1598" s="391"/>
      <c r="MTM1598" s="390"/>
      <c r="MTN1598" s="391"/>
      <c r="MTO1598" s="390"/>
      <c r="MTP1598" s="391"/>
      <c r="MTQ1598" s="390"/>
      <c r="MTR1598" s="391"/>
      <c r="MTS1598" s="390"/>
      <c r="MTT1598" s="391"/>
      <c r="MTU1598" s="390"/>
      <c r="MTV1598" s="391"/>
      <c r="MTW1598" s="390"/>
      <c r="MTX1598" s="391"/>
      <c r="MTY1598" s="390"/>
      <c r="MTZ1598" s="391"/>
      <c r="MUA1598" s="390"/>
      <c r="MUB1598" s="391"/>
      <c r="MUC1598" s="390"/>
      <c r="MUD1598" s="391"/>
      <c r="MUE1598" s="390"/>
      <c r="MUF1598" s="391"/>
      <c r="MUG1598" s="390"/>
      <c r="MUH1598" s="391"/>
      <c r="MUI1598" s="390"/>
      <c r="MUJ1598" s="391"/>
      <c r="MUK1598" s="390"/>
      <c r="MUL1598" s="391"/>
      <c r="MUM1598" s="390"/>
      <c r="MUN1598" s="391"/>
      <c r="MUO1598" s="390"/>
      <c r="MUP1598" s="391"/>
      <c r="MUQ1598" s="390"/>
      <c r="MUR1598" s="391"/>
      <c r="MUS1598" s="390"/>
      <c r="MUT1598" s="391"/>
      <c r="MUU1598" s="390"/>
      <c r="MUV1598" s="391"/>
      <c r="MUW1598" s="390"/>
      <c r="MUX1598" s="391"/>
      <c r="MUY1598" s="390"/>
      <c r="MUZ1598" s="391"/>
      <c r="MVA1598" s="390"/>
      <c r="MVB1598" s="391"/>
      <c r="MVC1598" s="390"/>
      <c r="MVD1598" s="391"/>
      <c r="MVE1598" s="390"/>
      <c r="MVF1598" s="391"/>
      <c r="MVG1598" s="390"/>
      <c r="MVH1598" s="391"/>
      <c r="MVI1598" s="390"/>
      <c r="MVJ1598" s="391"/>
      <c r="MVK1598" s="390"/>
      <c r="MVL1598" s="391"/>
      <c r="MVM1598" s="390"/>
      <c r="MVN1598" s="391"/>
      <c r="MVO1598" s="390"/>
      <c r="MVP1598" s="391"/>
      <c r="MVQ1598" s="390"/>
      <c r="MVR1598" s="391"/>
      <c r="MVS1598" s="390"/>
      <c r="MVT1598" s="391"/>
      <c r="MVU1598" s="390"/>
      <c r="MVV1598" s="391"/>
      <c r="MVW1598" s="390"/>
      <c r="MVX1598" s="391"/>
      <c r="MVY1598" s="390"/>
      <c r="MVZ1598" s="391"/>
      <c r="MWA1598" s="390"/>
      <c r="MWB1598" s="391"/>
      <c r="MWC1598" s="390"/>
      <c r="MWD1598" s="391"/>
      <c r="MWE1598" s="390"/>
      <c r="MWF1598" s="391"/>
      <c r="MWG1598" s="390"/>
      <c r="MWH1598" s="391"/>
      <c r="MWI1598" s="390"/>
      <c r="MWJ1598" s="391"/>
      <c r="MWK1598" s="390"/>
      <c r="MWL1598" s="391"/>
      <c r="MWM1598" s="390"/>
      <c r="MWN1598" s="391"/>
      <c r="MWO1598" s="390"/>
      <c r="MWP1598" s="391"/>
      <c r="MWQ1598" s="390"/>
      <c r="MWR1598" s="391"/>
      <c r="MWS1598" s="390"/>
      <c r="MWT1598" s="391"/>
      <c r="MWU1598" s="390"/>
      <c r="MWV1598" s="391"/>
      <c r="MWW1598" s="390"/>
      <c r="MWX1598" s="391"/>
      <c r="MWY1598" s="390"/>
      <c r="MWZ1598" s="391"/>
      <c r="MXA1598" s="390"/>
      <c r="MXB1598" s="391"/>
      <c r="MXC1598" s="390"/>
      <c r="MXD1598" s="391"/>
      <c r="MXE1598" s="390"/>
      <c r="MXF1598" s="391"/>
      <c r="MXG1598" s="390"/>
      <c r="MXH1598" s="391"/>
      <c r="MXI1598" s="390"/>
      <c r="MXJ1598" s="391"/>
      <c r="MXK1598" s="390"/>
      <c r="MXL1598" s="391"/>
      <c r="MXM1598" s="390"/>
      <c r="MXN1598" s="391"/>
      <c r="MXO1598" s="390"/>
      <c r="MXP1598" s="391"/>
      <c r="MXQ1598" s="390"/>
      <c r="MXR1598" s="391"/>
      <c r="MXS1598" s="390"/>
      <c r="MXT1598" s="391"/>
      <c r="MXU1598" s="390"/>
      <c r="MXV1598" s="391"/>
      <c r="MXW1598" s="390"/>
      <c r="MXX1598" s="391"/>
      <c r="MXY1598" s="390"/>
      <c r="MXZ1598" s="391"/>
      <c r="MYA1598" s="390"/>
      <c r="MYB1598" s="391"/>
      <c r="MYC1598" s="390"/>
      <c r="MYD1598" s="391"/>
      <c r="MYE1598" s="390"/>
      <c r="MYF1598" s="391"/>
      <c r="MYG1598" s="390"/>
      <c r="MYH1598" s="391"/>
      <c r="MYI1598" s="390"/>
      <c r="MYJ1598" s="391"/>
      <c r="MYK1598" s="390"/>
      <c r="MYL1598" s="391"/>
      <c r="MYM1598" s="390"/>
      <c r="MYN1598" s="391"/>
      <c r="MYO1598" s="390"/>
      <c r="MYP1598" s="391"/>
      <c r="MYQ1598" s="390"/>
      <c r="MYR1598" s="391"/>
      <c r="MYS1598" s="390"/>
      <c r="MYT1598" s="391"/>
      <c r="MYU1598" s="390"/>
      <c r="MYV1598" s="391"/>
      <c r="MYW1598" s="390"/>
      <c r="MYX1598" s="391"/>
      <c r="MYY1598" s="390"/>
      <c r="MYZ1598" s="391"/>
      <c r="MZA1598" s="390"/>
      <c r="MZB1598" s="391"/>
      <c r="MZC1598" s="390"/>
      <c r="MZD1598" s="391"/>
      <c r="MZE1598" s="390"/>
      <c r="MZF1598" s="391"/>
      <c r="MZG1598" s="390"/>
      <c r="MZH1598" s="391"/>
      <c r="MZI1598" s="390"/>
      <c r="MZJ1598" s="391"/>
      <c r="MZK1598" s="390"/>
      <c r="MZL1598" s="391"/>
      <c r="MZM1598" s="390"/>
      <c r="MZN1598" s="391"/>
      <c r="MZO1598" s="390"/>
      <c r="MZP1598" s="391"/>
      <c r="MZQ1598" s="390"/>
      <c r="MZR1598" s="391"/>
      <c r="MZS1598" s="390"/>
      <c r="MZT1598" s="391"/>
      <c r="MZU1598" s="390"/>
      <c r="MZV1598" s="391"/>
      <c r="MZW1598" s="390"/>
      <c r="MZX1598" s="391"/>
      <c r="MZY1598" s="390"/>
      <c r="MZZ1598" s="391"/>
      <c r="NAA1598" s="390"/>
      <c r="NAB1598" s="391"/>
      <c r="NAC1598" s="390"/>
      <c r="NAD1598" s="391"/>
      <c r="NAE1598" s="390"/>
      <c r="NAF1598" s="391"/>
      <c r="NAG1598" s="390"/>
      <c r="NAH1598" s="391"/>
      <c r="NAI1598" s="390"/>
      <c r="NAJ1598" s="391"/>
      <c r="NAK1598" s="390"/>
      <c r="NAL1598" s="391"/>
      <c r="NAM1598" s="390"/>
      <c r="NAN1598" s="391"/>
      <c r="NAO1598" s="390"/>
      <c r="NAP1598" s="391"/>
      <c r="NAQ1598" s="390"/>
      <c r="NAR1598" s="391"/>
      <c r="NAS1598" s="390"/>
      <c r="NAT1598" s="391"/>
      <c r="NAU1598" s="390"/>
      <c r="NAV1598" s="391"/>
      <c r="NAW1598" s="390"/>
      <c r="NAX1598" s="391"/>
      <c r="NAY1598" s="390"/>
      <c r="NAZ1598" s="391"/>
      <c r="NBA1598" s="390"/>
      <c r="NBB1598" s="391"/>
      <c r="NBC1598" s="390"/>
      <c r="NBD1598" s="391"/>
      <c r="NBE1598" s="390"/>
      <c r="NBF1598" s="391"/>
      <c r="NBG1598" s="390"/>
      <c r="NBH1598" s="391"/>
      <c r="NBI1598" s="390"/>
      <c r="NBJ1598" s="391"/>
      <c r="NBK1598" s="390"/>
      <c r="NBL1598" s="391"/>
      <c r="NBM1598" s="390"/>
      <c r="NBN1598" s="391"/>
      <c r="NBO1598" s="390"/>
      <c r="NBP1598" s="391"/>
      <c r="NBQ1598" s="390"/>
      <c r="NBR1598" s="391"/>
      <c r="NBS1598" s="390"/>
      <c r="NBT1598" s="391"/>
      <c r="NBU1598" s="390"/>
      <c r="NBV1598" s="391"/>
      <c r="NBW1598" s="390"/>
      <c r="NBX1598" s="391"/>
      <c r="NBY1598" s="390"/>
      <c r="NBZ1598" s="391"/>
      <c r="NCA1598" s="390"/>
      <c r="NCB1598" s="391"/>
      <c r="NCC1598" s="390"/>
      <c r="NCD1598" s="391"/>
      <c r="NCE1598" s="390"/>
      <c r="NCF1598" s="391"/>
      <c r="NCG1598" s="390"/>
      <c r="NCH1598" s="391"/>
      <c r="NCI1598" s="390"/>
      <c r="NCJ1598" s="391"/>
      <c r="NCK1598" s="390"/>
      <c r="NCL1598" s="391"/>
      <c r="NCM1598" s="390"/>
      <c r="NCN1598" s="391"/>
      <c r="NCO1598" s="390"/>
      <c r="NCP1598" s="391"/>
      <c r="NCQ1598" s="390"/>
      <c r="NCR1598" s="391"/>
      <c r="NCS1598" s="390"/>
      <c r="NCT1598" s="391"/>
      <c r="NCU1598" s="390"/>
      <c r="NCV1598" s="391"/>
      <c r="NCW1598" s="390"/>
      <c r="NCX1598" s="391"/>
      <c r="NCY1598" s="390"/>
      <c r="NCZ1598" s="391"/>
      <c r="NDA1598" s="390"/>
      <c r="NDB1598" s="391"/>
      <c r="NDC1598" s="390"/>
      <c r="NDD1598" s="391"/>
      <c r="NDE1598" s="390"/>
      <c r="NDF1598" s="391"/>
      <c r="NDG1598" s="390"/>
      <c r="NDH1598" s="391"/>
      <c r="NDI1598" s="390"/>
      <c r="NDJ1598" s="391"/>
      <c r="NDK1598" s="390"/>
      <c r="NDL1598" s="391"/>
      <c r="NDM1598" s="390"/>
      <c r="NDN1598" s="391"/>
      <c r="NDO1598" s="390"/>
      <c r="NDP1598" s="391"/>
      <c r="NDQ1598" s="390"/>
      <c r="NDR1598" s="391"/>
      <c r="NDS1598" s="390"/>
      <c r="NDT1598" s="391"/>
      <c r="NDU1598" s="390"/>
      <c r="NDV1598" s="391"/>
      <c r="NDW1598" s="390"/>
      <c r="NDX1598" s="391"/>
      <c r="NDY1598" s="390"/>
      <c r="NDZ1598" s="391"/>
      <c r="NEA1598" s="390"/>
      <c r="NEB1598" s="391"/>
      <c r="NEC1598" s="390"/>
      <c r="NED1598" s="391"/>
      <c r="NEE1598" s="390"/>
      <c r="NEF1598" s="391"/>
      <c r="NEG1598" s="390"/>
      <c r="NEH1598" s="391"/>
      <c r="NEI1598" s="390"/>
      <c r="NEJ1598" s="391"/>
      <c r="NEK1598" s="390"/>
      <c r="NEL1598" s="391"/>
      <c r="NEM1598" s="390"/>
      <c r="NEN1598" s="391"/>
      <c r="NEO1598" s="390"/>
      <c r="NEP1598" s="391"/>
      <c r="NEQ1598" s="390"/>
      <c r="NER1598" s="391"/>
      <c r="NES1598" s="390"/>
      <c r="NET1598" s="391"/>
      <c r="NEU1598" s="390"/>
      <c r="NEV1598" s="391"/>
      <c r="NEW1598" s="390"/>
      <c r="NEX1598" s="391"/>
      <c r="NEY1598" s="390"/>
      <c r="NEZ1598" s="391"/>
      <c r="NFA1598" s="390"/>
      <c r="NFB1598" s="391"/>
      <c r="NFC1598" s="390"/>
      <c r="NFD1598" s="391"/>
      <c r="NFE1598" s="390"/>
      <c r="NFF1598" s="391"/>
      <c r="NFG1598" s="390"/>
      <c r="NFH1598" s="391"/>
      <c r="NFI1598" s="390"/>
      <c r="NFJ1598" s="391"/>
      <c r="NFK1598" s="390"/>
      <c r="NFL1598" s="391"/>
      <c r="NFM1598" s="390"/>
      <c r="NFN1598" s="391"/>
      <c r="NFO1598" s="390"/>
      <c r="NFP1598" s="391"/>
      <c r="NFQ1598" s="390"/>
      <c r="NFR1598" s="391"/>
      <c r="NFS1598" s="390"/>
      <c r="NFT1598" s="391"/>
      <c r="NFU1598" s="390"/>
      <c r="NFV1598" s="391"/>
      <c r="NFW1598" s="390"/>
      <c r="NFX1598" s="391"/>
      <c r="NFY1598" s="390"/>
      <c r="NFZ1598" s="391"/>
      <c r="NGA1598" s="390"/>
      <c r="NGB1598" s="391"/>
      <c r="NGC1598" s="390"/>
      <c r="NGD1598" s="391"/>
      <c r="NGE1598" s="390"/>
      <c r="NGF1598" s="391"/>
      <c r="NGG1598" s="390"/>
      <c r="NGH1598" s="391"/>
      <c r="NGI1598" s="390"/>
      <c r="NGJ1598" s="391"/>
      <c r="NGK1598" s="390"/>
      <c r="NGL1598" s="391"/>
      <c r="NGM1598" s="390"/>
      <c r="NGN1598" s="391"/>
      <c r="NGO1598" s="390"/>
      <c r="NGP1598" s="391"/>
      <c r="NGQ1598" s="390"/>
      <c r="NGR1598" s="391"/>
      <c r="NGS1598" s="390"/>
      <c r="NGT1598" s="391"/>
      <c r="NGU1598" s="390"/>
      <c r="NGV1598" s="391"/>
      <c r="NGW1598" s="390"/>
      <c r="NGX1598" s="391"/>
      <c r="NGY1598" s="390"/>
      <c r="NGZ1598" s="391"/>
      <c r="NHA1598" s="390"/>
      <c r="NHB1598" s="391"/>
      <c r="NHC1598" s="390"/>
      <c r="NHD1598" s="391"/>
      <c r="NHE1598" s="390"/>
      <c r="NHF1598" s="391"/>
      <c r="NHG1598" s="390"/>
      <c r="NHH1598" s="391"/>
      <c r="NHI1598" s="390"/>
      <c r="NHJ1598" s="391"/>
      <c r="NHK1598" s="390"/>
      <c r="NHL1598" s="391"/>
      <c r="NHM1598" s="390"/>
      <c r="NHN1598" s="391"/>
      <c r="NHO1598" s="390"/>
      <c r="NHP1598" s="391"/>
      <c r="NHQ1598" s="390"/>
      <c r="NHR1598" s="391"/>
      <c r="NHS1598" s="390"/>
      <c r="NHT1598" s="391"/>
      <c r="NHU1598" s="390"/>
      <c r="NHV1598" s="391"/>
      <c r="NHW1598" s="390"/>
      <c r="NHX1598" s="391"/>
      <c r="NHY1598" s="390"/>
      <c r="NHZ1598" s="391"/>
      <c r="NIA1598" s="390"/>
      <c r="NIB1598" s="391"/>
      <c r="NIC1598" s="390"/>
      <c r="NID1598" s="391"/>
      <c r="NIE1598" s="390"/>
      <c r="NIF1598" s="391"/>
      <c r="NIG1598" s="390"/>
      <c r="NIH1598" s="391"/>
      <c r="NII1598" s="390"/>
      <c r="NIJ1598" s="391"/>
      <c r="NIK1598" s="390"/>
      <c r="NIL1598" s="391"/>
      <c r="NIM1598" s="390"/>
      <c r="NIN1598" s="391"/>
      <c r="NIO1598" s="390"/>
      <c r="NIP1598" s="391"/>
      <c r="NIQ1598" s="390"/>
      <c r="NIR1598" s="391"/>
      <c r="NIS1598" s="390"/>
      <c r="NIT1598" s="391"/>
      <c r="NIU1598" s="390"/>
      <c r="NIV1598" s="391"/>
      <c r="NIW1598" s="390"/>
      <c r="NIX1598" s="391"/>
      <c r="NIY1598" s="390"/>
      <c r="NIZ1598" s="391"/>
      <c r="NJA1598" s="390"/>
      <c r="NJB1598" s="391"/>
      <c r="NJC1598" s="390"/>
      <c r="NJD1598" s="391"/>
      <c r="NJE1598" s="390"/>
      <c r="NJF1598" s="391"/>
      <c r="NJG1598" s="390"/>
      <c r="NJH1598" s="391"/>
      <c r="NJI1598" s="390"/>
      <c r="NJJ1598" s="391"/>
      <c r="NJK1598" s="390"/>
      <c r="NJL1598" s="391"/>
      <c r="NJM1598" s="390"/>
      <c r="NJN1598" s="391"/>
      <c r="NJO1598" s="390"/>
      <c r="NJP1598" s="391"/>
      <c r="NJQ1598" s="390"/>
      <c r="NJR1598" s="391"/>
      <c r="NJS1598" s="390"/>
      <c r="NJT1598" s="391"/>
      <c r="NJU1598" s="390"/>
      <c r="NJV1598" s="391"/>
      <c r="NJW1598" s="390"/>
      <c r="NJX1598" s="391"/>
      <c r="NJY1598" s="390"/>
      <c r="NJZ1598" s="391"/>
      <c r="NKA1598" s="390"/>
      <c r="NKB1598" s="391"/>
      <c r="NKC1598" s="390"/>
      <c r="NKD1598" s="391"/>
      <c r="NKE1598" s="390"/>
      <c r="NKF1598" s="391"/>
      <c r="NKG1598" s="390"/>
      <c r="NKH1598" s="391"/>
      <c r="NKI1598" s="390"/>
      <c r="NKJ1598" s="391"/>
      <c r="NKK1598" s="390"/>
      <c r="NKL1598" s="391"/>
      <c r="NKM1598" s="390"/>
      <c r="NKN1598" s="391"/>
      <c r="NKO1598" s="390"/>
      <c r="NKP1598" s="391"/>
      <c r="NKQ1598" s="390"/>
      <c r="NKR1598" s="391"/>
      <c r="NKS1598" s="390"/>
      <c r="NKT1598" s="391"/>
      <c r="NKU1598" s="390"/>
      <c r="NKV1598" s="391"/>
      <c r="NKW1598" s="390"/>
      <c r="NKX1598" s="391"/>
      <c r="NKY1598" s="390"/>
      <c r="NKZ1598" s="391"/>
      <c r="NLA1598" s="390"/>
      <c r="NLB1598" s="391"/>
      <c r="NLC1598" s="390"/>
      <c r="NLD1598" s="391"/>
      <c r="NLE1598" s="390"/>
      <c r="NLF1598" s="391"/>
      <c r="NLG1598" s="390"/>
      <c r="NLH1598" s="391"/>
      <c r="NLI1598" s="390"/>
      <c r="NLJ1598" s="391"/>
      <c r="NLK1598" s="390"/>
      <c r="NLL1598" s="391"/>
      <c r="NLM1598" s="390"/>
      <c r="NLN1598" s="391"/>
      <c r="NLO1598" s="390"/>
      <c r="NLP1598" s="391"/>
      <c r="NLQ1598" s="390"/>
      <c r="NLR1598" s="391"/>
      <c r="NLS1598" s="390"/>
      <c r="NLT1598" s="391"/>
      <c r="NLU1598" s="390"/>
      <c r="NLV1598" s="391"/>
      <c r="NLW1598" s="390"/>
      <c r="NLX1598" s="391"/>
      <c r="NLY1598" s="390"/>
      <c r="NLZ1598" s="391"/>
      <c r="NMA1598" s="390"/>
      <c r="NMB1598" s="391"/>
      <c r="NMC1598" s="390"/>
      <c r="NMD1598" s="391"/>
      <c r="NME1598" s="390"/>
      <c r="NMF1598" s="391"/>
      <c r="NMG1598" s="390"/>
      <c r="NMH1598" s="391"/>
      <c r="NMI1598" s="390"/>
      <c r="NMJ1598" s="391"/>
      <c r="NMK1598" s="390"/>
      <c r="NML1598" s="391"/>
      <c r="NMM1598" s="390"/>
      <c r="NMN1598" s="391"/>
      <c r="NMO1598" s="390"/>
      <c r="NMP1598" s="391"/>
      <c r="NMQ1598" s="390"/>
      <c r="NMR1598" s="391"/>
      <c r="NMS1598" s="390"/>
      <c r="NMT1598" s="391"/>
      <c r="NMU1598" s="390"/>
      <c r="NMV1598" s="391"/>
      <c r="NMW1598" s="390"/>
      <c r="NMX1598" s="391"/>
      <c r="NMY1598" s="390"/>
      <c r="NMZ1598" s="391"/>
      <c r="NNA1598" s="390"/>
      <c r="NNB1598" s="391"/>
      <c r="NNC1598" s="390"/>
      <c r="NND1598" s="391"/>
      <c r="NNE1598" s="390"/>
      <c r="NNF1598" s="391"/>
      <c r="NNG1598" s="390"/>
      <c r="NNH1598" s="391"/>
      <c r="NNI1598" s="390"/>
      <c r="NNJ1598" s="391"/>
      <c r="NNK1598" s="390"/>
      <c r="NNL1598" s="391"/>
      <c r="NNM1598" s="390"/>
      <c r="NNN1598" s="391"/>
      <c r="NNO1598" s="390"/>
      <c r="NNP1598" s="391"/>
      <c r="NNQ1598" s="390"/>
      <c r="NNR1598" s="391"/>
      <c r="NNS1598" s="390"/>
      <c r="NNT1598" s="391"/>
      <c r="NNU1598" s="390"/>
      <c r="NNV1598" s="391"/>
      <c r="NNW1598" s="390"/>
      <c r="NNX1598" s="391"/>
      <c r="NNY1598" s="390"/>
      <c r="NNZ1598" s="391"/>
      <c r="NOA1598" s="390"/>
      <c r="NOB1598" s="391"/>
      <c r="NOC1598" s="390"/>
      <c r="NOD1598" s="391"/>
      <c r="NOE1598" s="390"/>
      <c r="NOF1598" s="391"/>
      <c r="NOG1598" s="390"/>
      <c r="NOH1598" s="391"/>
      <c r="NOI1598" s="390"/>
      <c r="NOJ1598" s="391"/>
      <c r="NOK1598" s="390"/>
      <c r="NOL1598" s="391"/>
      <c r="NOM1598" s="390"/>
      <c r="NON1598" s="391"/>
      <c r="NOO1598" s="390"/>
      <c r="NOP1598" s="391"/>
      <c r="NOQ1598" s="390"/>
      <c r="NOR1598" s="391"/>
      <c r="NOS1598" s="390"/>
      <c r="NOT1598" s="391"/>
      <c r="NOU1598" s="390"/>
      <c r="NOV1598" s="391"/>
      <c r="NOW1598" s="390"/>
      <c r="NOX1598" s="391"/>
      <c r="NOY1598" s="390"/>
      <c r="NOZ1598" s="391"/>
      <c r="NPA1598" s="390"/>
      <c r="NPB1598" s="391"/>
      <c r="NPC1598" s="390"/>
      <c r="NPD1598" s="391"/>
      <c r="NPE1598" s="390"/>
      <c r="NPF1598" s="391"/>
      <c r="NPG1598" s="390"/>
      <c r="NPH1598" s="391"/>
      <c r="NPI1598" s="390"/>
      <c r="NPJ1598" s="391"/>
      <c r="NPK1598" s="390"/>
      <c r="NPL1598" s="391"/>
      <c r="NPM1598" s="390"/>
      <c r="NPN1598" s="391"/>
      <c r="NPO1598" s="390"/>
      <c r="NPP1598" s="391"/>
      <c r="NPQ1598" s="390"/>
      <c r="NPR1598" s="391"/>
      <c r="NPS1598" s="390"/>
      <c r="NPT1598" s="391"/>
      <c r="NPU1598" s="390"/>
      <c r="NPV1598" s="391"/>
      <c r="NPW1598" s="390"/>
      <c r="NPX1598" s="391"/>
      <c r="NPY1598" s="390"/>
      <c r="NPZ1598" s="391"/>
      <c r="NQA1598" s="390"/>
      <c r="NQB1598" s="391"/>
      <c r="NQC1598" s="390"/>
      <c r="NQD1598" s="391"/>
      <c r="NQE1598" s="390"/>
      <c r="NQF1598" s="391"/>
      <c r="NQG1598" s="390"/>
      <c r="NQH1598" s="391"/>
      <c r="NQI1598" s="390"/>
      <c r="NQJ1598" s="391"/>
      <c r="NQK1598" s="390"/>
      <c r="NQL1598" s="391"/>
      <c r="NQM1598" s="390"/>
      <c r="NQN1598" s="391"/>
      <c r="NQO1598" s="390"/>
      <c r="NQP1598" s="391"/>
      <c r="NQQ1598" s="390"/>
      <c r="NQR1598" s="391"/>
      <c r="NQS1598" s="390"/>
      <c r="NQT1598" s="391"/>
      <c r="NQU1598" s="390"/>
      <c r="NQV1598" s="391"/>
      <c r="NQW1598" s="390"/>
      <c r="NQX1598" s="391"/>
      <c r="NQY1598" s="390"/>
      <c r="NQZ1598" s="391"/>
      <c r="NRA1598" s="390"/>
      <c r="NRB1598" s="391"/>
      <c r="NRC1598" s="390"/>
      <c r="NRD1598" s="391"/>
      <c r="NRE1598" s="390"/>
      <c r="NRF1598" s="391"/>
      <c r="NRG1598" s="390"/>
      <c r="NRH1598" s="391"/>
      <c r="NRI1598" s="390"/>
      <c r="NRJ1598" s="391"/>
      <c r="NRK1598" s="390"/>
      <c r="NRL1598" s="391"/>
      <c r="NRM1598" s="390"/>
      <c r="NRN1598" s="391"/>
      <c r="NRO1598" s="390"/>
      <c r="NRP1598" s="391"/>
      <c r="NRQ1598" s="390"/>
      <c r="NRR1598" s="391"/>
      <c r="NRS1598" s="390"/>
      <c r="NRT1598" s="391"/>
      <c r="NRU1598" s="390"/>
      <c r="NRV1598" s="391"/>
      <c r="NRW1598" s="390"/>
      <c r="NRX1598" s="391"/>
      <c r="NRY1598" s="390"/>
      <c r="NRZ1598" s="391"/>
      <c r="NSA1598" s="390"/>
      <c r="NSB1598" s="391"/>
      <c r="NSC1598" s="390"/>
      <c r="NSD1598" s="391"/>
      <c r="NSE1598" s="390"/>
      <c r="NSF1598" s="391"/>
      <c r="NSG1598" s="390"/>
      <c r="NSH1598" s="391"/>
      <c r="NSI1598" s="390"/>
      <c r="NSJ1598" s="391"/>
      <c r="NSK1598" s="390"/>
      <c r="NSL1598" s="391"/>
      <c r="NSM1598" s="390"/>
      <c r="NSN1598" s="391"/>
      <c r="NSO1598" s="390"/>
      <c r="NSP1598" s="391"/>
      <c r="NSQ1598" s="390"/>
      <c r="NSR1598" s="391"/>
      <c r="NSS1598" s="390"/>
      <c r="NST1598" s="391"/>
      <c r="NSU1598" s="390"/>
      <c r="NSV1598" s="391"/>
      <c r="NSW1598" s="390"/>
      <c r="NSX1598" s="391"/>
      <c r="NSY1598" s="390"/>
      <c r="NSZ1598" s="391"/>
      <c r="NTA1598" s="390"/>
      <c r="NTB1598" s="391"/>
      <c r="NTC1598" s="390"/>
      <c r="NTD1598" s="391"/>
      <c r="NTE1598" s="390"/>
      <c r="NTF1598" s="391"/>
      <c r="NTG1598" s="390"/>
      <c r="NTH1598" s="391"/>
      <c r="NTI1598" s="390"/>
      <c r="NTJ1598" s="391"/>
      <c r="NTK1598" s="390"/>
      <c r="NTL1598" s="391"/>
      <c r="NTM1598" s="390"/>
      <c r="NTN1598" s="391"/>
      <c r="NTO1598" s="390"/>
      <c r="NTP1598" s="391"/>
      <c r="NTQ1598" s="390"/>
      <c r="NTR1598" s="391"/>
      <c r="NTS1598" s="390"/>
      <c r="NTT1598" s="391"/>
      <c r="NTU1598" s="390"/>
      <c r="NTV1598" s="391"/>
      <c r="NTW1598" s="390"/>
      <c r="NTX1598" s="391"/>
      <c r="NTY1598" s="390"/>
      <c r="NTZ1598" s="391"/>
      <c r="NUA1598" s="390"/>
      <c r="NUB1598" s="391"/>
      <c r="NUC1598" s="390"/>
      <c r="NUD1598" s="391"/>
      <c r="NUE1598" s="390"/>
      <c r="NUF1598" s="391"/>
      <c r="NUG1598" s="390"/>
      <c r="NUH1598" s="391"/>
      <c r="NUI1598" s="390"/>
      <c r="NUJ1598" s="391"/>
      <c r="NUK1598" s="390"/>
      <c r="NUL1598" s="391"/>
      <c r="NUM1598" s="390"/>
      <c r="NUN1598" s="391"/>
      <c r="NUO1598" s="390"/>
      <c r="NUP1598" s="391"/>
      <c r="NUQ1598" s="390"/>
      <c r="NUR1598" s="391"/>
      <c r="NUS1598" s="390"/>
      <c r="NUT1598" s="391"/>
      <c r="NUU1598" s="390"/>
      <c r="NUV1598" s="391"/>
      <c r="NUW1598" s="390"/>
      <c r="NUX1598" s="391"/>
      <c r="NUY1598" s="390"/>
      <c r="NUZ1598" s="391"/>
      <c r="NVA1598" s="390"/>
      <c r="NVB1598" s="391"/>
      <c r="NVC1598" s="390"/>
      <c r="NVD1598" s="391"/>
      <c r="NVE1598" s="390"/>
      <c r="NVF1598" s="391"/>
      <c r="NVG1598" s="390"/>
      <c r="NVH1598" s="391"/>
      <c r="NVI1598" s="390"/>
      <c r="NVJ1598" s="391"/>
      <c r="NVK1598" s="390"/>
      <c r="NVL1598" s="391"/>
      <c r="NVM1598" s="390"/>
      <c r="NVN1598" s="391"/>
      <c r="NVO1598" s="390"/>
      <c r="NVP1598" s="391"/>
      <c r="NVQ1598" s="390"/>
      <c r="NVR1598" s="391"/>
      <c r="NVS1598" s="390"/>
      <c r="NVT1598" s="391"/>
      <c r="NVU1598" s="390"/>
      <c r="NVV1598" s="391"/>
      <c r="NVW1598" s="390"/>
      <c r="NVX1598" s="391"/>
      <c r="NVY1598" s="390"/>
      <c r="NVZ1598" s="391"/>
      <c r="NWA1598" s="390"/>
      <c r="NWB1598" s="391"/>
      <c r="NWC1598" s="390"/>
      <c r="NWD1598" s="391"/>
      <c r="NWE1598" s="390"/>
      <c r="NWF1598" s="391"/>
      <c r="NWG1598" s="390"/>
      <c r="NWH1598" s="391"/>
      <c r="NWI1598" s="390"/>
      <c r="NWJ1598" s="391"/>
      <c r="NWK1598" s="390"/>
      <c r="NWL1598" s="391"/>
      <c r="NWM1598" s="390"/>
      <c r="NWN1598" s="391"/>
      <c r="NWO1598" s="390"/>
      <c r="NWP1598" s="391"/>
      <c r="NWQ1598" s="390"/>
      <c r="NWR1598" s="391"/>
      <c r="NWS1598" s="390"/>
      <c r="NWT1598" s="391"/>
      <c r="NWU1598" s="390"/>
      <c r="NWV1598" s="391"/>
      <c r="NWW1598" s="390"/>
      <c r="NWX1598" s="391"/>
      <c r="NWY1598" s="390"/>
      <c r="NWZ1598" s="391"/>
      <c r="NXA1598" s="390"/>
      <c r="NXB1598" s="391"/>
      <c r="NXC1598" s="390"/>
      <c r="NXD1598" s="391"/>
      <c r="NXE1598" s="390"/>
      <c r="NXF1598" s="391"/>
      <c r="NXG1598" s="390"/>
      <c r="NXH1598" s="391"/>
      <c r="NXI1598" s="390"/>
      <c r="NXJ1598" s="391"/>
      <c r="NXK1598" s="390"/>
      <c r="NXL1598" s="391"/>
      <c r="NXM1598" s="390"/>
      <c r="NXN1598" s="391"/>
      <c r="NXO1598" s="390"/>
      <c r="NXP1598" s="391"/>
      <c r="NXQ1598" s="390"/>
      <c r="NXR1598" s="391"/>
      <c r="NXS1598" s="390"/>
      <c r="NXT1598" s="391"/>
      <c r="NXU1598" s="390"/>
      <c r="NXV1598" s="391"/>
      <c r="NXW1598" s="390"/>
      <c r="NXX1598" s="391"/>
      <c r="NXY1598" s="390"/>
      <c r="NXZ1598" s="391"/>
      <c r="NYA1598" s="390"/>
      <c r="NYB1598" s="391"/>
      <c r="NYC1598" s="390"/>
      <c r="NYD1598" s="391"/>
      <c r="NYE1598" s="390"/>
      <c r="NYF1598" s="391"/>
      <c r="NYG1598" s="390"/>
      <c r="NYH1598" s="391"/>
      <c r="NYI1598" s="390"/>
      <c r="NYJ1598" s="391"/>
      <c r="NYK1598" s="390"/>
      <c r="NYL1598" s="391"/>
      <c r="NYM1598" s="390"/>
      <c r="NYN1598" s="391"/>
      <c r="NYO1598" s="390"/>
      <c r="NYP1598" s="391"/>
      <c r="NYQ1598" s="390"/>
      <c r="NYR1598" s="391"/>
      <c r="NYS1598" s="390"/>
      <c r="NYT1598" s="391"/>
      <c r="NYU1598" s="390"/>
      <c r="NYV1598" s="391"/>
      <c r="NYW1598" s="390"/>
      <c r="NYX1598" s="391"/>
      <c r="NYY1598" s="390"/>
      <c r="NYZ1598" s="391"/>
      <c r="NZA1598" s="390"/>
      <c r="NZB1598" s="391"/>
      <c r="NZC1598" s="390"/>
      <c r="NZD1598" s="391"/>
      <c r="NZE1598" s="390"/>
      <c r="NZF1598" s="391"/>
      <c r="NZG1598" s="390"/>
      <c r="NZH1598" s="391"/>
      <c r="NZI1598" s="390"/>
      <c r="NZJ1598" s="391"/>
      <c r="NZK1598" s="390"/>
      <c r="NZL1598" s="391"/>
      <c r="NZM1598" s="390"/>
      <c r="NZN1598" s="391"/>
      <c r="NZO1598" s="390"/>
      <c r="NZP1598" s="391"/>
      <c r="NZQ1598" s="390"/>
      <c r="NZR1598" s="391"/>
      <c r="NZS1598" s="390"/>
      <c r="NZT1598" s="391"/>
      <c r="NZU1598" s="390"/>
      <c r="NZV1598" s="391"/>
      <c r="NZW1598" s="390"/>
      <c r="NZX1598" s="391"/>
      <c r="NZY1598" s="390"/>
      <c r="NZZ1598" s="391"/>
      <c r="OAA1598" s="390"/>
      <c r="OAB1598" s="391"/>
      <c r="OAC1598" s="390"/>
      <c r="OAD1598" s="391"/>
      <c r="OAE1598" s="390"/>
      <c r="OAF1598" s="391"/>
      <c r="OAG1598" s="390"/>
      <c r="OAH1598" s="391"/>
      <c r="OAI1598" s="390"/>
      <c r="OAJ1598" s="391"/>
      <c r="OAK1598" s="390"/>
      <c r="OAL1598" s="391"/>
      <c r="OAM1598" s="390"/>
      <c r="OAN1598" s="391"/>
      <c r="OAO1598" s="390"/>
      <c r="OAP1598" s="391"/>
      <c r="OAQ1598" s="390"/>
      <c r="OAR1598" s="391"/>
      <c r="OAS1598" s="390"/>
      <c r="OAT1598" s="391"/>
      <c r="OAU1598" s="390"/>
      <c r="OAV1598" s="391"/>
      <c r="OAW1598" s="390"/>
      <c r="OAX1598" s="391"/>
      <c r="OAY1598" s="390"/>
      <c r="OAZ1598" s="391"/>
      <c r="OBA1598" s="390"/>
      <c r="OBB1598" s="391"/>
      <c r="OBC1598" s="390"/>
      <c r="OBD1598" s="391"/>
      <c r="OBE1598" s="390"/>
      <c r="OBF1598" s="391"/>
      <c r="OBG1598" s="390"/>
      <c r="OBH1598" s="391"/>
      <c r="OBI1598" s="390"/>
      <c r="OBJ1598" s="391"/>
      <c r="OBK1598" s="390"/>
      <c r="OBL1598" s="391"/>
      <c r="OBM1598" s="390"/>
      <c r="OBN1598" s="391"/>
      <c r="OBO1598" s="390"/>
      <c r="OBP1598" s="391"/>
      <c r="OBQ1598" s="390"/>
      <c r="OBR1598" s="391"/>
      <c r="OBS1598" s="390"/>
      <c r="OBT1598" s="391"/>
      <c r="OBU1598" s="390"/>
      <c r="OBV1598" s="391"/>
      <c r="OBW1598" s="390"/>
      <c r="OBX1598" s="391"/>
      <c r="OBY1598" s="390"/>
      <c r="OBZ1598" s="391"/>
      <c r="OCA1598" s="390"/>
      <c r="OCB1598" s="391"/>
      <c r="OCC1598" s="390"/>
      <c r="OCD1598" s="391"/>
      <c r="OCE1598" s="390"/>
      <c r="OCF1598" s="391"/>
      <c r="OCG1598" s="390"/>
      <c r="OCH1598" s="391"/>
      <c r="OCI1598" s="390"/>
      <c r="OCJ1598" s="391"/>
      <c r="OCK1598" s="390"/>
      <c r="OCL1598" s="391"/>
      <c r="OCM1598" s="390"/>
      <c r="OCN1598" s="391"/>
      <c r="OCO1598" s="390"/>
      <c r="OCP1598" s="391"/>
      <c r="OCQ1598" s="390"/>
      <c r="OCR1598" s="391"/>
      <c r="OCS1598" s="390"/>
      <c r="OCT1598" s="391"/>
      <c r="OCU1598" s="390"/>
      <c r="OCV1598" s="391"/>
      <c r="OCW1598" s="390"/>
      <c r="OCX1598" s="391"/>
      <c r="OCY1598" s="390"/>
      <c r="OCZ1598" s="391"/>
      <c r="ODA1598" s="390"/>
      <c r="ODB1598" s="391"/>
      <c r="ODC1598" s="390"/>
      <c r="ODD1598" s="391"/>
      <c r="ODE1598" s="390"/>
      <c r="ODF1598" s="391"/>
      <c r="ODG1598" s="390"/>
      <c r="ODH1598" s="391"/>
      <c r="ODI1598" s="390"/>
      <c r="ODJ1598" s="391"/>
      <c r="ODK1598" s="390"/>
      <c r="ODL1598" s="391"/>
      <c r="ODM1598" s="390"/>
      <c r="ODN1598" s="391"/>
      <c r="ODO1598" s="390"/>
      <c r="ODP1598" s="391"/>
      <c r="ODQ1598" s="390"/>
      <c r="ODR1598" s="391"/>
      <c r="ODS1598" s="390"/>
      <c r="ODT1598" s="391"/>
      <c r="ODU1598" s="390"/>
      <c r="ODV1598" s="391"/>
      <c r="ODW1598" s="390"/>
      <c r="ODX1598" s="391"/>
      <c r="ODY1598" s="390"/>
      <c r="ODZ1598" s="391"/>
      <c r="OEA1598" s="390"/>
      <c r="OEB1598" s="391"/>
      <c r="OEC1598" s="390"/>
      <c r="OED1598" s="391"/>
      <c r="OEE1598" s="390"/>
      <c r="OEF1598" s="391"/>
      <c r="OEG1598" s="390"/>
      <c r="OEH1598" s="391"/>
      <c r="OEI1598" s="390"/>
      <c r="OEJ1598" s="391"/>
      <c r="OEK1598" s="390"/>
      <c r="OEL1598" s="391"/>
      <c r="OEM1598" s="390"/>
      <c r="OEN1598" s="391"/>
      <c r="OEO1598" s="390"/>
      <c r="OEP1598" s="391"/>
      <c r="OEQ1598" s="390"/>
      <c r="OER1598" s="391"/>
      <c r="OES1598" s="390"/>
      <c r="OET1598" s="391"/>
      <c r="OEU1598" s="390"/>
      <c r="OEV1598" s="391"/>
      <c r="OEW1598" s="390"/>
      <c r="OEX1598" s="391"/>
      <c r="OEY1598" s="390"/>
      <c r="OEZ1598" s="391"/>
      <c r="OFA1598" s="390"/>
      <c r="OFB1598" s="391"/>
      <c r="OFC1598" s="390"/>
      <c r="OFD1598" s="391"/>
      <c r="OFE1598" s="390"/>
      <c r="OFF1598" s="391"/>
      <c r="OFG1598" s="390"/>
      <c r="OFH1598" s="391"/>
      <c r="OFI1598" s="390"/>
      <c r="OFJ1598" s="391"/>
      <c r="OFK1598" s="390"/>
      <c r="OFL1598" s="391"/>
      <c r="OFM1598" s="390"/>
      <c r="OFN1598" s="391"/>
      <c r="OFO1598" s="390"/>
      <c r="OFP1598" s="391"/>
      <c r="OFQ1598" s="390"/>
      <c r="OFR1598" s="391"/>
      <c r="OFS1598" s="390"/>
      <c r="OFT1598" s="391"/>
      <c r="OFU1598" s="390"/>
      <c r="OFV1598" s="391"/>
      <c r="OFW1598" s="390"/>
      <c r="OFX1598" s="391"/>
      <c r="OFY1598" s="390"/>
      <c r="OFZ1598" s="391"/>
      <c r="OGA1598" s="390"/>
      <c r="OGB1598" s="391"/>
      <c r="OGC1598" s="390"/>
      <c r="OGD1598" s="391"/>
      <c r="OGE1598" s="390"/>
      <c r="OGF1598" s="391"/>
      <c r="OGG1598" s="390"/>
      <c r="OGH1598" s="391"/>
      <c r="OGI1598" s="390"/>
      <c r="OGJ1598" s="391"/>
      <c r="OGK1598" s="390"/>
      <c r="OGL1598" s="391"/>
      <c r="OGM1598" s="390"/>
      <c r="OGN1598" s="391"/>
      <c r="OGO1598" s="390"/>
      <c r="OGP1598" s="391"/>
      <c r="OGQ1598" s="390"/>
      <c r="OGR1598" s="391"/>
      <c r="OGS1598" s="390"/>
      <c r="OGT1598" s="391"/>
      <c r="OGU1598" s="390"/>
      <c r="OGV1598" s="391"/>
      <c r="OGW1598" s="390"/>
      <c r="OGX1598" s="391"/>
      <c r="OGY1598" s="390"/>
      <c r="OGZ1598" s="391"/>
      <c r="OHA1598" s="390"/>
      <c r="OHB1598" s="391"/>
      <c r="OHC1598" s="390"/>
      <c r="OHD1598" s="391"/>
      <c r="OHE1598" s="390"/>
      <c r="OHF1598" s="391"/>
      <c r="OHG1598" s="390"/>
      <c r="OHH1598" s="391"/>
      <c r="OHI1598" s="390"/>
      <c r="OHJ1598" s="391"/>
      <c r="OHK1598" s="390"/>
      <c r="OHL1598" s="391"/>
      <c r="OHM1598" s="390"/>
      <c r="OHN1598" s="391"/>
      <c r="OHO1598" s="390"/>
      <c r="OHP1598" s="391"/>
      <c r="OHQ1598" s="390"/>
      <c r="OHR1598" s="391"/>
      <c r="OHS1598" s="390"/>
      <c r="OHT1598" s="391"/>
      <c r="OHU1598" s="390"/>
      <c r="OHV1598" s="391"/>
      <c r="OHW1598" s="390"/>
      <c r="OHX1598" s="391"/>
      <c r="OHY1598" s="390"/>
      <c r="OHZ1598" s="391"/>
      <c r="OIA1598" s="390"/>
      <c r="OIB1598" s="391"/>
      <c r="OIC1598" s="390"/>
      <c r="OID1598" s="391"/>
      <c r="OIE1598" s="390"/>
      <c r="OIF1598" s="391"/>
      <c r="OIG1598" s="390"/>
      <c r="OIH1598" s="391"/>
      <c r="OII1598" s="390"/>
      <c r="OIJ1598" s="391"/>
      <c r="OIK1598" s="390"/>
      <c r="OIL1598" s="391"/>
      <c r="OIM1598" s="390"/>
      <c r="OIN1598" s="391"/>
      <c r="OIO1598" s="390"/>
      <c r="OIP1598" s="391"/>
      <c r="OIQ1598" s="390"/>
      <c r="OIR1598" s="391"/>
      <c r="OIS1598" s="390"/>
      <c r="OIT1598" s="391"/>
      <c r="OIU1598" s="390"/>
      <c r="OIV1598" s="391"/>
      <c r="OIW1598" s="390"/>
      <c r="OIX1598" s="391"/>
      <c r="OIY1598" s="390"/>
      <c r="OIZ1598" s="391"/>
      <c r="OJA1598" s="390"/>
      <c r="OJB1598" s="391"/>
      <c r="OJC1598" s="390"/>
      <c r="OJD1598" s="391"/>
      <c r="OJE1598" s="390"/>
      <c r="OJF1598" s="391"/>
      <c r="OJG1598" s="390"/>
      <c r="OJH1598" s="391"/>
      <c r="OJI1598" s="390"/>
      <c r="OJJ1598" s="391"/>
      <c r="OJK1598" s="390"/>
      <c r="OJL1598" s="391"/>
      <c r="OJM1598" s="390"/>
      <c r="OJN1598" s="391"/>
      <c r="OJO1598" s="390"/>
      <c r="OJP1598" s="391"/>
      <c r="OJQ1598" s="390"/>
      <c r="OJR1598" s="391"/>
      <c r="OJS1598" s="390"/>
      <c r="OJT1598" s="391"/>
      <c r="OJU1598" s="390"/>
      <c r="OJV1598" s="391"/>
      <c r="OJW1598" s="390"/>
      <c r="OJX1598" s="391"/>
      <c r="OJY1598" s="390"/>
      <c r="OJZ1598" s="391"/>
      <c r="OKA1598" s="390"/>
      <c r="OKB1598" s="391"/>
      <c r="OKC1598" s="390"/>
      <c r="OKD1598" s="391"/>
      <c r="OKE1598" s="390"/>
      <c r="OKF1598" s="391"/>
      <c r="OKG1598" s="390"/>
      <c r="OKH1598" s="391"/>
      <c r="OKI1598" s="390"/>
      <c r="OKJ1598" s="391"/>
      <c r="OKK1598" s="390"/>
      <c r="OKL1598" s="391"/>
      <c r="OKM1598" s="390"/>
      <c r="OKN1598" s="391"/>
      <c r="OKO1598" s="390"/>
      <c r="OKP1598" s="391"/>
      <c r="OKQ1598" s="390"/>
      <c r="OKR1598" s="391"/>
      <c r="OKS1598" s="390"/>
      <c r="OKT1598" s="391"/>
      <c r="OKU1598" s="390"/>
      <c r="OKV1598" s="391"/>
      <c r="OKW1598" s="390"/>
      <c r="OKX1598" s="391"/>
      <c r="OKY1598" s="390"/>
      <c r="OKZ1598" s="391"/>
      <c r="OLA1598" s="390"/>
      <c r="OLB1598" s="391"/>
      <c r="OLC1598" s="390"/>
      <c r="OLD1598" s="391"/>
      <c r="OLE1598" s="390"/>
      <c r="OLF1598" s="391"/>
      <c r="OLG1598" s="390"/>
      <c r="OLH1598" s="391"/>
      <c r="OLI1598" s="390"/>
      <c r="OLJ1598" s="391"/>
      <c r="OLK1598" s="390"/>
      <c r="OLL1598" s="391"/>
      <c r="OLM1598" s="390"/>
      <c r="OLN1598" s="391"/>
      <c r="OLO1598" s="390"/>
      <c r="OLP1598" s="391"/>
      <c r="OLQ1598" s="390"/>
      <c r="OLR1598" s="391"/>
      <c r="OLS1598" s="390"/>
      <c r="OLT1598" s="391"/>
      <c r="OLU1598" s="390"/>
      <c r="OLV1598" s="391"/>
      <c r="OLW1598" s="390"/>
      <c r="OLX1598" s="391"/>
      <c r="OLY1598" s="390"/>
      <c r="OLZ1598" s="391"/>
      <c r="OMA1598" s="390"/>
      <c r="OMB1598" s="391"/>
      <c r="OMC1598" s="390"/>
      <c r="OMD1598" s="391"/>
      <c r="OME1598" s="390"/>
      <c r="OMF1598" s="391"/>
      <c r="OMG1598" s="390"/>
      <c r="OMH1598" s="391"/>
      <c r="OMI1598" s="390"/>
      <c r="OMJ1598" s="391"/>
      <c r="OMK1598" s="390"/>
      <c r="OML1598" s="391"/>
      <c r="OMM1598" s="390"/>
      <c r="OMN1598" s="391"/>
      <c r="OMO1598" s="390"/>
      <c r="OMP1598" s="391"/>
      <c r="OMQ1598" s="390"/>
      <c r="OMR1598" s="391"/>
      <c r="OMS1598" s="390"/>
      <c r="OMT1598" s="391"/>
      <c r="OMU1598" s="390"/>
      <c r="OMV1598" s="391"/>
      <c r="OMW1598" s="390"/>
      <c r="OMX1598" s="391"/>
      <c r="OMY1598" s="390"/>
      <c r="OMZ1598" s="391"/>
      <c r="ONA1598" s="390"/>
      <c r="ONB1598" s="391"/>
      <c r="ONC1598" s="390"/>
      <c r="OND1598" s="391"/>
      <c r="ONE1598" s="390"/>
      <c r="ONF1598" s="391"/>
      <c r="ONG1598" s="390"/>
      <c r="ONH1598" s="391"/>
      <c r="ONI1598" s="390"/>
      <c r="ONJ1598" s="391"/>
      <c r="ONK1598" s="390"/>
      <c r="ONL1598" s="391"/>
      <c r="ONM1598" s="390"/>
      <c r="ONN1598" s="391"/>
      <c r="ONO1598" s="390"/>
      <c r="ONP1598" s="391"/>
      <c r="ONQ1598" s="390"/>
      <c r="ONR1598" s="391"/>
      <c r="ONS1598" s="390"/>
      <c r="ONT1598" s="391"/>
      <c r="ONU1598" s="390"/>
      <c r="ONV1598" s="391"/>
      <c r="ONW1598" s="390"/>
      <c r="ONX1598" s="391"/>
      <c r="ONY1598" s="390"/>
      <c r="ONZ1598" s="391"/>
      <c r="OOA1598" s="390"/>
      <c r="OOB1598" s="391"/>
      <c r="OOC1598" s="390"/>
      <c r="OOD1598" s="391"/>
      <c r="OOE1598" s="390"/>
      <c r="OOF1598" s="391"/>
      <c r="OOG1598" s="390"/>
      <c r="OOH1598" s="391"/>
      <c r="OOI1598" s="390"/>
      <c r="OOJ1598" s="391"/>
      <c r="OOK1598" s="390"/>
      <c r="OOL1598" s="391"/>
      <c r="OOM1598" s="390"/>
      <c r="OON1598" s="391"/>
      <c r="OOO1598" s="390"/>
      <c r="OOP1598" s="391"/>
      <c r="OOQ1598" s="390"/>
      <c r="OOR1598" s="391"/>
      <c r="OOS1598" s="390"/>
      <c r="OOT1598" s="391"/>
      <c r="OOU1598" s="390"/>
      <c r="OOV1598" s="391"/>
      <c r="OOW1598" s="390"/>
      <c r="OOX1598" s="391"/>
      <c r="OOY1598" s="390"/>
      <c r="OOZ1598" s="391"/>
      <c r="OPA1598" s="390"/>
      <c r="OPB1598" s="391"/>
      <c r="OPC1598" s="390"/>
      <c r="OPD1598" s="391"/>
      <c r="OPE1598" s="390"/>
      <c r="OPF1598" s="391"/>
      <c r="OPG1598" s="390"/>
      <c r="OPH1598" s="391"/>
      <c r="OPI1598" s="390"/>
      <c r="OPJ1598" s="391"/>
      <c r="OPK1598" s="390"/>
      <c r="OPL1598" s="391"/>
      <c r="OPM1598" s="390"/>
      <c r="OPN1598" s="391"/>
      <c r="OPO1598" s="390"/>
      <c r="OPP1598" s="391"/>
      <c r="OPQ1598" s="390"/>
      <c r="OPR1598" s="391"/>
      <c r="OPS1598" s="390"/>
      <c r="OPT1598" s="391"/>
      <c r="OPU1598" s="390"/>
      <c r="OPV1598" s="391"/>
      <c r="OPW1598" s="390"/>
      <c r="OPX1598" s="391"/>
      <c r="OPY1598" s="390"/>
      <c r="OPZ1598" s="391"/>
      <c r="OQA1598" s="390"/>
      <c r="OQB1598" s="391"/>
      <c r="OQC1598" s="390"/>
      <c r="OQD1598" s="391"/>
      <c r="OQE1598" s="390"/>
      <c r="OQF1598" s="391"/>
      <c r="OQG1598" s="390"/>
      <c r="OQH1598" s="391"/>
      <c r="OQI1598" s="390"/>
      <c r="OQJ1598" s="391"/>
      <c r="OQK1598" s="390"/>
      <c r="OQL1598" s="391"/>
      <c r="OQM1598" s="390"/>
      <c r="OQN1598" s="391"/>
      <c r="OQO1598" s="390"/>
      <c r="OQP1598" s="391"/>
      <c r="OQQ1598" s="390"/>
      <c r="OQR1598" s="391"/>
      <c r="OQS1598" s="390"/>
      <c r="OQT1598" s="391"/>
      <c r="OQU1598" s="390"/>
      <c r="OQV1598" s="391"/>
      <c r="OQW1598" s="390"/>
      <c r="OQX1598" s="391"/>
      <c r="OQY1598" s="390"/>
      <c r="OQZ1598" s="391"/>
      <c r="ORA1598" s="390"/>
      <c r="ORB1598" s="391"/>
      <c r="ORC1598" s="390"/>
      <c r="ORD1598" s="391"/>
      <c r="ORE1598" s="390"/>
      <c r="ORF1598" s="391"/>
      <c r="ORG1598" s="390"/>
      <c r="ORH1598" s="391"/>
      <c r="ORI1598" s="390"/>
      <c r="ORJ1598" s="391"/>
      <c r="ORK1598" s="390"/>
      <c r="ORL1598" s="391"/>
      <c r="ORM1598" s="390"/>
      <c r="ORN1598" s="391"/>
      <c r="ORO1598" s="390"/>
      <c r="ORP1598" s="391"/>
      <c r="ORQ1598" s="390"/>
      <c r="ORR1598" s="391"/>
      <c r="ORS1598" s="390"/>
      <c r="ORT1598" s="391"/>
      <c r="ORU1598" s="390"/>
      <c r="ORV1598" s="391"/>
      <c r="ORW1598" s="390"/>
      <c r="ORX1598" s="391"/>
      <c r="ORY1598" s="390"/>
      <c r="ORZ1598" s="391"/>
      <c r="OSA1598" s="390"/>
      <c r="OSB1598" s="391"/>
      <c r="OSC1598" s="390"/>
      <c r="OSD1598" s="391"/>
      <c r="OSE1598" s="390"/>
      <c r="OSF1598" s="391"/>
      <c r="OSG1598" s="390"/>
      <c r="OSH1598" s="391"/>
      <c r="OSI1598" s="390"/>
      <c r="OSJ1598" s="391"/>
      <c r="OSK1598" s="390"/>
      <c r="OSL1598" s="391"/>
      <c r="OSM1598" s="390"/>
      <c r="OSN1598" s="391"/>
      <c r="OSO1598" s="390"/>
      <c r="OSP1598" s="391"/>
      <c r="OSQ1598" s="390"/>
      <c r="OSR1598" s="391"/>
      <c r="OSS1598" s="390"/>
      <c r="OST1598" s="391"/>
      <c r="OSU1598" s="390"/>
      <c r="OSV1598" s="391"/>
      <c r="OSW1598" s="390"/>
      <c r="OSX1598" s="391"/>
      <c r="OSY1598" s="390"/>
      <c r="OSZ1598" s="391"/>
      <c r="OTA1598" s="390"/>
      <c r="OTB1598" s="391"/>
      <c r="OTC1598" s="390"/>
      <c r="OTD1598" s="391"/>
      <c r="OTE1598" s="390"/>
      <c r="OTF1598" s="391"/>
      <c r="OTG1598" s="390"/>
      <c r="OTH1598" s="391"/>
      <c r="OTI1598" s="390"/>
      <c r="OTJ1598" s="391"/>
      <c r="OTK1598" s="390"/>
      <c r="OTL1598" s="391"/>
      <c r="OTM1598" s="390"/>
      <c r="OTN1598" s="391"/>
      <c r="OTO1598" s="390"/>
      <c r="OTP1598" s="391"/>
      <c r="OTQ1598" s="390"/>
      <c r="OTR1598" s="391"/>
      <c r="OTS1598" s="390"/>
      <c r="OTT1598" s="391"/>
      <c r="OTU1598" s="390"/>
      <c r="OTV1598" s="391"/>
      <c r="OTW1598" s="390"/>
      <c r="OTX1598" s="391"/>
      <c r="OTY1598" s="390"/>
      <c r="OTZ1598" s="391"/>
      <c r="OUA1598" s="390"/>
      <c r="OUB1598" s="391"/>
      <c r="OUC1598" s="390"/>
      <c r="OUD1598" s="391"/>
      <c r="OUE1598" s="390"/>
      <c r="OUF1598" s="391"/>
      <c r="OUG1598" s="390"/>
      <c r="OUH1598" s="391"/>
      <c r="OUI1598" s="390"/>
      <c r="OUJ1598" s="391"/>
      <c r="OUK1598" s="390"/>
      <c r="OUL1598" s="391"/>
      <c r="OUM1598" s="390"/>
      <c r="OUN1598" s="391"/>
      <c r="OUO1598" s="390"/>
      <c r="OUP1598" s="391"/>
      <c r="OUQ1598" s="390"/>
      <c r="OUR1598" s="391"/>
      <c r="OUS1598" s="390"/>
      <c r="OUT1598" s="391"/>
      <c r="OUU1598" s="390"/>
      <c r="OUV1598" s="391"/>
      <c r="OUW1598" s="390"/>
      <c r="OUX1598" s="391"/>
      <c r="OUY1598" s="390"/>
      <c r="OUZ1598" s="391"/>
      <c r="OVA1598" s="390"/>
      <c r="OVB1598" s="391"/>
      <c r="OVC1598" s="390"/>
      <c r="OVD1598" s="391"/>
      <c r="OVE1598" s="390"/>
      <c r="OVF1598" s="391"/>
      <c r="OVG1598" s="390"/>
      <c r="OVH1598" s="391"/>
      <c r="OVI1598" s="390"/>
      <c r="OVJ1598" s="391"/>
      <c r="OVK1598" s="390"/>
      <c r="OVL1598" s="391"/>
      <c r="OVM1598" s="390"/>
      <c r="OVN1598" s="391"/>
      <c r="OVO1598" s="390"/>
      <c r="OVP1598" s="391"/>
      <c r="OVQ1598" s="390"/>
      <c r="OVR1598" s="391"/>
      <c r="OVS1598" s="390"/>
      <c r="OVT1598" s="391"/>
      <c r="OVU1598" s="390"/>
      <c r="OVV1598" s="391"/>
      <c r="OVW1598" s="390"/>
      <c r="OVX1598" s="391"/>
      <c r="OVY1598" s="390"/>
      <c r="OVZ1598" s="391"/>
      <c r="OWA1598" s="390"/>
      <c r="OWB1598" s="391"/>
      <c r="OWC1598" s="390"/>
      <c r="OWD1598" s="391"/>
      <c r="OWE1598" s="390"/>
      <c r="OWF1598" s="391"/>
      <c r="OWG1598" s="390"/>
      <c r="OWH1598" s="391"/>
      <c r="OWI1598" s="390"/>
      <c r="OWJ1598" s="391"/>
      <c r="OWK1598" s="390"/>
      <c r="OWL1598" s="391"/>
      <c r="OWM1598" s="390"/>
      <c r="OWN1598" s="391"/>
      <c r="OWO1598" s="390"/>
      <c r="OWP1598" s="391"/>
      <c r="OWQ1598" s="390"/>
      <c r="OWR1598" s="391"/>
      <c r="OWS1598" s="390"/>
      <c r="OWT1598" s="391"/>
      <c r="OWU1598" s="390"/>
      <c r="OWV1598" s="391"/>
      <c r="OWW1598" s="390"/>
      <c r="OWX1598" s="391"/>
      <c r="OWY1598" s="390"/>
      <c r="OWZ1598" s="391"/>
      <c r="OXA1598" s="390"/>
      <c r="OXB1598" s="391"/>
      <c r="OXC1598" s="390"/>
      <c r="OXD1598" s="391"/>
      <c r="OXE1598" s="390"/>
      <c r="OXF1598" s="391"/>
      <c r="OXG1598" s="390"/>
      <c r="OXH1598" s="391"/>
      <c r="OXI1598" s="390"/>
      <c r="OXJ1598" s="391"/>
      <c r="OXK1598" s="390"/>
      <c r="OXL1598" s="391"/>
      <c r="OXM1598" s="390"/>
      <c r="OXN1598" s="391"/>
      <c r="OXO1598" s="390"/>
      <c r="OXP1598" s="391"/>
      <c r="OXQ1598" s="390"/>
      <c r="OXR1598" s="391"/>
      <c r="OXS1598" s="390"/>
      <c r="OXT1598" s="391"/>
      <c r="OXU1598" s="390"/>
      <c r="OXV1598" s="391"/>
      <c r="OXW1598" s="390"/>
      <c r="OXX1598" s="391"/>
      <c r="OXY1598" s="390"/>
      <c r="OXZ1598" s="391"/>
      <c r="OYA1598" s="390"/>
      <c r="OYB1598" s="391"/>
      <c r="OYC1598" s="390"/>
      <c r="OYD1598" s="391"/>
      <c r="OYE1598" s="390"/>
      <c r="OYF1598" s="391"/>
      <c r="OYG1598" s="390"/>
      <c r="OYH1598" s="391"/>
      <c r="OYI1598" s="390"/>
      <c r="OYJ1598" s="391"/>
      <c r="OYK1598" s="390"/>
      <c r="OYL1598" s="391"/>
      <c r="OYM1598" s="390"/>
      <c r="OYN1598" s="391"/>
      <c r="OYO1598" s="390"/>
      <c r="OYP1598" s="391"/>
      <c r="OYQ1598" s="390"/>
      <c r="OYR1598" s="391"/>
      <c r="OYS1598" s="390"/>
      <c r="OYT1598" s="391"/>
      <c r="OYU1598" s="390"/>
      <c r="OYV1598" s="391"/>
      <c r="OYW1598" s="390"/>
      <c r="OYX1598" s="391"/>
      <c r="OYY1598" s="390"/>
      <c r="OYZ1598" s="391"/>
      <c r="OZA1598" s="390"/>
      <c r="OZB1598" s="391"/>
      <c r="OZC1598" s="390"/>
      <c r="OZD1598" s="391"/>
      <c r="OZE1598" s="390"/>
      <c r="OZF1598" s="391"/>
      <c r="OZG1598" s="390"/>
      <c r="OZH1598" s="391"/>
      <c r="OZI1598" s="390"/>
      <c r="OZJ1598" s="391"/>
      <c r="OZK1598" s="390"/>
      <c r="OZL1598" s="391"/>
      <c r="OZM1598" s="390"/>
      <c r="OZN1598" s="391"/>
      <c r="OZO1598" s="390"/>
      <c r="OZP1598" s="391"/>
      <c r="OZQ1598" s="390"/>
      <c r="OZR1598" s="391"/>
      <c r="OZS1598" s="390"/>
      <c r="OZT1598" s="391"/>
      <c r="OZU1598" s="390"/>
      <c r="OZV1598" s="391"/>
      <c r="OZW1598" s="390"/>
      <c r="OZX1598" s="391"/>
      <c r="OZY1598" s="390"/>
      <c r="OZZ1598" s="391"/>
      <c r="PAA1598" s="390"/>
      <c r="PAB1598" s="391"/>
      <c r="PAC1598" s="390"/>
      <c r="PAD1598" s="391"/>
      <c r="PAE1598" s="390"/>
      <c r="PAF1598" s="391"/>
      <c r="PAG1598" s="390"/>
      <c r="PAH1598" s="391"/>
      <c r="PAI1598" s="390"/>
      <c r="PAJ1598" s="391"/>
      <c r="PAK1598" s="390"/>
      <c r="PAL1598" s="391"/>
      <c r="PAM1598" s="390"/>
      <c r="PAN1598" s="391"/>
      <c r="PAO1598" s="390"/>
      <c r="PAP1598" s="391"/>
      <c r="PAQ1598" s="390"/>
      <c r="PAR1598" s="391"/>
      <c r="PAS1598" s="390"/>
      <c r="PAT1598" s="391"/>
      <c r="PAU1598" s="390"/>
      <c r="PAV1598" s="391"/>
      <c r="PAW1598" s="390"/>
      <c r="PAX1598" s="391"/>
      <c r="PAY1598" s="390"/>
      <c r="PAZ1598" s="391"/>
      <c r="PBA1598" s="390"/>
      <c r="PBB1598" s="391"/>
      <c r="PBC1598" s="390"/>
      <c r="PBD1598" s="391"/>
      <c r="PBE1598" s="390"/>
      <c r="PBF1598" s="391"/>
      <c r="PBG1598" s="390"/>
      <c r="PBH1598" s="391"/>
      <c r="PBI1598" s="390"/>
      <c r="PBJ1598" s="391"/>
      <c r="PBK1598" s="390"/>
      <c r="PBL1598" s="391"/>
      <c r="PBM1598" s="390"/>
      <c r="PBN1598" s="391"/>
      <c r="PBO1598" s="390"/>
      <c r="PBP1598" s="391"/>
      <c r="PBQ1598" s="390"/>
      <c r="PBR1598" s="391"/>
      <c r="PBS1598" s="390"/>
      <c r="PBT1598" s="391"/>
      <c r="PBU1598" s="390"/>
      <c r="PBV1598" s="391"/>
      <c r="PBW1598" s="390"/>
      <c r="PBX1598" s="391"/>
      <c r="PBY1598" s="390"/>
      <c r="PBZ1598" s="391"/>
      <c r="PCA1598" s="390"/>
      <c r="PCB1598" s="391"/>
      <c r="PCC1598" s="390"/>
      <c r="PCD1598" s="391"/>
      <c r="PCE1598" s="390"/>
      <c r="PCF1598" s="391"/>
      <c r="PCG1598" s="390"/>
      <c r="PCH1598" s="391"/>
      <c r="PCI1598" s="390"/>
      <c r="PCJ1598" s="391"/>
      <c r="PCK1598" s="390"/>
      <c r="PCL1598" s="391"/>
      <c r="PCM1598" s="390"/>
      <c r="PCN1598" s="391"/>
      <c r="PCO1598" s="390"/>
      <c r="PCP1598" s="391"/>
      <c r="PCQ1598" s="390"/>
      <c r="PCR1598" s="391"/>
      <c r="PCS1598" s="390"/>
      <c r="PCT1598" s="391"/>
      <c r="PCU1598" s="390"/>
      <c r="PCV1598" s="391"/>
      <c r="PCW1598" s="390"/>
      <c r="PCX1598" s="391"/>
      <c r="PCY1598" s="390"/>
      <c r="PCZ1598" s="391"/>
      <c r="PDA1598" s="390"/>
      <c r="PDB1598" s="391"/>
      <c r="PDC1598" s="390"/>
      <c r="PDD1598" s="391"/>
      <c r="PDE1598" s="390"/>
      <c r="PDF1598" s="391"/>
      <c r="PDG1598" s="390"/>
      <c r="PDH1598" s="391"/>
      <c r="PDI1598" s="390"/>
      <c r="PDJ1598" s="391"/>
      <c r="PDK1598" s="390"/>
      <c r="PDL1598" s="391"/>
      <c r="PDM1598" s="390"/>
      <c r="PDN1598" s="391"/>
      <c r="PDO1598" s="390"/>
      <c r="PDP1598" s="391"/>
      <c r="PDQ1598" s="390"/>
      <c r="PDR1598" s="391"/>
      <c r="PDS1598" s="390"/>
      <c r="PDT1598" s="391"/>
      <c r="PDU1598" s="390"/>
      <c r="PDV1598" s="391"/>
      <c r="PDW1598" s="390"/>
      <c r="PDX1598" s="391"/>
      <c r="PDY1598" s="390"/>
      <c r="PDZ1598" s="391"/>
      <c r="PEA1598" s="390"/>
      <c r="PEB1598" s="391"/>
      <c r="PEC1598" s="390"/>
      <c r="PED1598" s="391"/>
      <c r="PEE1598" s="390"/>
      <c r="PEF1598" s="391"/>
      <c r="PEG1598" s="390"/>
      <c r="PEH1598" s="391"/>
      <c r="PEI1598" s="390"/>
      <c r="PEJ1598" s="391"/>
      <c r="PEK1598" s="390"/>
      <c r="PEL1598" s="391"/>
      <c r="PEM1598" s="390"/>
      <c r="PEN1598" s="391"/>
      <c r="PEO1598" s="390"/>
      <c r="PEP1598" s="391"/>
      <c r="PEQ1598" s="390"/>
      <c r="PER1598" s="391"/>
      <c r="PES1598" s="390"/>
      <c r="PET1598" s="391"/>
      <c r="PEU1598" s="390"/>
      <c r="PEV1598" s="391"/>
      <c r="PEW1598" s="390"/>
      <c r="PEX1598" s="391"/>
      <c r="PEY1598" s="390"/>
      <c r="PEZ1598" s="391"/>
      <c r="PFA1598" s="390"/>
      <c r="PFB1598" s="391"/>
      <c r="PFC1598" s="390"/>
      <c r="PFD1598" s="391"/>
      <c r="PFE1598" s="390"/>
      <c r="PFF1598" s="391"/>
      <c r="PFG1598" s="390"/>
      <c r="PFH1598" s="391"/>
      <c r="PFI1598" s="390"/>
      <c r="PFJ1598" s="391"/>
      <c r="PFK1598" s="390"/>
      <c r="PFL1598" s="391"/>
      <c r="PFM1598" s="390"/>
      <c r="PFN1598" s="391"/>
      <c r="PFO1598" s="390"/>
      <c r="PFP1598" s="391"/>
      <c r="PFQ1598" s="390"/>
      <c r="PFR1598" s="391"/>
      <c r="PFS1598" s="390"/>
      <c r="PFT1598" s="391"/>
      <c r="PFU1598" s="390"/>
      <c r="PFV1598" s="391"/>
      <c r="PFW1598" s="390"/>
      <c r="PFX1598" s="391"/>
      <c r="PFY1598" s="390"/>
      <c r="PFZ1598" s="391"/>
      <c r="PGA1598" s="390"/>
      <c r="PGB1598" s="391"/>
      <c r="PGC1598" s="390"/>
      <c r="PGD1598" s="391"/>
      <c r="PGE1598" s="390"/>
      <c r="PGF1598" s="391"/>
      <c r="PGG1598" s="390"/>
      <c r="PGH1598" s="391"/>
      <c r="PGI1598" s="390"/>
      <c r="PGJ1598" s="391"/>
      <c r="PGK1598" s="390"/>
      <c r="PGL1598" s="391"/>
      <c r="PGM1598" s="390"/>
      <c r="PGN1598" s="391"/>
      <c r="PGO1598" s="390"/>
      <c r="PGP1598" s="391"/>
      <c r="PGQ1598" s="390"/>
      <c r="PGR1598" s="391"/>
      <c r="PGS1598" s="390"/>
      <c r="PGT1598" s="391"/>
      <c r="PGU1598" s="390"/>
      <c r="PGV1598" s="391"/>
      <c r="PGW1598" s="390"/>
      <c r="PGX1598" s="391"/>
      <c r="PGY1598" s="390"/>
      <c r="PGZ1598" s="391"/>
      <c r="PHA1598" s="390"/>
      <c r="PHB1598" s="391"/>
      <c r="PHC1598" s="390"/>
      <c r="PHD1598" s="391"/>
      <c r="PHE1598" s="390"/>
      <c r="PHF1598" s="391"/>
      <c r="PHG1598" s="390"/>
      <c r="PHH1598" s="391"/>
      <c r="PHI1598" s="390"/>
      <c r="PHJ1598" s="391"/>
      <c r="PHK1598" s="390"/>
      <c r="PHL1598" s="391"/>
      <c r="PHM1598" s="390"/>
      <c r="PHN1598" s="391"/>
      <c r="PHO1598" s="390"/>
      <c r="PHP1598" s="391"/>
      <c r="PHQ1598" s="390"/>
      <c r="PHR1598" s="391"/>
      <c r="PHS1598" s="390"/>
      <c r="PHT1598" s="391"/>
      <c r="PHU1598" s="390"/>
      <c r="PHV1598" s="391"/>
      <c r="PHW1598" s="390"/>
      <c r="PHX1598" s="391"/>
      <c r="PHY1598" s="390"/>
      <c r="PHZ1598" s="391"/>
      <c r="PIA1598" s="390"/>
      <c r="PIB1598" s="391"/>
      <c r="PIC1598" s="390"/>
      <c r="PID1598" s="391"/>
      <c r="PIE1598" s="390"/>
      <c r="PIF1598" s="391"/>
      <c r="PIG1598" s="390"/>
      <c r="PIH1598" s="391"/>
      <c r="PII1598" s="390"/>
      <c r="PIJ1598" s="391"/>
      <c r="PIK1598" s="390"/>
      <c r="PIL1598" s="391"/>
      <c r="PIM1598" s="390"/>
      <c r="PIN1598" s="391"/>
      <c r="PIO1598" s="390"/>
      <c r="PIP1598" s="391"/>
      <c r="PIQ1598" s="390"/>
      <c r="PIR1598" s="391"/>
      <c r="PIS1598" s="390"/>
      <c r="PIT1598" s="391"/>
      <c r="PIU1598" s="390"/>
      <c r="PIV1598" s="391"/>
      <c r="PIW1598" s="390"/>
      <c r="PIX1598" s="391"/>
      <c r="PIY1598" s="390"/>
      <c r="PIZ1598" s="391"/>
      <c r="PJA1598" s="390"/>
      <c r="PJB1598" s="391"/>
      <c r="PJC1598" s="390"/>
      <c r="PJD1598" s="391"/>
      <c r="PJE1598" s="390"/>
      <c r="PJF1598" s="391"/>
      <c r="PJG1598" s="390"/>
      <c r="PJH1598" s="391"/>
      <c r="PJI1598" s="390"/>
      <c r="PJJ1598" s="391"/>
      <c r="PJK1598" s="390"/>
      <c r="PJL1598" s="391"/>
      <c r="PJM1598" s="390"/>
      <c r="PJN1598" s="391"/>
      <c r="PJO1598" s="390"/>
      <c r="PJP1598" s="391"/>
      <c r="PJQ1598" s="390"/>
      <c r="PJR1598" s="391"/>
      <c r="PJS1598" s="390"/>
      <c r="PJT1598" s="391"/>
      <c r="PJU1598" s="390"/>
      <c r="PJV1598" s="391"/>
      <c r="PJW1598" s="390"/>
      <c r="PJX1598" s="391"/>
      <c r="PJY1598" s="390"/>
      <c r="PJZ1598" s="391"/>
      <c r="PKA1598" s="390"/>
      <c r="PKB1598" s="391"/>
      <c r="PKC1598" s="390"/>
      <c r="PKD1598" s="391"/>
      <c r="PKE1598" s="390"/>
      <c r="PKF1598" s="391"/>
      <c r="PKG1598" s="390"/>
      <c r="PKH1598" s="391"/>
      <c r="PKI1598" s="390"/>
      <c r="PKJ1598" s="391"/>
      <c r="PKK1598" s="390"/>
      <c r="PKL1598" s="391"/>
      <c r="PKM1598" s="390"/>
      <c r="PKN1598" s="391"/>
      <c r="PKO1598" s="390"/>
      <c r="PKP1598" s="391"/>
      <c r="PKQ1598" s="390"/>
      <c r="PKR1598" s="391"/>
      <c r="PKS1598" s="390"/>
      <c r="PKT1598" s="391"/>
      <c r="PKU1598" s="390"/>
      <c r="PKV1598" s="391"/>
      <c r="PKW1598" s="390"/>
      <c r="PKX1598" s="391"/>
      <c r="PKY1598" s="390"/>
      <c r="PKZ1598" s="391"/>
      <c r="PLA1598" s="390"/>
      <c r="PLB1598" s="391"/>
      <c r="PLC1598" s="390"/>
      <c r="PLD1598" s="391"/>
      <c r="PLE1598" s="390"/>
      <c r="PLF1598" s="391"/>
      <c r="PLG1598" s="390"/>
      <c r="PLH1598" s="391"/>
      <c r="PLI1598" s="390"/>
      <c r="PLJ1598" s="391"/>
      <c r="PLK1598" s="390"/>
      <c r="PLL1598" s="391"/>
      <c r="PLM1598" s="390"/>
      <c r="PLN1598" s="391"/>
      <c r="PLO1598" s="390"/>
      <c r="PLP1598" s="391"/>
      <c r="PLQ1598" s="390"/>
      <c r="PLR1598" s="391"/>
      <c r="PLS1598" s="390"/>
      <c r="PLT1598" s="391"/>
      <c r="PLU1598" s="390"/>
      <c r="PLV1598" s="391"/>
      <c r="PLW1598" s="390"/>
      <c r="PLX1598" s="391"/>
      <c r="PLY1598" s="390"/>
      <c r="PLZ1598" s="391"/>
      <c r="PMA1598" s="390"/>
      <c r="PMB1598" s="391"/>
      <c r="PMC1598" s="390"/>
      <c r="PMD1598" s="391"/>
      <c r="PME1598" s="390"/>
      <c r="PMF1598" s="391"/>
      <c r="PMG1598" s="390"/>
      <c r="PMH1598" s="391"/>
      <c r="PMI1598" s="390"/>
      <c r="PMJ1598" s="391"/>
      <c r="PMK1598" s="390"/>
      <c r="PML1598" s="391"/>
      <c r="PMM1598" s="390"/>
      <c r="PMN1598" s="391"/>
      <c r="PMO1598" s="390"/>
      <c r="PMP1598" s="391"/>
      <c r="PMQ1598" s="390"/>
      <c r="PMR1598" s="391"/>
      <c r="PMS1598" s="390"/>
      <c r="PMT1598" s="391"/>
      <c r="PMU1598" s="390"/>
      <c r="PMV1598" s="391"/>
      <c r="PMW1598" s="390"/>
      <c r="PMX1598" s="391"/>
      <c r="PMY1598" s="390"/>
      <c r="PMZ1598" s="391"/>
      <c r="PNA1598" s="390"/>
      <c r="PNB1598" s="391"/>
      <c r="PNC1598" s="390"/>
      <c r="PND1598" s="391"/>
      <c r="PNE1598" s="390"/>
      <c r="PNF1598" s="391"/>
      <c r="PNG1598" s="390"/>
      <c r="PNH1598" s="391"/>
      <c r="PNI1598" s="390"/>
      <c r="PNJ1598" s="391"/>
      <c r="PNK1598" s="390"/>
      <c r="PNL1598" s="391"/>
      <c r="PNM1598" s="390"/>
      <c r="PNN1598" s="391"/>
      <c r="PNO1598" s="390"/>
      <c r="PNP1598" s="391"/>
      <c r="PNQ1598" s="390"/>
      <c r="PNR1598" s="391"/>
      <c r="PNS1598" s="390"/>
      <c r="PNT1598" s="391"/>
      <c r="PNU1598" s="390"/>
      <c r="PNV1598" s="391"/>
      <c r="PNW1598" s="390"/>
      <c r="PNX1598" s="391"/>
      <c r="PNY1598" s="390"/>
      <c r="PNZ1598" s="391"/>
      <c r="POA1598" s="390"/>
      <c r="POB1598" s="391"/>
      <c r="POC1598" s="390"/>
      <c r="POD1598" s="391"/>
      <c r="POE1598" s="390"/>
      <c r="POF1598" s="391"/>
      <c r="POG1598" s="390"/>
      <c r="POH1598" s="391"/>
      <c r="POI1598" s="390"/>
      <c r="POJ1598" s="391"/>
      <c r="POK1598" s="390"/>
      <c r="POL1598" s="391"/>
      <c r="POM1598" s="390"/>
      <c r="PON1598" s="391"/>
      <c r="POO1598" s="390"/>
      <c r="POP1598" s="391"/>
      <c r="POQ1598" s="390"/>
      <c r="POR1598" s="391"/>
      <c r="POS1598" s="390"/>
      <c r="POT1598" s="391"/>
      <c r="POU1598" s="390"/>
      <c r="POV1598" s="391"/>
      <c r="POW1598" s="390"/>
      <c r="POX1598" s="391"/>
      <c r="POY1598" s="390"/>
      <c r="POZ1598" s="391"/>
      <c r="PPA1598" s="390"/>
      <c r="PPB1598" s="391"/>
      <c r="PPC1598" s="390"/>
      <c r="PPD1598" s="391"/>
      <c r="PPE1598" s="390"/>
      <c r="PPF1598" s="391"/>
      <c r="PPG1598" s="390"/>
      <c r="PPH1598" s="391"/>
      <c r="PPI1598" s="390"/>
      <c r="PPJ1598" s="391"/>
      <c r="PPK1598" s="390"/>
      <c r="PPL1598" s="391"/>
      <c r="PPM1598" s="390"/>
      <c r="PPN1598" s="391"/>
      <c r="PPO1598" s="390"/>
      <c r="PPP1598" s="391"/>
      <c r="PPQ1598" s="390"/>
      <c r="PPR1598" s="391"/>
      <c r="PPS1598" s="390"/>
      <c r="PPT1598" s="391"/>
      <c r="PPU1598" s="390"/>
      <c r="PPV1598" s="391"/>
      <c r="PPW1598" s="390"/>
      <c r="PPX1598" s="391"/>
      <c r="PPY1598" s="390"/>
      <c r="PPZ1598" s="391"/>
      <c r="PQA1598" s="390"/>
      <c r="PQB1598" s="391"/>
      <c r="PQC1598" s="390"/>
      <c r="PQD1598" s="391"/>
      <c r="PQE1598" s="390"/>
      <c r="PQF1598" s="391"/>
      <c r="PQG1598" s="390"/>
      <c r="PQH1598" s="391"/>
      <c r="PQI1598" s="390"/>
      <c r="PQJ1598" s="391"/>
      <c r="PQK1598" s="390"/>
      <c r="PQL1598" s="391"/>
      <c r="PQM1598" s="390"/>
      <c r="PQN1598" s="391"/>
      <c r="PQO1598" s="390"/>
      <c r="PQP1598" s="391"/>
      <c r="PQQ1598" s="390"/>
      <c r="PQR1598" s="391"/>
      <c r="PQS1598" s="390"/>
      <c r="PQT1598" s="391"/>
      <c r="PQU1598" s="390"/>
      <c r="PQV1598" s="391"/>
      <c r="PQW1598" s="390"/>
      <c r="PQX1598" s="391"/>
      <c r="PQY1598" s="390"/>
      <c r="PQZ1598" s="391"/>
      <c r="PRA1598" s="390"/>
      <c r="PRB1598" s="391"/>
      <c r="PRC1598" s="390"/>
      <c r="PRD1598" s="391"/>
      <c r="PRE1598" s="390"/>
      <c r="PRF1598" s="391"/>
      <c r="PRG1598" s="390"/>
      <c r="PRH1598" s="391"/>
      <c r="PRI1598" s="390"/>
      <c r="PRJ1598" s="391"/>
      <c r="PRK1598" s="390"/>
      <c r="PRL1598" s="391"/>
      <c r="PRM1598" s="390"/>
      <c r="PRN1598" s="391"/>
      <c r="PRO1598" s="390"/>
      <c r="PRP1598" s="391"/>
      <c r="PRQ1598" s="390"/>
      <c r="PRR1598" s="391"/>
      <c r="PRS1598" s="390"/>
      <c r="PRT1598" s="391"/>
      <c r="PRU1598" s="390"/>
      <c r="PRV1598" s="391"/>
      <c r="PRW1598" s="390"/>
      <c r="PRX1598" s="391"/>
      <c r="PRY1598" s="390"/>
      <c r="PRZ1598" s="391"/>
      <c r="PSA1598" s="390"/>
      <c r="PSB1598" s="391"/>
      <c r="PSC1598" s="390"/>
      <c r="PSD1598" s="391"/>
      <c r="PSE1598" s="390"/>
      <c r="PSF1598" s="391"/>
      <c r="PSG1598" s="390"/>
      <c r="PSH1598" s="391"/>
      <c r="PSI1598" s="390"/>
      <c r="PSJ1598" s="391"/>
      <c r="PSK1598" s="390"/>
      <c r="PSL1598" s="391"/>
      <c r="PSM1598" s="390"/>
      <c r="PSN1598" s="391"/>
      <c r="PSO1598" s="390"/>
      <c r="PSP1598" s="391"/>
      <c r="PSQ1598" s="390"/>
      <c r="PSR1598" s="391"/>
      <c r="PSS1598" s="390"/>
      <c r="PST1598" s="391"/>
      <c r="PSU1598" s="390"/>
      <c r="PSV1598" s="391"/>
      <c r="PSW1598" s="390"/>
      <c r="PSX1598" s="391"/>
      <c r="PSY1598" s="390"/>
      <c r="PSZ1598" s="391"/>
      <c r="PTA1598" s="390"/>
      <c r="PTB1598" s="391"/>
      <c r="PTC1598" s="390"/>
      <c r="PTD1598" s="391"/>
      <c r="PTE1598" s="390"/>
      <c r="PTF1598" s="391"/>
      <c r="PTG1598" s="390"/>
      <c r="PTH1598" s="391"/>
      <c r="PTI1598" s="390"/>
      <c r="PTJ1598" s="391"/>
      <c r="PTK1598" s="390"/>
      <c r="PTL1598" s="391"/>
      <c r="PTM1598" s="390"/>
      <c r="PTN1598" s="391"/>
      <c r="PTO1598" s="390"/>
      <c r="PTP1598" s="391"/>
      <c r="PTQ1598" s="390"/>
      <c r="PTR1598" s="391"/>
      <c r="PTS1598" s="390"/>
      <c r="PTT1598" s="391"/>
      <c r="PTU1598" s="390"/>
      <c r="PTV1598" s="391"/>
      <c r="PTW1598" s="390"/>
      <c r="PTX1598" s="391"/>
      <c r="PTY1598" s="390"/>
      <c r="PTZ1598" s="391"/>
      <c r="PUA1598" s="390"/>
      <c r="PUB1598" s="391"/>
      <c r="PUC1598" s="390"/>
      <c r="PUD1598" s="391"/>
      <c r="PUE1598" s="390"/>
      <c r="PUF1598" s="391"/>
      <c r="PUG1598" s="390"/>
      <c r="PUH1598" s="391"/>
      <c r="PUI1598" s="390"/>
      <c r="PUJ1598" s="391"/>
      <c r="PUK1598" s="390"/>
      <c r="PUL1598" s="391"/>
      <c r="PUM1598" s="390"/>
      <c r="PUN1598" s="391"/>
      <c r="PUO1598" s="390"/>
      <c r="PUP1598" s="391"/>
      <c r="PUQ1598" s="390"/>
      <c r="PUR1598" s="391"/>
      <c r="PUS1598" s="390"/>
      <c r="PUT1598" s="391"/>
      <c r="PUU1598" s="390"/>
      <c r="PUV1598" s="391"/>
      <c r="PUW1598" s="390"/>
      <c r="PUX1598" s="391"/>
      <c r="PUY1598" s="390"/>
      <c r="PUZ1598" s="391"/>
      <c r="PVA1598" s="390"/>
      <c r="PVB1598" s="391"/>
      <c r="PVC1598" s="390"/>
      <c r="PVD1598" s="391"/>
      <c r="PVE1598" s="390"/>
      <c r="PVF1598" s="391"/>
      <c r="PVG1598" s="390"/>
      <c r="PVH1598" s="391"/>
      <c r="PVI1598" s="390"/>
      <c r="PVJ1598" s="391"/>
      <c r="PVK1598" s="390"/>
      <c r="PVL1598" s="391"/>
      <c r="PVM1598" s="390"/>
      <c r="PVN1598" s="391"/>
      <c r="PVO1598" s="390"/>
      <c r="PVP1598" s="391"/>
      <c r="PVQ1598" s="390"/>
      <c r="PVR1598" s="391"/>
      <c r="PVS1598" s="390"/>
      <c r="PVT1598" s="391"/>
      <c r="PVU1598" s="390"/>
      <c r="PVV1598" s="391"/>
      <c r="PVW1598" s="390"/>
      <c r="PVX1598" s="391"/>
      <c r="PVY1598" s="390"/>
      <c r="PVZ1598" s="391"/>
      <c r="PWA1598" s="390"/>
      <c r="PWB1598" s="391"/>
      <c r="PWC1598" s="390"/>
      <c r="PWD1598" s="391"/>
      <c r="PWE1598" s="390"/>
      <c r="PWF1598" s="391"/>
      <c r="PWG1598" s="390"/>
      <c r="PWH1598" s="391"/>
      <c r="PWI1598" s="390"/>
      <c r="PWJ1598" s="391"/>
      <c r="PWK1598" s="390"/>
      <c r="PWL1598" s="391"/>
      <c r="PWM1598" s="390"/>
      <c r="PWN1598" s="391"/>
      <c r="PWO1598" s="390"/>
      <c r="PWP1598" s="391"/>
      <c r="PWQ1598" s="390"/>
      <c r="PWR1598" s="391"/>
      <c r="PWS1598" s="390"/>
      <c r="PWT1598" s="391"/>
      <c r="PWU1598" s="390"/>
      <c r="PWV1598" s="391"/>
      <c r="PWW1598" s="390"/>
      <c r="PWX1598" s="391"/>
      <c r="PWY1598" s="390"/>
      <c r="PWZ1598" s="391"/>
      <c r="PXA1598" s="390"/>
      <c r="PXB1598" s="391"/>
      <c r="PXC1598" s="390"/>
      <c r="PXD1598" s="391"/>
      <c r="PXE1598" s="390"/>
      <c r="PXF1598" s="391"/>
      <c r="PXG1598" s="390"/>
      <c r="PXH1598" s="391"/>
      <c r="PXI1598" s="390"/>
      <c r="PXJ1598" s="391"/>
      <c r="PXK1598" s="390"/>
      <c r="PXL1598" s="391"/>
      <c r="PXM1598" s="390"/>
      <c r="PXN1598" s="391"/>
      <c r="PXO1598" s="390"/>
      <c r="PXP1598" s="391"/>
      <c r="PXQ1598" s="390"/>
      <c r="PXR1598" s="391"/>
      <c r="PXS1598" s="390"/>
      <c r="PXT1598" s="391"/>
      <c r="PXU1598" s="390"/>
      <c r="PXV1598" s="391"/>
      <c r="PXW1598" s="390"/>
      <c r="PXX1598" s="391"/>
      <c r="PXY1598" s="390"/>
      <c r="PXZ1598" s="391"/>
      <c r="PYA1598" s="390"/>
      <c r="PYB1598" s="391"/>
      <c r="PYC1598" s="390"/>
      <c r="PYD1598" s="391"/>
      <c r="PYE1598" s="390"/>
      <c r="PYF1598" s="391"/>
      <c r="PYG1598" s="390"/>
      <c r="PYH1598" s="391"/>
      <c r="PYI1598" s="390"/>
      <c r="PYJ1598" s="391"/>
      <c r="PYK1598" s="390"/>
      <c r="PYL1598" s="391"/>
      <c r="PYM1598" s="390"/>
      <c r="PYN1598" s="391"/>
      <c r="PYO1598" s="390"/>
      <c r="PYP1598" s="391"/>
      <c r="PYQ1598" s="390"/>
      <c r="PYR1598" s="391"/>
      <c r="PYS1598" s="390"/>
      <c r="PYT1598" s="391"/>
      <c r="PYU1598" s="390"/>
      <c r="PYV1598" s="391"/>
      <c r="PYW1598" s="390"/>
      <c r="PYX1598" s="391"/>
      <c r="PYY1598" s="390"/>
      <c r="PYZ1598" s="391"/>
      <c r="PZA1598" s="390"/>
      <c r="PZB1598" s="391"/>
      <c r="PZC1598" s="390"/>
      <c r="PZD1598" s="391"/>
      <c r="PZE1598" s="390"/>
      <c r="PZF1598" s="391"/>
      <c r="PZG1598" s="390"/>
      <c r="PZH1598" s="391"/>
      <c r="PZI1598" s="390"/>
      <c r="PZJ1598" s="391"/>
      <c r="PZK1598" s="390"/>
      <c r="PZL1598" s="391"/>
      <c r="PZM1598" s="390"/>
      <c r="PZN1598" s="391"/>
      <c r="PZO1598" s="390"/>
      <c r="PZP1598" s="391"/>
      <c r="PZQ1598" s="390"/>
      <c r="PZR1598" s="391"/>
      <c r="PZS1598" s="390"/>
      <c r="PZT1598" s="391"/>
      <c r="PZU1598" s="390"/>
      <c r="PZV1598" s="391"/>
      <c r="PZW1598" s="390"/>
      <c r="PZX1598" s="391"/>
      <c r="PZY1598" s="390"/>
      <c r="PZZ1598" s="391"/>
      <c r="QAA1598" s="390"/>
      <c r="QAB1598" s="391"/>
      <c r="QAC1598" s="390"/>
      <c r="QAD1598" s="391"/>
      <c r="QAE1598" s="390"/>
      <c r="QAF1598" s="391"/>
      <c r="QAG1598" s="390"/>
      <c r="QAH1598" s="391"/>
      <c r="QAI1598" s="390"/>
      <c r="QAJ1598" s="391"/>
      <c r="QAK1598" s="390"/>
      <c r="QAL1598" s="391"/>
      <c r="QAM1598" s="390"/>
      <c r="QAN1598" s="391"/>
      <c r="QAO1598" s="390"/>
      <c r="QAP1598" s="391"/>
      <c r="QAQ1598" s="390"/>
      <c r="QAR1598" s="391"/>
      <c r="QAS1598" s="390"/>
      <c r="QAT1598" s="391"/>
      <c r="QAU1598" s="390"/>
      <c r="QAV1598" s="391"/>
      <c r="QAW1598" s="390"/>
      <c r="QAX1598" s="391"/>
      <c r="QAY1598" s="390"/>
      <c r="QAZ1598" s="391"/>
      <c r="QBA1598" s="390"/>
      <c r="QBB1598" s="391"/>
      <c r="QBC1598" s="390"/>
      <c r="QBD1598" s="391"/>
      <c r="QBE1598" s="390"/>
      <c r="QBF1598" s="391"/>
      <c r="QBG1598" s="390"/>
      <c r="QBH1598" s="391"/>
      <c r="QBI1598" s="390"/>
      <c r="QBJ1598" s="391"/>
      <c r="QBK1598" s="390"/>
      <c r="QBL1598" s="391"/>
      <c r="QBM1598" s="390"/>
      <c r="QBN1598" s="391"/>
      <c r="QBO1598" s="390"/>
      <c r="QBP1598" s="391"/>
      <c r="QBQ1598" s="390"/>
      <c r="QBR1598" s="391"/>
      <c r="QBS1598" s="390"/>
      <c r="QBT1598" s="391"/>
      <c r="QBU1598" s="390"/>
      <c r="QBV1598" s="391"/>
      <c r="QBW1598" s="390"/>
      <c r="QBX1598" s="391"/>
      <c r="QBY1598" s="390"/>
      <c r="QBZ1598" s="391"/>
      <c r="QCA1598" s="390"/>
      <c r="QCB1598" s="391"/>
      <c r="QCC1598" s="390"/>
      <c r="QCD1598" s="391"/>
      <c r="QCE1598" s="390"/>
      <c r="QCF1598" s="391"/>
      <c r="QCG1598" s="390"/>
      <c r="QCH1598" s="391"/>
      <c r="QCI1598" s="390"/>
      <c r="QCJ1598" s="391"/>
      <c r="QCK1598" s="390"/>
      <c r="QCL1598" s="391"/>
      <c r="QCM1598" s="390"/>
      <c r="QCN1598" s="391"/>
      <c r="QCO1598" s="390"/>
      <c r="QCP1598" s="391"/>
      <c r="QCQ1598" s="390"/>
      <c r="QCR1598" s="391"/>
      <c r="QCS1598" s="390"/>
      <c r="QCT1598" s="391"/>
      <c r="QCU1598" s="390"/>
      <c r="QCV1598" s="391"/>
      <c r="QCW1598" s="390"/>
      <c r="QCX1598" s="391"/>
      <c r="QCY1598" s="390"/>
      <c r="QCZ1598" s="391"/>
      <c r="QDA1598" s="390"/>
      <c r="QDB1598" s="391"/>
      <c r="QDC1598" s="390"/>
      <c r="QDD1598" s="391"/>
      <c r="QDE1598" s="390"/>
      <c r="QDF1598" s="391"/>
      <c r="QDG1598" s="390"/>
      <c r="QDH1598" s="391"/>
      <c r="QDI1598" s="390"/>
      <c r="QDJ1598" s="391"/>
      <c r="QDK1598" s="390"/>
      <c r="QDL1598" s="391"/>
      <c r="QDM1598" s="390"/>
      <c r="QDN1598" s="391"/>
      <c r="QDO1598" s="390"/>
      <c r="QDP1598" s="391"/>
      <c r="QDQ1598" s="390"/>
      <c r="QDR1598" s="391"/>
      <c r="QDS1598" s="390"/>
      <c r="QDT1598" s="391"/>
      <c r="QDU1598" s="390"/>
      <c r="QDV1598" s="391"/>
      <c r="QDW1598" s="390"/>
      <c r="QDX1598" s="391"/>
      <c r="QDY1598" s="390"/>
      <c r="QDZ1598" s="391"/>
      <c r="QEA1598" s="390"/>
      <c r="QEB1598" s="391"/>
      <c r="QEC1598" s="390"/>
      <c r="QED1598" s="391"/>
      <c r="QEE1598" s="390"/>
      <c r="QEF1598" s="391"/>
      <c r="QEG1598" s="390"/>
      <c r="QEH1598" s="391"/>
      <c r="QEI1598" s="390"/>
      <c r="QEJ1598" s="391"/>
      <c r="QEK1598" s="390"/>
      <c r="QEL1598" s="391"/>
      <c r="QEM1598" s="390"/>
      <c r="QEN1598" s="391"/>
      <c r="QEO1598" s="390"/>
      <c r="QEP1598" s="391"/>
      <c r="QEQ1598" s="390"/>
      <c r="QER1598" s="391"/>
      <c r="QES1598" s="390"/>
      <c r="QET1598" s="391"/>
      <c r="QEU1598" s="390"/>
      <c r="QEV1598" s="391"/>
      <c r="QEW1598" s="390"/>
      <c r="QEX1598" s="391"/>
      <c r="QEY1598" s="390"/>
      <c r="QEZ1598" s="391"/>
      <c r="QFA1598" s="390"/>
      <c r="QFB1598" s="391"/>
      <c r="QFC1598" s="390"/>
      <c r="QFD1598" s="391"/>
      <c r="QFE1598" s="390"/>
      <c r="QFF1598" s="391"/>
      <c r="QFG1598" s="390"/>
      <c r="QFH1598" s="391"/>
      <c r="QFI1598" s="390"/>
      <c r="QFJ1598" s="391"/>
      <c r="QFK1598" s="390"/>
      <c r="QFL1598" s="391"/>
      <c r="QFM1598" s="390"/>
      <c r="QFN1598" s="391"/>
      <c r="QFO1598" s="390"/>
      <c r="QFP1598" s="391"/>
      <c r="QFQ1598" s="390"/>
      <c r="QFR1598" s="391"/>
      <c r="QFS1598" s="390"/>
      <c r="QFT1598" s="391"/>
      <c r="QFU1598" s="390"/>
      <c r="QFV1598" s="391"/>
      <c r="QFW1598" s="390"/>
      <c r="QFX1598" s="391"/>
      <c r="QFY1598" s="390"/>
      <c r="QFZ1598" s="391"/>
      <c r="QGA1598" s="390"/>
      <c r="QGB1598" s="391"/>
      <c r="QGC1598" s="390"/>
      <c r="QGD1598" s="391"/>
      <c r="QGE1598" s="390"/>
      <c r="QGF1598" s="391"/>
      <c r="QGG1598" s="390"/>
      <c r="QGH1598" s="391"/>
      <c r="QGI1598" s="390"/>
      <c r="QGJ1598" s="391"/>
      <c r="QGK1598" s="390"/>
      <c r="QGL1598" s="391"/>
      <c r="QGM1598" s="390"/>
      <c r="QGN1598" s="391"/>
      <c r="QGO1598" s="390"/>
      <c r="QGP1598" s="391"/>
      <c r="QGQ1598" s="390"/>
      <c r="QGR1598" s="391"/>
      <c r="QGS1598" s="390"/>
      <c r="QGT1598" s="391"/>
      <c r="QGU1598" s="390"/>
      <c r="QGV1598" s="391"/>
      <c r="QGW1598" s="390"/>
      <c r="QGX1598" s="391"/>
      <c r="QGY1598" s="390"/>
      <c r="QGZ1598" s="391"/>
      <c r="QHA1598" s="390"/>
      <c r="QHB1598" s="391"/>
      <c r="QHC1598" s="390"/>
      <c r="QHD1598" s="391"/>
      <c r="QHE1598" s="390"/>
      <c r="QHF1598" s="391"/>
      <c r="QHG1598" s="390"/>
      <c r="QHH1598" s="391"/>
      <c r="QHI1598" s="390"/>
      <c r="QHJ1598" s="391"/>
      <c r="QHK1598" s="390"/>
      <c r="QHL1598" s="391"/>
      <c r="QHM1598" s="390"/>
      <c r="QHN1598" s="391"/>
      <c r="QHO1598" s="390"/>
      <c r="QHP1598" s="391"/>
      <c r="QHQ1598" s="390"/>
      <c r="QHR1598" s="391"/>
      <c r="QHS1598" s="390"/>
      <c r="QHT1598" s="391"/>
      <c r="QHU1598" s="390"/>
      <c r="QHV1598" s="391"/>
      <c r="QHW1598" s="390"/>
      <c r="QHX1598" s="391"/>
      <c r="QHY1598" s="390"/>
      <c r="QHZ1598" s="391"/>
      <c r="QIA1598" s="390"/>
      <c r="QIB1598" s="391"/>
      <c r="QIC1598" s="390"/>
      <c r="QID1598" s="391"/>
      <c r="QIE1598" s="390"/>
      <c r="QIF1598" s="391"/>
      <c r="QIG1598" s="390"/>
      <c r="QIH1598" s="391"/>
      <c r="QII1598" s="390"/>
      <c r="QIJ1598" s="391"/>
      <c r="QIK1598" s="390"/>
      <c r="QIL1598" s="391"/>
      <c r="QIM1598" s="390"/>
      <c r="QIN1598" s="391"/>
      <c r="QIO1598" s="390"/>
      <c r="QIP1598" s="391"/>
      <c r="QIQ1598" s="390"/>
      <c r="QIR1598" s="391"/>
      <c r="QIS1598" s="390"/>
      <c r="QIT1598" s="391"/>
      <c r="QIU1598" s="390"/>
      <c r="QIV1598" s="391"/>
      <c r="QIW1598" s="390"/>
      <c r="QIX1598" s="391"/>
      <c r="QIY1598" s="390"/>
      <c r="QIZ1598" s="391"/>
      <c r="QJA1598" s="390"/>
      <c r="QJB1598" s="391"/>
      <c r="QJC1598" s="390"/>
      <c r="QJD1598" s="391"/>
      <c r="QJE1598" s="390"/>
      <c r="QJF1598" s="391"/>
      <c r="QJG1598" s="390"/>
      <c r="QJH1598" s="391"/>
      <c r="QJI1598" s="390"/>
      <c r="QJJ1598" s="391"/>
      <c r="QJK1598" s="390"/>
      <c r="QJL1598" s="391"/>
      <c r="QJM1598" s="390"/>
      <c r="QJN1598" s="391"/>
      <c r="QJO1598" s="390"/>
      <c r="QJP1598" s="391"/>
      <c r="QJQ1598" s="390"/>
      <c r="QJR1598" s="391"/>
      <c r="QJS1598" s="390"/>
      <c r="QJT1598" s="391"/>
      <c r="QJU1598" s="390"/>
      <c r="QJV1598" s="391"/>
      <c r="QJW1598" s="390"/>
      <c r="QJX1598" s="391"/>
      <c r="QJY1598" s="390"/>
      <c r="QJZ1598" s="391"/>
      <c r="QKA1598" s="390"/>
      <c r="QKB1598" s="391"/>
      <c r="QKC1598" s="390"/>
      <c r="QKD1598" s="391"/>
      <c r="QKE1598" s="390"/>
      <c r="QKF1598" s="391"/>
      <c r="QKG1598" s="390"/>
      <c r="QKH1598" s="391"/>
      <c r="QKI1598" s="390"/>
      <c r="QKJ1598" s="391"/>
      <c r="QKK1598" s="390"/>
      <c r="QKL1598" s="391"/>
      <c r="QKM1598" s="390"/>
      <c r="QKN1598" s="391"/>
      <c r="QKO1598" s="390"/>
      <c r="QKP1598" s="391"/>
      <c r="QKQ1598" s="390"/>
      <c r="QKR1598" s="391"/>
      <c r="QKS1598" s="390"/>
      <c r="QKT1598" s="391"/>
      <c r="QKU1598" s="390"/>
      <c r="QKV1598" s="391"/>
      <c r="QKW1598" s="390"/>
      <c r="QKX1598" s="391"/>
      <c r="QKY1598" s="390"/>
      <c r="QKZ1598" s="391"/>
      <c r="QLA1598" s="390"/>
      <c r="QLB1598" s="391"/>
      <c r="QLC1598" s="390"/>
      <c r="QLD1598" s="391"/>
      <c r="QLE1598" s="390"/>
      <c r="QLF1598" s="391"/>
      <c r="QLG1598" s="390"/>
      <c r="QLH1598" s="391"/>
      <c r="QLI1598" s="390"/>
      <c r="QLJ1598" s="391"/>
      <c r="QLK1598" s="390"/>
      <c r="QLL1598" s="391"/>
      <c r="QLM1598" s="390"/>
      <c r="QLN1598" s="391"/>
      <c r="QLO1598" s="390"/>
      <c r="QLP1598" s="391"/>
      <c r="QLQ1598" s="390"/>
      <c r="QLR1598" s="391"/>
      <c r="QLS1598" s="390"/>
      <c r="QLT1598" s="391"/>
      <c r="QLU1598" s="390"/>
      <c r="QLV1598" s="391"/>
      <c r="QLW1598" s="390"/>
      <c r="QLX1598" s="391"/>
      <c r="QLY1598" s="390"/>
      <c r="QLZ1598" s="391"/>
      <c r="QMA1598" s="390"/>
      <c r="QMB1598" s="391"/>
      <c r="QMC1598" s="390"/>
      <c r="QMD1598" s="391"/>
      <c r="QME1598" s="390"/>
      <c r="QMF1598" s="391"/>
      <c r="QMG1598" s="390"/>
      <c r="QMH1598" s="391"/>
      <c r="QMI1598" s="390"/>
      <c r="QMJ1598" s="391"/>
      <c r="QMK1598" s="390"/>
      <c r="QML1598" s="391"/>
      <c r="QMM1598" s="390"/>
      <c r="QMN1598" s="391"/>
      <c r="QMO1598" s="390"/>
      <c r="QMP1598" s="391"/>
      <c r="QMQ1598" s="390"/>
      <c r="QMR1598" s="391"/>
      <c r="QMS1598" s="390"/>
      <c r="QMT1598" s="391"/>
      <c r="QMU1598" s="390"/>
      <c r="QMV1598" s="391"/>
      <c r="QMW1598" s="390"/>
      <c r="QMX1598" s="391"/>
      <c r="QMY1598" s="390"/>
      <c r="QMZ1598" s="391"/>
      <c r="QNA1598" s="390"/>
      <c r="QNB1598" s="391"/>
      <c r="QNC1598" s="390"/>
      <c r="QND1598" s="391"/>
      <c r="QNE1598" s="390"/>
      <c r="QNF1598" s="391"/>
      <c r="QNG1598" s="390"/>
      <c r="QNH1598" s="391"/>
      <c r="QNI1598" s="390"/>
      <c r="QNJ1598" s="391"/>
      <c r="QNK1598" s="390"/>
      <c r="QNL1598" s="391"/>
      <c r="QNM1598" s="390"/>
      <c r="QNN1598" s="391"/>
      <c r="QNO1598" s="390"/>
      <c r="QNP1598" s="391"/>
      <c r="QNQ1598" s="390"/>
      <c r="QNR1598" s="391"/>
      <c r="QNS1598" s="390"/>
      <c r="QNT1598" s="391"/>
      <c r="QNU1598" s="390"/>
      <c r="QNV1598" s="391"/>
      <c r="QNW1598" s="390"/>
      <c r="QNX1598" s="391"/>
      <c r="QNY1598" s="390"/>
      <c r="QNZ1598" s="391"/>
      <c r="QOA1598" s="390"/>
      <c r="QOB1598" s="391"/>
      <c r="QOC1598" s="390"/>
      <c r="QOD1598" s="391"/>
      <c r="QOE1598" s="390"/>
      <c r="QOF1598" s="391"/>
      <c r="QOG1598" s="390"/>
      <c r="QOH1598" s="391"/>
      <c r="QOI1598" s="390"/>
      <c r="QOJ1598" s="391"/>
      <c r="QOK1598" s="390"/>
      <c r="QOL1598" s="391"/>
      <c r="QOM1598" s="390"/>
      <c r="QON1598" s="391"/>
      <c r="QOO1598" s="390"/>
      <c r="QOP1598" s="391"/>
      <c r="QOQ1598" s="390"/>
      <c r="QOR1598" s="391"/>
      <c r="QOS1598" s="390"/>
      <c r="QOT1598" s="391"/>
      <c r="QOU1598" s="390"/>
      <c r="QOV1598" s="391"/>
      <c r="QOW1598" s="390"/>
      <c r="QOX1598" s="391"/>
      <c r="QOY1598" s="390"/>
      <c r="QOZ1598" s="391"/>
      <c r="QPA1598" s="390"/>
      <c r="QPB1598" s="391"/>
      <c r="QPC1598" s="390"/>
      <c r="QPD1598" s="391"/>
      <c r="QPE1598" s="390"/>
      <c r="QPF1598" s="391"/>
      <c r="QPG1598" s="390"/>
      <c r="QPH1598" s="391"/>
      <c r="QPI1598" s="390"/>
      <c r="QPJ1598" s="391"/>
      <c r="QPK1598" s="390"/>
      <c r="QPL1598" s="391"/>
      <c r="QPM1598" s="390"/>
      <c r="QPN1598" s="391"/>
      <c r="QPO1598" s="390"/>
      <c r="QPP1598" s="391"/>
      <c r="QPQ1598" s="390"/>
      <c r="QPR1598" s="391"/>
      <c r="QPS1598" s="390"/>
      <c r="QPT1598" s="391"/>
      <c r="QPU1598" s="390"/>
      <c r="QPV1598" s="391"/>
      <c r="QPW1598" s="390"/>
      <c r="QPX1598" s="391"/>
      <c r="QPY1598" s="390"/>
      <c r="QPZ1598" s="391"/>
      <c r="QQA1598" s="390"/>
      <c r="QQB1598" s="391"/>
      <c r="QQC1598" s="390"/>
      <c r="QQD1598" s="391"/>
      <c r="QQE1598" s="390"/>
      <c r="QQF1598" s="391"/>
      <c r="QQG1598" s="390"/>
      <c r="QQH1598" s="391"/>
      <c r="QQI1598" s="390"/>
      <c r="QQJ1598" s="391"/>
      <c r="QQK1598" s="390"/>
      <c r="QQL1598" s="391"/>
      <c r="QQM1598" s="390"/>
      <c r="QQN1598" s="391"/>
      <c r="QQO1598" s="390"/>
      <c r="QQP1598" s="391"/>
      <c r="QQQ1598" s="390"/>
      <c r="QQR1598" s="391"/>
      <c r="QQS1598" s="390"/>
      <c r="QQT1598" s="391"/>
      <c r="QQU1598" s="390"/>
      <c r="QQV1598" s="391"/>
      <c r="QQW1598" s="390"/>
      <c r="QQX1598" s="391"/>
      <c r="QQY1598" s="390"/>
      <c r="QQZ1598" s="391"/>
      <c r="QRA1598" s="390"/>
      <c r="QRB1598" s="391"/>
      <c r="QRC1598" s="390"/>
      <c r="QRD1598" s="391"/>
      <c r="QRE1598" s="390"/>
      <c r="QRF1598" s="391"/>
      <c r="QRG1598" s="390"/>
      <c r="QRH1598" s="391"/>
      <c r="QRI1598" s="390"/>
      <c r="QRJ1598" s="391"/>
      <c r="QRK1598" s="390"/>
      <c r="QRL1598" s="391"/>
      <c r="QRM1598" s="390"/>
      <c r="QRN1598" s="391"/>
      <c r="QRO1598" s="390"/>
      <c r="QRP1598" s="391"/>
      <c r="QRQ1598" s="390"/>
      <c r="QRR1598" s="391"/>
      <c r="QRS1598" s="390"/>
      <c r="QRT1598" s="391"/>
      <c r="QRU1598" s="390"/>
      <c r="QRV1598" s="391"/>
      <c r="QRW1598" s="390"/>
      <c r="QRX1598" s="391"/>
      <c r="QRY1598" s="390"/>
      <c r="QRZ1598" s="391"/>
      <c r="QSA1598" s="390"/>
      <c r="QSB1598" s="391"/>
      <c r="QSC1598" s="390"/>
      <c r="QSD1598" s="391"/>
      <c r="QSE1598" s="390"/>
      <c r="QSF1598" s="391"/>
      <c r="QSG1598" s="390"/>
      <c r="QSH1598" s="391"/>
      <c r="QSI1598" s="390"/>
      <c r="QSJ1598" s="391"/>
      <c r="QSK1598" s="390"/>
      <c r="QSL1598" s="391"/>
      <c r="QSM1598" s="390"/>
      <c r="QSN1598" s="391"/>
      <c r="QSO1598" s="390"/>
      <c r="QSP1598" s="391"/>
      <c r="QSQ1598" s="390"/>
      <c r="QSR1598" s="391"/>
      <c r="QSS1598" s="390"/>
      <c r="QST1598" s="391"/>
      <c r="QSU1598" s="390"/>
      <c r="QSV1598" s="391"/>
      <c r="QSW1598" s="390"/>
      <c r="QSX1598" s="391"/>
      <c r="QSY1598" s="390"/>
      <c r="QSZ1598" s="391"/>
      <c r="QTA1598" s="390"/>
      <c r="QTB1598" s="391"/>
      <c r="QTC1598" s="390"/>
      <c r="QTD1598" s="391"/>
      <c r="QTE1598" s="390"/>
      <c r="QTF1598" s="391"/>
      <c r="QTG1598" s="390"/>
      <c r="QTH1598" s="391"/>
      <c r="QTI1598" s="390"/>
      <c r="QTJ1598" s="391"/>
      <c r="QTK1598" s="390"/>
      <c r="QTL1598" s="391"/>
      <c r="QTM1598" s="390"/>
      <c r="QTN1598" s="391"/>
      <c r="QTO1598" s="390"/>
      <c r="QTP1598" s="391"/>
      <c r="QTQ1598" s="390"/>
      <c r="QTR1598" s="391"/>
      <c r="QTS1598" s="390"/>
      <c r="QTT1598" s="391"/>
      <c r="QTU1598" s="390"/>
      <c r="QTV1598" s="391"/>
      <c r="QTW1598" s="390"/>
      <c r="QTX1598" s="391"/>
      <c r="QTY1598" s="390"/>
      <c r="QTZ1598" s="391"/>
      <c r="QUA1598" s="390"/>
      <c r="QUB1598" s="391"/>
      <c r="QUC1598" s="390"/>
      <c r="QUD1598" s="391"/>
      <c r="QUE1598" s="390"/>
      <c r="QUF1598" s="391"/>
      <c r="QUG1598" s="390"/>
      <c r="QUH1598" s="391"/>
      <c r="QUI1598" s="390"/>
      <c r="QUJ1598" s="391"/>
      <c r="QUK1598" s="390"/>
      <c r="QUL1598" s="391"/>
      <c r="QUM1598" s="390"/>
      <c r="QUN1598" s="391"/>
      <c r="QUO1598" s="390"/>
      <c r="QUP1598" s="391"/>
      <c r="QUQ1598" s="390"/>
      <c r="QUR1598" s="391"/>
      <c r="QUS1598" s="390"/>
      <c r="QUT1598" s="391"/>
      <c r="QUU1598" s="390"/>
      <c r="QUV1598" s="391"/>
      <c r="QUW1598" s="390"/>
      <c r="QUX1598" s="391"/>
      <c r="QUY1598" s="390"/>
      <c r="QUZ1598" s="391"/>
      <c r="QVA1598" s="390"/>
      <c r="QVB1598" s="391"/>
      <c r="QVC1598" s="390"/>
      <c r="QVD1598" s="391"/>
      <c r="QVE1598" s="390"/>
      <c r="QVF1598" s="391"/>
      <c r="QVG1598" s="390"/>
      <c r="QVH1598" s="391"/>
      <c r="QVI1598" s="390"/>
      <c r="QVJ1598" s="391"/>
      <c r="QVK1598" s="390"/>
      <c r="QVL1598" s="391"/>
      <c r="QVM1598" s="390"/>
      <c r="QVN1598" s="391"/>
      <c r="QVO1598" s="390"/>
      <c r="QVP1598" s="391"/>
      <c r="QVQ1598" s="390"/>
      <c r="QVR1598" s="391"/>
      <c r="QVS1598" s="390"/>
      <c r="QVT1598" s="391"/>
      <c r="QVU1598" s="390"/>
      <c r="QVV1598" s="391"/>
      <c r="QVW1598" s="390"/>
      <c r="QVX1598" s="391"/>
      <c r="QVY1598" s="390"/>
      <c r="QVZ1598" s="391"/>
      <c r="QWA1598" s="390"/>
      <c r="QWB1598" s="391"/>
      <c r="QWC1598" s="390"/>
      <c r="QWD1598" s="391"/>
      <c r="QWE1598" s="390"/>
      <c r="QWF1598" s="391"/>
      <c r="QWG1598" s="390"/>
      <c r="QWH1598" s="391"/>
      <c r="QWI1598" s="390"/>
      <c r="QWJ1598" s="391"/>
      <c r="QWK1598" s="390"/>
      <c r="QWL1598" s="391"/>
      <c r="QWM1598" s="390"/>
      <c r="QWN1598" s="391"/>
      <c r="QWO1598" s="390"/>
      <c r="QWP1598" s="391"/>
      <c r="QWQ1598" s="390"/>
      <c r="QWR1598" s="391"/>
      <c r="QWS1598" s="390"/>
      <c r="QWT1598" s="391"/>
      <c r="QWU1598" s="390"/>
      <c r="QWV1598" s="391"/>
      <c r="QWW1598" s="390"/>
      <c r="QWX1598" s="391"/>
      <c r="QWY1598" s="390"/>
      <c r="QWZ1598" s="391"/>
      <c r="QXA1598" s="390"/>
      <c r="QXB1598" s="391"/>
      <c r="QXC1598" s="390"/>
      <c r="QXD1598" s="391"/>
      <c r="QXE1598" s="390"/>
      <c r="QXF1598" s="391"/>
      <c r="QXG1598" s="390"/>
      <c r="QXH1598" s="391"/>
      <c r="QXI1598" s="390"/>
      <c r="QXJ1598" s="391"/>
      <c r="QXK1598" s="390"/>
      <c r="QXL1598" s="391"/>
      <c r="QXM1598" s="390"/>
      <c r="QXN1598" s="391"/>
      <c r="QXO1598" s="390"/>
      <c r="QXP1598" s="391"/>
      <c r="QXQ1598" s="390"/>
      <c r="QXR1598" s="391"/>
      <c r="QXS1598" s="390"/>
      <c r="QXT1598" s="391"/>
      <c r="QXU1598" s="390"/>
      <c r="QXV1598" s="391"/>
      <c r="QXW1598" s="390"/>
      <c r="QXX1598" s="391"/>
      <c r="QXY1598" s="390"/>
      <c r="QXZ1598" s="391"/>
      <c r="QYA1598" s="390"/>
      <c r="QYB1598" s="391"/>
      <c r="QYC1598" s="390"/>
      <c r="QYD1598" s="391"/>
      <c r="QYE1598" s="390"/>
      <c r="QYF1598" s="391"/>
      <c r="QYG1598" s="390"/>
      <c r="QYH1598" s="391"/>
      <c r="QYI1598" s="390"/>
      <c r="QYJ1598" s="391"/>
      <c r="QYK1598" s="390"/>
      <c r="QYL1598" s="391"/>
      <c r="QYM1598" s="390"/>
      <c r="QYN1598" s="391"/>
      <c r="QYO1598" s="390"/>
      <c r="QYP1598" s="391"/>
      <c r="QYQ1598" s="390"/>
      <c r="QYR1598" s="391"/>
      <c r="QYS1598" s="390"/>
      <c r="QYT1598" s="391"/>
      <c r="QYU1598" s="390"/>
      <c r="QYV1598" s="391"/>
      <c r="QYW1598" s="390"/>
      <c r="QYX1598" s="391"/>
      <c r="QYY1598" s="390"/>
      <c r="QYZ1598" s="391"/>
      <c r="QZA1598" s="390"/>
      <c r="QZB1598" s="391"/>
      <c r="QZC1598" s="390"/>
      <c r="QZD1598" s="391"/>
      <c r="QZE1598" s="390"/>
      <c r="QZF1598" s="391"/>
      <c r="QZG1598" s="390"/>
      <c r="QZH1598" s="391"/>
      <c r="QZI1598" s="390"/>
      <c r="QZJ1598" s="391"/>
      <c r="QZK1598" s="390"/>
      <c r="QZL1598" s="391"/>
      <c r="QZM1598" s="390"/>
      <c r="QZN1598" s="391"/>
      <c r="QZO1598" s="390"/>
      <c r="QZP1598" s="391"/>
      <c r="QZQ1598" s="390"/>
      <c r="QZR1598" s="391"/>
      <c r="QZS1598" s="390"/>
      <c r="QZT1598" s="391"/>
      <c r="QZU1598" s="390"/>
      <c r="QZV1598" s="391"/>
      <c r="QZW1598" s="390"/>
      <c r="QZX1598" s="391"/>
      <c r="QZY1598" s="390"/>
      <c r="QZZ1598" s="391"/>
      <c r="RAA1598" s="390"/>
      <c r="RAB1598" s="391"/>
      <c r="RAC1598" s="390"/>
      <c r="RAD1598" s="391"/>
      <c r="RAE1598" s="390"/>
      <c r="RAF1598" s="391"/>
      <c r="RAG1598" s="390"/>
      <c r="RAH1598" s="391"/>
      <c r="RAI1598" s="390"/>
      <c r="RAJ1598" s="391"/>
      <c r="RAK1598" s="390"/>
      <c r="RAL1598" s="391"/>
      <c r="RAM1598" s="390"/>
      <c r="RAN1598" s="391"/>
      <c r="RAO1598" s="390"/>
      <c r="RAP1598" s="391"/>
      <c r="RAQ1598" s="390"/>
      <c r="RAR1598" s="391"/>
      <c r="RAS1598" s="390"/>
      <c r="RAT1598" s="391"/>
      <c r="RAU1598" s="390"/>
      <c r="RAV1598" s="391"/>
      <c r="RAW1598" s="390"/>
      <c r="RAX1598" s="391"/>
      <c r="RAY1598" s="390"/>
      <c r="RAZ1598" s="391"/>
      <c r="RBA1598" s="390"/>
      <c r="RBB1598" s="391"/>
      <c r="RBC1598" s="390"/>
      <c r="RBD1598" s="391"/>
      <c r="RBE1598" s="390"/>
      <c r="RBF1598" s="391"/>
      <c r="RBG1598" s="390"/>
      <c r="RBH1598" s="391"/>
      <c r="RBI1598" s="390"/>
      <c r="RBJ1598" s="391"/>
      <c r="RBK1598" s="390"/>
      <c r="RBL1598" s="391"/>
      <c r="RBM1598" s="390"/>
      <c r="RBN1598" s="391"/>
      <c r="RBO1598" s="390"/>
      <c r="RBP1598" s="391"/>
      <c r="RBQ1598" s="390"/>
      <c r="RBR1598" s="391"/>
      <c r="RBS1598" s="390"/>
      <c r="RBT1598" s="391"/>
      <c r="RBU1598" s="390"/>
      <c r="RBV1598" s="391"/>
      <c r="RBW1598" s="390"/>
      <c r="RBX1598" s="391"/>
      <c r="RBY1598" s="390"/>
      <c r="RBZ1598" s="391"/>
      <c r="RCA1598" s="390"/>
      <c r="RCB1598" s="391"/>
      <c r="RCC1598" s="390"/>
      <c r="RCD1598" s="391"/>
      <c r="RCE1598" s="390"/>
      <c r="RCF1598" s="391"/>
      <c r="RCG1598" s="390"/>
      <c r="RCH1598" s="391"/>
      <c r="RCI1598" s="390"/>
      <c r="RCJ1598" s="391"/>
      <c r="RCK1598" s="390"/>
      <c r="RCL1598" s="391"/>
      <c r="RCM1598" s="390"/>
      <c r="RCN1598" s="391"/>
      <c r="RCO1598" s="390"/>
      <c r="RCP1598" s="391"/>
      <c r="RCQ1598" s="390"/>
      <c r="RCR1598" s="391"/>
      <c r="RCS1598" s="390"/>
      <c r="RCT1598" s="391"/>
      <c r="RCU1598" s="390"/>
      <c r="RCV1598" s="391"/>
      <c r="RCW1598" s="390"/>
      <c r="RCX1598" s="391"/>
      <c r="RCY1598" s="390"/>
      <c r="RCZ1598" s="391"/>
      <c r="RDA1598" s="390"/>
      <c r="RDB1598" s="391"/>
      <c r="RDC1598" s="390"/>
      <c r="RDD1598" s="391"/>
      <c r="RDE1598" s="390"/>
      <c r="RDF1598" s="391"/>
      <c r="RDG1598" s="390"/>
      <c r="RDH1598" s="391"/>
      <c r="RDI1598" s="390"/>
      <c r="RDJ1598" s="391"/>
      <c r="RDK1598" s="390"/>
      <c r="RDL1598" s="391"/>
      <c r="RDM1598" s="390"/>
      <c r="RDN1598" s="391"/>
      <c r="RDO1598" s="390"/>
      <c r="RDP1598" s="391"/>
      <c r="RDQ1598" s="390"/>
      <c r="RDR1598" s="391"/>
      <c r="RDS1598" s="390"/>
      <c r="RDT1598" s="391"/>
      <c r="RDU1598" s="390"/>
      <c r="RDV1598" s="391"/>
      <c r="RDW1598" s="390"/>
      <c r="RDX1598" s="391"/>
      <c r="RDY1598" s="390"/>
      <c r="RDZ1598" s="391"/>
      <c r="REA1598" s="390"/>
      <c r="REB1598" s="391"/>
      <c r="REC1598" s="390"/>
      <c r="RED1598" s="391"/>
      <c r="REE1598" s="390"/>
      <c r="REF1598" s="391"/>
      <c r="REG1598" s="390"/>
      <c r="REH1598" s="391"/>
      <c r="REI1598" s="390"/>
      <c r="REJ1598" s="391"/>
      <c r="REK1598" s="390"/>
      <c r="REL1598" s="391"/>
      <c r="REM1598" s="390"/>
      <c r="REN1598" s="391"/>
      <c r="REO1598" s="390"/>
      <c r="REP1598" s="391"/>
      <c r="REQ1598" s="390"/>
      <c r="RER1598" s="391"/>
      <c r="RES1598" s="390"/>
      <c r="RET1598" s="391"/>
      <c r="REU1598" s="390"/>
      <c r="REV1598" s="391"/>
      <c r="REW1598" s="390"/>
      <c r="REX1598" s="391"/>
      <c r="REY1598" s="390"/>
      <c r="REZ1598" s="391"/>
      <c r="RFA1598" s="390"/>
      <c r="RFB1598" s="391"/>
      <c r="RFC1598" s="390"/>
      <c r="RFD1598" s="391"/>
      <c r="RFE1598" s="390"/>
      <c r="RFF1598" s="391"/>
      <c r="RFG1598" s="390"/>
      <c r="RFH1598" s="391"/>
      <c r="RFI1598" s="390"/>
      <c r="RFJ1598" s="391"/>
      <c r="RFK1598" s="390"/>
      <c r="RFL1598" s="391"/>
      <c r="RFM1598" s="390"/>
      <c r="RFN1598" s="391"/>
      <c r="RFO1598" s="390"/>
      <c r="RFP1598" s="391"/>
      <c r="RFQ1598" s="390"/>
      <c r="RFR1598" s="391"/>
      <c r="RFS1598" s="390"/>
      <c r="RFT1598" s="391"/>
      <c r="RFU1598" s="390"/>
      <c r="RFV1598" s="391"/>
      <c r="RFW1598" s="390"/>
      <c r="RFX1598" s="391"/>
      <c r="RFY1598" s="390"/>
      <c r="RFZ1598" s="391"/>
      <c r="RGA1598" s="390"/>
      <c r="RGB1598" s="391"/>
      <c r="RGC1598" s="390"/>
      <c r="RGD1598" s="391"/>
      <c r="RGE1598" s="390"/>
      <c r="RGF1598" s="391"/>
      <c r="RGG1598" s="390"/>
      <c r="RGH1598" s="391"/>
      <c r="RGI1598" s="390"/>
      <c r="RGJ1598" s="391"/>
      <c r="RGK1598" s="390"/>
      <c r="RGL1598" s="391"/>
      <c r="RGM1598" s="390"/>
      <c r="RGN1598" s="391"/>
      <c r="RGO1598" s="390"/>
      <c r="RGP1598" s="391"/>
      <c r="RGQ1598" s="390"/>
      <c r="RGR1598" s="391"/>
      <c r="RGS1598" s="390"/>
      <c r="RGT1598" s="391"/>
      <c r="RGU1598" s="390"/>
      <c r="RGV1598" s="391"/>
      <c r="RGW1598" s="390"/>
      <c r="RGX1598" s="391"/>
      <c r="RGY1598" s="390"/>
      <c r="RGZ1598" s="391"/>
      <c r="RHA1598" s="390"/>
      <c r="RHB1598" s="391"/>
      <c r="RHC1598" s="390"/>
      <c r="RHD1598" s="391"/>
      <c r="RHE1598" s="390"/>
      <c r="RHF1598" s="391"/>
      <c r="RHG1598" s="390"/>
      <c r="RHH1598" s="391"/>
      <c r="RHI1598" s="390"/>
      <c r="RHJ1598" s="391"/>
      <c r="RHK1598" s="390"/>
      <c r="RHL1598" s="391"/>
      <c r="RHM1598" s="390"/>
      <c r="RHN1598" s="391"/>
      <c r="RHO1598" s="390"/>
      <c r="RHP1598" s="391"/>
      <c r="RHQ1598" s="390"/>
      <c r="RHR1598" s="391"/>
      <c r="RHS1598" s="390"/>
      <c r="RHT1598" s="391"/>
      <c r="RHU1598" s="390"/>
      <c r="RHV1598" s="391"/>
      <c r="RHW1598" s="390"/>
      <c r="RHX1598" s="391"/>
      <c r="RHY1598" s="390"/>
      <c r="RHZ1598" s="391"/>
      <c r="RIA1598" s="390"/>
      <c r="RIB1598" s="391"/>
      <c r="RIC1598" s="390"/>
      <c r="RID1598" s="391"/>
      <c r="RIE1598" s="390"/>
      <c r="RIF1598" s="391"/>
      <c r="RIG1598" s="390"/>
      <c r="RIH1598" s="391"/>
      <c r="RII1598" s="390"/>
      <c r="RIJ1598" s="391"/>
      <c r="RIK1598" s="390"/>
      <c r="RIL1598" s="391"/>
      <c r="RIM1598" s="390"/>
      <c r="RIN1598" s="391"/>
      <c r="RIO1598" s="390"/>
      <c r="RIP1598" s="391"/>
      <c r="RIQ1598" s="390"/>
      <c r="RIR1598" s="391"/>
      <c r="RIS1598" s="390"/>
      <c r="RIT1598" s="391"/>
      <c r="RIU1598" s="390"/>
      <c r="RIV1598" s="391"/>
      <c r="RIW1598" s="390"/>
      <c r="RIX1598" s="391"/>
      <c r="RIY1598" s="390"/>
      <c r="RIZ1598" s="391"/>
      <c r="RJA1598" s="390"/>
      <c r="RJB1598" s="391"/>
      <c r="RJC1598" s="390"/>
      <c r="RJD1598" s="391"/>
      <c r="RJE1598" s="390"/>
      <c r="RJF1598" s="391"/>
      <c r="RJG1598" s="390"/>
      <c r="RJH1598" s="391"/>
      <c r="RJI1598" s="390"/>
      <c r="RJJ1598" s="391"/>
      <c r="RJK1598" s="390"/>
      <c r="RJL1598" s="391"/>
      <c r="RJM1598" s="390"/>
      <c r="RJN1598" s="391"/>
      <c r="RJO1598" s="390"/>
      <c r="RJP1598" s="391"/>
      <c r="RJQ1598" s="390"/>
      <c r="RJR1598" s="391"/>
      <c r="RJS1598" s="390"/>
      <c r="RJT1598" s="391"/>
      <c r="RJU1598" s="390"/>
      <c r="RJV1598" s="391"/>
      <c r="RJW1598" s="390"/>
      <c r="RJX1598" s="391"/>
      <c r="RJY1598" s="390"/>
      <c r="RJZ1598" s="391"/>
      <c r="RKA1598" s="390"/>
      <c r="RKB1598" s="391"/>
      <c r="RKC1598" s="390"/>
      <c r="RKD1598" s="391"/>
      <c r="RKE1598" s="390"/>
      <c r="RKF1598" s="391"/>
      <c r="RKG1598" s="390"/>
      <c r="RKH1598" s="391"/>
      <c r="RKI1598" s="390"/>
      <c r="RKJ1598" s="391"/>
      <c r="RKK1598" s="390"/>
      <c r="RKL1598" s="391"/>
      <c r="RKM1598" s="390"/>
      <c r="RKN1598" s="391"/>
      <c r="RKO1598" s="390"/>
      <c r="RKP1598" s="391"/>
      <c r="RKQ1598" s="390"/>
      <c r="RKR1598" s="391"/>
      <c r="RKS1598" s="390"/>
      <c r="RKT1598" s="391"/>
      <c r="RKU1598" s="390"/>
      <c r="RKV1598" s="391"/>
      <c r="RKW1598" s="390"/>
      <c r="RKX1598" s="391"/>
      <c r="RKY1598" s="390"/>
      <c r="RKZ1598" s="391"/>
      <c r="RLA1598" s="390"/>
      <c r="RLB1598" s="391"/>
      <c r="RLC1598" s="390"/>
      <c r="RLD1598" s="391"/>
      <c r="RLE1598" s="390"/>
      <c r="RLF1598" s="391"/>
      <c r="RLG1598" s="390"/>
      <c r="RLH1598" s="391"/>
      <c r="RLI1598" s="390"/>
      <c r="RLJ1598" s="391"/>
      <c r="RLK1598" s="390"/>
      <c r="RLL1598" s="391"/>
      <c r="RLM1598" s="390"/>
      <c r="RLN1598" s="391"/>
      <c r="RLO1598" s="390"/>
      <c r="RLP1598" s="391"/>
      <c r="RLQ1598" s="390"/>
      <c r="RLR1598" s="391"/>
      <c r="RLS1598" s="390"/>
      <c r="RLT1598" s="391"/>
      <c r="RLU1598" s="390"/>
      <c r="RLV1598" s="391"/>
      <c r="RLW1598" s="390"/>
      <c r="RLX1598" s="391"/>
      <c r="RLY1598" s="390"/>
      <c r="RLZ1598" s="391"/>
      <c r="RMA1598" s="390"/>
      <c r="RMB1598" s="391"/>
      <c r="RMC1598" s="390"/>
      <c r="RMD1598" s="391"/>
      <c r="RME1598" s="390"/>
      <c r="RMF1598" s="391"/>
      <c r="RMG1598" s="390"/>
      <c r="RMH1598" s="391"/>
      <c r="RMI1598" s="390"/>
      <c r="RMJ1598" s="391"/>
      <c r="RMK1598" s="390"/>
      <c r="RML1598" s="391"/>
      <c r="RMM1598" s="390"/>
      <c r="RMN1598" s="391"/>
      <c r="RMO1598" s="390"/>
      <c r="RMP1598" s="391"/>
      <c r="RMQ1598" s="390"/>
      <c r="RMR1598" s="391"/>
      <c r="RMS1598" s="390"/>
      <c r="RMT1598" s="391"/>
      <c r="RMU1598" s="390"/>
      <c r="RMV1598" s="391"/>
      <c r="RMW1598" s="390"/>
      <c r="RMX1598" s="391"/>
      <c r="RMY1598" s="390"/>
      <c r="RMZ1598" s="391"/>
      <c r="RNA1598" s="390"/>
      <c r="RNB1598" s="391"/>
      <c r="RNC1598" s="390"/>
      <c r="RND1598" s="391"/>
      <c r="RNE1598" s="390"/>
      <c r="RNF1598" s="391"/>
      <c r="RNG1598" s="390"/>
      <c r="RNH1598" s="391"/>
      <c r="RNI1598" s="390"/>
      <c r="RNJ1598" s="391"/>
      <c r="RNK1598" s="390"/>
      <c r="RNL1598" s="391"/>
      <c r="RNM1598" s="390"/>
      <c r="RNN1598" s="391"/>
      <c r="RNO1598" s="390"/>
      <c r="RNP1598" s="391"/>
      <c r="RNQ1598" s="390"/>
      <c r="RNR1598" s="391"/>
      <c r="RNS1598" s="390"/>
      <c r="RNT1598" s="391"/>
      <c r="RNU1598" s="390"/>
      <c r="RNV1598" s="391"/>
      <c r="RNW1598" s="390"/>
      <c r="RNX1598" s="391"/>
      <c r="RNY1598" s="390"/>
      <c r="RNZ1598" s="391"/>
      <c r="ROA1598" s="390"/>
      <c r="ROB1598" s="391"/>
      <c r="ROC1598" s="390"/>
      <c r="ROD1598" s="391"/>
      <c r="ROE1598" s="390"/>
      <c r="ROF1598" s="391"/>
      <c r="ROG1598" s="390"/>
      <c r="ROH1598" s="391"/>
      <c r="ROI1598" s="390"/>
      <c r="ROJ1598" s="391"/>
      <c r="ROK1598" s="390"/>
      <c r="ROL1598" s="391"/>
      <c r="ROM1598" s="390"/>
      <c r="RON1598" s="391"/>
      <c r="ROO1598" s="390"/>
      <c r="ROP1598" s="391"/>
      <c r="ROQ1598" s="390"/>
      <c r="ROR1598" s="391"/>
      <c r="ROS1598" s="390"/>
      <c r="ROT1598" s="391"/>
      <c r="ROU1598" s="390"/>
      <c r="ROV1598" s="391"/>
      <c r="ROW1598" s="390"/>
      <c r="ROX1598" s="391"/>
      <c r="ROY1598" s="390"/>
      <c r="ROZ1598" s="391"/>
      <c r="RPA1598" s="390"/>
      <c r="RPB1598" s="391"/>
      <c r="RPC1598" s="390"/>
      <c r="RPD1598" s="391"/>
      <c r="RPE1598" s="390"/>
      <c r="RPF1598" s="391"/>
      <c r="RPG1598" s="390"/>
      <c r="RPH1598" s="391"/>
      <c r="RPI1598" s="390"/>
      <c r="RPJ1598" s="391"/>
      <c r="RPK1598" s="390"/>
      <c r="RPL1598" s="391"/>
      <c r="RPM1598" s="390"/>
      <c r="RPN1598" s="391"/>
      <c r="RPO1598" s="390"/>
      <c r="RPP1598" s="391"/>
      <c r="RPQ1598" s="390"/>
      <c r="RPR1598" s="391"/>
      <c r="RPS1598" s="390"/>
      <c r="RPT1598" s="391"/>
      <c r="RPU1598" s="390"/>
      <c r="RPV1598" s="391"/>
      <c r="RPW1598" s="390"/>
      <c r="RPX1598" s="391"/>
      <c r="RPY1598" s="390"/>
      <c r="RPZ1598" s="391"/>
      <c r="RQA1598" s="390"/>
      <c r="RQB1598" s="391"/>
      <c r="RQC1598" s="390"/>
      <c r="RQD1598" s="391"/>
      <c r="RQE1598" s="390"/>
      <c r="RQF1598" s="391"/>
      <c r="RQG1598" s="390"/>
      <c r="RQH1598" s="391"/>
      <c r="RQI1598" s="390"/>
      <c r="RQJ1598" s="391"/>
      <c r="RQK1598" s="390"/>
      <c r="RQL1598" s="391"/>
      <c r="RQM1598" s="390"/>
      <c r="RQN1598" s="391"/>
      <c r="RQO1598" s="390"/>
      <c r="RQP1598" s="391"/>
      <c r="RQQ1598" s="390"/>
      <c r="RQR1598" s="391"/>
      <c r="RQS1598" s="390"/>
      <c r="RQT1598" s="391"/>
      <c r="RQU1598" s="390"/>
      <c r="RQV1598" s="391"/>
      <c r="RQW1598" s="390"/>
      <c r="RQX1598" s="391"/>
      <c r="RQY1598" s="390"/>
      <c r="RQZ1598" s="391"/>
      <c r="RRA1598" s="390"/>
      <c r="RRB1598" s="391"/>
      <c r="RRC1598" s="390"/>
      <c r="RRD1598" s="391"/>
      <c r="RRE1598" s="390"/>
      <c r="RRF1598" s="391"/>
      <c r="RRG1598" s="390"/>
      <c r="RRH1598" s="391"/>
      <c r="RRI1598" s="390"/>
      <c r="RRJ1598" s="391"/>
      <c r="RRK1598" s="390"/>
      <c r="RRL1598" s="391"/>
      <c r="RRM1598" s="390"/>
      <c r="RRN1598" s="391"/>
      <c r="RRO1598" s="390"/>
      <c r="RRP1598" s="391"/>
      <c r="RRQ1598" s="390"/>
      <c r="RRR1598" s="391"/>
      <c r="RRS1598" s="390"/>
      <c r="RRT1598" s="391"/>
      <c r="RRU1598" s="390"/>
      <c r="RRV1598" s="391"/>
      <c r="RRW1598" s="390"/>
      <c r="RRX1598" s="391"/>
      <c r="RRY1598" s="390"/>
      <c r="RRZ1598" s="391"/>
      <c r="RSA1598" s="390"/>
      <c r="RSB1598" s="391"/>
      <c r="RSC1598" s="390"/>
      <c r="RSD1598" s="391"/>
      <c r="RSE1598" s="390"/>
      <c r="RSF1598" s="391"/>
      <c r="RSG1598" s="390"/>
      <c r="RSH1598" s="391"/>
      <c r="RSI1598" s="390"/>
      <c r="RSJ1598" s="391"/>
      <c r="RSK1598" s="390"/>
      <c r="RSL1598" s="391"/>
      <c r="RSM1598" s="390"/>
      <c r="RSN1598" s="391"/>
      <c r="RSO1598" s="390"/>
      <c r="RSP1598" s="391"/>
      <c r="RSQ1598" s="390"/>
      <c r="RSR1598" s="391"/>
      <c r="RSS1598" s="390"/>
      <c r="RST1598" s="391"/>
      <c r="RSU1598" s="390"/>
      <c r="RSV1598" s="391"/>
      <c r="RSW1598" s="390"/>
      <c r="RSX1598" s="391"/>
      <c r="RSY1598" s="390"/>
      <c r="RSZ1598" s="391"/>
      <c r="RTA1598" s="390"/>
      <c r="RTB1598" s="391"/>
      <c r="RTC1598" s="390"/>
      <c r="RTD1598" s="391"/>
      <c r="RTE1598" s="390"/>
      <c r="RTF1598" s="391"/>
      <c r="RTG1598" s="390"/>
      <c r="RTH1598" s="391"/>
      <c r="RTI1598" s="390"/>
      <c r="RTJ1598" s="391"/>
      <c r="RTK1598" s="390"/>
      <c r="RTL1598" s="391"/>
      <c r="RTM1598" s="390"/>
      <c r="RTN1598" s="391"/>
      <c r="RTO1598" s="390"/>
      <c r="RTP1598" s="391"/>
      <c r="RTQ1598" s="390"/>
      <c r="RTR1598" s="391"/>
      <c r="RTS1598" s="390"/>
      <c r="RTT1598" s="391"/>
      <c r="RTU1598" s="390"/>
      <c r="RTV1598" s="391"/>
      <c r="RTW1598" s="390"/>
      <c r="RTX1598" s="391"/>
      <c r="RTY1598" s="390"/>
      <c r="RTZ1598" s="391"/>
      <c r="RUA1598" s="390"/>
      <c r="RUB1598" s="391"/>
      <c r="RUC1598" s="390"/>
      <c r="RUD1598" s="391"/>
      <c r="RUE1598" s="390"/>
      <c r="RUF1598" s="391"/>
      <c r="RUG1598" s="390"/>
      <c r="RUH1598" s="391"/>
      <c r="RUI1598" s="390"/>
      <c r="RUJ1598" s="391"/>
      <c r="RUK1598" s="390"/>
      <c r="RUL1598" s="391"/>
      <c r="RUM1598" s="390"/>
      <c r="RUN1598" s="391"/>
      <c r="RUO1598" s="390"/>
      <c r="RUP1598" s="391"/>
      <c r="RUQ1598" s="390"/>
      <c r="RUR1598" s="391"/>
      <c r="RUS1598" s="390"/>
      <c r="RUT1598" s="391"/>
      <c r="RUU1598" s="390"/>
      <c r="RUV1598" s="391"/>
      <c r="RUW1598" s="390"/>
      <c r="RUX1598" s="391"/>
      <c r="RUY1598" s="390"/>
      <c r="RUZ1598" s="391"/>
      <c r="RVA1598" s="390"/>
      <c r="RVB1598" s="391"/>
      <c r="RVC1598" s="390"/>
      <c r="RVD1598" s="391"/>
      <c r="RVE1598" s="390"/>
      <c r="RVF1598" s="391"/>
      <c r="RVG1598" s="390"/>
      <c r="RVH1598" s="391"/>
      <c r="RVI1598" s="390"/>
      <c r="RVJ1598" s="391"/>
      <c r="RVK1598" s="390"/>
      <c r="RVL1598" s="391"/>
      <c r="RVM1598" s="390"/>
      <c r="RVN1598" s="391"/>
      <c r="RVO1598" s="390"/>
      <c r="RVP1598" s="391"/>
      <c r="RVQ1598" s="390"/>
      <c r="RVR1598" s="391"/>
      <c r="RVS1598" s="390"/>
      <c r="RVT1598" s="391"/>
      <c r="RVU1598" s="390"/>
      <c r="RVV1598" s="391"/>
      <c r="RVW1598" s="390"/>
      <c r="RVX1598" s="391"/>
      <c r="RVY1598" s="390"/>
      <c r="RVZ1598" s="391"/>
      <c r="RWA1598" s="390"/>
      <c r="RWB1598" s="391"/>
      <c r="RWC1598" s="390"/>
      <c r="RWD1598" s="391"/>
      <c r="RWE1598" s="390"/>
      <c r="RWF1598" s="391"/>
      <c r="RWG1598" s="390"/>
      <c r="RWH1598" s="391"/>
      <c r="RWI1598" s="390"/>
      <c r="RWJ1598" s="391"/>
      <c r="RWK1598" s="390"/>
      <c r="RWL1598" s="391"/>
      <c r="RWM1598" s="390"/>
      <c r="RWN1598" s="391"/>
      <c r="RWO1598" s="390"/>
      <c r="RWP1598" s="391"/>
      <c r="RWQ1598" s="390"/>
      <c r="RWR1598" s="391"/>
      <c r="RWS1598" s="390"/>
      <c r="RWT1598" s="391"/>
      <c r="RWU1598" s="390"/>
      <c r="RWV1598" s="391"/>
      <c r="RWW1598" s="390"/>
      <c r="RWX1598" s="391"/>
      <c r="RWY1598" s="390"/>
      <c r="RWZ1598" s="391"/>
      <c r="RXA1598" s="390"/>
      <c r="RXB1598" s="391"/>
      <c r="RXC1598" s="390"/>
      <c r="RXD1598" s="391"/>
      <c r="RXE1598" s="390"/>
      <c r="RXF1598" s="391"/>
      <c r="RXG1598" s="390"/>
      <c r="RXH1598" s="391"/>
      <c r="RXI1598" s="390"/>
      <c r="RXJ1598" s="391"/>
      <c r="RXK1598" s="390"/>
      <c r="RXL1598" s="391"/>
      <c r="RXM1598" s="390"/>
      <c r="RXN1598" s="391"/>
      <c r="RXO1598" s="390"/>
      <c r="RXP1598" s="391"/>
      <c r="RXQ1598" s="390"/>
      <c r="RXR1598" s="391"/>
      <c r="RXS1598" s="390"/>
      <c r="RXT1598" s="391"/>
      <c r="RXU1598" s="390"/>
      <c r="RXV1598" s="391"/>
      <c r="RXW1598" s="390"/>
      <c r="RXX1598" s="391"/>
      <c r="RXY1598" s="390"/>
      <c r="RXZ1598" s="391"/>
      <c r="RYA1598" s="390"/>
      <c r="RYB1598" s="391"/>
      <c r="RYC1598" s="390"/>
      <c r="RYD1598" s="391"/>
      <c r="RYE1598" s="390"/>
      <c r="RYF1598" s="391"/>
      <c r="RYG1598" s="390"/>
      <c r="RYH1598" s="391"/>
      <c r="RYI1598" s="390"/>
      <c r="RYJ1598" s="391"/>
      <c r="RYK1598" s="390"/>
      <c r="RYL1598" s="391"/>
      <c r="RYM1598" s="390"/>
      <c r="RYN1598" s="391"/>
      <c r="RYO1598" s="390"/>
      <c r="RYP1598" s="391"/>
      <c r="RYQ1598" s="390"/>
      <c r="RYR1598" s="391"/>
      <c r="RYS1598" s="390"/>
      <c r="RYT1598" s="391"/>
      <c r="RYU1598" s="390"/>
      <c r="RYV1598" s="391"/>
      <c r="RYW1598" s="390"/>
      <c r="RYX1598" s="391"/>
      <c r="RYY1598" s="390"/>
      <c r="RYZ1598" s="391"/>
      <c r="RZA1598" s="390"/>
      <c r="RZB1598" s="391"/>
      <c r="RZC1598" s="390"/>
      <c r="RZD1598" s="391"/>
      <c r="RZE1598" s="390"/>
      <c r="RZF1598" s="391"/>
      <c r="RZG1598" s="390"/>
      <c r="RZH1598" s="391"/>
      <c r="RZI1598" s="390"/>
      <c r="RZJ1598" s="391"/>
      <c r="RZK1598" s="390"/>
      <c r="RZL1598" s="391"/>
      <c r="RZM1598" s="390"/>
      <c r="RZN1598" s="391"/>
      <c r="RZO1598" s="390"/>
      <c r="RZP1598" s="391"/>
      <c r="RZQ1598" s="390"/>
      <c r="RZR1598" s="391"/>
      <c r="RZS1598" s="390"/>
      <c r="RZT1598" s="391"/>
      <c r="RZU1598" s="390"/>
      <c r="RZV1598" s="391"/>
      <c r="RZW1598" s="390"/>
      <c r="RZX1598" s="391"/>
      <c r="RZY1598" s="390"/>
      <c r="RZZ1598" s="391"/>
      <c r="SAA1598" s="390"/>
      <c r="SAB1598" s="391"/>
      <c r="SAC1598" s="390"/>
      <c r="SAD1598" s="391"/>
      <c r="SAE1598" s="390"/>
      <c r="SAF1598" s="391"/>
      <c r="SAG1598" s="390"/>
      <c r="SAH1598" s="391"/>
      <c r="SAI1598" s="390"/>
      <c r="SAJ1598" s="391"/>
      <c r="SAK1598" s="390"/>
      <c r="SAL1598" s="391"/>
      <c r="SAM1598" s="390"/>
      <c r="SAN1598" s="391"/>
      <c r="SAO1598" s="390"/>
      <c r="SAP1598" s="391"/>
      <c r="SAQ1598" s="390"/>
      <c r="SAR1598" s="391"/>
      <c r="SAS1598" s="390"/>
      <c r="SAT1598" s="391"/>
      <c r="SAU1598" s="390"/>
      <c r="SAV1598" s="391"/>
      <c r="SAW1598" s="390"/>
      <c r="SAX1598" s="391"/>
      <c r="SAY1598" s="390"/>
      <c r="SAZ1598" s="391"/>
      <c r="SBA1598" s="390"/>
      <c r="SBB1598" s="391"/>
      <c r="SBC1598" s="390"/>
      <c r="SBD1598" s="391"/>
      <c r="SBE1598" s="390"/>
      <c r="SBF1598" s="391"/>
      <c r="SBG1598" s="390"/>
      <c r="SBH1598" s="391"/>
      <c r="SBI1598" s="390"/>
      <c r="SBJ1598" s="391"/>
      <c r="SBK1598" s="390"/>
      <c r="SBL1598" s="391"/>
      <c r="SBM1598" s="390"/>
      <c r="SBN1598" s="391"/>
      <c r="SBO1598" s="390"/>
      <c r="SBP1598" s="391"/>
      <c r="SBQ1598" s="390"/>
      <c r="SBR1598" s="391"/>
      <c r="SBS1598" s="390"/>
      <c r="SBT1598" s="391"/>
      <c r="SBU1598" s="390"/>
      <c r="SBV1598" s="391"/>
      <c r="SBW1598" s="390"/>
      <c r="SBX1598" s="391"/>
      <c r="SBY1598" s="390"/>
      <c r="SBZ1598" s="391"/>
      <c r="SCA1598" s="390"/>
      <c r="SCB1598" s="391"/>
      <c r="SCC1598" s="390"/>
      <c r="SCD1598" s="391"/>
      <c r="SCE1598" s="390"/>
      <c r="SCF1598" s="391"/>
      <c r="SCG1598" s="390"/>
      <c r="SCH1598" s="391"/>
      <c r="SCI1598" s="390"/>
      <c r="SCJ1598" s="391"/>
      <c r="SCK1598" s="390"/>
      <c r="SCL1598" s="391"/>
      <c r="SCM1598" s="390"/>
      <c r="SCN1598" s="391"/>
      <c r="SCO1598" s="390"/>
      <c r="SCP1598" s="391"/>
      <c r="SCQ1598" s="390"/>
      <c r="SCR1598" s="391"/>
      <c r="SCS1598" s="390"/>
      <c r="SCT1598" s="391"/>
      <c r="SCU1598" s="390"/>
      <c r="SCV1598" s="391"/>
      <c r="SCW1598" s="390"/>
      <c r="SCX1598" s="391"/>
      <c r="SCY1598" s="390"/>
      <c r="SCZ1598" s="391"/>
      <c r="SDA1598" s="390"/>
      <c r="SDB1598" s="391"/>
      <c r="SDC1598" s="390"/>
      <c r="SDD1598" s="391"/>
      <c r="SDE1598" s="390"/>
      <c r="SDF1598" s="391"/>
      <c r="SDG1598" s="390"/>
      <c r="SDH1598" s="391"/>
      <c r="SDI1598" s="390"/>
      <c r="SDJ1598" s="391"/>
      <c r="SDK1598" s="390"/>
      <c r="SDL1598" s="391"/>
      <c r="SDM1598" s="390"/>
      <c r="SDN1598" s="391"/>
      <c r="SDO1598" s="390"/>
      <c r="SDP1598" s="391"/>
      <c r="SDQ1598" s="390"/>
      <c r="SDR1598" s="391"/>
      <c r="SDS1598" s="390"/>
      <c r="SDT1598" s="391"/>
      <c r="SDU1598" s="390"/>
      <c r="SDV1598" s="391"/>
      <c r="SDW1598" s="390"/>
      <c r="SDX1598" s="391"/>
      <c r="SDY1598" s="390"/>
      <c r="SDZ1598" s="391"/>
      <c r="SEA1598" s="390"/>
      <c r="SEB1598" s="391"/>
      <c r="SEC1598" s="390"/>
      <c r="SED1598" s="391"/>
      <c r="SEE1598" s="390"/>
      <c r="SEF1598" s="391"/>
      <c r="SEG1598" s="390"/>
      <c r="SEH1598" s="391"/>
      <c r="SEI1598" s="390"/>
      <c r="SEJ1598" s="391"/>
      <c r="SEK1598" s="390"/>
      <c r="SEL1598" s="391"/>
      <c r="SEM1598" s="390"/>
      <c r="SEN1598" s="391"/>
      <c r="SEO1598" s="390"/>
      <c r="SEP1598" s="391"/>
      <c r="SEQ1598" s="390"/>
      <c r="SER1598" s="391"/>
      <c r="SES1598" s="390"/>
      <c r="SET1598" s="391"/>
      <c r="SEU1598" s="390"/>
      <c r="SEV1598" s="391"/>
      <c r="SEW1598" s="390"/>
      <c r="SEX1598" s="391"/>
      <c r="SEY1598" s="390"/>
      <c r="SEZ1598" s="391"/>
      <c r="SFA1598" s="390"/>
      <c r="SFB1598" s="391"/>
      <c r="SFC1598" s="390"/>
      <c r="SFD1598" s="391"/>
      <c r="SFE1598" s="390"/>
      <c r="SFF1598" s="391"/>
      <c r="SFG1598" s="390"/>
      <c r="SFH1598" s="391"/>
      <c r="SFI1598" s="390"/>
      <c r="SFJ1598" s="391"/>
      <c r="SFK1598" s="390"/>
      <c r="SFL1598" s="391"/>
      <c r="SFM1598" s="390"/>
      <c r="SFN1598" s="391"/>
      <c r="SFO1598" s="390"/>
      <c r="SFP1598" s="391"/>
      <c r="SFQ1598" s="390"/>
      <c r="SFR1598" s="391"/>
      <c r="SFS1598" s="390"/>
      <c r="SFT1598" s="391"/>
      <c r="SFU1598" s="390"/>
      <c r="SFV1598" s="391"/>
      <c r="SFW1598" s="390"/>
      <c r="SFX1598" s="391"/>
      <c r="SFY1598" s="390"/>
      <c r="SFZ1598" s="391"/>
      <c r="SGA1598" s="390"/>
      <c r="SGB1598" s="391"/>
      <c r="SGC1598" s="390"/>
      <c r="SGD1598" s="391"/>
      <c r="SGE1598" s="390"/>
      <c r="SGF1598" s="391"/>
      <c r="SGG1598" s="390"/>
      <c r="SGH1598" s="391"/>
      <c r="SGI1598" s="390"/>
      <c r="SGJ1598" s="391"/>
      <c r="SGK1598" s="390"/>
      <c r="SGL1598" s="391"/>
      <c r="SGM1598" s="390"/>
      <c r="SGN1598" s="391"/>
      <c r="SGO1598" s="390"/>
      <c r="SGP1598" s="391"/>
      <c r="SGQ1598" s="390"/>
      <c r="SGR1598" s="391"/>
      <c r="SGS1598" s="390"/>
      <c r="SGT1598" s="391"/>
      <c r="SGU1598" s="390"/>
      <c r="SGV1598" s="391"/>
      <c r="SGW1598" s="390"/>
      <c r="SGX1598" s="391"/>
      <c r="SGY1598" s="390"/>
      <c r="SGZ1598" s="391"/>
      <c r="SHA1598" s="390"/>
      <c r="SHB1598" s="391"/>
      <c r="SHC1598" s="390"/>
      <c r="SHD1598" s="391"/>
      <c r="SHE1598" s="390"/>
      <c r="SHF1598" s="391"/>
      <c r="SHG1598" s="390"/>
      <c r="SHH1598" s="391"/>
      <c r="SHI1598" s="390"/>
      <c r="SHJ1598" s="391"/>
      <c r="SHK1598" s="390"/>
      <c r="SHL1598" s="391"/>
      <c r="SHM1598" s="390"/>
      <c r="SHN1598" s="391"/>
      <c r="SHO1598" s="390"/>
      <c r="SHP1598" s="391"/>
      <c r="SHQ1598" s="390"/>
      <c r="SHR1598" s="391"/>
      <c r="SHS1598" s="390"/>
      <c r="SHT1598" s="391"/>
      <c r="SHU1598" s="390"/>
      <c r="SHV1598" s="391"/>
      <c r="SHW1598" s="390"/>
      <c r="SHX1598" s="391"/>
      <c r="SHY1598" s="390"/>
      <c r="SHZ1598" s="391"/>
      <c r="SIA1598" s="390"/>
      <c r="SIB1598" s="391"/>
      <c r="SIC1598" s="390"/>
      <c r="SID1598" s="391"/>
      <c r="SIE1598" s="390"/>
      <c r="SIF1598" s="391"/>
      <c r="SIG1598" s="390"/>
      <c r="SIH1598" s="391"/>
      <c r="SII1598" s="390"/>
      <c r="SIJ1598" s="391"/>
      <c r="SIK1598" s="390"/>
      <c r="SIL1598" s="391"/>
      <c r="SIM1598" s="390"/>
      <c r="SIN1598" s="391"/>
      <c r="SIO1598" s="390"/>
      <c r="SIP1598" s="391"/>
      <c r="SIQ1598" s="390"/>
      <c r="SIR1598" s="391"/>
      <c r="SIS1598" s="390"/>
      <c r="SIT1598" s="391"/>
      <c r="SIU1598" s="390"/>
      <c r="SIV1598" s="391"/>
      <c r="SIW1598" s="390"/>
      <c r="SIX1598" s="391"/>
      <c r="SIY1598" s="390"/>
      <c r="SIZ1598" s="391"/>
      <c r="SJA1598" s="390"/>
      <c r="SJB1598" s="391"/>
      <c r="SJC1598" s="390"/>
      <c r="SJD1598" s="391"/>
      <c r="SJE1598" s="390"/>
      <c r="SJF1598" s="391"/>
      <c r="SJG1598" s="390"/>
      <c r="SJH1598" s="391"/>
      <c r="SJI1598" s="390"/>
      <c r="SJJ1598" s="391"/>
      <c r="SJK1598" s="390"/>
      <c r="SJL1598" s="391"/>
      <c r="SJM1598" s="390"/>
      <c r="SJN1598" s="391"/>
      <c r="SJO1598" s="390"/>
      <c r="SJP1598" s="391"/>
      <c r="SJQ1598" s="390"/>
      <c r="SJR1598" s="391"/>
      <c r="SJS1598" s="390"/>
      <c r="SJT1598" s="391"/>
      <c r="SJU1598" s="390"/>
      <c r="SJV1598" s="391"/>
      <c r="SJW1598" s="390"/>
      <c r="SJX1598" s="391"/>
      <c r="SJY1598" s="390"/>
      <c r="SJZ1598" s="391"/>
      <c r="SKA1598" s="390"/>
      <c r="SKB1598" s="391"/>
      <c r="SKC1598" s="390"/>
      <c r="SKD1598" s="391"/>
      <c r="SKE1598" s="390"/>
      <c r="SKF1598" s="391"/>
      <c r="SKG1598" s="390"/>
      <c r="SKH1598" s="391"/>
      <c r="SKI1598" s="390"/>
      <c r="SKJ1598" s="391"/>
      <c r="SKK1598" s="390"/>
      <c r="SKL1598" s="391"/>
      <c r="SKM1598" s="390"/>
      <c r="SKN1598" s="391"/>
      <c r="SKO1598" s="390"/>
      <c r="SKP1598" s="391"/>
      <c r="SKQ1598" s="390"/>
      <c r="SKR1598" s="391"/>
      <c r="SKS1598" s="390"/>
      <c r="SKT1598" s="391"/>
      <c r="SKU1598" s="390"/>
      <c r="SKV1598" s="391"/>
      <c r="SKW1598" s="390"/>
      <c r="SKX1598" s="391"/>
      <c r="SKY1598" s="390"/>
      <c r="SKZ1598" s="391"/>
      <c r="SLA1598" s="390"/>
      <c r="SLB1598" s="391"/>
      <c r="SLC1598" s="390"/>
      <c r="SLD1598" s="391"/>
      <c r="SLE1598" s="390"/>
      <c r="SLF1598" s="391"/>
      <c r="SLG1598" s="390"/>
      <c r="SLH1598" s="391"/>
      <c r="SLI1598" s="390"/>
      <c r="SLJ1598" s="391"/>
      <c r="SLK1598" s="390"/>
      <c r="SLL1598" s="391"/>
      <c r="SLM1598" s="390"/>
      <c r="SLN1598" s="391"/>
      <c r="SLO1598" s="390"/>
      <c r="SLP1598" s="391"/>
      <c r="SLQ1598" s="390"/>
      <c r="SLR1598" s="391"/>
      <c r="SLS1598" s="390"/>
      <c r="SLT1598" s="391"/>
      <c r="SLU1598" s="390"/>
      <c r="SLV1598" s="391"/>
      <c r="SLW1598" s="390"/>
      <c r="SLX1598" s="391"/>
      <c r="SLY1598" s="390"/>
      <c r="SLZ1598" s="391"/>
      <c r="SMA1598" s="390"/>
      <c r="SMB1598" s="391"/>
      <c r="SMC1598" s="390"/>
      <c r="SMD1598" s="391"/>
      <c r="SME1598" s="390"/>
      <c r="SMF1598" s="391"/>
      <c r="SMG1598" s="390"/>
      <c r="SMH1598" s="391"/>
      <c r="SMI1598" s="390"/>
      <c r="SMJ1598" s="391"/>
      <c r="SMK1598" s="390"/>
      <c r="SML1598" s="391"/>
      <c r="SMM1598" s="390"/>
      <c r="SMN1598" s="391"/>
      <c r="SMO1598" s="390"/>
      <c r="SMP1598" s="391"/>
      <c r="SMQ1598" s="390"/>
      <c r="SMR1598" s="391"/>
      <c r="SMS1598" s="390"/>
      <c r="SMT1598" s="391"/>
      <c r="SMU1598" s="390"/>
      <c r="SMV1598" s="391"/>
      <c r="SMW1598" s="390"/>
      <c r="SMX1598" s="391"/>
      <c r="SMY1598" s="390"/>
      <c r="SMZ1598" s="391"/>
      <c r="SNA1598" s="390"/>
      <c r="SNB1598" s="391"/>
      <c r="SNC1598" s="390"/>
      <c r="SND1598" s="391"/>
      <c r="SNE1598" s="390"/>
      <c r="SNF1598" s="391"/>
      <c r="SNG1598" s="390"/>
      <c r="SNH1598" s="391"/>
      <c r="SNI1598" s="390"/>
      <c r="SNJ1598" s="391"/>
      <c r="SNK1598" s="390"/>
      <c r="SNL1598" s="391"/>
      <c r="SNM1598" s="390"/>
      <c r="SNN1598" s="391"/>
      <c r="SNO1598" s="390"/>
      <c r="SNP1598" s="391"/>
      <c r="SNQ1598" s="390"/>
      <c r="SNR1598" s="391"/>
      <c r="SNS1598" s="390"/>
      <c r="SNT1598" s="391"/>
      <c r="SNU1598" s="390"/>
      <c r="SNV1598" s="391"/>
      <c r="SNW1598" s="390"/>
      <c r="SNX1598" s="391"/>
      <c r="SNY1598" s="390"/>
      <c r="SNZ1598" s="391"/>
      <c r="SOA1598" s="390"/>
      <c r="SOB1598" s="391"/>
      <c r="SOC1598" s="390"/>
      <c r="SOD1598" s="391"/>
      <c r="SOE1598" s="390"/>
      <c r="SOF1598" s="391"/>
      <c r="SOG1598" s="390"/>
      <c r="SOH1598" s="391"/>
      <c r="SOI1598" s="390"/>
      <c r="SOJ1598" s="391"/>
      <c r="SOK1598" s="390"/>
      <c r="SOL1598" s="391"/>
      <c r="SOM1598" s="390"/>
      <c r="SON1598" s="391"/>
      <c r="SOO1598" s="390"/>
      <c r="SOP1598" s="391"/>
      <c r="SOQ1598" s="390"/>
      <c r="SOR1598" s="391"/>
      <c r="SOS1598" s="390"/>
      <c r="SOT1598" s="391"/>
      <c r="SOU1598" s="390"/>
      <c r="SOV1598" s="391"/>
      <c r="SOW1598" s="390"/>
      <c r="SOX1598" s="391"/>
      <c r="SOY1598" s="390"/>
      <c r="SOZ1598" s="391"/>
      <c r="SPA1598" s="390"/>
      <c r="SPB1598" s="391"/>
      <c r="SPC1598" s="390"/>
      <c r="SPD1598" s="391"/>
      <c r="SPE1598" s="390"/>
      <c r="SPF1598" s="391"/>
      <c r="SPG1598" s="390"/>
      <c r="SPH1598" s="391"/>
      <c r="SPI1598" s="390"/>
      <c r="SPJ1598" s="391"/>
      <c r="SPK1598" s="390"/>
      <c r="SPL1598" s="391"/>
      <c r="SPM1598" s="390"/>
      <c r="SPN1598" s="391"/>
      <c r="SPO1598" s="390"/>
      <c r="SPP1598" s="391"/>
      <c r="SPQ1598" s="390"/>
      <c r="SPR1598" s="391"/>
      <c r="SPS1598" s="390"/>
      <c r="SPT1598" s="391"/>
      <c r="SPU1598" s="390"/>
      <c r="SPV1598" s="391"/>
      <c r="SPW1598" s="390"/>
      <c r="SPX1598" s="391"/>
      <c r="SPY1598" s="390"/>
      <c r="SPZ1598" s="391"/>
      <c r="SQA1598" s="390"/>
      <c r="SQB1598" s="391"/>
      <c r="SQC1598" s="390"/>
      <c r="SQD1598" s="391"/>
      <c r="SQE1598" s="390"/>
      <c r="SQF1598" s="391"/>
      <c r="SQG1598" s="390"/>
      <c r="SQH1598" s="391"/>
      <c r="SQI1598" s="390"/>
      <c r="SQJ1598" s="391"/>
      <c r="SQK1598" s="390"/>
      <c r="SQL1598" s="391"/>
      <c r="SQM1598" s="390"/>
      <c r="SQN1598" s="391"/>
      <c r="SQO1598" s="390"/>
      <c r="SQP1598" s="391"/>
      <c r="SQQ1598" s="390"/>
      <c r="SQR1598" s="391"/>
      <c r="SQS1598" s="390"/>
      <c r="SQT1598" s="391"/>
      <c r="SQU1598" s="390"/>
      <c r="SQV1598" s="391"/>
      <c r="SQW1598" s="390"/>
      <c r="SQX1598" s="391"/>
      <c r="SQY1598" s="390"/>
      <c r="SQZ1598" s="391"/>
      <c r="SRA1598" s="390"/>
      <c r="SRB1598" s="391"/>
      <c r="SRC1598" s="390"/>
      <c r="SRD1598" s="391"/>
      <c r="SRE1598" s="390"/>
      <c r="SRF1598" s="391"/>
      <c r="SRG1598" s="390"/>
      <c r="SRH1598" s="391"/>
      <c r="SRI1598" s="390"/>
      <c r="SRJ1598" s="391"/>
      <c r="SRK1598" s="390"/>
      <c r="SRL1598" s="391"/>
      <c r="SRM1598" s="390"/>
      <c r="SRN1598" s="391"/>
      <c r="SRO1598" s="390"/>
      <c r="SRP1598" s="391"/>
      <c r="SRQ1598" s="390"/>
      <c r="SRR1598" s="391"/>
      <c r="SRS1598" s="390"/>
      <c r="SRT1598" s="391"/>
      <c r="SRU1598" s="390"/>
      <c r="SRV1598" s="391"/>
      <c r="SRW1598" s="390"/>
      <c r="SRX1598" s="391"/>
      <c r="SRY1598" s="390"/>
      <c r="SRZ1598" s="391"/>
      <c r="SSA1598" s="390"/>
      <c r="SSB1598" s="391"/>
      <c r="SSC1598" s="390"/>
      <c r="SSD1598" s="391"/>
      <c r="SSE1598" s="390"/>
      <c r="SSF1598" s="391"/>
      <c r="SSG1598" s="390"/>
      <c r="SSH1598" s="391"/>
      <c r="SSI1598" s="390"/>
      <c r="SSJ1598" s="391"/>
      <c r="SSK1598" s="390"/>
      <c r="SSL1598" s="391"/>
      <c r="SSM1598" s="390"/>
      <c r="SSN1598" s="391"/>
      <c r="SSO1598" s="390"/>
      <c r="SSP1598" s="391"/>
      <c r="SSQ1598" s="390"/>
      <c r="SSR1598" s="391"/>
      <c r="SSS1598" s="390"/>
      <c r="SST1598" s="391"/>
      <c r="SSU1598" s="390"/>
      <c r="SSV1598" s="391"/>
      <c r="SSW1598" s="390"/>
      <c r="SSX1598" s="391"/>
      <c r="SSY1598" s="390"/>
      <c r="SSZ1598" s="391"/>
      <c r="STA1598" s="390"/>
      <c r="STB1598" s="391"/>
      <c r="STC1598" s="390"/>
      <c r="STD1598" s="391"/>
      <c r="STE1598" s="390"/>
      <c r="STF1598" s="391"/>
      <c r="STG1598" s="390"/>
      <c r="STH1598" s="391"/>
      <c r="STI1598" s="390"/>
      <c r="STJ1598" s="391"/>
      <c r="STK1598" s="390"/>
      <c r="STL1598" s="391"/>
      <c r="STM1598" s="390"/>
      <c r="STN1598" s="391"/>
      <c r="STO1598" s="390"/>
      <c r="STP1598" s="391"/>
      <c r="STQ1598" s="390"/>
      <c r="STR1598" s="391"/>
      <c r="STS1598" s="390"/>
      <c r="STT1598" s="391"/>
      <c r="STU1598" s="390"/>
      <c r="STV1598" s="391"/>
      <c r="STW1598" s="390"/>
      <c r="STX1598" s="391"/>
      <c r="STY1598" s="390"/>
      <c r="STZ1598" s="391"/>
      <c r="SUA1598" s="390"/>
      <c r="SUB1598" s="391"/>
      <c r="SUC1598" s="390"/>
      <c r="SUD1598" s="391"/>
      <c r="SUE1598" s="390"/>
      <c r="SUF1598" s="391"/>
      <c r="SUG1598" s="390"/>
      <c r="SUH1598" s="391"/>
      <c r="SUI1598" s="390"/>
      <c r="SUJ1598" s="391"/>
      <c r="SUK1598" s="390"/>
      <c r="SUL1598" s="391"/>
      <c r="SUM1598" s="390"/>
      <c r="SUN1598" s="391"/>
      <c r="SUO1598" s="390"/>
      <c r="SUP1598" s="391"/>
      <c r="SUQ1598" s="390"/>
      <c r="SUR1598" s="391"/>
      <c r="SUS1598" s="390"/>
      <c r="SUT1598" s="391"/>
      <c r="SUU1598" s="390"/>
      <c r="SUV1598" s="391"/>
      <c r="SUW1598" s="390"/>
      <c r="SUX1598" s="391"/>
      <c r="SUY1598" s="390"/>
      <c r="SUZ1598" s="391"/>
      <c r="SVA1598" s="390"/>
      <c r="SVB1598" s="391"/>
      <c r="SVC1598" s="390"/>
      <c r="SVD1598" s="391"/>
      <c r="SVE1598" s="390"/>
      <c r="SVF1598" s="391"/>
      <c r="SVG1598" s="390"/>
      <c r="SVH1598" s="391"/>
      <c r="SVI1598" s="390"/>
      <c r="SVJ1598" s="391"/>
      <c r="SVK1598" s="390"/>
      <c r="SVL1598" s="391"/>
      <c r="SVM1598" s="390"/>
      <c r="SVN1598" s="391"/>
      <c r="SVO1598" s="390"/>
      <c r="SVP1598" s="391"/>
      <c r="SVQ1598" s="390"/>
      <c r="SVR1598" s="391"/>
      <c r="SVS1598" s="390"/>
      <c r="SVT1598" s="391"/>
      <c r="SVU1598" s="390"/>
      <c r="SVV1598" s="391"/>
      <c r="SVW1598" s="390"/>
      <c r="SVX1598" s="391"/>
      <c r="SVY1598" s="390"/>
      <c r="SVZ1598" s="391"/>
      <c r="SWA1598" s="390"/>
      <c r="SWB1598" s="391"/>
      <c r="SWC1598" s="390"/>
      <c r="SWD1598" s="391"/>
      <c r="SWE1598" s="390"/>
      <c r="SWF1598" s="391"/>
      <c r="SWG1598" s="390"/>
      <c r="SWH1598" s="391"/>
      <c r="SWI1598" s="390"/>
      <c r="SWJ1598" s="391"/>
      <c r="SWK1598" s="390"/>
      <c r="SWL1598" s="391"/>
      <c r="SWM1598" s="390"/>
      <c r="SWN1598" s="391"/>
      <c r="SWO1598" s="390"/>
      <c r="SWP1598" s="391"/>
      <c r="SWQ1598" s="390"/>
      <c r="SWR1598" s="391"/>
      <c r="SWS1598" s="390"/>
      <c r="SWT1598" s="391"/>
      <c r="SWU1598" s="390"/>
      <c r="SWV1598" s="391"/>
      <c r="SWW1598" s="390"/>
      <c r="SWX1598" s="391"/>
      <c r="SWY1598" s="390"/>
      <c r="SWZ1598" s="391"/>
      <c r="SXA1598" s="390"/>
      <c r="SXB1598" s="391"/>
      <c r="SXC1598" s="390"/>
      <c r="SXD1598" s="391"/>
      <c r="SXE1598" s="390"/>
      <c r="SXF1598" s="391"/>
      <c r="SXG1598" s="390"/>
      <c r="SXH1598" s="391"/>
      <c r="SXI1598" s="390"/>
      <c r="SXJ1598" s="391"/>
      <c r="SXK1598" s="390"/>
      <c r="SXL1598" s="391"/>
      <c r="SXM1598" s="390"/>
      <c r="SXN1598" s="391"/>
      <c r="SXO1598" s="390"/>
      <c r="SXP1598" s="391"/>
      <c r="SXQ1598" s="390"/>
      <c r="SXR1598" s="391"/>
      <c r="SXS1598" s="390"/>
      <c r="SXT1598" s="391"/>
      <c r="SXU1598" s="390"/>
      <c r="SXV1598" s="391"/>
      <c r="SXW1598" s="390"/>
      <c r="SXX1598" s="391"/>
      <c r="SXY1598" s="390"/>
      <c r="SXZ1598" s="391"/>
      <c r="SYA1598" s="390"/>
      <c r="SYB1598" s="391"/>
      <c r="SYC1598" s="390"/>
      <c r="SYD1598" s="391"/>
      <c r="SYE1598" s="390"/>
      <c r="SYF1598" s="391"/>
      <c r="SYG1598" s="390"/>
      <c r="SYH1598" s="391"/>
      <c r="SYI1598" s="390"/>
      <c r="SYJ1598" s="391"/>
      <c r="SYK1598" s="390"/>
      <c r="SYL1598" s="391"/>
      <c r="SYM1598" s="390"/>
      <c r="SYN1598" s="391"/>
      <c r="SYO1598" s="390"/>
      <c r="SYP1598" s="391"/>
      <c r="SYQ1598" s="390"/>
      <c r="SYR1598" s="391"/>
      <c r="SYS1598" s="390"/>
      <c r="SYT1598" s="391"/>
      <c r="SYU1598" s="390"/>
      <c r="SYV1598" s="391"/>
      <c r="SYW1598" s="390"/>
      <c r="SYX1598" s="391"/>
      <c r="SYY1598" s="390"/>
      <c r="SYZ1598" s="391"/>
      <c r="SZA1598" s="390"/>
      <c r="SZB1598" s="391"/>
      <c r="SZC1598" s="390"/>
      <c r="SZD1598" s="391"/>
      <c r="SZE1598" s="390"/>
      <c r="SZF1598" s="391"/>
      <c r="SZG1598" s="390"/>
      <c r="SZH1598" s="391"/>
      <c r="SZI1598" s="390"/>
      <c r="SZJ1598" s="391"/>
      <c r="SZK1598" s="390"/>
      <c r="SZL1598" s="391"/>
      <c r="SZM1598" s="390"/>
      <c r="SZN1598" s="391"/>
      <c r="SZO1598" s="390"/>
      <c r="SZP1598" s="391"/>
      <c r="SZQ1598" s="390"/>
      <c r="SZR1598" s="391"/>
      <c r="SZS1598" s="390"/>
      <c r="SZT1598" s="391"/>
      <c r="SZU1598" s="390"/>
      <c r="SZV1598" s="391"/>
      <c r="SZW1598" s="390"/>
      <c r="SZX1598" s="391"/>
      <c r="SZY1598" s="390"/>
      <c r="SZZ1598" s="391"/>
      <c r="TAA1598" s="390"/>
      <c r="TAB1598" s="391"/>
      <c r="TAC1598" s="390"/>
      <c r="TAD1598" s="391"/>
      <c r="TAE1598" s="390"/>
      <c r="TAF1598" s="391"/>
      <c r="TAG1598" s="390"/>
      <c r="TAH1598" s="391"/>
      <c r="TAI1598" s="390"/>
      <c r="TAJ1598" s="391"/>
      <c r="TAK1598" s="390"/>
      <c r="TAL1598" s="391"/>
      <c r="TAM1598" s="390"/>
      <c r="TAN1598" s="391"/>
      <c r="TAO1598" s="390"/>
      <c r="TAP1598" s="391"/>
      <c r="TAQ1598" s="390"/>
      <c r="TAR1598" s="391"/>
      <c r="TAS1598" s="390"/>
      <c r="TAT1598" s="391"/>
      <c r="TAU1598" s="390"/>
      <c r="TAV1598" s="391"/>
      <c r="TAW1598" s="390"/>
      <c r="TAX1598" s="391"/>
      <c r="TAY1598" s="390"/>
      <c r="TAZ1598" s="391"/>
      <c r="TBA1598" s="390"/>
      <c r="TBB1598" s="391"/>
      <c r="TBC1598" s="390"/>
      <c r="TBD1598" s="391"/>
      <c r="TBE1598" s="390"/>
      <c r="TBF1598" s="391"/>
      <c r="TBG1598" s="390"/>
      <c r="TBH1598" s="391"/>
      <c r="TBI1598" s="390"/>
      <c r="TBJ1598" s="391"/>
      <c r="TBK1598" s="390"/>
      <c r="TBL1598" s="391"/>
      <c r="TBM1598" s="390"/>
      <c r="TBN1598" s="391"/>
      <c r="TBO1598" s="390"/>
      <c r="TBP1598" s="391"/>
      <c r="TBQ1598" s="390"/>
      <c r="TBR1598" s="391"/>
      <c r="TBS1598" s="390"/>
      <c r="TBT1598" s="391"/>
      <c r="TBU1598" s="390"/>
      <c r="TBV1598" s="391"/>
      <c r="TBW1598" s="390"/>
      <c r="TBX1598" s="391"/>
      <c r="TBY1598" s="390"/>
      <c r="TBZ1598" s="391"/>
      <c r="TCA1598" s="390"/>
      <c r="TCB1598" s="391"/>
      <c r="TCC1598" s="390"/>
      <c r="TCD1598" s="391"/>
      <c r="TCE1598" s="390"/>
      <c r="TCF1598" s="391"/>
      <c r="TCG1598" s="390"/>
      <c r="TCH1598" s="391"/>
      <c r="TCI1598" s="390"/>
      <c r="TCJ1598" s="391"/>
      <c r="TCK1598" s="390"/>
      <c r="TCL1598" s="391"/>
      <c r="TCM1598" s="390"/>
      <c r="TCN1598" s="391"/>
      <c r="TCO1598" s="390"/>
      <c r="TCP1598" s="391"/>
      <c r="TCQ1598" s="390"/>
      <c r="TCR1598" s="391"/>
      <c r="TCS1598" s="390"/>
      <c r="TCT1598" s="391"/>
      <c r="TCU1598" s="390"/>
      <c r="TCV1598" s="391"/>
      <c r="TCW1598" s="390"/>
      <c r="TCX1598" s="391"/>
      <c r="TCY1598" s="390"/>
      <c r="TCZ1598" s="391"/>
      <c r="TDA1598" s="390"/>
      <c r="TDB1598" s="391"/>
      <c r="TDC1598" s="390"/>
      <c r="TDD1598" s="391"/>
      <c r="TDE1598" s="390"/>
      <c r="TDF1598" s="391"/>
      <c r="TDG1598" s="390"/>
      <c r="TDH1598" s="391"/>
      <c r="TDI1598" s="390"/>
      <c r="TDJ1598" s="391"/>
      <c r="TDK1598" s="390"/>
      <c r="TDL1598" s="391"/>
      <c r="TDM1598" s="390"/>
      <c r="TDN1598" s="391"/>
      <c r="TDO1598" s="390"/>
      <c r="TDP1598" s="391"/>
      <c r="TDQ1598" s="390"/>
      <c r="TDR1598" s="391"/>
      <c r="TDS1598" s="390"/>
      <c r="TDT1598" s="391"/>
      <c r="TDU1598" s="390"/>
      <c r="TDV1598" s="391"/>
      <c r="TDW1598" s="390"/>
      <c r="TDX1598" s="391"/>
      <c r="TDY1598" s="390"/>
      <c r="TDZ1598" s="391"/>
      <c r="TEA1598" s="390"/>
      <c r="TEB1598" s="391"/>
      <c r="TEC1598" s="390"/>
      <c r="TED1598" s="391"/>
      <c r="TEE1598" s="390"/>
      <c r="TEF1598" s="391"/>
      <c r="TEG1598" s="390"/>
      <c r="TEH1598" s="391"/>
      <c r="TEI1598" s="390"/>
      <c r="TEJ1598" s="391"/>
      <c r="TEK1598" s="390"/>
      <c r="TEL1598" s="391"/>
      <c r="TEM1598" s="390"/>
      <c r="TEN1598" s="391"/>
      <c r="TEO1598" s="390"/>
      <c r="TEP1598" s="391"/>
      <c r="TEQ1598" s="390"/>
      <c r="TER1598" s="391"/>
      <c r="TES1598" s="390"/>
      <c r="TET1598" s="391"/>
      <c r="TEU1598" s="390"/>
      <c r="TEV1598" s="391"/>
      <c r="TEW1598" s="390"/>
      <c r="TEX1598" s="391"/>
      <c r="TEY1598" s="390"/>
      <c r="TEZ1598" s="391"/>
      <c r="TFA1598" s="390"/>
      <c r="TFB1598" s="391"/>
      <c r="TFC1598" s="390"/>
      <c r="TFD1598" s="391"/>
      <c r="TFE1598" s="390"/>
      <c r="TFF1598" s="391"/>
      <c r="TFG1598" s="390"/>
      <c r="TFH1598" s="391"/>
      <c r="TFI1598" s="390"/>
      <c r="TFJ1598" s="391"/>
      <c r="TFK1598" s="390"/>
      <c r="TFL1598" s="391"/>
      <c r="TFM1598" s="390"/>
      <c r="TFN1598" s="391"/>
      <c r="TFO1598" s="390"/>
      <c r="TFP1598" s="391"/>
      <c r="TFQ1598" s="390"/>
      <c r="TFR1598" s="391"/>
      <c r="TFS1598" s="390"/>
      <c r="TFT1598" s="391"/>
      <c r="TFU1598" s="390"/>
      <c r="TFV1598" s="391"/>
      <c r="TFW1598" s="390"/>
      <c r="TFX1598" s="391"/>
      <c r="TFY1598" s="390"/>
      <c r="TFZ1598" s="391"/>
      <c r="TGA1598" s="390"/>
      <c r="TGB1598" s="391"/>
      <c r="TGC1598" s="390"/>
      <c r="TGD1598" s="391"/>
      <c r="TGE1598" s="390"/>
      <c r="TGF1598" s="391"/>
      <c r="TGG1598" s="390"/>
      <c r="TGH1598" s="391"/>
      <c r="TGI1598" s="390"/>
      <c r="TGJ1598" s="391"/>
      <c r="TGK1598" s="390"/>
      <c r="TGL1598" s="391"/>
      <c r="TGM1598" s="390"/>
      <c r="TGN1598" s="391"/>
      <c r="TGO1598" s="390"/>
      <c r="TGP1598" s="391"/>
      <c r="TGQ1598" s="390"/>
      <c r="TGR1598" s="391"/>
      <c r="TGS1598" s="390"/>
      <c r="TGT1598" s="391"/>
      <c r="TGU1598" s="390"/>
      <c r="TGV1598" s="391"/>
      <c r="TGW1598" s="390"/>
      <c r="TGX1598" s="391"/>
      <c r="TGY1598" s="390"/>
      <c r="TGZ1598" s="391"/>
      <c r="THA1598" s="390"/>
      <c r="THB1598" s="391"/>
      <c r="THC1598" s="390"/>
      <c r="THD1598" s="391"/>
      <c r="THE1598" s="390"/>
      <c r="THF1598" s="391"/>
      <c r="THG1598" s="390"/>
      <c r="THH1598" s="391"/>
      <c r="THI1598" s="390"/>
      <c r="THJ1598" s="391"/>
      <c r="THK1598" s="390"/>
      <c r="THL1598" s="391"/>
      <c r="THM1598" s="390"/>
      <c r="THN1598" s="391"/>
      <c r="THO1598" s="390"/>
      <c r="THP1598" s="391"/>
      <c r="THQ1598" s="390"/>
      <c r="THR1598" s="391"/>
      <c r="THS1598" s="390"/>
      <c r="THT1598" s="391"/>
      <c r="THU1598" s="390"/>
      <c r="THV1598" s="391"/>
      <c r="THW1598" s="390"/>
      <c r="THX1598" s="391"/>
      <c r="THY1598" s="390"/>
      <c r="THZ1598" s="391"/>
      <c r="TIA1598" s="390"/>
      <c r="TIB1598" s="391"/>
      <c r="TIC1598" s="390"/>
      <c r="TID1598" s="391"/>
      <c r="TIE1598" s="390"/>
      <c r="TIF1598" s="391"/>
      <c r="TIG1598" s="390"/>
      <c r="TIH1598" s="391"/>
      <c r="TII1598" s="390"/>
      <c r="TIJ1598" s="391"/>
      <c r="TIK1598" s="390"/>
      <c r="TIL1598" s="391"/>
      <c r="TIM1598" s="390"/>
      <c r="TIN1598" s="391"/>
      <c r="TIO1598" s="390"/>
      <c r="TIP1598" s="391"/>
      <c r="TIQ1598" s="390"/>
      <c r="TIR1598" s="391"/>
      <c r="TIS1598" s="390"/>
      <c r="TIT1598" s="391"/>
      <c r="TIU1598" s="390"/>
      <c r="TIV1598" s="391"/>
      <c r="TIW1598" s="390"/>
      <c r="TIX1598" s="391"/>
      <c r="TIY1598" s="390"/>
      <c r="TIZ1598" s="391"/>
      <c r="TJA1598" s="390"/>
      <c r="TJB1598" s="391"/>
      <c r="TJC1598" s="390"/>
      <c r="TJD1598" s="391"/>
      <c r="TJE1598" s="390"/>
      <c r="TJF1598" s="391"/>
      <c r="TJG1598" s="390"/>
      <c r="TJH1598" s="391"/>
      <c r="TJI1598" s="390"/>
      <c r="TJJ1598" s="391"/>
      <c r="TJK1598" s="390"/>
      <c r="TJL1598" s="391"/>
      <c r="TJM1598" s="390"/>
      <c r="TJN1598" s="391"/>
      <c r="TJO1598" s="390"/>
      <c r="TJP1598" s="391"/>
      <c r="TJQ1598" s="390"/>
      <c r="TJR1598" s="391"/>
      <c r="TJS1598" s="390"/>
      <c r="TJT1598" s="391"/>
      <c r="TJU1598" s="390"/>
      <c r="TJV1598" s="391"/>
      <c r="TJW1598" s="390"/>
      <c r="TJX1598" s="391"/>
      <c r="TJY1598" s="390"/>
      <c r="TJZ1598" s="391"/>
      <c r="TKA1598" s="390"/>
      <c r="TKB1598" s="391"/>
      <c r="TKC1598" s="390"/>
      <c r="TKD1598" s="391"/>
      <c r="TKE1598" s="390"/>
      <c r="TKF1598" s="391"/>
      <c r="TKG1598" s="390"/>
      <c r="TKH1598" s="391"/>
      <c r="TKI1598" s="390"/>
      <c r="TKJ1598" s="391"/>
      <c r="TKK1598" s="390"/>
      <c r="TKL1598" s="391"/>
      <c r="TKM1598" s="390"/>
      <c r="TKN1598" s="391"/>
      <c r="TKO1598" s="390"/>
      <c r="TKP1598" s="391"/>
      <c r="TKQ1598" s="390"/>
      <c r="TKR1598" s="391"/>
      <c r="TKS1598" s="390"/>
      <c r="TKT1598" s="391"/>
      <c r="TKU1598" s="390"/>
      <c r="TKV1598" s="391"/>
      <c r="TKW1598" s="390"/>
      <c r="TKX1598" s="391"/>
      <c r="TKY1598" s="390"/>
      <c r="TKZ1598" s="391"/>
      <c r="TLA1598" s="390"/>
      <c r="TLB1598" s="391"/>
      <c r="TLC1598" s="390"/>
      <c r="TLD1598" s="391"/>
      <c r="TLE1598" s="390"/>
      <c r="TLF1598" s="391"/>
      <c r="TLG1598" s="390"/>
      <c r="TLH1598" s="391"/>
      <c r="TLI1598" s="390"/>
      <c r="TLJ1598" s="391"/>
      <c r="TLK1598" s="390"/>
      <c r="TLL1598" s="391"/>
      <c r="TLM1598" s="390"/>
      <c r="TLN1598" s="391"/>
      <c r="TLO1598" s="390"/>
      <c r="TLP1598" s="391"/>
      <c r="TLQ1598" s="390"/>
      <c r="TLR1598" s="391"/>
      <c r="TLS1598" s="390"/>
      <c r="TLT1598" s="391"/>
      <c r="TLU1598" s="390"/>
      <c r="TLV1598" s="391"/>
      <c r="TLW1598" s="390"/>
      <c r="TLX1598" s="391"/>
      <c r="TLY1598" s="390"/>
      <c r="TLZ1598" s="391"/>
      <c r="TMA1598" s="390"/>
      <c r="TMB1598" s="391"/>
      <c r="TMC1598" s="390"/>
      <c r="TMD1598" s="391"/>
      <c r="TME1598" s="390"/>
      <c r="TMF1598" s="391"/>
      <c r="TMG1598" s="390"/>
      <c r="TMH1598" s="391"/>
      <c r="TMI1598" s="390"/>
      <c r="TMJ1598" s="391"/>
      <c r="TMK1598" s="390"/>
      <c r="TML1598" s="391"/>
      <c r="TMM1598" s="390"/>
      <c r="TMN1598" s="391"/>
      <c r="TMO1598" s="390"/>
      <c r="TMP1598" s="391"/>
      <c r="TMQ1598" s="390"/>
      <c r="TMR1598" s="391"/>
      <c r="TMS1598" s="390"/>
      <c r="TMT1598" s="391"/>
      <c r="TMU1598" s="390"/>
      <c r="TMV1598" s="391"/>
      <c r="TMW1598" s="390"/>
      <c r="TMX1598" s="391"/>
      <c r="TMY1598" s="390"/>
      <c r="TMZ1598" s="391"/>
      <c r="TNA1598" s="390"/>
      <c r="TNB1598" s="391"/>
      <c r="TNC1598" s="390"/>
      <c r="TND1598" s="391"/>
      <c r="TNE1598" s="390"/>
      <c r="TNF1598" s="391"/>
      <c r="TNG1598" s="390"/>
      <c r="TNH1598" s="391"/>
      <c r="TNI1598" s="390"/>
      <c r="TNJ1598" s="391"/>
      <c r="TNK1598" s="390"/>
      <c r="TNL1598" s="391"/>
      <c r="TNM1598" s="390"/>
      <c r="TNN1598" s="391"/>
      <c r="TNO1598" s="390"/>
      <c r="TNP1598" s="391"/>
      <c r="TNQ1598" s="390"/>
      <c r="TNR1598" s="391"/>
      <c r="TNS1598" s="390"/>
      <c r="TNT1598" s="391"/>
      <c r="TNU1598" s="390"/>
      <c r="TNV1598" s="391"/>
      <c r="TNW1598" s="390"/>
      <c r="TNX1598" s="391"/>
      <c r="TNY1598" s="390"/>
      <c r="TNZ1598" s="391"/>
      <c r="TOA1598" s="390"/>
      <c r="TOB1598" s="391"/>
      <c r="TOC1598" s="390"/>
      <c r="TOD1598" s="391"/>
      <c r="TOE1598" s="390"/>
      <c r="TOF1598" s="391"/>
      <c r="TOG1598" s="390"/>
      <c r="TOH1598" s="391"/>
      <c r="TOI1598" s="390"/>
      <c r="TOJ1598" s="391"/>
      <c r="TOK1598" s="390"/>
      <c r="TOL1598" s="391"/>
      <c r="TOM1598" s="390"/>
      <c r="TON1598" s="391"/>
      <c r="TOO1598" s="390"/>
      <c r="TOP1598" s="391"/>
      <c r="TOQ1598" s="390"/>
      <c r="TOR1598" s="391"/>
      <c r="TOS1598" s="390"/>
      <c r="TOT1598" s="391"/>
      <c r="TOU1598" s="390"/>
      <c r="TOV1598" s="391"/>
      <c r="TOW1598" s="390"/>
      <c r="TOX1598" s="391"/>
      <c r="TOY1598" s="390"/>
      <c r="TOZ1598" s="391"/>
      <c r="TPA1598" s="390"/>
      <c r="TPB1598" s="391"/>
      <c r="TPC1598" s="390"/>
      <c r="TPD1598" s="391"/>
      <c r="TPE1598" s="390"/>
      <c r="TPF1598" s="391"/>
      <c r="TPG1598" s="390"/>
      <c r="TPH1598" s="391"/>
      <c r="TPI1598" s="390"/>
      <c r="TPJ1598" s="391"/>
      <c r="TPK1598" s="390"/>
      <c r="TPL1598" s="391"/>
      <c r="TPM1598" s="390"/>
      <c r="TPN1598" s="391"/>
      <c r="TPO1598" s="390"/>
      <c r="TPP1598" s="391"/>
      <c r="TPQ1598" s="390"/>
      <c r="TPR1598" s="391"/>
      <c r="TPS1598" s="390"/>
      <c r="TPT1598" s="391"/>
      <c r="TPU1598" s="390"/>
      <c r="TPV1598" s="391"/>
      <c r="TPW1598" s="390"/>
      <c r="TPX1598" s="391"/>
      <c r="TPY1598" s="390"/>
      <c r="TPZ1598" s="391"/>
      <c r="TQA1598" s="390"/>
      <c r="TQB1598" s="391"/>
      <c r="TQC1598" s="390"/>
      <c r="TQD1598" s="391"/>
      <c r="TQE1598" s="390"/>
      <c r="TQF1598" s="391"/>
      <c r="TQG1598" s="390"/>
      <c r="TQH1598" s="391"/>
      <c r="TQI1598" s="390"/>
      <c r="TQJ1598" s="391"/>
      <c r="TQK1598" s="390"/>
      <c r="TQL1598" s="391"/>
      <c r="TQM1598" s="390"/>
      <c r="TQN1598" s="391"/>
      <c r="TQO1598" s="390"/>
      <c r="TQP1598" s="391"/>
      <c r="TQQ1598" s="390"/>
      <c r="TQR1598" s="391"/>
      <c r="TQS1598" s="390"/>
      <c r="TQT1598" s="391"/>
      <c r="TQU1598" s="390"/>
      <c r="TQV1598" s="391"/>
      <c r="TQW1598" s="390"/>
      <c r="TQX1598" s="391"/>
      <c r="TQY1598" s="390"/>
      <c r="TQZ1598" s="391"/>
      <c r="TRA1598" s="390"/>
      <c r="TRB1598" s="391"/>
      <c r="TRC1598" s="390"/>
      <c r="TRD1598" s="391"/>
      <c r="TRE1598" s="390"/>
      <c r="TRF1598" s="391"/>
      <c r="TRG1598" s="390"/>
      <c r="TRH1598" s="391"/>
      <c r="TRI1598" s="390"/>
      <c r="TRJ1598" s="391"/>
      <c r="TRK1598" s="390"/>
      <c r="TRL1598" s="391"/>
      <c r="TRM1598" s="390"/>
      <c r="TRN1598" s="391"/>
      <c r="TRO1598" s="390"/>
      <c r="TRP1598" s="391"/>
      <c r="TRQ1598" s="390"/>
      <c r="TRR1598" s="391"/>
      <c r="TRS1598" s="390"/>
      <c r="TRT1598" s="391"/>
      <c r="TRU1598" s="390"/>
      <c r="TRV1598" s="391"/>
      <c r="TRW1598" s="390"/>
      <c r="TRX1598" s="391"/>
      <c r="TRY1598" s="390"/>
      <c r="TRZ1598" s="391"/>
      <c r="TSA1598" s="390"/>
      <c r="TSB1598" s="391"/>
      <c r="TSC1598" s="390"/>
      <c r="TSD1598" s="391"/>
      <c r="TSE1598" s="390"/>
      <c r="TSF1598" s="391"/>
      <c r="TSG1598" s="390"/>
      <c r="TSH1598" s="391"/>
      <c r="TSI1598" s="390"/>
      <c r="TSJ1598" s="391"/>
      <c r="TSK1598" s="390"/>
      <c r="TSL1598" s="391"/>
      <c r="TSM1598" s="390"/>
      <c r="TSN1598" s="391"/>
      <c r="TSO1598" s="390"/>
      <c r="TSP1598" s="391"/>
      <c r="TSQ1598" s="390"/>
      <c r="TSR1598" s="391"/>
      <c r="TSS1598" s="390"/>
      <c r="TST1598" s="391"/>
      <c r="TSU1598" s="390"/>
      <c r="TSV1598" s="391"/>
      <c r="TSW1598" s="390"/>
      <c r="TSX1598" s="391"/>
      <c r="TSY1598" s="390"/>
      <c r="TSZ1598" s="391"/>
      <c r="TTA1598" s="390"/>
      <c r="TTB1598" s="391"/>
      <c r="TTC1598" s="390"/>
      <c r="TTD1598" s="391"/>
      <c r="TTE1598" s="390"/>
      <c r="TTF1598" s="391"/>
      <c r="TTG1598" s="390"/>
      <c r="TTH1598" s="391"/>
      <c r="TTI1598" s="390"/>
      <c r="TTJ1598" s="391"/>
      <c r="TTK1598" s="390"/>
      <c r="TTL1598" s="391"/>
      <c r="TTM1598" s="390"/>
      <c r="TTN1598" s="391"/>
      <c r="TTO1598" s="390"/>
      <c r="TTP1598" s="391"/>
      <c r="TTQ1598" s="390"/>
      <c r="TTR1598" s="391"/>
      <c r="TTS1598" s="390"/>
      <c r="TTT1598" s="391"/>
      <c r="TTU1598" s="390"/>
      <c r="TTV1598" s="391"/>
      <c r="TTW1598" s="390"/>
      <c r="TTX1598" s="391"/>
      <c r="TTY1598" s="390"/>
      <c r="TTZ1598" s="391"/>
      <c r="TUA1598" s="390"/>
      <c r="TUB1598" s="391"/>
      <c r="TUC1598" s="390"/>
      <c r="TUD1598" s="391"/>
      <c r="TUE1598" s="390"/>
      <c r="TUF1598" s="391"/>
      <c r="TUG1598" s="390"/>
      <c r="TUH1598" s="391"/>
      <c r="TUI1598" s="390"/>
      <c r="TUJ1598" s="391"/>
      <c r="TUK1598" s="390"/>
      <c r="TUL1598" s="391"/>
      <c r="TUM1598" s="390"/>
      <c r="TUN1598" s="391"/>
      <c r="TUO1598" s="390"/>
      <c r="TUP1598" s="391"/>
      <c r="TUQ1598" s="390"/>
      <c r="TUR1598" s="391"/>
      <c r="TUS1598" s="390"/>
      <c r="TUT1598" s="391"/>
      <c r="TUU1598" s="390"/>
      <c r="TUV1598" s="391"/>
      <c r="TUW1598" s="390"/>
      <c r="TUX1598" s="391"/>
      <c r="TUY1598" s="390"/>
      <c r="TUZ1598" s="391"/>
      <c r="TVA1598" s="390"/>
      <c r="TVB1598" s="391"/>
      <c r="TVC1598" s="390"/>
      <c r="TVD1598" s="391"/>
      <c r="TVE1598" s="390"/>
      <c r="TVF1598" s="391"/>
      <c r="TVG1598" s="390"/>
      <c r="TVH1598" s="391"/>
      <c r="TVI1598" s="390"/>
      <c r="TVJ1598" s="391"/>
      <c r="TVK1598" s="390"/>
      <c r="TVL1598" s="391"/>
      <c r="TVM1598" s="390"/>
      <c r="TVN1598" s="391"/>
      <c r="TVO1598" s="390"/>
      <c r="TVP1598" s="391"/>
      <c r="TVQ1598" s="390"/>
      <c r="TVR1598" s="391"/>
      <c r="TVS1598" s="390"/>
      <c r="TVT1598" s="391"/>
      <c r="TVU1598" s="390"/>
      <c r="TVV1598" s="391"/>
      <c r="TVW1598" s="390"/>
      <c r="TVX1598" s="391"/>
      <c r="TVY1598" s="390"/>
      <c r="TVZ1598" s="391"/>
      <c r="TWA1598" s="390"/>
      <c r="TWB1598" s="391"/>
      <c r="TWC1598" s="390"/>
      <c r="TWD1598" s="391"/>
      <c r="TWE1598" s="390"/>
      <c r="TWF1598" s="391"/>
      <c r="TWG1598" s="390"/>
      <c r="TWH1598" s="391"/>
      <c r="TWI1598" s="390"/>
      <c r="TWJ1598" s="391"/>
      <c r="TWK1598" s="390"/>
      <c r="TWL1598" s="391"/>
      <c r="TWM1598" s="390"/>
      <c r="TWN1598" s="391"/>
      <c r="TWO1598" s="390"/>
      <c r="TWP1598" s="391"/>
      <c r="TWQ1598" s="390"/>
      <c r="TWR1598" s="391"/>
      <c r="TWS1598" s="390"/>
      <c r="TWT1598" s="391"/>
      <c r="TWU1598" s="390"/>
      <c r="TWV1598" s="391"/>
      <c r="TWW1598" s="390"/>
      <c r="TWX1598" s="391"/>
      <c r="TWY1598" s="390"/>
      <c r="TWZ1598" s="391"/>
      <c r="TXA1598" s="390"/>
      <c r="TXB1598" s="391"/>
      <c r="TXC1598" s="390"/>
      <c r="TXD1598" s="391"/>
      <c r="TXE1598" s="390"/>
      <c r="TXF1598" s="391"/>
      <c r="TXG1598" s="390"/>
      <c r="TXH1598" s="391"/>
      <c r="TXI1598" s="390"/>
      <c r="TXJ1598" s="391"/>
      <c r="TXK1598" s="390"/>
      <c r="TXL1598" s="391"/>
      <c r="TXM1598" s="390"/>
      <c r="TXN1598" s="391"/>
      <c r="TXO1598" s="390"/>
      <c r="TXP1598" s="391"/>
      <c r="TXQ1598" s="390"/>
      <c r="TXR1598" s="391"/>
      <c r="TXS1598" s="390"/>
      <c r="TXT1598" s="391"/>
      <c r="TXU1598" s="390"/>
      <c r="TXV1598" s="391"/>
      <c r="TXW1598" s="390"/>
      <c r="TXX1598" s="391"/>
      <c r="TXY1598" s="390"/>
      <c r="TXZ1598" s="391"/>
      <c r="TYA1598" s="390"/>
      <c r="TYB1598" s="391"/>
      <c r="TYC1598" s="390"/>
      <c r="TYD1598" s="391"/>
      <c r="TYE1598" s="390"/>
      <c r="TYF1598" s="391"/>
      <c r="TYG1598" s="390"/>
      <c r="TYH1598" s="391"/>
      <c r="TYI1598" s="390"/>
      <c r="TYJ1598" s="391"/>
      <c r="TYK1598" s="390"/>
      <c r="TYL1598" s="391"/>
      <c r="TYM1598" s="390"/>
      <c r="TYN1598" s="391"/>
      <c r="TYO1598" s="390"/>
      <c r="TYP1598" s="391"/>
      <c r="TYQ1598" s="390"/>
      <c r="TYR1598" s="391"/>
      <c r="TYS1598" s="390"/>
      <c r="TYT1598" s="391"/>
      <c r="TYU1598" s="390"/>
      <c r="TYV1598" s="391"/>
      <c r="TYW1598" s="390"/>
      <c r="TYX1598" s="391"/>
      <c r="TYY1598" s="390"/>
      <c r="TYZ1598" s="391"/>
      <c r="TZA1598" s="390"/>
      <c r="TZB1598" s="391"/>
      <c r="TZC1598" s="390"/>
      <c r="TZD1598" s="391"/>
      <c r="TZE1598" s="390"/>
      <c r="TZF1598" s="391"/>
      <c r="TZG1598" s="390"/>
      <c r="TZH1598" s="391"/>
      <c r="TZI1598" s="390"/>
      <c r="TZJ1598" s="391"/>
      <c r="TZK1598" s="390"/>
      <c r="TZL1598" s="391"/>
      <c r="TZM1598" s="390"/>
      <c r="TZN1598" s="391"/>
      <c r="TZO1598" s="390"/>
      <c r="TZP1598" s="391"/>
      <c r="TZQ1598" s="390"/>
      <c r="TZR1598" s="391"/>
      <c r="TZS1598" s="390"/>
      <c r="TZT1598" s="391"/>
      <c r="TZU1598" s="390"/>
      <c r="TZV1598" s="391"/>
      <c r="TZW1598" s="390"/>
      <c r="TZX1598" s="391"/>
      <c r="TZY1598" s="390"/>
      <c r="TZZ1598" s="391"/>
      <c r="UAA1598" s="390"/>
      <c r="UAB1598" s="391"/>
      <c r="UAC1598" s="390"/>
      <c r="UAD1598" s="391"/>
      <c r="UAE1598" s="390"/>
      <c r="UAF1598" s="391"/>
      <c r="UAG1598" s="390"/>
      <c r="UAH1598" s="391"/>
      <c r="UAI1598" s="390"/>
      <c r="UAJ1598" s="391"/>
      <c r="UAK1598" s="390"/>
      <c r="UAL1598" s="391"/>
      <c r="UAM1598" s="390"/>
      <c r="UAN1598" s="391"/>
      <c r="UAO1598" s="390"/>
      <c r="UAP1598" s="391"/>
      <c r="UAQ1598" s="390"/>
      <c r="UAR1598" s="391"/>
      <c r="UAS1598" s="390"/>
      <c r="UAT1598" s="391"/>
      <c r="UAU1598" s="390"/>
      <c r="UAV1598" s="391"/>
      <c r="UAW1598" s="390"/>
      <c r="UAX1598" s="391"/>
      <c r="UAY1598" s="390"/>
      <c r="UAZ1598" s="391"/>
      <c r="UBA1598" s="390"/>
      <c r="UBB1598" s="391"/>
      <c r="UBC1598" s="390"/>
      <c r="UBD1598" s="391"/>
      <c r="UBE1598" s="390"/>
      <c r="UBF1598" s="391"/>
      <c r="UBG1598" s="390"/>
      <c r="UBH1598" s="391"/>
      <c r="UBI1598" s="390"/>
      <c r="UBJ1598" s="391"/>
      <c r="UBK1598" s="390"/>
      <c r="UBL1598" s="391"/>
      <c r="UBM1598" s="390"/>
      <c r="UBN1598" s="391"/>
      <c r="UBO1598" s="390"/>
      <c r="UBP1598" s="391"/>
      <c r="UBQ1598" s="390"/>
      <c r="UBR1598" s="391"/>
      <c r="UBS1598" s="390"/>
      <c r="UBT1598" s="391"/>
      <c r="UBU1598" s="390"/>
      <c r="UBV1598" s="391"/>
      <c r="UBW1598" s="390"/>
      <c r="UBX1598" s="391"/>
      <c r="UBY1598" s="390"/>
      <c r="UBZ1598" s="391"/>
      <c r="UCA1598" s="390"/>
      <c r="UCB1598" s="391"/>
      <c r="UCC1598" s="390"/>
      <c r="UCD1598" s="391"/>
      <c r="UCE1598" s="390"/>
      <c r="UCF1598" s="391"/>
      <c r="UCG1598" s="390"/>
      <c r="UCH1598" s="391"/>
      <c r="UCI1598" s="390"/>
      <c r="UCJ1598" s="391"/>
      <c r="UCK1598" s="390"/>
      <c r="UCL1598" s="391"/>
      <c r="UCM1598" s="390"/>
      <c r="UCN1598" s="391"/>
      <c r="UCO1598" s="390"/>
      <c r="UCP1598" s="391"/>
      <c r="UCQ1598" s="390"/>
      <c r="UCR1598" s="391"/>
      <c r="UCS1598" s="390"/>
      <c r="UCT1598" s="391"/>
      <c r="UCU1598" s="390"/>
      <c r="UCV1598" s="391"/>
      <c r="UCW1598" s="390"/>
      <c r="UCX1598" s="391"/>
      <c r="UCY1598" s="390"/>
      <c r="UCZ1598" s="391"/>
      <c r="UDA1598" s="390"/>
      <c r="UDB1598" s="391"/>
      <c r="UDC1598" s="390"/>
      <c r="UDD1598" s="391"/>
      <c r="UDE1598" s="390"/>
      <c r="UDF1598" s="391"/>
      <c r="UDG1598" s="390"/>
      <c r="UDH1598" s="391"/>
      <c r="UDI1598" s="390"/>
      <c r="UDJ1598" s="391"/>
      <c r="UDK1598" s="390"/>
      <c r="UDL1598" s="391"/>
      <c r="UDM1598" s="390"/>
      <c r="UDN1598" s="391"/>
      <c r="UDO1598" s="390"/>
      <c r="UDP1598" s="391"/>
      <c r="UDQ1598" s="390"/>
      <c r="UDR1598" s="391"/>
      <c r="UDS1598" s="390"/>
      <c r="UDT1598" s="391"/>
      <c r="UDU1598" s="390"/>
      <c r="UDV1598" s="391"/>
      <c r="UDW1598" s="390"/>
      <c r="UDX1598" s="391"/>
      <c r="UDY1598" s="390"/>
      <c r="UDZ1598" s="391"/>
      <c r="UEA1598" s="390"/>
      <c r="UEB1598" s="391"/>
      <c r="UEC1598" s="390"/>
      <c r="UED1598" s="391"/>
      <c r="UEE1598" s="390"/>
      <c r="UEF1598" s="391"/>
      <c r="UEG1598" s="390"/>
      <c r="UEH1598" s="391"/>
      <c r="UEI1598" s="390"/>
      <c r="UEJ1598" s="391"/>
      <c r="UEK1598" s="390"/>
      <c r="UEL1598" s="391"/>
      <c r="UEM1598" s="390"/>
      <c r="UEN1598" s="391"/>
      <c r="UEO1598" s="390"/>
      <c r="UEP1598" s="391"/>
      <c r="UEQ1598" s="390"/>
      <c r="UER1598" s="391"/>
      <c r="UES1598" s="390"/>
      <c r="UET1598" s="391"/>
      <c r="UEU1598" s="390"/>
      <c r="UEV1598" s="391"/>
      <c r="UEW1598" s="390"/>
      <c r="UEX1598" s="391"/>
      <c r="UEY1598" s="390"/>
      <c r="UEZ1598" s="391"/>
      <c r="UFA1598" s="390"/>
      <c r="UFB1598" s="391"/>
      <c r="UFC1598" s="390"/>
      <c r="UFD1598" s="391"/>
      <c r="UFE1598" s="390"/>
      <c r="UFF1598" s="391"/>
      <c r="UFG1598" s="390"/>
      <c r="UFH1598" s="391"/>
      <c r="UFI1598" s="390"/>
      <c r="UFJ1598" s="391"/>
      <c r="UFK1598" s="390"/>
      <c r="UFL1598" s="391"/>
      <c r="UFM1598" s="390"/>
      <c r="UFN1598" s="391"/>
      <c r="UFO1598" s="390"/>
      <c r="UFP1598" s="391"/>
      <c r="UFQ1598" s="390"/>
      <c r="UFR1598" s="391"/>
      <c r="UFS1598" s="390"/>
      <c r="UFT1598" s="391"/>
      <c r="UFU1598" s="390"/>
      <c r="UFV1598" s="391"/>
      <c r="UFW1598" s="390"/>
      <c r="UFX1598" s="391"/>
      <c r="UFY1598" s="390"/>
      <c r="UFZ1598" s="391"/>
      <c r="UGA1598" s="390"/>
      <c r="UGB1598" s="391"/>
      <c r="UGC1598" s="390"/>
      <c r="UGD1598" s="391"/>
      <c r="UGE1598" s="390"/>
      <c r="UGF1598" s="391"/>
      <c r="UGG1598" s="390"/>
      <c r="UGH1598" s="391"/>
      <c r="UGI1598" s="390"/>
      <c r="UGJ1598" s="391"/>
      <c r="UGK1598" s="390"/>
      <c r="UGL1598" s="391"/>
      <c r="UGM1598" s="390"/>
      <c r="UGN1598" s="391"/>
      <c r="UGO1598" s="390"/>
      <c r="UGP1598" s="391"/>
      <c r="UGQ1598" s="390"/>
      <c r="UGR1598" s="391"/>
      <c r="UGS1598" s="390"/>
      <c r="UGT1598" s="391"/>
      <c r="UGU1598" s="390"/>
      <c r="UGV1598" s="391"/>
      <c r="UGW1598" s="390"/>
      <c r="UGX1598" s="391"/>
      <c r="UGY1598" s="390"/>
      <c r="UGZ1598" s="391"/>
      <c r="UHA1598" s="390"/>
      <c r="UHB1598" s="391"/>
      <c r="UHC1598" s="390"/>
      <c r="UHD1598" s="391"/>
      <c r="UHE1598" s="390"/>
      <c r="UHF1598" s="391"/>
      <c r="UHG1598" s="390"/>
      <c r="UHH1598" s="391"/>
      <c r="UHI1598" s="390"/>
      <c r="UHJ1598" s="391"/>
      <c r="UHK1598" s="390"/>
      <c r="UHL1598" s="391"/>
      <c r="UHM1598" s="390"/>
      <c r="UHN1598" s="391"/>
      <c r="UHO1598" s="390"/>
      <c r="UHP1598" s="391"/>
      <c r="UHQ1598" s="390"/>
      <c r="UHR1598" s="391"/>
      <c r="UHS1598" s="390"/>
      <c r="UHT1598" s="391"/>
      <c r="UHU1598" s="390"/>
      <c r="UHV1598" s="391"/>
      <c r="UHW1598" s="390"/>
      <c r="UHX1598" s="391"/>
      <c r="UHY1598" s="390"/>
      <c r="UHZ1598" s="391"/>
      <c r="UIA1598" s="390"/>
      <c r="UIB1598" s="391"/>
      <c r="UIC1598" s="390"/>
      <c r="UID1598" s="391"/>
      <c r="UIE1598" s="390"/>
      <c r="UIF1598" s="391"/>
      <c r="UIG1598" s="390"/>
      <c r="UIH1598" s="391"/>
      <c r="UII1598" s="390"/>
      <c r="UIJ1598" s="391"/>
      <c r="UIK1598" s="390"/>
      <c r="UIL1598" s="391"/>
      <c r="UIM1598" s="390"/>
      <c r="UIN1598" s="391"/>
      <c r="UIO1598" s="390"/>
      <c r="UIP1598" s="391"/>
      <c r="UIQ1598" s="390"/>
      <c r="UIR1598" s="391"/>
      <c r="UIS1598" s="390"/>
      <c r="UIT1598" s="391"/>
      <c r="UIU1598" s="390"/>
      <c r="UIV1598" s="391"/>
      <c r="UIW1598" s="390"/>
      <c r="UIX1598" s="391"/>
      <c r="UIY1598" s="390"/>
      <c r="UIZ1598" s="391"/>
      <c r="UJA1598" s="390"/>
      <c r="UJB1598" s="391"/>
      <c r="UJC1598" s="390"/>
      <c r="UJD1598" s="391"/>
      <c r="UJE1598" s="390"/>
      <c r="UJF1598" s="391"/>
      <c r="UJG1598" s="390"/>
      <c r="UJH1598" s="391"/>
      <c r="UJI1598" s="390"/>
      <c r="UJJ1598" s="391"/>
      <c r="UJK1598" s="390"/>
      <c r="UJL1598" s="391"/>
      <c r="UJM1598" s="390"/>
      <c r="UJN1598" s="391"/>
      <c r="UJO1598" s="390"/>
      <c r="UJP1598" s="391"/>
      <c r="UJQ1598" s="390"/>
      <c r="UJR1598" s="391"/>
      <c r="UJS1598" s="390"/>
      <c r="UJT1598" s="391"/>
      <c r="UJU1598" s="390"/>
      <c r="UJV1598" s="391"/>
      <c r="UJW1598" s="390"/>
      <c r="UJX1598" s="391"/>
      <c r="UJY1598" s="390"/>
      <c r="UJZ1598" s="391"/>
      <c r="UKA1598" s="390"/>
      <c r="UKB1598" s="391"/>
      <c r="UKC1598" s="390"/>
      <c r="UKD1598" s="391"/>
      <c r="UKE1598" s="390"/>
      <c r="UKF1598" s="391"/>
      <c r="UKG1598" s="390"/>
      <c r="UKH1598" s="391"/>
      <c r="UKI1598" s="390"/>
      <c r="UKJ1598" s="391"/>
      <c r="UKK1598" s="390"/>
      <c r="UKL1598" s="391"/>
      <c r="UKM1598" s="390"/>
      <c r="UKN1598" s="391"/>
      <c r="UKO1598" s="390"/>
      <c r="UKP1598" s="391"/>
      <c r="UKQ1598" s="390"/>
      <c r="UKR1598" s="391"/>
      <c r="UKS1598" s="390"/>
      <c r="UKT1598" s="391"/>
      <c r="UKU1598" s="390"/>
      <c r="UKV1598" s="391"/>
      <c r="UKW1598" s="390"/>
      <c r="UKX1598" s="391"/>
      <c r="UKY1598" s="390"/>
      <c r="UKZ1598" s="391"/>
      <c r="ULA1598" s="390"/>
      <c r="ULB1598" s="391"/>
      <c r="ULC1598" s="390"/>
      <c r="ULD1598" s="391"/>
      <c r="ULE1598" s="390"/>
      <c r="ULF1598" s="391"/>
      <c r="ULG1598" s="390"/>
      <c r="ULH1598" s="391"/>
      <c r="ULI1598" s="390"/>
      <c r="ULJ1598" s="391"/>
      <c r="ULK1598" s="390"/>
      <c r="ULL1598" s="391"/>
      <c r="ULM1598" s="390"/>
      <c r="ULN1598" s="391"/>
      <c r="ULO1598" s="390"/>
      <c r="ULP1598" s="391"/>
      <c r="ULQ1598" s="390"/>
      <c r="ULR1598" s="391"/>
      <c r="ULS1598" s="390"/>
      <c r="ULT1598" s="391"/>
      <c r="ULU1598" s="390"/>
      <c r="ULV1598" s="391"/>
      <c r="ULW1598" s="390"/>
      <c r="ULX1598" s="391"/>
      <c r="ULY1598" s="390"/>
      <c r="ULZ1598" s="391"/>
      <c r="UMA1598" s="390"/>
      <c r="UMB1598" s="391"/>
      <c r="UMC1598" s="390"/>
      <c r="UMD1598" s="391"/>
      <c r="UME1598" s="390"/>
      <c r="UMF1598" s="391"/>
      <c r="UMG1598" s="390"/>
      <c r="UMH1598" s="391"/>
      <c r="UMI1598" s="390"/>
      <c r="UMJ1598" s="391"/>
      <c r="UMK1598" s="390"/>
      <c r="UML1598" s="391"/>
      <c r="UMM1598" s="390"/>
      <c r="UMN1598" s="391"/>
      <c r="UMO1598" s="390"/>
      <c r="UMP1598" s="391"/>
      <c r="UMQ1598" s="390"/>
      <c r="UMR1598" s="391"/>
      <c r="UMS1598" s="390"/>
      <c r="UMT1598" s="391"/>
      <c r="UMU1598" s="390"/>
      <c r="UMV1598" s="391"/>
      <c r="UMW1598" s="390"/>
      <c r="UMX1598" s="391"/>
      <c r="UMY1598" s="390"/>
      <c r="UMZ1598" s="391"/>
      <c r="UNA1598" s="390"/>
      <c r="UNB1598" s="391"/>
      <c r="UNC1598" s="390"/>
      <c r="UND1598" s="391"/>
      <c r="UNE1598" s="390"/>
      <c r="UNF1598" s="391"/>
      <c r="UNG1598" s="390"/>
      <c r="UNH1598" s="391"/>
      <c r="UNI1598" s="390"/>
      <c r="UNJ1598" s="391"/>
      <c r="UNK1598" s="390"/>
      <c r="UNL1598" s="391"/>
      <c r="UNM1598" s="390"/>
      <c r="UNN1598" s="391"/>
      <c r="UNO1598" s="390"/>
      <c r="UNP1598" s="391"/>
      <c r="UNQ1598" s="390"/>
      <c r="UNR1598" s="391"/>
      <c r="UNS1598" s="390"/>
      <c r="UNT1598" s="391"/>
      <c r="UNU1598" s="390"/>
      <c r="UNV1598" s="391"/>
      <c r="UNW1598" s="390"/>
      <c r="UNX1598" s="391"/>
      <c r="UNY1598" s="390"/>
      <c r="UNZ1598" s="391"/>
      <c r="UOA1598" s="390"/>
      <c r="UOB1598" s="391"/>
      <c r="UOC1598" s="390"/>
      <c r="UOD1598" s="391"/>
      <c r="UOE1598" s="390"/>
      <c r="UOF1598" s="391"/>
      <c r="UOG1598" s="390"/>
      <c r="UOH1598" s="391"/>
      <c r="UOI1598" s="390"/>
      <c r="UOJ1598" s="391"/>
      <c r="UOK1598" s="390"/>
      <c r="UOL1598" s="391"/>
      <c r="UOM1598" s="390"/>
      <c r="UON1598" s="391"/>
      <c r="UOO1598" s="390"/>
      <c r="UOP1598" s="391"/>
      <c r="UOQ1598" s="390"/>
      <c r="UOR1598" s="391"/>
      <c r="UOS1598" s="390"/>
      <c r="UOT1598" s="391"/>
      <c r="UOU1598" s="390"/>
      <c r="UOV1598" s="391"/>
      <c r="UOW1598" s="390"/>
      <c r="UOX1598" s="391"/>
      <c r="UOY1598" s="390"/>
      <c r="UOZ1598" s="391"/>
      <c r="UPA1598" s="390"/>
      <c r="UPB1598" s="391"/>
      <c r="UPC1598" s="390"/>
      <c r="UPD1598" s="391"/>
      <c r="UPE1598" s="390"/>
      <c r="UPF1598" s="391"/>
      <c r="UPG1598" s="390"/>
      <c r="UPH1598" s="391"/>
      <c r="UPI1598" s="390"/>
      <c r="UPJ1598" s="391"/>
      <c r="UPK1598" s="390"/>
      <c r="UPL1598" s="391"/>
      <c r="UPM1598" s="390"/>
      <c r="UPN1598" s="391"/>
      <c r="UPO1598" s="390"/>
      <c r="UPP1598" s="391"/>
      <c r="UPQ1598" s="390"/>
      <c r="UPR1598" s="391"/>
      <c r="UPS1598" s="390"/>
      <c r="UPT1598" s="391"/>
      <c r="UPU1598" s="390"/>
      <c r="UPV1598" s="391"/>
      <c r="UPW1598" s="390"/>
      <c r="UPX1598" s="391"/>
      <c r="UPY1598" s="390"/>
      <c r="UPZ1598" s="391"/>
      <c r="UQA1598" s="390"/>
      <c r="UQB1598" s="391"/>
      <c r="UQC1598" s="390"/>
      <c r="UQD1598" s="391"/>
      <c r="UQE1598" s="390"/>
      <c r="UQF1598" s="391"/>
      <c r="UQG1598" s="390"/>
      <c r="UQH1598" s="391"/>
      <c r="UQI1598" s="390"/>
      <c r="UQJ1598" s="391"/>
      <c r="UQK1598" s="390"/>
      <c r="UQL1598" s="391"/>
      <c r="UQM1598" s="390"/>
      <c r="UQN1598" s="391"/>
      <c r="UQO1598" s="390"/>
      <c r="UQP1598" s="391"/>
      <c r="UQQ1598" s="390"/>
      <c r="UQR1598" s="391"/>
      <c r="UQS1598" s="390"/>
      <c r="UQT1598" s="391"/>
      <c r="UQU1598" s="390"/>
      <c r="UQV1598" s="391"/>
      <c r="UQW1598" s="390"/>
      <c r="UQX1598" s="391"/>
      <c r="UQY1598" s="390"/>
      <c r="UQZ1598" s="391"/>
      <c r="URA1598" s="390"/>
      <c r="URB1598" s="391"/>
      <c r="URC1598" s="390"/>
      <c r="URD1598" s="391"/>
      <c r="URE1598" s="390"/>
      <c r="URF1598" s="391"/>
      <c r="URG1598" s="390"/>
      <c r="URH1598" s="391"/>
      <c r="URI1598" s="390"/>
      <c r="URJ1598" s="391"/>
      <c r="URK1598" s="390"/>
      <c r="URL1598" s="391"/>
      <c r="URM1598" s="390"/>
      <c r="URN1598" s="391"/>
      <c r="URO1598" s="390"/>
      <c r="URP1598" s="391"/>
      <c r="URQ1598" s="390"/>
      <c r="URR1598" s="391"/>
      <c r="URS1598" s="390"/>
      <c r="URT1598" s="391"/>
      <c r="URU1598" s="390"/>
      <c r="URV1598" s="391"/>
      <c r="URW1598" s="390"/>
      <c r="URX1598" s="391"/>
      <c r="URY1598" s="390"/>
      <c r="URZ1598" s="391"/>
      <c r="USA1598" s="390"/>
      <c r="USB1598" s="391"/>
      <c r="USC1598" s="390"/>
      <c r="USD1598" s="391"/>
      <c r="USE1598" s="390"/>
      <c r="USF1598" s="391"/>
      <c r="USG1598" s="390"/>
      <c r="USH1598" s="391"/>
      <c r="USI1598" s="390"/>
      <c r="USJ1598" s="391"/>
      <c r="USK1598" s="390"/>
      <c r="USL1598" s="391"/>
      <c r="USM1598" s="390"/>
      <c r="USN1598" s="391"/>
      <c r="USO1598" s="390"/>
      <c r="USP1598" s="391"/>
      <c r="USQ1598" s="390"/>
      <c r="USR1598" s="391"/>
      <c r="USS1598" s="390"/>
      <c r="UST1598" s="391"/>
      <c r="USU1598" s="390"/>
      <c r="USV1598" s="391"/>
      <c r="USW1598" s="390"/>
      <c r="USX1598" s="391"/>
      <c r="USY1598" s="390"/>
      <c r="USZ1598" s="391"/>
      <c r="UTA1598" s="390"/>
      <c r="UTB1598" s="391"/>
      <c r="UTC1598" s="390"/>
      <c r="UTD1598" s="391"/>
      <c r="UTE1598" s="390"/>
      <c r="UTF1598" s="391"/>
      <c r="UTG1598" s="390"/>
      <c r="UTH1598" s="391"/>
      <c r="UTI1598" s="390"/>
      <c r="UTJ1598" s="391"/>
      <c r="UTK1598" s="390"/>
      <c r="UTL1598" s="391"/>
      <c r="UTM1598" s="390"/>
      <c r="UTN1598" s="391"/>
      <c r="UTO1598" s="390"/>
      <c r="UTP1598" s="391"/>
      <c r="UTQ1598" s="390"/>
      <c r="UTR1598" s="391"/>
      <c r="UTS1598" s="390"/>
      <c r="UTT1598" s="391"/>
      <c r="UTU1598" s="390"/>
      <c r="UTV1598" s="391"/>
      <c r="UTW1598" s="390"/>
      <c r="UTX1598" s="391"/>
      <c r="UTY1598" s="390"/>
      <c r="UTZ1598" s="391"/>
      <c r="UUA1598" s="390"/>
      <c r="UUB1598" s="391"/>
      <c r="UUC1598" s="390"/>
      <c r="UUD1598" s="391"/>
      <c r="UUE1598" s="390"/>
      <c r="UUF1598" s="391"/>
      <c r="UUG1598" s="390"/>
      <c r="UUH1598" s="391"/>
      <c r="UUI1598" s="390"/>
      <c r="UUJ1598" s="391"/>
      <c r="UUK1598" s="390"/>
      <c r="UUL1598" s="391"/>
      <c r="UUM1598" s="390"/>
      <c r="UUN1598" s="391"/>
      <c r="UUO1598" s="390"/>
      <c r="UUP1598" s="391"/>
      <c r="UUQ1598" s="390"/>
      <c r="UUR1598" s="391"/>
      <c r="UUS1598" s="390"/>
      <c r="UUT1598" s="391"/>
      <c r="UUU1598" s="390"/>
      <c r="UUV1598" s="391"/>
      <c r="UUW1598" s="390"/>
      <c r="UUX1598" s="391"/>
      <c r="UUY1598" s="390"/>
      <c r="UUZ1598" s="391"/>
      <c r="UVA1598" s="390"/>
      <c r="UVB1598" s="391"/>
      <c r="UVC1598" s="390"/>
      <c r="UVD1598" s="391"/>
      <c r="UVE1598" s="390"/>
      <c r="UVF1598" s="391"/>
      <c r="UVG1598" s="390"/>
      <c r="UVH1598" s="391"/>
      <c r="UVI1598" s="390"/>
      <c r="UVJ1598" s="391"/>
      <c r="UVK1598" s="390"/>
      <c r="UVL1598" s="391"/>
      <c r="UVM1598" s="390"/>
      <c r="UVN1598" s="391"/>
      <c r="UVO1598" s="390"/>
      <c r="UVP1598" s="391"/>
      <c r="UVQ1598" s="390"/>
      <c r="UVR1598" s="391"/>
      <c r="UVS1598" s="390"/>
      <c r="UVT1598" s="391"/>
      <c r="UVU1598" s="390"/>
      <c r="UVV1598" s="391"/>
      <c r="UVW1598" s="390"/>
      <c r="UVX1598" s="391"/>
      <c r="UVY1598" s="390"/>
      <c r="UVZ1598" s="391"/>
      <c r="UWA1598" s="390"/>
      <c r="UWB1598" s="391"/>
      <c r="UWC1598" s="390"/>
      <c r="UWD1598" s="391"/>
      <c r="UWE1598" s="390"/>
      <c r="UWF1598" s="391"/>
      <c r="UWG1598" s="390"/>
      <c r="UWH1598" s="391"/>
      <c r="UWI1598" s="390"/>
      <c r="UWJ1598" s="391"/>
      <c r="UWK1598" s="390"/>
      <c r="UWL1598" s="391"/>
      <c r="UWM1598" s="390"/>
      <c r="UWN1598" s="391"/>
      <c r="UWO1598" s="390"/>
      <c r="UWP1598" s="391"/>
      <c r="UWQ1598" s="390"/>
      <c r="UWR1598" s="391"/>
      <c r="UWS1598" s="390"/>
      <c r="UWT1598" s="391"/>
      <c r="UWU1598" s="390"/>
      <c r="UWV1598" s="391"/>
      <c r="UWW1598" s="390"/>
      <c r="UWX1598" s="391"/>
      <c r="UWY1598" s="390"/>
      <c r="UWZ1598" s="391"/>
      <c r="UXA1598" s="390"/>
      <c r="UXB1598" s="391"/>
      <c r="UXC1598" s="390"/>
      <c r="UXD1598" s="391"/>
      <c r="UXE1598" s="390"/>
      <c r="UXF1598" s="391"/>
      <c r="UXG1598" s="390"/>
      <c r="UXH1598" s="391"/>
      <c r="UXI1598" s="390"/>
      <c r="UXJ1598" s="391"/>
      <c r="UXK1598" s="390"/>
      <c r="UXL1598" s="391"/>
      <c r="UXM1598" s="390"/>
      <c r="UXN1598" s="391"/>
      <c r="UXO1598" s="390"/>
      <c r="UXP1598" s="391"/>
      <c r="UXQ1598" s="390"/>
      <c r="UXR1598" s="391"/>
      <c r="UXS1598" s="390"/>
      <c r="UXT1598" s="391"/>
      <c r="UXU1598" s="390"/>
      <c r="UXV1598" s="391"/>
      <c r="UXW1598" s="390"/>
      <c r="UXX1598" s="391"/>
      <c r="UXY1598" s="390"/>
      <c r="UXZ1598" s="391"/>
      <c r="UYA1598" s="390"/>
      <c r="UYB1598" s="391"/>
      <c r="UYC1598" s="390"/>
      <c r="UYD1598" s="391"/>
      <c r="UYE1598" s="390"/>
      <c r="UYF1598" s="391"/>
      <c r="UYG1598" s="390"/>
      <c r="UYH1598" s="391"/>
      <c r="UYI1598" s="390"/>
      <c r="UYJ1598" s="391"/>
      <c r="UYK1598" s="390"/>
      <c r="UYL1598" s="391"/>
      <c r="UYM1598" s="390"/>
      <c r="UYN1598" s="391"/>
      <c r="UYO1598" s="390"/>
      <c r="UYP1598" s="391"/>
      <c r="UYQ1598" s="390"/>
      <c r="UYR1598" s="391"/>
      <c r="UYS1598" s="390"/>
      <c r="UYT1598" s="391"/>
      <c r="UYU1598" s="390"/>
      <c r="UYV1598" s="391"/>
      <c r="UYW1598" s="390"/>
      <c r="UYX1598" s="391"/>
      <c r="UYY1598" s="390"/>
      <c r="UYZ1598" s="391"/>
      <c r="UZA1598" s="390"/>
      <c r="UZB1598" s="391"/>
      <c r="UZC1598" s="390"/>
      <c r="UZD1598" s="391"/>
      <c r="UZE1598" s="390"/>
      <c r="UZF1598" s="391"/>
      <c r="UZG1598" s="390"/>
      <c r="UZH1598" s="391"/>
      <c r="UZI1598" s="390"/>
      <c r="UZJ1598" s="391"/>
      <c r="UZK1598" s="390"/>
      <c r="UZL1598" s="391"/>
      <c r="UZM1598" s="390"/>
      <c r="UZN1598" s="391"/>
      <c r="UZO1598" s="390"/>
      <c r="UZP1598" s="391"/>
      <c r="UZQ1598" s="390"/>
      <c r="UZR1598" s="391"/>
      <c r="UZS1598" s="390"/>
      <c r="UZT1598" s="391"/>
      <c r="UZU1598" s="390"/>
      <c r="UZV1598" s="391"/>
      <c r="UZW1598" s="390"/>
      <c r="UZX1598" s="391"/>
      <c r="UZY1598" s="390"/>
      <c r="UZZ1598" s="391"/>
      <c r="VAA1598" s="390"/>
      <c r="VAB1598" s="391"/>
      <c r="VAC1598" s="390"/>
      <c r="VAD1598" s="391"/>
      <c r="VAE1598" s="390"/>
      <c r="VAF1598" s="391"/>
      <c r="VAG1598" s="390"/>
      <c r="VAH1598" s="391"/>
      <c r="VAI1598" s="390"/>
      <c r="VAJ1598" s="391"/>
      <c r="VAK1598" s="390"/>
      <c r="VAL1598" s="391"/>
      <c r="VAM1598" s="390"/>
      <c r="VAN1598" s="391"/>
      <c r="VAO1598" s="390"/>
      <c r="VAP1598" s="391"/>
      <c r="VAQ1598" s="390"/>
      <c r="VAR1598" s="391"/>
      <c r="VAS1598" s="390"/>
      <c r="VAT1598" s="391"/>
      <c r="VAU1598" s="390"/>
      <c r="VAV1598" s="391"/>
      <c r="VAW1598" s="390"/>
      <c r="VAX1598" s="391"/>
      <c r="VAY1598" s="390"/>
      <c r="VAZ1598" s="391"/>
      <c r="VBA1598" s="390"/>
      <c r="VBB1598" s="391"/>
      <c r="VBC1598" s="390"/>
      <c r="VBD1598" s="391"/>
      <c r="VBE1598" s="390"/>
      <c r="VBF1598" s="391"/>
      <c r="VBG1598" s="390"/>
      <c r="VBH1598" s="391"/>
      <c r="VBI1598" s="390"/>
      <c r="VBJ1598" s="391"/>
      <c r="VBK1598" s="390"/>
      <c r="VBL1598" s="391"/>
      <c r="VBM1598" s="390"/>
      <c r="VBN1598" s="391"/>
      <c r="VBO1598" s="390"/>
      <c r="VBP1598" s="391"/>
      <c r="VBQ1598" s="390"/>
      <c r="VBR1598" s="391"/>
      <c r="VBS1598" s="390"/>
      <c r="VBT1598" s="391"/>
      <c r="VBU1598" s="390"/>
      <c r="VBV1598" s="391"/>
      <c r="VBW1598" s="390"/>
      <c r="VBX1598" s="391"/>
      <c r="VBY1598" s="390"/>
      <c r="VBZ1598" s="391"/>
      <c r="VCA1598" s="390"/>
      <c r="VCB1598" s="391"/>
      <c r="VCC1598" s="390"/>
      <c r="VCD1598" s="391"/>
      <c r="VCE1598" s="390"/>
      <c r="VCF1598" s="391"/>
      <c r="VCG1598" s="390"/>
      <c r="VCH1598" s="391"/>
      <c r="VCI1598" s="390"/>
      <c r="VCJ1598" s="391"/>
      <c r="VCK1598" s="390"/>
      <c r="VCL1598" s="391"/>
      <c r="VCM1598" s="390"/>
      <c r="VCN1598" s="391"/>
      <c r="VCO1598" s="390"/>
      <c r="VCP1598" s="391"/>
      <c r="VCQ1598" s="390"/>
      <c r="VCR1598" s="391"/>
      <c r="VCS1598" s="390"/>
      <c r="VCT1598" s="391"/>
      <c r="VCU1598" s="390"/>
      <c r="VCV1598" s="391"/>
      <c r="VCW1598" s="390"/>
      <c r="VCX1598" s="391"/>
      <c r="VCY1598" s="390"/>
      <c r="VCZ1598" s="391"/>
      <c r="VDA1598" s="390"/>
      <c r="VDB1598" s="391"/>
      <c r="VDC1598" s="390"/>
      <c r="VDD1598" s="391"/>
      <c r="VDE1598" s="390"/>
      <c r="VDF1598" s="391"/>
      <c r="VDG1598" s="390"/>
      <c r="VDH1598" s="391"/>
      <c r="VDI1598" s="390"/>
      <c r="VDJ1598" s="391"/>
      <c r="VDK1598" s="390"/>
      <c r="VDL1598" s="391"/>
      <c r="VDM1598" s="390"/>
      <c r="VDN1598" s="391"/>
      <c r="VDO1598" s="390"/>
      <c r="VDP1598" s="391"/>
      <c r="VDQ1598" s="390"/>
      <c r="VDR1598" s="391"/>
      <c r="VDS1598" s="390"/>
      <c r="VDT1598" s="391"/>
      <c r="VDU1598" s="390"/>
      <c r="VDV1598" s="391"/>
      <c r="VDW1598" s="390"/>
      <c r="VDX1598" s="391"/>
      <c r="VDY1598" s="390"/>
      <c r="VDZ1598" s="391"/>
      <c r="VEA1598" s="390"/>
      <c r="VEB1598" s="391"/>
      <c r="VEC1598" s="390"/>
      <c r="VED1598" s="391"/>
      <c r="VEE1598" s="390"/>
      <c r="VEF1598" s="391"/>
      <c r="VEG1598" s="390"/>
      <c r="VEH1598" s="391"/>
      <c r="VEI1598" s="390"/>
      <c r="VEJ1598" s="391"/>
      <c r="VEK1598" s="390"/>
      <c r="VEL1598" s="391"/>
      <c r="VEM1598" s="390"/>
      <c r="VEN1598" s="391"/>
      <c r="VEO1598" s="390"/>
      <c r="VEP1598" s="391"/>
      <c r="VEQ1598" s="390"/>
      <c r="VER1598" s="391"/>
      <c r="VES1598" s="390"/>
      <c r="VET1598" s="391"/>
      <c r="VEU1598" s="390"/>
      <c r="VEV1598" s="391"/>
      <c r="VEW1598" s="390"/>
      <c r="VEX1598" s="391"/>
      <c r="VEY1598" s="390"/>
      <c r="VEZ1598" s="391"/>
      <c r="VFA1598" s="390"/>
      <c r="VFB1598" s="391"/>
      <c r="VFC1598" s="390"/>
      <c r="VFD1598" s="391"/>
      <c r="VFE1598" s="390"/>
      <c r="VFF1598" s="391"/>
      <c r="VFG1598" s="390"/>
      <c r="VFH1598" s="391"/>
      <c r="VFI1598" s="390"/>
      <c r="VFJ1598" s="391"/>
      <c r="VFK1598" s="390"/>
      <c r="VFL1598" s="391"/>
      <c r="VFM1598" s="390"/>
      <c r="VFN1598" s="391"/>
      <c r="VFO1598" s="390"/>
      <c r="VFP1598" s="391"/>
      <c r="VFQ1598" s="390"/>
      <c r="VFR1598" s="391"/>
      <c r="VFS1598" s="390"/>
      <c r="VFT1598" s="391"/>
      <c r="VFU1598" s="390"/>
      <c r="VFV1598" s="391"/>
      <c r="VFW1598" s="390"/>
      <c r="VFX1598" s="391"/>
      <c r="VFY1598" s="390"/>
      <c r="VFZ1598" s="391"/>
      <c r="VGA1598" s="390"/>
      <c r="VGB1598" s="391"/>
      <c r="VGC1598" s="390"/>
      <c r="VGD1598" s="391"/>
      <c r="VGE1598" s="390"/>
      <c r="VGF1598" s="391"/>
      <c r="VGG1598" s="390"/>
      <c r="VGH1598" s="391"/>
      <c r="VGI1598" s="390"/>
      <c r="VGJ1598" s="391"/>
      <c r="VGK1598" s="390"/>
      <c r="VGL1598" s="391"/>
      <c r="VGM1598" s="390"/>
      <c r="VGN1598" s="391"/>
      <c r="VGO1598" s="390"/>
      <c r="VGP1598" s="391"/>
      <c r="VGQ1598" s="390"/>
      <c r="VGR1598" s="391"/>
      <c r="VGS1598" s="390"/>
      <c r="VGT1598" s="391"/>
      <c r="VGU1598" s="390"/>
      <c r="VGV1598" s="391"/>
      <c r="VGW1598" s="390"/>
      <c r="VGX1598" s="391"/>
      <c r="VGY1598" s="390"/>
      <c r="VGZ1598" s="391"/>
      <c r="VHA1598" s="390"/>
      <c r="VHB1598" s="391"/>
      <c r="VHC1598" s="390"/>
      <c r="VHD1598" s="391"/>
      <c r="VHE1598" s="390"/>
      <c r="VHF1598" s="391"/>
      <c r="VHG1598" s="390"/>
      <c r="VHH1598" s="391"/>
      <c r="VHI1598" s="390"/>
      <c r="VHJ1598" s="391"/>
      <c r="VHK1598" s="390"/>
      <c r="VHL1598" s="391"/>
      <c r="VHM1598" s="390"/>
      <c r="VHN1598" s="391"/>
      <c r="VHO1598" s="390"/>
      <c r="VHP1598" s="391"/>
      <c r="VHQ1598" s="390"/>
      <c r="VHR1598" s="391"/>
      <c r="VHS1598" s="390"/>
      <c r="VHT1598" s="391"/>
      <c r="VHU1598" s="390"/>
      <c r="VHV1598" s="391"/>
      <c r="VHW1598" s="390"/>
      <c r="VHX1598" s="391"/>
      <c r="VHY1598" s="390"/>
      <c r="VHZ1598" s="391"/>
      <c r="VIA1598" s="390"/>
      <c r="VIB1598" s="391"/>
      <c r="VIC1598" s="390"/>
      <c r="VID1598" s="391"/>
      <c r="VIE1598" s="390"/>
      <c r="VIF1598" s="391"/>
      <c r="VIG1598" s="390"/>
      <c r="VIH1598" s="391"/>
      <c r="VII1598" s="390"/>
      <c r="VIJ1598" s="391"/>
      <c r="VIK1598" s="390"/>
      <c r="VIL1598" s="391"/>
      <c r="VIM1598" s="390"/>
      <c r="VIN1598" s="391"/>
      <c r="VIO1598" s="390"/>
      <c r="VIP1598" s="391"/>
      <c r="VIQ1598" s="390"/>
      <c r="VIR1598" s="391"/>
      <c r="VIS1598" s="390"/>
      <c r="VIT1598" s="391"/>
      <c r="VIU1598" s="390"/>
      <c r="VIV1598" s="391"/>
      <c r="VIW1598" s="390"/>
      <c r="VIX1598" s="391"/>
      <c r="VIY1598" s="390"/>
      <c r="VIZ1598" s="391"/>
      <c r="VJA1598" s="390"/>
      <c r="VJB1598" s="391"/>
      <c r="VJC1598" s="390"/>
      <c r="VJD1598" s="391"/>
      <c r="VJE1598" s="390"/>
      <c r="VJF1598" s="391"/>
      <c r="VJG1598" s="390"/>
      <c r="VJH1598" s="391"/>
      <c r="VJI1598" s="390"/>
      <c r="VJJ1598" s="391"/>
      <c r="VJK1598" s="390"/>
      <c r="VJL1598" s="391"/>
      <c r="VJM1598" s="390"/>
      <c r="VJN1598" s="391"/>
      <c r="VJO1598" s="390"/>
      <c r="VJP1598" s="391"/>
      <c r="VJQ1598" s="390"/>
      <c r="VJR1598" s="391"/>
      <c r="VJS1598" s="390"/>
      <c r="VJT1598" s="391"/>
      <c r="VJU1598" s="390"/>
      <c r="VJV1598" s="391"/>
      <c r="VJW1598" s="390"/>
      <c r="VJX1598" s="391"/>
      <c r="VJY1598" s="390"/>
      <c r="VJZ1598" s="391"/>
      <c r="VKA1598" s="390"/>
      <c r="VKB1598" s="391"/>
      <c r="VKC1598" s="390"/>
      <c r="VKD1598" s="391"/>
      <c r="VKE1598" s="390"/>
      <c r="VKF1598" s="391"/>
      <c r="VKG1598" s="390"/>
      <c r="VKH1598" s="391"/>
      <c r="VKI1598" s="390"/>
      <c r="VKJ1598" s="391"/>
      <c r="VKK1598" s="390"/>
      <c r="VKL1598" s="391"/>
      <c r="VKM1598" s="390"/>
      <c r="VKN1598" s="391"/>
      <c r="VKO1598" s="390"/>
      <c r="VKP1598" s="391"/>
      <c r="VKQ1598" s="390"/>
      <c r="VKR1598" s="391"/>
      <c r="VKS1598" s="390"/>
      <c r="VKT1598" s="391"/>
      <c r="VKU1598" s="390"/>
      <c r="VKV1598" s="391"/>
      <c r="VKW1598" s="390"/>
      <c r="VKX1598" s="391"/>
      <c r="VKY1598" s="390"/>
      <c r="VKZ1598" s="391"/>
      <c r="VLA1598" s="390"/>
      <c r="VLB1598" s="391"/>
      <c r="VLC1598" s="390"/>
      <c r="VLD1598" s="391"/>
      <c r="VLE1598" s="390"/>
      <c r="VLF1598" s="391"/>
      <c r="VLG1598" s="390"/>
      <c r="VLH1598" s="391"/>
      <c r="VLI1598" s="390"/>
      <c r="VLJ1598" s="391"/>
      <c r="VLK1598" s="390"/>
      <c r="VLL1598" s="391"/>
      <c r="VLM1598" s="390"/>
      <c r="VLN1598" s="391"/>
      <c r="VLO1598" s="390"/>
      <c r="VLP1598" s="391"/>
      <c r="VLQ1598" s="390"/>
      <c r="VLR1598" s="391"/>
      <c r="VLS1598" s="390"/>
      <c r="VLT1598" s="391"/>
      <c r="VLU1598" s="390"/>
      <c r="VLV1598" s="391"/>
      <c r="VLW1598" s="390"/>
      <c r="VLX1598" s="391"/>
      <c r="VLY1598" s="390"/>
      <c r="VLZ1598" s="391"/>
      <c r="VMA1598" s="390"/>
      <c r="VMB1598" s="391"/>
      <c r="VMC1598" s="390"/>
      <c r="VMD1598" s="391"/>
      <c r="VME1598" s="390"/>
      <c r="VMF1598" s="391"/>
      <c r="VMG1598" s="390"/>
      <c r="VMH1598" s="391"/>
      <c r="VMI1598" s="390"/>
      <c r="VMJ1598" s="391"/>
      <c r="VMK1598" s="390"/>
      <c r="VML1598" s="391"/>
      <c r="VMM1598" s="390"/>
      <c r="VMN1598" s="391"/>
      <c r="VMO1598" s="390"/>
      <c r="VMP1598" s="391"/>
      <c r="VMQ1598" s="390"/>
      <c r="VMR1598" s="391"/>
      <c r="VMS1598" s="390"/>
      <c r="VMT1598" s="391"/>
      <c r="VMU1598" s="390"/>
      <c r="VMV1598" s="391"/>
      <c r="VMW1598" s="390"/>
      <c r="VMX1598" s="391"/>
      <c r="VMY1598" s="390"/>
      <c r="VMZ1598" s="391"/>
      <c r="VNA1598" s="390"/>
      <c r="VNB1598" s="391"/>
      <c r="VNC1598" s="390"/>
      <c r="VND1598" s="391"/>
      <c r="VNE1598" s="390"/>
      <c r="VNF1598" s="391"/>
      <c r="VNG1598" s="390"/>
      <c r="VNH1598" s="391"/>
      <c r="VNI1598" s="390"/>
      <c r="VNJ1598" s="391"/>
      <c r="VNK1598" s="390"/>
      <c r="VNL1598" s="391"/>
      <c r="VNM1598" s="390"/>
      <c r="VNN1598" s="391"/>
      <c r="VNO1598" s="390"/>
      <c r="VNP1598" s="391"/>
      <c r="VNQ1598" s="390"/>
      <c r="VNR1598" s="391"/>
      <c r="VNS1598" s="390"/>
      <c r="VNT1598" s="391"/>
      <c r="VNU1598" s="390"/>
      <c r="VNV1598" s="391"/>
      <c r="VNW1598" s="390"/>
      <c r="VNX1598" s="391"/>
      <c r="VNY1598" s="390"/>
      <c r="VNZ1598" s="391"/>
      <c r="VOA1598" s="390"/>
      <c r="VOB1598" s="391"/>
      <c r="VOC1598" s="390"/>
      <c r="VOD1598" s="391"/>
      <c r="VOE1598" s="390"/>
      <c r="VOF1598" s="391"/>
      <c r="VOG1598" s="390"/>
      <c r="VOH1598" s="391"/>
      <c r="VOI1598" s="390"/>
      <c r="VOJ1598" s="391"/>
      <c r="VOK1598" s="390"/>
      <c r="VOL1598" s="391"/>
      <c r="VOM1598" s="390"/>
      <c r="VON1598" s="391"/>
      <c r="VOO1598" s="390"/>
      <c r="VOP1598" s="391"/>
      <c r="VOQ1598" s="390"/>
      <c r="VOR1598" s="391"/>
      <c r="VOS1598" s="390"/>
      <c r="VOT1598" s="391"/>
      <c r="VOU1598" s="390"/>
      <c r="VOV1598" s="391"/>
      <c r="VOW1598" s="390"/>
      <c r="VOX1598" s="391"/>
      <c r="VOY1598" s="390"/>
      <c r="VOZ1598" s="391"/>
      <c r="VPA1598" s="390"/>
      <c r="VPB1598" s="391"/>
      <c r="VPC1598" s="390"/>
      <c r="VPD1598" s="391"/>
      <c r="VPE1598" s="390"/>
      <c r="VPF1598" s="391"/>
      <c r="VPG1598" s="390"/>
      <c r="VPH1598" s="391"/>
      <c r="VPI1598" s="390"/>
      <c r="VPJ1598" s="391"/>
      <c r="VPK1598" s="390"/>
      <c r="VPL1598" s="391"/>
      <c r="VPM1598" s="390"/>
      <c r="VPN1598" s="391"/>
      <c r="VPO1598" s="390"/>
      <c r="VPP1598" s="391"/>
      <c r="VPQ1598" s="390"/>
      <c r="VPR1598" s="391"/>
      <c r="VPS1598" s="390"/>
      <c r="VPT1598" s="391"/>
      <c r="VPU1598" s="390"/>
      <c r="VPV1598" s="391"/>
      <c r="VPW1598" s="390"/>
      <c r="VPX1598" s="391"/>
      <c r="VPY1598" s="390"/>
      <c r="VPZ1598" s="391"/>
      <c r="VQA1598" s="390"/>
      <c r="VQB1598" s="391"/>
      <c r="VQC1598" s="390"/>
      <c r="VQD1598" s="391"/>
      <c r="VQE1598" s="390"/>
      <c r="VQF1598" s="391"/>
      <c r="VQG1598" s="390"/>
      <c r="VQH1598" s="391"/>
      <c r="VQI1598" s="390"/>
      <c r="VQJ1598" s="391"/>
      <c r="VQK1598" s="390"/>
      <c r="VQL1598" s="391"/>
      <c r="VQM1598" s="390"/>
      <c r="VQN1598" s="391"/>
      <c r="VQO1598" s="390"/>
      <c r="VQP1598" s="391"/>
      <c r="VQQ1598" s="390"/>
      <c r="VQR1598" s="391"/>
      <c r="VQS1598" s="390"/>
      <c r="VQT1598" s="391"/>
      <c r="VQU1598" s="390"/>
      <c r="VQV1598" s="391"/>
      <c r="VQW1598" s="390"/>
      <c r="VQX1598" s="391"/>
      <c r="VQY1598" s="390"/>
      <c r="VQZ1598" s="391"/>
      <c r="VRA1598" s="390"/>
      <c r="VRB1598" s="391"/>
      <c r="VRC1598" s="390"/>
      <c r="VRD1598" s="391"/>
      <c r="VRE1598" s="390"/>
      <c r="VRF1598" s="391"/>
      <c r="VRG1598" s="390"/>
      <c r="VRH1598" s="391"/>
      <c r="VRI1598" s="390"/>
      <c r="VRJ1598" s="391"/>
      <c r="VRK1598" s="390"/>
      <c r="VRL1598" s="391"/>
      <c r="VRM1598" s="390"/>
      <c r="VRN1598" s="391"/>
      <c r="VRO1598" s="390"/>
      <c r="VRP1598" s="391"/>
      <c r="VRQ1598" s="390"/>
      <c r="VRR1598" s="391"/>
      <c r="VRS1598" s="390"/>
      <c r="VRT1598" s="391"/>
      <c r="VRU1598" s="390"/>
      <c r="VRV1598" s="391"/>
      <c r="VRW1598" s="390"/>
      <c r="VRX1598" s="391"/>
      <c r="VRY1598" s="390"/>
      <c r="VRZ1598" s="391"/>
      <c r="VSA1598" s="390"/>
      <c r="VSB1598" s="391"/>
      <c r="VSC1598" s="390"/>
      <c r="VSD1598" s="391"/>
      <c r="VSE1598" s="390"/>
      <c r="VSF1598" s="391"/>
      <c r="VSG1598" s="390"/>
      <c r="VSH1598" s="391"/>
      <c r="VSI1598" s="390"/>
      <c r="VSJ1598" s="391"/>
      <c r="VSK1598" s="390"/>
      <c r="VSL1598" s="391"/>
      <c r="VSM1598" s="390"/>
      <c r="VSN1598" s="391"/>
      <c r="VSO1598" s="390"/>
      <c r="VSP1598" s="391"/>
      <c r="VSQ1598" s="390"/>
      <c r="VSR1598" s="391"/>
      <c r="VSS1598" s="390"/>
      <c r="VST1598" s="391"/>
      <c r="VSU1598" s="390"/>
      <c r="VSV1598" s="391"/>
      <c r="VSW1598" s="390"/>
      <c r="VSX1598" s="391"/>
      <c r="VSY1598" s="390"/>
      <c r="VSZ1598" s="391"/>
      <c r="VTA1598" s="390"/>
      <c r="VTB1598" s="391"/>
      <c r="VTC1598" s="390"/>
      <c r="VTD1598" s="391"/>
      <c r="VTE1598" s="390"/>
      <c r="VTF1598" s="391"/>
      <c r="VTG1598" s="390"/>
      <c r="VTH1598" s="391"/>
      <c r="VTI1598" s="390"/>
      <c r="VTJ1598" s="391"/>
      <c r="VTK1598" s="390"/>
      <c r="VTL1598" s="391"/>
      <c r="VTM1598" s="390"/>
      <c r="VTN1598" s="391"/>
      <c r="VTO1598" s="390"/>
      <c r="VTP1598" s="391"/>
      <c r="VTQ1598" s="390"/>
      <c r="VTR1598" s="391"/>
      <c r="VTS1598" s="390"/>
      <c r="VTT1598" s="391"/>
      <c r="VTU1598" s="390"/>
      <c r="VTV1598" s="391"/>
      <c r="VTW1598" s="390"/>
      <c r="VTX1598" s="391"/>
      <c r="VTY1598" s="390"/>
      <c r="VTZ1598" s="391"/>
      <c r="VUA1598" s="390"/>
      <c r="VUB1598" s="391"/>
      <c r="VUC1598" s="390"/>
      <c r="VUD1598" s="391"/>
      <c r="VUE1598" s="390"/>
      <c r="VUF1598" s="391"/>
      <c r="VUG1598" s="390"/>
      <c r="VUH1598" s="391"/>
      <c r="VUI1598" s="390"/>
      <c r="VUJ1598" s="391"/>
      <c r="VUK1598" s="390"/>
      <c r="VUL1598" s="391"/>
      <c r="VUM1598" s="390"/>
      <c r="VUN1598" s="391"/>
      <c r="VUO1598" s="390"/>
      <c r="VUP1598" s="391"/>
      <c r="VUQ1598" s="390"/>
      <c r="VUR1598" s="391"/>
      <c r="VUS1598" s="390"/>
      <c r="VUT1598" s="391"/>
      <c r="VUU1598" s="390"/>
      <c r="VUV1598" s="391"/>
      <c r="VUW1598" s="390"/>
      <c r="VUX1598" s="391"/>
      <c r="VUY1598" s="390"/>
      <c r="VUZ1598" s="391"/>
      <c r="VVA1598" s="390"/>
      <c r="VVB1598" s="391"/>
      <c r="VVC1598" s="390"/>
      <c r="VVD1598" s="391"/>
      <c r="VVE1598" s="390"/>
      <c r="VVF1598" s="391"/>
      <c r="VVG1598" s="390"/>
      <c r="VVH1598" s="391"/>
      <c r="VVI1598" s="390"/>
      <c r="VVJ1598" s="391"/>
      <c r="VVK1598" s="390"/>
      <c r="VVL1598" s="391"/>
      <c r="VVM1598" s="390"/>
      <c r="VVN1598" s="391"/>
      <c r="VVO1598" s="390"/>
      <c r="VVP1598" s="391"/>
      <c r="VVQ1598" s="390"/>
      <c r="VVR1598" s="391"/>
      <c r="VVS1598" s="390"/>
      <c r="VVT1598" s="391"/>
      <c r="VVU1598" s="390"/>
      <c r="VVV1598" s="391"/>
      <c r="VVW1598" s="390"/>
      <c r="VVX1598" s="391"/>
      <c r="VVY1598" s="390"/>
      <c r="VVZ1598" s="391"/>
      <c r="VWA1598" s="390"/>
      <c r="VWB1598" s="391"/>
      <c r="VWC1598" s="390"/>
      <c r="VWD1598" s="391"/>
      <c r="VWE1598" s="390"/>
      <c r="VWF1598" s="391"/>
      <c r="VWG1598" s="390"/>
      <c r="VWH1598" s="391"/>
      <c r="VWI1598" s="390"/>
      <c r="VWJ1598" s="391"/>
      <c r="VWK1598" s="390"/>
      <c r="VWL1598" s="391"/>
      <c r="VWM1598" s="390"/>
      <c r="VWN1598" s="391"/>
      <c r="VWO1598" s="390"/>
      <c r="VWP1598" s="391"/>
      <c r="VWQ1598" s="390"/>
      <c r="VWR1598" s="391"/>
      <c r="VWS1598" s="390"/>
      <c r="VWT1598" s="391"/>
      <c r="VWU1598" s="390"/>
      <c r="VWV1598" s="391"/>
      <c r="VWW1598" s="390"/>
      <c r="VWX1598" s="391"/>
      <c r="VWY1598" s="390"/>
      <c r="VWZ1598" s="391"/>
      <c r="VXA1598" s="390"/>
      <c r="VXB1598" s="391"/>
      <c r="VXC1598" s="390"/>
      <c r="VXD1598" s="391"/>
      <c r="VXE1598" s="390"/>
      <c r="VXF1598" s="391"/>
      <c r="VXG1598" s="390"/>
      <c r="VXH1598" s="391"/>
      <c r="VXI1598" s="390"/>
      <c r="VXJ1598" s="391"/>
      <c r="VXK1598" s="390"/>
      <c r="VXL1598" s="391"/>
      <c r="VXM1598" s="390"/>
      <c r="VXN1598" s="391"/>
      <c r="VXO1598" s="390"/>
      <c r="VXP1598" s="391"/>
      <c r="VXQ1598" s="390"/>
      <c r="VXR1598" s="391"/>
      <c r="VXS1598" s="390"/>
      <c r="VXT1598" s="391"/>
      <c r="VXU1598" s="390"/>
      <c r="VXV1598" s="391"/>
      <c r="VXW1598" s="390"/>
      <c r="VXX1598" s="391"/>
      <c r="VXY1598" s="390"/>
      <c r="VXZ1598" s="391"/>
      <c r="VYA1598" s="390"/>
      <c r="VYB1598" s="391"/>
      <c r="VYC1598" s="390"/>
      <c r="VYD1598" s="391"/>
      <c r="VYE1598" s="390"/>
      <c r="VYF1598" s="391"/>
      <c r="VYG1598" s="390"/>
      <c r="VYH1598" s="391"/>
      <c r="VYI1598" s="390"/>
      <c r="VYJ1598" s="391"/>
      <c r="VYK1598" s="390"/>
      <c r="VYL1598" s="391"/>
      <c r="VYM1598" s="390"/>
      <c r="VYN1598" s="391"/>
      <c r="VYO1598" s="390"/>
      <c r="VYP1598" s="391"/>
      <c r="VYQ1598" s="390"/>
      <c r="VYR1598" s="391"/>
      <c r="VYS1598" s="390"/>
      <c r="VYT1598" s="391"/>
      <c r="VYU1598" s="390"/>
      <c r="VYV1598" s="391"/>
      <c r="VYW1598" s="390"/>
      <c r="VYX1598" s="391"/>
      <c r="VYY1598" s="390"/>
      <c r="VYZ1598" s="391"/>
      <c r="VZA1598" s="390"/>
      <c r="VZB1598" s="391"/>
      <c r="VZC1598" s="390"/>
      <c r="VZD1598" s="391"/>
      <c r="VZE1598" s="390"/>
      <c r="VZF1598" s="391"/>
      <c r="VZG1598" s="390"/>
      <c r="VZH1598" s="391"/>
      <c r="VZI1598" s="390"/>
      <c r="VZJ1598" s="391"/>
      <c r="VZK1598" s="390"/>
      <c r="VZL1598" s="391"/>
      <c r="VZM1598" s="390"/>
      <c r="VZN1598" s="391"/>
      <c r="VZO1598" s="390"/>
      <c r="VZP1598" s="391"/>
      <c r="VZQ1598" s="390"/>
      <c r="VZR1598" s="391"/>
      <c r="VZS1598" s="390"/>
      <c r="VZT1598" s="391"/>
      <c r="VZU1598" s="390"/>
      <c r="VZV1598" s="391"/>
      <c r="VZW1598" s="390"/>
      <c r="VZX1598" s="391"/>
      <c r="VZY1598" s="390"/>
      <c r="VZZ1598" s="391"/>
      <c r="WAA1598" s="390"/>
      <c r="WAB1598" s="391"/>
      <c r="WAC1598" s="390"/>
      <c r="WAD1598" s="391"/>
      <c r="WAE1598" s="390"/>
      <c r="WAF1598" s="391"/>
      <c r="WAG1598" s="390"/>
      <c r="WAH1598" s="391"/>
      <c r="WAI1598" s="390"/>
      <c r="WAJ1598" s="391"/>
      <c r="WAK1598" s="390"/>
      <c r="WAL1598" s="391"/>
      <c r="WAM1598" s="390"/>
      <c r="WAN1598" s="391"/>
      <c r="WAO1598" s="390"/>
      <c r="WAP1598" s="391"/>
      <c r="WAQ1598" s="390"/>
      <c r="WAR1598" s="391"/>
      <c r="WAS1598" s="390"/>
      <c r="WAT1598" s="391"/>
      <c r="WAU1598" s="390"/>
      <c r="WAV1598" s="391"/>
      <c r="WAW1598" s="390"/>
      <c r="WAX1598" s="391"/>
      <c r="WAY1598" s="390"/>
      <c r="WAZ1598" s="391"/>
      <c r="WBA1598" s="390"/>
      <c r="WBB1598" s="391"/>
      <c r="WBC1598" s="390"/>
      <c r="WBD1598" s="391"/>
      <c r="WBE1598" s="390"/>
      <c r="WBF1598" s="391"/>
      <c r="WBG1598" s="390"/>
      <c r="WBH1598" s="391"/>
      <c r="WBI1598" s="390"/>
      <c r="WBJ1598" s="391"/>
      <c r="WBK1598" s="390"/>
      <c r="WBL1598" s="391"/>
      <c r="WBM1598" s="390"/>
      <c r="WBN1598" s="391"/>
      <c r="WBO1598" s="390"/>
      <c r="WBP1598" s="391"/>
      <c r="WBQ1598" s="390"/>
      <c r="WBR1598" s="391"/>
      <c r="WBS1598" s="390"/>
      <c r="WBT1598" s="391"/>
      <c r="WBU1598" s="390"/>
      <c r="WBV1598" s="391"/>
      <c r="WBW1598" s="390"/>
      <c r="WBX1598" s="391"/>
      <c r="WBY1598" s="390"/>
      <c r="WBZ1598" s="391"/>
      <c r="WCA1598" s="390"/>
      <c r="WCB1598" s="391"/>
      <c r="WCC1598" s="390"/>
      <c r="WCD1598" s="391"/>
      <c r="WCE1598" s="390"/>
      <c r="WCF1598" s="391"/>
      <c r="WCG1598" s="390"/>
      <c r="WCH1598" s="391"/>
      <c r="WCI1598" s="390"/>
      <c r="WCJ1598" s="391"/>
      <c r="WCK1598" s="390"/>
      <c r="WCL1598" s="391"/>
      <c r="WCM1598" s="390"/>
      <c r="WCN1598" s="391"/>
      <c r="WCO1598" s="390"/>
      <c r="WCP1598" s="391"/>
      <c r="WCQ1598" s="390"/>
      <c r="WCR1598" s="391"/>
      <c r="WCS1598" s="390"/>
      <c r="WCT1598" s="391"/>
      <c r="WCU1598" s="390"/>
      <c r="WCV1598" s="391"/>
      <c r="WCW1598" s="390"/>
      <c r="WCX1598" s="391"/>
      <c r="WCY1598" s="390"/>
      <c r="WCZ1598" s="391"/>
      <c r="WDA1598" s="390"/>
      <c r="WDB1598" s="391"/>
      <c r="WDC1598" s="390"/>
      <c r="WDD1598" s="391"/>
      <c r="WDE1598" s="390"/>
      <c r="WDF1598" s="391"/>
      <c r="WDG1598" s="390"/>
      <c r="WDH1598" s="391"/>
      <c r="WDI1598" s="390"/>
      <c r="WDJ1598" s="391"/>
      <c r="WDK1598" s="390"/>
      <c r="WDL1598" s="391"/>
      <c r="WDM1598" s="390"/>
      <c r="WDN1598" s="391"/>
      <c r="WDO1598" s="390"/>
      <c r="WDP1598" s="391"/>
      <c r="WDQ1598" s="390"/>
      <c r="WDR1598" s="391"/>
      <c r="WDS1598" s="390"/>
      <c r="WDT1598" s="391"/>
      <c r="WDU1598" s="390"/>
      <c r="WDV1598" s="391"/>
      <c r="WDW1598" s="390"/>
      <c r="WDX1598" s="391"/>
      <c r="WDY1598" s="390"/>
      <c r="WDZ1598" s="391"/>
      <c r="WEA1598" s="390"/>
      <c r="WEB1598" s="391"/>
      <c r="WEC1598" s="390"/>
      <c r="WED1598" s="391"/>
      <c r="WEE1598" s="390"/>
      <c r="WEF1598" s="391"/>
      <c r="WEG1598" s="390"/>
      <c r="WEH1598" s="391"/>
      <c r="WEI1598" s="390"/>
      <c r="WEJ1598" s="391"/>
      <c r="WEK1598" s="390"/>
      <c r="WEL1598" s="391"/>
      <c r="WEM1598" s="390"/>
      <c r="WEN1598" s="391"/>
      <c r="WEO1598" s="390"/>
      <c r="WEP1598" s="391"/>
      <c r="WEQ1598" s="390"/>
      <c r="WER1598" s="391"/>
      <c r="WES1598" s="390"/>
      <c r="WET1598" s="391"/>
      <c r="WEU1598" s="390"/>
      <c r="WEV1598" s="391"/>
      <c r="WEW1598" s="390"/>
      <c r="WEX1598" s="391"/>
      <c r="WEY1598" s="390"/>
      <c r="WEZ1598" s="391"/>
      <c r="WFA1598" s="390"/>
      <c r="WFB1598" s="391"/>
      <c r="WFC1598" s="390"/>
      <c r="WFD1598" s="391"/>
      <c r="WFE1598" s="390"/>
      <c r="WFF1598" s="391"/>
      <c r="WFG1598" s="390"/>
      <c r="WFH1598" s="391"/>
      <c r="WFI1598" s="390"/>
      <c r="WFJ1598" s="391"/>
      <c r="WFK1598" s="390"/>
      <c r="WFL1598" s="391"/>
      <c r="WFM1598" s="390"/>
      <c r="WFN1598" s="391"/>
      <c r="WFO1598" s="390"/>
      <c r="WFP1598" s="391"/>
      <c r="WFQ1598" s="390"/>
      <c r="WFR1598" s="391"/>
      <c r="WFS1598" s="390"/>
      <c r="WFT1598" s="391"/>
      <c r="WFU1598" s="390"/>
      <c r="WFV1598" s="391"/>
      <c r="WFW1598" s="390"/>
      <c r="WFX1598" s="391"/>
      <c r="WFY1598" s="390"/>
      <c r="WFZ1598" s="391"/>
      <c r="WGA1598" s="390"/>
      <c r="WGB1598" s="391"/>
      <c r="WGC1598" s="390"/>
      <c r="WGD1598" s="391"/>
      <c r="WGE1598" s="390"/>
      <c r="WGF1598" s="391"/>
      <c r="WGG1598" s="390"/>
      <c r="WGH1598" s="391"/>
      <c r="WGI1598" s="390"/>
      <c r="WGJ1598" s="391"/>
      <c r="WGK1598" s="390"/>
      <c r="WGL1598" s="391"/>
      <c r="WGM1598" s="390"/>
      <c r="WGN1598" s="391"/>
      <c r="WGO1598" s="390"/>
      <c r="WGP1598" s="391"/>
      <c r="WGQ1598" s="390"/>
      <c r="WGR1598" s="391"/>
      <c r="WGS1598" s="390"/>
      <c r="WGT1598" s="391"/>
      <c r="WGU1598" s="390"/>
      <c r="WGV1598" s="391"/>
      <c r="WGW1598" s="390"/>
      <c r="WGX1598" s="391"/>
      <c r="WGY1598" s="390"/>
      <c r="WGZ1598" s="391"/>
      <c r="WHA1598" s="390"/>
      <c r="WHB1598" s="391"/>
      <c r="WHC1598" s="390"/>
      <c r="WHD1598" s="391"/>
      <c r="WHE1598" s="390"/>
      <c r="WHF1598" s="391"/>
      <c r="WHG1598" s="390"/>
      <c r="WHH1598" s="391"/>
      <c r="WHI1598" s="390"/>
      <c r="WHJ1598" s="391"/>
      <c r="WHK1598" s="390"/>
      <c r="WHL1598" s="391"/>
      <c r="WHM1598" s="390"/>
      <c r="WHN1598" s="391"/>
      <c r="WHO1598" s="390"/>
      <c r="WHP1598" s="391"/>
      <c r="WHQ1598" s="390"/>
      <c r="WHR1598" s="391"/>
      <c r="WHS1598" s="390"/>
      <c r="WHT1598" s="391"/>
      <c r="WHU1598" s="390"/>
      <c r="WHV1598" s="391"/>
      <c r="WHW1598" s="390"/>
      <c r="WHX1598" s="391"/>
      <c r="WHY1598" s="390"/>
      <c r="WHZ1598" s="391"/>
      <c r="WIA1598" s="390"/>
      <c r="WIB1598" s="391"/>
      <c r="WIC1598" s="390"/>
      <c r="WID1598" s="391"/>
      <c r="WIE1598" s="390"/>
      <c r="WIF1598" s="391"/>
      <c r="WIG1598" s="390"/>
      <c r="WIH1598" s="391"/>
      <c r="WII1598" s="390"/>
      <c r="WIJ1598" s="391"/>
      <c r="WIK1598" s="390"/>
      <c r="WIL1598" s="391"/>
      <c r="WIM1598" s="390"/>
      <c r="WIN1598" s="391"/>
      <c r="WIO1598" s="390"/>
      <c r="WIP1598" s="391"/>
      <c r="WIQ1598" s="390"/>
      <c r="WIR1598" s="391"/>
      <c r="WIS1598" s="390"/>
      <c r="WIT1598" s="391"/>
      <c r="WIU1598" s="390"/>
      <c r="WIV1598" s="391"/>
      <c r="WIW1598" s="390"/>
      <c r="WIX1598" s="391"/>
      <c r="WIY1598" s="390"/>
      <c r="WIZ1598" s="391"/>
      <c r="WJA1598" s="390"/>
      <c r="WJB1598" s="391"/>
      <c r="WJC1598" s="390"/>
      <c r="WJD1598" s="391"/>
      <c r="WJE1598" s="390"/>
      <c r="WJF1598" s="391"/>
      <c r="WJG1598" s="390"/>
      <c r="WJH1598" s="391"/>
      <c r="WJI1598" s="390"/>
      <c r="WJJ1598" s="391"/>
      <c r="WJK1598" s="390"/>
      <c r="WJL1598" s="391"/>
      <c r="WJM1598" s="390"/>
      <c r="WJN1598" s="391"/>
      <c r="WJO1598" s="390"/>
      <c r="WJP1598" s="391"/>
      <c r="WJQ1598" s="390"/>
      <c r="WJR1598" s="391"/>
      <c r="WJS1598" s="390"/>
      <c r="WJT1598" s="391"/>
      <c r="WJU1598" s="390"/>
      <c r="WJV1598" s="391"/>
      <c r="WJW1598" s="390"/>
      <c r="WJX1598" s="391"/>
      <c r="WJY1598" s="390"/>
      <c r="WJZ1598" s="391"/>
      <c r="WKA1598" s="390"/>
      <c r="WKB1598" s="391"/>
      <c r="WKC1598" s="390"/>
      <c r="WKD1598" s="391"/>
      <c r="WKE1598" s="390"/>
      <c r="WKF1598" s="391"/>
      <c r="WKG1598" s="390"/>
      <c r="WKH1598" s="391"/>
      <c r="WKI1598" s="390"/>
      <c r="WKJ1598" s="391"/>
      <c r="WKK1598" s="390"/>
      <c r="WKL1598" s="391"/>
      <c r="WKM1598" s="390"/>
      <c r="WKN1598" s="391"/>
      <c r="WKO1598" s="390"/>
      <c r="WKP1598" s="391"/>
      <c r="WKQ1598" s="390"/>
      <c r="WKR1598" s="391"/>
      <c r="WKS1598" s="390"/>
      <c r="WKT1598" s="391"/>
      <c r="WKU1598" s="390"/>
      <c r="WKV1598" s="391"/>
      <c r="WKW1598" s="390"/>
      <c r="WKX1598" s="391"/>
      <c r="WKY1598" s="390"/>
      <c r="WKZ1598" s="391"/>
      <c r="WLA1598" s="390"/>
      <c r="WLB1598" s="391"/>
      <c r="WLC1598" s="390"/>
      <c r="WLD1598" s="391"/>
      <c r="WLE1598" s="390"/>
      <c r="WLF1598" s="391"/>
      <c r="WLG1598" s="390"/>
      <c r="WLH1598" s="391"/>
      <c r="WLI1598" s="390"/>
      <c r="WLJ1598" s="391"/>
      <c r="WLK1598" s="390"/>
      <c r="WLL1598" s="391"/>
      <c r="WLM1598" s="390"/>
      <c r="WLN1598" s="391"/>
      <c r="WLO1598" s="390"/>
      <c r="WLP1598" s="391"/>
      <c r="WLQ1598" s="390"/>
      <c r="WLR1598" s="391"/>
      <c r="WLS1598" s="390"/>
      <c r="WLT1598" s="391"/>
      <c r="WLU1598" s="390"/>
      <c r="WLV1598" s="391"/>
      <c r="WLW1598" s="390"/>
      <c r="WLX1598" s="391"/>
      <c r="WLY1598" s="390"/>
      <c r="WLZ1598" s="391"/>
      <c r="WMA1598" s="390"/>
      <c r="WMB1598" s="391"/>
      <c r="WMC1598" s="390"/>
      <c r="WMD1598" s="391"/>
      <c r="WME1598" s="390"/>
      <c r="WMF1598" s="391"/>
      <c r="WMG1598" s="390"/>
      <c r="WMH1598" s="391"/>
      <c r="WMI1598" s="390"/>
      <c r="WMJ1598" s="391"/>
      <c r="WMK1598" s="390"/>
      <c r="WML1598" s="391"/>
      <c r="WMM1598" s="390"/>
      <c r="WMN1598" s="391"/>
      <c r="WMO1598" s="390"/>
      <c r="WMP1598" s="391"/>
      <c r="WMQ1598" s="390"/>
      <c r="WMR1598" s="391"/>
      <c r="WMS1598" s="390"/>
      <c r="WMT1598" s="391"/>
      <c r="WMU1598" s="390"/>
      <c r="WMV1598" s="391"/>
      <c r="WMW1598" s="390"/>
      <c r="WMX1598" s="391"/>
      <c r="WMY1598" s="390"/>
      <c r="WMZ1598" s="391"/>
      <c r="WNA1598" s="390"/>
      <c r="WNB1598" s="391"/>
      <c r="WNC1598" s="390"/>
      <c r="WND1598" s="391"/>
      <c r="WNE1598" s="390"/>
      <c r="WNF1598" s="391"/>
      <c r="WNG1598" s="390"/>
      <c r="WNH1598" s="391"/>
      <c r="WNI1598" s="390"/>
      <c r="WNJ1598" s="391"/>
      <c r="WNK1598" s="390"/>
      <c r="WNL1598" s="391"/>
      <c r="WNM1598" s="390"/>
      <c r="WNN1598" s="391"/>
      <c r="WNO1598" s="390"/>
      <c r="WNP1598" s="391"/>
      <c r="WNQ1598" s="390"/>
      <c r="WNR1598" s="391"/>
      <c r="WNS1598" s="390"/>
      <c r="WNT1598" s="391"/>
      <c r="WNU1598" s="390"/>
      <c r="WNV1598" s="391"/>
      <c r="WNW1598" s="390"/>
      <c r="WNX1598" s="391"/>
      <c r="WNY1598" s="390"/>
      <c r="WNZ1598" s="391"/>
      <c r="WOA1598" s="390"/>
      <c r="WOB1598" s="391"/>
      <c r="WOC1598" s="390"/>
      <c r="WOD1598" s="391"/>
      <c r="WOE1598" s="390"/>
      <c r="WOF1598" s="391"/>
      <c r="WOG1598" s="390"/>
      <c r="WOH1598" s="391"/>
      <c r="WOI1598" s="390"/>
      <c r="WOJ1598" s="391"/>
      <c r="WOK1598" s="390"/>
      <c r="WOL1598" s="391"/>
      <c r="WOM1598" s="390"/>
      <c r="WON1598" s="391"/>
      <c r="WOO1598" s="390"/>
      <c r="WOP1598" s="391"/>
      <c r="WOQ1598" s="390"/>
      <c r="WOR1598" s="391"/>
      <c r="WOS1598" s="390"/>
      <c r="WOT1598" s="391"/>
      <c r="WOU1598" s="390"/>
      <c r="WOV1598" s="391"/>
      <c r="WOW1598" s="390"/>
      <c r="WOX1598" s="391"/>
      <c r="WOY1598" s="390"/>
      <c r="WOZ1598" s="391"/>
      <c r="WPA1598" s="390"/>
      <c r="WPB1598" s="391"/>
      <c r="WPC1598" s="390"/>
      <c r="WPD1598" s="391"/>
      <c r="WPE1598" s="390"/>
      <c r="WPF1598" s="391"/>
      <c r="WPG1598" s="390"/>
      <c r="WPH1598" s="391"/>
      <c r="WPI1598" s="390"/>
      <c r="WPJ1598" s="391"/>
      <c r="WPK1598" s="390"/>
      <c r="WPL1598" s="391"/>
      <c r="WPM1598" s="390"/>
      <c r="WPN1598" s="391"/>
      <c r="WPO1598" s="390"/>
      <c r="WPP1598" s="391"/>
      <c r="WPQ1598" s="390"/>
      <c r="WPR1598" s="391"/>
      <c r="WPS1598" s="390"/>
      <c r="WPT1598" s="391"/>
      <c r="WPU1598" s="390"/>
      <c r="WPV1598" s="391"/>
      <c r="WPW1598" s="390"/>
      <c r="WPX1598" s="391"/>
      <c r="WPY1598" s="390"/>
      <c r="WPZ1598" s="391"/>
      <c r="WQA1598" s="390"/>
      <c r="WQB1598" s="391"/>
      <c r="WQC1598" s="390"/>
      <c r="WQD1598" s="391"/>
      <c r="WQE1598" s="390"/>
      <c r="WQF1598" s="391"/>
      <c r="WQG1598" s="390"/>
      <c r="WQH1598" s="391"/>
      <c r="WQI1598" s="390"/>
      <c r="WQJ1598" s="391"/>
      <c r="WQK1598" s="390"/>
      <c r="WQL1598" s="391"/>
      <c r="WQM1598" s="390"/>
      <c r="WQN1598" s="391"/>
      <c r="WQO1598" s="390"/>
      <c r="WQP1598" s="391"/>
      <c r="WQQ1598" s="390"/>
      <c r="WQR1598" s="391"/>
      <c r="WQS1598" s="390"/>
      <c r="WQT1598" s="391"/>
      <c r="WQU1598" s="390"/>
      <c r="WQV1598" s="391"/>
      <c r="WQW1598" s="390"/>
      <c r="WQX1598" s="391"/>
      <c r="WQY1598" s="390"/>
      <c r="WQZ1598" s="391"/>
      <c r="WRA1598" s="390"/>
      <c r="WRB1598" s="391"/>
      <c r="WRC1598" s="390"/>
      <c r="WRD1598" s="391"/>
      <c r="WRE1598" s="390"/>
      <c r="WRF1598" s="391"/>
      <c r="WRG1598" s="390"/>
      <c r="WRH1598" s="391"/>
      <c r="WRI1598" s="390"/>
      <c r="WRJ1598" s="391"/>
      <c r="WRK1598" s="390"/>
      <c r="WRL1598" s="391"/>
      <c r="WRM1598" s="390"/>
      <c r="WRN1598" s="391"/>
      <c r="WRO1598" s="390"/>
      <c r="WRP1598" s="391"/>
      <c r="WRQ1598" s="390"/>
      <c r="WRR1598" s="391"/>
      <c r="WRS1598" s="390"/>
      <c r="WRT1598" s="391"/>
      <c r="WRU1598" s="390"/>
      <c r="WRV1598" s="391"/>
      <c r="WRW1598" s="390"/>
      <c r="WRX1598" s="391"/>
      <c r="WRY1598" s="390"/>
      <c r="WRZ1598" s="391"/>
      <c r="WSA1598" s="390"/>
      <c r="WSB1598" s="391"/>
      <c r="WSC1598" s="390"/>
      <c r="WSD1598" s="391"/>
      <c r="WSE1598" s="390"/>
      <c r="WSF1598" s="391"/>
      <c r="WSG1598" s="390"/>
      <c r="WSH1598" s="391"/>
      <c r="WSI1598" s="390"/>
      <c r="WSJ1598" s="391"/>
      <c r="WSK1598" s="390"/>
      <c r="WSL1598" s="391"/>
      <c r="WSM1598" s="390"/>
      <c r="WSN1598" s="391"/>
      <c r="WSO1598" s="390"/>
      <c r="WSP1598" s="391"/>
      <c r="WSQ1598" s="390"/>
      <c r="WSR1598" s="391"/>
      <c r="WSS1598" s="390"/>
      <c r="WST1598" s="391"/>
      <c r="WSU1598" s="390"/>
      <c r="WSV1598" s="391"/>
      <c r="WSW1598" s="390"/>
      <c r="WSX1598" s="391"/>
      <c r="WSY1598" s="390"/>
      <c r="WSZ1598" s="391"/>
      <c r="WTA1598" s="390"/>
      <c r="WTB1598" s="391"/>
      <c r="WTC1598" s="390"/>
      <c r="WTD1598" s="391"/>
      <c r="WTE1598" s="390"/>
      <c r="WTF1598" s="391"/>
      <c r="WTG1598" s="390"/>
      <c r="WTH1598" s="391"/>
      <c r="WTI1598" s="390"/>
      <c r="WTJ1598" s="391"/>
      <c r="WTK1598" s="390"/>
      <c r="WTL1598" s="391"/>
      <c r="WTM1598" s="390"/>
      <c r="WTN1598" s="391"/>
      <c r="WTO1598" s="390"/>
      <c r="WTP1598" s="391"/>
      <c r="WTQ1598" s="390"/>
      <c r="WTR1598" s="391"/>
      <c r="WTS1598" s="390"/>
      <c r="WTT1598" s="391"/>
      <c r="WTU1598" s="390"/>
      <c r="WTV1598" s="391"/>
      <c r="WTW1598" s="390"/>
      <c r="WTX1598" s="391"/>
      <c r="WTY1598" s="390"/>
      <c r="WTZ1598" s="391"/>
      <c r="WUA1598" s="390"/>
      <c r="WUB1598" s="391"/>
      <c r="WUC1598" s="390"/>
      <c r="WUD1598" s="391"/>
      <c r="WUE1598" s="390"/>
      <c r="WUF1598" s="391"/>
      <c r="WUG1598" s="390"/>
      <c r="WUH1598" s="391"/>
      <c r="WUI1598" s="390"/>
      <c r="WUJ1598" s="391"/>
      <c r="WUK1598" s="390"/>
      <c r="WUL1598" s="391"/>
      <c r="WUM1598" s="390"/>
      <c r="WUN1598" s="391"/>
      <c r="WUO1598" s="390"/>
      <c r="WUP1598" s="391"/>
      <c r="WUQ1598" s="390"/>
      <c r="WUR1598" s="391"/>
      <c r="WUS1598" s="390"/>
      <c r="WUT1598" s="391"/>
      <c r="WUU1598" s="390"/>
      <c r="WUV1598" s="391"/>
      <c r="WUW1598" s="390"/>
      <c r="WUX1598" s="391"/>
      <c r="WUY1598" s="390"/>
      <c r="WUZ1598" s="391"/>
      <c r="WVA1598" s="390"/>
      <c r="WVB1598" s="391"/>
      <c r="WVC1598" s="390"/>
      <c r="WVD1598" s="391"/>
      <c r="WVE1598" s="390"/>
      <c r="WVF1598" s="391"/>
      <c r="WVG1598" s="390"/>
      <c r="WVH1598" s="391"/>
      <c r="WVI1598" s="390"/>
      <c r="WVJ1598" s="391"/>
      <c r="WVK1598" s="390"/>
      <c r="WVL1598" s="391"/>
      <c r="WVM1598" s="390"/>
      <c r="WVN1598" s="391"/>
      <c r="WVO1598" s="390"/>
      <c r="WVP1598" s="391"/>
      <c r="WVQ1598" s="390"/>
      <c r="WVR1598" s="391"/>
      <c r="WVS1598" s="390"/>
      <c r="WVT1598" s="391"/>
      <c r="WVU1598" s="390"/>
      <c r="WVV1598" s="391"/>
      <c r="WVW1598" s="390"/>
      <c r="WVX1598" s="391"/>
      <c r="WVY1598" s="390"/>
      <c r="WVZ1598" s="391"/>
      <c r="WWA1598" s="390"/>
      <c r="WWB1598" s="391"/>
      <c r="WWC1598" s="390"/>
      <c r="WWD1598" s="391"/>
      <c r="WWE1598" s="390"/>
      <c r="WWF1598" s="391"/>
      <c r="WWG1598" s="390"/>
      <c r="WWH1598" s="391"/>
      <c r="WWI1598" s="390"/>
      <c r="WWJ1598" s="391"/>
      <c r="WWK1598" s="390"/>
      <c r="WWL1598" s="391"/>
      <c r="WWM1598" s="390"/>
      <c r="WWN1598" s="391"/>
      <c r="WWO1598" s="390"/>
      <c r="WWP1598" s="391"/>
      <c r="WWQ1598" s="390"/>
      <c r="WWR1598" s="391"/>
      <c r="WWS1598" s="390"/>
      <c r="WWT1598" s="391"/>
      <c r="WWU1598" s="390"/>
      <c r="WWV1598" s="391"/>
      <c r="WWW1598" s="390"/>
      <c r="WWX1598" s="391"/>
      <c r="WWY1598" s="390"/>
      <c r="WWZ1598" s="391"/>
      <c r="WXA1598" s="390"/>
      <c r="WXB1598" s="391"/>
      <c r="WXC1598" s="390"/>
      <c r="WXD1598" s="391"/>
      <c r="WXE1598" s="390"/>
      <c r="WXF1598" s="391"/>
      <c r="WXG1598" s="390"/>
      <c r="WXH1598" s="391"/>
      <c r="WXI1598" s="390"/>
      <c r="WXJ1598" s="391"/>
      <c r="WXK1598" s="390"/>
      <c r="WXL1598" s="391"/>
      <c r="WXM1598" s="390"/>
      <c r="WXN1598" s="391"/>
      <c r="WXO1598" s="390"/>
      <c r="WXP1598" s="391"/>
      <c r="WXQ1598" s="390"/>
      <c r="WXR1598" s="391"/>
      <c r="WXS1598" s="390"/>
      <c r="WXT1598" s="391"/>
      <c r="WXU1598" s="390"/>
      <c r="WXV1598" s="391"/>
      <c r="WXW1598" s="390"/>
      <c r="WXX1598" s="391"/>
      <c r="WXY1598" s="390"/>
      <c r="WXZ1598" s="391"/>
      <c r="WYA1598" s="390"/>
      <c r="WYB1598" s="391"/>
      <c r="WYC1598" s="390"/>
      <c r="WYD1598" s="391"/>
      <c r="WYE1598" s="390"/>
      <c r="WYF1598" s="391"/>
      <c r="WYG1598" s="390"/>
      <c r="WYH1598" s="391"/>
      <c r="WYI1598" s="390"/>
      <c r="WYJ1598" s="391"/>
      <c r="WYK1598" s="390"/>
      <c r="WYL1598" s="391"/>
      <c r="WYM1598" s="390"/>
      <c r="WYN1598" s="391"/>
      <c r="WYO1598" s="390"/>
      <c r="WYP1598" s="391"/>
      <c r="WYQ1598" s="390"/>
      <c r="WYR1598" s="391"/>
      <c r="WYS1598" s="390"/>
      <c r="WYT1598" s="391"/>
      <c r="WYU1598" s="390"/>
      <c r="WYV1598" s="391"/>
      <c r="WYW1598" s="390"/>
      <c r="WYX1598" s="391"/>
      <c r="WYY1598" s="390"/>
      <c r="WYZ1598" s="391"/>
      <c r="WZA1598" s="390"/>
      <c r="WZB1598" s="391"/>
      <c r="WZC1598" s="390"/>
      <c r="WZD1598" s="391"/>
      <c r="WZE1598" s="390"/>
      <c r="WZF1598" s="391"/>
      <c r="WZG1598" s="390"/>
      <c r="WZH1598" s="391"/>
      <c r="WZI1598" s="390"/>
      <c r="WZJ1598" s="391"/>
      <c r="WZK1598" s="390"/>
      <c r="WZL1598" s="391"/>
      <c r="WZM1598" s="390"/>
      <c r="WZN1598" s="391"/>
      <c r="WZO1598" s="390"/>
      <c r="WZP1598" s="391"/>
      <c r="WZQ1598" s="390"/>
      <c r="WZR1598" s="391"/>
      <c r="WZS1598" s="390"/>
      <c r="WZT1598" s="391"/>
      <c r="WZU1598" s="390"/>
      <c r="WZV1598" s="391"/>
      <c r="WZW1598" s="390"/>
      <c r="WZX1598" s="391"/>
      <c r="WZY1598" s="390"/>
      <c r="WZZ1598" s="391"/>
      <c r="XAA1598" s="390"/>
      <c r="XAB1598" s="391"/>
      <c r="XAC1598" s="390"/>
      <c r="XAD1598" s="391"/>
      <c r="XAE1598" s="390"/>
      <c r="XAF1598" s="391"/>
      <c r="XAG1598" s="390"/>
      <c r="XAH1598" s="391"/>
      <c r="XAI1598" s="390"/>
      <c r="XAJ1598" s="391"/>
      <c r="XAK1598" s="390"/>
      <c r="XAL1598" s="391"/>
      <c r="XAM1598" s="390"/>
      <c r="XAN1598" s="391"/>
      <c r="XAO1598" s="390"/>
      <c r="XAP1598" s="391"/>
      <c r="XAQ1598" s="390"/>
      <c r="XAR1598" s="391"/>
      <c r="XAS1598" s="390"/>
      <c r="XAT1598" s="391"/>
      <c r="XAU1598" s="390"/>
      <c r="XAV1598" s="391"/>
      <c r="XAW1598" s="390"/>
      <c r="XAX1598" s="391"/>
      <c r="XAY1598" s="390"/>
      <c r="XAZ1598" s="391"/>
      <c r="XBA1598" s="390"/>
      <c r="XBB1598" s="391"/>
      <c r="XBC1598" s="390"/>
      <c r="XBD1598" s="391"/>
      <c r="XBE1598" s="390"/>
      <c r="XBF1598" s="391"/>
      <c r="XBG1598" s="390"/>
      <c r="XBH1598" s="391"/>
      <c r="XBI1598" s="390"/>
      <c r="XBJ1598" s="391"/>
      <c r="XBK1598" s="390"/>
      <c r="XBL1598" s="391"/>
      <c r="XBM1598" s="390"/>
      <c r="XBN1598" s="391"/>
      <c r="XBO1598" s="390"/>
      <c r="XBP1598" s="391"/>
      <c r="XBQ1598" s="390"/>
      <c r="XBR1598" s="391"/>
      <c r="XBS1598" s="390"/>
      <c r="XBT1598" s="391"/>
      <c r="XBU1598" s="390"/>
      <c r="XBV1598" s="391"/>
      <c r="XBW1598" s="390"/>
      <c r="XBX1598" s="391"/>
      <c r="XBY1598" s="390"/>
      <c r="XBZ1598" s="391"/>
      <c r="XCA1598" s="390"/>
      <c r="XCB1598" s="391"/>
      <c r="XCC1598" s="390"/>
      <c r="XCD1598" s="391"/>
      <c r="XCE1598" s="390"/>
      <c r="XCF1598" s="391"/>
      <c r="XCG1598" s="390"/>
      <c r="XCH1598" s="391"/>
      <c r="XCI1598" s="390"/>
      <c r="XCJ1598" s="391"/>
      <c r="XCK1598" s="390"/>
      <c r="XCL1598" s="391"/>
      <c r="XCM1598" s="390"/>
      <c r="XCN1598" s="391"/>
      <c r="XCO1598" s="390"/>
      <c r="XCP1598" s="391"/>
      <c r="XCQ1598" s="390"/>
      <c r="XCR1598" s="391"/>
      <c r="XCS1598" s="390"/>
      <c r="XCT1598" s="391"/>
      <c r="XCU1598" s="390"/>
      <c r="XCV1598" s="391"/>
      <c r="XCW1598" s="390"/>
      <c r="XCX1598" s="391"/>
      <c r="XCY1598" s="390"/>
      <c r="XCZ1598" s="391"/>
      <c r="XDA1598" s="390"/>
      <c r="XDB1598" s="391"/>
      <c r="XDC1598" s="390"/>
      <c r="XDD1598" s="391"/>
      <c r="XDE1598" s="390"/>
      <c r="XDF1598" s="391"/>
      <c r="XDG1598" s="390"/>
      <c r="XDH1598" s="391"/>
      <c r="XDI1598" s="390"/>
      <c r="XDJ1598" s="391"/>
      <c r="XDK1598" s="390"/>
      <c r="XDL1598" s="391"/>
      <c r="XDM1598" s="390"/>
      <c r="XDN1598" s="391"/>
      <c r="XDO1598" s="390"/>
      <c r="XDP1598" s="391"/>
      <c r="XDQ1598" s="390"/>
      <c r="XDR1598" s="391"/>
      <c r="XDS1598" s="390"/>
      <c r="XDT1598" s="391"/>
      <c r="XDU1598" s="390"/>
      <c r="XDV1598" s="391"/>
      <c r="XDW1598" s="390"/>
      <c r="XDX1598" s="391"/>
      <c r="XDY1598" s="390"/>
      <c r="XDZ1598" s="391"/>
      <c r="XEA1598" s="390"/>
      <c r="XEB1598" s="391"/>
      <c r="XEC1598" s="390"/>
      <c r="XED1598" s="391"/>
      <c r="XEE1598" s="390"/>
      <c r="XEF1598" s="391"/>
      <c r="XEG1598" s="390"/>
      <c r="XEH1598" s="391"/>
      <c r="XEI1598" s="390"/>
      <c r="XEJ1598" s="391"/>
      <c r="XEK1598" s="390"/>
      <c r="XEL1598" s="391"/>
      <c r="XEM1598" s="390"/>
      <c r="XEN1598" s="391"/>
      <c r="XEO1598" s="390"/>
      <c r="XEP1598" s="391"/>
      <c r="XEQ1598" s="390"/>
      <c r="XER1598" s="391"/>
      <c r="XES1598" s="390"/>
      <c r="XET1598" s="391"/>
      <c r="XEU1598" s="390"/>
      <c r="XEV1598" s="391"/>
      <c r="XEW1598" s="390"/>
      <c r="XEX1598" s="391"/>
      <c r="XEY1598" s="390"/>
      <c r="XEZ1598" s="391"/>
      <c r="XFA1598" s="390"/>
      <c r="XFB1598" s="391"/>
      <c r="XFC1598" s="390"/>
      <c r="XFD1598" s="391"/>
    </row>
    <row r="1599" spans="1:16384">
      <c r="A1599" s="226"/>
      <c r="B1599" s="131" t="s">
        <v>2641</v>
      </c>
      <c r="C1599" s="226">
        <v>96611</v>
      </c>
      <c r="D1599" s="390"/>
      <c r="H1599" s="225"/>
      <c r="J1599" s="387"/>
      <c r="K1599" s="225"/>
      <c r="P1599" s="225"/>
    </row>
    <row r="1600" spans="1:16384">
      <c r="A1600" s="226"/>
      <c r="B1600" s="131" t="s">
        <v>2642</v>
      </c>
      <c r="C1600" s="226">
        <v>96741</v>
      </c>
      <c r="D1600" s="390"/>
      <c r="H1600" s="225"/>
      <c r="J1600" s="387"/>
      <c r="K1600" s="225"/>
      <c r="P1600" s="225"/>
    </row>
    <row r="1601" spans="1:16">
      <c r="A1601" s="226"/>
      <c r="B1601" s="131" t="s">
        <v>1400</v>
      </c>
      <c r="C1601" s="226">
        <v>97701</v>
      </c>
      <c r="D1601" s="390"/>
      <c r="H1601" s="225"/>
      <c r="J1601" s="387"/>
      <c r="K1601" s="225"/>
      <c r="P1601" s="225"/>
    </row>
    <row r="1602" spans="1:16">
      <c r="A1602" s="226"/>
      <c r="B1602" s="131" t="s">
        <v>2643</v>
      </c>
      <c r="C1602" s="226">
        <v>92541</v>
      </c>
      <c r="D1602" s="390"/>
      <c r="H1602" s="225"/>
      <c r="J1602" s="388"/>
      <c r="K1602" s="225"/>
      <c r="P1602" s="225"/>
    </row>
    <row r="1603" spans="1:16">
      <c r="A1603" s="226"/>
      <c r="B1603" s="131" t="s">
        <v>1999</v>
      </c>
      <c r="C1603" s="226">
        <v>94221</v>
      </c>
      <c r="D1603" s="390"/>
      <c r="H1603" s="225"/>
      <c r="J1603" s="387"/>
      <c r="K1603" s="225"/>
      <c r="P1603" s="225"/>
    </row>
    <row r="1604" spans="1:16">
      <c r="A1604" s="226"/>
      <c r="B1604" s="131" t="s">
        <v>1118</v>
      </c>
      <c r="C1604" s="226">
        <v>94209</v>
      </c>
      <c r="D1604" s="390"/>
      <c r="H1604" s="225"/>
      <c r="J1604" s="387"/>
      <c r="K1604" s="225"/>
      <c r="P1604" s="225"/>
    </row>
    <row r="1605" spans="1:16">
      <c r="A1605" s="226"/>
      <c r="B1605" s="131" t="s">
        <v>2644</v>
      </c>
      <c r="C1605" s="226">
        <v>96341</v>
      </c>
      <c r="D1605" s="390"/>
      <c r="H1605" s="225"/>
      <c r="J1605" s="388"/>
      <c r="K1605" s="225"/>
      <c r="P1605" s="225"/>
    </row>
    <row r="1606" spans="1:16">
      <c r="A1606" s="226"/>
      <c r="B1606" s="131" t="s">
        <v>2645</v>
      </c>
      <c r="C1606" s="226">
        <v>93821</v>
      </c>
      <c r="D1606" s="390"/>
      <c r="H1606" s="225"/>
      <c r="J1606" s="387"/>
      <c r="K1606" s="225"/>
      <c r="P1606" s="225"/>
    </row>
    <row r="1607" spans="1:16">
      <c r="A1607" s="226"/>
      <c r="B1607" s="131" t="s">
        <v>2646</v>
      </c>
      <c r="C1607" s="226">
        <v>95851</v>
      </c>
      <c r="D1607" s="390"/>
      <c r="H1607" s="225"/>
      <c r="J1607" s="387"/>
      <c r="K1607" s="225"/>
      <c r="P1607" s="225"/>
    </row>
    <row r="1608" spans="1:16">
      <c r="A1608" s="226"/>
      <c r="B1608" s="131" t="s">
        <v>1243</v>
      </c>
      <c r="C1608" s="226">
        <v>95853</v>
      </c>
      <c r="D1608" s="390"/>
      <c r="H1608" s="225"/>
      <c r="J1608" s="387"/>
      <c r="K1608" s="225"/>
      <c r="P1608" s="225"/>
    </row>
    <row r="1609" spans="1:16">
      <c r="A1609" s="226"/>
      <c r="B1609" s="131" t="s">
        <v>1408</v>
      </c>
      <c r="C1609" s="226">
        <v>97801</v>
      </c>
      <c r="D1609" s="390"/>
      <c r="H1609" s="225"/>
      <c r="J1609" s="387"/>
      <c r="K1609" s="225"/>
      <c r="P1609" s="225"/>
    </row>
    <row r="1610" spans="1:16">
      <c r="A1610" s="226"/>
      <c r="B1610" s="131" t="s">
        <v>1410</v>
      </c>
      <c r="C1610" s="226">
        <v>97803</v>
      </c>
      <c r="D1610" s="390"/>
      <c r="H1610" s="225"/>
      <c r="J1610" s="387"/>
      <c r="K1610" s="225"/>
      <c r="P1610" s="225"/>
    </row>
    <row r="1611" spans="1:16">
      <c r="A1611" s="226"/>
      <c r="B1611" s="131" t="s">
        <v>1411</v>
      </c>
      <c r="C1611" s="226">
        <v>97805</v>
      </c>
      <c r="D1611" s="390"/>
      <c r="H1611" s="225"/>
      <c r="J1611" s="387"/>
      <c r="K1611" s="225"/>
      <c r="P1611" s="225"/>
    </row>
    <row r="1612" spans="1:16">
      <c r="A1612" s="226"/>
      <c r="B1612" s="131" t="s">
        <v>2000</v>
      </c>
      <c r="C1612" s="226">
        <v>97711</v>
      </c>
      <c r="D1612" s="390"/>
      <c r="H1612" s="225"/>
      <c r="J1612" s="387"/>
      <c r="K1612" s="225"/>
      <c r="P1612" s="225"/>
    </row>
    <row r="1613" spans="1:16">
      <c r="A1613" s="226"/>
      <c r="B1613" s="131" t="s">
        <v>2001</v>
      </c>
      <c r="C1613" s="226">
        <v>97727</v>
      </c>
      <c r="D1613" s="390"/>
      <c r="H1613" s="225"/>
      <c r="J1613" s="387"/>
      <c r="K1613" s="225"/>
      <c r="P1613" s="225"/>
    </row>
    <row r="1614" spans="1:16">
      <c r="A1614" s="226"/>
      <c r="B1614" s="131" t="s">
        <v>1427</v>
      </c>
      <c r="C1614" s="226">
        <v>97901</v>
      </c>
      <c r="D1614" s="390"/>
      <c r="H1614" s="225"/>
      <c r="J1614" s="388"/>
      <c r="K1614" s="225"/>
      <c r="P1614" s="225"/>
    </row>
    <row r="1615" spans="1:16">
      <c r="A1615" s="226"/>
      <c r="B1615" s="131" t="s">
        <v>1403</v>
      </c>
      <c r="C1615" s="226">
        <v>97713</v>
      </c>
      <c r="D1615" s="390"/>
      <c r="H1615" s="225"/>
      <c r="J1615" s="387"/>
      <c r="K1615" s="225"/>
      <c r="P1615" s="225"/>
    </row>
    <row r="1616" spans="1:16">
      <c r="A1616" s="226"/>
      <c r="B1616" s="131" t="s">
        <v>2647</v>
      </c>
      <c r="C1616" s="226">
        <v>98071</v>
      </c>
      <c r="D1616" s="390"/>
      <c r="H1616" s="225"/>
      <c r="J1616" s="387"/>
      <c r="K1616" s="225"/>
      <c r="P1616" s="225"/>
    </row>
    <row r="1617" spans="1:16">
      <c r="A1617" s="226"/>
      <c r="B1617" s="131" t="s">
        <v>2002</v>
      </c>
      <c r="C1617" s="226">
        <v>93321</v>
      </c>
      <c r="D1617" s="390"/>
      <c r="H1617" s="225"/>
      <c r="J1617" s="388"/>
      <c r="K1617" s="225"/>
      <c r="P1617" s="225"/>
    </row>
    <row r="1618" spans="1:16">
      <c r="A1618" s="226"/>
      <c r="B1618" s="131" t="s">
        <v>1031</v>
      </c>
      <c r="C1618" s="226">
        <v>93323</v>
      </c>
      <c r="D1618" s="390"/>
      <c r="H1618" s="225"/>
      <c r="J1618" s="387"/>
      <c r="K1618" s="225"/>
      <c r="P1618" s="225"/>
    </row>
    <row r="1619" spans="1:16">
      <c r="A1619" s="226"/>
      <c r="B1619" s="131" t="s">
        <v>1033</v>
      </c>
      <c r="C1619" s="226">
        <v>93333</v>
      </c>
      <c r="D1619" s="390"/>
      <c r="H1619" s="225"/>
      <c r="J1619" s="387"/>
      <c r="K1619" s="225"/>
      <c r="P1619" s="225"/>
    </row>
    <row r="1620" spans="1:16">
      <c r="A1620" s="226"/>
      <c r="B1620" s="131" t="s">
        <v>2648</v>
      </c>
      <c r="C1620" s="226">
        <v>99203</v>
      </c>
      <c r="D1620" s="390"/>
      <c r="H1620" s="225"/>
      <c r="J1620" s="387"/>
      <c r="K1620" s="225"/>
      <c r="P1620" s="225"/>
    </row>
    <row r="1621" spans="1:16">
      <c r="A1621" s="226"/>
      <c r="B1621" s="131" t="s">
        <v>2649</v>
      </c>
      <c r="C1621" s="226">
        <v>99421</v>
      </c>
      <c r="D1621" s="390"/>
      <c r="H1621" s="225"/>
      <c r="J1621" s="387"/>
      <c r="K1621" s="225"/>
      <c r="P1621" s="225"/>
    </row>
    <row r="1622" spans="1:16">
      <c r="A1622" s="226"/>
      <c r="B1622" s="131" t="s">
        <v>2650</v>
      </c>
      <c r="C1622" s="226">
        <v>93161</v>
      </c>
      <c r="D1622" s="390"/>
      <c r="H1622" s="225"/>
      <c r="J1622" s="387"/>
      <c r="K1622" s="225"/>
      <c r="P1622" s="225"/>
    </row>
    <row r="1623" spans="1:16">
      <c r="A1623" s="226"/>
      <c r="B1623" s="131" t="s">
        <v>2651</v>
      </c>
      <c r="C1623" s="226">
        <v>98261</v>
      </c>
      <c r="D1623" s="390"/>
      <c r="H1623" s="225"/>
      <c r="J1623" s="388"/>
      <c r="K1623" s="225"/>
      <c r="P1623" s="225"/>
    </row>
    <row r="1624" spans="1:16">
      <c r="A1624" s="226"/>
      <c r="B1624" s="131" t="s">
        <v>1472</v>
      </c>
      <c r="C1624" s="226">
        <v>98237</v>
      </c>
      <c r="D1624" s="390"/>
      <c r="H1624" s="225"/>
      <c r="J1624" s="387"/>
      <c r="K1624" s="225"/>
      <c r="P1624" s="225"/>
    </row>
    <row r="1625" spans="1:16">
      <c r="A1625" s="226"/>
      <c r="B1625" s="131" t="s">
        <v>1440</v>
      </c>
      <c r="C1625" s="226">
        <v>98003</v>
      </c>
      <c r="D1625" s="390"/>
      <c r="H1625" s="225"/>
      <c r="J1625" s="387"/>
      <c r="K1625" s="225"/>
      <c r="P1625" s="225"/>
    </row>
    <row r="1626" spans="1:16">
      <c r="A1626" s="226"/>
      <c r="B1626" s="131" t="s">
        <v>2787</v>
      </c>
      <c r="C1626" s="226">
        <v>98008</v>
      </c>
      <c r="D1626" s="390"/>
      <c r="H1626" s="225"/>
      <c r="J1626" s="387"/>
      <c r="K1626" s="225"/>
      <c r="P1626" s="225"/>
    </row>
    <row r="1627" spans="1:16">
      <c r="A1627" s="226"/>
      <c r="B1627" s="131" t="s">
        <v>1439</v>
      </c>
      <c r="C1627" s="226">
        <v>98002</v>
      </c>
      <c r="D1627" s="390"/>
      <c r="H1627" s="225"/>
      <c r="J1627" s="387"/>
      <c r="K1627" s="225"/>
      <c r="P1627" s="225"/>
    </row>
    <row r="1628" spans="1:16">
      <c r="A1628" s="226"/>
      <c r="B1628" s="131" t="s">
        <v>1438</v>
      </c>
      <c r="C1628" s="226">
        <v>98001</v>
      </c>
      <c r="D1628" s="390"/>
      <c r="H1628" s="225"/>
      <c r="J1628" s="387"/>
      <c r="K1628" s="225"/>
      <c r="P1628" s="225"/>
    </row>
    <row r="1629" spans="1:16">
      <c r="A1629" s="226"/>
      <c r="B1629" s="131" t="s">
        <v>1441</v>
      </c>
      <c r="C1629" s="226">
        <v>98004</v>
      </c>
      <c r="D1629" s="390"/>
      <c r="H1629" s="225"/>
      <c r="J1629" s="387"/>
      <c r="K1629" s="225"/>
      <c r="P1629" s="225"/>
    </row>
    <row r="1630" spans="1:16">
      <c r="A1630" s="226"/>
      <c r="B1630" s="131" t="s">
        <v>2652</v>
      </c>
      <c r="C1630" s="226">
        <v>97861</v>
      </c>
      <c r="D1630" s="390"/>
      <c r="H1630" s="225"/>
      <c r="J1630" s="387"/>
      <c r="K1630" s="225"/>
      <c r="P1630" s="225"/>
    </row>
    <row r="1631" spans="1:16">
      <c r="A1631" s="226"/>
      <c r="B1631" s="131" t="s">
        <v>2003</v>
      </c>
      <c r="C1631" s="226">
        <v>97311</v>
      </c>
      <c r="D1631" s="390"/>
      <c r="H1631" s="225"/>
      <c r="J1631" s="387"/>
      <c r="K1631" s="225"/>
      <c r="P1631" s="225"/>
    </row>
    <row r="1632" spans="1:16">
      <c r="A1632" s="226"/>
      <c r="B1632" s="131" t="s">
        <v>2653</v>
      </c>
      <c r="C1632" s="226">
        <v>93431</v>
      </c>
      <c r="D1632" s="390"/>
      <c r="H1632" s="225"/>
      <c r="J1632" s="388"/>
      <c r="K1632" s="225"/>
      <c r="P1632" s="225"/>
    </row>
    <row r="1633" spans="1:16">
      <c r="A1633" s="226"/>
      <c r="B1633" s="131" t="s">
        <v>2654</v>
      </c>
      <c r="C1633" s="226">
        <v>91214</v>
      </c>
      <c r="D1633" s="390"/>
      <c r="H1633" s="225"/>
      <c r="J1633" s="387"/>
      <c r="K1633" s="225"/>
      <c r="P1633" s="225"/>
    </row>
    <row r="1634" spans="1:16">
      <c r="A1634" s="226"/>
      <c r="B1634" s="131" t="s">
        <v>1454</v>
      </c>
      <c r="C1634" s="226">
        <v>98101</v>
      </c>
      <c r="D1634" s="390"/>
      <c r="H1634" s="225"/>
      <c r="J1634" s="387"/>
      <c r="K1634" s="225"/>
      <c r="P1634" s="225"/>
    </row>
    <row r="1635" spans="1:16">
      <c r="A1635" s="226"/>
      <c r="B1635" s="131" t="s">
        <v>2786</v>
      </c>
      <c r="C1635" s="226">
        <v>98103</v>
      </c>
      <c r="D1635" s="390"/>
      <c r="H1635" s="225"/>
      <c r="J1635" s="388"/>
      <c r="K1635" s="225"/>
      <c r="P1635" s="225"/>
    </row>
    <row r="1636" spans="1:16">
      <c r="A1636" s="226"/>
      <c r="B1636" s="131" t="s">
        <v>2655</v>
      </c>
      <c r="C1636" s="226">
        <v>98141</v>
      </c>
      <c r="D1636" s="390"/>
      <c r="H1636" s="225"/>
      <c r="J1636" s="387"/>
      <c r="K1636" s="225"/>
      <c r="P1636" s="225"/>
    </row>
    <row r="1637" spans="1:16">
      <c r="A1637" s="226"/>
      <c r="B1637" s="131" t="s">
        <v>2785</v>
      </c>
      <c r="C1637" s="226">
        <v>98147</v>
      </c>
      <c r="D1637" s="390"/>
      <c r="H1637" s="225"/>
      <c r="J1637" s="387"/>
      <c r="K1637" s="225"/>
      <c r="P1637" s="225"/>
    </row>
    <row r="1638" spans="1:16">
      <c r="A1638" s="226"/>
      <c r="B1638" s="131" t="s">
        <v>2679</v>
      </c>
      <c r="C1638" s="226">
        <v>91032</v>
      </c>
      <c r="D1638" s="390"/>
      <c r="H1638" s="225"/>
      <c r="J1638" s="387"/>
      <c r="K1638" s="225"/>
      <c r="P1638" s="225"/>
    </row>
    <row r="1639" spans="1:16">
      <c r="A1639" s="226"/>
      <c r="B1639" s="131" t="s">
        <v>2680</v>
      </c>
      <c r="C1639" s="226">
        <v>97831</v>
      </c>
      <c r="D1639" s="390"/>
      <c r="H1639" s="225"/>
      <c r="J1639" s="387"/>
      <c r="K1639" s="225"/>
      <c r="P1639" s="225"/>
    </row>
    <row r="1640" spans="1:16">
      <c r="A1640" s="226"/>
      <c r="B1640" s="131" t="s">
        <v>2784</v>
      </c>
      <c r="C1640" s="226">
        <v>97837</v>
      </c>
      <c r="D1640" s="390"/>
      <c r="H1640" s="225"/>
      <c r="J1640" s="387"/>
      <c r="K1640" s="225"/>
      <c r="P1640" s="225"/>
    </row>
    <row r="1641" spans="1:16">
      <c r="A1641" s="226"/>
      <c r="B1641" s="131" t="s">
        <v>2656</v>
      </c>
      <c r="C1641" s="226">
        <v>98221</v>
      </c>
      <c r="D1641" s="390"/>
      <c r="H1641" s="225"/>
      <c r="J1641" s="387"/>
      <c r="K1641" s="225"/>
      <c r="P1641" s="225"/>
    </row>
    <row r="1642" spans="1:16">
      <c r="A1642" s="226"/>
      <c r="B1642" s="131" t="s">
        <v>2004</v>
      </c>
      <c r="C1642" s="226">
        <v>98011</v>
      </c>
      <c r="D1642" s="390"/>
      <c r="H1642" s="225"/>
      <c r="J1642" s="387"/>
      <c r="K1642" s="225"/>
      <c r="P1642" s="225"/>
    </row>
    <row r="1643" spans="1:16">
      <c r="A1643" s="226"/>
      <c r="B1643" s="131" t="s">
        <v>2803</v>
      </c>
      <c r="C1643" s="226">
        <v>98013</v>
      </c>
      <c r="D1643" s="390"/>
      <c r="H1643" s="225"/>
      <c r="J1643" s="387"/>
      <c r="K1643" s="225"/>
      <c r="P1643" s="225"/>
    </row>
    <row r="1644" spans="1:16">
      <c r="A1644" s="226"/>
      <c r="B1644" s="131" t="s">
        <v>2005</v>
      </c>
      <c r="C1644" s="226">
        <v>97531</v>
      </c>
      <c r="D1644" s="390"/>
      <c r="H1644" s="225"/>
      <c r="J1644" s="388"/>
      <c r="K1644" s="225"/>
      <c r="P1644" s="225"/>
    </row>
    <row r="1645" spans="1:16">
      <c r="A1645" s="226"/>
      <c r="B1645" s="131" t="s">
        <v>1466</v>
      </c>
      <c r="C1645" s="226">
        <v>98201</v>
      </c>
      <c r="D1645" s="390"/>
      <c r="H1645" s="225"/>
      <c r="J1645" s="387"/>
      <c r="K1645" s="225"/>
      <c r="P1645" s="225"/>
    </row>
    <row r="1646" spans="1:16">
      <c r="A1646" s="226"/>
      <c r="B1646" s="131" t="s">
        <v>1401</v>
      </c>
      <c r="C1646" s="226">
        <v>97705</v>
      </c>
      <c r="D1646" s="390"/>
      <c r="H1646" s="225"/>
      <c r="J1646" s="387"/>
      <c r="K1646" s="225"/>
      <c r="P1646" s="225"/>
    </row>
    <row r="1647" spans="1:16">
      <c r="A1647" s="226"/>
      <c r="B1647" s="131" t="s">
        <v>1283</v>
      </c>
      <c r="C1647" s="226">
        <v>96318</v>
      </c>
      <c r="D1647" s="390"/>
      <c r="H1647" s="225"/>
      <c r="J1647" s="388"/>
      <c r="K1647" s="225"/>
      <c r="P1647" s="225"/>
    </row>
    <row r="1648" spans="1:16">
      <c r="A1648" s="226"/>
      <c r="B1648" s="131" t="s">
        <v>2006</v>
      </c>
      <c r="C1648" s="226">
        <v>95311</v>
      </c>
      <c r="D1648" s="390"/>
      <c r="H1648" s="225"/>
      <c r="J1648" s="387"/>
      <c r="K1648" s="225"/>
      <c r="P1648" s="225"/>
    </row>
    <row r="1649" spans="1:16">
      <c r="A1649" s="226"/>
      <c r="B1649" s="131" t="s">
        <v>1210</v>
      </c>
      <c r="C1649" s="226">
        <v>95317</v>
      </c>
      <c r="D1649" s="390"/>
      <c r="H1649" s="225"/>
      <c r="J1649" s="387"/>
      <c r="K1649" s="225"/>
      <c r="P1649" s="225"/>
    </row>
    <row r="1650" spans="1:16">
      <c r="A1650" s="226"/>
      <c r="B1650" s="131" t="s">
        <v>2657</v>
      </c>
      <c r="C1650" s="226">
        <v>91421</v>
      </c>
      <c r="D1650" s="390"/>
      <c r="H1650" s="225"/>
      <c r="J1650" s="387"/>
      <c r="K1650" s="225"/>
      <c r="P1650" s="225"/>
    </row>
    <row r="1651" spans="1:16">
      <c r="A1651" s="226"/>
      <c r="B1651" s="131" t="s">
        <v>1477</v>
      </c>
      <c r="C1651" s="226">
        <v>98301</v>
      </c>
      <c r="D1651" s="390"/>
      <c r="H1651" s="225"/>
      <c r="J1651" s="387"/>
      <c r="K1651" s="225"/>
      <c r="P1651" s="225"/>
    </row>
    <row r="1652" spans="1:16">
      <c r="A1652" s="226"/>
      <c r="B1652" s="131" t="s">
        <v>1478</v>
      </c>
      <c r="C1652" s="226">
        <v>98304</v>
      </c>
      <c r="D1652" s="390"/>
      <c r="H1652" s="225"/>
      <c r="J1652" s="387"/>
      <c r="K1652" s="225"/>
      <c r="P1652" s="225"/>
    </row>
    <row r="1653" spans="1:16">
      <c r="A1653" s="226"/>
      <c r="B1653" s="131" t="s">
        <v>2658</v>
      </c>
      <c r="C1653" s="226">
        <v>94241</v>
      </c>
      <c r="D1653" s="390"/>
      <c r="H1653" s="225"/>
      <c r="J1653" s="387"/>
      <c r="K1653" s="225"/>
      <c r="P1653" s="225"/>
    </row>
    <row r="1654" spans="1:16">
      <c r="A1654" s="226"/>
      <c r="B1654" s="131" t="s">
        <v>2659</v>
      </c>
      <c r="C1654" s="226">
        <v>96681</v>
      </c>
      <c r="D1654" s="390"/>
      <c r="H1654" s="225"/>
      <c r="J1654" s="387"/>
      <c r="K1654" s="225"/>
      <c r="P1654" s="225"/>
    </row>
    <row r="1655" spans="1:16">
      <c r="A1655" s="226"/>
      <c r="B1655" s="131" t="s">
        <v>2660</v>
      </c>
      <c r="C1655" s="219">
        <v>72593</v>
      </c>
      <c r="D1655" s="390"/>
      <c r="H1655" s="225"/>
      <c r="J1655" s="387"/>
      <c r="K1655" s="225"/>
      <c r="P1655" s="225"/>
    </row>
    <row r="1656" spans="1:16">
      <c r="A1656" s="226"/>
      <c r="B1656" s="131" t="s">
        <v>2661</v>
      </c>
      <c r="C1656" s="226">
        <v>95121</v>
      </c>
      <c r="D1656" s="390"/>
      <c r="H1656" s="225"/>
      <c r="J1656" s="388"/>
      <c r="K1656" s="225"/>
      <c r="P1656" s="225"/>
    </row>
    <row r="1657" spans="1:16">
      <c r="A1657" s="226"/>
      <c r="B1657" s="131" t="s">
        <v>1195</v>
      </c>
      <c r="C1657" s="226">
        <v>95123</v>
      </c>
      <c r="D1657" s="390"/>
      <c r="H1657" s="225"/>
      <c r="J1657" s="387"/>
      <c r="K1657" s="225"/>
      <c r="P1657" s="225"/>
    </row>
    <row r="1658" spans="1:16">
      <c r="A1658" s="226"/>
      <c r="B1658" s="131" t="s">
        <v>2662</v>
      </c>
      <c r="C1658" s="226">
        <v>99531</v>
      </c>
      <c r="D1658" s="390"/>
      <c r="H1658" s="225"/>
      <c r="J1658" s="387"/>
      <c r="K1658" s="225"/>
      <c r="P1658" s="225"/>
    </row>
    <row r="1659" spans="1:16">
      <c r="A1659" s="226"/>
      <c r="B1659" s="131" t="s">
        <v>2663</v>
      </c>
      <c r="C1659" s="226">
        <v>96671</v>
      </c>
      <c r="D1659" s="390"/>
      <c r="H1659" s="225"/>
      <c r="J1659" s="388"/>
      <c r="K1659" s="225"/>
      <c r="P1659" s="225"/>
    </row>
    <row r="1660" spans="1:16">
      <c r="A1660" s="226"/>
      <c r="B1660" s="131" t="s">
        <v>2664</v>
      </c>
      <c r="C1660" s="226">
        <v>91081</v>
      </c>
      <c r="D1660" s="390"/>
      <c r="H1660" s="225"/>
      <c r="J1660" s="387"/>
      <c r="K1660" s="225"/>
      <c r="P1660" s="225"/>
    </row>
    <row r="1661" spans="1:16">
      <c r="A1661" s="226"/>
      <c r="B1661" s="131" t="s">
        <v>818</v>
      </c>
      <c r="C1661" s="226">
        <v>91057</v>
      </c>
      <c r="D1661" s="390"/>
      <c r="H1661" s="225"/>
      <c r="J1661" s="387"/>
      <c r="K1661" s="225"/>
      <c r="P1661" s="225"/>
    </row>
    <row r="1662" spans="1:16">
      <c r="A1662" s="226"/>
      <c r="B1662" s="131" t="s">
        <v>2665</v>
      </c>
      <c r="C1662" s="226">
        <v>96461</v>
      </c>
      <c r="D1662" s="390"/>
      <c r="H1662" s="225"/>
      <c r="J1662" s="387"/>
      <c r="K1662" s="225"/>
      <c r="P1662" s="225"/>
    </row>
    <row r="1663" spans="1:16">
      <c r="A1663" s="226"/>
      <c r="B1663" s="131" t="s">
        <v>2007</v>
      </c>
      <c r="C1663" s="226">
        <v>92311</v>
      </c>
      <c r="D1663" s="390"/>
      <c r="H1663" s="225"/>
      <c r="J1663" s="387"/>
      <c r="K1663" s="225"/>
      <c r="P1663" s="225"/>
    </row>
    <row r="1664" spans="1:16">
      <c r="A1664" s="226"/>
      <c r="B1664" s="131" t="s">
        <v>932</v>
      </c>
      <c r="C1664" s="226">
        <v>92317</v>
      </c>
      <c r="D1664" s="390"/>
      <c r="H1664" s="225"/>
      <c r="J1664" s="387"/>
      <c r="K1664" s="225"/>
      <c r="P1664" s="225"/>
    </row>
    <row r="1665" spans="1:16">
      <c r="A1665" s="226"/>
      <c r="B1665" s="131" t="s">
        <v>1369</v>
      </c>
      <c r="C1665" s="226">
        <v>97405</v>
      </c>
      <c r="D1665" s="390"/>
      <c r="H1665" s="225"/>
      <c r="J1665" s="387"/>
      <c r="K1665" s="225"/>
      <c r="P1665" s="225"/>
    </row>
    <row r="1666" spans="1:16">
      <c r="A1666" s="226"/>
      <c r="B1666" s="131" t="s">
        <v>2666</v>
      </c>
      <c r="C1666" s="226">
        <v>91911</v>
      </c>
      <c r="D1666" s="390"/>
      <c r="H1666" s="225"/>
      <c r="J1666" s="387"/>
      <c r="K1666" s="225"/>
      <c r="P1666" s="225"/>
    </row>
    <row r="1667" spans="1:16">
      <c r="A1667" s="226"/>
      <c r="B1667" s="131" t="s">
        <v>916</v>
      </c>
      <c r="C1667" s="226">
        <v>91917</v>
      </c>
      <c r="D1667" s="390"/>
      <c r="H1667" s="225"/>
      <c r="J1667" s="387"/>
      <c r="K1667" s="225"/>
      <c r="P1667" s="225"/>
    </row>
    <row r="1668" spans="1:16">
      <c r="A1668" s="226"/>
      <c r="B1668" s="131" t="s">
        <v>2667</v>
      </c>
      <c r="C1668" s="226">
        <v>97481</v>
      </c>
      <c r="D1668" s="390"/>
      <c r="H1668" s="225"/>
      <c r="J1668" s="388"/>
      <c r="K1668" s="225"/>
      <c r="P1668" s="225"/>
    </row>
    <row r="1669" spans="1:16">
      <c r="A1669" s="226"/>
      <c r="B1669" s="131" t="s">
        <v>836</v>
      </c>
      <c r="C1669" s="51">
        <v>91138</v>
      </c>
      <c r="D1669" s="390"/>
      <c r="H1669" s="225"/>
      <c r="J1669" s="387"/>
      <c r="K1669" s="225"/>
      <c r="P1669" s="225"/>
    </row>
    <row r="1670" spans="1:16">
      <c r="A1670" s="226"/>
      <c r="B1670" s="131" t="s">
        <v>2668</v>
      </c>
      <c r="C1670" s="226">
        <v>95111</v>
      </c>
      <c r="D1670" s="390"/>
      <c r="H1670" s="225"/>
      <c r="J1670" s="387"/>
      <c r="K1670" s="225"/>
      <c r="P1670" s="225"/>
    </row>
    <row r="1671" spans="1:16">
      <c r="A1671" s="226"/>
      <c r="B1671" s="131" t="s">
        <v>1192</v>
      </c>
      <c r="C1671" s="226">
        <v>95113</v>
      </c>
      <c r="D1671" s="390"/>
      <c r="H1671" s="225"/>
      <c r="J1671" s="388"/>
      <c r="K1671" s="225"/>
      <c r="P1671" s="225"/>
    </row>
    <row r="1672" spans="1:16">
      <c r="A1672" s="226"/>
      <c r="B1672" s="131" t="s">
        <v>2669</v>
      </c>
      <c r="C1672" s="226">
        <v>94021</v>
      </c>
      <c r="D1672" s="390"/>
      <c r="H1672" s="225"/>
      <c r="J1672" s="387"/>
      <c r="K1672" s="225"/>
      <c r="P1672" s="225"/>
    </row>
    <row r="1673" spans="1:16">
      <c r="A1673" s="226"/>
      <c r="B1673" s="131" t="s">
        <v>791</v>
      </c>
      <c r="C1673" s="226">
        <v>90918</v>
      </c>
      <c r="D1673" s="390"/>
      <c r="H1673" s="225"/>
      <c r="J1673" s="387"/>
      <c r="K1673" s="225"/>
      <c r="P1673" s="225"/>
    </row>
    <row r="1674" spans="1:16">
      <c r="A1674" s="226"/>
      <c r="B1674" s="131" t="s">
        <v>1085</v>
      </c>
      <c r="C1674" s="226">
        <v>93910</v>
      </c>
      <c r="D1674" s="390"/>
      <c r="H1674" s="225"/>
      <c r="J1674" s="387"/>
      <c r="K1674" s="225"/>
      <c r="P1674" s="225"/>
    </row>
    <row r="1675" spans="1:16">
      <c r="A1675" s="226"/>
      <c r="B1675" s="131" t="s">
        <v>806</v>
      </c>
      <c r="C1675" s="226">
        <v>91013</v>
      </c>
      <c r="D1675" s="390"/>
      <c r="H1675" s="225"/>
      <c r="J1675" s="387"/>
      <c r="K1675" s="225"/>
      <c r="P1675" s="225"/>
    </row>
    <row r="1676" spans="1:16">
      <c r="A1676" s="226"/>
      <c r="B1676" s="131" t="s">
        <v>2670</v>
      </c>
      <c r="C1676" s="226">
        <v>96311</v>
      </c>
      <c r="D1676" s="390"/>
      <c r="H1676" s="225"/>
      <c r="J1676" s="387"/>
      <c r="K1676" s="225"/>
      <c r="P1676" s="225"/>
    </row>
    <row r="1677" spans="1:16">
      <c r="A1677" s="226"/>
      <c r="B1677" s="131" t="s">
        <v>2671</v>
      </c>
      <c r="C1677" s="226">
        <v>92841</v>
      </c>
      <c r="D1677" s="390"/>
      <c r="H1677" s="225"/>
      <c r="J1677" s="387"/>
      <c r="K1677" s="225"/>
      <c r="P1677" s="225"/>
    </row>
    <row r="1678" spans="1:16">
      <c r="A1678" s="226"/>
      <c r="B1678" s="131" t="s">
        <v>1582</v>
      </c>
      <c r="C1678" s="226">
        <v>99609</v>
      </c>
      <c r="D1678" s="390"/>
      <c r="H1678" s="225"/>
      <c r="J1678" s="387"/>
      <c r="K1678" s="225"/>
      <c r="P1678" s="225"/>
    </row>
    <row r="1679" spans="1:16">
      <c r="A1679" s="226"/>
      <c r="B1679" s="131" t="s">
        <v>2008</v>
      </c>
      <c r="C1679" s="226">
        <v>91011</v>
      </c>
      <c r="D1679" s="390"/>
      <c r="H1679" s="225"/>
      <c r="J1679" s="387"/>
      <c r="K1679" s="225"/>
      <c r="P1679" s="225"/>
    </row>
    <row r="1680" spans="1:16">
      <c r="A1680" s="226"/>
      <c r="B1680" s="131" t="s">
        <v>2009</v>
      </c>
      <c r="C1680" s="226">
        <v>91017</v>
      </c>
      <c r="D1680" s="390"/>
      <c r="H1680" s="225"/>
      <c r="J1680" s="388"/>
      <c r="K1680" s="225"/>
      <c r="P1680" s="225"/>
    </row>
    <row r="1681" spans="1:16">
      <c r="A1681" s="226"/>
      <c r="B1681" s="131" t="s">
        <v>1181</v>
      </c>
      <c r="C1681" s="226">
        <v>95008</v>
      </c>
      <c r="D1681" s="390"/>
      <c r="H1681" s="225"/>
      <c r="J1681" s="387"/>
      <c r="K1681" s="225"/>
      <c r="P1681" s="225"/>
    </row>
    <row r="1682" spans="1:16">
      <c r="A1682" s="226"/>
      <c r="B1682" s="131" t="s">
        <v>2672</v>
      </c>
      <c r="C1682" s="226">
        <v>72657</v>
      </c>
      <c r="D1682" s="390"/>
      <c r="H1682" s="225"/>
      <c r="J1682" s="387"/>
      <c r="K1682" s="225"/>
      <c r="P1682" s="225"/>
    </row>
    <row r="1683" spans="1:16">
      <c r="A1683" s="226"/>
      <c r="B1683" s="131" t="s">
        <v>2673</v>
      </c>
      <c r="C1683" s="226">
        <v>90307</v>
      </c>
      <c r="D1683" s="390"/>
      <c r="H1683" s="225"/>
      <c r="J1683" s="388"/>
      <c r="K1683" s="225"/>
      <c r="P1683" s="225"/>
    </row>
    <row r="1684" spans="1:16">
      <c r="A1684" s="226"/>
      <c r="B1684" s="131" t="s">
        <v>2674</v>
      </c>
      <c r="C1684" s="226">
        <v>98031</v>
      </c>
      <c r="D1684" s="390"/>
      <c r="H1684" s="225"/>
      <c r="J1684" s="387"/>
      <c r="K1684" s="225"/>
      <c r="P1684" s="225"/>
    </row>
    <row r="1685" spans="1:16">
      <c r="A1685" s="226"/>
      <c r="B1685" s="131" t="s">
        <v>2675</v>
      </c>
      <c r="C1685" s="226">
        <v>98121</v>
      </c>
      <c r="D1685" s="390"/>
      <c r="H1685" s="225"/>
      <c r="J1685" s="387"/>
      <c r="K1685" s="225"/>
      <c r="P1685" s="225"/>
    </row>
    <row r="1686" spans="1:16">
      <c r="A1686" s="226"/>
      <c r="B1686" s="131" t="s">
        <v>2676</v>
      </c>
      <c r="C1686" s="226">
        <v>96411</v>
      </c>
      <c r="D1686" s="390"/>
      <c r="H1686" s="225"/>
      <c r="J1686" s="387"/>
      <c r="K1686" s="225"/>
      <c r="P1686" s="225"/>
    </row>
    <row r="1687" spans="1:16">
      <c r="A1687" s="226"/>
      <c r="B1687" s="131" t="s">
        <v>2677</v>
      </c>
      <c r="C1687" s="226">
        <v>92661</v>
      </c>
      <c r="D1687" s="390"/>
      <c r="H1687" s="225"/>
      <c r="J1687" s="387"/>
      <c r="K1687" s="225"/>
      <c r="P1687" s="225"/>
    </row>
    <row r="1688" spans="1:16">
      <c r="A1688" s="226"/>
      <c r="B1688" s="131" t="s">
        <v>2678</v>
      </c>
      <c r="C1688" s="226">
        <v>96111</v>
      </c>
      <c r="D1688" s="390"/>
      <c r="H1688" s="225"/>
      <c r="J1688" s="387"/>
      <c r="K1688" s="225"/>
      <c r="P1688" s="225"/>
    </row>
    <row r="1689" spans="1:16">
      <c r="A1689" s="226"/>
      <c r="B1689" s="131" t="s">
        <v>2681</v>
      </c>
      <c r="C1689" s="226">
        <v>96061</v>
      </c>
      <c r="D1689" s="390"/>
      <c r="H1689" s="225"/>
      <c r="J1689" s="387"/>
      <c r="K1689" s="225"/>
      <c r="P1689" s="225"/>
    </row>
    <row r="1690" spans="1:16">
      <c r="A1690" s="226"/>
      <c r="B1690" s="131" t="s">
        <v>2682</v>
      </c>
      <c r="C1690" s="226">
        <v>98481</v>
      </c>
      <c r="D1690" s="390"/>
      <c r="H1690" s="225"/>
      <c r="J1690" s="387"/>
      <c r="K1690" s="225"/>
      <c r="P1690" s="225"/>
    </row>
    <row r="1691" spans="1:16">
      <c r="A1691" s="226"/>
      <c r="B1691" s="131" t="s">
        <v>2683</v>
      </c>
      <c r="C1691" s="226">
        <v>93602</v>
      </c>
      <c r="D1691" s="390"/>
      <c r="H1691" s="225"/>
      <c r="J1691" s="387"/>
      <c r="K1691" s="225"/>
      <c r="P1691" s="225"/>
    </row>
    <row r="1692" spans="1:16">
      <c r="A1692" s="226"/>
      <c r="B1692" s="131" t="s">
        <v>1484</v>
      </c>
      <c r="C1692" s="226">
        <v>98401</v>
      </c>
      <c r="D1692" s="390"/>
      <c r="H1692" s="225"/>
      <c r="J1692" s="388"/>
      <c r="K1692" s="225"/>
      <c r="P1692" s="225"/>
    </row>
    <row r="1693" spans="1:16">
      <c r="A1693" s="226"/>
      <c r="B1693" s="131" t="s">
        <v>2684</v>
      </c>
      <c r="C1693" s="51">
        <v>99821</v>
      </c>
      <c r="D1693" s="390"/>
      <c r="H1693" s="225"/>
      <c r="J1693" s="387"/>
      <c r="K1693" s="225"/>
      <c r="P1693" s="225"/>
    </row>
    <row r="1694" spans="1:16">
      <c r="A1694" s="226"/>
      <c r="B1694" s="131" t="s">
        <v>2685</v>
      </c>
      <c r="C1694" s="226">
        <v>96211</v>
      </c>
      <c r="D1694" s="390"/>
      <c r="H1694" s="225"/>
      <c r="J1694" s="387"/>
      <c r="K1694" s="225"/>
      <c r="P1694" s="225"/>
    </row>
    <row r="1695" spans="1:16">
      <c r="A1695" s="226"/>
      <c r="B1695" s="131" t="s">
        <v>2010</v>
      </c>
      <c r="C1695" s="226">
        <v>94911</v>
      </c>
      <c r="D1695" s="390"/>
      <c r="H1695" s="225"/>
      <c r="J1695" s="388"/>
      <c r="K1695" s="225"/>
      <c r="P1695" s="225"/>
    </row>
    <row r="1696" spans="1:16">
      <c r="A1696" s="226"/>
      <c r="B1696" s="131" t="s">
        <v>1172</v>
      </c>
      <c r="C1696" s="226">
        <v>94917</v>
      </c>
      <c r="D1696" s="390"/>
      <c r="H1696" s="225"/>
      <c r="J1696" s="387"/>
      <c r="K1696" s="225"/>
      <c r="P1696" s="225"/>
    </row>
    <row r="1697" spans="1:16">
      <c r="A1697" s="226"/>
      <c r="B1697" s="131" t="s">
        <v>2686</v>
      </c>
      <c r="C1697" s="226">
        <v>92621</v>
      </c>
      <c r="D1697" s="390"/>
      <c r="H1697" s="225"/>
      <c r="J1697" s="387"/>
      <c r="K1697" s="225"/>
      <c r="P1697" s="225"/>
    </row>
    <row r="1698" spans="1:16">
      <c r="A1698" s="226"/>
      <c r="B1698" s="131" t="s">
        <v>1495</v>
      </c>
      <c r="C1698" s="226">
        <v>98501</v>
      </c>
      <c r="D1698" s="390"/>
      <c r="H1698" s="225"/>
      <c r="J1698" s="387"/>
      <c r="K1698" s="225"/>
      <c r="P1698" s="225"/>
    </row>
    <row r="1699" spans="1:16">
      <c r="A1699" s="226"/>
      <c r="B1699" s="131" t="s">
        <v>2687</v>
      </c>
      <c r="C1699" s="226">
        <v>97931</v>
      </c>
      <c r="D1699" s="390"/>
      <c r="H1699" s="225"/>
      <c r="J1699" s="387"/>
      <c r="K1699" s="225"/>
      <c r="P1699" s="225"/>
    </row>
    <row r="1700" spans="1:16">
      <c r="A1700" s="226"/>
      <c r="B1700" s="131" t="s">
        <v>2688</v>
      </c>
      <c r="C1700" s="226">
        <v>93914</v>
      </c>
      <c r="D1700" s="390"/>
      <c r="H1700" s="225"/>
      <c r="J1700" s="387"/>
      <c r="K1700" s="225"/>
      <c r="P1700" s="225"/>
    </row>
    <row r="1701" spans="1:16">
      <c r="A1701" s="226"/>
      <c r="B1701" s="131" t="s">
        <v>2689</v>
      </c>
      <c r="C1701" s="226">
        <v>90651</v>
      </c>
      <c r="D1701" s="390"/>
      <c r="H1701" s="225"/>
      <c r="J1701" s="388"/>
      <c r="K1701" s="225"/>
      <c r="P1701" s="225"/>
    </row>
    <row r="1702" spans="1:16">
      <c r="A1702" s="226"/>
      <c r="B1702" s="131" t="s">
        <v>2690</v>
      </c>
      <c r="C1702" s="226">
        <v>94171</v>
      </c>
      <c r="D1702" s="390"/>
      <c r="H1702" s="225"/>
      <c r="J1702" s="387"/>
      <c r="K1702" s="225"/>
      <c r="P1702" s="225"/>
    </row>
    <row r="1703" spans="1:16">
      <c r="A1703" s="226"/>
      <c r="B1703" s="131" t="s">
        <v>1114</v>
      </c>
      <c r="C1703" s="226">
        <v>94172</v>
      </c>
      <c r="D1703" s="390"/>
      <c r="H1703" s="225"/>
      <c r="J1703" s="387"/>
      <c r="K1703" s="225"/>
      <c r="P1703" s="225"/>
    </row>
    <row r="1704" spans="1:16">
      <c r="A1704" s="226"/>
      <c r="B1704" s="131" t="s">
        <v>2691</v>
      </c>
      <c r="C1704" s="226">
        <v>91041</v>
      </c>
      <c r="D1704" s="390"/>
      <c r="H1704" s="225"/>
      <c r="J1704" s="387"/>
      <c r="K1704" s="225"/>
      <c r="P1704" s="225"/>
    </row>
    <row r="1705" spans="1:16">
      <c r="A1705" s="226"/>
      <c r="B1705" s="131" t="s">
        <v>2692</v>
      </c>
      <c r="C1705" s="226">
        <v>91047</v>
      </c>
      <c r="D1705" s="390"/>
      <c r="H1705" s="225"/>
      <c r="J1705" s="387"/>
      <c r="K1705" s="225"/>
      <c r="P1705" s="225"/>
    </row>
    <row r="1706" spans="1:16">
      <c r="A1706" s="226"/>
      <c r="B1706" s="131" t="s">
        <v>2693</v>
      </c>
      <c r="C1706" s="226">
        <v>97131</v>
      </c>
      <c r="D1706" s="390"/>
      <c r="H1706" s="225"/>
      <c r="J1706" s="387"/>
      <c r="K1706" s="225"/>
      <c r="P1706" s="225"/>
    </row>
    <row r="1707" spans="1:16">
      <c r="A1707" s="226"/>
      <c r="B1707" s="131" t="s">
        <v>1499</v>
      </c>
      <c r="C1707" s="226">
        <v>98601</v>
      </c>
      <c r="D1707" s="390"/>
      <c r="H1707" s="225"/>
      <c r="J1707" s="387"/>
      <c r="K1707" s="225"/>
      <c r="P1707" s="225"/>
    </row>
    <row r="1708" spans="1:16">
      <c r="A1708" s="226"/>
      <c r="B1708" s="131" t="s">
        <v>1509</v>
      </c>
      <c r="C1708" s="226">
        <v>98701</v>
      </c>
      <c r="D1708" s="390"/>
      <c r="H1708" s="225"/>
      <c r="J1708" s="387"/>
      <c r="K1708" s="225"/>
      <c r="P1708" s="225"/>
    </row>
    <row r="1709" spans="1:16">
      <c r="A1709" s="226"/>
      <c r="B1709" s="131" t="s">
        <v>2694</v>
      </c>
      <c r="C1709" s="226">
        <v>96721</v>
      </c>
      <c r="D1709" s="390"/>
      <c r="H1709" s="225"/>
      <c r="J1709" s="387"/>
      <c r="K1709" s="225"/>
      <c r="P1709" s="225"/>
    </row>
    <row r="1710" spans="1:16">
      <c r="A1710" s="226"/>
      <c r="B1710" s="131" t="s">
        <v>2695</v>
      </c>
      <c r="C1710" s="226">
        <v>95011</v>
      </c>
      <c r="D1710" s="390"/>
      <c r="H1710" s="225"/>
      <c r="J1710" s="388"/>
      <c r="K1710" s="225"/>
      <c r="P1710" s="225"/>
    </row>
    <row r="1711" spans="1:16">
      <c r="A1711" s="226"/>
      <c r="B1711" s="131" t="s">
        <v>2696</v>
      </c>
      <c r="C1711" s="226">
        <v>92451</v>
      </c>
      <c r="D1711" s="390"/>
      <c r="H1711" s="225"/>
      <c r="J1711" s="387"/>
      <c r="K1711" s="225"/>
      <c r="P1711" s="225"/>
    </row>
    <row r="1712" spans="1:16">
      <c r="A1712" s="226"/>
      <c r="B1712" s="131" t="s">
        <v>2697</v>
      </c>
      <c r="C1712" s="226">
        <v>93311</v>
      </c>
      <c r="D1712" s="390"/>
      <c r="H1712" s="225"/>
      <c r="J1712" s="387"/>
      <c r="K1712" s="225"/>
      <c r="P1712" s="225"/>
    </row>
    <row r="1713" spans="1:16">
      <c r="A1713" s="226"/>
      <c r="B1713" s="131" t="s">
        <v>1029</v>
      </c>
      <c r="C1713" s="226">
        <v>93317</v>
      </c>
      <c r="D1713" s="390"/>
      <c r="H1713" s="225"/>
      <c r="J1713" s="388"/>
      <c r="K1713" s="225"/>
      <c r="P1713" s="225"/>
    </row>
    <row r="1714" spans="1:16">
      <c r="A1714" s="226"/>
      <c r="B1714" s="131" t="s">
        <v>2698</v>
      </c>
      <c r="C1714" s="226">
        <v>90211</v>
      </c>
      <c r="D1714" s="390"/>
      <c r="H1714" s="225"/>
      <c r="J1714" s="387"/>
      <c r="K1714" s="225"/>
      <c r="P1714" s="225"/>
    </row>
    <row r="1715" spans="1:16">
      <c r="A1715" s="226"/>
      <c r="B1715" s="131" t="s">
        <v>2699</v>
      </c>
      <c r="C1715" s="226">
        <v>96302</v>
      </c>
      <c r="D1715" s="390"/>
      <c r="H1715" s="225"/>
      <c r="J1715" s="387"/>
      <c r="K1715" s="225"/>
      <c r="P1715" s="225"/>
    </row>
    <row r="1716" spans="1:16">
      <c r="A1716" s="226"/>
      <c r="B1716" s="131" t="s">
        <v>2700</v>
      </c>
      <c r="C1716" s="226">
        <v>93181</v>
      </c>
      <c r="D1716" s="390"/>
      <c r="H1716" s="225"/>
      <c r="J1716" s="387"/>
      <c r="K1716" s="225"/>
      <c r="P1716" s="225"/>
    </row>
    <row r="1717" spans="1:16">
      <c r="A1717" s="226"/>
      <c r="B1717" s="131" t="s">
        <v>2011</v>
      </c>
      <c r="C1717" s="226">
        <v>92911</v>
      </c>
      <c r="D1717" s="390"/>
      <c r="H1717" s="225"/>
      <c r="J1717" s="387"/>
      <c r="K1717" s="225"/>
      <c r="P1717" s="225"/>
    </row>
    <row r="1718" spans="1:16">
      <c r="A1718" s="226"/>
      <c r="B1718" s="131" t="s">
        <v>993</v>
      </c>
      <c r="C1718" s="226">
        <v>92914</v>
      </c>
      <c r="D1718" s="390"/>
      <c r="H1718" s="225"/>
      <c r="J1718" s="387"/>
      <c r="K1718" s="225"/>
      <c r="P1718" s="225"/>
    </row>
    <row r="1719" spans="1:16">
      <c r="A1719" s="226"/>
      <c r="B1719" s="131" t="s">
        <v>992</v>
      </c>
      <c r="C1719" s="226">
        <v>92913</v>
      </c>
      <c r="D1719" s="390"/>
      <c r="H1719" s="225"/>
      <c r="J1719" s="387"/>
      <c r="K1719" s="225"/>
      <c r="P1719" s="225"/>
    </row>
    <row r="1720" spans="1:16">
      <c r="A1720" s="226"/>
      <c r="B1720" s="131" t="s">
        <v>2701</v>
      </c>
      <c r="C1720" s="226">
        <v>93471</v>
      </c>
      <c r="D1720" s="390"/>
      <c r="H1720" s="225"/>
      <c r="J1720" s="387"/>
      <c r="K1720" s="225"/>
      <c r="P1720" s="225"/>
    </row>
    <row r="1721" spans="1:16">
      <c r="A1721" s="226"/>
      <c r="B1721" s="131" t="s">
        <v>732</v>
      </c>
      <c r="C1721" s="226">
        <v>90098</v>
      </c>
      <c r="D1721" s="390"/>
      <c r="H1721" s="225"/>
      <c r="J1721" s="387"/>
      <c r="K1721" s="225"/>
      <c r="P1721" s="225"/>
    </row>
    <row r="1722" spans="1:16">
      <c r="A1722" s="226"/>
      <c r="B1722" s="131" t="s">
        <v>2702</v>
      </c>
      <c r="C1722" s="226">
        <v>97121</v>
      </c>
      <c r="D1722" s="390"/>
      <c r="H1722" s="225"/>
      <c r="J1722" s="388"/>
      <c r="K1722" s="225"/>
      <c r="P1722" s="225"/>
    </row>
    <row r="1723" spans="1:16">
      <c r="A1723" s="226"/>
      <c r="B1723" s="131" t="s">
        <v>1512</v>
      </c>
      <c r="C1723" s="226">
        <v>98801</v>
      </c>
      <c r="D1723" s="390"/>
      <c r="H1723" s="225"/>
      <c r="J1723" s="387"/>
      <c r="K1723" s="225"/>
      <c r="P1723" s="225"/>
    </row>
    <row r="1724" spans="1:16">
      <c r="A1724" s="226"/>
      <c r="B1724" s="131" t="s">
        <v>2703</v>
      </c>
      <c r="C1724" s="226">
        <v>92521</v>
      </c>
      <c r="D1724" s="390"/>
      <c r="H1724" s="225"/>
      <c r="J1724" s="387"/>
      <c r="K1724" s="225"/>
      <c r="P1724" s="225"/>
    </row>
    <row r="1725" spans="1:16">
      <c r="A1725" s="226"/>
      <c r="B1725" s="131" t="s">
        <v>1042</v>
      </c>
      <c r="C1725" s="226">
        <v>93417</v>
      </c>
      <c r="D1725" s="390"/>
      <c r="H1725" s="225"/>
      <c r="J1725" s="388"/>
      <c r="K1725" s="225"/>
      <c r="P1725" s="225"/>
    </row>
    <row r="1726" spans="1:16">
      <c r="A1726" s="226"/>
      <c r="B1726" s="131" t="s">
        <v>1023</v>
      </c>
      <c r="C1726" s="226">
        <v>93219</v>
      </c>
      <c r="D1726" s="390"/>
      <c r="H1726" s="225"/>
      <c r="J1726" s="387"/>
      <c r="K1726" s="225"/>
      <c r="P1726" s="225"/>
    </row>
    <row r="1727" spans="1:16">
      <c r="A1727" s="226"/>
      <c r="B1727" s="131" t="s">
        <v>957</v>
      </c>
      <c r="C1727" s="226">
        <v>92513</v>
      </c>
      <c r="D1727" s="390"/>
      <c r="H1727" s="225"/>
      <c r="J1727" s="387"/>
      <c r="K1727" s="225"/>
      <c r="P1727" s="225"/>
    </row>
    <row r="1728" spans="1:16">
      <c r="A1728" s="226"/>
      <c r="B1728" s="131" t="s">
        <v>2012</v>
      </c>
      <c r="C1728" s="226">
        <v>97661</v>
      </c>
      <c r="D1728" s="390"/>
      <c r="H1728" s="225"/>
      <c r="J1728" s="387"/>
      <c r="K1728" s="225"/>
      <c r="P1728" s="225"/>
    </row>
    <row r="1729" spans="1:16">
      <c r="A1729" s="226"/>
      <c r="B1729" s="131" t="s">
        <v>2704</v>
      </c>
      <c r="C1729" s="226">
        <v>94931</v>
      </c>
      <c r="D1729" s="390"/>
      <c r="H1729" s="225"/>
      <c r="J1729" s="387"/>
      <c r="K1729" s="225"/>
      <c r="P1729" s="225"/>
    </row>
    <row r="1730" spans="1:16">
      <c r="A1730" s="226"/>
      <c r="B1730" s="255" t="s">
        <v>2705</v>
      </c>
      <c r="C1730" s="226">
        <v>94937</v>
      </c>
      <c r="D1730" s="390"/>
      <c r="H1730" s="225"/>
      <c r="J1730" s="387"/>
      <c r="K1730" s="225"/>
      <c r="P1730" s="225"/>
    </row>
    <row r="1731" spans="1:16">
      <c r="A1731" s="226"/>
      <c r="B1731" s="131" t="s">
        <v>2706</v>
      </c>
      <c r="C1731" s="226">
        <v>96221</v>
      </c>
      <c r="D1731" s="390"/>
      <c r="H1731" s="225"/>
      <c r="J1731" s="387"/>
      <c r="K1731" s="225"/>
      <c r="P1731" s="225"/>
    </row>
    <row r="1732" spans="1:16">
      <c r="A1732" s="226"/>
      <c r="B1732" s="131" t="s">
        <v>2707</v>
      </c>
      <c r="C1732" s="226">
        <v>97511</v>
      </c>
      <c r="D1732" s="390"/>
      <c r="H1732" s="225"/>
      <c r="J1732" s="387"/>
      <c r="K1732" s="225"/>
      <c r="P1732" s="225"/>
    </row>
    <row r="1733" spans="1:16">
      <c r="A1733" s="226"/>
      <c r="B1733" s="131" t="s">
        <v>1179</v>
      </c>
      <c r="C1733" s="226">
        <v>95002</v>
      </c>
      <c r="D1733" s="390"/>
      <c r="H1733" s="225"/>
      <c r="J1733" s="387"/>
      <c r="K1733" s="225"/>
      <c r="P1733" s="225"/>
    </row>
    <row r="1734" spans="1:16">
      <c r="A1734" s="226"/>
      <c r="B1734" s="131" t="s">
        <v>2708</v>
      </c>
      <c r="C1734" s="226">
        <v>98251</v>
      </c>
      <c r="D1734" s="390"/>
      <c r="H1734" s="225"/>
      <c r="J1734" s="388"/>
      <c r="K1734" s="225"/>
      <c r="P1734" s="225"/>
    </row>
    <row r="1735" spans="1:16">
      <c r="A1735" s="226"/>
      <c r="B1735" s="131" t="s">
        <v>1515</v>
      </c>
      <c r="C1735" s="226">
        <v>98901</v>
      </c>
      <c r="D1735" s="390"/>
      <c r="H1735" s="225"/>
      <c r="J1735" s="387"/>
      <c r="K1735" s="225"/>
      <c r="P1735" s="225"/>
    </row>
    <row r="1736" spans="1:16">
      <c r="A1736" s="226"/>
      <c r="B1736" s="131" t="s">
        <v>2783</v>
      </c>
      <c r="C1736" s="226">
        <v>98904</v>
      </c>
      <c r="D1736" s="390"/>
      <c r="H1736" s="225"/>
      <c r="J1736" s="387"/>
      <c r="K1736" s="225"/>
      <c r="P1736" s="225"/>
    </row>
    <row r="1737" spans="1:16">
      <c r="A1737" s="226"/>
      <c r="B1737" s="131" t="s">
        <v>1518</v>
      </c>
      <c r="C1737" s="226">
        <v>99001</v>
      </c>
      <c r="D1737" s="390"/>
      <c r="H1737" s="225"/>
      <c r="J1737" s="388"/>
      <c r="K1737" s="225"/>
      <c r="P1737" s="225"/>
    </row>
    <row r="1738" spans="1:16">
      <c r="A1738" s="226"/>
      <c r="B1738" s="131" t="s">
        <v>2746</v>
      </c>
      <c r="C1738" s="226">
        <v>99061</v>
      </c>
      <c r="D1738" s="390"/>
      <c r="H1738" s="225"/>
      <c r="J1738" s="387"/>
      <c r="K1738" s="225"/>
      <c r="P1738" s="225"/>
    </row>
    <row r="1739" spans="1:16">
      <c r="A1739" s="226"/>
      <c r="B1739" s="131" t="s">
        <v>1027</v>
      </c>
      <c r="C1739" s="226">
        <v>93309</v>
      </c>
      <c r="D1739" s="390"/>
      <c r="H1739" s="225"/>
      <c r="J1739" s="387"/>
      <c r="K1739" s="225"/>
      <c r="P1739" s="225"/>
    </row>
    <row r="1740" spans="1:16">
      <c r="A1740" s="226"/>
      <c r="B1740" s="131" t="s">
        <v>2709</v>
      </c>
      <c r="C1740" s="226">
        <v>91211</v>
      </c>
      <c r="D1740" s="390"/>
      <c r="H1740" s="225"/>
      <c r="J1740" s="387"/>
      <c r="K1740" s="225"/>
      <c r="P1740" s="225"/>
    </row>
    <row r="1741" spans="1:16">
      <c r="A1741" s="226"/>
      <c r="B1741" s="251" t="s">
        <v>1928</v>
      </c>
      <c r="C1741" s="226">
        <v>94947</v>
      </c>
      <c r="D1741" s="390"/>
      <c r="H1741" s="225"/>
      <c r="J1741" s="387"/>
      <c r="K1741" s="225"/>
      <c r="P1741" s="225"/>
    </row>
    <row r="1742" spans="1:16">
      <c r="A1742" s="226"/>
      <c r="B1742" s="131" t="s">
        <v>849</v>
      </c>
      <c r="C1742" s="226">
        <v>91213</v>
      </c>
      <c r="D1742" s="390"/>
      <c r="H1742" s="225"/>
      <c r="J1742" s="387"/>
      <c r="K1742" s="225"/>
      <c r="P1742" s="225"/>
    </row>
    <row r="1743" spans="1:16">
      <c r="A1743" s="226"/>
      <c r="B1743" s="131" t="s">
        <v>1532</v>
      </c>
      <c r="C1743" s="226">
        <v>99101</v>
      </c>
      <c r="D1743" s="390"/>
      <c r="H1743" s="225"/>
      <c r="J1743" s="387"/>
      <c r="K1743" s="225"/>
      <c r="P1743" s="225"/>
    </row>
    <row r="1744" spans="1:16">
      <c r="A1744" s="226"/>
      <c r="B1744" s="131" t="s">
        <v>2782</v>
      </c>
      <c r="C1744" s="226">
        <v>99104</v>
      </c>
      <c r="D1744" s="390"/>
      <c r="H1744" s="225"/>
      <c r="J1744" s="387"/>
      <c r="K1744" s="225"/>
      <c r="P1744" s="225"/>
    </row>
    <row r="1745" spans="1:16">
      <c r="A1745" s="226"/>
      <c r="B1745" s="131" t="s">
        <v>2710</v>
      </c>
      <c r="C1745" s="226">
        <v>92551</v>
      </c>
      <c r="D1745" s="390"/>
      <c r="H1745" s="225"/>
      <c r="J1745" s="387"/>
      <c r="K1745" s="225"/>
      <c r="P1745" s="225"/>
    </row>
    <row r="1746" spans="1:16">
      <c r="A1746" s="226"/>
      <c r="B1746" s="131" t="s">
        <v>2711</v>
      </c>
      <c r="C1746" s="226">
        <v>96321</v>
      </c>
      <c r="D1746" s="390"/>
      <c r="H1746" s="225"/>
      <c r="J1746" s="388"/>
      <c r="K1746" s="225"/>
      <c r="P1746" s="225"/>
    </row>
    <row r="1747" spans="1:16">
      <c r="A1747" s="226"/>
      <c r="B1747" s="131" t="s">
        <v>1182</v>
      </c>
      <c r="C1747" s="226">
        <v>95009</v>
      </c>
      <c r="D1747" s="390"/>
      <c r="H1747" s="225"/>
      <c r="J1747" s="387"/>
      <c r="K1747" s="225"/>
      <c r="P1747" s="225"/>
    </row>
    <row r="1748" spans="1:16">
      <c r="A1748" s="226"/>
      <c r="B1748" s="131" t="s">
        <v>2712</v>
      </c>
      <c r="C1748" s="226">
        <v>92641</v>
      </c>
      <c r="D1748" s="390"/>
      <c r="H1748" s="225"/>
      <c r="J1748" s="387"/>
      <c r="K1748" s="225"/>
      <c r="P1748" s="225"/>
    </row>
    <row r="1749" spans="1:16">
      <c r="A1749" s="226"/>
      <c r="B1749" s="131" t="s">
        <v>2713</v>
      </c>
      <c r="C1749" s="226">
        <v>90411</v>
      </c>
      <c r="D1749" s="390"/>
      <c r="H1749" s="225"/>
      <c r="J1749" s="388"/>
      <c r="K1749" s="225"/>
      <c r="P1749" s="225"/>
    </row>
    <row r="1750" spans="1:16">
      <c r="A1750" s="226"/>
      <c r="B1750" s="131" t="s">
        <v>754</v>
      </c>
      <c r="C1750" s="226">
        <v>90417</v>
      </c>
      <c r="D1750" s="390"/>
      <c r="H1750" s="225"/>
      <c r="J1750" s="387"/>
      <c r="K1750" s="225"/>
      <c r="P1750" s="225"/>
    </row>
    <row r="1751" spans="1:16">
      <c r="A1751" s="226"/>
      <c r="B1751" s="131" t="s">
        <v>753</v>
      </c>
      <c r="C1751" s="226">
        <v>90413</v>
      </c>
      <c r="D1751" s="390"/>
      <c r="H1751" s="225"/>
      <c r="J1751" s="387"/>
      <c r="K1751" s="225"/>
      <c r="P1751" s="225"/>
    </row>
    <row r="1752" spans="1:16">
      <c r="A1752" s="226"/>
      <c r="B1752" s="131" t="s">
        <v>2714</v>
      </c>
      <c r="C1752" s="226">
        <v>98321</v>
      </c>
      <c r="D1752" s="390"/>
      <c r="H1752" s="225"/>
      <c r="J1752" s="387"/>
      <c r="K1752" s="225"/>
      <c r="P1752" s="225"/>
    </row>
    <row r="1753" spans="1:16">
      <c r="A1753" s="226"/>
      <c r="B1753" s="131" t="s">
        <v>1537</v>
      </c>
      <c r="C1753" s="51">
        <v>99201</v>
      </c>
      <c r="D1753" s="390"/>
      <c r="H1753" s="225"/>
      <c r="J1753" s="387"/>
      <c r="K1753" s="225"/>
      <c r="P1753" s="225"/>
    </row>
    <row r="1754" spans="1:16">
      <c r="A1754" s="226"/>
      <c r="B1754" s="131" t="s">
        <v>1540</v>
      </c>
      <c r="C1754" s="226">
        <v>99204</v>
      </c>
      <c r="D1754" s="390"/>
      <c r="H1754" s="225"/>
      <c r="J1754" s="387"/>
      <c r="K1754" s="225"/>
      <c r="P1754" s="225"/>
    </row>
    <row r="1755" spans="1:16">
      <c r="A1755" s="226"/>
      <c r="B1755" s="131" t="s">
        <v>1542</v>
      </c>
      <c r="C1755" s="226">
        <v>99207</v>
      </c>
      <c r="D1755" s="390"/>
      <c r="H1755" s="225"/>
      <c r="J1755" s="387"/>
      <c r="K1755" s="225"/>
      <c r="P1755" s="225"/>
    </row>
    <row r="1756" spans="1:16">
      <c r="A1756" s="226"/>
      <c r="B1756" s="131" t="s">
        <v>2715</v>
      </c>
      <c r="C1756" s="226">
        <v>99281</v>
      </c>
      <c r="D1756" s="390"/>
      <c r="H1756" s="225"/>
      <c r="J1756" s="387"/>
      <c r="K1756" s="225"/>
      <c r="P1756" s="225"/>
    </row>
    <row r="1757" spans="1:16">
      <c r="A1757" s="226"/>
      <c r="B1757" s="131" t="s">
        <v>2716</v>
      </c>
      <c r="C1757" s="226">
        <v>93461</v>
      </c>
      <c r="D1757" s="390"/>
      <c r="H1757" s="225"/>
      <c r="J1757" s="387"/>
      <c r="K1757" s="225"/>
      <c r="P1757" s="225"/>
    </row>
    <row r="1758" spans="1:16">
      <c r="A1758" s="226"/>
      <c r="B1758" s="131" t="s">
        <v>2717</v>
      </c>
      <c r="C1758" s="226">
        <v>93151</v>
      </c>
      <c r="D1758" s="390"/>
      <c r="H1758" s="225"/>
      <c r="J1758" s="388"/>
      <c r="K1758" s="225"/>
      <c r="P1758" s="225"/>
    </row>
    <row r="1759" spans="1:16">
      <c r="A1759" s="226"/>
      <c r="B1759" s="131" t="s">
        <v>1012</v>
      </c>
      <c r="C1759" s="226">
        <v>93157</v>
      </c>
      <c r="D1759" s="390"/>
      <c r="H1759" s="225"/>
      <c r="J1759" s="387"/>
      <c r="K1759" s="225"/>
      <c r="P1759" s="225"/>
    </row>
    <row r="1760" spans="1:16">
      <c r="A1760" s="226"/>
      <c r="B1760" s="131" t="s">
        <v>2718</v>
      </c>
      <c r="C1760" s="226">
        <v>98511</v>
      </c>
      <c r="D1760" s="390"/>
      <c r="H1760" s="225"/>
      <c r="J1760" s="387"/>
      <c r="K1760" s="225"/>
      <c r="P1760" s="225"/>
    </row>
    <row r="1761" spans="1:16">
      <c r="A1761" s="226"/>
      <c r="B1761" s="131" t="s">
        <v>1497</v>
      </c>
      <c r="C1761" s="226">
        <v>98517</v>
      </c>
      <c r="D1761" s="390"/>
      <c r="H1761" s="225"/>
      <c r="J1761" s="388"/>
      <c r="K1761" s="225"/>
      <c r="P1761" s="225"/>
    </row>
    <row r="1762" spans="1:16">
      <c r="A1762" s="226"/>
      <c r="B1762" s="131" t="s">
        <v>2719</v>
      </c>
      <c r="C1762" s="226">
        <v>99661</v>
      </c>
      <c r="D1762" s="390"/>
      <c r="H1762" s="225"/>
      <c r="J1762" s="387"/>
      <c r="K1762" s="225"/>
      <c r="P1762" s="225"/>
    </row>
    <row r="1763" spans="1:16">
      <c r="A1763" s="226"/>
      <c r="B1763" s="131" t="s">
        <v>2720</v>
      </c>
      <c r="C1763" s="226">
        <v>94031</v>
      </c>
      <c r="D1763" s="390"/>
      <c r="H1763" s="225"/>
      <c r="J1763" s="387"/>
      <c r="K1763" s="225"/>
      <c r="P1763" s="225"/>
    </row>
    <row r="1764" spans="1:16">
      <c r="A1764" s="226"/>
      <c r="B1764" s="131" t="s">
        <v>1559</v>
      </c>
      <c r="C1764" s="226">
        <v>99301</v>
      </c>
      <c r="D1764" s="390"/>
      <c r="H1764" s="225"/>
      <c r="J1764" s="387"/>
      <c r="K1764" s="225"/>
      <c r="P1764" s="225"/>
    </row>
    <row r="1765" spans="1:16">
      <c r="A1765" s="226"/>
      <c r="B1765" s="131" t="s">
        <v>1560</v>
      </c>
      <c r="C1765" s="226">
        <v>99304</v>
      </c>
      <c r="D1765" s="390"/>
      <c r="H1765" s="225"/>
      <c r="J1765" s="387"/>
      <c r="K1765" s="225"/>
      <c r="P1765" s="225"/>
    </row>
    <row r="1766" spans="1:16">
      <c r="A1766" s="226"/>
      <c r="B1766" s="131" t="s">
        <v>2721</v>
      </c>
      <c r="C1766" s="226">
        <v>99321</v>
      </c>
      <c r="D1766" s="390"/>
      <c r="H1766" s="225"/>
      <c r="J1766" s="387"/>
      <c r="K1766" s="225"/>
      <c r="P1766" s="225"/>
    </row>
    <row r="1767" spans="1:16">
      <c r="A1767" s="226"/>
      <c r="B1767" s="131" t="s">
        <v>2722</v>
      </c>
      <c r="C1767" s="226">
        <v>93131</v>
      </c>
      <c r="D1767" s="390"/>
      <c r="H1767" s="225"/>
      <c r="J1767" s="387"/>
      <c r="K1767" s="225"/>
      <c r="P1767" s="225"/>
    </row>
    <row r="1768" spans="1:16">
      <c r="A1768" s="226"/>
      <c r="B1768" s="131" t="s">
        <v>1009</v>
      </c>
      <c r="C1768" s="226">
        <v>93137</v>
      </c>
      <c r="D1768" s="390"/>
      <c r="H1768" s="225"/>
      <c r="J1768" s="387"/>
      <c r="K1768" s="225"/>
      <c r="P1768" s="225"/>
    </row>
    <row r="1769" spans="1:16">
      <c r="A1769" s="226"/>
      <c r="B1769" s="131" t="s">
        <v>2013</v>
      </c>
      <c r="C1769" s="226">
        <v>90711</v>
      </c>
      <c r="D1769" s="390"/>
      <c r="H1769" s="225"/>
      <c r="J1769" s="387"/>
      <c r="K1769" s="225"/>
      <c r="P1769" s="225"/>
    </row>
    <row r="1770" spans="1:16">
      <c r="A1770" s="226"/>
      <c r="B1770" s="131" t="s">
        <v>1563</v>
      </c>
      <c r="C1770" s="226">
        <v>99401</v>
      </c>
      <c r="D1770" s="390"/>
      <c r="H1770" s="225"/>
      <c r="J1770" s="388"/>
      <c r="K1770" s="225"/>
      <c r="P1770" s="225"/>
    </row>
    <row r="1771" spans="1:16">
      <c r="A1771" s="226"/>
      <c r="B1771" s="131" t="s">
        <v>1564</v>
      </c>
      <c r="C1771" s="226">
        <v>99404</v>
      </c>
      <c r="D1771" s="390"/>
      <c r="H1771" s="225"/>
      <c r="J1771" s="387"/>
      <c r="K1771" s="225"/>
      <c r="P1771" s="225"/>
    </row>
    <row r="1772" spans="1:16">
      <c r="A1772" s="226"/>
      <c r="B1772" s="131" t="s">
        <v>2723</v>
      </c>
      <c r="C1772" s="226">
        <v>90741</v>
      </c>
      <c r="D1772" s="390"/>
      <c r="H1772" s="225"/>
      <c r="J1772" s="387"/>
      <c r="K1772" s="225"/>
      <c r="P1772" s="225"/>
    </row>
    <row r="1773" spans="1:16">
      <c r="A1773" s="226"/>
      <c r="B1773" s="131" t="s">
        <v>1570</v>
      </c>
      <c r="C1773" s="226">
        <v>99501</v>
      </c>
      <c r="D1773" s="390"/>
      <c r="H1773" s="225"/>
      <c r="J1773" s="388"/>
      <c r="K1773" s="225"/>
      <c r="P1773" s="225"/>
    </row>
    <row r="1774" spans="1:16">
      <c r="A1774" s="226"/>
      <c r="B1774" s="131" t="s">
        <v>1573</v>
      </c>
      <c r="C1774" s="226">
        <v>99509</v>
      </c>
      <c r="D1774" s="390"/>
      <c r="H1774" s="225"/>
      <c r="J1774" s="387"/>
      <c r="K1774" s="225"/>
      <c r="P1774" s="225"/>
    </row>
    <row r="1775" spans="1:16">
      <c r="A1775" s="226"/>
      <c r="B1775" s="131" t="s">
        <v>2781</v>
      </c>
      <c r="C1775" s="226">
        <v>91302</v>
      </c>
      <c r="D1775" s="390"/>
      <c r="H1775" s="225"/>
      <c r="J1775" s="387"/>
      <c r="K1775" s="225"/>
      <c r="P1775" s="225"/>
    </row>
    <row r="1776" spans="1:16">
      <c r="A1776" s="226"/>
      <c r="B1776" s="131" t="s">
        <v>2724</v>
      </c>
      <c r="C1776" s="226">
        <v>99041</v>
      </c>
      <c r="D1776" s="390"/>
      <c r="H1776" s="225"/>
      <c r="J1776" s="387"/>
      <c r="K1776" s="225"/>
      <c r="P1776" s="225"/>
    </row>
    <row r="1777" spans="1:16">
      <c r="A1777" s="226"/>
      <c r="B1777" s="131" t="s">
        <v>1526</v>
      </c>
      <c r="C1777" s="226">
        <v>99047</v>
      </c>
      <c r="D1777" s="390"/>
      <c r="H1777" s="225"/>
      <c r="J1777" s="387"/>
      <c r="K1777" s="225"/>
      <c r="P1777" s="225"/>
    </row>
    <row r="1778" spans="1:16">
      <c r="A1778" s="226"/>
      <c r="B1778" s="131" t="s">
        <v>1578</v>
      </c>
      <c r="C1778" s="226">
        <v>99601</v>
      </c>
      <c r="D1778" s="390"/>
      <c r="H1778" s="225"/>
      <c r="J1778" s="387"/>
      <c r="K1778" s="225"/>
      <c r="P1778" s="225"/>
    </row>
    <row r="1779" spans="1:16">
      <c r="A1779" s="226"/>
      <c r="B1779" s="131" t="s">
        <v>1581</v>
      </c>
      <c r="C1779" s="226">
        <v>99604</v>
      </c>
      <c r="D1779" s="390"/>
      <c r="H1779" s="225"/>
      <c r="J1779" s="388"/>
      <c r="K1779" s="225"/>
      <c r="P1779" s="225"/>
    </row>
    <row r="1780" spans="1:16">
      <c r="A1780" s="226"/>
      <c r="B1780" s="131" t="s">
        <v>2725</v>
      </c>
      <c r="C1780" s="226">
        <v>94411</v>
      </c>
      <c r="D1780" s="390"/>
      <c r="H1780" s="225"/>
      <c r="J1780" s="387"/>
      <c r="K1780" s="225"/>
      <c r="P1780" s="225"/>
    </row>
    <row r="1781" spans="1:16">
      <c r="A1781" s="226"/>
      <c r="B1781" s="131" t="s">
        <v>1139</v>
      </c>
      <c r="C1781" s="226">
        <v>94412</v>
      </c>
      <c r="D1781" s="390"/>
      <c r="H1781" s="225"/>
      <c r="J1781" s="387"/>
      <c r="K1781" s="225"/>
      <c r="P1781" s="225"/>
    </row>
    <row r="1782" spans="1:16">
      <c r="A1782" s="226"/>
      <c r="B1782" s="131" t="s">
        <v>2726</v>
      </c>
      <c r="C1782" s="226">
        <v>91141</v>
      </c>
      <c r="D1782" s="390"/>
      <c r="H1782" s="225"/>
      <c r="J1782" s="387"/>
      <c r="K1782" s="225"/>
      <c r="P1782" s="225"/>
    </row>
    <row r="1783" spans="1:16">
      <c r="A1783" s="226"/>
      <c r="B1783" s="131" t="s">
        <v>838</v>
      </c>
      <c r="C1783" s="226">
        <v>91147</v>
      </c>
      <c r="D1783" s="390"/>
      <c r="H1783" s="225"/>
      <c r="J1783" s="387"/>
      <c r="K1783" s="225"/>
      <c r="P1783" s="225"/>
    </row>
    <row r="1784" spans="1:16">
      <c r="A1784" s="226"/>
      <c r="B1784" s="131" t="s">
        <v>2727</v>
      </c>
      <c r="C1784" s="226">
        <v>99071</v>
      </c>
      <c r="D1784" s="390"/>
      <c r="H1784" s="225"/>
      <c r="J1784" s="387"/>
      <c r="K1784" s="225"/>
      <c r="P1784" s="225"/>
    </row>
    <row r="1785" spans="1:16">
      <c r="A1785" s="226"/>
      <c r="B1785" s="131" t="s">
        <v>2728</v>
      </c>
      <c r="C1785" s="226">
        <v>94231</v>
      </c>
      <c r="D1785" s="390"/>
      <c r="H1785" s="225"/>
      <c r="J1785" s="387"/>
      <c r="K1785" s="225"/>
      <c r="P1785" s="225"/>
    </row>
    <row r="1786" spans="1:16">
      <c r="A1786" s="226"/>
      <c r="B1786" s="131" t="s">
        <v>2729</v>
      </c>
      <c r="C1786" s="226">
        <v>99231</v>
      </c>
      <c r="D1786" s="390"/>
      <c r="H1786" s="225"/>
      <c r="J1786" s="387"/>
      <c r="K1786" s="225"/>
      <c r="P1786" s="225"/>
    </row>
    <row r="1787" spans="1:16">
      <c r="A1787" s="226"/>
      <c r="B1787" s="131" t="s">
        <v>2730</v>
      </c>
      <c r="C1787" s="226">
        <v>99091</v>
      </c>
      <c r="D1787" s="390"/>
      <c r="H1787" s="225"/>
      <c r="J1787" s="387"/>
      <c r="K1787" s="225"/>
      <c r="P1787" s="225"/>
    </row>
    <row r="1788" spans="1:16">
      <c r="A1788" s="226"/>
      <c r="B1788" s="131" t="s">
        <v>832</v>
      </c>
      <c r="C1788" s="226">
        <v>91120</v>
      </c>
      <c r="D1788" s="390"/>
      <c r="H1788" s="225"/>
      <c r="J1788" s="388"/>
      <c r="K1788" s="225"/>
      <c r="P1788" s="225"/>
    </row>
    <row r="1789" spans="1:16">
      <c r="A1789" s="226"/>
      <c r="B1789" s="131" t="s">
        <v>946</v>
      </c>
      <c r="C1789" s="226">
        <v>92444</v>
      </c>
      <c r="D1789" s="390"/>
      <c r="H1789" s="225"/>
      <c r="J1789" s="387"/>
      <c r="K1789" s="225"/>
      <c r="P1789" s="225"/>
    </row>
    <row r="1790" spans="1:16">
      <c r="A1790" s="226"/>
      <c r="B1790" s="131" t="s">
        <v>2731</v>
      </c>
      <c r="C1790" s="226">
        <v>90521</v>
      </c>
      <c r="D1790" s="390"/>
      <c r="H1790" s="225"/>
      <c r="J1790" s="387"/>
      <c r="K1790" s="225"/>
      <c r="P1790" s="225"/>
    </row>
    <row r="1791" spans="1:16">
      <c r="A1791" s="226"/>
      <c r="B1791" s="131" t="s">
        <v>34</v>
      </c>
      <c r="C1791" s="226">
        <v>90507</v>
      </c>
      <c r="D1791" s="390"/>
      <c r="H1791" s="225"/>
      <c r="J1791" s="388"/>
      <c r="K1791" s="225"/>
      <c r="P1791" s="225"/>
    </row>
    <row r="1792" spans="1:16">
      <c r="A1792" s="226"/>
      <c r="B1792" s="131" t="s">
        <v>965</v>
      </c>
      <c r="C1792" s="226">
        <v>92602</v>
      </c>
      <c r="D1792" s="390"/>
      <c r="H1792" s="225"/>
      <c r="J1792" s="387"/>
      <c r="K1792" s="225"/>
      <c r="P1792" s="225"/>
    </row>
    <row r="1793" spans="1:16">
      <c r="A1793" s="226"/>
      <c r="B1793" s="131" t="s">
        <v>882</v>
      </c>
      <c r="C1793" s="226">
        <v>91608</v>
      </c>
      <c r="D1793" s="390"/>
      <c r="H1793" s="225"/>
      <c r="J1793" s="387"/>
      <c r="K1793" s="225"/>
      <c r="P1793" s="225"/>
    </row>
    <row r="1794" spans="1:16">
      <c r="A1794" s="226"/>
      <c r="B1794" s="131" t="s">
        <v>48</v>
      </c>
      <c r="C1794" s="226">
        <v>91119</v>
      </c>
      <c r="D1794" s="390"/>
      <c r="H1794" s="225"/>
      <c r="J1794" s="387"/>
      <c r="K1794" s="225"/>
      <c r="P1794" s="225"/>
    </row>
    <row r="1795" spans="1:16">
      <c r="A1795" s="226"/>
      <c r="B1795" s="131" t="s">
        <v>828</v>
      </c>
      <c r="C1795" s="226">
        <v>91107</v>
      </c>
      <c r="D1795" s="390"/>
      <c r="H1795" s="225"/>
      <c r="J1795" s="387"/>
      <c r="K1795" s="225"/>
      <c r="P1795" s="225"/>
    </row>
    <row r="1796" spans="1:16">
      <c r="A1796" s="226"/>
      <c r="B1796" s="131" t="s">
        <v>2780</v>
      </c>
      <c r="C1796" s="226">
        <v>91818</v>
      </c>
      <c r="D1796" s="390"/>
      <c r="H1796" s="225"/>
      <c r="J1796" s="387"/>
      <c r="K1796" s="225"/>
      <c r="P1796" s="225"/>
    </row>
    <row r="1797" spans="1:16">
      <c r="A1797" s="226"/>
      <c r="B1797" s="131" t="s">
        <v>903</v>
      </c>
      <c r="C1797" s="226">
        <v>91819</v>
      </c>
      <c r="D1797" s="390"/>
      <c r="H1797" s="225"/>
      <c r="J1797" s="387"/>
      <c r="K1797" s="225"/>
      <c r="P1797" s="225"/>
    </row>
    <row r="1798" spans="1:16">
      <c r="A1798" s="226"/>
      <c r="B1798" s="131" t="s">
        <v>2732</v>
      </c>
      <c r="C1798" s="226">
        <v>96371</v>
      </c>
      <c r="D1798" s="390"/>
      <c r="H1798" s="225"/>
      <c r="J1798" s="387"/>
      <c r="K1798" s="225"/>
      <c r="P1798" s="225"/>
    </row>
    <row r="1799" spans="1:16">
      <c r="A1799" s="226"/>
      <c r="B1799" s="131" t="s">
        <v>2733</v>
      </c>
      <c r="C1799" s="226">
        <v>96441</v>
      </c>
      <c r="D1799" s="390"/>
      <c r="H1799" s="225"/>
      <c r="J1799" s="387"/>
      <c r="K1799" s="225"/>
      <c r="P1799" s="225"/>
    </row>
    <row r="1800" spans="1:16">
      <c r="A1800" s="226"/>
      <c r="B1800" s="131" t="s">
        <v>2734</v>
      </c>
      <c r="C1800" s="226">
        <v>90921</v>
      </c>
      <c r="D1800" s="390"/>
      <c r="H1800" s="225"/>
      <c r="J1800" s="388"/>
      <c r="K1800" s="225"/>
      <c r="P1800" s="225"/>
    </row>
    <row r="1801" spans="1:16">
      <c r="A1801" s="226"/>
      <c r="B1801" s="131" t="s">
        <v>2014</v>
      </c>
      <c r="C1801" s="226">
        <v>92411</v>
      </c>
      <c r="D1801" s="390"/>
      <c r="H1801" s="225"/>
      <c r="J1801" s="387"/>
      <c r="K1801" s="225"/>
      <c r="P1801" s="225"/>
    </row>
    <row r="1802" spans="1:16">
      <c r="A1802" s="226"/>
      <c r="B1802" s="131" t="s">
        <v>941</v>
      </c>
      <c r="C1802" s="226">
        <v>92417</v>
      </c>
      <c r="D1802" s="390"/>
      <c r="H1802" s="225"/>
      <c r="J1802" s="387"/>
      <c r="K1802" s="225"/>
      <c r="P1802" s="225"/>
    </row>
    <row r="1803" spans="1:16">
      <c r="A1803" s="226"/>
      <c r="B1803" s="131" t="s">
        <v>939</v>
      </c>
      <c r="C1803" s="226">
        <v>92403</v>
      </c>
      <c r="D1803" s="390"/>
      <c r="H1803" s="225"/>
      <c r="J1803" s="388"/>
      <c r="K1803" s="225"/>
      <c r="P1803" s="225"/>
    </row>
    <row r="1804" spans="1:16">
      <c r="A1804" s="226"/>
      <c r="B1804" s="131" t="s">
        <v>1591</v>
      </c>
      <c r="C1804" s="226">
        <v>99701</v>
      </c>
      <c r="D1804" s="390"/>
      <c r="H1804" s="225"/>
      <c r="J1804" s="387"/>
      <c r="K1804" s="225"/>
      <c r="P1804" s="225"/>
    </row>
    <row r="1805" spans="1:16">
      <c r="A1805" s="226"/>
      <c r="B1805" s="131" t="s">
        <v>2735</v>
      </c>
      <c r="C1805" s="226">
        <v>99721</v>
      </c>
      <c r="D1805" s="390"/>
      <c r="H1805" s="225"/>
      <c r="J1805" s="387"/>
      <c r="K1805" s="225"/>
      <c r="P1805" s="225"/>
    </row>
    <row r="1806" spans="1:16">
      <c r="A1806" s="226"/>
      <c r="B1806" s="131" t="s">
        <v>1596</v>
      </c>
      <c r="C1806" s="226">
        <v>99727</v>
      </c>
      <c r="D1806" s="390"/>
      <c r="H1806" s="225"/>
      <c r="J1806" s="387"/>
      <c r="K1806" s="225"/>
      <c r="P1806" s="225"/>
    </row>
    <row r="1807" spans="1:16">
      <c r="A1807" s="226"/>
      <c r="B1807" s="131" t="s">
        <v>2736</v>
      </c>
      <c r="C1807" s="226">
        <v>95811</v>
      </c>
      <c r="D1807" s="390"/>
      <c r="H1807" s="225"/>
      <c r="J1807" s="387"/>
      <c r="K1807" s="225"/>
      <c r="P1807" s="225"/>
    </row>
    <row r="1808" spans="1:16">
      <c r="A1808" s="226"/>
      <c r="B1808" s="131" t="s">
        <v>1238</v>
      </c>
      <c r="C1808" s="226">
        <v>95813</v>
      </c>
      <c r="D1808" s="390"/>
      <c r="H1808" s="225"/>
      <c r="J1808" s="387"/>
      <c r="K1808" s="225"/>
      <c r="P1808" s="225"/>
    </row>
    <row r="1809" spans="1:16">
      <c r="A1809" s="226"/>
      <c r="B1809" s="131" t="s">
        <v>2015</v>
      </c>
      <c r="C1809" s="226">
        <v>96531</v>
      </c>
      <c r="D1809" s="390"/>
      <c r="H1809" s="225"/>
      <c r="J1809" s="387"/>
      <c r="K1809" s="225"/>
      <c r="P1809" s="225"/>
    </row>
    <row r="1810" spans="1:16">
      <c r="A1810" s="226"/>
      <c r="B1810" s="131" t="s">
        <v>1303</v>
      </c>
      <c r="C1810" s="226">
        <v>96503</v>
      </c>
      <c r="D1810" s="390"/>
      <c r="H1810" s="225"/>
      <c r="J1810" s="387"/>
      <c r="K1810" s="225"/>
      <c r="P1810" s="225"/>
    </row>
    <row r="1811" spans="1:16">
      <c r="A1811" s="226"/>
      <c r="B1811" s="131" t="s">
        <v>2016</v>
      </c>
      <c r="C1811" s="226">
        <v>99811</v>
      </c>
      <c r="D1811" s="390"/>
      <c r="H1811" s="225"/>
      <c r="J1811" s="387"/>
      <c r="K1811" s="225"/>
      <c r="P1811" s="225"/>
    </row>
    <row r="1812" spans="1:16">
      <c r="A1812" s="226"/>
      <c r="B1812" s="131" t="s">
        <v>2017</v>
      </c>
      <c r="C1812" s="51">
        <v>99818</v>
      </c>
      <c r="D1812" s="390"/>
      <c r="H1812" s="225"/>
      <c r="J1812" s="388"/>
      <c r="K1812" s="225"/>
      <c r="P1812" s="225"/>
    </row>
    <row r="1813" spans="1:16">
      <c r="A1813" s="226"/>
      <c r="B1813" s="131" t="s">
        <v>1597</v>
      </c>
      <c r="C1813" s="226">
        <v>99801</v>
      </c>
      <c r="D1813" s="390"/>
      <c r="H1813" s="225"/>
      <c r="J1813" s="387"/>
      <c r="K1813" s="225"/>
      <c r="P1813" s="225"/>
    </row>
    <row r="1814" spans="1:16">
      <c r="A1814" s="226"/>
      <c r="B1814" s="131" t="s">
        <v>1599</v>
      </c>
      <c r="C1814" s="226">
        <v>99804</v>
      </c>
      <c r="D1814" s="390"/>
      <c r="H1814" s="225"/>
      <c r="J1814" s="387"/>
      <c r="K1814" s="225"/>
      <c r="P1814" s="225"/>
    </row>
    <row r="1815" spans="1:16">
      <c r="A1815" s="226"/>
      <c r="B1815" s="131" t="s">
        <v>2767</v>
      </c>
      <c r="C1815" s="226">
        <v>99802</v>
      </c>
      <c r="D1815" s="390"/>
      <c r="H1815" s="225"/>
      <c r="J1815" s="388"/>
      <c r="K1815" s="225"/>
      <c r="P1815" s="225"/>
    </row>
    <row r="1816" spans="1:16">
      <c r="A1816" s="226"/>
      <c r="B1816" s="131" t="s">
        <v>1601</v>
      </c>
      <c r="C1816" s="51">
        <v>99812</v>
      </c>
      <c r="D1816" s="390"/>
      <c r="H1816" s="225"/>
      <c r="J1816" s="387"/>
      <c r="K1816" s="225"/>
      <c r="P1816" s="225"/>
    </row>
    <row r="1817" spans="1:16">
      <c r="A1817" s="226"/>
      <c r="B1817" s="131" t="s">
        <v>2737</v>
      </c>
      <c r="C1817" s="226">
        <v>95191</v>
      </c>
      <c r="D1817" s="390"/>
      <c r="H1817" s="225"/>
      <c r="J1817" s="387"/>
      <c r="K1817" s="225"/>
      <c r="P1817" s="225"/>
    </row>
    <row r="1818" spans="1:16">
      <c r="A1818" s="226"/>
      <c r="B1818" s="131" t="s">
        <v>2738</v>
      </c>
      <c r="C1818" s="226">
        <v>90812</v>
      </c>
      <c r="D1818" s="390"/>
      <c r="H1818" s="225"/>
      <c r="J1818" s="387"/>
      <c r="K1818" s="225"/>
      <c r="P1818" s="225"/>
    </row>
    <row r="1819" spans="1:16">
      <c r="A1819" s="226"/>
      <c r="B1819" s="131" t="s">
        <v>2739</v>
      </c>
      <c r="C1819" s="226">
        <v>97221</v>
      </c>
      <c r="D1819" s="390"/>
      <c r="H1819" s="225"/>
      <c r="J1819" s="387"/>
      <c r="K1819" s="225"/>
      <c r="P1819" s="225"/>
    </row>
    <row r="1820" spans="1:16">
      <c r="A1820" s="226"/>
      <c r="B1820" s="131" t="s">
        <v>2740</v>
      </c>
      <c r="C1820" s="226">
        <v>99031</v>
      </c>
      <c r="D1820" s="390"/>
      <c r="H1820" s="225"/>
      <c r="J1820" s="387"/>
      <c r="K1820" s="225"/>
      <c r="P1820" s="225"/>
    </row>
    <row r="1821" spans="1:16">
      <c r="A1821" s="226"/>
      <c r="B1821" s="131" t="s">
        <v>2018</v>
      </c>
      <c r="C1821" s="226">
        <v>93411</v>
      </c>
      <c r="D1821" s="390"/>
      <c r="H1821" s="225"/>
      <c r="J1821" s="387"/>
      <c r="K1821" s="225"/>
      <c r="P1821" s="225"/>
    </row>
    <row r="1822" spans="1:16">
      <c r="A1822" s="226"/>
      <c r="B1822" s="131" t="s">
        <v>1041</v>
      </c>
      <c r="C1822" s="226">
        <v>93413</v>
      </c>
      <c r="D1822" s="390"/>
      <c r="H1822" s="225"/>
      <c r="J1822" s="387"/>
      <c r="K1822" s="225"/>
      <c r="P1822" s="225"/>
    </row>
    <row r="1823" spans="1:16">
      <c r="A1823" s="226"/>
      <c r="B1823" s="131" t="s">
        <v>2741</v>
      </c>
      <c r="C1823" s="226">
        <v>97451</v>
      </c>
      <c r="D1823" s="390"/>
      <c r="H1823" s="225"/>
      <c r="J1823" s="387"/>
      <c r="K1823" s="225"/>
      <c r="P1823" s="225"/>
    </row>
    <row r="1824" spans="1:16">
      <c r="A1824" s="226"/>
      <c r="B1824" s="131" t="s">
        <v>2742</v>
      </c>
      <c r="C1824" s="226">
        <v>94631</v>
      </c>
      <c r="D1824" s="390"/>
      <c r="H1824" s="225"/>
      <c r="J1824" s="388"/>
      <c r="K1824" s="225"/>
      <c r="P1824" s="225"/>
    </row>
    <row r="1825" spans="1:16">
      <c r="A1825" s="226"/>
      <c r="B1825" s="131" t="s">
        <v>2743</v>
      </c>
      <c r="C1825" s="226">
        <v>91171</v>
      </c>
      <c r="D1825" s="390"/>
      <c r="H1825" s="225"/>
      <c r="J1825" s="387"/>
      <c r="K1825" s="225"/>
      <c r="P1825" s="225"/>
    </row>
    <row r="1826" spans="1:16">
      <c r="A1826" s="226"/>
      <c r="B1826" s="131" t="s">
        <v>827</v>
      </c>
      <c r="C1826" s="226">
        <v>91104</v>
      </c>
      <c r="D1826" s="390"/>
      <c r="H1826" s="225"/>
      <c r="J1826" s="387"/>
      <c r="K1826" s="225"/>
      <c r="P1826" s="225"/>
    </row>
    <row r="1827" spans="1:16">
      <c r="A1827" s="226"/>
      <c r="B1827" s="131" t="s">
        <v>2779</v>
      </c>
      <c r="C1827" s="226">
        <v>91109</v>
      </c>
      <c r="D1827" s="390"/>
      <c r="H1827" s="225"/>
      <c r="J1827" s="383"/>
      <c r="K1827" s="225"/>
      <c r="P1827" s="225"/>
    </row>
    <row r="1828" spans="1:16">
      <c r="A1828" s="226"/>
      <c r="B1828" s="131" t="s">
        <v>2744</v>
      </c>
      <c r="C1828" s="226">
        <v>96621</v>
      </c>
      <c r="D1828" s="390"/>
      <c r="H1828" s="225"/>
      <c r="K1828" s="225"/>
      <c r="P1828" s="225"/>
    </row>
    <row r="1829" spans="1:16">
      <c r="A1829" s="226"/>
      <c r="B1829" s="131" t="s">
        <v>2492</v>
      </c>
      <c r="C1829" s="226">
        <v>96511</v>
      </c>
      <c r="D1829" s="390"/>
      <c r="H1829" s="225"/>
      <c r="K1829" s="225"/>
      <c r="P1829" s="225"/>
    </row>
    <row r="1830" spans="1:16">
      <c r="A1830" s="226"/>
      <c r="B1830" s="131" t="s">
        <v>1607</v>
      </c>
      <c r="C1830" s="51">
        <v>99901</v>
      </c>
      <c r="D1830" s="390"/>
      <c r="H1830" s="225"/>
      <c r="K1830" s="225"/>
      <c r="P1830" s="225"/>
    </row>
    <row r="1831" spans="1:16">
      <c r="A1831" s="226"/>
      <c r="B1831" s="131" t="s">
        <v>3515</v>
      </c>
      <c r="C1831" s="226">
        <v>98604</v>
      </c>
      <c r="D1831" s="390"/>
      <c r="H1831" s="225"/>
      <c r="K1831" s="225"/>
      <c r="P1831" s="225"/>
    </row>
    <row r="1832" spans="1:16">
      <c r="A1832" s="226"/>
      <c r="B1832" s="131" t="s">
        <v>1502</v>
      </c>
      <c r="C1832" s="226">
        <v>98608</v>
      </c>
      <c r="D1832" s="390"/>
      <c r="H1832" s="225"/>
      <c r="K1832" s="225"/>
      <c r="P1832" s="225"/>
    </row>
    <row r="1833" spans="1:16">
      <c r="A1833" s="226"/>
      <c r="B1833" s="131" t="s">
        <v>2491</v>
      </c>
      <c r="C1833" s="51">
        <v>99911</v>
      </c>
      <c r="D1833" s="390"/>
      <c r="H1833" s="225"/>
      <c r="K1833" s="225"/>
      <c r="P1833" s="225"/>
    </row>
    <row r="1834" spans="1:16">
      <c r="A1834" s="226"/>
      <c r="B1834" s="131" t="s">
        <v>727</v>
      </c>
      <c r="C1834" s="226">
        <v>90001</v>
      </c>
      <c r="D1834" s="390"/>
      <c r="H1834" s="225"/>
      <c r="K1834" s="225"/>
      <c r="P1834" s="225"/>
    </row>
    <row r="1835" spans="1:16">
      <c r="A1835" s="226"/>
      <c r="B1835" s="131" t="s">
        <v>2778</v>
      </c>
      <c r="C1835" s="226">
        <v>90002</v>
      </c>
      <c r="D1835" s="390"/>
      <c r="H1835" s="225"/>
      <c r="K1835" s="225"/>
      <c r="P1835" s="225"/>
    </row>
    <row r="1836" spans="1:16">
      <c r="A1836" s="226"/>
      <c r="B1836" s="131" t="s">
        <v>2490</v>
      </c>
      <c r="C1836" s="226">
        <v>91719</v>
      </c>
      <c r="D1836" s="390"/>
      <c r="H1836" s="225"/>
      <c r="K1836" s="225"/>
      <c r="P1836" s="225"/>
    </row>
    <row r="1837" spans="1:16">
      <c r="A1837" s="226"/>
      <c r="B1837" s="131" t="s">
        <v>2488</v>
      </c>
      <c r="C1837" s="226">
        <v>93541</v>
      </c>
      <c r="D1837" s="390"/>
      <c r="H1837" s="225"/>
      <c r="K1837" s="225"/>
      <c r="P1837" s="225"/>
    </row>
    <row r="1838" spans="1:16">
      <c r="A1838" s="226"/>
      <c r="B1838" s="131" t="s">
        <v>2489</v>
      </c>
      <c r="C1838" s="226">
        <v>99241</v>
      </c>
      <c r="D1838" s="390"/>
      <c r="H1838" s="225"/>
      <c r="K1838" s="225"/>
      <c r="P1838" s="225"/>
    </row>
    <row r="1839" spans="1:16">
      <c r="A1839" s="226"/>
      <c r="B1839" s="391"/>
      <c r="C1839" s="390"/>
      <c r="D1839" s="390"/>
      <c r="H1839" s="225"/>
      <c r="K1839" s="225"/>
      <c r="P1839" s="225"/>
    </row>
    <row r="1840" spans="1:16">
      <c r="B1840" s="391"/>
      <c r="C1840" s="390"/>
      <c r="D1840" s="390"/>
      <c r="H1840" s="225"/>
      <c r="K1840" s="225"/>
      <c r="P1840" s="225"/>
    </row>
    <row r="1841" spans="2:16">
      <c r="B1841" s="391"/>
      <c r="C1841" s="390"/>
      <c r="D1841" s="390"/>
      <c r="H1841" s="225"/>
      <c r="K1841" s="225"/>
      <c r="P1841" s="225"/>
    </row>
    <row r="1842" spans="2:16">
      <c r="B1842" s="391"/>
      <c r="C1842" s="390"/>
      <c r="D1842" s="390"/>
      <c r="H1842" s="225"/>
      <c r="K1842" s="225"/>
      <c r="P1842" s="225"/>
    </row>
    <row r="1843" spans="2:16">
      <c r="B1843" s="391"/>
      <c r="C1843" s="390"/>
      <c r="D1843"/>
      <c r="H1843" s="225"/>
      <c r="K1843" s="225"/>
      <c r="P1843" s="225"/>
    </row>
    <row r="1844" spans="2:16">
      <c r="B1844" s="390"/>
      <c r="C1844" s="234"/>
      <c r="H1844" s="225"/>
      <c r="K1844" s="225"/>
      <c r="P1844" s="225"/>
    </row>
    <row r="1845" spans="2:16">
      <c r="B1845" s="390"/>
      <c r="C1845" s="234"/>
      <c r="H1845" s="225"/>
      <c r="K1845" s="225"/>
      <c r="P1845" s="225"/>
    </row>
    <row r="1846" spans="2:16">
      <c r="B1846" s="390"/>
      <c r="C1846" s="234"/>
      <c r="H1846" s="225"/>
      <c r="K1846" s="225"/>
      <c r="P1846" s="225"/>
    </row>
    <row r="1847" spans="2:16">
      <c r="B1847" s="390"/>
      <c r="C1847" s="234"/>
      <c r="H1847" s="225"/>
      <c r="K1847" s="225"/>
      <c r="P1847" s="225"/>
    </row>
    <row r="1848" spans="2:16">
      <c r="B1848" s="390"/>
      <c r="C1848" s="234"/>
      <c r="H1848" s="225"/>
      <c r="K1848" s="225"/>
      <c r="P1848" s="225"/>
    </row>
    <row r="1849" spans="2:16">
      <c r="B1849" s="390"/>
      <c r="C1849" s="234"/>
      <c r="H1849" s="225"/>
      <c r="K1849" s="225"/>
      <c r="P1849" s="225"/>
    </row>
    <row r="1850" spans="2:16">
      <c r="B1850" s="390"/>
      <c r="C1850" s="234"/>
      <c r="H1850" s="225"/>
      <c r="K1850" s="225"/>
      <c r="P1850" s="225"/>
    </row>
    <row r="1851" spans="2:16">
      <c r="B1851" s="390"/>
      <c r="C1851" s="234"/>
      <c r="H1851" s="225"/>
      <c r="K1851" s="225"/>
      <c r="P1851" s="225"/>
    </row>
    <row r="1852" spans="2:16">
      <c r="B1852" s="390"/>
      <c r="C1852" s="234"/>
      <c r="H1852" s="225"/>
      <c r="K1852" s="225"/>
      <c r="P1852" s="225"/>
    </row>
    <row r="1853" spans="2:16">
      <c r="B1853" s="390"/>
      <c r="C1853" s="234"/>
      <c r="H1853" s="225"/>
      <c r="K1853" s="225"/>
      <c r="P1853" s="225"/>
    </row>
    <row r="1854" spans="2:16">
      <c r="B1854" s="390"/>
      <c r="C1854" s="234"/>
      <c r="H1854" s="225"/>
      <c r="K1854" s="225"/>
      <c r="P1854" s="225"/>
    </row>
    <row r="1855" spans="2:16">
      <c r="B1855" s="390"/>
      <c r="C1855" s="234"/>
      <c r="H1855" s="225"/>
      <c r="K1855" s="225"/>
      <c r="P1855" s="225"/>
    </row>
    <row r="1856" spans="2:16">
      <c r="B1856" s="390"/>
      <c r="C1856" s="234"/>
      <c r="H1856" s="225"/>
      <c r="K1856" s="225"/>
      <c r="P1856" s="225"/>
    </row>
    <row r="1857" spans="2:16">
      <c r="B1857" s="390"/>
      <c r="C1857" s="234"/>
      <c r="H1857" s="225"/>
      <c r="K1857" s="225"/>
      <c r="P1857" s="225"/>
    </row>
    <row r="1858" spans="2:16">
      <c r="B1858" s="390"/>
      <c r="C1858" s="234"/>
      <c r="H1858" s="225"/>
      <c r="K1858" s="225"/>
      <c r="P1858" s="225"/>
    </row>
    <row r="1859" spans="2:16">
      <c r="B1859" s="252"/>
      <c r="H1859" s="225"/>
      <c r="K1859" s="225"/>
      <c r="P1859" s="225"/>
    </row>
    <row r="1860" spans="2:16">
      <c r="B1860" s="252"/>
      <c r="H1860" s="225"/>
      <c r="K1860" s="225"/>
      <c r="P1860" s="225"/>
    </row>
    <row r="1861" spans="2:16">
      <c r="B1861" s="252"/>
      <c r="H1861" s="225"/>
      <c r="K1861" s="225"/>
      <c r="P1861" s="225"/>
    </row>
    <row r="1862" spans="2:16">
      <c r="B1862" s="252"/>
      <c r="H1862" s="225"/>
      <c r="K1862" s="225"/>
      <c r="P1862" s="225"/>
    </row>
    <row r="1863" spans="2:16">
      <c r="B1863" s="252"/>
      <c r="H1863" s="225"/>
      <c r="K1863" s="225"/>
      <c r="P1863" s="225"/>
    </row>
    <row r="1864" spans="2:16">
      <c r="B1864" s="252"/>
      <c r="H1864" s="225"/>
      <c r="K1864" s="225"/>
      <c r="P1864" s="225"/>
    </row>
    <row r="1865" spans="2:16">
      <c r="B1865" s="252"/>
      <c r="H1865" s="225"/>
      <c r="K1865" s="225"/>
      <c r="P1865" s="225"/>
    </row>
    <row r="1866" spans="2:16">
      <c r="B1866" s="252"/>
      <c r="H1866" s="225"/>
      <c r="K1866" s="225"/>
      <c r="P1866" s="225"/>
    </row>
    <row r="1867" spans="2:16">
      <c r="B1867" s="252"/>
      <c r="H1867" s="225"/>
      <c r="K1867" s="225"/>
      <c r="P1867" s="225"/>
    </row>
    <row r="1868" spans="2:16">
      <c r="B1868" s="252"/>
      <c r="H1868" s="225"/>
      <c r="K1868" s="225"/>
      <c r="P1868" s="225"/>
    </row>
    <row r="1869" spans="2:16">
      <c r="B1869" s="252"/>
      <c r="H1869" s="225"/>
      <c r="K1869" s="225"/>
      <c r="P1869" s="225"/>
    </row>
    <row r="1870" spans="2:16">
      <c r="B1870" s="252"/>
      <c r="H1870" s="225"/>
      <c r="K1870" s="225"/>
      <c r="P1870" s="225"/>
    </row>
    <row r="1871" spans="2:16">
      <c r="B1871" s="252"/>
      <c r="H1871" s="225"/>
      <c r="K1871" s="225"/>
      <c r="P1871" s="225"/>
    </row>
    <row r="1872" spans="2:16">
      <c r="B1872" s="252"/>
      <c r="H1872" s="225"/>
      <c r="K1872" s="225"/>
      <c r="P1872" s="225"/>
    </row>
    <row r="1873" spans="2:16">
      <c r="B1873" s="252"/>
      <c r="H1873" s="225"/>
      <c r="K1873" s="225"/>
      <c r="P1873" s="225"/>
    </row>
    <row r="1874" spans="2:16">
      <c r="B1874" s="252"/>
      <c r="H1874" s="225"/>
      <c r="K1874" s="225"/>
      <c r="P1874" s="225"/>
    </row>
    <row r="1875" spans="2:16">
      <c r="B1875" s="252"/>
      <c r="H1875" s="225"/>
      <c r="K1875" s="225"/>
      <c r="P1875" s="225"/>
    </row>
    <row r="1876" spans="2:16">
      <c r="B1876" s="252"/>
      <c r="H1876" s="225"/>
      <c r="K1876" s="225"/>
      <c r="P1876" s="225"/>
    </row>
    <row r="1877" spans="2:16">
      <c r="B1877" s="252"/>
      <c r="H1877" s="225"/>
      <c r="K1877" s="225"/>
      <c r="P1877" s="225"/>
    </row>
    <row r="1878" spans="2:16">
      <c r="B1878" s="252"/>
      <c r="H1878" s="225"/>
      <c r="K1878" s="225"/>
      <c r="P1878" s="225"/>
    </row>
    <row r="1879" spans="2:16">
      <c r="B1879" s="252"/>
      <c r="H1879" s="225"/>
      <c r="K1879" s="225"/>
      <c r="P1879" s="225"/>
    </row>
    <row r="1880" spans="2:16">
      <c r="B1880" s="252"/>
      <c r="H1880" s="225"/>
      <c r="K1880" s="225"/>
      <c r="P1880" s="225"/>
    </row>
    <row r="1881" spans="2:16">
      <c r="B1881" s="252"/>
      <c r="H1881" s="225"/>
      <c r="K1881" s="225"/>
      <c r="P1881" s="225"/>
    </row>
    <row r="1882" spans="2:16">
      <c r="B1882" s="252"/>
      <c r="H1882" s="225"/>
      <c r="K1882" s="225"/>
      <c r="P1882" s="225"/>
    </row>
    <row r="1883" spans="2:16">
      <c r="B1883" s="252"/>
      <c r="H1883" s="225"/>
      <c r="K1883" s="225"/>
      <c r="P1883" s="225"/>
    </row>
    <row r="1884" spans="2:16">
      <c r="B1884" s="252"/>
      <c r="H1884" s="225"/>
      <c r="K1884" s="225"/>
      <c r="P1884" s="225"/>
    </row>
    <row r="1885" spans="2:16">
      <c r="B1885" s="252"/>
      <c r="H1885" s="225"/>
      <c r="K1885" s="225"/>
      <c r="P1885" s="225"/>
    </row>
    <row r="1886" spans="2:16">
      <c r="B1886" s="252"/>
      <c r="H1886" s="225"/>
      <c r="K1886" s="225"/>
      <c r="P1886" s="225"/>
    </row>
    <row r="1887" spans="2:16">
      <c r="B1887" s="252"/>
      <c r="H1887" s="225"/>
      <c r="K1887" s="225"/>
      <c r="P1887" s="225"/>
    </row>
    <row r="1888" spans="2:16">
      <c r="B1888" s="252"/>
      <c r="H1888" s="225"/>
      <c r="K1888" s="225"/>
      <c r="P1888" s="225"/>
    </row>
    <row r="1889" spans="2:16">
      <c r="B1889" s="252"/>
      <c r="H1889" s="225"/>
      <c r="K1889" s="225"/>
      <c r="P1889" s="225"/>
    </row>
    <row r="1890" spans="2:16">
      <c r="B1890" s="252"/>
      <c r="H1890" s="225"/>
      <c r="K1890" s="225"/>
      <c r="P1890" s="225"/>
    </row>
    <row r="1891" spans="2:16">
      <c r="B1891" s="252"/>
      <c r="H1891" s="225"/>
      <c r="K1891" s="225"/>
      <c r="P1891" s="225"/>
    </row>
    <row r="1892" spans="2:16">
      <c r="B1892" s="252"/>
      <c r="H1892" s="225"/>
      <c r="K1892" s="225"/>
      <c r="P1892" s="225"/>
    </row>
    <row r="1893" spans="2:16">
      <c r="B1893" s="252"/>
      <c r="H1893" s="225"/>
      <c r="K1893" s="225"/>
      <c r="P1893" s="225"/>
    </row>
    <row r="1894" spans="2:16">
      <c r="B1894" s="252"/>
      <c r="H1894" s="225"/>
      <c r="K1894" s="225"/>
      <c r="P1894" s="225"/>
    </row>
    <row r="1895" spans="2:16">
      <c r="B1895" s="252"/>
      <c r="H1895" s="225"/>
      <c r="K1895" s="225"/>
      <c r="P1895" s="225"/>
    </row>
    <row r="1896" spans="2:16">
      <c r="B1896" s="252"/>
      <c r="H1896" s="225"/>
      <c r="K1896" s="225"/>
      <c r="P1896" s="225"/>
    </row>
    <row r="1897" spans="2:16">
      <c r="B1897" s="252"/>
      <c r="H1897" s="225"/>
      <c r="K1897" s="225"/>
      <c r="P1897" s="225"/>
    </row>
    <row r="1898" spans="2:16">
      <c r="B1898" s="252"/>
      <c r="H1898" s="225"/>
      <c r="K1898" s="225"/>
      <c r="P1898" s="225"/>
    </row>
    <row r="1899" spans="2:16">
      <c r="B1899" s="252"/>
      <c r="H1899" s="225"/>
      <c r="K1899" s="225"/>
      <c r="P1899" s="225"/>
    </row>
    <row r="1900" spans="2:16">
      <c r="B1900" s="252"/>
      <c r="H1900" s="225"/>
      <c r="K1900" s="225"/>
      <c r="P1900" s="225"/>
    </row>
    <row r="1901" spans="2:16">
      <c r="B1901" s="252"/>
      <c r="H1901" s="225"/>
      <c r="K1901" s="225"/>
      <c r="P1901" s="225"/>
    </row>
    <row r="1902" spans="2:16">
      <c r="B1902" s="252"/>
      <c r="H1902" s="225"/>
      <c r="K1902" s="225"/>
      <c r="P1902" s="225"/>
    </row>
    <row r="1903" spans="2:16">
      <c r="B1903" s="252"/>
      <c r="H1903" s="225"/>
      <c r="K1903" s="225"/>
      <c r="P1903" s="225"/>
    </row>
    <row r="1904" spans="2:16">
      <c r="B1904" s="252"/>
      <c r="H1904" s="225"/>
      <c r="K1904" s="225"/>
      <c r="P1904" s="225"/>
    </row>
    <row r="1905" spans="2:16">
      <c r="B1905" s="252"/>
      <c r="H1905" s="225"/>
      <c r="K1905" s="225"/>
      <c r="P1905" s="225"/>
    </row>
    <row r="1906" spans="2:16">
      <c r="B1906" s="252"/>
      <c r="H1906" s="225"/>
      <c r="K1906" s="225"/>
      <c r="P1906" s="225"/>
    </row>
    <row r="1907" spans="2:16">
      <c r="B1907" s="252"/>
      <c r="H1907" s="225"/>
      <c r="K1907" s="225"/>
      <c r="P1907" s="225"/>
    </row>
    <row r="1908" spans="2:16">
      <c r="B1908" s="252"/>
      <c r="H1908" s="225"/>
      <c r="K1908" s="225"/>
      <c r="P1908" s="225"/>
    </row>
  </sheetData>
  <autoFilter ref="A7:T924" xr:uid="{00000000-0009-0000-0000-000005000000}">
    <sortState xmlns:xlrd2="http://schemas.microsoft.com/office/spreadsheetml/2017/richdata2" ref="A8:T924">
      <sortCondition descending="1" sortBy="cellColor" ref="A9:A924" dxfId="23"/>
    </sortState>
  </autoFilter>
  <sortState xmlns:xlrd2="http://schemas.microsoft.com/office/spreadsheetml/2017/richdata2" ref="B928:C1843">
    <sortCondition ref="B928:B1843"/>
    <sortCondition ref="C928:C1843"/>
  </sortState>
  <conditionalFormatting sqref="B1844:B1858">
    <cfRule type="duplicateValues" dxfId="8" priority="1"/>
    <cfRule type="duplicateValues" dxfId="7" priority="2"/>
  </conditionalFormatting>
  <conditionalFormatting sqref="C1844:C1858">
    <cfRule type="duplicateValues" dxfId="6" priority="3"/>
    <cfRule type="duplicateValues" dxfId="5" priority="4"/>
  </conditionalFormatting>
  <pageMargins left="0.7" right="0.7" top="0.75" bottom="0.75" header="0.3" footer="0.3"/>
  <pageSetup paperSize="5" scale="4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2E53-30B3-4026-907B-1149C4600665}">
  <dimension ref="A1:F904"/>
  <sheetViews>
    <sheetView zoomScale="70" zoomScaleNormal="70" workbookViewId="0">
      <pane xSplit="2" ySplit="1" topLeftCell="C2" activePane="bottomRight" state="frozen"/>
      <selection pane="topRight" activeCell="C1" sqref="C1"/>
      <selection pane="bottomLeft" activeCell="A2" sqref="A2"/>
      <selection pane="bottomRight"/>
    </sheetView>
  </sheetViews>
  <sheetFormatPr defaultColWidth="9.140625" defaultRowHeight="21"/>
  <cols>
    <col min="1" max="1" width="14.7109375" style="432" bestFit="1" customWidth="1"/>
    <col min="2" max="2" width="72.5703125" style="432" customWidth="1"/>
    <col min="3" max="3" width="35.7109375" style="432" customWidth="1"/>
    <col min="4" max="4" width="2.85546875" style="432" customWidth="1"/>
    <col min="5" max="5" width="54.28515625" style="432" customWidth="1"/>
    <col min="6" max="16384" width="9.140625" style="432"/>
  </cols>
  <sheetData>
    <row r="1" spans="1:6" ht="80.45" customHeight="1">
      <c r="A1" s="430" t="s">
        <v>3735</v>
      </c>
      <c r="B1" s="431" t="s">
        <v>3736</v>
      </c>
      <c r="C1" s="430" t="s">
        <v>3737</v>
      </c>
      <c r="E1" s="490"/>
    </row>
    <row r="2" spans="1:6">
      <c r="A2" s="432">
        <v>70505</v>
      </c>
      <c r="B2" s="432" t="s">
        <v>723</v>
      </c>
      <c r="C2" s="433">
        <v>230650.29</v>
      </c>
      <c r="E2" s="432">
        <v>70505</v>
      </c>
      <c r="F2" s="432" t="b">
        <v>1</v>
      </c>
    </row>
    <row r="3" spans="1:6">
      <c r="A3" s="432">
        <v>72265</v>
      </c>
      <c r="B3" s="432" t="s">
        <v>724</v>
      </c>
      <c r="C3" s="433">
        <v>143442.91999999998</v>
      </c>
      <c r="E3" s="432">
        <v>72265</v>
      </c>
      <c r="F3" s="432" t="b">
        <v>1</v>
      </c>
    </row>
    <row r="4" spans="1:6">
      <c r="A4" s="432">
        <v>72593</v>
      </c>
      <c r="B4" s="432" t="s">
        <v>725</v>
      </c>
      <c r="C4" s="433">
        <v>11061.54</v>
      </c>
      <c r="E4" s="432">
        <v>72593</v>
      </c>
      <c r="F4" s="432" t="b">
        <v>1</v>
      </c>
    </row>
    <row r="5" spans="1:6">
      <c r="A5" s="432">
        <v>72657</v>
      </c>
      <c r="B5" s="432" t="s">
        <v>726</v>
      </c>
      <c r="C5" s="433">
        <v>46078.910000000011</v>
      </c>
      <c r="E5" s="432">
        <v>72657</v>
      </c>
      <c r="F5" s="432" t="b">
        <v>1</v>
      </c>
    </row>
    <row r="6" spans="1:6">
      <c r="A6" s="432">
        <v>90001</v>
      </c>
      <c r="B6" s="432" t="s">
        <v>727</v>
      </c>
      <c r="C6" s="433">
        <v>1373198.5100000005</v>
      </c>
      <c r="E6" s="432">
        <v>90001</v>
      </c>
      <c r="F6" s="432" t="b">
        <v>1</v>
      </c>
    </row>
    <row r="7" spans="1:6">
      <c r="A7" s="432">
        <v>90002</v>
      </c>
      <c r="B7" s="432" t="s">
        <v>728</v>
      </c>
      <c r="C7" s="433">
        <v>12290.560000000003</v>
      </c>
      <c r="E7" s="432">
        <v>90002</v>
      </c>
      <c r="F7" s="432" t="b">
        <v>1</v>
      </c>
    </row>
    <row r="8" spans="1:6">
      <c r="A8" s="432">
        <v>90011</v>
      </c>
      <c r="B8" s="432" t="s">
        <v>729</v>
      </c>
      <c r="C8" s="433">
        <v>199412.49</v>
      </c>
      <c r="E8" s="432">
        <v>90011</v>
      </c>
      <c r="F8" s="432" t="b">
        <v>1</v>
      </c>
    </row>
    <row r="9" spans="1:6">
      <c r="A9" s="432">
        <v>90092</v>
      </c>
      <c r="B9" s="432" t="s">
        <v>730</v>
      </c>
      <c r="C9" s="433">
        <v>402257.28</v>
      </c>
      <c r="E9" s="432">
        <v>90092</v>
      </c>
      <c r="F9" s="432" t="b">
        <v>1</v>
      </c>
    </row>
    <row r="10" spans="1:6">
      <c r="A10" s="432">
        <v>90096</v>
      </c>
      <c r="B10" s="432" t="s">
        <v>731</v>
      </c>
      <c r="C10" s="433">
        <v>1445518.42</v>
      </c>
      <c r="E10" s="432">
        <v>90096</v>
      </c>
      <c r="F10" s="432" t="b">
        <v>1</v>
      </c>
    </row>
    <row r="11" spans="1:6">
      <c r="A11" s="432">
        <v>90098</v>
      </c>
      <c r="B11" s="432" t="s">
        <v>732</v>
      </c>
      <c r="C11" s="433">
        <v>187716.03</v>
      </c>
      <c r="E11" s="432">
        <v>90098</v>
      </c>
      <c r="F11" s="432" t="b">
        <v>1</v>
      </c>
    </row>
    <row r="12" spans="1:6">
      <c r="A12" s="432">
        <v>90099</v>
      </c>
      <c r="B12" s="432" t="s">
        <v>733</v>
      </c>
      <c r="C12" s="433">
        <v>893238.2</v>
      </c>
      <c r="E12" s="432">
        <v>90099</v>
      </c>
      <c r="F12" s="432" t="b">
        <v>1</v>
      </c>
    </row>
    <row r="13" spans="1:6">
      <c r="A13" s="432">
        <v>90101</v>
      </c>
      <c r="B13" s="432" t="s">
        <v>734</v>
      </c>
      <c r="C13" s="433">
        <v>7360127.1399999978</v>
      </c>
      <c r="E13" s="432">
        <v>90101</v>
      </c>
      <c r="F13" s="432" t="b">
        <v>1</v>
      </c>
    </row>
    <row r="14" spans="1:6">
      <c r="A14" s="432">
        <v>90111</v>
      </c>
      <c r="B14" s="432" t="s">
        <v>735</v>
      </c>
      <c r="C14" s="433">
        <v>6222414.5700000012</v>
      </c>
      <c r="E14" s="432">
        <v>90111</v>
      </c>
      <c r="F14" s="432" t="b">
        <v>1</v>
      </c>
    </row>
    <row r="15" spans="1:6">
      <c r="A15" s="432">
        <v>90114</v>
      </c>
      <c r="B15" s="432" t="s">
        <v>736</v>
      </c>
      <c r="C15" s="433">
        <v>2594420.9299999997</v>
      </c>
      <c r="E15" s="432">
        <v>90114</v>
      </c>
      <c r="F15" s="432" t="b">
        <v>1</v>
      </c>
    </row>
    <row r="16" spans="1:6">
      <c r="A16" s="432">
        <v>90117</v>
      </c>
      <c r="B16" s="432" t="s">
        <v>737</v>
      </c>
      <c r="C16" s="433">
        <v>249455.68</v>
      </c>
      <c r="E16" s="432">
        <v>90117</v>
      </c>
      <c r="F16" s="432" t="b">
        <v>1</v>
      </c>
    </row>
    <row r="17" spans="1:6">
      <c r="A17" s="432">
        <v>90121</v>
      </c>
      <c r="B17" s="432" t="s">
        <v>738</v>
      </c>
      <c r="C17" s="433">
        <v>1319308.2599999998</v>
      </c>
      <c r="E17" s="432">
        <v>90121</v>
      </c>
      <c r="F17" s="432" t="b">
        <v>1</v>
      </c>
    </row>
    <row r="18" spans="1:6">
      <c r="A18" s="432">
        <v>90131</v>
      </c>
      <c r="B18" s="432" t="s">
        <v>739</v>
      </c>
      <c r="C18" s="433">
        <v>598497.47</v>
      </c>
      <c r="E18" s="432">
        <v>90131</v>
      </c>
      <c r="F18" s="432" t="b">
        <v>1</v>
      </c>
    </row>
    <row r="19" spans="1:6">
      <c r="A19" s="432">
        <v>90141</v>
      </c>
      <c r="B19" s="432" t="s">
        <v>740</v>
      </c>
      <c r="C19" s="433">
        <v>178921.1</v>
      </c>
      <c r="E19" s="432">
        <v>90141</v>
      </c>
      <c r="F19" s="432" t="b">
        <v>1</v>
      </c>
    </row>
    <row r="20" spans="1:6">
      <c r="A20" s="432">
        <v>90151</v>
      </c>
      <c r="B20" s="432" t="s">
        <v>741</v>
      </c>
      <c r="C20" s="433">
        <v>12170.970000000001</v>
      </c>
      <c r="E20" s="432">
        <v>90151</v>
      </c>
      <c r="F20" s="432" t="b">
        <v>1</v>
      </c>
    </row>
    <row r="21" spans="1:6">
      <c r="A21" s="432">
        <v>90161</v>
      </c>
      <c r="B21" s="432" t="s">
        <v>742</v>
      </c>
      <c r="C21" s="433">
        <v>13830.57</v>
      </c>
      <c r="E21" s="432">
        <v>90161</v>
      </c>
      <c r="F21" s="432" t="b">
        <v>1</v>
      </c>
    </row>
    <row r="22" spans="1:6">
      <c r="A22" s="432">
        <v>90171</v>
      </c>
      <c r="B22" s="432" t="s">
        <v>726</v>
      </c>
      <c r="C22" s="433">
        <v>80756.709999999992</v>
      </c>
      <c r="E22" s="432">
        <v>90171</v>
      </c>
      <c r="F22" s="432" t="b">
        <v>1</v>
      </c>
    </row>
    <row r="23" spans="1:6">
      <c r="A23" s="432">
        <v>90201</v>
      </c>
      <c r="B23" s="432" t="s">
        <v>743</v>
      </c>
      <c r="C23" s="433">
        <v>2341928.669999999</v>
      </c>
      <c r="E23" s="432">
        <v>90201</v>
      </c>
      <c r="F23" s="432" t="b">
        <v>1</v>
      </c>
    </row>
    <row r="24" spans="1:6">
      <c r="A24" s="432">
        <v>90211</v>
      </c>
      <c r="B24" s="432" t="s">
        <v>747</v>
      </c>
      <c r="C24" s="433">
        <v>153795.63999999998</v>
      </c>
      <c r="E24" s="432">
        <v>90211</v>
      </c>
      <c r="F24" s="432" t="b">
        <v>1</v>
      </c>
    </row>
    <row r="25" spans="1:6">
      <c r="A25" s="432">
        <v>90301</v>
      </c>
      <c r="B25" s="432" t="s">
        <v>748</v>
      </c>
      <c r="C25" s="433">
        <v>845508.69999999984</v>
      </c>
      <c r="E25" s="432">
        <v>90301</v>
      </c>
      <c r="F25" s="432" t="b">
        <v>1</v>
      </c>
    </row>
    <row r="26" spans="1:6">
      <c r="A26" s="432">
        <v>90305</v>
      </c>
      <c r="B26" s="432" t="s">
        <v>749</v>
      </c>
      <c r="C26" s="433">
        <v>176369.59</v>
      </c>
      <c r="E26" s="432">
        <v>90305</v>
      </c>
      <c r="F26" s="432" t="b">
        <v>1</v>
      </c>
    </row>
    <row r="27" spans="1:6">
      <c r="A27" s="432">
        <v>90307</v>
      </c>
      <c r="B27" s="432" t="s">
        <v>750</v>
      </c>
      <c r="C27" s="433">
        <v>9538.7200000000012</v>
      </c>
      <c r="E27" s="432">
        <v>90307</v>
      </c>
      <c r="F27" s="432" t="b">
        <v>1</v>
      </c>
    </row>
    <row r="28" spans="1:6">
      <c r="A28" s="432">
        <v>90401</v>
      </c>
      <c r="B28" s="432" t="s">
        <v>751</v>
      </c>
      <c r="C28" s="433">
        <v>1741269.6100000003</v>
      </c>
      <c r="E28" s="432">
        <v>90401</v>
      </c>
      <c r="F28" s="432" t="b">
        <v>1</v>
      </c>
    </row>
    <row r="29" spans="1:6">
      <c r="A29" s="432">
        <v>90411</v>
      </c>
      <c r="B29" s="432" t="s">
        <v>752</v>
      </c>
      <c r="C29" s="433">
        <v>370898.94</v>
      </c>
      <c r="E29" s="432">
        <v>90411</v>
      </c>
      <c r="F29" s="432" t="b">
        <v>1</v>
      </c>
    </row>
    <row r="30" spans="1:6">
      <c r="A30" s="432">
        <v>90413</v>
      </c>
      <c r="B30" s="432" t="s">
        <v>753</v>
      </c>
      <c r="C30" s="433">
        <v>40546.980000000003</v>
      </c>
      <c r="E30" s="432">
        <v>90413</v>
      </c>
      <c r="F30" s="432" t="b">
        <v>1</v>
      </c>
    </row>
    <row r="31" spans="1:6">
      <c r="A31" s="432">
        <v>90417</v>
      </c>
      <c r="B31" s="432" t="s">
        <v>754</v>
      </c>
      <c r="C31" s="433">
        <v>23910.5</v>
      </c>
      <c r="E31" s="432">
        <v>90417</v>
      </c>
      <c r="F31" s="432" t="b">
        <v>1</v>
      </c>
    </row>
    <row r="32" spans="1:6">
      <c r="A32" s="432">
        <v>90421</v>
      </c>
      <c r="B32" s="432" t="s">
        <v>755</v>
      </c>
      <c r="C32" s="433">
        <v>18590.989999999998</v>
      </c>
      <c r="E32" s="432">
        <v>90421</v>
      </c>
      <c r="F32" s="432" t="b">
        <v>1</v>
      </c>
    </row>
    <row r="33" spans="1:6">
      <c r="A33" s="432">
        <v>90431</v>
      </c>
      <c r="B33" s="432" t="s">
        <v>756</v>
      </c>
      <c r="C33" s="433">
        <v>41209.529999999984</v>
      </c>
      <c r="E33" s="432">
        <v>90431</v>
      </c>
      <c r="F33" s="432" t="b">
        <v>1</v>
      </c>
    </row>
    <row r="34" spans="1:6">
      <c r="A34" s="432">
        <v>90441</v>
      </c>
      <c r="B34" s="432" t="s">
        <v>757</v>
      </c>
      <c r="C34" s="433">
        <v>10059.83</v>
      </c>
      <c r="E34" s="432">
        <v>90441</v>
      </c>
      <c r="F34" s="432" t="b">
        <v>1</v>
      </c>
    </row>
    <row r="35" spans="1:6">
      <c r="A35" s="432">
        <v>90451</v>
      </c>
      <c r="B35" s="432" t="s">
        <v>758</v>
      </c>
      <c r="C35" s="433">
        <v>22646.14</v>
      </c>
      <c r="E35" s="432">
        <v>90451</v>
      </c>
      <c r="F35" s="432" t="b">
        <v>1</v>
      </c>
    </row>
    <row r="36" spans="1:6" s="522" customFormat="1">
      <c r="A36" s="522">
        <v>90461</v>
      </c>
      <c r="B36" s="522" t="s">
        <v>759</v>
      </c>
      <c r="C36" s="523">
        <v>8093.63</v>
      </c>
      <c r="E36" s="522">
        <v>90461</v>
      </c>
      <c r="F36" s="522" t="b">
        <v>1</v>
      </c>
    </row>
    <row r="37" spans="1:6">
      <c r="A37" s="432">
        <v>90501</v>
      </c>
      <c r="B37" s="432" t="s">
        <v>760</v>
      </c>
      <c r="C37" s="433">
        <v>1566530.1300000004</v>
      </c>
      <c r="E37" s="432">
        <v>90501</v>
      </c>
      <c r="F37" s="432" t="b">
        <v>1</v>
      </c>
    </row>
    <row r="38" spans="1:6">
      <c r="A38" s="432">
        <v>90507</v>
      </c>
      <c r="B38" s="432" t="s">
        <v>34</v>
      </c>
      <c r="C38" s="433">
        <v>32283.579999999998</v>
      </c>
      <c r="E38" s="432">
        <v>90507</v>
      </c>
      <c r="F38" s="432" t="b">
        <v>1</v>
      </c>
    </row>
    <row r="39" spans="1:6">
      <c r="A39" s="432">
        <v>90511</v>
      </c>
      <c r="B39" s="432" t="s">
        <v>761</v>
      </c>
      <c r="C39" s="433">
        <v>126805.90000000001</v>
      </c>
      <c r="E39" s="432">
        <v>90511</v>
      </c>
      <c r="F39" s="432" t="b">
        <v>1</v>
      </c>
    </row>
    <row r="40" spans="1:6">
      <c r="A40" s="432">
        <v>90521</v>
      </c>
      <c r="B40" s="432" t="s">
        <v>762</v>
      </c>
      <c r="C40" s="433">
        <v>154580.44</v>
      </c>
      <c r="E40" s="432">
        <v>90521</v>
      </c>
      <c r="F40" s="432" t="b">
        <v>1</v>
      </c>
    </row>
    <row r="41" spans="1:6">
      <c r="A41" s="432">
        <v>90601</v>
      </c>
      <c r="B41" s="432" t="s">
        <v>763</v>
      </c>
      <c r="C41" s="433">
        <v>1450170.2600000012</v>
      </c>
      <c r="E41" s="432">
        <v>90601</v>
      </c>
      <c r="F41" s="432" t="b">
        <v>1</v>
      </c>
    </row>
    <row r="42" spans="1:6">
      <c r="A42" s="432">
        <v>90602</v>
      </c>
      <c r="B42" s="432" t="s">
        <v>259</v>
      </c>
      <c r="C42" s="433">
        <v>100339.24</v>
      </c>
      <c r="E42" s="432">
        <v>90602</v>
      </c>
      <c r="F42" s="432" t="b">
        <v>1</v>
      </c>
    </row>
    <row r="43" spans="1:6">
      <c r="A43" s="432">
        <v>90605</v>
      </c>
      <c r="B43" s="432" t="s">
        <v>764</v>
      </c>
      <c r="C43" s="433">
        <v>46936.990000000013</v>
      </c>
      <c r="E43" s="432">
        <v>90605</v>
      </c>
      <c r="F43" s="432" t="b">
        <v>1</v>
      </c>
    </row>
    <row r="44" spans="1:6">
      <c r="A44" s="432">
        <v>90611</v>
      </c>
      <c r="B44" s="432" t="s">
        <v>765</v>
      </c>
      <c r="C44" s="433">
        <v>144429.5</v>
      </c>
      <c r="E44" s="432">
        <v>90611</v>
      </c>
      <c r="F44" s="432" t="b">
        <v>1</v>
      </c>
    </row>
    <row r="45" spans="1:6">
      <c r="A45" s="432">
        <v>90617</v>
      </c>
      <c r="B45" s="432" t="s">
        <v>766</v>
      </c>
      <c r="C45" s="433">
        <v>36624.35</v>
      </c>
      <c r="E45" s="432">
        <v>90617</v>
      </c>
      <c r="F45" s="432" t="b">
        <v>1</v>
      </c>
    </row>
    <row r="46" spans="1:6">
      <c r="A46" s="432">
        <v>90621</v>
      </c>
      <c r="B46" s="432" t="s">
        <v>767</v>
      </c>
      <c r="C46" s="433">
        <v>85917.3</v>
      </c>
      <c r="E46" s="432">
        <v>90621</v>
      </c>
      <c r="F46" s="432" t="b">
        <v>1</v>
      </c>
    </row>
    <row r="47" spans="1:6">
      <c r="A47" s="432">
        <v>90631</v>
      </c>
      <c r="B47" s="432" t="s">
        <v>768</v>
      </c>
      <c r="C47" s="433">
        <v>538003.29</v>
      </c>
      <c r="E47" s="432">
        <v>90631</v>
      </c>
      <c r="F47" s="432" t="b">
        <v>1</v>
      </c>
    </row>
    <row r="48" spans="1:6">
      <c r="A48" s="432">
        <v>90641</v>
      </c>
      <c r="B48" s="432" t="s">
        <v>769</v>
      </c>
      <c r="C48" s="433">
        <v>13627.580000000002</v>
      </c>
      <c r="E48" s="432">
        <v>90641</v>
      </c>
      <c r="F48" s="432" t="b">
        <v>1</v>
      </c>
    </row>
    <row r="49" spans="1:6">
      <c r="A49" s="432">
        <v>90651</v>
      </c>
      <c r="B49" s="432" t="s">
        <v>1930</v>
      </c>
      <c r="C49" s="433">
        <v>208541.06999999998</v>
      </c>
      <c r="E49" s="432">
        <v>90651</v>
      </c>
      <c r="F49" s="432" t="b">
        <v>1</v>
      </c>
    </row>
    <row r="50" spans="1:6">
      <c r="A50" s="432">
        <v>90701</v>
      </c>
      <c r="B50" s="432" t="s">
        <v>771</v>
      </c>
      <c r="C50" s="433">
        <v>2702307.3699999982</v>
      </c>
      <c r="E50" s="432">
        <v>90701</v>
      </c>
      <c r="F50" s="432" t="b">
        <v>1</v>
      </c>
    </row>
    <row r="51" spans="1:6">
      <c r="A51" s="432">
        <v>90704</v>
      </c>
      <c r="B51" s="432" t="s">
        <v>772</v>
      </c>
      <c r="C51" s="433">
        <v>74730.600000000064</v>
      </c>
      <c r="E51" s="432">
        <v>90704</v>
      </c>
      <c r="F51" s="432" t="b">
        <v>1</v>
      </c>
    </row>
    <row r="52" spans="1:6">
      <c r="A52" s="432">
        <v>90705</v>
      </c>
      <c r="B52" s="432" t="s">
        <v>773</v>
      </c>
      <c r="C52" s="433">
        <v>39839.280000000006</v>
      </c>
      <c r="E52" s="432">
        <v>90705</v>
      </c>
      <c r="F52" s="432" t="b">
        <v>1</v>
      </c>
    </row>
    <row r="53" spans="1:6">
      <c r="A53" s="432">
        <v>90709</v>
      </c>
      <c r="B53" s="432" t="s">
        <v>774</v>
      </c>
      <c r="C53" s="433">
        <v>189249.66000000003</v>
      </c>
      <c r="E53" s="432">
        <v>90709</v>
      </c>
      <c r="F53" s="432" t="b">
        <v>1</v>
      </c>
    </row>
    <row r="54" spans="1:6">
      <c r="A54" s="432">
        <v>90711</v>
      </c>
      <c r="B54" s="432" t="s">
        <v>775</v>
      </c>
      <c r="C54" s="433">
        <v>1817203.2799999998</v>
      </c>
      <c r="E54" s="432">
        <v>90711</v>
      </c>
      <c r="F54" s="432" t="b">
        <v>1</v>
      </c>
    </row>
    <row r="55" spans="1:6">
      <c r="A55" s="432">
        <v>90721</v>
      </c>
      <c r="B55" s="432" t="s">
        <v>776</v>
      </c>
      <c r="C55" s="433">
        <v>18606.430000000004</v>
      </c>
      <c r="E55" s="432">
        <v>90721</v>
      </c>
      <c r="F55" s="432" t="b">
        <v>1</v>
      </c>
    </row>
    <row r="56" spans="1:6">
      <c r="A56" s="432">
        <v>90731</v>
      </c>
      <c r="B56" s="432" t="s">
        <v>777</v>
      </c>
      <c r="C56" s="433">
        <v>162611.6</v>
      </c>
      <c r="E56" s="432">
        <v>90731</v>
      </c>
      <c r="F56" s="432" t="b">
        <v>1</v>
      </c>
    </row>
    <row r="57" spans="1:6">
      <c r="A57" s="432">
        <v>90741</v>
      </c>
      <c r="B57" s="432" t="s">
        <v>778</v>
      </c>
      <c r="C57" s="433">
        <v>15709.490000000002</v>
      </c>
      <c r="E57" s="432">
        <v>90741</v>
      </c>
      <c r="F57" s="432" t="b">
        <v>1</v>
      </c>
    </row>
    <row r="58" spans="1:6">
      <c r="A58" s="432">
        <v>90751</v>
      </c>
      <c r="B58" s="432" t="s">
        <v>779</v>
      </c>
      <c r="C58" s="433">
        <v>177661.49</v>
      </c>
      <c r="E58" s="432">
        <v>90751</v>
      </c>
      <c r="F58" s="432" t="b">
        <v>1</v>
      </c>
    </row>
    <row r="59" spans="1:6">
      <c r="A59" s="432">
        <v>90801</v>
      </c>
      <c r="B59" s="432" t="s">
        <v>780</v>
      </c>
      <c r="C59" s="433">
        <v>1109958.7</v>
      </c>
      <c r="E59" s="432">
        <v>90801</v>
      </c>
      <c r="F59" s="432" t="b">
        <v>1</v>
      </c>
    </row>
    <row r="60" spans="1:6">
      <c r="A60" s="432">
        <v>90804</v>
      </c>
      <c r="B60" s="432" t="s">
        <v>781</v>
      </c>
      <c r="C60" s="433">
        <v>10889.5</v>
      </c>
      <c r="E60" s="432">
        <v>90804</v>
      </c>
      <c r="F60" s="432" t="b">
        <v>1</v>
      </c>
    </row>
    <row r="61" spans="1:6">
      <c r="A61" s="432">
        <v>90805</v>
      </c>
      <c r="B61" s="432" t="s">
        <v>782</v>
      </c>
      <c r="C61" s="433">
        <v>79251.570000000007</v>
      </c>
      <c r="E61" s="432">
        <v>90805</v>
      </c>
      <c r="F61" s="432" t="b">
        <v>1</v>
      </c>
    </row>
    <row r="62" spans="1:6">
      <c r="A62" s="432">
        <v>90808</v>
      </c>
      <c r="B62" s="432" t="s">
        <v>783</v>
      </c>
      <c r="C62" s="433">
        <v>128705.48000000001</v>
      </c>
      <c r="E62" s="432">
        <v>90808</v>
      </c>
      <c r="F62" s="432" t="b">
        <v>1</v>
      </c>
    </row>
    <row r="63" spans="1:6">
      <c r="A63" s="432">
        <v>90811</v>
      </c>
      <c r="B63" s="432" t="s">
        <v>784</v>
      </c>
      <c r="C63" s="433">
        <v>45114.66</v>
      </c>
      <c r="E63" s="432">
        <v>90811</v>
      </c>
      <c r="F63" s="432" t="b">
        <v>1</v>
      </c>
    </row>
    <row r="64" spans="1:6">
      <c r="A64" s="432">
        <v>90812</v>
      </c>
      <c r="B64" s="432" t="s">
        <v>785</v>
      </c>
      <c r="C64" s="433">
        <v>220272.92000000007</v>
      </c>
      <c r="E64" s="432">
        <v>90812</v>
      </c>
      <c r="F64" s="432" t="b">
        <v>1</v>
      </c>
    </row>
    <row r="65" spans="1:6">
      <c r="A65" s="432">
        <v>90813</v>
      </c>
      <c r="B65" s="432" t="s">
        <v>786</v>
      </c>
      <c r="C65" s="433">
        <v>4194.0599999999995</v>
      </c>
      <c r="E65" s="432">
        <v>90813</v>
      </c>
      <c r="F65" s="432" t="b">
        <v>1</v>
      </c>
    </row>
    <row r="66" spans="1:6">
      <c r="A66" s="432">
        <v>90861</v>
      </c>
      <c r="B66" s="432" t="s">
        <v>787</v>
      </c>
      <c r="C66" s="433">
        <v>10474.85</v>
      </c>
      <c r="E66" s="432">
        <v>90861</v>
      </c>
      <c r="F66" s="432" t="b">
        <v>1</v>
      </c>
    </row>
    <row r="67" spans="1:6">
      <c r="A67" s="432">
        <v>90901</v>
      </c>
      <c r="B67" s="432" t="s">
        <v>788</v>
      </c>
      <c r="C67" s="433">
        <v>2352759.6500000008</v>
      </c>
      <c r="E67" s="432">
        <v>90901</v>
      </c>
      <c r="F67" s="432" t="b">
        <v>1</v>
      </c>
    </row>
    <row r="68" spans="1:6">
      <c r="A68" s="432">
        <v>90911</v>
      </c>
      <c r="B68" s="432" t="s">
        <v>789</v>
      </c>
      <c r="C68" s="433">
        <v>329415.80999999994</v>
      </c>
      <c r="E68" s="432">
        <v>90911</v>
      </c>
      <c r="F68" s="432" t="b">
        <v>1</v>
      </c>
    </row>
    <row r="69" spans="1:6">
      <c r="A69" s="432">
        <v>90917</v>
      </c>
      <c r="B69" s="432" t="s">
        <v>790</v>
      </c>
      <c r="C69" s="433">
        <v>11210.880000000001</v>
      </c>
      <c r="E69" s="432">
        <v>90917</v>
      </c>
      <c r="F69" s="432" t="b">
        <v>1</v>
      </c>
    </row>
    <row r="70" spans="1:6">
      <c r="A70" s="432">
        <v>90918</v>
      </c>
      <c r="B70" s="432" t="s">
        <v>791</v>
      </c>
      <c r="C70" s="433">
        <v>10162.569999999998</v>
      </c>
      <c r="E70" s="432">
        <v>90918</v>
      </c>
      <c r="F70" s="432" t="b">
        <v>1</v>
      </c>
    </row>
    <row r="71" spans="1:6">
      <c r="A71" s="432">
        <v>90921</v>
      </c>
      <c r="B71" s="432" t="s">
        <v>792</v>
      </c>
      <c r="C71" s="433">
        <v>153053.04999999999</v>
      </c>
      <c r="E71" s="432">
        <v>90921</v>
      </c>
      <c r="F71" s="432" t="b">
        <v>1</v>
      </c>
    </row>
    <row r="72" spans="1:6">
      <c r="A72" s="432">
        <v>90931</v>
      </c>
      <c r="B72" s="432" t="s">
        <v>793</v>
      </c>
      <c r="C72" s="433">
        <v>31015.579999999998</v>
      </c>
      <c r="E72" s="432">
        <v>90931</v>
      </c>
      <c r="F72" s="432" t="b">
        <v>1</v>
      </c>
    </row>
    <row r="73" spans="1:6">
      <c r="A73" s="432">
        <v>90941</v>
      </c>
      <c r="B73" s="432" t="s">
        <v>794</v>
      </c>
      <c r="C73" s="433">
        <v>75418.14</v>
      </c>
      <c r="E73" s="432">
        <v>90941</v>
      </c>
      <c r="F73" s="432" t="b">
        <v>1</v>
      </c>
    </row>
    <row r="74" spans="1:6">
      <c r="A74" s="432">
        <v>91001</v>
      </c>
      <c r="B74" s="432" t="s">
        <v>795</v>
      </c>
      <c r="C74" s="433">
        <v>8468957.3799999971</v>
      </c>
      <c r="E74" s="432">
        <v>91001</v>
      </c>
      <c r="F74" s="432" t="b">
        <v>1</v>
      </c>
    </row>
    <row r="75" spans="1:6">
      <c r="A75" s="432">
        <v>91002</v>
      </c>
      <c r="B75" s="432" t="s">
        <v>796</v>
      </c>
      <c r="C75" s="433">
        <v>1771393.6699999997</v>
      </c>
      <c r="E75" s="432">
        <v>91002</v>
      </c>
      <c r="F75" s="432" t="b">
        <v>1</v>
      </c>
    </row>
    <row r="76" spans="1:6">
      <c r="A76" s="432">
        <v>91003</v>
      </c>
      <c r="B76" s="432" t="s">
        <v>797</v>
      </c>
      <c r="C76" s="433">
        <v>682129.19000000006</v>
      </c>
      <c r="E76" s="432">
        <v>91003</v>
      </c>
      <c r="F76" s="432" t="b">
        <v>1</v>
      </c>
    </row>
    <row r="77" spans="1:6">
      <c r="A77" s="432">
        <v>91004</v>
      </c>
      <c r="B77" s="432" t="s">
        <v>798</v>
      </c>
      <c r="C77" s="433">
        <v>47135.15</v>
      </c>
      <c r="E77" s="432">
        <v>91004</v>
      </c>
      <c r="F77" s="432" t="b">
        <v>1</v>
      </c>
    </row>
    <row r="78" spans="1:6">
      <c r="A78" s="432">
        <v>91006</v>
      </c>
      <c r="B78" s="432" t="s">
        <v>799</v>
      </c>
      <c r="C78" s="433">
        <v>1237605.6399999999</v>
      </c>
      <c r="E78" s="432">
        <v>91006</v>
      </c>
      <c r="F78" s="432" t="b">
        <v>1</v>
      </c>
    </row>
    <row r="79" spans="1:6">
      <c r="A79" s="432">
        <v>91007</v>
      </c>
      <c r="B79" s="432" t="s">
        <v>800</v>
      </c>
      <c r="C79" s="433">
        <v>11580.15</v>
      </c>
      <c r="E79" s="432">
        <v>91007</v>
      </c>
      <c r="F79" s="432" t="b">
        <v>1</v>
      </c>
    </row>
    <row r="80" spans="1:6">
      <c r="A80" s="432">
        <v>91008</v>
      </c>
      <c r="B80" s="432" t="s">
        <v>801</v>
      </c>
      <c r="C80" s="433">
        <v>192208.63999999998</v>
      </c>
      <c r="E80" s="432">
        <v>91008</v>
      </c>
      <c r="F80" s="432" t="b">
        <v>1</v>
      </c>
    </row>
    <row r="81" spans="1:6">
      <c r="A81" s="432">
        <v>91009</v>
      </c>
      <c r="B81" s="432" t="s">
        <v>802</v>
      </c>
      <c r="C81" s="433">
        <v>24595.649999999994</v>
      </c>
      <c r="E81" s="432">
        <v>91009</v>
      </c>
      <c r="F81" s="432" t="b">
        <v>1</v>
      </c>
    </row>
    <row r="82" spans="1:6">
      <c r="A82" s="432">
        <v>91010</v>
      </c>
      <c r="B82" s="432" t="s">
        <v>803</v>
      </c>
      <c r="C82" s="433">
        <v>84863.37999999999</v>
      </c>
      <c r="E82" s="432">
        <v>91010</v>
      </c>
      <c r="F82" s="432" t="b">
        <v>1</v>
      </c>
    </row>
    <row r="83" spans="1:6">
      <c r="A83" s="432">
        <v>91011</v>
      </c>
      <c r="B83" s="432" t="s">
        <v>804</v>
      </c>
      <c r="C83" s="433">
        <v>668099.31999999983</v>
      </c>
      <c r="E83" s="432">
        <v>91011</v>
      </c>
      <c r="F83" s="432" t="b">
        <v>1</v>
      </c>
    </row>
    <row r="84" spans="1:6">
      <c r="A84" s="432">
        <v>91012</v>
      </c>
      <c r="B84" s="432" t="s">
        <v>805</v>
      </c>
      <c r="C84" s="433">
        <v>20679.120000000006</v>
      </c>
      <c r="E84" s="432">
        <v>91012</v>
      </c>
      <c r="F84" s="432" t="b">
        <v>1</v>
      </c>
    </row>
    <row r="85" spans="1:6">
      <c r="A85" s="432">
        <v>91013</v>
      </c>
      <c r="B85" s="432" t="s">
        <v>806</v>
      </c>
      <c r="C85" s="433">
        <v>53071.59</v>
      </c>
      <c r="E85" s="432">
        <v>91013</v>
      </c>
      <c r="F85" s="432" t="b">
        <v>1</v>
      </c>
    </row>
    <row r="86" spans="1:6">
      <c r="A86" s="432">
        <v>91014</v>
      </c>
      <c r="B86" s="432" t="s">
        <v>807</v>
      </c>
      <c r="C86" s="433">
        <v>248039.52000000002</v>
      </c>
      <c r="E86" s="432">
        <v>91014</v>
      </c>
      <c r="F86" s="432" t="b">
        <v>1</v>
      </c>
    </row>
    <row r="87" spans="1:6">
      <c r="A87" s="432">
        <v>91015</v>
      </c>
      <c r="B87" s="432" t="s">
        <v>1636</v>
      </c>
      <c r="C87" s="433">
        <v>44007.56</v>
      </c>
      <c r="E87" s="432">
        <v>91015</v>
      </c>
      <c r="F87" s="432" t="b">
        <v>1</v>
      </c>
    </row>
    <row r="88" spans="1:6">
      <c r="A88" s="432">
        <v>91017</v>
      </c>
      <c r="B88" s="432" t="s">
        <v>2009</v>
      </c>
      <c r="C88" s="433">
        <v>51171.200000000004</v>
      </c>
      <c r="E88" s="432">
        <v>91017</v>
      </c>
      <c r="F88" s="432" t="b">
        <v>1</v>
      </c>
    </row>
    <row r="89" spans="1:6">
      <c r="A89" s="432">
        <v>91020</v>
      </c>
      <c r="B89" s="432" t="s">
        <v>809</v>
      </c>
      <c r="C89" s="433">
        <v>46487.330000000009</v>
      </c>
      <c r="E89" s="432">
        <v>91020</v>
      </c>
      <c r="F89" s="432" t="b">
        <v>1</v>
      </c>
    </row>
    <row r="90" spans="1:6">
      <c r="A90" s="432">
        <v>91021</v>
      </c>
      <c r="B90" s="432" t="s">
        <v>810</v>
      </c>
      <c r="C90" s="433">
        <v>1193199.9599999997</v>
      </c>
      <c r="E90" s="432">
        <v>91021</v>
      </c>
      <c r="F90" s="432" t="b">
        <v>1</v>
      </c>
    </row>
    <row r="91" spans="1:6">
      <c r="A91" s="432">
        <v>91024</v>
      </c>
      <c r="B91" s="432" t="s">
        <v>811</v>
      </c>
      <c r="C91" s="433">
        <v>137568.49999999997</v>
      </c>
      <c r="E91" s="432">
        <v>91024</v>
      </c>
      <c r="F91" s="432" t="b">
        <v>1</v>
      </c>
    </row>
    <row r="92" spans="1:6">
      <c r="A92" s="432">
        <v>91026</v>
      </c>
      <c r="B92" s="432" t="s">
        <v>43</v>
      </c>
      <c r="C92" s="433">
        <v>39165.15</v>
      </c>
      <c r="E92" s="432">
        <v>91026</v>
      </c>
      <c r="F92" s="432" t="b">
        <v>1</v>
      </c>
    </row>
    <row r="93" spans="1:6">
      <c r="A93" s="432">
        <v>91027</v>
      </c>
      <c r="B93" s="432" t="s">
        <v>812</v>
      </c>
      <c r="C93" s="433">
        <v>35252.060000000005</v>
      </c>
      <c r="E93" s="432">
        <v>91027</v>
      </c>
      <c r="F93" s="432" t="b">
        <v>1</v>
      </c>
    </row>
    <row r="94" spans="1:6">
      <c r="A94" s="432">
        <v>91032</v>
      </c>
      <c r="B94" s="432" t="s">
        <v>813</v>
      </c>
      <c r="C94" s="433">
        <v>63896.19</v>
      </c>
      <c r="E94" s="432">
        <v>91032</v>
      </c>
      <c r="F94" s="432" t="b">
        <v>1</v>
      </c>
    </row>
    <row r="95" spans="1:6">
      <c r="A95" s="432">
        <v>91041</v>
      </c>
      <c r="B95" s="432" t="s">
        <v>814</v>
      </c>
      <c r="C95" s="433">
        <v>503516.53999999992</v>
      </c>
      <c r="E95" s="432">
        <v>91041</v>
      </c>
      <c r="F95" s="432" t="b">
        <v>1</v>
      </c>
    </row>
    <row r="96" spans="1:6">
      <c r="A96" s="432">
        <v>91042</v>
      </c>
      <c r="B96" s="432" t="s">
        <v>815</v>
      </c>
      <c r="C96" s="433">
        <v>641991.76</v>
      </c>
      <c r="E96" s="432">
        <v>91042</v>
      </c>
      <c r="F96" s="432" t="b">
        <v>1</v>
      </c>
    </row>
    <row r="97" spans="1:6">
      <c r="A97" s="432">
        <v>91047</v>
      </c>
      <c r="B97" s="432" t="s">
        <v>816</v>
      </c>
      <c r="C97" s="433">
        <v>14184</v>
      </c>
      <c r="E97" s="432">
        <v>91047</v>
      </c>
      <c r="F97" s="432" t="b">
        <v>1</v>
      </c>
    </row>
    <row r="98" spans="1:6">
      <c r="A98" s="432">
        <v>91051</v>
      </c>
      <c r="B98" s="432" t="s">
        <v>817</v>
      </c>
      <c r="C98" s="433">
        <v>83723.040000000008</v>
      </c>
      <c r="E98" s="432">
        <v>91051</v>
      </c>
      <c r="F98" s="432" t="b">
        <v>1</v>
      </c>
    </row>
    <row r="99" spans="1:6">
      <c r="A99" s="432">
        <v>91057</v>
      </c>
      <c r="B99" s="432" t="s">
        <v>818</v>
      </c>
      <c r="C99" s="433">
        <v>25226.379999999997</v>
      </c>
      <c r="E99" s="432">
        <v>91057</v>
      </c>
      <c r="F99" s="432" t="b">
        <v>1</v>
      </c>
    </row>
    <row r="100" spans="1:6">
      <c r="A100" s="432">
        <v>91061</v>
      </c>
      <c r="B100" s="432" t="s">
        <v>819</v>
      </c>
      <c r="C100" s="433">
        <v>498828.31999999995</v>
      </c>
      <c r="E100" s="432">
        <v>91061</v>
      </c>
      <c r="F100" s="432" t="b">
        <v>1</v>
      </c>
    </row>
    <row r="101" spans="1:6">
      <c r="A101" s="432">
        <v>91067</v>
      </c>
      <c r="B101" s="432" t="s">
        <v>820</v>
      </c>
      <c r="C101" s="433">
        <v>26359.899999999998</v>
      </c>
      <c r="E101" s="432">
        <v>91067</v>
      </c>
      <c r="F101" s="432" t="b">
        <v>1</v>
      </c>
    </row>
    <row r="102" spans="1:6">
      <c r="A102" s="432">
        <v>91071</v>
      </c>
      <c r="B102" s="432" t="s">
        <v>821</v>
      </c>
      <c r="C102" s="433">
        <v>307467.50000000006</v>
      </c>
      <c r="E102" s="432">
        <v>91071</v>
      </c>
      <c r="F102" s="432" t="b">
        <v>1</v>
      </c>
    </row>
    <row r="103" spans="1:6">
      <c r="A103" s="432">
        <v>91077</v>
      </c>
      <c r="B103" s="432" t="s">
        <v>822</v>
      </c>
      <c r="C103" s="433">
        <v>19646.440000000002</v>
      </c>
      <c r="E103" s="432">
        <v>91077</v>
      </c>
      <c r="F103" s="432" t="b">
        <v>1</v>
      </c>
    </row>
    <row r="104" spans="1:6">
      <c r="A104" s="432">
        <v>91081</v>
      </c>
      <c r="B104" s="432" t="s">
        <v>823</v>
      </c>
      <c r="C104" s="433">
        <v>508966.23000000004</v>
      </c>
      <c r="E104" s="432">
        <v>91081</v>
      </c>
      <c r="F104" s="432" t="b">
        <v>1</v>
      </c>
    </row>
    <row r="105" spans="1:6">
      <c r="A105" s="432">
        <v>91091</v>
      </c>
      <c r="B105" s="432" t="s">
        <v>824</v>
      </c>
      <c r="C105" s="433">
        <v>676784.02</v>
      </c>
      <c r="E105" s="432">
        <v>91091</v>
      </c>
      <c r="F105" s="432" t="b">
        <v>1</v>
      </c>
    </row>
    <row r="106" spans="1:6">
      <c r="A106" s="432">
        <v>91101</v>
      </c>
      <c r="B106" s="432" t="s">
        <v>825</v>
      </c>
      <c r="C106" s="433">
        <v>15866383.089999994</v>
      </c>
      <c r="E106" s="432">
        <v>91101</v>
      </c>
      <c r="F106" s="432" t="b">
        <v>1</v>
      </c>
    </row>
    <row r="107" spans="1:6">
      <c r="A107" s="432">
        <v>91102</v>
      </c>
      <c r="B107" s="432" t="s">
        <v>826</v>
      </c>
      <c r="C107" s="433">
        <v>574407.99</v>
      </c>
      <c r="E107" s="432">
        <v>91102</v>
      </c>
      <c r="F107" s="432" t="b">
        <v>1</v>
      </c>
    </row>
    <row r="108" spans="1:6">
      <c r="A108" s="432">
        <v>91104</v>
      </c>
      <c r="B108" s="432" t="s">
        <v>827</v>
      </c>
      <c r="C108" s="433">
        <v>28594.63</v>
      </c>
      <c r="E108" s="432">
        <v>91104</v>
      </c>
      <c r="F108" s="432" t="b">
        <v>1</v>
      </c>
    </row>
    <row r="109" spans="1:6">
      <c r="A109" s="432">
        <v>91107</v>
      </c>
      <c r="B109" s="432" t="s">
        <v>3756</v>
      </c>
      <c r="C109" s="433">
        <v>75765.22</v>
      </c>
      <c r="E109" s="432">
        <v>91107</v>
      </c>
      <c r="F109" s="432" t="b">
        <v>1</v>
      </c>
    </row>
    <row r="110" spans="1:6">
      <c r="A110" s="432">
        <v>91108</v>
      </c>
      <c r="B110" s="432" t="s">
        <v>829</v>
      </c>
      <c r="C110" s="433">
        <v>1372154.0399999998</v>
      </c>
      <c r="E110" s="432">
        <v>91108</v>
      </c>
      <c r="F110" s="432" t="b">
        <v>1</v>
      </c>
    </row>
    <row r="111" spans="1:6">
      <c r="A111" s="432">
        <v>91109</v>
      </c>
      <c r="B111" s="432" t="s">
        <v>830</v>
      </c>
      <c r="C111" s="433">
        <v>97699.160000000018</v>
      </c>
      <c r="E111" s="432">
        <v>91109</v>
      </c>
      <c r="F111" s="432" t="b">
        <v>1</v>
      </c>
    </row>
    <row r="112" spans="1:6">
      <c r="A112" s="432">
        <v>91111</v>
      </c>
      <c r="B112" s="432" t="s">
        <v>831</v>
      </c>
      <c r="C112" s="433">
        <v>261440.60000000006</v>
      </c>
      <c r="E112" s="432">
        <v>91111</v>
      </c>
      <c r="F112" s="432" t="b">
        <v>1</v>
      </c>
    </row>
    <row r="113" spans="1:6">
      <c r="A113" s="432">
        <v>91120</v>
      </c>
      <c r="B113" s="432" t="s">
        <v>832</v>
      </c>
      <c r="C113" s="433">
        <v>253001.81</v>
      </c>
      <c r="E113" s="432">
        <v>91120</v>
      </c>
      <c r="F113" s="432" t="b">
        <v>1</v>
      </c>
    </row>
    <row r="114" spans="1:6">
      <c r="A114" s="432">
        <v>91121</v>
      </c>
      <c r="B114" s="432" t="s">
        <v>833</v>
      </c>
      <c r="C114" s="433">
        <v>11536489.129999993</v>
      </c>
      <c r="E114" s="432">
        <v>91121</v>
      </c>
      <c r="F114" s="432" t="b">
        <v>1</v>
      </c>
    </row>
    <row r="115" spans="1:6">
      <c r="A115" s="432">
        <v>91127</v>
      </c>
      <c r="B115" s="432" t="s">
        <v>834</v>
      </c>
      <c r="C115" s="433">
        <v>415588.77999999985</v>
      </c>
      <c r="E115" s="432">
        <v>91127</v>
      </c>
      <c r="F115" s="432" t="b">
        <v>1</v>
      </c>
    </row>
    <row r="116" spans="1:6">
      <c r="A116" s="432">
        <v>91128</v>
      </c>
      <c r="B116" s="432" t="s">
        <v>835</v>
      </c>
      <c r="C116" s="433">
        <v>778175</v>
      </c>
      <c r="E116" s="432">
        <v>91128</v>
      </c>
      <c r="F116" s="432" t="b">
        <v>1</v>
      </c>
    </row>
    <row r="117" spans="1:6">
      <c r="A117" s="432">
        <v>91138</v>
      </c>
      <c r="B117" s="432" t="s">
        <v>836</v>
      </c>
      <c r="C117" s="433">
        <v>522220.08999999997</v>
      </c>
      <c r="E117" s="432">
        <v>91138</v>
      </c>
      <c r="F117" s="432" t="b">
        <v>1</v>
      </c>
    </row>
    <row r="118" spans="1:6">
      <c r="A118" s="432">
        <v>91141</v>
      </c>
      <c r="B118" s="432" t="s">
        <v>837</v>
      </c>
      <c r="C118" s="433">
        <v>670982.15</v>
      </c>
      <c r="E118" s="432">
        <v>91141</v>
      </c>
      <c r="F118" s="432" t="b">
        <v>1</v>
      </c>
    </row>
    <row r="119" spans="1:6">
      <c r="A119" s="432">
        <v>91147</v>
      </c>
      <c r="B119" s="432" t="s">
        <v>838</v>
      </c>
      <c r="C119" s="433">
        <v>35917.830000000009</v>
      </c>
      <c r="E119" s="432">
        <v>91147</v>
      </c>
      <c r="F119" s="432" t="b">
        <v>1</v>
      </c>
    </row>
    <row r="120" spans="1:6">
      <c r="A120" s="432">
        <v>91151</v>
      </c>
      <c r="B120" s="432" t="s">
        <v>839</v>
      </c>
      <c r="C120" s="433">
        <v>771473.64000000025</v>
      </c>
      <c r="E120" s="432">
        <v>91151</v>
      </c>
      <c r="F120" s="432" t="b">
        <v>1</v>
      </c>
    </row>
    <row r="121" spans="1:6">
      <c r="A121" s="432">
        <v>91154</v>
      </c>
      <c r="B121" s="432" t="s">
        <v>840</v>
      </c>
      <c r="C121" s="433">
        <v>26306.670000000002</v>
      </c>
      <c r="E121" s="432">
        <v>91154</v>
      </c>
      <c r="F121" s="432" t="b">
        <v>1</v>
      </c>
    </row>
    <row r="122" spans="1:6">
      <c r="A122" s="432">
        <v>91161</v>
      </c>
      <c r="B122" s="432" t="s">
        <v>841</v>
      </c>
      <c r="C122" s="433">
        <v>98367.589999999982</v>
      </c>
      <c r="E122" s="432">
        <v>91161</v>
      </c>
      <c r="F122" s="432" t="b">
        <v>1</v>
      </c>
    </row>
    <row r="123" spans="1:6">
      <c r="A123" s="432">
        <v>91171</v>
      </c>
      <c r="B123" s="432" t="s">
        <v>842</v>
      </c>
      <c r="C123" s="433">
        <v>304973.71000000002</v>
      </c>
      <c r="E123" s="432">
        <v>91171</v>
      </c>
      <c r="F123" s="432" t="b">
        <v>1</v>
      </c>
    </row>
    <row r="124" spans="1:6">
      <c r="A124" s="432">
        <v>91201</v>
      </c>
      <c r="B124" s="432" t="s">
        <v>843</v>
      </c>
      <c r="C124" s="433">
        <v>4914566.910000002</v>
      </c>
      <c r="E124" s="432">
        <v>91201</v>
      </c>
      <c r="F124" s="432" t="b">
        <v>1</v>
      </c>
    </row>
    <row r="125" spans="1:6">
      <c r="A125" s="520">
        <v>91203</v>
      </c>
      <c r="B125" s="520" t="s">
        <v>845</v>
      </c>
      <c r="C125" s="521">
        <v>0</v>
      </c>
      <c r="D125" s="520"/>
      <c r="E125" s="520">
        <v>91203</v>
      </c>
      <c r="F125" s="520" t="b">
        <v>1</v>
      </c>
    </row>
    <row r="126" spans="1:6">
      <c r="A126" s="520">
        <v>91206</v>
      </c>
      <c r="B126" s="520" t="s">
        <v>846</v>
      </c>
      <c r="C126" s="521">
        <v>0</v>
      </c>
      <c r="D126" s="520"/>
      <c r="E126" s="520">
        <v>91206</v>
      </c>
      <c r="F126" s="520" t="b">
        <v>1</v>
      </c>
    </row>
    <row r="127" spans="1:6">
      <c r="A127" s="432">
        <v>91208</v>
      </c>
      <c r="B127" s="432" t="s">
        <v>847</v>
      </c>
      <c r="C127" s="433">
        <v>27834.890000000003</v>
      </c>
      <c r="E127" s="432">
        <v>91208</v>
      </c>
      <c r="F127" s="432" t="b">
        <v>1</v>
      </c>
    </row>
    <row r="128" spans="1:6">
      <c r="A128" s="432">
        <v>91211</v>
      </c>
      <c r="B128" s="432" t="s">
        <v>848</v>
      </c>
      <c r="C128" s="433">
        <v>451107.24</v>
      </c>
      <c r="E128" s="432">
        <v>91211</v>
      </c>
      <c r="F128" s="432" t="b">
        <v>1</v>
      </c>
    </row>
    <row r="129" spans="1:6">
      <c r="A129" s="432">
        <v>91213</v>
      </c>
      <c r="B129" s="432" t="s">
        <v>849</v>
      </c>
      <c r="C129" s="433">
        <v>34891.540000000008</v>
      </c>
      <c r="E129" s="432">
        <v>91213</v>
      </c>
      <c r="F129" s="432" t="b">
        <v>1</v>
      </c>
    </row>
    <row r="130" spans="1:6">
      <c r="A130" s="432">
        <v>91214</v>
      </c>
      <c r="B130" s="432" t="s">
        <v>850</v>
      </c>
      <c r="C130" s="433">
        <v>21178.29</v>
      </c>
      <c r="E130" s="432">
        <v>91214</v>
      </c>
      <c r="F130" s="432" t="b">
        <v>1</v>
      </c>
    </row>
    <row r="131" spans="1:6">
      <c r="A131" s="432">
        <v>91217</v>
      </c>
      <c r="B131" s="432" t="s">
        <v>851</v>
      </c>
      <c r="C131" s="433">
        <v>34818.759999999995</v>
      </c>
      <c r="E131" s="432">
        <v>91217</v>
      </c>
      <c r="F131" s="432" t="b">
        <v>1</v>
      </c>
    </row>
    <row r="132" spans="1:6">
      <c r="A132" s="432">
        <v>91221</v>
      </c>
      <c r="B132" s="432" t="s">
        <v>852</v>
      </c>
      <c r="C132" s="433">
        <v>136465.72</v>
      </c>
      <c r="E132" s="432">
        <v>91221</v>
      </c>
      <c r="F132" s="432" t="b">
        <v>1</v>
      </c>
    </row>
    <row r="133" spans="1:6">
      <c r="A133" s="432">
        <v>91231</v>
      </c>
      <c r="B133" s="432" t="s">
        <v>853</v>
      </c>
      <c r="C133" s="433">
        <v>2118765.3400000008</v>
      </c>
      <c r="E133" s="432">
        <v>91231</v>
      </c>
      <c r="F133" s="432" t="b">
        <v>1</v>
      </c>
    </row>
    <row r="134" spans="1:6">
      <c r="A134" s="432">
        <v>91233</v>
      </c>
      <c r="B134" s="432" t="s">
        <v>854</v>
      </c>
      <c r="C134" s="433">
        <v>61123.56</v>
      </c>
      <c r="E134" s="432">
        <v>91233</v>
      </c>
      <c r="F134" s="432" t="b">
        <v>1</v>
      </c>
    </row>
    <row r="135" spans="1:6">
      <c r="A135" s="432">
        <v>91241</v>
      </c>
      <c r="B135" s="432" t="s">
        <v>855</v>
      </c>
      <c r="C135" s="433">
        <v>35473.490000000005</v>
      </c>
      <c r="E135" s="432">
        <v>91241</v>
      </c>
      <c r="F135" s="432" t="b">
        <v>1</v>
      </c>
    </row>
    <row r="136" spans="1:6">
      <c r="A136" s="432">
        <v>91251</v>
      </c>
      <c r="B136" s="432" t="s">
        <v>856</v>
      </c>
      <c r="C136" s="433">
        <v>23972.399999999998</v>
      </c>
      <c r="E136" s="432">
        <v>91251</v>
      </c>
      <c r="F136" s="432" t="b">
        <v>1</v>
      </c>
    </row>
    <row r="137" spans="1:6">
      <c r="A137" s="432">
        <v>91261</v>
      </c>
      <c r="B137" s="432" t="s">
        <v>857</v>
      </c>
      <c r="C137" s="433">
        <v>9822.6</v>
      </c>
      <c r="E137" s="432">
        <v>91261</v>
      </c>
      <c r="F137" s="432" t="b">
        <v>1</v>
      </c>
    </row>
    <row r="138" spans="1:6">
      <c r="A138" s="432">
        <v>91301</v>
      </c>
      <c r="B138" s="432" t="s">
        <v>858</v>
      </c>
      <c r="C138" s="433">
        <v>10475163.09</v>
      </c>
      <c r="E138" s="432">
        <v>91301</v>
      </c>
      <c r="F138" s="432" t="b">
        <v>1</v>
      </c>
    </row>
    <row r="139" spans="1:6">
      <c r="A139" s="432">
        <v>91302</v>
      </c>
      <c r="B139" s="432" t="s">
        <v>859</v>
      </c>
      <c r="C139" s="433">
        <v>616523.84000000008</v>
      </c>
      <c r="E139" s="432">
        <v>91302</v>
      </c>
      <c r="F139" s="432" t="b">
        <v>1</v>
      </c>
    </row>
    <row r="140" spans="1:6">
      <c r="A140" s="432">
        <v>91306</v>
      </c>
      <c r="B140" s="432" t="s">
        <v>860</v>
      </c>
      <c r="C140" s="433">
        <v>2271748</v>
      </c>
      <c r="E140" s="432">
        <v>91306</v>
      </c>
      <c r="F140" s="432" t="b">
        <v>1</v>
      </c>
    </row>
    <row r="141" spans="1:6">
      <c r="A141" s="432">
        <v>91308</v>
      </c>
      <c r="B141" s="432" t="s">
        <v>861</v>
      </c>
      <c r="C141" s="433">
        <v>172366.34</v>
      </c>
      <c r="E141" s="432">
        <v>91308</v>
      </c>
      <c r="F141" s="432" t="b">
        <v>1</v>
      </c>
    </row>
    <row r="142" spans="1:6">
      <c r="A142" s="432">
        <v>91311</v>
      </c>
      <c r="B142" s="432" t="s">
        <v>862</v>
      </c>
      <c r="C142" s="433">
        <v>10159535.600000003</v>
      </c>
      <c r="E142" s="432">
        <v>91311</v>
      </c>
      <c r="F142" s="432" t="b">
        <v>1</v>
      </c>
    </row>
    <row r="143" spans="1:6">
      <c r="A143" s="432">
        <v>91317</v>
      </c>
      <c r="B143" s="432" t="s">
        <v>863</v>
      </c>
      <c r="C143" s="433">
        <v>171393.16999999998</v>
      </c>
      <c r="E143" s="432">
        <v>91317</v>
      </c>
      <c r="F143" s="432" t="b">
        <v>1</v>
      </c>
    </row>
    <row r="144" spans="1:6">
      <c r="A144" s="432">
        <v>91321</v>
      </c>
      <c r="B144" s="432" t="s">
        <v>864</v>
      </c>
      <c r="C144" s="433">
        <v>60864.21</v>
      </c>
      <c r="E144" s="432">
        <v>91321</v>
      </c>
      <c r="F144" s="432" t="b">
        <v>1</v>
      </c>
    </row>
    <row r="145" spans="1:6">
      <c r="A145" s="432">
        <v>91327</v>
      </c>
      <c r="B145" s="432" t="s">
        <v>865</v>
      </c>
      <c r="C145" s="433">
        <v>14791.679999999998</v>
      </c>
      <c r="E145" s="432">
        <v>91327</v>
      </c>
      <c r="F145" s="432" t="b">
        <v>1</v>
      </c>
    </row>
    <row r="146" spans="1:6">
      <c r="A146" s="432">
        <v>91331</v>
      </c>
      <c r="B146" s="432" t="s">
        <v>866</v>
      </c>
      <c r="C146" s="433">
        <v>3730259.23</v>
      </c>
      <c r="E146" s="432">
        <v>91331</v>
      </c>
      <c r="F146" s="432" t="b">
        <v>1</v>
      </c>
    </row>
    <row r="147" spans="1:6">
      <c r="A147" s="432">
        <v>91341</v>
      </c>
      <c r="B147" s="432" t="s">
        <v>867</v>
      </c>
      <c r="C147" s="433">
        <v>79336.58</v>
      </c>
      <c r="E147" s="432">
        <v>91341</v>
      </c>
      <c r="F147" s="432" t="b">
        <v>1</v>
      </c>
    </row>
    <row r="148" spans="1:6">
      <c r="A148" s="432">
        <v>91401</v>
      </c>
      <c r="B148" s="432" t="s">
        <v>868</v>
      </c>
      <c r="C148" s="433">
        <v>4084842.3200000017</v>
      </c>
      <c r="E148" s="432">
        <v>91401</v>
      </c>
      <c r="F148" s="432" t="b">
        <v>1</v>
      </c>
    </row>
    <row r="149" spans="1:6">
      <c r="A149" s="432">
        <v>91411</v>
      </c>
      <c r="B149" s="432" t="s">
        <v>869</v>
      </c>
      <c r="C149" s="433">
        <v>495529.73000000004</v>
      </c>
      <c r="E149" s="432">
        <v>91411</v>
      </c>
      <c r="F149" s="432" t="b">
        <v>1</v>
      </c>
    </row>
    <row r="150" spans="1:6">
      <c r="A150" s="432">
        <v>91414</v>
      </c>
      <c r="B150" s="432" t="s">
        <v>3608</v>
      </c>
      <c r="C150" s="433">
        <v>30843.08</v>
      </c>
      <c r="E150" s="432">
        <v>91414</v>
      </c>
      <c r="F150" s="432" t="b">
        <v>1</v>
      </c>
    </row>
    <row r="151" spans="1:6">
      <c r="A151" s="432">
        <v>91417</v>
      </c>
      <c r="B151" s="432" t="s">
        <v>870</v>
      </c>
      <c r="C151" s="433">
        <v>15939.18</v>
      </c>
      <c r="E151" s="432">
        <v>91417</v>
      </c>
      <c r="F151" s="432" t="b">
        <v>1</v>
      </c>
    </row>
    <row r="152" spans="1:6">
      <c r="A152" s="432">
        <v>91421</v>
      </c>
      <c r="B152" s="432" t="s">
        <v>871</v>
      </c>
      <c r="C152" s="433">
        <v>113370.01000000002</v>
      </c>
      <c r="E152" s="432">
        <v>91421</v>
      </c>
      <c r="F152" s="432" t="b">
        <v>1</v>
      </c>
    </row>
    <row r="153" spans="1:6">
      <c r="A153" s="432">
        <v>91423</v>
      </c>
      <c r="B153" s="432" t="s">
        <v>872</v>
      </c>
      <c r="C153" s="433">
        <v>62202.439999999995</v>
      </c>
      <c r="E153" s="432">
        <v>91423</v>
      </c>
      <c r="F153" s="432" t="b">
        <v>1</v>
      </c>
    </row>
    <row r="154" spans="1:6">
      <c r="A154" s="432">
        <v>91431</v>
      </c>
      <c r="B154" s="432" t="s">
        <v>873</v>
      </c>
      <c r="C154" s="433">
        <v>212766.55</v>
      </c>
      <c r="E154" s="432">
        <v>91431</v>
      </c>
      <c r="F154" s="432" t="b">
        <v>1</v>
      </c>
    </row>
    <row r="155" spans="1:6">
      <c r="A155" s="432">
        <v>91441</v>
      </c>
      <c r="B155" s="432" t="s">
        <v>874</v>
      </c>
      <c r="C155" s="433">
        <v>1005993.1199999999</v>
      </c>
      <c r="E155" s="432">
        <v>91441</v>
      </c>
      <c r="F155" s="432" t="b">
        <v>1</v>
      </c>
    </row>
    <row r="156" spans="1:6">
      <c r="A156" s="432">
        <v>91451</v>
      </c>
      <c r="B156" s="432" t="s">
        <v>875</v>
      </c>
      <c r="C156" s="433">
        <v>1692552.8900000004</v>
      </c>
      <c r="E156" s="432">
        <v>91451</v>
      </c>
      <c r="F156" s="432" t="b">
        <v>1</v>
      </c>
    </row>
    <row r="157" spans="1:6">
      <c r="A157" s="432">
        <v>91457</v>
      </c>
      <c r="B157" s="432" t="s">
        <v>876</v>
      </c>
      <c r="C157" s="433">
        <v>34399.58</v>
      </c>
      <c r="E157" s="432">
        <v>91457</v>
      </c>
      <c r="F157" s="432" t="b">
        <v>1</v>
      </c>
    </row>
    <row r="158" spans="1:6">
      <c r="A158" s="432">
        <v>91501</v>
      </c>
      <c r="B158" s="432" t="s">
        <v>878</v>
      </c>
      <c r="C158" s="433">
        <v>592875.71000000054</v>
      </c>
      <c r="E158" s="432">
        <v>91501</v>
      </c>
      <c r="F158" s="432" t="b">
        <v>1</v>
      </c>
    </row>
    <row r="159" spans="1:6">
      <c r="A159" s="432">
        <v>91504</v>
      </c>
      <c r="B159" s="432" t="s">
        <v>879</v>
      </c>
      <c r="C159" s="433">
        <v>4830.7999999999993</v>
      </c>
      <c r="E159" s="432">
        <v>91504</v>
      </c>
      <c r="F159" s="432" t="b">
        <v>1</v>
      </c>
    </row>
    <row r="160" spans="1:6">
      <c r="A160" s="432">
        <v>91601</v>
      </c>
      <c r="B160" s="432" t="s">
        <v>880</v>
      </c>
      <c r="C160" s="433">
        <v>3696246.8600000027</v>
      </c>
      <c r="E160" s="432">
        <v>91601</v>
      </c>
      <c r="F160" s="432" t="b">
        <v>1</v>
      </c>
    </row>
    <row r="161" spans="1:6">
      <c r="A161" s="432">
        <v>91602</v>
      </c>
      <c r="B161" s="432" t="s">
        <v>3782</v>
      </c>
      <c r="C161" s="433">
        <v>30846.139999999996</v>
      </c>
      <c r="E161" s="432">
        <v>91602</v>
      </c>
      <c r="F161" s="432" t="b">
        <v>1</v>
      </c>
    </row>
    <row r="162" spans="1:6">
      <c r="A162" s="432">
        <v>91604</v>
      </c>
      <c r="B162" s="432" t="s">
        <v>881</v>
      </c>
      <c r="C162" s="433">
        <v>110421.95999999996</v>
      </c>
      <c r="E162" s="432">
        <v>91604</v>
      </c>
      <c r="F162" s="432" t="b">
        <v>1</v>
      </c>
    </row>
    <row r="163" spans="1:6">
      <c r="A163" s="432">
        <v>91608</v>
      </c>
      <c r="B163" s="432" t="s">
        <v>882</v>
      </c>
      <c r="C163" s="433">
        <v>192109.22000000009</v>
      </c>
      <c r="E163" s="432">
        <v>91608</v>
      </c>
      <c r="F163" s="432" t="b">
        <v>1</v>
      </c>
    </row>
    <row r="164" spans="1:6">
      <c r="A164" s="432">
        <v>91611</v>
      </c>
      <c r="B164" s="432" t="s">
        <v>883</v>
      </c>
      <c r="C164" s="433">
        <v>1502083.8800000004</v>
      </c>
      <c r="E164" s="432">
        <v>91611</v>
      </c>
      <c r="F164" s="432" t="b">
        <v>1</v>
      </c>
    </row>
    <row r="165" spans="1:6">
      <c r="A165" s="432">
        <v>91621</v>
      </c>
      <c r="B165" s="432" t="s">
        <v>884</v>
      </c>
      <c r="C165" s="433">
        <v>345489.18999999994</v>
      </c>
      <c r="E165" s="432">
        <v>91621</v>
      </c>
      <c r="F165" s="432" t="b">
        <v>1</v>
      </c>
    </row>
    <row r="166" spans="1:6">
      <c r="A166" s="432">
        <v>91631</v>
      </c>
      <c r="B166" s="432" t="s">
        <v>885</v>
      </c>
      <c r="C166" s="433">
        <v>748392.17</v>
      </c>
      <c r="E166" s="432">
        <v>91631</v>
      </c>
      <c r="F166" s="432" t="b">
        <v>1</v>
      </c>
    </row>
    <row r="167" spans="1:6">
      <c r="A167" s="432">
        <v>91633</v>
      </c>
      <c r="B167" s="432" t="s">
        <v>886</v>
      </c>
      <c r="C167" s="433">
        <v>28923.65</v>
      </c>
      <c r="E167" s="432">
        <v>91633</v>
      </c>
      <c r="F167" s="432" t="b">
        <v>1</v>
      </c>
    </row>
    <row r="168" spans="1:6">
      <c r="A168" s="432">
        <v>91641</v>
      </c>
      <c r="B168" s="432" t="s">
        <v>887</v>
      </c>
      <c r="C168" s="433">
        <v>377356.26</v>
      </c>
      <c r="E168" s="432">
        <v>91641</v>
      </c>
      <c r="F168" s="432" t="b">
        <v>1</v>
      </c>
    </row>
    <row r="169" spans="1:6">
      <c r="A169" s="432">
        <v>91651</v>
      </c>
      <c r="B169" s="432" t="s">
        <v>888</v>
      </c>
      <c r="C169" s="433">
        <v>614915.69999999995</v>
      </c>
      <c r="E169" s="432">
        <v>91651</v>
      </c>
      <c r="F169" s="432" t="b">
        <v>1</v>
      </c>
    </row>
    <row r="170" spans="1:6">
      <c r="A170" s="432">
        <v>91661</v>
      </c>
      <c r="B170" s="432" t="s">
        <v>889</v>
      </c>
      <c r="C170" s="433">
        <v>162562.70999999993</v>
      </c>
      <c r="E170" s="432">
        <v>91661</v>
      </c>
      <c r="F170" s="432" t="b">
        <v>1</v>
      </c>
    </row>
    <row r="171" spans="1:6">
      <c r="A171" s="432">
        <v>91671</v>
      </c>
      <c r="B171" s="432" t="s">
        <v>890</v>
      </c>
      <c r="C171" s="433">
        <v>112514.60999999999</v>
      </c>
      <c r="E171" s="432">
        <v>91671</v>
      </c>
      <c r="F171" s="432" t="b">
        <v>1</v>
      </c>
    </row>
    <row r="172" spans="1:6">
      <c r="A172" s="432">
        <v>91681</v>
      </c>
      <c r="B172" s="432" t="s">
        <v>891</v>
      </c>
      <c r="C172" s="433">
        <v>763761.87000000011</v>
      </c>
      <c r="E172" s="432">
        <v>91681</v>
      </c>
      <c r="F172" s="432" t="b">
        <v>1</v>
      </c>
    </row>
    <row r="173" spans="1:6">
      <c r="A173" s="432">
        <v>91691</v>
      </c>
      <c r="B173" s="432" t="s">
        <v>892</v>
      </c>
      <c r="C173" s="433">
        <v>37541.320000000007</v>
      </c>
      <c r="E173" s="432">
        <v>91691</v>
      </c>
      <c r="F173" s="432" t="b">
        <v>1</v>
      </c>
    </row>
    <row r="174" spans="1:6">
      <c r="A174" s="432">
        <v>91701</v>
      </c>
      <c r="B174" s="432" t="s">
        <v>893</v>
      </c>
      <c r="C174" s="433">
        <v>1385635.0000000007</v>
      </c>
      <c r="E174" s="432">
        <v>91701</v>
      </c>
      <c r="F174" s="432" t="b">
        <v>1</v>
      </c>
    </row>
    <row r="175" spans="1:6">
      <c r="A175" s="432">
        <v>91704</v>
      </c>
      <c r="B175" s="432" t="s">
        <v>894</v>
      </c>
      <c r="C175" s="433">
        <v>29892.840000000004</v>
      </c>
      <c r="E175" s="432">
        <v>91704</v>
      </c>
      <c r="F175" s="432" t="b">
        <v>1</v>
      </c>
    </row>
    <row r="176" spans="1:6">
      <c r="A176" s="432">
        <v>91706</v>
      </c>
      <c r="B176" s="432" t="s">
        <v>895</v>
      </c>
      <c r="C176" s="433">
        <v>273649.99</v>
      </c>
      <c r="E176" s="432">
        <v>91706</v>
      </c>
      <c r="F176" s="432" t="b">
        <v>1</v>
      </c>
    </row>
    <row r="177" spans="1:6">
      <c r="A177" s="432">
        <v>91719</v>
      </c>
      <c r="B177" s="432" t="s">
        <v>896</v>
      </c>
      <c r="C177" s="433">
        <v>30555.009999999987</v>
      </c>
      <c r="E177" s="432">
        <v>91719</v>
      </c>
      <c r="F177" s="432" t="b">
        <v>1</v>
      </c>
    </row>
    <row r="178" spans="1:6">
      <c r="A178" s="432">
        <v>91801</v>
      </c>
      <c r="B178" s="432" t="s">
        <v>897</v>
      </c>
      <c r="C178" s="433">
        <v>9326367.9800000042</v>
      </c>
      <c r="E178" s="432">
        <v>91801</v>
      </c>
      <c r="F178" s="432" t="b">
        <v>1</v>
      </c>
    </row>
    <row r="179" spans="1:6">
      <c r="A179" s="432">
        <v>91804</v>
      </c>
      <c r="B179" s="432" t="s">
        <v>898</v>
      </c>
      <c r="C179" s="433">
        <v>293831.45</v>
      </c>
      <c r="E179" s="432">
        <v>91804</v>
      </c>
      <c r="F179" s="432" t="b">
        <v>1</v>
      </c>
    </row>
    <row r="180" spans="1:6">
      <c r="A180" s="432">
        <v>91811</v>
      </c>
      <c r="B180" s="432" t="s">
        <v>899</v>
      </c>
      <c r="C180" s="433">
        <v>4665927.07</v>
      </c>
      <c r="E180" s="432">
        <v>91811</v>
      </c>
      <c r="F180" s="432" t="b">
        <v>1</v>
      </c>
    </row>
    <row r="181" spans="1:6">
      <c r="A181" s="432">
        <v>91812</v>
      </c>
      <c r="B181" s="432" t="s">
        <v>900</v>
      </c>
      <c r="C181" s="433">
        <v>79575.360000000015</v>
      </c>
      <c r="E181" s="432">
        <v>91812</v>
      </c>
      <c r="F181" s="432" t="b">
        <v>1</v>
      </c>
    </row>
    <row r="182" spans="1:6">
      <c r="A182" s="432">
        <v>91813</v>
      </c>
      <c r="B182" s="432" t="s">
        <v>901</v>
      </c>
      <c r="C182" s="433">
        <v>61877.51999999999</v>
      </c>
      <c r="E182" s="432">
        <v>91813</v>
      </c>
      <c r="F182" s="432" t="b">
        <v>1</v>
      </c>
    </row>
    <row r="183" spans="1:6">
      <c r="A183" s="432">
        <v>91818</v>
      </c>
      <c r="B183" s="432" t="s">
        <v>902</v>
      </c>
      <c r="C183" s="433">
        <v>599993.26</v>
      </c>
      <c r="E183" s="432">
        <v>91818</v>
      </c>
      <c r="F183" s="432" t="b">
        <v>1</v>
      </c>
    </row>
    <row r="184" spans="1:6">
      <c r="A184" s="432">
        <v>91819</v>
      </c>
      <c r="B184" s="432" t="s">
        <v>903</v>
      </c>
      <c r="C184" s="433">
        <v>352738.24</v>
      </c>
      <c r="E184" s="432">
        <v>91819</v>
      </c>
      <c r="F184" s="432" t="b">
        <v>1</v>
      </c>
    </row>
    <row r="185" spans="1:6">
      <c r="A185" s="432">
        <v>91821</v>
      </c>
      <c r="B185" s="432" t="s">
        <v>904</v>
      </c>
      <c r="C185" s="433">
        <v>232544.9</v>
      </c>
      <c r="E185" s="432">
        <v>91821</v>
      </c>
      <c r="F185" s="432" t="b">
        <v>1</v>
      </c>
    </row>
    <row r="186" spans="1:6">
      <c r="A186" s="432">
        <v>91831</v>
      </c>
      <c r="B186" s="432" t="s">
        <v>905</v>
      </c>
      <c r="C186" s="433">
        <v>557139.55000000005</v>
      </c>
      <c r="E186" s="432">
        <v>91831</v>
      </c>
      <c r="F186" s="432" t="b">
        <v>1</v>
      </c>
    </row>
    <row r="187" spans="1:6">
      <c r="A187" s="432">
        <v>91841</v>
      </c>
      <c r="B187" s="432" t="s">
        <v>906</v>
      </c>
      <c r="C187" s="433">
        <v>347088.89999999997</v>
      </c>
      <c r="E187" s="432">
        <v>91841</v>
      </c>
      <c r="F187" s="432" t="b">
        <v>1</v>
      </c>
    </row>
    <row r="188" spans="1:6">
      <c r="A188" s="432">
        <v>91851</v>
      </c>
      <c r="B188" s="432" t="s">
        <v>907</v>
      </c>
      <c r="C188" s="433">
        <v>848784.70999999985</v>
      </c>
      <c r="E188" s="432">
        <v>91851</v>
      </c>
      <c r="F188" s="432" t="b">
        <v>1</v>
      </c>
    </row>
    <row r="189" spans="1:6">
      <c r="A189" s="432">
        <v>91861</v>
      </c>
      <c r="B189" s="432" t="s">
        <v>908</v>
      </c>
      <c r="C189" s="433">
        <v>17009.820000000007</v>
      </c>
      <c r="E189" s="432">
        <v>91861</v>
      </c>
      <c r="F189" s="432" t="b">
        <v>1</v>
      </c>
    </row>
    <row r="190" spans="1:6">
      <c r="A190" s="432">
        <v>91871</v>
      </c>
      <c r="B190" s="432" t="s">
        <v>909</v>
      </c>
      <c r="C190" s="433">
        <v>1478749.1</v>
      </c>
      <c r="E190" s="432">
        <v>91871</v>
      </c>
      <c r="F190" s="432" t="b">
        <v>1</v>
      </c>
    </row>
    <row r="191" spans="1:6">
      <c r="A191" s="432">
        <v>91881</v>
      </c>
      <c r="B191" s="432" t="s">
        <v>910</v>
      </c>
      <c r="C191" s="433">
        <v>33517.770000000004</v>
      </c>
      <c r="E191" s="432">
        <v>91881</v>
      </c>
      <c r="F191" s="432" t="b">
        <v>1</v>
      </c>
    </row>
    <row r="192" spans="1:6">
      <c r="A192" s="432">
        <v>91901</v>
      </c>
      <c r="B192" s="432" t="s">
        <v>911</v>
      </c>
      <c r="C192" s="433">
        <v>5078854.0800000057</v>
      </c>
      <c r="E192" s="432">
        <v>91901</v>
      </c>
      <c r="F192" s="432" t="b">
        <v>1</v>
      </c>
    </row>
    <row r="193" spans="1:6">
      <c r="A193" s="432">
        <v>91903</v>
      </c>
      <c r="B193" s="432" t="s">
        <v>912</v>
      </c>
      <c r="C193" s="433">
        <v>8805.2699999999986</v>
      </c>
      <c r="E193" s="432">
        <v>91903</v>
      </c>
      <c r="F193" s="432" t="b">
        <v>1</v>
      </c>
    </row>
    <row r="194" spans="1:6">
      <c r="A194" s="432">
        <v>91904</v>
      </c>
      <c r="B194" s="432" t="s">
        <v>913</v>
      </c>
      <c r="C194" s="433">
        <v>70244.05</v>
      </c>
      <c r="E194" s="432">
        <v>91904</v>
      </c>
      <c r="F194" s="432" t="b">
        <v>1</v>
      </c>
    </row>
    <row r="195" spans="1:6">
      <c r="A195" s="432">
        <v>91908</v>
      </c>
      <c r="B195" s="432" t="s">
        <v>914</v>
      </c>
      <c r="C195" s="433">
        <v>16532.16</v>
      </c>
      <c r="E195" s="432">
        <v>91908</v>
      </c>
      <c r="F195" s="432" t="b">
        <v>1</v>
      </c>
    </row>
    <row r="196" spans="1:6">
      <c r="A196" s="432">
        <v>91911</v>
      </c>
      <c r="B196" s="432" t="s">
        <v>915</v>
      </c>
      <c r="C196" s="433">
        <v>631938.93000000005</v>
      </c>
      <c r="E196" s="432">
        <v>91911</v>
      </c>
      <c r="F196" s="432" t="b">
        <v>1</v>
      </c>
    </row>
    <row r="197" spans="1:6">
      <c r="A197" s="432">
        <v>91917</v>
      </c>
      <c r="B197" s="432" t="s">
        <v>916</v>
      </c>
      <c r="C197" s="433">
        <v>22930.21</v>
      </c>
      <c r="E197" s="432">
        <v>91917</v>
      </c>
      <c r="F197" s="432" t="b">
        <v>1</v>
      </c>
    </row>
    <row r="198" spans="1:6">
      <c r="A198" s="432">
        <v>91921</v>
      </c>
      <c r="B198" s="432" t="s">
        <v>917</v>
      </c>
      <c r="C198" s="433">
        <v>530671.48</v>
      </c>
      <c r="E198" s="432">
        <v>91921</v>
      </c>
      <c r="F198" s="432" t="b">
        <v>1</v>
      </c>
    </row>
    <row r="199" spans="1:6">
      <c r="A199" s="432">
        <v>92001</v>
      </c>
      <c r="B199" s="432" t="s">
        <v>918</v>
      </c>
      <c r="C199" s="433">
        <v>2076657.2300000002</v>
      </c>
      <c r="E199" s="432">
        <v>92001</v>
      </c>
      <c r="F199" s="432" t="b">
        <v>1</v>
      </c>
    </row>
    <row r="200" spans="1:6">
      <c r="A200" s="432">
        <v>92005</v>
      </c>
      <c r="B200" s="432" t="s">
        <v>919</v>
      </c>
      <c r="C200" s="433">
        <v>45593.25</v>
      </c>
      <c r="E200" s="432">
        <v>92005</v>
      </c>
      <c r="F200" s="432" t="b">
        <v>1</v>
      </c>
    </row>
    <row r="201" spans="1:6">
      <c r="A201" s="432">
        <v>92011</v>
      </c>
      <c r="B201" s="432" t="s">
        <v>920</v>
      </c>
      <c r="C201" s="433">
        <v>220161.08</v>
      </c>
      <c r="E201" s="432">
        <v>92011</v>
      </c>
      <c r="F201" s="432" t="b">
        <v>1</v>
      </c>
    </row>
    <row r="202" spans="1:6">
      <c r="A202" s="432">
        <v>92017</v>
      </c>
      <c r="B202" s="432" t="s">
        <v>921</v>
      </c>
      <c r="C202" s="433">
        <v>46013.02</v>
      </c>
      <c r="E202" s="432">
        <v>92017</v>
      </c>
      <c r="F202" s="432" t="b">
        <v>1</v>
      </c>
    </row>
    <row r="203" spans="1:6">
      <c r="A203" s="432">
        <v>92021</v>
      </c>
      <c r="B203" s="432" t="s">
        <v>922</v>
      </c>
      <c r="C203" s="433">
        <v>163738.85</v>
      </c>
      <c r="E203" s="432">
        <v>92021</v>
      </c>
      <c r="F203" s="432" t="b">
        <v>1</v>
      </c>
    </row>
    <row r="204" spans="1:6">
      <c r="A204" s="432">
        <v>92101</v>
      </c>
      <c r="B204" s="432" t="s">
        <v>923</v>
      </c>
      <c r="C204" s="433">
        <v>890481.15999999992</v>
      </c>
      <c r="E204" s="432">
        <v>92101</v>
      </c>
      <c r="F204" s="432" t="b">
        <v>1</v>
      </c>
    </row>
    <row r="205" spans="1:6">
      <c r="A205" s="432">
        <v>92104</v>
      </c>
      <c r="B205" s="432" t="s">
        <v>924</v>
      </c>
      <c r="C205" s="433">
        <v>12776.759999999997</v>
      </c>
      <c r="E205" s="432">
        <v>92104</v>
      </c>
      <c r="F205" s="432" t="b">
        <v>1</v>
      </c>
    </row>
    <row r="206" spans="1:6">
      <c r="A206" s="432">
        <v>92109</v>
      </c>
      <c r="B206" s="432" t="s">
        <v>925</v>
      </c>
      <c r="C206" s="433">
        <v>221967.2</v>
      </c>
      <c r="E206" s="432">
        <v>92109</v>
      </c>
      <c r="F206" s="432" t="b">
        <v>1</v>
      </c>
    </row>
    <row r="207" spans="1:6">
      <c r="A207" s="432">
        <v>92111</v>
      </c>
      <c r="B207" s="432" t="s">
        <v>926</v>
      </c>
      <c r="C207" s="433">
        <v>611945.24999999988</v>
      </c>
      <c r="E207" s="432">
        <v>92111</v>
      </c>
      <c r="F207" s="432" t="b">
        <v>1</v>
      </c>
    </row>
    <row r="208" spans="1:6">
      <c r="A208" s="432">
        <v>92113</v>
      </c>
      <c r="B208" s="432" t="s">
        <v>927</v>
      </c>
      <c r="C208" s="433">
        <v>21503.61</v>
      </c>
      <c r="E208" s="432">
        <v>92113</v>
      </c>
      <c r="F208" s="432" t="b">
        <v>1</v>
      </c>
    </row>
    <row r="209" spans="1:6">
      <c r="A209" s="432">
        <v>92201</v>
      </c>
      <c r="B209" s="432" t="s">
        <v>928</v>
      </c>
      <c r="C209" s="433">
        <v>1267369.4699999995</v>
      </c>
      <c r="E209" s="432">
        <v>92201</v>
      </c>
      <c r="F209" s="432" t="b">
        <v>1</v>
      </c>
    </row>
    <row r="210" spans="1:6">
      <c r="A210" s="432">
        <v>92214</v>
      </c>
      <c r="B210" s="432" t="s">
        <v>1925</v>
      </c>
      <c r="C210" s="433">
        <v>31610.830000000005</v>
      </c>
      <c r="E210" s="432">
        <v>92214</v>
      </c>
      <c r="F210" s="432" t="b">
        <v>1</v>
      </c>
    </row>
    <row r="211" spans="1:6">
      <c r="A211" s="432">
        <v>92301</v>
      </c>
      <c r="B211" s="432" t="s">
        <v>929</v>
      </c>
      <c r="C211" s="433">
        <v>6601090.3300000001</v>
      </c>
      <c r="E211" s="432">
        <v>92301</v>
      </c>
      <c r="F211" s="432" t="b">
        <v>1</v>
      </c>
    </row>
    <row r="212" spans="1:6">
      <c r="A212" s="432">
        <v>92302</v>
      </c>
      <c r="B212" s="432" t="s">
        <v>930</v>
      </c>
      <c r="C212" s="433">
        <v>319087.52</v>
      </c>
      <c r="E212" s="432">
        <v>92302</v>
      </c>
      <c r="F212" s="432" t="b">
        <v>1</v>
      </c>
    </row>
    <row r="213" spans="1:6">
      <c r="A213" s="432">
        <v>92311</v>
      </c>
      <c r="B213" s="432" t="s">
        <v>931</v>
      </c>
      <c r="C213" s="433">
        <v>2559309.54</v>
      </c>
      <c r="E213" s="432">
        <v>92311</v>
      </c>
      <c r="F213" s="432" t="b">
        <v>1</v>
      </c>
    </row>
    <row r="214" spans="1:6">
      <c r="A214" s="432">
        <v>92317</v>
      </c>
      <c r="B214" s="432" t="s">
        <v>932</v>
      </c>
      <c r="C214" s="433">
        <v>61680.28</v>
      </c>
      <c r="E214" s="432">
        <v>92317</v>
      </c>
      <c r="F214" s="432" t="b">
        <v>1</v>
      </c>
    </row>
    <row r="215" spans="1:6">
      <c r="A215" s="432">
        <v>92321</v>
      </c>
      <c r="B215" s="432" t="s">
        <v>933</v>
      </c>
      <c r="C215" s="433">
        <v>1547734.5100000002</v>
      </c>
      <c r="E215" s="432">
        <v>92321</v>
      </c>
      <c r="F215" s="432" t="b">
        <v>1</v>
      </c>
    </row>
    <row r="216" spans="1:6">
      <c r="A216" s="432">
        <v>92327</v>
      </c>
      <c r="B216" s="432" t="s">
        <v>934</v>
      </c>
      <c r="C216" s="433">
        <v>21567.390000000003</v>
      </c>
      <c r="E216" s="432">
        <v>92327</v>
      </c>
      <c r="F216" s="432" t="b">
        <v>1</v>
      </c>
    </row>
    <row r="217" spans="1:6">
      <c r="A217" s="432">
        <v>92331</v>
      </c>
      <c r="B217" s="432" t="s">
        <v>935</v>
      </c>
      <c r="C217" s="433">
        <v>185883.25000000003</v>
      </c>
      <c r="E217" s="432">
        <v>92331</v>
      </c>
      <c r="F217" s="432" t="b">
        <v>1</v>
      </c>
    </row>
    <row r="218" spans="1:6">
      <c r="A218" s="432">
        <v>92341</v>
      </c>
      <c r="B218" s="432" t="s">
        <v>936</v>
      </c>
      <c r="C218" s="433">
        <v>6074.7300000000005</v>
      </c>
      <c r="E218" s="432">
        <v>92341</v>
      </c>
      <c r="F218" s="432" t="b">
        <v>1</v>
      </c>
    </row>
    <row r="219" spans="1:6">
      <c r="A219" s="432">
        <v>92351</v>
      </c>
      <c r="B219" s="432" t="s">
        <v>937</v>
      </c>
      <c r="C219" s="433">
        <v>36337.370000000003</v>
      </c>
      <c r="E219" s="432">
        <v>92351</v>
      </c>
      <c r="F219" s="432" t="b">
        <v>1</v>
      </c>
    </row>
    <row r="220" spans="1:6">
      <c r="A220" s="432">
        <v>92401</v>
      </c>
      <c r="B220" s="432" t="s">
        <v>938</v>
      </c>
      <c r="C220" s="433">
        <v>3444766.5100000016</v>
      </c>
      <c r="E220" s="432">
        <v>92401</v>
      </c>
      <c r="F220" s="432" t="b">
        <v>1</v>
      </c>
    </row>
    <row r="221" spans="1:6">
      <c r="A221" s="432">
        <v>92403</v>
      </c>
      <c r="B221" s="432" t="s">
        <v>939</v>
      </c>
      <c r="C221" s="433">
        <v>17477.2</v>
      </c>
      <c r="E221" s="432">
        <v>92403</v>
      </c>
      <c r="F221" s="432" t="b">
        <v>1</v>
      </c>
    </row>
    <row r="222" spans="1:6">
      <c r="A222" s="432">
        <v>92411</v>
      </c>
      <c r="B222" s="432" t="s">
        <v>940</v>
      </c>
      <c r="C222" s="433">
        <v>502463.05999999994</v>
      </c>
      <c r="E222" s="432">
        <v>92411</v>
      </c>
      <c r="F222" s="432" t="b">
        <v>1</v>
      </c>
    </row>
    <row r="223" spans="1:6">
      <c r="A223" s="432">
        <v>92417</v>
      </c>
      <c r="B223" s="432" t="s">
        <v>941</v>
      </c>
      <c r="C223" s="433">
        <v>12346.720000000001</v>
      </c>
      <c r="E223" s="432">
        <v>92417</v>
      </c>
      <c r="F223" s="432" t="b">
        <v>1</v>
      </c>
    </row>
    <row r="224" spans="1:6">
      <c r="A224" s="432">
        <v>92421</v>
      </c>
      <c r="B224" s="432" t="s">
        <v>942</v>
      </c>
      <c r="C224" s="433">
        <v>12208.079999999998</v>
      </c>
      <c r="E224" s="432">
        <v>92421</v>
      </c>
      <c r="F224" s="432" t="b">
        <v>1</v>
      </c>
    </row>
    <row r="225" spans="1:6">
      <c r="A225" s="432">
        <v>92427</v>
      </c>
      <c r="B225" s="432" t="s">
        <v>943</v>
      </c>
      <c r="C225" s="433">
        <v>3600.6699999999996</v>
      </c>
      <c r="E225" s="432">
        <v>92427</v>
      </c>
      <c r="F225" s="432" t="b">
        <v>1</v>
      </c>
    </row>
    <row r="226" spans="1:6">
      <c r="A226" s="432">
        <v>92431</v>
      </c>
      <c r="B226" s="432" t="s">
        <v>944</v>
      </c>
      <c r="C226" s="433">
        <v>21420.889999999996</v>
      </c>
      <c r="E226" s="432">
        <v>92431</v>
      </c>
      <c r="F226" s="432" t="b">
        <v>1</v>
      </c>
    </row>
    <row r="227" spans="1:6">
      <c r="A227" s="432">
        <v>92441</v>
      </c>
      <c r="B227" s="432" t="s">
        <v>945</v>
      </c>
      <c r="C227" s="433">
        <v>136675.99000000005</v>
      </c>
      <c r="E227" s="432">
        <v>92441</v>
      </c>
      <c r="F227" s="432" t="b">
        <v>1</v>
      </c>
    </row>
    <row r="228" spans="1:6">
      <c r="A228" s="432">
        <v>92444</v>
      </c>
      <c r="B228" s="432" t="s">
        <v>946</v>
      </c>
      <c r="C228" s="433">
        <v>8458.9699999999975</v>
      </c>
      <c r="E228" s="432">
        <v>92444</v>
      </c>
      <c r="F228" s="432" t="b">
        <v>1</v>
      </c>
    </row>
    <row r="229" spans="1:6">
      <c r="A229" s="432">
        <v>92451</v>
      </c>
      <c r="B229" s="432" t="s">
        <v>947</v>
      </c>
      <c r="C229" s="433">
        <v>171031.68000000002</v>
      </c>
      <c r="E229" s="432">
        <v>92451</v>
      </c>
      <c r="F229" s="432" t="b">
        <v>1</v>
      </c>
    </row>
    <row r="230" spans="1:6">
      <c r="A230" s="432">
        <v>92461</v>
      </c>
      <c r="B230" s="432" t="s">
        <v>948</v>
      </c>
      <c r="C230" s="433">
        <v>148361.61000000004</v>
      </c>
      <c r="E230" s="432">
        <v>92461</v>
      </c>
      <c r="F230" s="432" t="b">
        <v>1</v>
      </c>
    </row>
    <row r="231" spans="1:6">
      <c r="A231" s="432">
        <v>92501</v>
      </c>
      <c r="B231" s="432" t="s">
        <v>949</v>
      </c>
      <c r="C231" s="433">
        <v>4774904.509999997</v>
      </c>
      <c r="E231" s="432">
        <v>92501</v>
      </c>
      <c r="F231" s="432" t="b">
        <v>1</v>
      </c>
    </row>
    <row r="232" spans="1:6">
      <c r="A232" s="432">
        <v>92502</v>
      </c>
      <c r="B232" s="432" t="s">
        <v>950</v>
      </c>
      <c r="C232" s="433">
        <v>27263.219999999994</v>
      </c>
      <c r="E232" s="432">
        <v>92502</v>
      </c>
      <c r="F232" s="432" t="b">
        <v>1</v>
      </c>
    </row>
    <row r="233" spans="1:6">
      <c r="A233" s="432">
        <v>92504</v>
      </c>
      <c r="B233" s="432" t="s">
        <v>951</v>
      </c>
      <c r="C233" s="433">
        <v>141428.47</v>
      </c>
      <c r="E233" s="432">
        <v>92504</v>
      </c>
      <c r="F233" s="432" t="b">
        <v>1</v>
      </c>
    </row>
    <row r="234" spans="1:6">
      <c r="A234" s="432">
        <v>92505</v>
      </c>
      <c r="B234" s="432" t="s">
        <v>952</v>
      </c>
      <c r="C234" s="433">
        <v>138013.69</v>
      </c>
      <c r="E234" s="432">
        <v>92505</v>
      </c>
      <c r="F234" s="432" t="b">
        <v>1</v>
      </c>
    </row>
    <row r="235" spans="1:6">
      <c r="A235" s="432">
        <v>92506</v>
      </c>
      <c r="B235" s="432" t="s">
        <v>953</v>
      </c>
      <c r="C235" s="433">
        <v>95230.02</v>
      </c>
      <c r="E235" s="432">
        <v>92506</v>
      </c>
      <c r="F235" s="432" t="b">
        <v>1</v>
      </c>
    </row>
    <row r="236" spans="1:6">
      <c r="A236" s="432">
        <v>92507</v>
      </c>
      <c r="B236" s="432" t="s">
        <v>954</v>
      </c>
      <c r="C236" s="433">
        <v>120561.27999999998</v>
      </c>
      <c r="E236" s="432">
        <v>92507</v>
      </c>
      <c r="F236" s="432" t="b">
        <v>1</v>
      </c>
    </row>
    <row r="237" spans="1:6">
      <c r="A237" s="432">
        <v>92508</v>
      </c>
      <c r="B237" s="432" t="s">
        <v>955</v>
      </c>
      <c r="C237" s="433">
        <v>375783.47</v>
      </c>
      <c r="E237" s="432">
        <v>92508</v>
      </c>
      <c r="F237" s="432" t="b">
        <v>1</v>
      </c>
    </row>
    <row r="238" spans="1:6">
      <c r="A238" s="432">
        <v>92511</v>
      </c>
      <c r="B238" s="432" t="s">
        <v>956</v>
      </c>
      <c r="C238" s="433">
        <v>4197888.6100000003</v>
      </c>
      <c r="E238" s="432">
        <v>92511</v>
      </c>
      <c r="F238" s="432" t="b">
        <v>1</v>
      </c>
    </row>
    <row r="239" spans="1:6">
      <c r="A239" s="432">
        <v>92513</v>
      </c>
      <c r="B239" s="432" t="s">
        <v>957</v>
      </c>
      <c r="C239" s="433">
        <v>9628094.0199999996</v>
      </c>
      <c r="E239" s="432">
        <v>92513</v>
      </c>
      <c r="F239" s="432" t="b">
        <v>1</v>
      </c>
    </row>
    <row r="240" spans="1:6">
      <c r="A240" s="432">
        <v>92521</v>
      </c>
      <c r="B240" s="432" t="s">
        <v>958</v>
      </c>
      <c r="C240" s="433">
        <v>83047.010000000009</v>
      </c>
      <c r="E240" s="432">
        <v>92521</v>
      </c>
      <c r="F240" s="432" t="b">
        <v>1</v>
      </c>
    </row>
    <row r="241" spans="1:6">
      <c r="A241" s="432">
        <v>92531</v>
      </c>
      <c r="B241" s="432" t="s">
        <v>959</v>
      </c>
      <c r="C241" s="433">
        <v>922606.78000000014</v>
      </c>
      <c r="E241" s="432">
        <v>92531</v>
      </c>
      <c r="F241" s="432" t="b">
        <v>1</v>
      </c>
    </row>
    <row r="242" spans="1:6">
      <c r="A242" s="432">
        <v>92541</v>
      </c>
      <c r="B242" s="432" t="s">
        <v>960</v>
      </c>
      <c r="C242" s="433">
        <v>151266.59999999998</v>
      </c>
      <c r="E242" s="432">
        <v>92541</v>
      </c>
      <c r="F242" s="432" t="b">
        <v>1</v>
      </c>
    </row>
    <row r="243" spans="1:6">
      <c r="A243" s="432">
        <v>92551</v>
      </c>
      <c r="B243" s="432" t="s">
        <v>961</v>
      </c>
      <c r="C243" s="433">
        <v>51833.41</v>
      </c>
      <c r="E243" s="432">
        <v>92551</v>
      </c>
      <c r="F243" s="432" t="b">
        <v>1</v>
      </c>
    </row>
    <row r="244" spans="1:6">
      <c r="A244" s="432">
        <v>92561</v>
      </c>
      <c r="B244" s="432" t="s">
        <v>962</v>
      </c>
      <c r="C244" s="433">
        <v>16826.810000000001</v>
      </c>
      <c r="E244" s="432">
        <v>92561</v>
      </c>
      <c r="F244" s="432" t="b">
        <v>1</v>
      </c>
    </row>
    <row r="245" spans="1:6">
      <c r="A245" s="432">
        <v>92571</v>
      </c>
      <c r="B245" s="432" t="s">
        <v>963</v>
      </c>
      <c r="C245" s="433">
        <v>8926.9900000000016</v>
      </c>
      <c r="E245" s="432">
        <v>92571</v>
      </c>
      <c r="F245" s="432" t="b">
        <v>1</v>
      </c>
    </row>
    <row r="246" spans="1:6">
      <c r="A246" s="432">
        <v>92601</v>
      </c>
      <c r="B246" s="432" t="s">
        <v>964</v>
      </c>
      <c r="C246" s="433">
        <v>14502398.739999998</v>
      </c>
      <c r="E246" s="432">
        <v>92601</v>
      </c>
      <c r="F246" s="432" t="b">
        <v>1</v>
      </c>
    </row>
    <row r="247" spans="1:6">
      <c r="A247" s="432">
        <v>92602</v>
      </c>
      <c r="B247" s="432" t="s">
        <v>965</v>
      </c>
      <c r="C247" s="433">
        <v>4940.8</v>
      </c>
      <c r="E247" s="432">
        <v>92602</v>
      </c>
      <c r="F247" s="432" t="b">
        <v>1</v>
      </c>
    </row>
    <row r="248" spans="1:6">
      <c r="A248" s="432">
        <v>92604</v>
      </c>
      <c r="B248" s="432" t="s">
        <v>966</v>
      </c>
      <c r="C248" s="433">
        <v>368713.61999999988</v>
      </c>
      <c r="E248" s="432">
        <v>92604</v>
      </c>
      <c r="F248" s="432" t="b">
        <v>1</v>
      </c>
    </row>
    <row r="249" spans="1:6">
      <c r="A249" s="432">
        <v>92607</v>
      </c>
      <c r="B249" s="432" t="s">
        <v>967</v>
      </c>
      <c r="C249" s="433">
        <v>216179.37</v>
      </c>
      <c r="E249" s="432">
        <v>92607</v>
      </c>
      <c r="F249" s="432" t="b">
        <v>1</v>
      </c>
    </row>
    <row r="250" spans="1:6">
      <c r="A250" s="432">
        <v>92611</v>
      </c>
      <c r="B250" s="432" t="s">
        <v>969</v>
      </c>
      <c r="C250" s="433">
        <v>12513882.340000002</v>
      </c>
      <c r="E250" s="432">
        <v>92611</v>
      </c>
      <c r="F250" s="432" t="b">
        <v>1</v>
      </c>
    </row>
    <row r="251" spans="1:6">
      <c r="A251" s="432">
        <v>92613</v>
      </c>
      <c r="B251" s="432" t="s">
        <v>970</v>
      </c>
      <c r="C251" s="433">
        <v>274349.89999999997</v>
      </c>
      <c r="E251" s="432">
        <v>92613</v>
      </c>
      <c r="F251" s="432" t="b">
        <v>1</v>
      </c>
    </row>
    <row r="252" spans="1:6">
      <c r="A252" s="432">
        <v>92614</v>
      </c>
      <c r="B252" s="432" t="s">
        <v>971</v>
      </c>
      <c r="C252" s="433">
        <v>7827405.5700000003</v>
      </c>
      <c r="E252" s="432">
        <v>92614</v>
      </c>
      <c r="F252" s="432" t="b">
        <v>1</v>
      </c>
    </row>
    <row r="253" spans="1:6">
      <c r="A253" s="432">
        <v>92621</v>
      </c>
      <c r="B253" s="432" t="s">
        <v>972</v>
      </c>
      <c r="C253" s="433">
        <v>31580.659999999996</v>
      </c>
      <c r="E253" s="432">
        <v>92621</v>
      </c>
      <c r="F253" s="432" t="b">
        <v>1</v>
      </c>
    </row>
    <row r="254" spans="1:6">
      <c r="A254" s="432">
        <v>92631</v>
      </c>
      <c r="B254" s="432" t="s">
        <v>973</v>
      </c>
      <c r="C254" s="433">
        <v>951092.46999999986</v>
      </c>
      <c r="E254" s="432">
        <v>92631</v>
      </c>
      <c r="F254" s="432" t="b">
        <v>1</v>
      </c>
    </row>
    <row r="255" spans="1:6">
      <c r="A255" s="432">
        <v>92641</v>
      </c>
      <c r="B255" s="432" t="s">
        <v>974</v>
      </c>
      <c r="C255" s="433">
        <v>16295.38</v>
      </c>
      <c r="E255" s="432">
        <v>92641</v>
      </c>
      <c r="F255" s="432" t="b">
        <v>1</v>
      </c>
    </row>
    <row r="256" spans="1:6">
      <c r="A256" s="432">
        <v>92651</v>
      </c>
      <c r="B256" s="432" t="s">
        <v>975</v>
      </c>
      <c r="C256" s="433">
        <v>5661.94</v>
      </c>
      <c r="E256" s="432">
        <v>92651</v>
      </c>
      <c r="F256" s="432" t="b">
        <v>1</v>
      </c>
    </row>
    <row r="257" spans="1:6">
      <c r="A257" s="432">
        <v>92661</v>
      </c>
      <c r="B257" s="432" t="s">
        <v>976</v>
      </c>
      <c r="C257" s="433">
        <v>677109.6</v>
      </c>
      <c r="E257" s="432">
        <v>92661</v>
      </c>
      <c r="F257" s="432" t="b">
        <v>1</v>
      </c>
    </row>
    <row r="258" spans="1:6">
      <c r="A258" s="432">
        <v>92671</v>
      </c>
      <c r="B258" s="432" t="s">
        <v>977</v>
      </c>
      <c r="C258" s="433">
        <v>9458.02</v>
      </c>
      <c r="E258" s="432">
        <v>92671</v>
      </c>
      <c r="F258" s="432" t="b">
        <v>1</v>
      </c>
    </row>
    <row r="259" spans="1:6">
      <c r="A259" s="432">
        <v>92681</v>
      </c>
      <c r="B259" s="432" t="s">
        <v>978</v>
      </c>
      <c r="C259" s="433">
        <v>6454.7100000000019</v>
      </c>
      <c r="E259" s="432">
        <v>92681</v>
      </c>
      <c r="F259" s="432" t="b">
        <v>1</v>
      </c>
    </row>
    <row r="260" spans="1:6">
      <c r="A260" s="432">
        <v>92701</v>
      </c>
      <c r="B260" s="432" t="s">
        <v>979</v>
      </c>
      <c r="C260" s="433">
        <v>3309996.6500000027</v>
      </c>
      <c r="E260" s="432">
        <v>92701</v>
      </c>
      <c r="F260" s="432" t="b">
        <v>1</v>
      </c>
    </row>
    <row r="261" spans="1:6">
      <c r="A261" s="432">
        <v>92704</v>
      </c>
      <c r="B261" s="432" t="s">
        <v>980</v>
      </c>
      <c r="C261" s="433">
        <v>44058.67</v>
      </c>
      <c r="E261" s="432">
        <v>92704</v>
      </c>
      <c r="F261" s="432" t="b">
        <v>1</v>
      </c>
    </row>
    <row r="262" spans="1:6">
      <c r="A262" s="432">
        <v>92801</v>
      </c>
      <c r="B262" s="432" t="s">
        <v>981</v>
      </c>
      <c r="C262" s="433">
        <v>6145429.6899999985</v>
      </c>
      <c r="E262" s="432">
        <v>92801</v>
      </c>
      <c r="F262" s="432" t="b">
        <v>1</v>
      </c>
    </row>
    <row r="263" spans="1:6">
      <c r="A263" s="432">
        <v>92802</v>
      </c>
      <c r="B263" s="432" t="s">
        <v>982</v>
      </c>
      <c r="C263" s="433">
        <v>135528.98000000001</v>
      </c>
      <c r="E263" s="432">
        <v>92802</v>
      </c>
      <c r="F263" s="432" t="b">
        <v>1</v>
      </c>
    </row>
    <row r="264" spans="1:6">
      <c r="A264" s="432">
        <v>92804</v>
      </c>
      <c r="B264" s="432" t="s">
        <v>983</v>
      </c>
      <c r="C264" s="433">
        <v>166462.73000000001</v>
      </c>
      <c r="E264" s="432">
        <v>92804</v>
      </c>
      <c r="F264" s="432" t="b">
        <v>1</v>
      </c>
    </row>
    <row r="265" spans="1:6">
      <c r="A265" s="432">
        <v>92811</v>
      </c>
      <c r="B265" s="432" t="s">
        <v>984</v>
      </c>
      <c r="C265" s="433">
        <v>1161944.6900000004</v>
      </c>
      <c r="E265" s="432">
        <v>92811</v>
      </c>
      <c r="F265" s="432" t="b">
        <v>1</v>
      </c>
    </row>
    <row r="266" spans="1:6">
      <c r="A266" s="432">
        <v>92821</v>
      </c>
      <c r="B266" s="432" t="s">
        <v>985</v>
      </c>
      <c r="C266" s="433">
        <v>1279132.0999999999</v>
      </c>
      <c r="E266" s="432">
        <v>92821</v>
      </c>
      <c r="F266" s="432" t="b">
        <v>1</v>
      </c>
    </row>
    <row r="267" spans="1:6">
      <c r="A267" s="432">
        <v>92831</v>
      </c>
      <c r="B267" s="432" t="s">
        <v>986</v>
      </c>
      <c r="C267" s="433">
        <v>341087.49000000011</v>
      </c>
      <c r="E267" s="432">
        <v>92831</v>
      </c>
      <c r="F267" s="432" t="b">
        <v>1</v>
      </c>
    </row>
    <row r="268" spans="1:6">
      <c r="A268" s="432">
        <v>92841</v>
      </c>
      <c r="B268" s="432" t="s">
        <v>987</v>
      </c>
      <c r="C268" s="433">
        <v>289586.34999999998</v>
      </c>
      <c r="E268" s="432">
        <v>92841</v>
      </c>
      <c r="F268" s="432" t="b">
        <v>1</v>
      </c>
    </row>
    <row r="269" spans="1:6">
      <c r="A269" s="432">
        <v>92851</v>
      </c>
      <c r="B269" s="432" t="s">
        <v>988</v>
      </c>
      <c r="C269" s="433">
        <v>436142.82999999996</v>
      </c>
      <c r="E269" s="432">
        <v>92851</v>
      </c>
      <c r="F269" s="432" t="b">
        <v>1</v>
      </c>
    </row>
    <row r="270" spans="1:6">
      <c r="A270" s="432">
        <v>92861</v>
      </c>
      <c r="B270" s="432" t="s">
        <v>989</v>
      </c>
      <c r="C270" s="433">
        <v>417058.55</v>
      </c>
      <c r="E270" s="432">
        <v>92861</v>
      </c>
      <c r="F270" s="432" t="b">
        <v>1</v>
      </c>
    </row>
    <row r="271" spans="1:6">
      <c r="A271" s="432">
        <v>92901</v>
      </c>
      <c r="B271" s="432" t="s">
        <v>990</v>
      </c>
      <c r="C271" s="433">
        <v>6384635.0999999987</v>
      </c>
      <c r="E271" s="432">
        <v>92901</v>
      </c>
      <c r="F271" s="432" t="b">
        <v>1</v>
      </c>
    </row>
    <row r="272" spans="1:6">
      <c r="A272" s="432">
        <v>92911</v>
      </c>
      <c r="B272" s="432" t="s">
        <v>991</v>
      </c>
      <c r="C272" s="433">
        <v>2009679.1700000004</v>
      </c>
      <c r="E272" s="432">
        <v>92911</v>
      </c>
      <c r="F272" s="432" t="b">
        <v>1</v>
      </c>
    </row>
    <row r="273" spans="1:6">
      <c r="A273" s="432">
        <v>92913</v>
      </c>
      <c r="B273" s="432" t="s">
        <v>992</v>
      </c>
      <c r="C273" s="433">
        <v>55336.179999999993</v>
      </c>
      <c r="E273" s="432">
        <v>92913</v>
      </c>
      <c r="F273" s="432" t="b">
        <v>1</v>
      </c>
    </row>
    <row r="274" spans="1:6">
      <c r="A274" s="432">
        <v>92914</v>
      </c>
      <c r="B274" s="432" t="s">
        <v>993</v>
      </c>
      <c r="C274" s="433">
        <v>47107.439999999995</v>
      </c>
      <c r="E274" s="432">
        <v>92914</v>
      </c>
      <c r="F274" s="432" t="b">
        <v>1</v>
      </c>
    </row>
    <row r="275" spans="1:6">
      <c r="A275" s="432">
        <v>92917</v>
      </c>
      <c r="B275" s="432" t="s">
        <v>994</v>
      </c>
      <c r="C275" s="433">
        <v>58617.52</v>
      </c>
      <c r="E275" s="432">
        <v>92917</v>
      </c>
      <c r="F275" s="432" t="b">
        <v>1</v>
      </c>
    </row>
    <row r="276" spans="1:6">
      <c r="A276" s="432">
        <v>92921</v>
      </c>
      <c r="B276" s="432" t="s">
        <v>995</v>
      </c>
      <c r="C276" s="433">
        <v>129295.71999999999</v>
      </c>
      <c r="E276" s="432">
        <v>92921</v>
      </c>
      <c r="F276" s="432" t="b">
        <v>1</v>
      </c>
    </row>
    <row r="277" spans="1:6">
      <c r="A277" s="432">
        <v>92931</v>
      </c>
      <c r="B277" s="432" t="s">
        <v>996</v>
      </c>
      <c r="C277" s="433">
        <v>2748123.4099999992</v>
      </c>
      <c r="E277" s="432">
        <v>92931</v>
      </c>
      <c r="F277" s="432" t="b">
        <v>1</v>
      </c>
    </row>
    <row r="278" spans="1:6">
      <c r="A278" s="432">
        <v>92941</v>
      </c>
      <c r="B278" s="432" t="s">
        <v>81</v>
      </c>
      <c r="C278" s="433">
        <v>4679.5999999999995</v>
      </c>
      <c r="E278" s="432">
        <v>92941</v>
      </c>
      <c r="F278" s="432" t="b">
        <v>1</v>
      </c>
    </row>
    <row r="279" spans="1:6">
      <c r="A279" s="432">
        <v>93001</v>
      </c>
      <c r="B279" s="432" t="s">
        <v>997</v>
      </c>
      <c r="C279" s="433">
        <v>2730286.4899999998</v>
      </c>
      <c r="E279" s="432">
        <v>93001</v>
      </c>
      <c r="F279" s="432" t="b">
        <v>1</v>
      </c>
    </row>
    <row r="280" spans="1:6">
      <c r="A280" s="432">
        <v>93009</v>
      </c>
      <c r="B280" s="432" t="s">
        <v>998</v>
      </c>
      <c r="C280" s="433">
        <v>8694.2400000000016</v>
      </c>
      <c r="E280" s="432">
        <v>93009</v>
      </c>
      <c r="F280" s="432" t="b">
        <v>1</v>
      </c>
    </row>
    <row r="281" spans="1:6">
      <c r="A281" s="432">
        <v>93011</v>
      </c>
      <c r="B281" s="432" t="s">
        <v>999</v>
      </c>
      <c r="C281" s="433">
        <v>198350.90000000002</v>
      </c>
      <c r="E281" s="432">
        <v>93011</v>
      </c>
      <c r="F281" s="432" t="b">
        <v>1</v>
      </c>
    </row>
    <row r="282" spans="1:6">
      <c r="A282" s="432">
        <v>93021</v>
      </c>
      <c r="B282" s="432" t="s">
        <v>1000</v>
      </c>
      <c r="C282" s="433">
        <v>32689.96</v>
      </c>
      <c r="E282" s="432">
        <v>93021</v>
      </c>
      <c r="F282" s="432" t="b">
        <v>1</v>
      </c>
    </row>
    <row r="283" spans="1:6">
      <c r="A283" s="432">
        <v>93028</v>
      </c>
      <c r="B283" s="432" t="s">
        <v>3609</v>
      </c>
      <c r="C283" s="433">
        <v>17798.72</v>
      </c>
      <c r="E283" s="432">
        <v>93028</v>
      </c>
      <c r="F283" s="432" t="b">
        <v>1</v>
      </c>
    </row>
    <row r="284" spans="1:6">
      <c r="A284" s="432">
        <v>93031</v>
      </c>
      <c r="B284" s="432" t="s">
        <v>1002</v>
      </c>
      <c r="C284" s="433">
        <v>4965.84</v>
      </c>
      <c r="E284" s="432">
        <v>93031</v>
      </c>
      <c r="F284" s="432" t="b">
        <v>1</v>
      </c>
    </row>
    <row r="285" spans="1:6">
      <c r="A285" s="432">
        <v>93101</v>
      </c>
      <c r="B285" s="432" t="s">
        <v>1003</v>
      </c>
      <c r="C285" s="433">
        <v>3098703.0500000017</v>
      </c>
      <c r="E285" s="432">
        <v>93101</v>
      </c>
      <c r="F285" s="432" t="b">
        <v>1</v>
      </c>
    </row>
    <row r="286" spans="1:6">
      <c r="A286" s="432">
        <v>93108</v>
      </c>
      <c r="B286" s="432" t="s">
        <v>1004</v>
      </c>
      <c r="C286" s="433">
        <v>2969626.38</v>
      </c>
      <c r="E286" s="432">
        <v>93108</v>
      </c>
      <c r="F286" s="432" t="b">
        <v>1</v>
      </c>
    </row>
    <row r="287" spans="1:6">
      <c r="A287" s="432">
        <v>93111</v>
      </c>
      <c r="B287" s="432" t="s">
        <v>1005</v>
      </c>
      <c r="C287" s="433">
        <v>70618.87</v>
      </c>
      <c r="E287" s="432">
        <v>93111</v>
      </c>
      <c r="F287" s="432" t="b">
        <v>1</v>
      </c>
    </row>
    <row r="288" spans="1:6">
      <c r="A288" s="432">
        <v>93121</v>
      </c>
      <c r="B288" s="432" t="s">
        <v>1006</v>
      </c>
      <c r="C288" s="433">
        <v>61646.880000000005</v>
      </c>
      <c r="E288" s="432">
        <v>93121</v>
      </c>
      <c r="F288" s="432" t="b">
        <v>1</v>
      </c>
    </row>
    <row r="289" spans="1:6">
      <c r="A289" s="432">
        <v>93127</v>
      </c>
      <c r="B289" s="432" t="s">
        <v>1007</v>
      </c>
      <c r="C289" s="433">
        <v>9474.7899999999991</v>
      </c>
      <c r="E289" s="432">
        <v>93127</v>
      </c>
      <c r="F289" s="432" t="b">
        <v>1</v>
      </c>
    </row>
    <row r="290" spans="1:6">
      <c r="A290" s="432">
        <v>93131</v>
      </c>
      <c r="B290" s="432" t="s">
        <v>1008</v>
      </c>
      <c r="C290" s="433">
        <v>202188.47999999998</v>
      </c>
      <c r="E290" s="432">
        <v>93131</v>
      </c>
      <c r="F290" s="432" t="b">
        <v>1</v>
      </c>
    </row>
    <row r="291" spans="1:6">
      <c r="A291" s="432">
        <v>93137</v>
      </c>
      <c r="B291" s="432" t="s">
        <v>1009</v>
      </c>
      <c r="C291" s="433">
        <v>12392.56</v>
      </c>
      <c r="E291" s="432">
        <v>93137</v>
      </c>
      <c r="F291" s="432" t="b">
        <v>1</v>
      </c>
    </row>
    <row r="292" spans="1:6">
      <c r="A292" s="432">
        <v>93141</v>
      </c>
      <c r="B292" s="432" t="s">
        <v>1010</v>
      </c>
      <c r="C292" s="433">
        <v>49619.35</v>
      </c>
      <c r="E292" s="432">
        <v>93141</v>
      </c>
      <c r="F292" s="432" t="b">
        <v>1</v>
      </c>
    </row>
    <row r="293" spans="1:6">
      <c r="A293" s="432">
        <v>93151</v>
      </c>
      <c r="B293" s="432" t="s">
        <v>1011</v>
      </c>
      <c r="C293" s="433">
        <v>390830.46999999991</v>
      </c>
      <c r="E293" s="432">
        <v>93151</v>
      </c>
      <c r="F293" s="432" t="b">
        <v>1</v>
      </c>
    </row>
    <row r="294" spans="1:6">
      <c r="A294" s="432">
        <v>93157</v>
      </c>
      <c r="B294" s="432" t="s">
        <v>1012</v>
      </c>
      <c r="C294" s="433">
        <v>16922.29</v>
      </c>
      <c r="E294" s="432">
        <v>93157</v>
      </c>
      <c r="F294" s="432" t="b">
        <v>1</v>
      </c>
    </row>
    <row r="295" spans="1:6">
      <c r="A295" s="432">
        <v>93161</v>
      </c>
      <c r="B295" s="432" t="s">
        <v>1013</v>
      </c>
      <c r="C295" s="433">
        <v>83299.320000000007</v>
      </c>
      <c r="E295" s="432">
        <v>93161</v>
      </c>
      <c r="F295" s="432" t="b">
        <v>1</v>
      </c>
    </row>
    <row r="296" spans="1:6">
      <c r="A296" s="432">
        <v>93171</v>
      </c>
      <c r="B296" s="432" t="s">
        <v>1014</v>
      </c>
      <c r="C296" s="433">
        <v>15629.730000000003</v>
      </c>
      <c r="E296" s="432">
        <v>93171</v>
      </c>
      <c r="F296" s="432" t="b">
        <v>1</v>
      </c>
    </row>
    <row r="297" spans="1:6">
      <c r="A297" s="432">
        <v>93181</v>
      </c>
      <c r="B297" s="432" t="s">
        <v>1015</v>
      </c>
      <c r="C297" s="433">
        <v>16717.73</v>
      </c>
      <c r="E297" s="432">
        <v>93181</v>
      </c>
      <c r="F297" s="432" t="b">
        <v>1</v>
      </c>
    </row>
    <row r="298" spans="1:6">
      <c r="A298" s="432">
        <v>93191</v>
      </c>
      <c r="B298" s="432" t="s">
        <v>1016</v>
      </c>
      <c r="C298" s="433">
        <v>50972.709999999992</v>
      </c>
      <c r="E298" s="432">
        <v>93191</v>
      </c>
      <c r="F298" s="432" t="b">
        <v>1</v>
      </c>
    </row>
    <row r="299" spans="1:6">
      <c r="A299" s="432">
        <v>93201</v>
      </c>
      <c r="B299" s="432" t="s">
        <v>1017</v>
      </c>
      <c r="C299" s="433">
        <v>19301002.500000007</v>
      </c>
      <c r="E299" s="432">
        <v>93201</v>
      </c>
      <c r="F299" s="432" t="b">
        <v>1</v>
      </c>
    </row>
    <row r="300" spans="1:6">
      <c r="A300" s="432">
        <v>93204</v>
      </c>
      <c r="B300" s="432" t="s">
        <v>1019</v>
      </c>
      <c r="C300" s="433">
        <v>409168.01</v>
      </c>
      <c r="E300" s="432">
        <v>93204</v>
      </c>
      <c r="F300" s="432" t="b">
        <v>1</v>
      </c>
    </row>
    <row r="301" spans="1:6">
      <c r="A301" s="432">
        <v>93209</v>
      </c>
      <c r="B301" s="432" t="s">
        <v>3722</v>
      </c>
      <c r="C301" s="433">
        <v>11739026.690000001</v>
      </c>
      <c r="E301" s="432">
        <v>93209</v>
      </c>
      <c r="F301" s="432" t="b">
        <v>1</v>
      </c>
    </row>
    <row r="302" spans="1:6">
      <c r="A302" s="432">
        <v>93211</v>
      </c>
      <c r="B302" s="432" t="s">
        <v>1021</v>
      </c>
      <c r="C302" s="433">
        <v>23817229.359999999</v>
      </c>
      <c r="E302" s="432">
        <v>93211</v>
      </c>
      <c r="F302" s="432" t="b">
        <v>1</v>
      </c>
    </row>
    <row r="303" spans="1:6">
      <c r="A303" s="432">
        <v>93212</v>
      </c>
      <c r="B303" s="432" t="s">
        <v>1022</v>
      </c>
      <c r="C303" s="433">
        <v>381759.19999999995</v>
      </c>
      <c r="E303" s="432">
        <v>93212</v>
      </c>
      <c r="F303" s="432" t="b">
        <v>1</v>
      </c>
    </row>
    <row r="304" spans="1:6">
      <c r="A304" s="432">
        <v>93219</v>
      </c>
      <c r="B304" s="432" t="s">
        <v>1023</v>
      </c>
      <c r="C304" s="433">
        <v>475224.8</v>
      </c>
      <c r="E304" s="432">
        <v>93219</v>
      </c>
      <c r="F304" s="432" t="b">
        <v>1</v>
      </c>
    </row>
    <row r="305" spans="1:6">
      <c r="A305" s="432">
        <v>93301</v>
      </c>
      <c r="B305" s="432" t="s">
        <v>1024</v>
      </c>
      <c r="C305" s="433">
        <v>2782333.9300000011</v>
      </c>
      <c r="E305" s="432">
        <v>93301</v>
      </c>
      <c r="F305" s="432" t="b">
        <v>1</v>
      </c>
    </row>
    <row r="306" spans="1:6">
      <c r="A306" s="432">
        <v>93304</v>
      </c>
      <c r="B306" s="432" t="s">
        <v>1025</v>
      </c>
      <c r="C306" s="433">
        <v>43250.13</v>
      </c>
      <c r="E306" s="432">
        <v>93304</v>
      </c>
      <c r="F306" s="432" t="b">
        <v>1</v>
      </c>
    </row>
    <row r="307" spans="1:6">
      <c r="A307" s="432">
        <v>93305</v>
      </c>
      <c r="B307" s="432" t="s">
        <v>1026</v>
      </c>
      <c r="C307" s="433">
        <v>36917.69</v>
      </c>
      <c r="E307" s="432">
        <v>93305</v>
      </c>
      <c r="F307" s="432" t="b">
        <v>1</v>
      </c>
    </row>
    <row r="308" spans="1:6">
      <c r="A308" s="432">
        <v>93309</v>
      </c>
      <c r="B308" s="432" t="s">
        <v>1027</v>
      </c>
      <c r="C308" s="433">
        <v>217095.74</v>
      </c>
      <c r="E308" s="432">
        <v>93309</v>
      </c>
      <c r="F308" s="432" t="b">
        <v>1</v>
      </c>
    </row>
    <row r="309" spans="1:6">
      <c r="A309" s="432">
        <v>93311</v>
      </c>
      <c r="B309" s="432" t="s">
        <v>1028</v>
      </c>
      <c r="C309" s="433">
        <v>1276188.6099999999</v>
      </c>
      <c r="E309" s="432">
        <v>93311</v>
      </c>
      <c r="F309" s="432" t="b">
        <v>1</v>
      </c>
    </row>
    <row r="310" spans="1:6">
      <c r="A310" s="432">
        <v>93317</v>
      </c>
      <c r="B310" s="432" t="s">
        <v>1029</v>
      </c>
      <c r="C310" s="433">
        <v>51879.87</v>
      </c>
      <c r="E310" s="432">
        <v>93317</v>
      </c>
      <c r="F310" s="432" t="b">
        <v>1</v>
      </c>
    </row>
    <row r="311" spans="1:6">
      <c r="A311" s="432">
        <v>93321</v>
      </c>
      <c r="B311" s="432" t="s">
        <v>1030</v>
      </c>
      <c r="C311" s="433">
        <v>8096332.290000001</v>
      </c>
      <c r="E311" s="432">
        <v>93321</v>
      </c>
      <c r="F311" s="432" t="b">
        <v>1</v>
      </c>
    </row>
    <row r="312" spans="1:6">
      <c r="A312" s="432">
        <v>93323</v>
      </c>
      <c r="B312" s="432" t="s">
        <v>1031</v>
      </c>
      <c r="C312" s="433">
        <v>45019.15</v>
      </c>
      <c r="E312" s="432">
        <v>93323</v>
      </c>
      <c r="F312" s="432" t="b">
        <v>1</v>
      </c>
    </row>
    <row r="313" spans="1:6">
      <c r="A313" s="432">
        <v>93331</v>
      </c>
      <c r="B313" s="432" t="s">
        <v>1032</v>
      </c>
      <c r="C313" s="433">
        <v>116899.98000000003</v>
      </c>
      <c r="E313" s="432">
        <v>93331</v>
      </c>
      <c r="F313" s="432" t="b">
        <v>1</v>
      </c>
    </row>
    <row r="314" spans="1:6">
      <c r="A314" s="432">
        <v>93333</v>
      </c>
      <c r="B314" s="432" t="s">
        <v>1033</v>
      </c>
      <c r="C314" s="433">
        <v>257450.08999999997</v>
      </c>
      <c r="E314" s="432">
        <v>93333</v>
      </c>
      <c r="F314" s="432" t="b">
        <v>1</v>
      </c>
    </row>
    <row r="315" spans="1:6">
      <c r="A315" s="432">
        <v>93341</v>
      </c>
      <c r="B315" s="432" t="s">
        <v>1034</v>
      </c>
      <c r="C315" s="433">
        <v>36875.19</v>
      </c>
      <c r="E315" s="432">
        <v>93341</v>
      </c>
      <c r="F315" s="432" t="b">
        <v>1</v>
      </c>
    </row>
    <row r="316" spans="1:6">
      <c r="A316" s="432">
        <v>93351</v>
      </c>
      <c r="B316" s="432" t="s">
        <v>1035</v>
      </c>
      <c r="C316" s="433">
        <v>21722.720000000001</v>
      </c>
      <c r="E316" s="432">
        <v>93351</v>
      </c>
      <c r="F316" s="432" t="b">
        <v>1</v>
      </c>
    </row>
    <row r="317" spans="1:6">
      <c r="A317" s="432">
        <v>93401</v>
      </c>
      <c r="B317" s="432" t="s">
        <v>1036</v>
      </c>
      <c r="C317" s="433">
        <v>16185454.489999998</v>
      </c>
      <c r="E317" s="432">
        <v>93401</v>
      </c>
      <c r="F317" s="432" t="b">
        <v>1</v>
      </c>
    </row>
    <row r="318" spans="1:6">
      <c r="A318" s="432">
        <v>93406</v>
      </c>
      <c r="B318" s="432" t="s">
        <v>1038</v>
      </c>
      <c r="C318" s="433">
        <v>694270.22</v>
      </c>
      <c r="E318" s="432">
        <v>93406</v>
      </c>
      <c r="F318" s="432" t="b">
        <v>1</v>
      </c>
    </row>
    <row r="319" spans="1:6">
      <c r="A319" s="432">
        <v>93411</v>
      </c>
      <c r="B319" s="432" t="s">
        <v>1040</v>
      </c>
      <c r="C319" s="433">
        <v>19173353.23</v>
      </c>
      <c r="E319" s="432">
        <v>93411</v>
      </c>
      <c r="F319" s="432" t="b">
        <v>1</v>
      </c>
    </row>
    <row r="320" spans="1:6">
      <c r="A320" s="432">
        <v>93413</v>
      </c>
      <c r="B320" s="432" t="s">
        <v>1041</v>
      </c>
      <c r="C320" s="433">
        <v>660180.34</v>
      </c>
      <c r="E320" s="432">
        <v>93413</v>
      </c>
      <c r="F320" s="432" t="b">
        <v>1</v>
      </c>
    </row>
    <row r="321" spans="1:6">
      <c r="A321" s="432">
        <v>93417</v>
      </c>
      <c r="B321" s="432" t="s">
        <v>1042</v>
      </c>
      <c r="C321" s="433">
        <v>394884.79999999993</v>
      </c>
      <c r="E321" s="432">
        <v>93417</v>
      </c>
      <c r="F321" s="432" t="b">
        <v>1</v>
      </c>
    </row>
    <row r="322" spans="1:6">
      <c r="A322" s="432">
        <v>93421</v>
      </c>
      <c r="B322" s="432" t="s">
        <v>1043</v>
      </c>
      <c r="C322" s="433">
        <v>2228162.27</v>
      </c>
      <c r="E322" s="432">
        <v>93421</v>
      </c>
      <c r="F322" s="432" t="b">
        <v>1</v>
      </c>
    </row>
    <row r="323" spans="1:6">
      <c r="A323" s="432">
        <v>93431</v>
      </c>
      <c r="B323" s="432" t="s">
        <v>1044</v>
      </c>
      <c r="C323" s="433">
        <v>145543.95000000001</v>
      </c>
      <c r="E323" s="432">
        <v>93431</v>
      </c>
      <c r="F323" s="432" t="b">
        <v>1</v>
      </c>
    </row>
    <row r="324" spans="1:6">
      <c r="A324" s="432">
        <v>93441</v>
      </c>
      <c r="B324" s="432" t="s">
        <v>1045</v>
      </c>
      <c r="C324" s="433">
        <v>186946.06</v>
      </c>
      <c r="E324" s="432">
        <v>93441</v>
      </c>
      <c r="F324" s="432" t="b">
        <v>1</v>
      </c>
    </row>
    <row r="325" spans="1:6">
      <c r="A325" s="432">
        <v>93442</v>
      </c>
      <c r="B325" s="432" t="s">
        <v>1046</v>
      </c>
      <c r="C325" s="433">
        <v>186624.87</v>
      </c>
      <c r="E325" s="432">
        <v>93442</v>
      </c>
      <c r="F325" s="432" t="b">
        <v>1</v>
      </c>
    </row>
    <row r="326" spans="1:6">
      <c r="A326" s="432">
        <v>93451</v>
      </c>
      <c r="B326" s="432" t="s">
        <v>1047</v>
      </c>
      <c r="C326" s="433">
        <v>123972.32999999999</v>
      </c>
      <c r="E326" s="432">
        <v>93451</v>
      </c>
      <c r="F326" s="432" t="b">
        <v>1</v>
      </c>
    </row>
    <row r="327" spans="1:6">
      <c r="A327" s="432">
        <v>93461</v>
      </c>
      <c r="B327" s="432" t="s">
        <v>1048</v>
      </c>
      <c r="C327" s="433">
        <v>16637.759999999998</v>
      </c>
      <c r="E327" s="432">
        <v>93461</v>
      </c>
      <c r="F327" s="432" t="b">
        <v>1</v>
      </c>
    </row>
    <row r="328" spans="1:6">
      <c r="A328" s="432">
        <v>93471</v>
      </c>
      <c r="B328" s="432" t="s">
        <v>1049</v>
      </c>
      <c r="C328" s="433">
        <v>21629.24</v>
      </c>
      <c r="E328" s="432">
        <v>93471</v>
      </c>
      <c r="F328" s="432" t="b">
        <v>1</v>
      </c>
    </row>
    <row r="329" spans="1:6">
      <c r="A329" s="432">
        <v>93501</v>
      </c>
      <c r="B329" s="432" t="s">
        <v>1050</v>
      </c>
      <c r="C329" s="433">
        <v>4326806.4899999993</v>
      </c>
      <c r="E329" s="432">
        <v>93501</v>
      </c>
      <c r="F329" s="432" t="b">
        <v>1</v>
      </c>
    </row>
    <row r="330" spans="1:6">
      <c r="A330" s="432">
        <v>93511</v>
      </c>
      <c r="B330" s="432" t="s">
        <v>1051</v>
      </c>
      <c r="C330" s="433">
        <v>120642.83999999998</v>
      </c>
      <c r="E330" s="432">
        <v>93511</v>
      </c>
      <c r="F330" s="432" t="b">
        <v>1</v>
      </c>
    </row>
    <row r="331" spans="1:6">
      <c r="A331" s="432">
        <v>93517</v>
      </c>
      <c r="B331" s="432" t="s">
        <v>1052</v>
      </c>
      <c r="C331" s="433">
        <v>14255.759999999997</v>
      </c>
      <c r="E331" s="432">
        <v>93517</v>
      </c>
      <c r="F331" s="432" t="b">
        <v>1</v>
      </c>
    </row>
    <row r="332" spans="1:6">
      <c r="A332" s="432">
        <v>93521</v>
      </c>
      <c r="B332" s="432" t="s">
        <v>1053</v>
      </c>
      <c r="C332" s="433">
        <v>513974.36</v>
      </c>
      <c r="E332" s="432">
        <v>93521</v>
      </c>
      <c r="F332" s="432" t="b">
        <v>1</v>
      </c>
    </row>
    <row r="333" spans="1:6">
      <c r="A333" s="432">
        <v>93527</v>
      </c>
      <c r="B333" s="432" t="s">
        <v>1054</v>
      </c>
      <c r="C333" s="433">
        <v>18773.98</v>
      </c>
      <c r="E333" s="432">
        <v>93527</v>
      </c>
      <c r="F333" s="432" t="b">
        <v>1</v>
      </c>
    </row>
    <row r="334" spans="1:6">
      <c r="A334" s="432">
        <v>93531</v>
      </c>
      <c r="B334" s="432" t="s">
        <v>1055</v>
      </c>
      <c r="C334" s="433">
        <v>31189.96000000001</v>
      </c>
      <c r="E334" s="432">
        <v>93531</v>
      </c>
      <c r="F334" s="432" t="b">
        <v>1</v>
      </c>
    </row>
    <row r="335" spans="1:6">
      <c r="A335" s="432">
        <v>93537</v>
      </c>
      <c r="B335" s="432" t="s">
        <v>1056</v>
      </c>
      <c r="C335" s="433">
        <v>7663.21</v>
      </c>
      <c r="E335" s="432">
        <v>93537</v>
      </c>
      <c r="F335" s="432" t="b">
        <v>1</v>
      </c>
    </row>
    <row r="336" spans="1:6">
      <c r="A336" s="432">
        <v>93541</v>
      </c>
      <c r="B336" s="432" t="s">
        <v>1057</v>
      </c>
      <c r="C336" s="433">
        <v>214112.9</v>
      </c>
      <c r="E336" s="432">
        <v>93541</v>
      </c>
      <c r="F336" s="432" t="b">
        <v>1</v>
      </c>
    </row>
    <row r="337" spans="1:6">
      <c r="A337" s="432">
        <v>93601</v>
      </c>
      <c r="B337" s="432" t="s">
        <v>1058</v>
      </c>
      <c r="C337" s="433">
        <v>15029696.249999998</v>
      </c>
      <c r="E337" s="432">
        <v>93601</v>
      </c>
      <c r="F337" s="432" t="b">
        <v>1</v>
      </c>
    </row>
    <row r="338" spans="1:6">
      <c r="A338" s="432">
        <v>93602</v>
      </c>
      <c r="B338" s="432" t="s">
        <v>1059</v>
      </c>
      <c r="C338" s="433">
        <v>262969.27999999997</v>
      </c>
      <c r="E338" s="432">
        <v>93602</v>
      </c>
      <c r="F338" s="432" t="b">
        <v>1</v>
      </c>
    </row>
    <row r="339" spans="1:6">
      <c r="A339" s="432">
        <v>93604</v>
      </c>
      <c r="B339" s="432" t="s">
        <v>1926</v>
      </c>
      <c r="C339" s="433">
        <v>27485.859999999993</v>
      </c>
      <c r="E339" s="432">
        <v>93604</v>
      </c>
      <c r="F339" s="432" t="b">
        <v>1</v>
      </c>
    </row>
    <row r="340" spans="1:6">
      <c r="A340" s="432">
        <v>93609</v>
      </c>
      <c r="B340" s="432" t="s">
        <v>1060</v>
      </c>
      <c r="C340" s="433">
        <v>8076471.9000000004</v>
      </c>
      <c r="E340" s="432">
        <v>93609</v>
      </c>
      <c r="F340" s="432" t="b">
        <v>1</v>
      </c>
    </row>
    <row r="341" spans="1:6">
      <c r="A341" s="432">
        <v>93610</v>
      </c>
      <c r="B341" s="432" t="s">
        <v>1061</v>
      </c>
      <c r="C341" s="433">
        <v>17383.89</v>
      </c>
      <c r="E341" s="432">
        <v>93610</v>
      </c>
      <c r="F341" s="432" t="b">
        <v>1</v>
      </c>
    </row>
    <row r="342" spans="1:6">
      <c r="A342" s="432">
        <v>93611</v>
      </c>
      <c r="B342" s="432" t="s">
        <v>1062</v>
      </c>
      <c r="C342" s="433">
        <v>7763804.2099999981</v>
      </c>
      <c r="E342" s="432">
        <v>93611</v>
      </c>
      <c r="F342" s="432" t="b">
        <v>1</v>
      </c>
    </row>
    <row r="343" spans="1:6">
      <c r="A343" s="432">
        <v>93617</v>
      </c>
      <c r="B343" s="432" t="s">
        <v>1063</v>
      </c>
      <c r="C343" s="433">
        <v>143024.64000000001</v>
      </c>
      <c r="E343" s="432">
        <v>93617</v>
      </c>
      <c r="F343" s="432" t="b">
        <v>1</v>
      </c>
    </row>
    <row r="344" spans="1:6">
      <c r="A344" s="432">
        <v>93618</v>
      </c>
      <c r="B344" s="432" t="s">
        <v>1064</v>
      </c>
      <c r="C344" s="433">
        <v>28193.940000000002</v>
      </c>
      <c r="E344" s="432">
        <v>93618</v>
      </c>
      <c r="F344" s="432" t="b">
        <v>1</v>
      </c>
    </row>
    <row r="345" spans="1:6">
      <c r="A345" s="432">
        <v>93621</v>
      </c>
      <c r="B345" s="432" t="s">
        <v>1065</v>
      </c>
      <c r="C345" s="433">
        <v>1366978.61</v>
      </c>
      <c r="E345" s="432">
        <v>93621</v>
      </c>
      <c r="F345" s="432" t="b">
        <v>1</v>
      </c>
    </row>
    <row r="346" spans="1:6">
      <c r="A346" s="432">
        <v>93623</v>
      </c>
      <c r="B346" s="432" t="s">
        <v>1066</v>
      </c>
      <c r="C346" s="433">
        <v>15907.36</v>
      </c>
      <c r="E346" s="432">
        <v>93623</v>
      </c>
      <c r="F346" s="432" t="b">
        <v>1</v>
      </c>
    </row>
    <row r="347" spans="1:6">
      <c r="A347" s="432">
        <v>93631</v>
      </c>
      <c r="B347" s="432" t="s">
        <v>1067</v>
      </c>
      <c r="C347" s="433">
        <v>348107.86000000004</v>
      </c>
      <c r="E347" s="432">
        <v>93631</v>
      </c>
      <c r="F347" s="432" t="b">
        <v>1</v>
      </c>
    </row>
    <row r="348" spans="1:6">
      <c r="A348" s="432">
        <v>93641</v>
      </c>
      <c r="B348" s="432" t="s">
        <v>1068</v>
      </c>
      <c r="C348" s="433">
        <v>520336.41999999993</v>
      </c>
      <c r="E348" s="432">
        <v>93641</v>
      </c>
      <c r="F348" s="432" t="b">
        <v>1</v>
      </c>
    </row>
    <row r="349" spans="1:6">
      <c r="A349" s="432">
        <v>93647</v>
      </c>
      <c r="B349" s="432" t="s">
        <v>1069</v>
      </c>
      <c r="C349" s="433">
        <v>7870.96</v>
      </c>
      <c r="E349" s="432">
        <v>93647</v>
      </c>
      <c r="F349" s="432" t="b">
        <v>1</v>
      </c>
    </row>
    <row r="350" spans="1:6">
      <c r="A350" s="432">
        <v>93651</v>
      </c>
      <c r="B350" s="432" t="s">
        <v>1070</v>
      </c>
      <c r="C350" s="433">
        <v>490330.48999999993</v>
      </c>
      <c r="E350" s="432">
        <v>93651</v>
      </c>
      <c r="F350" s="432" t="b">
        <v>1</v>
      </c>
    </row>
    <row r="351" spans="1:6">
      <c r="A351" s="432">
        <v>93661</v>
      </c>
      <c r="B351" s="432" t="s">
        <v>1071</v>
      </c>
      <c r="C351" s="433">
        <v>263486.46000000002</v>
      </c>
      <c r="E351" s="432">
        <v>93661</v>
      </c>
      <c r="F351" s="432" t="b">
        <v>1</v>
      </c>
    </row>
    <row r="352" spans="1:6">
      <c r="A352" s="432">
        <v>93671</v>
      </c>
      <c r="B352" s="432" t="s">
        <v>1072</v>
      </c>
      <c r="C352" s="433">
        <v>436973.91000000003</v>
      </c>
      <c r="E352" s="432">
        <v>93671</v>
      </c>
      <c r="F352" s="432" t="b">
        <v>1</v>
      </c>
    </row>
    <row r="353" spans="1:6">
      <c r="A353" s="432">
        <v>93681</v>
      </c>
      <c r="B353" s="432" t="s">
        <v>1073</v>
      </c>
      <c r="C353" s="433">
        <v>234681.16000000003</v>
      </c>
      <c r="E353" s="432">
        <v>93681</v>
      </c>
      <c r="F353" s="432" t="b">
        <v>1</v>
      </c>
    </row>
    <row r="354" spans="1:6">
      <c r="A354" s="432">
        <v>93691</v>
      </c>
      <c r="B354" s="432" t="s">
        <v>1074</v>
      </c>
      <c r="C354" s="433">
        <v>1360323.2999999996</v>
      </c>
      <c r="E354" s="432">
        <v>93691</v>
      </c>
      <c r="F354" s="432" t="b">
        <v>1</v>
      </c>
    </row>
    <row r="355" spans="1:6">
      <c r="A355" s="432">
        <v>93701</v>
      </c>
      <c r="B355" s="432" t="s">
        <v>1075</v>
      </c>
      <c r="C355" s="433">
        <v>513883.49999999994</v>
      </c>
      <c r="E355" s="432">
        <v>93701</v>
      </c>
      <c r="F355" s="432" t="b">
        <v>1</v>
      </c>
    </row>
    <row r="356" spans="1:6">
      <c r="A356" s="432">
        <v>93704</v>
      </c>
      <c r="B356" s="432" t="s">
        <v>1076</v>
      </c>
      <c r="C356" s="433">
        <v>4943.3999999999987</v>
      </c>
      <c r="E356" s="432">
        <v>93704</v>
      </c>
      <c r="F356" s="432" t="b">
        <v>1</v>
      </c>
    </row>
    <row r="357" spans="1:6">
      <c r="A357" s="432">
        <v>93801</v>
      </c>
      <c r="B357" s="432" t="s">
        <v>1077</v>
      </c>
      <c r="C357" s="433">
        <v>795066.8199999996</v>
      </c>
      <c r="E357" s="432">
        <v>93801</v>
      </c>
      <c r="F357" s="432" t="b">
        <v>1</v>
      </c>
    </row>
    <row r="358" spans="1:6">
      <c r="A358" s="432">
        <v>93803</v>
      </c>
      <c r="B358" s="432" t="s">
        <v>1078</v>
      </c>
      <c r="C358" s="433">
        <v>138276.32</v>
      </c>
      <c r="E358" s="432">
        <v>93803</v>
      </c>
      <c r="F358" s="432" t="b">
        <v>1</v>
      </c>
    </row>
    <row r="359" spans="1:6">
      <c r="A359" s="432">
        <v>93806</v>
      </c>
      <c r="B359" s="432" t="s">
        <v>1079</v>
      </c>
      <c r="C359" s="433">
        <v>172561.89</v>
      </c>
      <c r="E359" s="432">
        <v>93806</v>
      </c>
      <c r="F359" s="432" t="b">
        <v>1</v>
      </c>
    </row>
    <row r="360" spans="1:6">
      <c r="A360" s="432">
        <v>93821</v>
      </c>
      <c r="B360" s="432" t="s">
        <v>1080</v>
      </c>
      <c r="C360" s="433">
        <v>66195.780000000013</v>
      </c>
      <c r="E360" s="432">
        <v>93821</v>
      </c>
      <c r="F360" s="432" t="b">
        <v>1</v>
      </c>
    </row>
    <row r="361" spans="1:6">
      <c r="A361" s="432">
        <v>93901</v>
      </c>
      <c r="B361" s="432" t="s">
        <v>1081</v>
      </c>
      <c r="C361" s="433">
        <v>2320701.2300000004</v>
      </c>
      <c r="E361" s="432">
        <v>93901</v>
      </c>
      <c r="F361" s="432" t="b">
        <v>1</v>
      </c>
    </row>
    <row r="362" spans="1:6">
      <c r="A362" s="432">
        <v>93904</v>
      </c>
      <c r="B362" s="432" t="s">
        <v>1082</v>
      </c>
      <c r="C362" s="433">
        <v>63174.61</v>
      </c>
      <c r="E362" s="432">
        <v>93904</v>
      </c>
      <c r="F362" s="432" t="b">
        <v>1</v>
      </c>
    </row>
    <row r="363" spans="1:6">
      <c r="A363" s="432">
        <v>93906</v>
      </c>
      <c r="B363" s="432" t="s">
        <v>1083</v>
      </c>
      <c r="C363" s="433">
        <v>3981434.6999999997</v>
      </c>
      <c r="E363" s="432">
        <v>93906</v>
      </c>
      <c r="F363" s="432" t="b">
        <v>1</v>
      </c>
    </row>
    <row r="364" spans="1:6">
      <c r="A364" s="432">
        <v>93908</v>
      </c>
      <c r="B364" s="432" t="s">
        <v>1084</v>
      </c>
      <c r="C364" s="433">
        <v>727324.51</v>
      </c>
      <c r="E364" s="432">
        <v>93908</v>
      </c>
      <c r="F364" s="432" t="b">
        <v>1</v>
      </c>
    </row>
    <row r="365" spans="1:6">
      <c r="A365" s="432">
        <v>93910</v>
      </c>
      <c r="B365" s="432" t="s">
        <v>1085</v>
      </c>
      <c r="C365" s="433">
        <v>324016.26</v>
      </c>
      <c r="E365" s="432">
        <v>93910</v>
      </c>
      <c r="F365" s="432" t="b">
        <v>1</v>
      </c>
    </row>
    <row r="366" spans="1:6">
      <c r="A366" s="432">
        <v>93911</v>
      </c>
      <c r="B366" s="432" t="s">
        <v>1086</v>
      </c>
      <c r="C366" s="433">
        <v>720340.7</v>
      </c>
      <c r="E366" s="432">
        <v>93911</v>
      </c>
      <c r="F366" s="432" t="b">
        <v>1</v>
      </c>
    </row>
    <row r="367" spans="1:6">
      <c r="A367" s="432">
        <v>93913</v>
      </c>
      <c r="B367" s="432" t="s">
        <v>1087</v>
      </c>
      <c r="C367" s="433">
        <v>68950.84</v>
      </c>
      <c r="E367" s="432">
        <v>93913</v>
      </c>
      <c r="F367" s="432" t="b">
        <v>1</v>
      </c>
    </row>
    <row r="368" spans="1:6">
      <c r="A368" s="432">
        <v>93914</v>
      </c>
      <c r="B368" s="432" t="s">
        <v>1088</v>
      </c>
      <c r="C368" s="433">
        <v>9657.92</v>
      </c>
      <c r="E368" s="432">
        <v>93914</v>
      </c>
      <c r="F368" s="432" t="b">
        <v>1</v>
      </c>
    </row>
    <row r="369" spans="1:6">
      <c r="A369" s="432">
        <v>93921</v>
      </c>
      <c r="B369" s="432" t="s">
        <v>1089</v>
      </c>
      <c r="C369" s="433">
        <v>336890.74</v>
      </c>
      <c r="E369" s="432">
        <v>93921</v>
      </c>
      <c r="F369" s="432" t="b">
        <v>1</v>
      </c>
    </row>
    <row r="370" spans="1:6">
      <c r="A370" s="432">
        <v>93931</v>
      </c>
      <c r="B370" s="432" t="s">
        <v>1090</v>
      </c>
      <c r="C370" s="433">
        <v>545682.1399999999</v>
      </c>
      <c r="E370" s="432">
        <v>93931</v>
      </c>
      <c r="F370" s="432" t="b">
        <v>1</v>
      </c>
    </row>
    <row r="371" spans="1:6">
      <c r="A371" s="432">
        <v>94001</v>
      </c>
      <c r="B371" s="432" t="s">
        <v>1091</v>
      </c>
      <c r="C371" s="433">
        <v>1251189.57</v>
      </c>
      <c r="E371" s="432">
        <v>94001</v>
      </c>
      <c r="F371" s="432" t="b">
        <v>1</v>
      </c>
    </row>
    <row r="372" spans="1:6">
      <c r="A372" s="432">
        <v>94002</v>
      </c>
      <c r="B372" s="432" t="s">
        <v>1092</v>
      </c>
      <c r="C372" s="433">
        <v>8145.6800000000012</v>
      </c>
      <c r="E372" s="432">
        <v>94002</v>
      </c>
      <c r="F372" s="432" t="b">
        <v>1</v>
      </c>
    </row>
    <row r="373" spans="1:6">
      <c r="A373" s="432">
        <v>94004</v>
      </c>
      <c r="B373" s="432" t="s">
        <v>1093</v>
      </c>
      <c r="C373" s="433">
        <v>17497.650000000001</v>
      </c>
      <c r="E373" s="432">
        <v>94004</v>
      </c>
      <c r="F373" s="432" t="b">
        <v>1</v>
      </c>
    </row>
    <row r="374" spans="1:6">
      <c r="A374" s="432">
        <v>94005</v>
      </c>
      <c r="B374" s="432" t="s">
        <v>1094</v>
      </c>
      <c r="C374" s="433">
        <v>10272.690000000002</v>
      </c>
      <c r="E374" s="432">
        <v>94005</v>
      </c>
      <c r="F374" s="432" t="b">
        <v>1</v>
      </c>
    </row>
    <row r="375" spans="1:6">
      <c r="A375" s="432">
        <v>94011</v>
      </c>
      <c r="B375" s="432" t="s">
        <v>1095</v>
      </c>
      <c r="C375" s="433">
        <v>25438.09</v>
      </c>
      <c r="E375" s="432">
        <v>94011</v>
      </c>
      <c r="F375" s="432" t="b">
        <v>1</v>
      </c>
    </row>
    <row r="376" spans="1:6">
      <c r="A376" s="432">
        <v>94021</v>
      </c>
      <c r="B376" s="432" t="s">
        <v>1096</v>
      </c>
      <c r="C376" s="433">
        <v>94981.37000000001</v>
      </c>
      <c r="E376" s="432">
        <v>94021</v>
      </c>
      <c r="F376" s="432" t="b">
        <v>1</v>
      </c>
    </row>
    <row r="377" spans="1:6">
      <c r="A377" s="432">
        <v>94031</v>
      </c>
      <c r="B377" s="432" t="s">
        <v>1097</v>
      </c>
      <c r="C377" s="433">
        <v>6305.5999999999995</v>
      </c>
      <c r="E377" s="432">
        <v>94031</v>
      </c>
      <c r="F377" s="432" t="b">
        <v>1</v>
      </c>
    </row>
    <row r="378" spans="1:6">
      <c r="A378" s="432">
        <v>94101</v>
      </c>
      <c r="B378" s="432" t="s">
        <v>1098</v>
      </c>
      <c r="C378" s="433">
        <v>24521481.239999991</v>
      </c>
      <c r="E378" s="432">
        <v>94101</v>
      </c>
      <c r="F378" s="432" t="b">
        <v>1</v>
      </c>
    </row>
    <row r="379" spans="1:6">
      <c r="A379" s="432">
        <v>94102</v>
      </c>
      <c r="B379" s="432" t="s">
        <v>1099</v>
      </c>
      <c r="C379" s="433">
        <v>350116.16000000009</v>
      </c>
      <c r="E379" s="432">
        <v>94102</v>
      </c>
      <c r="F379" s="432" t="b">
        <v>1</v>
      </c>
    </row>
    <row r="380" spans="1:6">
      <c r="A380" s="432">
        <v>94108</v>
      </c>
      <c r="B380" s="432" t="s">
        <v>1100</v>
      </c>
      <c r="C380" s="433">
        <v>364633.80999999994</v>
      </c>
      <c r="E380" s="432">
        <v>94108</v>
      </c>
      <c r="F380" s="432" t="b">
        <v>1</v>
      </c>
    </row>
    <row r="381" spans="1:6">
      <c r="A381" s="432">
        <v>94109</v>
      </c>
      <c r="B381" s="432" t="s">
        <v>1101</v>
      </c>
      <c r="C381" s="433">
        <v>119836.89000000001</v>
      </c>
      <c r="E381" s="432">
        <v>94109</v>
      </c>
      <c r="F381" s="432" t="b">
        <v>1</v>
      </c>
    </row>
    <row r="382" spans="1:6">
      <c r="A382" s="432">
        <v>94111</v>
      </c>
      <c r="B382" s="432" t="s">
        <v>1102</v>
      </c>
      <c r="C382" s="433">
        <v>29076455.699999999</v>
      </c>
      <c r="E382" s="432">
        <v>94111</v>
      </c>
      <c r="F382" s="432" t="b">
        <v>1</v>
      </c>
    </row>
    <row r="383" spans="1:6">
      <c r="A383" s="432">
        <v>94112</v>
      </c>
      <c r="B383" s="432" t="s">
        <v>1103</v>
      </c>
      <c r="C383" s="433">
        <v>182079.12999999992</v>
      </c>
      <c r="E383" s="432">
        <v>94112</v>
      </c>
      <c r="F383" s="432" t="b">
        <v>1</v>
      </c>
    </row>
    <row r="384" spans="1:6">
      <c r="A384" s="432">
        <v>94117</v>
      </c>
      <c r="B384" s="432" t="s">
        <v>1104</v>
      </c>
      <c r="C384" s="433">
        <v>495848.23</v>
      </c>
      <c r="E384" s="432">
        <v>94117</v>
      </c>
      <c r="F384" s="432" t="b">
        <v>1</v>
      </c>
    </row>
    <row r="385" spans="1:6">
      <c r="A385" s="432">
        <v>94118</v>
      </c>
      <c r="B385" s="432" t="s">
        <v>1105</v>
      </c>
      <c r="C385" s="433">
        <v>176759.89999999997</v>
      </c>
      <c r="E385" s="432">
        <v>94118</v>
      </c>
      <c r="F385" s="432" t="b">
        <v>1</v>
      </c>
    </row>
    <row r="386" spans="1:6">
      <c r="A386" s="432">
        <v>94121</v>
      </c>
      <c r="B386" s="432" t="s">
        <v>1106</v>
      </c>
      <c r="C386" s="433">
        <v>12627660.660000002</v>
      </c>
      <c r="E386" s="432">
        <v>94121</v>
      </c>
      <c r="F386" s="432" t="b">
        <v>1</v>
      </c>
    </row>
    <row r="387" spans="1:6">
      <c r="A387" s="432">
        <v>94127</v>
      </c>
      <c r="B387" s="432" t="s">
        <v>1107</v>
      </c>
      <c r="C387" s="433">
        <v>230534.28999999998</v>
      </c>
      <c r="E387" s="432">
        <v>94127</v>
      </c>
      <c r="F387" s="432" t="b">
        <v>1</v>
      </c>
    </row>
    <row r="388" spans="1:6">
      <c r="A388" s="432">
        <v>94131</v>
      </c>
      <c r="B388" s="432" t="s">
        <v>1108</v>
      </c>
      <c r="C388" s="433">
        <v>298453.76999999996</v>
      </c>
      <c r="E388" s="432">
        <v>94131</v>
      </c>
      <c r="F388" s="432" t="b">
        <v>1</v>
      </c>
    </row>
    <row r="389" spans="1:6">
      <c r="A389" s="432">
        <v>94151</v>
      </c>
      <c r="B389" s="432" t="s">
        <v>1109</v>
      </c>
      <c r="C389" s="433">
        <v>576208.52000000014</v>
      </c>
      <c r="E389" s="432">
        <v>94151</v>
      </c>
      <c r="F389" s="432" t="b">
        <v>1</v>
      </c>
    </row>
    <row r="390" spans="1:6">
      <c r="A390" s="432">
        <v>94157</v>
      </c>
      <c r="B390" s="432" t="s">
        <v>1110</v>
      </c>
      <c r="C390" s="433">
        <v>21273.07</v>
      </c>
      <c r="E390" s="432">
        <v>94157</v>
      </c>
      <c r="F390" s="432" t="b">
        <v>1</v>
      </c>
    </row>
    <row r="391" spans="1:6">
      <c r="A391" s="432">
        <v>94161</v>
      </c>
      <c r="B391" s="432" t="s">
        <v>1111</v>
      </c>
      <c r="C391" s="433">
        <v>70191.670000000013</v>
      </c>
      <c r="E391" s="432">
        <v>94161</v>
      </c>
      <c r="F391" s="432" t="b">
        <v>1</v>
      </c>
    </row>
    <row r="392" spans="1:6">
      <c r="A392" s="520">
        <v>94168</v>
      </c>
      <c r="B392" s="520" t="s">
        <v>1112</v>
      </c>
      <c r="C392" s="521">
        <v>0</v>
      </c>
      <c r="D392" s="520"/>
      <c r="E392" s="520">
        <v>94168</v>
      </c>
      <c r="F392" s="520" t="b">
        <v>1</v>
      </c>
    </row>
    <row r="393" spans="1:6">
      <c r="A393" s="432">
        <v>94171</v>
      </c>
      <c r="B393" s="432" t="s">
        <v>1113</v>
      </c>
      <c r="C393" s="433">
        <v>83319.45</v>
      </c>
      <c r="E393" s="432">
        <v>94171</v>
      </c>
      <c r="F393" s="432" t="b">
        <v>1</v>
      </c>
    </row>
    <row r="394" spans="1:6">
      <c r="A394" s="432">
        <v>94172</v>
      </c>
      <c r="B394" s="432" t="s">
        <v>1114</v>
      </c>
      <c r="C394" s="433">
        <v>347581.57999999996</v>
      </c>
      <c r="E394" s="432">
        <v>94172</v>
      </c>
      <c r="F394" s="432" t="b">
        <v>1</v>
      </c>
    </row>
    <row r="395" spans="1:6">
      <c r="A395" s="432">
        <v>94201</v>
      </c>
      <c r="B395" s="432" t="s">
        <v>1115</v>
      </c>
      <c r="C395" s="433">
        <v>3419583.1100000013</v>
      </c>
      <c r="E395" s="432">
        <v>94201</v>
      </c>
      <c r="F395" s="432" t="b">
        <v>1</v>
      </c>
    </row>
    <row r="396" spans="1:6">
      <c r="A396" s="432">
        <v>94204</v>
      </c>
      <c r="B396" s="432" t="s">
        <v>1116</v>
      </c>
      <c r="C396" s="433">
        <v>42488.630000000005</v>
      </c>
      <c r="E396" s="432">
        <v>94204</v>
      </c>
      <c r="F396" s="432" t="b">
        <v>1</v>
      </c>
    </row>
    <row r="397" spans="1:6">
      <c r="A397" s="432">
        <v>94205</v>
      </c>
      <c r="B397" s="432" t="s">
        <v>1117</v>
      </c>
      <c r="C397" s="433">
        <v>30795.010000000006</v>
      </c>
      <c r="E397" s="432">
        <v>94205</v>
      </c>
      <c r="F397" s="432" t="b">
        <v>1</v>
      </c>
    </row>
    <row r="398" spans="1:6">
      <c r="A398" s="432">
        <v>94209</v>
      </c>
      <c r="B398" s="432" t="s">
        <v>1118</v>
      </c>
      <c r="C398" s="433">
        <v>393596.39</v>
      </c>
      <c r="E398" s="432">
        <v>94209</v>
      </c>
      <c r="F398" s="432" t="b">
        <v>1</v>
      </c>
    </row>
    <row r="399" spans="1:6">
      <c r="A399" s="432">
        <v>94211</v>
      </c>
      <c r="B399" s="432" t="s">
        <v>1119</v>
      </c>
      <c r="C399" s="433">
        <v>124628.81999999999</v>
      </c>
      <c r="E399" s="432">
        <v>94211</v>
      </c>
      <c r="F399" s="432" t="b">
        <v>1</v>
      </c>
    </row>
    <row r="400" spans="1:6">
      <c r="A400" s="432">
        <v>94221</v>
      </c>
      <c r="B400" s="432" t="s">
        <v>1120</v>
      </c>
      <c r="C400" s="433">
        <v>971590.02</v>
      </c>
      <c r="E400" s="432">
        <v>94221</v>
      </c>
      <c r="F400" s="432" t="b">
        <v>1</v>
      </c>
    </row>
    <row r="401" spans="1:6">
      <c r="A401" s="432">
        <v>94231</v>
      </c>
      <c r="B401" s="432" t="s">
        <v>1121</v>
      </c>
      <c r="C401" s="433">
        <v>182694.00000000003</v>
      </c>
      <c r="E401" s="432">
        <v>94231</v>
      </c>
      <c r="F401" s="432" t="b">
        <v>1</v>
      </c>
    </row>
    <row r="402" spans="1:6">
      <c r="A402" s="432">
        <v>94241</v>
      </c>
      <c r="B402" s="432" t="s">
        <v>1122</v>
      </c>
      <c r="C402" s="433">
        <v>148891.07</v>
      </c>
      <c r="E402" s="432">
        <v>94241</v>
      </c>
      <c r="F402" s="432" t="b">
        <v>1</v>
      </c>
    </row>
    <row r="403" spans="1:6">
      <c r="A403" s="432">
        <v>94251</v>
      </c>
      <c r="B403" s="432" t="s">
        <v>1123</v>
      </c>
      <c r="C403" s="433">
        <v>21746.33</v>
      </c>
      <c r="E403" s="432">
        <v>94251</v>
      </c>
      <c r="F403" s="432" t="b">
        <v>1</v>
      </c>
    </row>
    <row r="404" spans="1:6">
      <c r="A404" s="432">
        <v>94261</v>
      </c>
      <c r="B404" s="432" t="s">
        <v>1124</v>
      </c>
      <c r="C404" s="433">
        <v>38785.539999999994</v>
      </c>
      <c r="E404" s="432">
        <v>94261</v>
      </c>
      <c r="F404" s="432" t="b">
        <v>1</v>
      </c>
    </row>
    <row r="405" spans="1:6">
      <c r="A405" s="432">
        <v>94301</v>
      </c>
      <c r="B405" s="432" t="s">
        <v>1125</v>
      </c>
      <c r="C405" s="433">
        <v>7777636.9800000023</v>
      </c>
      <c r="E405" s="432">
        <v>94301</v>
      </c>
      <c r="F405" s="432" t="b">
        <v>1</v>
      </c>
    </row>
    <row r="406" spans="1:6">
      <c r="A406" s="432">
        <v>94311</v>
      </c>
      <c r="B406" s="432" t="s">
        <v>1126</v>
      </c>
      <c r="C406" s="433">
        <v>897257.74999999988</v>
      </c>
      <c r="E406" s="432">
        <v>94311</v>
      </c>
      <c r="F406" s="432" t="b">
        <v>1</v>
      </c>
    </row>
    <row r="407" spans="1:6">
      <c r="A407" s="432">
        <v>94313</v>
      </c>
      <c r="B407" s="432" t="s">
        <v>1127</v>
      </c>
      <c r="C407" s="433">
        <v>31606.629999999997</v>
      </c>
      <c r="E407" s="432">
        <v>94313</v>
      </c>
      <c r="F407" s="432" t="b">
        <v>1</v>
      </c>
    </row>
    <row r="408" spans="1:6">
      <c r="A408" s="432">
        <v>94317</v>
      </c>
      <c r="B408" s="432" t="s">
        <v>1128</v>
      </c>
      <c r="C408" s="433">
        <v>28428.620000000003</v>
      </c>
      <c r="E408" s="432">
        <v>94317</v>
      </c>
      <c r="F408" s="432" t="b">
        <v>1</v>
      </c>
    </row>
    <row r="409" spans="1:6">
      <c r="A409" s="432">
        <v>94321</v>
      </c>
      <c r="B409" s="432" t="s">
        <v>1129</v>
      </c>
      <c r="C409" s="433">
        <v>417522.30999999994</v>
      </c>
      <c r="E409" s="432">
        <v>94321</v>
      </c>
      <c r="F409" s="432" t="b">
        <v>1</v>
      </c>
    </row>
    <row r="410" spans="1:6">
      <c r="A410" s="432">
        <v>94331</v>
      </c>
      <c r="B410" s="432" t="s">
        <v>1130</v>
      </c>
      <c r="C410" s="433">
        <v>177710.68999999997</v>
      </c>
      <c r="E410" s="432">
        <v>94331</v>
      </c>
      <c r="F410" s="432" t="b">
        <v>1</v>
      </c>
    </row>
    <row r="411" spans="1:6">
      <c r="A411" s="432">
        <v>94341</v>
      </c>
      <c r="B411" s="432" t="s">
        <v>1131</v>
      </c>
      <c r="C411" s="433">
        <v>93040.49</v>
      </c>
      <c r="E411" s="432">
        <v>94341</v>
      </c>
      <c r="F411" s="432" t="b">
        <v>1</v>
      </c>
    </row>
    <row r="412" spans="1:6">
      <c r="A412" s="432">
        <v>94347</v>
      </c>
      <c r="B412" s="432" t="s">
        <v>1132</v>
      </c>
      <c r="C412" s="433">
        <v>8163.2700000000013</v>
      </c>
      <c r="E412" s="432">
        <v>94347</v>
      </c>
      <c r="F412" s="432" t="b">
        <v>1</v>
      </c>
    </row>
    <row r="413" spans="1:6">
      <c r="A413" s="432">
        <v>94351</v>
      </c>
      <c r="B413" s="432" t="s">
        <v>1133</v>
      </c>
      <c r="C413" s="433">
        <v>375244.32</v>
      </c>
      <c r="E413" s="432">
        <v>94351</v>
      </c>
      <c r="F413" s="432" t="b">
        <v>1</v>
      </c>
    </row>
    <row r="414" spans="1:6">
      <c r="A414" s="432">
        <v>94401</v>
      </c>
      <c r="B414" s="432" t="s">
        <v>1134</v>
      </c>
      <c r="C414" s="433">
        <v>3978602.3799999976</v>
      </c>
      <c r="E414" s="432">
        <v>94401</v>
      </c>
      <c r="F414" s="432" t="b">
        <v>1</v>
      </c>
    </row>
    <row r="415" spans="1:6">
      <c r="A415" s="432">
        <v>94403</v>
      </c>
      <c r="B415" s="432" t="s">
        <v>1136</v>
      </c>
      <c r="C415" s="433">
        <v>41901.050000000003</v>
      </c>
      <c r="E415" s="432">
        <v>94403</v>
      </c>
      <c r="F415" s="432" t="b">
        <v>1</v>
      </c>
    </row>
    <row r="416" spans="1:6">
      <c r="A416" s="432">
        <v>94408</v>
      </c>
      <c r="B416" s="432" t="s">
        <v>1137</v>
      </c>
      <c r="C416" s="433">
        <v>63553.030000000013</v>
      </c>
      <c r="E416" s="432">
        <v>94408</v>
      </c>
      <c r="F416" s="432" t="b">
        <v>1</v>
      </c>
    </row>
    <row r="417" spans="1:6">
      <c r="A417" s="432">
        <v>94411</v>
      </c>
      <c r="B417" s="432" t="s">
        <v>1138</v>
      </c>
      <c r="C417" s="433">
        <v>1348688.58</v>
      </c>
      <c r="E417" s="432">
        <v>94411</v>
      </c>
      <c r="F417" s="432" t="b">
        <v>1</v>
      </c>
    </row>
    <row r="418" spans="1:6">
      <c r="A418" s="432">
        <v>94412</v>
      </c>
      <c r="B418" s="432" t="s">
        <v>1139</v>
      </c>
      <c r="C418" s="433">
        <v>32871.949999999997</v>
      </c>
      <c r="E418" s="432">
        <v>94412</v>
      </c>
      <c r="F418" s="432" t="b">
        <v>1</v>
      </c>
    </row>
    <row r="419" spans="1:6" s="522" customFormat="1">
      <c r="A419" s="522">
        <v>94415</v>
      </c>
      <c r="B419" s="522" t="s">
        <v>3770</v>
      </c>
      <c r="C419" s="523">
        <v>20501.099999999999</v>
      </c>
      <c r="E419" s="522">
        <v>94415</v>
      </c>
      <c r="F419" s="522" t="b">
        <v>1</v>
      </c>
    </row>
    <row r="420" spans="1:6" s="522" customFormat="1">
      <c r="A420" s="522">
        <v>94417</v>
      </c>
      <c r="B420" s="522" t="s">
        <v>3773</v>
      </c>
      <c r="C420" s="523">
        <v>65893.049999999988</v>
      </c>
      <c r="E420" s="522">
        <v>94417</v>
      </c>
      <c r="F420" s="522" t="b">
        <v>1</v>
      </c>
    </row>
    <row r="421" spans="1:6">
      <c r="A421" s="432">
        <v>94421</v>
      </c>
      <c r="B421" s="432" t="s">
        <v>1140</v>
      </c>
      <c r="C421" s="433">
        <v>189498.58000000002</v>
      </c>
      <c r="E421" s="432">
        <v>94421</v>
      </c>
      <c r="F421" s="432" t="b">
        <v>1</v>
      </c>
    </row>
    <row r="422" spans="1:6">
      <c r="A422" s="432">
        <v>94427</v>
      </c>
      <c r="B422" s="432" t="s">
        <v>1141</v>
      </c>
      <c r="C422" s="433">
        <v>43874.64</v>
      </c>
      <c r="E422" s="432">
        <v>94427</v>
      </c>
      <c r="F422" s="432" t="b">
        <v>1</v>
      </c>
    </row>
    <row r="423" spans="1:6">
      <c r="A423" s="432">
        <v>94428</v>
      </c>
      <c r="B423" s="432" t="s">
        <v>1142</v>
      </c>
      <c r="C423" s="433">
        <v>83045.25</v>
      </c>
      <c r="E423" s="432">
        <v>94428</v>
      </c>
      <c r="F423" s="432" t="b">
        <v>1</v>
      </c>
    </row>
    <row r="424" spans="1:6">
      <c r="A424" s="432">
        <v>94431</v>
      </c>
      <c r="B424" s="432" t="s">
        <v>1143</v>
      </c>
      <c r="C424" s="433">
        <v>445297.0500000001</v>
      </c>
      <c r="E424" s="432">
        <v>94431</v>
      </c>
      <c r="F424" s="432" t="b">
        <v>1</v>
      </c>
    </row>
    <row r="425" spans="1:6">
      <c r="A425" s="432">
        <v>94437</v>
      </c>
      <c r="B425" s="432" t="s">
        <v>1144</v>
      </c>
      <c r="C425" s="433">
        <v>24524.620000000003</v>
      </c>
      <c r="E425" s="432">
        <v>94437</v>
      </c>
      <c r="F425" s="432" t="b">
        <v>1</v>
      </c>
    </row>
    <row r="426" spans="1:6">
      <c r="A426" s="432">
        <v>94501</v>
      </c>
      <c r="B426" s="432" t="s">
        <v>2019</v>
      </c>
      <c r="C426" s="433">
        <v>8069504.1100000013</v>
      </c>
      <c r="E426" s="432">
        <v>94501</v>
      </c>
      <c r="F426" s="432" t="b">
        <v>1</v>
      </c>
    </row>
    <row r="427" spans="1:6">
      <c r="A427" s="432">
        <v>94511</v>
      </c>
      <c r="B427" s="432" t="s">
        <v>1146</v>
      </c>
      <c r="C427" s="433">
        <v>2613535.4599999995</v>
      </c>
      <c r="E427" s="432">
        <v>94511</v>
      </c>
      <c r="F427" s="432" t="b">
        <v>1</v>
      </c>
    </row>
    <row r="428" spans="1:6">
      <c r="A428" s="432">
        <v>94517</v>
      </c>
      <c r="B428" s="432" t="s">
        <v>1148</v>
      </c>
      <c r="C428" s="433">
        <v>93841.440000000017</v>
      </c>
      <c r="E428" s="432">
        <v>94517</v>
      </c>
      <c r="F428" s="432" t="b">
        <v>1</v>
      </c>
    </row>
    <row r="429" spans="1:6">
      <c r="A429" s="432">
        <v>94521</v>
      </c>
      <c r="B429" s="432" t="s">
        <v>1149</v>
      </c>
      <c r="C429" s="433">
        <v>156252.69999999998</v>
      </c>
      <c r="E429" s="432">
        <v>94521</v>
      </c>
      <c r="F429" s="432" t="b">
        <v>1</v>
      </c>
    </row>
    <row r="430" spans="1:6">
      <c r="A430" s="432">
        <v>94527</v>
      </c>
      <c r="B430" s="432" t="s">
        <v>1150</v>
      </c>
      <c r="C430" s="433">
        <v>11317.180000000002</v>
      </c>
      <c r="E430" s="432">
        <v>94527</v>
      </c>
      <c r="F430" s="432" t="b">
        <v>1</v>
      </c>
    </row>
    <row r="431" spans="1:6">
      <c r="A431" s="432">
        <v>94531</v>
      </c>
      <c r="B431" s="432" t="s">
        <v>1151</v>
      </c>
      <c r="C431" s="433">
        <v>39564.829999999994</v>
      </c>
      <c r="E431" s="432">
        <v>94531</v>
      </c>
      <c r="F431" s="432" t="b">
        <v>1</v>
      </c>
    </row>
    <row r="432" spans="1:6">
      <c r="A432" s="432">
        <v>94532</v>
      </c>
      <c r="B432" s="432" t="s">
        <v>1152</v>
      </c>
      <c r="C432" s="433">
        <v>147688.91</v>
      </c>
      <c r="E432" s="432">
        <v>94532</v>
      </c>
      <c r="F432" s="432" t="b">
        <v>1</v>
      </c>
    </row>
    <row r="433" spans="1:6" s="522" customFormat="1">
      <c r="A433" s="522">
        <v>94537</v>
      </c>
      <c r="B433" s="522" t="s">
        <v>3772</v>
      </c>
      <c r="C433" s="523">
        <v>15346.380000000001</v>
      </c>
      <c r="E433" s="522">
        <v>94537</v>
      </c>
      <c r="F433" s="522" t="b">
        <v>1</v>
      </c>
    </row>
    <row r="434" spans="1:6">
      <c r="A434" s="432">
        <v>94541</v>
      </c>
      <c r="B434" s="432" t="s">
        <v>1153</v>
      </c>
      <c r="C434" s="433">
        <v>322206.37999999995</v>
      </c>
      <c r="E434" s="432">
        <v>94541</v>
      </c>
      <c r="F434" s="432" t="b">
        <v>1</v>
      </c>
    </row>
    <row r="435" spans="1:6">
      <c r="A435" s="432">
        <v>94547</v>
      </c>
      <c r="B435" s="432" t="s">
        <v>1154</v>
      </c>
      <c r="C435" s="433">
        <v>26980.65</v>
      </c>
      <c r="E435" s="432">
        <v>94547</v>
      </c>
      <c r="F435" s="432" t="b">
        <v>1</v>
      </c>
    </row>
    <row r="436" spans="1:6">
      <c r="A436" s="432">
        <v>94551</v>
      </c>
      <c r="B436" s="432" t="s">
        <v>1155</v>
      </c>
      <c r="C436" s="433">
        <v>93350.44</v>
      </c>
      <c r="E436" s="432">
        <v>94551</v>
      </c>
      <c r="F436" s="432" t="b">
        <v>1</v>
      </c>
    </row>
    <row r="437" spans="1:6">
      <c r="A437" s="432">
        <v>94601</v>
      </c>
      <c r="B437" s="432" t="s">
        <v>1156</v>
      </c>
      <c r="C437" s="433">
        <v>1006901.3299999997</v>
      </c>
      <c r="E437" s="432">
        <v>94601</v>
      </c>
      <c r="F437" s="432" t="b">
        <v>1</v>
      </c>
    </row>
    <row r="438" spans="1:6">
      <c r="A438" s="432">
        <v>94604</v>
      </c>
      <c r="B438" s="432" t="s">
        <v>1157</v>
      </c>
      <c r="C438" s="433">
        <v>30894.839999999989</v>
      </c>
      <c r="E438" s="432">
        <v>94604</v>
      </c>
      <c r="F438" s="432" t="b">
        <v>1</v>
      </c>
    </row>
    <row r="439" spans="1:6">
      <c r="A439" s="432">
        <v>94611</v>
      </c>
      <c r="B439" s="432" t="s">
        <v>1159</v>
      </c>
      <c r="C439" s="433">
        <v>362922.56999999995</v>
      </c>
      <c r="E439" s="432">
        <v>94611</v>
      </c>
      <c r="F439" s="432" t="b">
        <v>1</v>
      </c>
    </row>
    <row r="440" spans="1:6">
      <c r="A440" s="432">
        <v>94621</v>
      </c>
      <c r="B440" s="432" t="s">
        <v>1160</v>
      </c>
      <c r="C440" s="433">
        <v>103521.1</v>
      </c>
      <c r="E440" s="432">
        <v>94621</v>
      </c>
      <c r="F440" s="432" t="b">
        <v>1</v>
      </c>
    </row>
    <row r="441" spans="1:6">
      <c r="A441" s="432">
        <v>94631</v>
      </c>
      <c r="B441" s="432" t="s">
        <v>1161</v>
      </c>
      <c r="C441" s="433">
        <v>38927.56</v>
      </c>
      <c r="E441" s="432">
        <v>94631</v>
      </c>
      <c r="F441" s="432" t="b">
        <v>1</v>
      </c>
    </row>
    <row r="442" spans="1:6">
      <c r="A442" s="432">
        <v>94641</v>
      </c>
      <c r="B442" s="432" t="s">
        <v>1162</v>
      </c>
      <c r="C442" s="433">
        <v>15319.810000000001</v>
      </c>
      <c r="E442" s="432">
        <v>94641</v>
      </c>
      <c r="F442" s="432" t="b">
        <v>1</v>
      </c>
    </row>
    <row r="443" spans="1:6">
      <c r="A443" s="432">
        <v>94701</v>
      </c>
      <c r="B443" s="432" t="s">
        <v>1163</v>
      </c>
      <c r="C443" s="433">
        <v>2910104.3600000003</v>
      </c>
      <c r="E443" s="432">
        <v>94701</v>
      </c>
      <c r="F443" s="432" t="b">
        <v>1</v>
      </c>
    </row>
    <row r="444" spans="1:6">
      <c r="A444" s="432">
        <v>94704</v>
      </c>
      <c r="B444" s="432" t="s">
        <v>1164</v>
      </c>
      <c r="C444" s="433">
        <v>23338.820000000003</v>
      </c>
      <c r="E444" s="432">
        <v>94704</v>
      </c>
      <c r="F444" s="432" t="b">
        <v>1</v>
      </c>
    </row>
    <row r="445" spans="1:6">
      <c r="A445" s="432">
        <v>94711</v>
      </c>
      <c r="B445" s="432" t="s">
        <v>1165</v>
      </c>
      <c r="C445" s="433">
        <v>408753.03000000009</v>
      </c>
      <c r="E445" s="432">
        <v>94711</v>
      </c>
      <c r="F445" s="432" t="b">
        <v>1</v>
      </c>
    </row>
    <row r="446" spans="1:6">
      <c r="A446" s="432">
        <v>94801</v>
      </c>
      <c r="B446" s="432" t="s">
        <v>1166</v>
      </c>
      <c r="C446" s="433">
        <v>774696.30999999959</v>
      </c>
      <c r="E446" s="432">
        <v>94801</v>
      </c>
      <c r="F446" s="432" t="b">
        <v>1</v>
      </c>
    </row>
    <row r="447" spans="1:6">
      <c r="A447" s="432">
        <v>94804</v>
      </c>
      <c r="B447" s="432" t="s">
        <v>1167</v>
      </c>
      <c r="C447" s="433">
        <v>9119.6</v>
      </c>
      <c r="E447" s="432">
        <v>94804</v>
      </c>
      <c r="F447" s="432" t="b">
        <v>1</v>
      </c>
    </row>
    <row r="448" spans="1:6">
      <c r="A448" s="432">
        <v>94812</v>
      </c>
      <c r="B448" s="432" t="s">
        <v>1168</v>
      </c>
      <c r="C448" s="433">
        <v>36199.39</v>
      </c>
      <c r="E448" s="432">
        <v>94812</v>
      </c>
      <c r="F448" s="432" t="b">
        <v>1</v>
      </c>
    </row>
    <row r="449" spans="1:6">
      <c r="A449" s="432">
        <v>94901</v>
      </c>
      <c r="B449" s="432" t="s">
        <v>1169</v>
      </c>
      <c r="C449" s="433">
        <v>9391453.5799999926</v>
      </c>
      <c r="E449" s="432">
        <v>94901</v>
      </c>
      <c r="F449" s="432" t="b">
        <v>1</v>
      </c>
    </row>
    <row r="450" spans="1:6">
      <c r="A450" s="432">
        <v>94908</v>
      </c>
      <c r="B450" s="432" t="s">
        <v>3610</v>
      </c>
      <c r="C450" s="433">
        <v>64792.069999999978</v>
      </c>
      <c r="E450" s="432">
        <v>94908</v>
      </c>
      <c r="F450" s="432" t="b">
        <v>1</v>
      </c>
    </row>
    <row r="451" spans="1:6">
      <c r="A451" s="432">
        <v>94911</v>
      </c>
      <c r="B451" s="432" t="s">
        <v>1171</v>
      </c>
      <c r="C451" s="433">
        <v>3683340.2499999991</v>
      </c>
      <c r="E451" s="432">
        <v>94911</v>
      </c>
      <c r="F451" s="432" t="b">
        <v>1</v>
      </c>
    </row>
    <row r="452" spans="1:6">
      <c r="A452" s="432">
        <v>94917</v>
      </c>
      <c r="B452" s="432" t="s">
        <v>1172</v>
      </c>
      <c r="C452" s="433">
        <v>60475.970000000016</v>
      </c>
      <c r="E452" s="432">
        <v>94917</v>
      </c>
      <c r="F452" s="432" t="b">
        <v>1</v>
      </c>
    </row>
    <row r="453" spans="1:6">
      <c r="A453" s="432">
        <v>94921</v>
      </c>
      <c r="B453" s="432" t="s">
        <v>1173</v>
      </c>
      <c r="C453" s="433">
        <v>4818280.540000001</v>
      </c>
      <c r="E453" s="432">
        <v>94921</v>
      </c>
      <c r="F453" s="432" t="b">
        <v>1</v>
      </c>
    </row>
    <row r="454" spans="1:6">
      <c r="A454" s="432">
        <v>94923</v>
      </c>
      <c r="B454" s="432" t="s">
        <v>1174</v>
      </c>
      <c r="C454" s="433">
        <v>28545.389999999992</v>
      </c>
      <c r="E454" s="432">
        <v>94923</v>
      </c>
      <c r="F454" s="432" t="b">
        <v>1</v>
      </c>
    </row>
    <row r="455" spans="1:6">
      <c r="A455" s="432">
        <v>94927</v>
      </c>
      <c r="B455" s="432" t="s">
        <v>1175</v>
      </c>
      <c r="C455" s="433">
        <v>46318.139999999992</v>
      </c>
      <c r="E455" s="432">
        <v>94927</v>
      </c>
      <c r="F455" s="432" t="b">
        <v>1</v>
      </c>
    </row>
    <row r="456" spans="1:6">
      <c r="A456" s="432">
        <v>94931</v>
      </c>
      <c r="B456" s="432" t="s">
        <v>1176</v>
      </c>
      <c r="C456" s="433">
        <v>422075.57999999996</v>
      </c>
      <c r="E456" s="432">
        <v>94931</v>
      </c>
      <c r="F456" s="432" t="b">
        <v>1</v>
      </c>
    </row>
    <row r="457" spans="1:6">
      <c r="A457" s="432">
        <v>94937</v>
      </c>
      <c r="B457" s="432" t="s">
        <v>1927</v>
      </c>
      <c r="C457" s="433">
        <v>7522.3200000000015</v>
      </c>
      <c r="E457" s="432">
        <v>94937</v>
      </c>
      <c r="F457" s="432" t="b">
        <v>1</v>
      </c>
    </row>
    <row r="458" spans="1:6" s="520" customFormat="1">
      <c r="A458" s="520">
        <v>94941</v>
      </c>
      <c r="B458" s="520" t="s">
        <v>1177</v>
      </c>
      <c r="C458" s="521">
        <v>0</v>
      </c>
      <c r="E458" s="520">
        <v>94941</v>
      </c>
      <c r="F458" s="520" t="b">
        <v>1</v>
      </c>
    </row>
    <row r="459" spans="1:6">
      <c r="A459" s="432">
        <v>94947</v>
      </c>
      <c r="B459" s="432" t="s">
        <v>1928</v>
      </c>
      <c r="C459" s="433">
        <v>17471.599999999999</v>
      </c>
      <c r="E459" s="432">
        <v>94947</v>
      </c>
      <c r="F459" s="432" t="b">
        <v>1</v>
      </c>
    </row>
    <row r="460" spans="1:6">
      <c r="A460" s="432">
        <v>95001</v>
      </c>
      <c r="B460" s="432" t="s">
        <v>1178</v>
      </c>
      <c r="C460" s="433">
        <v>2938688.8700000015</v>
      </c>
      <c r="E460" s="432">
        <v>95001</v>
      </c>
      <c r="F460" s="432" t="b">
        <v>1</v>
      </c>
    </row>
    <row r="461" spans="1:6">
      <c r="A461" s="432">
        <v>95002</v>
      </c>
      <c r="B461" s="432" t="s">
        <v>1179</v>
      </c>
      <c r="C461" s="433">
        <v>228058.17</v>
      </c>
      <c r="E461" s="432">
        <v>95002</v>
      </c>
      <c r="F461" s="432" t="b">
        <v>1</v>
      </c>
    </row>
    <row r="462" spans="1:6">
      <c r="A462" s="432">
        <v>95005</v>
      </c>
      <c r="B462" s="432" t="s">
        <v>1180</v>
      </c>
      <c r="C462" s="433">
        <v>219979.42</v>
      </c>
      <c r="E462" s="432">
        <v>95005</v>
      </c>
      <c r="F462" s="432" t="b">
        <v>1</v>
      </c>
    </row>
    <row r="463" spans="1:6">
      <c r="A463" s="432">
        <v>95008</v>
      </c>
      <c r="B463" s="432" t="s">
        <v>1181</v>
      </c>
      <c r="C463" s="433">
        <v>182833.91999999998</v>
      </c>
      <c r="E463" s="432">
        <v>95008</v>
      </c>
      <c r="F463" s="432" t="b">
        <v>1</v>
      </c>
    </row>
    <row r="464" spans="1:6">
      <c r="A464" s="432">
        <v>95009</v>
      </c>
      <c r="B464" s="432" t="s">
        <v>1182</v>
      </c>
      <c r="C464" s="433">
        <v>11086347.33</v>
      </c>
      <c r="E464" s="432">
        <v>95009</v>
      </c>
      <c r="F464" s="432" t="b">
        <v>1</v>
      </c>
    </row>
    <row r="465" spans="1:6">
      <c r="A465" s="432">
        <v>95010</v>
      </c>
      <c r="B465" s="432" t="s">
        <v>3719</v>
      </c>
      <c r="C465" s="433">
        <v>20420.560000000005</v>
      </c>
      <c r="E465" s="432">
        <v>95010</v>
      </c>
      <c r="F465" s="432" t="b">
        <v>1</v>
      </c>
    </row>
    <row r="466" spans="1:6">
      <c r="A466" s="432">
        <v>95011</v>
      </c>
      <c r="B466" s="432" t="s">
        <v>1183</v>
      </c>
      <c r="C466" s="433">
        <v>267619.58</v>
      </c>
      <c r="E466" s="432">
        <v>95011</v>
      </c>
      <c r="F466" s="432" t="b">
        <v>1</v>
      </c>
    </row>
    <row r="467" spans="1:6">
      <c r="A467" s="432">
        <v>95017</v>
      </c>
      <c r="B467" s="432" t="s">
        <v>1184</v>
      </c>
      <c r="C467" s="433">
        <v>47590.010000000009</v>
      </c>
      <c r="E467" s="432">
        <v>95017</v>
      </c>
      <c r="F467" s="432" t="b">
        <v>1</v>
      </c>
    </row>
    <row r="468" spans="1:6">
      <c r="A468" s="432">
        <v>95101</v>
      </c>
      <c r="B468" s="432" t="s">
        <v>1185</v>
      </c>
      <c r="C468" s="433">
        <v>11811519.840000004</v>
      </c>
      <c r="E468" s="432">
        <v>95101</v>
      </c>
      <c r="F468" s="432" t="b">
        <v>1</v>
      </c>
    </row>
    <row r="469" spans="1:6">
      <c r="A469" s="432">
        <v>95103</v>
      </c>
      <c r="B469" s="432" t="s">
        <v>1186</v>
      </c>
      <c r="C469" s="433">
        <v>64789.599999999999</v>
      </c>
      <c r="E469" s="432">
        <v>95103</v>
      </c>
      <c r="F469" s="432" t="b">
        <v>1</v>
      </c>
    </row>
    <row r="470" spans="1:6">
      <c r="A470" s="432">
        <v>95104</v>
      </c>
      <c r="B470" s="432" t="s">
        <v>1187</v>
      </c>
      <c r="C470" s="433">
        <v>214052.86999999997</v>
      </c>
      <c r="E470" s="432">
        <v>95104</v>
      </c>
      <c r="F470" s="432" t="b">
        <v>1</v>
      </c>
    </row>
    <row r="471" spans="1:6">
      <c r="A471" s="432">
        <v>95105</v>
      </c>
      <c r="B471" s="432" t="s">
        <v>1188</v>
      </c>
      <c r="C471" s="433">
        <v>62093.880000000005</v>
      </c>
      <c r="E471" s="432">
        <v>95105</v>
      </c>
      <c r="F471" s="432" t="b">
        <v>1</v>
      </c>
    </row>
    <row r="472" spans="1:6">
      <c r="A472" s="432">
        <v>95106</v>
      </c>
      <c r="B472" s="432" t="s">
        <v>1189</v>
      </c>
      <c r="C472" s="433">
        <v>64546.45</v>
      </c>
      <c r="E472" s="432">
        <v>95106</v>
      </c>
      <c r="F472" s="432" t="b">
        <v>1</v>
      </c>
    </row>
    <row r="473" spans="1:6">
      <c r="A473" s="432">
        <v>95110</v>
      </c>
      <c r="B473" s="432" t="s">
        <v>1190</v>
      </c>
      <c r="C473" s="433">
        <v>2428548.0699999998</v>
      </c>
      <c r="E473" s="432">
        <v>95110</v>
      </c>
      <c r="F473" s="432" t="b">
        <v>1</v>
      </c>
    </row>
    <row r="474" spans="1:6">
      <c r="A474" s="432">
        <v>95111</v>
      </c>
      <c r="B474" s="432" t="s">
        <v>1191</v>
      </c>
      <c r="C474" s="433">
        <v>1159985.0100000002</v>
      </c>
      <c r="E474" s="432">
        <v>95111</v>
      </c>
      <c r="F474" s="432" t="b">
        <v>1</v>
      </c>
    </row>
    <row r="475" spans="1:6">
      <c r="A475" s="432">
        <v>95113</v>
      </c>
      <c r="B475" s="432" t="s">
        <v>1192</v>
      </c>
      <c r="C475" s="433">
        <v>62784.13</v>
      </c>
      <c r="E475" s="432">
        <v>95113</v>
      </c>
      <c r="F475" s="432" t="b">
        <v>1</v>
      </c>
    </row>
    <row r="476" spans="1:6">
      <c r="A476" s="432">
        <v>95121</v>
      </c>
      <c r="B476" s="432" t="s">
        <v>1193</v>
      </c>
      <c r="C476" s="433">
        <v>556433.29</v>
      </c>
      <c r="E476" s="432">
        <v>95121</v>
      </c>
      <c r="F476" s="432" t="b">
        <v>1</v>
      </c>
    </row>
    <row r="477" spans="1:6">
      <c r="A477" s="432">
        <v>95122</v>
      </c>
      <c r="B477" s="432" t="s">
        <v>1194</v>
      </c>
      <c r="C477" s="433">
        <v>17541.759999999998</v>
      </c>
      <c r="E477" s="432">
        <v>95122</v>
      </c>
      <c r="F477" s="432" t="b">
        <v>1</v>
      </c>
    </row>
    <row r="478" spans="1:6">
      <c r="A478" s="432">
        <v>95123</v>
      </c>
      <c r="B478" s="432" t="s">
        <v>1195</v>
      </c>
      <c r="C478" s="433">
        <v>55375.45</v>
      </c>
      <c r="E478" s="432">
        <v>95123</v>
      </c>
      <c r="F478" s="432" t="b">
        <v>1</v>
      </c>
    </row>
    <row r="479" spans="1:6">
      <c r="A479" s="432">
        <v>95131</v>
      </c>
      <c r="B479" s="432" t="s">
        <v>1196</v>
      </c>
      <c r="C479" s="433">
        <v>2483911.96</v>
      </c>
      <c r="E479" s="432">
        <v>95131</v>
      </c>
      <c r="F479" s="432" t="b">
        <v>1</v>
      </c>
    </row>
    <row r="480" spans="1:6">
      <c r="A480" s="432">
        <v>95141</v>
      </c>
      <c r="B480" s="432" t="s">
        <v>1197</v>
      </c>
      <c r="C480" s="433">
        <v>492108.98000000004</v>
      </c>
      <c r="E480" s="432">
        <v>95141</v>
      </c>
      <c r="F480" s="432" t="b">
        <v>1</v>
      </c>
    </row>
    <row r="481" spans="1:6">
      <c r="A481" s="432">
        <v>95151</v>
      </c>
      <c r="B481" s="432" t="s">
        <v>1198</v>
      </c>
      <c r="C481" s="433">
        <v>164632.46000000002</v>
      </c>
      <c r="E481" s="432">
        <v>95151</v>
      </c>
      <c r="F481" s="432" t="b">
        <v>1</v>
      </c>
    </row>
    <row r="482" spans="1:6">
      <c r="A482" s="432">
        <v>95161</v>
      </c>
      <c r="B482" s="432" t="s">
        <v>1199</v>
      </c>
      <c r="C482" s="433">
        <v>85968.580000000031</v>
      </c>
      <c r="E482" s="432">
        <v>95161</v>
      </c>
      <c r="F482" s="432" t="b">
        <v>1</v>
      </c>
    </row>
    <row r="483" spans="1:6">
      <c r="A483" s="432">
        <v>95171</v>
      </c>
      <c r="B483" s="432" t="s">
        <v>1200</v>
      </c>
      <c r="C483" s="433">
        <v>111313.79</v>
      </c>
      <c r="E483" s="432">
        <v>95171</v>
      </c>
      <c r="F483" s="432" t="b">
        <v>1</v>
      </c>
    </row>
    <row r="484" spans="1:6">
      <c r="A484" s="432">
        <v>95181</v>
      </c>
      <c r="B484" s="432" t="s">
        <v>1201</v>
      </c>
      <c r="C484" s="433">
        <v>100108.76</v>
      </c>
      <c r="E484" s="432">
        <v>95181</v>
      </c>
      <c r="F484" s="432" t="b">
        <v>1</v>
      </c>
    </row>
    <row r="485" spans="1:6">
      <c r="A485" s="432">
        <v>95191</v>
      </c>
      <c r="B485" s="432" t="s">
        <v>1202</v>
      </c>
      <c r="C485" s="433">
        <v>148725.01999999996</v>
      </c>
      <c r="E485" s="432">
        <v>95191</v>
      </c>
      <c r="F485" s="432" t="b">
        <v>1</v>
      </c>
    </row>
    <row r="486" spans="1:6">
      <c r="A486" s="432">
        <v>95201</v>
      </c>
      <c r="B486" s="432" t="s">
        <v>1203</v>
      </c>
      <c r="C486" s="433">
        <v>775605.29999999993</v>
      </c>
      <c r="E486" s="432">
        <v>95201</v>
      </c>
      <c r="F486" s="432" t="b">
        <v>1</v>
      </c>
    </row>
    <row r="487" spans="1:6">
      <c r="A487" s="432">
        <v>95204</v>
      </c>
      <c r="B487" s="432" t="s">
        <v>1204</v>
      </c>
      <c r="C487" s="433">
        <v>10832.05</v>
      </c>
      <c r="E487" s="432">
        <v>95204</v>
      </c>
      <c r="F487" s="432" t="b">
        <v>1</v>
      </c>
    </row>
    <row r="488" spans="1:6">
      <c r="A488" s="432">
        <v>95205</v>
      </c>
      <c r="B488" s="432" t="s">
        <v>1205</v>
      </c>
      <c r="C488" s="433">
        <v>4607.5800000000008</v>
      </c>
      <c r="E488" s="432">
        <v>95205</v>
      </c>
      <c r="F488" s="432" t="b">
        <v>1</v>
      </c>
    </row>
    <row r="489" spans="1:6">
      <c r="A489" s="432">
        <v>95211</v>
      </c>
      <c r="B489" s="432" t="s">
        <v>1206</v>
      </c>
      <c r="C489" s="433">
        <v>3267.03</v>
      </c>
      <c r="E489" s="432">
        <v>95211</v>
      </c>
      <c r="F489" s="432" t="b">
        <v>1</v>
      </c>
    </row>
    <row r="490" spans="1:6">
      <c r="A490" s="432">
        <v>95221</v>
      </c>
      <c r="B490" s="432" t="s">
        <v>1207</v>
      </c>
      <c r="C490" s="433">
        <v>59552.270000000019</v>
      </c>
      <c r="E490" s="432">
        <v>95221</v>
      </c>
      <c r="F490" s="432" t="b">
        <v>1</v>
      </c>
    </row>
    <row r="491" spans="1:6">
      <c r="A491" s="432">
        <v>95301</v>
      </c>
      <c r="B491" s="432" t="s">
        <v>1208</v>
      </c>
      <c r="C491" s="433">
        <v>3271873.1999999997</v>
      </c>
      <c r="E491" s="432">
        <v>95301</v>
      </c>
      <c r="F491" s="432" t="b">
        <v>1</v>
      </c>
    </row>
    <row r="492" spans="1:6">
      <c r="A492" s="432">
        <v>95311</v>
      </c>
      <c r="B492" s="432" t="s">
        <v>1209</v>
      </c>
      <c r="C492" s="433">
        <v>3166803.2400000007</v>
      </c>
      <c r="E492" s="432">
        <v>95311</v>
      </c>
      <c r="F492" s="432" t="b">
        <v>1</v>
      </c>
    </row>
    <row r="493" spans="1:6">
      <c r="A493" s="432">
        <v>95317</v>
      </c>
      <c r="B493" s="432" t="s">
        <v>1210</v>
      </c>
      <c r="C493" s="433">
        <v>98201.760000000009</v>
      </c>
      <c r="E493" s="432">
        <v>95317</v>
      </c>
      <c r="F493" s="432" t="b">
        <v>1</v>
      </c>
    </row>
    <row r="494" spans="1:6">
      <c r="A494" s="432">
        <v>95321</v>
      </c>
      <c r="B494" s="432" t="s">
        <v>1211</v>
      </c>
      <c r="C494" s="433">
        <v>72527.990000000005</v>
      </c>
      <c r="E494" s="432">
        <v>95321</v>
      </c>
      <c r="F494" s="432" t="b">
        <v>1</v>
      </c>
    </row>
    <row r="495" spans="1:6">
      <c r="A495" s="432">
        <v>95401</v>
      </c>
      <c r="B495" s="432" t="s">
        <v>1212</v>
      </c>
      <c r="C495" s="433">
        <v>2677548.9300000011</v>
      </c>
      <c r="E495" s="432">
        <v>95401</v>
      </c>
      <c r="F495" s="432" t="b">
        <v>1</v>
      </c>
    </row>
    <row r="496" spans="1:6">
      <c r="A496" s="432">
        <v>95404</v>
      </c>
      <c r="B496" s="432" t="s">
        <v>1213</v>
      </c>
      <c r="C496" s="433">
        <v>58407.770000000004</v>
      </c>
      <c r="E496" s="432">
        <v>95404</v>
      </c>
      <c r="F496" s="432" t="b">
        <v>1</v>
      </c>
    </row>
    <row r="497" spans="1:6">
      <c r="A497" s="432">
        <v>95405</v>
      </c>
      <c r="B497" s="432" t="s">
        <v>1214</v>
      </c>
      <c r="C497" s="433">
        <v>37131.919999999998</v>
      </c>
      <c r="E497" s="432">
        <v>95405</v>
      </c>
      <c r="F497" s="432" t="b">
        <v>1</v>
      </c>
    </row>
    <row r="498" spans="1:6">
      <c r="A498" s="432">
        <v>95411</v>
      </c>
      <c r="B498" s="432" t="s">
        <v>1215</v>
      </c>
      <c r="C498" s="433">
        <v>2156418.41</v>
      </c>
      <c r="E498" s="432">
        <v>95411</v>
      </c>
      <c r="F498" s="432" t="b">
        <v>1</v>
      </c>
    </row>
    <row r="499" spans="1:6">
      <c r="A499" s="432">
        <v>95413</v>
      </c>
      <c r="B499" s="432" t="s">
        <v>1217</v>
      </c>
      <c r="C499" s="433">
        <v>271016.71999999997</v>
      </c>
      <c r="E499" s="432">
        <v>95413</v>
      </c>
      <c r="F499" s="432" t="b">
        <v>1</v>
      </c>
    </row>
    <row r="500" spans="1:6">
      <c r="A500" s="432">
        <v>95415</v>
      </c>
      <c r="B500" s="432" t="s">
        <v>1218</v>
      </c>
      <c r="C500" s="433">
        <v>58236.95</v>
      </c>
      <c r="E500" s="432">
        <v>95415</v>
      </c>
      <c r="F500" s="432" t="b">
        <v>1</v>
      </c>
    </row>
    <row r="501" spans="1:6">
      <c r="A501" s="432">
        <v>95416</v>
      </c>
      <c r="B501" s="432" t="s">
        <v>3783</v>
      </c>
      <c r="C501" s="433">
        <v>17071.030000000002</v>
      </c>
      <c r="E501" s="432">
        <v>95416</v>
      </c>
      <c r="F501" s="432" t="b">
        <v>1</v>
      </c>
    </row>
    <row r="502" spans="1:6">
      <c r="A502" s="432">
        <v>95421</v>
      </c>
      <c r="B502" s="432" t="s">
        <v>1219</v>
      </c>
      <c r="C502" s="433">
        <v>24939.230000000003</v>
      </c>
      <c r="E502" s="432">
        <v>95421</v>
      </c>
      <c r="F502" s="432" t="b">
        <v>1</v>
      </c>
    </row>
    <row r="503" spans="1:6">
      <c r="A503" s="432">
        <v>95431</v>
      </c>
      <c r="B503" s="432" t="s">
        <v>1220</v>
      </c>
      <c r="C503" s="433">
        <v>259906.19</v>
      </c>
      <c r="E503" s="432">
        <v>95431</v>
      </c>
      <c r="F503" s="432" t="b">
        <v>1</v>
      </c>
    </row>
    <row r="504" spans="1:6">
      <c r="A504" s="432">
        <v>95501</v>
      </c>
      <c r="B504" s="432" t="s">
        <v>1221</v>
      </c>
      <c r="C504" s="433">
        <v>6282913.3499999987</v>
      </c>
      <c r="E504" s="432">
        <v>95501</v>
      </c>
      <c r="F504" s="432" t="b">
        <v>1</v>
      </c>
    </row>
    <row r="505" spans="1:6">
      <c r="A505" s="432">
        <v>95504</v>
      </c>
      <c r="B505" s="432" t="s">
        <v>1222</v>
      </c>
      <c r="C505" s="433">
        <v>36608.51</v>
      </c>
      <c r="E505" s="432">
        <v>95504</v>
      </c>
      <c r="F505" s="432" t="b">
        <v>1</v>
      </c>
    </row>
    <row r="506" spans="1:6">
      <c r="A506" s="432">
        <v>95511</v>
      </c>
      <c r="B506" s="432" t="s">
        <v>1223</v>
      </c>
      <c r="C506" s="433">
        <v>1258435.6200000001</v>
      </c>
      <c r="E506" s="432">
        <v>95511</v>
      </c>
      <c r="F506" s="432" t="b">
        <v>1</v>
      </c>
    </row>
    <row r="507" spans="1:6">
      <c r="A507" s="432">
        <v>95513</v>
      </c>
      <c r="B507" s="432" t="s">
        <v>1224</v>
      </c>
      <c r="C507" s="433">
        <v>71047.900000000009</v>
      </c>
      <c r="E507" s="432">
        <v>95513</v>
      </c>
      <c r="F507" s="432" t="b">
        <v>1</v>
      </c>
    </row>
    <row r="508" spans="1:6">
      <c r="A508" s="432">
        <v>95517</v>
      </c>
      <c r="B508" s="432" t="s">
        <v>1225</v>
      </c>
      <c r="C508" s="433">
        <v>28511.01</v>
      </c>
      <c r="E508" s="432">
        <v>95517</v>
      </c>
      <c r="F508" s="432" t="b">
        <v>1</v>
      </c>
    </row>
    <row r="509" spans="1:6">
      <c r="A509" s="432">
        <v>95601</v>
      </c>
      <c r="B509" s="432" t="s">
        <v>1226</v>
      </c>
      <c r="C509" s="433">
        <v>2852926.7399999993</v>
      </c>
      <c r="E509" s="432">
        <v>95601</v>
      </c>
      <c r="F509" s="432" t="b">
        <v>1</v>
      </c>
    </row>
    <row r="510" spans="1:6">
      <c r="A510" s="432">
        <v>95611</v>
      </c>
      <c r="B510" s="432" t="s">
        <v>1227</v>
      </c>
      <c r="C510" s="433">
        <v>384241.43</v>
      </c>
      <c r="E510" s="432">
        <v>95611</v>
      </c>
      <c r="F510" s="432" t="b">
        <v>1</v>
      </c>
    </row>
    <row r="511" spans="1:6">
      <c r="A511" s="432">
        <v>95617</v>
      </c>
      <c r="B511" s="432" t="s">
        <v>1228</v>
      </c>
      <c r="C511" s="433">
        <v>33235.42</v>
      </c>
      <c r="E511" s="432">
        <v>95617</v>
      </c>
      <c r="F511" s="432" t="b">
        <v>1</v>
      </c>
    </row>
    <row r="512" spans="1:6">
      <c r="A512" s="432">
        <v>95621</v>
      </c>
      <c r="B512" s="432" t="s">
        <v>1229</v>
      </c>
      <c r="C512" s="433">
        <v>561133.00999999989</v>
      </c>
      <c r="E512" s="432">
        <v>95621</v>
      </c>
      <c r="F512" s="432" t="b">
        <v>1</v>
      </c>
    </row>
    <row r="513" spans="1:6">
      <c r="A513" s="432">
        <v>95701</v>
      </c>
      <c r="B513" s="432" t="s">
        <v>1230</v>
      </c>
      <c r="C513" s="433">
        <v>1331011.1800000004</v>
      </c>
      <c r="E513" s="432">
        <v>95701</v>
      </c>
      <c r="F513" s="432" t="b">
        <v>1</v>
      </c>
    </row>
    <row r="514" spans="1:6">
      <c r="A514" s="432">
        <v>95711</v>
      </c>
      <c r="B514" s="432" t="s">
        <v>1231</v>
      </c>
      <c r="C514" s="433">
        <v>197319.88000000003</v>
      </c>
      <c r="E514" s="432">
        <v>95711</v>
      </c>
      <c r="F514" s="432" t="b">
        <v>1</v>
      </c>
    </row>
    <row r="515" spans="1:6">
      <c r="A515" s="432">
        <v>95721</v>
      </c>
      <c r="B515" s="432" t="s">
        <v>1232</v>
      </c>
      <c r="C515" s="433">
        <v>75049.520000000033</v>
      </c>
      <c r="E515" s="432">
        <v>95721</v>
      </c>
      <c r="F515" s="432" t="b">
        <v>1</v>
      </c>
    </row>
    <row r="516" spans="1:6">
      <c r="A516" s="432">
        <v>95733</v>
      </c>
      <c r="B516" s="432" t="s">
        <v>1233</v>
      </c>
      <c r="C516" s="433">
        <v>15316.9</v>
      </c>
      <c r="E516" s="432">
        <v>95733</v>
      </c>
      <c r="F516" s="432" t="b">
        <v>1</v>
      </c>
    </row>
    <row r="517" spans="1:6">
      <c r="A517" s="432">
        <v>95801</v>
      </c>
      <c r="B517" s="432" t="s">
        <v>1234</v>
      </c>
      <c r="C517" s="433">
        <v>1032084.2799999999</v>
      </c>
      <c r="E517" s="432">
        <v>95801</v>
      </c>
      <c r="F517" s="432" t="b">
        <v>1</v>
      </c>
    </row>
    <row r="518" spans="1:6">
      <c r="A518" s="432">
        <v>95802</v>
      </c>
      <c r="B518" s="432" t="s">
        <v>1235</v>
      </c>
      <c r="C518" s="433">
        <v>11109.840000000002</v>
      </c>
      <c r="E518" s="432">
        <v>95802</v>
      </c>
      <c r="F518" s="432" t="b">
        <v>1</v>
      </c>
    </row>
    <row r="519" spans="1:6">
      <c r="A519" s="432">
        <v>95804</v>
      </c>
      <c r="B519" s="432" t="s">
        <v>1236</v>
      </c>
      <c r="C519" s="433">
        <v>29339.910000000003</v>
      </c>
      <c r="E519" s="432">
        <v>95804</v>
      </c>
      <c r="F519" s="432" t="b">
        <v>1</v>
      </c>
    </row>
    <row r="520" spans="1:6">
      <c r="A520" s="432">
        <v>95811</v>
      </c>
      <c r="B520" s="432" t="s">
        <v>1237</v>
      </c>
      <c r="C520" s="433">
        <v>605964.30000000016</v>
      </c>
      <c r="E520" s="432">
        <v>95811</v>
      </c>
      <c r="F520" s="432" t="b">
        <v>1</v>
      </c>
    </row>
    <row r="521" spans="1:6">
      <c r="A521" s="432">
        <v>95813</v>
      </c>
      <c r="B521" s="432" t="s">
        <v>1238</v>
      </c>
      <c r="C521" s="433">
        <v>51751.80999999999</v>
      </c>
      <c r="E521" s="432">
        <v>95813</v>
      </c>
      <c r="F521" s="432" t="b">
        <v>1</v>
      </c>
    </row>
    <row r="522" spans="1:6">
      <c r="A522" s="432">
        <v>95821</v>
      </c>
      <c r="B522" s="432" t="s">
        <v>1239</v>
      </c>
      <c r="C522" s="433">
        <v>3418.94</v>
      </c>
      <c r="E522" s="432">
        <v>95821</v>
      </c>
      <c r="F522" s="432" t="b">
        <v>1</v>
      </c>
    </row>
    <row r="523" spans="1:6">
      <c r="A523" s="432">
        <v>95831</v>
      </c>
      <c r="B523" s="432" t="s">
        <v>1240</v>
      </c>
      <c r="C523" s="433">
        <v>24004.699999999997</v>
      </c>
      <c r="E523" s="432">
        <v>95831</v>
      </c>
      <c r="F523" s="432" t="b">
        <v>1</v>
      </c>
    </row>
    <row r="524" spans="1:6">
      <c r="A524" s="432">
        <v>95841</v>
      </c>
      <c r="B524" s="432" t="s">
        <v>1241</v>
      </c>
      <c r="C524" s="433">
        <v>22783.879999999997</v>
      </c>
      <c r="E524" s="432">
        <v>95841</v>
      </c>
      <c r="F524" s="432" t="b">
        <v>1</v>
      </c>
    </row>
    <row r="525" spans="1:6">
      <c r="A525" s="432">
        <v>95851</v>
      </c>
      <c r="B525" s="432" t="s">
        <v>1242</v>
      </c>
      <c r="C525" s="433">
        <v>87065.799999999988</v>
      </c>
      <c r="E525" s="432">
        <v>95851</v>
      </c>
      <c r="F525" s="432" t="b">
        <v>1</v>
      </c>
    </row>
    <row r="526" spans="1:6">
      <c r="A526" s="432">
        <v>95853</v>
      </c>
      <c r="B526" s="432" t="s">
        <v>1243</v>
      </c>
      <c r="C526" s="433">
        <v>29623.010000000002</v>
      </c>
      <c r="E526" s="432">
        <v>95853</v>
      </c>
      <c r="F526" s="432" t="b">
        <v>1</v>
      </c>
    </row>
    <row r="527" spans="1:6">
      <c r="A527" s="432">
        <v>95901</v>
      </c>
      <c r="B527" s="432" t="s">
        <v>1244</v>
      </c>
      <c r="C527" s="433">
        <v>2560164.5199999996</v>
      </c>
      <c r="E527" s="432">
        <v>95901</v>
      </c>
      <c r="F527" s="432" t="b">
        <v>1</v>
      </c>
    </row>
    <row r="528" spans="1:6">
      <c r="A528" s="432">
        <v>95908</v>
      </c>
      <c r="B528" s="432" t="s">
        <v>1245</v>
      </c>
      <c r="C528" s="433">
        <v>88001.899999999936</v>
      </c>
      <c r="E528" s="432">
        <v>95908</v>
      </c>
      <c r="F528" s="432" t="b">
        <v>1</v>
      </c>
    </row>
    <row r="529" spans="1:6">
      <c r="A529" s="432">
        <v>95911</v>
      </c>
      <c r="B529" s="432" t="s">
        <v>1246</v>
      </c>
      <c r="C529" s="433">
        <v>700114.65999999992</v>
      </c>
      <c r="E529" s="432">
        <v>95911</v>
      </c>
      <c r="F529" s="432" t="b">
        <v>1</v>
      </c>
    </row>
    <row r="530" spans="1:6">
      <c r="A530" s="432">
        <v>95917</v>
      </c>
      <c r="B530" s="432" t="s">
        <v>1247</v>
      </c>
      <c r="C530" s="433">
        <v>36461.39</v>
      </c>
      <c r="E530" s="432">
        <v>95917</v>
      </c>
      <c r="F530" s="432" t="b">
        <v>1</v>
      </c>
    </row>
    <row r="531" spans="1:6">
      <c r="A531" s="432">
        <v>95921</v>
      </c>
      <c r="B531" s="432" t="s">
        <v>1248</v>
      </c>
      <c r="C531" s="433">
        <v>65803.42</v>
      </c>
      <c r="E531" s="432">
        <v>95921</v>
      </c>
      <c r="F531" s="432" t="b">
        <v>1</v>
      </c>
    </row>
    <row r="532" spans="1:6">
      <c r="A532" s="432">
        <v>96001</v>
      </c>
      <c r="B532" s="432" t="s">
        <v>1249</v>
      </c>
      <c r="C532" s="433">
        <v>51550581.079999991</v>
      </c>
      <c r="E532" s="432">
        <v>96001</v>
      </c>
      <c r="F532" s="432" t="b">
        <v>1</v>
      </c>
    </row>
    <row r="533" spans="1:6">
      <c r="A533" s="432">
        <v>96003</v>
      </c>
      <c r="B533" s="432" t="s">
        <v>3723</v>
      </c>
      <c r="C533" s="433">
        <v>2068636.23</v>
      </c>
      <c r="E533" s="432">
        <v>96003</v>
      </c>
      <c r="F533" s="432" t="b">
        <v>1</v>
      </c>
    </row>
    <row r="534" spans="1:6">
      <c r="A534" s="432">
        <v>96004</v>
      </c>
      <c r="B534" s="432" t="s">
        <v>1251</v>
      </c>
      <c r="C534" s="433">
        <v>1770219.5699999996</v>
      </c>
      <c r="E534" s="432">
        <v>96004</v>
      </c>
      <c r="F534" s="432" t="b">
        <v>1</v>
      </c>
    </row>
    <row r="535" spans="1:6">
      <c r="A535" s="432">
        <v>96005</v>
      </c>
      <c r="B535" s="432" t="s">
        <v>1252</v>
      </c>
      <c r="C535" s="433">
        <v>3074302.4899999993</v>
      </c>
      <c r="E535" s="432">
        <v>96005</v>
      </c>
      <c r="F535" s="432" t="b">
        <v>1</v>
      </c>
    </row>
    <row r="536" spans="1:6">
      <c r="A536" s="432">
        <v>96008</v>
      </c>
      <c r="B536" s="432" t="s">
        <v>1253</v>
      </c>
      <c r="C536" s="433">
        <v>5512681.5200000005</v>
      </c>
      <c r="E536" s="432">
        <v>96008</v>
      </c>
      <c r="F536" s="432" t="b">
        <v>1</v>
      </c>
    </row>
    <row r="537" spans="1:6">
      <c r="A537" s="432">
        <v>96009</v>
      </c>
      <c r="B537" s="432" t="s">
        <v>1254</v>
      </c>
      <c r="C537" s="433">
        <v>494931.63999999996</v>
      </c>
      <c r="E537" s="432">
        <v>96009</v>
      </c>
      <c r="F537" s="432" t="b">
        <v>1</v>
      </c>
    </row>
    <row r="538" spans="1:6">
      <c r="A538" s="432">
        <v>96011</v>
      </c>
      <c r="B538" s="432" t="s">
        <v>1255</v>
      </c>
      <c r="C538" s="433">
        <v>74584287.230000004</v>
      </c>
      <c r="E538" s="432">
        <v>96011</v>
      </c>
      <c r="F538" s="432" t="b">
        <v>1</v>
      </c>
    </row>
    <row r="539" spans="1:6">
      <c r="A539" s="432">
        <v>96012</v>
      </c>
      <c r="B539" s="432" t="s">
        <v>3724</v>
      </c>
      <c r="C539" s="433">
        <v>3071760.0900000003</v>
      </c>
      <c r="E539" s="432">
        <v>96012</v>
      </c>
      <c r="F539" s="432" t="b">
        <v>1</v>
      </c>
    </row>
    <row r="540" spans="1:6">
      <c r="A540" s="432">
        <v>96018</v>
      </c>
      <c r="B540" s="432" t="s">
        <v>1257</v>
      </c>
      <c r="C540" s="433">
        <v>47619.5</v>
      </c>
      <c r="E540" s="432">
        <v>96018</v>
      </c>
      <c r="F540" s="432" t="b">
        <v>1</v>
      </c>
    </row>
    <row r="541" spans="1:6">
      <c r="A541" s="432">
        <v>96021</v>
      </c>
      <c r="B541" s="432" t="s">
        <v>1258</v>
      </c>
      <c r="C541" s="433">
        <v>885380.89000000013</v>
      </c>
      <c r="E541" s="432">
        <v>96021</v>
      </c>
      <c r="F541" s="432" t="b">
        <v>1</v>
      </c>
    </row>
    <row r="542" spans="1:6">
      <c r="A542" s="432">
        <v>96031</v>
      </c>
      <c r="B542" s="432" t="s">
        <v>1259</v>
      </c>
      <c r="C542" s="433">
        <v>1022921.7599999999</v>
      </c>
      <c r="E542" s="432">
        <v>96031</v>
      </c>
      <c r="F542" s="432" t="b">
        <v>1</v>
      </c>
    </row>
    <row r="543" spans="1:6">
      <c r="A543" s="432">
        <v>96041</v>
      </c>
      <c r="B543" s="432" t="s">
        <v>1260</v>
      </c>
      <c r="C543" s="433">
        <v>2380657.2900000005</v>
      </c>
      <c r="E543" s="432">
        <v>96041</v>
      </c>
      <c r="F543" s="432" t="b">
        <v>1</v>
      </c>
    </row>
    <row r="544" spans="1:6">
      <c r="A544" s="432">
        <v>96051</v>
      </c>
      <c r="B544" s="432" t="s">
        <v>1261</v>
      </c>
      <c r="C544" s="433">
        <v>1292827.94</v>
      </c>
      <c r="E544" s="432">
        <v>96051</v>
      </c>
      <c r="F544" s="432" t="b">
        <v>1</v>
      </c>
    </row>
    <row r="545" spans="1:6">
      <c r="A545" s="432">
        <v>96061</v>
      </c>
      <c r="B545" s="432" t="s">
        <v>1262</v>
      </c>
      <c r="C545" s="433">
        <v>429158.8</v>
      </c>
      <c r="E545" s="432">
        <v>96061</v>
      </c>
      <c r="F545" s="432" t="b">
        <v>1</v>
      </c>
    </row>
    <row r="546" spans="1:6">
      <c r="A546" s="432">
        <v>96071</v>
      </c>
      <c r="B546" s="432" t="s">
        <v>1263</v>
      </c>
      <c r="C546" s="433">
        <v>1712788.5600000003</v>
      </c>
      <c r="E546" s="432">
        <v>96071</v>
      </c>
      <c r="F546" s="432" t="b">
        <v>1</v>
      </c>
    </row>
    <row r="547" spans="1:6">
      <c r="A547" s="432">
        <v>96081</v>
      </c>
      <c r="B547" s="432" t="s">
        <v>1264</v>
      </c>
      <c r="C547" s="433">
        <v>822021.3600000001</v>
      </c>
      <c r="E547" s="432">
        <v>96081</v>
      </c>
      <c r="F547" s="432" t="b">
        <v>1</v>
      </c>
    </row>
    <row r="548" spans="1:6">
      <c r="A548" s="432">
        <v>96101</v>
      </c>
      <c r="B548" s="432" t="s">
        <v>1265</v>
      </c>
      <c r="C548" s="433">
        <v>874046.78000000049</v>
      </c>
      <c r="E548" s="432">
        <v>96101</v>
      </c>
      <c r="F548" s="432" t="b">
        <v>1</v>
      </c>
    </row>
    <row r="549" spans="1:6">
      <c r="A549" s="432">
        <v>96102</v>
      </c>
      <c r="B549" s="432" t="s">
        <v>1266</v>
      </c>
      <c r="C549" s="433">
        <v>7436.6900000000005</v>
      </c>
      <c r="E549" s="432">
        <v>96102</v>
      </c>
      <c r="F549" s="432" t="b">
        <v>1</v>
      </c>
    </row>
    <row r="550" spans="1:6">
      <c r="A550" s="432">
        <v>96111</v>
      </c>
      <c r="B550" s="432" t="s">
        <v>1267</v>
      </c>
      <c r="C550" s="433">
        <v>193641.57</v>
      </c>
      <c r="E550" s="432">
        <v>96111</v>
      </c>
      <c r="F550" s="432" t="b">
        <v>1</v>
      </c>
    </row>
    <row r="551" spans="1:6">
      <c r="A551" s="432">
        <v>96121</v>
      </c>
      <c r="B551" s="432" t="s">
        <v>1268</v>
      </c>
      <c r="C551" s="433">
        <v>10704.44</v>
      </c>
      <c r="E551" s="432">
        <v>96121</v>
      </c>
      <c r="F551" s="432" t="b">
        <v>1</v>
      </c>
    </row>
    <row r="552" spans="1:6">
      <c r="A552" s="432">
        <v>96201</v>
      </c>
      <c r="B552" s="432" t="s">
        <v>1269</v>
      </c>
      <c r="C552" s="433">
        <v>1388248.649999999</v>
      </c>
      <c r="E552" s="432">
        <v>96201</v>
      </c>
      <c r="F552" s="432" t="b">
        <v>1</v>
      </c>
    </row>
    <row r="553" spans="1:6">
      <c r="A553" s="432">
        <v>96204</v>
      </c>
      <c r="B553" s="432" t="s">
        <v>1270</v>
      </c>
      <c r="C553" s="433">
        <v>21080.489999999998</v>
      </c>
      <c r="E553" s="432">
        <v>96204</v>
      </c>
      <c r="F553" s="432" t="b">
        <v>1</v>
      </c>
    </row>
    <row r="554" spans="1:6">
      <c r="A554" s="432">
        <v>96211</v>
      </c>
      <c r="B554" s="432" t="s">
        <v>1271</v>
      </c>
      <c r="C554" s="433">
        <v>47283.21</v>
      </c>
      <c r="E554" s="432">
        <v>96211</v>
      </c>
      <c r="F554" s="432" t="b">
        <v>1</v>
      </c>
    </row>
    <row r="555" spans="1:6">
      <c r="A555" s="432">
        <v>96221</v>
      </c>
      <c r="B555" s="432" t="s">
        <v>1272</v>
      </c>
      <c r="C555" s="433">
        <v>204825.9</v>
      </c>
      <c r="E555" s="432">
        <v>96221</v>
      </c>
      <c r="F555" s="432" t="b">
        <v>1</v>
      </c>
    </row>
    <row r="556" spans="1:6">
      <c r="A556" s="432">
        <v>96231</v>
      </c>
      <c r="B556" s="432" t="s">
        <v>1273</v>
      </c>
      <c r="C556" s="433">
        <v>128338.98000000001</v>
      </c>
      <c r="E556" s="432">
        <v>96231</v>
      </c>
      <c r="F556" s="432" t="b">
        <v>1</v>
      </c>
    </row>
    <row r="557" spans="1:6">
      <c r="A557" s="432">
        <v>96241</v>
      </c>
      <c r="B557" s="432" t="s">
        <v>1274</v>
      </c>
      <c r="C557" s="433">
        <v>55509.100000000013</v>
      </c>
      <c r="E557" s="432">
        <v>96241</v>
      </c>
      <c r="F557" s="432" t="b">
        <v>1</v>
      </c>
    </row>
    <row r="558" spans="1:6">
      <c r="A558" s="432">
        <v>96251</v>
      </c>
      <c r="B558" s="432" t="s">
        <v>1275</v>
      </c>
      <c r="C558" s="433">
        <v>103983.47000000002</v>
      </c>
      <c r="E558" s="432">
        <v>96251</v>
      </c>
      <c r="F558" s="432" t="b">
        <v>1</v>
      </c>
    </row>
    <row r="559" spans="1:6">
      <c r="A559" s="432">
        <v>96301</v>
      </c>
      <c r="B559" s="432" t="s">
        <v>1276</v>
      </c>
      <c r="C559" s="433">
        <v>5644779.2600000007</v>
      </c>
      <c r="E559" s="432">
        <v>96301</v>
      </c>
      <c r="F559" s="432" t="b">
        <v>1</v>
      </c>
    </row>
    <row r="560" spans="1:6">
      <c r="A560" s="432">
        <v>96302</v>
      </c>
      <c r="B560" s="432" t="s">
        <v>1277</v>
      </c>
      <c r="C560" s="433">
        <v>36816.070000000007</v>
      </c>
      <c r="E560" s="432">
        <v>96302</v>
      </c>
      <c r="F560" s="432" t="b">
        <v>1</v>
      </c>
    </row>
    <row r="561" spans="1:6">
      <c r="A561" s="432">
        <v>96304</v>
      </c>
      <c r="B561" s="432" t="s">
        <v>1278</v>
      </c>
      <c r="C561" s="433">
        <v>98162.42</v>
      </c>
      <c r="E561" s="432">
        <v>96304</v>
      </c>
      <c r="F561" s="432" t="b">
        <v>1</v>
      </c>
    </row>
    <row r="562" spans="1:6">
      <c r="A562" s="432">
        <v>96305</v>
      </c>
      <c r="B562" s="432" t="s">
        <v>1279</v>
      </c>
      <c r="C562" s="433">
        <v>51056.28</v>
      </c>
      <c r="E562" s="432">
        <v>96305</v>
      </c>
      <c r="F562" s="432" t="b">
        <v>1</v>
      </c>
    </row>
    <row r="563" spans="1:6">
      <c r="A563" s="432">
        <v>96310</v>
      </c>
      <c r="B563" s="432" t="s">
        <v>1280</v>
      </c>
      <c r="C563" s="433">
        <v>87541.51</v>
      </c>
      <c r="E563" s="432">
        <v>96310</v>
      </c>
      <c r="F563" s="432" t="b">
        <v>1</v>
      </c>
    </row>
    <row r="564" spans="1:6">
      <c r="A564" s="432">
        <v>96311</v>
      </c>
      <c r="B564" s="432" t="s">
        <v>1281</v>
      </c>
      <c r="C564" s="433">
        <v>1533234.4799999997</v>
      </c>
      <c r="E564" s="432">
        <v>96311</v>
      </c>
      <c r="F564" s="432" t="b">
        <v>1</v>
      </c>
    </row>
    <row r="565" spans="1:6">
      <c r="A565" s="432">
        <v>96312</v>
      </c>
      <c r="B565" s="432" t="s">
        <v>1282</v>
      </c>
      <c r="C565" s="433">
        <v>11989.16</v>
      </c>
      <c r="E565" s="432">
        <v>96312</v>
      </c>
      <c r="F565" s="432" t="b">
        <v>1</v>
      </c>
    </row>
    <row r="566" spans="1:6">
      <c r="A566" s="432">
        <v>96318</v>
      </c>
      <c r="B566" s="432" t="s">
        <v>1283</v>
      </c>
      <c r="C566" s="433">
        <v>2287962.73</v>
      </c>
      <c r="E566" s="432">
        <v>96318</v>
      </c>
      <c r="F566" s="432" t="b">
        <v>1</v>
      </c>
    </row>
    <row r="567" spans="1:6">
      <c r="A567" s="432">
        <v>96321</v>
      </c>
      <c r="B567" s="432" t="s">
        <v>1284</v>
      </c>
      <c r="C567" s="433">
        <v>49721.590000000004</v>
      </c>
      <c r="E567" s="432">
        <v>96321</v>
      </c>
      <c r="F567" s="432" t="b">
        <v>1</v>
      </c>
    </row>
    <row r="568" spans="1:6">
      <c r="A568" s="432">
        <v>96331</v>
      </c>
      <c r="B568" s="432" t="s">
        <v>1285</v>
      </c>
      <c r="C568" s="433">
        <v>800104.2200000002</v>
      </c>
      <c r="E568" s="432">
        <v>96331</v>
      </c>
      <c r="F568" s="432" t="b">
        <v>1</v>
      </c>
    </row>
    <row r="569" spans="1:6">
      <c r="A569" s="432">
        <v>96341</v>
      </c>
      <c r="B569" s="432" t="s">
        <v>1286</v>
      </c>
      <c r="C569" s="433">
        <v>88452.310000000012</v>
      </c>
      <c r="E569" s="432">
        <v>96341</v>
      </c>
      <c r="F569" s="432" t="b">
        <v>1</v>
      </c>
    </row>
    <row r="570" spans="1:6">
      <c r="A570" s="432">
        <v>96351</v>
      </c>
      <c r="B570" s="432" t="s">
        <v>1287</v>
      </c>
      <c r="C570" s="433">
        <v>1256731.9499999997</v>
      </c>
      <c r="E570" s="432">
        <v>96351</v>
      </c>
      <c r="F570" s="432" t="b">
        <v>1</v>
      </c>
    </row>
    <row r="571" spans="1:6">
      <c r="A571" s="432">
        <v>96361</v>
      </c>
      <c r="B571" s="432" t="s">
        <v>1288</v>
      </c>
      <c r="C571" s="433">
        <v>103456.19000000002</v>
      </c>
      <c r="E571" s="432">
        <v>96361</v>
      </c>
      <c r="F571" s="432" t="b">
        <v>1</v>
      </c>
    </row>
    <row r="572" spans="1:6">
      <c r="A572" s="432">
        <v>96371</v>
      </c>
      <c r="B572" s="432" t="s">
        <v>1289</v>
      </c>
      <c r="C572" s="433">
        <v>202064.09</v>
      </c>
      <c r="E572" s="432">
        <v>96371</v>
      </c>
      <c r="F572" s="432" t="b">
        <v>1</v>
      </c>
    </row>
    <row r="573" spans="1:6">
      <c r="A573" s="432">
        <v>96381</v>
      </c>
      <c r="B573" s="432" t="s">
        <v>1290</v>
      </c>
      <c r="C573" s="433">
        <v>46493.38</v>
      </c>
      <c r="E573" s="432">
        <v>96381</v>
      </c>
      <c r="F573" s="432" t="b">
        <v>1</v>
      </c>
    </row>
    <row r="574" spans="1:6">
      <c r="A574" s="432">
        <v>96391</v>
      </c>
      <c r="B574" s="432" t="s">
        <v>1291</v>
      </c>
      <c r="C574" s="433">
        <v>203465.71000000002</v>
      </c>
      <c r="E574" s="432">
        <v>96391</v>
      </c>
      <c r="F574" s="432" t="b">
        <v>1</v>
      </c>
    </row>
    <row r="575" spans="1:6">
      <c r="A575" s="432">
        <v>96401</v>
      </c>
      <c r="B575" s="432" t="s">
        <v>1292</v>
      </c>
      <c r="C575" s="433">
        <v>4915736.9300000034</v>
      </c>
      <c r="E575" s="432">
        <v>96401</v>
      </c>
      <c r="F575" s="432" t="b">
        <v>1</v>
      </c>
    </row>
    <row r="576" spans="1:6">
      <c r="A576" s="432">
        <v>96404</v>
      </c>
      <c r="B576" s="432" t="s">
        <v>1293</v>
      </c>
      <c r="C576" s="433">
        <v>155441.17999999993</v>
      </c>
      <c r="E576" s="432">
        <v>96404</v>
      </c>
      <c r="F576" s="432" t="b">
        <v>1</v>
      </c>
    </row>
    <row r="577" spans="1:6">
      <c r="A577" s="432">
        <v>96405</v>
      </c>
      <c r="B577" s="432" t="s">
        <v>1294</v>
      </c>
      <c r="C577" s="433">
        <v>126859.17000000001</v>
      </c>
      <c r="E577" s="432">
        <v>96405</v>
      </c>
      <c r="F577" s="432" t="b">
        <v>1</v>
      </c>
    </row>
    <row r="578" spans="1:6">
      <c r="A578" s="432">
        <v>96411</v>
      </c>
      <c r="B578" s="432" t="s">
        <v>1295</v>
      </c>
      <c r="C578" s="433">
        <v>93763.620000000024</v>
      </c>
      <c r="E578" s="432">
        <v>96411</v>
      </c>
      <c r="F578" s="432" t="b">
        <v>1</v>
      </c>
    </row>
    <row r="579" spans="1:6">
      <c r="A579" s="432">
        <v>96421</v>
      </c>
      <c r="B579" s="432" t="s">
        <v>1296</v>
      </c>
      <c r="C579" s="433">
        <v>487663.26000000018</v>
      </c>
      <c r="E579" s="432">
        <v>96421</v>
      </c>
      <c r="F579" s="432" t="b">
        <v>1</v>
      </c>
    </row>
    <row r="580" spans="1:6">
      <c r="A580" s="432">
        <v>96431</v>
      </c>
      <c r="B580" s="432" t="s">
        <v>1297</v>
      </c>
      <c r="C580" s="433">
        <v>65406.55</v>
      </c>
      <c r="E580" s="432">
        <v>96431</v>
      </c>
      <c r="F580" s="432" t="b">
        <v>1</v>
      </c>
    </row>
    <row r="581" spans="1:6">
      <c r="A581" s="432">
        <v>96441</v>
      </c>
      <c r="B581" s="432" t="s">
        <v>1298</v>
      </c>
      <c r="C581" s="433">
        <v>28446.429999999993</v>
      </c>
      <c r="E581" s="432">
        <v>96441</v>
      </c>
      <c r="F581" s="432" t="b">
        <v>1</v>
      </c>
    </row>
    <row r="582" spans="1:6">
      <c r="A582" s="432">
        <v>96451</v>
      </c>
      <c r="B582" s="432" t="s">
        <v>1299</v>
      </c>
      <c r="C582" s="433">
        <v>12725.159999999998</v>
      </c>
      <c r="E582" s="432">
        <v>96451</v>
      </c>
      <c r="F582" s="432" t="b">
        <v>1</v>
      </c>
    </row>
    <row r="583" spans="1:6">
      <c r="A583" s="432">
        <v>96461</v>
      </c>
      <c r="B583" s="432" t="s">
        <v>1300</v>
      </c>
      <c r="C583" s="433">
        <v>158620.09000000003</v>
      </c>
      <c r="E583" s="432">
        <v>96461</v>
      </c>
      <c r="F583" s="432" t="b">
        <v>1</v>
      </c>
    </row>
    <row r="584" spans="1:6">
      <c r="A584" s="432">
        <v>96501</v>
      </c>
      <c r="B584" s="432" t="s">
        <v>1301</v>
      </c>
      <c r="C584" s="433">
        <v>18692118.879999999</v>
      </c>
      <c r="E584" s="432">
        <v>96501</v>
      </c>
      <c r="F584" s="432" t="b">
        <v>1</v>
      </c>
    </row>
    <row r="585" spans="1:6">
      <c r="A585" s="432">
        <v>96502</v>
      </c>
      <c r="B585" s="432" t="s">
        <v>1302</v>
      </c>
      <c r="C585" s="433">
        <v>418569.71</v>
      </c>
      <c r="E585" s="432">
        <v>96502</v>
      </c>
      <c r="F585" s="432" t="b">
        <v>1</v>
      </c>
    </row>
    <row r="586" spans="1:6">
      <c r="A586" s="432">
        <v>96503</v>
      </c>
      <c r="B586" s="432" t="s">
        <v>1303</v>
      </c>
      <c r="C586" s="433">
        <v>685125.44</v>
      </c>
      <c r="E586" s="432">
        <v>96503</v>
      </c>
      <c r="F586" s="432" t="b">
        <v>1</v>
      </c>
    </row>
    <row r="587" spans="1:6">
      <c r="A587" s="432">
        <v>96504</v>
      </c>
      <c r="B587" s="432" t="s">
        <v>1304</v>
      </c>
      <c r="C587" s="433">
        <v>414241.84999999992</v>
      </c>
      <c r="E587" s="432">
        <v>96504</v>
      </c>
      <c r="F587" s="432" t="b">
        <v>1</v>
      </c>
    </row>
    <row r="588" spans="1:6">
      <c r="A588" s="432">
        <v>96507</v>
      </c>
      <c r="B588" s="432" t="s">
        <v>1305</v>
      </c>
      <c r="C588" s="433">
        <v>2878311.76</v>
      </c>
      <c r="E588" s="432">
        <v>96507</v>
      </c>
      <c r="F588" s="432" t="b">
        <v>1</v>
      </c>
    </row>
    <row r="589" spans="1:6">
      <c r="A589" s="432">
        <v>96508</v>
      </c>
      <c r="B589" s="432" t="s">
        <v>1306</v>
      </c>
      <c r="C589" s="433">
        <v>24452.280000000002</v>
      </c>
      <c r="E589" s="432">
        <v>96508</v>
      </c>
      <c r="F589" s="432" t="b">
        <v>1</v>
      </c>
    </row>
    <row r="590" spans="1:6">
      <c r="A590" s="432">
        <v>96511</v>
      </c>
      <c r="B590" s="432" t="s">
        <v>1307</v>
      </c>
      <c r="C590" s="433">
        <v>639832.5</v>
      </c>
      <c r="E590" s="432">
        <v>96511</v>
      </c>
      <c r="F590" s="432" t="b">
        <v>1</v>
      </c>
    </row>
    <row r="591" spans="1:6">
      <c r="A591" s="432">
        <v>96512</v>
      </c>
      <c r="B591" s="432" t="s">
        <v>1308</v>
      </c>
      <c r="C591" s="433">
        <v>209219.94</v>
      </c>
      <c r="E591" s="432">
        <v>96512</v>
      </c>
      <c r="F591" s="432" t="b">
        <v>1</v>
      </c>
    </row>
    <row r="592" spans="1:6">
      <c r="A592" s="432">
        <v>96521</v>
      </c>
      <c r="B592" s="432" t="s">
        <v>1309</v>
      </c>
      <c r="C592" s="433">
        <v>1068938.79</v>
      </c>
      <c r="E592" s="432">
        <v>96521</v>
      </c>
      <c r="F592" s="432" t="b">
        <v>1</v>
      </c>
    </row>
    <row r="593" spans="1:6">
      <c r="A593" s="432">
        <v>96531</v>
      </c>
      <c r="B593" s="432" t="s">
        <v>1310</v>
      </c>
      <c r="C593" s="433">
        <v>9153401.5600000024</v>
      </c>
      <c r="E593" s="432">
        <v>96531</v>
      </c>
      <c r="F593" s="432" t="b">
        <v>1</v>
      </c>
    </row>
    <row r="594" spans="1:6">
      <c r="A594" s="432">
        <v>96541</v>
      </c>
      <c r="B594" s="432" t="s">
        <v>1311</v>
      </c>
      <c r="C594" s="433">
        <v>475841.46000000008</v>
      </c>
      <c r="E594" s="432">
        <v>96541</v>
      </c>
      <c r="F594" s="432" t="b">
        <v>1</v>
      </c>
    </row>
    <row r="595" spans="1:6">
      <c r="A595" s="432">
        <v>96601</v>
      </c>
      <c r="B595" s="432" t="s">
        <v>1312</v>
      </c>
      <c r="C595" s="433">
        <v>1748640.4899999998</v>
      </c>
      <c r="E595" s="432">
        <v>96601</v>
      </c>
      <c r="F595" s="432" t="b">
        <v>1</v>
      </c>
    </row>
    <row r="596" spans="1:6">
      <c r="A596" s="432">
        <v>96604</v>
      </c>
      <c r="B596" s="432" t="s">
        <v>1313</v>
      </c>
      <c r="C596" s="433">
        <v>10041.280000000002</v>
      </c>
      <c r="E596" s="432">
        <v>96604</v>
      </c>
      <c r="F596" s="432" t="b">
        <v>1</v>
      </c>
    </row>
    <row r="597" spans="1:6">
      <c r="A597" s="432">
        <v>96611</v>
      </c>
      <c r="B597" s="432" t="s">
        <v>1314</v>
      </c>
      <c r="C597" s="433">
        <v>44654.419999999984</v>
      </c>
      <c r="E597" s="432">
        <v>96611</v>
      </c>
      <c r="F597" s="432" t="b">
        <v>1</v>
      </c>
    </row>
    <row r="598" spans="1:6">
      <c r="A598" s="432">
        <v>96612</v>
      </c>
      <c r="B598" s="432" t="s">
        <v>1315</v>
      </c>
      <c r="C598" s="433">
        <v>47340.789999999994</v>
      </c>
      <c r="E598" s="432">
        <v>96612</v>
      </c>
      <c r="F598" s="432" t="b">
        <v>1</v>
      </c>
    </row>
    <row r="599" spans="1:6">
      <c r="A599" s="432">
        <v>96621</v>
      </c>
      <c r="B599" s="432" t="s">
        <v>1316</v>
      </c>
      <c r="C599" s="433">
        <v>19077.730000000003</v>
      </c>
      <c r="E599" s="432">
        <v>96621</v>
      </c>
      <c r="F599" s="432" t="b">
        <v>1</v>
      </c>
    </row>
    <row r="600" spans="1:6">
      <c r="A600" s="432">
        <v>96631</v>
      </c>
      <c r="B600" s="432" t="s">
        <v>1317</v>
      </c>
      <c r="C600" s="433">
        <v>43524.390000000014</v>
      </c>
      <c r="E600" s="432">
        <v>96631</v>
      </c>
      <c r="F600" s="432" t="b">
        <v>1</v>
      </c>
    </row>
    <row r="601" spans="1:6">
      <c r="A601" s="432">
        <v>96641</v>
      </c>
      <c r="B601" s="432" t="s">
        <v>1318</v>
      </c>
      <c r="C601" s="433">
        <v>38285.870000000003</v>
      </c>
      <c r="E601" s="432">
        <v>96641</v>
      </c>
      <c r="F601" s="432" t="b">
        <v>1</v>
      </c>
    </row>
    <row r="602" spans="1:6">
      <c r="A602" s="432">
        <v>96651</v>
      </c>
      <c r="B602" s="432" t="s">
        <v>1319</v>
      </c>
      <c r="C602" s="433">
        <v>28234.150000000009</v>
      </c>
      <c r="E602" s="432">
        <v>96651</v>
      </c>
      <c r="F602" s="432" t="b">
        <v>1</v>
      </c>
    </row>
    <row r="603" spans="1:6">
      <c r="A603" s="432">
        <v>96661</v>
      </c>
      <c r="B603" s="432" t="s">
        <v>1320</v>
      </c>
      <c r="C603" s="433">
        <v>21698.630000000019</v>
      </c>
      <c r="E603" s="432">
        <v>96661</v>
      </c>
      <c r="F603" s="432" t="b">
        <v>1</v>
      </c>
    </row>
    <row r="604" spans="1:6">
      <c r="A604" s="432">
        <v>96671</v>
      </c>
      <c r="B604" s="432" t="s">
        <v>1321</v>
      </c>
      <c r="C604" s="433">
        <v>18047.080000000002</v>
      </c>
      <c r="E604" s="432">
        <v>96671</v>
      </c>
      <c r="F604" s="432" t="b">
        <v>1</v>
      </c>
    </row>
    <row r="605" spans="1:6">
      <c r="A605" s="432">
        <v>96681</v>
      </c>
      <c r="B605" s="432" t="s">
        <v>1322</v>
      </c>
      <c r="C605" s="433">
        <v>46678.53</v>
      </c>
      <c r="E605" s="432">
        <v>96681</v>
      </c>
      <c r="F605" s="432" t="b">
        <v>1</v>
      </c>
    </row>
    <row r="606" spans="1:6">
      <c r="A606" s="432">
        <v>96701</v>
      </c>
      <c r="B606" s="432" t="s">
        <v>1323</v>
      </c>
      <c r="C606" s="433">
        <v>9469389.2699999977</v>
      </c>
      <c r="E606" s="432">
        <v>96701</v>
      </c>
      <c r="F606" s="432" t="b">
        <v>1</v>
      </c>
    </row>
    <row r="607" spans="1:6">
      <c r="A607" s="432">
        <v>96704</v>
      </c>
      <c r="B607" s="432" t="s">
        <v>1324</v>
      </c>
      <c r="C607" s="433">
        <v>374756.03</v>
      </c>
      <c r="E607" s="432">
        <v>96704</v>
      </c>
      <c r="F607" s="432" t="b">
        <v>1</v>
      </c>
    </row>
    <row r="608" spans="1:6">
      <c r="A608" s="432">
        <v>96708</v>
      </c>
      <c r="B608" s="432" t="s">
        <v>1325</v>
      </c>
      <c r="C608" s="433">
        <v>1275766.6500000001</v>
      </c>
      <c r="E608" s="432">
        <v>96708</v>
      </c>
      <c r="F608" s="432" t="b">
        <v>1</v>
      </c>
    </row>
    <row r="609" spans="1:6">
      <c r="A609" s="432">
        <v>96711</v>
      </c>
      <c r="B609" s="432" t="s">
        <v>1326</v>
      </c>
      <c r="C609" s="433">
        <v>4450626.5299999993</v>
      </c>
      <c r="E609" s="432">
        <v>96711</v>
      </c>
      <c r="F609" s="432" t="b">
        <v>1</v>
      </c>
    </row>
    <row r="610" spans="1:6">
      <c r="A610" s="432">
        <v>96721</v>
      </c>
      <c r="B610" s="432" t="s">
        <v>1327</v>
      </c>
      <c r="C610" s="433">
        <v>322772.7</v>
      </c>
      <c r="E610" s="432">
        <v>96721</v>
      </c>
      <c r="F610" s="432" t="b">
        <v>1</v>
      </c>
    </row>
    <row r="611" spans="1:6">
      <c r="A611" s="432">
        <v>96722</v>
      </c>
      <c r="B611" s="432" t="s">
        <v>3757</v>
      </c>
      <c r="C611" s="433">
        <v>24898.560000000005</v>
      </c>
      <c r="E611" s="432">
        <v>96722</v>
      </c>
      <c r="F611" s="432" t="b">
        <v>1</v>
      </c>
    </row>
    <row r="612" spans="1:6">
      <c r="A612" s="432">
        <v>96731</v>
      </c>
      <c r="B612" s="432" t="s">
        <v>1328</v>
      </c>
      <c r="C612" s="433">
        <v>243170.56999999998</v>
      </c>
      <c r="E612" s="432">
        <v>96731</v>
      </c>
      <c r="F612" s="432" t="b">
        <v>1</v>
      </c>
    </row>
    <row r="613" spans="1:6">
      <c r="A613" s="432">
        <v>96741</v>
      </c>
      <c r="B613" s="432" t="s">
        <v>1330</v>
      </c>
      <c r="C613" s="433">
        <v>98021.25999999998</v>
      </c>
      <c r="E613" s="432">
        <v>96741</v>
      </c>
      <c r="F613" s="432" t="b">
        <v>1</v>
      </c>
    </row>
    <row r="614" spans="1:6">
      <c r="A614" s="432">
        <v>96751</v>
      </c>
      <c r="B614" s="432" t="s">
        <v>1331</v>
      </c>
      <c r="C614" s="433">
        <v>329967.08</v>
      </c>
      <c r="E614" s="432">
        <v>96751</v>
      </c>
      <c r="F614" s="432" t="b">
        <v>1</v>
      </c>
    </row>
    <row r="615" spans="1:6">
      <c r="A615" s="432">
        <v>96801</v>
      </c>
      <c r="B615" s="432" t="s">
        <v>1332</v>
      </c>
      <c r="C615" s="433">
        <v>9222877.5600000005</v>
      </c>
      <c r="E615" s="432">
        <v>96801</v>
      </c>
      <c r="F615" s="432" t="b">
        <v>1</v>
      </c>
    </row>
    <row r="616" spans="1:6">
      <c r="A616" s="432">
        <v>96804</v>
      </c>
      <c r="B616" s="432" t="s">
        <v>1333</v>
      </c>
      <c r="C616" s="433">
        <v>300451.17000000004</v>
      </c>
      <c r="E616" s="432">
        <v>96804</v>
      </c>
      <c r="F616" s="432" t="b">
        <v>1</v>
      </c>
    </row>
    <row r="617" spans="1:6">
      <c r="A617" s="432">
        <v>96808</v>
      </c>
      <c r="B617" s="432" t="s">
        <v>1334</v>
      </c>
      <c r="C617" s="433">
        <v>1395677.0999999999</v>
      </c>
      <c r="E617" s="432">
        <v>96808</v>
      </c>
      <c r="F617" s="432" t="b">
        <v>1</v>
      </c>
    </row>
    <row r="618" spans="1:6">
      <c r="A618" s="432">
        <v>96811</v>
      </c>
      <c r="B618" s="432" t="s">
        <v>1335</v>
      </c>
      <c r="C618" s="433">
        <v>6767796.3700000029</v>
      </c>
      <c r="E618" s="432">
        <v>96811</v>
      </c>
      <c r="F618" s="432" t="b">
        <v>1</v>
      </c>
    </row>
    <row r="619" spans="1:6">
      <c r="A619" s="432">
        <v>96821</v>
      </c>
      <c r="B619" s="432" t="s">
        <v>1336</v>
      </c>
      <c r="C619" s="433">
        <v>1457615.3800000004</v>
      </c>
      <c r="E619" s="432">
        <v>96821</v>
      </c>
      <c r="F619" s="432" t="b">
        <v>1</v>
      </c>
    </row>
    <row r="620" spans="1:6">
      <c r="A620" s="432">
        <v>96831</v>
      </c>
      <c r="B620" s="432" t="s">
        <v>1337</v>
      </c>
      <c r="C620" s="433">
        <v>1112154.7199999997</v>
      </c>
      <c r="E620" s="432">
        <v>96831</v>
      </c>
      <c r="F620" s="432" t="b">
        <v>1</v>
      </c>
    </row>
    <row r="621" spans="1:6">
      <c r="A621" s="432">
        <v>96901</v>
      </c>
      <c r="B621" s="432" t="s">
        <v>1338</v>
      </c>
      <c r="C621" s="433">
        <v>1030890.4800000004</v>
      </c>
      <c r="E621" s="432">
        <v>96901</v>
      </c>
      <c r="F621" s="432" t="b">
        <v>1</v>
      </c>
    </row>
    <row r="622" spans="1:6">
      <c r="A622" s="432">
        <v>96911</v>
      </c>
      <c r="B622" s="432" t="s">
        <v>1339</v>
      </c>
      <c r="C622" s="433">
        <v>5423.74</v>
      </c>
      <c r="E622" s="432">
        <v>96911</v>
      </c>
      <c r="F622" s="432" t="b">
        <v>1</v>
      </c>
    </row>
    <row r="623" spans="1:6">
      <c r="A623" s="432">
        <v>96912</v>
      </c>
      <c r="B623" s="432" t="s">
        <v>1340</v>
      </c>
      <c r="C623" s="433">
        <v>72157.89999999998</v>
      </c>
      <c r="E623" s="432">
        <v>96912</v>
      </c>
      <c r="F623" s="432" t="b">
        <v>1</v>
      </c>
    </row>
    <row r="624" spans="1:6">
      <c r="A624" s="432">
        <v>96918</v>
      </c>
      <c r="B624" s="432" t="s">
        <v>1341</v>
      </c>
      <c r="C624" s="433">
        <v>49960.770000000004</v>
      </c>
      <c r="E624" s="432">
        <v>96918</v>
      </c>
      <c r="F624" s="432" t="b">
        <v>1</v>
      </c>
    </row>
    <row r="625" spans="1:6">
      <c r="A625" s="432">
        <v>97001</v>
      </c>
      <c r="B625" s="432" t="s">
        <v>1342</v>
      </c>
      <c r="C625" s="433">
        <v>1858367.6999999995</v>
      </c>
      <c r="E625" s="432">
        <v>97001</v>
      </c>
      <c r="F625" s="432" t="b">
        <v>1</v>
      </c>
    </row>
    <row r="626" spans="1:6">
      <c r="A626" s="432">
        <v>97002</v>
      </c>
      <c r="B626" s="432" t="s">
        <v>1343</v>
      </c>
      <c r="C626" s="433">
        <v>382463.60999999981</v>
      </c>
      <c r="E626" s="432">
        <v>97002</v>
      </c>
      <c r="F626" s="432" t="b">
        <v>1</v>
      </c>
    </row>
    <row r="627" spans="1:6">
      <c r="A627" s="432">
        <v>97004</v>
      </c>
      <c r="B627" s="432" t="s">
        <v>1344</v>
      </c>
      <c r="C627" s="433">
        <v>16903.419999999998</v>
      </c>
      <c r="E627" s="432">
        <v>97004</v>
      </c>
      <c r="F627" s="432" t="b">
        <v>1</v>
      </c>
    </row>
    <row r="628" spans="1:6">
      <c r="A628" s="432">
        <v>97005</v>
      </c>
      <c r="B628" s="432" t="s">
        <v>1345</v>
      </c>
      <c r="C628" s="433">
        <v>36819.540000000008</v>
      </c>
      <c r="E628" s="432">
        <v>97005</v>
      </c>
      <c r="F628" s="432" t="b">
        <v>1</v>
      </c>
    </row>
    <row r="629" spans="1:6">
      <c r="A629" s="432">
        <v>97008</v>
      </c>
      <c r="B629" s="432" t="s">
        <v>1346</v>
      </c>
      <c r="C629" s="433">
        <v>312804.40000000002</v>
      </c>
      <c r="E629" s="432">
        <v>97008</v>
      </c>
      <c r="F629" s="432" t="b">
        <v>1</v>
      </c>
    </row>
    <row r="630" spans="1:6">
      <c r="A630" s="432">
        <v>97011</v>
      </c>
      <c r="B630" s="432" t="s">
        <v>1348</v>
      </c>
      <c r="C630" s="433">
        <v>1846155.2200000002</v>
      </c>
      <c r="E630" s="432">
        <v>97011</v>
      </c>
      <c r="F630" s="432" t="b">
        <v>1</v>
      </c>
    </row>
    <row r="631" spans="1:6">
      <c r="A631" s="432">
        <v>97012</v>
      </c>
      <c r="B631" s="432" t="s">
        <v>1349</v>
      </c>
      <c r="C631" s="433">
        <v>33382.26</v>
      </c>
      <c r="E631" s="432">
        <v>97012</v>
      </c>
      <c r="F631" s="432" t="b">
        <v>1</v>
      </c>
    </row>
    <row r="632" spans="1:6">
      <c r="A632" s="432">
        <v>97013</v>
      </c>
      <c r="B632" s="432" t="s">
        <v>1350</v>
      </c>
      <c r="C632" s="433">
        <v>17621.129999999997</v>
      </c>
      <c r="E632" s="432">
        <v>97013</v>
      </c>
      <c r="F632" s="432" t="b">
        <v>1</v>
      </c>
    </row>
    <row r="633" spans="1:6">
      <c r="A633" s="432">
        <v>97015</v>
      </c>
      <c r="B633" s="432" t="s">
        <v>1351</v>
      </c>
      <c r="C633" s="433">
        <v>48686.73</v>
      </c>
      <c r="E633" s="432">
        <v>97015</v>
      </c>
      <c r="F633" s="432" t="b">
        <v>1</v>
      </c>
    </row>
    <row r="634" spans="1:6">
      <c r="A634" s="432">
        <v>97018</v>
      </c>
      <c r="B634" s="432" t="s">
        <v>1352</v>
      </c>
      <c r="C634" s="433">
        <v>5309.33</v>
      </c>
      <c r="E634" s="432">
        <v>97018</v>
      </c>
      <c r="F634" s="432" t="b">
        <v>1</v>
      </c>
    </row>
    <row r="635" spans="1:6">
      <c r="A635" s="432">
        <v>97101</v>
      </c>
      <c r="B635" s="432" t="s">
        <v>1353</v>
      </c>
      <c r="C635" s="433">
        <v>3552465.3599999989</v>
      </c>
      <c r="E635" s="432">
        <v>97101</v>
      </c>
      <c r="F635" s="432" t="b">
        <v>1</v>
      </c>
    </row>
    <row r="636" spans="1:6">
      <c r="A636" s="432">
        <v>97104</v>
      </c>
      <c r="B636" s="432" t="s">
        <v>1354</v>
      </c>
      <c r="C636" s="433">
        <v>94387.98</v>
      </c>
      <c r="E636" s="432">
        <v>97104</v>
      </c>
      <c r="F636" s="432" t="b">
        <v>1</v>
      </c>
    </row>
    <row r="637" spans="1:6">
      <c r="A637" s="432">
        <v>97111</v>
      </c>
      <c r="B637" s="432" t="s">
        <v>1355</v>
      </c>
      <c r="C637" s="433">
        <v>409560.56999999995</v>
      </c>
      <c r="E637" s="432">
        <v>97111</v>
      </c>
      <c r="F637" s="432" t="b">
        <v>1</v>
      </c>
    </row>
    <row r="638" spans="1:6">
      <c r="A638" s="432">
        <v>97121</v>
      </c>
      <c r="B638" s="432" t="s">
        <v>1356</v>
      </c>
      <c r="C638" s="433">
        <v>257413.04999999996</v>
      </c>
      <c r="E638" s="432">
        <v>97121</v>
      </c>
      <c r="F638" s="432" t="b">
        <v>1</v>
      </c>
    </row>
    <row r="639" spans="1:6">
      <c r="A639" s="432">
        <v>97131</v>
      </c>
      <c r="B639" s="432" t="s">
        <v>1357</v>
      </c>
      <c r="C639" s="433">
        <v>831140.10000000009</v>
      </c>
      <c r="E639" s="432">
        <v>97131</v>
      </c>
      <c r="F639" s="432" t="b">
        <v>1</v>
      </c>
    </row>
    <row r="640" spans="1:6">
      <c r="A640" s="432">
        <v>97201</v>
      </c>
      <c r="B640" s="432" t="s">
        <v>1358</v>
      </c>
      <c r="C640" s="433">
        <v>820927.82999999973</v>
      </c>
      <c r="E640" s="432">
        <v>97201</v>
      </c>
      <c r="F640" s="432" t="b">
        <v>1</v>
      </c>
    </row>
    <row r="641" spans="1:6">
      <c r="A641" s="432">
        <v>97211</v>
      </c>
      <c r="B641" s="432" t="s">
        <v>1359</v>
      </c>
      <c r="C641" s="433">
        <v>111554.73999999999</v>
      </c>
      <c r="E641" s="432">
        <v>97211</v>
      </c>
      <c r="F641" s="432" t="b">
        <v>1</v>
      </c>
    </row>
    <row r="642" spans="1:6">
      <c r="A642" s="432">
        <v>97213</v>
      </c>
      <c r="B642" s="432" t="s">
        <v>1360</v>
      </c>
      <c r="C642" s="433">
        <v>42801.030000000006</v>
      </c>
      <c r="E642" s="432">
        <v>97213</v>
      </c>
      <c r="F642" s="432" t="b">
        <v>1</v>
      </c>
    </row>
    <row r="643" spans="1:6">
      <c r="A643" s="432">
        <v>97217</v>
      </c>
      <c r="B643" s="432" t="s">
        <v>1361</v>
      </c>
      <c r="C643" s="433">
        <v>15475.3</v>
      </c>
      <c r="E643" s="432">
        <v>97217</v>
      </c>
      <c r="F643" s="432" t="b">
        <v>1</v>
      </c>
    </row>
    <row r="644" spans="1:6">
      <c r="A644" s="432">
        <v>97221</v>
      </c>
      <c r="B644" s="432" t="s">
        <v>1362</v>
      </c>
      <c r="C644" s="433">
        <v>10044.52</v>
      </c>
      <c r="E644" s="432">
        <v>97221</v>
      </c>
      <c r="F644" s="432" t="b">
        <v>1</v>
      </c>
    </row>
    <row r="645" spans="1:6">
      <c r="A645" s="432">
        <v>97301</v>
      </c>
      <c r="B645" s="432" t="s">
        <v>1363</v>
      </c>
      <c r="C645" s="433">
        <v>2906506.55</v>
      </c>
      <c r="E645" s="432">
        <v>97301</v>
      </c>
      <c r="F645" s="432" t="b">
        <v>1</v>
      </c>
    </row>
    <row r="646" spans="1:6">
      <c r="A646" s="432">
        <v>97302</v>
      </c>
      <c r="B646" s="432" t="s">
        <v>3611</v>
      </c>
      <c r="C646" s="433">
        <v>62291.37</v>
      </c>
      <c r="E646" s="432">
        <v>97302</v>
      </c>
      <c r="F646" s="432" t="b">
        <v>1</v>
      </c>
    </row>
    <row r="647" spans="1:6">
      <c r="A647" s="432">
        <v>97304</v>
      </c>
      <c r="B647" s="432" t="s">
        <v>1364</v>
      </c>
      <c r="C647" s="433">
        <v>42978.65</v>
      </c>
      <c r="E647" s="432">
        <v>97304</v>
      </c>
      <c r="F647" s="432" t="b">
        <v>1</v>
      </c>
    </row>
    <row r="648" spans="1:6">
      <c r="A648" s="432">
        <v>97311</v>
      </c>
      <c r="B648" s="432" t="s">
        <v>1365</v>
      </c>
      <c r="C648" s="433">
        <v>914419.51000000013</v>
      </c>
      <c r="E648" s="432">
        <v>97311</v>
      </c>
      <c r="F648" s="432" t="b">
        <v>1</v>
      </c>
    </row>
    <row r="649" spans="1:6">
      <c r="A649" s="432">
        <v>97401</v>
      </c>
      <c r="B649" s="432" t="s">
        <v>1366</v>
      </c>
      <c r="C649" s="433">
        <v>7797394.5199999986</v>
      </c>
      <c r="E649" s="432">
        <v>97401</v>
      </c>
      <c r="F649" s="432" t="b">
        <v>1</v>
      </c>
    </row>
    <row r="650" spans="1:6">
      <c r="A650" s="432">
        <v>97402</v>
      </c>
      <c r="B650" s="432" t="s">
        <v>1367</v>
      </c>
      <c r="C650" s="433">
        <v>46863.709999999985</v>
      </c>
      <c r="E650" s="432">
        <v>97402</v>
      </c>
      <c r="F650" s="432" t="b">
        <v>1</v>
      </c>
    </row>
    <row r="651" spans="1:6">
      <c r="A651" s="432">
        <v>97404</v>
      </c>
      <c r="B651" s="432" t="s">
        <v>1368</v>
      </c>
      <c r="C651" s="433">
        <v>316098.06999999977</v>
      </c>
      <c r="E651" s="432">
        <v>97404</v>
      </c>
      <c r="F651" s="432" t="b">
        <v>1</v>
      </c>
    </row>
    <row r="652" spans="1:6">
      <c r="A652" s="432">
        <v>97405</v>
      </c>
      <c r="B652" s="432" t="s">
        <v>1369</v>
      </c>
      <c r="C652" s="433">
        <v>120144.67000000001</v>
      </c>
      <c r="E652" s="432">
        <v>97405</v>
      </c>
      <c r="F652" s="432" t="b">
        <v>1</v>
      </c>
    </row>
    <row r="653" spans="1:6">
      <c r="A653" s="432">
        <v>97408</v>
      </c>
      <c r="B653" s="432" t="s">
        <v>1370</v>
      </c>
      <c r="C653" s="433">
        <v>59282.97</v>
      </c>
      <c r="E653" s="432">
        <v>97408</v>
      </c>
      <c r="F653" s="432" t="b">
        <v>1</v>
      </c>
    </row>
    <row r="654" spans="1:6">
      <c r="A654" s="432">
        <v>97411</v>
      </c>
      <c r="B654" s="432" t="s">
        <v>1371</v>
      </c>
      <c r="C654" s="433">
        <v>6513007.0199999986</v>
      </c>
      <c r="E654" s="432">
        <v>97411</v>
      </c>
      <c r="F654" s="432" t="b">
        <v>1</v>
      </c>
    </row>
    <row r="655" spans="1:6">
      <c r="A655" s="432">
        <v>97412</v>
      </c>
      <c r="B655" s="432" t="s">
        <v>1372</v>
      </c>
      <c r="C655" s="433">
        <v>5007139.24</v>
      </c>
      <c r="E655" s="432">
        <v>97412</v>
      </c>
      <c r="F655" s="432" t="b">
        <v>1</v>
      </c>
    </row>
    <row r="656" spans="1:6">
      <c r="A656" s="432">
        <v>97413</v>
      </c>
      <c r="B656" s="432" t="s">
        <v>1373</v>
      </c>
      <c r="C656" s="433">
        <v>338074.56</v>
      </c>
      <c r="E656" s="432">
        <v>97413</v>
      </c>
      <c r="F656" s="432" t="b">
        <v>1</v>
      </c>
    </row>
    <row r="657" spans="1:6">
      <c r="A657" s="432">
        <v>97421</v>
      </c>
      <c r="B657" s="432" t="s">
        <v>1374</v>
      </c>
      <c r="C657" s="433">
        <v>444404.75000000006</v>
      </c>
      <c r="E657" s="432">
        <v>97421</v>
      </c>
      <c r="F657" s="432" t="b">
        <v>1</v>
      </c>
    </row>
    <row r="658" spans="1:6">
      <c r="A658" s="432">
        <v>97423</v>
      </c>
      <c r="B658" s="432" t="s">
        <v>1375</v>
      </c>
      <c r="C658" s="433">
        <v>70176.219999999987</v>
      </c>
      <c r="E658" s="432">
        <v>97423</v>
      </c>
      <c r="F658" s="432" t="b">
        <v>1</v>
      </c>
    </row>
    <row r="659" spans="1:6">
      <c r="A659" s="432">
        <v>97431</v>
      </c>
      <c r="B659" s="432" t="s">
        <v>1376</v>
      </c>
      <c r="C659" s="433">
        <v>100829.23</v>
      </c>
      <c r="E659" s="432">
        <v>97431</v>
      </c>
      <c r="F659" s="432" t="b">
        <v>1</v>
      </c>
    </row>
    <row r="660" spans="1:6">
      <c r="A660" s="432">
        <v>97441</v>
      </c>
      <c r="B660" s="432" t="s">
        <v>1377</v>
      </c>
      <c r="C660" s="433">
        <v>15965.5</v>
      </c>
      <c r="E660" s="432">
        <v>97441</v>
      </c>
      <c r="F660" s="432" t="b">
        <v>1</v>
      </c>
    </row>
    <row r="661" spans="1:6">
      <c r="A661" s="432">
        <v>97451</v>
      </c>
      <c r="B661" s="432" t="s">
        <v>1378</v>
      </c>
      <c r="C661" s="433">
        <v>683687.91999999993</v>
      </c>
      <c r="E661" s="432">
        <v>97451</v>
      </c>
      <c r="F661" s="432" t="b">
        <v>1</v>
      </c>
    </row>
    <row r="662" spans="1:6">
      <c r="A662" s="432">
        <v>97461</v>
      </c>
      <c r="B662" s="432" t="s">
        <v>1379</v>
      </c>
      <c r="C662" s="433">
        <v>553102.25999999989</v>
      </c>
      <c r="E662" s="432">
        <v>97461</v>
      </c>
      <c r="F662" s="432" t="b">
        <v>1</v>
      </c>
    </row>
    <row r="663" spans="1:6">
      <c r="A663" s="432">
        <v>97471</v>
      </c>
      <c r="B663" s="432" t="s">
        <v>1381</v>
      </c>
      <c r="C663" s="433">
        <v>24734.91</v>
      </c>
      <c r="E663" s="432">
        <v>97471</v>
      </c>
      <c r="F663" s="432" t="b">
        <v>1</v>
      </c>
    </row>
    <row r="664" spans="1:6">
      <c r="A664" s="432">
        <v>97481</v>
      </c>
      <c r="B664" s="432" t="s">
        <v>1382</v>
      </c>
      <c r="C664" s="433">
        <v>3785.76</v>
      </c>
      <c r="E664" s="432">
        <v>97481</v>
      </c>
      <c r="F664" s="432" t="b">
        <v>1</v>
      </c>
    </row>
    <row r="665" spans="1:6">
      <c r="A665" s="432">
        <v>97501</v>
      </c>
      <c r="B665" s="432" t="s">
        <v>1384</v>
      </c>
      <c r="C665" s="433">
        <v>1536425.4900000005</v>
      </c>
      <c r="E665" s="432">
        <v>97501</v>
      </c>
      <c r="F665" s="432" t="b">
        <v>1</v>
      </c>
    </row>
    <row r="666" spans="1:6">
      <c r="A666" s="432">
        <v>97503</v>
      </c>
      <c r="B666" s="432" t="s">
        <v>3784</v>
      </c>
      <c r="C666" s="433">
        <v>61238.85</v>
      </c>
      <c r="E666" s="432">
        <v>97503</v>
      </c>
      <c r="F666" s="432" t="b">
        <v>1</v>
      </c>
    </row>
    <row r="667" spans="1:6">
      <c r="A667" s="432">
        <v>97511</v>
      </c>
      <c r="B667" s="432" t="s">
        <v>1385</v>
      </c>
      <c r="C667" s="433">
        <v>243876.09999999998</v>
      </c>
      <c r="E667" s="432">
        <v>97511</v>
      </c>
      <c r="F667" s="432" t="b">
        <v>1</v>
      </c>
    </row>
    <row r="668" spans="1:6">
      <c r="A668" s="432">
        <v>97517</v>
      </c>
      <c r="B668" s="432" t="s">
        <v>3733</v>
      </c>
      <c r="C668" s="433">
        <v>11116.3</v>
      </c>
      <c r="E668" s="432">
        <v>97517</v>
      </c>
      <c r="F668" s="432" t="b">
        <v>1</v>
      </c>
    </row>
    <row r="669" spans="1:6">
      <c r="A669" s="432">
        <v>97521</v>
      </c>
      <c r="B669" s="432" t="s">
        <v>1386</v>
      </c>
      <c r="C669" s="433">
        <v>149092.32999999999</v>
      </c>
      <c r="E669" s="432">
        <v>97521</v>
      </c>
      <c r="F669" s="432" t="b">
        <v>1</v>
      </c>
    </row>
    <row r="670" spans="1:6">
      <c r="A670" s="432">
        <v>97527</v>
      </c>
      <c r="B670" s="432" t="s">
        <v>1637</v>
      </c>
      <c r="C670" s="433">
        <v>7290.5899999999992</v>
      </c>
      <c r="E670" s="432">
        <v>97527</v>
      </c>
      <c r="F670" s="432" t="b">
        <v>1</v>
      </c>
    </row>
    <row r="671" spans="1:6">
      <c r="A671" s="432">
        <v>97531</v>
      </c>
      <c r="B671" s="432" t="s">
        <v>1387</v>
      </c>
      <c r="C671" s="433">
        <v>85831.540000000023</v>
      </c>
      <c r="E671" s="432">
        <v>97531</v>
      </c>
      <c r="F671" s="432" t="b">
        <v>1</v>
      </c>
    </row>
    <row r="672" spans="1:6">
      <c r="A672" s="432">
        <v>97601</v>
      </c>
      <c r="B672" s="432" t="s">
        <v>1388</v>
      </c>
      <c r="C672" s="433">
        <v>6549895.6400000025</v>
      </c>
      <c r="E672" s="432">
        <v>97601</v>
      </c>
      <c r="F672" s="432" t="b">
        <v>1</v>
      </c>
    </row>
    <row r="673" spans="1:6">
      <c r="A673" s="432">
        <v>97607</v>
      </c>
      <c r="B673" s="432" t="s">
        <v>1389</v>
      </c>
      <c r="C673" s="433">
        <v>45084.61</v>
      </c>
      <c r="E673" s="432">
        <v>97607</v>
      </c>
      <c r="F673" s="432" t="b">
        <v>1</v>
      </c>
    </row>
    <row r="674" spans="1:6">
      <c r="A674" s="432">
        <v>97611</v>
      </c>
      <c r="B674" s="432" t="s">
        <v>1390</v>
      </c>
      <c r="C674" s="433">
        <v>2927240.7199999993</v>
      </c>
      <c r="E674" s="432">
        <v>97611</v>
      </c>
      <c r="F674" s="432" t="b">
        <v>1</v>
      </c>
    </row>
    <row r="675" spans="1:6">
      <c r="A675" s="432">
        <v>97613</v>
      </c>
      <c r="B675" s="432" t="s">
        <v>1391</v>
      </c>
      <c r="C675" s="433">
        <v>130711.02999999998</v>
      </c>
      <c r="E675" s="432">
        <v>97613</v>
      </c>
      <c r="F675" s="432" t="b">
        <v>1</v>
      </c>
    </row>
    <row r="676" spans="1:6">
      <c r="A676" s="432">
        <v>97621</v>
      </c>
      <c r="B676" s="432" t="s">
        <v>1392</v>
      </c>
      <c r="C676" s="433">
        <v>478806.80999999994</v>
      </c>
      <c r="E676" s="432">
        <v>97621</v>
      </c>
      <c r="F676" s="432" t="b">
        <v>1</v>
      </c>
    </row>
    <row r="677" spans="1:6">
      <c r="A677" s="432">
        <v>97623</v>
      </c>
      <c r="B677" s="432" t="s">
        <v>1393</v>
      </c>
      <c r="C677" s="433">
        <v>29291.260000000002</v>
      </c>
      <c r="E677" s="432">
        <v>97623</v>
      </c>
      <c r="F677" s="432" t="b">
        <v>1</v>
      </c>
    </row>
    <row r="678" spans="1:6">
      <c r="A678" s="432">
        <v>97627</v>
      </c>
      <c r="B678" s="432" t="s">
        <v>1394</v>
      </c>
      <c r="C678" s="433">
        <v>15441.4</v>
      </c>
      <c r="E678" s="432">
        <v>97627</v>
      </c>
      <c r="F678" s="432" t="b">
        <v>1</v>
      </c>
    </row>
    <row r="679" spans="1:6">
      <c r="A679" s="432">
        <v>97631</v>
      </c>
      <c r="B679" s="432" t="s">
        <v>1395</v>
      </c>
      <c r="C679" s="433">
        <v>288420.93000000005</v>
      </c>
      <c r="E679" s="432">
        <v>97631</v>
      </c>
      <c r="F679" s="432" t="b">
        <v>1</v>
      </c>
    </row>
    <row r="680" spans="1:6">
      <c r="A680" s="432">
        <v>97637</v>
      </c>
      <c r="B680" s="432" t="s">
        <v>1396</v>
      </c>
      <c r="C680" s="433">
        <v>4494</v>
      </c>
      <c r="E680" s="432">
        <v>97637</v>
      </c>
      <c r="F680" s="432" t="b">
        <v>1</v>
      </c>
    </row>
    <row r="681" spans="1:6">
      <c r="A681" s="432">
        <v>97641</v>
      </c>
      <c r="B681" s="432" t="s">
        <v>1397</v>
      </c>
      <c r="C681" s="433">
        <v>119270.14</v>
      </c>
      <c r="E681" s="432">
        <v>97641</v>
      </c>
      <c r="F681" s="432" t="b">
        <v>1</v>
      </c>
    </row>
    <row r="682" spans="1:6">
      <c r="A682" s="432">
        <v>97651</v>
      </c>
      <c r="B682" s="432" t="s">
        <v>1398</v>
      </c>
      <c r="C682" s="433">
        <v>541022.25000000012</v>
      </c>
      <c r="E682" s="432">
        <v>97651</v>
      </c>
      <c r="F682" s="432" t="b">
        <v>1</v>
      </c>
    </row>
    <row r="683" spans="1:6">
      <c r="A683" s="432">
        <v>97661</v>
      </c>
      <c r="B683" s="432" t="s">
        <v>1399</v>
      </c>
      <c r="C683" s="433">
        <v>74053.73</v>
      </c>
      <c r="E683" s="432">
        <v>97661</v>
      </c>
      <c r="F683" s="432" t="b">
        <v>1</v>
      </c>
    </row>
    <row r="684" spans="1:6">
      <c r="A684" s="432">
        <v>97701</v>
      </c>
      <c r="B684" s="432" t="s">
        <v>1400</v>
      </c>
      <c r="C684" s="433">
        <v>2650127.8999999994</v>
      </c>
      <c r="E684" s="432">
        <v>97701</v>
      </c>
      <c r="F684" s="432" t="b">
        <v>1</v>
      </c>
    </row>
    <row r="685" spans="1:6">
      <c r="A685" s="432">
        <v>97705</v>
      </c>
      <c r="B685" s="432" t="s">
        <v>1401</v>
      </c>
      <c r="C685" s="433">
        <v>41190.479999999996</v>
      </c>
      <c r="E685" s="432">
        <v>97705</v>
      </c>
      <c r="F685" s="432" t="b">
        <v>1</v>
      </c>
    </row>
    <row r="686" spans="1:6">
      <c r="A686" s="432">
        <v>97711</v>
      </c>
      <c r="B686" s="432" t="s">
        <v>1402</v>
      </c>
      <c r="C686" s="433">
        <v>861506.99</v>
      </c>
      <c r="E686" s="432">
        <v>97711</v>
      </c>
      <c r="F686" s="432" t="b">
        <v>1</v>
      </c>
    </row>
    <row r="687" spans="1:6">
      <c r="A687" s="432">
        <v>97713</v>
      </c>
      <c r="B687" s="432" t="s">
        <v>1403</v>
      </c>
      <c r="C687" s="433">
        <v>74660.78</v>
      </c>
      <c r="E687" s="432">
        <v>97713</v>
      </c>
      <c r="F687" s="432" t="b">
        <v>1</v>
      </c>
    </row>
    <row r="688" spans="1:6">
      <c r="A688" s="432">
        <v>97717</v>
      </c>
      <c r="B688" s="432" t="s">
        <v>1404</v>
      </c>
      <c r="C688" s="433">
        <v>14328.66</v>
      </c>
      <c r="E688" s="432">
        <v>97717</v>
      </c>
      <c r="F688" s="432" t="b">
        <v>1</v>
      </c>
    </row>
    <row r="689" spans="1:6">
      <c r="A689" s="432">
        <v>97721</v>
      </c>
      <c r="B689" s="432" t="s">
        <v>1405</v>
      </c>
      <c r="C689" s="433">
        <v>559822.11</v>
      </c>
      <c r="E689" s="432">
        <v>97721</v>
      </c>
      <c r="F689" s="432" t="b">
        <v>1</v>
      </c>
    </row>
    <row r="690" spans="1:6">
      <c r="A690" s="432">
        <v>97727</v>
      </c>
      <c r="B690" s="432" t="s">
        <v>1406</v>
      </c>
      <c r="C690" s="433">
        <v>14965.33</v>
      </c>
      <c r="E690" s="432">
        <v>97727</v>
      </c>
      <c r="F690" s="432" t="b">
        <v>1</v>
      </c>
    </row>
    <row r="691" spans="1:6">
      <c r="A691" s="432">
        <v>97731</v>
      </c>
      <c r="B691" s="432" t="s">
        <v>1407</v>
      </c>
      <c r="C691" s="433">
        <v>38062.03</v>
      </c>
      <c r="E691" s="432">
        <v>97731</v>
      </c>
      <c r="F691" s="432" t="b">
        <v>1</v>
      </c>
    </row>
    <row r="692" spans="1:6">
      <c r="A692" s="432">
        <v>97801</v>
      </c>
      <c r="B692" s="432" t="s">
        <v>1408</v>
      </c>
      <c r="C692" s="433">
        <v>7540504.3299999973</v>
      </c>
      <c r="E692" s="432">
        <v>97801</v>
      </c>
      <c r="F692" s="432" t="b">
        <v>1</v>
      </c>
    </row>
    <row r="693" spans="1:6">
      <c r="A693" s="432">
        <v>97802</v>
      </c>
      <c r="B693" s="432" t="s">
        <v>1409</v>
      </c>
      <c r="C693" s="433">
        <v>120059.66</v>
      </c>
      <c r="E693" s="432">
        <v>97802</v>
      </c>
      <c r="F693" s="432" t="b">
        <v>1</v>
      </c>
    </row>
    <row r="694" spans="1:6">
      <c r="A694" s="432">
        <v>97803</v>
      </c>
      <c r="B694" s="432" t="s">
        <v>1410</v>
      </c>
      <c r="C694" s="433">
        <v>99640.98000000001</v>
      </c>
      <c r="E694" s="432">
        <v>97803</v>
      </c>
      <c r="F694" s="432" t="b">
        <v>1</v>
      </c>
    </row>
    <row r="695" spans="1:6">
      <c r="A695" s="432">
        <v>97805</v>
      </c>
      <c r="B695" s="432" t="s">
        <v>1411</v>
      </c>
      <c r="C695" s="433">
        <v>94471.16</v>
      </c>
      <c r="E695" s="432">
        <v>97805</v>
      </c>
      <c r="F695" s="432" t="b">
        <v>1</v>
      </c>
    </row>
    <row r="696" spans="1:6">
      <c r="A696" s="432">
        <v>97811</v>
      </c>
      <c r="B696" s="432" t="s">
        <v>1412</v>
      </c>
      <c r="C696" s="433">
        <v>2436479.8299999996</v>
      </c>
      <c r="E696" s="432">
        <v>97811</v>
      </c>
      <c r="F696" s="432" t="b">
        <v>1</v>
      </c>
    </row>
    <row r="697" spans="1:6">
      <c r="A697" s="432">
        <v>97813</v>
      </c>
      <c r="B697" s="432" t="s">
        <v>3785</v>
      </c>
      <c r="C697" s="433">
        <v>144338</v>
      </c>
      <c r="E697" s="432">
        <v>97813</v>
      </c>
      <c r="F697" s="432" t="b">
        <v>1</v>
      </c>
    </row>
    <row r="698" spans="1:6">
      <c r="A698" s="432">
        <v>97817</v>
      </c>
      <c r="B698" s="432" t="s">
        <v>1413</v>
      </c>
      <c r="C698" s="433">
        <v>31632.060000000005</v>
      </c>
      <c r="E698" s="432">
        <v>97817</v>
      </c>
      <c r="F698" s="432" t="b">
        <v>1</v>
      </c>
    </row>
    <row r="699" spans="1:6">
      <c r="A699" s="432">
        <v>97818</v>
      </c>
      <c r="B699" s="432" t="s">
        <v>1414</v>
      </c>
      <c r="C699" s="433">
        <v>27071.920000000006</v>
      </c>
      <c r="E699" s="432">
        <v>97818</v>
      </c>
      <c r="F699" s="432" t="b">
        <v>1</v>
      </c>
    </row>
    <row r="700" spans="1:6">
      <c r="A700" s="432">
        <v>97821</v>
      </c>
      <c r="B700" s="432" t="s">
        <v>1415</v>
      </c>
      <c r="C700" s="433">
        <v>164858.19000000003</v>
      </c>
      <c r="E700" s="432">
        <v>97821</v>
      </c>
      <c r="F700" s="432" t="b">
        <v>1</v>
      </c>
    </row>
    <row r="701" spans="1:6">
      <c r="A701" s="432">
        <v>97823</v>
      </c>
      <c r="B701" s="432" t="s">
        <v>1416</v>
      </c>
      <c r="C701" s="433">
        <v>33144.119999999995</v>
      </c>
      <c r="E701" s="432">
        <v>97823</v>
      </c>
      <c r="F701" s="432" t="b">
        <v>1</v>
      </c>
    </row>
    <row r="702" spans="1:6">
      <c r="A702" s="432">
        <v>97831</v>
      </c>
      <c r="B702" s="432" t="s">
        <v>1417</v>
      </c>
      <c r="C702" s="433">
        <v>228167.11</v>
      </c>
      <c r="E702" s="432">
        <v>97831</v>
      </c>
      <c r="F702" s="432" t="b">
        <v>1</v>
      </c>
    </row>
    <row r="703" spans="1:6">
      <c r="A703" s="432">
        <v>97837</v>
      </c>
      <c r="B703" s="432" t="s">
        <v>1418</v>
      </c>
      <c r="C703" s="433">
        <v>12963.66</v>
      </c>
      <c r="E703" s="432">
        <v>97837</v>
      </c>
      <c r="F703" s="432" t="b">
        <v>1</v>
      </c>
    </row>
    <row r="704" spans="1:6">
      <c r="A704" s="432">
        <v>97840</v>
      </c>
      <c r="B704" s="432" t="s">
        <v>1419</v>
      </c>
      <c r="C704" s="433">
        <v>139620.01999999999</v>
      </c>
      <c r="E704" s="432">
        <v>97840</v>
      </c>
      <c r="F704" s="432" t="b">
        <v>1</v>
      </c>
    </row>
    <row r="705" spans="1:6">
      <c r="A705" s="432">
        <v>97841</v>
      </c>
      <c r="B705" s="432" t="s">
        <v>1420</v>
      </c>
      <c r="C705" s="433">
        <v>8760.52</v>
      </c>
      <c r="E705" s="432">
        <v>97841</v>
      </c>
      <c r="F705" s="432" t="b">
        <v>1</v>
      </c>
    </row>
    <row r="706" spans="1:6">
      <c r="A706" s="432">
        <v>97847</v>
      </c>
      <c r="B706" s="432" t="s">
        <v>1421</v>
      </c>
      <c r="C706" s="433">
        <v>4686.6000000000013</v>
      </c>
      <c r="E706" s="432">
        <v>97847</v>
      </c>
      <c r="F706" s="432" t="b">
        <v>1</v>
      </c>
    </row>
    <row r="707" spans="1:6">
      <c r="A707" s="432">
        <v>97851</v>
      </c>
      <c r="B707" s="432" t="s">
        <v>1422</v>
      </c>
      <c r="C707" s="433">
        <v>247259.62000000005</v>
      </c>
      <c r="E707" s="432">
        <v>97851</v>
      </c>
      <c r="F707" s="432" t="b">
        <v>1</v>
      </c>
    </row>
    <row r="708" spans="1:6">
      <c r="A708" s="432">
        <v>97853</v>
      </c>
      <c r="B708" s="432" t="s">
        <v>1423</v>
      </c>
      <c r="C708" s="433">
        <v>78174.639999999985</v>
      </c>
      <c r="E708" s="432">
        <v>97853</v>
      </c>
      <c r="F708" s="432" t="b">
        <v>1</v>
      </c>
    </row>
    <row r="709" spans="1:6">
      <c r="A709" s="432">
        <v>97861</v>
      </c>
      <c r="B709" s="432" t="s">
        <v>1424</v>
      </c>
      <c r="C709" s="433">
        <v>71287.529999999984</v>
      </c>
      <c r="E709" s="432">
        <v>97861</v>
      </c>
      <c r="F709" s="432" t="b">
        <v>1</v>
      </c>
    </row>
    <row r="710" spans="1:6">
      <c r="A710" s="432">
        <v>97871</v>
      </c>
      <c r="B710" s="432" t="s">
        <v>1425</v>
      </c>
      <c r="C710" s="433">
        <v>286637.74000000005</v>
      </c>
      <c r="E710" s="432">
        <v>97871</v>
      </c>
      <c r="F710" s="432" t="b">
        <v>1</v>
      </c>
    </row>
    <row r="711" spans="1:6">
      <c r="A711" s="432">
        <v>97877</v>
      </c>
      <c r="B711" s="432" t="s">
        <v>1426</v>
      </c>
      <c r="C711" s="433">
        <v>12316.14</v>
      </c>
      <c r="E711" s="432">
        <v>97877</v>
      </c>
      <c r="F711" s="432" t="b">
        <v>1</v>
      </c>
    </row>
    <row r="712" spans="1:6">
      <c r="A712" s="432">
        <v>97901</v>
      </c>
      <c r="B712" s="432" t="s">
        <v>1427</v>
      </c>
      <c r="C712" s="433">
        <v>4492541.8200000012</v>
      </c>
      <c r="E712" s="432">
        <v>97901</v>
      </c>
      <c r="F712" s="432" t="b">
        <v>1</v>
      </c>
    </row>
    <row r="713" spans="1:6">
      <c r="A713" s="432">
        <v>97911</v>
      </c>
      <c r="B713" s="432" t="s">
        <v>1428</v>
      </c>
      <c r="C713" s="433">
        <v>1354760.03</v>
      </c>
      <c r="E713" s="432">
        <v>97911</v>
      </c>
      <c r="F713" s="432" t="b">
        <v>1</v>
      </c>
    </row>
    <row r="714" spans="1:6">
      <c r="A714" s="432">
        <v>97913</v>
      </c>
      <c r="B714" s="432" t="s">
        <v>1429</v>
      </c>
      <c r="C714" s="433">
        <v>50291.700000000012</v>
      </c>
      <c r="E714" s="432">
        <v>97913</v>
      </c>
      <c r="F714" s="432" t="b">
        <v>1</v>
      </c>
    </row>
    <row r="715" spans="1:6">
      <c r="A715" s="432">
        <v>97917</v>
      </c>
      <c r="B715" s="432" t="s">
        <v>1430</v>
      </c>
      <c r="C715" s="433">
        <v>39043.730000000003</v>
      </c>
      <c r="E715" s="432">
        <v>97917</v>
      </c>
      <c r="F715" s="432" t="b">
        <v>1</v>
      </c>
    </row>
    <row r="716" spans="1:6">
      <c r="A716" s="432">
        <v>97921</v>
      </c>
      <c r="B716" s="432" t="s">
        <v>1431</v>
      </c>
      <c r="C716" s="433">
        <v>257253.4</v>
      </c>
      <c r="E716" s="432">
        <v>97921</v>
      </c>
      <c r="F716" s="432" t="b">
        <v>1</v>
      </c>
    </row>
    <row r="717" spans="1:6">
      <c r="A717" s="432">
        <v>97931</v>
      </c>
      <c r="B717" s="432" t="s">
        <v>1432</v>
      </c>
      <c r="C717" s="433">
        <v>70748.860000000015</v>
      </c>
      <c r="E717" s="432">
        <v>97931</v>
      </c>
      <c r="F717" s="432" t="b">
        <v>1</v>
      </c>
    </row>
    <row r="718" spans="1:6">
      <c r="A718" s="432">
        <v>97941</v>
      </c>
      <c r="B718" s="432" t="s">
        <v>1433</v>
      </c>
      <c r="C718" s="433">
        <v>215236.17</v>
      </c>
      <c r="E718" s="432">
        <v>97941</v>
      </c>
      <c r="F718" s="432" t="b">
        <v>1</v>
      </c>
    </row>
    <row r="719" spans="1:6">
      <c r="A719" s="432">
        <v>97947</v>
      </c>
      <c r="B719" s="432" t="s">
        <v>1434</v>
      </c>
      <c r="C719" s="433">
        <v>20083.38</v>
      </c>
      <c r="E719" s="432">
        <v>97947</v>
      </c>
      <c r="F719" s="432" t="b">
        <v>1</v>
      </c>
    </row>
    <row r="720" spans="1:6">
      <c r="A720" s="432">
        <v>97948</v>
      </c>
      <c r="B720" s="432" t="s">
        <v>1435</v>
      </c>
      <c r="C720" s="433">
        <v>22855.070000000003</v>
      </c>
      <c r="E720" s="432">
        <v>97948</v>
      </c>
      <c r="F720" s="432" t="b">
        <v>1</v>
      </c>
    </row>
    <row r="721" spans="1:6">
      <c r="A721" s="432">
        <v>97951</v>
      </c>
      <c r="B721" s="432" t="s">
        <v>1436</v>
      </c>
      <c r="C721" s="433">
        <v>1257574.4000000001</v>
      </c>
      <c r="E721" s="432">
        <v>97951</v>
      </c>
      <c r="F721" s="432" t="b">
        <v>1</v>
      </c>
    </row>
    <row r="722" spans="1:6">
      <c r="A722" s="432">
        <v>97957</v>
      </c>
      <c r="B722" s="432" t="s">
        <v>1437</v>
      </c>
      <c r="C722" s="433">
        <v>29772.81</v>
      </c>
      <c r="E722" s="432">
        <v>97957</v>
      </c>
      <c r="F722" s="432" t="b">
        <v>1</v>
      </c>
    </row>
    <row r="723" spans="1:6">
      <c r="A723" s="432">
        <v>98001</v>
      </c>
      <c r="B723" s="432" t="s">
        <v>1438</v>
      </c>
      <c r="C723" s="433">
        <v>6458734.5600000015</v>
      </c>
      <c r="E723" s="432">
        <v>98001</v>
      </c>
      <c r="F723" s="432" t="b">
        <v>1</v>
      </c>
    </row>
    <row r="724" spans="1:6">
      <c r="A724" s="432">
        <v>98002</v>
      </c>
      <c r="B724" s="432" t="s">
        <v>1439</v>
      </c>
      <c r="C724" s="433">
        <v>11359.829999999998</v>
      </c>
      <c r="E724" s="432">
        <v>98002</v>
      </c>
      <c r="F724" s="432" t="b">
        <v>1</v>
      </c>
    </row>
    <row r="725" spans="1:6">
      <c r="A725" s="432">
        <v>98003</v>
      </c>
      <c r="B725" s="432" t="s">
        <v>1440</v>
      </c>
      <c r="C725" s="433">
        <v>125021.14000000001</v>
      </c>
      <c r="E725" s="432">
        <v>98003</v>
      </c>
      <c r="F725" s="432" t="b">
        <v>1</v>
      </c>
    </row>
    <row r="726" spans="1:6">
      <c r="A726" s="432">
        <v>98004</v>
      </c>
      <c r="B726" s="432" t="s">
        <v>1441</v>
      </c>
      <c r="C726" s="433">
        <v>295841.74000000005</v>
      </c>
      <c r="E726" s="432">
        <v>98004</v>
      </c>
      <c r="F726" s="432" t="b">
        <v>1</v>
      </c>
    </row>
    <row r="727" spans="1:6">
      <c r="A727" s="432">
        <v>98008</v>
      </c>
      <c r="B727" s="432" t="s">
        <v>1442</v>
      </c>
      <c r="C727" s="433">
        <v>8015.8300000000017</v>
      </c>
      <c r="E727" s="432">
        <v>98008</v>
      </c>
      <c r="F727" s="432" t="b">
        <v>1</v>
      </c>
    </row>
    <row r="728" spans="1:6">
      <c r="A728" s="432">
        <v>98011</v>
      </c>
      <c r="B728" s="432" t="s">
        <v>1443</v>
      </c>
      <c r="C728" s="433">
        <v>3311139.7100000009</v>
      </c>
      <c r="E728" s="432">
        <v>98011</v>
      </c>
      <c r="F728" s="432" t="b">
        <v>1</v>
      </c>
    </row>
    <row r="729" spans="1:6">
      <c r="A729" s="432">
        <v>98013</v>
      </c>
      <c r="B729" s="432" t="s">
        <v>1444</v>
      </c>
      <c r="C729" s="433">
        <v>150780.39000000001</v>
      </c>
      <c r="E729" s="432">
        <v>98013</v>
      </c>
      <c r="F729" s="432" t="b">
        <v>1</v>
      </c>
    </row>
    <row r="730" spans="1:6">
      <c r="A730" s="432">
        <v>98021</v>
      </c>
      <c r="B730" s="432" t="s">
        <v>1445</v>
      </c>
      <c r="C730" s="433">
        <v>59993.19</v>
      </c>
      <c r="E730" s="432">
        <v>98021</v>
      </c>
      <c r="F730" s="432" t="b">
        <v>1</v>
      </c>
    </row>
    <row r="731" spans="1:6">
      <c r="A731" s="432">
        <v>98023</v>
      </c>
      <c r="B731" s="432" t="s">
        <v>1446</v>
      </c>
      <c r="C731" s="433">
        <v>5580.5000000000009</v>
      </c>
      <c r="E731" s="432">
        <v>98023</v>
      </c>
      <c r="F731" s="432" t="b">
        <v>1</v>
      </c>
    </row>
    <row r="732" spans="1:6">
      <c r="A732" s="432">
        <v>98031</v>
      </c>
      <c r="B732" s="432" t="s">
        <v>1447</v>
      </c>
      <c r="C732" s="433">
        <v>237899.97999999995</v>
      </c>
      <c r="E732" s="432">
        <v>98031</v>
      </c>
      <c r="F732" s="432" t="b">
        <v>1</v>
      </c>
    </row>
    <row r="733" spans="1:6">
      <c r="A733" s="432">
        <v>98041</v>
      </c>
      <c r="B733" s="432" t="s">
        <v>1448</v>
      </c>
      <c r="C733" s="433">
        <v>274592.69000000006</v>
      </c>
      <c r="E733" s="432">
        <v>98041</v>
      </c>
      <c r="F733" s="432" t="b">
        <v>1</v>
      </c>
    </row>
    <row r="734" spans="1:6">
      <c r="A734" s="432">
        <v>98051</v>
      </c>
      <c r="B734" s="432" t="s">
        <v>1449</v>
      </c>
      <c r="C734" s="433">
        <v>372667.82000000007</v>
      </c>
      <c r="E734" s="432">
        <v>98051</v>
      </c>
      <c r="F734" s="432" t="b">
        <v>1</v>
      </c>
    </row>
    <row r="735" spans="1:6">
      <c r="A735" s="432">
        <v>98061</v>
      </c>
      <c r="B735" s="432" t="s">
        <v>1450</v>
      </c>
      <c r="C735" s="433">
        <v>152732.95999999996</v>
      </c>
      <c r="E735" s="432">
        <v>98061</v>
      </c>
      <c r="F735" s="432" t="b">
        <v>1</v>
      </c>
    </row>
    <row r="736" spans="1:6">
      <c r="A736" s="432">
        <v>98071</v>
      </c>
      <c r="B736" s="432" t="s">
        <v>1451</v>
      </c>
      <c r="C736" s="433">
        <v>93635.430000000008</v>
      </c>
      <c r="E736" s="432">
        <v>98071</v>
      </c>
      <c r="F736" s="432" t="b">
        <v>1</v>
      </c>
    </row>
    <row r="737" spans="1:6">
      <c r="A737" s="432">
        <v>98081</v>
      </c>
      <c r="B737" s="432" t="s">
        <v>1452</v>
      </c>
      <c r="C737" s="433">
        <v>15235.71</v>
      </c>
      <c r="E737" s="432">
        <v>98081</v>
      </c>
      <c r="F737" s="432" t="b">
        <v>1</v>
      </c>
    </row>
    <row r="738" spans="1:6">
      <c r="A738" s="432">
        <v>98091</v>
      </c>
      <c r="B738" s="432" t="s">
        <v>1453</v>
      </c>
      <c r="C738" s="433">
        <v>80208.87</v>
      </c>
      <c r="E738" s="432">
        <v>98091</v>
      </c>
      <c r="F738" s="432" t="b">
        <v>1</v>
      </c>
    </row>
    <row r="739" spans="1:6">
      <c r="A739" s="432">
        <v>98101</v>
      </c>
      <c r="B739" s="432" t="s">
        <v>1454</v>
      </c>
      <c r="C739" s="433">
        <v>3071682.2000000007</v>
      </c>
      <c r="E739" s="432">
        <v>98101</v>
      </c>
      <c r="F739" s="432" t="b">
        <v>1</v>
      </c>
    </row>
    <row r="740" spans="1:6">
      <c r="A740" s="432">
        <v>98102</v>
      </c>
      <c r="B740" s="432" t="s">
        <v>1455</v>
      </c>
      <c r="C740" s="433">
        <v>217365.84000000005</v>
      </c>
      <c r="E740" s="432">
        <v>98102</v>
      </c>
      <c r="F740" s="432" t="b">
        <v>1</v>
      </c>
    </row>
    <row r="741" spans="1:6">
      <c r="A741" s="432">
        <v>98103</v>
      </c>
      <c r="B741" s="432" t="s">
        <v>3725</v>
      </c>
      <c r="C741" s="433">
        <v>510139.99999999994</v>
      </c>
      <c r="E741" s="432">
        <v>98103</v>
      </c>
      <c r="F741" s="432" t="b">
        <v>1</v>
      </c>
    </row>
    <row r="742" spans="1:6">
      <c r="A742" s="432">
        <v>98107</v>
      </c>
      <c r="B742" s="432" t="s">
        <v>1457</v>
      </c>
      <c r="C742" s="433">
        <v>28980.399999999998</v>
      </c>
      <c r="E742" s="432">
        <v>98107</v>
      </c>
      <c r="F742" s="432" t="b">
        <v>1</v>
      </c>
    </row>
    <row r="743" spans="1:6">
      <c r="A743" s="432">
        <v>98109</v>
      </c>
      <c r="B743" s="432" t="s">
        <v>1458</v>
      </c>
      <c r="C743" s="433">
        <v>195123.05000000002</v>
      </c>
      <c r="E743" s="432">
        <v>98109</v>
      </c>
      <c r="F743" s="432" t="b">
        <v>1</v>
      </c>
    </row>
    <row r="744" spans="1:6">
      <c r="A744" s="432">
        <v>98111</v>
      </c>
      <c r="B744" s="432" t="s">
        <v>1459</v>
      </c>
      <c r="C744" s="433">
        <v>1076718.45</v>
      </c>
      <c r="E744" s="432">
        <v>98111</v>
      </c>
      <c r="F744" s="432" t="b">
        <v>1</v>
      </c>
    </row>
    <row r="745" spans="1:6">
      <c r="A745" s="432">
        <v>98113</v>
      </c>
      <c r="B745" s="432" t="s">
        <v>1460</v>
      </c>
      <c r="C745" s="433">
        <v>38753.919999999998</v>
      </c>
      <c r="E745" s="432">
        <v>98113</v>
      </c>
      <c r="F745" s="432" t="b">
        <v>1</v>
      </c>
    </row>
    <row r="746" spans="1:6">
      <c r="A746" s="432">
        <v>98121</v>
      </c>
      <c r="B746" s="432" t="s">
        <v>1461</v>
      </c>
      <c r="C746" s="433">
        <v>284804.83999999997</v>
      </c>
      <c r="E746" s="432">
        <v>98121</v>
      </c>
      <c r="F746" s="432" t="b">
        <v>1</v>
      </c>
    </row>
    <row r="747" spans="1:6">
      <c r="A747" s="432">
        <v>98131</v>
      </c>
      <c r="B747" s="432" t="s">
        <v>1462</v>
      </c>
      <c r="C747" s="433">
        <v>338668.74000000011</v>
      </c>
      <c r="E747" s="432">
        <v>98131</v>
      </c>
      <c r="F747" s="432" t="b">
        <v>1</v>
      </c>
    </row>
    <row r="748" spans="1:6">
      <c r="A748" s="432">
        <v>98141</v>
      </c>
      <c r="B748" s="432" t="s">
        <v>1463</v>
      </c>
      <c r="C748" s="433">
        <v>322732.16000000009</v>
      </c>
      <c r="E748" s="432">
        <v>98141</v>
      </c>
      <c r="F748" s="432" t="b">
        <v>1</v>
      </c>
    </row>
    <row r="749" spans="1:6">
      <c r="A749" s="432">
        <v>98147</v>
      </c>
      <c r="B749" s="432" t="s">
        <v>1464</v>
      </c>
      <c r="C749" s="433">
        <v>15569.190000000002</v>
      </c>
      <c r="E749" s="432">
        <v>98147</v>
      </c>
      <c r="F749" s="432" t="b">
        <v>1</v>
      </c>
    </row>
    <row r="750" spans="1:6">
      <c r="A750" s="432">
        <v>98161</v>
      </c>
      <c r="B750" s="432" t="s">
        <v>1465</v>
      </c>
      <c r="C750" s="433">
        <v>10391.260000000004</v>
      </c>
      <c r="E750" s="432">
        <v>98161</v>
      </c>
      <c r="F750" s="432" t="b">
        <v>1</v>
      </c>
    </row>
    <row r="751" spans="1:6">
      <c r="A751" s="432">
        <v>98201</v>
      </c>
      <c r="B751" s="432" t="s">
        <v>1466</v>
      </c>
      <c r="C751" s="433">
        <v>3674605.8800000008</v>
      </c>
      <c r="E751" s="432">
        <v>98201</v>
      </c>
      <c r="F751" s="432" t="b">
        <v>1</v>
      </c>
    </row>
    <row r="752" spans="1:6">
      <c r="A752" s="432">
        <v>98205</v>
      </c>
      <c r="B752" s="432" t="s">
        <v>1467</v>
      </c>
      <c r="C752" s="433">
        <v>39477.180000000008</v>
      </c>
      <c r="E752" s="432">
        <v>98205</v>
      </c>
      <c r="F752" s="432" t="b">
        <v>1</v>
      </c>
    </row>
    <row r="753" spans="1:6">
      <c r="A753" s="432">
        <v>98211</v>
      </c>
      <c r="B753" s="432" t="s">
        <v>1468</v>
      </c>
      <c r="C753" s="433">
        <v>814840.47000000009</v>
      </c>
      <c r="E753" s="432">
        <v>98211</v>
      </c>
      <c r="F753" s="432" t="b">
        <v>1</v>
      </c>
    </row>
    <row r="754" spans="1:6">
      <c r="A754" s="432">
        <v>98218</v>
      </c>
      <c r="B754" s="432" t="s">
        <v>1469</v>
      </c>
      <c r="C754" s="433">
        <v>19294.909999999996</v>
      </c>
      <c r="E754" s="432">
        <v>98218</v>
      </c>
      <c r="F754" s="432" t="b">
        <v>1</v>
      </c>
    </row>
    <row r="755" spans="1:6">
      <c r="A755" s="432">
        <v>98221</v>
      </c>
      <c r="B755" s="432" t="s">
        <v>1470</v>
      </c>
      <c r="C755" s="433">
        <v>21395.32</v>
      </c>
      <c r="E755" s="432">
        <v>98221</v>
      </c>
      <c r="F755" s="432" t="b">
        <v>1</v>
      </c>
    </row>
    <row r="756" spans="1:6">
      <c r="A756" s="432">
        <v>98231</v>
      </c>
      <c r="B756" s="432" t="s">
        <v>1471</v>
      </c>
      <c r="C756" s="433">
        <v>27655.509999999987</v>
      </c>
      <c r="E756" s="432">
        <v>98231</v>
      </c>
      <c r="F756" s="432" t="b">
        <v>1</v>
      </c>
    </row>
    <row r="757" spans="1:6">
      <c r="A757" s="432">
        <v>98237</v>
      </c>
      <c r="B757" s="432" t="s">
        <v>1472</v>
      </c>
      <c r="C757" s="433">
        <v>10425.120000000001</v>
      </c>
      <c r="E757" s="432">
        <v>98237</v>
      </c>
      <c r="F757" s="432" t="b">
        <v>1</v>
      </c>
    </row>
    <row r="758" spans="1:6">
      <c r="A758" s="432">
        <v>98241</v>
      </c>
      <c r="B758" s="432" t="s">
        <v>1473</v>
      </c>
      <c r="C758" s="433">
        <v>22087.919999999998</v>
      </c>
      <c r="E758" s="432">
        <v>98241</v>
      </c>
      <c r="F758" s="432" t="b">
        <v>1</v>
      </c>
    </row>
    <row r="759" spans="1:6">
      <c r="A759" s="432">
        <v>98251</v>
      </c>
      <c r="B759" s="432" t="s">
        <v>1474</v>
      </c>
      <c r="C759" s="433">
        <v>4848.3599999999988</v>
      </c>
      <c r="E759" s="432">
        <v>98251</v>
      </c>
      <c r="F759" s="432" t="b">
        <v>1</v>
      </c>
    </row>
    <row r="760" spans="1:6">
      <c r="A760" s="432">
        <v>98261</v>
      </c>
      <c r="B760" s="432" t="s">
        <v>1475</v>
      </c>
      <c r="C760" s="433">
        <v>33488.740000000005</v>
      </c>
      <c r="E760" s="432">
        <v>98261</v>
      </c>
      <c r="F760" s="432" t="b">
        <v>1</v>
      </c>
    </row>
    <row r="761" spans="1:6">
      <c r="A761" s="432">
        <v>98271</v>
      </c>
      <c r="B761" s="432" t="s">
        <v>1476</v>
      </c>
      <c r="C761" s="433">
        <v>11581.810000000001</v>
      </c>
      <c r="E761" s="432">
        <v>98271</v>
      </c>
      <c r="F761" s="432" t="b">
        <v>1</v>
      </c>
    </row>
    <row r="762" spans="1:6">
      <c r="A762" s="432">
        <v>98301</v>
      </c>
      <c r="B762" s="432" t="s">
        <v>1477</v>
      </c>
      <c r="C762" s="433">
        <v>2271633.5699999984</v>
      </c>
      <c r="E762" s="432">
        <v>98301</v>
      </c>
      <c r="F762" s="432" t="b">
        <v>1</v>
      </c>
    </row>
    <row r="763" spans="1:6">
      <c r="A763" s="432">
        <v>98304</v>
      </c>
      <c r="B763" s="432" t="s">
        <v>1478</v>
      </c>
      <c r="C763" s="433">
        <v>21123.459999999995</v>
      </c>
      <c r="E763" s="432">
        <v>98304</v>
      </c>
      <c r="F763" s="432" t="b">
        <v>1</v>
      </c>
    </row>
    <row r="764" spans="1:6">
      <c r="A764" s="432">
        <v>98308</v>
      </c>
      <c r="B764" s="432" t="s">
        <v>1479</v>
      </c>
      <c r="C764" s="433">
        <v>54805.83</v>
      </c>
      <c r="E764" s="432">
        <v>98308</v>
      </c>
      <c r="F764" s="432" t="b">
        <v>1</v>
      </c>
    </row>
    <row r="765" spans="1:6">
      <c r="A765" s="432">
        <v>98311</v>
      </c>
      <c r="B765" s="432" t="s">
        <v>1480</v>
      </c>
      <c r="C765" s="433">
        <v>1082105.3499999999</v>
      </c>
      <c r="E765" s="432">
        <v>98311</v>
      </c>
      <c r="F765" s="432" t="b">
        <v>1</v>
      </c>
    </row>
    <row r="766" spans="1:6">
      <c r="A766" s="432">
        <v>98313</v>
      </c>
      <c r="B766" s="432" t="s">
        <v>1481</v>
      </c>
      <c r="C766" s="433">
        <v>366597.74</v>
      </c>
      <c r="E766" s="432">
        <v>98313</v>
      </c>
      <c r="F766" s="432" t="b">
        <v>1</v>
      </c>
    </row>
    <row r="767" spans="1:6">
      <c r="A767" s="432">
        <v>98321</v>
      </c>
      <c r="B767" s="432" t="s">
        <v>1482</v>
      </c>
      <c r="C767" s="433">
        <v>18338.2</v>
      </c>
      <c r="E767" s="432">
        <v>98321</v>
      </c>
      <c r="F767" s="432" t="b">
        <v>1</v>
      </c>
    </row>
    <row r="768" spans="1:6">
      <c r="A768" s="432">
        <v>98331</v>
      </c>
      <c r="B768" s="432" t="s">
        <v>1483</v>
      </c>
      <c r="C768" s="433">
        <v>5583.33</v>
      </c>
      <c r="E768" s="432">
        <v>98331</v>
      </c>
      <c r="F768" s="432" t="b">
        <v>1</v>
      </c>
    </row>
    <row r="769" spans="1:6">
      <c r="A769" s="432">
        <v>98401</v>
      </c>
      <c r="B769" s="432" t="s">
        <v>1484</v>
      </c>
      <c r="C769" s="433">
        <v>3520353.5399999982</v>
      </c>
      <c r="E769" s="432">
        <v>98401</v>
      </c>
      <c r="F769" s="432" t="b">
        <v>1</v>
      </c>
    </row>
    <row r="770" spans="1:6">
      <c r="A770" s="432">
        <v>98404</v>
      </c>
      <c r="B770" s="432" t="s">
        <v>1485</v>
      </c>
      <c r="C770" s="433">
        <v>27890.83</v>
      </c>
      <c r="E770" s="432">
        <v>98404</v>
      </c>
      <c r="F770" s="432" t="b">
        <v>1</v>
      </c>
    </row>
    <row r="771" spans="1:6">
      <c r="A771" s="432">
        <v>98411</v>
      </c>
      <c r="B771" s="432" t="s">
        <v>1486</v>
      </c>
      <c r="C771" s="433">
        <v>2181425.2100000004</v>
      </c>
      <c r="E771" s="432">
        <v>98411</v>
      </c>
      <c r="F771" s="432" t="b">
        <v>1</v>
      </c>
    </row>
    <row r="772" spans="1:6">
      <c r="A772" s="432">
        <v>98414</v>
      </c>
      <c r="B772" s="432" t="s">
        <v>1487</v>
      </c>
      <c r="C772" s="433">
        <v>41873.81</v>
      </c>
      <c r="E772" s="432">
        <v>98414</v>
      </c>
      <c r="F772" s="432" t="b">
        <v>1</v>
      </c>
    </row>
    <row r="773" spans="1:6">
      <c r="A773" s="432">
        <v>98417</v>
      </c>
      <c r="B773" s="432" t="s">
        <v>1488</v>
      </c>
      <c r="C773" s="433">
        <v>40852.869999999995</v>
      </c>
      <c r="E773" s="432">
        <v>98417</v>
      </c>
      <c r="F773" s="432" t="b">
        <v>1</v>
      </c>
    </row>
    <row r="774" spans="1:6">
      <c r="A774" s="432">
        <v>98421</v>
      </c>
      <c r="B774" s="432" t="s">
        <v>1489</v>
      </c>
      <c r="C774" s="433">
        <v>149602.51</v>
      </c>
      <c r="E774" s="432">
        <v>98421</v>
      </c>
      <c r="F774" s="432" t="b">
        <v>1</v>
      </c>
    </row>
    <row r="775" spans="1:6">
      <c r="A775" s="432">
        <v>98427</v>
      </c>
      <c r="B775" s="432" t="s">
        <v>1490</v>
      </c>
      <c r="C775" s="433">
        <v>8106.96</v>
      </c>
      <c r="E775" s="432">
        <v>98427</v>
      </c>
      <c r="F775" s="432" t="b">
        <v>1</v>
      </c>
    </row>
    <row r="776" spans="1:6">
      <c r="A776" s="432">
        <v>98431</v>
      </c>
      <c r="B776" s="432" t="s">
        <v>1491</v>
      </c>
      <c r="C776" s="433">
        <v>252400.02</v>
      </c>
      <c r="E776" s="432">
        <v>98431</v>
      </c>
      <c r="F776" s="432" t="b">
        <v>1</v>
      </c>
    </row>
    <row r="777" spans="1:6">
      <c r="A777" s="432">
        <v>98441</v>
      </c>
      <c r="B777" s="432" t="s">
        <v>1492</v>
      </c>
      <c r="C777" s="433">
        <v>137362.93999999997</v>
      </c>
      <c r="E777" s="432">
        <v>98441</v>
      </c>
      <c r="F777" s="432" t="b">
        <v>1</v>
      </c>
    </row>
    <row r="778" spans="1:6">
      <c r="A778" s="432">
        <v>98451</v>
      </c>
      <c r="B778" s="432" t="s">
        <v>1493</v>
      </c>
      <c r="C778" s="433">
        <v>59057.350000000013</v>
      </c>
      <c r="E778" s="432">
        <v>98451</v>
      </c>
      <c r="F778" s="432" t="b">
        <v>1</v>
      </c>
    </row>
    <row r="779" spans="1:6">
      <c r="A779" s="432">
        <v>98471</v>
      </c>
      <c r="B779" s="432" t="s">
        <v>1638</v>
      </c>
      <c r="C779" s="433">
        <v>12610.009999999998</v>
      </c>
      <c r="E779" s="432">
        <v>98471</v>
      </c>
      <c r="F779" s="432" t="b">
        <v>1</v>
      </c>
    </row>
    <row r="780" spans="1:6">
      <c r="A780" s="432">
        <v>98481</v>
      </c>
      <c r="B780" s="432" t="s">
        <v>1494</v>
      </c>
      <c r="C780" s="433">
        <v>90215.500000000015</v>
      </c>
      <c r="E780" s="432">
        <v>98481</v>
      </c>
      <c r="F780" s="432" t="b">
        <v>1</v>
      </c>
    </row>
    <row r="781" spans="1:6">
      <c r="A781" s="432">
        <v>98501</v>
      </c>
      <c r="B781" s="432" t="s">
        <v>1495</v>
      </c>
      <c r="C781" s="433">
        <v>2219717.3400000012</v>
      </c>
      <c r="E781" s="432">
        <v>98501</v>
      </c>
      <c r="F781" s="432" t="b">
        <v>1</v>
      </c>
    </row>
    <row r="782" spans="1:6">
      <c r="A782" s="432">
        <v>98511</v>
      </c>
      <c r="B782" s="432" t="s">
        <v>1496</v>
      </c>
      <c r="C782" s="433">
        <v>78945.190000000017</v>
      </c>
      <c r="E782" s="432">
        <v>98511</v>
      </c>
      <c r="F782" s="432" t="b">
        <v>1</v>
      </c>
    </row>
    <row r="783" spans="1:6">
      <c r="A783" s="432">
        <v>98517</v>
      </c>
      <c r="B783" s="432" t="s">
        <v>1497</v>
      </c>
      <c r="C783" s="433">
        <v>13888.140000000003</v>
      </c>
      <c r="E783" s="432">
        <v>98517</v>
      </c>
      <c r="F783" s="432" t="b">
        <v>1</v>
      </c>
    </row>
    <row r="784" spans="1:6">
      <c r="A784" s="432">
        <v>98521</v>
      </c>
      <c r="B784" s="432" t="s">
        <v>1498</v>
      </c>
      <c r="C784" s="433">
        <v>674180.47</v>
      </c>
      <c r="E784" s="432">
        <v>98521</v>
      </c>
      <c r="F784" s="432" t="b">
        <v>1</v>
      </c>
    </row>
    <row r="785" spans="1:6">
      <c r="A785" s="432">
        <v>98601</v>
      </c>
      <c r="B785" s="432" t="s">
        <v>1499</v>
      </c>
      <c r="C785" s="433">
        <v>4110428.9700000016</v>
      </c>
      <c r="E785" s="432">
        <v>98601</v>
      </c>
      <c r="F785" s="432" t="b">
        <v>1</v>
      </c>
    </row>
    <row r="786" spans="1:6">
      <c r="A786" s="432">
        <v>98604</v>
      </c>
      <c r="B786" s="432" t="s">
        <v>1500</v>
      </c>
      <c r="C786" s="433">
        <v>21378.449999999997</v>
      </c>
      <c r="E786" s="432">
        <v>98604</v>
      </c>
      <c r="F786" s="432" t="b">
        <v>1</v>
      </c>
    </row>
    <row r="787" spans="1:6">
      <c r="A787" s="432">
        <v>98607</v>
      </c>
      <c r="B787" s="432" t="s">
        <v>1501</v>
      </c>
      <c r="C787" s="433">
        <v>12382.920000000002</v>
      </c>
      <c r="E787" s="432">
        <v>98607</v>
      </c>
      <c r="F787" s="432" t="b">
        <v>1</v>
      </c>
    </row>
    <row r="788" spans="1:6">
      <c r="A788" s="432">
        <v>98608</v>
      </c>
      <c r="B788" s="432" t="s">
        <v>1502</v>
      </c>
      <c r="C788" s="433">
        <v>77251.87000000001</v>
      </c>
      <c r="E788" s="432">
        <v>98608</v>
      </c>
      <c r="F788" s="432" t="b">
        <v>1</v>
      </c>
    </row>
    <row r="789" spans="1:6">
      <c r="A789" s="432">
        <v>98611</v>
      </c>
      <c r="B789" s="432" t="s">
        <v>1503</v>
      </c>
      <c r="C789" s="433">
        <v>157593.53000000006</v>
      </c>
      <c r="E789" s="432">
        <v>98611</v>
      </c>
      <c r="F789" s="432" t="b">
        <v>1</v>
      </c>
    </row>
    <row r="790" spans="1:6">
      <c r="A790" s="432">
        <v>98621</v>
      </c>
      <c r="B790" s="432" t="s">
        <v>1504</v>
      </c>
      <c r="C790" s="433">
        <v>164194.06</v>
      </c>
      <c r="E790" s="432">
        <v>98621</v>
      </c>
      <c r="F790" s="432" t="b">
        <v>1</v>
      </c>
    </row>
    <row r="791" spans="1:6">
      <c r="A791" s="432">
        <v>98627</v>
      </c>
      <c r="B791" s="432" t="s">
        <v>1505</v>
      </c>
      <c r="C791" s="433">
        <v>11553.919999999998</v>
      </c>
      <c r="E791" s="432">
        <v>98627</v>
      </c>
      <c r="F791" s="432" t="b">
        <v>1</v>
      </c>
    </row>
    <row r="792" spans="1:6">
      <c r="A792" s="432">
        <v>98631</v>
      </c>
      <c r="B792" s="432" t="s">
        <v>1506</v>
      </c>
      <c r="C792" s="433">
        <v>973195.79</v>
      </c>
      <c r="E792" s="432">
        <v>98631</v>
      </c>
      <c r="F792" s="432" t="b">
        <v>1</v>
      </c>
    </row>
    <row r="793" spans="1:6">
      <c r="A793" s="432">
        <v>98637</v>
      </c>
      <c r="B793" s="432" t="s">
        <v>1507</v>
      </c>
      <c r="C793" s="433">
        <v>23675.29</v>
      </c>
      <c r="E793" s="432">
        <v>98637</v>
      </c>
      <c r="F793" s="432" t="b">
        <v>1</v>
      </c>
    </row>
    <row r="794" spans="1:6">
      <c r="A794" s="432">
        <v>98641</v>
      </c>
      <c r="B794" s="432" t="s">
        <v>1508</v>
      </c>
      <c r="C794" s="433">
        <v>318262.75999999983</v>
      </c>
      <c r="E794" s="432">
        <v>98641</v>
      </c>
      <c r="F794" s="432" t="b">
        <v>1</v>
      </c>
    </row>
    <row r="795" spans="1:6">
      <c r="A795" s="432">
        <v>98701</v>
      </c>
      <c r="B795" s="432" t="s">
        <v>1509</v>
      </c>
      <c r="C795" s="433">
        <v>1339925.07</v>
      </c>
      <c r="E795" s="432">
        <v>98701</v>
      </c>
      <c r="F795" s="432" t="b">
        <v>1</v>
      </c>
    </row>
    <row r="796" spans="1:6">
      <c r="A796" s="432">
        <v>98711</v>
      </c>
      <c r="B796" s="432" t="s">
        <v>1510</v>
      </c>
      <c r="C796" s="433">
        <v>195788.46</v>
      </c>
      <c r="E796" s="432">
        <v>98711</v>
      </c>
      <c r="F796" s="432" t="b">
        <v>1</v>
      </c>
    </row>
    <row r="797" spans="1:6">
      <c r="A797" s="432">
        <v>98717</v>
      </c>
      <c r="B797" s="432" t="s">
        <v>1511</v>
      </c>
      <c r="C797" s="433">
        <v>21213.829999999998</v>
      </c>
      <c r="E797" s="432">
        <v>98717</v>
      </c>
      <c r="F797" s="432" t="b">
        <v>1</v>
      </c>
    </row>
    <row r="798" spans="1:6">
      <c r="A798" s="432">
        <v>98801</v>
      </c>
      <c r="B798" s="432" t="s">
        <v>1512</v>
      </c>
      <c r="C798" s="433">
        <v>2832794.4400000009</v>
      </c>
      <c r="E798" s="432">
        <v>98801</v>
      </c>
      <c r="F798" s="432" t="b">
        <v>1</v>
      </c>
    </row>
    <row r="799" spans="1:6">
      <c r="A799" s="432">
        <v>98811</v>
      </c>
      <c r="B799" s="432" t="s">
        <v>1513</v>
      </c>
      <c r="C799" s="433">
        <v>806240.13000000012</v>
      </c>
      <c r="E799" s="432">
        <v>98811</v>
      </c>
      <c r="F799" s="432" t="b">
        <v>1</v>
      </c>
    </row>
    <row r="800" spans="1:6">
      <c r="A800" s="432">
        <v>98817</v>
      </c>
      <c r="B800" s="432" t="s">
        <v>1514</v>
      </c>
      <c r="C800" s="433">
        <v>23693.5</v>
      </c>
      <c r="E800" s="432">
        <v>98817</v>
      </c>
      <c r="F800" s="432" t="b">
        <v>1</v>
      </c>
    </row>
    <row r="801" spans="1:6">
      <c r="A801" s="432">
        <v>98901</v>
      </c>
      <c r="B801" s="432" t="s">
        <v>1515</v>
      </c>
      <c r="C801" s="433">
        <v>326163.84000000008</v>
      </c>
      <c r="E801" s="432">
        <v>98901</v>
      </c>
      <c r="F801" s="432" t="b">
        <v>1</v>
      </c>
    </row>
    <row r="802" spans="1:6">
      <c r="A802" s="432">
        <v>98904</v>
      </c>
      <c r="B802" s="432" t="s">
        <v>1516</v>
      </c>
      <c r="C802" s="433">
        <v>4129.53</v>
      </c>
      <c r="E802" s="432">
        <v>98904</v>
      </c>
      <c r="F802" s="432" t="b">
        <v>1</v>
      </c>
    </row>
    <row r="803" spans="1:6">
      <c r="A803" s="432">
        <v>98911</v>
      </c>
      <c r="B803" s="432" t="s">
        <v>1517</v>
      </c>
      <c r="C803" s="433">
        <v>36293.590000000004</v>
      </c>
      <c r="E803" s="432">
        <v>98911</v>
      </c>
      <c r="F803" s="432" t="b">
        <v>1</v>
      </c>
    </row>
    <row r="804" spans="1:6">
      <c r="A804" s="432">
        <v>99001</v>
      </c>
      <c r="B804" s="432" t="s">
        <v>1518</v>
      </c>
      <c r="C804" s="433">
        <v>11514661.930000003</v>
      </c>
      <c r="E804" s="432">
        <v>99001</v>
      </c>
      <c r="F804" s="432" t="b">
        <v>1</v>
      </c>
    </row>
    <row r="805" spans="1:6">
      <c r="A805" s="432">
        <v>99011</v>
      </c>
      <c r="B805" s="432" t="s">
        <v>1519</v>
      </c>
      <c r="C805" s="433">
        <v>4823929.21</v>
      </c>
      <c r="E805" s="432">
        <v>99011</v>
      </c>
      <c r="F805" s="432" t="b">
        <v>1</v>
      </c>
    </row>
    <row r="806" spans="1:6">
      <c r="A806" s="432">
        <v>99013</v>
      </c>
      <c r="B806" s="432" t="s">
        <v>1520</v>
      </c>
      <c r="C806" s="433">
        <v>75145.349999999991</v>
      </c>
      <c r="E806" s="432">
        <v>99013</v>
      </c>
      <c r="F806" s="432" t="b">
        <v>1</v>
      </c>
    </row>
    <row r="807" spans="1:6">
      <c r="A807" s="432">
        <v>99014</v>
      </c>
      <c r="B807" s="432" t="s">
        <v>1521</v>
      </c>
      <c r="C807" s="433">
        <v>48375.46</v>
      </c>
      <c r="E807" s="432">
        <v>99014</v>
      </c>
      <c r="F807" s="432" t="b">
        <v>1</v>
      </c>
    </row>
    <row r="808" spans="1:6">
      <c r="A808" s="432">
        <v>99017</v>
      </c>
      <c r="B808" s="432" t="s">
        <v>1522</v>
      </c>
      <c r="C808" s="433">
        <v>44998.89</v>
      </c>
      <c r="E808" s="432">
        <v>99017</v>
      </c>
      <c r="F808" s="432" t="b">
        <v>1</v>
      </c>
    </row>
    <row r="809" spans="1:6">
      <c r="A809" s="432">
        <v>99021</v>
      </c>
      <c r="B809" s="432" t="s">
        <v>1523</v>
      </c>
      <c r="C809" s="433">
        <v>146823.62000000002</v>
      </c>
      <c r="E809" s="432">
        <v>99021</v>
      </c>
      <c r="F809" s="432" t="b">
        <v>1</v>
      </c>
    </row>
    <row r="810" spans="1:6">
      <c r="A810" s="432">
        <v>99022</v>
      </c>
      <c r="B810" s="432" t="s">
        <v>211</v>
      </c>
      <c r="C810" s="433">
        <v>22329.840000000004</v>
      </c>
      <c r="E810" s="432">
        <v>99022</v>
      </c>
      <c r="F810" s="432" t="b">
        <v>1</v>
      </c>
    </row>
    <row r="811" spans="1:6">
      <c r="A811" s="432">
        <v>99031</v>
      </c>
      <c r="B811" s="432" t="s">
        <v>1524</v>
      </c>
      <c r="C811" s="433">
        <v>105963.26999999999</v>
      </c>
      <c r="E811" s="432">
        <v>99031</v>
      </c>
      <c r="F811" s="432" t="b">
        <v>1</v>
      </c>
    </row>
    <row r="812" spans="1:6">
      <c r="A812" s="432">
        <v>99041</v>
      </c>
      <c r="B812" s="432" t="s">
        <v>1525</v>
      </c>
      <c r="C812" s="433">
        <v>868090.50999999978</v>
      </c>
      <c r="E812" s="432">
        <v>99041</v>
      </c>
      <c r="F812" s="432" t="b">
        <v>1</v>
      </c>
    </row>
    <row r="813" spans="1:6">
      <c r="A813" s="432">
        <v>99047</v>
      </c>
      <c r="B813" s="432" t="s">
        <v>1526</v>
      </c>
      <c r="C813" s="433">
        <v>32365.609999999997</v>
      </c>
      <c r="E813" s="432">
        <v>99047</v>
      </c>
      <c r="F813" s="432" t="b">
        <v>1</v>
      </c>
    </row>
    <row r="814" spans="1:6">
      <c r="A814" s="432">
        <v>99051</v>
      </c>
      <c r="B814" s="432" t="s">
        <v>1527</v>
      </c>
      <c r="C814" s="433">
        <v>414058.01999999996</v>
      </c>
      <c r="E814" s="432">
        <v>99051</v>
      </c>
      <c r="F814" s="432" t="b">
        <v>1</v>
      </c>
    </row>
    <row r="815" spans="1:6">
      <c r="A815" s="432">
        <v>99061</v>
      </c>
      <c r="B815" s="432" t="s">
        <v>1528</v>
      </c>
      <c r="C815" s="433">
        <v>10067.470000000001</v>
      </c>
      <c r="E815" s="432">
        <v>99061</v>
      </c>
      <c r="F815" s="432" t="b">
        <v>1</v>
      </c>
    </row>
    <row r="816" spans="1:6">
      <c r="A816" s="432">
        <v>99071</v>
      </c>
      <c r="B816" s="432" t="s">
        <v>1529</v>
      </c>
      <c r="C816" s="433">
        <v>27833.88</v>
      </c>
      <c r="E816" s="432">
        <v>99071</v>
      </c>
      <c r="F816" s="432" t="b">
        <v>1</v>
      </c>
    </row>
    <row r="817" spans="1:6">
      <c r="A817" s="432">
        <v>99081</v>
      </c>
      <c r="B817" s="432" t="s">
        <v>1530</v>
      </c>
      <c r="C817" s="433">
        <v>70815.37</v>
      </c>
      <c r="E817" s="432">
        <v>99081</v>
      </c>
      <c r="F817" s="432" t="b">
        <v>1</v>
      </c>
    </row>
    <row r="818" spans="1:6">
      <c r="A818" s="432">
        <v>99091</v>
      </c>
      <c r="B818" s="432" t="s">
        <v>1531</v>
      </c>
      <c r="C818" s="433">
        <v>13485.320000000003</v>
      </c>
      <c r="E818" s="432">
        <v>99091</v>
      </c>
      <c r="F818" s="432" t="b">
        <v>1</v>
      </c>
    </row>
    <row r="819" spans="1:6">
      <c r="A819" s="432">
        <v>99101</v>
      </c>
      <c r="B819" s="432" t="s">
        <v>1532</v>
      </c>
      <c r="C819" s="433">
        <v>1966026.8100000008</v>
      </c>
      <c r="E819" s="432">
        <v>99101</v>
      </c>
      <c r="F819" s="432" t="b">
        <v>1</v>
      </c>
    </row>
    <row r="820" spans="1:6">
      <c r="A820" s="432">
        <v>99104</v>
      </c>
      <c r="B820" s="432" t="s">
        <v>1533</v>
      </c>
      <c r="C820" s="433">
        <v>58619.87999999999</v>
      </c>
      <c r="E820" s="432">
        <v>99104</v>
      </c>
      <c r="F820" s="432" t="b">
        <v>1</v>
      </c>
    </row>
    <row r="821" spans="1:6">
      <c r="A821" s="432">
        <v>99109</v>
      </c>
      <c r="B821" s="432" t="s">
        <v>1534</v>
      </c>
      <c r="C821" s="433">
        <v>129124.84</v>
      </c>
      <c r="E821" s="432">
        <v>99109</v>
      </c>
      <c r="F821" s="432" t="b">
        <v>1</v>
      </c>
    </row>
    <row r="822" spans="1:6">
      <c r="A822" s="432">
        <v>99110</v>
      </c>
      <c r="B822" s="432" t="s">
        <v>1535</v>
      </c>
      <c r="C822" s="433">
        <v>245608.30000000002</v>
      </c>
      <c r="E822" s="432">
        <v>99110</v>
      </c>
      <c r="F822" s="432" t="b">
        <v>1</v>
      </c>
    </row>
    <row r="823" spans="1:6">
      <c r="A823" s="432">
        <v>99111</v>
      </c>
      <c r="B823" s="432" t="s">
        <v>1536</v>
      </c>
      <c r="C823" s="433">
        <v>1323533.2899999998</v>
      </c>
      <c r="E823" s="432">
        <v>99111</v>
      </c>
      <c r="F823" s="432" t="b">
        <v>1</v>
      </c>
    </row>
    <row r="824" spans="1:6">
      <c r="A824" s="432">
        <v>99201</v>
      </c>
      <c r="B824" s="432" t="s">
        <v>3738</v>
      </c>
      <c r="C824" s="433">
        <v>45722644.610000007</v>
      </c>
      <c r="E824" s="432">
        <v>99201</v>
      </c>
      <c r="F824" s="432" t="b">
        <v>1</v>
      </c>
    </row>
    <row r="825" spans="1:6">
      <c r="A825" s="432">
        <v>99202</v>
      </c>
      <c r="B825" s="432" t="s">
        <v>1538</v>
      </c>
      <c r="C825" s="433">
        <v>3846289.9500000007</v>
      </c>
      <c r="E825" s="432">
        <v>99202</v>
      </c>
      <c r="F825" s="432" t="b">
        <v>1</v>
      </c>
    </row>
    <row r="826" spans="1:6">
      <c r="A826" s="432">
        <v>99203</v>
      </c>
      <c r="B826" s="432" t="s">
        <v>1539</v>
      </c>
      <c r="C826" s="433">
        <v>506876.62000000017</v>
      </c>
      <c r="E826" s="432">
        <v>99203</v>
      </c>
      <c r="F826" s="432" t="b">
        <v>1</v>
      </c>
    </row>
    <row r="827" spans="1:6">
      <c r="A827" s="432">
        <v>99204</v>
      </c>
      <c r="B827" s="432" t="s">
        <v>1540</v>
      </c>
      <c r="C827" s="433">
        <v>1529084.93</v>
      </c>
      <c r="E827" s="432">
        <v>99204</v>
      </c>
      <c r="F827" s="432" t="b">
        <v>1</v>
      </c>
    </row>
    <row r="828" spans="1:6">
      <c r="A828" s="432">
        <v>99206</v>
      </c>
      <c r="B828" s="432" t="s">
        <v>1541</v>
      </c>
      <c r="C828" s="433">
        <v>2324794.4800000004</v>
      </c>
      <c r="E828" s="432">
        <v>99206</v>
      </c>
      <c r="F828" s="432" t="b">
        <v>1</v>
      </c>
    </row>
    <row r="829" spans="1:6">
      <c r="A829" s="432">
        <v>99207</v>
      </c>
      <c r="B829" s="432" t="s">
        <v>1542</v>
      </c>
      <c r="C829" s="433">
        <v>312085.71000000008</v>
      </c>
      <c r="E829" s="432">
        <v>99207</v>
      </c>
      <c r="F829" s="432" t="b">
        <v>1</v>
      </c>
    </row>
    <row r="830" spans="1:6">
      <c r="A830" s="432">
        <v>99208</v>
      </c>
      <c r="B830" s="432" t="s">
        <v>1543</v>
      </c>
      <c r="C830" s="433">
        <v>366980.12000000005</v>
      </c>
      <c r="E830" s="432">
        <v>99208</v>
      </c>
      <c r="F830" s="432" t="b">
        <v>1</v>
      </c>
    </row>
    <row r="831" spans="1:6">
      <c r="A831" s="432">
        <v>99210</v>
      </c>
      <c r="B831" s="432" t="s">
        <v>1544</v>
      </c>
      <c r="C831" s="433">
        <v>2473291.4899999998</v>
      </c>
      <c r="E831" s="432">
        <v>99210</v>
      </c>
      <c r="F831" s="432" t="b">
        <v>1</v>
      </c>
    </row>
    <row r="832" spans="1:6">
      <c r="A832" s="432">
        <v>99211</v>
      </c>
      <c r="B832" s="432" t="s">
        <v>1545</v>
      </c>
      <c r="C832" s="433">
        <v>38123292.110000007</v>
      </c>
      <c r="E832" s="432">
        <v>99211</v>
      </c>
      <c r="F832" s="432" t="b">
        <v>1</v>
      </c>
    </row>
    <row r="833" spans="1:6">
      <c r="A833" s="432">
        <v>99212</v>
      </c>
      <c r="B833" s="432" t="s">
        <v>1546</v>
      </c>
      <c r="C833" s="433">
        <v>81557.349999999991</v>
      </c>
      <c r="E833" s="432">
        <v>99212</v>
      </c>
      <c r="F833" s="432" t="b">
        <v>1</v>
      </c>
    </row>
    <row r="834" spans="1:6">
      <c r="A834" s="432">
        <v>99213</v>
      </c>
      <c r="B834" s="432" t="s">
        <v>1547</v>
      </c>
      <c r="C834" s="433">
        <v>918128.06999999983</v>
      </c>
      <c r="E834" s="432">
        <v>99213</v>
      </c>
      <c r="F834" s="432" t="b">
        <v>1</v>
      </c>
    </row>
    <row r="835" spans="1:6">
      <c r="A835" s="432">
        <v>99218</v>
      </c>
      <c r="B835" s="432" t="s">
        <v>1548</v>
      </c>
      <c r="C835" s="433">
        <v>5082805.3800000027</v>
      </c>
      <c r="E835" s="432">
        <v>99218</v>
      </c>
      <c r="F835" s="432" t="b">
        <v>1</v>
      </c>
    </row>
    <row r="836" spans="1:6">
      <c r="A836" s="432">
        <v>99219</v>
      </c>
      <c r="B836" s="432" t="s">
        <v>3758</v>
      </c>
      <c r="C836" s="433">
        <v>21197.15</v>
      </c>
      <c r="E836" s="432">
        <v>99219</v>
      </c>
      <c r="F836" s="432" t="b">
        <v>1</v>
      </c>
    </row>
    <row r="837" spans="1:6">
      <c r="A837" s="432">
        <v>99221</v>
      </c>
      <c r="B837" s="432" t="s">
        <v>1549</v>
      </c>
      <c r="C837" s="433">
        <v>14630367.110000003</v>
      </c>
      <c r="E837" s="432">
        <v>99221</v>
      </c>
      <c r="F837" s="432" t="b">
        <v>1</v>
      </c>
    </row>
    <row r="838" spans="1:6">
      <c r="A838" s="432">
        <v>99222</v>
      </c>
      <c r="B838" s="432" t="s">
        <v>1550</v>
      </c>
      <c r="C838" s="433">
        <v>58904.859999999993</v>
      </c>
      <c r="E838" s="432">
        <v>99222</v>
      </c>
      <c r="F838" s="432" t="b">
        <v>1</v>
      </c>
    </row>
    <row r="839" spans="1:6">
      <c r="A839" s="432">
        <v>99231</v>
      </c>
      <c r="B839" s="432" t="s">
        <v>1551</v>
      </c>
      <c r="C839" s="433">
        <v>697723.68999999983</v>
      </c>
      <c r="E839" s="432">
        <v>99231</v>
      </c>
      <c r="F839" s="432" t="b">
        <v>1</v>
      </c>
    </row>
    <row r="840" spans="1:6">
      <c r="A840" s="432">
        <v>99241</v>
      </c>
      <c r="B840" s="432" t="s">
        <v>1552</v>
      </c>
      <c r="C840" s="433">
        <v>766798.24000000022</v>
      </c>
      <c r="E840" s="432">
        <v>99241</v>
      </c>
      <c r="F840" s="432" t="b">
        <v>1</v>
      </c>
    </row>
    <row r="841" spans="1:6">
      <c r="A841" s="432">
        <v>99251</v>
      </c>
      <c r="B841" s="432" t="s">
        <v>1553</v>
      </c>
      <c r="C841" s="433">
        <v>2178450.6100000003</v>
      </c>
      <c r="E841" s="432">
        <v>99251</v>
      </c>
      <c r="F841" s="432" t="b">
        <v>1</v>
      </c>
    </row>
    <row r="842" spans="1:6">
      <c r="A842" s="432">
        <v>99252</v>
      </c>
      <c r="B842" s="432" t="s">
        <v>1554</v>
      </c>
      <c r="C842" s="433">
        <v>799116.61</v>
      </c>
      <c r="E842" s="432">
        <v>99252</v>
      </c>
      <c r="F842" s="432" t="b">
        <v>1</v>
      </c>
    </row>
    <row r="843" spans="1:6">
      <c r="A843" s="432">
        <v>99261</v>
      </c>
      <c r="B843" s="432" t="s">
        <v>1555</v>
      </c>
      <c r="C843" s="433">
        <v>3502254.29</v>
      </c>
      <c r="E843" s="432">
        <v>99261</v>
      </c>
      <c r="F843" s="432" t="b">
        <v>1</v>
      </c>
    </row>
    <row r="844" spans="1:6">
      <c r="A844" s="432">
        <v>99271</v>
      </c>
      <c r="B844" s="432" t="s">
        <v>1556</v>
      </c>
      <c r="C844" s="433">
        <v>6188256.4599999981</v>
      </c>
      <c r="E844" s="432">
        <v>99271</v>
      </c>
      <c r="F844" s="432" t="b">
        <v>1</v>
      </c>
    </row>
    <row r="845" spans="1:6">
      <c r="A845" s="432">
        <v>99281</v>
      </c>
      <c r="B845" s="432" t="s">
        <v>1557</v>
      </c>
      <c r="C845" s="433">
        <v>4166719.7599999988</v>
      </c>
      <c r="E845" s="432">
        <v>99281</v>
      </c>
      <c r="F845" s="432" t="b">
        <v>1</v>
      </c>
    </row>
    <row r="846" spans="1:6">
      <c r="A846" s="432">
        <v>99291</v>
      </c>
      <c r="B846" s="432" t="s">
        <v>1558</v>
      </c>
      <c r="C846" s="433">
        <v>1372632.0099999995</v>
      </c>
      <c r="E846" s="432">
        <v>99291</v>
      </c>
      <c r="F846" s="432" t="b">
        <v>1</v>
      </c>
    </row>
    <row r="847" spans="1:6">
      <c r="A847" s="432">
        <v>99301</v>
      </c>
      <c r="B847" s="432" t="s">
        <v>1559</v>
      </c>
      <c r="C847" s="433">
        <v>1781772.6099999999</v>
      </c>
      <c r="E847" s="432">
        <v>99301</v>
      </c>
      <c r="F847" s="432" t="b">
        <v>1</v>
      </c>
    </row>
    <row r="848" spans="1:6">
      <c r="A848" s="432">
        <v>99304</v>
      </c>
      <c r="B848" s="432" t="s">
        <v>1560</v>
      </c>
      <c r="C848" s="433">
        <v>21710.489999999994</v>
      </c>
      <c r="E848" s="432">
        <v>99304</v>
      </c>
      <c r="F848" s="432" t="b">
        <v>1</v>
      </c>
    </row>
    <row r="849" spans="1:6">
      <c r="A849" s="432">
        <v>99311</v>
      </c>
      <c r="B849" s="432" t="s">
        <v>1561</v>
      </c>
      <c r="C849" s="433">
        <v>60302.329999999994</v>
      </c>
      <c r="E849" s="432">
        <v>99311</v>
      </c>
      <c r="F849" s="432" t="b">
        <v>1</v>
      </c>
    </row>
    <row r="850" spans="1:6">
      <c r="A850" s="432">
        <v>99321</v>
      </c>
      <c r="B850" s="432" t="s">
        <v>1562</v>
      </c>
      <c r="C850" s="433">
        <v>185258.97</v>
      </c>
      <c r="E850" s="432">
        <v>99321</v>
      </c>
      <c r="F850" s="432" t="b">
        <v>1</v>
      </c>
    </row>
    <row r="851" spans="1:6">
      <c r="A851" s="432">
        <v>99401</v>
      </c>
      <c r="B851" s="432" t="s">
        <v>1563</v>
      </c>
      <c r="C851" s="433">
        <v>814430.63000000024</v>
      </c>
      <c r="E851" s="432">
        <v>99401</v>
      </c>
      <c r="F851" s="432" t="b">
        <v>1</v>
      </c>
    </row>
    <row r="852" spans="1:6">
      <c r="A852" s="432">
        <v>99404</v>
      </c>
      <c r="B852" s="432" t="s">
        <v>1564</v>
      </c>
      <c r="C852" s="433">
        <v>12145.920000000002</v>
      </c>
      <c r="E852" s="432">
        <v>99404</v>
      </c>
      <c r="F852" s="432" t="b">
        <v>1</v>
      </c>
    </row>
    <row r="853" spans="1:6">
      <c r="A853" s="432">
        <v>99405</v>
      </c>
      <c r="B853" s="432" t="s">
        <v>1565</v>
      </c>
      <c r="C853" s="433">
        <v>82158.289999999994</v>
      </c>
      <c r="E853" s="432">
        <v>99405</v>
      </c>
      <c r="F853" s="432" t="b">
        <v>1</v>
      </c>
    </row>
    <row r="854" spans="1:6">
      <c r="A854" s="432">
        <v>99411</v>
      </c>
      <c r="B854" s="432" t="s">
        <v>1566</v>
      </c>
      <c r="C854" s="433">
        <v>202440.19</v>
      </c>
      <c r="E854" s="432">
        <v>99411</v>
      </c>
      <c r="F854" s="432" t="b">
        <v>1</v>
      </c>
    </row>
    <row r="855" spans="1:6">
      <c r="A855" s="432">
        <v>99413</v>
      </c>
      <c r="B855" s="432" t="s">
        <v>1567</v>
      </c>
      <c r="C855" s="433">
        <v>45264.73</v>
      </c>
      <c r="E855" s="432">
        <v>99413</v>
      </c>
      <c r="F855" s="432" t="b">
        <v>1</v>
      </c>
    </row>
    <row r="856" spans="1:6">
      <c r="A856" s="432">
        <v>99421</v>
      </c>
      <c r="B856" s="432" t="s">
        <v>1568</v>
      </c>
      <c r="C856" s="433">
        <v>8507.44</v>
      </c>
      <c r="E856" s="432">
        <v>99421</v>
      </c>
      <c r="F856" s="432" t="b">
        <v>1</v>
      </c>
    </row>
    <row r="857" spans="1:6">
      <c r="A857" s="432">
        <v>99431</v>
      </c>
      <c r="B857" s="432" t="s">
        <v>1569</v>
      </c>
      <c r="C857" s="433">
        <v>16692.66</v>
      </c>
      <c r="E857" s="432">
        <v>99431</v>
      </c>
      <c r="F857" s="432" t="b">
        <v>1</v>
      </c>
    </row>
    <row r="858" spans="1:6">
      <c r="A858" s="432">
        <v>99501</v>
      </c>
      <c r="B858" s="432" t="s">
        <v>1570</v>
      </c>
      <c r="C858" s="433">
        <v>2060776.0999999989</v>
      </c>
      <c r="E858" s="432">
        <v>99501</v>
      </c>
      <c r="F858" s="432" t="b">
        <v>1</v>
      </c>
    </row>
    <row r="859" spans="1:6">
      <c r="A859" s="432">
        <v>99502</v>
      </c>
      <c r="B859" s="432" t="s">
        <v>1571</v>
      </c>
      <c r="C859" s="433">
        <v>178391.66</v>
      </c>
      <c r="E859" s="432">
        <v>99502</v>
      </c>
      <c r="F859" s="432" t="b">
        <v>1</v>
      </c>
    </row>
    <row r="860" spans="1:6">
      <c r="A860" s="432">
        <v>99508</v>
      </c>
      <c r="B860" s="432" t="s">
        <v>1572</v>
      </c>
      <c r="C860" s="433">
        <v>34872.18</v>
      </c>
      <c r="E860" s="432">
        <v>99508</v>
      </c>
      <c r="F860" s="432" t="b">
        <v>1</v>
      </c>
    </row>
    <row r="861" spans="1:6">
      <c r="A861" s="432">
        <v>99509</v>
      </c>
      <c r="B861" s="432" t="s">
        <v>1573</v>
      </c>
      <c r="C861" s="433">
        <v>31625.219999999998</v>
      </c>
      <c r="E861" s="432">
        <v>99509</v>
      </c>
      <c r="F861" s="432" t="b">
        <v>1</v>
      </c>
    </row>
    <row r="862" spans="1:6">
      <c r="A862" s="432">
        <v>99511</v>
      </c>
      <c r="B862" s="432" t="s">
        <v>1574</v>
      </c>
      <c r="C862" s="433">
        <v>1470259.3900000001</v>
      </c>
      <c r="E862" s="432">
        <v>99511</v>
      </c>
      <c r="F862" s="432" t="b">
        <v>1</v>
      </c>
    </row>
    <row r="863" spans="1:6">
      <c r="A863" s="432">
        <v>99521</v>
      </c>
      <c r="B863" s="432" t="s">
        <v>1575</v>
      </c>
      <c r="C863" s="433">
        <v>596968.3600000001</v>
      </c>
      <c r="E863" s="432">
        <v>99521</v>
      </c>
      <c r="F863" s="432" t="b">
        <v>1</v>
      </c>
    </row>
    <row r="864" spans="1:6">
      <c r="A864" s="432">
        <v>99527</v>
      </c>
      <c r="B864" s="432" t="s">
        <v>1576</v>
      </c>
      <c r="C864" s="433">
        <v>17043.830000000002</v>
      </c>
      <c r="E864" s="432">
        <v>99527</v>
      </c>
      <c r="F864" s="432" t="b">
        <v>1</v>
      </c>
    </row>
    <row r="865" spans="1:6">
      <c r="A865" s="432">
        <v>99531</v>
      </c>
      <c r="B865" s="432" t="s">
        <v>1577</v>
      </c>
      <c r="C865" s="433">
        <v>160488.88999999998</v>
      </c>
      <c r="E865" s="432">
        <v>99531</v>
      </c>
      <c r="F865" s="432" t="b">
        <v>1</v>
      </c>
    </row>
    <row r="866" spans="1:6">
      <c r="A866" s="432">
        <v>99601</v>
      </c>
      <c r="B866" s="432" t="s">
        <v>1578</v>
      </c>
      <c r="C866" s="433">
        <v>5938495.1300000018</v>
      </c>
      <c r="E866" s="432">
        <v>99601</v>
      </c>
      <c r="F866" s="432" t="b">
        <v>1</v>
      </c>
    </row>
    <row r="867" spans="1:6">
      <c r="A867" s="432">
        <v>99602</v>
      </c>
      <c r="B867" s="432" t="s">
        <v>1579</v>
      </c>
      <c r="C867" s="433">
        <v>62940.610000000015</v>
      </c>
      <c r="E867" s="432">
        <v>99602</v>
      </c>
      <c r="F867" s="432" t="b">
        <v>1</v>
      </c>
    </row>
    <row r="868" spans="1:6">
      <c r="A868" s="432">
        <v>99603</v>
      </c>
      <c r="B868" s="432" t="s">
        <v>1580</v>
      </c>
      <c r="C868" s="433">
        <v>192668.13</v>
      </c>
      <c r="E868" s="432">
        <v>99603</v>
      </c>
      <c r="F868" s="432" t="b">
        <v>1</v>
      </c>
    </row>
    <row r="869" spans="1:6">
      <c r="A869" s="432">
        <v>99604</v>
      </c>
      <c r="B869" s="432" t="s">
        <v>1581</v>
      </c>
      <c r="C869" s="433">
        <v>173865.36999999994</v>
      </c>
      <c r="E869" s="432">
        <v>99604</v>
      </c>
      <c r="F869" s="432" t="b">
        <v>1</v>
      </c>
    </row>
    <row r="870" spans="1:6">
      <c r="A870" s="432">
        <v>99609</v>
      </c>
      <c r="B870" s="432" t="s">
        <v>1582</v>
      </c>
      <c r="C870" s="433">
        <v>29301.300000000003</v>
      </c>
      <c r="E870" s="432">
        <v>99609</v>
      </c>
      <c r="F870" s="432" t="b">
        <v>1</v>
      </c>
    </row>
    <row r="871" spans="1:6">
      <c r="A871" s="432">
        <v>99610</v>
      </c>
      <c r="B871" s="432" t="s">
        <v>1583</v>
      </c>
      <c r="C871" s="433">
        <v>213409.86000000002</v>
      </c>
      <c r="E871" s="432">
        <v>99610</v>
      </c>
      <c r="F871" s="432" t="b">
        <v>1</v>
      </c>
    </row>
    <row r="872" spans="1:6">
      <c r="A872" s="432">
        <v>99611</v>
      </c>
      <c r="B872" s="432" t="s">
        <v>1584</v>
      </c>
      <c r="C872" s="433">
        <v>3087409.07</v>
      </c>
      <c r="E872" s="432">
        <v>99611</v>
      </c>
      <c r="F872" s="432" t="b">
        <v>1</v>
      </c>
    </row>
    <row r="873" spans="1:6">
      <c r="A873" s="432">
        <v>99613</v>
      </c>
      <c r="B873" s="432" t="s">
        <v>1585</v>
      </c>
      <c r="C873" s="433">
        <v>385978.17000000004</v>
      </c>
      <c r="E873" s="432">
        <v>99613</v>
      </c>
      <c r="F873" s="432" t="b">
        <v>1</v>
      </c>
    </row>
    <row r="874" spans="1:6">
      <c r="A874" s="432">
        <v>99621</v>
      </c>
      <c r="B874" s="432" t="s">
        <v>1586</v>
      </c>
      <c r="C874" s="433">
        <v>387482.95999999996</v>
      </c>
      <c r="E874" s="432">
        <v>99621</v>
      </c>
      <c r="F874" s="432" t="b">
        <v>1</v>
      </c>
    </row>
    <row r="875" spans="1:6">
      <c r="A875" s="432">
        <v>99623</v>
      </c>
      <c r="B875" s="432" t="s">
        <v>1587</v>
      </c>
      <c r="C875" s="433">
        <v>7747.6499999999978</v>
      </c>
      <c r="E875" s="432">
        <v>99623</v>
      </c>
      <c r="F875" s="432" t="b">
        <v>1</v>
      </c>
    </row>
    <row r="876" spans="1:6">
      <c r="A876" s="432">
        <v>99624</v>
      </c>
      <c r="B876" s="432" t="s">
        <v>3759</v>
      </c>
      <c r="C876" s="433">
        <v>114150.34</v>
      </c>
      <c r="E876" s="432">
        <v>99624</v>
      </c>
      <c r="F876" s="432" t="b">
        <v>1</v>
      </c>
    </row>
    <row r="877" spans="1:6">
      <c r="A877" s="432">
        <v>99631</v>
      </c>
      <c r="B877" s="432" t="s">
        <v>1588</v>
      </c>
      <c r="C877" s="433">
        <v>84134.379999999976</v>
      </c>
      <c r="E877" s="432">
        <v>99631</v>
      </c>
      <c r="F877" s="432" t="b">
        <v>1</v>
      </c>
    </row>
    <row r="878" spans="1:6">
      <c r="A878" s="432">
        <v>99651</v>
      </c>
      <c r="B878" s="432" t="s">
        <v>1589</v>
      </c>
      <c r="C878" s="433">
        <v>56046.87000000001</v>
      </c>
      <c r="E878" s="432">
        <v>99651</v>
      </c>
      <c r="F878" s="432" t="b">
        <v>1</v>
      </c>
    </row>
    <row r="879" spans="1:6">
      <c r="A879" s="432">
        <v>99661</v>
      </c>
      <c r="B879" s="432" t="s">
        <v>1590</v>
      </c>
      <c r="C879" s="433">
        <v>50352.46</v>
      </c>
      <c r="E879" s="432">
        <v>99661</v>
      </c>
      <c r="F879" s="432" t="b">
        <v>1</v>
      </c>
    </row>
    <row r="880" spans="1:6">
      <c r="A880" s="432">
        <v>99701</v>
      </c>
      <c r="B880" s="432" t="s">
        <v>1591</v>
      </c>
      <c r="C880" s="433">
        <v>3420613.489999997</v>
      </c>
      <c r="E880" s="432">
        <v>99701</v>
      </c>
      <c r="F880" s="432" t="b">
        <v>1</v>
      </c>
    </row>
    <row r="881" spans="1:6">
      <c r="A881" s="432">
        <v>99705</v>
      </c>
      <c r="B881" s="432" t="s">
        <v>1592</v>
      </c>
      <c r="C881" s="433">
        <v>199288.02000000002</v>
      </c>
      <c r="E881" s="432">
        <v>99705</v>
      </c>
      <c r="F881" s="432" t="b">
        <v>1</v>
      </c>
    </row>
    <row r="882" spans="1:6">
      <c r="A882" s="432">
        <v>99711</v>
      </c>
      <c r="B882" s="432" t="s">
        <v>1593</v>
      </c>
      <c r="C882" s="433">
        <v>516888.83</v>
      </c>
      <c r="E882" s="432">
        <v>99711</v>
      </c>
      <c r="F882" s="432" t="b">
        <v>1</v>
      </c>
    </row>
    <row r="883" spans="1:6">
      <c r="A883" s="432">
        <v>99717</v>
      </c>
      <c r="B883" s="432" t="s">
        <v>1594</v>
      </c>
      <c r="C883" s="433">
        <v>23031.440000000002</v>
      </c>
      <c r="E883" s="432">
        <v>99717</v>
      </c>
      <c r="F883" s="432" t="b">
        <v>1</v>
      </c>
    </row>
    <row r="884" spans="1:6">
      <c r="A884" s="432">
        <v>99721</v>
      </c>
      <c r="B884" s="432" t="s">
        <v>1595</v>
      </c>
      <c r="C884" s="433">
        <v>689886.13000000012</v>
      </c>
      <c r="E884" s="432">
        <v>99721</v>
      </c>
      <c r="F884" s="432" t="b">
        <v>1</v>
      </c>
    </row>
    <row r="885" spans="1:6">
      <c r="A885" s="432">
        <v>99727</v>
      </c>
      <c r="B885" s="432" t="s">
        <v>1596</v>
      </c>
      <c r="C885" s="433">
        <v>46932.45</v>
      </c>
      <c r="E885" s="432">
        <v>99727</v>
      </c>
      <c r="F885" s="432" t="b">
        <v>1</v>
      </c>
    </row>
    <row r="886" spans="1:6">
      <c r="A886" s="432">
        <v>99801</v>
      </c>
      <c r="B886" s="432" t="s">
        <v>1597</v>
      </c>
      <c r="C886" s="433">
        <v>5406051.7600000016</v>
      </c>
      <c r="E886" s="432">
        <v>99801</v>
      </c>
      <c r="F886" s="432" t="b">
        <v>1</v>
      </c>
    </row>
    <row r="887" spans="1:6">
      <c r="A887" s="432">
        <v>99802</v>
      </c>
      <c r="B887" s="432" t="s">
        <v>1598</v>
      </c>
      <c r="C887" s="433">
        <v>14549.759999999997</v>
      </c>
      <c r="E887" s="432">
        <v>99802</v>
      </c>
      <c r="F887" s="432" t="b">
        <v>1</v>
      </c>
    </row>
    <row r="888" spans="1:6">
      <c r="A888" s="432">
        <v>99804</v>
      </c>
      <c r="B888" s="432" t="s">
        <v>1599</v>
      </c>
      <c r="C888" s="433">
        <v>129555.41000000002</v>
      </c>
      <c r="E888" s="432">
        <v>99804</v>
      </c>
      <c r="F888" s="432" t="b">
        <v>1</v>
      </c>
    </row>
    <row r="889" spans="1:6">
      <c r="A889" s="432">
        <v>99811</v>
      </c>
      <c r="B889" s="432" t="s">
        <v>1600</v>
      </c>
      <c r="C889" s="433">
        <v>6184311.2800000012</v>
      </c>
      <c r="E889" s="432">
        <v>99811</v>
      </c>
      <c r="F889" s="432" t="b">
        <v>1</v>
      </c>
    </row>
    <row r="890" spans="1:6">
      <c r="A890" s="432">
        <v>99812</v>
      </c>
      <c r="B890" s="432" t="s">
        <v>1601</v>
      </c>
      <c r="C890" s="433">
        <v>43724.42</v>
      </c>
      <c r="E890" s="432">
        <v>99812</v>
      </c>
      <c r="F890" s="432" t="b">
        <v>1</v>
      </c>
    </row>
    <row r="891" spans="1:6">
      <c r="A891" s="432">
        <v>99818</v>
      </c>
      <c r="B891" s="432" t="s">
        <v>1602</v>
      </c>
      <c r="C891" s="433">
        <v>38003.000000000007</v>
      </c>
      <c r="E891" s="432">
        <v>99818</v>
      </c>
      <c r="F891" s="432" t="b">
        <v>1</v>
      </c>
    </row>
    <row r="892" spans="1:6">
      <c r="A892" s="432">
        <v>99821</v>
      </c>
      <c r="B892" s="432" t="s">
        <v>1603</v>
      </c>
      <c r="C892" s="433">
        <v>112833.61000000002</v>
      </c>
      <c r="E892" s="432">
        <v>99821</v>
      </c>
      <c r="F892" s="432" t="b">
        <v>1</v>
      </c>
    </row>
    <row r="893" spans="1:6">
      <c r="A893" s="432">
        <v>99831</v>
      </c>
      <c r="B893" s="432" t="s">
        <v>1604</v>
      </c>
      <c r="C893" s="433">
        <v>45238.03</v>
      </c>
      <c r="E893" s="432">
        <v>99831</v>
      </c>
      <c r="F893" s="432" t="b">
        <v>1</v>
      </c>
    </row>
    <row r="894" spans="1:6">
      <c r="A894" s="432">
        <v>99841</v>
      </c>
      <c r="B894" s="432" t="s">
        <v>1605</v>
      </c>
      <c r="C894" s="433">
        <v>71438.899999999994</v>
      </c>
      <c r="E894" s="432">
        <v>99841</v>
      </c>
      <c r="F894" s="432" t="b">
        <v>1</v>
      </c>
    </row>
    <row r="895" spans="1:6">
      <c r="A895" s="432">
        <v>99851</v>
      </c>
      <c r="B895" s="432" t="s">
        <v>1606</v>
      </c>
      <c r="C895" s="433">
        <v>11878.240000000002</v>
      </c>
      <c r="E895" s="432">
        <v>99851</v>
      </c>
      <c r="F895" s="432" t="b">
        <v>1</v>
      </c>
    </row>
    <row r="896" spans="1:6">
      <c r="A896" s="432">
        <v>99901</v>
      </c>
      <c r="B896" s="432" t="s">
        <v>1607</v>
      </c>
      <c r="C896" s="433">
        <v>1929618.61</v>
      </c>
      <c r="E896" s="432">
        <v>99901</v>
      </c>
      <c r="F896" s="432" t="b">
        <v>1</v>
      </c>
    </row>
    <row r="897" spans="1:6">
      <c r="A897" s="432">
        <v>99911</v>
      </c>
      <c r="B897" s="432" t="s">
        <v>1608</v>
      </c>
      <c r="C897" s="433">
        <v>292451.25000000012</v>
      </c>
      <c r="E897" s="432">
        <v>99911</v>
      </c>
      <c r="F897" s="432" t="b">
        <v>1</v>
      </c>
    </row>
    <row r="898" spans="1:6">
      <c r="A898" s="432">
        <v>99921</v>
      </c>
      <c r="B898" s="432" t="s">
        <v>1609</v>
      </c>
      <c r="C898" s="433">
        <v>144737.68000000002</v>
      </c>
      <c r="E898" s="432">
        <v>99921</v>
      </c>
      <c r="F898" s="432" t="b">
        <v>1</v>
      </c>
    </row>
    <row r="899" spans="1:6">
      <c r="A899" s="432">
        <v>99931</v>
      </c>
      <c r="B899" s="432" t="s">
        <v>1610</v>
      </c>
      <c r="C899" s="433">
        <v>23547.589999999997</v>
      </c>
      <c r="E899" s="432">
        <v>99931</v>
      </c>
      <c r="F899" s="432" t="b">
        <v>1</v>
      </c>
    </row>
    <row r="900" spans="1:6">
      <c r="A900" s="432">
        <v>99941</v>
      </c>
      <c r="B900" s="432" t="s">
        <v>1611</v>
      </c>
      <c r="C900" s="433">
        <v>70495.7</v>
      </c>
      <c r="E900" s="432">
        <v>99941</v>
      </c>
      <c r="F900" s="432" t="b">
        <v>1</v>
      </c>
    </row>
    <row r="901" spans="1:6">
      <c r="A901" s="432">
        <v>99991</v>
      </c>
      <c r="B901" s="432" t="s">
        <v>1612</v>
      </c>
      <c r="C901" s="433">
        <v>757839.47</v>
      </c>
      <c r="E901" s="432">
        <v>99991</v>
      </c>
      <c r="F901" s="432" t="b">
        <v>1</v>
      </c>
    </row>
    <row r="902" spans="1:6">
      <c r="A902" s="432">
        <v>99999</v>
      </c>
      <c r="B902" s="432" t="s">
        <v>1613</v>
      </c>
      <c r="C902" s="433">
        <v>1582486.2299999997</v>
      </c>
      <c r="E902" s="432">
        <v>99999</v>
      </c>
      <c r="F902" s="432" t="b">
        <v>1</v>
      </c>
    </row>
    <row r="903" spans="1:6">
      <c r="A903" s="432" t="s">
        <v>691</v>
      </c>
      <c r="B903" s="432" t="s">
        <v>690</v>
      </c>
      <c r="C903" s="450"/>
    </row>
    <row r="904" spans="1:6">
      <c r="B904" s="434" t="s">
        <v>711</v>
      </c>
      <c r="C904" s="435">
        <v>1212730413.7200007</v>
      </c>
    </row>
  </sheetData>
  <sheetProtection algorithmName="SHA-512" hashValue="kIy58Uge+pZGUPJ9dDc2jBmUiEPA3RSv4bmsC3jXx1h4HkJU5+WgFfEtY1oV0azhqE+BSlLWOsCCI2tze1Is3w==" saltValue="wA+Ep49Tj7rPiGLxkDh0ZQ==" spinCount="100000" sheet="1" objects="1" scenarios="1"/>
  <conditionalFormatting sqref="F2:F903">
    <cfRule type="containsText" dxfId="4" priority="1" operator="containsText" text="false">
      <formula>NOT(ISERROR(SEARCH("false",F2)))</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493DB8-B5E4-459F-B9C8-C2D84EE3D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F88404-3C9C-4304-965C-3C5BE9BBF2B7}">
  <ds:schemaRefs>
    <ds:schemaRef ds:uri="http://schemas.microsoft.com/sharepoint/events"/>
  </ds:schemaRefs>
</ds:datastoreItem>
</file>

<file path=customXml/itemProps3.xml><?xml version="1.0" encoding="utf-8"?>
<ds:datastoreItem xmlns:ds="http://schemas.openxmlformats.org/officeDocument/2006/customXml" ds:itemID="{AE225A94-039F-4E8A-ACEC-6E90F0905C6A}">
  <ds:schemaRefs>
    <ds:schemaRef ds:uri="http://purl.org/dc/dcmitype/"/>
    <ds:schemaRef ds:uri="http://www.w3.org/XML/1998/namespace"/>
    <ds:schemaRef ds:uri="b0d8bf0e-b15b-456f-8ae4-2bdf59acac1f"/>
    <ds:schemaRef ds:uri="http://schemas.microsoft.com/office/2006/documentManagement/types"/>
    <ds:schemaRef ds:uri="http://schemas.openxmlformats.org/package/2006/metadata/core-properties"/>
    <ds:schemaRef ds:uri="http://purl.org/dc/elements/1.1/"/>
    <ds:schemaRef ds:uri="http://purl.org/dc/terms/"/>
    <ds:schemaRef ds:uri="http://schemas.microsoft.com/office/2006/metadata/properties"/>
    <ds:schemaRef ds:uri="http://schemas.microsoft.com/office/infopath/2007/PartnerControls"/>
    <ds:schemaRef ds:uri="d4ea4015-5b02-447c-9074-d5807a41497e"/>
  </ds:schemaRefs>
</ds:datastoreItem>
</file>

<file path=customXml/itemProps4.xml><?xml version="1.0" encoding="utf-8"?>
<ds:datastoreItem xmlns:ds="http://schemas.openxmlformats.org/officeDocument/2006/customXml" ds:itemID="{90FCD502-94B4-4588-AA47-87587211E1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13</vt:i4>
      </vt:variant>
    </vt:vector>
  </HeadingPairs>
  <TitlesOfParts>
    <vt:vector size="38" baseType="lpstr">
      <vt:lpstr>Info</vt:lpstr>
      <vt:lpstr>Changes to Update Template </vt:lpstr>
      <vt:lpstr>JE Template</vt:lpstr>
      <vt:lpstr>2025 summary </vt:lpstr>
      <vt:lpstr>2024 summary </vt:lpstr>
      <vt:lpstr>2023 summary</vt:lpstr>
      <vt:lpstr>2022 summary</vt:lpstr>
      <vt:lpstr>2021 summary</vt:lpstr>
      <vt:lpstr>LGERS Contributions FY 2024</vt:lpstr>
      <vt:lpstr>LGERS Contributions FY 2023</vt:lpstr>
      <vt:lpstr>LGERS Contributions FY 2022</vt:lpstr>
      <vt:lpstr>2020 summary</vt:lpstr>
      <vt:lpstr>2019 summary</vt:lpstr>
      <vt:lpstr>2018 summary</vt:lpstr>
      <vt:lpstr>2017 summary</vt:lpstr>
      <vt:lpstr>LGERS Contributions FY 2021</vt:lpstr>
      <vt:lpstr>LGERS Contributions FY 2020</vt:lpstr>
      <vt:lpstr>LGERS Contributions FY 2019</vt:lpstr>
      <vt:lpstr>LGERS Contributions FY 2018</vt:lpstr>
      <vt:lpstr>LGERS Contributions FY 2017</vt:lpstr>
      <vt:lpstr>Deferred Amort MD 06-30-23</vt:lpstr>
      <vt:lpstr>Deferred Amort MD 06-30-22</vt:lpstr>
      <vt:lpstr>Deferred Amort MD 06-30-21</vt:lpstr>
      <vt:lpstr>Deferred Amort MD 6-30-20</vt:lpstr>
      <vt:lpstr>Deferred Amort MD 6-30-19</vt:lpstr>
      <vt:lpstr>'2024 summary '!Print_Area</vt:lpstr>
      <vt:lpstr>'Deferred Amort MD 6-30-19'!Print_Area</vt:lpstr>
      <vt:lpstr>'Deferred Amort MD 6-30-20'!Print_Area</vt:lpstr>
      <vt:lpstr>'JE Template'!Print_Area</vt:lpstr>
      <vt:lpstr>'2017 summary'!Print_Titles</vt:lpstr>
      <vt:lpstr>'2018 summary'!Print_Titles</vt:lpstr>
      <vt:lpstr>'2024 summary '!Print_Titles</vt:lpstr>
      <vt:lpstr>'Deferred Amort MD 6-30-19'!Print_Titles</vt:lpstr>
      <vt:lpstr>'Deferred Amort MD 6-30-20'!Print_Titles</vt:lpstr>
      <vt:lpstr>'2021 summary'!Total_Summary_Data</vt:lpstr>
      <vt:lpstr>'2022 summary'!Total_Summary_Data</vt:lpstr>
      <vt:lpstr>'2023 summary'!Total_Summary_Data</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Eric Faust</cp:lastModifiedBy>
  <cp:lastPrinted>2022-06-07T22:19:15Z</cp:lastPrinted>
  <dcterms:created xsi:type="dcterms:W3CDTF">2015-01-07T18:39:17Z</dcterms:created>
  <dcterms:modified xsi:type="dcterms:W3CDTF">2025-06-16T17:27:25Z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